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brlr\The University of Manchester Dropbox\Gabriel Rogers\PROTECT Economics\nsaids harm paper\final submission\"/>
    </mc:Choice>
  </mc:AlternateContent>
  <xr:revisionPtr revIDLastSave="0" documentId="13_ncr:1_{FE6F6327-20C9-4CB0-8E4F-737F69C092F8}" xr6:coauthVersionLast="47" xr6:coauthVersionMax="47" xr10:uidLastSave="{00000000-0000-0000-0000-000000000000}"/>
  <bookViews>
    <workbookView xWindow="-120" yWindow="-120" windowWidth="38640" windowHeight="15720" tabRatio="728" xr2:uid="{00000000-000D-0000-FFFF-FFFF00000000}"/>
  </bookViews>
  <sheets>
    <sheet name="Intro" sheetId="40" r:id="rId1"/>
    <sheet name="Settings &gt;&gt;&gt;" sheetId="56" r:id="rId2"/>
    <sheet name="MasterLists" sheetId="36" r:id="rId3"/>
    <sheet name="Parameters" sheetId="79" r:id="rId4"/>
    <sheet name="Results &gt;&gt;&gt;" sheetId="55" r:id="rId5"/>
    <sheet name="Results.Summ" sheetId="135" r:id="rId6"/>
    <sheet name="Results.D+P" sheetId="67" r:id="rId7"/>
    <sheet name="Results.Determ" sheetId="65" r:id="rId8"/>
    <sheet name="Results.Prob" sheetId="66" r:id="rId9"/>
    <sheet name="SensitivityAnalysis &gt;&gt;&gt;" sheetId="53" r:id="rId10"/>
    <sheet name="PSA.Data" sheetId="34" r:id="rId11"/>
    <sheet name="PSA.Outputs" sheetId="35" r:id="rId12"/>
    <sheet name="Models &gt;&gt;&gt;" sheetId="54" r:id="rId13"/>
    <sheet name="AB.TPMs" sheetId="72" r:id="rId14"/>
    <sheet name="A.Markov" sheetId="73" r:id="rId15"/>
    <sheet name="A.QALYs" sheetId="74" r:id="rId16"/>
    <sheet name="A.Costs" sheetId="75" r:id="rId17"/>
    <sheet name="B.Markov" sheetId="76" r:id="rId18"/>
    <sheet name="B.QALYs" sheetId="77" r:id="rId19"/>
    <sheet name="B.Costs" sheetId="78" r:id="rId20"/>
    <sheet name="C.TPMs" sheetId="115" r:id="rId21"/>
    <sheet name="C.Markov" sheetId="116" r:id="rId22"/>
    <sheet name="C.QALYs" sheetId="117" r:id="rId23"/>
    <sheet name="C.Costs" sheetId="118" r:id="rId24"/>
    <sheet name="D.TPMs" sheetId="109" r:id="rId25"/>
    <sheet name="D.Markov" sheetId="110" r:id="rId26"/>
    <sheet name="D.QALYs" sheetId="111" r:id="rId27"/>
    <sheet name="D.Costs" sheetId="112" r:id="rId28"/>
    <sheet name="E.TPMs" sheetId="59" r:id="rId29"/>
    <sheet name="E.Markov" sheetId="60" r:id="rId30"/>
    <sheet name="E.QALYs" sheetId="31" r:id="rId31"/>
    <sheet name="E.Costs" sheetId="32" r:id="rId32"/>
  </sheets>
  <functionGroups builtInGroupCount="19"/>
  <definedNames>
    <definedName name="_fnGENPOP.U">_xlfn.LAMBDA(_xlpm.age, INDEX(rngU.GenPop, MATCH(_xlpm.age, Parameters!$D$71:$D$78, 1)))</definedName>
    <definedName name="_fnICER">_xlfn.LAMBDA(_xlpm.iC,_xlpm.iQ, IF(_xlpm.iC&gt;0, IF(_xlpm.iQ&lt;0, "dominated", _xlpm.iC/_xlpm.iQ), IF(_xlpm.iQ&gt;0, "dominant", _xlpm.iC/_xlpm.iQ)))</definedName>
    <definedName name="_fnINFLATE">_xlfn.LAMBDA(_xlpm.val,_xlpm.yrFrom,_xlpm.yrTo, PRODUCT(_xlpm.val, IF(Parameters!$D$92:$D$113&gt;_xlpm.yrFrom, IF(Parameters!$D$92:$D$113&lt;=_xlpm.yrTo, 1+Parameters!$M$92:$M$113/100))))</definedName>
    <definedName name="_fnMETA.EM">_xlfn.LAMBDA(_xlpm.EM,_xlpm.SE,_xlpm.blnFE,_xlpm.blnLog,_xlpm.blnHetStats, _xlfn.LET(_xlpm.n, COUNT(_xlpm.EM), _xlpm.EMx, IF(_xlpm.blnLog, LN(_xlpm.EM), _xlpm.EM), _xlpm.w, 1/_xlpm.SE^2, _xlpm.poolFE, SUMPRODUCT(_xlpm.EMx, _xlpm.w) / SUM(_xlpm.w), _xlpm.poolSEFE, 1/SQRT(SUM(_xlpm.w)), _xlpm.Q, SUMPRODUCT((_xlpm.EMx-_xlpm.poolFE)^2, _xlpm.w),  _xlpm.t_2, MAX(0, (_xlpm.Q-(_xlpm.n-1)) / (SUM(_xlpm.w) - (SUM(_xlpm.w^2)/SUM(_xlpm.w)))), _xlpm.wRE, 1/(_xlpm.SE^2+_xlpm.t_2), _xlpm.I_2, MAX(0, (_xlpm.Q-(_xlpm.n-1))/_xlpm.Q), _xlpm.poolRE, SUMPRODUCT(_xlpm.EMx, _xlpm.wRE) / SUM(_xlpm.wRE), _xlpm.poolSERE, 1/SQRT(SUM(_xlpm.wRE)), _xlpm.pooled, IF(_xlpm.blnFE, _xlpm.poolFE, _xlpm.poolRE), _xlpm.poolSE, IF(_xlpm.blnFE, _xlpm.poolSEFE, _xlpm.poolSERE), _xlpm.CIw, _xlpm.poolSE * _xlfn.NORM.S.INV(0.975), _xlpm.p, IF(_xlpm.blnLog, EXP(_xlpm.pooled), _xlpm.pooled), _xlpm.s, _xlpm.poolSE, _xlpm.cl, IF(_xlpm.blnLog, EXP(_xlpm.pooled - _xlpm.CIw), _xlpm.pooled - _xlpm.CIw), _xlpm.ch, IF(_xlpm.blnLog, EXP(_xlpm.pooled + _xlpm.CIw), _xlpm.pooled + _xlpm.CIw), IF(_xlpm.blnHetStats, _xlfn.HSTACK(_xlpm.p, "", _xlpm.s, _xlpm.cl, "", _xlpm.ch, _xlpm.Q, _xlpm.t_2, _xlpm.I_2), _xlfn.HSTACK(_xlpm.p, "", _xlpm.s, _xlpm.cl, "", _xlpm.ch))))</definedName>
    <definedName name="_fnSTR.CI">_xlfn.LAMBDA(_xlpm.Mean,_xlpm.Lower,_xlpm.Upper,_xlop.TextStr,_xlop.Multiplier,_xlop.RoundMult,_xlop.Separator,_xlop.Bracket,_xlop.Prefix,_xlop.CISeparator, _xlfn.LET(_xlpm.ts, IF(_xlfn.ISOMITTED(_xlpm.TextStr), "#,##0.0;−#,##0.0", _xlpm.TextStr), _xlpm.m, IF(_xlfn.ISOMITTED(_xlpm.Multiplier), 1, _xlpm.Multiplier), _xlpm.blnR, NOT(_xlfn.ISOMITTED(_xlpm.RoundMult)), _xlpm.rm, IF(_xlpm.blnR, _xlpm.RoundMult, 1), _xlpm.sep, IF(_xlfn.ISOMITTED(_xlpm.Separator), " ", _xlpm.Separator), _xlpm.b_1, IF(_xlfn.ISOMITTED(_xlpm.Bracket), "(", _xlpm.Bracket), _xlpm.b_2, _xlfn.SWITCH(_xlpm.b_1, "(", ")", "[", "]", "{", "}", _xlpm.b_1), _xlpm.pref, IF(_xlfn.ISOMITTED(_xlpm.Prefix), "95%CI: ", _xlpm.Prefix), _xlpm.CIsep, IF(_xlfn.ISOMITTED(_xlpm.CISeparator), " to ", _xlpm.CISeparator), TEXT(IF(_xlpm.blnR, ROUND(_xlpm.Mean*_xlpm.m/_xlpm.rm, 0)*_xlpm.rm, _xlpm.Mean*_xlpm.m), _xlpm.ts) &amp; _xlpm.sep &amp; _xlpm.b_1 &amp; _xlpm.pref &amp; TEXT(IF(_xlpm.blnR,  ROUND(_xlpm.Lower*_xlpm.m/_xlpm.rm, 0)*_xlpm.rm, _xlpm.Lower*_xlpm.m), _xlpm.ts) &amp; _xlpm.CIsep &amp; TEXT(IF(_xlpm.blnR,  ROUND(_xlpm.Upper*_xlpm.m/_xlpm.rm, 0)*_xlpm.rm, _xlpm.Upper*_xlpm.m), _xlpm.ts) &amp; _xlpm.b_2))</definedName>
    <definedName name="_xlop.Bracket" hidden="1" xlm="1">#NAME?</definedName>
    <definedName name="_xlop.CISeparater" hidden="1" xlm="1">#NAME?</definedName>
    <definedName name="_xlop.CISeparator" hidden="1" xlm="1">#NAME?</definedName>
    <definedName name="_xlop.CISeparatr" hidden="1" xlm="1">#NAME?</definedName>
    <definedName name="_xlop.CSeparator" hidden="1" xlm="1">#NAME?</definedName>
    <definedName name="_xlop.Multiplier" hidden="1" xlm="1">#NAME?</definedName>
    <definedName name="_xlop.Prefix" hidden="1" xlm="1">#NAME?</definedName>
    <definedName name="_xlop.RoundMult" hidden="1" xlm="1">#NAME?</definedName>
    <definedName name="_xlop.S" hidden="1" xlm="1">#NAME?</definedName>
    <definedName name="_xlop.Se" hidden="1" xlm="1">#NAME?</definedName>
    <definedName name="_xlop.Sep" hidden="1" xlm="1">#NAME?</definedName>
    <definedName name="_xlop.Sepa" hidden="1" xlm="1">#NAME?</definedName>
    <definedName name="_xlop.Separ" hidden="1" xlm="1">#NAME?</definedName>
    <definedName name="_xlop.Separa" hidden="1" xlm="1">#NAME?</definedName>
    <definedName name="_xlop.Separat" hidden="1" xlm="1">#NAME?</definedName>
    <definedName name="_xlop.Separato" hidden="1" xlm="1">#NAME?</definedName>
    <definedName name="_xlop.Separator" hidden="1" xlm="1">#NAME?</definedName>
    <definedName name="_xlop.TextStr" hidden="1" xlm="1">#NAME?</definedName>
    <definedName name="_xlpm._0" hidden="1" xlm="1">#NAME?</definedName>
    <definedName name="_xlpm.a" hidden="1" xlm="1">#NAME?</definedName>
    <definedName name="_xlpm.aa" hidden="1" xlm="1">#NAME?</definedName>
    <definedName name="_xlpm.age" hidden="1" xlm="1">#NAME?</definedName>
    <definedName name="_xlpm.an" hidden="1" xlm="1">#NAME?</definedName>
    <definedName name="_xlpm.ann" hidden="1" xlm="1">#NAME?</definedName>
    <definedName name="_xlpm.annP" hidden="1" xlm="1">#NAME?</definedName>
    <definedName name="_xlpm.annPr" hidden="1" xlm="1">#NAME?</definedName>
    <definedName name="_xlpm.annPro" hidden="1" xlm="1">#NAME?</definedName>
    <definedName name="_xlpm.annProb" hidden="1" xlm="1">#NAME?</definedName>
    <definedName name="_xlpm.ap" hidden="1" xlm="1">#NAME?</definedName>
    <definedName name="_xlpm.arrCos" hidden="1" xlm="1">#NAME?</definedName>
    <definedName name="_xlpm.arrCoss" hidden="1" xlm="1">#NAME?</definedName>
    <definedName name="_xlpm.arrCosts" hidden="1" xlm="1">#NAME?</definedName>
    <definedName name="_xlpm.arrCs" hidden="1" xlm="1">#NAME?</definedName>
    <definedName name="_xlpm.arrCss" hidden="1" xlm="1">#NAME?</definedName>
    <definedName name="_xlpm.arrInc" hidden="1" xlm="1">#NAME?</definedName>
    <definedName name="_xlpm.arrIncCosts" hidden="1" xlm="1">#NAME?</definedName>
    <definedName name="_xlpm.arrIncQALYs" hidden="1" xlm="1">#NAME?</definedName>
    <definedName name="_xlpm.arrNHB" hidden="1" xlm="1">#NAME?</definedName>
    <definedName name="_xlpm.arrQALYs" hidden="1" xlm="1">#NAME?</definedName>
    <definedName name="_xlpm.b" hidden="1" xlm="1">#NAME?</definedName>
    <definedName name="_xlpm.b_" hidden="1" xlm="1">#NAME?</definedName>
    <definedName name="_xlpm.b_1" hidden="1" xlm="1">#NAME?</definedName>
    <definedName name="_xlpm.b_2" hidden="1" xlm="1">#NAME?</definedName>
    <definedName name="_xlpm.baodds" hidden="1" xlm="1">#NAME?</definedName>
    <definedName name="_xlpm.baprob" hidden="1" xlm="1">#NAME?</definedName>
    <definedName name="_xlpm.baseodds" hidden="1" xlm="1">#NAME?</definedName>
    <definedName name="_xlpm.baseprob" hidden="1" xlm="1">#NAME?</definedName>
    <definedName name="_xlpm.basodds" hidden="1" xlm="1">#NAME?</definedName>
    <definedName name="_xlpm.basprob" hidden="1" xlm="1">#NAME?</definedName>
    <definedName name="_xlpm.bb" hidden="1" xlm="1">#NAME?</definedName>
    <definedName name="_xlpm.bblnLog" hidden="1" xlm="1">#NAME?</definedName>
    <definedName name="_xlpm.bbracket2" hidden="1" xlm="1">#NAME?</definedName>
    <definedName name="_xlpm.bl" hidden="1" xlm="1">#NAME?</definedName>
    <definedName name="_xlpm.blblnLog" hidden="1" xlm="1">#NAME?</definedName>
    <definedName name="_xlpm.bln" hidden="1" xlm="1">#NAME?</definedName>
    <definedName name="_xlpm.blnblnLog" hidden="1" xlm="1">#NAME?</definedName>
    <definedName name="_xlpm.blnFblnLog" hidden="1" xlm="1">#NAME?</definedName>
    <definedName name="_xlpm.blnFE" hidden="1" xlm="1">#NAME?</definedName>
    <definedName name="_xlpm.blnFEblnLog" hidden="1" xlm="1">#NAME?</definedName>
    <definedName name="_xlpm.blnH" hidden="1" xlm="1">#NAME?</definedName>
    <definedName name="_xlpm.blnHe" hidden="1" xlm="1">#NAME?</definedName>
    <definedName name="_xlpm.blnHet" hidden="1" xlm="1">#NAME?</definedName>
    <definedName name="_xlpm.blnHetS" hidden="1" xlm="1">#NAME?</definedName>
    <definedName name="_xlpm.blnHetSt" hidden="1" xlm="1">#NAME?</definedName>
    <definedName name="_xlpm.blnHetSta" hidden="1" xlm="1">#NAME?</definedName>
    <definedName name="_xlpm.blnHetStat" hidden="1" xlm="1">#NAME?</definedName>
    <definedName name="_xlpm.blnHetStats" hidden="1" xlm="1">#NAME?</definedName>
    <definedName name="_xlpm.blnLog" hidden="1" xlm="1">#NAME?</definedName>
    <definedName name="_xlpm.blnr" hidden="1" xlm="1">#NAME?</definedName>
    <definedName name="_xlpm.blnrm" hidden="1" xlm="1">#NAME?</definedName>
    <definedName name="_xlpm.blnrrm" hidden="1" xlm="1">#NAME?</definedName>
    <definedName name="_xlpm.blrm" hidden="1" xlm="1">#NAME?</definedName>
    <definedName name="_xlpm.bodds" hidden="1" xlm="1">#NAME?</definedName>
    <definedName name="_xlpm.bprob" hidden="1" xlm="1">#NAME?</definedName>
    <definedName name="_xlpm.Bracket" hidden="1" xlm="1">#NAME?</definedName>
    <definedName name="_xlpm.bracket2" hidden="1" xlm="1">#NAME?</definedName>
    <definedName name="_xlpm.brm" hidden="1" xlm="1">#NAME?</definedName>
    <definedName name="_xlpm.c_0" hidden="1" xlm="1">#NAME?</definedName>
    <definedName name="_xlpm.c_1" hidden="1" xlm="1">#NAME?</definedName>
    <definedName name="_xlpm.c_2" hidden="1" xlm="1">#NAME?</definedName>
    <definedName name="_xlpm.ch" hidden="1" xlm="1">#NAME?</definedName>
    <definedName name="_xlpm.CIsep" hidden="1" xlm="1">#NAME?</definedName>
    <definedName name="_xlpm.CISeparater" hidden="1" xlm="1">#NAME?</definedName>
    <definedName name="_xlpm.CISeparator" hidden="1" xlm="1">#NAME?</definedName>
    <definedName name="_xlpm.CISeparatr" hidden="1" xlm="1">#NAME?</definedName>
    <definedName name="_xlpm.CIw" hidden="1" xlm="1">#NAME?</definedName>
    <definedName name="_xlpm.cl" hidden="1" xlm="1">#NAME?</definedName>
    <definedName name="_xlpm.comp" hidden="1" xlm="1">#NAME?</definedName>
    <definedName name="_xlpm.const" hidden="1" xlm="1">#NAME?</definedName>
    <definedName name="_xlpm.costHPE" hidden="1" xlm="1">#NAME?</definedName>
    <definedName name="_xlpm.costNoHPE" hidden="1" xlm="1">#NAME?</definedName>
    <definedName name="_xlpm.Csep" hidden="1" xlm="1">#NAME?</definedName>
    <definedName name="_xlpm.CSeparator" hidden="1" xlm="1">#NAME?</definedName>
    <definedName name="_xlpm.ctrl" hidden="1" xlm="1">#NAME?</definedName>
    <definedName name="_xlpm.cycDays" hidden="1" xlm="1">#NAME?</definedName>
    <definedName name="_xlpm.cycleLengthDays" hidden="1" xlm="1">#NAME?</definedName>
    <definedName name="_xlpm.deathHPE" hidden="1" xlm="1">#NAME?</definedName>
    <definedName name="_xlpm.deathNoHPE" hidden="1" xlm="1">#NAME?</definedName>
    <definedName name="_xlpm.deriv" hidden="1" xlm="1">#NAME?</definedName>
    <definedName name="_xlpm.EM" hidden="1" xlm="1">#NAME?</definedName>
    <definedName name="_xlpm.Emx" hidden="1" xlm="1">#NAME?</definedName>
    <definedName name="_xlpm.evHPE" hidden="1" xlm="1">#NAME?</definedName>
    <definedName name="_xlpm.evNoHPE" hidden="1" xlm="1">#NAME?</definedName>
    <definedName name="_xlpm.f" hidden="1" xlm="1">#NAME?</definedName>
    <definedName name="_xlpm.fl" hidden="1" xlm="1">#NAME?</definedName>
    <definedName name="_xlpm.flt" hidden="1" xlm="1">#NAME?</definedName>
    <definedName name="_xlpm.FRate" hidden="1" xlm="1">#NAME?</definedName>
    <definedName name="_xlpm.frm" hidden="1" xlm="1">#NAME?</definedName>
    <definedName name="_xlpm.hi" hidden="1" xlm="1">#NAME?</definedName>
    <definedName name="_xlpm.I_2" hidden="1" xlm="1">#NAME?</definedName>
    <definedName name="_xlpm.iC" hidden="1" xlm="1">#NAME?</definedName>
    <definedName name="_xlpm.iCcostHPE" hidden="1" xlm="1">#NAME?</definedName>
    <definedName name="_xlpm.icostHPE" hidden="1" xlm="1">#NAME?</definedName>
    <definedName name="_xlpm.iNMB" hidden="1" xlm="1">#NAME?</definedName>
    <definedName name="_xlpm.inprob" hidden="1" xlm="1">#NAME?</definedName>
    <definedName name="_xlpm.int" hidden="1" xlm="1">#NAME?</definedName>
    <definedName name="_xlpm.intprob" hidden="1" xlm="1">#NAME?</definedName>
    <definedName name="_xlpm.iprob" hidden="1" xlm="1">#NAME?</definedName>
    <definedName name="_xlpm.iQ" hidden="1" xlm="1">#NAME?</definedName>
    <definedName name="_xlpm.IV" hidden="1" xlm="1">#NAME?</definedName>
    <definedName name="_xlpm.ivlnodds1" hidden="1" xlm="1">#NAME?</definedName>
    <definedName name="_xlpm.ivlnodds2" hidden="1" xlm="1">#NAME?</definedName>
    <definedName name="_xlpm.k_I1" hidden="1" xlm="1">#NAME?</definedName>
    <definedName name="_xlpm.k_I2" hidden="1" xlm="1">#NAME?</definedName>
    <definedName name="_xlpm.k_P1" hidden="1" xlm="1">#NAME?</definedName>
    <definedName name="_xlpm.k_P2" hidden="1" xlm="1">#NAME?</definedName>
    <definedName name="_xlpm.l" hidden="1" xlm="1">#NAME?</definedName>
    <definedName name="_xlpm.laa" hidden="1" xlm="1">#NAME?</definedName>
    <definedName name="_xlpm.le" hidden="1" xlm="1">#NAME?</definedName>
    <definedName name="_xlpm.leEMx" hidden="1" xlm="1">#NAME?</definedName>
    <definedName name="_xlpm.lEMx" hidden="1" xlm="1">#NAME?</definedName>
    <definedName name="_xlpm.let" hidden="1" xlm="1">#NAME?</definedName>
    <definedName name="_xlpm.letEMx" hidden="1" xlm="1">#NAME?</definedName>
    <definedName name="_xlpm.lets" hidden="1" xlm="1">#NAME?</definedName>
    <definedName name="_xlpm.letts" hidden="1" xlm="1">#NAME?</definedName>
    <definedName name="_xlpm.ll" hidden="1" xlm="1">#NAME?</definedName>
    <definedName name="_xlpm.llaa" hidden="1" xlm="1">#NAME?</definedName>
    <definedName name="_xlpm.ln" hidden="1" xlm="1">#NAME?</definedName>
    <definedName name="_xlpm.lnOdds" hidden="1" xlm="1">#NAME?</definedName>
    <definedName name="_xlpm.lnodds1" hidden="1" xlm="1">#NAME?</definedName>
    <definedName name="_xlpm.lnodds2" hidden="1" xlm="1">#NAME?</definedName>
    <definedName name="_xlpm.lnoddsI1" hidden="1" xlm="1">#NAME?</definedName>
    <definedName name="_xlpm.lnoddsI2" hidden="1" xlm="1">#NAME?</definedName>
    <definedName name="_xlpm.lnoddsP1" hidden="1" xlm="1">#NAME?</definedName>
    <definedName name="_xlpm.lnoddsP2" hidden="1" xlm="1">#NAME?</definedName>
    <definedName name="_xlpm.lnR" hidden="1" xlm="1">#NAME?</definedName>
    <definedName name="_xlpm.lo" hidden="1" xlm="1">#NAME?</definedName>
    <definedName name="_xlpm.LoTextStr" hidden="1" xlm="1">#NAME?</definedName>
    <definedName name="_xlpm.Lower" hidden="1" xlm="1">#NAME?</definedName>
    <definedName name="_xlpm.LowerTextStr" hidden="1" xlm="1">#NAME?</definedName>
    <definedName name="_xlpm.LoweTextStr" hidden="1" xlm="1">#NAME?</definedName>
    <definedName name="_xlpm.LowTextStr" hidden="1" xlm="1">#NAME?</definedName>
    <definedName name="_xlpm.LTextStr" hidden="1" xlm="1">#NAME?</definedName>
    <definedName name="_xlpm.lts" hidden="1" xlm="1">#NAME?</definedName>
    <definedName name="_xlpm.m" hidden="1" xlm="1">#NAME?</definedName>
    <definedName name="_xlpm.mealo" hidden="1" xlm="1">#NAME?</definedName>
    <definedName name="_xlpm.Mean" hidden="1" xlm="1">#NAME?</definedName>
    <definedName name="_xlpm.meanlo" hidden="1" xlm="1">#NAME?</definedName>
    <definedName name="_xlpm.means" hidden="1" xlm="1">#NAME?</definedName>
    <definedName name="_xlpm.MeanTextStr" hidden="1" xlm="1">#NAME?</definedName>
    <definedName name="_xlpm.MeaTextStr" hidden="1" xlm="1">#NAME?</definedName>
    <definedName name="_xlpm.melo" hidden="1" xlm="1">#NAME?</definedName>
    <definedName name="_xlpm.MeTextStr" hidden="1" xlm="1">#NAME?</definedName>
    <definedName name="_xlpm.mlo" hidden="1" xlm="1">#NAME?</definedName>
    <definedName name="_xlpm.mortSCE62" hidden="1" xlm="1">#NAME?</definedName>
    <definedName name="_xlpm.mortUK55_64" hidden="1" xlm="1">#NAME?</definedName>
    <definedName name="_xlpm.mortUKH55_64" hidden="1" xlm="1">#NAME?</definedName>
    <definedName name="_xlpm.mortUKHF55_64" hidden="1" xlm="1">#NAME?</definedName>
    <definedName name="_xlpm.MRate" hidden="1" xlm="1">#NAME?</definedName>
    <definedName name="_xlpm.MTextStr" hidden="1" xlm="1">#NAME?</definedName>
    <definedName name="_xlpm.Multiplier" hidden="1" xlm="1">#NAME?</definedName>
    <definedName name="_xlpm.n" hidden="1" xlm="1">#NAME?</definedName>
    <definedName name="_xlpm.nEMx" hidden="1" xlm="1">#NAME?</definedName>
    <definedName name="_xlpm.NMB_0" hidden="1" xlm="1">#NAME?</definedName>
    <definedName name="_xlpm.NMB_1" hidden="1" xlm="1">#NAME?</definedName>
    <definedName name="_xlpm.o" hidden="1" xlm="1">#NAME?</definedName>
    <definedName name="_xlpm.od" hidden="1" xlm="1">#NAME?</definedName>
    <definedName name="_xlpm.odd" hidden="1" xlm="1">#NAME?</definedName>
    <definedName name="_xlpm.Odds" hidden="1" xlm="1">#NAME?</definedName>
    <definedName name="_xlpm.p" hidden="1" xlm="1">#NAME?</definedName>
    <definedName name="_xlpm.p_1" hidden="1" xlm="1">#NAME?</definedName>
    <definedName name="_xlpm.p_2" hidden="1" xlm="1">#NAME?</definedName>
    <definedName name="_xlpm.pOdds" hidden="1" xlm="1">#NAME?</definedName>
    <definedName name="_xlpm.pooled" hidden="1" xlm="1">#NAME?</definedName>
    <definedName name="_xlpm.poolF" hidden="1" xlm="1">#NAME?</definedName>
    <definedName name="_xlpm.poolFE" hidden="1" xlm="1">#NAME?</definedName>
    <definedName name="_xlpm.poolRE" hidden="1" xlm="1">#NAME?</definedName>
    <definedName name="_xlpm.poolSE" hidden="1" xlm="1">#NAME?</definedName>
    <definedName name="_xlpm.poolSEFE" hidden="1" xlm="1">#NAME?</definedName>
    <definedName name="_xlpm.poolSERE" hidden="1" xlm="1">#NAME?</definedName>
    <definedName name="_xlpm.pp" hidden="1" xlm="1">#NAME?</definedName>
    <definedName name="_xlpm.pref" hidden="1" xlm="1">#NAME?</definedName>
    <definedName name="_xlpm.Prefix" hidden="1" xlm="1">#NAME?</definedName>
    <definedName name="_xlpm.prev" hidden="1" xlm="1">#NAME?</definedName>
    <definedName name="_xlpm.prob" hidden="1" xlm="1">#NAME?</definedName>
    <definedName name="_xlpm.probOdds" hidden="1" xlm="1">#NAME?</definedName>
    <definedName name="_xlpm.prOdds" hidden="1" xlm="1">#NAME?</definedName>
    <definedName name="_xlpm.proOdds" hidden="1" xlm="1">#NAME?</definedName>
    <definedName name="_xlpm.q" hidden="1" xlm="1">#NAME?</definedName>
    <definedName name="_xlpm.q_" hidden="1" xlm="1">#NAME?</definedName>
    <definedName name="_xlpm.q_0" hidden="1" xlm="1">#NAME?</definedName>
    <definedName name="_xlpm.q_1" hidden="1" xlm="1">#NAME?</definedName>
    <definedName name="_xlpm.q_2" hidden="1" xlm="1">#NAME?</definedName>
    <definedName name="_xlpm.qaHPE" hidden="1" xlm="1">#NAME?</definedName>
    <definedName name="_xlpm.qalHPE" hidden="1" xlm="1">#NAME?</definedName>
    <definedName name="_xlpm.qalNoHPE" hidden="1" xlm="1">#NAME?</definedName>
    <definedName name="_xlpm.qalyHPE" hidden="1" xlm="1">#NAME?</definedName>
    <definedName name="_xlpm.qalyNoHPE" hidden="1" xlm="1">#NAME?</definedName>
    <definedName name="_xlpm.qaNoHPE" hidden="1" xlm="1">#NAME?</definedName>
    <definedName name="_xlpm.Qcal" hidden="1" xlm="1">#NAME?</definedName>
    <definedName name="_xlpm.qHPE" hidden="1" xlm="1">#NAME?</definedName>
    <definedName name="_xlpm.qNoHPE" hidden="1" xlm="1">#NAME?</definedName>
    <definedName name="_xlpm.Qpooled" hidden="1" xlm="1">#NAME?</definedName>
    <definedName name="_xlpm.QQ" hidden="1" xlm="1">#NAME?</definedName>
    <definedName name="_xlpm.QQpooled" hidden="1" xlm="1">#NAME?</definedName>
    <definedName name="_xlpm.r" hidden="1" xlm="1">#NAME?</definedName>
    <definedName name="_xlpm.r_I1" hidden="1" xlm="1">#NAME?</definedName>
    <definedName name="_xlpm.r_I2" hidden="1" xlm="1">#NAME?</definedName>
    <definedName name="_xlpm.r_P1" hidden="1" xlm="1">#NAME?</definedName>
    <definedName name="_xlpm.r_P2" hidden="1" xlm="1">#NAME?</definedName>
    <definedName name="_xlpm.res" hidden="1" xlm="1">#NAME?</definedName>
    <definedName name="_xlpm.rm" hidden="1" xlm="1">#NAME?</definedName>
    <definedName name="_xlpm.RoundMult" hidden="1" xlm="1">#NAME?</definedName>
    <definedName name="_xlpm.S" hidden="1" xlm="1">#NAME?</definedName>
    <definedName name="_xlpm.sCIsep" hidden="1" xlm="1">#NAME?</definedName>
    <definedName name="_xlpm.SE" hidden="1" xlm="1">#NAME?</definedName>
    <definedName name="_xlpm.season" hidden="1" xlm="1">#NAME?</definedName>
    <definedName name="_xlpm.seCIsep" hidden="1" xlm="1">#NAME?</definedName>
    <definedName name="_xlpm.sep" hidden="1" xlm="1">#NAME?</definedName>
    <definedName name="_xlpm.Sepa" hidden="1" xlm="1">#NAME?</definedName>
    <definedName name="_xlpm.Separ" hidden="1" xlm="1">#NAME?</definedName>
    <definedName name="_xlpm.Separa" hidden="1" xlm="1">#NAME?</definedName>
    <definedName name="_xlpm.Separat" hidden="1" xlm="1">#NAME?</definedName>
    <definedName name="_xlpm.Separato" hidden="1" xlm="1">#NAME?</definedName>
    <definedName name="_xlpm.Separator" hidden="1" xlm="1">#NAME?</definedName>
    <definedName name="_xlpm.sepCIsep" hidden="1" xlm="1">#NAME?</definedName>
    <definedName name="_xlpm.t" hidden="1" xlm="1">#NAME?</definedName>
    <definedName name="_xlpm.t_2" hidden="1" xlm="1">#NAME?</definedName>
    <definedName name="_xlpm.Te" hidden="1" xlm="1">#NAME?</definedName>
    <definedName name="_xlpm.Tex" hidden="1" xlm="1">#NAME?</definedName>
    <definedName name="_xlpm.Text" hidden="1" xlm="1">#NAME?</definedName>
    <definedName name="_xlpm.TextS" hidden="1" xlm="1">#NAME?</definedName>
    <definedName name="_xlpm.TextSt" hidden="1" xlm="1">#NAME?</definedName>
    <definedName name="_xlpm.TextStr" hidden="1" xlm="1">#NAME?</definedName>
    <definedName name="_xlpm.ts" hidden="1" xlm="1">#NAME?</definedName>
    <definedName name="_xlpm.Upper" hidden="1" xlm="1">#NAME?</definedName>
    <definedName name="_xlpm.UpperTextStr" hidden="1" xlm="1">#NAME?</definedName>
    <definedName name="_xlpm.UppeTextStr" hidden="1" xlm="1">#NAME?</definedName>
    <definedName name="_xlpm.UppTextStr" hidden="1" xlm="1">#NAME?</definedName>
    <definedName name="_xlpm.UpTextStr" hidden="1" xlm="1">#NAME?</definedName>
    <definedName name="_xlpm.UTextStr" hidden="1" xlm="1">#NAME?</definedName>
    <definedName name="_xlpm.val" hidden="1" xlm="1">#NAME?</definedName>
    <definedName name="_xlpm.var" hidden="1" xlm="1">#NAME?</definedName>
    <definedName name="_xlpm.w" hidden="1" xlm="1">#NAME?</definedName>
    <definedName name="_xlpm.wghtSMR" hidden="1" xlm="1">#NAME?</definedName>
    <definedName name="_xlpm.wpooled" hidden="1" xlm="1">#NAME?</definedName>
    <definedName name="_xlpm.wRE" hidden="1" xlm="1">#NAME?</definedName>
    <definedName name="_xlpm.x" hidden="1" xlm="1">#NAME?</definedName>
    <definedName name="_xlpm.xx" hidden="1" xlm="1">#NAME?</definedName>
    <definedName name="_xlpm.yrFrom" hidden="1" xlm="1">#NAME?</definedName>
    <definedName name="_xlpm.yrTo" hidden="1" xlm="1">#NAME?</definedName>
    <definedName name="_xlpm.yy" hidden="1" xlm="1">#NAME?</definedName>
    <definedName name="_xlpm.z" hidden="1" xlm="1">#NAME?</definedName>
    <definedName name="_xlpm.zz" hidden="1" xlm="1">#NAME?</definedName>
    <definedName name="A.cohortAge">Parameters!$M$170</definedName>
    <definedName name="A.rngRawResults.Costs.Total">'Results.Determ'!$Y$9:$Y$10</definedName>
    <definedName name="A.rngRawResults.QALYs.Total">'Results.Determ'!$Z$9:$Z$10</definedName>
    <definedName name="AB.bigNum">9.99999999999999E+307</definedName>
    <definedName name="AB.CEAC.Options.Max">50000</definedName>
    <definedName name="AB.cPPI.perCycle">Parameters!$M$222</definedName>
    <definedName name="AB.cycleLength">1/AB.cyclesPerYear</definedName>
    <definedName name="AB.cyclesPerYear">Parameters!$M$172</definedName>
    <definedName name="AB.maxDurHPE">Parameters!$M$173</definedName>
    <definedName name="AB.numParams">AB.intLastParamRow-ROW(Parameters!#REF!)+1</definedName>
    <definedName name="AB.numSimCohorts">2</definedName>
    <definedName name="AB.numStates">MasterLists!$M$5</definedName>
    <definedName name="AB.numStrats.Possible">2</definedName>
    <definedName name="AB.rngActiveParameterValues">OFFSET(Parameters!$M$168, 0, 0, AB.numParams)</definedName>
    <definedName name="AB.rngC.ByState">Parameters!$M$224:$M$233</definedName>
    <definedName name="AB.rngOneWaySA_names">OFFSET(Parameters!#REF!, 0, 0, AB.numParams)</definedName>
    <definedName name="AB.rngOneWaySA_vals">OFFSET(Parameters!#REF!, 0, 0, AB.numParams)</definedName>
    <definedName name="AB.rngParameterFormats">OFFSET(Parameters!#REF!, 0, 0, AB.numParams)</definedName>
    <definedName name="AB.rngPDeath.GenPop">Parameters!$M$200:$M$204</definedName>
    <definedName name="AB.rngPDeath.SeriousGI">Parameters!$M$215:$M$219</definedName>
    <definedName name="AB.rngPDeath.Ulcer">Parameters!$M$207:$M$211</definedName>
    <definedName name="AB.rngStates">OFFSET(MasterLists!$M$7, 0, 0, AB.numStates)</definedName>
    <definedName name="AB.rngThresholds">OFFSET(Parameters!#REF!, 0, 0, AB.numParams)</definedName>
    <definedName name="AB.rngTP.GIpain">Parameters!$M$183:$M$184</definedName>
    <definedName name="AB.rngTP.SeriousGI">Parameters!$M$193:$M$194</definedName>
    <definedName name="AB.rngTP.Ulcer">Parameters!$M$188:$M$189</definedName>
    <definedName name="AB.rngTPMroot">AB.TPMs!$K$7:$T$16</definedName>
    <definedName name="AB.rngU.Disutil_byState">Parameters!$M$236:$M$245</definedName>
    <definedName name="AB.TP.unresolved">Parameters!$M$197</definedName>
    <definedName name="AB.Trace.CostsQA.NumCols">A.Costs!$D$2</definedName>
    <definedName name="AB.Trace.CostsQA.Root">A.Costs!$G$11</definedName>
    <definedName name="AB.Trace.CostsQB.NumCols">B.Costs!$D$2</definedName>
    <definedName name="AB.Trace.CostsQB.Root">B.Costs!$G$11</definedName>
    <definedName name="AB.Trace.Markov.DeathProb.Root">A.Markov!$Q$4</definedName>
    <definedName name="AB.Trace.MarkovQA.NumCols">A.Markov!$D$2</definedName>
    <definedName name="AB.Trace.MarkovQA.Root">A.Markov!$H$10</definedName>
    <definedName name="AB.Trace.MarkovQA.TotalCosts.Root">A.Costs!$Q$4</definedName>
    <definedName name="AB.Trace.MarkovQA.TotalDCosts.Root">A.Costs!$Q$5</definedName>
    <definedName name="AB.Trace.MarkovQA.TotalDQALYs.Root">A.QALYs!$Q$5</definedName>
    <definedName name="AB.Trace.MarkovQA.TotalLYs.Root">A.Markov!$R$4</definedName>
    <definedName name="AB.Trace.MarkovQA.TotalQALYs.Root">A.QALYs!$Q$4</definedName>
    <definedName name="AB.Trace.MarkovQB.NumCols">B.Markov!$D$2</definedName>
    <definedName name="AB.Trace.MarkovQB.Root">B.Markov!$H$10</definedName>
    <definedName name="AB.Trace.MarkovQB.TotalCosts.Root">B.Costs!$Q$4</definedName>
    <definedName name="AB.Trace.MarkovQB.TotalDCosts.Root">B.Costs!$Q$5</definedName>
    <definedName name="AB.Trace.MarkovQB.TotalDQALYs.Root">B.QALYs!$Q$5</definedName>
    <definedName name="AB.Trace.MarkovQB.TotalLYs.Root">B.Markov!$R$4</definedName>
    <definedName name="AB.Trace.MarkovQB.TotalQALYs.Root">B.QALYs!$Q$4</definedName>
    <definedName name="AB.Trace.QALYsQA.NumCols">A.QALYs!$D$2</definedName>
    <definedName name="AB.Trace.QALYsQA.Root">A.QALYs!$G$11</definedName>
    <definedName name="AB.Trace.QALYsQB.NumCols">B.QALYs!$D$2</definedName>
    <definedName name="AB.Trace.QALYsQB.Root">B.QALYs!$G$11</definedName>
    <definedName name="AB.zWorkbookTitle">zWorkbookTitle &amp; " -- " &amp; INDEX(lstQs, 1) &amp; " &amp; " &amp; INDEX(lstQs, 2)</definedName>
    <definedName name="B.cohortAge">Parameters!$M$171</definedName>
    <definedName name="B.rngRawResults.Costs.Total">'Results.Determ'!$Y$12:$Y$13</definedName>
    <definedName name="B.rngRawResults.QALYs.Total">'Results.Determ'!$Z$12:$Z$13</definedName>
    <definedName name="B.Trace.Markov.DeathProb.Root">B.Markov!$Q$4</definedName>
    <definedName name="bigNum">9.99999999999999E+307</definedName>
    <definedName name="C.bigNum">9.99999999999999E+307</definedName>
    <definedName name="C.CEAC.Options.Max">50000</definedName>
    <definedName name="C.cMeds.Paracetamol">Parameters!$M$372</definedName>
    <definedName name="C.cNonNSAID.perCycle">Parameters!$M$409</definedName>
    <definedName name="C.cNSAID.perCycle">Parameters!$M$408</definedName>
    <definedName name="C.cohortAge">Parameters!$M$249</definedName>
    <definedName name="C.cohortSex">Parameters!$M$250</definedName>
    <definedName name="C.cPPI">Parameters!$M$374</definedName>
    <definedName name="C.cycleLength">1/C.cyclesPerYear</definedName>
    <definedName name="C.cyclesPerYear">Parameters!$M$251</definedName>
    <definedName name="C.maxDurHPE">Parameters!$M$252</definedName>
    <definedName name="c.NSAID.Pack_Cel">Parameters!$M$44</definedName>
    <definedName name="c.NSAID.Pack_Dic">Parameters!$M$48</definedName>
    <definedName name="c.NSAID.Pack_Ibu">Parameters!$M$52</definedName>
    <definedName name="c.NSAID.Pack_Nap">Parameters!$M$56</definedName>
    <definedName name="c.NSAID.PackPerYr_Cel">Parameters!$M$45</definedName>
    <definedName name="c.NSAID.PackPerYr_Dic">Parameters!$M$49</definedName>
    <definedName name="c.NSAID.PackPerYr_Ibu">Parameters!$M$53</definedName>
    <definedName name="c.NSAID.PackPerYr_Nap">Parameters!$M$57</definedName>
    <definedName name="c.NSAID.PerMo_Cel">Parameters!$M$46</definedName>
    <definedName name="c.NSAID.PerMo_Dic">Parameters!$M$50</definedName>
    <definedName name="c.NSAID.PerMo_Ibu">Parameters!$M$54</definedName>
    <definedName name="c.NSAID.PerMo_Nap">Parameters!$M$58</definedName>
    <definedName name="C.numCohorts">7</definedName>
    <definedName name="C.numOSAparams.LastRun">174</definedName>
    <definedName name="C.numParams">D.intLastParamRow-ROW(Parameters!#REF!)+1</definedName>
    <definedName name="C.numSimCohorts">4</definedName>
    <definedName name="C.numSims">1000</definedName>
    <definedName name="C.numStates">MasterLists!$O$5</definedName>
    <definedName name="C.numStrats.Possible">2</definedName>
    <definedName name="c.Paracet.Pack">Parameters!$M$66</definedName>
    <definedName name="c.Paracet.PackPerYr">Parameters!$M$67</definedName>
    <definedName name="c.Paracet.PerMo">Parameters!$M$68</definedName>
    <definedName name="C.rngActiveParameterValues">OFFSET(Parameters!$M$247, 0, 0, C.numParams)</definedName>
    <definedName name="C.rngC.ByState">Parameters!$M$411:$M$423</definedName>
    <definedName name="C.rngOneWaySA_names">OFFSET(Parameters!#REF!, 0, 0, C.numParams)</definedName>
    <definedName name="C.rngOneWaySA_vals">OFFSET(Parameters!#REF!, 0, 0, C.numParams)</definedName>
    <definedName name="C.rngParameterFormats">OFFSET(Parameters!#REF!, 0, 0, C.numParams)</definedName>
    <definedName name="C.rngParamOutput">OFFSET(Parameters!#REF!, 0, 0, C.numParams)</definedName>
    <definedName name="C.rngPDeath.NoEvent">Parameters!$M$325:$M$329</definedName>
    <definedName name="C.rngPDeath.PostStroke">Parameters!$M$359:$M$363</definedName>
    <definedName name="C.rngPDeath.SeriousGI">Parameters!$M$333:$M$337</definedName>
    <definedName name="C.rngPDeath.Stroke">Parameters!$M$351:$M$355</definedName>
    <definedName name="C.rngPDeath.Ulcer">Parameters!$M$340:$M$344</definedName>
    <definedName name="C.rngStates">OFFSET(MasterLists!$O$7, 0, 0, C.numStates)</definedName>
    <definedName name="C.rngThresholds">OFFSET(Parameters!#REF!, 0, 0, C.numParams)</definedName>
    <definedName name="C.rngTP.GIpain">Parameters!$M$263:$M$264</definedName>
    <definedName name="C.rngTP.SeriousGI">Parameters!$M$274:$M$275</definedName>
    <definedName name="C.rngTP.Stroke_HPE">Parameters!$M$287:$M$289</definedName>
    <definedName name="C.rngTP.Stroke_noHPE">Parameters!$M$284:$M$286</definedName>
    <definedName name="C.rngTP.Stroke_recur">Parameters!$M$305:$M$307</definedName>
    <definedName name="C.rngTP.Stroke_repeat">Parameters!$M$294:$M$296</definedName>
    <definedName name="C.rngTP.Ulcer">Parameters!$M$269:$M$270</definedName>
    <definedName name="C.rngTPMroot">'C.TPMs'!$K$7:$W$19</definedName>
    <definedName name="C.rngTwoWays">OFFSET(Parameters!#REF!, 0, 0, C.numParams)</definedName>
    <definedName name="C.rngU.ByState">Parameters!$M$438:$M$450</definedName>
    <definedName name="C.swtchOSAcomparator1">MATCH(D.drpOSAcomparator1, D.rngStrats, 0)</definedName>
    <definedName name="C.swtchOSAcomparator2">MATCH(D.drpOSAcomparator2, D.rngStrats, 0)</definedName>
    <definedName name="C.swtchOSAmetric">MATCH(D.drpOSAmetric, D.rngOneWaySA_metrics, 0)</definedName>
    <definedName name="C.swtchPop">MATCH(drpPop, rngPops, 0)</definedName>
    <definedName name="C.swtchPSApair1">MATCH(D.drpPSApair1, D.rngStrats, 0)</definedName>
    <definedName name="C.swtchPSApair2">MATCH(D.drpPSApair2, D.rngStrats, 0)</definedName>
    <definedName name="C.swtchResultsCU">IF(D.drpResultsCU="deterministic", 1, 2)</definedName>
    <definedName name="C.swtchThreshold.Comparator1">MATCH(D.drpThreshold.Comparator1, D.rngStrats, 0)</definedName>
    <definedName name="C.swtchThreshold.Comparator2">MATCH(D.drpThreshold.Comparator2, D.rngStrats, 0)</definedName>
    <definedName name="C.swtchThreshold.GraphType">MATCH(D.drpThreshold.GraphType, D.rngThreshold.GraphTypes)</definedName>
    <definedName name="C.swtchTwoWay.Pair_Multi">IF(D.drpTwoWay.Pair_Multi="multiway", 2, 1)</definedName>
    <definedName name="C.Trace.Costs.NumCols">'C.Costs'!$D$2</definedName>
    <definedName name="C.Trace.Costs.Root">'C.Costs'!$G$11</definedName>
    <definedName name="C.Trace.Markov.DeathProb.Root">'C.Markov'!$T$4</definedName>
    <definedName name="C.Trace.Markov.NumCols">'C.Markov'!$D$2</definedName>
    <definedName name="C.Trace.Markov.Root">'C.Markov'!$H$10</definedName>
    <definedName name="C.Trace.Markov.TotalCosts.Root">'C.Costs'!$T$4</definedName>
    <definedName name="C.Trace.Markov.TotalDCosts.Root">'C.Costs'!$T$5</definedName>
    <definedName name="C.Trace.Markov.TotalDQALYs.Root">'C.QALYs'!$T$5</definedName>
    <definedName name="C.Trace.Markov.TotalLYs.Root">'C.Markov'!$U$4</definedName>
    <definedName name="C.Trace.MarkovQA.TotalQALYs.Root">'C.QALYs'!$T$4</definedName>
    <definedName name="C.Trace.QALYs.NumCols">'C.QALYs'!$D$2</definedName>
    <definedName name="C.Trace.QALYs.Root">'C.QALYs'!$G$11</definedName>
    <definedName name="C.zWorkbookTitle">zWorkbookTitle &amp; " -- " &amp; INDEX(lstQs, 3)</definedName>
    <definedName name="cAmb">Parameters!$M$41</definedName>
    <definedName name="CEAC.Options.Max">500</definedName>
    <definedName name="CEACmax">IF(PSA.Outputs!$G$3, 500, 50000)</definedName>
    <definedName name="cEndo">Parameters!$M$136</definedName>
    <definedName name="cEvent.GIpain_noPPI">Parameters!$M$152</definedName>
    <definedName name="cEvent.Ulcer_noPPI">Parameters!$M$153</definedName>
    <definedName name="cGI.OP">Parameters!$M$135</definedName>
    <definedName name="cGIbleed">Parameters!$M$140</definedName>
    <definedName name="cGP">Parameters!$M$39</definedName>
    <definedName name="cHPylori">Parameters!$M$137</definedName>
    <definedName name="Cost.SEs.CoV">Parameters!$M$14</definedName>
    <definedName name="cPPI.Lanso">Parameters!$M$128</definedName>
    <definedName name="cPPI.Omep">Parameters!$M$127</definedName>
    <definedName name="D.bigNum">9.99999999999999E+307</definedName>
    <definedName name="D.cDeath">Parameters!$M$690</definedName>
    <definedName name="D.CEAC.Options.Max">50000</definedName>
    <definedName name="D.cMeds.Asthma.noHPE">Parameters!$M$624</definedName>
    <definedName name="D.cMeds.Furosemide">Parameters!$M$630</definedName>
    <definedName name="D.cMeds.NSAIDs">Parameters!$M$624</definedName>
    <definedName name="D.cMeds.Paracetamol">Parameters!$M$626</definedName>
    <definedName name="D.cohortAge">Parameters!$M$455</definedName>
    <definedName name="D.cohortSex">Parameters!$M$456</definedName>
    <definedName name="D.cPrimCareEvent">Parameters!$M$636</definedName>
    <definedName name="D.cSecondCareEvent">Parameters!$M$683</definedName>
    <definedName name="D.cycleLength">1/D.cyclesPerYear</definedName>
    <definedName name="D.cyclesPerYear">Parameters!$M$457</definedName>
    <definedName name="D.maxDurHPE">Parameters!$M$458</definedName>
    <definedName name="D.numCohorts">7</definedName>
    <definedName name="D.numParams">I.intLastParamRow-ROW(Parameters!#REF!)+1</definedName>
    <definedName name="D.numSimCohorts">4</definedName>
    <definedName name="D.numSims">1000</definedName>
    <definedName name="D.numStates">MasterLists!$R$5</definedName>
    <definedName name="D.numStrats.Possible">2</definedName>
    <definedName name="D.QD.cycleLength">1/D.QD.cyclesPerYear</definedName>
    <definedName name="D.QD.cyclesPerYear">Parameters!$M$457</definedName>
    <definedName name="D.rngActiveParameterValues">OFFSET(Parameters!$M$452, 0, 0, D.numParams)</definedName>
    <definedName name="D.rngC.ByState">Parameters!$M$692:$M$700</definedName>
    <definedName name="D.rngOneWaySA_names">OFFSET(Parameters!#REF!, 0, 0, D.numParams)</definedName>
    <definedName name="D.rngOneWaySA_vals">OFFSET(Parameters!#REF!, 0, 0, D.numParams)</definedName>
    <definedName name="D.rngParameterFormats">OFFSET(Parameters!#REF!, 0, 0, D.numParams)</definedName>
    <definedName name="D.rngStates">OFFSET(MasterLists!$R$7, 0, 0, D.numStates)</definedName>
    <definedName name="D.rngThresholds">OFFSET(Parameters!#REF!, 0, 0, D.numParams)</definedName>
    <definedName name="D.rngTPM.Q_I.Root">D.TPMs!$K$7:$S$15</definedName>
    <definedName name="D.rngU.ByState">Parameters!$M$727:$M$735</definedName>
    <definedName name="D.swtchConsecExac">Parameters!$M$461</definedName>
    <definedName name="D.swtchCorrectHPEafterExac">Parameters!$M$462</definedName>
    <definedName name="D.swtchDeathCosts">Parameters!$M$465</definedName>
    <definedName name="D.swtchExcessDeaths">Parameters!$M$460</definedName>
    <definedName name="D.swtchOSAcomparator1">MATCH(I.drpOSAcomparator1, I.rngStrats, 0)</definedName>
    <definedName name="D.swtchOSAcomparator2">MATCH(I.drpOSAcomparator2, I.rngStrats, 0)</definedName>
    <definedName name="D.swtchOSAmetric">MATCH(I.drpOSAmetric, I.rngOneWaySA_metrics, 0)</definedName>
    <definedName name="D.swtchPop">MATCH(drpPop, rngPops, 0)</definedName>
    <definedName name="D.swtchPSApair1">MATCH(I.drpPSApair1, I.rngStrats, 0)</definedName>
    <definedName name="D.swtchPSApair2">MATCH(I.drpPSApair2, I.rngStrats, 0)</definedName>
    <definedName name="D.swtchResultsCU">IF(I.drpResultsCU="deterministic", 1, 2)</definedName>
    <definedName name="D.swtchSCE.DeathSource">Parameters!$M$463</definedName>
    <definedName name="D.swtchSCE.RefCosts">Parameters!$M$464</definedName>
    <definedName name="D.swtchThreshold.Comparator1">MATCH(I.drpThreshold.Comparator1, I.rngStrats, 0)</definedName>
    <definedName name="D.swtchThreshold.Comparator2">MATCH(I.drpThreshold.Comparator2, I.rngStrats, 0)</definedName>
    <definedName name="D.swtchThreshold.GraphType">MATCH(I.drpThreshold.GraphType, I.rngThreshold.GraphTypes)</definedName>
    <definedName name="D.swtchTwoWay.Pair_Multi">IF(drpTwoWay.Pair_Multi="multiway", 2, 1)</definedName>
    <definedName name="D.swtchUSource">Parameters!$M$466</definedName>
    <definedName name="D.Trace.Costs.NumCols">D.Costs!$D$2</definedName>
    <definedName name="D.Trace.Costs.Root">D.Costs!$G$11</definedName>
    <definedName name="D.Trace.Markov.DeathProb.Root">D.Markov!$Q$4</definedName>
    <definedName name="D.Trace.Markov.NumCols">D.Markov!$D$2</definedName>
    <definedName name="D.Trace.Markov.Root">D.Markov!$I$10</definedName>
    <definedName name="D.Trace.Markov.TotalCosts.Root">D.Costs!$P$5</definedName>
    <definedName name="D.Trace.Markov.TotalDCosts.Root">D.Costs!$P$6</definedName>
    <definedName name="D.Trace.Markov.TotalDQALYs.Root">D.QALYs!$P$6</definedName>
    <definedName name="D.Trace.Markov.TotalLYs.Root">D.Markov!$S$4</definedName>
    <definedName name="D.Trace.Markov.TotalQALYs.Root">D.QALYs!$P$5</definedName>
    <definedName name="D.Trace.QALYs.NumCols">D.QALYs!$D$2</definedName>
    <definedName name="D.Trace.QALYs.Root">D.QALYs!$G$11</definedName>
    <definedName name="D.zWorkbookTitle">zWorkbookTitle &amp; " -- " &amp; INDEX(lstQs, 4)</definedName>
    <definedName name="DCosts">Parameters!$M$8</definedName>
    <definedName name="DQALYs">Parameters!$M$7</definedName>
    <definedName name="drpPSA.Q">PSA.Outputs!$F$5</definedName>
    <definedName name="drpPSApair1">PSA.Outputs!$F$8</definedName>
    <definedName name="drpPSApair2">PSA.Outputs!$H$8</definedName>
    <definedName name="drpResults.Baseline">'Results.Determ'!$R$5</definedName>
    <definedName name="drpResults.PSA.Baseline">'Results.Prob'!$Y$5</definedName>
    <definedName name="E.bigNum">9.99999999999999E+307</definedName>
    <definedName name="E.CEAC.Options.Max">50000</definedName>
    <definedName name="E.CEACgrain">5</definedName>
    <definedName name="E.CEACmax">50000</definedName>
    <definedName name="E.cMeds.NSAIDs">Parameters!$M$952</definedName>
    <definedName name="E.cMeds.Paracetamol">Parameters!$M$954</definedName>
    <definedName name="E.cohortAge">Parameters!$M$740</definedName>
    <definedName name="E.cohortSex">Parameters!$M$741</definedName>
    <definedName name="E.cycleLength">1/E.cyclesPerYear</definedName>
    <definedName name="E.cycleLength.QA_B">1/cyclesPerYear.QA_B</definedName>
    <definedName name="E.cyclesPerYear">Parameters!$M$742</definedName>
    <definedName name="E.maxDurHPE">Parameters!$M$743</definedName>
    <definedName name="E.numCohorts">7</definedName>
    <definedName name="E.numParams">E.intLastParamRow-ROW(Parameters!#REF!)+1</definedName>
    <definedName name="E.numSimCohorts">2</definedName>
    <definedName name="E.numSims">1000</definedName>
    <definedName name="E.numStrats.Possible">2</definedName>
    <definedName name="E.numStrats.wResults">'Results.Determ'!$D$2</definedName>
    <definedName name="E.pAKI.Primary">Parameters!$M$803</definedName>
    <definedName name="E.pAKI.SecondaryNoRRT">Parameters!$M$788</definedName>
    <definedName name="E.pAKI.SecondaryReqsRRT">Parameters!$M$800</definedName>
    <definedName name="E.pAKI.SecondaryRRT">Parameters!$M$799</definedName>
    <definedName name="E.pCKD5.from3B_4">Parameters!$M$755</definedName>
    <definedName name="E.pCKD5.postPrimaryAKI">Parameters!$M$881</definedName>
    <definedName name="E.pCKD5.postSecondaryAKI">Parameters!$M$880</definedName>
    <definedName name="E.pCKD5.postSecondaryAKInoRRT">Parameters!$M$878</definedName>
    <definedName name="E.pCKD5D.from3B_4">Parameters!$M$763</definedName>
    <definedName name="E.pCKD5D.from5">Parameters!$M$764</definedName>
    <definedName name="E.pCKD5D.postSecondaryAKI">Parameters!$M$879</definedName>
    <definedName name="E.pDeath.SecondaryAKInoRRT">Parameters!$M$855</definedName>
    <definedName name="E.pDeath.SecondaryAKIwRRT">Parameters!$M$856</definedName>
    <definedName name="E.pTx.from3B_4">Parameters!$M$771</definedName>
    <definedName name="E.pTx.from5">Parameters!$M$772</definedName>
    <definedName name="E.pTx.from5D">Parameters!$M$773</definedName>
    <definedName name="E.pTxGraftFailure">Parameters!$M$776</definedName>
    <definedName name="E.rngActiveParameterValues">OFFSET(Parameters!#REF!, 0, 0, E.numParams)</definedName>
    <definedName name="E.rngC.byState">Parameters!$M$1035:$M$1046</definedName>
    <definedName name="E.rngOneWaySA_names">OFFSET(Parameters!#REF!, 0, 0, E.numParams)</definedName>
    <definedName name="E.rngOneWaySA_vals">OFFSET(Parameters!#REF!, 0, 0, E.numParams)</definedName>
    <definedName name="E.rngP.AKI.Primary_noNSAIDs">Parameters!$M$817:$M$820</definedName>
    <definedName name="E.rngP.AKI.Primary_wNSAIDs">Parameters!$M$833:$M$836</definedName>
    <definedName name="E.rngP.AKI.Secondary.noRRT_noNSAIDs">Parameters!$M$822:$M$825</definedName>
    <definedName name="E.rngP.AKI.Secondary.noRRT_wNSAIDs">Parameters!$M$838:$M$841</definedName>
    <definedName name="E.rngP.AKI.Secondary.wRRT_noNSAIDs">Parameters!$M$827:$M$830</definedName>
    <definedName name="E.rngP.AKI.Secondary.wRRT_wNSAIDs">Parameters!$M$843:$M$846</definedName>
    <definedName name="E.rngP.AKI_PC.death">Parameters!$M$864:$M$867</definedName>
    <definedName name="E.rngP.AKI_SCnoRRT.death">Parameters!$M$869:$M$872</definedName>
    <definedName name="E.rngP.AKI_SCwRRT.death">Parameters!$M$874:$M$877</definedName>
    <definedName name="E.rngParameterFormats">OFFSET(Parameters!#REF!, 0, 0, E.numParams)</definedName>
    <definedName name="E.rngParamOutput">OFFSET(Parameters!#REF!, 0, 0, K.numParams)</definedName>
    <definedName name="E.rngStates">OFFSET(MasterLists!#REF!, 0, 0, E.numStates)</definedName>
    <definedName name="E.rngThresholds">OFFSET(Parameters!#REF!, 0, 0, E.numParams)</definedName>
    <definedName name="E.rngTPM_Root">E.TPMs!$L$8:$W$19</definedName>
    <definedName name="E.rngTwoWay.BatchHeader">OFFSET(#REF!, 0, 0, 1, 27)</definedName>
    <definedName name="E.rngTwoWays">OFFSET(Parameters!#REF!, 0, 0, K.numParams)</definedName>
    <definedName name="E.rngTwoWaySA.Chrt.CopyZone">OFFSET(#REF!, 0, 0, INDEX(E.rngTwoWaySA.NumBins,1)+9+CHOOSE(E.swtchTwoWay.Pair_Multi, 3, K.numStrats), INDEX(E.rngTwoWaySA.NumBins,2)+8)</definedName>
    <definedName name="E.rngTwoWaySA.Results.Costs">OFFSET(#REF!, 0, 0, E.numTwoWaySA.Results, numStrats.Possible)</definedName>
    <definedName name="E.rngTwoWaySA.Results.INBs">OFFSET(#REF!, 0, 0, E.numTwoWaySA.Results)</definedName>
    <definedName name="E.rngTwoWaySA.Results.NBs">OFFSET(#REF!, 0, 0, E.numTwoWaySA.Results, numStrats.Possible)</definedName>
    <definedName name="E.rngTwoWaySA.Results.QALYs">OFFSET(#REF!, 0, 0, E.numTwoWaySA.Results, numStrats.Possible)</definedName>
    <definedName name="E.rngTwoWaySA.Results.Zone">OFFSET(#REF!, 0, 0, E.numTwoWaySA.Results)</definedName>
    <definedName name="E.rngTwoWaysResults.Live">OFFSET(#REF!, 0, 0, 1, numStrats.Possible*2+1)</definedName>
    <definedName name="E.rngU.Disutil_byState">Parameters!$M$1074:$M$1085</definedName>
    <definedName name="E.swtchOSAcomparator1">MATCH(E.drpOSAcomparator1, E.rngStrats, 0)</definedName>
    <definedName name="E.swtchOSAcomparator2">MATCH(E.drpOSAcomparator2, E.rngStrats, 0)</definedName>
    <definedName name="E.swtchOSAmetric">MATCH(E.drpOSAmetric, E.rngOneWaySA_metrics, 0)</definedName>
    <definedName name="E.swtchPop">MATCH(drpPop, rngPops, 0)</definedName>
    <definedName name="E.swtchPSApair1">MATCH(E.drpPSApair1, E.rngStrats, 0)</definedName>
    <definedName name="E.swtchPSApair2">MATCH(E.drpPSApair2, E.rngStrats, 0)</definedName>
    <definedName name="E.swtchResultsCU">IF(E.drpResultsCU="deterministic", 1, 2)</definedName>
    <definedName name="E.swtchThreshold.Comparator1">MATCH(E.drpThreshold.Comparator1, E.rngStrats, 0)</definedName>
    <definedName name="E.swtchThreshold.Comparator2">MATCH(E.drpThreshold.Comparator2, E.rngStrats, 0)</definedName>
    <definedName name="E.swtchThreshold.GraphType">MATCH(E.drpThreshold.GraphType, E.rngThreshold.GraphTypes)</definedName>
    <definedName name="E.swtchTwoWay.Pair_Multi">IF(E.drpTwoWay.Pair_Multi="multiway", 2, 1)</definedName>
    <definedName name="E.swtchTx.OnOff">Parameters!$M$746</definedName>
    <definedName name="E.swtchU.Source">Parameters!$M$745</definedName>
    <definedName name="E.Trace.Costs.NumCols">E.Costs!$D$2</definedName>
    <definedName name="E.Trace.Costs.Root">E.Costs!$H$12</definedName>
    <definedName name="E.Trace.Markov.DeathProb.Root">E.Markov!$V$4</definedName>
    <definedName name="E.Trace.Markov.NumCols">E.Markov!$D$2</definedName>
    <definedName name="E.Trace.Markov.Root">E.Markov!$H$11</definedName>
    <definedName name="E.Trace.Markov.TotalCosts.Root">E.Costs!$T$4</definedName>
    <definedName name="E.Trace.Markov.TotalDCosts.Root">E.Costs!$T$5</definedName>
    <definedName name="E.Trace.Markov.TotalDQALYs.Root">E.QALYs!$T$5</definedName>
    <definedName name="E.Trace.Markov.TotalLYs.Root">E.Markov!$U$4</definedName>
    <definedName name="E.Trace.Markov.TotalQALYs.Root">E.QALYs!$T$4</definedName>
    <definedName name="E.Trace.QALYs.NumCols">E.QALYs!$D$2</definedName>
    <definedName name="E.Trace.QALYs.Root">E.QALYs!$H$12</definedName>
    <definedName name="E.uDisutil.AKI_Secondary">Parameters!$M$1070</definedName>
    <definedName name="E.uDisutil.CKD">Parameters!$M$1050</definedName>
    <definedName name="E.uDisutil.CKD5">Parameters!$M$1052</definedName>
    <definedName name="E.uDisutil.CKD5D">Parameters!$M$1061</definedName>
    <definedName name="E.zWorkbookTitle">zWorkbookTitle &amp; " -- " &amp; INDEX(lstQs, 5)</definedName>
    <definedName name="F.rngStates">OFFSET(MasterLists!#REF!, 0, 0, F.numStates)</definedName>
    <definedName name="F.zWorkbookTitle">zWorkbookTitle &amp; " -- " &amp; INDEX(lstQs, 6)</definedName>
    <definedName name="G.bigNum">9.99999999999999E+307</definedName>
    <definedName name="G.CEAC.Options.Max">50000</definedName>
    <definedName name="G.numCohorts">7</definedName>
    <definedName name="G.numParams">G.intLastParamRow-ROW(Parameters!#REF!)+1</definedName>
    <definedName name="G.numSimCohorts">4</definedName>
    <definedName name="G.numSims">1000</definedName>
    <definedName name="G.numStrats.Possible">2</definedName>
    <definedName name="G.rngActiveParameterValues">OFFSET(Parameters!#REF!, 0, 0, G.numParams)</definedName>
    <definedName name="G.rngOneWaySA_names">OFFSET(Parameters!#REF!, 0, 0, G.numParams)</definedName>
    <definedName name="G.rngOneWaySA_vals">OFFSET(Parameters!#REF!, 0, 0, G.numParams)</definedName>
    <definedName name="G.rngParameterFormats">OFFSET(Parameters!#REF!, 0, 0, G.numParams)</definedName>
    <definedName name="G.rngStates">OFFSET(MasterLists!#REF!, 0, 0, G.numStates)</definedName>
    <definedName name="G.rngThresholds">OFFSET(Parameters!#REF!, 0, 0, G.numParams)</definedName>
    <definedName name="G.swtchOSAcomparator1">MATCH(G.drpOSAcomparator1, G.rngStrats, 0)</definedName>
    <definedName name="G.swtchOSAcomparator2">MATCH(G.drpOSAcomparator2, G.rngStrats, 0)</definedName>
    <definedName name="G.swtchOSAmetric">MATCH(G.drpOSAmetric, G.rngOneWaySA_metrics, 0)</definedName>
    <definedName name="G.swtchPop">MATCH(drpPop, rngPops, 0)</definedName>
    <definedName name="G.swtchPSApair1">MATCH(G.drpPSApair1, G.rngStrats, 0)</definedName>
    <definedName name="G.swtchPSApair2">MATCH(G.drpPSApair2, G.rngStrats, 0)</definedName>
    <definedName name="G.swtchResultsCU">IF(G.drpResultsCU="deterministic", 1, 2)</definedName>
    <definedName name="G.swtchSubQ.OSA">MATCH(G.drpSubQ.OSA, G.rngSubQs, 0)</definedName>
    <definedName name="G.swtchSubQ.PSA">MATCH(G.drpSubQ.PSA, G.rngSubQs, 0)</definedName>
    <definedName name="G.swtchSubQ.Thresh">MATCH(G.drpSubQ.Thresh, G.rngSubQs, 0)</definedName>
    <definedName name="G.swtchThreshold.Comparator1">MATCH(G.drpThreshold.Comparator1, G.rngStrats, 0)</definedName>
    <definedName name="G.swtchThreshold.Comparator2">MATCH(G.drpThreshold.Comparator2, G.rngStrats, 0)</definedName>
    <definedName name="G.swtchThreshold.GraphType">MATCH(G.drpThreshold.GraphType, G.rngThreshold.GraphTypes)</definedName>
    <definedName name="G.swtchTwoWay.Pair_Multi">IF(drpTwoWay.Pair_Multi="multiway", 2, 1)</definedName>
    <definedName name="G.zWorkbookTitle">zWorkbookTitle &amp; " -- " &amp; INDEX(lstQs, 10)</definedName>
    <definedName name="H.bigNum">9.99999999999999E+307</definedName>
    <definedName name="H.CEAC.Options.Max">50000</definedName>
    <definedName name="H.K.numParams">H.K.intLastParamRow-ROW(#REF!)+1</definedName>
    <definedName name="H.numCohorts">7</definedName>
    <definedName name="H.numParams">H.intLastParamRow-ROW(Parameters!#REF!)+1</definedName>
    <definedName name="H.numSimCohorts">4</definedName>
    <definedName name="H.numSims">1000</definedName>
    <definedName name="H.numStrats.Possible">2</definedName>
    <definedName name="H.rngActiveParameterValues">OFFSET(Parameters!#REF!, 0, 0, H.numParams)</definedName>
    <definedName name="H.rngOneWaySA_names">OFFSET(Parameters!#REF!, 0, 0, H.numParams)</definedName>
    <definedName name="H.rngOneWaySA_vals">OFFSET(Parameters!#REF!, 0, 0, H.numParams)</definedName>
    <definedName name="H.rngParameterFormats">OFFSET(Parameters!#REF!, 0, 0, H.numParams)</definedName>
    <definedName name="H.rngStates">OFFSET(MasterLists!#REF!, 0, 0, H.numStates)</definedName>
    <definedName name="H.rngThresholds">OFFSET(Parameters!#REF!, 0, 0, H.numParams)</definedName>
    <definedName name="H.swtchOSAcomparator1">MATCH(H.drpOSAcomparator1, H.rngStrats, 0)</definedName>
    <definedName name="H.swtchOSAcomparator2">MATCH(H.drpOSAcomparator2, H.rngStrats, 0)</definedName>
    <definedName name="H.swtchOSAmetric">MATCH(H.drpOSAmetric, H.rngOneWaySA_metrics, 0)</definedName>
    <definedName name="H.swtchPop">MATCH(drpPop, rngPops, 0)</definedName>
    <definedName name="H.swtchPSApair1">MATCH(H.drpPSApair1, H.rngStrats, 0)</definedName>
    <definedName name="H.swtchPSApair2">MATCH(H.drpPSApair2, H.rngStrats, 0)</definedName>
    <definedName name="H.swtchResultsCU">IF(H.drpResultsCU="deterministic", 1, 2)</definedName>
    <definedName name="H.swtchThreshold.Comparator1">MATCH(H.drpThreshold.Comparator1, H.rngStrats, 0)</definedName>
    <definedName name="H.swtchThreshold.Comparator2">MATCH(H.drpThreshold.Comparator2, H.rngStrats, 0)</definedName>
    <definedName name="H.swtchThreshold.GraphType">MATCH(H.drpThreshold.GraphType, H.rngThreshold.GraphTypes)</definedName>
    <definedName name="H.swtchTwoWay.Pair_Multi">IF(drpTwoWay.Pair_Multi="multiway", 2, 1)</definedName>
    <definedName name="H.zWorkbookTitle">zWorkbookTitle &amp; " -- " &amp; INDEX(lstQs, 11)</definedName>
    <definedName name="intLastParamRow">MATCH(bigNum, Parameters!$M:$M)</definedName>
    <definedName name="K.bigNum">9.99999999999999E+307</definedName>
    <definedName name="K.numStates">MasterLists!$T$5</definedName>
    <definedName name="K.rngActiveParameterValues">OFFSET(Parameters!$M$737, 0, 0, K.numParams)</definedName>
    <definedName name="K.rngStates">OFFSET(MasterLists!$T$7, 0, 0, K.numStates)</definedName>
    <definedName name="K.swtchOSAcomparator1">MATCH(K.drpOSAcomparator1, K.rngStrats, 0)</definedName>
    <definedName name="K.swtchOSAcomparator2">MATCH(K.drpOSAcomparator2, K.rngStrats, 0)</definedName>
    <definedName name="K.swtchPop">MATCH(drpPop, rngPops, 0)</definedName>
    <definedName name="K.swtchResultsCU">IF(K.drpResultsCU="deterministic", 1, 2)</definedName>
    <definedName name="K.swtchThreshold.Comparator1">MATCH(K.drpThreshold.Comparator1, K.rngStrats, 0)</definedName>
    <definedName name="K.swtchThreshold.Comparator2">MATCH(K.drpThreshold.Comparator2, K.rngStrats, 0)</definedName>
    <definedName name="K.zWorkbookTitle">zWorkbookTitle &amp; " -- " &amp; INDEX(lstQs, 5)</definedName>
    <definedName name="lstQs">tblQs[Query]</definedName>
    <definedName name="maxDurHPE">Parameters!$M$12</definedName>
    <definedName name="numOSAparams">Parameters!$D$3</definedName>
    <definedName name="numOSAparams.LastRun">190</definedName>
    <definedName name="numParams">intLastParamRow-ROW(Parameters!$M$5)+1</definedName>
    <definedName name="numSims">1000</definedName>
    <definedName name="numSimsInput">PSA.Data!$B$12</definedName>
    <definedName name="numStrats">MasterLists!$K$5</definedName>
    <definedName name="numStrats.Possible">26</definedName>
    <definedName name="PSA.Q">MATCH(drpPSA.Q, lstQs, 0)</definedName>
    <definedName name="rng3PSA.Costs1">OFFSET(#REF!, 0, 0, numSims)</definedName>
    <definedName name="rng3PSA.Costs2">OFFSET(#REF!, 0, 0, numSims)</definedName>
    <definedName name="rng3PSA.Costs3">OFFSET(#REF!, 0, 0, numSims)</definedName>
    <definedName name="rng3PSA.QALYs1">OFFSET(#REF!, 0, 0, numSims)</definedName>
    <definedName name="rng3PSA.QALYs2">OFFSET(#REF!, 0, 0, numSims)</definedName>
    <definedName name="rng3PSA.QALYs3">OFFSET(#REF!, 0, 0, numSims)</definedName>
    <definedName name="rngActiveParameterValues">OFFSET(Parameters!$M$5, 0, 0, numParams)</definedName>
    <definedName name="rngCEACcalcs">OFFSET(PSA.Outputs!#REF!, 0, 0, , numStrats)</definedName>
    <definedName name="rngCEACcalcs2">OFFSET(PSA.Outputs!#REF!, 0, 0, , numStrats)</definedName>
    <definedName name="rngCEACprobs">OFFSET(PSA.Outputs!#REF!, 0, 0, , numStrats)</definedName>
    <definedName name="rngCEACstrats">OFFSET(PSA.Outputs!#REF!, 0, 0, 1, numStrats)</definedName>
    <definedName name="rngCEACswtchs">OFFSET(PSA.Outputs!#REF!, 0, 0, 1, numStrats)</definedName>
    <definedName name="rngCEAF">OFFSET(PSA.Outputs!#REF!, 0, 0, , numStrats)</definedName>
    <definedName name="rngCEAFcalcs">OFFSET(PSA.Outputs!#REF!, 0, 0, , numStrats)</definedName>
    <definedName name="rngCEAFcalcs2">OFFSET(PSA.Outputs!#REF!, 0, 0, , numStrats)</definedName>
    <definedName name="rngMCresults">PSA.Data!$E$16:$BQ$16</definedName>
    <definedName name="rngNSAIDsHarm.NationalCosts">Parameters!$M$1124:$M$1129</definedName>
    <definedName name="rngNSAIDsHarm.NationalQALYs">Parameters!$M$1131:$M$1136</definedName>
    <definedName name="rngOneWaySA_names">OFFSET(Parameters!#REF!, 0, 0, numParams)</definedName>
    <definedName name="rngOneWaySA_ResultsBaseCaseVals">OFFSET(#REF!, 0, 0, numOSAparams.LastRun)</definedName>
    <definedName name="rngOneWaySA_ResultsFirstRow.CostsHi">OFFSET(#REF!, 0, 0, 1, numStrats.Possible*2)</definedName>
    <definedName name="rngOneWaySA_ResultsFirstRow.CostsLo">OFFSET(#REF!, 0, 0, 1, numStrats.Possible*2)</definedName>
    <definedName name="rngOneWaySA_ResultsFirstRow.QALYsHi">OFFSET(#REF!, 0, 0, 1, numStrats.Possible*2)</definedName>
    <definedName name="rngOneWaySA_ResultsFirstRow.QALYsLo">OFFSET(#REF!, 0, 0, 1, numStrats.Possible*2)</definedName>
    <definedName name="rngOneWaySA_ResultsHi">OFFSET(#REF!, 0, 0, numOSAparams.LastRun, 5)</definedName>
    <definedName name="rngOneWaySA_ResultsLeft">OFFSET(#REF!, 0, 0, numOSAparams.LastRun)</definedName>
    <definedName name="rngOneWaySA_ResultsLo">OFFSET(#REF!, 0, 0, numOSAparams.LastRun, 5)</definedName>
    <definedName name="rngOneWaySA_ResultsNames">OFFSET(#REF!, 0, 0, numOSAparams.LastRun)</definedName>
    <definedName name="rngOneWaySA_ResultsNumFormats">OFFSET(#REF!, 0, 0, numOSAparams.LastRun)</definedName>
    <definedName name="rngOneWaySA_ResultsParamsHi">OFFSET(#REF!, 0, 0, numOSAparams.LastRun)</definedName>
    <definedName name="rngOneWaySA_ResultsParamsLo">OFFSET(#REF!, 0, 0, numOSAparams.LastRun)</definedName>
    <definedName name="rngOneWaySA_ResultsRankedNames">OFFSET(#REF!, 0, 0, numOSAparams.LastRun)</definedName>
    <definedName name="rngOneWaySA_ResultsRankedParamValsHi">OFFSET(#REF!, 0, 0, numOSAparams.LastRun)</definedName>
    <definedName name="rngOneWaySA_ResultsRankedParamValsLo">OFFSET(#REF!, 0, 0, numOSAparams.LastRun)</definedName>
    <definedName name="rngOneWaySA_ResultsRight">OFFSET(#REF!, 0, 0, numOSAparams.LastRun)</definedName>
    <definedName name="rngOneWaySA_ValRanges">OFFSET(#REF!, 0, 0, numOSAparams.LastRun)</definedName>
    <definedName name="rngOneWaySA_vals">OFFSET(Parameters!#REF!, 0, 0, numParams)</definedName>
    <definedName name="rngParameterFormats">OFFSET(Parameters!#REF!, 0, 0, numParams)</definedName>
    <definedName name="rngPSA.calcsRow1">PSA.Data!$BS$17:$EF$17</definedName>
    <definedName name="rngPSA.HeaderRow1.Root">PSA.Data!$E$5</definedName>
    <definedName name="rngPSA.IncPair.Results">PSA.Outputs!$K$15:$M$15</definedName>
    <definedName name="rngPSA.MeanCosts.Root">PSA.Data!$E$6:$F$6</definedName>
    <definedName name="rngPSA.MeanQALYs.Root">PSA.Data!$H$6:$I$6</definedName>
    <definedName name="rngPSA.Samples.Costs">OFFSET(PSA.Data!$E$17:$E$17, 0, 0, numSims)</definedName>
    <definedName name="rngPSA.Samples.QALYs">OFFSET(PSA.Data!$H$17:$H$17, 0, 0, numSims)</definedName>
    <definedName name="rngPSA.ScatterPair.Costs">OFFSET(PSA.Outputs!$K$15, 0, 0, numSims)</definedName>
    <definedName name="rngPSA.ScatterPair.QALYs">OFFSET(PSA.Outputs!$L$15, 0, 0, numSims)</definedName>
    <definedName name="rngRawResults.Costs.Total">'Results.Determ'!$Y$9:$Y$40</definedName>
    <definedName name="rngRawResults.QALYs.Total">'Results.Determ'!$Z$9:$Z$40</definedName>
    <definedName name="rngScatterPairCoords">PSA.Outputs!$M$2:$P$2</definedName>
    <definedName name="rngStrats">Table18[Strategy names]</definedName>
    <definedName name="rngThresholds">OFFSET(Parameters!#REF!, 0, 0, numParams)</definedName>
    <definedName name="rngU.Anticoag_NoEvent">Parameters!$M$427:$M$433</definedName>
    <definedName name="rngU.GenPop">Parameters!$M$71:$M$78</definedName>
    <definedName name="swtchCost.SEs">Parameters!$M$13</definedName>
    <definedName name="swtchDurHPE">Parameters!$M$11</definedName>
    <definedName name="swtchEnglandPop">Parameters!$M$1089</definedName>
    <definedName name="swtchHalfCycle">Parameters!$M$10</definedName>
    <definedName name="swtchNSAIDsWhich">Parameters!$M$15</definedName>
    <definedName name="swtchOSA.metric">MATCH(drpOSA.metric, rngOneWaySA_metrics, 0)</definedName>
    <definedName name="swtchOSA.Q">MATCH(drpOSA.Q, lstQs, 0)</definedName>
    <definedName name="swtchOverlap">Parameters!$M$1088</definedName>
    <definedName name="swtchPSA">Parameters!$M$6</definedName>
    <definedName name="swtchPSApair1">MATCH(drpPSApair1, rngStrats, 0)</definedName>
    <definedName name="swtchPSApair2">MATCH(drpPSApair2, rngStrats, 0)</definedName>
    <definedName name="swtchResults.Baseline">MATCH(drpResults.Baseline, rngStrats, 0)</definedName>
    <definedName name="swtchResults.PSA.Baseline">MATCH(drpResults.PSA.Baseline, rngStrats, 0)</definedName>
    <definedName name="swtchThreshold.GraphType">MATCH(drpThreshold.GraphType, rngThreshold.GraphTypes, 0)</definedName>
    <definedName name="swtchUlcerSMR">Parameters!$M$116</definedName>
    <definedName name="timeHorizon">Parameters!$M$9</definedName>
    <definedName name="TP.unresolved">Parameters!$M$278</definedName>
    <definedName name="uDec.GIpain">Parameters!$M$160</definedName>
    <definedName name="uDec.PostStroke">Parameters!$M$436</definedName>
    <definedName name="uDec.SeriousGI">Parameters!$M$166</definedName>
    <definedName name="uDec.Stroke">Parameters!$M$435</definedName>
    <definedName name="uDec.Ulcer">Parameters!$M$164</definedName>
    <definedName name="WTP">PSA.Data!$BS$5</definedName>
    <definedName name="zWorkbookTitle">"Camacho et al. (2024) Harms of hazardous prescribing of NSAIDs"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S18" i="34" l="1"/>
  <c r="BT18" i="34"/>
  <c r="BW18" i="34" s="1" a="1"/>
  <c r="BW18" i="34" s="1"/>
  <c r="BV18" i="34" a="1"/>
  <c r="BV18" i="34" s="1"/>
  <c r="BY18" i="34"/>
  <c r="BZ18" i="34"/>
  <c r="CB18" i="34" a="1"/>
  <c r="CB18" i="34" s="1"/>
  <c r="CC18" i="34" a="1"/>
  <c r="CC18" i="34" s="1"/>
  <c r="CE18" i="34"/>
  <c r="CH18" i="34" s="1" a="1"/>
  <c r="CH18" i="34" s="1"/>
  <c r="CF18" i="34"/>
  <c r="CK18" i="34"/>
  <c r="CL18" i="34"/>
  <c r="CQ18" i="34" a="1"/>
  <c r="CQ18" i="34"/>
  <c r="CU18" i="34" s="1" a="1"/>
  <c r="CU18" i="34" s="1"/>
  <c r="CR18" i="34"/>
  <c r="CT18" i="34" a="1"/>
  <c r="CT18" i="34" s="1"/>
  <c r="CW18" i="34"/>
  <c r="CZ18" i="34" s="1" a="1"/>
  <c r="CZ18" i="34" s="1"/>
  <c r="CX18" i="34"/>
  <c r="DA18" i="34" a="1"/>
  <c r="DA18" i="34" s="1"/>
  <c r="DC18" i="34"/>
  <c r="DF18" i="34" s="1" a="1"/>
  <c r="DF18" i="34" s="1"/>
  <c r="DD18" i="34"/>
  <c r="DI18" i="34"/>
  <c r="DL18" i="34" s="1" a="1"/>
  <c r="DL18" i="34" s="1"/>
  <c r="DJ18" i="34"/>
  <c r="DM18" i="34" a="1"/>
  <c r="DM18" i="34" s="1"/>
  <c r="DO18" i="34"/>
  <c r="DS18" i="34" s="1" a="1"/>
  <c r="DS18" i="34" s="1"/>
  <c r="DP18" i="34"/>
  <c r="DR18" i="34" a="1"/>
  <c r="DR18" i="34"/>
  <c r="DU18" i="34"/>
  <c r="DX18" i="34" s="1" a="1"/>
  <c r="DX18" i="34" s="1"/>
  <c r="DV18" i="34"/>
  <c r="DY18" i="34" a="1"/>
  <c r="DY18" i="34"/>
  <c r="EA18" i="34"/>
  <c r="EE18" i="34" s="1" a="1"/>
  <c r="EE18" i="34" s="1"/>
  <c r="EB18" i="34"/>
  <c r="ED18" i="34" a="1"/>
  <c r="ED18" i="34" s="1"/>
  <c r="BS19" i="34"/>
  <c r="BV19" i="34" s="1" a="1"/>
  <c r="BV19" i="34" s="1"/>
  <c r="BT19" i="34"/>
  <c r="BY19" i="34"/>
  <c r="BZ19" i="34"/>
  <c r="CB19" i="34" s="1" a="1"/>
  <c r="CB19" i="34" s="1"/>
  <c r="CE19" i="34"/>
  <c r="CF19" i="34"/>
  <c r="CK19" i="34"/>
  <c r="CL19" i="34"/>
  <c r="CN19" i="34" s="1" a="1"/>
  <c r="CN19" i="34" s="1"/>
  <c r="CQ19" i="34" a="1"/>
  <c r="CQ19" i="34"/>
  <c r="CU19" i="34" s="1" a="1"/>
  <c r="CU19" i="34" s="1"/>
  <c r="CR19" i="34"/>
  <c r="CT19" i="34" a="1"/>
  <c r="CT19" i="34"/>
  <c r="CW19" i="34"/>
  <c r="CX19" i="34"/>
  <c r="DA19" i="34" s="1" a="1"/>
  <c r="DA19" i="34" s="1"/>
  <c r="CZ19" i="34" a="1"/>
  <c r="CZ19" i="34" s="1"/>
  <c r="DC19" i="34"/>
  <c r="DD19" i="34"/>
  <c r="DF19" i="34" a="1"/>
  <c r="DF19" i="34" s="1"/>
  <c r="DG19" i="34" a="1"/>
  <c r="DG19" i="34" s="1"/>
  <c r="DI19" i="34"/>
  <c r="DJ19" i="34"/>
  <c r="DO19" i="34"/>
  <c r="DP19" i="34"/>
  <c r="DU19" i="34"/>
  <c r="DV19" i="34"/>
  <c r="DX19" i="34" a="1"/>
  <c r="DX19" i="34" s="1"/>
  <c r="DY19" i="34" a="1"/>
  <c r="DY19" i="34"/>
  <c r="EA19" i="34"/>
  <c r="ED19" i="34" s="1" a="1"/>
  <c r="ED19" i="34" s="1"/>
  <c r="EB19" i="34"/>
  <c r="EE19" i="34" a="1"/>
  <c r="EE19" i="34" s="1"/>
  <c r="BS20" i="34"/>
  <c r="BV20" i="34" s="1" a="1"/>
  <c r="BV20" i="34" s="1"/>
  <c r="BT20" i="34"/>
  <c r="BW20" i="34" a="1"/>
  <c r="BW20" i="34" s="1"/>
  <c r="BY20" i="34"/>
  <c r="CC20" i="34" s="1" a="1"/>
  <c r="CC20" i="34" s="1"/>
  <c r="BZ20" i="34"/>
  <c r="CE20" i="34"/>
  <c r="CF20" i="34"/>
  <c r="CI20" i="34" s="1" a="1"/>
  <c r="CI20" i="34" s="1"/>
  <c r="CH20" i="34" a="1"/>
  <c r="CH20" i="34" s="1"/>
  <c r="CK20" i="34"/>
  <c r="CL20" i="34"/>
  <c r="CN20" i="34" a="1"/>
  <c r="CN20" i="34" s="1"/>
  <c r="CO20" i="34" a="1"/>
  <c r="CO20" i="34" s="1"/>
  <c r="CQ20" i="34" a="1"/>
  <c r="CQ20" i="34"/>
  <c r="CR20" i="34"/>
  <c r="CW20" i="34"/>
  <c r="DA20" i="34" s="1" a="1"/>
  <c r="CX20" i="34"/>
  <c r="CZ20" i="34" s="1" a="1"/>
  <c r="CZ20" i="34" s="1"/>
  <c r="DA20" i="34"/>
  <c r="DC20" i="34"/>
  <c r="DD20" i="34"/>
  <c r="DG20" i="34" s="1" a="1"/>
  <c r="DG20" i="34" s="1"/>
  <c r="DI20" i="34"/>
  <c r="DM20" i="34" s="1" a="1"/>
  <c r="DM20" i="34" s="1"/>
  <c r="DJ20" i="34"/>
  <c r="DL20" i="34" a="1"/>
  <c r="DL20" i="34"/>
  <c r="DO20" i="34"/>
  <c r="DR20" i="34" s="1" a="1"/>
  <c r="DR20" i="34" s="1"/>
  <c r="DP20" i="34"/>
  <c r="DS20" i="34" a="1"/>
  <c r="DS20" i="34" s="1"/>
  <c r="DU20" i="34"/>
  <c r="DV20" i="34"/>
  <c r="DX20" i="34" s="1" a="1"/>
  <c r="DX20" i="34" s="1"/>
  <c r="EA20" i="34"/>
  <c r="EB20" i="34"/>
  <c r="BS21" i="34"/>
  <c r="BT21" i="34"/>
  <c r="BW21" i="34" s="1" a="1"/>
  <c r="BW21" i="34" s="1"/>
  <c r="BY21" i="34"/>
  <c r="CB21" i="34" s="1" a="1"/>
  <c r="CB21" i="34" s="1"/>
  <c r="BZ21" i="34"/>
  <c r="CE21" i="34"/>
  <c r="CI21" i="34" s="1" a="1"/>
  <c r="CI21" i="34" s="1"/>
  <c r="CF21" i="34"/>
  <c r="CH21" i="34" s="1" a="1"/>
  <c r="CH21" i="34" s="1"/>
  <c r="CK21" i="34"/>
  <c r="CN21" i="34" s="1" a="1"/>
  <c r="CN21" i="34" s="1"/>
  <c r="CL21" i="34"/>
  <c r="CQ21" i="34" a="1"/>
  <c r="CQ21" i="34" s="1"/>
  <c r="CT21" i="34" s="1" a="1"/>
  <c r="CT21" i="34" s="1"/>
  <c r="CR21" i="34"/>
  <c r="CW21" i="34"/>
  <c r="CX21" i="34"/>
  <c r="CZ21" i="34" a="1"/>
  <c r="CZ21" i="34"/>
  <c r="DA21" i="34" a="1"/>
  <c r="DA21" i="34" s="1"/>
  <c r="DC21" i="34"/>
  <c r="DD21" i="34"/>
  <c r="DI21" i="34"/>
  <c r="DJ21" i="34"/>
  <c r="DO21" i="34"/>
  <c r="DP21" i="34"/>
  <c r="DR21" i="34" a="1"/>
  <c r="DR21" i="34" s="1"/>
  <c r="DS21" i="34" a="1"/>
  <c r="DS21" i="34"/>
  <c r="DU21" i="34"/>
  <c r="DX21" i="34" s="1" a="1"/>
  <c r="DX21" i="34" s="1"/>
  <c r="DV21" i="34"/>
  <c r="DY21" i="34" a="1"/>
  <c r="DY21" i="34" s="1"/>
  <c r="EA21" i="34"/>
  <c r="ED21" i="34" s="1" a="1"/>
  <c r="ED21" i="34" s="1"/>
  <c r="EB21" i="34"/>
  <c r="EE21" i="34" a="1"/>
  <c r="EE21" i="34" s="1"/>
  <c r="BS22" i="34"/>
  <c r="BW22" i="34" s="1" a="1"/>
  <c r="BW22" i="34" s="1"/>
  <c r="BT22" i="34"/>
  <c r="BV22" i="34" a="1"/>
  <c r="BV22" i="34" s="1"/>
  <c r="BY22" i="34"/>
  <c r="BZ22" i="34"/>
  <c r="CB22" i="34" s="1" a="1"/>
  <c r="CB22" i="34" s="1"/>
  <c r="CE22" i="34"/>
  <c r="CF22" i="34"/>
  <c r="CH22" i="34" a="1"/>
  <c r="CH22" i="34"/>
  <c r="CI22" i="34" a="1"/>
  <c r="CI22" i="34"/>
  <c r="CK22" i="34"/>
  <c r="CL22" i="34"/>
  <c r="CQ22" i="34" a="1"/>
  <c r="CQ22" i="34" s="1"/>
  <c r="CU22" i="34" s="1" a="1"/>
  <c r="CU22" i="34" s="1"/>
  <c r="CR22" i="34"/>
  <c r="CW22" i="34"/>
  <c r="CZ22" i="34" s="1" a="1"/>
  <c r="CZ22" i="34" s="1"/>
  <c r="CX22" i="34"/>
  <c r="DC22" i="34"/>
  <c r="DG22" i="34" s="1" a="1"/>
  <c r="DG22" i="34" s="1"/>
  <c r="DD22" i="34"/>
  <c r="DF22" i="34" a="1"/>
  <c r="DF22" i="34"/>
  <c r="DI22" i="34"/>
  <c r="DL22" i="34" s="1" a="1"/>
  <c r="DJ22" i="34"/>
  <c r="DL22" i="34"/>
  <c r="DM22" i="34" a="1"/>
  <c r="DM22" i="34"/>
  <c r="DO22" i="34"/>
  <c r="DS22" i="34" s="1" a="1"/>
  <c r="DS22" i="34" s="1"/>
  <c r="DP22" i="34"/>
  <c r="DU22" i="34"/>
  <c r="DX22" i="34" s="1" a="1"/>
  <c r="DX22" i="34" s="1"/>
  <c r="DV22" i="34"/>
  <c r="DY22" i="34" a="1"/>
  <c r="DY22" i="34" s="1"/>
  <c r="EA22" i="34"/>
  <c r="EB22" i="34"/>
  <c r="EE22" i="34" s="1" a="1"/>
  <c r="EE22" i="34" s="1"/>
  <c r="ED22" i="34" a="1"/>
  <c r="ED22" i="34" s="1"/>
  <c r="BS23" i="34"/>
  <c r="BV23" i="34" s="1" a="1"/>
  <c r="BV23" i="34" s="1"/>
  <c r="BT23" i="34"/>
  <c r="BY23" i="34"/>
  <c r="BZ23" i="34"/>
  <c r="CB23" i="34" s="1" a="1"/>
  <c r="CB23" i="34" s="1"/>
  <c r="CE23" i="34"/>
  <c r="CF23" i="34"/>
  <c r="CI23" i="34" s="1" a="1"/>
  <c r="CI23" i="34" s="1"/>
  <c r="CH23" i="34" a="1"/>
  <c r="CH23" i="34" s="1"/>
  <c r="CK23" i="34"/>
  <c r="CO23" i="34" s="1" a="1"/>
  <c r="CO23" i="34" s="1"/>
  <c r="CL23" i="34"/>
  <c r="CN23" i="34" a="1"/>
  <c r="CN23" i="34"/>
  <c r="CQ23" i="34" a="1"/>
  <c r="CQ23" i="34" s="1"/>
  <c r="CU23" i="34" s="1" a="1"/>
  <c r="CU23" i="34" s="1"/>
  <c r="CR23" i="34"/>
  <c r="CT23" i="34" a="1"/>
  <c r="CT23" i="34" s="1"/>
  <c r="CW23" i="34"/>
  <c r="CX23" i="34"/>
  <c r="DC23" i="34"/>
  <c r="DG23" i="34" s="1" a="1"/>
  <c r="DG23" i="34" s="1"/>
  <c r="DD23" i="34"/>
  <c r="DF23" i="34" a="1"/>
  <c r="DF23" i="34" s="1"/>
  <c r="DI23" i="34"/>
  <c r="DJ23" i="34"/>
  <c r="DL23" i="34" s="1" a="1"/>
  <c r="DL23" i="34" s="1"/>
  <c r="DO23" i="34"/>
  <c r="DR23" i="34" s="1" a="1"/>
  <c r="DR23" i="34" s="1"/>
  <c r="DP23" i="34"/>
  <c r="DS23" i="34" a="1"/>
  <c r="DS23" i="34" s="1"/>
  <c r="DU23" i="34"/>
  <c r="DV23" i="34"/>
  <c r="EA23" i="34"/>
  <c r="EE23" i="34" s="1" a="1"/>
  <c r="EE23" i="34" s="1"/>
  <c r="EB23" i="34"/>
  <c r="BS24" i="34"/>
  <c r="BT24" i="34"/>
  <c r="BV24" i="34" a="1"/>
  <c r="BV24" i="34" s="1"/>
  <c r="BW24" i="34" a="1"/>
  <c r="BW24" i="34" s="1"/>
  <c r="BY24" i="34"/>
  <c r="BZ24" i="34"/>
  <c r="CB24" i="34" a="1"/>
  <c r="CB24" i="34"/>
  <c r="CC24" i="34" a="1"/>
  <c r="CC24" i="34" s="1"/>
  <c r="CE24" i="34"/>
  <c r="CF24" i="34"/>
  <c r="CK24" i="34"/>
  <c r="CO24" i="34" s="1" a="1"/>
  <c r="CO24" i="34" s="1"/>
  <c r="CL24" i="34"/>
  <c r="CN24" i="34" a="1"/>
  <c r="CN24" i="34"/>
  <c r="CQ24" i="34" a="1"/>
  <c r="CQ24" i="34" s="1"/>
  <c r="CR24" i="34"/>
  <c r="CW24" i="34"/>
  <c r="DA24" i="34" s="1" a="1"/>
  <c r="DA24" i="34" s="1"/>
  <c r="CX24" i="34"/>
  <c r="CZ24" i="34" a="1"/>
  <c r="CZ24" i="34"/>
  <c r="DC24" i="34"/>
  <c r="DF24" i="34" s="1" a="1"/>
  <c r="DD24" i="34"/>
  <c r="DF24" i="34"/>
  <c r="DG24" i="34" a="1"/>
  <c r="DG24" i="34"/>
  <c r="DI24" i="34"/>
  <c r="DL24" i="34" s="1" a="1"/>
  <c r="DL24" i="34" s="1"/>
  <c r="DJ24" i="34"/>
  <c r="DO24" i="34"/>
  <c r="DP24" i="34"/>
  <c r="DU24" i="34"/>
  <c r="DV24" i="34"/>
  <c r="DX24" i="34" a="1"/>
  <c r="DX24" i="34"/>
  <c r="DY24" i="34" a="1"/>
  <c r="DY24" i="34"/>
  <c r="EA24" i="34"/>
  <c r="ED24" i="34" s="1" a="1"/>
  <c r="ED24" i="34" s="1"/>
  <c r="EB24" i="34"/>
  <c r="BS25" i="34"/>
  <c r="BT25" i="34"/>
  <c r="BV25" i="34" a="1"/>
  <c r="BV25" i="34" s="1"/>
  <c r="BY25" i="34"/>
  <c r="CB25" i="34" s="1" a="1"/>
  <c r="CB25" i="34" s="1"/>
  <c r="BZ25" i="34"/>
  <c r="CC25" i="34" a="1"/>
  <c r="CC25" i="34" s="1"/>
  <c r="CE25" i="34"/>
  <c r="CI25" i="34" s="1" a="1"/>
  <c r="CI25" i="34" s="1"/>
  <c r="CF25" i="34"/>
  <c r="CH25" i="34" a="1"/>
  <c r="CH25" i="34" s="1"/>
  <c r="CK25" i="34"/>
  <c r="CN25" i="34" s="1" a="1"/>
  <c r="CL25" i="34"/>
  <c r="CN25" i="34"/>
  <c r="CO25" i="34" a="1"/>
  <c r="CO25" i="34" s="1"/>
  <c r="CQ25" i="34" a="1"/>
  <c r="CQ25" i="34" s="1"/>
  <c r="CR25" i="34"/>
  <c r="CW25" i="34"/>
  <c r="DA25" i="34" s="1" a="1"/>
  <c r="DA25" i="34" s="1"/>
  <c r="CX25" i="34"/>
  <c r="CZ25" i="34" a="1"/>
  <c r="CZ25" i="34" s="1"/>
  <c r="DC25" i="34"/>
  <c r="DF25" i="34" s="1" a="1"/>
  <c r="DF25" i="34" s="1"/>
  <c r="DD25" i="34"/>
  <c r="DG25" i="34" a="1"/>
  <c r="DG25" i="34" s="1"/>
  <c r="DI25" i="34"/>
  <c r="DL25" i="34" s="1" a="1"/>
  <c r="DL25" i="34" s="1"/>
  <c r="DJ25" i="34"/>
  <c r="DO25" i="34"/>
  <c r="DR25" i="34" s="1" a="1"/>
  <c r="DR25" i="34" s="1"/>
  <c r="DP25" i="34"/>
  <c r="DU25" i="34"/>
  <c r="DX25" i="34" s="1" a="1"/>
  <c r="DX25" i="34" s="1"/>
  <c r="DV25" i="34"/>
  <c r="EA25" i="34"/>
  <c r="EB25" i="34"/>
  <c r="ED25" i="34" a="1"/>
  <c r="ED25" i="34" s="1"/>
  <c r="EE25" i="34" a="1"/>
  <c r="EE25" i="34" s="1"/>
  <c r="BS26" i="34"/>
  <c r="BT26" i="34"/>
  <c r="BV26" i="34" a="1"/>
  <c r="BV26" i="34"/>
  <c r="BW26" i="34" a="1"/>
  <c r="BW26" i="34"/>
  <c r="BY26" i="34"/>
  <c r="CB26" i="34" s="1" a="1"/>
  <c r="CB26" i="34" s="1"/>
  <c r="BZ26" i="34"/>
  <c r="CC26" i="34" a="1"/>
  <c r="CC26" i="34"/>
  <c r="CE26" i="34"/>
  <c r="CI26" i="34" s="1" a="1"/>
  <c r="CI26" i="34" s="1"/>
  <c r="CF26" i="34"/>
  <c r="CH26" i="34" a="1"/>
  <c r="CH26" i="34" s="1"/>
  <c r="CK26" i="34"/>
  <c r="CL26" i="34"/>
  <c r="CN26" i="34" s="1" a="1"/>
  <c r="CN26" i="34" s="1"/>
  <c r="CQ26" i="34" a="1"/>
  <c r="CQ26" i="34" s="1"/>
  <c r="CR26" i="34"/>
  <c r="CW26" i="34"/>
  <c r="CZ26" i="34" s="1" a="1"/>
  <c r="CX26" i="34"/>
  <c r="CZ26" i="34"/>
  <c r="DC26" i="34"/>
  <c r="DF26" i="34" s="1" a="1"/>
  <c r="DF26" i="34" s="1"/>
  <c r="DD26" i="34"/>
  <c r="DI26" i="34"/>
  <c r="DL26" i="34" s="1" a="1"/>
  <c r="DL26" i="34" s="1"/>
  <c r="DJ26" i="34"/>
  <c r="DM26" i="34" a="1"/>
  <c r="DM26" i="34" s="1"/>
  <c r="DO26" i="34"/>
  <c r="DP26" i="34"/>
  <c r="DR26" i="34" s="1" a="1"/>
  <c r="DR26" i="34" s="1"/>
  <c r="DU26" i="34"/>
  <c r="DV26" i="34"/>
  <c r="DY26" i="34" s="1" a="1"/>
  <c r="DY26" i="34" s="1"/>
  <c r="DX26" i="34" a="1"/>
  <c r="DX26" i="34"/>
  <c r="EA26" i="34"/>
  <c r="EE26" i="34" s="1" a="1"/>
  <c r="EE26" i="34" s="1"/>
  <c r="EB26" i="34"/>
  <c r="ED26" i="34" a="1"/>
  <c r="ED26" i="34"/>
  <c r="BS27" i="34"/>
  <c r="BV27" i="34" s="1" a="1"/>
  <c r="BV27" i="34" s="1"/>
  <c r="BT27" i="34"/>
  <c r="BY27" i="34"/>
  <c r="CB27" i="34" s="1" a="1"/>
  <c r="CB27" i="34" s="1"/>
  <c r="BZ27" i="34"/>
  <c r="CE27" i="34"/>
  <c r="CH27" i="34" s="1" a="1"/>
  <c r="CH27" i="34" s="1"/>
  <c r="CF27" i="34"/>
  <c r="CK27" i="34"/>
  <c r="CL27" i="34"/>
  <c r="CN27" i="34" s="1" a="1"/>
  <c r="CN27" i="34" s="1"/>
  <c r="CQ27" i="34" a="1"/>
  <c r="CQ27" i="34" s="1"/>
  <c r="CT27" i="34" s="1" a="1"/>
  <c r="CT27" i="34" s="1"/>
  <c r="CR27" i="34"/>
  <c r="CW27" i="34"/>
  <c r="CZ27" i="34" s="1" a="1"/>
  <c r="CZ27" i="34" s="1"/>
  <c r="CX27" i="34"/>
  <c r="DA27" i="34" a="1"/>
  <c r="DA27" i="34" s="1"/>
  <c r="DC27" i="34"/>
  <c r="DG27" i="34" s="1" a="1"/>
  <c r="DG27" i="34" s="1"/>
  <c r="DD27" i="34"/>
  <c r="DF27" i="34" a="1"/>
  <c r="DF27" i="34" s="1"/>
  <c r="DI27" i="34"/>
  <c r="DJ27" i="34"/>
  <c r="DM27" i="34" s="1" a="1"/>
  <c r="DM27" i="34" s="1"/>
  <c r="DL27" i="34" a="1"/>
  <c r="DL27" i="34" s="1"/>
  <c r="DO27" i="34"/>
  <c r="DP27" i="34"/>
  <c r="DR27" i="34" a="1"/>
  <c r="DR27" i="34" s="1"/>
  <c r="DS27" i="34" a="1"/>
  <c r="DS27" i="34"/>
  <c r="DU27" i="34"/>
  <c r="DX27" i="34" s="1" a="1"/>
  <c r="DX27" i="34" s="1"/>
  <c r="DV27" i="34"/>
  <c r="EA27" i="34"/>
  <c r="EB27" i="34"/>
  <c r="BS28" i="34"/>
  <c r="BV28" i="34" s="1" a="1"/>
  <c r="BV28" i="34" s="1"/>
  <c r="BT28" i="34"/>
  <c r="BY28" i="34"/>
  <c r="CB28" i="34" s="1" a="1"/>
  <c r="CB28" i="34" s="1"/>
  <c r="BZ28" i="34"/>
  <c r="CC28" i="34" a="1"/>
  <c r="CC28" i="34" s="1"/>
  <c r="CE28" i="34"/>
  <c r="CH28" i="34" s="1" a="1"/>
  <c r="CH28" i="34" s="1"/>
  <c r="CF28" i="34"/>
  <c r="CI28" i="34" a="1"/>
  <c r="CI28" i="34" s="1"/>
  <c r="CK28" i="34"/>
  <c r="CO28" i="34" s="1" a="1"/>
  <c r="CO28" i="34" s="1"/>
  <c r="CL28" i="34"/>
  <c r="CN28" i="34" a="1"/>
  <c r="CN28" i="34" s="1"/>
  <c r="CQ28" i="34" a="1"/>
  <c r="CQ28" i="34"/>
  <c r="CT28" i="34" s="1" a="1"/>
  <c r="CT28" i="34" s="1"/>
  <c r="CR28" i="34"/>
  <c r="CW28" i="34"/>
  <c r="CX28" i="34"/>
  <c r="CZ28" i="34" s="1" a="1"/>
  <c r="CZ28" i="34" s="1"/>
  <c r="DC28" i="34"/>
  <c r="DF28" i="34" s="1" a="1"/>
  <c r="DF28" i="34" s="1"/>
  <c r="DD28" i="34"/>
  <c r="DG28" i="34" a="1"/>
  <c r="DG28" i="34"/>
  <c r="DI28" i="34"/>
  <c r="DM28" i="34" s="1" a="1"/>
  <c r="DM28" i="34" s="1"/>
  <c r="DJ28" i="34"/>
  <c r="DL28" i="34" a="1"/>
  <c r="DL28" i="34" s="1"/>
  <c r="DO28" i="34"/>
  <c r="DS28" i="34" s="1" a="1"/>
  <c r="DS28" i="34" s="1"/>
  <c r="DP28" i="34"/>
  <c r="DR28" i="34" a="1"/>
  <c r="DR28" i="34"/>
  <c r="DU28" i="34"/>
  <c r="DY28" i="34" s="1" a="1"/>
  <c r="DY28" i="34" s="1"/>
  <c r="DV28" i="34"/>
  <c r="DX28" i="34" a="1"/>
  <c r="DX28" i="34"/>
  <c r="EA28" i="34"/>
  <c r="ED28" i="34" s="1" a="1"/>
  <c r="ED28" i="34" s="1"/>
  <c r="EB28" i="34"/>
  <c r="EE28" i="34" a="1"/>
  <c r="EE28" i="34" s="1"/>
  <c r="BS29" i="34"/>
  <c r="BV29" i="34" s="1" a="1"/>
  <c r="BV29" i="34" s="1"/>
  <c r="BT29" i="34"/>
  <c r="BY29" i="34"/>
  <c r="BZ29" i="34"/>
  <c r="CE29" i="34"/>
  <c r="CF29" i="34"/>
  <c r="CH29" i="34" s="1" a="1"/>
  <c r="CH29" i="34" s="1"/>
  <c r="CK29" i="34"/>
  <c r="CN29" i="34" s="1" a="1"/>
  <c r="CN29" i="34" s="1"/>
  <c r="CL29" i="34"/>
  <c r="CO29" i="34" a="1"/>
  <c r="CO29" i="34"/>
  <c r="CQ29" i="34" a="1"/>
  <c r="CQ29" i="34"/>
  <c r="CT29" i="34" s="1" a="1"/>
  <c r="CT29" i="34" s="1"/>
  <c r="CR29" i="34"/>
  <c r="CU29" i="34" a="1"/>
  <c r="CU29" i="34" s="1"/>
  <c r="CW29" i="34"/>
  <c r="DA29" i="34" s="1" a="1"/>
  <c r="DA29" i="34" s="1"/>
  <c r="CX29" i="34"/>
  <c r="CZ29" i="34" a="1"/>
  <c r="CZ29" i="34" s="1"/>
  <c r="DC29" i="34"/>
  <c r="DD29" i="34"/>
  <c r="DG29" i="34" s="1" a="1"/>
  <c r="DG29" i="34" s="1"/>
  <c r="DF29" i="34" a="1"/>
  <c r="DF29" i="34" s="1"/>
  <c r="DI29" i="34"/>
  <c r="DJ29" i="34"/>
  <c r="DL29" i="34" a="1"/>
  <c r="DL29" i="34" s="1"/>
  <c r="DM29" i="34" a="1"/>
  <c r="DM29" i="34"/>
  <c r="DO29" i="34"/>
  <c r="DR29" i="34" s="1" a="1"/>
  <c r="DR29" i="34" s="1"/>
  <c r="DP29" i="34"/>
  <c r="DU29" i="34"/>
  <c r="DV29" i="34"/>
  <c r="EA29" i="34"/>
  <c r="ED29" i="34" s="1" a="1"/>
  <c r="ED29" i="34" s="1"/>
  <c r="EB29" i="34"/>
  <c r="BS30" i="34"/>
  <c r="BV30" i="34" s="1" a="1"/>
  <c r="BV30" i="34" s="1"/>
  <c r="BT30" i="34"/>
  <c r="BW30" i="34" a="1"/>
  <c r="BW30" i="34" s="1"/>
  <c r="BY30" i="34"/>
  <c r="CB30" i="34" s="1" a="1"/>
  <c r="CB30" i="34" s="1"/>
  <c r="BZ30" i="34"/>
  <c r="CC30" i="34" a="1"/>
  <c r="CC30" i="34" s="1"/>
  <c r="CE30" i="34"/>
  <c r="CI30" i="34" s="1" a="1"/>
  <c r="CI30" i="34" s="1"/>
  <c r="CF30" i="34"/>
  <c r="CH30" i="34" a="1"/>
  <c r="CH30" i="34" s="1"/>
  <c r="CK30" i="34"/>
  <c r="CL30" i="34"/>
  <c r="CO30" i="34" s="1" a="1"/>
  <c r="CO30" i="34" s="1"/>
  <c r="CN30" i="34" a="1"/>
  <c r="CN30" i="34" s="1"/>
  <c r="CQ30" i="34" a="1"/>
  <c r="CQ30" i="34" s="1"/>
  <c r="CR30" i="34"/>
  <c r="CW30" i="34"/>
  <c r="CZ30" i="34" s="1" a="1"/>
  <c r="CZ30" i="34" s="1"/>
  <c r="CX30" i="34"/>
  <c r="DA30" i="34" a="1"/>
  <c r="DA30" i="34"/>
  <c r="DC30" i="34"/>
  <c r="DG30" i="34" s="1" a="1"/>
  <c r="DG30" i="34" s="1"/>
  <c r="DD30" i="34"/>
  <c r="DF30" i="34" a="1"/>
  <c r="DF30" i="34" s="1"/>
  <c r="DI30" i="34"/>
  <c r="DM30" i="34" s="1" a="1"/>
  <c r="DM30" i="34" s="1"/>
  <c r="DJ30" i="34"/>
  <c r="DL30" i="34" a="1"/>
  <c r="DL30" i="34"/>
  <c r="DO30" i="34"/>
  <c r="DS30" i="34" s="1" a="1"/>
  <c r="DS30" i="34" s="1"/>
  <c r="DP30" i="34"/>
  <c r="DR30" i="34" a="1"/>
  <c r="DR30" i="34"/>
  <c r="DU30" i="34"/>
  <c r="DX30" i="34" s="1" a="1"/>
  <c r="DX30" i="34" s="1"/>
  <c r="DV30" i="34"/>
  <c r="DY30" i="34" a="1"/>
  <c r="DY30" i="34" s="1"/>
  <c r="EA30" i="34"/>
  <c r="ED30" i="34" s="1" a="1"/>
  <c r="ED30" i="34" s="1"/>
  <c r="EB30" i="34"/>
  <c r="BS31" i="34"/>
  <c r="BT31" i="34"/>
  <c r="BY31" i="34"/>
  <c r="BZ31" i="34"/>
  <c r="CB31" i="34" s="1" a="1"/>
  <c r="CB31" i="34" s="1"/>
  <c r="CE31" i="34"/>
  <c r="CH31" i="34" s="1" a="1"/>
  <c r="CH31" i="34" s="1"/>
  <c r="CF31" i="34"/>
  <c r="CI31" i="34" a="1"/>
  <c r="CI31" i="34"/>
  <c r="CK31" i="34"/>
  <c r="CO31" i="34" s="1" a="1"/>
  <c r="CO31" i="34" s="1"/>
  <c r="CL31" i="34"/>
  <c r="CN31" i="34" a="1"/>
  <c r="CN31" i="34" s="1"/>
  <c r="CQ31" i="34" a="1"/>
  <c r="CQ31" i="34" s="1"/>
  <c r="CR31" i="34"/>
  <c r="CW31" i="34"/>
  <c r="CX31" i="34"/>
  <c r="DA31" i="34" s="1" a="1"/>
  <c r="DA31" i="34" s="1"/>
  <c r="CZ31" i="34" a="1"/>
  <c r="CZ31" i="34" s="1"/>
  <c r="DC31" i="34"/>
  <c r="DD31" i="34"/>
  <c r="DF31" i="34" a="1"/>
  <c r="DF31" i="34" s="1"/>
  <c r="DG31" i="34" a="1"/>
  <c r="DG31" i="34"/>
  <c r="DI31" i="34"/>
  <c r="DL31" i="34" s="1" a="1"/>
  <c r="DL31" i="34" s="1"/>
  <c r="DJ31" i="34"/>
  <c r="DO31" i="34"/>
  <c r="DP31" i="34"/>
  <c r="DU31" i="34"/>
  <c r="DX31" i="34" s="1" a="1"/>
  <c r="DX31" i="34" s="1"/>
  <c r="DV31" i="34"/>
  <c r="EA31" i="34"/>
  <c r="ED31" i="34" s="1" a="1"/>
  <c r="ED31" i="34" s="1"/>
  <c r="EB31" i="34"/>
  <c r="EE31" i="34" a="1"/>
  <c r="EE31" i="34" s="1"/>
  <c r="BS32" i="34"/>
  <c r="BV32" i="34" s="1" a="1"/>
  <c r="BV32" i="34" s="1"/>
  <c r="BT32" i="34"/>
  <c r="BW32" i="34" a="1"/>
  <c r="BW32" i="34" s="1"/>
  <c r="BY32" i="34"/>
  <c r="CC32" i="34" s="1" a="1"/>
  <c r="CC32" i="34" s="1"/>
  <c r="BZ32" i="34"/>
  <c r="CB32" i="34" a="1"/>
  <c r="CB32" i="34" s="1"/>
  <c r="CE32" i="34"/>
  <c r="CF32" i="34"/>
  <c r="CI32" i="34" s="1" a="1"/>
  <c r="CI32" i="34" s="1"/>
  <c r="CH32" i="34" a="1"/>
  <c r="CH32" i="34" s="1"/>
  <c r="CK32" i="34"/>
  <c r="CL32" i="34"/>
  <c r="CN32" i="34" a="1"/>
  <c r="CN32" i="34" s="1"/>
  <c r="CO32" i="34" a="1"/>
  <c r="CO32" i="34" s="1"/>
  <c r="CQ32" i="34" a="1"/>
  <c r="CQ32" i="34" s="1"/>
  <c r="CR32" i="34"/>
  <c r="CW32" i="34"/>
  <c r="DA32" i="34" s="1" a="1"/>
  <c r="DA32" i="34" s="1"/>
  <c r="CX32" i="34"/>
  <c r="CZ32" i="34" a="1"/>
  <c r="CZ32" i="34" s="1"/>
  <c r="DC32" i="34"/>
  <c r="DF32" i="34" s="1" a="1"/>
  <c r="DF32" i="34" s="1"/>
  <c r="DD32" i="34"/>
  <c r="DI32" i="34"/>
  <c r="DM32" i="34" s="1" a="1"/>
  <c r="DM32" i="34" s="1"/>
  <c r="DJ32" i="34"/>
  <c r="DL32" i="34" a="1"/>
  <c r="DL32" i="34"/>
  <c r="DO32" i="34"/>
  <c r="DR32" i="34" s="1" a="1"/>
  <c r="DR32" i="34" s="1"/>
  <c r="DP32" i="34"/>
  <c r="DS32" i="34" a="1"/>
  <c r="DS32" i="34" s="1"/>
  <c r="DU32" i="34"/>
  <c r="DX32" i="34" s="1" a="1"/>
  <c r="DX32" i="34" s="1"/>
  <c r="DV32" i="34"/>
  <c r="EA32" i="34"/>
  <c r="ED32" i="34" s="1" a="1"/>
  <c r="ED32" i="34" s="1"/>
  <c r="EB32" i="34"/>
  <c r="BS33" i="34"/>
  <c r="BT33" i="34"/>
  <c r="BV33" i="34" s="1" a="1"/>
  <c r="BV33" i="34" s="1"/>
  <c r="BY33" i="34"/>
  <c r="CB33" i="34" s="1" a="1"/>
  <c r="CB33" i="34" s="1"/>
  <c r="BZ33" i="34"/>
  <c r="CC33" i="34" a="1"/>
  <c r="CC33" i="34"/>
  <c r="CE33" i="34"/>
  <c r="CI33" i="34" s="1" a="1"/>
  <c r="CI33" i="34" s="1"/>
  <c r="CF33" i="34"/>
  <c r="CH33" i="34" a="1"/>
  <c r="CH33" i="34" s="1"/>
  <c r="CK33" i="34"/>
  <c r="CN33" i="34" s="1" a="1"/>
  <c r="CN33" i="34" s="1"/>
  <c r="CL33" i="34"/>
  <c r="CQ33" i="34" a="1"/>
  <c r="CQ33" i="34" s="1"/>
  <c r="CU33" i="34" s="1" a="1"/>
  <c r="CU33" i="34" s="1"/>
  <c r="CR33" i="34"/>
  <c r="CT33" i="34" a="1"/>
  <c r="CT33" i="34" s="1"/>
  <c r="CW33" i="34"/>
  <c r="CX33" i="34"/>
  <c r="CZ33" i="34" a="1"/>
  <c r="CZ33" i="34" s="1"/>
  <c r="DA33" i="34" a="1"/>
  <c r="DA33" i="34" s="1"/>
  <c r="DC33" i="34"/>
  <c r="DF33" i="34" s="1" a="1"/>
  <c r="DF33" i="34" s="1"/>
  <c r="DD33" i="34"/>
  <c r="DI33" i="34"/>
  <c r="DJ33" i="34"/>
  <c r="DO33" i="34"/>
  <c r="DR33" i="34" s="1" a="1"/>
  <c r="DR33" i="34" s="1"/>
  <c r="DP33" i="34"/>
  <c r="DU33" i="34"/>
  <c r="DX33" i="34" s="1" a="1"/>
  <c r="DX33" i="34" s="1"/>
  <c r="DV33" i="34"/>
  <c r="DY33" i="34" a="1"/>
  <c r="DY33" i="34" s="1"/>
  <c r="EA33" i="34"/>
  <c r="ED33" i="34" s="1" a="1"/>
  <c r="ED33" i="34" s="1"/>
  <c r="EB33" i="34"/>
  <c r="EE33" i="34" a="1"/>
  <c r="EE33" i="34" s="1"/>
  <c r="BS34" i="34"/>
  <c r="BW34" i="34" s="1" a="1"/>
  <c r="BW34" i="34" s="1"/>
  <c r="BT34" i="34"/>
  <c r="BV34" i="34" a="1"/>
  <c r="BV34" i="34" s="1"/>
  <c r="BY34" i="34"/>
  <c r="BZ34" i="34"/>
  <c r="CC34" i="34" s="1" a="1"/>
  <c r="CC34" i="34" s="1"/>
  <c r="CB34" i="34" a="1"/>
  <c r="CB34" i="34" s="1"/>
  <c r="CE34" i="34"/>
  <c r="CF34" i="34"/>
  <c r="CH34" i="34" a="1"/>
  <c r="CH34" i="34" s="1"/>
  <c r="CI34" i="34" a="1"/>
  <c r="CI34" i="34" s="1"/>
  <c r="CK34" i="34"/>
  <c r="CN34" i="34" s="1" a="1"/>
  <c r="CN34" i="34" s="1"/>
  <c r="CL34" i="34"/>
  <c r="CQ34" i="34" a="1"/>
  <c r="CQ34" i="34" s="1"/>
  <c r="CR34" i="34"/>
  <c r="CW34" i="34"/>
  <c r="CZ34" i="34" s="1" a="1"/>
  <c r="CZ34" i="34" s="1"/>
  <c r="CX34" i="34"/>
  <c r="DC34" i="34"/>
  <c r="DG34" i="34" s="1" a="1"/>
  <c r="DG34" i="34" s="1"/>
  <c r="DD34" i="34"/>
  <c r="DF34" i="34" a="1"/>
  <c r="DF34" i="34"/>
  <c r="DI34" i="34"/>
  <c r="DL34" i="34" s="1" a="1"/>
  <c r="DL34" i="34" s="1"/>
  <c r="DJ34" i="34"/>
  <c r="DM34" i="34" a="1"/>
  <c r="DM34" i="34" s="1"/>
  <c r="DO34" i="34"/>
  <c r="DR34" i="34" s="1" a="1"/>
  <c r="DR34" i="34" s="1"/>
  <c r="DP34" i="34"/>
  <c r="DU34" i="34"/>
  <c r="DV34" i="34"/>
  <c r="EA34" i="34"/>
  <c r="EB34" i="34"/>
  <c r="BS35" i="34"/>
  <c r="BV35" i="34" s="1" a="1"/>
  <c r="BV35" i="34" s="1"/>
  <c r="BT35" i="34"/>
  <c r="BW35" i="34" a="1"/>
  <c r="BW35" i="34"/>
  <c r="BY35" i="34"/>
  <c r="CC35" i="34" s="1" a="1"/>
  <c r="CC35" i="34" s="1"/>
  <c r="BZ35" i="34"/>
  <c r="CB35" i="34" a="1"/>
  <c r="CB35" i="34" s="1"/>
  <c r="CE35" i="34"/>
  <c r="CH35" i="34" s="1" a="1"/>
  <c r="CH35" i="34" s="1"/>
  <c r="CF35" i="34"/>
  <c r="CK35" i="34"/>
  <c r="CO35" i="34" s="1" a="1"/>
  <c r="CO35" i="34" s="1"/>
  <c r="CL35" i="34"/>
  <c r="CN35" i="34" a="1"/>
  <c r="CN35" i="34" s="1"/>
  <c r="CQ35" i="34" a="1"/>
  <c r="CQ35" i="34" s="1"/>
  <c r="CU35" i="34" s="1" a="1"/>
  <c r="CU35" i="34" s="1"/>
  <c r="CR35" i="34"/>
  <c r="CT35" i="34" a="1"/>
  <c r="CT35" i="34" s="1"/>
  <c r="CW35" i="34"/>
  <c r="CZ35" i="34" s="1" a="1"/>
  <c r="CZ35" i="34" s="1"/>
  <c r="CX35" i="34"/>
  <c r="DC35" i="34"/>
  <c r="DD35" i="34"/>
  <c r="DI35" i="34"/>
  <c r="DJ35" i="34"/>
  <c r="DO35" i="34"/>
  <c r="DR35" i="34" s="1" a="1"/>
  <c r="DP35" i="34"/>
  <c r="DR35" i="34"/>
  <c r="DS35" i="34" a="1"/>
  <c r="DS35" i="34" s="1"/>
  <c r="DU35" i="34"/>
  <c r="DX35" i="34" s="1" a="1"/>
  <c r="DX35" i="34" s="1"/>
  <c r="DV35" i="34"/>
  <c r="DY35" i="34" a="1"/>
  <c r="DY35" i="34" s="1"/>
  <c r="EA35" i="34"/>
  <c r="EE35" i="34" s="1" a="1"/>
  <c r="EE35" i="34" s="1"/>
  <c r="EB35" i="34"/>
  <c r="ED35" i="34" a="1"/>
  <c r="ED35" i="34" s="1"/>
  <c r="BS36" i="34"/>
  <c r="BT36" i="34"/>
  <c r="BW36" i="34" s="1" a="1"/>
  <c r="BW36" i="34" s="1"/>
  <c r="BV36" i="34" a="1"/>
  <c r="BV36" i="34" s="1"/>
  <c r="BY36" i="34"/>
  <c r="BZ36" i="34"/>
  <c r="CB36" i="34" a="1"/>
  <c r="CB36" i="34" s="1"/>
  <c r="CC36" i="34" a="1"/>
  <c r="CC36" i="34" s="1"/>
  <c r="CE36" i="34"/>
  <c r="CF36" i="34"/>
  <c r="CK36" i="34"/>
  <c r="CL36" i="34"/>
  <c r="CQ36" i="34" a="1"/>
  <c r="CQ36" i="34" s="1"/>
  <c r="CR36" i="34"/>
  <c r="CW36" i="34"/>
  <c r="CX36" i="34"/>
  <c r="CZ36" i="34" a="1"/>
  <c r="CZ36" i="34"/>
  <c r="DA36" i="34" a="1"/>
  <c r="DA36" i="34"/>
  <c r="DC36" i="34"/>
  <c r="DF36" i="34" s="1" a="1"/>
  <c r="DD36" i="34"/>
  <c r="DF36" i="34"/>
  <c r="DG36" i="34" a="1"/>
  <c r="DG36" i="34" s="1"/>
  <c r="DI36" i="34"/>
  <c r="DJ36" i="34"/>
  <c r="DO36" i="34"/>
  <c r="DP36" i="34"/>
  <c r="DU36" i="34"/>
  <c r="DV36" i="34"/>
  <c r="DY36" i="34" s="1" a="1"/>
  <c r="DY36" i="34" s="1"/>
  <c r="EA36" i="34"/>
  <c r="ED36" i="34" s="1" a="1"/>
  <c r="ED36" i="34" s="1"/>
  <c r="EB36" i="34"/>
  <c r="EE36" i="34" a="1"/>
  <c r="EE36" i="34"/>
  <c r="BS37" i="34"/>
  <c r="BW37" i="34" s="1" a="1"/>
  <c r="BW37" i="34" s="1"/>
  <c r="BT37" i="34"/>
  <c r="BV37" i="34" a="1"/>
  <c r="BV37" i="34" s="1"/>
  <c r="BY37" i="34"/>
  <c r="BZ37" i="34"/>
  <c r="CE37" i="34"/>
  <c r="CF37" i="34"/>
  <c r="CH37" i="34" a="1"/>
  <c r="CH37" i="34" s="1"/>
  <c r="CI37" i="34" a="1"/>
  <c r="CI37" i="34"/>
  <c r="CK37" i="34"/>
  <c r="CN37" i="34" s="1" a="1"/>
  <c r="CN37" i="34" s="1"/>
  <c r="CL37" i="34"/>
  <c r="CO37" i="34" a="1"/>
  <c r="CO37" i="34" s="1"/>
  <c r="CQ37" i="34" a="1"/>
  <c r="CQ37" i="34"/>
  <c r="CR37" i="34"/>
  <c r="CW37" i="34"/>
  <c r="CX37" i="34"/>
  <c r="DC37" i="34"/>
  <c r="DF37" i="34" s="1" a="1"/>
  <c r="DF37" i="34" s="1"/>
  <c r="DD37" i="34"/>
  <c r="DG37" i="34" a="1"/>
  <c r="DG37" i="34" s="1"/>
  <c r="DI37" i="34"/>
  <c r="DL37" i="34" s="1" a="1"/>
  <c r="DL37" i="34" s="1"/>
  <c r="DJ37" i="34"/>
  <c r="DM37" i="34" a="1"/>
  <c r="DM37" i="34" s="1"/>
  <c r="DO37" i="34"/>
  <c r="DR37" i="34" s="1" a="1"/>
  <c r="DR37" i="34" s="1"/>
  <c r="DP37" i="34"/>
  <c r="DS37" i="34" a="1"/>
  <c r="DS37" i="34" s="1"/>
  <c r="DU37" i="34"/>
  <c r="DY37" i="34" s="1" a="1"/>
  <c r="DY37" i="34" s="1"/>
  <c r="DV37" i="34"/>
  <c r="DX37" i="34" a="1"/>
  <c r="DX37" i="34" s="1"/>
  <c r="EA37" i="34"/>
  <c r="EB37" i="34"/>
  <c r="EE37" i="34" s="1" a="1"/>
  <c r="EE37" i="34" s="1"/>
  <c r="BS38" i="34"/>
  <c r="BT38" i="34"/>
  <c r="BV38" i="34" a="1"/>
  <c r="BV38" i="34" s="1"/>
  <c r="BW38" i="34" a="1"/>
  <c r="BW38" i="34" s="1"/>
  <c r="BY38" i="34"/>
  <c r="BZ38" i="34"/>
  <c r="CE38" i="34"/>
  <c r="CF38" i="34"/>
  <c r="CK38" i="34"/>
  <c r="CL38" i="34"/>
  <c r="CQ38" i="34" a="1"/>
  <c r="CQ38" i="34" s="1"/>
  <c r="CU38" i="34" s="1" a="1"/>
  <c r="CU38" i="34" s="1"/>
  <c r="CR38" i="34"/>
  <c r="CW38" i="34"/>
  <c r="CZ38" i="34" s="1" a="1"/>
  <c r="CZ38" i="34" s="1"/>
  <c r="CX38" i="34"/>
  <c r="DA38" i="34" a="1"/>
  <c r="DA38" i="34" s="1"/>
  <c r="DC38" i="34"/>
  <c r="DD38" i="34"/>
  <c r="DI38" i="34"/>
  <c r="DJ38" i="34"/>
  <c r="DO38" i="34"/>
  <c r="DP38" i="34"/>
  <c r="DS38" i="34" s="1" a="1"/>
  <c r="DS38" i="34" s="1"/>
  <c r="DR38" i="34" a="1"/>
  <c r="DR38" i="34" s="1"/>
  <c r="DU38" i="34"/>
  <c r="DX38" i="34" s="1" a="1"/>
  <c r="DX38" i="34" s="1"/>
  <c r="DV38" i="34"/>
  <c r="DY38" i="34" a="1"/>
  <c r="DY38" i="34" s="1"/>
  <c r="EA38" i="34"/>
  <c r="EE38" i="34" s="1" a="1"/>
  <c r="EB38" i="34"/>
  <c r="ED38" i="34" a="1"/>
  <c r="ED38" i="34" s="1"/>
  <c r="EE38" i="34"/>
  <c r="BS39" i="34"/>
  <c r="BT39" i="34"/>
  <c r="BY39" i="34"/>
  <c r="BZ39" i="34"/>
  <c r="CB39" i="34" a="1"/>
  <c r="CB39" i="34" s="1"/>
  <c r="CC39" i="34" a="1"/>
  <c r="CC39" i="34"/>
  <c r="CE39" i="34"/>
  <c r="CH39" i="34" s="1" a="1"/>
  <c r="CH39" i="34" s="1"/>
  <c r="CF39" i="34"/>
  <c r="CK39" i="34"/>
  <c r="CL39" i="34"/>
  <c r="CQ39" i="34" a="1"/>
  <c r="CQ39" i="34" s="1"/>
  <c r="CR39" i="34"/>
  <c r="CW39" i="34"/>
  <c r="DA39" i="34" s="1" a="1"/>
  <c r="DA39" i="34" s="1"/>
  <c r="CX39" i="34"/>
  <c r="CZ39" i="34" s="1" a="1"/>
  <c r="CZ39" i="34" s="1"/>
  <c r="DC39" i="34"/>
  <c r="DF39" i="34" s="1" a="1"/>
  <c r="DF39" i="34" s="1"/>
  <c r="DD39" i="34"/>
  <c r="DG39" i="34" a="1"/>
  <c r="DG39" i="34" s="1"/>
  <c r="DI39" i="34"/>
  <c r="DL39" i="34" s="1" a="1"/>
  <c r="DL39" i="34" s="1"/>
  <c r="DJ39" i="34"/>
  <c r="DM39" i="34" a="1"/>
  <c r="DM39" i="34" s="1"/>
  <c r="DO39" i="34"/>
  <c r="DP39" i="34"/>
  <c r="DR39" i="34" s="1" a="1"/>
  <c r="DR39" i="34" s="1"/>
  <c r="DU39" i="34"/>
  <c r="DV39" i="34"/>
  <c r="DY39" i="34" s="1" a="1"/>
  <c r="DY39" i="34" s="1"/>
  <c r="EA39" i="34"/>
  <c r="EB39" i="34"/>
  <c r="ED39" i="34" a="1"/>
  <c r="ED39" i="34" s="1"/>
  <c r="EE39" i="34" a="1"/>
  <c r="EE39" i="34"/>
  <c r="BS40" i="34"/>
  <c r="BT40" i="34"/>
  <c r="BY40" i="34"/>
  <c r="BZ40" i="34"/>
  <c r="CE40" i="34"/>
  <c r="CI40" i="34" s="1" a="1"/>
  <c r="CI40" i="34" s="1"/>
  <c r="CF40" i="34"/>
  <c r="CH40" i="34" s="1" a="1"/>
  <c r="CH40" i="34" s="1"/>
  <c r="CK40" i="34"/>
  <c r="CN40" i="34" s="1" a="1"/>
  <c r="CN40" i="34" s="1"/>
  <c r="CL40" i="34"/>
  <c r="CO40" i="34" a="1"/>
  <c r="CO40" i="34" s="1"/>
  <c r="CQ40" i="34" a="1"/>
  <c r="CQ40" i="34"/>
  <c r="CT40" i="34" s="1" a="1"/>
  <c r="CR40" i="34"/>
  <c r="CT40" i="34"/>
  <c r="CW40" i="34"/>
  <c r="CX40" i="34"/>
  <c r="DC40" i="34"/>
  <c r="DF40" i="34" s="1" a="1"/>
  <c r="DF40" i="34" s="1"/>
  <c r="DD40" i="34"/>
  <c r="DI40" i="34"/>
  <c r="DJ40" i="34"/>
  <c r="DL40" i="34" s="1" a="1"/>
  <c r="DL40" i="34" s="1"/>
  <c r="DO40" i="34"/>
  <c r="DR40" i="34" s="1" a="1"/>
  <c r="DR40" i="34" s="1"/>
  <c r="DP40" i="34"/>
  <c r="DS40" i="34" a="1"/>
  <c r="DS40" i="34" s="1"/>
  <c r="DU40" i="34"/>
  <c r="DY40" i="34" s="1" a="1"/>
  <c r="DY40" i="34" s="1"/>
  <c r="DV40" i="34"/>
  <c r="DX40" i="34" a="1"/>
  <c r="DX40" i="34" s="1"/>
  <c r="EA40" i="34"/>
  <c r="EE40" i="34" s="1" a="1"/>
  <c r="EE40" i="34" s="1"/>
  <c r="EB40" i="34"/>
  <c r="BS41" i="34"/>
  <c r="BT41" i="34"/>
  <c r="BV41" i="34" a="1"/>
  <c r="BV41" i="34"/>
  <c r="BW41" i="34" a="1"/>
  <c r="BW41" i="34"/>
  <c r="BY41" i="34"/>
  <c r="CB41" i="34" s="1" a="1"/>
  <c r="BZ41" i="34"/>
  <c r="CB41" i="34"/>
  <c r="CE41" i="34"/>
  <c r="CF41" i="34"/>
  <c r="CK41" i="34"/>
  <c r="CN41" i="34" s="1" a="1"/>
  <c r="CN41" i="34" s="1"/>
  <c r="CL41" i="34"/>
  <c r="CO41" i="34" a="1"/>
  <c r="CO41" i="34" s="1"/>
  <c r="CQ41" i="34" a="1"/>
  <c r="CQ41" i="34"/>
  <c r="CR41" i="34"/>
  <c r="CT41" i="34" a="1"/>
  <c r="CT41" i="34" s="1"/>
  <c r="CU41" i="34" a="1"/>
  <c r="CU41" i="34"/>
  <c r="CW41" i="34"/>
  <c r="CZ41" i="34" s="1" a="1"/>
  <c r="CX41" i="34"/>
  <c r="CZ41" i="34"/>
  <c r="DA41" i="34" a="1"/>
  <c r="DA41" i="34" s="1"/>
  <c r="DC41" i="34"/>
  <c r="DF41" i="34" s="1" a="1"/>
  <c r="DF41" i="34" s="1"/>
  <c r="DD41" i="34"/>
  <c r="DG41" i="34" s="1" a="1"/>
  <c r="DG41" i="34" s="1"/>
  <c r="DI41" i="34"/>
  <c r="DM41" i="34" s="1" a="1"/>
  <c r="DM41" i="34" s="1"/>
  <c r="DJ41" i="34"/>
  <c r="DO41" i="34"/>
  <c r="DP41" i="34"/>
  <c r="DR41" i="34" a="1"/>
  <c r="DR41" i="34" s="1"/>
  <c r="DS41" i="34" a="1"/>
  <c r="DS41" i="34" s="1"/>
  <c r="DU41" i="34"/>
  <c r="DV41" i="34"/>
  <c r="DX41" i="34" a="1"/>
  <c r="DX41" i="34"/>
  <c r="DY41" i="34" a="1"/>
  <c r="DY41" i="34" s="1"/>
  <c r="EA41" i="34"/>
  <c r="EB41" i="34"/>
  <c r="BS42" i="34"/>
  <c r="BW42" i="34" s="1" a="1"/>
  <c r="BW42" i="34" s="1"/>
  <c r="BT42" i="34"/>
  <c r="BV42" i="34" a="1"/>
  <c r="BV42" i="34" s="1"/>
  <c r="BY42" i="34"/>
  <c r="CB42" i="34" s="1" a="1"/>
  <c r="CB42" i="34" s="1"/>
  <c r="BZ42" i="34"/>
  <c r="CE42" i="34"/>
  <c r="CH42" i="34" s="1" a="1"/>
  <c r="CH42" i="34" s="1"/>
  <c r="CF42" i="34"/>
  <c r="CI42" i="34" a="1"/>
  <c r="CI42" i="34" s="1"/>
  <c r="CK42" i="34"/>
  <c r="CN42" i="34" s="1" a="1"/>
  <c r="CN42" i="34" s="1"/>
  <c r="CL42" i="34"/>
  <c r="CQ42" i="34" a="1"/>
  <c r="CQ42" i="34" s="1"/>
  <c r="CR42" i="34"/>
  <c r="CW42" i="34"/>
  <c r="CX42" i="34"/>
  <c r="DA42" i="34" s="1" a="1"/>
  <c r="DA42" i="34" s="1"/>
  <c r="DC42" i="34"/>
  <c r="DD42" i="34"/>
  <c r="DF42" i="34" s="1" a="1"/>
  <c r="DF42" i="34" s="1"/>
  <c r="DG42" i="34" a="1"/>
  <c r="DG42" i="34" s="1"/>
  <c r="DI42" i="34"/>
  <c r="DL42" i="34" s="1" a="1"/>
  <c r="DL42" i="34" s="1"/>
  <c r="DJ42" i="34"/>
  <c r="DM42" i="34" a="1"/>
  <c r="DM42" i="34" s="1"/>
  <c r="DO42" i="34"/>
  <c r="DP42" i="34"/>
  <c r="DR42" i="34" s="1" a="1"/>
  <c r="DR42" i="34" s="1"/>
  <c r="DU42" i="34"/>
  <c r="DY42" i="34" s="1" a="1"/>
  <c r="DY42" i="34" s="1"/>
  <c r="DV42" i="34"/>
  <c r="DX42" i="34" a="1"/>
  <c r="DX42" i="34" s="1"/>
  <c r="EA42" i="34"/>
  <c r="EB42" i="34"/>
  <c r="ED42" i="34" a="1"/>
  <c r="ED42" i="34" s="1"/>
  <c r="EE42" i="34" a="1"/>
  <c r="EE42" i="34"/>
  <c r="BS43" i="34"/>
  <c r="BV43" i="34" s="1" a="1"/>
  <c r="BT43" i="34"/>
  <c r="BV43" i="34"/>
  <c r="BY43" i="34"/>
  <c r="CC43" i="34" s="1" a="1"/>
  <c r="CC43" i="34" s="1"/>
  <c r="BZ43" i="34"/>
  <c r="CB43" i="34" a="1"/>
  <c r="CB43" i="34" s="1"/>
  <c r="CE43" i="34"/>
  <c r="CH43" i="34" s="1" a="1"/>
  <c r="CH43" i="34" s="1"/>
  <c r="CF43" i="34"/>
  <c r="CI43" i="34" a="1"/>
  <c r="CI43" i="34" s="1"/>
  <c r="CK43" i="34"/>
  <c r="CL43" i="34"/>
  <c r="CN43" i="34" a="1"/>
  <c r="CN43" i="34"/>
  <c r="CO43" i="34" a="1"/>
  <c r="CO43" i="34" s="1"/>
  <c r="CQ43" i="34" a="1"/>
  <c r="CQ43" i="34" s="1"/>
  <c r="CT43" i="34" s="1" a="1"/>
  <c r="CR43" i="34"/>
  <c r="CT43" i="34"/>
  <c r="CW43" i="34"/>
  <c r="CX43" i="34"/>
  <c r="DA43" i="34" s="1" a="1"/>
  <c r="DA43" i="34" s="1"/>
  <c r="DC43" i="34"/>
  <c r="DD43" i="34"/>
  <c r="DF43" i="34" s="1" a="1"/>
  <c r="DF43" i="34" s="1"/>
  <c r="DI43" i="34"/>
  <c r="DJ43" i="34"/>
  <c r="DL43" i="34" s="1" a="1"/>
  <c r="DL43" i="34" s="1"/>
  <c r="DO43" i="34"/>
  <c r="DP43" i="34"/>
  <c r="DR43" i="34" a="1"/>
  <c r="DR43" i="34" s="1"/>
  <c r="DS43" i="34" a="1"/>
  <c r="DS43" i="34" s="1"/>
  <c r="DU43" i="34"/>
  <c r="DV43" i="34"/>
  <c r="EA43" i="34"/>
  <c r="EE43" i="34" s="1" a="1"/>
  <c r="EE43" i="34" s="1"/>
  <c r="EB43" i="34"/>
  <c r="BS44" i="34"/>
  <c r="BT44" i="34"/>
  <c r="BV44" i="34" a="1"/>
  <c r="BV44" i="34" s="1"/>
  <c r="BW44" i="34" a="1"/>
  <c r="BW44" i="34" s="1"/>
  <c r="BY44" i="34"/>
  <c r="CB44" i="34" s="1" a="1"/>
  <c r="BZ44" i="34"/>
  <c r="CB44" i="34"/>
  <c r="CC44" i="34" a="1"/>
  <c r="CC44" i="34" s="1"/>
  <c r="CE44" i="34"/>
  <c r="CH44" i="34" s="1" a="1"/>
  <c r="CH44" i="34" s="1"/>
  <c r="CF44" i="34"/>
  <c r="CK44" i="34"/>
  <c r="CO44" i="34" s="1" a="1"/>
  <c r="CO44" i="34" s="1"/>
  <c r="CL44" i="34"/>
  <c r="CQ44" i="34" a="1"/>
  <c r="CQ44" i="34"/>
  <c r="CR44" i="34"/>
  <c r="CW44" i="34"/>
  <c r="CX44" i="34"/>
  <c r="CZ44" i="34" a="1"/>
  <c r="CZ44" i="34" s="1"/>
  <c r="DA44" i="34" a="1"/>
  <c r="DA44" i="34"/>
  <c r="DC44" i="34"/>
  <c r="DF44" i="34" s="1" a="1"/>
  <c r="DF44" i="34" s="1"/>
  <c r="DD44" i="34"/>
  <c r="DI44" i="34"/>
  <c r="DJ44" i="34"/>
  <c r="DL44" i="34" s="1" a="1"/>
  <c r="DL44" i="34" s="1"/>
  <c r="DO44" i="34"/>
  <c r="DR44" i="34" s="1" a="1"/>
  <c r="DR44" i="34" s="1"/>
  <c r="DP44" i="34"/>
  <c r="DS44" i="34" a="1"/>
  <c r="DS44" i="34" s="1"/>
  <c r="DU44" i="34"/>
  <c r="DV44" i="34"/>
  <c r="DX44" i="34" a="1"/>
  <c r="DX44" i="34"/>
  <c r="DY44" i="34" a="1"/>
  <c r="DY44" i="34" s="1"/>
  <c r="EA44" i="34"/>
  <c r="ED44" i="34" s="1" a="1"/>
  <c r="EB44" i="34"/>
  <c r="ED44" i="34"/>
  <c r="BS45" i="34"/>
  <c r="BW45" i="34" s="1" a="1"/>
  <c r="BW45" i="34" s="1"/>
  <c r="BT45" i="34"/>
  <c r="BY45" i="34"/>
  <c r="BZ45" i="34"/>
  <c r="CB45" i="34" s="1" a="1"/>
  <c r="CB45" i="34" s="1"/>
  <c r="CE45" i="34"/>
  <c r="CF45" i="34"/>
  <c r="CH45" i="34" s="1" a="1"/>
  <c r="CH45" i="34" s="1"/>
  <c r="CK45" i="34"/>
  <c r="CN45" i="34" s="1" a="1"/>
  <c r="CN45" i="34" s="1"/>
  <c r="CL45" i="34"/>
  <c r="CO45" i="34" a="1"/>
  <c r="CO45" i="34" s="1"/>
  <c r="CQ45" i="34" a="1"/>
  <c r="CQ45" i="34" s="1"/>
  <c r="CR45" i="34"/>
  <c r="CW45" i="34"/>
  <c r="CX45" i="34"/>
  <c r="CZ45" i="34" s="1" a="1"/>
  <c r="CZ45" i="34" s="1"/>
  <c r="DC45" i="34"/>
  <c r="DD45" i="34"/>
  <c r="DF45" i="34" a="1"/>
  <c r="DF45" i="34" s="1"/>
  <c r="DG45" i="34" a="1"/>
  <c r="DG45" i="34"/>
  <c r="DI45" i="34"/>
  <c r="DJ45" i="34"/>
  <c r="DL45" i="34" a="1"/>
  <c r="DL45" i="34"/>
  <c r="DM45" i="34" a="1"/>
  <c r="DM45" i="34" s="1"/>
  <c r="DO45" i="34"/>
  <c r="DP45" i="34"/>
  <c r="DU45" i="34"/>
  <c r="DX45" i="34" s="1" a="1"/>
  <c r="DX45" i="34" s="1"/>
  <c r="DV45" i="34"/>
  <c r="EA45" i="34"/>
  <c r="EE45" i="34" s="1" a="1"/>
  <c r="EE45" i="34" s="1"/>
  <c r="EB45" i="34"/>
  <c r="ED45" i="34" a="1"/>
  <c r="ED45" i="34" s="1"/>
  <c r="BS46" i="34"/>
  <c r="BV46" i="34" s="1" a="1"/>
  <c r="BV46" i="34" s="1"/>
  <c r="BT46" i="34"/>
  <c r="BW46" i="34" a="1"/>
  <c r="BW46" i="34"/>
  <c r="BY46" i="34"/>
  <c r="CB46" i="34" s="1" a="1"/>
  <c r="CB46" i="34" s="1"/>
  <c r="BZ46" i="34"/>
  <c r="CC46" i="34" a="1"/>
  <c r="CC46" i="34" s="1"/>
  <c r="CE46" i="34"/>
  <c r="CF46" i="34"/>
  <c r="CK46" i="34"/>
  <c r="CL46" i="34"/>
  <c r="CN46" i="34" s="1" a="1"/>
  <c r="CN46" i="34" s="1"/>
  <c r="CO46" i="34" a="1"/>
  <c r="CO46" i="34" s="1"/>
  <c r="CQ46" i="34" a="1"/>
  <c r="CQ46" i="34" s="1"/>
  <c r="CR46" i="34"/>
  <c r="CT46" i="34" a="1"/>
  <c r="CT46" i="34" s="1"/>
  <c r="CU46" i="34" a="1"/>
  <c r="CU46" i="34" s="1"/>
  <c r="CW46" i="34"/>
  <c r="CX46" i="34"/>
  <c r="DC46" i="34"/>
  <c r="DG46" i="34" s="1" a="1"/>
  <c r="DD46" i="34"/>
  <c r="DG46" i="34"/>
  <c r="DI46" i="34"/>
  <c r="DL46" i="34" s="1" a="1"/>
  <c r="DL46" i="34" s="1"/>
  <c r="DJ46" i="34"/>
  <c r="DM46" i="34" a="1"/>
  <c r="DM46" i="34" s="1"/>
  <c r="DO46" i="34"/>
  <c r="DP46" i="34"/>
  <c r="DR46" i="34" a="1"/>
  <c r="DR46" i="34"/>
  <c r="DS46" i="34" a="1"/>
  <c r="DS46" i="34" s="1"/>
  <c r="DU46" i="34"/>
  <c r="DX46" i="34" s="1" a="1"/>
  <c r="DX46" i="34" s="1"/>
  <c r="DV46" i="34"/>
  <c r="EA46" i="34"/>
  <c r="EE46" i="34" s="1" a="1"/>
  <c r="EE46" i="34" s="1"/>
  <c r="EB46" i="34"/>
  <c r="BS47" i="34"/>
  <c r="BV47" i="34" s="1" a="1"/>
  <c r="BV47" i="34" s="1"/>
  <c r="BT47" i="34"/>
  <c r="BY47" i="34"/>
  <c r="BZ47" i="34"/>
  <c r="CB47" i="34" s="1" a="1"/>
  <c r="CB47" i="34" s="1"/>
  <c r="CC47" i="34" a="1"/>
  <c r="CC47" i="34" s="1"/>
  <c r="CE47" i="34"/>
  <c r="CH47" i="34" s="1" a="1"/>
  <c r="CH47" i="34" s="1"/>
  <c r="CF47" i="34"/>
  <c r="CI47" i="34" a="1"/>
  <c r="CI47" i="34" s="1"/>
  <c r="CK47" i="34"/>
  <c r="CL47" i="34"/>
  <c r="CN47" i="34" a="1"/>
  <c r="CN47" i="34" s="1"/>
  <c r="CQ47" i="34" a="1"/>
  <c r="CQ47" i="34" s="1"/>
  <c r="CR47" i="34"/>
  <c r="CW47" i="34"/>
  <c r="CX47" i="34"/>
  <c r="CZ47" i="34" s="1" a="1"/>
  <c r="CZ47" i="34" s="1"/>
  <c r="DA47" i="34" a="1"/>
  <c r="DA47" i="34" s="1"/>
  <c r="DC47" i="34"/>
  <c r="DD47" i="34"/>
  <c r="DF47" i="34" a="1"/>
  <c r="DF47" i="34"/>
  <c r="DG47" i="34" a="1"/>
  <c r="DG47" i="34"/>
  <c r="DI47" i="34"/>
  <c r="DJ47" i="34"/>
  <c r="DO47" i="34"/>
  <c r="DP47" i="34"/>
  <c r="DR47" i="34" s="1" a="1"/>
  <c r="DR47" i="34" s="1"/>
  <c r="DU47" i="34"/>
  <c r="DV47" i="34"/>
  <c r="DX47" i="34" s="1" a="1"/>
  <c r="DX47" i="34" s="1"/>
  <c r="EA47" i="34"/>
  <c r="ED47" i="34" s="1" a="1"/>
  <c r="ED47" i="34" s="1"/>
  <c r="EB47" i="34"/>
  <c r="EE47" i="34" a="1"/>
  <c r="EE47" i="34"/>
  <c r="BS48" i="34"/>
  <c r="BV48" i="34" s="1" a="1"/>
  <c r="BV48" i="34" s="1"/>
  <c r="BT48" i="34"/>
  <c r="BW48" i="34" a="1"/>
  <c r="BW48" i="34" s="1"/>
  <c r="BY48" i="34"/>
  <c r="CC48" i="34" s="1" a="1"/>
  <c r="CC48" i="34" s="1"/>
  <c r="BZ48" i="34"/>
  <c r="CB48" i="34" a="1"/>
  <c r="CB48" i="34" s="1"/>
  <c r="CE48" i="34"/>
  <c r="CF48" i="34"/>
  <c r="CH48" i="34" a="1"/>
  <c r="CH48" i="34"/>
  <c r="CI48" i="34" a="1"/>
  <c r="CI48" i="34"/>
  <c r="CK48" i="34"/>
  <c r="CL48" i="34"/>
  <c r="CN48" i="34" a="1"/>
  <c r="CN48" i="34" s="1"/>
  <c r="CO48" i="34" a="1"/>
  <c r="CO48" i="34" s="1"/>
  <c r="CQ48" i="34" a="1"/>
  <c r="CQ48" i="34" s="1"/>
  <c r="CR48" i="34"/>
  <c r="CW48" i="34"/>
  <c r="CX48" i="34"/>
  <c r="CZ48" i="34" a="1"/>
  <c r="CZ48" i="34" s="1"/>
  <c r="DC48" i="34"/>
  <c r="DG48" i="34" s="1" a="1"/>
  <c r="DG48" i="34" s="1"/>
  <c r="DD48" i="34"/>
  <c r="DF48" i="34" a="1"/>
  <c r="DF48" i="34" s="1"/>
  <c r="DI48" i="34"/>
  <c r="DJ48" i="34"/>
  <c r="DL48" i="34" a="1"/>
  <c r="DL48" i="34" s="1"/>
  <c r="DM48" i="34" a="1"/>
  <c r="DM48" i="34" s="1"/>
  <c r="DO48" i="34"/>
  <c r="DR48" i="34" s="1" a="1"/>
  <c r="DP48" i="34"/>
  <c r="DR48" i="34"/>
  <c r="DS48" i="34" a="1"/>
  <c r="DS48" i="34" s="1"/>
  <c r="DU48" i="34"/>
  <c r="DY48" i="34" s="1" a="1"/>
  <c r="DY48" i="34" s="1"/>
  <c r="DV48" i="34"/>
  <c r="DX48" i="34" a="1"/>
  <c r="DX48" i="34" s="1"/>
  <c r="EA48" i="34"/>
  <c r="EE48" i="34" s="1" a="1"/>
  <c r="EE48" i="34" s="1"/>
  <c r="EB48" i="34"/>
  <c r="ED48" i="34" a="1"/>
  <c r="ED48" i="34" s="1"/>
  <c r="BS49" i="34"/>
  <c r="BT49" i="34"/>
  <c r="BV49" i="34" s="1" a="1"/>
  <c r="BV49" i="34" s="1"/>
  <c r="BY49" i="34"/>
  <c r="CB49" i="34" s="1" a="1"/>
  <c r="CB49" i="34" s="1"/>
  <c r="BZ49" i="34"/>
  <c r="CE49" i="34"/>
  <c r="CF49" i="34"/>
  <c r="CK49" i="34"/>
  <c r="CN49" i="34" s="1" a="1"/>
  <c r="CN49" i="34" s="1"/>
  <c r="CL49" i="34"/>
  <c r="CO49" i="34" a="1"/>
  <c r="CO49" i="34" s="1"/>
  <c r="CQ49" i="34" a="1"/>
  <c r="CQ49" i="34" s="1"/>
  <c r="CR49" i="34"/>
  <c r="CT49" i="34" a="1"/>
  <c r="CT49" i="34"/>
  <c r="CU49" i="34" a="1"/>
  <c r="CU49" i="34"/>
  <c r="CW49" i="34"/>
  <c r="CX49" i="34"/>
  <c r="CZ49" i="34" a="1"/>
  <c r="CZ49" i="34" s="1"/>
  <c r="DA49" i="34" a="1"/>
  <c r="DA49" i="34" s="1"/>
  <c r="DC49" i="34"/>
  <c r="DD49" i="34"/>
  <c r="DI49" i="34"/>
  <c r="DJ49" i="34"/>
  <c r="DL49" i="34" a="1"/>
  <c r="DL49" i="34"/>
  <c r="DO49" i="34"/>
  <c r="DR49" i="34" s="1" a="1"/>
  <c r="DR49" i="34" s="1"/>
  <c r="DP49" i="34"/>
  <c r="DU49" i="34"/>
  <c r="DX49" i="34" s="1" a="1"/>
  <c r="DX49" i="34" s="1"/>
  <c r="DV49" i="34"/>
  <c r="DY49" i="34" s="1" a="1"/>
  <c r="DY49" i="34" s="1"/>
  <c r="EA49" i="34"/>
  <c r="ED49" i="34" s="1" a="1"/>
  <c r="ED49" i="34" s="1"/>
  <c r="EB49" i="34"/>
  <c r="BS50" i="34"/>
  <c r="BV50" i="34" s="1" a="1"/>
  <c r="BV50" i="34" s="1"/>
  <c r="BT50" i="34"/>
  <c r="BW50" i="34" a="1"/>
  <c r="BW50" i="34" s="1"/>
  <c r="BY50" i="34"/>
  <c r="BZ50" i="34"/>
  <c r="CB50" i="34" s="1" a="1"/>
  <c r="CB50" i="34" s="1"/>
  <c r="CE50" i="34"/>
  <c r="CF50" i="34"/>
  <c r="CH50" i="34" a="1"/>
  <c r="CH50" i="34"/>
  <c r="CI50" i="34" a="1"/>
  <c r="CI50" i="34" s="1"/>
  <c r="CK50" i="34"/>
  <c r="CO50" i="34" s="1" a="1"/>
  <c r="CO50" i="34" s="1"/>
  <c r="CL50" i="34"/>
  <c r="CN50" i="34" a="1"/>
  <c r="CN50" i="34" s="1"/>
  <c r="CQ50" i="34" a="1"/>
  <c r="CQ50" i="34" s="1"/>
  <c r="CR50" i="34"/>
  <c r="CW50" i="34"/>
  <c r="CZ50" i="34" s="1" a="1"/>
  <c r="CZ50" i="34" s="1"/>
  <c r="CX50" i="34"/>
  <c r="DA50" i="34" a="1"/>
  <c r="DA50" i="34" s="1"/>
  <c r="DC50" i="34"/>
  <c r="DG50" i="34" s="1" a="1"/>
  <c r="DG50" i="34" s="1"/>
  <c r="DD50" i="34"/>
  <c r="DF50" i="34" a="1"/>
  <c r="DF50" i="34" s="1"/>
  <c r="DI50" i="34"/>
  <c r="DL50" i="34" s="1" a="1"/>
  <c r="DL50" i="34" s="1"/>
  <c r="DJ50" i="34"/>
  <c r="DM50" i="34" a="1"/>
  <c r="DM50" i="34" s="1"/>
  <c r="DO50" i="34"/>
  <c r="DP50" i="34"/>
  <c r="DR50" i="34" a="1"/>
  <c r="DR50" i="34"/>
  <c r="DS50" i="34" a="1"/>
  <c r="DS50" i="34" s="1"/>
  <c r="DU50" i="34"/>
  <c r="DY50" i="34" s="1" a="1"/>
  <c r="DY50" i="34" s="1"/>
  <c r="DV50" i="34"/>
  <c r="DX50" i="34" a="1"/>
  <c r="DX50" i="34" s="1"/>
  <c r="EA50" i="34"/>
  <c r="EB50" i="34"/>
  <c r="ED50" i="34" s="1" a="1"/>
  <c r="ED50" i="34" s="1"/>
  <c r="EE50" i="34" a="1"/>
  <c r="EE50" i="34" s="1"/>
  <c r="BS51" i="34"/>
  <c r="BT51" i="34"/>
  <c r="BV51" i="34" a="1"/>
  <c r="BV51" i="34" s="1"/>
  <c r="BW51" i="34" a="1"/>
  <c r="BW51" i="34" s="1"/>
  <c r="BY51" i="34"/>
  <c r="CC51" i="34" s="1" a="1"/>
  <c r="CC51" i="34" s="1"/>
  <c r="BZ51" i="34"/>
  <c r="CB51" i="34" a="1"/>
  <c r="CB51" i="34" s="1"/>
  <c r="CE51" i="34"/>
  <c r="CI51" i="34" s="1" a="1"/>
  <c r="CI51" i="34" s="1"/>
  <c r="CF51" i="34"/>
  <c r="CH51" i="34" s="1" a="1"/>
  <c r="CH51" i="34" s="1"/>
  <c r="CK51" i="34"/>
  <c r="CN51" i="34" s="1" a="1"/>
  <c r="CN51" i="34" s="1"/>
  <c r="CL51" i="34"/>
  <c r="CO51" i="34" a="1"/>
  <c r="CO51" i="34" s="1"/>
  <c r="CQ51" i="34" a="1"/>
  <c r="CQ51" i="34" s="1"/>
  <c r="CU51" i="34" s="1" a="1"/>
  <c r="CU51" i="34" s="1"/>
  <c r="CR51" i="34"/>
  <c r="CT51" i="34" a="1"/>
  <c r="CT51" i="34" s="1"/>
  <c r="CW51" i="34"/>
  <c r="DA51" i="34" s="1" a="1"/>
  <c r="CX51" i="34"/>
  <c r="DA51" i="34"/>
  <c r="DC51" i="34"/>
  <c r="DD51" i="34"/>
  <c r="DF51" i="34" a="1"/>
  <c r="DF51" i="34"/>
  <c r="DI51" i="34"/>
  <c r="DL51" i="34" s="1" a="1"/>
  <c r="DL51" i="34" s="1"/>
  <c r="DJ51" i="34"/>
  <c r="DO51" i="34"/>
  <c r="DR51" i="34" s="1" a="1"/>
  <c r="DR51" i="34" s="1"/>
  <c r="DP51" i="34"/>
  <c r="DU51" i="34"/>
  <c r="DX51" i="34" s="1" a="1"/>
  <c r="DX51" i="34" s="1"/>
  <c r="DV51" i="34"/>
  <c r="EA51" i="34"/>
  <c r="ED51" i="34" s="1" a="1"/>
  <c r="ED51" i="34" s="1"/>
  <c r="EB51" i="34"/>
  <c r="EE51" i="34" a="1"/>
  <c r="EE51" i="34" s="1"/>
  <c r="BS52" i="34"/>
  <c r="BW52" i="34" s="1" a="1"/>
  <c r="BW52" i="34" s="1"/>
  <c r="BT52" i="34"/>
  <c r="BV52" i="34" s="1" a="1"/>
  <c r="BV52" i="34" s="1"/>
  <c r="BY52" i="34"/>
  <c r="BZ52" i="34"/>
  <c r="CB52" i="34" a="1"/>
  <c r="CB52" i="34"/>
  <c r="CC52" i="34" a="1"/>
  <c r="CC52" i="34" s="1"/>
  <c r="CE52" i="34"/>
  <c r="CI52" i="34" s="1" a="1"/>
  <c r="CI52" i="34" s="1"/>
  <c r="CF52" i="34"/>
  <c r="CH52" i="34" a="1"/>
  <c r="CH52" i="34" s="1"/>
  <c r="CK52" i="34"/>
  <c r="CN52" i="34" s="1" a="1"/>
  <c r="CN52" i="34" s="1"/>
  <c r="CL52" i="34"/>
  <c r="CO52" i="34" a="1"/>
  <c r="CO52" i="34" s="1"/>
  <c r="CQ52" i="34" a="1"/>
  <c r="CQ52" i="34"/>
  <c r="CT52" i="34" s="1" a="1"/>
  <c r="CT52" i="34" s="1"/>
  <c r="CR52" i="34"/>
  <c r="CW52" i="34"/>
  <c r="DA52" i="34" s="1" a="1"/>
  <c r="DA52" i="34" s="1"/>
  <c r="CX52" i="34"/>
  <c r="CZ52" i="34" a="1"/>
  <c r="CZ52" i="34" s="1"/>
  <c r="DC52" i="34"/>
  <c r="DF52" i="34" s="1" a="1"/>
  <c r="DF52" i="34" s="1"/>
  <c r="DD52" i="34"/>
  <c r="DG52" i="34" s="1" a="1"/>
  <c r="DG52" i="34" s="1"/>
  <c r="DI52" i="34"/>
  <c r="DL52" i="34" s="1" a="1"/>
  <c r="DL52" i="34" s="1"/>
  <c r="DJ52" i="34"/>
  <c r="DO52" i="34"/>
  <c r="DR52" i="34" s="1" a="1"/>
  <c r="DR52" i="34" s="1"/>
  <c r="DP52" i="34"/>
  <c r="DU52" i="34"/>
  <c r="DV52" i="34"/>
  <c r="DX52" i="34" a="1"/>
  <c r="DX52" i="34"/>
  <c r="DY52" i="34" a="1"/>
  <c r="DY52" i="34"/>
  <c r="EA52" i="34"/>
  <c r="EB52" i="34"/>
  <c r="BS53" i="34"/>
  <c r="BT53" i="34"/>
  <c r="BV53" i="34" a="1"/>
  <c r="BV53" i="34" s="1"/>
  <c r="BW53" i="34" a="1"/>
  <c r="BW53" i="34"/>
  <c r="BY53" i="34"/>
  <c r="CB53" i="34" s="1" a="1"/>
  <c r="CB53" i="34" s="1"/>
  <c r="BZ53" i="34"/>
  <c r="CE53" i="34"/>
  <c r="CI53" i="34" s="1" a="1"/>
  <c r="CI53" i="34" s="1"/>
  <c r="CF53" i="34"/>
  <c r="CH53" i="34" a="1"/>
  <c r="CH53" i="34" s="1"/>
  <c r="CK53" i="34"/>
  <c r="CN53" i="34" s="1" a="1"/>
  <c r="CN53" i="34" s="1"/>
  <c r="CL53" i="34"/>
  <c r="CO53" i="34" a="1"/>
  <c r="CO53" i="34"/>
  <c r="CQ53" i="34" a="1"/>
  <c r="CQ53" i="34"/>
  <c r="CU53" i="34" s="1" a="1"/>
  <c r="CU53" i="34" s="1"/>
  <c r="CR53" i="34"/>
  <c r="CT53" i="34" a="1"/>
  <c r="CT53" i="34" s="1"/>
  <c r="CW53" i="34"/>
  <c r="CZ53" i="34" s="1" a="1"/>
  <c r="CZ53" i="34" s="1"/>
  <c r="CX53" i="34"/>
  <c r="DA53" i="34" a="1"/>
  <c r="DA53" i="34" s="1"/>
  <c r="DC53" i="34"/>
  <c r="DD53" i="34"/>
  <c r="DG53" i="34" s="1" a="1"/>
  <c r="DG53" i="34" s="1"/>
  <c r="DF53" i="34" a="1"/>
  <c r="DF53" i="34" s="1"/>
  <c r="DI53" i="34"/>
  <c r="DJ53" i="34"/>
  <c r="DO53" i="34"/>
  <c r="DP53" i="34"/>
  <c r="DS53" i="34" s="1" a="1"/>
  <c r="DS53" i="34" s="1"/>
  <c r="DR53" i="34" a="1"/>
  <c r="DR53" i="34" s="1"/>
  <c r="DU53" i="34"/>
  <c r="DX53" i="34" s="1" a="1"/>
  <c r="DX53" i="34" s="1"/>
  <c r="DV53" i="34"/>
  <c r="DY53" i="34" a="1"/>
  <c r="DY53" i="34" s="1"/>
  <c r="EA53" i="34"/>
  <c r="EE53" i="34" s="1" a="1"/>
  <c r="EE53" i="34" s="1"/>
  <c r="EB53" i="34"/>
  <c r="ED53" i="34" s="1" a="1"/>
  <c r="ED53" i="34" s="1"/>
  <c r="BS54" i="34"/>
  <c r="BV54" i="34" s="1" a="1"/>
  <c r="BV54" i="34" s="1"/>
  <c r="BT54" i="34"/>
  <c r="BW54" i="34" a="1"/>
  <c r="BW54" i="34" s="1"/>
  <c r="BY54" i="34"/>
  <c r="CC54" i="34" s="1" a="1"/>
  <c r="CC54" i="34" s="1"/>
  <c r="BZ54" i="34"/>
  <c r="CB54" i="34" a="1"/>
  <c r="CB54" i="34" s="1"/>
  <c r="CE54" i="34"/>
  <c r="CH54" i="34" s="1" a="1"/>
  <c r="CH54" i="34" s="1"/>
  <c r="CF54" i="34"/>
  <c r="CI54" i="34" a="1"/>
  <c r="CI54" i="34" s="1"/>
  <c r="CK54" i="34"/>
  <c r="CL54" i="34"/>
  <c r="CO54" i="34" s="1" a="1"/>
  <c r="CO54" i="34" s="1"/>
  <c r="CN54" i="34" a="1"/>
  <c r="CN54" i="34" s="1"/>
  <c r="CQ54" i="34" a="1"/>
  <c r="CQ54" i="34" s="1"/>
  <c r="CR54" i="34"/>
  <c r="CW54" i="34"/>
  <c r="CZ54" i="34" s="1" a="1"/>
  <c r="CZ54" i="34" s="1"/>
  <c r="CX54" i="34"/>
  <c r="DA54" i="34" s="1" a="1"/>
  <c r="DA54" i="34" s="1"/>
  <c r="DC54" i="34"/>
  <c r="DF54" i="34" s="1" a="1"/>
  <c r="DF54" i="34" s="1"/>
  <c r="DD54" i="34"/>
  <c r="DI54" i="34"/>
  <c r="DL54" i="34" s="1" a="1"/>
  <c r="DL54" i="34" s="1"/>
  <c r="DJ54" i="34"/>
  <c r="DO54" i="34"/>
  <c r="DP54" i="34"/>
  <c r="DR54" i="34" a="1"/>
  <c r="DR54" i="34"/>
  <c r="DS54" i="34" a="1"/>
  <c r="DS54" i="34"/>
  <c r="DU54" i="34"/>
  <c r="DV54" i="34"/>
  <c r="EA54" i="34"/>
  <c r="EB54" i="34"/>
  <c r="ED54" i="34" a="1"/>
  <c r="ED54" i="34"/>
  <c r="EE54" i="34" a="1"/>
  <c r="EE54" i="34"/>
  <c r="BS55" i="34"/>
  <c r="BV55" i="34" s="1" a="1"/>
  <c r="BV55" i="34" s="1"/>
  <c r="BT55" i="34"/>
  <c r="BY55" i="34"/>
  <c r="CC55" i="34" s="1" a="1"/>
  <c r="CC55" i="34" s="1"/>
  <c r="BZ55" i="34"/>
  <c r="CB55" i="34" a="1"/>
  <c r="CB55" i="34" s="1"/>
  <c r="CE55" i="34"/>
  <c r="CH55" i="34" s="1" a="1"/>
  <c r="CH55" i="34" s="1"/>
  <c r="CF55" i="34"/>
  <c r="CI55" i="34" a="1"/>
  <c r="CI55" i="34"/>
  <c r="CK55" i="34"/>
  <c r="CN55" i="34" s="1" a="1"/>
  <c r="CN55" i="34" s="1"/>
  <c r="CL55" i="34"/>
  <c r="CQ55" i="34" a="1"/>
  <c r="CQ55" i="34" s="1"/>
  <c r="CR55" i="34"/>
  <c r="CW55" i="34"/>
  <c r="CX55" i="34"/>
  <c r="DA55" i="34" s="1" a="1"/>
  <c r="DA55" i="34" s="1"/>
  <c r="CZ55" i="34" a="1"/>
  <c r="CZ55" i="34" s="1"/>
  <c r="DC55" i="34"/>
  <c r="DD55" i="34"/>
  <c r="DI55" i="34"/>
  <c r="DJ55" i="34"/>
  <c r="DM55" i="34" s="1" a="1"/>
  <c r="DM55" i="34" s="1"/>
  <c r="DL55" i="34" a="1"/>
  <c r="DL55" i="34" s="1"/>
  <c r="DO55" i="34"/>
  <c r="DR55" i="34" s="1" a="1"/>
  <c r="DR55" i="34" s="1"/>
  <c r="DP55" i="34"/>
  <c r="DS55" i="34" a="1"/>
  <c r="DS55" i="34" s="1"/>
  <c r="DU55" i="34"/>
  <c r="DY55" i="34" s="1" a="1"/>
  <c r="DY55" i="34" s="1"/>
  <c r="DV55" i="34"/>
  <c r="DX55" i="34" s="1" a="1"/>
  <c r="DX55" i="34" s="1"/>
  <c r="EA55" i="34"/>
  <c r="ED55" i="34" s="1" a="1"/>
  <c r="ED55" i="34" s="1"/>
  <c r="EB55" i="34"/>
  <c r="EE55" i="34" a="1"/>
  <c r="EE55" i="34" s="1"/>
  <c r="BS56" i="34"/>
  <c r="BW56" i="34" s="1" a="1"/>
  <c r="BW56" i="34" s="1"/>
  <c r="BT56" i="34"/>
  <c r="BV56" i="34" a="1"/>
  <c r="BV56" i="34" s="1"/>
  <c r="BY56" i="34"/>
  <c r="CB56" i="34" s="1" a="1"/>
  <c r="CB56" i="34" s="1"/>
  <c r="BZ56" i="34"/>
  <c r="CC56" i="34" a="1"/>
  <c r="CC56" i="34" s="1"/>
  <c r="CE56" i="34"/>
  <c r="CF56" i="34"/>
  <c r="CI56" i="34" s="1" a="1"/>
  <c r="CI56" i="34" s="1"/>
  <c r="CH56" i="34" a="1"/>
  <c r="CH56" i="34" s="1"/>
  <c r="CK56" i="34"/>
  <c r="CL56" i="34"/>
  <c r="CQ56" i="34" a="1"/>
  <c r="CQ56" i="34"/>
  <c r="CT56" i="34" s="1" a="1"/>
  <c r="CT56" i="34" s="1"/>
  <c r="CR56" i="34"/>
  <c r="CU56" i="34" s="1" a="1"/>
  <c r="CU56" i="34" s="1"/>
  <c r="CW56" i="34"/>
  <c r="CZ56" i="34" s="1" a="1"/>
  <c r="CZ56" i="34" s="1"/>
  <c r="CX56" i="34"/>
  <c r="DC56" i="34"/>
  <c r="DF56" i="34" s="1" a="1"/>
  <c r="DF56" i="34" s="1"/>
  <c r="DD56" i="34"/>
  <c r="DI56" i="34"/>
  <c r="DJ56" i="34"/>
  <c r="DL56" i="34" a="1"/>
  <c r="DL56" i="34"/>
  <c r="DM56" i="34" a="1"/>
  <c r="DM56" i="34"/>
  <c r="DO56" i="34"/>
  <c r="DP56" i="34"/>
  <c r="DU56" i="34"/>
  <c r="DV56" i="34"/>
  <c r="DX56" i="34" a="1"/>
  <c r="DX56" i="34"/>
  <c r="DY56" i="34" a="1"/>
  <c r="DY56" i="34"/>
  <c r="EA56" i="34"/>
  <c r="ED56" i="34" s="1" a="1"/>
  <c r="ED56" i="34" s="1"/>
  <c r="EB56" i="34"/>
  <c r="BS57" i="34"/>
  <c r="BW57" i="34" s="1" a="1"/>
  <c r="BW57" i="34" s="1"/>
  <c r="BT57" i="34"/>
  <c r="BV57" i="34" a="1"/>
  <c r="BV57" i="34" s="1"/>
  <c r="BY57" i="34"/>
  <c r="CB57" i="34" s="1" a="1"/>
  <c r="CB57" i="34" s="1"/>
  <c r="BZ57" i="34"/>
  <c r="CC57" i="34" a="1"/>
  <c r="CC57" i="34"/>
  <c r="CE57" i="34"/>
  <c r="CH57" i="34" s="1" a="1"/>
  <c r="CH57" i="34" s="1"/>
  <c r="CF57" i="34"/>
  <c r="CK57" i="34"/>
  <c r="CN57" i="34" s="1" a="1"/>
  <c r="CN57" i="34" s="1"/>
  <c r="CL57" i="34"/>
  <c r="CQ57" i="34" a="1"/>
  <c r="CQ57" i="34"/>
  <c r="CR57" i="34"/>
  <c r="CU57" i="34" s="1" a="1"/>
  <c r="CU57" i="34" s="1"/>
  <c r="CT57" i="34" a="1"/>
  <c r="CT57" i="34" s="1"/>
  <c r="CW57" i="34"/>
  <c r="CX57" i="34"/>
  <c r="DC57" i="34"/>
  <c r="DD57" i="34"/>
  <c r="DG57" i="34" s="1" a="1"/>
  <c r="DG57" i="34" s="1"/>
  <c r="DF57" i="34" a="1"/>
  <c r="DF57" i="34" s="1"/>
  <c r="DI57" i="34"/>
  <c r="DL57" i="34" s="1" a="1"/>
  <c r="DL57" i="34" s="1"/>
  <c r="DJ57" i="34"/>
  <c r="DM57" i="34" a="1"/>
  <c r="DM57" i="34" s="1"/>
  <c r="DO57" i="34"/>
  <c r="DS57" i="34" s="1" a="1"/>
  <c r="DS57" i="34" s="1"/>
  <c r="DP57" i="34"/>
  <c r="DR57" i="34" s="1" a="1"/>
  <c r="DR57" i="34" s="1"/>
  <c r="DU57" i="34"/>
  <c r="DX57" i="34" s="1" a="1"/>
  <c r="DX57" i="34" s="1"/>
  <c r="DV57" i="34"/>
  <c r="DY57" i="34" a="1"/>
  <c r="DY57" i="34" s="1"/>
  <c r="EA57" i="34"/>
  <c r="EE57" i="34" s="1" a="1"/>
  <c r="EE57" i="34" s="1"/>
  <c r="EB57" i="34"/>
  <c r="ED57" i="34" a="1"/>
  <c r="ED57" i="34" s="1"/>
  <c r="BS58" i="34"/>
  <c r="BV58" i="34" s="1" a="1"/>
  <c r="BV58" i="34" s="1"/>
  <c r="BT58" i="34"/>
  <c r="BW58" i="34" a="1"/>
  <c r="BW58" i="34" s="1"/>
  <c r="BY58" i="34"/>
  <c r="BZ58" i="34"/>
  <c r="CC58" i="34" s="1" a="1"/>
  <c r="CC58" i="34" s="1"/>
  <c r="CB58" i="34" a="1"/>
  <c r="CB58" i="34" s="1"/>
  <c r="CE58" i="34"/>
  <c r="CF58" i="34"/>
  <c r="CK58" i="34"/>
  <c r="CL58" i="34"/>
  <c r="CO58" i="34" s="1" a="1"/>
  <c r="CO58" i="34" s="1"/>
  <c r="CN58" i="34" a="1"/>
  <c r="CN58" i="34" s="1"/>
  <c r="CQ58" i="34" a="1"/>
  <c r="CQ58" i="34" s="1"/>
  <c r="CR58" i="34"/>
  <c r="CW58" i="34"/>
  <c r="CZ58" i="34" s="1" a="1"/>
  <c r="CZ58" i="34" s="1"/>
  <c r="CX58" i="34"/>
  <c r="DC58" i="34"/>
  <c r="DD58" i="34"/>
  <c r="DF58" i="34" a="1"/>
  <c r="DF58" i="34"/>
  <c r="DG58" i="34" a="1"/>
  <c r="DG58" i="34"/>
  <c r="DI58" i="34"/>
  <c r="DJ58" i="34"/>
  <c r="DO58" i="34"/>
  <c r="DP58" i="34"/>
  <c r="DR58" i="34" a="1"/>
  <c r="DR58" i="34"/>
  <c r="DS58" i="34" a="1"/>
  <c r="DS58" i="34"/>
  <c r="DU58" i="34"/>
  <c r="DX58" i="34" s="1" a="1"/>
  <c r="DX58" i="34" s="1"/>
  <c r="DV58" i="34"/>
  <c r="EA58" i="34"/>
  <c r="EE58" i="34" s="1" a="1"/>
  <c r="EE58" i="34" s="1"/>
  <c r="EB58" i="34"/>
  <c r="ED58" i="34" a="1"/>
  <c r="ED58" i="34" s="1"/>
  <c r="BS59" i="34"/>
  <c r="BV59" i="34" s="1" a="1"/>
  <c r="BV59" i="34" s="1"/>
  <c r="BT59" i="34"/>
  <c r="BW59" i="34" a="1"/>
  <c r="BW59" i="34"/>
  <c r="BY59" i="34"/>
  <c r="CB59" i="34" s="1" a="1"/>
  <c r="BZ59" i="34"/>
  <c r="CB59" i="34"/>
  <c r="CE59" i="34"/>
  <c r="CH59" i="34" s="1" a="1"/>
  <c r="CH59" i="34" s="1"/>
  <c r="CF59" i="34"/>
  <c r="CK59" i="34"/>
  <c r="CL59" i="34"/>
  <c r="CN59" i="34" a="1"/>
  <c r="CN59" i="34"/>
  <c r="CO59" i="34" a="1"/>
  <c r="CO59" i="34" s="1"/>
  <c r="CQ59" i="34" a="1"/>
  <c r="CQ59" i="34"/>
  <c r="CR59" i="34"/>
  <c r="CW59" i="34"/>
  <c r="CX59" i="34"/>
  <c r="DA59" i="34" s="1" a="1"/>
  <c r="DA59" i="34" s="1"/>
  <c r="CZ59" i="34" a="1"/>
  <c r="CZ59" i="34" s="1"/>
  <c r="DC59" i="34"/>
  <c r="DF59" i="34" s="1" a="1"/>
  <c r="DF59" i="34" s="1"/>
  <c r="DD59" i="34"/>
  <c r="DG59" i="34" a="1"/>
  <c r="DG59" i="34" s="1"/>
  <c r="DI59" i="34"/>
  <c r="DM59" i="34" s="1" a="1"/>
  <c r="DM59" i="34" s="1"/>
  <c r="DJ59" i="34"/>
  <c r="DL59" i="34" s="1" a="1"/>
  <c r="DL59" i="34" s="1"/>
  <c r="DO59" i="34"/>
  <c r="DR59" i="34" s="1" a="1"/>
  <c r="DR59" i="34" s="1"/>
  <c r="DP59" i="34"/>
  <c r="DS59" i="34" a="1"/>
  <c r="DS59" i="34" s="1"/>
  <c r="DU59" i="34"/>
  <c r="DY59" i="34" s="1" a="1"/>
  <c r="DY59" i="34" s="1"/>
  <c r="DV59" i="34"/>
  <c r="DX59" i="34" a="1"/>
  <c r="DX59" i="34" s="1"/>
  <c r="EA59" i="34"/>
  <c r="ED59" i="34" s="1" a="1"/>
  <c r="ED59" i="34" s="1"/>
  <c r="EB59" i="34"/>
  <c r="EE59" i="34" a="1"/>
  <c r="EE59" i="34" s="1"/>
  <c r="BS60" i="34"/>
  <c r="BT60" i="34"/>
  <c r="BW60" i="34" s="1" a="1"/>
  <c r="BW60" i="34" s="1"/>
  <c r="BV60" i="34" a="1"/>
  <c r="BV60" i="34" s="1"/>
  <c r="BY60" i="34"/>
  <c r="BZ60" i="34"/>
  <c r="CE60" i="34"/>
  <c r="CF60" i="34"/>
  <c r="CI60" i="34" s="1" a="1"/>
  <c r="CI60" i="34" s="1"/>
  <c r="CH60" i="34" a="1"/>
  <c r="CH60" i="34" s="1"/>
  <c r="CK60" i="34"/>
  <c r="CN60" i="34" s="1" a="1"/>
  <c r="CN60" i="34" s="1"/>
  <c r="CL60" i="34"/>
  <c r="CQ60" i="34" a="1"/>
  <c r="CQ60" i="34"/>
  <c r="CT60" i="34" s="1" a="1"/>
  <c r="CT60" i="34" s="1"/>
  <c r="CR60" i="34"/>
  <c r="CW60" i="34"/>
  <c r="CX60" i="34"/>
  <c r="CZ60" i="34" a="1"/>
  <c r="CZ60" i="34" s="1"/>
  <c r="DA60" i="34" a="1"/>
  <c r="DA60" i="34" s="1"/>
  <c r="DC60" i="34"/>
  <c r="DD60" i="34"/>
  <c r="DI60" i="34"/>
  <c r="DJ60" i="34"/>
  <c r="DL60" i="34" a="1"/>
  <c r="DL60" i="34"/>
  <c r="DM60" i="34" a="1"/>
  <c r="DM60" i="34"/>
  <c r="DO60" i="34"/>
  <c r="DP60" i="34"/>
  <c r="DU60" i="34"/>
  <c r="DY60" i="34" s="1" a="1"/>
  <c r="DY60" i="34" s="1"/>
  <c r="DV60" i="34"/>
  <c r="DX60" i="34" a="1"/>
  <c r="DX60" i="34" s="1"/>
  <c r="EA60" i="34"/>
  <c r="ED60" i="34" s="1" a="1"/>
  <c r="ED60" i="34" s="1"/>
  <c r="EB60" i="34"/>
  <c r="EE60" i="34" a="1"/>
  <c r="EE60" i="34"/>
  <c r="BS61" i="34"/>
  <c r="BV61" i="34" s="1" a="1"/>
  <c r="BT61" i="34"/>
  <c r="BV61" i="34"/>
  <c r="BY61" i="34"/>
  <c r="CB61" i="34" s="1" a="1"/>
  <c r="CB61" i="34" s="1"/>
  <c r="BZ61" i="34"/>
  <c r="CE61" i="34"/>
  <c r="CF61" i="34"/>
  <c r="CH61" i="34" a="1"/>
  <c r="CH61" i="34" s="1"/>
  <c r="CI61" i="34" a="1"/>
  <c r="CI61" i="34" s="1"/>
  <c r="CK61" i="34"/>
  <c r="CL61" i="34"/>
  <c r="CN61" i="34" s="1" a="1"/>
  <c r="CN61" i="34" s="1"/>
  <c r="CQ61" i="34" a="1"/>
  <c r="CQ61" i="34" s="1"/>
  <c r="CR61" i="34"/>
  <c r="CW61" i="34"/>
  <c r="CZ61" i="34" s="1" a="1"/>
  <c r="CZ61" i="34" s="1"/>
  <c r="CX61" i="34"/>
  <c r="DC61" i="34"/>
  <c r="DD61" i="34"/>
  <c r="DF61" i="34" s="1" a="1"/>
  <c r="DF61" i="34" s="1"/>
  <c r="DI61" i="34"/>
  <c r="DL61" i="34" s="1" a="1"/>
  <c r="DL61" i="34" s="1"/>
  <c r="DJ61" i="34"/>
  <c r="DO61" i="34"/>
  <c r="DS61" i="34" s="1" a="1"/>
  <c r="DP61" i="34"/>
  <c r="DR61" i="34" a="1"/>
  <c r="DR61" i="34" s="1"/>
  <c r="DS61" i="34"/>
  <c r="DU61" i="34"/>
  <c r="DX61" i="34" s="1" a="1"/>
  <c r="DV61" i="34"/>
  <c r="DX61" i="34"/>
  <c r="DY61" i="34" a="1"/>
  <c r="DY61" i="34" s="1"/>
  <c r="EA61" i="34"/>
  <c r="EB61" i="34"/>
  <c r="EE61" i="34" s="1" a="1"/>
  <c r="EE61" i="34" s="1"/>
  <c r="ED61" i="34" a="1"/>
  <c r="ED61" i="34" s="1"/>
  <c r="BS62" i="34"/>
  <c r="BT62" i="34"/>
  <c r="BY62" i="34"/>
  <c r="BZ62" i="34"/>
  <c r="CC62" i="34" s="1" a="1"/>
  <c r="CC62" i="34" s="1"/>
  <c r="CB62" i="34" a="1"/>
  <c r="CB62" i="34" s="1"/>
  <c r="CE62" i="34"/>
  <c r="CH62" i="34" s="1" a="1"/>
  <c r="CH62" i="34" s="1"/>
  <c r="CF62" i="34"/>
  <c r="CK62" i="34"/>
  <c r="CO62" i="34" s="1" a="1"/>
  <c r="CO62" i="34" s="1"/>
  <c r="CL62" i="34"/>
  <c r="CN62" i="34" s="1" a="1"/>
  <c r="CN62" i="34" s="1"/>
  <c r="CQ62" i="34" a="1"/>
  <c r="CQ62" i="34" s="1"/>
  <c r="CU62" i="34" s="1" a="1"/>
  <c r="CU62" i="34" s="1"/>
  <c r="CR62" i="34"/>
  <c r="CT62" i="34" a="1"/>
  <c r="CT62" i="34"/>
  <c r="CW62" i="34"/>
  <c r="CX62" i="34"/>
  <c r="CZ62" i="34" s="1" a="1"/>
  <c r="CZ62" i="34" s="1"/>
  <c r="DC62" i="34"/>
  <c r="DD62" i="34"/>
  <c r="DF62" i="34" a="1"/>
  <c r="DF62" i="34"/>
  <c r="DG62" i="34" a="1"/>
  <c r="DG62" i="34"/>
  <c r="DI62" i="34"/>
  <c r="DJ62" i="34"/>
  <c r="DO62" i="34"/>
  <c r="DS62" i="34" s="1" a="1"/>
  <c r="DS62" i="34" s="1"/>
  <c r="DP62" i="34"/>
  <c r="DR62" i="34" a="1"/>
  <c r="DR62" i="34" s="1"/>
  <c r="DU62" i="34"/>
  <c r="DX62" i="34" s="1" a="1"/>
  <c r="DX62" i="34" s="1"/>
  <c r="DV62" i="34"/>
  <c r="EA62" i="34"/>
  <c r="ED62" i="34" s="1" a="1"/>
  <c r="EB62" i="34"/>
  <c r="ED62" i="34"/>
  <c r="BS63" i="34"/>
  <c r="BT63" i="34"/>
  <c r="BW63" i="34" s="1" a="1"/>
  <c r="BW63" i="34" s="1"/>
  <c r="BY63" i="34"/>
  <c r="BZ63" i="34"/>
  <c r="CB63" i="34" a="1"/>
  <c r="CB63" i="34"/>
  <c r="CC63" i="34" a="1"/>
  <c r="CC63" i="34" s="1"/>
  <c r="CE63" i="34"/>
  <c r="CF63" i="34"/>
  <c r="CH63" i="34" s="1" a="1"/>
  <c r="CH63" i="34" s="1"/>
  <c r="CI63" i="34" a="1"/>
  <c r="CI63" i="34" s="1"/>
  <c r="CK63" i="34"/>
  <c r="CL63" i="34"/>
  <c r="CN63" i="34" a="1"/>
  <c r="CN63" i="34" s="1"/>
  <c r="CO63" i="34" a="1"/>
  <c r="CO63" i="34"/>
  <c r="CQ63" i="34" a="1"/>
  <c r="CQ63" i="34"/>
  <c r="CT63" i="34" s="1" a="1"/>
  <c r="CT63" i="34" s="1"/>
  <c r="CR63" i="34"/>
  <c r="CU63" i="34" a="1"/>
  <c r="CU63" i="34" s="1"/>
  <c r="CW63" i="34"/>
  <c r="DA63" i="34" s="1" a="1"/>
  <c r="DA63" i="34" s="1"/>
  <c r="CX63" i="34"/>
  <c r="CZ63" i="34" s="1" a="1"/>
  <c r="CZ63" i="34" s="1"/>
  <c r="DC63" i="34"/>
  <c r="DF63" i="34" s="1" a="1"/>
  <c r="DF63" i="34" s="1"/>
  <c r="DD63" i="34"/>
  <c r="DG63" i="34" a="1"/>
  <c r="DG63" i="34" s="1"/>
  <c r="DI63" i="34"/>
  <c r="DM63" i="34" s="1" a="1"/>
  <c r="DM63" i="34" s="1"/>
  <c r="DJ63" i="34"/>
  <c r="DL63" i="34" a="1"/>
  <c r="DL63" i="34" s="1"/>
  <c r="DO63" i="34"/>
  <c r="DR63" i="34" s="1" a="1"/>
  <c r="DP63" i="34"/>
  <c r="DR63" i="34"/>
  <c r="DS63" i="34" a="1"/>
  <c r="DS63" i="34" s="1"/>
  <c r="DU63" i="34"/>
  <c r="DV63" i="34"/>
  <c r="DY63" i="34" s="1" a="1"/>
  <c r="DY63" i="34" s="1"/>
  <c r="EA63" i="34"/>
  <c r="ED63" i="34" s="1" a="1"/>
  <c r="EB63" i="34"/>
  <c r="ED63" i="34"/>
  <c r="BS64" i="34"/>
  <c r="BT64" i="34"/>
  <c r="BY64" i="34"/>
  <c r="CB64" i="34" s="1" a="1"/>
  <c r="CB64" i="34" s="1"/>
  <c r="BZ64" i="34"/>
  <c r="CE64" i="34"/>
  <c r="CF64" i="34"/>
  <c r="CH64" i="34" a="1"/>
  <c r="CH64" i="34" s="1"/>
  <c r="CK64" i="34"/>
  <c r="CN64" i="34" s="1" a="1"/>
  <c r="CN64" i="34" s="1"/>
  <c r="CL64" i="34"/>
  <c r="CQ64" i="34" a="1"/>
  <c r="CQ64" i="34" s="1"/>
  <c r="CR64" i="34"/>
  <c r="CU64" i="34" a="1"/>
  <c r="CU64" i="34" s="1"/>
  <c r="CW64" i="34"/>
  <c r="CX64" i="34"/>
  <c r="CZ64" i="34" a="1"/>
  <c r="CZ64" i="34"/>
  <c r="DA64" i="34" a="1"/>
  <c r="DA64" i="34"/>
  <c r="DC64" i="34"/>
  <c r="DD64" i="34"/>
  <c r="DI64" i="34"/>
  <c r="DM64" i="34" s="1" a="1"/>
  <c r="DM64" i="34" s="1"/>
  <c r="DJ64" i="34"/>
  <c r="DL64" i="34" a="1"/>
  <c r="DL64" i="34" s="1"/>
  <c r="DO64" i="34"/>
  <c r="DP64" i="34"/>
  <c r="DU64" i="34"/>
  <c r="DX64" i="34" s="1" a="1"/>
  <c r="DX64" i="34" s="1"/>
  <c r="DV64" i="34"/>
  <c r="EA64" i="34"/>
  <c r="EB64" i="34"/>
  <c r="EE64" i="34" a="1"/>
  <c r="EE64" i="34" s="1"/>
  <c r="BS65" i="34"/>
  <c r="BT65" i="34"/>
  <c r="BV65" i="34" a="1"/>
  <c r="BV65" i="34" s="1"/>
  <c r="BW65" i="34" a="1"/>
  <c r="BW65" i="34" s="1"/>
  <c r="BY65" i="34"/>
  <c r="BZ65" i="34"/>
  <c r="CE65" i="34"/>
  <c r="CF65" i="34"/>
  <c r="CH65" i="34" a="1"/>
  <c r="CH65" i="34"/>
  <c r="CI65" i="34" a="1"/>
  <c r="CI65" i="34"/>
  <c r="CK65" i="34"/>
  <c r="CO65" i="34" s="1" a="1"/>
  <c r="CO65" i="34" s="1"/>
  <c r="CL65" i="34"/>
  <c r="CQ65" i="34" a="1"/>
  <c r="CQ65" i="34" s="1"/>
  <c r="CU65" i="34" s="1" a="1"/>
  <c r="CR65" i="34"/>
  <c r="CT65" i="34" a="1"/>
  <c r="CT65" i="34" s="1"/>
  <c r="CU65" i="34"/>
  <c r="CW65" i="34"/>
  <c r="CZ65" i="34" s="1" a="1"/>
  <c r="CX65" i="34"/>
  <c r="CZ65" i="34"/>
  <c r="DC65" i="34"/>
  <c r="DG65" i="34" s="1" a="1"/>
  <c r="DD65" i="34"/>
  <c r="DF65" i="34" a="1"/>
  <c r="DF65" i="34" s="1"/>
  <c r="DG65" i="34"/>
  <c r="DI65" i="34"/>
  <c r="DL65" i="34" s="1" a="1"/>
  <c r="DL65" i="34" s="1"/>
  <c r="DJ65" i="34"/>
  <c r="DO65" i="34"/>
  <c r="DP65" i="34"/>
  <c r="DS65" i="34" s="1" a="1"/>
  <c r="DS65" i="34" s="1"/>
  <c r="DR65" i="34" a="1"/>
  <c r="DR65" i="34" s="1"/>
  <c r="DU65" i="34"/>
  <c r="DX65" i="34" s="1" a="1"/>
  <c r="DX65" i="34" s="1"/>
  <c r="DV65" i="34"/>
  <c r="EA65" i="34"/>
  <c r="EB65" i="34"/>
  <c r="EE65" i="34" s="1" a="1"/>
  <c r="ED65" i="34" a="1"/>
  <c r="ED65" i="34" s="1"/>
  <c r="EE65" i="34"/>
  <c r="BS66" i="34"/>
  <c r="BV66" i="34" s="1" a="1"/>
  <c r="BV66" i="34" s="1"/>
  <c r="BT66" i="34"/>
  <c r="BY66" i="34"/>
  <c r="BZ66" i="34"/>
  <c r="CB66" i="34" a="1"/>
  <c r="CB66" i="34" s="1"/>
  <c r="CE66" i="34"/>
  <c r="CH66" i="34" s="1" a="1"/>
  <c r="CH66" i="34" s="1"/>
  <c r="CF66" i="34"/>
  <c r="CK66" i="34"/>
  <c r="CO66" i="34" s="1" a="1"/>
  <c r="CO66" i="34" s="1"/>
  <c r="CL66" i="34"/>
  <c r="CN66" i="34" a="1"/>
  <c r="CN66" i="34" s="1"/>
  <c r="CQ66" i="34" a="1"/>
  <c r="CQ66" i="34" s="1"/>
  <c r="CU66" i="34" s="1" a="1"/>
  <c r="CU66" i="34" s="1"/>
  <c r="CR66" i="34"/>
  <c r="CT66" i="34" a="1"/>
  <c r="CT66" i="34" s="1"/>
  <c r="CW66" i="34"/>
  <c r="CX66" i="34"/>
  <c r="DC66" i="34"/>
  <c r="DG66" i="34" s="1" a="1"/>
  <c r="DG66" i="34" s="1"/>
  <c r="DD66" i="34"/>
  <c r="DF66" i="34" a="1"/>
  <c r="DF66" i="34"/>
  <c r="DI66" i="34"/>
  <c r="DL66" i="34" s="1" a="1"/>
  <c r="DL66" i="34" s="1"/>
  <c r="DJ66" i="34"/>
  <c r="DO66" i="34"/>
  <c r="DP66" i="34"/>
  <c r="DU66" i="34"/>
  <c r="DV66" i="34"/>
  <c r="EA66" i="34"/>
  <c r="EB66" i="34"/>
  <c r="ED66" i="34" a="1"/>
  <c r="ED66" i="34"/>
  <c r="EE66" i="34" a="1"/>
  <c r="EE66" i="34"/>
  <c r="BS67" i="34"/>
  <c r="BT67" i="34"/>
  <c r="BV67" i="34" s="1" a="1"/>
  <c r="BV67" i="34" s="1"/>
  <c r="BY67" i="34"/>
  <c r="BZ67" i="34"/>
  <c r="CB67" i="34" a="1"/>
  <c r="CB67" i="34"/>
  <c r="CC67" i="34" a="1"/>
  <c r="CC67" i="34"/>
  <c r="CE67" i="34"/>
  <c r="CI67" i="34" s="1" a="1"/>
  <c r="CF67" i="34"/>
  <c r="CI67" i="34"/>
  <c r="CK67" i="34"/>
  <c r="CO67" i="34" s="1" a="1"/>
  <c r="CO67" i="34" s="1"/>
  <c r="CL67" i="34"/>
  <c r="CN67" i="34" a="1"/>
  <c r="CN67" i="34" s="1"/>
  <c r="CQ67" i="34" a="1"/>
  <c r="CQ67" i="34"/>
  <c r="CT67" i="34" s="1" a="1"/>
  <c r="CR67" i="34"/>
  <c r="CT67" i="34"/>
  <c r="CU67" i="34" a="1"/>
  <c r="CU67" i="34" s="1"/>
  <c r="CW67" i="34"/>
  <c r="DA67" i="34" s="1" a="1"/>
  <c r="DA67" i="34" s="1"/>
  <c r="CX67" i="34"/>
  <c r="DC67" i="34"/>
  <c r="DF67" i="34" s="1" a="1"/>
  <c r="DD67" i="34"/>
  <c r="DF67" i="34"/>
  <c r="DG67" i="34" a="1"/>
  <c r="DG67" i="34" s="1"/>
  <c r="DI67" i="34"/>
  <c r="DJ67" i="34"/>
  <c r="DM67" i="34" s="1" a="1"/>
  <c r="DM67" i="34" s="1"/>
  <c r="DL67" i="34" a="1"/>
  <c r="DL67" i="34"/>
  <c r="DO67" i="34"/>
  <c r="DR67" i="34" s="1" a="1"/>
  <c r="DR67" i="34" s="1"/>
  <c r="DP67" i="34"/>
  <c r="DU67" i="34"/>
  <c r="DV67" i="34"/>
  <c r="DY67" i="34" s="1" a="1"/>
  <c r="DX67" i="34" a="1"/>
  <c r="DX67" i="34" s="1"/>
  <c r="DY67" i="34"/>
  <c r="EA67" i="34"/>
  <c r="EE67" i="34" s="1" a="1"/>
  <c r="EE67" i="34" s="1"/>
  <c r="EB67" i="34"/>
  <c r="ED67" i="34" s="1" a="1"/>
  <c r="ED67" i="34" s="1"/>
  <c r="BS68" i="34"/>
  <c r="BT68" i="34"/>
  <c r="BV68" i="34" a="1"/>
  <c r="BV68" i="34" s="1"/>
  <c r="BY68" i="34"/>
  <c r="CB68" i="34" s="1" a="1"/>
  <c r="CB68" i="34" s="1"/>
  <c r="BZ68" i="34"/>
  <c r="CE68" i="34"/>
  <c r="CI68" i="34" s="1" a="1"/>
  <c r="CF68" i="34"/>
  <c r="CH68" i="34" a="1"/>
  <c r="CH68" i="34" s="1"/>
  <c r="CI68" i="34"/>
  <c r="CK68" i="34"/>
  <c r="CN68" i="34" s="1" a="1"/>
  <c r="CN68" i="34" s="1"/>
  <c r="CL68" i="34"/>
  <c r="CQ68" i="34" a="1"/>
  <c r="CQ68" i="34"/>
  <c r="CU68" i="34" s="1" a="1"/>
  <c r="CU68" i="34" s="1"/>
  <c r="CR68" i="34"/>
  <c r="CT68" i="34" a="1"/>
  <c r="CT68" i="34"/>
  <c r="CW68" i="34"/>
  <c r="DA68" i="34" s="1" a="1"/>
  <c r="DA68" i="34" s="1"/>
  <c r="CX68" i="34"/>
  <c r="CZ68" i="34" a="1"/>
  <c r="CZ68" i="34"/>
  <c r="DC68" i="34"/>
  <c r="DD68" i="34"/>
  <c r="DG68" i="34" a="1"/>
  <c r="DG68" i="34" s="1"/>
  <c r="DI68" i="34"/>
  <c r="DJ68" i="34"/>
  <c r="DO68" i="34"/>
  <c r="DR68" i="34" s="1" a="1"/>
  <c r="DR68" i="34" s="1"/>
  <c r="DP68" i="34"/>
  <c r="DS68" i="34" a="1"/>
  <c r="DS68" i="34"/>
  <c r="DU68" i="34"/>
  <c r="DV68" i="34"/>
  <c r="DX68" i="34" a="1"/>
  <c r="DX68" i="34" s="1"/>
  <c r="DY68" i="34" a="1"/>
  <c r="DY68" i="34"/>
  <c r="EA68" i="34"/>
  <c r="EB68" i="34"/>
  <c r="ED68" i="34" s="1" a="1"/>
  <c r="ED68" i="34" s="1"/>
  <c r="BS69" i="34"/>
  <c r="BT69" i="34"/>
  <c r="BV69" i="34" a="1"/>
  <c r="BV69" i="34" s="1"/>
  <c r="BW69" i="34" a="1"/>
  <c r="BW69" i="34"/>
  <c r="BY69" i="34"/>
  <c r="BZ69" i="34"/>
  <c r="CB69" i="34" s="1" a="1"/>
  <c r="CB69" i="34" s="1"/>
  <c r="CE69" i="34"/>
  <c r="CI69" i="34" s="1" a="1"/>
  <c r="CI69" i="34" s="1"/>
  <c r="CF69" i="34"/>
  <c r="CH69" i="34" a="1"/>
  <c r="CH69" i="34" s="1"/>
  <c r="CK69" i="34"/>
  <c r="CN69" i="34" s="1" a="1"/>
  <c r="CN69" i="34" s="1"/>
  <c r="CL69" i="34"/>
  <c r="CQ69" i="34" a="1"/>
  <c r="CQ69" i="34"/>
  <c r="CU69" i="34" s="1" a="1"/>
  <c r="CU69" i="34" s="1"/>
  <c r="CR69" i="34"/>
  <c r="CW69" i="34"/>
  <c r="CZ69" i="34" s="1" a="1"/>
  <c r="CZ69" i="34" s="1"/>
  <c r="CX69" i="34"/>
  <c r="DC69" i="34"/>
  <c r="DD69" i="34"/>
  <c r="DF69" i="34" s="1" a="1"/>
  <c r="DF69" i="34" s="1"/>
  <c r="DI69" i="34"/>
  <c r="DL69" i="34" s="1" a="1"/>
  <c r="DL69" i="34" s="1"/>
  <c r="DJ69" i="34"/>
  <c r="DM69" i="34" a="1"/>
  <c r="DM69" i="34" s="1"/>
  <c r="DO69" i="34"/>
  <c r="DP69" i="34"/>
  <c r="DS69" i="34" s="1" a="1"/>
  <c r="DR69" i="34" a="1"/>
  <c r="DR69" i="34" s="1"/>
  <c r="DS69" i="34"/>
  <c r="DU69" i="34"/>
  <c r="DV69" i="34"/>
  <c r="DX69" i="34" a="1"/>
  <c r="DX69" i="34" s="1"/>
  <c r="DY69" i="34" a="1"/>
  <c r="DY69" i="34" s="1"/>
  <c r="EA69" i="34"/>
  <c r="EE69" i="34" s="1" a="1"/>
  <c r="EE69" i="34" s="1"/>
  <c r="EB69" i="34"/>
  <c r="ED69" i="34" s="1" a="1"/>
  <c r="ED69" i="34" s="1"/>
  <c r="BS70" i="34"/>
  <c r="BV70" i="34" s="1" a="1"/>
  <c r="BV70" i="34" s="1"/>
  <c r="BT70" i="34"/>
  <c r="BW70" i="34" a="1"/>
  <c r="BW70" i="34"/>
  <c r="BY70" i="34"/>
  <c r="CC70" i="34" s="1" a="1"/>
  <c r="CC70" i="34" s="1"/>
  <c r="BZ70" i="34"/>
  <c r="CB70" i="34" a="1"/>
  <c r="CB70" i="34" s="1"/>
  <c r="CE70" i="34"/>
  <c r="CH70" i="34" s="1" a="1"/>
  <c r="CF70" i="34"/>
  <c r="CH70" i="34"/>
  <c r="CI70" i="34" a="1"/>
  <c r="CI70" i="34" s="1"/>
  <c r="CK70" i="34"/>
  <c r="CL70" i="34"/>
  <c r="CN70" i="34" s="1" a="1"/>
  <c r="CN70" i="34" s="1"/>
  <c r="CQ70" i="34" a="1"/>
  <c r="CQ70" i="34" s="1"/>
  <c r="CU70" i="34" s="1" a="1"/>
  <c r="CU70" i="34" s="1"/>
  <c r="CR70" i="34"/>
  <c r="CT70" i="34" a="1"/>
  <c r="CT70" i="34" s="1"/>
  <c r="CW70" i="34"/>
  <c r="CZ70" i="34" s="1" a="1"/>
  <c r="CZ70" i="34" s="1"/>
  <c r="CX70" i="34"/>
  <c r="DC70" i="34"/>
  <c r="DD70" i="34"/>
  <c r="DI70" i="34"/>
  <c r="DL70" i="34" s="1" a="1"/>
  <c r="DL70" i="34" s="1"/>
  <c r="DJ70" i="34"/>
  <c r="DO70" i="34"/>
  <c r="DP70" i="34"/>
  <c r="DR70" i="34" a="1"/>
  <c r="DR70" i="34"/>
  <c r="DS70" i="34" a="1"/>
  <c r="DS70" i="34"/>
  <c r="DU70" i="34"/>
  <c r="DV70" i="34"/>
  <c r="DX70" i="34" s="1" a="1"/>
  <c r="DX70" i="34" s="1"/>
  <c r="DY70" i="34" a="1"/>
  <c r="DY70" i="34"/>
  <c r="EA70" i="34"/>
  <c r="EB70" i="34"/>
  <c r="ED70" i="34" a="1"/>
  <c r="ED70" i="34" s="1"/>
  <c r="EE70" i="34" a="1"/>
  <c r="EE70" i="34" s="1"/>
  <c r="BS71" i="34"/>
  <c r="BV71" i="34" s="1" a="1"/>
  <c r="BV71" i="34" s="1"/>
  <c r="BT71" i="34"/>
  <c r="BY71" i="34"/>
  <c r="CC71" i="34" s="1" a="1"/>
  <c r="CC71" i="34" s="1"/>
  <c r="BZ71" i="34"/>
  <c r="CB71" i="34" a="1"/>
  <c r="CB71" i="34" s="1"/>
  <c r="CE71" i="34"/>
  <c r="CF71" i="34"/>
  <c r="CI71" i="34" a="1"/>
  <c r="CI71" i="34"/>
  <c r="CK71" i="34"/>
  <c r="CL71" i="34"/>
  <c r="CQ71" i="34" a="1"/>
  <c r="CQ71" i="34"/>
  <c r="CT71" i="34" s="1" a="1"/>
  <c r="CR71" i="34"/>
  <c r="CT71" i="34"/>
  <c r="CU71" i="34" a="1"/>
  <c r="CU71" i="34" s="1"/>
  <c r="CW71" i="34"/>
  <c r="CX71" i="34"/>
  <c r="CZ71" i="34" s="1" a="1"/>
  <c r="CZ71" i="34" s="1"/>
  <c r="DC71" i="34"/>
  <c r="DF71" i="34" s="1" a="1"/>
  <c r="DD71" i="34"/>
  <c r="DF71" i="34"/>
  <c r="DG71" i="34" a="1"/>
  <c r="DG71" i="34" s="1"/>
  <c r="DI71" i="34"/>
  <c r="DJ71" i="34"/>
  <c r="DM71" i="34" s="1" a="1"/>
  <c r="DL71" i="34" a="1"/>
  <c r="DL71" i="34" s="1"/>
  <c r="DM71" i="34"/>
  <c r="DO71" i="34"/>
  <c r="DP71" i="34"/>
  <c r="DS71" i="34" s="1" a="1"/>
  <c r="DS71" i="34" s="1"/>
  <c r="DR71" i="34" a="1"/>
  <c r="DR71" i="34" s="1"/>
  <c r="DU71" i="34"/>
  <c r="DY71" i="34" s="1" a="1"/>
  <c r="DY71" i="34" s="1"/>
  <c r="DV71" i="34"/>
  <c r="DX71" i="34" s="1" a="1"/>
  <c r="DX71" i="34" s="1"/>
  <c r="EA71" i="34"/>
  <c r="ED71" i="34" s="1" a="1"/>
  <c r="EB71" i="34"/>
  <c r="ED71" i="34"/>
  <c r="EE71" i="34" a="1"/>
  <c r="EE71" i="34" s="1"/>
  <c r="BS72" i="34"/>
  <c r="BW72" i="34" s="1" a="1"/>
  <c r="BW72" i="34" s="1"/>
  <c r="BT72" i="34"/>
  <c r="BV72" i="34" a="1"/>
  <c r="BV72" i="34" s="1"/>
  <c r="BY72" i="34"/>
  <c r="CB72" i="34" s="1" a="1"/>
  <c r="CB72" i="34" s="1"/>
  <c r="BZ72" i="34"/>
  <c r="CE72" i="34"/>
  <c r="CF72" i="34"/>
  <c r="CH72" i="34" a="1"/>
  <c r="CH72" i="34"/>
  <c r="CI72" i="34" a="1"/>
  <c r="CI72" i="34" s="1"/>
  <c r="CK72" i="34"/>
  <c r="CN72" i="34" s="1" a="1"/>
  <c r="CN72" i="34" s="1"/>
  <c r="CL72" i="34"/>
  <c r="CQ72" i="34" a="1"/>
  <c r="CQ72" i="34"/>
  <c r="CT72" i="34" s="1" a="1"/>
  <c r="CT72" i="34" s="1"/>
  <c r="CR72" i="34"/>
  <c r="CU72" i="34" a="1"/>
  <c r="CU72" i="34"/>
  <c r="CW72" i="34"/>
  <c r="CX72" i="34"/>
  <c r="DC72" i="34"/>
  <c r="DD72" i="34"/>
  <c r="DG72" i="34" a="1"/>
  <c r="DG72" i="34"/>
  <c r="DI72" i="34"/>
  <c r="DJ72" i="34"/>
  <c r="DL72" i="34" a="1"/>
  <c r="DL72" i="34" s="1"/>
  <c r="DM72" i="34" a="1"/>
  <c r="DM72" i="34"/>
  <c r="DO72" i="34"/>
  <c r="DP72" i="34"/>
  <c r="DR72" i="34" s="1" a="1"/>
  <c r="DR72" i="34" s="1"/>
  <c r="DS72" i="34" a="1"/>
  <c r="DS72" i="34" s="1"/>
  <c r="DU72" i="34"/>
  <c r="DV72" i="34"/>
  <c r="DX72" i="34" a="1"/>
  <c r="DX72" i="34"/>
  <c r="DY72" i="34" a="1"/>
  <c r="DY72" i="34" s="1"/>
  <c r="EA72" i="34"/>
  <c r="EB72" i="34"/>
  <c r="ED72" i="34" s="1" a="1"/>
  <c r="ED72" i="34" s="1"/>
  <c r="BS73" i="34"/>
  <c r="BW73" i="34" s="1" a="1"/>
  <c r="BW73" i="34" s="1"/>
  <c r="BT73" i="34"/>
  <c r="BV73" i="34" a="1"/>
  <c r="BV73" i="34"/>
  <c r="BY73" i="34"/>
  <c r="BZ73" i="34"/>
  <c r="CE73" i="34"/>
  <c r="CF73" i="34"/>
  <c r="CK73" i="34"/>
  <c r="CL73" i="34"/>
  <c r="CO73" i="34" s="1" a="1"/>
  <c r="CO73" i="34" s="1"/>
  <c r="CQ73" i="34" a="1"/>
  <c r="CQ73" i="34" s="1"/>
  <c r="CR73" i="34"/>
  <c r="CT73" i="34" a="1"/>
  <c r="CT73" i="34" s="1"/>
  <c r="CU73" i="34" a="1"/>
  <c r="CU73" i="34" s="1"/>
  <c r="CW73" i="34"/>
  <c r="CX73" i="34"/>
  <c r="DC73" i="34"/>
  <c r="DD73" i="34"/>
  <c r="DG73" i="34" s="1" a="1"/>
  <c r="DF73" i="34" a="1"/>
  <c r="DF73" i="34" s="1"/>
  <c r="DG73" i="34"/>
  <c r="DI73" i="34"/>
  <c r="DL73" i="34" s="1" a="1"/>
  <c r="DL73" i="34" s="1"/>
  <c r="DJ73" i="34"/>
  <c r="DO73" i="34"/>
  <c r="DP73" i="34"/>
  <c r="DR73" i="34" s="1" a="1"/>
  <c r="DR73" i="34" s="1"/>
  <c r="DU73" i="34"/>
  <c r="DV73" i="34"/>
  <c r="EA73" i="34"/>
  <c r="EB73" i="34"/>
  <c r="ED73" i="34" a="1"/>
  <c r="ED73" i="34"/>
  <c r="EE73" i="34" a="1"/>
  <c r="EE73" i="34" s="1"/>
  <c r="BS74" i="34"/>
  <c r="BV74" i="34" s="1" a="1"/>
  <c r="BT74" i="34"/>
  <c r="BV74" i="34"/>
  <c r="BY74" i="34"/>
  <c r="BZ74" i="34"/>
  <c r="CE74" i="34"/>
  <c r="CF74" i="34"/>
  <c r="CH74" i="34" a="1"/>
  <c r="CH74" i="34"/>
  <c r="CI74" i="34" a="1"/>
  <c r="CI74" i="34" s="1"/>
  <c r="CK74" i="34"/>
  <c r="CL74" i="34"/>
  <c r="CO74" i="34" s="1" a="1"/>
  <c r="CO74" i="34" s="1"/>
  <c r="CQ74" i="34" a="1"/>
  <c r="CQ74" i="34" s="1"/>
  <c r="CR74" i="34"/>
  <c r="CW74" i="34"/>
  <c r="CZ74" i="34" s="1" a="1"/>
  <c r="CZ74" i="34" s="1"/>
  <c r="CX74" i="34"/>
  <c r="DC74" i="34"/>
  <c r="DD74" i="34"/>
  <c r="DF74" i="34" a="1"/>
  <c r="DF74" i="34" s="1"/>
  <c r="DG74" i="34" a="1"/>
  <c r="DG74" i="34"/>
  <c r="DI74" i="34"/>
  <c r="DJ74" i="34"/>
  <c r="DL74" i="34" a="1"/>
  <c r="DL74" i="34"/>
  <c r="DM74" i="34" a="1"/>
  <c r="DM74" i="34"/>
  <c r="DO74" i="34"/>
  <c r="DP74" i="34"/>
  <c r="DR74" i="34" a="1"/>
  <c r="DR74" i="34"/>
  <c r="DS74" i="34" a="1"/>
  <c r="DS74" i="34" s="1"/>
  <c r="DU74" i="34"/>
  <c r="DY74" i="34" s="1" a="1"/>
  <c r="DY74" i="34" s="1"/>
  <c r="DV74" i="34"/>
  <c r="EA74" i="34"/>
  <c r="EE74" i="34" s="1" a="1"/>
  <c r="EE74" i="34" s="1"/>
  <c r="EB74" i="34"/>
  <c r="ED74" i="34" a="1"/>
  <c r="ED74" i="34"/>
  <c r="BS75" i="34"/>
  <c r="BT75" i="34"/>
  <c r="BW75" i="34" s="1" a="1"/>
  <c r="BW75" i="34" s="1"/>
  <c r="BY75" i="34"/>
  <c r="BZ75" i="34"/>
  <c r="CC75" i="34" a="1"/>
  <c r="CC75" i="34" s="1"/>
  <c r="CE75" i="34"/>
  <c r="CH75" i="34" s="1" a="1"/>
  <c r="CH75" i="34" s="1"/>
  <c r="CF75" i="34"/>
  <c r="CK75" i="34"/>
  <c r="CL75" i="34"/>
  <c r="CN75" i="34" a="1"/>
  <c r="CN75" i="34" s="1"/>
  <c r="CO75" i="34" a="1"/>
  <c r="CO75" i="34" s="1"/>
  <c r="CQ75" i="34" a="1"/>
  <c r="CQ75" i="34"/>
  <c r="CR75" i="34"/>
  <c r="CT75" i="34" a="1"/>
  <c r="CT75" i="34"/>
  <c r="CU75" i="34" a="1"/>
  <c r="CU75" i="34" s="1"/>
  <c r="CW75" i="34"/>
  <c r="CX75" i="34"/>
  <c r="DA75" i="34" s="1" a="1"/>
  <c r="CZ75" i="34" a="1"/>
  <c r="CZ75" i="34" s="1"/>
  <c r="DA75" i="34"/>
  <c r="DC75" i="34"/>
  <c r="DD75" i="34"/>
  <c r="DG75" i="34" s="1" a="1"/>
  <c r="DG75" i="34" s="1"/>
  <c r="DF75" i="34" a="1"/>
  <c r="DF75" i="34" s="1"/>
  <c r="DI75" i="34"/>
  <c r="DM75" i="34" s="1" a="1"/>
  <c r="DM75" i="34" s="1"/>
  <c r="DJ75" i="34"/>
  <c r="DO75" i="34"/>
  <c r="DR75" i="34" s="1" a="1"/>
  <c r="DP75" i="34"/>
  <c r="DR75" i="34"/>
  <c r="DS75" i="34" a="1"/>
  <c r="DS75" i="34" s="1"/>
  <c r="DU75" i="34"/>
  <c r="DX75" i="34" s="1" a="1"/>
  <c r="DX75" i="34" s="1"/>
  <c r="DV75" i="34"/>
  <c r="DY75" i="34" a="1"/>
  <c r="DY75" i="34" s="1"/>
  <c r="EA75" i="34"/>
  <c r="ED75" i="34" s="1" a="1"/>
  <c r="ED75" i="34" s="1"/>
  <c r="EB75" i="34"/>
  <c r="BS76" i="34"/>
  <c r="BT76" i="34"/>
  <c r="BW76" i="34" s="1" a="1"/>
  <c r="BW76" i="34" s="1"/>
  <c r="BV76" i="34" a="1"/>
  <c r="BV76" i="34" s="1"/>
  <c r="BY76" i="34"/>
  <c r="BZ76" i="34"/>
  <c r="CB76" i="34" a="1"/>
  <c r="CB76" i="34" s="1"/>
  <c r="CC76" i="34" a="1"/>
  <c r="CC76" i="34" s="1"/>
  <c r="CE76" i="34"/>
  <c r="CF76" i="34"/>
  <c r="CI76" i="34" s="1" a="1"/>
  <c r="CH76" i="34" a="1"/>
  <c r="CH76" i="34" s="1"/>
  <c r="CI76" i="34"/>
  <c r="CK76" i="34"/>
  <c r="CL76" i="34"/>
  <c r="CN76" i="34" a="1"/>
  <c r="CN76" i="34" s="1"/>
  <c r="CO76" i="34" a="1"/>
  <c r="CO76" i="34"/>
  <c r="CQ76" i="34" a="1"/>
  <c r="CQ76" i="34" s="1"/>
  <c r="CR76" i="34"/>
  <c r="CW76" i="34"/>
  <c r="CX76" i="34"/>
  <c r="CZ76" i="34" a="1"/>
  <c r="CZ76" i="34" s="1"/>
  <c r="DA76" i="34" a="1"/>
  <c r="DA76" i="34" s="1"/>
  <c r="DC76" i="34"/>
  <c r="DD76" i="34"/>
  <c r="DF76" i="34" a="1"/>
  <c r="DF76" i="34"/>
  <c r="DG76" i="34" a="1"/>
  <c r="DG76" i="34" s="1"/>
  <c r="DI76" i="34"/>
  <c r="DJ76" i="34"/>
  <c r="DL76" i="34" a="1"/>
  <c r="DL76" i="34"/>
  <c r="DM76" i="34" a="1"/>
  <c r="DM76" i="34" s="1"/>
  <c r="DO76" i="34"/>
  <c r="DP76" i="34"/>
  <c r="DU76" i="34"/>
  <c r="DV76" i="34"/>
  <c r="DX76" i="34" a="1"/>
  <c r="DX76" i="34"/>
  <c r="EA76" i="34"/>
  <c r="ED76" i="34" s="1" a="1"/>
  <c r="ED76" i="34" s="1"/>
  <c r="EB76" i="34"/>
  <c r="BS77" i="34"/>
  <c r="BT77" i="34"/>
  <c r="BW77" i="34" a="1"/>
  <c r="BW77" i="34"/>
  <c r="BY77" i="34"/>
  <c r="BZ77" i="34"/>
  <c r="CC77" i="34" s="1" a="1"/>
  <c r="CC77" i="34" s="1"/>
  <c r="CE77" i="34"/>
  <c r="CF77" i="34"/>
  <c r="CH77" i="34" a="1"/>
  <c r="CH77" i="34"/>
  <c r="CI77" i="34" a="1"/>
  <c r="CI77" i="34" s="1"/>
  <c r="CK77" i="34"/>
  <c r="CL77" i="34"/>
  <c r="CN77" i="34" a="1"/>
  <c r="CN77" i="34" s="1"/>
  <c r="CO77" i="34" a="1"/>
  <c r="CO77" i="34"/>
  <c r="CQ77" i="34" a="1"/>
  <c r="CQ77" i="34" s="1"/>
  <c r="CR77" i="34"/>
  <c r="CT77" i="34" s="1" a="1"/>
  <c r="CT77" i="34" s="1"/>
  <c r="CW77" i="34"/>
  <c r="CX77" i="34"/>
  <c r="CZ77" i="34" a="1"/>
  <c r="CZ77" i="34" s="1"/>
  <c r="DA77" i="34" a="1"/>
  <c r="DA77" i="34" s="1"/>
  <c r="DC77" i="34"/>
  <c r="DG77" i="34" s="1" a="1"/>
  <c r="DD77" i="34"/>
  <c r="DF77" i="34" a="1"/>
  <c r="DF77" i="34" s="1"/>
  <c r="DG77" i="34"/>
  <c r="DI77" i="34"/>
  <c r="DL77" i="34" s="1" a="1"/>
  <c r="DJ77" i="34"/>
  <c r="DL77" i="34"/>
  <c r="DM77" i="34" a="1"/>
  <c r="DM77" i="34"/>
  <c r="DO77" i="34"/>
  <c r="DR77" i="34" s="1" a="1"/>
  <c r="DR77" i="34" s="1"/>
  <c r="DP77" i="34"/>
  <c r="DS77" i="34" a="1"/>
  <c r="DS77" i="34"/>
  <c r="DU77" i="34"/>
  <c r="DX77" i="34" s="1" a="1"/>
  <c r="DX77" i="34" s="1"/>
  <c r="DV77" i="34"/>
  <c r="EA77" i="34"/>
  <c r="EB77" i="34"/>
  <c r="EE77" i="34" s="1" a="1"/>
  <c r="EE77" i="34" s="1"/>
  <c r="ED77" i="34" a="1"/>
  <c r="ED77" i="34" s="1"/>
  <c r="BS78" i="34"/>
  <c r="BV78" i="34" s="1" a="1"/>
  <c r="BV78" i="34" s="1"/>
  <c r="BT78" i="34"/>
  <c r="BW78" i="34" a="1"/>
  <c r="BW78" i="34" s="1"/>
  <c r="BY78" i="34"/>
  <c r="BZ78" i="34"/>
  <c r="CC78" i="34" s="1" a="1"/>
  <c r="CC78" i="34" s="1"/>
  <c r="CE78" i="34"/>
  <c r="CF78" i="34"/>
  <c r="CH78" i="34" a="1"/>
  <c r="CH78" i="34" s="1"/>
  <c r="CI78" i="34" a="1"/>
  <c r="CI78" i="34" s="1"/>
  <c r="CK78" i="34"/>
  <c r="CO78" i="34" s="1" a="1"/>
  <c r="CO78" i="34" s="1"/>
  <c r="CL78" i="34"/>
  <c r="CQ78" i="34" a="1"/>
  <c r="CQ78" i="34"/>
  <c r="CU78" i="34" s="1" a="1"/>
  <c r="CU78" i="34" s="1"/>
  <c r="CR78" i="34"/>
  <c r="CT78" i="34" s="1" a="1"/>
  <c r="CT78" i="34" s="1"/>
  <c r="CW78" i="34"/>
  <c r="CX78" i="34"/>
  <c r="CZ78" i="34" a="1"/>
  <c r="CZ78" i="34"/>
  <c r="DA78" i="34" a="1"/>
  <c r="DA78" i="34"/>
  <c r="DC78" i="34"/>
  <c r="DD78" i="34"/>
  <c r="DF78" i="34" a="1"/>
  <c r="DF78" i="34"/>
  <c r="DG78" i="34" a="1"/>
  <c r="DG78" i="34"/>
  <c r="DI78" i="34"/>
  <c r="DM78" i="34" s="1" a="1"/>
  <c r="DM78" i="34" s="1"/>
  <c r="DJ78" i="34"/>
  <c r="DO78" i="34"/>
  <c r="DP78" i="34"/>
  <c r="DR78" i="34" a="1"/>
  <c r="DR78" i="34" s="1"/>
  <c r="DU78" i="34"/>
  <c r="DX78" i="34" s="1" a="1"/>
  <c r="DX78" i="34" s="1"/>
  <c r="DV78" i="34"/>
  <c r="EA78" i="34"/>
  <c r="EE78" i="34" s="1" a="1"/>
  <c r="EE78" i="34" s="1"/>
  <c r="EB78" i="34"/>
  <c r="BS79" i="34"/>
  <c r="BV79" i="34" s="1" a="1"/>
  <c r="BV79" i="34" s="1"/>
  <c r="BT79" i="34"/>
  <c r="BW79" i="34" a="1"/>
  <c r="BW79" i="34"/>
  <c r="BY79" i="34"/>
  <c r="CC79" i="34" s="1" a="1"/>
  <c r="CC79" i="34" s="1"/>
  <c r="BZ79" i="34"/>
  <c r="CB79" i="34" s="1" a="1"/>
  <c r="CB79" i="34" s="1"/>
  <c r="CE79" i="34"/>
  <c r="CF79" i="34"/>
  <c r="CH79" i="34" s="1" a="1"/>
  <c r="CH79" i="34" s="1"/>
  <c r="CK79" i="34"/>
  <c r="CL79" i="34"/>
  <c r="CN79" i="34" a="1"/>
  <c r="CN79" i="34"/>
  <c r="CO79" i="34" a="1"/>
  <c r="CO79" i="34"/>
  <c r="CQ79" i="34" a="1"/>
  <c r="CQ79" i="34" s="1"/>
  <c r="CR79" i="34"/>
  <c r="CW79" i="34"/>
  <c r="DA79" i="34" s="1" a="1"/>
  <c r="DA79" i="34" s="1"/>
  <c r="CX79" i="34"/>
  <c r="DC79" i="34"/>
  <c r="DG79" i="34" s="1" a="1"/>
  <c r="DG79" i="34" s="1"/>
  <c r="DD79" i="34"/>
  <c r="DF79" i="34" a="1"/>
  <c r="DF79" i="34"/>
  <c r="DI79" i="34"/>
  <c r="DL79" i="34" s="1" a="1"/>
  <c r="DL79" i="34" s="1"/>
  <c r="DJ79" i="34"/>
  <c r="DM79" i="34" a="1"/>
  <c r="DM79" i="34"/>
  <c r="DO79" i="34"/>
  <c r="DR79" i="34" s="1" a="1"/>
  <c r="DR79" i="34" s="1"/>
  <c r="DP79" i="34"/>
  <c r="DU79" i="34"/>
  <c r="DV79" i="34"/>
  <c r="DY79" i="34" s="1" a="1"/>
  <c r="DY79" i="34" s="1"/>
  <c r="DX79" i="34" a="1"/>
  <c r="DX79" i="34" s="1"/>
  <c r="EA79" i="34"/>
  <c r="ED79" i="34" s="1" a="1"/>
  <c r="ED79" i="34" s="1"/>
  <c r="EB79" i="34"/>
  <c r="EE79" i="34" a="1"/>
  <c r="EE79" i="34" s="1"/>
  <c r="BS80" i="34"/>
  <c r="BT80" i="34"/>
  <c r="BV80" i="34" s="1" a="1"/>
  <c r="BV80" i="34" s="1"/>
  <c r="BY80" i="34"/>
  <c r="BZ80" i="34"/>
  <c r="CC80" i="34" s="1" a="1"/>
  <c r="CC80" i="34" s="1"/>
  <c r="CB80" i="34" a="1"/>
  <c r="CB80" i="34" s="1"/>
  <c r="CE80" i="34"/>
  <c r="CI80" i="34" s="1" a="1"/>
  <c r="CI80" i="34" s="1"/>
  <c r="CF80" i="34"/>
  <c r="CK80" i="34"/>
  <c r="CO80" i="34" s="1" a="1"/>
  <c r="CO80" i="34" s="1"/>
  <c r="CL80" i="34"/>
  <c r="CN80" i="34" a="1"/>
  <c r="CN80" i="34" s="1"/>
  <c r="CQ80" i="34" a="1"/>
  <c r="CQ80" i="34" s="1"/>
  <c r="CU80" i="34" s="1" a="1"/>
  <c r="CU80" i="34" s="1"/>
  <c r="CR80" i="34"/>
  <c r="CT80" i="34" a="1"/>
  <c r="CT80" i="34" s="1"/>
  <c r="CW80" i="34"/>
  <c r="CX80" i="34"/>
  <c r="CZ80" i="34" a="1"/>
  <c r="CZ80" i="34"/>
  <c r="DA80" i="34" a="1"/>
  <c r="DA80" i="34"/>
  <c r="DC80" i="34"/>
  <c r="DG80" i="34" s="1" a="1"/>
  <c r="DG80" i="34" s="1"/>
  <c r="DD80" i="34"/>
  <c r="DI80" i="34"/>
  <c r="DJ80" i="34"/>
  <c r="DL80" i="34" a="1"/>
  <c r="DL80" i="34" s="1"/>
  <c r="DO80" i="34"/>
  <c r="DR80" i="34" s="1" a="1"/>
  <c r="DR80" i="34" s="1"/>
  <c r="DP80" i="34"/>
  <c r="DU80" i="34"/>
  <c r="DY80" i="34" s="1" a="1"/>
  <c r="DY80" i="34" s="1"/>
  <c r="DV80" i="34"/>
  <c r="EA80" i="34"/>
  <c r="ED80" i="34" s="1" a="1"/>
  <c r="ED80" i="34" s="1"/>
  <c r="EB80" i="34"/>
  <c r="EE80" i="34" a="1"/>
  <c r="EE80" i="34"/>
  <c r="BS81" i="34"/>
  <c r="BW81" i="34" s="1" a="1"/>
  <c r="BW81" i="34" s="1"/>
  <c r="BT81" i="34"/>
  <c r="BV81" i="34" s="1" a="1"/>
  <c r="BV81" i="34" s="1"/>
  <c r="BY81" i="34"/>
  <c r="BZ81" i="34"/>
  <c r="CC81" i="34" s="1" a="1"/>
  <c r="CC81" i="34" s="1"/>
  <c r="CB81" i="34" a="1"/>
  <c r="CB81" i="34" s="1"/>
  <c r="CE81" i="34"/>
  <c r="CF81" i="34"/>
  <c r="CH81" i="34" a="1"/>
  <c r="CH81" i="34" s="1"/>
  <c r="CI81" i="34" a="1"/>
  <c r="CI81" i="34"/>
  <c r="CK81" i="34"/>
  <c r="CO81" i="34" s="1" a="1"/>
  <c r="CL81" i="34"/>
  <c r="CO81" i="34"/>
  <c r="CQ81" i="34" a="1"/>
  <c r="CQ81" i="34"/>
  <c r="CR81" i="34"/>
  <c r="CW81" i="34"/>
  <c r="DA81" i="34" s="1" a="1"/>
  <c r="DA81" i="34" s="1"/>
  <c r="CX81" i="34"/>
  <c r="CZ81" i="34" a="1"/>
  <c r="CZ81" i="34" s="1"/>
  <c r="DC81" i="34"/>
  <c r="DF81" i="34" s="1" a="1"/>
  <c r="DF81" i="34" s="1"/>
  <c r="DD81" i="34"/>
  <c r="DG81" i="34" a="1"/>
  <c r="DG81" i="34"/>
  <c r="DI81" i="34"/>
  <c r="DJ81" i="34"/>
  <c r="DO81" i="34"/>
  <c r="DP81" i="34"/>
  <c r="DS81" i="34" s="1" a="1"/>
  <c r="DS81" i="34" s="1"/>
  <c r="DU81" i="34"/>
  <c r="DX81" i="34" s="1" a="1"/>
  <c r="DX81" i="34" s="1"/>
  <c r="DV81" i="34"/>
  <c r="DY81" i="34" a="1"/>
  <c r="DY81" i="34" s="1"/>
  <c r="EA81" i="34"/>
  <c r="EB81" i="34"/>
  <c r="BS82" i="34"/>
  <c r="BT82" i="34"/>
  <c r="BW82" i="34" s="1" a="1"/>
  <c r="BW82" i="34" s="1"/>
  <c r="BV82" i="34" a="1"/>
  <c r="BV82" i="34" s="1"/>
  <c r="BY82" i="34"/>
  <c r="CC82" i="34" s="1" a="1"/>
  <c r="CC82" i="34" s="1"/>
  <c r="BZ82" i="34"/>
  <c r="CE82" i="34"/>
  <c r="CI82" i="34" s="1" a="1"/>
  <c r="CI82" i="34" s="1"/>
  <c r="CF82" i="34"/>
  <c r="CH82" i="34" a="1"/>
  <c r="CH82" i="34" s="1"/>
  <c r="CK82" i="34"/>
  <c r="CO82" i="34" s="1" a="1"/>
  <c r="CO82" i="34" s="1"/>
  <c r="CL82" i="34"/>
  <c r="CN82" i="34" a="1"/>
  <c r="CN82" i="34"/>
  <c r="CQ82" i="34" a="1"/>
  <c r="CQ82" i="34" s="1"/>
  <c r="CT82" i="34" s="1" a="1"/>
  <c r="CT82" i="34" s="1"/>
  <c r="CR82" i="34"/>
  <c r="CU82" i="34" a="1"/>
  <c r="CU82" i="34"/>
  <c r="CW82" i="34"/>
  <c r="CX82" i="34"/>
  <c r="DC82" i="34"/>
  <c r="DD82" i="34"/>
  <c r="DF82" i="34" a="1"/>
  <c r="DF82" i="34" s="1"/>
  <c r="DI82" i="34"/>
  <c r="DL82" i="34" s="1" a="1"/>
  <c r="DL82" i="34" s="1"/>
  <c r="DJ82" i="34"/>
  <c r="DO82" i="34"/>
  <c r="DS82" i="34" s="1" a="1"/>
  <c r="DS82" i="34" s="1"/>
  <c r="DP82" i="34"/>
  <c r="DU82" i="34"/>
  <c r="DX82" i="34" s="1" a="1"/>
  <c r="DX82" i="34" s="1"/>
  <c r="DV82" i="34"/>
  <c r="DY82" i="34" a="1"/>
  <c r="DY82" i="34"/>
  <c r="EA82" i="34"/>
  <c r="EE82" i="34" s="1" a="1"/>
  <c r="EE82" i="34" s="1"/>
  <c r="EB82" i="34"/>
  <c r="ED82" i="34" a="1"/>
  <c r="ED82" i="34" s="1"/>
  <c r="BS83" i="34"/>
  <c r="BT83" i="34"/>
  <c r="BW83" i="34" s="1" a="1"/>
  <c r="BW83" i="34" s="1"/>
  <c r="BV83" i="34" a="1"/>
  <c r="BV83" i="34" s="1"/>
  <c r="BY83" i="34"/>
  <c r="BZ83" i="34"/>
  <c r="CB83" i="34" a="1"/>
  <c r="CB83" i="34" s="1"/>
  <c r="CC83" i="34" a="1"/>
  <c r="CC83" i="34"/>
  <c r="CE83" i="34"/>
  <c r="CI83" i="34" s="1" a="1"/>
  <c r="CF83" i="34"/>
  <c r="CI83" i="34"/>
  <c r="CK83" i="34"/>
  <c r="CN83" i="34" s="1" a="1"/>
  <c r="CN83" i="34" s="1"/>
  <c r="CL83" i="34"/>
  <c r="CQ83" i="34" a="1"/>
  <c r="CQ83" i="34"/>
  <c r="CU83" i="34" s="1" a="1"/>
  <c r="CU83" i="34" s="1"/>
  <c r="CR83" i="34"/>
  <c r="CT83" i="34" a="1"/>
  <c r="CT83" i="34"/>
  <c r="CW83" i="34"/>
  <c r="CZ83" i="34" s="1" a="1"/>
  <c r="CZ83" i="34" s="1"/>
  <c r="CX83" i="34"/>
  <c r="DA83" i="34" a="1"/>
  <c r="DA83" i="34"/>
  <c r="DC83" i="34"/>
  <c r="DD83" i="34"/>
  <c r="DI83" i="34"/>
  <c r="DJ83" i="34"/>
  <c r="DM83" i="34" s="1" a="1"/>
  <c r="DM83" i="34" s="1"/>
  <c r="DL83" i="34" a="1"/>
  <c r="DL83" i="34" s="1"/>
  <c r="DO83" i="34"/>
  <c r="DR83" i="34" s="1" a="1"/>
  <c r="DR83" i="34" s="1"/>
  <c r="DP83" i="34"/>
  <c r="DS83" i="34" a="1"/>
  <c r="DS83" i="34" s="1"/>
  <c r="DU83" i="34"/>
  <c r="DV83" i="34"/>
  <c r="EA83" i="34"/>
  <c r="EB83" i="34"/>
  <c r="EE83" i="34" s="1" a="1"/>
  <c r="EE83" i="34" s="1"/>
  <c r="ED83" i="34" a="1"/>
  <c r="ED83" i="34" s="1"/>
  <c r="BS84" i="34"/>
  <c r="BW84" i="34" s="1" a="1"/>
  <c r="BW84" i="34" s="1"/>
  <c r="BT84" i="34"/>
  <c r="BY84" i="34"/>
  <c r="CC84" i="34" s="1" a="1"/>
  <c r="CC84" i="34" s="1"/>
  <c r="BZ84" i="34"/>
  <c r="CB84" i="34" a="1"/>
  <c r="CB84" i="34" s="1"/>
  <c r="CE84" i="34"/>
  <c r="CI84" i="34" s="1" a="1"/>
  <c r="CI84" i="34" s="1"/>
  <c r="CF84" i="34"/>
  <c r="CH84" i="34" a="1"/>
  <c r="CH84" i="34"/>
  <c r="CK84" i="34"/>
  <c r="CN84" i="34" s="1" a="1"/>
  <c r="CN84" i="34" s="1"/>
  <c r="CL84" i="34"/>
  <c r="CQ84" i="34" a="1"/>
  <c r="CQ84" i="34"/>
  <c r="CR84" i="34"/>
  <c r="CW84" i="34"/>
  <c r="CX84" i="34"/>
  <c r="CZ84" i="34" a="1"/>
  <c r="CZ84" i="34" s="1"/>
  <c r="DC84" i="34"/>
  <c r="DF84" i="34" s="1" a="1"/>
  <c r="DF84" i="34" s="1"/>
  <c r="DD84" i="34"/>
  <c r="DI84" i="34"/>
  <c r="DJ84" i="34"/>
  <c r="DO84" i="34"/>
  <c r="DR84" i="34" s="1" a="1"/>
  <c r="DR84" i="34" s="1"/>
  <c r="DP84" i="34"/>
  <c r="DS84" i="34" a="1"/>
  <c r="DS84" i="34"/>
  <c r="DU84" i="34"/>
  <c r="DY84" i="34" s="1" a="1"/>
  <c r="DY84" i="34" s="1"/>
  <c r="DV84" i="34"/>
  <c r="DX84" i="34" a="1"/>
  <c r="DX84" i="34" s="1"/>
  <c r="EA84" i="34"/>
  <c r="EB84" i="34"/>
  <c r="EE84" i="34" s="1" a="1"/>
  <c r="EE84" i="34" s="1"/>
  <c r="ED84" i="34" a="1"/>
  <c r="ED84" i="34" s="1"/>
  <c r="BS85" i="34"/>
  <c r="BT85" i="34"/>
  <c r="BV85" i="34" a="1"/>
  <c r="BV85" i="34" s="1"/>
  <c r="BW85" i="34" a="1"/>
  <c r="BW85" i="34"/>
  <c r="BY85" i="34"/>
  <c r="CC85" i="34" s="1" a="1"/>
  <c r="CC85" i="34" s="1"/>
  <c r="BZ85" i="34"/>
  <c r="CE85" i="34"/>
  <c r="CF85" i="34"/>
  <c r="CK85" i="34"/>
  <c r="CN85" i="34" s="1" a="1"/>
  <c r="CL85" i="34"/>
  <c r="CN85" i="34"/>
  <c r="CO85" i="34" a="1"/>
  <c r="CO85" i="34" s="1"/>
  <c r="CQ85" i="34" a="1"/>
  <c r="CQ85" i="34"/>
  <c r="CR85" i="34"/>
  <c r="CW85" i="34"/>
  <c r="CX85" i="34"/>
  <c r="DC85" i="34"/>
  <c r="DD85" i="34"/>
  <c r="DG85" i="34" s="1" a="1"/>
  <c r="DG85" i="34" s="1"/>
  <c r="DI85" i="34"/>
  <c r="DL85" i="34" s="1" a="1"/>
  <c r="DL85" i="34" s="1"/>
  <c r="DJ85" i="34"/>
  <c r="DM85" i="34" a="1"/>
  <c r="DM85" i="34" s="1"/>
  <c r="DO85" i="34"/>
  <c r="DP85" i="34"/>
  <c r="DU85" i="34"/>
  <c r="DV85" i="34"/>
  <c r="DY85" i="34" a="1"/>
  <c r="DY85" i="34" s="1"/>
  <c r="EA85" i="34"/>
  <c r="EB85" i="34"/>
  <c r="ED85" i="34" a="1"/>
  <c r="ED85" i="34" s="1"/>
  <c r="EE85" i="34" a="1"/>
  <c r="EE85" i="34" s="1"/>
  <c r="BS86" i="34"/>
  <c r="BT86" i="34"/>
  <c r="BV86" i="34" a="1"/>
  <c r="BV86" i="34" s="1"/>
  <c r="BW86" i="34" a="1"/>
  <c r="BW86" i="34"/>
  <c r="BY86" i="34"/>
  <c r="CC86" i="34" s="1" a="1"/>
  <c r="CC86" i="34" s="1"/>
  <c r="BZ86" i="34"/>
  <c r="CB86" i="34" a="1"/>
  <c r="CB86" i="34" s="1"/>
  <c r="CE86" i="34"/>
  <c r="CF86" i="34"/>
  <c r="CH86" i="34" a="1"/>
  <c r="CH86" i="34" s="1"/>
  <c r="CK86" i="34"/>
  <c r="CO86" i="34" s="1" a="1"/>
  <c r="CO86" i="34" s="1"/>
  <c r="CL86" i="34"/>
  <c r="CN86" i="34" a="1"/>
  <c r="CN86" i="34" s="1"/>
  <c r="CQ86" i="34" a="1"/>
  <c r="CQ86" i="34" s="1"/>
  <c r="CT86" i="34" s="1" a="1"/>
  <c r="CT86" i="34" s="1"/>
  <c r="CR86" i="34"/>
  <c r="CW86" i="34"/>
  <c r="DA86" i="34" s="1" a="1"/>
  <c r="DA86" i="34" s="1"/>
  <c r="CX86" i="34"/>
  <c r="CZ86" i="34" a="1"/>
  <c r="CZ86" i="34"/>
  <c r="DC86" i="34"/>
  <c r="DD86" i="34"/>
  <c r="DI86" i="34"/>
  <c r="DJ86" i="34"/>
  <c r="DM86" i="34" s="1" a="1"/>
  <c r="DM86" i="34" s="1"/>
  <c r="DO86" i="34"/>
  <c r="DR86" i="34" s="1" a="1"/>
  <c r="DR86" i="34" s="1"/>
  <c r="DP86" i="34"/>
  <c r="DS86" i="34" a="1"/>
  <c r="DS86" i="34" s="1"/>
  <c r="DU86" i="34"/>
  <c r="DX86" i="34" s="1" a="1"/>
  <c r="DX86" i="34" s="1"/>
  <c r="DV86" i="34"/>
  <c r="EA86" i="34"/>
  <c r="EB86" i="34"/>
  <c r="BS87" i="34"/>
  <c r="BT87" i="34"/>
  <c r="BW87" i="34" s="1" a="1"/>
  <c r="BW87" i="34"/>
  <c r="BY87" i="34"/>
  <c r="BZ87" i="34"/>
  <c r="CB87" i="34" a="1"/>
  <c r="CB87" i="34"/>
  <c r="CC87" i="34" a="1"/>
  <c r="CC87" i="34" s="1"/>
  <c r="CE87" i="34"/>
  <c r="CI87" i="34" s="1" a="1"/>
  <c r="CI87" i="34" s="1"/>
  <c r="CF87" i="34"/>
  <c r="CH87" i="34" a="1"/>
  <c r="CH87" i="34" s="1"/>
  <c r="CK87" i="34"/>
  <c r="CL87" i="34"/>
  <c r="CQ87" i="34" a="1"/>
  <c r="CQ87" i="34"/>
  <c r="CR87" i="34"/>
  <c r="CT87" i="34" a="1"/>
  <c r="CT87" i="34" s="1"/>
  <c r="CW87" i="34"/>
  <c r="DA87" i="34" s="1" a="1"/>
  <c r="DA87" i="34" s="1"/>
  <c r="CX87" i="34"/>
  <c r="CZ87" i="34" a="1"/>
  <c r="CZ87" i="34" s="1"/>
  <c r="DC87" i="34"/>
  <c r="DF87" i="34" s="1" a="1"/>
  <c r="DF87" i="34" s="1"/>
  <c r="DD87" i="34"/>
  <c r="DG87" i="34" a="1"/>
  <c r="DG87" i="34" s="1"/>
  <c r="DI87" i="34"/>
  <c r="DJ87" i="34"/>
  <c r="DO87" i="34"/>
  <c r="DR87" i="34" s="1" a="1"/>
  <c r="DR87" i="34" s="1"/>
  <c r="DP87" i="34"/>
  <c r="DS87" i="34" a="1"/>
  <c r="DS87" i="34" s="1"/>
  <c r="DU87" i="34"/>
  <c r="DV87" i="34"/>
  <c r="DX87" i="34" a="1"/>
  <c r="DX87" i="34" s="1"/>
  <c r="DY87" i="34" a="1"/>
  <c r="DY87" i="34" s="1"/>
  <c r="EA87" i="34"/>
  <c r="EB87" i="34"/>
  <c r="ED87" i="34" a="1"/>
  <c r="ED87" i="34" s="1"/>
  <c r="EE87" i="34" a="1"/>
  <c r="EE87" i="34"/>
  <c r="BS88" i="34"/>
  <c r="BW88" i="34" s="1" a="1"/>
  <c r="BW88" i="34" s="1"/>
  <c r="BT88" i="34"/>
  <c r="BV88" i="34" a="1"/>
  <c r="BV88" i="34" s="1"/>
  <c r="BY88" i="34"/>
  <c r="CC88" i="34" s="1" a="1"/>
  <c r="CC88" i="34" s="1"/>
  <c r="BZ88" i="34"/>
  <c r="CB88" i="34" a="1"/>
  <c r="CB88" i="34" s="1"/>
  <c r="CE88" i="34"/>
  <c r="CI88" i="34" s="1" a="1"/>
  <c r="CI88" i="34" s="1"/>
  <c r="CF88" i="34"/>
  <c r="CH88" i="34" a="1"/>
  <c r="CH88" i="34" s="1"/>
  <c r="CK88" i="34"/>
  <c r="CN88" i="34" s="1" a="1"/>
  <c r="CN88" i="34" s="1"/>
  <c r="CL88" i="34"/>
  <c r="CQ88" i="34" a="1"/>
  <c r="CQ88" i="34" s="1"/>
  <c r="CR88" i="34"/>
  <c r="CW88" i="34"/>
  <c r="CX88" i="34"/>
  <c r="DC88" i="34"/>
  <c r="DD88" i="34"/>
  <c r="DG88" i="34" s="1" a="1"/>
  <c r="DG88" i="34" s="1"/>
  <c r="DI88" i="34"/>
  <c r="DL88" i="34" s="1" a="1"/>
  <c r="DL88" i="34" s="1"/>
  <c r="DJ88" i="34"/>
  <c r="DM88" i="34" a="1"/>
  <c r="DM88" i="34" s="1"/>
  <c r="DO88" i="34"/>
  <c r="DR88" i="34" s="1" a="1"/>
  <c r="DR88" i="34" s="1"/>
  <c r="DP88" i="34"/>
  <c r="DU88" i="34"/>
  <c r="DV88" i="34"/>
  <c r="EA88" i="34"/>
  <c r="EB88" i="34"/>
  <c r="EE88" i="34" s="1" a="1"/>
  <c r="EE88" i="34" s="1"/>
  <c r="BS89" i="34"/>
  <c r="BT89" i="34"/>
  <c r="BV89" i="34" a="1"/>
  <c r="BV89" i="34"/>
  <c r="BW89" i="34" a="1"/>
  <c r="BW89" i="34" s="1"/>
  <c r="BY89" i="34"/>
  <c r="CC89" i="34" s="1" a="1"/>
  <c r="BZ89" i="34"/>
  <c r="CB89" i="34" a="1"/>
  <c r="CB89" i="34" s="1"/>
  <c r="CC89" i="34"/>
  <c r="CE89" i="34"/>
  <c r="CF89" i="34"/>
  <c r="CK89" i="34"/>
  <c r="CL89" i="34"/>
  <c r="CO89" i="34" s="1" a="1"/>
  <c r="CO89" i="34" s="1"/>
  <c r="CQ89" i="34" a="1"/>
  <c r="CQ89" i="34" s="1"/>
  <c r="CU89" i="34" s="1" a="1"/>
  <c r="CU89" i="34" s="1"/>
  <c r="CR89" i="34"/>
  <c r="CT89" i="34" a="1"/>
  <c r="CT89" i="34" s="1"/>
  <c r="CW89" i="34"/>
  <c r="CZ89" i="34" s="1" a="1"/>
  <c r="CZ89" i="34" s="1"/>
  <c r="CX89" i="34"/>
  <c r="DC89" i="34"/>
  <c r="DD89" i="34"/>
  <c r="DI89" i="34"/>
  <c r="DJ89" i="34"/>
  <c r="DM89" i="34" a="1"/>
  <c r="DM89" i="34" s="1"/>
  <c r="DO89" i="34"/>
  <c r="DP89" i="34"/>
  <c r="DR89" i="34" a="1"/>
  <c r="DR89" i="34" s="1"/>
  <c r="DS89" i="34" a="1"/>
  <c r="DS89" i="34" s="1"/>
  <c r="DU89" i="34"/>
  <c r="DV89" i="34"/>
  <c r="DX89" i="34" a="1"/>
  <c r="DX89" i="34" s="1"/>
  <c r="DY89" i="34" a="1"/>
  <c r="DY89" i="34" s="1"/>
  <c r="EA89" i="34"/>
  <c r="EE89" i="34" s="1" a="1"/>
  <c r="EE89" i="34" s="1"/>
  <c r="EB89" i="34"/>
  <c r="ED89" i="34" a="1"/>
  <c r="ED89" i="34" s="1"/>
  <c r="BS90" i="34"/>
  <c r="BT90" i="34"/>
  <c r="BV90" i="34" a="1"/>
  <c r="BV90" i="34" s="1"/>
  <c r="BY90" i="34"/>
  <c r="CC90" i="34" s="1" a="1"/>
  <c r="CC90" i="34" s="1"/>
  <c r="BZ90" i="34"/>
  <c r="CB90" i="34" a="1"/>
  <c r="CB90" i="34" s="1"/>
  <c r="CE90" i="34"/>
  <c r="CH90" i="34" s="1" a="1"/>
  <c r="CH90" i="34" s="1"/>
  <c r="CF90" i="34"/>
  <c r="CI90" i="34" a="1"/>
  <c r="CI90" i="34" s="1"/>
  <c r="CK90" i="34"/>
  <c r="CN90" i="34" s="1" a="1"/>
  <c r="CN90" i="34" s="1"/>
  <c r="CL90" i="34"/>
  <c r="CQ90" i="34" a="1"/>
  <c r="CQ90" i="34"/>
  <c r="CR90" i="34"/>
  <c r="CW90" i="34"/>
  <c r="CX90" i="34"/>
  <c r="DA90" i="34" s="1" a="1"/>
  <c r="DA90" i="34" s="1"/>
  <c r="DC90" i="34"/>
  <c r="DD90" i="34"/>
  <c r="DG90" i="34" a="1"/>
  <c r="DG90" i="34" s="1"/>
  <c r="DI90" i="34"/>
  <c r="DJ90" i="34"/>
  <c r="DO90" i="34"/>
  <c r="DP90" i="34"/>
  <c r="DU90" i="34"/>
  <c r="DV90" i="34"/>
  <c r="DY90" i="34" s="1" a="1"/>
  <c r="DY90" i="34" s="1"/>
  <c r="DX90" i="34" a="1"/>
  <c r="DX90" i="34" s="1"/>
  <c r="EA90" i="34"/>
  <c r="EB90" i="34"/>
  <c r="ED90" i="34" a="1"/>
  <c r="ED90" i="34"/>
  <c r="EE90" i="34" a="1"/>
  <c r="EE90" i="34" s="1"/>
  <c r="BS91" i="34"/>
  <c r="BW91" i="34" s="1" a="1"/>
  <c r="BT91" i="34"/>
  <c r="BV91" i="34" a="1"/>
  <c r="BV91" i="34"/>
  <c r="BW91" i="34"/>
  <c r="BY91" i="34"/>
  <c r="CC91" i="34" s="1" a="1"/>
  <c r="CC91" i="34" s="1"/>
  <c r="BZ91" i="34"/>
  <c r="CB91" i="34" a="1"/>
  <c r="CB91" i="34" s="1"/>
  <c r="CE91" i="34"/>
  <c r="CF91" i="34"/>
  <c r="CH91" i="34" s="1" a="1"/>
  <c r="CH91" i="34" s="1"/>
  <c r="CK91" i="34"/>
  <c r="CN91" i="34" s="1" a="1"/>
  <c r="CN91" i="34" s="1"/>
  <c r="CL91" i="34"/>
  <c r="CQ91" i="34" a="1"/>
  <c r="CQ91" i="34" s="1"/>
  <c r="CT91" i="34" s="1" a="1"/>
  <c r="CT91" i="34" s="1"/>
  <c r="CR91" i="34"/>
  <c r="CU91" i="34" a="1"/>
  <c r="CU91" i="34" s="1"/>
  <c r="CW91" i="34"/>
  <c r="CZ91" i="34" s="1" a="1"/>
  <c r="CZ91" i="34" s="1"/>
  <c r="CX91" i="34"/>
  <c r="DC91" i="34"/>
  <c r="DF91" i="34" s="1" a="1"/>
  <c r="DF91" i="34" s="1"/>
  <c r="DD91" i="34"/>
  <c r="DG91" i="34" a="1"/>
  <c r="DG91" i="34" s="1"/>
  <c r="DI91" i="34"/>
  <c r="DJ91" i="34"/>
  <c r="DL91" i="34" a="1"/>
  <c r="DL91" i="34" s="1"/>
  <c r="DM91" i="34" a="1"/>
  <c r="DM91" i="34" s="1"/>
  <c r="DO91" i="34"/>
  <c r="DP91" i="34"/>
  <c r="DU91" i="34"/>
  <c r="DY91" i="34" s="1" a="1"/>
  <c r="DY91" i="34" s="1"/>
  <c r="DV91" i="34"/>
  <c r="DX91" i="34" a="1"/>
  <c r="DX91" i="34" s="1"/>
  <c r="EA91" i="34"/>
  <c r="EE91" i="34" s="1" a="1"/>
  <c r="EB91" i="34"/>
  <c r="ED91" i="34" a="1"/>
  <c r="ED91" i="34" s="1"/>
  <c r="EE91" i="34"/>
  <c r="BS92" i="34"/>
  <c r="BW92" i="34" s="1" a="1"/>
  <c r="BW92" i="34" s="1"/>
  <c r="BT92" i="34"/>
  <c r="BY92" i="34"/>
  <c r="BZ92" i="34"/>
  <c r="CE92" i="34"/>
  <c r="CH92" i="34" s="1" a="1"/>
  <c r="CF92" i="34"/>
  <c r="CH92" i="34"/>
  <c r="CI92" i="34" a="1"/>
  <c r="CI92" i="34" s="1"/>
  <c r="CK92" i="34"/>
  <c r="CL92" i="34"/>
  <c r="CO92" i="34" s="1" a="1"/>
  <c r="CO92" i="34" s="1"/>
  <c r="CQ92" i="34" a="1"/>
  <c r="CQ92" i="34"/>
  <c r="CU92" i="34" s="1" a="1"/>
  <c r="CU92" i="34" s="1"/>
  <c r="CR92" i="34"/>
  <c r="CT92" i="34" a="1"/>
  <c r="CT92" i="34"/>
  <c r="CW92" i="34"/>
  <c r="CX92" i="34"/>
  <c r="DA92" i="34" s="1" a="1"/>
  <c r="DA92" i="34" s="1"/>
  <c r="DC92" i="34"/>
  <c r="DD92" i="34"/>
  <c r="DI92" i="34"/>
  <c r="DJ92" i="34"/>
  <c r="DM92" i="34" s="1" a="1"/>
  <c r="DM92" i="34" s="1"/>
  <c r="DO92" i="34"/>
  <c r="DP92" i="34"/>
  <c r="DR92" i="34" s="1" a="1"/>
  <c r="DR92" i="34" s="1"/>
  <c r="DS92" i="34" a="1"/>
  <c r="DS92" i="34"/>
  <c r="DU92" i="34"/>
  <c r="DV92" i="34"/>
  <c r="DX92" i="34" a="1"/>
  <c r="DX92" i="34"/>
  <c r="DY92" i="34" a="1"/>
  <c r="DY92" i="34"/>
  <c r="EA92" i="34"/>
  <c r="EE92" i="34" s="1" a="1"/>
  <c r="EE92" i="34" s="1"/>
  <c r="EB92" i="34"/>
  <c r="ED92" i="34" a="1"/>
  <c r="ED92" i="34" s="1"/>
  <c r="BS93" i="34"/>
  <c r="BW93" i="34" s="1" a="1"/>
  <c r="BW93" i="34" s="1"/>
  <c r="BT93" i="34"/>
  <c r="BY93" i="34"/>
  <c r="CC93" i="34" s="1" a="1"/>
  <c r="CC93" i="34" s="1"/>
  <c r="BZ93" i="34"/>
  <c r="CB93" i="34" a="1"/>
  <c r="CB93" i="34"/>
  <c r="CE93" i="34"/>
  <c r="CH93" i="34" s="1" a="1"/>
  <c r="CF93" i="34"/>
  <c r="CH93" i="34"/>
  <c r="CI93" i="34" a="1"/>
  <c r="CI93" i="34" s="1"/>
  <c r="CK93" i="34"/>
  <c r="CL93" i="34"/>
  <c r="CQ93" i="34" a="1"/>
  <c r="CQ93" i="34" s="1"/>
  <c r="CR93" i="34"/>
  <c r="CW93" i="34"/>
  <c r="CX93" i="34"/>
  <c r="DC93" i="34"/>
  <c r="DD93" i="34"/>
  <c r="DF93" i="34" a="1"/>
  <c r="DF93" i="34" s="1"/>
  <c r="DG93" i="34" a="1"/>
  <c r="DG93" i="34" s="1"/>
  <c r="DI93" i="34"/>
  <c r="DJ93" i="34"/>
  <c r="DL93" i="34" s="1" a="1"/>
  <c r="DL93" i="34" s="1"/>
  <c r="DO93" i="34"/>
  <c r="DP93" i="34"/>
  <c r="DR93" i="34" a="1"/>
  <c r="DR93" i="34" s="1"/>
  <c r="DU93" i="34"/>
  <c r="DV93" i="34"/>
  <c r="DX93" i="34" a="1"/>
  <c r="DX93" i="34" s="1"/>
  <c r="EA93" i="34"/>
  <c r="EB93" i="34"/>
  <c r="ED93" i="34" a="1"/>
  <c r="ED93" i="34" s="1"/>
  <c r="EE93" i="34" a="1"/>
  <c r="EE93" i="34" s="1"/>
  <c r="BS94" i="34"/>
  <c r="BV94" i="34" s="1" a="1"/>
  <c r="BV94" i="34" s="1"/>
  <c r="BT94" i="34"/>
  <c r="BY94" i="34"/>
  <c r="CB94" i="34" s="1" a="1"/>
  <c r="CB94" i="34" s="1"/>
  <c r="BZ94" i="34"/>
  <c r="CE94" i="34"/>
  <c r="CH94" i="34" s="1" a="1"/>
  <c r="CH94" i="34" s="1"/>
  <c r="CF94" i="34"/>
  <c r="CI94" i="34" a="1"/>
  <c r="CI94" i="34" s="1"/>
  <c r="CK94" i="34"/>
  <c r="CL94" i="34"/>
  <c r="CN94" i="34" s="1" a="1"/>
  <c r="CN94" i="34" s="1"/>
  <c r="CQ94" i="34" a="1"/>
  <c r="CQ94" i="34"/>
  <c r="CR94" i="34"/>
  <c r="CW94" i="34"/>
  <c r="CZ94" i="34" s="1" a="1"/>
  <c r="CZ94" i="34" s="1"/>
  <c r="CX94" i="34"/>
  <c r="DC94" i="34"/>
  <c r="DF94" i="34" s="1" a="1"/>
  <c r="DF94" i="34" s="1"/>
  <c r="DD94" i="34"/>
  <c r="DG94" i="34" a="1"/>
  <c r="DG94" i="34" s="1"/>
  <c r="DI94" i="34"/>
  <c r="DJ94" i="34"/>
  <c r="DL94" i="34" s="1" a="1"/>
  <c r="DL94" i="34" s="1"/>
  <c r="DO94" i="34"/>
  <c r="DP94" i="34"/>
  <c r="DR94" i="34" a="1"/>
  <c r="DR94" i="34" s="1"/>
  <c r="DS94" i="34" a="1"/>
  <c r="DS94" i="34"/>
  <c r="DU94" i="34"/>
  <c r="DY94" i="34" s="1" a="1"/>
  <c r="DY94" i="34" s="1"/>
  <c r="DV94" i="34"/>
  <c r="DX94" i="34" a="1"/>
  <c r="DX94" i="34" s="1"/>
  <c r="EA94" i="34"/>
  <c r="EE94" i="34" s="1" a="1"/>
  <c r="EE94" i="34" s="1"/>
  <c r="EB94" i="34"/>
  <c r="BS95" i="34"/>
  <c r="BT95" i="34"/>
  <c r="BY95" i="34"/>
  <c r="CB95" i="34" s="1" a="1"/>
  <c r="BZ95" i="34"/>
  <c r="CB95" i="34"/>
  <c r="CC95" i="34" a="1"/>
  <c r="CC95" i="34" s="1"/>
  <c r="CE95" i="34"/>
  <c r="CH95" i="34" s="1" a="1"/>
  <c r="CH95" i="34" s="1"/>
  <c r="CF95" i="34"/>
  <c r="CK95" i="34"/>
  <c r="CN95" i="34" s="1" a="1"/>
  <c r="CN95" i="34" s="1"/>
  <c r="CL95" i="34"/>
  <c r="CO95" i="34" a="1"/>
  <c r="CO95" i="34"/>
  <c r="CQ95" i="34" a="1"/>
  <c r="CQ95" i="34"/>
  <c r="CT95" i="34" s="1" a="1"/>
  <c r="CT95" i="34" s="1"/>
  <c r="CR95" i="34"/>
  <c r="CU95" i="34" a="1"/>
  <c r="CU95" i="34" s="1"/>
  <c r="CW95" i="34"/>
  <c r="CX95" i="34"/>
  <c r="CZ95" i="34" a="1"/>
  <c r="CZ95" i="34" s="1"/>
  <c r="DA95" i="34" a="1"/>
  <c r="DA95" i="34" s="1"/>
  <c r="DC95" i="34"/>
  <c r="DD95" i="34"/>
  <c r="DF95" i="34" s="1" a="1"/>
  <c r="DF95" i="34" s="1"/>
  <c r="DG95" i="34" a="1"/>
  <c r="DG95" i="34"/>
  <c r="DI95" i="34"/>
  <c r="DJ95" i="34"/>
  <c r="DL95" i="34" a="1"/>
  <c r="DL95" i="34" s="1"/>
  <c r="DO95" i="34"/>
  <c r="DP95" i="34"/>
  <c r="DR95" i="34" a="1"/>
  <c r="DR95" i="34" s="1"/>
  <c r="DU95" i="34"/>
  <c r="DX95" i="34" s="1" a="1"/>
  <c r="DX95" i="34" s="1"/>
  <c r="DV95" i="34"/>
  <c r="EA95" i="34"/>
  <c r="ED95" i="34" s="1" a="1"/>
  <c r="ED95" i="34" s="1"/>
  <c r="EB95" i="34"/>
  <c r="BS96" i="34"/>
  <c r="BV96" i="34" s="1" a="1"/>
  <c r="BT96" i="34"/>
  <c r="BV96" i="34"/>
  <c r="BW96" i="34" a="1"/>
  <c r="BW96" i="34" s="1"/>
  <c r="BY96" i="34"/>
  <c r="CB96" i="34" s="1" a="1"/>
  <c r="CB96" i="34" s="1"/>
  <c r="BZ96" i="34"/>
  <c r="CE96" i="34"/>
  <c r="CF96" i="34"/>
  <c r="CI96" i="34" s="1" a="1"/>
  <c r="CI96" i="34" s="1"/>
  <c r="CH96" i="34" a="1"/>
  <c r="CH96" i="34"/>
  <c r="CK96" i="34"/>
  <c r="CL96" i="34"/>
  <c r="CN96" i="34" s="1" a="1"/>
  <c r="CN96" i="34" s="1"/>
  <c r="CO96" i="34" a="1"/>
  <c r="CO96" i="34"/>
  <c r="CQ96" i="34" a="1"/>
  <c r="CQ96" i="34"/>
  <c r="CT96" i="34" s="1" a="1"/>
  <c r="CT96" i="34" s="1"/>
  <c r="CR96" i="34"/>
  <c r="CW96" i="34"/>
  <c r="CX96" i="34"/>
  <c r="CZ96" i="34" a="1"/>
  <c r="CZ96" i="34" s="1"/>
  <c r="DA96" i="34" a="1"/>
  <c r="DA96" i="34" s="1"/>
  <c r="DC96" i="34"/>
  <c r="DD96" i="34"/>
  <c r="DF96" i="34" s="1" a="1"/>
  <c r="DF96" i="34" s="1"/>
  <c r="DG96" i="34" a="1"/>
  <c r="DG96" i="34"/>
  <c r="DI96" i="34"/>
  <c r="DJ96" i="34"/>
  <c r="DL96" i="34" a="1"/>
  <c r="DL96" i="34"/>
  <c r="DM96" i="34" a="1"/>
  <c r="DM96" i="34" s="1"/>
  <c r="DO96" i="34"/>
  <c r="DP96" i="34"/>
  <c r="DR96" i="34" a="1"/>
  <c r="DR96" i="34" s="1"/>
  <c r="DU96" i="34"/>
  <c r="DY96" i="34" s="1" a="1"/>
  <c r="DY96" i="34" s="1"/>
  <c r="DV96" i="34"/>
  <c r="EA96" i="34"/>
  <c r="EE96" i="34" s="1" a="1"/>
  <c r="EE96" i="34" s="1"/>
  <c r="EB96" i="34"/>
  <c r="ED96" i="34" a="1"/>
  <c r="ED96" i="34" s="1"/>
  <c r="BS97" i="34"/>
  <c r="BV97" i="34" s="1" a="1"/>
  <c r="BT97" i="34"/>
  <c r="BV97" i="34"/>
  <c r="BW97" i="34" a="1"/>
  <c r="BW97" i="34" s="1"/>
  <c r="BY97" i="34"/>
  <c r="CC97" i="34" s="1" a="1"/>
  <c r="CC97" i="34" s="1"/>
  <c r="BZ97" i="34"/>
  <c r="CE97" i="34"/>
  <c r="CH97" i="34" s="1" a="1"/>
  <c r="CH97" i="34" s="1"/>
  <c r="CF97" i="34"/>
  <c r="CK97" i="34"/>
  <c r="CL97" i="34"/>
  <c r="CN97" i="34" s="1" a="1"/>
  <c r="CN97" i="34" s="1"/>
  <c r="CO97" i="34" a="1"/>
  <c r="CO97" i="34" s="1"/>
  <c r="CQ97" i="34" a="1"/>
  <c r="CQ97" i="34" s="1"/>
  <c r="CT97" i="34" s="1" a="1"/>
  <c r="CT97" i="34" s="1"/>
  <c r="CR97" i="34"/>
  <c r="CU97" i="34" a="1"/>
  <c r="CU97" i="34"/>
  <c r="CW97" i="34"/>
  <c r="CZ97" i="34" s="1" a="1"/>
  <c r="CZ97" i="34" s="1"/>
  <c r="CX97" i="34"/>
  <c r="DA97" i="34" s="1" a="1"/>
  <c r="DA97" i="34" s="1"/>
  <c r="DC97" i="34"/>
  <c r="DG97" i="34" s="1" a="1"/>
  <c r="DD97" i="34"/>
  <c r="DF97" i="34" a="1"/>
  <c r="DF97" i="34" s="1"/>
  <c r="DG97" i="34"/>
  <c r="DI97" i="34"/>
  <c r="DM97" i="34" s="1" a="1"/>
  <c r="DM97" i="34" s="1"/>
  <c r="DJ97" i="34"/>
  <c r="DL97" i="34" a="1"/>
  <c r="DL97" i="34" s="1"/>
  <c r="DO97" i="34"/>
  <c r="DS97" i="34" s="1" a="1"/>
  <c r="DS97" i="34" s="1"/>
  <c r="DP97" i="34"/>
  <c r="DR97" i="34" a="1"/>
  <c r="DR97" i="34" s="1"/>
  <c r="DU97" i="34"/>
  <c r="DX97" i="34" s="1" a="1"/>
  <c r="DV97" i="34"/>
  <c r="DX97" i="34"/>
  <c r="DY97" i="34" a="1"/>
  <c r="DY97" i="34" s="1"/>
  <c r="EA97" i="34"/>
  <c r="ED97" i="34" s="1" a="1"/>
  <c r="ED97" i="34" s="1"/>
  <c r="EB97" i="34"/>
  <c r="EE97" i="34" a="1"/>
  <c r="EE97" i="34" s="1"/>
  <c r="BS98" i="34"/>
  <c r="BW98" i="34" s="1" a="1"/>
  <c r="BW98" i="34" s="1"/>
  <c r="BT98" i="34"/>
  <c r="BV98" i="34" a="1"/>
  <c r="BV98" i="34" s="1"/>
  <c r="BY98" i="34"/>
  <c r="BZ98" i="34"/>
  <c r="CB98" i="34" s="1" a="1"/>
  <c r="CB98" i="34" s="1"/>
  <c r="CC98" i="34" a="1"/>
  <c r="CC98" i="34" s="1"/>
  <c r="CE98" i="34"/>
  <c r="CH98" i="34" s="1" a="1"/>
  <c r="CH98" i="34" s="1"/>
  <c r="CF98" i="34"/>
  <c r="CK98" i="34"/>
  <c r="CO98" i="34" s="1" a="1"/>
  <c r="CO98" i="34" s="1"/>
  <c r="CL98" i="34"/>
  <c r="CN98" i="34" a="1"/>
  <c r="CN98" i="34" s="1"/>
  <c r="CQ98" i="34" a="1"/>
  <c r="CQ98" i="34" s="1"/>
  <c r="CT98" i="34" s="1" a="1"/>
  <c r="CT98" i="34" s="1"/>
  <c r="CR98" i="34"/>
  <c r="CW98" i="34"/>
  <c r="CX98" i="34"/>
  <c r="CZ98" i="34" s="1" a="1"/>
  <c r="CZ98" i="34" s="1"/>
  <c r="DA98" i="34" a="1"/>
  <c r="DA98" i="34"/>
  <c r="DC98" i="34"/>
  <c r="DD98" i="34"/>
  <c r="DF98" i="34" a="1"/>
  <c r="DF98" i="34"/>
  <c r="DG98" i="34" a="1"/>
  <c r="DG98" i="34"/>
  <c r="DI98" i="34"/>
  <c r="DJ98" i="34"/>
  <c r="DL98" i="34" a="1"/>
  <c r="DL98" i="34" s="1"/>
  <c r="DO98" i="34"/>
  <c r="DS98" i="34" s="1" a="1"/>
  <c r="DS98" i="34" s="1"/>
  <c r="DP98" i="34"/>
  <c r="DU98" i="34"/>
  <c r="DY98" i="34" s="1" a="1"/>
  <c r="DY98" i="34" s="1"/>
  <c r="DV98" i="34"/>
  <c r="DX98" i="34" a="1"/>
  <c r="DX98" i="34" s="1"/>
  <c r="EA98" i="34"/>
  <c r="ED98" i="34" s="1" a="1"/>
  <c r="EB98" i="34"/>
  <c r="ED98" i="34"/>
  <c r="EE98" i="34" a="1"/>
  <c r="EE98" i="34" s="1"/>
  <c r="BS99" i="34"/>
  <c r="BW99" i="34" s="1" a="1"/>
  <c r="BW99" i="34" s="1"/>
  <c r="BT99" i="34"/>
  <c r="BY99" i="34"/>
  <c r="CB99" i="34" s="1" a="1"/>
  <c r="CB99" i="34" s="1"/>
  <c r="BZ99" i="34"/>
  <c r="CE99" i="34"/>
  <c r="CF99" i="34"/>
  <c r="CH99" i="34" s="1" a="1"/>
  <c r="CH99" i="34" s="1"/>
  <c r="CI99" i="34" a="1"/>
  <c r="CI99" i="34" s="1"/>
  <c r="CK99" i="34"/>
  <c r="CL99" i="34"/>
  <c r="CN99" i="34" a="1"/>
  <c r="CN99" i="34" s="1"/>
  <c r="CO99" i="34" a="1"/>
  <c r="CO99" i="34"/>
  <c r="CQ99" i="34" a="1"/>
  <c r="CQ99" i="34"/>
  <c r="CT99" i="34" s="1" a="1"/>
  <c r="CT99" i="34" s="1"/>
  <c r="CR99" i="34"/>
  <c r="CW99" i="34"/>
  <c r="CX99" i="34"/>
  <c r="CZ99" i="34" a="1"/>
  <c r="CZ99" i="34" s="1"/>
  <c r="DC99" i="34"/>
  <c r="DF99" i="34" s="1" a="1"/>
  <c r="DF99" i="34" s="1"/>
  <c r="DD99" i="34"/>
  <c r="DG99" i="34" a="1"/>
  <c r="DG99" i="34" s="1"/>
  <c r="DI99" i="34"/>
  <c r="DL99" i="34" s="1" a="1"/>
  <c r="DL99" i="34" s="1"/>
  <c r="DJ99" i="34"/>
  <c r="DO99" i="34"/>
  <c r="DR99" i="34" s="1" a="1"/>
  <c r="DP99" i="34"/>
  <c r="DR99" i="34"/>
  <c r="DU99" i="34"/>
  <c r="DX99" i="34" s="1" a="1"/>
  <c r="DX99" i="34" s="1"/>
  <c r="DV99" i="34"/>
  <c r="DY99" i="34" a="1"/>
  <c r="DY99" i="34" s="1"/>
  <c r="EA99" i="34"/>
  <c r="ED99" i="34" s="1" a="1"/>
  <c r="ED99" i="34" s="1"/>
  <c r="EB99" i="34"/>
  <c r="BS100" i="34"/>
  <c r="BT100" i="34"/>
  <c r="BW100" i="34" s="1" a="1"/>
  <c r="BW100" i="34" s="1"/>
  <c r="BV100" i="34" a="1"/>
  <c r="BV100" i="34"/>
  <c r="BY100" i="34"/>
  <c r="CB100" i="34" s="1" a="1"/>
  <c r="CB100" i="34" s="1"/>
  <c r="BZ100" i="34"/>
  <c r="CC100" i="34" a="1"/>
  <c r="CC100" i="34" s="1"/>
  <c r="CE100" i="34"/>
  <c r="CH100" i="34" s="1" a="1"/>
  <c r="CH100" i="34" s="1"/>
  <c r="CF100" i="34"/>
  <c r="CK100" i="34"/>
  <c r="CN100" i="34" s="1" a="1"/>
  <c r="CN100" i="34" s="1"/>
  <c r="CL100" i="34"/>
  <c r="CO100" i="34" a="1"/>
  <c r="CO100" i="34" s="1"/>
  <c r="CQ100" i="34" a="1"/>
  <c r="CQ100" i="34" s="1"/>
  <c r="CT100" i="34" s="1" a="1"/>
  <c r="CT100" i="34" s="1"/>
  <c r="CR100" i="34"/>
  <c r="CU100" i="34" a="1"/>
  <c r="CU100" i="34" s="1"/>
  <c r="CW100" i="34"/>
  <c r="CX100" i="34"/>
  <c r="CZ100" i="34" a="1"/>
  <c r="CZ100" i="34"/>
  <c r="DA100" i="34" a="1"/>
  <c r="DA100" i="34" s="1"/>
  <c r="DC100" i="34"/>
  <c r="DD100" i="34"/>
  <c r="DF100" i="34" a="1"/>
  <c r="DF100" i="34" s="1"/>
  <c r="DI100" i="34"/>
  <c r="DM100" i="34" s="1" a="1"/>
  <c r="DM100" i="34" s="1"/>
  <c r="DJ100" i="34"/>
  <c r="DO100" i="34"/>
  <c r="DS100" i="34" s="1" a="1"/>
  <c r="DS100" i="34" s="1"/>
  <c r="DP100" i="34"/>
  <c r="DR100" i="34" a="1"/>
  <c r="DR100" i="34" s="1"/>
  <c r="DU100" i="34"/>
  <c r="DX100" i="34" s="1" a="1"/>
  <c r="DV100" i="34"/>
  <c r="DX100" i="34"/>
  <c r="DY100" i="34" a="1"/>
  <c r="DY100" i="34" s="1"/>
  <c r="EA100" i="34"/>
  <c r="EE100" i="34" s="1" a="1"/>
  <c r="EE100" i="34" s="1"/>
  <c r="EB100" i="34"/>
  <c r="BS101" i="34"/>
  <c r="BV101" i="34" s="1" a="1"/>
  <c r="BV101" i="34" s="1"/>
  <c r="BT101" i="34"/>
  <c r="BY101" i="34"/>
  <c r="BZ101" i="34"/>
  <c r="CB101" i="34" s="1" a="1"/>
  <c r="CB101" i="34" s="1"/>
  <c r="CC101" i="34" a="1"/>
  <c r="CC101" i="34" s="1"/>
  <c r="CE101" i="34"/>
  <c r="CF101" i="34"/>
  <c r="CH101" i="34" a="1"/>
  <c r="CH101" i="34" s="1"/>
  <c r="CI101" i="34" a="1"/>
  <c r="CI101" i="34" s="1"/>
  <c r="CK101" i="34"/>
  <c r="CN101" i="34" s="1" a="1"/>
  <c r="CN101" i="34" s="1"/>
  <c r="CL101" i="34"/>
  <c r="CQ101" i="34" a="1"/>
  <c r="CQ101" i="34" s="1"/>
  <c r="CU101" i="34" s="1" a="1"/>
  <c r="CU101" i="34" s="1"/>
  <c r="CR101" i="34"/>
  <c r="CT101" i="34" a="1"/>
  <c r="CT101" i="34" s="1"/>
  <c r="CW101" i="34"/>
  <c r="CZ101" i="34" s="1" a="1"/>
  <c r="CZ101" i="34" s="1"/>
  <c r="CX101" i="34"/>
  <c r="DA101" i="34" a="1"/>
  <c r="DA101" i="34" s="1"/>
  <c r="DC101" i="34"/>
  <c r="DF101" i="34" s="1" a="1"/>
  <c r="DF101" i="34" s="1"/>
  <c r="DD101" i="34"/>
  <c r="DI101" i="34"/>
  <c r="DL101" i="34" s="1" a="1"/>
  <c r="DJ101" i="34"/>
  <c r="DL101" i="34"/>
  <c r="DO101" i="34"/>
  <c r="DR101" i="34" s="1" a="1"/>
  <c r="DR101" i="34" s="1"/>
  <c r="DP101" i="34"/>
  <c r="DS101" i="34" a="1"/>
  <c r="DS101" i="34" s="1"/>
  <c r="DU101" i="34"/>
  <c r="DX101" i="34" s="1" a="1"/>
  <c r="DX101" i="34" s="1"/>
  <c r="DV101" i="34"/>
  <c r="EA101" i="34"/>
  <c r="EB101" i="34"/>
  <c r="EE101" i="34" s="1" a="1"/>
  <c r="EE101" i="34" s="1"/>
  <c r="ED101" i="34" a="1"/>
  <c r="ED101" i="34"/>
  <c r="BS102" i="34"/>
  <c r="BV102" i="34" s="1" a="1"/>
  <c r="BV102" i="34" s="1"/>
  <c r="BT102" i="34"/>
  <c r="BW102" i="34" a="1"/>
  <c r="BW102" i="34" s="1"/>
  <c r="BY102" i="34"/>
  <c r="CB102" i="34" s="1" a="1"/>
  <c r="CB102" i="34" s="1"/>
  <c r="BZ102" i="34"/>
  <c r="CE102" i="34"/>
  <c r="CH102" i="34" s="1" a="1"/>
  <c r="CH102" i="34" s="1"/>
  <c r="CF102" i="34"/>
  <c r="CI102" i="34" a="1"/>
  <c r="CI102" i="34" s="1"/>
  <c r="CK102" i="34"/>
  <c r="CN102" i="34" s="1" a="1"/>
  <c r="CN102" i="34" s="1"/>
  <c r="CL102" i="34"/>
  <c r="CO102" i="34" a="1"/>
  <c r="CO102" i="34" s="1"/>
  <c r="CQ102" i="34" a="1"/>
  <c r="CQ102" i="34" s="1"/>
  <c r="CT102" i="34" s="1" a="1"/>
  <c r="CT102" i="34" s="1"/>
  <c r="CR102" i="34"/>
  <c r="CW102" i="34"/>
  <c r="CX102" i="34"/>
  <c r="CZ102" i="34" a="1"/>
  <c r="CZ102" i="34" s="1"/>
  <c r="DC102" i="34"/>
  <c r="DG102" i="34" s="1" a="1"/>
  <c r="DG102" i="34" s="1"/>
  <c r="DD102" i="34"/>
  <c r="DI102" i="34"/>
  <c r="DM102" i="34" s="1" a="1"/>
  <c r="DM102" i="34" s="1"/>
  <c r="DJ102" i="34"/>
  <c r="DL102" i="34" a="1"/>
  <c r="DL102" i="34" s="1"/>
  <c r="DO102" i="34"/>
  <c r="DR102" i="34" s="1" a="1"/>
  <c r="DP102" i="34"/>
  <c r="DR102" i="34"/>
  <c r="DS102" i="34" a="1"/>
  <c r="DS102" i="34" s="1"/>
  <c r="DU102" i="34"/>
  <c r="DY102" i="34" s="1" a="1"/>
  <c r="DY102" i="34" s="1"/>
  <c r="DV102" i="34"/>
  <c r="EA102" i="34"/>
  <c r="ED102" i="34" s="1" a="1"/>
  <c r="ED102" i="34" s="1"/>
  <c r="EB102" i="34"/>
  <c r="BS103" i="34"/>
  <c r="BT103" i="34"/>
  <c r="BV103" i="34" s="1" a="1"/>
  <c r="BV103" i="34" s="1"/>
  <c r="BW103" i="34" a="1"/>
  <c r="BW103" i="34" s="1"/>
  <c r="BY103" i="34"/>
  <c r="BZ103" i="34"/>
  <c r="CB103" i="34" a="1"/>
  <c r="CB103" i="34" s="1"/>
  <c r="CC103" i="34" a="1"/>
  <c r="CC103" i="34" s="1"/>
  <c r="CE103" i="34"/>
  <c r="CH103" i="34" s="1" a="1"/>
  <c r="CH103" i="34" s="1"/>
  <c r="CF103" i="34"/>
  <c r="CK103" i="34"/>
  <c r="CO103" i="34" s="1" a="1"/>
  <c r="CO103" i="34" s="1"/>
  <c r="CL103" i="34"/>
  <c r="CN103" i="34" a="1"/>
  <c r="CN103" i="34"/>
  <c r="CQ103" i="34" a="1"/>
  <c r="CQ103" i="34"/>
  <c r="CT103" i="34" s="1" a="1"/>
  <c r="CT103" i="34" s="1"/>
  <c r="CR103" i="34"/>
  <c r="CU103" i="34" a="1"/>
  <c r="CU103" i="34" s="1"/>
  <c r="CW103" i="34"/>
  <c r="CZ103" i="34" s="1" a="1"/>
  <c r="CZ103" i="34" s="1"/>
  <c r="CX103" i="34"/>
  <c r="DC103" i="34"/>
  <c r="DF103" i="34" s="1" a="1"/>
  <c r="DD103" i="34"/>
  <c r="DF103" i="34"/>
  <c r="DI103" i="34"/>
  <c r="DL103" i="34" s="1" a="1"/>
  <c r="DL103" i="34" s="1"/>
  <c r="DJ103" i="34"/>
  <c r="DM103" i="34" a="1"/>
  <c r="DM103" i="34" s="1"/>
  <c r="DO103" i="34"/>
  <c r="DR103" i="34" s="1" a="1"/>
  <c r="DR103" i="34" s="1"/>
  <c r="DP103" i="34"/>
  <c r="DU103" i="34"/>
  <c r="DV103" i="34"/>
  <c r="DY103" i="34" s="1" a="1"/>
  <c r="DY103" i="34" s="1"/>
  <c r="DX103" i="34" a="1"/>
  <c r="DX103" i="34"/>
  <c r="EA103" i="34"/>
  <c r="ED103" i="34" s="1" a="1"/>
  <c r="ED103" i="34" s="1"/>
  <c r="EB103" i="34"/>
  <c r="EE103" i="34" a="1"/>
  <c r="EE103" i="34" s="1"/>
  <c r="BS104" i="34"/>
  <c r="BV104" i="34" s="1" a="1"/>
  <c r="BV104" i="34" s="1"/>
  <c r="BT104" i="34"/>
  <c r="BY104" i="34"/>
  <c r="CB104" i="34" s="1" a="1"/>
  <c r="CB104" i="34" s="1"/>
  <c r="BZ104" i="34"/>
  <c r="CC104" i="34" a="1"/>
  <c r="CC104" i="34" s="1"/>
  <c r="CE104" i="34"/>
  <c r="CH104" i="34" s="1" a="1"/>
  <c r="CH104" i="34" s="1"/>
  <c r="CF104" i="34"/>
  <c r="CI104" i="34" a="1"/>
  <c r="CI104" i="34" s="1"/>
  <c r="CK104" i="34"/>
  <c r="CN104" i="34" s="1" a="1"/>
  <c r="CN104" i="34" s="1"/>
  <c r="CL104" i="34"/>
  <c r="CQ104" i="34" a="1"/>
  <c r="CQ104" i="34" s="1"/>
  <c r="CU104" i="34" s="1" a="1"/>
  <c r="CU104" i="34" s="1"/>
  <c r="CR104" i="34"/>
  <c r="CT104" i="34" a="1"/>
  <c r="CT104" i="34" s="1"/>
  <c r="CW104" i="34"/>
  <c r="DA104" i="34" s="1" a="1"/>
  <c r="DA104" i="34" s="1"/>
  <c r="CX104" i="34"/>
  <c r="DC104" i="34"/>
  <c r="DG104" i="34" s="1" a="1"/>
  <c r="DG104" i="34" s="1"/>
  <c r="DD104" i="34"/>
  <c r="DF104" i="34" a="1"/>
  <c r="DF104" i="34" s="1"/>
  <c r="DI104" i="34"/>
  <c r="DL104" i="34" s="1" a="1"/>
  <c r="DJ104" i="34"/>
  <c r="DL104" i="34"/>
  <c r="DM104" i="34" a="1"/>
  <c r="DM104" i="34" s="1"/>
  <c r="DO104" i="34"/>
  <c r="DS104" i="34" s="1" a="1"/>
  <c r="DS104" i="34" s="1"/>
  <c r="DP104" i="34"/>
  <c r="DU104" i="34"/>
  <c r="DV104" i="34"/>
  <c r="EA104" i="34"/>
  <c r="EB104" i="34"/>
  <c r="ED104" i="34" s="1" a="1"/>
  <c r="ED104" i="34" s="1"/>
  <c r="EE104" i="34" a="1"/>
  <c r="EE104" i="34" s="1"/>
  <c r="BS105" i="34"/>
  <c r="BT105" i="34"/>
  <c r="BV105" i="34" a="1"/>
  <c r="BV105" i="34" s="1"/>
  <c r="BW105" i="34" a="1"/>
  <c r="BW105" i="34" s="1"/>
  <c r="BY105" i="34"/>
  <c r="CB105" i="34" s="1" a="1"/>
  <c r="CB105" i="34" s="1"/>
  <c r="BZ105" i="34"/>
  <c r="CE105" i="34"/>
  <c r="CI105" i="34" s="1" a="1"/>
  <c r="CI105" i="34" s="1"/>
  <c r="CF105" i="34"/>
  <c r="CK105" i="34"/>
  <c r="CO105" i="34" s="1" a="1"/>
  <c r="CO105" i="34" s="1"/>
  <c r="CL105" i="34"/>
  <c r="CN105" i="34" a="1"/>
  <c r="CN105" i="34" s="1"/>
  <c r="CQ105" i="34" a="1"/>
  <c r="CQ105" i="34" s="1"/>
  <c r="CR105" i="34"/>
  <c r="CW105" i="34"/>
  <c r="CZ105" i="34" s="1" a="1"/>
  <c r="CX105" i="34"/>
  <c r="CZ105" i="34"/>
  <c r="DC105" i="34"/>
  <c r="DF105" i="34" s="1" a="1"/>
  <c r="DF105" i="34" s="1"/>
  <c r="DD105" i="34"/>
  <c r="DG105" i="34" a="1"/>
  <c r="DG105" i="34" s="1"/>
  <c r="DI105" i="34"/>
  <c r="DJ105" i="34"/>
  <c r="DO105" i="34"/>
  <c r="DP105" i="34"/>
  <c r="DS105" i="34" s="1" a="1"/>
  <c r="DS105" i="34" s="1"/>
  <c r="DR105" i="34" a="1"/>
  <c r="DR105" i="34"/>
  <c r="DU105" i="34"/>
  <c r="DX105" i="34" s="1" a="1"/>
  <c r="DX105" i="34" s="1"/>
  <c r="DV105" i="34"/>
  <c r="DY105" i="34" a="1"/>
  <c r="DY105" i="34" s="1"/>
  <c r="EA105" i="34"/>
  <c r="EB105" i="34"/>
  <c r="BS106" i="34"/>
  <c r="BV106" i="34" s="1" a="1"/>
  <c r="BV106" i="34" s="1"/>
  <c r="BT106" i="34"/>
  <c r="BW106" i="34" a="1"/>
  <c r="BW106" i="34" s="1"/>
  <c r="BY106" i="34"/>
  <c r="CB106" i="34" s="1" a="1"/>
  <c r="CB106" i="34" s="1"/>
  <c r="BZ106" i="34"/>
  <c r="CC106" i="34" a="1"/>
  <c r="CC106" i="34" s="1"/>
  <c r="CE106" i="34"/>
  <c r="CH106" i="34" s="1" a="1"/>
  <c r="CH106" i="34" s="1"/>
  <c r="CF106" i="34"/>
  <c r="CK106" i="34"/>
  <c r="CO106" i="34" s="1" a="1"/>
  <c r="CO106" i="34" s="1"/>
  <c r="CL106" i="34"/>
  <c r="CQ106" i="34" a="1"/>
  <c r="CQ106" i="34"/>
  <c r="CU106" i="34" s="1" a="1"/>
  <c r="CU106" i="34" s="1"/>
  <c r="CR106" i="34"/>
  <c r="CW106" i="34"/>
  <c r="DA106" i="34" s="1" a="1"/>
  <c r="DA106" i="34" s="1"/>
  <c r="CX106" i="34"/>
  <c r="CZ106" i="34" a="1"/>
  <c r="CZ106" i="34" s="1"/>
  <c r="DC106" i="34"/>
  <c r="DF106" i="34" s="1" a="1"/>
  <c r="DF106" i="34" s="1"/>
  <c r="DD106" i="34"/>
  <c r="DG106" i="34" a="1"/>
  <c r="DG106" i="34" s="1"/>
  <c r="DI106" i="34"/>
  <c r="DM106" i="34" s="1" a="1"/>
  <c r="DM106" i="34" s="1"/>
  <c r="DJ106" i="34"/>
  <c r="DO106" i="34"/>
  <c r="DP106" i="34"/>
  <c r="DU106" i="34"/>
  <c r="DV106" i="34"/>
  <c r="DX106" i="34" s="1" a="1"/>
  <c r="DX106" i="34" s="1"/>
  <c r="DY106" i="34" a="1"/>
  <c r="DY106" i="34" s="1"/>
  <c r="EA106" i="34"/>
  <c r="EB106" i="34"/>
  <c r="ED106" i="34" a="1"/>
  <c r="ED106" i="34" s="1"/>
  <c r="EE106" i="34" a="1"/>
  <c r="EE106" i="34" s="1"/>
  <c r="BS107" i="34"/>
  <c r="BV107" i="34" s="1" a="1"/>
  <c r="BV107" i="34" s="1"/>
  <c r="BT107" i="34"/>
  <c r="BY107" i="34"/>
  <c r="CC107" i="34" s="1" a="1"/>
  <c r="CC107" i="34" s="1"/>
  <c r="BZ107" i="34"/>
  <c r="CE107" i="34"/>
  <c r="CI107" i="34" s="1" a="1"/>
  <c r="CF107" i="34"/>
  <c r="CH107" i="34" a="1"/>
  <c r="CH107" i="34" s="1"/>
  <c r="CI107" i="34"/>
  <c r="CK107" i="34"/>
  <c r="CN107" i="34" s="1" a="1"/>
  <c r="CL107" i="34"/>
  <c r="CN107" i="34"/>
  <c r="CQ107" i="34" a="1"/>
  <c r="CQ107" i="34"/>
  <c r="CT107" i="34" s="1" a="1"/>
  <c r="CT107" i="34" s="1"/>
  <c r="CR107" i="34"/>
  <c r="CU107" i="34" a="1"/>
  <c r="CU107" i="34" s="1"/>
  <c r="CW107" i="34"/>
  <c r="CZ107" i="34" s="1" a="1"/>
  <c r="CZ107" i="34" s="1"/>
  <c r="CX107" i="34"/>
  <c r="DA107" i="34" a="1"/>
  <c r="DA107" i="34" s="1"/>
  <c r="DC107" i="34"/>
  <c r="DG107" i="34" s="1" a="1"/>
  <c r="DG107" i="34" s="1"/>
  <c r="DD107" i="34"/>
  <c r="DF107" i="34" a="1"/>
  <c r="DF107" i="34" s="1"/>
  <c r="DI107" i="34"/>
  <c r="DJ107" i="34"/>
  <c r="DL107" i="34" s="1" a="1"/>
  <c r="DL107" i="34" s="1"/>
  <c r="DM107" i="34" a="1"/>
  <c r="DM107" i="34" s="1"/>
  <c r="DO107" i="34"/>
  <c r="DR107" i="34" s="1" a="1"/>
  <c r="DR107" i="34" s="1"/>
  <c r="DP107" i="34"/>
  <c r="DU107" i="34"/>
  <c r="DY107" i="34" s="1" a="1"/>
  <c r="DY107" i="34" s="1"/>
  <c r="DV107" i="34"/>
  <c r="DX107" i="34" a="1"/>
  <c r="DX107" i="34" s="1"/>
  <c r="EA107" i="34"/>
  <c r="EB107" i="34"/>
  <c r="ED107" i="34" a="1"/>
  <c r="ED107" i="34" s="1"/>
  <c r="EE107" i="34" a="1"/>
  <c r="EE107" i="34"/>
  <c r="BS108" i="34"/>
  <c r="BW108" i="34" s="1" a="1"/>
  <c r="BT108" i="34"/>
  <c r="BV108" i="34" a="1"/>
  <c r="BV108" i="34" s="1"/>
  <c r="BW108" i="34"/>
  <c r="BY108" i="34"/>
  <c r="BZ108" i="34"/>
  <c r="CE108" i="34"/>
  <c r="CH108" i="34" s="1" a="1"/>
  <c r="CH108" i="34" s="1"/>
  <c r="CF108" i="34"/>
  <c r="CI108" i="34" a="1"/>
  <c r="CI108" i="34" s="1"/>
  <c r="CK108" i="34"/>
  <c r="CO108" i="34" s="1" a="1"/>
  <c r="CO108" i="34" s="1"/>
  <c r="CL108" i="34"/>
  <c r="CN108" i="34" a="1"/>
  <c r="CN108" i="34" s="1"/>
  <c r="CQ108" i="34" a="1"/>
  <c r="CQ108" i="34"/>
  <c r="CU108" i="34" s="1" a="1"/>
  <c r="CU108" i="34" s="1"/>
  <c r="CR108" i="34"/>
  <c r="CW108" i="34"/>
  <c r="CZ108" i="34" s="1" a="1"/>
  <c r="CZ108" i="34" s="1"/>
  <c r="CX108" i="34"/>
  <c r="DA108" i="34" a="1"/>
  <c r="DA108" i="34" s="1"/>
  <c r="DC108" i="34"/>
  <c r="DG108" i="34" s="1" a="1"/>
  <c r="DG108" i="34" s="1"/>
  <c r="DD108" i="34"/>
  <c r="DI108" i="34"/>
  <c r="DJ108" i="34"/>
  <c r="DO108" i="34"/>
  <c r="DP108" i="34"/>
  <c r="DR108" i="34" s="1" a="1"/>
  <c r="DR108" i="34" s="1"/>
  <c r="DS108" i="34" a="1"/>
  <c r="DS108" i="34" s="1"/>
  <c r="DU108" i="34"/>
  <c r="DV108" i="34"/>
  <c r="DX108" i="34" a="1"/>
  <c r="DX108" i="34" s="1"/>
  <c r="DY108" i="34" a="1"/>
  <c r="DY108" i="34" s="1"/>
  <c r="EA108" i="34"/>
  <c r="EB108" i="34"/>
  <c r="BS109" i="34"/>
  <c r="BW109" i="34" s="1" a="1"/>
  <c r="BW109" i="34" s="1"/>
  <c r="BT109" i="34"/>
  <c r="BY109" i="34"/>
  <c r="CB109" i="34" s="1" a="1"/>
  <c r="CB109" i="34" s="1"/>
  <c r="BZ109" i="34"/>
  <c r="CC109" i="34" a="1"/>
  <c r="CC109" i="34" s="1"/>
  <c r="CE109" i="34"/>
  <c r="CF109" i="34"/>
  <c r="CK109" i="34"/>
  <c r="CN109" i="34" s="1" a="1"/>
  <c r="CN109" i="34" s="1"/>
  <c r="CL109" i="34"/>
  <c r="CO109" i="34" s="1" a="1"/>
  <c r="CO109" i="34" s="1"/>
  <c r="CQ109" i="34" a="1"/>
  <c r="CQ109" i="34"/>
  <c r="CR109" i="34"/>
  <c r="CW109" i="34"/>
  <c r="CZ109" i="34" s="1" a="1"/>
  <c r="CZ109" i="34" s="1"/>
  <c r="CX109" i="34"/>
  <c r="DA109" i="34" a="1"/>
  <c r="DA109" i="34" s="1"/>
  <c r="DC109" i="34"/>
  <c r="DF109" i="34" s="1" a="1"/>
  <c r="DF109" i="34" s="1"/>
  <c r="DD109" i="34"/>
  <c r="DG109" i="34" a="1"/>
  <c r="DG109" i="34" s="1"/>
  <c r="DI109" i="34"/>
  <c r="DJ109" i="34"/>
  <c r="DO109" i="34"/>
  <c r="DS109" i="34" s="1" a="1"/>
  <c r="DS109" i="34" s="1"/>
  <c r="DP109" i="34"/>
  <c r="DR109" i="34" a="1"/>
  <c r="DR109" i="34" s="1"/>
  <c r="DU109" i="34"/>
  <c r="DV109" i="34"/>
  <c r="DX109" i="34" a="1"/>
  <c r="DX109" i="34"/>
  <c r="DY109" i="34" a="1"/>
  <c r="DY109" i="34"/>
  <c r="EA109" i="34"/>
  <c r="ED109" i="34" s="1" a="1"/>
  <c r="ED109" i="34" s="1"/>
  <c r="EB109" i="34"/>
  <c r="BS110" i="34"/>
  <c r="BT110" i="34"/>
  <c r="BY110" i="34"/>
  <c r="BZ110" i="34"/>
  <c r="CB110" i="34" a="1"/>
  <c r="CB110" i="34"/>
  <c r="CE110" i="34"/>
  <c r="CH110" i="34" s="1" a="1"/>
  <c r="CH110" i="34" s="1"/>
  <c r="CF110" i="34"/>
  <c r="CI110" i="34" a="1"/>
  <c r="CI110" i="34" s="1"/>
  <c r="CK110" i="34"/>
  <c r="CN110" i="34" s="1" a="1"/>
  <c r="CN110" i="34" s="1"/>
  <c r="CL110" i="34"/>
  <c r="CO110" i="34" a="1"/>
  <c r="CO110" i="34"/>
  <c r="CQ110" i="34" a="1"/>
  <c r="CQ110" i="34" s="1"/>
  <c r="CR110" i="34"/>
  <c r="CW110" i="34"/>
  <c r="CX110" i="34"/>
  <c r="DA110" i="34" s="1" a="1"/>
  <c r="DA110" i="34" s="1"/>
  <c r="DC110" i="34"/>
  <c r="DD110" i="34"/>
  <c r="DF110" i="34" a="1"/>
  <c r="DF110" i="34"/>
  <c r="DG110" i="34" a="1"/>
  <c r="DG110" i="34" s="1"/>
  <c r="DI110" i="34"/>
  <c r="DJ110" i="34"/>
  <c r="DL110" i="34" a="1"/>
  <c r="DL110" i="34" s="1"/>
  <c r="DM110" i="34" a="1"/>
  <c r="DM110" i="34"/>
  <c r="DO110" i="34"/>
  <c r="DS110" i="34" s="1" a="1"/>
  <c r="DS110" i="34" s="1"/>
  <c r="DP110" i="34"/>
  <c r="DR110" i="34" a="1"/>
  <c r="DR110" i="34" s="1"/>
  <c r="DU110" i="34"/>
  <c r="DX110" i="34" s="1" a="1"/>
  <c r="DX110" i="34" s="1"/>
  <c r="DV110" i="34"/>
  <c r="EA110" i="34"/>
  <c r="EB110" i="34"/>
  <c r="BS111" i="34"/>
  <c r="BV111" i="34" s="1" a="1"/>
  <c r="BV111" i="34" s="1"/>
  <c r="BT111" i="34"/>
  <c r="BW111" i="34" a="1"/>
  <c r="BW111" i="34" s="1"/>
  <c r="BY111" i="34"/>
  <c r="CB111" i="34" s="1" a="1"/>
  <c r="CB111" i="34" s="1"/>
  <c r="BZ111" i="34"/>
  <c r="CC111" i="34" a="1"/>
  <c r="CC111" i="34" s="1"/>
  <c r="CE111" i="34"/>
  <c r="CH111" i="34" s="1" a="1"/>
  <c r="CH111" i="34" s="1"/>
  <c r="CF111" i="34"/>
  <c r="CI111" i="34" s="1" a="1"/>
  <c r="CI111" i="34" s="1"/>
  <c r="CK111" i="34"/>
  <c r="CL111" i="34"/>
  <c r="CN111" i="34" s="1" a="1"/>
  <c r="CN111" i="34" s="1"/>
  <c r="CO111" i="34" a="1"/>
  <c r="CO111" i="34" s="1"/>
  <c r="CQ111" i="34" a="1"/>
  <c r="CQ111" i="34" s="1"/>
  <c r="CR111" i="34"/>
  <c r="CW111" i="34"/>
  <c r="CZ111" i="34" s="1" a="1"/>
  <c r="CZ111" i="34" s="1"/>
  <c r="CX111" i="34"/>
  <c r="DA111" i="34" a="1"/>
  <c r="DA111" i="34"/>
  <c r="DC111" i="34"/>
  <c r="DD111" i="34"/>
  <c r="DI111" i="34"/>
  <c r="DM111" i="34" s="1" a="1"/>
  <c r="DM111" i="34" s="1"/>
  <c r="DJ111" i="34"/>
  <c r="DL111" i="34" a="1"/>
  <c r="DL111" i="34" s="1"/>
  <c r="DO111" i="34"/>
  <c r="DP111" i="34"/>
  <c r="DR111" i="34" a="1"/>
  <c r="DR111" i="34"/>
  <c r="DS111" i="34" a="1"/>
  <c r="DS111" i="34" s="1"/>
  <c r="DU111" i="34"/>
  <c r="DX111" i="34" s="1" a="1"/>
  <c r="DX111" i="34" s="1"/>
  <c r="DV111" i="34"/>
  <c r="EA111" i="34"/>
  <c r="EB111" i="34"/>
  <c r="BS112" i="34"/>
  <c r="BW112" i="34" s="1" a="1"/>
  <c r="BW112" i="34" s="1"/>
  <c r="BT112" i="34"/>
  <c r="BY112" i="34"/>
  <c r="CB112" i="34" s="1" a="1"/>
  <c r="CB112" i="34" s="1"/>
  <c r="BZ112" i="34"/>
  <c r="CC112" i="34" a="1"/>
  <c r="CC112" i="34" s="1"/>
  <c r="CE112" i="34"/>
  <c r="CH112" i="34" s="1" a="1"/>
  <c r="CH112" i="34" s="1"/>
  <c r="CF112" i="34"/>
  <c r="CI112" i="34" a="1"/>
  <c r="CI112" i="34" s="1"/>
  <c r="CK112" i="34"/>
  <c r="CL112" i="34"/>
  <c r="CQ112" i="34" a="1"/>
  <c r="CQ112" i="34"/>
  <c r="CR112" i="34"/>
  <c r="CU112" i="34" s="1" a="1"/>
  <c r="CU112" i="34" s="1"/>
  <c r="CW112" i="34"/>
  <c r="CX112" i="34"/>
  <c r="DA112" i="34" s="1" a="1"/>
  <c r="DA112" i="34" s="1"/>
  <c r="CZ112" i="34" a="1"/>
  <c r="CZ112" i="34"/>
  <c r="DC112" i="34"/>
  <c r="DD112" i="34"/>
  <c r="DF112" i="34" a="1"/>
  <c r="DF112" i="34" s="1"/>
  <c r="DG112" i="34" a="1"/>
  <c r="DG112" i="34"/>
  <c r="DI112" i="34"/>
  <c r="DM112" i="34" s="1" a="1"/>
  <c r="DM112" i="34" s="1"/>
  <c r="DJ112" i="34"/>
  <c r="DL112" i="34" a="1"/>
  <c r="DL112" i="34" s="1"/>
  <c r="DO112" i="34"/>
  <c r="DR112" i="34" s="1" a="1"/>
  <c r="DR112" i="34" s="1"/>
  <c r="DP112" i="34"/>
  <c r="DU112" i="34"/>
  <c r="DV112" i="34"/>
  <c r="EA112" i="34"/>
  <c r="ED112" i="34" s="1" a="1"/>
  <c r="EB112" i="34"/>
  <c r="ED112" i="34"/>
  <c r="EE112" i="34" a="1"/>
  <c r="EE112" i="34"/>
  <c r="BS113" i="34"/>
  <c r="BV113" i="34" s="1" a="1"/>
  <c r="BV113" i="34" s="1"/>
  <c r="BT113" i="34"/>
  <c r="BY113" i="34"/>
  <c r="BZ113" i="34"/>
  <c r="CC113" i="34" s="1" a="1"/>
  <c r="CC113" i="34" s="1"/>
  <c r="CE113" i="34"/>
  <c r="CF113" i="34"/>
  <c r="CH113" i="34" s="1" a="1"/>
  <c r="CH113" i="34" s="1"/>
  <c r="CK113" i="34"/>
  <c r="CL113" i="34"/>
  <c r="CN113" i="34" a="1"/>
  <c r="CN113" i="34" s="1"/>
  <c r="CO113" i="34" a="1"/>
  <c r="CO113" i="34"/>
  <c r="CQ113" i="34" a="1"/>
  <c r="CQ113" i="34"/>
  <c r="CT113" i="34" s="1" a="1"/>
  <c r="CT113" i="34" s="1"/>
  <c r="CR113" i="34"/>
  <c r="CU113" i="34" s="1" a="1"/>
  <c r="CU113" i="34" s="1"/>
  <c r="CW113" i="34"/>
  <c r="CX113" i="34"/>
  <c r="DC113" i="34"/>
  <c r="DG113" i="34" s="1" a="1"/>
  <c r="DD113" i="34"/>
  <c r="DF113" i="34" a="1"/>
  <c r="DF113" i="34" s="1"/>
  <c r="DG113" i="34"/>
  <c r="DI113" i="34"/>
  <c r="DJ113" i="34"/>
  <c r="DL113" i="34" a="1"/>
  <c r="DL113" i="34"/>
  <c r="DM113" i="34" a="1"/>
  <c r="DM113" i="34" s="1"/>
  <c r="DO113" i="34"/>
  <c r="DR113" i="34" s="1" a="1"/>
  <c r="DR113" i="34" s="1"/>
  <c r="DP113" i="34"/>
  <c r="DU113" i="34"/>
  <c r="DV113" i="34"/>
  <c r="EA113" i="34"/>
  <c r="EB113" i="34"/>
  <c r="ED113" i="34" s="1" a="1"/>
  <c r="ED113" i="34" s="1"/>
  <c r="BS114" i="34"/>
  <c r="BT114" i="34"/>
  <c r="BW114" i="34" a="1"/>
  <c r="BW114" i="34" s="1"/>
  <c r="BY114" i="34"/>
  <c r="CB114" i="34" s="1" a="1"/>
  <c r="CB114" i="34" s="1"/>
  <c r="BZ114" i="34"/>
  <c r="CC114" i="34" s="1" a="1"/>
  <c r="CC114" i="34" s="1"/>
  <c r="CE114" i="34"/>
  <c r="CF114" i="34"/>
  <c r="CK114" i="34"/>
  <c r="CL114" i="34"/>
  <c r="CO114" i="34" s="1" a="1"/>
  <c r="CN114" i="34" a="1"/>
  <c r="CN114" i="34" s="1"/>
  <c r="CO114" i="34"/>
  <c r="CQ114" i="34" a="1"/>
  <c r="CQ114" i="34" s="1"/>
  <c r="CR114" i="34"/>
  <c r="CT114" i="34" a="1"/>
  <c r="CT114" i="34"/>
  <c r="CU114" i="34" a="1"/>
  <c r="CU114" i="34" s="1"/>
  <c r="CW114" i="34"/>
  <c r="CX114" i="34"/>
  <c r="CZ114" i="34" a="1"/>
  <c r="CZ114" i="34" s="1"/>
  <c r="DA114" i="34" a="1"/>
  <c r="DA114" i="34"/>
  <c r="DC114" i="34"/>
  <c r="DG114" i="34" s="1" a="1"/>
  <c r="DG114" i="34" s="1"/>
  <c r="DD114" i="34"/>
  <c r="DF114" i="34" a="1"/>
  <c r="DF114" i="34" s="1"/>
  <c r="DI114" i="34"/>
  <c r="DM114" i="34" s="1" a="1"/>
  <c r="DM114" i="34" s="1"/>
  <c r="DJ114" i="34"/>
  <c r="DO114" i="34"/>
  <c r="DS114" i="34" s="1" a="1"/>
  <c r="DS114" i="34" s="1"/>
  <c r="DP114" i="34"/>
  <c r="DR114" i="34" a="1"/>
  <c r="DR114" i="34"/>
  <c r="DU114" i="34"/>
  <c r="DX114" i="34" s="1" a="1"/>
  <c r="DX114" i="34" s="1"/>
  <c r="DV114" i="34"/>
  <c r="EA114" i="34"/>
  <c r="ED114" i="34" s="1" a="1"/>
  <c r="ED114" i="34" s="1"/>
  <c r="EB114" i="34"/>
  <c r="BS115" i="34"/>
  <c r="BT115" i="34"/>
  <c r="BW115" i="34" s="1" a="1"/>
  <c r="BW115" i="34" s="1"/>
  <c r="BY115" i="34"/>
  <c r="BZ115" i="34"/>
  <c r="CB115" i="34" a="1"/>
  <c r="CB115" i="34"/>
  <c r="CC115" i="34" a="1"/>
  <c r="CC115" i="34" s="1"/>
  <c r="CE115" i="34"/>
  <c r="CF115" i="34"/>
  <c r="CH115" i="34" a="1"/>
  <c r="CH115" i="34" s="1"/>
  <c r="CI115" i="34" a="1"/>
  <c r="CI115" i="34"/>
  <c r="CK115" i="34"/>
  <c r="CO115" i="34" s="1" a="1"/>
  <c r="CO115" i="34" s="1"/>
  <c r="CL115" i="34"/>
  <c r="CN115" i="34" a="1"/>
  <c r="CN115" i="34" s="1"/>
  <c r="CQ115" i="34" a="1"/>
  <c r="CQ115" i="34" s="1"/>
  <c r="CR115" i="34"/>
  <c r="CW115" i="34"/>
  <c r="CX115" i="34"/>
  <c r="DA115" i="34" s="1" a="1"/>
  <c r="DA115" i="34" s="1"/>
  <c r="CZ115" i="34" a="1"/>
  <c r="CZ115" i="34" s="1"/>
  <c r="DC115" i="34"/>
  <c r="DD115" i="34"/>
  <c r="DF115" i="34" a="1"/>
  <c r="DF115" i="34"/>
  <c r="DG115" i="34" a="1"/>
  <c r="DG115" i="34" s="1"/>
  <c r="DI115" i="34"/>
  <c r="DL115" i="34" s="1" a="1"/>
  <c r="DJ115" i="34"/>
  <c r="DL115" i="34"/>
  <c r="DO115" i="34"/>
  <c r="DP115" i="34"/>
  <c r="DU115" i="34"/>
  <c r="DV115" i="34"/>
  <c r="EA115" i="34"/>
  <c r="ED115" i="34" s="1" a="1"/>
  <c r="ED115" i="34" s="1"/>
  <c r="EB115" i="34"/>
  <c r="EE115" i="34" a="1"/>
  <c r="EE115" i="34" s="1"/>
  <c r="BS116" i="34"/>
  <c r="BV116" i="34" s="1" a="1"/>
  <c r="BV116" i="34" s="1"/>
  <c r="BT116" i="34"/>
  <c r="BW116" i="34" s="1" a="1"/>
  <c r="BW116" i="34" s="1"/>
  <c r="BY116" i="34"/>
  <c r="BZ116" i="34"/>
  <c r="CE116" i="34"/>
  <c r="CF116" i="34"/>
  <c r="CI116" i="34" s="1" a="1"/>
  <c r="CI116" i="34" s="1"/>
  <c r="CH116" i="34" a="1"/>
  <c r="CH116" i="34" s="1"/>
  <c r="CK116" i="34"/>
  <c r="CL116" i="34"/>
  <c r="CN116" i="34" a="1"/>
  <c r="CN116" i="34"/>
  <c r="CO116" i="34" a="1"/>
  <c r="CO116" i="34" s="1"/>
  <c r="CQ116" i="34" a="1"/>
  <c r="CQ116" i="34" s="1"/>
  <c r="CU116" i="34" s="1" a="1"/>
  <c r="CU116" i="34" s="1"/>
  <c r="CR116" i="34"/>
  <c r="CT116" i="34" a="1"/>
  <c r="CT116" i="34" s="1"/>
  <c r="CW116" i="34"/>
  <c r="DA116" i="34" s="1" a="1"/>
  <c r="CX116" i="34"/>
  <c r="CZ116" i="34" a="1"/>
  <c r="CZ116" i="34" s="1"/>
  <c r="DA116" i="34"/>
  <c r="DC116" i="34"/>
  <c r="DG116" i="34" s="1" a="1"/>
  <c r="DG116" i="34" s="1"/>
  <c r="DD116" i="34"/>
  <c r="DI116" i="34"/>
  <c r="DM116" i="34" s="1" a="1"/>
  <c r="DM116" i="34" s="1"/>
  <c r="DJ116" i="34"/>
  <c r="DL116" i="34" a="1"/>
  <c r="DL116" i="34" s="1"/>
  <c r="DO116" i="34"/>
  <c r="DR116" i="34" s="1" a="1"/>
  <c r="DP116" i="34"/>
  <c r="DR116" i="34"/>
  <c r="DS116" i="34" a="1"/>
  <c r="DS116" i="34" s="1"/>
  <c r="DU116" i="34"/>
  <c r="DX116" i="34" s="1" a="1"/>
  <c r="DX116" i="34" s="1"/>
  <c r="DV116" i="34"/>
  <c r="DY116" i="34" a="1"/>
  <c r="DY116" i="34" s="1"/>
  <c r="EA116" i="34"/>
  <c r="EB116" i="34"/>
  <c r="BS117" i="34"/>
  <c r="BT117" i="34"/>
  <c r="BV117" i="34" s="1" a="1"/>
  <c r="BV117" i="34" s="1"/>
  <c r="BW117" i="34" a="1"/>
  <c r="BW117" i="34" s="1"/>
  <c r="BY117" i="34"/>
  <c r="BZ117" i="34"/>
  <c r="CB117" i="34" a="1"/>
  <c r="CB117" i="34" s="1"/>
  <c r="CC117" i="34" a="1"/>
  <c r="CC117" i="34" s="1"/>
  <c r="CE117" i="34"/>
  <c r="CI117" i="34" s="1" a="1"/>
  <c r="CF117" i="34"/>
  <c r="CH117" i="34" a="1"/>
  <c r="CH117" i="34" s="1"/>
  <c r="CI117" i="34"/>
  <c r="CK117" i="34"/>
  <c r="CO117" i="34" s="1" a="1"/>
  <c r="CO117" i="34" s="1"/>
  <c r="CL117" i="34"/>
  <c r="CQ117" i="34" a="1"/>
  <c r="CQ117" i="34" s="1"/>
  <c r="CR117" i="34"/>
  <c r="CT117" i="34" s="1" a="1"/>
  <c r="CT117" i="34" s="1"/>
  <c r="CW117" i="34"/>
  <c r="CX117" i="34"/>
  <c r="CZ117" i="34" a="1"/>
  <c r="CZ117" i="34" s="1"/>
  <c r="DA117" i="34" a="1"/>
  <c r="DA117" i="34"/>
  <c r="DC117" i="34"/>
  <c r="DD117" i="34"/>
  <c r="DI117" i="34"/>
  <c r="DJ117" i="34"/>
  <c r="DO117" i="34"/>
  <c r="DR117" i="34" s="1" a="1"/>
  <c r="DR117" i="34" s="1"/>
  <c r="DP117" i="34"/>
  <c r="DU117" i="34"/>
  <c r="DV117" i="34"/>
  <c r="DY117" i="34" a="1"/>
  <c r="DY117" i="34" s="1"/>
  <c r="EA117" i="34"/>
  <c r="ED117" i="34" s="1" a="1"/>
  <c r="ED117" i="34" s="1"/>
  <c r="EB117" i="34"/>
  <c r="EE117" i="34" s="1" a="1"/>
  <c r="EE117" i="34" s="1"/>
  <c r="BS118" i="34"/>
  <c r="BT118" i="34"/>
  <c r="BV118" i="34" a="1"/>
  <c r="BV118" i="34" s="1"/>
  <c r="BY118" i="34"/>
  <c r="BZ118" i="34"/>
  <c r="CC118" i="34" s="1" a="1"/>
  <c r="CC118" i="34" s="1"/>
  <c r="CB118" i="34" a="1"/>
  <c r="CB118" i="34" s="1"/>
  <c r="CE118" i="34"/>
  <c r="CF118" i="34"/>
  <c r="CH118" i="34" a="1"/>
  <c r="CH118" i="34"/>
  <c r="CI118" i="34" a="1"/>
  <c r="CI118" i="34" s="1"/>
  <c r="CK118" i="34"/>
  <c r="CL118" i="34"/>
  <c r="CQ118" i="34" a="1"/>
  <c r="CQ118" i="34" s="1"/>
  <c r="CU118" i="34" s="1" a="1"/>
  <c r="CU118" i="34" s="1"/>
  <c r="CR118" i="34"/>
  <c r="CW118" i="34"/>
  <c r="CZ118" i="34" s="1" a="1"/>
  <c r="CZ118" i="34" s="1"/>
  <c r="CX118" i="34"/>
  <c r="DA118" i="34" a="1"/>
  <c r="DA118" i="34" s="1"/>
  <c r="DC118" i="34"/>
  <c r="DD118" i="34"/>
  <c r="DI118" i="34"/>
  <c r="DL118" i="34" s="1" a="1"/>
  <c r="DJ118" i="34"/>
  <c r="DL118" i="34"/>
  <c r="DM118" i="34" a="1"/>
  <c r="DM118" i="34" s="1"/>
  <c r="DO118" i="34"/>
  <c r="DR118" i="34" s="1" a="1"/>
  <c r="DR118" i="34" s="1"/>
  <c r="DP118" i="34"/>
  <c r="DU118" i="34"/>
  <c r="DV118" i="34"/>
  <c r="EA118" i="34"/>
  <c r="EB118" i="34"/>
  <c r="ED118" i="34" a="1"/>
  <c r="ED118" i="34"/>
  <c r="EE118" i="34" a="1"/>
  <c r="EE118" i="34" s="1"/>
  <c r="BS119" i="34"/>
  <c r="BW119" i="34" s="1" a="1"/>
  <c r="BW119" i="34" s="1"/>
  <c r="BT119" i="34"/>
  <c r="BV119" i="34" a="1"/>
  <c r="BV119" i="34" s="1"/>
  <c r="BY119" i="34"/>
  <c r="BZ119" i="34"/>
  <c r="CB119" i="34" a="1"/>
  <c r="CB119" i="34" s="1"/>
  <c r="CE119" i="34"/>
  <c r="CH119" i="34" s="1" a="1"/>
  <c r="CH119" i="34" s="1"/>
  <c r="CF119" i="34"/>
  <c r="CI119" i="34" a="1"/>
  <c r="CI119" i="34"/>
  <c r="CK119" i="34"/>
  <c r="CO119" i="34" s="1" a="1"/>
  <c r="CO119" i="34" s="1"/>
  <c r="CL119" i="34"/>
  <c r="CN119" i="34" a="1"/>
  <c r="CN119" i="34" s="1"/>
  <c r="CQ119" i="34" a="1"/>
  <c r="CQ119" i="34" s="1"/>
  <c r="CR119" i="34"/>
  <c r="CT119" i="34" a="1"/>
  <c r="CT119" i="34"/>
  <c r="CU119" i="34" a="1"/>
  <c r="CU119" i="34" s="1"/>
  <c r="CW119" i="34"/>
  <c r="DA119" i="34" s="1" a="1"/>
  <c r="CX119" i="34"/>
  <c r="CZ119" i="34" a="1"/>
  <c r="CZ119" i="34"/>
  <c r="DA119" i="34"/>
  <c r="DC119" i="34"/>
  <c r="DG119" i="34" s="1" a="1"/>
  <c r="DG119" i="34" s="1"/>
  <c r="DD119" i="34"/>
  <c r="DF119" i="34" a="1"/>
  <c r="DF119" i="34" s="1"/>
  <c r="DI119" i="34"/>
  <c r="DJ119" i="34"/>
  <c r="DL119" i="34" a="1"/>
  <c r="DL119" i="34"/>
  <c r="DM119" i="34" a="1"/>
  <c r="DM119" i="34" s="1"/>
  <c r="DO119" i="34"/>
  <c r="DP119" i="34"/>
  <c r="DS119" i="34" a="1"/>
  <c r="DS119" i="34" s="1"/>
  <c r="DU119" i="34"/>
  <c r="DX119" i="34" s="1" a="1"/>
  <c r="DX119" i="34" s="1"/>
  <c r="DV119" i="34"/>
  <c r="EA119" i="34"/>
  <c r="ED119" i="34" s="1" a="1"/>
  <c r="ED119" i="34" s="1"/>
  <c r="EB119" i="34"/>
  <c r="BS120" i="34"/>
  <c r="BT120" i="34"/>
  <c r="BV120" i="34" s="1" a="1"/>
  <c r="BV120" i="34" s="1"/>
  <c r="BY120" i="34"/>
  <c r="BZ120" i="34"/>
  <c r="CB120" i="34" a="1"/>
  <c r="CB120" i="34" s="1"/>
  <c r="CC120" i="34" a="1"/>
  <c r="CC120" i="34"/>
  <c r="CE120" i="34"/>
  <c r="CH120" i="34" s="1" a="1"/>
  <c r="CH120" i="34" s="1"/>
  <c r="CF120" i="34"/>
  <c r="CI120" i="34" a="1"/>
  <c r="CI120" i="34"/>
  <c r="CK120" i="34"/>
  <c r="CO120" i="34" s="1" a="1"/>
  <c r="CO120" i="34" s="1"/>
  <c r="CL120" i="34"/>
  <c r="CQ120" i="34" a="1"/>
  <c r="CQ120" i="34"/>
  <c r="CT120" i="34" s="1" a="1"/>
  <c r="CT120" i="34" s="1"/>
  <c r="CR120" i="34"/>
  <c r="CW120" i="34"/>
  <c r="CX120" i="34"/>
  <c r="CZ120" i="34" a="1"/>
  <c r="CZ120" i="34"/>
  <c r="DC120" i="34"/>
  <c r="DF120" i="34" s="1" a="1"/>
  <c r="DF120" i="34" s="1"/>
  <c r="DD120" i="34"/>
  <c r="DI120" i="34"/>
  <c r="DL120" i="34" s="1" a="1"/>
  <c r="DL120" i="34" s="1"/>
  <c r="DJ120" i="34"/>
  <c r="DO120" i="34"/>
  <c r="DP120" i="34"/>
  <c r="DS120" i="34" a="1"/>
  <c r="DS120" i="34" s="1"/>
  <c r="DU120" i="34"/>
  <c r="DV120" i="34"/>
  <c r="DX120" i="34" s="1" a="1"/>
  <c r="DX120" i="34" s="1"/>
  <c r="EA120" i="34"/>
  <c r="ED120" i="34" s="1" a="1"/>
  <c r="ED120" i="34" s="1"/>
  <c r="EB120" i="34"/>
  <c r="BS121" i="34"/>
  <c r="BT121" i="34"/>
  <c r="BV121" i="34" a="1"/>
  <c r="BV121" i="34" s="1"/>
  <c r="BY121" i="34"/>
  <c r="BZ121" i="34"/>
  <c r="CE121" i="34"/>
  <c r="CI121" i="34" s="1" a="1"/>
  <c r="CI121" i="34" s="1"/>
  <c r="CF121" i="34"/>
  <c r="CK121" i="34"/>
  <c r="CN121" i="34" s="1" a="1"/>
  <c r="CN121" i="34" s="1"/>
  <c r="CL121" i="34"/>
  <c r="CQ121" i="34" a="1"/>
  <c r="CQ121" i="34" s="1"/>
  <c r="CR121" i="34"/>
  <c r="CW121" i="34"/>
  <c r="DA121" i="34" s="1" a="1"/>
  <c r="DA121" i="34" s="1"/>
  <c r="CX121" i="34"/>
  <c r="DC121" i="34"/>
  <c r="DF121" i="34" s="1" a="1"/>
  <c r="DF121" i="34" s="1"/>
  <c r="DD121" i="34"/>
  <c r="DG121" i="34" a="1"/>
  <c r="DG121" i="34"/>
  <c r="DI121" i="34"/>
  <c r="DL121" i="34" s="1" a="1"/>
  <c r="DL121" i="34" s="1"/>
  <c r="DJ121" i="34"/>
  <c r="DO121" i="34"/>
  <c r="DR121" i="34" s="1" a="1"/>
  <c r="DR121" i="34" s="1"/>
  <c r="DP121" i="34"/>
  <c r="DU121" i="34"/>
  <c r="DX121" i="34" s="1" a="1"/>
  <c r="DX121" i="34" s="1"/>
  <c r="DV121" i="34"/>
  <c r="EA121" i="34"/>
  <c r="EB121" i="34"/>
  <c r="BS122" i="34"/>
  <c r="BT122" i="34"/>
  <c r="BV122" i="34" a="1"/>
  <c r="BV122" i="34" s="1"/>
  <c r="BW122" i="34" a="1"/>
  <c r="BW122" i="34"/>
  <c r="BY122" i="34"/>
  <c r="CB122" i="34" s="1" a="1"/>
  <c r="CB122" i="34" s="1"/>
  <c r="BZ122" i="34"/>
  <c r="CC122" i="34" a="1"/>
  <c r="CC122" i="34"/>
  <c r="CE122" i="34"/>
  <c r="CI122" i="34" s="1" a="1"/>
  <c r="CI122" i="34" s="1"/>
  <c r="CF122" i="34"/>
  <c r="CK122" i="34"/>
  <c r="CL122" i="34"/>
  <c r="CN122" i="34" s="1" a="1"/>
  <c r="CN122" i="34" s="1"/>
  <c r="CQ122" i="34" a="1"/>
  <c r="CQ122" i="34" s="1"/>
  <c r="CR122" i="34"/>
  <c r="CW122" i="34"/>
  <c r="CZ122" i="34" s="1" a="1"/>
  <c r="CZ122" i="34" s="1"/>
  <c r="CX122" i="34"/>
  <c r="DC122" i="34"/>
  <c r="DF122" i="34" s="1" a="1"/>
  <c r="DF122" i="34" s="1"/>
  <c r="DD122" i="34"/>
  <c r="DI122" i="34"/>
  <c r="DJ122" i="34"/>
  <c r="DM122" i="34" a="1"/>
  <c r="DM122" i="34"/>
  <c r="DO122" i="34"/>
  <c r="DP122" i="34"/>
  <c r="DR122" i="34" s="1" a="1"/>
  <c r="DR122" i="34" s="1"/>
  <c r="DU122" i="34"/>
  <c r="DX122" i="34" s="1" a="1"/>
  <c r="DX122" i="34" s="1"/>
  <c r="DV122" i="34"/>
  <c r="EA122" i="34"/>
  <c r="EB122" i="34"/>
  <c r="EE122" i="34" s="1" a="1"/>
  <c r="ED122" i="34" a="1"/>
  <c r="ED122" i="34"/>
  <c r="EE122" i="34"/>
  <c r="BS123" i="34"/>
  <c r="BV123" i="34" s="1" a="1"/>
  <c r="BV123" i="34" s="1"/>
  <c r="BT123" i="34"/>
  <c r="BW123" i="34" a="1"/>
  <c r="BW123" i="34" s="1"/>
  <c r="BY123" i="34"/>
  <c r="CC123" i="34" s="1" a="1"/>
  <c r="CC123" i="34" s="1"/>
  <c r="BZ123" i="34"/>
  <c r="CB123" i="34" a="1"/>
  <c r="CB123" i="34"/>
  <c r="CE123" i="34"/>
  <c r="CF123" i="34"/>
  <c r="CI123" i="34" a="1"/>
  <c r="CI123" i="34" s="1"/>
  <c r="CK123" i="34"/>
  <c r="CN123" i="34" s="1" a="1"/>
  <c r="CN123" i="34" s="1"/>
  <c r="CL123" i="34"/>
  <c r="CO123" i="34" a="1"/>
  <c r="CO123" i="34" s="1"/>
  <c r="CQ123" i="34" a="1"/>
  <c r="CQ123" i="34" s="1"/>
  <c r="CR123" i="34"/>
  <c r="CW123" i="34"/>
  <c r="DA123" i="34" s="1" a="1"/>
  <c r="DA123" i="34" s="1"/>
  <c r="CX123" i="34"/>
  <c r="CZ123" i="34" a="1"/>
  <c r="CZ123" i="34" s="1"/>
  <c r="DC123" i="34"/>
  <c r="DD123" i="34"/>
  <c r="DF123" i="34" a="1"/>
  <c r="DF123" i="34" s="1"/>
  <c r="DG123" i="34" a="1"/>
  <c r="DG123" i="34" s="1"/>
  <c r="DI123" i="34"/>
  <c r="DM123" i="34" s="1" a="1"/>
  <c r="DM123" i="34" s="1"/>
  <c r="DJ123" i="34"/>
  <c r="DL123" i="34" a="1"/>
  <c r="DL123" i="34" s="1"/>
  <c r="DO123" i="34"/>
  <c r="DS123" i="34" s="1" a="1"/>
  <c r="DS123" i="34" s="1"/>
  <c r="DP123" i="34"/>
  <c r="DR123" i="34" a="1"/>
  <c r="DR123" i="34" s="1"/>
  <c r="DU123" i="34"/>
  <c r="DV123" i="34"/>
  <c r="DX123" i="34" a="1"/>
  <c r="DX123" i="34" s="1"/>
  <c r="DY123" i="34" a="1"/>
  <c r="DY123" i="34" s="1"/>
  <c r="EA123" i="34"/>
  <c r="EB123" i="34"/>
  <c r="ED123" i="34" a="1"/>
  <c r="ED123" i="34" s="1"/>
  <c r="EE123" i="34" a="1"/>
  <c r="EE123" i="34"/>
  <c r="BS124" i="34"/>
  <c r="BV124" i="34" s="1" a="1"/>
  <c r="BV124" i="34" s="1"/>
  <c r="BT124" i="34"/>
  <c r="BY124" i="34"/>
  <c r="BZ124" i="34"/>
  <c r="CB124" i="34" s="1" a="1"/>
  <c r="CB124" i="34" s="1"/>
  <c r="CE124" i="34"/>
  <c r="CH124" i="34" s="1" a="1"/>
  <c r="CH124" i="34" s="1"/>
  <c r="CF124" i="34"/>
  <c r="CI124" i="34" a="1"/>
  <c r="CI124" i="34" s="1"/>
  <c r="CK124" i="34"/>
  <c r="CN124" i="34" s="1" a="1"/>
  <c r="CN124" i="34" s="1"/>
  <c r="CL124" i="34"/>
  <c r="CQ124" i="34" a="1"/>
  <c r="CQ124" i="34" s="1"/>
  <c r="CR124" i="34"/>
  <c r="CW124" i="34"/>
  <c r="DA124" i="34" s="1" a="1"/>
  <c r="DA124" i="34" s="1"/>
  <c r="CX124" i="34"/>
  <c r="CZ124" i="34" a="1"/>
  <c r="CZ124" i="34" s="1"/>
  <c r="DC124" i="34"/>
  <c r="DD124" i="34"/>
  <c r="DF124" i="34" a="1"/>
  <c r="DF124" i="34" s="1"/>
  <c r="DG124" i="34" a="1"/>
  <c r="DG124" i="34" s="1"/>
  <c r="DI124" i="34"/>
  <c r="DL124" i="34" s="1" a="1"/>
  <c r="DL124" i="34" s="1"/>
  <c r="DJ124" i="34"/>
  <c r="DO124" i="34"/>
  <c r="DP124" i="34"/>
  <c r="DU124" i="34"/>
  <c r="DX124" i="34" s="1" a="1"/>
  <c r="DX124" i="34" s="1"/>
  <c r="DV124" i="34"/>
  <c r="EA124" i="34"/>
  <c r="EB124" i="34"/>
  <c r="ED124" i="34" a="1"/>
  <c r="ED124" i="34"/>
  <c r="EE124" i="34" a="1"/>
  <c r="EE124" i="34" s="1"/>
  <c r="BS125" i="34"/>
  <c r="BV125" i="34" s="1" a="1"/>
  <c r="BV125" i="34" s="1"/>
  <c r="BT125" i="34"/>
  <c r="BW125" i="34" a="1"/>
  <c r="BW125" i="34" s="1"/>
  <c r="BY125" i="34"/>
  <c r="CC125" i="34" s="1" a="1"/>
  <c r="CC125" i="34" s="1"/>
  <c r="BZ125" i="34"/>
  <c r="CB125" i="34" a="1"/>
  <c r="CB125" i="34"/>
  <c r="CE125" i="34"/>
  <c r="CI125" i="34" s="1" a="1"/>
  <c r="CI125" i="34" s="1"/>
  <c r="CF125" i="34"/>
  <c r="CH125" i="34" a="1"/>
  <c r="CH125" i="34" s="1"/>
  <c r="CK125" i="34"/>
  <c r="CL125" i="34"/>
  <c r="CN125" i="34" a="1"/>
  <c r="CN125" i="34" s="1"/>
  <c r="CO125" i="34" a="1"/>
  <c r="CO125" i="34" s="1"/>
  <c r="CQ125" i="34" a="1"/>
  <c r="CQ125" i="34" s="1"/>
  <c r="CT125" i="34" s="1" a="1"/>
  <c r="CT125" i="34" s="1"/>
  <c r="CR125" i="34"/>
  <c r="CU125" i="34" a="1"/>
  <c r="CU125" i="34" s="1"/>
  <c r="CW125" i="34"/>
  <c r="CZ125" i="34" s="1" a="1"/>
  <c r="CZ125" i="34" s="1"/>
  <c r="CX125" i="34"/>
  <c r="DC125" i="34"/>
  <c r="DF125" i="34" s="1" a="1"/>
  <c r="DF125" i="34" s="1"/>
  <c r="DD125" i="34"/>
  <c r="DI125" i="34"/>
  <c r="DJ125" i="34"/>
  <c r="DL125" i="34" a="1"/>
  <c r="DL125" i="34"/>
  <c r="DM125" i="34" a="1"/>
  <c r="DM125" i="34" s="1"/>
  <c r="DO125" i="34"/>
  <c r="DR125" i="34" s="1" a="1"/>
  <c r="DR125" i="34" s="1"/>
  <c r="DP125" i="34"/>
  <c r="DS125" i="34" a="1"/>
  <c r="DS125" i="34" s="1"/>
  <c r="DU125" i="34"/>
  <c r="DV125" i="34"/>
  <c r="DY125" i="34" s="1" a="1"/>
  <c r="DY125" i="34" s="1"/>
  <c r="DX125" i="34" a="1"/>
  <c r="DX125" i="34" s="1"/>
  <c r="EA125" i="34"/>
  <c r="EB125" i="34"/>
  <c r="BS126" i="34"/>
  <c r="BT126" i="34"/>
  <c r="BV126" i="34" s="1" a="1"/>
  <c r="BV126" i="34" s="1"/>
  <c r="BY126" i="34"/>
  <c r="CB126" i="34" s="1" a="1"/>
  <c r="CB126" i="34" s="1"/>
  <c r="BZ126" i="34"/>
  <c r="CC126" i="34" a="1"/>
  <c r="CC126" i="34" s="1"/>
  <c r="CE126" i="34"/>
  <c r="CH126" i="34" s="1" a="1"/>
  <c r="CH126" i="34" s="1"/>
  <c r="CF126" i="34"/>
  <c r="CK126" i="34"/>
  <c r="CN126" i="34" s="1" a="1"/>
  <c r="CN126" i="34" s="1"/>
  <c r="CL126" i="34"/>
  <c r="CQ126" i="34" a="1"/>
  <c r="CQ126" i="34"/>
  <c r="CR126" i="34"/>
  <c r="CT126" i="34" s="1" a="1"/>
  <c r="CT126" i="34" s="1"/>
  <c r="CW126" i="34"/>
  <c r="CX126" i="34"/>
  <c r="CZ126" i="34" a="1"/>
  <c r="CZ126" i="34" s="1"/>
  <c r="DA126" i="34" a="1"/>
  <c r="DA126" i="34" s="1"/>
  <c r="DC126" i="34"/>
  <c r="DF126" i="34" s="1" a="1"/>
  <c r="DF126" i="34" s="1"/>
  <c r="DD126" i="34"/>
  <c r="DI126" i="34"/>
  <c r="DJ126" i="34"/>
  <c r="DO126" i="34"/>
  <c r="DR126" i="34" s="1" a="1"/>
  <c r="DR126" i="34" s="1"/>
  <c r="DP126" i="34"/>
  <c r="DU126" i="34"/>
  <c r="DV126" i="34"/>
  <c r="DX126" i="34" a="1"/>
  <c r="DX126" i="34"/>
  <c r="DY126" i="34" a="1"/>
  <c r="DY126" i="34" s="1"/>
  <c r="EA126" i="34"/>
  <c r="ED126" i="34" s="1" a="1"/>
  <c r="ED126" i="34" s="1"/>
  <c r="EB126" i="34"/>
  <c r="EE126" i="34" a="1"/>
  <c r="EE126" i="34" s="1"/>
  <c r="BS127" i="34"/>
  <c r="BV127" i="34" s="1" a="1"/>
  <c r="BV127" i="34" s="1"/>
  <c r="BT127" i="34"/>
  <c r="BY127" i="34"/>
  <c r="BZ127" i="34"/>
  <c r="CB127" i="34" s="1" a="1"/>
  <c r="CB127" i="34" s="1"/>
  <c r="CE127" i="34"/>
  <c r="CF127" i="34"/>
  <c r="CH127" i="34" a="1"/>
  <c r="CH127" i="34" s="1"/>
  <c r="CI127" i="34" a="1"/>
  <c r="CI127" i="34" s="1"/>
  <c r="CK127" i="34"/>
  <c r="CN127" i="34" s="1" a="1"/>
  <c r="CN127" i="34" s="1"/>
  <c r="CL127" i="34"/>
  <c r="CQ127" i="34" a="1"/>
  <c r="CQ127" i="34" s="1"/>
  <c r="CR127" i="34"/>
  <c r="CW127" i="34"/>
  <c r="CZ127" i="34" s="1" a="1"/>
  <c r="CZ127" i="34" s="1"/>
  <c r="CX127" i="34"/>
  <c r="DC127" i="34"/>
  <c r="DD127" i="34"/>
  <c r="DF127" i="34" a="1"/>
  <c r="DF127" i="34"/>
  <c r="DG127" i="34" a="1"/>
  <c r="DG127" i="34" s="1"/>
  <c r="DI127" i="34"/>
  <c r="DL127" i="34" s="1" a="1"/>
  <c r="DL127" i="34" s="1"/>
  <c r="DJ127" i="34"/>
  <c r="DM127" i="34" a="1"/>
  <c r="DM127" i="34" s="1"/>
  <c r="DO127" i="34"/>
  <c r="DP127" i="34"/>
  <c r="DS127" i="34" s="1" a="1"/>
  <c r="DS127" i="34" s="1"/>
  <c r="DR127" i="34" a="1"/>
  <c r="DR127" i="34" s="1"/>
  <c r="DU127" i="34"/>
  <c r="DV127" i="34"/>
  <c r="EA127" i="34"/>
  <c r="EB127" i="34"/>
  <c r="ED127" i="34" s="1" a="1"/>
  <c r="ED127" i="34" s="1"/>
  <c r="BS128" i="34"/>
  <c r="BV128" i="34" s="1" a="1"/>
  <c r="BV128" i="34" s="1"/>
  <c r="BT128" i="34"/>
  <c r="BW128" i="34" a="1"/>
  <c r="BW128" i="34" s="1"/>
  <c r="BY128" i="34"/>
  <c r="CB128" i="34" s="1" a="1"/>
  <c r="CB128" i="34" s="1"/>
  <c r="BZ128" i="34"/>
  <c r="CE128" i="34"/>
  <c r="CH128" i="34" s="1" a="1"/>
  <c r="CH128" i="34" s="1"/>
  <c r="CF128" i="34"/>
  <c r="CK128" i="34"/>
  <c r="CL128" i="34"/>
  <c r="CN128" i="34" a="1"/>
  <c r="CN128" i="34" s="1"/>
  <c r="CO128" i="34" a="1"/>
  <c r="CO128" i="34" s="1"/>
  <c r="CQ128" i="34" a="1"/>
  <c r="CQ128" i="34" s="1"/>
  <c r="CU128" i="34" s="1" a="1"/>
  <c r="CU128" i="34" s="1"/>
  <c r="CR128" i="34"/>
  <c r="CW128" i="34"/>
  <c r="CZ128" i="34" s="1" a="1"/>
  <c r="CZ128" i="34" s="1"/>
  <c r="CX128" i="34"/>
  <c r="DC128" i="34"/>
  <c r="DD128" i="34"/>
  <c r="DI128" i="34"/>
  <c r="DJ128" i="34"/>
  <c r="DO128" i="34"/>
  <c r="DP128" i="34"/>
  <c r="DR128" i="34" a="1"/>
  <c r="DR128" i="34"/>
  <c r="DS128" i="34" a="1"/>
  <c r="DS128" i="34" s="1"/>
  <c r="DU128" i="34"/>
  <c r="DX128" i="34" s="1" a="1"/>
  <c r="DX128" i="34" s="1"/>
  <c r="DV128" i="34"/>
  <c r="DY128" i="34" a="1"/>
  <c r="DY128" i="34" s="1"/>
  <c r="EA128" i="34"/>
  <c r="ED128" i="34" s="1" a="1"/>
  <c r="ED128" i="34" s="1"/>
  <c r="EB128" i="34"/>
  <c r="BS129" i="34"/>
  <c r="BT129" i="34"/>
  <c r="BV129" i="34" s="1" a="1"/>
  <c r="BV129" i="34" s="1"/>
  <c r="BY129" i="34"/>
  <c r="BZ129" i="34"/>
  <c r="CB129" i="34" a="1"/>
  <c r="CB129" i="34" s="1"/>
  <c r="CC129" i="34" a="1"/>
  <c r="CC129" i="34" s="1"/>
  <c r="CE129" i="34"/>
  <c r="CH129" i="34" s="1" a="1"/>
  <c r="CH129" i="34" s="1"/>
  <c r="CF129" i="34"/>
  <c r="CK129" i="34"/>
  <c r="CL129" i="34"/>
  <c r="CQ129" i="34" a="1"/>
  <c r="CQ129" i="34" s="1"/>
  <c r="CR129" i="34"/>
  <c r="CW129" i="34"/>
  <c r="CX129" i="34"/>
  <c r="CZ129" i="34" a="1"/>
  <c r="CZ129" i="34" s="1"/>
  <c r="DA129" i="34" a="1"/>
  <c r="DA129" i="34" s="1"/>
  <c r="DC129" i="34"/>
  <c r="DF129" i="34" s="1" a="1"/>
  <c r="DF129" i="34" s="1"/>
  <c r="DD129" i="34"/>
  <c r="DG129" i="34" a="1"/>
  <c r="DG129" i="34" s="1"/>
  <c r="DI129" i="34"/>
  <c r="DJ129" i="34"/>
  <c r="DM129" i="34" s="1" a="1"/>
  <c r="DM129" i="34" s="1"/>
  <c r="DL129" i="34" a="1"/>
  <c r="DL129" i="34" s="1"/>
  <c r="DO129" i="34"/>
  <c r="DP129" i="34"/>
  <c r="DU129" i="34"/>
  <c r="DV129" i="34"/>
  <c r="DY129" i="34" s="1" a="1"/>
  <c r="DY129" i="34" s="1"/>
  <c r="DX129" i="34" a="1"/>
  <c r="DX129" i="34" s="1"/>
  <c r="EA129" i="34"/>
  <c r="ED129" i="34" s="1" a="1"/>
  <c r="ED129" i="34" s="1"/>
  <c r="EB129" i="34"/>
  <c r="EE129" i="34" a="1"/>
  <c r="EE129" i="34" s="1"/>
  <c r="BS130" i="34"/>
  <c r="BV130" i="34" s="1" a="1"/>
  <c r="BV130" i="34" s="1"/>
  <c r="BT130" i="34"/>
  <c r="BY130" i="34"/>
  <c r="BZ130" i="34"/>
  <c r="CE130" i="34"/>
  <c r="CF130" i="34"/>
  <c r="CH130" i="34" a="1"/>
  <c r="CH130" i="34"/>
  <c r="CI130" i="34" a="1"/>
  <c r="CI130" i="34" s="1"/>
  <c r="CK130" i="34"/>
  <c r="CL130" i="34"/>
  <c r="CN130" i="34" a="1"/>
  <c r="CN130" i="34"/>
  <c r="CO130" i="34" a="1"/>
  <c r="CO130" i="34" s="1"/>
  <c r="CQ130" i="34" a="1"/>
  <c r="CQ130" i="34"/>
  <c r="CT130" i="34" s="1" a="1"/>
  <c r="CT130" i="34" s="1"/>
  <c r="CR130" i="34"/>
  <c r="CW130" i="34"/>
  <c r="CX130" i="34"/>
  <c r="DC130" i="34"/>
  <c r="DD130" i="34"/>
  <c r="DI130" i="34"/>
  <c r="DJ130" i="34"/>
  <c r="DL130" i="34" a="1"/>
  <c r="DL130" i="34"/>
  <c r="DM130" i="34" a="1"/>
  <c r="DM130" i="34" s="1"/>
  <c r="DO130" i="34"/>
  <c r="DP130" i="34"/>
  <c r="DR130" i="34" a="1"/>
  <c r="DR130" i="34"/>
  <c r="DS130" i="34" a="1"/>
  <c r="DS130" i="34" s="1"/>
  <c r="DU130" i="34"/>
  <c r="DX130" i="34" s="1" a="1"/>
  <c r="DX130" i="34" s="1"/>
  <c r="DV130" i="34"/>
  <c r="EA130" i="34"/>
  <c r="EB130" i="34"/>
  <c r="ED130" i="34" a="1"/>
  <c r="ED130" i="34" s="1"/>
  <c r="BS131" i="34"/>
  <c r="BT131" i="34"/>
  <c r="BV131" i="34" a="1"/>
  <c r="BV131" i="34" s="1"/>
  <c r="BW131" i="34" a="1"/>
  <c r="BW131" i="34" s="1"/>
  <c r="BY131" i="34"/>
  <c r="CB131" i="34" s="1" a="1"/>
  <c r="CB131" i="34" s="1"/>
  <c r="BZ131" i="34"/>
  <c r="CE131" i="34"/>
  <c r="CF131" i="34"/>
  <c r="CK131" i="34"/>
  <c r="CL131" i="34"/>
  <c r="CQ131" i="34" a="1"/>
  <c r="CQ131" i="34"/>
  <c r="CR131" i="34"/>
  <c r="CT131" i="34" a="1"/>
  <c r="CT131" i="34" s="1"/>
  <c r="CU131" i="34" a="1"/>
  <c r="CU131" i="34" s="1"/>
  <c r="CW131" i="34"/>
  <c r="CX131" i="34"/>
  <c r="CZ131" i="34" s="1" a="1"/>
  <c r="CZ131" i="34"/>
  <c r="DA131" i="34" a="1"/>
  <c r="DA131" i="34" s="1"/>
  <c r="DC131" i="34"/>
  <c r="DG131" i="34" s="1" a="1"/>
  <c r="DG131" i="34" s="1"/>
  <c r="DD131" i="34"/>
  <c r="DF131" i="34" a="1"/>
  <c r="DF131" i="34" s="1"/>
  <c r="DI131" i="34"/>
  <c r="DM131" i="34" s="1" a="1"/>
  <c r="DM131" i="34" s="1"/>
  <c r="DJ131" i="34"/>
  <c r="DO131" i="34"/>
  <c r="DP131" i="34"/>
  <c r="DS131" i="34" s="1" a="1"/>
  <c r="DS131" i="34" s="1"/>
  <c r="DR131" i="34" a="1"/>
  <c r="DR131" i="34" s="1"/>
  <c r="DU131" i="34"/>
  <c r="DX131" i="34" s="1" a="1"/>
  <c r="DX131" i="34" s="1"/>
  <c r="DV131" i="34"/>
  <c r="DY131" i="34" a="1"/>
  <c r="DY131" i="34" s="1"/>
  <c r="EA131" i="34"/>
  <c r="EB131" i="34"/>
  <c r="BS132" i="34"/>
  <c r="BT132" i="34"/>
  <c r="BY132" i="34"/>
  <c r="BZ132" i="34"/>
  <c r="CB132" i="34" a="1"/>
  <c r="CB132" i="34"/>
  <c r="CC132" i="34" a="1"/>
  <c r="CC132" i="34" s="1"/>
  <c r="CE132" i="34"/>
  <c r="CF132" i="34"/>
  <c r="CH132" i="34" a="1"/>
  <c r="CH132" i="34"/>
  <c r="CI132" i="34" a="1"/>
  <c r="CI132" i="34" s="1"/>
  <c r="CK132" i="34"/>
  <c r="CO132" i="34" s="1" a="1"/>
  <c r="CO132" i="34" s="1"/>
  <c r="CL132" i="34"/>
  <c r="CN132" i="34" a="1"/>
  <c r="CN132" i="34" s="1"/>
  <c r="CQ132" i="34" a="1"/>
  <c r="CQ132" i="34"/>
  <c r="CR132" i="34"/>
  <c r="CW132" i="34"/>
  <c r="CX132" i="34"/>
  <c r="DC132" i="34"/>
  <c r="DD132" i="34"/>
  <c r="DF132" i="34" a="1"/>
  <c r="DF132" i="34"/>
  <c r="DG132" i="34" a="1"/>
  <c r="DG132" i="34"/>
  <c r="DI132" i="34"/>
  <c r="DJ132" i="34"/>
  <c r="DL132" i="34" a="1"/>
  <c r="DL132" i="34"/>
  <c r="DM132" i="34" a="1"/>
  <c r="DM132" i="34" s="1"/>
  <c r="DO132" i="34"/>
  <c r="DR132" i="34" s="1" a="1"/>
  <c r="DR132" i="34" s="1"/>
  <c r="DP132" i="34"/>
  <c r="DU132" i="34"/>
  <c r="DV132" i="34"/>
  <c r="DX132" i="34" s="1" a="1"/>
  <c r="DX132" i="34" s="1"/>
  <c r="EA132" i="34"/>
  <c r="EB132" i="34"/>
  <c r="ED132" i="34" a="1"/>
  <c r="ED132" i="34"/>
  <c r="EE132" i="34" a="1"/>
  <c r="EE132" i="34" s="1"/>
  <c r="BS133" i="34"/>
  <c r="BV133" i="34" s="1" a="1"/>
  <c r="BV133" i="34" s="1"/>
  <c r="BT133" i="34"/>
  <c r="BY133" i="34"/>
  <c r="BZ133" i="34"/>
  <c r="CE133" i="34"/>
  <c r="CF133" i="34"/>
  <c r="CK133" i="34"/>
  <c r="CL133" i="34"/>
  <c r="CN133" i="34" a="1"/>
  <c r="CN133" i="34"/>
  <c r="CO133" i="34" a="1"/>
  <c r="CO133" i="34" s="1"/>
  <c r="CQ133" i="34" a="1"/>
  <c r="CQ133" i="34" s="1"/>
  <c r="CT133" i="34" s="1" a="1"/>
  <c r="CT133" i="34" s="1"/>
  <c r="CR133" i="34"/>
  <c r="CU133" i="34" a="1"/>
  <c r="CU133" i="34" s="1"/>
  <c r="CW133" i="34"/>
  <c r="DA133" i="34" s="1" a="1"/>
  <c r="DA133" i="34" s="1"/>
  <c r="CX133" i="34"/>
  <c r="CZ133" i="34" a="1"/>
  <c r="CZ133" i="34" s="1"/>
  <c r="DC133" i="34"/>
  <c r="DD133" i="34"/>
  <c r="DF133" i="34" s="1" a="1"/>
  <c r="DF133" i="34" s="1"/>
  <c r="DI133" i="34"/>
  <c r="DJ133" i="34"/>
  <c r="DM133" i="34" s="1" a="1"/>
  <c r="DM133" i="34" s="1"/>
  <c r="DO133" i="34"/>
  <c r="DR133" i="34" s="1" a="1"/>
  <c r="DR133" i="34" s="1"/>
  <c r="DP133" i="34"/>
  <c r="DS133" i="34" a="1"/>
  <c r="DS133" i="34"/>
  <c r="DU133" i="34"/>
  <c r="DV133" i="34"/>
  <c r="EA133" i="34"/>
  <c r="EB133" i="34"/>
  <c r="BS134" i="34"/>
  <c r="BT134" i="34"/>
  <c r="BV134" i="34" a="1"/>
  <c r="BV134" i="34" s="1"/>
  <c r="BW134" i="34" a="1"/>
  <c r="BW134" i="34" s="1"/>
  <c r="BY134" i="34"/>
  <c r="BZ134" i="34"/>
  <c r="CB134" i="34" a="1"/>
  <c r="CB134" i="34"/>
  <c r="CC134" i="34" a="1"/>
  <c r="CC134" i="34" s="1"/>
  <c r="CE134" i="34"/>
  <c r="CI134" i="34" s="1" a="1"/>
  <c r="CI134" i="34" s="1"/>
  <c r="CF134" i="34"/>
  <c r="CH134" i="34" a="1"/>
  <c r="CH134" i="34" s="1"/>
  <c r="CK134" i="34"/>
  <c r="CL134" i="34"/>
  <c r="CQ134" i="34" a="1"/>
  <c r="CQ134" i="34"/>
  <c r="CR134" i="34"/>
  <c r="CW134" i="34"/>
  <c r="CX134" i="34"/>
  <c r="CZ134" i="34" a="1"/>
  <c r="CZ134" i="34"/>
  <c r="DA134" i="34" a="1"/>
  <c r="DA134" i="34" s="1"/>
  <c r="DC134" i="34"/>
  <c r="DD134" i="34"/>
  <c r="DF134" i="34" a="1"/>
  <c r="DF134" i="34"/>
  <c r="DG134" i="34" a="1"/>
  <c r="DG134" i="34" s="1"/>
  <c r="DI134" i="34"/>
  <c r="DL134" i="34" s="1" a="1"/>
  <c r="DJ134" i="34"/>
  <c r="DL134" i="34"/>
  <c r="DO134" i="34"/>
  <c r="DS134" i="34" s="1" a="1"/>
  <c r="DS134" i="34" s="1"/>
  <c r="DP134" i="34"/>
  <c r="DR134" i="34" a="1"/>
  <c r="DR134" i="34" s="1"/>
  <c r="DU134" i="34"/>
  <c r="DV134" i="34"/>
  <c r="DX134" i="34" a="1"/>
  <c r="DX134" i="34"/>
  <c r="DY134" i="34" a="1"/>
  <c r="DY134" i="34" s="1"/>
  <c r="EA134" i="34"/>
  <c r="EB134" i="34"/>
  <c r="EE134" i="34" s="1" a="1"/>
  <c r="EE134" i="34" s="1"/>
  <c r="BS135" i="34"/>
  <c r="BT135" i="34"/>
  <c r="BY135" i="34"/>
  <c r="BZ135" i="34"/>
  <c r="CE135" i="34"/>
  <c r="CF135" i="34"/>
  <c r="CH135" i="34" a="1"/>
  <c r="CH135" i="34"/>
  <c r="CI135" i="34" a="1"/>
  <c r="CI135" i="34"/>
  <c r="CK135" i="34"/>
  <c r="CL135" i="34"/>
  <c r="CN135" i="34" a="1"/>
  <c r="CN135" i="34" s="1"/>
  <c r="CO135" i="34" a="1"/>
  <c r="CO135" i="34" s="1"/>
  <c r="CQ135" i="34" a="1"/>
  <c r="CQ135" i="34" s="1"/>
  <c r="CU135" i="34" s="1" a="1"/>
  <c r="CU135" i="34" s="1"/>
  <c r="CR135" i="34"/>
  <c r="CW135" i="34"/>
  <c r="DA135" i="34" s="1" a="1"/>
  <c r="DA135" i="34" s="1"/>
  <c r="CX135" i="34"/>
  <c r="DC135" i="34"/>
  <c r="DG135" i="34" s="1" a="1"/>
  <c r="DG135" i="34" s="1"/>
  <c r="DD135" i="34"/>
  <c r="DF135" i="34" a="1"/>
  <c r="DF135" i="34" s="1"/>
  <c r="DI135" i="34"/>
  <c r="DL135" i="34" s="1" a="1"/>
  <c r="DL135" i="34" s="1"/>
  <c r="DJ135" i="34"/>
  <c r="DM135" i="34" a="1"/>
  <c r="DM135" i="34" s="1"/>
  <c r="DO135" i="34"/>
  <c r="DP135" i="34"/>
  <c r="DU135" i="34"/>
  <c r="DX135" i="34" s="1" a="1"/>
  <c r="DX135" i="34" s="1"/>
  <c r="DV135" i="34"/>
  <c r="EA135" i="34"/>
  <c r="EB135" i="34"/>
  <c r="ED135" i="34" a="1"/>
  <c r="ED135" i="34"/>
  <c r="EE135" i="34" a="1"/>
  <c r="EE135" i="34" s="1"/>
  <c r="BS136" i="34"/>
  <c r="BT136" i="34"/>
  <c r="BV136" i="34" a="1"/>
  <c r="BV136" i="34"/>
  <c r="BW136" i="34" a="1"/>
  <c r="BW136" i="34" s="1"/>
  <c r="BY136" i="34"/>
  <c r="CC136" i="34" s="1" a="1"/>
  <c r="CC136" i="34" s="1"/>
  <c r="BZ136" i="34"/>
  <c r="CB136" i="34" a="1"/>
  <c r="CB136" i="34" s="1"/>
  <c r="CE136" i="34"/>
  <c r="CI136" i="34" s="1" a="1"/>
  <c r="CI136" i="34" s="1"/>
  <c r="CF136" i="34"/>
  <c r="CK136" i="34"/>
  <c r="CO136" i="34" s="1" a="1"/>
  <c r="CO136" i="34" s="1"/>
  <c r="CL136" i="34"/>
  <c r="CN136" i="34" s="1" a="1"/>
  <c r="CN136" i="34" s="1"/>
  <c r="CQ136" i="34" a="1"/>
  <c r="CQ136" i="34" s="1"/>
  <c r="CT136" i="34" s="1" a="1"/>
  <c r="CT136" i="34" s="1"/>
  <c r="CR136" i="34"/>
  <c r="CW136" i="34"/>
  <c r="CX136" i="34"/>
  <c r="CZ136" i="34" a="1"/>
  <c r="CZ136" i="34"/>
  <c r="DA136" i="34" a="1"/>
  <c r="DA136" i="34" s="1"/>
  <c r="DC136" i="34"/>
  <c r="DF136" i="34" s="1" a="1"/>
  <c r="DD136" i="34"/>
  <c r="DF136" i="34"/>
  <c r="DI136" i="34"/>
  <c r="DM136" i="34" s="1" a="1"/>
  <c r="DM136" i="34" s="1"/>
  <c r="DJ136" i="34"/>
  <c r="DL136" i="34" a="1"/>
  <c r="DL136" i="34" s="1"/>
  <c r="DO136" i="34"/>
  <c r="DP136" i="34"/>
  <c r="DR136" i="34" a="1"/>
  <c r="DR136" i="34"/>
  <c r="DS136" i="34" a="1"/>
  <c r="DS136" i="34" s="1"/>
  <c r="DU136" i="34"/>
  <c r="DV136" i="34"/>
  <c r="DY136" i="34" s="1" a="1"/>
  <c r="DY136" i="34" s="1"/>
  <c r="EA136" i="34"/>
  <c r="EB136" i="34"/>
  <c r="BS137" i="34"/>
  <c r="BT137" i="34"/>
  <c r="BY137" i="34"/>
  <c r="BZ137" i="34"/>
  <c r="CB137" i="34" a="1"/>
  <c r="CB137" i="34"/>
  <c r="CC137" i="34" a="1"/>
  <c r="CC137" i="34" s="1"/>
  <c r="CE137" i="34"/>
  <c r="CF137" i="34"/>
  <c r="CH137" i="34" a="1"/>
  <c r="CH137" i="34" s="1"/>
  <c r="CI137" i="34" a="1"/>
  <c r="CI137" i="34" s="1"/>
  <c r="CK137" i="34"/>
  <c r="CL137" i="34"/>
  <c r="CQ137" i="34" a="1"/>
  <c r="CQ137" i="34"/>
  <c r="CU137" i="34" s="1" a="1"/>
  <c r="CU137" i="34" s="1"/>
  <c r="CR137" i="34"/>
  <c r="CT137" i="34" a="1"/>
  <c r="CT137" i="34" s="1"/>
  <c r="CW137" i="34"/>
  <c r="CX137" i="34"/>
  <c r="CZ137" i="34" s="1" a="1"/>
  <c r="CZ137" i="34" s="1"/>
  <c r="DC137" i="34"/>
  <c r="DF137" i="34" s="1" a="1"/>
  <c r="DF137" i="34" s="1"/>
  <c r="DD137" i="34"/>
  <c r="DI137" i="34"/>
  <c r="DJ137" i="34"/>
  <c r="DO137" i="34"/>
  <c r="DP137" i="34"/>
  <c r="DS137" i="34" a="1"/>
  <c r="DS137" i="34" s="1"/>
  <c r="DU137" i="34"/>
  <c r="DV137" i="34"/>
  <c r="DX137" i="34" s="1" a="1"/>
  <c r="DX137" i="34" s="1"/>
  <c r="EA137" i="34"/>
  <c r="EB137" i="34"/>
  <c r="ED137" i="34" a="1"/>
  <c r="ED137" i="34"/>
  <c r="EE137" i="34" a="1"/>
  <c r="EE137" i="34" s="1"/>
  <c r="BS138" i="34"/>
  <c r="BW138" i="34" s="1" a="1"/>
  <c r="BT138" i="34"/>
  <c r="BV138" i="34" a="1"/>
  <c r="BV138" i="34" s="1"/>
  <c r="BW138" i="34"/>
  <c r="BY138" i="34"/>
  <c r="CC138" i="34" s="1" a="1"/>
  <c r="CC138" i="34" s="1"/>
  <c r="BZ138" i="34"/>
  <c r="CB138" i="34" a="1"/>
  <c r="CB138" i="34" s="1"/>
  <c r="CE138" i="34"/>
  <c r="CF138" i="34"/>
  <c r="CH138" i="34" a="1"/>
  <c r="CH138" i="34" s="1"/>
  <c r="CK138" i="34"/>
  <c r="CN138" i="34" s="1" a="1"/>
  <c r="CN138" i="34" s="1"/>
  <c r="CL138" i="34"/>
  <c r="CO138" i="34" a="1"/>
  <c r="CO138" i="34" s="1"/>
  <c r="CQ138" i="34" a="1"/>
  <c r="CQ138" i="34" s="1"/>
  <c r="CT138" i="34" s="1" a="1"/>
  <c r="CT138" i="34" s="1"/>
  <c r="CR138" i="34"/>
  <c r="CW138" i="34"/>
  <c r="CX138" i="34"/>
  <c r="DC138" i="34"/>
  <c r="DD138" i="34"/>
  <c r="DF138" i="34" a="1"/>
  <c r="DF138" i="34" s="1"/>
  <c r="DI138" i="34"/>
  <c r="DJ138" i="34"/>
  <c r="DL138" i="34" a="1"/>
  <c r="DL138" i="34"/>
  <c r="DM138" i="34" a="1"/>
  <c r="DM138" i="34" s="1"/>
  <c r="DO138" i="34"/>
  <c r="DR138" i="34" s="1" a="1"/>
  <c r="DR138" i="34" s="1"/>
  <c r="DP138" i="34"/>
  <c r="DS138" i="34" a="1"/>
  <c r="DS138" i="34"/>
  <c r="DU138" i="34"/>
  <c r="DV138" i="34"/>
  <c r="EA138" i="34"/>
  <c r="EE138" i="34" s="1" a="1"/>
  <c r="EE138" i="34" s="1"/>
  <c r="EB138" i="34"/>
  <c r="BS139" i="34"/>
  <c r="BT139" i="34"/>
  <c r="BV139" i="34" a="1"/>
  <c r="BV139" i="34" s="1"/>
  <c r="BW139" i="34" a="1"/>
  <c r="BW139" i="34" s="1"/>
  <c r="BY139" i="34"/>
  <c r="BZ139" i="34"/>
  <c r="CB139" i="34" a="1"/>
  <c r="CB139" i="34" s="1"/>
  <c r="CC139" i="34" a="1"/>
  <c r="CC139" i="34"/>
  <c r="CE139" i="34"/>
  <c r="CI139" i="34" s="1" a="1"/>
  <c r="CI139" i="34" s="1"/>
  <c r="CF139" i="34"/>
  <c r="CK139" i="34"/>
  <c r="CO139" i="34" s="1" a="1"/>
  <c r="CO139" i="34" s="1"/>
  <c r="CL139" i="34"/>
  <c r="CN139" i="34" a="1"/>
  <c r="CN139" i="34" s="1"/>
  <c r="CQ139" i="34" a="1"/>
  <c r="CQ139" i="34" s="1"/>
  <c r="CR139" i="34"/>
  <c r="CT139" i="34" s="1" a="1"/>
  <c r="CT139" i="34" s="1"/>
  <c r="CW139" i="34"/>
  <c r="CZ139" i="34" s="1" a="1"/>
  <c r="CX139" i="34"/>
  <c r="CZ139" i="34"/>
  <c r="DA139" i="34" a="1"/>
  <c r="DA139" i="34"/>
  <c r="DC139" i="34"/>
  <c r="DD139" i="34"/>
  <c r="DI139" i="34"/>
  <c r="DJ139" i="34"/>
  <c r="DM139" i="34" s="1" a="1"/>
  <c r="DM139" i="34" s="1"/>
  <c r="DO139" i="34"/>
  <c r="DP139" i="34"/>
  <c r="DR139" i="34" s="1" a="1"/>
  <c r="DR139" i="34" s="1"/>
  <c r="DU139" i="34"/>
  <c r="DV139" i="34"/>
  <c r="DX139" i="34" s="1" a="1"/>
  <c r="DX139" i="34" s="1"/>
  <c r="DY139" i="34" a="1"/>
  <c r="DY139" i="34" s="1"/>
  <c r="EA139" i="34"/>
  <c r="EB139" i="34"/>
  <c r="ED139" i="34" s="1" a="1"/>
  <c r="ED139" i="34" s="1"/>
  <c r="BS140" i="34"/>
  <c r="BW140" i="34" s="1" a="1"/>
  <c r="BW140" i="34" s="1"/>
  <c r="BT140" i="34"/>
  <c r="BV140" i="34" a="1"/>
  <c r="BV140" i="34" s="1"/>
  <c r="BY140" i="34"/>
  <c r="CC140" i="34" s="1" a="1"/>
  <c r="CC140" i="34" s="1"/>
  <c r="BZ140" i="34"/>
  <c r="CB140" i="34" s="1" a="1"/>
  <c r="CB140" i="34" s="1"/>
  <c r="CE140" i="34"/>
  <c r="CH140" i="34" s="1" a="1"/>
  <c r="CF140" i="34"/>
  <c r="CH140" i="34"/>
  <c r="CK140" i="34"/>
  <c r="CL140" i="34"/>
  <c r="CQ140" i="34" a="1"/>
  <c r="CQ140" i="34" s="1"/>
  <c r="CR140" i="34"/>
  <c r="CW140" i="34"/>
  <c r="CX140" i="34"/>
  <c r="CZ140" i="34" a="1"/>
  <c r="CZ140" i="34"/>
  <c r="DC140" i="34"/>
  <c r="DD140" i="34"/>
  <c r="DF140" i="34" a="1"/>
  <c r="DF140" i="34"/>
  <c r="DG140" i="34" a="1"/>
  <c r="DG140" i="34" s="1"/>
  <c r="DI140" i="34"/>
  <c r="DJ140" i="34"/>
  <c r="DM140" i="34" a="1"/>
  <c r="DM140" i="34" s="1"/>
  <c r="DO140" i="34"/>
  <c r="DP140" i="34"/>
  <c r="DU140" i="34"/>
  <c r="DX140" i="34" s="1" a="1"/>
  <c r="DX140" i="34" s="1"/>
  <c r="DV140" i="34"/>
  <c r="DY140" i="34" a="1"/>
  <c r="DY140" i="34"/>
  <c r="EA140" i="34"/>
  <c r="EB140" i="34"/>
  <c r="ED140" i="34" a="1"/>
  <c r="ED140" i="34" s="1"/>
  <c r="EE140" i="34" a="1"/>
  <c r="EE140" i="34" s="1"/>
  <c r="BS141" i="34"/>
  <c r="BT141" i="34"/>
  <c r="BV141" i="34" a="1"/>
  <c r="BV141" i="34"/>
  <c r="BW141" i="34" a="1"/>
  <c r="BW141" i="34" s="1"/>
  <c r="BY141" i="34"/>
  <c r="CC141" i="34" s="1" a="1"/>
  <c r="CC141" i="34" s="1"/>
  <c r="BZ141" i="34"/>
  <c r="CB141" i="34" a="1"/>
  <c r="CB141" i="34"/>
  <c r="CE141" i="34"/>
  <c r="CH141" i="34" s="1" a="1"/>
  <c r="CH141" i="34" s="1"/>
  <c r="CF141" i="34"/>
  <c r="CK141" i="34"/>
  <c r="CL141" i="34"/>
  <c r="CN141" i="34" a="1"/>
  <c r="CN141" i="34" s="1"/>
  <c r="CO141" i="34" a="1"/>
  <c r="CO141" i="34" s="1"/>
  <c r="CQ141" i="34" a="1"/>
  <c r="CQ141" i="34" s="1"/>
  <c r="CR141" i="34"/>
  <c r="CW141" i="34"/>
  <c r="CX141" i="34"/>
  <c r="DC141" i="34"/>
  <c r="DF141" i="34" s="1" a="1"/>
  <c r="DD141" i="34"/>
  <c r="DF141" i="34"/>
  <c r="DI141" i="34"/>
  <c r="DJ141" i="34"/>
  <c r="DL141" i="34" s="1" a="1"/>
  <c r="DL141" i="34" s="1"/>
  <c r="DM141" i="34" a="1"/>
  <c r="DM141" i="34" s="1"/>
  <c r="DO141" i="34"/>
  <c r="DP141" i="34"/>
  <c r="DR141" i="34" a="1"/>
  <c r="DR141" i="34"/>
  <c r="DS141" i="34" a="1"/>
  <c r="DS141" i="34" s="1"/>
  <c r="DU141" i="34"/>
  <c r="DY141" i="34" s="1" a="1"/>
  <c r="DY141" i="34" s="1"/>
  <c r="DV141" i="34"/>
  <c r="DX141" i="34" s="1" a="1"/>
  <c r="DX141" i="34" s="1"/>
  <c r="EA141" i="34"/>
  <c r="EB141" i="34"/>
  <c r="ED141" i="34" a="1"/>
  <c r="ED141" i="34" s="1"/>
  <c r="BS142" i="34"/>
  <c r="BT142" i="34"/>
  <c r="BV142" i="34" s="1" a="1"/>
  <c r="BV142" i="34" s="1"/>
  <c r="BY142" i="34"/>
  <c r="CB142" i="34" s="1" a="1"/>
  <c r="BZ142" i="34"/>
  <c r="CB142" i="34"/>
  <c r="CC142" i="34" a="1"/>
  <c r="CC142" i="34"/>
  <c r="CE142" i="34"/>
  <c r="CH142" i="34" s="1" a="1"/>
  <c r="CH142" i="34" s="1"/>
  <c r="CF142" i="34"/>
  <c r="CI142" i="34" a="1"/>
  <c r="CI142" i="34" s="1"/>
  <c r="CK142" i="34"/>
  <c r="CL142" i="34"/>
  <c r="CO142" i="34" a="1"/>
  <c r="CO142" i="34" s="1"/>
  <c r="CQ142" i="34" a="1"/>
  <c r="CQ142" i="34"/>
  <c r="CU142" i="34" s="1" a="1"/>
  <c r="CU142" i="34" s="1"/>
  <c r="CR142" i="34"/>
  <c r="CW142" i="34"/>
  <c r="CX142" i="34"/>
  <c r="DA142" i="34" s="1" a="1"/>
  <c r="DA142" i="34" s="1"/>
  <c r="CZ142" i="34" a="1"/>
  <c r="CZ142" i="34" s="1"/>
  <c r="DC142" i="34"/>
  <c r="DF142" i="34" s="1" a="1"/>
  <c r="DF142" i="34" s="1"/>
  <c r="DD142" i="34"/>
  <c r="DG142" i="34" a="1"/>
  <c r="DG142" i="34" s="1"/>
  <c r="DI142" i="34"/>
  <c r="DJ142" i="34"/>
  <c r="DO142" i="34"/>
  <c r="DR142" i="34" s="1" a="1"/>
  <c r="DR142" i="34" s="1"/>
  <c r="DP142" i="34"/>
  <c r="DS142" i="34" a="1"/>
  <c r="DS142" i="34"/>
  <c r="DU142" i="34"/>
  <c r="DV142" i="34"/>
  <c r="DX142" i="34" a="1"/>
  <c r="DX142" i="34" s="1"/>
  <c r="DY142" i="34" a="1"/>
  <c r="DY142" i="34" s="1"/>
  <c r="EA142" i="34"/>
  <c r="EB142" i="34"/>
  <c r="ED142" i="34" a="1"/>
  <c r="ED142" i="34"/>
  <c r="EE142" i="34" a="1"/>
  <c r="EE142" i="34" s="1"/>
  <c r="BS143" i="34"/>
  <c r="BW143" i="34" s="1" a="1"/>
  <c r="BW143" i="34" s="1"/>
  <c r="BT143" i="34"/>
  <c r="BV143" i="34" a="1"/>
  <c r="BV143" i="34"/>
  <c r="BY143" i="34"/>
  <c r="BZ143" i="34"/>
  <c r="CB143" i="34" s="1" a="1"/>
  <c r="CB143" i="34" s="1"/>
  <c r="CE143" i="34"/>
  <c r="CH143" i="34" s="1" a="1"/>
  <c r="CH143" i="34" s="1"/>
  <c r="CF143" i="34"/>
  <c r="CK143" i="34"/>
  <c r="CL143" i="34"/>
  <c r="CQ143" i="34" a="1"/>
  <c r="CQ143" i="34"/>
  <c r="CT143" i="34" s="1" a="1"/>
  <c r="CT143" i="34" s="1"/>
  <c r="CR143" i="34"/>
  <c r="CU143" i="34" a="1"/>
  <c r="CU143" i="34" s="1"/>
  <c r="CW143" i="34"/>
  <c r="CX143" i="34"/>
  <c r="DA143" i="34" s="1" a="1"/>
  <c r="DA143" i="34" s="1"/>
  <c r="DC143" i="34"/>
  <c r="DD143" i="34"/>
  <c r="DG143" i="34" s="1" a="1"/>
  <c r="DG143" i="34" s="1"/>
  <c r="DF143" i="34" a="1"/>
  <c r="DF143" i="34" s="1"/>
  <c r="DI143" i="34"/>
  <c r="DJ143" i="34"/>
  <c r="DL143" i="34" a="1"/>
  <c r="DL143" i="34" s="1"/>
  <c r="DM143" i="34" a="1"/>
  <c r="DM143" i="34"/>
  <c r="DO143" i="34"/>
  <c r="DS143" i="34" s="1" a="1"/>
  <c r="DS143" i="34" s="1"/>
  <c r="DP143" i="34"/>
  <c r="DR143" i="34" a="1"/>
  <c r="DR143" i="34" s="1"/>
  <c r="DU143" i="34"/>
  <c r="DY143" i="34" s="1" a="1"/>
  <c r="DV143" i="34"/>
  <c r="DY143" i="34"/>
  <c r="EA143" i="34"/>
  <c r="EE143" i="34" s="1" a="1"/>
  <c r="EB143" i="34"/>
  <c r="EE143" i="34"/>
  <c r="BS144" i="34"/>
  <c r="BV144" i="34" s="1" a="1"/>
  <c r="BT144" i="34"/>
  <c r="BV144" i="34"/>
  <c r="BY144" i="34"/>
  <c r="CB144" i="34" s="1" a="1"/>
  <c r="CB144" i="34" s="1"/>
  <c r="BZ144" i="34"/>
  <c r="CE144" i="34"/>
  <c r="CF144" i="34"/>
  <c r="CK144" i="34"/>
  <c r="CL144" i="34"/>
  <c r="CN144" i="34" s="1" a="1"/>
  <c r="CN144" i="34" s="1"/>
  <c r="CO144" i="34" a="1"/>
  <c r="CO144" i="34" s="1"/>
  <c r="CQ144" i="34" a="1"/>
  <c r="CQ144" i="34"/>
  <c r="CT144" i="34" s="1" a="1"/>
  <c r="CT144" i="34" s="1"/>
  <c r="CR144" i="34"/>
  <c r="CU144" i="34" s="1" a="1"/>
  <c r="CU144" i="34" s="1"/>
  <c r="CW144" i="34"/>
  <c r="CX144" i="34"/>
  <c r="DA144" i="34" s="1" a="1"/>
  <c r="DA144" i="34" s="1"/>
  <c r="DC144" i="34"/>
  <c r="DD144" i="34"/>
  <c r="DG144" i="34" a="1"/>
  <c r="DG144" i="34" s="1"/>
  <c r="DI144" i="34"/>
  <c r="DJ144" i="34"/>
  <c r="DL144" i="34" s="1" a="1"/>
  <c r="DL144" i="34" s="1"/>
  <c r="DO144" i="34"/>
  <c r="DP144" i="34"/>
  <c r="DR144" i="34" a="1"/>
  <c r="DR144" i="34"/>
  <c r="DS144" i="34" a="1"/>
  <c r="DS144" i="34" s="1"/>
  <c r="DU144" i="34"/>
  <c r="DV144" i="34"/>
  <c r="DX144" i="34" a="1"/>
  <c r="DX144" i="34" s="1"/>
  <c r="DY144" i="34" a="1"/>
  <c r="DY144" i="34"/>
  <c r="EA144" i="34"/>
  <c r="EB144" i="34"/>
  <c r="ED144" i="34" a="1"/>
  <c r="ED144" i="34" s="1"/>
  <c r="EE144" i="34" a="1"/>
  <c r="EE144" i="34" s="1"/>
  <c r="BS145" i="34"/>
  <c r="BT145" i="34"/>
  <c r="BV145" i="34" s="1" a="1"/>
  <c r="BV145" i="34" s="1"/>
  <c r="BY145" i="34"/>
  <c r="CB145" i="34" s="1" a="1"/>
  <c r="CB145" i="34" s="1"/>
  <c r="BZ145" i="34"/>
  <c r="CE145" i="34"/>
  <c r="CH145" i="34" s="1" a="1"/>
  <c r="CH145" i="34" s="1"/>
  <c r="CF145" i="34"/>
  <c r="CK145" i="34"/>
  <c r="CN145" i="34" s="1" a="1"/>
  <c r="CN145" i="34" s="1"/>
  <c r="CL145" i="34"/>
  <c r="CO145" i="34" a="1"/>
  <c r="CO145" i="34" s="1"/>
  <c r="CQ145" i="34" a="1"/>
  <c r="CQ145" i="34"/>
  <c r="CT145" i="34" s="1" a="1"/>
  <c r="CT145" i="34" s="1"/>
  <c r="CR145" i="34"/>
  <c r="CW145" i="34"/>
  <c r="DA145" i="34" s="1" a="1"/>
  <c r="DA145" i="34" s="1"/>
  <c r="CX145" i="34"/>
  <c r="CZ145" i="34" a="1"/>
  <c r="CZ145" i="34" s="1"/>
  <c r="DC145" i="34"/>
  <c r="DD145" i="34"/>
  <c r="DF145" i="34" s="1" a="1"/>
  <c r="DF145" i="34" s="1"/>
  <c r="DG145" i="34" a="1"/>
  <c r="DG145" i="34" s="1"/>
  <c r="DI145" i="34"/>
  <c r="DL145" i="34" s="1" a="1"/>
  <c r="DL145" i="34" s="1"/>
  <c r="DJ145" i="34"/>
  <c r="DM145" i="34" s="1" a="1"/>
  <c r="DM145" i="34" s="1"/>
  <c r="DO145" i="34"/>
  <c r="DP145" i="34"/>
  <c r="DU145" i="34"/>
  <c r="DY145" i="34" s="1" a="1"/>
  <c r="DY145" i="34" s="1"/>
  <c r="DV145" i="34"/>
  <c r="DX145" i="34" a="1"/>
  <c r="DX145" i="34" s="1"/>
  <c r="EA145" i="34"/>
  <c r="EB145" i="34"/>
  <c r="ED145" i="34" s="1" a="1"/>
  <c r="ED145" i="34" s="1"/>
  <c r="EE145" i="34" a="1"/>
  <c r="EE145" i="34" s="1"/>
  <c r="BS146" i="34"/>
  <c r="BV146" i="34" s="1" a="1"/>
  <c r="BV146" i="34" s="1"/>
  <c r="BT146" i="34"/>
  <c r="BW146" i="34" a="1"/>
  <c r="BW146" i="34" s="1"/>
  <c r="BY146" i="34"/>
  <c r="CB146" i="34" s="1" a="1"/>
  <c r="CB146" i="34" s="1"/>
  <c r="BZ146" i="34"/>
  <c r="CE146" i="34"/>
  <c r="CI146" i="34" s="1" a="1"/>
  <c r="CI146" i="34" s="1"/>
  <c r="CF146" i="34"/>
  <c r="CH146" i="34" a="1"/>
  <c r="CH146" i="34" s="1"/>
  <c r="CK146" i="34"/>
  <c r="CL146" i="34"/>
  <c r="CN146" i="34" s="1" a="1"/>
  <c r="CN146" i="34" s="1"/>
  <c r="CO146" i="34" a="1"/>
  <c r="CO146" i="34" s="1"/>
  <c r="CQ146" i="34" a="1"/>
  <c r="CQ146" i="34"/>
  <c r="CT146" i="34" s="1" a="1"/>
  <c r="CT146" i="34" s="1"/>
  <c r="CR146" i="34"/>
  <c r="CW146" i="34"/>
  <c r="CZ146" i="34" s="1" a="1"/>
  <c r="CZ146" i="34" s="1"/>
  <c r="CX146" i="34"/>
  <c r="DA146" i="34" a="1"/>
  <c r="DA146" i="34" s="1"/>
  <c r="DC146" i="34"/>
  <c r="DF146" i="34" s="1" a="1"/>
  <c r="DF146" i="34" s="1"/>
  <c r="DD146" i="34"/>
  <c r="DG146" i="34" s="1" a="1"/>
  <c r="DG146" i="34" s="1"/>
  <c r="DI146" i="34"/>
  <c r="DL146" i="34" s="1" a="1"/>
  <c r="DL146" i="34" s="1"/>
  <c r="DJ146" i="34"/>
  <c r="DM146" i="34" a="1"/>
  <c r="DM146" i="34" s="1"/>
  <c r="DO146" i="34"/>
  <c r="DP146" i="34"/>
  <c r="DR146" i="34" a="1"/>
  <c r="DR146" i="34" s="1"/>
  <c r="DS146" i="34" a="1"/>
  <c r="DS146" i="34"/>
  <c r="DU146" i="34"/>
  <c r="DV146" i="34"/>
  <c r="DX146" i="34" a="1"/>
  <c r="DX146" i="34" s="1"/>
  <c r="DY146" i="34" a="1"/>
  <c r="DY146" i="34" s="1"/>
  <c r="EA146" i="34"/>
  <c r="EB146" i="34"/>
  <c r="ED146" i="34" s="1" a="1"/>
  <c r="ED146" i="34" s="1"/>
  <c r="BS147" i="34"/>
  <c r="BV147" i="34" s="1" a="1"/>
  <c r="BV147" i="34" s="1"/>
  <c r="BT147" i="34"/>
  <c r="BY147" i="34"/>
  <c r="CB147" i="34" s="1" a="1"/>
  <c r="CB147" i="34" s="1"/>
  <c r="BZ147" i="34"/>
  <c r="CE147" i="34"/>
  <c r="CH147" i="34" s="1" a="1"/>
  <c r="CH147" i="34" s="1"/>
  <c r="CF147" i="34"/>
  <c r="CI147" i="34" a="1"/>
  <c r="CI147" i="34" s="1"/>
  <c r="CK147" i="34"/>
  <c r="CN147" i="34" s="1" a="1"/>
  <c r="CN147" i="34" s="1"/>
  <c r="CL147" i="34"/>
  <c r="CO147" i="34" s="1" a="1"/>
  <c r="CO147" i="34" s="1"/>
  <c r="CQ147" i="34" a="1"/>
  <c r="CQ147" i="34" s="1"/>
  <c r="CU147" i="34" s="1" a="1"/>
  <c r="CU147" i="34" s="1"/>
  <c r="CR147" i="34"/>
  <c r="CT147" i="34" a="1"/>
  <c r="CT147" i="34" s="1"/>
  <c r="CW147" i="34"/>
  <c r="CX147" i="34"/>
  <c r="CZ147" i="34" s="1" a="1"/>
  <c r="CZ147" i="34" s="1"/>
  <c r="DA147" i="34" a="1"/>
  <c r="DA147" i="34" s="1"/>
  <c r="DC147" i="34"/>
  <c r="DF147" i="34" s="1" a="1"/>
  <c r="DF147" i="34" s="1"/>
  <c r="DD147" i="34"/>
  <c r="DG147" i="34" s="1" a="1"/>
  <c r="DG147" i="34" s="1"/>
  <c r="DI147" i="34"/>
  <c r="DJ147" i="34"/>
  <c r="DO147" i="34"/>
  <c r="DS147" i="34" s="1" a="1"/>
  <c r="DS147" i="34" s="1"/>
  <c r="DP147" i="34"/>
  <c r="DR147" i="34" a="1"/>
  <c r="DR147" i="34" s="1"/>
  <c r="DU147" i="34"/>
  <c r="DV147" i="34"/>
  <c r="DX147" i="34" s="1" a="1"/>
  <c r="DX147" i="34" s="1"/>
  <c r="DY147" i="34" a="1"/>
  <c r="DY147" i="34" s="1"/>
  <c r="EA147" i="34"/>
  <c r="ED147" i="34" s="1" a="1"/>
  <c r="ED147" i="34" s="1"/>
  <c r="EB147" i="34"/>
  <c r="EE147" i="34" a="1"/>
  <c r="EE147" i="34" s="1"/>
  <c r="BS148" i="34"/>
  <c r="BV148" i="34" s="1" a="1"/>
  <c r="BV148" i="34" s="1"/>
  <c r="BT148" i="34"/>
  <c r="BY148" i="34"/>
  <c r="CC148" i="34" s="1" a="1"/>
  <c r="CC148" i="34" s="1"/>
  <c r="BZ148" i="34"/>
  <c r="CB148" i="34" a="1"/>
  <c r="CB148" i="34" s="1"/>
  <c r="CE148" i="34"/>
  <c r="CF148" i="34"/>
  <c r="CH148" i="34" s="1" a="1"/>
  <c r="CH148" i="34" s="1"/>
  <c r="CI148" i="34" a="1"/>
  <c r="CI148" i="34" s="1"/>
  <c r="CK148" i="34"/>
  <c r="CL148" i="34"/>
  <c r="CN148" i="34" s="1" a="1"/>
  <c r="CN148" i="34" s="1"/>
  <c r="CQ148" i="34" a="1"/>
  <c r="CQ148" i="34" s="1"/>
  <c r="CR148" i="34"/>
  <c r="CW148" i="34"/>
  <c r="CZ148" i="34" s="1" a="1"/>
  <c r="CZ148" i="34" s="1"/>
  <c r="CX148" i="34"/>
  <c r="DA148" i="34" s="1" a="1"/>
  <c r="DA148" i="34" s="1"/>
  <c r="DC148" i="34"/>
  <c r="DF148" i="34" s="1" a="1"/>
  <c r="DF148" i="34" s="1"/>
  <c r="DD148" i="34"/>
  <c r="DG148" i="34" a="1"/>
  <c r="DG148" i="34" s="1"/>
  <c r="DI148" i="34"/>
  <c r="DJ148" i="34"/>
  <c r="DL148" i="34" a="1"/>
  <c r="DL148" i="34" s="1"/>
  <c r="DM148" i="34" a="1"/>
  <c r="DM148" i="34"/>
  <c r="DO148" i="34"/>
  <c r="DP148" i="34"/>
  <c r="DR148" i="34" a="1"/>
  <c r="DR148" i="34" s="1"/>
  <c r="DS148" i="34" a="1"/>
  <c r="DS148" i="34" s="1"/>
  <c r="DU148" i="34"/>
  <c r="DV148" i="34"/>
  <c r="DX148" i="34" s="1" a="1"/>
  <c r="DX148" i="34" s="1"/>
  <c r="EA148" i="34"/>
  <c r="ED148" i="34" s="1" a="1"/>
  <c r="ED148" i="34" s="1"/>
  <c r="EB148" i="34"/>
  <c r="BS149" i="34"/>
  <c r="BV149" i="34" s="1" a="1"/>
  <c r="BV149" i="34" s="1"/>
  <c r="BT149" i="34"/>
  <c r="BY149" i="34"/>
  <c r="CB149" i="34" s="1" a="1"/>
  <c r="CB149" i="34" s="1"/>
  <c r="BZ149" i="34"/>
  <c r="CC149" i="34" a="1"/>
  <c r="CC149" i="34" s="1"/>
  <c r="CE149" i="34"/>
  <c r="CH149" i="34" s="1" a="1"/>
  <c r="CH149" i="34" s="1"/>
  <c r="CF149" i="34"/>
  <c r="CI149" i="34" s="1" a="1"/>
  <c r="CI149" i="34" s="1"/>
  <c r="CK149" i="34"/>
  <c r="CN149" i="34" s="1" a="1"/>
  <c r="CN149" i="34" s="1"/>
  <c r="CL149" i="34"/>
  <c r="CO149" i="34" a="1"/>
  <c r="CO149" i="34" s="1"/>
  <c r="CQ149" i="34" a="1"/>
  <c r="CQ149" i="34" s="1"/>
  <c r="CR149" i="34"/>
  <c r="CW149" i="34"/>
  <c r="CX149" i="34"/>
  <c r="CZ149" i="34" s="1" a="1"/>
  <c r="CZ149" i="34" s="1"/>
  <c r="DC149" i="34"/>
  <c r="DD149" i="34"/>
  <c r="DI149" i="34"/>
  <c r="DM149" i="34" s="1" a="1"/>
  <c r="DM149" i="34" s="1"/>
  <c r="DJ149" i="34"/>
  <c r="DL149" i="34" a="1"/>
  <c r="DL149" i="34" s="1"/>
  <c r="DO149" i="34"/>
  <c r="DP149" i="34"/>
  <c r="DR149" i="34" s="1" a="1"/>
  <c r="DR149" i="34" s="1"/>
  <c r="DS149" i="34" a="1"/>
  <c r="DS149" i="34" s="1"/>
  <c r="DU149" i="34"/>
  <c r="DX149" i="34" s="1" a="1"/>
  <c r="DX149" i="34" s="1"/>
  <c r="DV149" i="34"/>
  <c r="DY149" i="34" a="1"/>
  <c r="DY149" i="34" s="1"/>
  <c r="EA149" i="34"/>
  <c r="EB149" i="34"/>
  <c r="BS150" i="34"/>
  <c r="BW150" i="34" s="1" a="1"/>
  <c r="BW150" i="34" s="1"/>
  <c r="BT150" i="34"/>
  <c r="BV150" i="34" a="1"/>
  <c r="BV150" i="34" s="1"/>
  <c r="BY150" i="34"/>
  <c r="BZ150" i="34"/>
  <c r="CB150" i="34" s="1" a="1"/>
  <c r="CB150" i="34" s="1"/>
  <c r="CC150" i="34" a="1"/>
  <c r="CC150" i="34" s="1"/>
  <c r="CE150" i="34"/>
  <c r="CF150" i="34"/>
  <c r="CH150" i="34" s="1" a="1"/>
  <c r="CH150" i="34" s="1"/>
  <c r="CK150" i="34"/>
  <c r="CL150" i="34"/>
  <c r="CQ150" i="34" a="1"/>
  <c r="CQ150" i="34" s="1"/>
  <c r="CR150" i="34"/>
  <c r="CW150" i="34"/>
  <c r="CZ150" i="34" s="1" a="1"/>
  <c r="CZ150" i="34" s="1"/>
  <c r="CX150" i="34"/>
  <c r="DA150" i="34" a="1"/>
  <c r="DA150" i="34" s="1"/>
  <c r="DC150" i="34"/>
  <c r="DD150" i="34"/>
  <c r="DF150" i="34" a="1"/>
  <c r="DF150" i="34" s="1"/>
  <c r="DG150" i="34" a="1"/>
  <c r="DG150" i="34"/>
  <c r="DI150" i="34"/>
  <c r="DJ150" i="34"/>
  <c r="DL150" i="34" a="1"/>
  <c r="DL150" i="34" s="1"/>
  <c r="DM150" i="34" a="1"/>
  <c r="DM150" i="34" s="1"/>
  <c r="DO150" i="34"/>
  <c r="DP150" i="34"/>
  <c r="DR150" i="34" s="1" a="1"/>
  <c r="DR150" i="34" s="1"/>
  <c r="DU150" i="34"/>
  <c r="DX150" i="34" s="1" a="1"/>
  <c r="DX150" i="34" s="1"/>
  <c r="DV150" i="34"/>
  <c r="EA150" i="34"/>
  <c r="ED150" i="34" s="1" a="1"/>
  <c r="ED150" i="34" s="1"/>
  <c r="EB150" i="34"/>
  <c r="BS151" i="34"/>
  <c r="BV151" i="34" s="1" a="1"/>
  <c r="BV151" i="34" s="1"/>
  <c r="BT151" i="34"/>
  <c r="BW151" i="34" a="1"/>
  <c r="BW151" i="34" s="1"/>
  <c r="BY151" i="34"/>
  <c r="BZ151" i="34"/>
  <c r="CC151" i="34" s="1" a="1"/>
  <c r="CC151" i="34" s="1"/>
  <c r="CE151" i="34"/>
  <c r="CH151" i="34" s="1" a="1"/>
  <c r="CF151" i="34"/>
  <c r="CH151" i="34"/>
  <c r="CI151" i="34" a="1"/>
  <c r="CI151" i="34" s="1"/>
  <c r="CK151" i="34"/>
  <c r="CL151" i="34"/>
  <c r="CN151" i="34" a="1"/>
  <c r="CN151" i="34" s="1"/>
  <c r="CO151" i="34" a="1"/>
  <c r="CO151" i="34"/>
  <c r="CQ151" i="34" a="1"/>
  <c r="CQ151" i="34" s="1"/>
  <c r="CR151" i="34"/>
  <c r="CW151" i="34"/>
  <c r="CX151" i="34"/>
  <c r="DC151" i="34"/>
  <c r="DG151" i="34" s="1" a="1"/>
  <c r="DG151" i="34" s="1"/>
  <c r="DD151" i="34"/>
  <c r="DF151" i="34" a="1"/>
  <c r="DF151" i="34" s="1"/>
  <c r="DI151" i="34"/>
  <c r="DJ151" i="34"/>
  <c r="DL151" i="34" s="1" a="1"/>
  <c r="DL151" i="34" s="1"/>
  <c r="DM151" i="34" a="1"/>
  <c r="DM151" i="34" s="1"/>
  <c r="DO151" i="34"/>
  <c r="DR151" i="34" s="1" a="1"/>
  <c r="DP151" i="34"/>
  <c r="DR151" i="34"/>
  <c r="DS151" i="34" a="1"/>
  <c r="DS151" i="34" s="1"/>
  <c r="DU151" i="34"/>
  <c r="DV151" i="34"/>
  <c r="EA151" i="34"/>
  <c r="EE151" i="34" s="1" a="1"/>
  <c r="EE151" i="34" s="1"/>
  <c r="EB151" i="34"/>
  <c r="ED151" i="34" a="1"/>
  <c r="ED151" i="34" s="1"/>
  <c r="BS152" i="34"/>
  <c r="BT152" i="34"/>
  <c r="BV152" i="34" s="1" a="1"/>
  <c r="BV152" i="34" s="1"/>
  <c r="BY152" i="34"/>
  <c r="BZ152" i="34"/>
  <c r="CB152" i="34" s="1" a="1"/>
  <c r="CB152" i="34" s="1"/>
  <c r="CE152" i="34"/>
  <c r="CF152" i="34"/>
  <c r="CK152" i="34"/>
  <c r="CO152" i="34" s="1" a="1"/>
  <c r="CO152" i="34" s="1"/>
  <c r="CL152" i="34"/>
  <c r="CQ152" i="34" a="1"/>
  <c r="CQ152" i="34"/>
  <c r="CT152" i="34" s="1" a="1"/>
  <c r="CR152" i="34"/>
  <c r="CT152" i="34"/>
  <c r="CU152" i="34" a="1"/>
  <c r="CU152" i="34" s="1"/>
  <c r="CW152" i="34"/>
  <c r="CX152" i="34"/>
  <c r="CZ152" i="34" a="1"/>
  <c r="CZ152" i="34"/>
  <c r="DA152" i="34" a="1"/>
  <c r="DA152" i="34"/>
  <c r="DC152" i="34"/>
  <c r="DD152" i="34"/>
  <c r="DF152" i="34" a="1"/>
  <c r="DF152" i="34" s="1"/>
  <c r="DG152" i="34" a="1"/>
  <c r="DG152" i="34" s="1"/>
  <c r="DI152" i="34"/>
  <c r="DM152" i="34" s="1" a="1"/>
  <c r="DM152" i="34" s="1"/>
  <c r="DJ152" i="34"/>
  <c r="DL152" i="34" s="1" a="1"/>
  <c r="DL152" i="34" s="1"/>
  <c r="DO152" i="34"/>
  <c r="DP152" i="34"/>
  <c r="DU152" i="34"/>
  <c r="DX152" i="34" s="1" a="1"/>
  <c r="DX152" i="34" s="1"/>
  <c r="DV152" i="34"/>
  <c r="EA152" i="34"/>
  <c r="ED152" i="34" s="1" a="1"/>
  <c r="ED152" i="34" s="1"/>
  <c r="EB152" i="34"/>
  <c r="EE152" i="34" a="1"/>
  <c r="EE152" i="34"/>
  <c r="BS153" i="34"/>
  <c r="BT153" i="34"/>
  <c r="BY153" i="34"/>
  <c r="CB153" i="34" s="1" a="1"/>
  <c r="CB153" i="34" s="1"/>
  <c r="BZ153" i="34"/>
  <c r="CC153" i="34" a="1"/>
  <c r="CC153" i="34" s="1"/>
  <c r="CE153" i="34"/>
  <c r="CF153" i="34"/>
  <c r="CH153" i="34" a="1"/>
  <c r="CH153" i="34"/>
  <c r="CI153" i="34" a="1"/>
  <c r="CI153" i="34"/>
  <c r="CK153" i="34"/>
  <c r="CL153" i="34"/>
  <c r="CN153" i="34" a="1"/>
  <c r="CN153" i="34" s="1"/>
  <c r="CO153" i="34" a="1"/>
  <c r="CO153" i="34" s="1"/>
  <c r="CQ153" i="34" a="1"/>
  <c r="CQ153" i="34"/>
  <c r="CR153" i="34"/>
  <c r="CW153" i="34"/>
  <c r="DA153" i="34" s="1" a="1"/>
  <c r="DA153" i="34" s="1"/>
  <c r="CX153" i="34"/>
  <c r="DC153" i="34"/>
  <c r="DD153" i="34"/>
  <c r="DF153" i="34" s="1" a="1"/>
  <c r="DF153" i="34" s="1"/>
  <c r="DG153" i="34" a="1"/>
  <c r="DG153" i="34" s="1"/>
  <c r="DI153" i="34"/>
  <c r="DL153" i="34" s="1" a="1"/>
  <c r="DL153" i="34" s="1"/>
  <c r="DJ153" i="34"/>
  <c r="DM153" i="34" a="1"/>
  <c r="DM153" i="34" s="1"/>
  <c r="DO153" i="34"/>
  <c r="DP153" i="34"/>
  <c r="DU153" i="34"/>
  <c r="DY153" i="34" s="1" a="1"/>
  <c r="DY153" i="34" s="1"/>
  <c r="DV153" i="34"/>
  <c r="DX153" i="34" a="1"/>
  <c r="DX153" i="34" s="1"/>
  <c r="EA153" i="34"/>
  <c r="EB153" i="34"/>
  <c r="ED153" i="34" s="1" a="1"/>
  <c r="ED153" i="34" s="1"/>
  <c r="BS154" i="34"/>
  <c r="BT154" i="34"/>
  <c r="BV154" i="34" s="1" a="1"/>
  <c r="BV154" i="34" s="1"/>
  <c r="BY154" i="34"/>
  <c r="BZ154" i="34"/>
  <c r="CE154" i="34"/>
  <c r="CI154" i="34" s="1" a="1"/>
  <c r="CI154" i="34" s="1"/>
  <c r="CF154" i="34"/>
  <c r="CH154" i="34" a="1"/>
  <c r="CH154" i="34" s="1"/>
  <c r="CK154" i="34"/>
  <c r="CL154" i="34"/>
  <c r="CN154" i="34" s="1" a="1"/>
  <c r="CN154" i="34" s="1"/>
  <c r="CO154" i="34" a="1"/>
  <c r="CO154" i="34" s="1"/>
  <c r="CQ154" i="34" a="1"/>
  <c r="CQ154" i="34" s="1"/>
  <c r="CU154" i="34" s="1" a="1"/>
  <c r="CU154" i="34" s="1"/>
  <c r="CR154" i="34"/>
  <c r="CW154" i="34"/>
  <c r="CX154" i="34"/>
  <c r="CZ154" i="34" a="1"/>
  <c r="CZ154" i="34" s="1"/>
  <c r="DA154" i="34" a="1"/>
  <c r="DA154" i="34" s="1"/>
  <c r="DC154" i="34"/>
  <c r="DD154" i="34"/>
  <c r="DF154" i="34" s="1" a="1"/>
  <c r="DF154" i="34" s="1"/>
  <c r="DI154" i="34"/>
  <c r="DJ154" i="34"/>
  <c r="DO154" i="34"/>
  <c r="DR154" i="34" s="1" a="1"/>
  <c r="DR154" i="34" s="1"/>
  <c r="DP154" i="34"/>
  <c r="DU154" i="34"/>
  <c r="DV154" i="34"/>
  <c r="EA154" i="34"/>
  <c r="ED154" i="34" s="1" a="1"/>
  <c r="ED154" i="34" s="1"/>
  <c r="EB154" i="34"/>
  <c r="BS155" i="34"/>
  <c r="BV155" i="34" s="1" a="1"/>
  <c r="BV155" i="34" s="1"/>
  <c r="BT155" i="34"/>
  <c r="BW155" i="34" a="1"/>
  <c r="BW155" i="34" s="1"/>
  <c r="BY155" i="34"/>
  <c r="BZ155" i="34"/>
  <c r="CB155" i="34" a="1"/>
  <c r="CB155" i="34"/>
  <c r="CC155" i="34" a="1"/>
  <c r="CC155" i="34"/>
  <c r="CE155" i="34"/>
  <c r="CF155" i="34"/>
  <c r="CH155" i="34" a="1"/>
  <c r="CH155" i="34" s="1"/>
  <c r="CI155" i="34" a="1"/>
  <c r="CI155" i="34" s="1"/>
  <c r="CK155" i="34"/>
  <c r="CO155" i="34" s="1" a="1"/>
  <c r="CO155" i="34" s="1"/>
  <c r="CL155" i="34"/>
  <c r="CN155" i="34" a="1"/>
  <c r="CN155" i="34" s="1"/>
  <c r="CQ155" i="34" a="1"/>
  <c r="CQ155" i="34" s="1"/>
  <c r="CR155" i="34"/>
  <c r="CW155" i="34"/>
  <c r="CX155" i="34"/>
  <c r="CZ155" i="34" s="1" a="1"/>
  <c r="CZ155" i="34" s="1"/>
  <c r="DA155" i="34" a="1"/>
  <c r="DA155" i="34" s="1"/>
  <c r="DC155" i="34"/>
  <c r="DF155" i="34" s="1" a="1"/>
  <c r="DF155" i="34" s="1"/>
  <c r="DD155" i="34"/>
  <c r="DG155" i="34" a="1"/>
  <c r="DG155" i="34" s="1"/>
  <c r="DI155" i="34"/>
  <c r="DJ155" i="34"/>
  <c r="DO155" i="34"/>
  <c r="DS155" i="34" s="1" a="1"/>
  <c r="DS155" i="34" s="1"/>
  <c r="DP155" i="34"/>
  <c r="DR155" i="34" a="1"/>
  <c r="DR155" i="34" s="1"/>
  <c r="DU155" i="34"/>
  <c r="DV155" i="34"/>
  <c r="DX155" i="34" a="1"/>
  <c r="DX155" i="34" s="1"/>
  <c r="DY155" i="34" a="1"/>
  <c r="DY155" i="34" s="1"/>
  <c r="EA155" i="34"/>
  <c r="EB155" i="34"/>
  <c r="ED155" i="34" s="1" a="1"/>
  <c r="ED155" i="34" s="1"/>
  <c r="BS156" i="34"/>
  <c r="BT156" i="34"/>
  <c r="BY156" i="34"/>
  <c r="CC156" i="34" s="1" a="1"/>
  <c r="CC156" i="34" s="1"/>
  <c r="BZ156" i="34"/>
  <c r="CB156" i="34" a="1"/>
  <c r="CB156" i="34" s="1"/>
  <c r="CE156" i="34"/>
  <c r="CF156" i="34"/>
  <c r="CH156" i="34" s="1" a="1"/>
  <c r="CH156" i="34" s="1"/>
  <c r="CI156" i="34" a="1"/>
  <c r="CI156" i="34" s="1"/>
  <c r="CK156" i="34"/>
  <c r="CN156" i="34" s="1" a="1"/>
  <c r="CL156" i="34"/>
  <c r="CN156" i="34"/>
  <c r="CO156" i="34" a="1"/>
  <c r="CO156" i="34" s="1"/>
  <c r="CQ156" i="34" a="1"/>
  <c r="CQ156" i="34" s="1"/>
  <c r="CR156" i="34"/>
  <c r="CW156" i="34"/>
  <c r="CX156" i="34"/>
  <c r="CZ156" i="34" s="1" a="1"/>
  <c r="CZ156" i="34" s="1"/>
  <c r="DC156" i="34"/>
  <c r="DD156" i="34"/>
  <c r="DI156" i="34"/>
  <c r="DL156" i="34" s="1" a="1"/>
  <c r="DL156" i="34" s="1"/>
  <c r="DJ156" i="34"/>
  <c r="DO156" i="34"/>
  <c r="DR156" i="34" s="1" a="1"/>
  <c r="DR156" i="34" s="1"/>
  <c r="DP156" i="34"/>
  <c r="DS156" i="34" a="1"/>
  <c r="DS156" i="34"/>
  <c r="DU156" i="34"/>
  <c r="DX156" i="34" s="1" a="1"/>
  <c r="DX156" i="34" s="1"/>
  <c r="DV156" i="34"/>
  <c r="EA156" i="34"/>
  <c r="ED156" i="34" s="1" a="1"/>
  <c r="EB156" i="34"/>
  <c r="ED156" i="34"/>
  <c r="EE156" i="34" a="1"/>
  <c r="EE156" i="34" s="1"/>
  <c r="BS157" i="34"/>
  <c r="BT157" i="34"/>
  <c r="BV157" i="34" a="1"/>
  <c r="BV157" i="34" s="1"/>
  <c r="BW157" i="34" a="1"/>
  <c r="BW157" i="34"/>
  <c r="BY157" i="34"/>
  <c r="BZ157" i="34"/>
  <c r="CB157" i="34" a="1"/>
  <c r="CB157" i="34" s="1"/>
  <c r="CC157" i="34" a="1"/>
  <c r="CC157" i="34" s="1"/>
  <c r="CE157" i="34"/>
  <c r="CF157" i="34"/>
  <c r="CI157" i="34" s="1" a="1"/>
  <c r="CI157" i="34" s="1"/>
  <c r="CK157" i="34"/>
  <c r="CL157" i="34"/>
  <c r="CQ157" i="34" a="1"/>
  <c r="CQ157" i="34" s="1"/>
  <c r="CT157" i="34" s="1" a="1"/>
  <c r="CT157" i="34" s="1"/>
  <c r="CR157" i="34"/>
  <c r="CU157" i="34" a="1"/>
  <c r="CU157" i="34"/>
  <c r="CW157" i="34"/>
  <c r="CX157" i="34"/>
  <c r="CZ157" i="34" s="1" a="1"/>
  <c r="CZ157" i="34"/>
  <c r="DA157" i="34" a="1"/>
  <c r="DA157" i="34" s="1"/>
  <c r="DC157" i="34"/>
  <c r="DD157" i="34"/>
  <c r="DI157" i="34"/>
  <c r="DM157" i="34" s="1" a="1"/>
  <c r="DM157" i="34" s="1"/>
  <c r="DJ157" i="34"/>
  <c r="DL157" i="34" a="1"/>
  <c r="DL157" i="34" s="1"/>
  <c r="DO157" i="34"/>
  <c r="DP157" i="34"/>
  <c r="DR157" i="34" a="1"/>
  <c r="DR157" i="34" s="1"/>
  <c r="DS157" i="34" a="1"/>
  <c r="DS157" i="34" s="1"/>
  <c r="DU157" i="34"/>
  <c r="DV157" i="34"/>
  <c r="DX157" i="34" s="1" a="1"/>
  <c r="DX157" i="34" s="1"/>
  <c r="EA157" i="34"/>
  <c r="EB157" i="34"/>
  <c r="BS158" i="34"/>
  <c r="BW158" i="34" s="1" a="1"/>
  <c r="BW158" i="34" s="1"/>
  <c r="BT158" i="34"/>
  <c r="BY158" i="34"/>
  <c r="BZ158" i="34"/>
  <c r="CB158" i="34" s="1" a="1"/>
  <c r="CB158" i="34" s="1"/>
  <c r="CC158" i="34" a="1"/>
  <c r="CC158" i="34" s="1"/>
  <c r="CE158" i="34"/>
  <c r="CH158" i="34" s="1" a="1"/>
  <c r="CF158" i="34"/>
  <c r="CH158" i="34"/>
  <c r="CI158" i="34" a="1"/>
  <c r="CI158" i="34" s="1"/>
  <c r="CK158" i="34"/>
  <c r="CL158" i="34"/>
  <c r="CQ158" i="34" a="1"/>
  <c r="CQ158" i="34" s="1"/>
  <c r="CU158" i="34" s="1" a="1"/>
  <c r="CU158" i="34" s="1"/>
  <c r="CR158" i="34"/>
  <c r="CT158" i="34" a="1"/>
  <c r="CT158" i="34" s="1"/>
  <c r="CW158" i="34"/>
  <c r="DA158" i="34" s="1" a="1"/>
  <c r="DA158" i="34" s="1"/>
  <c r="CX158" i="34"/>
  <c r="CZ158" i="34" a="1"/>
  <c r="CZ158" i="34"/>
  <c r="DC158" i="34"/>
  <c r="DF158" i="34" s="1" a="1"/>
  <c r="DF158" i="34" s="1"/>
  <c r="DD158" i="34"/>
  <c r="DI158" i="34"/>
  <c r="DL158" i="34" s="1" a="1"/>
  <c r="DL158" i="34" s="1"/>
  <c r="DJ158" i="34"/>
  <c r="DM158" i="34" a="1"/>
  <c r="DM158" i="34" s="1"/>
  <c r="DO158" i="34"/>
  <c r="DP158" i="34"/>
  <c r="DU158" i="34"/>
  <c r="DX158" i="34" s="1" a="1"/>
  <c r="DV158" i="34"/>
  <c r="DX158" i="34"/>
  <c r="DY158" i="34" a="1"/>
  <c r="DY158" i="34" s="1"/>
  <c r="EA158" i="34"/>
  <c r="EB158" i="34"/>
  <c r="ED158" i="34" a="1"/>
  <c r="ED158" i="34" s="1"/>
  <c r="EE158" i="34" a="1"/>
  <c r="EE158" i="34" s="1"/>
  <c r="BS159" i="34"/>
  <c r="BT159" i="34"/>
  <c r="BV159" i="34" a="1"/>
  <c r="BV159" i="34" s="1"/>
  <c r="BW159" i="34" a="1"/>
  <c r="BW159" i="34" s="1"/>
  <c r="BY159" i="34"/>
  <c r="BZ159" i="34"/>
  <c r="CC159" i="34" s="1" a="1"/>
  <c r="CC159" i="34" s="1"/>
  <c r="CB159" i="34" a="1"/>
  <c r="CB159" i="34" s="1"/>
  <c r="CE159" i="34"/>
  <c r="CF159" i="34"/>
  <c r="CH159" i="34" s="1" a="1"/>
  <c r="CH159" i="34" s="1"/>
  <c r="CK159" i="34"/>
  <c r="CL159" i="34"/>
  <c r="CQ159" i="34" a="1"/>
  <c r="CQ159" i="34" s="1"/>
  <c r="CT159" i="34" s="1" a="1"/>
  <c r="CR159" i="34"/>
  <c r="CT159" i="34"/>
  <c r="CU159" i="34" a="1"/>
  <c r="CU159" i="34"/>
  <c r="CW159" i="34"/>
  <c r="CX159" i="34"/>
  <c r="DC159" i="34"/>
  <c r="DG159" i="34" s="1" a="1"/>
  <c r="DG159" i="34" s="1"/>
  <c r="DD159" i="34"/>
  <c r="DF159" i="34" a="1"/>
  <c r="DF159" i="34" s="1"/>
  <c r="DI159" i="34"/>
  <c r="DJ159" i="34"/>
  <c r="DM159" i="34" s="1" a="1"/>
  <c r="DM159" i="34" s="1"/>
  <c r="DL159" i="34" a="1"/>
  <c r="DL159" i="34" s="1"/>
  <c r="DO159" i="34"/>
  <c r="DP159" i="34"/>
  <c r="DU159" i="34"/>
  <c r="DV159" i="34"/>
  <c r="EA159" i="34"/>
  <c r="EB159" i="34"/>
  <c r="ED159" i="34" a="1"/>
  <c r="ED159" i="34" s="1"/>
  <c r="BS160" i="34"/>
  <c r="BT160" i="34"/>
  <c r="BV160" i="34" s="1" a="1"/>
  <c r="BV160" i="34" s="1"/>
  <c r="BW160" i="34" a="1"/>
  <c r="BW160" i="34"/>
  <c r="BY160" i="34"/>
  <c r="BZ160" i="34"/>
  <c r="CB160" i="34" a="1"/>
  <c r="CB160" i="34"/>
  <c r="CC160" i="34" a="1"/>
  <c r="CC160" i="34" s="1"/>
  <c r="CE160" i="34"/>
  <c r="CF160" i="34"/>
  <c r="CK160" i="34"/>
  <c r="CO160" i="34" s="1" a="1"/>
  <c r="CO160" i="34" s="1"/>
  <c r="CL160" i="34"/>
  <c r="CN160" i="34" a="1"/>
  <c r="CN160" i="34"/>
  <c r="CQ160" i="34" a="1"/>
  <c r="CQ160" i="34"/>
  <c r="CR160" i="34"/>
  <c r="CT160" i="34" a="1"/>
  <c r="CT160" i="34" s="1"/>
  <c r="CW160" i="34"/>
  <c r="CX160" i="34"/>
  <c r="DC160" i="34"/>
  <c r="DF160" i="34" s="1" a="1"/>
  <c r="DF160" i="34" s="1"/>
  <c r="DD160" i="34"/>
  <c r="DG160" i="34" a="1"/>
  <c r="DG160" i="34" s="1"/>
  <c r="DI160" i="34"/>
  <c r="DM160" i="34" s="1" a="1"/>
  <c r="DM160" i="34" s="1"/>
  <c r="DJ160" i="34"/>
  <c r="DO160" i="34"/>
  <c r="DP160" i="34"/>
  <c r="DS160" i="34" a="1"/>
  <c r="DS160" i="34" s="1"/>
  <c r="DU160" i="34"/>
  <c r="DV160" i="34"/>
  <c r="DX160" i="34" a="1"/>
  <c r="DX160" i="34" s="1"/>
  <c r="DY160" i="34" a="1"/>
  <c r="DY160" i="34" s="1"/>
  <c r="EA160" i="34"/>
  <c r="EB160" i="34"/>
  <c r="ED160" i="34" a="1"/>
  <c r="ED160" i="34" s="1"/>
  <c r="EE160" i="34" a="1"/>
  <c r="EE160" i="34"/>
  <c r="BS161" i="34"/>
  <c r="BT161" i="34"/>
  <c r="BW161" i="34" s="1" a="1"/>
  <c r="BW161" i="34" s="1"/>
  <c r="BV161" i="34" a="1"/>
  <c r="BV161" i="34" s="1"/>
  <c r="BY161" i="34"/>
  <c r="BZ161" i="34"/>
  <c r="CB161" i="34" a="1"/>
  <c r="CB161" i="34" s="1"/>
  <c r="CE161" i="34"/>
  <c r="CI161" i="34" s="1" a="1"/>
  <c r="CF161" i="34"/>
  <c r="CH161" i="34" a="1"/>
  <c r="CH161" i="34" s="1"/>
  <c r="CI161" i="34"/>
  <c r="CK161" i="34"/>
  <c r="CN161" i="34" s="1" a="1"/>
  <c r="CN161" i="34" s="1"/>
  <c r="CL161" i="34"/>
  <c r="CQ161" i="34" a="1"/>
  <c r="CQ161" i="34"/>
  <c r="CR161" i="34"/>
  <c r="CW161" i="34"/>
  <c r="CX161" i="34"/>
  <c r="DC161" i="34"/>
  <c r="DD161" i="34"/>
  <c r="DF161" i="34" a="1"/>
  <c r="DF161" i="34" s="1"/>
  <c r="DG161" i="34" a="1"/>
  <c r="DG161" i="34" s="1"/>
  <c r="DI161" i="34"/>
  <c r="DJ161" i="34"/>
  <c r="DL161" i="34" s="1" a="1"/>
  <c r="DL161" i="34" s="1"/>
  <c r="DM161" i="34" a="1"/>
  <c r="DM161" i="34" s="1"/>
  <c r="DO161" i="34"/>
  <c r="DP161" i="34"/>
  <c r="DU161" i="34"/>
  <c r="DV161" i="34"/>
  <c r="EA161" i="34"/>
  <c r="EB161" i="34"/>
  <c r="ED161" i="34" a="1"/>
  <c r="ED161" i="34" s="1"/>
  <c r="EE161" i="34" a="1"/>
  <c r="EE161" i="34" s="1"/>
  <c r="BS162" i="34"/>
  <c r="BV162" i="34" s="1" a="1"/>
  <c r="BV162" i="34" s="1"/>
  <c r="BT162" i="34"/>
  <c r="BW162" i="34" a="1"/>
  <c r="BW162" i="34" s="1"/>
  <c r="BY162" i="34"/>
  <c r="CB162" i="34" s="1" a="1"/>
  <c r="BZ162" i="34"/>
  <c r="CB162" i="34"/>
  <c r="CE162" i="34"/>
  <c r="CI162" i="34" s="1" a="1"/>
  <c r="CI162" i="34" s="1"/>
  <c r="CF162" i="34"/>
  <c r="CH162" i="34" a="1"/>
  <c r="CH162" i="34"/>
  <c r="CK162" i="34"/>
  <c r="CL162" i="34"/>
  <c r="CN162" i="34" a="1"/>
  <c r="CN162" i="34"/>
  <c r="CO162" i="34" a="1"/>
  <c r="CO162" i="34" s="1"/>
  <c r="CQ162" i="34" a="1"/>
  <c r="CQ162" i="34"/>
  <c r="CU162" i="34" s="1" a="1"/>
  <c r="CU162" i="34" s="1"/>
  <c r="CR162" i="34"/>
  <c r="CT162" i="34" a="1"/>
  <c r="CT162" i="34"/>
  <c r="CW162" i="34"/>
  <c r="CZ162" i="34" s="1" a="1"/>
  <c r="CZ162" i="34" s="1"/>
  <c r="CX162" i="34"/>
  <c r="DA162" i="34" a="1"/>
  <c r="DA162" i="34" s="1"/>
  <c r="DC162" i="34"/>
  <c r="DF162" i="34" s="1" a="1"/>
  <c r="DF162" i="34" s="1"/>
  <c r="DD162" i="34"/>
  <c r="DI162" i="34"/>
  <c r="DL162" i="34" s="1" a="1"/>
  <c r="DJ162" i="34"/>
  <c r="DL162" i="34"/>
  <c r="DM162" i="34" a="1"/>
  <c r="DM162" i="34" s="1"/>
  <c r="DO162" i="34"/>
  <c r="DP162" i="34"/>
  <c r="DR162" i="34" a="1"/>
  <c r="DR162" i="34" s="1"/>
  <c r="DS162" i="34" a="1"/>
  <c r="DS162" i="34" s="1"/>
  <c r="DU162" i="34"/>
  <c r="DV162" i="34"/>
  <c r="DX162" i="34" a="1"/>
  <c r="DX162" i="34" s="1"/>
  <c r="DY162" i="34" a="1"/>
  <c r="DY162" i="34"/>
  <c r="EA162" i="34"/>
  <c r="EB162" i="34"/>
  <c r="EE162" i="34" s="1" a="1"/>
  <c r="EE162" i="34" s="1"/>
  <c r="ED162" i="34" a="1"/>
  <c r="ED162" i="34" s="1"/>
  <c r="BS163" i="34"/>
  <c r="BW163" i="34" s="1" a="1"/>
  <c r="BW163" i="34" s="1"/>
  <c r="BT163" i="34"/>
  <c r="BV163" i="34" a="1"/>
  <c r="BV163" i="34"/>
  <c r="BY163" i="34"/>
  <c r="CC163" i="34" s="1" a="1"/>
  <c r="CC163" i="34" s="1"/>
  <c r="BZ163" i="34"/>
  <c r="CE163" i="34"/>
  <c r="CH163" i="34" s="1" a="1"/>
  <c r="CH163" i="34" s="1"/>
  <c r="CF163" i="34"/>
  <c r="CK163" i="34"/>
  <c r="CN163" i="34" s="1" a="1"/>
  <c r="CN163" i="34" s="1"/>
  <c r="CL163" i="34"/>
  <c r="CO163" i="34" a="1"/>
  <c r="CO163" i="34"/>
  <c r="CQ163" i="34" a="1"/>
  <c r="CQ163" i="34"/>
  <c r="CU163" i="34" s="1" a="1"/>
  <c r="CU163" i="34" s="1"/>
  <c r="CR163" i="34"/>
  <c r="CW163" i="34"/>
  <c r="CX163" i="34"/>
  <c r="CZ163" i="34" s="1" a="1"/>
  <c r="CZ163" i="34" s="1"/>
  <c r="DA163" i="34" a="1"/>
  <c r="DA163" i="34" s="1"/>
  <c r="DC163" i="34"/>
  <c r="DD163" i="34"/>
  <c r="DF163" i="34" a="1"/>
  <c r="DF163" i="34" s="1"/>
  <c r="DG163" i="34" a="1"/>
  <c r="DG163" i="34" s="1"/>
  <c r="DI163" i="34"/>
  <c r="DJ163" i="34"/>
  <c r="DO163" i="34"/>
  <c r="DP163" i="34"/>
  <c r="DU163" i="34"/>
  <c r="DV163" i="34"/>
  <c r="DX163" i="34" a="1"/>
  <c r="DX163" i="34" s="1"/>
  <c r="DY163" i="34" a="1"/>
  <c r="DY163" i="34" s="1"/>
  <c r="EA163" i="34"/>
  <c r="ED163" i="34" s="1" a="1"/>
  <c r="ED163" i="34" s="1"/>
  <c r="EB163" i="34"/>
  <c r="EE163" i="34" a="1"/>
  <c r="EE163" i="34" s="1"/>
  <c r="BS164" i="34"/>
  <c r="BV164" i="34" s="1" a="1"/>
  <c r="BT164" i="34"/>
  <c r="BV164" i="34"/>
  <c r="BY164" i="34"/>
  <c r="CC164" i="34" s="1" a="1"/>
  <c r="CC164" i="34" s="1"/>
  <c r="BZ164" i="34"/>
  <c r="CB164" i="34" a="1"/>
  <c r="CB164" i="34"/>
  <c r="CE164" i="34"/>
  <c r="CF164" i="34"/>
  <c r="CH164" i="34" a="1"/>
  <c r="CH164" i="34"/>
  <c r="CI164" i="34" a="1"/>
  <c r="CI164" i="34" s="1"/>
  <c r="CK164" i="34"/>
  <c r="CL164" i="34"/>
  <c r="CN164" i="34" s="1" a="1"/>
  <c r="CN164" i="34" s="1"/>
  <c r="CO164" i="34" a="1"/>
  <c r="CO164" i="34" s="1"/>
  <c r="CQ164" i="34" a="1"/>
  <c r="CQ164" i="34" s="1"/>
  <c r="CR164" i="34"/>
  <c r="CW164" i="34"/>
  <c r="CZ164" i="34" s="1" a="1"/>
  <c r="CZ164" i="34" s="1"/>
  <c r="CX164" i="34"/>
  <c r="DC164" i="34"/>
  <c r="DF164" i="34" s="1" a="1"/>
  <c r="DD164" i="34"/>
  <c r="DF164" i="34"/>
  <c r="DG164" i="34" a="1"/>
  <c r="DG164" i="34" s="1"/>
  <c r="DI164" i="34"/>
  <c r="DJ164" i="34"/>
  <c r="DL164" i="34" a="1"/>
  <c r="DL164" i="34" s="1"/>
  <c r="DM164" i="34" a="1"/>
  <c r="DM164" i="34" s="1"/>
  <c r="DO164" i="34"/>
  <c r="DP164" i="34"/>
  <c r="DR164" i="34" a="1"/>
  <c r="DR164" i="34" s="1"/>
  <c r="DS164" i="34" a="1"/>
  <c r="DS164" i="34"/>
  <c r="DU164" i="34"/>
  <c r="DV164" i="34"/>
  <c r="DY164" i="34" s="1" a="1"/>
  <c r="DY164" i="34" s="1"/>
  <c r="DX164" i="34" a="1"/>
  <c r="DX164" i="34" s="1"/>
  <c r="EA164" i="34"/>
  <c r="EE164" i="34" s="1" a="1"/>
  <c r="EE164" i="34" s="1"/>
  <c r="EB164" i="34"/>
  <c r="ED164" i="34" a="1"/>
  <c r="ED164" i="34"/>
  <c r="BS165" i="34"/>
  <c r="BW165" i="34" s="1" a="1"/>
  <c r="BW165" i="34" s="1"/>
  <c r="BT165" i="34"/>
  <c r="BY165" i="34"/>
  <c r="CB165" i="34" s="1" a="1"/>
  <c r="CB165" i="34" s="1"/>
  <c r="BZ165" i="34"/>
  <c r="CE165" i="34"/>
  <c r="CH165" i="34" s="1" a="1"/>
  <c r="CH165" i="34" s="1"/>
  <c r="CF165" i="34"/>
  <c r="CI165" i="34" a="1"/>
  <c r="CI165" i="34" s="1"/>
  <c r="CK165" i="34"/>
  <c r="CL165" i="34"/>
  <c r="CQ165" i="34" a="1"/>
  <c r="CQ165" i="34" s="1"/>
  <c r="CR165" i="34"/>
  <c r="CT165" i="34" s="1" a="1"/>
  <c r="CT165" i="34" s="1"/>
  <c r="CU165" i="34" a="1"/>
  <c r="CU165" i="34" s="1"/>
  <c r="CW165" i="34"/>
  <c r="CX165" i="34"/>
  <c r="CZ165" i="34" a="1"/>
  <c r="CZ165" i="34" s="1"/>
  <c r="DA165" i="34" a="1"/>
  <c r="DA165" i="34" s="1"/>
  <c r="DC165" i="34"/>
  <c r="DG165" i="34" s="1" a="1"/>
  <c r="DD165" i="34"/>
  <c r="DF165" i="34" a="1"/>
  <c r="DF165" i="34" s="1"/>
  <c r="DG165" i="34"/>
  <c r="DI165" i="34"/>
  <c r="DM165" i="34" s="1" a="1"/>
  <c r="DM165" i="34" s="1"/>
  <c r="DJ165" i="34"/>
  <c r="DO165" i="34"/>
  <c r="DP165" i="34"/>
  <c r="DR165" i="34" s="1" a="1"/>
  <c r="DR165" i="34" s="1"/>
  <c r="DU165" i="34"/>
  <c r="DX165" i="34" s="1" a="1"/>
  <c r="DV165" i="34"/>
  <c r="DX165" i="34"/>
  <c r="DY165" i="34" a="1"/>
  <c r="DY165" i="34" s="1"/>
  <c r="EA165" i="34"/>
  <c r="ED165" i="34" s="1" a="1"/>
  <c r="ED165" i="34" s="1"/>
  <c r="EB165" i="34"/>
  <c r="BS166" i="34"/>
  <c r="BT166" i="34"/>
  <c r="BV166" i="34" a="1"/>
  <c r="BV166" i="34" s="1"/>
  <c r="BW166" i="34" a="1"/>
  <c r="BW166" i="34" s="1"/>
  <c r="BY166" i="34"/>
  <c r="BZ166" i="34"/>
  <c r="CB166" i="34" s="1" a="1"/>
  <c r="CB166" i="34" s="1"/>
  <c r="CC166" i="34" a="1"/>
  <c r="CC166" i="34" s="1"/>
  <c r="CE166" i="34"/>
  <c r="CF166" i="34"/>
  <c r="CI166" i="34" s="1" a="1"/>
  <c r="CI166" i="34" s="1"/>
  <c r="CH166" i="34" a="1"/>
  <c r="CH166" i="34" s="1"/>
  <c r="CK166" i="34"/>
  <c r="CL166" i="34"/>
  <c r="CN166" i="34" s="1" a="1"/>
  <c r="CN166" i="34" s="1"/>
  <c r="CQ166" i="34" a="1"/>
  <c r="CQ166" i="34" s="1"/>
  <c r="CR166" i="34"/>
  <c r="CW166" i="34"/>
  <c r="CX166" i="34"/>
  <c r="DA166" i="34" a="1"/>
  <c r="DA166" i="34"/>
  <c r="DC166" i="34"/>
  <c r="DD166" i="34"/>
  <c r="DF166" i="34" a="1"/>
  <c r="DF166" i="34"/>
  <c r="DG166" i="34" a="1"/>
  <c r="DG166" i="34"/>
  <c r="DI166" i="34"/>
  <c r="DL166" i="34" s="1" a="1"/>
  <c r="DL166" i="34" s="1"/>
  <c r="DJ166" i="34"/>
  <c r="DO166" i="34"/>
  <c r="DP166" i="34"/>
  <c r="DS166" i="34" s="1" a="1"/>
  <c r="DS166" i="34" s="1"/>
  <c r="DR166" i="34" a="1"/>
  <c r="DR166" i="34"/>
  <c r="DU166" i="34"/>
  <c r="DV166" i="34"/>
  <c r="DX166" i="34" s="1" a="1"/>
  <c r="DX166" i="34" s="1"/>
  <c r="DY166" i="34" a="1"/>
  <c r="DY166" i="34" s="1"/>
  <c r="EA166" i="34"/>
  <c r="EB166" i="34"/>
  <c r="ED166" i="34" s="1" a="1"/>
  <c r="ED166" i="34" s="1"/>
  <c r="EE166" i="34" a="1"/>
  <c r="EE166" i="34" s="1"/>
  <c r="BS167" i="34"/>
  <c r="BT167" i="34"/>
  <c r="BY167" i="34"/>
  <c r="BZ167" i="34"/>
  <c r="CB167" i="34" s="1" a="1"/>
  <c r="CB167" i="34" s="1"/>
  <c r="CE167" i="34"/>
  <c r="CF167" i="34"/>
  <c r="CH167" i="34" a="1"/>
  <c r="CH167" i="34" s="1"/>
  <c r="CI167" i="34" a="1"/>
  <c r="CI167" i="34"/>
  <c r="CK167" i="34"/>
  <c r="CN167" i="34" s="1" a="1"/>
  <c r="CN167" i="34" s="1"/>
  <c r="CL167" i="34"/>
  <c r="CQ167" i="34" a="1"/>
  <c r="CQ167" i="34" s="1"/>
  <c r="CR167" i="34"/>
  <c r="CW167" i="34"/>
  <c r="DA167" i="34" s="1" a="1"/>
  <c r="DA167" i="34" s="1"/>
  <c r="CX167" i="34"/>
  <c r="CZ167" i="34" a="1"/>
  <c r="CZ167" i="34" s="1"/>
  <c r="DC167" i="34"/>
  <c r="DD167" i="34"/>
  <c r="DF167" i="34" a="1"/>
  <c r="DF167" i="34" s="1"/>
  <c r="DG167" i="34" a="1"/>
  <c r="DG167" i="34"/>
  <c r="DI167" i="34"/>
  <c r="DM167" i="34" s="1" a="1"/>
  <c r="DM167" i="34" s="1"/>
  <c r="DJ167" i="34"/>
  <c r="DL167" i="34" a="1"/>
  <c r="DL167" i="34"/>
  <c r="DO167" i="34"/>
  <c r="DP167" i="34"/>
  <c r="DU167" i="34"/>
  <c r="DX167" i="34" s="1" a="1"/>
  <c r="DX167" i="34" s="1"/>
  <c r="DV167" i="34"/>
  <c r="EA167" i="34"/>
  <c r="ED167" i="34" s="1" a="1"/>
  <c r="ED167" i="34" s="1"/>
  <c r="EB167" i="34"/>
  <c r="EE167" i="34" a="1"/>
  <c r="EE167" i="34" s="1"/>
  <c r="BS168" i="34"/>
  <c r="BT168" i="34"/>
  <c r="BV168" i="34" a="1"/>
  <c r="BV168" i="34"/>
  <c r="BW168" i="34" a="1"/>
  <c r="BW168" i="34" s="1"/>
  <c r="BY168" i="34"/>
  <c r="BZ168" i="34"/>
  <c r="CB168" i="34" a="1"/>
  <c r="CB168" i="34" s="1"/>
  <c r="CC168" i="34" a="1"/>
  <c r="CC168" i="34" s="1"/>
  <c r="CE168" i="34"/>
  <c r="CI168" i="34" s="1" a="1"/>
  <c r="CI168" i="34" s="1"/>
  <c r="CF168" i="34"/>
  <c r="CH168" i="34" a="1"/>
  <c r="CH168" i="34" s="1"/>
  <c r="CK168" i="34"/>
  <c r="CL168" i="34"/>
  <c r="CN168" i="34" a="1"/>
  <c r="CN168" i="34" s="1"/>
  <c r="CO168" i="34" a="1"/>
  <c r="CO168" i="34" s="1"/>
  <c r="CQ168" i="34" a="1"/>
  <c r="CQ168" i="34" s="1"/>
  <c r="CR168" i="34"/>
  <c r="CW168" i="34"/>
  <c r="CZ168" i="34" s="1" a="1"/>
  <c r="CZ168" i="34" s="1"/>
  <c r="CX168" i="34"/>
  <c r="DC168" i="34"/>
  <c r="DF168" i="34" s="1" a="1"/>
  <c r="DF168" i="34" s="1"/>
  <c r="DD168" i="34"/>
  <c r="DI168" i="34"/>
  <c r="DM168" i="34" s="1" a="1"/>
  <c r="DM168" i="34" s="1"/>
  <c r="DJ168" i="34"/>
  <c r="DL168" i="34" a="1"/>
  <c r="DL168" i="34"/>
  <c r="DO168" i="34"/>
  <c r="DP168" i="34"/>
  <c r="DR168" i="34" a="1"/>
  <c r="DR168" i="34"/>
  <c r="DS168" i="34" a="1"/>
  <c r="DS168" i="34" s="1"/>
  <c r="DU168" i="34"/>
  <c r="DV168" i="34"/>
  <c r="DX168" i="34" s="1" a="1"/>
  <c r="DX168" i="34" s="1"/>
  <c r="DY168" i="34" a="1"/>
  <c r="DY168" i="34" s="1"/>
  <c r="EA168" i="34"/>
  <c r="EB168" i="34"/>
  <c r="BS169" i="34"/>
  <c r="BT169" i="34"/>
  <c r="BV169" i="34" s="1" a="1"/>
  <c r="BV169" i="34" s="1"/>
  <c r="BY169" i="34"/>
  <c r="BZ169" i="34"/>
  <c r="CB169" i="34" a="1"/>
  <c r="CB169" i="34" s="1"/>
  <c r="CC169" i="34" a="1"/>
  <c r="CC169" i="34"/>
  <c r="CE169" i="34"/>
  <c r="CH169" i="34" s="1" a="1"/>
  <c r="CH169" i="34" s="1"/>
  <c r="CF169" i="34"/>
  <c r="CK169" i="34"/>
  <c r="CN169" i="34" s="1" a="1"/>
  <c r="CN169" i="34" s="1"/>
  <c r="CL169" i="34"/>
  <c r="CQ169" i="34" a="1"/>
  <c r="CQ169" i="34" s="1"/>
  <c r="CU169" i="34" s="1" a="1"/>
  <c r="CU169" i="34" s="1"/>
  <c r="CR169" i="34"/>
  <c r="CW169" i="34"/>
  <c r="CX169" i="34"/>
  <c r="CZ169" i="34" a="1"/>
  <c r="CZ169" i="34" s="1"/>
  <c r="DA169" i="34" a="1"/>
  <c r="DA169" i="34" s="1"/>
  <c r="DC169" i="34"/>
  <c r="DG169" i="34" s="1" a="1"/>
  <c r="DG169" i="34" s="1"/>
  <c r="DD169" i="34"/>
  <c r="DF169" i="34" a="1"/>
  <c r="DF169" i="34"/>
  <c r="DI169" i="34"/>
  <c r="DJ169" i="34"/>
  <c r="DO169" i="34"/>
  <c r="DR169" i="34" s="1" a="1"/>
  <c r="DR169" i="34" s="1"/>
  <c r="DP169" i="34"/>
  <c r="DU169" i="34"/>
  <c r="DX169" i="34" s="1" a="1"/>
  <c r="DX169" i="34" s="1"/>
  <c r="DV169" i="34"/>
  <c r="DY169" i="34" a="1"/>
  <c r="DY169" i="34" s="1"/>
  <c r="EA169" i="34"/>
  <c r="EB169" i="34"/>
  <c r="ED169" i="34" a="1"/>
  <c r="ED169" i="34"/>
  <c r="EE169" i="34" a="1"/>
  <c r="EE169" i="34" s="1"/>
  <c r="BS170" i="34"/>
  <c r="BT170" i="34"/>
  <c r="BV170" i="34" a="1"/>
  <c r="BV170" i="34" s="1"/>
  <c r="BW170" i="34" a="1"/>
  <c r="BW170" i="34"/>
  <c r="BY170" i="34"/>
  <c r="CC170" i="34" s="1" a="1"/>
  <c r="CC170" i="34" s="1"/>
  <c r="BZ170" i="34"/>
  <c r="CB170" i="34" a="1"/>
  <c r="CB170" i="34" s="1"/>
  <c r="CE170" i="34"/>
  <c r="CF170" i="34"/>
  <c r="CH170" i="34" a="1"/>
  <c r="CH170" i="34" s="1"/>
  <c r="CI170" i="34" a="1"/>
  <c r="CI170" i="34" s="1"/>
  <c r="CK170" i="34"/>
  <c r="CO170" i="34" s="1" a="1"/>
  <c r="CO170" i="34" s="1"/>
  <c r="CL170" i="34"/>
  <c r="CN170" i="34" a="1"/>
  <c r="CN170" i="34" s="1"/>
  <c r="CQ170" i="34" a="1"/>
  <c r="CQ170" i="34" s="1"/>
  <c r="CR170" i="34"/>
  <c r="CW170" i="34"/>
  <c r="CZ170" i="34" s="1" a="1"/>
  <c r="CZ170" i="34" s="1"/>
  <c r="CX170" i="34"/>
  <c r="DC170" i="34"/>
  <c r="DG170" i="34" s="1" a="1"/>
  <c r="DG170" i="34" s="1"/>
  <c r="DD170" i="34"/>
  <c r="DF170" i="34" a="1"/>
  <c r="DF170" i="34"/>
  <c r="DI170" i="34"/>
  <c r="DJ170" i="34"/>
  <c r="DL170" i="34" a="1"/>
  <c r="DL170" i="34"/>
  <c r="DM170" i="34" a="1"/>
  <c r="DM170" i="34" s="1"/>
  <c r="DO170" i="34"/>
  <c r="DP170" i="34"/>
  <c r="DR170" i="34" s="1" a="1"/>
  <c r="DR170" i="34" s="1"/>
  <c r="DS170" i="34" a="1"/>
  <c r="DS170" i="34" s="1"/>
  <c r="DU170" i="34"/>
  <c r="DV170" i="34"/>
  <c r="EA170" i="34"/>
  <c r="EB170" i="34"/>
  <c r="ED170" i="34" s="1" a="1"/>
  <c r="ED170" i="34" s="1"/>
  <c r="BS171" i="34"/>
  <c r="BT171" i="34"/>
  <c r="BV171" i="34" a="1"/>
  <c r="BV171" i="34" s="1"/>
  <c r="BW171" i="34" a="1"/>
  <c r="BW171" i="34"/>
  <c r="BY171" i="34"/>
  <c r="CB171" i="34" s="1" a="1"/>
  <c r="CB171" i="34" s="1"/>
  <c r="BZ171" i="34"/>
  <c r="CE171" i="34"/>
  <c r="CH171" i="34" s="1" a="1"/>
  <c r="CH171" i="34" s="1"/>
  <c r="CF171" i="34"/>
  <c r="CK171" i="34"/>
  <c r="CO171" i="34" s="1" a="1"/>
  <c r="CO171" i="34" s="1"/>
  <c r="CL171" i="34"/>
  <c r="CN171" i="34" a="1"/>
  <c r="CN171" i="34"/>
  <c r="CQ171" i="34" a="1"/>
  <c r="CQ171" i="34"/>
  <c r="CR171" i="34"/>
  <c r="CT171" i="34" a="1"/>
  <c r="CT171" i="34" s="1"/>
  <c r="CU171" i="34" a="1"/>
  <c r="CU171" i="34" s="1"/>
  <c r="CW171" i="34"/>
  <c r="DA171" i="34" s="1" a="1"/>
  <c r="DA171" i="34" s="1"/>
  <c r="CX171" i="34"/>
  <c r="CZ171" i="34" a="1"/>
  <c r="CZ171" i="34"/>
  <c r="DC171" i="34"/>
  <c r="DD171" i="34"/>
  <c r="DI171" i="34"/>
  <c r="DL171" i="34" s="1" a="1"/>
  <c r="DL171" i="34" s="1"/>
  <c r="DJ171" i="34"/>
  <c r="DO171" i="34"/>
  <c r="DR171" i="34" s="1" a="1"/>
  <c r="DR171" i="34" s="1"/>
  <c r="DP171" i="34"/>
  <c r="DS171" i="34" a="1"/>
  <c r="DS171" i="34" s="1"/>
  <c r="DU171" i="34"/>
  <c r="DV171" i="34"/>
  <c r="DX171" i="34" a="1"/>
  <c r="DX171" i="34"/>
  <c r="DY171" i="34" a="1"/>
  <c r="DY171" i="34" s="1"/>
  <c r="EA171" i="34"/>
  <c r="EB171" i="34"/>
  <c r="ED171" i="34" a="1"/>
  <c r="ED171" i="34" s="1"/>
  <c r="EE171" i="34" a="1"/>
  <c r="EE171" i="34" s="1"/>
  <c r="BS172" i="34"/>
  <c r="BW172" i="34" s="1" a="1"/>
  <c r="BW172" i="34" s="1"/>
  <c r="BT172" i="34"/>
  <c r="BV172" i="34" a="1"/>
  <c r="BV172" i="34" s="1"/>
  <c r="BY172" i="34"/>
  <c r="BZ172" i="34"/>
  <c r="CB172" i="34" a="1"/>
  <c r="CB172" i="34" s="1"/>
  <c r="CC172" i="34" a="1"/>
  <c r="CC172" i="34" s="1"/>
  <c r="CE172" i="34"/>
  <c r="CI172" i="34" s="1" a="1"/>
  <c r="CI172" i="34" s="1"/>
  <c r="CF172" i="34"/>
  <c r="CH172" i="34" a="1"/>
  <c r="CH172" i="34" s="1"/>
  <c r="CK172" i="34"/>
  <c r="CL172" i="34"/>
  <c r="CQ172" i="34" a="1"/>
  <c r="CQ172" i="34" s="1"/>
  <c r="CR172" i="34"/>
  <c r="CW172" i="34"/>
  <c r="DA172" i="34" s="1" a="1"/>
  <c r="DA172" i="34" s="1"/>
  <c r="CX172" i="34"/>
  <c r="CZ172" i="34" a="1"/>
  <c r="CZ172" i="34"/>
  <c r="DC172" i="34"/>
  <c r="DD172" i="34"/>
  <c r="DF172" i="34" a="1"/>
  <c r="DF172" i="34"/>
  <c r="DG172" i="34" a="1"/>
  <c r="DG172" i="34" s="1"/>
  <c r="DI172" i="34"/>
  <c r="DJ172" i="34"/>
  <c r="DL172" i="34" s="1" a="1"/>
  <c r="DL172" i="34" s="1"/>
  <c r="DM172" i="34" a="1"/>
  <c r="DM172" i="34" s="1"/>
  <c r="DO172" i="34"/>
  <c r="DP172" i="34"/>
  <c r="DU172" i="34"/>
  <c r="DY172" i="34" s="1" a="1"/>
  <c r="DY172" i="34" s="1"/>
  <c r="DV172" i="34"/>
  <c r="DX172" i="34" s="1" a="1"/>
  <c r="DX172" i="34" s="1"/>
  <c r="EA172" i="34"/>
  <c r="EB172" i="34"/>
  <c r="ED172" i="34" s="1" a="1"/>
  <c r="ED172" i="34" s="1"/>
  <c r="EE172" i="34" a="1"/>
  <c r="EE172" i="34"/>
  <c r="BS173" i="34"/>
  <c r="BV173" i="34" s="1" a="1"/>
  <c r="BV173" i="34" s="1"/>
  <c r="BT173" i="34"/>
  <c r="BY173" i="34"/>
  <c r="CB173" i="34" s="1" a="1"/>
  <c r="CB173" i="34" s="1"/>
  <c r="BZ173" i="34"/>
  <c r="CE173" i="34"/>
  <c r="CI173" i="34" s="1" a="1"/>
  <c r="CI173" i="34" s="1"/>
  <c r="CF173" i="34"/>
  <c r="CH173" i="34" a="1"/>
  <c r="CH173" i="34"/>
  <c r="CK173" i="34"/>
  <c r="CL173" i="34"/>
  <c r="CN173" i="34" a="1"/>
  <c r="CN173" i="34"/>
  <c r="CO173" i="34" a="1"/>
  <c r="CO173" i="34" s="1"/>
  <c r="CQ173" i="34" a="1"/>
  <c r="CQ173" i="34"/>
  <c r="CU173" i="34" s="1" a="1"/>
  <c r="CU173" i="34" s="1"/>
  <c r="CR173" i="34"/>
  <c r="CT173" i="34" a="1"/>
  <c r="CT173" i="34" s="1"/>
  <c r="CW173" i="34"/>
  <c r="CX173" i="34"/>
  <c r="DC173" i="34"/>
  <c r="DF173" i="34" s="1" a="1"/>
  <c r="DF173" i="34" s="1"/>
  <c r="DD173" i="34"/>
  <c r="DI173" i="34"/>
  <c r="DL173" i="34" s="1" a="1"/>
  <c r="DL173" i="34" s="1"/>
  <c r="DJ173" i="34"/>
  <c r="DM173" i="34" a="1"/>
  <c r="DM173" i="34" s="1"/>
  <c r="DO173" i="34"/>
  <c r="DP173" i="34"/>
  <c r="DR173" i="34" a="1"/>
  <c r="DR173" i="34"/>
  <c r="DS173" i="34" a="1"/>
  <c r="DS173" i="34" s="1"/>
  <c r="DU173" i="34"/>
  <c r="DV173" i="34"/>
  <c r="DX173" i="34" a="1"/>
  <c r="DX173" i="34" s="1"/>
  <c r="DY173" i="34" a="1"/>
  <c r="DY173" i="34" s="1"/>
  <c r="EA173" i="34"/>
  <c r="EE173" i="34" s="1" a="1"/>
  <c r="EE173" i="34" s="1"/>
  <c r="EB173" i="34"/>
  <c r="ED173" i="34" a="1"/>
  <c r="ED173" i="34" s="1"/>
  <c r="BS174" i="34"/>
  <c r="BT174" i="34"/>
  <c r="BV174" i="34" a="1"/>
  <c r="BV174" i="34" s="1"/>
  <c r="BW174" i="34" a="1"/>
  <c r="BW174" i="34" s="1"/>
  <c r="BY174" i="34"/>
  <c r="CC174" i="34" s="1" a="1"/>
  <c r="CC174" i="34" s="1"/>
  <c r="BZ174" i="34"/>
  <c r="CB174" i="34" a="1"/>
  <c r="CB174" i="34" s="1"/>
  <c r="CE174" i="34"/>
  <c r="CF174" i="34"/>
  <c r="CK174" i="34"/>
  <c r="CN174" i="34" s="1" a="1"/>
  <c r="CN174" i="34" s="1"/>
  <c r="CL174" i="34"/>
  <c r="CQ174" i="34" a="1"/>
  <c r="CQ174" i="34" s="1"/>
  <c r="CR174" i="34"/>
  <c r="CW174" i="34"/>
  <c r="CX174" i="34"/>
  <c r="CZ174" i="34" a="1"/>
  <c r="CZ174" i="34"/>
  <c r="DA174" i="34" a="1"/>
  <c r="DA174" i="34" s="1"/>
  <c r="DC174" i="34"/>
  <c r="DD174" i="34"/>
  <c r="DF174" i="34" s="1" a="1"/>
  <c r="DF174" i="34" s="1"/>
  <c r="DG174" i="34" a="1"/>
  <c r="DG174" i="34" s="1"/>
  <c r="DI174" i="34"/>
  <c r="DJ174" i="34"/>
  <c r="DO174" i="34"/>
  <c r="DS174" i="34" s="1" a="1"/>
  <c r="DS174" i="34" s="1"/>
  <c r="DP174" i="34"/>
  <c r="DR174" i="34" s="1" a="1"/>
  <c r="DR174" i="34" s="1"/>
  <c r="DU174" i="34"/>
  <c r="DV174" i="34"/>
  <c r="DX174" i="34" s="1" a="1"/>
  <c r="DX174" i="34" s="1"/>
  <c r="DY174" i="34" a="1"/>
  <c r="DY174" i="34"/>
  <c r="EA174" i="34"/>
  <c r="ED174" i="34" s="1" a="1"/>
  <c r="ED174" i="34" s="1"/>
  <c r="EB174" i="34"/>
  <c r="BS175" i="34"/>
  <c r="BV175" i="34" s="1" a="1"/>
  <c r="BV175" i="34" s="1"/>
  <c r="BT175" i="34"/>
  <c r="BY175" i="34"/>
  <c r="CC175" i="34" s="1" a="1"/>
  <c r="CC175" i="34" s="1"/>
  <c r="BZ175" i="34"/>
  <c r="CB175" i="34" a="1"/>
  <c r="CB175" i="34"/>
  <c r="CE175" i="34"/>
  <c r="CF175" i="34"/>
  <c r="CH175" i="34" a="1"/>
  <c r="CH175" i="34"/>
  <c r="CI175" i="34" a="1"/>
  <c r="CI175" i="34" s="1"/>
  <c r="CK175" i="34"/>
  <c r="CL175" i="34"/>
  <c r="CN175" i="34" s="1" a="1"/>
  <c r="CN175" i="34" s="1"/>
  <c r="CO175" i="34" a="1"/>
  <c r="CO175" i="34" s="1"/>
  <c r="CQ175" i="34" a="1"/>
  <c r="CQ175" i="34"/>
  <c r="CR175" i="34"/>
  <c r="CW175" i="34"/>
  <c r="CZ175" i="34" s="1" a="1"/>
  <c r="CZ175" i="34" s="1"/>
  <c r="CX175" i="34"/>
  <c r="DC175" i="34"/>
  <c r="DF175" i="34" s="1" a="1"/>
  <c r="DF175" i="34" s="1"/>
  <c r="DD175" i="34"/>
  <c r="DG175" i="34" a="1"/>
  <c r="DG175" i="34" s="1"/>
  <c r="DI175" i="34"/>
  <c r="DJ175" i="34"/>
  <c r="DL175" i="34" a="1"/>
  <c r="DL175" i="34"/>
  <c r="DM175" i="34" a="1"/>
  <c r="DM175" i="34" s="1"/>
  <c r="DO175" i="34"/>
  <c r="DP175" i="34"/>
  <c r="DR175" i="34" a="1"/>
  <c r="DR175" i="34" s="1"/>
  <c r="DS175" i="34" a="1"/>
  <c r="DS175" i="34" s="1"/>
  <c r="DU175" i="34"/>
  <c r="DY175" i="34" s="1" a="1"/>
  <c r="DY175" i="34" s="1"/>
  <c r="DV175" i="34"/>
  <c r="DX175" i="34" a="1"/>
  <c r="DX175" i="34" s="1"/>
  <c r="EA175" i="34"/>
  <c r="EB175" i="34"/>
  <c r="EE175" i="34" s="1" a="1"/>
  <c r="EE175" i="34" s="1"/>
  <c r="ED175" i="34" a="1"/>
  <c r="ED175" i="34" s="1"/>
  <c r="BS176" i="34"/>
  <c r="BW176" i="34" s="1" a="1"/>
  <c r="BW176" i="34" s="1"/>
  <c r="BT176" i="34"/>
  <c r="BV176" i="34" a="1"/>
  <c r="BV176" i="34" s="1"/>
  <c r="BY176" i="34"/>
  <c r="BZ176" i="34"/>
  <c r="CE176" i="34"/>
  <c r="CH176" i="34" s="1" a="1"/>
  <c r="CH176" i="34" s="1"/>
  <c r="CF176" i="34"/>
  <c r="CK176" i="34"/>
  <c r="CN176" i="34" s="1" a="1"/>
  <c r="CN176" i="34" s="1"/>
  <c r="CL176" i="34"/>
  <c r="CO176" i="34" a="1"/>
  <c r="CO176" i="34" s="1"/>
  <c r="CQ176" i="34" a="1"/>
  <c r="CQ176" i="34" s="1"/>
  <c r="CR176" i="34"/>
  <c r="CW176" i="34"/>
  <c r="CX176" i="34"/>
  <c r="CZ176" i="34" s="1" a="1"/>
  <c r="CZ176" i="34" s="1"/>
  <c r="DA176" i="34" a="1"/>
  <c r="DA176" i="34" s="1"/>
  <c r="DC176" i="34"/>
  <c r="DD176" i="34"/>
  <c r="DI176" i="34"/>
  <c r="DM176" i="34" s="1" a="1"/>
  <c r="DM176" i="34" s="1"/>
  <c r="DJ176" i="34"/>
  <c r="DL176" i="34" s="1" a="1"/>
  <c r="DL176" i="34" s="1"/>
  <c r="DO176" i="34"/>
  <c r="DP176" i="34"/>
  <c r="DR176" i="34" s="1" a="1"/>
  <c r="DR176" i="34" s="1"/>
  <c r="DS176" i="34" a="1"/>
  <c r="DS176" i="34"/>
  <c r="DU176" i="34"/>
  <c r="DX176" i="34" s="1" a="1"/>
  <c r="DX176" i="34" s="1"/>
  <c r="DV176" i="34"/>
  <c r="EA176" i="34"/>
  <c r="ED176" i="34" s="1" a="1"/>
  <c r="ED176" i="34" s="1"/>
  <c r="EB176" i="34"/>
  <c r="BS177" i="34"/>
  <c r="BW177" i="34" s="1" a="1"/>
  <c r="BW177" i="34" s="1"/>
  <c r="BT177" i="34"/>
  <c r="BV177" i="34" a="1"/>
  <c r="BV177" i="34"/>
  <c r="BY177" i="34"/>
  <c r="BZ177" i="34"/>
  <c r="CB177" i="34" a="1"/>
  <c r="CB177" i="34"/>
  <c r="CC177" i="34" a="1"/>
  <c r="CC177" i="34" s="1"/>
  <c r="CE177" i="34"/>
  <c r="CF177" i="34"/>
  <c r="CH177" i="34" a="1"/>
  <c r="CH177" i="34"/>
  <c r="CI177" i="34" a="1"/>
  <c r="CI177" i="34" s="1"/>
  <c r="CK177" i="34"/>
  <c r="CL177" i="34"/>
  <c r="CQ177" i="34" a="1"/>
  <c r="CQ177" i="34"/>
  <c r="CT177" i="34" s="1" a="1"/>
  <c r="CT177" i="34" s="1"/>
  <c r="CR177" i="34"/>
  <c r="CW177" i="34"/>
  <c r="CZ177" i="34" s="1" a="1"/>
  <c r="CZ177" i="34" s="1"/>
  <c r="CX177" i="34"/>
  <c r="DA177" i="34" a="1"/>
  <c r="DA177" i="34" s="1"/>
  <c r="DC177" i="34"/>
  <c r="DD177" i="34"/>
  <c r="DF177" i="34" a="1"/>
  <c r="DF177" i="34"/>
  <c r="DG177" i="34" a="1"/>
  <c r="DG177" i="34" s="1"/>
  <c r="DI177" i="34"/>
  <c r="DJ177" i="34"/>
  <c r="DL177" i="34" a="1"/>
  <c r="DL177" i="34"/>
  <c r="DM177" i="34" a="1"/>
  <c r="DM177" i="34"/>
  <c r="DO177" i="34"/>
  <c r="DS177" i="34" s="1" a="1"/>
  <c r="DS177" i="34" s="1"/>
  <c r="DP177" i="34"/>
  <c r="DR177" i="34" a="1"/>
  <c r="DR177" i="34" s="1"/>
  <c r="DU177" i="34"/>
  <c r="DV177" i="34"/>
  <c r="DY177" i="34" s="1" a="1"/>
  <c r="DY177" i="34" s="1"/>
  <c r="DX177" i="34" a="1"/>
  <c r="DX177" i="34" s="1"/>
  <c r="EA177" i="34"/>
  <c r="EE177" i="34" s="1" a="1"/>
  <c r="EE177" i="34" s="1"/>
  <c r="EB177" i="34"/>
  <c r="ED177" i="34" a="1"/>
  <c r="ED177" i="34" s="1"/>
  <c r="BS178" i="34"/>
  <c r="BT178" i="34"/>
  <c r="BY178" i="34"/>
  <c r="CB178" i="34" s="1" a="1"/>
  <c r="CB178" i="34" s="1"/>
  <c r="BZ178" i="34"/>
  <c r="CE178" i="34"/>
  <c r="CH178" i="34" s="1" a="1"/>
  <c r="CH178" i="34" s="1"/>
  <c r="CF178" i="34"/>
  <c r="CI178" i="34" a="1"/>
  <c r="CI178" i="34" s="1"/>
  <c r="CK178" i="34"/>
  <c r="CL178" i="34"/>
  <c r="CN178" i="34" a="1"/>
  <c r="CN178" i="34"/>
  <c r="CO178" i="34" a="1"/>
  <c r="CO178" i="34" s="1"/>
  <c r="CQ178" i="34" a="1"/>
  <c r="CQ178" i="34" s="1"/>
  <c r="CR178" i="34"/>
  <c r="CW178" i="34"/>
  <c r="CX178" i="34"/>
  <c r="DC178" i="34"/>
  <c r="DG178" i="34" s="1" a="1"/>
  <c r="DG178" i="34" s="1"/>
  <c r="DD178" i="34"/>
  <c r="DF178" i="34" s="1" a="1"/>
  <c r="DF178" i="34" s="1"/>
  <c r="DI178" i="34"/>
  <c r="DJ178" i="34"/>
  <c r="DL178" i="34" a="1"/>
  <c r="DL178" i="34" s="1"/>
  <c r="DM178" i="34" a="1"/>
  <c r="DM178" i="34"/>
  <c r="DO178" i="34"/>
  <c r="DR178" i="34" s="1" a="1"/>
  <c r="DR178" i="34" s="1"/>
  <c r="DP178" i="34"/>
  <c r="DU178" i="34"/>
  <c r="DX178" i="34" s="1" a="1"/>
  <c r="DX178" i="34" s="1"/>
  <c r="DV178" i="34"/>
  <c r="EA178" i="34"/>
  <c r="EE178" i="34" s="1" a="1"/>
  <c r="EE178" i="34" s="1"/>
  <c r="EB178" i="34"/>
  <c r="ED178" i="34" a="1"/>
  <c r="ED178" i="34"/>
  <c r="BS179" i="34"/>
  <c r="BT179" i="34"/>
  <c r="BV179" i="34" a="1"/>
  <c r="BV179" i="34"/>
  <c r="BW179" i="34" a="1"/>
  <c r="BW179" i="34" s="1"/>
  <c r="BY179" i="34"/>
  <c r="BZ179" i="34"/>
  <c r="CB179" i="34" a="1"/>
  <c r="CB179" i="34"/>
  <c r="CC179" i="34" a="1"/>
  <c r="CC179" i="34" s="1"/>
  <c r="CE179" i="34"/>
  <c r="CF179" i="34"/>
  <c r="CK179" i="34"/>
  <c r="CO179" i="34" s="1" a="1"/>
  <c r="CO179" i="34" s="1"/>
  <c r="CL179" i="34"/>
  <c r="CN179" i="34" s="1" a="1"/>
  <c r="CN179" i="34" s="1"/>
  <c r="CQ179" i="34" a="1"/>
  <c r="CQ179" i="34"/>
  <c r="CT179" i="34" s="1" a="1"/>
  <c r="CT179" i="34" s="1"/>
  <c r="CR179" i="34"/>
  <c r="CU179" i="34" a="1"/>
  <c r="CU179" i="34" s="1"/>
  <c r="CW179" i="34"/>
  <c r="CX179" i="34"/>
  <c r="CZ179" i="34" a="1"/>
  <c r="CZ179" i="34"/>
  <c r="DA179" i="34" a="1"/>
  <c r="DA179" i="34" s="1"/>
  <c r="DC179" i="34"/>
  <c r="DD179" i="34"/>
  <c r="DF179" i="34" a="1"/>
  <c r="DF179" i="34"/>
  <c r="DG179" i="34" a="1"/>
  <c r="DG179" i="34"/>
  <c r="DI179" i="34"/>
  <c r="DM179" i="34" s="1" a="1"/>
  <c r="DM179" i="34" s="1"/>
  <c r="DJ179" i="34"/>
  <c r="DL179" i="34" a="1"/>
  <c r="DL179" i="34" s="1"/>
  <c r="DO179" i="34"/>
  <c r="DS179" i="34" s="1" a="1"/>
  <c r="DS179" i="34" s="1"/>
  <c r="DP179" i="34"/>
  <c r="DR179" i="34" a="1"/>
  <c r="DR179" i="34" s="1"/>
  <c r="DU179" i="34"/>
  <c r="DY179" i="34" s="1" a="1"/>
  <c r="DY179" i="34" s="1"/>
  <c r="DV179" i="34"/>
  <c r="DX179" i="34" a="1"/>
  <c r="DX179" i="34"/>
  <c r="EA179" i="34"/>
  <c r="EB179" i="34"/>
  <c r="BS180" i="34"/>
  <c r="BV180" i="34" s="1" a="1"/>
  <c r="BV180" i="34" s="1"/>
  <c r="BT180" i="34"/>
  <c r="BY180" i="34"/>
  <c r="CB180" i="34" s="1" a="1"/>
  <c r="CB180" i="34" s="1"/>
  <c r="BZ180" i="34"/>
  <c r="CC180" i="34" a="1"/>
  <c r="CC180" i="34" s="1"/>
  <c r="CE180" i="34"/>
  <c r="CF180" i="34"/>
  <c r="CH180" i="34" a="1"/>
  <c r="CH180" i="34"/>
  <c r="CI180" i="34" a="1"/>
  <c r="CI180" i="34" s="1"/>
  <c r="CK180" i="34"/>
  <c r="CL180" i="34"/>
  <c r="CN180" i="34" a="1"/>
  <c r="CN180" i="34" s="1"/>
  <c r="CO180" i="34" a="1"/>
  <c r="CO180" i="34" s="1"/>
  <c r="CQ180" i="34" a="1"/>
  <c r="CQ180" i="34"/>
  <c r="CT180" i="34" s="1" a="1"/>
  <c r="CT180" i="34" s="1"/>
  <c r="CR180" i="34"/>
  <c r="CW180" i="34"/>
  <c r="DA180" i="34" s="1" a="1"/>
  <c r="DA180" i="34" s="1"/>
  <c r="CX180" i="34"/>
  <c r="CZ180" i="34" s="1" a="1"/>
  <c r="CZ180" i="34" s="1"/>
  <c r="DC180" i="34"/>
  <c r="DD180" i="34"/>
  <c r="DF180" i="34" s="1" a="1"/>
  <c r="DF180" i="34" s="1"/>
  <c r="DG180" i="34" a="1"/>
  <c r="DG180" i="34"/>
  <c r="DI180" i="34"/>
  <c r="DL180" i="34" s="1" a="1"/>
  <c r="DL180" i="34" s="1"/>
  <c r="DJ180" i="34"/>
  <c r="DO180" i="34"/>
  <c r="DR180" i="34" s="1" a="1"/>
  <c r="DR180" i="34" s="1"/>
  <c r="DP180" i="34"/>
  <c r="DU180" i="34"/>
  <c r="DY180" i="34" s="1" a="1"/>
  <c r="DY180" i="34" s="1"/>
  <c r="DV180" i="34"/>
  <c r="DX180" i="34" a="1"/>
  <c r="DX180" i="34"/>
  <c r="EA180" i="34"/>
  <c r="EB180" i="34"/>
  <c r="ED180" i="34" a="1"/>
  <c r="ED180" i="34"/>
  <c r="EE180" i="34" a="1"/>
  <c r="EE180" i="34" s="1"/>
  <c r="BS181" i="34"/>
  <c r="BT181" i="34"/>
  <c r="BV181" i="34" a="1"/>
  <c r="BV181" i="34"/>
  <c r="BW181" i="34" a="1"/>
  <c r="BW181" i="34" s="1"/>
  <c r="BY181" i="34"/>
  <c r="BZ181" i="34"/>
  <c r="CE181" i="34"/>
  <c r="CI181" i="34" s="1" a="1"/>
  <c r="CI181" i="34" s="1"/>
  <c r="CF181" i="34"/>
  <c r="CH181" i="34" s="1" a="1"/>
  <c r="CH181" i="34" s="1"/>
  <c r="CK181" i="34"/>
  <c r="CL181" i="34"/>
  <c r="CN181" i="34" a="1"/>
  <c r="CN181" i="34" s="1"/>
  <c r="CO181" i="34" a="1"/>
  <c r="CO181" i="34"/>
  <c r="CQ181" i="34" a="1"/>
  <c r="CQ181" i="34" s="1"/>
  <c r="CR181" i="34"/>
  <c r="CW181" i="34"/>
  <c r="CX181" i="34"/>
  <c r="CZ181" i="34" a="1"/>
  <c r="CZ181" i="34"/>
  <c r="DA181" i="34" a="1"/>
  <c r="DA181" i="34"/>
  <c r="DC181" i="34"/>
  <c r="DG181" i="34" s="1" a="1"/>
  <c r="DG181" i="34" s="1"/>
  <c r="DD181" i="34"/>
  <c r="DF181" i="34" a="1"/>
  <c r="DF181" i="34" s="1"/>
  <c r="DI181" i="34"/>
  <c r="DM181" i="34" s="1" a="1"/>
  <c r="DM181" i="34" s="1"/>
  <c r="DJ181" i="34"/>
  <c r="DL181" i="34" a="1"/>
  <c r="DL181" i="34" s="1"/>
  <c r="DO181" i="34"/>
  <c r="DS181" i="34" s="1" a="1"/>
  <c r="DS181" i="34" s="1"/>
  <c r="DP181" i="34"/>
  <c r="DR181" i="34" a="1"/>
  <c r="DR181" i="34"/>
  <c r="DU181" i="34"/>
  <c r="DV181" i="34"/>
  <c r="EA181" i="34"/>
  <c r="ED181" i="34" s="1" a="1"/>
  <c r="ED181" i="34" s="1"/>
  <c r="EB181" i="34"/>
  <c r="BS182" i="34"/>
  <c r="BV182" i="34" s="1" a="1"/>
  <c r="BV182" i="34" s="1"/>
  <c r="BT182" i="34"/>
  <c r="BW182" i="34" a="1"/>
  <c r="BW182" i="34" s="1"/>
  <c r="BY182" i="34"/>
  <c r="BZ182" i="34"/>
  <c r="CB182" i="34" a="1"/>
  <c r="CB182" i="34"/>
  <c r="CC182" i="34" a="1"/>
  <c r="CC182" i="34" s="1"/>
  <c r="CE182" i="34"/>
  <c r="CF182" i="34"/>
  <c r="CH182" i="34" a="1"/>
  <c r="CH182" i="34" s="1"/>
  <c r="CI182" i="34" a="1"/>
  <c r="CI182" i="34" s="1"/>
  <c r="CK182" i="34"/>
  <c r="CO182" i="34" s="1" a="1"/>
  <c r="CO182" i="34" s="1"/>
  <c r="CL182" i="34"/>
  <c r="CN182" i="34" a="1"/>
  <c r="CN182" i="34" s="1"/>
  <c r="CQ182" i="34" a="1"/>
  <c r="CQ182" i="34"/>
  <c r="CU182" i="34" s="1" a="1"/>
  <c r="CU182" i="34" s="1"/>
  <c r="CR182" i="34"/>
  <c r="CT182" i="34" s="1" a="1"/>
  <c r="CT182" i="34" s="1"/>
  <c r="CW182" i="34"/>
  <c r="CX182" i="34"/>
  <c r="CZ182" i="34" s="1" a="1"/>
  <c r="CZ182" i="34" s="1"/>
  <c r="DA182" i="34" a="1"/>
  <c r="DA182" i="34"/>
  <c r="DC182" i="34"/>
  <c r="DF182" i="34" s="1" a="1"/>
  <c r="DF182" i="34" s="1"/>
  <c r="DD182" i="34"/>
  <c r="DI182" i="34"/>
  <c r="DL182" i="34" s="1" a="1"/>
  <c r="DL182" i="34" s="1"/>
  <c r="DJ182" i="34"/>
  <c r="DO182" i="34"/>
  <c r="DS182" i="34" s="1" a="1"/>
  <c r="DS182" i="34" s="1"/>
  <c r="DP182" i="34"/>
  <c r="DR182" i="34" a="1"/>
  <c r="DR182" i="34"/>
  <c r="DU182" i="34"/>
  <c r="DV182" i="34"/>
  <c r="DX182" i="34" a="1"/>
  <c r="DX182" i="34"/>
  <c r="DY182" i="34" a="1"/>
  <c r="DY182" i="34" s="1"/>
  <c r="EA182" i="34"/>
  <c r="EB182" i="34"/>
  <c r="ED182" i="34" s="1" a="1"/>
  <c r="ED182" i="34" s="1"/>
  <c r="EE182" i="34" a="1"/>
  <c r="EE182" i="34" s="1"/>
  <c r="BS183" i="34"/>
  <c r="BT183" i="34"/>
  <c r="BY183" i="34"/>
  <c r="CC183" i="34" s="1" a="1"/>
  <c r="CC183" i="34" s="1"/>
  <c r="BZ183" i="34"/>
  <c r="CB183" i="34" s="1" a="1"/>
  <c r="CB183" i="34" s="1"/>
  <c r="CE183" i="34"/>
  <c r="CF183" i="34"/>
  <c r="CH183" i="34" a="1"/>
  <c r="CH183" i="34" s="1"/>
  <c r="CI183" i="34" a="1"/>
  <c r="CI183" i="34"/>
  <c r="CK183" i="34"/>
  <c r="CN183" i="34" s="1" a="1"/>
  <c r="CN183" i="34" s="1"/>
  <c r="CL183" i="34"/>
  <c r="CQ183" i="34" a="1"/>
  <c r="CQ183" i="34" s="1"/>
  <c r="CR183" i="34"/>
  <c r="CW183" i="34"/>
  <c r="DA183" i="34" s="1" a="1"/>
  <c r="DA183" i="34" s="1"/>
  <c r="CX183" i="34"/>
  <c r="CZ183" i="34" a="1"/>
  <c r="CZ183" i="34" s="1"/>
  <c r="DC183" i="34"/>
  <c r="DG183" i="34" s="1" a="1"/>
  <c r="DG183" i="34" s="1"/>
  <c r="DD183" i="34"/>
  <c r="DF183" i="34" a="1"/>
  <c r="DF183" i="34" s="1"/>
  <c r="DI183" i="34"/>
  <c r="DM183" i="34" s="1" a="1"/>
  <c r="DM183" i="34" s="1"/>
  <c r="DJ183" i="34"/>
  <c r="DL183" i="34" a="1"/>
  <c r="DL183" i="34" s="1"/>
  <c r="DO183" i="34"/>
  <c r="DP183" i="34"/>
  <c r="DU183" i="34"/>
  <c r="DX183" i="34" s="1" a="1"/>
  <c r="DX183" i="34" s="1"/>
  <c r="DV183" i="34"/>
  <c r="EA183" i="34"/>
  <c r="ED183" i="34" s="1" a="1"/>
  <c r="ED183" i="34" s="1"/>
  <c r="EB183" i="34"/>
  <c r="EE183" i="34" a="1"/>
  <c r="EE183" i="34" s="1"/>
  <c r="BS184" i="34"/>
  <c r="BT184" i="34"/>
  <c r="BV184" i="34" a="1"/>
  <c r="BV184" i="34"/>
  <c r="BW184" i="34" a="1"/>
  <c r="BW184" i="34" s="1"/>
  <c r="BY184" i="34"/>
  <c r="BZ184" i="34"/>
  <c r="CB184" i="34" a="1"/>
  <c r="CB184" i="34" s="1"/>
  <c r="CC184" i="34" a="1"/>
  <c r="CC184" i="34" s="1"/>
  <c r="CE184" i="34"/>
  <c r="CI184" i="34" s="1" a="1"/>
  <c r="CI184" i="34" s="1"/>
  <c r="CF184" i="34"/>
  <c r="CH184" i="34" a="1"/>
  <c r="CH184" i="34" s="1"/>
  <c r="CK184" i="34"/>
  <c r="CO184" i="34" s="1" a="1"/>
  <c r="CO184" i="34" s="1"/>
  <c r="CL184" i="34"/>
  <c r="CN184" i="34" a="1"/>
  <c r="CN184" i="34" s="1"/>
  <c r="CQ184" i="34" a="1"/>
  <c r="CQ184" i="34" s="1"/>
  <c r="CR184" i="34"/>
  <c r="CW184" i="34"/>
  <c r="CZ184" i="34" s="1" a="1"/>
  <c r="CZ184" i="34" s="1"/>
  <c r="CX184" i="34"/>
  <c r="DC184" i="34"/>
  <c r="DF184" i="34" s="1" a="1"/>
  <c r="DF184" i="34" s="1"/>
  <c r="DD184" i="34"/>
  <c r="DI184" i="34"/>
  <c r="DM184" i="34" s="1" a="1"/>
  <c r="DM184" i="34" s="1"/>
  <c r="DJ184" i="34"/>
  <c r="DL184" i="34" a="1"/>
  <c r="DL184" i="34"/>
  <c r="DO184" i="34"/>
  <c r="DP184" i="34"/>
  <c r="DR184" i="34" a="1"/>
  <c r="DR184" i="34"/>
  <c r="DS184" i="34" a="1"/>
  <c r="DS184" i="34" s="1"/>
  <c r="DU184" i="34"/>
  <c r="DV184" i="34"/>
  <c r="DX184" i="34" s="1" a="1"/>
  <c r="DX184" i="34" s="1"/>
  <c r="DY184" i="34" a="1"/>
  <c r="DY184" i="34" s="1"/>
  <c r="EA184" i="34"/>
  <c r="ED184" i="34" s="1" a="1"/>
  <c r="ED184" i="34" s="1"/>
  <c r="EB184" i="34"/>
  <c r="BS185" i="34"/>
  <c r="BW185" i="34" s="1" a="1"/>
  <c r="BW185" i="34" s="1"/>
  <c r="BT185" i="34"/>
  <c r="BV185" i="34" s="1" a="1"/>
  <c r="BV185" i="34" s="1"/>
  <c r="BY185" i="34"/>
  <c r="BZ185" i="34"/>
  <c r="CB185" i="34" a="1"/>
  <c r="CB185" i="34" s="1"/>
  <c r="CC185" i="34" a="1"/>
  <c r="CC185" i="34"/>
  <c r="CE185" i="34"/>
  <c r="CH185" i="34" s="1" a="1"/>
  <c r="CH185" i="34" s="1"/>
  <c r="CF185" i="34"/>
  <c r="CK185" i="34"/>
  <c r="CN185" i="34" s="1" a="1"/>
  <c r="CN185" i="34" s="1"/>
  <c r="CL185" i="34"/>
  <c r="CQ185" i="34" a="1"/>
  <c r="CQ185" i="34" s="1"/>
  <c r="CU185" i="34" s="1" a="1"/>
  <c r="CU185" i="34" s="1"/>
  <c r="CR185" i="34"/>
  <c r="CT185" i="34" a="1"/>
  <c r="CT185" i="34" s="1"/>
  <c r="CW185" i="34"/>
  <c r="DA185" i="34" s="1" a="1"/>
  <c r="DA185" i="34" s="1"/>
  <c r="CX185" i="34"/>
  <c r="CZ185" i="34" a="1"/>
  <c r="CZ185" i="34" s="1"/>
  <c r="DC185" i="34"/>
  <c r="DG185" i="34" s="1" a="1"/>
  <c r="DG185" i="34" s="1"/>
  <c r="DD185" i="34"/>
  <c r="DF185" i="34" a="1"/>
  <c r="DF185" i="34"/>
  <c r="DI185" i="34"/>
  <c r="DJ185" i="34"/>
  <c r="DO185" i="34"/>
  <c r="DR185" i="34" s="1" a="1"/>
  <c r="DR185" i="34" s="1"/>
  <c r="DP185" i="34"/>
  <c r="DU185" i="34"/>
  <c r="DX185" i="34" s="1" a="1"/>
  <c r="DX185" i="34" s="1"/>
  <c r="DV185" i="34"/>
  <c r="DY185" i="34" a="1"/>
  <c r="DY185" i="34" s="1"/>
  <c r="EA185" i="34"/>
  <c r="EB185" i="34"/>
  <c r="ED185" i="34" a="1"/>
  <c r="ED185" i="34"/>
  <c r="EE185" i="34" a="1"/>
  <c r="EE185" i="34" s="1"/>
  <c r="BS186" i="34"/>
  <c r="BT186" i="34"/>
  <c r="BV186" i="34" a="1"/>
  <c r="BV186" i="34" s="1"/>
  <c r="BW186" i="34" a="1"/>
  <c r="BW186" i="34" s="1"/>
  <c r="BY186" i="34"/>
  <c r="CC186" i="34" s="1" a="1"/>
  <c r="CC186" i="34" s="1"/>
  <c r="BZ186" i="34"/>
  <c r="CB186" i="34" a="1"/>
  <c r="CB186" i="34" s="1"/>
  <c r="CE186" i="34"/>
  <c r="CI186" i="34" s="1" a="1"/>
  <c r="CI186" i="34" s="1"/>
  <c r="CF186" i="34"/>
  <c r="CH186" i="34" a="1"/>
  <c r="CH186" i="34" s="1"/>
  <c r="CK186" i="34"/>
  <c r="CO186" i="34" s="1" a="1"/>
  <c r="CO186" i="34" s="1"/>
  <c r="CL186" i="34"/>
  <c r="CN186" i="34" a="1"/>
  <c r="CN186" i="34" s="1"/>
  <c r="CQ186" i="34" a="1"/>
  <c r="CQ186" i="34" s="1"/>
  <c r="CR186" i="34"/>
  <c r="CW186" i="34"/>
  <c r="CZ186" i="34" s="1" a="1"/>
  <c r="CZ186" i="34" s="1"/>
  <c r="CX186" i="34"/>
  <c r="DC186" i="34"/>
  <c r="DG186" i="34" s="1" a="1"/>
  <c r="DG186" i="34" s="1"/>
  <c r="DD186" i="34"/>
  <c r="DF186" i="34" a="1"/>
  <c r="DF186" i="34"/>
  <c r="DI186" i="34"/>
  <c r="DJ186" i="34"/>
  <c r="DL186" i="34" a="1"/>
  <c r="DL186" i="34"/>
  <c r="DM186" i="34" a="1"/>
  <c r="DM186" i="34" s="1"/>
  <c r="DO186" i="34"/>
  <c r="DP186" i="34"/>
  <c r="DR186" i="34" a="1"/>
  <c r="DR186" i="34"/>
  <c r="DS186" i="34" a="1"/>
  <c r="DS186" i="34" s="1"/>
  <c r="DU186" i="34"/>
  <c r="DX186" i="34" s="1" a="1"/>
  <c r="DX186" i="34" s="1"/>
  <c r="DV186" i="34"/>
  <c r="EA186" i="34"/>
  <c r="EE186" i="34" s="1" a="1"/>
  <c r="EE186" i="34" s="1"/>
  <c r="EB186" i="34"/>
  <c r="ED186" i="34" s="1" a="1"/>
  <c r="ED186" i="34" s="1"/>
  <c r="BS187" i="34"/>
  <c r="BT187" i="34"/>
  <c r="BV187" i="34" s="1" a="1"/>
  <c r="BV187" i="34" s="1"/>
  <c r="BW187" i="34" a="1"/>
  <c r="BW187" i="34"/>
  <c r="BY187" i="34"/>
  <c r="CB187" i="34" s="1" a="1"/>
  <c r="CB187" i="34" s="1"/>
  <c r="BZ187" i="34"/>
  <c r="CE187" i="34"/>
  <c r="CH187" i="34" s="1" a="1"/>
  <c r="CH187" i="34" s="1"/>
  <c r="CF187" i="34"/>
  <c r="CK187" i="34"/>
  <c r="CO187" i="34" s="1" a="1"/>
  <c r="CO187" i="34" s="1"/>
  <c r="CL187" i="34"/>
  <c r="CN187" i="34" a="1"/>
  <c r="CN187" i="34"/>
  <c r="CQ187" i="34" a="1"/>
  <c r="CQ187" i="34"/>
  <c r="CU187" i="34" s="1" a="1"/>
  <c r="CU187" i="34" s="1"/>
  <c r="CR187" i="34"/>
  <c r="CT187" i="34" a="1"/>
  <c r="CT187" i="34" s="1"/>
  <c r="CW187" i="34"/>
  <c r="DA187" i="34" s="1" a="1"/>
  <c r="DA187" i="34" s="1"/>
  <c r="CX187" i="34"/>
  <c r="CZ187" i="34" a="1"/>
  <c r="CZ187" i="34" s="1"/>
  <c r="DC187" i="34"/>
  <c r="DD187" i="34"/>
  <c r="DI187" i="34"/>
  <c r="DL187" i="34" s="1" a="1"/>
  <c r="DL187" i="34" s="1"/>
  <c r="DJ187" i="34"/>
  <c r="DO187" i="34"/>
  <c r="DR187" i="34" s="1" a="1"/>
  <c r="DR187" i="34" s="1"/>
  <c r="DP187" i="34"/>
  <c r="DS187" i="34" a="1"/>
  <c r="DS187" i="34" s="1"/>
  <c r="DU187" i="34"/>
  <c r="DV187" i="34"/>
  <c r="DX187" i="34" a="1"/>
  <c r="DX187" i="34"/>
  <c r="DY187" i="34" a="1"/>
  <c r="DY187" i="34" s="1"/>
  <c r="EA187" i="34"/>
  <c r="EB187" i="34"/>
  <c r="ED187" i="34" a="1"/>
  <c r="ED187" i="34"/>
  <c r="EE187" i="34" a="1"/>
  <c r="EE187" i="34" s="1"/>
  <c r="BS188" i="34"/>
  <c r="BW188" i="34" s="1" a="1"/>
  <c r="BW188" i="34" s="1"/>
  <c r="BT188" i="34"/>
  <c r="BV188" i="34" a="1"/>
  <c r="BV188" i="34" s="1"/>
  <c r="BY188" i="34"/>
  <c r="CC188" i="34" s="1" a="1"/>
  <c r="CC188" i="34" s="1"/>
  <c r="BZ188" i="34"/>
  <c r="CB188" i="34" a="1"/>
  <c r="CB188" i="34" s="1"/>
  <c r="CE188" i="34"/>
  <c r="CI188" i="34" s="1" a="1"/>
  <c r="CI188" i="34" s="1"/>
  <c r="CF188" i="34"/>
  <c r="CH188" i="34" a="1"/>
  <c r="CH188" i="34" s="1"/>
  <c r="CK188" i="34"/>
  <c r="CL188" i="34"/>
  <c r="CQ188" i="34" a="1"/>
  <c r="CQ188" i="34" s="1"/>
  <c r="CR188" i="34"/>
  <c r="CW188" i="34"/>
  <c r="DA188" i="34" s="1" a="1"/>
  <c r="DA188" i="34" s="1"/>
  <c r="CX188" i="34"/>
  <c r="CZ188" i="34" a="1"/>
  <c r="CZ188" i="34"/>
  <c r="DC188" i="34"/>
  <c r="DD188" i="34"/>
  <c r="DF188" i="34" a="1"/>
  <c r="DF188" i="34"/>
  <c r="DG188" i="34" a="1"/>
  <c r="DG188" i="34" s="1"/>
  <c r="DI188" i="34"/>
  <c r="DJ188" i="34"/>
  <c r="DL188" i="34" a="1"/>
  <c r="DL188" i="34"/>
  <c r="DM188" i="34" a="1"/>
  <c r="DM188" i="34" s="1"/>
  <c r="DO188" i="34"/>
  <c r="DP188" i="34"/>
  <c r="DU188" i="34"/>
  <c r="DY188" i="34" s="1" a="1"/>
  <c r="DY188" i="34" s="1"/>
  <c r="DV188" i="34"/>
  <c r="DX188" i="34" s="1" a="1"/>
  <c r="DX188" i="34" s="1"/>
  <c r="EA188" i="34"/>
  <c r="EB188" i="34"/>
  <c r="ED188" i="34" s="1" a="1"/>
  <c r="ED188" i="34" s="1"/>
  <c r="EE188" i="34" a="1"/>
  <c r="EE188" i="34"/>
  <c r="BS189" i="34"/>
  <c r="BV189" i="34" s="1" a="1"/>
  <c r="BV189" i="34" s="1"/>
  <c r="BT189" i="34"/>
  <c r="BY189" i="34"/>
  <c r="CB189" i="34" s="1" a="1"/>
  <c r="CB189" i="34" s="1"/>
  <c r="BZ189" i="34"/>
  <c r="CE189" i="34"/>
  <c r="CI189" i="34" s="1" a="1"/>
  <c r="CI189" i="34" s="1"/>
  <c r="CF189" i="34"/>
  <c r="CH189" i="34" a="1"/>
  <c r="CH189" i="34"/>
  <c r="CK189" i="34"/>
  <c r="CL189" i="34"/>
  <c r="CN189" i="34" a="1"/>
  <c r="CN189" i="34"/>
  <c r="CO189" i="34" a="1"/>
  <c r="CO189" i="34" s="1"/>
  <c r="CQ189" i="34" a="1"/>
  <c r="CQ189" i="34"/>
  <c r="CU189" i="34" s="1" a="1"/>
  <c r="CU189" i="34" s="1"/>
  <c r="CR189" i="34"/>
  <c r="CT189" i="34" a="1"/>
  <c r="CT189" i="34" s="1"/>
  <c r="CW189" i="34"/>
  <c r="CX189" i="34"/>
  <c r="DC189" i="34"/>
  <c r="DF189" i="34" s="1" a="1"/>
  <c r="DF189" i="34" s="1"/>
  <c r="DD189" i="34"/>
  <c r="DI189" i="34"/>
  <c r="DL189" i="34" s="1" a="1"/>
  <c r="DL189" i="34" s="1"/>
  <c r="DJ189" i="34"/>
  <c r="DM189" i="34" a="1"/>
  <c r="DM189" i="34" s="1"/>
  <c r="DO189" i="34"/>
  <c r="DP189" i="34"/>
  <c r="DR189" i="34" a="1"/>
  <c r="DR189" i="34"/>
  <c r="DS189" i="34" a="1"/>
  <c r="DS189" i="34" s="1"/>
  <c r="DU189" i="34"/>
  <c r="DV189" i="34"/>
  <c r="DX189" i="34" a="1"/>
  <c r="DX189" i="34"/>
  <c r="DY189" i="34" a="1"/>
  <c r="DY189" i="34" s="1"/>
  <c r="EA189" i="34"/>
  <c r="EE189" i="34" s="1" a="1"/>
  <c r="EE189" i="34" s="1"/>
  <c r="EB189" i="34"/>
  <c r="ED189" i="34" a="1"/>
  <c r="ED189" i="34" s="1"/>
  <c r="BS190" i="34"/>
  <c r="BW190" i="34" s="1" a="1"/>
  <c r="BW190" i="34" s="1"/>
  <c r="BT190" i="34"/>
  <c r="BV190" i="34" a="1"/>
  <c r="BV190" i="34" s="1"/>
  <c r="BY190" i="34"/>
  <c r="CC190" i="34" s="1" a="1"/>
  <c r="CC190" i="34" s="1"/>
  <c r="BZ190" i="34"/>
  <c r="CB190" i="34" a="1"/>
  <c r="CB190" i="34" s="1"/>
  <c r="CE190" i="34"/>
  <c r="CF190" i="34"/>
  <c r="CK190" i="34"/>
  <c r="CN190" i="34" s="1" a="1"/>
  <c r="CN190" i="34" s="1"/>
  <c r="CL190" i="34"/>
  <c r="CQ190" i="34" a="1"/>
  <c r="CQ190" i="34" s="1"/>
  <c r="CR190" i="34"/>
  <c r="CW190" i="34"/>
  <c r="CX190" i="34"/>
  <c r="CZ190" i="34" a="1"/>
  <c r="CZ190" i="34"/>
  <c r="DA190" i="34" a="1"/>
  <c r="DA190" i="34" s="1"/>
  <c r="DC190" i="34"/>
  <c r="DD190" i="34"/>
  <c r="DF190" i="34" a="1"/>
  <c r="DF190" i="34"/>
  <c r="DG190" i="34" a="1"/>
  <c r="DG190" i="34" s="1"/>
  <c r="DI190" i="34"/>
  <c r="DJ190" i="34"/>
  <c r="DO190" i="34"/>
  <c r="DS190" i="34" s="1" a="1"/>
  <c r="DS190" i="34" s="1"/>
  <c r="DP190" i="34"/>
  <c r="DR190" i="34" s="1" a="1"/>
  <c r="DR190" i="34" s="1"/>
  <c r="DU190" i="34"/>
  <c r="DV190" i="34"/>
  <c r="DX190" i="34" s="1" a="1"/>
  <c r="DX190" i="34" s="1"/>
  <c r="DY190" i="34" a="1"/>
  <c r="DY190" i="34"/>
  <c r="EA190" i="34"/>
  <c r="ED190" i="34" s="1" a="1"/>
  <c r="ED190" i="34" s="1"/>
  <c r="EB190" i="34"/>
  <c r="BS191" i="34"/>
  <c r="BV191" i="34" s="1" a="1"/>
  <c r="BV191" i="34" s="1"/>
  <c r="BT191" i="34"/>
  <c r="BY191" i="34"/>
  <c r="CC191" i="34" s="1" a="1"/>
  <c r="CC191" i="34" s="1"/>
  <c r="BZ191" i="34"/>
  <c r="CB191" i="34" a="1"/>
  <c r="CB191" i="34"/>
  <c r="CE191" i="34"/>
  <c r="CF191" i="34"/>
  <c r="CH191" i="34" a="1"/>
  <c r="CH191" i="34"/>
  <c r="CI191" i="34" a="1"/>
  <c r="CI191" i="34" s="1"/>
  <c r="CK191" i="34"/>
  <c r="CL191" i="34"/>
  <c r="CN191" i="34" a="1"/>
  <c r="CN191" i="34"/>
  <c r="CO191" i="34" a="1"/>
  <c r="CO191" i="34" s="1"/>
  <c r="CQ191" i="34" a="1"/>
  <c r="CQ191" i="34" s="1"/>
  <c r="CR191" i="34"/>
  <c r="CW191" i="34"/>
  <c r="CZ191" i="34" s="1" a="1"/>
  <c r="CZ191" i="34" s="1"/>
  <c r="CX191" i="34"/>
  <c r="DC191" i="34"/>
  <c r="DF191" i="34" s="1" a="1"/>
  <c r="DF191" i="34" s="1"/>
  <c r="DD191" i="34"/>
  <c r="DG191" i="34" a="1"/>
  <c r="DG191" i="34" s="1"/>
  <c r="DI191" i="34"/>
  <c r="DJ191" i="34"/>
  <c r="DL191" i="34" a="1"/>
  <c r="DL191" i="34"/>
  <c r="DM191" i="34" a="1"/>
  <c r="DM191" i="34" s="1"/>
  <c r="DO191" i="34"/>
  <c r="DP191" i="34"/>
  <c r="DR191" i="34" a="1"/>
  <c r="DR191" i="34"/>
  <c r="DS191" i="34" a="1"/>
  <c r="DS191" i="34" s="1"/>
  <c r="DU191" i="34"/>
  <c r="DY191" i="34" s="1" a="1"/>
  <c r="DY191" i="34" s="1"/>
  <c r="DV191" i="34"/>
  <c r="DX191" i="34" a="1"/>
  <c r="DX191" i="34" s="1"/>
  <c r="EA191" i="34"/>
  <c r="EE191" i="34" s="1" a="1"/>
  <c r="EE191" i="34" s="1"/>
  <c r="EB191" i="34"/>
  <c r="ED191" i="34" a="1"/>
  <c r="ED191" i="34" s="1"/>
  <c r="BS192" i="34"/>
  <c r="BW192" i="34" s="1" a="1"/>
  <c r="BT192" i="34"/>
  <c r="BV192" i="34" a="1"/>
  <c r="BV192" i="34" s="1"/>
  <c r="BW192" i="34"/>
  <c r="BY192" i="34"/>
  <c r="BZ192" i="34"/>
  <c r="CE192" i="34"/>
  <c r="CH192" i="34" s="1" a="1"/>
  <c r="CH192" i="34" s="1"/>
  <c r="CF192" i="34"/>
  <c r="CK192" i="34"/>
  <c r="CN192" i="34" s="1" a="1"/>
  <c r="CL192" i="34"/>
  <c r="CN192" i="34"/>
  <c r="CO192" i="34" a="1"/>
  <c r="CO192" i="34" s="1"/>
  <c r="CQ192" i="34" a="1"/>
  <c r="CQ192" i="34" s="1"/>
  <c r="CR192" i="34"/>
  <c r="CW192" i="34"/>
  <c r="CX192" i="34"/>
  <c r="CZ192" i="34" a="1"/>
  <c r="CZ192" i="34"/>
  <c r="DA192" i="34" a="1"/>
  <c r="DA192" i="34" s="1"/>
  <c r="DC192" i="34"/>
  <c r="DD192" i="34"/>
  <c r="DI192" i="34"/>
  <c r="DM192" i="34" s="1" a="1"/>
  <c r="DM192" i="34" s="1"/>
  <c r="DJ192" i="34"/>
  <c r="DL192" i="34" s="1" a="1"/>
  <c r="DL192" i="34" s="1"/>
  <c r="DO192" i="34"/>
  <c r="DP192" i="34"/>
  <c r="DR192" i="34" s="1" a="1"/>
  <c r="DR192" i="34" s="1"/>
  <c r="DS192" i="34" a="1"/>
  <c r="DS192" i="34" s="1"/>
  <c r="DU192" i="34"/>
  <c r="DX192" i="34" s="1" a="1"/>
  <c r="DX192" i="34" s="1"/>
  <c r="DV192" i="34"/>
  <c r="EA192" i="34"/>
  <c r="ED192" i="34" s="1" a="1"/>
  <c r="ED192" i="34" s="1"/>
  <c r="EB192" i="34"/>
  <c r="BS193" i="34"/>
  <c r="BW193" i="34" s="1" a="1"/>
  <c r="BW193" i="34" s="1"/>
  <c r="BT193" i="34"/>
  <c r="BV193" i="34" a="1"/>
  <c r="BV193" i="34" s="1"/>
  <c r="BY193" i="34"/>
  <c r="BZ193" i="34"/>
  <c r="CB193" i="34" a="1"/>
  <c r="CB193" i="34"/>
  <c r="CC193" i="34" a="1"/>
  <c r="CC193" i="34" s="1"/>
  <c r="CE193" i="34"/>
  <c r="CF193" i="34"/>
  <c r="CH193" i="34" a="1"/>
  <c r="CH193" i="34"/>
  <c r="CI193" i="34" a="1"/>
  <c r="CI193" i="34" s="1"/>
  <c r="CK193" i="34"/>
  <c r="CL193" i="34"/>
  <c r="CQ193" i="34" a="1"/>
  <c r="CQ193" i="34"/>
  <c r="CR193" i="34"/>
  <c r="CW193" i="34"/>
  <c r="CZ193" i="34" s="1" a="1"/>
  <c r="CX193" i="34"/>
  <c r="CZ193" i="34"/>
  <c r="DA193" i="34" a="1"/>
  <c r="DA193" i="34" s="1"/>
  <c r="DC193" i="34"/>
  <c r="DD193" i="34"/>
  <c r="DF193" i="34" a="1"/>
  <c r="DF193" i="34"/>
  <c r="DG193" i="34" a="1"/>
  <c r="DG193" i="34"/>
  <c r="DI193" i="34"/>
  <c r="DJ193" i="34"/>
  <c r="DL193" i="34" a="1"/>
  <c r="DL193" i="34"/>
  <c r="DM193" i="34" a="1"/>
  <c r="DM193" i="34"/>
  <c r="DO193" i="34"/>
  <c r="DP193" i="34"/>
  <c r="DR193" i="34" s="1" a="1"/>
  <c r="DR193" i="34" s="1"/>
  <c r="DU193" i="34"/>
  <c r="DY193" i="34" s="1" a="1"/>
  <c r="DY193" i="34" s="1"/>
  <c r="DV193" i="34"/>
  <c r="DX193" i="34" a="1"/>
  <c r="DX193" i="34"/>
  <c r="EA193" i="34"/>
  <c r="EE193" i="34" s="1" a="1"/>
  <c r="EB193" i="34"/>
  <c r="ED193" i="34" a="1"/>
  <c r="ED193" i="34" s="1"/>
  <c r="EE193" i="34"/>
  <c r="BS194" i="34"/>
  <c r="BT194" i="34"/>
  <c r="BY194" i="34"/>
  <c r="BZ194" i="34"/>
  <c r="CE194" i="34"/>
  <c r="CH194" i="34" s="1" a="1"/>
  <c r="CF194" i="34"/>
  <c r="CH194" i="34"/>
  <c r="CI194" i="34" a="1"/>
  <c r="CI194" i="34" s="1"/>
  <c r="CK194" i="34"/>
  <c r="CL194" i="34"/>
  <c r="CN194" i="34" a="1"/>
  <c r="CN194" i="34"/>
  <c r="CO194" i="34" a="1"/>
  <c r="CO194" i="34" s="1"/>
  <c r="CQ194" i="34" a="1"/>
  <c r="CQ194" i="34" s="1"/>
  <c r="CR194" i="34"/>
  <c r="CW194" i="34"/>
  <c r="CX194" i="34"/>
  <c r="DC194" i="34"/>
  <c r="DG194" i="34" s="1" a="1"/>
  <c r="DG194" i="34" s="1"/>
  <c r="DD194" i="34"/>
  <c r="DF194" i="34" a="1"/>
  <c r="DF194" i="34" s="1"/>
  <c r="DI194" i="34"/>
  <c r="DJ194" i="34"/>
  <c r="DL194" i="34" a="1"/>
  <c r="DL194" i="34" s="1"/>
  <c r="DM194" i="34" a="1"/>
  <c r="DM194" i="34"/>
  <c r="DO194" i="34"/>
  <c r="DR194" i="34" s="1" a="1"/>
  <c r="DR194" i="34" s="1"/>
  <c r="DP194" i="34"/>
  <c r="DU194" i="34"/>
  <c r="DV194" i="34"/>
  <c r="EA194" i="34"/>
  <c r="EE194" i="34" s="1" a="1"/>
  <c r="EE194" i="34" s="1"/>
  <c r="EB194" i="34"/>
  <c r="ED194" i="34" a="1"/>
  <c r="ED194" i="34" s="1"/>
  <c r="BS195" i="34"/>
  <c r="BT195" i="34"/>
  <c r="BV195" i="34" a="1"/>
  <c r="BV195" i="34"/>
  <c r="BW195" i="34" a="1"/>
  <c r="BW195" i="34" s="1"/>
  <c r="BY195" i="34"/>
  <c r="BZ195" i="34"/>
  <c r="CB195" i="34" a="1"/>
  <c r="CB195" i="34"/>
  <c r="CC195" i="34" a="1"/>
  <c r="CC195" i="34" s="1"/>
  <c r="CE195" i="34"/>
  <c r="CF195" i="34"/>
  <c r="CK195" i="34"/>
  <c r="CO195" i="34" s="1" a="1"/>
  <c r="CO195" i="34" s="1"/>
  <c r="CL195" i="34"/>
  <c r="CN195" i="34" s="1" a="1"/>
  <c r="CN195" i="34" s="1"/>
  <c r="CQ195" i="34" a="1"/>
  <c r="CQ195" i="34"/>
  <c r="CT195" i="34" s="1" a="1"/>
  <c r="CR195" i="34"/>
  <c r="CT195" i="34"/>
  <c r="CU195" i="34" a="1"/>
  <c r="CU195" i="34" s="1"/>
  <c r="CW195" i="34"/>
  <c r="CX195" i="34"/>
  <c r="CZ195" i="34" a="1"/>
  <c r="CZ195" i="34"/>
  <c r="DA195" i="34" a="1"/>
  <c r="DA195" i="34"/>
  <c r="DC195" i="34"/>
  <c r="DD195" i="34"/>
  <c r="DF195" i="34" a="1"/>
  <c r="DF195" i="34"/>
  <c r="DG195" i="34" a="1"/>
  <c r="DG195" i="34"/>
  <c r="DI195" i="34"/>
  <c r="DJ195" i="34"/>
  <c r="DL195" i="34" s="1" a="1"/>
  <c r="DL195" i="34" s="1"/>
  <c r="DO195" i="34"/>
  <c r="DS195" i="34" s="1" a="1"/>
  <c r="DS195" i="34" s="1"/>
  <c r="DP195" i="34"/>
  <c r="DR195" i="34" a="1"/>
  <c r="DR195" i="34" s="1"/>
  <c r="DU195" i="34"/>
  <c r="DY195" i="34" s="1" a="1"/>
  <c r="DV195" i="34"/>
  <c r="DX195" i="34" a="1"/>
  <c r="DX195" i="34"/>
  <c r="DY195" i="34"/>
  <c r="EA195" i="34"/>
  <c r="EB195" i="34"/>
  <c r="BS196" i="34"/>
  <c r="BT196" i="34"/>
  <c r="BY196" i="34"/>
  <c r="CB196" i="34" s="1" a="1"/>
  <c r="BZ196" i="34"/>
  <c r="CB196" i="34"/>
  <c r="CC196" i="34" a="1"/>
  <c r="CC196" i="34" s="1"/>
  <c r="CE196" i="34"/>
  <c r="CF196" i="34"/>
  <c r="CH196" i="34" a="1"/>
  <c r="CH196" i="34"/>
  <c r="CI196" i="34" a="1"/>
  <c r="CI196" i="34"/>
  <c r="CK196" i="34"/>
  <c r="CL196" i="34"/>
  <c r="CN196" i="34" a="1"/>
  <c r="CN196" i="34"/>
  <c r="CO196" i="34" a="1"/>
  <c r="CO196" i="34" s="1"/>
  <c r="CQ196" i="34" a="1"/>
  <c r="CQ196" i="34"/>
  <c r="CR196" i="34"/>
  <c r="CW196" i="34"/>
  <c r="CX196" i="34"/>
  <c r="CZ196" i="34" s="1" a="1"/>
  <c r="CZ196" i="34" s="1"/>
  <c r="DC196" i="34"/>
  <c r="DD196" i="34"/>
  <c r="DF196" i="34" s="1" a="1"/>
  <c r="DF196" i="34" s="1"/>
  <c r="DG196" i="34" a="1"/>
  <c r="DG196" i="34" s="1"/>
  <c r="DI196" i="34"/>
  <c r="DL196" i="34" s="1" a="1"/>
  <c r="DL196" i="34" s="1"/>
  <c r="DJ196" i="34"/>
  <c r="DO196" i="34"/>
  <c r="DP196" i="34"/>
  <c r="DU196" i="34"/>
  <c r="DY196" i="34" s="1" a="1"/>
  <c r="DY196" i="34" s="1"/>
  <c r="DV196" i="34"/>
  <c r="DX196" i="34" a="1"/>
  <c r="DX196" i="34"/>
  <c r="EA196" i="34"/>
  <c r="EB196" i="34"/>
  <c r="ED196" i="34" a="1"/>
  <c r="ED196" i="34"/>
  <c r="EE196" i="34" a="1"/>
  <c r="EE196" i="34" s="1"/>
  <c r="BS197" i="34"/>
  <c r="BT197" i="34"/>
  <c r="BV197" i="34" a="1"/>
  <c r="BV197" i="34"/>
  <c r="BW197" i="34" a="1"/>
  <c r="BW197" i="34" s="1"/>
  <c r="BY197" i="34"/>
  <c r="BZ197" i="34"/>
  <c r="CE197" i="34"/>
  <c r="CI197" i="34" s="1" a="1"/>
  <c r="CI197" i="34" s="1"/>
  <c r="CF197" i="34"/>
  <c r="CH197" i="34" s="1" a="1"/>
  <c r="CH197" i="34" s="1"/>
  <c r="CK197" i="34"/>
  <c r="CL197" i="34"/>
  <c r="CN197" i="34" a="1"/>
  <c r="CN197" i="34" s="1"/>
  <c r="CO197" i="34" a="1"/>
  <c r="CO197" i="34" s="1"/>
  <c r="CQ197" i="34" a="1"/>
  <c r="CQ197" i="34" s="1"/>
  <c r="CT197" i="34" s="1" a="1"/>
  <c r="CT197" i="34" s="1"/>
  <c r="CR197" i="34"/>
  <c r="CU197" i="34" a="1"/>
  <c r="CU197" i="34"/>
  <c r="CW197" i="34"/>
  <c r="CX197" i="34"/>
  <c r="CZ197" i="34" a="1"/>
  <c r="CZ197" i="34"/>
  <c r="DA197" i="34" a="1"/>
  <c r="DA197" i="34"/>
  <c r="DC197" i="34"/>
  <c r="DD197" i="34"/>
  <c r="DF197" i="34" s="1" a="1"/>
  <c r="DF197" i="34" s="1"/>
  <c r="DI197" i="34"/>
  <c r="DM197" i="34" s="1" a="1"/>
  <c r="DM197" i="34" s="1"/>
  <c r="DJ197" i="34"/>
  <c r="DL197" i="34" a="1"/>
  <c r="DL197" i="34"/>
  <c r="DO197" i="34"/>
  <c r="DS197" i="34" s="1" a="1"/>
  <c r="DP197" i="34"/>
  <c r="DR197" i="34" a="1"/>
  <c r="DR197" i="34"/>
  <c r="DS197" i="34"/>
  <c r="DU197" i="34"/>
  <c r="DV197" i="34"/>
  <c r="EA197" i="34"/>
  <c r="EB197" i="34"/>
  <c r="BS198" i="34"/>
  <c r="BV198" i="34" s="1" a="1"/>
  <c r="BT198" i="34"/>
  <c r="BV198" i="34"/>
  <c r="BW198" i="34" a="1"/>
  <c r="BW198" i="34" s="1"/>
  <c r="BY198" i="34"/>
  <c r="BZ198" i="34"/>
  <c r="CB198" i="34" a="1"/>
  <c r="CB198" i="34"/>
  <c r="CC198" i="34" a="1"/>
  <c r="CC198" i="34"/>
  <c r="CE198" i="34"/>
  <c r="CF198" i="34"/>
  <c r="CH198" i="34" a="1"/>
  <c r="CH198" i="34"/>
  <c r="CI198" i="34" a="1"/>
  <c r="CI198" i="34" s="1"/>
  <c r="CK198" i="34"/>
  <c r="CO198" i="34" s="1" a="1"/>
  <c r="CO198" i="34" s="1"/>
  <c r="CL198" i="34"/>
  <c r="CN198" i="34" a="1"/>
  <c r="CN198" i="34" s="1"/>
  <c r="CQ198" i="34" a="1"/>
  <c r="CQ198" i="34"/>
  <c r="CU198" i="34" s="1" a="1"/>
  <c r="CU198" i="34" s="1"/>
  <c r="CR198" i="34"/>
  <c r="CT198" i="34" s="1" a="1"/>
  <c r="CT198" i="34" s="1"/>
  <c r="CW198" i="34"/>
  <c r="CX198" i="34"/>
  <c r="CZ198" i="34" s="1" a="1"/>
  <c r="CZ198" i="34" s="1"/>
  <c r="DC198" i="34"/>
  <c r="DF198" i="34" s="1" a="1"/>
  <c r="DF198" i="34" s="1"/>
  <c r="DD198" i="34"/>
  <c r="DI198" i="34"/>
  <c r="DJ198" i="34"/>
  <c r="DO198" i="34"/>
  <c r="DS198" i="34" s="1" a="1"/>
  <c r="DS198" i="34" s="1"/>
  <c r="DP198" i="34"/>
  <c r="DU198" i="34"/>
  <c r="DV198" i="34"/>
  <c r="DX198" i="34" a="1"/>
  <c r="DX198" i="34"/>
  <c r="DY198" i="34" a="1"/>
  <c r="DY198" i="34" s="1"/>
  <c r="EA198" i="34"/>
  <c r="EB198" i="34"/>
  <c r="ED198" i="34" a="1"/>
  <c r="ED198" i="34"/>
  <c r="EE198" i="34" a="1"/>
  <c r="EE198" i="34" s="1"/>
  <c r="BS199" i="34"/>
  <c r="BT199" i="34"/>
  <c r="BY199" i="34"/>
  <c r="BZ199" i="34"/>
  <c r="CB199" i="34" s="1" a="1"/>
  <c r="CB199" i="34" s="1"/>
  <c r="CE199" i="34"/>
  <c r="CF199" i="34"/>
  <c r="CH199" i="34" s="1" a="1"/>
  <c r="CH199" i="34" s="1"/>
  <c r="CK199" i="34"/>
  <c r="CN199" i="34" s="1" a="1"/>
  <c r="CN199" i="34" s="1"/>
  <c r="CL199" i="34"/>
  <c r="CQ199" i="34" a="1"/>
  <c r="CQ199" i="34" s="1"/>
  <c r="CT199" i="34" s="1" a="1"/>
  <c r="CT199" i="34" s="1"/>
  <c r="CR199" i="34"/>
  <c r="CW199" i="34"/>
  <c r="CX199" i="34"/>
  <c r="DA199" i="34" s="1" a="1"/>
  <c r="DA199" i="34" s="1"/>
  <c r="CZ199" i="34" a="1"/>
  <c r="CZ199" i="34" s="1"/>
  <c r="DC199" i="34"/>
  <c r="DG199" i="34" s="1" a="1"/>
  <c r="DG199" i="34" s="1"/>
  <c r="DD199" i="34"/>
  <c r="DF199" i="34" a="1"/>
  <c r="DF199" i="34" s="1"/>
  <c r="DI199" i="34"/>
  <c r="DM199" i="34" s="1" a="1"/>
  <c r="DJ199" i="34"/>
  <c r="DL199" i="34" a="1"/>
  <c r="DL199" i="34"/>
  <c r="DM199" i="34"/>
  <c r="DO199" i="34"/>
  <c r="DP199" i="34"/>
  <c r="DU199" i="34"/>
  <c r="DV199" i="34"/>
  <c r="EA199" i="34"/>
  <c r="EE199" i="34" s="1" a="1"/>
  <c r="EE199" i="34" s="1"/>
  <c r="EB199" i="34"/>
  <c r="BS200" i="34"/>
  <c r="BT200" i="34"/>
  <c r="BV200" i="34" a="1"/>
  <c r="BV200" i="34"/>
  <c r="BW200" i="34" a="1"/>
  <c r="BW200" i="34"/>
  <c r="BY200" i="34"/>
  <c r="BZ200" i="34"/>
  <c r="CB200" i="34" a="1"/>
  <c r="CB200" i="34"/>
  <c r="CC200" i="34" a="1"/>
  <c r="CC200" i="34" s="1"/>
  <c r="CE200" i="34"/>
  <c r="CF200" i="34"/>
  <c r="CI200" i="34" s="1" a="1"/>
  <c r="CI200" i="34" s="1"/>
  <c r="CK200" i="34"/>
  <c r="CO200" i="34" s="1" a="1"/>
  <c r="CO200" i="34" s="1"/>
  <c r="CL200" i="34"/>
  <c r="CN200" i="34" a="1"/>
  <c r="CN200" i="34" s="1"/>
  <c r="CQ200" i="34" a="1"/>
  <c r="CQ200" i="34" s="1"/>
  <c r="CR200" i="34"/>
  <c r="CT200" i="34" a="1"/>
  <c r="CT200" i="34" s="1"/>
  <c r="CU200" i="34" a="1"/>
  <c r="CU200" i="34" s="1"/>
  <c r="CW200" i="34"/>
  <c r="CZ200" i="34" s="1" a="1"/>
  <c r="CZ200" i="34" s="1"/>
  <c r="CX200" i="34"/>
  <c r="DC200" i="34"/>
  <c r="DD200" i="34"/>
  <c r="DI200" i="34"/>
  <c r="DM200" i="34" s="1" a="1"/>
  <c r="DM200" i="34" s="1"/>
  <c r="DJ200" i="34"/>
  <c r="DL200" i="34" a="1"/>
  <c r="DL200" i="34"/>
  <c r="DO200" i="34"/>
  <c r="DP200" i="34"/>
  <c r="DR200" i="34" a="1"/>
  <c r="DR200" i="34"/>
  <c r="DS200" i="34" a="1"/>
  <c r="DS200" i="34" s="1"/>
  <c r="DU200" i="34"/>
  <c r="DV200" i="34"/>
  <c r="DX200" i="34" a="1"/>
  <c r="DX200" i="34"/>
  <c r="DY200" i="34" a="1"/>
  <c r="DY200" i="34" s="1"/>
  <c r="EA200" i="34"/>
  <c r="EB200" i="34"/>
  <c r="BS201" i="34"/>
  <c r="BW201" i="34" s="1" a="1"/>
  <c r="BW201" i="34" s="1"/>
  <c r="BT201" i="34"/>
  <c r="BV201" i="34" a="1"/>
  <c r="BV201" i="34" s="1"/>
  <c r="BY201" i="34"/>
  <c r="BZ201" i="34"/>
  <c r="CB201" i="34" a="1"/>
  <c r="CB201" i="34" s="1"/>
  <c r="CC201" i="34" a="1"/>
  <c r="CC201" i="34"/>
  <c r="CE201" i="34"/>
  <c r="CH201" i="34" s="1" a="1"/>
  <c r="CH201" i="34" s="1"/>
  <c r="CF201" i="34"/>
  <c r="CK201" i="34"/>
  <c r="CL201" i="34"/>
  <c r="CQ201" i="34" a="1"/>
  <c r="CQ201" i="34" s="1"/>
  <c r="CR201" i="34"/>
  <c r="CT201" i="34" a="1"/>
  <c r="CT201" i="34" s="1"/>
  <c r="CW201" i="34"/>
  <c r="DA201" i="34" s="1" a="1"/>
  <c r="DA201" i="34" s="1"/>
  <c r="CX201" i="34"/>
  <c r="CZ201" i="34" a="1"/>
  <c r="CZ201" i="34" s="1"/>
  <c r="DC201" i="34"/>
  <c r="DG201" i="34" s="1" a="1"/>
  <c r="DG201" i="34" s="1"/>
  <c r="DD201" i="34"/>
  <c r="DF201" i="34" a="1"/>
  <c r="DF201" i="34"/>
  <c r="DI201" i="34"/>
  <c r="DJ201" i="34"/>
  <c r="DO201" i="34"/>
  <c r="DP201" i="34"/>
  <c r="DU201" i="34"/>
  <c r="DY201" i="34" s="1" a="1"/>
  <c r="DY201" i="34" s="1"/>
  <c r="DV201" i="34"/>
  <c r="EA201" i="34"/>
  <c r="EB201" i="34"/>
  <c r="ED201" i="34" a="1"/>
  <c r="ED201" i="34"/>
  <c r="EE201" i="34" a="1"/>
  <c r="EE201" i="34"/>
  <c r="BS202" i="34"/>
  <c r="BT202" i="34"/>
  <c r="BV202" i="34" a="1"/>
  <c r="BV202" i="34"/>
  <c r="BW202" i="34" a="1"/>
  <c r="BW202" i="34" s="1"/>
  <c r="BY202" i="34"/>
  <c r="BZ202" i="34"/>
  <c r="CC202" i="34" s="1" a="1"/>
  <c r="CC202" i="34" s="1"/>
  <c r="CB202" i="34" a="1"/>
  <c r="CB202" i="34" s="1"/>
  <c r="CE202" i="34"/>
  <c r="CI202" i="34" s="1" a="1"/>
  <c r="CI202" i="34" s="1"/>
  <c r="CF202" i="34"/>
  <c r="CH202" i="34" a="1"/>
  <c r="CH202" i="34" s="1"/>
  <c r="CK202" i="34"/>
  <c r="CO202" i="34" s="1" a="1"/>
  <c r="CO202" i="34" s="1"/>
  <c r="CL202" i="34"/>
  <c r="CN202" i="34" a="1"/>
  <c r="CN202" i="34"/>
  <c r="CQ202" i="34" a="1"/>
  <c r="CQ202" i="34" s="1"/>
  <c r="CR202" i="34"/>
  <c r="CW202" i="34"/>
  <c r="CX202" i="34"/>
  <c r="DC202" i="34"/>
  <c r="DG202" i="34" s="1" a="1"/>
  <c r="DG202" i="34" s="1"/>
  <c r="DD202" i="34"/>
  <c r="DF202" i="34" a="1"/>
  <c r="DF202" i="34"/>
  <c r="DI202" i="34"/>
  <c r="DJ202" i="34"/>
  <c r="DL202" i="34" a="1"/>
  <c r="DL202" i="34"/>
  <c r="DM202" i="34" a="1"/>
  <c r="DM202" i="34" s="1"/>
  <c r="DO202" i="34"/>
  <c r="DP202" i="34"/>
  <c r="DR202" i="34" a="1"/>
  <c r="DR202" i="34"/>
  <c r="DS202" i="34" a="1"/>
  <c r="DS202" i="34" s="1"/>
  <c r="DU202" i="34"/>
  <c r="DV202" i="34"/>
  <c r="EA202" i="34"/>
  <c r="EE202" i="34" s="1" a="1"/>
  <c r="EE202" i="34" s="1"/>
  <c r="EB202" i="34"/>
  <c r="ED202" i="34" a="1"/>
  <c r="ED202" i="34" s="1"/>
  <c r="BS203" i="34"/>
  <c r="BT203" i="34"/>
  <c r="BV203" i="34" a="1"/>
  <c r="BV203" i="34" s="1"/>
  <c r="BW203" i="34" a="1"/>
  <c r="BW203" i="34"/>
  <c r="BY203" i="34"/>
  <c r="CB203" i="34" s="1" a="1"/>
  <c r="CB203" i="34" s="1"/>
  <c r="BZ203" i="34"/>
  <c r="CE203" i="34"/>
  <c r="CF203" i="34"/>
  <c r="CK203" i="34"/>
  <c r="CO203" i="34" s="1" a="1"/>
  <c r="CO203" i="34" s="1"/>
  <c r="CL203" i="34"/>
  <c r="CN203" i="34" a="1"/>
  <c r="CN203" i="34" s="1"/>
  <c r="CQ203" i="34" a="1"/>
  <c r="CQ203" i="34"/>
  <c r="CU203" i="34" s="1" a="1"/>
  <c r="CU203" i="34" s="1"/>
  <c r="CR203" i="34"/>
  <c r="CT203" i="34" a="1"/>
  <c r="CT203" i="34" s="1"/>
  <c r="CW203" i="34"/>
  <c r="DA203" i="34" s="1" a="1"/>
  <c r="CX203" i="34"/>
  <c r="CZ203" i="34" a="1"/>
  <c r="CZ203" i="34" s="1"/>
  <c r="DA203" i="34"/>
  <c r="DC203" i="34"/>
  <c r="DD203" i="34"/>
  <c r="DI203" i="34"/>
  <c r="DJ203" i="34"/>
  <c r="DO203" i="34"/>
  <c r="DR203" i="34" s="1" a="1"/>
  <c r="DP203" i="34"/>
  <c r="DR203" i="34"/>
  <c r="DS203" i="34" a="1"/>
  <c r="DS203" i="34" s="1"/>
  <c r="DU203" i="34"/>
  <c r="DV203" i="34"/>
  <c r="DX203" i="34" a="1"/>
  <c r="DX203" i="34"/>
  <c r="DY203" i="34" a="1"/>
  <c r="DY203" i="34" s="1"/>
  <c r="EA203" i="34"/>
  <c r="EB203" i="34"/>
  <c r="ED203" i="34" a="1"/>
  <c r="ED203" i="34"/>
  <c r="EE203" i="34" a="1"/>
  <c r="EE203" i="34" s="1"/>
  <c r="BS204" i="34"/>
  <c r="BT204" i="34"/>
  <c r="BW204" i="34" s="1" a="1"/>
  <c r="BW204" i="34" s="1"/>
  <c r="BV204" i="34" a="1"/>
  <c r="BV204" i="34" s="1"/>
  <c r="BY204" i="34"/>
  <c r="CC204" i="34" s="1" a="1"/>
  <c r="CC204" i="34" s="1"/>
  <c r="BZ204" i="34"/>
  <c r="CB204" i="34" a="1"/>
  <c r="CB204" i="34" s="1"/>
  <c r="CE204" i="34"/>
  <c r="CI204" i="34" s="1" a="1"/>
  <c r="CF204" i="34"/>
  <c r="CH204" i="34" a="1"/>
  <c r="CH204" i="34" s="1"/>
  <c r="CI204" i="34"/>
  <c r="CK204" i="34"/>
  <c r="CL204" i="34"/>
  <c r="CQ204" i="34" a="1"/>
  <c r="CQ204" i="34" s="1"/>
  <c r="CR204" i="34"/>
  <c r="CW204" i="34"/>
  <c r="DA204" i="34" s="1" a="1"/>
  <c r="DA204" i="34" s="1"/>
  <c r="CX204" i="34"/>
  <c r="DC204" i="34"/>
  <c r="DD204" i="34"/>
  <c r="DF204" i="34" a="1"/>
  <c r="DF204" i="34"/>
  <c r="DG204" i="34" a="1"/>
  <c r="DG204" i="34" s="1"/>
  <c r="DI204" i="34"/>
  <c r="DJ204" i="34"/>
  <c r="DL204" i="34" a="1"/>
  <c r="DL204" i="34"/>
  <c r="DM204" i="34" a="1"/>
  <c r="DM204" i="34" s="1"/>
  <c r="DO204" i="34"/>
  <c r="DP204" i="34"/>
  <c r="DU204" i="34"/>
  <c r="DY204" i="34" s="1" a="1"/>
  <c r="DY204" i="34" s="1"/>
  <c r="DV204" i="34"/>
  <c r="DX204" i="34" s="1" a="1"/>
  <c r="DX204" i="34" s="1"/>
  <c r="EA204" i="34"/>
  <c r="EB204" i="34"/>
  <c r="ED204" i="34" a="1"/>
  <c r="ED204" i="34" s="1"/>
  <c r="EE204" i="34" a="1"/>
  <c r="EE204" i="34" s="1"/>
  <c r="BS205" i="34"/>
  <c r="BV205" i="34" s="1" a="1"/>
  <c r="BV205" i="34" s="1"/>
  <c r="BT205" i="34"/>
  <c r="BY205" i="34"/>
  <c r="BZ205" i="34"/>
  <c r="CE205" i="34"/>
  <c r="CI205" i="34" s="1" a="1"/>
  <c r="CI205" i="34" s="1"/>
  <c r="CF205" i="34"/>
  <c r="CH205" i="34" a="1"/>
  <c r="CH205" i="34" s="1"/>
  <c r="CK205" i="34"/>
  <c r="CL205" i="34"/>
  <c r="CN205" i="34" a="1"/>
  <c r="CN205" i="34"/>
  <c r="CO205" i="34" a="1"/>
  <c r="CO205" i="34" s="1"/>
  <c r="CQ205" i="34" a="1"/>
  <c r="CQ205" i="34"/>
  <c r="CU205" i="34" s="1" a="1"/>
  <c r="CU205" i="34" s="1"/>
  <c r="CR205" i="34"/>
  <c r="CT205" i="34" a="1"/>
  <c r="CT205" i="34" s="1"/>
  <c r="CW205" i="34"/>
  <c r="CX205" i="34"/>
  <c r="DC205" i="34"/>
  <c r="DD205" i="34"/>
  <c r="DI205" i="34"/>
  <c r="DL205" i="34" s="1" a="1"/>
  <c r="DL205" i="34" s="1"/>
  <c r="DJ205" i="34"/>
  <c r="DO205" i="34"/>
  <c r="DP205" i="34"/>
  <c r="DR205" i="34" a="1"/>
  <c r="DR205" i="34"/>
  <c r="DS205" i="34" a="1"/>
  <c r="DS205" i="34" s="1"/>
  <c r="DU205" i="34"/>
  <c r="DV205" i="34"/>
  <c r="DX205" i="34" a="1"/>
  <c r="DX205" i="34"/>
  <c r="DY205" i="34" a="1"/>
  <c r="DY205" i="34"/>
  <c r="EA205" i="34"/>
  <c r="EE205" i="34" s="1" a="1"/>
  <c r="EE205" i="34" s="1"/>
  <c r="EB205" i="34"/>
  <c r="ED205" i="34" a="1"/>
  <c r="ED205" i="34" s="1"/>
  <c r="BS206" i="34"/>
  <c r="BW206" i="34" s="1" a="1"/>
  <c r="BW206" i="34" s="1"/>
  <c r="BT206" i="34"/>
  <c r="BV206" i="34" a="1"/>
  <c r="BV206" i="34" s="1"/>
  <c r="BY206" i="34"/>
  <c r="CC206" i="34" s="1" a="1"/>
  <c r="CC206" i="34" s="1"/>
  <c r="BZ206" i="34"/>
  <c r="CB206" i="34" a="1"/>
  <c r="CB206" i="34" s="1"/>
  <c r="CE206" i="34"/>
  <c r="CF206" i="34"/>
  <c r="CK206" i="34"/>
  <c r="CL206" i="34"/>
  <c r="CQ206" i="34" a="1"/>
  <c r="CQ206" i="34" s="1"/>
  <c r="CR206" i="34"/>
  <c r="CW206" i="34"/>
  <c r="CX206" i="34"/>
  <c r="CZ206" i="34" a="1"/>
  <c r="CZ206" i="34"/>
  <c r="DA206" i="34" a="1"/>
  <c r="DA206" i="34" s="1"/>
  <c r="DC206" i="34"/>
  <c r="DD206" i="34"/>
  <c r="DF206" i="34" a="1"/>
  <c r="DF206" i="34"/>
  <c r="DG206" i="34" a="1"/>
  <c r="DG206" i="34" s="1"/>
  <c r="DI206" i="34"/>
  <c r="DL206" i="34" s="1" a="1"/>
  <c r="DL206" i="34" s="1"/>
  <c r="DJ206" i="34"/>
  <c r="DO206" i="34"/>
  <c r="DS206" i="34" s="1" a="1"/>
  <c r="DS206" i="34" s="1"/>
  <c r="DP206" i="34"/>
  <c r="DR206" i="34" a="1"/>
  <c r="DR206" i="34" s="1"/>
  <c r="DU206" i="34"/>
  <c r="DX206" i="34" s="1" a="1"/>
  <c r="DX206" i="34" s="1"/>
  <c r="DV206" i="34"/>
  <c r="DY206" i="34" a="1"/>
  <c r="DY206" i="34" s="1"/>
  <c r="EA206" i="34"/>
  <c r="EB206" i="34"/>
  <c r="BS207" i="34"/>
  <c r="BV207" i="34" s="1" a="1"/>
  <c r="BV207" i="34" s="1"/>
  <c r="BT207" i="34"/>
  <c r="BW207" i="34" a="1"/>
  <c r="BW207" i="34" s="1"/>
  <c r="BY207" i="34"/>
  <c r="BZ207" i="34"/>
  <c r="CB207" i="34" a="1"/>
  <c r="CB207" i="34"/>
  <c r="CC207" i="34" a="1"/>
  <c r="CC207" i="34" s="1"/>
  <c r="CE207" i="34"/>
  <c r="CF207" i="34"/>
  <c r="CH207" i="34" a="1"/>
  <c r="CH207" i="34"/>
  <c r="CI207" i="34" a="1"/>
  <c r="CI207" i="34" s="1"/>
  <c r="CK207" i="34"/>
  <c r="CL207" i="34"/>
  <c r="CN207" i="34" a="1"/>
  <c r="CN207" i="34" s="1"/>
  <c r="CO207" i="34" a="1"/>
  <c r="CO207" i="34" s="1"/>
  <c r="CQ207" i="34" a="1"/>
  <c r="CQ207" i="34" s="1"/>
  <c r="CR207" i="34"/>
  <c r="CW207" i="34"/>
  <c r="CX207" i="34"/>
  <c r="DC207" i="34"/>
  <c r="DG207" i="34" s="1" a="1"/>
  <c r="DG207" i="34" s="1"/>
  <c r="DD207" i="34"/>
  <c r="DI207" i="34"/>
  <c r="DJ207" i="34"/>
  <c r="DL207" i="34" a="1"/>
  <c r="DL207" i="34"/>
  <c r="DM207" i="34" a="1"/>
  <c r="DM207" i="34" s="1"/>
  <c r="DO207" i="34"/>
  <c r="DP207" i="34"/>
  <c r="DR207" i="34" a="1"/>
  <c r="DR207" i="34"/>
  <c r="DS207" i="34" a="1"/>
  <c r="DS207" i="34" s="1"/>
  <c r="DU207" i="34"/>
  <c r="DV207" i="34"/>
  <c r="EA207" i="34"/>
  <c r="EE207" i="34" s="1" a="1"/>
  <c r="EE207" i="34" s="1"/>
  <c r="EB207" i="34"/>
  <c r="ED207" i="34" a="1"/>
  <c r="ED207" i="34" s="1"/>
  <c r="BS208" i="34"/>
  <c r="BW208" i="34" s="1" a="1"/>
  <c r="BW208" i="34" s="1"/>
  <c r="BT208" i="34"/>
  <c r="BV208" i="34" s="1" a="1"/>
  <c r="BV208" i="34" s="1"/>
  <c r="BY208" i="34"/>
  <c r="BZ208" i="34"/>
  <c r="CE208" i="34"/>
  <c r="CH208" i="34" s="1" a="1"/>
  <c r="CH208" i="34" s="1"/>
  <c r="CF208" i="34"/>
  <c r="CI208" i="34" a="1"/>
  <c r="CI208" i="34" s="1"/>
  <c r="CK208" i="34"/>
  <c r="CN208" i="34" s="1" a="1"/>
  <c r="CN208" i="34" s="1"/>
  <c r="CL208" i="34"/>
  <c r="CO208" i="34" a="1"/>
  <c r="CO208" i="34" s="1"/>
  <c r="CQ208" i="34" a="1"/>
  <c r="CQ208" i="34" s="1"/>
  <c r="CT208" i="34" s="1" a="1"/>
  <c r="CT208" i="34" s="1"/>
  <c r="CR208" i="34"/>
  <c r="CW208" i="34"/>
  <c r="CX208" i="34"/>
  <c r="DA208" i="34" s="1" a="1"/>
  <c r="DA208" i="34" s="1"/>
  <c r="CZ208" i="34" a="1"/>
  <c r="CZ208" i="34" s="1"/>
  <c r="DC208" i="34"/>
  <c r="DD208" i="34"/>
  <c r="DI208" i="34"/>
  <c r="DM208" i="34" s="1" a="1"/>
  <c r="DM208" i="34" s="1"/>
  <c r="DJ208" i="34"/>
  <c r="DL208" i="34" a="1"/>
  <c r="DL208" i="34" s="1"/>
  <c r="DO208" i="34"/>
  <c r="DR208" i="34" s="1" a="1"/>
  <c r="DR208" i="34" s="1"/>
  <c r="DP208" i="34"/>
  <c r="DU208" i="34"/>
  <c r="DX208" i="34" s="1" a="1"/>
  <c r="DX208" i="34" s="1"/>
  <c r="DV208" i="34"/>
  <c r="EA208" i="34"/>
  <c r="EB208" i="34"/>
  <c r="BS209" i="34"/>
  <c r="BW209" i="34" s="1" a="1"/>
  <c r="BW209" i="34" s="1"/>
  <c r="BT209" i="34"/>
  <c r="BV209" i="34" a="1"/>
  <c r="BV209" i="34" s="1"/>
  <c r="BY209" i="34"/>
  <c r="BZ209" i="34"/>
  <c r="CB209" i="34" a="1"/>
  <c r="CB209" i="34"/>
  <c r="CC209" i="34" a="1"/>
  <c r="CC209" i="34" s="1"/>
  <c r="CE209" i="34"/>
  <c r="CF209" i="34"/>
  <c r="CK209" i="34"/>
  <c r="CL209" i="34"/>
  <c r="CN209" i="34" s="1" a="1"/>
  <c r="CN209" i="34" s="1"/>
  <c r="CQ209" i="34" a="1"/>
  <c r="CQ209" i="34" s="1"/>
  <c r="CR209" i="34"/>
  <c r="CW209" i="34"/>
  <c r="DA209" i="34" s="1" a="1"/>
  <c r="CX209" i="34"/>
  <c r="DA209" i="34"/>
  <c r="DC209" i="34"/>
  <c r="DD209" i="34"/>
  <c r="DF209" i="34" a="1"/>
  <c r="DF209" i="34"/>
  <c r="DG209" i="34" a="1"/>
  <c r="DG209" i="34" s="1"/>
  <c r="DI209" i="34"/>
  <c r="DJ209" i="34"/>
  <c r="DL209" i="34" a="1"/>
  <c r="DL209" i="34"/>
  <c r="DM209" i="34" a="1"/>
  <c r="DM209" i="34"/>
  <c r="DO209" i="34"/>
  <c r="DP209" i="34"/>
  <c r="DS209" i="34" s="1" a="1"/>
  <c r="DS209" i="34" s="1"/>
  <c r="DU209" i="34"/>
  <c r="DY209" i="34" s="1" a="1"/>
  <c r="DY209" i="34" s="1"/>
  <c r="DV209" i="34"/>
  <c r="DX209" i="34" s="1" a="1"/>
  <c r="DX209" i="34" s="1"/>
  <c r="EA209" i="34"/>
  <c r="EE209" i="34" s="1" a="1"/>
  <c r="EE209" i="34" s="1"/>
  <c r="EB209" i="34"/>
  <c r="ED209" i="34" a="1"/>
  <c r="ED209" i="34" s="1"/>
  <c r="BS210" i="34"/>
  <c r="BT210" i="34"/>
  <c r="BY210" i="34"/>
  <c r="CB210" i="34" s="1" a="1"/>
  <c r="CB210" i="34" s="1"/>
  <c r="BZ210" i="34"/>
  <c r="CE210" i="34"/>
  <c r="CH210" i="34" s="1" a="1"/>
  <c r="CH210" i="34" s="1"/>
  <c r="CF210" i="34"/>
  <c r="CK210" i="34"/>
  <c r="CL210" i="34"/>
  <c r="CN210" i="34" a="1"/>
  <c r="CN210" i="34"/>
  <c r="CO210" i="34" a="1"/>
  <c r="CO210" i="34" s="1"/>
  <c r="CQ210" i="34" a="1"/>
  <c r="CQ210" i="34" s="1"/>
  <c r="CR210" i="34"/>
  <c r="CT210" i="34" s="1" a="1"/>
  <c r="CT210" i="34" s="1"/>
  <c r="CU210" i="34" a="1"/>
  <c r="CU210" i="34" s="1"/>
  <c r="CW210" i="34"/>
  <c r="DA210" i="34" s="1" a="1"/>
  <c r="DA210" i="34" s="1"/>
  <c r="CX210" i="34"/>
  <c r="DC210" i="34"/>
  <c r="DD210" i="34"/>
  <c r="DF210" i="34" s="1" a="1"/>
  <c r="DF210" i="34" s="1"/>
  <c r="DI210" i="34"/>
  <c r="DL210" i="34" s="1" a="1"/>
  <c r="DL210" i="34" s="1"/>
  <c r="DJ210" i="34"/>
  <c r="DO210" i="34"/>
  <c r="DR210" i="34" s="1" a="1"/>
  <c r="DR210" i="34" s="1"/>
  <c r="DP210" i="34"/>
  <c r="DU210" i="34"/>
  <c r="DX210" i="34" s="1" a="1"/>
  <c r="DX210" i="34" s="1"/>
  <c r="DV210" i="34"/>
  <c r="EA210" i="34"/>
  <c r="EB210" i="34"/>
  <c r="ED210" i="34" a="1"/>
  <c r="ED210" i="34" s="1"/>
  <c r="EE210" i="34" a="1"/>
  <c r="EE210" i="34" s="1"/>
  <c r="BS211" i="34"/>
  <c r="BT211" i="34"/>
  <c r="BV211" i="34" a="1"/>
  <c r="BV211" i="34" s="1"/>
  <c r="BW211" i="34" a="1"/>
  <c r="BW211" i="34" s="1"/>
  <c r="BY211" i="34"/>
  <c r="BZ211" i="34"/>
  <c r="CB211" i="34" s="1" a="1"/>
  <c r="CB211" i="34" s="1"/>
  <c r="CE211" i="34"/>
  <c r="CI211" i="34" s="1" a="1"/>
  <c r="CI211" i="34" s="1"/>
  <c r="CF211" i="34"/>
  <c r="CH211" i="34" a="1"/>
  <c r="CH211" i="34" s="1"/>
  <c r="CK211" i="34"/>
  <c r="CO211" i="34" s="1" a="1"/>
  <c r="CO211" i="34" s="1"/>
  <c r="CL211" i="34"/>
  <c r="CQ211" i="34" a="1"/>
  <c r="CQ211" i="34"/>
  <c r="CT211" i="34" s="1" a="1"/>
  <c r="CT211" i="34" s="1"/>
  <c r="CR211" i="34"/>
  <c r="CU211" i="34" a="1"/>
  <c r="CU211" i="34" s="1"/>
  <c r="CW211" i="34"/>
  <c r="CX211" i="34"/>
  <c r="CZ211" i="34" a="1"/>
  <c r="CZ211" i="34"/>
  <c r="DA211" i="34" a="1"/>
  <c r="DA211" i="34"/>
  <c r="DC211" i="34"/>
  <c r="DD211" i="34"/>
  <c r="DF211" i="34" a="1"/>
  <c r="DF211" i="34" s="1"/>
  <c r="DG211" i="34" a="1"/>
  <c r="DG211" i="34"/>
  <c r="DI211" i="34"/>
  <c r="DJ211" i="34"/>
  <c r="DM211" i="34" s="1" a="1"/>
  <c r="DM211" i="34" s="1"/>
  <c r="DL211" i="34" a="1"/>
  <c r="DL211" i="34" s="1"/>
  <c r="DO211" i="34"/>
  <c r="DS211" i="34" s="1" a="1"/>
  <c r="DS211" i="34" s="1"/>
  <c r="DP211" i="34"/>
  <c r="DR211" i="34" s="1" a="1"/>
  <c r="DR211" i="34" s="1"/>
  <c r="DU211" i="34"/>
  <c r="DV211" i="34"/>
  <c r="DX211" i="34" s="1" a="1"/>
  <c r="DX211" i="34" s="1"/>
  <c r="EA211" i="34"/>
  <c r="EB211" i="34"/>
  <c r="BS212" i="34"/>
  <c r="BV212" i="34" s="1" a="1"/>
  <c r="BV212" i="34" s="1"/>
  <c r="BT212" i="34"/>
  <c r="BW212" i="34" a="1"/>
  <c r="BW212" i="34" s="1"/>
  <c r="BY212" i="34"/>
  <c r="CB212" i="34" s="1" a="1"/>
  <c r="CB212" i="34" s="1"/>
  <c r="BZ212" i="34"/>
  <c r="CC212" i="34" a="1"/>
  <c r="CC212" i="34" s="1"/>
  <c r="CE212" i="34"/>
  <c r="CF212" i="34"/>
  <c r="CH212" i="34" a="1"/>
  <c r="CH212" i="34"/>
  <c r="CI212" i="34" a="1"/>
  <c r="CI212" i="34"/>
  <c r="CK212" i="34"/>
  <c r="CL212" i="34"/>
  <c r="CN212" i="34" a="1"/>
  <c r="CN212" i="34"/>
  <c r="CO212" i="34" a="1"/>
  <c r="CO212" i="34" s="1"/>
  <c r="CQ212" i="34" a="1"/>
  <c r="CQ212" i="34"/>
  <c r="CR212" i="34"/>
  <c r="CT212" i="34" s="1" a="1"/>
  <c r="CT212" i="34" s="1"/>
  <c r="CW212" i="34"/>
  <c r="DA212" i="34" s="1" a="1"/>
  <c r="DA212" i="34" s="1"/>
  <c r="CX212" i="34"/>
  <c r="DC212" i="34"/>
  <c r="DG212" i="34" s="1" a="1"/>
  <c r="DG212" i="34" s="1"/>
  <c r="DD212" i="34"/>
  <c r="DF212" i="34" s="1" a="1"/>
  <c r="DF212" i="34" s="1"/>
  <c r="DI212" i="34"/>
  <c r="DL212" i="34" s="1" a="1"/>
  <c r="DL212" i="34" s="1"/>
  <c r="DJ212" i="34"/>
  <c r="DO212" i="34"/>
  <c r="DR212" i="34" s="1" a="1"/>
  <c r="DP212" i="34"/>
  <c r="DR212" i="34"/>
  <c r="DU212" i="34"/>
  <c r="DV212" i="34"/>
  <c r="DX212" i="34" a="1"/>
  <c r="DX212" i="34" s="1"/>
  <c r="DY212" i="34" a="1"/>
  <c r="DY212" i="34" s="1"/>
  <c r="EA212" i="34"/>
  <c r="EB212" i="34"/>
  <c r="ED212" i="34" s="1" a="1"/>
  <c r="ED212" i="34" s="1"/>
  <c r="BS213" i="34"/>
  <c r="BT213" i="34"/>
  <c r="BW213" i="34" s="1" a="1"/>
  <c r="BW213" i="34" s="1"/>
  <c r="BV213" i="34" a="1"/>
  <c r="BV213" i="34" s="1"/>
  <c r="BY213" i="34"/>
  <c r="CC213" i="34" s="1" a="1"/>
  <c r="BZ213" i="34"/>
  <c r="CC213" i="34"/>
  <c r="CE213" i="34"/>
  <c r="CI213" i="34" s="1" a="1"/>
  <c r="CI213" i="34" s="1"/>
  <c r="CF213" i="34"/>
  <c r="CH213" i="34" a="1"/>
  <c r="CH213" i="34" s="1"/>
  <c r="CK213" i="34"/>
  <c r="CN213" i="34" s="1" a="1"/>
  <c r="CN213" i="34" s="1"/>
  <c r="CL213" i="34"/>
  <c r="CO213" i="34" a="1"/>
  <c r="CO213" i="34" s="1"/>
  <c r="CQ213" i="34" a="1"/>
  <c r="CQ213" i="34" s="1"/>
  <c r="CT213" i="34" s="1" a="1"/>
  <c r="CT213" i="34" s="1"/>
  <c r="CR213" i="34"/>
  <c r="CW213" i="34"/>
  <c r="CX213" i="34"/>
  <c r="CZ213" i="34" a="1"/>
  <c r="CZ213" i="34"/>
  <c r="DA213" i="34" a="1"/>
  <c r="DA213" i="34" s="1"/>
  <c r="DC213" i="34"/>
  <c r="DD213" i="34"/>
  <c r="DG213" i="34" s="1" a="1"/>
  <c r="DG213" i="34" s="1"/>
  <c r="DF213" i="34" a="1"/>
  <c r="DF213" i="34" s="1"/>
  <c r="DI213" i="34"/>
  <c r="DM213" i="34" s="1" a="1"/>
  <c r="DM213" i="34" s="1"/>
  <c r="DJ213" i="34"/>
  <c r="DO213" i="34"/>
  <c r="DS213" i="34" s="1" a="1"/>
  <c r="DS213" i="34" s="1"/>
  <c r="DP213" i="34"/>
  <c r="DR213" i="34" a="1"/>
  <c r="DR213" i="34" s="1"/>
  <c r="DU213" i="34"/>
  <c r="DV213" i="34"/>
  <c r="EA213" i="34"/>
  <c r="EB213" i="34"/>
  <c r="EE213" i="34" s="1" a="1"/>
  <c r="EE213" i="34" s="1"/>
  <c r="BS214" i="34"/>
  <c r="BV214" i="34" s="1" a="1"/>
  <c r="BV214" i="34" s="1"/>
  <c r="BT214" i="34"/>
  <c r="BY214" i="34"/>
  <c r="BZ214" i="34"/>
  <c r="CB214" i="34" a="1"/>
  <c r="CB214" i="34"/>
  <c r="CC214" i="34" a="1"/>
  <c r="CC214" i="34" s="1"/>
  <c r="CE214" i="34"/>
  <c r="CF214" i="34"/>
  <c r="CH214" i="34" a="1"/>
  <c r="CH214" i="34" s="1"/>
  <c r="CI214" i="34" a="1"/>
  <c r="CI214" i="34" s="1"/>
  <c r="CK214" i="34"/>
  <c r="CL214" i="34"/>
  <c r="CO214" i="34" s="1" a="1"/>
  <c r="CO214" i="34" s="1"/>
  <c r="CQ214" i="34" a="1"/>
  <c r="CQ214" i="34" s="1"/>
  <c r="CU214" i="34" s="1" a="1"/>
  <c r="CU214" i="34" s="1"/>
  <c r="CR214" i="34"/>
  <c r="CW214" i="34"/>
  <c r="CZ214" i="34" s="1" a="1"/>
  <c r="CZ214" i="34" s="1"/>
  <c r="CX214" i="34"/>
  <c r="DA214" i="34" a="1"/>
  <c r="DA214" i="34" s="1"/>
  <c r="DC214" i="34"/>
  <c r="DF214" i="34" s="1" a="1"/>
  <c r="DF214" i="34" s="1"/>
  <c r="DD214" i="34"/>
  <c r="DI214" i="34"/>
  <c r="DL214" i="34" s="1" a="1"/>
  <c r="DJ214" i="34"/>
  <c r="DL214" i="34"/>
  <c r="DM214" i="34" a="1"/>
  <c r="DM214" i="34"/>
  <c r="DO214" i="34"/>
  <c r="DR214" i="34" s="1" a="1"/>
  <c r="DR214" i="34" s="1"/>
  <c r="DP214" i="34"/>
  <c r="DS214" i="34" a="1"/>
  <c r="DS214" i="34" s="1"/>
  <c r="DU214" i="34"/>
  <c r="DV214" i="34"/>
  <c r="DX214" i="34" s="1" a="1"/>
  <c r="DX214" i="34" s="1"/>
  <c r="EA214" i="34"/>
  <c r="EB214" i="34"/>
  <c r="ED214" i="34" a="1"/>
  <c r="ED214" i="34" s="1"/>
  <c r="EE214" i="34" a="1"/>
  <c r="EE214" i="34" s="1"/>
  <c r="BS215" i="34"/>
  <c r="BT215" i="34"/>
  <c r="BY215" i="34"/>
  <c r="BZ215" i="34"/>
  <c r="CB215" i="34" s="1" a="1"/>
  <c r="CB215" i="34" s="1"/>
  <c r="CE215" i="34"/>
  <c r="CH215" i="34" s="1" a="1"/>
  <c r="CH215" i="34" s="1"/>
  <c r="CF215" i="34"/>
  <c r="CK215" i="34"/>
  <c r="CN215" i="34" s="1" a="1"/>
  <c r="CN215" i="34" s="1"/>
  <c r="CL215" i="34"/>
  <c r="CO215" i="34" a="1"/>
  <c r="CO215" i="34" s="1"/>
  <c r="CQ215" i="34" a="1"/>
  <c r="CQ215" i="34" s="1"/>
  <c r="CT215" i="34" s="1" a="1"/>
  <c r="CT215" i="34" s="1"/>
  <c r="CR215" i="34"/>
  <c r="CW215" i="34"/>
  <c r="CX215" i="34"/>
  <c r="DA215" i="34" s="1" a="1"/>
  <c r="DA215" i="34" s="1"/>
  <c r="CZ215" i="34" a="1"/>
  <c r="CZ215" i="34" s="1"/>
  <c r="DC215" i="34"/>
  <c r="DD215" i="34"/>
  <c r="DF215" i="34" s="1" a="1"/>
  <c r="DF215" i="34" s="1"/>
  <c r="DI215" i="34"/>
  <c r="DJ215" i="34"/>
  <c r="DO215" i="34"/>
  <c r="DR215" i="34" s="1" a="1"/>
  <c r="DR215" i="34" s="1"/>
  <c r="DP215" i="34"/>
  <c r="DS215" i="34" a="1"/>
  <c r="DS215" i="34" s="1"/>
  <c r="DU215" i="34"/>
  <c r="DV215" i="34"/>
  <c r="DY215" i="34" s="1" a="1"/>
  <c r="DY215" i="34" s="1"/>
  <c r="EA215" i="34"/>
  <c r="ED215" i="34" s="1" a="1"/>
  <c r="ED215" i="34" s="1"/>
  <c r="EB215" i="34"/>
  <c r="EE215" i="34" a="1"/>
  <c r="EE215" i="34" s="1"/>
  <c r="BS216" i="34"/>
  <c r="BT216" i="34"/>
  <c r="BV216" i="34" a="1"/>
  <c r="BV216" i="34"/>
  <c r="BW216" i="34" a="1"/>
  <c r="BW216" i="34"/>
  <c r="BY216" i="34"/>
  <c r="BZ216" i="34"/>
  <c r="CB216" i="34" a="1"/>
  <c r="CB216" i="34" s="1"/>
  <c r="CC216" i="34" a="1"/>
  <c r="CC216" i="34"/>
  <c r="CE216" i="34"/>
  <c r="CF216" i="34"/>
  <c r="CI216" i="34" s="1" a="1"/>
  <c r="CI216" i="34" s="1"/>
  <c r="CH216" i="34" a="1"/>
  <c r="CH216" i="34" s="1"/>
  <c r="CK216" i="34"/>
  <c r="CO216" i="34" s="1" a="1"/>
  <c r="CO216" i="34" s="1"/>
  <c r="CL216" i="34"/>
  <c r="CQ216" i="34" a="1"/>
  <c r="CQ216" i="34"/>
  <c r="CT216" i="34" s="1" a="1"/>
  <c r="CT216" i="34" s="1"/>
  <c r="CR216" i="34"/>
  <c r="CW216" i="34"/>
  <c r="CZ216" i="34" s="1" a="1"/>
  <c r="CX216" i="34"/>
  <c r="CZ216" i="34"/>
  <c r="DA216" i="34" a="1"/>
  <c r="DA216" i="34"/>
  <c r="DC216" i="34"/>
  <c r="DF216" i="34" s="1" a="1"/>
  <c r="DF216" i="34" s="1"/>
  <c r="DD216" i="34"/>
  <c r="DI216" i="34"/>
  <c r="DJ216" i="34"/>
  <c r="DL216" i="34" a="1"/>
  <c r="DL216" i="34" s="1"/>
  <c r="DM216" i="34" a="1"/>
  <c r="DM216" i="34" s="1"/>
  <c r="DO216" i="34"/>
  <c r="DP216" i="34"/>
  <c r="DR216" i="34" a="1"/>
  <c r="DR216" i="34" s="1"/>
  <c r="DS216" i="34" a="1"/>
  <c r="DS216" i="34" s="1"/>
  <c r="DU216" i="34"/>
  <c r="DV216" i="34"/>
  <c r="DX216" i="34" s="1" a="1"/>
  <c r="DX216" i="34" s="1"/>
  <c r="EA216" i="34"/>
  <c r="EE216" i="34" s="1" a="1"/>
  <c r="EB216" i="34"/>
  <c r="ED216" i="34" a="1"/>
  <c r="ED216" i="34" s="1"/>
  <c r="EE216" i="34"/>
  <c r="BS217" i="34"/>
  <c r="BT217" i="34"/>
  <c r="BV217" i="34" s="1" a="1"/>
  <c r="BV217" i="34" s="1"/>
  <c r="BY217" i="34"/>
  <c r="CB217" i="34" s="1" a="1"/>
  <c r="CB217" i="34" s="1"/>
  <c r="BZ217" i="34"/>
  <c r="CC217" i="34" a="1"/>
  <c r="CC217" i="34" s="1"/>
  <c r="CE217" i="34"/>
  <c r="CH217" i="34" s="1" a="1"/>
  <c r="CH217" i="34" s="1"/>
  <c r="CF217" i="34"/>
  <c r="CI217" i="34" a="1"/>
  <c r="CI217" i="34" s="1"/>
  <c r="CK217" i="34"/>
  <c r="CN217" i="34" s="1" a="1"/>
  <c r="CN217" i="34" s="1"/>
  <c r="CL217" i="34"/>
  <c r="CQ217" i="34" a="1"/>
  <c r="CQ217" i="34" s="1"/>
  <c r="CR217" i="34"/>
  <c r="CT217" i="34" s="1" a="1"/>
  <c r="CT217" i="34" s="1"/>
  <c r="CW217" i="34"/>
  <c r="CX217" i="34"/>
  <c r="DC217" i="34"/>
  <c r="DD217" i="34"/>
  <c r="DF217" i="34" s="1" a="1"/>
  <c r="DF217" i="34" s="1"/>
  <c r="DI217" i="34"/>
  <c r="DJ217" i="34"/>
  <c r="DM217" i="34" s="1" a="1"/>
  <c r="DM217" i="34" s="1"/>
  <c r="DO217" i="34"/>
  <c r="DR217" i="34" s="1" a="1"/>
  <c r="DR217" i="34" s="1"/>
  <c r="DP217" i="34"/>
  <c r="DU217" i="34"/>
  <c r="DX217" i="34" s="1" a="1"/>
  <c r="DX217" i="34" s="1"/>
  <c r="DV217" i="34"/>
  <c r="EA217" i="34"/>
  <c r="EB217" i="34"/>
  <c r="ED217" i="34" a="1"/>
  <c r="ED217" i="34" s="1"/>
  <c r="EE217" i="34" a="1"/>
  <c r="EE217" i="34" s="1"/>
  <c r="BS218" i="34"/>
  <c r="BT218" i="34"/>
  <c r="BV218" i="34" a="1"/>
  <c r="BV218" i="34" s="1"/>
  <c r="BW218" i="34" a="1"/>
  <c r="BW218" i="34" s="1"/>
  <c r="BY218" i="34"/>
  <c r="BZ218" i="34"/>
  <c r="CC218" i="34" s="1" a="1"/>
  <c r="CC218" i="34" s="1"/>
  <c r="CB218" i="34" a="1"/>
  <c r="CB218" i="34"/>
  <c r="CE218" i="34"/>
  <c r="CF218" i="34"/>
  <c r="CH218" i="34" s="1" a="1"/>
  <c r="CH218" i="34" s="1"/>
  <c r="CK218" i="34"/>
  <c r="CO218" i="34" s="1" a="1"/>
  <c r="CO218" i="34" s="1"/>
  <c r="CL218" i="34"/>
  <c r="CQ218" i="34" a="1"/>
  <c r="CQ218" i="34"/>
  <c r="CR218" i="34"/>
  <c r="CW218" i="34"/>
  <c r="CZ218" i="34" s="1" a="1"/>
  <c r="CX218" i="34"/>
  <c r="CZ218" i="34"/>
  <c r="DA218" i="34" a="1"/>
  <c r="DA218" i="34" s="1"/>
  <c r="DC218" i="34"/>
  <c r="DF218" i="34" s="1" a="1"/>
  <c r="DF218" i="34" s="1"/>
  <c r="DD218" i="34"/>
  <c r="DI218" i="34"/>
  <c r="DJ218" i="34"/>
  <c r="DO218" i="34"/>
  <c r="DP218" i="34"/>
  <c r="DR218" i="34" s="1" a="1"/>
  <c r="DR218" i="34" s="1"/>
  <c r="DS218" i="34" a="1"/>
  <c r="DS218" i="34" s="1"/>
  <c r="DU218" i="34"/>
  <c r="DV218" i="34"/>
  <c r="DX218" i="34" s="1" a="1"/>
  <c r="DX218" i="34" s="1"/>
  <c r="EA218" i="34"/>
  <c r="EE218" i="34" s="1" a="1"/>
  <c r="EB218" i="34"/>
  <c r="EE218" i="34"/>
  <c r="BS219" i="34"/>
  <c r="BV219" i="34" s="1" a="1"/>
  <c r="BV219" i="34" s="1"/>
  <c r="BT219" i="34"/>
  <c r="BY219" i="34"/>
  <c r="CB219" i="34" s="1" a="1"/>
  <c r="BZ219" i="34"/>
  <c r="CB219" i="34"/>
  <c r="CE219" i="34"/>
  <c r="CH219" i="34" s="1" a="1"/>
  <c r="CF219" i="34"/>
  <c r="CH219" i="34"/>
  <c r="CI219" i="34" a="1"/>
  <c r="CI219" i="34" s="1"/>
  <c r="CK219" i="34"/>
  <c r="CL219" i="34"/>
  <c r="CQ219" i="34" a="1"/>
  <c r="CQ219" i="34"/>
  <c r="CR219" i="34"/>
  <c r="CT219" i="34" s="1" a="1"/>
  <c r="CT219" i="34" s="1"/>
  <c r="CW219" i="34"/>
  <c r="DA219" i="34" s="1" a="1"/>
  <c r="CX219" i="34"/>
  <c r="DA219" i="34"/>
  <c r="DC219" i="34"/>
  <c r="DG219" i="34" s="1" a="1"/>
  <c r="DG219" i="34" s="1"/>
  <c r="DD219" i="34"/>
  <c r="DI219" i="34"/>
  <c r="DJ219" i="34"/>
  <c r="DM219" i="34" a="1"/>
  <c r="DM219" i="34" s="1"/>
  <c r="DO219" i="34"/>
  <c r="DR219" i="34" s="1" a="1"/>
  <c r="DR219" i="34" s="1"/>
  <c r="DP219" i="34"/>
  <c r="DU219" i="34"/>
  <c r="DV219" i="34"/>
  <c r="DX219" i="34" a="1"/>
  <c r="DX219" i="34" s="1"/>
  <c r="DY219" i="34" a="1"/>
  <c r="DY219" i="34" s="1"/>
  <c r="EA219" i="34"/>
  <c r="EB219" i="34"/>
  <c r="ED219" i="34" a="1"/>
  <c r="ED219" i="34"/>
  <c r="EE219" i="34" a="1"/>
  <c r="EE219" i="34"/>
  <c r="BS220" i="34"/>
  <c r="BW220" i="34" s="1" a="1"/>
  <c r="BW220" i="34" s="1"/>
  <c r="BT220" i="34"/>
  <c r="BV220" i="34" a="1"/>
  <c r="BV220" i="34" s="1"/>
  <c r="BY220" i="34"/>
  <c r="BZ220" i="34"/>
  <c r="CB220" i="34" s="1" a="1"/>
  <c r="CB220" i="34" s="1"/>
  <c r="CE220" i="34"/>
  <c r="CF220" i="34"/>
  <c r="CK220" i="34"/>
  <c r="CN220" i="34" s="1" a="1"/>
  <c r="CL220" i="34"/>
  <c r="CN220" i="34"/>
  <c r="CO220" i="34" a="1"/>
  <c r="CO220" i="34" s="1"/>
  <c r="CQ220" i="34" a="1"/>
  <c r="CQ220" i="34" s="1"/>
  <c r="CR220" i="34"/>
  <c r="CW220" i="34"/>
  <c r="CX220" i="34"/>
  <c r="DC220" i="34"/>
  <c r="DD220" i="34"/>
  <c r="DG220" i="34" s="1" a="1"/>
  <c r="DG220" i="34" s="1"/>
  <c r="DF220" i="34" a="1"/>
  <c r="DF220" i="34" s="1"/>
  <c r="DI220" i="34"/>
  <c r="DJ220" i="34"/>
  <c r="DL220" i="34" s="1" a="1"/>
  <c r="DL220" i="34" s="1"/>
  <c r="DM220" i="34" a="1"/>
  <c r="DM220" i="34" s="1"/>
  <c r="DO220" i="34"/>
  <c r="DR220" i="34" s="1" a="1"/>
  <c r="DR220" i="34" s="1"/>
  <c r="DP220" i="34"/>
  <c r="DS220" i="34" a="1"/>
  <c r="DS220" i="34"/>
  <c r="DU220" i="34"/>
  <c r="DX220" i="34" s="1" a="1"/>
  <c r="DX220" i="34" s="1"/>
  <c r="DV220" i="34"/>
  <c r="EA220" i="34"/>
  <c r="EE220" i="34" s="1" a="1"/>
  <c r="EE220" i="34" s="1"/>
  <c r="EB220" i="34"/>
  <c r="ED220" i="34" a="1"/>
  <c r="ED220" i="34" s="1"/>
  <c r="BS221" i="34"/>
  <c r="BT221" i="34"/>
  <c r="BV221" i="34" s="1" a="1"/>
  <c r="BV221" i="34" s="1"/>
  <c r="BW221" i="34" a="1"/>
  <c r="BW221" i="34" s="1"/>
  <c r="BY221" i="34"/>
  <c r="CB221" i="34" s="1" a="1"/>
  <c r="CB221" i="34" s="1"/>
  <c r="BZ221" i="34"/>
  <c r="CC221" i="34" a="1"/>
  <c r="CC221" i="34" s="1"/>
  <c r="CE221" i="34"/>
  <c r="CF221" i="34"/>
  <c r="CK221" i="34"/>
  <c r="CL221" i="34"/>
  <c r="CO221" i="34" s="1" a="1"/>
  <c r="CO221" i="34" s="1"/>
  <c r="CN221" i="34" a="1"/>
  <c r="CN221" i="34" s="1"/>
  <c r="CQ221" i="34" a="1"/>
  <c r="CQ221" i="34"/>
  <c r="CT221" i="34" s="1" a="1"/>
  <c r="CT221" i="34" s="1"/>
  <c r="CR221" i="34"/>
  <c r="CW221" i="34"/>
  <c r="CX221" i="34"/>
  <c r="CZ221" i="34" a="1"/>
  <c r="CZ221" i="34" s="1"/>
  <c r="DA221" i="34" a="1"/>
  <c r="DA221" i="34"/>
  <c r="DC221" i="34"/>
  <c r="DD221" i="34"/>
  <c r="DF221" i="34" s="1" a="1"/>
  <c r="DF221" i="34" s="1"/>
  <c r="DG221" i="34" a="1"/>
  <c r="DG221" i="34" s="1"/>
  <c r="DI221" i="34"/>
  <c r="DJ221" i="34"/>
  <c r="DO221" i="34"/>
  <c r="DS221" i="34" s="1" a="1"/>
  <c r="DS221" i="34" s="1"/>
  <c r="DP221" i="34"/>
  <c r="DR221" i="34" a="1"/>
  <c r="DR221" i="34"/>
  <c r="DU221" i="34"/>
  <c r="DV221" i="34"/>
  <c r="DX221" i="34" a="1"/>
  <c r="DX221" i="34" s="1"/>
  <c r="DY221" i="34" a="1"/>
  <c r="DY221" i="34"/>
  <c r="EA221" i="34"/>
  <c r="ED221" i="34" s="1" a="1"/>
  <c r="ED221" i="34" s="1"/>
  <c r="EB221" i="34"/>
  <c r="EE221" i="34" a="1"/>
  <c r="EE221" i="34" s="1"/>
  <c r="BS222" i="34"/>
  <c r="BV222" i="34" s="1" a="1"/>
  <c r="BV222" i="34" s="1"/>
  <c r="BT222" i="34"/>
  <c r="BY222" i="34"/>
  <c r="CB222" i="34" s="1" a="1"/>
  <c r="BZ222" i="34"/>
  <c r="CB222" i="34"/>
  <c r="CE222" i="34"/>
  <c r="CF222" i="34"/>
  <c r="CH222" i="34" a="1"/>
  <c r="CH222" i="34" s="1"/>
  <c r="CI222" i="34" a="1"/>
  <c r="CI222" i="34"/>
  <c r="CK222" i="34"/>
  <c r="CL222" i="34"/>
  <c r="CN222" i="34" s="1" a="1"/>
  <c r="CN222" i="34" s="1"/>
  <c r="CO222" i="34" a="1"/>
  <c r="CO222" i="34" s="1"/>
  <c r="CQ222" i="34" a="1"/>
  <c r="CQ222" i="34"/>
  <c r="CR222" i="34"/>
  <c r="CW222" i="34"/>
  <c r="CX222" i="34"/>
  <c r="CZ222" i="34" s="1" a="1"/>
  <c r="CZ222" i="34" s="1"/>
  <c r="DC222" i="34"/>
  <c r="DD222" i="34"/>
  <c r="DF222" i="34" s="1" a="1"/>
  <c r="DF222" i="34" s="1"/>
  <c r="DG222" i="34" a="1"/>
  <c r="DG222" i="34" s="1"/>
  <c r="DI222" i="34"/>
  <c r="DL222" i="34" s="1" a="1"/>
  <c r="DL222" i="34" s="1"/>
  <c r="DJ222" i="34"/>
  <c r="DM222" i="34" a="1"/>
  <c r="DM222" i="34"/>
  <c r="DO222" i="34"/>
  <c r="DR222" i="34" s="1" a="1"/>
  <c r="DR222" i="34" s="1"/>
  <c r="DP222" i="34"/>
  <c r="DU222" i="34"/>
  <c r="DY222" i="34" s="1" a="1"/>
  <c r="DY222" i="34" s="1"/>
  <c r="DV222" i="34"/>
  <c r="DX222" i="34" a="1"/>
  <c r="DX222" i="34" s="1"/>
  <c r="EA222" i="34"/>
  <c r="EB222" i="34"/>
  <c r="ED222" i="34" s="1" a="1"/>
  <c r="ED222" i="34" s="1"/>
  <c r="EE222" i="34" a="1"/>
  <c r="EE222" i="34" s="1"/>
  <c r="BS223" i="34"/>
  <c r="BV223" i="34" s="1" a="1"/>
  <c r="BV223" i="34" s="1"/>
  <c r="BT223" i="34"/>
  <c r="BW223" i="34" a="1"/>
  <c r="BW223" i="34" s="1"/>
  <c r="BY223" i="34"/>
  <c r="BZ223" i="34"/>
  <c r="CE223" i="34"/>
  <c r="CF223" i="34"/>
  <c r="CI223" i="34" s="1" a="1"/>
  <c r="CI223" i="34" s="1"/>
  <c r="CH223" i="34" a="1"/>
  <c r="CH223" i="34" s="1"/>
  <c r="CK223" i="34"/>
  <c r="CL223" i="34"/>
  <c r="CN223" i="34" s="1" a="1"/>
  <c r="CN223" i="34" s="1"/>
  <c r="CO223" i="34" a="1"/>
  <c r="CO223" i="34" s="1"/>
  <c r="CQ223" i="34" a="1"/>
  <c r="CQ223" i="34" s="1"/>
  <c r="CR223" i="34"/>
  <c r="CW223" i="34"/>
  <c r="CX223" i="34"/>
  <c r="CZ223" i="34" s="1" a="1"/>
  <c r="CZ223" i="34" s="1"/>
  <c r="DA223" i="34" a="1"/>
  <c r="DA223" i="34" s="1"/>
  <c r="DC223" i="34"/>
  <c r="DD223" i="34"/>
  <c r="DI223" i="34"/>
  <c r="DM223" i="34" s="1" a="1"/>
  <c r="DM223" i="34" s="1"/>
  <c r="DJ223" i="34"/>
  <c r="DL223" i="34" a="1"/>
  <c r="DL223" i="34"/>
  <c r="DO223" i="34"/>
  <c r="DP223" i="34"/>
  <c r="DR223" i="34" a="1"/>
  <c r="DR223" i="34" s="1"/>
  <c r="DS223" i="34" a="1"/>
  <c r="DS223" i="34"/>
  <c r="DU223" i="34"/>
  <c r="DX223" i="34" s="1" a="1"/>
  <c r="DX223" i="34" s="1"/>
  <c r="DV223" i="34"/>
  <c r="DY223" i="34" a="1"/>
  <c r="DY223" i="34" s="1"/>
  <c r="EA223" i="34"/>
  <c r="ED223" i="34" s="1" a="1"/>
  <c r="ED223" i="34" s="1"/>
  <c r="EB223" i="34"/>
  <c r="BS224" i="34"/>
  <c r="BV224" i="34" s="1" a="1"/>
  <c r="BT224" i="34"/>
  <c r="BV224" i="34"/>
  <c r="BY224" i="34"/>
  <c r="BZ224" i="34"/>
  <c r="CB224" i="34" a="1"/>
  <c r="CB224" i="34" s="1"/>
  <c r="CC224" i="34" a="1"/>
  <c r="CC224" i="34" s="1"/>
  <c r="CE224" i="34"/>
  <c r="CF224" i="34"/>
  <c r="CH224" i="34" s="1" a="1"/>
  <c r="CH224" i="34" s="1"/>
  <c r="CI224" i="34" a="1"/>
  <c r="CI224" i="34" s="1"/>
  <c r="CK224" i="34"/>
  <c r="CO224" i="34" s="1" a="1"/>
  <c r="CO224" i="34" s="1"/>
  <c r="CL224" i="34"/>
  <c r="CQ224" i="34" a="1"/>
  <c r="CQ224" i="34" s="1"/>
  <c r="CR224" i="34"/>
  <c r="CW224" i="34"/>
  <c r="CX224" i="34"/>
  <c r="CZ224" i="34" s="1" a="1"/>
  <c r="CZ224" i="34" s="1"/>
  <c r="DA224" i="34" a="1"/>
  <c r="DA224" i="34" s="1"/>
  <c r="DC224" i="34"/>
  <c r="DF224" i="34" s="1" a="1"/>
  <c r="DF224" i="34" s="1"/>
  <c r="DD224" i="34"/>
  <c r="DG224" i="34" a="1"/>
  <c r="DG224" i="34"/>
  <c r="DI224" i="34"/>
  <c r="DL224" i="34" s="1" a="1"/>
  <c r="DL224" i="34" s="1"/>
  <c r="DJ224" i="34"/>
  <c r="DO224" i="34"/>
  <c r="DS224" i="34" s="1" a="1"/>
  <c r="DS224" i="34" s="1"/>
  <c r="DP224" i="34"/>
  <c r="DR224" i="34" a="1"/>
  <c r="DR224" i="34" s="1"/>
  <c r="DU224" i="34"/>
  <c r="DV224" i="34"/>
  <c r="DX224" i="34" s="1" a="1"/>
  <c r="DX224" i="34" s="1"/>
  <c r="DY224" i="34" a="1"/>
  <c r="DY224" i="34" s="1"/>
  <c r="EA224" i="34"/>
  <c r="ED224" i="34" s="1" a="1"/>
  <c r="ED224" i="34" s="1"/>
  <c r="EB224" i="34"/>
  <c r="EE224" i="34" a="1"/>
  <c r="EE224" i="34" s="1"/>
  <c r="BS225" i="34"/>
  <c r="BT225" i="34"/>
  <c r="BY225" i="34"/>
  <c r="BZ225" i="34"/>
  <c r="CC225" i="34" s="1" a="1"/>
  <c r="CC225" i="34" s="1"/>
  <c r="CB225" i="34" a="1"/>
  <c r="CB225" i="34" s="1"/>
  <c r="CE225" i="34"/>
  <c r="CF225" i="34"/>
  <c r="CH225" i="34" s="1" a="1"/>
  <c r="CH225" i="34" s="1"/>
  <c r="CI225" i="34" a="1"/>
  <c r="CI225" i="34" s="1"/>
  <c r="CK225" i="34"/>
  <c r="CN225" i="34" s="1" a="1"/>
  <c r="CN225" i="34" s="1"/>
  <c r="CL225" i="34"/>
  <c r="CO225" i="34" a="1"/>
  <c r="CO225" i="34"/>
  <c r="CQ225" i="34" a="1"/>
  <c r="CQ225" i="34" s="1"/>
  <c r="CR225" i="34"/>
  <c r="CW225" i="34"/>
  <c r="CX225" i="34"/>
  <c r="DC225" i="34"/>
  <c r="DG225" i="34" s="1" a="1"/>
  <c r="DG225" i="34" s="1"/>
  <c r="DD225" i="34"/>
  <c r="DF225" i="34" a="1"/>
  <c r="DF225" i="34"/>
  <c r="DI225" i="34"/>
  <c r="DJ225" i="34"/>
  <c r="DL225" i="34" a="1"/>
  <c r="DL225" i="34" s="1"/>
  <c r="DM225" i="34" a="1"/>
  <c r="DM225" i="34"/>
  <c r="DO225" i="34"/>
  <c r="DR225" i="34" s="1" a="1"/>
  <c r="DR225" i="34" s="1"/>
  <c r="DP225" i="34"/>
  <c r="DS225" i="34" a="1"/>
  <c r="DS225" i="34" s="1"/>
  <c r="DU225" i="34"/>
  <c r="DX225" i="34" s="1" a="1"/>
  <c r="DX225" i="34" s="1"/>
  <c r="DV225" i="34"/>
  <c r="EA225" i="34"/>
  <c r="ED225" i="34" s="1" a="1"/>
  <c r="ED225" i="34" s="1"/>
  <c r="EB225" i="34"/>
  <c r="BS226" i="34"/>
  <c r="BT226" i="34"/>
  <c r="BV226" i="34" a="1"/>
  <c r="BV226" i="34" s="1"/>
  <c r="BW226" i="34" a="1"/>
  <c r="BW226" i="34"/>
  <c r="BY226" i="34"/>
  <c r="BZ226" i="34"/>
  <c r="CB226" i="34" s="1" a="1"/>
  <c r="CB226" i="34" s="1"/>
  <c r="CC226" i="34" a="1"/>
  <c r="CC226" i="34" s="1"/>
  <c r="CE226" i="34"/>
  <c r="CI226" i="34" s="1" a="1"/>
  <c r="CI226" i="34" s="1"/>
  <c r="CF226" i="34"/>
  <c r="CK226" i="34"/>
  <c r="CO226" i="34" s="1" a="1"/>
  <c r="CO226" i="34" s="1"/>
  <c r="CL226" i="34"/>
  <c r="CN226" i="34" a="1"/>
  <c r="CN226" i="34" s="1"/>
  <c r="CQ226" i="34" a="1"/>
  <c r="CQ226" i="34" s="1"/>
  <c r="CT226" i="34" s="1" a="1"/>
  <c r="CT226" i="34" s="1"/>
  <c r="CR226" i="34"/>
  <c r="CW226" i="34"/>
  <c r="CZ226" i="34" s="1" a="1"/>
  <c r="CZ226" i="34" s="1"/>
  <c r="CX226" i="34"/>
  <c r="DA226" i="34" a="1"/>
  <c r="DA226" i="34"/>
  <c r="DC226" i="34"/>
  <c r="DF226" i="34" s="1" a="1"/>
  <c r="DF226" i="34" s="1"/>
  <c r="DD226" i="34"/>
  <c r="DI226" i="34"/>
  <c r="DM226" i="34" s="1" a="1"/>
  <c r="DM226" i="34" s="1"/>
  <c r="DJ226" i="34"/>
  <c r="DL226" i="34" a="1"/>
  <c r="DL226" i="34" s="1"/>
  <c r="DO226" i="34"/>
  <c r="DP226" i="34"/>
  <c r="DR226" i="34" s="1" a="1"/>
  <c r="DR226" i="34" s="1"/>
  <c r="DS226" i="34" a="1"/>
  <c r="DS226" i="34" s="1"/>
  <c r="DU226" i="34"/>
  <c r="DX226" i="34" s="1" a="1"/>
  <c r="DX226" i="34" s="1"/>
  <c r="DV226" i="34"/>
  <c r="DY226" i="34" a="1"/>
  <c r="DY226" i="34" s="1"/>
  <c r="EA226" i="34"/>
  <c r="EB226" i="34"/>
  <c r="BS227" i="34"/>
  <c r="BT227" i="34"/>
  <c r="BW227" i="34" s="1" a="1"/>
  <c r="BW227" i="34" s="1"/>
  <c r="BV227" i="34" a="1"/>
  <c r="BV227" i="34" s="1"/>
  <c r="BY227" i="34"/>
  <c r="BZ227" i="34"/>
  <c r="CB227" i="34" s="1" a="1"/>
  <c r="CB227" i="34" s="1"/>
  <c r="CC227" i="34" a="1"/>
  <c r="CC227" i="34" s="1"/>
  <c r="CE227" i="34"/>
  <c r="CH227" i="34" s="1" a="1"/>
  <c r="CH227" i="34" s="1"/>
  <c r="CF227" i="34"/>
  <c r="CI227" i="34" a="1"/>
  <c r="CI227" i="34"/>
  <c r="CK227" i="34"/>
  <c r="CN227" i="34" s="1" a="1"/>
  <c r="CN227" i="34" s="1"/>
  <c r="CL227" i="34"/>
  <c r="CQ227" i="34" a="1"/>
  <c r="CQ227" i="34" s="1"/>
  <c r="CR227" i="34"/>
  <c r="CW227" i="34"/>
  <c r="DA227" i="34" s="1" a="1"/>
  <c r="DA227" i="34" s="1"/>
  <c r="CX227" i="34"/>
  <c r="CZ227" i="34" a="1"/>
  <c r="CZ227" i="34"/>
  <c r="DC227" i="34"/>
  <c r="DD227" i="34"/>
  <c r="DF227" i="34" a="1"/>
  <c r="DF227" i="34" s="1"/>
  <c r="DG227" i="34" a="1"/>
  <c r="DG227" i="34"/>
  <c r="DI227" i="34"/>
  <c r="DL227" i="34" s="1" a="1"/>
  <c r="DL227" i="34" s="1"/>
  <c r="DJ227" i="34"/>
  <c r="DM227" i="34" a="1"/>
  <c r="DM227" i="34" s="1"/>
  <c r="DO227" i="34"/>
  <c r="DR227" i="34" s="1" a="1"/>
  <c r="DR227" i="34" s="1"/>
  <c r="DP227" i="34"/>
  <c r="DU227" i="34"/>
  <c r="DX227" i="34" s="1" a="1"/>
  <c r="DX227" i="34" s="1"/>
  <c r="DV227" i="34"/>
  <c r="EA227" i="34"/>
  <c r="EB227" i="34"/>
  <c r="ED227" i="34" a="1"/>
  <c r="ED227" i="34" s="1"/>
  <c r="EE227" i="34" a="1"/>
  <c r="EE227" i="34" s="1"/>
  <c r="BS228" i="34"/>
  <c r="BT228" i="34"/>
  <c r="BV228" i="34" s="1" a="1"/>
  <c r="BV228" i="34" s="1"/>
  <c r="BW228" i="34" a="1"/>
  <c r="BW228" i="34" s="1"/>
  <c r="BY228" i="34"/>
  <c r="BZ228" i="34"/>
  <c r="CE228" i="34"/>
  <c r="CI228" i="34" s="1" a="1"/>
  <c r="CI228" i="34" s="1"/>
  <c r="CF228" i="34"/>
  <c r="CH228" i="34" a="1"/>
  <c r="CH228" i="34" s="1"/>
  <c r="CK228" i="34"/>
  <c r="CL228" i="34"/>
  <c r="CN228" i="34" a="1"/>
  <c r="CN228" i="34" s="1"/>
  <c r="CO228" i="34" a="1"/>
  <c r="CO228" i="34"/>
  <c r="CQ228" i="34" a="1"/>
  <c r="CQ228" i="34" s="1"/>
  <c r="CR228" i="34"/>
  <c r="CW228" i="34"/>
  <c r="CZ228" i="34" s="1" a="1"/>
  <c r="CZ228" i="34" s="1"/>
  <c r="CX228" i="34"/>
  <c r="DC228" i="34"/>
  <c r="DG228" i="34" s="1" a="1"/>
  <c r="DG228" i="34" s="1"/>
  <c r="DD228" i="34"/>
  <c r="DF228" i="34" a="1"/>
  <c r="DF228" i="34" s="1"/>
  <c r="DI228" i="34"/>
  <c r="DJ228" i="34"/>
  <c r="DL228" i="34" s="1" a="1"/>
  <c r="DL228" i="34" s="1"/>
  <c r="DM228" i="34" a="1"/>
  <c r="DM228" i="34" s="1"/>
  <c r="DO228" i="34"/>
  <c r="DR228" i="34" s="1" a="1"/>
  <c r="DR228" i="34" s="1"/>
  <c r="DP228" i="34"/>
  <c r="DS228" i="34" a="1"/>
  <c r="DS228" i="34" s="1"/>
  <c r="DU228" i="34"/>
  <c r="DV228" i="34"/>
  <c r="EA228" i="34"/>
  <c r="EE228" i="34" s="1" a="1"/>
  <c r="EE228" i="34" s="1"/>
  <c r="EB228" i="34"/>
  <c r="ED228" i="34" s="1" a="1"/>
  <c r="ED228" i="34" s="1"/>
  <c r="BS229" i="34"/>
  <c r="BT229" i="34"/>
  <c r="BV229" i="34" s="1" a="1"/>
  <c r="BV229" i="34" s="1"/>
  <c r="BW229" i="34" a="1"/>
  <c r="BW229" i="34" s="1"/>
  <c r="BY229" i="34"/>
  <c r="CB229" i="34" s="1" a="1"/>
  <c r="CB229" i="34" s="1"/>
  <c r="BZ229" i="34"/>
  <c r="CC229" i="34" a="1"/>
  <c r="CC229" i="34"/>
  <c r="CE229" i="34"/>
  <c r="CH229" i="34" s="1" a="1"/>
  <c r="CH229" i="34" s="1"/>
  <c r="CF229" i="34"/>
  <c r="CK229" i="34"/>
  <c r="CO229" i="34" s="1" a="1"/>
  <c r="CO229" i="34" s="1"/>
  <c r="CL229" i="34"/>
  <c r="CN229" i="34" a="1"/>
  <c r="CN229" i="34" s="1"/>
  <c r="CQ229" i="34" a="1"/>
  <c r="CQ229" i="34"/>
  <c r="CU229" i="34" s="1" a="1"/>
  <c r="CU229" i="34" s="1"/>
  <c r="CR229" i="34"/>
  <c r="CT229" i="34" a="1"/>
  <c r="CT229" i="34" s="1"/>
  <c r="CW229" i="34"/>
  <c r="CX229" i="34"/>
  <c r="CZ229" i="34" a="1"/>
  <c r="CZ229" i="34" s="1"/>
  <c r="DA229" i="34" a="1"/>
  <c r="DA229" i="34"/>
  <c r="DC229" i="34"/>
  <c r="DF229" i="34" s="1" a="1"/>
  <c r="DF229" i="34" s="1"/>
  <c r="DD229" i="34"/>
  <c r="DG229" i="34" a="1"/>
  <c r="DG229" i="34" s="1"/>
  <c r="DI229" i="34"/>
  <c r="DL229" i="34" s="1" a="1"/>
  <c r="DL229" i="34" s="1"/>
  <c r="DJ229" i="34"/>
  <c r="DO229" i="34"/>
  <c r="DR229" i="34" s="1" a="1"/>
  <c r="DP229" i="34"/>
  <c r="DR229" i="34"/>
  <c r="DU229" i="34"/>
  <c r="DV229" i="34"/>
  <c r="DX229" i="34" a="1"/>
  <c r="DX229" i="34" s="1"/>
  <c r="DY229" i="34" a="1"/>
  <c r="DY229" i="34" s="1"/>
  <c r="EA229" i="34"/>
  <c r="EB229" i="34"/>
  <c r="ED229" i="34" s="1" a="1"/>
  <c r="ED229" i="34" s="1"/>
  <c r="EE229" i="34" a="1"/>
  <c r="EE229" i="34" s="1"/>
  <c r="BS230" i="34"/>
  <c r="BW230" i="34" s="1" a="1"/>
  <c r="BW230" i="34" s="1"/>
  <c r="BT230" i="34"/>
  <c r="BY230" i="34"/>
  <c r="CC230" i="34" s="1" a="1"/>
  <c r="CC230" i="34" s="1"/>
  <c r="BZ230" i="34"/>
  <c r="CB230" i="34" a="1"/>
  <c r="CB230" i="34" s="1"/>
  <c r="CE230" i="34"/>
  <c r="CF230" i="34"/>
  <c r="CH230" i="34" a="1"/>
  <c r="CH230" i="34" s="1"/>
  <c r="CI230" i="34" a="1"/>
  <c r="CI230" i="34"/>
  <c r="CK230" i="34"/>
  <c r="CL230" i="34"/>
  <c r="CN230" i="34" a="1"/>
  <c r="CN230" i="34" s="1"/>
  <c r="CO230" i="34" a="1"/>
  <c r="CO230" i="34" s="1"/>
  <c r="CQ230" i="34" a="1"/>
  <c r="CQ230" i="34" s="1"/>
  <c r="CR230" i="34"/>
  <c r="CW230" i="34"/>
  <c r="DA230" i="34" s="1" a="1"/>
  <c r="DA230" i="34" s="1"/>
  <c r="CX230" i="34"/>
  <c r="CZ230" i="34" a="1"/>
  <c r="CZ230" i="34" s="1"/>
  <c r="DC230" i="34"/>
  <c r="DD230" i="34"/>
  <c r="DF230" i="34" s="1" a="1"/>
  <c r="DF230" i="34" s="1"/>
  <c r="DG230" i="34" a="1"/>
  <c r="DG230" i="34" s="1"/>
  <c r="DI230" i="34"/>
  <c r="DL230" i="34" s="1" a="1"/>
  <c r="DL230" i="34" s="1"/>
  <c r="DJ230" i="34"/>
  <c r="DM230" i="34" a="1"/>
  <c r="DM230" i="34" s="1"/>
  <c r="DO230" i="34"/>
  <c r="DP230" i="34"/>
  <c r="DU230" i="34"/>
  <c r="DY230" i="34" s="1" a="1"/>
  <c r="DY230" i="34" s="1"/>
  <c r="DV230" i="34"/>
  <c r="DX230" i="34" s="1" a="1"/>
  <c r="DX230" i="34" s="1"/>
  <c r="EA230" i="34"/>
  <c r="EB230" i="34"/>
  <c r="ED230" i="34" s="1" a="1"/>
  <c r="ED230" i="34" s="1"/>
  <c r="EE230" i="34" a="1"/>
  <c r="EE230" i="34" s="1"/>
  <c r="BS231" i="34"/>
  <c r="BT231" i="34"/>
  <c r="BV231" i="34" s="1" a="1"/>
  <c r="BV231" i="34" s="1"/>
  <c r="BW231" i="34" a="1"/>
  <c r="BW231" i="34"/>
  <c r="BY231" i="34"/>
  <c r="CB231" i="34" s="1" a="1"/>
  <c r="CB231" i="34" s="1"/>
  <c r="BZ231" i="34"/>
  <c r="CE231" i="34"/>
  <c r="CI231" i="34" s="1" a="1"/>
  <c r="CI231" i="34" s="1"/>
  <c r="CF231" i="34"/>
  <c r="CH231" i="34" a="1"/>
  <c r="CH231" i="34" s="1"/>
  <c r="CK231" i="34"/>
  <c r="CL231" i="34"/>
  <c r="CN231" i="34" s="1" a="1"/>
  <c r="CN231" i="34" s="1"/>
  <c r="CO231" i="34" a="1"/>
  <c r="CO231" i="34" s="1"/>
  <c r="CQ231" i="34" a="1"/>
  <c r="CQ231" i="34" s="1"/>
  <c r="CR231" i="34"/>
  <c r="CW231" i="34"/>
  <c r="CX231" i="34"/>
  <c r="CZ231" i="34" a="1"/>
  <c r="CZ231" i="34" s="1"/>
  <c r="DA231" i="34" a="1"/>
  <c r="DA231" i="34" s="1"/>
  <c r="DC231" i="34"/>
  <c r="DF231" i="34" s="1" a="1"/>
  <c r="DF231" i="34" s="1"/>
  <c r="DD231" i="34"/>
  <c r="DI231" i="34"/>
  <c r="DL231" i="34" s="1" a="1"/>
  <c r="DJ231" i="34"/>
  <c r="DL231" i="34"/>
  <c r="DO231" i="34"/>
  <c r="DP231" i="34"/>
  <c r="DR231" i="34" a="1"/>
  <c r="DR231" i="34" s="1"/>
  <c r="DS231" i="34" a="1"/>
  <c r="DS231" i="34" s="1"/>
  <c r="DU231" i="34"/>
  <c r="DV231" i="34"/>
  <c r="DX231" i="34" s="1" a="1"/>
  <c r="DX231" i="34" s="1"/>
  <c r="DY231" i="34" a="1"/>
  <c r="DY231" i="34" s="1"/>
  <c r="EA231" i="34"/>
  <c r="EB231" i="34"/>
  <c r="BS232" i="34"/>
  <c r="BW232" i="34" s="1" a="1"/>
  <c r="BW232" i="34" s="1"/>
  <c r="BT232" i="34"/>
  <c r="BV232" i="34" a="1"/>
  <c r="BV232" i="34" s="1"/>
  <c r="BY232" i="34"/>
  <c r="BZ232" i="34"/>
  <c r="CB232" i="34" a="1"/>
  <c r="CB232" i="34" s="1"/>
  <c r="CC232" i="34" a="1"/>
  <c r="CC232" i="34"/>
  <c r="CE232" i="34"/>
  <c r="CF232" i="34"/>
  <c r="CH232" i="34" a="1"/>
  <c r="CH232" i="34" s="1"/>
  <c r="CI232" i="34" a="1"/>
  <c r="CI232" i="34" s="1"/>
  <c r="CK232" i="34"/>
  <c r="CN232" i="34" s="1" a="1"/>
  <c r="CN232" i="34" s="1"/>
  <c r="CL232" i="34"/>
  <c r="CQ232" i="34" a="1"/>
  <c r="CQ232" i="34" s="1"/>
  <c r="CU232" i="34" s="1" a="1"/>
  <c r="CU232" i="34" s="1"/>
  <c r="CR232" i="34"/>
  <c r="CW232" i="34"/>
  <c r="CX232" i="34"/>
  <c r="CZ232" i="34" s="1" a="1"/>
  <c r="CZ232" i="34" s="1"/>
  <c r="DA232" i="34" a="1"/>
  <c r="DA232" i="34" s="1"/>
  <c r="DC232" i="34"/>
  <c r="DF232" i="34" s="1" a="1"/>
  <c r="DF232" i="34" s="1"/>
  <c r="DD232" i="34"/>
  <c r="DG232" i="34" a="1"/>
  <c r="DG232" i="34" s="1"/>
  <c r="DI232" i="34"/>
  <c r="DJ232" i="34"/>
  <c r="DO232" i="34"/>
  <c r="DS232" i="34" s="1" a="1"/>
  <c r="DS232" i="34" s="1"/>
  <c r="DP232" i="34"/>
  <c r="DR232" i="34" s="1" a="1"/>
  <c r="DR232" i="34" s="1"/>
  <c r="DU232" i="34"/>
  <c r="DV232" i="34"/>
  <c r="DX232" i="34" s="1" a="1"/>
  <c r="DX232" i="34" s="1"/>
  <c r="DY232" i="34" a="1"/>
  <c r="DY232" i="34" s="1"/>
  <c r="EA232" i="34"/>
  <c r="EB232" i="34"/>
  <c r="ED232" i="34" s="1" a="1"/>
  <c r="ED232" i="34" s="1"/>
  <c r="EE232" i="34" a="1"/>
  <c r="EE232" i="34"/>
  <c r="BS233" i="34"/>
  <c r="BV233" i="34" s="1" a="1"/>
  <c r="BV233" i="34" s="1"/>
  <c r="BT233" i="34"/>
  <c r="BY233" i="34"/>
  <c r="CC233" i="34" s="1" a="1"/>
  <c r="CC233" i="34" s="1"/>
  <c r="BZ233" i="34"/>
  <c r="CB233" i="34" a="1"/>
  <c r="CB233" i="34" s="1"/>
  <c r="CE233" i="34"/>
  <c r="CF233" i="34"/>
  <c r="CH233" i="34" s="1" a="1"/>
  <c r="CH233" i="34" s="1"/>
  <c r="CI233" i="34" a="1"/>
  <c r="CI233" i="34" s="1"/>
  <c r="CK233" i="34"/>
  <c r="CN233" i="34" s="1" a="1"/>
  <c r="CN233" i="34" s="1"/>
  <c r="CL233" i="34"/>
  <c r="CO233" i="34" a="1"/>
  <c r="CO233" i="34" s="1"/>
  <c r="CQ233" i="34" a="1"/>
  <c r="CQ233" i="34" s="1"/>
  <c r="CR233" i="34"/>
  <c r="CW233" i="34"/>
  <c r="CZ233" i="34" s="1" a="1"/>
  <c r="CZ233" i="34" s="1"/>
  <c r="CX233" i="34"/>
  <c r="DC233" i="34"/>
  <c r="DF233" i="34" s="1" a="1"/>
  <c r="DF233" i="34" s="1"/>
  <c r="DD233" i="34"/>
  <c r="DI233" i="34"/>
  <c r="DJ233" i="34"/>
  <c r="DL233" i="34" a="1"/>
  <c r="DL233" i="34" s="1"/>
  <c r="DM233" i="34" a="1"/>
  <c r="DM233" i="34"/>
  <c r="DO233" i="34"/>
  <c r="DP233" i="34"/>
  <c r="DR233" i="34" s="1" a="1"/>
  <c r="DR233" i="34" s="1"/>
  <c r="DS233" i="34" a="1"/>
  <c r="DS233" i="34" s="1"/>
  <c r="DU233" i="34"/>
  <c r="DV233" i="34"/>
  <c r="EA233" i="34"/>
  <c r="EE233" i="34" s="1" a="1"/>
  <c r="EE233" i="34" s="1"/>
  <c r="EB233" i="34"/>
  <c r="ED233" i="34" a="1"/>
  <c r="ED233" i="34" s="1"/>
  <c r="BS234" i="34"/>
  <c r="BT234" i="34"/>
  <c r="BV234" i="34" a="1"/>
  <c r="BV234" i="34" s="1"/>
  <c r="BW234" i="34" a="1"/>
  <c r="BW234" i="34"/>
  <c r="BY234" i="34"/>
  <c r="BZ234" i="34"/>
  <c r="CB234" i="34" a="1"/>
  <c r="CB234" i="34" s="1"/>
  <c r="CC234" i="34" a="1"/>
  <c r="CC234" i="34" s="1"/>
  <c r="CE234" i="34"/>
  <c r="CH234" i="34" s="1" a="1"/>
  <c r="CH234" i="34" s="1"/>
  <c r="CF234" i="34"/>
  <c r="CK234" i="34"/>
  <c r="CN234" i="34" s="1" a="1"/>
  <c r="CN234" i="34" s="1"/>
  <c r="CL234" i="34"/>
  <c r="CQ234" i="34" a="1"/>
  <c r="CQ234" i="34" s="1"/>
  <c r="CR234" i="34"/>
  <c r="CW234" i="34"/>
  <c r="CX234" i="34"/>
  <c r="CZ234" i="34" a="1"/>
  <c r="CZ234" i="34"/>
  <c r="DA234" i="34" a="1"/>
  <c r="DA234" i="34" s="1"/>
  <c r="DC234" i="34"/>
  <c r="DD234" i="34"/>
  <c r="DI234" i="34"/>
  <c r="DM234" i="34" s="1" a="1"/>
  <c r="DM234" i="34" s="1"/>
  <c r="DJ234" i="34"/>
  <c r="DL234" i="34" a="1"/>
  <c r="DL234" i="34" s="1"/>
  <c r="DO234" i="34"/>
  <c r="DP234" i="34"/>
  <c r="DR234" i="34" s="1" a="1"/>
  <c r="DR234" i="34" s="1"/>
  <c r="DS234" i="34" a="1"/>
  <c r="DS234" i="34" s="1"/>
  <c r="DU234" i="34"/>
  <c r="DV234" i="34"/>
  <c r="DX234" i="34" s="1" a="1"/>
  <c r="DX234" i="34" s="1"/>
  <c r="DY234" i="34" a="1"/>
  <c r="DY234" i="34"/>
  <c r="EA234" i="34"/>
  <c r="ED234" i="34" s="1" a="1"/>
  <c r="ED234" i="34" s="1"/>
  <c r="EB234" i="34"/>
  <c r="BS235" i="34"/>
  <c r="BW235" i="34" s="1" a="1"/>
  <c r="BW235" i="34" s="1"/>
  <c r="BT235" i="34"/>
  <c r="BV235" i="34" a="1"/>
  <c r="BV235" i="34" s="1"/>
  <c r="BY235" i="34"/>
  <c r="BZ235" i="34"/>
  <c r="CB235" i="34" s="1" a="1"/>
  <c r="CB235" i="34" s="1"/>
  <c r="CC235" i="34" a="1"/>
  <c r="CC235" i="34" s="1"/>
  <c r="CE235" i="34"/>
  <c r="CF235" i="34"/>
  <c r="CH235" i="34" a="1"/>
  <c r="CH235" i="34"/>
  <c r="CI235" i="34" a="1"/>
  <c r="CI235" i="34" s="1"/>
  <c r="CK235" i="34"/>
  <c r="CL235" i="34"/>
  <c r="CQ235" i="34" a="1"/>
  <c r="CQ235" i="34"/>
  <c r="CT235" i="34" s="1" a="1"/>
  <c r="CT235" i="34" s="1"/>
  <c r="CR235" i="34"/>
  <c r="CW235" i="34"/>
  <c r="CZ235" i="34" s="1" a="1"/>
  <c r="CX235" i="34"/>
  <c r="CZ235" i="34"/>
  <c r="DC235" i="34"/>
  <c r="DD235" i="34"/>
  <c r="DF235" i="34" a="1"/>
  <c r="DF235" i="34" s="1"/>
  <c r="DG235" i="34" a="1"/>
  <c r="DG235" i="34"/>
  <c r="DI235" i="34"/>
  <c r="DJ235" i="34"/>
  <c r="DL235" i="34" a="1"/>
  <c r="DL235" i="34"/>
  <c r="DM235" i="34" a="1"/>
  <c r="DM235" i="34"/>
  <c r="DO235" i="34"/>
  <c r="DS235" i="34" s="1" a="1"/>
  <c r="DS235" i="34" s="1"/>
  <c r="DP235" i="34"/>
  <c r="DU235" i="34"/>
  <c r="DY235" i="34" s="1" a="1"/>
  <c r="DY235" i="34" s="1"/>
  <c r="DV235" i="34"/>
  <c r="DX235" i="34" a="1"/>
  <c r="DX235" i="34"/>
  <c r="EA235" i="34"/>
  <c r="EB235" i="34"/>
  <c r="ED235" i="34" a="1"/>
  <c r="ED235" i="34" s="1"/>
  <c r="EE235" i="34" a="1"/>
  <c r="EE235" i="34"/>
  <c r="BS236" i="34"/>
  <c r="BT236" i="34"/>
  <c r="BV236" i="34" a="1"/>
  <c r="BV236" i="34" s="1"/>
  <c r="BW236" i="34" a="1"/>
  <c r="BW236" i="34" s="1"/>
  <c r="BY236" i="34"/>
  <c r="CB236" i="34" s="1" a="1"/>
  <c r="CB236" i="34" s="1"/>
  <c r="BZ236" i="34"/>
  <c r="CE236" i="34"/>
  <c r="CH236" i="34" s="1" a="1"/>
  <c r="CH236" i="34" s="1"/>
  <c r="CF236" i="34"/>
  <c r="CK236" i="34"/>
  <c r="CL236" i="34"/>
  <c r="CN236" i="34" a="1"/>
  <c r="CN236" i="34" s="1"/>
  <c r="CO236" i="34" a="1"/>
  <c r="CO236" i="34" s="1"/>
  <c r="CQ236" i="34" a="1"/>
  <c r="CQ236" i="34"/>
  <c r="CR236" i="34"/>
  <c r="CT236" i="34" a="1"/>
  <c r="CT236" i="34"/>
  <c r="CU236" i="34" a="1"/>
  <c r="CU236" i="34" s="1"/>
  <c r="CW236" i="34"/>
  <c r="CX236" i="34"/>
  <c r="DC236" i="34"/>
  <c r="DG236" i="34" s="1" a="1"/>
  <c r="DG236" i="34" s="1"/>
  <c r="DD236" i="34"/>
  <c r="DF236" i="34" s="1" a="1"/>
  <c r="DF236" i="34" s="1"/>
  <c r="DI236" i="34"/>
  <c r="DJ236" i="34"/>
  <c r="DL236" i="34" a="1"/>
  <c r="DL236" i="34" s="1"/>
  <c r="DM236" i="34" a="1"/>
  <c r="DM236" i="34" s="1"/>
  <c r="DO236" i="34"/>
  <c r="DP236" i="34"/>
  <c r="DR236" i="34" a="1"/>
  <c r="DR236" i="34"/>
  <c r="DS236" i="34" a="1"/>
  <c r="DS236" i="34"/>
  <c r="DU236" i="34"/>
  <c r="DX236" i="34" s="1" a="1"/>
  <c r="DX236" i="34" s="1"/>
  <c r="DV236" i="34"/>
  <c r="EA236" i="34"/>
  <c r="EE236" i="34" s="1" a="1"/>
  <c r="EE236" i="34" s="1"/>
  <c r="EB236" i="34"/>
  <c r="ED236" i="34" a="1"/>
  <c r="ED236" i="34" s="1"/>
  <c r="BS237" i="34"/>
  <c r="BT237" i="34"/>
  <c r="BV237" i="34" s="1" a="1"/>
  <c r="BV237" i="34" s="1"/>
  <c r="BW237" i="34" a="1"/>
  <c r="BW237" i="34" s="1"/>
  <c r="BY237" i="34"/>
  <c r="BZ237" i="34"/>
  <c r="CB237" i="34" a="1"/>
  <c r="CB237" i="34"/>
  <c r="CC237" i="34" a="1"/>
  <c r="CC237" i="34" s="1"/>
  <c r="CE237" i="34"/>
  <c r="CF237" i="34"/>
  <c r="CK237" i="34"/>
  <c r="CO237" i="34" s="1" a="1"/>
  <c r="CO237" i="34" s="1"/>
  <c r="CL237" i="34"/>
  <c r="CN237" i="34" a="1"/>
  <c r="CN237" i="34" s="1"/>
  <c r="CQ237" i="34" a="1"/>
  <c r="CQ237" i="34"/>
  <c r="CT237" i="34" s="1" a="1"/>
  <c r="CT237" i="34" s="1"/>
  <c r="CR237" i="34"/>
  <c r="CW237" i="34"/>
  <c r="CX237" i="34"/>
  <c r="CZ237" i="34" a="1"/>
  <c r="CZ237" i="34" s="1"/>
  <c r="DA237" i="34" a="1"/>
  <c r="DA237" i="34"/>
  <c r="DC237" i="34"/>
  <c r="DD237" i="34"/>
  <c r="DF237" i="34" a="1"/>
  <c r="DF237" i="34"/>
  <c r="DG237" i="34" a="1"/>
  <c r="DG237" i="34"/>
  <c r="DI237" i="34"/>
  <c r="DM237" i="34" s="1" a="1"/>
  <c r="DM237" i="34" s="1"/>
  <c r="DJ237" i="34"/>
  <c r="DO237" i="34"/>
  <c r="DS237" i="34" s="1" a="1"/>
  <c r="DS237" i="34" s="1"/>
  <c r="DP237" i="34"/>
  <c r="DR237" i="34" a="1"/>
  <c r="DR237" i="34"/>
  <c r="DU237" i="34"/>
  <c r="DV237" i="34"/>
  <c r="DY237" i="34" s="1" a="1"/>
  <c r="DY237" i="34" s="1"/>
  <c r="DX237" i="34" a="1"/>
  <c r="DX237" i="34"/>
  <c r="EA237" i="34"/>
  <c r="EB237" i="34"/>
  <c r="ED237" i="34" a="1"/>
  <c r="ED237" i="34"/>
  <c r="EE237" i="34" a="1"/>
  <c r="EE237" i="34" s="1"/>
  <c r="BS238" i="34"/>
  <c r="BT238" i="34"/>
  <c r="BY238" i="34"/>
  <c r="CB238" i="34" s="1" a="1"/>
  <c r="CB238" i="34" s="1"/>
  <c r="BZ238" i="34"/>
  <c r="CE238" i="34"/>
  <c r="CF238" i="34"/>
  <c r="CH238" i="34" a="1"/>
  <c r="CH238" i="34" s="1"/>
  <c r="CI238" i="34" a="1"/>
  <c r="CI238" i="34" s="1"/>
  <c r="CK238" i="34"/>
  <c r="CL238" i="34"/>
  <c r="CN238" i="34" a="1"/>
  <c r="CN238" i="34"/>
  <c r="CO238" i="34" a="1"/>
  <c r="CO238" i="34" s="1"/>
  <c r="CQ238" i="34" a="1"/>
  <c r="CQ238" i="34"/>
  <c r="CR238" i="34"/>
  <c r="CW238" i="34"/>
  <c r="CX238" i="34"/>
  <c r="CZ238" i="34" s="1" a="1"/>
  <c r="CZ238" i="34" s="1"/>
  <c r="DC238" i="34"/>
  <c r="DD238" i="34"/>
  <c r="DF238" i="34" s="1" a="1"/>
  <c r="DF238" i="34" s="1"/>
  <c r="DG238" i="34" a="1"/>
  <c r="DG238" i="34" s="1"/>
  <c r="DI238" i="34"/>
  <c r="DJ238" i="34"/>
  <c r="DL238" i="34" a="1"/>
  <c r="DL238" i="34"/>
  <c r="DM238" i="34" a="1"/>
  <c r="DM238" i="34"/>
  <c r="DO238" i="34"/>
  <c r="DP238" i="34"/>
  <c r="DU238" i="34"/>
  <c r="DY238" i="34" s="1" a="1"/>
  <c r="DY238" i="34" s="1"/>
  <c r="DV238" i="34"/>
  <c r="DX238" i="34" a="1"/>
  <c r="DX238" i="34" s="1"/>
  <c r="EA238" i="34"/>
  <c r="EB238" i="34"/>
  <c r="ED238" i="34" s="1" a="1"/>
  <c r="ED238" i="34" s="1"/>
  <c r="EE238" i="34" a="1"/>
  <c r="EE238" i="34" s="1"/>
  <c r="BS239" i="34"/>
  <c r="BT239" i="34"/>
  <c r="BV239" i="34" a="1"/>
  <c r="BV239" i="34"/>
  <c r="BW239" i="34" a="1"/>
  <c r="BW239" i="34" s="1"/>
  <c r="BY239" i="34"/>
  <c r="BZ239" i="34"/>
  <c r="CE239" i="34"/>
  <c r="CI239" i="34" s="1" a="1"/>
  <c r="CI239" i="34" s="1"/>
  <c r="CF239" i="34"/>
  <c r="CH239" i="34" a="1"/>
  <c r="CH239" i="34" s="1"/>
  <c r="CK239" i="34"/>
  <c r="CL239" i="34"/>
  <c r="CN239" i="34" a="1"/>
  <c r="CN239" i="34" s="1"/>
  <c r="CO239" i="34" a="1"/>
  <c r="CO239" i="34" s="1"/>
  <c r="CQ239" i="34" a="1"/>
  <c r="CQ239" i="34" s="1"/>
  <c r="CT239" i="34" s="1" a="1"/>
  <c r="CT239" i="34" s="1"/>
  <c r="CR239" i="34"/>
  <c r="CU239" i="34" a="1"/>
  <c r="CU239" i="34" s="1"/>
  <c r="CW239" i="34"/>
  <c r="CX239" i="34"/>
  <c r="CZ239" i="34" a="1"/>
  <c r="CZ239" i="34"/>
  <c r="DA239" i="34" a="1"/>
  <c r="DA239" i="34"/>
  <c r="DC239" i="34"/>
  <c r="DD239" i="34"/>
  <c r="DI239" i="34"/>
  <c r="DM239" i="34" s="1" a="1"/>
  <c r="DM239" i="34" s="1"/>
  <c r="DJ239" i="34"/>
  <c r="DL239" i="34" a="1"/>
  <c r="DL239" i="34" s="1"/>
  <c r="DO239" i="34"/>
  <c r="DP239" i="34"/>
  <c r="DS239" i="34" s="1" a="1"/>
  <c r="DR239" i="34" a="1"/>
  <c r="DR239" i="34"/>
  <c r="DS239" i="34"/>
  <c r="DU239" i="34"/>
  <c r="DV239" i="34"/>
  <c r="DX239" i="34" a="1"/>
  <c r="DX239" i="34"/>
  <c r="DY239" i="34" a="1"/>
  <c r="DY239" i="34" s="1"/>
  <c r="EA239" i="34"/>
  <c r="EB239" i="34"/>
  <c r="BS240" i="34"/>
  <c r="BV240" i="34" s="1" a="1"/>
  <c r="BT240" i="34"/>
  <c r="BV240" i="34"/>
  <c r="BY240" i="34"/>
  <c r="BZ240" i="34"/>
  <c r="CB240" i="34" a="1"/>
  <c r="CB240" i="34" s="1"/>
  <c r="CC240" i="34" a="1"/>
  <c r="CC240" i="34" s="1"/>
  <c r="CE240" i="34"/>
  <c r="CF240" i="34"/>
  <c r="CH240" i="34" a="1"/>
  <c r="CH240" i="34" s="1"/>
  <c r="CI240" i="34" a="1"/>
  <c r="CI240" i="34" s="1"/>
  <c r="CK240" i="34"/>
  <c r="CL240" i="34"/>
  <c r="CQ240" i="34" a="1"/>
  <c r="CQ240" i="34" s="1"/>
  <c r="CR240" i="34"/>
  <c r="CW240" i="34"/>
  <c r="CX240" i="34"/>
  <c r="CZ240" i="34" s="1" a="1"/>
  <c r="CZ240" i="34" s="1"/>
  <c r="DA240" i="34" a="1"/>
  <c r="DA240" i="34" s="1"/>
  <c r="DC240" i="34"/>
  <c r="DD240" i="34"/>
  <c r="DF240" i="34" a="1"/>
  <c r="DF240" i="34"/>
  <c r="DG240" i="34" a="1"/>
  <c r="DG240" i="34"/>
  <c r="DI240" i="34"/>
  <c r="DJ240" i="34"/>
  <c r="DO240" i="34"/>
  <c r="DS240" i="34" s="1" a="1"/>
  <c r="DS240" i="34" s="1"/>
  <c r="DP240" i="34"/>
  <c r="DR240" i="34" a="1"/>
  <c r="DR240" i="34" s="1"/>
  <c r="DU240" i="34"/>
  <c r="DV240" i="34"/>
  <c r="DX240" i="34" s="1" a="1"/>
  <c r="DX240" i="34"/>
  <c r="DY240" i="34" a="1"/>
  <c r="DY240" i="34" s="1"/>
  <c r="EA240" i="34"/>
  <c r="EB240" i="34"/>
  <c r="ED240" i="34" a="1"/>
  <c r="ED240" i="34"/>
  <c r="EE240" i="34" a="1"/>
  <c r="EE240" i="34" s="1"/>
  <c r="BS241" i="34"/>
  <c r="BT241" i="34"/>
  <c r="BY241" i="34"/>
  <c r="CC241" i="34" s="1" a="1"/>
  <c r="CC241" i="34" s="1"/>
  <c r="BZ241" i="34"/>
  <c r="CB241" i="34" a="1"/>
  <c r="CB241" i="34" s="1"/>
  <c r="CE241" i="34"/>
  <c r="CF241" i="34"/>
  <c r="CH241" i="34" a="1"/>
  <c r="CH241" i="34" s="1"/>
  <c r="CI241" i="34" a="1"/>
  <c r="CI241" i="34" s="1"/>
  <c r="CK241" i="34"/>
  <c r="CL241" i="34"/>
  <c r="CN241" i="34" a="1"/>
  <c r="CN241" i="34"/>
  <c r="CO241" i="34" a="1"/>
  <c r="CO241" i="34"/>
  <c r="CQ241" i="34" a="1"/>
  <c r="CQ241" i="34" s="1"/>
  <c r="CR241" i="34"/>
  <c r="CW241" i="34"/>
  <c r="DA241" i="34" s="1" a="1"/>
  <c r="DA241" i="34" s="1"/>
  <c r="CX241" i="34"/>
  <c r="DC241" i="34"/>
  <c r="DG241" i="34" s="1" a="1"/>
  <c r="DG241" i="34" s="1"/>
  <c r="DD241" i="34"/>
  <c r="DF241" i="34" a="1"/>
  <c r="DF241" i="34"/>
  <c r="DI241" i="34"/>
  <c r="DM241" i="34" s="1" a="1"/>
  <c r="DM241" i="34" s="1"/>
  <c r="DJ241" i="34"/>
  <c r="DL241" i="34" a="1"/>
  <c r="DL241" i="34" s="1"/>
  <c r="DO241" i="34"/>
  <c r="DP241" i="34"/>
  <c r="DR241" i="34" a="1"/>
  <c r="DR241" i="34"/>
  <c r="DS241" i="34" a="1"/>
  <c r="DS241" i="34" s="1"/>
  <c r="DU241" i="34"/>
  <c r="DV241" i="34"/>
  <c r="EA241" i="34"/>
  <c r="EB241" i="34"/>
  <c r="BS242" i="34"/>
  <c r="BT242" i="34"/>
  <c r="BV242" i="34" a="1"/>
  <c r="BV242" i="34" s="1"/>
  <c r="BW242" i="34" a="1"/>
  <c r="BW242" i="34" s="1"/>
  <c r="BY242" i="34"/>
  <c r="BZ242" i="34"/>
  <c r="CB242" i="34" a="1"/>
  <c r="CB242" i="34" s="1"/>
  <c r="CC242" i="34" a="1"/>
  <c r="CC242" i="34" s="1"/>
  <c r="CE242" i="34"/>
  <c r="CF242" i="34"/>
  <c r="CK242" i="34"/>
  <c r="CO242" i="34" s="1" a="1"/>
  <c r="CO242" i="34" s="1"/>
  <c r="CL242" i="34"/>
  <c r="CN242" i="34" a="1"/>
  <c r="CN242" i="34" s="1"/>
  <c r="CQ242" i="34" a="1"/>
  <c r="CQ242" i="34" s="1"/>
  <c r="CR242" i="34"/>
  <c r="CW242" i="34"/>
  <c r="CX242" i="34"/>
  <c r="CZ242" i="34" a="1"/>
  <c r="CZ242" i="34"/>
  <c r="DA242" i="34" a="1"/>
  <c r="DA242" i="34"/>
  <c r="DC242" i="34"/>
  <c r="DD242" i="34"/>
  <c r="DI242" i="34"/>
  <c r="DM242" i="34" s="1" a="1"/>
  <c r="DM242" i="34" s="1"/>
  <c r="DJ242" i="34"/>
  <c r="DO242" i="34"/>
  <c r="DP242" i="34"/>
  <c r="DR242" i="34" s="1" a="1"/>
  <c r="DR242" i="34" s="1"/>
  <c r="DS242" i="34" a="1"/>
  <c r="DS242" i="34" s="1"/>
  <c r="DU242" i="34"/>
  <c r="DV242" i="34"/>
  <c r="DX242" i="34" s="1" a="1"/>
  <c r="DX242" i="34" s="1"/>
  <c r="DY242" i="34" a="1"/>
  <c r="DY242" i="34" s="1"/>
  <c r="EA242" i="34"/>
  <c r="EB242" i="34"/>
  <c r="BS243" i="34"/>
  <c r="BT243" i="34"/>
  <c r="BV243" i="34" s="1" a="1"/>
  <c r="BV243" i="34" s="1"/>
  <c r="BY243" i="34"/>
  <c r="BZ243" i="34"/>
  <c r="CB243" i="34" s="1" a="1"/>
  <c r="CB243" i="34" s="1"/>
  <c r="CC243" i="34" a="1"/>
  <c r="CC243" i="34" s="1"/>
  <c r="CE243" i="34"/>
  <c r="CF243" i="34"/>
  <c r="CH243" i="34" a="1"/>
  <c r="CH243" i="34"/>
  <c r="CI243" i="34" a="1"/>
  <c r="CI243" i="34"/>
  <c r="CK243" i="34"/>
  <c r="CL243" i="34"/>
  <c r="CQ243" i="34" a="1"/>
  <c r="CQ243" i="34" s="1"/>
  <c r="CR243" i="34"/>
  <c r="CW243" i="34"/>
  <c r="DA243" i="34" s="1" a="1"/>
  <c r="DA243" i="34" s="1"/>
  <c r="CX243" i="34"/>
  <c r="CZ243" i="34" a="1"/>
  <c r="CZ243" i="34" s="1"/>
  <c r="DC243" i="34"/>
  <c r="DG243" i="34" s="1" a="1"/>
  <c r="DG243" i="34" s="1"/>
  <c r="DD243" i="34"/>
  <c r="DF243" i="34" a="1"/>
  <c r="DF243" i="34"/>
  <c r="DI243" i="34"/>
  <c r="DJ243" i="34"/>
  <c r="DL243" i="34" a="1"/>
  <c r="DL243" i="34"/>
  <c r="DM243" i="34" a="1"/>
  <c r="DM243" i="34" s="1"/>
  <c r="DO243" i="34"/>
  <c r="DP243" i="34"/>
  <c r="DU243" i="34"/>
  <c r="DV243" i="34"/>
  <c r="EA243" i="34"/>
  <c r="EB243" i="34"/>
  <c r="ED243" i="34" a="1"/>
  <c r="ED243" i="34" s="1"/>
  <c r="EE243" i="34" a="1"/>
  <c r="EE243" i="34"/>
  <c r="BS244" i="34"/>
  <c r="BT244" i="34"/>
  <c r="BV244" i="34" a="1"/>
  <c r="BV244" i="34" s="1"/>
  <c r="BW244" i="34" a="1"/>
  <c r="BW244" i="34" s="1"/>
  <c r="BY244" i="34"/>
  <c r="BZ244" i="34"/>
  <c r="CE244" i="34"/>
  <c r="CI244" i="34" s="1" a="1"/>
  <c r="CI244" i="34" s="1"/>
  <c r="CF244" i="34"/>
  <c r="CH244" i="34" a="1"/>
  <c r="CH244" i="34"/>
  <c r="CK244" i="34"/>
  <c r="CO244" i="34" s="1" a="1"/>
  <c r="CO244" i="34" s="1"/>
  <c r="CL244" i="34"/>
  <c r="CN244" i="34" a="1"/>
  <c r="CN244" i="34" s="1"/>
  <c r="CQ244" i="34" a="1"/>
  <c r="CQ244" i="34" s="1"/>
  <c r="CR244" i="34"/>
  <c r="CW244" i="34"/>
  <c r="CX244" i="34"/>
  <c r="DC244" i="34"/>
  <c r="DG244" i="34" s="1" a="1"/>
  <c r="DG244" i="34" s="1"/>
  <c r="DD244" i="34"/>
  <c r="DF244" i="34" a="1"/>
  <c r="DF244" i="34" s="1"/>
  <c r="DI244" i="34"/>
  <c r="DJ244" i="34"/>
  <c r="DL244" i="34" s="1" a="1"/>
  <c r="DL244" i="34" s="1"/>
  <c r="DM244" i="34" a="1"/>
  <c r="DM244" i="34" s="1"/>
  <c r="DO244" i="34"/>
  <c r="DP244" i="34"/>
  <c r="DR244" i="34" a="1"/>
  <c r="DR244" i="34"/>
  <c r="DS244" i="34" a="1"/>
  <c r="DS244" i="34" s="1"/>
  <c r="DU244" i="34"/>
  <c r="DV244" i="34"/>
  <c r="EA244" i="34"/>
  <c r="EE244" i="34" s="1" a="1"/>
  <c r="EE244" i="34" s="1"/>
  <c r="EB244" i="34"/>
  <c r="ED244" i="34" a="1"/>
  <c r="ED244" i="34" s="1"/>
  <c r="BS245" i="34"/>
  <c r="BT245" i="34"/>
  <c r="BV245" i="34" a="1"/>
  <c r="BV245" i="34" s="1"/>
  <c r="BW245" i="34" a="1"/>
  <c r="BW245" i="34" s="1"/>
  <c r="BY245" i="34"/>
  <c r="BZ245" i="34"/>
  <c r="CB245" i="34" a="1"/>
  <c r="CB245" i="34"/>
  <c r="CC245" i="34" a="1"/>
  <c r="CC245" i="34"/>
  <c r="CE245" i="34"/>
  <c r="CF245" i="34"/>
  <c r="CK245" i="34"/>
  <c r="CO245" i="34" s="1" a="1"/>
  <c r="CO245" i="34" s="1"/>
  <c r="CL245" i="34"/>
  <c r="CQ245" i="34" a="1"/>
  <c r="CQ245" i="34"/>
  <c r="CU245" i="34" s="1" a="1"/>
  <c r="CU245" i="34" s="1"/>
  <c r="CR245" i="34"/>
  <c r="CT245" i="34" a="1"/>
  <c r="CT245" i="34" s="1"/>
  <c r="CW245" i="34"/>
  <c r="DA245" i="34" s="1" a="1"/>
  <c r="DA245" i="34" s="1"/>
  <c r="CX245" i="34"/>
  <c r="CZ245" i="34" a="1"/>
  <c r="CZ245" i="34"/>
  <c r="DC245" i="34"/>
  <c r="DD245" i="34"/>
  <c r="DF245" i="34" a="1"/>
  <c r="DF245" i="34"/>
  <c r="DG245" i="34" a="1"/>
  <c r="DG245" i="34" s="1"/>
  <c r="DI245" i="34"/>
  <c r="DJ245" i="34"/>
  <c r="DO245" i="34"/>
  <c r="DP245" i="34"/>
  <c r="DU245" i="34"/>
  <c r="DV245" i="34"/>
  <c r="DX245" i="34" a="1"/>
  <c r="DX245" i="34" s="1"/>
  <c r="DY245" i="34" a="1"/>
  <c r="DY245" i="34"/>
  <c r="EA245" i="34"/>
  <c r="EB245" i="34"/>
  <c r="ED245" i="34" a="1"/>
  <c r="ED245" i="34"/>
  <c r="EE245" i="34" a="1"/>
  <c r="EE245" i="34" s="1"/>
  <c r="BS246" i="34"/>
  <c r="BT246" i="34"/>
  <c r="BY246" i="34"/>
  <c r="CC246" i="34" s="1" a="1"/>
  <c r="CC246" i="34" s="1"/>
  <c r="BZ246" i="34"/>
  <c r="CB246" i="34" a="1"/>
  <c r="CB246" i="34" s="1"/>
  <c r="CE246" i="34"/>
  <c r="CI246" i="34" s="1" a="1"/>
  <c r="CI246" i="34" s="1"/>
  <c r="CF246" i="34"/>
  <c r="CH246" i="34" a="1"/>
  <c r="CH246" i="34"/>
  <c r="CK246" i="34"/>
  <c r="CL246" i="34"/>
  <c r="CN246" i="34" a="1"/>
  <c r="CN246" i="34" s="1"/>
  <c r="CO246" i="34" a="1"/>
  <c r="CO246" i="34" s="1"/>
  <c r="CQ246" i="34" a="1"/>
  <c r="CQ246" i="34"/>
  <c r="CR246" i="34"/>
  <c r="CW246" i="34"/>
  <c r="DA246" i="34" s="1" a="1"/>
  <c r="DA246" i="34" s="1"/>
  <c r="CX246" i="34"/>
  <c r="DC246" i="34"/>
  <c r="DD246" i="34"/>
  <c r="DF246" i="34" s="1" a="1"/>
  <c r="DF246" i="34"/>
  <c r="DG246" i="34" a="1"/>
  <c r="DG246" i="34" s="1"/>
  <c r="DI246" i="34"/>
  <c r="DJ246" i="34"/>
  <c r="DL246" i="34" a="1"/>
  <c r="DL246" i="34"/>
  <c r="DM246" i="34" a="1"/>
  <c r="DM246" i="34" s="1"/>
  <c r="DO246" i="34"/>
  <c r="DP246" i="34"/>
  <c r="DU246" i="34"/>
  <c r="DV246" i="34"/>
  <c r="DX246" i="34" a="1"/>
  <c r="DX246" i="34" s="1"/>
  <c r="EA246" i="34"/>
  <c r="EB246" i="34"/>
  <c r="EE246" i="34" s="1" a="1"/>
  <c r="EE246" i="34" s="1"/>
  <c r="ED246" i="34" a="1"/>
  <c r="ED246" i="34" s="1"/>
  <c r="BS247" i="34"/>
  <c r="BT247" i="34"/>
  <c r="BV247" i="34" a="1"/>
  <c r="BV247" i="34"/>
  <c r="BW247" i="34" a="1"/>
  <c r="BW247" i="34"/>
  <c r="BY247" i="34"/>
  <c r="BZ247" i="34"/>
  <c r="CE247" i="34"/>
  <c r="CI247" i="34" s="1" a="1"/>
  <c r="CI247" i="34" s="1"/>
  <c r="CF247" i="34"/>
  <c r="CH247" i="34" a="1"/>
  <c r="CH247" i="34" s="1"/>
  <c r="CK247" i="34"/>
  <c r="CL247" i="34"/>
  <c r="CN247" i="34" a="1"/>
  <c r="CN247" i="34"/>
  <c r="CO247" i="34" a="1"/>
  <c r="CO247" i="34" s="1"/>
  <c r="CQ247" i="34" a="1"/>
  <c r="CQ247" i="34"/>
  <c r="CU247" i="34" s="1" a="1"/>
  <c r="CR247" i="34"/>
  <c r="CT247" i="34" a="1"/>
  <c r="CT247" i="34"/>
  <c r="CU247" i="34"/>
  <c r="CW247" i="34"/>
  <c r="CX247" i="34"/>
  <c r="CZ247" i="34" a="1"/>
  <c r="CZ247" i="34"/>
  <c r="DA247" i="34" a="1"/>
  <c r="DA247" i="34"/>
  <c r="DC247" i="34"/>
  <c r="DD247" i="34"/>
  <c r="DI247" i="34"/>
  <c r="DJ247" i="34"/>
  <c r="DO247" i="34"/>
  <c r="DP247" i="34"/>
  <c r="DR247" i="34" a="1"/>
  <c r="DR247" i="34" s="1"/>
  <c r="DS247" i="34" a="1"/>
  <c r="DS247" i="34" s="1"/>
  <c r="DU247" i="34"/>
  <c r="DV247" i="34"/>
  <c r="DX247" i="34" a="1"/>
  <c r="DX247" i="34"/>
  <c r="DY247" i="34" a="1"/>
  <c r="DY247" i="34" s="1"/>
  <c r="EA247" i="34"/>
  <c r="EB247" i="34"/>
  <c r="BS248" i="34"/>
  <c r="BW248" i="34" s="1" a="1"/>
  <c r="BW248" i="34" s="1"/>
  <c r="BT248" i="34"/>
  <c r="BV248" i="34" a="1"/>
  <c r="BV248" i="34" s="1"/>
  <c r="BY248" i="34"/>
  <c r="CC248" i="34" s="1" a="1"/>
  <c r="BZ248" i="34"/>
  <c r="CB248" i="34" a="1"/>
  <c r="CB248" i="34" s="1"/>
  <c r="CC248" i="34"/>
  <c r="CE248" i="34"/>
  <c r="CF248" i="34"/>
  <c r="CH248" i="34" a="1"/>
  <c r="CH248" i="34" s="1"/>
  <c r="CI248" i="34" a="1"/>
  <c r="CI248" i="34" s="1"/>
  <c r="CK248" i="34"/>
  <c r="CL248" i="34"/>
  <c r="CQ248" i="34" a="1"/>
  <c r="CQ248" i="34" s="1"/>
  <c r="CR248" i="34"/>
  <c r="CW248" i="34"/>
  <c r="CX248" i="34"/>
  <c r="CZ248" i="34" s="1" a="1"/>
  <c r="CZ248" i="34" s="1"/>
  <c r="DA248" i="34" a="1"/>
  <c r="DA248" i="34" s="1"/>
  <c r="DC248" i="34"/>
  <c r="DD248" i="34"/>
  <c r="DF248" i="34" a="1"/>
  <c r="DF248" i="34"/>
  <c r="DG248" i="34" a="1"/>
  <c r="DG248" i="34" s="1"/>
  <c r="DI248" i="34"/>
  <c r="DJ248" i="34"/>
  <c r="DO248" i="34"/>
  <c r="DP248" i="34"/>
  <c r="DR248" i="34" s="1" a="1"/>
  <c r="DR248" i="34" s="1"/>
  <c r="DU248" i="34"/>
  <c r="DV248" i="34"/>
  <c r="DX248" i="34" s="1" a="1"/>
  <c r="DX248" i="34" s="1"/>
  <c r="EA248" i="34"/>
  <c r="EB248" i="34"/>
  <c r="ED248" i="34" s="1" a="1"/>
  <c r="ED248" i="34" s="1"/>
  <c r="EE248" i="34" a="1"/>
  <c r="EE248" i="34"/>
  <c r="BS249" i="34"/>
  <c r="BT249" i="34"/>
  <c r="BY249" i="34"/>
  <c r="CC249" i="34" s="1" a="1"/>
  <c r="CC249" i="34" s="1"/>
  <c r="BZ249" i="34"/>
  <c r="CE249" i="34"/>
  <c r="CF249" i="34"/>
  <c r="CH249" i="34" a="1"/>
  <c r="CH249" i="34"/>
  <c r="CI249" i="34" a="1"/>
  <c r="CI249" i="34" s="1"/>
  <c r="CK249" i="34"/>
  <c r="CL249" i="34"/>
  <c r="CN249" i="34" a="1"/>
  <c r="CN249" i="34"/>
  <c r="CO249" i="34" a="1"/>
  <c r="CO249" i="34" s="1"/>
  <c r="CQ249" i="34" a="1"/>
  <c r="CQ249" i="34" s="1"/>
  <c r="CR249" i="34"/>
  <c r="CW249" i="34"/>
  <c r="CX249" i="34"/>
  <c r="DC249" i="34"/>
  <c r="DD249" i="34"/>
  <c r="DI249" i="34"/>
  <c r="DJ249" i="34"/>
  <c r="DL249" i="34" a="1"/>
  <c r="DL249" i="34" s="1"/>
  <c r="DM249" i="34" a="1"/>
  <c r="DM249" i="34" s="1"/>
  <c r="DO249" i="34"/>
  <c r="DP249" i="34"/>
  <c r="DR249" i="34" a="1"/>
  <c r="DR249" i="34"/>
  <c r="DS249" i="34" a="1"/>
  <c r="DS249" i="34"/>
  <c r="DU249" i="34"/>
  <c r="DV249" i="34"/>
  <c r="EA249" i="34"/>
  <c r="EE249" i="34" s="1" a="1"/>
  <c r="EE249" i="34" s="1"/>
  <c r="EB249" i="34"/>
  <c r="ED249" i="34" a="1"/>
  <c r="ED249" i="34" s="1"/>
  <c r="BS250" i="34"/>
  <c r="BW250" i="34" s="1" a="1"/>
  <c r="BW250" i="34" s="1"/>
  <c r="BT250" i="34"/>
  <c r="BV250" i="34" a="1"/>
  <c r="BV250" i="34" s="1"/>
  <c r="BY250" i="34"/>
  <c r="BZ250" i="34"/>
  <c r="CB250" i="34" a="1"/>
  <c r="CB250" i="34" s="1"/>
  <c r="CC250" i="34" a="1"/>
  <c r="CC250" i="34" s="1"/>
  <c r="CE250" i="34"/>
  <c r="CF250" i="34"/>
  <c r="CK250" i="34"/>
  <c r="CL250" i="34"/>
  <c r="CQ250" i="34" a="1"/>
  <c r="CQ250" i="34" s="1"/>
  <c r="CR250" i="34"/>
  <c r="CW250" i="34"/>
  <c r="CX250" i="34"/>
  <c r="CZ250" i="34" a="1"/>
  <c r="CZ250" i="34"/>
  <c r="DA250" i="34" a="1"/>
  <c r="DA250" i="34" s="1"/>
  <c r="DC250" i="34"/>
  <c r="DD250" i="34"/>
  <c r="DI250" i="34"/>
  <c r="DJ250" i="34"/>
  <c r="DL250" i="34" s="1" a="1"/>
  <c r="DL250" i="34" s="1"/>
  <c r="DO250" i="34"/>
  <c r="DP250" i="34"/>
  <c r="DU250" i="34"/>
  <c r="DV250" i="34"/>
  <c r="DX250" i="34" s="1" a="1"/>
  <c r="DX250" i="34" s="1"/>
  <c r="DY250" i="34" a="1"/>
  <c r="DY250" i="34"/>
  <c r="EA250" i="34"/>
  <c r="EB250" i="34"/>
  <c r="BS251" i="34"/>
  <c r="BW251" i="34" s="1" a="1"/>
  <c r="BW251" i="34" s="1"/>
  <c r="BT251" i="34"/>
  <c r="BV251" i="34" a="1"/>
  <c r="BV251" i="34" s="1"/>
  <c r="BY251" i="34"/>
  <c r="BZ251" i="34"/>
  <c r="CC251" i="34" s="1" a="1"/>
  <c r="CC251" i="34" s="1"/>
  <c r="CB251" i="34" a="1"/>
  <c r="CB251" i="34" s="1"/>
  <c r="CE251" i="34"/>
  <c r="CF251" i="34"/>
  <c r="CH251" i="34" a="1"/>
  <c r="CH251" i="34"/>
  <c r="CI251" i="34" a="1"/>
  <c r="CI251" i="34" s="1"/>
  <c r="CK251" i="34"/>
  <c r="CL251" i="34"/>
  <c r="CQ251" i="34" a="1"/>
  <c r="CQ251" i="34"/>
  <c r="CR251" i="34"/>
  <c r="CW251" i="34"/>
  <c r="CX251" i="34"/>
  <c r="DC251" i="34"/>
  <c r="DD251" i="34"/>
  <c r="DF251" i="34" a="1"/>
  <c r="DF251" i="34" s="1"/>
  <c r="DG251" i="34" a="1"/>
  <c r="DG251" i="34" s="1"/>
  <c r="DI251" i="34"/>
  <c r="DJ251" i="34"/>
  <c r="DL251" i="34" a="1"/>
  <c r="DL251" i="34"/>
  <c r="DM251" i="34" a="1"/>
  <c r="DM251" i="34" s="1"/>
  <c r="DO251" i="34"/>
  <c r="DR251" i="34" s="1" a="1"/>
  <c r="DR251" i="34" s="1"/>
  <c r="DP251" i="34"/>
  <c r="DS251" i="34" s="1" a="1"/>
  <c r="DS251" i="34" s="1"/>
  <c r="DU251" i="34"/>
  <c r="DX251" i="34" s="1" a="1"/>
  <c r="DX251" i="34" s="1"/>
  <c r="DV251" i="34"/>
  <c r="EA251" i="34"/>
  <c r="EE251" i="34" s="1" a="1"/>
  <c r="EB251" i="34"/>
  <c r="ED251" i="34" a="1"/>
  <c r="ED251" i="34" s="1"/>
  <c r="EE251" i="34"/>
  <c r="BS252" i="34"/>
  <c r="BT252" i="34"/>
  <c r="BV252" i="34" a="1"/>
  <c r="BV252" i="34" s="1"/>
  <c r="BW252" i="34" a="1"/>
  <c r="BW252" i="34" s="1"/>
  <c r="BY252" i="34"/>
  <c r="BZ252" i="34"/>
  <c r="CE252" i="34"/>
  <c r="CF252" i="34"/>
  <c r="CK252" i="34"/>
  <c r="CL252" i="34"/>
  <c r="CN252" i="34" a="1"/>
  <c r="CN252" i="34" s="1"/>
  <c r="CO252" i="34" a="1"/>
  <c r="CO252" i="34"/>
  <c r="CQ252" i="34" a="1"/>
  <c r="CQ252" i="34" s="1"/>
  <c r="CT252" i="34" s="1" a="1"/>
  <c r="CT252" i="34" s="1"/>
  <c r="CR252" i="34"/>
  <c r="CW252" i="34"/>
  <c r="CX252" i="34"/>
  <c r="DC252" i="34"/>
  <c r="DD252" i="34"/>
  <c r="DI252" i="34"/>
  <c r="DJ252" i="34"/>
  <c r="DL252" i="34" s="1" a="1"/>
  <c r="DL252" i="34" s="1"/>
  <c r="DO252" i="34"/>
  <c r="DP252" i="34"/>
  <c r="DR252" i="34" s="1" a="1"/>
  <c r="DR252" i="34" s="1"/>
  <c r="DS252" i="34" a="1"/>
  <c r="DS252" i="34"/>
  <c r="DU252" i="34"/>
  <c r="DV252" i="34"/>
  <c r="EA252" i="34"/>
  <c r="EE252" i="34" s="1" a="1"/>
  <c r="EE252" i="34" s="1"/>
  <c r="EB252" i="34"/>
  <c r="ED252" i="34" a="1"/>
  <c r="ED252" i="34" s="1"/>
  <c r="BS253" i="34"/>
  <c r="BT253" i="34"/>
  <c r="BW253" i="34" s="1" a="1"/>
  <c r="BW253" i="34" s="1"/>
  <c r="BV253" i="34" a="1"/>
  <c r="BV253" i="34" s="1"/>
  <c r="BY253" i="34"/>
  <c r="BZ253" i="34"/>
  <c r="CB253" i="34" a="1"/>
  <c r="CB253" i="34"/>
  <c r="CC253" i="34" a="1"/>
  <c r="CC253" i="34" s="1"/>
  <c r="CE253" i="34"/>
  <c r="CF253" i="34"/>
  <c r="CK253" i="34"/>
  <c r="CO253" i="34" s="1" a="1"/>
  <c r="CO253" i="34" s="1"/>
  <c r="CL253" i="34"/>
  <c r="CN253" i="34" a="1"/>
  <c r="CN253" i="34" s="1"/>
  <c r="CQ253" i="34" a="1"/>
  <c r="CQ253" i="34"/>
  <c r="CR253" i="34"/>
  <c r="CW253" i="34"/>
  <c r="CX253" i="34"/>
  <c r="CZ253" i="34" a="1"/>
  <c r="CZ253" i="34" s="1"/>
  <c r="DA253" i="34" a="1"/>
  <c r="DA253" i="34"/>
  <c r="DC253" i="34"/>
  <c r="DD253" i="34"/>
  <c r="DF253" i="34" a="1"/>
  <c r="DF253" i="34"/>
  <c r="DG253" i="34" a="1"/>
  <c r="DG253" i="34"/>
  <c r="DI253" i="34"/>
  <c r="DJ253" i="34"/>
  <c r="DM253" i="34" s="1" a="1"/>
  <c r="DM253" i="34" s="1"/>
  <c r="DO253" i="34"/>
  <c r="DS253" i="34" s="1" a="1"/>
  <c r="DS253" i="34" s="1"/>
  <c r="DP253" i="34"/>
  <c r="DU253" i="34"/>
  <c r="DY253" i="34" s="1" a="1"/>
  <c r="DY253" i="34" s="1"/>
  <c r="DV253" i="34"/>
  <c r="DX253" i="34" a="1"/>
  <c r="DX253" i="34"/>
  <c r="EA253" i="34"/>
  <c r="EB253" i="34"/>
  <c r="ED253" i="34" a="1"/>
  <c r="ED253" i="34" s="1"/>
  <c r="EE253" i="34" a="1"/>
  <c r="EE253" i="34"/>
  <c r="BS254" i="34"/>
  <c r="BT254" i="34"/>
  <c r="BY254" i="34"/>
  <c r="BZ254" i="34"/>
  <c r="CE254" i="34"/>
  <c r="CF254" i="34"/>
  <c r="CH254" i="34" a="1"/>
  <c r="CH254" i="34" s="1"/>
  <c r="CI254" i="34" a="1"/>
  <c r="CI254" i="34"/>
  <c r="CK254" i="34"/>
  <c r="CL254" i="34"/>
  <c r="CN254" i="34" a="1"/>
  <c r="CN254" i="34"/>
  <c r="CO254" i="34" a="1"/>
  <c r="CO254" i="34" s="1"/>
  <c r="CQ254" i="34" a="1"/>
  <c r="CQ254" i="34"/>
  <c r="CR254" i="34"/>
  <c r="CW254" i="34"/>
  <c r="CX254" i="34"/>
  <c r="CZ254" i="34" s="1" a="1"/>
  <c r="CZ254" i="34" s="1"/>
  <c r="DC254" i="34"/>
  <c r="DD254" i="34"/>
  <c r="DF254" i="34" a="1"/>
  <c r="DF254" i="34" s="1"/>
  <c r="DG254" i="34" a="1"/>
  <c r="DG254" i="34" s="1"/>
  <c r="DI254" i="34"/>
  <c r="DJ254" i="34"/>
  <c r="DL254" i="34" a="1"/>
  <c r="DL254" i="34"/>
  <c r="DM254" i="34" a="1"/>
  <c r="DM254" i="34" s="1"/>
  <c r="DO254" i="34"/>
  <c r="DP254" i="34"/>
  <c r="DU254" i="34"/>
  <c r="DY254" i="34" s="1" a="1"/>
  <c r="DY254" i="34" s="1"/>
  <c r="DV254" i="34"/>
  <c r="DX254" i="34" a="1"/>
  <c r="DX254" i="34" s="1"/>
  <c r="EA254" i="34"/>
  <c r="EB254" i="34"/>
  <c r="ED254" i="34" a="1"/>
  <c r="ED254" i="34" s="1"/>
  <c r="EE254" i="34" a="1"/>
  <c r="EE254" i="34" s="1"/>
  <c r="BS255" i="34"/>
  <c r="BT255" i="34"/>
  <c r="BV255" i="34" a="1"/>
  <c r="BV255" i="34"/>
  <c r="BW255" i="34" a="1"/>
  <c r="BW255" i="34" s="1"/>
  <c r="BY255" i="34"/>
  <c r="BZ255" i="34"/>
  <c r="CE255" i="34"/>
  <c r="CF255" i="34"/>
  <c r="CH255" i="34" s="1" a="1"/>
  <c r="CH255" i="34" s="1"/>
  <c r="CK255" i="34"/>
  <c r="CL255" i="34"/>
  <c r="CN255" i="34" a="1"/>
  <c r="CN255" i="34" s="1"/>
  <c r="CO255" i="34" a="1"/>
  <c r="CO255" i="34" s="1"/>
  <c r="CQ255" i="34" a="1"/>
  <c r="CQ255" i="34"/>
  <c r="CR255" i="34"/>
  <c r="CT255" i="34" a="1"/>
  <c r="CT255" i="34" s="1"/>
  <c r="CU255" i="34" a="1"/>
  <c r="CU255" i="34"/>
  <c r="CW255" i="34"/>
  <c r="CX255" i="34"/>
  <c r="CZ255" i="34" a="1"/>
  <c r="CZ255" i="34"/>
  <c r="DA255" i="34" a="1"/>
  <c r="DA255" i="34" s="1"/>
  <c r="DC255" i="34"/>
  <c r="DD255" i="34"/>
  <c r="DG255" i="34" s="1" a="1"/>
  <c r="DG255" i="34" s="1"/>
  <c r="DI255" i="34"/>
  <c r="DJ255" i="34"/>
  <c r="DL255" i="34" s="1" a="1"/>
  <c r="DL255" i="34" s="1"/>
  <c r="DO255" i="34"/>
  <c r="DS255" i="34" s="1" a="1"/>
  <c r="DS255" i="34" s="1"/>
  <c r="DP255" i="34"/>
  <c r="DR255" i="34" a="1"/>
  <c r="DR255" i="34"/>
  <c r="DU255" i="34"/>
  <c r="DV255" i="34"/>
  <c r="DX255" i="34" a="1"/>
  <c r="DX255" i="34"/>
  <c r="DY255" i="34" a="1"/>
  <c r="DY255" i="34"/>
  <c r="EA255" i="34"/>
  <c r="EB255" i="34"/>
  <c r="BS256" i="34"/>
  <c r="BT256" i="34"/>
  <c r="BY256" i="34"/>
  <c r="BZ256" i="34"/>
  <c r="CB256" i="34" a="1"/>
  <c r="CB256" i="34"/>
  <c r="CC256" i="34" a="1"/>
  <c r="CC256" i="34" s="1"/>
  <c r="CE256" i="34"/>
  <c r="CF256" i="34"/>
  <c r="CH256" i="34" a="1"/>
  <c r="CH256" i="34" s="1"/>
  <c r="CI256" i="34" a="1"/>
  <c r="CI256" i="34"/>
  <c r="CK256" i="34"/>
  <c r="CN256" i="34" s="1" a="1"/>
  <c r="CN256" i="34" s="1"/>
  <c r="CL256" i="34"/>
  <c r="CO256" i="34" s="1" a="1"/>
  <c r="CO256" i="34" s="1"/>
  <c r="CQ256" i="34" a="1"/>
  <c r="CQ256" i="34"/>
  <c r="CU256" i="34" s="1" a="1"/>
  <c r="CU256" i="34" s="1"/>
  <c r="CR256" i="34"/>
  <c r="CT256" i="34" a="1"/>
  <c r="CT256" i="34" s="1"/>
  <c r="CW256" i="34"/>
  <c r="CX256" i="34"/>
  <c r="DA256" i="34" s="1" a="1"/>
  <c r="DA256" i="34" s="1"/>
  <c r="CZ256" i="34" a="1"/>
  <c r="CZ256" i="34" s="1"/>
  <c r="DC256" i="34"/>
  <c r="DD256" i="34"/>
  <c r="DF256" i="34" a="1"/>
  <c r="DF256" i="34"/>
  <c r="DG256" i="34" a="1"/>
  <c r="DG256" i="34" s="1"/>
  <c r="DI256" i="34"/>
  <c r="DJ256" i="34"/>
  <c r="DO256" i="34"/>
  <c r="DS256" i="34" s="1" a="1"/>
  <c r="DS256" i="34" s="1"/>
  <c r="DP256" i="34"/>
  <c r="DR256" i="34" a="1"/>
  <c r="DR256" i="34" s="1"/>
  <c r="DU256" i="34"/>
  <c r="DV256" i="34"/>
  <c r="DY256" i="34" s="1" a="1"/>
  <c r="DY256" i="34" s="1"/>
  <c r="DX256" i="34" a="1"/>
  <c r="DX256" i="34" s="1"/>
  <c r="EA256" i="34"/>
  <c r="EB256" i="34"/>
  <c r="ED256" i="34" a="1"/>
  <c r="ED256" i="34" s="1"/>
  <c r="EE256" i="34" a="1"/>
  <c r="EE256" i="34" s="1"/>
  <c r="BS257" i="34"/>
  <c r="BT257" i="34"/>
  <c r="BY257" i="34"/>
  <c r="CC257" i="34" s="1" a="1"/>
  <c r="CC257" i="34" s="1"/>
  <c r="BZ257" i="34"/>
  <c r="CB257" i="34" a="1"/>
  <c r="CB257" i="34" s="1"/>
  <c r="CE257" i="34"/>
  <c r="CI257" i="34" s="1" a="1"/>
  <c r="CI257" i="34" s="1"/>
  <c r="CF257" i="34"/>
  <c r="CH257" i="34" a="1"/>
  <c r="CH257" i="34" s="1"/>
  <c r="CK257" i="34"/>
  <c r="CL257" i="34"/>
  <c r="CN257" i="34" a="1"/>
  <c r="CN257" i="34"/>
  <c r="CO257" i="34" a="1"/>
  <c r="CO257" i="34" s="1"/>
  <c r="CQ257" i="34" a="1"/>
  <c r="CQ257" i="34" s="1"/>
  <c r="CU257" i="34" s="1" a="1"/>
  <c r="CR257" i="34"/>
  <c r="CT257" i="34" a="1"/>
  <c r="CT257" i="34"/>
  <c r="CU257" i="34"/>
  <c r="CW257" i="34"/>
  <c r="CX257" i="34"/>
  <c r="DA257" i="34" s="1" a="1"/>
  <c r="DA257" i="34" s="1"/>
  <c r="DC257" i="34"/>
  <c r="DG257" i="34" s="1" a="1"/>
  <c r="DG257" i="34" s="1"/>
  <c r="DD257" i="34"/>
  <c r="DI257" i="34"/>
  <c r="DL257" i="34" s="1" a="1"/>
  <c r="DL257" i="34" s="1"/>
  <c r="DJ257" i="34"/>
  <c r="DO257" i="34"/>
  <c r="DP257" i="34"/>
  <c r="DR257" i="34" a="1"/>
  <c r="DR257" i="34"/>
  <c r="DS257" i="34" a="1"/>
  <c r="DS257" i="34" s="1"/>
  <c r="DU257" i="34"/>
  <c r="DY257" i="34" s="1" a="1"/>
  <c r="DY257" i="34" s="1"/>
  <c r="DV257" i="34"/>
  <c r="EA257" i="34"/>
  <c r="EB257" i="34"/>
  <c r="BS258" i="34"/>
  <c r="BT258" i="34"/>
  <c r="BV258" i="34" a="1"/>
  <c r="BV258" i="34" s="1"/>
  <c r="BW258" i="34" a="1"/>
  <c r="BW258" i="34"/>
  <c r="BY258" i="34"/>
  <c r="BZ258" i="34"/>
  <c r="CB258" i="34" a="1"/>
  <c r="CB258" i="34"/>
  <c r="CC258" i="34" a="1"/>
  <c r="CC258" i="34" s="1"/>
  <c r="CE258" i="34"/>
  <c r="CH258" i="34" s="1" a="1"/>
  <c r="CH258" i="34" s="1"/>
  <c r="CF258" i="34"/>
  <c r="CI258" i="34" s="1" a="1"/>
  <c r="CI258" i="34" s="1"/>
  <c r="CK258" i="34"/>
  <c r="CN258" i="34" s="1" a="1"/>
  <c r="CN258" i="34" s="1"/>
  <c r="CL258" i="34"/>
  <c r="CQ258" i="34" a="1"/>
  <c r="CQ258" i="34" s="1"/>
  <c r="CR258" i="34"/>
  <c r="CW258" i="34"/>
  <c r="CX258" i="34"/>
  <c r="CZ258" i="34" a="1"/>
  <c r="CZ258" i="34"/>
  <c r="DA258" i="34" a="1"/>
  <c r="DA258" i="34" s="1"/>
  <c r="DC258" i="34"/>
  <c r="DF258" i="34" s="1" a="1"/>
  <c r="DD258" i="34"/>
  <c r="DF258" i="34"/>
  <c r="DG258" i="34" a="1"/>
  <c r="DG258" i="34" s="1"/>
  <c r="DI258" i="34"/>
  <c r="DM258" i="34" s="1" a="1"/>
  <c r="DM258" i="34" s="1"/>
  <c r="DJ258" i="34"/>
  <c r="DL258" i="34" a="1"/>
  <c r="DL258" i="34" s="1"/>
  <c r="DO258" i="34"/>
  <c r="DP258" i="34"/>
  <c r="DS258" i="34" s="1" a="1"/>
  <c r="DS258" i="34" s="1"/>
  <c r="DR258" i="34" a="1"/>
  <c r="DR258" i="34" s="1"/>
  <c r="DU258" i="34"/>
  <c r="DV258" i="34"/>
  <c r="DX258" i="34" s="1" a="1"/>
  <c r="DX258" i="34" s="1"/>
  <c r="DY258" i="34" a="1"/>
  <c r="DY258" i="34" s="1"/>
  <c r="EA258" i="34"/>
  <c r="EB258" i="34"/>
  <c r="BS259" i="34"/>
  <c r="BW259" i="34" s="1" a="1"/>
  <c r="BT259" i="34"/>
  <c r="BV259" i="34" a="1"/>
  <c r="BV259" i="34" s="1"/>
  <c r="BW259" i="34"/>
  <c r="BY259" i="34"/>
  <c r="BZ259" i="34"/>
  <c r="CE259" i="34"/>
  <c r="CF259" i="34"/>
  <c r="CH259" i="34" a="1"/>
  <c r="CH259" i="34"/>
  <c r="CI259" i="34" a="1"/>
  <c r="CI259" i="34" s="1"/>
  <c r="CK259" i="34"/>
  <c r="CN259" i="34" s="1" a="1"/>
  <c r="CL259" i="34"/>
  <c r="CN259" i="34"/>
  <c r="CO259" i="34" a="1"/>
  <c r="CO259" i="34"/>
  <c r="CQ259" i="34" a="1"/>
  <c r="CQ259" i="34" s="1"/>
  <c r="CR259" i="34"/>
  <c r="CW259" i="34"/>
  <c r="CX259" i="34"/>
  <c r="DC259" i="34"/>
  <c r="DG259" i="34" s="1" a="1"/>
  <c r="DD259" i="34"/>
  <c r="DG259" i="34"/>
  <c r="DI259" i="34"/>
  <c r="DJ259" i="34"/>
  <c r="DL259" i="34" a="1"/>
  <c r="DL259" i="34"/>
  <c r="DM259" i="34" a="1"/>
  <c r="DM259" i="34" s="1"/>
  <c r="DO259" i="34"/>
  <c r="DS259" i="34" s="1" a="1"/>
  <c r="DS259" i="34" s="1"/>
  <c r="DP259" i="34"/>
  <c r="DU259" i="34"/>
  <c r="DV259" i="34"/>
  <c r="EA259" i="34"/>
  <c r="EB259" i="34"/>
  <c r="ED259" i="34" a="1"/>
  <c r="ED259" i="34" s="1"/>
  <c r="EE259" i="34" a="1"/>
  <c r="EE259" i="34"/>
  <c r="BS260" i="34"/>
  <c r="BT260" i="34"/>
  <c r="BV260" i="34" a="1"/>
  <c r="BV260" i="34" s="1"/>
  <c r="BW260" i="34" a="1"/>
  <c r="BW260" i="34" s="1"/>
  <c r="BY260" i="34"/>
  <c r="BZ260" i="34"/>
  <c r="CC260" i="34" s="1" a="1"/>
  <c r="CC260" i="34" s="1"/>
  <c r="CE260" i="34"/>
  <c r="CI260" i="34" s="1" a="1"/>
  <c r="CI260" i="34" s="1"/>
  <c r="CF260" i="34"/>
  <c r="CK260" i="34"/>
  <c r="CO260" i="34" s="1" a="1"/>
  <c r="CO260" i="34" s="1"/>
  <c r="CL260" i="34"/>
  <c r="CQ260" i="34" a="1"/>
  <c r="CQ260" i="34" s="1"/>
  <c r="CT260" i="34" s="1" a="1"/>
  <c r="CT260" i="34" s="1"/>
  <c r="CR260" i="34"/>
  <c r="CU260" i="34" a="1"/>
  <c r="CU260" i="34" s="1"/>
  <c r="CW260" i="34"/>
  <c r="CZ260" i="34" s="1" a="1"/>
  <c r="CZ260" i="34" s="1"/>
  <c r="CX260" i="34"/>
  <c r="DC260" i="34"/>
  <c r="DG260" i="34" s="1" a="1"/>
  <c r="DG260" i="34" s="1"/>
  <c r="DD260" i="34"/>
  <c r="DI260" i="34"/>
  <c r="DJ260" i="34"/>
  <c r="DL260" i="34" s="1" a="1"/>
  <c r="DL260" i="34" s="1"/>
  <c r="DM260" i="34" a="1"/>
  <c r="DM260" i="34" s="1"/>
  <c r="DO260" i="34"/>
  <c r="DP260" i="34"/>
  <c r="DU260" i="34"/>
  <c r="DV260" i="34"/>
  <c r="EA260" i="34"/>
  <c r="EE260" i="34" s="1" a="1"/>
  <c r="EE260" i="34" s="1"/>
  <c r="EB260" i="34"/>
  <c r="BS261" i="34"/>
  <c r="BT261" i="34"/>
  <c r="BV261" i="34" a="1"/>
  <c r="BV261" i="34" s="1"/>
  <c r="BW261" i="34" a="1"/>
  <c r="BW261" i="34" s="1"/>
  <c r="BY261" i="34"/>
  <c r="BZ261" i="34"/>
  <c r="CB261" i="34" a="1"/>
  <c r="CB261" i="34"/>
  <c r="CC261" i="34" a="1"/>
  <c r="CC261" i="34" s="1"/>
  <c r="CE261" i="34"/>
  <c r="CH261" i="34" s="1" a="1"/>
  <c r="CF261" i="34"/>
  <c r="CH261" i="34"/>
  <c r="CI261" i="34" a="1"/>
  <c r="CI261" i="34" s="1"/>
  <c r="CK261" i="34"/>
  <c r="CO261" i="34" s="1" a="1"/>
  <c r="CO261" i="34" s="1"/>
  <c r="CL261" i="34"/>
  <c r="CN261" i="34" a="1"/>
  <c r="CN261" i="34" s="1"/>
  <c r="CQ261" i="34" a="1"/>
  <c r="CQ261" i="34"/>
  <c r="CU261" i="34" s="1" a="1"/>
  <c r="CU261" i="34" s="1"/>
  <c r="CR261" i="34"/>
  <c r="CT261" i="34" a="1"/>
  <c r="CT261" i="34" s="1"/>
  <c r="CW261" i="34"/>
  <c r="CZ261" i="34" s="1" a="1"/>
  <c r="CZ261" i="34" s="1"/>
  <c r="CX261" i="34"/>
  <c r="DC261" i="34"/>
  <c r="DD261" i="34"/>
  <c r="DF261" i="34" a="1"/>
  <c r="DF261" i="34"/>
  <c r="DG261" i="34" a="1"/>
  <c r="DG261" i="34" s="1"/>
  <c r="DI261" i="34"/>
  <c r="DM261" i="34" s="1" a="1"/>
  <c r="DJ261" i="34"/>
  <c r="DM261" i="34"/>
  <c r="DO261" i="34"/>
  <c r="DP261" i="34"/>
  <c r="DU261" i="34"/>
  <c r="DX261" i="34" s="1" a="1"/>
  <c r="DX261" i="34" s="1"/>
  <c r="DV261" i="34"/>
  <c r="DY261" i="34" a="1"/>
  <c r="DY261" i="34" s="1"/>
  <c r="EA261" i="34"/>
  <c r="EB261" i="34"/>
  <c r="ED261" i="34" a="1"/>
  <c r="ED261" i="34"/>
  <c r="EE261" i="34" a="1"/>
  <c r="EE261" i="34" s="1"/>
  <c r="BS262" i="34"/>
  <c r="BV262" i="34" s="1" a="1"/>
  <c r="BV262" i="34" s="1"/>
  <c r="BT262" i="34"/>
  <c r="BW262" i="34" a="1"/>
  <c r="BW262" i="34"/>
  <c r="BY262" i="34"/>
  <c r="CC262" i="34" s="1" a="1"/>
  <c r="CC262" i="34" s="1"/>
  <c r="BZ262" i="34"/>
  <c r="CE262" i="34"/>
  <c r="CI262" i="34" s="1" a="1"/>
  <c r="CI262" i="34" s="1"/>
  <c r="CF262" i="34"/>
  <c r="CK262" i="34"/>
  <c r="CL262" i="34"/>
  <c r="CN262" i="34" a="1"/>
  <c r="CN262" i="34"/>
  <c r="CO262" i="34" a="1"/>
  <c r="CO262" i="34"/>
  <c r="CQ262" i="34" a="1"/>
  <c r="CQ262" i="34" s="1"/>
  <c r="CR262" i="34"/>
  <c r="CW262" i="34"/>
  <c r="DA262" i="34" s="1" a="1"/>
  <c r="CX262" i="34"/>
  <c r="CZ262" i="34" a="1"/>
  <c r="CZ262" i="34" s="1"/>
  <c r="DA262" i="34"/>
  <c r="DC262" i="34"/>
  <c r="DF262" i="34" s="1" a="1"/>
  <c r="DF262" i="34" s="1"/>
  <c r="DD262" i="34"/>
  <c r="DI262" i="34"/>
  <c r="DJ262" i="34"/>
  <c r="DL262" i="34" s="1" a="1"/>
  <c r="DL262" i="34" s="1"/>
  <c r="DO262" i="34"/>
  <c r="DR262" i="34" s="1" a="1"/>
  <c r="DR262" i="34" s="1"/>
  <c r="DP262" i="34"/>
  <c r="DU262" i="34"/>
  <c r="DV262" i="34"/>
  <c r="DX262" i="34" a="1"/>
  <c r="DX262" i="34" s="1"/>
  <c r="EA262" i="34"/>
  <c r="EB262" i="34"/>
  <c r="BS263" i="34"/>
  <c r="BT263" i="34"/>
  <c r="BV263" i="34" s="1" a="1"/>
  <c r="BV263" i="34" s="1"/>
  <c r="BW263" i="34" a="1"/>
  <c r="BW263" i="34" s="1"/>
  <c r="BY263" i="34"/>
  <c r="CB263" i="34" s="1" a="1"/>
  <c r="BZ263" i="34"/>
  <c r="CB263" i="34"/>
  <c r="CC263" i="34" a="1"/>
  <c r="CC263" i="34"/>
  <c r="CE263" i="34"/>
  <c r="CI263" i="34" s="1" a="1"/>
  <c r="CI263" i="34" s="1"/>
  <c r="CF263" i="34"/>
  <c r="CK263" i="34"/>
  <c r="CN263" i="34" s="1" a="1"/>
  <c r="CN263" i="34" s="1"/>
  <c r="CL263" i="34"/>
  <c r="CO263" i="34" a="1"/>
  <c r="CO263" i="34" s="1"/>
  <c r="CQ263" i="34" a="1"/>
  <c r="CQ263" i="34"/>
  <c r="CU263" i="34" s="1" a="1"/>
  <c r="CR263" i="34"/>
  <c r="CT263" i="34" a="1"/>
  <c r="CT263" i="34" s="1"/>
  <c r="CU263" i="34"/>
  <c r="CW263" i="34"/>
  <c r="CX263" i="34"/>
  <c r="CZ263" i="34" a="1"/>
  <c r="CZ263" i="34" s="1"/>
  <c r="DA263" i="34" a="1"/>
  <c r="DA263" i="34"/>
  <c r="DC263" i="34"/>
  <c r="DF263" i="34" s="1" a="1"/>
  <c r="DF263" i="34" s="1"/>
  <c r="DD263" i="34"/>
  <c r="DI263" i="34"/>
  <c r="DJ263" i="34"/>
  <c r="DO263" i="34"/>
  <c r="DS263" i="34" s="1" a="1"/>
  <c r="DS263" i="34" s="1"/>
  <c r="DP263" i="34"/>
  <c r="DR263" i="34" a="1"/>
  <c r="DR263" i="34"/>
  <c r="DU263" i="34"/>
  <c r="DV263" i="34"/>
  <c r="DX263" i="34" a="1"/>
  <c r="DX263" i="34" s="1"/>
  <c r="DY263" i="34" a="1"/>
  <c r="DY263" i="34" s="1"/>
  <c r="EA263" i="34"/>
  <c r="EB263" i="34"/>
  <c r="EE263" i="34" s="1" a="1"/>
  <c r="EE263" i="34" s="1"/>
  <c r="BS264" i="34"/>
  <c r="BW264" i="34" s="1" a="1"/>
  <c r="BW264" i="34" s="1"/>
  <c r="BT264" i="34"/>
  <c r="BV264" i="34" a="1"/>
  <c r="BV264" i="34" s="1"/>
  <c r="BY264" i="34"/>
  <c r="BZ264" i="34"/>
  <c r="CE264" i="34"/>
  <c r="CF264" i="34"/>
  <c r="CH264" i="34" a="1"/>
  <c r="CH264" i="34"/>
  <c r="CI264" i="34" a="1"/>
  <c r="CI264" i="34" s="1"/>
  <c r="CK264" i="34"/>
  <c r="CL264" i="34"/>
  <c r="CO264" i="34" s="1" a="1"/>
  <c r="CO264" i="34" s="1"/>
  <c r="CQ264" i="34" a="1"/>
  <c r="CQ264" i="34" s="1"/>
  <c r="CR264" i="34"/>
  <c r="CW264" i="34"/>
  <c r="CZ264" i="34" s="1" a="1"/>
  <c r="CZ264" i="34" s="1"/>
  <c r="CX264" i="34"/>
  <c r="DA264" i="34" a="1"/>
  <c r="DA264" i="34" s="1"/>
  <c r="DC264" i="34"/>
  <c r="DD264" i="34"/>
  <c r="DF264" i="34" s="1" a="1"/>
  <c r="DF264" i="34" s="1"/>
  <c r="DG264" i="34" a="1"/>
  <c r="DG264" i="34" s="1"/>
  <c r="DI264" i="34"/>
  <c r="DL264" i="34" s="1" a="1"/>
  <c r="DL264" i="34" s="1"/>
  <c r="DJ264" i="34"/>
  <c r="DM264" i="34" a="1"/>
  <c r="DM264" i="34" s="1"/>
  <c r="DO264" i="34"/>
  <c r="DR264" i="34" s="1" a="1"/>
  <c r="DR264" i="34" s="1"/>
  <c r="DP264" i="34"/>
  <c r="DU264" i="34"/>
  <c r="DV264" i="34"/>
  <c r="DX264" i="34" s="1" a="1"/>
  <c r="DX264" i="34" s="1"/>
  <c r="EA264" i="34"/>
  <c r="EB264" i="34"/>
  <c r="ED264" i="34" s="1" a="1"/>
  <c r="ED264" i="34" s="1"/>
  <c r="EE264" i="34" a="1"/>
  <c r="EE264" i="34" s="1"/>
  <c r="BS265" i="34"/>
  <c r="BT265" i="34"/>
  <c r="BY265" i="34"/>
  <c r="CC265" i="34" s="1" a="1"/>
  <c r="BZ265" i="34"/>
  <c r="CB265" i="34" a="1"/>
  <c r="CB265" i="34" s="1"/>
  <c r="CC265" i="34"/>
  <c r="CE265" i="34"/>
  <c r="CF265" i="34"/>
  <c r="CH265" i="34" a="1"/>
  <c r="CH265" i="34" s="1"/>
  <c r="CI265" i="34" a="1"/>
  <c r="CI265" i="34" s="1"/>
  <c r="CK265" i="34"/>
  <c r="CL265" i="34"/>
  <c r="CO265" i="34" s="1" a="1"/>
  <c r="CO265" i="34" s="1"/>
  <c r="CN265" i="34" a="1"/>
  <c r="CN265" i="34" s="1"/>
  <c r="CQ265" i="34" a="1"/>
  <c r="CQ265" i="34" s="1"/>
  <c r="CT265" i="34" s="1" a="1"/>
  <c r="CT265" i="34" s="1"/>
  <c r="CR265" i="34"/>
  <c r="CU265" i="34" a="1"/>
  <c r="CU265" i="34" s="1"/>
  <c r="CW265" i="34"/>
  <c r="CZ265" i="34" s="1" a="1"/>
  <c r="CZ265" i="34" s="1"/>
  <c r="CX265" i="34"/>
  <c r="DA265" i="34" a="1"/>
  <c r="DA265" i="34" s="1"/>
  <c r="DC265" i="34"/>
  <c r="DD265" i="34"/>
  <c r="DI265" i="34"/>
  <c r="DM265" i="34" s="1" a="1"/>
  <c r="DM265" i="34" s="1"/>
  <c r="DJ265" i="34"/>
  <c r="DL265" i="34" a="1"/>
  <c r="DL265" i="34" s="1"/>
  <c r="DO265" i="34"/>
  <c r="DR265" i="34" s="1" a="1"/>
  <c r="DR265" i="34" s="1"/>
  <c r="DP265" i="34"/>
  <c r="DU265" i="34"/>
  <c r="DX265" i="34" s="1" a="1"/>
  <c r="DV265" i="34"/>
  <c r="DX265" i="34"/>
  <c r="EA265" i="34"/>
  <c r="ED265" i="34" s="1" a="1"/>
  <c r="ED265" i="34" s="1"/>
  <c r="EB265" i="34"/>
  <c r="EE265" i="34" a="1"/>
  <c r="EE265" i="34" s="1"/>
  <c r="BS266" i="34"/>
  <c r="BT266" i="34"/>
  <c r="BV266" i="34" a="1"/>
  <c r="BV266" i="34" s="1"/>
  <c r="BW266" i="34" a="1"/>
  <c r="BW266" i="34" s="1"/>
  <c r="BY266" i="34"/>
  <c r="BZ266" i="34"/>
  <c r="CC266" i="34" s="1" a="1"/>
  <c r="CC266" i="34" s="1"/>
  <c r="CE266" i="34"/>
  <c r="CF266" i="34"/>
  <c r="CH266" i="34" a="1"/>
  <c r="CH266" i="34" s="1"/>
  <c r="CI266" i="34" a="1"/>
  <c r="CI266" i="34" s="1"/>
  <c r="CK266" i="34"/>
  <c r="CO266" i="34" s="1" a="1"/>
  <c r="CO266" i="34" s="1"/>
  <c r="CL266" i="34"/>
  <c r="CN266" i="34" a="1"/>
  <c r="CN266" i="34" s="1"/>
  <c r="CQ266" i="34" a="1"/>
  <c r="CQ266" i="34"/>
  <c r="CT266" i="34" s="1" a="1"/>
  <c r="CT266" i="34" s="1"/>
  <c r="CR266" i="34"/>
  <c r="CW266" i="34"/>
  <c r="CZ266" i="34" s="1" a="1"/>
  <c r="CZ266" i="34" s="1"/>
  <c r="CX266" i="34"/>
  <c r="DC266" i="34"/>
  <c r="DG266" i="34" s="1" a="1"/>
  <c r="DG266" i="34" s="1"/>
  <c r="DD266" i="34"/>
  <c r="DF266" i="34" a="1"/>
  <c r="DF266" i="34" s="1"/>
  <c r="DI266" i="34"/>
  <c r="DL266" i="34" s="1" a="1"/>
  <c r="DL266" i="34" s="1"/>
  <c r="DJ266" i="34"/>
  <c r="DM266" i="34" a="1"/>
  <c r="DM266" i="34" s="1"/>
  <c r="DO266" i="34"/>
  <c r="DP266" i="34"/>
  <c r="DR266" i="34" s="1" a="1"/>
  <c r="DR266" i="34" s="1"/>
  <c r="DS266" i="34" a="1"/>
  <c r="DS266" i="34" s="1"/>
  <c r="DU266" i="34"/>
  <c r="DV266" i="34"/>
  <c r="EA266" i="34"/>
  <c r="EB266" i="34"/>
  <c r="ED266" i="34" s="1" a="1"/>
  <c r="ED266" i="34" s="1"/>
  <c r="BS267" i="34"/>
  <c r="BT267" i="34"/>
  <c r="BV267" i="34" s="1" a="1"/>
  <c r="BV267" i="34" s="1"/>
  <c r="BW267" i="34" a="1"/>
  <c r="BW267" i="34" s="1"/>
  <c r="BY267" i="34"/>
  <c r="CB267" i="34" s="1" a="1"/>
  <c r="CB267" i="34" s="1"/>
  <c r="BZ267" i="34"/>
  <c r="CE267" i="34"/>
  <c r="CH267" i="34" s="1" a="1"/>
  <c r="CH267" i="34" s="1"/>
  <c r="CF267" i="34"/>
  <c r="CK267" i="34"/>
  <c r="CO267" i="34" s="1" a="1"/>
  <c r="CO267" i="34" s="1"/>
  <c r="CL267" i="34"/>
  <c r="CN267" i="34" a="1"/>
  <c r="CN267" i="34" s="1"/>
  <c r="CQ267" i="34" a="1"/>
  <c r="CQ267" i="34" s="1"/>
  <c r="CR267" i="34"/>
  <c r="CW267" i="34"/>
  <c r="DA267" i="34" s="1" a="1"/>
  <c r="DA267" i="34" s="1"/>
  <c r="CX267" i="34"/>
  <c r="CZ267" i="34" a="1"/>
  <c r="CZ267" i="34" s="1"/>
  <c r="DC267" i="34"/>
  <c r="DG267" i="34" s="1" a="1"/>
  <c r="DG267" i="34" s="1"/>
  <c r="DD267" i="34"/>
  <c r="DF267" i="34" a="1"/>
  <c r="DF267" i="34" s="1"/>
  <c r="DI267" i="34"/>
  <c r="DL267" i="34" s="1" a="1"/>
  <c r="DL267" i="34" s="1"/>
  <c r="DJ267" i="34"/>
  <c r="DO267" i="34"/>
  <c r="DR267" i="34" s="1" a="1"/>
  <c r="DP267" i="34"/>
  <c r="DR267" i="34"/>
  <c r="DU267" i="34"/>
  <c r="DX267" i="34" s="1" a="1"/>
  <c r="DX267" i="34" s="1"/>
  <c r="DV267" i="34"/>
  <c r="DY267" i="34" a="1"/>
  <c r="DY267" i="34" s="1"/>
  <c r="EA267" i="34"/>
  <c r="EB267" i="34"/>
  <c r="ED267" i="34" a="1"/>
  <c r="ED267" i="34" s="1"/>
  <c r="EE267" i="34" a="1"/>
  <c r="EE267" i="34" s="1"/>
  <c r="BS268" i="34"/>
  <c r="BT268" i="34"/>
  <c r="BW268" i="34" s="1" a="1"/>
  <c r="BW268" i="34" s="1"/>
  <c r="BY268" i="34"/>
  <c r="BZ268" i="34"/>
  <c r="CB268" i="34" a="1"/>
  <c r="CB268" i="34" s="1"/>
  <c r="CC268" i="34" a="1"/>
  <c r="CC268" i="34" s="1"/>
  <c r="CE268" i="34"/>
  <c r="CI268" i="34" s="1" a="1"/>
  <c r="CI268" i="34" s="1"/>
  <c r="CF268" i="34"/>
  <c r="CH268" i="34" a="1"/>
  <c r="CH268" i="34" s="1"/>
  <c r="CK268" i="34"/>
  <c r="CO268" i="34" s="1" a="1"/>
  <c r="CO268" i="34" s="1"/>
  <c r="CL268" i="34"/>
  <c r="CN268" i="34" a="1"/>
  <c r="CN268" i="34" s="1"/>
  <c r="CQ268" i="34" a="1"/>
  <c r="CQ268" i="34" s="1"/>
  <c r="CR268" i="34"/>
  <c r="CW268" i="34"/>
  <c r="DA268" i="34" s="1" a="1"/>
  <c r="DA268" i="34" s="1"/>
  <c r="CX268" i="34"/>
  <c r="CZ268" i="34" a="1"/>
  <c r="CZ268" i="34" s="1"/>
  <c r="DC268" i="34"/>
  <c r="DF268" i="34" s="1" a="1"/>
  <c r="DF268" i="34" s="1"/>
  <c r="DD268" i="34"/>
  <c r="DG268" i="34" a="1"/>
  <c r="DG268" i="34" s="1"/>
  <c r="DI268" i="34"/>
  <c r="DJ268" i="34"/>
  <c r="DL268" i="34" s="1" a="1"/>
  <c r="DL268" i="34" s="1"/>
  <c r="DM268" i="34" a="1"/>
  <c r="DM268" i="34" s="1"/>
  <c r="DO268" i="34"/>
  <c r="DP268" i="34"/>
  <c r="DU268" i="34"/>
  <c r="DV268" i="34"/>
  <c r="DX268" i="34" s="1" a="1"/>
  <c r="DX268" i="34" s="1"/>
  <c r="EA268" i="34"/>
  <c r="EB268" i="34"/>
  <c r="ED268" i="34" s="1" a="1"/>
  <c r="ED268" i="34" s="1"/>
  <c r="EE268" i="34" a="1"/>
  <c r="EE268" i="34" s="1"/>
  <c r="BS269" i="34"/>
  <c r="BV269" i="34" s="1" a="1"/>
  <c r="BV269" i="34" s="1"/>
  <c r="BT269" i="34"/>
  <c r="BY269" i="34"/>
  <c r="CB269" i="34" s="1" a="1"/>
  <c r="CB269" i="34" s="1"/>
  <c r="BZ269" i="34"/>
  <c r="CE269" i="34"/>
  <c r="CI269" i="34" s="1" a="1"/>
  <c r="CI269" i="34" s="1"/>
  <c r="CF269" i="34"/>
  <c r="CH269" i="34" a="1"/>
  <c r="CH269" i="34" s="1"/>
  <c r="CK269" i="34"/>
  <c r="CN269" i="34" s="1" a="1"/>
  <c r="CN269" i="34" s="1"/>
  <c r="CL269" i="34"/>
  <c r="CO269" i="34" a="1"/>
  <c r="CO269" i="34" s="1"/>
  <c r="CQ269" i="34" a="1"/>
  <c r="CQ269" i="34"/>
  <c r="CU269" i="34" s="1" a="1"/>
  <c r="CR269" i="34"/>
  <c r="CT269" i="34" a="1"/>
  <c r="CT269" i="34" s="1"/>
  <c r="CU269" i="34"/>
  <c r="CW269" i="34"/>
  <c r="DA269" i="34" s="1" a="1"/>
  <c r="DA269" i="34" s="1"/>
  <c r="CX269" i="34"/>
  <c r="CZ269" i="34" a="1"/>
  <c r="CZ269" i="34" s="1"/>
  <c r="DC269" i="34"/>
  <c r="DF269" i="34" s="1" a="1"/>
  <c r="DF269" i="34" s="1"/>
  <c r="DD269" i="34"/>
  <c r="DI269" i="34"/>
  <c r="DL269" i="34" s="1" a="1"/>
  <c r="DL269" i="34" s="1"/>
  <c r="DJ269" i="34"/>
  <c r="DO269" i="34"/>
  <c r="DR269" i="34" s="1" a="1"/>
  <c r="DR269" i="34" s="1"/>
  <c r="DP269" i="34"/>
  <c r="DS269" i="34" a="1"/>
  <c r="DS269" i="34" s="1"/>
  <c r="DU269" i="34"/>
  <c r="DV269" i="34"/>
  <c r="DX269" i="34" a="1"/>
  <c r="DX269" i="34" s="1"/>
  <c r="DY269" i="34" a="1"/>
  <c r="DY269" i="34" s="1"/>
  <c r="EA269" i="34"/>
  <c r="ED269" i="34" s="1" a="1"/>
  <c r="ED269" i="34" s="1"/>
  <c r="EB269" i="34"/>
  <c r="EE269" i="34" s="1" a="1"/>
  <c r="EE269" i="34" s="1"/>
  <c r="BS270" i="34"/>
  <c r="BT270" i="34"/>
  <c r="BV270" i="34" a="1"/>
  <c r="BV270" i="34" s="1"/>
  <c r="BW270" i="34" a="1"/>
  <c r="BW270" i="34" s="1"/>
  <c r="BY270" i="34"/>
  <c r="CC270" i="34" s="1" a="1"/>
  <c r="CC270" i="34" s="1"/>
  <c r="BZ270" i="34"/>
  <c r="CB270" i="34" a="1"/>
  <c r="CB270" i="34" s="1"/>
  <c r="CE270" i="34"/>
  <c r="CI270" i="34" s="1" a="1"/>
  <c r="CI270" i="34" s="1"/>
  <c r="CF270" i="34"/>
  <c r="CH270" i="34" a="1"/>
  <c r="CH270" i="34" s="1"/>
  <c r="CK270" i="34"/>
  <c r="CN270" i="34" s="1" a="1"/>
  <c r="CN270" i="34" s="1"/>
  <c r="CL270" i="34"/>
  <c r="CQ270" i="34" a="1"/>
  <c r="CQ270" i="34" s="1"/>
  <c r="CU270" i="34" s="1" a="1"/>
  <c r="CU270" i="34" s="1"/>
  <c r="CR270" i="34"/>
  <c r="CT270" i="34" a="1"/>
  <c r="CT270" i="34" s="1"/>
  <c r="CW270" i="34"/>
  <c r="CZ270" i="34" s="1" a="1"/>
  <c r="CZ270" i="34" s="1"/>
  <c r="CX270" i="34"/>
  <c r="DA270" i="34" a="1"/>
  <c r="DA270" i="34" s="1"/>
  <c r="DC270" i="34"/>
  <c r="DD270" i="34"/>
  <c r="DF270" i="34" s="1" a="1"/>
  <c r="DF270" i="34" s="1"/>
  <c r="DG270" i="34" a="1"/>
  <c r="DG270" i="34" s="1"/>
  <c r="DI270" i="34"/>
  <c r="DJ270" i="34"/>
  <c r="DO270" i="34"/>
  <c r="DP270" i="34"/>
  <c r="DR270" i="34" s="1" a="1"/>
  <c r="DR270" i="34" s="1"/>
  <c r="DU270" i="34"/>
  <c r="DV270" i="34"/>
  <c r="DX270" i="34" s="1" a="1"/>
  <c r="DX270" i="34" s="1"/>
  <c r="DY270" i="34" a="1"/>
  <c r="DY270" i="34" s="1"/>
  <c r="EA270" i="34"/>
  <c r="ED270" i="34" s="1" a="1"/>
  <c r="ED270" i="34" s="1"/>
  <c r="EB270" i="34"/>
  <c r="BS271" i="34"/>
  <c r="BV271" i="34" s="1" a="1"/>
  <c r="BV271" i="34" s="1"/>
  <c r="BT271" i="34"/>
  <c r="BY271" i="34"/>
  <c r="CC271" i="34" s="1" a="1"/>
  <c r="CC271" i="34" s="1"/>
  <c r="BZ271" i="34"/>
  <c r="CB271" i="34" a="1"/>
  <c r="CB271" i="34" s="1"/>
  <c r="CE271" i="34"/>
  <c r="CH271" i="34" s="1" a="1"/>
  <c r="CH271" i="34" s="1"/>
  <c r="CF271" i="34"/>
  <c r="CI271" i="34" a="1"/>
  <c r="CI271" i="34" s="1"/>
  <c r="CK271" i="34"/>
  <c r="CL271" i="34"/>
  <c r="CN271" i="34" s="1" a="1"/>
  <c r="CN271" i="34" s="1"/>
  <c r="CO271" i="34" a="1"/>
  <c r="CO271" i="34" s="1"/>
  <c r="CQ271" i="34" a="1"/>
  <c r="CQ271" i="34" s="1"/>
  <c r="CR271" i="34"/>
  <c r="CW271" i="34"/>
  <c r="CZ271" i="34" s="1" a="1"/>
  <c r="CZ271" i="34" s="1"/>
  <c r="CX271" i="34"/>
  <c r="DC271" i="34"/>
  <c r="DF271" i="34" s="1" a="1"/>
  <c r="DF271" i="34" s="1"/>
  <c r="DD271" i="34"/>
  <c r="DI271" i="34"/>
  <c r="DL271" i="34" s="1" a="1"/>
  <c r="DL271" i="34" s="1"/>
  <c r="DJ271" i="34"/>
  <c r="DM271" i="34" a="1"/>
  <c r="DM271" i="34" s="1"/>
  <c r="DO271" i="34"/>
  <c r="DP271" i="34"/>
  <c r="DR271" i="34" a="1"/>
  <c r="DR271" i="34" s="1"/>
  <c r="DS271" i="34" a="1"/>
  <c r="DS271" i="34" s="1"/>
  <c r="DU271" i="34"/>
  <c r="DX271" i="34" s="1" a="1"/>
  <c r="DX271" i="34" s="1"/>
  <c r="DV271" i="34"/>
  <c r="DY271" i="34" s="1" a="1"/>
  <c r="DY271" i="34" s="1"/>
  <c r="EA271" i="34"/>
  <c r="EB271" i="34"/>
  <c r="ED271" i="34" a="1"/>
  <c r="ED271" i="34" s="1"/>
  <c r="EE271" i="34" a="1"/>
  <c r="EE271" i="34" s="1"/>
  <c r="BS272" i="34"/>
  <c r="BW272" i="34" s="1" a="1"/>
  <c r="BW272" i="34" s="1"/>
  <c r="BT272" i="34"/>
  <c r="BV272" i="34" a="1"/>
  <c r="BV272" i="34" s="1"/>
  <c r="BY272" i="34"/>
  <c r="CC272" i="34" s="1" a="1"/>
  <c r="CC272" i="34" s="1"/>
  <c r="BZ272" i="34"/>
  <c r="CB272" i="34" a="1"/>
  <c r="CB272" i="34" s="1"/>
  <c r="CE272" i="34"/>
  <c r="CH272" i="34" s="1" a="1"/>
  <c r="CH272" i="34" s="1"/>
  <c r="CF272" i="34"/>
  <c r="CK272" i="34"/>
  <c r="CN272" i="34" s="1" a="1"/>
  <c r="CN272" i="34" s="1"/>
  <c r="CL272" i="34"/>
  <c r="CQ272" i="34" a="1"/>
  <c r="CQ272" i="34" s="1"/>
  <c r="CR272" i="34"/>
  <c r="CW272" i="34"/>
  <c r="CX272" i="34"/>
  <c r="CZ272" i="34" s="1" a="1"/>
  <c r="CZ272" i="34" s="1"/>
  <c r="DA272" i="34" a="1"/>
  <c r="DA272" i="34" s="1"/>
  <c r="DC272" i="34"/>
  <c r="DD272" i="34"/>
  <c r="DI272" i="34"/>
  <c r="DJ272" i="34"/>
  <c r="DL272" i="34" s="1" a="1"/>
  <c r="DL272" i="34" s="1"/>
  <c r="DO272" i="34"/>
  <c r="DP272" i="34"/>
  <c r="DR272" i="34" s="1" a="1"/>
  <c r="DR272" i="34" s="1"/>
  <c r="DS272" i="34" a="1"/>
  <c r="DS272" i="34" s="1"/>
  <c r="DU272" i="34"/>
  <c r="DX272" i="34" s="1" a="1"/>
  <c r="DX272" i="34" s="1"/>
  <c r="DV272" i="34"/>
  <c r="EA272" i="34"/>
  <c r="ED272" i="34" s="1" a="1"/>
  <c r="ED272" i="34" s="1"/>
  <c r="EB272" i="34"/>
  <c r="BS273" i="34"/>
  <c r="BW273" i="34" s="1" a="1"/>
  <c r="BW273" i="34" s="1"/>
  <c r="BT273" i="34"/>
  <c r="BV273" i="34" a="1"/>
  <c r="BV273" i="34" s="1"/>
  <c r="BY273" i="34"/>
  <c r="CB273" i="34" s="1" a="1"/>
  <c r="CB273" i="34" s="1"/>
  <c r="BZ273" i="34"/>
  <c r="CC273" i="34" a="1"/>
  <c r="CC273" i="34" s="1"/>
  <c r="CE273" i="34"/>
  <c r="CF273" i="34"/>
  <c r="CH273" i="34" s="1" a="1"/>
  <c r="CH273" i="34" s="1"/>
  <c r="CI273" i="34" a="1"/>
  <c r="CI273" i="34" s="1"/>
  <c r="CK273" i="34"/>
  <c r="CL273" i="34"/>
  <c r="CQ273" i="34" a="1"/>
  <c r="CQ273" i="34"/>
  <c r="CT273" i="34" s="1" a="1"/>
  <c r="CT273" i="34" s="1"/>
  <c r="CR273" i="34"/>
  <c r="CW273" i="34"/>
  <c r="CZ273" i="34" s="1" a="1"/>
  <c r="CZ273" i="34" s="1"/>
  <c r="CX273" i="34"/>
  <c r="DC273" i="34"/>
  <c r="DF273" i="34" s="1" a="1"/>
  <c r="DF273" i="34" s="1"/>
  <c r="DD273" i="34"/>
  <c r="DG273" i="34" a="1"/>
  <c r="DG273" i="34"/>
  <c r="DI273" i="34"/>
  <c r="DJ273" i="34"/>
  <c r="DL273" i="34" a="1"/>
  <c r="DL273" i="34" s="1"/>
  <c r="DM273" i="34" a="1"/>
  <c r="DM273" i="34" s="1"/>
  <c r="DO273" i="34"/>
  <c r="DP273" i="34"/>
  <c r="DS273" i="34" s="1" a="1"/>
  <c r="DS273" i="34" s="1"/>
  <c r="DU273" i="34"/>
  <c r="DV273" i="34"/>
  <c r="DX273" i="34" a="1"/>
  <c r="DX273" i="34" s="1"/>
  <c r="DY273" i="34" a="1"/>
  <c r="DY273" i="34" s="1"/>
  <c r="EA273" i="34"/>
  <c r="EE273" i="34" s="1" a="1"/>
  <c r="EB273" i="34"/>
  <c r="ED273" i="34" a="1"/>
  <c r="ED273" i="34" s="1"/>
  <c r="EE273" i="34"/>
  <c r="BS274" i="34"/>
  <c r="BW274" i="34" s="1" a="1"/>
  <c r="BW274" i="34" s="1"/>
  <c r="BT274" i="34"/>
  <c r="BV274" i="34" a="1"/>
  <c r="BV274" i="34" s="1"/>
  <c r="BY274" i="34"/>
  <c r="CB274" i="34" s="1" a="1"/>
  <c r="CB274" i="34" s="1"/>
  <c r="BZ274" i="34"/>
  <c r="CE274" i="34"/>
  <c r="CH274" i="34" s="1" a="1"/>
  <c r="CF274" i="34"/>
  <c r="CH274" i="34"/>
  <c r="CK274" i="34"/>
  <c r="CN274" i="34" s="1" a="1"/>
  <c r="CN274" i="34" s="1"/>
  <c r="CL274" i="34"/>
  <c r="CO274" i="34" a="1"/>
  <c r="CO274" i="34" s="1"/>
  <c r="CQ274" i="34" a="1"/>
  <c r="CQ274" i="34" s="1"/>
  <c r="CR274" i="34"/>
  <c r="CW274" i="34"/>
  <c r="CX274" i="34"/>
  <c r="DC274" i="34"/>
  <c r="DD274" i="34"/>
  <c r="DF274" i="34" s="1" a="1"/>
  <c r="DF274" i="34" s="1"/>
  <c r="DI274" i="34"/>
  <c r="DJ274" i="34"/>
  <c r="DL274" i="34" s="1" a="1"/>
  <c r="DL274" i="34" s="1"/>
  <c r="DM274" i="34" a="1"/>
  <c r="DM274" i="34" s="1"/>
  <c r="DO274" i="34"/>
  <c r="DR274" i="34" s="1" a="1"/>
  <c r="DR274" i="34" s="1"/>
  <c r="DP274" i="34"/>
  <c r="DU274" i="34"/>
  <c r="DX274" i="34" s="1" a="1"/>
  <c r="DX274" i="34" s="1"/>
  <c r="DV274" i="34"/>
  <c r="EA274" i="34"/>
  <c r="EE274" i="34" s="1" a="1"/>
  <c r="EE274" i="34" s="1"/>
  <c r="EB274" i="34"/>
  <c r="ED274" i="34" a="1"/>
  <c r="ED274" i="34" s="1"/>
  <c r="BS275" i="34"/>
  <c r="BV275" i="34" s="1" a="1"/>
  <c r="BV275" i="34" s="1"/>
  <c r="BT275" i="34"/>
  <c r="BW275" i="34" a="1"/>
  <c r="BW275" i="34" s="1"/>
  <c r="BY275" i="34"/>
  <c r="BZ275" i="34"/>
  <c r="CB275" i="34" s="1" a="1"/>
  <c r="CB275" i="34" s="1"/>
  <c r="CC275" i="34" a="1"/>
  <c r="CC275" i="34" s="1"/>
  <c r="CE275" i="34"/>
  <c r="CF275" i="34"/>
  <c r="CK275" i="34"/>
  <c r="CL275" i="34"/>
  <c r="CO275" i="34" s="1" a="1"/>
  <c r="CO275" i="34" s="1"/>
  <c r="CN275" i="34" a="1"/>
  <c r="CN275" i="34" s="1"/>
  <c r="CQ275" i="34" a="1"/>
  <c r="CQ275" i="34"/>
  <c r="CT275" i="34" s="1" a="1"/>
  <c r="CT275" i="34" s="1"/>
  <c r="CR275" i="34"/>
  <c r="CW275" i="34"/>
  <c r="CZ275" i="34" s="1" a="1"/>
  <c r="CZ275" i="34" s="1"/>
  <c r="CX275" i="34"/>
  <c r="DA275" i="34" a="1"/>
  <c r="DA275" i="34"/>
  <c r="DC275" i="34"/>
  <c r="DD275" i="34"/>
  <c r="DF275" i="34" a="1"/>
  <c r="DF275" i="34" s="1"/>
  <c r="DG275" i="34" a="1"/>
  <c r="DG275" i="34"/>
  <c r="DI275" i="34"/>
  <c r="DJ275" i="34"/>
  <c r="DM275" i="34" s="1" a="1"/>
  <c r="DM275" i="34" s="1"/>
  <c r="DO275" i="34"/>
  <c r="DP275" i="34"/>
  <c r="DR275" i="34" a="1"/>
  <c r="DR275" i="34" s="1"/>
  <c r="DS275" i="34" a="1"/>
  <c r="DS275" i="34" s="1"/>
  <c r="DU275" i="34"/>
  <c r="DY275" i="34" s="1" a="1"/>
  <c r="DV275" i="34"/>
  <c r="DX275" i="34" a="1"/>
  <c r="DX275" i="34" s="1"/>
  <c r="DY275" i="34"/>
  <c r="EA275" i="34"/>
  <c r="EE275" i="34" s="1" a="1"/>
  <c r="EE275" i="34" s="1"/>
  <c r="EB275" i="34"/>
  <c r="ED275" i="34" a="1"/>
  <c r="ED275" i="34" s="1"/>
  <c r="BS276" i="34"/>
  <c r="BV276" i="34" s="1" a="1"/>
  <c r="BV276" i="34" s="1"/>
  <c r="BT276" i="34"/>
  <c r="BY276" i="34"/>
  <c r="CB276" i="34" s="1" a="1"/>
  <c r="BZ276" i="34"/>
  <c r="CB276" i="34"/>
  <c r="CE276" i="34"/>
  <c r="CH276" i="34" s="1" a="1"/>
  <c r="CH276" i="34" s="1"/>
  <c r="CF276" i="34"/>
  <c r="CI276" i="34" a="1"/>
  <c r="CI276" i="34" s="1"/>
  <c r="CK276" i="34"/>
  <c r="CL276" i="34"/>
  <c r="CN276" i="34" a="1"/>
  <c r="CN276" i="34" s="1"/>
  <c r="CO276" i="34" a="1"/>
  <c r="CO276" i="34" s="1"/>
  <c r="CQ276" i="34" a="1"/>
  <c r="CQ276" i="34"/>
  <c r="CR276" i="34"/>
  <c r="CW276" i="34"/>
  <c r="CX276" i="34"/>
  <c r="CZ276" i="34" s="1" a="1"/>
  <c r="CZ276" i="34" s="1"/>
  <c r="DC276" i="34"/>
  <c r="DD276" i="34"/>
  <c r="DF276" i="34" s="1" a="1"/>
  <c r="DF276" i="34" s="1"/>
  <c r="DG276" i="34" a="1"/>
  <c r="DG276" i="34" s="1"/>
  <c r="DI276" i="34"/>
  <c r="DL276" i="34" s="1" a="1"/>
  <c r="DL276" i="34" s="1"/>
  <c r="DJ276" i="34"/>
  <c r="DO276" i="34"/>
  <c r="DR276" i="34" s="1" a="1"/>
  <c r="DR276" i="34" s="1"/>
  <c r="DP276" i="34"/>
  <c r="DU276" i="34"/>
  <c r="DY276" i="34" s="1" a="1"/>
  <c r="DY276" i="34" s="1"/>
  <c r="DV276" i="34"/>
  <c r="DX276" i="34" a="1"/>
  <c r="DX276" i="34" s="1"/>
  <c r="EA276" i="34"/>
  <c r="ED276" i="34" s="1" a="1"/>
  <c r="ED276" i="34" s="1"/>
  <c r="EB276" i="34"/>
  <c r="EE276" i="34" a="1"/>
  <c r="EE276" i="34" s="1"/>
  <c r="BS277" i="34"/>
  <c r="BT277" i="34"/>
  <c r="BV277" i="34" s="1" a="1"/>
  <c r="BV277" i="34" s="1"/>
  <c r="BW277" i="34" a="1"/>
  <c r="BW277" i="34" s="1"/>
  <c r="BY277" i="34"/>
  <c r="BZ277" i="34"/>
  <c r="CE277" i="34"/>
  <c r="CF277" i="34"/>
  <c r="CI277" i="34" s="1" a="1"/>
  <c r="CI277" i="34" s="1"/>
  <c r="CH277" i="34" a="1"/>
  <c r="CH277" i="34" s="1"/>
  <c r="CK277" i="34"/>
  <c r="CL277" i="34"/>
  <c r="CN277" i="34" a="1"/>
  <c r="CN277" i="34" s="1"/>
  <c r="CO277" i="34" a="1"/>
  <c r="CO277" i="34" s="1"/>
  <c r="CQ277" i="34" a="1"/>
  <c r="CQ277" i="34"/>
  <c r="CT277" i="34" s="1" a="1"/>
  <c r="CT277" i="34" s="1"/>
  <c r="CR277" i="34"/>
  <c r="CU277" i="34" a="1"/>
  <c r="CU277" i="34"/>
  <c r="CW277" i="34"/>
  <c r="CX277" i="34"/>
  <c r="CZ277" i="34" a="1"/>
  <c r="CZ277" i="34" s="1"/>
  <c r="DA277" i="34" a="1"/>
  <c r="DA277" i="34"/>
  <c r="DC277" i="34"/>
  <c r="DD277" i="34"/>
  <c r="DG277" i="34" s="1" a="1"/>
  <c r="DG277" i="34" s="1"/>
  <c r="DI277" i="34"/>
  <c r="DJ277" i="34"/>
  <c r="DL277" i="34" a="1"/>
  <c r="DL277" i="34" s="1"/>
  <c r="DM277" i="34" a="1"/>
  <c r="DM277" i="34" s="1"/>
  <c r="DO277" i="34"/>
  <c r="DS277" i="34" s="1" a="1"/>
  <c r="DS277" i="34" s="1"/>
  <c r="DP277" i="34"/>
  <c r="DR277" i="34" a="1"/>
  <c r="DR277" i="34" s="1"/>
  <c r="DU277" i="34"/>
  <c r="DY277" i="34" s="1" a="1"/>
  <c r="DY277" i="34" s="1"/>
  <c r="DV277" i="34"/>
  <c r="DX277" i="34" a="1"/>
  <c r="DX277" i="34" s="1"/>
  <c r="EA277" i="34"/>
  <c r="ED277" i="34" s="1" a="1"/>
  <c r="ED277" i="34" s="1"/>
  <c r="EB277" i="34"/>
  <c r="BS278" i="34"/>
  <c r="BV278" i="34" s="1" a="1"/>
  <c r="BT278" i="34"/>
  <c r="BV278" i="34"/>
  <c r="BY278" i="34"/>
  <c r="CB278" i="34" s="1" a="1"/>
  <c r="CB278" i="34" s="1"/>
  <c r="BZ278" i="34"/>
  <c r="CC278" i="34" a="1"/>
  <c r="CC278" i="34" s="1"/>
  <c r="CE278" i="34"/>
  <c r="CF278" i="34"/>
  <c r="CH278" i="34" a="1"/>
  <c r="CH278" i="34" s="1"/>
  <c r="CI278" i="34" a="1"/>
  <c r="CI278" i="34" s="1"/>
  <c r="CK278" i="34"/>
  <c r="CL278" i="34"/>
  <c r="CO278" i="34" s="1" a="1"/>
  <c r="CO278" i="34" s="1"/>
  <c r="CQ278" i="34" a="1"/>
  <c r="CQ278" i="34" s="1"/>
  <c r="CR278" i="34"/>
  <c r="CW278" i="34"/>
  <c r="CX278" i="34"/>
  <c r="CZ278" i="34" s="1" a="1"/>
  <c r="CZ278" i="34" s="1"/>
  <c r="DA278" i="34" a="1"/>
  <c r="DA278" i="34" s="1"/>
  <c r="DC278" i="34"/>
  <c r="DG278" i="34" s="1" a="1"/>
  <c r="DG278" i="34" s="1"/>
  <c r="DD278" i="34"/>
  <c r="DF278" i="34" s="1" a="1"/>
  <c r="DF278" i="34" s="1"/>
  <c r="DI278" i="34"/>
  <c r="DL278" i="34" s="1" a="1"/>
  <c r="DL278" i="34" s="1"/>
  <c r="DJ278" i="34"/>
  <c r="DO278" i="34"/>
  <c r="DS278" i="34" s="1" a="1"/>
  <c r="DS278" i="34" s="1"/>
  <c r="DP278" i="34"/>
  <c r="DR278" i="34" a="1"/>
  <c r="DR278" i="34" s="1"/>
  <c r="DU278" i="34"/>
  <c r="DX278" i="34" s="1" a="1"/>
  <c r="DX278" i="34" s="1"/>
  <c r="DV278" i="34"/>
  <c r="DY278" i="34" a="1"/>
  <c r="DY278" i="34" s="1"/>
  <c r="EA278" i="34"/>
  <c r="EB278" i="34"/>
  <c r="ED278" i="34" s="1" a="1"/>
  <c r="ED278" i="34" s="1"/>
  <c r="EE278" i="34" a="1"/>
  <c r="EE278" i="34" s="1"/>
  <c r="BS279" i="34"/>
  <c r="BT279" i="34"/>
  <c r="BY279" i="34"/>
  <c r="BZ279" i="34"/>
  <c r="CB279" i="34" s="1" a="1"/>
  <c r="CB279" i="34" s="1"/>
  <c r="CE279" i="34"/>
  <c r="CF279" i="34"/>
  <c r="CH279" i="34" a="1"/>
  <c r="CH279" i="34" s="1"/>
  <c r="CI279" i="34" a="1"/>
  <c r="CI279" i="34" s="1"/>
  <c r="CK279" i="34"/>
  <c r="CO279" i="34" s="1" a="1"/>
  <c r="CO279" i="34" s="1"/>
  <c r="CL279" i="34"/>
  <c r="CN279" i="34" s="1" a="1"/>
  <c r="CN279" i="34" s="1"/>
  <c r="CQ279" i="34" a="1"/>
  <c r="CQ279" i="34" s="1"/>
  <c r="CR279" i="34"/>
  <c r="CW279" i="34"/>
  <c r="CX279" i="34"/>
  <c r="DA279" i="34" s="1" a="1"/>
  <c r="DA279" i="34" s="1"/>
  <c r="DC279" i="34"/>
  <c r="DD279" i="34"/>
  <c r="DF279" i="34" a="1"/>
  <c r="DF279" i="34" s="1"/>
  <c r="DG279" i="34" a="1"/>
  <c r="DG279" i="34" s="1"/>
  <c r="DI279" i="34"/>
  <c r="DM279" i="34" s="1" a="1"/>
  <c r="DM279" i="34" s="1"/>
  <c r="DJ279" i="34"/>
  <c r="DL279" i="34" a="1"/>
  <c r="DL279" i="34" s="1"/>
  <c r="DO279" i="34"/>
  <c r="DS279" i="34" s="1" a="1"/>
  <c r="DS279" i="34" s="1"/>
  <c r="DP279" i="34"/>
  <c r="DR279" i="34" a="1"/>
  <c r="DR279" i="34" s="1"/>
  <c r="DU279" i="34"/>
  <c r="DX279" i="34" s="1" a="1"/>
  <c r="DX279" i="34" s="1"/>
  <c r="DV279" i="34"/>
  <c r="EA279" i="34"/>
  <c r="ED279" i="34" s="1" a="1"/>
  <c r="EB279" i="34"/>
  <c r="ED279" i="34"/>
  <c r="BS280" i="34"/>
  <c r="BV280" i="34" s="1" a="1"/>
  <c r="BV280" i="34" s="1"/>
  <c r="BT280" i="34"/>
  <c r="BW280" i="34" a="1"/>
  <c r="BW280" i="34" s="1"/>
  <c r="BY280" i="34"/>
  <c r="BZ280" i="34"/>
  <c r="CB280" i="34" a="1"/>
  <c r="CB280" i="34" s="1"/>
  <c r="CC280" i="34" a="1"/>
  <c r="CC280" i="34" s="1"/>
  <c r="CE280" i="34"/>
  <c r="CF280" i="34"/>
  <c r="CI280" i="34" s="1" a="1"/>
  <c r="CI280" i="34" s="1"/>
  <c r="CK280" i="34"/>
  <c r="CL280" i="34"/>
  <c r="CN280" i="34" a="1"/>
  <c r="CN280" i="34" s="1"/>
  <c r="CO280" i="34" a="1"/>
  <c r="CO280" i="34" s="1"/>
  <c r="CQ280" i="34" a="1"/>
  <c r="CQ280" i="34" s="1"/>
  <c r="CT280" i="34" s="1" a="1"/>
  <c r="CT280" i="34" s="1"/>
  <c r="CR280" i="34"/>
  <c r="CU280" i="34" a="1"/>
  <c r="CU280" i="34" s="1"/>
  <c r="CW280" i="34"/>
  <c r="DA280" i="34" s="1" a="1"/>
  <c r="DA280" i="34" s="1"/>
  <c r="CX280" i="34"/>
  <c r="CZ280" i="34" s="1" a="1"/>
  <c r="CZ280" i="34" s="1"/>
  <c r="DC280" i="34"/>
  <c r="DF280" i="34" s="1" a="1"/>
  <c r="DF280" i="34" s="1"/>
  <c r="DD280" i="34"/>
  <c r="DI280" i="34"/>
  <c r="DM280" i="34" s="1" a="1"/>
  <c r="DM280" i="34" s="1"/>
  <c r="DJ280" i="34"/>
  <c r="DL280" i="34" a="1"/>
  <c r="DL280" i="34" s="1"/>
  <c r="DO280" i="34"/>
  <c r="DR280" i="34" s="1" a="1"/>
  <c r="DR280" i="34" s="1"/>
  <c r="DP280" i="34"/>
  <c r="DS280" i="34" a="1"/>
  <c r="DS280" i="34" s="1"/>
  <c r="DU280" i="34"/>
  <c r="DV280" i="34"/>
  <c r="DX280" i="34" s="1" a="1"/>
  <c r="DX280" i="34" s="1"/>
  <c r="DY280" i="34" a="1"/>
  <c r="DY280" i="34" s="1"/>
  <c r="EA280" i="34"/>
  <c r="EB280" i="34"/>
  <c r="BS281" i="34"/>
  <c r="BT281" i="34"/>
  <c r="BV281" i="34" s="1" a="1"/>
  <c r="BV281" i="34" s="1"/>
  <c r="BY281" i="34"/>
  <c r="BZ281" i="34"/>
  <c r="CB281" i="34" s="1" a="1"/>
  <c r="CB281" i="34" s="1"/>
  <c r="CC281" i="34" a="1"/>
  <c r="CC281" i="34" s="1"/>
  <c r="CE281" i="34"/>
  <c r="CI281" i="34" s="1" a="1"/>
  <c r="CI281" i="34" s="1"/>
  <c r="CF281" i="34"/>
  <c r="CH281" i="34" s="1" a="1"/>
  <c r="CH281" i="34" s="1"/>
  <c r="CK281" i="34"/>
  <c r="CN281" i="34" s="1" a="1"/>
  <c r="CN281" i="34" s="1"/>
  <c r="CL281" i="34"/>
  <c r="CQ281" i="34" a="1"/>
  <c r="CQ281" i="34" s="1"/>
  <c r="CR281" i="34"/>
  <c r="CW281" i="34"/>
  <c r="CX281" i="34"/>
  <c r="CZ281" i="34" a="1"/>
  <c r="CZ281" i="34" s="1"/>
  <c r="DA281" i="34" a="1"/>
  <c r="DA281" i="34" s="1"/>
  <c r="DC281" i="34"/>
  <c r="DG281" i="34" s="1" a="1"/>
  <c r="DD281" i="34"/>
  <c r="DF281" i="34" a="1"/>
  <c r="DF281" i="34" s="1"/>
  <c r="DG281" i="34"/>
  <c r="DI281" i="34"/>
  <c r="DM281" i="34" s="1" a="1"/>
  <c r="DM281" i="34" s="1"/>
  <c r="DJ281" i="34"/>
  <c r="DL281" i="34" a="1"/>
  <c r="DL281" i="34" s="1"/>
  <c r="DO281" i="34"/>
  <c r="DR281" i="34" s="1" a="1"/>
  <c r="DR281" i="34" s="1"/>
  <c r="DP281" i="34"/>
  <c r="DU281" i="34"/>
  <c r="DX281" i="34" s="1" a="1"/>
  <c r="DX281" i="34" s="1"/>
  <c r="DV281" i="34"/>
  <c r="EA281" i="34"/>
  <c r="ED281" i="34" s="1" a="1"/>
  <c r="ED281" i="34" s="1"/>
  <c r="EB281" i="34"/>
  <c r="EE281" i="34" a="1"/>
  <c r="EE281" i="34" s="1"/>
  <c r="BS282" i="34"/>
  <c r="BT282" i="34"/>
  <c r="BV282" i="34" a="1"/>
  <c r="BV282" i="34" s="1"/>
  <c r="BW282" i="34" a="1"/>
  <c r="BW282" i="34" s="1"/>
  <c r="BY282" i="34"/>
  <c r="BZ282" i="34"/>
  <c r="CC282" i="34" s="1" a="1"/>
  <c r="CC282" i="34" s="1"/>
  <c r="CE282" i="34"/>
  <c r="CF282" i="34"/>
  <c r="CH282" i="34" a="1"/>
  <c r="CH282" i="34" s="1"/>
  <c r="CI282" i="34" a="1"/>
  <c r="CI282" i="34" s="1"/>
  <c r="CK282" i="34"/>
  <c r="CO282" i="34" s="1" a="1"/>
  <c r="CO282" i="34" s="1"/>
  <c r="CL282" i="34"/>
  <c r="CN282" i="34" a="1"/>
  <c r="CN282" i="34" s="1"/>
  <c r="CQ282" i="34" a="1"/>
  <c r="CQ282" i="34" s="1"/>
  <c r="CR282" i="34"/>
  <c r="CW282" i="34"/>
  <c r="CZ282" i="34" s="1" a="1"/>
  <c r="CZ282" i="34" s="1"/>
  <c r="CX282" i="34"/>
  <c r="DC282" i="34"/>
  <c r="DG282" i="34" s="1" a="1"/>
  <c r="DG282" i="34" s="1"/>
  <c r="DD282" i="34"/>
  <c r="DF282" i="34" a="1"/>
  <c r="DF282" i="34" s="1"/>
  <c r="DI282" i="34"/>
  <c r="DL282" i="34" s="1" a="1"/>
  <c r="DL282" i="34" s="1"/>
  <c r="DJ282" i="34"/>
  <c r="DM282" i="34" a="1"/>
  <c r="DM282" i="34" s="1"/>
  <c r="DO282" i="34"/>
  <c r="DP282" i="34"/>
  <c r="DR282" i="34" a="1"/>
  <c r="DR282" i="34"/>
  <c r="DS282" i="34" a="1"/>
  <c r="DS282" i="34" s="1"/>
  <c r="DU282" i="34"/>
  <c r="DV282" i="34"/>
  <c r="EA282" i="34"/>
  <c r="EB282" i="34"/>
  <c r="ED282" i="34" s="1" a="1"/>
  <c r="ED282" i="34" s="1"/>
  <c r="BS283" i="34"/>
  <c r="BT283" i="34"/>
  <c r="BV283" i="34" s="1" a="1"/>
  <c r="BV283" i="34" s="1"/>
  <c r="BW283" i="34" a="1"/>
  <c r="BW283" i="34" s="1"/>
  <c r="BY283" i="34"/>
  <c r="CC283" i="34" s="1" a="1"/>
  <c r="CC283" i="34" s="1"/>
  <c r="BZ283" i="34"/>
  <c r="CB283" i="34" s="1" a="1"/>
  <c r="CB283" i="34" s="1"/>
  <c r="CE283" i="34"/>
  <c r="CH283" i="34" s="1" a="1"/>
  <c r="CH283" i="34" s="1"/>
  <c r="CF283" i="34"/>
  <c r="CK283" i="34"/>
  <c r="CO283" i="34" s="1" a="1"/>
  <c r="CO283" i="34" s="1"/>
  <c r="CL283" i="34"/>
  <c r="CN283" i="34" a="1"/>
  <c r="CN283" i="34" s="1"/>
  <c r="CQ283" i="34" a="1"/>
  <c r="CQ283" i="34" s="1"/>
  <c r="CR283" i="34"/>
  <c r="CW283" i="34"/>
  <c r="DA283" i="34" s="1" a="1"/>
  <c r="CX283" i="34"/>
  <c r="CZ283" i="34" a="1"/>
  <c r="CZ283" i="34" s="1"/>
  <c r="DA283" i="34"/>
  <c r="DC283" i="34"/>
  <c r="DG283" i="34" s="1" a="1"/>
  <c r="DG283" i="34" s="1"/>
  <c r="DD283" i="34"/>
  <c r="DF283" i="34" a="1"/>
  <c r="DF283" i="34" s="1"/>
  <c r="DI283" i="34"/>
  <c r="DL283" i="34" s="1" a="1"/>
  <c r="DL283" i="34" s="1"/>
  <c r="DJ283" i="34"/>
  <c r="DO283" i="34"/>
  <c r="DR283" i="34" s="1" a="1"/>
  <c r="DP283" i="34"/>
  <c r="DR283" i="34"/>
  <c r="DU283" i="34"/>
  <c r="DX283" i="34" s="1" a="1"/>
  <c r="DX283" i="34" s="1"/>
  <c r="DV283" i="34"/>
  <c r="DY283" i="34" a="1"/>
  <c r="DY283" i="34" s="1"/>
  <c r="EA283" i="34"/>
  <c r="EB283" i="34"/>
  <c r="ED283" i="34" a="1"/>
  <c r="ED283" i="34"/>
  <c r="EE283" i="34" a="1"/>
  <c r="EE283" i="34" s="1"/>
  <c r="BS284" i="34"/>
  <c r="BT284" i="34"/>
  <c r="BW284" i="34" s="1" a="1"/>
  <c r="BW284" i="34" s="1"/>
  <c r="BY284" i="34"/>
  <c r="BZ284" i="34"/>
  <c r="CB284" i="34" a="1"/>
  <c r="CB284" i="34" s="1"/>
  <c r="CC284" i="34" a="1"/>
  <c r="CC284" i="34" s="1"/>
  <c r="CE284" i="34"/>
  <c r="CI284" i="34" s="1" a="1"/>
  <c r="CI284" i="34" s="1"/>
  <c r="CF284" i="34"/>
  <c r="CH284" i="34" a="1"/>
  <c r="CH284" i="34" s="1"/>
  <c r="CK284" i="34"/>
  <c r="CO284" i="34" s="1" a="1"/>
  <c r="CO284" i="34" s="1"/>
  <c r="CL284" i="34"/>
  <c r="CN284" i="34" a="1"/>
  <c r="CN284" i="34" s="1"/>
  <c r="CQ284" i="34" a="1"/>
  <c r="CQ284" i="34" s="1"/>
  <c r="CR284" i="34"/>
  <c r="CW284" i="34"/>
  <c r="DA284" i="34" s="1" a="1"/>
  <c r="DA284" i="34" s="1"/>
  <c r="CX284" i="34"/>
  <c r="CZ284" i="34" a="1"/>
  <c r="CZ284" i="34" s="1"/>
  <c r="DC284" i="34"/>
  <c r="DF284" i="34" s="1" a="1"/>
  <c r="DF284" i="34" s="1"/>
  <c r="DD284" i="34"/>
  <c r="DG284" i="34" a="1"/>
  <c r="DG284" i="34" s="1"/>
  <c r="DI284" i="34"/>
  <c r="DJ284" i="34"/>
  <c r="DL284" i="34" a="1"/>
  <c r="DL284" i="34"/>
  <c r="DM284" i="34" a="1"/>
  <c r="DM284" i="34" s="1"/>
  <c r="DO284" i="34"/>
  <c r="DP284" i="34"/>
  <c r="DU284" i="34"/>
  <c r="DV284" i="34"/>
  <c r="DX284" i="34" s="1" a="1"/>
  <c r="DX284" i="34" s="1"/>
  <c r="EA284" i="34"/>
  <c r="EB284" i="34"/>
  <c r="ED284" i="34" s="1" a="1"/>
  <c r="ED284" i="34" s="1"/>
  <c r="EE284" i="34" a="1"/>
  <c r="EE284" i="34" s="1"/>
  <c r="BS285" i="34"/>
  <c r="BW285" i="34" s="1" a="1"/>
  <c r="BW285" i="34" s="1"/>
  <c r="BT285" i="34"/>
  <c r="BV285" i="34" s="1" a="1"/>
  <c r="BV285" i="34" s="1"/>
  <c r="BY285" i="34"/>
  <c r="CB285" i="34" s="1" a="1"/>
  <c r="CB285" i="34" s="1"/>
  <c r="BZ285" i="34"/>
  <c r="CE285" i="34"/>
  <c r="CI285" i="34" s="1" a="1"/>
  <c r="CI285" i="34" s="1"/>
  <c r="CF285" i="34"/>
  <c r="CH285" i="34" a="1"/>
  <c r="CH285" i="34" s="1"/>
  <c r="CK285" i="34"/>
  <c r="CN285" i="34" s="1" a="1"/>
  <c r="CN285" i="34" s="1"/>
  <c r="CL285" i="34"/>
  <c r="CO285" i="34" a="1"/>
  <c r="CO285" i="34" s="1"/>
  <c r="CQ285" i="34" a="1"/>
  <c r="CQ285" i="34"/>
  <c r="CU285" i="34" s="1" a="1"/>
  <c r="CR285" i="34"/>
  <c r="CT285" i="34" a="1"/>
  <c r="CT285" i="34" s="1"/>
  <c r="CU285" i="34"/>
  <c r="CW285" i="34"/>
  <c r="DA285" i="34" s="1" a="1"/>
  <c r="DA285" i="34" s="1"/>
  <c r="CX285" i="34"/>
  <c r="CZ285" i="34" a="1"/>
  <c r="CZ285" i="34" s="1"/>
  <c r="DC285" i="34"/>
  <c r="DF285" i="34" s="1" a="1"/>
  <c r="DF285" i="34" s="1"/>
  <c r="DD285" i="34"/>
  <c r="DI285" i="34"/>
  <c r="DL285" i="34" s="1" a="1"/>
  <c r="DJ285" i="34"/>
  <c r="DL285" i="34"/>
  <c r="DO285" i="34"/>
  <c r="DR285" i="34" s="1" a="1"/>
  <c r="DR285" i="34" s="1"/>
  <c r="DP285" i="34"/>
  <c r="DS285" i="34" a="1"/>
  <c r="DS285" i="34" s="1"/>
  <c r="DU285" i="34"/>
  <c r="DV285" i="34"/>
  <c r="DX285" i="34" a="1"/>
  <c r="DX285" i="34"/>
  <c r="DY285" i="34" a="1"/>
  <c r="DY285" i="34" s="1"/>
  <c r="EA285" i="34"/>
  <c r="EB285" i="34"/>
  <c r="EE285" i="34" s="1" a="1"/>
  <c r="EE285" i="34" s="1"/>
  <c r="BS286" i="34"/>
  <c r="BT286" i="34"/>
  <c r="BV286" i="34" a="1"/>
  <c r="BV286" i="34" s="1"/>
  <c r="BW286" i="34" a="1"/>
  <c r="BW286" i="34" s="1"/>
  <c r="BY286" i="34"/>
  <c r="CC286" i="34" s="1" a="1"/>
  <c r="CC286" i="34" s="1"/>
  <c r="BZ286" i="34"/>
  <c r="CB286" i="34" a="1"/>
  <c r="CB286" i="34" s="1"/>
  <c r="CE286" i="34"/>
  <c r="CI286" i="34" s="1" a="1"/>
  <c r="CI286" i="34" s="1"/>
  <c r="CF286" i="34"/>
  <c r="CH286" i="34" a="1"/>
  <c r="CH286" i="34" s="1"/>
  <c r="CK286" i="34"/>
  <c r="CN286" i="34" s="1" a="1"/>
  <c r="CN286" i="34" s="1"/>
  <c r="CL286" i="34"/>
  <c r="CQ286" i="34" a="1"/>
  <c r="CQ286" i="34" s="1"/>
  <c r="CU286" i="34" s="1" a="1"/>
  <c r="CU286" i="34" s="1"/>
  <c r="CR286" i="34"/>
  <c r="CT286" i="34" a="1"/>
  <c r="CT286" i="34" s="1"/>
  <c r="CW286" i="34"/>
  <c r="CZ286" i="34" s="1" a="1"/>
  <c r="CZ286" i="34" s="1"/>
  <c r="CX286" i="34"/>
  <c r="DA286" i="34" a="1"/>
  <c r="DA286" i="34" s="1"/>
  <c r="DC286" i="34"/>
  <c r="DD286" i="34"/>
  <c r="DF286" i="34" a="1"/>
  <c r="DF286" i="34"/>
  <c r="DG286" i="34" a="1"/>
  <c r="DG286" i="34" s="1"/>
  <c r="DI286" i="34"/>
  <c r="DJ286" i="34"/>
  <c r="DO286" i="34"/>
  <c r="DP286" i="34"/>
  <c r="DR286" i="34" s="1" a="1"/>
  <c r="DR286" i="34" s="1"/>
  <c r="DU286" i="34"/>
  <c r="DV286" i="34"/>
  <c r="DX286" i="34" s="1" a="1"/>
  <c r="DX286" i="34" s="1"/>
  <c r="EA286" i="34"/>
  <c r="EE286" i="34" s="1" a="1"/>
  <c r="EE286" i="34" s="1"/>
  <c r="EB286" i="34"/>
  <c r="ED286" i="34" s="1" a="1"/>
  <c r="ED286" i="34" s="1"/>
  <c r="BS287" i="34"/>
  <c r="BV287" i="34" s="1" a="1"/>
  <c r="BV287" i="34" s="1"/>
  <c r="BT287" i="34"/>
  <c r="BY287" i="34"/>
  <c r="CC287" i="34" s="1" a="1"/>
  <c r="CC287" i="34" s="1"/>
  <c r="BZ287" i="34"/>
  <c r="CB287" i="34" a="1"/>
  <c r="CB287" i="34" s="1"/>
  <c r="CE287" i="34"/>
  <c r="CH287" i="34" s="1" a="1"/>
  <c r="CH287" i="34" s="1"/>
  <c r="CF287" i="34"/>
  <c r="CI287" i="34" a="1"/>
  <c r="CI287" i="34" s="1"/>
  <c r="CK287" i="34"/>
  <c r="CL287" i="34"/>
  <c r="CN287" i="34" a="1"/>
  <c r="CN287" i="34"/>
  <c r="CO287" i="34" a="1"/>
  <c r="CO287" i="34" s="1"/>
  <c r="CQ287" i="34" a="1"/>
  <c r="CQ287" i="34" s="1"/>
  <c r="CR287" i="34"/>
  <c r="CW287" i="34"/>
  <c r="CZ287" i="34" s="1" a="1"/>
  <c r="CZ287" i="34" s="1"/>
  <c r="CX287" i="34"/>
  <c r="DC287" i="34"/>
  <c r="DD287" i="34"/>
  <c r="DI287" i="34"/>
  <c r="DL287" i="34" s="1" a="1"/>
  <c r="DL287" i="34" s="1"/>
  <c r="DJ287" i="34"/>
  <c r="DM287" i="34" a="1"/>
  <c r="DM287" i="34"/>
  <c r="DO287" i="34"/>
  <c r="DP287" i="34"/>
  <c r="DR287" i="34" a="1"/>
  <c r="DR287" i="34"/>
  <c r="DS287" i="34" a="1"/>
  <c r="DS287" i="34"/>
  <c r="DU287" i="34"/>
  <c r="DV287" i="34"/>
  <c r="DY287" i="34" s="1" a="1"/>
  <c r="DY287" i="34" s="1"/>
  <c r="EA287" i="34"/>
  <c r="EB287" i="34"/>
  <c r="ED287" i="34" a="1"/>
  <c r="ED287" i="34" s="1"/>
  <c r="EE287" i="34" a="1"/>
  <c r="EE287" i="34" s="1"/>
  <c r="BS288" i="34"/>
  <c r="BW288" i="34" s="1" a="1"/>
  <c r="BW288" i="34" s="1"/>
  <c r="BT288" i="34"/>
  <c r="BV288" i="34" a="1"/>
  <c r="BV288" i="34" s="1"/>
  <c r="BY288" i="34"/>
  <c r="CC288" i="34" s="1" a="1"/>
  <c r="CC288" i="34" s="1"/>
  <c r="BZ288" i="34"/>
  <c r="CB288" i="34" a="1"/>
  <c r="CB288" i="34" s="1"/>
  <c r="CE288" i="34"/>
  <c r="CH288" i="34" s="1" a="1"/>
  <c r="CH288" i="34" s="1"/>
  <c r="CF288" i="34"/>
  <c r="CK288" i="34"/>
  <c r="CL288" i="34"/>
  <c r="CQ288" i="34" a="1"/>
  <c r="CQ288" i="34" s="1"/>
  <c r="CR288" i="34"/>
  <c r="CW288" i="34"/>
  <c r="CX288" i="34"/>
  <c r="CZ288" i="34" a="1"/>
  <c r="CZ288" i="34"/>
  <c r="DA288" i="34" a="1"/>
  <c r="DA288" i="34" s="1"/>
  <c r="DC288" i="34"/>
  <c r="DD288" i="34"/>
  <c r="DI288" i="34"/>
  <c r="DJ288" i="34"/>
  <c r="DL288" i="34" s="1" a="1"/>
  <c r="DL288" i="34" s="1"/>
  <c r="DO288" i="34"/>
  <c r="DP288" i="34"/>
  <c r="DR288" i="34" s="1" a="1"/>
  <c r="DR288" i="34" s="1"/>
  <c r="DS288" i="34" a="1"/>
  <c r="DS288" i="34" s="1"/>
  <c r="DU288" i="34"/>
  <c r="DY288" i="34" s="1" a="1"/>
  <c r="DY288" i="34" s="1"/>
  <c r="DV288" i="34"/>
  <c r="DX288" i="34" s="1" a="1"/>
  <c r="DX288" i="34" s="1"/>
  <c r="EA288" i="34"/>
  <c r="ED288" i="34" s="1" a="1"/>
  <c r="ED288" i="34" s="1"/>
  <c r="EB288" i="34"/>
  <c r="BS289" i="34"/>
  <c r="BW289" i="34" s="1" a="1"/>
  <c r="BW289" i="34" s="1"/>
  <c r="BT289" i="34"/>
  <c r="BY289" i="34"/>
  <c r="CB289" i="34" s="1" a="1"/>
  <c r="CB289" i="34" s="1"/>
  <c r="BZ289" i="34"/>
  <c r="CC289" i="34" a="1"/>
  <c r="CC289" i="34" s="1"/>
  <c r="CE289" i="34"/>
  <c r="CF289" i="34"/>
  <c r="CH289" i="34" a="1"/>
  <c r="CH289" i="34"/>
  <c r="CI289" i="34" a="1"/>
  <c r="CI289" i="34" s="1"/>
  <c r="CK289" i="34"/>
  <c r="CL289" i="34"/>
  <c r="CQ289" i="34" a="1"/>
  <c r="CQ289" i="34"/>
  <c r="CT289" i="34" s="1" a="1"/>
  <c r="CT289" i="34" s="1"/>
  <c r="CR289" i="34"/>
  <c r="CW289" i="34"/>
  <c r="CX289" i="34"/>
  <c r="DC289" i="34"/>
  <c r="DF289" i="34" s="1" a="1"/>
  <c r="DF289" i="34" s="1"/>
  <c r="DD289" i="34"/>
  <c r="DG289" i="34" a="1"/>
  <c r="DG289" i="34"/>
  <c r="DI289" i="34"/>
  <c r="DJ289" i="34"/>
  <c r="DL289" i="34" a="1"/>
  <c r="DL289" i="34"/>
  <c r="DM289" i="34" a="1"/>
  <c r="DM289" i="34" s="1"/>
  <c r="DO289" i="34"/>
  <c r="DP289" i="34"/>
  <c r="DS289" i="34" s="1" a="1"/>
  <c r="DS289" i="34" s="1"/>
  <c r="DU289" i="34"/>
  <c r="DV289" i="34"/>
  <c r="DX289" i="34" a="1"/>
  <c r="DX289" i="34" s="1"/>
  <c r="DY289" i="34" a="1"/>
  <c r="DY289" i="34" s="1"/>
  <c r="EA289" i="34"/>
  <c r="EE289" i="34" s="1" a="1"/>
  <c r="EB289" i="34"/>
  <c r="ED289" i="34" a="1"/>
  <c r="ED289" i="34"/>
  <c r="EE289" i="34"/>
  <c r="BS290" i="34"/>
  <c r="BW290" i="34" s="1" a="1"/>
  <c r="BW290" i="34" s="1"/>
  <c r="BT290" i="34"/>
  <c r="BV290" i="34" a="1"/>
  <c r="BV290" i="34" s="1"/>
  <c r="BY290" i="34"/>
  <c r="CB290" i="34" s="1" a="1"/>
  <c r="CB290" i="34" s="1"/>
  <c r="BZ290" i="34"/>
  <c r="CE290" i="34"/>
  <c r="CF290" i="34"/>
  <c r="CK290" i="34"/>
  <c r="CN290" i="34" s="1" a="1"/>
  <c r="CN290" i="34" s="1"/>
  <c r="CL290" i="34"/>
  <c r="CO290" i="34" a="1"/>
  <c r="CO290" i="34" s="1"/>
  <c r="CQ290" i="34" a="1"/>
  <c r="CQ290" i="34" s="1"/>
  <c r="CT290" i="34" s="1" a="1"/>
  <c r="CR290" i="34"/>
  <c r="CT290" i="34"/>
  <c r="CU290" i="34" a="1"/>
  <c r="CU290" i="34" s="1"/>
  <c r="CW290" i="34"/>
  <c r="CX290" i="34"/>
  <c r="DC290" i="34"/>
  <c r="DD290" i="34"/>
  <c r="DF290" i="34" s="1" a="1"/>
  <c r="DF290" i="34" s="1"/>
  <c r="DI290" i="34"/>
  <c r="DJ290" i="34"/>
  <c r="DL290" i="34" a="1"/>
  <c r="DL290" i="34" s="1"/>
  <c r="DM290" i="34" a="1"/>
  <c r="DM290" i="34" s="1"/>
  <c r="DO290" i="34"/>
  <c r="DS290" i="34" s="1" a="1"/>
  <c r="DS290" i="34" s="1"/>
  <c r="DP290" i="34"/>
  <c r="DR290" i="34" s="1" a="1"/>
  <c r="DR290" i="34" s="1"/>
  <c r="DU290" i="34"/>
  <c r="DX290" i="34" s="1" a="1"/>
  <c r="DX290" i="34" s="1"/>
  <c r="DV290" i="34"/>
  <c r="EA290" i="34"/>
  <c r="EE290" i="34" s="1" a="1"/>
  <c r="EE290" i="34" s="1"/>
  <c r="EB290" i="34"/>
  <c r="ED290" i="34" a="1"/>
  <c r="ED290" i="34" s="1"/>
  <c r="BS291" i="34"/>
  <c r="BV291" i="34" s="1" a="1"/>
  <c r="BV291" i="34" s="1"/>
  <c r="BT291" i="34"/>
  <c r="BW291" i="34" a="1"/>
  <c r="BW291" i="34" s="1"/>
  <c r="BY291" i="34"/>
  <c r="BZ291" i="34"/>
  <c r="CB291" i="34" a="1"/>
  <c r="CB291" i="34"/>
  <c r="CC291" i="34" a="1"/>
  <c r="CC291" i="34" s="1"/>
  <c r="CE291" i="34"/>
  <c r="CF291" i="34"/>
  <c r="CK291" i="34"/>
  <c r="CL291" i="34"/>
  <c r="CO291" i="34" s="1" a="1"/>
  <c r="CO291" i="34" s="1"/>
  <c r="CN291" i="34" a="1"/>
  <c r="CN291" i="34" s="1"/>
  <c r="CQ291" i="34" a="1"/>
  <c r="CQ291" i="34"/>
  <c r="CR291" i="34"/>
  <c r="CW291" i="34"/>
  <c r="CZ291" i="34" s="1" a="1"/>
  <c r="CZ291" i="34" s="1"/>
  <c r="CX291" i="34"/>
  <c r="DA291" i="34" a="1"/>
  <c r="DA291" i="34"/>
  <c r="DC291" i="34"/>
  <c r="DD291" i="34"/>
  <c r="DF291" i="34" a="1"/>
  <c r="DF291" i="34"/>
  <c r="DG291" i="34" a="1"/>
  <c r="DG291" i="34"/>
  <c r="DI291" i="34"/>
  <c r="DL291" i="34" s="1" a="1"/>
  <c r="DL291" i="34" s="1"/>
  <c r="DJ291" i="34"/>
  <c r="DM291" i="34" s="1" a="1"/>
  <c r="DM291" i="34" s="1"/>
  <c r="DO291" i="34"/>
  <c r="DP291" i="34"/>
  <c r="DR291" i="34" a="1"/>
  <c r="DR291" i="34" s="1"/>
  <c r="DS291" i="34" a="1"/>
  <c r="DS291" i="34" s="1"/>
  <c r="DU291" i="34"/>
  <c r="DY291" i="34" s="1" a="1"/>
  <c r="DY291" i="34" s="1"/>
  <c r="DV291" i="34"/>
  <c r="DX291" i="34" a="1"/>
  <c r="DX291" i="34" s="1"/>
  <c r="EA291" i="34"/>
  <c r="EE291" i="34" s="1" a="1"/>
  <c r="EE291" i="34" s="1"/>
  <c r="EB291" i="34"/>
  <c r="ED291" i="34" a="1"/>
  <c r="ED291" i="34" s="1"/>
  <c r="BS292" i="34"/>
  <c r="BT292" i="34"/>
  <c r="BY292" i="34"/>
  <c r="BZ292" i="34"/>
  <c r="CE292" i="34"/>
  <c r="CH292" i="34" s="1" a="1"/>
  <c r="CH292" i="34" s="1"/>
  <c r="CF292" i="34"/>
  <c r="CI292" i="34" a="1"/>
  <c r="CI292" i="34" s="1"/>
  <c r="CK292" i="34"/>
  <c r="CL292" i="34"/>
  <c r="CN292" i="34" a="1"/>
  <c r="CN292" i="34"/>
  <c r="CO292" i="34" a="1"/>
  <c r="CO292" i="34" s="1"/>
  <c r="CQ292" i="34" a="1"/>
  <c r="CQ292" i="34"/>
  <c r="CR292" i="34"/>
  <c r="CW292" i="34"/>
  <c r="CX292" i="34"/>
  <c r="DA292" i="34" s="1" a="1"/>
  <c r="DA292" i="34" s="1"/>
  <c r="DC292" i="34"/>
  <c r="DD292" i="34"/>
  <c r="DF292" i="34" a="1"/>
  <c r="DF292" i="34" s="1"/>
  <c r="DG292" i="34" a="1"/>
  <c r="DG292" i="34" s="1"/>
  <c r="DI292" i="34"/>
  <c r="DM292" i="34" s="1" a="1"/>
  <c r="DM292" i="34" s="1"/>
  <c r="DJ292" i="34"/>
  <c r="DL292" i="34" s="1" a="1"/>
  <c r="DL292" i="34" s="1"/>
  <c r="DO292" i="34"/>
  <c r="DP292" i="34"/>
  <c r="DU292" i="34"/>
  <c r="DY292" i="34" s="1" a="1"/>
  <c r="DY292" i="34" s="1"/>
  <c r="DV292" i="34"/>
  <c r="EA292" i="34"/>
  <c r="ED292" i="34" s="1" a="1"/>
  <c r="ED292" i="34" s="1"/>
  <c r="EB292" i="34"/>
  <c r="EE292" i="34" a="1"/>
  <c r="EE292" i="34" s="1"/>
  <c r="BS293" i="34"/>
  <c r="BT293" i="34"/>
  <c r="BV293" i="34" a="1"/>
  <c r="BV293" i="34"/>
  <c r="BW293" i="34" a="1"/>
  <c r="BW293" i="34" s="1"/>
  <c r="BY293" i="34"/>
  <c r="BZ293" i="34"/>
  <c r="CE293" i="34"/>
  <c r="CF293" i="34"/>
  <c r="CI293" i="34" s="1" a="1"/>
  <c r="CI293" i="34" s="1"/>
  <c r="CK293" i="34"/>
  <c r="CL293" i="34"/>
  <c r="CN293" i="34" s="1" a="1"/>
  <c r="CN293" i="34" s="1"/>
  <c r="CO293" i="34" a="1"/>
  <c r="CO293" i="34" s="1"/>
  <c r="CQ293" i="34" a="1"/>
  <c r="CQ293" i="34"/>
  <c r="CT293" i="34" s="1" a="1"/>
  <c r="CT293" i="34" s="1"/>
  <c r="CR293" i="34"/>
  <c r="CU293" i="34" a="1"/>
  <c r="CU293" i="34" s="1"/>
  <c r="CW293" i="34"/>
  <c r="CX293" i="34"/>
  <c r="CZ293" i="34" a="1"/>
  <c r="CZ293" i="34"/>
  <c r="DA293" i="34" a="1"/>
  <c r="DA293" i="34" s="1"/>
  <c r="DC293" i="34"/>
  <c r="DD293" i="34"/>
  <c r="DG293" i="34" s="1" a="1"/>
  <c r="DG293" i="34" s="1"/>
  <c r="DI293" i="34"/>
  <c r="DJ293" i="34"/>
  <c r="DL293" i="34" a="1"/>
  <c r="DL293" i="34" s="1"/>
  <c r="DM293" i="34" a="1"/>
  <c r="DM293" i="34" s="1"/>
  <c r="DO293" i="34"/>
  <c r="DS293" i="34" s="1" a="1"/>
  <c r="DP293" i="34"/>
  <c r="DR293" i="34" a="1"/>
  <c r="DR293" i="34"/>
  <c r="DS293" i="34"/>
  <c r="DU293" i="34"/>
  <c r="DY293" i="34" s="1" a="1"/>
  <c r="DY293" i="34" s="1"/>
  <c r="DV293" i="34"/>
  <c r="DX293" i="34" a="1"/>
  <c r="DX293" i="34" s="1"/>
  <c r="EA293" i="34"/>
  <c r="EB293" i="34"/>
  <c r="BS294" i="34"/>
  <c r="BT294" i="34"/>
  <c r="BY294" i="34"/>
  <c r="CB294" i="34" s="1" a="1"/>
  <c r="CB294" i="34" s="1"/>
  <c r="BZ294" i="34"/>
  <c r="CC294" i="34" a="1"/>
  <c r="CC294" i="34" s="1"/>
  <c r="CE294" i="34"/>
  <c r="CF294" i="34"/>
  <c r="CH294" i="34" a="1"/>
  <c r="CH294" i="34" s="1"/>
  <c r="CI294" i="34" a="1"/>
  <c r="CI294" i="34" s="1"/>
  <c r="CK294" i="34"/>
  <c r="CL294" i="34"/>
  <c r="CO294" i="34" s="1" a="1"/>
  <c r="CO294" i="34" s="1"/>
  <c r="CQ294" i="34" a="1"/>
  <c r="CQ294" i="34" s="1"/>
  <c r="CU294" i="34" s="1" a="1"/>
  <c r="CU294" i="34" s="1"/>
  <c r="CR294" i="34"/>
  <c r="CT294" i="34" a="1"/>
  <c r="CT294" i="34" s="1"/>
  <c r="CW294" i="34"/>
  <c r="CX294" i="34"/>
  <c r="DA294" i="34" s="1" a="1"/>
  <c r="DA294" i="34" s="1"/>
  <c r="CZ294" i="34" a="1"/>
  <c r="CZ294" i="34" s="1"/>
  <c r="DC294" i="34"/>
  <c r="DD294" i="34"/>
  <c r="DF294" i="34" s="1" a="1"/>
  <c r="DF294" i="34" s="1"/>
  <c r="DI294" i="34"/>
  <c r="DJ294" i="34"/>
  <c r="DO294" i="34"/>
  <c r="DS294" i="34" s="1" a="1"/>
  <c r="DS294" i="34" s="1"/>
  <c r="DP294" i="34"/>
  <c r="DR294" i="34" a="1"/>
  <c r="DR294" i="34" s="1"/>
  <c r="DU294" i="34"/>
  <c r="DX294" i="34" s="1" a="1"/>
  <c r="DV294" i="34"/>
  <c r="DX294" i="34"/>
  <c r="DY294" i="34" a="1"/>
  <c r="DY294" i="34" s="1"/>
  <c r="EA294" i="34"/>
  <c r="EB294" i="34"/>
  <c r="ED294" i="34" a="1"/>
  <c r="ED294" i="34"/>
  <c r="EE294" i="34" a="1"/>
  <c r="EE294" i="34" s="1"/>
  <c r="BS295" i="34"/>
  <c r="BT295" i="34"/>
  <c r="BY295" i="34"/>
  <c r="BZ295" i="34"/>
  <c r="CC295" i="34" s="1" a="1"/>
  <c r="CC295" i="34" s="1"/>
  <c r="CE295" i="34"/>
  <c r="CF295" i="34"/>
  <c r="CH295" i="34" s="1" a="1"/>
  <c r="CH295" i="34" s="1"/>
  <c r="CK295" i="34"/>
  <c r="CL295" i="34"/>
  <c r="CN295" i="34" s="1" a="1"/>
  <c r="CN295" i="34" s="1"/>
  <c r="CQ295" i="34" a="1"/>
  <c r="CQ295" i="34" s="1"/>
  <c r="CT295" i="34" s="1" a="1"/>
  <c r="CT295" i="34" s="1"/>
  <c r="CR295" i="34"/>
  <c r="CU295" i="34" a="1"/>
  <c r="CU295" i="34" s="1"/>
  <c r="CW295" i="34"/>
  <c r="CZ295" i="34" s="1" a="1"/>
  <c r="CZ295" i="34" s="1"/>
  <c r="CX295" i="34"/>
  <c r="DA295" i="34" s="1" a="1"/>
  <c r="DA295" i="34" s="1"/>
  <c r="DC295" i="34"/>
  <c r="DD295" i="34"/>
  <c r="DF295" i="34" a="1"/>
  <c r="DF295" i="34" s="1"/>
  <c r="DG295" i="34" a="1"/>
  <c r="DG295" i="34" s="1"/>
  <c r="DI295" i="34"/>
  <c r="DM295" i="34" s="1" a="1"/>
  <c r="DM295" i="34" s="1"/>
  <c r="DJ295" i="34"/>
  <c r="DL295" i="34" a="1"/>
  <c r="DL295" i="34" s="1"/>
  <c r="DO295" i="34"/>
  <c r="DP295" i="34"/>
  <c r="DR295" i="34" a="1"/>
  <c r="DR295" i="34" s="1"/>
  <c r="DS295" i="34" a="1"/>
  <c r="DS295" i="34" s="1"/>
  <c r="DU295" i="34"/>
  <c r="DV295" i="34"/>
  <c r="EA295" i="34"/>
  <c r="EB295" i="34"/>
  <c r="BS296" i="34"/>
  <c r="BV296" i="34" s="1" a="1"/>
  <c r="BV296" i="34" s="1"/>
  <c r="BT296" i="34"/>
  <c r="BW296" i="34" a="1"/>
  <c r="BW296" i="34" s="1"/>
  <c r="BY296" i="34"/>
  <c r="BZ296" i="34"/>
  <c r="CB296" i="34" a="1"/>
  <c r="CB296" i="34" s="1"/>
  <c r="CC296" i="34" a="1"/>
  <c r="CC296" i="34" s="1"/>
  <c r="CE296" i="34"/>
  <c r="CH296" i="34" s="1" a="1"/>
  <c r="CH296" i="34" s="1"/>
  <c r="CF296" i="34"/>
  <c r="CI296" i="34" s="1" a="1"/>
  <c r="CI296" i="34" s="1"/>
  <c r="CK296" i="34"/>
  <c r="CL296" i="34"/>
  <c r="CN296" i="34" a="1"/>
  <c r="CN296" i="34"/>
  <c r="CO296" i="34" a="1"/>
  <c r="CO296" i="34" s="1"/>
  <c r="CQ296" i="34" a="1"/>
  <c r="CQ296" i="34" s="1"/>
  <c r="CU296" i="34" s="1" a="1"/>
  <c r="CU296" i="34" s="1"/>
  <c r="CR296" i="34"/>
  <c r="CT296" i="34" a="1"/>
  <c r="CT296" i="34" s="1"/>
  <c r="CW296" i="34"/>
  <c r="CX296" i="34"/>
  <c r="CZ296" i="34" s="1" a="1"/>
  <c r="CZ296" i="34" s="1"/>
  <c r="DC296" i="34"/>
  <c r="DD296" i="34"/>
  <c r="DI296" i="34"/>
  <c r="DM296" i="34" s="1" a="1"/>
  <c r="DM296" i="34" s="1"/>
  <c r="DJ296" i="34"/>
  <c r="DL296" i="34" a="1"/>
  <c r="DL296" i="34" s="1"/>
  <c r="DO296" i="34"/>
  <c r="DR296" i="34" s="1" a="1"/>
  <c r="DR296" i="34" s="1"/>
  <c r="DP296" i="34"/>
  <c r="DS296" i="34" a="1"/>
  <c r="DS296" i="34" s="1"/>
  <c r="DU296" i="34"/>
  <c r="DV296" i="34"/>
  <c r="DX296" i="34" a="1"/>
  <c r="DX296" i="34"/>
  <c r="DY296" i="34" a="1"/>
  <c r="DY296" i="34" s="1"/>
  <c r="EA296" i="34"/>
  <c r="EB296" i="34"/>
  <c r="BS297" i="34"/>
  <c r="BT297" i="34"/>
  <c r="BV297" i="34" s="1" a="1"/>
  <c r="BV297" i="34" s="1"/>
  <c r="BY297" i="34"/>
  <c r="BZ297" i="34"/>
  <c r="CB297" i="34" s="1" a="1"/>
  <c r="CB297" i="34" s="1"/>
  <c r="CC297" i="34" a="1"/>
  <c r="CC297" i="34" s="1"/>
  <c r="CE297" i="34"/>
  <c r="CF297" i="34"/>
  <c r="CH297" i="34" s="1" a="1"/>
  <c r="CH297" i="34" s="1"/>
  <c r="CK297" i="34"/>
  <c r="CL297" i="34"/>
  <c r="CQ297" i="34" a="1"/>
  <c r="CQ297" i="34" s="1"/>
  <c r="CR297" i="34"/>
  <c r="CW297" i="34"/>
  <c r="CX297" i="34"/>
  <c r="CZ297" i="34" a="1"/>
  <c r="CZ297" i="34" s="1"/>
  <c r="DA297" i="34" a="1"/>
  <c r="DA297" i="34" s="1"/>
  <c r="DC297" i="34"/>
  <c r="DG297" i="34" s="1" a="1"/>
  <c r="DG297" i="34" s="1"/>
  <c r="DD297" i="34"/>
  <c r="DF297" i="34" a="1"/>
  <c r="DF297" i="34" s="1"/>
  <c r="DI297" i="34"/>
  <c r="DJ297" i="34"/>
  <c r="DL297" i="34" a="1"/>
  <c r="DL297" i="34" s="1"/>
  <c r="DM297" i="34" a="1"/>
  <c r="DM297" i="34" s="1"/>
  <c r="DO297" i="34"/>
  <c r="DP297" i="34"/>
  <c r="DU297" i="34"/>
  <c r="DV297" i="34"/>
  <c r="EA297" i="34"/>
  <c r="ED297" i="34" s="1" a="1"/>
  <c r="ED297" i="34" s="1"/>
  <c r="EB297" i="34"/>
  <c r="EE297" i="34" a="1"/>
  <c r="EE297" i="34" s="1"/>
  <c r="BS298" i="34"/>
  <c r="BT298" i="34"/>
  <c r="BV298" i="34" a="1"/>
  <c r="BV298" i="34"/>
  <c r="BW298" i="34" a="1"/>
  <c r="BW298" i="34" s="1"/>
  <c r="BY298" i="34"/>
  <c r="CB298" i="34" s="1" a="1"/>
  <c r="CB298" i="34" s="1"/>
  <c r="BZ298" i="34"/>
  <c r="CC298" i="34" s="1" a="1"/>
  <c r="CC298" i="34" s="1"/>
  <c r="CE298" i="34"/>
  <c r="CF298" i="34"/>
  <c r="CH298" i="34" a="1"/>
  <c r="CH298" i="34"/>
  <c r="CI298" i="34" a="1"/>
  <c r="CI298" i="34" s="1"/>
  <c r="CK298" i="34"/>
  <c r="CO298" i="34" s="1" a="1"/>
  <c r="CO298" i="34" s="1"/>
  <c r="CL298" i="34"/>
  <c r="CN298" i="34" a="1"/>
  <c r="CN298" i="34"/>
  <c r="CQ298" i="34" a="1"/>
  <c r="CQ298" i="34" s="1"/>
  <c r="CR298" i="34"/>
  <c r="CW298" i="34"/>
  <c r="CX298" i="34"/>
  <c r="DC298" i="34"/>
  <c r="DG298" i="34" s="1" a="1"/>
  <c r="DG298" i="34" s="1"/>
  <c r="DD298" i="34"/>
  <c r="DI298" i="34"/>
  <c r="DL298" i="34" s="1" a="1"/>
  <c r="DL298" i="34" s="1"/>
  <c r="DJ298" i="34"/>
  <c r="DM298" i="34" a="1"/>
  <c r="DM298" i="34" s="1"/>
  <c r="DO298" i="34"/>
  <c r="DP298" i="34"/>
  <c r="DR298" i="34" a="1"/>
  <c r="DR298" i="34"/>
  <c r="DS298" i="34" a="1"/>
  <c r="DS298" i="34" s="1"/>
  <c r="DU298" i="34"/>
  <c r="DV298" i="34"/>
  <c r="EA298" i="34"/>
  <c r="EE298" i="34" s="1" a="1"/>
  <c r="EE298" i="34" s="1"/>
  <c r="EB298" i="34"/>
  <c r="ED298" i="34" s="1" a="1"/>
  <c r="ED298" i="34" s="1"/>
  <c r="BS299" i="34"/>
  <c r="BT299" i="34"/>
  <c r="BV299" i="34" a="1"/>
  <c r="BV299" i="34" s="1"/>
  <c r="BW299" i="34" a="1"/>
  <c r="BW299" i="34" s="1"/>
  <c r="BY299" i="34"/>
  <c r="BZ299" i="34"/>
  <c r="CB299" i="34" s="1" a="1"/>
  <c r="CB299" i="34" s="1"/>
  <c r="CE299" i="34"/>
  <c r="CF299" i="34"/>
  <c r="CK299" i="34"/>
  <c r="CO299" i="34" s="1" a="1"/>
  <c r="CO299" i="34" s="1"/>
  <c r="CL299" i="34"/>
  <c r="CQ299" i="34" a="1"/>
  <c r="CQ299" i="34" s="1"/>
  <c r="CR299" i="34"/>
  <c r="CW299" i="34"/>
  <c r="DA299" i="34" s="1" a="1"/>
  <c r="CX299" i="34"/>
  <c r="CZ299" i="34" a="1"/>
  <c r="CZ299" i="34" s="1"/>
  <c r="DA299" i="34"/>
  <c r="DC299" i="34"/>
  <c r="DD299" i="34"/>
  <c r="DG299" i="34" s="1" a="1"/>
  <c r="DG299" i="34" s="1"/>
  <c r="DF299" i="34" a="1"/>
  <c r="DF299" i="34" s="1"/>
  <c r="DI299" i="34"/>
  <c r="DJ299" i="34"/>
  <c r="DO299" i="34"/>
  <c r="DP299" i="34"/>
  <c r="DU299" i="34"/>
  <c r="DX299" i="34" s="1" a="1"/>
  <c r="DX299" i="34" s="1"/>
  <c r="DV299" i="34"/>
  <c r="DY299" i="34" a="1"/>
  <c r="DY299" i="34" s="1"/>
  <c r="EA299" i="34"/>
  <c r="EB299" i="34"/>
  <c r="ED299" i="34" a="1"/>
  <c r="ED299" i="34"/>
  <c r="EE299" i="34" a="1"/>
  <c r="EE299" i="34"/>
  <c r="BS300" i="34"/>
  <c r="BT300" i="34"/>
  <c r="BW300" i="34" s="1" a="1"/>
  <c r="BW300" i="34" s="1"/>
  <c r="BY300" i="34"/>
  <c r="BZ300" i="34"/>
  <c r="CB300" i="34" a="1"/>
  <c r="CB300" i="34"/>
  <c r="CC300" i="34" a="1"/>
  <c r="CC300" i="34" s="1"/>
  <c r="CE300" i="34"/>
  <c r="CI300" i="34" s="1" a="1"/>
  <c r="CF300" i="34"/>
  <c r="CH300" i="34" a="1"/>
  <c r="CH300" i="34"/>
  <c r="CI300" i="34"/>
  <c r="CK300" i="34"/>
  <c r="CL300" i="34"/>
  <c r="CO300" i="34" s="1" a="1"/>
  <c r="CO300" i="34" s="1"/>
  <c r="CN300" i="34" a="1"/>
  <c r="CN300" i="34" s="1"/>
  <c r="CQ300" i="34" a="1"/>
  <c r="CQ300" i="34" s="1"/>
  <c r="CR300" i="34"/>
  <c r="CW300" i="34"/>
  <c r="DA300" i="34" s="1" a="1"/>
  <c r="DA300" i="34" s="1"/>
  <c r="CX300" i="34"/>
  <c r="CZ300" i="34" a="1"/>
  <c r="CZ300" i="34" s="1"/>
  <c r="DC300" i="34"/>
  <c r="DF300" i="34" s="1" a="1"/>
  <c r="DD300" i="34"/>
  <c r="DF300" i="34"/>
  <c r="DG300" i="34" a="1"/>
  <c r="DG300" i="34" s="1"/>
  <c r="DI300" i="34"/>
  <c r="DJ300" i="34"/>
  <c r="DL300" i="34" a="1"/>
  <c r="DL300" i="34"/>
  <c r="DM300" i="34" a="1"/>
  <c r="DM300" i="34" s="1"/>
  <c r="DO300" i="34"/>
  <c r="DP300" i="34"/>
  <c r="DU300" i="34"/>
  <c r="DV300" i="34"/>
  <c r="DY300" i="34" s="1" a="1"/>
  <c r="DY300" i="34" s="1"/>
  <c r="DX300" i="34" a="1"/>
  <c r="DX300" i="34" s="1"/>
  <c r="EA300" i="34"/>
  <c r="EE300" i="34" s="1" a="1"/>
  <c r="EE300" i="34" s="1"/>
  <c r="EB300" i="34"/>
  <c r="ED300" i="34" s="1" a="1"/>
  <c r="ED300" i="34" s="1"/>
  <c r="BS301" i="34"/>
  <c r="BW301" i="34" s="1" a="1"/>
  <c r="BT301" i="34"/>
  <c r="BV301" i="34" s="1" a="1"/>
  <c r="BV301" i="34" s="1"/>
  <c r="BW301" i="34"/>
  <c r="BY301" i="34"/>
  <c r="CB301" i="34" s="1" a="1"/>
  <c r="CB301" i="34" s="1"/>
  <c r="BZ301" i="34"/>
  <c r="CC301" i="34" a="1"/>
  <c r="CC301" i="34" s="1"/>
  <c r="CE301" i="34"/>
  <c r="CI301" i="34" s="1" a="1"/>
  <c r="CI301" i="34" s="1"/>
  <c r="CF301" i="34"/>
  <c r="CK301" i="34"/>
  <c r="CN301" i="34" s="1" a="1"/>
  <c r="CN301" i="34" s="1"/>
  <c r="CL301" i="34"/>
  <c r="CO301" i="34" a="1"/>
  <c r="CO301" i="34" s="1"/>
  <c r="CQ301" i="34" a="1"/>
  <c r="CQ301" i="34"/>
  <c r="CR301" i="34"/>
  <c r="CT301" i="34" s="1" a="1"/>
  <c r="CT301" i="34" s="1"/>
  <c r="CW301" i="34"/>
  <c r="CX301" i="34"/>
  <c r="DA301" i="34" s="1" a="1"/>
  <c r="DA301" i="34" s="1"/>
  <c r="CZ301" i="34" a="1"/>
  <c r="CZ301" i="34" s="1"/>
  <c r="DC301" i="34"/>
  <c r="DD301" i="34"/>
  <c r="DI301" i="34"/>
  <c r="DJ301" i="34"/>
  <c r="DO301" i="34"/>
  <c r="DR301" i="34" s="1" a="1"/>
  <c r="DR301" i="34" s="1"/>
  <c r="DP301" i="34"/>
  <c r="DS301" i="34" a="1"/>
  <c r="DS301" i="34"/>
  <c r="DU301" i="34"/>
  <c r="DV301" i="34"/>
  <c r="DX301" i="34" a="1"/>
  <c r="DX301" i="34" s="1"/>
  <c r="DY301" i="34" a="1"/>
  <c r="DY301" i="34" s="1"/>
  <c r="EA301" i="34"/>
  <c r="ED301" i="34" s="1" a="1"/>
  <c r="ED301" i="34" s="1"/>
  <c r="EB301" i="34"/>
  <c r="EE301" i="34" s="1" a="1"/>
  <c r="EE301" i="34" s="1"/>
  <c r="BS302" i="34"/>
  <c r="BT302" i="34"/>
  <c r="BV302" i="34" a="1"/>
  <c r="BV302" i="34" s="1"/>
  <c r="BW302" i="34" a="1"/>
  <c r="BW302" i="34" s="1"/>
  <c r="BY302" i="34"/>
  <c r="CC302" i="34" s="1" a="1"/>
  <c r="BZ302" i="34"/>
  <c r="CB302" i="34" a="1"/>
  <c r="CB302" i="34" s="1"/>
  <c r="CC302" i="34"/>
  <c r="CE302" i="34"/>
  <c r="CI302" i="34" s="1" a="1"/>
  <c r="CI302" i="34" s="1"/>
  <c r="CF302" i="34"/>
  <c r="CH302" i="34" a="1"/>
  <c r="CH302" i="34" s="1"/>
  <c r="CK302" i="34"/>
  <c r="CO302" i="34" s="1" a="1"/>
  <c r="CO302" i="34" s="1"/>
  <c r="CL302" i="34"/>
  <c r="CQ302" i="34" a="1"/>
  <c r="CQ302" i="34"/>
  <c r="CU302" i="34" s="1" a="1"/>
  <c r="CU302" i="34" s="1"/>
  <c r="CR302" i="34"/>
  <c r="CT302" i="34" a="1"/>
  <c r="CT302" i="34" s="1"/>
  <c r="CW302" i="34"/>
  <c r="CZ302" i="34" s="1" a="1"/>
  <c r="CZ302" i="34" s="1"/>
  <c r="CX302" i="34"/>
  <c r="DA302" i="34" a="1"/>
  <c r="DA302" i="34" s="1"/>
  <c r="DC302" i="34"/>
  <c r="DD302" i="34"/>
  <c r="DF302" i="34" a="1"/>
  <c r="DF302" i="34" s="1"/>
  <c r="DG302" i="34" a="1"/>
  <c r="DG302" i="34" s="1"/>
  <c r="DI302" i="34"/>
  <c r="DJ302" i="34"/>
  <c r="DO302" i="34"/>
  <c r="DP302" i="34"/>
  <c r="DS302" i="34" s="1" a="1"/>
  <c r="DR302" i="34" a="1"/>
  <c r="DR302" i="34" s="1"/>
  <c r="DS302" i="34"/>
  <c r="DU302" i="34"/>
  <c r="DX302" i="34" s="1" a="1"/>
  <c r="DX302" i="34" s="1"/>
  <c r="DV302" i="34"/>
  <c r="DY302" i="34" a="1"/>
  <c r="DY302" i="34" s="1"/>
  <c r="EA302" i="34"/>
  <c r="EE302" i="34" s="1" a="1"/>
  <c r="EB302" i="34"/>
  <c r="ED302" i="34" s="1" a="1"/>
  <c r="ED302" i="34" s="1"/>
  <c r="EE302" i="34"/>
  <c r="BS303" i="34"/>
  <c r="BV303" i="34" s="1" a="1"/>
  <c r="BV303" i="34" s="1"/>
  <c r="BT303" i="34"/>
  <c r="BY303" i="34"/>
  <c r="CC303" i="34" s="1" a="1"/>
  <c r="CC303" i="34" s="1"/>
  <c r="BZ303" i="34"/>
  <c r="CB303" i="34" a="1"/>
  <c r="CB303" i="34" s="1"/>
  <c r="CE303" i="34"/>
  <c r="CH303" i="34" s="1" a="1"/>
  <c r="CH303" i="34" s="1"/>
  <c r="CF303" i="34"/>
  <c r="CI303" i="34" a="1"/>
  <c r="CI303" i="34" s="1"/>
  <c r="CK303" i="34"/>
  <c r="CL303" i="34"/>
  <c r="CN303" i="34" a="1"/>
  <c r="CN303" i="34" s="1"/>
  <c r="CO303" i="34" a="1"/>
  <c r="CO303" i="34" s="1"/>
  <c r="CQ303" i="34" a="1"/>
  <c r="CQ303" i="34" s="1"/>
  <c r="CU303" i="34" s="1" a="1"/>
  <c r="CU303" i="34" s="1"/>
  <c r="CR303" i="34"/>
  <c r="CT303" i="34" a="1"/>
  <c r="CT303" i="34"/>
  <c r="CW303" i="34"/>
  <c r="CX303" i="34"/>
  <c r="DA303" i="34" s="1" a="1"/>
  <c r="DA303" i="34" s="1"/>
  <c r="DC303" i="34"/>
  <c r="DD303" i="34"/>
  <c r="DI303" i="34"/>
  <c r="DL303" i="34" s="1" a="1"/>
  <c r="DL303" i="34" s="1"/>
  <c r="DJ303" i="34"/>
  <c r="DM303" i="34" a="1"/>
  <c r="DM303" i="34" s="1"/>
  <c r="DO303" i="34"/>
  <c r="DP303" i="34"/>
  <c r="DR303" i="34" a="1"/>
  <c r="DR303" i="34"/>
  <c r="DS303" i="34" a="1"/>
  <c r="DS303" i="34" s="1"/>
  <c r="DU303" i="34"/>
  <c r="DX303" i="34" s="1" a="1"/>
  <c r="DX303" i="34" s="1"/>
  <c r="DV303" i="34"/>
  <c r="DY303" i="34" s="1" a="1"/>
  <c r="DY303" i="34" s="1"/>
  <c r="EA303" i="34"/>
  <c r="EB303" i="34"/>
  <c r="ED303" i="34" a="1"/>
  <c r="ED303" i="34" s="1"/>
  <c r="EE303" i="34" a="1"/>
  <c r="EE303" i="34" s="1"/>
  <c r="BS304" i="34"/>
  <c r="BV304" i="34" s="1" a="1"/>
  <c r="BV304" i="34" s="1"/>
  <c r="BT304" i="34"/>
  <c r="BY304" i="34"/>
  <c r="CC304" i="34" s="1" a="1"/>
  <c r="CC304" i="34" s="1"/>
  <c r="BZ304" i="34"/>
  <c r="CB304" i="34" a="1"/>
  <c r="CB304" i="34" s="1"/>
  <c r="CE304" i="34"/>
  <c r="CI304" i="34" s="1" a="1"/>
  <c r="CI304" i="34" s="1"/>
  <c r="CF304" i="34"/>
  <c r="CK304" i="34"/>
  <c r="CL304" i="34"/>
  <c r="CQ304" i="34" a="1"/>
  <c r="CQ304" i="34"/>
  <c r="CT304" i="34" s="1" a="1"/>
  <c r="CT304" i="34" s="1"/>
  <c r="CR304" i="34"/>
  <c r="CU304" i="34" a="1"/>
  <c r="CU304" i="34" s="1"/>
  <c r="CW304" i="34"/>
  <c r="CX304" i="34"/>
  <c r="CZ304" i="34" a="1"/>
  <c r="CZ304" i="34" s="1"/>
  <c r="DA304" i="34" a="1"/>
  <c r="DA304" i="34" s="1"/>
  <c r="DC304" i="34"/>
  <c r="DF304" i="34" s="1" a="1"/>
  <c r="DD304" i="34"/>
  <c r="DF304" i="34"/>
  <c r="DG304" i="34" a="1"/>
  <c r="DG304" i="34" s="1"/>
  <c r="DI304" i="34"/>
  <c r="DJ304" i="34"/>
  <c r="DL304" i="34" s="1" a="1"/>
  <c r="DL304" i="34" s="1"/>
  <c r="DO304" i="34"/>
  <c r="DP304" i="34"/>
  <c r="DR304" i="34" a="1"/>
  <c r="DR304" i="34" s="1"/>
  <c r="DS304" i="34" a="1"/>
  <c r="DS304" i="34" s="1"/>
  <c r="DU304" i="34"/>
  <c r="DV304" i="34"/>
  <c r="DX304" i="34" s="1" a="1"/>
  <c r="DX304" i="34" s="1"/>
  <c r="EA304" i="34"/>
  <c r="ED304" i="34" s="1" a="1"/>
  <c r="EB304" i="34"/>
  <c r="ED304" i="34"/>
  <c r="EE304" i="34" a="1"/>
  <c r="EE304" i="34" s="1"/>
  <c r="BS305" i="34"/>
  <c r="BW305" i="34" s="1" a="1"/>
  <c r="BW305" i="34" s="1"/>
  <c r="BT305" i="34"/>
  <c r="BY305" i="34"/>
  <c r="CB305" i="34" s="1" a="1"/>
  <c r="BZ305" i="34"/>
  <c r="CB305" i="34"/>
  <c r="CE305" i="34"/>
  <c r="CF305" i="34"/>
  <c r="CI305" i="34" s="1" a="1"/>
  <c r="CI305" i="34" s="1"/>
  <c r="CH305" i="34" a="1"/>
  <c r="CH305" i="34"/>
  <c r="CK305" i="34"/>
  <c r="CN305" i="34" s="1" a="1"/>
  <c r="CN305" i="34" s="1"/>
  <c r="CL305" i="34"/>
  <c r="CO305" i="34" a="1"/>
  <c r="CO305" i="34" s="1"/>
  <c r="CQ305" i="34" a="1"/>
  <c r="CQ305" i="34"/>
  <c r="CT305" i="34" s="1" a="1"/>
  <c r="CT305" i="34" s="1"/>
  <c r="CR305" i="34"/>
  <c r="CW305" i="34"/>
  <c r="CX305" i="34"/>
  <c r="DC305" i="34"/>
  <c r="DD305" i="34"/>
  <c r="DG305" i="34" a="1"/>
  <c r="DG305" i="34" s="1"/>
  <c r="DI305" i="34"/>
  <c r="DJ305" i="34"/>
  <c r="DL305" i="34" a="1"/>
  <c r="DL305" i="34"/>
  <c r="DM305" i="34" a="1"/>
  <c r="DM305" i="34"/>
  <c r="DO305" i="34"/>
  <c r="DP305" i="34"/>
  <c r="DR305" i="34" s="1" a="1"/>
  <c r="DR305" i="34" s="1"/>
  <c r="DS305" i="34" a="1"/>
  <c r="DS305" i="34"/>
  <c r="DU305" i="34"/>
  <c r="DV305" i="34"/>
  <c r="DX305" i="34" a="1"/>
  <c r="DX305" i="34" s="1"/>
  <c r="DY305" i="34" a="1"/>
  <c r="DY305" i="34" s="1"/>
  <c r="EA305" i="34"/>
  <c r="EB305" i="34"/>
  <c r="ED305" i="34" a="1"/>
  <c r="ED305" i="34" s="1"/>
  <c r="BS306" i="34"/>
  <c r="BW306" i="34" s="1" a="1"/>
  <c r="BW306" i="34" s="1"/>
  <c r="BT306" i="34"/>
  <c r="BV306" i="34" a="1"/>
  <c r="BV306" i="34"/>
  <c r="BY306" i="34"/>
  <c r="CC306" i="34" s="1" a="1"/>
  <c r="BZ306" i="34"/>
  <c r="CC306" i="34"/>
  <c r="CE306" i="34"/>
  <c r="CF306" i="34"/>
  <c r="CK306" i="34"/>
  <c r="CL306" i="34"/>
  <c r="CO306" i="34" a="1"/>
  <c r="CO306" i="34" s="1"/>
  <c r="CQ306" i="34" a="1"/>
  <c r="CQ306" i="34" s="1"/>
  <c r="CT306" i="34" s="1" a="1"/>
  <c r="CT306" i="34" s="1"/>
  <c r="CR306" i="34"/>
  <c r="CW306" i="34"/>
  <c r="CZ306" i="34" s="1" a="1"/>
  <c r="CZ306" i="34" s="1"/>
  <c r="CX306" i="34"/>
  <c r="DA306" i="34" a="1"/>
  <c r="DA306" i="34" s="1"/>
  <c r="DC306" i="34"/>
  <c r="DD306" i="34"/>
  <c r="DG306" i="34" s="1" a="1"/>
  <c r="DG306" i="34" s="1"/>
  <c r="DF306" i="34" a="1"/>
  <c r="DF306" i="34" s="1"/>
  <c r="DI306" i="34"/>
  <c r="DL306" i="34" s="1" a="1"/>
  <c r="DL306" i="34" s="1"/>
  <c r="DJ306" i="34"/>
  <c r="DM306" i="34" a="1"/>
  <c r="DM306" i="34" s="1"/>
  <c r="DO306" i="34"/>
  <c r="DP306" i="34"/>
  <c r="DR306" i="34" s="1" a="1"/>
  <c r="DR306" i="34" s="1"/>
  <c r="DU306" i="34"/>
  <c r="DX306" i="34" s="1" a="1"/>
  <c r="DX306" i="34" s="1"/>
  <c r="DV306" i="34"/>
  <c r="DY306" i="34" a="1"/>
  <c r="DY306" i="34" s="1"/>
  <c r="EA306" i="34"/>
  <c r="EE306" i="34" s="1" a="1"/>
  <c r="EB306" i="34"/>
  <c r="EE306" i="34"/>
  <c r="BS307" i="34"/>
  <c r="BV307" i="34" s="1" a="1"/>
  <c r="BT307" i="34"/>
  <c r="BV307" i="34"/>
  <c r="BW307" i="34" a="1"/>
  <c r="BW307" i="34" s="1"/>
  <c r="BY307" i="34"/>
  <c r="BZ307" i="34"/>
  <c r="CB307" i="34" a="1"/>
  <c r="CB307" i="34"/>
  <c r="CC307" i="34" a="1"/>
  <c r="CC307" i="34" s="1"/>
  <c r="CE307" i="34"/>
  <c r="CH307" i="34" s="1" a="1"/>
  <c r="CF307" i="34"/>
  <c r="CH307" i="34"/>
  <c r="CI307" i="34" a="1"/>
  <c r="CI307" i="34" s="1"/>
  <c r="CK307" i="34"/>
  <c r="CL307" i="34"/>
  <c r="CO307" i="34" s="1" a="1"/>
  <c r="CN307" i="34" a="1"/>
  <c r="CN307" i="34" s="1"/>
  <c r="CO307" i="34"/>
  <c r="CQ307" i="34" a="1"/>
  <c r="CQ307" i="34"/>
  <c r="CR307" i="34"/>
  <c r="CW307" i="34"/>
  <c r="CX307" i="34"/>
  <c r="DA307" i="34" a="1"/>
  <c r="DA307" i="34" s="1"/>
  <c r="DC307" i="34"/>
  <c r="DD307" i="34"/>
  <c r="DF307" i="34" a="1"/>
  <c r="DF307" i="34"/>
  <c r="DG307" i="34" a="1"/>
  <c r="DG307" i="34" s="1"/>
  <c r="DI307" i="34"/>
  <c r="DJ307" i="34"/>
  <c r="DL307" i="34" s="1" a="1"/>
  <c r="DL307" i="34" s="1"/>
  <c r="DO307" i="34"/>
  <c r="DP307" i="34"/>
  <c r="DR307" i="34" a="1"/>
  <c r="DR307" i="34"/>
  <c r="DS307" i="34" a="1"/>
  <c r="DS307" i="34" s="1"/>
  <c r="DU307" i="34"/>
  <c r="DY307" i="34" s="1" a="1"/>
  <c r="DY307" i="34" s="1"/>
  <c r="DV307" i="34"/>
  <c r="DX307" i="34" a="1"/>
  <c r="DX307" i="34" s="1"/>
  <c r="EA307" i="34"/>
  <c r="EE307" i="34" s="1" a="1"/>
  <c r="EE307" i="34" s="1"/>
  <c r="EB307" i="34"/>
  <c r="ED307" i="34" a="1"/>
  <c r="ED307" i="34"/>
  <c r="BS308" i="34"/>
  <c r="BT308" i="34"/>
  <c r="BW308" i="34" s="1" a="1"/>
  <c r="BW308" i="34" s="1"/>
  <c r="BY308" i="34"/>
  <c r="BZ308" i="34"/>
  <c r="CE308" i="34"/>
  <c r="CH308" i="34" s="1" a="1"/>
  <c r="CH308" i="34" s="1"/>
  <c r="CF308" i="34"/>
  <c r="CI308" i="34" a="1"/>
  <c r="CI308" i="34" s="1"/>
  <c r="CK308" i="34"/>
  <c r="CL308" i="34"/>
  <c r="CN308" i="34" a="1"/>
  <c r="CN308" i="34"/>
  <c r="CO308" i="34" a="1"/>
  <c r="CO308" i="34" s="1"/>
  <c r="CQ308" i="34" a="1"/>
  <c r="CQ308" i="34"/>
  <c r="CT308" i="34" s="1" a="1"/>
  <c r="CT308" i="34" s="1"/>
  <c r="CR308" i="34"/>
  <c r="CW308" i="34"/>
  <c r="CX308" i="34"/>
  <c r="DA308" i="34" s="1" a="1"/>
  <c r="DA308" i="34"/>
  <c r="DC308" i="34"/>
  <c r="DG308" i="34" s="1" a="1"/>
  <c r="DG308" i="34" s="1"/>
  <c r="DD308" i="34"/>
  <c r="DF308" i="34" a="1"/>
  <c r="DF308" i="34" s="1"/>
  <c r="DI308" i="34"/>
  <c r="DJ308" i="34"/>
  <c r="DL308" i="34" s="1" a="1"/>
  <c r="DL308" i="34" s="1"/>
  <c r="DO308" i="34"/>
  <c r="DR308" i="34" s="1" a="1"/>
  <c r="DR308" i="34" s="1"/>
  <c r="DP308" i="34"/>
  <c r="DU308" i="34"/>
  <c r="DY308" i="34" s="1" a="1"/>
  <c r="DY308" i="34" s="1"/>
  <c r="DV308" i="34"/>
  <c r="DX308" i="34" a="1"/>
  <c r="DX308" i="34" s="1"/>
  <c r="EA308" i="34"/>
  <c r="ED308" i="34" s="1" a="1"/>
  <c r="ED308" i="34" s="1"/>
  <c r="EB308" i="34"/>
  <c r="EE308" i="34" a="1"/>
  <c r="EE308" i="34" s="1"/>
  <c r="BS309" i="34"/>
  <c r="BT309" i="34"/>
  <c r="BV309" i="34" a="1"/>
  <c r="BV309" i="34" s="1"/>
  <c r="BW309" i="34" a="1"/>
  <c r="BW309" i="34" s="1"/>
  <c r="BY309" i="34"/>
  <c r="CB309" i="34" s="1" a="1"/>
  <c r="BZ309" i="34"/>
  <c r="CB309" i="34"/>
  <c r="CC309" i="34" a="1"/>
  <c r="CC309" i="34" s="1"/>
  <c r="CE309" i="34"/>
  <c r="CF309" i="34"/>
  <c r="CK309" i="34"/>
  <c r="CL309" i="34"/>
  <c r="CN309" i="34" a="1"/>
  <c r="CN309" i="34" s="1"/>
  <c r="CO309" i="34" a="1"/>
  <c r="CO309" i="34" s="1"/>
  <c r="CQ309" i="34" a="1"/>
  <c r="CQ309" i="34"/>
  <c r="CU309" i="34" s="1" a="1"/>
  <c r="CU309" i="34" s="1"/>
  <c r="CR309" i="34"/>
  <c r="CW309" i="34"/>
  <c r="CX309" i="34"/>
  <c r="CZ309" i="34" a="1"/>
  <c r="CZ309" i="34" s="1"/>
  <c r="DA309" i="34" a="1"/>
  <c r="DA309" i="34" s="1"/>
  <c r="DC309" i="34"/>
  <c r="DD309" i="34"/>
  <c r="DF309" i="34" s="1" a="1"/>
  <c r="DF309" i="34" s="1"/>
  <c r="DI309" i="34"/>
  <c r="DJ309" i="34"/>
  <c r="DL309" i="34" a="1"/>
  <c r="DL309" i="34" s="1"/>
  <c r="DM309" i="34" a="1"/>
  <c r="DM309" i="34" s="1"/>
  <c r="DO309" i="34"/>
  <c r="DP309" i="34"/>
  <c r="DR309" i="34" a="1"/>
  <c r="DR309" i="34"/>
  <c r="DU309" i="34"/>
  <c r="DY309" i="34" s="1" a="1"/>
  <c r="DY309" i="34" s="1"/>
  <c r="DV309" i="34"/>
  <c r="DX309" i="34" a="1"/>
  <c r="DX309" i="34"/>
  <c r="EA309" i="34"/>
  <c r="EB309" i="34"/>
  <c r="EE309" i="34" s="1" a="1"/>
  <c r="EE309" i="34" s="1"/>
  <c r="ED309" i="34" a="1"/>
  <c r="ED309" i="34" s="1"/>
  <c r="BS310" i="34"/>
  <c r="BT310" i="34"/>
  <c r="BY310" i="34"/>
  <c r="BZ310" i="34"/>
  <c r="CC310" i="34" a="1"/>
  <c r="CC310" i="34" s="1"/>
  <c r="CE310" i="34"/>
  <c r="CF310" i="34"/>
  <c r="CK310" i="34"/>
  <c r="CL310" i="34"/>
  <c r="CN310" i="34" s="1" a="1"/>
  <c r="CN310" i="34" s="1"/>
  <c r="CO310" i="34" a="1"/>
  <c r="CO310" i="34" s="1"/>
  <c r="CQ310" i="34" a="1"/>
  <c r="CQ310" i="34" s="1"/>
  <c r="CU310" i="34" s="1" a="1"/>
  <c r="CR310" i="34"/>
  <c r="CU310" i="34"/>
  <c r="CW310" i="34"/>
  <c r="CX310" i="34"/>
  <c r="DC310" i="34"/>
  <c r="DG310" i="34" s="1" a="1"/>
  <c r="DD310" i="34"/>
  <c r="DF310" i="34" a="1"/>
  <c r="DF310" i="34" s="1"/>
  <c r="DG310" i="34"/>
  <c r="DI310" i="34"/>
  <c r="DJ310" i="34"/>
  <c r="DM310" i="34" s="1" a="1"/>
  <c r="DM310" i="34" s="1"/>
  <c r="DO310" i="34"/>
  <c r="DS310" i="34" s="1" a="1"/>
  <c r="DS310" i="34" s="1"/>
  <c r="DP310" i="34"/>
  <c r="DR310" i="34" a="1"/>
  <c r="DR310" i="34" s="1"/>
  <c r="DU310" i="34"/>
  <c r="DV310" i="34"/>
  <c r="EA310" i="34"/>
  <c r="EB310" i="34"/>
  <c r="ED310" i="34" s="1" a="1"/>
  <c r="ED310" i="34" s="1"/>
  <c r="BS311" i="34"/>
  <c r="BV311" i="34" s="1" a="1"/>
  <c r="BV311" i="34" s="1"/>
  <c r="BT311" i="34"/>
  <c r="BW311" i="34" a="1"/>
  <c r="BW311" i="34" s="1"/>
  <c r="BY311" i="34"/>
  <c r="BZ311" i="34"/>
  <c r="CC311" i="34" s="1" a="1"/>
  <c r="CB311" i="34" a="1"/>
  <c r="CB311" i="34" s="1"/>
  <c r="CC311" i="34"/>
  <c r="CE311" i="34"/>
  <c r="CF311" i="34"/>
  <c r="CH311" i="34" a="1"/>
  <c r="CH311" i="34" s="1"/>
  <c r="CI311" i="34" a="1"/>
  <c r="CI311" i="34" s="1"/>
  <c r="CK311" i="34"/>
  <c r="CL311" i="34"/>
  <c r="CN311" i="34" s="1" a="1"/>
  <c r="CN311" i="34" s="1"/>
  <c r="CQ311" i="34" a="1"/>
  <c r="CQ311" i="34"/>
  <c r="CR311" i="34"/>
  <c r="CT311" i="34" a="1"/>
  <c r="CT311" i="34" s="1"/>
  <c r="CU311" i="34" a="1"/>
  <c r="CU311" i="34" s="1"/>
  <c r="CW311" i="34"/>
  <c r="CX311" i="34"/>
  <c r="CZ311" i="34" s="1" a="1"/>
  <c r="CZ311" i="34" s="1"/>
  <c r="DC311" i="34"/>
  <c r="DD311" i="34"/>
  <c r="DF311" i="34" a="1"/>
  <c r="DF311" i="34" s="1"/>
  <c r="DG311" i="34" a="1"/>
  <c r="DG311" i="34" s="1"/>
  <c r="DI311" i="34"/>
  <c r="DJ311" i="34"/>
  <c r="DL311" i="34" a="1"/>
  <c r="DL311" i="34"/>
  <c r="DO311" i="34"/>
  <c r="DS311" i="34" s="1" a="1"/>
  <c r="DS311" i="34" s="1"/>
  <c r="DP311" i="34"/>
  <c r="DR311" i="34" a="1"/>
  <c r="DR311" i="34"/>
  <c r="DU311" i="34"/>
  <c r="DV311" i="34"/>
  <c r="DY311" i="34" s="1" a="1"/>
  <c r="DY311" i="34" s="1"/>
  <c r="DX311" i="34" a="1"/>
  <c r="DX311" i="34" s="1"/>
  <c r="EA311" i="34"/>
  <c r="EB311" i="34"/>
  <c r="BS312" i="34"/>
  <c r="BT312" i="34"/>
  <c r="BW312" i="34" a="1"/>
  <c r="BW312" i="34" s="1"/>
  <c r="BY312" i="34"/>
  <c r="BZ312" i="34"/>
  <c r="CE312" i="34"/>
  <c r="CF312" i="34"/>
  <c r="CH312" i="34" s="1" a="1"/>
  <c r="CH312" i="34" s="1"/>
  <c r="CI312" i="34" a="1"/>
  <c r="CI312" i="34" s="1"/>
  <c r="CK312" i="34"/>
  <c r="CL312" i="34"/>
  <c r="CN312" i="34" a="1"/>
  <c r="CN312" i="34"/>
  <c r="CO312" i="34" a="1"/>
  <c r="CO312" i="34" s="1"/>
  <c r="CQ312" i="34" a="1"/>
  <c r="CQ312" i="34"/>
  <c r="CR312" i="34"/>
  <c r="CW312" i="34"/>
  <c r="CX312" i="34"/>
  <c r="CZ312" i="34" a="1"/>
  <c r="CZ312" i="34" s="1"/>
  <c r="DC312" i="34"/>
  <c r="DF312" i="34" s="1" a="1"/>
  <c r="DF312" i="34" s="1"/>
  <c r="DD312" i="34"/>
  <c r="DI312" i="34"/>
  <c r="DM312" i="34" s="1" a="1"/>
  <c r="DJ312" i="34"/>
  <c r="DM312" i="34"/>
  <c r="DO312" i="34"/>
  <c r="DR312" i="34" s="1" a="1"/>
  <c r="DP312" i="34"/>
  <c r="DR312" i="34"/>
  <c r="DU312" i="34"/>
  <c r="DV312" i="34"/>
  <c r="DX312" i="34" a="1"/>
  <c r="DX312" i="34" s="1"/>
  <c r="DY312" i="34" a="1"/>
  <c r="DY312" i="34" s="1"/>
  <c r="EA312" i="34"/>
  <c r="EE312" i="34" s="1" a="1"/>
  <c r="EE312" i="34" s="1"/>
  <c r="EB312" i="34"/>
  <c r="ED312" i="34" a="1"/>
  <c r="ED312" i="34"/>
  <c r="BS313" i="34"/>
  <c r="BT313" i="34"/>
  <c r="BW313" i="34" s="1" a="1"/>
  <c r="BW313" i="34" s="1"/>
  <c r="BV313" i="34" a="1"/>
  <c r="BV313" i="34"/>
  <c r="BY313" i="34"/>
  <c r="BZ313" i="34"/>
  <c r="CB313" i="34" s="1" a="1"/>
  <c r="CB313" i="34" s="1"/>
  <c r="CC313" i="34" a="1"/>
  <c r="CC313" i="34" s="1"/>
  <c r="CE313" i="34"/>
  <c r="CI313" i="34" s="1" a="1"/>
  <c r="CF313" i="34"/>
  <c r="CI313" i="34"/>
  <c r="CK313" i="34"/>
  <c r="CO313" i="34" s="1" a="1"/>
  <c r="CO313" i="34" s="1"/>
  <c r="CL313" i="34"/>
  <c r="CN313" i="34" a="1"/>
  <c r="CN313" i="34" s="1"/>
  <c r="CQ313" i="34" a="1"/>
  <c r="CQ313" i="34"/>
  <c r="CR313" i="34"/>
  <c r="CT313" i="34" s="1" a="1"/>
  <c r="CT313" i="34" s="1"/>
  <c r="CW313" i="34"/>
  <c r="DA313" i="34" s="1" a="1"/>
  <c r="DA313" i="34" s="1"/>
  <c r="CX313" i="34"/>
  <c r="CZ313" i="34" a="1"/>
  <c r="CZ313" i="34"/>
  <c r="DC313" i="34"/>
  <c r="DD313" i="34"/>
  <c r="DF313" i="34" a="1"/>
  <c r="DF313" i="34" s="1"/>
  <c r="DG313" i="34" a="1"/>
  <c r="DG313" i="34"/>
  <c r="DI313" i="34"/>
  <c r="DM313" i="34" s="1" a="1"/>
  <c r="DM313" i="34" s="1"/>
  <c r="DJ313" i="34"/>
  <c r="DL313" i="34" s="1" a="1"/>
  <c r="DL313" i="34" s="1"/>
  <c r="DO313" i="34"/>
  <c r="DS313" i="34" s="1" a="1"/>
  <c r="DS313" i="34" s="1"/>
  <c r="DP313" i="34"/>
  <c r="DU313" i="34"/>
  <c r="DV313" i="34"/>
  <c r="DX313" i="34" a="1"/>
  <c r="DX313" i="34"/>
  <c r="DY313" i="34" a="1"/>
  <c r="DY313" i="34"/>
  <c r="EA313" i="34"/>
  <c r="ED313" i="34" s="1" a="1"/>
  <c r="ED313" i="34" s="1"/>
  <c r="EB313" i="34"/>
  <c r="EE313" i="34" a="1"/>
  <c r="EE313" i="34" s="1"/>
  <c r="BS314" i="34"/>
  <c r="BT314" i="34"/>
  <c r="BY314" i="34"/>
  <c r="BZ314" i="34"/>
  <c r="CB314" i="34" s="1" a="1"/>
  <c r="CB314" i="34" s="1"/>
  <c r="CE314" i="34"/>
  <c r="CI314" i="34" s="1" a="1"/>
  <c r="CI314" i="34" s="1"/>
  <c r="CF314" i="34"/>
  <c r="CH314" i="34" a="1"/>
  <c r="CH314" i="34" s="1"/>
  <c r="CK314" i="34"/>
  <c r="CL314" i="34"/>
  <c r="CN314" i="34" a="1"/>
  <c r="CN314" i="34" s="1"/>
  <c r="CO314" i="34" a="1"/>
  <c r="CO314" i="34"/>
  <c r="CQ314" i="34" a="1"/>
  <c r="CQ314" i="34"/>
  <c r="CT314" i="34" s="1" a="1"/>
  <c r="CT314" i="34" s="1"/>
  <c r="CR314" i="34"/>
  <c r="CW314" i="34"/>
  <c r="DA314" i="34" s="1" a="1"/>
  <c r="DA314" i="34" s="1"/>
  <c r="CX314" i="34"/>
  <c r="CZ314" i="34" a="1"/>
  <c r="CZ314" i="34" s="1"/>
  <c r="DC314" i="34"/>
  <c r="DD314" i="34"/>
  <c r="DF314" i="34" a="1"/>
  <c r="DF314" i="34" s="1"/>
  <c r="DG314" i="34" a="1"/>
  <c r="DG314" i="34" s="1"/>
  <c r="DI314" i="34"/>
  <c r="DL314" i="34" s="1" a="1"/>
  <c r="DL314" i="34" s="1"/>
  <c r="DJ314" i="34"/>
  <c r="DM314" i="34" a="1"/>
  <c r="DM314" i="34" s="1"/>
  <c r="DO314" i="34"/>
  <c r="DP314" i="34"/>
  <c r="DU314" i="34"/>
  <c r="DY314" i="34" s="1" a="1"/>
  <c r="DY314" i="34" s="1"/>
  <c r="DV314" i="34"/>
  <c r="DX314" i="34" a="1"/>
  <c r="DX314" i="34" s="1"/>
  <c r="EA314" i="34"/>
  <c r="EB314" i="34"/>
  <c r="ED314" i="34" s="1" a="1"/>
  <c r="ED314" i="34" s="1"/>
  <c r="EE314" i="34" a="1"/>
  <c r="EE314" i="34" s="1"/>
  <c r="BS315" i="34"/>
  <c r="BV315" i="34" s="1" a="1"/>
  <c r="BV315" i="34" s="1"/>
  <c r="BT315" i="34"/>
  <c r="BW315" i="34" a="1"/>
  <c r="BW315" i="34" s="1"/>
  <c r="BY315" i="34"/>
  <c r="CB315" i="34" s="1" a="1"/>
  <c r="CB315" i="34" s="1"/>
  <c r="BZ315" i="34"/>
  <c r="CE315" i="34"/>
  <c r="CI315" i="34" s="1" a="1"/>
  <c r="CI315" i="34" s="1"/>
  <c r="CF315" i="34"/>
  <c r="CH315" i="34" a="1"/>
  <c r="CH315" i="34" s="1"/>
  <c r="CK315" i="34"/>
  <c r="CL315" i="34"/>
  <c r="CN315" i="34" a="1"/>
  <c r="CN315" i="34" s="1"/>
  <c r="CO315" i="34" a="1"/>
  <c r="CO315" i="34" s="1"/>
  <c r="CQ315" i="34" a="1"/>
  <c r="CQ315" i="34" s="1"/>
  <c r="CR315" i="34"/>
  <c r="CW315" i="34"/>
  <c r="CX315" i="34"/>
  <c r="CZ315" i="34" a="1"/>
  <c r="CZ315" i="34" s="1"/>
  <c r="DA315" i="34" a="1"/>
  <c r="DA315" i="34"/>
  <c r="DC315" i="34"/>
  <c r="DF315" i="34" s="1" a="1"/>
  <c r="DF315" i="34" s="1"/>
  <c r="DD315" i="34"/>
  <c r="DI315" i="34"/>
  <c r="DM315" i="34" s="1" a="1"/>
  <c r="DM315" i="34" s="1"/>
  <c r="DJ315" i="34"/>
  <c r="DO315" i="34"/>
  <c r="DP315" i="34"/>
  <c r="DR315" i="34" a="1"/>
  <c r="DR315" i="34"/>
  <c r="DS315" i="34" a="1"/>
  <c r="DS315" i="34"/>
  <c r="DU315" i="34"/>
  <c r="DX315" i="34" s="1" a="1"/>
  <c r="DX315" i="34" s="1"/>
  <c r="DV315" i="34"/>
  <c r="DY315" i="34" a="1"/>
  <c r="DY315" i="34" s="1"/>
  <c r="EA315" i="34"/>
  <c r="EB315" i="34"/>
  <c r="BS316" i="34"/>
  <c r="BT316" i="34"/>
  <c r="BV316" i="34" s="1" a="1"/>
  <c r="BV316" i="34" s="1"/>
  <c r="BY316" i="34"/>
  <c r="CC316" i="34" s="1" a="1"/>
  <c r="CC316" i="34" s="1"/>
  <c r="BZ316" i="34"/>
  <c r="CB316" i="34" a="1"/>
  <c r="CB316" i="34" s="1"/>
  <c r="CE316" i="34"/>
  <c r="CF316" i="34"/>
  <c r="CH316" i="34" a="1"/>
  <c r="CH316" i="34" s="1"/>
  <c r="CI316" i="34" a="1"/>
  <c r="CI316" i="34"/>
  <c r="CK316" i="34"/>
  <c r="CN316" i="34" s="1" a="1"/>
  <c r="CN316" i="34" s="1"/>
  <c r="CL316" i="34"/>
  <c r="CQ316" i="34" a="1"/>
  <c r="CQ316" i="34" s="1"/>
  <c r="CU316" i="34" s="1" a="1"/>
  <c r="CU316" i="34" s="1"/>
  <c r="CR316" i="34"/>
  <c r="CT316" i="34" a="1"/>
  <c r="CT316" i="34" s="1"/>
  <c r="CW316" i="34"/>
  <c r="CX316" i="34"/>
  <c r="CZ316" i="34" a="1"/>
  <c r="CZ316" i="34" s="1"/>
  <c r="DA316" i="34" a="1"/>
  <c r="DA316" i="34" s="1"/>
  <c r="DC316" i="34"/>
  <c r="DF316" i="34" s="1" a="1"/>
  <c r="DF316" i="34" s="1"/>
  <c r="DD316" i="34"/>
  <c r="DG316" i="34" a="1"/>
  <c r="DG316" i="34" s="1"/>
  <c r="DI316" i="34"/>
  <c r="DJ316" i="34"/>
  <c r="DO316" i="34"/>
  <c r="DS316" i="34" s="1" a="1"/>
  <c r="DS316" i="34" s="1"/>
  <c r="DP316" i="34"/>
  <c r="DR316" i="34" a="1"/>
  <c r="DR316" i="34" s="1"/>
  <c r="DU316" i="34"/>
  <c r="DV316" i="34"/>
  <c r="DX316" i="34" s="1" a="1"/>
  <c r="DX316" i="34" s="1"/>
  <c r="DY316" i="34" a="1"/>
  <c r="DY316" i="34" s="1"/>
  <c r="EA316" i="34"/>
  <c r="ED316" i="34" s="1" a="1"/>
  <c r="ED316" i="34" s="1"/>
  <c r="EB316" i="34"/>
  <c r="EE316" i="34" a="1"/>
  <c r="EE316" i="34" s="1"/>
  <c r="BS317" i="34"/>
  <c r="BV317" i="34" s="1" a="1"/>
  <c r="BV317" i="34" s="1"/>
  <c r="BT317" i="34"/>
  <c r="BY317" i="34"/>
  <c r="CC317" i="34" s="1" a="1"/>
  <c r="CC317" i="34" s="1"/>
  <c r="BZ317" i="34"/>
  <c r="CB317" i="34" a="1"/>
  <c r="CB317" i="34" s="1"/>
  <c r="CE317" i="34"/>
  <c r="CF317" i="34"/>
  <c r="CH317" i="34" a="1"/>
  <c r="CH317" i="34" s="1"/>
  <c r="CI317" i="34" a="1"/>
  <c r="CI317" i="34" s="1"/>
  <c r="CK317" i="34"/>
  <c r="CN317" i="34" s="1" a="1"/>
  <c r="CL317" i="34"/>
  <c r="CN317" i="34"/>
  <c r="CO317" i="34" a="1"/>
  <c r="CO317" i="34" s="1"/>
  <c r="CQ317" i="34" a="1"/>
  <c r="CQ317" i="34" s="1"/>
  <c r="CR317" i="34"/>
  <c r="CW317" i="34"/>
  <c r="CZ317" i="34" s="1" a="1"/>
  <c r="CZ317" i="34" s="1"/>
  <c r="CX317" i="34"/>
  <c r="DC317" i="34"/>
  <c r="DD317" i="34"/>
  <c r="DI317" i="34"/>
  <c r="DJ317" i="34"/>
  <c r="DL317" i="34" a="1"/>
  <c r="DL317" i="34"/>
  <c r="DM317" i="34" a="1"/>
  <c r="DM317" i="34"/>
  <c r="DO317" i="34"/>
  <c r="DR317" i="34" s="1" a="1"/>
  <c r="DR317" i="34" s="1"/>
  <c r="DP317" i="34"/>
  <c r="DS317" i="34" a="1"/>
  <c r="DS317" i="34" s="1"/>
  <c r="DU317" i="34"/>
  <c r="DV317" i="34"/>
  <c r="DY317" i="34" s="1" a="1"/>
  <c r="DY317" i="34" s="1"/>
  <c r="EA317" i="34"/>
  <c r="ED317" i="34" s="1" a="1"/>
  <c r="ED317" i="34" s="1"/>
  <c r="EB317" i="34"/>
  <c r="BS318" i="34"/>
  <c r="BW318" i="34" s="1" a="1"/>
  <c r="BT318" i="34"/>
  <c r="BV318" i="34" a="1"/>
  <c r="BV318" i="34" s="1"/>
  <c r="BW318" i="34"/>
  <c r="BY318" i="34"/>
  <c r="BZ318" i="34"/>
  <c r="CB318" i="34" a="1"/>
  <c r="CB318" i="34" s="1"/>
  <c r="CC318" i="34" a="1"/>
  <c r="CC318" i="34"/>
  <c r="CE318" i="34"/>
  <c r="CH318" i="34" s="1" a="1"/>
  <c r="CH318" i="34" s="1"/>
  <c r="CF318" i="34"/>
  <c r="CK318" i="34"/>
  <c r="CL318" i="34"/>
  <c r="CQ318" i="34" a="1"/>
  <c r="CQ318" i="34" s="1"/>
  <c r="CR318" i="34"/>
  <c r="CW318" i="34"/>
  <c r="CZ318" i="34" s="1" a="1"/>
  <c r="CZ318" i="34" s="1"/>
  <c r="CX318" i="34"/>
  <c r="DA318" i="34" a="1"/>
  <c r="DA318" i="34" s="1"/>
  <c r="DC318" i="34"/>
  <c r="DD318" i="34"/>
  <c r="DI318" i="34"/>
  <c r="DM318" i="34" s="1" a="1"/>
  <c r="DM318" i="34" s="1"/>
  <c r="DJ318" i="34"/>
  <c r="DL318" i="34" a="1"/>
  <c r="DL318" i="34" s="1"/>
  <c r="DO318" i="34"/>
  <c r="DP318" i="34"/>
  <c r="DR318" i="34" a="1"/>
  <c r="DR318" i="34" s="1"/>
  <c r="DS318" i="34" a="1"/>
  <c r="DS318" i="34" s="1"/>
  <c r="DU318" i="34"/>
  <c r="DX318" i="34" s="1" a="1"/>
  <c r="DX318" i="34" s="1"/>
  <c r="DV318" i="34"/>
  <c r="DY318" i="34" a="1"/>
  <c r="DY318" i="34" s="1"/>
  <c r="EA318" i="34"/>
  <c r="ED318" i="34" s="1" a="1"/>
  <c r="ED318" i="34" s="1"/>
  <c r="EB318" i="34"/>
  <c r="BS319" i="34"/>
  <c r="BW319" i="34" s="1" a="1"/>
  <c r="BW319" i="34" s="1"/>
  <c r="BT319" i="34"/>
  <c r="BV319" i="34" a="1"/>
  <c r="BV319" i="34" s="1"/>
  <c r="BY319" i="34"/>
  <c r="BZ319" i="34"/>
  <c r="CB319" i="34" a="1"/>
  <c r="CB319" i="34" s="1"/>
  <c r="CC319" i="34" a="1"/>
  <c r="CC319" i="34" s="1"/>
  <c r="CE319" i="34"/>
  <c r="CH319" i="34" s="1" a="1"/>
  <c r="CF319" i="34"/>
  <c r="CH319" i="34"/>
  <c r="CI319" i="34" a="1"/>
  <c r="CI319" i="34" s="1"/>
  <c r="CK319" i="34"/>
  <c r="CL319" i="34"/>
  <c r="CQ319" i="34" a="1"/>
  <c r="CQ319" i="34" s="1"/>
  <c r="CR319" i="34"/>
  <c r="CW319" i="34"/>
  <c r="CX319" i="34"/>
  <c r="DC319" i="34"/>
  <c r="DD319" i="34"/>
  <c r="DF319" i="34" a="1"/>
  <c r="DF319" i="34"/>
  <c r="DG319" i="34" a="1"/>
  <c r="DG319" i="34"/>
  <c r="DI319" i="34"/>
  <c r="DL319" i="34" s="1" a="1"/>
  <c r="DL319" i="34" s="1"/>
  <c r="DJ319" i="34"/>
  <c r="DM319" i="34" a="1"/>
  <c r="DM319" i="34" s="1"/>
  <c r="DO319" i="34"/>
  <c r="DP319" i="34"/>
  <c r="DU319" i="34"/>
  <c r="DX319" i="34" s="1" a="1"/>
  <c r="DV319" i="34"/>
  <c r="DX319" i="34"/>
  <c r="EA319" i="34"/>
  <c r="EE319" i="34" s="1" a="1"/>
  <c r="EB319" i="34"/>
  <c r="ED319" i="34" a="1"/>
  <c r="ED319" i="34" s="1"/>
  <c r="EE319" i="34"/>
  <c r="BS320" i="34"/>
  <c r="BT320" i="34"/>
  <c r="BV320" i="34" a="1"/>
  <c r="BV320" i="34" s="1"/>
  <c r="BW320" i="34" a="1"/>
  <c r="BW320" i="34"/>
  <c r="BY320" i="34"/>
  <c r="BZ320" i="34"/>
  <c r="CE320" i="34"/>
  <c r="CF320" i="34"/>
  <c r="CK320" i="34"/>
  <c r="CL320" i="34"/>
  <c r="CN320" i="34" a="1"/>
  <c r="CN320" i="34" s="1"/>
  <c r="CO320" i="34" a="1"/>
  <c r="CO320" i="34"/>
  <c r="CQ320" i="34" a="1"/>
  <c r="CQ320" i="34" s="1"/>
  <c r="CT320" i="34" s="1" a="1"/>
  <c r="CT320" i="34" s="1"/>
  <c r="CR320" i="34"/>
  <c r="CU320" i="34" a="1"/>
  <c r="CU320" i="34" s="1"/>
  <c r="CW320" i="34"/>
  <c r="CX320" i="34"/>
  <c r="DC320" i="34"/>
  <c r="DG320" i="34" s="1" a="1"/>
  <c r="DG320" i="34" s="1"/>
  <c r="DD320" i="34"/>
  <c r="DF320" i="34" a="1"/>
  <c r="DF320" i="34" s="1"/>
  <c r="DI320" i="34"/>
  <c r="DJ320" i="34"/>
  <c r="DL320" i="34" a="1"/>
  <c r="DL320" i="34" s="1"/>
  <c r="DM320" i="34" a="1"/>
  <c r="DM320" i="34" s="1"/>
  <c r="DO320" i="34"/>
  <c r="DR320" i="34" s="1" a="1"/>
  <c r="DR320" i="34" s="1"/>
  <c r="DP320" i="34"/>
  <c r="DS320" i="34" a="1"/>
  <c r="DS320" i="34" s="1"/>
  <c r="DU320" i="34"/>
  <c r="DV320" i="34"/>
  <c r="EA320" i="34"/>
  <c r="EE320" i="34" s="1" a="1"/>
  <c r="EE320" i="34" s="1"/>
  <c r="EB320" i="34"/>
  <c r="BS321" i="34"/>
  <c r="BT321" i="34"/>
  <c r="BV321" i="34" a="1"/>
  <c r="BV321" i="34" s="1"/>
  <c r="BW321" i="34" a="1"/>
  <c r="BW321" i="34" s="1"/>
  <c r="BY321" i="34"/>
  <c r="CB321" i="34" s="1" a="1"/>
  <c r="BZ321" i="34"/>
  <c r="CB321" i="34"/>
  <c r="CC321" i="34" a="1"/>
  <c r="CC321" i="34" s="1"/>
  <c r="CE321" i="34"/>
  <c r="CF321" i="34"/>
  <c r="CK321" i="34"/>
  <c r="CO321" i="34" s="1" a="1"/>
  <c r="CO321" i="34" s="1"/>
  <c r="CL321" i="34"/>
  <c r="CN321" i="34" a="1"/>
  <c r="CN321" i="34" s="1"/>
  <c r="CQ321" i="34" a="1"/>
  <c r="CQ321" i="34"/>
  <c r="CR321" i="34"/>
  <c r="CW321" i="34"/>
  <c r="CX321" i="34"/>
  <c r="CZ321" i="34" a="1"/>
  <c r="CZ321" i="34"/>
  <c r="DA321" i="34" a="1"/>
  <c r="DA321" i="34"/>
  <c r="DC321" i="34"/>
  <c r="DF321" i="34" s="1" a="1"/>
  <c r="DF321" i="34" s="1"/>
  <c r="DD321" i="34"/>
  <c r="DG321" i="34" a="1"/>
  <c r="DG321" i="34"/>
  <c r="DI321" i="34"/>
  <c r="DL321" i="34" s="1" a="1"/>
  <c r="DL321" i="34" s="1"/>
  <c r="DJ321" i="34"/>
  <c r="DM321" i="34" s="1" a="1"/>
  <c r="DM321" i="34" s="1"/>
  <c r="DO321" i="34"/>
  <c r="DR321" i="34" s="1" a="1"/>
  <c r="DR321" i="34" s="1"/>
  <c r="DP321" i="34"/>
  <c r="DU321" i="34"/>
  <c r="DY321" i="34" s="1" a="1"/>
  <c r="DY321" i="34" s="1"/>
  <c r="DV321" i="34"/>
  <c r="DX321" i="34" a="1"/>
  <c r="DX321" i="34"/>
  <c r="EA321" i="34"/>
  <c r="EB321" i="34"/>
  <c r="ED321" i="34" a="1"/>
  <c r="ED321" i="34" s="1"/>
  <c r="EE321" i="34" a="1"/>
  <c r="EE321" i="34"/>
  <c r="BS322" i="34"/>
  <c r="BT322" i="34"/>
  <c r="BY322" i="34"/>
  <c r="BZ322" i="34"/>
  <c r="CE322" i="34"/>
  <c r="CF322" i="34"/>
  <c r="CH322" i="34" a="1"/>
  <c r="CH322" i="34"/>
  <c r="CI322" i="34" a="1"/>
  <c r="CI322" i="34"/>
  <c r="CK322" i="34"/>
  <c r="CN322" i="34" s="1" a="1"/>
  <c r="CN322" i="34" s="1"/>
  <c r="CL322" i="34"/>
  <c r="CO322" i="34" a="1"/>
  <c r="CO322" i="34" s="1"/>
  <c r="CQ322" i="34" a="1"/>
  <c r="CQ322" i="34"/>
  <c r="CR322" i="34"/>
  <c r="CW322" i="34"/>
  <c r="CX322" i="34"/>
  <c r="DC322" i="34"/>
  <c r="DD322" i="34"/>
  <c r="DF322" i="34" a="1"/>
  <c r="DF322" i="34" s="1"/>
  <c r="DG322" i="34" a="1"/>
  <c r="DG322" i="34" s="1"/>
  <c r="DI322" i="34"/>
  <c r="DL322" i="34" s="1" a="1"/>
  <c r="DJ322" i="34"/>
  <c r="DL322" i="34"/>
  <c r="DM322" i="34" a="1"/>
  <c r="DM322" i="34" s="1"/>
  <c r="DO322" i="34"/>
  <c r="DP322" i="34"/>
  <c r="DU322" i="34"/>
  <c r="DY322" i="34" s="1" a="1"/>
  <c r="DY322" i="34" s="1"/>
  <c r="DV322" i="34"/>
  <c r="DX322" i="34" a="1"/>
  <c r="DX322" i="34" s="1"/>
  <c r="EA322" i="34"/>
  <c r="EB322" i="34"/>
  <c r="ED322" i="34" s="1" a="1"/>
  <c r="ED322" i="34" s="1"/>
  <c r="EE322" i="34" a="1"/>
  <c r="EE322" i="34" s="1"/>
  <c r="BS323" i="34"/>
  <c r="BV323" i="34" s="1" a="1"/>
  <c r="BT323" i="34"/>
  <c r="BV323" i="34"/>
  <c r="BW323" i="34" a="1"/>
  <c r="BW323" i="34" s="1"/>
  <c r="BY323" i="34"/>
  <c r="BZ323" i="34"/>
  <c r="CE323" i="34"/>
  <c r="CI323" i="34" s="1" a="1"/>
  <c r="CI323" i="34" s="1"/>
  <c r="CF323" i="34"/>
  <c r="CH323" i="34" a="1"/>
  <c r="CH323" i="34" s="1"/>
  <c r="CK323" i="34"/>
  <c r="CL323" i="34"/>
  <c r="CO323" i="34" s="1" a="1"/>
  <c r="CO323" i="34" s="1"/>
  <c r="CN323" i="34" a="1"/>
  <c r="CN323" i="34" s="1"/>
  <c r="CQ323" i="34" a="1"/>
  <c r="CQ323" i="34" s="1"/>
  <c r="CT323" i="34" s="1" a="1"/>
  <c r="CT323" i="34" s="1"/>
  <c r="CR323" i="34"/>
  <c r="CU323" i="34" a="1"/>
  <c r="CU323" i="34"/>
  <c r="CW323" i="34"/>
  <c r="CZ323" i="34" s="1" a="1"/>
  <c r="CZ323" i="34" s="1"/>
  <c r="CX323" i="34"/>
  <c r="DA323" i="34" a="1"/>
  <c r="DA323" i="34"/>
  <c r="DC323" i="34"/>
  <c r="DD323" i="34"/>
  <c r="DG323" i="34" s="1" a="1"/>
  <c r="DG323" i="34" s="1"/>
  <c r="DI323" i="34"/>
  <c r="DJ323" i="34"/>
  <c r="DO323" i="34"/>
  <c r="DS323" i="34" s="1" a="1"/>
  <c r="DP323" i="34"/>
  <c r="DR323" i="34" a="1"/>
  <c r="DR323" i="34"/>
  <c r="DS323" i="34"/>
  <c r="DU323" i="34"/>
  <c r="DV323" i="34"/>
  <c r="DX323" i="34" s="1" a="1"/>
  <c r="DX323" i="34" s="1"/>
  <c r="DY323" i="34" a="1"/>
  <c r="DY323" i="34"/>
  <c r="EA323" i="34"/>
  <c r="EB323" i="34"/>
  <c r="BS324" i="34"/>
  <c r="BT324" i="34"/>
  <c r="BY324" i="34"/>
  <c r="BZ324" i="34"/>
  <c r="CB324" i="34" a="1"/>
  <c r="CB324" i="34"/>
  <c r="CC324" i="34" a="1"/>
  <c r="CC324" i="34" s="1"/>
  <c r="CE324" i="34"/>
  <c r="CH324" i="34" s="1" a="1"/>
  <c r="CH324" i="34" s="1"/>
  <c r="CF324" i="34"/>
  <c r="CI324" i="34" a="1"/>
  <c r="CI324" i="34" s="1"/>
  <c r="CK324" i="34"/>
  <c r="CL324" i="34"/>
  <c r="CO324" i="34" s="1" a="1"/>
  <c r="CO324" i="34" s="1"/>
  <c r="CQ324" i="34" a="1"/>
  <c r="CQ324" i="34"/>
  <c r="CR324" i="34"/>
  <c r="CW324" i="34"/>
  <c r="CX324" i="34"/>
  <c r="CZ324" i="34" a="1"/>
  <c r="CZ324" i="34" s="1"/>
  <c r="DA324" i="34" a="1"/>
  <c r="DA324" i="34" s="1"/>
  <c r="DC324" i="34"/>
  <c r="DF324" i="34" s="1" a="1"/>
  <c r="DF324" i="34" s="1"/>
  <c r="DD324" i="34"/>
  <c r="DG324" i="34" a="1"/>
  <c r="DG324" i="34" s="1"/>
  <c r="DI324" i="34"/>
  <c r="DJ324" i="34"/>
  <c r="DO324" i="34"/>
  <c r="DS324" i="34" s="1" a="1"/>
  <c r="DS324" i="34" s="1"/>
  <c r="DP324" i="34"/>
  <c r="DR324" i="34" a="1"/>
  <c r="DR324" i="34" s="1"/>
  <c r="DU324" i="34"/>
  <c r="DV324" i="34"/>
  <c r="DX324" i="34" s="1" a="1"/>
  <c r="DX324" i="34" s="1"/>
  <c r="DY324" i="34" a="1"/>
  <c r="DY324" i="34" s="1"/>
  <c r="EA324" i="34"/>
  <c r="ED324" i="34" s="1" a="1"/>
  <c r="ED324" i="34" s="1"/>
  <c r="EB324" i="34"/>
  <c r="EE324" i="34" a="1"/>
  <c r="EE324" i="34" s="1"/>
  <c r="BS325" i="34"/>
  <c r="BT325" i="34"/>
  <c r="BY325" i="34"/>
  <c r="CC325" i="34" s="1" a="1"/>
  <c r="CC325" i="34" s="1"/>
  <c r="BZ325" i="34"/>
  <c r="CB325" i="34" a="1"/>
  <c r="CB325" i="34" s="1"/>
  <c r="CE325" i="34"/>
  <c r="CF325" i="34"/>
  <c r="CH325" i="34" a="1"/>
  <c r="CH325" i="34" s="1"/>
  <c r="CI325" i="34" a="1"/>
  <c r="CI325" i="34" s="1"/>
  <c r="CK325" i="34"/>
  <c r="CN325" i="34" s="1" a="1"/>
  <c r="CL325" i="34"/>
  <c r="CN325" i="34"/>
  <c r="CO325" i="34" a="1"/>
  <c r="CO325" i="34"/>
  <c r="CQ325" i="34" a="1"/>
  <c r="CQ325" i="34" s="1"/>
  <c r="CT325" i="34" s="1" a="1"/>
  <c r="CT325" i="34" s="1"/>
  <c r="CR325" i="34"/>
  <c r="CW325" i="34"/>
  <c r="CZ325" i="34" s="1" a="1"/>
  <c r="CZ325" i="34" s="1"/>
  <c r="CX325" i="34"/>
  <c r="DA325" i="34" s="1" a="1"/>
  <c r="DA325" i="34" s="1"/>
  <c r="DC325" i="34"/>
  <c r="DF325" i="34" s="1" a="1"/>
  <c r="DF325" i="34" s="1"/>
  <c r="DD325" i="34"/>
  <c r="DI325" i="34"/>
  <c r="DM325" i="34" s="1" a="1"/>
  <c r="DJ325" i="34"/>
  <c r="DL325" i="34" a="1"/>
  <c r="DL325" i="34" s="1"/>
  <c r="DM325" i="34"/>
  <c r="DO325" i="34"/>
  <c r="DP325" i="34"/>
  <c r="DR325" i="34" s="1" a="1"/>
  <c r="DR325" i="34" s="1"/>
  <c r="DS325" i="34" a="1"/>
  <c r="DS325" i="34" s="1"/>
  <c r="DU325" i="34"/>
  <c r="DV325" i="34"/>
  <c r="EA325" i="34"/>
  <c r="EB325" i="34"/>
  <c r="BS326" i="34"/>
  <c r="BT326" i="34"/>
  <c r="BV326" i="34" a="1"/>
  <c r="BV326" i="34"/>
  <c r="BW326" i="34" a="1"/>
  <c r="BW326" i="34" s="1"/>
  <c r="BY326" i="34"/>
  <c r="CB326" i="34" s="1" a="1"/>
  <c r="CB326" i="34" s="1"/>
  <c r="BZ326" i="34"/>
  <c r="CC326" i="34" a="1"/>
  <c r="CC326" i="34" s="1"/>
  <c r="CE326" i="34"/>
  <c r="CF326" i="34"/>
  <c r="CK326" i="34"/>
  <c r="CO326" i="34" s="1" a="1"/>
  <c r="CO326" i="34" s="1"/>
  <c r="CL326" i="34"/>
  <c r="CN326" i="34" a="1"/>
  <c r="CN326" i="34"/>
  <c r="CQ326" i="34" a="1"/>
  <c r="CQ326" i="34"/>
  <c r="CR326" i="34"/>
  <c r="CT326" i="34" a="1"/>
  <c r="CT326" i="34" s="1"/>
  <c r="CU326" i="34" a="1"/>
  <c r="CU326" i="34" s="1"/>
  <c r="CW326" i="34"/>
  <c r="CZ326" i="34" s="1" a="1"/>
  <c r="CX326" i="34"/>
  <c r="CZ326" i="34"/>
  <c r="DA326" i="34" a="1"/>
  <c r="DA326" i="34" s="1"/>
  <c r="DC326" i="34"/>
  <c r="DD326" i="34"/>
  <c r="DI326" i="34"/>
  <c r="DM326" i="34" s="1" a="1"/>
  <c r="DM326" i="34" s="1"/>
  <c r="DJ326" i="34"/>
  <c r="DO326" i="34"/>
  <c r="DP326" i="34"/>
  <c r="DR326" i="34" a="1"/>
  <c r="DR326" i="34" s="1"/>
  <c r="DS326" i="34" a="1"/>
  <c r="DS326" i="34" s="1"/>
  <c r="DU326" i="34"/>
  <c r="DV326" i="34"/>
  <c r="DX326" i="34" a="1"/>
  <c r="DX326" i="34"/>
  <c r="DY326" i="34" a="1"/>
  <c r="DY326" i="34" s="1"/>
  <c r="EA326" i="34"/>
  <c r="EE326" i="34" s="1" a="1"/>
  <c r="EE326" i="34" s="1"/>
  <c r="EB326" i="34"/>
  <c r="ED326" i="34" a="1"/>
  <c r="ED326" i="34" s="1"/>
  <c r="BS327" i="34"/>
  <c r="BT327" i="34"/>
  <c r="BV327" i="34" a="1"/>
  <c r="BV327" i="34" s="1"/>
  <c r="BY327" i="34"/>
  <c r="BZ327" i="34"/>
  <c r="CB327" i="34" a="1"/>
  <c r="CB327" i="34" s="1"/>
  <c r="CC327" i="34" a="1"/>
  <c r="CC327" i="34" s="1"/>
  <c r="CE327" i="34"/>
  <c r="CF327" i="34"/>
  <c r="CI327" i="34" a="1"/>
  <c r="CI327" i="34"/>
  <c r="CK327" i="34"/>
  <c r="CL327" i="34"/>
  <c r="CQ327" i="34" a="1"/>
  <c r="CQ327" i="34" s="1"/>
  <c r="CR327" i="34"/>
  <c r="CU327" i="34" s="1" a="1"/>
  <c r="CU327" i="34" s="1"/>
  <c r="CW327" i="34"/>
  <c r="CX327" i="34"/>
  <c r="CZ327" i="34" s="1" a="1"/>
  <c r="CZ327" i="34" s="1"/>
  <c r="DC327" i="34"/>
  <c r="DD327" i="34"/>
  <c r="DF327" i="34" a="1"/>
  <c r="DF327" i="34"/>
  <c r="DI327" i="34"/>
  <c r="DJ327" i="34"/>
  <c r="DL327" i="34" a="1"/>
  <c r="DL327" i="34" s="1"/>
  <c r="DM327" i="34" a="1"/>
  <c r="DM327" i="34" s="1"/>
  <c r="DO327" i="34"/>
  <c r="DS327" i="34" s="1" a="1"/>
  <c r="DP327" i="34"/>
  <c r="DR327" i="34" a="1"/>
  <c r="DR327" i="34" s="1"/>
  <c r="DS327" i="34"/>
  <c r="DU327" i="34"/>
  <c r="DV327" i="34"/>
  <c r="EA327" i="34"/>
  <c r="EE327" i="34" s="1" a="1"/>
  <c r="EE327" i="34" s="1"/>
  <c r="EB327" i="34"/>
  <c r="BS328" i="34"/>
  <c r="BV328" i="34" s="1" a="1"/>
  <c r="BV328" i="34" s="1"/>
  <c r="BT328" i="34"/>
  <c r="BY328" i="34"/>
  <c r="CB328" i="34" s="1" a="1"/>
  <c r="CB328" i="34" s="1"/>
  <c r="BZ328" i="34"/>
  <c r="CC328" i="34" a="1"/>
  <c r="CC328" i="34" s="1"/>
  <c r="CE328" i="34"/>
  <c r="CI328" i="34" s="1" a="1"/>
  <c r="CI328" i="34" s="1"/>
  <c r="CF328" i="34"/>
  <c r="CH328" i="34" a="1"/>
  <c r="CH328" i="34" s="1"/>
  <c r="CK328" i="34"/>
  <c r="CL328" i="34"/>
  <c r="CN328" i="34" a="1"/>
  <c r="CN328" i="34" s="1"/>
  <c r="CQ328" i="34" a="1"/>
  <c r="CQ328" i="34"/>
  <c r="CT328" i="34" s="1" a="1"/>
  <c r="CT328" i="34" s="1"/>
  <c r="CR328" i="34"/>
  <c r="CW328" i="34"/>
  <c r="CX328" i="34"/>
  <c r="DA328" i="34" a="1"/>
  <c r="DA328" i="34" s="1"/>
  <c r="DC328" i="34"/>
  <c r="DD328" i="34"/>
  <c r="DF328" i="34" a="1"/>
  <c r="DF328" i="34" s="1"/>
  <c r="DG328" i="34" a="1"/>
  <c r="DG328" i="34" s="1"/>
  <c r="DI328" i="34"/>
  <c r="DJ328" i="34"/>
  <c r="DL328" i="34" a="1"/>
  <c r="DL328" i="34" s="1"/>
  <c r="DM328" i="34" a="1"/>
  <c r="DM328" i="34" s="1"/>
  <c r="DO328" i="34"/>
  <c r="DS328" i="34" s="1" a="1"/>
  <c r="DS328" i="34" s="1"/>
  <c r="DP328" i="34"/>
  <c r="DR328" i="34" a="1"/>
  <c r="DR328" i="34"/>
  <c r="DU328" i="34"/>
  <c r="DY328" i="34" s="1" a="1"/>
  <c r="DV328" i="34"/>
  <c r="DX328" i="34" a="1"/>
  <c r="DX328" i="34"/>
  <c r="DY328" i="34"/>
  <c r="EA328" i="34"/>
  <c r="EB328" i="34"/>
  <c r="ED328" i="34" a="1"/>
  <c r="ED328" i="34" s="1"/>
  <c r="EE328" i="34" a="1"/>
  <c r="EE328" i="34" s="1"/>
  <c r="BS329" i="34"/>
  <c r="BT329" i="34"/>
  <c r="BV329" i="34" a="1"/>
  <c r="BV329" i="34" s="1"/>
  <c r="BW329" i="34" a="1"/>
  <c r="BW329" i="34" s="1"/>
  <c r="BY329" i="34"/>
  <c r="BZ329" i="34"/>
  <c r="CE329" i="34"/>
  <c r="CH329" i="34" s="1" a="1"/>
  <c r="CH329" i="34" s="1"/>
  <c r="CF329" i="34"/>
  <c r="CK329" i="34"/>
  <c r="CN329" i="34" s="1" a="1"/>
  <c r="CN329" i="34" s="1"/>
  <c r="CL329" i="34"/>
  <c r="CO329" i="34" a="1"/>
  <c r="CO329" i="34"/>
  <c r="CQ329" i="34" a="1"/>
  <c r="CQ329" i="34"/>
  <c r="CR329" i="34"/>
  <c r="CW329" i="34"/>
  <c r="CX329" i="34"/>
  <c r="CZ329" i="34" s="1" a="1"/>
  <c r="CZ329" i="34" s="1"/>
  <c r="DC329" i="34"/>
  <c r="DD329" i="34"/>
  <c r="DF329" i="34" a="1"/>
  <c r="DF329" i="34" s="1"/>
  <c r="DG329" i="34" a="1"/>
  <c r="DG329" i="34"/>
  <c r="DI329" i="34"/>
  <c r="DJ329" i="34"/>
  <c r="DO329" i="34"/>
  <c r="DP329" i="34"/>
  <c r="DU329" i="34"/>
  <c r="DX329" i="34" s="1" a="1"/>
  <c r="DX329" i="34" s="1"/>
  <c r="DV329" i="34"/>
  <c r="EA329" i="34"/>
  <c r="EB329" i="34"/>
  <c r="BS330" i="34"/>
  <c r="BT330" i="34"/>
  <c r="BW330" i="34" s="1" a="1"/>
  <c r="BW330" i="34" s="1"/>
  <c r="BY330" i="34"/>
  <c r="BZ330" i="34"/>
  <c r="CB330" i="34" s="1" a="1"/>
  <c r="CB330" i="34" s="1"/>
  <c r="CE330" i="34"/>
  <c r="CF330" i="34"/>
  <c r="CH330" i="34" a="1"/>
  <c r="CH330" i="34" s="1"/>
  <c r="CK330" i="34"/>
  <c r="CL330" i="34"/>
  <c r="CO330" i="34" s="1" a="1"/>
  <c r="CO330" i="34" s="1"/>
  <c r="CN330" i="34" a="1"/>
  <c r="CN330" i="34" s="1"/>
  <c r="CQ330" i="34" a="1"/>
  <c r="CQ330" i="34"/>
  <c r="CT330" i="34" s="1" a="1"/>
  <c r="CT330" i="34" s="1"/>
  <c r="CR330" i="34"/>
  <c r="CW330" i="34"/>
  <c r="DA330" i="34" s="1" a="1"/>
  <c r="DA330" i="34" s="1"/>
  <c r="CX330" i="34"/>
  <c r="CZ330" i="34" a="1"/>
  <c r="CZ330" i="34" s="1"/>
  <c r="DC330" i="34"/>
  <c r="DD330" i="34"/>
  <c r="DG330" i="34" s="1" a="1"/>
  <c r="DG330" i="34" s="1"/>
  <c r="DF330" i="34" a="1"/>
  <c r="DF330" i="34" s="1"/>
  <c r="DI330" i="34"/>
  <c r="DL330" i="34" s="1" a="1"/>
  <c r="DL330" i="34" s="1"/>
  <c r="DJ330" i="34"/>
  <c r="DO330" i="34"/>
  <c r="DS330" i="34" s="1" a="1"/>
  <c r="DS330" i="34" s="1"/>
  <c r="DP330" i="34"/>
  <c r="DR330" i="34" a="1"/>
  <c r="DR330" i="34" s="1"/>
  <c r="DU330" i="34"/>
  <c r="DX330" i="34" s="1" a="1"/>
  <c r="DX330" i="34" s="1"/>
  <c r="DV330" i="34"/>
  <c r="EA330" i="34"/>
  <c r="ED330" i="34" s="1" a="1"/>
  <c r="ED330" i="34" s="1"/>
  <c r="EB330" i="34"/>
  <c r="EE330" i="34" a="1"/>
  <c r="EE330" i="34" s="1"/>
  <c r="BS331" i="34"/>
  <c r="BW331" i="34" s="1" a="1"/>
  <c r="BW331" i="34" s="1"/>
  <c r="BT331" i="34"/>
  <c r="BV331" i="34" a="1"/>
  <c r="BV331" i="34" s="1"/>
  <c r="BY331" i="34"/>
  <c r="CB331" i="34" s="1" a="1"/>
  <c r="CB331" i="34" s="1"/>
  <c r="BZ331" i="34"/>
  <c r="CE331" i="34"/>
  <c r="CH331" i="34" s="1" a="1"/>
  <c r="CH331" i="34" s="1"/>
  <c r="CF331" i="34"/>
  <c r="CI331" i="34" a="1"/>
  <c r="CI331" i="34"/>
  <c r="CK331" i="34"/>
  <c r="CL331" i="34"/>
  <c r="CQ331" i="34" a="1"/>
  <c r="CQ331" i="34"/>
  <c r="CR331" i="34"/>
  <c r="CT331" i="34" a="1"/>
  <c r="CT331" i="34" s="1"/>
  <c r="CU331" i="34" a="1"/>
  <c r="CU331" i="34" s="1"/>
  <c r="CW331" i="34"/>
  <c r="DA331" i="34" s="1" a="1"/>
  <c r="DA331" i="34" s="1"/>
  <c r="CX331" i="34"/>
  <c r="CZ331" i="34" a="1"/>
  <c r="CZ331" i="34"/>
  <c r="DC331" i="34"/>
  <c r="DD331" i="34"/>
  <c r="DG331" i="34" s="1" a="1"/>
  <c r="DG331" i="34" s="1"/>
  <c r="DF331" i="34" a="1"/>
  <c r="DF331" i="34" s="1"/>
  <c r="DI331" i="34"/>
  <c r="DL331" i="34" s="1" a="1"/>
  <c r="DL331" i="34" s="1"/>
  <c r="DJ331" i="34"/>
  <c r="DO331" i="34"/>
  <c r="DS331" i="34" s="1" a="1"/>
  <c r="DS331" i="34" s="1"/>
  <c r="DP331" i="34"/>
  <c r="DU331" i="34"/>
  <c r="DX331" i="34" s="1" a="1"/>
  <c r="DX331" i="34" s="1"/>
  <c r="DV331" i="34"/>
  <c r="DY331" i="34" a="1"/>
  <c r="DY331" i="34" s="1"/>
  <c r="EA331" i="34"/>
  <c r="EB331" i="34"/>
  <c r="ED331" i="34" a="1"/>
  <c r="ED331" i="34" s="1"/>
  <c r="EE331" i="34" a="1"/>
  <c r="EE331" i="34"/>
  <c r="BS332" i="34"/>
  <c r="BT332" i="34"/>
  <c r="BV332" i="34" a="1"/>
  <c r="BV332" i="34"/>
  <c r="BW332" i="34" a="1"/>
  <c r="BW332" i="34" s="1"/>
  <c r="BY332" i="34"/>
  <c r="BZ332" i="34"/>
  <c r="CB332" i="34" a="1"/>
  <c r="CB332" i="34" s="1"/>
  <c r="CC332" i="34" a="1"/>
  <c r="CC332" i="34" s="1"/>
  <c r="CE332" i="34"/>
  <c r="CI332" i="34" s="1" a="1"/>
  <c r="CI332" i="34" s="1"/>
  <c r="CF332" i="34"/>
  <c r="CH332" i="34" a="1"/>
  <c r="CH332" i="34"/>
  <c r="CK332" i="34"/>
  <c r="CL332" i="34"/>
  <c r="CO332" i="34" s="1" a="1"/>
  <c r="CO332" i="34" s="1"/>
  <c r="CN332" i="34" a="1"/>
  <c r="CN332" i="34" s="1"/>
  <c r="CQ332" i="34" a="1"/>
  <c r="CQ332" i="34" s="1"/>
  <c r="CR332" i="34"/>
  <c r="CW332" i="34"/>
  <c r="CX332" i="34"/>
  <c r="DC332" i="34"/>
  <c r="DF332" i="34" s="1" a="1"/>
  <c r="DF332" i="34" s="1"/>
  <c r="DD332" i="34"/>
  <c r="DG332" i="34" a="1"/>
  <c r="DG332" i="34" s="1"/>
  <c r="DI332" i="34"/>
  <c r="DJ332" i="34"/>
  <c r="DL332" i="34" s="1" a="1"/>
  <c r="DL332" i="34" s="1"/>
  <c r="DM332" i="34" a="1"/>
  <c r="DM332" i="34" s="1"/>
  <c r="DO332" i="34"/>
  <c r="DP332" i="34"/>
  <c r="DR332" i="34" a="1"/>
  <c r="DR332" i="34"/>
  <c r="DS332" i="34" a="1"/>
  <c r="DS332" i="34" s="1"/>
  <c r="DU332" i="34"/>
  <c r="DV332" i="34"/>
  <c r="DX332" i="34" s="1" a="1"/>
  <c r="DX332" i="34" s="1"/>
  <c r="EA332" i="34"/>
  <c r="EE332" i="34" s="1" a="1"/>
  <c r="EE332" i="34" s="1"/>
  <c r="EB332" i="34"/>
  <c r="ED332" i="34" a="1"/>
  <c r="ED332" i="34" s="1"/>
  <c r="BS333" i="34"/>
  <c r="BV333" i="34" s="1" a="1"/>
  <c r="BV333" i="34" s="1"/>
  <c r="BT333" i="34"/>
  <c r="BY333" i="34"/>
  <c r="CB333" i="34" s="1" a="1"/>
  <c r="CB333" i="34" s="1"/>
  <c r="BZ333" i="34"/>
  <c r="CC333" i="34" a="1"/>
  <c r="CC333" i="34"/>
  <c r="CE333" i="34"/>
  <c r="CF333" i="34"/>
  <c r="CK333" i="34"/>
  <c r="CN333" i="34" s="1" a="1"/>
  <c r="CN333" i="34" s="1"/>
  <c r="CL333" i="34"/>
  <c r="CO333" i="34" a="1"/>
  <c r="CO333" i="34" s="1"/>
  <c r="CQ333" i="34" a="1"/>
  <c r="CQ333" i="34"/>
  <c r="CU333" i="34" s="1" a="1"/>
  <c r="CU333" i="34" s="1"/>
  <c r="CR333" i="34"/>
  <c r="CT333" i="34" s="1" a="1"/>
  <c r="CT333" i="34"/>
  <c r="CW333" i="34"/>
  <c r="CX333" i="34"/>
  <c r="DA333" i="34" s="1" a="1"/>
  <c r="DA333" i="34" s="1"/>
  <c r="CZ333" i="34" a="1"/>
  <c r="CZ333" i="34" s="1"/>
  <c r="DC333" i="34"/>
  <c r="DF333" i="34" s="1" a="1"/>
  <c r="DF333" i="34" s="1"/>
  <c r="DD333" i="34"/>
  <c r="DI333" i="34"/>
  <c r="DM333" i="34" s="1" a="1"/>
  <c r="DM333" i="34" s="1"/>
  <c r="DJ333" i="34"/>
  <c r="DO333" i="34"/>
  <c r="DR333" i="34" s="1" a="1"/>
  <c r="DR333" i="34" s="1"/>
  <c r="DP333" i="34"/>
  <c r="DS333" i="34" a="1"/>
  <c r="DS333" i="34" s="1"/>
  <c r="DU333" i="34"/>
  <c r="DV333" i="34"/>
  <c r="DX333" i="34" a="1"/>
  <c r="DX333" i="34" s="1"/>
  <c r="DY333" i="34" a="1"/>
  <c r="DY333" i="34"/>
  <c r="EA333" i="34"/>
  <c r="EB333" i="34"/>
  <c r="ED333" i="34" a="1"/>
  <c r="ED333" i="34"/>
  <c r="EE333" i="34" a="1"/>
  <c r="EE333" i="34" s="1"/>
  <c r="BS334" i="34"/>
  <c r="BT334" i="34"/>
  <c r="BV334" i="34" a="1"/>
  <c r="BV334" i="34" s="1"/>
  <c r="BW334" i="34" a="1"/>
  <c r="BW334" i="34" s="1"/>
  <c r="BY334" i="34"/>
  <c r="CC334" i="34" s="1" a="1"/>
  <c r="CC334" i="34" s="1"/>
  <c r="BZ334" i="34"/>
  <c r="CB334" i="34" a="1"/>
  <c r="CB334" i="34"/>
  <c r="CE334" i="34"/>
  <c r="CI334" i="34" s="1" a="1"/>
  <c r="CI334" i="34" s="1"/>
  <c r="CF334" i="34"/>
  <c r="CH334" i="34" a="1"/>
  <c r="CH334" i="34" s="1"/>
  <c r="CK334" i="34"/>
  <c r="CN334" i="34" s="1" a="1"/>
  <c r="CN334" i="34" s="1"/>
  <c r="CL334" i="34"/>
  <c r="CQ334" i="34" a="1"/>
  <c r="CQ334" i="34"/>
  <c r="CR334" i="34"/>
  <c r="CW334" i="34"/>
  <c r="CZ334" i="34" s="1" a="1"/>
  <c r="CZ334" i="34" s="1"/>
  <c r="CX334" i="34"/>
  <c r="DA334" i="34" a="1"/>
  <c r="DA334" i="34" s="1"/>
  <c r="DC334" i="34"/>
  <c r="DD334" i="34"/>
  <c r="DF334" i="34" s="1" a="1"/>
  <c r="DF334" i="34" s="1"/>
  <c r="DG334" i="34" a="1"/>
  <c r="DG334" i="34" s="1"/>
  <c r="DI334" i="34"/>
  <c r="DJ334" i="34"/>
  <c r="DL334" i="34" a="1"/>
  <c r="DL334" i="34"/>
  <c r="DM334" i="34" a="1"/>
  <c r="DM334" i="34" s="1"/>
  <c r="DO334" i="34"/>
  <c r="DP334" i="34"/>
  <c r="DR334" i="34" s="1" a="1"/>
  <c r="DR334" i="34" s="1"/>
  <c r="DU334" i="34"/>
  <c r="DY334" i="34" s="1" a="1"/>
  <c r="DY334" i="34" s="1"/>
  <c r="DV334" i="34"/>
  <c r="DX334" i="34" a="1"/>
  <c r="DX334" i="34" s="1"/>
  <c r="EA334" i="34"/>
  <c r="ED334" i="34" s="1" a="1"/>
  <c r="ED334" i="34" s="1"/>
  <c r="EB334" i="34"/>
  <c r="BS335" i="34"/>
  <c r="BV335" i="34" s="1" a="1"/>
  <c r="BV335" i="34" s="1"/>
  <c r="BT335" i="34"/>
  <c r="BW335" i="34" a="1"/>
  <c r="BW335" i="34"/>
  <c r="BY335" i="34"/>
  <c r="BZ335" i="34"/>
  <c r="CE335" i="34"/>
  <c r="CH335" i="34" s="1" a="1"/>
  <c r="CH335" i="34" s="1"/>
  <c r="CF335" i="34"/>
  <c r="CI335" i="34" a="1"/>
  <c r="CI335" i="34" s="1"/>
  <c r="CK335" i="34"/>
  <c r="CL335" i="34"/>
  <c r="CN335" i="34" a="1"/>
  <c r="CN335" i="34" s="1"/>
  <c r="CO335" i="34" a="1"/>
  <c r="CO335" i="34" s="1"/>
  <c r="CQ335" i="34" a="1"/>
  <c r="CQ335" i="34"/>
  <c r="CR335" i="34"/>
  <c r="CU335" i="34" s="1" a="1"/>
  <c r="CU335" i="34" s="1"/>
  <c r="CT335" i="34" a="1"/>
  <c r="CT335" i="34" s="1"/>
  <c r="CW335" i="34"/>
  <c r="CZ335" i="34" s="1" a="1"/>
  <c r="CZ335" i="34" s="1"/>
  <c r="CX335" i="34"/>
  <c r="DA335" i="34" a="1"/>
  <c r="DA335" i="34"/>
  <c r="DC335" i="34"/>
  <c r="DD335" i="34"/>
  <c r="DI335" i="34"/>
  <c r="DL335" i="34" s="1" a="1"/>
  <c r="DL335" i="34" s="1"/>
  <c r="DJ335" i="34"/>
  <c r="DM335" i="34" a="1"/>
  <c r="DM335" i="34" s="1"/>
  <c r="DO335" i="34"/>
  <c r="DP335" i="34"/>
  <c r="DR335" i="34" a="1"/>
  <c r="DR335" i="34" s="1"/>
  <c r="DS335" i="34" a="1"/>
  <c r="DS335" i="34"/>
  <c r="DU335" i="34"/>
  <c r="DV335" i="34"/>
  <c r="DX335" i="34" a="1"/>
  <c r="DX335" i="34"/>
  <c r="DY335" i="34" a="1"/>
  <c r="DY335" i="34" s="1"/>
  <c r="EA335" i="34"/>
  <c r="EB335" i="34"/>
  <c r="ED335" i="34" a="1"/>
  <c r="ED335" i="34" s="1"/>
  <c r="EE335" i="34" a="1"/>
  <c r="EE335" i="34" s="1"/>
  <c r="BS336" i="34"/>
  <c r="BW336" i="34" s="1" a="1"/>
  <c r="BW336" i="34" s="1"/>
  <c r="BT336" i="34"/>
  <c r="BV336" i="34" a="1"/>
  <c r="BV336" i="34"/>
  <c r="BY336" i="34"/>
  <c r="CC336" i="34" s="1" a="1"/>
  <c r="CC336" i="34" s="1"/>
  <c r="BZ336" i="34"/>
  <c r="CB336" i="34" a="1"/>
  <c r="CB336" i="34" s="1"/>
  <c r="CE336" i="34"/>
  <c r="CH336" i="34" s="1" a="1"/>
  <c r="CH336" i="34" s="1"/>
  <c r="CF336" i="34"/>
  <c r="CK336" i="34"/>
  <c r="CO336" i="34" s="1" a="1"/>
  <c r="CO336" i="34" s="1"/>
  <c r="CL336" i="34"/>
  <c r="CQ336" i="34" a="1"/>
  <c r="CQ336" i="34" s="1"/>
  <c r="CR336" i="34"/>
  <c r="CW336" i="34"/>
  <c r="CX336" i="34"/>
  <c r="CZ336" i="34" s="1" a="1"/>
  <c r="CZ336" i="34" s="1"/>
  <c r="DA336" i="34" a="1"/>
  <c r="DA336" i="34" s="1"/>
  <c r="DC336" i="34"/>
  <c r="DD336" i="34"/>
  <c r="DG336" i="34" s="1" a="1"/>
  <c r="DG336" i="34" s="1"/>
  <c r="DF336" i="34" a="1"/>
  <c r="DF336" i="34"/>
  <c r="DI336" i="34"/>
  <c r="DJ336" i="34"/>
  <c r="DL336" i="34" s="1" a="1"/>
  <c r="DL336" i="34" s="1"/>
  <c r="DO336" i="34"/>
  <c r="DS336" i="34" s="1" a="1"/>
  <c r="DS336" i="34" s="1"/>
  <c r="DP336" i="34"/>
  <c r="DR336" i="34" a="1"/>
  <c r="DR336" i="34" s="1"/>
  <c r="DU336" i="34"/>
  <c r="DX336" i="34" s="1" a="1"/>
  <c r="DX336" i="34" s="1"/>
  <c r="DV336" i="34"/>
  <c r="EA336" i="34"/>
  <c r="ED336" i="34" s="1" a="1"/>
  <c r="ED336" i="34" s="1"/>
  <c r="EB336" i="34"/>
  <c r="EE336" i="34" a="1"/>
  <c r="EE336" i="34" s="1"/>
  <c r="BS337" i="34"/>
  <c r="BT337" i="34"/>
  <c r="BY337" i="34"/>
  <c r="CB337" i="34" s="1" a="1"/>
  <c r="CB337" i="34" s="1"/>
  <c r="BZ337" i="34"/>
  <c r="CC337" i="34" a="1"/>
  <c r="CC337" i="34" s="1"/>
  <c r="CE337" i="34"/>
  <c r="CF337" i="34"/>
  <c r="CH337" i="34" a="1"/>
  <c r="CH337" i="34" s="1"/>
  <c r="CI337" i="34" a="1"/>
  <c r="CI337" i="34" s="1"/>
  <c r="CK337" i="34"/>
  <c r="CL337" i="34"/>
  <c r="CN337" i="34" a="1"/>
  <c r="CN337" i="34"/>
  <c r="CO337" i="34" a="1"/>
  <c r="CO337" i="34" s="1"/>
  <c r="CQ337" i="34" a="1"/>
  <c r="CQ337" i="34"/>
  <c r="CT337" i="34" s="1" a="1"/>
  <c r="CT337" i="34" s="1"/>
  <c r="CR337" i="34"/>
  <c r="CU337" i="34" a="1"/>
  <c r="CU337" i="34"/>
  <c r="CW337" i="34"/>
  <c r="DA337" i="34" s="1" a="1"/>
  <c r="DA337" i="34" s="1"/>
  <c r="CX337" i="34"/>
  <c r="DC337" i="34"/>
  <c r="DF337" i="34" s="1" a="1"/>
  <c r="DF337" i="34" s="1"/>
  <c r="DD337" i="34"/>
  <c r="DG337" i="34" a="1"/>
  <c r="DG337" i="34" s="1"/>
  <c r="DI337" i="34"/>
  <c r="DJ337" i="34"/>
  <c r="DL337" i="34" a="1"/>
  <c r="DL337" i="34" s="1"/>
  <c r="DM337" i="34" a="1"/>
  <c r="DM337" i="34"/>
  <c r="DO337" i="34"/>
  <c r="DP337" i="34"/>
  <c r="DR337" i="34" a="1"/>
  <c r="DR337" i="34"/>
  <c r="DS337" i="34" a="1"/>
  <c r="DS337" i="34" s="1"/>
  <c r="DU337" i="34"/>
  <c r="DV337" i="34"/>
  <c r="DX337" i="34" a="1"/>
  <c r="DX337" i="34" s="1"/>
  <c r="DY337" i="34" a="1"/>
  <c r="DY337" i="34" s="1"/>
  <c r="EA337" i="34"/>
  <c r="ED337" i="34" s="1" a="1"/>
  <c r="EB337" i="34"/>
  <c r="ED337" i="34"/>
  <c r="BS338" i="34"/>
  <c r="BW338" i="34" s="1" a="1"/>
  <c r="BW338" i="34" s="1"/>
  <c r="BT338" i="34"/>
  <c r="BV338" i="34" a="1"/>
  <c r="BV338" i="34" s="1"/>
  <c r="BY338" i="34"/>
  <c r="CB338" i="34" s="1" a="1"/>
  <c r="CB338" i="34" s="1"/>
  <c r="BZ338" i="34"/>
  <c r="CC338" i="34" a="1"/>
  <c r="CC338" i="34" s="1"/>
  <c r="CE338" i="34"/>
  <c r="CF338" i="34"/>
  <c r="CK338" i="34"/>
  <c r="CN338" i="34" s="1" a="1"/>
  <c r="CN338" i="34" s="1"/>
  <c r="CL338" i="34"/>
  <c r="CO338" i="34" a="1"/>
  <c r="CO338" i="34" s="1"/>
  <c r="CQ338" i="34" a="1"/>
  <c r="CQ338" i="34" s="1"/>
  <c r="CT338" i="34" s="1" a="1"/>
  <c r="CT338" i="34" s="1"/>
  <c r="CR338" i="34"/>
  <c r="CW338" i="34"/>
  <c r="CX338" i="34"/>
  <c r="DA338" i="34" s="1" a="1"/>
  <c r="DA338" i="34" s="1"/>
  <c r="CZ338" i="34" a="1"/>
  <c r="CZ338" i="34"/>
  <c r="DC338" i="34"/>
  <c r="DD338" i="34"/>
  <c r="DF338" i="34" s="1" a="1"/>
  <c r="DF338" i="34" s="1"/>
  <c r="DI338" i="34"/>
  <c r="DM338" i="34" s="1" a="1"/>
  <c r="DM338" i="34" s="1"/>
  <c r="DJ338" i="34"/>
  <c r="DL338" i="34" a="1"/>
  <c r="DL338" i="34" s="1"/>
  <c r="DO338" i="34"/>
  <c r="DR338" i="34" s="1" a="1"/>
  <c r="DR338" i="34" s="1"/>
  <c r="DP338" i="34"/>
  <c r="DU338" i="34"/>
  <c r="DX338" i="34" s="1" a="1"/>
  <c r="DX338" i="34" s="1"/>
  <c r="DV338" i="34"/>
  <c r="DY338" i="34" a="1"/>
  <c r="DY338" i="34" s="1"/>
  <c r="EA338" i="34"/>
  <c r="EB338" i="34"/>
  <c r="BS339" i="34"/>
  <c r="BV339" i="34" s="1" a="1"/>
  <c r="BV339" i="34" s="1"/>
  <c r="BT339" i="34"/>
  <c r="BW339" i="34" a="1"/>
  <c r="BW339" i="34" s="1"/>
  <c r="BY339" i="34"/>
  <c r="BZ339" i="34"/>
  <c r="CB339" i="34" a="1"/>
  <c r="CB339" i="34" s="1"/>
  <c r="CC339" i="34" a="1"/>
  <c r="CC339" i="34" s="1"/>
  <c r="CE339" i="34"/>
  <c r="CF339" i="34"/>
  <c r="CH339" i="34" a="1"/>
  <c r="CH339" i="34"/>
  <c r="CI339" i="34" a="1"/>
  <c r="CI339" i="34" s="1"/>
  <c r="CK339" i="34"/>
  <c r="CL339" i="34"/>
  <c r="CN339" i="34" s="1" a="1"/>
  <c r="CN339" i="34" s="1"/>
  <c r="CQ339" i="34" a="1"/>
  <c r="CQ339" i="34" s="1"/>
  <c r="CR339" i="34"/>
  <c r="CW339" i="34"/>
  <c r="CZ339" i="34" s="1" a="1"/>
  <c r="CZ339" i="34" s="1"/>
  <c r="CX339" i="34"/>
  <c r="DA339" i="34" a="1"/>
  <c r="DA339" i="34" s="1"/>
  <c r="DC339" i="34"/>
  <c r="DD339" i="34"/>
  <c r="DF339" i="34" a="1"/>
  <c r="DF339" i="34"/>
  <c r="DG339" i="34" a="1"/>
  <c r="DG339" i="34"/>
  <c r="DI339" i="34"/>
  <c r="DJ339" i="34"/>
  <c r="DL339" i="34" a="1"/>
  <c r="DL339" i="34"/>
  <c r="DM339" i="34" a="1"/>
  <c r="DM339" i="34" s="1"/>
  <c r="DO339" i="34"/>
  <c r="DP339" i="34"/>
  <c r="DR339" i="34" a="1"/>
  <c r="DR339" i="34" s="1"/>
  <c r="DS339" i="34" a="1"/>
  <c r="DS339" i="34" s="1"/>
  <c r="DU339" i="34"/>
  <c r="DX339" i="34" s="1" a="1"/>
  <c r="DV339" i="34"/>
  <c r="DX339" i="34"/>
  <c r="EA339" i="34"/>
  <c r="EE339" i="34" s="1" a="1"/>
  <c r="EE339" i="34" s="1"/>
  <c r="EB339" i="34"/>
  <c r="ED339" i="34" a="1"/>
  <c r="ED339" i="34" s="1"/>
  <c r="BS340" i="34"/>
  <c r="BV340" i="34" s="1" a="1"/>
  <c r="BV340" i="34" s="1"/>
  <c r="BT340" i="34"/>
  <c r="BW340" i="34" a="1"/>
  <c r="BW340" i="34" s="1"/>
  <c r="BY340" i="34"/>
  <c r="BZ340" i="34"/>
  <c r="CE340" i="34"/>
  <c r="CH340" i="34" s="1" a="1"/>
  <c r="CH340" i="34" s="1"/>
  <c r="CF340" i="34"/>
  <c r="CI340" i="34" a="1"/>
  <c r="CI340" i="34" s="1"/>
  <c r="CK340" i="34"/>
  <c r="CL340" i="34"/>
  <c r="CN340" i="34" a="1"/>
  <c r="CN340" i="34" s="1"/>
  <c r="CO340" i="34" a="1"/>
  <c r="CO340" i="34"/>
  <c r="CQ340" i="34" a="1"/>
  <c r="CQ340" i="34" s="1"/>
  <c r="CR340" i="34"/>
  <c r="CW340" i="34"/>
  <c r="CX340" i="34"/>
  <c r="CZ340" i="34" s="1" a="1"/>
  <c r="CZ340" i="34" s="1"/>
  <c r="DC340" i="34"/>
  <c r="DG340" i="34" s="1" a="1"/>
  <c r="DG340" i="34" s="1"/>
  <c r="DD340" i="34"/>
  <c r="DF340" i="34" a="1"/>
  <c r="DF340" i="34" s="1"/>
  <c r="DI340" i="34"/>
  <c r="DL340" i="34" s="1" a="1"/>
  <c r="DL340" i="34" s="1"/>
  <c r="DJ340" i="34"/>
  <c r="DO340" i="34"/>
  <c r="DR340" i="34" s="1" a="1"/>
  <c r="DR340" i="34" s="1"/>
  <c r="DP340" i="34"/>
  <c r="DS340" i="34" a="1"/>
  <c r="DS340" i="34" s="1"/>
  <c r="DU340" i="34"/>
  <c r="DV340" i="34"/>
  <c r="EA340" i="34"/>
  <c r="ED340" i="34" s="1" a="1"/>
  <c r="ED340" i="34" s="1"/>
  <c r="EB340" i="34"/>
  <c r="EE340" i="34" a="1"/>
  <c r="EE340" i="34" s="1"/>
  <c r="BS341" i="34"/>
  <c r="BT341" i="34"/>
  <c r="BV341" i="34" s="1" a="1"/>
  <c r="BV341" i="34" s="1"/>
  <c r="BW341" i="34" a="1"/>
  <c r="BW341" i="34" s="1"/>
  <c r="BY341" i="34"/>
  <c r="BZ341" i="34"/>
  <c r="CB341" i="34" a="1"/>
  <c r="CB341" i="34"/>
  <c r="CC341" i="34" a="1"/>
  <c r="CC341" i="34" s="1"/>
  <c r="CE341" i="34"/>
  <c r="CF341" i="34"/>
  <c r="CH341" i="34" s="1" a="1"/>
  <c r="CH341" i="34" s="1"/>
  <c r="CK341" i="34"/>
  <c r="CO341" i="34" s="1" a="1"/>
  <c r="CO341" i="34" s="1"/>
  <c r="CL341" i="34"/>
  <c r="CN341" i="34" a="1"/>
  <c r="CN341" i="34" s="1"/>
  <c r="CQ341" i="34" a="1"/>
  <c r="CQ341" i="34"/>
  <c r="CT341" i="34" s="1" a="1"/>
  <c r="CT341" i="34" s="1"/>
  <c r="CR341" i="34"/>
  <c r="CU341" i="34" a="1"/>
  <c r="CU341" i="34" s="1"/>
  <c r="CW341" i="34"/>
  <c r="CX341" i="34"/>
  <c r="CZ341" i="34" a="1"/>
  <c r="CZ341" i="34" s="1"/>
  <c r="DA341" i="34" a="1"/>
  <c r="DA341" i="34"/>
  <c r="DC341" i="34"/>
  <c r="DD341" i="34"/>
  <c r="DF341" i="34" a="1"/>
  <c r="DF341" i="34"/>
  <c r="DG341" i="34" a="1"/>
  <c r="DG341" i="34" s="1"/>
  <c r="DI341" i="34"/>
  <c r="DJ341" i="34"/>
  <c r="DL341" i="34" a="1"/>
  <c r="DL341" i="34" s="1"/>
  <c r="DM341" i="34" a="1"/>
  <c r="DM341" i="34" s="1"/>
  <c r="DO341" i="34"/>
  <c r="DR341" i="34" s="1" a="1"/>
  <c r="DR341" i="34" s="1"/>
  <c r="DP341" i="34"/>
  <c r="DU341" i="34"/>
  <c r="DY341" i="34" s="1" a="1"/>
  <c r="DY341" i="34" s="1"/>
  <c r="DV341" i="34"/>
  <c r="DX341" i="34" a="1"/>
  <c r="DX341" i="34" s="1"/>
  <c r="EA341" i="34"/>
  <c r="ED341" i="34" s="1" a="1"/>
  <c r="ED341" i="34" s="1"/>
  <c r="EB341" i="34"/>
  <c r="BS342" i="34"/>
  <c r="BW342" i="34" s="1" a="1"/>
  <c r="BW342" i="34" s="1"/>
  <c r="BT342" i="34"/>
  <c r="BY342" i="34"/>
  <c r="CB342" i="34" s="1" a="1"/>
  <c r="CB342" i="34" s="1"/>
  <c r="BZ342" i="34"/>
  <c r="CC342" i="34" a="1"/>
  <c r="CC342" i="34" s="1"/>
  <c r="CE342" i="34"/>
  <c r="CF342" i="34"/>
  <c r="CH342" i="34" a="1"/>
  <c r="CH342" i="34" s="1"/>
  <c r="CI342" i="34" a="1"/>
  <c r="CI342" i="34"/>
  <c r="CK342" i="34"/>
  <c r="CL342" i="34"/>
  <c r="CN342" i="34" a="1"/>
  <c r="CN342" i="34"/>
  <c r="CO342" i="34" a="1"/>
  <c r="CO342" i="34" s="1"/>
  <c r="CQ342" i="34" a="1"/>
  <c r="CQ342" i="34" s="1"/>
  <c r="CR342" i="34"/>
  <c r="CW342" i="34"/>
  <c r="DA342" i="34" s="1" a="1"/>
  <c r="DA342" i="34" s="1"/>
  <c r="CX342" i="34"/>
  <c r="CZ342" i="34" a="1"/>
  <c r="CZ342" i="34" s="1"/>
  <c r="DC342" i="34"/>
  <c r="DF342" i="34" s="1" a="1"/>
  <c r="DF342" i="34" s="1"/>
  <c r="DD342" i="34"/>
  <c r="DI342" i="34"/>
  <c r="DL342" i="34" s="1" a="1"/>
  <c r="DL342" i="34" s="1"/>
  <c r="DJ342" i="34"/>
  <c r="DM342" i="34" a="1"/>
  <c r="DM342" i="34"/>
  <c r="DO342" i="34"/>
  <c r="DP342" i="34"/>
  <c r="DU342" i="34"/>
  <c r="DX342" i="34" s="1" a="1"/>
  <c r="DX342" i="34" s="1"/>
  <c r="DV342" i="34"/>
  <c r="DY342" i="34" a="1"/>
  <c r="DY342" i="34" s="1"/>
  <c r="EA342" i="34"/>
  <c r="EB342" i="34"/>
  <c r="ED342" i="34" a="1"/>
  <c r="ED342" i="34" s="1"/>
  <c r="EE342" i="34" a="1"/>
  <c r="EE342" i="34" s="1"/>
  <c r="BS343" i="34"/>
  <c r="BT343" i="34"/>
  <c r="BV343" i="34" a="1"/>
  <c r="BV343" i="34"/>
  <c r="BW343" i="34" a="1"/>
  <c r="BW343" i="34" s="1"/>
  <c r="BY343" i="34"/>
  <c r="BZ343" i="34"/>
  <c r="CE343" i="34"/>
  <c r="CI343" i="34" s="1" a="1"/>
  <c r="CI343" i="34" s="1"/>
  <c r="CF343" i="34"/>
  <c r="CK343" i="34"/>
  <c r="CN343" i="34" s="1" a="1"/>
  <c r="CN343" i="34" s="1"/>
  <c r="CL343" i="34"/>
  <c r="CQ343" i="34" a="1"/>
  <c r="CQ343" i="34" s="1"/>
  <c r="CU343" i="34" s="1" a="1"/>
  <c r="CU343" i="34" s="1"/>
  <c r="CR343" i="34"/>
  <c r="CW343" i="34"/>
  <c r="CX343" i="34"/>
  <c r="CZ343" i="34" a="1"/>
  <c r="CZ343" i="34"/>
  <c r="DA343" i="34" a="1"/>
  <c r="DA343" i="34" s="1"/>
  <c r="DC343" i="34"/>
  <c r="DD343" i="34"/>
  <c r="DF343" i="34" a="1"/>
  <c r="DF343" i="34" s="1"/>
  <c r="DG343" i="34" a="1"/>
  <c r="DG343" i="34" s="1"/>
  <c r="DI343" i="34"/>
  <c r="DM343" i="34" s="1" a="1"/>
  <c r="DM343" i="34" s="1"/>
  <c r="DJ343" i="34"/>
  <c r="DL343" i="34" a="1"/>
  <c r="DL343" i="34" s="1"/>
  <c r="DO343" i="34"/>
  <c r="DS343" i="34" s="1" a="1"/>
  <c r="DS343" i="34" s="1"/>
  <c r="DP343" i="34"/>
  <c r="DR343" i="34" a="1"/>
  <c r="DR343" i="34" s="1"/>
  <c r="DU343" i="34"/>
  <c r="DV343" i="34"/>
  <c r="EA343" i="34"/>
  <c r="EB343" i="34"/>
  <c r="BS344" i="34"/>
  <c r="BV344" i="34" s="1" a="1"/>
  <c r="BV344" i="34" s="1"/>
  <c r="BT344" i="34"/>
  <c r="BW344" i="34" a="1"/>
  <c r="BW344" i="34" s="1"/>
  <c r="BY344" i="34"/>
  <c r="BZ344" i="34"/>
  <c r="CB344" i="34" a="1"/>
  <c r="CB344" i="34" s="1"/>
  <c r="CC344" i="34" a="1"/>
  <c r="CC344" i="34" s="1"/>
  <c r="CE344" i="34"/>
  <c r="CF344" i="34"/>
  <c r="CH344" i="34" a="1"/>
  <c r="CH344" i="34"/>
  <c r="CI344" i="34" a="1"/>
  <c r="CI344" i="34" s="1"/>
  <c r="CK344" i="34"/>
  <c r="CL344" i="34"/>
  <c r="CN344" i="34" a="1"/>
  <c r="CN344" i="34" s="1"/>
  <c r="CO344" i="34" a="1"/>
  <c r="CO344" i="34" s="1"/>
  <c r="CQ344" i="34" a="1"/>
  <c r="CQ344" i="34"/>
  <c r="CU344" i="34" s="1" a="1"/>
  <c r="CU344" i="34" s="1"/>
  <c r="CR344" i="34"/>
  <c r="CT344" i="34" a="1"/>
  <c r="CT344" i="34" s="1"/>
  <c r="CW344" i="34"/>
  <c r="CZ344" i="34" s="1" a="1"/>
  <c r="CZ344" i="34" s="1"/>
  <c r="CX344" i="34"/>
  <c r="DC344" i="34"/>
  <c r="DF344" i="34" s="1" a="1"/>
  <c r="DF344" i="34" s="1"/>
  <c r="DD344" i="34"/>
  <c r="DG344" i="34" a="1"/>
  <c r="DG344" i="34" s="1"/>
  <c r="DI344" i="34"/>
  <c r="DJ344" i="34"/>
  <c r="DO344" i="34"/>
  <c r="DR344" i="34" s="1" a="1"/>
  <c r="DR344" i="34" s="1"/>
  <c r="DP344" i="34"/>
  <c r="DS344" i="34" a="1"/>
  <c r="DS344" i="34" s="1"/>
  <c r="DU344" i="34"/>
  <c r="DV344" i="34"/>
  <c r="DY344" i="34" s="1" a="1"/>
  <c r="DY344" i="34" s="1"/>
  <c r="EA344" i="34"/>
  <c r="EB344" i="34"/>
  <c r="ED344" i="34" a="1"/>
  <c r="ED344" i="34"/>
  <c r="EE344" i="34" a="1"/>
  <c r="EE344" i="34" s="1"/>
  <c r="BS345" i="34"/>
  <c r="BT345" i="34"/>
  <c r="BY345" i="34"/>
  <c r="CC345" i="34" s="1" a="1"/>
  <c r="CC345" i="34" s="1"/>
  <c r="BZ345" i="34"/>
  <c r="CB345" i="34" a="1"/>
  <c r="CB345" i="34" s="1"/>
  <c r="CE345" i="34"/>
  <c r="CH345" i="34" s="1" a="1"/>
  <c r="CH345" i="34" s="1"/>
  <c r="CF345" i="34"/>
  <c r="CK345" i="34"/>
  <c r="CN345" i="34" s="1" a="1"/>
  <c r="CN345" i="34" s="1"/>
  <c r="CL345" i="34"/>
  <c r="CO345" i="34" a="1"/>
  <c r="CO345" i="34" s="1"/>
  <c r="CQ345" i="34" a="1"/>
  <c r="CQ345" i="34" s="1"/>
  <c r="CR345" i="34"/>
  <c r="CW345" i="34"/>
  <c r="CX345" i="34"/>
  <c r="CZ345" i="34" a="1"/>
  <c r="CZ345" i="34"/>
  <c r="DA345" i="34" a="1"/>
  <c r="DA345" i="34" s="1"/>
  <c r="DC345" i="34"/>
  <c r="DG345" i="34" s="1" a="1"/>
  <c r="DG345" i="34" s="1"/>
  <c r="DD345" i="34"/>
  <c r="DF345" i="34" a="1"/>
  <c r="DF345" i="34" s="1"/>
  <c r="DI345" i="34"/>
  <c r="DM345" i="34" s="1" a="1"/>
  <c r="DM345" i="34" s="1"/>
  <c r="DJ345" i="34"/>
  <c r="DL345" i="34" a="1"/>
  <c r="DL345" i="34" s="1"/>
  <c r="DO345" i="34"/>
  <c r="DP345" i="34"/>
  <c r="DU345" i="34"/>
  <c r="DV345" i="34"/>
  <c r="EA345" i="34"/>
  <c r="ED345" i="34" s="1" a="1"/>
  <c r="ED345" i="34" s="1"/>
  <c r="EB345" i="34"/>
  <c r="EE345" i="34" a="1"/>
  <c r="EE345" i="34"/>
  <c r="BS346" i="34"/>
  <c r="BT346" i="34"/>
  <c r="BV346" i="34" a="1"/>
  <c r="BV346" i="34"/>
  <c r="BW346" i="34" a="1"/>
  <c r="BW346" i="34"/>
  <c r="BY346" i="34"/>
  <c r="BZ346" i="34"/>
  <c r="CB346" i="34" a="1"/>
  <c r="CB346" i="34"/>
  <c r="CC346" i="34" a="1"/>
  <c r="CC346" i="34" s="1"/>
  <c r="CE346" i="34"/>
  <c r="CF346" i="34"/>
  <c r="CH346" i="34" a="1"/>
  <c r="CH346" i="34" s="1"/>
  <c r="CI346" i="34" a="1"/>
  <c r="CI346" i="34" s="1"/>
  <c r="CK346" i="34"/>
  <c r="CN346" i="34" s="1" a="1"/>
  <c r="CL346" i="34"/>
  <c r="CN346" i="34"/>
  <c r="CQ346" i="34" a="1"/>
  <c r="CQ346" i="34"/>
  <c r="CR346" i="34"/>
  <c r="CW346" i="34"/>
  <c r="CZ346" i="34" s="1" a="1"/>
  <c r="CZ346" i="34" s="1"/>
  <c r="CX346" i="34"/>
  <c r="DC346" i="34"/>
  <c r="DD346" i="34"/>
  <c r="DI346" i="34"/>
  <c r="DL346" i="34" s="1" a="1"/>
  <c r="DL346" i="34" s="1"/>
  <c r="DJ346" i="34"/>
  <c r="DM346" i="34" a="1"/>
  <c r="DM346" i="34" s="1"/>
  <c r="DO346" i="34"/>
  <c r="DP346" i="34"/>
  <c r="DR346" i="34" a="1"/>
  <c r="DR346" i="34" s="1"/>
  <c r="DS346" i="34" a="1"/>
  <c r="DS346" i="34" s="1"/>
  <c r="DU346" i="34"/>
  <c r="DV346" i="34"/>
  <c r="DY346" i="34" s="1" a="1"/>
  <c r="DY346" i="34" s="1"/>
  <c r="DX346" i="34" a="1"/>
  <c r="DX346" i="34"/>
  <c r="EA346" i="34"/>
  <c r="EB346" i="34"/>
  <c r="EE346" i="34" s="1" a="1"/>
  <c r="ED346" i="34" a="1"/>
  <c r="ED346" i="34" s="1"/>
  <c r="EE346" i="34"/>
  <c r="BS347" i="34"/>
  <c r="BW347" i="34" s="1" a="1"/>
  <c r="BW347" i="34" s="1"/>
  <c r="BT347" i="34"/>
  <c r="BV347" i="34" a="1"/>
  <c r="BV347" i="34" s="1"/>
  <c r="BY347" i="34"/>
  <c r="BZ347" i="34"/>
  <c r="CE347" i="34"/>
  <c r="CH347" i="34" s="1" a="1"/>
  <c r="CF347" i="34"/>
  <c r="CH347" i="34"/>
  <c r="CI347" i="34" a="1"/>
  <c r="CI347" i="34" s="1"/>
  <c r="CK347" i="34"/>
  <c r="CL347" i="34"/>
  <c r="CQ347" i="34" a="1"/>
  <c r="CQ347" i="34" s="1"/>
  <c r="CU347" i="34" s="1" a="1"/>
  <c r="CU347" i="34" s="1"/>
  <c r="CR347" i="34"/>
  <c r="CT347" i="34" a="1"/>
  <c r="CT347" i="34" s="1"/>
  <c r="CW347" i="34"/>
  <c r="CX347" i="34"/>
  <c r="DC347" i="34"/>
  <c r="DG347" i="34" s="1" a="1"/>
  <c r="DG347" i="34" s="1"/>
  <c r="DD347" i="34"/>
  <c r="DF347" i="34" a="1"/>
  <c r="DF347" i="34" s="1"/>
  <c r="DI347" i="34"/>
  <c r="DL347" i="34" s="1" a="1"/>
  <c r="DL347" i="34" s="1"/>
  <c r="DJ347" i="34"/>
  <c r="DM347" i="34" a="1"/>
  <c r="DM347" i="34" s="1"/>
  <c r="DO347" i="34"/>
  <c r="DP347" i="34"/>
  <c r="DU347" i="34"/>
  <c r="DX347" i="34" s="1" a="1"/>
  <c r="DX347" i="34" s="1"/>
  <c r="DV347" i="34"/>
  <c r="EA347" i="34"/>
  <c r="EB347" i="34"/>
  <c r="ED347" i="34" a="1"/>
  <c r="ED347" i="34" s="1"/>
  <c r="EE347" i="34" a="1"/>
  <c r="EE347" i="34" s="1"/>
  <c r="BS348" i="34"/>
  <c r="BT348" i="34"/>
  <c r="BV348" i="34" a="1"/>
  <c r="BV348" i="34"/>
  <c r="BW348" i="34" a="1"/>
  <c r="BW348" i="34" s="1"/>
  <c r="BY348" i="34"/>
  <c r="BZ348" i="34"/>
  <c r="CB348" i="34" a="1"/>
  <c r="CB348" i="34" s="1"/>
  <c r="CC348" i="34" a="1"/>
  <c r="CC348" i="34" s="1"/>
  <c r="CE348" i="34"/>
  <c r="CF348" i="34"/>
  <c r="CH348" i="34" a="1"/>
  <c r="CH348" i="34" s="1"/>
  <c r="CK348" i="34"/>
  <c r="CO348" i="34" s="1" a="1"/>
  <c r="CO348" i="34" s="1"/>
  <c r="CL348" i="34"/>
  <c r="CN348" i="34" a="1"/>
  <c r="CN348" i="34" s="1"/>
  <c r="CQ348" i="34" a="1"/>
  <c r="CQ348" i="34"/>
  <c r="CT348" i="34" s="1" a="1"/>
  <c r="CT348" i="34" s="1"/>
  <c r="CR348" i="34"/>
  <c r="CU348" i="34" a="1"/>
  <c r="CU348" i="34" s="1"/>
  <c r="CW348" i="34"/>
  <c r="CX348" i="34"/>
  <c r="DC348" i="34"/>
  <c r="DF348" i="34" s="1" a="1"/>
  <c r="DD348" i="34"/>
  <c r="DF348" i="34"/>
  <c r="DG348" i="34" a="1"/>
  <c r="DG348" i="34" s="1"/>
  <c r="DI348" i="34"/>
  <c r="DJ348" i="34"/>
  <c r="DL348" i="34" a="1"/>
  <c r="DL348" i="34" s="1"/>
  <c r="DM348" i="34" a="1"/>
  <c r="DM348" i="34" s="1"/>
  <c r="DO348" i="34"/>
  <c r="DP348" i="34"/>
  <c r="DS348" i="34" s="1" a="1"/>
  <c r="DS348" i="34" s="1"/>
  <c r="DR348" i="34" a="1"/>
  <c r="DR348" i="34"/>
  <c r="DU348" i="34"/>
  <c r="DV348" i="34"/>
  <c r="DY348" i="34" s="1" a="1"/>
  <c r="DY348" i="34" s="1"/>
  <c r="DX348" i="34" a="1"/>
  <c r="DX348" i="34" s="1"/>
  <c r="EA348" i="34"/>
  <c r="EB348" i="34"/>
  <c r="BS349" i="34"/>
  <c r="BV349" i="34" s="1" a="1"/>
  <c r="BV349" i="34" s="1"/>
  <c r="BT349" i="34"/>
  <c r="BY349" i="34"/>
  <c r="CB349" i="34" s="1" a="1"/>
  <c r="BZ349" i="34"/>
  <c r="CB349" i="34"/>
  <c r="CC349" i="34" a="1"/>
  <c r="CC349" i="34"/>
  <c r="CE349" i="34"/>
  <c r="CF349" i="34"/>
  <c r="CK349" i="34"/>
  <c r="CN349" i="34" s="1" a="1"/>
  <c r="CN349" i="34" s="1"/>
  <c r="CL349" i="34"/>
  <c r="CO349" i="34" a="1"/>
  <c r="CO349" i="34" s="1"/>
  <c r="CQ349" i="34" a="1"/>
  <c r="CQ349" i="34"/>
  <c r="CU349" i="34" s="1" a="1"/>
  <c r="CU349" i="34" s="1"/>
  <c r="CR349" i="34"/>
  <c r="CW349" i="34"/>
  <c r="DA349" i="34" s="1" a="1"/>
  <c r="DA349" i="34" s="1"/>
  <c r="CX349" i="34"/>
  <c r="CZ349" i="34" a="1"/>
  <c r="CZ349" i="34" s="1"/>
  <c r="DC349" i="34"/>
  <c r="DF349" i="34" s="1" a="1"/>
  <c r="DF349" i="34" s="1"/>
  <c r="DD349" i="34"/>
  <c r="DG349" i="34" a="1"/>
  <c r="DG349" i="34" s="1"/>
  <c r="DI349" i="34"/>
  <c r="DJ349" i="34"/>
  <c r="DO349" i="34"/>
  <c r="DP349" i="34"/>
  <c r="DU349" i="34"/>
  <c r="DV349" i="34"/>
  <c r="DX349" i="34" a="1"/>
  <c r="DX349" i="34" s="1"/>
  <c r="DY349" i="34" a="1"/>
  <c r="DY349" i="34"/>
  <c r="EA349" i="34"/>
  <c r="EB349" i="34"/>
  <c r="ED349" i="34" a="1"/>
  <c r="ED349" i="34"/>
  <c r="EE349" i="34" a="1"/>
  <c r="EE349" i="34" s="1"/>
  <c r="BS350" i="34"/>
  <c r="BT350" i="34"/>
  <c r="BV350" i="34" a="1"/>
  <c r="BV350" i="34"/>
  <c r="BW350" i="34" a="1"/>
  <c r="BW350" i="34" s="1"/>
  <c r="BY350" i="34"/>
  <c r="CC350" i="34" s="1" a="1"/>
  <c r="CC350" i="34" s="1"/>
  <c r="BZ350" i="34"/>
  <c r="CB350" i="34" a="1"/>
  <c r="CB350" i="34" s="1"/>
  <c r="CE350" i="34"/>
  <c r="CF350" i="34"/>
  <c r="CH350" i="34" s="1" a="1"/>
  <c r="CH350" i="34" s="1"/>
  <c r="CK350" i="34"/>
  <c r="CN350" i="34" s="1" a="1"/>
  <c r="CN350" i="34" s="1"/>
  <c r="CL350" i="34"/>
  <c r="CO350" i="34" a="1"/>
  <c r="CO350" i="34" s="1"/>
  <c r="CQ350" i="34" a="1"/>
  <c r="CQ350" i="34"/>
  <c r="CR350" i="34"/>
  <c r="CW350" i="34"/>
  <c r="CZ350" i="34" s="1" a="1"/>
  <c r="CX350" i="34"/>
  <c r="CZ350" i="34"/>
  <c r="DA350" i="34" a="1"/>
  <c r="DA350" i="34" s="1"/>
  <c r="DC350" i="34"/>
  <c r="DD350" i="34"/>
  <c r="DF350" i="34" s="1" a="1"/>
  <c r="DF350" i="34" s="1"/>
  <c r="DI350" i="34"/>
  <c r="DJ350" i="34"/>
  <c r="DM350" i="34" s="1" a="1"/>
  <c r="DM350" i="34" s="1"/>
  <c r="DL350" i="34" a="1"/>
  <c r="DL350" i="34"/>
  <c r="DO350" i="34"/>
  <c r="DP350" i="34"/>
  <c r="DS350" i="34" s="1" a="1"/>
  <c r="DS350" i="34" s="1"/>
  <c r="DU350" i="34"/>
  <c r="DV350" i="34"/>
  <c r="DX350" i="34" s="1" a="1"/>
  <c r="DX350" i="34" s="1"/>
  <c r="EA350" i="34"/>
  <c r="EB350" i="34"/>
  <c r="BS351" i="34"/>
  <c r="BV351" i="34" s="1" a="1"/>
  <c r="BT351" i="34"/>
  <c r="BV351" i="34"/>
  <c r="BY351" i="34"/>
  <c r="BZ351" i="34"/>
  <c r="CE351" i="34"/>
  <c r="CH351" i="34" s="1" a="1"/>
  <c r="CF351" i="34"/>
  <c r="CH351" i="34"/>
  <c r="CI351" i="34" a="1"/>
  <c r="CI351" i="34" s="1"/>
  <c r="CK351" i="34"/>
  <c r="CL351" i="34"/>
  <c r="CN351" i="34" s="1" a="1"/>
  <c r="CN351" i="34" s="1"/>
  <c r="CQ351" i="34" a="1"/>
  <c r="CQ351" i="34"/>
  <c r="CR351" i="34"/>
  <c r="CT351" i="34" a="1"/>
  <c r="CT351" i="34" s="1"/>
  <c r="CW351" i="34"/>
  <c r="CX351" i="34"/>
  <c r="DA351" i="34" s="1" a="1"/>
  <c r="DA351" i="34" s="1"/>
  <c r="DC351" i="34"/>
  <c r="DD351" i="34"/>
  <c r="DI351" i="34"/>
  <c r="DL351" i="34" s="1" a="1"/>
  <c r="DL351" i="34" s="1"/>
  <c r="DJ351" i="34"/>
  <c r="DM351" i="34" a="1"/>
  <c r="DM351" i="34"/>
  <c r="DO351" i="34"/>
  <c r="DP351" i="34"/>
  <c r="DR351" i="34" a="1"/>
  <c r="DR351" i="34"/>
  <c r="DS351" i="34" a="1"/>
  <c r="DS351" i="34" s="1"/>
  <c r="DU351" i="34"/>
  <c r="DV351" i="34"/>
  <c r="DX351" i="34" a="1"/>
  <c r="DX351" i="34"/>
  <c r="DY351" i="34" a="1"/>
  <c r="DY351" i="34" s="1"/>
  <c r="EA351" i="34"/>
  <c r="EB351" i="34"/>
  <c r="ED351" i="34" a="1"/>
  <c r="ED351" i="34" s="1"/>
  <c r="EE351" i="34" a="1"/>
  <c r="EE351" i="34" s="1"/>
  <c r="BS352" i="34"/>
  <c r="BT352" i="34"/>
  <c r="BY352" i="34"/>
  <c r="BZ352" i="34"/>
  <c r="CE352" i="34"/>
  <c r="CF352" i="34"/>
  <c r="CH352" i="34" s="1" a="1"/>
  <c r="CH352" i="34" s="1"/>
  <c r="CI352" i="34" a="1"/>
  <c r="CI352" i="34" s="1"/>
  <c r="CK352" i="34"/>
  <c r="CL352" i="34"/>
  <c r="CO352" i="34" s="1" a="1"/>
  <c r="CO352" i="34" s="1"/>
  <c r="CQ352" i="34" a="1"/>
  <c r="CQ352" i="34" s="1"/>
  <c r="CT352" i="34" s="1" a="1"/>
  <c r="CT352" i="34" s="1"/>
  <c r="CR352" i="34"/>
  <c r="CU352" i="34" a="1"/>
  <c r="CU352" i="34"/>
  <c r="CW352" i="34"/>
  <c r="CX352" i="34"/>
  <c r="CZ352" i="34" s="1" a="1"/>
  <c r="CZ352" i="34" s="1"/>
  <c r="DC352" i="34"/>
  <c r="DD352" i="34"/>
  <c r="DG352" i="34" s="1" a="1"/>
  <c r="DG352" i="34" s="1"/>
  <c r="DF352" i="34" a="1"/>
  <c r="DF352" i="34"/>
  <c r="DI352" i="34"/>
  <c r="DJ352" i="34"/>
  <c r="DM352" i="34" s="1" a="1"/>
  <c r="DM352" i="34" s="1"/>
  <c r="DO352" i="34"/>
  <c r="DR352" i="34" s="1" a="1"/>
  <c r="DR352" i="34" s="1"/>
  <c r="DP352" i="34"/>
  <c r="DU352" i="34"/>
  <c r="DV352" i="34"/>
  <c r="EA352" i="34"/>
  <c r="ED352" i="34" s="1" a="1"/>
  <c r="ED352" i="34" s="1"/>
  <c r="EB352" i="34"/>
  <c r="EE352" i="34" a="1"/>
  <c r="EE352" i="34" s="1"/>
  <c r="BS353" i="34"/>
  <c r="BV353" i="34" s="1" a="1"/>
  <c r="BT353" i="34"/>
  <c r="BV353" i="34"/>
  <c r="BY353" i="34"/>
  <c r="CB353" i="34" s="1" a="1"/>
  <c r="CB353" i="34" s="1"/>
  <c r="BZ353" i="34"/>
  <c r="CC353" i="34" a="1"/>
  <c r="CC353" i="34"/>
  <c r="CE353" i="34"/>
  <c r="CF353" i="34"/>
  <c r="CH353" i="34" s="1" a="1"/>
  <c r="CH353" i="34" s="1"/>
  <c r="CI353" i="34" a="1"/>
  <c r="CI353" i="34" s="1"/>
  <c r="CK353" i="34"/>
  <c r="CL353" i="34"/>
  <c r="CO353" i="34" s="1" a="1"/>
  <c r="CO353" i="34" s="1"/>
  <c r="CQ353" i="34" a="1"/>
  <c r="CQ353" i="34"/>
  <c r="CR353" i="34"/>
  <c r="CU353" i="34" s="1" a="1"/>
  <c r="CU353" i="34" s="1"/>
  <c r="CW353" i="34"/>
  <c r="CZ353" i="34" s="1" a="1"/>
  <c r="CZ353" i="34" s="1"/>
  <c r="CX353" i="34"/>
  <c r="DA353" i="34" a="1"/>
  <c r="DA353" i="34" s="1"/>
  <c r="DC353" i="34"/>
  <c r="DF353" i="34" s="1" a="1"/>
  <c r="DF353" i="34" s="1"/>
  <c r="DD353" i="34"/>
  <c r="DI353" i="34"/>
  <c r="DL353" i="34" s="1" a="1"/>
  <c r="DL353" i="34" s="1"/>
  <c r="DJ353" i="34"/>
  <c r="DM353" i="34" a="1"/>
  <c r="DM353" i="34" s="1"/>
  <c r="DO353" i="34"/>
  <c r="DP353" i="34"/>
  <c r="DR353" i="34" a="1"/>
  <c r="DR353" i="34" s="1"/>
  <c r="DS353" i="34" a="1"/>
  <c r="DS353" i="34" s="1"/>
  <c r="DU353" i="34"/>
  <c r="DV353" i="34"/>
  <c r="DX353" i="34" a="1"/>
  <c r="DX353" i="34"/>
  <c r="DY353" i="34" a="1"/>
  <c r="DY353" i="34" s="1"/>
  <c r="EA353" i="34"/>
  <c r="EB353" i="34"/>
  <c r="BS354" i="34"/>
  <c r="BT354" i="34"/>
  <c r="BV354" i="34" s="1" a="1"/>
  <c r="BV354" i="34" s="1"/>
  <c r="BY354" i="34"/>
  <c r="BZ354" i="34"/>
  <c r="CB354" i="34" s="1" a="1"/>
  <c r="CB354" i="34" s="1"/>
  <c r="CE354" i="34"/>
  <c r="CI354" i="34" s="1" a="1"/>
  <c r="CI354" i="34" s="1"/>
  <c r="CF354" i="34"/>
  <c r="CK354" i="34"/>
  <c r="CL354" i="34"/>
  <c r="CO354" i="34" a="1"/>
  <c r="CO354" i="34" s="1"/>
  <c r="CQ354" i="34" a="1"/>
  <c r="CQ354" i="34" s="1"/>
  <c r="CT354" i="34" s="1" a="1"/>
  <c r="CT354" i="34" s="1"/>
  <c r="CR354" i="34"/>
  <c r="CU354" i="34" a="1"/>
  <c r="CU354" i="34" s="1"/>
  <c r="CW354" i="34"/>
  <c r="CX354" i="34"/>
  <c r="CZ354" i="34" a="1"/>
  <c r="CZ354" i="34" s="1"/>
  <c r="DA354" i="34" a="1"/>
  <c r="DA354" i="34" s="1"/>
  <c r="DC354" i="34"/>
  <c r="DD354" i="34"/>
  <c r="DI354" i="34"/>
  <c r="DJ354" i="34"/>
  <c r="DL354" i="34" s="1" a="1"/>
  <c r="DL354" i="34" s="1"/>
  <c r="DO354" i="34"/>
  <c r="DP354" i="34"/>
  <c r="DR354" i="34" s="1" a="1"/>
  <c r="DR354" i="34" s="1"/>
  <c r="DU354" i="34"/>
  <c r="DX354" i="34" s="1" a="1"/>
  <c r="DV354" i="34"/>
  <c r="DX354" i="34"/>
  <c r="EA354" i="34"/>
  <c r="ED354" i="34" s="1" a="1"/>
  <c r="EB354" i="34"/>
  <c r="ED354" i="34"/>
  <c r="EE354" i="34" a="1"/>
  <c r="EE354" i="34"/>
  <c r="BS355" i="34"/>
  <c r="BV355" i="34" s="1" a="1"/>
  <c r="BV355" i="34" s="1"/>
  <c r="BT355" i="34"/>
  <c r="BW355" i="34" a="1"/>
  <c r="BW355" i="34" s="1"/>
  <c r="BY355" i="34"/>
  <c r="BZ355" i="34"/>
  <c r="CB355" i="34" s="1" a="1"/>
  <c r="CB355" i="34" s="1"/>
  <c r="CE355" i="34"/>
  <c r="CF355" i="34"/>
  <c r="CH355" i="34" a="1"/>
  <c r="CH355" i="34"/>
  <c r="CI355" i="34" a="1"/>
  <c r="CI355" i="34" s="1"/>
  <c r="CK355" i="34"/>
  <c r="CL355" i="34"/>
  <c r="CO355" i="34" s="1" a="1"/>
  <c r="CN355" i="34" a="1"/>
  <c r="CN355" i="34" s="1"/>
  <c r="CO355" i="34"/>
  <c r="CQ355" i="34" a="1"/>
  <c r="CQ355" i="34"/>
  <c r="CR355" i="34"/>
  <c r="CU355" i="34" s="1" a="1"/>
  <c r="CU355" i="34" s="1"/>
  <c r="CW355" i="34"/>
  <c r="CX355" i="34"/>
  <c r="DC355" i="34"/>
  <c r="DD355" i="34"/>
  <c r="DI355" i="34"/>
  <c r="DJ355" i="34"/>
  <c r="DL355" i="34" a="1"/>
  <c r="DL355" i="34"/>
  <c r="DM355" i="34" a="1"/>
  <c r="DM355" i="34"/>
  <c r="DO355" i="34"/>
  <c r="DP355" i="34"/>
  <c r="DR355" i="34" a="1"/>
  <c r="DR355" i="34"/>
  <c r="DS355" i="34" a="1"/>
  <c r="DS355" i="34" s="1"/>
  <c r="DU355" i="34"/>
  <c r="DY355" i="34" s="1" a="1"/>
  <c r="DY355" i="34" s="1"/>
  <c r="DV355" i="34"/>
  <c r="DX355" i="34" a="1"/>
  <c r="DX355" i="34" s="1"/>
  <c r="EA355" i="34"/>
  <c r="EE355" i="34" s="1" a="1"/>
  <c r="EE355" i="34" s="1"/>
  <c r="EB355" i="34"/>
  <c r="BS356" i="34"/>
  <c r="BW356" i="34" s="1" a="1"/>
  <c r="BW356" i="34" s="1"/>
  <c r="BT356" i="34"/>
  <c r="BY356" i="34"/>
  <c r="BZ356" i="34"/>
  <c r="CE356" i="34"/>
  <c r="CH356" i="34" s="1" a="1"/>
  <c r="CH356" i="34" s="1"/>
  <c r="CF356" i="34"/>
  <c r="CI356" i="34" a="1"/>
  <c r="CI356" i="34" s="1"/>
  <c r="CK356" i="34"/>
  <c r="CO356" i="34" s="1" a="1"/>
  <c r="CL356" i="34"/>
  <c r="CN356" i="34" s="1" a="1"/>
  <c r="CN356" i="34" s="1"/>
  <c r="CO356" i="34"/>
  <c r="CQ356" i="34" a="1"/>
  <c r="CQ356" i="34" s="1"/>
  <c r="CR356" i="34"/>
  <c r="CT356" i="34" a="1"/>
  <c r="CT356" i="34" s="1"/>
  <c r="CU356" i="34" a="1"/>
  <c r="CU356" i="34" s="1"/>
  <c r="CW356" i="34"/>
  <c r="CX356" i="34"/>
  <c r="CZ356" i="34" s="1" a="1"/>
  <c r="CZ356" i="34" s="1"/>
  <c r="DC356" i="34"/>
  <c r="DG356" i="34" s="1" a="1"/>
  <c r="DG356" i="34" s="1"/>
  <c r="DD356" i="34"/>
  <c r="DF356" i="34" a="1"/>
  <c r="DF356" i="34" s="1"/>
  <c r="DI356" i="34"/>
  <c r="DJ356" i="34"/>
  <c r="DO356" i="34"/>
  <c r="DP356" i="34"/>
  <c r="DR356" i="34" s="1" a="1"/>
  <c r="DR356" i="34" s="1"/>
  <c r="DU356" i="34"/>
  <c r="DX356" i="34" s="1" a="1"/>
  <c r="DV356" i="34"/>
  <c r="DX356" i="34"/>
  <c r="DY356" i="34" a="1"/>
  <c r="DY356" i="34"/>
  <c r="EA356" i="34"/>
  <c r="ED356" i="34" s="1" a="1"/>
  <c r="ED356" i="34" s="1"/>
  <c r="EB356" i="34"/>
  <c r="EE356" i="34" a="1"/>
  <c r="EE356" i="34" s="1"/>
  <c r="BS357" i="34"/>
  <c r="BV357" i="34" s="1" a="1"/>
  <c r="BV357" i="34" s="1"/>
  <c r="BT357" i="34"/>
  <c r="BW357" i="34" a="1"/>
  <c r="BW357" i="34" s="1"/>
  <c r="BY357" i="34"/>
  <c r="CC357" i="34" s="1" a="1"/>
  <c r="CC357" i="34" s="1"/>
  <c r="BZ357" i="34"/>
  <c r="CB357" i="34" s="1" a="1"/>
  <c r="CB357" i="34" s="1"/>
  <c r="CE357" i="34"/>
  <c r="CF357" i="34"/>
  <c r="CH357" i="34" a="1"/>
  <c r="CH357" i="34" s="1"/>
  <c r="CI357" i="34" a="1"/>
  <c r="CI357" i="34" s="1"/>
  <c r="CK357" i="34"/>
  <c r="CO357" i="34" s="1" a="1"/>
  <c r="CO357" i="34" s="1"/>
  <c r="CL357" i="34"/>
  <c r="CN357" i="34" a="1"/>
  <c r="CN357" i="34" s="1"/>
  <c r="CQ357" i="34" a="1"/>
  <c r="CQ357" i="34"/>
  <c r="CU357" i="34" s="1" a="1"/>
  <c r="CU357" i="34" s="1"/>
  <c r="CR357" i="34"/>
  <c r="CT357" i="34" a="1"/>
  <c r="CT357" i="34" s="1"/>
  <c r="CW357" i="34"/>
  <c r="CX357" i="34"/>
  <c r="CZ357" i="34" s="1" a="1"/>
  <c r="CZ357" i="34" s="1"/>
  <c r="DC357" i="34"/>
  <c r="DD357" i="34"/>
  <c r="DF357" i="34" a="1"/>
  <c r="DF357" i="34" s="1"/>
  <c r="DG357" i="34" a="1"/>
  <c r="DG357" i="34" s="1"/>
  <c r="DI357" i="34"/>
  <c r="DJ357" i="34"/>
  <c r="DO357" i="34"/>
  <c r="DR357" i="34" s="1" a="1"/>
  <c r="DR357" i="34" s="1"/>
  <c r="DP357" i="34"/>
  <c r="DS357" i="34" s="1" a="1"/>
  <c r="DS357" i="34" s="1"/>
  <c r="DU357" i="34"/>
  <c r="DV357" i="34"/>
  <c r="DX357" i="34" a="1"/>
  <c r="DX357" i="34" s="1"/>
  <c r="DY357" i="34" a="1"/>
  <c r="DY357" i="34" s="1"/>
  <c r="EA357" i="34"/>
  <c r="ED357" i="34" s="1" a="1"/>
  <c r="ED357" i="34" s="1"/>
  <c r="EB357" i="34"/>
  <c r="EE357" i="34" s="1" a="1"/>
  <c r="EE357" i="34" s="1"/>
  <c r="BS358" i="34"/>
  <c r="BT358" i="34"/>
  <c r="BV358" i="34" s="1" a="1"/>
  <c r="BV358" i="34" s="1"/>
  <c r="BW358" i="34" a="1"/>
  <c r="BW358" i="34" s="1"/>
  <c r="BY358" i="34"/>
  <c r="CC358" i="34" s="1" a="1"/>
  <c r="CC358" i="34" s="1"/>
  <c r="BZ358" i="34"/>
  <c r="CB358" i="34" a="1"/>
  <c r="CB358" i="34" s="1"/>
  <c r="CE358" i="34"/>
  <c r="CF358" i="34"/>
  <c r="CH358" i="34" s="1" a="1"/>
  <c r="CH358" i="34" s="1"/>
  <c r="CK358" i="34"/>
  <c r="CL358" i="34"/>
  <c r="CN358" i="34" a="1"/>
  <c r="CN358" i="34" s="1"/>
  <c r="CO358" i="34" a="1"/>
  <c r="CO358" i="34" s="1"/>
  <c r="CQ358" i="34" a="1"/>
  <c r="CQ358" i="34" s="1"/>
  <c r="CU358" i="34" s="1" a="1"/>
  <c r="CU358" i="34" s="1"/>
  <c r="CR358" i="34"/>
  <c r="CW358" i="34"/>
  <c r="CX358" i="34"/>
  <c r="CZ358" i="34" a="1"/>
  <c r="CZ358" i="34" s="1"/>
  <c r="DA358" i="34" a="1"/>
  <c r="DA358" i="34"/>
  <c r="DC358" i="34"/>
  <c r="DG358" i="34" s="1" a="1"/>
  <c r="DG358" i="34" s="1"/>
  <c r="DD358" i="34"/>
  <c r="DI358" i="34"/>
  <c r="DJ358" i="34"/>
  <c r="DO358" i="34"/>
  <c r="DR358" i="34" s="1" a="1"/>
  <c r="DR358" i="34" s="1"/>
  <c r="DP358" i="34"/>
  <c r="DU358" i="34"/>
  <c r="DV358" i="34"/>
  <c r="DY358" i="34" a="1"/>
  <c r="DY358" i="34" s="1"/>
  <c r="EA358" i="34"/>
  <c r="ED358" i="34" s="1" a="1"/>
  <c r="ED358" i="34" s="1"/>
  <c r="EB358" i="34"/>
  <c r="EE358" i="34" a="1"/>
  <c r="EE358" i="34" s="1"/>
  <c r="BS359" i="34"/>
  <c r="BW359" i="34" s="1" a="1"/>
  <c r="BW359" i="34" s="1"/>
  <c r="BT359" i="34"/>
  <c r="BV359" i="34" s="1" a="1"/>
  <c r="BV359" i="34" s="1"/>
  <c r="BY359" i="34"/>
  <c r="BZ359" i="34"/>
  <c r="CB359" i="34" a="1"/>
  <c r="CB359" i="34" s="1"/>
  <c r="CC359" i="34" a="1"/>
  <c r="CC359" i="34" s="1"/>
  <c r="CE359" i="34"/>
  <c r="CF359" i="34"/>
  <c r="CH359" i="34" a="1"/>
  <c r="CH359" i="34" s="1"/>
  <c r="CI359" i="34" a="1"/>
  <c r="CI359" i="34"/>
  <c r="CK359" i="34"/>
  <c r="CO359" i="34" s="1" a="1"/>
  <c r="CO359" i="34" s="1"/>
  <c r="CL359" i="34"/>
  <c r="CQ359" i="34" a="1"/>
  <c r="CQ359" i="34" s="1"/>
  <c r="CR359" i="34"/>
  <c r="CW359" i="34"/>
  <c r="CX359" i="34"/>
  <c r="CZ359" i="34" a="1"/>
  <c r="CZ359" i="34" s="1"/>
  <c r="DA359" i="34" a="1"/>
  <c r="DA359" i="34" s="1"/>
  <c r="DC359" i="34"/>
  <c r="DD359" i="34"/>
  <c r="DI359" i="34"/>
  <c r="DL359" i="34" s="1" a="1"/>
  <c r="DL359" i="34" s="1"/>
  <c r="DJ359" i="34"/>
  <c r="DM359" i="34" s="1" a="1"/>
  <c r="DM359" i="34" s="1"/>
  <c r="DO359" i="34"/>
  <c r="DP359" i="34"/>
  <c r="DR359" i="34" a="1"/>
  <c r="DR359" i="34" s="1"/>
  <c r="DS359" i="34" a="1"/>
  <c r="DS359" i="34" s="1"/>
  <c r="DU359" i="34"/>
  <c r="DV359" i="34"/>
  <c r="DY359" i="34" s="1" a="1"/>
  <c r="DY359" i="34" s="1"/>
  <c r="EA359" i="34"/>
  <c r="EB359" i="34"/>
  <c r="ED359" i="34" s="1" a="1"/>
  <c r="ED359" i="34" s="1"/>
  <c r="EE359" i="34" a="1"/>
  <c r="EE359" i="34" s="1"/>
  <c r="BS360" i="34"/>
  <c r="BW360" i="34" s="1" a="1"/>
  <c r="BW360" i="34" s="1"/>
  <c r="BT360" i="34"/>
  <c r="BV360" i="34" a="1"/>
  <c r="BV360" i="34" s="1"/>
  <c r="BY360" i="34"/>
  <c r="BZ360" i="34"/>
  <c r="CB360" i="34" s="1" a="1"/>
  <c r="CB360" i="34" s="1"/>
  <c r="CE360" i="34"/>
  <c r="CF360" i="34"/>
  <c r="CH360" i="34" a="1"/>
  <c r="CH360" i="34" s="1"/>
  <c r="CI360" i="34" a="1"/>
  <c r="CI360" i="34" s="1"/>
  <c r="CK360" i="34"/>
  <c r="CL360" i="34"/>
  <c r="CQ360" i="34" a="1"/>
  <c r="CQ360" i="34"/>
  <c r="CR360" i="34"/>
  <c r="CT360" i="34" a="1"/>
  <c r="CT360" i="34" s="1"/>
  <c r="CU360" i="34" a="1"/>
  <c r="CU360" i="34"/>
  <c r="CW360" i="34"/>
  <c r="DA360" i="34" s="1" a="1"/>
  <c r="DA360" i="34" s="1"/>
  <c r="CX360" i="34"/>
  <c r="DC360" i="34"/>
  <c r="DD360" i="34"/>
  <c r="DI360" i="34"/>
  <c r="DL360" i="34" s="1" a="1"/>
  <c r="DL360" i="34" s="1"/>
  <c r="DJ360" i="34"/>
  <c r="DO360" i="34"/>
  <c r="DP360" i="34"/>
  <c r="DS360" i="34" s="1" a="1"/>
  <c r="DS360" i="34" s="1"/>
  <c r="DU360" i="34"/>
  <c r="DX360" i="34" s="1" a="1"/>
  <c r="DX360" i="34" s="1"/>
  <c r="DV360" i="34"/>
  <c r="DY360" i="34" a="1"/>
  <c r="DY360" i="34" s="1"/>
  <c r="EA360" i="34"/>
  <c r="EE360" i="34" s="1" a="1"/>
  <c r="EB360" i="34"/>
  <c r="ED360" i="34" s="1" a="1"/>
  <c r="ED360" i="34" s="1"/>
  <c r="EE360" i="34"/>
  <c r="BS361" i="34"/>
  <c r="BT361" i="34"/>
  <c r="BV361" i="34" a="1"/>
  <c r="BV361" i="34" s="1"/>
  <c r="BW361" i="34" a="1"/>
  <c r="BW361" i="34" s="1"/>
  <c r="BY361" i="34"/>
  <c r="BZ361" i="34"/>
  <c r="CB361" i="34" a="1"/>
  <c r="CB361" i="34" s="1"/>
  <c r="CC361" i="34" a="1"/>
  <c r="CC361" i="34"/>
  <c r="CE361" i="34"/>
  <c r="CI361" i="34" s="1" a="1"/>
  <c r="CI361" i="34" s="1"/>
  <c r="CF361" i="34"/>
  <c r="CK361" i="34"/>
  <c r="CL361" i="34"/>
  <c r="CQ361" i="34" a="1"/>
  <c r="CQ361" i="34" s="1"/>
  <c r="CR361" i="34"/>
  <c r="CW361" i="34"/>
  <c r="CX361" i="34"/>
  <c r="DC361" i="34"/>
  <c r="DF361" i="34" s="1" a="1"/>
  <c r="DF361" i="34" s="1"/>
  <c r="DD361" i="34"/>
  <c r="DG361" i="34" s="1" a="1"/>
  <c r="DG361" i="34" s="1"/>
  <c r="DI361" i="34"/>
  <c r="DJ361" i="34"/>
  <c r="DL361" i="34" a="1"/>
  <c r="DL361" i="34" s="1"/>
  <c r="DM361" i="34" a="1"/>
  <c r="DM361" i="34" s="1"/>
  <c r="DO361" i="34"/>
  <c r="DR361" i="34" s="1" a="1"/>
  <c r="DR361" i="34" s="1"/>
  <c r="DP361" i="34"/>
  <c r="DS361" i="34" s="1" a="1"/>
  <c r="DS361" i="34" s="1"/>
  <c r="DU361" i="34"/>
  <c r="DV361" i="34"/>
  <c r="DX361" i="34" s="1" a="1"/>
  <c r="DX361" i="34" s="1"/>
  <c r="EA361" i="34"/>
  <c r="EE361" i="34" s="1" a="1"/>
  <c r="EE361" i="34" s="1"/>
  <c r="EB361" i="34"/>
  <c r="ED361" i="34" a="1"/>
  <c r="ED361" i="34" s="1"/>
  <c r="BS362" i="34"/>
  <c r="BT362" i="34"/>
  <c r="BV362" i="34" s="1" a="1"/>
  <c r="BV362" i="34" s="1"/>
  <c r="BY362" i="34"/>
  <c r="BZ362" i="34"/>
  <c r="CB362" i="34" a="1"/>
  <c r="CB362" i="34" s="1"/>
  <c r="CC362" i="34" a="1"/>
  <c r="CC362" i="34" s="1"/>
  <c r="CE362" i="34"/>
  <c r="CF362" i="34"/>
  <c r="CK362" i="34"/>
  <c r="CN362" i="34" s="1" a="1"/>
  <c r="CN362" i="34" s="1"/>
  <c r="CL362" i="34"/>
  <c r="CO362" i="34" s="1" a="1"/>
  <c r="CO362" i="34" s="1"/>
  <c r="CQ362" i="34" a="1"/>
  <c r="CQ362" i="34" s="1"/>
  <c r="CR362" i="34"/>
  <c r="CW362" i="34"/>
  <c r="CX362" i="34"/>
  <c r="DC362" i="34"/>
  <c r="DF362" i="34" s="1" a="1"/>
  <c r="DF362" i="34" s="1"/>
  <c r="DD362" i="34"/>
  <c r="DI362" i="34"/>
  <c r="DL362" i="34" s="1" a="1"/>
  <c r="DL362" i="34" s="1"/>
  <c r="DJ362" i="34"/>
  <c r="DM362" i="34" a="1"/>
  <c r="DM362" i="34" s="1"/>
  <c r="DO362" i="34"/>
  <c r="DR362" i="34" s="1" a="1"/>
  <c r="DR362" i="34" s="1"/>
  <c r="DP362" i="34"/>
  <c r="DS362" i="34" a="1"/>
  <c r="DS362" i="34" s="1"/>
  <c r="DU362" i="34"/>
  <c r="DY362" i="34" s="1" a="1"/>
  <c r="DY362" i="34" s="1"/>
  <c r="DV362" i="34"/>
  <c r="DX362" i="34" s="1" a="1"/>
  <c r="DX362" i="34" s="1"/>
  <c r="EA362" i="34"/>
  <c r="EB362" i="34"/>
  <c r="ED362" i="34" a="1"/>
  <c r="ED362" i="34" s="1"/>
  <c r="EE362" i="34" a="1"/>
  <c r="EE362" i="34" s="1"/>
  <c r="BS363" i="34"/>
  <c r="BT363" i="34"/>
  <c r="BV363" i="34" a="1"/>
  <c r="BV363" i="34" s="1"/>
  <c r="BW363" i="34" a="1"/>
  <c r="BW363" i="34"/>
  <c r="BY363" i="34"/>
  <c r="CC363" i="34" s="1" a="1"/>
  <c r="CC363" i="34" s="1"/>
  <c r="BZ363" i="34"/>
  <c r="CE363" i="34"/>
  <c r="CF363" i="34"/>
  <c r="CK363" i="34"/>
  <c r="CL363" i="34"/>
  <c r="CQ363" i="34" a="1"/>
  <c r="CQ363" i="34"/>
  <c r="CR363" i="34"/>
  <c r="CW363" i="34"/>
  <c r="CZ363" i="34" s="1" a="1"/>
  <c r="CX363" i="34"/>
  <c r="DA363" i="34" s="1" a="1"/>
  <c r="DA363" i="34" s="1"/>
  <c r="CZ363" i="34"/>
  <c r="DC363" i="34"/>
  <c r="DD363" i="34"/>
  <c r="DF363" i="34" a="1"/>
  <c r="DF363" i="34" s="1"/>
  <c r="DG363" i="34" a="1"/>
  <c r="DG363" i="34" s="1"/>
  <c r="DI363" i="34"/>
  <c r="DJ363" i="34"/>
  <c r="DO363" i="34"/>
  <c r="DP363" i="34"/>
  <c r="DU363" i="34"/>
  <c r="DY363" i="34" s="1" a="1"/>
  <c r="DY363" i="34" s="1"/>
  <c r="DV363" i="34"/>
  <c r="DX363" i="34" a="1"/>
  <c r="DX363" i="34" s="1"/>
  <c r="EA363" i="34"/>
  <c r="EE363" i="34" s="1" a="1"/>
  <c r="EE363" i="34" s="1"/>
  <c r="EB363" i="34"/>
  <c r="ED363" i="34" s="1" a="1"/>
  <c r="ED363" i="34" s="1"/>
  <c r="BS364" i="34"/>
  <c r="BT364" i="34"/>
  <c r="BV364" i="34" a="1"/>
  <c r="BV364" i="34" s="1"/>
  <c r="BW364" i="34" a="1"/>
  <c r="BW364" i="34" s="1"/>
  <c r="BY364" i="34"/>
  <c r="BZ364" i="34"/>
  <c r="CE364" i="34"/>
  <c r="CH364" i="34" s="1" a="1"/>
  <c r="CH364" i="34" s="1"/>
  <c r="CF364" i="34"/>
  <c r="CI364" i="34" s="1" a="1"/>
  <c r="CI364" i="34" s="1"/>
  <c r="CK364" i="34"/>
  <c r="CL364" i="34"/>
  <c r="CN364" i="34" a="1"/>
  <c r="CN364" i="34" s="1"/>
  <c r="CO364" i="34" a="1"/>
  <c r="CO364" i="34" s="1"/>
  <c r="CQ364" i="34" a="1"/>
  <c r="CQ364" i="34"/>
  <c r="CR364" i="34"/>
  <c r="CW364" i="34"/>
  <c r="CX364" i="34"/>
  <c r="DC364" i="34"/>
  <c r="DD364" i="34"/>
  <c r="DG364" i="34" s="1" a="1"/>
  <c r="DG364" i="34" s="1"/>
  <c r="DI364" i="34"/>
  <c r="DL364" i="34" s="1" a="1"/>
  <c r="DL364" i="34" s="1"/>
  <c r="DJ364" i="34"/>
  <c r="DM364" i="34" a="1"/>
  <c r="DM364" i="34" s="1"/>
  <c r="DO364" i="34"/>
  <c r="DS364" i="34" s="1" a="1"/>
  <c r="DS364" i="34" s="1"/>
  <c r="DP364" i="34"/>
  <c r="DR364" i="34" s="1" a="1"/>
  <c r="DR364" i="34" s="1"/>
  <c r="DU364" i="34"/>
  <c r="DV364" i="34"/>
  <c r="DX364" i="34" a="1"/>
  <c r="DX364" i="34" s="1"/>
  <c r="DY364" i="34" a="1"/>
  <c r="DY364" i="34" s="1"/>
  <c r="EA364" i="34"/>
  <c r="EB364" i="34"/>
  <c r="ED364" i="34" a="1"/>
  <c r="ED364" i="34" s="1"/>
  <c r="EE364" i="34" a="1"/>
  <c r="EE364" i="34"/>
  <c r="BS365" i="34"/>
  <c r="BW365" i="34" s="1" a="1"/>
  <c r="BW365" i="34" s="1"/>
  <c r="BT365" i="34"/>
  <c r="BY365" i="34"/>
  <c r="BZ365" i="34"/>
  <c r="CE365" i="34"/>
  <c r="CF365" i="34"/>
  <c r="CK365" i="34"/>
  <c r="CL365" i="34"/>
  <c r="CO365" i="34" s="1" a="1"/>
  <c r="CO365" i="34" s="1"/>
  <c r="CQ365" i="34" a="1"/>
  <c r="CQ365" i="34" s="1"/>
  <c r="CR365" i="34"/>
  <c r="CW365" i="34"/>
  <c r="CX365" i="34"/>
  <c r="CZ365" i="34" a="1"/>
  <c r="CZ365" i="34" s="1"/>
  <c r="DA365" i="34" a="1"/>
  <c r="DA365" i="34" s="1"/>
  <c r="DC365" i="34"/>
  <c r="DD365" i="34"/>
  <c r="DI365" i="34"/>
  <c r="DJ365" i="34"/>
  <c r="DO365" i="34"/>
  <c r="DS365" i="34" s="1" a="1"/>
  <c r="DP365" i="34"/>
  <c r="DR365" i="34" a="1"/>
  <c r="DR365" i="34" s="1"/>
  <c r="DS365" i="34"/>
  <c r="DU365" i="34"/>
  <c r="DY365" i="34" s="1" a="1"/>
  <c r="DV365" i="34"/>
  <c r="DX365" i="34" s="1" a="1"/>
  <c r="DX365" i="34" s="1"/>
  <c r="DY365" i="34"/>
  <c r="EA365" i="34"/>
  <c r="EB365" i="34"/>
  <c r="ED365" i="34" a="1"/>
  <c r="ED365" i="34" s="1"/>
  <c r="EE365" i="34" a="1"/>
  <c r="EE365" i="34" s="1"/>
  <c r="BS366" i="34"/>
  <c r="BT366" i="34"/>
  <c r="BY366" i="34"/>
  <c r="CB366" i="34" s="1" a="1"/>
  <c r="CB366" i="34" s="1"/>
  <c r="BZ366" i="34"/>
  <c r="CC366" i="34" s="1" a="1"/>
  <c r="CC366" i="34" s="1"/>
  <c r="CE366" i="34"/>
  <c r="CF366" i="34"/>
  <c r="CH366" i="34" a="1"/>
  <c r="CH366" i="34" s="1"/>
  <c r="CI366" i="34" a="1"/>
  <c r="CI366" i="34" s="1"/>
  <c r="CK366" i="34"/>
  <c r="CL366" i="34"/>
  <c r="CQ366" i="34" a="1"/>
  <c r="CQ366" i="34"/>
  <c r="CR366" i="34"/>
  <c r="CW366" i="34"/>
  <c r="CZ366" i="34" s="1" a="1"/>
  <c r="CZ366" i="34" s="1"/>
  <c r="CX366" i="34"/>
  <c r="DA366" i="34" a="1"/>
  <c r="DA366" i="34" s="1"/>
  <c r="DC366" i="34"/>
  <c r="DF366" i="34" s="1" a="1"/>
  <c r="DF366" i="34" s="1"/>
  <c r="DD366" i="34"/>
  <c r="DG366" i="34" a="1"/>
  <c r="DG366" i="34" s="1"/>
  <c r="DI366" i="34"/>
  <c r="DM366" i="34" s="1" a="1"/>
  <c r="DJ366" i="34"/>
  <c r="DL366" i="34" a="1"/>
  <c r="DL366" i="34"/>
  <c r="DM366" i="34"/>
  <c r="DO366" i="34"/>
  <c r="DP366" i="34"/>
  <c r="DR366" i="34" a="1"/>
  <c r="DR366" i="34" s="1"/>
  <c r="DS366" i="34" a="1"/>
  <c r="DS366" i="34" s="1"/>
  <c r="DU366" i="34"/>
  <c r="DV366" i="34"/>
  <c r="DX366" i="34" a="1"/>
  <c r="DX366" i="34" s="1"/>
  <c r="DY366" i="34" a="1"/>
  <c r="DY366" i="34"/>
  <c r="EA366" i="34"/>
  <c r="EE366" i="34" s="1" a="1"/>
  <c r="EE366" i="34" s="1"/>
  <c r="EB366" i="34"/>
  <c r="BS367" i="34"/>
  <c r="BT367" i="34"/>
  <c r="BY367" i="34"/>
  <c r="BZ367" i="34"/>
  <c r="CE367" i="34"/>
  <c r="CF367" i="34"/>
  <c r="CI367" i="34" s="1" a="1"/>
  <c r="CI367" i="34" s="1"/>
  <c r="CK367" i="34"/>
  <c r="CN367" i="34" s="1" a="1"/>
  <c r="CN367" i="34" s="1"/>
  <c r="CL367" i="34"/>
  <c r="CO367" i="34" a="1"/>
  <c r="CO367" i="34" s="1"/>
  <c r="CQ367" i="34" a="1"/>
  <c r="CQ367" i="34"/>
  <c r="CR367" i="34"/>
  <c r="CT367" i="34" a="1"/>
  <c r="CT367" i="34" s="1"/>
  <c r="CU367" i="34" a="1"/>
  <c r="CU367" i="34" s="1"/>
  <c r="CW367" i="34"/>
  <c r="CX367" i="34"/>
  <c r="DC367" i="34"/>
  <c r="DD367" i="34"/>
  <c r="DI367" i="34"/>
  <c r="DM367" i="34" s="1" a="1"/>
  <c r="DJ367" i="34"/>
  <c r="DL367" i="34" a="1"/>
  <c r="DL367" i="34" s="1"/>
  <c r="DM367" i="34"/>
  <c r="DO367" i="34"/>
  <c r="DR367" i="34" s="1" a="1"/>
  <c r="DR367" i="34" s="1"/>
  <c r="DP367" i="34"/>
  <c r="DU367" i="34"/>
  <c r="DV367" i="34"/>
  <c r="DX367" i="34" a="1"/>
  <c r="DX367" i="34"/>
  <c r="DY367" i="34" a="1"/>
  <c r="DY367" i="34" s="1"/>
  <c r="EA367" i="34"/>
  <c r="EB367" i="34"/>
  <c r="BS368" i="34"/>
  <c r="BV368" i="34" s="1" a="1"/>
  <c r="BV368" i="34" s="1"/>
  <c r="BT368" i="34"/>
  <c r="BW368" i="34" a="1"/>
  <c r="BW368" i="34"/>
  <c r="BY368" i="34"/>
  <c r="BZ368" i="34"/>
  <c r="CB368" i="34" a="1"/>
  <c r="CB368" i="34" s="1"/>
  <c r="CC368" i="34" a="1"/>
  <c r="CC368" i="34" s="1"/>
  <c r="CE368" i="34"/>
  <c r="CF368" i="34"/>
  <c r="CK368" i="34"/>
  <c r="CL368" i="34"/>
  <c r="CQ368" i="34" a="1"/>
  <c r="CQ368" i="34" s="1"/>
  <c r="CR368" i="34"/>
  <c r="CU368" i="34" s="1" a="1"/>
  <c r="CU368" i="34" s="1"/>
  <c r="CW368" i="34"/>
  <c r="CZ368" i="34" s="1" a="1"/>
  <c r="CZ368" i="34" s="1"/>
  <c r="CX368" i="34"/>
  <c r="DA368" i="34" a="1"/>
  <c r="DA368" i="34" s="1"/>
  <c r="DC368" i="34"/>
  <c r="DG368" i="34" s="1" a="1"/>
  <c r="DG368" i="34" s="1"/>
  <c r="DD368" i="34"/>
  <c r="DF368" i="34" a="1"/>
  <c r="DF368" i="34"/>
  <c r="DI368" i="34"/>
  <c r="DJ368" i="34"/>
  <c r="DL368" i="34" a="1"/>
  <c r="DL368" i="34" s="1"/>
  <c r="DM368" i="34" a="1"/>
  <c r="DM368" i="34" s="1"/>
  <c r="DO368" i="34"/>
  <c r="DP368" i="34"/>
  <c r="DR368" i="34" a="1"/>
  <c r="DR368" i="34" s="1"/>
  <c r="DS368" i="34" a="1"/>
  <c r="DS368" i="34"/>
  <c r="DU368" i="34"/>
  <c r="DY368" i="34" s="1" a="1"/>
  <c r="DY368" i="34" s="1"/>
  <c r="DV368" i="34"/>
  <c r="EA368" i="34"/>
  <c r="EB368" i="34"/>
  <c r="BS369" i="34"/>
  <c r="BT369" i="34"/>
  <c r="BY369" i="34"/>
  <c r="CB369" i="34" s="1" a="1"/>
  <c r="CB369" i="34" s="1"/>
  <c r="BZ369" i="34"/>
  <c r="CC369" i="34" s="1" a="1"/>
  <c r="CC369" i="34" s="1"/>
  <c r="CE369" i="34"/>
  <c r="CH369" i="34" s="1" a="1"/>
  <c r="CH369" i="34" s="1"/>
  <c r="CF369" i="34"/>
  <c r="CI369" i="34" a="1"/>
  <c r="CI369" i="34" s="1"/>
  <c r="CK369" i="34"/>
  <c r="CO369" i="34" s="1" a="1"/>
  <c r="CL369" i="34"/>
  <c r="CN369" i="34" a="1"/>
  <c r="CN369" i="34"/>
  <c r="CO369" i="34"/>
  <c r="CQ369" i="34" a="1"/>
  <c r="CQ369" i="34" s="1"/>
  <c r="CR369" i="34"/>
  <c r="CW369" i="34"/>
  <c r="CX369" i="34"/>
  <c r="DC369" i="34"/>
  <c r="DG369" i="34" s="1" a="1"/>
  <c r="DG369" i="34" s="1"/>
  <c r="DD369" i="34"/>
  <c r="DF369" i="34" a="1"/>
  <c r="DF369" i="34" s="1"/>
  <c r="DI369" i="34"/>
  <c r="DL369" i="34" s="1" a="1"/>
  <c r="DL369" i="34" s="1"/>
  <c r="DJ369" i="34"/>
  <c r="DO369" i="34"/>
  <c r="DP369" i="34"/>
  <c r="DR369" i="34" a="1"/>
  <c r="DR369" i="34"/>
  <c r="DS369" i="34" a="1"/>
  <c r="DS369" i="34" s="1"/>
  <c r="DU369" i="34"/>
  <c r="DV369" i="34"/>
  <c r="EA369" i="34"/>
  <c r="ED369" i="34" s="1" a="1"/>
  <c r="EB369" i="34"/>
  <c r="ED369" i="34"/>
  <c r="EE369" i="34" a="1"/>
  <c r="EE369" i="34" s="1"/>
  <c r="BS370" i="34"/>
  <c r="BT370" i="34"/>
  <c r="BV370" i="34" a="1"/>
  <c r="BV370" i="34" s="1"/>
  <c r="BW370" i="34" a="1"/>
  <c r="BW370" i="34" s="1"/>
  <c r="BY370" i="34"/>
  <c r="BZ370" i="34"/>
  <c r="CE370" i="34"/>
  <c r="CF370" i="34"/>
  <c r="CK370" i="34"/>
  <c r="CO370" i="34" s="1" a="1"/>
  <c r="CO370" i="34" s="1"/>
  <c r="CL370" i="34"/>
  <c r="CQ370" i="34" a="1"/>
  <c r="CQ370" i="34"/>
  <c r="CT370" i="34" s="1" a="1"/>
  <c r="CT370" i="34" s="1"/>
  <c r="CR370" i="34"/>
  <c r="CU370" i="34" a="1"/>
  <c r="CU370" i="34" s="1"/>
  <c r="CW370" i="34"/>
  <c r="DA370" i="34" s="1" a="1"/>
  <c r="DA370" i="34" s="1"/>
  <c r="CX370" i="34"/>
  <c r="CZ370" i="34" a="1"/>
  <c r="CZ370" i="34"/>
  <c r="DC370" i="34"/>
  <c r="DD370" i="34"/>
  <c r="DF370" i="34" a="1"/>
  <c r="DF370" i="34" s="1"/>
  <c r="DG370" i="34" a="1"/>
  <c r="DG370" i="34" s="1"/>
  <c r="DI370" i="34"/>
  <c r="DJ370" i="34"/>
  <c r="DL370" i="34" a="1"/>
  <c r="DL370" i="34" s="1"/>
  <c r="DM370" i="34" a="1"/>
  <c r="DM370" i="34"/>
  <c r="DO370" i="34"/>
  <c r="DP370" i="34"/>
  <c r="DU370" i="34"/>
  <c r="DV370" i="34"/>
  <c r="EA370" i="34"/>
  <c r="ED370" i="34" s="1" a="1"/>
  <c r="ED370" i="34" s="1"/>
  <c r="EB370" i="34"/>
  <c r="EE370" i="34" a="1"/>
  <c r="EE370" i="34" s="1"/>
  <c r="BS371" i="34"/>
  <c r="BT371" i="34"/>
  <c r="BW371" i="34" s="1" a="1"/>
  <c r="BW371" i="34" s="1"/>
  <c r="BY371" i="34"/>
  <c r="CB371" i="34" s="1" a="1"/>
  <c r="CB371" i="34" s="1"/>
  <c r="BZ371" i="34"/>
  <c r="CC371" i="34" a="1"/>
  <c r="CC371" i="34" s="1"/>
  <c r="CE371" i="34"/>
  <c r="CI371" i="34" s="1" a="1"/>
  <c r="CI371" i="34" s="1"/>
  <c r="CF371" i="34"/>
  <c r="CH371" i="34" a="1"/>
  <c r="CH371" i="34" s="1"/>
  <c r="CK371" i="34"/>
  <c r="CL371" i="34"/>
  <c r="CN371" i="34" a="1"/>
  <c r="CN371" i="34" s="1"/>
  <c r="CO371" i="34" a="1"/>
  <c r="CO371" i="34" s="1"/>
  <c r="CQ371" i="34" a="1"/>
  <c r="CQ371" i="34" s="1"/>
  <c r="CR371" i="34"/>
  <c r="CW371" i="34"/>
  <c r="DA371" i="34" s="1" a="1"/>
  <c r="CX371" i="34"/>
  <c r="DA371" i="34"/>
  <c r="DC371" i="34"/>
  <c r="DF371" i="34" s="1" a="1"/>
  <c r="DF371" i="34" s="1"/>
  <c r="DD371" i="34"/>
  <c r="DI371" i="34"/>
  <c r="DJ371" i="34"/>
  <c r="DL371" i="34" a="1"/>
  <c r="DL371" i="34"/>
  <c r="DM371" i="34" a="1"/>
  <c r="DM371" i="34" s="1"/>
  <c r="DO371" i="34"/>
  <c r="DP371" i="34"/>
  <c r="DU371" i="34"/>
  <c r="DX371" i="34" s="1" a="1"/>
  <c r="DX371" i="34" s="1"/>
  <c r="DV371" i="34"/>
  <c r="DY371" i="34" a="1"/>
  <c r="DY371" i="34" s="1"/>
  <c r="EA371" i="34"/>
  <c r="EB371" i="34"/>
  <c r="ED371" i="34" a="1"/>
  <c r="ED371" i="34" s="1"/>
  <c r="EE371" i="34" a="1"/>
  <c r="EE371" i="34" s="1"/>
  <c r="BS372" i="34"/>
  <c r="BT372" i="34"/>
  <c r="BY372" i="34"/>
  <c r="BZ372" i="34"/>
  <c r="CB372" i="34" s="1" a="1"/>
  <c r="CB372" i="34" s="1"/>
  <c r="CE372" i="34"/>
  <c r="CI372" i="34" s="1" a="1"/>
  <c r="CF372" i="34"/>
  <c r="CH372" i="34" a="1"/>
  <c r="CH372" i="34" s="1"/>
  <c r="CI372" i="34"/>
  <c r="CK372" i="34"/>
  <c r="CN372" i="34" s="1" a="1"/>
  <c r="CN372" i="34" s="1"/>
  <c r="CL372" i="34"/>
  <c r="CQ372" i="34" a="1"/>
  <c r="CQ372" i="34" s="1"/>
  <c r="CR372" i="34"/>
  <c r="CT372" i="34" a="1"/>
  <c r="CT372" i="34" s="1"/>
  <c r="CW372" i="34"/>
  <c r="CX372" i="34"/>
  <c r="CZ372" i="34" a="1"/>
  <c r="CZ372" i="34" s="1"/>
  <c r="DA372" i="34" a="1"/>
  <c r="DA372" i="34" s="1"/>
  <c r="DC372" i="34"/>
  <c r="DD372" i="34"/>
  <c r="DF372" i="34" a="1"/>
  <c r="DF372" i="34" s="1"/>
  <c r="DG372" i="34" a="1"/>
  <c r="DG372" i="34"/>
  <c r="DI372" i="34"/>
  <c r="DJ372" i="34"/>
  <c r="DO372" i="34"/>
  <c r="DP372" i="34"/>
  <c r="DU372" i="34"/>
  <c r="DX372" i="34" s="1" a="1"/>
  <c r="DX372" i="34" s="1"/>
  <c r="DV372" i="34"/>
  <c r="EA372" i="34"/>
  <c r="ED372" i="34" s="1" a="1"/>
  <c r="ED372" i="34" s="1"/>
  <c r="EB372" i="34"/>
  <c r="EE372" i="34" s="1" a="1"/>
  <c r="EE372" i="34" s="1"/>
  <c r="BS373" i="34"/>
  <c r="BV373" i="34" s="1" a="1"/>
  <c r="BV373" i="34" s="1"/>
  <c r="BT373" i="34"/>
  <c r="BW373" i="34" a="1"/>
  <c r="BW373" i="34" s="1"/>
  <c r="BY373" i="34"/>
  <c r="BZ373" i="34"/>
  <c r="CB373" i="34" s="1" a="1"/>
  <c r="CB373" i="34"/>
  <c r="CE373" i="34"/>
  <c r="CF373" i="34"/>
  <c r="CH373" i="34" a="1"/>
  <c r="CH373" i="34" s="1"/>
  <c r="CI373" i="34" a="1"/>
  <c r="CI373" i="34" s="1"/>
  <c r="CK373" i="34"/>
  <c r="CL373" i="34"/>
  <c r="CN373" i="34" a="1"/>
  <c r="CN373" i="34" s="1"/>
  <c r="CO373" i="34" a="1"/>
  <c r="CO373" i="34"/>
  <c r="CQ373" i="34" a="1"/>
  <c r="CQ373" i="34" s="1"/>
  <c r="CR373" i="34"/>
  <c r="CW373" i="34"/>
  <c r="CZ373" i="34" s="1" a="1"/>
  <c r="CZ373" i="34" s="1"/>
  <c r="CX373" i="34"/>
  <c r="DC373" i="34"/>
  <c r="DD373" i="34"/>
  <c r="DF373" i="34" a="1"/>
  <c r="DF373" i="34" s="1"/>
  <c r="DG373" i="34" a="1"/>
  <c r="DG373" i="34" s="1"/>
  <c r="DI373" i="34"/>
  <c r="DJ373" i="34"/>
  <c r="DO373" i="34"/>
  <c r="DR373" i="34" s="1" a="1"/>
  <c r="DR373" i="34" s="1"/>
  <c r="DP373" i="34"/>
  <c r="DS373" i="34" a="1"/>
  <c r="DS373" i="34" s="1"/>
  <c r="DU373" i="34"/>
  <c r="DV373" i="34"/>
  <c r="DX373" i="34" s="1" a="1"/>
  <c r="DX373" i="34" s="1"/>
  <c r="EA373" i="34"/>
  <c r="EE373" i="34" s="1" a="1"/>
  <c r="EE373" i="34" s="1"/>
  <c r="EB373" i="34"/>
  <c r="ED373" i="34" s="1" a="1"/>
  <c r="ED373" i="34" s="1"/>
  <c r="BS374" i="34"/>
  <c r="BT374" i="34"/>
  <c r="BV374" i="34" s="1" a="1"/>
  <c r="BV374" i="34" s="1"/>
  <c r="BW374" i="34" a="1"/>
  <c r="BW374" i="34" s="1"/>
  <c r="BY374" i="34"/>
  <c r="CC374" i="34" s="1" a="1"/>
  <c r="BZ374" i="34"/>
  <c r="CB374" i="34" a="1"/>
  <c r="CB374" i="34" s="1"/>
  <c r="CC374" i="34"/>
  <c r="CE374" i="34"/>
  <c r="CH374" i="34" s="1" a="1"/>
  <c r="CH374" i="34" s="1"/>
  <c r="CF374" i="34"/>
  <c r="CK374" i="34"/>
  <c r="CL374" i="34"/>
  <c r="CN374" i="34" a="1"/>
  <c r="CN374" i="34" s="1"/>
  <c r="CO374" i="34" a="1"/>
  <c r="CO374" i="34" s="1"/>
  <c r="CQ374" i="34" a="1"/>
  <c r="CQ374" i="34" s="1"/>
  <c r="CU374" i="34" s="1" a="1"/>
  <c r="CU374" i="34" s="1"/>
  <c r="CR374" i="34"/>
  <c r="CT374" i="34" a="1"/>
  <c r="CT374" i="34" s="1"/>
  <c r="CW374" i="34"/>
  <c r="CX374" i="34"/>
  <c r="CZ374" i="34" a="1"/>
  <c r="CZ374" i="34" s="1"/>
  <c r="DA374" i="34" a="1"/>
  <c r="DA374" i="34"/>
  <c r="DC374" i="34"/>
  <c r="DD374" i="34"/>
  <c r="DI374" i="34"/>
  <c r="DJ374" i="34"/>
  <c r="DO374" i="34"/>
  <c r="DR374" i="34" s="1" a="1"/>
  <c r="DR374" i="34" s="1"/>
  <c r="DP374" i="34"/>
  <c r="DU374" i="34"/>
  <c r="DX374" i="34" s="1" a="1"/>
  <c r="DX374" i="34" s="1"/>
  <c r="DV374" i="34"/>
  <c r="DY374" i="34" s="1" a="1"/>
  <c r="DY374" i="34" s="1"/>
  <c r="EA374" i="34"/>
  <c r="ED374" i="34" s="1" a="1"/>
  <c r="ED374" i="34" s="1"/>
  <c r="EB374" i="34"/>
  <c r="EE374" i="34" a="1"/>
  <c r="EE374" i="34" s="1"/>
  <c r="BS375" i="34"/>
  <c r="BT375" i="34"/>
  <c r="BV375" i="34" s="1" a="1"/>
  <c r="BV375" i="34" s="1"/>
  <c r="BY375" i="34"/>
  <c r="BZ375" i="34"/>
  <c r="CB375" i="34" a="1"/>
  <c r="CB375" i="34" s="1"/>
  <c r="CC375" i="34" a="1"/>
  <c r="CC375" i="34" s="1"/>
  <c r="CE375" i="34"/>
  <c r="CF375" i="34"/>
  <c r="CH375" i="34" a="1"/>
  <c r="CH375" i="34" s="1"/>
  <c r="CI375" i="34" a="1"/>
  <c r="CI375" i="34"/>
  <c r="CK375" i="34"/>
  <c r="CL375" i="34"/>
  <c r="CQ375" i="34" a="1"/>
  <c r="CQ375" i="34" s="1"/>
  <c r="CR375" i="34"/>
  <c r="CW375" i="34"/>
  <c r="CX375" i="34"/>
  <c r="CZ375" i="34" a="1"/>
  <c r="CZ375" i="34" s="1"/>
  <c r="DA375" i="34" a="1"/>
  <c r="DA375" i="34" s="1"/>
  <c r="DC375" i="34"/>
  <c r="DD375" i="34"/>
  <c r="DI375" i="34"/>
  <c r="DJ375" i="34"/>
  <c r="DL375" i="34" s="1" a="1"/>
  <c r="DL375" i="34" s="1"/>
  <c r="DM375" i="34" a="1"/>
  <c r="DM375" i="34"/>
  <c r="DO375" i="34"/>
  <c r="DS375" i="34" s="1" a="1"/>
  <c r="DS375" i="34" s="1"/>
  <c r="DP375" i="34"/>
  <c r="DR375" i="34" s="1" a="1"/>
  <c r="DR375" i="34" s="1"/>
  <c r="DU375" i="34"/>
  <c r="DY375" i="34" s="1" a="1"/>
  <c r="DY375" i="34" s="1"/>
  <c r="DV375" i="34"/>
  <c r="DX375" i="34" s="1" a="1"/>
  <c r="DX375" i="34"/>
  <c r="EA375" i="34"/>
  <c r="EB375" i="34"/>
  <c r="ED375" i="34" s="1" a="1"/>
  <c r="ED375" i="34" s="1"/>
  <c r="EE375" i="34" a="1"/>
  <c r="EE375" i="34" s="1"/>
  <c r="BS376" i="34"/>
  <c r="BW376" i="34" s="1" a="1"/>
  <c r="BT376" i="34"/>
  <c r="BV376" i="34" a="1"/>
  <c r="BV376" i="34" s="1"/>
  <c r="BW376" i="34"/>
  <c r="BY376" i="34"/>
  <c r="CB376" i="34" s="1" a="1"/>
  <c r="CB376" i="34" s="1"/>
  <c r="BZ376" i="34"/>
  <c r="CE376" i="34"/>
  <c r="CH376" i="34" s="1" a="1"/>
  <c r="CH376" i="34" s="1"/>
  <c r="CF376" i="34"/>
  <c r="CI376" i="34" a="1"/>
  <c r="CI376" i="34" s="1"/>
  <c r="CK376" i="34"/>
  <c r="CL376" i="34"/>
  <c r="CQ376" i="34" a="1"/>
  <c r="CQ376" i="34"/>
  <c r="CR376" i="34"/>
  <c r="CT376" i="34" a="1"/>
  <c r="CT376" i="34"/>
  <c r="CU376" i="34" a="1"/>
  <c r="CU376" i="34" s="1"/>
  <c r="CW376" i="34"/>
  <c r="CX376" i="34"/>
  <c r="DC376" i="34"/>
  <c r="DG376" i="34" s="1" a="1"/>
  <c r="DG376" i="34" s="1"/>
  <c r="DD376" i="34"/>
  <c r="DF376" i="34" a="1"/>
  <c r="DF376" i="34" s="1"/>
  <c r="DI376" i="34"/>
  <c r="DJ376" i="34"/>
  <c r="DL376" i="34" s="1" a="1"/>
  <c r="DL376" i="34" s="1"/>
  <c r="DO376" i="34"/>
  <c r="DP376" i="34"/>
  <c r="DS376" i="34" s="1" a="1"/>
  <c r="DS376" i="34" s="1"/>
  <c r="DU376" i="34"/>
  <c r="DX376" i="34" s="1" a="1"/>
  <c r="DX376" i="34" s="1"/>
  <c r="DV376" i="34"/>
  <c r="EA376" i="34"/>
  <c r="EB376" i="34"/>
  <c r="ED376" i="34" s="1" a="1"/>
  <c r="ED376" i="34" s="1"/>
  <c r="BS377" i="34"/>
  <c r="BT377" i="34"/>
  <c r="BV377" i="34" a="1"/>
  <c r="BV377" i="34" s="1"/>
  <c r="BW377" i="34" a="1"/>
  <c r="BW377" i="34" s="1"/>
  <c r="BY377" i="34"/>
  <c r="BZ377" i="34"/>
  <c r="CB377" i="34" a="1"/>
  <c r="CB377" i="34" s="1"/>
  <c r="CC377" i="34" a="1"/>
  <c r="CC377" i="34" s="1"/>
  <c r="CE377" i="34"/>
  <c r="CF377" i="34"/>
  <c r="CK377" i="34"/>
  <c r="CO377" i="34" s="1" a="1"/>
  <c r="CO377" i="34" s="1"/>
  <c r="CL377" i="34"/>
  <c r="CN377" i="34" a="1"/>
  <c r="CN377" i="34" s="1"/>
  <c r="CQ377" i="34" a="1"/>
  <c r="CQ377" i="34" s="1"/>
  <c r="CT377" i="34" s="1" a="1"/>
  <c r="CT377" i="34" s="1"/>
  <c r="CR377" i="34"/>
  <c r="CU377" i="34" a="1"/>
  <c r="CU377" i="34" s="1"/>
  <c r="CW377" i="34"/>
  <c r="CX377" i="34"/>
  <c r="DC377" i="34"/>
  <c r="DD377" i="34"/>
  <c r="DF377" i="34" s="1" a="1"/>
  <c r="DF377" i="34"/>
  <c r="DG377" i="34" a="1"/>
  <c r="DG377" i="34" s="1"/>
  <c r="DI377" i="34"/>
  <c r="DL377" i="34" s="1" a="1"/>
  <c r="DL377" i="34" s="1"/>
  <c r="DJ377" i="34"/>
  <c r="DO377" i="34"/>
  <c r="DS377" i="34" s="1" a="1"/>
  <c r="DS377" i="34" s="1"/>
  <c r="DP377" i="34"/>
  <c r="DR377" i="34" s="1" a="1"/>
  <c r="DR377" i="34"/>
  <c r="DU377" i="34"/>
  <c r="DV377" i="34"/>
  <c r="DY377" i="34" s="1" a="1"/>
  <c r="DY377" i="34" s="1"/>
  <c r="DX377" i="34" a="1"/>
  <c r="DX377" i="34" s="1"/>
  <c r="EA377" i="34"/>
  <c r="EE377" i="34" s="1" a="1"/>
  <c r="EB377" i="34"/>
  <c r="EE377" i="34"/>
  <c r="BS378" i="34"/>
  <c r="BT378" i="34"/>
  <c r="BY378" i="34"/>
  <c r="CC378" i="34" s="1" a="1"/>
  <c r="CC378" i="34" s="1"/>
  <c r="BZ378" i="34"/>
  <c r="CB378" i="34" a="1"/>
  <c r="CB378" i="34"/>
  <c r="CE378" i="34"/>
  <c r="CH378" i="34" s="1" a="1"/>
  <c r="CH378" i="34" s="1"/>
  <c r="CF378" i="34"/>
  <c r="CK378" i="34"/>
  <c r="CL378" i="34"/>
  <c r="CN378" i="34" s="1" a="1"/>
  <c r="CN378" i="34"/>
  <c r="CO378" i="34" a="1"/>
  <c r="CO378" i="34" s="1"/>
  <c r="CQ378" i="34" a="1"/>
  <c r="CQ378" i="34"/>
  <c r="CR378" i="34"/>
  <c r="CW378" i="34"/>
  <c r="CX378" i="34"/>
  <c r="DC378" i="34"/>
  <c r="DD378" i="34"/>
  <c r="DF378" i="34" s="1" a="1"/>
  <c r="DF378" i="34" s="1"/>
  <c r="DG378" i="34" a="1"/>
  <c r="DG378" i="34" s="1"/>
  <c r="DI378" i="34"/>
  <c r="DL378" i="34" s="1" a="1"/>
  <c r="DL378" i="34" s="1"/>
  <c r="DJ378" i="34"/>
  <c r="DM378" i="34" s="1" a="1"/>
  <c r="DM378" i="34" s="1"/>
  <c r="DO378" i="34"/>
  <c r="DR378" i="34" s="1" a="1"/>
  <c r="DR378" i="34" s="1"/>
  <c r="DP378" i="34"/>
  <c r="DS378" i="34" a="1"/>
  <c r="DS378" i="34" s="1"/>
  <c r="DU378" i="34"/>
  <c r="DX378" i="34" s="1" a="1"/>
  <c r="DX378" i="34" s="1"/>
  <c r="DV378" i="34"/>
  <c r="EA378" i="34"/>
  <c r="EB378" i="34"/>
  <c r="ED378" i="34" a="1"/>
  <c r="ED378" i="34"/>
  <c r="EE378" i="34" a="1"/>
  <c r="EE378" i="34" s="1"/>
  <c r="BS379" i="34"/>
  <c r="BT379" i="34"/>
  <c r="BV379" i="34" a="1"/>
  <c r="BV379" i="34" s="1"/>
  <c r="BW379" i="34" a="1"/>
  <c r="BW379" i="34" s="1"/>
  <c r="BY379" i="34"/>
  <c r="BZ379" i="34"/>
  <c r="CE379" i="34"/>
  <c r="CI379" i="34" s="1" a="1"/>
  <c r="CI379" i="34" s="1"/>
  <c r="CF379" i="34"/>
  <c r="CH379" i="34" a="1"/>
  <c r="CH379" i="34" s="1"/>
  <c r="CK379" i="34"/>
  <c r="CO379" i="34" s="1" a="1"/>
  <c r="CO379" i="34" s="1"/>
  <c r="CL379" i="34"/>
  <c r="CN379" i="34" a="1"/>
  <c r="CN379" i="34" s="1"/>
  <c r="CQ379" i="34" a="1"/>
  <c r="CQ379" i="34"/>
  <c r="CU379" i="34" s="1" a="1"/>
  <c r="CU379" i="34" s="1"/>
  <c r="CR379" i="34"/>
  <c r="CT379" i="34" a="1"/>
  <c r="CT379" i="34" s="1"/>
  <c r="CW379" i="34"/>
  <c r="CX379" i="34"/>
  <c r="CZ379" i="34" s="1" a="1"/>
  <c r="CZ379" i="34"/>
  <c r="DA379" i="34" a="1"/>
  <c r="DA379" i="34" s="1"/>
  <c r="DC379" i="34"/>
  <c r="DF379" i="34" s="1" a="1"/>
  <c r="DF379" i="34" s="1"/>
  <c r="DD379" i="34"/>
  <c r="DI379" i="34"/>
  <c r="DM379" i="34" s="1" a="1"/>
  <c r="DM379" i="34" s="1"/>
  <c r="DJ379" i="34"/>
  <c r="DL379" i="34" a="1"/>
  <c r="DL379" i="34" s="1"/>
  <c r="DO379" i="34"/>
  <c r="DP379" i="34"/>
  <c r="DR379" i="34" s="1" a="1"/>
  <c r="DR379" i="34" s="1"/>
  <c r="DU379" i="34"/>
  <c r="DV379" i="34"/>
  <c r="DX379" i="34" a="1"/>
  <c r="DX379" i="34" s="1"/>
  <c r="DY379" i="34" a="1"/>
  <c r="DY379" i="34" s="1"/>
  <c r="EA379" i="34"/>
  <c r="EB379" i="34"/>
  <c r="EE379" i="34" s="1" a="1"/>
  <c r="EE379" i="34"/>
  <c r="BS380" i="34"/>
  <c r="BT380" i="34"/>
  <c r="BY380" i="34"/>
  <c r="BZ380" i="34"/>
  <c r="CB380" i="34" a="1"/>
  <c r="CB380" i="34" s="1"/>
  <c r="CC380" i="34" a="1"/>
  <c r="CC380" i="34" s="1"/>
  <c r="CE380" i="34"/>
  <c r="CF380" i="34"/>
  <c r="CH380" i="34" a="1"/>
  <c r="CH380" i="34" s="1"/>
  <c r="CI380" i="34" a="1"/>
  <c r="CI380" i="34"/>
  <c r="CK380" i="34"/>
  <c r="CN380" i="34" s="1" a="1"/>
  <c r="CN380" i="34" s="1"/>
  <c r="CL380" i="34"/>
  <c r="CQ380" i="34" a="1"/>
  <c r="CQ380" i="34"/>
  <c r="CT380" i="34" s="1" a="1"/>
  <c r="CT380" i="34" s="1"/>
  <c r="CR380" i="34"/>
  <c r="CW380" i="34"/>
  <c r="CZ380" i="34" s="1" a="1"/>
  <c r="CZ380" i="34" s="1"/>
  <c r="CX380" i="34"/>
  <c r="DC380" i="34"/>
  <c r="DF380" i="34" s="1" a="1"/>
  <c r="DF380" i="34" s="1"/>
  <c r="DD380" i="34"/>
  <c r="DG380" i="34" s="1" a="1"/>
  <c r="DG380" i="34" s="1"/>
  <c r="DI380" i="34"/>
  <c r="DJ380" i="34"/>
  <c r="DL380" i="34" a="1"/>
  <c r="DL380" i="34" s="1"/>
  <c r="DM380" i="34" a="1"/>
  <c r="DM380" i="34" s="1"/>
  <c r="DO380" i="34"/>
  <c r="DS380" i="34" s="1" a="1"/>
  <c r="DP380" i="34"/>
  <c r="DR380" i="34" a="1"/>
  <c r="DR380" i="34" s="1"/>
  <c r="DS380" i="34"/>
  <c r="DU380" i="34"/>
  <c r="DV380" i="34"/>
  <c r="DY380" i="34" s="1" a="1"/>
  <c r="DY380" i="34" s="1"/>
  <c r="DX380" i="34" a="1"/>
  <c r="DX380" i="34" s="1"/>
  <c r="EA380" i="34"/>
  <c r="EB380" i="34"/>
  <c r="ED380" i="34" a="1"/>
  <c r="ED380" i="34" s="1"/>
  <c r="EE380" i="34" a="1"/>
  <c r="EE380" i="34" s="1"/>
  <c r="BS381" i="34"/>
  <c r="BT381" i="34"/>
  <c r="BY381" i="34"/>
  <c r="BZ381" i="34"/>
  <c r="CE381" i="34"/>
  <c r="CF381" i="34"/>
  <c r="CH381" i="34" a="1"/>
  <c r="CH381" i="34" s="1"/>
  <c r="CI381" i="34" a="1"/>
  <c r="CI381" i="34" s="1"/>
  <c r="CK381" i="34"/>
  <c r="CL381" i="34"/>
  <c r="CN381" i="34" a="1"/>
  <c r="CN381" i="34" s="1"/>
  <c r="CO381" i="34" a="1"/>
  <c r="CO381" i="34" s="1"/>
  <c r="CQ381" i="34" a="1"/>
  <c r="CQ381" i="34"/>
  <c r="CT381" i="34" s="1" a="1"/>
  <c r="CT381" i="34" s="1"/>
  <c r="CR381" i="34"/>
  <c r="CW381" i="34"/>
  <c r="CX381" i="34"/>
  <c r="CZ381" i="34" s="1" a="1"/>
  <c r="CZ381" i="34" s="1"/>
  <c r="DC381" i="34"/>
  <c r="DD381" i="34"/>
  <c r="DG381" i="34" s="1" a="1"/>
  <c r="DG381" i="34" s="1"/>
  <c r="DF381" i="34" a="1"/>
  <c r="DF381" i="34" s="1"/>
  <c r="DI381" i="34"/>
  <c r="DM381" i="34" s="1" a="1"/>
  <c r="DM381" i="34" s="1"/>
  <c r="DJ381" i="34"/>
  <c r="DL381" i="34" a="1"/>
  <c r="DL381" i="34"/>
  <c r="DO381" i="34"/>
  <c r="DR381" i="34" s="1" a="1"/>
  <c r="DR381" i="34" s="1"/>
  <c r="DP381" i="34"/>
  <c r="DU381" i="34"/>
  <c r="DV381" i="34"/>
  <c r="EA381" i="34"/>
  <c r="ED381" i="34" s="1" a="1"/>
  <c r="ED381" i="34" s="1"/>
  <c r="EB381" i="34"/>
  <c r="EE381" i="34" a="1"/>
  <c r="EE381" i="34" s="1"/>
  <c r="BS382" i="34"/>
  <c r="BT382" i="34"/>
  <c r="BV382" i="34" s="1" a="1"/>
  <c r="BV382" i="34" s="1"/>
  <c r="BW382" i="34" a="1"/>
  <c r="BW382" i="34" s="1"/>
  <c r="BY382" i="34"/>
  <c r="CB382" i="34" s="1" a="1"/>
  <c r="CB382" i="34" s="1"/>
  <c r="BZ382" i="34"/>
  <c r="CE382" i="34"/>
  <c r="CF382" i="34"/>
  <c r="CH382" i="34" s="1" a="1"/>
  <c r="CH382" i="34" s="1"/>
  <c r="CK382" i="34"/>
  <c r="CL382" i="34"/>
  <c r="CO382" i="34" s="1" a="1"/>
  <c r="CO382" i="34" s="1"/>
  <c r="CQ382" i="34" a="1"/>
  <c r="CQ382" i="34" s="1"/>
  <c r="CR382" i="34"/>
  <c r="CW382" i="34"/>
  <c r="CX382" i="34"/>
  <c r="CZ382" i="34" a="1"/>
  <c r="CZ382" i="34" s="1"/>
  <c r="DA382" i="34" a="1"/>
  <c r="DA382" i="34" s="1"/>
  <c r="DC382" i="34"/>
  <c r="DF382" i="34" s="1" a="1"/>
  <c r="DF382" i="34" s="1"/>
  <c r="DD382" i="34"/>
  <c r="DI382" i="34"/>
  <c r="DM382" i="34" s="1" a="1"/>
  <c r="DM382" i="34" s="1"/>
  <c r="DJ382" i="34"/>
  <c r="DL382" i="34" a="1"/>
  <c r="DL382" i="34" s="1"/>
  <c r="DO382" i="34"/>
  <c r="DS382" i="34" s="1" a="1"/>
  <c r="DS382" i="34" s="1"/>
  <c r="DP382" i="34"/>
  <c r="DR382" i="34" a="1"/>
  <c r="DR382" i="34" s="1"/>
  <c r="DU382" i="34"/>
  <c r="DV382" i="34"/>
  <c r="DX382" i="34" s="1" a="1"/>
  <c r="DX382" i="34" s="1"/>
  <c r="DY382" i="34" a="1"/>
  <c r="DY382" i="34" s="1"/>
  <c r="EA382" i="34"/>
  <c r="ED382" i="34" s="1" a="1"/>
  <c r="ED382" i="34" s="1"/>
  <c r="EB382" i="34"/>
  <c r="BS383" i="34"/>
  <c r="BT383" i="34"/>
  <c r="BY383" i="34"/>
  <c r="BZ383" i="34"/>
  <c r="CB383" i="34" a="1"/>
  <c r="CB383" i="34" s="1"/>
  <c r="CC383" i="34" a="1"/>
  <c r="CC383" i="34" s="1"/>
  <c r="CE383" i="34"/>
  <c r="CF383" i="34"/>
  <c r="CH383" i="34" a="1"/>
  <c r="CH383" i="34" s="1"/>
  <c r="CI383" i="34" a="1"/>
  <c r="CI383" i="34" s="1"/>
  <c r="CK383" i="34"/>
  <c r="CN383" i="34" s="1" a="1"/>
  <c r="CN383" i="34" s="1"/>
  <c r="CL383" i="34"/>
  <c r="CQ383" i="34" a="1"/>
  <c r="CQ383" i="34" s="1"/>
  <c r="CR383" i="34"/>
  <c r="CW383" i="34"/>
  <c r="CX383" i="34"/>
  <c r="DA383" i="34" s="1" a="1"/>
  <c r="DA383" i="34" s="1"/>
  <c r="DC383" i="34"/>
  <c r="DG383" i="34" s="1" a="1"/>
  <c r="DG383" i="34" s="1"/>
  <c r="DD383" i="34"/>
  <c r="DF383" i="34" a="1"/>
  <c r="DF383" i="34"/>
  <c r="DI383" i="34"/>
  <c r="DL383" i="34" s="1" a="1"/>
  <c r="DL383" i="34" s="1"/>
  <c r="DJ383" i="34"/>
  <c r="DO383" i="34"/>
  <c r="DP383" i="34"/>
  <c r="DU383" i="34"/>
  <c r="DX383" i="34" s="1" a="1"/>
  <c r="DX383" i="34" s="1"/>
  <c r="DV383" i="34"/>
  <c r="DY383" i="34" a="1"/>
  <c r="DY383" i="34" s="1"/>
  <c r="EA383" i="34"/>
  <c r="EB383" i="34"/>
  <c r="ED383" i="34" s="1" a="1"/>
  <c r="ED383" i="34"/>
  <c r="EE383" i="34" a="1"/>
  <c r="EE383" i="34" s="1"/>
  <c r="BS384" i="34"/>
  <c r="BV384" i="34" s="1" a="1"/>
  <c r="BV384" i="34" s="1"/>
  <c r="BT384" i="34"/>
  <c r="BW384" i="34" a="1"/>
  <c r="BW384" i="34"/>
  <c r="BY384" i="34"/>
  <c r="BZ384" i="34"/>
  <c r="CB384" i="34" s="1" a="1"/>
  <c r="CB384" i="34" s="1"/>
  <c r="CE384" i="34"/>
  <c r="CF384" i="34"/>
  <c r="CI384" i="34" s="1" a="1"/>
  <c r="CI384" i="34" s="1"/>
  <c r="CK384" i="34"/>
  <c r="CO384" i="34" s="1" a="1"/>
  <c r="CO384" i="34" s="1"/>
  <c r="CL384" i="34"/>
  <c r="CN384" i="34" a="1"/>
  <c r="CN384" i="34"/>
  <c r="CQ384" i="34" a="1"/>
  <c r="CQ384" i="34" s="1"/>
  <c r="CT384" i="34" s="1" a="1"/>
  <c r="CT384" i="34" s="1"/>
  <c r="CR384" i="34"/>
  <c r="CU384" i="34" a="1"/>
  <c r="CU384" i="34" s="1"/>
  <c r="CW384" i="34"/>
  <c r="CZ384" i="34" s="1" a="1"/>
  <c r="CZ384" i="34" s="1"/>
  <c r="CX384" i="34"/>
  <c r="DC384" i="34"/>
  <c r="DG384" i="34" s="1" a="1"/>
  <c r="DG384" i="34" s="1"/>
  <c r="DD384" i="34"/>
  <c r="DF384" i="34" a="1"/>
  <c r="DF384" i="34" s="1"/>
  <c r="DI384" i="34"/>
  <c r="DM384" i="34" s="1" a="1"/>
  <c r="DM384" i="34" s="1"/>
  <c r="DJ384" i="34"/>
  <c r="DL384" i="34" a="1"/>
  <c r="DL384" i="34" s="1"/>
  <c r="DO384" i="34"/>
  <c r="DP384" i="34"/>
  <c r="DR384" i="34" a="1"/>
  <c r="DR384" i="34"/>
  <c r="DS384" i="34" a="1"/>
  <c r="DS384" i="34" s="1"/>
  <c r="DU384" i="34"/>
  <c r="DX384" i="34" s="1" a="1"/>
  <c r="DX384" i="34" s="1"/>
  <c r="DV384" i="34"/>
  <c r="EA384" i="34"/>
  <c r="EB384" i="34"/>
  <c r="BS385" i="34"/>
  <c r="BT385" i="34"/>
  <c r="BV385" i="34" a="1"/>
  <c r="BV385" i="34" s="1"/>
  <c r="BW385" i="34" a="1"/>
  <c r="BW385" i="34" s="1"/>
  <c r="BY385" i="34"/>
  <c r="BZ385" i="34"/>
  <c r="CB385" i="34" a="1"/>
  <c r="CB385" i="34" s="1"/>
  <c r="CC385" i="34" a="1"/>
  <c r="CC385" i="34" s="1"/>
  <c r="CE385" i="34"/>
  <c r="CH385" i="34" s="1" a="1"/>
  <c r="CH385" i="34" s="1"/>
  <c r="CF385" i="34"/>
  <c r="CI385" i="34" s="1" a="1"/>
  <c r="CI385" i="34" s="1"/>
  <c r="CK385" i="34"/>
  <c r="CO385" i="34" s="1" a="1"/>
  <c r="CO385" i="34" s="1"/>
  <c r="CL385" i="34"/>
  <c r="CN385" i="34" a="1"/>
  <c r="CN385" i="34" s="1"/>
  <c r="CQ385" i="34" a="1"/>
  <c r="CQ385" i="34" s="1"/>
  <c r="CU385" i="34" s="1" a="1"/>
  <c r="CU385" i="34" s="1"/>
  <c r="CR385" i="34"/>
  <c r="CW385" i="34"/>
  <c r="DA385" i="34" s="1" a="1"/>
  <c r="DA385" i="34" s="1"/>
  <c r="CX385" i="34"/>
  <c r="CZ385" i="34" a="1"/>
  <c r="CZ385" i="34"/>
  <c r="DC385" i="34"/>
  <c r="DF385" i="34" s="1" a="1"/>
  <c r="DF385" i="34" s="1"/>
  <c r="DD385" i="34"/>
  <c r="DI385" i="34"/>
  <c r="DJ385" i="34"/>
  <c r="DO385" i="34"/>
  <c r="DR385" i="34" s="1" a="1"/>
  <c r="DR385" i="34" s="1"/>
  <c r="DP385" i="34"/>
  <c r="DS385" i="34" a="1"/>
  <c r="DS385" i="34" s="1"/>
  <c r="DU385" i="34"/>
  <c r="DV385" i="34"/>
  <c r="DX385" i="34" s="1" a="1"/>
  <c r="DX385" i="34" s="1"/>
  <c r="DY385" i="34" a="1"/>
  <c r="DY385" i="34" s="1"/>
  <c r="EA385" i="34"/>
  <c r="ED385" i="34" s="1" a="1"/>
  <c r="ED385" i="34" s="1"/>
  <c r="EB385" i="34"/>
  <c r="EE385" i="34" a="1"/>
  <c r="EE385" i="34"/>
  <c r="BS386" i="34"/>
  <c r="BT386" i="34"/>
  <c r="BV386" i="34" s="1" a="1"/>
  <c r="BV386" i="34" s="1"/>
  <c r="BY386" i="34"/>
  <c r="BZ386" i="34"/>
  <c r="CE386" i="34"/>
  <c r="CF386" i="34"/>
  <c r="CI386" i="34" s="1" a="1"/>
  <c r="CI386" i="34" s="1"/>
  <c r="CH386" i="34" a="1"/>
  <c r="CH386" i="34"/>
  <c r="CK386" i="34"/>
  <c r="CN386" i="34" s="1" a="1"/>
  <c r="CN386" i="34" s="1"/>
  <c r="CL386" i="34"/>
  <c r="CQ386" i="34" a="1"/>
  <c r="CQ386" i="34" s="1"/>
  <c r="CR386" i="34"/>
  <c r="CW386" i="34"/>
  <c r="DA386" i="34" s="1" a="1"/>
  <c r="DA386" i="34" s="1"/>
  <c r="CX386" i="34"/>
  <c r="CZ386" i="34" a="1"/>
  <c r="CZ386" i="34" s="1"/>
  <c r="DC386" i="34"/>
  <c r="DG386" i="34" s="1" a="1"/>
  <c r="DG386" i="34" s="1"/>
  <c r="DD386" i="34"/>
  <c r="DF386" i="34" a="1"/>
  <c r="DF386" i="34" s="1"/>
  <c r="DI386" i="34"/>
  <c r="DJ386" i="34"/>
  <c r="DL386" i="34" a="1"/>
  <c r="DL386" i="34"/>
  <c r="DM386" i="34" a="1"/>
  <c r="DM386" i="34" s="1"/>
  <c r="DO386" i="34"/>
  <c r="DR386" i="34" s="1" a="1"/>
  <c r="DR386" i="34" s="1"/>
  <c r="DP386" i="34"/>
  <c r="DU386" i="34"/>
  <c r="DV386" i="34"/>
  <c r="EA386" i="34"/>
  <c r="EB386" i="34"/>
  <c r="ED386" i="34" a="1"/>
  <c r="ED386" i="34" s="1"/>
  <c r="EE386" i="34" a="1"/>
  <c r="EE386" i="34" s="1"/>
  <c r="BS387" i="34"/>
  <c r="BT387" i="34"/>
  <c r="BV387" i="34" a="1"/>
  <c r="BV387" i="34" s="1"/>
  <c r="BW387" i="34" a="1"/>
  <c r="BW387" i="34"/>
  <c r="BY387" i="34"/>
  <c r="CB387" i="34" s="1" a="1"/>
  <c r="CB387" i="34" s="1"/>
  <c r="BZ387" i="34"/>
  <c r="CC387" i="34" s="1" a="1"/>
  <c r="CC387" i="34" s="1"/>
  <c r="CE387" i="34"/>
  <c r="CI387" i="34" s="1" a="1"/>
  <c r="CI387" i="34" s="1"/>
  <c r="CF387" i="34"/>
  <c r="CH387" i="34" a="1"/>
  <c r="CH387" i="34" s="1"/>
  <c r="CK387" i="34"/>
  <c r="CO387" i="34" s="1" a="1"/>
  <c r="CO387" i="34" s="1"/>
  <c r="CL387" i="34"/>
  <c r="CN387" i="34" a="1"/>
  <c r="CN387" i="34"/>
  <c r="CQ387" i="34" a="1"/>
  <c r="CQ387" i="34" s="1"/>
  <c r="CR387" i="34"/>
  <c r="CW387" i="34"/>
  <c r="CZ387" i="34" s="1" a="1"/>
  <c r="CZ387" i="34" s="1"/>
  <c r="CX387" i="34"/>
  <c r="DC387" i="34"/>
  <c r="DD387" i="34"/>
  <c r="DI387" i="34"/>
  <c r="DL387" i="34" s="1" a="1"/>
  <c r="DL387" i="34" s="1"/>
  <c r="DJ387" i="34"/>
  <c r="DM387" i="34" a="1"/>
  <c r="DM387" i="34" s="1"/>
  <c r="DO387" i="34"/>
  <c r="DP387" i="34"/>
  <c r="DR387" i="34" s="1" a="1"/>
  <c r="DR387" i="34"/>
  <c r="DS387" i="34" a="1"/>
  <c r="DS387" i="34" s="1"/>
  <c r="DU387" i="34"/>
  <c r="DX387" i="34" s="1" a="1"/>
  <c r="DX387" i="34" s="1"/>
  <c r="DV387" i="34"/>
  <c r="DY387" i="34" a="1"/>
  <c r="DY387" i="34"/>
  <c r="EA387" i="34"/>
  <c r="EB387" i="34"/>
  <c r="ED387" i="34" s="1" a="1"/>
  <c r="ED387" i="34" s="1"/>
  <c r="BS388" i="34"/>
  <c r="BT388" i="34"/>
  <c r="BV388" i="34" a="1"/>
  <c r="BV388" i="34" s="1"/>
  <c r="BY388" i="34"/>
  <c r="BZ388" i="34"/>
  <c r="CC388" i="34" s="1" a="1"/>
  <c r="CC388" i="34" s="1"/>
  <c r="CB388" i="34" a="1"/>
  <c r="CB388" i="34"/>
  <c r="CE388" i="34"/>
  <c r="CH388" i="34" s="1" a="1"/>
  <c r="CH388" i="34" s="1"/>
  <c r="CF388" i="34"/>
  <c r="CK388" i="34"/>
  <c r="CL388" i="34"/>
  <c r="CQ388" i="34" a="1"/>
  <c r="CQ388" i="34"/>
  <c r="CU388" i="34" s="1" a="1"/>
  <c r="CU388" i="34" s="1"/>
  <c r="CR388" i="34"/>
  <c r="CT388" i="34" a="1"/>
  <c r="CT388" i="34" s="1"/>
  <c r="CW388" i="34"/>
  <c r="DA388" i="34" s="1" a="1"/>
  <c r="DA388" i="34" s="1"/>
  <c r="CX388" i="34"/>
  <c r="CZ388" i="34" a="1"/>
  <c r="CZ388" i="34" s="1"/>
  <c r="DC388" i="34"/>
  <c r="DD388" i="34"/>
  <c r="DF388" i="34" a="1"/>
  <c r="DF388" i="34"/>
  <c r="DG388" i="34" a="1"/>
  <c r="DG388" i="34" s="1"/>
  <c r="DI388" i="34"/>
  <c r="DL388" i="34" s="1" a="1"/>
  <c r="DL388" i="34" s="1"/>
  <c r="DJ388" i="34"/>
  <c r="DO388" i="34"/>
  <c r="DP388" i="34"/>
  <c r="DU388" i="34"/>
  <c r="DV388" i="34"/>
  <c r="DX388" i="34" a="1"/>
  <c r="DX388" i="34" s="1"/>
  <c r="DY388" i="34" a="1"/>
  <c r="DY388" i="34" s="1"/>
  <c r="EA388" i="34"/>
  <c r="EB388" i="34"/>
  <c r="ED388" i="34" a="1"/>
  <c r="ED388" i="34" s="1"/>
  <c r="EE388" i="34" a="1"/>
  <c r="EE388" i="34"/>
  <c r="BS389" i="34"/>
  <c r="BV389" i="34" s="1" a="1"/>
  <c r="BV389" i="34" s="1"/>
  <c r="BT389" i="34"/>
  <c r="BW389" i="34" s="1" a="1"/>
  <c r="BW389" i="34" s="1"/>
  <c r="BY389" i="34"/>
  <c r="CC389" i="34" s="1" a="1"/>
  <c r="CC389" i="34" s="1"/>
  <c r="BZ389" i="34"/>
  <c r="CB389" i="34" a="1"/>
  <c r="CB389" i="34" s="1"/>
  <c r="CE389" i="34"/>
  <c r="CI389" i="34" s="1" a="1"/>
  <c r="CI389" i="34" s="1"/>
  <c r="CF389" i="34"/>
  <c r="CH389" i="34" a="1"/>
  <c r="CH389" i="34"/>
  <c r="CK389" i="34"/>
  <c r="CL389" i="34"/>
  <c r="CN389" i="34" a="1"/>
  <c r="CN389" i="34"/>
  <c r="CO389" i="34" a="1"/>
  <c r="CO389" i="34" s="1"/>
  <c r="CQ389" i="34" a="1"/>
  <c r="CQ389" i="34" s="1"/>
  <c r="CR389" i="34"/>
  <c r="CW389" i="34"/>
  <c r="CX389" i="34"/>
  <c r="DC389" i="34"/>
  <c r="DF389" i="34" s="1" a="1"/>
  <c r="DF389" i="34" s="1"/>
  <c r="DD389" i="34"/>
  <c r="DG389" i="34" a="1"/>
  <c r="DG389" i="34" s="1"/>
  <c r="DI389" i="34"/>
  <c r="DJ389" i="34"/>
  <c r="DL389" i="34" s="1" a="1"/>
  <c r="DL389" i="34"/>
  <c r="DM389" i="34" a="1"/>
  <c r="DM389" i="34" s="1"/>
  <c r="DO389" i="34"/>
  <c r="DR389" i="34" s="1" a="1"/>
  <c r="DR389" i="34" s="1"/>
  <c r="DP389" i="34"/>
  <c r="DS389" i="34" a="1"/>
  <c r="DS389" i="34"/>
  <c r="DU389" i="34"/>
  <c r="DY389" i="34" s="1" a="1"/>
  <c r="DY389" i="34" s="1"/>
  <c r="DV389" i="34"/>
  <c r="DX389" i="34" s="1" a="1"/>
  <c r="DX389" i="34" s="1"/>
  <c r="EA389" i="34"/>
  <c r="EB389" i="34"/>
  <c r="ED389" i="34" a="1"/>
  <c r="ED389" i="34" s="1"/>
  <c r="BS390" i="34"/>
  <c r="BT390" i="34"/>
  <c r="BW390" i="34" s="1" a="1"/>
  <c r="BW390" i="34" s="1"/>
  <c r="BV390" i="34" a="1"/>
  <c r="BV390" i="34"/>
  <c r="BY390" i="34"/>
  <c r="CB390" i="34" s="1" a="1"/>
  <c r="CB390" i="34" s="1"/>
  <c r="BZ390" i="34"/>
  <c r="CE390" i="34"/>
  <c r="CF390" i="34"/>
  <c r="CK390" i="34"/>
  <c r="CN390" i="34" s="1" a="1"/>
  <c r="CN390" i="34" s="1"/>
  <c r="CL390" i="34"/>
  <c r="CO390" i="34" a="1"/>
  <c r="CO390" i="34" s="1"/>
  <c r="CQ390" i="34" a="1"/>
  <c r="CQ390" i="34"/>
  <c r="CU390" i="34" s="1" a="1"/>
  <c r="CU390" i="34" s="1"/>
  <c r="CR390" i="34"/>
  <c r="CT390" i="34" a="1"/>
  <c r="CT390" i="34"/>
  <c r="CW390" i="34"/>
  <c r="CX390" i="34"/>
  <c r="CZ390" i="34" a="1"/>
  <c r="CZ390" i="34"/>
  <c r="DA390" i="34" a="1"/>
  <c r="DA390" i="34" s="1"/>
  <c r="DC390" i="34"/>
  <c r="DF390" i="34" s="1" a="1"/>
  <c r="DF390" i="34" s="1"/>
  <c r="DD390" i="34"/>
  <c r="DI390" i="34"/>
  <c r="DJ390" i="34"/>
  <c r="DO390" i="34"/>
  <c r="DP390" i="34"/>
  <c r="DR390" i="34" a="1"/>
  <c r="DR390" i="34" s="1"/>
  <c r="DS390" i="34" a="1"/>
  <c r="DS390" i="34" s="1"/>
  <c r="DU390" i="34"/>
  <c r="DV390" i="34"/>
  <c r="DX390" i="34" a="1"/>
  <c r="DX390" i="34" s="1"/>
  <c r="DY390" i="34" a="1"/>
  <c r="DY390" i="34"/>
  <c r="EA390" i="34"/>
  <c r="ED390" i="34" s="1" a="1"/>
  <c r="ED390" i="34" s="1"/>
  <c r="EB390" i="34"/>
  <c r="EE390" i="34" a="1"/>
  <c r="EE390" i="34"/>
  <c r="BS391" i="34"/>
  <c r="BW391" i="34" s="1" a="1"/>
  <c r="BW391" i="34" s="1"/>
  <c r="BT391" i="34"/>
  <c r="BV391" i="34" a="1"/>
  <c r="BV391" i="34" s="1"/>
  <c r="BY391" i="34"/>
  <c r="CC391" i="34" s="1" a="1"/>
  <c r="CC391" i="34" s="1"/>
  <c r="BZ391" i="34"/>
  <c r="CB391" i="34" a="1"/>
  <c r="CB391" i="34" s="1"/>
  <c r="CE391" i="34"/>
  <c r="CF391" i="34"/>
  <c r="CH391" i="34" a="1"/>
  <c r="CH391" i="34"/>
  <c r="CI391" i="34" a="1"/>
  <c r="CI391" i="34" s="1"/>
  <c r="CK391" i="34"/>
  <c r="CN391" i="34" s="1" a="1"/>
  <c r="CN391" i="34" s="1"/>
  <c r="CL391" i="34"/>
  <c r="CQ391" i="34" a="1"/>
  <c r="CQ391" i="34" s="1"/>
  <c r="CR391" i="34"/>
  <c r="CW391" i="34"/>
  <c r="CZ391" i="34" s="1" a="1"/>
  <c r="CZ391" i="34" s="1"/>
  <c r="CX391" i="34"/>
  <c r="DA391" i="34" a="1"/>
  <c r="DA391" i="34" s="1"/>
  <c r="DC391" i="34"/>
  <c r="DD391" i="34"/>
  <c r="DF391" i="34" s="1" a="1"/>
  <c r="DF391" i="34" s="1"/>
  <c r="DG391" i="34" a="1"/>
  <c r="DG391" i="34" s="1"/>
  <c r="DI391" i="34"/>
  <c r="DL391" i="34" s="1" a="1"/>
  <c r="DL391" i="34" s="1"/>
  <c r="DJ391" i="34"/>
  <c r="DM391" i="34" a="1"/>
  <c r="DM391" i="34"/>
  <c r="DO391" i="34"/>
  <c r="DP391" i="34"/>
  <c r="DR391" i="34" s="1" a="1"/>
  <c r="DR391" i="34" s="1"/>
  <c r="DU391" i="34"/>
  <c r="DV391" i="34"/>
  <c r="DX391" i="34" s="1" a="1"/>
  <c r="DX391" i="34" s="1"/>
  <c r="EA391" i="34"/>
  <c r="EB391" i="34"/>
  <c r="EE391" i="34" s="1" a="1"/>
  <c r="EE391" i="34" s="1"/>
  <c r="ED391" i="34" a="1"/>
  <c r="ED391" i="34"/>
  <c r="BS392" i="34"/>
  <c r="BV392" i="34" s="1" a="1"/>
  <c r="BV392" i="34" s="1"/>
  <c r="BT392" i="34"/>
  <c r="BY392" i="34"/>
  <c r="BZ392" i="34"/>
  <c r="CE392" i="34"/>
  <c r="CH392" i="34" s="1" a="1"/>
  <c r="CH392" i="34" s="1"/>
  <c r="CF392" i="34"/>
  <c r="CI392" i="34" a="1"/>
  <c r="CI392" i="34" s="1"/>
  <c r="CK392" i="34"/>
  <c r="CL392" i="34"/>
  <c r="CN392" i="34" s="1" a="1"/>
  <c r="CN392" i="34" s="1"/>
  <c r="CO392" i="34" a="1"/>
  <c r="CO392" i="34" s="1"/>
  <c r="CQ392" i="34" a="1"/>
  <c r="CQ392" i="34" s="1"/>
  <c r="CR392" i="34"/>
  <c r="CW392" i="34"/>
  <c r="CZ392" i="34" s="1" a="1"/>
  <c r="CZ392" i="34" s="1"/>
  <c r="CX392" i="34"/>
  <c r="DC392" i="34"/>
  <c r="DD392" i="34"/>
  <c r="DI392" i="34"/>
  <c r="DJ392" i="34"/>
  <c r="DL392" i="34" a="1"/>
  <c r="DL392" i="34" s="1"/>
  <c r="DM392" i="34" a="1"/>
  <c r="DM392" i="34" s="1"/>
  <c r="DO392" i="34"/>
  <c r="DP392" i="34"/>
  <c r="DR392" i="34" a="1"/>
  <c r="DR392" i="34" s="1"/>
  <c r="DS392" i="34" a="1"/>
  <c r="DS392" i="34" s="1"/>
  <c r="DU392" i="34"/>
  <c r="DX392" i="34" s="1" a="1"/>
  <c r="DX392" i="34" s="1"/>
  <c r="DV392" i="34"/>
  <c r="DY392" i="34" a="1"/>
  <c r="DY392" i="34"/>
  <c r="EA392" i="34"/>
  <c r="EE392" i="34" s="1" a="1"/>
  <c r="EE392" i="34" s="1"/>
  <c r="EB392" i="34"/>
  <c r="ED392" i="34" a="1"/>
  <c r="ED392" i="34" s="1"/>
  <c r="BS393" i="34"/>
  <c r="BW393" i="34" s="1" a="1"/>
  <c r="BW393" i="34" s="1"/>
  <c r="BT393" i="34"/>
  <c r="BV393" i="34" a="1"/>
  <c r="BV393" i="34" s="1"/>
  <c r="BY393" i="34"/>
  <c r="BZ393" i="34"/>
  <c r="CB393" i="34" a="1"/>
  <c r="CB393" i="34"/>
  <c r="CC393" i="34" a="1"/>
  <c r="CC393" i="34" s="1"/>
  <c r="CE393" i="34"/>
  <c r="CH393" i="34" s="1" a="1"/>
  <c r="CH393" i="34" s="1"/>
  <c r="CF393" i="34"/>
  <c r="CK393" i="34"/>
  <c r="CL393" i="34"/>
  <c r="CQ393" i="34" a="1"/>
  <c r="CQ393" i="34" s="1"/>
  <c r="CR393" i="34"/>
  <c r="CW393" i="34"/>
  <c r="CX393" i="34"/>
  <c r="CZ393" i="34" s="1" a="1"/>
  <c r="CZ393" i="34"/>
  <c r="DA393" i="34" a="1"/>
  <c r="DA393" i="34" s="1"/>
  <c r="DC393" i="34"/>
  <c r="DF393" i="34" s="1" a="1"/>
  <c r="DF393" i="34" s="1"/>
  <c r="DD393" i="34"/>
  <c r="DG393" i="34" a="1"/>
  <c r="DG393" i="34"/>
  <c r="DI393" i="34"/>
  <c r="DM393" i="34" s="1" a="1"/>
  <c r="DM393" i="34" s="1"/>
  <c r="DJ393" i="34"/>
  <c r="DL393" i="34" s="1" a="1"/>
  <c r="DL393" i="34" s="1"/>
  <c r="DO393" i="34"/>
  <c r="DS393" i="34" s="1" a="1"/>
  <c r="DS393" i="34" s="1"/>
  <c r="DP393" i="34"/>
  <c r="DR393" i="34" a="1"/>
  <c r="DR393" i="34" s="1"/>
  <c r="DU393" i="34"/>
  <c r="DV393" i="34"/>
  <c r="DY393" i="34" s="1" a="1"/>
  <c r="DY393" i="34" s="1"/>
  <c r="DX393" i="34" a="1"/>
  <c r="DX393" i="34"/>
  <c r="EA393" i="34"/>
  <c r="ED393" i="34" s="1" a="1"/>
  <c r="ED393" i="34" s="1"/>
  <c r="EB393" i="34"/>
  <c r="BS394" i="34"/>
  <c r="BT394" i="34"/>
  <c r="BY394" i="34"/>
  <c r="CB394" i="34" s="1" a="1"/>
  <c r="CB394" i="34" s="1"/>
  <c r="BZ394" i="34"/>
  <c r="CC394" i="34" a="1"/>
  <c r="CC394" i="34" s="1"/>
  <c r="CE394" i="34"/>
  <c r="CF394" i="34"/>
  <c r="CH394" i="34" s="1" a="1"/>
  <c r="CH394" i="34" s="1"/>
  <c r="CI394" i="34" a="1"/>
  <c r="CI394" i="34" s="1"/>
  <c r="CK394" i="34"/>
  <c r="CN394" i="34" s="1" a="1"/>
  <c r="CN394" i="34" s="1"/>
  <c r="CL394" i="34"/>
  <c r="CO394" i="34" a="1"/>
  <c r="CO394" i="34"/>
  <c r="CQ394" i="34" a="1"/>
  <c r="CQ394" i="34"/>
  <c r="CT394" i="34" s="1" a="1"/>
  <c r="CT394" i="34" s="1"/>
  <c r="CR394" i="34"/>
  <c r="CW394" i="34"/>
  <c r="CX394" i="34"/>
  <c r="DC394" i="34"/>
  <c r="DD394" i="34"/>
  <c r="DF394" i="34" a="1"/>
  <c r="DF394" i="34" s="1"/>
  <c r="DG394" i="34" a="1"/>
  <c r="DG394" i="34" s="1"/>
  <c r="DI394" i="34"/>
  <c r="DJ394" i="34"/>
  <c r="DL394" i="34" a="1"/>
  <c r="DL394" i="34" s="1"/>
  <c r="DM394" i="34" a="1"/>
  <c r="DM394" i="34" s="1"/>
  <c r="DO394" i="34"/>
  <c r="DR394" i="34" s="1" a="1"/>
  <c r="DR394" i="34" s="1"/>
  <c r="DP394" i="34"/>
  <c r="DS394" i="34" a="1"/>
  <c r="DS394" i="34"/>
  <c r="DU394" i="34"/>
  <c r="DY394" i="34" s="1" a="1"/>
  <c r="DY394" i="34" s="1"/>
  <c r="DV394" i="34"/>
  <c r="DX394" i="34" a="1"/>
  <c r="DX394" i="34" s="1"/>
  <c r="EA394" i="34"/>
  <c r="EE394" i="34" s="1" a="1"/>
  <c r="EE394" i="34" s="1"/>
  <c r="EB394" i="34"/>
  <c r="ED394" i="34" a="1"/>
  <c r="ED394" i="34" s="1"/>
  <c r="BS395" i="34"/>
  <c r="BT395" i="34"/>
  <c r="BV395" i="34" a="1"/>
  <c r="BV395" i="34"/>
  <c r="BW395" i="34" a="1"/>
  <c r="BW395" i="34" s="1"/>
  <c r="BY395" i="34"/>
  <c r="CB395" i="34" s="1" a="1"/>
  <c r="CB395" i="34" s="1"/>
  <c r="BZ395" i="34"/>
  <c r="CE395" i="34"/>
  <c r="CF395" i="34"/>
  <c r="CK395" i="34"/>
  <c r="CL395" i="34"/>
  <c r="CN395" i="34" a="1"/>
  <c r="CN395" i="34" s="1"/>
  <c r="CO395" i="34" a="1"/>
  <c r="CO395" i="34" s="1"/>
  <c r="CQ395" i="34" a="1"/>
  <c r="CQ395" i="34" s="1"/>
  <c r="CT395" i="34" s="1" a="1"/>
  <c r="CR395" i="34"/>
  <c r="CT395" i="34"/>
  <c r="CU395" i="34" a="1"/>
  <c r="CU395" i="34" s="1"/>
  <c r="CW395" i="34"/>
  <c r="CZ395" i="34" s="1" a="1"/>
  <c r="CZ395" i="34" s="1"/>
  <c r="CX395" i="34"/>
  <c r="DA395" i="34" a="1"/>
  <c r="DA395" i="34"/>
  <c r="DC395" i="34"/>
  <c r="DG395" i="34" s="1" a="1"/>
  <c r="DG395" i="34" s="1"/>
  <c r="DD395" i="34"/>
  <c r="DF395" i="34" s="1" a="1"/>
  <c r="DF395" i="34" s="1"/>
  <c r="DI395" i="34"/>
  <c r="DJ395" i="34"/>
  <c r="DL395" i="34" a="1"/>
  <c r="DL395" i="34" s="1"/>
  <c r="DO395" i="34"/>
  <c r="DP395" i="34"/>
  <c r="DS395" i="34" s="1" a="1"/>
  <c r="DS395" i="34" s="1"/>
  <c r="DR395" i="34" a="1"/>
  <c r="DR395" i="34"/>
  <c r="DU395" i="34"/>
  <c r="DX395" i="34" s="1" a="1"/>
  <c r="DX395" i="34" s="1"/>
  <c r="DV395" i="34"/>
  <c r="EA395" i="34"/>
  <c r="EB395" i="34"/>
  <c r="BS396" i="34"/>
  <c r="BV396" i="34" s="1" a="1"/>
  <c r="BV396" i="34" s="1"/>
  <c r="BT396" i="34"/>
  <c r="BW396" i="34" a="1"/>
  <c r="BW396" i="34" s="1"/>
  <c r="BY396" i="34"/>
  <c r="BZ396" i="34"/>
  <c r="CB396" i="34" s="1" a="1"/>
  <c r="CB396" i="34" s="1"/>
  <c r="CC396" i="34" a="1"/>
  <c r="CC396" i="34" s="1"/>
  <c r="CE396" i="34"/>
  <c r="CH396" i="34" s="1" a="1"/>
  <c r="CH396" i="34" s="1"/>
  <c r="CF396" i="34"/>
  <c r="CI396" i="34" a="1"/>
  <c r="CI396" i="34"/>
  <c r="CK396" i="34"/>
  <c r="CO396" i="34" s="1" a="1"/>
  <c r="CO396" i="34" s="1"/>
  <c r="CL396" i="34"/>
  <c r="CN396" i="34" s="1" a="1"/>
  <c r="CN396" i="34" s="1"/>
  <c r="CQ396" i="34" a="1"/>
  <c r="CQ396" i="34"/>
  <c r="CR396" i="34"/>
  <c r="CW396" i="34"/>
  <c r="CX396" i="34"/>
  <c r="CZ396" i="34" a="1"/>
  <c r="CZ396" i="34" s="1"/>
  <c r="DA396" i="34" a="1"/>
  <c r="DA396" i="34" s="1"/>
  <c r="DC396" i="34"/>
  <c r="DD396" i="34"/>
  <c r="DF396" i="34" a="1"/>
  <c r="DF396" i="34" s="1"/>
  <c r="DG396" i="34" a="1"/>
  <c r="DG396" i="34" s="1"/>
  <c r="DI396" i="34"/>
  <c r="DL396" i="34" s="1" a="1"/>
  <c r="DL396" i="34" s="1"/>
  <c r="DJ396" i="34"/>
  <c r="DM396" i="34" a="1"/>
  <c r="DM396" i="34"/>
  <c r="DO396" i="34"/>
  <c r="DS396" i="34" s="1" a="1"/>
  <c r="DS396" i="34" s="1"/>
  <c r="DP396" i="34"/>
  <c r="DR396" i="34" a="1"/>
  <c r="DR396" i="34" s="1"/>
  <c r="DU396" i="34"/>
  <c r="DY396" i="34" s="1" a="1"/>
  <c r="DY396" i="34" s="1"/>
  <c r="DV396" i="34"/>
  <c r="DX396" i="34" a="1"/>
  <c r="DX396" i="34" s="1"/>
  <c r="EA396" i="34"/>
  <c r="EB396" i="34"/>
  <c r="ED396" i="34" a="1"/>
  <c r="ED396" i="34"/>
  <c r="EE396" i="34" a="1"/>
  <c r="EE396" i="34" s="1"/>
  <c r="BS397" i="34"/>
  <c r="BV397" i="34" s="1" a="1"/>
  <c r="BV397" i="34" s="1"/>
  <c r="BT397" i="34"/>
  <c r="BY397" i="34"/>
  <c r="BZ397" i="34"/>
  <c r="CE397" i="34"/>
  <c r="CF397" i="34"/>
  <c r="CH397" i="34" a="1"/>
  <c r="CH397" i="34" s="1"/>
  <c r="CI397" i="34" a="1"/>
  <c r="CI397" i="34" s="1"/>
  <c r="CK397" i="34"/>
  <c r="CL397" i="34"/>
  <c r="CN397" i="34" a="1"/>
  <c r="CN397" i="34" s="1"/>
  <c r="CO397" i="34" a="1"/>
  <c r="CO397" i="34" s="1"/>
  <c r="CQ397" i="34" a="1"/>
  <c r="CQ397" i="34"/>
  <c r="CT397" i="34" s="1" a="1"/>
  <c r="CT397" i="34" s="1"/>
  <c r="CR397" i="34"/>
  <c r="CU397" i="34" a="1"/>
  <c r="CU397" i="34"/>
  <c r="CW397" i="34"/>
  <c r="DA397" i="34" s="1" a="1"/>
  <c r="DA397" i="34" s="1"/>
  <c r="CX397" i="34"/>
  <c r="CZ397" i="34" s="1" a="1"/>
  <c r="CZ397" i="34" s="1"/>
  <c r="DC397" i="34"/>
  <c r="DG397" i="34" s="1" a="1"/>
  <c r="DG397" i="34" s="1"/>
  <c r="DD397" i="34"/>
  <c r="DF397" i="34" a="1"/>
  <c r="DF397" i="34" s="1"/>
  <c r="DI397" i="34"/>
  <c r="DJ397" i="34"/>
  <c r="DM397" i="34" s="1" a="1"/>
  <c r="DM397" i="34" s="1"/>
  <c r="DL397" i="34" a="1"/>
  <c r="DL397" i="34"/>
  <c r="DO397" i="34"/>
  <c r="DR397" i="34" s="1" a="1"/>
  <c r="DR397" i="34" s="1"/>
  <c r="DP397" i="34"/>
  <c r="DU397" i="34"/>
  <c r="DV397" i="34"/>
  <c r="EA397" i="34"/>
  <c r="ED397" i="34" s="1" a="1"/>
  <c r="ED397" i="34" s="1"/>
  <c r="EB397" i="34"/>
  <c r="EE397" i="34" a="1"/>
  <c r="EE397" i="34" s="1"/>
  <c r="BS398" i="34"/>
  <c r="BT398" i="34"/>
  <c r="BV398" i="34" s="1" a="1"/>
  <c r="BV398" i="34" s="1"/>
  <c r="BW398" i="34" a="1"/>
  <c r="BW398" i="34" s="1"/>
  <c r="BY398" i="34"/>
  <c r="CB398" i="34" s="1" a="1"/>
  <c r="CB398" i="34" s="1"/>
  <c r="BZ398" i="34"/>
  <c r="CC398" i="34" a="1"/>
  <c r="CC398" i="34"/>
  <c r="CE398" i="34"/>
  <c r="CI398" i="34" s="1" a="1"/>
  <c r="CI398" i="34" s="1"/>
  <c r="CF398" i="34"/>
  <c r="CH398" i="34" s="1" a="1"/>
  <c r="CH398" i="34" s="1"/>
  <c r="CK398" i="34"/>
  <c r="CO398" i="34" s="1" a="1"/>
  <c r="CO398" i="34" s="1"/>
  <c r="CL398" i="34"/>
  <c r="CN398" i="34" s="1" a="1"/>
  <c r="CN398" i="34" s="1"/>
  <c r="CQ398" i="34" a="1"/>
  <c r="CQ398" i="34"/>
  <c r="CR398" i="34"/>
  <c r="CT398" i="34" a="1"/>
  <c r="CT398" i="34" s="1"/>
  <c r="CU398" i="34" a="1"/>
  <c r="CU398" i="34" s="1"/>
  <c r="CW398" i="34"/>
  <c r="CX398" i="34"/>
  <c r="CZ398" i="34" a="1"/>
  <c r="CZ398" i="34" s="1"/>
  <c r="DA398" i="34" a="1"/>
  <c r="DA398" i="34"/>
  <c r="DC398" i="34"/>
  <c r="DF398" i="34" s="1" a="1"/>
  <c r="DF398" i="34" s="1"/>
  <c r="DD398" i="34"/>
  <c r="DG398" i="34" a="1"/>
  <c r="DG398" i="34"/>
  <c r="DI398" i="34"/>
  <c r="DM398" i="34" s="1" a="1"/>
  <c r="DM398" i="34" s="1"/>
  <c r="DJ398" i="34"/>
  <c r="DL398" i="34" a="1"/>
  <c r="DL398" i="34" s="1"/>
  <c r="DO398" i="34"/>
  <c r="DS398" i="34" s="1" a="1"/>
  <c r="DS398" i="34" s="1"/>
  <c r="DP398" i="34"/>
  <c r="DR398" i="34" a="1"/>
  <c r="DR398" i="34" s="1"/>
  <c r="DU398" i="34"/>
  <c r="DV398" i="34"/>
  <c r="DX398" i="34" a="1"/>
  <c r="DX398" i="34"/>
  <c r="DY398" i="34" a="1"/>
  <c r="DY398" i="34" s="1"/>
  <c r="EA398" i="34"/>
  <c r="ED398" i="34" s="1" a="1"/>
  <c r="ED398" i="34" s="1"/>
  <c r="EB398" i="34"/>
  <c r="BS399" i="34"/>
  <c r="BT399" i="34"/>
  <c r="BY399" i="34"/>
  <c r="BZ399" i="34"/>
  <c r="CB399" i="34" a="1"/>
  <c r="CB399" i="34" s="1"/>
  <c r="CC399" i="34" a="1"/>
  <c r="CC399" i="34" s="1"/>
  <c r="CE399" i="34"/>
  <c r="CF399" i="34"/>
  <c r="CH399" i="34" a="1"/>
  <c r="CH399" i="34" s="1"/>
  <c r="CI399" i="34" a="1"/>
  <c r="CI399" i="34"/>
  <c r="CK399" i="34"/>
  <c r="CN399" i="34" s="1" a="1"/>
  <c r="CN399" i="34" s="1"/>
  <c r="CL399" i="34"/>
  <c r="CO399" i="34" a="1"/>
  <c r="CO399" i="34"/>
  <c r="CQ399" i="34" a="1"/>
  <c r="CQ399" i="34" s="1"/>
  <c r="CR399" i="34"/>
  <c r="CW399" i="34"/>
  <c r="DA399" i="34" s="1" a="1"/>
  <c r="DA399" i="34" s="1"/>
  <c r="CX399" i="34"/>
  <c r="CZ399" i="34" s="1" a="1"/>
  <c r="CZ399" i="34" s="1"/>
  <c r="DC399" i="34"/>
  <c r="DD399" i="34"/>
  <c r="DG399" i="34" s="1" a="1"/>
  <c r="DG399" i="34" s="1"/>
  <c r="DF399" i="34" a="1"/>
  <c r="DF399" i="34"/>
  <c r="DI399" i="34"/>
  <c r="DL399" i="34" s="1" a="1"/>
  <c r="DL399" i="34" s="1"/>
  <c r="DJ399" i="34"/>
  <c r="DO399" i="34"/>
  <c r="DP399" i="34"/>
  <c r="DU399" i="34"/>
  <c r="DX399" i="34" s="1" a="1"/>
  <c r="DX399" i="34" s="1"/>
  <c r="DV399" i="34"/>
  <c r="DY399" i="34" a="1"/>
  <c r="DY399" i="34" s="1"/>
  <c r="EA399" i="34"/>
  <c r="EB399" i="34"/>
  <c r="ED399" i="34" s="1" a="1"/>
  <c r="ED399" i="34" s="1"/>
  <c r="EE399" i="34" a="1"/>
  <c r="EE399" i="34" s="1"/>
  <c r="BS400" i="34"/>
  <c r="BV400" i="34" s="1" a="1"/>
  <c r="BV400" i="34" s="1"/>
  <c r="BT400" i="34"/>
  <c r="BW400" i="34" a="1"/>
  <c r="BW400" i="34"/>
  <c r="BY400" i="34"/>
  <c r="BZ400" i="34"/>
  <c r="CB400" i="34" s="1" a="1"/>
  <c r="CB400" i="34" s="1"/>
  <c r="CE400" i="34"/>
  <c r="CF400" i="34"/>
  <c r="CH400" i="34" s="1" a="1"/>
  <c r="CH400" i="34" s="1"/>
  <c r="CK400" i="34"/>
  <c r="CL400" i="34"/>
  <c r="CO400" i="34" s="1" a="1"/>
  <c r="CO400" i="34" s="1"/>
  <c r="CN400" i="34" a="1"/>
  <c r="CN400" i="34"/>
  <c r="CQ400" i="34" a="1"/>
  <c r="CQ400" i="34" s="1"/>
  <c r="CT400" i="34" s="1" a="1"/>
  <c r="CT400" i="34" s="1"/>
  <c r="CR400" i="34"/>
  <c r="CW400" i="34"/>
  <c r="CZ400" i="34" s="1" a="1"/>
  <c r="CZ400" i="34" s="1"/>
  <c r="CX400" i="34"/>
  <c r="DA400" i="34" a="1"/>
  <c r="DA400" i="34"/>
  <c r="DC400" i="34"/>
  <c r="DG400" i="34" s="1" a="1"/>
  <c r="DG400" i="34" s="1"/>
  <c r="DD400" i="34"/>
  <c r="DF400" i="34" a="1"/>
  <c r="DF400" i="34" s="1"/>
  <c r="DI400" i="34"/>
  <c r="DM400" i="34" s="1" a="1"/>
  <c r="DM400" i="34" s="1"/>
  <c r="DJ400" i="34"/>
  <c r="DL400" i="34" a="1"/>
  <c r="DL400" i="34"/>
  <c r="DO400" i="34"/>
  <c r="DP400" i="34"/>
  <c r="DR400" i="34" a="1"/>
  <c r="DR400" i="34"/>
  <c r="DS400" i="34" a="1"/>
  <c r="DS400" i="34" s="1"/>
  <c r="DU400" i="34"/>
  <c r="DX400" i="34" s="1" a="1"/>
  <c r="DX400" i="34" s="1"/>
  <c r="DV400" i="34"/>
  <c r="EA400" i="34"/>
  <c r="EB400" i="34"/>
  <c r="BS401" i="34"/>
  <c r="BT401" i="34"/>
  <c r="BV401" i="34" a="1"/>
  <c r="BV401" i="34" s="1"/>
  <c r="BW401" i="34" a="1"/>
  <c r="BW401" i="34" s="1"/>
  <c r="BY401" i="34"/>
  <c r="BZ401" i="34"/>
  <c r="CB401" i="34" a="1"/>
  <c r="CB401" i="34" s="1"/>
  <c r="CC401" i="34" a="1"/>
  <c r="CC401" i="34"/>
  <c r="CE401" i="34"/>
  <c r="CH401" i="34" s="1" a="1"/>
  <c r="CH401" i="34" s="1"/>
  <c r="CF401" i="34"/>
  <c r="CI401" i="34" a="1"/>
  <c r="CI401" i="34" s="1"/>
  <c r="CK401" i="34"/>
  <c r="CO401" i="34" s="1" a="1"/>
  <c r="CO401" i="34" s="1"/>
  <c r="CL401" i="34"/>
  <c r="CN401" i="34" a="1"/>
  <c r="CN401" i="34" s="1"/>
  <c r="CQ401" i="34" a="1"/>
  <c r="CQ401" i="34" s="1"/>
  <c r="CU401" i="34" s="1" a="1"/>
  <c r="CU401" i="34" s="1"/>
  <c r="CR401" i="34"/>
  <c r="CW401" i="34"/>
  <c r="CX401" i="34"/>
  <c r="CZ401" i="34" s="1" a="1"/>
  <c r="CZ401" i="34" s="1"/>
  <c r="DC401" i="34"/>
  <c r="DF401" i="34" s="1" a="1"/>
  <c r="DF401" i="34" s="1"/>
  <c r="DD401" i="34"/>
  <c r="DI401" i="34"/>
  <c r="DJ401" i="34"/>
  <c r="DO401" i="34"/>
  <c r="DR401" i="34" s="1" a="1"/>
  <c r="DR401" i="34" s="1"/>
  <c r="DP401" i="34"/>
  <c r="DS401" i="34" a="1"/>
  <c r="DS401" i="34" s="1"/>
  <c r="DU401" i="34"/>
  <c r="DV401" i="34"/>
  <c r="DX401" i="34" s="1" a="1"/>
  <c r="DX401" i="34"/>
  <c r="DY401" i="34" a="1"/>
  <c r="DY401" i="34" s="1"/>
  <c r="EA401" i="34"/>
  <c r="ED401" i="34" s="1" a="1"/>
  <c r="ED401" i="34" s="1"/>
  <c r="EB401" i="34"/>
  <c r="EE401" i="34" a="1"/>
  <c r="EE401" i="34"/>
  <c r="BS402" i="34"/>
  <c r="BW402" i="34" s="1" a="1"/>
  <c r="BW402" i="34" s="1"/>
  <c r="BT402" i="34"/>
  <c r="BV402" i="34" s="1" a="1"/>
  <c r="BV402" i="34" s="1"/>
  <c r="BY402" i="34"/>
  <c r="BZ402" i="34"/>
  <c r="CB402" i="34" a="1"/>
  <c r="CB402" i="34" s="1"/>
  <c r="CE402" i="34"/>
  <c r="CF402" i="34"/>
  <c r="CI402" i="34" s="1" a="1"/>
  <c r="CI402" i="34" s="1"/>
  <c r="CH402" i="34" a="1"/>
  <c r="CH402" i="34"/>
  <c r="CK402" i="34"/>
  <c r="CN402" i="34" s="1" a="1"/>
  <c r="CN402" i="34" s="1"/>
  <c r="CL402" i="34"/>
  <c r="CQ402" i="34" a="1"/>
  <c r="CQ402" i="34" s="1"/>
  <c r="CR402" i="34"/>
  <c r="CW402" i="34"/>
  <c r="DA402" i="34" s="1" a="1"/>
  <c r="DA402" i="34" s="1"/>
  <c r="CX402" i="34"/>
  <c r="CZ402" i="34" a="1"/>
  <c r="CZ402" i="34" s="1"/>
  <c r="DC402" i="34"/>
  <c r="DG402" i="34" s="1" a="1"/>
  <c r="DG402" i="34" s="1"/>
  <c r="DD402" i="34"/>
  <c r="DF402" i="34" a="1"/>
  <c r="DF402" i="34"/>
  <c r="DI402" i="34"/>
  <c r="DJ402" i="34"/>
  <c r="DL402" i="34" a="1"/>
  <c r="DL402" i="34" s="1"/>
  <c r="DM402" i="34" a="1"/>
  <c r="DM402" i="34" s="1"/>
  <c r="DO402" i="34"/>
  <c r="DR402" i="34" s="1" a="1"/>
  <c r="DR402" i="34" s="1"/>
  <c r="DP402" i="34"/>
  <c r="DU402" i="34"/>
  <c r="DV402" i="34"/>
  <c r="EA402" i="34"/>
  <c r="EB402" i="34"/>
  <c r="ED402" i="34" a="1"/>
  <c r="ED402" i="34" s="1"/>
  <c r="EE402" i="34" a="1"/>
  <c r="EE402" i="34" s="1"/>
  <c r="BS403" i="34"/>
  <c r="BT403" i="34"/>
  <c r="BV403" i="34" a="1"/>
  <c r="BV403" i="34" s="1"/>
  <c r="BW403" i="34" a="1"/>
  <c r="BW403" i="34" s="1"/>
  <c r="BY403" i="34"/>
  <c r="CB403" i="34" s="1" a="1"/>
  <c r="CB403" i="34" s="1"/>
  <c r="BZ403" i="34"/>
  <c r="CC403" i="34" a="1"/>
  <c r="CC403" i="34" s="1"/>
  <c r="CE403" i="34"/>
  <c r="CI403" i="34" s="1" a="1"/>
  <c r="CI403" i="34" s="1"/>
  <c r="CF403" i="34"/>
  <c r="CH403" i="34" a="1"/>
  <c r="CH403" i="34" s="1"/>
  <c r="CK403" i="34"/>
  <c r="CO403" i="34" s="1" a="1"/>
  <c r="CO403" i="34" s="1"/>
  <c r="CL403" i="34"/>
  <c r="CN403" i="34" a="1"/>
  <c r="CN403" i="34" s="1"/>
  <c r="CQ403" i="34" a="1"/>
  <c r="CQ403" i="34" s="1"/>
  <c r="CR403" i="34"/>
  <c r="CW403" i="34"/>
  <c r="CZ403" i="34" s="1" a="1"/>
  <c r="CZ403" i="34" s="1"/>
  <c r="CX403" i="34"/>
  <c r="DC403" i="34"/>
  <c r="DD403" i="34"/>
  <c r="DI403" i="34"/>
  <c r="DL403" i="34" s="1" a="1"/>
  <c r="DL403" i="34" s="1"/>
  <c r="DJ403" i="34"/>
  <c r="DM403" i="34" a="1"/>
  <c r="DM403" i="34" s="1"/>
  <c r="DO403" i="34"/>
  <c r="DP403" i="34"/>
  <c r="DR403" i="34" s="1" a="1"/>
  <c r="DR403" i="34" s="1"/>
  <c r="DS403" i="34" a="1"/>
  <c r="DS403" i="34" s="1"/>
  <c r="DU403" i="34"/>
  <c r="DX403" i="34" s="1" a="1"/>
  <c r="DX403" i="34" s="1"/>
  <c r="DV403" i="34"/>
  <c r="DY403" i="34" a="1"/>
  <c r="DY403" i="34"/>
  <c r="EA403" i="34"/>
  <c r="EE403" i="34" s="1" a="1"/>
  <c r="EE403" i="34" s="1"/>
  <c r="EB403" i="34"/>
  <c r="ED403" i="34" s="1" a="1"/>
  <c r="ED403" i="34" s="1"/>
  <c r="BS404" i="34"/>
  <c r="BW404" i="34" s="1" a="1"/>
  <c r="BW404" i="34" s="1"/>
  <c r="BT404" i="34"/>
  <c r="BV404" i="34" s="1" a="1"/>
  <c r="BV404" i="34" s="1"/>
  <c r="BY404" i="34"/>
  <c r="BZ404" i="34"/>
  <c r="CC404" i="34" s="1" a="1"/>
  <c r="CC404" i="34" s="1"/>
  <c r="CB404" i="34" a="1"/>
  <c r="CB404" i="34"/>
  <c r="CE404" i="34"/>
  <c r="CH404" i="34" s="1" a="1"/>
  <c r="CH404" i="34" s="1"/>
  <c r="CF404" i="34"/>
  <c r="CK404" i="34"/>
  <c r="CL404" i="34"/>
  <c r="CQ404" i="34" a="1"/>
  <c r="CQ404" i="34"/>
  <c r="CU404" i="34" s="1" a="1"/>
  <c r="CU404" i="34" s="1"/>
  <c r="CR404" i="34"/>
  <c r="CT404" i="34" a="1"/>
  <c r="CT404" i="34" s="1"/>
  <c r="CW404" i="34"/>
  <c r="DA404" i="34" s="1" a="1"/>
  <c r="DA404" i="34" s="1"/>
  <c r="CX404" i="34"/>
  <c r="CZ404" i="34" a="1"/>
  <c r="CZ404" i="34" s="1"/>
  <c r="DC404" i="34"/>
  <c r="DD404" i="34"/>
  <c r="DF404" i="34" a="1"/>
  <c r="DF404" i="34"/>
  <c r="DG404" i="34" a="1"/>
  <c r="DG404" i="34" s="1"/>
  <c r="DI404" i="34"/>
  <c r="DL404" i="34" s="1" a="1"/>
  <c r="DL404" i="34" s="1"/>
  <c r="DJ404" i="34"/>
  <c r="DO404" i="34"/>
  <c r="DP404" i="34"/>
  <c r="DU404" i="34"/>
  <c r="DV404" i="34"/>
  <c r="DX404" i="34" a="1"/>
  <c r="DX404" i="34" s="1"/>
  <c r="DY404" i="34" a="1"/>
  <c r="DY404" i="34" s="1"/>
  <c r="EA404" i="34"/>
  <c r="EB404" i="34"/>
  <c r="ED404" i="34" a="1"/>
  <c r="ED404" i="34" s="1"/>
  <c r="EE404" i="34" a="1"/>
  <c r="EE404" i="34"/>
  <c r="BS405" i="34"/>
  <c r="BV405" i="34" s="1" a="1"/>
  <c r="BV405" i="34" s="1"/>
  <c r="BT405" i="34"/>
  <c r="BW405" i="34" a="1"/>
  <c r="BW405" i="34" s="1"/>
  <c r="BY405" i="34"/>
  <c r="CC405" i="34" s="1" a="1"/>
  <c r="CC405" i="34" s="1"/>
  <c r="BZ405" i="34"/>
  <c r="CB405" i="34" a="1"/>
  <c r="CB405" i="34" s="1"/>
  <c r="CE405" i="34"/>
  <c r="CI405" i="34" s="1" a="1"/>
  <c r="CI405" i="34" s="1"/>
  <c r="CF405" i="34"/>
  <c r="CH405" i="34" a="1"/>
  <c r="CH405" i="34"/>
  <c r="CK405" i="34"/>
  <c r="CL405" i="34"/>
  <c r="CN405" i="34" a="1"/>
  <c r="CN405" i="34" s="1"/>
  <c r="CO405" i="34" a="1"/>
  <c r="CO405" i="34" s="1"/>
  <c r="CQ405" i="34" a="1"/>
  <c r="CQ405" i="34" s="1"/>
  <c r="CR405" i="34"/>
  <c r="CW405" i="34"/>
  <c r="CX405" i="34"/>
  <c r="DC405" i="34"/>
  <c r="DF405" i="34" s="1" a="1"/>
  <c r="DF405" i="34" s="1"/>
  <c r="DD405" i="34"/>
  <c r="DG405" i="34" a="1"/>
  <c r="DG405" i="34" s="1"/>
  <c r="DI405" i="34"/>
  <c r="DJ405" i="34"/>
  <c r="DL405" i="34" s="1" a="1"/>
  <c r="DL405" i="34"/>
  <c r="DM405" i="34" a="1"/>
  <c r="DM405" i="34" s="1"/>
  <c r="DO405" i="34"/>
  <c r="DR405" i="34" s="1" a="1"/>
  <c r="DR405" i="34" s="1"/>
  <c r="DP405" i="34"/>
  <c r="DS405" i="34" a="1"/>
  <c r="DS405" i="34"/>
  <c r="DU405" i="34"/>
  <c r="DY405" i="34" s="1" a="1"/>
  <c r="DY405" i="34" s="1"/>
  <c r="DV405" i="34"/>
  <c r="DX405" i="34" s="1" a="1"/>
  <c r="DX405" i="34" s="1"/>
  <c r="EA405" i="34"/>
  <c r="EE405" i="34" s="1" a="1"/>
  <c r="EE405" i="34" s="1"/>
  <c r="EB405" i="34"/>
  <c r="ED405" i="34" s="1" a="1"/>
  <c r="ED405" i="34" s="1"/>
  <c r="BS406" i="34"/>
  <c r="BT406" i="34"/>
  <c r="BV406" i="34" s="1" a="1"/>
  <c r="BV406" i="34" s="1"/>
  <c r="BY406" i="34"/>
  <c r="CB406" i="34" s="1" a="1"/>
  <c r="CB406" i="34" s="1"/>
  <c r="BZ406" i="34"/>
  <c r="CE406" i="34"/>
  <c r="CF406" i="34"/>
  <c r="CK406" i="34"/>
  <c r="CN406" i="34" s="1" a="1"/>
  <c r="CN406" i="34" s="1"/>
  <c r="CL406" i="34"/>
  <c r="CO406" i="34" a="1"/>
  <c r="CO406" i="34" s="1"/>
  <c r="CQ406" i="34" a="1"/>
  <c r="CQ406" i="34"/>
  <c r="CU406" i="34" s="1" a="1"/>
  <c r="CU406" i="34" s="1"/>
  <c r="CR406" i="34"/>
  <c r="CT406" i="34" a="1"/>
  <c r="CT406" i="34" s="1"/>
  <c r="CW406" i="34"/>
  <c r="CX406" i="34"/>
  <c r="CZ406" i="34" a="1"/>
  <c r="CZ406" i="34" s="1"/>
  <c r="DA406" i="34" a="1"/>
  <c r="DA406" i="34" s="1"/>
  <c r="DC406" i="34"/>
  <c r="DF406" i="34" s="1" a="1"/>
  <c r="DF406" i="34" s="1"/>
  <c r="DD406" i="34"/>
  <c r="DI406" i="34"/>
  <c r="DJ406" i="34"/>
  <c r="DO406" i="34"/>
  <c r="DP406" i="34"/>
  <c r="DR406" i="34" a="1"/>
  <c r="DR406" i="34" s="1"/>
  <c r="DS406" i="34" a="1"/>
  <c r="DS406" i="34" s="1"/>
  <c r="DU406" i="34"/>
  <c r="DV406" i="34"/>
  <c r="DX406" i="34" a="1"/>
  <c r="DX406" i="34" s="1"/>
  <c r="DY406" i="34" a="1"/>
  <c r="DY406" i="34" s="1"/>
  <c r="EA406" i="34"/>
  <c r="ED406" i="34" s="1" a="1"/>
  <c r="ED406" i="34" s="1"/>
  <c r="EB406" i="34"/>
  <c r="EE406" i="34" a="1"/>
  <c r="EE406" i="34" s="1"/>
  <c r="BS407" i="34"/>
  <c r="BW407" i="34" s="1" a="1"/>
  <c r="BW407" i="34" s="1"/>
  <c r="BT407" i="34"/>
  <c r="BV407" i="34" a="1"/>
  <c r="BV407" i="34" s="1"/>
  <c r="BY407" i="34"/>
  <c r="CC407" i="34" s="1" a="1"/>
  <c r="CC407" i="34" s="1"/>
  <c r="BZ407" i="34"/>
  <c r="CB407" i="34" a="1"/>
  <c r="CB407" i="34" s="1"/>
  <c r="CE407" i="34"/>
  <c r="CF407" i="34"/>
  <c r="CH407" i="34" a="1"/>
  <c r="CH407" i="34" s="1"/>
  <c r="CI407" i="34" a="1"/>
  <c r="CI407" i="34" s="1"/>
  <c r="CK407" i="34"/>
  <c r="CN407" i="34" s="1" a="1"/>
  <c r="CN407" i="34" s="1"/>
  <c r="CL407" i="34"/>
  <c r="CQ407" i="34" a="1"/>
  <c r="CQ407" i="34" s="1"/>
  <c r="CR407" i="34"/>
  <c r="CW407" i="34"/>
  <c r="CZ407" i="34" s="1" a="1"/>
  <c r="CZ407" i="34" s="1"/>
  <c r="CX407" i="34"/>
  <c r="DA407" i="34" a="1"/>
  <c r="DA407" i="34" s="1"/>
  <c r="DC407" i="34"/>
  <c r="DD407" i="34"/>
  <c r="DF407" i="34" s="1" a="1"/>
  <c r="DF407" i="34" s="1"/>
  <c r="DG407" i="34" a="1"/>
  <c r="DG407" i="34" s="1"/>
  <c r="DI407" i="34"/>
  <c r="DJ407" i="34"/>
  <c r="DL407" i="34" a="1"/>
  <c r="DL407" i="34"/>
  <c r="DM407" i="34" a="1"/>
  <c r="DM407" i="34"/>
  <c r="DO407" i="34"/>
  <c r="DS407" i="34" s="1" a="1"/>
  <c r="DS407" i="34" s="1"/>
  <c r="DP407" i="34"/>
  <c r="DR407" i="34" s="1" a="1"/>
  <c r="DR407" i="34" s="1"/>
  <c r="DU407" i="34"/>
  <c r="DV407" i="34"/>
  <c r="DX407" i="34" s="1" a="1"/>
  <c r="DX407" i="34" s="1"/>
  <c r="EA407" i="34"/>
  <c r="EE407" i="34" s="1" a="1"/>
  <c r="EE407" i="34" s="1"/>
  <c r="EB407" i="34"/>
  <c r="ED407" i="34" s="1" a="1"/>
  <c r="ED407" i="34" s="1"/>
  <c r="BS408" i="34"/>
  <c r="BV408" i="34" s="1" a="1"/>
  <c r="BV408" i="34" s="1"/>
  <c r="BT408" i="34"/>
  <c r="BY408" i="34"/>
  <c r="BZ408" i="34"/>
  <c r="CE408" i="34"/>
  <c r="CH408" i="34" s="1" a="1"/>
  <c r="CH408" i="34" s="1"/>
  <c r="CF408" i="34"/>
  <c r="CI408" i="34" a="1"/>
  <c r="CI408" i="34" s="1"/>
  <c r="CK408" i="34"/>
  <c r="CL408" i="34"/>
  <c r="CN408" i="34" s="1" a="1"/>
  <c r="CN408" i="34" s="1"/>
  <c r="CO408" i="34" a="1"/>
  <c r="CO408" i="34" s="1"/>
  <c r="CQ408" i="34" a="1"/>
  <c r="CQ408" i="34" s="1"/>
  <c r="CR408" i="34"/>
  <c r="CW408" i="34"/>
  <c r="CZ408" i="34" s="1" a="1"/>
  <c r="CZ408" i="34" s="1"/>
  <c r="CX408" i="34"/>
  <c r="DC408" i="34"/>
  <c r="DD408" i="34"/>
  <c r="DI408" i="34"/>
  <c r="DJ408" i="34"/>
  <c r="DL408" i="34" a="1"/>
  <c r="DL408" i="34" s="1"/>
  <c r="DM408" i="34" a="1"/>
  <c r="DM408" i="34"/>
  <c r="DO408" i="34"/>
  <c r="DP408" i="34"/>
  <c r="DR408" i="34" a="1"/>
  <c r="DR408" i="34" s="1"/>
  <c r="DS408" i="34" a="1"/>
  <c r="DS408" i="34" s="1"/>
  <c r="DU408" i="34"/>
  <c r="DX408" i="34" s="1" a="1"/>
  <c r="DX408" i="34" s="1"/>
  <c r="DV408" i="34"/>
  <c r="DY408" i="34" a="1"/>
  <c r="DY408" i="34" s="1"/>
  <c r="EA408" i="34"/>
  <c r="EE408" i="34" s="1" a="1"/>
  <c r="EE408" i="34" s="1"/>
  <c r="EB408" i="34"/>
  <c r="ED408" i="34" a="1"/>
  <c r="ED408" i="34" s="1"/>
  <c r="BS409" i="34"/>
  <c r="BW409" i="34" s="1" a="1"/>
  <c r="BW409" i="34" s="1"/>
  <c r="BT409" i="34"/>
  <c r="BV409" i="34" a="1"/>
  <c r="BV409" i="34"/>
  <c r="BY409" i="34"/>
  <c r="BZ409" i="34"/>
  <c r="CB409" i="34" a="1"/>
  <c r="CB409" i="34" s="1"/>
  <c r="CC409" i="34" a="1"/>
  <c r="CC409" i="34" s="1"/>
  <c r="CE409" i="34"/>
  <c r="CH409" i="34" s="1" a="1"/>
  <c r="CH409" i="34" s="1"/>
  <c r="CF409" i="34"/>
  <c r="CK409" i="34"/>
  <c r="CL409" i="34"/>
  <c r="CQ409" i="34" a="1"/>
  <c r="CQ409" i="34" s="1"/>
  <c r="CR409" i="34"/>
  <c r="CW409" i="34"/>
  <c r="CX409" i="34"/>
  <c r="CZ409" i="34" s="1" a="1"/>
  <c r="CZ409" i="34"/>
  <c r="DA409" i="34" a="1"/>
  <c r="DA409" i="34" s="1"/>
  <c r="DC409" i="34"/>
  <c r="DD409" i="34"/>
  <c r="DF409" i="34" a="1"/>
  <c r="DF409" i="34"/>
  <c r="DG409" i="34" a="1"/>
  <c r="DG409" i="34"/>
  <c r="DI409" i="34"/>
  <c r="DM409" i="34" s="1" a="1"/>
  <c r="DM409" i="34" s="1"/>
  <c r="DJ409" i="34"/>
  <c r="DL409" i="34" a="1"/>
  <c r="DL409" i="34" s="1"/>
  <c r="DO409" i="34"/>
  <c r="DP409" i="34"/>
  <c r="DR409" i="34" a="1"/>
  <c r="DR409" i="34" s="1"/>
  <c r="DU409" i="34"/>
  <c r="DY409" i="34" s="1" a="1"/>
  <c r="DY409" i="34" s="1"/>
  <c r="DV409" i="34"/>
  <c r="DX409" i="34" s="1" a="1"/>
  <c r="DX409" i="34" s="1"/>
  <c r="EA409" i="34"/>
  <c r="ED409" i="34" s="1" a="1"/>
  <c r="ED409" i="34" s="1"/>
  <c r="EB409" i="34"/>
  <c r="BS410" i="34"/>
  <c r="BT410" i="34"/>
  <c r="BY410" i="34"/>
  <c r="CB410" i="34" s="1" a="1"/>
  <c r="CB410" i="34" s="1"/>
  <c r="BZ410" i="34"/>
  <c r="CC410" i="34" a="1"/>
  <c r="CC410" i="34" s="1"/>
  <c r="CE410" i="34"/>
  <c r="CF410" i="34"/>
  <c r="CH410" i="34" s="1" a="1"/>
  <c r="CH410" i="34"/>
  <c r="CI410" i="34" a="1"/>
  <c r="CI410" i="34" s="1"/>
  <c r="CK410" i="34"/>
  <c r="CL410" i="34"/>
  <c r="CN410" i="34" a="1"/>
  <c r="CN410" i="34"/>
  <c r="CO410" i="34" a="1"/>
  <c r="CO410" i="34"/>
  <c r="CQ410" i="34" a="1"/>
  <c r="CQ410" i="34"/>
  <c r="CT410" i="34" s="1" a="1"/>
  <c r="CT410" i="34" s="1"/>
  <c r="CR410" i="34"/>
  <c r="CW410" i="34"/>
  <c r="CX410" i="34"/>
  <c r="DC410" i="34"/>
  <c r="DD410" i="34"/>
  <c r="DF410" i="34" a="1"/>
  <c r="DF410" i="34" s="1"/>
  <c r="DG410" i="34" a="1"/>
  <c r="DG410" i="34"/>
  <c r="DI410" i="34"/>
  <c r="DJ410" i="34"/>
  <c r="DL410" i="34" a="1"/>
  <c r="DL410" i="34" s="1"/>
  <c r="DM410" i="34" a="1"/>
  <c r="DM410" i="34" s="1"/>
  <c r="DO410" i="34"/>
  <c r="DP410" i="34"/>
  <c r="DR410" i="34" a="1"/>
  <c r="DR410" i="34"/>
  <c r="DS410" i="34" a="1"/>
  <c r="DS410" i="34" s="1"/>
  <c r="DU410" i="34"/>
  <c r="DY410" i="34" s="1" a="1"/>
  <c r="DY410" i="34" s="1"/>
  <c r="DV410" i="34"/>
  <c r="DX410" i="34" a="1"/>
  <c r="DX410" i="34"/>
  <c r="EA410" i="34"/>
  <c r="EE410" i="34" s="1" a="1"/>
  <c r="EE410" i="34" s="1"/>
  <c r="EB410" i="34"/>
  <c r="ED410" i="34" a="1"/>
  <c r="ED410" i="34"/>
  <c r="BS411" i="34"/>
  <c r="BT411" i="34"/>
  <c r="BV411" i="34" a="1"/>
  <c r="BV411" i="34" s="1"/>
  <c r="BW411" i="34" a="1"/>
  <c r="BW411" i="34" s="1"/>
  <c r="BY411" i="34"/>
  <c r="CB411" i="34" s="1" a="1"/>
  <c r="CB411" i="34" s="1"/>
  <c r="BZ411" i="34"/>
  <c r="CE411" i="34"/>
  <c r="CF411" i="34"/>
  <c r="CK411" i="34"/>
  <c r="CL411" i="34"/>
  <c r="CN411" i="34" a="1"/>
  <c r="CN411" i="34" s="1"/>
  <c r="CO411" i="34" a="1"/>
  <c r="CO411" i="34" s="1"/>
  <c r="CQ411" i="34" a="1"/>
  <c r="CQ411" i="34" s="1"/>
  <c r="CT411" i="34" s="1" a="1"/>
  <c r="CT411" i="34" s="1"/>
  <c r="CR411" i="34"/>
  <c r="CW411" i="34"/>
  <c r="CX411" i="34"/>
  <c r="CZ411" i="34" a="1"/>
  <c r="CZ411" i="34"/>
  <c r="DA411" i="34" a="1"/>
  <c r="DA411" i="34"/>
  <c r="DC411" i="34"/>
  <c r="DG411" i="34" s="1" a="1"/>
  <c r="DG411" i="34" s="1"/>
  <c r="DD411" i="34"/>
  <c r="DF411" i="34" s="1" a="1"/>
  <c r="DF411" i="34" s="1"/>
  <c r="DI411" i="34"/>
  <c r="DJ411" i="34"/>
  <c r="DL411" i="34" a="1"/>
  <c r="DL411" i="34" s="1"/>
  <c r="DO411" i="34"/>
  <c r="DS411" i="34" s="1" a="1"/>
  <c r="DS411" i="34" s="1"/>
  <c r="DP411" i="34"/>
  <c r="DR411" i="34" s="1" a="1"/>
  <c r="DR411" i="34" s="1"/>
  <c r="DU411" i="34"/>
  <c r="DX411" i="34" s="1" a="1"/>
  <c r="DX411" i="34" s="1"/>
  <c r="DV411" i="34"/>
  <c r="EA411" i="34"/>
  <c r="EB411" i="34"/>
  <c r="BS412" i="34"/>
  <c r="BV412" i="34" s="1" a="1"/>
  <c r="BV412" i="34" s="1"/>
  <c r="BT412" i="34"/>
  <c r="BW412" i="34" a="1"/>
  <c r="BW412" i="34" s="1"/>
  <c r="BY412" i="34"/>
  <c r="BZ412" i="34"/>
  <c r="CB412" i="34" s="1" a="1"/>
  <c r="CB412" i="34" s="1"/>
  <c r="CC412" i="34" a="1"/>
  <c r="CC412" i="34" s="1"/>
  <c r="CE412" i="34"/>
  <c r="CF412" i="34"/>
  <c r="CH412" i="34" a="1"/>
  <c r="CH412" i="34"/>
  <c r="CI412" i="34" a="1"/>
  <c r="CI412" i="34"/>
  <c r="CK412" i="34"/>
  <c r="CO412" i="34" s="1" a="1"/>
  <c r="CO412" i="34" s="1"/>
  <c r="CL412" i="34"/>
  <c r="CN412" i="34" a="1"/>
  <c r="CN412" i="34" s="1"/>
  <c r="CQ412" i="34" a="1"/>
  <c r="CQ412" i="34"/>
  <c r="CR412" i="34"/>
  <c r="CW412" i="34"/>
  <c r="CX412" i="34"/>
  <c r="CZ412" i="34" a="1"/>
  <c r="CZ412" i="34" s="1"/>
  <c r="DA412" i="34" a="1"/>
  <c r="DA412" i="34"/>
  <c r="DC412" i="34"/>
  <c r="DD412" i="34"/>
  <c r="DF412" i="34" a="1"/>
  <c r="DF412" i="34" s="1"/>
  <c r="DG412" i="34" a="1"/>
  <c r="DG412" i="34"/>
  <c r="DI412" i="34"/>
  <c r="DJ412" i="34"/>
  <c r="DL412" i="34" a="1"/>
  <c r="DL412" i="34"/>
  <c r="DM412" i="34" a="1"/>
  <c r="DM412" i="34"/>
  <c r="DO412" i="34"/>
  <c r="DS412" i="34" s="1" a="1"/>
  <c r="DS412" i="34" s="1"/>
  <c r="DP412" i="34"/>
  <c r="DR412" i="34" a="1"/>
  <c r="DR412" i="34"/>
  <c r="DU412" i="34"/>
  <c r="DY412" i="34" s="1" a="1"/>
  <c r="DY412" i="34" s="1"/>
  <c r="DV412" i="34"/>
  <c r="DX412" i="34" a="1"/>
  <c r="DX412" i="34"/>
  <c r="EA412" i="34"/>
  <c r="EB412" i="34"/>
  <c r="ED412" i="34" a="1"/>
  <c r="ED412" i="34" s="1"/>
  <c r="EE412" i="34" a="1"/>
  <c r="EE412" i="34" s="1"/>
  <c r="BS413" i="34"/>
  <c r="BV413" i="34" s="1" a="1"/>
  <c r="BV413" i="34" s="1"/>
  <c r="BT413" i="34"/>
  <c r="BY413" i="34"/>
  <c r="BZ413" i="34"/>
  <c r="CE413" i="34"/>
  <c r="CF413" i="34"/>
  <c r="CH413" i="34" a="1"/>
  <c r="CH413" i="34" s="1"/>
  <c r="CI413" i="34" a="1"/>
  <c r="CI413" i="34" s="1"/>
  <c r="CK413" i="34"/>
  <c r="CL413" i="34"/>
  <c r="CN413" i="34" a="1"/>
  <c r="CN413" i="34" s="1"/>
  <c r="CO413" i="34" a="1"/>
  <c r="CO413" i="34" s="1"/>
  <c r="CQ413" i="34" a="1"/>
  <c r="CQ413" i="34" s="1"/>
  <c r="CR413" i="34"/>
  <c r="CW413" i="34"/>
  <c r="DA413" i="34" s="1" a="1"/>
  <c r="DA413" i="34" s="1"/>
  <c r="CX413" i="34"/>
  <c r="CZ413" i="34" s="1" a="1"/>
  <c r="CZ413" i="34" s="1"/>
  <c r="DC413" i="34"/>
  <c r="DG413" i="34" s="1" a="1"/>
  <c r="DG413" i="34" s="1"/>
  <c r="DD413" i="34"/>
  <c r="DF413" i="34" a="1"/>
  <c r="DF413" i="34" s="1"/>
  <c r="DI413" i="34"/>
  <c r="DM413" i="34" s="1" a="1"/>
  <c r="DM413" i="34" s="1"/>
  <c r="DJ413" i="34"/>
  <c r="DL413" i="34" s="1" a="1"/>
  <c r="DL413" i="34" s="1"/>
  <c r="DO413" i="34"/>
  <c r="DR413" i="34" s="1" a="1"/>
  <c r="DR413" i="34" s="1"/>
  <c r="DP413" i="34"/>
  <c r="DU413" i="34"/>
  <c r="DV413" i="34"/>
  <c r="EA413" i="34"/>
  <c r="ED413" i="34" s="1" a="1"/>
  <c r="ED413" i="34" s="1"/>
  <c r="EB413" i="34"/>
  <c r="EE413" i="34" a="1"/>
  <c r="EE413" i="34" s="1"/>
  <c r="BS414" i="34"/>
  <c r="BT414" i="34"/>
  <c r="BV414" i="34" s="1" a="1"/>
  <c r="BV414" i="34" s="1"/>
  <c r="BW414" i="34" a="1"/>
  <c r="BW414" i="34" s="1"/>
  <c r="BY414" i="34"/>
  <c r="BZ414" i="34"/>
  <c r="CB414" i="34" a="1"/>
  <c r="CB414" i="34"/>
  <c r="CC414" i="34" a="1"/>
  <c r="CC414" i="34"/>
  <c r="CE414" i="34"/>
  <c r="CI414" i="34" s="1" a="1"/>
  <c r="CI414" i="34" s="1"/>
  <c r="CF414" i="34"/>
  <c r="CH414" i="34" a="1"/>
  <c r="CH414" i="34" s="1"/>
  <c r="CK414" i="34"/>
  <c r="CO414" i="34" s="1" a="1"/>
  <c r="CO414" i="34" s="1"/>
  <c r="CL414" i="34"/>
  <c r="CN414" i="34" s="1" a="1"/>
  <c r="CN414" i="34" s="1"/>
  <c r="CQ414" i="34" a="1"/>
  <c r="CQ414" i="34"/>
  <c r="CR414" i="34"/>
  <c r="CT414" i="34" a="1"/>
  <c r="CT414" i="34" s="1"/>
  <c r="CU414" i="34" a="1"/>
  <c r="CU414" i="34"/>
  <c r="CW414" i="34"/>
  <c r="CX414" i="34"/>
  <c r="CZ414" i="34" a="1"/>
  <c r="CZ414" i="34" s="1"/>
  <c r="DA414" i="34" a="1"/>
  <c r="DA414" i="34"/>
  <c r="DC414" i="34"/>
  <c r="DD414" i="34"/>
  <c r="DF414" i="34" a="1"/>
  <c r="DF414" i="34"/>
  <c r="DG414" i="34" a="1"/>
  <c r="DG414" i="34"/>
  <c r="DI414" i="34"/>
  <c r="DM414" i="34" s="1" a="1"/>
  <c r="DM414" i="34" s="1"/>
  <c r="DJ414" i="34"/>
  <c r="DL414" i="34" a="1"/>
  <c r="DL414" i="34" s="1"/>
  <c r="DO414" i="34"/>
  <c r="DS414" i="34" s="1" a="1"/>
  <c r="DS414" i="34" s="1"/>
  <c r="DP414" i="34"/>
  <c r="DR414" i="34" a="1"/>
  <c r="DR414" i="34"/>
  <c r="DU414" i="34"/>
  <c r="DV414" i="34"/>
  <c r="DX414" i="34" a="1"/>
  <c r="DX414" i="34" s="1"/>
  <c r="DY414" i="34" a="1"/>
  <c r="DY414" i="34" s="1"/>
  <c r="EA414" i="34"/>
  <c r="ED414" i="34" s="1" a="1"/>
  <c r="ED414" i="34" s="1"/>
  <c r="EB414" i="34"/>
  <c r="BS415" i="34"/>
  <c r="BT415" i="34"/>
  <c r="BY415" i="34"/>
  <c r="BZ415" i="34"/>
  <c r="CB415" i="34" a="1"/>
  <c r="CB415" i="34" s="1"/>
  <c r="CC415" i="34" a="1"/>
  <c r="CC415" i="34" s="1"/>
  <c r="CE415" i="34"/>
  <c r="CF415" i="34"/>
  <c r="CH415" i="34" a="1"/>
  <c r="CH415" i="34" s="1"/>
  <c r="CI415" i="34" a="1"/>
  <c r="CI415" i="34" s="1"/>
  <c r="CK415" i="34"/>
  <c r="CL415" i="34"/>
  <c r="CN415" i="34" a="1"/>
  <c r="CN415" i="34"/>
  <c r="CO415" i="34" a="1"/>
  <c r="CO415" i="34" s="1"/>
  <c r="CQ415" i="34" a="1"/>
  <c r="CQ415" i="34" s="1"/>
  <c r="CR415" i="34"/>
  <c r="CW415" i="34"/>
  <c r="CX415" i="34"/>
  <c r="CZ415" i="34" s="1" a="1"/>
  <c r="CZ415" i="34" s="1"/>
  <c r="DC415" i="34"/>
  <c r="DG415" i="34" s="1" a="1"/>
  <c r="DG415" i="34" s="1"/>
  <c r="DD415" i="34"/>
  <c r="DF415" i="34" s="1" a="1"/>
  <c r="DF415" i="34" s="1"/>
  <c r="DI415" i="34"/>
  <c r="DL415" i="34" s="1" a="1"/>
  <c r="DL415" i="34" s="1"/>
  <c r="DJ415" i="34"/>
  <c r="DO415" i="34"/>
  <c r="DP415" i="34"/>
  <c r="DU415" i="34"/>
  <c r="DX415" i="34" s="1" a="1"/>
  <c r="DX415" i="34" s="1"/>
  <c r="DV415" i="34"/>
  <c r="DY415" i="34" a="1"/>
  <c r="DY415" i="34" s="1"/>
  <c r="EA415" i="34"/>
  <c r="EB415" i="34"/>
  <c r="ED415" i="34" s="1" a="1"/>
  <c r="ED415" i="34" s="1"/>
  <c r="EE415" i="34" a="1"/>
  <c r="EE415" i="34" s="1"/>
  <c r="BS416" i="34"/>
  <c r="BT416" i="34"/>
  <c r="BV416" i="34" a="1"/>
  <c r="BV416" i="34"/>
  <c r="BW416" i="34" a="1"/>
  <c r="BW416" i="34"/>
  <c r="BY416" i="34"/>
  <c r="CC416" i="34" s="1" a="1"/>
  <c r="CC416" i="34" s="1"/>
  <c r="BZ416" i="34"/>
  <c r="CB416" i="34" a="1"/>
  <c r="CB416" i="34" s="1"/>
  <c r="CE416" i="34"/>
  <c r="CI416" i="34" s="1" a="1"/>
  <c r="CI416" i="34" s="1"/>
  <c r="CF416" i="34"/>
  <c r="CH416" i="34" s="1" a="1"/>
  <c r="CH416" i="34" s="1"/>
  <c r="CK416" i="34"/>
  <c r="CO416" i="34" s="1" a="1"/>
  <c r="CO416" i="34" s="1"/>
  <c r="CL416" i="34"/>
  <c r="CN416" i="34" a="1"/>
  <c r="CN416" i="34"/>
  <c r="CQ416" i="34" a="1"/>
  <c r="CQ416" i="34" s="1"/>
  <c r="CT416" i="34" s="1" a="1"/>
  <c r="CT416" i="34" s="1"/>
  <c r="CR416" i="34"/>
  <c r="CW416" i="34"/>
  <c r="CX416" i="34"/>
  <c r="CZ416" i="34" a="1"/>
  <c r="CZ416" i="34"/>
  <c r="DA416" i="34" a="1"/>
  <c r="DA416" i="34"/>
  <c r="DC416" i="34"/>
  <c r="DG416" i="34" s="1" a="1"/>
  <c r="DG416" i="34" s="1"/>
  <c r="DD416" i="34"/>
  <c r="DF416" i="34" a="1"/>
  <c r="DF416" i="34"/>
  <c r="DI416" i="34"/>
  <c r="DM416" i="34" s="1" a="1"/>
  <c r="DM416" i="34" s="1"/>
  <c r="DJ416" i="34"/>
  <c r="DL416" i="34" a="1"/>
  <c r="DL416" i="34" s="1"/>
  <c r="DO416" i="34"/>
  <c r="DP416" i="34"/>
  <c r="DR416" i="34" a="1"/>
  <c r="DR416" i="34" s="1"/>
  <c r="DS416" i="34" a="1"/>
  <c r="DS416" i="34" s="1"/>
  <c r="DU416" i="34"/>
  <c r="DX416" i="34" s="1" a="1"/>
  <c r="DX416" i="34" s="1"/>
  <c r="DV416" i="34"/>
  <c r="EA416" i="34"/>
  <c r="EB416" i="34"/>
  <c r="BS417" i="34"/>
  <c r="BT417" i="34"/>
  <c r="BV417" i="34" a="1"/>
  <c r="BV417" i="34" s="1"/>
  <c r="BW417" i="34" a="1"/>
  <c r="BW417" i="34" s="1"/>
  <c r="BY417" i="34"/>
  <c r="BZ417" i="34"/>
  <c r="CB417" i="34" a="1"/>
  <c r="CB417" i="34" s="1"/>
  <c r="CC417" i="34" a="1"/>
  <c r="CC417" i="34" s="1"/>
  <c r="CE417" i="34"/>
  <c r="CF417" i="34"/>
  <c r="CH417" i="34" a="1"/>
  <c r="CH417" i="34" s="1"/>
  <c r="CI417" i="34" a="1"/>
  <c r="CI417" i="34" s="1"/>
  <c r="CK417" i="34"/>
  <c r="CO417" i="34" s="1" a="1"/>
  <c r="CO417" i="34" s="1"/>
  <c r="CL417" i="34"/>
  <c r="CN417" i="34" a="1"/>
  <c r="CN417" i="34" s="1"/>
  <c r="CQ417" i="34" a="1"/>
  <c r="CQ417" i="34" s="1"/>
  <c r="CU417" i="34" s="1" a="1"/>
  <c r="CU417" i="34" s="1"/>
  <c r="CR417" i="34"/>
  <c r="CT417" i="34" a="1"/>
  <c r="CT417" i="34" s="1"/>
  <c r="CW417" i="34"/>
  <c r="DA417" i="34" s="1" a="1"/>
  <c r="DA417" i="34" s="1"/>
  <c r="CX417" i="34"/>
  <c r="CZ417" i="34" s="1" a="1"/>
  <c r="CZ417" i="34" s="1"/>
  <c r="DC417" i="34"/>
  <c r="DF417" i="34" s="1" a="1"/>
  <c r="DF417" i="34" s="1"/>
  <c r="DD417" i="34"/>
  <c r="DI417" i="34"/>
  <c r="DJ417" i="34"/>
  <c r="DO417" i="34"/>
  <c r="DR417" i="34" s="1" a="1"/>
  <c r="DP417" i="34"/>
  <c r="DR417" i="34"/>
  <c r="DS417" i="34" a="1"/>
  <c r="DS417" i="34" s="1"/>
  <c r="DU417" i="34"/>
  <c r="DV417" i="34"/>
  <c r="DX417" i="34" s="1" a="1"/>
  <c r="DX417" i="34" s="1"/>
  <c r="DY417" i="34" a="1"/>
  <c r="DY417" i="34" s="1"/>
  <c r="EA417" i="34"/>
  <c r="EB417" i="34"/>
  <c r="ED417" i="34" a="1"/>
  <c r="ED417" i="34"/>
  <c r="EE417" i="34" a="1"/>
  <c r="EE417" i="34"/>
  <c r="BS418" i="34"/>
  <c r="BW418" i="34" s="1" a="1"/>
  <c r="BW418" i="34" s="1"/>
  <c r="BT418" i="34"/>
  <c r="BV418" i="34" s="1" a="1"/>
  <c r="BV418" i="34" s="1"/>
  <c r="BY418" i="34"/>
  <c r="BZ418" i="34"/>
  <c r="CB418" i="34" a="1"/>
  <c r="CB418" i="34" s="1"/>
  <c r="CE418" i="34"/>
  <c r="CI418" i="34" s="1" a="1"/>
  <c r="CI418" i="34" s="1"/>
  <c r="CF418" i="34"/>
  <c r="CH418" i="34" s="1" a="1"/>
  <c r="CH418" i="34" s="1"/>
  <c r="CK418" i="34"/>
  <c r="CL418" i="34"/>
  <c r="CQ418" i="34" a="1"/>
  <c r="CQ418" i="34" s="1"/>
  <c r="CR418" i="34"/>
  <c r="CW418" i="34"/>
  <c r="DA418" i="34" s="1" a="1"/>
  <c r="DA418" i="34" s="1"/>
  <c r="CX418" i="34"/>
  <c r="CZ418" i="34" a="1"/>
  <c r="CZ418" i="34"/>
  <c r="DC418" i="34"/>
  <c r="DG418" i="34" s="1" a="1"/>
  <c r="DG418" i="34" s="1"/>
  <c r="DD418" i="34"/>
  <c r="DF418" i="34" a="1"/>
  <c r="DF418" i="34" s="1"/>
  <c r="DI418" i="34"/>
  <c r="DJ418" i="34"/>
  <c r="DL418" i="34" a="1"/>
  <c r="DL418" i="34" s="1"/>
  <c r="DM418" i="34" a="1"/>
  <c r="DM418" i="34" s="1"/>
  <c r="DO418" i="34"/>
  <c r="DP418" i="34"/>
  <c r="DU418" i="34"/>
  <c r="DV418" i="34"/>
  <c r="EA418" i="34"/>
  <c r="EB418" i="34"/>
  <c r="ED418" i="34" a="1"/>
  <c r="ED418" i="34" s="1"/>
  <c r="EE418" i="34" a="1"/>
  <c r="EE418" i="34" s="1"/>
  <c r="BS419" i="34"/>
  <c r="BT419" i="34"/>
  <c r="BV419" i="34" a="1"/>
  <c r="BV419" i="34" s="1"/>
  <c r="BW419" i="34" a="1"/>
  <c r="BW419" i="34" s="1"/>
  <c r="BY419" i="34"/>
  <c r="BZ419" i="34"/>
  <c r="CB419" i="34" a="1"/>
  <c r="CB419" i="34" s="1"/>
  <c r="CC419" i="34" a="1"/>
  <c r="CC419" i="34" s="1"/>
  <c r="CE419" i="34"/>
  <c r="CI419" i="34" s="1" a="1"/>
  <c r="CI419" i="34" s="1"/>
  <c r="CF419" i="34"/>
  <c r="CH419" i="34" a="1"/>
  <c r="CH419" i="34"/>
  <c r="CK419" i="34"/>
  <c r="CO419" i="34" s="1" a="1"/>
  <c r="CO419" i="34" s="1"/>
  <c r="CL419" i="34"/>
  <c r="CN419" i="34" a="1"/>
  <c r="CN419" i="34" s="1"/>
  <c r="CQ419" i="34" a="1"/>
  <c r="CQ419" i="34" s="1"/>
  <c r="CR419" i="34"/>
  <c r="CW419" i="34"/>
  <c r="CX419" i="34"/>
  <c r="DC419" i="34"/>
  <c r="DD419" i="34"/>
  <c r="DI419" i="34"/>
  <c r="DL419" i="34" s="1" a="1"/>
  <c r="DJ419" i="34"/>
  <c r="DL419" i="34"/>
  <c r="DM419" i="34" a="1"/>
  <c r="DM419" i="34" s="1"/>
  <c r="DO419" i="34"/>
  <c r="DP419" i="34"/>
  <c r="DR419" i="34" s="1" a="1"/>
  <c r="DR419" i="34" s="1"/>
  <c r="DS419" i="34" a="1"/>
  <c r="DS419" i="34" s="1"/>
  <c r="DU419" i="34"/>
  <c r="DV419" i="34"/>
  <c r="DX419" i="34" a="1"/>
  <c r="DX419" i="34"/>
  <c r="DY419" i="34" a="1"/>
  <c r="DY419" i="34"/>
  <c r="EA419" i="34"/>
  <c r="EB419" i="34"/>
  <c r="ED419" i="34" s="1" a="1"/>
  <c r="ED419" i="34" s="1"/>
  <c r="BS420" i="34"/>
  <c r="BT420" i="34"/>
  <c r="BV420" i="34" a="1"/>
  <c r="BV420" i="34" s="1"/>
  <c r="BY420" i="34"/>
  <c r="CC420" i="34" s="1" a="1"/>
  <c r="CC420" i="34" s="1"/>
  <c r="BZ420" i="34"/>
  <c r="CB420" i="34" s="1" a="1"/>
  <c r="CB420" i="34" s="1"/>
  <c r="CE420" i="34"/>
  <c r="CF420" i="34"/>
  <c r="CK420" i="34"/>
  <c r="CL420" i="34"/>
  <c r="CQ420" i="34" a="1"/>
  <c r="CQ420" i="34"/>
  <c r="CU420" i="34" s="1" a="1"/>
  <c r="CU420" i="34" s="1"/>
  <c r="CR420" i="34"/>
  <c r="CT420" i="34" a="1"/>
  <c r="CT420" i="34" s="1"/>
  <c r="CW420" i="34"/>
  <c r="DA420" i="34" s="1" a="1"/>
  <c r="DA420" i="34" s="1"/>
  <c r="CX420" i="34"/>
  <c r="CZ420" i="34" a="1"/>
  <c r="CZ420" i="34" s="1"/>
  <c r="DC420" i="34"/>
  <c r="DD420" i="34"/>
  <c r="DF420" i="34" a="1"/>
  <c r="DF420" i="34" s="1"/>
  <c r="DG420" i="34" a="1"/>
  <c r="DG420" i="34" s="1"/>
  <c r="DI420" i="34"/>
  <c r="DJ420" i="34"/>
  <c r="DO420" i="34"/>
  <c r="DP420" i="34"/>
  <c r="DU420" i="34"/>
  <c r="DV420" i="34"/>
  <c r="DX420" i="34" a="1"/>
  <c r="DX420" i="34" s="1"/>
  <c r="DY420" i="34" a="1"/>
  <c r="DY420" i="34" s="1"/>
  <c r="EA420" i="34"/>
  <c r="EB420" i="34"/>
  <c r="ED420" i="34" a="1"/>
  <c r="ED420" i="34" s="1"/>
  <c r="EE420" i="34" a="1"/>
  <c r="EE420" i="34" s="1"/>
  <c r="BS421" i="34"/>
  <c r="BT421" i="34"/>
  <c r="BV421" i="34" a="1"/>
  <c r="BV421" i="34"/>
  <c r="BW421" i="34" a="1"/>
  <c r="BW421" i="34" s="1"/>
  <c r="BY421" i="34"/>
  <c r="CC421" i="34" s="1" a="1"/>
  <c r="CC421" i="34" s="1"/>
  <c r="BZ421" i="34"/>
  <c r="CE421" i="34"/>
  <c r="CI421" i="34" s="1" a="1"/>
  <c r="CI421" i="34" s="1"/>
  <c r="CF421" i="34"/>
  <c r="CH421" i="34" a="1"/>
  <c r="CH421" i="34"/>
  <c r="CK421" i="34"/>
  <c r="CL421" i="34"/>
  <c r="CN421" i="34" a="1"/>
  <c r="CN421" i="34" s="1"/>
  <c r="CO421" i="34" a="1"/>
  <c r="CO421" i="34" s="1"/>
  <c r="CQ421" i="34" a="1"/>
  <c r="CQ421" i="34"/>
  <c r="CR421" i="34"/>
  <c r="CW421" i="34"/>
  <c r="CX421" i="34"/>
  <c r="DC421" i="34"/>
  <c r="DD421" i="34"/>
  <c r="DG421" i="34" s="1" a="1"/>
  <c r="DG421" i="34" s="1"/>
  <c r="DI421" i="34"/>
  <c r="DJ421" i="34"/>
  <c r="DL421" i="34" s="1" a="1"/>
  <c r="DL421" i="34" s="1"/>
  <c r="DM421" i="34" a="1"/>
  <c r="DM421" i="34" s="1"/>
  <c r="DO421" i="34"/>
  <c r="DP421" i="34"/>
  <c r="DR421" i="34" a="1"/>
  <c r="DR421" i="34"/>
  <c r="DS421" i="34" a="1"/>
  <c r="DS421" i="34"/>
  <c r="DU421" i="34"/>
  <c r="DY421" i="34" s="1" a="1"/>
  <c r="DY421" i="34" s="1"/>
  <c r="DV421" i="34"/>
  <c r="DX421" i="34" s="1" a="1"/>
  <c r="DX421" i="34" s="1"/>
  <c r="EA421" i="34"/>
  <c r="EE421" i="34" s="1" a="1"/>
  <c r="EE421" i="34" s="1"/>
  <c r="EB421" i="34"/>
  <c r="ED421" i="34" s="1" a="1"/>
  <c r="ED421" i="34" s="1"/>
  <c r="BS422" i="34"/>
  <c r="BW422" i="34" s="1" a="1"/>
  <c r="BT422" i="34"/>
  <c r="BV422" i="34" s="1" a="1"/>
  <c r="BV422" i="34" s="1"/>
  <c r="BW422" i="34"/>
  <c r="BY422" i="34"/>
  <c r="BZ422" i="34"/>
  <c r="CE422" i="34"/>
  <c r="CF422" i="34"/>
  <c r="CK422" i="34"/>
  <c r="CL422" i="34"/>
  <c r="CO422" i="34" s="1" a="1"/>
  <c r="CO422" i="34" s="1"/>
  <c r="CQ422" i="34" a="1"/>
  <c r="CQ422" i="34"/>
  <c r="CU422" i="34" s="1" a="1"/>
  <c r="CU422" i="34" s="1"/>
  <c r="CR422" i="34"/>
  <c r="CT422" i="34" a="1"/>
  <c r="CT422" i="34"/>
  <c r="CW422" i="34"/>
  <c r="CX422" i="34"/>
  <c r="CZ422" i="34" a="1"/>
  <c r="CZ422" i="34" s="1"/>
  <c r="DA422" i="34" a="1"/>
  <c r="DA422" i="34" s="1"/>
  <c r="DC422" i="34"/>
  <c r="DD422" i="34"/>
  <c r="DI422" i="34"/>
  <c r="DJ422" i="34"/>
  <c r="DO422" i="34"/>
  <c r="DR422" i="34" s="1" a="1"/>
  <c r="DR422" i="34" s="1"/>
  <c r="DP422" i="34"/>
  <c r="DS422" i="34" a="1"/>
  <c r="DS422" i="34" s="1"/>
  <c r="DU422" i="34"/>
  <c r="DV422" i="34"/>
  <c r="DX422" i="34" a="1"/>
  <c r="DX422" i="34" s="1"/>
  <c r="DY422" i="34" a="1"/>
  <c r="DY422" i="34"/>
  <c r="EA422" i="34"/>
  <c r="EB422" i="34"/>
  <c r="ED422" i="34" a="1"/>
  <c r="ED422" i="34"/>
  <c r="EE422" i="34" a="1"/>
  <c r="EE422" i="34" s="1"/>
  <c r="BS423" i="34"/>
  <c r="BW423" i="34" s="1" a="1"/>
  <c r="BW423" i="34" s="1"/>
  <c r="BT423" i="34"/>
  <c r="BY423" i="34"/>
  <c r="CC423" i="34" s="1" a="1"/>
  <c r="CC423" i="34" s="1"/>
  <c r="BZ423" i="34"/>
  <c r="CB423" i="34" a="1"/>
  <c r="CB423" i="34"/>
  <c r="CE423" i="34"/>
  <c r="CF423" i="34"/>
  <c r="CH423" i="34" a="1"/>
  <c r="CH423" i="34" s="1"/>
  <c r="CI423" i="34" a="1"/>
  <c r="CI423" i="34" s="1"/>
  <c r="CK423" i="34"/>
  <c r="CL423" i="34"/>
  <c r="CQ423" i="34" a="1"/>
  <c r="CQ423" i="34"/>
  <c r="CR423" i="34"/>
  <c r="CW423" i="34"/>
  <c r="CZ423" i="34" s="1" a="1"/>
  <c r="CZ423" i="34" s="1"/>
  <c r="CX423" i="34"/>
  <c r="DC423" i="34"/>
  <c r="DD423" i="34"/>
  <c r="DF423" i="34" s="1" a="1"/>
  <c r="DF423" i="34"/>
  <c r="DG423" i="34" a="1"/>
  <c r="DG423" i="34" s="1"/>
  <c r="DI423" i="34"/>
  <c r="DJ423" i="34"/>
  <c r="DL423" i="34" a="1"/>
  <c r="DL423" i="34"/>
  <c r="DM423" i="34" a="1"/>
  <c r="DM423" i="34"/>
  <c r="DO423" i="34"/>
  <c r="DS423" i="34" s="1" a="1"/>
  <c r="DS423" i="34" s="1"/>
  <c r="DP423" i="34"/>
  <c r="DR423" i="34" a="1"/>
  <c r="DR423" i="34" s="1"/>
  <c r="DU423" i="34"/>
  <c r="DY423" i="34" s="1" a="1"/>
  <c r="DY423" i="34" s="1"/>
  <c r="DV423" i="34"/>
  <c r="DX423" i="34" a="1"/>
  <c r="DX423" i="34" s="1"/>
  <c r="EA423" i="34"/>
  <c r="EE423" i="34" s="1" a="1"/>
  <c r="EE423" i="34" s="1"/>
  <c r="EB423" i="34"/>
  <c r="ED423" i="34" a="1"/>
  <c r="ED423" i="34" s="1"/>
  <c r="BS424" i="34"/>
  <c r="BT424" i="34"/>
  <c r="BY424" i="34"/>
  <c r="BZ424" i="34"/>
  <c r="CE424" i="34"/>
  <c r="CF424" i="34"/>
  <c r="CI424" i="34" s="1" a="1"/>
  <c r="CI424" i="34" s="1"/>
  <c r="CK424" i="34"/>
  <c r="CL424" i="34"/>
  <c r="CN424" i="34" s="1" a="1"/>
  <c r="CN424" i="34" s="1"/>
  <c r="CO424" i="34" a="1"/>
  <c r="CO424" i="34" s="1"/>
  <c r="CQ424" i="34" a="1"/>
  <c r="CQ424" i="34"/>
  <c r="CR424" i="34"/>
  <c r="CT424" i="34" a="1"/>
  <c r="CT424" i="34" s="1"/>
  <c r="CU424" i="34" a="1"/>
  <c r="CU424" i="34" s="1"/>
  <c r="CW424" i="34"/>
  <c r="CX424" i="34"/>
  <c r="DC424" i="34"/>
  <c r="DD424" i="34"/>
  <c r="DI424" i="34"/>
  <c r="DJ424" i="34"/>
  <c r="DL424" i="34" a="1"/>
  <c r="DL424" i="34" s="1"/>
  <c r="DM424" i="34" a="1"/>
  <c r="DM424" i="34" s="1"/>
  <c r="DO424" i="34"/>
  <c r="DP424" i="34"/>
  <c r="DR424" i="34" a="1"/>
  <c r="DR424" i="34" s="1"/>
  <c r="DS424" i="34" a="1"/>
  <c r="DS424" i="34"/>
  <c r="DU424" i="34"/>
  <c r="DV424" i="34"/>
  <c r="DX424" i="34" a="1"/>
  <c r="DX424" i="34"/>
  <c r="DY424" i="34" a="1"/>
  <c r="DY424" i="34"/>
  <c r="EA424" i="34"/>
  <c r="EE424" i="34" s="1" a="1"/>
  <c r="EE424" i="34" s="1"/>
  <c r="EB424" i="34"/>
  <c r="ED424" i="34" a="1"/>
  <c r="ED424" i="34"/>
  <c r="BS425" i="34"/>
  <c r="BW425" i="34" s="1" a="1"/>
  <c r="BW425" i="34" s="1"/>
  <c r="BT425" i="34"/>
  <c r="BV425" i="34" a="1"/>
  <c r="BV425" i="34" s="1"/>
  <c r="BY425" i="34"/>
  <c r="BZ425" i="34"/>
  <c r="CB425" i="34" a="1"/>
  <c r="CB425" i="34" s="1"/>
  <c r="CC425" i="34" a="1"/>
  <c r="CC425" i="34" s="1"/>
  <c r="CE425" i="34"/>
  <c r="CF425" i="34"/>
  <c r="CK425" i="34"/>
  <c r="CL425" i="34"/>
  <c r="CQ425" i="34" a="1"/>
  <c r="CQ425" i="34"/>
  <c r="CU425" i="34" s="1" a="1"/>
  <c r="CU425" i="34" s="1"/>
  <c r="CR425" i="34"/>
  <c r="CW425" i="34"/>
  <c r="CX425" i="34"/>
  <c r="CZ425" i="34" s="1" a="1"/>
  <c r="CZ425" i="34"/>
  <c r="DA425" i="34" a="1"/>
  <c r="DA425" i="34" s="1"/>
  <c r="DC425" i="34"/>
  <c r="DD425" i="34"/>
  <c r="DF425" i="34" a="1"/>
  <c r="DF425" i="34"/>
  <c r="DG425" i="34" a="1"/>
  <c r="DG425" i="34"/>
  <c r="DI425" i="34"/>
  <c r="DM425" i="34" s="1" a="1"/>
  <c r="DM425" i="34" s="1"/>
  <c r="DJ425" i="34"/>
  <c r="DL425" i="34" a="1"/>
  <c r="DL425" i="34" s="1"/>
  <c r="DO425" i="34"/>
  <c r="DS425" i="34" s="1" a="1"/>
  <c r="DS425" i="34" s="1"/>
  <c r="DP425" i="34"/>
  <c r="DR425" i="34" a="1"/>
  <c r="DR425" i="34" s="1"/>
  <c r="DU425" i="34"/>
  <c r="DY425" i="34" s="1" a="1"/>
  <c r="DV425" i="34"/>
  <c r="DX425" i="34" a="1"/>
  <c r="DX425" i="34" s="1"/>
  <c r="DY425" i="34"/>
  <c r="EA425" i="34"/>
  <c r="EB425" i="34"/>
  <c r="BS426" i="34"/>
  <c r="BT426" i="34"/>
  <c r="BY426" i="34"/>
  <c r="BZ426" i="34"/>
  <c r="CC426" i="34" s="1" a="1"/>
  <c r="CC426" i="34" s="1"/>
  <c r="CE426" i="34"/>
  <c r="CF426" i="34"/>
  <c r="CH426" i="34" s="1" a="1"/>
  <c r="CH426" i="34" s="1"/>
  <c r="CI426" i="34" a="1"/>
  <c r="CI426" i="34" s="1"/>
  <c r="CK426" i="34"/>
  <c r="CL426" i="34"/>
  <c r="CN426" i="34" a="1"/>
  <c r="CN426" i="34"/>
  <c r="CO426" i="34" a="1"/>
  <c r="CO426" i="34" s="1"/>
  <c r="CQ426" i="34" a="1"/>
  <c r="CQ426" i="34"/>
  <c r="CR426" i="34"/>
  <c r="CW426" i="34"/>
  <c r="CX426" i="34"/>
  <c r="DC426" i="34"/>
  <c r="DF426" i="34" s="1" a="1"/>
  <c r="DF426" i="34" s="1"/>
  <c r="DD426" i="34"/>
  <c r="DI426" i="34"/>
  <c r="DJ426" i="34"/>
  <c r="DL426" i="34" a="1"/>
  <c r="DL426" i="34" s="1"/>
  <c r="DM426" i="34" a="1"/>
  <c r="DM426" i="34" s="1"/>
  <c r="DO426" i="34"/>
  <c r="DP426" i="34"/>
  <c r="DR426" i="34" a="1"/>
  <c r="DR426" i="34"/>
  <c r="DS426" i="34" a="1"/>
  <c r="DS426" i="34"/>
  <c r="DU426" i="34"/>
  <c r="DY426" i="34" s="1" a="1"/>
  <c r="DY426" i="34" s="1"/>
  <c r="DV426" i="34"/>
  <c r="EA426" i="34"/>
  <c r="EE426" i="34" s="1" a="1"/>
  <c r="EE426" i="34" s="1"/>
  <c r="EB426" i="34"/>
  <c r="ED426" i="34" a="1"/>
  <c r="ED426" i="34" s="1"/>
  <c r="BS427" i="34"/>
  <c r="BT427" i="34"/>
  <c r="BV427" i="34" a="1"/>
  <c r="BV427" i="34"/>
  <c r="BW427" i="34" a="1"/>
  <c r="BW427" i="34" s="1"/>
  <c r="BY427" i="34"/>
  <c r="BZ427" i="34"/>
  <c r="CC427" i="34" a="1"/>
  <c r="CC427" i="34" s="1"/>
  <c r="CE427" i="34"/>
  <c r="CF427" i="34"/>
  <c r="CK427" i="34"/>
  <c r="CL427" i="34"/>
  <c r="CN427" i="34" a="1"/>
  <c r="CN427" i="34" s="1"/>
  <c r="CO427" i="34" a="1"/>
  <c r="CO427" i="34" s="1"/>
  <c r="CQ427" i="34" a="1"/>
  <c r="CQ427" i="34" s="1"/>
  <c r="CU427" i="34" s="1" a="1"/>
  <c r="CU427" i="34" s="1"/>
  <c r="CR427" i="34"/>
  <c r="CW427" i="34"/>
  <c r="CX427" i="34"/>
  <c r="CZ427" i="34" a="1"/>
  <c r="CZ427" i="34"/>
  <c r="DA427" i="34" a="1"/>
  <c r="DA427" i="34" s="1"/>
  <c r="DC427" i="34"/>
  <c r="DG427" i="34" s="1" a="1"/>
  <c r="DD427" i="34"/>
  <c r="DF427" i="34" s="1" a="1"/>
  <c r="DF427" i="34" s="1"/>
  <c r="DG427" i="34"/>
  <c r="DI427" i="34"/>
  <c r="DM427" i="34" s="1" a="1"/>
  <c r="DM427" i="34" s="1"/>
  <c r="DJ427" i="34"/>
  <c r="DL427" i="34" s="1" a="1"/>
  <c r="DL427" i="34" s="1"/>
  <c r="DO427" i="34"/>
  <c r="DS427" i="34" s="1" a="1"/>
  <c r="DP427" i="34"/>
  <c r="DR427" i="34" s="1" a="1"/>
  <c r="DR427" i="34" s="1"/>
  <c r="DS427" i="34"/>
  <c r="DU427" i="34"/>
  <c r="DV427" i="34"/>
  <c r="EA427" i="34"/>
  <c r="EB427" i="34"/>
  <c r="BS428" i="34"/>
  <c r="BT428" i="34"/>
  <c r="BY428" i="34"/>
  <c r="BZ428" i="34"/>
  <c r="CB428" i="34" s="1" a="1"/>
  <c r="CB428" i="34" s="1"/>
  <c r="CC428" i="34" a="1"/>
  <c r="CC428" i="34" s="1"/>
  <c r="CE428" i="34"/>
  <c r="CF428" i="34"/>
  <c r="CH428" i="34" a="1"/>
  <c r="CH428" i="34"/>
  <c r="CI428" i="34" a="1"/>
  <c r="CI428" i="34"/>
  <c r="CK428" i="34"/>
  <c r="CO428" i="34" s="1" a="1"/>
  <c r="CL428" i="34"/>
  <c r="CN428" i="34" a="1"/>
  <c r="CN428" i="34" s="1"/>
  <c r="CO428" i="34"/>
  <c r="CQ428" i="34" a="1"/>
  <c r="CQ428" i="34"/>
  <c r="CR428" i="34"/>
  <c r="CW428" i="34"/>
  <c r="CX428" i="34"/>
  <c r="CZ428" i="34" a="1"/>
  <c r="CZ428" i="34" s="1"/>
  <c r="DA428" i="34" a="1"/>
  <c r="DA428" i="34" s="1"/>
  <c r="DC428" i="34"/>
  <c r="DD428" i="34"/>
  <c r="DF428" i="34" a="1"/>
  <c r="DF428" i="34" s="1"/>
  <c r="DG428" i="34" a="1"/>
  <c r="DG428" i="34" s="1"/>
  <c r="DI428" i="34"/>
  <c r="DJ428" i="34"/>
  <c r="DL428" i="34" a="1"/>
  <c r="DL428" i="34"/>
  <c r="DM428" i="34" a="1"/>
  <c r="DM428" i="34"/>
  <c r="DO428" i="34"/>
  <c r="DS428" i="34" s="1" a="1"/>
  <c r="DS428" i="34" s="1"/>
  <c r="DP428" i="34"/>
  <c r="DR428" i="34" a="1"/>
  <c r="DR428" i="34" s="1"/>
  <c r="DU428" i="34"/>
  <c r="DY428" i="34" s="1" a="1"/>
  <c r="DY428" i="34" s="1"/>
  <c r="DV428" i="34"/>
  <c r="DX428" i="34" a="1"/>
  <c r="DX428" i="34" s="1"/>
  <c r="EA428" i="34"/>
  <c r="EB428" i="34"/>
  <c r="ED428" i="34" a="1"/>
  <c r="ED428" i="34"/>
  <c r="EE428" i="34" a="1"/>
  <c r="EE428" i="34" s="1"/>
  <c r="BS429" i="34"/>
  <c r="BV429" i="34" s="1" a="1"/>
  <c r="BV429" i="34" s="1"/>
  <c r="BT429" i="34"/>
  <c r="BW429" i="34" a="1"/>
  <c r="BW429" i="34" s="1"/>
  <c r="BY429" i="34"/>
  <c r="BZ429" i="34"/>
  <c r="CE429" i="34"/>
  <c r="CH429" i="34" s="1" a="1"/>
  <c r="CH429" i="34" s="1"/>
  <c r="CF429" i="34"/>
  <c r="CI429" i="34" a="1"/>
  <c r="CI429" i="34"/>
  <c r="CK429" i="34"/>
  <c r="CL429" i="34"/>
  <c r="CN429" i="34" a="1"/>
  <c r="CN429" i="34" s="1"/>
  <c r="CO429" i="34" a="1"/>
  <c r="CO429" i="34"/>
  <c r="CQ429" i="34" a="1"/>
  <c r="CQ429" i="34" s="1"/>
  <c r="CR429" i="34"/>
  <c r="CW429" i="34"/>
  <c r="CX429" i="34"/>
  <c r="CZ429" i="34" s="1" a="1"/>
  <c r="CZ429" i="34" s="1"/>
  <c r="DC429" i="34"/>
  <c r="DD429" i="34"/>
  <c r="DF429" i="34" s="1" a="1"/>
  <c r="DF429" i="34" s="1"/>
  <c r="DI429" i="34"/>
  <c r="DM429" i="34" s="1" a="1"/>
  <c r="DJ429" i="34"/>
  <c r="DL429" i="34" s="1" a="1"/>
  <c r="DL429" i="34"/>
  <c r="DM429" i="34"/>
  <c r="DO429" i="34"/>
  <c r="DR429" i="34" s="1" a="1"/>
  <c r="DP429" i="34"/>
  <c r="DR429" i="34"/>
  <c r="DU429" i="34"/>
  <c r="DV429" i="34"/>
  <c r="EA429" i="34"/>
  <c r="EE429" i="34" s="1" a="1"/>
  <c r="EE429" i="34" s="1"/>
  <c r="EB429" i="34"/>
  <c r="BS430" i="34"/>
  <c r="BT430" i="34"/>
  <c r="BV430" i="34" a="1"/>
  <c r="BV430" i="34" s="1"/>
  <c r="BW430" i="34" a="1"/>
  <c r="BW430" i="34" s="1"/>
  <c r="BY430" i="34"/>
  <c r="BZ430" i="34"/>
  <c r="CB430" i="34" a="1"/>
  <c r="CB430" i="34"/>
  <c r="CC430" i="34" a="1"/>
  <c r="CC430" i="34" s="1"/>
  <c r="CE430" i="34"/>
  <c r="CF430" i="34"/>
  <c r="CH430" i="34" a="1"/>
  <c r="CH430" i="34" s="1"/>
  <c r="CK430" i="34"/>
  <c r="CO430" i="34" s="1" a="1"/>
  <c r="CO430" i="34" s="1"/>
  <c r="CL430" i="34"/>
  <c r="CQ430" i="34" a="1"/>
  <c r="CQ430" i="34"/>
  <c r="CR430" i="34"/>
  <c r="CW430" i="34"/>
  <c r="CX430" i="34"/>
  <c r="CZ430" i="34" a="1"/>
  <c r="CZ430" i="34" s="1"/>
  <c r="DA430" i="34" a="1"/>
  <c r="DA430" i="34"/>
  <c r="DC430" i="34"/>
  <c r="DD430" i="34"/>
  <c r="DF430" i="34" a="1"/>
  <c r="DF430" i="34"/>
  <c r="DG430" i="34" a="1"/>
  <c r="DG430" i="34" s="1"/>
  <c r="DI430" i="34"/>
  <c r="DM430" i="34" s="1" a="1"/>
  <c r="DM430" i="34" s="1"/>
  <c r="DJ430" i="34"/>
  <c r="DO430" i="34"/>
  <c r="DP430" i="34"/>
  <c r="DR430" i="34" s="1" a="1"/>
  <c r="DR430" i="34" s="1"/>
  <c r="DU430" i="34"/>
  <c r="DV430" i="34"/>
  <c r="DX430" i="34" s="1" a="1"/>
  <c r="DX430" i="34" s="1"/>
  <c r="EA430" i="34"/>
  <c r="EB430" i="34"/>
  <c r="EE430" i="34" s="1" a="1"/>
  <c r="EE430" i="34" s="1"/>
  <c r="BS431" i="34"/>
  <c r="BT431" i="34"/>
  <c r="BY431" i="34"/>
  <c r="BZ431" i="34"/>
  <c r="CB431" i="34" s="1" a="1"/>
  <c r="CB431" i="34" s="1"/>
  <c r="CE431" i="34"/>
  <c r="CF431" i="34"/>
  <c r="CH431" i="34" a="1"/>
  <c r="CH431" i="34" s="1"/>
  <c r="CI431" i="34" a="1"/>
  <c r="CI431" i="34"/>
  <c r="CK431" i="34"/>
  <c r="CL431" i="34"/>
  <c r="CN431" i="34" a="1"/>
  <c r="CN431" i="34"/>
  <c r="CO431" i="34" a="1"/>
  <c r="CO431" i="34" s="1"/>
  <c r="CQ431" i="34" a="1"/>
  <c r="CQ431" i="34" s="1"/>
  <c r="CU431" i="34" s="1" a="1"/>
  <c r="CR431" i="34"/>
  <c r="CU431" i="34"/>
  <c r="CW431" i="34"/>
  <c r="DA431" i="34" s="1" a="1"/>
  <c r="DA431" i="34" s="1"/>
  <c r="CX431" i="34"/>
  <c r="DC431" i="34"/>
  <c r="DD431" i="34"/>
  <c r="DF431" i="34" a="1"/>
  <c r="DF431" i="34" s="1"/>
  <c r="DI431" i="34"/>
  <c r="DL431" i="34" s="1" a="1"/>
  <c r="DJ431" i="34"/>
  <c r="DL431" i="34"/>
  <c r="DO431" i="34"/>
  <c r="DR431" i="34" s="1" a="1"/>
  <c r="DR431" i="34" s="1"/>
  <c r="DP431" i="34"/>
  <c r="DS431" i="34" a="1"/>
  <c r="DS431" i="34"/>
  <c r="DU431" i="34"/>
  <c r="DY431" i="34" s="1" a="1"/>
  <c r="DY431" i="34" s="1"/>
  <c r="DV431" i="34"/>
  <c r="EA431" i="34"/>
  <c r="EB431" i="34"/>
  <c r="BS432" i="34"/>
  <c r="BT432" i="34"/>
  <c r="BV432" i="34" a="1"/>
  <c r="BV432" i="34" s="1"/>
  <c r="BW432" i="34" a="1"/>
  <c r="BW432" i="34"/>
  <c r="BY432" i="34"/>
  <c r="BZ432" i="34"/>
  <c r="CC432" i="34" s="1" a="1"/>
  <c r="CC432" i="34" s="1"/>
  <c r="CB432" i="34" a="1"/>
  <c r="CB432" i="34" s="1"/>
  <c r="CE432" i="34"/>
  <c r="CF432" i="34"/>
  <c r="CH432" i="34" a="1"/>
  <c r="CH432" i="34" s="1"/>
  <c r="CK432" i="34"/>
  <c r="CO432" i="34" s="1" a="1"/>
  <c r="CO432" i="34" s="1"/>
  <c r="CL432" i="34"/>
  <c r="CQ432" i="34" a="1"/>
  <c r="CQ432" i="34" s="1"/>
  <c r="CT432" i="34" s="1" a="1"/>
  <c r="CT432" i="34" s="1"/>
  <c r="CR432" i="34"/>
  <c r="CU432" i="34" a="1"/>
  <c r="CU432" i="34" s="1"/>
  <c r="CW432" i="34"/>
  <c r="CX432" i="34"/>
  <c r="CZ432" i="34" a="1"/>
  <c r="CZ432" i="34"/>
  <c r="DA432" i="34" a="1"/>
  <c r="DA432" i="34" s="1"/>
  <c r="DC432" i="34"/>
  <c r="DG432" i="34" s="1" a="1"/>
  <c r="DG432" i="34" s="1"/>
  <c r="DD432" i="34"/>
  <c r="DF432" i="34" a="1"/>
  <c r="DF432" i="34" s="1"/>
  <c r="DI432" i="34"/>
  <c r="DM432" i="34" s="1" a="1"/>
  <c r="DM432" i="34" s="1"/>
  <c r="DJ432" i="34"/>
  <c r="DO432" i="34"/>
  <c r="DR432" i="34" s="1" a="1"/>
  <c r="DR432" i="34" s="1"/>
  <c r="DP432" i="34"/>
  <c r="DU432" i="34"/>
  <c r="DV432" i="34"/>
  <c r="EA432" i="34"/>
  <c r="ED432" i="34" s="1" a="1"/>
  <c r="ED432" i="34" s="1"/>
  <c r="EB432" i="34"/>
  <c r="BS433" i="34"/>
  <c r="BT433" i="34"/>
  <c r="BV433" i="34" a="1"/>
  <c r="BV433" i="34" s="1"/>
  <c r="BW433" i="34" a="1"/>
  <c r="BW433" i="34" s="1"/>
  <c r="BY433" i="34"/>
  <c r="BZ433" i="34"/>
  <c r="CB433" i="34" a="1"/>
  <c r="CB433" i="34"/>
  <c r="CC433" i="34" a="1"/>
  <c r="CC433" i="34" s="1"/>
  <c r="CE433" i="34"/>
  <c r="CF433" i="34"/>
  <c r="CH433" i="34" a="1"/>
  <c r="CH433" i="34" s="1"/>
  <c r="CI433" i="34" a="1"/>
  <c r="CI433" i="34" s="1"/>
  <c r="CK433" i="34"/>
  <c r="CO433" i="34" s="1" a="1"/>
  <c r="CO433" i="34" s="1"/>
  <c r="CL433" i="34"/>
  <c r="CN433" i="34" a="1"/>
  <c r="CN433" i="34" s="1"/>
  <c r="CQ433" i="34" a="1"/>
  <c r="CQ433" i="34" s="1"/>
  <c r="CU433" i="34" s="1" a="1"/>
  <c r="CR433" i="34"/>
  <c r="CT433" i="34" a="1"/>
  <c r="CT433" i="34" s="1"/>
  <c r="CU433" i="34"/>
  <c r="CW433" i="34"/>
  <c r="DA433" i="34" s="1" a="1"/>
  <c r="DA433" i="34" s="1"/>
  <c r="CX433" i="34"/>
  <c r="DC433" i="34"/>
  <c r="DF433" i="34" s="1" a="1"/>
  <c r="DF433" i="34" s="1"/>
  <c r="DD433" i="34"/>
  <c r="DI433" i="34"/>
  <c r="DL433" i="34" s="1" a="1"/>
  <c r="DL433" i="34" s="1"/>
  <c r="DJ433" i="34"/>
  <c r="DO433" i="34"/>
  <c r="DP433" i="34"/>
  <c r="DU433" i="34"/>
  <c r="DV433" i="34"/>
  <c r="DX433" i="34" a="1"/>
  <c r="DX433" i="34" s="1"/>
  <c r="DY433" i="34" a="1"/>
  <c r="DY433" i="34" s="1"/>
  <c r="EA433" i="34"/>
  <c r="EB433" i="34"/>
  <c r="ED433" i="34" s="1" a="1"/>
  <c r="ED433" i="34" s="1"/>
  <c r="BS434" i="34"/>
  <c r="BW434" i="34" s="1" a="1"/>
  <c r="BW434" i="34" s="1"/>
  <c r="BT434" i="34"/>
  <c r="BV434" i="34" s="1" a="1"/>
  <c r="BV434" i="34" s="1"/>
  <c r="BY434" i="34"/>
  <c r="CC434" i="34" s="1" a="1"/>
  <c r="BZ434" i="34"/>
  <c r="CC434" i="34"/>
  <c r="CE434" i="34"/>
  <c r="CI434" i="34" s="1" a="1"/>
  <c r="CF434" i="34"/>
  <c r="CH434" i="34" a="1"/>
  <c r="CH434" i="34"/>
  <c r="CI434" i="34"/>
  <c r="CK434" i="34"/>
  <c r="CN434" i="34" s="1" a="1"/>
  <c r="CN434" i="34" s="1"/>
  <c r="CL434" i="34"/>
  <c r="CO434" i="34" a="1"/>
  <c r="CO434" i="34" s="1"/>
  <c r="CQ434" i="34" a="1"/>
  <c r="CQ434" i="34" s="1"/>
  <c r="CT434" i="34" s="1" a="1"/>
  <c r="CT434" i="34" s="1"/>
  <c r="CR434" i="34"/>
  <c r="CW434" i="34"/>
  <c r="DA434" i="34" s="1" a="1"/>
  <c r="DA434" i="34" s="1"/>
  <c r="CX434" i="34"/>
  <c r="CZ434" i="34" a="1"/>
  <c r="CZ434" i="34"/>
  <c r="DC434" i="34"/>
  <c r="DG434" i="34" s="1" a="1"/>
  <c r="DG434" i="34" s="1"/>
  <c r="DD434" i="34"/>
  <c r="DI434" i="34"/>
  <c r="DJ434" i="34"/>
  <c r="DO434" i="34"/>
  <c r="DR434" i="34" s="1" a="1"/>
  <c r="DR434" i="34" s="1"/>
  <c r="DP434" i="34"/>
  <c r="DS434" i="34" a="1"/>
  <c r="DS434" i="34" s="1"/>
  <c r="DU434" i="34"/>
  <c r="DV434" i="34"/>
  <c r="DY434" i="34" a="1"/>
  <c r="DY434" i="34" s="1"/>
  <c r="EA434" i="34"/>
  <c r="ED434" i="34" s="1" a="1"/>
  <c r="ED434" i="34" s="1"/>
  <c r="EB434" i="34"/>
  <c r="EE434" i="34" a="1"/>
  <c r="EE434" i="34" s="1"/>
  <c r="BS435" i="34"/>
  <c r="BT435" i="34"/>
  <c r="BV435" i="34" a="1"/>
  <c r="BV435" i="34" s="1"/>
  <c r="BW435" i="34" a="1"/>
  <c r="BW435" i="34"/>
  <c r="BY435" i="34"/>
  <c r="BZ435" i="34"/>
  <c r="CB435" i="34" a="1"/>
  <c r="CB435" i="34"/>
  <c r="CC435" i="34" a="1"/>
  <c r="CC435" i="34" s="1"/>
  <c r="CE435" i="34"/>
  <c r="CF435" i="34"/>
  <c r="CH435" i="34" a="1"/>
  <c r="CH435" i="34"/>
  <c r="CI435" i="34" a="1"/>
  <c r="CI435" i="34" s="1"/>
  <c r="CK435" i="34"/>
  <c r="CN435" i="34" s="1" a="1"/>
  <c r="CN435" i="34" s="1"/>
  <c r="CL435" i="34"/>
  <c r="CO435" i="34" a="1"/>
  <c r="CO435" i="34" s="1"/>
  <c r="CQ435" i="34" a="1"/>
  <c r="CQ435" i="34"/>
  <c r="CT435" i="34" s="1" a="1"/>
  <c r="CT435" i="34" s="1"/>
  <c r="CR435" i="34"/>
  <c r="CW435" i="34"/>
  <c r="CX435" i="34"/>
  <c r="DC435" i="34"/>
  <c r="DF435" i="34" s="1" a="1"/>
  <c r="DF435" i="34" s="1"/>
  <c r="DD435" i="34"/>
  <c r="DG435" i="34" a="1"/>
  <c r="DG435" i="34" s="1"/>
  <c r="DI435" i="34"/>
  <c r="DL435" i="34" s="1" a="1"/>
  <c r="DJ435" i="34"/>
  <c r="DL435" i="34"/>
  <c r="DM435" i="34" a="1"/>
  <c r="DM435" i="34" s="1"/>
  <c r="DO435" i="34"/>
  <c r="DP435" i="34"/>
  <c r="DR435" i="34" s="1" a="1"/>
  <c r="DR435" i="34" s="1"/>
  <c r="DS435" i="34" a="1"/>
  <c r="DS435" i="34" s="1"/>
  <c r="DU435" i="34"/>
  <c r="DV435" i="34"/>
  <c r="DY435" i="34" s="1" a="1"/>
  <c r="DY435" i="34" s="1"/>
  <c r="DX435" i="34" a="1"/>
  <c r="DX435" i="34" s="1"/>
  <c r="EA435" i="34"/>
  <c r="EE435" i="34" s="1" a="1"/>
  <c r="EE435" i="34" s="1"/>
  <c r="EB435" i="34"/>
  <c r="ED435" i="34" a="1"/>
  <c r="ED435" i="34" s="1"/>
  <c r="BS436" i="34"/>
  <c r="BW436" i="34" s="1" a="1"/>
  <c r="BW436" i="34" s="1"/>
  <c r="BT436" i="34"/>
  <c r="BV436" i="34" a="1"/>
  <c r="BV436" i="34" s="1"/>
  <c r="BY436" i="34"/>
  <c r="CB436" i="34" s="1" a="1"/>
  <c r="CB436" i="34" s="1"/>
  <c r="BZ436" i="34"/>
  <c r="CE436" i="34"/>
  <c r="CF436" i="34"/>
  <c r="CK436" i="34"/>
  <c r="CN436" i="34" s="1" a="1"/>
  <c r="CN436" i="34" s="1"/>
  <c r="CL436" i="34"/>
  <c r="CO436" i="34" a="1"/>
  <c r="CO436" i="34" s="1"/>
  <c r="CQ436" i="34" a="1"/>
  <c r="CQ436" i="34" s="1"/>
  <c r="CU436" i="34" s="1" a="1"/>
  <c r="CU436" i="34" s="1"/>
  <c r="CR436" i="34"/>
  <c r="CT436" i="34" a="1"/>
  <c r="CT436" i="34" s="1"/>
  <c r="CW436" i="34"/>
  <c r="CZ436" i="34" s="1" a="1"/>
  <c r="CZ436" i="34" s="1"/>
  <c r="CX436" i="34"/>
  <c r="DA436" i="34" a="1"/>
  <c r="DA436" i="34" s="1"/>
  <c r="DC436" i="34"/>
  <c r="DF436" i="34" s="1" a="1"/>
  <c r="DF436" i="34" s="1"/>
  <c r="DD436" i="34"/>
  <c r="DI436" i="34"/>
  <c r="DJ436" i="34"/>
  <c r="DO436" i="34"/>
  <c r="DP436" i="34"/>
  <c r="DR436" i="34" s="1" a="1"/>
  <c r="DR436" i="34" s="1"/>
  <c r="DU436" i="34"/>
  <c r="DX436" i="34" s="1" a="1"/>
  <c r="DX436" i="34" s="1"/>
  <c r="DV436" i="34"/>
  <c r="DY436" i="34" a="1"/>
  <c r="DY436" i="34"/>
  <c r="EA436" i="34"/>
  <c r="ED436" i="34" s="1" a="1"/>
  <c r="ED436" i="34" s="1"/>
  <c r="EB436" i="34"/>
  <c r="BS437" i="34"/>
  <c r="BT437" i="34"/>
  <c r="BV437" i="34" a="1"/>
  <c r="BV437" i="34"/>
  <c r="BW437" i="34" a="1"/>
  <c r="BW437" i="34" s="1"/>
  <c r="BY437" i="34"/>
  <c r="BZ437" i="34"/>
  <c r="CB437" i="34" a="1"/>
  <c r="CB437" i="34"/>
  <c r="CC437" i="34" a="1"/>
  <c r="CC437" i="34" s="1"/>
  <c r="CE437" i="34"/>
  <c r="CH437" i="34" s="1" a="1"/>
  <c r="CH437" i="34" s="1"/>
  <c r="CF437" i="34"/>
  <c r="CI437" i="34" a="1"/>
  <c r="CI437" i="34" s="1"/>
  <c r="CK437" i="34"/>
  <c r="CN437" i="34" s="1" a="1"/>
  <c r="CN437" i="34" s="1"/>
  <c r="CL437" i="34"/>
  <c r="CQ437" i="34" a="1"/>
  <c r="CQ437" i="34" s="1"/>
  <c r="CR437" i="34"/>
  <c r="CW437" i="34"/>
  <c r="CZ437" i="34" s="1" a="1"/>
  <c r="CZ437" i="34" s="1"/>
  <c r="CX437" i="34"/>
  <c r="DA437" i="34" a="1"/>
  <c r="DA437" i="34" s="1"/>
  <c r="DC437" i="34"/>
  <c r="DF437" i="34" s="1" a="1"/>
  <c r="DD437" i="34"/>
  <c r="DF437" i="34"/>
  <c r="DG437" i="34" a="1"/>
  <c r="DG437" i="34" s="1"/>
  <c r="DI437" i="34"/>
  <c r="DJ437" i="34"/>
  <c r="DL437" i="34" s="1" a="1"/>
  <c r="DL437" i="34" s="1"/>
  <c r="DM437" i="34" a="1"/>
  <c r="DM437" i="34" s="1"/>
  <c r="DO437" i="34"/>
  <c r="DP437" i="34"/>
  <c r="DS437" i="34" s="1" a="1"/>
  <c r="DS437" i="34" s="1"/>
  <c r="DR437" i="34" a="1"/>
  <c r="DR437" i="34" s="1"/>
  <c r="DU437" i="34"/>
  <c r="DY437" i="34" s="1" a="1"/>
  <c r="DY437" i="34" s="1"/>
  <c r="DV437" i="34"/>
  <c r="DX437" i="34" a="1"/>
  <c r="DX437" i="34" s="1"/>
  <c r="EA437" i="34"/>
  <c r="EE437" i="34" s="1" a="1"/>
  <c r="EE437" i="34" s="1"/>
  <c r="EB437" i="34"/>
  <c r="ED437" i="34" a="1"/>
  <c r="ED437" i="34" s="1"/>
  <c r="BS438" i="34"/>
  <c r="BV438" i="34" s="1" a="1"/>
  <c r="BV438" i="34" s="1"/>
  <c r="BT438" i="34"/>
  <c r="BY438" i="34"/>
  <c r="BZ438" i="34"/>
  <c r="CE438" i="34"/>
  <c r="CH438" i="34" s="1" a="1"/>
  <c r="CH438" i="34" s="1"/>
  <c r="CF438" i="34"/>
  <c r="CI438" i="34" a="1"/>
  <c r="CI438" i="34" s="1"/>
  <c r="CK438" i="34"/>
  <c r="CN438" i="34" s="1" a="1"/>
  <c r="CL438" i="34"/>
  <c r="CN438" i="34"/>
  <c r="CO438" i="34" a="1"/>
  <c r="CO438" i="34" s="1"/>
  <c r="CQ438" i="34" a="1"/>
  <c r="CQ438" i="34"/>
  <c r="CT438" i="34" s="1" a="1"/>
  <c r="CT438" i="34" s="1"/>
  <c r="CR438" i="34"/>
  <c r="CU438" i="34" a="1"/>
  <c r="CU438" i="34" s="1"/>
  <c r="CW438" i="34"/>
  <c r="CZ438" i="34" s="1" a="1"/>
  <c r="CZ438" i="34" s="1"/>
  <c r="CX438" i="34"/>
  <c r="DC438" i="34"/>
  <c r="DD438" i="34"/>
  <c r="DI438" i="34"/>
  <c r="DJ438" i="34"/>
  <c r="DL438" i="34" s="1" a="1"/>
  <c r="DL438" i="34" s="1"/>
  <c r="DO438" i="34"/>
  <c r="DR438" i="34" s="1" a="1"/>
  <c r="DR438" i="34" s="1"/>
  <c r="DP438" i="34"/>
  <c r="DS438" i="34" a="1"/>
  <c r="DS438" i="34" s="1"/>
  <c r="DU438" i="34"/>
  <c r="DX438" i="34" s="1" a="1"/>
  <c r="DX438" i="34" s="1"/>
  <c r="DV438" i="34"/>
  <c r="EA438" i="34"/>
  <c r="EE438" i="34" s="1" a="1"/>
  <c r="EE438" i="34" s="1"/>
  <c r="EB438" i="34"/>
  <c r="ED438" i="34" a="1"/>
  <c r="ED438" i="34"/>
  <c r="BS439" i="34"/>
  <c r="BT439" i="34"/>
  <c r="BV439" i="34" a="1"/>
  <c r="BV439" i="34"/>
  <c r="BW439" i="34" a="1"/>
  <c r="BW439" i="34" s="1"/>
  <c r="BY439" i="34"/>
  <c r="CB439" i="34" s="1" a="1"/>
  <c r="CB439" i="34" s="1"/>
  <c r="BZ439" i="34"/>
  <c r="CC439" i="34" a="1"/>
  <c r="CC439" i="34" s="1"/>
  <c r="CE439" i="34"/>
  <c r="CH439" i="34" s="1" a="1"/>
  <c r="CH439" i="34" s="1"/>
  <c r="CF439" i="34"/>
  <c r="CK439" i="34"/>
  <c r="CL439" i="34"/>
  <c r="CQ439" i="34" a="1"/>
  <c r="CQ439" i="34"/>
  <c r="CT439" i="34" s="1" a="1"/>
  <c r="CT439" i="34" s="1"/>
  <c r="CR439" i="34"/>
  <c r="CU439" i="34" a="1"/>
  <c r="CU439" i="34" s="1"/>
  <c r="CW439" i="34"/>
  <c r="CZ439" i="34" s="1" a="1"/>
  <c r="CX439" i="34"/>
  <c r="CZ439" i="34"/>
  <c r="DA439" i="34" a="1"/>
  <c r="DA439" i="34" s="1"/>
  <c r="DC439" i="34"/>
  <c r="DD439" i="34"/>
  <c r="DF439" i="34" s="1" a="1"/>
  <c r="DF439" i="34" s="1"/>
  <c r="DG439" i="34" a="1"/>
  <c r="DG439" i="34" s="1"/>
  <c r="DI439" i="34"/>
  <c r="DJ439" i="34"/>
  <c r="DM439" i="34" s="1" a="1"/>
  <c r="DM439" i="34" s="1"/>
  <c r="DL439" i="34" a="1"/>
  <c r="DL439" i="34" s="1"/>
  <c r="DO439" i="34"/>
  <c r="DS439" i="34" s="1" a="1"/>
  <c r="DS439" i="34" s="1"/>
  <c r="DP439" i="34"/>
  <c r="DR439" i="34" a="1"/>
  <c r="DR439" i="34" s="1"/>
  <c r="DU439" i="34"/>
  <c r="DY439" i="34" s="1" a="1"/>
  <c r="DY439" i="34" s="1"/>
  <c r="DV439" i="34"/>
  <c r="DX439" i="34" a="1"/>
  <c r="DX439" i="34" s="1"/>
  <c r="EA439" i="34"/>
  <c r="ED439" i="34" s="1" a="1"/>
  <c r="ED439" i="34" s="1"/>
  <c r="EB439" i="34"/>
  <c r="BS440" i="34"/>
  <c r="BT440" i="34"/>
  <c r="BY440" i="34"/>
  <c r="CB440" i="34" s="1" a="1"/>
  <c r="CB440" i="34" s="1"/>
  <c r="BZ440" i="34"/>
  <c r="CC440" i="34" a="1"/>
  <c r="CC440" i="34" s="1"/>
  <c r="CE440" i="34"/>
  <c r="CH440" i="34" s="1" a="1"/>
  <c r="CF440" i="34"/>
  <c r="CH440" i="34"/>
  <c r="CI440" i="34" a="1"/>
  <c r="CI440" i="34" s="1"/>
  <c r="CK440" i="34"/>
  <c r="CL440" i="34"/>
  <c r="CN440" i="34" a="1"/>
  <c r="CN440" i="34" s="1"/>
  <c r="CO440" i="34" a="1"/>
  <c r="CO440" i="34" s="1"/>
  <c r="CQ440" i="34" a="1"/>
  <c r="CQ440" i="34"/>
  <c r="CT440" i="34" s="1" a="1"/>
  <c r="CT440" i="34" s="1"/>
  <c r="CR440" i="34"/>
  <c r="CW440" i="34"/>
  <c r="CX440" i="34"/>
  <c r="DC440" i="34"/>
  <c r="DD440" i="34"/>
  <c r="DF440" i="34" s="1" a="1"/>
  <c r="DF440" i="34" s="1"/>
  <c r="DI440" i="34"/>
  <c r="DL440" i="34" s="1" a="1"/>
  <c r="DL440" i="34" s="1"/>
  <c r="DJ440" i="34"/>
  <c r="DM440" i="34" a="1"/>
  <c r="DM440" i="34"/>
  <c r="DO440" i="34"/>
  <c r="DR440" i="34" s="1" a="1"/>
  <c r="DR440" i="34" s="1"/>
  <c r="DP440" i="34"/>
  <c r="DU440" i="34"/>
  <c r="DY440" i="34" s="1" a="1"/>
  <c r="DY440" i="34" s="1"/>
  <c r="DV440" i="34"/>
  <c r="DX440" i="34" a="1"/>
  <c r="DX440" i="34"/>
  <c r="EA440" i="34"/>
  <c r="EB440" i="34"/>
  <c r="ED440" i="34" a="1"/>
  <c r="ED440" i="34" s="1"/>
  <c r="EE440" i="34" a="1"/>
  <c r="EE440" i="34" s="1"/>
  <c r="BS441" i="34"/>
  <c r="BV441" i="34" s="1" a="1"/>
  <c r="BV441" i="34" s="1"/>
  <c r="BT441" i="34"/>
  <c r="BW441" i="34" a="1"/>
  <c r="BW441" i="34" s="1"/>
  <c r="BY441" i="34"/>
  <c r="CB441" i="34" s="1" a="1"/>
  <c r="CB441" i="34" s="1"/>
  <c r="BZ441" i="34"/>
  <c r="CE441" i="34"/>
  <c r="CF441" i="34"/>
  <c r="CK441" i="34"/>
  <c r="CL441" i="34"/>
  <c r="CN441" i="34" s="1" a="1"/>
  <c r="CN441" i="34" s="1"/>
  <c r="CQ441" i="34" a="1"/>
  <c r="CQ441" i="34" s="1"/>
  <c r="CT441" i="34" s="1" a="1"/>
  <c r="CT441" i="34" s="1"/>
  <c r="CR441" i="34"/>
  <c r="CU441" i="34" a="1"/>
  <c r="CU441" i="34" s="1"/>
  <c r="CW441" i="34"/>
  <c r="CX441" i="34"/>
  <c r="CZ441" i="34" a="1"/>
  <c r="CZ441" i="34" s="1"/>
  <c r="DA441" i="34" a="1"/>
  <c r="DA441" i="34" s="1"/>
  <c r="DC441" i="34"/>
  <c r="DD441" i="34"/>
  <c r="DG441" i="34" s="1" a="1"/>
  <c r="DG441" i="34" s="1"/>
  <c r="DF441" i="34" a="1"/>
  <c r="DF441" i="34" s="1"/>
  <c r="DI441" i="34"/>
  <c r="DM441" i="34" s="1" a="1"/>
  <c r="DM441" i="34" s="1"/>
  <c r="DJ441" i="34"/>
  <c r="DL441" i="34" a="1"/>
  <c r="DL441" i="34" s="1"/>
  <c r="DO441" i="34"/>
  <c r="DS441" i="34" s="1" a="1"/>
  <c r="DS441" i="34" s="1"/>
  <c r="DP441" i="34"/>
  <c r="DR441" i="34" a="1"/>
  <c r="DR441" i="34" s="1"/>
  <c r="DU441" i="34"/>
  <c r="DX441" i="34" s="1" a="1"/>
  <c r="DX441" i="34" s="1"/>
  <c r="DV441" i="34"/>
  <c r="EA441" i="34"/>
  <c r="EB441" i="34"/>
  <c r="BS442" i="34"/>
  <c r="BV442" i="34" s="1" a="1"/>
  <c r="BV442" i="34" s="1"/>
  <c r="BT442" i="34"/>
  <c r="BW442" i="34" a="1"/>
  <c r="BW442" i="34" s="1"/>
  <c r="BY442" i="34"/>
  <c r="CB442" i="34" s="1" a="1"/>
  <c r="BZ442" i="34"/>
  <c r="CB442" i="34"/>
  <c r="CC442" i="34" a="1"/>
  <c r="CC442" i="34" s="1"/>
  <c r="CE442" i="34"/>
  <c r="CF442" i="34"/>
  <c r="CH442" i="34" a="1"/>
  <c r="CH442" i="34" s="1"/>
  <c r="CI442" i="34" a="1"/>
  <c r="CI442" i="34" s="1"/>
  <c r="CK442" i="34"/>
  <c r="CL442" i="34"/>
  <c r="CO442" i="34" s="1" a="1"/>
  <c r="CO442" i="34" s="1"/>
  <c r="CN442" i="34" a="1"/>
  <c r="CN442" i="34" s="1"/>
  <c r="CQ442" i="34" a="1"/>
  <c r="CQ442" i="34"/>
  <c r="CR442" i="34"/>
  <c r="CW442" i="34"/>
  <c r="CX442" i="34"/>
  <c r="CZ442" i="34" s="1" a="1"/>
  <c r="CZ442" i="34" s="1"/>
  <c r="DC442" i="34"/>
  <c r="DF442" i="34" s="1" a="1"/>
  <c r="DF442" i="34" s="1"/>
  <c r="DD442" i="34"/>
  <c r="DG442" i="34" a="1"/>
  <c r="DG442" i="34" s="1"/>
  <c r="DI442" i="34"/>
  <c r="DL442" i="34" s="1" a="1"/>
  <c r="DL442" i="34" s="1"/>
  <c r="DJ442" i="34"/>
  <c r="DO442" i="34"/>
  <c r="DS442" i="34" s="1" a="1"/>
  <c r="DS442" i="34" s="1"/>
  <c r="DP442" i="34"/>
  <c r="DR442" i="34" a="1"/>
  <c r="DR442" i="34"/>
  <c r="DU442" i="34"/>
  <c r="DV442" i="34"/>
  <c r="DX442" i="34" a="1"/>
  <c r="DX442" i="34"/>
  <c r="DY442" i="34" a="1"/>
  <c r="DY442" i="34" s="1"/>
  <c r="EA442" i="34"/>
  <c r="ED442" i="34" s="1" a="1"/>
  <c r="ED442" i="34" s="1"/>
  <c r="EB442" i="34"/>
  <c r="EE442" i="34" a="1"/>
  <c r="EE442" i="34" s="1"/>
  <c r="BS443" i="34"/>
  <c r="BV443" i="34" s="1" a="1"/>
  <c r="BV443" i="34" s="1"/>
  <c r="BT443" i="34"/>
  <c r="BY443" i="34"/>
  <c r="BZ443" i="34"/>
  <c r="CE443" i="34"/>
  <c r="CF443" i="34"/>
  <c r="CH443" i="34" s="1" a="1"/>
  <c r="CH443" i="34" s="1"/>
  <c r="CK443" i="34"/>
  <c r="CN443" i="34" s="1" a="1"/>
  <c r="CN443" i="34" s="1"/>
  <c r="CL443" i="34"/>
  <c r="CO443" i="34" a="1"/>
  <c r="CO443" i="34"/>
  <c r="CQ443" i="34" a="1"/>
  <c r="CQ443" i="34" s="1"/>
  <c r="CR443" i="34"/>
  <c r="CW443" i="34"/>
  <c r="CX443" i="34"/>
  <c r="DA443" i="34" s="1" a="1"/>
  <c r="DA443" i="34" s="1"/>
  <c r="CZ443" i="34" a="1"/>
  <c r="CZ443" i="34" s="1"/>
  <c r="DC443" i="34"/>
  <c r="DD443" i="34"/>
  <c r="DF443" i="34" s="1" a="1"/>
  <c r="DF443" i="34" s="1"/>
  <c r="DI443" i="34"/>
  <c r="DM443" i="34" s="1" a="1"/>
  <c r="DM443" i="34" s="1"/>
  <c r="DJ443" i="34"/>
  <c r="DL443" i="34" a="1"/>
  <c r="DL443" i="34" s="1"/>
  <c r="DO443" i="34"/>
  <c r="DR443" i="34" s="1" a="1"/>
  <c r="DR443" i="34" s="1"/>
  <c r="DP443" i="34"/>
  <c r="DU443" i="34"/>
  <c r="DV443" i="34"/>
  <c r="EA443" i="34"/>
  <c r="ED443" i="34" s="1" a="1"/>
  <c r="ED443" i="34" s="1"/>
  <c r="EB443" i="34"/>
  <c r="EE443" i="34" a="1"/>
  <c r="EE443" i="34" s="1"/>
  <c r="BS444" i="34"/>
  <c r="BV444" i="34" s="1" a="1"/>
  <c r="BT444" i="34"/>
  <c r="BV444" i="34"/>
  <c r="BW444" i="34" a="1"/>
  <c r="BW444" i="34" s="1"/>
  <c r="BY444" i="34"/>
  <c r="BZ444" i="34"/>
  <c r="CB444" i="34" a="1"/>
  <c r="CB444" i="34" s="1"/>
  <c r="CC444" i="34" a="1"/>
  <c r="CC444" i="34" s="1"/>
  <c r="CE444" i="34"/>
  <c r="CF444" i="34"/>
  <c r="CI444" i="34" s="1" a="1"/>
  <c r="CI444" i="34" s="1"/>
  <c r="CH444" i="34" a="1"/>
  <c r="CH444" i="34" s="1"/>
  <c r="CK444" i="34"/>
  <c r="CL444" i="34"/>
  <c r="CN444" i="34" s="1" a="1"/>
  <c r="CN444" i="34" s="1"/>
  <c r="CQ444" i="34" a="1"/>
  <c r="CQ444" i="34" s="1"/>
  <c r="CR444" i="34"/>
  <c r="CW444" i="34"/>
  <c r="CZ444" i="34" s="1" a="1"/>
  <c r="CZ444" i="34" s="1"/>
  <c r="CX444" i="34"/>
  <c r="DA444" i="34" a="1"/>
  <c r="DA444" i="34"/>
  <c r="DC444" i="34"/>
  <c r="DF444" i="34" s="1" a="1"/>
  <c r="DF444" i="34" s="1"/>
  <c r="DD444" i="34"/>
  <c r="DI444" i="34"/>
  <c r="DM444" i="34" s="1" a="1"/>
  <c r="DM444" i="34" s="1"/>
  <c r="DJ444" i="34"/>
  <c r="DL444" i="34" a="1"/>
  <c r="DL444" i="34"/>
  <c r="DO444" i="34"/>
  <c r="DP444" i="34"/>
  <c r="DR444" i="34" a="1"/>
  <c r="DR444" i="34" s="1"/>
  <c r="DS444" i="34" a="1"/>
  <c r="DS444" i="34" s="1"/>
  <c r="DU444" i="34"/>
  <c r="DV444" i="34"/>
  <c r="DX444" i="34" s="1" a="1"/>
  <c r="DX444" i="34" s="1"/>
  <c r="DY444" i="34" a="1"/>
  <c r="DY444" i="34" s="1"/>
  <c r="EA444" i="34"/>
  <c r="ED444" i="34" s="1" a="1"/>
  <c r="ED444" i="34" s="1"/>
  <c r="EB444" i="34"/>
  <c r="BS445" i="34"/>
  <c r="BT445" i="34"/>
  <c r="BY445" i="34"/>
  <c r="BZ445" i="34"/>
  <c r="CB445" i="34" s="1" a="1"/>
  <c r="CB445" i="34" s="1"/>
  <c r="CE445" i="34"/>
  <c r="CH445" i="34" s="1" a="1"/>
  <c r="CH445" i="34" s="1"/>
  <c r="CF445" i="34"/>
  <c r="CI445" i="34" a="1"/>
  <c r="CI445" i="34"/>
  <c r="CK445" i="34"/>
  <c r="CN445" i="34" s="1" a="1"/>
  <c r="CN445" i="34" s="1"/>
  <c r="CL445" i="34"/>
  <c r="CQ445" i="34" a="1"/>
  <c r="CQ445" i="34" s="1"/>
  <c r="CR445" i="34"/>
  <c r="CW445" i="34"/>
  <c r="CX445" i="34"/>
  <c r="CZ445" i="34" s="1" a="1"/>
  <c r="CZ445" i="34" s="1"/>
  <c r="DC445" i="34"/>
  <c r="DG445" i="34" s="1" a="1"/>
  <c r="DG445" i="34" s="1"/>
  <c r="DD445" i="34"/>
  <c r="DF445" i="34" a="1"/>
  <c r="DF445" i="34" s="1"/>
  <c r="DI445" i="34"/>
  <c r="DL445" i="34" s="1" a="1"/>
  <c r="DL445" i="34" s="1"/>
  <c r="DJ445" i="34"/>
  <c r="DO445" i="34"/>
  <c r="DP445" i="34"/>
  <c r="DU445" i="34"/>
  <c r="DX445" i="34" s="1" a="1"/>
  <c r="DX445" i="34" s="1"/>
  <c r="DV445" i="34"/>
  <c r="DY445" i="34" a="1"/>
  <c r="DY445" i="34" s="1"/>
  <c r="EA445" i="34"/>
  <c r="ED445" i="34" s="1" a="1"/>
  <c r="ED445" i="34" s="1"/>
  <c r="EB445" i="34"/>
  <c r="EE445" i="34" a="1"/>
  <c r="EE445" i="34" s="1"/>
  <c r="BS446" i="34"/>
  <c r="BT446" i="34"/>
  <c r="BV446" i="34" a="1"/>
  <c r="BV446" i="34" s="1"/>
  <c r="BW446" i="34" a="1"/>
  <c r="BW446" i="34" s="1"/>
  <c r="BY446" i="34"/>
  <c r="BZ446" i="34"/>
  <c r="CC446" i="34" s="1" a="1"/>
  <c r="CC446" i="34" s="1"/>
  <c r="CB446" i="34" a="1"/>
  <c r="CB446" i="34" s="1"/>
  <c r="CE446" i="34"/>
  <c r="CI446" i="34" s="1" a="1"/>
  <c r="CI446" i="34" s="1"/>
  <c r="CF446" i="34"/>
  <c r="CH446" i="34" a="1"/>
  <c r="CH446" i="34" s="1"/>
  <c r="CK446" i="34"/>
  <c r="CO446" i="34" s="1" a="1"/>
  <c r="CO446" i="34" s="1"/>
  <c r="CL446" i="34"/>
  <c r="CN446" i="34" a="1"/>
  <c r="CN446" i="34" s="1"/>
  <c r="CQ446" i="34" a="1"/>
  <c r="CQ446" i="34" s="1"/>
  <c r="CT446" i="34" s="1" a="1"/>
  <c r="CT446" i="34" s="1"/>
  <c r="CR446" i="34"/>
  <c r="CU446" i="34" a="1"/>
  <c r="CU446" i="34" s="1"/>
  <c r="CW446" i="34"/>
  <c r="CZ446" i="34" s="1" a="1"/>
  <c r="CZ446" i="34" s="1"/>
  <c r="CX446" i="34"/>
  <c r="DC446" i="34"/>
  <c r="DG446" i="34" s="1" a="1"/>
  <c r="DG446" i="34" s="1"/>
  <c r="DD446" i="34"/>
  <c r="DF446" i="34" a="1"/>
  <c r="DF446" i="34"/>
  <c r="DI446" i="34"/>
  <c r="DJ446" i="34"/>
  <c r="DL446" i="34" a="1"/>
  <c r="DL446" i="34" s="1"/>
  <c r="DM446" i="34" a="1"/>
  <c r="DM446" i="34" s="1"/>
  <c r="DO446" i="34"/>
  <c r="DP446" i="34"/>
  <c r="DR446" i="34" a="1"/>
  <c r="DR446" i="34"/>
  <c r="DS446" i="34" a="1"/>
  <c r="DS446" i="34" s="1"/>
  <c r="DU446" i="34"/>
  <c r="DX446" i="34" s="1" a="1"/>
  <c r="DX446" i="34" s="1"/>
  <c r="DV446" i="34"/>
  <c r="EA446" i="34"/>
  <c r="EB446" i="34"/>
  <c r="BS447" i="34"/>
  <c r="BT447" i="34"/>
  <c r="BV447" i="34" s="1" a="1"/>
  <c r="BV447" i="34" s="1"/>
  <c r="BY447" i="34"/>
  <c r="CB447" i="34" s="1" a="1"/>
  <c r="CB447" i="34" s="1"/>
  <c r="BZ447" i="34"/>
  <c r="CC447" i="34" a="1"/>
  <c r="CC447" i="34" s="1"/>
  <c r="CE447" i="34"/>
  <c r="CH447" i="34" s="1" a="1"/>
  <c r="CH447" i="34" s="1"/>
  <c r="CF447" i="34"/>
  <c r="CK447" i="34"/>
  <c r="CO447" i="34" s="1" a="1"/>
  <c r="CO447" i="34" s="1"/>
  <c r="CL447" i="34"/>
  <c r="CN447" i="34" a="1"/>
  <c r="CN447" i="34"/>
  <c r="CQ447" i="34" a="1"/>
  <c r="CQ447" i="34" s="1"/>
  <c r="CU447" i="34" s="1" a="1"/>
  <c r="CU447" i="34" s="1"/>
  <c r="CR447" i="34"/>
  <c r="CT447" i="34" a="1"/>
  <c r="CT447" i="34" s="1"/>
  <c r="CW447" i="34"/>
  <c r="DA447" i="34" s="1" a="1"/>
  <c r="DA447" i="34" s="1"/>
  <c r="CX447" i="34"/>
  <c r="CZ447" i="34" a="1"/>
  <c r="CZ447" i="34" s="1"/>
  <c r="DC447" i="34"/>
  <c r="DF447" i="34" s="1" a="1"/>
  <c r="DF447" i="34" s="1"/>
  <c r="DD447" i="34"/>
  <c r="DI447" i="34"/>
  <c r="DJ447" i="34"/>
  <c r="DO447" i="34"/>
  <c r="DR447" i="34" s="1" a="1"/>
  <c r="DR447" i="34" s="1"/>
  <c r="DP447" i="34"/>
  <c r="DS447" i="34" a="1"/>
  <c r="DS447" i="34" s="1"/>
  <c r="DU447" i="34"/>
  <c r="DX447" i="34" s="1" a="1"/>
  <c r="DV447" i="34"/>
  <c r="DX447" i="34"/>
  <c r="DY447" i="34" a="1"/>
  <c r="DY447" i="34" s="1"/>
  <c r="EA447" i="34"/>
  <c r="EB447" i="34"/>
  <c r="ED447" i="34" a="1"/>
  <c r="ED447" i="34"/>
  <c r="EE447" i="34" a="1"/>
  <c r="EE447" i="34" s="1"/>
  <c r="BS448" i="34"/>
  <c r="BT448" i="34"/>
  <c r="BW448" i="34" s="1" a="1"/>
  <c r="BW448" i="34" s="1"/>
  <c r="BV448" i="34" a="1"/>
  <c r="BV448" i="34" s="1"/>
  <c r="BY448" i="34"/>
  <c r="BZ448" i="34"/>
  <c r="CC448" i="34" s="1" a="1"/>
  <c r="CC448" i="34" s="1"/>
  <c r="CE448" i="34"/>
  <c r="CI448" i="34" s="1" a="1"/>
  <c r="CI448" i="34" s="1"/>
  <c r="CF448" i="34"/>
  <c r="CH448" i="34" a="1"/>
  <c r="CH448" i="34" s="1"/>
  <c r="CK448" i="34"/>
  <c r="CN448" i="34" s="1" a="1"/>
  <c r="CN448" i="34" s="1"/>
  <c r="CL448" i="34"/>
  <c r="CQ448" i="34" a="1"/>
  <c r="CQ448" i="34" s="1"/>
  <c r="CR448" i="34"/>
  <c r="CW448" i="34"/>
  <c r="DA448" i="34" s="1" a="1"/>
  <c r="DA448" i="34" s="1"/>
  <c r="CX448" i="34"/>
  <c r="CZ448" i="34" a="1"/>
  <c r="CZ448" i="34"/>
  <c r="DC448" i="34"/>
  <c r="DD448" i="34"/>
  <c r="DF448" i="34" a="1"/>
  <c r="DF448" i="34" s="1"/>
  <c r="DG448" i="34" a="1"/>
  <c r="DG448" i="34" s="1"/>
  <c r="DI448" i="34"/>
  <c r="DJ448" i="34"/>
  <c r="DL448" i="34" a="1"/>
  <c r="DL448" i="34"/>
  <c r="DM448" i="34" a="1"/>
  <c r="DM448" i="34" s="1"/>
  <c r="DO448" i="34"/>
  <c r="DR448" i="34" s="1" a="1"/>
  <c r="DR448" i="34" s="1"/>
  <c r="DP448" i="34"/>
  <c r="DU448" i="34"/>
  <c r="DV448" i="34"/>
  <c r="EA448" i="34"/>
  <c r="EB448" i="34"/>
  <c r="ED448" i="34" s="1" a="1"/>
  <c r="ED448" i="34" s="1"/>
  <c r="BS449" i="34"/>
  <c r="BV449" i="34" s="1" a="1"/>
  <c r="BV449" i="34" s="1"/>
  <c r="BT449" i="34"/>
  <c r="BW449" i="34" a="1"/>
  <c r="BW449" i="34" s="1"/>
  <c r="BY449" i="34"/>
  <c r="CB449" i="34" s="1" a="1"/>
  <c r="CB449" i="34" s="1"/>
  <c r="BZ449" i="34"/>
  <c r="CC449" i="34" a="1"/>
  <c r="CC449" i="34"/>
  <c r="CE449" i="34"/>
  <c r="CI449" i="34" s="1" a="1"/>
  <c r="CI449" i="34" s="1"/>
  <c r="CF449" i="34"/>
  <c r="CH449" i="34" a="1"/>
  <c r="CH449" i="34"/>
  <c r="CK449" i="34"/>
  <c r="CL449" i="34"/>
  <c r="CN449" i="34" a="1"/>
  <c r="CN449" i="34"/>
  <c r="CO449" i="34" a="1"/>
  <c r="CO449" i="34" s="1"/>
  <c r="CQ449" i="34" a="1"/>
  <c r="CQ449" i="34" s="1"/>
  <c r="CR449" i="34"/>
  <c r="CW449" i="34"/>
  <c r="CZ449" i="34" s="1" a="1"/>
  <c r="CZ449" i="34" s="1"/>
  <c r="CX449" i="34"/>
  <c r="DC449" i="34"/>
  <c r="DD449" i="34"/>
  <c r="DI449" i="34"/>
  <c r="DL449" i="34" s="1" a="1"/>
  <c r="DL449" i="34" s="1"/>
  <c r="DJ449" i="34"/>
  <c r="DM449" i="34" a="1"/>
  <c r="DM449" i="34" s="1"/>
  <c r="DO449" i="34"/>
  <c r="DR449" i="34" s="1" a="1"/>
  <c r="DP449" i="34"/>
  <c r="DR449" i="34"/>
  <c r="DS449" i="34" a="1"/>
  <c r="DS449" i="34" s="1"/>
  <c r="DU449" i="34"/>
  <c r="DX449" i="34" s="1" a="1"/>
  <c r="DX449" i="34" s="1"/>
  <c r="DV449" i="34"/>
  <c r="DY449" i="34" a="1"/>
  <c r="DY449" i="34" s="1"/>
  <c r="EA449" i="34"/>
  <c r="EB449" i="34"/>
  <c r="EE449" i="34" s="1" a="1"/>
  <c r="EE449" i="34" s="1"/>
  <c r="ED449" i="34" a="1"/>
  <c r="ED449" i="34" s="1"/>
  <c r="BS450" i="34"/>
  <c r="BW450" i="34" s="1" a="1"/>
  <c r="BW450" i="34" s="1"/>
  <c r="BT450" i="34"/>
  <c r="BV450" i="34" a="1"/>
  <c r="BV450" i="34" s="1"/>
  <c r="BY450" i="34"/>
  <c r="BZ450" i="34"/>
  <c r="CC450" i="34" s="1" a="1"/>
  <c r="CC450" i="34" s="1"/>
  <c r="CB450" i="34" a="1"/>
  <c r="CB450" i="34" s="1"/>
  <c r="CE450" i="34"/>
  <c r="CH450" i="34" s="1" a="1"/>
  <c r="CH450" i="34" s="1"/>
  <c r="CF450" i="34"/>
  <c r="CK450" i="34"/>
  <c r="CL450" i="34"/>
  <c r="CQ450" i="34" a="1"/>
  <c r="CQ450" i="34" s="1"/>
  <c r="CR450" i="34"/>
  <c r="CW450" i="34"/>
  <c r="CX450" i="34"/>
  <c r="CZ450" i="34" a="1"/>
  <c r="CZ450" i="34"/>
  <c r="DA450" i="34" a="1"/>
  <c r="DA450" i="34" s="1"/>
  <c r="DC450" i="34"/>
  <c r="DD450" i="34"/>
  <c r="DF450" i="34" a="1"/>
  <c r="DF450" i="34"/>
  <c r="DG450" i="34" a="1"/>
  <c r="DG450" i="34" s="1"/>
  <c r="DI450" i="34"/>
  <c r="DL450" i="34" s="1" a="1"/>
  <c r="DL450" i="34" s="1"/>
  <c r="DJ450" i="34"/>
  <c r="DO450" i="34"/>
  <c r="DP450" i="34"/>
  <c r="DU450" i="34"/>
  <c r="DV450" i="34"/>
  <c r="DX450" i="34" s="1" a="1"/>
  <c r="DX450" i="34" s="1"/>
  <c r="EA450" i="34"/>
  <c r="ED450" i="34" s="1" a="1"/>
  <c r="ED450" i="34" s="1"/>
  <c r="EB450" i="34"/>
  <c r="EE450" i="34" a="1"/>
  <c r="EE450" i="34"/>
  <c r="BS451" i="34"/>
  <c r="BV451" i="34" s="1" a="1"/>
  <c r="BV451" i="34" s="1"/>
  <c r="BT451" i="34"/>
  <c r="BW451" i="34" a="1"/>
  <c r="BW451" i="34"/>
  <c r="BY451" i="34"/>
  <c r="CC451" i="34" s="1" a="1"/>
  <c r="CC451" i="34" s="1"/>
  <c r="BZ451" i="34"/>
  <c r="CB451" i="34" a="1"/>
  <c r="CB451" i="34"/>
  <c r="CE451" i="34"/>
  <c r="CF451" i="34"/>
  <c r="CH451" i="34" a="1"/>
  <c r="CH451" i="34" s="1"/>
  <c r="CI451" i="34" a="1"/>
  <c r="CI451" i="34" s="1"/>
  <c r="CK451" i="34"/>
  <c r="CL451" i="34"/>
  <c r="CN451" i="34" a="1"/>
  <c r="CN451" i="34"/>
  <c r="CO451" i="34" a="1"/>
  <c r="CO451" i="34" s="1"/>
  <c r="CQ451" i="34" a="1"/>
  <c r="CQ451" i="34"/>
  <c r="CT451" i="34" s="1" a="1"/>
  <c r="CT451" i="34" s="1"/>
  <c r="CR451" i="34"/>
  <c r="CW451" i="34"/>
  <c r="CX451" i="34"/>
  <c r="DC451" i="34"/>
  <c r="DF451" i="34" s="1" a="1"/>
  <c r="DF451" i="34" s="1"/>
  <c r="DD451" i="34"/>
  <c r="DG451" i="34" a="1"/>
  <c r="DG451" i="34" s="1"/>
  <c r="DI451" i="34"/>
  <c r="DL451" i="34" s="1" a="1"/>
  <c r="DL451" i="34" s="1"/>
  <c r="DJ451" i="34"/>
  <c r="DM451" i="34" a="1"/>
  <c r="DM451" i="34" s="1"/>
  <c r="DO451" i="34"/>
  <c r="DR451" i="34" s="1" a="1"/>
  <c r="DR451" i="34" s="1"/>
  <c r="DP451" i="34"/>
  <c r="DS451" i="34" a="1"/>
  <c r="DS451" i="34" s="1"/>
  <c r="DU451" i="34"/>
  <c r="DV451" i="34"/>
  <c r="DY451" i="34" s="1" a="1"/>
  <c r="DY451" i="34" s="1"/>
  <c r="DX451" i="34" a="1"/>
  <c r="DX451" i="34" s="1"/>
  <c r="EA451" i="34"/>
  <c r="EB451" i="34"/>
  <c r="ED451" i="34" a="1"/>
  <c r="ED451" i="34" s="1"/>
  <c r="BS452" i="34"/>
  <c r="BW452" i="34" s="1" a="1"/>
  <c r="BW452" i="34" s="1"/>
  <c r="BT452" i="34"/>
  <c r="BV452" i="34" a="1"/>
  <c r="BV452" i="34" s="1"/>
  <c r="BY452" i="34"/>
  <c r="CB452" i="34" s="1" a="1"/>
  <c r="CB452" i="34" s="1"/>
  <c r="BZ452" i="34"/>
  <c r="CE452" i="34"/>
  <c r="CF452" i="34"/>
  <c r="CK452" i="34"/>
  <c r="CN452" i="34" s="1" a="1"/>
  <c r="CN452" i="34" s="1"/>
  <c r="CL452" i="34"/>
  <c r="CO452" i="34" a="1"/>
  <c r="CO452" i="34" s="1"/>
  <c r="CQ452" i="34" a="1"/>
  <c r="CQ452" i="34" s="1"/>
  <c r="CR452" i="34"/>
  <c r="CW452" i="34"/>
  <c r="CX452" i="34"/>
  <c r="CZ452" i="34" a="1"/>
  <c r="CZ452" i="34"/>
  <c r="DA452" i="34" a="1"/>
  <c r="DA452" i="34" s="1"/>
  <c r="DC452" i="34"/>
  <c r="DF452" i="34" s="1" a="1"/>
  <c r="DF452" i="34" s="1"/>
  <c r="DD452" i="34"/>
  <c r="DI452" i="34"/>
  <c r="DJ452" i="34"/>
  <c r="DO452" i="34"/>
  <c r="DP452" i="34"/>
  <c r="DR452" i="34" s="1" a="1"/>
  <c r="DR452" i="34" s="1"/>
  <c r="DU452" i="34"/>
  <c r="DX452" i="34" s="1" a="1"/>
  <c r="DX452" i="34" s="1"/>
  <c r="DV452" i="34"/>
  <c r="DY452" i="34" a="1"/>
  <c r="DY452" i="34" s="1"/>
  <c r="EA452" i="34"/>
  <c r="ED452" i="34" s="1" a="1"/>
  <c r="ED452" i="34" s="1"/>
  <c r="EB452" i="34"/>
  <c r="EE452" i="34" a="1"/>
  <c r="EE452" i="34"/>
  <c r="BS453" i="34"/>
  <c r="BW453" i="34" s="1" a="1"/>
  <c r="BW453" i="34" s="1"/>
  <c r="BT453" i="34"/>
  <c r="BV453" i="34" a="1"/>
  <c r="BV453" i="34"/>
  <c r="BY453" i="34"/>
  <c r="BZ453" i="34"/>
  <c r="CB453" i="34" a="1"/>
  <c r="CB453" i="34"/>
  <c r="CC453" i="34" a="1"/>
  <c r="CC453" i="34" s="1"/>
  <c r="CE453" i="34"/>
  <c r="CF453" i="34"/>
  <c r="CH453" i="34" a="1"/>
  <c r="CH453" i="34"/>
  <c r="CI453" i="34" a="1"/>
  <c r="CI453" i="34" s="1"/>
  <c r="CK453" i="34"/>
  <c r="CN453" i="34" s="1" a="1"/>
  <c r="CN453" i="34" s="1"/>
  <c r="CL453" i="34"/>
  <c r="CQ453" i="34" a="1"/>
  <c r="CQ453" i="34" s="1"/>
  <c r="CR453" i="34"/>
  <c r="CW453" i="34"/>
  <c r="CZ453" i="34" s="1" a="1"/>
  <c r="CZ453" i="34" s="1"/>
  <c r="CX453" i="34"/>
  <c r="DA453" i="34" a="1"/>
  <c r="DA453" i="34" s="1"/>
  <c r="DC453" i="34"/>
  <c r="DF453" i="34" s="1" a="1"/>
  <c r="DF453" i="34" s="1"/>
  <c r="DD453" i="34"/>
  <c r="DG453" i="34" a="1"/>
  <c r="DG453" i="34" s="1"/>
  <c r="DI453" i="34"/>
  <c r="DJ453" i="34"/>
  <c r="DL453" i="34" a="1"/>
  <c r="DL453" i="34"/>
  <c r="DM453" i="34" a="1"/>
  <c r="DM453" i="34" s="1"/>
  <c r="DO453" i="34"/>
  <c r="DP453" i="34"/>
  <c r="DS453" i="34" s="1" a="1"/>
  <c r="DS453" i="34" s="1"/>
  <c r="DR453" i="34" a="1"/>
  <c r="DR453" i="34" s="1"/>
  <c r="DU453" i="34"/>
  <c r="DY453" i="34" s="1" a="1"/>
  <c r="DY453" i="34" s="1"/>
  <c r="DV453" i="34"/>
  <c r="DX453" i="34" a="1"/>
  <c r="DX453" i="34" s="1"/>
  <c r="EA453" i="34"/>
  <c r="EE453" i="34" s="1" a="1"/>
  <c r="EE453" i="34" s="1"/>
  <c r="EB453" i="34"/>
  <c r="ED453" i="34" a="1"/>
  <c r="ED453" i="34" s="1"/>
  <c r="BS454" i="34"/>
  <c r="BV454" i="34" s="1" a="1"/>
  <c r="BV454" i="34" s="1"/>
  <c r="BT454" i="34"/>
  <c r="BY454" i="34"/>
  <c r="BZ454" i="34"/>
  <c r="CE454" i="34"/>
  <c r="CH454" i="34" s="1" a="1"/>
  <c r="CH454" i="34" s="1"/>
  <c r="CF454" i="34"/>
  <c r="CI454" i="34" a="1"/>
  <c r="CI454" i="34" s="1"/>
  <c r="CK454" i="34"/>
  <c r="CN454" i="34" s="1" a="1"/>
  <c r="CL454" i="34"/>
  <c r="CN454" i="34"/>
  <c r="CO454" i="34" a="1"/>
  <c r="CO454" i="34" s="1"/>
  <c r="CQ454" i="34" a="1"/>
  <c r="CQ454" i="34" s="1"/>
  <c r="CR454" i="34"/>
  <c r="CW454" i="34"/>
  <c r="CZ454" i="34" s="1" a="1"/>
  <c r="CZ454" i="34" s="1"/>
  <c r="CX454" i="34"/>
  <c r="DC454" i="34"/>
  <c r="DD454" i="34"/>
  <c r="DI454" i="34"/>
  <c r="DJ454" i="34"/>
  <c r="DL454" i="34" s="1" a="1"/>
  <c r="DL454" i="34" s="1"/>
  <c r="DO454" i="34"/>
  <c r="DR454" i="34" s="1" a="1"/>
  <c r="DR454" i="34" s="1"/>
  <c r="DP454" i="34"/>
  <c r="DS454" i="34" a="1"/>
  <c r="DS454" i="34"/>
  <c r="DU454" i="34"/>
  <c r="DX454" i="34" s="1" a="1"/>
  <c r="DX454" i="34" s="1"/>
  <c r="DV454" i="34"/>
  <c r="DY454" i="34" a="1"/>
  <c r="DY454" i="34"/>
  <c r="EA454" i="34"/>
  <c r="EE454" i="34" s="1" a="1"/>
  <c r="EE454" i="34" s="1"/>
  <c r="EB454" i="34"/>
  <c r="ED454" i="34" a="1"/>
  <c r="ED454" i="34"/>
  <c r="BS455" i="34"/>
  <c r="BT455" i="34"/>
  <c r="BV455" i="34" a="1"/>
  <c r="BV455" i="34" s="1"/>
  <c r="BW455" i="34" a="1"/>
  <c r="BW455" i="34" s="1"/>
  <c r="BY455" i="34"/>
  <c r="BZ455" i="34"/>
  <c r="CB455" i="34" a="1"/>
  <c r="CB455" i="34"/>
  <c r="CC455" i="34" a="1"/>
  <c r="CC455" i="34" s="1"/>
  <c r="CE455" i="34"/>
  <c r="CH455" i="34" s="1" a="1"/>
  <c r="CH455" i="34" s="1"/>
  <c r="CF455" i="34"/>
  <c r="CK455" i="34"/>
  <c r="CL455" i="34"/>
  <c r="CQ455" i="34" a="1"/>
  <c r="CQ455" i="34"/>
  <c r="CT455" i="34" s="1" a="1"/>
  <c r="CT455" i="34" s="1"/>
  <c r="CR455" i="34"/>
  <c r="CU455" i="34" a="1"/>
  <c r="CU455" i="34" s="1"/>
  <c r="CW455" i="34"/>
  <c r="CZ455" i="34" s="1" a="1"/>
  <c r="CZ455" i="34" s="1"/>
  <c r="CX455" i="34"/>
  <c r="DA455" i="34" a="1"/>
  <c r="DA455" i="34" s="1"/>
  <c r="DC455" i="34"/>
  <c r="DF455" i="34" s="1" a="1"/>
  <c r="DF455" i="34" s="1"/>
  <c r="DD455" i="34"/>
  <c r="DG455" i="34" a="1"/>
  <c r="DG455" i="34" s="1"/>
  <c r="DI455" i="34"/>
  <c r="DJ455" i="34"/>
  <c r="DM455" i="34" s="1" a="1"/>
  <c r="DM455" i="34" s="1"/>
  <c r="DL455" i="34" a="1"/>
  <c r="DL455" i="34" s="1"/>
  <c r="DO455" i="34"/>
  <c r="DP455" i="34"/>
  <c r="DS455" i="34" s="1" a="1"/>
  <c r="DS455" i="34" s="1"/>
  <c r="DU455" i="34"/>
  <c r="DV455" i="34"/>
  <c r="DY455" i="34" s="1" a="1"/>
  <c r="DY455" i="34" s="1"/>
  <c r="DX455" i="34" a="1"/>
  <c r="DX455" i="34" s="1"/>
  <c r="EA455" i="34"/>
  <c r="ED455" i="34" s="1" a="1"/>
  <c r="ED455" i="34" s="1"/>
  <c r="EB455" i="34"/>
  <c r="BS456" i="34"/>
  <c r="BT456" i="34"/>
  <c r="BY456" i="34"/>
  <c r="CB456" i="34" s="1" a="1"/>
  <c r="CB456" i="34" s="1"/>
  <c r="BZ456" i="34"/>
  <c r="CC456" i="34" a="1"/>
  <c r="CC456" i="34" s="1"/>
  <c r="CE456" i="34"/>
  <c r="CH456" i="34" s="1" a="1"/>
  <c r="CH456" i="34" s="1"/>
  <c r="CF456" i="34"/>
  <c r="CI456" i="34" a="1"/>
  <c r="CI456" i="34" s="1"/>
  <c r="CK456" i="34"/>
  <c r="CN456" i="34" s="1" a="1"/>
  <c r="CN456" i="34" s="1"/>
  <c r="CL456" i="34"/>
  <c r="CO456" i="34" a="1"/>
  <c r="CO456" i="34" s="1"/>
  <c r="CQ456" i="34" a="1"/>
  <c r="CQ456" i="34"/>
  <c r="CT456" i="34" s="1" a="1"/>
  <c r="CT456" i="34" s="1"/>
  <c r="CR456" i="34"/>
  <c r="CW456" i="34"/>
  <c r="CX456" i="34"/>
  <c r="DC456" i="34"/>
  <c r="DD456" i="34"/>
  <c r="DF456" i="34" s="1" a="1"/>
  <c r="DF456" i="34" s="1"/>
  <c r="DI456" i="34"/>
  <c r="DL456" i="34" s="1" a="1"/>
  <c r="DL456" i="34" s="1"/>
  <c r="DJ456" i="34"/>
  <c r="DM456" i="34" a="1"/>
  <c r="DM456" i="34" s="1"/>
  <c r="DO456" i="34"/>
  <c r="DR456" i="34" s="1" a="1"/>
  <c r="DR456" i="34" s="1"/>
  <c r="DP456" i="34"/>
  <c r="DS456" i="34" a="1"/>
  <c r="DS456" i="34"/>
  <c r="DU456" i="34"/>
  <c r="DY456" i="34" s="1" a="1"/>
  <c r="DY456" i="34" s="1"/>
  <c r="DV456" i="34"/>
  <c r="DX456" i="34" a="1"/>
  <c r="DX456" i="34"/>
  <c r="EA456" i="34"/>
  <c r="EB456" i="34"/>
  <c r="ED456" i="34" a="1"/>
  <c r="ED456" i="34"/>
  <c r="EE456" i="34" a="1"/>
  <c r="EE456" i="34" s="1"/>
  <c r="BS457" i="34"/>
  <c r="BT457" i="34"/>
  <c r="BV457" i="34" a="1"/>
  <c r="BV457" i="34"/>
  <c r="BW457" i="34" a="1"/>
  <c r="BW457" i="34" s="1"/>
  <c r="BY457" i="34"/>
  <c r="CB457" i="34" s="1" a="1"/>
  <c r="CB457" i="34" s="1"/>
  <c r="BZ457" i="34"/>
  <c r="CE457" i="34"/>
  <c r="CF457" i="34"/>
  <c r="CK457" i="34"/>
  <c r="CL457" i="34"/>
  <c r="CN457" i="34" s="1" a="1"/>
  <c r="CN457" i="34" s="1"/>
  <c r="CQ457" i="34" a="1"/>
  <c r="CQ457" i="34" s="1"/>
  <c r="CT457" i="34" s="1" a="1"/>
  <c r="CT457" i="34" s="1"/>
  <c r="CR457" i="34"/>
  <c r="CU457" i="34" a="1"/>
  <c r="CU457" i="34" s="1"/>
  <c r="CW457" i="34"/>
  <c r="CZ457" i="34" s="1" a="1"/>
  <c r="CZ457" i="34" s="1"/>
  <c r="CX457" i="34"/>
  <c r="DA457" i="34" a="1"/>
  <c r="DA457" i="34" s="1"/>
  <c r="DC457" i="34"/>
  <c r="DD457" i="34"/>
  <c r="DG457" i="34" s="1" a="1"/>
  <c r="DG457" i="34" s="1"/>
  <c r="DF457" i="34" a="1"/>
  <c r="DF457" i="34" s="1"/>
  <c r="DI457" i="34"/>
  <c r="DJ457" i="34"/>
  <c r="DL457" i="34" s="1" a="1"/>
  <c r="DL457" i="34" s="1"/>
  <c r="DO457" i="34"/>
  <c r="DP457" i="34"/>
  <c r="DS457" i="34" s="1" a="1"/>
  <c r="DS457" i="34" s="1"/>
  <c r="DR457" i="34" a="1"/>
  <c r="DR457" i="34" s="1"/>
  <c r="DU457" i="34"/>
  <c r="DX457" i="34" s="1" a="1"/>
  <c r="DX457" i="34" s="1"/>
  <c r="DV457" i="34"/>
  <c r="EA457" i="34"/>
  <c r="EB457" i="34"/>
  <c r="BS458" i="34"/>
  <c r="BV458" i="34" s="1" a="1"/>
  <c r="BV458" i="34" s="1"/>
  <c r="BT458" i="34"/>
  <c r="BW458" i="34" a="1"/>
  <c r="BW458" i="34" s="1"/>
  <c r="BY458" i="34"/>
  <c r="CB458" i="34" s="1" a="1"/>
  <c r="BZ458" i="34"/>
  <c r="CB458" i="34"/>
  <c r="CC458" i="34" a="1"/>
  <c r="CC458" i="34" s="1"/>
  <c r="CE458" i="34"/>
  <c r="CH458" i="34" s="1" a="1"/>
  <c r="CH458" i="34" s="1"/>
  <c r="CF458" i="34"/>
  <c r="CI458" i="34" a="1"/>
  <c r="CI458" i="34" s="1"/>
  <c r="CK458" i="34"/>
  <c r="CO458" i="34" s="1" a="1"/>
  <c r="CO458" i="34" s="1"/>
  <c r="CL458" i="34"/>
  <c r="CN458" i="34" a="1"/>
  <c r="CN458" i="34" s="1"/>
  <c r="CQ458" i="34" a="1"/>
  <c r="CQ458" i="34"/>
  <c r="CR458" i="34"/>
  <c r="CW458" i="34"/>
  <c r="CX458" i="34"/>
  <c r="CZ458" i="34" s="1" a="1"/>
  <c r="CZ458" i="34" s="1"/>
  <c r="DC458" i="34"/>
  <c r="DF458" i="34" s="1" a="1"/>
  <c r="DF458" i="34" s="1"/>
  <c r="DD458" i="34"/>
  <c r="DG458" i="34" a="1"/>
  <c r="DG458" i="34" s="1"/>
  <c r="DI458" i="34"/>
  <c r="DL458" i="34" s="1" a="1"/>
  <c r="DL458" i="34" s="1"/>
  <c r="DJ458" i="34"/>
  <c r="DM458" i="34" a="1"/>
  <c r="DM458" i="34"/>
  <c r="DO458" i="34"/>
  <c r="DS458" i="34" s="1" a="1"/>
  <c r="DS458" i="34" s="1"/>
  <c r="DP458" i="34"/>
  <c r="DR458" i="34" a="1"/>
  <c r="DR458" i="34"/>
  <c r="DU458" i="34"/>
  <c r="DV458" i="34"/>
  <c r="DX458" i="34" a="1"/>
  <c r="DX458" i="34"/>
  <c r="DY458" i="34" a="1"/>
  <c r="DY458" i="34" s="1"/>
  <c r="EA458" i="34"/>
  <c r="EB458" i="34"/>
  <c r="ED458" i="34" a="1"/>
  <c r="ED458" i="34"/>
  <c r="EE458" i="34" a="1"/>
  <c r="EE458" i="34" s="1"/>
  <c r="BS459" i="34"/>
  <c r="BV459" i="34" s="1" a="1"/>
  <c r="BV459" i="34" s="1"/>
  <c r="BT459" i="34"/>
  <c r="BY459" i="34"/>
  <c r="BZ459" i="34"/>
  <c r="CE459" i="34"/>
  <c r="CF459" i="34"/>
  <c r="CH459" i="34" s="1" a="1"/>
  <c r="CH459" i="34" s="1"/>
  <c r="CK459" i="34"/>
  <c r="CN459" i="34" s="1" a="1"/>
  <c r="CN459" i="34" s="1"/>
  <c r="CL459" i="34"/>
  <c r="CO459" i="34" a="1"/>
  <c r="CO459" i="34"/>
  <c r="CQ459" i="34" a="1"/>
  <c r="CQ459" i="34" s="1"/>
  <c r="CR459" i="34"/>
  <c r="CW459" i="34"/>
  <c r="DA459" i="34" s="1" a="1"/>
  <c r="DA459" i="34" s="1"/>
  <c r="CX459" i="34"/>
  <c r="CZ459" i="34" a="1"/>
  <c r="CZ459" i="34" s="1"/>
  <c r="DC459" i="34"/>
  <c r="DD459" i="34"/>
  <c r="DI459" i="34"/>
  <c r="DJ459" i="34"/>
  <c r="DM459" i="34" s="1" a="1"/>
  <c r="DM459" i="34" s="1"/>
  <c r="DL459" i="34" a="1"/>
  <c r="DL459" i="34" s="1"/>
  <c r="DO459" i="34"/>
  <c r="DR459" i="34" s="1" a="1"/>
  <c r="DR459" i="34" s="1"/>
  <c r="DP459" i="34"/>
  <c r="DU459" i="34"/>
  <c r="DV459" i="34"/>
  <c r="EA459" i="34"/>
  <c r="ED459" i="34" s="1" a="1"/>
  <c r="ED459" i="34" s="1"/>
  <c r="EB459" i="34"/>
  <c r="EE459" i="34" a="1"/>
  <c r="EE459" i="34" s="1"/>
  <c r="BS460" i="34"/>
  <c r="BV460" i="34" s="1" a="1"/>
  <c r="BV460" i="34" s="1"/>
  <c r="BT460" i="34"/>
  <c r="BW460" i="34" a="1"/>
  <c r="BW460" i="34" s="1"/>
  <c r="BY460" i="34"/>
  <c r="CB460" i="34" s="1" a="1"/>
  <c r="CB460" i="34" s="1"/>
  <c r="BZ460" i="34"/>
  <c r="CC460" i="34" a="1"/>
  <c r="CC460" i="34" s="1"/>
  <c r="CE460" i="34"/>
  <c r="CI460" i="34" s="1" a="1"/>
  <c r="CI460" i="34" s="1"/>
  <c r="CF460" i="34"/>
  <c r="CH460" i="34" a="1"/>
  <c r="CH460" i="34" s="1"/>
  <c r="CK460" i="34"/>
  <c r="CO460" i="34" s="1" a="1"/>
  <c r="CO460" i="34" s="1"/>
  <c r="CL460" i="34"/>
  <c r="CN460" i="34" a="1"/>
  <c r="CN460" i="34" s="1"/>
  <c r="CQ460" i="34" a="1"/>
  <c r="CQ460" i="34"/>
  <c r="CR460" i="34"/>
  <c r="CT460" i="34" s="1" a="1"/>
  <c r="CT460" i="34" s="1"/>
  <c r="CW460" i="34"/>
  <c r="CZ460" i="34" s="1" a="1"/>
  <c r="CZ460" i="34" s="1"/>
  <c r="CX460" i="34"/>
  <c r="DA460" i="34" a="1"/>
  <c r="DA460" i="34"/>
  <c r="DC460" i="34"/>
  <c r="DF460" i="34" s="1" a="1"/>
  <c r="DF460" i="34" s="1"/>
  <c r="DD460" i="34"/>
  <c r="DG460" i="34" a="1"/>
  <c r="DG460" i="34"/>
  <c r="DI460" i="34"/>
  <c r="DM460" i="34" s="1" a="1"/>
  <c r="DM460" i="34" s="1"/>
  <c r="DJ460" i="34"/>
  <c r="DL460" i="34" a="1"/>
  <c r="DL460" i="34"/>
  <c r="DO460" i="34"/>
  <c r="DP460" i="34"/>
  <c r="DR460" i="34" a="1"/>
  <c r="DR460" i="34"/>
  <c r="DS460" i="34" a="1"/>
  <c r="DS460" i="34" s="1"/>
  <c r="DU460" i="34"/>
  <c r="DV460" i="34"/>
  <c r="DX460" i="34" a="1"/>
  <c r="DX460" i="34"/>
  <c r="DY460" i="34" a="1"/>
  <c r="DY460" i="34" s="1"/>
  <c r="EA460" i="34"/>
  <c r="ED460" i="34" s="1" a="1"/>
  <c r="ED460" i="34" s="1"/>
  <c r="EB460" i="34"/>
  <c r="BS461" i="34"/>
  <c r="BT461" i="34"/>
  <c r="BY461" i="34"/>
  <c r="BZ461" i="34"/>
  <c r="CB461" i="34" s="1" a="1"/>
  <c r="CB461" i="34" s="1"/>
  <c r="CE461" i="34"/>
  <c r="CH461" i="34" s="1" a="1"/>
  <c r="CH461" i="34" s="1"/>
  <c r="CF461" i="34"/>
  <c r="CI461" i="34" a="1"/>
  <c r="CI461" i="34"/>
  <c r="CK461" i="34"/>
  <c r="CN461" i="34" s="1" a="1"/>
  <c r="CN461" i="34" s="1"/>
  <c r="CL461" i="34"/>
  <c r="CO461" i="34" a="1"/>
  <c r="CO461" i="34"/>
  <c r="CQ461" i="34" a="1"/>
  <c r="CQ461" i="34" s="1"/>
  <c r="CR461" i="34"/>
  <c r="CW461" i="34"/>
  <c r="CX461" i="34"/>
  <c r="DA461" i="34" s="1" a="1"/>
  <c r="DA461" i="34" s="1"/>
  <c r="CZ461" i="34" a="1"/>
  <c r="CZ461" i="34" s="1"/>
  <c r="DC461" i="34"/>
  <c r="DD461" i="34"/>
  <c r="DG461" i="34" s="1" a="1"/>
  <c r="DG461" i="34" s="1"/>
  <c r="DF461" i="34" a="1"/>
  <c r="DF461" i="34" s="1"/>
  <c r="DI461" i="34"/>
  <c r="DL461" i="34" s="1" a="1"/>
  <c r="DL461" i="34" s="1"/>
  <c r="DJ461" i="34"/>
  <c r="DO461" i="34"/>
  <c r="DP461" i="34"/>
  <c r="DU461" i="34"/>
  <c r="DX461" i="34" s="1" a="1"/>
  <c r="DX461" i="34" s="1"/>
  <c r="DV461" i="34"/>
  <c r="DY461" i="34" a="1"/>
  <c r="DY461" i="34" s="1"/>
  <c r="EA461" i="34"/>
  <c r="ED461" i="34" s="1" a="1"/>
  <c r="ED461" i="34" s="1"/>
  <c r="EB461" i="34"/>
  <c r="EE461" i="34" a="1"/>
  <c r="EE461" i="34" s="1"/>
  <c r="BS462" i="34"/>
  <c r="BV462" i="34" s="1" a="1"/>
  <c r="BV462" i="34" s="1"/>
  <c r="BT462" i="34"/>
  <c r="BW462" i="34" a="1"/>
  <c r="BW462" i="34" s="1"/>
  <c r="BY462" i="34"/>
  <c r="BZ462" i="34"/>
  <c r="CC462" i="34" s="1" a="1"/>
  <c r="CC462" i="34" s="1"/>
  <c r="CB462" i="34" a="1"/>
  <c r="CB462" i="34" s="1"/>
  <c r="CE462" i="34"/>
  <c r="CF462" i="34"/>
  <c r="CH462" i="34" s="1" a="1"/>
  <c r="CH462" i="34" s="1"/>
  <c r="CK462" i="34"/>
  <c r="CL462" i="34"/>
  <c r="CO462" i="34" s="1" a="1"/>
  <c r="CO462" i="34" s="1"/>
  <c r="CN462" i="34" a="1"/>
  <c r="CN462" i="34" s="1"/>
  <c r="CQ462" i="34" a="1"/>
  <c r="CQ462" i="34" s="1"/>
  <c r="CR462" i="34"/>
  <c r="CW462" i="34"/>
  <c r="CZ462" i="34" s="1" a="1"/>
  <c r="CZ462" i="34" s="1"/>
  <c r="CX462" i="34"/>
  <c r="DA462" i="34" a="1"/>
  <c r="DA462" i="34"/>
  <c r="DC462" i="34"/>
  <c r="DG462" i="34" s="1" a="1"/>
  <c r="DG462" i="34" s="1"/>
  <c r="DD462" i="34"/>
  <c r="DF462" i="34" a="1"/>
  <c r="DF462" i="34"/>
  <c r="DI462" i="34"/>
  <c r="DJ462" i="34"/>
  <c r="DL462" i="34" a="1"/>
  <c r="DL462" i="34"/>
  <c r="DM462" i="34" a="1"/>
  <c r="DM462" i="34" s="1"/>
  <c r="DO462" i="34"/>
  <c r="DP462" i="34"/>
  <c r="DR462" i="34" a="1"/>
  <c r="DR462" i="34"/>
  <c r="DS462" i="34" a="1"/>
  <c r="DS462" i="34" s="1"/>
  <c r="DU462" i="34"/>
  <c r="DX462" i="34" s="1" a="1"/>
  <c r="DX462" i="34" s="1"/>
  <c r="DV462" i="34"/>
  <c r="EA462" i="34"/>
  <c r="EB462" i="34"/>
  <c r="BS463" i="34"/>
  <c r="BV463" i="34" s="1" a="1"/>
  <c r="BV463" i="34" s="1"/>
  <c r="BT463" i="34"/>
  <c r="BW463" i="34" s="1" a="1"/>
  <c r="BW463" i="34" s="1"/>
  <c r="BY463" i="34"/>
  <c r="CB463" i="34" s="1" a="1"/>
  <c r="CB463" i="34" s="1"/>
  <c r="BZ463" i="34"/>
  <c r="CC463" i="34" a="1"/>
  <c r="CC463" i="34"/>
  <c r="CE463" i="34"/>
  <c r="CH463" i="34" s="1" a="1"/>
  <c r="CH463" i="34" s="1"/>
  <c r="CF463" i="34"/>
  <c r="CI463" i="34" a="1"/>
  <c r="CI463" i="34"/>
  <c r="CK463" i="34"/>
  <c r="CO463" i="34" s="1" a="1"/>
  <c r="CO463" i="34" s="1"/>
  <c r="CL463" i="34"/>
  <c r="CN463" i="34" a="1"/>
  <c r="CN463" i="34"/>
  <c r="CQ463" i="34" a="1"/>
  <c r="CQ463" i="34" s="1"/>
  <c r="CU463" i="34" s="1" a="1"/>
  <c r="CU463" i="34" s="1"/>
  <c r="CR463" i="34"/>
  <c r="CW463" i="34"/>
  <c r="CX463" i="34"/>
  <c r="DA463" i="34" s="1" a="1"/>
  <c r="DA463" i="34" s="1"/>
  <c r="CZ463" i="34" a="1"/>
  <c r="CZ463" i="34" s="1"/>
  <c r="DC463" i="34"/>
  <c r="DF463" i="34" s="1" a="1"/>
  <c r="DF463" i="34" s="1"/>
  <c r="DD463" i="34"/>
  <c r="DI463" i="34"/>
  <c r="DJ463" i="34"/>
  <c r="DO463" i="34"/>
  <c r="DR463" i="34" s="1" a="1"/>
  <c r="DR463" i="34" s="1"/>
  <c r="DP463" i="34"/>
  <c r="DS463" i="34" a="1"/>
  <c r="DS463" i="34" s="1"/>
  <c r="DU463" i="34"/>
  <c r="DX463" i="34" s="1" a="1"/>
  <c r="DV463" i="34"/>
  <c r="DX463" i="34"/>
  <c r="DY463" i="34" a="1"/>
  <c r="DY463" i="34" s="1"/>
  <c r="EA463" i="34"/>
  <c r="ED463" i="34" s="1" a="1"/>
  <c r="ED463" i="34" s="1"/>
  <c r="EB463" i="34"/>
  <c r="EE463" i="34" a="1"/>
  <c r="EE463" i="34" s="1"/>
  <c r="BS464" i="34"/>
  <c r="BW464" i="34" s="1" a="1"/>
  <c r="BW464" i="34" s="1"/>
  <c r="BT464" i="34"/>
  <c r="BV464" i="34" a="1"/>
  <c r="BV464" i="34" s="1"/>
  <c r="BY464" i="34"/>
  <c r="BZ464" i="34"/>
  <c r="CC464" i="34" s="1" a="1"/>
  <c r="CC464" i="34" s="1"/>
  <c r="CB464" i="34" a="1"/>
  <c r="CB464" i="34" s="1"/>
  <c r="CE464" i="34"/>
  <c r="CF464" i="34"/>
  <c r="CI464" i="34" s="1" a="1"/>
  <c r="CI464" i="34" s="1"/>
  <c r="CH464" i="34" a="1"/>
  <c r="CH464" i="34" s="1"/>
  <c r="CK464" i="34"/>
  <c r="CN464" i="34" s="1" a="1"/>
  <c r="CN464" i="34" s="1"/>
  <c r="CL464" i="34"/>
  <c r="CQ464" i="34" a="1"/>
  <c r="CQ464" i="34" s="1"/>
  <c r="CR464" i="34"/>
  <c r="CW464" i="34"/>
  <c r="DA464" i="34" s="1" a="1"/>
  <c r="DA464" i="34" s="1"/>
  <c r="CX464" i="34"/>
  <c r="CZ464" i="34" a="1"/>
  <c r="CZ464" i="34"/>
  <c r="DC464" i="34"/>
  <c r="DD464" i="34"/>
  <c r="DF464" i="34" a="1"/>
  <c r="DF464" i="34"/>
  <c r="DG464" i="34" a="1"/>
  <c r="DG464" i="34" s="1"/>
  <c r="DI464" i="34"/>
  <c r="DJ464" i="34"/>
  <c r="DL464" i="34" a="1"/>
  <c r="DL464" i="34"/>
  <c r="DM464" i="34" a="1"/>
  <c r="DM464" i="34" s="1"/>
  <c r="DO464" i="34"/>
  <c r="DR464" i="34" s="1" a="1"/>
  <c r="DR464" i="34" s="1"/>
  <c r="DP464" i="34"/>
  <c r="DU464" i="34"/>
  <c r="DV464" i="34"/>
  <c r="EA464" i="34"/>
  <c r="ED464" i="34" s="1" a="1"/>
  <c r="ED464" i="34" s="1"/>
  <c r="EB464" i="34"/>
  <c r="BS465" i="34"/>
  <c r="BV465" i="34" s="1" a="1"/>
  <c r="BV465" i="34" s="1"/>
  <c r="BT465" i="34"/>
  <c r="BW465" i="34" a="1"/>
  <c r="BW465" i="34"/>
  <c r="BY465" i="34"/>
  <c r="CB465" i="34" s="1" a="1"/>
  <c r="CB465" i="34" s="1"/>
  <c r="BZ465" i="34"/>
  <c r="CC465" i="34" a="1"/>
  <c r="CC465" i="34"/>
  <c r="CE465" i="34"/>
  <c r="CI465" i="34" s="1" a="1"/>
  <c r="CI465" i="34" s="1"/>
  <c r="CF465" i="34"/>
  <c r="CH465" i="34" a="1"/>
  <c r="CH465" i="34"/>
  <c r="CK465" i="34"/>
  <c r="CL465" i="34"/>
  <c r="CN465" i="34" a="1"/>
  <c r="CN465" i="34" s="1"/>
  <c r="CO465" i="34" a="1"/>
  <c r="CO465" i="34" s="1"/>
  <c r="CQ465" i="34" a="1"/>
  <c r="CQ465" i="34" s="1"/>
  <c r="CR465" i="34"/>
  <c r="CW465" i="34"/>
  <c r="CZ465" i="34" s="1" a="1"/>
  <c r="CZ465" i="34" s="1"/>
  <c r="CX465" i="34"/>
  <c r="DC465" i="34"/>
  <c r="DD465" i="34"/>
  <c r="DI465" i="34"/>
  <c r="DL465" i="34" s="1" a="1"/>
  <c r="DL465" i="34" s="1"/>
  <c r="DJ465" i="34"/>
  <c r="DM465" i="34" a="1"/>
  <c r="DM465" i="34" s="1"/>
  <c r="DO465" i="34"/>
  <c r="DP465" i="34"/>
  <c r="DR465" i="34" a="1"/>
  <c r="DR465" i="34"/>
  <c r="DS465" i="34" a="1"/>
  <c r="DS465" i="34" s="1"/>
  <c r="DU465" i="34"/>
  <c r="DX465" i="34" s="1" a="1"/>
  <c r="DX465" i="34" s="1"/>
  <c r="DV465" i="34"/>
  <c r="DY465" i="34" a="1"/>
  <c r="DY465" i="34" s="1"/>
  <c r="EA465" i="34"/>
  <c r="EE465" i="34" s="1" a="1"/>
  <c r="EE465" i="34" s="1"/>
  <c r="EB465" i="34"/>
  <c r="ED465" i="34" a="1"/>
  <c r="ED465" i="34" s="1"/>
  <c r="BS466" i="34"/>
  <c r="BT466" i="34"/>
  <c r="BV466" i="34" s="1" a="1"/>
  <c r="BV466" i="34" s="1"/>
  <c r="BY466" i="34"/>
  <c r="BZ466" i="34"/>
  <c r="CC466" i="34" s="1" a="1"/>
  <c r="CC466" i="34" s="1"/>
  <c r="CB466" i="34" a="1"/>
  <c r="CB466" i="34" s="1"/>
  <c r="CE466" i="34"/>
  <c r="CF466" i="34"/>
  <c r="CK466" i="34"/>
  <c r="CL466" i="34"/>
  <c r="CQ466" i="34" a="1"/>
  <c r="CQ466" i="34" s="1"/>
  <c r="CR466" i="34"/>
  <c r="CW466" i="34"/>
  <c r="CX466" i="34"/>
  <c r="DA466" i="34" s="1" a="1"/>
  <c r="DA466" i="34" s="1"/>
  <c r="CZ466" i="34" a="1"/>
  <c r="CZ466" i="34"/>
  <c r="DC466" i="34"/>
  <c r="DD466" i="34"/>
  <c r="DF466" i="34" a="1"/>
  <c r="DF466" i="34"/>
  <c r="DG466" i="34" a="1"/>
  <c r="DG466" i="34" s="1"/>
  <c r="DI466" i="34"/>
  <c r="DJ466" i="34"/>
  <c r="DO466" i="34"/>
  <c r="DP466" i="34"/>
  <c r="DU466" i="34"/>
  <c r="DX466" i="34" s="1" a="1"/>
  <c r="DX466" i="34" s="1"/>
  <c r="DV466" i="34"/>
  <c r="EA466" i="34"/>
  <c r="ED466" i="34" s="1" a="1"/>
  <c r="ED466" i="34" s="1"/>
  <c r="EB466" i="34"/>
  <c r="EE466" i="34" a="1"/>
  <c r="EE466" i="34"/>
  <c r="BS467" i="34"/>
  <c r="BV467" i="34" s="1" a="1"/>
  <c r="BV467" i="34" s="1"/>
  <c r="BT467" i="34"/>
  <c r="BW467" i="34" a="1"/>
  <c r="BW467" i="34"/>
  <c r="BY467" i="34"/>
  <c r="CC467" i="34" s="1" a="1"/>
  <c r="CC467" i="34" s="1"/>
  <c r="BZ467" i="34"/>
  <c r="CB467" i="34" a="1"/>
  <c r="CB467" i="34"/>
  <c r="CE467" i="34"/>
  <c r="CF467" i="34"/>
  <c r="CH467" i="34" a="1"/>
  <c r="CH467" i="34"/>
  <c r="CI467" i="34" a="1"/>
  <c r="CI467" i="34" s="1"/>
  <c r="CK467" i="34"/>
  <c r="CL467" i="34"/>
  <c r="CN467" i="34" a="1"/>
  <c r="CN467" i="34"/>
  <c r="CO467" i="34" a="1"/>
  <c r="CO467" i="34" s="1"/>
  <c r="CQ467" i="34" a="1"/>
  <c r="CQ467" i="34"/>
  <c r="CR467" i="34"/>
  <c r="CW467" i="34"/>
  <c r="CX467" i="34"/>
  <c r="DC467" i="34"/>
  <c r="DF467" i="34" s="1" a="1"/>
  <c r="DF467" i="34" s="1"/>
  <c r="DD467" i="34"/>
  <c r="DG467" i="34" a="1"/>
  <c r="DG467" i="34" s="1"/>
  <c r="DI467" i="34"/>
  <c r="DJ467" i="34"/>
  <c r="DL467" i="34" a="1"/>
  <c r="DL467" i="34"/>
  <c r="DM467" i="34" a="1"/>
  <c r="DM467" i="34" s="1"/>
  <c r="DO467" i="34"/>
  <c r="DR467" i="34" s="1" a="1"/>
  <c r="DR467" i="34" s="1"/>
  <c r="DP467" i="34"/>
  <c r="DS467" i="34" a="1"/>
  <c r="DS467" i="34" s="1"/>
  <c r="DU467" i="34"/>
  <c r="DY467" i="34" s="1" a="1"/>
  <c r="DY467" i="34" s="1"/>
  <c r="DV467" i="34"/>
  <c r="DX467" i="34" a="1"/>
  <c r="DX467" i="34" s="1"/>
  <c r="EA467" i="34"/>
  <c r="EE467" i="34" s="1" a="1"/>
  <c r="EE467" i="34" s="1"/>
  <c r="EB467" i="34"/>
  <c r="ED467" i="34" a="1"/>
  <c r="ED467" i="34" s="1"/>
  <c r="BS468" i="34"/>
  <c r="BT468" i="34"/>
  <c r="BW468" i="34" s="1" a="1"/>
  <c r="BW468" i="34" s="1"/>
  <c r="BV468" i="34" a="1"/>
  <c r="BV468" i="34" s="1"/>
  <c r="BY468" i="34"/>
  <c r="BZ468" i="34"/>
  <c r="CE468" i="34"/>
  <c r="CF468" i="34"/>
  <c r="CK468" i="34"/>
  <c r="CN468" i="34" s="1" a="1"/>
  <c r="CN468" i="34" s="1"/>
  <c r="CL468" i="34"/>
  <c r="CO468" i="34" a="1"/>
  <c r="CO468" i="34" s="1"/>
  <c r="CQ468" i="34" a="1"/>
  <c r="CQ468" i="34" s="1"/>
  <c r="CU468" i="34" s="1" a="1"/>
  <c r="CU468" i="34" s="1"/>
  <c r="CR468" i="34"/>
  <c r="CT468" i="34" a="1"/>
  <c r="CT468" i="34" s="1"/>
  <c r="CW468" i="34"/>
  <c r="CX468" i="34"/>
  <c r="CZ468" i="34" a="1"/>
  <c r="CZ468" i="34"/>
  <c r="DA468" i="34" a="1"/>
  <c r="DA468" i="34" s="1"/>
  <c r="DC468" i="34"/>
  <c r="DD468" i="34"/>
  <c r="DI468" i="34"/>
  <c r="DJ468" i="34"/>
  <c r="DO468" i="34"/>
  <c r="DR468" i="34" s="1" a="1"/>
  <c r="DR468" i="34" s="1"/>
  <c r="DP468" i="34"/>
  <c r="DU468" i="34"/>
  <c r="DX468" i="34" s="1" a="1"/>
  <c r="DX468" i="34" s="1"/>
  <c r="DV468" i="34"/>
  <c r="DY468" i="34" a="1"/>
  <c r="DY468" i="34" s="1"/>
  <c r="EA468" i="34"/>
  <c r="ED468" i="34" s="1" a="1"/>
  <c r="ED468" i="34" s="1"/>
  <c r="EB468" i="34"/>
  <c r="EE468" i="34" a="1"/>
  <c r="EE468" i="34"/>
  <c r="BS469" i="34"/>
  <c r="BW469" i="34" s="1" a="1"/>
  <c r="BW469" i="34" s="1"/>
  <c r="BT469" i="34"/>
  <c r="BV469" i="34" a="1"/>
  <c r="BV469" i="34"/>
  <c r="BY469" i="34"/>
  <c r="BZ469" i="34"/>
  <c r="CB469" i="34" a="1"/>
  <c r="CB469" i="34"/>
  <c r="CC469" i="34" a="1"/>
  <c r="CC469" i="34" s="1"/>
  <c r="CE469" i="34"/>
  <c r="CF469" i="34"/>
  <c r="CH469" i="34" a="1"/>
  <c r="CH469" i="34"/>
  <c r="CI469" i="34" a="1"/>
  <c r="CI469" i="34" s="1"/>
  <c r="CK469" i="34"/>
  <c r="CL469" i="34"/>
  <c r="CQ469" i="34" a="1"/>
  <c r="CQ469" i="34"/>
  <c r="CR469" i="34"/>
  <c r="CW469" i="34"/>
  <c r="CZ469" i="34" s="1" a="1"/>
  <c r="CZ469" i="34" s="1"/>
  <c r="CX469" i="34"/>
  <c r="DA469" i="34" a="1"/>
  <c r="DA469" i="34" s="1"/>
  <c r="DC469" i="34"/>
  <c r="DD469" i="34"/>
  <c r="DF469" i="34" a="1"/>
  <c r="DF469" i="34"/>
  <c r="DG469" i="34" a="1"/>
  <c r="DG469" i="34" s="1"/>
  <c r="DI469" i="34"/>
  <c r="DL469" i="34" s="1" a="1"/>
  <c r="DL469" i="34" s="1"/>
  <c r="DJ469" i="34"/>
  <c r="DM469" i="34" a="1"/>
  <c r="DM469" i="34" s="1"/>
  <c r="DO469" i="34"/>
  <c r="DS469" i="34" s="1" a="1"/>
  <c r="DS469" i="34" s="1"/>
  <c r="DP469" i="34"/>
  <c r="DR469" i="34" a="1"/>
  <c r="DR469" i="34" s="1"/>
  <c r="DU469" i="34"/>
  <c r="DV469" i="34"/>
  <c r="DX469" i="34" a="1"/>
  <c r="DX469" i="34" s="1"/>
  <c r="EA469" i="34"/>
  <c r="EE469" i="34" s="1" a="1"/>
  <c r="EE469" i="34" s="1"/>
  <c r="EB469" i="34"/>
  <c r="ED469" i="34" a="1"/>
  <c r="ED469" i="34" s="1"/>
  <c r="BS470" i="34"/>
  <c r="BT470" i="34"/>
  <c r="BY470" i="34"/>
  <c r="BZ470" i="34"/>
  <c r="CE470" i="34"/>
  <c r="CH470" i="34" s="1" a="1"/>
  <c r="CH470" i="34" s="1"/>
  <c r="CF470" i="34"/>
  <c r="CI470" i="34" a="1"/>
  <c r="CI470" i="34" s="1"/>
  <c r="CK470" i="34"/>
  <c r="CL470" i="34"/>
  <c r="CN470" i="34" a="1"/>
  <c r="CN470" i="34"/>
  <c r="CO470" i="34" a="1"/>
  <c r="CO470" i="34" s="1"/>
  <c r="CQ470" i="34" a="1"/>
  <c r="CQ470" i="34" s="1"/>
  <c r="CR470" i="34"/>
  <c r="CW470" i="34"/>
  <c r="CX470" i="34"/>
  <c r="DC470" i="34"/>
  <c r="DD470" i="34"/>
  <c r="DI470" i="34"/>
  <c r="DJ470" i="34"/>
  <c r="DO470" i="34"/>
  <c r="DR470" i="34" s="1" a="1"/>
  <c r="DR470" i="34" s="1"/>
  <c r="DP470" i="34"/>
  <c r="DS470" i="34" a="1"/>
  <c r="DS470" i="34" s="1"/>
  <c r="DU470" i="34"/>
  <c r="DX470" i="34" s="1" a="1"/>
  <c r="DX470" i="34" s="1"/>
  <c r="DV470" i="34"/>
  <c r="DY470" i="34" a="1"/>
  <c r="DY470" i="34"/>
  <c r="EA470" i="34"/>
  <c r="EE470" i="34" s="1" a="1"/>
  <c r="EE470" i="34" s="1"/>
  <c r="EB470" i="34"/>
  <c r="ED470" i="34" a="1"/>
  <c r="ED470" i="34"/>
  <c r="BS471" i="34"/>
  <c r="BT471" i="34"/>
  <c r="BW471" i="34" s="1" a="1"/>
  <c r="BW471" i="34" s="1"/>
  <c r="BV471" i="34" a="1"/>
  <c r="BV471" i="34"/>
  <c r="BY471" i="34"/>
  <c r="BZ471" i="34"/>
  <c r="CB471" i="34" a="1"/>
  <c r="CB471" i="34"/>
  <c r="CC471" i="34" a="1"/>
  <c r="CC471" i="34" s="1"/>
  <c r="CE471" i="34"/>
  <c r="CH471" i="34" s="1" a="1"/>
  <c r="CH471" i="34" s="1"/>
  <c r="CF471" i="34"/>
  <c r="CK471" i="34"/>
  <c r="CL471" i="34"/>
  <c r="CQ471" i="34" a="1"/>
  <c r="CQ471" i="34"/>
  <c r="CT471" i="34" s="1" a="1"/>
  <c r="CT471" i="34" s="1"/>
  <c r="CR471" i="34"/>
  <c r="CU471" i="34" a="1"/>
  <c r="CU471" i="34" s="1"/>
  <c r="CW471" i="34"/>
  <c r="CX471" i="34"/>
  <c r="CZ471" i="34" a="1"/>
  <c r="CZ471" i="34"/>
  <c r="DA471" i="34" a="1"/>
  <c r="DA471" i="34" s="1"/>
  <c r="DC471" i="34"/>
  <c r="DF471" i="34" s="1" a="1"/>
  <c r="DF471" i="34" s="1"/>
  <c r="DD471" i="34"/>
  <c r="DG471" i="34" a="1"/>
  <c r="DG471" i="34" s="1"/>
  <c r="DI471" i="34"/>
  <c r="DM471" i="34" s="1" a="1"/>
  <c r="DM471" i="34" s="1"/>
  <c r="DJ471" i="34"/>
  <c r="DL471" i="34" a="1"/>
  <c r="DL471" i="34" s="1"/>
  <c r="DO471" i="34"/>
  <c r="DP471" i="34"/>
  <c r="DR471" i="34" a="1"/>
  <c r="DR471" i="34" s="1"/>
  <c r="DU471" i="34"/>
  <c r="DV471" i="34"/>
  <c r="DY471" i="34" s="1" a="1"/>
  <c r="DY471" i="34" s="1"/>
  <c r="DX471" i="34" a="1"/>
  <c r="DX471" i="34" s="1"/>
  <c r="EA471" i="34"/>
  <c r="EB471" i="34"/>
  <c r="BS472" i="34"/>
  <c r="BT472" i="34"/>
  <c r="BY472" i="34"/>
  <c r="CB472" i="34" s="1" a="1"/>
  <c r="CB472" i="34" s="1"/>
  <c r="BZ472" i="34"/>
  <c r="CE472" i="34"/>
  <c r="CF472" i="34"/>
  <c r="CH472" i="34" a="1"/>
  <c r="CH472" i="34"/>
  <c r="CI472" i="34" a="1"/>
  <c r="CI472" i="34" s="1"/>
  <c r="CK472" i="34"/>
  <c r="CN472" i="34" s="1" a="1"/>
  <c r="CL472" i="34"/>
  <c r="CN472" i="34"/>
  <c r="CO472" i="34" a="1"/>
  <c r="CO472" i="34" s="1"/>
  <c r="CQ472" i="34" a="1"/>
  <c r="CQ472" i="34"/>
  <c r="CR472" i="34"/>
  <c r="CW472" i="34"/>
  <c r="CX472" i="34"/>
  <c r="DC472" i="34"/>
  <c r="DD472" i="34"/>
  <c r="DI472" i="34"/>
  <c r="DL472" i="34" s="1" a="1"/>
  <c r="DL472" i="34" s="1"/>
  <c r="DJ472" i="34"/>
  <c r="DM472" i="34" a="1"/>
  <c r="DM472" i="34" s="1"/>
  <c r="DO472" i="34"/>
  <c r="DR472" i="34" s="1" a="1"/>
  <c r="DR472" i="34" s="1"/>
  <c r="DP472" i="34"/>
  <c r="DS472" i="34" a="1"/>
  <c r="DS472" i="34" s="1"/>
  <c r="DU472" i="34"/>
  <c r="DY472" i="34" s="1" a="1"/>
  <c r="DY472" i="34" s="1"/>
  <c r="DV472" i="34"/>
  <c r="DX472" i="34" a="1"/>
  <c r="DX472" i="34"/>
  <c r="EA472" i="34"/>
  <c r="EB472" i="34"/>
  <c r="EE472" i="34" s="1" a="1"/>
  <c r="EE472" i="34" s="1"/>
  <c r="ED472" i="34" a="1"/>
  <c r="ED472" i="34"/>
  <c r="BS473" i="34"/>
  <c r="BT473" i="34"/>
  <c r="BV473" i="34" a="1"/>
  <c r="BV473" i="34" s="1"/>
  <c r="BW473" i="34" a="1"/>
  <c r="BW473" i="34" s="1"/>
  <c r="BY473" i="34"/>
  <c r="BZ473" i="34"/>
  <c r="CE473" i="34"/>
  <c r="CF473" i="34"/>
  <c r="CK473" i="34"/>
  <c r="CL473" i="34"/>
  <c r="CQ473" i="34" a="1"/>
  <c r="CQ473" i="34" s="1"/>
  <c r="CT473" i="34" s="1" a="1"/>
  <c r="CT473" i="34" s="1"/>
  <c r="CR473" i="34"/>
  <c r="CU473" i="34" a="1"/>
  <c r="CU473" i="34" s="1"/>
  <c r="CW473" i="34"/>
  <c r="CZ473" i="34" s="1" a="1"/>
  <c r="CX473" i="34"/>
  <c r="CZ473" i="34"/>
  <c r="DA473" i="34" a="1"/>
  <c r="DA473" i="34" s="1"/>
  <c r="DC473" i="34"/>
  <c r="DG473" i="34" s="1" a="1"/>
  <c r="DG473" i="34" s="1"/>
  <c r="DD473" i="34"/>
  <c r="DF473" i="34" a="1"/>
  <c r="DF473" i="34" s="1"/>
  <c r="DI473" i="34"/>
  <c r="DM473" i="34" s="1" a="1"/>
  <c r="DM473" i="34" s="1"/>
  <c r="DJ473" i="34"/>
  <c r="DL473" i="34" a="1"/>
  <c r="DL473" i="34" s="1"/>
  <c r="DO473" i="34"/>
  <c r="DS473" i="34" s="1" a="1"/>
  <c r="DS473" i="34" s="1"/>
  <c r="DP473" i="34"/>
  <c r="DR473" i="34" a="1"/>
  <c r="DR473" i="34" s="1"/>
  <c r="DU473" i="34"/>
  <c r="DV473" i="34"/>
  <c r="EA473" i="34"/>
  <c r="EB473" i="34"/>
  <c r="BS474" i="34"/>
  <c r="BV474" i="34" s="1" a="1"/>
  <c r="BV474" i="34" s="1"/>
  <c r="BT474" i="34"/>
  <c r="BY474" i="34"/>
  <c r="BZ474" i="34"/>
  <c r="CB474" i="34" a="1"/>
  <c r="CB474" i="34"/>
  <c r="CC474" i="34" a="1"/>
  <c r="CC474" i="34" s="1"/>
  <c r="CE474" i="34"/>
  <c r="CH474" i="34" s="1" a="1"/>
  <c r="CF474" i="34"/>
  <c r="CH474" i="34"/>
  <c r="CI474" i="34" a="1"/>
  <c r="CI474" i="34" s="1"/>
  <c r="CK474" i="34"/>
  <c r="CO474" i="34" s="1" a="1"/>
  <c r="CO474" i="34" s="1"/>
  <c r="CL474" i="34"/>
  <c r="CN474" i="34" a="1"/>
  <c r="CN474" i="34" s="1"/>
  <c r="CQ474" i="34" a="1"/>
  <c r="CQ474" i="34"/>
  <c r="CR474" i="34"/>
  <c r="CW474" i="34"/>
  <c r="CX474" i="34"/>
  <c r="DC474" i="34"/>
  <c r="DF474" i="34" s="1" a="1"/>
  <c r="DF474" i="34" s="1"/>
  <c r="DD474" i="34"/>
  <c r="DG474" i="34" a="1"/>
  <c r="DG474" i="34" s="1"/>
  <c r="DI474" i="34"/>
  <c r="DL474" i="34" s="1" a="1"/>
  <c r="DL474" i="34" s="1"/>
  <c r="DJ474" i="34"/>
  <c r="DM474" i="34" a="1"/>
  <c r="DM474" i="34"/>
  <c r="DO474" i="34"/>
  <c r="DS474" i="34" s="1" a="1"/>
  <c r="DS474" i="34" s="1"/>
  <c r="DP474" i="34"/>
  <c r="DR474" i="34" a="1"/>
  <c r="DR474" i="34"/>
  <c r="DU474" i="34"/>
  <c r="DV474" i="34"/>
  <c r="DY474" i="34" s="1" a="1"/>
  <c r="DY474" i="34" s="1"/>
  <c r="DX474" i="34" a="1"/>
  <c r="DX474" i="34"/>
  <c r="EA474" i="34"/>
  <c r="EB474" i="34"/>
  <c r="ED474" i="34" a="1"/>
  <c r="ED474" i="34" s="1"/>
  <c r="EE474" i="34" a="1"/>
  <c r="EE474" i="34" s="1"/>
  <c r="BS475" i="34"/>
  <c r="BT475" i="34"/>
  <c r="BY475" i="34"/>
  <c r="BZ475" i="34"/>
  <c r="CE475" i="34"/>
  <c r="CF475" i="34"/>
  <c r="CI475" i="34" s="1" a="1"/>
  <c r="CI475" i="34" s="1"/>
  <c r="CK475" i="34"/>
  <c r="CN475" i="34" s="1" a="1"/>
  <c r="CN475" i="34" s="1"/>
  <c r="CL475" i="34"/>
  <c r="CO475" i="34" a="1"/>
  <c r="CO475" i="34" s="1"/>
  <c r="CQ475" i="34" a="1"/>
  <c r="CQ475" i="34" s="1"/>
  <c r="CT475" i="34" s="1" a="1"/>
  <c r="CT475" i="34" s="1"/>
  <c r="CR475" i="34"/>
  <c r="CU475" i="34" a="1"/>
  <c r="CU475" i="34" s="1"/>
  <c r="CW475" i="34"/>
  <c r="CX475" i="34"/>
  <c r="DA475" i="34" s="1" a="1"/>
  <c r="DA475" i="34" s="1"/>
  <c r="CZ475" i="34" a="1"/>
  <c r="CZ475" i="34" s="1"/>
  <c r="DC475" i="34"/>
  <c r="DD475" i="34"/>
  <c r="DF475" i="34" a="1"/>
  <c r="DF475" i="34" s="1"/>
  <c r="DI475" i="34"/>
  <c r="DJ475" i="34"/>
  <c r="DL475" i="34" s="1" a="1"/>
  <c r="DL475" i="34" s="1"/>
  <c r="DO475" i="34"/>
  <c r="DP475" i="34"/>
  <c r="DU475" i="34"/>
  <c r="DV475" i="34"/>
  <c r="EA475" i="34"/>
  <c r="ED475" i="34" s="1" a="1"/>
  <c r="EB475" i="34"/>
  <c r="ED475" i="34"/>
  <c r="BS476" i="34"/>
  <c r="BT476" i="34"/>
  <c r="BV476" i="34" a="1"/>
  <c r="BV476" i="34"/>
  <c r="BW476" i="34" a="1"/>
  <c r="BW476" i="34" s="1"/>
  <c r="BY476" i="34"/>
  <c r="CB476" i="34" s="1" a="1"/>
  <c r="CB476" i="34" s="1"/>
  <c r="BZ476" i="34"/>
  <c r="CC476" i="34" a="1"/>
  <c r="CC476" i="34" s="1"/>
  <c r="CE476" i="34"/>
  <c r="CI476" i="34" s="1" a="1"/>
  <c r="CI476" i="34" s="1"/>
  <c r="CF476" i="34"/>
  <c r="CH476" i="34" a="1"/>
  <c r="CH476" i="34" s="1"/>
  <c r="CK476" i="34"/>
  <c r="CO476" i="34" s="1" a="1"/>
  <c r="CO476" i="34" s="1"/>
  <c r="CL476" i="34"/>
  <c r="CN476" i="34" a="1"/>
  <c r="CN476" i="34" s="1"/>
  <c r="CQ476" i="34" a="1"/>
  <c r="CQ476" i="34"/>
  <c r="CR476" i="34"/>
  <c r="CU476" i="34" s="1" a="1"/>
  <c r="CU476" i="34" s="1"/>
  <c r="CW476" i="34"/>
  <c r="CZ476" i="34" s="1" a="1"/>
  <c r="CZ476" i="34" s="1"/>
  <c r="CX476" i="34"/>
  <c r="DA476" i="34" a="1"/>
  <c r="DA476" i="34" s="1"/>
  <c r="DC476" i="34"/>
  <c r="DF476" i="34" s="1" a="1"/>
  <c r="DF476" i="34" s="1"/>
  <c r="DD476" i="34"/>
  <c r="DG476" i="34" a="1"/>
  <c r="DG476" i="34"/>
  <c r="DI476" i="34"/>
  <c r="DM476" i="34" s="1" a="1"/>
  <c r="DM476" i="34" s="1"/>
  <c r="DJ476" i="34"/>
  <c r="DL476" i="34" a="1"/>
  <c r="DL476" i="34" s="1"/>
  <c r="DO476" i="34"/>
  <c r="DS476" i="34" s="1" a="1"/>
  <c r="DS476" i="34" s="1"/>
  <c r="DP476" i="34"/>
  <c r="DR476" i="34" a="1"/>
  <c r="DR476" i="34"/>
  <c r="DU476" i="34"/>
  <c r="DV476" i="34"/>
  <c r="DX476" i="34" a="1"/>
  <c r="DX476" i="34" s="1"/>
  <c r="DY476" i="34" a="1"/>
  <c r="DY476" i="34" s="1"/>
  <c r="EA476" i="34"/>
  <c r="EB476" i="34"/>
  <c r="BS477" i="34"/>
  <c r="BT477" i="34"/>
  <c r="BY477" i="34"/>
  <c r="CC477" i="34" s="1" a="1"/>
  <c r="CC477" i="34" s="1"/>
  <c r="BZ477" i="34"/>
  <c r="CE477" i="34"/>
  <c r="CH477" i="34" s="1" a="1"/>
  <c r="CH477" i="34" s="1"/>
  <c r="CF477" i="34"/>
  <c r="CI477" i="34" a="1"/>
  <c r="CI477" i="34" s="1"/>
  <c r="CK477" i="34"/>
  <c r="CN477" i="34" s="1" a="1"/>
  <c r="CN477" i="34" s="1"/>
  <c r="CL477" i="34"/>
  <c r="CO477" i="34" a="1"/>
  <c r="CO477" i="34"/>
  <c r="CQ477" i="34" a="1"/>
  <c r="CQ477" i="34" s="1"/>
  <c r="CU477" i="34" s="1" a="1"/>
  <c r="CU477" i="34" s="1"/>
  <c r="CR477" i="34"/>
  <c r="CT477" i="34" a="1"/>
  <c r="CT477" i="34" s="1"/>
  <c r="CW477" i="34"/>
  <c r="DA477" i="34" s="1" a="1"/>
  <c r="DA477" i="34" s="1"/>
  <c r="CX477" i="34"/>
  <c r="CZ477" i="34" a="1"/>
  <c r="CZ477" i="34" s="1"/>
  <c r="DC477" i="34"/>
  <c r="DD477" i="34"/>
  <c r="DF477" i="34" a="1"/>
  <c r="DF477" i="34" s="1"/>
  <c r="DI477" i="34"/>
  <c r="DJ477" i="34"/>
  <c r="DO477" i="34"/>
  <c r="DP477" i="34"/>
  <c r="DU477" i="34"/>
  <c r="DV477" i="34"/>
  <c r="DY477" i="34" s="1" a="1"/>
  <c r="DY477" i="34" s="1"/>
  <c r="EA477" i="34"/>
  <c r="EB477" i="34"/>
  <c r="ED477" i="34" a="1"/>
  <c r="ED477" i="34"/>
  <c r="EE477" i="34" a="1"/>
  <c r="EE477" i="34" s="1"/>
  <c r="BS478" i="34"/>
  <c r="BV478" i="34" s="1" a="1"/>
  <c r="BT478" i="34"/>
  <c r="BV478" i="34"/>
  <c r="BW478" i="34" a="1"/>
  <c r="BW478" i="34" s="1"/>
  <c r="BY478" i="34"/>
  <c r="BZ478" i="34"/>
  <c r="CB478" i="34" s="1" a="1"/>
  <c r="CB478" i="34" s="1"/>
  <c r="CE478" i="34"/>
  <c r="CF478" i="34"/>
  <c r="CH478" i="34" s="1" a="1"/>
  <c r="CH478" i="34" s="1"/>
  <c r="CK478" i="34"/>
  <c r="CL478" i="34"/>
  <c r="CO478" i="34" s="1" a="1"/>
  <c r="CN478" i="34" a="1"/>
  <c r="CN478" i="34"/>
  <c r="CO478" i="34"/>
  <c r="CQ478" i="34" a="1"/>
  <c r="CQ478" i="34" s="1"/>
  <c r="CT478" i="34" s="1" a="1"/>
  <c r="CT478" i="34" s="1"/>
  <c r="CR478" i="34"/>
  <c r="CU478" i="34" a="1"/>
  <c r="CU478" i="34"/>
  <c r="CW478" i="34"/>
  <c r="CZ478" i="34" s="1" a="1"/>
  <c r="CZ478" i="34" s="1"/>
  <c r="CX478" i="34"/>
  <c r="DA478" i="34" a="1"/>
  <c r="DA478" i="34" s="1"/>
  <c r="DC478" i="34"/>
  <c r="DG478" i="34" s="1" a="1"/>
  <c r="DG478" i="34" s="1"/>
  <c r="DD478" i="34"/>
  <c r="DI478" i="34"/>
  <c r="DM478" i="34" s="1" a="1"/>
  <c r="DM478" i="34" s="1"/>
  <c r="DJ478" i="34"/>
  <c r="DL478" i="34" a="1"/>
  <c r="DL478" i="34" s="1"/>
  <c r="DO478" i="34"/>
  <c r="DP478" i="34"/>
  <c r="DR478" i="34" a="1"/>
  <c r="DR478" i="34" s="1"/>
  <c r="DS478" i="34" a="1"/>
  <c r="DS478" i="34" s="1"/>
  <c r="DU478" i="34"/>
  <c r="DV478" i="34"/>
  <c r="EA478" i="34"/>
  <c r="EB478" i="34"/>
  <c r="BS479" i="34"/>
  <c r="BW479" i="34" s="1" a="1"/>
  <c r="BW479" i="34" s="1"/>
  <c r="BT479" i="34"/>
  <c r="BV479" i="34" a="1"/>
  <c r="BV479" i="34" s="1"/>
  <c r="BY479" i="34"/>
  <c r="BZ479" i="34"/>
  <c r="CB479" i="34" a="1"/>
  <c r="CB479" i="34"/>
  <c r="CC479" i="34" a="1"/>
  <c r="CC479" i="34"/>
  <c r="CE479" i="34"/>
  <c r="CH479" i="34" s="1" a="1"/>
  <c r="CH479" i="34" s="1"/>
  <c r="CF479" i="34"/>
  <c r="CI479" i="34" a="1"/>
  <c r="CI479" i="34" s="1"/>
  <c r="CK479" i="34"/>
  <c r="CO479" i="34" s="1" a="1"/>
  <c r="CO479" i="34" s="1"/>
  <c r="CL479" i="34"/>
  <c r="CQ479" i="34" a="1"/>
  <c r="CQ479" i="34"/>
  <c r="CR479" i="34"/>
  <c r="CT479" i="34" s="1" a="1"/>
  <c r="CT479" i="34" s="1"/>
  <c r="CW479" i="34"/>
  <c r="CX479" i="34"/>
  <c r="DA479" i="34" s="1" a="1"/>
  <c r="DA479" i="34" s="1"/>
  <c r="CZ479" i="34" a="1"/>
  <c r="CZ479" i="34"/>
  <c r="DC479" i="34"/>
  <c r="DD479" i="34"/>
  <c r="DI479" i="34"/>
  <c r="DJ479" i="34"/>
  <c r="DO479" i="34"/>
  <c r="DR479" i="34" s="1" a="1"/>
  <c r="DR479" i="34" s="1"/>
  <c r="DP479" i="34"/>
  <c r="DS479" i="34" a="1"/>
  <c r="DS479" i="34" s="1"/>
  <c r="DU479" i="34"/>
  <c r="DV479" i="34"/>
  <c r="DX479" i="34" a="1"/>
  <c r="DX479" i="34"/>
  <c r="DY479" i="34" a="1"/>
  <c r="DY479" i="34" s="1"/>
  <c r="EA479" i="34"/>
  <c r="ED479" i="34" s="1" a="1"/>
  <c r="EB479" i="34"/>
  <c r="ED479" i="34"/>
  <c r="EE479" i="34" a="1"/>
  <c r="EE479" i="34"/>
  <c r="BS480" i="34"/>
  <c r="BW480" i="34" s="1" a="1"/>
  <c r="BW480" i="34" s="1"/>
  <c r="BT480" i="34"/>
  <c r="BV480" i="34" a="1"/>
  <c r="BV480" i="34" s="1"/>
  <c r="BY480" i="34"/>
  <c r="BZ480" i="34"/>
  <c r="CB480" i="34" a="1"/>
  <c r="CB480" i="34" s="1"/>
  <c r="CE480" i="34"/>
  <c r="CF480" i="34"/>
  <c r="CI480" i="34" s="1" a="1"/>
  <c r="CI480" i="34"/>
  <c r="CK480" i="34"/>
  <c r="CL480" i="34"/>
  <c r="CQ480" i="34" a="1"/>
  <c r="CQ480" i="34" s="1"/>
  <c r="CT480" i="34" s="1" a="1"/>
  <c r="CT480" i="34" s="1"/>
  <c r="CR480" i="34"/>
  <c r="CU480" i="34" a="1"/>
  <c r="CU480" i="34" s="1"/>
  <c r="CW480" i="34"/>
  <c r="DA480" i="34" s="1" a="1"/>
  <c r="DA480" i="34" s="1"/>
  <c r="CX480" i="34"/>
  <c r="DC480" i="34"/>
  <c r="DG480" i="34" s="1" a="1"/>
  <c r="DG480" i="34" s="1"/>
  <c r="DD480" i="34"/>
  <c r="DF480" i="34" a="1"/>
  <c r="DF480" i="34"/>
  <c r="DI480" i="34"/>
  <c r="DJ480" i="34"/>
  <c r="DL480" i="34" a="1"/>
  <c r="DL480" i="34"/>
  <c r="DM480" i="34" a="1"/>
  <c r="DM480" i="34" s="1"/>
  <c r="DO480" i="34"/>
  <c r="DP480" i="34"/>
  <c r="DU480" i="34"/>
  <c r="DV480" i="34"/>
  <c r="EA480" i="34"/>
  <c r="EB480" i="34"/>
  <c r="ED480" i="34" a="1"/>
  <c r="ED480" i="34" s="1"/>
  <c r="EE480" i="34" a="1"/>
  <c r="EE480" i="34"/>
  <c r="BS481" i="34"/>
  <c r="BT481" i="34"/>
  <c r="BV481" i="34" a="1"/>
  <c r="BV481" i="34"/>
  <c r="BW481" i="34" a="1"/>
  <c r="BW481" i="34"/>
  <c r="BY481" i="34"/>
  <c r="CB481" i="34" s="1" a="1"/>
  <c r="CB481" i="34" s="1"/>
  <c r="BZ481" i="34"/>
  <c r="CC481" i="34" a="1"/>
  <c r="CC481" i="34" s="1"/>
  <c r="CE481" i="34"/>
  <c r="CI481" i="34" s="1" a="1"/>
  <c r="CI481" i="34" s="1"/>
  <c r="CF481" i="34"/>
  <c r="CK481" i="34"/>
  <c r="CO481" i="34" s="1" a="1"/>
  <c r="CO481" i="34" s="1"/>
  <c r="CL481" i="34"/>
  <c r="CN481" i="34" a="1"/>
  <c r="CN481" i="34"/>
  <c r="CQ481" i="34" a="1"/>
  <c r="CQ481" i="34" s="1"/>
  <c r="CR481" i="34"/>
  <c r="CW481" i="34"/>
  <c r="CX481" i="34"/>
  <c r="DC481" i="34"/>
  <c r="DD481" i="34"/>
  <c r="DI481" i="34"/>
  <c r="DL481" i="34" s="1" a="1"/>
  <c r="DJ481" i="34"/>
  <c r="DL481" i="34"/>
  <c r="DO481" i="34"/>
  <c r="DP481" i="34"/>
  <c r="DR481" i="34" a="1"/>
  <c r="DR481" i="34"/>
  <c r="DS481" i="34" a="1"/>
  <c r="DS481" i="34" s="1"/>
  <c r="DU481" i="34"/>
  <c r="DX481" i="34" s="1" a="1"/>
  <c r="DV481" i="34"/>
  <c r="DX481" i="34"/>
  <c r="DY481" i="34" a="1"/>
  <c r="DY481" i="34"/>
  <c r="EA481" i="34"/>
  <c r="EB481" i="34"/>
  <c r="ED481" i="34" a="1"/>
  <c r="ED481" i="34" s="1"/>
  <c r="BS482" i="34"/>
  <c r="BV482" i="34" s="1" a="1"/>
  <c r="BV482" i="34" s="1"/>
  <c r="BT482" i="34"/>
  <c r="BY482" i="34"/>
  <c r="BZ482" i="34"/>
  <c r="CE482" i="34"/>
  <c r="CH482" i="34" s="1" a="1"/>
  <c r="CH482" i="34" s="1"/>
  <c r="CF482" i="34"/>
  <c r="CI482" i="34" a="1"/>
  <c r="CI482" i="34" s="1"/>
  <c r="CK482" i="34"/>
  <c r="CL482" i="34"/>
  <c r="CQ482" i="34" a="1"/>
  <c r="CQ482" i="34" s="1"/>
  <c r="CR482" i="34"/>
  <c r="CW482" i="34"/>
  <c r="DA482" i="34" s="1" a="1"/>
  <c r="DA482" i="34" s="1"/>
  <c r="CX482" i="34"/>
  <c r="CZ482" i="34" a="1"/>
  <c r="CZ482" i="34"/>
  <c r="DC482" i="34"/>
  <c r="DD482" i="34"/>
  <c r="DF482" i="34" a="1"/>
  <c r="DF482" i="34" s="1"/>
  <c r="DG482" i="34" a="1"/>
  <c r="DG482" i="34" s="1"/>
  <c r="DI482" i="34"/>
  <c r="DJ482" i="34"/>
  <c r="DO482" i="34"/>
  <c r="DP482" i="34"/>
  <c r="DU482" i="34"/>
  <c r="DV482" i="34"/>
  <c r="DX482" i="34" a="1"/>
  <c r="DX482" i="34" s="1"/>
  <c r="EA482" i="34"/>
  <c r="EB482" i="34"/>
  <c r="ED482" i="34" a="1"/>
  <c r="ED482" i="34"/>
  <c r="EE482" i="34" a="1"/>
  <c r="EE482" i="34"/>
  <c r="BS483" i="34"/>
  <c r="BV483" i="34" s="1" a="1"/>
  <c r="BV483" i="34" s="1"/>
  <c r="BT483" i="34"/>
  <c r="BW483" i="34" a="1"/>
  <c r="BW483" i="34" s="1"/>
  <c r="BY483" i="34"/>
  <c r="CC483" i="34" s="1" a="1"/>
  <c r="CC483" i="34" s="1"/>
  <c r="BZ483" i="34"/>
  <c r="CB483" i="34" a="1"/>
  <c r="CB483" i="34"/>
  <c r="CE483" i="34"/>
  <c r="CF483" i="34"/>
  <c r="CH483" i="34" a="1"/>
  <c r="CH483" i="34"/>
  <c r="CK483" i="34"/>
  <c r="CL483" i="34"/>
  <c r="CN483" i="34" a="1"/>
  <c r="CN483" i="34"/>
  <c r="CO483" i="34" a="1"/>
  <c r="CO483" i="34" s="1"/>
  <c r="CQ483" i="34" a="1"/>
  <c r="CQ483" i="34"/>
  <c r="CT483" i="34" s="1" a="1"/>
  <c r="CT483" i="34" s="1"/>
  <c r="CR483" i="34"/>
  <c r="CW483" i="34"/>
  <c r="CX483" i="34"/>
  <c r="DC483" i="34"/>
  <c r="DD483" i="34"/>
  <c r="DG483" i="34" a="1"/>
  <c r="DG483" i="34" s="1"/>
  <c r="DI483" i="34"/>
  <c r="DJ483" i="34"/>
  <c r="DL483" i="34" s="1" a="1"/>
  <c r="DL483" i="34" s="1"/>
  <c r="DM483" i="34" a="1"/>
  <c r="DM483" i="34" s="1"/>
  <c r="DO483" i="34"/>
  <c r="DR483" i="34" s="1" a="1"/>
  <c r="DR483" i="34" s="1"/>
  <c r="DP483" i="34"/>
  <c r="DS483" i="34" a="1"/>
  <c r="DS483" i="34"/>
  <c r="DU483" i="34"/>
  <c r="DV483" i="34"/>
  <c r="DX483" i="34" a="1"/>
  <c r="DX483" i="34" s="1"/>
  <c r="EA483" i="34"/>
  <c r="ED483" i="34" s="1" a="1"/>
  <c r="ED483" i="34" s="1"/>
  <c r="EB483" i="34"/>
  <c r="BS484" i="34"/>
  <c r="BT484" i="34"/>
  <c r="BW484" i="34" s="1" a="1"/>
  <c r="BV484" i="34" a="1"/>
  <c r="BV484" i="34"/>
  <c r="BW484" i="34"/>
  <c r="BY484" i="34"/>
  <c r="CB484" i="34" s="1" a="1"/>
  <c r="BZ484" i="34"/>
  <c r="CB484" i="34"/>
  <c r="CC484" i="34" a="1"/>
  <c r="CC484" i="34" s="1"/>
  <c r="CE484" i="34"/>
  <c r="CF484" i="34"/>
  <c r="CK484" i="34"/>
  <c r="CN484" i="34" s="1" a="1"/>
  <c r="CN484" i="34" s="1"/>
  <c r="CL484" i="34"/>
  <c r="CQ484" i="34" a="1"/>
  <c r="CQ484" i="34"/>
  <c r="CU484" i="34" s="1" a="1"/>
  <c r="CR484" i="34"/>
  <c r="CU484" i="34"/>
  <c r="CW484" i="34"/>
  <c r="CX484" i="34"/>
  <c r="CZ484" i="34" a="1"/>
  <c r="CZ484" i="34"/>
  <c r="DA484" i="34" a="1"/>
  <c r="DA484" i="34"/>
  <c r="DC484" i="34"/>
  <c r="DG484" i="34" s="1" a="1"/>
  <c r="DG484" i="34" s="1"/>
  <c r="DD484" i="34"/>
  <c r="DF484" i="34" a="1"/>
  <c r="DF484" i="34" s="1"/>
  <c r="DI484" i="34"/>
  <c r="DL484" i="34" s="1" a="1"/>
  <c r="DJ484" i="34"/>
  <c r="DL484" i="34"/>
  <c r="DM484" i="34" a="1"/>
  <c r="DM484" i="34" s="1"/>
  <c r="DO484" i="34"/>
  <c r="DP484" i="34"/>
  <c r="DR484" i="34" s="1" a="1"/>
  <c r="DR484" i="34" s="1"/>
  <c r="DS484" i="34" a="1"/>
  <c r="DS484" i="34" s="1"/>
  <c r="DU484" i="34"/>
  <c r="DX484" i="34" s="1" a="1"/>
  <c r="DX484" i="34" s="1"/>
  <c r="DV484" i="34"/>
  <c r="EA484" i="34"/>
  <c r="EB484" i="34"/>
  <c r="ED484" i="34" a="1"/>
  <c r="ED484" i="34" s="1"/>
  <c r="BS485" i="34"/>
  <c r="BT485" i="34"/>
  <c r="BV485" i="34" a="1"/>
  <c r="BV485" i="34" s="1"/>
  <c r="BW485" i="34" a="1"/>
  <c r="BW485" i="34" s="1"/>
  <c r="BY485" i="34"/>
  <c r="BZ485" i="34"/>
  <c r="CB485" i="34" s="1" a="1"/>
  <c r="CB485" i="34" s="1"/>
  <c r="CE485" i="34"/>
  <c r="CF485" i="34"/>
  <c r="CK485" i="34"/>
  <c r="CO485" i="34" s="1" a="1"/>
  <c r="CO485" i="34" s="1"/>
  <c r="CL485" i="34"/>
  <c r="CN485" i="34" a="1"/>
  <c r="CN485" i="34" s="1"/>
  <c r="CQ485" i="34" a="1"/>
  <c r="CQ485" i="34"/>
  <c r="CU485" i="34" s="1" a="1"/>
  <c r="CU485" i="34" s="1"/>
  <c r="CR485" i="34"/>
  <c r="CT485" i="34" a="1"/>
  <c r="CT485" i="34"/>
  <c r="CW485" i="34"/>
  <c r="CX485" i="34"/>
  <c r="CZ485" i="34" a="1"/>
  <c r="CZ485" i="34"/>
  <c r="DA485" i="34" a="1"/>
  <c r="DA485" i="34"/>
  <c r="DC485" i="34"/>
  <c r="DD485" i="34"/>
  <c r="DF485" i="34" a="1"/>
  <c r="DF485" i="34" s="1"/>
  <c r="DG485" i="34" a="1"/>
  <c r="DG485" i="34" s="1"/>
  <c r="DI485" i="34"/>
  <c r="DJ485" i="34"/>
  <c r="DO485" i="34"/>
  <c r="DR485" i="34" s="1" a="1"/>
  <c r="DR485" i="34" s="1"/>
  <c r="DP485" i="34"/>
  <c r="DU485" i="34"/>
  <c r="DX485" i="34" s="1" a="1"/>
  <c r="DX485" i="34" s="1"/>
  <c r="DV485" i="34"/>
  <c r="DY485" i="34" a="1"/>
  <c r="DY485" i="34" s="1"/>
  <c r="EA485" i="34"/>
  <c r="EB485" i="34"/>
  <c r="ED485" i="34" a="1"/>
  <c r="ED485" i="34" s="1"/>
  <c r="EE485" i="34" a="1"/>
  <c r="EE485" i="34"/>
  <c r="BS486" i="34"/>
  <c r="BV486" i="34" s="1" a="1"/>
  <c r="BV486" i="34" s="1"/>
  <c r="BT486" i="34"/>
  <c r="BW486" i="34" a="1"/>
  <c r="BW486" i="34" s="1"/>
  <c r="BY486" i="34"/>
  <c r="CC486" i="34" s="1" a="1"/>
  <c r="CC486" i="34" s="1"/>
  <c r="BZ486" i="34"/>
  <c r="CB486" i="34" a="1"/>
  <c r="CB486" i="34"/>
  <c r="CE486" i="34"/>
  <c r="CF486" i="34"/>
  <c r="CH486" i="34" a="1"/>
  <c r="CH486" i="34"/>
  <c r="CI486" i="34" a="1"/>
  <c r="CI486" i="34"/>
  <c r="CK486" i="34"/>
  <c r="CL486" i="34"/>
  <c r="CN486" i="34" a="1"/>
  <c r="CN486" i="34" s="1"/>
  <c r="CO486" i="34" a="1"/>
  <c r="CO486" i="34" s="1"/>
  <c r="CQ486" i="34" a="1"/>
  <c r="CQ486" i="34"/>
  <c r="CR486" i="34"/>
  <c r="CW486" i="34"/>
  <c r="DA486" i="34" s="1" a="1"/>
  <c r="DA486" i="34" s="1"/>
  <c r="CX486" i="34"/>
  <c r="CZ486" i="34" a="1"/>
  <c r="CZ486" i="34" s="1"/>
  <c r="DC486" i="34"/>
  <c r="DF486" i="34" s="1" a="1"/>
  <c r="DF486" i="34" s="1"/>
  <c r="DD486" i="34"/>
  <c r="DG486" i="34" a="1"/>
  <c r="DG486" i="34" s="1"/>
  <c r="DI486" i="34"/>
  <c r="DJ486" i="34"/>
  <c r="DL486" i="34" a="1"/>
  <c r="DL486" i="34"/>
  <c r="DM486" i="34" a="1"/>
  <c r="DM486" i="34" s="1"/>
  <c r="DO486" i="34"/>
  <c r="DR486" i="34" s="1" a="1"/>
  <c r="DR486" i="34" s="1"/>
  <c r="DP486" i="34"/>
  <c r="DU486" i="34"/>
  <c r="DV486" i="34"/>
  <c r="DX486" i="34" s="1" a="1"/>
  <c r="DX486" i="34" s="1"/>
  <c r="EA486" i="34"/>
  <c r="EB486" i="34"/>
  <c r="ED486" i="34" a="1"/>
  <c r="ED486" i="34" s="1"/>
  <c r="EE486" i="34" a="1"/>
  <c r="EE486" i="34" s="1"/>
  <c r="BS487" i="34"/>
  <c r="BT487" i="34"/>
  <c r="BV487" i="34" s="1" a="1"/>
  <c r="BV487" i="34" s="1"/>
  <c r="BY487" i="34"/>
  <c r="BZ487" i="34"/>
  <c r="CE487" i="34"/>
  <c r="CI487" i="34" s="1" a="1"/>
  <c r="CI487" i="34" s="1"/>
  <c r="CF487" i="34"/>
  <c r="CH487" i="34" a="1"/>
  <c r="CH487" i="34" s="1"/>
  <c r="CK487" i="34"/>
  <c r="CN487" i="34" s="1" a="1"/>
  <c r="CL487" i="34"/>
  <c r="CN487" i="34"/>
  <c r="CO487" i="34" a="1"/>
  <c r="CO487" i="34" s="1"/>
  <c r="CQ487" i="34" a="1"/>
  <c r="CQ487" i="34"/>
  <c r="CR487" i="34"/>
  <c r="CT487" i="34" a="1"/>
  <c r="CT487" i="34"/>
  <c r="CU487" i="34" a="1"/>
  <c r="CU487" i="34"/>
  <c r="CW487" i="34"/>
  <c r="CX487" i="34"/>
  <c r="CZ487" i="34" a="1"/>
  <c r="CZ487" i="34" s="1"/>
  <c r="DA487" i="34" a="1"/>
  <c r="DA487" i="34" s="1"/>
  <c r="DC487" i="34"/>
  <c r="DD487" i="34"/>
  <c r="DI487" i="34"/>
  <c r="DL487" i="34" s="1" a="1"/>
  <c r="DL487" i="34" s="1"/>
  <c r="DJ487" i="34"/>
  <c r="DO487" i="34"/>
  <c r="DR487" i="34" s="1" a="1"/>
  <c r="DR487" i="34" s="1"/>
  <c r="DP487" i="34"/>
  <c r="DS487" i="34" a="1"/>
  <c r="DS487" i="34"/>
  <c r="DU487" i="34"/>
  <c r="DV487" i="34"/>
  <c r="DX487" i="34" a="1"/>
  <c r="DX487" i="34"/>
  <c r="DY487" i="34" a="1"/>
  <c r="DY487" i="34"/>
  <c r="EA487" i="34"/>
  <c r="ED487" i="34" s="1" a="1"/>
  <c r="ED487" i="34" s="1"/>
  <c r="EB487" i="34"/>
  <c r="EE487" i="34" a="1"/>
  <c r="EE487" i="34" s="1"/>
  <c r="BS488" i="34"/>
  <c r="BW488" i="34" s="1" a="1"/>
  <c r="BW488" i="34" s="1"/>
  <c r="BT488" i="34"/>
  <c r="BV488" i="34" a="1"/>
  <c r="BV488" i="34" s="1"/>
  <c r="BY488" i="34"/>
  <c r="BZ488" i="34"/>
  <c r="CB488" i="34" a="1"/>
  <c r="CB488" i="34" s="1"/>
  <c r="CC488" i="34" a="1"/>
  <c r="CC488" i="34"/>
  <c r="CE488" i="34"/>
  <c r="CF488" i="34"/>
  <c r="CH488" i="34" a="1"/>
  <c r="CH488" i="34" s="1"/>
  <c r="CI488" i="34" a="1"/>
  <c r="CI488" i="34" s="1"/>
  <c r="CK488" i="34"/>
  <c r="CL488" i="34"/>
  <c r="CQ488" i="34" a="1"/>
  <c r="CQ488" i="34" s="1"/>
  <c r="CR488" i="34"/>
  <c r="CW488" i="34"/>
  <c r="CZ488" i="34" s="1" a="1"/>
  <c r="CZ488" i="34" s="1"/>
  <c r="CX488" i="34"/>
  <c r="DA488" i="34" a="1"/>
  <c r="DA488" i="34" s="1"/>
  <c r="DC488" i="34"/>
  <c r="DD488" i="34"/>
  <c r="DF488" i="34" a="1"/>
  <c r="DF488" i="34"/>
  <c r="DG488" i="34" a="1"/>
  <c r="DG488" i="34" s="1"/>
  <c r="DI488" i="34"/>
  <c r="DL488" i="34" s="1" a="1"/>
  <c r="DL488" i="34" s="1"/>
  <c r="DJ488" i="34"/>
  <c r="DO488" i="34"/>
  <c r="DP488" i="34"/>
  <c r="DR488" i="34" s="1" a="1"/>
  <c r="DR488" i="34" s="1"/>
  <c r="DU488" i="34"/>
  <c r="DV488" i="34"/>
  <c r="DX488" i="34" s="1" a="1"/>
  <c r="DX488" i="34" s="1"/>
  <c r="DY488" i="34" a="1"/>
  <c r="DY488" i="34" s="1"/>
  <c r="EA488" i="34"/>
  <c r="EB488" i="34"/>
  <c r="ED488" i="34" s="1" a="1"/>
  <c r="ED488" i="34" s="1"/>
  <c r="BS489" i="34"/>
  <c r="BT489" i="34"/>
  <c r="BY489" i="34"/>
  <c r="CC489" i="34" s="1" a="1"/>
  <c r="CC489" i="34" s="1"/>
  <c r="BZ489" i="34"/>
  <c r="CB489" i="34" a="1"/>
  <c r="CB489" i="34" s="1"/>
  <c r="CE489" i="34"/>
  <c r="CH489" i="34" s="1" a="1"/>
  <c r="CH489" i="34" s="1"/>
  <c r="CF489" i="34"/>
  <c r="CI489" i="34" a="1"/>
  <c r="CI489" i="34" s="1"/>
  <c r="CK489" i="34"/>
  <c r="CL489" i="34"/>
  <c r="CN489" i="34" a="1"/>
  <c r="CN489" i="34"/>
  <c r="CO489" i="34" a="1"/>
  <c r="CO489" i="34" s="1"/>
  <c r="CQ489" i="34" a="1"/>
  <c r="CQ489" i="34" s="1"/>
  <c r="CR489" i="34"/>
  <c r="CW489" i="34"/>
  <c r="CX489" i="34"/>
  <c r="DC489" i="34"/>
  <c r="DF489" i="34" s="1" a="1"/>
  <c r="DF489" i="34" s="1"/>
  <c r="DD489" i="34"/>
  <c r="DI489" i="34"/>
  <c r="DL489" i="34" s="1" a="1"/>
  <c r="DL489" i="34" s="1"/>
  <c r="DJ489" i="34"/>
  <c r="DM489" i="34" a="1"/>
  <c r="DM489" i="34" s="1"/>
  <c r="DO489" i="34"/>
  <c r="DP489" i="34"/>
  <c r="DR489" i="34" a="1"/>
  <c r="DR489" i="34"/>
  <c r="DS489" i="34" a="1"/>
  <c r="DS489" i="34"/>
  <c r="DU489" i="34"/>
  <c r="DX489" i="34" s="1" a="1"/>
  <c r="DX489" i="34" s="1"/>
  <c r="DV489" i="34"/>
  <c r="DY489" i="34" a="1"/>
  <c r="DY489" i="34" s="1"/>
  <c r="EA489" i="34"/>
  <c r="EE489" i="34" s="1" a="1"/>
  <c r="EE489" i="34" s="1"/>
  <c r="EB489" i="34"/>
  <c r="ED489" i="34" a="1"/>
  <c r="ED489" i="34" s="1"/>
  <c r="BS490" i="34"/>
  <c r="BT490" i="34"/>
  <c r="BV490" i="34" a="1"/>
  <c r="BV490" i="34" s="1"/>
  <c r="BW490" i="34" a="1"/>
  <c r="BW490" i="34"/>
  <c r="BY490" i="34"/>
  <c r="BZ490" i="34"/>
  <c r="CB490" i="34" a="1"/>
  <c r="CB490" i="34" s="1"/>
  <c r="CC490" i="34" a="1"/>
  <c r="CC490" i="34" s="1"/>
  <c r="CE490" i="34"/>
  <c r="CF490" i="34"/>
  <c r="CK490" i="34"/>
  <c r="CN490" i="34" s="1" a="1"/>
  <c r="CN490" i="34" s="1"/>
  <c r="CL490" i="34"/>
  <c r="CQ490" i="34" a="1"/>
  <c r="CQ490" i="34" s="1"/>
  <c r="CR490" i="34"/>
  <c r="CW490" i="34"/>
  <c r="CX490" i="34"/>
  <c r="CZ490" i="34" a="1"/>
  <c r="CZ490" i="34"/>
  <c r="DA490" i="34" a="1"/>
  <c r="DA490" i="34" s="1"/>
  <c r="DC490" i="34"/>
  <c r="DF490" i="34" s="1" a="1"/>
  <c r="DF490" i="34" s="1"/>
  <c r="DD490" i="34"/>
  <c r="DI490" i="34"/>
  <c r="DM490" i="34" s="1" a="1"/>
  <c r="DM490" i="34" s="1"/>
  <c r="DJ490" i="34"/>
  <c r="DL490" i="34" s="1" a="1"/>
  <c r="DL490" i="34" s="1"/>
  <c r="DO490" i="34"/>
  <c r="DP490" i="34"/>
  <c r="DR490" i="34" a="1"/>
  <c r="DR490" i="34" s="1"/>
  <c r="DS490" i="34" a="1"/>
  <c r="DS490" i="34" s="1"/>
  <c r="DU490" i="34"/>
  <c r="DV490" i="34"/>
  <c r="DX490" i="34" s="1" a="1"/>
  <c r="DX490" i="34" s="1"/>
  <c r="EA490" i="34"/>
  <c r="EB490" i="34"/>
  <c r="BS491" i="34"/>
  <c r="BW491" i="34" s="1" a="1"/>
  <c r="BW491" i="34" s="1"/>
  <c r="BT491" i="34"/>
  <c r="BV491" i="34" a="1"/>
  <c r="BV491" i="34" s="1"/>
  <c r="BY491" i="34"/>
  <c r="CB491" i="34" s="1" a="1"/>
  <c r="CB491" i="34" s="1"/>
  <c r="BZ491" i="34"/>
  <c r="CC491" i="34" a="1"/>
  <c r="CC491" i="34" s="1"/>
  <c r="CE491" i="34"/>
  <c r="CF491" i="34"/>
  <c r="CH491" i="34" a="1"/>
  <c r="CH491" i="34"/>
  <c r="CI491" i="34" a="1"/>
  <c r="CI491" i="34" s="1"/>
  <c r="CK491" i="34"/>
  <c r="CN491" i="34" s="1" a="1"/>
  <c r="CN491" i="34" s="1"/>
  <c r="CL491" i="34"/>
  <c r="CQ491" i="34" a="1"/>
  <c r="CQ491" i="34"/>
  <c r="CR491" i="34"/>
  <c r="CW491" i="34"/>
  <c r="CZ491" i="34" s="1" a="1"/>
  <c r="CZ491" i="34" s="1"/>
  <c r="CX491" i="34"/>
  <c r="DC491" i="34"/>
  <c r="DF491" i="34" s="1" a="1"/>
  <c r="DF491" i="34" s="1"/>
  <c r="DD491" i="34"/>
  <c r="DG491" i="34" a="1"/>
  <c r="DG491" i="34" s="1"/>
  <c r="DI491" i="34"/>
  <c r="DJ491" i="34"/>
  <c r="DL491" i="34" a="1"/>
  <c r="DL491" i="34"/>
  <c r="DM491" i="34" a="1"/>
  <c r="DM491" i="34"/>
  <c r="DO491" i="34"/>
  <c r="DR491" i="34" s="1" a="1"/>
  <c r="DR491" i="34" s="1"/>
  <c r="DP491" i="34"/>
  <c r="DS491" i="34" a="1"/>
  <c r="DS491" i="34" s="1"/>
  <c r="DU491" i="34"/>
  <c r="DY491" i="34" s="1" a="1"/>
  <c r="DY491" i="34" s="1"/>
  <c r="DV491" i="34"/>
  <c r="DX491" i="34" a="1"/>
  <c r="DX491" i="34"/>
  <c r="EA491" i="34"/>
  <c r="EB491" i="34"/>
  <c r="ED491" i="34" a="1"/>
  <c r="ED491" i="34" s="1"/>
  <c r="EE491" i="34" a="1"/>
  <c r="EE491" i="34"/>
  <c r="BS492" i="34"/>
  <c r="BT492" i="34"/>
  <c r="BV492" i="34" a="1"/>
  <c r="BV492" i="34" s="1"/>
  <c r="BW492" i="34" a="1"/>
  <c r="BW492" i="34" s="1"/>
  <c r="BY492" i="34"/>
  <c r="BZ492" i="34"/>
  <c r="CE492" i="34"/>
  <c r="CH492" i="34" s="1" a="1"/>
  <c r="CH492" i="34" s="1"/>
  <c r="CF492" i="34"/>
  <c r="CK492" i="34"/>
  <c r="CN492" i="34" s="1" a="1"/>
  <c r="CN492" i="34" s="1"/>
  <c r="CL492" i="34"/>
  <c r="CO492" i="34" a="1"/>
  <c r="CO492" i="34"/>
  <c r="CQ492" i="34" a="1"/>
  <c r="CQ492" i="34"/>
  <c r="CR492" i="34"/>
  <c r="CT492" i="34" a="1"/>
  <c r="CT492" i="34"/>
  <c r="CU492" i="34" a="1"/>
  <c r="CU492" i="34" s="1"/>
  <c r="CW492" i="34"/>
  <c r="CZ492" i="34" s="1" a="1"/>
  <c r="CZ492" i="34" s="1"/>
  <c r="CX492" i="34"/>
  <c r="DC492" i="34"/>
  <c r="DG492" i="34" s="1" a="1"/>
  <c r="DG492" i="34" s="1"/>
  <c r="DD492" i="34"/>
  <c r="DF492" i="34" a="1"/>
  <c r="DF492" i="34" s="1"/>
  <c r="DI492" i="34"/>
  <c r="DJ492" i="34"/>
  <c r="DL492" i="34" a="1"/>
  <c r="DL492" i="34" s="1"/>
  <c r="DM492" i="34" a="1"/>
  <c r="DM492" i="34" s="1"/>
  <c r="DO492" i="34"/>
  <c r="DP492" i="34"/>
  <c r="DR492" i="34" s="1" a="1"/>
  <c r="DR492" i="34" s="1"/>
  <c r="DU492" i="34"/>
  <c r="DV492" i="34"/>
  <c r="EA492" i="34"/>
  <c r="EE492" i="34" s="1" a="1"/>
  <c r="EE492" i="34" s="1"/>
  <c r="EB492" i="34"/>
  <c r="ED492" i="34" a="1"/>
  <c r="ED492" i="34" s="1"/>
  <c r="BS493" i="34"/>
  <c r="BV493" i="34" s="1" a="1"/>
  <c r="BV493" i="34" s="1"/>
  <c r="BT493" i="34"/>
  <c r="BW493" i="34" a="1"/>
  <c r="BW493" i="34" s="1"/>
  <c r="BY493" i="34"/>
  <c r="BZ493" i="34"/>
  <c r="CB493" i="34" a="1"/>
  <c r="CB493" i="34"/>
  <c r="CC493" i="34" a="1"/>
  <c r="CC493" i="34" s="1"/>
  <c r="CE493" i="34"/>
  <c r="CH493" i="34" s="1" a="1"/>
  <c r="CH493" i="34" s="1"/>
  <c r="CF493" i="34"/>
  <c r="CK493" i="34"/>
  <c r="CL493" i="34"/>
  <c r="CN493" i="34" s="1" a="1"/>
  <c r="CN493" i="34" s="1"/>
  <c r="CQ493" i="34" a="1"/>
  <c r="CQ493" i="34"/>
  <c r="CT493" i="34" s="1" a="1"/>
  <c r="CT493" i="34" s="1"/>
  <c r="CR493" i="34"/>
  <c r="CW493" i="34"/>
  <c r="CZ493" i="34" s="1" a="1"/>
  <c r="CZ493" i="34" s="1"/>
  <c r="CX493" i="34"/>
  <c r="DA493" i="34" a="1"/>
  <c r="DA493" i="34" s="1"/>
  <c r="DC493" i="34"/>
  <c r="DD493" i="34"/>
  <c r="DF493" i="34" a="1"/>
  <c r="DF493" i="34"/>
  <c r="DG493" i="34" a="1"/>
  <c r="DG493" i="34"/>
  <c r="DI493" i="34"/>
  <c r="DL493" i="34" s="1" a="1"/>
  <c r="DL493" i="34" s="1"/>
  <c r="DJ493" i="34"/>
  <c r="DM493" i="34" a="1"/>
  <c r="DM493" i="34" s="1"/>
  <c r="DO493" i="34"/>
  <c r="DS493" i="34" s="1" a="1"/>
  <c r="DS493" i="34" s="1"/>
  <c r="DP493" i="34"/>
  <c r="DR493" i="34" a="1"/>
  <c r="DR493" i="34" s="1"/>
  <c r="DU493" i="34"/>
  <c r="DV493" i="34"/>
  <c r="DY493" i="34" s="1" a="1"/>
  <c r="DY493" i="34" s="1"/>
  <c r="DX493" i="34" a="1"/>
  <c r="DX493" i="34"/>
  <c r="EA493" i="34"/>
  <c r="EB493" i="34"/>
  <c r="ED493" i="34" a="1"/>
  <c r="ED493" i="34" s="1"/>
  <c r="EE493" i="34" a="1"/>
  <c r="EE493" i="34" s="1"/>
  <c r="BS494" i="34"/>
  <c r="BT494" i="34"/>
  <c r="BY494" i="34"/>
  <c r="CB494" i="34" s="1" a="1"/>
  <c r="CB494" i="34" s="1"/>
  <c r="BZ494" i="34"/>
  <c r="CE494" i="34"/>
  <c r="CH494" i="34" s="1" a="1"/>
  <c r="CH494" i="34" s="1"/>
  <c r="CF494" i="34"/>
  <c r="CI494" i="34" a="1"/>
  <c r="CI494" i="34" s="1"/>
  <c r="CK494" i="34"/>
  <c r="CL494" i="34"/>
  <c r="CN494" i="34" a="1"/>
  <c r="CN494" i="34"/>
  <c r="CO494" i="34" a="1"/>
  <c r="CO494" i="34" s="1"/>
  <c r="CQ494" i="34" a="1"/>
  <c r="CQ494" i="34"/>
  <c r="CT494" i="34" s="1" a="1"/>
  <c r="CT494" i="34" s="1"/>
  <c r="CR494" i="34"/>
  <c r="CW494" i="34"/>
  <c r="CX494" i="34"/>
  <c r="CZ494" i="34" a="1"/>
  <c r="CZ494" i="34" s="1"/>
  <c r="DC494" i="34"/>
  <c r="DD494" i="34"/>
  <c r="DF494" i="34" s="1" a="1"/>
  <c r="DF494" i="34" s="1"/>
  <c r="DG494" i="34" a="1"/>
  <c r="DG494" i="34" s="1"/>
  <c r="DI494" i="34"/>
  <c r="DJ494" i="34"/>
  <c r="DL494" i="34" s="1" a="1"/>
  <c r="DL494" i="34" s="1"/>
  <c r="DO494" i="34"/>
  <c r="DP494" i="34"/>
  <c r="DU494" i="34"/>
  <c r="DY494" i="34" s="1" a="1"/>
  <c r="DY494" i="34" s="1"/>
  <c r="DV494" i="34"/>
  <c r="DX494" i="34" a="1"/>
  <c r="DX494" i="34" s="1"/>
  <c r="EA494" i="34"/>
  <c r="ED494" i="34" s="1" a="1"/>
  <c r="ED494" i="34" s="1"/>
  <c r="EB494" i="34"/>
  <c r="EE494" i="34" a="1"/>
  <c r="EE494" i="34" s="1"/>
  <c r="BS495" i="34"/>
  <c r="BT495" i="34"/>
  <c r="BV495" i="34" a="1"/>
  <c r="BV495" i="34"/>
  <c r="BW495" i="34" a="1"/>
  <c r="BW495" i="34" s="1"/>
  <c r="BY495" i="34"/>
  <c r="CB495" i="34" s="1" a="1"/>
  <c r="CB495" i="34" s="1"/>
  <c r="BZ495" i="34"/>
  <c r="CE495" i="34"/>
  <c r="CI495" i="34" s="1" a="1"/>
  <c r="CI495" i="34" s="1"/>
  <c r="CF495" i="34"/>
  <c r="CH495" i="34" a="1"/>
  <c r="CH495" i="34" s="1"/>
  <c r="CK495" i="34"/>
  <c r="CL495" i="34"/>
  <c r="CN495" i="34" a="1"/>
  <c r="CN495" i="34" s="1"/>
  <c r="CO495" i="34" a="1"/>
  <c r="CO495" i="34" s="1"/>
  <c r="CQ495" i="34" a="1"/>
  <c r="CQ495" i="34"/>
  <c r="CT495" i="34" s="1" a="1"/>
  <c r="CT495" i="34" s="1"/>
  <c r="CR495" i="34"/>
  <c r="CU495" i="34" a="1"/>
  <c r="CU495" i="34" s="1"/>
  <c r="CW495" i="34"/>
  <c r="CX495" i="34"/>
  <c r="CZ495" i="34" a="1"/>
  <c r="CZ495" i="34"/>
  <c r="DA495" i="34" a="1"/>
  <c r="DA495" i="34"/>
  <c r="DC495" i="34"/>
  <c r="DF495" i="34" s="1" a="1"/>
  <c r="DF495" i="34" s="1"/>
  <c r="DD495" i="34"/>
  <c r="DG495" i="34" a="1"/>
  <c r="DG495" i="34" s="1"/>
  <c r="DI495" i="34"/>
  <c r="DM495" i="34" s="1" a="1"/>
  <c r="DM495" i="34" s="1"/>
  <c r="DJ495" i="34"/>
  <c r="DL495" i="34" a="1"/>
  <c r="DL495" i="34"/>
  <c r="DO495" i="34"/>
  <c r="DP495" i="34"/>
  <c r="DS495" i="34" s="1" a="1"/>
  <c r="DS495" i="34" s="1"/>
  <c r="DR495" i="34" a="1"/>
  <c r="DR495" i="34"/>
  <c r="DU495" i="34"/>
  <c r="DV495" i="34"/>
  <c r="DX495" i="34" a="1"/>
  <c r="DX495" i="34" s="1"/>
  <c r="DY495" i="34" a="1"/>
  <c r="DY495" i="34" s="1"/>
  <c r="EA495" i="34"/>
  <c r="EB495" i="34"/>
  <c r="BS496" i="34"/>
  <c r="BV496" i="34" s="1" a="1"/>
  <c r="BV496" i="34" s="1"/>
  <c r="BT496" i="34"/>
  <c r="BY496" i="34"/>
  <c r="CB496" i="34" s="1" a="1"/>
  <c r="CB496" i="34" s="1"/>
  <c r="BZ496" i="34"/>
  <c r="CC496" i="34" a="1"/>
  <c r="CC496" i="34"/>
  <c r="CE496" i="34"/>
  <c r="CF496" i="34"/>
  <c r="CH496" i="34" a="1"/>
  <c r="CH496" i="34"/>
  <c r="CI496" i="34" a="1"/>
  <c r="CI496" i="34" s="1"/>
  <c r="CK496" i="34"/>
  <c r="CN496" i="34" s="1" a="1"/>
  <c r="CN496" i="34" s="1"/>
  <c r="CL496" i="34"/>
  <c r="CO496" i="34" a="1"/>
  <c r="CO496" i="34" s="1"/>
  <c r="CQ496" i="34" a="1"/>
  <c r="CQ496" i="34" s="1"/>
  <c r="CR496" i="34"/>
  <c r="CT496" i="34" s="1" a="1"/>
  <c r="CT496" i="34" s="1"/>
  <c r="CW496" i="34"/>
  <c r="CX496" i="34"/>
  <c r="CZ496" i="34" s="1" a="1"/>
  <c r="CZ496" i="34" s="1"/>
  <c r="DA496" i="34" a="1"/>
  <c r="DA496" i="34" s="1"/>
  <c r="DC496" i="34"/>
  <c r="DD496" i="34"/>
  <c r="DF496" i="34" s="1" a="1"/>
  <c r="DF496" i="34" s="1"/>
  <c r="DI496" i="34"/>
  <c r="DJ496" i="34"/>
  <c r="DO496" i="34"/>
  <c r="DS496" i="34" s="1" a="1"/>
  <c r="DS496" i="34" s="1"/>
  <c r="DP496" i="34"/>
  <c r="DR496" i="34" a="1"/>
  <c r="DR496" i="34" s="1"/>
  <c r="DU496" i="34"/>
  <c r="DX496" i="34" s="1" a="1"/>
  <c r="DV496" i="34"/>
  <c r="DX496" i="34"/>
  <c r="DY496" i="34" a="1"/>
  <c r="DY496" i="34" s="1"/>
  <c r="EA496" i="34"/>
  <c r="EB496" i="34"/>
  <c r="ED496" i="34" a="1"/>
  <c r="ED496" i="34"/>
  <c r="EE496" i="34" a="1"/>
  <c r="EE496" i="34" s="1"/>
  <c r="BS497" i="34"/>
  <c r="BV497" i="34" s="1" a="1"/>
  <c r="BV497" i="34" s="1"/>
  <c r="BT497" i="34"/>
  <c r="BY497" i="34"/>
  <c r="CC497" i="34" s="1" a="1"/>
  <c r="CC497" i="34" s="1"/>
  <c r="BZ497" i="34"/>
  <c r="CB497" i="34" s="1" a="1"/>
  <c r="CB497" i="34" s="1"/>
  <c r="CE497" i="34"/>
  <c r="CF497" i="34"/>
  <c r="CH497" i="34" a="1"/>
  <c r="CH497" i="34" s="1"/>
  <c r="CI497" i="34" a="1"/>
  <c r="CI497" i="34" s="1"/>
  <c r="CK497" i="34"/>
  <c r="CL497" i="34"/>
  <c r="CN497" i="34" s="1" a="1"/>
  <c r="CN497" i="34" s="1"/>
  <c r="CQ497" i="34" a="1"/>
  <c r="CQ497" i="34" s="1"/>
  <c r="CR497" i="34"/>
  <c r="CW497" i="34"/>
  <c r="CZ497" i="34" s="1" a="1"/>
  <c r="CZ497" i="34" s="1"/>
  <c r="CX497" i="34"/>
  <c r="DA497" i="34" a="1"/>
  <c r="DA497" i="34" s="1"/>
  <c r="DC497" i="34"/>
  <c r="DG497" i="34" s="1" a="1"/>
  <c r="DG497" i="34" s="1"/>
  <c r="DD497" i="34"/>
  <c r="DF497" i="34" a="1"/>
  <c r="DF497" i="34" s="1"/>
  <c r="DI497" i="34"/>
  <c r="DJ497" i="34"/>
  <c r="DM497" i="34" s="1" a="1"/>
  <c r="DM497" i="34" s="1"/>
  <c r="DL497" i="34" a="1"/>
  <c r="DL497" i="34" s="1"/>
  <c r="DO497" i="34"/>
  <c r="DP497" i="34"/>
  <c r="DR497" i="34" a="1"/>
  <c r="DR497" i="34" s="1"/>
  <c r="DS497" i="34" a="1"/>
  <c r="DS497" i="34" s="1"/>
  <c r="DU497" i="34"/>
  <c r="DV497" i="34"/>
  <c r="EA497" i="34"/>
  <c r="ED497" i="34" s="1" a="1"/>
  <c r="ED497" i="34" s="1"/>
  <c r="EB497" i="34"/>
  <c r="BS498" i="34"/>
  <c r="BV498" i="34" s="1" a="1"/>
  <c r="BV498" i="34" s="1"/>
  <c r="BT498" i="34"/>
  <c r="BW498" i="34" a="1"/>
  <c r="BW498" i="34" s="1"/>
  <c r="BY498" i="34"/>
  <c r="BZ498" i="34"/>
  <c r="CB498" i="34" a="1"/>
  <c r="CB498" i="34"/>
  <c r="CC498" i="34" a="1"/>
  <c r="CC498" i="34" s="1"/>
  <c r="CE498" i="34"/>
  <c r="CH498" i="34" s="1" a="1"/>
  <c r="CH498" i="34" s="1"/>
  <c r="CF498" i="34"/>
  <c r="CI498" i="34" a="1"/>
  <c r="CI498" i="34" s="1"/>
  <c r="CK498" i="34"/>
  <c r="CO498" i="34" s="1" a="1"/>
  <c r="CO498" i="34" s="1"/>
  <c r="CL498" i="34"/>
  <c r="CN498" i="34" a="1"/>
  <c r="CN498" i="34" s="1"/>
  <c r="CQ498" i="34" a="1"/>
  <c r="CQ498" i="34" s="1"/>
  <c r="CR498" i="34"/>
  <c r="CW498" i="34"/>
  <c r="CX498" i="34"/>
  <c r="CZ498" i="34" s="1" a="1"/>
  <c r="CZ498" i="34" s="1"/>
  <c r="DC498" i="34"/>
  <c r="DD498" i="34"/>
  <c r="DI498" i="34"/>
  <c r="DM498" i="34" s="1" a="1"/>
  <c r="DM498" i="34" s="1"/>
  <c r="DJ498" i="34"/>
  <c r="DL498" i="34" a="1"/>
  <c r="DL498" i="34" s="1"/>
  <c r="DO498" i="34"/>
  <c r="DR498" i="34" s="1" a="1"/>
  <c r="DP498" i="34"/>
  <c r="DR498" i="34"/>
  <c r="DS498" i="34" a="1"/>
  <c r="DS498" i="34" s="1"/>
  <c r="DU498" i="34"/>
  <c r="DV498" i="34"/>
  <c r="DX498" i="34" a="1"/>
  <c r="DX498" i="34"/>
  <c r="DY498" i="34" a="1"/>
  <c r="DY498" i="34" s="1"/>
  <c r="EA498" i="34"/>
  <c r="ED498" i="34" s="1" a="1"/>
  <c r="ED498" i="34" s="1"/>
  <c r="EB498" i="34"/>
  <c r="BS499" i="34"/>
  <c r="BT499" i="34"/>
  <c r="BV499" i="34" s="1" a="1"/>
  <c r="BV499" i="34" s="1"/>
  <c r="BY499" i="34"/>
  <c r="BZ499" i="34"/>
  <c r="CB499" i="34" s="1" a="1"/>
  <c r="CB499" i="34" s="1"/>
  <c r="CC499" i="34" a="1"/>
  <c r="CC499" i="34" s="1"/>
  <c r="CE499" i="34"/>
  <c r="CF499" i="34"/>
  <c r="CH499" i="34" s="1" a="1"/>
  <c r="CH499" i="34" s="1"/>
  <c r="CK499" i="34"/>
  <c r="CL499" i="34"/>
  <c r="CQ499" i="34" a="1"/>
  <c r="CQ499" i="34" s="1"/>
  <c r="CR499" i="34"/>
  <c r="CW499" i="34"/>
  <c r="DA499" i="34" s="1" a="1"/>
  <c r="DA499" i="34" s="1"/>
  <c r="CX499" i="34"/>
  <c r="CZ499" i="34" a="1"/>
  <c r="CZ499" i="34"/>
  <c r="DC499" i="34"/>
  <c r="DG499" i="34" s="1" a="1"/>
  <c r="DG499" i="34" s="1"/>
  <c r="DD499" i="34"/>
  <c r="DF499" i="34" a="1"/>
  <c r="DF499" i="34" s="1"/>
  <c r="DI499" i="34"/>
  <c r="DJ499" i="34"/>
  <c r="DL499" i="34" a="1"/>
  <c r="DL499" i="34" s="1"/>
  <c r="DM499" i="34" a="1"/>
  <c r="DM499" i="34" s="1"/>
  <c r="DO499" i="34"/>
  <c r="DP499" i="34"/>
  <c r="DU499" i="34"/>
  <c r="DX499" i="34" s="1" a="1"/>
  <c r="DX499" i="34" s="1"/>
  <c r="DV499" i="34"/>
  <c r="EA499" i="34"/>
  <c r="ED499" i="34" s="1" a="1"/>
  <c r="ED499" i="34" s="1"/>
  <c r="EB499" i="34"/>
  <c r="EE499" i="34" a="1"/>
  <c r="EE499" i="34" s="1"/>
  <c r="BS500" i="34"/>
  <c r="BT500" i="34"/>
  <c r="BV500" i="34" a="1"/>
  <c r="BV500" i="34"/>
  <c r="BW500" i="34" a="1"/>
  <c r="BW500" i="34" s="1"/>
  <c r="BY500" i="34"/>
  <c r="CB500" i="34" s="1" a="1"/>
  <c r="CB500" i="34" s="1"/>
  <c r="BZ500" i="34"/>
  <c r="CC500" i="34" a="1"/>
  <c r="CC500" i="34" s="1"/>
  <c r="CE500" i="34"/>
  <c r="CI500" i="34" s="1" a="1"/>
  <c r="CI500" i="34" s="1"/>
  <c r="CF500" i="34"/>
  <c r="CH500" i="34" a="1"/>
  <c r="CH500" i="34"/>
  <c r="CK500" i="34"/>
  <c r="CO500" i="34" s="1" a="1"/>
  <c r="CO500" i="34" s="1"/>
  <c r="CL500" i="34"/>
  <c r="CN500" i="34" a="1"/>
  <c r="CN500" i="34" s="1"/>
  <c r="CQ500" i="34" a="1"/>
  <c r="CQ500" i="34" s="1"/>
  <c r="CR500" i="34"/>
  <c r="CW500" i="34"/>
  <c r="CX500" i="34"/>
  <c r="DC500" i="34"/>
  <c r="DG500" i="34" s="1" a="1"/>
  <c r="DG500" i="34" s="1"/>
  <c r="DD500" i="34"/>
  <c r="DF500" i="34" a="1"/>
  <c r="DF500" i="34" s="1"/>
  <c r="DI500" i="34"/>
  <c r="DL500" i="34" s="1" a="1"/>
  <c r="DL500" i="34" s="1"/>
  <c r="DJ500" i="34"/>
  <c r="DM500" i="34" a="1"/>
  <c r="DM500" i="34" s="1"/>
  <c r="DO500" i="34"/>
  <c r="DP500" i="34"/>
  <c r="DR500" i="34" a="1"/>
  <c r="DR500" i="34"/>
  <c r="DS500" i="34" a="1"/>
  <c r="DS500" i="34" s="1"/>
  <c r="DU500" i="34"/>
  <c r="DX500" i="34" s="1" a="1"/>
  <c r="DX500" i="34" s="1"/>
  <c r="DV500" i="34"/>
  <c r="EA500" i="34"/>
  <c r="EB500" i="34"/>
  <c r="ED500" i="34" s="1" a="1"/>
  <c r="ED500" i="34" s="1"/>
  <c r="BS501" i="34"/>
  <c r="BT501" i="34"/>
  <c r="BV501" i="34" s="1" a="1"/>
  <c r="BV501" i="34" s="1"/>
  <c r="BW501" i="34" a="1"/>
  <c r="BW501" i="34" s="1"/>
  <c r="BY501" i="34"/>
  <c r="BZ501" i="34"/>
  <c r="CB501" i="34" s="1" a="1"/>
  <c r="CB501" i="34" s="1"/>
  <c r="CE501" i="34"/>
  <c r="CF501" i="34"/>
  <c r="CK501" i="34"/>
  <c r="CO501" i="34" s="1" a="1"/>
  <c r="CO501" i="34" s="1"/>
  <c r="CL501" i="34"/>
  <c r="CN501" i="34" a="1"/>
  <c r="CN501" i="34" s="1"/>
  <c r="CQ501" i="34" a="1"/>
  <c r="CQ501" i="34"/>
  <c r="CU501" i="34" s="1" a="1"/>
  <c r="CU501" i="34" s="1"/>
  <c r="CR501" i="34"/>
  <c r="CT501" i="34" a="1"/>
  <c r="CT501" i="34" s="1"/>
  <c r="CW501" i="34"/>
  <c r="DA501" i="34" s="1" a="1"/>
  <c r="DA501" i="34" s="1"/>
  <c r="CX501" i="34"/>
  <c r="CZ501" i="34" a="1"/>
  <c r="CZ501" i="34" s="1"/>
  <c r="DC501" i="34"/>
  <c r="DD501" i="34"/>
  <c r="DF501" i="34" a="1"/>
  <c r="DF501" i="34" s="1"/>
  <c r="DG501" i="34" a="1"/>
  <c r="DG501" i="34" s="1"/>
  <c r="DI501" i="34"/>
  <c r="DJ501" i="34"/>
  <c r="DO501" i="34"/>
  <c r="DR501" i="34" s="1" a="1"/>
  <c r="DR501" i="34" s="1"/>
  <c r="DP501" i="34"/>
  <c r="DU501" i="34"/>
  <c r="DX501" i="34" s="1" a="1"/>
  <c r="DX501" i="34" s="1"/>
  <c r="DV501" i="34"/>
  <c r="DY501" i="34" a="1"/>
  <c r="DY501" i="34"/>
  <c r="EA501" i="34"/>
  <c r="EB501" i="34"/>
  <c r="ED501" i="34" a="1"/>
  <c r="ED501" i="34"/>
  <c r="EE501" i="34" a="1"/>
  <c r="EE501" i="34" s="1"/>
  <c r="BS502" i="34"/>
  <c r="BV502" i="34" s="1" a="1"/>
  <c r="BV502" i="34" s="1"/>
  <c r="BT502" i="34"/>
  <c r="BW502" i="34" a="1"/>
  <c r="BW502" i="34" s="1"/>
  <c r="BY502" i="34"/>
  <c r="CC502" i="34" s="1" a="1"/>
  <c r="CC502" i="34" s="1"/>
  <c r="BZ502" i="34"/>
  <c r="CB502" i="34" a="1"/>
  <c r="CB502" i="34" s="1"/>
  <c r="CE502" i="34"/>
  <c r="CI502" i="34" s="1" a="1"/>
  <c r="CI502" i="34" s="1"/>
  <c r="CF502" i="34"/>
  <c r="CH502" i="34" a="1"/>
  <c r="CH502" i="34" s="1"/>
  <c r="CK502" i="34"/>
  <c r="CL502" i="34"/>
  <c r="CN502" i="34" a="1"/>
  <c r="CN502" i="34" s="1"/>
  <c r="CO502" i="34" a="1"/>
  <c r="CO502" i="34" s="1"/>
  <c r="CQ502" i="34" a="1"/>
  <c r="CQ502" i="34"/>
  <c r="CR502" i="34"/>
  <c r="CW502" i="34"/>
  <c r="DA502" i="34" s="1" a="1"/>
  <c r="DA502" i="34" s="1"/>
  <c r="CX502" i="34"/>
  <c r="CZ502" i="34" a="1"/>
  <c r="CZ502" i="34" s="1"/>
  <c r="DC502" i="34"/>
  <c r="DF502" i="34" s="1" a="1"/>
  <c r="DF502" i="34" s="1"/>
  <c r="DD502" i="34"/>
  <c r="DG502" i="34" a="1"/>
  <c r="DG502" i="34" s="1"/>
  <c r="DI502" i="34"/>
  <c r="DJ502" i="34"/>
  <c r="DL502" i="34" a="1"/>
  <c r="DL502" i="34"/>
  <c r="DM502" i="34" a="1"/>
  <c r="DM502" i="34" s="1"/>
  <c r="DO502" i="34"/>
  <c r="DR502" i="34" s="1" a="1"/>
  <c r="DR502" i="34" s="1"/>
  <c r="DP502" i="34"/>
  <c r="DU502" i="34"/>
  <c r="DV502" i="34"/>
  <c r="DY502" i="34" s="1" a="1"/>
  <c r="DY502" i="34" s="1"/>
  <c r="EA502" i="34"/>
  <c r="EB502" i="34"/>
  <c r="ED502" i="34" s="1" a="1"/>
  <c r="ED502" i="34" s="1"/>
  <c r="EE502" i="34" a="1"/>
  <c r="EE502" i="34" s="1"/>
  <c r="BS503" i="34"/>
  <c r="BT503" i="34"/>
  <c r="BV503" i="34" s="1" a="1"/>
  <c r="BV503" i="34" s="1"/>
  <c r="BY503" i="34"/>
  <c r="BZ503" i="34"/>
  <c r="CE503" i="34"/>
  <c r="CI503" i="34" s="1" a="1"/>
  <c r="CI503" i="34" s="1"/>
  <c r="CF503" i="34"/>
  <c r="CH503" i="34" a="1"/>
  <c r="CH503" i="34" s="1"/>
  <c r="CK503" i="34"/>
  <c r="CN503" i="34" s="1" a="1"/>
  <c r="CL503" i="34"/>
  <c r="CN503" i="34"/>
  <c r="CO503" i="34" a="1"/>
  <c r="CO503" i="34" s="1"/>
  <c r="CQ503" i="34" a="1"/>
  <c r="CQ503" i="34"/>
  <c r="CU503" i="34" s="1" a="1"/>
  <c r="CU503" i="34" s="1"/>
  <c r="CR503" i="34"/>
  <c r="CT503" i="34" a="1"/>
  <c r="CT503" i="34" s="1"/>
  <c r="CW503" i="34"/>
  <c r="CX503" i="34"/>
  <c r="CZ503" i="34" a="1"/>
  <c r="CZ503" i="34" s="1"/>
  <c r="DA503" i="34" a="1"/>
  <c r="DA503" i="34" s="1"/>
  <c r="DC503" i="34"/>
  <c r="DD503" i="34"/>
  <c r="DI503" i="34"/>
  <c r="DL503" i="34" s="1" a="1"/>
  <c r="DL503" i="34" s="1"/>
  <c r="DJ503" i="34"/>
  <c r="DO503" i="34"/>
  <c r="DR503" i="34" s="1" a="1"/>
  <c r="DR503" i="34" s="1"/>
  <c r="DP503" i="34"/>
  <c r="DS503" i="34" a="1"/>
  <c r="DS503" i="34" s="1"/>
  <c r="DU503" i="34"/>
  <c r="DV503" i="34"/>
  <c r="DX503" i="34" a="1"/>
  <c r="DX503" i="34"/>
  <c r="DY503" i="34" a="1"/>
  <c r="DY503" i="34" s="1"/>
  <c r="EA503" i="34"/>
  <c r="ED503" i="34" s="1" a="1"/>
  <c r="ED503" i="34" s="1"/>
  <c r="EB503" i="34"/>
  <c r="EE503" i="34" a="1"/>
  <c r="EE503" i="34" s="1"/>
  <c r="BS504" i="34"/>
  <c r="BW504" i="34" s="1" a="1"/>
  <c r="BW504" i="34" s="1"/>
  <c r="BT504" i="34"/>
  <c r="BV504" i="34" a="1"/>
  <c r="BV504" i="34"/>
  <c r="BY504" i="34"/>
  <c r="CC504" i="34" s="1" a="1"/>
  <c r="CC504" i="34" s="1"/>
  <c r="BZ504" i="34"/>
  <c r="CB504" i="34" a="1"/>
  <c r="CB504" i="34" s="1"/>
  <c r="CE504" i="34"/>
  <c r="CF504" i="34"/>
  <c r="CH504" i="34" a="1"/>
  <c r="CH504" i="34" s="1"/>
  <c r="CI504" i="34" a="1"/>
  <c r="CI504" i="34" s="1"/>
  <c r="CK504" i="34"/>
  <c r="CL504" i="34"/>
  <c r="CQ504" i="34" a="1"/>
  <c r="CQ504" i="34" s="1"/>
  <c r="CR504" i="34"/>
  <c r="CW504" i="34"/>
  <c r="CZ504" i="34" s="1" a="1"/>
  <c r="CX504" i="34"/>
  <c r="CZ504" i="34"/>
  <c r="DA504" i="34" a="1"/>
  <c r="DA504" i="34" s="1"/>
  <c r="DC504" i="34"/>
  <c r="DD504" i="34"/>
  <c r="DF504" i="34" a="1"/>
  <c r="DF504" i="34"/>
  <c r="DG504" i="34" a="1"/>
  <c r="DG504" i="34" s="1"/>
  <c r="DI504" i="34"/>
  <c r="DL504" i="34" s="1" a="1"/>
  <c r="DL504" i="34" s="1"/>
  <c r="DJ504" i="34"/>
  <c r="DO504" i="34"/>
  <c r="DP504" i="34"/>
  <c r="DU504" i="34"/>
  <c r="DV504" i="34"/>
  <c r="DX504" i="34" s="1" a="1"/>
  <c r="DX504" i="34" s="1"/>
  <c r="DY504" i="34" a="1"/>
  <c r="DY504" i="34" s="1"/>
  <c r="EA504" i="34"/>
  <c r="EE504" i="34" s="1" a="1"/>
  <c r="EB504" i="34"/>
  <c r="ED504" i="34" s="1" a="1"/>
  <c r="ED504" i="34" s="1"/>
  <c r="EE504" i="34"/>
  <c r="BS505" i="34"/>
  <c r="BT505" i="34"/>
  <c r="BY505" i="34"/>
  <c r="CC505" i="34" s="1" a="1"/>
  <c r="CC505" i="34" s="1"/>
  <c r="BZ505" i="34"/>
  <c r="CB505" i="34" a="1"/>
  <c r="CB505" i="34" s="1"/>
  <c r="CE505" i="34"/>
  <c r="CH505" i="34" s="1" a="1"/>
  <c r="CF505" i="34"/>
  <c r="CH505" i="34"/>
  <c r="CI505" i="34" a="1"/>
  <c r="CI505" i="34" s="1"/>
  <c r="CK505" i="34"/>
  <c r="CL505" i="34"/>
  <c r="CN505" i="34" a="1"/>
  <c r="CN505" i="34"/>
  <c r="CO505" i="34" a="1"/>
  <c r="CO505" i="34" s="1"/>
  <c r="CQ505" i="34" a="1"/>
  <c r="CQ505" i="34" s="1"/>
  <c r="CR505" i="34"/>
  <c r="CW505" i="34"/>
  <c r="CX505" i="34"/>
  <c r="DC505" i="34"/>
  <c r="DF505" i="34" s="1" a="1"/>
  <c r="DF505" i="34" s="1"/>
  <c r="DD505" i="34"/>
  <c r="DI505" i="34"/>
  <c r="DL505" i="34" s="1" a="1"/>
  <c r="DL505" i="34" s="1"/>
  <c r="DJ505" i="34"/>
  <c r="DM505" i="34" a="1"/>
  <c r="DM505" i="34"/>
  <c r="DO505" i="34"/>
  <c r="DP505" i="34"/>
  <c r="DR505" i="34" a="1"/>
  <c r="DR505" i="34"/>
  <c r="DS505" i="34" a="1"/>
  <c r="DS505" i="34" s="1"/>
  <c r="DU505" i="34"/>
  <c r="DX505" i="34" s="1" a="1"/>
  <c r="DX505" i="34" s="1"/>
  <c r="DV505" i="34"/>
  <c r="DY505" i="34" a="1"/>
  <c r="DY505" i="34" s="1"/>
  <c r="EA505" i="34"/>
  <c r="EE505" i="34" s="1" a="1"/>
  <c r="EE505" i="34" s="1"/>
  <c r="EB505" i="34"/>
  <c r="ED505" i="34" a="1"/>
  <c r="ED505" i="34"/>
  <c r="BS506" i="34"/>
  <c r="BW506" i="34" s="1" a="1"/>
  <c r="BW506" i="34" s="1"/>
  <c r="BT506" i="34"/>
  <c r="BV506" i="34" a="1"/>
  <c r="BV506" i="34" s="1"/>
  <c r="BY506" i="34"/>
  <c r="BZ506" i="34"/>
  <c r="CB506" i="34" a="1"/>
  <c r="CB506" i="34" s="1"/>
  <c r="CC506" i="34" a="1"/>
  <c r="CC506" i="34" s="1"/>
  <c r="CE506" i="34"/>
  <c r="CF506" i="34"/>
  <c r="CK506" i="34"/>
  <c r="CN506" i="34" s="1" a="1"/>
  <c r="CN506" i="34" s="1"/>
  <c r="CL506" i="34"/>
  <c r="CQ506" i="34" a="1"/>
  <c r="CQ506" i="34" s="1"/>
  <c r="CT506" i="34" s="1" a="1"/>
  <c r="CR506" i="34"/>
  <c r="CT506" i="34"/>
  <c r="CU506" i="34" a="1"/>
  <c r="CU506" i="34" s="1"/>
  <c r="CW506" i="34"/>
  <c r="CX506" i="34"/>
  <c r="CZ506" i="34" a="1"/>
  <c r="CZ506" i="34"/>
  <c r="DA506" i="34" a="1"/>
  <c r="DA506" i="34" s="1"/>
  <c r="DC506" i="34"/>
  <c r="DF506" i="34" s="1" a="1"/>
  <c r="DF506" i="34" s="1"/>
  <c r="DD506" i="34"/>
  <c r="DI506" i="34"/>
  <c r="DJ506" i="34"/>
  <c r="DM506" i="34" s="1" a="1"/>
  <c r="DM506" i="34" s="1"/>
  <c r="DO506" i="34"/>
  <c r="DP506" i="34"/>
  <c r="DR506" i="34" s="1" a="1"/>
  <c r="DR506" i="34" s="1"/>
  <c r="DS506" i="34" a="1"/>
  <c r="DS506" i="34" s="1"/>
  <c r="DU506" i="34"/>
  <c r="DV506" i="34"/>
  <c r="DX506" i="34" s="1" a="1"/>
  <c r="DX506" i="34" s="1"/>
  <c r="EA506" i="34"/>
  <c r="EB506" i="34"/>
  <c r="BS507" i="34"/>
  <c r="BW507" i="34" s="1" a="1"/>
  <c r="BW507" i="34" s="1"/>
  <c r="BT507" i="34"/>
  <c r="BV507" i="34" a="1"/>
  <c r="BV507" i="34" s="1"/>
  <c r="BY507" i="34"/>
  <c r="CB507" i="34" s="1" a="1"/>
  <c r="CB507" i="34" s="1"/>
  <c r="BZ507" i="34"/>
  <c r="CC507" i="34" a="1"/>
  <c r="CC507" i="34" s="1"/>
  <c r="CE507" i="34"/>
  <c r="CF507" i="34"/>
  <c r="CH507" i="34" a="1"/>
  <c r="CH507" i="34"/>
  <c r="CI507" i="34" a="1"/>
  <c r="CI507" i="34" s="1"/>
  <c r="CK507" i="34"/>
  <c r="CN507" i="34" s="1" a="1"/>
  <c r="CN507" i="34" s="1"/>
  <c r="CL507" i="34"/>
  <c r="CQ507" i="34" a="1"/>
  <c r="CQ507" i="34"/>
  <c r="CR507" i="34"/>
  <c r="CW507" i="34"/>
  <c r="CZ507" i="34" s="1" a="1"/>
  <c r="CZ507" i="34" s="1"/>
  <c r="CX507" i="34"/>
  <c r="DC507" i="34"/>
  <c r="DF507" i="34" s="1" a="1"/>
  <c r="DF507" i="34" s="1"/>
  <c r="DD507" i="34"/>
  <c r="DG507" i="34" a="1"/>
  <c r="DG507" i="34"/>
  <c r="DI507" i="34"/>
  <c r="DJ507" i="34"/>
  <c r="DL507" i="34" a="1"/>
  <c r="DL507" i="34"/>
  <c r="DM507" i="34" a="1"/>
  <c r="DM507" i="34" s="1"/>
  <c r="DO507" i="34"/>
  <c r="DR507" i="34" s="1" a="1"/>
  <c r="DR507" i="34" s="1"/>
  <c r="DP507" i="34"/>
  <c r="DS507" i="34" a="1"/>
  <c r="DS507" i="34" s="1"/>
  <c r="DU507" i="34"/>
  <c r="DY507" i="34" s="1" a="1"/>
  <c r="DY507" i="34" s="1"/>
  <c r="DV507" i="34"/>
  <c r="DX507" i="34" a="1"/>
  <c r="DX507" i="34"/>
  <c r="EA507" i="34"/>
  <c r="EE507" i="34" s="1" a="1"/>
  <c r="EE507" i="34" s="1"/>
  <c r="EB507" i="34"/>
  <c r="ED507" i="34" a="1"/>
  <c r="ED507" i="34" s="1"/>
  <c r="BS508" i="34"/>
  <c r="BT508" i="34"/>
  <c r="BV508" i="34" a="1"/>
  <c r="BV508" i="34" s="1"/>
  <c r="BW508" i="34" a="1"/>
  <c r="BW508" i="34" s="1"/>
  <c r="BY508" i="34"/>
  <c r="BZ508" i="34"/>
  <c r="CE508" i="34"/>
  <c r="CH508" i="34" s="1" a="1"/>
  <c r="CH508" i="34" s="1"/>
  <c r="CF508" i="34"/>
  <c r="CK508" i="34"/>
  <c r="CN508" i="34" s="1" a="1"/>
  <c r="CN508" i="34" s="1"/>
  <c r="CL508" i="34"/>
  <c r="CO508" i="34" a="1"/>
  <c r="CO508" i="34"/>
  <c r="CQ508" i="34" a="1"/>
  <c r="CQ508" i="34" s="1"/>
  <c r="CR508" i="34"/>
  <c r="CW508" i="34"/>
  <c r="CZ508" i="34" s="1" a="1"/>
  <c r="CZ508" i="34" s="1"/>
  <c r="CX508" i="34"/>
  <c r="DC508" i="34"/>
  <c r="DD508" i="34"/>
  <c r="DG508" i="34" s="1" a="1"/>
  <c r="DG508" i="34" s="1"/>
  <c r="DI508" i="34"/>
  <c r="DJ508" i="34"/>
  <c r="DL508" i="34" s="1" a="1"/>
  <c r="DL508" i="34" s="1"/>
  <c r="DM508" i="34" a="1"/>
  <c r="DM508" i="34" s="1"/>
  <c r="DO508" i="34"/>
  <c r="DS508" i="34" s="1" a="1"/>
  <c r="DP508" i="34"/>
  <c r="DR508" i="34" s="1" a="1"/>
  <c r="DR508" i="34" s="1"/>
  <c r="DS508" i="34"/>
  <c r="DU508" i="34"/>
  <c r="DV508" i="34"/>
  <c r="EA508" i="34"/>
  <c r="EE508" i="34" s="1" a="1"/>
  <c r="EE508" i="34" s="1"/>
  <c r="EB508" i="34"/>
  <c r="ED508" i="34" a="1"/>
  <c r="ED508" i="34" s="1"/>
  <c r="BS509" i="34"/>
  <c r="BV509" i="34" s="1" a="1"/>
  <c r="BV509" i="34" s="1"/>
  <c r="BT509" i="34"/>
  <c r="BW509" i="34" a="1"/>
  <c r="BW509" i="34" s="1"/>
  <c r="BY509" i="34"/>
  <c r="BZ509" i="34"/>
  <c r="CB509" i="34" a="1"/>
  <c r="CB509" i="34"/>
  <c r="CC509" i="34" a="1"/>
  <c r="CC509" i="34" s="1"/>
  <c r="CE509" i="34"/>
  <c r="CH509" i="34" s="1" a="1"/>
  <c r="CH509" i="34" s="1"/>
  <c r="CF509" i="34"/>
  <c r="CK509" i="34"/>
  <c r="CO509" i="34" s="1" a="1"/>
  <c r="CO509" i="34" s="1"/>
  <c r="CL509" i="34"/>
  <c r="CN509" i="34" a="1"/>
  <c r="CN509" i="34" s="1"/>
  <c r="CQ509" i="34" a="1"/>
  <c r="CQ509" i="34"/>
  <c r="CT509" i="34" s="1" a="1"/>
  <c r="CT509" i="34" s="1"/>
  <c r="CR509" i="34"/>
  <c r="CW509" i="34"/>
  <c r="CZ509" i="34" s="1" a="1"/>
  <c r="CZ509" i="34" s="1"/>
  <c r="CX509" i="34"/>
  <c r="DA509" i="34" a="1"/>
  <c r="DA509" i="34" s="1"/>
  <c r="DC509" i="34"/>
  <c r="DD509" i="34"/>
  <c r="DF509" i="34" a="1"/>
  <c r="DF509" i="34"/>
  <c r="DG509" i="34" a="1"/>
  <c r="DG509" i="34"/>
  <c r="DI509" i="34"/>
  <c r="DL509" i="34" s="1" a="1"/>
  <c r="DL509" i="34" s="1"/>
  <c r="DJ509" i="34"/>
  <c r="DM509" i="34" a="1"/>
  <c r="DM509" i="34" s="1"/>
  <c r="DO509" i="34"/>
  <c r="DS509" i="34" s="1" a="1"/>
  <c r="DS509" i="34" s="1"/>
  <c r="DP509" i="34"/>
  <c r="DR509" i="34" a="1"/>
  <c r="DR509" i="34" s="1"/>
  <c r="DU509" i="34"/>
  <c r="DY509" i="34" s="1" a="1"/>
  <c r="DY509" i="34" s="1"/>
  <c r="DV509" i="34"/>
  <c r="DX509" i="34" a="1"/>
  <c r="DX509" i="34" s="1"/>
  <c r="EA509" i="34"/>
  <c r="EB509" i="34"/>
  <c r="ED509" i="34" a="1"/>
  <c r="ED509" i="34" s="1"/>
  <c r="EE509" i="34" a="1"/>
  <c r="EE509" i="34" s="1"/>
  <c r="BS510" i="34"/>
  <c r="BT510" i="34"/>
  <c r="BY510" i="34"/>
  <c r="CB510" i="34" s="1" a="1"/>
  <c r="CB510" i="34" s="1"/>
  <c r="BZ510" i="34"/>
  <c r="CE510" i="34"/>
  <c r="CH510" i="34" s="1" a="1"/>
  <c r="CH510" i="34" s="1"/>
  <c r="CF510" i="34"/>
  <c r="CI510" i="34" a="1"/>
  <c r="CI510" i="34" s="1"/>
  <c r="CK510" i="34"/>
  <c r="CL510" i="34"/>
  <c r="CN510" i="34" a="1"/>
  <c r="CN510" i="34"/>
  <c r="CO510" i="34" a="1"/>
  <c r="CO510" i="34" s="1"/>
  <c r="CQ510" i="34" a="1"/>
  <c r="CQ510" i="34"/>
  <c r="CT510" i="34" s="1" a="1"/>
  <c r="CT510" i="34" s="1"/>
  <c r="CR510" i="34"/>
  <c r="CW510" i="34"/>
  <c r="DA510" i="34" s="1" a="1"/>
  <c r="DA510" i="34" s="1"/>
  <c r="CX510" i="34"/>
  <c r="CZ510" i="34" a="1"/>
  <c r="CZ510" i="34" s="1"/>
  <c r="DC510" i="34"/>
  <c r="DD510" i="34"/>
  <c r="DF510" i="34" s="1" a="1"/>
  <c r="DF510" i="34" s="1"/>
  <c r="DG510" i="34" a="1"/>
  <c r="DG510" i="34" s="1"/>
  <c r="DI510" i="34"/>
  <c r="DM510" i="34" s="1" a="1"/>
  <c r="DM510" i="34" s="1"/>
  <c r="DJ510" i="34"/>
  <c r="DL510" i="34" s="1" a="1"/>
  <c r="DL510" i="34" s="1"/>
  <c r="DO510" i="34"/>
  <c r="DP510" i="34"/>
  <c r="DU510" i="34"/>
  <c r="DY510" i="34" s="1" a="1"/>
  <c r="DY510" i="34" s="1"/>
  <c r="DV510" i="34"/>
  <c r="DX510" i="34" a="1"/>
  <c r="DX510" i="34" s="1"/>
  <c r="EA510" i="34"/>
  <c r="ED510" i="34" s="1" a="1"/>
  <c r="EB510" i="34"/>
  <c r="ED510" i="34"/>
  <c r="EE510" i="34" a="1"/>
  <c r="EE510" i="34" s="1"/>
  <c r="BS511" i="34"/>
  <c r="BT511" i="34"/>
  <c r="BV511" i="34" a="1"/>
  <c r="BV511" i="34"/>
  <c r="BW511" i="34" a="1"/>
  <c r="BW511" i="34" s="1"/>
  <c r="BY511" i="34"/>
  <c r="CB511" i="34" s="1" a="1"/>
  <c r="CB511" i="34" s="1"/>
  <c r="BZ511" i="34"/>
  <c r="CE511" i="34"/>
  <c r="CI511" i="34" s="1" a="1"/>
  <c r="CI511" i="34" s="1"/>
  <c r="CF511" i="34"/>
  <c r="CH511" i="34" s="1" a="1"/>
  <c r="CH511" i="34" s="1"/>
  <c r="CK511" i="34"/>
  <c r="CL511" i="34"/>
  <c r="CN511" i="34" a="1"/>
  <c r="CN511" i="34" s="1"/>
  <c r="CO511" i="34" a="1"/>
  <c r="CO511" i="34" s="1"/>
  <c r="CQ511" i="34" a="1"/>
  <c r="CQ511" i="34"/>
  <c r="CT511" i="34" s="1" a="1"/>
  <c r="CT511" i="34" s="1"/>
  <c r="CR511" i="34"/>
  <c r="CU511" i="34" a="1"/>
  <c r="CU511" i="34"/>
  <c r="CW511" i="34"/>
  <c r="CX511" i="34"/>
  <c r="CZ511" i="34" a="1"/>
  <c r="CZ511" i="34"/>
  <c r="DA511" i="34" a="1"/>
  <c r="DA511" i="34"/>
  <c r="DC511" i="34"/>
  <c r="DF511" i="34" s="1" a="1"/>
  <c r="DF511" i="34" s="1"/>
  <c r="DD511" i="34"/>
  <c r="DG511" i="34" a="1"/>
  <c r="DG511" i="34" s="1"/>
  <c r="DI511" i="34"/>
  <c r="DM511" i="34" s="1" a="1"/>
  <c r="DM511" i="34" s="1"/>
  <c r="DJ511" i="34"/>
  <c r="DL511" i="34" a="1"/>
  <c r="DL511" i="34"/>
  <c r="DO511" i="34"/>
  <c r="DS511" i="34" s="1" a="1"/>
  <c r="DS511" i="34" s="1"/>
  <c r="DP511" i="34"/>
  <c r="DR511" i="34" a="1"/>
  <c r="DR511" i="34" s="1"/>
  <c r="DU511" i="34"/>
  <c r="DV511" i="34"/>
  <c r="DX511" i="34" a="1"/>
  <c r="DX511" i="34" s="1"/>
  <c r="DY511" i="34" a="1"/>
  <c r="DY511" i="34" s="1"/>
  <c r="EA511" i="34"/>
  <c r="EB511" i="34"/>
  <c r="BS512" i="34"/>
  <c r="BV512" i="34" s="1" a="1"/>
  <c r="BV512" i="34" s="1"/>
  <c r="BT512" i="34"/>
  <c r="BY512" i="34"/>
  <c r="CB512" i="34" s="1" a="1"/>
  <c r="CB512" i="34" s="1"/>
  <c r="BZ512" i="34"/>
  <c r="CC512" i="34" a="1"/>
  <c r="CC512" i="34"/>
  <c r="CE512" i="34"/>
  <c r="CF512" i="34"/>
  <c r="CH512" i="34" a="1"/>
  <c r="CH512" i="34"/>
  <c r="CI512" i="34" a="1"/>
  <c r="CI512" i="34" s="1"/>
  <c r="CK512" i="34"/>
  <c r="CN512" i="34" s="1" a="1"/>
  <c r="CN512" i="34" s="1"/>
  <c r="CL512" i="34"/>
  <c r="CO512" i="34" a="1"/>
  <c r="CO512" i="34" s="1"/>
  <c r="CQ512" i="34" a="1"/>
  <c r="CQ512" i="34" s="1"/>
  <c r="CU512" i="34" s="1" a="1"/>
  <c r="CU512" i="34" s="1"/>
  <c r="CR512" i="34"/>
  <c r="CW512" i="34"/>
  <c r="CX512" i="34"/>
  <c r="CZ512" i="34" s="1" a="1"/>
  <c r="CZ512" i="34" s="1"/>
  <c r="DA512" i="34" a="1"/>
  <c r="DA512" i="34" s="1"/>
  <c r="DC512" i="34"/>
  <c r="DD512" i="34"/>
  <c r="DF512" i="34" s="1" a="1"/>
  <c r="DF512" i="34" s="1"/>
  <c r="DI512" i="34"/>
  <c r="DJ512" i="34"/>
  <c r="DO512" i="34"/>
  <c r="DS512" i="34" s="1" a="1"/>
  <c r="DS512" i="34" s="1"/>
  <c r="DP512" i="34"/>
  <c r="DR512" i="34" a="1"/>
  <c r="DR512" i="34" s="1"/>
  <c r="DU512" i="34"/>
  <c r="DX512" i="34" s="1" a="1"/>
  <c r="DX512" i="34" s="1"/>
  <c r="DV512" i="34"/>
  <c r="DY512" i="34" a="1"/>
  <c r="DY512" i="34" s="1"/>
  <c r="EA512" i="34"/>
  <c r="EB512" i="34"/>
  <c r="ED512" i="34" a="1"/>
  <c r="ED512" i="34"/>
  <c r="EE512" i="34" a="1"/>
  <c r="EE512" i="34" s="1"/>
  <c r="BS513" i="34"/>
  <c r="BV513" i="34" s="1" a="1"/>
  <c r="BV513" i="34" s="1"/>
  <c r="BT513" i="34"/>
  <c r="BY513" i="34"/>
  <c r="CC513" i="34" s="1" a="1"/>
  <c r="CC513" i="34" s="1"/>
  <c r="BZ513" i="34"/>
  <c r="CB513" i="34" a="1"/>
  <c r="CB513" i="34" s="1"/>
  <c r="CE513" i="34"/>
  <c r="CF513" i="34"/>
  <c r="CH513" i="34" a="1"/>
  <c r="CH513" i="34" s="1"/>
  <c r="CI513" i="34" a="1"/>
  <c r="CI513" i="34" s="1"/>
  <c r="CK513" i="34"/>
  <c r="CL513" i="34"/>
  <c r="CN513" i="34" s="1" a="1"/>
  <c r="CN513" i="34" s="1"/>
  <c r="CQ513" i="34" a="1"/>
  <c r="CQ513" i="34" s="1"/>
  <c r="CR513" i="34"/>
  <c r="CW513" i="34"/>
  <c r="CZ513" i="34" s="1" a="1"/>
  <c r="CZ513" i="34" s="1"/>
  <c r="CX513" i="34"/>
  <c r="DA513" i="34" a="1"/>
  <c r="DA513" i="34" s="1"/>
  <c r="DC513" i="34"/>
  <c r="DG513" i="34" s="1" a="1"/>
  <c r="DG513" i="34" s="1"/>
  <c r="DD513" i="34"/>
  <c r="DF513" i="34" a="1"/>
  <c r="DF513" i="34"/>
  <c r="DI513" i="34"/>
  <c r="DM513" i="34" s="1" a="1"/>
  <c r="DM513" i="34" s="1"/>
  <c r="DJ513" i="34"/>
  <c r="DL513" i="34" a="1"/>
  <c r="DL513" i="34" s="1"/>
  <c r="DO513" i="34"/>
  <c r="DP513" i="34"/>
  <c r="DR513" i="34" a="1"/>
  <c r="DR513" i="34" s="1"/>
  <c r="DS513" i="34" a="1"/>
  <c r="DS513" i="34" s="1"/>
  <c r="DU513" i="34"/>
  <c r="DV513" i="34"/>
  <c r="EA513" i="34"/>
  <c r="ED513" i="34" s="1" a="1"/>
  <c r="ED513" i="34" s="1"/>
  <c r="EB513" i="34"/>
  <c r="BS514" i="34"/>
  <c r="BV514" i="34" s="1" a="1"/>
  <c r="BV514" i="34" s="1"/>
  <c r="BT514" i="34"/>
  <c r="BY514" i="34"/>
  <c r="BZ514" i="34"/>
  <c r="CB514" i="34" a="1"/>
  <c r="CB514" i="34"/>
  <c r="CC514" i="34" a="1"/>
  <c r="CC514" i="34" s="1"/>
  <c r="CE514" i="34"/>
  <c r="CH514" i="34" s="1" a="1"/>
  <c r="CH514" i="34" s="1"/>
  <c r="CF514" i="34"/>
  <c r="CI514" i="34" a="1"/>
  <c r="CI514" i="34" s="1"/>
  <c r="CK514" i="34"/>
  <c r="CO514" i="34" s="1" a="1"/>
  <c r="CO514" i="34" s="1"/>
  <c r="CL514" i="34"/>
  <c r="CN514" i="34" a="1"/>
  <c r="CN514" i="34" s="1"/>
  <c r="CQ514" i="34" a="1"/>
  <c r="CQ514" i="34" s="1"/>
  <c r="CR514" i="34"/>
  <c r="CW514" i="34"/>
  <c r="DA514" i="34" s="1" a="1"/>
  <c r="DA514" i="34" s="1"/>
  <c r="CX514" i="34"/>
  <c r="CZ514" i="34" s="1" a="1"/>
  <c r="CZ514" i="34" s="1"/>
  <c r="DC514" i="34"/>
  <c r="DD514" i="34"/>
  <c r="DI514" i="34"/>
  <c r="DM514" i="34" s="1" a="1"/>
  <c r="DM514" i="34" s="1"/>
  <c r="DJ514" i="34"/>
  <c r="DL514" i="34" a="1"/>
  <c r="DL514" i="34" s="1"/>
  <c r="DO514" i="34"/>
  <c r="DR514" i="34" s="1" a="1"/>
  <c r="DP514" i="34"/>
  <c r="DR514" i="34"/>
  <c r="DS514" i="34" a="1"/>
  <c r="DS514" i="34" s="1"/>
  <c r="DU514" i="34"/>
  <c r="DV514" i="34"/>
  <c r="DX514" i="34" a="1"/>
  <c r="DX514" i="34"/>
  <c r="DY514" i="34" a="1"/>
  <c r="DY514" i="34" s="1"/>
  <c r="EA514" i="34"/>
  <c r="ED514" i="34" s="1" a="1"/>
  <c r="EB514" i="34"/>
  <c r="ED514" i="34"/>
  <c r="BS515" i="34"/>
  <c r="BW515" i="34" s="1" a="1"/>
  <c r="BW515" i="34" s="1"/>
  <c r="BT515" i="34"/>
  <c r="BV515" i="34" a="1"/>
  <c r="BV515" i="34" s="1"/>
  <c r="BY515" i="34"/>
  <c r="BZ515" i="34"/>
  <c r="CB515" i="34" a="1"/>
  <c r="CB515" i="34" s="1"/>
  <c r="CC515" i="34" a="1"/>
  <c r="CC515" i="34" s="1"/>
  <c r="CE515" i="34"/>
  <c r="CI515" i="34" s="1" a="1"/>
  <c r="CF515" i="34"/>
  <c r="CH515" i="34" s="1" a="1"/>
  <c r="CH515" i="34" s="1"/>
  <c r="CI515" i="34"/>
  <c r="CK515" i="34"/>
  <c r="CL515" i="34"/>
  <c r="CQ515" i="34" a="1"/>
  <c r="CQ515" i="34" s="1"/>
  <c r="CT515" i="34" s="1" a="1"/>
  <c r="CT515" i="34" s="1"/>
  <c r="CR515" i="34"/>
  <c r="CU515" i="34" a="1"/>
  <c r="CU515" i="34" s="1"/>
  <c r="CW515" i="34"/>
  <c r="DA515" i="34" s="1" a="1"/>
  <c r="DA515" i="34" s="1"/>
  <c r="CX515" i="34"/>
  <c r="CZ515" i="34" a="1"/>
  <c r="CZ515" i="34"/>
  <c r="DC515" i="34"/>
  <c r="DG515" i="34" s="1" a="1"/>
  <c r="DG515" i="34" s="1"/>
  <c r="DD515" i="34"/>
  <c r="DF515" i="34" a="1"/>
  <c r="DF515" i="34"/>
  <c r="DI515" i="34"/>
  <c r="DJ515" i="34"/>
  <c r="DL515" i="34" a="1"/>
  <c r="DL515" i="34" s="1"/>
  <c r="DM515" i="34" a="1"/>
  <c r="DM515" i="34" s="1"/>
  <c r="DO515" i="34"/>
  <c r="DP515" i="34"/>
  <c r="DU515" i="34"/>
  <c r="DX515" i="34" s="1" a="1"/>
  <c r="DV515" i="34"/>
  <c r="DX515" i="34"/>
  <c r="EA515" i="34"/>
  <c r="ED515" i="34" s="1" a="1"/>
  <c r="ED515" i="34" s="1"/>
  <c r="EB515" i="34"/>
  <c r="BS516" i="34"/>
  <c r="BT516" i="34"/>
  <c r="BV516" i="34" a="1"/>
  <c r="BV516" i="34"/>
  <c r="BW516" i="34" a="1"/>
  <c r="BW516" i="34" s="1"/>
  <c r="BY516" i="34"/>
  <c r="CB516" i="34" s="1" a="1"/>
  <c r="CB516" i="34" s="1"/>
  <c r="BZ516" i="34"/>
  <c r="CC516" i="34" a="1"/>
  <c r="CC516" i="34" s="1"/>
  <c r="CE516" i="34"/>
  <c r="CI516" i="34" s="1" a="1"/>
  <c r="CI516" i="34" s="1"/>
  <c r="CF516" i="34"/>
  <c r="CH516" i="34" a="1"/>
  <c r="CH516" i="34" s="1"/>
  <c r="CK516" i="34"/>
  <c r="CO516" i="34" s="1" a="1"/>
  <c r="CO516" i="34" s="1"/>
  <c r="CL516" i="34"/>
  <c r="CN516" i="34" a="1"/>
  <c r="CN516" i="34" s="1"/>
  <c r="CQ516" i="34" a="1"/>
  <c r="CQ516" i="34" s="1"/>
  <c r="CR516" i="34"/>
  <c r="CW516" i="34"/>
  <c r="CX516" i="34"/>
  <c r="DC516" i="34"/>
  <c r="DG516" i="34" s="1" a="1"/>
  <c r="DG516" i="34" s="1"/>
  <c r="DD516" i="34"/>
  <c r="DF516" i="34" a="1"/>
  <c r="DF516" i="34" s="1"/>
  <c r="DI516" i="34"/>
  <c r="DL516" i="34" s="1" a="1"/>
  <c r="DJ516" i="34"/>
  <c r="DL516" i="34"/>
  <c r="DM516" i="34" a="1"/>
  <c r="DM516" i="34" s="1"/>
  <c r="DO516" i="34"/>
  <c r="DP516" i="34"/>
  <c r="DR516" i="34" a="1"/>
  <c r="DR516" i="34"/>
  <c r="DS516" i="34" a="1"/>
  <c r="DS516" i="34" s="1"/>
  <c r="DU516" i="34"/>
  <c r="DV516" i="34"/>
  <c r="EA516" i="34"/>
  <c r="EB516" i="34"/>
  <c r="EE516" i="34" s="1" a="1"/>
  <c r="EE516" i="34" s="1"/>
  <c r="ED516" i="34" a="1"/>
  <c r="ED516" i="34" s="1"/>
  <c r="BS517" i="34"/>
  <c r="BT517" i="34"/>
  <c r="BV517" i="34" s="1" a="1"/>
  <c r="BV517" i="34" s="1"/>
  <c r="BW517" i="34" a="1"/>
  <c r="BW517" i="34" s="1"/>
  <c r="BY517" i="34"/>
  <c r="CC517" i="34" s="1" a="1"/>
  <c r="CC517" i="34" s="1"/>
  <c r="BZ517" i="34"/>
  <c r="CB517" i="34" s="1" a="1"/>
  <c r="CB517" i="34" s="1"/>
  <c r="CE517" i="34"/>
  <c r="CF517" i="34"/>
  <c r="CK517" i="34"/>
  <c r="CO517" i="34" s="1" a="1"/>
  <c r="CL517" i="34"/>
  <c r="CN517" i="34" a="1"/>
  <c r="CN517" i="34" s="1"/>
  <c r="CO517" i="34"/>
  <c r="CQ517" i="34" a="1"/>
  <c r="CQ517" i="34"/>
  <c r="CU517" i="34" s="1" a="1"/>
  <c r="CU517" i="34" s="1"/>
  <c r="CR517" i="34"/>
  <c r="CT517" i="34" a="1"/>
  <c r="CT517" i="34" s="1"/>
  <c r="CW517" i="34"/>
  <c r="DA517" i="34" s="1" a="1"/>
  <c r="CX517" i="34"/>
  <c r="CZ517" i="34" a="1"/>
  <c r="CZ517" i="34" s="1"/>
  <c r="DA517" i="34"/>
  <c r="DC517" i="34"/>
  <c r="DD517" i="34"/>
  <c r="DF517" i="34" a="1"/>
  <c r="DF517" i="34" s="1"/>
  <c r="DG517" i="34" a="1"/>
  <c r="DG517" i="34" s="1"/>
  <c r="DI517" i="34"/>
  <c r="DJ517" i="34"/>
  <c r="DO517" i="34"/>
  <c r="DR517" i="34" s="1" a="1"/>
  <c r="DP517" i="34"/>
  <c r="DR517" i="34"/>
  <c r="DU517" i="34"/>
  <c r="DX517" i="34" s="1" a="1"/>
  <c r="DX517" i="34" s="1"/>
  <c r="DV517" i="34"/>
  <c r="EA517" i="34"/>
  <c r="EB517" i="34"/>
  <c r="ED517" i="34" a="1"/>
  <c r="ED517" i="34"/>
  <c r="EE517" i="34" a="1"/>
  <c r="EE517" i="34" s="1"/>
  <c r="BS518" i="34"/>
  <c r="BV518" i="34" s="1" a="1"/>
  <c r="BV518" i="34" s="1"/>
  <c r="BT518" i="34"/>
  <c r="BW518" i="34" a="1"/>
  <c r="BW518" i="34" s="1"/>
  <c r="BY518" i="34"/>
  <c r="CC518" i="34" s="1" a="1"/>
  <c r="CC518" i="34" s="1"/>
  <c r="BZ518" i="34"/>
  <c r="CB518" i="34" a="1"/>
  <c r="CB518" i="34"/>
  <c r="CE518" i="34"/>
  <c r="CI518" i="34" s="1" a="1"/>
  <c r="CI518" i="34" s="1"/>
  <c r="CF518" i="34"/>
  <c r="CH518" i="34" a="1"/>
  <c r="CH518" i="34" s="1"/>
  <c r="CK518" i="34"/>
  <c r="CL518" i="34"/>
  <c r="CN518" i="34" a="1"/>
  <c r="CN518" i="34" s="1"/>
  <c r="CO518" i="34" a="1"/>
  <c r="CO518" i="34" s="1"/>
  <c r="CQ518" i="34" a="1"/>
  <c r="CQ518" i="34" s="1"/>
  <c r="CR518" i="34"/>
  <c r="CW518" i="34"/>
  <c r="DA518" i="34" s="1" a="1"/>
  <c r="CX518" i="34"/>
  <c r="CZ518" i="34" a="1"/>
  <c r="CZ518" i="34" s="1"/>
  <c r="DA518" i="34"/>
  <c r="DC518" i="34"/>
  <c r="DF518" i="34" s="1" a="1"/>
  <c r="DF518" i="34" s="1"/>
  <c r="DD518" i="34"/>
  <c r="DG518" i="34" a="1"/>
  <c r="DG518" i="34" s="1"/>
  <c r="DI518" i="34"/>
  <c r="DJ518" i="34"/>
  <c r="DL518" i="34" a="1"/>
  <c r="DL518" i="34"/>
  <c r="DM518" i="34" a="1"/>
  <c r="DM518" i="34" s="1"/>
  <c r="DO518" i="34"/>
  <c r="DP518" i="34"/>
  <c r="DU518" i="34"/>
  <c r="DV518" i="34"/>
  <c r="DY518" i="34" s="1" a="1"/>
  <c r="DY518" i="34" s="1"/>
  <c r="EA518" i="34"/>
  <c r="EB518" i="34"/>
  <c r="ED518" i="34" s="1" a="1"/>
  <c r="ED518" i="34" s="1"/>
  <c r="BS519" i="34"/>
  <c r="BT519" i="34"/>
  <c r="BV519" i="34" s="1" a="1"/>
  <c r="BV519" i="34" s="1"/>
  <c r="BY519" i="34"/>
  <c r="BZ519" i="34"/>
  <c r="CE519" i="34"/>
  <c r="CI519" i="34" s="1" a="1"/>
  <c r="CI519" i="34" s="1"/>
  <c r="CF519" i="34"/>
  <c r="CK519" i="34"/>
  <c r="CN519" i="34" s="1" a="1"/>
  <c r="CL519" i="34"/>
  <c r="CN519" i="34"/>
  <c r="CO519" i="34" a="1"/>
  <c r="CO519" i="34" s="1"/>
  <c r="CQ519" i="34" a="1"/>
  <c r="CQ519" i="34"/>
  <c r="CU519" i="34" s="1" a="1"/>
  <c r="CR519" i="34"/>
  <c r="CT519" i="34" a="1"/>
  <c r="CT519" i="34"/>
  <c r="CU519" i="34"/>
  <c r="CW519" i="34"/>
  <c r="CX519" i="34"/>
  <c r="CZ519" i="34" a="1"/>
  <c r="CZ519" i="34" s="1"/>
  <c r="DA519" i="34" a="1"/>
  <c r="DA519" i="34" s="1"/>
  <c r="DC519" i="34"/>
  <c r="DD519" i="34"/>
  <c r="DI519" i="34"/>
  <c r="DJ519" i="34"/>
  <c r="DO519" i="34"/>
  <c r="DR519" i="34" s="1" a="1"/>
  <c r="DR519" i="34" s="1"/>
  <c r="DP519" i="34"/>
  <c r="DU519" i="34"/>
  <c r="DV519" i="34"/>
  <c r="DX519" i="34" a="1"/>
  <c r="DX519" i="34"/>
  <c r="DY519" i="34" a="1"/>
  <c r="DY519" i="34"/>
  <c r="EA519" i="34"/>
  <c r="ED519" i="34" s="1" a="1"/>
  <c r="ED519" i="34" s="1"/>
  <c r="EB519" i="34"/>
  <c r="EE519" i="34" a="1"/>
  <c r="EE519" i="34" s="1"/>
  <c r="BS520" i="34"/>
  <c r="BW520" i="34" s="1" a="1"/>
  <c r="BW520" i="34" s="1"/>
  <c r="BT520" i="34"/>
  <c r="BV520" i="34" a="1"/>
  <c r="BV520" i="34"/>
  <c r="BY520" i="34"/>
  <c r="CC520" i="34" s="1" a="1"/>
  <c r="BZ520" i="34"/>
  <c r="CB520" i="34" a="1"/>
  <c r="CB520" i="34"/>
  <c r="CC520" i="34"/>
  <c r="CE520" i="34"/>
  <c r="CF520" i="34"/>
  <c r="CH520" i="34" a="1"/>
  <c r="CH520" i="34" s="1"/>
  <c r="CI520" i="34" a="1"/>
  <c r="CI520" i="34" s="1"/>
  <c r="CK520" i="34"/>
  <c r="CL520" i="34"/>
  <c r="CQ520" i="34" a="1"/>
  <c r="CQ520" i="34"/>
  <c r="CU520" i="34" s="1" a="1"/>
  <c r="CR520" i="34"/>
  <c r="CT520" i="34" a="1"/>
  <c r="CT520" i="34" s="1"/>
  <c r="CU520" i="34"/>
  <c r="CW520" i="34"/>
  <c r="CZ520" i="34" s="1" a="1"/>
  <c r="CZ520" i="34" s="1"/>
  <c r="CX520" i="34"/>
  <c r="DA520" i="34" s="1" a="1"/>
  <c r="DA520" i="34" s="1"/>
  <c r="DC520" i="34"/>
  <c r="DD520" i="34"/>
  <c r="DF520" i="34" a="1"/>
  <c r="DF520" i="34"/>
  <c r="DG520" i="34" a="1"/>
  <c r="DG520" i="34" s="1"/>
  <c r="DI520" i="34"/>
  <c r="DJ520" i="34"/>
  <c r="DO520" i="34"/>
  <c r="DP520" i="34"/>
  <c r="DS520" i="34" s="1" a="1"/>
  <c r="DS520" i="34" s="1"/>
  <c r="DR520" i="34" a="1"/>
  <c r="DR520" i="34" s="1"/>
  <c r="DU520" i="34"/>
  <c r="DV520" i="34"/>
  <c r="DX520" i="34" s="1" a="1"/>
  <c r="DX520" i="34" s="1"/>
  <c r="EA520" i="34"/>
  <c r="EE520" i="34" s="1" a="1"/>
  <c r="EE520" i="34" s="1"/>
  <c r="EB520" i="34"/>
  <c r="ED520" i="34" s="1" a="1"/>
  <c r="ED520" i="34" s="1"/>
  <c r="BS521" i="34"/>
  <c r="BT521" i="34"/>
  <c r="BY521" i="34"/>
  <c r="CC521" i="34" s="1" a="1"/>
  <c r="BZ521" i="34"/>
  <c r="CB521" i="34" a="1"/>
  <c r="CB521" i="34" s="1"/>
  <c r="CC521" i="34"/>
  <c r="CE521" i="34"/>
  <c r="CH521" i="34" s="1" a="1"/>
  <c r="CH521" i="34" s="1"/>
  <c r="CF521" i="34"/>
  <c r="CK521" i="34"/>
  <c r="CL521" i="34"/>
  <c r="CN521" i="34" a="1"/>
  <c r="CN521" i="34"/>
  <c r="CO521" i="34" a="1"/>
  <c r="CO521" i="34" s="1"/>
  <c r="CQ521" i="34" a="1"/>
  <c r="CQ521" i="34" s="1"/>
  <c r="CR521" i="34"/>
  <c r="CT521" i="34" a="1"/>
  <c r="CT521" i="34"/>
  <c r="CU521" i="34" a="1"/>
  <c r="CU521" i="34" s="1"/>
  <c r="CW521" i="34"/>
  <c r="CX521" i="34"/>
  <c r="DC521" i="34"/>
  <c r="DD521" i="34"/>
  <c r="DI521" i="34"/>
  <c r="DJ521" i="34"/>
  <c r="DM521" i="34" s="1" a="1"/>
  <c r="DM521" i="34" s="1"/>
  <c r="DL521" i="34" a="1"/>
  <c r="DL521" i="34" s="1"/>
  <c r="DO521" i="34"/>
  <c r="DP521" i="34"/>
  <c r="DR521" i="34" a="1"/>
  <c r="DR521" i="34"/>
  <c r="DS521" i="34" a="1"/>
  <c r="DS521" i="34"/>
  <c r="DU521" i="34"/>
  <c r="DV521" i="34"/>
  <c r="DY521" i="34" a="1"/>
  <c r="DY521" i="34" s="1"/>
  <c r="EA521" i="34"/>
  <c r="EE521" i="34" s="1" a="1"/>
  <c r="EE521" i="34" s="1"/>
  <c r="EB521" i="34"/>
  <c r="ED521" i="34" a="1"/>
  <c r="ED521" i="34" s="1"/>
  <c r="BS522" i="34"/>
  <c r="BW522" i="34" s="1" a="1"/>
  <c r="BW522" i="34" s="1"/>
  <c r="BT522" i="34"/>
  <c r="BV522" i="34" a="1"/>
  <c r="BV522" i="34" s="1"/>
  <c r="BY522" i="34"/>
  <c r="BZ522" i="34"/>
  <c r="CB522" i="34" a="1"/>
  <c r="CB522" i="34"/>
  <c r="CC522" i="34" a="1"/>
  <c r="CC522" i="34" s="1"/>
  <c r="CE522" i="34"/>
  <c r="CF522" i="34"/>
  <c r="CK522" i="34"/>
  <c r="CL522" i="34"/>
  <c r="CQ522" i="34" a="1"/>
  <c r="CQ522" i="34" s="1"/>
  <c r="CR522" i="34"/>
  <c r="CW522" i="34"/>
  <c r="CX522" i="34"/>
  <c r="CZ522" i="34" a="1"/>
  <c r="CZ522" i="34"/>
  <c r="DA522" i="34" a="1"/>
  <c r="DA522" i="34" s="1"/>
  <c r="DC522" i="34"/>
  <c r="DF522" i="34" s="1" a="1"/>
  <c r="DF522" i="34" s="1"/>
  <c r="DD522" i="34"/>
  <c r="DI522" i="34"/>
  <c r="DJ522" i="34"/>
  <c r="DL522" i="34" s="1" a="1"/>
  <c r="DL522" i="34" s="1"/>
  <c r="DO522" i="34"/>
  <c r="DP522" i="34"/>
  <c r="DR522" i="34" s="1" a="1"/>
  <c r="DR522" i="34" s="1"/>
  <c r="DU522" i="34"/>
  <c r="DV522" i="34"/>
  <c r="DX522" i="34" a="1"/>
  <c r="DX522" i="34"/>
  <c r="EA522" i="34"/>
  <c r="EB522" i="34"/>
  <c r="BS523" i="34"/>
  <c r="BW523" i="34" s="1" a="1"/>
  <c r="BT523" i="34"/>
  <c r="BV523" i="34" a="1"/>
  <c r="BV523" i="34" s="1"/>
  <c r="BW523" i="34"/>
  <c r="BY523" i="34"/>
  <c r="BZ523" i="34"/>
  <c r="CC523" i="34" s="1" a="1"/>
  <c r="CC523" i="34" s="1"/>
  <c r="CE523" i="34"/>
  <c r="CF523" i="34"/>
  <c r="CH523" i="34" a="1"/>
  <c r="CH523" i="34"/>
  <c r="CI523" i="34" a="1"/>
  <c r="CI523" i="34" s="1"/>
  <c r="CK523" i="34"/>
  <c r="CN523" i="34" s="1" a="1"/>
  <c r="CN523" i="34" s="1"/>
  <c r="CL523" i="34"/>
  <c r="CQ523" i="34" a="1"/>
  <c r="CQ523" i="34"/>
  <c r="CR523" i="34"/>
  <c r="CW523" i="34"/>
  <c r="CX523" i="34"/>
  <c r="DC523" i="34"/>
  <c r="DD523" i="34"/>
  <c r="DF523" i="34" a="1"/>
  <c r="DF523" i="34" s="1"/>
  <c r="DG523" i="34" a="1"/>
  <c r="DG523" i="34"/>
  <c r="DI523" i="34"/>
  <c r="DJ523" i="34"/>
  <c r="DL523" i="34" a="1"/>
  <c r="DL523" i="34"/>
  <c r="DM523" i="34" a="1"/>
  <c r="DM523" i="34" s="1"/>
  <c r="DO523" i="34"/>
  <c r="DR523" i="34" s="1" a="1"/>
  <c r="DR523" i="34" s="1"/>
  <c r="DP523" i="34"/>
  <c r="DS523" i="34" a="1"/>
  <c r="DS523" i="34" s="1"/>
  <c r="DU523" i="34"/>
  <c r="DY523" i="34" s="1" a="1"/>
  <c r="DY523" i="34" s="1"/>
  <c r="DV523" i="34"/>
  <c r="DX523" i="34" a="1"/>
  <c r="DX523" i="34"/>
  <c r="EA523" i="34"/>
  <c r="EE523" i="34" s="1" a="1"/>
  <c r="EE523" i="34" s="1"/>
  <c r="EB523" i="34"/>
  <c r="ED523" i="34" a="1"/>
  <c r="ED523" i="34" s="1"/>
  <c r="BS524" i="34"/>
  <c r="BT524" i="34"/>
  <c r="BV524" i="34" a="1"/>
  <c r="BV524" i="34" s="1"/>
  <c r="BW524" i="34" a="1"/>
  <c r="BW524" i="34" s="1"/>
  <c r="BY524" i="34"/>
  <c r="BZ524" i="34"/>
  <c r="CE524" i="34"/>
  <c r="CF524" i="34"/>
  <c r="CK524" i="34"/>
  <c r="CL524" i="34"/>
  <c r="CN524" i="34" a="1"/>
  <c r="CN524" i="34" s="1"/>
  <c r="CO524" i="34" a="1"/>
  <c r="CO524" i="34" s="1"/>
  <c r="CQ524" i="34" a="1"/>
  <c r="CQ524" i="34" s="1"/>
  <c r="CT524" i="34" s="1" a="1"/>
  <c r="CR524" i="34"/>
  <c r="CT524" i="34"/>
  <c r="CU524" i="34" a="1"/>
  <c r="CU524" i="34" s="1"/>
  <c r="CW524" i="34"/>
  <c r="CZ524" i="34" s="1" a="1"/>
  <c r="CZ524" i="34" s="1"/>
  <c r="CX524" i="34"/>
  <c r="DC524" i="34"/>
  <c r="DD524" i="34"/>
  <c r="DG524" i="34" s="1" a="1"/>
  <c r="DG524" i="34" s="1"/>
  <c r="DF524" i="34" a="1"/>
  <c r="DF524" i="34" s="1"/>
  <c r="DI524" i="34"/>
  <c r="DJ524" i="34"/>
  <c r="DM524" i="34" s="1" a="1"/>
  <c r="DM524" i="34" s="1"/>
  <c r="DL524" i="34" a="1"/>
  <c r="DL524" i="34" s="1"/>
  <c r="DO524" i="34"/>
  <c r="DP524" i="34"/>
  <c r="DR524" i="34" a="1"/>
  <c r="DR524" i="34" s="1"/>
  <c r="DU524" i="34"/>
  <c r="DV524" i="34"/>
  <c r="EA524" i="34"/>
  <c r="EE524" i="34" s="1" a="1"/>
  <c r="EB524" i="34"/>
  <c r="ED524" i="34" a="1"/>
  <c r="ED524" i="34" s="1"/>
  <c r="EE524" i="34"/>
  <c r="BS525" i="34"/>
  <c r="BT525" i="34"/>
  <c r="BW525" i="34" s="1" a="1"/>
  <c r="BW525" i="34" s="1"/>
  <c r="BY525" i="34"/>
  <c r="BZ525" i="34"/>
  <c r="CB525" i="34" a="1"/>
  <c r="CB525" i="34"/>
  <c r="CC525" i="34" a="1"/>
  <c r="CC525" i="34" s="1"/>
  <c r="CE525" i="34"/>
  <c r="CH525" i="34" s="1" a="1"/>
  <c r="CF525" i="34"/>
  <c r="CH525" i="34"/>
  <c r="CI525" i="34" a="1"/>
  <c r="CI525" i="34"/>
  <c r="CK525" i="34"/>
  <c r="CL525" i="34"/>
  <c r="CO525" i="34" s="1" a="1"/>
  <c r="CO525" i="34" s="1"/>
  <c r="CN525" i="34" a="1"/>
  <c r="CN525" i="34" s="1"/>
  <c r="CQ525" i="34" a="1"/>
  <c r="CQ525" i="34"/>
  <c r="CR525" i="34"/>
  <c r="CW525" i="34"/>
  <c r="CX525" i="34"/>
  <c r="DA525" i="34" s="1" a="1"/>
  <c r="DA525" i="34" s="1"/>
  <c r="DC525" i="34"/>
  <c r="DD525" i="34"/>
  <c r="DF525" i="34" a="1"/>
  <c r="DF525" i="34"/>
  <c r="DG525" i="34" a="1"/>
  <c r="DG525" i="34"/>
  <c r="DI525" i="34"/>
  <c r="DJ525" i="34"/>
  <c r="DM525" i="34" a="1"/>
  <c r="DM525" i="34" s="1"/>
  <c r="DO525" i="34"/>
  <c r="DS525" i="34" s="1" a="1"/>
  <c r="DS525" i="34" s="1"/>
  <c r="DP525" i="34"/>
  <c r="DR525" i="34" a="1"/>
  <c r="DR525" i="34" s="1"/>
  <c r="DU525" i="34"/>
  <c r="DY525" i="34" s="1" a="1"/>
  <c r="DY525" i="34" s="1"/>
  <c r="DV525" i="34"/>
  <c r="DX525" i="34" a="1"/>
  <c r="DX525" i="34" s="1"/>
  <c r="EA525" i="34"/>
  <c r="EB525" i="34"/>
  <c r="ED525" i="34" a="1"/>
  <c r="ED525" i="34"/>
  <c r="EE525" i="34" a="1"/>
  <c r="EE525" i="34" s="1"/>
  <c r="BS526" i="34"/>
  <c r="BT526" i="34"/>
  <c r="BY526" i="34"/>
  <c r="BZ526" i="34"/>
  <c r="CE526" i="34"/>
  <c r="CF526" i="34"/>
  <c r="CK526" i="34"/>
  <c r="CL526" i="34"/>
  <c r="CN526" i="34" a="1"/>
  <c r="CN526" i="34"/>
  <c r="CO526" i="34" a="1"/>
  <c r="CO526" i="34"/>
  <c r="CQ526" i="34" a="1"/>
  <c r="CQ526" i="34"/>
  <c r="CT526" i="34" s="1" a="1"/>
  <c r="CR526" i="34"/>
  <c r="CT526" i="34"/>
  <c r="CU526" i="34" a="1"/>
  <c r="CU526" i="34"/>
  <c r="CW526" i="34"/>
  <c r="CX526" i="34"/>
  <c r="DA526" i="34" s="1" a="1"/>
  <c r="DA526" i="34" s="1"/>
  <c r="CZ526" i="34" a="1"/>
  <c r="CZ526" i="34" s="1"/>
  <c r="DC526" i="34"/>
  <c r="DD526" i="34"/>
  <c r="DF526" i="34" a="1"/>
  <c r="DF526" i="34" s="1"/>
  <c r="DG526" i="34" a="1"/>
  <c r="DG526" i="34" s="1"/>
  <c r="DI526" i="34"/>
  <c r="DJ526" i="34"/>
  <c r="DL526" i="34" a="1"/>
  <c r="DL526" i="34"/>
  <c r="DO526" i="34"/>
  <c r="DP526" i="34"/>
  <c r="DU526" i="34"/>
  <c r="DV526" i="34"/>
  <c r="EA526" i="34"/>
  <c r="ED526" i="34" s="1" a="1"/>
  <c r="ED526" i="34" s="1"/>
  <c r="EB526" i="34"/>
  <c r="EE526" i="34" a="1"/>
  <c r="EE526" i="34" s="1"/>
  <c r="BS527" i="34"/>
  <c r="BT527" i="34"/>
  <c r="BV527" i="34" a="1"/>
  <c r="BV527" i="34"/>
  <c r="BW527" i="34" a="1"/>
  <c r="BW527" i="34" s="1"/>
  <c r="BY527" i="34"/>
  <c r="CB527" i="34" s="1" a="1"/>
  <c r="BZ527" i="34"/>
  <c r="CB527" i="34"/>
  <c r="CC527" i="34" a="1"/>
  <c r="CC527" i="34" s="1"/>
  <c r="CE527" i="34"/>
  <c r="CF527" i="34"/>
  <c r="CH527" i="34" s="1" a="1"/>
  <c r="CH527" i="34" s="1"/>
  <c r="CK527" i="34"/>
  <c r="CL527" i="34"/>
  <c r="CN527" i="34" a="1"/>
  <c r="CN527" i="34" s="1"/>
  <c r="CO527" i="34" a="1"/>
  <c r="CO527" i="34" s="1"/>
  <c r="CQ527" i="34" a="1"/>
  <c r="CQ527" i="34"/>
  <c r="CT527" i="34" s="1" a="1"/>
  <c r="CT527" i="34" s="1"/>
  <c r="CR527" i="34"/>
  <c r="CW527" i="34"/>
  <c r="CX527" i="34"/>
  <c r="CZ527" i="34" a="1"/>
  <c r="CZ527" i="34"/>
  <c r="DA527" i="34" a="1"/>
  <c r="DA527" i="34" s="1"/>
  <c r="DC527" i="34"/>
  <c r="DD527" i="34"/>
  <c r="DG527" i="34" a="1"/>
  <c r="DG527" i="34"/>
  <c r="DI527" i="34"/>
  <c r="DM527" i="34" s="1" a="1"/>
  <c r="DM527" i="34" s="1"/>
  <c r="DJ527" i="34"/>
  <c r="DL527" i="34" a="1"/>
  <c r="DL527" i="34" s="1"/>
  <c r="DO527" i="34"/>
  <c r="DP527" i="34"/>
  <c r="DR527" i="34" a="1"/>
  <c r="DR527" i="34" s="1"/>
  <c r="DU527" i="34"/>
  <c r="DV527" i="34"/>
  <c r="DX527" i="34" a="1"/>
  <c r="DX527" i="34" s="1"/>
  <c r="DY527" i="34" a="1"/>
  <c r="DY527" i="34" s="1"/>
  <c r="EA527" i="34"/>
  <c r="EB527" i="34"/>
  <c r="BS528" i="34"/>
  <c r="BT528" i="34"/>
  <c r="BY528" i="34"/>
  <c r="BZ528" i="34"/>
  <c r="CB528" i="34" a="1"/>
  <c r="CB528" i="34" s="1"/>
  <c r="CC528" i="34" a="1"/>
  <c r="CC528" i="34" s="1"/>
  <c r="CE528" i="34"/>
  <c r="CF528" i="34"/>
  <c r="CH528" i="34" a="1"/>
  <c r="CH528" i="34" s="1"/>
  <c r="CI528" i="34" a="1"/>
  <c r="CI528" i="34"/>
  <c r="CK528" i="34"/>
  <c r="CL528" i="34"/>
  <c r="CO528" i="34" a="1"/>
  <c r="CO528" i="34"/>
  <c r="CQ528" i="34" a="1"/>
  <c r="CQ528" i="34" s="1"/>
  <c r="CU528" i="34" s="1" a="1"/>
  <c r="CR528" i="34"/>
  <c r="CU528" i="34"/>
  <c r="CW528" i="34"/>
  <c r="CX528" i="34"/>
  <c r="DC528" i="34"/>
  <c r="DG528" i="34" s="1" a="1"/>
  <c r="DD528" i="34"/>
  <c r="DF528" i="34" a="1"/>
  <c r="DF528" i="34"/>
  <c r="DG528" i="34"/>
  <c r="DI528" i="34"/>
  <c r="DL528" i="34" s="1" a="1"/>
  <c r="DJ528" i="34"/>
  <c r="DL528" i="34"/>
  <c r="DM528" i="34" a="1"/>
  <c r="DM528" i="34" s="1"/>
  <c r="DO528" i="34"/>
  <c r="DS528" i="34" s="1" a="1"/>
  <c r="DP528" i="34"/>
  <c r="DR528" i="34" a="1"/>
  <c r="DR528" i="34" s="1"/>
  <c r="DS528" i="34"/>
  <c r="DU528" i="34"/>
  <c r="DV528" i="34"/>
  <c r="DY528" i="34" s="1" a="1"/>
  <c r="DY528" i="34" s="1"/>
  <c r="EA528" i="34"/>
  <c r="EB528" i="34"/>
  <c r="ED528" i="34" a="1"/>
  <c r="ED528" i="34"/>
  <c r="EE528" i="34" a="1"/>
  <c r="EE528" i="34" s="1"/>
  <c r="BS529" i="34"/>
  <c r="BV529" i="34" s="1" a="1"/>
  <c r="BV529" i="34" s="1"/>
  <c r="BT529" i="34"/>
  <c r="BY529" i="34"/>
  <c r="CC529" i="34" s="1" a="1"/>
  <c r="CC529" i="34" s="1"/>
  <c r="BZ529" i="34"/>
  <c r="CB529" i="34" s="1" a="1"/>
  <c r="CB529" i="34" s="1"/>
  <c r="CE529" i="34"/>
  <c r="CH529" i="34" s="1" a="1"/>
  <c r="CH529" i="34" s="1"/>
  <c r="CF529" i="34"/>
  <c r="CI529" i="34" a="1"/>
  <c r="CI529" i="34" s="1"/>
  <c r="CK529" i="34"/>
  <c r="CL529" i="34"/>
  <c r="CN529" i="34" a="1"/>
  <c r="CN529" i="34"/>
  <c r="CQ529" i="34" a="1"/>
  <c r="CQ529" i="34" s="1"/>
  <c r="CR529" i="34"/>
  <c r="CT529" i="34" a="1"/>
  <c r="CT529" i="34" s="1"/>
  <c r="CU529" i="34" a="1"/>
  <c r="CU529" i="34" s="1"/>
  <c r="CW529" i="34"/>
  <c r="CZ529" i="34" s="1" a="1"/>
  <c r="CZ529" i="34" s="1"/>
  <c r="CX529" i="34"/>
  <c r="DA529" i="34" s="1" a="1"/>
  <c r="DA529" i="34" s="1"/>
  <c r="DC529" i="34"/>
  <c r="DG529" i="34" s="1" a="1"/>
  <c r="DG529" i="34" s="1"/>
  <c r="DD529" i="34"/>
  <c r="DF529" i="34" a="1"/>
  <c r="DF529" i="34"/>
  <c r="DI529" i="34"/>
  <c r="DM529" i="34" s="1" a="1"/>
  <c r="DJ529" i="34"/>
  <c r="DM529" i="34"/>
  <c r="DO529" i="34"/>
  <c r="DP529" i="34"/>
  <c r="DR529" i="34" a="1"/>
  <c r="DR529" i="34"/>
  <c r="DS529" i="34" a="1"/>
  <c r="DS529" i="34" s="1"/>
  <c r="DU529" i="34"/>
  <c r="DV529" i="34"/>
  <c r="DY529" i="34" a="1"/>
  <c r="DY529" i="34"/>
  <c r="EA529" i="34"/>
  <c r="EB529" i="34"/>
  <c r="BS530" i="34"/>
  <c r="BV530" i="34" s="1" a="1"/>
  <c r="BV530" i="34" s="1"/>
  <c r="BT530" i="34"/>
  <c r="BW530" i="34" a="1"/>
  <c r="BW530" i="34"/>
  <c r="BY530" i="34"/>
  <c r="BZ530" i="34"/>
  <c r="CB530" i="34" a="1"/>
  <c r="CB530" i="34" s="1"/>
  <c r="CC530" i="34" a="1"/>
  <c r="CC530" i="34"/>
  <c r="CE530" i="34"/>
  <c r="CF530" i="34"/>
  <c r="CI530" i="34" a="1"/>
  <c r="CI530" i="34"/>
  <c r="CK530" i="34"/>
  <c r="CO530" i="34" s="1" a="1"/>
  <c r="CO530" i="34" s="1"/>
  <c r="CL530" i="34"/>
  <c r="CQ530" i="34" a="1"/>
  <c r="CQ530" i="34" s="1"/>
  <c r="CR530" i="34"/>
  <c r="CW530" i="34"/>
  <c r="CX530" i="34"/>
  <c r="DA530" i="34" s="1" a="1"/>
  <c r="CZ530" i="34" a="1"/>
  <c r="CZ530" i="34"/>
  <c r="DA530" i="34"/>
  <c r="DC530" i="34"/>
  <c r="DF530" i="34" s="1" a="1"/>
  <c r="DD530" i="34"/>
  <c r="DF530" i="34"/>
  <c r="DI530" i="34"/>
  <c r="DM530" i="34" s="1" a="1"/>
  <c r="DJ530" i="34"/>
  <c r="DL530" i="34" a="1"/>
  <c r="DL530" i="34" s="1"/>
  <c r="DM530" i="34"/>
  <c r="DO530" i="34"/>
  <c r="DP530" i="34"/>
  <c r="DS530" i="34" s="1" a="1"/>
  <c r="DS530" i="34" s="1"/>
  <c r="DU530" i="34"/>
  <c r="DV530" i="34"/>
  <c r="DX530" i="34" a="1"/>
  <c r="DX530" i="34"/>
  <c r="DY530" i="34" a="1"/>
  <c r="DY530" i="34" s="1"/>
  <c r="EA530" i="34"/>
  <c r="ED530" i="34" s="1" a="1"/>
  <c r="ED530" i="34" s="1"/>
  <c r="EB530" i="34"/>
  <c r="BS531" i="34"/>
  <c r="BW531" i="34" s="1" a="1"/>
  <c r="BW531" i="34" s="1"/>
  <c r="BT531" i="34"/>
  <c r="BV531" i="34" s="1" a="1"/>
  <c r="BV531" i="34" s="1"/>
  <c r="BY531" i="34"/>
  <c r="CB531" i="34" s="1" a="1"/>
  <c r="CB531" i="34" s="1"/>
  <c r="BZ531" i="34"/>
  <c r="CC531" i="34" a="1"/>
  <c r="CC531" i="34" s="1"/>
  <c r="CE531" i="34"/>
  <c r="CF531" i="34"/>
  <c r="CH531" i="34" a="1"/>
  <c r="CH531" i="34"/>
  <c r="CK531" i="34"/>
  <c r="CN531" i="34" s="1" a="1"/>
  <c r="CL531" i="34"/>
  <c r="CN531" i="34"/>
  <c r="CO531" i="34" a="1"/>
  <c r="CO531" i="34" s="1"/>
  <c r="CQ531" i="34" a="1"/>
  <c r="CQ531" i="34" s="1"/>
  <c r="CR531" i="34"/>
  <c r="CU531" i="34" s="1" a="1"/>
  <c r="CU531" i="34" s="1"/>
  <c r="CW531" i="34"/>
  <c r="DA531" i="34" s="1" a="1"/>
  <c r="DA531" i="34" s="1"/>
  <c r="CX531" i="34"/>
  <c r="CZ531" i="34" a="1"/>
  <c r="CZ531" i="34"/>
  <c r="DC531" i="34"/>
  <c r="DF531" i="34" s="1" a="1"/>
  <c r="DF531" i="34" s="1"/>
  <c r="DD531" i="34"/>
  <c r="DI531" i="34"/>
  <c r="DJ531" i="34"/>
  <c r="DL531" i="34" a="1"/>
  <c r="DL531" i="34" s="1"/>
  <c r="DM531" i="34" a="1"/>
  <c r="DM531" i="34" s="1"/>
  <c r="DO531" i="34"/>
  <c r="DR531" i="34" s="1" a="1"/>
  <c r="DR531" i="34" s="1"/>
  <c r="DP531" i="34"/>
  <c r="DS531" i="34" a="1"/>
  <c r="DS531" i="34"/>
  <c r="DU531" i="34"/>
  <c r="DV531" i="34"/>
  <c r="EA531" i="34"/>
  <c r="ED531" i="34" s="1" a="1"/>
  <c r="ED531" i="34" s="1"/>
  <c r="EB531" i="34"/>
  <c r="BS532" i="34"/>
  <c r="BT532" i="34"/>
  <c r="BV532" i="34" a="1"/>
  <c r="BV532" i="34"/>
  <c r="BW532" i="34" a="1"/>
  <c r="BW532" i="34" s="1"/>
  <c r="BY532" i="34"/>
  <c r="BZ532" i="34"/>
  <c r="CC532" i="34" a="1"/>
  <c r="CC532" i="34"/>
  <c r="CE532" i="34"/>
  <c r="CI532" i="34" s="1" a="1"/>
  <c r="CI532" i="34" s="1"/>
  <c r="CF532" i="34"/>
  <c r="CK532" i="34"/>
  <c r="CL532" i="34"/>
  <c r="CN532" i="34" a="1"/>
  <c r="CN532" i="34" s="1"/>
  <c r="CQ532" i="34" a="1"/>
  <c r="CQ532" i="34" s="1"/>
  <c r="CU532" i="34" s="1" a="1"/>
  <c r="CR532" i="34"/>
  <c r="CU532" i="34"/>
  <c r="CW532" i="34"/>
  <c r="CZ532" i="34" s="1" a="1"/>
  <c r="CX532" i="34"/>
  <c r="CZ532" i="34"/>
  <c r="DA532" i="34" a="1"/>
  <c r="DA532" i="34" s="1"/>
  <c r="DC532" i="34"/>
  <c r="DG532" i="34" s="1" a="1"/>
  <c r="DD532" i="34"/>
  <c r="DF532" i="34" a="1"/>
  <c r="DF532" i="34" s="1"/>
  <c r="DG532" i="34"/>
  <c r="DI532" i="34"/>
  <c r="DL532" i="34" s="1" a="1"/>
  <c r="DL532" i="34" s="1"/>
  <c r="DJ532" i="34"/>
  <c r="DO532" i="34"/>
  <c r="DP532" i="34"/>
  <c r="DR532" i="34" a="1"/>
  <c r="DR532" i="34"/>
  <c r="DS532" i="34" a="1"/>
  <c r="DS532" i="34" s="1"/>
  <c r="DU532" i="34"/>
  <c r="DX532" i="34" s="1" a="1"/>
  <c r="DX532" i="34" s="1"/>
  <c r="DV532" i="34"/>
  <c r="EA532" i="34"/>
  <c r="EB532" i="34"/>
  <c r="ED532" i="34" s="1" a="1"/>
  <c r="ED532" i="34" s="1"/>
  <c r="BS533" i="34"/>
  <c r="BV533" i="34" s="1" a="1"/>
  <c r="BV533" i="34" s="1"/>
  <c r="BT533" i="34"/>
  <c r="BY533" i="34"/>
  <c r="BZ533" i="34"/>
  <c r="CB533" i="34" a="1"/>
  <c r="CB533" i="34"/>
  <c r="CE533" i="34"/>
  <c r="CH533" i="34" s="1" a="1"/>
  <c r="CH533" i="34" s="1"/>
  <c r="CF533" i="34"/>
  <c r="CI533" i="34" a="1"/>
  <c r="CI533" i="34"/>
  <c r="CK533" i="34"/>
  <c r="CO533" i="34" s="1" a="1"/>
  <c r="CO533" i="34" s="1"/>
  <c r="CL533" i="34"/>
  <c r="CQ533" i="34" a="1"/>
  <c r="CQ533" i="34"/>
  <c r="CU533" i="34" s="1" a="1"/>
  <c r="CU533" i="34" s="1"/>
  <c r="CR533" i="34"/>
  <c r="CT533" i="34" a="1"/>
  <c r="CT533" i="34"/>
  <c r="CW533" i="34"/>
  <c r="DA533" i="34" s="1" a="1"/>
  <c r="DA533" i="34" s="1"/>
  <c r="CX533" i="34"/>
  <c r="DC533" i="34"/>
  <c r="DD533" i="34"/>
  <c r="DF533" i="34" a="1"/>
  <c r="DF533" i="34" s="1"/>
  <c r="DG533" i="34" a="1"/>
  <c r="DG533" i="34" s="1"/>
  <c r="DI533" i="34"/>
  <c r="DL533" i="34" s="1" a="1"/>
  <c r="DL533" i="34" s="1"/>
  <c r="DJ533" i="34"/>
  <c r="DM533" i="34" a="1"/>
  <c r="DM533" i="34"/>
  <c r="DO533" i="34"/>
  <c r="DP533" i="34"/>
  <c r="DU533" i="34"/>
  <c r="DX533" i="34" s="1" a="1"/>
  <c r="DX533" i="34" s="1"/>
  <c r="DV533" i="34"/>
  <c r="EA533" i="34"/>
  <c r="EB533" i="34"/>
  <c r="ED533" i="34" a="1"/>
  <c r="ED533" i="34"/>
  <c r="EE533" i="34" a="1"/>
  <c r="EE533" i="34" s="1"/>
  <c r="BS534" i="34"/>
  <c r="BT534" i="34"/>
  <c r="BW534" i="34" a="1"/>
  <c r="BW534" i="34"/>
  <c r="BY534" i="34"/>
  <c r="CC534" i="34" s="1" a="1"/>
  <c r="CC534" i="34" s="1"/>
  <c r="BZ534" i="34"/>
  <c r="CE534" i="34"/>
  <c r="CF534" i="34"/>
  <c r="CH534" i="34" s="1" a="1"/>
  <c r="CH534" i="34" s="1"/>
  <c r="CK534" i="34"/>
  <c r="CL534" i="34"/>
  <c r="CN534" i="34" a="1"/>
  <c r="CN534" i="34"/>
  <c r="CO534" i="34" a="1"/>
  <c r="CO534" i="34" s="1"/>
  <c r="CQ534" i="34" a="1"/>
  <c r="CQ534" i="34" s="1"/>
  <c r="CR534" i="34"/>
  <c r="CW534" i="34"/>
  <c r="DA534" i="34" s="1" a="1"/>
  <c r="CX534" i="34"/>
  <c r="CZ534" i="34" a="1"/>
  <c r="CZ534" i="34" s="1"/>
  <c r="DA534" i="34"/>
  <c r="DC534" i="34"/>
  <c r="DD534" i="34"/>
  <c r="DG534" i="34" s="1" a="1"/>
  <c r="DG534" i="34" s="1"/>
  <c r="DI534" i="34"/>
  <c r="DJ534" i="34"/>
  <c r="DL534" i="34" a="1"/>
  <c r="DL534" i="34" s="1"/>
  <c r="DM534" i="34" a="1"/>
  <c r="DM534" i="34" s="1"/>
  <c r="DO534" i="34"/>
  <c r="DR534" i="34" s="1" a="1"/>
  <c r="DR534" i="34" s="1"/>
  <c r="DP534" i="34"/>
  <c r="DU534" i="34"/>
  <c r="DV534" i="34"/>
  <c r="DY534" i="34" s="1" a="1"/>
  <c r="DY534" i="34" s="1"/>
  <c r="EA534" i="34"/>
  <c r="ED534" i="34" s="1" a="1"/>
  <c r="ED534" i="34" s="1"/>
  <c r="EB534" i="34"/>
  <c r="EE534" i="34" a="1"/>
  <c r="EE534" i="34" s="1"/>
  <c r="BS535" i="34"/>
  <c r="BW535" i="34" s="1" a="1"/>
  <c r="BW535" i="34" s="1"/>
  <c r="BT535" i="34"/>
  <c r="BV535" i="34" a="1"/>
  <c r="BV535" i="34" s="1"/>
  <c r="BY535" i="34"/>
  <c r="CB535" i="34" s="1" a="1"/>
  <c r="BZ535" i="34"/>
  <c r="CB535" i="34"/>
  <c r="CC535" i="34" a="1"/>
  <c r="CC535" i="34" s="1"/>
  <c r="CE535" i="34"/>
  <c r="CI535" i="34" s="1" a="1"/>
  <c r="CF535" i="34"/>
  <c r="CH535" i="34" a="1"/>
  <c r="CH535" i="34" s="1"/>
  <c r="CI535" i="34"/>
  <c r="CK535" i="34"/>
  <c r="CL535" i="34"/>
  <c r="CO535" i="34" a="1"/>
  <c r="CO535" i="34" s="1"/>
  <c r="CQ535" i="34" a="1"/>
  <c r="CQ535" i="34"/>
  <c r="CU535" i="34" s="1" a="1"/>
  <c r="CR535" i="34"/>
  <c r="CU535" i="34"/>
  <c r="CW535" i="34"/>
  <c r="CX535" i="34"/>
  <c r="CZ535" i="34" a="1"/>
  <c r="CZ535" i="34"/>
  <c r="DA535" i="34" a="1"/>
  <c r="DA535" i="34" s="1"/>
  <c r="DC535" i="34"/>
  <c r="DD535" i="34"/>
  <c r="DF535" i="34" a="1"/>
  <c r="DF535" i="34" s="1"/>
  <c r="DG535" i="34" a="1"/>
  <c r="DG535" i="34" s="1"/>
  <c r="DI535" i="34"/>
  <c r="DJ535" i="34"/>
  <c r="DO535" i="34"/>
  <c r="DP535" i="34"/>
  <c r="DR535" i="34" a="1"/>
  <c r="DR535" i="34" s="1"/>
  <c r="DS535" i="34" a="1"/>
  <c r="DS535" i="34" s="1"/>
  <c r="DU535" i="34"/>
  <c r="DV535" i="34"/>
  <c r="DX535" i="34" a="1"/>
  <c r="DX535" i="34" s="1"/>
  <c r="DY535" i="34" a="1"/>
  <c r="DY535" i="34"/>
  <c r="EA535" i="34"/>
  <c r="ED535" i="34" s="1" a="1"/>
  <c r="ED535" i="34" s="1"/>
  <c r="EB535" i="34"/>
  <c r="EE535" i="34" a="1"/>
  <c r="EE535" i="34" s="1"/>
  <c r="BS536" i="34"/>
  <c r="BV536" i="34" s="1" a="1"/>
  <c r="BV536" i="34" s="1"/>
  <c r="BT536" i="34"/>
  <c r="BW536" i="34" a="1"/>
  <c r="BW536" i="34" s="1"/>
  <c r="BY536" i="34"/>
  <c r="CC536" i="34" s="1" a="1"/>
  <c r="CC536" i="34" s="1"/>
  <c r="BZ536" i="34"/>
  <c r="CE536" i="34"/>
  <c r="CF536" i="34"/>
  <c r="CH536" i="34" a="1"/>
  <c r="CH536" i="34" s="1"/>
  <c r="CI536" i="34" a="1"/>
  <c r="CI536" i="34" s="1"/>
  <c r="CK536" i="34"/>
  <c r="CN536" i="34" s="1" a="1"/>
  <c r="CN536" i="34" s="1"/>
  <c r="CL536" i="34"/>
  <c r="CQ536" i="34" a="1"/>
  <c r="CQ536" i="34" s="1"/>
  <c r="CR536" i="34"/>
  <c r="CW536" i="34"/>
  <c r="CX536" i="34"/>
  <c r="DA536" i="34" a="1"/>
  <c r="DA536" i="34" s="1"/>
  <c r="DC536" i="34"/>
  <c r="DD536" i="34"/>
  <c r="DF536" i="34" s="1" a="1"/>
  <c r="DF536" i="34" s="1"/>
  <c r="DI536" i="34"/>
  <c r="DJ536" i="34"/>
  <c r="DO536" i="34"/>
  <c r="DP536" i="34"/>
  <c r="DS536" i="34" s="1" a="1"/>
  <c r="DR536" i="34" a="1"/>
  <c r="DR536" i="34"/>
  <c r="DS536" i="34"/>
  <c r="DU536" i="34"/>
  <c r="DY536" i="34" s="1" a="1"/>
  <c r="DY536" i="34" s="1"/>
  <c r="DV536" i="34"/>
  <c r="DX536" i="34" s="1" a="1"/>
  <c r="DX536" i="34" s="1"/>
  <c r="EA536" i="34"/>
  <c r="EB536" i="34"/>
  <c r="ED536" i="34" a="1"/>
  <c r="ED536" i="34" s="1"/>
  <c r="BS537" i="34"/>
  <c r="BV537" i="34" s="1" a="1"/>
  <c r="BV537" i="34" s="1"/>
  <c r="BT537" i="34"/>
  <c r="BW537" i="34" a="1"/>
  <c r="BW537" i="34"/>
  <c r="BY537" i="34"/>
  <c r="BZ537" i="34"/>
  <c r="CB537" i="34" a="1"/>
  <c r="CB537" i="34" s="1"/>
  <c r="CC537" i="34" a="1"/>
  <c r="CC537" i="34" s="1"/>
  <c r="CE537" i="34"/>
  <c r="CF537" i="34"/>
  <c r="CH537" i="34" a="1"/>
  <c r="CH537" i="34" s="1"/>
  <c r="CI537" i="34" a="1"/>
  <c r="CI537" i="34" s="1"/>
  <c r="CK537" i="34"/>
  <c r="CN537" i="34" s="1" a="1"/>
  <c r="CN537" i="34" s="1"/>
  <c r="CL537" i="34"/>
  <c r="CO537" i="34" a="1"/>
  <c r="CO537" i="34"/>
  <c r="CQ537" i="34" a="1"/>
  <c r="CQ537" i="34"/>
  <c r="CT537" i="34" s="1" a="1"/>
  <c r="CT537" i="34" s="1"/>
  <c r="CR537" i="34"/>
  <c r="CW537" i="34"/>
  <c r="CX537" i="34"/>
  <c r="DC537" i="34"/>
  <c r="DD537" i="34"/>
  <c r="DF537" i="34" a="1"/>
  <c r="DF537" i="34" s="1"/>
  <c r="DG537" i="34" a="1"/>
  <c r="DG537" i="34" s="1"/>
  <c r="DI537" i="34"/>
  <c r="DL537" i="34" s="1" a="1"/>
  <c r="DL537" i="34" s="1"/>
  <c r="DJ537" i="34"/>
  <c r="DM537" i="34" a="1"/>
  <c r="DM537" i="34" s="1"/>
  <c r="DO537" i="34"/>
  <c r="DP537" i="34"/>
  <c r="DR537" i="34" s="1" a="1"/>
  <c r="DR537" i="34" s="1"/>
  <c r="DS537" i="34" a="1"/>
  <c r="DS537" i="34"/>
  <c r="DU537" i="34"/>
  <c r="DY537" i="34" s="1" a="1"/>
  <c r="DY537" i="34" s="1"/>
  <c r="DV537" i="34"/>
  <c r="DX537" i="34" a="1"/>
  <c r="DX537" i="34" s="1"/>
  <c r="EA537" i="34"/>
  <c r="EE537" i="34" s="1" a="1"/>
  <c r="EE537" i="34" s="1"/>
  <c r="EB537" i="34"/>
  <c r="ED537" i="34" s="1" a="1"/>
  <c r="ED537" i="34" s="1"/>
  <c r="BS538" i="34"/>
  <c r="BT538" i="34"/>
  <c r="BV538" i="34" a="1"/>
  <c r="BV538" i="34" s="1"/>
  <c r="BW538" i="34" a="1"/>
  <c r="BW538" i="34" s="1"/>
  <c r="BY538" i="34"/>
  <c r="CB538" i="34" s="1" a="1"/>
  <c r="CB538" i="34" s="1"/>
  <c r="BZ538" i="34"/>
  <c r="CE538" i="34"/>
  <c r="CF538" i="34"/>
  <c r="CK538" i="34"/>
  <c r="CL538" i="34"/>
  <c r="CN538" i="34" a="1"/>
  <c r="CN538" i="34" s="1"/>
  <c r="CO538" i="34" a="1"/>
  <c r="CO538" i="34" s="1"/>
  <c r="CQ538" i="34" a="1"/>
  <c r="CQ538" i="34" s="1"/>
  <c r="CU538" i="34" s="1" a="1"/>
  <c r="CU538" i="34" s="1"/>
  <c r="CR538" i="34"/>
  <c r="CW538" i="34"/>
  <c r="CZ538" i="34" s="1" a="1"/>
  <c r="CZ538" i="34" s="1"/>
  <c r="CX538" i="34"/>
  <c r="DA538" i="34" a="1"/>
  <c r="DA538" i="34"/>
  <c r="DC538" i="34"/>
  <c r="DG538" i="34" s="1" a="1"/>
  <c r="DG538" i="34" s="1"/>
  <c r="DD538" i="34"/>
  <c r="DF538" i="34" s="1" a="1"/>
  <c r="DF538" i="34" s="1"/>
  <c r="DI538" i="34"/>
  <c r="DJ538" i="34"/>
  <c r="DO538" i="34"/>
  <c r="DP538" i="34"/>
  <c r="DR538" i="34" a="1"/>
  <c r="DR538" i="34"/>
  <c r="DS538" i="34" a="1"/>
  <c r="DS538" i="34"/>
  <c r="DU538" i="34"/>
  <c r="DX538" i="34" s="1" a="1"/>
  <c r="DX538" i="34" s="1"/>
  <c r="DV538" i="34"/>
  <c r="DY538" i="34" a="1"/>
  <c r="DY538" i="34" s="1"/>
  <c r="EA538" i="34"/>
  <c r="ED538" i="34" s="1" a="1"/>
  <c r="ED538" i="34" s="1"/>
  <c r="EB538" i="34"/>
  <c r="BS539" i="34"/>
  <c r="BT539" i="34"/>
  <c r="BV539" i="34" s="1" a="1"/>
  <c r="BV539" i="34" s="1"/>
  <c r="BW539" i="34" a="1"/>
  <c r="BW539" i="34" s="1"/>
  <c r="BY539" i="34"/>
  <c r="BZ539" i="34"/>
  <c r="CB539" i="34" a="1"/>
  <c r="CB539" i="34" s="1"/>
  <c r="CC539" i="34" a="1"/>
  <c r="CC539" i="34" s="1"/>
  <c r="CE539" i="34"/>
  <c r="CH539" i="34" s="1" a="1"/>
  <c r="CH539" i="34" s="1"/>
  <c r="CF539" i="34"/>
  <c r="CI539" i="34" a="1"/>
  <c r="CI539" i="34"/>
  <c r="CK539" i="34"/>
  <c r="CO539" i="34" s="1" a="1"/>
  <c r="CO539" i="34" s="1"/>
  <c r="CL539" i="34"/>
  <c r="CN539" i="34" s="1" a="1"/>
  <c r="CN539" i="34" s="1"/>
  <c r="CQ539" i="34" a="1"/>
  <c r="CQ539" i="34" s="1"/>
  <c r="CR539" i="34"/>
  <c r="CW539" i="34"/>
  <c r="CX539" i="34"/>
  <c r="CZ539" i="34" a="1"/>
  <c r="CZ539" i="34" s="1"/>
  <c r="DA539" i="34" a="1"/>
  <c r="DA539" i="34" s="1"/>
  <c r="DC539" i="34"/>
  <c r="DD539" i="34"/>
  <c r="DF539" i="34" a="1"/>
  <c r="DF539" i="34"/>
  <c r="DG539" i="34" a="1"/>
  <c r="DG539" i="34" s="1"/>
  <c r="DI539" i="34"/>
  <c r="DJ539" i="34"/>
  <c r="DL539" i="34" s="1" a="1"/>
  <c r="DL539" i="34" s="1"/>
  <c r="DM539" i="34" a="1"/>
  <c r="DM539" i="34"/>
  <c r="DO539" i="34"/>
  <c r="DS539" i="34" s="1" a="1"/>
  <c r="DS539" i="34" s="1"/>
  <c r="DP539" i="34"/>
  <c r="DR539" i="34" a="1"/>
  <c r="DR539" i="34" s="1"/>
  <c r="DU539" i="34"/>
  <c r="DY539" i="34" s="1" a="1"/>
  <c r="DY539" i="34" s="1"/>
  <c r="DV539" i="34"/>
  <c r="DX539" i="34" s="1" a="1"/>
  <c r="DX539" i="34" s="1"/>
  <c r="EA539" i="34"/>
  <c r="EB539" i="34"/>
  <c r="ED539" i="34" a="1"/>
  <c r="ED539" i="34"/>
  <c r="EE539" i="34" a="1"/>
  <c r="EE539" i="34" s="1"/>
  <c r="BS540" i="34"/>
  <c r="BV540" i="34" s="1" a="1"/>
  <c r="BV540" i="34" s="1"/>
  <c r="BT540" i="34"/>
  <c r="BY540" i="34"/>
  <c r="BZ540" i="34"/>
  <c r="CE540" i="34"/>
  <c r="CF540" i="34"/>
  <c r="CH540" i="34" a="1"/>
  <c r="CH540" i="34" s="1"/>
  <c r="CI540" i="34" a="1"/>
  <c r="CI540" i="34" s="1"/>
  <c r="CK540" i="34"/>
  <c r="CL540" i="34"/>
  <c r="CN540" i="34" a="1"/>
  <c r="CN540" i="34"/>
  <c r="CO540" i="34" a="1"/>
  <c r="CO540" i="34" s="1"/>
  <c r="CQ540" i="34" a="1"/>
  <c r="CQ540" i="34"/>
  <c r="CT540" i="34" s="1" a="1"/>
  <c r="CT540" i="34" s="1"/>
  <c r="CR540" i="34"/>
  <c r="CU540" i="34" a="1"/>
  <c r="CU540" i="34"/>
  <c r="CW540" i="34"/>
  <c r="DA540" i="34" s="1" a="1"/>
  <c r="DA540" i="34" s="1"/>
  <c r="CX540" i="34"/>
  <c r="CZ540" i="34" s="1" a="1"/>
  <c r="CZ540" i="34" s="1"/>
  <c r="DC540" i="34"/>
  <c r="DD540" i="34"/>
  <c r="DI540" i="34"/>
  <c r="DJ540" i="34"/>
  <c r="DL540" i="34" a="1"/>
  <c r="DL540" i="34"/>
  <c r="DM540" i="34" a="1"/>
  <c r="DM540" i="34"/>
  <c r="DO540" i="34"/>
  <c r="DR540" i="34" s="1" a="1"/>
  <c r="DR540" i="34" s="1"/>
  <c r="DP540" i="34"/>
  <c r="DS540" i="34" a="1"/>
  <c r="DS540" i="34" s="1"/>
  <c r="DU540" i="34"/>
  <c r="DX540" i="34" s="1" a="1"/>
  <c r="DX540" i="34" s="1"/>
  <c r="DV540" i="34"/>
  <c r="EA540" i="34"/>
  <c r="EB540" i="34"/>
  <c r="ED540" i="34" s="1" a="1"/>
  <c r="ED540" i="34" s="1"/>
  <c r="EE540" i="34" a="1"/>
  <c r="EE540" i="34" s="1"/>
  <c r="BS541" i="34"/>
  <c r="BT541" i="34"/>
  <c r="BV541" i="34" a="1"/>
  <c r="BV541" i="34" s="1"/>
  <c r="BW541" i="34" a="1"/>
  <c r="BW541" i="34" s="1"/>
  <c r="BY541" i="34"/>
  <c r="CB541" i="34" s="1" a="1"/>
  <c r="CB541" i="34" s="1"/>
  <c r="BZ541" i="34"/>
  <c r="CC541" i="34" a="1"/>
  <c r="CC541" i="34"/>
  <c r="CE541" i="34"/>
  <c r="CI541" i="34" s="1" a="1"/>
  <c r="CI541" i="34" s="1"/>
  <c r="CF541" i="34"/>
  <c r="CH541" i="34" s="1" a="1"/>
  <c r="CH541" i="34" s="1"/>
  <c r="CK541" i="34"/>
  <c r="CL541" i="34"/>
  <c r="CQ541" i="34" a="1"/>
  <c r="CQ541" i="34"/>
  <c r="CR541" i="34"/>
  <c r="CT541" i="34" a="1"/>
  <c r="CT541" i="34" s="1"/>
  <c r="CU541" i="34" a="1"/>
  <c r="CU541" i="34" s="1"/>
  <c r="CW541" i="34"/>
  <c r="CX541" i="34"/>
  <c r="CZ541" i="34" a="1"/>
  <c r="CZ541" i="34"/>
  <c r="DA541" i="34" a="1"/>
  <c r="DA541" i="34" s="1"/>
  <c r="DC541" i="34"/>
  <c r="DD541" i="34"/>
  <c r="DF541" i="34" s="1" a="1"/>
  <c r="DF541" i="34" s="1"/>
  <c r="DG541" i="34" a="1"/>
  <c r="DG541" i="34"/>
  <c r="DI541" i="34"/>
  <c r="DM541" i="34" s="1" a="1"/>
  <c r="DM541" i="34" s="1"/>
  <c r="DJ541" i="34"/>
  <c r="DL541" i="34" a="1"/>
  <c r="DL541" i="34" s="1"/>
  <c r="DO541" i="34"/>
  <c r="DS541" i="34" s="1" a="1"/>
  <c r="DS541" i="34" s="1"/>
  <c r="DP541" i="34"/>
  <c r="DR541" i="34" s="1" a="1"/>
  <c r="DR541" i="34" s="1"/>
  <c r="DU541" i="34"/>
  <c r="DV541" i="34"/>
  <c r="DX541" i="34" a="1"/>
  <c r="DX541" i="34"/>
  <c r="DY541" i="34" a="1"/>
  <c r="DY541" i="34" s="1"/>
  <c r="EA541" i="34"/>
  <c r="ED541" i="34" s="1" a="1"/>
  <c r="ED541" i="34" s="1"/>
  <c r="EB541" i="34"/>
  <c r="BS542" i="34"/>
  <c r="BT542" i="34"/>
  <c r="BY542" i="34"/>
  <c r="BZ542" i="34"/>
  <c r="CB542" i="34" a="1"/>
  <c r="CB542" i="34" s="1"/>
  <c r="CC542" i="34" a="1"/>
  <c r="CC542" i="34" s="1"/>
  <c r="CE542" i="34"/>
  <c r="CF542" i="34"/>
  <c r="CH542" i="34" a="1"/>
  <c r="CH542" i="34"/>
  <c r="CI542" i="34" a="1"/>
  <c r="CI542" i="34" s="1"/>
  <c r="CK542" i="34"/>
  <c r="CL542" i="34"/>
  <c r="CN542" i="34" a="1"/>
  <c r="CN542" i="34" s="1"/>
  <c r="CO542" i="34" a="1"/>
  <c r="CO542" i="34" s="1"/>
  <c r="CQ542" i="34" a="1"/>
  <c r="CQ542" i="34" s="1"/>
  <c r="CR542" i="34"/>
  <c r="CW542" i="34"/>
  <c r="CX542" i="34"/>
  <c r="DC542" i="34"/>
  <c r="DD542" i="34"/>
  <c r="DF542" i="34" s="1" a="1"/>
  <c r="DF542" i="34" s="1"/>
  <c r="DG542" i="34" a="1"/>
  <c r="DG542" i="34"/>
  <c r="DI542" i="34"/>
  <c r="DL542" i="34" s="1" a="1"/>
  <c r="DL542" i="34" s="1"/>
  <c r="DJ542" i="34"/>
  <c r="DM542" i="34" a="1"/>
  <c r="DM542" i="34" s="1"/>
  <c r="DO542" i="34"/>
  <c r="DR542" i="34" s="1" a="1"/>
  <c r="DR542" i="34" s="1"/>
  <c r="DP542" i="34"/>
  <c r="DU542" i="34"/>
  <c r="DV542" i="34"/>
  <c r="DX542" i="34" s="1" a="1"/>
  <c r="DX542" i="34" s="1"/>
  <c r="DY542" i="34" a="1"/>
  <c r="DY542" i="34" s="1"/>
  <c r="EA542" i="34"/>
  <c r="EB542" i="34"/>
  <c r="ED542" i="34" a="1"/>
  <c r="ED542" i="34" s="1"/>
  <c r="EE542" i="34" a="1"/>
  <c r="EE542" i="34" s="1"/>
  <c r="BS543" i="34"/>
  <c r="BV543" i="34" s="1" a="1"/>
  <c r="BV543" i="34" s="1"/>
  <c r="BT543" i="34"/>
  <c r="BW543" i="34" a="1"/>
  <c r="BW543" i="34"/>
  <c r="BY543" i="34"/>
  <c r="CC543" i="34" s="1" a="1"/>
  <c r="CC543" i="34" s="1"/>
  <c r="BZ543" i="34"/>
  <c r="CB543" i="34" s="1" a="1"/>
  <c r="CB543" i="34" s="1"/>
  <c r="CE543" i="34"/>
  <c r="CF543" i="34"/>
  <c r="CK543" i="34"/>
  <c r="CL543" i="34"/>
  <c r="CN543" i="34" a="1"/>
  <c r="CN543" i="34"/>
  <c r="CO543" i="34" a="1"/>
  <c r="CO543" i="34"/>
  <c r="CQ543" i="34" a="1"/>
  <c r="CQ543" i="34" s="1"/>
  <c r="CT543" i="34" s="1" a="1"/>
  <c r="CR543" i="34"/>
  <c r="CT543" i="34"/>
  <c r="CU543" i="34" a="1"/>
  <c r="CU543" i="34" s="1"/>
  <c r="CW543" i="34"/>
  <c r="CX543" i="34"/>
  <c r="CZ543" i="34" s="1" a="1"/>
  <c r="CZ543" i="34" s="1"/>
  <c r="DA543" i="34" a="1"/>
  <c r="DA543" i="34"/>
  <c r="DC543" i="34"/>
  <c r="DG543" i="34" s="1" a="1"/>
  <c r="DG543" i="34" s="1"/>
  <c r="DD543" i="34"/>
  <c r="DF543" i="34" a="1"/>
  <c r="DF543" i="34" s="1"/>
  <c r="DI543" i="34"/>
  <c r="DJ543" i="34"/>
  <c r="DL543" i="34" a="1"/>
  <c r="DL543" i="34" s="1"/>
  <c r="DO543" i="34"/>
  <c r="DP543" i="34"/>
  <c r="DR543" i="34" a="1"/>
  <c r="DR543" i="34"/>
  <c r="DS543" i="34" a="1"/>
  <c r="DS543" i="34" s="1"/>
  <c r="DU543" i="34"/>
  <c r="DX543" i="34" s="1" a="1"/>
  <c r="DX543" i="34" s="1"/>
  <c r="DV543" i="34"/>
  <c r="EA543" i="34"/>
  <c r="EB543" i="34"/>
  <c r="BS544" i="34"/>
  <c r="BT544" i="34"/>
  <c r="BV544" i="34" a="1"/>
  <c r="BV544" i="34" s="1"/>
  <c r="BW544" i="34" a="1"/>
  <c r="BW544" i="34" s="1"/>
  <c r="BY544" i="34"/>
  <c r="BZ544" i="34"/>
  <c r="CB544" i="34" a="1"/>
  <c r="CB544" i="34"/>
  <c r="CC544" i="34" a="1"/>
  <c r="CC544" i="34" s="1"/>
  <c r="CE544" i="34"/>
  <c r="CF544" i="34"/>
  <c r="CH544" i="34" a="1"/>
  <c r="CH544" i="34" s="1"/>
  <c r="CI544" i="34" a="1"/>
  <c r="CI544" i="34" s="1"/>
  <c r="CK544" i="34"/>
  <c r="CO544" i="34" s="1" a="1"/>
  <c r="CO544" i="34" s="1"/>
  <c r="CL544" i="34"/>
  <c r="CN544" i="34" a="1"/>
  <c r="CN544" i="34" s="1"/>
  <c r="CQ544" i="34" a="1"/>
  <c r="CQ544" i="34"/>
  <c r="CR544" i="34"/>
  <c r="CW544" i="34"/>
  <c r="CX544" i="34"/>
  <c r="CZ544" i="34" s="1" a="1"/>
  <c r="CZ544" i="34" s="1"/>
  <c r="DA544" i="34" a="1"/>
  <c r="DA544" i="34"/>
  <c r="DC544" i="34"/>
  <c r="DF544" i="34" s="1" a="1"/>
  <c r="DF544" i="34" s="1"/>
  <c r="DD544" i="34"/>
  <c r="DG544" i="34" a="1"/>
  <c r="DG544" i="34"/>
  <c r="DI544" i="34"/>
  <c r="DL544" i="34" s="1" a="1"/>
  <c r="DL544" i="34" s="1"/>
  <c r="DJ544" i="34"/>
  <c r="DO544" i="34"/>
  <c r="DP544" i="34"/>
  <c r="DR544" i="34" s="1" a="1"/>
  <c r="DR544" i="34" s="1"/>
  <c r="DS544" i="34" a="1"/>
  <c r="DS544" i="34" s="1"/>
  <c r="DU544" i="34"/>
  <c r="DV544" i="34"/>
  <c r="DX544" i="34" a="1"/>
  <c r="DX544" i="34" s="1"/>
  <c r="DY544" i="34" a="1"/>
  <c r="DY544" i="34" s="1"/>
  <c r="EA544" i="34"/>
  <c r="ED544" i="34" s="1" a="1"/>
  <c r="ED544" i="34" s="1"/>
  <c r="EB544" i="34"/>
  <c r="EE544" i="34" a="1"/>
  <c r="EE544" i="34"/>
  <c r="BS545" i="34"/>
  <c r="BW545" i="34" s="1" a="1"/>
  <c r="BW545" i="34" s="1"/>
  <c r="BT545" i="34"/>
  <c r="BV545" i="34" s="1" a="1"/>
  <c r="BV545" i="34" s="1"/>
  <c r="BY545" i="34"/>
  <c r="BZ545" i="34"/>
  <c r="CE545" i="34"/>
  <c r="CF545" i="34"/>
  <c r="CH545" i="34" a="1"/>
  <c r="CH545" i="34"/>
  <c r="CI545" i="34" a="1"/>
  <c r="CI545" i="34"/>
  <c r="CK545" i="34"/>
  <c r="CN545" i="34" s="1" a="1"/>
  <c r="CN545" i="34" s="1"/>
  <c r="CL545" i="34"/>
  <c r="CO545" i="34" a="1"/>
  <c r="CO545" i="34" s="1"/>
  <c r="CQ545" i="34" a="1"/>
  <c r="CQ545" i="34" s="1"/>
  <c r="CR545" i="34"/>
  <c r="CW545" i="34"/>
  <c r="DA545" i="34" s="1" a="1"/>
  <c r="DA545" i="34" s="1"/>
  <c r="CX545" i="34"/>
  <c r="CZ545" i="34" a="1"/>
  <c r="CZ545" i="34" s="1"/>
  <c r="DC545" i="34"/>
  <c r="DG545" i="34" s="1" a="1"/>
  <c r="DG545" i="34" s="1"/>
  <c r="DD545" i="34"/>
  <c r="DF545" i="34" a="1"/>
  <c r="DF545" i="34" s="1"/>
  <c r="DI545" i="34"/>
  <c r="DJ545" i="34"/>
  <c r="DL545" i="34" a="1"/>
  <c r="DL545" i="34" s="1"/>
  <c r="DM545" i="34" a="1"/>
  <c r="DM545" i="34" s="1"/>
  <c r="DO545" i="34"/>
  <c r="DR545" i="34" s="1" a="1"/>
  <c r="DR545" i="34" s="1"/>
  <c r="DP545" i="34"/>
  <c r="DU545" i="34"/>
  <c r="DV545" i="34"/>
  <c r="EA545" i="34"/>
  <c r="EB545" i="34"/>
  <c r="ED545" i="34" a="1"/>
  <c r="ED545" i="34" s="1"/>
  <c r="EE545" i="34" a="1"/>
  <c r="EE545" i="34" s="1"/>
  <c r="BS546" i="34"/>
  <c r="BT546" i="34"/>
  <c r="BV546" i="34" a="1"/>
  <c r="BV546" i="34"/>
  <c r="BW546" i="34" a="1"/>
  <c r="BW546" i="34" s="1"/>
  <c r="BY546" i="34"/>
  <c r="BZ546" i="34"/>
  <c r="CB546" i="34" a="1"/>
  <c r="CB546" i="34" s="1"/>
  <c r="CC546" i="34" a="1"/>
  <c r="CC546" i="34" s="1"/>
  <c r="CE546" i="34"/>
  <c r="CI546" i="34" s="1" a="1"/>
  <c r="CI546" i="34" s="1"/>
  <c r="CF546" i="34"/>
  <c r="CH546" i="34" a="1"/>
  <c r="CH546" i="34" s="1"/>
  <c r="CK546" i="34"/>
  <c r="CL546" i="34"/>
  <c r="CN546" i="34" a="1"/>
  <c r="CN546" i="34" s="1"/>
  <c r="CQ546" i="34" a="1"/>
  <c r="CQ546" i="34" s="1"/>
  <c r="CR546" i="34"/>
  <c r="CW546" i="34"/>
  <c r="CZ546" i="34" s="1" a="1"/>
  <c r="CZ546" i="34" s="1"/>
  <c r="CX546" i="34"/>
  <c r="DA546" i="34" a="1"/>
  <c r="DA546" i="34" s="1"/>
  <c r="DC546" i="34"/>
  <c r="DF546" i="34" s="1" a="1"/>
  <c r="DF546" i="34" s="1"/>
  <c r="DD546" i="34"/>
  <c r="DI546" i="34"/>
  <c r="DJ546" i="34"/>
  <c r="DL546" i="34" s="1" a="1"/>
  <c r="DL546" i="34" s="1"/>
  <c r="DM546" i="34" a="1"/>
  <c r="DM546" i="34" s="1"/>
  <c r="DO546" i="34"/>
  <c r="DP546" i="34"/>
  <c r="DR546" i="34" a="1"/>
  <c r="DR546" i="34"/>
  <c r="DS546" i="34" a="1"/>
  <c r="DS546" i="34" s="1"/>
  <c r="DU546" i="34"/>
  <c r="DX546" i="34" s="1" a="1"/>
  <c r="DX546" i="34" s="1"/>
  <c r="DV546" i="34"/>
  <c r="DY546" i="34" a="1"/>
  <c r="DY546" i="34"/>
  <c r="EA546" i="34"/>
  <c r="EE546" i="34" s="1" a="1"/>
  <c r="EE546" i="34" s="1"/>
  <c r="EB546" i="34"/>
  <c r="ED546" i="34" s="1" a="1"/>
  <c r="ED546" i="34" s="1"/>
  <c r="BS547" i="34"/>
  <c r="BT547" i="34"/>
  <c r="BY547" i="34"/>
  <c r="BZ547" i="34"/>
  <c r="CB547" i="34" a="1"/>
  <c r="CB547" i="34"/>
  <c r="CC547" i="34" a="1"/>
  <c r="CC547" i="34"/>
  <c r="CE547" i="34"/>
  <c r="CH547" i="34" s="1" a="1"/>
  <c r="CH547" i="34" s="1"/>
  <c r="CF547" i="34"/>
  <c r="CI547" i="34" a="1"/>
  <c r="CI547" i="34" s="1"/>
  <c r="CK547" i="34"/>
  <c r="CN547" i="34" s="1" a="1"/>
  <c r="CN547" i="34" s="1"/>
  <c r="CL547" i="34"/>
  <c r="CQ547" i="34" a="1"/>
  <c r="CQ547" i="34"/>
  <c r="CU547" i="34" s="1" a="1"/>
  <c r="CU547" i="34" s="1"/>
  <c r="CR547" i="34"/>
  <c r="CT547" i="34" a="1"/>
  <c r="CT547" i="34" s="1"/>
  <c r="CW547" i="34"/>
  <c r="CX547" i="34"/>
  <c r="CZ547" i="34" a="1"/>
  <c r="CZ547" i="34" s="1"/>
  <c r="DC547" i="34"/>
  <c r="DD547" i="34"/>
  <c r="DF547" i="34" a="1"/>
  <c r="DF547" i="34"/>
  <c r="DG547" i="34" a="1"/>
  <c r="DG547" i="34" s="1"/>
  <c r="DI547" i="34"/>
  <c r="DL547" i="34" s="1" a="1"/>
  <c r="DL547" i="34" s="1"/>
  <c r="DJ547" i="34"/>
  <c r="DO547" i="34"/>
  <c r="DP547" i="34"/>
  <c r="DU547" i="34"/>
  <c r="DV547" i="34"/>
  <c r="DX547" i="34" a="1"/>
  <c r="DX547" i="34" s="1"/>
  <c r="DY547" i="34" a="1"/>
  <c r="DY547" i="34" s="1"/>
  <c r="EA547" i="34"/>
  <c r="EB547" i="34"/>
  <c r="ED547" i="34" a="1"/>
  <c r="ED547" i="34"/>
  <c r="EE547" i="34" a="1"/>
  <c r="EE547" i="34" s="1"/>
  <c r="BS548" i="34"/>
  <c r="BT548" i="34"/>
  <c r="BV548" i="34" a="1"/>
  <c r="BV548" i="34" s="1"/>
  <c r="BW548" i="34" a="1"/>
  <c r="BW548" i="34" s="1"/>
  <c r="BY548" i="34"/>
  <c r="CC548" i="34" s="1" a="1"/>
  <c r="CC548" i="34" s="1"/>
  <c r="BZ548" i="34"/>
  <c r="CB548" i="34" a="1"/>
  <c r="CB548" i="34" s="1"/>
  <c r="CE548" i="34"/>
  <c r="CI548" i="34" s="1" a="1"/>
  <c r="CI548" i="34" s="1"/>
  <c r="CF548" i="34"/>
  <c r="CH548" i="34" a="1"/>
  <c r="CH548" i="34" s="1"/>
  <c r="CK548" i="34"/>
  <c r="CL548" i="34"/>
  <c r="CN548" i="34" a="1"/>
  <c r="CN548" i="34" s="1"/>
  <c r="CO548" i="34" a="1"/>
  <c r="CO548" i="34" s="1"/>
  <c r="CQ548" i="34" a="1"/>
  <c r="CQ548" i="34" s="1"/>
  <c r="CT548" i="34" s="1" a="1"/>
  <c r="CT548" i="34" s="1"/>
  <c r="CR548" i="34"/>
  <c r="CU548" i="34" a="1"/>
  <c r="CU548" i="34" s="1"/>
  <c r="CW548" i="34"/>
  <c r="CZ548" i="34" s="1" a="1"/>
  <c r="CZ548" i="34" s="1"/>
  <c r="CX548" i="34"/>
  <c r="DC548" i="34"/>
  <c r="DD548" i="34"/>
  <c r="DF548" i="34" s="1" a="1"/>
  <c r="DF548" i="34" s="1"/>
  <c r="DG548" i="34" a="1"/>
  <c r="DG548" i="34" s="1"/>
  <c r="DI548" i="34"/>
  <c r="DJ548" i="34"/>
  <c r="DL548" i="34" a="1"/>
  <c r="DL548" i="34" s="1"/>
  <c r="DM548" i="34" a="1"/>
  <c r="DM548" i="34" s="1"/>
  <c r="DO548" i="34"/>
  <c r="DP548" i="34"/>
  <c r="DR548" i="34" s="1" a="1"/>
  <c r="DR548" i="34" s="1"/>
  <c r="DS548" i="34" a="1"/>
  <c r="DS548" i="34"/>
  <c r="DU548" i="34"/>
  <c r="DY548" i="34" s="1" a="1"/>
  <c r="DY548" i="34" s="1"/>
  <c r="DV548" i="34"/>
  <c r="DX548" i="34" s="1" a="1"/>
  <c r="DX548" i="34" s="1"/>
  <c r="EA548" i="34"/>
  <c r="EB548" i="34"/>
  <c r="BS549" i="34"/>
  <c r="BT549" i="34"/>
  <c r="BV549" i="34" s="1" a="1"/>
  <c r="BV549" i="34" s="1"/>
  <c r="BW549" i="34" a="1"/>
  <c r="BW549" i="34"/>
  <c r="BY549" i="34"/>
  <c r="CB549" i="34" s="1" a="1"/>
  <c r="CB549" i="34" s="1"/>
  <c r="BZ549" i="34"/>
  <c r="CC549" i="34" a="1"/>
  <c r="CC549" i="34"/>
  <c r="CE549" i="34"/>
  <c r="CH549" i="34" s="1" a="1"/>
  <c r="CH549" i="34" s="1"/>
  <c r="CF549" i="34"/>
  <c r="CK549" i="34"/>
  <c r="CL549" i="34"/>
  <c r="CN549" i="34" s="1" a="1"/>
  <c r="CN549" i="34" s="1"/>
  <c r="CO549" i="34" a="1"/>
  <c r="CO549" i="34" s="1"/>
  <c r="CQ549" i="34" a="1"/>
  <c r="CQ549" i="34"/>
  <c r="CU549" i="34" s="1" a="1"/>
  <c r="CU549" i="34" s="1"/>
  <c r="CR549" i="34"/>
  <c r="CT549" i="34" s="1" a="1"/>
  <c r="CT549" i="34" s="1"/>
  <c r="CW549" i="34"/>
  <c r="CX549" i="34"/>
  <c r="CZ549" i="34" a="1"/>
  <c r="CZ549" i="34" s="1"/>
  <c r="DA549" i="34" a="1"/>
  <c r="DA549" i="34" s="1"/>
  <c r="DC549" i="34"/>
  <c r="DF549" i="34" s="1" a="1"/>
  <c r="DF549" i="34" s="1"/>
  <c r="DD549" i="34"/>
  <c r="DI549" i="34"/>
  <c r="DJ549" i="34"/>
  <c r="DO549" i="34"/>
  <c r="DP549" i="34"/>
  <c r="DR549" i="34" a="1"/>
  <c r="DR549" i="34" s="1"/>
  <c r="DS549" i="34" a="1"/>
  <c r="DS549" i="34" s="1"/>
  <c r="DU549" i="34"/>
  <c r="DV549" i="34"/>
  <c r="DX549" i="34" a="1"/>
  <c r="DX549" i="34"/>
  <c r="DY549" i="34" a="1"/>
  <c r="DY549" i="34" s="1"/>
  <c r="EA549" i="34"/>
  <c r="EB549" i="34"/>
  <c r="ED549" i="34" a="1"/>
  <c r="ED549" i="34" s="1"/>
  <c r="EE549" i="34" a="1"/>
  <c r="EE549" i="34" s="1"/>
  <c r="BS550" i="34"/>
  <c r="BW550" i="34" s="1" a="1"/>
  <c r="BW550" i="34" s="1"/>
  <c r="BT550" i="34"/>
  <c r="BV550" i="34" a="1"/>
  <c r="BV550" i="34" s="1"/>
  <c r="BY550" i="34"/>
  <c r="BZ550" i="34"/>
  <c r="CB550" i="34" a="1"/>
  <c r="CB550" i="34" s="1"/>
  <c r="CE550" i="34"/>
  <c r="CF550" i="34"/>
  <c r="CH550" i="34" a="1"/>
  <c r="CH550" i="34" s="1"/>
  <c r="CI550" i="34" a="1"/>
  <c r="CI550" i="34" s="1"/>
  <c r="CK550" i="34"/>
  <c r="CN550" i="34" s="1" a="1"/>
  <c r="CN550" i="34" s="1"/>
  <c r="CL550" i="34"/>
  <c r="CQ550" i="34" a="1"/>
  <c r="CQ550" i="34" s="1"/>
  <c r="CR550" i="34"/>
  <c r="CW550" i="34"/>
  <c r="CX550" i="34"/>
  <c r="CZ550" i="34" s="1" a="1"/>
  <c r="CZ550" i="34" s="1"/>
  <c r="DA550" i="34" a="1"/>
  <c r="DA550" i="34" s="1"/>
  <c r="DC550" i="34"/>
  <c r="DD550" i="34"/>
  <c r="DF550" i="34" a="1"/>
  <c r="DF550" i="34"/>
  <c r="DG550" i="34" a="1"/>
  <c r="DG550" i="34" s="1"/>
  <c r="DI550" i="34"/>
  <c r="DJ550" i="34"/>
  <c r="DL550" i="34" a="1"/>
  <c r="DL550" i="34"/>
  <c r="DM550" i="34" a="1"/>
  <c r="DM550" i="34"/>
  <c r="DO550" i="34"/>
  <c r="DS550" i="34" s="1" a="1"/>
  <c r="DS550" i="34" s="1"/>
  <c r="DP550" i="34"/>
  <c r="DR550" i="34" s="1" a="1"/>
  <c r="DR550" i="34" s="1"/>
  <c r="DU550" i="34"/>
  <c r="DV550" i="34"/>
  <c r="EA550" i="34"/>
  <c r="EB550" i="34"/>
  <c r="ED550" i="34" s="1" a="1"/>
  <c r="ED550" i="34" s="1"/>
  <c r="EE550" i="34" a="1"/>
  <c r="EE550" i="34"/>
  <c r="BS551" i="34"/>
  <c r="BV551" i="34" s="1" a="1"/>
  <c r="BV551" i="34" s="1"/>
  <c r="BT551" i="34"/>
  <c r="BW551" i="34" a="1"/>
  <c r="BW551" i="34" s="1"/>
  <c r="BY551" i="34"/>
  <c r="CB551" i="34" s="1" a="1"/>
  <c r="CB551" i="34" s="1"/>
  <c r="BZ551" i="34"/>
  <c r="CE551" i="34"/>
  <c r="CF551" i="34"/>
  <c r="CH551" i="34" s="1" a="1"/>
  <c r="CH551" i="34" s="1"/>
  <c r="CI551" i="34" a="1"/>
  <c r="CI551" i="34" s="1"/>
  <c r="CK551" i="34"/>
  <c r="CL551" i="34"/>
  <c r="CN551" i="34" a="1"/>
  <c r="CN551" i="34"/>
  <c r="CO551" i="34" a="1"/>
  <c r="CO551" i="34" s="1"/>
  <c r="CQ551" i="34" a="1"/>
  <c r="CQ551" i="34"/>
  <c r="CR551" i="34"/>
  <c r="CT551" i="34" a="1"/>
  <c r="CT551" i="34" s="1"/>
  <c r="CU551" i="34" a="1"/>
  <c r="CU551" i="34" s="1"/>
  <c r="CW551" i="34"/>
  <c r="CZ551" i="34" s="1" a="1"/>
  <c r="CZ551" i="34" s="1"/>
  <c r="CX551" i="34"/>
  <c r="DC551" i="34"/>
  <c r="DD551" i="34"/>
  <c r="DI551" i="34"/>
  <c r="DJ551" i="34"/>
  <c r="DL551" i="34" a="1"/>
  <c r="DL551" i="34" s="1"/>
  <c r="DM551" i="34" a="1"/>
  <c r="DM551" i="34" s="1"/>
  <c r="DO551" i="34"/>
  <c r="DP551" i="34"/>
  <c r="DR551" i="34" a="1"/>
  <c r="DR551" i="34"/>
  <c r="DS551" i="34" a="1"/>
  <c r="DS551" i="34" s="1"/>
  <c r="DU551" i="34"/>
  <c r="DV551" i="34"/>
  <c r="DX551" i="34" a="1"/>
  <c r="DX551" i="34"/>
  <c r="DY551" i="34" a="1"/>
  <c r="DY551" i="34" s="1"/>
  <c r="EA551" i="34"/>
  <c r="EE551" i="34" s="1" a="1"/>
  <c r="EE551" i="34" s="1"/>
  <c r="EB551" i="34"/>
  <c r="ED551" i="34" a="1"/>
  <c r="ED551" i="34" s="1"/>
  <c r="BS552" i="34"/>
  <c r="BW552" i="34" s="1" a="1"/>
  <c r="BW552" i="34" s="1"/>
  <c r="BT552" i="34"/>
  <c r="BV552" i="34" a="1"/>
  <c r="BV552" i="34" s="1"/>
  <c r="BY552" i="34"/>
  <c r="BZ552" i="34"/>
  <c r="CB552" i="34" a="1"/>
  <c r="CB552" i="34" s="1"/>
  <c r="CC552" i="34" a="1"/>
  <c r="CC552" i="34" s="1"/>
  <c r="CE552" i="34"/>
  <c r="CH552" i="34" s="1" a="1"/>
  <c r="CH552" i="34" s="1"/>
  <c r="CF552" i="34"/>
  <c r="CK552" i="34"/>
  <c r="CL552" i="34"/>
  <c r="CQ552" i="34" a="1"/>
  <c r="CQ552" i="34" s="1"/>
  <c r="CR552" i="34"/>
  <c r="CW552" i="34"/>
  <c r="CX552" i="34"/>
  <c r="CZ552" i="34" a="1"/>
  <c r="CZ552" i="34" s="1"/>
  <c r="DA552" i="34" a="1"/>
  <c r="DA552" i="34" s="1"/>
  <c r="DC552" i="34"/>
  <c r="DD552" i="34"/>
  <c r="DF552" i="34" a="1"/>
  <c r="DF552" i="34"/>
  <c r="DG552" i="34" a="1"/>
  <c r="DG552" i="34"/>
  <c r="DI552" i="34"/>
  <c r="DM552" i="34" s="1" a="1"/>
  <c r="DM552" i="34" s="1"/>
  <c r="DJ552" i="34"/>
  <c r="DL552" i="34" s="1" a="1"/>
  <c r="DL552" i="34" s="1"/>
  <c r="DO552" i="34"/>
  <c r="DP552" i="34"/>
  <c r="DU552" i="34"/>
  <c r="DV552" i="34"/>
  <c r="DX552" i="34" s="1" a="1"/>
  <c r="DX552" i="34" s="1"/>
  <c r="DY552" i="34" a="1"/>
  <c r="DY552" i="34"/>
  <c r="EA552" i="34"/>
  <c r="ED552" i="34" s="1" a="1"/>
  <c r="ED552" i="34" s="1"/>
  <c r="EB552" i="34"/>
  <c r="EE552" i="34" a="1"/>
  <c r="EE552" i="34" s="1"/>
  <c r="BS553" i="34"/>
  <c r="BV553" i="34" s="1" a="1"/>
  <c r="BV553" i="34" s="1"/>
  <c r="BT553" i="34"/>
  <c r="BY553" i="34"/>
  <c r="BZ553" i="34"/>
  <c r="CB553" i="34" s="1" a="1"/>
  <c r="CB553" i="34" s="1"/>
  <c r="CC553" i="34" a="1"/>
  <c r="CC553" i="34" s="1"/>
  <c r="CE553" i="34"/>
  <c r="CF553" i="34"/>
  <c r="CH553" i="34" a="1"/>
  <c r="CH553" i="34" s="1"/>
  <c r="CI553" i="34" a="1"/>
  <c r="CI553" i="34" s="1"/>
  <c r="CK553" i="34"/>
  <c r="CL553" i="34"/>
  <c r="CN553" i="34" a="1"/>
  <c r="CN553" i="34"/>
  <c r="CO553" i="34" a="1"/>
  <c r="CO553" i="34"/>
  <c r="CQ553" i="34" a="1"/>
  <c r="CQ553" i="34"/>
  <c r="CT553" i="34" s="1" a="1"/>
  <c r="CT553" i="34" s="1"/>
  <c r="CR553" i="34"/>
  <c r="CW553" i="34"/>
  <c r="CX553" i="34"/>
  <c r="DC553" i="34"/>
  <c r="DD553" i="34"/>
  <c r="DF553" i="34" a="1"/>
  <c r="DF553" i="34" s="1"/>
  <c r="DG553" i="34" a="1"/>
  <c r="DG553" i="34"/>
  <c r="DI553" i="34"/>
  <c r="DJ553" i="34"/>
  <c r="DL553" i="34" a="1"/>
  <c r="DL553" i="34"/>
  <c r="DM553" i="34" a="1"/>
  <c r="DM553" i="34" s="1"/>
  <c r="DO553" i="34"/>
  <c r="DP553" i="34"/>
  <c r="DR553" i="34" a="1"/>
  <c r="DR553" i="34"/>
  <c r="DS553" i="34" a="1"/>
  <c r="DS553" i="34" s="1"/>
  <c r="DU553" i="34"/>
  <c r="DY553" i="34" s="1" a="1"/>
  <c r="DY553" i="34" s="1"/>
  <c r="DV553" i="34"/>
  <c r="DX553" i="34" a="1"/>
  <c r="DX553" i="34" s="1"/>
  <c r="EA553" i="34"/>
  <c r="EE553" i="34" s="1" a="1"/>
  <c r="EE553" i="34" s="1"/>
  <c r="EB553" i="34"/>
  <c r="ED553" i="34" s="1" a="1"/>
  <c r="ED553" i="34" s="1"/>
  <c r="BS554" i="34"/>
  <c r="BT554" i="34"/>
  <c r="BV554" i="34" a="1"/>
  <c r="BV554" i="34" s="1"/>
  <c r="BW554" i="34" a="1"/>
  <c r="BW554" i="34" s="1"/>
  <c r="BY554" i="34"/>
  <c r="CB554" i="34" s="1" a="1"/>
  <c r="CB554" i="34" s="1"/>
  <c r="BZ554" i="34"/>
  <c r="CE554" i="34"/>
  <c r="CF554" i="34"/>
  <c r="CK554" i="34"/>
  <c r="CL554" i="34"/>
  <c r="CN554" i="34" a="1"/>
  <c r="CN554" i="34" s="1"/>
  <c r="CO554" i="34" a="1"/>
  <c r="CO554" i="34" s="1"/>
  <c r="CQ554" i="34" a="1"/>
  <c r="CQ554" i="34" s="1"/>
  <c r="CU554" i="34" s="1" a="1"/>
  <c r="CU554" i="34" s="1"/>
  <c r="CR554" i="34"/>
  <c r="CW554" i="34"/>
  <c r="CX554" i="34"/>
  <c r="CZ554" i="34" a="1"/>
  <c r="CZ554" i="34"/>
  <c r="DA554" i="34" a="1"/>
  <c r="DA554" i="34"/>
  <c r="DC554" i="34"/>
  <c r="DG554" i="34" s="1" a="1"/>
  <c r="DG554" i="34" s="1"/>
  <c r="DD554" i="34"/>
  <c r="DF554" i="34" s="1" a="1"/>
  <c r="DF554" i="34" s="1"/>
  <c r="DI554" i="34"/>
  <c r="DJ554" i="34"/>
  <c r="DO554" i="34"/>
  <c r="DP554" i="34"/>
  <c r="DR554" i="34" s="1" a="1"/>
  <c r="DR554" i="34" s="1"/>
  <c r="DS554" i="34" a="1"/>
  <c r="DS554" i="34"/>
  <c r="DU554" i="34"/>
  <c r="DX554" i="34" s="1" a="1"/>
  <c r="DX554" i="34" s="1"/>
  <c r="DV554" i="34"/>
  <c r="DY554" i="34" a="1"/>
  <c r="DY554" i="34"/>
  <c r="EA554" i="34"/>
  <c r="ED554" i="34" s="1" a="1"/>
  <c r="ED554" i="34" s="1"/>
  <c r="EB554" i="34"/>
  <c r="BS555" i="34"/>
  <c r="BT555" i="34"/>
  <c r="BV555" i="34" s="1" a="1"/>
  <c r="BV555" i="34" s="1"/>
  <c r="BW555" i="34" a="1"/>
  <c r="BW555" i="34" s="1"/>
  <c r="BY555" i="34"/>
  <c r="BZ555" i="34"/>
  <c r="CB555" i="34" a="1"/>
  <c r="CB555" i="34" s="1"/>
  <c r="CC555" i="34" a="1"/>
  <c r="CC555" i="34" s="1"/>
  <c r="CE555" i="34"/>
  <c r="CF555" i="34"/>
  <c r="CH555" i="34" a="1"/>
  <c r="CH555" i="34"/>
  <c r="CI555" i="34" a="1"/>
  <c r="CI555" i="34"/>
  <c r="CK555" i="34"/>
  <c r="CO555" i="34" s="1" a="1"/>
  <c r="CO555" i="34" s="1"/>
  <c r="CL555" i="34"/>
  <c r="CN555" i="34" a="1"/>
  <c r="CN555" i="34" s="1"/>
  <c r="CQ555" i="34" a="1"/>
  <c r="CQ555" i="34"/>
  <c r="CR555" i="34"/>
  <c r="CW555" i="34"/>
  <c r="CX555" i="34"/>
  <c r="CZ555" i="34" a="1"/>
  <c r="CZ555" i="34" s="1"/>
  <c r="DA555" i="34" a="1"/>
  <c r="DA555" i="34"/>
  <c r="DC555" i="34"/>
  <c r="DD555" i="34"/>
  <c r="DF555" i="34" a="1"/>
  <c r="DF555" i="34"/>
  <c r="DG555" i="34" a="1"/>
  <c r="DG555" i="34" s="1"/>
  <c r="DI555" i="34"/>
  <c r="DJ555" i="34"/>
  <c r="DL555" i="34" a="1"/>
  <c r="DL555" i="34"/>
  <c r="DM555" i="34" a="1"/>
  <c r="DM555" i="34" s="1"/>
  <c r="DO555" i="34"/>
  <c r="DS555" i="34" s="1" a="1"/>
  <c r="DS555" i="34" s="1"/>
  <c r="DP555" i="34"/>
  <c r="DR555" i="34" a="1"/>
  <c r="DR555" i="34" s="1"/>
  <c r="DU555" i="34"/>
  <c r="DV555" i="34"/>
  <c r="DX555" i="34" s="1" a="1"/>
  <c r="DX555" i="34" s="1"/>
  <c r="EA555" i="34"/>
  <c r="EB555" i="34"/>
  <c r="ED555" i="34" a="1"/>
  <c r="ED555" i="34" s="1"/>
  <c r="EE555" i="34" a="1"/>
  <c r="EE555" i="34" s="1"/>
  <c r="BS556" i="34"/>
  <c r="BV556" i="34" s="1" a="1"/>
  <c r="BV556" i="34" s="1"/>
  <c r="BT556" i="34"/>
  <c r="BY556" i="34"/>
  <c r="BZ556" i="34"/>
  <c r="CE556" i="34"/>
  <c r="CF556" i="34"/>
  <c r="CH556" i="34" a="1"/>
  <c r="CH556" i="34" s="1"/>
  <c r="CI556" i="34" a="1"/>
  <c r="CI556" i="34" s="1"/>
  <c r="CK556" i="34"/>
  <c r="CL556" i="34"/>
  <c r="CN556" i="34" a="1"/>
  <c r="CN556" i="34"/>
  <c r="CO556" i="34" a="1"/>
  <c r="CO556" i="34" s="1"/>
  <c r="CQ556" i="34" a="1"/>
  <c r="CQ556" i="34" s="1"/>
  <c r="CR556" i="34"/>
  <c r="CW556" i="34"/>
  <c r="DA556" i="34" s="1" a="1"/>
  <c r="DA556" i="34" s="1"/>
  <c r="CX556" i="34"/>
  <c r="CZ556" i="34" s="1" a="1"/>
  <c r="CZ556" i="34" s="1"/>
  <c r="DC556" i="34"/>
  <c r="DD556" i="34"/>
  <c r="DI556" i="34"/>
  <c r="DJ556" i="34"/>
  <c r="DL556" i="34" s="1" a="1"/>
  <c r="DL556" i="34" s="1"/>
  <c r="DM556" i="34" a="1"/>
  <c r="DM556" i="34"/>
  <c r="DO556" i="34"/>
  <c r="DR556" i="34" s="1" a="1"/>
  <c r="DR556" i="34" s="1"/>
  <c r="DP556" i="34"/>
  <c r="DS556" i="34" a="1"/>
  <c r="DS556" i="34" s="1"/>
  <c r="DU556" i="34"/>
  <c r="DX556" i="34" s="1" a="1"/>
  <c r="DX556" i="34" s="1"/>
  <c r="DV556" i="34"/>
  <c r="EA556" i="34"/>
  <c r="EB556" i="34"/>
  <c r="ED556" i="34" s="1" a="1"/>
  <c r="ED556" i="34" s="1"/>
  <c r="EE556" i="34" a="1"/>
  <c r="EE556" i="34" s="1"/>
  <c r="BS557" i="34"/>
  <c r="BT557" i="34"/>
  <c r="BV557" i="34" a="1"/>
  <c r="BV557" i="34"/>
  <c r="BW557" i="34" a="1"/>
  <c r="BW557" i="34" s="1"/>
  <c r="BY557" i="34"/>
  <c r="BZ557" i="34"/>
  <c r="CB557" i="34" a="1"/>
  <c r="CB557" i="34"/>
  <c r="CC557" i="34" a="1"/>
  <c r="CC557" i="34"/>
  <c r="CE557" i="34"/>
  <c r="CI557" i="34" s="1" a="1"/>
  <c r="CI557" i="34" s="1"/>
  <c r="CF557" i="34"/>
  <c r="CH557" i="34" a="1"/>
  <c r="CH557" i="34" s="1"/>
  <c r="CK557" i="34"/>
  <c r="CL557" i="34"/>
  <c r="CQ557" i="34" a="1"/>
  <c r="CQ557" i="34"/>
  <c r="CR557" i="34"/>
  <c r="CT557" i="34" a="1"/>
  <c r="CT557" i="34" s="1"/>
  <c r="CU557" i="34" a="1"/>
  <c r="CU557" i="34"/>
  <c r="CW557" i="34"/>
  <c r="CX557" i="34"/>
  <c r="CZ557" i="34" a="1"/>
  <c r="CZ557" i="34"/>
  <c r="DA557" i="34" a="1"/>
  <c r="DA557" i="34" s="1"/>
  <c r="DC557" i="34"/>
  <c r="DD557" i="34"/>
  <c r="DF557" i="34" a="1"/>
  <c r="DF557" i="34"/>
  <c r="DG557" i="34" a="1"/>
  <c r="DG557" i="34"/>
  <c r="DI557" i="34"/>
  <c r="DM557" i="34" s="1" a="1"/>
  <c r="DM557" i="34" s="1"/>
  <c r="DJ557" i="34"/>
  <c r="DL557" i="34" a="1"/>
  <c r="DL557" i="34" s="1"/>
  <c r="DO557" i="34"/>
  <c r="DP557" i="34"/>
  <c r="DR557" i="34" s="1" a="1"/>
  <c r="DR557" i="34" s="1"/>
  <c r="DU557" i="34"/>
  <c r="DV557" i="34"/>
  <c r="DX557" i="34" a="1"/>
  <c r="DX557" i="34" s="1"/>
  <c r="DY557" i="34" a="1"/>
  <c r="DY557" i="34" s="1"/>
  <c r="EA557" i="34"/>
  <c r="ED557" i="34" s="1" a="1"/>
  <c r="ED557" i="34" s="1"/>
  <c r="EB557" i="34"/>
  <c r="BS558" i="34"/>
  <c r="BT558" i="34"/>
  <c r="BY558" i="34"/>
  <c r="BZ558" i="34"/>
  <c r="CB558" i="34" a="1"/>
  <c r="CB558" i="34" s="1"/>
  <c r="CC558" i="34" a="1"/>
  <c r="CC558" i="34" s="1"/>
  <c r="CE558" i="34"/>
  <c r="CF558" i="34"/>
  <c r="CH558" i="34" a="1"/>
  <c r="CH558" i="34"/>
  <c r="CI558" i="34" a="1"/>
  <c r="CI558" i="34" s="1"/>
  <c r="CK558" i="34"/>
  <c r="CL558" i="34"/>
  <c r="CN558" i="34" a="1"/>
  <c r="CN558" i="34"/>
  <c r="CO558" i="34" a="1"/>
  <c r="CO558" i="34" s="1"/>
  <c r="CQ558" i="34" a="1"/>
  <c r="CQ558" i="34" s="1"/>
  <c r="CR558" i="34"/>
  <c r="CW558" i="34"/>
  <c r="CX558" i="34"/>
  <c r="DC558" i="34"/>
  <c r="DD558" i="34"/>
  <c r="DF558" i="34" s="1" a="1"/>
  <c r="DF558" i="34" s="1"/>
  <c r="DG558" i="34" a="1"/>
  <c r="DG558" i="34"/>
  <c r="DI558" i="34"/>
  <c r="DL558" i="34" s="1" a="1"/>
  <c r="DL558" i="34" s="1"/>
  <c r="DJ558" i="34"/>
  <c r="DM558" i="34" a="1"/>
  <c r="DM558" i="34"/>
  <c r="DO558" i="34"/>
  <c r="DR558" i="34" s="1" a="1"/>
  <c r="DR558" i="34" s="1"/>
  <c r="DP558" i="34"/>
  <c r="DU558" i="34"/>
  <c r="DV558" i="34"/>
  <c r="DX558" i="34" s="1" a="1"/>
  <c r="DX558" i="34" s="1"/>
  <c r="DY558" i="34" a="1"/>
  <c r="DY558" i="34" s="1"/>
  <c r="EA558" i="34"/>
  <c r="EB558" i="34"/>
  <c r="ED558" i="34" a="1"/>
  <c r="ED558" i="34" s="1"/>
  <c r="EE558" i="34" a="1"/>
  <c r="EE558" i="34" s="1"/>
  <c r="BS559" i="34"/>
  <c r="BT559" i="34"/>
  <c r="BV559" i="34" a="1"/>
  <c r="BV559" i="34"/>
  <c r="BW559" i="34" a="1"/>
  <c r="BW559" i="34"/>
  <c r="BY559" i="34"/>
  <c r="CC559" i="34" s="1" a="1"/>
  <c r="CC559" i="34" s="1"/>
  <c r="BZ559" i="34"/>
  <c r="CB559" i="34" a="1"/>
  <c r="CB559" i="34" s="1"/>
  <c r="CE559" i="34"/>
  <c r="CF559" i="34"/>
  <c r="CK559" i="34"/>
  <c r="CL559" i="34"/>
  <c r="CN559" i="34" a="1"/>
  <c r="CN559" i="34"/>
  <c r="CO559" i="34" a="1"/>
  <c r="CO559" i="34"/>
  <c r="CQ559" i="34" a="1"/>
  <c r="CQ559" i="34" s="1"/>
  <c r="CR559" i="34"/>
  <c r="CW559" i="34"/>
  <c r="CX559" i="34"/>
  <c r="CZ559" i="34" a="1"/>
  <c r="CZ559" i="34"/>
  <c r="DA559" i="34" a="1"/>
  <c r="DA559" i="34"/>
  <c r="DC559" i="34"/>
  <c r="DG559" i="34" s="1" a="1"/>
  <c r="DG559" i="34" s="1"/>
  <c r="DD559" i="34"/>
  <c r="DF559" i="34" a="1"/>
  <c r="DF559" i="34"/>
  <c r="DI559" i="34"/>
  <c r="DJ559" i="34"/>
  <c r="DL559" i="34" a="1"/>
  <c r="DL559" i="34" s="1"/>
  <c r="DO559" i="34"/>
  <c r="DP559" i="34"/>
  <c r="DR559" i="34" a="1"/>
  <c r="DR559" i="34" s="1"/>
  <c r="DS559" i="34" a="1"/>
  <c r="DS559" i="34" s="1"/>
  <c r="DU559" i="34"/>
  <c r="DX559" i="34" s="1" a="1"/>
  <c r="DX559" i="34" s="1"/>
  <c r="DV559" i="34"/>
  <c r="EA559" i="34"/>
  <c r="EB559" i="34"/>
  <c r="BS560" i="34"/>
  <c r="BT560" i="34"/>
  <c r="BV560" i="34" a="1"/>
  <c r="BV560" i="34" s="1"/>
  <c r="BW560" i="34" a="1"/>
  <c r="BW560" i="34" s="1"/>
  <c r="BY560" i="34"/>
  <c r="BZ560" i="34"/>
  <c r="CB560" i="34" a="1"/>
  <c r="CB560" i="34"/>
  <c r="CC560" i="34" a="1"/>
  <c r="CC560" i="34" s="1"/>
  <c r="CE560" i="34"/>
  <c r="CF560" i="34"/>
  <c r="CH560" i="34" a="1"/>
  <c r="CH560" i="34" s="1"/>
  <c r="CI560" i="34" a="1"/>
  <c r="CI560" i="34" s="1"/>
  <c r="CK560" i="34"/>
  <c r="CO560" i="34" s="1" a="1"/>
  <c r="CO560" i="34" s="1"/>
  <c r="CL560" i="34"/>
  <c r="CN560" i="34" a="1"/>
  <c r="CN560" i="34" s="1"/>
  <c r="CQ560" i="34" a="1"/>
  <c r="CQ560" i="34"/>
  <c r="CR560" i="34"/>
  <c r="CW560" i="34"/>
  <c r="CX560" i="34"/>
  <c r="CZ560" i="34" s="1" a="1"/>
  <c r="CZ560" i="34" s="1"/>
  <c r="DA560" i="34" a="1"/>
  <c r="DA560" i="34"/>
  <c r="DC560" i="34"/>
  <c r="DF560" i="34" s="1" a="1"/>
  <c r="DF560" i="34" s="1"/>
  <c r="DD560" i="34"/>
  <c r="DG560" i="34" a="1"/>
  <c r="DG560" i="34"/>
  <c r="DI560" i="34"/>
  <c r="DL560" i="34" s="1" a="1"/>
  <c r="DL560" i="34" s="1"/>
  <c r="DJ560" i="34"/>
  <c r="DO560" i="34"/>
  <c r="DP560" i="34"/>
  <c r="DR560" i="34" s="1" a="1"/>
  <c r="DR560" i="34" s="1"/>
  <c r="DS560" i="34" a="1"/>
  <c r="DS560" i="34" s="1"/>
  <c r="DU560" i="34"/>
  <c r="DV560" i="34"/>
  <c r="DX560" i="34" a="1"/>
  <c r="DX560" i="34"/>
  <c r="DY560" i="34" a="1"/>
  <c r="DY560" i="34" s="1"/>
  <c r="EA560" i="34"/>
  <c r="EB560" i="34"/>
  <c r="ED560" i="34" a="1"/>
  <c r="ED560" i="34"/>
  <c r="EE560" i="34" a="1"/>
  <c r="EE560" i="34"/>
  <c r="BS561" i="34"/>
  <c r="BW561" i="34" s="1" a="1"/>
  <c r="BW561" i="34" s="1"/>
  <c r="BT561" i="34"/>
  <c r="BV561" i="34" a="1"/>
  <c r="BV561" i="34" s="1"/>
  <c r="BY561" i="34"/>
  <c r="BZ561" i="34"/>
  <c r="CE561" i="34"/>
  <c r="CF561" i="34"/>
  <c r="CH561" i="34" a="1"/>
  <c r="CH561" i="34"/>
  <c r="CI561" i="34" a="1"/>
  <c r="CI561" i="34"/>
  <c r="CK561" i="34"/>
  <c r="CN561" i="34" s="1" a="1"/>
  <c r="CN561" i="34" s="1"/>
  <c r="CL561" i="34"/>
  <c r="CQ561" i="34" a="1"/>
  <c r="CQ561" i="34" s="1"/>
  <c r="CR561" i="34"/>
  <c r="CW561" i="34"/>
  <c r="DA561" i="34" s="1" a="1"/>
  <c r="DA561" i="34" s="1"/>
  <c r="CX561" i="34"/>
  <c r="CZ561" i="34" a="1"/>
  <c r="CZ561" i="34"/>
  <c r="DC561" i="34"/>
  <c r="DG561" i="34" s="1" a="1"/>
  <c r="DG561" i="34" s="1"/>
  <c r="DD561" i="34"/>
  <c r="DF561" i="34" s="1" a="1"/>
  <c r="DF561" i="34" s="1"/>
  <c r="DI561" i="34"/>
  <c r="DJ561" i="34"/>
  <c r="DL561" i="34" a="1"/>
  <c r="DL561" i="34" s="1"/>
  <c r="DM561" i="34" a="1"/>
  <c r="DM561" i="34"/>
  <c r="DO561" i="34"/>
  <c r="DP561" i="34"/>
  <c r="DU561" i="34"/>
  <c r="DV561" i="34"/>
  <c r="EA561" i="34"/>
  <c r="EB561" i="34"/>
  <c r="ED561" i="34" a="1"/>
  <c r="ED561" i="34" s="1"/>
  <c r="EE561" i="34" a="1"/>
  <c r="EE561" i="34" s="1"/>
  <c r="BS562" i="34"/>
  <c r="BT562" i="34"/>
  <c r="BV562" i="34" a="1"/>
  <c r="BV562" i="34"/>
  <c r="BW562" i="34" a="1"/>
  <c r="BW562" i="34" s="1"/>
  <c r="BY562" i="34"/>
  <c r="BZ562" i="34"/>
  <c r="CB562" i="34" a="1"/>
  <c r="CB562" i="34" s="1"/>
  <c r="CC562" i="34" a="1"/>
  <c r="CC562" i="34" s="1"/>
  <c r="CE562" i="34"/>
  <c r="CI562" i="34" s="1" a="1"/>
  <c r="CI562" i="34" s="1"/>
  <c r="CF562" i="34"/>
  <c r="CH562" i="34" a="1"/>
  <c r="CH562" i="34" s="1"/>
  <c r="CK562" i="34"/>
  <c r="CL562" i="34"/>
  <c r="CN562" i="34" s="1" a="1"/>
  <c r="CN562" i="34" s="1"/>
  <c r="CQ562" i="34" a="1"/>
  <c r="CQ562" i="34" s="1"/>
  <c r="CR562" i="34"/>
  <c r="CW562" i="34"/>
  <c r="CX562" i="34"/>
  <c r="DC562" i="34"/>
  <c r="DF562" i="34" s="1" a="1"/>
  <c r="DF562" i="34" s="1"/>
  <c r="DD562" i="34"/>
  <c r="DI562" i="34"/>
  <c r="DJ562" i="34"/>
  <c r="DL562" i="34" a="1"/>
  <c r="DL562" i="34"/>
  <c r="DM562" i="34" a="1"/>
  <c r="DM562" i="34" s="1"/>
  <c r="DO562" i="34"/>
  <c r="DP562" i="34"/>
  <c r="DR562" i="34" a="1"/>
  <c r="DR562" i="34"/>
  <c r="DS562" i="34" a="1"/>
  <c r="DS562" i="34" s="1"/>
  <c r="DU562" i="34"/>
  <c r="DV562" i="34"/>
  <c r="DX562" i="34" s="1" a="1"/>
  <c r="DX562" i="34" s="1"/>
  <c r="DY562" i="34" a="1"/>
  <c r="DY562" i="34"/>
  <c r="EA562" i="34"/>
  <c r="EB562" i="34"/>
  <c r="ED562" i="34" s="1" a="1"/>
  <c r="ED562" i="34" s="1"/>
  <c r="BS563" i="34"/>
  <c r="BT563" i="34"/>
  <c r="BY563" i="34"/>
  <c r="BZ563" i="34"/>
  <c r="CB563" i="34" s="1" a="1"/>
  <c r="CB563" i="34" s="1"/>
  <c r="CC563" i="34" a="1"/>
  <c r="CC563" i="34"/>
  <c r="CE563" i="34"/>
  <c r="CH563" i="34" s="1" a="1"/>
  <c r="CH563" i="34" s="1"/>
  <c r="CF563" i="34"/>
  <c r="CI563" i="34" a="1"/>
  <c r="CI563" i="34" s="1"/>
  <c r="CK563" i="34"/>
  <c r="CN563" i="34" s="1" a="1"/>
  <c r="CN563" i="34" s="1"/>
  <c r="CL563" i="34"/>
  <c r="CQ563" i="34" a="1"/>
  <c r="CQ563" i="34"/>
  <c r="CU563" i="34" s="1" a="1"/>
  <c r="CU563" i="34" s="1"/>
  <c r="CR563" i="34"/>
  <c r="CT563" i="34" a="1"/>
  <c r="CT563" i="34" s="1"/>
  <c r="CW563" i="34"/>
  <c r="DA563" i="34" s="1" a="1"/>
  <c r="DA563" i="34" s="1"/>
  <c r="CX563" i="34"/>
  <c r="CZ563" i="34" a="1"/>
  <c r="CZ563" i="34" s="1"/>
  <c r="DC563" i="34"/>
  <c r="DD563" i="34"/>
  <c r="DF563" i="34" a="1"/>
  <c r="DF563" i="34" s="1"/>
  <c r="DG563" i="34" a="1"/>
  <c r="DG563" i="34"/>
  <c r="DI563" i="34"/>
  <c r="DJ563" i="34"/>
  <c r="DO563" i="34"/>
  <c r="DP563" i="34"/>
  <c r="DU563" i="34"/>
  <c r="DV563" i="34"/>
  <c r="DX563" i="34" a="1"/>
  <c r="DX563" i="34"/>
  <c r="DY563" i="34" a="1"/>
  <c r="DY563" i="34"/>
  <c r="EA563" i="34"/>
  <c r="EB563" i="34"/>
  <c r="ED563" i="34" a="1"/>
  <c r="ED563" i="34"/>
  <c r="EE563" i="34" a="1"/>
  <c r="EE563" i="34" s="1"/>
  <c r="BS564" i="34"/>
  <c r="BT564" i="34"/>
  <c r="BV564" i="34" a="1"/>
  <c r="BV564" i="34" s="1"/>
  <c r="BW564" i="34" a="1"/>
  <c r="BW564" i="34" s="1"/>
  <c r="BY564" i="34"/>
  <c r="CC564" i="34" s="1" a="1"/>
  <c r="CC564" i="34" s="1"/>
  <c r="BZ564" i="34"/>
  <c r="CB564" i="34" a="1"/>
  <c r="CB564" i="34" s="1"/>
  <c r="CE564" i="34"/>
  <c r="CI564" i="34" s="1" a="1"/>
  <c r="CI564" i="34" s="1"/>
  <c r="CF564" i="34"/>
  <c r="CH564" i="34" a="1"/>
  <c r="CH564" i="34" s="1"/>
  <c r="CK564" i="34"/>
  <c r="CL564" i="34"/>
  <c r="CN564" i="34" a="1"/>
  <c r="CN564" i="34" s="1"/>
  <c r="CO564" i="34" a="1"/>
  <c r="CO564" i="34" s="1"/>
  <c r="CQ564" i="34" a="1"/>
  <c r="CQ564" i="34"/>
  <c r="CR564" i="34"/>
  <c r="CW564" i="34"/>
  <c r="CZ564" i="34" s="1" a="1"/>
  <c r="CZ564" i="34" s="1"/>
  <c r="CX564" i="34"/>
  <c r="DC564" i="34"/>
  <c r="DD564" i="34"/>
  <c r="DF564" i="34" s="1" a="1"/>
  <c r="DF564" i="34"/>
  <c r="DG564" i="34" a="1"/>
  <c r="DG564" i="34" s="1"/>
  <c r="DI564" i="34"/>
  <c r="DJ564" i="34"/>
  <c r="DL564" i="34" a="1"/>
  <c r="DL564" i="34"/>
  <c r="DM564" i="34" a="1"/>
  <c r="DM564" i="34" s="1"/>
  <c r="DO564" i="34"/>
  <c r="DP564" i="34"/>
  <c r="DR564" i="34" a="1"/>
  <c r="DR564" i="34"/>
  <c r="DS564" i="34" a="1"/>
  <c r="DS564" i="34"/>
  <c r="DU564" i="34"/>
  <c r="DY564" i="34" s="1" a="1"/>
  <c r="DY564" i="34" s="1"/>
  <c r="DV564" i="34"/>
  <c r="EA564" i="34"/>
  <c r="EB564" i="34"/>
  <c r="BS565" i="34"/>
  <c r="BT565" i="34"/>
  <c r="BV565" i="34" s="1" a="1"/>
  <c r="BV565" i="34" s="1"/>
  <c r="BW565" i="34" a="1"/>
  <c r="BW565" i="34"/>
  <c r="BY565" i="34"/>
  <c r="BZ565" i="34"/>
  <c r="CE565" i="34"/>
  <c r="CH565" i="34" s="1" a="1"/>
  <c r="CH565" i="34" s="1"/>
  <c r="CF565" i="34"/>
  <c r="CK565" i="34"/>
  <c r="CL565" i="34"/>
  <c r="CN565" i="34" s="1" a="1"/>
  <c r="CN565" i="34" s="1"/>
  <c r="CQ565" i="34" a="1"/>
  <c r="CQ565" i="34"/>
  <c r="CU565" i="34" s="1" a="1"/>
  <c r="CU565" i="34" s="1"/>
  <c r="CR565" i="34"/>
  <c r="CT565" i="34" a="1"/>
  <c r="CT565" i="34" s="1"/>
  <c r="CW565" i="34"/>
  <c r="CX565" i="34"/>
  <c r="CZ565" i="34" a="1"/>
  <c r="CZ565" i="34" s="1"/>
  <c r="DA565" i="34" a="1"/>
  <c r="DA565" i="34" s="1"/>
  <c r="DC565" i="34"/>
  <c r="DD565" i="34"/>
  <c r="DI565" i="34"/>
  <c r="DJ565" i="34"/>
  <c r="DO565" i="34"/>
  <c r="DP565" i="34"/>
  <c r="DR565" i="34" a="1"/>
  <c r="DR565" i="34"/>
  <c r="DS565" i="34" a="1"/>
  <c r="DS565" i="34"/>
  <c r="DU565" i="34"/>
  <c r="DV565" i="34"/>
  <c r="DX565" i="34" a="1"/>
  <c r="DX565" i="34"/>
  <c r="DY565" i="34" a="1"/>
  <c r="DY565" i="34" s="1"/>
  <c r="EA565" i="34"/>
  <c r="EB565" i="34"/>
  <c r="ED565" i="34" a="1"/>
  <c r="ED565" i="34"/>
  <c r="EE565" i="34" a="1"/>
  <c r="EE565" i="34" s="1"/>
  <c r="BS566" i="34"/>
  <c r="BW566" i="34" s="1" a="1"/>
  <c r="BW566" i="34" s="1"/>
  <c r="BT566" i="34"/>
  <c r="BV566" i="34" a="1"/>
  <c r="BV566" i="34" s="1"/>
  <c r="BY566" i="34"/>
  <c r="BZ566" i="34"/>
  <c r="CB566" i="34" s="1" a="1"/>
  <c r="CB566" i="34" s="1"/>
  <c r="CE566" i="34"/>
  <c r="CF566" i="34"/>
  <c r="CH566" i="34" a="1"/>
  <c r="CH566" i="34" s="1"/>
  <c r="CI566" i="34" a="1"/>
  <c r="CI566" i="34" s="1"/>
  <c r="CK566" i="34"/>
  <c r="CL566" i="34"/>
  <c r="CQ566" i="34" a="1"/>
  <c r="CQ566" i="34" s="1"/>
  <c r="CR566" i="34"/>
  <c r="CW566" i="34"/>
  <c r="CX566" i="34"/>
  <c r="CZ566" i="34" s="1" a="1"/>
  <c r="CZ566" i="34" s="1"/>
  <c r="DC566" i="34"/>
  <c r="DD566" i="34"/>
  <c r="DF566" i="34" a="1"/>
  <c r="DF566" i="34" s="1"/>
  <c r="DG566" i="34" a="1"/>
  <c r="DG566" i="34" s="1"/>
  <c r="DI566" i="34"/>
  <c r="DJ566" i="34"/>
  <c r="DL566" i="34" a="1"/>
  <c r="DL566" i="34"/>
  <c r="DM566" i="34" a="1"/>
  <c r="DM566" i="34"/>
  <c r="DO566" i="34"/>
  <c r="DP566" i="34"/>
  <c r="DR566" i="34" s="1" a="1"/>
  <c r="DR566" i="34" s="1"/>
  <c r="DU566" i="34"/>
  <c r="DV566" i="34"/>
  <c r="EA566" i="34"/>
  <c r="EB566" i="34"/>
  <c r="ED566" i="34" s="1" a="1"/>
  <c r="ED566" i="34" s="1"/>
  <c r="EE566" i="34" a="1"/>
  <c r="EE566" i="34" s="1"/>
  <c r="BS567" i="34"/>
  <c r="BV567" i="34" s="1" a="1"/>
  <c r="BV567" i="34" s="1"/>
  <c r="BT567" i="34"/>
  <c r="BW567" i="34" a="1"/>
  <c r="BW567" i="34" s="1"/>
  <c r="BY567" i="34"/>
  <c r="CB567" i="34" s="1" a="1"/>
  <c r="CB567" i="34" s="1"/>
  <c r="BZ567" i="34"/>
  <c r="CE567" i="34"/>
  <c r="CF567" i="34"/>
  <c r="CH567" i="34" s="1" a="1"/>
  <c r="CH567" i="34" s="1"/>
  <c r="CK567" i="34"/>
  <c r="CL567" i="34"/>
  <c r="CN567" i="34" a="1"/>
  <c r="CN567" i="34" s="1"/>
  <c r="CO567" i="34" a="1"/>
  <c r="CO567" i="34" s="1"/>
  <c r="CQ567" i="34" a="1"/>
  <c r="CQ567" i="34"/>
  <c r="CR567" i="34"/>
  <c r="CT567" i="34" a="1"/>
  <c r="CT567" i="34" s="1"/>
  <c r="CU567" i="34" a="1"/>
  <c r="CU567" i="34" s="1"/>
  <c r="CW567" i="34"/>
  <c r="CX567" i="34"/>
  <c r="DC567" i="34"/>
  <c r="DD567" i="34"/>
  <c r="DI567" i="34"/>
  <c r="DJ567" i="34"/>
  <c r="DO567" i="34"/>
  <c r="DP567" i="34"/>
  <c r="DR567" i="34" a="1"/>
  <c r="DR567" i="34"/>
  <c r="DS567" i="34" a="1"/>
  <c r="DS567" i="34"/>
  <c r="DU567" i="34"/>
  <c r="DV567" i="34"/>
  <c r="DX567" i="34" a="1"/>
  <c r="DX567" i="34"/>
  <c r="DY567" i="34" a="1"/>
  <c r="DY567" i="34" s="1"/>
  <c r="EA567" i="34"/>
  <c r="EE567" i="34" s="1" a="1"/>
  <c r="EE567" i="34" s="1"/>
  <c r="EB567" i="34"/>
  <c r="BS568" i="34"/>
  <c r="BW568" i="34" s="1" a="1"/>
  <c r="BW568" i="34" s="1"/>
  <c r="BT568" i="34"/>
  <c r="BV568" i="34" s="1" a="1"/>
  <c r="BV568" i="34" s="1"/>
  <c r="BY568" i="34"/>
  <c r="BZ568" i="34"/>
  <c r="CB568" i="34" a="1"/>
  <c r="CB568" i="34" s="1"/>
  <c r="CC568" i="34" a="1"/>
  <c r="CC568" i="34" s="1"/>
  <c r="CE568" i="34"/>
  <c r="CF568" i="34"/>
  <c r="CK568" i="34"/>
  <c r="CL568" i="34"/>
  <c r="CQ568" i="34" a="1"/>
  <c r="CQ568" i="34"/>
  <c r="CT568" i="34" s="1" a="1"/>
  <c r="CT568" i="34" s="1"/>
  <c r="CR568" i="34"/>
  <c r="CW568" i="34"/>
  <c r="CX568" i="34"/>
  <c r="CZ568" i="34" a="1"/>
  <c r="CZ568" i="34"/>
  <c r="DA568" i="34" a="1"/>
  <c r="DA568" i="34" s="1"/>
  <c r="DC568" i="34"/>
  <c r="DD568" i="34"/>
  <c r="DF568" i="34" a="1"/>
  <c r="DF568" i="34"/>
  <c r="DG568" i="34" a="1"/>
  <c r="DG568" i="34"/>
  <c r="DI568" i="34"/>
  <c r="DM568" i="34" s="1" a="1"/>
  <c r="DM568" i="34" s="1"/>
  <c r="DJ568" i="34"/>
  <c r="DO568" i="34"/>
  <c r="DS568" i="34" s="1" a="1"/>
  <c r="DS568" i="34" s="1"/>
  <c r="DP568" i="34"/>
  <c r="DR568" i="34" a="1"/>
  <c r="DR568" i="34" s="1"/>
  <c r="DU568" i="34"/>
  <c r="DV568" i="34"/>
  <c r="DX568" i="34" s="1" a="1"/>
  <c r="DX568" i="34" s="1"/>
  <c r="DY568" i="34" a="1"/>
  <c r="DY568" i="34" s="1"/>
  <c r="EA568" i="34"/>
  <c r="ED568" i="34" s="1" a="1"/>
  <c r="ED568" i="34" s="1"/>
  <c r="EB568" i="34"/>
  <c r="BS569" i="34"/>
  <c r="BT569" i="34"/>
  <c r="BY569" i="34"/>
  <c r="BZ569" i="34"/>
  <c r="CB569" i="34" a="1"/>
  <c r="CB569" i="34" s="1"/>
  <c r="CC569" i="34" a="1"/>
  <c r="CC569" i="34" s="1"/>
  <c r="CE569" i="34"/>
  <c r="CF569" i="34"/>
  <c r="CH569" i="34" a="1"/>
  <c r="CH569" i="34"/>
  <c r="CI569" i="34" a="1"/>
  <c r="CI569" i="34" s="1"/>
  <c r="CK569" i="34"/>
  <c r="CL569" i="34"/>
  <c r="CN569" i="34" a="1"/>
  <c r="CN569" i="34"/>
  <c r="CO569" i="34" a="1"/>
  <c r="CO569" i="34" s="1"/>
  <c r="CQ569" i="34" a="1"/>
  <c r="CQ569" i="34" s="1"/>
  <c r="CR569" i="34"/>
  <c r="CW569" i="34"/>
  <c r="CX569" i="34"/>
  <c r="DC569" i="34"/>
  <c r="DG569" i="34" s="1" a="1"/>
  <c r="DG569" i="34" s="1"/>
  <c r="DD569" i="34"/>
  <c r="DF569" i="34" a="1"/>
  <c r="DF569" i="34" s="1"/>
  <c r="DI569" i="34"/>
  <c r="DJ569" i="34"/>
  <c r="DL569" i="34" a="1"/>
  <c r="DL569" i="34"/>
  <c r="DM569" i="34" a="1"/>
  <c r="DM569" i="34" s="1"/>
  <c r="DO569" i="34"/>
  <c r="DP569" i="34"/>
  <c r="DR569" i="34" a="1"/>
  <c r="DR569" i="34"/>
  <c r="DS569" i="34" a="1"/>
  <c r="DS569" i="34"/>
  <c r="DU569" i="34"/>
  <c r="DV569" i="34"/>
  <c r="EA569" i="34"/>
  <c r="EB569" i="34"/>
  <c r="ED569" i="34" s="1" a="1"/>
  <c r="ED569" i="34" s="1"/>
  <c r="BS570" i="34"/>
  <c r="BT570" i="34"/>
  <c r="BV570" i="34" a="1"/>
  <c r="BV570" i="34" s="1"/>
  <c r="BW570" i="34" a="1"/>
  <c r="BW570" i="34" s="1"/>
  <c r="BY570" i="34"/>
  <c r="BZ570" i="34"/>
  <c r="CE570" i="34"/>
  <c r="CF570" i="34"/>
  <c r="CK570" i="34"/>
  <c r="CL570" i="34"/>
  <c r="CO570" i="34" s="1" a="1"/>
  <c r="CO570" i="34" s="1"/>
  <c r="CN570" i="34" a="1"/>
  <c r="CN570" i="34" s="1"/>
  <c r="CQ570" i="34" a="1"/>
  <c r="CQ570" i="34" s="1"/>
  <c r="CR570" i="34"/>
  <c r="CT570" i="34" a="1"/>
  <c r="CT570" i="34" s="1"/>
  <c r="CU570" i="34" a="1"/>
  <c r="CU570" i="34" s="1"/>
  <c r="CW570" i="34"/>
  <c r="CX570" i="34"/>
  <c r="CZ570" i="34" a="1"/>
  <c r="CZ570" i="34"/>
  <c r="DA570" i="34" a="1"/>
  <c r="DA570" i="34"/>
  <c r="DC570" i="34"/>
  <c r="DF570" i="34" s="1" a="1"/>
  <c r="DF570" i="34" s="1"/>
  <c r="DD570" i="34"/>
  <c r="DI570" i="34"/>
  <c r="DL570" i="34" s="1" a="1"/>
  <c r="DL570" i="34" s="1"/>
  <c r="DJ570" i="34"/>
  <c r="DO570" i="34"/>
  <c r="DP570" i="34"/>
  <c r="DR570" i="34" s="1" a="1"/>
  <c r="DR570" i="34" s="1"/>
  <c r="DU570" i="34"/>
  <c r="DV570" i="34"/>
  <c r="EA570" i="34"/>
  <c r="EB570" i="34"/>
  <c r="BS571" i="34"/>
  <c r="BV571" i="34" s="1" a="1"/>
  <c r="BV571" i="34" s="1"/>
  <c r="BT571" i="34"/>
  <c r="BW571" i="34" a="1"/>
  <c r="BW571" i="34" s="1"/>
  <c r="BY571" i="34"/>
  <c r="BZ571" i="34"/>
  <c r="CB571" i="34" a="1"/>
  <c r="CB571" i="34"/>
  <c r="CC571" i="34" a="1"/>
  <c r="CC571" i="34" s="1"/>
  <c r="CE571" i="34"/>
  <c r="CF571" i="34"/>
  <c r="CH571" i="34" a="1"/>
  <c r="CH571" i="34"/>
  <c r="CI571" i="34" a="1"/>
  <c r="CI571" i="34" s="1"/>
  <c r="CK571" i="34"/>
  <c r="CN571" i="34" s="1" a="1"/>
  <c r="CN571" i="34" s="1"/>
  <c r="CL571" i="34"/>
  <c r="CQ571" i="34" a="1"/>
  <c r="CQ571" i="34"/>
  <c r="CR571" i="34"/>
  <c r="CW571" i="34"/>
  <c r="CX571" i="34"/>
  <c r="CZ571" i="34" a="1"/>
  <c r="CZ571" i="34" s="1"/>
  <c r="DA571" i="34" a="1"/>
  <c r="DA571" i="34" s="1"/>
  <c r="DC571" i="34"/>
  <c r="DD571" i="34"/>
  <c r="DF571" i="34" a="1"/>
  <c r="DF571" i="34"/>
  <c r="DG571" i="34" a="1"/>
  <c r="DG571" i="34" s="1"/>
  <c r="DI571" i="34"/>
  <c r="DJ571" i="34"/>
  <c r="DL571" i="34" a="1"/>
  <c r="DL571" i="34"/>
  <c r="DM571" i="34" a="1"/>
  <c r="DM571" i="34" s="1"/>
  <c r="DO571" i="34"/>
  <c r="DP571" i="34"/>
  <c r="DU571" i="34"/>
  <c r="DV571" i="34"/>
  <c r="DX571" i="34" a="1"/>
  <c r="DX571" i="34" s="1"/>
  <c r="EA571" i="34"/>
  <c r="EB571" i="34"/>
  <c r="ED571" i="34" a="1"/>
  <c r="ED571" i="34"/>
  <c r="EE571" i="34" a="1"/>
  <c r="EE571" i="34" s="1"/>
  <c r="BS572" i="34"/>
  <c r="BT572" i="34"/>
  <c r="BY572" i="34"/>
  <c r="BZ572" i="34"/>
  <c r="CE572" i="34"/>
  <c r="CF572" i="34"/>
  <c r="CH572" i="34" a="1"/>
  <c r="CH572" i="34"/>
  <c r="CI572" i="34" a="1"/>
  <c r="CI572" i="34" s="1"/>
  <c r="CK572" i="34"/>
  <c r="CL572" i="34"/>
  <c r="CN572" i="34" a="1"/>
  <c r="CN572" i="34"/>
  <c r="CO572" i="34" a="1"/>
  <c r="CO572" i="34" s="1"/>
  <c r="CQ572" i="34" a="1"/>
  <c r="CQ572" i="34" s="1"/>
  <c r="CT572" i="34" s="1" a="1"/>
  <c r="CR572" i="34"/>
  <c r="CT572" i="34"/>
  <c r="CU572" i="34" a="1"/>
  <c r="CU572" i="34" s="1"/>
  <c r="CW572" i="34"/>
  <c r="CX572" i="34"/>
  <c r="CZ572" i="34" a="1"/>
  <c r="CZ572" i="34" s="1"/>
  <c r="DC572" i="34"/>
  <c r="DG572" i="34" s="1" a="1"/>
  <c r="DG572" i="34" s="1"/>
  <c r="DD572" i="34"/>
  <c r="DI572" i="34"/>
  <c r="DJ572" i="34"/>
  <c r="DM572" i="34" s="1" a="1"/>
  <c r="DM572" i="34" s="1"/>
  <c r="DL572" i="34" a="1"/>
  <c r="DL572" i="34" s="1"/>
  <c r="DO572" i="34"/>
  <c r="DP572" i="34"/>
  <c r="DU572" i="34"/>
  <c r="DV572" i="34"/>
  <c r="EA572" i="34"/>
  <c r="ED572" i="34" s="1" a="1"/>
  <c r="ED572" i="34" s="1"/>
  <c r="EB572" i="34"/>
  <c r="EE572" i="34" a="1"/>
  <c r="EE572" i="34" s="1"/>
  <c r="BS573" i="34"/>
  <c r="BT573" i="34"/>
  <c r="BV573" i="34" a="1"/>
  <c r="BV573" i="34" s="1"/>
  <c r="BW573" i="34" a="1"/>
  <c r="BW573" i="34" s="1"/>
  <c r="BY573" i="34"/>
  <c r="BZ573" i="34"/>
  <c r="CB573" i="34" a="1"/>
  <c r="CB573" i="34"/>
  <c r="CC573" i="34" a="1"/>
  <c r="CC573" i="34"/>
  <c r="CE573" i="34"/>
  <c r="CI573" i="34" s="1" a="1"/>
  <c r="CI573" i="34" s="1"/>
  <c r="CF573" i="34"/>
  <c r="CK573" i="34"/>
  <c r="CN573" i="34" s="1" a="1"/>
  <c r="CN573" i="34" s="1"/>
  <c r="CL573" i="34"/>
  <c r="CQ573" i="34" a="1"/>
  <c r="CQ573" i="34"/>
  <c r="CR573" i="34"/>
  <c r="CT573" i="34" s="1" a="1"/>
  <c r="CT573" i="34" s="1"/>
  <c r="CW573" i="34"/>
  <c r="CX573" i="34"/>
  <c r="CZ573" i="34" a="1"/>
  <c r="CZ573" i="34" s="1"/>
  <c r="DA573" i="34" a="1"/>
  <c r="DA573" i="34" s="1"/>
  <c r="DC573" i="34"/>
  <c r="DD573" i="34"/>
  <c r="DF573" i="34" a="1"/>
  <c r="DF573" i="34"/>
  <c r="DG573" i="34" a="1"/>
  <c r="DG573" i="34"/>
  <c r="DI573" i="34"/>
  <c r="DJ573" i="34"/>
  <c r="DO573" i="34"/>
  <c r="DR573" i="34" s="1" a="1"/>
  <c r="DR573" i="34" s="1"/>
  <c r="DP573" i="34"/>
  <c r="DU573" i="34"/>
  <c r="DV573" i="34"/>
  <c r="DX573" i="34" a="1"/>
  <c r="DX573" i="34" s="1"/>
  <c r="DY573" i="34" a="1"/>
  <c r="DY573" i="34" s="1"/>
  <c r="EA573" i="34"/>
  <c r="EB573" i="34"/>
  <c r="EE573" i="34" s="1" a="1"/>
  <c r="EE573" i="34" s="1"/>
  <c r="BS574" i="34"/>
  <c r="BT574" i="34"/>
  <c r="BY574" i="34"/>
  <c r="CB574" i="34" s="1" a="1"/>
  <c r="CB574" i="34" s="1"/>
  <c r="BZ574" i="34"/>
  <c r="CE574" i="34"/>
  <c r="CF574" i="34"/>
  <c r="CH574" i="34" a="1"/>
  <c r="CH574" i="34" s="1"/>
  <c r="CI574" i="34" a="1"/>
  <c r="CI574" i="34"/>
  <c r="CK574" i="34"/>
  <c r="CL574" i="34"/>
  <c r="CN574" i="34" a="1"/>
  <c r="CN574" i="34"/>
  <c r="CO574" i="34" a="1"/>
  <c r="CO574" i="34"/>
  <c r="CQ574" i="34" a="1"/>
  <c r="CQ574" i="34" s="1"/>
  <c r="CR574" i="34"/>
  <c r="CW574" i="34"/>
  <c r="DA574" i="34" s="1" a="1"/>
  <c r="DA574" i="34" s="1"/>
  <c r="CX574" i="34"/>
  <c r="DC574" i="34"/>
  <c r="DD574" i="34"/>
  <c r="DG574" i="34" s="1" a="1"/>
  <c r="DG574" i="34" s="1"/>
  <c r="DF574" i="34" a="1"/>
  <c r="DF574" i="34" s="1"/>
  <c r="DI574" i="34"/>
  <c r="DL574" i="34" s="1" a="1"/>
  <c r="DL574" i="34" s="1"/>
  <c r="DJ574" i="34"/>
  <c r="DO574" i="34"/>
  <c r="DP574" i="34"/>
  <c r="DU574" i="34"/>
  <c r="DV574" i="34"/>
  <c r="DX574" i="34" a="1"/>
  <c r="DX574" i="34"/>
  <c r="DY574" i="34" a="1"/>
  <c r="DY574" i="34" s="1"/>
  <c r="EA574" i="34"/>
  <c r="EB574" i="34"/>
  <c r="ED574" i="34" a="1"/>
  <c r="ED574" i="34"/>
  <c r="EE574" i="34" a="1"/>
  <c r="EE574" i="34" s="1"/>
  <c r="BS575" i="34"/>
  <c r="BT575" i="34"/>
  <c r="BV575" i="34" a="1"/>
  <c r="BV575" i="34" s="1"/>
  <c r="BW575" i="34" a="1"/>
  <c r="BW575" i="34"/>
  <c r="BY575" i="34"/>
  <c r="CC575" i="34" s="1" a="1"/>
  <c r="BZ575" i="34"/>
  <c r="CB575" i="34" a="1"/>
  <c r="CB575" i="34" s="1"/>
  <c r="CC575" i="34"/>
  <c r="CE575" i="34"/>
  <c r="CF575" i="34"/>
  <c r="CK575" i="34"/>
  <c r="CL575" i="34"/>
  <c r="CO575" i="34" s="1" a="1"/>
  <c r="CO575" i="34" s="1"/>
  <c r="CN575" i="34" a="1"/>
  <c r="CN575" i="34" s="1"/>
  <c r="CQ575" i="34" a="1"/>
  <c r="CQ575" i="34" s="1"/>
  <c r="CR575" i="34"/>
  <c r="CT575" i="34" a="1"/>
  <c r="CT575" i="34" s="1"/>
  <c r="CU575" i="34" a="1"/>
  <c r="CU575" i="34"/>
  <c r="CW575" i="34"/>
  <c r="CX575" i="34"/>
  <c r="CZ575" i="34" a="1"/>
  <c r="CZ575" i="34"/>
  <c r="DA575" i="34" a="1"/>
  <c r="DA575" i="34"/>
  <c r="DC575" i="34"/>
  <c r="DG575" i="34" s="1" a="1"/>
  <c r="DG575" i="34" s="1"/>
  <c r="DD575" i="34"/>
  <c r="DI575" i="34"/>
  <c r="DJ575" i="34"/>
  <c r="DL575" i="34" a="1"/>
  <c r="DL575" i="34" s="1"/>
  <c r="DO575" i="34"/>
  <c r="DP575" i="34"/>
  <c r="DR575" i="34" a="1"/>
  <c r="DR575" i="34"/>
  <c r="DS575" i="34" a="1"/>
  <c r="DS575" i="34" s="1"/>
  <c r="DU575" i="34"/>
  <c r="DV575" i="34"/>
  <c r="DY575" i="34" a="1"/>
  <c r="DY575" i="34" s="1"/>
  <c r="EA575" i="34"/>
  <c r="EE575" i="34" s="1" a="1"/>
  <c r="EE575" i="34" s="1"/>
  <c r="EB575" i="34"/>
  <c r="BS576" i="34"/>
  <c r="BV576" i="34" s="1" a="1"/>
  <c r="BV576" i="34" s="1"/>
  <c r="BT576" i="34"/>
  <c r="BW576" i="34" a="1"/>
  <c r="BW576" i="34" s="1"/>
  <c r="BY576" i="34"/>
  <c r="BZ576" i="34"/>
  <c r="CB576" i="34" a="1"/>
  <c r="CB576" i="34"/>
  <c r="CC576" i="34" a="1"/>
  <c r="CC576" i="34" s="1"/>
  <c r="CE576" i="34"/>
  <c r="CF576" i="34"/>
  <c r="CH576" i="34" a="1"/>
  <c r="CH576" i="34"/>
  <c r="CI576" i="34" a="1"/>
  <c r="CI576" i="34" s="1"/>
  <c r="CK576" i="34"/>
  <c r="CL576" i="34"/>
  <c r="CN576" i="34" a="1"/>
  <c r="CN576" i="34" s="1"/>
  <c r="CQ576" i="34" a="1"/>
  <c r="CQ576" i="34" s="1"/>
  <c r="CR576" i="34"/>
  <c r="CW576" i="34"/>
  <c r="CZ576" i="34" s="1" a="1"/>
  <c r="CZ576" i="34" s="1"/>
  <c r="CX576" i="34"/>
  <c r="DA576" i="34" a="1"/>
  <c r="DA576" i="34"/>
  <c r="DC576" i="34"/>
  <c r="DF576" i="34" s="1" a="1"/>
  <c r="DF576" i="34" s="1"/>
  <c r="DD576" i="34"/>
  <c r="DG576" i="34" a="1"/>
  <c r="DG576" i="34"/>
  <c r="DI576" i="34"/>
  <c r="DL576" i="34" s="1" a="1"/>
  <c r="DL576" i="34" s="1"/>
  <c r="DJ576" i="34"/>
  <c r="DO576" i="34"/>
  <c r="DR576" i="34" s="1" a="1"/>
  <c r="DR576" i="34" s="1"/>
  <c r="DP576" i="34"/>
  <c r="DS576" i="34" a="1"/>
  <c r="DS576" i="34" s="1"/>
  <c r="DU576" i="34"/>
  <c r="DV576" i="34"/>
  <c r="DX576" i="34" s="1" a="1"/>
  <c r="DX576" i="34" s="1"/>
  <c r="DY576" i="34" a="1"/>
  <c r="DY576" i="34" s="1"/>
  <c r="EA576" i="34"/>
  <c r="EB576" i="34"/>
  <c r="ED576" i="34" s="1" a="1"/>
  <c r="ED576" i="34" s="1"/>
  <c r="BS577" i="34"/>
  <c r="BW577" i="34" s="1" a="1"/>
  <c r="BW577" i="34" s="1"/>
  <c r="BT577" i="34"/>
  <c r="BY577" i="34"/>
  <c r="CB577" i="34" s="1" a="1"/>
  <c r="CB577" i="34" s="1"/>
  <c r="BZ577" i="34"/>
  <c r="CE577" i="34"/>
  <c r="CF577" i="34"/>
  <c r="CH577" i="34" a="1"/>
  <c r="CH577" i="34" s="1"/>
  <c r="CK577" i="34"/>
  <c r="CN577" i="34" s="1" a="1"/>
  <c r="CN577" i="34" s="1"/>
  <c r="CL577" i="34"/>
  <c r="CQ577" i="34" a="1"/>
  <c r="CQ577" i="34" s="1"/>
  <c r="CR577" i="34"/>
  <c r="CT577" i="34" a="1"/>
  <c r="CT577" i="34" s="1"/>
  <c r="CU577" i="34" a="1"/>
  <c r="CU577" i="34"/>
  <c r="CW577" i="34"/>
  <c r="CX577" i="34"/>
  <c r="DC577" i="34"/>
  <c r="DD577" i="34"/>
  <c r="DF577" i="34" a="1"/>
  <c r="DF577" i="34" s="1"/>
  <c r="DI577" i="34"/>
  <c r="DL577" i="34" s="1" a="1"/>
  <c r="DL577" i="34" s="1"/>
  <c r="DJ577" i="34"/>
  <c r="DM577" i="34" a="1"/>
  <c r="DM577" i="34" s="1"/>
  <c r="DO577" i="34"/>
  <c r="DR577" i="34" s="1" a="1"/>
  <c r="DR577" i="34" s="1"/>
  <c r="DP577" i="34"/>
  <c r="DS577" i="34" a="1"/>
  <c r="DS577" i="34" s="1"/>
  <c r="DU577" i="34"/>
  <c r="DX577" i="34" s="1" a="1"/>
  <c r="DX577" i="34" s="1"/>
  <c r="DV577" i="34"/>
  <c r="EA577" i="34"/>
  <c r="ED577" i="34" s="1" a="1"/>
  <c r="ED577" i="34" s="1"/>
  <c r="EB577" i="34"/>
  <c r="BS578" i="34"/>
  <c r="BT578" i="34"/>
  <c r="BV578" i="34" a="1"/>
  <c r="BV578" i="34" s="1"/>
  <c r="BW578" i="34" a="1"/>
  <c r="BW578" i="34"/>
  <c r="BY578" i="34"/>
  <c r="BZ578" i="34"/>
  <c r="CB578" i="34" a="1"/>
  <c r="CB578" i="34"/>
  <c r="CC578" i="34" a="1"/>
  <c r="CC578" i="34" s="1"/>
  <c r="CE578" i="34"/>
  <c r="CI578" i="34" s="1" a="1"/>
  <c r="CI578" i="34" s="1"/>
  <c r="CF578" i="34"/>
  <c r="CK578" i="34"/>
  <c r="CO578" i="34" s="1" a="1"/>
  <c r="CO578" i="34" s="1"/>
  <c r="CL578" i="34"/>
  <c r="CQ578" i="34" a="1"/>
  <c r="CQ578" i="34" s="1"/>
  <c r="CR578" i="34"/>
  <c r="CW578" i="34"/>
  <c r="CZ578" i="34" s="1" a="1"/>
  <c r="CZ578" i="34" s="1"/>
  <c r="CX578" i="34"/>
  <c r="DC578" i="34"/>
  <c r="DF578" i="34" s="1" a="1"/>
  <c r="DF578" i="34" s="1"/>
  <c r="DD578" i="34"/>
  <c r="DI578" i="34"/>
  <c r="DJ578" i="34"/>
  <c r="DO578" i="34"/>
  <c r="DP578" i="34"/>
  <c r="DR578" i="34" s="1" a="1"/>
  <c r="DR578" i="34" s="1"/>
  <c r="DU578" i="34"/>
  <c r="DV578" i="34"/>
  <c r="DX578" i="34" s="1" a="1"/>
  <c r="DX578" i="34" s="1"/>
  <c r="EA578" i="34"/>
  <c r="EB578" i="34"/>
  <c r="BS579" i="34"/>
  <c r="BV579" i="34" s="1" a="1"/>
  <c r="BV579" i="34" s="1"/>
  <c r="BT579" i="34"/>
  <c r="BY579" i="34"/>
  <c r="BZ579" i="34"/>
  <c r="CB579" i="34" a="1"/>
  <c r="CB579" i="34"/>
  <c r="CC579" i="34" a="1"/>
  <c r="CC579" i="34" s="1"/>
  <c r="CE579" i="34"/>
  <c r="CH579" i="34" s="1" a="1"/>
  <c r="CF579" i="34"/>
  <c r="CH579" i="34"/>
  <c r="CI579" i="34" a="1"/>
  <c r="CI579" i="34" s="1"/>
  <c r="CK579" i="34"/>
  <c r="CN579" i="34" s="1" a="1"/>
  <c r="CL579" i="34"/>
  <c r="CN579" i="34"/>
  <c r="CO579" i="34" a="1"/>
  <c r="CO579" i="34" s="1"/>
  <c r="CQ579" i="34" a="1"/>
  <c r="CQ579" i="34" s="1"/>
  <c r="CR579" i="34"/>
  <c r="CW579" i="34"/>
  <c r="DA579" i="34" s="1" a="1"/>
  <c r="DA579" i="34" s="1"/>
  <c r="CX579" i="34"/>
  <c r="CZ579" i="34" a="1"/>
  <c r="CZ579" i="34" s="1"/>
  <c r="DC579" i="34"/>
  <c r="DF579" i="34" s="1" a="1"/>
  <c r="DF579" i="34" s="1"/>
  <c r="DD579" i="34"/>
  <c r="DG579" i="34" a="1"/>
  <c r="DG579" i="34" s="1"/>
  <c r="DI579" i="34"/>
  <c r="DL579" i="34" s="1" a="1"/>
  <c r="DL579" i="34" s="1"/>
  <c r="DJ579" i="34"/>
  <c r="DM579" i="34" a="1"/>
  <c r="DM579" i="34"/>
  <c r="DO579" i="34"/>
  <c r="DR579" i="34" s="1" a="1"/>
  <c r="DP579" i="34"/>
  <c r="DR579" i="34"/>
  <c r="DS579" i="34" a="1"/>
  <c r="DS579" i="34" s="1"/>
  <c r="DU579" i="34"/>
  <c r="DV579" i="34"/>
  <c r="DX579" i="34" a="1"/>
  <c r="DX579" i="34"/>
  <c r="DY579" i="34" a="1"/>
  <c r="DY579" i="34" s="1"/>
  <c r="EA579" i="34"/>
  <c r="EB579" i="34"/>
  <c r="ED579" i="34" a="1"/>
  <c r="ED579" i="34"/>
  <c r="EE579" i="34" a="1"/>
  <c r="EE579" i="34" s="1"/>
  <c r="BS580" i="34"/>
  <c r="BW580" i="34" s="1" a="1"/>
  <c r="BW580" i="34" s="1"/>
  <c r="BT580" i="34"/>
  <c r="BV580" i="34" s="1" a="1"/>
  <c r="BV580" i="34" s="1"/>
  <c r="BY580" i="34"/>
  <c r="CB580" i="34" s="1" a="1"/>
  <c r="CB580" i="34" s="1"/>
  <c r="BZ580" i="34"/>
  <c r="CE580" i="34"/>
  <c r="CH580" i="34" s="1" a="1"/>
  <c r="CH580" i="34" s="1"/>
  <c r="CF580" i="34"/>
  <c r="CK580" i="34"/>
  <c r="CL580" i="34"/>
  <c r="CQ580" i="34" a="1"/>
  <c r="CQ580" i="34" s="1"/>
  <c r="CR580" i="34"/>
  <c r="CW580" i="34"/>
  <c r="CX580" i="34"/>
  <c r="CZ580" i="34" a="1"/>
  <c r="CZ580" i="34"/>
  <c r="DA580" i="34" a="1"/>
  <c r="DA580" i="34" s="1"/>
  <c r="DC580" i="34"/>
  <c r="DD580" i="34"/>
  <c r="DG580" i="34" s="1" a="1"/>
  <c r="DG580" i="34" s="1"/>
  <c r="DF580" i="34" a="1"/>
  <c r="DF580" i="34" s="1"/>
  <c r="DI580" i="34"/>
  <c r="DJ580" i="34"/>
  <c r="DM580" i="34" s="1" a="1"/>
  <c r="DM580" i="34" s="1"/>
  <c r="DL580" i="34" a="1"/>
  <c r="DL580" i="34" s="1"/>
  <c r="DO580" i="34"/>
  <c r="DP580" i="34"/>
  <c r="DU580" i="34"/>
  <c r="DX580" i="34" s="1" a="1"/>
  <c r="DX580" i="34" s="1"/>
  <c r="DV580" i="34"/>
  <c r="EA580" i="34"/>
  <c r="ED580" i="34" s="1" a="1"/>
  <c r="ED580" i="34" s="1"/>
  <c r="EB580" i="34"/>
  <c r="EE580" i="34" a="1"/>
  <c r="EE580" i="34"/>
  <c r="BS581" i="34"/>
  <c r="BV581" i="34" s="1" a="1"/>
  <c r="BV581" i="34" s="1"/>
  <c r="BT581" i="34"/>
  <c r="BW581" i="34" a="1"/>
  <c r="BW581" i="34" s="1"/>
  <c r="BY581" i="34"/>
  <c r="CB581" i="34" s="1" a="1"/>
  <c r="CB581" i="34" s="1"/>
  <c r="BZ581" i="34"/>
  <c r="CC581" i="34" a="1"/>
  <c r="CC581" i="34" s="1"/>
  <c r="CE581" i="34"/>
  <c r="CF581" i="34"/>
  <c r="CH581" i="34" a="1"/>
  <c r="CH581" i="34" s="1"/>
  <c r="CI581" i="34" a="1"/>
  <c r="CI581" i="34" s="1"/>
  <c r="CK581" i="34"/>
  <c r="CL581" i="34"/>
  <c r="CO581" i="34" s="1" a="1"/>
  <c r="CO581" i="34" s="1"/>
  <c r="CN581" i="34" a="1"/>
  <c r="CN581" i="34" s="1"/>
  <c r="CQ581" i="34" a="1"/>
  <c r="CQ581" i="34"/>
  <c r="CT581" i="34" s="1" a="1"/>
  <c r="CT581" i="34" s="1"/>
  <c r="CR581" i="34"/>
  <c r="CW581" i="34"/>
  <c r="CX581" i="34"/>
  <c r="DC581" i="34"/>
  <c r="DF581" i="34" s="1" a="1"/>
  <c r="DF581" i="34" s="1"/>
  <c r="DD581" i="34"/>
  <c r="DG581" i="34" a="1"/>
  <c r="DG581" i="34"/>
  <c r="DI581" i="34"/>
  <c r="DL581" i="34" s="1" a="1"/>
  <c r="DL581" i="34" s="1"/>
  <c r="DJ581" i="34"/>
  <c r="DM581" i="34" a="1"/>
  <c r="DM581" i="34" s="1"/>
  <c r="DO581" i="34"/>
  <c r="DP581" i="34"/>
  <c r="DR581" i="34" a="1"/>
  <c r="DR581" i="34"/>
  <c r="DS581" i="34" a="1"/>
  <c r="DS581" i="34" s="1"/>
  <c r="DU581" i="34"/>
  <c r="DV581" i="34"/>
  <c r="DX581" i="34" a="1"/>
  <c r="DX581" i="34"/>
  <c r="DY581" i="34" a="1"/>
  <c r="DY581" i="34" s="1"/>
  <c r="EA581" i="34"/>
  <c r="EE581" i="34" s="1" a="1"/>
  <c r="EE581" i="34" s="1"/>
  <c r="EB581" i="34"/>
  <c r="ED581" i="34" a="1"/>
  <c r="ED581" i="34" s="1"/>
  <c r="BS582" i="34"/>
  <c r="BV582" i="34" s="1" a="1"/>
  <c r="BV582" i="34" s="1"/>
  <c r="BT582" i="34"/>
  <c r="BY582" i="34"/>
  <c r="CB582" i="34" s="1" a="1"/>
  <c r="CB582" i="34" s="1"/>
  <c r="BZ582" i="34"/>
  <c r="CE582" i="34"/>
  <c r="CF582" i="34"/>
  <c r="CK582" i="34"/>
  <c r="CN582" i="34" s="1" a="1"/>
  <c r="CN582" i="34" s="1"/>
  <c r="CL582" i="34"/>
  <c r="CO582" i="34" a="1"/>
  <c r="CO582" i="34"/>
  <c r="CQ582" i="34" a="1"/>
  <c r="CQ582" i="34" s="1"/>
  <c r="CU582" i="34" s="1" a="1"/>
  <c r="CU582" i="34" s="1"/>
  <c r="CR582" i="34"/>
  <c r="CT582" i="34" a="1"/>
  <c r="CT582" i="34" s="1"/>
  <c r="CW582" i="34"/>
  <c r="CX582" i="34"/>
  <c r="DA582" i="34" s="1" a="1"/>
  <c r="DA582" i="34" s="1"/>
  <c r="CZ582" i="34" a="1"/>
  <c r="CZ582" i="34" s="1"/>
  <c r="DC582" i="34"/>
  <c r="DD582" i="34"/>
  <c r="DG582" i="34" s="1" a="1"/>
  <c r="DG582" i="34" s="1"/>
  <c r="DF582" i="34" a="1"/>
  <c r="DF582" i="34" s="1"/>
  <c r="DI582" i="34"/>
  <c r="DJ582" i="34"/>
  <c r="DO582" i="34"/>
  <c r="DR582" i="34" s="1" a="1"/>
  <c r="DR582" i="34" s="1"/>
  <c r="DP582" i="34"/>
  <c r="DU582" i="34"/>
  <c r="DX582" i="34" s="1" a="1"/>
  <c r="DX582" i="34" s="1"/>
  <c r="DV582" i="34"/>
  <c r="DY582" i="34" a="1"/>
  <c r="DY582" i="34" s="1"/>
  <c r="EA582" i="34"/>
  <c r="ED582" i="34" s="1" a="1"/>
  <c r="ED582" i="34" s="1"/>
  <c r="EB582" i="34"/>
  <c r="EE582" i="34" a="1"/>
  <c r="EE582" i="34" s="1"/>
  <c r="BS583" i="34"/>
  <c r="BV583" i="34" s="1" a="1"/>
  <c r="BV583" i="34" s="1"/>
  <c r="BT583" i="34"/>
  <c r="BW583" i="34" a="1"/>
  <c r="BW583" i="34" s="1"/>
  <c r="BY583" i="34"/>
  <c r="BZ583" i="34"/>
  <c r="CB583" i="34" a="1"/>
  <c r="CB583" i="34"/>
  <c r="CC583" i="34" a="1"/>
  <c r="CC583" i="34" s="1"/>
  <c r="CE583" i="34"/>
  <c r="CF583" i="34"/>
  <c r="CI583" i="34" s="1" a="1"/>
  <c r="CI583" i="34" s="1"/>
  <c r="CH583" i="34" a="1"/>
  <c r="CH583" i="34" s="1"/>
  <c r="CK583" i="34"/>
  <c r="CL583" i="34"/>
  <c r="CO583" i="34" s="1" a="1"/>
  <c r="CO583" i="34" s="1"/>
  <c r="CN583" i="34" a="1"/>
  <c r="CN583" i="34" s="1"/>
  <c r="CQ583" i="34" a="1"/>
  <c r="CQ583" i="34"/>
  <c r="CR583" i="34"/>
  <c r="CW583" i="34"/>
  <c r="CZ583" i="34" s="1" a="1"/>
  <c r="CZ583" i="34" s="1"/>
  <c r="CX583" i="34"/>
  <c r="DA583" i="34" a="1"/>
  <c r="DA583" i="34"/>
  <c r="DC583" i="34"/>
  <c r="DF583" i="34" s="1" a="1"/>
  <c r="DD583" i="34"/>
  <c r="DF583" i="34"/>
  <c r="DG583" i="34" a="1"/>
  <c r="DG583" i="34" s="1"/>
  <c r="DI583" i="34"/>
  <c r="DJ583" i="34"/>
  <c r="DL583" i="34" a="1"/>
  <c r="DL583" i="34"/>
  <c r="DM583" i="34" a="1"/>
  <c r="DM583" i="34" s="1"/>
  <c r="DO583" i="34"/>
  <c r="DP583" i="34"/>
  <c r="DR583" i="34" a="1"/>
  <c r="DR583" i="34"/>
  <c r="DS583" i="34" a="1"/>
  <c r="DS583" i="34" s="1"/>
  <c r="DU583" i="34"/>
  <c r="DV583" i="34"/>
  <c r="DX583" i="34" s="1" a="1"/>
  <c r="DX583" i="34" s="1"/>
  <c r="EA583" i="34"/>
  <c r="ED583" i="34" s="1" a="1"/>
  <c r="ED583" i="34" s="1"/>
  <c r="EB583" i="34"/>
  <c r="BS584" i="34"/>
  <c r="BV584" i="34" s="1" a="1"/>
  <c r="BV584" i="34" s="1"/>
  <c r="BT584" i="34"/>
  <c r="BY584" i="34"/>
  <c r="BZ584" i="34"/>
  <c r="CE584" i="34"/>
  <c r="CH584" i="34" s="1" a="1"/>
  <c r="CH584" i="34" s="1"/>
  <c r="CF584" i="34"/>
  <c r="CI584" i="34" a="1"/>
  <c r="CI584" i="34"/>
  <c r="CK584" i="34"/>
  <c r="CN584" i="34" s="1" a="1"/>
  <c r="CN584" i="34" s="1"/>
  <c r="CL584" i="34"/>
  <c r="CO584" i="34" a="1"/>
  <c r="CO584" i="34" s="1"/>
  <c r="CQ584" i="34" a="1"/>
  <c r="CQ584" i="34"/>
  <c r="CR584" i="34"/>
  <c r="CU584" i="34" s="1" a="1"/>
  <c r="CU584" i="34" s="1"/>
  <c r="CT584" i="34" a="1"/>
  <c r="CT584" i="34" s="1"/>
  <c r="CW584" i="34"/>
  <c r="CX584" i="34"/>
  <c r="DA584" i="34" s="1" a="1"/>
  <c r="DA584" i="34" s="1"/>
  <c r="CZ584" i="34" a="1"/>
  <c r="CZ584" i="34" s="1"/>
  <c r="DC584" i="34"/>
  <c r="DD584" i="34"/>
  <c r="DI584" i="34"/>
  <c r="DL584" i="34" s="1" a="1"/>
  <c r="DL584" i="34" s="1"/>
  <c r="DJ584" i="34"/>
  <c r="DO584" i="34"/>
  <c r="DR584" i="34" s="1" a="1"/>
  <c r="DR584" i="34" s="1"/>
  <c r="DP584" i="34"/>
  <c r="DS584" i="34" a="1"/>
  <c r="DS584" i="34"/>
  <c r="DU584" i="34"/>
  <c r="DX584" i="34" s="1" a="1"/>
  <c r="DX584" i="34" s="1"/>
  <c r="DV584" i="34"/>
  <c r="DY584" i="34" a="1"/>
  <c r="DY584" i="34" s="1"/>
  <c r="EA584" i="34"/>
  <c r="ED584" i="34" s="1" a="1"/>
  <c r="ED584" i="34" s="1"/>
  <c r="EB584" i="34"/>
  <c r="EE584" i="34" a="1"/>
  <c r="EE584" i="34" s="1"/>
  <c r="BS585" i="34"/>
  <c r="BT585" i="34"/>
  <c r="BV585" i="34" a="1"/>
  <c r="BV585" i="34"/>
  <c r="BW585" i="34" a="1"/>
  <c r="BW585" i="34" s="1"/>
  <c r="BY585" i="34"/>
  <c r="BZ585" i="34"/>
  <c r="CC585" i="34" s="1" a="1"/>
  <c r="CC585" i="34" s="1"/>
  <c r="CB585" i="34" a="1"/>
  <c r="CB585" i="34" s="1"/>
  <c r="CE585" i="34"/>
  <c r="CF585" i="34"/>
  <c r="CI585" i="34" s="1" a="1"/>
  <c r="CI585" i="34" s="1"/>
  <c r="CH585" i="34" a="1"/>
  <c r="CH585" i="34" s="1"/>
  <c r="CK585" i="34"/>
  <c r="CL585" i="34"/>
  <c r="CQ585" i="34" a="1"/>
  <c r="CQ585" i="34" s="1"/>
  <c r="CR585" i="34"/>
  <c r="CW585" i="34"/>
  <c r="CZ585" i="34" s="1" a="1"/>
  <c r="CX585" i="34"/>
  <c r="CZ585" i="34"/>
  <c r="DA585" i="34" a="1"/>
  <c r="DA585" i="34" s="1"/>
  <c r="DC585" i="34"/>
  <c r="DD585" i="34"/>
  <c r="DF585" i="34" a="1"/>
  <c r="DF585" i="34"/>
  <c r="DG585" i="34" a="1"/>
  <c r="DG585" i="34" s="1"/>
  <c r="DI585" i="34"/>
  <c r="DJ585" i="34"/>
  <c r="DL585" i="34" a="1"/>
  <c r="DL585" i="34"/>
  <c r="DM585" i="34" a="1"/>
  <c r="DM585" i="34" s="1"/>
  <c r="DO585" i="34"/>
  <c r="DS585" i="34" s="1" a="1"/>
  <c r="DS585" i="34" s="1"/>
  <c r="DP585" i="34"/>
  <c r="DR585" i="34" s="1" a="1"/>
  <c r="DR585" i="34" s="1"/>
  <c r="DU585" i="34"/>
  <c r="DX585" i="34" s="1" a="1"/>
  <c r="DX585" i="34" s="1"/>
  <c r="DV585" i="34"/>
  <c r="EA585" i="34"/>
  <c r="ED585" i="34" s="1" a="1"/>
  <c r="ED585" i="34" s="1"/>
  <c r="EB585" i="34"/>
  <c r="BS586" i="34"/>
  <c r="BT586" i="34"/>
  <c r="BY586" i="34"/>
  <c r="CB586" i="34" s="1" a="1"/>
  <c r="CB586" i="34" s="1"/>
  <c r="BZ586" i="34"/>
  <c r="CC586" i="34" a="1"/>
  <c r="CC586" i="34"/>
  <c r="CE586" i="34"/>
  <c r="CH586" i="34" s="1" a="1"/>
  <c r="CF586" i="34"/>
  <c r="CH586" i="34"/>
  <c r="CI586" i="34" a="1"/>
  <c r="CI586" i="34" s="1"/>
  <c r="CK586" i="34"/>
  <c r="CL586" i="34"/>
  <c r="CN586" i="34" a="1"/>
  <c r="CN586" i="34"/>
  <c r="CO586" i="34" a="1"/>
  <c r="CO586" i="34" s="1"/>
  <c r="CQ586" i="34" a="1"/>
  <c r="CQ586" i="34" s="1"/>
  <c r="CR586" i="34"/>
  <c r="CW586" i="34"/>
  <c r="CX586" i="34"/>
  <c r="DC586" i="34"/>
  <c r="DF586" i="34" s="1" a="1"/>
  <c r="DF586" i="34" s="1"/>
  <c r="DD586" i="34"/>
  <c r="DI586" i="34"/>
  <c r="DL586" i="34" s="1" a="1"/>
  <c r="DL586" i="34" s="1"/>
  <c r="DJ586" i="34"/>
  <c r="DM586" i="34" a="1"/>
  <c r="DM586" i="34"/>
  <c r="DO586" i="34"/>
  <c r="DR586" i="34" s="1" a="1"/>
  <c r="DR586" i="34" s="1"/>
  <c r="DP586" i="34"/>
  <c r="DS586" i="34" a="1"/>
  <c r="DS586" i="34" s="1"/>
  <c r="DU586" i="34"/>
  <c r="DX586" i="34" s="1" a="1"/>
  <c r="DX586" i="34" s="1"/>
  <c r="DV586" i="34"/>
  <c r="DY586" i="34" a="1"/>
  <c r="DY586" i="34" s="1"/>
  <c r="EA586" i="34"/>
  <c r="EB586" i="34"/>
  <c r="ED586" i="34" a="1"/>
  <c r="ED586" i="34" s="1"/>
  <c r="EE586" i="34" a="1"/>
  <c r="EE586" i="34" s="1"/>
  <c r="BS587" i="34"/>
  <c r="BT587" i="34"/>
  <c r="BW587" i="34" s="1" a="1"/>
  <c r="BW587" i="34" s="1"/>
  <c r="BV587" i="34" a="1"/>
  <c r="BV587" i="34" s="1"/>
  <c r="BY587" i="34"/>
  <c r="BZ587" i="34"/>
  <c r="CC587" i="34" s="1" a="1"/>
  <c r="CC587" i="34" s="1"/>
  <c r="CB587" i="34" a="1"/>
  <c r="CB587" i="34" s="1"/>
  <c r="CE587" i="34"/>
  <c r="CF587" i="34"/>
  <c r="CK587" i="34"/>
  <c r="CN587" i="34" s="1" a="1"/>
  <c r="CN587" i="34" s="1"/>
  <c r="CL587" i="34"/>
  <c r="CQ587" i="34" a="1"/>
  <c r="CQ587" i="34" s="1"/>
  <c r="CT587" i="34" s="1" a="1"/>
  <c r="CR587" i="34"/>
  <c r="CT587" i="34"/>
  <c r="CU587" i="34" a="1"/>
  <c r="CU587" i="34" s="1"/>
  <c r="CW587" i="34"/>
  <c r="CX587" i="34"/>
  <c r="CZ587" i="34" a="1"/>
  <c r="CZ587" i="34"/>
  <c r="DA587" i="34" a="1"/>
  <c r="DA587" i="34" s="1"/>
  <c r="DC587" i="34"/>
  <c r="DD587" i="34"/>
  <c r="DF587" i="34" a="1"/>
  <c r="DF587" i="34"/>
  <c r="DG587" i="34" a="1"/>
  <c r="DG587" i="34" s="1"/>
  <c r="DI587" i="34"/>
  <c r="DM587" i="34" s="1" a="1"/>
  <c r="DM587" i="34" s="1"/>
  <c r="DJ587" i="34"/>
  <c r="DL587" i="34" a="1"/>
  <c r="DL587" i="34" s="1"/>
  <c r="DO587" i="34"/>
  <c r="DR587" i="34" s="1" a="1"/>
  <c r="DR587" i="34" s="1"/>
  <c r="DP587" i="34"/>
  <c r="DU587" i="34"/>
  <c r="DX587" i="34" s="1" a="1"/>
  <c r="DX587" i="34" s="1"/>
  <c r="DV587" i="34"/>
  <c r="EA587" i="34"/>
  <c r="EB587" i="34"/>
  <c r="BS588" i="34"/>
  <c r="BV588" i="34" s="1" a="1"/>
  <c r="BV588" i="34" s="1"/>
  <c r="BT588" i="34"/>
  <c r="BW588" i="34" a="1"/>
  <c r="BW588" i="34"/>
  <c r="BY588" i="34"/>
  <c r="CB588" i="34" s="1" a="1"/>
  <c r="BZ588" i="34"/>
  <c r="CB588" i="34"/>
  <c r="CC588" i="34" a="1"/>
  <c r="CC588" i="34" s="1"/>
  <c r="CE588" i="34"/>
  <c r="CF588" i="34"/>
  <c r="CH588" i="34" a="1"/>
  <c r="CH588" i="34" s="1"/>
  <c r="CI588" i="34" a="1"/>
  <c r="CI588" i="34" s="1"/>
  <c r="CK588" i="34"/>
  <c r="CL588" i="34"/>
  <c r="CN588" i="34" a="1"/>
  <c r="CN588" i="34"/>
  <c r="CO588" i="34" a="1"/>
  <c r="CO588" i="34" s="1"/>
  <c r="CQ588" i="34" a="1"/>
  <c r="CQ588" i="34"/>
  <c r="CR588" i="34"/>
  <c r="CW588" i="34"/>
  <c r="CZ588" i="34" s="1" a="1"/>
  <c r="CZ588" i="34" s="1"/>
  <c r="CX588" i="34"/>
  <c r="DC588" i="34"/>
  <c r="DF588" i="34" s="1" a="1"/>
  <c r="DF588" i="34" s="1"/>
  <c r="DD588" i="34"/>
  <c r="DG588" i="34" a="1"/>
  <c r="DG588" i="34" s="1"/>
  <c r="DI588" i="34"/>
  <c r="DL588" i="34" s="1" a="1"/>
  <c r="DL588" i="34" s="1"/>
  <c r="DJ588" i="34"/>
  <c r="DM588" i="34" a="1"/>
  <c r="DM588" i="34" s="1"/>
  <c r="DO588" i="34"/>
  <c r="DR588" i="34" s="1" a="1"/>
  <c r="DR588" i="34" s="1"/>
  <c r="DP588" i="34"/>
  <c r="DS588" i="34" a="1"/>
  <c r="DS588" i="34" s="1"/>
  <c r="DU588" i="34"/>
  <c r="DV588" i="34"/>
  <c r="DX588" i="34" a="1"/>
  <c r="DX588" i="34" s="1"/>
  <c r="DY588" i="34" a="1"/>
  <c r="DY588" i="34" s="1"/>
  <c r="EA588" i="34"/>
  <c r="EB588" i="34"/>
  <c r="ED588" i="34" s="1" a="1"/>
  <c r="ED588" i="34" s="1"/>
  <c r="BS589" i="34"/>
  <c r="BT589" i="34"/>
  <c r="BW589" i="34" s="1" a="1"/>
  <c r="BW589" i="34" s="1"/>
  <c r="BV589" i="34" a="1"/>
  <c r="BV589" i="34" s="1"/>
  <c r="BY589" i="34"/>
  <c r="BZ589" i="34"/>
  <c r="CE589" i="34"/>
  <c r="CH589" i="34" s="1" a="1"/>
  <c r="CH589" i="34" s="1"/>
  <c r="CF589" i="34"/>
  <c r="CK589" i="34"/>
  <c r="CN589" i="34" s="1" a="1"/>
  <c r="CN589" i="34" s="1"/>
  <c r="CL589" i="34"/>
  <c r="CO589" i="34" a="1"/>
  <c r="CO589" i="34" s="1"/>
  <c r="CQ589" i="34" a="1"/>
  <c r="CQ589" i="34" s="1"/>
  <c r="CR589" i="34"/>
  <c r="CW589" i="34"/>
  <c r="CX589" i="34"/>
  <c r="CZ589" i="34" a="1"/>
  <c r="CZ589" i="34"/>
  <c r="DA589" i="34" a="1"/>
  <c r="DA589" i="34" s="1"/>
  <c r="DC589" i="34"/>
  <c r="DD589" i="34"/>
  <c r="DF589" i="34" a="1"/>
  <c r="DF589" i="34" s="1"/>
  <c r="DI589" i="34"/>
  <c r="DL589" i="34" s="1" a="1"/>
  <c r="DL589" i="34" s="1"/>
  <c r="DJ589" i="34"/>
  <c r="DO589" i="34"/>
  <c r="DR589" i="34" s="1" a="1"/>
  <c r="DR589" i="34" s="1"/>
  <c r="DP589" i="34"/>
  <c r="DU589" i="34"/>
  <c r="DV589" i="34"/>
  <c r="EA589" i="34"/>
  <c r="ED589" i="34" s="1" a="1"/>
  <c r="ED589" i="34" s="1"/>
  <c r="EB589" i="34"/>
  <c r="EE589" i="34" a="1"/>
  <c r="EE589" i="34"/>
  <c r="BS590" i="34"/>
  <c r="BV590" i="34" s="1" a="1"/>
  <c r="BV590" i="34" s="1"/>
  <c r="BT590" i="34"/>
  <c r="BW590" i="34" a="1"/>
  <c r="BW590" i="34" s="1"/>
  <c r="BY590" i="34"/>
  <c r="BZ590" i="34"/>
  <c r="CB590" i="34" a="1"/>
  <c r="CB590" i="34" s="1"/>
  <c r="CC590" i="34" a="1"/>
  <c r="CC590" i="34" s="1"/>
  <c r="CE590" i="34"/>
  <c r="CF590" i="34"/>
  <c r="CH590" i="34" a="1"/>
  <c r="CH590" i="34" s="1"/>
  <c r="CI590" i="34" a="1"/>
  <c r="CI590" i="34" s="1"/>
  <c r="CK590" i="34"/>
  <c r="CO590" i="34" s="1" a="1"/>
  <c r="CO590" i="34" s="1"/>
  <c r="CL590" i="34"/>
  <c r="CN590" i="34" s="1" a="1"/>
  <c r="CN590" i="34" s="1"/>
  <c r="CQ590" i="34" a="1"/>
  <c r="CQ590" i="34" s="1"/>
  <c r="CR590" i="34"/>
  <c r="CW590" i="34"/>
  <c r="CZ590" i="34" s="1" a="1"/>
  <c r="CZ590" i="34" s="1"/>
  <c r="CX590" i="34"/>
  <c r="DA590" i="34" a="1"/>
  <c r="DA590" i="34"/>
  <c r="DC590" i="34"/>
  <c r="DF590" i="34" s="1" a="1"/>
  <c r="DF590" i="34" s="1"/>
  <c r="DD590" i="34"/>
  <c r="DG590" i="34" a="1"/>
  <c r="DG590" i="34" s="1"/>
  <c r="DI590" i="34"/>
  <c r="DL590" i="34" s="1" a="1"/>
  <c r="DL590" i="34" s="1"/>
  <c r="DJ590" i="34"/>
  <c r="DM590" i="34" a="1"/>
  <c r="DM590" i="34" s="1"/>
  <c r="DO590" i="34"/>
  <c r="DP590" i="34"/>
  <c r="DR590" i="34" a="1"/>
  <c r="DR590" i="34" s="1"/>
  <c r="DS590" i="34" a="1"/>
  <c r="DS590" i="34" s="1"/>
  <c r="DU590" i="34"/>
  <c r="DV590" i="34"/>
  <c r="DX590" i="34" s="1" a="1"/>
  <c r="DX590" i="34" s="1"/>
  <c r="EA590" i="34"/>
  <c r="EB590" i="34"/>
  <c r="EE590" i="34" s="1" a="1"/>
  <c r="EE590" i="34" s="1"/>
  <c r="ED590" i="34" a="1"/>
  <c r="ED590" i="34" s="1"/>
  <c r="BS591" i="34"/>
  <c r="BT591" i="34"/>
  <c r="BY591" i="34"/>
  <c r="CB591" i="34" s="1" a="1"/>
  <c r="CB591" i="34" s="1"/>
  <c r="BZ591" i="34"/>
  <c r="CE591" i="34"/>
  <c r="CH591" i="34" s="1" a="1"/>
  <c r="CH591" i="34" s="1"/>
  <c r="CF591" i="34"/>
  <c r="CI591" i="34" a="1"/>
  <c r="CI591" i="34" s="1"/>
  <c r="CK591" i="34"/>
  <c r="CN591" i="34" s="1" a="1"/>
  <c r="CN591" i="34" s="1"/>
  <c r="CL591" i="34"/>
  <c r="CO591" i="34" a="1"/>
  <c r="CO591" i="34" s="1"/>
  <c r="CQ591" i="34" a="1"/>
  <c r="CQ591" i="34" s="1"/>
  <c r="CR591" i="34"/>
  <c r="CW591" i="34"/>
  <c r="CX591" i="34"/>
  <c r="CZ591" i="34" a="1"/>
  <c r="CZ591" i="34" s="1"/>
  <c r="DC591" i="34"/>
  <c r="DF591" i="34" s="1" a="1"/>
  <c r="DF591" i="34" s="1"/>
  <c r="DD591" i="34"/>
  <c r="DI591" i="34"/>
  <c r="DL591" i="34" s="1" a="1"/>
  <c r="DL591" i="34" s="1"/>
  <c r="DJ591" i="34"/>
  <c r="DO591" i="34"/>
  <c r="DP591" i="34"/>
  <c r="DU591" i="34"/>
  <c r="DX591" i="34" s="1" a="1"/>
  <c r="DX591" i="34" s="1"/>
  <c r="DV591" i="34"/>
  <c r="DY591" i="34" a="1"/>
  <c r="DY591" i="34"/>
  <c r="EA591" i="34"/>
  <c r="ED591" i="34" s="1" a="1"/>
  <c r="ED591" i="34" s="1"/>
  <c r="EB591" i="34"/>
  <c r="EE591" i="34" a="1"/>
  <c r="EE591" i="34" s="1"/>
  <c r="BS592" i="34"/>
  <c r="BT592" i="34"/>
  <c r="BV592" i="34" a="1"/>
  <c r="BV592" i="34" s="1"/>
  <c r="BW592" i="34" a="1"/>
  <c r="BW592" i="34" s="1"/>
  <c r="BY592" i="34"/>
  <c r="BZ592" i="34"/>
  <c r="CB592" i="34" a="1"/>
  <c r="CB592" i="34" s="1"/>
  <c r="CC592" i="34" a="1"/>
  <c r="CC592" i="34" s="1"/>
  <c r="CE592" i="34"/>
  <c r="CI592" i="34" s="1" a="1"/>
  <c r="CI592" i="34" s="1"/>
  <c r="CF592" i="34"/>
  <c r="CH592" i="34" s="1" a="1"/>
  <c r="CH592" i="34" s="1"/>
  <c r="CK592" i="34"/>
  <c r="CN592" i="34" s="1" a="1"/>
  <c r="CN592" i="34" s="1"/>
  <c r="CL592" i="34"/>
  <c r="CQ592" i="34" a="1"/>
  <c r="CQ592" i="34" s="1"/>
  <c r="CT592" i="34" s="1" a="1"/>
  <c r="CT592" i="34" s="1"/>
  <c r="CR592" i="34"/>
  <c r="CU592" i="34" a="1"/>
  <c r="CU592" i="34" s="1"/>
  <c r="CW592" i="34"/>
  <c r="CZ592" i="34" s="1" a="1"/>
  <c r="CZ592" i="34" s="1"/>
  <c r="CX592" i="34"/>
  <c r="DA592" i="34" a="1"/>
  <c r="DA592" i="34" s="1"/>
  <c r="DC592" i="34"/>
  <c r="DF592" i="34" s="1" a="1"/>
  <c r="DF592" i="34" s="1"/>
  <c r="DD592" i="34"/>
  <c r="DG592" i="34" a="1"/>
  <c r="DG592" i="34" s="1"/>
  <c r="DI592" i="34"/>
  <c r="DJ592" i="34"/>
  <c r="DL592" i="34" a="1"/>
  <c r="DL592" i="34" s="1"/>
  <c r="DM592" i="34" a="1"/>
  <c r="DM592" i="34" s="1"/>
  <c r="DO592" i="34"/>
  <c r="DP592" i="34"/>
  <c r="DS592" i="34" s="1" a="1"/>
  <c r="DS592" i="34" s="1"/>
  <c r="DR592" i="34" a="1"/>
  <c r="DR592" i="34" s="1"/>
  <c r="DU592" i="34"/>
  <c r="DV592" i="34"/>
  <c r="DX592" i="34" s="1" a="1"/>
  <c r="DX592" i="34" s="1"/>
  <c r="EA592" i="34"/>
  <c r="EB592" i="34"/>
  <c r="BS593" i="34"/>
  <c r="BV593" i="34" s="1" a="1"/>
  <c r="BV593" i="34" s="1"/>
  <c r="BT593" i="34"/>
  <c r="BY593" i="34"/>
  <c r="CB593" i="34" s="1" a="1"/>
  <c r="CB593" i="34" s="1"/>
  <c r="BZ593" i="34"/>
  <c r="CC593" i="34" a="1"/>
  <c r="CC593" i="34"/>
  <c r="CE593" i="34"/>
  <c r="CH593" i="34" s="1" a="1"/>
  <c r="CH593" i="34" s="1"/>
  <c r="CF593" i="34"/>
  <c r="CI593" i="34" a="1"/>
  <c r="CI593" i="34" s="1"/>
  <c r="CK593" i="34"/>
  <c r="CN593" i="34" s="1" a="1"/>
  <c r="CN593" i="34" s="1"/>
  <c r="CL593" i="34"/>
  <c r="CO593" i="34" a="1"/>
  <c r="CO593" i="34" s="1"/>
  <c r="CQ593" i="34" a="1"/>
  <c r="CQ593" i="34" s="1"/>
  <c r="CT593" i="34" s="1" a="1"/>
  <c r="CT593" i="34" s="1"/>
  <c r="CR593" i="34"/>
  <c r="CW593" i="34"/>
  <c r="CZ593" i="34" s="1" a="1"/>
  <c r="CZ593" i="34" s="1"/>
  <c r="CX593" i="34"/>
  <c r="DC593" i="34"/>
  <c r="DF593" i="34" s="1" a="1"/>
  <c r="DF593" i="34" s="1"/>
  <c r="DD593" i="34"/>
  <c r="DI593" i="34"/>
  <c r="DJ593" i="34"/>
  <c r="DO593" i="34"/>
  <c r="DR593" i="34" s="1" a="1"/>
  <c r="DR593" i="34" s="1"/>
  <c r="DP593" i="34"/>
  <c r="DS593" i="34" a="1"/>
  <c r="DS593" i="34"/>
  <c r="DU593" i="34"/>
  <c r="DX593" i="34" s="1" a="1"/>
  <c r="DV593" i="34"/>
  <c r="DX593" i="34"/>
  <c r="DY593" i="34" a="1"/>
  <c r="DY593" i="34" s="1"/>
  <c r="EA593" i="34"/>
  <c r="EB593" i="34"/>
  <c r="ED593" i="34" a="1"/>
  <c r="ED593" i="34"/>
  <c r="EE593" i="34" a="1"/>
  <c r="EE593" i="34" s="1"/>
  <c r="BS594" i="34"/>
  <c r="BT594" i="34"/>
  <c r="BV594" i="34" a="1"/>
  <c r="BV594" i="34" s="1"/>
  <c r="BW594" i="34" a="1"/>
  <c r="BW594" i="34" s="1"/>
  <c r="BY594" i="34"/>
  <c r="BZ594" i="34"/>
  <c r="CB594" i="34" s="1" a="1"/>
  <c r="CB594" i="34" s="1"/>
  <c r="CE594" i="34"/>
  <c r="CH594" i="34" s="1" a="1"/>
  <c r="CH594" i="34" s="1"/>
  <c r="CF594" i="34"/>
  <c r="CK594" i="34"/>
  <c r="CN594" i="34" s="1" a="1"/>
  <c r="CN594" i="34" s="1"/>
  <c r="CL594" i="34"/>
  <c r="CQ594" i="34" a="1"/>
  <c r="CQ594" i="34" s="1"/>
  <c r="CR594" i="34"/>
  <c r="CW594" i="34"/>
  <c r="CZ594" i="34" s="1" a="1"/>
  <c r="CZ594" i="34" s="1"/>
  <c r="CX594" i="34"/>
  <c r="DA594" i="34" a="1"/>
  <c r="DA594" i="34" s="1"/>
  <c r="DC594" i="34"/>
  <c r="DD594" i="34"/>
  <c r="DF594" i="34" a="1"/>
  <c r="DF594" i="34" s="1"/>
  <c r="DG594" i="34" a="1"/>
  <c r="DG594" i="34" s="1"/>
  <c r="DI594" i="34"/>
  <c r="DJ594" i="34"/>
  <c r="DM594" i="34" s="1" a="1"/>
  <c r="DM594" i="34" s="1"/>
  <c r="DL594" i="34" a="1"/>
  <c r="DL594" i="34" s="1"/>
  <c r="DO594" i="34"/>
  <c r="DP594" i="34"/>
  <c r="DS594" i="34" s="1" a="1"/>
  <c r="DS594" i="34" s="1"/>
  <c r="DR594" i="34" a="1"/>
  <c r="DR594" i="34" s="1"/>
  <c r="DU594" i="34"/>
  <c r="DV594" i="34"/>
  <c r="EA594" i="34"/>
  <c r="ED594" i="34" s="1" a="1"/>
  <c r="ED594" i="34" s="1"/>
  <c r="EB594" i="34"/>
  <c r="BS595" i="34"/>
  <c r="BV595" i="34" s="1" a="1"/>
  <c r="BV595" i="34" s="1"/>
  <c r="BT595" i="34"/>
  <c r="BW595" i="34" a="1"/>
  <c r="BW595" i="34" s="1"/>
  <c r="BY595" i="34"/>
  <c r="CB595" i="34" s="1" a="1"/>
  <c r="CB595" i="34" s="1"/>
  <c r="BZ595" i="34"/>
  <c r="CC595" i="34" a="1"/>
  <c r="CC595" i="34" s="1"/>
  <c r="CE595" i="34"/>
  <c r="CH595" i="34" s="1" a="1"/>
  <c r="CH595" i="34" s="1"/>
  <c r="CF595" i="34"/>
  <c r="CI595" i="34" a="1"/>
  <c r="CI595" i="34" s="1"/>
  <c r="CK595" i="34"/>
  <c r="CL595" i="34"/>
  <c r="CN595" i="34" a="1"/>
  <c r="CN595" i="34"/>
  <c r="CO595" i="34" a="1"/>
  <c r="CO595" i="34" s="1"/>
  <c r="CQ595" i="34" a="1"/>
  <c r="CQ595" i="34"/>
  <c r="CT595" i="34" s="1" a="1"/>
  <c r="CT595" i="34" s="1"/>
  <c r="CR595" i="34"/>
  <c r="CW595" i="34"/>
  <c r="CZ595" i="34" s="1" a="1"/>
  <c r="CZ595" i="34" s="1"/>
  <c r="CX595" i="34"/>
  <c r="DC595" i="34"/>
  <c r="DD595" i="34"/>
  <c r="DI595" i="34"/>
  <c r="DL595" i="34" s="1" a="1"/>
  <c r="DL595" i="34" s="1"/>
  <c r="DJ595" i="34"/>
  <c r="DM595" i="34" a="1"/>
  <c r="DM595" i="34"/>
  <c r="DO595" i="34"/>
  <c r="DR595" i="34" s="1" a="1"/>
  <c r="DR595" i="34" s="1"/>
  <c r="DP595" i="34"/>
  <c r="DS595" i="34" a="1"/>
  <c r="DS595" i="34" s="1"/>
  <c r="DU595" i="34"/>
  <c r="DV595" i="34"/>
  <c r="DX595" i="34" a="1"/>
  <c r="DX595" i="34"/>
  <c r="DY595" i="34" a="1"/>
  <c r="DY595" i="34" s="1"/>
  <c r="EA595" i="34"/>
  <c r="EB595" i="34"/>
  <c r="ED595" i="34" a="1"/>
  <c r="ED595" i="34"/>
  <c r="EE595" i="34" a="1"/>
  <c r="EE595" i="34" s="1"/>
  <c r="BS596" i="34"/>
  <c r="BT596" i="34"/>
  <c r="BV596" i="34" s="1" a="1"/>
  <c r="BV596" i="34" s="1"/>
  <c r="BY596" i="34"/>
  <c r="CB596" i="34" s="1" a="1"/>
  <c r="CB596" i="34" s="1"/>
  <c r="BZ596" i="34"/>
  <c r="CE596" i="34"/>
  <c r="CH596" i="34" s="1" a="1"/>
  <c r="CH596" i="34" s="1"/>
  <c r="CF596" i="34"/>
  <c r="CK596" i="34"/>
  <c r="CL596" i="34"/>
  <c r="CQ596" i="34" a="1"/>
  <c r="CQ596" i="34" s="1"/>
  <c r="CR596" i="34"/>
  <c r="CW596" i="34"/>
  <c r="CX596" i="34"/>
  <c r="CZ596" i="34" a="1"/>
  <c r="CZ596" i="34" s="1"/>
  <c r="DA596" i="34" a="1"/>
  <c r="DA596" i="34" s="1"/>
  <c r="DC596" i="34"/>
  <c r="DD596" i="34"/>
  <c r="DG596" i="34" s="1" a="1"/>
  <c r="DG596" i="34" s="1"/>
  <c r="DF596" i="34" a="1"/>
  <c r="DF596" i="34" s="1"/>
  <c r="DI596" i="34"/>
  <c r="DJ596" i="34"/>
  <c r="DM596" i="34" s="1" a="1"/>
  <c r="DM596" i="34" s="1"/>
  <c r="DL596" i="34" a="1"/>
  <c r="DL596" i="34" s="1"/>
  <c r="DO596" i="34"/>
  <c r="DP596" i="34"/>
  <c r="DU596" i="34"/>
  <c r="DX596" i="34" s="1" a="1"/>
  <c r="DX596" i="34" s="1"/>
  <c r="DV596" i="34"/>
  <c r="EA596" i="34"/>
  <c r="ED596" i="34" s="1" a="1"/>
  <c r="ED596" i="34" s="1"/>
  <c r="EB596" i="34"/>
  <c r="EE596" i="34" a="1"/>
  <c r="EE596" i="34"/>
  <c r="BS597" i="34"/>
  <c r="BV597" i="34" s="1" a="1"/>
  <c r="BV597" i="34" s="1"/>
  <c r="BT597" i="34"/>
  <c r="BW597" i="34" a="1"/>
  <c r="BW597" i="34" s="1"/>
  <c r="BY597" i="34"/>
  <c r="CB597" i="34" s="1" a="1"/>
  <c r="CB597" i="34" s="1"/>
  <c r="BZ597" i="34"/>
  <c r="CC597" i="34" a="1"/>
  <c r="CC597" i="34" s="1"/>
  <c r="CE597" i="34"/>
  <c r="CF597" i="34"/>
  <c r="CH597" i="34" a="1"/>
  <c r="CH597" i="34"/>
  <c r="CI597" i="34" a="1"/>
  <c r="CI597" i="34" s="1"/>
  <c r="CK597" i="34"/>
  <c r="CL597" i="34"/>
  <c r="CO597" i="34" s="1" a="1"/>
  <c r="CO597" i="34" s="1"/>
  <c r="CN597" i="34" a="1"/>
  <c r="CN597" i="34" s="1"/>
  <c r="CQ597" i="34" a="1"/>
  <c r="CQ597" i="34"/>
  <c r="CT597" i="34" s="1" a="1"/>
  <c r="CT597" i="34" s="1"/>
  <c r="CR597" i="34"/>
  <c r="CW597" i="34"/>
  <c r="CX597" i="34"/>
  <c r="DC597" i="34"/>
  <c r="DF597" i="34" s="1" a="1"/>
  <c r="DF597" i="34" s="1"/>
  <c r="DD597" i="34"/>
  <c r="DG597" i="34" a="1"/>
  <c r="DG597" i="34"/>
  <c r="DI597" i="34"/>
  <c r="DL597" i="34" s="1" a="1"/>
  <c r="DJ597" i="34"/>
  <c r="DL597" i="34"/>
  <c r="DM597" i="34" a="1"/>
  <c r="DM597" i="34" s="1"/>
  <c r="DO597" i="34"/>
  <c r="DP597" i="34"/>
  <c r="DR597" i="34" a="1"/>
  <c r="DR597" i="34"/>
  <c r="DS597" i="34" a="1"/>
  <c r="DS597" i="34" s="1"/>
  <c r="DU597" i="34"/>
  <c r="DV597" i="34"/>
  <c r="DX597" i="34" a="1"/>
  <c r="DX597" i="34"/>
  <c r="DY597" i="34" a="1"/>
  <c r="DY597" i="34" s="1"/>
  <c r="EA597" i="34"/>
  <c r="EE597" i="34" s="1" a="1"/>
  <c r="EE597" i="34" s="1"/>
  <c r="EB597" i="34"/>
  <c r="ED597" i="34" a="1"/>
  <c r="ED597" i="34" s="1"/>
  <c r="BS598" i="34"/>
  <c r="BV598" i="34" s="1" a="1"/>
  <c r="BV598" i="34" s="1"/>
  <c r="BT598" i="34"/>
  <c r="BY598" i="34"/>
  <c r="CB598" i="34" s="1" a="1"/>
  <c r="CB598" i="34" s="1"/>
  <c r="BZ598" i="34"/>
  <c r="CE598" i="34"/>
  <c r="CF598" i="34"/>
  <c r="CK598" i="34"/>
  <c r="CN598" i="34" s="1" a="1"/>
  <c r="CN598" i="34" s="1"/>
  <c r="CL598" i="34"/>
  <c r="CO598" i="34" a="1"/>
  <c r="CO598" i="34"/>
  <c r="CQ598" i="34" a="1"/>
  <c r="CQ598" i="34" s="1"/>
  <c r="CU598" i="34" s="1" a="1"/>
  <c r="CU598" i="34" s="1"/>
  <c r="CR598" i="34"/>
  <c r="CT598" i="34" a="1"/>
  <c r="CT598" i="34" s="1"/>
  <c r="CW598" i="34"/>
  <c r="CX598" i="34"/>
  <c r="CZ598" i="34" s="1" a="1"/>
  <c r="CZ598" i="34" s="1"/>
  <c r="DC598" i="34"/>
  <c r="DD598" i="34"/>
  <c r="DG598" i="34" s="1" a="1"/>
  <c r="DG598" i="34" s="1"/>
  <c r="DF598" i="34" a="1"/>
  <c r="DF598" i="34" s="1"/>
  <c r="DI598" i="34"/>
  <c r="DJ598" i="34"/>
  <c r="DO598" i="34"/>
  <c r="DR598" i="34" s="1" a="1"/>
  <c r="DR598" i="34" s="1"/>
  <c r="DP598" i="34"/>
  <c r="DU598" i="34"/>
  <c r="DX598" i="34" s="1" a="1"/>
  <c r="DX598" i="34" s="1"/>
  <c r="DV598" i="34"/>
  <c r="EA598" i="34"/>
  <c r="ED598" i="34" s="1" a="1"/>
  <c r="ED598" i="34" s="1"/>
  <c r="EB598" i="34"/>
  <c r="EE598" i="34" a="1"/>
  <c r="EE598" i="34" s="1"/>
  <c r="BS599" i="34"/>
  <c r="BV599" i="34" s="1" a="1"/>
  <c r="BV599" i="34" s="1"/>
  <c r="BT599" i="34"/>
  <c r="BW599" i="34" a="1"/>
  <c r="BW599" i="34" s="1"/>
  <c r="BY599" i="34"/>
  <c r="BZ599" i="34"/>
  <c r="CB599" i="34" a="1"/>
  <c r="CB599" i="34" s="1"/>
  <c r="CC599" i="34" a="1"/>
  <c r="CC599" i="34" s="1"/>
  <c r="CE599" i="34"/>
  <c r="CF599" i="34"/>
  <c r="CI599" i="34" s="1" a="1"/>
  <c r="CI599" i="34" s="1"/>
  <c r="CH599" i="34" a="1"/>
  <c r="CH599" i="34" s="1"/>
  <c r="CK599" i="34"/>
  <c r="CL599" i="34"/>
  <c r="CO599" i="34" s="1" a="1"/>
  <c r="CO599" i="34" s="1"/>
  <c r="CN599" i="34" a="1"/>
  <c r="CN599" i="34" s="1"/>
  <c r="CQ599" i="34" a="1"/>
  <c r="CQ599" i="34" s="1"/>
  <c r="CR599" i="34"/>
  <c r="CW599" i="34"/>
  <c r="CZ599" i="34" s="1" a="1"/>
  <c r="CZ599" i="34" s="1"/>
  <c r="CX599" i="34"/>
  <c r="DA599" i="34" a="1"/>
  <c r="DA599" i="34" s="1"/>
  <c r="DC599" i="34"/>
  <c r="DF599" i="34" s="1" a="1"/>
  <c r="DD599" i="34"/>
  <c r="DF599" i="34"/>
  <c r="DG599" i="34" a="1"/>
  <c r="DG599" i="34" s="1"/>
  <c r="DI599" i="34"/>
  <c r="DJ599" i="34"/>
  <c r="DL599" i="34" a="1"/>
  <c r="DL599" i="34"/>
  <c r="DM599" i="34" a="1"/>
  <c r="DM599" i="34" s="1"/>
  <c r="DO599" i="34"/>
  <c r="DP599" i="34"/>
  <c r="DR599" i="34" a="1"/>
  <c r="DR599" i="34"/>
  <c r="DS599" i="34" a="1"/>
  <c r="DS599" i="34" s="1"/>
  <c r="DU599" i="34"/>
  <c r="DY599" i="34" s="1" a="1"/>
  <c r="DY599" i="34" s="1"/>
  <c r="DV599" i="34"/>
  <c r="DX599" i="34" a="1"/>
  <c r="DX599" i="34" s="1"/>
  <c r="EA599" i="34"/>
  <c r="ED599" i="34" s="1" a="1"/>
  <c r="ED599" i="34" s="1"/>
  <c r="EB599" i="34"/>
  <c r="BS600" i="34"/>
  <c r="BT600" i="34"/>
  <c r="BY600" i="34"/>
  <c r="BZ600" i="34"/>
  <c r="CE600" i="34"/>
  <c r="CH600" i="34" s="1" a="1"/>
  <c r="CH600" i="34" s="1"/>
  <c r="CF600" i="34"/>
  <c r="CI600" i="34" a="1"/>
  <c r="CI600" i="34"/>
  <c r="CK600" i="34"/>
  <c r="CN600" i="34" s="1" a="1"/>
  <c r="CN600" i="34" s="1"/>
  <c r="CL600" i="34"/>
  <c r="CO600" i="34" a="1"/>
  <c r="CO600" i="34" s="1"/>
  <c r="CQ600" i="34" a="1"/>
  <c r="CQ600" i="34" s="1"/>
  <c r="CR600" i="34"/>
  <c r="CW600" i="34"/>
  <c r="CX600" i="34"/>
  <c r="DA600" i="34" s="1" a="1"/>
  <c r="DA600" i="34" s="1"/>
  <c r="CZ600" i="34" a="1"/>
  <c r="CZ600" i="34" s="1"/>
  <c r="DC600" i="34"/>
  <c r="DD600" i="34"/>
  <c r="DI600" i="34"/>
  <c r="DL600" i="34" s="1" a="1"/>
  <c r="DL600" i="34" s="1"/>
  <c r="DJ600" i="34"/>
  <c r="DO600" i="34"/>
  <c r="DR600" i="34" s="1" a="1"/>
  <c r="DR600" i="34" s="1"/>
  <c r="DP600" i="34"/>
  <c r="DS600" i="34" a="1"/>
  <c r="DS600" i="34" s="1"/>
  <c r="DU600" i="34"/>
  <c r="DX600" i="34" s="1" a="1"/>
  <c r="DX600" i="34" s="1"/>
  <c r="DV600" i="34"/>
  <c r="DY600" i="34" a="1"/>
  <c r="DY600" i="34" s="1"/>
  <c r="EA600" i="34"/>
  <c r="ED600" i="34" s="1" a="1"/>
  <c r="ED600" i="34" s="1"/>
  <c r="EB600" i="34"/>
  <c r="EE600" i="34" a="1"/>
  <c r="EE600" i="34" s="1"/>
  <c r="BS601" i="34"/>
  <c r="BT601" i="34"/>
  <c r="BV601" i="34" a="1"/>
  <c r="BV601" i="34" s="1"/>
  <c r="BW601" i="34" a="1"/>
  <c r="BW601" i="34" s="1"/>
  <c r="BY601" i="34"/>
  <c r="BZ601" i="34"/>
  <c r="CC601" i="34" s="1" a="1"/>
  <c r="CC601" i="34" s="1"/>
  <c r="CB601" i="34" a="1"/>
  <c r="CB601" i="34" s="1"/>
  <c r="CE601" i="34"/>
  <c r="CF601" i="34"/>
  <c r="CI601" i="34" s="1" a="1"/>
  <c r="CI601" i="34" s="1"/>
  <c r="CK601" i="34"/>
  <c r="CL601" i="34"/>
  <c r="CQ601" i="34" a="1"/>
  <c r="CQ601" i="34" s="1"/>
  <c r="CT601" i="34" s="1" a="1"/>
  <c r="CT601" i="34" s="1"/>
  <c r="CR601" i="34"/>
  <c r="CU601" i="34" a="1"/>
  <c r="CU601" i="34" s="1"/>
  <c r="CW601" i="34"/>
  <c r="CZ601" i="34" s="1" a="1"/>
  <c r="CZ601" i="34" s="1"/>
  <c r="CX601" i="34"/>
  <c r="DA601" i="34" a="1"/>
  <c r="DA601" i="34" s="1"/>
  <c r="DC601" i="34"/>
  <c r="DD601" i="34"/>
  <c r="DF601" i="34" a="1"/>
  <c r="DF601" i="34"/>
  <c r="DG601" i="34" a="1"/>
  <c r="DG601" i="34" s="1"/>
  <c r="DI601" i="34"/>
  <c r="DJ601" i="34"/>
  <c r="DL601" i="34" a="1"/>
  <c r="DL601" i="34"/>
  <c r="DM601" i="34" a="1"/>
  <c r="DM601" i="34" s="1"/>
  <c r="DO601" i="34"/>
  <c r="DP601" i="34"/>
  <c r="DS601" i="34" s="1" a="1"/>
  <c r="DS601" i="34" s="1"/>
  <c r="DU601" i="34"/>
  <c r="DV601" i="34"/>
  <c r="EA601" i="34"/>
  <c r="EB601" i="34"/>
  <c r="BS602" i="34"/>
  <c r="BV602" i="34" s="1" a="1"/>
  <c r="BV602" i="34" s="1"/>
  <c r="BT602" i="34"/>
  <c r="BY602" i="34"/>
  <c r="CB602" i="34" s="1" a="1"/>
  <c r="CB602" i="34" s="1"/>
  <c r="BZ602" i="34"/>
  <c r="CC602" i="34" a="1"/>
  <c r="CC602" i="34" s="1"/>
  <c r="CE602" i="34"/>
  <c r="CH602" i="34" s="1" a="1"/>
  <c r="CH602" i="34" s="1"/>
  <c r="CF602" i="34"/>
  <c r="CI602" i="34" a="1"/>
  <c r="CI602" i="34" s="1"/>
  <c r="CK602" i="34"/>
  <c r="CL602" i="34"/>
  <c r="CN602" i="34" a="1"/>
  <c r="CN602" i="34"/>
  <c r="CO602" i="34" a="1"/>
  <c r="CO602" i="34" s="1"/>
  <c r="CQ602" i="34" a="1"/>
  <c r="CQ602" i="34" s="1"/>
  <c r="CU602" i="34" s="1" a="1"/>
  <c r="CU602" i="34" s="1"/>
  <c r="CR602" i="34"/>
  <c r="CW602" i="34"/>
  <c r="CX602" i="34"/>
  <c r="DC602" i="34"/>
  <c r="DD602" i="34"/>
  <c r="DI602" i="34"/>
  <c r="DL602" i="34" s="1" a="1"/>
  <c r="DL602" i="34" s="1"/>
  <c r="DJ602" i="34"/>
  <c r="DO602" i="34"/>
  <c r="DR602" i="34" s="1" a="1"/>
  <c r="DP602" i="34"/>
  <c r="DR602" i="34"/>
  <c r="DS602" i="34" a="1"/>
  <c r="DS602" i="34" s="1"/>
  <c r="DU602" i="34"/>
  <c r="DX602" i="34" s="1" a="1"/>
  <c r="DX602" i="34" s="1"/>
  <c r="DV602" i="34"/>
  <c r="DY602" i="34" a="1"/>
  <c r="DY602" i="34" s="1"/>
  <c r="EA602" i="34"/>
  <c r="EB602" i="34"/>
  <c r="ED602" i="34" a="1"/>
  <c r="ED602" i="34" s="1"/>
  <c r="EE602" i="34" a="1"/>
  <c r="EE602" i="34" s="1"/>
  <c r="BS603" i="34"/>
  <c r="BT603" i="34"/>
  <c r="BW603" i="34" s="1" a="1"/>
  <c r="BW603" i="34" s="1"/>
  <c r="BV603" i="34" a="1"/>
  <c r="BV603" i="34" s="1"/>
  <c r="BY603" i="34"/>
  <c r="BZ603" i="34"/>
  <c r="CC603" i="34" s="1" a="1"/>
  <c r="CC603" i="34" s="1"/>
  <c r="CB603" i="34" a="1"/>
  <c r="CB603" i="34" s="1"/>
  <c r="CE603" i="34"/>
  <c r="CF603" i="34"/>
  <c r="CK603" i="34"/>
  <c r="CL603" i="34"/>
  <c r="CQ603" i="34" a="1"/>
  <c r="CQ603" i="34" s="1"/>
  <c r="CT603" i="34" s="1" a="1"/>
  <c r="CR603" i="34"/>
  <c r="CT603" i="34"/>
  <c r="CU603" i="34" a="1"/>
  <c r="CU603" i="34" s="1"/>
  <c r="CW603" i="34"/>
  <c r="CX603" i="34"/>
  <c r="CZ603" i="34" a="1"/>
  <c r="CZ603" i="34" s="1"/>
  <c r="DA603" i="34" a="1"/>
  <c r="DA603" i="34" s="1"/>
  <c r="DC603" i="34"/>
  <c r="DD603" i="34"/>
  <c r="DF603" i="34" a="1"/>
  <c r="DF603" i="34" s="1"/>
  <c r="DG603" i="34" a="1"/>
  <c r="DG603" i="34" s="1"/>
  <c r="DI603" i="34"/>
  <c r="DJ603" i="34"/>
  <c r="DM603" i="34" s="1" a="1"/>
  <c r="DM603" i="34" s="1"/>
  <c r="DO603" i="34"/>
  <c r="DP603" i="34"/>
  <c r="DU603" i="34"/>
  <c r="DV603" i="34"/>
  <c r="EA603" i="34"/>
  <c r="EB603" i="34"/>
  <c r="BS604" i="34"/>
  <c r="BV604" i="34" s="1" a="1"/>
  <c r="BV604" i="34" s="1"/>
  <c r="BT604" i="34"/>
  <c r="BW604" i="34" a="1"/>
  <c r="BW604" i="34"/>
  <c r="BY604" i="34"/>
  <c r="CB604" i="34" s="1" a="1"/>
  <c r="CB604" i="34" s="1"/>
  <c r="BZ604" i="34"/>
  <c r="CC604" i="34" a="1"/>
  <c r="CC604" i="34" s="1"/>
  <c r="CE604" i="34"/>
  <c r="CF604" i="34"/>
  <c r="CH604" i="34" a="1"/>
  <c r="CH604" i="34" s="1"/>
  <c r="CI604" i="34" a="1"/>
  <c r="CI604" i="34" s="1"/>
  <c r="CK604" i="34"/>
  <c r="CL604" i="34"/>
  <c r="CN604" i="34" a="1"/>
  <c r="CN604" i="34" s="1"/>
  <c r="CO604" i="34" a="1"/>
  <c r="CO604" i="34" s="1"/>
  <c r="CQ604" i="34" a="1"/>
  <c r="CQ604" i="34"/>
  <c r="CR604" i="34"/>
  <c r="CW604" i="34"/>
  <c r="CX604" i="34"/>
  <c r="DC604" i="34"/>
  <c r="DF604" i="34" s="1" a="1"/>
  <c r="DF604" i="34" s="1"/>
  <c r="DD604" i="34"/>
  <c r="DI604" i="34"/>
  <c r="DL604" i="34" s="1" a="1"/>
  <c r="DJ604" i="34"/>
  <c r="DL604" i="34"/>
  <c r="DM604" i="34" a="1"/>
  <c r="DM604" i="34" s="1"/>
  <c r="DO604" i="34"/>
  <c r="DR604" i="34" s="1" a="1"/>
  <c r="DR604" i="34" s="1"/>
  <c r="DP604" i="34"/>
  <c r="DS604" i="34" a="1"/>
  <c r="DS604" i="34" s="1"/>
  <c r="DU604" i="34"/>
  <c r="DV604" i="34"/>
  <c r="DX604" i="34" a="1"/>
  <c r="DX604" i="34" s="1"/>
  <c r="DY604" i="34" a="1"/>
  <c r="DY604" i="34" s="1"/>
  <c r="EA604" i="34"/>
  <c r="EB604" i="34"/>
  <c r="EE604" i="34" s="1" a="1"/>
  <c r="EE604" i="34" s="1"/>
  <c r="ED604" i="34" a="1"/>
  <c r="ED604" i="34" s="1"/>
  <c r="BS605" i="34"/>
  <c r="BT605" i="34"/>
  <c r="BW605" i="34" s="1" a="1"/>
  <c r="BW605" i="34" s="1"/>
  <c r="BV605" i="34" a="1"/>
  <c r="BV605" i="34" s="1"/>
  <c r="BY605" i="34"/>
  <c r="BZ605" i="34"/>
  <c r="CE605" i="34"/>
  <c r="CF605" i="34"/>
  <c r="CK605" i="34"/>
  <c r="CN605" i="34" s="1" a="1"/>
  <c r="CN605" i="34" s="1"/>
  <c r="CL605" i="34"/>
  <c r="CO605" i="34" a="1"/>
  <c r="CO605" i="34" s="1"/>
  <c r="CQ605" i="34" a="1"/>
  <c r="CQ605" i="34" s="1"/>
  <c r="CU605" i="34" s="1" a="1"/>
  <c r="CU605" i="34" s="1"/>
  <c r="CR605" i="34"/>
  <c r="CT605" i="34" a="1"/>
  <c r="CT605" i="34" s="1"/>
  <c r="CW605" i="34"/>
  <c r="CX605" i="34"/>
  <c r="CZ605" i="34" a="1"/>
  <c r="CZ605" i="34" s="1"/>
  <c r="DA605" i="34" a="1"/>
  <c r="DA605" i="34" s="1"/>
  <c r="DC605" i="34"/>
  <c r="DD605" i="34"/>
  <c r="DG605" i="34" s="1" a="1"/>
  <c r="DG605" i="34" s="1"/>
  <c r="DF605" i="34" a="1"/>
  <c r="DF605" i="34" s="1"/>
  <c r="DI605" i="34"/>
  <c r="DJ605" i="34"/>
  <c r="DO605" i="34"/>
  <c r="DP605" i="34"/>
  <c r="DU605" i="34"/>
  <c r="DX605" i="34" s="1" a="1"/>
  <c r="DX605" i="34" s="1"/>
  <c r="DV605" i="34"/>
  <c r="EA605" i="34"/>
  <c r="ED605" i="34" s="1" a="1"/>
  <c r="ED605" i="34" s="1"/>
  <c r="EB605" i="34"/>
  <c r="EE605" i="34" a="1"/>
  <c r="EE605" i="34" s="1"/>
  <c r="BS606" i="34"/>
  <c r="BV606" i="34" s="1" a="1"/>
  <c r="BT606" i="34"/>
  <c r="BV606" i="34"/>
  <c r="BW606" i="34" a="1"/>
  <c r="BW606" i="34" s="1"/>
  <c r="BY606" i="34"/>
  <c r="BZ606" i="34"/>
  <c r="CB606" i="34" a="1"/>
  <c r="CB606" i="34" s="1"/>
  <c r="CC606" i="34" a="1"/>
  <c r="CC606" i="34" s="1"/>
  <c r="CE606" i="34"/>
  <c r="CF606" i="34"/>
  <c r="CH606" i="34" a="1"/>
  <c r="CH606" i="34"/>
  <c r="CI606" i="34" a="1"/>
  <c r="CI606" i="34" s="1"/>
  <c r="CK606" i="34"/>
  <c r="CO606" i="34" s="1" a="1"/>
  <c r="CO606" i="34" s="1"/>
  <c r="CL606" i="34"/>
  <c r="CN606" i="34" a="1"/>
  <c r="CN606" i="34" s="1"/>
  <c r="CQ606" i="34" a="1"/>
  <c r="CQ606" i="34"/>
  <c r="CR606" i="34"/>
  <c r="CW606" i="34"/>
  <c r="CZ606" i="34" s="1" a="1"/>
  <c r="CZ606" i="34" s="1"/>
  <c r="CX606" i="34"/>
  <c r="DC606" i="34"/>
  <c r="DF606" i="34" s="1" a="1"/>
  <c r="DF606" i="34" s="1"/>
  <c r="DD606" i="34"/>
  <c r="DG606" i="34" a="1"/>
  <c r="DG606" i="34" s="1"/>
  <c r="DI606" i="34"/>
  <c r="DL606" i="34" s="1" a="1"/>
  <c r="DL606" i="34" s="1"/>
  <c r="DJ606" i="34"/>
  <c r="DM606" i="34" a="1"/>
  <c r="DM606" i="34" s="1"/>
  <c r="DO606" i="34"/>
  <c r="DP606" i="34"/>
  <c r="DR606" i="34" a="1"/>
  <c r="DR606" i="34"/>
  <c r="DS606" i="34" a="1"/>
  <c r="DS606" i="34" s="1"/>
  <c r="DU606" i="34"/>
  <c r="DV606" i="34"/>
  <c r="DY606" i="34" s="1" a="1"/>
  <c r="DY606" i="34" s="1"/>
  <c r="EA606" i="34"/>
  <c r="EB606" i="34"/>
  <c r="EE606" i="34" s="1" a="1"/>
  <c r="EE606" i="34" s="1"/>
  <c r="ED606" i="34" a="1"/>
  <c r="ED606" i="34" s="1"/>
  <c r="BS607" i="34"/>
  <c r="BT607" i="34"/>
  <c r="BY607" i="34"/>
  <c r="BZ607" i="34"/>
  <c r="CE607" i="34"/>
  <c r="CH607" i="34" s="1" a="1"/>
  <c r="CH607" i="34" s="1"/>
  <c r="CF607" i="34"/>
  <c r="CI607" i="34" a="1"/>
  <c r="CI607" i="34" s="1"/>
  <c r="CK607" i="34"/>
  <c r="CN607" i="34" s="1" a="1"/>
  <c r="CN607" i="34" s="1"/>
  <c r="CL607" i="34"/>
  <c r="CO607" i="34" a="1"/>
  <c r="CO607" i="34" s="1"/>
  <c r="CQ607" i="34" a="1"/>
  <c r="CQ607" i="34" s="1"/>
  <c r="CU607" i="34" s="1" a="1"/>
  <c r="CU607" i="34" s="1"/>
  <c r="CR607" i="34"/>
  <c r="CT607" i="34" a="1"/>
  <c r="CT607" i="34" s="1"/>
  <c r="CW607" i="34"/>
  <c r="CX607" i="34"/>
  <c r="DA607" i="34" s="1" a="1"/>
  <c r="DA607" i="34" s="1"/>
  <c r="CZ607" i="34" a="1"/>
  <c r="CZ607" i="34" s="1"/>
  <c r="DC607" i="34"/>
  <c r="DD607" i="34"/>
  <c r="DI607" i="34"/>
  <c r="DJ607" i="34"/>
  <c r="DO607" i="34"/>
  <c r="DR607" i="34" s="1" a="1"/>
  <c r="DR607" i="34" s="1"/>
  <c r="DP607" i="34"/>
  <c r="DU607" i="34"/>
  <c r="DX607" i="34" s="1" a="1"/>
  <c r="DX607" i="34" s="1"/>
  <c r="DV607" i="34"/>
  <c r="DY607" i="34" a="1"/>
  <c r="DY607" i="34" s="1"/>
  <c r="EA607" i="34"/>
  <c r="ED607" i="34" s="1" a="1"/>
  <c r="ED607" i="34" s="1"/>
  <c r="EB607" i="34"/>
  <c r="EE607" i="34" a="1"/>
  <c r="EE607" i="34" s="1"/>
  <c r="BS608" i="34"/>
  <c r="BT608" i="34"/>
  <c r="BV608" i="34" a="1"/>
  <c r="BV608" i="34" s="1"/>
  <c r="BW608" i="34" a="1"/>
  <c r="BW608" i="34" s="1"/>
  <c r="BY608" i="34"/>
  <c r="BZ608" i="34"/>
  <c r="CB608" i="34" a="1"/>
  <c r="CB608" i="34" s="1"/>
  <c r="CC608" i="34" a="1"/>
  <c r="CC608" i="34" s="1"/>
  <c r="CE608" i="34"/>
  <c r="CF608" i="34"/>
  <c r="CI608" i="34" s="1" a="1"/>
  <c r="CI608" i="34" s="1"/>
  <c r="CK608" i="34"/>
  <c r="CL608" i="34"/>
  <c r="CQ608" i="34" a="1"/>
  <c r="CQ608" i="34"/>
  <c r="CT608" i="34" s="1" a="1"/>
  <c r="CT608" i="34" s="1"/>
  <c r="CR608" i="34"/>
  <c r="CU608" i="34" a="1"/>
  <c r="CU608" i="34" s="1"/>
  <c r="CW608" i="34"/>
  <c r="CZ608" i="34" s="1" a="1"/>
  <c r="CZ608" i="34" s="1"/>
  <c r="CX608" i="34"/>
  <c r="DA608" i="34" a="1"/>
  <c r="DA608" i="34" s="1"/>
  <c r="DC608" i="34"/>
  <c r="DF608" i="34" s="1" a="1"/>
  <c r="DD608" i="34"/>
  <c r="DF608" i="34"/>
  <c r="DG608" i="34" a="1"/>
  <c r="DG608" i="34" s="1"/>
  <c r="DI608" i="34"/>
  <c r="DJ608" i="34"/>
  <c r="DL608" i="34" a="1"/>
  <c r="DL608" i="34"/>
  <c r="DM608" i="34" a="1"/>
  <c r="DM608" i="34" s="1"/>
  <c r="DO608" i="34"/>
  <c r="DP608" i="34"/>
  <c r="DS608" i="34" s="1" a="1"/>
  <c r="DS608" i="34" s="1"/>
  <c r="DU608" i="34"/>
  <c r="DV608" i="34"/>
  <c r="DY608" i="34" s="1" a="1"/>
  <c r="DY608" i="34" s="1"/>
  <c r="EA608" i="34"/>
  <c r="EB608" i="34"/>
  <c r="BS609" i="34"/>
  <c r="BT609" i="34"/>
  <c r="BY609" i="34"/>
  <c r="CB609" i="34" s="1" a="1"/>
  <c r="CB609" i="34" s="1"/>
  <c r="BZ609" i="34"/>
  <c r="CC609" i="34" a="1"/>
  <c r="CC609" i="34"/>
  <c r="CE609" i="34"/>
  <c r="CH609" i="34" s="1" a="1"/>
  <c r="CF609" i="34"/>
  <c r="CH609" i="34"/>
  <c r="CI609" i="34" a="1"/>
  <c r="CI609" i="34" s="1"/>
  <c r="CK609" i="34"/>
  <c r="CN609" i="34" s="1" a="1"/>
  <c r="CL609" i="34"/>
  <c r="CN609" i="34"/>
  <c r="CO609" i="34" a="1"/>
  <c r="CO609" i="34" s="1"/>
  <c r="CQ609" i="34" a="1"/>
  <c r="CQ609" i="34" s="1"/>
  <c r="CR609" i="34"/>
  <c r="CT609" i="34" s="1" a="1"/>
  <c r="CT609" i="34" s="1"/>
  <c r="CW609" i="34"/>
  <c r="CX609" i="34"/>
  <c r="DC609" i="34"/>
  <c r="DD609" i="34"/>
  <c r="DI609" i="34"/>
  <c r="DL609" i="34" s="1" a="1"/>
  <c r="DL609" i="34" s="1"/>
  <c r="DJ609" i="34"/>
  <c r="DM609" i="34" a="1"/>
  <c r="DM609" i="34" s="1"/>
  <c r="DO609" i="34"/>
  <c r="DR609" i="34" s="1" a="1"/>
  <c r="DR609" i="34" s="1"/>
  <c r="DP609" i="34"/>
  <c r="DS609" i="34" a="1"/>
  <c r="DS609" i="34" s="1"/>
  <c r="DU609" i="34"/>
  <c r="DX609" i="34" s="1" a="1"/>
  <c r="DV609" i="34"/>
  <c r="DX609" i="34"/>
  <c r="DY609" i="34" a="1"/>
  <c r="DY609" i="34" s="1"/>
  <c r="EA609" i="34"/>
  <c r="EB609" i="34"/>
  <c r="ED609" i="34" a="1"/>
  <c r="ED609" i="34" s="1"/>
  <c r="EE609" i="34" a="1"/>
  <c r="EE609" i="34" s="1"/>
  <c r="BS610" i="34"/>
  <c r="BT610" i="34"/>
  <c r="BV610" i="34" a="1"/>
  <c r="BV610" i="34" s="1"/>
  <c r="BW610" i="34" a="1"/>
  <c r="BW610" i="34" s="1"/>
  <c r="BY610" i="34"/>
  <c r="BZ610" i="34"/>
  <c r="CC610" i="34" s="1" a="1"/>
  <c r="CC610" i="34" s="1"/>
  <c r="CB610" i="34" a="1"/>
  <c r="CB610" i="34" s="1"/>
  <c r="CE610" i="34"/>
  <c r="CF610" i="34"/>
  <c r="CK610" i="34"/>
  <c r="CL610" i="34"/>
  <c r="CQ610" i="34" a="1"/>
  <c r="CQ610" i="34"/>
  <c r="CT610" i="34" s="1" a="1"/>
  <c r="CT610" i="34" s="1"/>
  <c r="CR610" i="34"/>
  <c r="CW610" i="34"/>
  <c r="CX610" i="34"/>
  <c r="CZ610" i="34" a="1"/>
  <c r="CZ610" i="34"/>
  <c r="DA610" i="34" a="1"/>
  <c r="DA610" i="34" s="1"/>
  <c r="DC610" i="34"/>
  <c r="DD610" i="34"/>
  <c r="DF610" i="34" a="1"/>
  <c r="DF610" i="34"/>
  <c r="DG610" i="34" a="1"/>
  <c r="DG610" i="34" s="1"/>
  <c r="DI610" i="34"/>
  <c r="DM610" i="34" s="1" a="1"/>
  <c r="DM610" i="34" s="1"/>
  <c r="DJ610" i="34"/>
  <c r="DL610" i="34" a="1"/>
  <c r="DL610" i="34" s="1"/>
  <c r="DO610" i="34"/>
  <c r="DP610" i="34"/>
  <c r="DS610" i="34" s="1" a="1"/>
  <c r="DS610" i="34" s="1"/>
  <c r="DR610" i="34" a="1"/>
  <c r="DR610" i="34" s="1"/>
  <c r="DU610" i="34"/>
  <c r="DV610" i="34"/>
  <c r="EA610" i="34"/>
  <c r="EB610" i="34"/>
  <c r="BS611" i="34"/>
  <c r="BV611" i="34" s="1" a="1"/>
  <c r="BV611" i="34" s="1"/>
  <c r="BT611" i="34"/>
  <c r="BW611" i="34" a="1"/>
  <c r="BW611" i="34"/>
  <c r="BY611" i="34"/>
  <c r="CB611" i="34" s="1" a="1"/>
  <c r="BZ611" i="34"/>
  <c r="CB611" i="34"/>
  <c r="CC611" i="34" a="1"/>
  <c r="CC611" i="34" s="1"/>
  <c r="CE611" i="34"/>
  <c r="CF611" i="34"/>
  <c r="CH611" i="34" a="1"/>
  <c r="CH611" i="34"/>
  <c r="CI611" i="34" a="1"/>
  <c r="CI611" i="34" s="1"/>
  <c r="CK611" i="34"/>
  <c r="CL611" i="34"/>
  <c r="CN611" i="34" a="1"/>
  <c r="CN611" i="34" s="1"/>
  <c r="CO611" i="34" a="1"/>
  <c r="CO611" i="34" s="1"/>
  <c r="CQ611" i="34" a="1"/>
  <c r="CQ611" i="34"/>
  <c r="CR611" i="34"/>
  <c r="CW611" i="34"/>
  <c r="CX611" i="34"/>
  <c r="DC611" i="34"/>
  <c r="DF611" i="34" s="1" a="1"/>
  <c r="DF611" i="34" s="1"/>
  <c r="DD611" i="34"/>
  <c r="DG611" i="34" a="1"/>
  <c r="DG611" i="34" s="1"/>
  <c r="DI611" i="34"/>
  <c r="DL611" i="34" s="1" a="1"/>
  <c r="DL611" i="34" s="1"/>
  <c r="DJ611" i="34"/>
  <c r="DM611" i="34" a="1"/>
  <c r="DM611" i="34" s="1"/>
  <c r="DO611" i="34"/>
  <c r="DR611" i="34" s="1" a="1"/>
  <c r="DP611" i="34"/>
  <c r="DR611" i="34"/>
  <c r="DS611" i="34" a="1"/>
  <c r="DS611" i="34" s="1"/>
  <c r="DU611" i="34"/>
  <c r="DV611" i="34"/>
  <c r="DX611" i="34" a="1"/>
  <c r="DX611" i="34"/>
  <c r="DY611" i="34" a="1"/>
  <c r="DY611" i="34" s="1"/>
  <c r="EA611" i="34"/>
  <c r="EB611" i="34"/>
  <c r="ED611" i="34" a="1"/>
  <c r="ED611" i="34"/>
  <c r="EE611" i="34" a="1"/>
  <c r="EE611" i="34" s="1"/>
  <c r="BS612" i="34"/>
  <c r="BT612" i="34"/>
  <c r="BW612" i="34" s="1" a="1"/>
  <c r="BW612" i="34" s="1"/>
  <c r="BV612" i="34" a="1"/>
  <c r="BV612" i="34"/>
  <c r="BY612" i="34"/>
  <c r="BZ612" i="34"/>
  <c r="CE612" i="34"/>
  <c r="CF612" i="34"/>
  <c r="CK612" i="34"/>
  <c r="CN612" i="34" s="1" a="1"/>
  <c r="CN612" i="34" s="1"/>
  <c r="CL612" i="34"/>
  <c r="CO612" i="34" a="1"/>
  <c r="CO612" i="34" s="1"/>
  <c r="CQ612" i="34" a="1"/>
  <c r="CQ612" i="34" s="1"/>
  <c r="CT612" i="34" s="1" a="1"/>
  <c r="CR612" i="34"/>
  <c r="CT612" i="34"/>
  <c r="CU612" i="34" a="1"/>
  <c r="CU612" i="34" s="1"/>
  <c r="CW612" i="34"/>
  <c r="CX612" i="34"/>
  <c r="CZ612" i="34" a="1"/>
  <c r="CZ612" i="34"/>
  <c r="DA612" i="34" a="1"/>
  <c r="DA612" i="34" s="1"/>
  <c r="DC612" i="34"/>
  <c r="DG612" i="34" s="1" a="1"/>
  <c r="DG612" i="34" s="1"/>
  <c r="DD612" i="34"/>
  <c r="DF612" i="34" s="1" a="1"/>
  <c r="DF612" i="34" s="1"/>
  <c r="DI612" i="34"/>
  <c r="DJ612" i="34"/>
  <c r="DM612" i="34" s="1" a="1"/>
  <c r="DM612" i="34" s="1"/>
  <c r="DL612" i="34" a="1"/>
  <c r="DL612" i="34" s="1"/>
  <c r="DO612" i="34"/>
  <c r="DP612" i="34"/>
  <c r="DR612" i="34" a="1"/>
  <c r="DR612" i="34" s="1"/>
  <c r="DU612" i="34"/>
  <c r="DV612" i="34"/>
  <c r="EA612" i="34"/>
  <c r="ED612" i="34" s="1" a="1"/>
  <c r="ED612" i="34" s="1"/>
  <c r="EB612" i="34"/>
  <c r="BS613" i="34"/>
  <c r="BV613" i="34" s="1" a="1"/>
  <c r="BV613" i="34" s="1"/>
  <c r="BT613" i="34"/>
  <c r="BY613" i="34"/>
  <c r="BZ613" i="34"/>
  <c r="CB613" i="34" a="1"/>
  <c r="CB613" i="34"/>
  <c r="CC613" i="34" a="1"/>
  <c r="CC613" i="34" s="1"/>
  <c r="CE613" i="34"/>
  <c r="CF613" i="34"/>
  <c r="CH613" i="34" a="1"/>
  <c r="CH613" i="34"/>
  <c r="CI613" i="34" a="1"/>
  <c r="CI613" i="34" s="1"/>
  <c r="CK613" i="34"/>
  <c r="CL613" i="34"/>
  <c r="CO613" i="34" s="1" a="1"/>
  <c r="CO613" i="34" s="1"/>
  <c r="CQ613" i="34" a="1"/>
  <c r="CQ613" i="34"/>
  <c r="CR613" i="34"/>
  <c r="CW613" i="34"/>
  <c r="CX613" i="34"/>
  <c r="DA613" i="34" a="1"/>
  <c r="DA613" i="34" s="1"/>
  <c r="DC613" i="34"/>
  <c r="DF613" i="34" s="1" a="1"/>
  <c r="DF613" i="34" s="1"/>
  <c r="DD613" i="34"/>
  <c r="DG613" i="34" a="1"/>
  <c r="DG613" i="34"/>
  <c r="DI613" i="34"/>
  <c r="DL613" i="34" s="1" a="1"/>
  <c r="DJ613" i="34"/>
  <c r="DL613" i="34"/>
  <c r="DM613" i="34" a="1"/>
  <c r="DM613" i="34" s="1"/>
  <c r="DO613" i="34"/>
  <c r="DP613" i="34"/>
  <c r="DR613" i="34" a="1"/>
  <c r="DR613" i="34" s="1"/>
  <c r="DS613" i="34" a="1"/>
  <c r="DS613" i="34" s="1"/>
  <c r="DU613" i="34"/>
  <c r="DV613" i="34"/>
  <c r="DX613" i="34" a="1"/>
  <c r="DX613" i="34" s="1"/>
  <c r="DY613" i="34" a="1"/>
  <c r="DY613" i="34" s="1"/>
  <c r="EA613" i="34"/>
  <c r="EB613" i="34"/>
  <c r="ED613" i="34" s="1" a="1"/>
  <c r="ED613" i="34" s="1"/>
  <c r="BS614" i="34"/>
  <c r="BT614" i="34"/>
  <c r="BY614" i="34"/>
  <c r="BZ614" i="34"/>
  <c r="CE614" i="34"/>
  <c r="CF614" i="34"/>
  <c r="CI614" i="34" a="1"/>
  <c r="CI614" i="34" s="1"/>
  <c r="CK614" i="34"/>
  <c r="CN614" i="34" s="1" a="1"/>
  <c r="CN614" i="34" s="1"/>
  <c r="CL614" i="34"/>
  <c r="CO614" i="34" a="1"/>
  <c r="CO614" i="34"/>
  <c r="CQ614" i="34" a="1"/>
  <c r="CQ614" i="34" s="1"/>
  <c r="CU614" i="34" s="1" a="1"/>
  <c r="CU614" i="34" s="1"/>
  <c r="CR614" i="34"/>
  <c r="CT614" i="34" a="1"/>
  <c r="CT614" i="34" s="1"/>
  <c r="CW614" i="34"/>
  <c r="CX614" i="34"/>
  <c r="DA614" i="34" s="1" a="1"/>
  <c r="DA614" i="34" s="1"/>
  <c r="CZ614" i="34" a="1"/>
  <c r="CZ614" i="34" s="1"/>
  <c r="DC614" i="34"/>
  <c r="DD614" i="34"/>
  <c r="DF614" i="34" a="1"/>
  <c r="DF614" i="34" s="1"/>
  <c r="DI614" i="34"/>
  <c r="DM614" i="34" s="1" a="1"/>
  <c r="DM614" i="34" s="1"/>
  <c r="DJ614" i="34"/>
  <c r="DO614" i="34"/>
  <c r="DP614" i="34"/>
  <c r="DU614" i="34"/>
  <c r="DX614" i="34" s="1" a="1"/>
  <c r="DX614" i="34" s="1"/>
  <c r="DV614" i="34"/>
  <c r="EA614" i="34"/>
  <c r="ED614" i="34" s="1" a="1"/>
  <c r="ED614" i="34" s="1"/>
  <c r="EB614" i="34"/>
  <c r="BS615" i="34"/>
  <c r="BT615" i="34"/>
  <c r="BV615" i="34" a="1"/>
  <c r="BV615" i="34"/>
  <c r="BW615" i="34" a="1"/>
  <c r="BW615" i="34" s="1"/>
  <c r="BY615" i="34"/>
  <c r="BZ615" i="34"/>
  <c r="CB615" i="34" a="1"/>
  <c r="CB615" i="34"/>
  <c r="CC615" i="34" a="1"/>
  <c r="CC615" i="34" s="1"/>
  <c r="CE615" i="34"/>
  <c r="CF615" i="34"/>
  <c r="CI615" i="34" s="1" a="1"/>
  <c r="CI615" i="34" s="1"/>
  <c r="CK615" i="34"/>
  <c r="CO615" i="34" s="1" a="1"/>
  <c r="CO615" i="34" s="1"/>
  <c r="CL615" i="34"/>
  <c r="CN615" i="34" a="1"/>
  <c r="CN615" i="34" s="1"/>
  <c r="CQ615" i="34" a="1"/>
  <c r="CQ615" i="34" s="1"/>
  <c r="CR615" i="34"/>
  <c r="CW615" i="34"/>
  <c r="CZ615" i="34" s="1" a="1"/>
  <c r="CZ615" i="34" s="1"/>
  <c r="CX615" i="34"/>
  <c r="DA615" i="34" a="1"/>
  <c r="DA615" i="34"/>
  <c r="DC615" i="34"/>
  <c r="DF615" i="34" s="1" a="1"/>
  <c r="DF615" i="34" s="1"/>
  <c r="DD615" i="34"/>
  <c r="DG615" i="34" a="1"/>
  <c r="DG615" i="34"/>
  <c r="DI615" i="34"/>
  <c r="DJ615" i="34"/>
  <c r="DL615" i="34" a="1"/>
  <c r="DL615" i="34" s="1"/>
  <c r="DM615" i="34" a="1"/>
  <c r="DM615" i="34" s="1"/>
  <c r="DO615" i="34"/>
  <c r="DP615" i="34"/>
  <c r="DR615" i="34" a="1"/>
  <c r="DR615" i="34"/>
  <c r="DS615" i="34" a="1"/>
  <c r="DS615" i="34" s="1"/>
  <c r="DU615" i="34"/>
  <c r="DV615" i="34"/>
  <c r="DY615" i="34" s="1" a="1"/>
  <c r="DY615" i="34" s="1"/>
  <c r="EA615" i="34"/>
  <c r="EB615" i="34"/>
  <c r="BS616" i="34"/>
  <c r="BT616" i="34"/>
  <c r="BY616" i="34"/>
  <c r="CB616" i="34" s="1" a="1"/>
  <c r="CB616" i="34" s="1"/>
  <c r="BZ616" i="34"/>
  <c r="CE616" i="34"/>
  <c r="CH616" i="34" s="1" a="1"/>
  <c r="CH616" i="34" s="1"/>
  <c r="CF616" i="34"/>
  <c r="CI616" i="34" a="1"/>
  <c r="CI616" i="34"/>
  <c r="CK616" i="34"/>
  <c r="CN616" i="34" s="1" a="1"/>
  <c r="CN616" i="34" s="1"/>
  <c r="CL616" i="34"/>
  <c r="CO616" i="34" a="1"/>
  <c r="CO616" i="34"/>
  <c r="CQ616" i="34" a="1"/>
  <c r="CQ616" i="34" s="1"/>
  <c r="CR616" i="34"/>
  <c r="CT616" i="34" a="1"/>
  <c r="CT616" i="34" s="1"/>
  <c r="CW616" i="34"/>
  <c r="DA616" i="34" s="1" a="1"/>
  <c r="DA616" i="34" s="1"/>
  <c r="CX616" i="34"/>
  <c r="CZ616" i="34" s="1" a="1"/>
  <c r="CZ616" i="34" s="1"/>
  <c r="DC616" i="34"/>
  <c r="DD616" i="34"/>
  <c r="DF616" i="34" a="1"/>
  <c r="DF616" i="34" s="1"/>
  <c r="DI616" i="34"/>
  <c r="DJ616" i="34"/>
  <c r="DO616" i="34"/>
  <c r="DR616" i="34" s="1" a="1"/>
  <c r="DR616" i="34" s="1"/>
  <c r="DP616" i="34"/>
  <c r="DS616" i="34" a="1"/>
  <c r="DS616" i="34" s="1"/>
  <c r="DU616" i="34"/>
  <c r="DX616" i="34" s="1" a="1"/>
  <c r="DV616" i="34"/>
  <c r="DX616" i="34"/>
  <c r="DY616" i="34" a="1"/>
  <c r="DY616" i="34" s="1"/>
  <c r="EA616" i="34"/>
  <c r="ED616" i="34" s="1" a="1"/>
  <c r="EB616" i="34"/>
  <c r="ED616" i="34"/>
  <c r="EE616" i="34" a="1"/>
  <c r="EE616" i="34" s="1"/>
  <c r="BS617" i="34"/>
  <c r="BT617" i="34"/>
  <c r="BV617" i="34" a="1"/>
  <c r="BV617" i="34" s="1"/>
  <c r="BW617" i="34" a="1"/>
  <c r="BW617" i="34" s="1"/>
  <c r="BY617" i="34"/>
  <c r="BZ617" i="34"/>
  <c r="CE617" i="34"/>
  <c r="CF617" i="34"/>
  <c r="CH617" i="34" s="1" a="1"/>
  <c r="CH617" i="34" s="1"/>
  <c r="CK617" i="34"/>
  <c r="CO617" i="34" s="1" a="1"/>
  <c r="CO617" i="34" s="1"/>
  <c r="CL617" i="34"/>
  <c r="CQ617" i="34" a="1"/>
  <c r="CQ617" i="34" s="1"/>
  <c r="CT617" i="34" s="1" a="1"/>
  <c r="CT617" i="34" s="1"/>
  <c r="CR617" i="34"/>
  <c r="CU617" i="34" a="1"/>
  <c r="CU617" i="34" s="1"/>
  <c r="CW617" i="34"/>
  <c r="CZ617" i="34" s="1" a="1"/>
  <c r="CZ617" i="34" s="1"/>
  <c r="CX617" i="34"/>
  <c r="DA617" i="34" a="1"/>
  <c r="DA617" i="34" s="1"/>
  <c r="DC617" i="34"/>
  <c r="DD617" i="34"/>
  <c r="DF617" i="34" a="1"/>
  <c r="DF617" i="34" s="1"/>
  <c r="DG617" i="34" a="1"/>
  <c r="DG617" i="34" s="1"/>
  <c r="DI617" i="34"/>
  <c r="DJ617" i="34"/>
  <c r="DL617" i="34" a="1"/>
  <c r="DL617" i="34" s="1"/>
  <c r="DM617" i="34" a="1"/>
  <c r="DM617" i="34" s="1"/>
  <c r="DO617" i="34"/>
  <c r="DS617" i="34" s="1" a="1"/>
  <c r="DS617" i="34" s="1"/>
  <c r="DP617" i="34"/>
  <c r="DR617" i="34" a="1"/>
  <c r="DR617" i="34" s="1"/>
  <c r="DU617" i="34"/>
  <c r="DV617" i="34"/>
  <c r="EA617" i="34"/>
  <c r="EB617" i="34"/>
  <c r="BS618" i="34"/>
  <c r="BV618" i="34" s="1" a="1"/>
  <c r="BV618" i="34" s="1"/>
  <c r="BT618" i="34"/>
  <c r="BY618" i="34"/>
  <c r="CB618" i="34" s="1" a="1"/>
  <c r="CB618" i="34" s="1"/>
  <c r="BZ618" i="34"/>
  <c r="CC618" i="34" a="1"/>
  <c r="CC618" i="34" s="1"/>
  <c r="CE618" i="34"/>
  <c r="CH618" i="34" s="1" a="1"/>
  <c r="CH618" i="34" s="1"/>
  <c r="CF618" i="34"/>
  <c r="CI618" i="34" a="1"/>
  <c r="CI618" i="34" s="1"/>
  <c r="CK618" i="34"/>
  <c r="CL618" i="34"/>
  <c r="CN618" i="34" a="1"/>
  <c r="CN618" i="34" s="1"/>
  <c r="CO618" i="34" a="1"/>
  <c r="CO618" i="34" s="1"/>
  <c r="CQ618" i="34" a="1"/>
  <c r="CQ618" i="34" s="1"/>
  <c r="CR618" i="34"/>
  <c r="CT618" i="34" a="1"/>
  <c r="CT618" i="34" s="1"/>
  <c r="CW618" i="34"/>
  <c r="CX618" i="34"/>
  <c r="CZ618" i="34" s="1" a="1"/>
  <c r="CZ618" i="34" s="1"/>
  <c r="DC618" i="34"/>
  <c r="DD618" i="34"/>
  <c r="DI618" i="34"/>
  <c r="DL618" i="34" s="1" a="1"/>
  <c r="DL618" i="34" s="1"/>
  <c r="DJ618" i="34"/>
  <c r="DM618" i="34" a="1"/>
  <c r="DM618" i="34" s="1"/>
  <c r="DO618" i="34"/>
  <c r="DR618" i="34" s="1" a="1"/>
  <c r="DR618" i="34" s="1"/>
  <c r="DP618" i="34"/>
  <c r="DU618" i="34"/>
  <c r="DX618" i="34" s="1" a="1"/>
  <c r="DV618" i="34"/>
  <c r="DX618" i="34"/>
  <c r="DY618" i="34" a="1"/>
  <c r="DY618" i="34" s="1"/>
  <c r="EA618" i="34"/>
  <c r="EB618" i="34"/>
  <c r="ED618" i="34" a="1"/>
  <c r="ED618" i="34"/>
  <c r="EE618" i="34" a="1"/>
  <c r="EE618" i="34" s="1"/>
  <c r="BS619" i="34"/>
  <c r="BT619" i="34"/>
  <c r="BW619" i="34" s="1" a="1"/>
  <c r="BW619" i="34" s="1"/>
  <c r="BY619" i="34"/>
  <c r="BZ619" i="34"/>
  <c r="CC619" i="34" s="1" a="1"/>
  <c r="CC619" i="34" s="1"/>
  <c r="CB619" i="34" a="1"/>
  <c r="CB619" i="34" s="1"/>
  <c r="CE619" i="34"/>
  <c r="CH619" i="34" s="1" a="1"/>
  <c r="CH619" i="34" s="1"/>
  <c r="CF619" i="34"/>
  <c r="CK619" i="34"/>
  <c r="CL619" i="34"/>
  <c r="CQ619" i="34" a="1"/>
  <c r="CQ619" i="34" s="1"/>
  <c r="CT619" i="34" s="1" a="1"/>
  <c r="CT619" i="34" s="1"/>
  <c r="CR619" i="34"/>
  <c r="CW619" i="34"/>
  <c r="CX619" i="34"/>
  <c r="CZ619" i="34" a="1"/>
  <c r="CZ619" i="34"/>
  <c r="DA619" i="34" a="1"/>
  <c r="DA619" i="34" s="1"/>
  <c r="DC619" i="34"/>
  <c r="DD619" i="34"/>
  <c r="DF619" i="34" a="1"/>
  <c r="DF619" i="34" s="1"/>
  <c r="DG619" i="34" a="1"/>
  <c r="DG619" i="34" s="1"/>
  <c r="DI619" i="34"/>
  <c r="DJ619" i="34"/>
  <c r="DM619" i="34" s="1" a="1"/>
  <c r="DM619" i="34" s="1"/>
  <c r="DL619" i="34" a="1"/>
  <c r="DL619" i="34" s="1"/>
  <c r="DO619" i="34"/>
  <c r="DP619" i="34"/>
  <c r="DU619" i="34"/>
  <c r="DV619" i="34"/>
  <c r="EA619" i="34"/>
  <c r="EB619" i="34"/>
  <c r="EE619" i="34" a="1"/>
  <c r="EE619" i="34" s="1"/>
  <c r="BS620" i="34"/>
  <c r="BV620" i="34" s="1" a="1"/>
  <c r="BV620" i="34" s="1"/>
  <c r="BT620" i="34"/>
  <c r="BW620" i="34" a="1"/>
  <c r="BW620" i="34"/>
  <c r="BY620" i="34"/>
  <c r="CB620" i="34" s="1" a="1"/>
  <c r="CB620" i="34" s="1"/>
  <c r="BZ620" i="34"/>
  <c r="CC620" i="34" a="1"/>
  <c r="CC620" i="34"/>
  <c r="CE620" i="34"/>
  <c r="CF620" i="34"/>
  <c r="CH620" i="34" a="1"/>
  <c r="CH620" i="34"/>
  <c r="CI620" i="34" a="1"/>
  <c r="CI620" i="34" s="1"/>
  <c r="CK620" i="34"/>
  <c r="CL620" i="34"/>
  <c r="CN620" i="34" a="1"/>
  <c r="CN620" i="34" s="1"/>
  <c r="CO620" i="34" a="1"/>
  <c r="CO620" i="34" s="1"/>
  <c r="CQ620" i="34" a="1"/>
  <c r="CQ620" i="34"/>
  <c r="CT620" i="34" s="1" a="1"/>
  <c r="CT620" i="34" s="1"/>
  <c r="CR620" i="34"/>
  <c r="CW620" i="34"/>
  <c r="CX620" i="34"/>
  <c r="DC620" i="34"/>
  <c r="DF620" i="34" s="1" a="1"/>
  <c r="DF620" i="34" s="1"/>
  <c r="DD620" i="34"/>
  <c r="DG620" i="34" a="1"/>
  <c r="DG620" i="34"/>
  <c r="DI620" i="34"/>
  <c r="DL620" i="34" s="1" a="1"/>
  <c r="DJ620" i="34"/>
  <c r="DL620" i="34"/>
  <c r="DM620" i="34" a="1"/>
  <c r="DM620" i="34" s="1"/>
  <c r="DO620" i="34"/>
  <c r="DR620" i="34" s="1" a="1"/>
  <c r="DP620" i="34"/>
  <c r="DR620" i="34"/>
  <c r="DS620" i="34" a="1"/>
  <c r="DS620" i="34" s="1"/>
  <c r="DU620" i="34"/>
  <c r="DV620" i="34"/>
  <c r="DX620" i="34" a="1"/>
  <c r="DX620" i="34" s="1"/>
  <c r="DY620" i="34" a="1"/>
  <c r="DY620" i="34" s="1"/>
  <c r="EA620" i="34"/>
  <c r="EB620" i="34"/>
  <c r="ED620" i="34" a="1"/>
  <c r="ED620" i="34" s="1"/>
  <c r="BS621" i="34"/>
  <c r="BT621" i="34"/>
  <c r="BV621" i="34" s="1" a="1"/>
  <c r="BV621" i="34" s="1"/>
  <c r="BY621" i="34"/>
  <c r="CC621" i="34" s="1" a="1"/>
  <c r="BZ621" i="34"/>
  <c r="CC621" i="34"/>
  <c r="CE621" i="34"/>
  <c r="CF621" i="34"/>
  <c r="CK621" i="34"/>
  <c r="CN621" i="34" s="1" a="1"/>
  <c r="CN621" i="34" s="1"/>
  <c r="CL621" i="34"/>
  <c r="CQ621" i="34" a="1"/>
  <c r="CQ621" i="34" s="1"/>
  <c r="CU621" i="34" s="1" a="1"/>
  <c r="CU621" i="34" s="1"/>
  <c r="CR621" i="34"/>
  <c r="CW621" i="34"/>
  <c r="CX621" i="34"/>
  <c r="CZ621" i="34" a="1"/>
  <c r="CZ621" i="34" s="1"/>
  <c r="DA621" i="34" a="1"/>
  <c r="DA621" i="34" s="1"/>
  <c r="DC621" i="34"/>
  <c r="DD621" i="34"/>
  <c r="DG621" i="34" s="1" a="1"/>
  <c r="DG621" i="34" s="1"/>
  <c r="DF621" i="34" a="1"/>
  <c r="DF621" i="34" s="1"/>
  <c r="DI621" i="34"/>
  <c r="DJ621" i="34"/>
  <c r="DO621" i="34"/>
  <c r="DP621" i="34"/>
  <c r="DU621" i="34"/>
  <c r="DV621" i="34"/>
  <c r="DY621" i="34" s="1" a="1"/>
  <c r="DY621" i="34" s="1"/>
  <c r="EA621" i="34"/>
  <c r="ED621" i="34" s="1" a="1"/>
  <c r="ED621" i="34" s="1"/>
  <c r="EB621" i="34"/>
  <c r="EE621" i="34" a="1"/>
  <c r="EE621" i="34" s="1"/>
  <c r="BS622" i="34"/>
  <c r="BV622" i="34" s="1" a="1"/>
  <c r="BT622" i="34"/>
  <c r="BV622" i="34"/>
  <c r="BW622" i="34" a="1"/>
  <c r="BW622" i="34" s="1"/>
  <c r="BY622" i="34"/>
  <c r="BZ622" i="34"/>
  <c r="CB622" i="34" a="1"/>
  <c r="CB622" i="34" s="1"/>
  <c r="CC622" i="34" a="1"/>
  <c r="CC622" i="34" s="1"/>
  <c r="CE622" i="34"/>
  <c r="CF622" i="34"/>
  <c r="CH622" i="34" a="1"/>
  <c r="CH622" i="34" s="1"/>
  <c r="CI622" i="34" a="1"/>
  <c r="CI622" i="34" s="1"/>
  <c r="CK622" i="34"/>
  <c r="CL622" i="34"/>
  <c r="CO622" i="34" s="1" a="1"/>
  <c r="CO622" i="34" s="1"/>
  <c r="CN622" i="34" a="1"/>
  <c r="CN622" i="34" s="1"/>
  <c r="CQ622" i="34" a="1"/>
  <c r="CQ622" i="34" s="1"/>
  <c r="CR622" i="34"/>
  <c r="CW622" i="34"/>
  <c r="CZ622" i="34" s="1" a="1"/>
  <c r="CZ622" i="34" s="1"/>
  <c r="CX622" i="34"/>
  <c r="DA622" i="34" a="1"/>
  <c r="DA622" i="34" s="1"/>
  <c r="DC622" i="34"/>
  <c r="DF622" i="34" s="1" a="1"/>
  <c r="DF622" i="34" s="1"/>
  <c r="DD622" i="34"/>
  <c r="DG622" i="34" a="1"/>
  <c r="DG622" i="34" s="1"/>
  <c r="DI622" i="34"/>
  <c r="DL622" i="34" s="1" a="1"/>
  <c r="DJ622" i="34"/>
  <c r="DL622" i="34"/>
  <c r="DM622" i="34" a="1"/>
  <c r="DM622" i="34" s="1"/>
  <c r="DO622" i="34"/>
  <c r="DP622" i="34"/>
  <c r="DR622" i="34" a="1"/>
  <c r="DR622" i="34"/>
  <c r="DS622" i="34" a="1"/>
  <c r="DS622" i="34" s="1"/>
  <c r="DU622" i="34"/>
  <c r="DV622" i="34"/>
  <c r="DY622" i="34" s="1" a="1"/>
  <c r="DY622" i="34" s="1"/>
  <c r="EA622" i="34"/>
  <c r="EB622" i="34"/>
  <c r="ED622" i="34" s="1" a="1"/>
  <c r="ED622" i="34" s="1"/>
  <c r="BS623" i="34"/>
  <c r="BT623" i="34"/>
  <c r="BV623" i="34" s="1" a="1"/>
  <c r="BV623" i="34" s="1"/>
  <c r="BY623" i="34"/>
  <c r="BZ623" i="34"/>
  <c r="CE623" i="34"/>
  <c r="CH623" i="34" s="1" a="1"/>
  <c r="CH623" i="34" s="1"/>
  <c r="CF623" i="34"/>
  <c r="CI623" i="34" a="1"/>
  <c r="CI623" i="34" s="1"/>
  <c r="CK623" i="34"/>
  <c r="CN623" i="34" s="1" a="1"/>
  <c r="CN623" i="34" s="1"/>
  <c r="CL623" i="34"/>
  <c r="CO623" i="34" a="1"/>
  <c r="CO623" i="34" s="1"/>
  <c r="CQ623" i="34" a="1"/>
  <c r="CQ623" i="34" s="1"/>
  <c r="CU623" i="34" s="1" a="1"/>
  <c r="CU623" i="34" s="1"/>
  <c r="CR623" i="34"/>
  <c r="CT623" i="34" a="1"/>
  <c r="CT623" i="34" s="1"/>
  <c r="CW623" i="34"/>
  <c r="CX623" i="34"/>
  <c r="DA623" i="34" s="1" a="1"/>
  <c r="DA623" i="34" s="1"/>
  <c r="CZ623" i="34" a="1"/>
  <c r="CZ623" i="34"/>
  <c r="DC623" i="34"/>
  <c r="DD623" i="34"/>
  <c r="DF623" i="34" s="1" a="1"/>
  <c r="DF623" i="34" s="1"/>
  <c r="DI623" i="34"/>
  <c r="DM623" i="34" s="1" a="1"/>
  <c r="DJ623" i="34"/>
  <c r="DM623" i="34"/>
  <c r="DO623" i="34"/>
  <c r="DP623" i="34"/>
  <c r="DS623" i="34" a="1"/>
  <c r="DS623" i="34" s="1"/>
  <c r="DU623" i="34"/>
  <c r="DX623" i="34" s="1" a="1"/>
  <c r="DX623" i="34" s="1"/>
  <c r="DV623" i="34"/>
  <c r="EA623" i="34"/>
  <c r="ED623" i="34" s="1" a="1"/>
  <c r="EB623" i="34"/>
  <c r="ED623" i="34"/>
  <c r="EE623" i="34" a="1"/>
  <c r="EE623" i="34" s="1"/>
  <c r="BS624" i="34"/>
  <c r="BT624" i="34"/>
  <c r="BV624" i="34" a="1"/>
  <c r="BV624" i="34" s="1"/>
  <c r="BW624" i="34" a="1"/>
  <c r="BW624" i="34" s="1"/>
  <c r="BY624" i="34"/>
  <c r="BZ624" i="34"/>
  <c r="CB624" i="34" a="1"/>
  <c r="CB624" i="34" s="1"/>
  <c r="CC624" i="34" a="1"/>
  <c r="CC624" i="34" s="1"/>
  <c r="CE624" i="34"/>
  <c r="CF624" i="34"/>
  <c r="CH624" i="34" s="1" a="1"/>
  <c r="CH624" i="34" s="1"/>
  <c r="CK624" i="34"/>
  <c r="CO624" i="34" s="1" a="1"/>
  <c r="CO624" i="34" s="1"/>
  <c r="CL624" i="34"/>
  <c r="CQ624" i="34" a="1"/>
  <c r="CQ624" i="34"/>
  <c r="CR624" i="34"/>
  <c r="CW624" i="34"/>
  <c r="CZ624" i="34" s="1" a="1"/>
  <c r="CZ624" i="34" s="1"/>
  <c r="CX624" i="34"/>
  <c r="DC624" i="34"/>
  <c r="DF624" i="34" s="1" a="1"/>
  <c r="DD624" i="34"/>
  <c r="DF624" i="34"/>
  <c r="DG624" i="34" a="1"/>
  <c r="DG624" i="34" s="1"/>
  <c r="DI624" i="34"/>
  <c r="DJ624" i="34"/>
  <c r="DL624" i="34" a="1"/>
  <c r="DL624" i="34" s="1"/>
  <c r="DM624" i="34" a="1"/>
  <c r="DM624" i="34" s="1"/>
  <c r="DO624" i="34"/>
  <c r="DP624" i="34"/>
  <c r="DS624" i="34" s="1" a="1"/>
  <c r="DS624" i="34" s="1"/>
  <c r="DU624" i="34"/>
  <c r="DV624" i="34"/>
  <c r="DY624" i="34" s="1" a="1"/>
  <c r="DY624" i="34" s="1"/>
  <c r="DX624" i="34" a="1"/>
  <c r="DX624" i="34" s="1"/>
  <c r="EA624" i="34"/>
  <c r="EE624" i="34" s="1" a="1"/>
  <c r="EE624" i="34" s="1"/>
  <c r="EB624" i="34"/>
  <c r="BS625" i="34"/>
  <c r="BT625" i="34"/>
  <c r="BY625" i="34"/>
  <c r="BZ625" i="34"/>
  <c r="CC625" i="34" a="1"/>
  <c r="CC625" i="34" s="1"/>
  <c r="CE625" i="34"/>
  <c r="CH625" i="34" s="1" a="1"/>
  <c r="CF625" i="34"/>
  <c r="CH625" i="34"/>
  <c r="CI625" i="34" a="1"/>
  <c r="CI625" i="34" s="1"/>
  <c r="CK625" i="34"/>
  <c r="CN625" i="34" s="1" a="1"/>
  <c r="CN625" i="34" s="1"/>
  <c r="CL625" i="34"/>
  <c r="CO625" i="34" a="1"/>
  <c r="CO625" i="34" s="1"/>
  <c r="CQ625" i="34" a="1"/>
  <c r="CQ625" i="34" s="1"/>
  <c r="CR625" i="34"/>
  <c r="CW625" i="34"/>
  <c r="DA625" i="34" s="1" a="1"/>
  <c r="DA625" i="34" s="1"/>
  <c r="CX625" i="34"/>
  <c r="DC625" i="34"/>
  <c r="DD625" i="34"/>
  <c r="DF625" i="34" a="1"/>
  <c r="DF625" i="34" s="1"/>
  <c r="DI625" i="34"/>
  <c r="DL625" i="34" s="1" a="1"/>
  <c r="DL625" i="34" s="1"/>
  <c r="DJ625" i="34"/>
  <c r="DO625" i="34"/>
  <c r="DR625" i="34" s="1" a="1"/>
  <c r="DR625" i="34" s="1"/>
  <c r="DP625" i="34"/>
  <c r="DU625" i="34"/>
  <c r="DX625" i="34" s="1" a="1"/>
  <c r="DX625" i="34" s="1"/>
  <c r="DV625" i="34"/>
  <c r="EA625" i="34"/>
  <c r="EB625" i="34"/>
  <c r="ED625" i="34" a="1"/>
  <c r="ED625" i="34"/>
  <c r="EE625" i="34" a="1"/>
  <c r="EE625" i="34" s="1"/>
  <c r="BS626" i="34"/>
  <c r="BT626" i="34"/>
  <c r="BV626" i="34" a="1"/>
  <c r="BV626" i="34"/>
  <c r="BW626" i="34" a="1"/>
  <c r="BW626" i="34" s="1"/>
  <c r="BY626" i="34"/>
  <c r="BZ626" i="34"/>
  <c r="CC626" i="34" s="1" a="1"/>
  <c r="CC626" i="34" s="1"/>
  <c r="CB626" i="34" a="1"/>
  <c r="CB626" i="34" s="1"/>
  <c r="CE626" i="34"/>
  <c r="CF626" i="34"/>
  <c r="CH626" i="34" a="1"/>
  <c r="CH626" i="34" s="1"/>
  <c r="CK626" i="34"/>
  <c r="CO626" i="34" s="1" a="1"/>
  <c r="CL626" i="34"/>
  <c r="CN626" i="34" a="1"/>
  <c r="CN626" i="34" s="1"/>
  <c r="CO626" i="34"/>
  <c r="CQ626" i="34" a="1"/>
  <c r="CQ626" i="34" s="1"/>
  <c r="CR626" i="34"/>
  <c r="CW626" i="34"/>
  <c r="CZ626" i="34" s="1" a="1"/>
  <c r="CZ626" i="34" s="1"/>
  <c r="CX626" i="34"/>
  <c r="DA626" i="34" a="1"/>
  <c r="DA626" i="34" s="1"/>
  <c r="DC626" i="34"/>
  <c r="DD626" i="34"/>
  <c r="DF626" i="34" a="1"/>
  <c r="DF626" i="34"/>
  <c r="DG626" i="34" a="1"/>
  <c r="DG626" i="34" s="1"/>
  <c r="DI626" i="34"/>
  <c r="DM626" i="34" s="1" a="1"/>
  <c r="DM626" i="34" s="1"/>
  <c r="DJ626" i="34"/>
  <c r="DL626" i="34" s="1" a="1"/>
  <c r="DL626" i="34" s="1"/>
  <c r="DO626" i="34"/>
  <c r="DP626" i="34"/>
  <c r="DS626" i="34" s="1" a="1"/>
  <c r="DS626" i="34" s="1"/>
  <c r="DR626" i="34" a="1"/>
  <c r="DR626" i="34" s="1"/>
  <c r="DU626" i="34"/>
  <c r="DY626" i="34" s="1" a="1"/>
  <c r="DY626" i="34" s="1"/>
  <c r="DV626" i="34"/>
  <c r="EA626" i="34"/>
  <c r="EB626" i="34"/>
  <c r="BS627" i="34"/>
  <c r="BV627" i="34" s="1" a="1"/>
  <c r="BV627" i="34" s="1"/>
  <c r="BT627" i="34"/>
  <c r="BY627" i="34"/>
  <c r="BZ627" i="34"/>
  <c r="CE627" i="34"/>
  <c r="CH627" i="34" s="1" a="1"/>
  <c r="CH627" i="34" s="1"/>
  <c r="CF627" i="34"/>
  <c r="CI627" i="34" a="1"/>
  <c r="CI627" i="34"/>
  <c r="CK627" i="34"/>
  <c r="CL627" i="34"/>
  <c r="CN627" i="34" a="1"/>
  <c r="CN627" i="34" s="1"/>
  <c r="CO627" i="34" a="1"/>
  <c r="CO627" i="34" s="1"/>
  <c r="CQ627" i="34" a="1"/>
  <c r="CQ627" i="34"/>
  <c r="CR627" i="34"/>
  <c r="CW627" i="34"/>
  <c r="DA627" i="34" s="1" a="1"/>
  <c r="DA627" i="34" s="1"/>
  <c r="CX627" i="34"/>
  <c r="DC627" i="34"/>
  <c r="DD627" i="34"/>
  <c r="DG627" i="34" a="1"/>
  <c r="DG627" i="34" s="1"/>
  <c r="DI627" i="34"/>
  <c r="DL627" i="34" s="1" a="1"/>
  <c r="DL627" i="34" s="1"/>
  <c r="DJ627" i="34"/>
  <c r="DO627" i="34"/>
  <c r="DR627" i="34" s="1" a="1"/>
  <c r="DR627" i="34" s="1"/>
  <c r="DP627" i="34"/>
  <c r="DU627" i="34"/>
  <c r="DV627" i="34"/>
  <c r="DX627" i="34" s="1" a="1"/>
  <c r="DX627" i="34" s="1"/>
  <c r="EA627" i="34"/>
  <c r="EB627" i="34"/>
  <c r="ED627" i="34" a="1"/>
  <c r="ED627" i="34" s="1"/>
  <c r="EE627" i="34" a="1"/>
  <c r="EE627" i="34" s="1"/>
  <c r="BS628" i="34"/>
  <c r="BV628" i="34" s="1" a="1"/>
  <c r="BV628" i="34" s="1"/>
  <c r="BT628" i="34"/>
  <c r="BW628" i="34" s="1" a="1"/>
  <c r="BW628" i="34" s="1"/>
  <c r="BY628" i="34"/>
  <c r="CB628" i="34" s="1" a="1"/>
  <c r="CB628" i="34" s="1"/>
  <c r="BZ628" i="34"/>
  <c r="CC628" i="34" a="1"/>
  <c r="CC628" i="34" s="1"/>
  <c r="CE628" i="34"/>
  <c r="CH628" i="34" s="1" a="1"/>
  <c r="CH628" i="34" s="1"/>
  <c r="CF628" i="34"/>
  <c r="CK628" i="34"/>
  <c r="CL628" i="34"/>
  <c r="CN628" i="34" a="1"/>
  <c r="CN628" i="34" s="1"/>
  <c r="CO628" i="34" a="1"/>
  <c r="CO628" i="34" s="1"/>
  <c r="CQ628" i="34" a="1"/>
  <c r="CQ628" i="34"/>
  <c r="CT628" i="34" s="1" a="1"/>
  <c r="CT628" i="34" s="1"/>
  <c r="CR628" i="34"/>
  <c r="CU628" i="34" a="1"/>
  <c r="CU628" i="34" s="1"/>
  <c r="CW628" i="34"/>
  <c r="DA628" i="34" s="1" a="1"/>
  <c r="DA628" i="34" s="1"/>
  <c r="CX628" i="34"/>
  <c r="CZ628" i="34" a="1"/>
  <c r="CZ628" i="34" s="1"/>
  <c r="DC628" i="34"/>
  <c r="DF628" i="34" s="1" a="1"/>
  <c r="DF628" i="34" s="1"/>
  <c r="DD628" i="34"/>
  <c r="DI628" i="34"/>
  <c r="DJ628" i="34"/>
  <c r="DL628" i="34" s="1" a="1"/>
  <c r="DL628" i="34" s="1"/>
  <c r="DO628" i="34"/>
  <c r="DP628" i="34"/>
  <c r="DU628" i="34"/>
  <c r="DY628" i="34" s="1" a="1"/>
  <c r="DY628" i="34" s="1"/>
  <c r="DV628" i="34"/>
  <c r="DX628" i="34" a="1"/>
  <c r="DX628" i="34"/>
  <c r="EA628" i="34"/>
  <c r="ED628" i="34" s="1" a="1"/>
  <c r="ED628" i="34" s="1"/>
  <c r="EB628" i="34"/>
  <c r="EE628" i="34" a="1"/>
  <c r="EE628" i="34" s="1"/>
  <c r="BS629" i="34"/>
  <c r="BW629" i="34" s="1" a="1"/>
  <c r="BW629" i="34" s="1"/>
  <c r="BT629" i="34"/>
  <c r="BV629" i="34" s="1" a="1"/>
  <c r="BV629" i="34" s="1"/>
  <c r="BY629" i="34"/>
  <c r="CB629" i="34" s="1" a="1"/>
  <c r="CB629" i="34" s="1"/>
  <c r="BZ629" i="34"/>
  <c r="CC629" i="34" a="1"/>
  <c r="CC629" i="34" s="1"/>
  <c r="CE629" i="34"/>
  <c r="CI629" i="34" s="1" a="1"/>
  <c r="CI629" i="34" s="1"/>
  <c r="CF629" i="34"/>
  <c r="CH629" i="34" a="1"/>
  <c r="CH629" i="34" s="1"/>
  <c r="CK629" i="34"/>
  <c r="CN629" i="34" s="1" a="1"/>
  <c r="CN629" i="34" s="1"/>
  <c r="CL629" i="34"/>
  <c r="CQ629" i="34" a="1"/>
  <c r="CQ629" i="34"/>
  <c r="CT629" i="34" s="1" a="1"/>
  <c r="CT629" i="34" s="1"/>
  <c r="CR629" i="34"/>
  <c r="CW629" i="34"/>
  <c r="CX629" i="34"/>
  <c r="CZ629" i="34" a="1"/>
  <c r="CZ629" i="34" s="1"/>
  <c r="DA629" i="34" a="1"/>
  <c r="DA629" i="34" s="1"/>
  <c r="DC629" i="34"/>
  <c r="DD629" i="34"/>
  <c r="DF629" i="34" a="1"/>
  <c r="DF629" i="34" s="1"/>
  <c r="DG629" i="34" a="1"/>
  <c r="DG629" i="34" s="1"/>
  <c r="DI629" i="34"/>
  <c r="DL629" i="34" s="1" a="1"/>
  <c r="DL629" i="34" s="1"/>
  <c r="DJ629" i="34"/>
  <c r="DO629" i="34"/>
  <c r="DR629" i="34" s="1" a="1"/>
  <c r="DR629" i="34" s="1"/>
  <c r="DP629" i="34"/>
  <c r="DU629" i="34"/>
  <c r="DY629" i="34" s="1" a="1"/>
  <c r="DY629" i="34" s="1"/>
  <c r="DV629" i="34"/>
  <c r="DX629" i="34" a="1"/>
  <c r="DX629" i="34" s="1"/>
  <c r="EA629" i="34"/>
  <c r="EB629" i="34"/>
  <c r="EE629" i="34" s="1" a="1"/>
  <c r="EE629" i="34" s="1"/>
  <c r="BS630" i="34"/>
  <c r="BV630" i="34" s="1" a="1"/>
  <c r="BV630" i="34" s="1"/>
  <c r="BT630" i="34"/>
  <c r="BW630" i="34" a="1"/>
  <c r="BW630" i="34" s="1"/>
  <c r="BY630" i="34"/>
  <c r="CB630" i="34" s="1" a="1"/>
  <c r="CB630" i="34" s="1"/>
  <c r="BZ630" i="34"/>
  <c r="CE630" i="34"/>
  <c r="CF630" i="34"/>
  <c r="CH630" i="34" a="1"/>
  <c r="CH630" i="34" s="1"/>
  <c r="CI630" i="34" a="1"/>
  <c r="CI630" i="34" s="1"/>
  <c r="CK630" i="34"/>
  <c r="CL630" i="34"/>
  <c r="CN630" i="34" a="1"/>
  <c r="CN630" i="34" s="1"/>
  <c r="CO630" i="34" a="1"/>
  <c r="CO630" i="34" s="1"/>
  <c r="CQ630" i="34" a="1"/>
  <c r="CQ630" i="34" s="1"/>
  <c r="CU630" i="34" s="1" a="1"/>
  <c r="CU630" i="34" s="1"/>
  <c r="CR630" i="34"/>
  <c r="CT630" i="34" a="1"/>
  <c r="CT630" i="34" s="1"/>
  <c r="CW630" i="34"/>
  <c r="CZ630" i="34" s="1" a="1"/>
  <c r="CZ630" i="34" s="1"/>
  <c r="CX630" i="34"/>
  <c r="DC630" i="34"/>
  <c r="DD630" i="34"/>
  <c r="DF630" i="34" s="1" a="1"/>
  <c r="DF630" i="34" s="1"/>
  <c r="DI630" i="34"/>
  <c r="DJ630" i="34"/>
  <c r="DO630" i="34"/>
  <c r="DS630" i="34" s="1" a="1"/>
  <c r="DS630" i="34" s="1"/>
  <c r="DP630" i="34"/>
  <c r="DR630" i="34" a="1"/>
  <c r="DR630" i="34"/>
  <c r="DU630" i="34"/>
  <c r="DX630" i="34" s="1" a="1"/>
  <c r="DX630" i="34" s="1"/>
  <c r="DV630" i="34"/>
  <c r="DY630" i="34" a="1"/>
  <c r="DY630" i="34" s="1"/>
  <c r="EA630" i="34"/>
  <c r="EB630" i="34"/>
  <c r="ED630" i="34" s="1" a="1"/>
  <c r="ED630" i="34" s="1"/>
  <c r="BS631" i="34"/>
  <c r="BV631" i="34" s="1" a="1"/>
  <c r="BV631" i="34" s="1"/>
  <c r="BT631" i="34"/>
  <c r="BW631" i="34" a="1"/>
  <c r="BW631" i="34" s="1"/>
  <c r="BY631" i="34"/>
  <c r="CC631" i="34" s="1" a="1"/>
  <c r="CC631" i="34" s="1"/>
  <c r="BZ631" i="34"/>
  <c r="CB631" i="34" a="1"/>
  <c r="CB631" i="34" s="1"/>
  <c r="CE631" i="34"/>
  <c r="CH631" i="34" s="1" a="1"/>
  <c r="CH631" i="34" s="1"/>
  <c r="CF631" i="34"/>
  <c r="CK631" i="34"/>
  <c r="CL631" i="34"/>
  <c r="CN631" i="34" s="1" a="1"/>
  <c r="CN631" i="34" s="1"/>
  <c r="CQ631" i="34" a="1"/>
  <c r="CQ631" i="34" s="1"/>
  <c r="CR631" i="34"/>
  <c r="CW631" i="34"/>
  <c r="CX631" i="34"/>
  <c r="CZ631" i="34" a="1"/>
  <c r="CZ631" i="34" s="1"/>
  <c r="DA631" i="34" a="1"/>
  <c r="DA631" i="34" s="1"/>
  <c r="DC631" i="34"/>
  <c r="DF631" i="34" s="1" a="1"/>
  <c r="DF631" i="34" s="1"/>
  <c r="DD631" i="34"/>
  <c r="DI631" i="34"/>
  <c r="DL631" i="34" s="1" a="1"/>
  <c r="DL631" i="34" s="1"/>
  <c r="DJ631" i="34"/>
  <c r="DO631" i="34"/>
  <c r="DS631" i="34" s="1" a="1"/>
  <c r="DS631" i="34" s="1"/>
  <c r="DP631" i="34"/>
  <c r="DR631" i="34" a="1"/>
  <c r="DR631" i="34" s="1"/>
  <c r="DU631" i="34"/>
  <c r="DV631" i="34"/>
  <c r="DY631" i="34" s="1" a="1"/>
  <c r="DY631" i="34" s="1"/>
  <c r="EA631" i="34"/>
  <c r="ED631" i="34" s="1" a="1"/>
  <c r="ED631" i="34" s="1"/>
  <c r="EB631" i="34"/>
  <c r="EE631" i="34" a="1"/>
  <c r="EE631" i="34" s="1"/>
  <c r="BS632" i="34"/>
  <c r="BV632" i="34" s="1" a="1"/>
  <c r="BV632" i="34" s="1"/>
  <c r="BT632" i="34"/>
  <c r="BY632" i="34"/>
  <c r="BZ632" i="34"/>
  <c r="CB632" i="34" a="1"/>
  <c r="CB632" i="34" s="1"/>
  <c r="CC632" i="34" a="1"/>
  <c r="CC632" i="34" s="1"/>
  <c r="CE632" i="34"/>
  <c r="CF632" i="34"/>
  <c r="CH632" i="34" a="1"/>
  <c r="CH632" i="34" s="1"/>
  <c r="CI632" i="34" a="1"/>
  <c r="CI632" i="34" s="1"/>
  <c r="CK632" i="34"/>
  <c r="CN632" i="34" s="1" a="1"/>
  <c r="CL632" i="34"/>
  <c r="CN632" i="34"/>
  <c r="CQ632" i="34" a="1"/>
  <c r="CQ632" i="34" s="1"/>
  <c r="CR632" i="34"/>
  <c r="CW632" i="34"/>
  <c r="CX632" i="34"/>
  <c r="CZ632" i="34" s="1" a="1"/>
  <c r="CZ632" i="34" s="1"/>
  <c r="DC632" i="34"/>
  <c r="DD632" i="34"/>
  <c r="DI632" i="34"/>
  <c r="DM632" i="34" s="1" a="1"/>
  <c r="DM632" i="34" s="1"/>
  <c r="DJ632" i="34"/>
  <c r="DL632" i="34" a="1"/>
  <c r="DL632" i="34"/>
  <c r="DO632" i="34"/>
  <c r="DR632" i="34" s="1" a="1"/>
  <c r="DR632" i="34" s="1"/>
  <c r="DP632" i="34"/>
  <c r="DS632" i="34" a="1"/>
  <c r="DS632" i="34" s="1"/>
  <c r="DU632" i="34"/>
  <c r="DV632" i="34"/>
  <c r="DX632" i="34" s="1" a="1"/>
  <c r="DX632" i="34" s="1"/>
  <c r="EA632" i="34"/>
  <c r="ED632" i="34" s="1" a="1"/>
  <c r="ED632" i="34" s="1"/>
  <c r="EB632" i="34"/>
  <c r="EE632" i="34" a="1"/>
  <c r="EE632" i="34" s="1"/>
  <c r="BS633" i="34"/>
  <c r="BW633" i="34" s="1" a="1"/>
  <c r="BW633" i="34" s="1"/>
  <c r="BT633" i="34"/>
  <c r="BV633" i="34" a="1"/>
  <c r="BV633" i="34" s="1"/>
  <c r="BY633" i="34"/>
  <c r="CB633" i="34" s="1" a="1"/>
  <c r="CB633" i="34" s="1"/>
  <c r="BZ633" i="34"/>
  <c r="CE633" i="34"/>
  <c r="CF633" i="34"/>
  <c r="CH633" i="34" s="1" a="1"/>
  <c r="CH633" i="34" s="1"/>
  <c r="CK633" i="34"/>
  <c r="CL633" i="34"/>
  <c r="CQ633" i="34" a="1"/>
  <c r="CQ633" i="34" s="1"/>
  <c r="CR633" i="34"/>
  <c r="CW633" i="34"/>
  <c r="CZ633" i="34" s="1" a="1"/>
  <c r="CX633" i="34"/>
  <c r="CZ633" i="34"/>
  <c r="DC633" i="34"/>
  <c r="DF633" i="34" s="1" a="1"/>
  <c r="DF633" i="34" s="1"/>
  <c r="DD633" i="34"/>
  <c r="DI633" i="34"/>
  <c r="DM633" i="34" s="1" a="1"/>
  <c r="DM633" i="34" s="1"/>
  <c r="DJ633" i="34"/>
  <c r="DL633" i="34" a="1"/>
  <c r="DL633" i="34" s="1"/>
  <c r="DO633" i="34"/>
  <c r="DR633" i="34" s="1" a="1"/>
  <c r="DR633" i="34" s="1"/>
  <c r="DP633" i="34"/>
  <c r="DS633" i="34" s="1" a="1"/>
  <c r="DS633" i="34" s="1"/>
  <c r="DU633" i="34"/>
  <c r="DX633" i="34" s="1" a="1"/>
  <c r="DX633" i="34" s="1"/>
  <c r="DV633" i="34"/>
  <c r="DY633" i="34" a="1"/>
  <c r="DY633" i="34" s="1"/>
  <c r="EA633" i="34"/>
  <c r="ED633" i="34" s="1" a="1"/>
  <c r="ED633" i="34" s="1"/>
  <c r="EB633" i="34"/>
  <c r="BS634" i="34"/>
  <c r="BT634" i="34"/>
  <c r="BV634" i="34" a="1"/>
  <c r="BV634" i="34" s="1"/>
  <c r="BW634" i="34" a="1"/>
  <c r="BW634" i="34" s="1"/>
  <c r="BY634" i="34"/>
  <c r="BZ634" i="34"/>
  <c r="CB634" i="34" a="1"/>
  <c r="CB634" i="34" s="1"/>
  <c r="CC634" i="34" a="1"/>
  <c r="CC634" i="34" s="1"/>
  <c r="CE634" i="34"/>
  <c r="CH634" i="34" s="1" a="1"/>
  <c r="CH634" i="34" s="1"/>
  <c r="CF634" i="34"/>
  <c r="CK634" i="34"/>
  <c r="CN634" i="34" s="1" a="1"/>
  <c r="CN634" i="34" s="1"/>
  <c r="CL634" i="34"/>
  <c r="CQ634" i="34" a="1"/>
  <c r="CQ634" i="34" s="1"/>
  <c r="CR634" i="34"/>
  <c r="CW634" i="34"/>
  <c r="CX634" i="34"/>
  <c r="DC634" i="34"/>
  <c r="DG634" i="34" s="1" a="1"/>
  <c r="DG634" i="34" s="1"/>
  <c r="DD634" i="34"/>
  <c r="DF634" i="34" a="1"/>
  <c r="DF634" i="34"/>
  <c r="DI634" i="34"/>
  <c r="DL634" i="34" s="1" a="1"/>
  <c r="DL634" i="34" s="1"/>
  <c r="DJ634" i="34"/>
  <c r="DM634" i="34" a="1"/>
  <c r="DM634" i="34" s="1"/>
  <c r="DO634" i="34"/>
  <c r="DP634" i="34"/>
  <c r="DR634" i="34" s="1" a="1"/>
  <c r="DR634" i="34" s="1"/>
  <c r="DU634" i="34"/>
  <c r="DX634" i="34" s="1" a="1"/>
  <c r="DX634" i="34" s="1"/>
  <c r="DV634" i="34"/>
  <c r="DY634" i="34" a="1"/>
  <c r="DY634" i="34" s="1"/>
  <c r="EA634" i="34"/>
  <c r="EE634" i="34" s="1" a="1"/>
  <c r="EE634" i="34" s="1"/>
  <c r="EB634" i="34"/>
  <c r="ED634" i="34" a="1"/>
  <c r="ED634" i="34" s="1"/>
  <c r="BS635" i="34"/>
  <c r="BV635" i="34" s="1" a="1"/>
  <c r="BV635" i="34" s="1"/>
  <c r="BT635" i="34"/>
  <c r="BY635" i="34"/>
  <c r="BZ635" i="34"/>
  <c r="CB635" i="34" s="1" a="1"/>
  <c r="CB635" i="34" s="1"/>
  <c r="CE635" i="34"/>
  <c r="CF635" i="34"/>
  <c r="CK635" i="34"/>
  <c r="CO635" i="34" s="1" a="1"/>
  <c r="CO635" i="34" s="1"/>
  <c r="CL635" i="34"/>
  <c r="CN635" i="34" a="1"/>
  <c r="CN635" i="34"/>
  <c r="CQ635" i="34" a="1"/>
  <c r="CQ635" i="34" s="1"/>
  <c r="CR635" i="34"/>
  <c r="CW635" i="34"/>
  <c r="CZ635" i="34" s="1" a="1"/>
  <c r="CZ635" i="34" s="1"/>
  <c r="CX635" i="34"/>
  <c r="DC635" i="34"/>
  <c r="DG635" i="34" s="1" a="1"/>
  <c r="DG635" i="34" s="1"/>
  <c r="DD635" i="34"/>
  <c r="DF635" i="34" a="1"/>
  <c r="DF635" i="34" s="1"/>
  <c r="DI635" i="34"/>
  <c r="DJ635" i="34"/>
  <c r="DM635" i="34" s="1" a="1"/>
  <c r="DM635" i="34" s="1"/>
  <c r="DO635" i="34"/>
  <c r="DR635" i="34" s="1" a="1"/>
  <c r="DR635" i="34" s="1"/>
  <c r="DP635" i="34"/>
  <c r="DS635" i="34" a="1"/>
  <c r="DS635" i="34" s="1"/>
  <c r="DU635" i="34"/>
  <c r="DX635" i="34" s="1" a="1"/>
  <c r="DX635" i="34" s="1"/>
  <c r="DV635" i="34"/>
  <c r="EA635" i="34"/>
  <c r="EB635" i="34"/>
  <c r="ED635" i="34" a="1"/>
  <c r="ED635" i="34" s="1"/>
  <c r="EE635" i="34" a="1"/>
  <c r="EE635" i="34" s="1"/>
  <c r="BS636" i="34"/>
  <c r="BT636" i="34"/>
  <c r="BV636" i="34" a="1"/>
  <c r="BV636" i="34" s="1"/>
  <c r="BW636" i="34" a="1"/>
  <c r="BW636" i="34" s="1"/>
  <c r="BY636" i="34"/>
  <c r="CB636" i="34" s="1" a="1"/>
  <c r="BZ636" i="34"/>
  <c r="CB636" i="34"/>
  <c r="CE636" i="34"/>
  <c r="CH636" i="34" s="1" a="1"/>
  <c r="CH636" i="34" s="1"/>
  <c r="CF636" i="34"/>
  <c r="CK636" i="34"/>
  <c r="CO636" i="34" s="1" a="1"/>
  <c r="CO636" i="34" s="1"/>
  <c r="CL636" i="34"/>
  <c r="CN636" i="34" a="1"/>
  <c r="CN636" i="34" s="1"/>
  <c r="CQ636" i="34" a="1"/>
  <c r="CQ636" i="34"/>
  <c r="CR636" i="34"/>
  <c r="CW636" i="34"/>
  <c r="DA636" i="34" s="1" a="1"/>
  <c r="DA636" i="34" s="1"/>
  <c r="CX636" i="34"/>
  <c r="CZ636" i="34" a="1"/>
  <c r="CZ636" i="34"/>
  <c r="DC636" i="34"/>
  <c r="DF636" i="34" s="1" a="1"/>
  <c r="DF636" i="34" s="1"/>
  <c r="DD636" i="34"/>
  <c r="DG636" i="34" a="1"/>
  <c r="DG636" i="34" s="1"/>
  <c r="DI636" i="34"/>
  <c r="DJ636" i="34"/>
  <c r="DL636" i="34" s="1" a="1"/>
  <c r="DL636" i="34" s="1"/>
  <c r="DO636" i="34"/>
  <c r="DR636" i="34" s="1" a="1"/>
  <c r="DR636" i="34" s="1"/>
  <c r="DP636" i="34"/>
  <c r="DS636" i="34" a="1"/>
  <c r="DS636" i="34" s="1"/>
  <c r="DU636" i="34"/>
  <c r="DY636" i="34" s="1" a="1"/>
  <c r="DY636" i="34" s="1"/>
  <c r="DV636" i="34"/>
  <c r="DX636" i="34" a="1"/>
  <c r="DX636" i="34" s="1"/>
  <c r="EA636" i="34"/>
  <c r="ED636" i="34" s="1" a="1"/>
  <c r="ED636" i="34" s="1"/>
  <c r="EB636" i="34"/>
  <c r="BS637" i="34"/>
  <c r="BT637" i="34"/>
  <c r="BV637" i="34" s="1" a="1"/>
  <c r="BV637" i="34" s="1"/>
  <c r="BY637" i="34"/>
  <c r="BZ637" i="34"/>
  <c r="CE637" i="34"/>
  <c r="CI637" i="34" s="1" a="1"/>
  <c r="CI637" i="34" s="1"/>
  <c r="CF637" i="34"/>
  <c r="CH637" i="34" a="1"/>
  <c r="CH637" i="34"/>
  <c r="CK637" i="34"/>
  <c r="CN637" i="34" s="1" a="1"/>
  <c r="CN637" i="34" s="1"/>
  <c r="CL637" i="34"/>
  <c r="CO637" i="34" a="1"/>
  <c r="CO637" i="34" s="1"/>
  <c r="CQ637" i="34" a="1"/>
  <c r="CQ637" i="34"/>
  <c r="CT637" i="34" s="1" a="1"/>
  <c r="CT637" i="34" s="1"/>
  <c r="CR637" i="34"/>
  <c r="CW637" i="34"/>
  <c r="DA637" i="34" s="1" a="1"/>
  <c r="DA637" i="34" s="1"/>
  <c r="CX637" i="34"/>
  <c r="CZ637" i="34" a="1"/>
  <c r="CZ637" i="34" s="1"/>
  <c r="DC637" i="34"/>
  <c r="DF637" i="34" s="1" a="1"/>
  <c r="DF637" i="34" s="1"/>
  <c r="DD637" i="34"/>
  <c r="DG637" i="34" s="1" a="1"/>
  <c r="DG637" i="34" s="1"/>
  <c r="DI637" i="34"/>
  <c r="DL637" i="34" s="1" a="1"/>
  <c r="DL637" i="34" s="1"/>
  <c r="DJ637" i="34"/>
  <c r="DM637" i="34" a="1"/>
  <c r="DM637" i="34" s="1"/>
  <c r="DO637" i="34"/>
  <c r="DR637" i="34" s="1" a="1"/>
  <c r="DR637" i="34" s="1"/>
  <c r="DP637" i="34"/>
  <c r="DU637" i="34"/>
  <c r="DV637" i="34"/>
  <c r="DX637" i="34" a="1"/>
  <c r="DX637" i="34"/>
  <c r="DY637" i="34" a="1"/>
  <c r="DY637" i="34" s="1"/>
  <c r="EA637" i="34"/>
  <c r="EB637" i="34"/>
  <c r="ED637" i="34" a="1"/>
  <c r="ED637" i="34" s="1"/>
  <c r="EE637" i="34" a="1"/>
  <c r="EE637" i="34" s="1"/>
  <c r="BS638" i="34"/>
  <c r="BV638" i="34" s="1" a="1"/>
  <c r="BT638" i="34"/>
  <c r="BV638" i="34"/>
  <c r="BY638" i="34"/>
  <c r="CB638" i="34" s="1" a="1"/>
  <c r="CB638" i="34" s="1"/>
  <c r="BZ638" i="34"/>
  <c r="CE638" i="34"/>
  <c r="CI638" i="34" s="1" a="1"/>
  <c r="CI638" i="34" s="1"/>
  <c r="CF638" i="34"/>
  <c r="CH638" i="34" a="1"/>
  <c r="CH638" i="34" s="1"/>
  <c r="CK638" i="34"/>
  <c r="CN638" i="34" s="1" a="1"/>
  <c r="CN638" i="34" s="1"/>
  <c r="CL638" i="34"/>
  <c r="CO638" i="34" s="1" a="1"/>
  <c r="CO638" i="34" s="1"/>
  <c r="CQ638" i="34" a="1"/>
  <c r="CQ638" i="34" s="1"/>
  <c r="CR638" i="34"/>
  <c r="CW638" i="34"/>
  <c r="CZ638" i="34" s="1" a="1"/>
  <c r="CZ638" i="34" s="1"/>
  <c r="CX638" i="34"/>
  <c r="DA638" i="34" a="1"/>
  <c r="DA638" i="34" s="1"/>
  <c r="DC638" i="34"/>
  <c r="DD638" i="34"/>
  <c r="DF638" i="34" s="1" a="1"/>
  <c r="DF638" i="34" s="1"/>
  <c r="DI638" i="34"/>
  <c r="DL638" i="34" s="1" a="1"/>
  <c r="DL638" i="34" s="1"/>
  <c r="DJ638" i="34"/>
  <c r="DM638" i="34" a="1"/>
  <c r="DM638" i="34" s="1"/>
  <c r="DO638" i="34"/>
  <c r="DS638" i="34" s="1" a="1"/>
  <c r="DS638" i="34" s="1"/>
  <c r="DP638" i="34"/>
  <c r="DR638" i="34" a="1"/>
  <c r="DR638" i="34" s="1"/>
  <c r="DU638" i="34"/>
  <c r="DX638" i="34" s="1" a="1"/>
  <c r="DX638" i="34" s="1"/>
  <c r="DV638" i="34"/>
  <c r="EA638" i="34"/>
  <c r="EB638" i="34"/>
  <c r="ED638" i="34" s="1" a="1"/>
  <c r="ED638" i="34" s="1"/>
  <c r="BS639" i="34"/>
  <c r="BT639" i="34"/>
  <c r="BY639" i="34"/>
  <c r="BZ639" i="34"/>
  <c r="CB639" i="34" a="1"/>
  <c r="CB639" i="34"/>
  <c r="CC639" i="34" a="1"/>
  <c r="CC639" i="34"/>
  <c r="CE639" i="34"/>
  <c r="CH639" i="34" s="1" a="1"/>
  <c r="CH639" i="34" s="1"/>
  <c r="CF639" i="34"/>
  <c r="CI639" i="34" a="1"/>
  <c r="CI639" i="34" s="1"/>
  <c r="CK639" i="34"/>
  <c r="CL639" i="34"/>
  <c r="CO639" i="34" s="1" a="1"/>
  <c r="CO639" i="34" s="1"/>
  <c r="CN639" i="34" a="1"/>
  <c r="CN639" i="34" s="1"/>
  <c r="CQ639" i="34" a="1"/>
  <c r="CQ639" i="34"/>
  <c r="CU639" i="34" s="1" a="1"/>
  <c r="CU639" i="34" s="1"/>
  <c r="CR639" i="34"/>
  <c r="CT639" i="34" a="1"/>
  <c r="CT639" i="34" s="1"/>
  <c r="CW639" i="34"/>
  <c r="CZ639" i="34" s="1" a="1"/>
  <c r="CZ639" i="34" s="1"/>
  <c r="CX639" i="34"/>
  <c r="DA639" i="34" s="1" a="1"/>
  <c r="DA639" i="34" s="1"/>
  <c r="DC639" i="34"/>
  <c r="DF639" i="34" s="1" a="1"/>
  <c r="DF639" i="34" s="1"/>
  <c r="DD639" i="34"/>
  <c r="DG639" i="34" a="1"/>
  <c r="DG639" i="34" s="1"/>
  <c r="DI639" i="34"/>
  <c r="DL639" i="34" s="1" a="1"/>
  <c r="DL639" i="34" s="1"/>
  <c r="DJ639" i="34"/>
  <c r="DO639" i="34"/>
  <c r="DP639" i="34"/>
  <c r="DR639" i="34" a="1"/>
  <c r="DR639" i="34"/>
  <c r="DS639" i="34" a="1"/>
  <c r="DS639" i="34" s="1"/>
  <c r="DU639" i="34"/>
  <c r="DV639" i="34"/>
  <c r="DX639" i="34" a="1"/>
  <c r="DX639" i="34" s="1"/>
  <c r="DY639" i="34" a="1"/>
  <c r="DY639" i="34" s="1"/>
  <c r="EA639" i="34"/>
  <c r="ED639" i="34" s="1" a="1"/>
  <c r="ED639" i="34" s="1"/>
  <c r="EB639" i="34"/>
  <c r="BS640" i="34"/>
  <c r="BV640" i="34" s="1" a="1"/>
  <c r="BV640" i="34" s="1"/>
  <c r="BT640" i="34"/>
  <c r="BY640" i="34"/>
  <c r="CC640" i="34" s="1" a="1"/>
  <c r="CC640" i="34" s="1"/>
  <c r="BZ640" i="34"/>
  <c r="CB640" i="34" a="1"/>
  <c r="CB640" i="34" s="1"/>
  <c r="CE640" i="34"/>
  <c r="CF640" i="34"/>
  <c r="CI640" i="34" s="1" a="1"/>
  <c r="CI640" i="34" s="1"/>
  <c r="CK640" i="34"/>
  <c r="CN640" i="34" s="1" a="1"/>
  <c r="CN640" i="34" s="1"/>
  <c r="CL640" i="34"/>
  <c r="CO640" i="34" a="1"/>
  <c r="CO640" i="34" s="1"/>
  <c r="CQ640" i="34" a="1"/>
  <c r="CQ640" i="34" s="1"/>
  <c r="CT640" i="34" s="1" a="1"/>
  <c r="CT640" i="34" s="1"/>
  <c r="CR640" i="34"/>
  <c r="CU640" i="34" a="1"/>
  <c r="CU640" i="34" s="1"/>
  <c r="CW640" i="34"/>
  <c r="CX640" i="34"/>
  <c r="CZ640" i="34" s="1" a="1"/>
  <c r="CZ640" i="34" s="1"/>
  <c r="DC640" i="34"/>
  <c r="DF640" i="34" s="1" a="1"/>
  <c r="DF640" i="34" s="1"/>
  <c r="DD640" i="34"/>
  <c r="DG640" i="34" a="1"/>
  <c r="DG640" i="34" s="1"/>
  <c r="DI640" i="34"/>
  <c r="DM640" i="34" s="1" a="1"/>
  <c r="DM640" i="34" s="1"/>
  <c r="DJ640" i="34"/>
  <c r="DL640" i="34" a="1"/>
  <c r="DL640" i="34" s="1"/>
  <c r="DO640" i="34"/>
  <c r="DR640" i="34" s="1" a="1"/>
  <c r="DR640" i="34" s="1"/>
  <c r="DP640" i="34"/>
  <c r="DU640" i="34"/>
  <c r="DV640" i="34"/>
  <c r="DX640" i="34" s="1" a="1"/>
  <c r="DX640" i="34" s="1"/>
  <c r="EA640" i="34"/>
  <c r="EB640" i="34"/>
  <c r="BS641" i="34"/>
  <c r="BT641" i="34"/>
  <c r="BV641" i="34" a="1"/>
  <c r="BV641" i="34"/>
  <c r="BW641" i="34" a="1"/>
  <c r="BW641" i="34"/>
  <c r="BY641" i="34"/>
  <c r="CB641" i="34" s="1" a="1"/>
  <c r="CB641" i="34" s="1"/>
  <c r="BZ641" i="34"/>
  <c r="CC641" i="34" a="1"/>
  <c r="CC641" i="34" s="1"/>
  <c r="CE641" i="34"/>
  <c r="CF641" i="34"/>
  <c r="CI641" i="34" s="1" a="1"/>
  <c r="CI641" i="34" s="1"/>
  <c r="CH641" i="34" a="1"/>
  <c r="CH641" i="34" s="1"/>
  <c r="CK641" i="34"/>
  <c r="CN641" i="34" s="1" a="1"/>
  <c r="CN641" i="34" s="1"/>
  <c r="CL641" i="34"/>
  <c r="CO641" i="34" a="1"/>
  <c r="CO641" i="34" s="1"/>
  <c r="CQ641" i="34" a="1"/>
  <c r="CQ641" i="34" s="1"/>
  <c r="CR641" i="34"/>
  <c r="CW641" i="34"/>
  <c r="CZ641" i="34" s="1" a="1"/>
  <c r="CZ641" i="34" s="1"/>
  <c r="CX641" i="34"/>
  <c r="DA641" i="34" a="1"/>
  <c r="DA641" i="34" s="1"/>
  <c r="DC641" i="34"/>
  <c r="DF641" i="34" s="1" a="1"/>
  <c r="DF641" i="34" s="1"/>
  <c r="DD641" i="34"/>
  <c r="DI641" i="34"/>
  <c r="DJ641" i="34"/>
  <c r="DL641" i="34" a="1"/>
  <c r="DL641" i="34"/>
  <c r="DM641" i="34" a="1"/>
  <c r="DM641" i="34" s="1"/>
  <c r="DO641" i="34"/>
  <c r="DP641" i="34"/>
  <c r="DR641" i="34" a="1"/>
  <c r="DR641" i="34" s="1"/>
  <c r="DS641" i="34" a="1"/>
  <c r="DS641" i="34" s="1"/>
  <c r="DU641" i="34"/>
  <c r="DX641" i="34" s="1" a="1"/>
  <c r="DV641" i="34"/>
  <c r="DX641" i="34"/>
  <c r="EA641" i="34"/>
  <c r="ED641" i="34" s="1" a="1"/>
  <c r="ED641" i="34" s="1"/>
  <c r="EB641" i="34"/>
  <c r="BS642" i="34"/>
  <c r="BW642" i="34" s="1" a="1"/>
  <c r="BW642" i="34" s="1"/>
  <c r="BT642" i="34"/>
  <c r="BV642" i="34" a="1"/>
  <c r="BV642" i="34" s="1"/>
  <c r="BY642" i="34"/>
  <c r="CB642" i="34" s="1" a="1"/>
  <c r="CB642" i="34" s="1"/>
  <c r="BZ642" i="34"/>
  <c r="CC642" i="34" s="1" a="1"/>
  <c r="CC642" i="34" s="1"/>
  <c r="CE642" i="34"/>
  <c r="CH642" i="34" s="1" a="1"/>
  <c r="CH642" i="34" s="1"/>
  <c r="CF642" i="34"/>
  <c r="CI642" i="34" a="1"/>
  <c r="CI642" i="34" s="1"/>
  <c r="CK642" i="34"/>
  <c r="CN642" i="34" s="1" a="1"/>
  <c r="CN642" i="34" s="1"/>
  <c r="CL642" i="34"/>
  <c r="CQ642" i="34" a="1"/>
  <c r="CQ642" i="34" s="1"/>
  <c r="CR642" i="34"/>
  <c r="CW642" i="34"/>
  <c r="CZ642" i="34" s="1" a="1"/>
  <c r="CZ642" i="34" s="1"/>
  <c r="CX642" i="34"/>
  <c r="DA642" i="34" a="1"/>
  <c r="DA642" i="34" s="1"/>
  <c r="DC642" i="34"/>
  <c r="DG642" i="34" s="1" a="1"/>
  <c r="DG642" i="34" s="1"/>
  <c r="DD642" i="34"/>
  <c r="DF642" i="34" a="1"/>
  <c r="DF642" i="34" s="1"/>
  <c r="DI642" i="34"/>
  <c r="DL642" i="34" s="1" a="1"/>
  <c r="DL642" i="34" s="1"/>
  <c r="DJ642" i="34"/>
  <c r="DO642" i="34"/>
  <c r="DP642" i="34"/>
  <c r="DR642" i="34" s="1" a="1"/>
  <c r="DR642" i="34" s="1"/>
  <c r="DU642" i="34"/>
  <c r="DV642" i="34"/>
  <c r="EA642" i="34"/>
  <c r="EB642" i="34"/>
  <c r="ED642" i="34" a="1"/>
  <c r="ED642" i="34"/>
  <c r="EE642" i="34" a="1"/>
  <c r="EE642" i="34"/>
  <c r="BS643" i="34"/>
  <c r="BV643" i="34" s="1" a="1"/>
  <c r="BV643" i="34" s="1"/>
  <c r="BT643" i="34"/>
  <c r="BW643" i="34" a="1"/>
  <c r="BW643" i="34" s="1"/>
  <c r="BY643" i="34"/>
  <c r="BZ643" i="34"/>
  <c r="CC643" i="34" s="1" a="1"/>
  <c r="CC643" i="34" s="1"/>
  <c r="CB643" i="34" a="1"/>
  <c r="CB643" i="34" s="1"/>
  <c r="CE643" i="34"/>
  <c r="CH643" i="34" s="1" a="1"/>
  <c r="CH643" i="34" s="1"/>
  <c r="CF643" i="34"/>
  <c r="CI643" i="34" a="1"/>
  <c r="CI643" i="34" s="1"/>
  <c r="CK643" i="34"/>
  <c r="CO643" i="34" s="1" a="1"/>
  <c r="CO643" i="34" s="1"/>
  <c r="CL643" i="34"/>
  <c r="CN643" i="34" a="1"/>
  <c r="CN643" i="34" s="1"/>
  <c r="CQ643" i="34" a="1"/>
  <c r="CQ643" i="34" s="1"/>
  <c r="CR643" i="34"/>
  <c r="CW643" i="34"/>
  <c r="CZ643" i="34" s="1" a="1"/>
  <c r="CZ643" i="34" s="1"/>
  <c r="CX643" i="34"/>
  <c r="DC643" i="34"/>
  <c r="DD643" i="34"/>
  <c r="DF643" i="34" a="1"/>
  <c r="DF643" i="34"/>
  <c r="DG643" i="34" a="1"/>
  <c r="DG643" i="34" s="1"/>
  <c r="DI643" i="34"/>
  <c r="DJ643" i="34"/>
  <c r="DL643" i="34" a="1"/>
  <c r="DL643" i="34" s="1"/>
  <c r="DM643" i="34" a="1"/>
  <c r="DM643" i="34" s="1"/>
  <c r="DO643" i="34"/>
  <c r="DR643" i="34" s="1" a="1"/>
  <c r="DR643" i="34" s="1"/>
  <c r="DP643" i="34"/>
  <c r="DU643" i="34"/>
  <c r="DX643" i="34" s="1" a="1"/>
  <c r="DX643" i="34" s="1"/>
  <c r="DV643" i="34"/>
  <c r="EA643" i="34"/>
  <c r="EE643" i="34" s="1" a="1"/>
  <c r="EE643" i="34" s="1"/>
  <c r="EB643" i="34"/>
  <c r="ED643" i="34" a="1"/>
  <c r="ED643" i="34" s="1"/>
  <c r="BS644" i="34"/>
  <c r="BT644" i="34"/>
  <c r="BW644" i="34" s="1" a="1"/>
  <c r="BW644" i="34" s="1"/>
  <c r="BY644" i="34"/>
  <c r="CB644" i="34" s="1" a="1"/>
  <c r="CB644" i="34" s="1"/>
  <c r="BZ644" i="34"/>
  <c r="CC644" i="34" a="1"/>
  <c r="CC644" i="34" s="1"/>
  <c r="CE644" i="34"/>
  <c r="CF644" i="34"/>
  <c r="CK644" i="34"/>
  <c r="CL644" i="34"/>
  <c r="CN644" i="34" a="1"/>
  <c r="CN644" i="34" s="1"/>
  <c r="CO644" i="34" a="1"/>
  <c r="CO644" i="34" s="1"/>
  <c r="CQ644" i="34" a="1"/>
  <c r="CQ644" i="34"/>
  <c r="CR644" i="34"/>
  <c r="CT644" i="34" s="1" a="1"/>
  <c r="CT644" i="34"/>
  <c r="CU644" i="34" a="1"/>
  <c r="CU644" i="34" s="1"/>
  <c r="CW644" i="34"/>
  <c r="DA644" i="34" s="1" a="1"/>
  <c r="DA644" i="34" s="1"/>
  <c r="CX644" i="34"/>
  <c r="CZ644" i="34" a="1"/>
  <c r="CZ644" i="34" s="1"/>
  <c r="DC644" i="34"/>
  <c r="DF644" i="34" s="1" a="1"/>
  <c r="DF644" i="34" s="1"/>
  <c r="DD644" i="34"/>
  <c r="DI644" i="34"/>
  <c r="DJ644" i="34"/>
  <c r="DM644" i="34" s="1" a="1"/>
  <c r="DM644" i="34" s="1"/>
  <c r="DO644" i="34"/>
  <c r="DP644" i="34"/>
  <c r="DU644" i="34"/>
  <c r="DV644" i="34"/>
  <c r="DX644" i="34" a="1"/>
  <c r="DX644" i="34"/>
  <c r="DY644" i="34" a="1"/>
  <c r="DY644" i="34"/>
  <c r="EA644" i="34"/>
  <c r="ED644" i="34" s="1" a="1"/>
  <c r="ED644" i="34" s="1"/>
  <c r="EB644" i="34"/>
  <c r="BS645" i="34"/>
  <c r="BT645" i="34"/>
  <c r="BW645" i="34" s="1" a="1"/>
  <c r="BW645" i="34" s="1"/>
  <c r="BV645" i="34" a="1"/>
  <c r="BV645" i="34" s="1"/>
  <c r="BY645" i="34"/>
  <c r="BZ645" i="34"/>
  <c r="CB645" i="34" s="1" a="1"/>
  <c r="CB645" i="34" s="1"/>
  <c r="CC645" i="34" a="1"/>
  <c r="CC645" i="34" s="1"/>
  <c r="CE645" i="34"/>
  <c r="CI645" i="34" s="1" a="1"/>
  <c r="CI645" i="34" s="1"/>
  <c r="CF645" i="34"/>
  <c r="CH645" i="34" a="1"/>
  <c r="CH645" i="34" s="1"/>
  <c r="CK645" i="34"/>
  <c r="CN645" i="34" s="1" a="1"/>
  <c r="CN645" i="34" s="1"/>
  <c r="CL645" i="34"/>
  <c r="CQ645" i="34" a="1"/>
  <c r="CQ645" i="34"/>
  <c r="CR645" i="34"/>
  <c r="CW645" i="34"/>
  <c r="CX645" i="34"/>
  <c r="CZ645" i="34" a="1"/>
  <c r="CZ645" i="34"/>
  <c r="DA645" i="34" a="1"/>
  <c r="DA645" i="34" s="1"/>
  <c r="DC645" i="34"/>
  <c r="DD645" i="34"/>
  <c r="DF645" i="34" a="1"/>
  <c r="DF645" i="34" s="1"/>
  <c r="DG645" i="34" a="1"/>
  <c r="DG645" i="34"/>
  <c r="DI645" i="34"/>
  <c r="DL645" i="34" s="1" a="1"/>
  <c r="DL645" i="34" s="1"/>
  <c r="DJ645" i="34"/>
  <c r="DO645" i="34"/>
  <c r="DR645" i="34" s="1" a="1"/>
  <c r="DR645" i="34" s="1"/>
  <c r="DP645" i="34"/>
  <c r="DU645" i="34"/>
  <c r="DY645" i="34" s="1" a="1"/>
  <c r="DY645" i="34" s="1"/>
  <c r="DV645" i="34"/>
  <c r="DX645" i="34" a="1"/>
  <c r="DX645" i="34" s="1"/>
  <c r="EA645" i="34"/>
  <c r="ED645" i="34" s="1" a="1"/>
  <c r="ED645" i="34" s="1"/>
  <c r="EB645" i="34"/>
  <c r="EE645" i="34" s="1" a="1"/>
  <c r="EE645" i="34" s="1"/>
  <c r="BS646" i="34"/>
  <c r="BV646" i="34" s="1" a="1"/>
  <c r="BV646" i="34" s="1"/>
  <c r="BT646" i="34"/>
  <c r="BW646" i="34" a="1"/>
  <c r="BW646" i="34" s="1"/>
  <c r="BY646" i="34"/>
  <c r="BZ646" i="34"/>
  <c r="CE646" i="34"/>
  <c r="CF646" i="34"/>
  <c r="CH646" i="34" a="1"/>
  <c r="CH646" i="34" s="1"/>
  <c r="CI646" i="34" a="1"/>
  <c r="CI646" i="34" s="1"/>
  <c r="CK646" i="34"/>
  <c r="CL646" i="34"/>
  <c r="CN646" i="34" a="1"/>
  <c r="CN646" i="34" s="1"/>
  <c r="CO646" i="34" a="1"/>
  <c r="CO646" i="34" s="1"/>
  <c r="CQ646" i="34" a="1"/>
  <c r="CQ646" i="34" s="1"/>
  <c r="CU646" i="34" s="1" a="1"/>
  <c r="CU646" i="34" s="1"/>
  <c r="CR646" i="34"/>
  <c r="CW646" i="34"/>
  <c r="CZ646" i="34" s="1" a="1"/>
  <c r="CZ646" i="34" s="1"/>
  <c r="CX646" i="34"/>
  <c r="DC646" i="34"/>
  <c r="DD646" i="34"/>
  <c r="DG646" i="34" s="1" a="1"/>
  <c r="DG646" i="34" s="1"/>
  <c r="DF646" i="34" a="1"/>
  <c r="DF646" i="34" s="1"/>
  <c r="DI646" i="34"/>
  <c r="DJ646" i="34"/>
  <c r="DO646" i="34"/>
  <c r="DP646" i="34"/>
  <c r="DR646" i="34" a="1"/>
  <c r="DR646" i="34"/>
  <c r="DS646" i="34" a="1"/>
  <c r="DS646" i="34"/>
  <c r="DU646" i="34"/>
  <c r="DX646" i="34" s="1" a="1"/>
  <c r="DX646" i="34" s="1"/>
  <c r="DV646" i="34"/>
  <c r="EA646" i="34"/>
  <c r="EE646" i="34" s="1" a="1"/>
  <c r="EE646" i="34" s="1"/>
  <c r="EB646" i="34"/>
  <c r="ED646" i="34" s="1" a="1"/>
  <c r="ED646" i="34" s="1"/>
  <c r="BS647" i="34"/>
  <c r="BT647" i="34"/>
  <c r="BV647" i="34" s="1" a="1"/>
  <c r="BV647" i="34"/>
  <c r="BW647" i="34" a="1"/>
  <c r="BW647" i="34" s="1"/>
  <c r="BY647" i="34"/>
  <c r="CC647" i="34" s="1" a="1"/>
  <c r="CC647" i="34" s="1"/>
  <c r="BZ647" i="34"/>
  <c r="CB647" i="34" a="1"/>
  <c r="CB647" i="34" s="1"/>
  <c r="CE647" i="34"/>
  <c r="CH647" i="34" s="1" a="1"/>
  <c r="CH647" i="34" s="1"/>
  <c r="CF647" i="34"/>
  <c r="CK647" i="34"/>
  <c r="CL647" i="34"/>
  <c r="CO647" i="34" s="1" a="1"/>
  <c r="CO647" i="34" s="1"/>
  <c r="CN647" i="34" a="1"/>
  <c r="CN647" i="34" s="1"/>
  <c r="CQ647" i="34" a="1"/>
  <c r="CQ647" i="34" s="1"/>
  <c r="CR647" i="34"/>
  <c r="CW647" i="34"/>
  <c r="CX647" i="34"/>
  <c r="CZ647" i="34" a="1"/>
  <c r="CZ647" i="34" s="1"/>
  <c r="DA647" i="34" a="1"/>
  <c r="DA647" i="34"/>
  <c r="DC647" i="34"/>
  <c r="DF647" i="34" s="1" a="1"/>
  <c r="DD647" i="34"/>
  <c r="DF647" i="34"/>
  <c r="DI647" i="34"/>
  <c r="DL647" i="34" s="1" a="1"/>
  <c r="DL647" i="34" s="1"/>
  <c r="DJ647" i="34"/>
  <c r="DO647" i="34"/>
  <c r="DS647" i="34" s="1" a="1"/>
  <c r="DS647" i="34" s="1"/>
  <c r="DP647" i="34"/>
  <c r="DR647" i="34" a="1"/>
  <c r="DR647" i="34"/>
  <c r="DU647" i="34"/>
  <c r="DV647" i="34"/>
  <c r="EA647" i="34"/>
  <c r="ED647" i="34" s="1" a="1"/>
  <c r="ED647" i="34" s="1"/>
  <c r="EB647" i="34"/>
  <c r="EE647" i="34" a="1"/>
  <c r="EE647" i="34" s="1"/>
  <c r="BS648" i="34"/>
  <c r="BT648" i="34"/>
  <c r="BY648" i="34"/>
  <c r="BZ648" i="34"/>
  <c r="CB648" i="34" a="1"/>
  <c r="CB648" i="34" s="1"/>
  <c r="CC648" i="34" a="1"/>
  <c r="CC648" i="34" s="1"/>
  <c r="CE648" i="34"/>
  <c r="CF648" i="34"/>
  <c r="CH648" i="34" a="1"/>
  <c r="CH648" i="34" s="1"/>
  <c r="CI648" i="34" a="1"/>
  <c r="CI648" i="34" s="1"/>
  <c r="CK648" i="34"/>
  <c r="CN648" i="34" s="1" a="1"/>
  <c r="CL648" i="34"/>
  <c r="CN648" i="34"/>
  <c r="CQ648" i="34" a="1"/>
  <c r="CQ648" i="34" s="1"/>
  <c r="CR648" i="34"/>
  <c r="CW648" i="34"/>
  <c r="CX648" i="34"/>
  <c r="DA648" i="34" s="1" a="1"/>
  <c r="DA648" i="34" s="1"/>
  <c r="CZ648" i="34" a="1"/>
  <c r="CZ648" i="34" s="1"/>
  <c r="DC648" i="34"/>
  <c r="DD648" i="34"/>
  <c r="DI648" i="34"/>
  <c r="DL648" i="34" s="1" a="1"/>
  <c r="DL648" i="34" s="1"/>
  <c r="DJ648" i="34"/>
  <c r="DM648" i="34" a="1"/>
  <c r="DM648" i="34"/>
  <c r="DO648" i="34"/>
  <c r="DR648" i="34" s="1" a="1"/>
  <c r="DR648" i="34" s="1"/>
  <c r="DP648" i="34"/>
  <c r="DU648" i="34"/>
  <c r="DY648" i="34" s="1" a="1"/>
  <c r="DY648" i="34" s="1"/>
  <c r="DV648" i="34"/>
  <c r="DX648" i="34" s="1" a="1"/>
  <c r="DX648" i="34" s="1"/>
  <c r="EA648" i="34"/>
  <c r="EB648" i="34"/>
  <c r="ED648" i="34" s="1" a="1"/>
  <c r="ED648" i="34"/>
  <c r="EE648" i="34" a="1"/>
  <c r="EE648" i="34" s="1"/>
  <c r="BS649" i="34"/>
  <c r="BW649" i="34" s="1" a="1"/>
  <c r="BW649" i="34" s="1"/>
  <c r="BT649" i="34"/>
  <c r="BV649" i="34" a="1"/>
  <c r="BV649" i="34" s="1"/>
  <c r="BY649" i="34"/>
  <c r="CB649" i="34" s="1" a="1"/>
  <c r="CB649" i="34" s="1"/>
  <c r="BZ649" i="34"/>
  <c r="CE649" i="34"/>
  <c r="CI649" i="34" s="1" a="1"/>
  <c r="CI649" i="34" s="1"/>
  <c r="CF649" i="34"/>
  <c r="CH649" i="34" a="1"/>
  <c r="CH649" i="34" s="1"/>
  <c r="CK649" i="34"/>
  <c r="CL649" i="34"/>
  <c r="CQ649" i="34" a="1"/>
  <c r="CQ649" i="34" s="1"/>
  <c r="CT649" i="34" s="1" a="1"/>
  <c r="CT649" i="34" s="1"/>
  <c r="CR649" i="34"/>
  <c r="CW649" i="34"/>
  <c r="CZ649" i="34" s="1" a="1"/>
  <c r="CZ649" i="34" s="1"/>
  <c r="CX649" i="34"/>
  <c r="DC649" i="34"/>
  <c r="DF649" i="34" s="1" a="1"/>
  <c r="DF649" i="34" s="1"/>
  <c r="DD649" i="34"/>
  <c r="DI649" i="34"/>
  <c r="DM649" i="34" s="1" a="1"/>
  <c r="DM649" i="34" s="1"/>
  <c r="DJ649" i="34"/>
  <c r="DL649" i="34" a="1"/>
  <c r="DL649" i="34" s="1"/>
  <c r="DO649" i="34"/>
  <c r="DP649" i="34"/>
  <c r="DU649" i="34"/>
  <c r="DX649" i="34" s="1" a="1"/>
  <c r="DX649" i="34" s="1"/>
  <c r="DV649" i="34"/>
  <c r="DY649" i="34" a="1"/>
  <c r="DY649" i="34" s="1"/>
  <c r="EA649" i="34"/>
  <c r="EB649" i="34"/>
  <c r="BS650" i="34"/>
  <c r="BT650" i="34"/>
  <c r="BV650" i="34" a="1"/>
  <c r="BV650" i="34" s="1"/>
  <c r="BW650" i="34" a="1"/>
  <c r="BW650" i="34" s="1"/>
  <c r="BY650" i="34"/>
  <c r="BZ650" i="34"/>
  <c r="CB650" i="34" a="1"/>
  <c r="CB650" i="34" s="1"/>
  <c r="CC650" i="34" a="1"/>
  <c r="CC650" i="34"/>
  <c r="CE650" i="34"/>
  <c r="CH650" i="34" s="1" a="1"/>
  <c r="CF650" i="34"/>
  <c r="CH650" i="34"/>
  <c r="CK650" i="34"/>
  <c r="CN650" i="34" s="1" a="1"/>
  <c r="CN650" i="34" s="1"/>
  <c r="CL650" i="34"/>
  <c r="CQ650" i="34" a="1"/>
  <c r="CQ650" i="34" s="1"/>
  <c r="CR650" i="34"/>
  <c r="CW650" i="34"/>
  <c r="CX650" i="34"/>
  <c r="DC650" i="34"/>
  <c r="DF650" i="34" s="1" a="1"/>
  <c r="DF650" i="34" s="1"/>
  <c r="DD650" i="34"/>
  <c r="DG650" i="34" a="1"/>
  <c r="DG650" i="34"/>
  <c r="DI650" i="34"/>
  <c r="DL650" i="34" s="1" a="1"/>
  <c r="DL650" i="34" s="1"/>
  <c r="DJ650" i="34"/>
  <c r="DO650" i="34"/>
  <c r="DS650" i="34" s="1" a="1"/>
  <c r="DS650" i="34" s="1"/>
  <c r="DP650" i="34"/>
  <c r="DR650" i="34" s="1" a="1"/>
  <c r="DR650" i="34" s="1"/>
  <c r="DU650" i="34"/>
  <c r="DV650" i="34"/>
  <c r="DX650" i="34" s="1" a="1"/>
  <c r="DX650" i="34" s="1"/>
  <c r="DY650" i="34" a="1"/>
  <c r="DY650" i="34" s="1"/>
  <c r="EA650" i="34"/>
  <c r="EE650" i="34" s="1" a="1"/>
  <c r="EE650" i="34" s="1"/>
  <c r="EB650" i="34"/>
  <c r="ED650" i="34" a="1"/>
  <c r="ED650" i="34" s="1"/>
  <c r="BS651" i="34"/>
  <c r="BT651" i="34"/>
  <c r="BY651" i="34"/>
  <c r="BZ651" i="34"/>
  <c r="CB651" i="34" s="1" a="1"/>
  <c r="CB651" i="34" s="1"/>
  <c r="CE651" i="34"/>
  <c r="CH651" i="34" s="1" a="1"/>
  <c r="CH651" i="34" s="1"/>
  <c r="CF651" i="34"/>
  <c r="CK651" i="34"/>
  <c r="CN651" i="34" s="1" a="1"/>
  <c r="CN651" i="34" s="1"/>
  <c r="CL651" i="34"/>
  <c r="CO651" i="34" a="1"/>
  <c r="CO651" i="34"/>
  <c r="CQ651" i="34" a="1"/>
  <c r="CQ651" i="34" s="1"/>
  <c r="CR651" i="34"/>
  <c r="CW651" i="34"/>
  <c r="CZ651" i="34" s="1" a="1"/>
  <c r="CZ651" i="34" s="1"/>
  <c r="CX651" i="34"/>
  <c r="DC651" i="34"/>
  <c r="DG651" i="34" s="1" a="1"/>
  <c r="DG651" i="34" s="1"/>
  <c r="DD651" i="34"/>
  <c r="DF651" i="34" a="1"/>
  <c r="DF651" i="34" s="1"/>
  <c r="DI651" i="34"/>
  <c r="DJ651" i="34"/>
  <c r="DL651" i="34" s="1" a="1"/>
  <c r="DL651" i="34" s="1"/>
  <c r="DM651" i="34" a="1"/>
  <c r="DM651" i="34"/>
  <c r="DO651" i="34"/>
  <c r="DR651" i="34" s="1" a="1"/>
  <c r="DR651" i="34" s="1"/>
  <c r="DP651" i="34"/>
  <c r="DS651" i="34" a="1"/>
  <c r="DS651" i="34" s="1"/>
  <c r="DU651" i="34"/>
  <c r="DV651" i="34"/>
  <c r="EA651" i="34"/>
  <c r="EB651" i="34"/>
  <c r="ED651" i="34" a="1"/>
  <c r="ED651" i="34"/>
  <c r="EE651" i="34" a="1"/>
  <c r="EE651" i="34" s="1"/>
  <c r="BS652" i="34"/>
  <c r="BT652" i="34"/>
  <c r="BV652" i="34" a="1"/>
  <c r="BV652" i="34" s="1"/>
  <c r="BW652" i="34" a="1"/>
  <c r="BW652" i="34"/>
  <c r="BY652" i="34"/>
  <c r="CB652" i="34" s="1" a="1"/>
  <c r="CB652" i="34" s="1"/>
  <c r="BZ652" i="34"/>
  <c r="CE652" i="34"/>
  <c r="CF652" i="34"/>
  <c r="CK652" i="34"/>
  <c r="CO652" i="34" s="1" a="1"/>
  <c r="CO652" i="34" s="1"/>
  <c r="CL652" i="34"/>
  <c r="CQ652" i="34" a="1"/>
  <c r="CQ652" i="34"/>
  <c r="CT652" i="34" s="1" a="1"/>
  <c r="CT652" i="34" s="1"/>
  <c r="CR652" i="34"/>
  <c r="CW652" i="34"/>
  <c r="CZ652" i="34" s="1" a="1"/>
  <c r="CX652" i="34"/>
  <c r="CZ652" i="34"/>
  <c r="DA652" i="34" a="1"/>
  <c r="DA652" i="34"/>
  <c r="DC652" i="34"/>
  <c r="DD652" i="34"/>
  <c r="DI652" i="34"/>
  <c r="DM652" i="34" s="1" a="1"/>
  <c r="DM652" i="34" s="1"/>
  <c r="DJ652" i="34"/>
  <c r="DL652" i="34" s="1" a="1"/>
  <c r="DL652" i="34" s="1"/>
  <c r="DO652" i="34"/>
  <c r="DP652" i="34"/>
  <c r="DR652" i="34" s="1" a="1"/>
  <c r="DR652" i="34" s="1"/>
  <c r="DU652" i="34"/>
  <c r="DY652" i="34" s="1" a="1"/>
  <c r="DV652" i="34"/>
  <c r="DX652" i="34" a="1"/>
  <c r="DX652" i="34" s="1"/>
  <c r="DY652" i="34"/>
  <c r="EA652" i="34"/>
  <c r="EB652" i="34"/>
  <c r="BS653" i="34"/>
  <c r="BT653" i="34"/>
  <c r="BV653" i="34" s="1" a="1"/>
  <c r="BV653" i="34" s="1"/>
  <c r="BY653" i="34"/>
  <c r="CB653" i="34" s="1" a="1"/>
  <c r="BZ653" i="34"/>
  <c r="CB653" i="34"/>
  <c r="CC653" i="34" a="1"/>
  <c r="CC653" i="34" s="1"/>
  <c r="CE653" i="34"/>
  <c r="CH653" i="34" s="1" a="1"/>
  <c r="CH653" i="34" s="1"/>
  <c r="CF653" i="34"/>
  <c r="CI653" i="34" a="1"/>
  <c r="CI653" i="34"/>
  <c r="CK653" i="34"/>
  <c r="CN653" i="34" s="1" a="1"/>
  <c r="CN653" i="34" s="1"/>
  <c r="CL653" i="34"/>
  <c r="CQ653" i="34" a="1"/>
  <c r="CQ653" i="34"/>
  <c r="CR653" i="34"/>
  <c r="CW653" i="34"/>
  <c r="DA653" i="34" s="1" a="1"/>
  <c r="DA653" i="34" s="1"/>
  <c r="CX653" i="34"/>
  <c r="DC653" i="34"/>
  <c r="DF653" i="34" s="1" a="1"/>
  <c r="DF653" i="34" s="1"/>
  <c r="DD653" i="34"/>
  <c r="DG653" i="34" a="1"/>
  <c r="DG653" i="34" s="1"/>
  <c r="DI653" i="34"/>
  <c r="DL653" i="34" s="1" a="1"/>
  <c r="DL653" i="34" s="1"/>
  <c r="DJ653" i="34"/>
  <c r="DM653" i="34" a="1"/>
  <c r="DM653" i="34" s="1"/>
  <c r="DO653" i="34"/>
  <c r="DP653" i="34"/>
  <c r="DU653" i="34"/>
  <c r="DV653" i="34"/>
  <c r="DX653" i="34" a="1"/>
  <c r="DX653" i="34" s="1"/>
  <c r="DY653" i="34" a="1"/>
  <c r="DY653" i="34" s="1"/>
  <c r="EA653" i="34"/>
  <c r="EB653" i="34"/>
  <c r="ED653" i="34" a="1"/>
  <c r="ED653" i="34" s="1"/>
  <c r="EE653" i="34" a="1"/>
  <c r="EE653" i="34" s="1"/>
  <c r="BS654" i="34"/>
  <c r="BV654" i="34" s="1" a="1"/>
  <c r="BT654" i="34"/>
  <c r="BV654" i="34"/>
  <c r="BY654" i="34"/>
  <c r="BZ654" i="34"/>
  <c r="CE654" i="34"/>
  <c r="CF654" i="34"/>
  <c r="CK654" i="34"/>
  <c r="CL654" i="34"/>
  <c r="CO654" i="34" a="1"/>
  <c r="CO654" i="34"/>
  <c r="CQ654" i="34" a="1"/>
  <c r="CQ654" i="34" s="1"/>
  <c r="CR654" i="34"/>
  <c r="CW654" i="34"/>
  <c r="CZ654" i="34" s="1" a="1"/>
  <c r="CZ654" i="34" s="1"/>
  <c r="CX654" i="34"/>
  <c r="DC654" i="34"/>
  <c r="DD654" i="34"/>
  <c r="DF654" i="34" s="1" a="1"/>
  <c r="DF654" i="34" s="1"/>
  <c r="DI654" i="34"/>
  <c r="DJ654" i="34"/>
  <c r="DL654" i="34" s="1" a="1"/>
  <c r="DL654" i="34" s="1"/>
  <c r="DO654" i="34"/>
  <c r="DS654" i="34" s="1" a="1"/>
  <c r="DS654" i="34" s="1"/>
  <c r="DP654" i="34"/>
  <c r="DR654" i="34" a="1"/>
  <c r="DR654" i="34" s="1"/>
  <c r="DU654" i="34"/>
  <c r="DV654" i="34"/>
  <c r="EA654" i="34"/>
  <c r="EB654" i="34"/>
  <c r="ED654" i="34" s="1" a="1"/>
  <c r="ED654" i="34" s="1"/>
  <c r="BS655" i="34"/>
  <c r="BT655" i="34"/>
  <c r="BY655" i="34"/>
  <c r="CB655" i="34" s="1" a="1"/>
  <c r="BZ655" i="34"/>
  <c r="CB655" i="34"/>
  <c r="CC655" i="34" a="1"/>
  <c r="CC655" i="34"/>
  <c r="CE655" i="34"/>
  <c r="CH655" i="34" s="1" a="1"/>
  <c r="CH655" i="34" s="1"/>
  <c r="CF655" i="34"/>
  <c r="CK655" i="34"/>
  <c r="CO655" i="34" s="1" a="1"/>
  <c r="CO655" i="34" s="1"/>
  <c r="CL655" i="34"/>
  <c r="CN655" i="34" a="1"/>
  <c r="CN655" i="34" s="1"/>
  <c r="CQ655" i="34" a="1"/>
  <c r="CQ655" i="34"/>
  <c r="CR655" i="34"/>
  <c r="CW655" i="34"/>
  <c r="CX655" i="34"/>
  <c r="CZ655" i="34" s="1" a="1"/>
  <c r="CZ655" i="34" s="1"/>
  <c r="DA655" i="34" a="1"/>
  <c r="DA655" i="34"/>
  <c r="DC655" i="34"/>
  <c r="DF655" i="34" s="1" a="1"/>
  <c r="DF655" i="34" s="1"/>
  <c r="DD655" i="34"/>
  <c r="DG655" i="34" a="1"/>
  <c r="DG655" i="34" s="1"/>
  <c r="DI655" i="34"/>
  <c r="DJ655" i="34"/>
  <c r="DO655" i="34"/>
  <c r="DP655" i="34"/>
  <c r="DR655" i="34" a="1"/>
  <c r="DR655" i="34" s="1"/>
  <c r="DS655" i="34" a="1"/>
  <c r="DS655" i="34" s="1"/>
  <c r="DU655" i="34"/>
  <c r="DV655" i="34"/>
  <c r="DX655" i="34" a="1"/>
  <c r="DX655" i="34" s="1"/>
  <c r="DY655" i="34" a="1"/>
  <c r="DY655" i="34"/>
  <c r="EA655" i="34"/>
  <c r="ED655" i="34" s="1" a="1"/>
  <c r="ED655" i="34" s="1"/>
  <c r="EB655" i="34"/>
  <c r="BS656" i="34"/>
  <c r="BT656" i="34"/>
  <c r="BY656" i="34"/>
  <c r="CC656" i="34" s="1" a="1"/>
  <c r="CC656" i="34" s="1"/>
  <c r="BZ656" i="34"/>
  <c r="CE656" i="34"/>
  <c r="CF656" i="34"/>
  <c r="CH656" i="34" s="1" a="1"/>
  <c r="CH656" i="34" s="1"/>
  <c r="CK656" i="34"/>
  <c r="CN656" i="34" s="1" a="1"/>
  <c r="CN656" i="34" s="1"/>
  <c r="CL656" i="34"/>
  <c r="CO656" i="34" a="1"/>
  <c r="CO656" i="34" s="1"/>
  <c r="CQ656" i="34" a="1"/>
  <c r="CQ656" i="34" s="1"/>
  <c r="CR656" i="34"/>
  <c r="CW656" i="34"/>
  <c r="CX656" i="34"/>
  <c r="DA656" i="34" s="1" a="1"/>
  <c r="DA656" i="34" s="1"/>
  <c r="CZ656" i="34" a="1"/>
  <c r="CZ656" i="34" s="1"/>
  <c r="DC656" i="34"/>
  <c r="DD656" i="34"/>
  <c r="DI656" i="34"/>
  <c r="DM656" i="34" s="1" a="1"/>
  <c r="DJ656" i="34"/>
  <c r="DL656" i="34" a="1"/>
  <c r="DL656" i="34" s="1"/>
  <c r="DM656" i="34"/>
  <c r="DO656" i="34"/>
  <c r="DP656" i="34"/>
  <c r="DU656" i="34"/>
  <c r="DV656" i="34"/>
  <c r="DX656" i="34" a="1"/>
  <c r="DX656" i="34" s="1"/>
  <c r="EA656" i="34"/>
  <c r="ED656" i="34" s="1" a="1"/>
  <c r="ED656" i="34" s="1"/>
  <c r="EB656" i="34"/>
  <c r="EE656" i="34" a="1"/>
  <c r="EE656" i="34" s="1"/>
  <c r="BS657" i="34"/>
  <c r="BV657" i="34" s="1" a="1"/>
  <c r="BT657" i="34"/>
  <c r="BV657" i="34"/>
  <c r="BW657" i="34" a="1"/>
  <c r="BW657" i="34"/>
  <c r="BY657" i="34"/>
  <c r="CB657" i="34" s="1" a="1"/>
  <c r="CB657" i="34" s="1"/>
  <c r="BZ657" i="34"/>
  <c r="CE657" i="34"/>
  <c r="CI657" i="34" s="1" a="1"/>
  <c r="CI657" i="34" s="1"/>
  <c r="CF657" i="34"/>
  <c r="CH657" i="34" a="1"/>
  <c r="CH657" i="34" s="1"/>
  <c r="CK657" i="34"/>
  <c r="CL657" i="34"/>
  <c r="CN657" i="34" s="1" a="1"/>
  <c r="CN657" i="34" s="1"/>
  <c r="CQ657" i="34" a="1"/>
  <c r="CQ657" i="34" s="1"/>
  <c r="CR657" i="34"/>
  <c r="CW657" i="34"/>
  <c r="CZ657" i="34" s="1" a="1"/>
  <c r="CZ657" i="34" s="1"/>
  <c r="CX657" i="34"/>
  <c r="DA657" i="34" a="1"/>
  <c r="DA657" i="34" s="1"/>
  <c r="DC657" i="34"/>
  <c r="DD657" i="34"/>
  <c r="DI657" i="34"/>
  <c r="DJ657" i="34"/>
  <c r="DL657" i="34" a="1"/>
  <c r="DL657" i="34" s="1"/>
  <c r="DM657" i="34" a="1"/>
  <c r="DM657" i="34" s="1"/>
  <c r="DO657" i="34"/>
  <c r="DP657" i="34"/>
  <c r="DR657" i="34" a="1"/>
  <c r="DR657" i="34" s="1"/>
  <c r="DS657" i="34" a="1"/>
  <c r="DS657" i="34" s="1"/>
  <c r="DU657" i="34"/>
  <c r="DX657" i="34" s="1" a="1"/>
  <c r="DV657" i="34"/>
  <c r="DX657" i="34"/>
  <c r="EA657" i="34"/>
  <c r="EB657" i="34"/>
  <c r="BS658" i="34"/>
  <c r="BW658" i="34" s="1" a="1"/>
  <c r="BW658" i="34" s="1"/>
  <c r="BT658" i="34"/>
  <c r="BY658" i="34"/>
  <c r="BZ658" i="34"/>
  <c r="CB658" i="34" s="1" a="1"/>
  <c r="CB658" i="34" s="1"/>
  <c r="CE658" i="34"/>
  <c r="CH658" i="34" s="1" a="1"/>
  <c r="CH658" i="34" s="1"/>
  <c r="CF658" i="34"/>
  <c r="CI658" i="34" a="1"/>
  <c r="CI658" i="34" s="1"/>
  <c r="CK658" i="34"/>
  <c r="CL658" i="34"/>
  <c r="CQ658" i="34" a="1"/>
  <c r="CQ658" i="34" s="1"/>
  <c r="CU658" i="34" s="1" a="1"/>
  <c r="CU658" i="34" s="1"/>
  <c r="CR658" i="34"/>
  <c r="CW658" i="34"/>
  <c r="CX658" i="34"/>
  <c r="CZ658" i="34" s="1" a="1"/>
  <c r="CZ658" i="34"/>
  <c r="DA658" i="34" a="1"/>
  <c r="DA658" i="34" s="1"/>
  <c r="DC658" i="34"/>
  <c r="DG658" i="34" s="1" a="1"/>
  <c r="DG658" i="34" s="1"/>
  <c r="DD658" i="34"/>
  <c r="DF658" i="34" a="1"/>
  <c r="DF658" i="34" s="1"/>
  <c r="DI658" i="34"/>
  <c r="DJ658" i="34"/>
  <c r="DO658" i="34"/>
  <c r="DP658" i="34"/>
  <c r="DR658" i="34" a="1"/>
  <c r="DR658" i="34" s="1"/>
  <c r="DU658" i="34"/>
  <c r="DX658" i="34" s="1" a="1"/>
  <c r="DX658" i="34" s="1"/>
  <c r="DV658" i="34"/>
  <c r="EA658" i="34"/>
  <c r="ED658" i="34" s="1" a="1"/>
  <c r="ED658" i="34" s="1"/>
  <c r="EB658" i="34"/>
  <c r="EE658" i="34" a="1"/>
  <c r="EE658" i="34"/>
  <c r="BS659" i="34"/>
  <c r="BV659" i="34" s="1" a="1"/>
  <c r="BV659" i="34" s="1"/>
  <c r="BT659" i="34"/>
  <c r="BW659" i="34" a="1"/>
  <c r="BW659" i="34" s="1"/>
  <c r="BY659" i="34"/>
  <c r="BZ659" i="34"/>
  <c r="CC659" i="34" s="1" a="1"/>
  <c r="CC659" i="34" s="1"/>
  <c r="CB659" i="34" a="1"/>
  <c r="CB659" i="34" s="1"/>
  <c r="CE659" i="34"/>
  <c r="CF659" i="34"/>
  <c r="CH659" i="34" s="1" a="1"/>
  <c r="CH659" i="34" s="1"/>
  <c r="CK659" i="34"/>
  <c r="CO659" i="34" s="1" a="1"/>
  <c r="CL659" i="34"/>
  <c r="CN659" i="34" a="1"/>
  <c r="CN659" i="34" s="1"/>
  <c r="CO659" i="34"/>
  <c r="CQ659" i="34" a="1"/>
  <c r="CQ659" i="34" s="1"/>
  <c r="CT659" i="34" s="1" a="1"/>
  <c r="CT659" i="34" s="1"/>
  <c r="CR659" i="34"/>
  <c r="CU659" i="34" a="1"/>
  <c r="CU659" i="34" s="1"/>
  <c r="CW659" i="34"/>
  <c r="CX659" i="34"/>
  <c r="DC659" i="34"/>
  <c r="DD659" i="34"/>
  <c r="DF659" i="34" a="1"/>
  <c r="DF659" i="34" s="1"/>
  <c r="DG659" i="34" a="1"/>
  <c r="DG659" i="34" s="1"/>
  <c r="DI659" i="34"/>
  <c r="DJ659" i="34"/>
  <c r="DL659" i="34" a="1"/>
  <c r="DL659" i="34" s="1"/>
  <c r="DM659" i="34" a="1"/>
  <c r="DM659" i="34" s="1"/>
  <c r="DO659" i="34"/>
  <c r="DR659" i="34" s="1" a="1"/>
  <c r="DP659" i="34"/>
  <c r="DR659" i="34"/>
  <c r="DU659" i="34"/>
  <c r="DV659" i="34"/>
  <c r="EA659" i="34"/>
  <c r="EE659" i="34" s="1" a="1"/>
  <c r="EE659" i="34" s="1"/>
  <c r="EB659" i="34"/>
  <c r="ED659" i="34" a="1"/>
  <c r="ED659" i="34"/>
  <c r="BS660" i="34"/>
  <c r="BV660" i="34" s="1" a="1"/>
  <c r="BV660" i="34" s="1"/>
  <c r="BT660" i="34"/>
  <c r="BW660" i="34" s="1" a="1"/>
  <c r="BW660" i="34" s="1"/>
  <c r="BY660" i="34"/>
  <c r="CB660" i="34" s="1" a="1"/>
  <c r="CB660" i="34" s="1"/>
  <c r="BZ660" i="34"/>
  <c r="CC660" i="34" a="1"/>
  <c r="CC660" i="34" s="1"/>
  <c r="CE660" i="34"/>
  <c r="CF660" i="34"/>
  <c r="CK660" i="34"/>
  <c r="CL660" i="34"/>
  <c r="CN660" i="34" a="1"/>
  <c r="CN660" i="34"/>
  <c r="CO660" i="34" a="1"/>
  <c r="CO660" i="34" s="1"/>
  <c r="CQ660" i="34" a="1"/>
  <c r="CQ660" i="34" s="1"/>
  <c r="CT660" i="34" s="1" a="1"/>
  <c r="CT660" i="34" s="1"/>
  <c r="CR660" i="34"/>
  <c r="CW660" i="34"/>
  <c r="DA660" i="34" s="1" a="1"/>
  <c r="CX660" i="34"/>
  <c r="CZ660" i="34" a="1"/>
  <c r="CZ660" i="34" s="1"/>
  <c r="DA660" i="34"/>
  <c r="DC660" i="34"/>
  <c r="DD660" i="34"/>
  <c r="DI660" i="34"/>
  <c r="DM660" i="34" s="1" a="1"/>
  <c r="DM660" i="34" s="1"/>
  <c r="DJ660" i="34"/>
  <c r="DL660" i="34" s="1" a="1"/>
  <c r="DL660" i="34" s="1"/>
  <c r="DO660" i="34"/>
  <c r="DR660" i="34" s="1" a="1"/>
  <c r="DP660" i="34"/>
  <c r="DR660" i="34"/>
  <c r="DS660" i="34" a="1"/>
  <c r="DS660" i="34" s="1"/>
  <c r="DU660" i="34"/>
  <c r="DX660" i="34" s="1" a="1"/>
  <c r="DX660" i="34" s="1"/>
  <c r="DV660" i="34"/>
  <c r="DY660" i="34" a="1"/>
  <c r="DY660" i="34"/>
  <c r="EA660" i="34"/>
  <c r="ED660" i="34" s="1" a="1"/>
  <c r="ED660" i="34" s="1"/>
  <c r="EB660" i="34"/>
  <c r="EE660" i="34" a="1"/>
  <c r="EE660" i="34" s="1"/>
  <c r="BS661" i="34"/>
  <c r="BT661" i="34"/>
  <c r="BV661" i="34" s="1" a="1"/>
  <c r="BV661" i="34" s="1"/>
  <c r="BY661" i="34"/>
  <c r="BZ661" i="34"/>
  <c r="CB661" i="34" s="1" a="1"/>
  <c r="CB661" i="34"/>
  <c r="CC661" i="34" a="1"/>
  <c r="CC661" i="34" s="1"/>
  <c r="CE661" i="34"/>
  <c r="CF661" i="34"/>
  <c r="CH661" i="34" a="1"/>
  <c r="CH661" i="34" s="1"/>
  <c r="CI661" i="34" a="1"/>
  <c r="CI661" i="34"/>
  <c r="CK661" i="34"/>
  <c r="CL661" i="34"/>
  <c r="CQ661" i="34" a="1"/>
  <c r="CQ661" i="34"/>
  <c r="CR661" i="34"/>
  <c r="CW661" i="34"/>
  <c r="CX661" i="34"/>
  <c r="CZ661" i="34" a="1"/>
  <c r="CZ661" i="34"/>
  <c r="DA661" i="34" a="1"/>
  <c r="DA661" i="34" s="1"/>
  <c r="DC661" i="34"/>
  <c r="DD661" i="34"/>
  <c r="DF661" i="34" a="1"/>
  <c r="DF661" i="34" s="1"/>
  <c r="DG661" i="34" a="1"/>
  <c r="DG661" i="34" s="1"/>
  <c r="DI661" i="34"/>
  <c r="DL661" i="34" s="1" a="1"/>
  <c r="DJ661" i="34"/>
  <c r="DL661" i="34"/>
  <c r="DO661" i="34"/>
  <c r="DP661" i="34"/>
  <c r="DU661" i="34"/>
  <c r="DY661" i="34" s="1" a="1"/>
  <c r="DY661" i="34" s="1"/>
  <c r="DV661" i="34"/>
  <c r="EA661" i="34"/>
  <c r="EB661" i="34"/>
  <c r="ED661" i="34" s="1" a="1"/>
  <c r="ED661" i="34" s="1"/>
  <c r="BS662" i="34"/>
  <c r="BV662" i="34" s="1" a="1"/>
  <c r="BV662" i="34" s="1"/>
  <c r="BT662" i="34"/>
  <c r="BW662" i="34" a="1"/>
  <c r="BW662" i="34" s="1"/>
  <c r="BY662" i="34"/>
  <c r="BZ662" i="34"/>
  <c r="CE662" i="34"/>
  <c r="CF662" i="34"/>
  <c r="CH662" i="34" a="1"/>
  <c r="CH662" i="34" s="1"/>
  <c r="CI662" i="34" a="1"/>
  <c r="CI662" i="34" s="1"/>
  <c r="CK662" i="34"/>
  <c r="CL662" i="34"/>
  <c r="CN662" i="34" a="1"/>
  <c r="CN662" i="34" s="1"/>
  <c r="CO662" i="34" a="1"/>
  <c r="CO662" i="34" s="1"/>
  <c r="CQ662" i="34" a="1"/>
  <c r="CQ662" i="34" s="1"/>
  <c r="CU662" i="34" s="1" a="1"/>
  <c r="CR662" i="34"/>
  <c r="CT662" i="34" a="1"/>
  <c r="CT662" i="34" s="1"/>
  <c r="CU662" i="34"/>
  <c r="CW662" i="34"/>
  <c r="CX662" i="34"/>
  <c r="DC662" i="34"/>
  <c r="DG662" i="34" s="1" a="1"/>
  <c r="DG662" i="34" s="1"/>
  <c r="DD662" i="34"/>
  <c r="DF662" i="34" s="1" a="1"/>
  <c r="DF662" i="34" s="1"/>
  <c r="DI662" i="34"/>
  <c r="DL662" i="34" s="1" a="1"/>
  <c r="DJ662" i="34"/>
  <c r="DL662" i="34"/>
  <c r="DM662" i="34" a="1"/>
  <c r="DM662" i="34" s="1"/>
  <c r="DO662" i="34"/>
  <c r="DR662" i="34" s="1" a="1"/>
  <c r="DR662" i="34" s="1"/>
  <c r="DP662" i="34"/>
  <c r="DS662" i="34" a="1"/>
  <c r="DS662" i="34"/>
  <c r="DU662" i="34"/>
  <c r="DX662" i="34" s="1" a="1"/>
  <c r="DX662" i="34" s="1"/>
  <c r="DV662" i="34"/>
  <c r="DY662" i="34" a="1"/>
  <c r="DY662" i="34" s="1"/>
  <c r="EA662" i="34"/>
  <c r="EB662" i="34"/>
  <c r="ED662" i="34" s="1" a="1"/>
  <c r="ED662" i="34" s="1"/>
  <c r="BS663" i="34"/>
  <c r="BT663" i="34"/>
  <c r="BV663" i="34" s="1" a="1"/>
  <c r="BV663" i="34"/>
  <c r="BW663" i="34" a="1"/>
  <c r="BW663" i="34" s="1"/>
  <c r="BY663" i="34"/>
  <c r="BZ663" i="34"/>
  <c r="CB663" i="34" a="1"/>
  <c r="CB663" i="34" s="1"/>
  <c r="CC663" i="34" a="1"/>
  <c r="CC663" i="34"/>
  <c r="CE663" i="34"/>
  <c r="CF663" i="34"/>
  <c r="CK663" i="34"/>
  <c r="CO663" i="34" s="1" a="1"/>
  <c r="CO663" i="34" s="1"/>
  <c r="CL663" i="34"/>
  <c r="CN663" i="34" a="1"/>
  <c r="CN663" i="34" s="1"/>
  <c r="CQ663" i="34" a="1"/>
  <c r="CQ663" i="34" s="1"/>
  <c r="CU663" i="34" s="1" a="1"/>
  <c r="CU663" i="34" s="1"/>
  <c r="CR663" i="34"/>
  <c r="CW663" i="34"/>
  <c r="CX663" i="34"/>
  <c r="CZ663" i="34" a="1"/>
  <c r="CZ663" i="34" s="1"/>
  <c r="DA663" i="34" a="1"/>
  <c r="DA663" i="34"/>
  <c r="DC663" i="34"/>
  <c r="DF663" i="34" s="1" a="1"/>
  <c r="DF663" i="34" s="1"/>
  <c r="DD663" i="34"/>
  <c r="DI663" i="34"/>
  <c r="DJ663" i="34"/>
  <c r="DO663" i="34"/>
  <c r="DS663" i="34" s="1" a="1"/>
  <c r="DS663" i="34" s="1"/>
  <c r="DP663" i="34"/>
  <c r="DR663" i="34" a="1"/>
  <c r="DR663" i="34" s="1"/>
  <c r="DU663" i="34"/>
  <c r="DV663" i="34"/>
  <c r="DX663" i="34" s="1" a="1"/>
  <c r="DX663" i="34" s="1"/>
  <c r="DY663" i="34" a="1"/>
  <c r="DY663" i="34" s="1"/>
  <c r="EA663" i="34"/>
  <c r="ED663" i="34" s="1" a="1"/>
  <c r="ED663" i="34" s="1"/>
  <c r="EB663" i="34"/>
  <c r="EE663" i="34" a="1"/>
  <c r="EE663" i="34" s="1"/>
  <c r="BS664" i="34"/>
  <c r="BT664" i="34"/>
  <c r="BY664" i="34"/>
  <c r="BZ664" i="34"/>
  <c r="CB664" i="34" a="1"/>
  <c r="CB664" i="34"/>
  <c r="CC664" i="34" a="1"/>
  <c r="CC664" i="34" s="1"/>
  <c r="CE664" i="34"/>
  <c r="CF664" i="34"/>
  <c r="CH664" i="34" a="1"/>
  <c r="CH664" i="34" s="1"/>
  <c r="CI664" i="34" a="1"/>
  <c r="CI664" i="34" s="1"/>
  <c r="CK664" i="34"/>
  <c r="CL664" i="34"/>
  <c r="CN664" i="34" a="1"/>
  <c r="CN664" i="34"/>
  <c r="CO664" i="34" a="1"/>
  <c r="CO664" i="34" s="1"/>
  <c r="CQ664" i="34" a="1"/>
  <c r="CQ664" i="34" s="1"/>
  <c r="CR664" i="34"/>
  <c r="CW664" i="34"/>
  <c r="DA664" i="34" s="1" a="1"/>
  <c r="DA664" i="34" s="1"/>
  <c r="CX664" i="34"/>
  <c r="CZ664" i="34" s="1" a="1"/>
  <c r="CZ664" i="34" s="1"/>
  <c r="DC664" i="34"/>
  <c r="DF664" i="34" s="1" a="1"/>
  <c r="DD664" i="34"/>
  <c r="DF664" i="34"/>
  <c r="DG664" i="34" a="1"/>
  <c r="DG664" i="34" s="1"/>
  <c r="DI664" i="34"/>
  <c r="DL664" i="34" s="1" a="1"/>
  <c r="DL664" i="34" s="1"/>
  <c r="DJ664" i="34"/>
  <c r="DM664" i="34" a="1"/>
  <c r="DM664" i="34"/>
  <c r="DO664" i="34"/>
  <c r="DR664" i="34" s="1" a="1"/>
  <c r="DR664" i="34" s="1"/>
  <c r="DP664" i="34"/>
  <c r="DS664" i="34" a="1"/>
  <c r="DS664" i="34" s="1"/>
  <c r="DU664" i="34"/>
  <c r="DV664" i="34"/>
  <c r="DX664" i="34" s="1" a="1"/>
  <c r="DX664" i="34" s="1"/>
  <c r="EA664" i="34"/>
  <c r="EB664" i="34"/>
  <c r="ED664" i="34" s="1" a="1"/>
  <c r="ED664" i="34"/>
  <c r="EE664" i="34" a="1"/>
  <c r="EE664" i="34" s="1"/>
  <c r="BS665" i="34"/>
  <c r="BT665" i="34"/>
  <c r="BV665" i="34" a="1"/>
  <c r="BV665" i="34" s="1"/>
  <c r="BW665" i="34" a="1"/>
  <c r="BW665" i="34"/>
  <c r="BY665" i="34"/>
  <c r="BZ665" i="34"/>
  <c r="CE665" i="34"/>
  <c r="CI665" i="34" s="1" a="1"/>
  <c r="CI665" i="34" s="1"/>
  <c r="CF665" i="34"/>
  <c r="CH665" i="34" a="1"/>
  <c r="CH665" i="34" s="1"/>
  <c r="CK665" i="34"/>
  <c r="CN665" i="34" s="1" a="1"/>
  <c r="CN665" i="34" s="1"/>
  <c r="CL665" i="34"/>
  <c r="CQ665" i="34" a="1"/>
  <c r="CQ665" i="34" s="1"/>
  <c r="CT665" i="34" s="1" a="1"/>
  <c r="CT665" i="34" s="1"/>
  <c r="CR665" i="34"/>
  <c r="CW665" i="34"/>
  <c r="CX665" i="34"/>
  <c r="CZ665" i="34" a="1"/>
  <c r="CZ665" i="34"/>
  <c r="DA665" i="34" a="1"/>
  <c r="DA665" i="34"/>
  <c r="DC665" i="34"/>
  <c r="DD665" i="34"/>
  <c r="DI665" i="34"/>
  <c r="DM665" i="34" s="1" a="1"/>
  <c r="DM665" i="34" s="1"/>
  <c r="DJ665" i="34"/>
  <c r="DL665" i="34" a="1"/>
  <c r="DL665" i="34"/>
  <c r="DO665" i="34"/>
  <c r="DP665" i="34"/>
  <c r="DR665" i="34" s="1" a="1"/>
  <c r="DR665" i="34" s="1"/>
  <c r="DU665" i="34"/>
  <c r="DX665" i="34" s="1" a="1"/>
  <c r="DX665" i="34" s="1"/>
  <c r="DV665" i="34"/>
  <c r="DY665" i="34" a="1"/>
  <c r="DY665" i="34" s="1"/>
  <c r="EA665" i="34"/>
  <c r="EB665" i="34"/>
  <c r="BS666" i="34"/>
  <c r="BT666" i="34"/>
  <c r="BV666" i="34" a="1"/>
  <c r="BV666" i="34"/>
  <c r="BW666" i="34" a="1"/>
  <c r="BW666" i="34" s="1"/>
  <c r="BY666" i="34"/>
  <c r="BZ666" i="34"/>
  <c r="CB666" i="34" a="1"/>
  <c r="CB666" i="34" s="1"/>
  <c r="CC666" i="34" a="1"/>
  <c r="CC666" i="34"/>
  <c r="CE666" i="34"/>
  <c r="CF666" i="34"/>
  <c r="CH666" i="34" a="1"/>
  <c r="CH666" i="34"/>
  <c r="CI666" i="34" a="1"/>
  <c r="CI666" i="34" s="1"/>
  <c r="CK666" i="34"/>
  <c r="CL666" i="34"/>
  <c r="CQ666" i="34" a="1"/>
  <c r="CQ666" i="34" s="1"/>
  <c r="CU666" i="34" s="1" a="1"/>
  <c r="CU666" i="34" s="1"/>
  <c r="CR666" i="34"/>
  <c r="CW666" i="34"/>
  <c r="CZ666" i="34" s="1" a="1"/>
  <c r="CZ666" i="34" s="1"/>
  <c r="CX666" i="34"/>
  <c r="DC666" i="34"/>
  <c r="DF666" i="34" s="1" a="1"/>
  <c r="DD666" i="34"/>
  <c r="DF666" i="34"/>
  <c r="DG666" i="34" a="1"/>
  <c r="DG666" i="34"/>
  <c r="DI666" i="34"/>
  <c r="DL666" i="34" s="1" a="1"/>
  <c r="DL666" i="34" s="1"/>
  <c r="DJ666" i="34"/>
  <c r="DM666" i="34" a="1"/>
  <c r="DM666" i="34" s="1"/>
  <c r="DO666" i="34"/>
  <c r="DS666" i="34" s="1" a="1"/>
  <c r="DS666" i="34" s="1"/>
  <c r="DP666" i="34"/>
  <c r="DR666" i="34" s="1" a="1"/>
  <c r="DR666" i="34" s="1"/>
  <c r="DU666" i="34"/>
  <c r="DV666" i="34"/>
  <c r="DX666" i="34" s="1" a="1"/>
  <c r="DX666" i="34" s="1"/>
  <c r="EA666" i="34"/>
  <c r="EB666" i="34"/>
  <c r="ED666" i="34" a="1"/>
  <c r="ED666" i="34" s="1"/>
  <c r="EE666" i="34" a="1"/>
  <c r="EE666" i="34"/>
  <c r="BS667" i="34"/>
  <c r="BT667" i="34"/>
  <c r="BY667" i="34"/>
  <c r="BZ667" i="34"/>
  <c r="CB667" i="34" s="1" a="1"/>
  <c r="CB667" i="34" s="1"/>
  <c r="CE667" i="34"/>
  <c r="CH667" i="34" s="1" a="1"/>
  <c r="CF667" i="34"/>
  <c r="CH667" i="34"/>
  <c r="CI667" i="34" a="1"/>
  <c r="CI667" i="34" s="1"/>
  <c r="CK667" i="34"/>
  <c r="CN667" i="34" s="1" a="1"/>
  <c r="CN667" i="34" s="1"/>
  <c r="CL667" i="34"/>
  <c r="CO667" i="34" a="1"/>
  <c r="CO667" i="34"/>
  <c r="CQ667" i="34" a="1"/>
  <c r="CQ667" i="34" s="1"/>
  <c r="CR667" i="34"/>
  <c r="CW667" i="34"/>
  <c r="CX667" i="34"/>
  <c r="DC667" i="34"/>
  <c r="DG667" i="34" s="1" a="1"/>
  <c r="DG667" i="34" s="1"/>
  <c r="DD667" i="34"/>
  <c r="DI667" i="34"/>
  <c r="DJ667" i="34"/>
  <c r="DL667" i="34" s="1" a="1"/>
  <c r="DL667" i="34" s="1"/>
  <c r="DO667" i="34"/>
  <c r="DR667" i="34" s="1" a="1"/>
  <c r="DR667" i="34" s="1"/>
  <c r="DP667" i="34"/>
  <c r="DS667" i="34" a="1"/>
  <c r="DS667" i="34" s="1"/>
  <c r="DU667" i="34"/>
  <c r="DV667" i="34"/>
  <c r="EA667" i="34"/>
  <c r="EB667" i="34"/>
  <c r="ED667" i="34" a="1"/>
  <c r="ED667" i="34" s="1"/>
  <c r="EE667" i="34" a="1"/>
  <c r="EE667" i="34" s="1"/>
  <c r="BS668" i="34"/>
  <c r="BT668" i="34"/>
  <c r="BV668" i="34" a="1"/>
  <c r="BV668" i="34" s="1"/>
  <c r="BW668" i="34" a="1"/>
  <c r="BW668" i="34"/>
  <c r="BY668" i="34"/>
  <c r="BZ668" i="34"/>
  <c r="CB668" i="34" a="1"/>
  <c r="CB668" i="34"/>
  <c r="CC668" i="34" a="1"/>
  <c r="CC668" i="34" s="1"/>
  <c r="CE668" i="34"/>
  <c r="CF668" i="34"/>
  <c r="CK668" i="34"/>
  <c r="CO668" i="34" s="1" a="1"/>
  <c r="CO668" i="34" s="1"/>
  <c r="CL668" i="34"/>
  <c r="CQ668" i="34" a="1"/>
  <c r="CQ668" i="34"/>
  <c r="CT668" i="34" s="1" a="1"/>
  <c r="CT668" i="34" s="1"/>
  <c r="CR668" i="34"/>
  <c r="CW668" i="34"/>
  <c r="CZ668" i="34" s="1" a="1"/>
  <c r="CZ668" i="34" s="1"/>
  <c r="CX668" i="34"/>
  <c r="DA668" i="34" a="1"/>
  <c r="DA668" i="34"/>
  <c r="DC668" i="34"/>
  <c r="DF668" i="34" s="1" a="1"/>
  <c r="DF668" i="34" s="1"/>
  <c r="DD668" i="34"/>
  <c r="DG668" i="34" a="1"/>
  <c r="DG668" i="34" s="1"/>
  <c r="DI668" i="34"/>
  <c r="DJ668" i="34"/>
  <c r="DL668" i="34" a="1"/>
  <c r="DL668" i="34" s="1"/>
  <c r="DO668" i="34"/>
  <c r="DP668" i="34"/>
  <c r="DR668" i="34" s="1" a="1"/>
  <c r="DR668" i="34" s="1"/>
  <c r="DU668" i="34"/>
  <c r="DV668" i="34"/>
  <c r="DY668" i="34" s="1" a="1"/>
  <c r="DY668" i="34" s="1"/>
  <c r="DX668" i="34" a="1"/>
  <c r="DX668" i="34" s="1"/>
  <c r="EA668" i="34"/>
  <c r="EB668" i="34"/>
  <c r="BS669" i="34"/>
  <c r="BW669" i="34" s="1" a="1"/>
  <c r="BW669" i="34" s="1"/>
  <c r="BT669" i="34"/>
  <c r="BY669" i="34"/>
  <c r="CB669" i="34" s="1" a="1"/>
  <c r="CB669" i="34" s="1"/>
  <c r="BZ669" i="34"/>
  <c r="CE669" i="34"/>
  <c r="CH669" i="34" s="1" a="1"/>
  <c r="CF669" i="34"/>
  <c r="CH669" i="34"/>
  <c r="CI669" i="34" a="1"/>
  <c r="CI669" i="34" s="1"/>
  <c r="CK669" i="34"/>
  <c r="CN669" i="34" s="1" a="1"/>
  <c r="CN669" i="34" s="1"/>
  <c r="CL669" i="34"/>
  <c r="CO669" i="34" a="1"/>
  <c r="CO669" i="34" s="1"/>
  <c r="CQ669" i="34" a="1"/>
  <c r="CQ669" i="34"/>
  <c r="CR669" i="34"/>
  <c r="CW669" i="34"/>
  <c r="CX669" i="34"/>
  <c r="CZ669" i="34" s="1" a="1"/>
  <c r="CZ669" i="34" s="1"/>
  <c r="DC669" i="34"/>
  <c r="DD669" i="34"/>
  <c r="DF669" i="34" s="1" a="1"/>
  <c r="DF669" i="34" s="1"/>
  <c r="DG669" i="34" a="1"/>
  <c r="DG669" i="34"/>
  <c r="DI669" i="34"/>
  <c r="DL669" i="34" s="1" a="1"/>
  <c r="DL669" i="34" s="1"/>
  <c r="DJ669" i="34"/>
  <c r="DM669" i="34" a="1"/>
  <c r="DM669" i="34"/>
  <c r="DO669" i="34"/>
  <c r="DP669" i="34"/>
  <c r="DU669" i="34"/>
  <c r="DV669" i="34"/>
  <c r="DX669" i="34" a="1"/>
  <c r="DX669" i="34" s="1"/>
  <c r="DY669" i="34" a="1"/>
  <c r="DY669" i="34" s="1"/>
  <c r="EA669" i="34"/>
  <c r="EB669" i="34"/>
  <c r="ED669" i="34" a="1"/>
  <c r="ED669" i="34"/>
  <c r="EE669" i="34" a="1"/>
  <c r="EE669" i="34" s="1"/>
  <c r="BS670" i="34"/>
  <c r="BT670" i="34"/>
  <c r="BV670" i="34" a="1"/>
  <c r="BV670" i="34"/>
  <c r="BW670" i="34" a="1"/>
  <c r="BW670" i="34" s="1"/>
  <c r="BY670" i="34"/>
  <c r="BZ670" i="34"/>
  <c r="CB670" i="34" a="1"/>
  <c r="CB670" i="34" s="1"/>
  <c r="CE670" i="34"/>
  <c r="CI670" i="34" s="1" a="1"/>
  <c r="CI670" i="34" s="1"/>
  <c r="CF670" i="34"/>
  <c r="CK670" i="34"/>
  <c r="CL670" i="34"/>
  <c r="CN670" i="34" s="1" a="1"/>
  <c r="CN670" i="34" s="1"/>
  <c r="CO670" i="34" a="1"/>
  <c r="CO670" i="34" s="1"/>
  <c r="CQ670" i="34" a="1"/>
  <c r="CQ670" i="34" s="1"/>
  <c r="CT670" i="34" s="1" a="1"/>
  <c r="CR670" i="34"/>
  <c r="CT670" i="34"/>
  <c r="CU670" i="34" a="1"/>
  <c r="CU670" i="34" s="1"/>
  <c r="CW670" i="34"/>
  <c r="CZ670" i="34" s="1" a="1"/>
  <c r="CZ670" i="34" s="1"/>
  <c r="CX670" i="34"/>
  <c r="DA670" i="34" a="1"/>
  <c r="DA670" i="34" s="1"/>
  <c r="DC670" i="34"/>
  <c r="DG670" i="34" s="1" a="1"/>
  <c r="DG670" i="34" s="1"/>
  <c r="DD670" i="34"/>
  <c r="DF670" i="34" s="1" a="1"/>
  <c r="DF670" i="34" s="1"/>
  <c r="DI670" i="34"/>
  <c r="DJ670" i="34"/>
  <c r="DM670" i="34" s="1" a="1"/>
  <c r="DM670" i="34" s="1"/>
  <c r="DL670" i="34" a="1"/>
  <c r="DL670" i="34" s="1"/>
  <c r="DO670" i="34"/>
  <c r="DP670" i="34"/>
  <c r="DS670" i="34" s="1" a="1"/>
  <c r="DR670" i="34" a="1"/>
  <c r="DR670" i="34" s="1"/>
  <c r="DS670" i="34"/>
  <c r="DU670" i="34"/>
  <c r="DV670" i="34"/>
  <c r="EA670" i="34"/>
  <c r="EE670" i="34" s="1" a="1"/>
  <c r="EE670" i="34" s="1"/>
  <c r="EB670" i="34"/>
  <c r="BS671" i="34"/>
  <c r="BV671" i="34" s="1" a="1"/>
  <c r="BT671" i="34"/>
  <c r="BV671" i="34"/>
  <c r="BW671" i="34" a="1"/>
  <c r="BW671" i="34" s="1"/>
  <c r="BY671" i="34"/>
  <c r="CB671" i="34" s="1" a="1"/>
  <c r="BZ671" i="34"/>
  <c r="CB671" i="34"/>
  <c r="CC671" i="34" a="1"/>
  <c r="CC671" i="34" s="1"/>
  <c r="CE671" i="34"/>
  <c r="CH671" i="34" s="1" a="1"/>
  <c r="CH671" i="34" s="1"/>
  <c r="CF671" i="34"/>
  <c r="CI671" i="34" a="1"/>
  <c r="CI671" i="34" s="1"/>
  <c r="CK671" i="34"/>
  <c r="CO671" i="34" s="1" a="1"/>
  <c r="CO671" i="34" s="1"/>
  <c r="CL671" i="34"/>
  <c r="CN671" i="34" a="1"/>
  <c r="CN671" i="34" s="1"/>
  <c r="CQ671" i="34" a="1"/>
  <c r="CQ671" i="34"/>
  <c r="CT671" i="34" s="1" a="1"/>
  <c r="CT671" i="34" s="1"/>
  <c r="CR671" i="34"/>
  <c r="CW671" i="34"/>
  <c r="CX671" i="34"/>
  <c r="CZ671" i="34" s="1" a="1"/>
  <c r="CZ671" i="34" s="1"/>
  <c r="DA671" i="34" a="1"/>
  <c r="DA671" i="34" s="1"/>
  <c r="DC671" i="34"/>
  <c r="DF671" i="34" s="1" a="1"/>
  <c r="DF671" i="34" s="1"/>
  <c r="DD671" i="34"/>
  <c r="DG671" i="34" a="1"/>
  <c r="DG671" i="34" s="1"/>
  <c r="DI671" i="34"/>
  <c r="DJ671" i="34"/>
  <c r="DO671" i="34"/>
  <c r="DP671" i="34"/>
  <c r="DR671" i="34" a="1"/>
  <c r="DR671" i="34" s="1"/>
  <c r="DS671" i="34" a="1"/>
  <c r="DS671" i="34" s="1"/>
  <c r="DU671" i="34"/>
  <c r="DV671" i="34"/>
  <c r="DX671" i="34" a="1"/>
  <c r="DX671" i="34" s="1"/>
  <c r="DY671" i="34" a="1"/>
  <c r="DY671" i="34" s="1"/>
  <c r="EA671" i="34"/>
  <c r="EB671" i="34"/>
  <c r="ED671" i="34" a="1"/>
  <c r="ED671" i="34"/>
  <c r="EE671" i="34" a="1"/>
  <c r="EE671" i="34" s="1"/>
  <c r="BS672" i="34"/>
  <c r="BT672" i="34"/>
  <c r="BV672" i="34" a="1"/>
  <c r="BV672" i="34" s="1"/>
  <c r="BY672" i="34"/>
  <c r="CC672" i="34" s="1" a="1"/>
  <c r="CC672" i="34" s="1"/>
  <c r="BZ672" i="34"/>
  <c r="CB672" i="34" a="1"/>
  <c r="CB672" i="34" s="1"/>
  <c r="CE672" i="34"/>
  <c r="CF672" i="34"/>
  <c r="CH672" i="34" s="1" a="1"/>
  <c r="CH672" i="34" s="1"/>
  <c r="CK672" i="34"/>
  <c r="CN672" i="34" s="1" a="1"/>
  <c r="CN672" i="34" s="1"/>
  <c r="CL672" i="34"/>
  <c r="CQ672" i="34" a="1"/>
  <c r="CQ672" i="34"/>
  <c r="CT672" i="34" s="1" a="1"/>
  <c r="CT672" i="34" s="1"/>
  <c r="CR672" i="34"/>
  <c r="CW672" i="34"/>
  <c r="DA672" i="34" s="1" a="1"/>
  <c r="DA672" i="34" s="1"/>
  <c r="CX672" i="34"/>
  <c r="CZ672" i="34" a="1"/>
  <c r="CZ672" i="34" s="1"/>
  <c r="DC672" i="34"/>
  <c r="DD672" i="34"/>
  <c r="DF672" i="34" a="1"/>
  <c r="DF672" i="34" s="1"/>
  <c r="DG672" i="34" a="1"/>
  <c r="DG672" i="34" s="1"/>
  <c r="DI672" i="34"/>
  <c r="DJ672" i="34"/>
  <c r="DM672" i="34" s="1" a="1"/>
  <c r="DL672" i="34" a="1"/>
  <c r="DL672" i="34"/>
  <c r="DM672" i="34"/>
  <c r="DO672" i="34"/>
  <c r="DP672" i="34"/>
  <c r="DU672" i="34"/>
  <c r="DV672" i="34"/>
  <c r="DX672" i="34" s="1" a="1"/>
  <c r="DX672" i="34" s="1"/>
  <c r="EA672" i="34"/>
  <c r="ED672" i="34" s="1" a="1"/>
  <c r="EB672" i="34"/>
  <c r="ED672" i="34"/>
  <c r="EE672" i="34" a="1"/>
  <c r="EE672" i="34" s="1"/>
  <c r="BS673" i="34"/>
  <c r="BV673" i="34" s="1" a="1"/>
  <c r="BV673" i="34" s="1"/>
  <c r="BT673" i="34"/>
  <c r="BW673" i="34" a="1"/>
  <c r="BW673" i="34"/>
  <c r="BY673" i="34"/>
  <c r="CB673" i="34" s="1" a="1"/>
  <c r="CB673" i="34" s="1"/>
  <c r="BZ673" i="34"/>
  <c r="CC673" i="34" a="1"/>
  <c r="CC673" i="34" s="1"/>
  <c r="CE673" i="34"/>
  <c r="CI673" i="34" s="1" a="1"/>
  <c r="CI673" i="34" s="1"/>
  <c r="CF673" i="34"/>
  <c r="CH673" i="34" s="1" a="1"/>
  <c r="CH673" i="34" s="1"/>
  <c r="CK673" i="34"/>
  <c r="CL673" i="34"/>
  <c r="CN673" i="34" s="1" a="1"/>
  <c r="CN673" i="34" s="1"/>
  <c r="CQ673" i="34" a="1"/>
  <c r="CQ673" i="34" s="1"/>
  <c r="CR673" i="34"/>
  <c r="CU673" i="34" s="1" a="1"/>
  <c r="CU673" i="34" s="1"/>
  <c r="CT673" i="34" a="1"/>
  <c r="CT673" i="34" s="1"/>
  <c r="CW673" i="34"/>
  <c r="CX673" i="34"/>
  <c r="DC673" i="34"/>
  <c r="DD673" i="34"/>
  <c r="DI673" i="34"/>
  <c r="DL673" i="34" s="1" a="1"/>
  <c r="DL673" i="34" s="1"/>
  <c r="DJ673" i="34"/>
  <c r="DO673" i="34"/>
  <c r="DP673" i="34"/>
  <c r="DR673" i="34" a="1"/>
  <c r="DR673" i="34" s="1"/>
  <c r="DS673" i="34" a="1"/>
  <c r="DS673" i="34" s="1"/>
  <c r="DU673" i="34"/>
  <c r="DV673" i="34"/>
  <c r="DX673" i="34" s="1" a="1"/>
  <c r="DX673" i="34" s="1"/>
  <c r="DY673" i="34" a="1"/>
  <c r="DY673" i="34" s="1"/>
  <c r="EA673" i="34"/>
  <c r="ED673" i="34" s="1" a="1"/>
  <c r="ED673" i="34" s="1"/>
  <c r="EB673" i="34"/>
  <c r="BS674" i="34"/>
  <c r="BW674" i="34" s="1" a="1"/>
  <c r="BW674" i="34" s="1"/>
  <c r="BT674" i="34"/>
  <c r="BY674" i="34"/>
  <c r="BZ674" i="34"/>
  <c r="CB674" i="34" s="1" a="1"/>
  <c r="CB674" i="34" s="1"/>
  <c r="CC674" i="34" a="1"/>
  <c r="CC674" i="34" s="1"/>
  <c r="CE674" i="34"/>
  <c r="CH674" i="34" s="1" a="1"/>
  <c r="CH674" i="34" s="1"/>
  <c r="CF674" i="34"/>
  <c r="CK674" i="34"/>
  <c r="CO674" i="34" s="1" a="1"/>
  <c r="CO674" i="34" s="1"/>
  <c r="CL674" i="34"/>
  <c r="CQ674" i="34" a="1"/>
  <c r="CQ674" i="34" s="1"/>
  <c r="CR674" i="34"/>
  <c r="CT674" i="34" a="1"/>
  <c r="CT674" i="34"/>
  <c r="CW674" i="34"/>
  <c r="CX674" i="34"/>
  <c r="CZ674" i="34" a="1"/>
  <c r="CZ674" i="34" s="1"/>
  <c r="DA674" i="34" a="1"/>
  <c r="DA674" i="34" s="1"/>
  <c r="DC674" i="34"/>
  <c r="DG674" i="34" s="1" a="1"/>
  <c r="DD674" i="34"/>
  <c r="DF674" i="34" s="1" a="1"/>
  <c r="DF674" i="34" s="1"/>
  <c r="DG674" i="34"/>
  <c r="DI674" i="34"/>
  <c r="DL674" i="34" s="1" a="1"/>
  <c r="DL674" i="34" s="1"/>
  <c r="DJ674" i="34"/>
  <c r="DO674" i="34"/>
  <c r="DR674" i="34" s="1" a="1"/>
  <c r="DR674" i="34" s="1"/>
  <c r="DP674" i="34"/>
  <c r="DU674" i="34"/>
  <c r="DV674" i="34"/>
  <c r="EA674" i="34"/>
  <c r="ED674" i="34" s="1" a="1"/>
  <c r="EB674" i="34"/>
  <c r="ED674" i="34"/>
  <c r="EE674" i="34" a="1"/>
  <c r="EE674" i="34"/>
  <c r="BS675" i="34"/>
  <c r="BT675" i="34"/>
  <c r="BV675" i="34" a="1"/>
  <c r="BV675" i="34"/>
  <c r="BW675" i="34" a="1"/>
  <c r="BW675" i="34" s="1"/>
  <c r="BY675" i="34"/>
  <c r="BZ675" i="34"/>
  <c r="CE675" i="34"/>
  <c r="CH675" i="34" s="1" a="1"/>
  <c r="CH675" i="34" s="1"/>
  <c r="CF675" i="34"/>
  <c r="CK675" i="34"/>
  <c r="CN675" i="34" s="1" a="1"/>
  <c r="CN675" i="34" s="1"/>
  <c r="CL675" i="34"/>
  <c r="CO675" i="34" a="1"/>
  <c r="CO675" i="34" s="1"/>
  <c r="CQ675" i="34" a="1"/>
  <c r="CQ675" i="34" s="1"/>
  <c r="CR675" i="34"/>
  <c r="CW675" i="34"/>
  <c r="CZ675" i="34" s="1" a="1"/>
  <c r="CZ675" i="34" s="1"/>
  <c r="CX675" i="34"/>
  <c r="DC675" i="34"/>
  <c r="DD675" i="34"/>
  <c r="DI675" i="34"/>
  <c r="DJ675" i="34"/>
  <c r="DM675" i="34" s="1" a="1"/>
  <c r="DM675" i="34" s="1"/>
  <c r="DL675" i="34" a="1"/>
  <c r="DL675" i="34" s="1"/>
  <c r="DO675" i="34"/>
  <c r="DS675" i="34" s="1" a="1"/>
  <c r="DS675" i="34" s="1"/>
  <c r="DP675" i="34"/>
  <c r="DR675" i="34" a="1"/>
  <c r="DR675" i="34" s="1"/>
  <c r="DU675" i="34"/>
  <c r="DV675" i="34"/>
  <c r="DX675" i="34" s="1" a="1"/>
  <c r="DX675" i="34" s="1"/>
  <c r="EA675" i="34"/>
  <c r="ED675" i="34" s="1" a="1"/>
  <c r="ED675" i="34" s="1"/>
  <c r="EB675" i="34"/>
  <c r="BS676" i="34"/>
  <c r="BW676" i="34" s="1" a="1"/>
  <c r="BW676" i="34" s="1"/>
  <c r="BT676" i="34"/>
  <c r="BY676" i="34"/>
  <c r="CB676" i="34" s="1" a="1"/>
  <c r="CB676" i="34" s="1"/>
  <c r="BZ676" i="34"/>
  <c r="CC676" i="34" a="1"/>
  <c r="CC676" i="34" s="1"/>
  <c r="CE676" i="34"/>
  <c r="CH676" i="34" s="1" a="1"/>
  <c r="CH676" i="34" s="1"/>
  <c r="CF676" i="34"/>
  <c r="CK676" i="34"/>
  <c r="CL676" i="34"/>
  <c r="CO676" i="34" s="1" a="1"/>
  <c r="CO676" i="34" s="1"/>
  <c r="CQ676" i="34" a="1"/>
  <c r="CQ676" i="34"/>
  <c r="CT676" i="34" s="1" a="1"/>
  <c r="CT676" i="34" s="1"/>
  <c r="CR676" i="34"/>
  <c r="CW676" i="34"/>
  <c r="CZ676" i="34" s="1" a="1"/>
  <c r="CZ676" i="34" s="1"/>
  <c r="CX676" i="34"/>
  <c r="DA676" i="34" a="1"/>
  <c r="DA676" i="34" s="1"/>
  <c r="DC676" i="34"/>
  <c r="DF676" i="34" s="1" a="1"/>
  <c r="DF676" i="34" s="1"/>
  <c r="DD676" i="34"/>
  <c r="DI676" i="34"/>
  <c r="DL676" i="34" s="1" a="1"/>
  <c r="DL676" i="34" s="1"/>
  <c r="DJ676" i="34"/>
  <c r="DO676" i="34"/>
  <c r="DP676" i="34"/>
  <c r="DR676" i="34" a="1"/>
  <c r="DR676" i="34" s="1"/>
  <c r="DS676" i="34" a="1"/>
  <c r="DS676" i="34" s="1"/>
  <c r="DU676" i="34"/>
  <c r="DV676" i="34"/>
  <c r="DX676" i="34" a="1"/>
  <c r="DX676" i="34"/>
  <c r="DY676" i="34" a="1"/>
  <c r="DY676" i="34" s="1"/>
  <c r="EA676" i="34"/>
  <c r="EB676" i="34"/>
  <c r="ED676" i="34" a="1"/>
  <c r="ED676" i="34"/>
  <c r="EE676" i="34" a="1"/>
  <c r="EE676" i="34" s="1"/>
  <c r="BS677" i="34"/>
  <c r="BT677" i="34"/>
  <c r="BY677" i="34"/>
  <c r="CB677" i="34" s="1" a="1"/>
  <c r="CB677" i="34" s="1"/>
  <c r="BZ677" i="34"/>
  <c r="CE677" i="34"/>
  <c r="CH677" i="34" s="1" a="1"/>
  <c r="CH677" i="34" s="1"/>
  <c r="CF677" i="34"/>
  <c r="CI677" i="34" a="1"/>
  <c r="CI677" i="34" s="1"/>
  <c r="CK677" i="34"/>
  <c r="CN677" i="34" s="1" a="1"/>
  <c r="CN677" i="34" s="1"/>
  <c r="CL677" i="34"/>
  <c r="CQ677" i="34" a="1"/>
  <c r="CQ677" i="34" s="1"/>
  <c r="CR677" i="34"/>
  <c r="CW677" i="34"/>
  <c r="CX677" i="34"/>
  <c r="DA677" i="34" s="1" a="1"/>
  <c r="DA677" i="34" s="1"/>
  <c r="DC677" i="34"/>
  <c r="DD677" i="34"/>
  <c r="DG677" i="34" s="1" a="1"/>
  <c r="DG677" i="34" s="1"/>
  <c r="DF677" i="34" a="1"/>
  <c r="DF677" i="34" s="1"/>
  <c r="DI677" i="34"/>
  <c r="DM677" i="34" s="1" a="1"/>
  <c r="DJ677" i="34"/>
  <c r="DL677" i="34" a="1"/>
  <c r="DL677" i="34" s="1"/>
  <c r="DM677" i="34"/>
  <c r="DO677" i="34"/>
  <c r="DP677" i="34"/>
  <c r="DR677" i="34" s="1" a="1"/>
  <c r="DR677" i="34" s="1"/>
  <c r="DU677" i="34"/>
  <c r="DX677" i="34" s="1" a="1"/>
  <c r="DX677" i="34" s="1"/>
  <c r="DV677" i="34"/>
  <c r="EA677" i="34"/>
  <c r="EE677" i="34" s="1" a="1"/>
  <c r="EE677" i="34" s="1"/>
  <c r="EB677" i="34"/>
  <c r="BS678" i="34"/>
  <c r="BV678" i="34" s="1" a="1"/>
  <c r="BV678" i="34" s="1"/>
  <c r="BT678" i="34"/>
  <c r="BW678" i="34" a="1"/>
  <c r="BW678" i="34" s="1"/>
  <c r="BY678" i="34"/>
  <c r="CB678" i="34" s="1" a="1"/>
  <c r="CB678" i="34" s="1"/>
  <c r="BZ678" i="34"/>
  <c r="CC678" i="34" a="1"/>
  <c r="CC678" i="34" s="1"/>
  <c r="CE678" i="34"/>
  <c r="CF678" i="34"/>
  <c r="CK678" i="34"/>
  <c r="CL678" i="34"/>
  <c r="CO678" i="34" s="1" a="1"/>
  <c r="CO678" i="34" s="1"/>
  <c r="CN678" i="34" a="1"/>
  <c r="CN678" i="34" s="1"/>
  <c r="CQ678" i="34" a="1"/>
  <c r="CQ678" i="34"/>
  <c r="CT678" i="34" s="1" a="1"/>
  <c r="CT678" i="34" s="1"/>
  <c r="CR678" i="34"/>
  <c r="CU678" i="34" a="1"/>
  <c r="CU678" i="34" s="1"/>
  <c r="CW678" i="34"/>
  <c r="CZ678" i="34" s="1" a="1"/>
  <c r="CZ678" i="34" s="1"/>
  <c r="CX678" i="34"/>
  <c r="DC678" i="34"/>
  <c r="DF678" i="34" s="1" a="1"/>
  <c r="DF678" i="34" s="1"/>
  <c r="DD678" i="34"/>
  <c r="DI678" i="34"/>
  <c r="DJ678" i="34"/>
  <c r="DL678" i="34" a="1"/>
  <c r="DL678" i="34" s="1"/>
  <c r="DM678" i="34" a="1"/>
  <c r="DM678" i="34" s="1"/>
  <c r="DO678" i="34"/>
  <c r="DP678" i="34"/>
  <c r="DR678" i="34" a="1"/>
  <c r="DR678" i="34"/>
  <c r="DS678" i="34" a="1"/>
  <c r="DS678" i="34" s="1"/>
  <c r="DU678" i="34"/>
  <c r="DV678" i="34"/>
  <c r="DX678" i="34" a="1"/>
  <c r="DX678" i="34"/>
  <c r="DY678" i="34" a="1"/>
  <c r="DY678" i="34" s="1"/>
  <c r="EA678" i="34"/>
  <c r="EB678" i="34"/>
  <c r="BS679" i="34"/>
  <c r="BV679" i="34" s="1" a="1"/>
  <c r="BV679" i="34" s="1"/>
  <c r="BT679" i="34"/>
  <c r="BY679" i="34"/>
  <c r="CB679" i="34" s="1" a="1"/>
  <c r="CB679" i="34" s="1"/>
  <c r="BZ679" i="34"/>
  <c r="CC679" i="34" a="1"/>
  <c r="CC679" i="34" s="1"/>
  <c r="CE679" i="34"/>
  <c r="CH679" i="34" s="1" a="1"/>
  <c r="CH679" i="34" s="1"/>
  <c r="CF679" i="34"/>
  <c r="CK679" i="34"/>
  <c r="CN679" i="34" s="1" a="1"/>
  <c r="CN679" i="34" s="1"/>
  <c r="CL679" i="34"/>
  <c r="CQ679" i="34" a="1"/>
  <c r="CQ679" i="34" s="1"/>
  <c r="CR679" i="34"/>
  <c r="CW679" i="34"/>
  <c r="CX679" i="34"/>
  <c r="DA679" i="34" s="1" a="1"/>
  <c r="DA679" i="34" s="1"/>
  <c r="CZ679" i="34" a="1"/>
  <c r="CZ679" i="34" s="1"/>
  <c r="DC679" i="34"/>
  <c r="DG679" i="34" s="1" a="1"/>
  <c r="DG679" i="34" s="1"/>
  <c r="DD679" i="34"/>
  <c r="DF679" i="34" a="1"/>
  <c r="DF679" i="34" s="1"/>
  <c r="DI679" i="34"/>
  <c r="DJ679" i="34"/>
  <c r="DL679" i="34" s="1" a="1"/>
  <c r="DL679" i="34" s="1"/>
  <c r="DO679" i="34"/>
  <c r="DR679" i="34" s="1" a="1"/>
  <c r="DR679" i="34" s="1"/>
  <c r="DP679" i="34"/>
  <c r="DU679" i="34"/>
  <c r="DY679" i="34" s="1" a="1"/>
  <c r="DY679" i="34" s="1"/>
  <c r="DV679" i="34"/>
  <c r="EA679" i="34"/>
  <c r="ED679" i="34" s="1" a="1"/>
  <c r="ED679" i="34" s="1"/>
  <c r="EB679" i="34"/>
  <c r="EE679" i="34" a="1"/>
  <c r="EE679" i="34" s="1"/>
  <c r="BS680" i="34"/>
  <c r="BV680" i="34" s="1" a="1"/>
  <c r="BV680" i="34" s="1"/>
  <c r="BT680" i="34"/>
  <c r="BW680" i="34" a="1"/>
  <c r="BW680" i="34" s="1"/>
  <c r="BY680" i="34"/>
  <c r="BZ680" i="34"/>
  <c r="CC680" i="34" s="1" a="1"/>
  <c r="CC680" i="34" s="1"/>
  <c r="CE680" i="34"/>
  <c r="CF680" i="34"/>
  <c r="CI680" i="34" s="1" a="1"/>
  <c r="CI680" i="34" s="1"/>
  <c r="CH680" i="34" a="1"/>
  <c r="CH680" i="34" s="1"/>
  <c r="CK680" i="34"/>
  <c r="CO680" i="34" s="1" a="1"/>
  <c r="CO680" i="34" s="1"/>
  <c r="CL680" i="34"/>
  <c r="CN680" i="34" a="1"/>
  <c r="CN680" i="34" s="1"/>
  <c r="CQ680" i="34" a="1"/>
  <c r="CQ680" i="34"/>
  <c r="CT680" i="34" s="1" a="1"/>
  <c r="CT680" i="34" s="1"/>
  <c r="CR680" i="34"/>
  <c r="CW680" i="34"/>
  <c r="CZ680" i="34" s="1" a="1"/>
  <c r="CZ680" i="34" s="1"/>
  <c r="CX680" i="34"/>
  <c r="DC680" i="34"/>
  <c r="DD680" i="34"/>
  <c r="DF680" i="34" a="1"/>
  <c r="DF680" i="34" s="1"/>
  <c r="DG680" i="34" a="1"/>
  <c r="DG680" i="34" s="1"/>
  <c r="DI680" i="34"/>
  <c r="DJ680" i="34"/>
  <c r="DL680" i="34" a="1"/>
  <c r="DL680" i="34"/>
  <c r="DM680" i="34" a="1"/>
  <c r="DM680" i="34" s="1"/>
  <c r="DO680" i="34"/>
  <c r="DP680" i="34"/>
  <c r="DR680" i="34" a="1"/>
  <c r="DR680" i="34"/>
  <c r="DS680" i="34" a="1"/>
  <c r="DS680" i="34" s="1"/>
  <c r="DU680" i="34"/>
  <c r="DV680" i="34"/>
  <c r="EA680" i="34"/>
  <c r="ED680" i="34" s="1" a="1"/>
  <c r="ED680" i="34" s="1"/>
  <c r="EB680" i="34"/>
  <c r="BS681" i="34"/>
  <c r="BV681" i="34" s="1" a="1"/>
  <c r="BV681" i="34" s="1"/>
  <c r="BT681" i="34"/>
  <c r="BW681" i="34" a="1"/>
  <c r="BW681" i="34" s="1"/>
  <c r="BY681" i="34"/>
  <c r="CB681" i="34" s="1" a="1"/>
  <c r="CB681" i="34" s="1"/>
  <c r="BZ681" i="34"/>
  <c r="CE681" i="34"/>
  <c r="CH681" i="34" s="1" a="1"/>
  <c r="CH681" i="34" s="1"/>
  <c r="CF681" i="34"/>
  <c r="CK681" i="34"/>
  <c r="CL681" i="34"/>
  <c r="CN681" i="34" a="1"/>
  <c r="CN681" i="34" s="1"/>
  <c r="CO681" i="34" a="1"/>
  <c r="CO681" i="34" s="1"/>
  <c r="CQ681" i="34" a="1"/>
  <c r="CQ681" i="34" s="1"/>
  <c r="CR681" i="34"/>
  <c r="CW681" i="34"/>
  <c r="DA681" i="34" s="1" a="1"/>
  <c r="CX681" i="34"/>
  <c r="CZ681" i="34" a="1"/>
  <c r="CZ681" i="34" s="1"/>
  <c r="DA681" i="34"/>
  <c r="DC681" i="34"/>
  <c r="DD681" i="34"/>
  <c r="DF681" i="34" s="1" a="1"/>
  <c r="DF681" i="34" s="1"/>
  <c r="DI681" i="34"/>
  <c r="DL681" i="34" s="1" a="1"/>
  <c r="DL681" i="34" s="1"/>
  <c r="DJ681" i="34"/>
  <c r="DO681" i="34"/>
  <c r="DS681" i="34" s="1" a="1"/>
  <c r="DS681" i="34" s="1"/>
  <c r="DP681" i="34"/>
  <c r="DU681" i="34"/>
  <c r="DX681" i="34" s="1" a="1"/>
  <c r="DX681" i="34" s="1"/>
  <c r="DV681" i="34"/>
  <c r="DY681" i="34" a="1"/>
  <c r="DY681" i="34" s="1"/>
  <c r="EA681" i="34"/>
  <c r="ED681" i="34" s="1" a="1"/>
  <c r="ED681" i="34" s="1"/>
  <c r="EB681" i="34"/>
  <c r="EE681" i="34" a="1"/>
  <c r="EE681" i="34" s="1"/>
  <c r="BS682" i="34"/>
  <c r="BT682" i="34"/>
  <c r="BW682" i="34" s="1" a="1"/>
  <c r="BW682" i="34" s="1"/>
  <c r="BY682" i="34"/>
  <c r="BZ682" i="34"/>
  <c r="CC682" i="34" s="1" a="1"/>
  <c r="CC682" i="34" s="1"/>
  <c r="CB682" i="34" a="1"/>
  <c r="CB682" i="34" s="1"/>
  <c r="CE682" i="34"/>
  <c r="CI682" i="34" s="1" a="1"/>
  <c r="CI682" i="34" s="1"/>
  <c r="CF682" i="34"/>
  <c r="CH682" i="34" a="1"/>
  <c r="CH682" i="34" s="1"/>
  <c r="CK682" i="34"/>
  <c r="CL682" i="34"/>
  <c r="CN682" i="34" s="1" a="1"/>
  <c r="CN682" i="34" s="1"/>
  <c r="CQ682" i="34" a="1"/>
  <c r="CQ682" i="34" s="1"/>
  <c r="CR682" i="34"/>
  <c r="CW682" i="34"/>
  <c r="CX682" i="34"/>
  <c r="CZ682" i="34" a="1"/>
  <c r="CZ682" i="34" s="1"/>
  <c r="DA682" i="34" a="1"/>
  <c r="DA682" i="34" s="1"/>
  <c r="DC682" i="34"/>
  <c r="DD682" i="34"/>
  <c r="DF682" i="34" a="1"/>
  <c r="DF682" i="34"/>
  <c r="DG682" i="34" a="1"/>
  <c r="DG682" i="34" s="1"/>
  <c r="DI682" i="34"/>
  <c r="DJ682" i="34"/>
  <c r="DL682" i="34" a="1"/>
  <c r="DL682" i="34"/>
  <c r="DM682" i="34" a="1"/>
  <c r="DM682" i="34" s="1"/>
  <c r="DO682" i="34"/>
  <c r="DP682" i="34"/>
  <c r="DU682" i="34"/>
  <c r="DX682" i="34" s="1" a="1"/>
  <c r="DX682" i="34" s="1"/>
  <c r="DV682" i="34"/>
  <c r="EA682" i="34"/>
  <c r="ED682" i="34" s="1" a="1"/>
  <c r="ED682" i="34" s="1"/>
  <c r="EB682" i="34"/>
  <c r="EE682" i="34" a="1"/>
  <c r="EE682" i="34" s="1"/>
  <c r="BS683" i="34"/>
  <c r="BV683" i="34" s="1" a="1"/>
  <c r="BV683" i="34" s="1"/>
  <c r="BT683" i="34"/>
  <c r="BY683" i="34"/>
  <c r="CB683" i="34" s="1" a="1"/>
  <c r="CB683" i="34" s="1"/>
  <c r="BZ683" i="34"/>
  <c r="CE683" i="34"/>
  <c r="CF683" i="34"/>
  <c r="CH683" i="34" a="1"/>
  <c r="CH683" i="34" s="1"/>
  <c r="CI683" i="34" a="1"/>
  <c r="CI683" i="34" s="1"/>
  <c r="CK683" i="34"/>
  <c r="CL683" i="34"/>
  <c r="CN683" i="34" a="1"/>
  <c r="CN683" i="34"/>
  <c r="CO683" i="34" a="1"/>
  <c r="CO683" i="34"/>
  <c r="CQ683" i="34" a="1"/>
  <c r="CQ683" i="34" s="1"/>
  <c r="CR683" i="34"/>
  <c r="CW683" i="34"/>
  <c r="CX683" i="34"/>
  <c r="CZ683" i="34" s="1" a="1"/>
  <c r="CZ683" i="34" s="1"/>
  <c r="DC683" i="34"/>
  <c r="DF683" i="34" s="1" a="1"/>
  <c r="DF683" i="34" s="1"/>
  <c r="DD683" i="34"/>
  <c r="DI683" i="34"/>
  <c r="DM683" i="34" s="1" a="1"/>
  <c r="DM683" i="34" s="1"/>
  <c r="DJ683" i="34"/>
  <c r="DO683" i="34"/>
  <c r="DR683" i="34" s="1" a="1"/>
  <c r="DR683" i="34" s="1"/>
  <c r="DP683" i="34"/>
  <c r="DS683" i="34" a="1"/>
  <c r="DS683" i="34" s="1"/>
  <c r="DU683" i="34"/>
  <c r="DX683" i="34" s="1" a="1"/>
  <c r="DX683" i="34" s="1"/>
  <c r="DV683" i="34"/>
  <c r="DY683" i="34" a="1"/>
  <c r="DY683" i="34" s="1"/>
  <c r="EA683" i="34"/>
  <c r="EB683" i="34"/>
  <c r="EE683" i="34" s="1" a="1"/>
  <c r="EE683" i="34" s="1"/>
  <c r="BS684" i="34"/>
  <c r="BT684" i="34"/>
  <c r="BW684" i="34" s="1" a="1"/>
  <c r="BW684" i="34" s="1"/>
  <c r="BV684" i="34" a="1"/>
  <c r="BV684" i="34" s="1"/>
  <c r="BY684" i="34"/>
  <c r="CC684" i="34" s="1" a="1"/>
  <c r="CC684" i="34" s="1"/>
  <c r="BZ684" i="34"/>
  <c r="CB684" i="34" a="1"/>
  <c r="CB684" i="34" s="1"/>
  <c r="CE684" i="34"/>
  <c r="CF684" i="34"/>
  <c r="CH684" i="34" s="1" a="1"/>
  <c r="CH684" i="34" s="1"/>
  <c r="CK684" i="34"/>
  <c r="CN684" i="34" s="1" a="1"/>
  <c r="CN684" i="34" s="1"/>
  <c r="CL684" i="34"/>
  <c r="CQ684" i="34" a="1"/>
  <c r="CQ684" i="34" s="1"/>
  <c r="CU684" i="34" s="1" a="1"/>
  <c r="CU684" i="34" s="1"/>
  <c r="CR684" i="34"/>
  <c r="CW684" i="34"/>
  <c r="CX684" i="34"/>
  <c r="CZ684" i="34" a="1"/>
  <c r="CZ684" i="34"/>
  <c r="DA684" i="34" a="1"/>
  <c r="DA684" i="34" s="1"/>
  <c r="DC684" i="34"/>
  <c r="DD684" i="34"/>
  <c r="DF684" i="34" a="1"/>
  <c r="DF684" i="34"/>
  <c r="DG684" i="34" a="1"/>
  <c r="DG684" i="34" s="1"/>
  <c r="DI684" i="34"/>
  <c r="DJ684" i="34"/>
  <c r="DO684" i="34"/>
  <c r="DR684" i="34" s="1" a="1"/>
  <c r="DR684" i="34" s="1"/>
  <c r="DP684" i="34"/>
  <c r="DU684" i="34"/>
  <c r="DX684" i="34" s="1" a="1"/>
  <c r="DX684" i="34" s="1"/>
  <c r="DV684" i="34"/>
  <c r="DY684" i="34" a="1"/>
  <c r="DY684" i="34" s="1"/>
  <c r="EA684" i="34"/>
  <c r="ED684" i="34" s="1" a="1"/>
  <c r="ED684" i="34" s="1"/>
  <c r="EB684" i="34"/>
  <c r="BS685" i="34"/>
  <c r="BV685" i="34" s="1" a="1"/>
  <c r="BV685" i="34" s="1"/>
  <c r="BT685" i="34"/>
  <c r="BY685" i="34"/>
  <c r="BZ685" i="34"/>
  <c r="CB685" i="34" a="1"/>
  <c r="CB685" i="34" s="1"/>
  <c r="CC685" i="34" a="1"/>
  <c r="CC685" i="34" s="1"/>
  <c r="CE685" i="34"/>
  <c r="CF685" i="34"/>
  <c r="CH685" i="34" a="1"/>
  <c r="CH685" i="34" s="1"/>
  <c r="CI685" i="34" a="1"/>
  <c r="CI685" i="34" s="1"/>
  <c r="CK685" i="34"/>
  <c r="CL685" i="34"/>
  <c r="CN685" i="34" a="1"/>
  <c r="CN685" i="34"/>
  <c r="CO685" i="34" a="1"/>
  <c r="CO685" i="34" s="1"/>
  <c r="CQ685" i="34" a="1"/>
  <c r="CQ685" i="34" s="1"/>
  <c r="CR685" i="34"/>
  <c r="CW685" i="34"/>
  <c r="CZ685" i="34" s="1" a="1"/>
  <c r="CZ685" i="34" s="1"/>
  <c r="CX685" i="34"/>
  <c r="DC685" i="34"/>
  <c r="DG685" i="34" s="1" a="1"/>
  <c r="DG685" i="34" s="1"/>
  <c r="DD685" i="34"/>
  <c r="DI685" i="34"/>
  <c r="DL685" i="34" s="1" a="1"/>
  <c r="DL685" i="34" s="1"/>
  <c r="DJ685" i="34"/>
  <c r="DM685" i="34" a="1"/>
  <c r="DM685" i="34" s="1"/>
  <c r="DO685" i="34"/>
  <c r="DR685" i="34" s="1" a="1"/>
  <c r="DR685" i="34" s="1"/>
  <c r="DP685" i="34"/>
  <c r="DS685" i="34" a="1"/>
  <c r="DS685" i="34" s="1"/>
  <c r="DU685" i="34"/>
  <c r="DV685" i="34"/>
  <c r="DY685" i="34" s="1" a="1"/>
  <c r="DY685" i="34" s="1"/>
  <c r="EA685" i="34"/>
  <c r="EB685" i="34"/>
  <c r="EE685" i="34" s="1" a="1"/>
  <c r="EE685" i="34" s="1"/>
  <c r="ED685" i="34" a="1"/>
  <c r="ED685" i="34" s="1"/>
  <c r="BS686" i="34"/>
  <c r="BW686" i="34" s="1" a="1"/>
  <c r="BT686" i="34"/>
  <c r="BV686" i="34" a="1"/>
  <c r="BV686" i="34" s="1"/>
  <c r="BW686" i="34"/>
  <c r="BY686" i="34"/>
  <c r="BZ686" i="34"/>
  <c r="CB686" i="34" s="1" a="1"/>
  <c r="CB686" i="34" s="1"/>
  <c r="CE686" i="34"/>
  <c r="CH686" i="34" s="1" a="1"/>
  <c r="CH686" i="34" s="1"/>
  <c r="CF686" i="34"/>
  <c r="CK686" i="34"/>
  <c r="CO686" i="34" s="1" a="1"/>
  <c r="CO686" i="34" s="1"/>
  <c r="CL686" i="34"/>
  <c r="CQ686" i="34" a="1"/>
  <c r="CQ686" i="34" s="1"/>
  <c r="CR686" i="34"/>
  <c r="CW686" i="34"/>
  <c r="CX686" i="34"/>
  <c r="CZ686" i="34" a="1"/>
  <c r="CZ686" i="34"/>
  <c r="DA686" i="34" a="1"/>
  <c r="DA686" i="34" s="1"/>
  <c r="DC686" i="34"/>
  <c r="DD686" i="34"/>
  <c r="DI686" i="34"/>
  <c r="DL686" i="34" s="1" a="1"/>
  <c r="DL686" i="34" s="1"/>
  <c r="DJ686" i="34"/>
  <c r="DO686" i="34"/>
  <c r="DR686" i="34" s="1" a="1"/>
  <c r="DR686" i="34" s="1"/>
  <c r="DP686" i="34"/>
  <c r="DS686" i="34" a="1"/>
  <c r="DS686" i="34" s="1"/>
  <c r="DU686" i="34"/>
  <c r="DX686" i="34" s="1" a="1"/>
  <c r="DX686" i="34" s="1"/>
  <c r="DV686" i="34"/>
  <c r="EA686" i="34"/>
  <c r="ED686" i="34" s="1" a="1"/>
  <c r="ED686" i="34" s="1"/>
  <c r="EB686" i="34"/>
  <c r="BS687" i="34"/>
  <c r="BT687" i="34"/>
  <c r="BV687" i="34" a="1"/>
  <c r="BV687" i="34" s="1"/>
  <c r="BW687" i="34" a="1"/>
  <c r="BW687" i="34" s="1"/>
  <c r="BY687" i="34"/>
  <c r="BZ687" i="34"/>
  <c r="CB687" i="34" a="1"/>
  <c r="CB687" i="34" s="1"/>
  <c r="CC687" i="34" a="1"/>
  <c r="CC687" i="34" s="1"/>
  <c r="CE687" i="34"/>
  <c r="CF687" i="34"/>
  <c r="CH687" i="34" a="1"/>
  <c r="CH687" i="34"/>
  <c r="CI687" i="34" a="1"/>
  <c r="CI687" i="34" s="1"/>
  <c r="CK687" i="34"/>
  <c r="CL687" i="34"/>
  <c r="CQ687" i="34" a="1"/>
  <c r="CQ687" i="34" s="1"/>
  <c r="CR687" i="34"/>
  <c r="CW687" i="34"/>
  <c r="DA687" i="34" s="1" a="1"/>
  <c r="DA687" i="34" s="1"/>
  <c r="CX687" i="34"/>
  <c r="DC687" i="34"/>
  <c r="DF687" i="34" s="1" a="1"/>
  <c r="DF687" i="34" s="1"/>
  <c r="DD687" i="34"/>
  <c r="DG687" i="34" a="1"/>
  <c r="DG687" i="34" s="1"/>
  <c r="DI687" i="34"/>
  <c r="DL687" i="34" s="1" a="1"/>
  <c r="DL687" i="34" s="1"/>
  <c r="DJ687" i="34"/>
  <c r="DM687" i="34" a="1"/>
  <c r="DM687" i="34" s="1"/>
  <c r="DO687" i="34"/>
  <c r="DP687" i="34"/>
  <c r="DS687" i="34" s="1" a="1"/>
  <c r="DS687" i="34" s="1"/>
  <c r="DU687" i="34"/>
  <c r="DV687" i="34"/>
  <c r="DY687" i="34" s="1" a="1"/>
  <c r="DY687" i="34" s="1"/>
  <c r="DX687" i="34" a="1"/>
  <c r="DX687" i="34" s="1"/>
  <c r="EA687" i="34"/>
  <c r="EE687" i="34" s="1" a="1"/>
  <c r="EB687" i="34"/>
  <c r="ED687" i="34" a="1"/>
  <c r="ED687" i="34" s="1"/>
  <c r="EE687" i="34"/>
  <c r="BS688" i="34"/>
  <c r="BT688" i="34"/>
  <c r="BV688" i="34" s="1" a="1"/>
  <c r="BV688" i="34" s="1"/>
  <c r="BY688" i="34"/>
  <c r="CB688" i="34" s="1" a="1"/>
  <c r="CB688" i="34" s="1"/>
  <c r="BZ688" i="34"/>
  <c r="CE688" i="34"/>
  <c r="CI688" i="34" s="1" a="1"/>
  <c r="CI688" i="34" s="1"/>
  <c r="CF688" i="34"/>
  <c r="CK688" i="34"/>
  <c r="CN688" i="34" s="1" a="1"/>
  <c r="CN688" i="34" s="1"/>
  <c r="CL688" i="34"/>
  <c r="CO688" i="34" a="1"/>
  <c r="CO688" i="34" s="1"/>
  <c r="CQ688" i="34" a="1"/>
  <c r="CQ688" i="34" s="1"/>
  <c r="CR688" i="34"/>
  <c r="CW688" i="34"/>
  <c r="CX688" i="34"/>
  <c r="DC688" i="34"/>
  <c r="DF688" i="34" s="1" a="1"/>
  <c r="DF688" i="34" s="1"/>
  <c r="DD688" i="34"/>
  <c r="DI688" i="34"/>
  <c r="DL688" i="34" s="1" a="1"/>
  <c r="DL688" i="34" s="1"/>
  <c r="DJ688" i="34"/>
  <c r="DM688" i="34" a="1"/>
  <c r="DM688" i="34" s="1"/>
  <c r="DO688" i="34"/>
  <c r="DR688" i="34" s="1" a="1"/>
  <c r="DR688" i="34" s="1"/>
  <c r="DP688" i="34"/>
  <c r="DS688" i="34" a="1"/>
  <c r="DS688" i="34"/>
  <c r="DU688" i="34"/>
  <c r="DX688" i="34" s="1" a="1"/>
  <c r="DX688" i="34" s="1"/>
  <c r="DV688" i="34"/>
  <c r="EA688" i="34"/>
  <c r="EB688" i="34"/>
  <c r="ED688" i="34" a="1"/>
  <c r="ED688" i="34" s="1"/>
  <c r="EE688" i="34" a="1"/>
  <c r="EE688" i="34" s="1"/>
  <c r="BS689" i="34"/>
  <c r="BT689" i="34"/>
  <c r="BV689" i="34" a="1"/>
  <c r="BV689" i="34"/>
  <c r="BW689" i="34" a="1"/>
  <c r="BW689" i="34" s="1"/>
  <c r="BY689" i="34"/>
  <c r="BZ689" i="34"/>
  <c r="CB689" i="34" a="1"/>
  <c r="CB689" i="34"/>
  <c r="CC689" i="34" a="1"/>
  <c r="CC689" i="34" s="1"/>
  <c r="CE689" i="34"/>
  <c r="CF689" i="34"/>
  <c r="CK689" i="34"/>
  <c r="CN689" i="34" s="1" a="1"/>
  <c r="CN689" i="34" s="1"/>
  <c r="CL689" i="34"/>
  <c r="CQ689" i="34" a="1"/>
  <c r="CQ689" i="34"/>
  <c r="CU689" i="34" s="1" a="1"/>
  <c r="CU689" i="34" s="1"/>
  <c r="CR689" i="34"/>
  <c r="CW689" i="34"/>
  <c r="CZ689" i="34" s="1" a="1"/>
  <c r="CZ689" i="34" s="1"/>
  <c r="CX689" i="34"/>
  <c r="DA689" i="34" a="1"/>
  <c r="DA689" i="34" s="1"/>
  <c r="DC689" i="34"/>
  <c r="DF689" i="34" s="1" a="1"/>
  <c r="DF689" i="34" s="1"/>
  <c r="DD689" i="34"/>
  <c r="DG689" i="34" a="1"/>
  <c r="DG689" i="34" s="1"/>
  <c r="DI689" i="34"/>
  <c r="DJ689" i="34"/>
  <c r="DM689" i="34" s="1" a="1"/>
  <c r="DM689" i="34" s="1"/>
  <c r="DO689" i="34"/>
  <c r="DP689" i="34"/>
  <c r="DS689" i="34" s="1" a="1"/>
  <c r="DS689" i="34" s="1"/>
  <c r="DR689" i="34" a="1"/>
  <c r="DR689" i="34" s="1"/>
  <c r="DU689" i="34"/>
  <c r="DY689" i="34" s="1" a="1"/>
  <c r="DV689" i="34"/>
  <c r="DX689" i="34" a="1"/>
  <c r="DX689" i="34" s="1"/>
  <c r="DY689" i="34"/>
  <c r="EA689" i="34"/>
  <c r="EB689" i="34"/>
  <c r="ED689" i="34" s="1" a="1"/>
  <c r="ED689" i="34" s="1"/>
  <c r="BS690" i="34"/>
  <c r="BV690" i="34" s="1" a="1"/>
  <c r="BV690" i="34" s="1"/>
  <c r="BT690" i="34"/>
  <c r="BY690" i="34"/>
  <c r="CC690" i="34" s="1" a="1"/>
  <c r="CC690" i="34" s="1"/>
  <c r="BZ690" i="34"/>
  <c r="CE690" i="34"/>
  <c r="CH690" i="34" s="1" a="1"/>
  <c r="CH690" i="34" s="1"/>
  <c r="CF690" i="34"/>
  <c r="CI690" i="34" a="1"/>
  <c r="CI690" i="34" s="1"/>
  <c r="CK690" i="34"/>
  <c r="CN690" i="34" s="1" a="1"/>
  <c r="CN690" i="34" s="1"/>
  <c r="CL690" i="34"/>
  <c r="CO690" i="34" a="1"/>
  <c r="CO690" i="34" s="1"/>
  <c r="CQ690" i="34" a="1"/>
  <c r="CQ690" i="34"/>
  <c r="CR690" i="34"/>
  <c r="CW690" i="34"/>
  <c r="CZ690" i="34" s="1" a="1"/>
  <c r="CZ690" i="34" s="1"/>
  <c r="CX690" i="34"/>
  <c r="DC690" i="34"/>
  <c r="DF690" i="34" s="1" a="1"/>
  <c r="DF690" i="34" s="1"/>
  <c r="DD690" i="34"/>
  <c r="DG690" i="34" a="1"/>
  <c r="DG690" i="34" s="1"/>
  <c r="DI690" i="34"/>
  <c r="DL690" i="34" s="1" a="1"/>
  <c r="DL690" i="34" s="1"/>
  <c r="DJ690" i="34"/>
  <c r="DM690" i="34" a="1"/>
  <c r="DM690" i="34"/>
  <c r="DO690" i="34"/>
  <c r="DR690" i="34" s="1" a="1"/>
  <c r="DR690" i="34" s="1"/>
  <c r="DP690" i="34"/>
  <c r="DS690" i="34" a="1"/>
  <c r="DS690" i="34"/>
  <c r="DU690" i="34"/>
  <c r="DV690" i="34"/>
  <c r="DX690" i="34" a="1"/>
  <c r="DX690" i="34" s="1"/>
  <c r="DY690" i="34" a="1"/>
  <c r="DY690" i="34" s="1"/>
  <c r="EA690" i="34"/>
  <c r="EB690" i="34"/>
  <c r="ED690" i="34" a="1"/>
  <c r="ED690" i="34"/>
  <c r="EE690" i="34" a="1"/>
  <c r="EE690" i="34" s="1"/>
  <c r="BS691" i="34"/>
  <c r="BT691" i="34"/>
  <c r="BV691" i="34" a="1"/>
  <c r="BV691" i="34"/>
  <c r="BW691" i="34" a="1"/>
  <c r="BW691" i="34" s="1"/>
  <c r="BY691" i="34"/>
  <c r="BZ691" i="34"/>
  <c r="CE691" i="34"/>
  <c r="CH691" i="34" s="1" a="1"/>
  <c r="CH691" i="34" s="1"/>
  <c r="CF691" i="34"/>
  <c r="CK691" i="34"/>
  <c r="CN691" i="34" s="1" a="1"/>
  <c r="CN691" i="34" s="1"/>
  <c r="CL691" i="34"/>
  <c r="CO691" i="34" a="1"/>
  <c r="CO691" i="34" s="1"/>
  <c r="CQ691" i="34" a="1"/>
  <c r="CQ691" i="34" s="1"/>
  <c r="CR691" i="34"/>
  <c r="CW691" i="34"/>
  <c r="CZ691" i="34" s="1" a="1"/>
  <c r="CZ691" i="34" s="1"/>
  <c r="CX691" i="34"/>
  <c r="DA691" i="34" a="1"/>
  <c r="DA691" i="34" s="1"/>
  <c r="DC691" i="34"/>
  <c r="DF691" i="34" s="1" a="1"/>
  <c r="DF691" i="34" s="1"/>
  <c r="DD691" i="34"/>
  <c r="DG691" i="34" s="1" a="1"/>
  <c r="DG691" i="34" s="1"/>
  <c r="DI691" i="34"/>
  <c r="DJ691" i="34"/>
  <c r="DM691" i="34" s="1" a="1"/>
  <c r="DM691" i="34" s="1"/>
  <c r="DL691" i="34" a="1"/>
  <c r="DL691" i="34" s="1"/>
  <c r="DO691" i="34"/>
  <c r="DS691" i="34" s="1" a="1"/>
  <c r="DP691" i="34"/>
  <c r="DR691" i="34" a="1"/>
  <c r="DR691" i="34" s="1"/>
  <c r="DS691" i="34"/>
  <c r="DU691" i="34"/>
  <c r="DV691" i="34"/>
  <c r="DX691" i="34" s="1" a="1"/>
  <c r="DX691" i="34" s="1"/>
  <c r="EA691" i="34"/>
  <c r="ED691" i="34" s="1" a="1"/>
  <c r="ED691" i="34" s="1"/>
  <c r="EB691" i="34"/>
  <c r="BS692" i="34"/>
  <c r="BW692" i="34" s="1" a="1"/>
  <c r="BW692" i="34" s="1"/>
  <c r="BT692" i="34"/>
  <c r="BY692" i="34"/>
  <c r="CB692" i="34" s="1" a="1"/>
  <c r="CB692" i="34" s="1"/>
  <c r="BZ692" i="34"/>
  <c r="CC692" i="34" a="1"/>
  <c r="CC692" i="34" s="1"/>
  <c r="CE692" i="34"/>
  <c r="CH692" i="34" s="1" a="1"/>
  <c r="CH692" i="34" s="1"/>
  <c r="CF692" i="34"/>
  <c r="CI692" i="34" a="1"/>
  <c r="CI692" i="34" s="1"/>
  <c r="CK692" i="34"/>
  <c r="CL692" i="34"/>
  <c r="CO692" i="34" s="1" a="1"/>
  <c r="CO692" i="34" s="1"/>
  <c r="CQ692" i="34" a="1"/>
  <c r="CQ692" i="34"/>
  <c r="CT692" i="34" s="1" a="1"/>
  <c r="CT692" i="34" s="1"/>
  <c r="CR692" i="34"/>
  <c r="CW692" i="34"/>
  <c r="CZ692" i="34" s="1" a="1"/>
  <c r="CZ692" i="34" s="1"/>
  <c r="CX692" i="34"/>
  <c r="DA692" i="34" a="1"/>
  <c r="DA692" i="34" s="1"/>
  <c r="DC692" i="34"/>
  <c r="DF692" i="34" s="1" a="1"/>
  <c r="DF692" i="34" s="1"/>
  <c r="DD692" i="34"/>
  <c r="DG692" i="34" a="1"/>
  <c r="DG692" i="34"/>
  <c r="DI692" i="34"/>
  <c r="DL692" i="34" s="1" a="1"/>
  <c r="DL692" i="34" s="1"/>
  <c r="DJ692" i="34"/>
  <c r="DM692" i="34" a="1"/>
  <c r="DM692" i="34"/>
  <c r="DO692" i="34"/>
  <c r="DP692" i="34"/>
  <c r="DR692" i="34" a="1"/>
  <c r="DR692" i="34" s="1"/>
  <c r="DS692" i="34" a="1"/>
  <c r="DS692" i="34" s="1"/>
  <c r="DU692" i="34"/>
  <c r="DV692" i="34"/>
  <c r="DX692" i="34" a="1"/>
  <c r="DX692" i="34"/>
  <c r="DY692" i="34" a="1"/>
  <c r="DY692" i="34" s="1"/>
  <c r="EA692" i="34"/>
  <c r="EB692" i="34"/>
  <c r="ED692" i="34" a="1"/>
  <c r="ED692" i="34"/>
  <c r="EE692" i="34" a="1"/>
  <c r="EE692" i="34" s="1"/>
  <c r="BS693" i="34"/>
  <c r="BT693" i="34"/>
  <c r="BY693" i="34"/>
  <c r="CB693" i="34" s="1" a="1"/>
  <c r="CB693" i="34" s="1"/>
  <c r="BZ693" i="34"/>
  <c r="CE693" i="34"/>
  <c r="CH693" i="34" s="1" a="1"/>
  <c r="CH693" i="34" s="1"/>
  <c r="CF693" i="34"/>
  <c r="CI693" i="34" a="1"/>
  <c r="CI693" i="34" s="1"/>
  <c r="CK693" i="34"/>
  <c r="CN693" i="34" s="1" a="1"/>
  <c r="CN693" i="34" s="1"/>
  <c r="CL693" i="34"/>
  <c r="CO693" i="34" a="1"/>
  <c r="CO693" i="34" s="1"/>
  <c r="CQ693" i="34" a="1"/>
  <c r="CQ693" i="34" s="1"/>
  <c r="CR693" i="34"/>
  <c r="CW693" i="34"/>
  <c r="CZ693" i="34" s="1" a="1"/>
  <c r="CZ693" i="34" s="1"/>
  <c r="CX693" i="34"/>
  <c r="DA693" i="34" s="1" a="1"/>
  <c r="DA693" i="34" s="1"/>
  <c r="DC693" i="34"/>
  <c r="DD693" i="34"/>
  <c r="DF693" i="34" s="1" a="1"/>
  <c r="DF693" i="34" s="1"/>
  <c r="DI693" i="34"/>
  <c r="DM693" i="34" s="1" a="1"/>
  <c r="DJ693" i="34"/>
  <c r="DL693" i="34" a="1"/>
  <c r="DL693" i="34" s="1"/>
  <c r="DM693" i="34"/>
  <c r="DO693" i="34"/>
  <c r="DP693" i="34"/>
  <c r="DR693" i="34" s="1" a="1"/>
  <c r="DR693" i="34" s="1"/>
  <c r="DU693" i="34"/>
  <c r="DX693" i="34" s="1" a="1"/>
  <c r="DX693" i="34" s="1"/>
  <c r="DV693" i="34"/>
  <c r="EA693" i="34"/>
  <c r="EE693" i="34" s="1" a="1"/>
  <c r="EE693" i="34" s="1"/>
  <c r="EB693" i="34"/>
  <c r="BS694" i="34"/>
  <c r="BV694" i="34" s="1" a="1"/>
  <c r="BV694" i="34" s="1"/>
  <c r="BT694" i="34"/>
  <c r="BW694" i="34" a="1"/>
  <c r="BW694" i="34" s="1"/>
  <c r="BY694" i="34"/>
  <c r="CB694" i="34" s="1" a="1"/>
  <c r="CB694" i="34" s="1"/>
  <c r="BZ694" i="34"/>
  <c r="CC694" i="34" a="1"/>
  <c r="CC694" i="34" s="1"/>
  <c r="CE694" i="34"/>
  <c r="CF694" i="34"/>
  <c r="CI694" i="34" s="1" a="1"/>
  <c r="CI694" i="34" s="1"/>
  <c r="CK694" i="34"/>
  <c r="CL694" i="34"/>
  <c r="CO694" i="34" s="1" a="1"/>
  <c r="CO694" i="34" s="1"/>
  <c r="CN694" i="34" a="1"/>
  <c r="CN694" i="34" s="1"/>
  <c r="CQ694" i="34" a="1"/>
  <c r="CQ694" i="34"/>
  <c r="CT694" i="34" s="1" a="1"/>
  <c r="CT694" i="34" s="1"/>
  <c r="CR694" i="34"/>
  <c r="CU694" i="34" a="1"/>
  <c r="CU694" i="34" s="1"/>
  <c r="CW694" i="34"/>
  <c r="CZ694" i="34" s="1" a="1"/>
  <c r="CZ694" i="34" s="1"/>
  <c r="CX694" i="34"/>
  <c r="DA694" i="34" a="1"/>
  <c r="DA694" i="34"/>
  <c r="DC694" i="34"/>
  <c r="DF694" i="34" s="1" a="1"/>
  <c r="DF694" i="34" s="1"/>
  <c r="DD694" i="34"/>
  <c r="DG694" i="34" a="1"/>
  <c r="DG694" i="34"/>
  <c r="DI694" i="34"/>
  <c r="DJ694" i="34"/>
  <c r="DL694" i="34" a="1"/>
  <c r="DL694" i="34" s="1"/>
  <c r="DM694" i="34" a="1"/>
  <c r="DM694" i="34" s="1"/>
  <c r="DO694" i="34"/>
  <c r="DP694" i="34"/>
  <c r="DR694" i="34" a="1"/>
  <c r="DR694" i="34"/>
  <c r="DS694" i="34" a="1"/>
  <c r="DS694" i="34" s="1"/>
  <c r="DU694" i="34"/>
  <c r="DV694" i="34"/>
  <c r="DX694" i="34" a="1"/>
  <c r="DX694" i="34"/>
  <c r="DY694" i="34" a="1"/>
  <c r="DY694" i="34" s="1"/>
  <c r="EA694" i="34"/>
  <c r="EB694" i="34"/>
  <c r="BS695" i="34"/>
  <c r="BT695" i="34"/>
  <c r="BY695" i="34"/>
  <c r="CB695" i="34" s="1" a="1"/>
  <c r="CB695" i="34" s="1"/>
  <c r="BZ695" i="34"/>
  <c r="CC695" i="34" a="1"/>
  <c r="CC695" i="34" s="1"/>
  <c r="CE695" i="34"/>
  <c r="CH695" i="34" s="1" a="1"/>
  <c r="CH695" i="34" s="1"/>
  <c r="CF695" i="34"/>
  <c r="CI695" i="34" a="1"/>
  <c r="CI695" i="34" s="1"/>
  <c r="CK695" i="34"/>
  <c r="CN695" i="34" s="1" a="1"/>
  <c r="CN695" i="34" s="1"/>
  <c r="CL695" i="34"/>
  <c r="CO695" i="34" a="1"/>
  <c r="CO695" i="34"/>
  <c r="CQ695" i="34" a="1"/>
  <c r="CQ695" i="34" s="1"/>
  <c r="CR695" i="34"/>
  <c r="CW695" i="34"/>
  <c r="CX695" i="34"/>
  <c r="DA695" i="34" s="1" a="1"/>
  <c r="DA695" i="34" s="1"/>
  <c r="CZ695" i="34" a="1"/>
  <c r="CZ695" i="34" s="1"/>
  <c r="DC695" i="34"/>
  <c r="DD695" i="34"/>
  <c r="DG695" i="34" s="1" a="1"/>
  <c r="DG695" i="34" s="1"/>
  <c r="DF695" i="34" a="1"/>
  <c r="DF695" i="34" s="1"/>
  <c r="DI695" i="34"/>
  <c r="DJ695" i="34"/>
  <c r="DL695" i="34" s="1" a="1"/>
  <c r="DL695" i="34" s="1"/>
  <c r="DO695" i="34"/>
  <c r="DP695" i="34"/>
  <c r="DU695" i="34"/>
  <c r="DY695" i="34" s="1" a="1"/>
  <c r="DY695" i="34" s="1"/>
  <c r="DV695" i="34"/>
  <c r="EA695" i="34"/>
  <c r="ED695" i="34" s="1" a="1"/>
  <c r="ED695" i="34" s="1"/>
  <c r="EB695" i="34"/>
  <c r="EE695" i="34" a="1"/>
  <c r="EE695" i="34" s="1"/>
  <c r="BS696" i="34"/>
  <c r="BV696" i="34" s="1" a="1"/>
  <c r="BV696" i="34" s="1"/>
  <c r="BT696" i="34"/>
  <c r="BW696" i="34" a="1"/>
  <c r="BW696" i="34" s="1"/>
  <c r="BY696" i="34"/>
  <c r="CB696" i="34" s="1" a="1"/>
  <c r="CB696" i="34" s="1"/>
  <c r="BZ696" i="34"/>
  <c r="CC696" i="34" s="1" a="1"/>
  <c r="CC696" i="34" s="1"/>
  <c r="CE696" i="34"/>
  <c r="CF696" i="34"/>
  <c r="CI696" i="34" s="1" a="1"/>
  <c r="CI696" i="34" s="1"/>
  <c r="CK696" i="34"/>
  <c r="CL696" i="34"/>
  <c r="CO696" i="34" s="1" a="1"/>
  <c r="CN696" i="34" a="1"/>
  <c r="CN696" i="34" s="1"/>
  <c r="CO696" i="34"/>
  <c r="CQ696" i="34" a="1"/>
  <c r="CQ696" i="34"/>
  <c r="CT696" i="34" s="1" a="1"/>
  <c r="CT696" i="34" s="1"/>
  <c r="CR696" i="34"/>
  <c r="CU696" i="34" a="1"/>
  <c r="CU696" i="34"/>
  <c r="CW696" i="34"/>
  <c r="CZ696" i="34" s="1" a="1"/>
  <c r="CZ696" i="34" s="1"/>
  <c r="CX696" i="34"/>
  <c r="DA696" i="34" a="1"/>
  <c r="DA696" i="34"/>
  <c r="DC696" i="34"/>
  <c r="DD696" i="34"/>
  <c r="DF696" i="34" a="1"/>
  <c r="DF696" i="34" s="1"/>
  <c r="DG696" i="34" a="1"/>
  <c r="DG696" i="34" s="1"/>
  <c r="DI696" i="34"/>
  <c r="DJ696" i="34"/>
  <c r="DL696" i="34" a="1"/>
  <c r="DL696" i="34" s="1"/>
  <c r="DM696" i="34" a="1"/>
  <c r="DM696" i="34" s="1"/>
  <c r="DO696" i="34"/>
  <c r="DP696" i="34"/>
  <c r="DR696" i="34" a="1"/>
  <c r="DR696" i="34"/>
  <c r="DS696" i="34" a="1"/>
  <c r="DS696" i="34" s="1"/>
  <c r="DU696" i="34"/>
  <c r="DV696" i="34"/>
  <c r="EA696" i="34"/>
  <c r="EB696" i="34"/>
  <c r="BS697" i="34"/>
  <c r="BV697" i="34" s="1" a="1"/>
  <c r="BV697" i="34" s="1"/>
  <c r="BT697" i="34"/>
  <c r="BW697" i="34" a="1"/>
  <c r="BW697" i="34" s="1"/>
  <c r="BY697" i="34"/>
  <c r="CB697" i="34" s="1" a="1"/>
  <c r="CB697" i="34" s="1"/>
  <c r="BZ697" i="34"/>
  <c r="CC697" i="34" a="1"/>
  <c r="CC697" i="34" s="1"/>
  <c r="CE697" i="34"/>
  <c r="CH697" i="34" s="1" a="1"/>
  <c r="CH697" i="34" s="1"/>
  <c r="CF697" i="34"/>
  <c r="CI697" i="34" a="1"/>
  <c r="CI697" i="34"/>
  <c r="CK697" i="34"/>
  <c r="CL697" i="34"/>
  <c r="CN697" i="34" a="1"/>
  <c r="CN697" i="34" s="1"/>
  <c r="CO697" i="34" a="1"/>
  <c r="CO697" i="34" s="1"/>
  <c r="CQ697" i="34" a="1"/>
  <c r="CQ697" i="34" s="1"/>
  <c r="CU697" i="34" s="1" a="1"/>
  <c r="CU697" i="34" s="1"/>
  <c r="CR697" i="34"/>
  <c r="CW697" i="34"/>
  <c r="CX697" i="34"/>
  <c r="DA697" i="34" s="1" a="1"/>
  <c r="DA697" i="34" s="1"/>
  <c r="CZ697" i="34" a="1"/>
  <c r="CZ697" i="34" s="1"/>
  <c r="DC697" i="34"/>
  <c r="DD697" i="34"/>
  <c r="DF697" i="34" s="1" a="1"/>
  <c r="DF697" i="34" s="1"/>
  <c r="DI697" i="34"/>
  <c r="DJ697" i="34"/>
  <c r="DO697" i="34"/>
  <c r="DS697" i="34" s="1" a="1"/>
  <c r="DS697" i="34" s="1"/>
  <c r="DP697" i="34"/>
  <c r="DU697" i="34"/>
  <c r="DX697" i="34" s="1" a="1"/>
  <c r="DX697" i="34" s="1"/>
  <c r="DV697" i="34"/>
  <c r="DY697" i="34" a="1"/>
  <c r="DY697" i="34" s="1"/>
  <c r="EA697" i="34"/>
  <c r="ED697" i="34" s="1" a="1"/>
  <c r="ED697" i="34" s="1"/>
  <c r="EB697" i="34"/>
  <c r="EE697" i="34" a="1"/>
  <c r="EE697" i="34" s="1"/>
  <c r="BS698" i="34"/>
  <c r="BV698" i="34" s="1" a="1"/>
  <c r="BV698" i="34" s="1"/>
  <c r="BT698" i="34"/>
  <c r="BW698" i="34" s="1" a="1"/>
  <c r="BW698" i="34" s="1"/>
  <c r="BY698" i="34"/>
  <c r="BZ698" i="34"/>
  <c r="CC698" i="34" s="1" a="1"/>
  <c r="CC698" i="34" s="1"/>
  <c r="CB698" i="34" a="1"/>
  <c r="CB698" i="34" s="1"/>
  <c r="CE698" i="34"/>
  <c r="CI698" i="34" s="1" a="1"/>
  <c r="CI698" i="34" s="1"/>
  <c r="CF698" i="34"/>
  <c r="CH698" i="34" a="1"/>
  <c r="CH698" i="34" s="1"/>
  <c r="CK698" i="34"/>
  <c r="CL698" i="34"/>
  <c r="CN698" i="34" s="1" a="1"/>
  <c r="CN698" i="34" s="1"/>
  <c r="CQ698" i="34" a="1"/>
  <c r="CQ698" i="34" s="1"/>
  <c r="CR698" i="34"/>
  <c r="CW698" i="34"/>
  <c r="CX698" i="34"/>
  <c r="CZ698" i="34" a="1"/>
  <c r="CZ698" i="34" s="1"/>
  <c r="DA698" i="34" a="1"/>
  <c r="DA698" i="34" s="1"/>
  <c r="DC698" i="34"/>
  <c r="DD698" i="34"/>
  <c r="DF698" i="34" a="1"/>
  <c r="DF698" i="34" s="1"/>
  <c r="DG698" i="34" a="1"/>
  <c r="DG698" i="34" s="1"/>
  <c r="DI698" i="34"/>
  <c r="DJ698" i="34"/>
  <c r="DL698" i="34" a="1"/>
  <c r="DL698" i="34"/>
  <c r="DM698" i="34" a="1"/>
  <c r="DM698" i="34" s="1"/>
  <c r="DO698" i="34"/>
  <c r="DS698" i="34" s="1" a="1"/>
  <c r="DS698" i="34" s="1"/>
  <c r="DP698" i="34"/>
  <c r="DU698" i="34"/>
  <c r="DV698" i="34"/>
  <c r="EA698" i="34"/>
  <c r="ED698" i="34" s="1" a="1"/>
  <c r="ED698" i="34" s="1"/>
  <c r="EB698" i="34"/>
  <c r="EE698" i="34" a="1"/>
  <c r="EE698" i="34" s="1"/>
  <c r="BS699" i="34"/>
  <c r="BV699" i="34" s="1" a="1"/>
  <c r="BV699" i="34" s="1"/>
  <c r="BT699" i="34"/>
  <c r="BY699" i="34"/>
  <c r="CB699" i="34" s="1" a="1"/>
  <c r="CB699" i="34" s="1"/>
  <c r="BZ699" i="34"/>
  <c r="CC699" i="34" a="1"/>
  <c r="CC699" i="34"/>
  <c r="CE699" i="34"/>
  <c r="CF699" i="34"/>
  <c r="CH699" i="34" a="1"/>
  <c r="CH699" i="34" s="1"/>
  <c r="CI699" i="34" a="1"/>
  <c r="CI699" i="34" s="1"/>
  <c r="CK699" i="34"/>
  <c r="CL699" i="34"/>
  <c r="CN699" i="34" a="1"/>
  <c r="CN699" i="34"/>
  <c r="CO699" i="34" a="1"/>
  <c r="CO699" i="34" s="1"/>
  <c r="CQ699" i="34" a="1"/>
  <c r="CQ699" i="34" s="1"/>
  <c r="CR699" i="34"/>
  <c r="CW699" i="34"/>
  <c r="CX699" i="34"/>
  <c r="DC699" i="34"/>
  <c r="DD699" i="34"/>
  <c r="DI699" i="34"/>
  <c r="DM699" i="34" s="1" a="1"/>
  <c r="DM699" i="34" s="1"/>
  <c r="DJ699" i="34"/>
  <c r="DO699" i="34"/>
  <c r="DR699" i="34" s="1" a="1"/>
  <c r="DP699" i="34"/>
  <c r="DR699" i="34"/>
  <c r="DS699" i="34" a="1"/>
  <c r="DS699" i="34" s="1"/>
  <c r="DU699" i="34"/>
  <c r="DX699" i="34" s="1" a="1"/>
  <c r="DX699" i="34" s="1"/>
  <c r="DV699" i="34"/>
  <c r="DY699" i="34" a="1"/>
  <c r="DY699" i="34" s="1"/>
  <c r="EA699" i="34"/>
  <c r="EB699" i="34"/>
  <c r="EE699" i="34" s="1" a="1"/>
  <c r="EE699" i="34" s="1"/>
  <c r="BS700" i="34"/>
  <c r="BT700" i="34"/>
  <c r="BW700" i="34" s="1" a="1"/>
  <c r="BW700" i="34" s="1"/>
  <c r="BY700" i="34"/>
  <c r="CC700" i="34" s="1" a="1"/>
  <c r="CC700" i="34" s="1"/>
  <c r="BZ700" i="34"/>
  <c r="CB700" i="34" a="1"/>
  <c r="CB700" i="34" s="1"/>
  <c r="CE700" i="34"/>
  <c r="CF700" i="34"/>
  <c r="CI700" i="34" s="1" a="1"/>
  <c r="CI700" i="34" s="1"/>
  <c r="CK700" i="34"/>
  <c r="CL700" i="34"/>
  <c r="CQ700" i="34" a="1"/>
  <c r="CQ700" i="34" s="1"/>
  <c r="CT700" i="34" s="1" a="1"/>
  <c r="CT700" i="34" s="1"/>
  <c r="CR700" i="34"/>
  <c r="CW700" i="34"/>
  <c r="CX700" i="34"/>
  <c r="CZ700" i="34" a="1"/>
  <c r="CZ700" i="34" s="1"/>
  <c r="DA700" i="34" a="1"/>
  <c r="DA700" i="34" s="1"/>
  <c r="DC700" i="34"/>
  <c r="DD700" i="34"/>
  <c r="DF700" i="34" a="1"/>
  <c r="DF700" i="34"/>
  <c r="DG700" i="34" a="1"/>
  <c r="DG700" i="34" s="1"/>
  <c r="DI700" i="34"/>
  <c r="DM700" i="34" s="1" a="1"/>
  <c r="DM700" i="34" s="1"/>
  <c r="DJ700" i="34"/>
  <c r="DL700" i="34" a="1"/>
  <c r="DL700" i="34" s="1"/>
  <c r="DO700" i="34"/>
  <c r="DP700" i="34"/>
  <c r="DU700" i="34"/>
  <c r="DX700" i="34" s="1" a="1"/>
  <c r="DX700" i="34" s="1"/>
  <c r="DV700" i="34"/>
  <c r="DY700" i="34" a="1"/>
  <c r="DY700" i="34" s="1"/>
  <c r="EA700" i="34"/>
  <c r="EB700" i="34"/>
  <c r="EE700" i="34" a="1"/>
  <c r="EE700" i="34"/>
  <c r="BS701" i="34"/>
  <c r="BV701" i="34" s="1" a="1"/>
  <c r="BV701" i="34" s="1"/>
  <c r="BT701" i="34"/>
  <c r="BW701" i="34" a="1"/>
  <c r="BW701" i="34"/>
  <c r="BY701" i="34"/>
  <c r="BZ701" i="34"/>
  <c r="CB701" i="34" a="1"/>
  <c r="CB701" i="34" s="1"/>
  <c r="CC701" i="34" a="1"/>
  <c r="CC701" i="34" s="1"/>
  <c r="CE701" i="34"/>
  <c r="CF701" i="34"/>
  <c r="CH701" i="34" a="1"/>
  <c r="CH701" i="34" s="1"/>
  <c r="CI701" i="34" a="1"/>
  <c r="CI701" i="34" s="1"/>
  <c r="CK701" i="34"/>
  <c r="CL701" i="34"/>
  <c r="CN701" i="34" a="1"/>
  <c r="CN701" i="34"/>
  <c r="CO701" i="34" a="1"/>
  <c r="CO701" i="34" s="1"/>
  <c r="CQ701" i="34" a="1"/>
  <c r="CQ701" i="34" s="1"/>
  <c r="CR701" i="34"/>
  <c r="CT701" i="34" s="1" a="1"/>
  <c r="CT701" i="34" s="1"/>
  <c r="CW701" i="34"/>
  <c r="CX701" i="34"/>
  <c r="DC701" i="34"/>
  <c r="DG701" i="34" s="1" a="1"/>
  <c r="DG701" i="34" s="1"/>
  <c r="DD701" i="34"/>
  <c r="DI701" i="34"/>
  <c r="DL701" i="34" s="1" a="1"/>
  <c r="DJ701" i="34"/>
  <c r="DL701" i="34"/>
  <c r="DM701" i="34" a="1"/>
  <c r="DM701" i="34" s="1"/>
  <c r="DO701" i="34"/>
  <c r="DR701" i="34" s="1" a="1"/>
  <c r="DR701" i="34" s="1"/>
  <c r="DP701" i="34"/>
  <c r="DS701" i="34" a="1"/>
  <c r="DS701" i="34" s="1"/>
  <c r="DU701" i="34"/>
  <c r="DX701" i="34" s="1" a="1"/>
  <c r="DX701" i="34" s="1"/>
  <c r="DV701" i="34"/>
  <c r="DY701" i="34" s="1" a="1"/>
  <c r="DY701" i="34" s="1"/>
  <c r="EA701" i="34"/>
  <c r="EB701" i="34"/>
  <c r="EE701" i="34" s="1" a="1"/>
  <c r="EE701" i="34" s="1"/>
  <c r="ED701" i="34" a="1"/>
  <c r="ED701" i="34" s="1"/>
  <c r="BS702" i="34"/>
  <c r="BW702" i="34" s="1" a="1"/>
  <c r="BT702" i="34"/>
  <c r="BV702" i="34" a="1"/>
  <c r="BV702" i="34" s="1"/>
  <c r="BW702" i="34"/>
  <c r="BY702" i="34"/>
  <c r="BZ702" i="34"/>
  <c r="CC702" i="34" s="1" a="1"/>
  <c r="CC702" i="34" s="1"/>
  <c r="CE702" i="34"/>
  <c r="CF702" i="34"/>
  <c r="CK702" i="34"/>
  <c r="CO702" i="34" s="1" a="1"/>
  <c r="CO702" i="34" s="1"/>
  <c r="CL702" i="34"/>
  <c r="CQ702" i="34" a="1"/>
  <c r="CQ702" i="34" s="1"/>
  <c r="CU702" i="34" s="1" a="1"/>
  <c r="CU702" i="34" s="1"/>
  <c r="CR702" i="34"/>
  <c r="CW702" i="34"/>
  <c r="CX702" i="34"/>
  <c r="CZ702" i="34" a="1"/>
  <c r="CZ702" i="34"/>
  <c r="DA702" i="34" a="1"/>
  <c r="DA702" i="34" s="1"/>
  <c r="DC702" i="34"/>
  <c r="DG702" i="34" s="1" a="1"/>
  <c r="DG702" i="34" s="1"/>
  <c r="DD702" i="34"/>
  <c r="DF702" i="34" a="1"/>
  <c r="DF702" i="34" s="1"/>
  <c r="DI702" i="34"/>
  <c r="DJ702" i="34"/>
  <c r="DO702" i="34"/>
  <c r="DR702" i="34" s="1" a="1"/>
  <c r="DR702" i="34" s="1"/>
  <c r="DP702" i="34"/>
  <c r="DS702" i="34" a="1"/>
  <c r="DS702" i="34" s="1"/>
  <c r="DU702" i="34"/>
  <c r="DX702" i="34" s="1" a="1"/>
  <c r="DX702" i="34" s="1"/>
  <c r="DV702" i="34"/>
  <c r="EA702" i="34"/>
  <c r="ED702" i="34" s="1" a="1"/>
  <c r="ED702" i="34" s="1"/>
  <c r="EB702" i="34"/>
  <c r="EE702" i="34" a="1"/>
  <c r="EE702" i="34"/>
  <c r="BS703" i="34"/>
  <c r="BT703" i="34"/>
  <c r="BV703" i="34" a="1"/>
  <c r="BV703" i="34" s="1"/>
  <c r="BW703" i="34" a="1"/>
  <c r="BW703" i="34"/>
  <c r="BY703" i="34"/>
  <c r="BZ703" i="34"/>
  <c r="CB703" i="34" a="1"/>
  <c r="CB703" i="34" s="1"/>
  <c r="CC703" i="34" a="1"/>
  <c r="CC703" i="34" s="1"/>
  <c r="CE703" i="34"/>
  <c r="CF703" i="34"/>
  <c r="CH703" i="34" a="1"/>
  <c r="CH703" i="34"/>
  <c r="CI703" i="34" a="1"/>
  <c r="CI703" i="34" s="1"/>
  <c r="CK703" i="34"/>
  <c r="CO703" i="34" s="1" a="1"/>
  <c r="CO703" i="34" s="1"/>
  <c r="CL703" i="34"/>
  <c r="CN703" i="34" a="1"/>
  <c r="CN703" i="34" s="1"/>
  <c r="CQ703" i="34" a="1"/>
  <c r="CQ703" i="34"/>
  <c r="CR703" i="34"/>
  <c r="CW703" i="34"/>
  <c r="DA703" i="34" s="1" a="1"/>
  <c r="DA703" i="34" s="1"/>
  <c r="CX703" i="34"/>
  <c r="DC703" i="34"/>
  <c r="DF703" i="34" s="1" a="1"/>
  <c r="DD703" i="34"/>
  <c r="DF703" i="34"/>
  <c r="DG703" i="34" a="1"/>
  <c r="DG703" i="34" s="1"/>
  <c r="DI703" i="34"/>
  <c r="DL703" i="34" s="1" a="1"/>
  <c r="DL703" i="34" s="1"/>
  <c r="DJ703" i="34"/>
  <c r="DM703" i="34" a="1"/>
  <c r="DM703" i="34" s="1"/>
  <c r="DO703" i="34"/>
  <c r="DR703" i="34" s="1" a="1"/>
  <c r="DR703" i="34" s="1"/>
  <c r="DP703" i="34"/>
  <c r="DS703" i="34" s="1" a="1"/>
  <c r="DS703" i="34" s="1"/>
  <c r="DU703" i="34"/>
  <c r="DV703" i="34"/>
  <c r="DY703" i="34" s="1" a="1"/>
  <c r="DY703" i="34" s="1"/>
  <c r="DX703" i="34" a="1"/>
  <c r="DX703" i="34" s="1"/>
  <c r="EA703" i="34"/>
  <c r="EE703" i="34" s="1" a="1"/>
  <c r="EB703" i="34"/>
  <c r="ED703" i="34" a="1"/>
  <c r="ED703" i="34" s="1"/>
  <c r="EE703" i="34"/>
  <c r="BS704" i="34"/>
  <c r="BT704" i="34"/>
  <c r="BW704" i="34" s="1" a="1"/>
  <c r="BW704" i="34" s="1"/>
  <c r="BY704" i="34"/>
  <c r="BZ704" i="34"/>
  <c r="CE704" i="34"/>
  <c r="CF704" i="34"/>
  <c r="CK704" i="34"/>
  <c r="CN704" i="34" s="1" a="1"/>
  <c r="CN704" i="34" s="1"/>
  <c r="CL704" i="34"/>
  <c r="CQ704" i="34" a="1"/>
  <c r="CQ704" i="34" s="1"/>
  <c r="CR704" i="34"/>
  <c r="CW704" i="34"/>
  <c r="DA704" i="34" s="1" a="1"/>
  <c r="DA704" i="34" s="1"/>
  <c r="CX704" i="34"/>
  <c r="DC704" i="34"/>
  <c r="DD704" i="34"/>
  <c r="DI704" i="34"/>
  <c r="DJ704" i="34"/>
  <c r="DM704" i="34" s="1" a="1"/>
  <c r="DM704" i="34" s="1"/>
  <c r="DO704" i="34"/>
  <c r="DP704" i="34"/>
  <c r="DU704" i="34"/>
  <c r="DX704" i="34" s="1" a="1"/>
  <c r="DX704" i="34" s="1"/>
  <c r="DV704" i="34"/>
  <c r="DY704" i="34" a="1"/>
  <c r="DY704" i="34"/>
  <c r="EA704" i="34"/>
  <c r="EB704" i="34"/>
  <c r="ED704" i="34" a="1"/>
  <c r="ED704" i="34" s="1"/>
  <c r="EE704" i="34" a="1"/>
  <c r="EE704" i="34" s="1"/>
  <c r="BS705" i="34"/>
  <c r="BT705" i="34"/>
  <c r="BV705" i="34" a="1"/>
  <c r="BV705" i="34"/>
  <c r="BW705" i="34" a="1"/>
  <c r="BW705" i="34" s="1"/>
  <c r="BY705" i="34"/>
  <c r="BZ705" i="34"/>
  <c r="CB705" i="34" a="1"/>
  <c r="CB705" i="34"/>
  <c r="CC705" i="34" a="1"/>
  <c r="CC705" i="34" s="1"/>
  <c r="CE705" i="34"/>
  <c r="CI705" i="34" s="1" a="1"/>
  <c r="CI705" i="34" s="1"/>
  <c r="CF705" i="34"/>
  <c r="CK705" i="34"/>
  <c r="CL705" i="34"/>
  <c r="CQ705" i="34" a="1"/>
  <c r="CQ705" i="34"/>
  <c r="CR705" i="34"/>
  <c r="CW705" i="34"/>
  <c r="CZ705" i="34" s="1" a="1"/>
  <c r="CZ705" i="34" s="1"/>
  <c r="CX705" i="34"/>
  <c r="DA705" i="34" a="1"/>
  <c r="DA705" i="34" s="1"/>
  <c r="DC705" i="34"/>
  <c r="DF705" i="34" s="1" a="1"/>
  <c r="DF705" i="34" s="1"/>
  <c r="DD705" i="34"/>
  <c r="DG705" i="34" a="1"/>
  <c r="DG705" i="34" s="1"/>
  <c r="DI705" i="34"/>
  <c r="DJ705" i="34"/>
  <c r="DM705" i="34" s="1" a="1"/>
  <c r="DM705" i="34" s="1"/>
  <c r="DO705" i="34"/>
  <c r="DP705" i="34"/>
  <c r="DS705" i="34" s="1" a="1"/>
  <c r="DS705" i="34" s="1"/>
  <c r="DR705" i="34" a="1"/>
  <c r="DR705" i="34" s="1"/>
  <c r="DU705" i="34"/>
  <c r="DY705" i="34" s="1" a="1"/>
  <c r="DY705" i="34" s="1"/>
  <c r="DV705" i="34"/>
  <c r="DX705" i="34" s="1" a="1"/>
  <c r="DX705" i="34" s="1"/>
  <c r="EA705" i="34"/>
  <c r="EB705" i="34"/>
  <c r="EE705" i="34" s="1" a="1"/>
  <c r="EE705" i="34" s="1"/>
  <c r="ED705" i="34" a="1"/>
  <c r="ED705" i="34" s="1"/>
  <c r="BS706" i="34"/>
  <c r="BT706" i="34"/>
  <c r="BY706" i="34"/>
  <c r="BZ706" i="34"/>
  <c r="CE706" i="34"/>
  <c r="CH706" i="34" s="1" a="1"/>
  <c r="CH706" i="34" s="1"/>
  <c r="CF706" i="34"/>
  <c r="CK706" i="34"/>
  <c r="CN706" i="34" s="1" a="1"/>
  <c r="CL706" i="34"/>
  <c r="CN706" i="34"/>
  <c r="CO706" i="34" a="1"/>
  <c r="CO706" i="34" s="1"/>
  <c r="CQ706" i="34" a="1"/>
  <c r="CQ706" i="34"/>
  <c r="CU706" i="34" s="1" a="1"/>
  <c r="CU706" i="34" s="1"/>
  <c r="CR706" i="34"/>
  <c r="CT706" i="34" a="1"/>
  <c r="CT706" i="34" s="1"/>
  <c r="CW706" i="34"/>
  <c r="CX706" i="34"/>
  <c r="DC706" i="34"/>
  <c r="DD706" i="34"/>
  <c r="DG706" i="34" a="1"/>
  <c r="DG706" i="34" s="1"/>
  <c r="DI706" i="34"/>
  <c r="DL706" i="34" s="1" a="1"/>
  <c r="DL706" i="34" s="1"/>
  <c r="DJ706" i="34"/>
  <c r="DO706" i="34"/>
  <c r="DR706" i="34" s="1" a="1"/>
  <c r="DR706" i="34" s="1"/>
  <c r="DP706" i="34"/>
  <c r="DS706" i="34" a="1"/>
  <c r="DS706" i="34" s="1"/>
  <c r="DU706" i="34"/>
  <c r="DV706" i="34"/>
  <c r="DX706" i="34" a="1"/>
  <c r="DX706" i="34" s="1"/>
  <c r="DY706" i="34" a="1"/>
  <c r="DY706" i="34"/>
  <c r="EA706" i="34"/>
  <c r="EB706" i="34"/>
  <c r="ED706" i="34" a="1"/>
  <c r="ED706" i="34" s="1"/>
  <c r="EE706" i="34" a="1"/>
  <c r="EE706" i="34" s="1"/>
  <c r="BS707" i="34"/>
  <c r="BT707" i="34"/>
  <c r="BV707" i="34" a="1"/>
  <c r="BV707" i="34" s="1"/>
  <c r="BW707" i="34" a="1"/>
  <c r="BW707" i="34" s="1"/>
  <c r="BY707" i="34"/>
  <c r="CC707" i="34" s="1" a="1"/>
  <c r="CC707" i="34" s="1"/>
  <c r="BZ707" i="34"/>
  <c r="CB707" i="34" a="1"/>
  <c r="CB707" i="34" s="1"/>
  <c r="CE707" i="34"/>
  <c r="CF707" i="34"/>
  <c r="CK707" i="34"/>
  <c r="CL707" i="34"/>
  <c r="CO707" i="34" a="1"/>
  <c r="CO707" i="34" s="1"/>
  <c r="CQ707" i="34" a="1"/>
  <c r="CQ707" i="34" s="1"/>
  <c r="CR707" i="34"/>
  <c r="CW707" i="34"/>
  <c r="CZ707" i="34" s="1" a="1"/>
  <c r="CZ707" i="34" s="1"/>
  <c r="CX707" i="34"/>
  <c r="DA707" i="34" a="1"/>
  <c r="DA707" i="34" s="1"/>
  <c r="DC707" i="34"/>
  <c r="DF707" i="34" s="1" a="1"/>
  <c r="DF707" i="34" s="1"/>
  <c r="DD707" i="34"/>
  <c r="DG707" i="34" s="1" a="1"/>
  <c r="DG707" i="34" s="1"/>
  <c r="DI707" i="34"/>
  <c r="DJ707" i="34"/>
  <c r="DM707" i="34" s="1" a="1"/>
  <c r="DM707" i="34" s="1"/>
  <c r="DL707" i="34" a="1"/>
  <c r="DL707" i="34" s="1"/>
  <c r="DO707" i="34"/>
  <c r="DS707" i="34" s="1" a="1"/>
  <c r="DP707" i="34"/>
  <c r="DR707" i="34" a="1"/>
  <c r="DR707" i="34" s="1"/>
  <c r="DS707" i="34"/>
  <c r="DU707" i="34"/>
  <c r="DV707" i="34"/>
  <c r="DY707" i="34" s="1" a="1"/>
  <c r="DY707" i="34" s="1"/>
  <c r="EA707" i="34"/>
  <c r="EB707" i="34"/>
  <c r="BS708" i="34"/>
  <c r="BT708" i="34"/>
  <c r="BY708" i="34"/>
  <c r="BZ708" i="34"/>
  <c r="CE708" i="34"/>
  <c r="CH708" i="34" s="1" a="1"/>
  <c r="CF708" i="34"/>
  <c r="CH708" i="34"/>
  <c r="CI708" i="34" a="1"/>
  <c r="CI708" i="34" s="1"/>
  <c r="CK708" i="34"/>
  <c r="CL708" i="34"/>
  <c r="CO708" i="34" a="1"/>
  <c r="CO708" i="34" s="1"/>
  <c r="CQ708" i="34" a="1"/>
  <c r="CQ708" i="34"/>
  <c r="CR708" i="34"/>
  <c r="CW708" i="34"/>
  <c r="CX708" i="34"/>
  <c r="DC708" i="34"/>
  <c r="DD708" i="34"/>
  <c r="DG708" i="34" a="1"/>
  <c r="DG708" i="34"/>
  <c r="DI708" i="34"/>
  <c r="DL708" i="34" s="1" a="1"/>
  <c r="DL708" i="34" s="1"/>
  <c r="DJ708" i="34"/>
  <c r="DM708" i="34" a="1"/>
  <c r="DM708" i="34" s="1"/>
  <c r="DO708" i="34"/>
  <c r="DP708" i="34"/>
  <c r="DR708" i="34" a="1"/>
  <c r="DR708" i="34" s="1"/>
  <c r="DS708" i="34" a="1"/>
  <c r="DS708" i="34"/>
  <c r="DU708" i="34"/>
  <c r="DV708" i="34"/>
  <c r="DX708" i="34" a="1"/>
  <c r="DX708" i="34" s="1"/>
  <c r="DY708" i="34" a="1"/>
  <c r="DY708" i="34" s="1"/>
  <c r="EA708" i="34"/>
  <c r="EB708" i="34"/>
  <c r="ED708" i="34" a="1"/>
  <c r="ED708" i="34" s="1"/>
  <c r="EE708" i="34" a="1"/>
  <c r="EE708" i="34" s="1"/>
  <c r="BS709" i="34"/>
  <c r="BW709" i="34" s="1" a="1"/>
  <c r="BW709" i="34" s="1"/>
  <c r="BT709" i="34"/>
  <c r="BV709" i="34" a="1"/>
  <c r="BV709" i="34" s="1"/>
  <c r="BY709" i="34"/>
  <c r="BZ709" i="34"/>
  <c r="CE709" i="34"/>
  <c r="CF709" i="34"/>
  <c r="CK709" i="34"/>
  <c r="CL709" i="34"/>
  <c r="CO709" i="34" a="1"/>
  <c r="CO709" i="34"/>
  <c r="CQ709" i="34" a="1"/>
  <c r="CQ709" i="34" s="1"/>
  <c r="CT709" i="34" s="1" a="1"/>
  <c r="CT709" i="34" s="1"/>
  <c r="CR709" i="34"/>
  <c r="CW709" i="34"/>
  <c r="CZ709" i="34" s="1" a="1"/>
  <c r="CZ709" i="34" s="1"/>
  <c r="CX709" i="34"/>
  <c r="DA709" i="34" s="1" a="1"/>
  <c r="DA709" i="34" s="1"/>
  <c r="DC709" i="34"/>
  <c r="DD709" i="34"/>
  <c r="DG709" i="34" s="1" a="1"/>
  <c r="DG709" i="34" s="1"/>
  <c r="DF709" i="34" a="1"/>
  <c r="DF709" i="34" s="1"/>
  <c r="DI709" i="34"/>
  <c r="DM709" i="34" s="1" a="1"/>
  <c r="DJ709" i="34"/>
  <c r="DL709" i="34" a="1"/>
  <c r="DL709" i="34" s="1"/>
  <c r="DM709" i="34"/>
  <c r="DO709" i="34"/>
  <c r="DP709" i="34"/>
  <c r="DS709" i="34" s="1" a="1"/>
  <c r="DS709" i="34" s="1"/>
  <c r="DU709" i="34"/>
  <c r="DV709" i="34"/>
  <c r="EA709" i="34"/>
  <c r="EB709" i="34"/>
  <c r="BS710" i="34"/>
  <c r="BT710" i="34"/>
  <c r="BY710" i="34"/>
  <c r="CB710" i="34" s="1" a="1"/>
  <c r="BZ710" i="34"/>
  <c r="CB710" i="34"/>
  <c r="CC710" i="34" a="1"/>
  <c r="CC710" i="34" s="1"/>
  <c r="CE710" i="34"/>
  <c r="CF710" i="34"/>
  <c r="CI710" i="34" a="1"/>
  <c r="CI710" i="34" s="1"/>
  <c r="CK710" i="34"/>
  <c r="CL710" i="34"/>
  <c r="CO710" i="34" s="1" a="1"/>
  <c r="CO710" i="34" s="1"/>
  <c r="CN710" i="34" a="1"/>
  <c r="CN710" i="34" s="1"/>
  <c r="CQ710" i="34" a="1"/>
  <c r="CQ710" i="34"/>
  <c r="CR710" i="34"/>
  <c r="CW710" i="34"/>
  <c r="CX710" i="34"/>
  <c r="DA710" i="34" a="1"/>
  <c r="DA710" i="34"/>
  <c r="DC710" i="34"/>
  <c r="DF710" i="34" s="1" a="1"/>
  <c r="DF710" i="34" s="1"/>
  <c r="DD710" i="34"/>
  <c r="DG710" i="34" a="1"/>
  <c r="DG710" i="34"/>
  <c r="DI710" i="34"/>
  <c r="DJ710" i="34"/>
  <c r="DL710" i="34" a="1"/>
  <c r="DL710" i="34" s="1"/>
  <c r="DM710" i="34" a="1"/>
  <c r="DM710" i="34"/>
  <c r="DO710" i="34"/>
  <c r="DP710" i="34"/>
  <c r="DR710" i="34" a="1"/>
  <c r="DR710" i="34"/>
  <c r="DS710" i="34" a="1"/>
  <c r="DS710" i="34" s="1"/>
  <c r="DU710" i="34"/>
  <c r="DV710" i="34"/>
  <c r="DX710" i="34" a="1"/>
  <c r="DX710" i="34" s="1"/>
  <c r="DY710" i="34" a="1"/>
  <c r="DY710" i="34" s="1"/>
  <c r="EA710" i="34"/>
  <c r="EE710" i="34" s="1" a="1"/>
  <c r="EE710" i="34" s="1"/>
  <c r="EB710" i="34"/>
  <c r="BS711" i="34"/>
  <c r="BT711" i="34"/>
  <c r="BY711" i="34"/>
  <c r="BZ711" i="34"/>
  <c r="CE711" i="34"/>
  <c r="CF711" i="34"/>
  <c r="CI711" i="34" a="1"/>
  <c r="CI711" i="34"/>
  <c r="CK711" i="34"/>
  <c r="CN711" i="34" s="1" a="1"/>
  <c r="CN711" i="34" s="1"/>
  <c r="CL711" i="34"/>
  <c r="CO711" i="34" a="1"/>
  <c r="CO711" i="34"/>
  <c r="CQ711" i="34" a="1"/>
  <c r="CQ711" i="34" s="1"/>
  <c r="CT711" i="34" s="1" a="1"/>
  <c r="CT711" i="34" s="1"/>
  <c r="CR711" i="34"/>
  <c r="CW711" i="34"/>
  <c r="CX711" i="34"/>
  <c r="DC711" i="34"/>
  <c r="DD711" i="34"/>
  <c r="DF711" i="34" a="1"/>
  <c r="DF711" i="34" s="1"/>
  <c r="DI711" i="34"/>
  <c r="DJ711" i="34"/>
  <c r="DM711" i="34" s="1" a="1"/>
  <c r="DM711" i="34" s="1"/>
  <c r="DO711" i="34"/>
  <c r="DP711" i="34"/>
  <c r="DU711" i="34"/>
  <c r="DV711" i="34"/>
  <c r="EA711" i="34"/>
  <c r="ED711" i="34" s="1" a="1"/>
  <c r="ED711" i="34" s="1"/>
  <c r="EB711" i="34"/>
  <c r="EE711" i="34" a="1"/>
  <c r="EE711" i="34" s="1"/>
  <c r="BS712" i="34"/>
  <c r="BV712" i="34" s="1" a="1"/>
  <c r="BV712" i="34" s="1"/>
  <c r="BT712" i="34"/>
  <c r="BW712" i="34" a="1"/>
  <c r="BW712" i="34" s="1"/>
  <c r="BY712" i="34"/>
  <c r="BZ712" i="34"/>
  <c r="CC712" i="34" s="1" a="1"/>
  <c r="CC712" i="34" s="1"/>
  <c r="CE712" i="34"/>
  <c r="CF712" i="34"/>
  <c r="CI712" i="34" s="1" a="1"/>
  <c r="CI712" i="34" s="1"/>
  <c r="CH712" i="34" a="1"/>
  <c r="CH712" i="34" s="1"/>
  <c r="CK712" i="34"/>
  <c r="CO712" i="34" s="1" a="1"/>
  <c r="CO712" i="34" s="1"/>
  <c r="CL712" i="34"/>
  <c r="CN712" i="34" s="1" a="1"/>
  <c r="CN712" i="34" s="1"/>
  <c r="CQ712" i="34" a="1"/>
  <c r="CQ712" i="34"/>
  <c r="CU712" i="34" s="1" a="1"/>
  <c r="CU712" i="34" s="1"/>
  <c r="CR712" i="34"/>
  <c r="CW712" i="34"/>
  <c r="CZ712" i="34" s="1" a="1"/>
  <c r="CZ712" i="34" s="1"/>
  <c r="CX712" i="34"/>
  <c r="DA712" i="34" a="1"/>
  <c r="DA712" i="34" s="1"/>
  <c r="DC712" i="34"/>
  <c r="DD712" i="34"/>
  <c r="DF712" i="34" a="1"/>
  <c r="DF712" i="34" s="1"/>
  <c r="DG712" i="34" a="1"/>
  <c r="DG712" i="34" s="1"/>
  <c r="DI712" i="34"/>
  <c r="DJ712" i="34"/>
  <c r="DL712" i="34" a="1"/>
  <c r="DL712" i="34"/>
  <c r="DM712" i="34" a="1"/>
  <c r="DM712" i="34" s="1"/>
  <c r="DO712" i="34"/>
  <c r="DP712" i="34"/>
  <c r="DR712" i="34" a="1"/>
  <c r="DR712" i="34"/>
  <c r="DS712" i="34" a="1"/>
  <c r="DS712" i="34" s="1"/>
  <c r="DU712" i="34"/>
  <c r="DY712" i="34" s="1" a="1"/>
  <c r="DY712" i="34" s="1"/>
  <c r="DV712" i="34"/>
  <c r="DX712" i="34" a="1"/>
  <c r="DX712" i="34"/>
  <c r="EA712" i="34"/>
  <c r="EB712" i="34"/>
  <c r="BS713" i="34"/>
  <c r="BT713" i="34"/>
  <c r="BW713" i="34" a="1"/>
  <c r="BW713" i="34" s="1"/>
  <c r="BY713" i="34"/>
  <c r="CC713" i="34" s="1" a="1"/>
  <c r="CC713" i="34" s="1"/>
  <c r="BZ713" i="34"/>
  <c r="CE713" i="34"/>
  <c r="CH713" i="34" s="1" a="1"/>
  <c r="CH713" i="34" s="1"/>
  <c r="CF713" i="34"/>
  <c r="CI713" i="34" a="1"/>
  <c r="CI713" i="34" s="1"/>
  <c r="CK713" i="34"/>
  <c r="CL713" i="34"/>
  <c r="CN713" i="34" a="1"/>
  <c r="CN713" i="34" s="1"/>
  <c r="CO713" i="34" a="1"/>
  <c r="CO713" i="34" s="1"/>
  <c r="CQ713" i="34" a="1"/>
  <c r="CQ713" i="34" s="1"/>
  <c r="CR713" i="34"/>
  <c r="CT713" i="34" a="1"/>
  <c r="CT713" i="34" s="1"/>
  <c r="CW713" i="34"/>
  <c r="CX713" i="34"/>
  <c r="DA713" i="34" s="1" a="1"/>
  <c r="DA713" i="34" s="1"/>
  <c r="DC713" i="34"/>
  <c r="DD713" i="34"/>
  <c r="DG713" i="34" s="1" a="1"/>
  <c r="DG713" i="34" s="1"/>
  <c r="DI713" i="34"/>
  <c r="DJ713" i="34"/>
  <c r="DO713" i="34"/>
  <c r="DP713" i="34"/>
  <c r="DU713" i="34"/>
  <c r="DX713" i="34" s="1" a="1"/>
  <c r="DV713" i="34"/>
  <c r="DX713" i="34"/>
  <c r="DY713" i="34" a="1"/>
  <c r="DY713" i="34" s="1"/>
  <c r="EA713" i="34"/>
  <c r="ED713" i="34" s="1" a="1"/>
  <c r="EB713" i="34"/>
  <c r="ED713" i="34"/>
  <c r="EE713" i="34" a="1"/>
  <c r="EE713" i="34" s="1"/>
  <c r="BS714" i="34"/>
  <c r="BT714" i="34"/>
  <c r="BW714" i="34" a="1"/>
  <c r="BW714" i="34" s="1"/>
  <c r="BY714" i="34"/>
  <c r="BZ714" i="34"/>
  <c r="CC714" i="34" s="1" a="1"/>
  <c r="CC714" i="34" s="1"/>
  <c r="CB714" i="34" a="1"/>
  <c r="CB714" i="34"/>
  <c r="CE714" i="34"/>
  <c r="CF714" i="34"/>
  <c r="CH714" i="34" s="1" a="1"/>
  <c r="CH714" i="34" s="1"/>
  <c r="CK714" i="34"/>
  <c r="CL714" i="34"/>
  <c r="CO714" i="34" s="1" a="1"/>
  <c r="CO714" i="34" s="1"/>
  <c r="CQ714" i="34" a="1"/>
  <c r="CQ714" i="34"/>
  <c r="CT714" i="34" s="1" a="1"/>
  <c r="CT714" i="34" s="1"/>
  <c r="CR714" i="34"/>
  <c r="CU714" i="34" a="1"/>
  <c r="CU714" i="34" s="1"/>
  <c r="CW714" i="34"/>
  <c r="CX714" i="34"/>
  <c r="CZ714" i="34" a="1"/>
  <c r="CZ714" i="34" s="1"/>
  <c r="DA714" i="34" a="1"/>
  <c r="DA714" i="34" s="1"/>
  <c r="DC714" i="34"/>
  <c r="DD714" i="34"/>
  <c r="DF714" i="34" a="1"/>
  <c r="DF714" i="34"/>
  <c r="DG714" i="34" a="1"/>
  <c r="DG714" i="34" s="1"/>
  <c r="DI714" i="34"/>
  <c r="DJ714" i="34"/>
  <c r="DL714" i="34" a="1"/>
  <c r="DL714" i="34"/>
  <c r="DM714" i="34" a="1"/>
  <c r="DM714" i="34" s="1"/>
  <c r="DO714" i="34"/>
  <c r="DS714" i="34" s="1" a="1"/>
  <c r="DS714" i="34" s="1"/>
  <c r="DP714" i="34"/>
  <c r="DU714" i="34"/>
  <c r="DY714" i="34" s="1" a="1"/>
  <c r="DY714" i="34" s="1"/>
  <c r="DV714" i="34"/>
  <c r="EA714" i="34"/>
  <c r="EB714" i="34"/>
  <c r="EE714" i="34" a="1"/>
  <c r="EE714" i="34" s="1"/>
  <c r="BS715" i="34"/>
  <c r="BV715" i="34" s="1" a="1"/>
  <c r="BV715" i="34" s="1"/>
  <c r="BT715" i="34"/>
  <c r="BY715" i="34"/>
  <c r="CB715" i="34" s="1" a="1"/>
  <c r="CB715" i="34" s="1"/>
  <c r="BZ715" i="34"/>
  <c r="CE715" i="34"/>
  <c r="CF715" i="34"/>
  <c r="CH715" i="34" a="1"/>
  <c r="CH715" i="34" s="1"/>
  <c r="CI715" i="34" a="1"/>
  <c r="CI715" i="34" s="1"/>
  <c r="CK715" i="34"/>
  <c r="CL715" i="34"/>
  <c r="CN715" i="34" a="1"/>
  <c r="CN715" i="34" s="1"/>
  <c r="CO715" i="34" a="1"/>
  <c r="CO715" i="34" s="1"/>
  <c r="CQ715" i="34" a="1"/>
  <c r="CQ715" i="34" s="1"/>
  <c r="CR715" i="34"/>
  <c r="CT715" i="34" a="1"/>
  <c r="CT715" i="34" s="1"/>
  <c r="CW715" i="34"/>
  <c r="CX715" i="34"/>
  <c r="DA715" i="34" s="1" a="1"/>
  <c r="CZ715" i="34" a="1"/>
  <c r="CZ715" i="34" s="1"/>
  <c r="DA715" i="34"/>
  <c r="DC715" i="34"/>
  <c r="DD715" i="34"/>
  <c r="DI715" i="34"/>
  <c r="DJ715" i="34"/>
  <c r="DO715" i="34"/>
  <c r="DR715" i="34" s="1" a="1"/>
  <c r="DP715" i="34"/>
  <c r="DR715" i="34"/>
  <c r="DS715" i="34" a="1"/>
  <c r="DS715" i="34"/>
  <c r="DU715" i="34"/>
  <c r="DX715" i="34" s="1" a="1"/>
  <c r="DX715" i="34" s="1"/>
  <c r="DV715" i="34"/>
  <c r="DY715" i="34" a="1"/>
  <c r="DY715" i="34"/>
  <c r="EA715" i="34"/>
  <c r="ED715" i="34" s="1" a="1"/>
  <c r="ED715" i="34" s="1"/>
  <c r="EB715" i="34"/>
  <c r="EE715" i="34" s="1" a="1"/>
  <c r="EE715" i="34" s="1"/>
  <c r="BS716" i="34"/>
  <c r="BT716" i="34"/>
  <c r="BW716" i="34" s="1" a="1"/>
  <c r="BW716" i="34" s="1"/>
  <c r="BY716" i="34"/>
  <c r="BZ716" i="34"/>
  <c r="CB716" i="34" a="1"/>
  <c r="CB716" i="34" s="1"/>
  <c r="CE716" i="34"/>
  <c r="CF716" i="34"/>
  <c r="CI716" i="34" s="1" a="1"/>
  <c r="CH716" i="34" a="1"/>
  <c r="CH716" i="34" s="1"/>
  <c r="CI716" i="34"/>
  <c r="CK716" i="34"/>
  <c r="CL716" i="34"/>
  <c r="CQ716" i="34" a="1"/>
  <c r="CQ716" i="34" s="1"/>
  <c r="CR716" i="34"/>
  <c r="CW716" i="34"/>
  <c r="CX716" i="34"/>
  <c r="CZ716" i="34" a="1"/>
  <c r="CZ716" i="34"/>
  <c r="DA716" i="34" a="1"/>
  <c r="DA716" i="34" s="1"/>
  <c r="DC716" i="34"/>
  <c r="DD716" i="34"/>
  <c r="DF716" i="34" a="1"/>
  <c r="DF716" i="34" s="1"/>
  <c r="DG716" i="34" a="1"/>
  <c r="DG716" i="34" s="1"/>
  <c r="DI716" i="34"/>
  <c r="DM716" i="34" s="1" a="1"/>
  <c r="DM716" i="34" s="1"/>
  <c r="DJ716" i="34"/>
  <c r="DO716" i="34"/>
  <c r="DP716" i="34"/>
  <c r="DR716" i="34" a="1"/>
  <c r="DR716" i="34" s="1"/>
  <c r="DU716" i="34"/>
  <c r="DX716" i="34" s="1" a="1"/>
  <c r="DX716" i="34" s="1"/>
  <c r="DV716" i="34"/>
  <c r="DY716" i="34" a="1"/>
  <c r="DY716" i="34" s="1"/>
  <c r="EA716" i="34"/>
  <c r="ED716" i="34" s="1" a="1"/>
  <c r="ED716" i="34" s="1"/>
  <c r="EB716" i="34"/>
  <c r="BS717" i="34"/>
  <c r="BV717" i="34" s="1" a="1"/>
  <c r="BV717" i="34" s="1"/>
  <c r="BT717" i="34"/>
  <c r="BW717" i="34" a="1"/>
  <c r="BW717" i="34" s="1"/>
  <c r="BY717" i="34"/>
  <c r="BZ717" i="34"/>
  <c r="CB717" i="34" a="1"/>
  <c r="CB717" i="34" s="1"/>
  <c r="CC717" i="34" a="1"/>
  <c r="CC717" i="34" s="1"/>
  <c r="CE717" i="34"/>
  <c r="CF717" i="34"/>
  <c r="CH717" i="34" a="1"/>
  <c r="CH717" i="34"/>
  <c r="CI717" i="34" a="1"/>
  <c r="CI717" i="34" s="1"/>
  <c r="CK717" i="34"/>
  <c r="CL717" i="34"/>
  <c r="CN717" i="34" a="1"/>
  <c r="CN717" i="34"/>
  <c r="CO717" i="34" a="1"/>
  <c r="CO717" i="34" s="1"/>
  <c r="CQ717" i="34" a="1"/>
  <c r="CQ717" i="34" s="1"/>
  <c r="CU717" i="34" s="1" a="1"/>
  <c r="CR717" i="34"/>
  <c r="CT717" i="34" a="1"/>
  <c r="CT717" i="34" s="1"/>
  <c r="CU717" i="34"/>
  <c r="CW717" i="34"/>
  <c r="CX717" i="34"/>
  <c r="DC717" i="34"/>
  <c r="DD717" i="34"/>
  <c r="DI717" i="34"/>
  <c r="DL717" i="34" s="1" a="1"/>
  <c r="DL717" i="34" s="1"/>
  <c r="DJ717" i="34"/>
  <c r="DO717" i="34"/>
  <c r="DR717" i="34" s="1" a="1"/>
  <c r="DP717" i="34"/>
  <c r="DR717" i="34"/>
  <c r="DS717" i="34" a="1"/>
  <c r="DS717" i="34"/>
  <c r="DU717" i="34"/>
  <c r="DX717" i="34" s="1" a="1"/>
  <c r="DX717" i="34" s="1"/>
  <c r="DV717" i="34"/>
  <c r="DY717" i="34" a="1"/>
  <c r="DY717" i="34" s="1"/>
  <c r="EA717" i="34"/>
  <c r="EB717" i="34"/>
  <c r="EE717" i="34" s="1" a="1"/>
  <c r="EE717" i="34" s="1"/>
  <c r="BS718" i="34"/>
  <c r="BT718" i="34"/>
  <c r="BV718" i="34" s="1" a="1"/>
  <c r="BV718" i="34" s="1"/>
  <c r="BY718" i="34"/>
  <c r="BZ718" i="34"/>
  <c r="CC718" i="34" s="1" a="1"/>
  <c r="CC718" i="34" s="1"/>
  <c r="CB718" i="34" a="1"/>
  <c r="CB718" i="34" s="1"/>
  <c r="CE718" i="34"/>
  <c r="CF718" i="34"/>
  <c r="CK718" i="34"/>
  <c r="CL718" i="34"/>
  <c r="CQ718" i="34" a="1"/>
  <c r="CQ718" i="34" s="1"/>
  <c r="CU718" i="34" s="1" a="1"/>
  <c r="CU718" i="34" s="1"/>
  <c r="CR718" i="34"/>
  <c r="CT718" i="34" a="1"/>
  <c r="CT718" i="34" s="1"/>
  <c r="CW718" i="34"/>
  <c r="CX718" i="34"/>
  <c r="CZ718" i="34" a="1"/>
  <c r="CZ718" i="34" s="1"/>
  <c r="DA718" i="34" a="1"/>
  <c r="DA718" i="34" s="1"/>
  <c r="DC718" i="34"/>
  <c r="DG718" i="34" s="1" a="1"/>
  <c r="DG718" i="34" s="1"/>
  <c r="DD718" i="34"/>
  <c r="DF718" i="34" a="1"/>
  <c r="DF718" i="34" s="1"/>
  <c r="DI718" i="34"/>
  <c r="DM718" i="34" s="1" a="1"/>
  <c r="DM718" i="34" s="1"/>
  <c r="DJ718" i="34"/>
  <c r="DO718" i="34"/>
  <c r="DR718" i="34" s="1" a="1"/>
  <c r="DR718" i="34" s="1"/>
  <c r="DP718" i="34"/>
  <c r="DU718" i="34"/>
  <c r="DV718" i="34"/>
  <c r="DY718" i="34" a="1"/>
  <c r="DY718" i="34" s="1"/>
  <c r="EA718" i="34"/>
  <c r="ED718" i="34" s="1" a="1"/>
  <c r="ED718" i="34" s="1"/>
  <c r="EB718" i="34"/>
  <c r="EE718" i="34" a="1"/>
  <c r="EE718" i="34"/>
  <c r="BS719" i="34"/>
  <c r="BV719" i="34" s="1" a="1"/>
  <c r="BV719" i="34" s="1"/>
  <c r="BT719" i="34"/>
  <c r="BY719" i="34"/>
  <c r="BZ719" i="34"/>
  <c r="CB719" i="34" a="1"/>
  <c r="CB719" i="34"/>
  <c r="CC719" i="34" a="1"/>
  <c r="CC719" i="34"/>
  <c r="CE719" i="34"/>
  <c r="CF719" i="34"/>
  <c r="CH719" i="34" a="1"/>
  <c r="CH719" i="34"/>
  <c r="CI719" i="34" a="1"/>
  <c r="CI719" i="34" s="1"/>
  <c r="CK719" i="34"/>
  <c r="CO719" i="34" s="1" a="1"/>
  <c r="CO719" i="34" s="1"/>
  <c r="CL719" i="34"/>
  <c r="CQ719" i="34" a="1"/>
  <c r="CQ719" i="34"/>
  <c r="CU719" i="34" s="1" a="1"/>
  <c r="CU719" i="34" s="1"/>
  <c r="CR719" i="34"/>
  <c r="CW719" i="34"/>
  <c r="CX719" i="34"/>
  <c r="DC719" i="34"/>
  <c r="DF719" i="34" s="1" a="1"/>
  <c r="DD719" i="34"/>
  <c r="DF719" i="34"/>
  <c r="DG719" i="34" a="1"/>
  <c r="DG719" i="34" s="1"/>
  <c r="DI719" i="34"/>
  <c r="DL719" i="34" s="1" a="1"/>
  <c r="DJ719" i="34"/>
  <c r="DL719" i="34"/>
  <c r="DM719" i="34" a="1"/>
  <c r="DM719" i="34" s="1"/>
  <c r="DO719" i="34"/>
  <c r="DP719" i="34"/>
  <c r="DS719" i="34" a="1"/>
  <c r="DS719" i="34" s="1"/>
  <c r="DU719" i="34"/>
  <c r="DV719" i="34"/>
  <c r="DX719" i="34" a="1"/>
  <c r="DX719" i="34"/>
  <c r="DY719" i="34" a="1"/>
  <c r="DY719" i="34" s="1"/>
  <c r="EA719" i="34"/>
  <c r="EE719" i="34" s="1" a="1"/>
  <c r="EE719" i="34" s="1"/>
  <c r="EB719" i="34"/>
  <c r="ED719" i="34" s="1" a="1"/>
  <c r="ED719" i="34" s="1"/>
  <c r="BS720" i="34"/>
  <c r="BT720" i="34"/>
  <c r="BW720" i="34" s="1" a="1"/>
  <c r="BV720" i="34" a="1"/>
  <c r="BV720" i="34" s="1"/>
  <c r="BW720" i="34"/>
  <c r="BY720" i="34"/>
  <c r="BZ720" i="34"/>
  <c r="CE720" i="34"/>
  <c r="CF720" i="34"/>
  <c r="CK720" i="34"/>
  <c r="CN720" i="34" s="1" a="1"/>
  <c r="CN720" i="34" s="1"/>
  <c r="CL720" i="34"/>
  <c r="CQ720" i="34" a="1"/>
  <c r="CQ720" i="34" s="1"/>
  <c r="CR720" i="34"/>
  <c r="CT720" i="34" a="1"/>
  <c r="CT720" i="34"/>
  <c r="CU720" i="34" a="1"/>
  <c r="CU720" i="34" s="1"/>
  <c r="CW720" i="34"/>
  <c r="DA720" i="34" s="1" a="1"/>
  <c r="DA720" i="34" s="1"/>
  <c r="CX720" i="34"/>
  <c r="DC720" i="34"/>
  <c r="DF720" i="34" s="1" a="1"/>
  <c r="DF720" i="34" s="1"/>
  <c r="DD720" i="34"/>
  <c r="DI720" i="34"/>
  <c r="DM720" i="34" s="1" a="1"/>
  <c r="DM720" i="34" s="1"/>
  <c r="DJ720" i="34"/>
  <c r="DL720" i="34" a="1"/>
  <c r="DL720" i="34" s="1"/>
  <c r="DO720" i="34"/>
  <c r="DP720" i="34"/>
  <c r="DS720" i="34" a="1"/>
  <c r="DS720" i="34"/>
  <c r="DU720" i="34"/>
  <c r="DX720" i="34" s="1" a="1"/>
  <c r="DX720" i="34" s="1"/>
  <c r="DV720" i="34"/>
  <c r="EA720" i="34"/>
  <c r="ED720" i="34" s="1" a="1"/>
  <c r="ED720" i="34" s="1"/>
  <c r="EB720" i="34"/>
  <c r="BS721" i="34"/>
  <c r="BT721" i="34"/>
  <c r="BV721" i="34" a="1"/>
  <c r="BV721" i="34" s="1"/>
  <c r="BW721" i="34" a="1"/>
  <c r="BW721" i="34"/>
  <c r="BY721" i="34"/>
  <c r="BZ721" i="34"/>
  <c r="CB721" i="34" a="1"/>
  <c r="CB721" i="34"/>
  <c r="CC721" i="34" a="1"/>
  <c r="CC721" i="34" s="1"/>
  <c r="CE721" i="34"/>
  <c r="CI721" i="34" s="1" a="1"/>
  <c r="CI721" i="34" s="1"/>
  <c r="CF721" i="34"/>
  <c r="CK721" i="34"/>
  <c r="CL721" i="34"/>
  <c r="CN721" i="34" a="1"/>
  <c r="CN721" i="34" s="1"/>
  <c r="CQ721" i="34" a="1"/>
  <c r="CQ721" i="34"/>
  <c r="CR721" i="34"/>
  <c r="CW721" i="34"/>
  <c r="CZ721" i="34" s="1" a="1"/>
  <c r="CX721" i="34"/>
  <c r="CZ721" i="34"/>
  <c r="DA721" i="34" a="1"/>
  <c r="DA721" i="34" s="1"/>
  <c r="DC721" i="34"/>
  <c r="DF721" i="34" s="1" a="1"/>
  <c r="DF721" i="34" s="1"/>
  <c r="DD721" i="34"/>
  <c r="DI721" i="34"/>
  <c r="DJ721" i="34"/>
  <c r="DM721" i="34" a="1"/>
  <c r="DM721" i="34" s="1"/>
  <c r="DO721" i="34"/>
  <c r="DP721" i="34"/>
  <c r="DR721" i="34" s="1" a="1"/>
  <c r="DR721" i="34" s="1"/>
  <c r="DS721" i="34" a="1"/>
  <c r="DS721" i="34" s="1"/>
  <c r="DU721" i="34"/>
  <c r="DV721" i="34"/>
  <c r="DY721" i="34" s="1" a="1"/>
  <c r="DY721" i="34" s="1"/>
  <c r="EA721" i="34"/>
  <c r="EB721" i="34"/>
  <c r="EE721" i="34" s="1" a="1"/>
  <c r="EE721" i="34" s="1"/>
  <c r="BS722" i="34"/>
  <c r="BT722" i="34"/>
  <c r="BV722" i="34" a="1"/>
  <c r="BV722" i="34" s="1"/>
  <c r="BY722" i="34"/>
  <c r="BZ722" i="34"/>
  <c r="CE722" i="34"/>
  <c r="CH722" i="34" s="1" a="1"/>
  <c r="CH722" i="34" s="1"/>
  <c r="CF722" i="34"/>
  <c r="CK722" i="34"/>
  <c r="CN722" i="34" s="1" a="1"/>
  <c r="CN722" i="34" s="1"/>
  <c r="CL722" i="34"/>
  <c r="CQ722" i="34" a="1"/>
  <c r="CQ722" i="34"/>
  <c r="CU722" i="34" s="1" a="1"/>
  <c r="CU722" i="34" s="1"/>
  <c r="CR722" i="34"/>
  <c r="CW722" i="34"/>
  <c r="DA722" i="34" s="1" a="1"/>
  <c r="DA722" i="34" s="1"/>
  <c r="CX722" i="34"/>
  <c r="DC722" i="34"/>
  <c r="DD722" i="34"/>
  <c r="DG722" i="34" s="1" a="1"/>
  <c r="DG722" i="34" s="1"/>
  <c r="DF722" i="34" a="1"/>
  <c r="DF722" i="34" s="1"/>
  <c r="DI722" i="34"/>
  <c r="DJ722" i="34"/>
  <c r="DM722" i="34" a="1"/>
  <c r="DM722" i="34"/>
  <c r="DO722" i="34"/>
  <c r="DR722" i="34" s="1" a="1"/>
  <c r="DR722" i="34" s="1"/>
  <c r="DP722" i="34"/>
  <c r="DU722" i="34"/>
  <c r="DX722" i="34" s="1" a="1"/>
  <c r="DX722" i="34" s="1"/>
  <c r="DV722" i="34"/>
  <c r="EA722" i="34"/>
  <c r="EB722" i="34"/>
  <c r="ED722" i="34" a="1"/>
  <c r="ED722" i="34" s="1"/>
  <c r="EE722" i="34" a="1"/>
  <c r="EE722" i="34"/>
  <c r="BS723" i="34"/>
  <c r="BT723" i="34"/>
  <c r="BV723" i="34" a="1"/>
  <c r="BV723" i="34"/>
  <c r="BW723" i="34" a="1"/>
  <c r="BW723" i="34" s="1"/>
  <c r="BY723" i="34"/>
  <c r="CC723" i="34" s="1" a="1"/>
  <c r="CC723" i="34" s="1"/>
  <c r="BZ723" i="34"/>
  <c r="CE723" i="34"/>
  <c r="CF723" i="34"/>
  <c r="CH723" i="34" a="1"/>
  <c r="CH723" i="34" s="1"/>
  <c r="CK723" i="34"/>
  <c r="CL723" i="34"/>
  <c r="CN723" i="34" a="1"/>
  <c r="CN723" i="34" s="1"/>
  <c r="CO723" i="34" a="1"/>
  <c r="CO723" i="34" s="1"/>
  <c r="CQ723" i="34" a="1"/>
  <c r="CQ723" i="34" s="1"/>
  <c r="CR723" i="34"/>
  <c r="CW723" i="34"/>
  <c r="CZ723" i="34" s="1" a="1"/>
  <c r="CZ723" i="34" s="1"/>
  <c r="CX723" i="34"/>
  <c r="DC723" i="34"/>
  <c r="DF723" i="34" s="1" a="1"/>
  <c r="DD723" i="34"/>
  <c r="DF723" i="34"/>
  <c r="DG723" i="34" a="1"/>
  <c r="DG723" i="34" s="1"/>
  <c r="DI723" i="34"/>
  <c r="DJ723" i="34"/>
  <c r="DL723" i="34" s="1" a="1"/>
  <c r="DL723" i="34" s="1"/>
  <c r="DM723" i="34" a="1"/>
  <c r="DM723" i="34" s="1"/>
  <c r="DO723" i="34"/>
  <c r="DS723" i="34" s="1" a="1"/>
  <c r="DS723" i="34" s="1"/>
  <c r="DP723" i="34"/>
  <c r="DR723" i="34" s="1" a="1"/>
  <c r="DR723" i="34" s="1"/>
  <c r="DU723" i="34"/>
  <c r="DV723" i="34"/>
  <c r="DY723" i="34" s="1" a="1"/>
  <c r="DY723" i="34" s="1"/>
  <c r="EA723" i="34"/>
  <c r="EB723" i="34"/>
  <c r="ED723" i="34" a="1"/>
  <c r="ED723" i="34" s="1"/>
  <c r="BS724" i="34"/>
  <c r="BT724" i="34"/>
  <c r="BV724" i="34" a="1"/>
  <c r="BV724" i="34"/>
  <c r="BY724" i="34"/>
  <c r="CB724" i="34" s="1" a="1"/>
  <c r="CB724" i="34" s="1"/>
  <c r="BZ724" i="34"/>
  <c r="CE724" i="34"/>
  <c r="CF724" i="34"/>
  <c r="CH724" i="34" a="1"/>
  <c r="CH724" i="34"/>
  <c r="CI724" i="34" a="1"/>
  <c r="CI724" i="34" s="1"/>
  <c r="CK724" i="34"/>
  <c r="CL724" i="34"/>
  <c r="CN724" i="34" a="1"/>
  <c r="CN724" i="34" s="1"/>
  <c r="CO724" i="34" a="1"/>
  <c r="CO724" i="34" s="1"/>
  <c r="CQ724" i="34" a="1"/>
  <c r="CQ724" i="34"/>
  <c r="CT724" i="34" s="1" a="1"/>
  <c r="CT724" i="34" s="1"/>
  <c r="CR724" i="34"/>
  <c r="CW724" i="34"/>
  <c r="CX724" i="34"/>
  <c r="DC724" i="34"/>
  <c r="DF724" i="34" s="1" a="1"/>
  <c r="DF724" i="34" s="1"/>
  <c r="DD724" i="34"/>
  <c r="DI724" i="34"/>
  <c r="DL724" i="34" s="1" a="1"/>
  <c r="DL724" i="34" s="1"/>
  <c r="DJ724" i="34"/>
  <c r="DM724" i="34" a="1"/>
  <c r="DM724" i="34" s="1"/>
  <c r="DO724" i="34"/>
  <c r="DP724" i="34"/>
  <c r="DR724" i="34" a="1"/>
  <c r="DR724" i="34"/>
  <c r="DS724" i="34" a="1"/>
  <c r="DS724" i="34"/>
  <c r="DU724" i="34"/>
  <c r="DV724" i="34"/>
  <c r="DX724" i="34" a="1"/>
  <c r="DX724" i="34"/>
  <c r="DY724" i="34" a="1"/>
  <c r="DY724" i="34" s="1"/>
  <c r="EA724" i="34"/>
  <c r="EE724" i="34" s="1" a="1"/>
  <c r="EE724" i="34" s="1"/>
  <c r="EB724" i="34"/>
  <c r="ED724" i="34" a="1"/>
  <c r="ED724" i="34" s="1"/>
  <c r="BS725" i="34"/>
  <c r="BW725" i="34" s="1" a="1"/>
  <c r="BW725" i="34" s="1"/>
  <c r="BT725" i="34"/>
  <c r="BV725" i="34" s="1" a="1"/>
  <c r="BV725" i="34" s="1"/>
  <c r="BY725" i="34"/>
  <c r="CB725" i="34" s="1" a="1"/>
  <c r="CB725" i="34" s="1"/>
  <c r="BZ725" i="34"/>
  <c r="CE725" i="34"/>
  <c r="CF725" i="34"/>
  <c r="CK725" i="34"/>
  <c r="CN725" i="34" s="1" a="1"/>
  <c r="CN725" i="34" s="1"/>
  <c r="CL725" i="34"/>
  <c r="CQ725" i="34" a="1"/>
  <c r="CQ725" i="34" s="1"/>
  <c r="CR725" i="34"/>
  <c r="CW725" i="34"/>
  <c r="CX725" i="34"/>
  <c r="CZ725" i="34" a="1"/>
  <c r="CZ725" i="34" s="1"/>
  <c r="DA725" i="34" a="1"/>
  <c r="DA725" i="34" s="1"/>
  <c r="DC725" i="34"/>
  <c r="DD725" i="34"/>
  <c r="DG725" i="34" s="1" a="1"/>
  <c r="DG725" i="34" s="1"/>
  <c r="DF725" i="34" a="1"/>
  <c r="DF725" i="34" s="1"/>
  <c r="DI725" i="34"/>
  <c r="DL725" i="34" s="1" a="1"/>
  <c r="DL725" i="34" s="1"/>
  <c r="DJ725" i="34"/>
  <c r="DO725" i="34"/>
  <c r="DR725" i="34" s="1" a="1"/>
  <c r="DR725" i="34" s="1"/>
  <c r="DP725" i="34"/>
  <c r="DU725" i="34"/>
  <c r="DX725" i="34" s="1" a="1"/>
  <c r="DX725" i="34" s="1"/>
  <c r="DV725" i="34"/>
  <c r="EA725" i="34"/>
  <c r="ED725" i="34" s="1" a="1"/>
  <c r="ED725" i="34" s="1"/>
  <c r="EB725" i="34"/>
  <c r="EE725" i="34" a="1"/>
  <c r="EE725" i="34" s="1"/>
  <c r="BS726" i="34"/>
  <c r="BV726" i="34" s="1" a="1"/>
  <c r="BV726" i="34" s="1"/>
  <c r="BT726" i="34"/>
  <c r="BY726" i="34"/>
  <c r="BZ726" i="34"/>
  <c r="CB726" i="34" a="1"/>
  <c r="CB726" i="34"/>
  <c r="CC726" i="34" a="1"/>
  <c r="CC726" i="34" s="1"/>
  <c r="CE726" i="34"/>
  <c r="CF726" i="34"/>
  <c r="CH726" i="34" a="1"/>
  <c r="CH726" i="34" s="1"/>
  <c r="CI726" i="34" a="1"/>
  <c r="CI726" i="34" s="1"/>
  <c r="CK726" i="34"/>
  <c r="CL726" i="34"/>
  <c r="CO726" i="34" s="1" a="1"/>
  <c r="CO726" i="34" s="1"/>
  <c r="CN726" i="34" a="1"/>
  <c r="CN726" i="34" s="1"/>
  <c r="CQ726" i="34" a="1"/>
  <c r="CQ726" i="34"/>
  <c r="CR726" i="34"/>
  <c r="CW726" i="34"/>
  <c r="CZ726" i="34" s="1" a="1"/>
  <c r="CZ726" i="34" s="1"/>
  <c r="CX726" i="34"/>
  <c r="DC726" i="34"/>
  <c r="DF726" i="34" s="1" a="1"/>
  <c r="DF726" i="34" s="1"/>
  <c r="DD726" i="34"/>
  <c r="DG726" i="34" a="1"/>
  <c r="DG726" i="34" s="1"/>
  <c r="DI726" i="34"/>
  <c r="DJ726" i="34"/>
  <c r="DL726" i="34" a="1"/>
  <c r="DL726" i="34"/>
  <c r="DM726" i="34" a="1"/>
  <c r="DM726" i="34"/>
  <c r="DO726" i="34"/>
  <c r="DP726" i="34"/>
  <c r="DR726" i="34" a="1"/>
  <c r="DR726" i="34"/>
  <c r="DS726" i="34" a="1"/>
  <c r="DS726" i="34" s="1"/>
  <c r="DU726" i="34"/>
  <c r="DY726" i="34" s="1" a="1"/>
  <c r="DY726" i="34" s="1"/>
  <c r="DV726" i="34"/>
  <c r="DX726" i="34" a="1"/>
  <c r="DX726" i="34" s="1"/>
  <c r="EA726" i="34"/>
  <c r="EE726" i="34" s="1" a="1"/>
  <c r="EE726" i="34" s="1"/>
  <c r="EB726" i="34"/>
  <c r="ED726" i="34" s="1" a="1"/>
  <c r="ED726" i="34" s="1"/>
  <c r="BS727" i="34"/>
  <c r="BV727" i="34" s="1" a="1"/>
  <c r="BV727" i="34" s="1"/>
  <c r="BT727" i="34"/>
  <c r="BY727" i="34"/>
  <c r="BZ727" i="34"/>
  <c r="CE727" i="34"/>
  <c r="CH727" i="34" s="1" a="1"/>
  <c r="CH727" i="34" s="1"/>
  <c r="CF727" i="34"/>
  <c r="CK727" i="34"/>
  <c r="CN727" i="34" s="1" a="1"/>
  <c r="CN727" i="34" s="1"/>
  <c r="CL727" i="34"/>
  <c r="CO727" i="34" a="1"/>
  <c r="CO727" i="34" s="1"/>
  <c r="CQ727" i="34" a="1"/>
  <c r="CQ727" i="34" s="1"/>
  <c r="CR727" i="34"/>
  <c r="CW727" i="34"/>
  <c r="CX727" i="34"/>
  <c r="DA727" i="34" s="1" a="1"/>
  <c r="DA727" i="34" s="1"/>
  <c r="CZ727" i="34" a="1"/>
  <c r="CZ727" i="34" s="1"/>
  <c r="DC727" i="34"/>
  <c r="DF727" i="34" s="1" a="1"/>
  <c r="DF727" i="34" s="1"/>
  <c r="DD727" i="34"/>
  <c r="DI727" i="34"/>
  <c r="DL727" i="34" s="1" a="1"/>
  <c r="DL727" i="34" s="1"/>
  <c r="DJ727" i="34"/>
  <c r="DO727" i="34"/>
  <c r="DR727" i="34" s="1" a="1"/>
  <c r="DR727" i="34" s="1"/>
  <c r="DP727" i="34"/>
  <c r="DU727" i="34"/>
  <c r="DX727" i="34" s="1" a="1"/>
  <c r="DX727" i="34" s="1"/>
  <c r="DV727" i="34"/>
  <c r="DY727" i="34" a="1"/>
  <c r="DY727" i="34" s="1"/>
  <c r="EA727" i="34"/>
  <c r="ED727" i="34" s="1" a="1"/>
  <c r="ED727" i="34" s="1"/>
  <c r="EB727" i="34"/>
  <c r="BS728" i="34"/>
  <c r="BT728" i="34"/>
  <c r="BV728" i="34" a="1"/>
  <c r="BV728" i="34"/>
  <c r="BW728" i="34" a="1"/>
  <c r="BW728" i="34" s="1"/>
  <c r="BY728" i="34"/>
  <c r="BZ728" i="34"/>
  <c r="CB728" i="34" a="1"/>
  <c r="CB728" i="34" s="1"/>
  <c r="CC728" i="34" a="1"/>
  <c r="CC728" i="34" s="1"/>
  <c r="CE728" i="34"/>
  <c r="CF728" i="34"/>
  <c r="CI728" i="34" s="1" a="1"/>
  <c r="CI728" i="34" s="1"/>
  <c r="CH728" i="34" a="1"/>
  <c r="CH728" i="34" s="1"/>
  <c r="CK728" i="34"/>
  <c r="CN728" i="34" s="1" a="1"/>
  <c r="CN728" i="34" s="1"/>
  <c r="CL728" i="34"/>
  <c r="CQ728" i="34" a="1"/>
  <c r="CQ728" i="34" s="1"/>
  <c r="CR728" i="34"/>
  <c r="CW728" i="34"/>
  <c r="CZ728" i="34" s="1" a="1"/>
  <c r="CZ728" i="34" s="1"/>
  <c r="CX728" i="34"/>
  <c r="DA728" i="34" a="1"/>
  <c r="DA728" i="34" s="1"/>
  <c r="DC728" i="34"/>
  <c r="DD728" i="34"/>
  <c r="DF728" i="34" a="1"/>
  <c r="DF728" i="34"/>
  <c r="DG728" i="34" a="1"/>
  <c r="DG728" i="34"/>
  <c r="DI728" i="34"/>
  <c r="DJ728" i="34"/>
  <c r="DL728" i="34" a="1"/>
  <c r="DL728" i="34"/>
  <c r="DM728" i="34" a="1"/>
  <c r="DM728" i="34" s="1"/>
  <c r="DO728" i="34"/>
  <c r="DS728" i="34" s="1" a="1"/>
  <c r="DS728" i="34" s="1"/>
  <c r="DP728" i="34"/>
  <c r="DR728" i="34" a="1"/>
  <c r="DR728" i="34" s="1"/>
  <c r="DU728" i="34"/>
  <c r="DY728" i="34" s="1" a="1"/>
  <c r="DY728" i="34" s="1"/>
  <c r="DV728" i="34"/>
  <c r="DX728" i="34" s="1" a="1"/>
  <c r="DX728" i="34" s="1"/>
  <c r="EA728" i="34"/>
  <c r="ED728" i="34" s="1" a="1"/>
  <c r="ED728" i="34" s="1"/>
  <c r="EB728" i="34"/>
  <c r="BS729" i="34"/>
  <c r="BT729" i="34"/>
  <c r="BY729" i="34"/>
  <c r="CB729" i="34" s="1" a="1"/>
  <c r="CB729" i="34" s="1"/>
  <c r="BZ729" i="34"/>
  <c r="CE729" i="34"/>
  <c r="CH729" i="34" s="1" a="1"/>
  <c r="CH729" i="34" s="1"/>
  <c r="CF729" i="34"/>
  <c r="CI729" i="34" a="1"/>
  <c r="CI729" i="34" s="1"/>
  <c r="CK729" i="34"/>
  <c r="CL729" i="34"/>
  <c r="CN729" i="34" a="1"/>
  <c r="CN729" i="34"/>
  <c r="CO729" i="34" a="1"/>
  <c r="CO729" i="34" s="1"/>
  <c r="CQ729" i="34" a="1"/>
  <c r="CQ729" i="34"/>
  <c r="CR729" i="34"/>
  <c r="CU729" i="34" s="1" a="1"/>
  <c r="CU729" i="34" s="1"/>
  <c r="CT729" i="34" a="1"/>
  <c r="CT729" i="34" s="1"/>
  <c r="CW729" i="34"/>
  <c r="CX729" i="34"/>
  <c r="DC729" i="34"/>
  <c r="DF729" i="34" s="1" a="1"/>
  <c r="DF729" i="34" s="1"/>
  <c r="DD729" i="34"/>
  <c r="DI729" i="34"/>
  <c r="DL729" i="34" s="1" a="1"/>
  <c r="DL729" i="34" s="1"/>
  <c r="DJ729" i="34"/>
  <c r="DO729" i="34"/>
  <c r="DR729" i="34" s="1" a="1"/>
  <c r="DR729" i="34" s="1"/>
  <c r="DP729" i="34"/>
  <c r="DS729" i="34" a="1"/>
  <c r="DS729" i="34" s="1"/>
  <c r="DU729" i="34"/>
  <c r="DX729" i="34" s="1" a="1"/>
  <c r="DX729" i="34" s="1"/>
  <c r="DV729" i="34"/>
  <c r="DY729" i="34" a="1"/>
  <c r="DY729" i="34" s="1"/>
  <c r="EA729" i="34"/>
  <c r="EB729" i="34"/>
  <c r="ED729" i="34" a="1"/>
  <c r="ED729" i="34"/>
  <c r="EE729" i="34" a="1"/>
  <c r="EE729" i="34" s="1"/>
  <c r="BS730" i="34"/>
  <c r="BT730" i="34"/>
  <c r="BV730" i="34" a="1"/>
  <c r="BV730" i="34" s="1"/>
  <c r="BW730" i="34" a="1"/>
  <c r="BW730" i="34" s="1"/>
  <c r="BY730" i="34"/>
  <c r="BZ730" i="34"/>
  <c r="CC730" i="34" s="1" a="1"/>
  <c r="CC730" i="34" s="1"/>
  <c r="CB730" i="34" a="1"/>
  <c r="CB730" i="34" s="1"/>
  <c r="CE730" i="34"/>
  <c r="CF730" i="34"/>
  <c r="CK730" i="34"/>
  <c r="CN730" i="34" s="1" a="1"/>
  <c r="CN730" i="34" s="1"/>
  <c r="CL730" i="34"/>
  <c r="CQ730" i="34" a="1"/>
  <c r="CQ730" i="34" s="1"/>
  <c r="CT730" i="34" s="1" a="1"/>
  <c r="CT730" i="34" s="1"/>
  <c r="CR730" i="34"/>
  <c r="CU730" i="34" a="1"/>
  <c r="CU730" i="34" s="1"/>
  <c r="CW730" i="34"/>
  <c r="CX730" i="34"/>
  <c r="CZ730" i="34" a="1"/>
  <c r="CZ730" i="34"/>
  <c r="DA730" i="34" a="1"/>
  <c r="DA730" i="34" s="1"/>
  <c r="DC730" i="34"/>
  <c r="DD730" i="34"/>
  <c r="DF730" i="34" a="1"/>
  <c r="DF730" i="34"/>
  <c r="DG730" i="34" a="1"/>
  <c r="DG730" i="34" s="1"/>
  <c r="DI730" i="34"/>
  <c r="DM730" i="34" s="1" a="1"/>
  <c r="DM730" i="34" s="1"/>
  <c r="DJ730" i="34"/>
  <c r="DL730" i="34" a="1"/>
  <c r="DL730" i="34" s="1"/>
  <c r="DO730" i="34"/>
  <c r="DS730" i="34" s="1" a="1"/>
  <c r="DS730" i="34" s="1"/>
  <c r="DP730" i="34"/>
  <c r="DR730" i="34" s="1" a="1"/>
  <c r="DR730" i="34" s="1"/>
  <c r="DU730" i="34"/>
  <c r="DX730" i="34" s="1" a="1"/>
  <c r="DX730" i="34" s="1"/>
  <c r="DV730" i="34"/>
  <c r="EA730" i="34"/>
  <c r="EB730" i="34"/>
  <c r="BS731" i="34"/>
  <c r="BV731" i="34" s="1" a="1"/>
  <c r="BV731" i="34" s="1"/>
  <c r="BT731" i="34"/>
  <c r="BY731" i="34"/>
  <c r="CB731" i="34" s="1" a="1"/>
  <c r="CB731" i="34" s="1"/>
  <c r="BZ731" i="34"/>
  <c r="CC731" i="34" a="1"/>
  <c r="CC731" i="34" s="1"/>
  <c r="CE731" i="34"/>
  <c r="CF731" i="34"/>
  <c r="CH731" i="34" a="1"/>
  <c r="CH731" i="34"/>
  <c r="CI731" i="34" a="1"/>
  <c r="CI731" i="34" s="1"/>
  <c r="CK731" i="34"/>
  <c r="CL731" i="34"/>
  <c r="CN731" i="34" a="1"/>
  <c r="CN731" i="34"/>
  <c r="CO731" i="34" a="1"/>
  <c r="CO731" i="34" s="1"/>
  <c r="CQ731" i="34" a="1"/>
  <c r="CQ731" i="34"/>
  <c r="CT731" i="34" s="1" a="1"/>
  <c r="CT731" i="34" s="1"/>
  <c r="CR731" i="34"/>
  <c r="CW731" i="34"/>
  <c r="CZ731" i="34" s="1" a="1"/>
  <c r="CZ731" i="34" s="1"/>
  <c r="CX731" i="34"/>
  <c r="DC731" i="34"/>
  <c r="DF731" i="34" s="1" a="1"/>
  <c r="DF731" i="34" s="1"/>
  <c r="DD731" i="34"/>
  <c r="DI731" i="34"/>
  <c r="DL731" i="34" s="1" a="1"/>
  <c r="DL731" i="34" s="1"/>
  <c r="DJ731" i="34"/>
  <c r="DM731" i="34" a="1"/>
  <c r="DM731" i="34" s="1"/>
  <c r="DO731" i="34"/>
  <c r="DR731" i="34" s="1" a="1"/>
  <c r="DR731" i="34" s="1"/>
  <c r="DP731" i="34"/>
  <c r="DS731" i="34" a="1"/>
  <c r="DS731" i="34" s="1"/>
  <c r="DU731" i="34"/>
  <c r="DV731" i="34"/>
  <c r="DX731" i="34" a="1"/>
  <c r="DX731" i="34"/>
  <c r="DY731" i="34" a="1"/>
  <c r="DY731" i="34" s="1"/>
  <c r="EA731" i="34"/>
  <c r="EB731" i="34"/>
  <c r="ED731" i="34" a="1"/>
  <c r="ED731" i="34" s="1"/>
  <c r="EE731" i="34" a="1"/>
  <c r="EE731" i="34" s="1"/>
  <c r="BS732" i="34"/>
  <c r="BT732" i="34"/>
  <c r="BW732" i="34" s="1" a="1"/>
  <c r="BW732" i="34" s="1"/>
  <c r="BV732" i="34" a="1"/>
  <c r="BV732" i="34" s="1"/>
  <c r="BY732" i="34"/>
  <c r="CB732" i="34" s="1" a="1"/>
  <c r="CB732" i="34" s="1"/>
  <c r="BZ732" i="34"/>
  <c r="CE732" i="34"/>
  <c r="CH732" i="34" s="1" a="1"/>
  <c r="CH732" i="34" s="1"/>
  <c r="CF732" i="34"/>
  <c r="CK732" i="34"/>
  <c r="CN732" i="34" s="1" a="1"/>
  <c r="CN732" i="34" s="1"/>
  <c r="CL732" i="34"/>
  <c r="CQ732" i="34" a="1"/>
  <c r="CQ732" i="34" s="1"/>
  <c r="CR732" i="34"/>
  <c r="CW732" i="34"/>
  <c r="CX732" i="34"/>
  <c r="CZ732" i="34" a="1"/>
  <c r="CZ732" i="34"/>
  <c r="DA732" i="34" a="1"/>
  <c r="DA732" i="34" s="1"/>
  <c r="DC732" i="34"/>
  <c r="DG732" i="34" s="1" a="1"/>
  <c r="DG732" i="34" s="1"/>
  <c r="DD732" i="34"/>
  <c r="DF732" i="34" a="1"/>
  <c r="DF732" i="34" s="1"/>
  <c r="DI732" i="34"/>
  <c r="DM732" i="34" s="1" a="1"/>
  <c r="DM732" i="34" s="1"/>
  <c r="DJ732" i="34"/>
  <c r="DL732" i="34" s="1" a="1"/>
  <c r="DL732" i="34" s="1"/>
  <c r="DO732" i="34"/>
  <c r="DR732" i="34" s="1" a="1"/>
  <c r="DR732" i="34" s="1"/>
  <c r="DP732" i="34"/>
  <c r="DU732" i="34"/>
  <c r="DV732" i="34"/>
  <c r="EA732" i="34"/>
  <c r="ED732" i="34" s="1" a="1"/>
  <c r="ED732" i="34" s="1"/>
  <c r="EB732" i="34"/>
  <c r="BS733" i="34"/>
  <c r="BV733" i="34" s="1" a="1"/>
  <c r="BV733" i="34" s="1"/>
  <c r="BT733" i="34"/>
  <c r="BW733" i="34" a="1"/>
  <c r="BW733" i="34" s="1"/>
  <c r="BY733" i="34"/>
  <c r="BZ733" i="34"/>
  <c r="CB733" i="34" a="1"/>
  <c r="CB733" i="34"/>
  <c r="CC733" i="34" a="1"/>
  <c r="CC733" i="34" s="1"/>
  <c r="CE733" i="34"/>
  <c r="CF733" i="34"/>
  <c r="CH733" i="34" a="1"/>
  <c r="CH733" i="34"/>
  <c r="CI733" i="34" a="1"/>
  <c r="CI733" i="34" s="1"/>
  <c r="CK733" i="34"/>
  <c r="CO733" i="34" s="1" a="1"/>
  <c r="CO733" i="34" s="1"/>
  <c r="CL733" i="34"/>
  <c r="CN733" i="34" a="1"/>
  <c r="CN733" i="34" s="1"/>
  <c r="CQ733" i="34" a="1"/>
  <c r="CQ733" i="34"/>
  <c r="CT733" i="34" s="1" a="1"/>
  <c r="CT733" i="34" s="1"/>
  <c r="CR733" i="34"/>
  <c r="CW733" i="34"/>
  <c r="CZ733" i="34" s="1" a="1"/>
  <c r="CZ733" i="34" s="1"/>
  <c r="CX733" i="34"/>
  <c r="DC733" i="34"/>
  <c r="DF733" i="34" s="1" a="1"/>
  <c r="DF733" i="34" s="1"/>
  <c r="DD733" i="34"/>
  <c r="DG733" i="34" a="1"/>
  <c r="DG733" i="34" s="1"/>
  <c r="DI733" i="34"/>
  <c r="DL733" i="34" s="1" a="1"/>
  <c r="DL733" i="34" s="1"/>
  <c r="DJ733" i="34"/>
  <c r="DM733" i="34" a="1"/>
  <c r="DM733" i="34" s="1"/>
  <c r="DO733" i="34"/>
  <c r="DP733" i="34"/>
  <c r="DR733" i="34" a="1"/>
  <c r="DR733" i="34"/>
  <c r="DS733" i="34" a="1"/>
  <c r="DS733" i="34" s="1"/>
  <c r="DU733" i="34"/>
  <c r="DV733" i="34"/>
  <c r="DX733" i="34" a="1"/>
  <c r="DX733" i="34" s="1"/>
  <c r="DY733" i="34" a="1"/>
  <c r="DY733" i="34" s="1"/>
  <c r="EA733" i="34"/>
  <c r="EB733" i="34"/>
  <c r="EE733" i="34" s="1" a="1"/>
  <c r="EE733" i="34" s="1"/>
  <c r="ED733" i="34" a="1"/>
  <c r="ED733" i="34" s="1"/>
  <c r="BS734" i="34"/>
  <c r="BT734" i="34"/>
  <c r="BY734" i="34"/>
  <c r="CB734" i="34" s="1" a="1"/>
  <c r="CB734" i="34" s="1"/>
  <c r="BZ734" i="34"/>
  <c r="CE734" i="34"/>
  <c r="CH734" i="34" s="1" a="1"/>
  <c r="CH734" i="34" s="1"/>
  <c r="CF734" i="34"/>
  <c r="CK734" i="34"/>
  <c r="CN734" i="34" s="1" a="1"/>
  <c r="CN734" i="34" s="1"/>
  <c r="CL734" i="34"/>
  <c r="CO734" i="34" a="1"/>
  <c r="CO734" i="34" s="1"/>
  <c r="CQ734" i="34" a="1"/>
  <c r="CQ734" i="34" s="1"/>
  <c r="CR734" i="34"/>
  <c r="CW734" i="34"/>
  <c r="DA734" i="34" s="1" a="1"/>
  <c r="DA734" i="34" s="1"/>
  <c r="CX734" i="34"/>
  <c r="CZ734" i="34" a="1"/>
  <c r="CZ734" i="34" s="1"/>
  <c r="DC734" i="34"/>
  <c r="DG734" i="34" s="1" a="1"/>
  <c r="DG734" i="34" s="1"/>
  <c r="DD734" i="34"/>
  <c r="DF734" i="34" s="1" a="1"/>
  <c r="DF734" i="34" s="1"/>
  <c r="DI734" i="34"/>
  <c r="DL734" i="34" s="1" a="1"/>
  <c r="DL734" i="34" s="1"/>
  <c r="DJ734" i="34"/>
  <c r="DO734" i="34"/>
  <c r="DP734" i="34"/>
  <c r="DU734" i="34"/>
  <c r="DX734" i="34" s="1" a="1"/>
  <c r="DX734" i="34" s="1"/>
  <c r="DV734" i="34"/>
  <c r="EA734" i="34"/>
  <c r="ED734" i="34" s="1" a="1"/>
  <c r="ED734" i="34" s="1"/>
  <c r="EB734" i="34"/>
  <c r="EE734" i="34" a="1"/>
  <c r="EE734" i="34" s="1"/>
  <c r="BS735" i="34"/>
  <c r="BT735" i="34"/>
  <c r="BV735" i="34" a="1"/>
  <c r="BV735" i="34"/>
  <c r="BW735" i="34" a="1"/>
  <c r="BW735" i="34" s="1"/>
  <c r="BY735" i="34"/>
  <c r="BZ735" i="34"/>
  <c r="CB735" i="34" a="1"/>
  <c r="CB735" i="34"/>
  <c r="CC735" i="34" a="1"/>
  <c r="CC735" i="34" s="1"/>
  <c r="CE735" i="34"/>
  <c r="CI735" i="34" s="1" a="1"/>
  <c r="CI735" i="34" s="1"/>
  <c r="CF735" i="34"/>
  <c r="CH735" i="34" a="1"/>
  <c r="CH735" i="34" s="1"/>
  <c r="CK735" i="34"/>
  <c r="CO735" i="34" s="1" a="1"/>
  <c r="CO735" i="34" s="1"/>
  <c r="CL735" i="34"/>
  <c r="CN735" i="34" s="1" a="1"/>
  <c r="CN735" i="34" s="1"/>
  <c r="CQ735" i="34" a="1"/>
  <c r="CQ735" i="34"/>
  <c r="CT735" i="34" s="1" a="1"/>
  <c r="CT735" i="34" s="1"/>
  <c r="CR735" i="34"/>
  <c r="CW735" i="34"/>
  <c r="CZ735" i="34" s="1" a="1"/>
  <c r="CZ735" i="34" s="1"/>
  <c r="CX735" i="34"/>
  <c r="DA735" i="34" a="1"/>
  <c r="DA735" i="34" s="1"/>
  <c r="DC735" i="34"/>
  <c r="DF735" i="34" s="1" a="1"/>
  <c r="DF735" i="34" s="1"/>
  <c r="DD735" i="34"/>
  <c r="DG735" i="34" a="1"/>
  <c r="DG735" i="34" s="1"/>
  <c r="DI735" i="34"/>
  <c r="DJ735" i="34"/>
  <c r="DL735" i="34" a="1"/>
  <c r="DL735" i="34"/>
  <c r="DM735" i="34" a="1"/>
  <c r="DM735" i="34" s="1"/>
  <c r="DO735" i="34"/>
  <c r="DP735" i="34"/>
  <c r="DR735" i="34" a="1"/>
  <c r="DR735" i="34" s="1"/>
  <c r="DS735" i="34" a="1"/>
  <c r="DS735" i="34" s="1"/>
  <c r="DU735" i="34"/>
  <c r="DV735" i="34"/>
  <c r="DY735" i="34" s="1" a="1"/>
  <c r="DY735" i="34" s="1"/>
  <c r="DX735" i="34" a="1"/>
  <c r="DX735" i="34" s="1"/>
  <c r="EA735" i="34"/>
  <c r="ED735" i="34" s="1" a="1"/>
  <c r="ED735" i="34" s="1"/>
  <c r="EB735" i="34"/>
  <c r="BS736" i="34"/>
  <c r="BV736" i="34" s="1" a="1"/>
  <c r="BV736" i="34" s="1"/>
  <c r="BT736" i="34"/>
  <c r="BY736" i="34"/>
  <c r="CB736" i="34" s="1" a="1"/>
  <c r="CB736" i="34" s="1"/>
  <c r="BZ736" i="34"/>
  <c r="CE736" i="34"/>
  <c r="CH736" i="34" s="1" a="1"/>
  <c r="CH736" i="34" s="1"/>
  <c r="CF736" i="34"/>
  <c r="CI736" i="34" a="1"/>
  <c r="CI736" i="34" s="1"/>
  <c r="CK736" i="34"/>
  <c r="CN736" i="34" s="1" a="1"/>
  <c r="CN736" i="34" s="1"/>
  <c r="CL736" i="34"/>
  <c r="CO736" i="34" a="1"/>
  <c r="CO736" i="34" s="1"/>
  <c r="CQ736" i="34" a="1"/>
  <c r="CQ736" i="34" s="1"/>
  <c r="CU736" i="34" s="1" a="1"/>
  <c r="CU736" i="34" s="1"/>
  <c r="CR736" i="34"/>
  <c r="CT736" i="34" a="1"/>
  <c r="CT736" i="34" s="1"/>
  <c r="CW736" i="34"/>
  <c r="DA736" i="34" s="1" a="1"/>
  <c r="DA736" i="34" s="1"/>
  <c r="CX736" i="34"/>
  <c r="CZ736" i="34" s="1" a="1"/>
  <c r="CZ736" i="34" s="1"/>
  <c r="DC736" i="34"/>
  <c r="DF736" i="34" s="1" a="1"/>
  <c r="DF736" i="34" s="1"/>
  <c r="DD736" i="34"/>
  <c r="DI736" i="34"/>
  <c r="DJ736" i="34"/>
  <c r="DO736" i="34"/>
  <c r="DR736" i="34" s="1" a="1"/>
  <c r="DR736" i="34" s="1"/>
  <c r="DP736" i="34"/>
  <c r="DU736" i="34"/>
  <c r="DX736" i="34" s="1" a="1"/>
  <c r="DX736" i="34" s="1"/>
  <c r="DV736" i="34"/>
  <c r="DY736" i="34" a="1"/>
  <c r="DY736" i="34" s="1"/>
  <c r="EA736" i="34"/>
  <c r="EB736" i="34"/>
  <c r="ED736" i="34" a="1"/>
  <c r="ED736" i="34"/>
  <c r="EE736" i="34" a="1"/>
  <c r="EE736" i="34" s="1"/>
  <c r="BS737" i="34"/>
  <c r="BT737" i="34"/>
  <c r="BV737" i="34" a="1"/>
  <c r="BV737" i="34"/>
  <c r="BW737" i="34" a="1"/>
  <c r="BW737" i="34" s="1"/>
  <c r="BY737" i="34"/>
  <c r="CC737" i="34" s="1" a="1"/>
  <c r="CC737" i="34" s="1"/>
  <c r="BZ737" i="34"/>
  <c r="CB737" i="34" a="1"/>
  <c r="CB737" i="34" s="1"/>
  <c r="CE737" i="34"/>
  <c r="CI737" i="34" s="1" a="1"/>
  <c r="CI737" i="34" s="1"/>
  <c r="CF737" i="34"/>
  <c r="CH737" i="34" s="1" a="1"/>
  <c r="CH737" i="34" s="1"/>
  <c r="CK737" i="34"/>
  <c r="CN737" i="34" s="1" a="1"/>
  <c r="CN737" i="34" s="1"/>
  <c r="CL737" i="34"/>
  <c r="CQ737" i="34" a="1"/>
  <c r="CQ737" i="34" s="1"/>
  <c r="CR737" i="34"/>
  <c r="CW737" i="34"/>
  <c r="CZ737" i="34" s="1" a="1"/>
  <c r="CZ737" i="34" s="1"/>
  <c r="CX737" i="34"/>
  <c r="DA737" i="34" a="1"/>
  <c r="DA737" i="34" s="1"/>
  <c r="DC737" i="34"/>
  <c r="DD737" i="34"/>
  <c r="DF737" i="34" a="1"/>
  <c r="DF737" i="34"/>
  <c r="DG737" i="34" a="1"/>
  <c r="DG737" i="34" s="1"/>
  <c r="DI737" i="34"/>
  <c r="DJ737" i="34"/>
  <c r="DM737" i="34" s="1" a="1"/>
  <c r="DM737" i="34" s="1"/>
  <c r="DL737" i="34" a="1"/>
  <c r="DL737" i="34" s="1"/>
  <c r="DO737" i="34"/>
  <c r="DP737" i="34"/>
  <c r="DS737" i="34" s="1" a="1"/>
  <c r="DS737" i="34" s="1"/>
  <c r="DR737" i="34" a="1"/>
  <c r="DR737" i="34" s="1"/>
  <c r="DU737" i="34"/>
  <c r="DX737" i="34" s="1" a="1"/>
  <c r="DX737" i="34" s="1"/>
  <c r="DV737" i="34"/>
  <c r="EA737" i="34"/>
  <c r="EB737" i="34"/>
  <c r="BS738" i="34"/>
  <c r="BV738" i="34" s="1" a="1"/>
  <c r="BV738" i="34" s="1"/>
  <c r="BT738" i="34"/>
  <c r="BY738" i="34"/>
  <c r="CB738" i="34" s="1" a="1"/>
  <c r="CB738" i="34" s="1"/>
  <c r="BZ738" i="34"/>
  <c r="CC738" i="34" a="1"/>
  <c r="CC738" i="34" s="1"/>
  <c r="CE738" i="34"/>
  <c r="CH738" i="34" s="1" a="1"/>
  <c r="CH738" i="34" s="1"/>
  <c r="CF738" i="34"/>
  <c r="CI738" i="34" a="1"/>
  <c r="CI738" i="34" s="1"/>
  <c r="CK738" i="34"/>
  <c r="CL738" i="34"/>
  <c r="CN738" i="34" a="1"/>
  <c r="CN738" i="34"/>
  <c r="CO738" i="34" a="1"/>
  <c r="CO738" i="34" s="1"/>
  <c r="CQ738" i="34" a="1"/>
  <c r="CQ738" i="34"/>
  <c r="CR738" i="34"/>
  <c r="CT738" i="34" s="1" a="1"/>
  <c r="CT738" i="34" s="1"/>
  <c r="CW738" i="34"/>
  <c r="CZ738" i="34" s="1" a="1"/>
  <c r="CZ738" i="34" s="1"/>
  <c r="CX738" i="34"/>
  <c r="DC738" i="34"/>
  <c r="DD738" i="34"/>
  <c r="DI738" i="34"/>
  <c r="DL738" i="34" s="1" a="1"/>
  <c r="DL738" i="34" s="1"/>
  <c r="DJ738" i="34"/>
  <c r="DO738" i="34"/>
  <c r="DR738" i="34" s="1" a="1"/>
  <c r="DR738" i="34" s="1"/>
  <c r="DP738" i="34"/>
  <c r="DS738" i="34" a="1"/>
  <c r="DS738" i="34" s="1"/>
  <c r="DU738" i="34"/>
  <c r="DV738" i="34"/>
  <c r="DX738" i="34" a="1"/>
  <c r="DX738" i="34"/>
  <c r="DY738" i="34" a="1"/>
  <c r="DY738" i="34" s="1"/>
  <c r="EA738" i="34"/>
  <c r="EB738" i="34"/>
  <c r="ED738" i="34" a="1"/>
  <c r="ED738" i="34"/>
  <c r="EE738" i="34" a="1"/>
  <c r="EE738" i="34" s="1"/>
  <c r="BS739" i="34"/>
  <c r="BW739" i="34" s="1" a="1"/>
  <c r="BW739" i="34" s="1"/>
  <c r="BT739" i="34"/>
  <c r="BV739" i="34" a="1"/>
  <c r="BV739" i="34" s="1"/>
  <c r="BY739" i="34"/>
  <c r="BZ739" i="34"/>
  <c r="CB739" i="34" s="1" a="1"/>
  <c r="CB739" i="34" s="1"/>
  <c r="CE739" i="34"/>
  <c r="CH739" i="34" s="1" a="1"/>
  <c r="CH739" i="34" s="1"/>
  <c r="CF739" i="34"/>
  <c r="CK739" i="34"/>
  <c r="CL739" i="34"/>
  <c r="CQ739" i="34" a="1"/>
  <c r="CQ739" i="34" s="1"/>
  <c r="CR739" i="34"/>
  <c r="CW739" i="34"/>
  <c r="CX739" i="34"/>
  <c r="CZ739" i="34" a="1"/>
  <c r="CZ739" i="34"/>
  <c r="DA739" i="34" a="1"/>
  <c r="DA739" i="34" s="1"/>
  <c r="DC739" i="34"/>
  <c r="DD739" i="34"/>
  <c r="DG739" i="34" s="1" a="1"/>
  <c r="DG739" i="34" s="1"/>
  <c r="DF739" i="34" a="1"/>
  <c r="DF739" i="34"/>
  <c r="DI739" i="34"/>
  <c r="DJ739" i="34"/>
  <c r="DM739" i="34" s="1" a="1"/>
  <c r="DM739" i="34" s="1"/>
  <c r="DL739" i="34" a="1"/>
  <c r="DL739" i="34" s="1"/>
  <c r="DO739" i="34"/>
  <c r="DP739" i="34"/>
  <c r="DU739" i="34"/>
  <c r="DV739" i="34"/>
  <c r="EA739" i="34"/>
  <c r="EB739" i="34"/>
  <c r="BS740" i="34"/>
  <c r="BV740" i="34" s="1" a="1"/>
  <c r="BV740" i="34" s="1"/>
  <c r="BT740" i="34"/>
  <c r="BW740" i="34" a="1"/>
  <c r="BW740" i="34" s="1"/>
  <c r="BY740" i="34"/>
  <c r="CB740" i="34" s="1" a="1"/>
  <c r="CB740" i="34" s="1"/>
  <c r="BZ740" i="34"/>
  <c r="CC740" i="34" a="1"/>
  <c r="CC740" i="34" s="1"/>
  <c r="CE740" i="34"/>
  <c r="CF740" i="34"/>
  <c r="CH740" i="34" a="1"/>
  <c r="CH740" i="34"/>
  <c r="CI740" i="34" a="1"/>
  <c r="CI740" i="34" s="1"/>
  <c r="CK740" i="34"/>
  <c r="CL740" i="34"/>
  <c r="CO740" i="34" s="1" a="1"/>
  <c r="CO740" i="34" s="1"/>
  <c r="CN740" i="34" a="1"/>
  <c r="CN740" i="34"/>
  <c r="CQ740" i="34" a="1"/>
  <c r="CQ740" i="34"/>
  <c r="CT740" i="34" s="1" a="1"/>
  <c r="CT740" i="34" s="1"/>
  <c r="CR740" i="34"/>
  <c r="CW740" i="34"/>
  <c r="CX740" i="34"/>
  <c r="DC740" i="34"/>
  <c r="DD740" i="34"/>
  <c r="DI740" i="34"/>
  <c r="DL740" i="34" s="1" a="1"/>
  <c r="DL740" i="34" s="1"/>
  <c r="DJ740" i="34"/>
  <c r="DM740" i="34" a="1"/>
  <c r="DM740" i="34" s="1"/>
  <c r="DO740" i="34"/>
  <c r="DP740" i="34"/>
  <c r="DR740" i="34" a="1"/>
  <c r="DR740" i="34"/>
  <c r="DS740" i="34" a="1"/>
  <c r="DS740" i="34" s="1"/>
  <c r="DU740" i="34"/>
  <c r="DV740" i="34"/>
  <c r="DX740" i="34" a="1"/>
  <c r="DX740" i="34"/>
  <c r="DY740" i="34" a="1"/>
  <c r="DY740" i="34" s="1"/>
  <c r="EA740" i="34"/>
  <c r="EE740" i="34" s="1" a="1"/>
  <c r="EE740" i="34" s="1"/>
  <c r="EB740" i="34"/>
  <c r="ED740" i="34" a="1"/>
  <c r="ED740" i="34" s="1"/>
  <c r="BS741" i="34"/>
  <c r="BT741" i="34"/>
  <c r="BV741" i="34" a="1"/>
  <c r="BV741" i="34" s="1"/>
  <c r="BY741" i="34"/>
  <c r="CB741" i="34" s="1" a="1"/>
  <c r="CB741" i="34" s="1"/>
  <c r="BZ741" i="34"/>
  <c r="CE741" i="34"/>
  <c r="CF741" i="34"/>
  <c r="CK741" i="34"/>
  <c r="CL741" i="34"/>
  <c r="CQ741" i="34" a="1"/>
  <c r="CQ741" i="34" s="1"/>
  <c r="CR741" i="34"/>
  <c r="CW741" i="34"/>
  <c r="CX741" i="34"/>
  <c r="DA741" i="34" s="1" a="1"/>
  <c r="DA741" i="34" s="1"/>
  <c r="DC741" i="34"/>
  <c r="DD741" i="34"/>
  <c r="DG741" i="34" s="1" a="1"/>
  <c r="DG741" i="34" s="1"/>
  <c r="DF741" i="34" a="1"/>
  <c r="DF741" i="34" s="1"/>
  <c r="DI741" i="34"/>
  <c r="DJ741" i="34"/>
  <c r="DO741" i="34"/>
  <c r="DP741" i="34"/>
  <c r="DU741" i="34"/>
  <c r="DV741" i="34"/>
  <c r="EA741" i="34"/>
  <c r="ED741" i="34" s="1" a="1"/>
  <c r="ED741" i="34" s="1"/>
  <c r="EB741" i="34"/>
  <c r="EE741" i="34" a="1"/>
  <c r="EE741" i="34"/>
  <c r="BS742" i="34"/>
  <c r="BV742" i="34" s="1" a="1"/>
  <c r="BV742" i="34" s="1"/>
  <c r="BT742" i="34"/>
  <c r="BW742" i="34" a="1"/>
  <c r="BW742" i="34" s="1"/>
  <c r="BY742" i="34"/>
  <c r="BZ742" i="34"/>
  <c r="CB742" i="34" a="1"/>
  <c r="CB742" i="34"/>
  <c r="CC742" i="34" a="1"/>
  <c r="CC742" i="34" s="1"/>
  <c r="CE742" i="34"/>
  <c r="CF742" i="34"/>
  <c r="CI742" i="34" s="1" a="1"/>
  <c r="CI742" i="34" s="1"/>
  <c r="CH742" i="34" a="1"/>
  <c r="CH742" i="34" s="1"/>
  <c r="CK742" i="34"/>
  <c r="CL742" i="34"/>
  <c r="CO742" i="34" s="1" a="1"/>
  <c r="CO742" i="34" s="1"/>
  <c r="CN742" i="34" a="1"/>
  <c r="CN742" i="34" s="1"/>
  <c r="CQ742" i="34" a="1"/>
  <c r="CQ742" i="34"/>
  <c r="CT742" i="34" s="1" a="1"/>
  <c r="CT742" i="34" s="1"/>
  <c r="CR742" i="34"/>
  <c r="CW742" i="34"/>
  <c r="CX742" i="34"/>
  <c r="DC742" i="34"/>
  <c r="DF742" i="34" s="1" a="1"/>
  <c r="DF742" i="34" s="1"/>
  <c r="DD742" i="34"/>
  <c r="DG742" i="34" a="1"/>
  <c r="DG742" i="34" s="1"/>
  <c r="DI742" i="34"/>
  <c r="DJ742" i="34"/>
  <c r="DL742" i="34" a="1"/>
  <c r="DL742" i="34" s="1"/>
  <c r="DM742" i="34" a="1"/>
  <c r="DM742" i="34" s="1"/>
  <c r="DO742" i="34"/>
  <c r="DP742" i="34"/>
  <c r="DR742" i="34" a="1"/>
  <c r="DR742" i="34"/>
  <c r="DS742" i="34" a="1"/>
  <c r="DS742" i="34" s="1"/>
  <c r="DU742" i="34"/>
  <c r="DY742" i="34" s="1" a="1"/>
  <c r="DY742" i="34" s="1"/>
  <c r="DV742" i="34"/>
  <c r="DX742" i="34" a="1"/>
  <c r="DX742" i="34" s="1"/>
  <c r="EA742" i="34"/>
  <c r="EE742" i="34" s="1" a="1"/>
  <c r="EE742" i="34" s="1"/>
  <c r="EB742" i="34"/>
  <c r="BS743" i="34"/>
  <c r="BV743" i="34" s="1" a="1"/>
  <c r="BV743" i="34" s="1"/>
  <c r="BT743" i="34"/>
  <c r="BY743" i="34"/>
  <c r="CB743" i="34" s="1" a="1"/>
  <c r="CB743" i="34" s="1"/>
  <c r="BZ743" i="34"/>
  <c r="CE743" i="34"/>
  <c r="CF743" i="34"/>
  <c r="CK743" i="34"/>
  <c r="CN743" i="34" s="1" a="1"/>
  <c r="CN743" i="34" s="1"/>
  <c r="CL743" i="34"/>
  <c r="CO743" i="34" a="1"/>
  <c r="CO743" i="34" s="1"/>
  <c r="CQ743" i="34" a="1"/>
  <c r="CQ743" i="34" s="1"/>
  <c r="CT743" i="34" s="1" a="1"/>
  <c r="CT743" i="34" s="1"/>
  <c r="CR743" i="34"/>
  <c r="CU743" i="34" a="1"/>
  <c r="CU743" i="34" s="1"/>
  <c r="CW743" i="34"/>
  <c r="CX743" i="34"/>
  <c r="DA743" i="34" s="1" a="1"/>
  <c r="DA743" i="34" s="1"/>
  <c r="CZ743" i="34" a="1"/>
  <c r="CZ743" i="34" s="1"/>
  <c r="DC743" i="34"/>
  <c r="DD743" i="34"/>
  <c r="DI743" i="34"/>
  <c r="DM743" i="34" s="1" a="1"/>
  <c r="DM743" i="34" s="1"/>
  <c r="DJ743" i="34"/>
  <c r="DO743" i="34"/>
  <c r="DP743" i="34"/>
  <c r="DU743" i="34"/>
  <c r="DX743" i="34" s="1" a="1"/>
  <c r="DX743" i="34" s="1"/>
  <c r="DV743" i="34"/>
  <c r="DY743" i="34" a="1"/>
  <c r="DY743" i="34" s="1"/>
  <c r="EA743" i="34"/>
  <c r="ED743" i="34" s="1" a="1"/>
  <c r="ED743" i="34" s="1"/>
  <c r="EB743" i="34"/>
  <c r="BS744" i="34"/>
  <c r="BT744" i="34"/>
  <c r="BV744" i="34" a="1"/>
  <c r="BV744" i="34"/>
  <c r="BW744" i="34" a="1"/>
  <c r="BW744" i="34" s="1"/>
  <c r="BY744" i="34"/>
  <c r="BZ744" i="34"/>
  <c r="CC744" i="34" s="1" a="1"/>
  <c r="CC744" i="34" s="1"/>
  <c r="CB744" i="34" a="1"/>
  <c r="CB744" i="34" s="1"/>
  <c r="CE744" i="34"/>
  <c r="CF744" i="34"/>
  <c r="CI744" i="34" s="1" a="1"/>
  <c r="CI744" i="34" s="1"/>
  <c r="CH744" i="34" a="1"/>
  <c r="CH744" i="34" s="1"/>
  <c r="CK744" i="34"/>
  <c r="CN744" i="34" s="1" a="1"/>
  <c r="CN744" i="34" s="1"/>
  <c r="CL744" i="34"/>
  <c r="CQ744" i="34" a="1"/>
  <c r="CQ744" i="34"/>
  <c r="CR744" i="34"/>
  <c r="CW744" i="34"/>
  <c r="CZ744" i="34" s="1" a="1"/>
  <c r="CZ744" i="34" s="1"/>
  <c r="CX744" i="34"/>
  <c r="DA744" i="34" a="1"/>
  <c r="DA744" i="34" s="1"/>
  <c r="DC744" i="34"/>
  <c r="DD744" i="34"/>
  <c r="DF744" i="34" a="1"/>
  <c r="DF744" i="34"/>
  <c r="DG744" i="34" a="1"/>
  <c r="DG744" i="34" s="1"/>
  <c r="DI744" i="34"/>
  <c r="DJ744" i="34"/>
  <c r="DL744" i="34" a="1"/>
  <c r="DL744" i="34"/>
  <c r="DM744" i="34" a="1"/>
  <c r="DM744" i="34" s="1"/>
  <c r="DO744" i="34"/>
  <c r="DS744" i="34" s="1" a="1"/>
  <c r="DS744" i="34" s="1"/>
  <c r="DP744" i="34"/>
  <c r="DR744" i="34" a="1"/>
  <c r="DR744" i="34" s="1"/>
  <c r="DU744" i="34"/>
  <c r="DY744" i="34" s="1" a="1"/>
  <c r="DY744" i="34" s="1"/>
  <c r="DV744" i="34"/>
  <c r="DX744" i="34" a="1"/>
  <c r="DX744" i="34" s="1"/>
  <c r="EA744" i="34"/>
  <c r="EB744" i="34"/>
  <c r="BS745" i="34"/>
  <c r="BT745" i="34"/>
  <c r="BY745" i="34"/>
  <c r="BZ745" i="34"/>
  <c r="CE745" i="34"/>
  <c r="CH745" i="34" s="1" a="1"/>
  <c r="CH745" i="34" s="1"/>
  <c r="CF745" i="34"/>
  <c r="CI745" i="34" a="1"/>
  <c r="CI745" i="34" s="1"/>
  <c r="CK745" i="34"/>
  <c r="CL745" i="34"/>
  <c r="CN745" i="34" a="1"/>
  <c r="CN745" i="34" s="1"/>
  <c r="CO745" i="34" a="1"/>
  <c r="CO745" i="34"/>
  <c r="CQ745" i="34" a="1"/>
  <c r="CQ745" i="34" s="1"/>
  <c r="CR745" i="34"/>
  <c r="CW745" i="34"/>
  <c r="CX745" i="34"/>
  <c r="DC745" i="34"/>
  <c r="DF745" i="34" s="1" a="1"/>
  <c r="DF745" i="34" s="1"/>
  <c r="DD745" i="34"/>
  <c r="DI745" i="34"/>
  <c r="DJ745" i="34"/>
  <c r="DO745" i="34"/>
  <c r="DR745" i="34" s="1" a="1"/>
  <c r="DR745" i="34" s="1"/>
  <c r="DP745" i="34"/>
  <c r="DS745" i="34" a="1"/>
  <c r="DS745" i="34" s="1"/>
  <c r="DU745" i="34"/>
  <c r="DX745" i="34" s="1" a="1"/>
  <c r="DX745" i="34" s="1"/>
  <c r="DV745" i="34"/>
  <c r="EA745" i="34"/>
  <c r="EB745" i="34"/>
  <c r="ED745" i="34" a="1"/>
  <c r="ED745" i="34"/>
  <c r="EE745" i="34" a="1"/>
  <c r="EE745" i="34" s="1"/>
  <c r="BS746" i="34"/>
  <c r="BT746" i="34"/>
  <c r="BV746" i="34" s="1" a="1"/>
  <c r="BV746" i="34" s="1"/>
  <c r="BY746" i="34"/>
  <c r="BZ746" i="34"/>
  <c r="CC746" i="34" s="1" a="1"/>
  <c r="CC746" i="34" s="1"/>
  <c r="CB746" i="34" a="1"/>
  <c r="CB746" i="34" s="1"/>
  <c r="CE746" i="34"/>
  <c r="CH746" i="34" s="1" a="1"/>
  <c r="CH746" i="34" s="1"/>
  <c r="CF746" i="34"/>
  <c r="CK746" i="34"/>
  <c r="CN746" i="34" s="1" a="1"/>
  <c r="CN746" i="34" s="1"/>
  <c r="CL746" i="34"/>
  <c r="CQ746" i="34" a="1"/>
  <c r="CQ746" i="34" s="1"/>
  <c r="CT746" i="34" s="1" a="1"/>
  <c r="CT746" i="34" s="1"/>
  <c r="CR746" i="34"/>
  <c r="CU746" i="34" a="1"/>
  <c r="CU746" i="34" s="1"/>
  <c r="CW746" i="34"/>
  <c r="CX746" i="34"/>
  <c r="CZ746" i="34" a="1"/>
  <c r="CZ746" i="34"/>
  <c r="DA746" i="34" a="1"/>
  <c r="DA746" i="34"/>
  <c r="DC746" i="34"/>
  <c r="DD746" i="34"/>
  <c r="DF746" i="34" a="1"/>
  <c r="DF746" i="34"/>
  <c r="DG746" i="34" a="1"/>
  <c r="DG746" i="34" s="1"/>
  <c r="DI746" i="34"/>
  <c r="DJ746" i="34"/>
  <c r="DM746" i="34" s="1" a="1"/>
  <c r="DM746" i="34" s="1"/>
  <c r="DL746" i="34" a="1"/>
  <c r="DL746" i="34" s="1"/>
  <c r="DO746" i="34"/>
  <c r="DP746" i="34"/>
  <c r="DR746" i="34" s="1" a="1"/>
  <c r="DR746" i="34" s="1"/>
  <c r="DU746" i="34"/>
  <c r="DV746" i="34"/>
  <c r="EA746" i="34"/>
  <c r="ED746" i="34" s="1" a="1"/>
  <c r="ED746" i="34" s="1"/>
  <c r="EB746" i="34"/>
  <c r="BS747" i="34"/>
  <c r="BT747" i="34"/>
  <c r="BW747" i="34" a="1"/>
  <c r="BW747" i="34" s="1"/>
  <c r="BY747" i="34"/>
  <c r="CB747" i="34" s="1" a="1"/>
  <c r="CB747" i="34" s="1"/>
  <c r="BZ747" i="34"/>
  <c r="CC747" i="34" a="1"/>
  <c r="CC747" i="34" s="1"/>
  <c r="CE747" i="34"/>
  <c r="CF747" i="34"/>
  <c r="CH747" i="34" a="1"/>
  <c r="CH747" i="34"/>
  <c r="CI747" i="34" a="1"/>
  <c r="CI747" i="34" s="1"/>
  <c r="CK747" i="34"/>
  <c r="CL747" i="34"/>
  <c r="CN747" i="34" a="1"/>
  <c r="CN747" i="34"/>
  <c r="CO747" i="34" a="1"/>
  <c r="CO747" i="34" s="1"/>
  <c r="CQ747" i="34" a="1"/>
  <c r="CQ747" i="34"/>
  <c r="CR747" i="34"/>
  <c r="CW747" i="34"/>
  <c r="CX747" i="34"/>
  <c r="CZ747" i="34" s="1" a="1"/>
  <c r="CZ747" i="34" s="1"/>
  <c r="DC747" i="34"/>
  <c r="DD747" i="34"/>
  <c r="DI747" i="34"/>
  <c r="DL747" i="34" s="1" a="1"/>
  <c r="DL747" i="34" s="1"/>
  <c r="DJ747" i="34"/>
  <c r="DM747" i="34" a="1"/>
  <c r="DM747" i="34"/>
  <c r="DO747" i="34"/>
  <c r="DR747" i="34" s="1" a="1"/>
  <c r="DR747" i="34" s="1"/>
  <c r="DP747" i="34"/>
  <c r="DU747" i="34"/>
  <c r="DV747" i="34"/>
  <c r="DX747" i="34" a="1"/>
  <c r="DX747" i="34"/>
  <c r="DY747" i="34" a="1"/>
  <c r="DY747" i="34" s="1"/>
  <c r="EA747" i="34"/>
  <c r="EB747" i="34"/>
  <c r="EE747" i="34" s="1" a="1"/>
  <c r="EE747" i="34" s="1"/>
  <c r="ED747" i="34" a="1"/>
  <c r="ED747" i="34" s="1"/>
  <c r="BS748" i="34"/>
  <c r="BT748" i="34"/>
  <c r="BW748" i="34" s="1" a="1"/>
  <c r="BW748" i="34" s="1"/>
  <c r="BV748" i="34" a="1"/>
  <c r="BV748" i="34" s="1"/>
  <c r="BY748" i="34"/>
  <c r="BZ748" i="34"/>
  <c r="CE748" i="34"/>
  <c r="CF748" i="34"/>
  <c r="CH748" i="34" s="1" a="1"/>
  <c r="CH748" i="34" s="1"/>
  <c r="CK748" i="34"/>
  <c r="CL748" i="34"/>
  <c r="CQ748" i="34" a="1"/>
  <c r="CQ748" i="34" s="1"/>
  <c r="CT748" i="34" s="1" a="1"/>
  <c r="CT748" i="34" s="1"/>
  <c r="CR748" i="34"/>
  <c r="CU748" i="34" a="1"/>
  <c r="CU748" i="34"/>
  <c r="CW748" i="34"/>
  <c r="CX748" i="34"/>
  <c r="CZ748" i="34" a="1"/>
  <c r="CZ748" i="34" s="1"/>
  <c r="DA748" i="34" a="1"/>
  <c r="DA748" i="34" s="1"/>
  <c r="DC748" i="34"/>
  <c r="DG748" i="34" s="1" a="1"/>
  <c r="DG748" i="34" s="1"/>
  <c r="DD748" i="34"/>
  <c r="DF748" i="34" a="1"/>
  <c r="DF748" i="34" s="1"/>
  <c r="DI748" i="34"/>
  <c r="DJ748" i="34"/>
  <c r="DO748" i="34"/>
  <c r="DP748" i="34"/>
  <c r="DU748" i="34"/>
  <c r="DX748" i="34" s="1" a="1"/>
  <c r="DX748" i="34" s="1"/>
  <c r="DV748" i="34"/>
  <c r="EA748" i="34"/>
  <c r="ED748" i="34" s="1" a="1"/>
  <c r="ED748" i="34" s="1"/>
  <c r="EB748" i="34"/>
  <c r="EE748" i="34" a="1"/>
  <c r="EE748" i="34"/>
  <c r="BS749" i="34"/>
  <c r="BV749" i="34" s="1" a="1"/>
  <c r="BV749" i="34" s="1"/>
  <c r="BT749" i="34"/>
  <c r="BW749" i="34" a="1"/>
  <c r="BW749" i="34" s="1"/>
  <c r="BY749" i="34"/>
  <c r="BZ749" i="34"/>
  <c r="CB749" i="34" a="1"/>
  <c r="CB749" i="34" s="1"/>
  <c r="CC749" i="34" a="1"/>
  <c r="CC749" i="34"/>
  <c r="CE749" i="34"/>
  <c r="CF749" i="34"/>
  <c r="CH749" i="34" a="1"/>
  <c r="CH749" i="34"/>
  <c r="CI749" i="34" a="1"/>
  <c r="CI749" i="34" s="1"/>
  <c r="CK749" i="34"/>
  <c r="CO749" i="34" s="1" a="1"/>
  <c r="CO749" i="34" s="1"/>
  <c r="CL749" i="34"/>
  <c r="CN749" i="34" a="1"/>
  <c r="CN749" i="34" s="1"/>
  <c r="CQ749" i="34" a="1"/>
  <c r="CQ749" i="34"/>
  <c r="CR749" i="34"/>
  <c r="CW749" i="34"/>
  <c r="CX749" i="34"/>
  <c r="DC749" i="34"/>
  <c r="DF749" i="34" s="1" a="1"/>
  <c r="DF749" i="34" s="1"/>
  <c r="DD749" i="34"/>
  <c r="DG749" i="34" a="1"/>
  <c r="DG749" i="34" s="1"/>
  <c r="DI749" i="34"/>
  <c r="DL749" i="34" s="1" a="1"/>
  <c r="DL749" i="34" s="1"/>
  <c r="DJ749" i="34"/>
  <c r="DO749" i="34"/>
  <c r="DP749" i="34"/>
  <c r="DR749" i="34" a="1"/>
  <c r="DR749" i="34"/>
  <c r="DS749" i="34" a="1"/>
  <c r="DS749" i="34" s="1"/>
  <c r="DU749" i="34"/>
  <c r="DV749" i="34"/>
  <c r="DY749" i="34" s="1" a="1"/>
  <c r="DY749" i="34" s="1"/>
  <c r="DX749" i="34" a="1"/>
  <c r="DX749" i="34" s="1"/>
  <c r="EA749" i="34"/>
  <c r="EB749" i="34"/>
  <c r="EE749" i="34" s="1" a="1"/>
  <c r="EE749" i="34" s="1"/>
  <c r="ED749" i="34" a="1"/>
  <c r="ED749" i="34" s="1"/>
  <c r="BS750" i="34"/>
  <c r="BV750" i="34" s="1" a="1"/>
  <c r="BV750" i="34" s="1"/>
  <c r="BT750" i="34"/>
  <c r="BY750" i="34"/>
  <c r="BZ750" i="34"/>
  <c r="CE750" i="34"/>
  <c r="CF750" i="34"/>
  <c r="CK750" i="34"/>
  <c r="CN750" i="34" s="1" a="1"/>
  <c r="CN750" i="34" s="1"/>
  <c r="CL750" i="34"/>
  <c r="CO750" i="34" a="1"/>
  <c r="CO750" i="34" s="1"/>
  <c r="CQ750" i="34" a="1"/>
  <c r="CQ750" i="34" s="1"/>
  <c r="CU750" i="34" s="1" a="1"/>
  <c r="CU750" i="34" s="1"/>
  <c r="CR750" i="34"/>
  <c r="CW750" i="34"/>
  <c r="CX750" i="34"/>
  <c r="DA750" i="34" s="1" a="1"/>
  <c r="DA750" i="34" s="1"/>
  <c r="CZ750" i="34" a="1"/>
  <c r="CZ750" i="34" s="1"/>
  <c r="DC750" i="34"/>
  <c r="DG750" i="34" s="1" a="1"/>
  <c r="DG750" i="34" s="1"/>
  <c r="DD750" i="34"/>
  <c r="DF750" i="34" a="1"/>
  <c r="DF750" i="34"/>
  <c r="DI750" i="34"/>
  <c r="DJ750" i="34"/>
  <c r="DO750" i="34"/>
  <c r="DR750" i="34" s="1" a="1"/>
  <c r="DR750" i="34" s="1"/>
  <c r="DP750" i="34"/>
  <c r="DS750" i="34" a="1"/>
  <c r="DS750" i="34"/>
  <c r="DU750" i="34"/>
  <c r="DX750" i="34" s="1" a="1"/>
  <c r="DX750" i="34" s="1"/>
  <c r="DV750" i="34"/>
  <c r="EA750" i="34"/>
  <c r="ED750" i="34" s="1" a="1"/>
  <c r="ED750" i="34" s="1"/>
  <c r="EB750" i="34"/>
  <c r="EE750" i="34" a="1"/>
  <c r="EE750" i="34" s="1"/>
  <c r="BS751" i="34"/>
  <c r="BT751" i="34"/>
  <c r="BV751" i="34" a="1"/>
  <c r="BV751" i="34"/>
  <c r="BW751" i="34" a="1"/>
  <c r="BW751" i="34"/>
  <c r="BY751" i="34"/>
  <c r="BZ751" i="34"/>
  <c r="CB751" i="34" a="1"/>
  <c r="CB751" i="34" s="1"/>
  <c r="CC751" i="34" a="1"/>
  <c r="CC751" i="34" s="1"/>
  <c r="CE751" i="34"/>
  <c r="CF751" i="34"/>
  <c r="CI751" i="34" s="1" a="1"/>
  <c r="CI751" i="34" s="1"/>
  <c r="CH751" i="34" a="1"/>
  <c r="CH751" i="34" s="1"/>
  <c r="CK751" i="34"/>
  <c r="CO751" i="34" s="1" a="1"/>
  <c r="CO751" i="34" s="1"/>
  <c r="CL751" i="34"/>
  <c r="CQ751" i="34" a="1"/>
  <c r="CQ751" i="34"/>
  <c r="CR751" i="34"/>
  <c r="CW751" i="34"/>
  <c r="CZ751" i="34" s="1" a="1"/>
  <c r="CX751" i="34"/>
  <c r="CZ751" i="34"/>
  <c r="DA751" i="34" a="1"/>
  <c r="DA751" i="34" s="1"/>
  <c r="DC751" i="34"/>
  <c r="DF751" i="34" s="1" a="1"/>
  <c r="DD751" i="34"/>
  <c r="DF751" i="34"/>
  <c r="DG751" i="34" a="1"/>
  <c r="DG751" i="34" s="1"/>
  <c r="DI751" i="34"/>
  <c r="DJ751" i="34"/>
  <c r="DL751" i="34" a="1"/>
  <c r="DL751" i="34"/>
  <c r="DM751" i="34" a="1"/>
  <c r="DM751" i="34" s="1"/>
  <c r="DO751" i="34"/>
  <c r="DP751" i="34"/>
  <c r="DR751" i="34" a="1"/>
  <c r="DR751" i="34" s="1"/>
  <c r="DS751" i="34" a="1"/>
  <c r="DS751" i="34" s="1"/>
  <c r="DU751" i="34"/>
  <c r="DV751" i="34"/>
  <c r="DY751" i="34" s="1" a="1"/>
  <c r="DY751" i="34" s="1"/>
  <c r="DX751" i="34" a="1"/>
  <c r="DX751" i="34" s="1"/>
  <c r="EA751" i="34"/>
  <c r="ED751" i="34" s="1" a="1"/>
  <c r="ED751" i="34" s="1"/>
  <c r="EB751" i="34"/>
  <c r="BS752" i="34"/>
  <c r="BW752" i="34" s="1" a="1"/>
  <c r="BT752" i="34"/>
  <c r="BW752" i="34"/>
  <c r="BY752" i="34"/>
  <c r="BZ752" i="34"/>
  <c r="CE752" i="34"/>
  <c r="CH752" i="34" s="1" a="1"/>
  <c r="CF752" i="34"/>
  <c r="CH752" i="34"/>
  <c r="CI752" i="34" a="1"/>
  <c r="CI752" i="34" s="1"/>
  <c r="CK752" i="34"/>
  <c r="CN752" i="34" s="1" a="1"/>
  <c r="CN752" i="34" s="1"/>
  <c r="CL752" i="34"/>
  <c r="CO752" i="34" a="1"/>
  <c r="CO752" i="34" s="1"/>
  <c r="CQ752" i="34" a="1"/>
  <c r="CQ752" i="34" s="1"/>
  <c r="CU752" i="34" s="1" a="1"/>
  <c r="CU752" i="34" s="1"/>
  <c r="CR752" i="34"/>
  <c r="CW752" i="34"/>
  <c r="CZ752" i="34" s="1" a="1"/>
  <c r="CZ752" i="34" s="1"/>
  <c r="CX752" i="34"/>
  <c r="DC752" i="34"/>
  <c r="DD752" i="34"/>
  <c r="DI752" i="34"/>
  <c r="DL752" i="34" s="1" a="1"/>
  <c r="DL752" i="34" s="1"/>
  <c r="DJ752" i="34"/>
  <c r="DO752" i="34"/>
  <c r="DP752" i="34"/>
  <c r="DU752" i="34"/>
  <c r="DX752" i="34" s="1" a="1"/>
  <c r="DX752" i="34" s="1"/>
  <c r="DV752" i="34"/>
  <c r="DY752" i="34" a="1"/>
  <c r="DY752" i="34" s="1"/>
  <c r="EA752" i="34"/>
  <c r="EB752" i="34"/>
  <c r="ED752" i="34" a="1"/>
  <c r="ED752" i="34"/>
  <c r="EE752" i="34" a="1"/>
  <c r="EE752" i="34"/>
  <c r="BS753" i="34"/>
  <c r="BT753" i="34"/>
  <c r="BV753" i="34" a="1"/>
  <c r="BV753" i="34"/>
  <c r="BW753" i="34" a="1"/>
  <c r="BW753" i="34" s="1"/>
  <c r="BY753" i="34"/>
  <c r="BZ753" i="34"/>
  <c r="CC753" i="34" s="1" a="1"/>
  <c r="CC753" i="34" s="1"/>
  <c r="CB753" i="34" a="1"/>
  <c r="CB753" i="34" s="1"/>
  <c r="CE753" i="34"/>
  <c r="CF753" i="34"/>
  <c r="CH753" i="34" a="1"/>
  <c r="CH753" i="34" s="1"/>
  <c r="CK753" i="34"/>
  <c r="CL753" i="34"/>
  <c r="CQ753" i="34" a="1"/>
  <c r="CQ753" i="34" s="1"/>
  <c r="CT753" i="34" s="1" a="1"/>
  <c r="CT753" i="34" s="1"/>
  <c r="CR753" i="34"/>
  <c r="CW753" i="34"/>
  <c r="CZ753" i="34" s="1" a="1"/>
  <c r="CZ753" i="34" s="1"/>
  <c r="CX753" i="34"/>
  <c r="DC753" i="34"/>
  <c r="DD753" i="34"/>
  <c r="DF753" i="34" a="1"/>
  <c r="DF753" i="34" s="1"/>
  <c r="DG753" i="34" a="1"/>
  <c r="DG753" i="34" s="1"/>
  <c r="DI753" i="34"/>
  <c r="DJ753" i="34"/>
  <c r="DM753" i="34" s="1" a="1"/>
  <c r="DM753" i="34" s="1"/>
  <c r="DL753" i="34" a="1"/>
  <c r="DL753" i="34" s="1"/>
  <c r="DO753" i="34"/>
  <c r="DP753" i="34"/>
  <c r="DU753" i="34"/>
  <c r="DV753" i="34"/>
  <c r="EA753" i="34"/>
  <c r="EB753" i="34"/>
  <c r="ED753" i="34" a="1"/>
  <c r="ED753" i="34" s="1"/>
  <c r="BS754" i="34"/>
  <c r="BV754" i="34" s="1" a="1"/>
  <c r="BV754" i="34" s="1"/>
  <c r="BT754" i="34"/>
  <c r="BW754" i="34" a="1"/>
  <c r="BW754" i="34"/>
  <c r="BY754" i="34"/>
  <c r="CB754" i="34" s="1" a="1"/>
  <c r="CB754" i="34" s="1"/>
  <c r="BZ754" i="34"/>
  <c r="CC754" i="34" a="1"/>
  <c r="CC754" i="34" s="1"/>
  <c r="CE754" i="34"/>
  <c r="CH754" i="34" s="1" a="1"/>
  <c r="CH754" i="34" s="1"/>
  <c r="CF754" i="34"/>
  <c r="CK754" i="34"/>
  <c r="CL754" i="34"/>
  <c r="CN754" i="34" a="1"/>
  <c r="CN754" i="34"/>
  <c r="CO754" i="34" a="1"/>
  <c r="CO754" i="34" s="1"/>
  <c r="CQ754" i="34" a="1"/>
  <c r="CQ754" i="34"/>
  <c r="CU754" i="34" s="1" a="1"/>
  <c r="CU754" i="34" s="1"/>
  <c r="CR754" i="34"/>
  <c r="CW754" i="34"/>
  <c r="CX754" i="34"/>
  <c r="DC754" i="34"/>
  <c r="DF754" i="34" s="1" a="1"/>
  <c r="DF754" i="34" s="1"/>
  <c r="DD754" i="34"/>
  <c r="DI754" i="34"/>
  <c r="DL754" i="34" s="1" a="1"/>
  <c r="DL754" i="34" s="1"/>
  <c r="DJ754" i="34"/>
  <c r="DO754" i="34"/>
  <c r="DR754" i="34" s="1" a="1"/>
  <c r="DP754" i="34"/>
  <c r="DR754" i="34"/>
  <c r="DS754" i="34" a="1"/>
  <c r="DS754" i="34"/>
  <c r="DU754" i="34"/>
  <c r="DV754" i="34"/>
  <c r="DX754" i="34" a="1"/>
  <c r="DX754" i="34" s="1"/>
  <c r="DY754" i="34" a="1"/>
  <c r="DY754" i="34"/>
  <c r="EA754" i="34"/>
  <c r="EB754" i="34"/>
  <c r="ED754" i="34" a="1"/>
  <c r="ED754" i="34"/>
  <c r="EE754" i="34" a="1"/>
  <c r="EE754" i="34" s="1"/>
  <c r="BS755" i="34"/>
  <c r="BT755" i="34"/>
  <c r="BV755" i="34" s="1" a="1"/>
  <c r="BV755" i="34" s="1"/>
  <c r="BY755" i="34"/>
  <c r="BZ755" i="34"/>
  <c r="CE755" i="34"/>
  <c r="CF755" i="34"/>
  <c r="CK755" i="34"/>
  <c r="CO755" i="34" s="1" a="1"/>
  <c r="CO755" i="34" s="1"/>
  <c r="CL755" i="34"/>
  <c r="CQ755" i="34" a="1"/>
  <c r="CQ755" i="34" s="1"/>
  <c r="CR755" i="34"/>
  <c r="CW755" i="34"/>
  <c r="CX755" i="34"/>
  <c r="CZ755" i="34" a="1"/>
  <c r="CZ755" i="34"/>
  <c r="DA755" i="34" a="1"/>
  <c r="DA755" i="34" s="1"/>
  <c r="DC755" i="34"/>
  <c r="DD755" i="34"/>
  <c r="DF755" i="34" a="1"/>
  <c r="DF755" i="34"/>
  <c r="DG755" i="34" a="1"/>
  <c r="DG755" i="34" s="1"/>
  <c r="DI755" i="34"/>
  <c r="DJ755" i="34"/>
  <c r="DM755" i="34" s="1" a="1"/>
  <c r="DM755" i="34" s="1"/>
  <c r="DO755" i="34"/>
  <c r="DS755" i="34" s="1" a="1"/>
  <c r="DS755" i="34" s="1"/>
  <c r="DP755" i="34"/>
  <c r="DU755" i="34"/>
  <c r="DV755" i="34"/>
  <c r="EA755" i="34"/>
  <c r="ED755" i="34" s="1" a="1"/>
  <c r="ED755" i="34" s="1"/>
  <c r="EB755" i="34"/>
  <c r="EE755" i="34" a="1"/>
  <c r="EE755" i="34"/>
  <c r="BS756" i="34"/>
  <c r="BV756" i="34" s="1" a="1"/>
  <c r="BT756" i="34"/>
  <c r="BV756" i="34"/>
  <c r="BW756" i="34" a="1"/>
  <c r="BW756" i="34"/>
  <c r="BY756" i="34"/>
  <c r="CB756" i="34" s="1" a="1"/>
  <c r="CB756" i="34" s="1"/>
  <c r="BZ756" i="34"/>
  <c r="CC756" i="34" a="1"/>
  <c r="CC756" i="34" s="1"/>
  <c r="CE756" i="34"/>
  <c r="CF756" i="34"/>
  <c r="CH756" i="34" a="1"/>
  <c r="CH756" i="34" s="1"/>
  <c r="CI756" i="34" a="1"/>
  <c r="CI756" i="34" s="1"/>
  <c r="CK756" i="34"/>
  <c r="CL756" i="34"/>
  <c r="CN756" i="34" s="1" a="1"/>
  <c r="CN756" i="34" s="1"/>
  <c r="CQ756" i="34" a="1"/>
  <c r="CQ756" i="34"/>
  <c r="CR756" i="34"/>
  <c r="CW756" i="34"/>
  <c r="CX756" i="34"/>
  <c r="DA756" i="34" s="1" a="1"/>
  <c r="DA756" i="34" s="1"/>
  <c r="DC756" i="34"/>
  <c r="DF756" i="34" s="1" a="1"/>
  <c r="DF756" i="34" s="1"/>
  <c r="DD756" i="34"/>
  <c r="DI756" i="34"/>
  <c r="DL756" i="34" s="1" a="1"/>
  <c r="DL756" i="34" s="1"/>
  <c r="DJ756" i="34"/>
  <c r="DM756" i="34" a="1"/>
  <c r="DM756" i="34" s="1"/>
  <c r="DO756" i="34"/>
  <c r="DP756" i="34"/>
  <c r="DR756" i="34" a="1"/>
  <c r="DR756" i="34"/>
  <c r="DS756" i="34" a="1"/>
  <c r="DS756" i="34" s="1"/>
  <c r="DU756" i="34"/>
  <c r="DV756" i="34"/>
  <c r="DX756" i="34" a="1"/>
  <c r="DX756" i="34"/>
  <c r="DY756" i="34" a="1"/>
  <c r="DY756" i="34" s="1"/>
  <c r="EA756" i="34"/>
  <c r="EE756" i="34" s="1" a="1"/>
  <c r="EE756" i="34" s="1"/>
  <c r="EB756" i="34"/>
  <c r="ED756" i="34" a="1"/>
  <c r="ED756" i="34"/>
  <c r="BS757" i="34"/>
  <c r="BT757" i="34"/>
  <c r="BV757" i="34" s="1" a="1"/>
  <c r="BV757" i="34" s="1"/>
  <c r="BY757" i="34"/>
  <c r="BZ757" i="34"/>
  <c r="CE757" i="34"/>
  <c r="CH757" i="34" s="1" a="1"/>
  <c r="CH757" i="34" s="1"/>
  <c r="CF757" i="34"/>
  <c r="CK757" i="34"/>
  <c r="CO757" i="34" s="1" a="1"/>
  <c r="CO757" i="34" s="1"/>
  <c r="CL757" i="34"/>
  <c r="CQ757" i="34" a="1"/>
  <c r="CQ757" i="34" s="1"/>
  <c r="CU757" i="34" s="1" a="1"/>
  <c r="CU757" i="34" s="1"/>
  <c r="CR757" i="34"/>
  <c r="CT757" i="34" a="1"/>
  <c r="CT757" i="34" s="1"/>
  <c r="CW757" i="34"/>
  <c r="CX757" i="34"/>
  <c r="DC757" i="34"/>
  <c r="DD757" i="34"/>
  <c r="DG757" i="34" s="1" a="1"/>
  <c r="DG757" i="34" s="1"/>
  <c r="DF757" i="34" a="1"/>
  <c r="DF757" i="34" s="1"/>
  <c r="DI757" i="34"/>
  <c r="DM757" i="34" s="1" a="1"/>
  <c r="DM757" i="34" s="1"/>
  <c r="DJ757" i="34"/>
  <c r="DO757" i="34"/>
  <c r="DP757" i="34"/>
  <c r="DR757" i="34" s="1" a="1"/>
  <c r="DR757" i="34" s="1"/>
  <c r="DU757" i="34"/>
  <c r="DX757" i="34" s="1" a="1"/>
  <c r="DX757" i="34" s="1"/>
  <c r="DV757" i="34"/>
  <c r="DY757" i="34" a="1"/>
  <c r="DY757" i="34"/>
  <c r="EA757" i="34"/>
  <c r="ED757" i="34" s="1" a="1"/>
  <c r="ED757" i="34" s="1"/>
  <c r="EB757" i="34"/>
  <c r="EE757" i="34" a="1"/>
  <c r="EE757" i="34"/>
  <c r="BS758" i="34"/>
  <c r="BV758" i="34" s="1" a="1"/>
  <c r="BT758" i="34"/>
  <c r="BV758" i="34"/>
  <c r="BW758" i="34" a="1"/>
  <c r="BW758" i="34" s="1"/>
  <c r="BY758" i="34"/>
  <c r="BZ758" i="34"/>
  <c r="CB758" i="34" a="1"/>
  <c r="CB758" i="34"/>
  <c r="CC758" i="34" a="1"/>
  <c r="CC758" i="34" s="1"/>
  <c r="CE758" i="34"/>
  <c r="CF758" i="34"/>
  <c r="CH758" i="34" s="1" a="1"/>
  <c r="CH758" i="34" s="1"/>
  <c r="CK758" i="34"/>
  <c r="CL758" i="34"/>
  <c r="CO758" i="34" s="1" a="1"/>
  <c r="CO758" i="34" s="1"/>
  <c r="CQ758" i="34" a="1"/>
  <c r="CQ758" i="34"/>
  <c r="CT758" i="34" s="1" a="1"/>
  <c r="CT758" i="34" s="1"/>
  <c r="CR758" i="34"/>
  <c r="CU758" i="34" a="1"/>
  <c r="CU758" i="34" s="1"/>
  <c r="CW758" i="34"/>
  <c r="CX758" i="34"/>
  <c r="DA758" i="34" a="1"/>
  <c r="DA758" i="34" s="1"/>
  <c r="DC758" i="34"/>
  <c r="DF758" i="34" s="1" a="1"/>
  <c r="DF758" i="34" s="1"/>
  <c r="DD758" i="34"/>
  <c r="DG758" i="34" a="1"/>
  <c r="DG758" i="34"/>
  <c r="DI758" i="34"/>
  <c r="DJ758" i="34"/>
  <c r="DL758" i="34" a="1"/>
  <c r="DL758" i="34"/>
  <c r="DM758" i="34" a="1"/>
  <c r="DM758" i="34"/>
  <c r="DO758" i="34"/>
  <c r="DP758" i="34"/>
  <c r="DR758" i="34" a="1"/>
  <c r="DR758" i="34"/>
  <c r="DS758" i="34" a="1"/>
  <c r="DS758" i="34" s="1"/>
  <c r="DU758" i="34"/>
  <c r="DY758" i="34" s="1" a="1"/>
  <c r="DY758" i="34" s="1"/>
  <c r="DV758" i="34"/>
  <c r="DX758" i="34" s="1" a="1"/>
  <c r="DX758" i="34" s="1"/>
  <c r="EA758" i="34"/>
  <c r="ED758" i="34" s="1" a="1"/>
  <c r="ED758" i="34" s="1"/>
  <c r="EB758" i="34"/>
  <c r="BS759" i="34"/>
  <c r="BT759" i="34"/>
  <c r="BY759" i="34"/>
  <c r="CB759" i="34" s="1" a="1"/>
  <c r="CB759" i="34" s="1"/>
  <c r="BZ759" i="34"/>
  <c r="CE759" i="34"/>
  <c r="CI759" i="34" s="1" a="1"/>
  <c r="CI759" i="34" s="1"/>
  <c r="CF759" i="34"/>
  <c r="CK759" i="34"/>
  <c r="CN759" i="34" s="1" a="1"/>
  <c r="CL759" i="34"/>
  <c r="CN759" i="34"/>
  <c r="CO759" i="34" a="1"/>
  <c r="CO759" i="34" s="1"/>
  <c r="CQ759" i="34" a="1"/>
  <c r="CQ759" i="34" s="1"/>
  <c r="CU759" i="34" s="1" a="1"/>
  <c r="CU759" i="34" s="1"/>
  <c r="CR759" i="34"/>
  <c r="CT759" i="34" a="1"/>
  <c r="CT759" i="34" s="1"/>
  <c r="CW759" i="34"/>
  <c r="CX759" i="34"/>
  <c r="DC759" i="34"/>
  <c r="DG759" i="34" s="1" a="1"/>
  <c r="DG759" i="34" s="1"/>
  <c r="DD759" i="34"/>
  <c r="DI759" i="34"/>
  <c r="DL759" i="34" s="1" a="1"/>
  <c r="DL759" i="34" s="1"/>
  <c r="DJ759" i="34"/>
  <c r="DO759" i="34"/>
  <c r="DR759" i="34" s="1" a="1"/>
  <c r="DR759" i="34" s="1"/>
  <c r="DP759" i="34"/>
  <c r="DS759" i="34" a="1"/>
  <c r="DS759" i="34" s="1"/>
  <c r="DU759" i="34"/>
  <c r="DX759" i="34" s="1" a="1"/>
  <c r="DV759" i="34"/>
  <c r="DX759" i="34"/>
  <c r="DY759" i="34" a="1"/>
  <c r="DY759" i="34"/>
  <c r="EA759" i="34"/>
  <c r="ED759" i="34" s="1" a="1"/>
  <c r="ED759" i="34" s="1"/>
  <c r="EB759" i="34"/>
  <c r="EE759" i="34" a="1"/>
  <c r="EE759" i="34" s="1"/>
  <c r="BS760" i="34"/>
  <c r="BT760" i="34"/>
  <c r="BV760" i="34" a="1"/>
  <c r="BV760" i="34"/>
  <c r="BW760" i="34" a="1"/>
  <c r="BW760" i="34" s="1"/>
  <c r="BY760" i="34"/>
  <c r="BZ760" i="34"/>
  <c r="CB760" i="34" s="1" a="1"/>
  <c r="CB760" i="34" s="1"/>
  <c r="CC760" i="34" a="1"/>
  <c r="CC760" i="34" s="1"/>
  <c r="CE760" i="34"/>
  <c r="CF760" i="34"/>
  <c r="CI760" i="34" s="1" a="1"/>
  <c r="CI760" i="34" s="1"/>
  <c r="CK760" i="34"/>
  <c r="CL760" i="34"/>
  <c r="CN760" i="34" a="1"/>
  <c r="CN760" i="34" s="1"/>
  <c r="CQ760" i="34" a="1"/>
  <c r="CQ760" i="34" s="1"/>
  <c r="CR760" i="34"/>
  <c r="CW760" i="34"/>
  <c r="CZ760" i="34" s="1" a="1"/>
  <c r="CZ760" i="34" s="1"/>
  <c r="CX760" i="34"/>
  <c r="DA760" i="34" a="1"/>
  <c r="DA760" i="34" s="1"/>
  <c r="DC760" i="34"/>
  <c r="DD760" i="34"/>
  <c r="DF760" i="34" a="1"/>
  <c r="DF760" i="34"/>
  <c r="DG760" i="34" a="1"/>
  <c r="DG760" i="34"/>
  <c r="DI760" i="34"/>
  <c r="DJ760" i="34"/>
  <c r="DL760" i="34" a="1"/>
  <c r="DL760" i="34" s="1"/>
  <c r="DM760" i="34" a="1"/>
  <c r="DM760" i="34" s="1"/>
  <c r="DO760" i="34"/>
  <c r="DP760" i="34"/>
  <c r="DS760" i="34" s="1" a="1"/>
  <c r="DS760" i="34" s="1"/>
  <c r="DR760" i="34" a="1"/>
  <c r="DR760" i="34"/>
  <c r="DU760" i="34"/>
  <c r="DX760" i="34" s="1" a="1"/>
  <c r="DX760" i="34" s="1"/>
  <c r="DV760" i="34"/>
  <c r="EA760" i="34"/>
  <c r="EB760" i="34"/>
  <c r="BS761" i="34"/>
  <c r="BV761" i="34" s="1" a="1"/>
  <c r="BV761" i="34" s="1"/>
  <c r="BT761" i="34"/>
  <c r="BW761" i="34" a="1"/>
  <c r="BW761" i="34" s="1"/>
  <c r="BY761" i="34"/>
  <c r="CB761" i="34" s="1" a="1"/>
  <c r="CB761" i="34" s="1"/>
  <c r="BZ761" i="34"/>
  <c r="CE761" i="34"/>
  <c r="CH761" i="34" s="1" a="1"/>
  <c r="CH761" i="34" s="1"/>
  <c r="CF761" i="34"/>
  <c r="CI761" i="34" a="1"/>
  <c r="CI761" i="34" s="1"/>
  <c r="CK761" i="34"/>
  <c r="CL761" i="34"/>
  <c r="CN761" i="34" a="1"/>
  <c r="CN761" i="34" s="1"/>
  <c r="CO761" i="34" a="1"/>
  <c r="CO761" i="34"/>
  <c r="CQ761" i="34" a="1"/>
  <c r="CQ761" i="34" s="1"/>
  <c r="CR761" i="34"/>
  <c r="CT761" i="34" s="1" a="1"/>
  <c r="CT761" i="34" s="1"/>
  <c r="CW761" i="34"/>
  <c r="CX761" i="34"/>
  <c r="CZ761" i="34" a="1"/>
  <c r="CZ761" i="34" s="1"/>
  <c r="DC761" i="34"/>
  <c r="DG761" i="34" s="1" a="1"/>
  <c r="DG761" i="34" s="1"/>
  <c r="DD761" i="34"/>
  <c r="DI761" i="34"/>
  <c r="DL761" i="34" s="1" a="1"/>
  <c r="DL761" i="34" s="1"/>
  <c r="DJ761" i="34"/>
  <c r="DO761" i="34"/>
  <c r="DR761" i="34" s="1" a="1"/>
  <c r="DP761" i="34"/>
  <c r="DR761" i="34"/>
  <c r="DS761" i="34" a="1"/>
  <c r="DS761" i="34" s="1"/>
  <c r="DU761" i="34"/>
  <c r="DX761" i="34" s="1" a="1"/>
  <c r="DX761" i="34" s="1"/>
  <c r="DV761" i="34"/>
  <c r="DY761" i="34" a="1"/>
  <c r="DY761" i="34" s="1"/>
  <c r="EA761" i="34"/>
  <c r="EB761" i="34"/>
  <c r="ED761" i="34" a="1"/>
  <c r="ED761" i="34"/>
  <c r="EE761" i="34" a="1"/>
  <c r="EE761" i="34" s="1"/>
  <c r="BS762" i="34"/>
  <c r="BT762" i="34"/>
  <c r="BV762" i="34" a="1"/>
  <c r="BV762" i="34" s="1"/>
  <c r="BW762" i="34" a="1"/>
  <c r="BW762" i="34" s="1"/>
  <c r="BY762" i="34"/>
  <c r="BZ762" i="34"/>
  <c r="CC762" i="34" s="1" a="1"/>
  <c r="CC762" i="34" s="1"/>
  <c r="CB762" i="34" a="1"/>
  <c r="CB762" i="34" s="1"/>
  <c r="CE762" i="34"/>
  <c r="CF762" i="34"/>
  <c r="CK762" i="34"/>
  <c r="CL762" i="34"/>
  <c r="CN762" i="34" a="1"/>
  <c r="CN762" i="34" s="1"/>
  <c r="CQ762" i="34" a="1"/>
  <c r="CQ762" i="34" s="1"/>
  <c r="CT762" i="34" s="1" a="1"/>
  <c r="CR762" i="34"/>
  <c r="CT762" i="34"/>
  <c r="CU762" i="34" a="1"/>
  <c r="CU762" i="34"/>
  <c r="CW762" i="34"/>
  <c r="CX762" i="34"/>
  <c r="CZ762" i="34" a="1"/>
  <c r="CZ762" i="34"/>
  <c r="DA762" i="34" a="1"/>
  <c r="DA762" i="34"/>
  <c r="DC762" i="34"/>
  <c r="DD762" i="34"/>
  <c r="DF762" i="34" a="1"/>
  <c r="DF762" i="34"/>
  <c r="DG762" i="34" a="1"/>
  <c r="DG762" i="34" s="1"/>
  <c r="DI762" i="34"/>
  <c r="DM762" i="34" s="1" a="1"/>
  <c r="DM762" i="34" s="1"/>
  <c r="DJ762" i="34"/>
  <c r="DL762" i="34" a="1"/>
  <c r="DL762" i="34" s="1"/>
  <c r="DO762" i="34"/>
  <c r="DS762" i="34" s="1" a="1"/>
  <c r="DS762" i="34" s="1"/>
  <c r="DP762" i="34"/>
  <c r="DU762" i="34"/>
  <c r="DV762" i="34"/>
  <c r="EA762" i="34"/>
  <c r="ED762" i="34" s="1" a="1"/>
  <c r="ED762" i="34" s="1"/>
  <c r="EB762" i="34"/>
  <c r="BS763" i="34"/>
  <c r="BV763" i="34" s="1" a="1"/>
  <c r="BV763" i="34" s="1"/>
  <c r="BT763" i="34"/>
  <c r="BY763" i="34"/>
  <c r="CB763" i="34" s="1" a="1"/>
  <c r="BZ763" i="34"/>
  <c r="CB763" i="34"/>
  <c r="CC763" i="34" a="1"/>
  <c r="CC763" i="34"/>
  <c r="CE763" i="34"/>
  <c r="CF763" i="34"/>
  <c r="CH763" i="34" a="1"/>
  <c r="CH763" i="34" s="1"/>
  <c r="CI763" i="34" a="1"/>
  <c r="CI763" i="34"/>
  <c r="CK763" i="34"/>
  <c r="CL763" i="34"/>
  <c r="CN763" i="34" a="1"/>
  <c r="CN763" i="34" s="1"/>
  <c r="CO763" i="34" a="1"/>
  <c r="CO763" i="34" s="1"/>
  <c r="CQ763" i="34" a="1"/>
  <c r="CQ763" i="34"/>
  <c r="CU763" i="34" s="1" a="1"/>
  <c r="CU763" i="34" s="1"/>
  <c r="CR763" i="34"/>
  <c r="CW763" i="34"/>
  <c r="CX763" i="34"/>
  <c r="DC763" i="34"/>
  <c r="DF763" i="34" s="1" a="1"/>
  <c r="DF763" i="34" s="1"/>
  <c r="DD763" i="34"/>
  <c r="DG763" i="34" a="1"/>
  <c r="DG763" i="34"/>
  <c r="DI763" i="34"/>
  <c r="DL763" i="34" s="1" a="1"/>
  <c r="DJ763" i="34"/>
  <c r="DL763" i="34"/>
  <c r="DM763" i="34" a="1"/>
  <c r="DM763" i="34"/>
  <c r="DO763" i="34"/>
  <c r="DR763" i="34" s="1" a="1"/>
  <c r="DR763" i="34" s="1"/>
  <c r="DP763" i="34"/>
  <c r="DS763" i="34" a="1"/>
  <c r="DS763" i="34" s="1"/>
  <c r="DU763" i="34"/>
  <c r="DV763" i="34"/>
  <c r="DX763" i="34" a="1"/>
  <c r="DX763" i="34" s="1"/>
  <c r="DY763" i="34" a="1"/>
  <c r="DY763" i="34" s="1"/>
  <c r="EA763" i="34"/>
  <c r="EB763" i="34"/>
  <c r="ED763" i="34" s="1" a="1"/>
  <c r="ED763" i="34" s="1"/>
  <c r="BS764" i="34"/>
  <c r="BT764" i="34"/>
  <c r="BW764" i="34" s="1" a="1"/>
  <c r="BW764" i="34" s="1"/>
  <c r="BY764" i="34"/>
  <c r="BZ764" i="34"/>
  <c r="CB764" i="34" a="1"/>
  <c r="CB764" i="34" s="1"/>
  <c r="CE764" i="34"/>
  <c r="CI764" i="34" s="1" a="1"/>
  <c r="CI764" i="34" s="1"/>
  <c r="CF764" i="34"/>
  <c r="CK764" i="34"/>
  <c r="CN764" i="34" s="1" a="1"/>
  <c r="CN764" i="34" s="1"/>
  <c r="CL764" i="34"/>
  <c r="CQ764" i="34" a="1"/>
  <c r="CQ764" i="34" s="1"/>
  <c r="CU764" i="34" s="1" a="1"/>
  <c r="CU764" i="34" s="1"/>
  <c r="CR764" i="34"/>
  <c r="CT764" i="34" a="1"/>
  <c r="CT764" i="34" s="1"/>
  <c r="CW764" i="34"/>
  <c r="CX764" i="34"/>
  <c r="CZ764" i="34" a="1"/>
  <c r="CZ764" i="34" s="1"/>
  <c r="DA764" i="34" a="1"/>
  <c r="DA764" i="34" s="1"/>
  <c r="DC764" i="34"/>
  <c r="DD764" i="34"/>
  <c r="DG764" i="34" s="1" a="1"/>
  <c r="DG764" i="34" s="1"/>
  <c r="DI764" i="34"/>
  <c r="DJ764" i="34"/>
  <c r="DL764" i="34" s="1" a="1"/>
  <c r="DL764" i="34" s="1"/>
  <c r="DO764" i="34"/>
  <c r="DP764" i="34"/>
  <c r="DU764" i="34"/>
  <c r="DV764" i="34"/>
  <c r="EA764" i="34"/>
  <c r="EB764" i="34"/>
  <c r="EE764" i="34" a="1"/>
  <c r="EE764" i="34" s="1"/>
  <c r="BS765" i="34"/>
  <c r="BV765" i="34" s="1" a="1"/>
  <c r="BT765" i="34"/>
  <c r="BV765" i="34"/>
  <c r="BW765" i="34" a="1"/>
  <c r="BW765" i="34"/>
  <c r="BY765" i="34"/>
  <c r="BZ765" i="34"/>
  <c r="CB765" i="34" a="1"/>
  <c r="CB765" i="34"/>
  <c r="CC765" i="34" a="1"/>
  <c r="CC765" i="34"/>
  <c r="CE765" i="34"/>
  <c r="CF765" i="34"/>
  <c r="CH765" i="34" a="1"/>
  <c r="CH765" i="34"/>
  <c r="CI765" i="34" a="1"/>
  <c r="CI765" i="34" s="1"/>
  <c r="CK765" i="34"/>
  <c r="CO765" i="34" s="1" a="1"/>
  <c r="CO765" i="34" s="1"/>
  <c r="CL765" i="34"/>
  <c r="CN765" i="34" a="1"/>
  <c r="CN765" i="34" s="1"/>
  <c r="CQ765" i="34" a="1"/>
  <c r="CQ765" i="34" s="1"/>
  <c r="CR765" i="34"/>
  <c r="CW765" i="34"/>
  <c r="CZ765" i="34" s="1" a="1"/>
  <c r="CZ765" i="34" s="1"/>
  <c r="CX765" i="34"/>
  <c r="DC765" i="34"/>
  <c r="DF765" i="34" s="1" a="1"/>
  <c r="DD765" i="34"/>
  <c r="DF765" i="34"/>
  <c r="DG765" i="34" a="1"/>
  <c r="DG765" i="34" s="1"/>
  <c r="DI765" i="34"/>
  <c r="DL765" i="34" s="1" a="1"/>
  <c r="DJ765" i="34"/>
  <c r="DL765" i="34"/>
  <c r="DM765" i="34" a="1"/>
  <c r="DM765" i="34" s="1"/>
  <c r="DO765" i="34"/>
  <c r="DP765" i="34"/>
  <c r="DR765" i="34" a="1"/>
  <c r="DR765" i="34" s="1"/>
  <c r="DS765" i="34" a="1"/>
  <c r="DS765" i="34" s="1"/>
  <c r="DU765" i="34"/>
  <c r="DV765" i="34"/>
  <c r="DX765" i="34" a="1"/>
  <c r="DX765" i="34"/>
  <c r="DY765" i="34" a="1"/>
  <c r="DY765" i="34" s="1"/>
  <c r="EA765" i="34"/>
  <c r="EB765" i="34"/>
  <c r="EE765" i="34" s="1" a="1"/>
  <c r="EE765" i="34" s="1"/>
  <c r="ED765" i="34" a="1"/>
  <c r="ED765" i="34" s="1"/>
  <c r="BS766" i="34"/>
  <c r="BT766" i="34"/>
  <c r="BV766" i="34" s="1" a="1"/>
  <c r="BV766" i="34" s="1"/>
  <c r="BY766" i="34"/>
  <c r="BZ766" i="34"/>
  <c r="CE766" i="34"/>
  <c r="CH766" i="34" s="1" a="1"/>
  <c r="CH766" i="34" s="1"/>
  <c r="CF766" i="34"/>
  <c r="CK766" i="34"/>
  <c r="CN766" i="34" s="1" a="1"/>
  <c r="CN766" i="34" s="1"/>
  <c r="CL766" i="34"/>
  <c r="CO766" i="34" a="1"/>
  <c r="CO766" i="34" s="1"/>
  <c r="CQ766" i="34" a="1"/>
  <c r="CQ766" i="34" s="1"/>
  <c r="CU766" i="34" s="1" a="1"/>
  <c r="CU766" i="34" s="1"/>
  <c r="CR766" i="34"/>
  <c r="CW766" i="34"/>
  <c r="CX766" i="34"/>
  <c r="DA766" i="34" s="1" a="1"/>
  <c r="DA766" i="34" s="1"/>
  <c r="CZ766" i="34" a="1"/>
  <c r="CZ766" i="34" s="1"/>
  <c r="DC766" i="34"/>
  <c r="DD766" i="34"/>
  <c r="DF766" i="34" a="1"/>
  <c r="DF766" i="34" s="1"/>
  <c r="DI766" i="34"/>
  <c r="DJ766" i="34"/>
  <c r="DO766" i="34"/>
  <c r="DP766" i="34"/>
  <c r="DS766" i="34" s="1" a="1"/>
  <c r="DS766" i="34" s="1"/>
  <c r="DU766" i="34"/>
  <c r="DV766" i="34"/>
  <c r="DY766" i="34" s="1" a="1"/>
  <c r="DY766" i="34" s="1"/>
  <c r="EA766" i="34"/>
  <c r="ED766" i="34" s="1" a="1"/>
  <c r="ED766" i="34" s="1"/>
  <c r="EB766" i="34"/>
  <c r="EE766" i="34" a="1"/>
  <c r="EE766" i="34" s="1"/>
  <c r="BS767" i="34"/>
  <c r="BT767" i="34"/>
  <c r="BV767" i="34" a="1"/>
  <c r="BV767" i="34" s="1"/>
  <c r="BW767" i="34" a="1"/>
  <c r="BW767" i="34" s="1"/>
  <c r="BY767" i="34"/>
  <c r="BZ767" i="34"/>
  <c r="CB767" i="34" a="1"/>
  <c r="CB767" i="34" s="1"/>
  <c r="CC767" i="34" a="1"/>
  <c r="CC767" i="34" s="1"/>
  <c r="CE767" i="34"/>
  <c r="CF767" i="34"/>
  <c r="CI767" i="34" s="1" a="1"/>
  <c r="CI767" i="34" s="1"/>
  <c r="CH767" i="34" a="1"/>
  <c r="CH767" i="34"/>
  <c r="CK767" i="34"/>
  <c r="CO767" i="34" s="1" a="1"/>
  <c r="CO767" i="34" s="1"/>
  <c r="CL767" i="34"/>
  <c r="CQ767" i="34" a="1"/>
  <c r="CQ767" i="34"/>
  <c r="CT767" i="34" s="1" a="1"/>
  <c r="CT767" i="34" s="1"/>
  <c r="CR767" i="34"/>
  <c r="CW767" i="34"/>
  <c r="CX767" i="34"/>
  <c r="DC767" i="34"/>
  <c r="DF767" i="34" s="1" a="1"/>
  <c r="DD767" i="34"/>
  <c r="DF767" i="34"/>
  <c r="DG767" i="34" a="1"/>
  <c r="DG767" i="34" s="1"/>
  <c r="DI767" i="34"/>
  <c r="DJ767" i="34"/>
  <c r="DL767" i="34" a="1"/>
  <c r="DL767" i="34"/>
  <c r="DM767" i="34" a="1"/>
  <c r="DM767" i="34" s="1"/>
  <c r="DO767" i="34"/>
  <c r="DP767" i="34"/>
  <c r="DR767" i="34" a="1"/>
  <c r="DR767" i="34" s="1"/>
  <c r="DS767" i="34" a="1"/>
  <c r="DS767" i="34" s="1"/>
  <c r="DU767" i="34"/>
  <c r="DV767" i="34"/>
  <c r="DY767" i="34" s="1" a="1"/>
  <c r="DY767" i="34" s="1"/>
  <c r="DX767" i="34" a="1"/>
  <c r="DX767" i="34" s="1"/>
  <c r="EA767" i="34"/>
  <c r="EE767" i="34" s="1" a="1"/>
  <c r="EE767" i="34" s="1"/>
  <c r="EB767" i="34"/>
  <c r="BS768" i="34"/>
  <c r="BW768" i="34" s="1" a="1"/>
  <c r="BT768" i="34"/>
  <c r="BV768" i="34" a="1"/>
  <c r="BV768" i="34" s="1"/>
  <c r="BW768" i="34"/>
  <c r="BY768" i="34"/>
  <c r="CB768" i="34" s="1" a="1"/>
  <c r="CB768" i="34" s="1"/>
  <c r="BZ768" i="34"/>
  <c r="CC768" i="34" a="1"/>
  <c r="CC768" i="34" s="1"/>
  <c r="CE768" i="34"/>
  <c r="CH768" i="34" s="1" a="1"/>
  <c r="CH768" i="34" s="1"/>
  <c r="CF768" i="34"/>
  <c r="CK768" i="34"/>
  <c r="CN768" i="34" s="1" a="1"/>
  <c r="CN768" i="34" s="1"/>
  <c r="CL768" i="34"/>
  <c r="CO768" i="34" a="1"/>
  <c r="CO768" i="34" s="1"/>
  <c r="CQ768" i="34" a="1"/>
  <c r="CQ768" i="34" s="1"/>
  <c r="CR768" i="34"/>
  <c r="CT768" i="34" s="1" a="1"/>
  <c r="CT768" i="34" s="1"/>
  <c r="CW768" i="34"/>
  <c r="CX768" i="34"/>
  <c r="DC768" i="34"/>
  <c r="DD768" i="34"/>
  <c r="DI768" i="34"/>
  <c r="DL768" i="34" s="1" a="1"/>
  <c r="DL768" i="34" s="1"/>
  <c r="DJ768" i="34"/>
  <c r="DO768" i="34"/>
  <c r="DR768" i="34" s="1" a="1"/>
  <c r="DR768" i="34" s="1"/>
  <c r="DP768" i="34"/>
  <c r="DS768" i="34" a="1"/>
  <c r="DS768" i="34" s="1"/>
  <c r="DU768" i="34"/>
  <c r="DX768" i="34" s="1" a="1"/>
  <c r="DV768" i="34"/>
  <c r="DX768" i="34"/>
  <c r="DY768" i="34" a="1"/>
  <c r="DY768" i="34"/>
  <c r="EA768" i="34"/>
  <c r="EB768" i="34"/>
  <c r="ED768" i="34" a="1"/>
  <c r="ED768" i="34"/>
  <c r="EE768" i="34" a="1"/>
  <c r="EE768" i="34" s="1"/>
  <c r="BS769" i="34"/>
  <c r="BT769" i="34"/>
  <c r="BV769" i="34" a="1"/>
  <c r="BV769" i="34"/>
  <c r="BW769" i="34" a="1"/>
  <c r="BW769" i="34" s="1"/>
  <c r="BY769" i="34"/>
  <c r="BZ769" i="34"/>
  <c r="CC769" i="34" s="1" a="1"/>
  <c r="CC769" i="34" s="1"/>
  <c r="CB769" i="34" a="1"/>
  <c r="CB769" i="34" s="1"/>
  <c r="CE769" i="34"/>
  <c r="CI769" i="34" s="1" a="1"/>
  <c r="CI769" i="34" s="1"/>
  <c r="CF769" i="34"/>
  <c r="CK769" i="34"/>
  <c r="CL769" i="34"/>
  <c r="CQ769" i="34" a="1"/>
  <c r="CQ769" i="34"/>
  <c r="CT769" i="34" s="1" a="1"/>
  <c r="CR769" i="34"/>
  <c r="CT769" i="34"/>
  <c r="CU769" i="34" a="1"/>
  <c r="CU769" i="34" s="1"/>
  <c r="CW769" i="34"/>
  <c r="CZ769" i="34" s="1" a="1"/>
  <c r="CZ769" i="34" s="1"/>
  <c r="CX769" i="34"/>
  <c r="DA769" i="34" a="1"/>
  <c r="DA769" i="34" s="1"/>
  <c r="DC769" i="34"/>
  <c r="DD769" i="34"/>
  <c r="DF769" i="34" a="1"/>
  <c r="DF769" i="34"/>
  <c r="DG769" i="34" a="1"/>
  <c r="DG769" i="34" s="1"/>
  <c r="DI769" i="34"/>
  <c r="DJ769" i="34"/>
  <c r="DL769" i="34" a="1"/>
  <c r="DL769" i="34" s="1"/>
  <c r="DM769" i="34" a="1"/>
  <c r="DM769" i="34" s="1"/>
  <c r="DO769" i="34"/>
  <c r="DP769" i="34"/>
  <c r="DS769" i="34" s="1" a="1"/>
  <c r="DS769" i="34" s="1"/>
  <c r="DR769" i="34" a="1"/>
  <c r="DR769" i="34" s="1"/>
  <c r="DU769" i="34"/>
  <c r="DV769" i="34"/>
  <c r="EA769" i="34"/>
  <c r="EB769" i="34"/>
  <c r="ED769" i="34" a="1"/>
  <c r="ED769" i="34" s="1"/>
  <c r="BS770" i="34"/>
  <c r="BV770" i="34" s="1" a="1"/>
  <c r="BV770" i="34" s="1"/>
  <c r="BT770" i="34"/>
  <c r="BW770" i="34" a="1"/>
  <c r="BW770" i="34" s="1"/>
  <c r="BY770" i="34"/>
  <c r="CB770" i="34" s="1" a="1"/>
  <c r="CB770" i="34" s="1"/>
  <c r="BZ770" i="34"/>
  <c r="CE770" i="34"/>
  <c r="CH770" i="34" s="1" a="1"/>
  <c r="CH770" i="34" s="1"/>
  <c r="CF770" i="34"/>
  <c r="CK770" i="34"/>
  <c r="CL770" i="34"/>
  <c r="CN770" i="34" a="1"/>
  <c r="CN770" i="34" s="1"/>
  <c r="CO770" i="34" a="1"/>
  <c r="CO770" i="34" s="1"/>
  <c r="CQ770" i="34" a="1"/>
  <c r="CQ770" i="34"/>
  <c r="CU770" i="34" s="1" a="1"/>
  <c r="CU770" i="34" s="1"/>
  <c r="CR770" i="34"/>
  <c r="CW770" i="34"/>
  <c r="CX770" i="34"/>
  <c r="DC770" i="34"/>
  <c r="DD770" i="34"/>
  <c r="DG770" i="34" a="1"/>
  <c r="DG770" i="34" s="1"/>
  <c r="DI770" i="34"/>
  <c r="DL770" i="34" s="1" a="1"/>
  <c r="DL770" i="34" s="1"/>
  <c r="DJ770" i="34"/>
  <c r="DM770" i="34" a="1"/>
  <c r="DM770" i="34" s="1"/>
  <c r="DO770" i="34"/>
  <c r="DR770" i="34" s="1" a="1"/>
  <c r="DR770" i="34" s="1"/>
  <c r="DP770" i="34"/>
  <c r="DU770" i="34"/>
  <c r="DV770" i="34"/>
  <c r="DX770" i="34" a="1"/>
  <c r="DX770" i="34" s="1"/>
  <c r="DY770" i="34" a="1"/>
  <c r="DY770" i="34"/>
  <c r="EA770" i="34"/>
  <c r="EB770" i="34"/>
  <c r="ED770" i="34" a="1"/>
  <c r="ED770" i="34"/>
  <c r="EE770" i="34" a="1"/>
  <c r="EE770" i="34" s="1"/>
  <c r="BS771" i="34"/>
  <c r="BT771" i="34"/>
  <c r="BW771" i="34" s="1" a="1"/>
  <c r="BW771" i="34" s="1"/>
  <c r="BY771" i="34"/>
  <c r="BZ771" i="34"/>
  <c r="CE771" i="34"/>
  <c r="CF771" i="34"/>
  <c r="CH771" i="34" a="1"/>
  <c r="CH771" i="34" s="1"/>
  <c r="CK771" i="34"/>
  <c r="CN771" i="34" s="1" a="1"/>
  <c r="CN771" i="34" s="1"/>
  <c r="CL771" i="34"/>
  <c r="CO771" i="34" a="1"/>
  <c r="CO771" i="34" s="1"/>
  <c r="CQ771" i="34" a="1"/>
  <c r="CQ771" i="34" s="1"/>
  <c r="CT771" i="34" s="1" a="1"/>
  <c r="CT771" i="34" s="1"/>
  <c r="CR771" i="34"/>
  <c r="CU771" i="34" a="1"/>
  <c r="CU771" i="34" s="1"/>
  <c r="CW771" i="34"/>
  <c r="CX771" i="34"/>
  <c r="CZ771" i="34" a="1"/>
  <c r="CZ771" i="34"/>
  <c r="DA771" i="34" a="1"/>
  <c r="DA771" i="34" s="1"/>
  <c r="DC771" i="34"/>
  <c r="DD771" i="34"/>
  <c r="DF771" i="34" s="1" a="1"/>
  <c r="DF771" i="34" s="1"/>
  <c r="DG771" i="34" a="1"/>
  <c r="DG771" i="34" s="1"/>
  <c r="DI771" i="34"/>
  <c r="DJ771" i="34"/>
  <c r="DM771" i="34" s="1" a="1"/>
  <c r="DM771" i="34" s="1"/>
  <c r="DO771" i="34"/>
  <c r="DP771" i="34"/>
  <c r="DU771" i="34"/>
  <c r="DV771" i="34"/>
  <c r="DX771" i="34" a="1"/>
  <c r="DX771" i="34" s="1"/>
  <c r="EA771" i="34"/>
  <c r="ED771" i="34" s="1" a="1"/>
  <c r="ED771" i="34" s="1"/>
  <c r="EB771" i="34"/>
  <c r="EE771" i="34" a="1"/>
  <c r="EE771" i="34" s="1"/>
  <c r="BS772" i="34"/>
  <c r="BV772" i="34" s="1" a="1"/>
  <c r="BV772" i="34" s="1"/>
  <c r="BT772" i="34"/>
  <c r="BY772" i="34"/>
  <c r="CB772" i="34" s="1" a="1"/>
  <c r="CB772" i="34" s="1"/>
  <c r="BZ772" i="34"/>
  <c r="CE772" i="34"/>
  <c r="CH772" i="34" s="1" a="1"/>
  <c r="CH772" i="34" s="1"/>
  <c r="CF772" i="34"/>
  <c r="CI772" i="34" a="1"/>
  <c r="CI772" i="34" s="1"/>
  <c r="CK772" i="34"/>
  <c r="CL772" i="34"/>
  <c r="CN772" i="34" s="1" a="1"/>
  <c r="CN772" i="34" s="1"/>
  <c r="CQ772" i="34" a="1"/>
  <c r="CQ772" i="34"/>
  <c r="CT772" i="34" s="1" a="1"/>
  <c r="CT772" i="34" s="1"/>
  <c r="CR772" i="34"/>
  <c r="CW772" i="34"/>
  <c r="CZ772" i="34" s="1" a="1"/>
  <c r="CZ772" i="34" s="1"/>
  <c r="CX772" i="34"/>
  <c r="DC772" i="34"/>
  <c r="DF772" i="34" s="1" a="1"/>
  <c r="DD772" i="34"/>
  <c r="DF772" i="34"/>
  <c r="DI772" i="34"/>
  <c r="DJ772" i="34"/>
  <c r="DO772" i="34"/>
  <c r="DS772" i="34" s="1" a="1"/>
  <c r="DS772" i="34" s="1"/>
  <c r="DP772" i="34"/>
  <c r="DR772" i="34" s="1" a="1"/>
  <c r="DR772" i="34" s="1"/>
  <c r="DU772" i="34"/>
  <c r="DY772" i="34" s="1" a="1"/>
  <c r="DV772" i="34"/>
  <c r="DX772" i="34" s="1" a="1"/>
  <c r="DX772" i="34" s="1"/>
  <c r="DY772" i="34"/>
  <c r="EA772" i="34"/>
  <c r="ED772" i="34" s="1" a="1"/>
  <c r="ED772" i="34" s="1"/>
  <c r="EB772" i="34"/>
  <c r="BS773" i="34"/>
  <c r="BV773" i="34" s="1" a="1"/>
  <c r="BV773" i="34" s="1"/>
  <c r="BT773" i="34"/>
  <c r="BY773" i="34"/>
  <c r="CC773" i="34" s="1" a="1"/>
  <c r="CC773" i="34" s="1"/>
  <c r="BZ773" i="34"/>
  <c r="CE773" i="34"/>
  <c r="CH773" i="34" s="1" a="1"/>
  <c r="CH773" i="34" s="1"/>
  <c r="CF773" i="34"/>
  <c r="CI773" i="34" a="1"/>
  <c r="CI773" i="34" s="1"/>
  <c r="CK773" i="34"/>
  <c r="CL773" i="34"/>
  <c r="CN773" i="34" s="1" a="1"/>
  <c r="CN773" i="34" s="1"/>
  <c r="CQ773" i="34" a="1"/>
  <c r="CQ773" i="34"/>
  <c r="CR773" i="34"/>
  <c r="CW773" i="34"/>
  <c r="CZ773" i="34" s="1" a="1"/>
  <c r="CZ773" i="34" s="1"/>
  <c r="CX773" i="34"/>
  <c r="DA773" i="34" a="1"/>
  <c r="DA773" i="34" s="1"/>
  <c r="DC773" i="34"/>
  <c r="DF773" i="34" s="1" a="1"/>
  <c r="DF773" i="34" s="1"/>
  <c r="DD773" i="34"/>
  <c r="DG773" i="34" a="1"/>
  <c r="DG773" i="34" s="1"/>
  <c r="DI773" i="34"/>
  <c r="DL773" i="34" s="1" a="1"/>
  <c r="DL773" i="34" s="1"/>
  <c r="DJ773" i="34"/>
  <c r="DM773" i="34" a="1"/>
  <c r="DM773" i="34" s="1"/>
  <c r="DO773" i="34"/>
  <c r="DP773" i="34"/>
  <c r="DR773" i="34" a="1"/>
  <c r="DR773" i="34" s="1"/>
  <c r="DS773" i="34" a="1"/>
  <c r="DS773" i="34" s="1"/>
  <c r="DU773" i="34"/>
  <c r="DV773" i="34"/>
  <c r="DX773" i="34" a="1"/>
  <c r="DX773" i="34" s="1"/>
  <c r="DY773" i="34" a="1"/>
  <c r="DY773" i="34" s="1"/>
  <c r="EA773" i="34"/>
  <c r="EB773" i="34"/>
  <c r="ED773" i="34" a="1"/>
  <c r="ED773" i="34" s="1"/>
  <c r="EE773" i="34" a="1"/>
  <c r="EE773" i="34" s="1"/>
  <c r="BS774" i="34"/>
  <c r="BW774" i="34" s="1" a="1"/>
  <c r="BW774" i="34" s="1"/>
  <c r="BT774" i="34"/>
  <c r="BV774" i="34" a="1"/>
  <c r="BV774" i="34" s="1"/>
  <c r="BY774" i="34"/>
  <c r="BZ774" i="34"/>
  <c r="CE774" i="34"/>
  <c r="CH774" i="34" s="1" a="1"/>
  <c r="CH774" i="34" s="1"/>
  <c r="CF774" i="34"/>
  <c r="CI774" i="34" a="1"/>
  <c r="CI774" i="34" s="1"/>
  <c r="CK774" i="34"/>
  <c r="CN774" i="34" s="1" a="1"/>
  <c r="CN774" i="34" s="1"/>
  <c r="CL774" i="34"/>
  <c r="CO774" i="34" a="1"/>
  <c r="CO774" i="34" s="1"/>
  <c r="CQ774" i="34" a="1"/>
  <c r="CQ774" i="34" s="1"/>
  <c r="CR774" i="34"/>
  <c r="CW774" i="34"/>
  <c r="CX774" i="34"/>
  <c r="CZ774" i="34" s="1" a="1"/>
  <c r="CZ774" i="34" s="1"/>
  <c r="DC774" i="34"/>
  <c r="DD774" i="34"/>
  <c r="DI774" i="34"/>
  <c r="DM774" i="34" s="1" a="1"/>
  <c r="DM774" i="34" s="1"/>
  <c r="DJ774" i="34"/>
  <c r="DL774" i="34" s="1" a="1"/>
  <c r="DL774" i="34" s="1"/>
  <c r="DO774" i="34"/>
  <c r="DS774" i="34" s="1" a="1"/>
  <c r="DP774" i="34"/>
  <c r="DR774" i="34" s="1" a="1"/>
  <c r="DR774" i="34" s="1"/>
  <c r="DS774" i="34"/>
  <c r="DU774" i="34"/>
  <c r="DX774" i="34" s="1" a="1"/>
  <c r="DX774" i="34" s="1"/>
  <c r="DV774" i="34"/>
  <c r="EA774" i="34"/>
  <c r="ED774" i="34" s="1" a="1"/>
  <c r="ED774" i="34" s="1"/>
  <c r="EB774" i="34"/>
  <c r="BS775" i="34"/>
  <c r="BW775" i="34" s="1" a="1"/>
  <c r="BW775" i="34" s="1"/>
  <c r="BT775" i="34"/>
  <c r="BY775" i="34"/>
  <c r="CB775" i="34" s="1" a="1"/>
  <c r="CB775" i="34" s="1"/>
  <c r="BZ775" i="34"/>
  <c r="CC775" i="34" a="1"/>
  <c r="CC775" i="34" s="1"/>
  <c r="CE775" i="34"/>
  <c r="CF775" i="34"/>
  <c r="CH775" i="34" s="1" a="1"/>
  <c r="CH775" i="34" s="1"/>
  <c r="CK775" i="34"/>
  <c r="CL775" i="34"/>
  <c r="CN775" i="34" s="1" a="1"/>
  <c r="CN775" i="34" s="1"/>
  <c r="CQ775" i="34" a="1"/>
  <c r="CQ775" i="34"/>
  <c r="CT775" i="34" s="1" a="1"/>
  <c r="CT775" i="34" s="1"/>
  <c r="CR775" i="34"/>
  <c r="CU775" i="34" a="1"/>
  <c r="CU775" i="34" s="1"/>
  <c r="CW775" i="34"/>
  <c r="CZ775" i="34" s="1" a="1"/>
  <c r="CZ775" i="34" s="1"/>
  <c r="CX775" i="34"/>
  <c r="DA775" i="34" a="1"/>
  <c r="DA775" i="34" s="1"/>
  <c r="DC775" i="34"/>
  <c r="DF775" i="34" s="1" a="1"/>
  <c r="DF775" i="34" s="1"/>
  <c r="DD775" i="34"/>
  <c r="DG775" i="34" a="1"/>
  <c r="DG775" i="34" s="1"/>
  <c r="DI775" i="34"/>
  <c r="DJ775" i="34"/>
  <c r="DL775" i="34" a="1"/>
  <c r="DL775" i="34" s="1"/>
  <c r="DM775" i="34" a="1"/>
  <c r="DM775" i="34" s="1"/>
  <c r="DO775" i="34"/>
  <c r="DP775" i="34"/>
  <c r="DR775" i="34" a="1"/>
  <c r="DR775" i="34" s="1"/>
  <c r="DS775" i="34" a="1"/>
  <c r="DS775" i="34" s="1"/>
  <c r="DU775" i="34"/>
  <c r="DV775" i="34"/>
  <c r="DX775" i="34" a="1"/>
  <c r="DX775" i="34" s="1"/>
  <c r="DY775" i="34" a="1"/>
  <c r="DY775" i="34" s="1"/>
  <c r="EA775" i="34"/>
  <c r="ED775" i="34" s="1" a="1"/>
  <c r="ED775" i="34" s="1"/>
  <c r="EB775" i="34"/>
  <c r="BS776" i="34"/>
  <c r="BT776" i="34"/>
  <c r="BY776" i="34"/>
  <c r="CB776" i="34" s="1" a="1"/>
  <c r="CB776" i="34" s="1"/>
  <c r="BZ776" i="34"/>
  <c r="CC776" i="34" a="1"/>
  <c r="CC776" i="34" s="1"/>
  <c r="CE776" i="34"/>
  <c r="CH776" i="34" s="1" a="1"/>
  <c r="CH776" i="34" s="1"/>
  <c r="CF776" i="34"/>
  <c r="CI776" i="34" a="1"/>
  <c r="CI776" i="34" s="1"/>
  <c r="CK776" i="34"/>
  <c r="CN776" i="34" s="1" a="1"/>
  <c r="CN776" i="34" s="1"/>
  <c r="CL776" i="34"/>
  <c r="CO776" i="34" a="1"/>
  <c r="CO776" i="34" s="1"/>
  <c r="CQ776" i="34" a="1"/>
  <c r="CQ776" i="34" s="1"/>
  <c r="CR776" i="34"/>
  <c r="CW776" i="34"/>
  <c r="CX776" i="34"/>
  <c r="CZ776" i="34" s="1" a="1"/>
  <c r="CZ776" i="34" s="1"/>
  <c r="DC776" i="34"/>
  <c r="DG776" i="34" s="1" a="1"/>
  <c r="DG776" i="34" s="1"/>
  <c r="DD776" i="34"/>
  <c r="DF776" i="34" s="1" a="1"/>
  <c r="DF776" i="34" s="1"/>
  <c r="DI776" i="34"/>
  <c r="DM776" i="34" s="1" a="1"/>
  <c r="DM776" i="34" s="1"/>
  <c r="DJ776" i="34"/>
  <c r="DL776" i="34" s="1" a="1"/>
  <c r="DL776" i="34" s="1"/>
  <c r="DO776" i="34"/>
  <c r="DR776" i="34" s="1" a="1"/>
  <c r="DR776" i="34" s="1"/>
  <c r="DP776" i="34"/>
  <c r="DU776" i="34"/>
  <c r="DX776" i="34" s="1" a="1"/>
  <c r="DX776" i="34" s="1"/>
  <c r="DV776" i="34"/>
  <c r="EA776" i="34"/>
  <c r="EE776" i="34" s="1" a="1"/>
  <c r="EE776" i="34" s="1"/>
  <c r="EB776" i="34"/>
  <c r="BS777" i="34"/>
  <c r="BV777" i="34" s="1" a="1"/>
  <c r="BV777" i="34" s="1"/>
  <c r="BT777" i="34"/>
  <c r="BW777" i="34" a="1"/>
  <c r="BW777" i="34" s="1"/>
  <c r="BY777" i="34"/>
  <c r="BZ777" i="34"/>
  <c r="CB777" i="34" s="1" a="1"/>
  <c r="CB777" i="34" s="1"/>
  <c r="CE777" i="34"/>
  <c r="CF777" i="34"/>
  <c r="CH777" i="34" s="1" a="1"/>
  <c r="CH777" i="34" s="1"/>
  <c r="CK777" i="34"/>
  <c r="CL777" i="34"/>
  <c r="CN777" i="34" s="1" a="1"/>
  <c r="CN777" i="34" s="1"/>
  <c r="CQ777" i="34" a="1"/>
  <c r="CQ777" i="34"/>
  <c r="CT777" i="34" s="1" a="1"/>
  <c r="CT777" i="34" s="1"/>
  <c r="CR777" i="34"/>
  <c r="CU777" i="34" a="1"/>
  <c r="CU777" i="34" s="1"/>
  <c r="CW777" i="34"/>
  <c r="CZ777" i="34" s="1" a="1"/>
  <c r="CZ777" i="34" s="1"/>
  <c r="CX777" i="34"/>
  <c r="DA777" i="34" a="1"/>
  <c r="DA777" i="34" s="1"/>
  <c r="DC777" i="34"/>
  <c r="DD777" i="34"/>
  <c r="DF777" i="34" a="1"/>
  <c r="DF777" i="34" s="1"/>
  <c r="DG777" i="34" a="1"/>
  <c r="DG777" i="34" s="1"/>
  <c r="DI777" i="34"/>
  <c r="DJ777" i="34"/>
  <c r="DL777" i="34" a="1"/>
  <c r="DL777" i="34" s="1"/>
  <c r="DM777" i="34" a="1"/>
  <c r="DM777" i="34" s="1"/>
  <c r="DO777" i="34"/>
  <c r="DP777" i="34"/>
  <c r="DR777" i="34" a="1"/>
  <c r="DR777" i="34" s="1"/>
  <c r="DS777" i="34" a="1"/>
  <c r="DS777" i="34" s="1"/>
  <c r="DU777" i="34"/>
  <c r="DX777" i="34" s="1" a="1"/>
  <c r="DX777" i="34" s="1"/>
  <c r="DV777" i="34"/>
  <c r="EA777" i="34"/>
  <c r="EB777" i="34"/>
  <c r="BS778" i="34"/>
  <c r="BV778" i="34" s="1" a="1"/>
  <c r="BV778" i="34" s="1"/>
  <c r="BT778" i="34"/>
  <c r="BW778" i="34" a="1"/>
  <c r="BW778" i="34" s="1"/>
  <c r="BY778" i="34"/>
  <c r="CB778" i="34" s="1" a="1"/>
  <c r="CB778" i="34" s="1"/>
  <c r="BZ778" i="34"/>
  <c r="CC778" i="34" a="1"/>
  <c r="CC778" i="34" s="1"/>
  <c r="CE778" i="34"/>
  <c r="CH778" i="34" s="1" a="1"/>
  <c r="CH778" i="34" s="1"/>
  <c r="CF778" i="34"/>
  <c r="CI778" i="34" a="1"/>
  <c r="CI778" i="34" s="1"/>
  <c r="CK778" i="34"/>
  <c r="CL778" i="34"/>
  <c r="CN778" i="34" a="1"/>
  <c r="CN778" i="34" s="1"/>
  <c r="CO778" i="34" a="1"/>
  <c r="CO778" i="34" s="1"/>
  <c r="CQ778" i="34" a="1"/>
  <c r="CQ778" i="34"/>
  <c r="CU778" i="34" s="1" a="1"/>
  <c r="CU778" i="34" s="1"/>
  <c r="CR778" i="34"/>
  <c r="CT778" i="34" s="1" a="1"/>
  <c r="CT778" i="34" s="1"/>
  <c r="CW778" i="34"/>
  <c r="CX778" i="34"/>
  <c r="CZ778" i="34" s="1" a="1"/>
  <c r="CZ778" i="34" s="1"/>
  <c r="DC778" i="34"/>
  <c r="DG778" i="34" s="1" a="1"/>
  <c r="DD778" i="34"/>
  <c r="DF778" i="34" s="1" a="1"/>
  <c r="DF778" i="34" s="1"/>
  <c r="DG778" i="34"/>
  <c r="DI778" i="34"/>
  <c r="DL778" i="34" s="1" a="1"/>
  <c r="DL778" i="34" s="1"/>
  <c r="DJ778" i="34"/>
  <c r="DO778" i="34"/>
  <c r="DR778" i="34" s="1" a="1"/>
  <c r="DR778" i="34" s="1"/>
  <c r="DP778" i="34"/>
  <c r="DU778" i="34"/>
  <c r="DY778" i="34" s="1" a="1"/>
  <c r="DY778" i="34" s="1"/>
  <c r="DV778" i="34"/>
  <c r="EA778" i="34"/>
  <c r="ED778" i="34" s="1" a="1"/>
  <c r="ED778" i="34" s="1"/>
  <c r="EB778" i="34"/>
  <c r="EE778" i="34" a="1"/>
  <c r="EE778" i="34" s="1"/>
  <c r="BS779" i="34"/>
  <c r="BT779" i="34"/>
  <c r="BV779" i="34" s="1" a="1"/>
  <c r="BV779" i="34" s="1"/>
  <c r="BY779" i="34"/>
  <c r="CC779" i="34" s="1" a="1"/>
  <c r="CC779" i="34" s="1"/>
  <c r="BZ779" i="34"/>
  <c r="CB779" i="34" s="1" a="1"/>
  <c r="CB779" i="34" s="1"/>
  <c r="CE779" i="34"/>
  <c r="CF779" i="34"/>
  <c r="CH779" i="34" s="1" a="1"/>
  <c r="CH779" i="34" s="1"/>
  <c r="CK779" i="34"/>
  <c r="CO779" i="34" s="1" a="1"/>
  <c r="CO779" i="34" s="1"/>
  <c r="CL779" i="34"/>
  <c r="CN779" i="34" s="1" a="1"/>
  <c r="CN779" i="34" s="1"/>
  <c r="CQ779" i="34" a="1"/>
  <c r="CQ779" i="34" s="1"/>
  <c r="CR779" i="34"/>
  <c r="CW779" i="34"/>
  <c r="CX779" i="34"/>
  <c r="CZ779" i="34" a="1"/>
  <c r="CZ779" i="34" s="1"/>
  <c r="DA779" i="34" a="1"/>
  <c r="DA779" i="34" s="1"/>
  <c r="DC779" i="34"/>
  <c r="DD779" i="34"/>
  <c r="DF779" i="34" a="1"/>
  <c r="DF779" i="34" s="1"/>
  <c r="DG779" i="34" a="1"/>
  <c r="DG779" i="34" s="1"/>
  <c r="DI779" i="34"/>
  <c r="DJ779" i="34"/>
  <c r="DL779" i="34" a="1"/>
  <c r="DL779" i="34" s="1"/>
  <c r="DM779" i="34" a="1"/>
  <c r="DM779" i="34" s="1"/>
  <c r="DO779" i="34"/>
  <c r="DR779" i="34" s="1" a="1"/>
  <c r="DR779" i="34" s="1"/>
  <c r="DP779" i="34"/>
  <c r="DU779" i="34"/>
  <c r="DV779" i="34"/>
  <c r="EA779" i="34"/>
  <c r="ED779" i="34" s="1" a="1"/>
  <c r="ED779" i="34" s="1"/>
  <c r="EB779" i="34"/>
  <c r="EE779" i="34" a="1"/>
  <c r="EE779" i="34" s="1"/>
  <c r="BS780" i="34"/>
  <c r="BV780" i="34" s="1" a="1"/>
  <c r="BV780" i="34" s="1"/>
  <c r="BT780" i="34"/>
  <c r="BW780" i="34" a="1"/>
  <c r="BW780" i="34" s="1"/>
  <c r="BY780" i="34"/>
  <c r="CB780" i="34" s="1" a="1"/>
  <c r="CB780" i="34" s="1"/>
  <c r="BZ780" i="34"/>
  <c r="CC780" i="34" a="1"/>
  <c r="CC780" i="34" s="1"/>
  <c r="CE780" i="34"/>
  <c r="CF780" i="34"/>
  <c r="CH780" i="34" a="1"/>
  <c r="CH780" i="34" s="1"/>
  <c r="CI780" i="34" a="1"/>
  <c r="CI780" i="34" s="1"/>
  <c r="CK780" i="34"/>
  <c r="CL780" i="34"/>
  <c r="CN780" i="34" a="1"/>
  <c r="CN780" i="34" s="1"/>
  <c r="CO780" i="34" a="1"/>
  <c r="CO780" i="34" s="1"/>
  <c r="CQ780" i="34" a="1"/>
  <c r="CQ780" i="34" s="1"/>
  <c r="CR780" i="34"/>
  <c r="CW780" i="34"/>
  <c r="DA780" i="34" s="1" a="1"/>
  <c r="CX780" i="34"/>
  <c r="CZ780" i="34" s="1" a="1"/>
  <c r="CZ780" i="34" s="1"/>
  <c r="DA780" i="34"/>
  <c r="DC780" i="34"/>
  <c r="DF780" i="34" s="1" a="1"/>
  <c r="DF780" i="34" s="1"/>
  <c r="DD780" i="34"/>
  <c r="DI780" i="34"/>
  <c r="DL780" i="34" s="1" a="1"/>
  <c r="DL780" i="34" s="1"/>
  <c r="DJ780" i="34"/>
  <c r="DO780" i="34"/>
  <c r="DS780" i="34" s="1" a="1"/>
  <c r="DS780" i="34" s="1"/>
  <c r="DP780" i="34"/>
  <c r="DU780" i="34"/>
  <c r="DX780" i="34" s="1" a="1"/>
  <c r="DX780" i="34" s="1"/>
  <c r="DV780" i="34"/>
  <c r="DY780" i="34" a="1"/>
  <c r="DY780" i="34" s="1"/>
  <c r="EA780" i="34"/>
  <c r="EB780" i="34"/>
  <c r="BS781" i="34"/>
  <c r="BT781" i="34"/>
  <c r="BV781" i="34" s="1" a="1"/>
  <c r="BV781" i="34" s="1"/>
  <c r="BY781" i="34"/>
  <c r="BZ781" i="34"/>
  <c r="CB781" i="34" s="1" a="1"/>
  <c r="CB781" i="34" s="1"/>
  <c r="CE781" i="34"/>
  <c r="CI781" i="34" s="1" a="1"/>
  <c r="CI781" i="34" s="1"/>
  <c r="CF781" i="34"/>
  <c r="CH781" i="34" s="1" a="1"/>
  <c r="CH781" i="34" s="1"/>
  <c r="CK781" i="34"/>
  <c r="CN781" i="34" s="1" a="1"/>
  <c r="CN781" i="34" s="1"/>
  <c r="CL781" i="34"/>
  <c r="CQ781" i="34" a="1"/>
  <c r="CQ781" i="34" s="1"/>
  <c r="CU781" i="34" s="1" a="1"/>
  <c r="CU781" i="34" s="1"/>
  <c r="CR781" i="34"/>
  <c r="CT781" i="34" a="1"/>
  <c r="CT781" i="34" s="1"/>
  <c r="CW781" i="34"/>
  <c r="CX781" i="34"/>
  <c r="CZ781" i="34" a="1"/>
  <c r="CZ781" i="34" s="1"/>
  <c r="DA781" i="34" a="1"/>
  <c r="DA781" i="34" s="1"/>
  <c r="DC781" i="34"/>
  <c r="DD781" i="34"/>
  <c r="DF781" i="34" a="1"/>
  <c r="DF781" i="34" s="1"/>
  <c r="DG781" i="34" a="1"/>
  <c r="DG781" i="34" s="1"/>
  <c r="DI781" i="34"/>
  <c r="DM781" i="34" s="1" a="1"/>
  <c r="DM781" i="34" s="1"/>
  <c r="DJ781" i="34"/>
  <c r="DO781" i="34"/>
  <c r="DP781" i="34"/>
  <c r="DU781" i="34"/>
  <c r="DX781" i="34" s="1" a="1"/>
  <c r="DX781" i="34" s="1"/>
  <c r="DV781" i="34"/>
  <c r="DY781" i="34" a="1"/>
  <c r="DY781" i="34" s="1"/>
  <c r="EA781" i="34"/>
  <c r="ED781" i="34" s="1" a="1"/>
  <c r="ED781" i="34" s="1"/>
  <c r="EB781" i="34"/>
  <c r="EE781" i="34" a="1"/>
  <c r="EE781" i="34" s="1"/>
  <c r="BS782" i="34"/>
  <c r="BV782" i="34" s="1" a="1"/>
  <c r="BV782" i="34" s="1"/>
  <c r="BT782" i="34"/>
  <c r="BW782" i="34" a="1"/>
  <c r="BW782" i="34" s="1"/>
  <c r="BY782" i="34"/>
  <c r="BZ782" i="34"/>
  <c r="CB782" i="34" a="1"/>
  <c r="CB782" i="34" s="1"/>
  <c r="CC782" i="34" a="1"/>
  <c r="CC782" i="34" s="1"/>
  <c r="CE782" i="34"/>
  <c r="CF782" i="34"/>
  <c r="CH782" i="34" a="1"/>
  <c r="CH782" i="34" s="1"/>
  <c r="CI782" i="34" a="1"/>
  <c r="CI782" i="34" s="1"/>
  <c r="CK782" i="34"/>
  <c r="CL782" i="34"/>
  <c r="CN782" i="34" a="1"/>
  <c r="CN782" i="34" s="1"/>
  <c r="CO782" i="34" a="1"/>
  <c r="CO782" i="34" s="1"/>
  <c r="CQ782" i="34" a="1"/>
  <c r="CQ782" i="34" s="1"/>
  <c r="CR782" i="34"/>
  <c r="CW782" i="34"/>
  <c r="CZ782" i="34" s="1" a="1"/>
  <c r="CZ782" i="34" s="1"/>
  <c r="CX782" i="34"/>
  <c r="DC782" i="34"/>
  <c r="DF782" i="34" s="1" a="1"/>
  <c r="DD782" i="34"/>
  <c r="DF782" i="34"/>
  <c r="DI782" i="34"/>
  <c r="DM782" i="34" s="1" a="1"/>
  <c r="DM782" i="34" s="1"/>
  <c r="DJ782" i="34"/>
  <c r="DO782" i="34"/>
  <c r="DR782" i="34" s="1" a="1"/>
  <c r="DR782" i="34" s="1"/>
  <c r="DP782" i="34"/>
  <c r="DS782" i="34" a="1"/>
  <c r="DS782" i="34" s="1"/>
  <c r="DU782" i="34"/>
  <c r="DV782" i="34"/>
  <c r="EA782" i="34"/>
  <c r="EB782" i="34"/>
  <c r="ED782" i="34" s="1" a="1"/>
  <c r="ED782" i="34" s="1"/>
  <c r="BS783" i="34"/>
  <c r="BT783" i="34"/>
  <c r="BV783" i="34" s="1" a="1"/>
  <c r="BV783" i="34" s="1"/>
  <c r="BY783" i="34"/>
  <c r="CC783" i="34" s="1" a="1"/>
  <c r="BZ783" i="34"/>
  <c r="CB783" i="34" s="1" a="1"/>
  <c r="CB783" i="34" s="1"/>
  <c r="CC783" i="34"/>
  <c r="CE783" i="34"/>
  <c r="CH783" i="34" s="1" a="1"/>
  <c r="CH783" i="34" s="1"/>
  <c r="CF783" i="34"/>
  <c r="CK783" i="34"/>
  <c r="CN783" i="34" s="1" a="1"/>
  <c r="CN783" i="34" s="1"/>
  <c r="CL783" i="34"/>
  <c r="CQ783" i="34" a="1"/>
  <c r="CQ783" i="34" s="1"/>
  <c r="CU783" i="34" s="1" a="1"/>
  <c r="CU783" i="34" s="1"/>
  <c r="CR783" i="34"/>
  <c r="CW783" i="34"/>
  <c r="CX783" i="34"/>
  <c r="CZ783" i="34" a="1"/>
  <c r="CZ783" i="34" s="1"/>
  <c r="DA783" i="34" a="1"/>
  <c r="DA783" i="34" s="1"/>
  <c r="DC783" i="34"/>
  <c r="DG783" i="34" s="1" a="1"/>
  <c r="DG783" i="34" s="1"/>
  <c r="DD783" i="34"/>
  <c r="DF783" i="34" a="1"/>
  <c r="DF783" i="34" s="1"/>
  <c r="DI783" i="34"/>
  <c r="DJ783" i="34"/>
  <c r="DO783" i="34"/>
  <c r="DR783" i="34" s="1" a="1"/>
  <c r="DR783" i="34" s="1"/>
  <c r="DP783" i="34"/>
  <c r="DS783" i="34" a="1"/>
  <c r="DS783" i="34" s="1"/>
  <c r="DU783" i="34"/>
  <c r="DX783" i="34" s="1" a="1"/>
  <c r="DX783" i="34" s="1"/>
  <c r="DV783" i="34"/>
  <c r="DY783" i="34" a="1"/>
  <c r="DY783" i="34" s="1"/>
  <c r="EA783" i="34"/>
  <c r="ED783" i="34" s="1" a="1"/>
  <c r="ED783" i="34" s="1"/>
  <c r="EB783" i="34"/>
  <c r="EE783" i="34" a="1"/>
  <c r="EE783" i="34" s="1"/>
  <c r="BS784" i="34"/>
  <c r="BT784" i="34"/>
  <c r="BV784" i="34" a="1"/>
  <c r="BV784" i="34" s="1"/>
  <c r="BW784" i="34" a="1"/>
  <c r="BW784" i="34"/>
  <c r="BY784" i="34"/>
  <c r="BZ784" i="34"/>
  <c r="CB784" i="34" a="1"/>
  <c r="CB784" i="34" s="1"/>
  <c r="CC784" i="34" a="1"/>
  <c r="CC784" i="34" s="1"/>
  <c r="CE784" i="34"/>
  <c r="CF784" i="34"/>
  <c r="CH784" i="34" a="1"/>
  <c r="CH784" i="34" s="1"/>
  <c r="CI784" i="34" a="1"/>
  <c r="CI784" i="34" s="1"/>
  <c r="CK784" i="34"/>
  <c r="CO784" i="34" s="1" a="1"/>
  <c r="CO784" i="34" s="1"/>
  <c r="CL784" i="34"/>
  <c r="CQ784" i="34" a="1"/>
  <c r="CQ784" i="34" s="1"/>
  <c r="CR784" i="34"/>
  <c r="CW784" i="34"/>
  <c r="CZ784" i="34" s="1" a="1"/>
  <c r="CZ784" i="34" s="1"/>
  <c r="CX784" i="34"/>
  <c r="DC784" i="34"/>
  <c r="DD784" i="34"/>
  <c r="DI784" i="34"/>
  <c r="DL784" i="34" s="1" a="1"/>
  <c r="DL784" i="34" s="1"/>
  <c r="DJ784" i="34"/>
  <c r="DM784" i="34" a="1"/>
  <c r="DM784" i="34" s="1"/>
  <c r="DO784" i="34"/>
  <c r="DP784" i="34"/>
  <c r="DR784" i="34" s="1" a="1"/>
  <c r="DR784" i="34"/>
  <c r="DS784" i="34" a="1"/>
  <c r="DS784" i="34" s="1"/>
  <c r="DU784" i="34"/>
  <c r="DV784" i="34"/>
  <c r="DX784" i="34" s="1" a="1"/>
  <c r="DX784" i="34" s="1"/>
  <c r="EA784" i="34"/>
  <c r="EB784" i="34"/>
  <c r="BS785" i="34"/>
  <c r="BT785" i="34"/>
  <c r="BV785" i="34" a="1"/>
  <c r="BV785" i="34" s="1"/>
  <c r="BY785" i="34"/>
  <c r="CB785" i="34" s="1" a="1"/>
  <c r="CB785" i="34" s="1"/>
  <c r="BZ785" i="34"/>
  <c r="CE785" i="34"/>
  <c r="CF785" i="34"/>
  <c r="CK785" i="34"/>
  <c r="CL785" i="34"/>
  <c r="CQ785" i="34" a="1"/>
  <c r="CQ785" i="34" s="1"/>
  <c r="CU785" i="34" s="1" a="1"/>
  <c r="CU785" i="34" s="1"/>
  <c r="CR785" i="34"/>
  <c r="CT785" i="34" a="1"/>
  <c r="CT785" i="34" s="1"/>
  <c r="CW785" i="34"/>
  <c r="DA785" i="34" s="1" a="1"/>
  <c r="DA785" i="34" s="1"/>
  <c r="CX785" i="34"/>
  <c r="CZ785" i="34" a="1"/>
  <c r="CZ785" i="34" s="1"/>
  <c r="DC785" i="34"/>
  <c r="DD785" i="34"/>
  <c r="DI785" i="34"/>
  <c r="DJ785" i="34"/>
  <c r="DM785" i="34" a="1"/>
  <c r="DM785" i="34" s="1"/>
  <c r="DO785" i="34"/>
  <c r="DS785" i="34" s="1" a="1"/>
  <c r="DS785" i="34" s="1"/>
  <c r="DP785" i="34"/>
  <c r="DU785" i="34"/>
  <c r="DX785" i="34" s="1" a="1"/>
  <c r="DX785" i="34" s="1"/>
  <c r="DV785" i="34"/>
  <c r="DY785" i="34" a="1"/>
  <c r="DY785" i="34" s="1"/>
  <c r="EA785" i="34"/>
  <c r="EB785" i="34"/>
  <c r="ED785" i="34" a="1"/>
  <c r="ED785" i="34" s="1"/>
  <c r="EE785" i="34" a="1"/>
  <c r="EE785" i="34" s="1"/>
  <c r="BS786" i="34"/>
  <c r="BT786" i="34"/>
  <c r="BV786" i="34" a="1"/>
  <c r="BV786" i="34" s="1"/>
  <c r="BW786" i="34" a="1"/>
  <c r="BW786" i="34" s="1"/>
  <c r="BY786" i="34"/>
  <c r="BZ786" i="34"/>
  <c r="CB786" i="34" a="1"/>
  <c r="CB786" i="34" s="1"/>
  <c r="CC786" i="34" a="1"/>
  <c r="CC786" i="34" s="1"/>
  <c r="CE786" i="34"/>
  <c r="CI786" i="34" s="1" a="1"/>
  <c r="CI786" i="34" s="1"/>
  <c r="CF786" i="34"/>
  <c r="CH786" i="34" a="1"/>
  <c r="CH786" i="34"/>
  <c r="CK786" i="34"/>
  <c r="CL786" i="34"/>
  <c r="CQ786" i="34" a="1"/>
  <c r="CQ786" i="34" s="1"/>
  <c r="CR786" i="34"/>
  <c r="CW786" i="34"/>
  <c r="CX786" i="34"/>
  <c r="DC786" i="34"/>
  <c r="DF786" i="34" s="1" a="1"/>
  <c r="DD786" i="34"/>
  <c r="DF786" i="34"/>
  <c r="DG786" i="34" a="1"/>
  <c r="DG786" i="34" s="1"/>
  <c r="DI786" i="34"/>
  <c r="DJ786" i="34"/>
  <c r="DL786" i="34" s="1" a="1"/>
  <c r="DL786" i="34" s="1"/>
  <c r="DO786" i="34"/>
  <c r="DS786" i="34" s="1" a="1"/>
  <c r="DS786" i="34" s="1"/>
  <c r="DP786" i="34"/>
  <c r="DR786" i="34" s="1" a="1"/>
  <c r="DR786" i="34" s="1"/>
  <c r="DU786" i="34"/>
  <c r="DV786" i="34"/>
  <c r="DY786" i="34" s="1" a="1"/>
  <c r="DY786" i="34" s="1"/>
  <c r="DX786" i="34" a="1"/>
  <c r="DX786" i="34" s="1"/>
  <c r="EA786" i="34"/>
  <c r="EE786" i="34" s="1" a="1"/>
  <c r="EE786" i="34" s="1"/>
  <c r="EB786" i="34"/>
  <c r="ED786" i="34" s="1" a="1"/>
  <c r="ED786" i="34" s="1"/>
  <c r="BS787" i="34"/>
  <c r="BV787" i="34" s="1" a="1"/>
  <c r="BV787" i="34" s="1"/>
  <c r="BT787" i="34"/>
  <c r="BY787" i="34"/>
  <c r="BZ787" i="34"/>
  <c r="CE787" i="34"/>
  <c r="CF787" i="34"/>
  <c r="CK787" i="34"/>
  <c r="CN787" i="34" s="1" a="1"/>
  <c r="CL787" i="34"/>
  <c r="CN787" i="34"/>
  <c r="CO787" i="34" a="1"/>
  <c r="CO787" i="34" s="1"/>
  <c r="CQ787" i="34" a="1"/>
  <c r="CQ787" i="34"/>
  <c r="CU787" i="34" s="1" a="1"/>
  <c r="CU787" i="34" s="1"/>
  <c r="CR787" i="34"/>
  <c r="CW787" i="34"/>
  <c r="CX787" i="34"/>
  <c r="DC787" i="34"/>
  <c r="DG787" i="34" s="1" a="1"/>
  <c r="DG787" i="34" s="1"/>
  <c r="DD787" i="34"/>
  <c r="DI787" i="34"/>
  <c r="DJ787" i="34"/>
  <c r="DM787" i="34" a="1"/>
  <c r="DM787" i="34" s="1"/>
  <c r="DO787" i="34"/>
  <c r="DR787" i="34" s="1" a="1"/>
  <c r="DR787" i="34" s="1"/>
  <c r="DP787" i="34"/>
  <c r="DS787" i="34" a="1"/>
  <c r="DS787" i="34" s="1"/>
  <c r="DU787" i="34"/>
  <c r="DV787" i="34"/>
  <c r="DX787" i="34" a="1"/>
  <c r="DX787" i="34" s="1"/>
  <c r="DY787" i="34" a="1"/>
  <c r="DY787" i="34"/>
  <c r="EA787" i="34"/>
  <c r="EB787" i="34"/>
  <c r="ED787" i="34" a="1"/>
  <c r="ED787" i="34" s="1"/>
  <c r="EE787" i="34" a="1"/>
  <c r="EE787" i="34" s="1"/>
  <c r="BS788" i="34"/>
  <c r="BT788" i="34"/>
  <c r="BV788" i="34" a="1"/>
  <c r="BV788" i="34" s="1"/>
  <c r="BW788" i="34" a="1"/>
  <c r="BW788" i="34" s="1"/>
  <c r="BY788" i="34"/>
  <c r="CC788" i="34" s="1" a="1"/>
  <c r="CC788" i="34" s="1"/>
  <c r="BZ788" i="34"/>
  <c r="CB788" i="34" a="1"/>
  <c r="CB788" i="34" s="1"/>
  <c r="CE788" i="34"/>
  <c r="CF788" i="34"/>
  <c r="CK788" i="34"/>
  <c r="CN788" i="34" s="1" a="1"/>
  <c r="CN788" i="34" s="1"/>
  <c r="CL788" i="34"/>
  <c r="CQ788" i="34" a="1"/>
  <c r="CQ788" i="34" s="1"/>
  <c r="CR788" i="34"/>
  <c r="CW788" i="34"/>
  <c r="CZ788" i="34" s="1" a="1"/>
  <c r="CX788" i="34"/>
  <c r="CZ788" i="34"/>
  <c r="DA788" i="34" a="1"/>
  <c r="DA788" i="34" s="1"/>
  <c r="DC788" i="34"/>
  <c r="DD788" i="34"/>
  <c r="DF788" i="34" s="1" a="1"/>
  <c r="DF788" i="34" s="1"/>
  <c r="DI788" i="34"/>
  <c r="DJ788" i="34"/>
  <c r="DL788" i="34" s="1" a="1"/>
  <c r="DL788" i="34" s="1"/>
  <c r="DO788" i="34"/>
  <c r="DP788" i="34"/>
  <c r="DR788" i="34" a="1"/>
  <c r="DR788" i="34" s="1"/>
  <c r="DU788" i="34"/>
  <c r="DV788" i="34"/>
  <c r="DX788" i="34" a="1"/>
  <c r="DX788" i="34" s="1"/>
  <c r="EA788" i="34"/>
  <c r="ED788" i="34" s="1" a="1"/>
  <c r="ED788" i="34" s="1"/>
  <c r="EB788" i="34"/>
  <c r="BS789" i="34"/>
  <c r="BV789" i="34" s="1" a="1"/>
  <c r="BV789" i="34" s="1"/>
  <c r="BT789" i="34"/>
  <c r="BW789" i="34" a="1"/>
  <c r="BW789" i="34"/>
  <c r="BY789" i="34"/>
  <c r="BZ789" i="34"/>
  <c r="CE789" i="34"/>
  <c r="CH789" i="34" s="1" a="1"/>
  <c r="CF789" i="34"/>
  <c r="CH789" i="34"/>
  <c r="CI789" i="34" a="1"/>
  <c r="CI789" i="34" s="1"/>
  <c r="CK789" i="34"/>
  <c r="CL789" i="34"/>
  <c r="CQ789" i="34" a="1"/>
  <c r="CQ789" i="34"/>
  <c r="CR789" i="34"/>
  <c r="CW789" i="34"/>
  <c r="CZ789" i="34" s="1" a="1"/>
  <c r="CZ789" i="34" s="1"/>
  <c r="CX789" i="34"/>
  <c r="DC789" i="34"/>
  <c r="DF789" i="34" s="1" a="1"/>
  <c r="DF789" i="34" s="1"/>
  <c r="DD789" i="34"/>
  <c r="DG789" i="34" a="1"/>
  <c r="DG789" i="34" s="1"/>
  <c r="DI789" i="34"/>
  <c r="DL789" i="34" s="1" a="1"/>
  <c r="DL789" i="34" s="1"/>
  <c r="DJ789" i="34"/>
  <c r="DM789" i="34" a="1"/>
  <c r="DM789" i="34" s="1"/>
  <c r="DO789" i="34"/>
  <c r="DP789" i="34"/>
  <c r="DR789" i="34" a="1"/>
  <c r="DR789" i="34" s="1"/>
  <c r="DS789" i="34" a="1"/>
  <c r="DS789" i="34"/>
  <c r="DU789" i="34"/>
  <c r="DV789" i="34"/>
  <c r="DX789" i="34" a="1"/>
  <c r="DX789" i="34" s="1"/>
  <c r="DY789" i="34" a="1"/>
  <c r="DY789" i="34" s="1"/>
  <c r="EA789" i="34"/>
  <c r="EB789" i="34"/>
  <c r="ED789" i="34" a="1"/>
  <c r="ED789" i="34" s="1"/>
  <c r="EE789" i="34" a="1"/>
  <c r="EE789" i="34" s="1"/>
  <c r="BS790" i="34"/>
  <c r="BW790" i="34" s="1" a="1"/>
  <c r="BW790" i="34" s="1"/>
  <c r="BT790" i="34"/>
  <c r="BV790" i="34" a="1"/>
  <c r="BV790" i="34" s="1"/>
  <c r="BY790" i="34"/>
  <c r="BZ790" i="34"/>
  <c r="CE790" i="34"/>
  <c r="CH790" i="34" s="1" a="1"/>
  <c r="CH790" i="34" s="1"/>
  <c r="CF790" i="34"/>
  <c r="CK790" i="34"/>
  <c r="CN790" i="34" s="1" a="1"/>
  <c r="CN790" i="34" s="1"/>
  <c r="CL790" i="34"/>
  <c r="CO790" i="34" a="1"/>
  <c r="CO790" i="34" s="1"/>
  <c r="CQ790" i="34" a="1"/>
  <c r="CQ790" i="34" s="1"/>
  <c r="CT790" i="34" s="1" a="1"/>
  <c r="CR790" i="34"/>
  <c r="CT790" i="34"/>
  <c r="CW790" i="34"/>
  <c r="CX790" i="34"/>
  <c r="CZ790" i="34" s="1" a="1"/>
  <c r="CZ790" i="34" s="1"/>
  <c r="DA790" i="34" a="1"/>
  <c r="DA790" i="34" s="1"/>
  <c r="DC790" i="34"/>
  <c r="DG790" i="34" s="1" a="1"/>
  <c r="DG790" i="34" s="1"/>
  <c r="DD790" i="34"/>
  <c r="DF790" i="34" s="1" a="1"/>
  <c r="DF790" i="34" s="1"/>
  <c r="DI790" i="34"/>
  <c r="DJ790" i="34"/>
  <c r="DM790" i="34" s="1" a="1"/>
  <c r="DM790" i="34" s="1"/>
  <c r="DO790" i="34"/>
  <c r="DR790" i="34" s="1" a="1"/>
  <c r="DR790" i="34" s="1"/>
  <c r="DP790" i="34"/>
  <c r="DU790" i="34"/>
  <c r="DX790" i="34" s="1" a="1"/>
  <c r="DX790" i="34" s="1"/>
  <c r="DV790" i="34"/>
  <c r="EA790" i="34"/>
  <c r="ED790" i="34" s="1" a="1"/>
  <c r="EB790" i="34"/>
  <c r="ED790" i="34"/>
  <c r="EE790" i="34" a="1"/>
  <c r="EE790" i="34" s="1"/>
  <c r="BS791" i="34"/>
  <c r="BT791" i="34"/>
  <c r="BY791" i="34"/>
  <c r="CB791" i="34" s="1" a="1"/>
  <c r="BZ791" i="34"/>
  <c r="CB791" i="34"/>
  <c r="CC791" i="34" a="1"/>
  <c r="CC791" i="34" s="1"/>
  <c r="CE791" i="34"/>
  <c r="CF791" i="34"/>
  <c r="CH791" i="34" s="1" a="1"/>
  <c r="CH791" i="34" s="1"/>
  <c r="CI791" i="34" a="1"/>
  <c r="CI791" i="34" s="1"/>
  <c r="CK791" i="34"/>
  <c r="CL791" i="34"/>
  <c r="CN791" i="34" s="1" a="1"/>
  <c r="CN791" i="34" s="1"/>
  <c r="CQ791" i="34" a="1"/>
  <c r="CQ791" i="34"/>
  <c r="CR791" i="34"/>
  <c r="CU791" i="34" a="1"/>
  <c r="CU791" i="34" s="1"/>
  <c r="CW791" i="34"/>
  <c r="CX791" i="34"/>
  <c r="DA791" i="34" a="1"/>
  <c r="DA791" i="34" s="1"/>
  <c r="DC791" i="34"/>
  <c r="DF791" i="34" s="1" a="1"/>
  <c r="DF791" i="34" s="1"/>
  <c r="DD791" i="34"/>
  <c r="DG791" i="34" a="1"/>
  <c r="DG791" i="34" s="1"/>
  <c r="DI791" i="34"/>
  <c r="DJ791" i="34"/>
  <c r="DL791" i="34" a="1"/>
  <c r="DL791" i="34"/>
  <c r="DM791" i="34" a="1"/>
  <c r="DM791" i="34" s="1"/>
  <c r="DO791" i="34"/>
  <c r="DP791" i="34"/>
  <c r="DR791" i="34" a="1"/>
  <c r="DR791" i="34" s="1"/>
  <c r="DS791" i="34" a="1"/>
  <c r="DS791" i="34" s="1"/>
  <c r="DU791" i="34"/>
  <c r="DV791" i="34"/>
  <c r="DX791" i="34" a="1"/>
  <c r="DX791" i="34"/>
  <c r="DY791" i="34" a="1"/>
  <c r="DY791" i="34" s="1"/>
  <c r="EA791" i="34"/>
  <c r="EB791" i="34"/>
  <c r="ED791" i="34" s="1" a="1"/>
  <c r="ED791" i="34" s="1"/>
  <c r="BS792" i="34"/>
  <c r="BT792" i="34"/>
  <c r="BY792" i="34"/>
  <c r="CB792" i="34" s="1" a="1"/>
  <c r="CB792" i="34" s="1"/>
  <c r="BZ792" i="34"/>
  <c r="CC792" i="34" a="1"/>
  <c r="CC792" i="34" s="1"/>
  <c r="CE792" i="34"/>
  <c r="CF792" i="34"/>
  <c r="CI792" i="34" a="1"/>
  <c r="CI792" i="34" s="1"/>
  <c r="CK792" i="34"/>
  <c r="CN792" i="34" s="1" a="1"/>
  <c r="CN792" i="34" s="1"/>
  <c r="CL792" i="34"/>
  <c r="CO792" i="34" a="1"/>
  <c r="CO792" i="34" s="1"/>
  <c r="CQ792" i="34" a="1"/>
  <c r="CQ792" i="34" s="1"/>
  <c r="CT792" i="34" s="1" a="1"/>
  <c r="CT792" i="34" s="1"/>
  <c r="CR792" i="34"/>
  <c r="CU792" i="34" a="1"/>
  <c r="CU792" i="34" s="1"/>
  <c r="CW792" i="34"/>
  <c r="DA792" i="34" s="1" a="1"/>
  <c r="DA792" i="34" s="1"/>
  <c r="CX792" i="34"/>
  <c r="CZ792" i="34" s="1" a="1"/>
  <c r="CZ792" i="34" s="1"/>
  <c r="DC792" i="34"/>
  <c r="DG792" i="34" s="1" a="1"/>
  <c r="DD792" i="34"/>
  <c r="DF792" i="34" s="1" a="1"/>
  <c r="DF792" i="34" s="1"/>
  <c r="DG792" i="34"/>
  <c r="DI792" i="34"/>
  <c r="DM792" i="34" s="1" a="1"/>
  <c r="DM792" i="34" s="1"/>
  <c r="DJ792" i="34"/>
  <c r="DL792" i="34" a="1"/>
  <c r="DL792" i="34" s="1"/>
  <c r="DO792" i="34"/>
  <c r="DR792" i="34" s="1" a="1"/>
  <c r="DR792" i="34" s="1"/>
  <c r="DP792" i="34"/>
  <c r="DU792" i="34"/>
  <c r="DX792" i="34" s="1" a="1"/>
  <c r="DV792" i="34"/>
  <c r="DX792" i="34"/>
  <c r="DY792" i="34" a="1"/>
  <c r="DY792" i="34" s="1"/>
  <c r="EA792" i="34"/>
  <c r="EB792" i="34"/>
  <c r="BS793" i="34"/>
  <c r="BV793" i="34" s="1" a="1"/>
  <c r="BV793" i="34" s="1"/>
  <c r="BT793" i="34"/>
  <c r="BW793" i="34" a="1"/>
  <c r="BW793" i="34" s="1"/>
  <c r="BY793" i="34"/>
  <c r="BZ793" i="34"/>
  <c r="CB793" i="34" a="1"/>
  <c r="CB793" i="34" s="1"/>
  <c r="CC793" i="34" a="1"/>
  <c r="CC793" i="34" s="1"/>
  <c r="CE793" i="34"/>
  <c r="CF793" i="34"/>
  <c r="CH793" i="34" s="1" a="1"/>
  <c r="CH793" i="34" s="1"/>
  <c r="CK793" i="34"/>
  <c r="CO793" i="34" s="1" a="1"/>
  <c r="CO793" i="34" s="1"/>
  <c r="CL793" i="34"/>
  <c r="CN793" i="34" a="1"/>
  <c r="CN793" i="34" s="1"/>
  <c r="CQ793" i="34" a="1"/>
  <c r="CQ793" i="34"/>
  <c r="CU793" i="34" s="1" a="1"/>
  <c r="CU793" i="34" s="1"/>
  <c r="CR793" i="34"/>
  <c r="CW793" i="34"/>
  <c r="CZ793" i="34" s="1" a="1"/>
  <c r="CZ793" i="34" s="1"/>
  <c r="CX793" i="34"/>
  <c r="DA793" i="34" a="1"/>
  <c r="DA793" i="34"/>
  <c r="DC793" i="34"/>
  <c r="DD793" i="34"/>
  <c r="DF793" i="34" a="1"/>
  <c r="DF793" i="34"/>
  <c r="DG793" i="34" a="1"/>
  <c r="DG793" i="34" s="1"/>
  <c r="DI793" i="34"/>
  <c r="DJ793" i="34"/>
  <c r="DL793" i="34" a="1"/>
  <c r="DL793" i="34" s="1"/>
  <c r="DM793" i="34" a="1"/>
  <c r="DM793" i="34" s="1"/>
  <c r="DO793" i="34"/>
  <c r="DP793" i="34"/>
  <c r="DR793" i="34" a="1"/>
  <c r="DR793" i="34" s="1"/>
  <c r="DS793" i="34" a="1"/>
  <c r="DS793" i="34" s="1"/>
  <c r="DU793" i="34"/>
  <c r="DY793" i="34" s="1" a="1"/>
  <c r="DY793" i="34" s="1"/>
  <c r="DV793" i="34"/>
  <c r="EA793" i="34"/>
  <c r="EB793" i="34"/>
  <c r="BS794" i="34"/>
  <c r="BW794" i="34" s="1" a="1"/>
  <c r="BW794" i="34" s="1"/>
  <c r="BT794" i="34"/>
  <c r="BY794" i="34"/>
  <c r="CC794" i="34" s="1" a="1"/>
  <c r="CC794" i="34" s="1"/>
  <c r="BZ794" i="34"/>
  <c r="CE794" i="34"/>
  <c r="CH794" i="34" s="1" a="1"/>
  <c r="CH794" i="34" s="1"/>
  <c r="CF794" i="34"/>
  <c r="CI794" i="34" a="1"/>
  <c r="CI794" i="34"/>
  <c r="CK794" i="34"/>
  <c r="CL794" i="34"/>
  <c r="CN794" i="34" a="1"/>
  <c r="CN794" i="34"/>
  <c r="CO794" i="34" a="1"/>
  <c r="CO794" i="34" s="1"/>
  <c r="CQ794" i="34" a="1"/>
  <c r="CQ794" i="34"/>
  <c r="CU794" i="34" s="1" a="1"/>
  <c r="CU794" i="34" s="1"/>
  <c r="CR794" i="34"/>
  <c r="CT794" i="34" s="1" a="1"/>
  <c r="CT794" i="34" s="1"/>
  <c r="CW794" i="34"/>
  <c r="CX794" i="34"/>
  <c r="DA794" i="34" s="1" a="1"/>
  <c r="DA794" i="34"/>
  <c r="DC794" i="34"/>
  <c r="DG794" i="34" s="1" a="1"/>
  <c r="DD794" i="34"/>
  <c r="DF794" i="34" a="1"/>
  <c r="DF794" i="34" s="1"/>
  <c r="DG794" i="34"/>
  <c r="DI794" i="34"/>
  <c r="DL794" i="34" s="1" a="1"/>
  <c r="DL794" i="34" s="1"/>
  <c r="DJ794" i="34"/>
  <c r="DO794" i="34"/>
  <c r="DR794" i="34" s="1" a="1"/>
  <c r="DR794" i="34" s="1"/>
  <c r="DP794" i="34"/>
  <c r="DU794" i="34"/>
  <c r="DV794" i="34"/>
  <c r="EA794" i="34"/>
  <c r="ED794" i="34" s="1" a="1"/>
  <c r="ED794" i="34" s="1"/>
  <c r="EB794" i="34"/>
  <c r="EE794" i="34" a="1"/>
  <c r="EE794" i="34" s="1"/>
  <c r="BS795" i="34"/>
  <c r="BT795" i="34"/>
  <c r="BV795" i="34" a="1"/>
  <c r="BV795" i="34"/>
  <c r="BW795" i="34" a="1"/>
  <c r="BW795" i="34" s="1"/>
  <c r="BY795" i="34"/>
  <c r="BZ795" i="34"/>
  <c r="CB795" i="34" s="1" a="1"/>
  <c r="CB795" i="34" s="1"/>
  <c r="CE795" i="34"/>
  <c r="CF795" i="34"/>
  <c r="CI795" i="34" s="1" a="1"/>
  <c r="CH795" i="34" a="1"/>
  <c r="CH795" i="34" s="1"/>
  <c r="CI795" i="34"/>
  <c r="CK795" i="34"/>
  <c r="CL795" i="34"/>
  <c r="CQ795" i="34" a="1"/>
  <c r="CQ795" i="34" s="1"/>
  <c r="CT795" i="34" s="1" a="1"/>
  <c r="CT795" i="34" s="1"/>
  <c r="CR795" i="34"/>
  <c r="CW795" i="34"/>
  <c r="CX795" i="34"/>
  <c r="CZ795" i="34" a="1"/>
  <c r="CZ795" i="34"/>
  <c r="DA795" i="34" a="1"/>
  <c r="DA795" i="34" s="1"/>
  <c r="DC795" i="34"/>
  <c r="DD795" i="34"/>
  <c r="DF795" i="34" a="1"/>
  <c r="DF795" i="34" s="1"/>
  <c r="DG795" i="34" a="1"/>
  <c r="DG795" i="34" s="1"/>
  <c r="DI795" i="34"/>
  <c r="DJ795" i="34"/>
  <c r="DL795" i="34" a="1"/>
  <c r="DL795" i="34" s="1"/>
  <c r="DM795" i="34" a="1"/>
  <c r="DM795" i="34" s="1"/>
  <c r="DO795" i="34"/>
  <c r="DP795" i="34"/>
  <c r="DR795" i="34" a="1"/>
  <c r="DR795" i="34" s="1"/>
  <c r="DU795" i="34"/>
  <c r="DV795" i="34"/>
  <c r="EA795" i="34"/>
  <c r="EB795" i="34"/>
  <c r="EE795" i="34" a="1"/>
  <c r="EE795" i="34" s="1"/>
  <c r="BS796" i="34"/>
  <c r="BT796" i="34"/>
  <c r="BY796" i="34"/>
  <c r="CB796" i="34" s="1" a="1"/>
  <c r="CB796" i="34" s="1"/>
  <c r="BZ796" i="34"/>
  <c r="CC796" i="34" a="1"/>
  <c r="CC796" i="34"/>
  <c r="CE796" i="34"/>
  <c r="CF796" i="34"/>
  <c r="CH796" i="34" a="1"/>
  <c r="CH796" i="34"/>
  <c r="CI796" i="34" a="1"/>
  <c r="CI796" i="34" s="1"/>
  <c r="CK796" i="34"/>
  <c r="CL796" i="34"/>
  <c r="CN796" i="34" a="1"/>
  <c r="CN796" i="34" s="1"/>
  <c r="CO796" i="34" a="1"/>
  <c r="CO796" i="34" s="1"/>
  <c r="CQ796" i="34" a="1"/>
  <c r="CQ796" i="34" s="1"/>
  <c r="CU796" i="34" s="1" a="1"/>
  <c r="CR796" i="34"/>
  <c r="CT796" i="34" a="1"/>
  <c r="CT796" i="34" s="1"/>
  <c r="CU796" i="34"/>
  <c r="CW796" i="34"/>
  <c r="CX796" i="34"/>
  <c r="CZ796" i="34" a="1"/>
  <c r="CZ796" i="34" s="1"/>
  <c r="DC796" i="34"/>
  <c r="DF796" i="34" s="1" a="1"/>
  <c r="DF796" i="34" s="1"/>
  <c r="DD796" i="34"/>
  <c r="DI796" i="34"/>
  <c r="DL796" i="34" s="1" a="1"/>
  <c r="DJ796" i="34"/>
  <c r="DL796" i="34"/>
  <c r="DM796" i="34" a="1"/>
  <c r="DM796" i="34"/>
  <c r="DO796" i="34"/>
  <c r="DP796" i="34"/>
  <c r="DU796" i="34"/>
  <c r="DX796" i="34" s="1" a="1"/>
  <c r="DV796" i="34"/>
  <c r="DX796" i="34"/>
  <c r="DY796" i="34" a="1"/>
  <c r="DY796" i="34" s="1"/>
  <c r="EA796" i="34"/>
  <c r="EB796" i="34"/>
  <c r="EE796" i="34" s="1" a="1"/>
  <c r="EE796" i="34" s="1"/>
  <c r="ED796" i="34" a="1"/>
  <c r="ED796" i="34" s="1"/>
  <c r="BS797" i="34"/>
  <c r="BT797" i="34"/>
  <c r="BV797" i="34" s="1" a="1"/>
  <c r="BV797" i="34" s="1"/>
  <c r="BY797" i="34"/>
  <c r="BZ797" i="34"/>
  <c r="CE797" i="34"/>
  <c r="CI797" i="34" s="1" a="1"/>
  <c r="CI797" i="34" s="1"/>
  <c r="CF797" i="34"/>
  <c r="CK797" i="34"/>
  <c r="CN797" i="34" s="1" a="1"/>
  <c r="CN797" i="34" s="1"/>
  <c r="CL797" i="34"/>
  <c r="CQ797" i="34" a="1"/>
  <c r="CQ797" i="34" s="1"/>
  <c r="CT797" i="34" s="1" a="1"/>
  <c r="CT797" i="34" s="1"/>
  <c r="CR797" i="34"/>
  <c r="CU797" i="34" a="1"/>
  <c r="CU797" i="34" s="1"/>
  <c r="CW797" i="34"/>
  <c r="CX797" i="34"/>
  <c r="CZ797" i="34" a="1"/>
  <c r="CZ797" i="34" s="1"/>
  <c r="DA797" i="34" a="1"/>
  <c r="DA797" i="34" s="1"/>
  <c r="DC797" i="34"/>
  <c r="DD797" i="34"/>
  <c r="DF797" i="34" a="1"/>
  <c r="DF797" i="34"/>
  <c r="DG797" i="34" a="1"/>
  <c r="DG797" i="34" s="1"/>
  <c r="DI797" i="34"/>
  <c r="DL797" i="34" s="1" a="1"/>
  <c r="DL797" i="34" s="1"/>
  <c r="DJ797" i="34"/>
  <c r="DO797" i="34"/>
  <c r="DP797" i="34"/>
  <c r="DU797" i="34"/>
  <c r="DV797" i="34"/>
  <c r="EA797" i="34"/>
  <c r="ED797" i="34" s="1" a="1"/>
  <c r="ED797" i="34" s="1"/>
  <c r="EB797" i="34"/>
  <c r="BS798" i="34"/>
  <c r="BV798" i="34" s="1" a="1"/>
  <c r="BV798" i="34" s="1"/>
  <c r="BT798" i="34"/>
  <c r="BW798" i="34" a="1"/>
  <c r="BW798" i="34" s="1"/>
  <c r="BY798" i="34"/>
  <c r="BZ798" i="34"/>
  <c r="CB798" i="34" a="1"/>
  <c r="CB798" i="34"/>
  <c r="CC798" i="34" a="1"/>
  <c r="CC798" i="34" s="1"/>
  <c r="CE798" i="34"/>
  <c r="CF798" i="34"/>
  <c r="CH798" i="34" a="1"/>
  <c r="CH798" i="34" s="1"/>
  <c r="CI798" i="34" a="1"/>
  <c r="CI798" i="34" s="1"/>
  <c r="CK798" i="34"/>
  <c r="CL798" i="34"/>
  <c r="CN798" i="34" a="1"/>
  <c r="CN798" i="34"/>
  <c r="CO798" i="34" a="1"/>
  <c r="CO798" i="34" s="1"/>
  <c r="CQ798" i="34" a="1"/>
  <c r="CQ798" i="34"/>
  <c r="CU798" i="34" s="1" a="1"/>
  <c r="CR798" i="34"/>
  <c r="CU798" i="34"/>
  <c r="CW798" i="34"/>
  <c r="CZ798" i="34" s="1" a="1"/>
  <c r="CZ798" i="34" s="1"/>
  <c r="CX798" i="34"/>
  <c r="DC798" i="34"/>
  <c r="DF798" i="34" s="1" a="1"/>
  <c r="DD798" i="34"/>
  <c r="DF798" i="34"/>
  <c r="DG798" i="34" a="1"/>
  <c r="DG798" i="34"/>
  <c r="DI798" i="34"/>
  <c r="DJ798" i="34"/>
  <c r="DO798" i="34"/>
  <c r="DR798" i="34" s="1" a="1"/>
  <c r="DR798" i="34" s="1"/>
  <c r="DP798" i="34"/>
  <c r="DS798" i="34" a="1"/>
  <c r="DS798" i="34" s="1"/>
  <c r="DU798" i="34"/>
  <c r="DV798" i="34"/>
  <c r="DX798" i="34" s="1" a="1"/>
  <c r="DX798" i="34" s="1"/>
  <c r="EA798" i="34"/>
  <c r="EB798" i="34"/>
  <c r="ED798" i="34" s="1" a="1"/>
  <c r="ED798" i="34" s="1"/>
  <c r="BS799" i="34"/>
  <c r="BT799" i="34"/>
  <c r="BW799" i="34" s="1" a="1"/>
  <c r="BV799" i="34" a="1"/>
  <c r="BV799" i="34" s="1"/>
  <c r="BW799" i="34"/>
  <c r="BY799" i="34"/>
  <c r="CC799" i="34" s="1" a="1"/>
  <c r="CC799" i="34" s="1"/>
  <c r="BZ799" i="34"/>
  <c r="CE799" i="34"/>
  <c r="CH799" i="34" s="1" a="1"/>
  <c r="CH799" i="34" s="1"/>
  <c r="CF799" i="34"/>
  <c r="CK799" i="34"/>
  <c r="CN799" i="34" s="1" a="1"/>
  <c r="CN799" i="34" s="1"/>
  <c r="CL799" i="34"/>
  <c r="CQ799" i="34" a="1"/>
  <c r="CQ799" i="34" s="1"/>
  <c r="CU799" i="34" s="1" a="1"/>
  <c r="CU799" i="34" s="1"/>
  <c r="CR799" i="34"/>
  <c r="CT799" i="34" a="1"/>
  <c r="CT799" i="34" s="1"/>
  <c r="CW799" i="34"/>
  <c r="CX799" i="34"/>
  <c r="CZ799" i="34" a="1"/>
  <c r="CZ799" i="34" s="1"/>
  <c r="DA799" i="34" a="1"/>
  <c r="DA799" i="34" s="1"/>
  <c r="DC799" i="34"/>
  <c r="DD799" i="34"/>
  <c r="DF799" i="34" a="1"/>
  <c r="DF799" i="34" s="1"/>
  <c r="DI799" i="34"/>
  <c r="DJ799" i="34"/>
  <c r="DO799" i="34"/>
  <c r="DP799" i="34"/>
  <c r="DS799" i="34" s="1" a="1"/>
  <c r="DS799" i="34" s="1"/>
  <c r="DU799" i="34"/>
  <c r="DV799" i="34"/>
  <c r="DY799" i="34" a="1"/>
  <c r="DY799" i="34" s="1"/>
  <c r="EA799" i="34"/>
  <c r="ED799" i="34" s="1" a="1"/>
  <c r="ED799" i="34" s="1"/>
  <c r="EB799" i="34"/>
  <c r="EE799" i="34" a="1"/>
  <c r="EE799" i="34"/>
  <c r="BS800" i="34"/>
  <c r="BT800" i="34"/>
  <c r="BV800" i="34" a="1"/>
  <c r="BV800" i="34"/>
  <c r="BW800" i="34" a="1"/>
  <c r="BW800" i="34" s="1"/>
  <c r="BY800" i="34"/>
  <c r="BZ800" i="34"/>
  <c r="CB800" i="34" a="1"/>
  <c r="CB800" i="34" s="1"/>
  <c r="CC800" i="34" a="1"/>
  <c r="CC800" i="34" s="1"/>
  <c r="CE800" i="34"/>
  <c r="CF800" i="34"/>
  <c r="CH800" i="34" a="1"/>
  <c r="CH800" i="34" s="1"/>
  <c r="CI800" i="34" a="1"/>
  <c r="CI800" i="34" s="1"/>
  <c r="CK800" i="34"/>
  <c r="CL800" i="34"/>
  <c r="CN800" i="34" a="1"/>
  <c r="CN800" i="34" s="1"/>
  <c r="CQ800" i="34" a="1"/>
  <c r="CQ800" i="34" s="1"/>
  <c r="CR800" i="34"/>
  <c r="CW800" i="34"/>
  <c r="CZ800" i="34" s="1" a="1"/>
  <c r="CZ800" i="34" s="1"/>
  <c r="CX800" i="34"/>
  <c r="DA800" i="34" a="1"/>
  <c r="DA800" i="34"/>
  <c r="DC800" i="34"/>
  <c r="DD800" i="34"/>
  <c r="DI800" i="34"/>
  <c r="DL800" i="34" s="1" a="1"/>
  <c r="DJ800" i="34"/>
  <c r="DL800" i="34"/>
  <c r="DM800" i="34" a="1"/>
  <c r="DM800" i="34" s="1"/>
  <c r="DO800" i="34"/>
  <c r="DP800" i="34"/>
  <c r="DU800" i="34"/>
  <c r="DV800" i="34"/>
  <c r="DX800" i="34" s="1" a="1"/>
  <c r="DX800" i="34" s="1"/>
  <c r="EA800" i="34"/>
  <c r="EB800" i="34"/>
  <c r="EE800" i="34" s="1" a="1"/>
  <c r="EE800" i="34" s="1"/>
  <c r="ED800" i="34" a="1"/>
  <c r="ED800" i="34" s="1"/>
  <c r="BS801" i="34"/>
  <c r="BW801" i="34" s="1" a="1"/>
  <c r="BW801" i="34" s="1"/>
  <c r="BT801" i="34"/>
  <c r="BY801" i="34"/>
  <c r="CB801" i="34" s="1" a="1"/>
  <c r="CB801" i="34" s="1"/>
  <c r="BZ801" i="34"/>
  <c r="CE801" i="34"/>
  <c r="CH801" i="34" s="1" a="1"/>
  <c r="CF801" i="34"/>
  <c r="CH801" i="34"/>
  <c r="CI801" i="34" a="1"/>
  <c r="CI801" i="34"/>
  <c r="CK801" i="34"/>
  <c r="CL801" i="34"/>
  <c r="CQ801" i="34" a="1"/>
  <c r="CQ801" i="34" s="1"/>
  <c r="CU801" i="34" s="1" a="1"/>
  <c r="CU801" i="34" s="1"/>
  <c r="CR801" i="34"/>
  <c r="CW801" i="34"/>
  <c r="CZ801" i="34" s="1" a="1"/>
  <c r="CX801" i="34"/>
  <c r="CZ801" i="34"/>
  <c r="DC801" i="34"/>
  <c r="DD801" i="34"/>
  <c r="DI801" i="34"/>
  <c r="DL801" i="34" s="1" a="1"/>
  <c r="DL801" i="34" s="1"/>
  <c r="DJ801" i="34"/>
  <c r="DO801" i="34"/>
  <c r="DS801" i="34" s="1" a="1"/>
  <c r="DS801" i="34" s="1"/>
  <c r="DP801" i="34"/>
  <c r="DU801" i="34"/>
  <c r="DX801" i="34" s="1" a="1"/>
  <c r="DX801" i="34" s="1"/>
  <c r="DV801" i="34"/>
  <c r="DY801" i="34" a="1"/>
  <c r="DY801" i="34"/>
  <c r="EA801" i="34"/>
  <c r="EB801" i="34"/>
  <c r="ED801" i="34" a="1"/>
  <c r="ED801" i="34" s="1"/>
  <c r="EE801" i="34" a="1"/>
  <c r="EE801" i="34"/>
  <c r="BS802" i="34"/>
  <c r="BT802" i="34"/>
  <c r="BV802" i="34" a="1"/>
  <c r="BV802" i="34" s="1"/>
  <c r="BW802" i="34" a="1"/>
  <c r="BW802" i="34" s="1"/>
  <c r="BY802" i="34"/>
  <c r="BZ802" i="34"/>
  <c r="CB802" i="34" a="1"/>
  <c r="CB802" i="34" s="1"/>
  <c r="CC802" i="34" a="1"/>
  <c r="CC802" i="34" s="1"/>
  <c r="CE802" i="34"/>
  <c r="CH802" i="34" s="1" a="1"/>
  <c r="CF802" i="34"/>
  <c r="CH802" i="34"/>
  <c r="CK802" i="34"/>
  <c r="CL802" i="34"/>
  <c r="CQ802" i="34" a="1"/>
  <c r="CQ802" i="34" s="1"/>
  <c r="CR802" i="34"/>
  <c r="CW802" i="34"/>
  <c r="CX802" i="34"/>
  <c r="DC802" i="34"/>
  <c r="DF802" i="34" s="1" a="1"/>
  <c r="DD802" i="34"/>
  <c r="DF802" i="34"/>
  <c r="DG802" i="34" a="1"/>
  <c r="DG802" i="34" s="1"/>
  <c r="DI802" i="34"/>
  <c r="DJ802" i="34"/>
  <c r="DL802" i="34" s="1" a="1"/>
  <c r="DL802" i="34" s="1"/>
  <c r="DM802" i="34" a="1"/>
  <c r="DM802" i="34" s="1"/>
  <c r="DO802" i="34"/>
  <c r="DP802" i="34"/>
  <c r="DR802" i="34" s="1" a="1"/>
  <c r="DR802" i="34" s="1"/>
  <c r="DU802" i="34"/>
  <c r="DY802" i="34" s="1" a="1"/>
  <c r="DY802" i="34" s="1"/>
  <c r="DV802" i="34"/>
  <c r="DX802" i="34" s="1" a="1"/>
  <c r="DX802" i="34" s="1"/>
  <c r="EA802" i="34"/>
  <c r="EB802" i="34"/>
  <c r="ED802" i="34" a="1"/>
  <c r="ED802" i="34" s="1"/>
  <c r="BS803" i="34"/>
  <c r="BV803" i="34" s="1" a="1"/>
  <c r="BV803" i="34" s="1"/>
  <c r="BT803" i="34"/>
  <c r="BY803" i="34"/>
  <c r="CB803" i="34" s="1" a="1"/>
  <c r="BZ803" i="34"/>
  <c r="CB803" i="34"/>
  <c r="CC803" i="34" a="1"/>
  <c r="CC803" i="34"/>
  <c r="CE803" i="34"/>
  <c r="CF803" i="34"/>
  <c r="CK803" i="34"/>
  <c r="CN803" i="34" s="1" a="1"/>
  <c r="CN803" i="34" s="1"/>
  <c r="CL803" i="34"/>
  <c r="CO803" i="34" a="1"/>
  <c r="CO803" i="34" s="1"/>
  <c r="CQ803" i="34" a="1"/>
  <c r="CQ803" i="34"/>
  <c r="CR803" i="34"/>
  <c r="CW803" i="34"/>
  <c r="CX803" i="34"/>
  <c r="DC803" i="34"/>
  <c r="DD803" i="34"/>
  <c r="DG803" i="34" a="1"/>
  <c r="DG803" i="34" s="1"/>
  <c r="DI803" i="34"/>
  <c r="DL803" i="34" s="1" a="1"/>
  <c r="DL803" i="34" s="1"/>
  <c r="DJ803" i="34"/>
  <c r="DO803" i="34"/>
  <c r="DR803" i="34" s="1" a="1"/>
  <c r="DR803" i="34" s="1"/>
  <c r="DP803" i="34"/>
  <c r="DS803" i="34" a="1"/>
  <c r="DS803" i="34" s="1"/>
  <c r="DU803" i="34"/>
  <c r="DV803" i="34"/>
  <c r="DX803" i="34" a="1"/>
  <c r="DX803" i="34"/>
  <c r="DY803" i="34" a="1"/>
  <c r="DY803" i="34"/>
  <c r="EA803" i="34"/>
  <c r="EB803" i="34"/>
  <c r="ED803" i="34" a="1"/>
  <c r="ED803" i="34" s="1"/>
  <c r="EE803" i="34" a="1"/>
  <c r="EE803" i="34" s="1"/>
  <c r="BS804" i="34"/>
  <c r="BT804" i="34"/>
  <c r="BV804" i="34" a="1"/>
  <c r="BV804" i="34"/>
  <c r="BW804" i="34" a="1"/>
  <c r="BW804" i="34" s="1"/>
  <c r="BY804" i="34"/>
  <c r="BZ804" i="34"/>
  <c r="CE804" i="34"/>
  <c r="CF804" i="34"/>
  <c r="CK804" i="34"/>
  <c r="CL804" i="34"/>
  <c r="CO804" i="34" a="1"/>
  <c r="CO804" i="34" s="1"/>
  <c r="CQ804" i="34" a="1"/>
  <c r="CQ804" i="34" s="1"/>
  <c r="CR804" i="34"/>
  <c r="CW804" i="34"/>
  <c r="CZ804" i="34" s="1" a="1"/>
  <c r="CZ804" i="34" s="1"/>
  <c r="CX804" i="34"/>
  <c r="DA804" i="34" a="1"/>
  <c r="DA804" i="34" s="1"/>
  <c r="DC804" i="34"/>
  <c r="DD804" i="34"/>
  <c r="DF804" i="34" a="1"/>
  <c r="DF804" i="34" s="1"/>
  <c r="DG804" i="34" a="1"/>
  <c r="DG804" i="34" s="1"/>
  <c r="DI804" i="34"/>
  <c r="DJ804" i="34"/>
  <c r="DL804" i="34" s="1" a="1"/>
  <c r="DL804" i="34" s="1"/>
  <c r="DO804" i="34"/>
  <c r="DS804" i="34" s="1" a="1"/>
  <c r="DS804" i="34" s="1"/>
  <c r="DP804" i="34"/>
  <c r="DR804" i="34" s="1" a="1"/>
  <c r="DR804" i="34" s="1"/>
  <c r="DU804" i="34"/>
  <c r="DX804" i="34" s="1" a="1"/>
  <c r="DX804" i="34" s="1"/>
  <c r="DV804" i="34"/>
  <c r="EA804" i="34"/>
  <c r="EB804" i="34"/>
  <c r="BS805" i="34"/>
  <c r="BV805" i="34" s="1" a="1"/>
  <c r="BT805" i="34"/>
  <c r="BV805" i="34"/>
  <c r="BW805" i="34" a="1"/>
  <c r="BW805" i="34" s="1"/>
  <c r="BY805" i="34"/>
  <c r="CB805" i="34" s="1" a="1"/>
  <c r="CB805" i="34" s="1"/>
  <c r="BZ805" i="34"/>
  <c r="CE805" i="34"/>
  <c r="CF805" i="34"/>
  <c r="CH805" i="34" a="1"/>
  <c r="CH805" i="34"/>
  <c r="CI805" i="34" a="1"/>
  <c r="CI805" i="34" s="1"/>
  <c r="CK805" i="34"/>
  <c r="CL805" i="34"/>
  <c r="CN805" i="34" s="1" a="1"/>
  <c r="CN805" i="34" s="1"/>
  <c r="CQ805" i="34" a="1"/>
  <c r="CQ805" i="34"/>
  <c r="CR805" i="34"/>
  <c r="CW805" i="34"/>
  <c r="CZ805" i="34" s="1" a="1"/>
  <c r="CZ805" i="34" s="1"/>
  <c r="CX805" i="34"/>
  <c r="DC805" i="34"/>
  <c r="DF805" i="34" s="1" a="1"/>
  <c r="DF805" i="34" s="1"/>
  <c r="DD805" i="34"/>
  <c r="DG805" i="34" a="1"/>
  <c r="DG805" i="34" s="1"/>
  <c r="DI805" i="34"/>
  <c r="DL805" i="34" s="1" a="1"/>
  <c r="DL805" i="34" s="1"/>
  <c r="DJ805" i="34"/>
  <c r="DM805" i="34" a="1"/>
  <c r="DM805" i="34"/>
  <c r="DO805" i="34"/>
  <c r="DP805" i="34"/>
  <c r="DR805" i="34" a="1"/>
  <c r="DR805" i="34" s="1"/>
  <c r="DS805" i="34" a="1"/>
  <c r="DS805" i="34" s="1"/>
  <c r="DU805" i="34"/>
  <c r="DV805" i="34"/>
  <c r="DX805" i="34" a="1"/>
  <c r="DX805" i="34" s="1"/>
  <c r="DY805" i="34" a="1"/>
  <c r="DY805" i="34" s="1"/>
  <c r="EA805" i="34"/>
  <c r="EB805" i="34"/>
  <c r="ED805" i="34" a="1"/>
  <c r="ED805" i="34" s="1"/>
  <c r="EE805" i="34" a="1"/>
  <c r="EE805" i="34" s="1"/>
  <c r="BS806" i="34"/>
  <c r="BT806" i="34"/>
  <c r="BV806" i="34" s="1" a="1"/>
  <c r="BV806" i="34" s="1"/>
  <c r="BY806" i="34"/>
  <c r="BZ806" i="34"/>
  <c r="CE806" i="34"/>
  <c r="CF806" i="34"/>
  <c r="CI806" i="34" a="1"/>
  <c r="CI806" i="34" s="1"/>
  <c r="CK806" i="34"/>
  <c r="CL806" i="34"/>
  <c r="CQ806" i="34" a="1"/>
  <c r="CQ806" i="34" s="1"/>
  <c r="CT806" i="34" s="1" a="1"/>
  <c r="CR806" i="34"/>
  <c r="CT806" i="34"/>
  <c r="CU806" i="34" a="1"/>
  <c r="CU806" i="34" s="1"/>
  <c r="CW806" i="34"/>
  <c r="CX806" i="34"/>
  <c r="CZ806" i="34" s="1" a="1"/>
  <c r="CZ806" i="34" s="1"/>
  <c r="DC806" i="34"/>
  <c r="DD806" i="34"/>
  <c r="DF806" i="34" s="1" a="1"/>
  <c r="DF806" i="34"/>
  <c r="DI806" i="34"/>
  <c r="DM806" i="34" s="1" a="1"/>
  <c r="DJ806" i="34"/>
  <c r="DL806" i="34" a="1"/>
  <c r="DL806" i="34" s="1"/>
  <c r="DM806" i="34"/>
  <c r="DO806" i="34"/>
  <c r="DP806" i="34"/>
  <c r="DR806" i="34" a="1"/>
  <c r="DR806" i="34" s="1"/>
  <c r="DU806" i="34"/>
  <c r="DV806" i="34"/>
  <c r="EA806" i="34"/>
  <c r="ED806" i="34" s="1" a="1"/>
  <c r="EB806" i="34"/>
  <c r="ED806" i="34"/>
  <c r="BS807" i="34"/>
  <c r="BV807" i="34" s="1" a="1"/>
  <c r="BT807" i="34"/>
  <c r="BV807" i="34"/>
  <c r="BW807" i="34" a="1"/>
  <c r="BW807" i="34"/>
  <c r="BY807" i="34"/>
  <c r="CB807" i="34" s="1" a="1"/>
  <c r="BZ807" i="34"/>
  <c r="CB807" i="34"/>
  <c r="CC807" i="34" a="1"/>
  <c r="CC807" i="34" s="1"/>
  <c r="CE807" i="34"/>
  <c r="CF807" i="34"/>
  <c r="CH807" i="34" a="1"/>
  <c r="CH807" i="34"/>
  <c r="CI807" i="34" a="1"/>
  <c r="CI807" i="34" s="1"/>
  <c r="CK807" i="34"/>
  <c r="CL807" i="34"/>
  <c r="CN807" i="34" s="1" a="1"/>
  <c r="CN807" i="34" s="1"/>
  <c r="CQ807" i="34" a="1"/>
  <c r="CQ807" i="34"/>
  <c r="CR807" i="34"/>
  <c r="CU807" i="34" a="1"/>
  <c r="CU807" i="34"/>
  <c r="CW807" i="34"/>
  <c r="DA807" i="34" s="1" a="1"/>
  <c r="DA807" i="34" s="1"/>
  <c r="CX807" i="34"/>
  <c r="DC807" i="34"/>
  <c r="DF807" i="34" s="1" a="1"/>
  <c r="DF807" i="34" s="1"/>
  <c r="DD807" i="34"/>
  <c r="DG807" i="34" a="1"/>
  <c r="DG807" i="34" s="1"/>
  <c r="DI807" i="34"/>
  <c r="DJ807" i="34"/>
  <c r="DL807" i="34" a="1"/>
  <c r="DL807" i="34"/>
  <c r="DM807" i="34" a="1"/>
  <c r="DM807" i="34"/>
  <c r="DO807" i="34"/>
  <c r="DP807" i="34"/>
  <c r="DR807" i="34" a="1"/>
  <c r="DR807" i="34" s="1"/>
  <c r="DS807" i="34" a="1"/>
  <c r="DS807" i="34" s="1"/>
  <c r="DU807" i="34"/>
  <c r="DV807" i="34"/>
  <c r="DX807" i="34" a="1"/>
  <c r="DX807" i="34"/>
  <c r="DY807" i="34" a="1"/>
  <c r="DY807" i="34" s="1"/>
  <c r="EA807" i="34"/>
  <c r="EB807" i="34"/>
  <c r="BS808" i="34"/>
  <c r="BT808" i="34"/>
  <c r="BV808" i="34" a="1"/>
  <c r="BV808" i="34" s="1"/>
  <c r="BY808" i="34"/>
  <c r="CB808" i="34" s="1" a="1"/>
  <c r="CB808" i="34" s="1"/>
  <c r="BZ808" i="34"/>
  <c r="CE808" i="34"/>
  <c r="CF808" i="34"/>
  <c r="CI808" i="34" a="1"/>
  <c r="CI808" i="34" s="1"/>
  <c r="CK808" i="34"/>
  <c r="CL808" i="34"/>
  <c r="CQ808" i="34" a="1"/>
  <c r="CQ808" i="34" s="1"/>
  <c r="CR808" i="34"/>
  <c r="CT808" i="34" a="1"/>
  <c r="CT808" i="34"/>
  <c r="CU808" i="34" a="1"/>
  <c r="CU808" i="34" s="1"/>
  <c r="CW808" i="34"/>
  <c r="DA808" i="34" s="1" a="1"/>
  <c r="DA808" i="34" s="1"/>
  <c r="CX808" i="34"/>
  <c r="CZ808" i="34" s="1" a="1"/>
  <c r="CZ808" i="34" s="1"/>
  <c r="DC808" i="34"/>
  <c r="DD808" i="34"/>
  <c r="DF808" i="34" s="1" a="1"/>
  <c r="DF808" i="34" s="1"/>
  <c r="DI808" i="34"/>
  <c r="DJ808" i="34"/>
  <c r="DL808" i="34" s="1" a="1"/>
  <c r="DL808" i="34" s="1"/>
  <c r="DO808" i="34"/>
  <c r="DP808" i="34"/>
  <c r="DU808" i="34"/>
  <c r="DY808" i="34" s="1" a="1"/>
  <c r="DY808" i="34" s="1"/>
  <c r="DV808" i="34"/>
  <c r="EA808" i="34"/>
  <c r="ED808" i="34" s="1" a="1"/>
  <c r="EB808" i="34"/>
  <c r="ED808" i="34"/>
  <c r="BS809" i="34"/>
  <c r="BV809" i="34" s="1" a="1"/>
  <c r="BV809" i="34" s="1"/>
  <c r="BT809" i="34"/>
  <c r="BW809" i="34" a="1"/>
  <c r="BW809" i="34"/>
  <c r="BY809" i="34"/>
  <c r="BZ809" i="34"/>
  <c r="CC809" i="34" s="1" a="1"/>
  <c r="CC809" i="34" s="1"/>
  <c r="CB809" i="34" a="1"/>
  <c r="CB809" i="34" s="1"/>
  <c r="CE809" i="34"/>
  <c r="CF809" i="34"/>
  <c r="CH809" i="34" s="1" a="1"/>
  <c r="CH809" i="34" s="1"/>
  <c r="CK809" i="34"/>
  <c r="CL809" i="34"/>
  <c r="CO809" i="34" s="1" a="1"/>
  <c r="CN809" i="34" a="1"/>
  <c r="CN809" i="34" s="1"/>
  <c r="CO809" i="34"/>
  <c r="CQ809" i="34" a="1"/>
  <c r="CQ809" i="34"/>
  <c r="CR809" i="34"/>
  <c r="CU809" i="34" s="1" a="1"/>
  <c r="CU809" i="34" s="1"/>
  <c r="CW809" i="34"/>
  <c r="CZ809" i="34" s="1" a="1"/>
  <c r="CZ809" i="34" s="1"/>
  <c r="CX809" i="34"/>
  <c r="DA809" i="34" a="1"/>
  <c r="DA809" i="34"/>
  <c r="DC809" i="34"/>
  <c r="DF809" i="34" s="1" a="1"/>
  <c r="DF809" i="34" s="1"/>
  <c r="DD809" i="34"/>
  <c r="DG809" i="34" a="1"/>
  <c r="DG809" i="34" s="1"/>
  <c r="DI809" i="34"/>
  <c r="DJ809" i="34"/>
  <c r="DL809" i="34" a="1"/>
  <c r="DL809" i="34" s="1"/>
  <c r="DM809" i="34" a="1"/>
  <c r="DM809" i="34" s="1"/>
  <c r="DO809" i="34"/>
  <c r="DP809" i="34"/>
  <c r="DR809" i="34" a="1"/>
  <c r="DR809" i="34"/>
  <c r="DS809" i="34" a="1"/>
  <c r="DS809" i="34" s="1"/>
  <c r="DU809" i="34"/>
  <c r="DX809" i="34" s="1" a="1"/>
  <c r="DX809" i="34" s="1"/>
  <c r="DV809" i="34"/>
  <c r="EA809" i="34"/>
  <c r="EE809" i="34" s="1" a="1"/>
  <c r="EE809" i="34" s="1"/>
  <c r="EB809" i="34"/>
  <c r="BS810" i="34"/>
  <c r="BT810" i="34"/>
  <c r="BV810" i="34" s="1" a="1"/>
  <c r="BV810" i="34" s="1"/>
  <c r="BY810" i="34"/>
  <c r="BZ810" i="34"/>
  <c r="CC810" i="34" a="1"/>
  <c r="CC810" i="34"/>
  <c r="CE810" i="34"/>
  <c r="CH810" i="34" s="1" a="1"/>
  <c r="CH810" i="34" s="1"/>
  <c r="CF810" i="34"/>
  <c r="CK810" i="34"/>
  <c r="CN810" i="34" s="1" a="1"/>
  <c r="CN810" i="34" s="1"/>
  <c r="CL810" i="34"/>
  <c r="CO810" i="34" a="1"/>
  <c r="CO810" i="34" s="1"/>
  <c r="CQ810" i="34" a="1"/>
  <c r="CQ810" i="34"/>
  <c r="CU810" i="34" s="1" a="1"/>
  <c r="CU810" i="34" s="1"/>
  <c r="CR810" i="34"/>
  <c r="CT810" i="34" a="1"/>
  <c r="CT810" i="34"/>
  <c r="CW810" i="34"/>
  <c r="CX810" i="34"/>
  <c r="DA810" i="34" s="1" a="1"/>
  <c r="DA810" i="34" s="1"/>
  <c r="CZ810" i="34" a="1"/>
  <c r="CZ810" i="34" s="1"/>
  <c r="DC810" i="34"/>
  <c r="DG810" i="34" s="1" a="1"/>
  <c r="DG810" i="34" s="1"/>
  <c r="DD810" i="34"/>
  <c r="DI810" i="34"/>
  <c r="DJ810" i="34"/>
  <c r="DO810" i="34"/>
  <c r="DR810" i="34" s="1" a="1"/>
  <c r="DR810" i="34" s="1"/>
  <c r="DP810" i="34"/>
  <c r="DU810" i="34"/>
  <c r="DX810" i="34" s="1" a="1"/>
  <c r="DX810" i="34" s="1"/>
  <c r="DV810" i="34"/>
  <c r="EA810" i="34"/>
  <c r="ED810" i="34" s="1" a="1"/>
  <c r="EB810" i="34"/>
  <c r="ED810" i="34"/>
  <c r="EE810" i="34" a="1"/>
  <c r="EE810" i="34" s="1"/>
  <c r="BS811" i="34"/>
  <c r="BT811" i="34"/>
  <c r="BV811" i="34" s="1" a="1"/>
  <c r="BV811" i="34" s="1"/>
  <c r="BY811" i="34"/>
  <c r="CC811" i="34" s="1" a="1"/>
  <c r="CC811" i="34" s="1"/>
  <c r="BZ811" i="34"/>
  <c r="CB811" i="34" a="1"/>
  <c r="CB811" i="34" s="1"/>
  <c r="CE811" i="34"/>
  <c r="CF811" i="34"/>
  <c r="CI811" i="34" s="1" a="1"/>
  <c r="CI811" i="34" s="1"/>
  <c r="CK811" i="34"/>
  <c r="CO811" i="34" s="1" a="1"/>
  <c r="CO811" i="34" s="1"/>
  <c r="CL811" i="34"/>
  <c r="CQ811" i="34" a="1"/>
  <c r="CQ811" i="34"/>
  <c r="CT811" i="34" s="1" a="1"/>
  <c r="CT811" i="34" s="1"/>
  <c r="CR811" i="34"/>
  <c r="CU811" i="34" a="1"/>
  <c r="CU811" i="34" s="1"/>
  <c r="CW811" i="34"/>
  <c r="CX811" i="34"/>
  <c r="DC811" i="34"/>
  <c r="DD811" i="34"/>
  <c r="DF811" i="34" a="1"/>
  <c r="DF811" i="34" s="1"/>
  <c r="DG811" i="34" a="1"/>
  <c r="DG811" i="34" s="1"/>
  <c r="DI811" i="34"/>
  <c r="DJ811" i="34"/>
  <c r="DL811" i="34" a="1"/>
  <c r="DL811" i="34"/>
  <c r="DM811" i="34" a="1"/>
  <c r="DM811" i="34" s="1"/>
  <c r="DO811" i="34"/>
  <c r="DP811" i="34"/>
  <c r="DU811" i="34"/>
  <c r="DY811" i="34" s="1" a="1"/>
  <c r="DY811" i="34" s="1"/>
  <c r="DV811" i="34"/>
  <c r="DX811" i="34" a="1"/>
  <c r="DX811" i="34" s="1"/>
  <c r="EA811" i="34"/>
  <c r="ED811" i="34" s="1" a="1"/>
  <c r="ED811" i="34" s="1"/>
  <c r="EB811" i="34"/>
  <c r="BS812" i="34"/>
  <c r="BT812" i="34"/>
  <c r="BW812" i="34" a="1"/>
  <c r="BW812" i="34" s="1"/>
  <c r="BY812" i="34"/>
  <c r="BZ812" i="34"/>
  <c r="CE812" i="34"/>
  <c r="CF812" i="34"/>
  <c r="CH812" i="34" a="1"/>
  <c r="CH812" i="34"/>
  <c r="CI812" i="34" a="1"/>
  <c r="CI812" i="34" s="1"/>
  <c r="CK812" i="34"/>
  <c r="CL812" i="34"/>
  <c r="CN812" i="34" a="1"/>
  <c r="CN812" i="34"/>
  <c r="CO812" i="34" a="1"/>
  <c r="CO812" i="34" s="1"/>
  <c r="CQ812" i="34" a="1"/>
  <c r="CQ812" i="34" s="1"/>
  <c r="CR812" i="34"/>
  <c r="CW812" i="34"/>
  <c r="DA812" i="34" s="1" a="1"/>
  <c r="CX812" i="34"/>
  <c r="CZ812" i="34" a="1"/>
  <c r="CZ812" i="34" s="1"/>
  <c r="DA812" i="34"/>
  <c r="DC812" i="34"/>
  <c r="DD812" i="34"/>
  <c r="DI812" i="34"/>
  <c r="DJ812" i="34"/>
  <c r="DM812" i="34" a="1"/>
  <c r="DM812" i="34" s="1"/>
  <c r="DO812" i="34"/>
  <c r="DP812" i="34"/>
  <c r="DU812" i="34"/>
  <c r="DX812" i="34" s="1" a="1"/>
  <c r="DV812" i="34"/>
  <c r="DX812" i="34"/>
  <c r="DY812" i="34" a="1"/>
  <c r="DY812" i="34" s="1"/>
  <c r="EA812" i="34"/>
  <c r="EB812" i="34"/>
  <c r="ED812" i="34" a="1"/>
  <c r="ED812" i="34"/>
  <c r="EE812" i="34" a="1"/>
  <c r="EE812" i="34" s="1"/>
  <c r="BS813" i="34"/>
  <c r="BT813" i="34"/>
  <c r="BV813" i="34" s="1" a="1"/>
  <c r="BV813" i="34" s="1"/>
  <c r="BY813" i="34"/>
  <c r="BZ813" i="34"/>
  <c r="CC813" i="34" s="1" a="1"/>
  <c r="CC813" i="34"/>
  <c r="CE813" i="34"/>
  <c r="CI813" i="34" s="1" a="1"/>
  <c r="CI813" i="34" s="1"/>
  <c r="CF813" i="34"/>
  <c r="CK813" i="34"/>
  <c r="CL813" i="34"/>
  <c r="CQ813" i="34" a="1"/>
  <c r="CQ813" i="34"/>
  <c r="CR813" i="34"/>
  <c r="CW813" i="34"/>
  <c r="CX813" i="34"/>
  <c r="CZ813" i="34" a="1"/>
  <c r="CZ813" i="34" s="1"/>
  <c r="DA813" i="34" a="1"/>
  <c r="DA813" i="34" s="1"/>
  <c r="DC813" i="34"/>
  <c r="DD813" i="34"/>
  <c r="DF813" i="34" a="1"/>
  <c r="DF813" i="34"/>
  <c r="DG813" i="34" a="1"/>
  <c r="DG813" i="34" s="1"/>
  <c r="DI813" i="34"/>
  <c r="DJ813" i="34"/>
  <c r="DO813" i="34"/>
  <c r="DP813" i="34"/>
  <c r="DR813" i="34" a="1"/>
  <c r="DR813" i="34" s="1"/>
  <c r="DU813" i="34"/>
  <c r="DX813" i="34" s="1" a="1"/>
  <c r="DX813" i="34" s="1"/>
  <c r="DV813" i="34"/>
  <c r="EA813" i="34"/>
  <c r="EB813" i="34"/>
  <c r="EE813" i="34" a="1"/>
  <c r="EE813" i="34" s="1"/>
  <c r="BS814" i="34"/>
  <c r="BV814" i="34" s="1" a="1"/>
  <c r="BV814" i="34" s="1"/>
  <c r="BT814" i="34"/>
  <c r="BW814" i="34" a="1"/>
  <c r="BW814" i="34" s="1"/>
  <c r="BY814" i="34"/>
  <c r="BZ814" i="34"/>
  <c r="CB814" i="34" a="1"/>
  <c r="CB814" i="34" s="1"/>
  <c r="CC814" i="34" a="1"/>
  <c r="CC814" i="34" s="1"/>
  <c r="CE814" i="34"/>
  <c r="CF814" i="34"/>
  <c r="CH814" i="34" a="1"/>
  <c r="CH814" i="34" s="1"/>
  <c r="CI814" i="34" a="1"/>
  <c r="CI814" i="34" s="1"/>
  <c r="CK814" i="34"/>
  <c r="CL814" i="34"/>
  <c r="CN814" i="34" a="1"/>
  <c r="CN814" i="34" s="1"/>
  <c r="CO814" i="34" a="1"/>
  <c r="CO814" i="34"/>
  <c r="CQ814" i="34" a="1"/>
  <c r="CQ814" i="34"/>
  <c r="CT814" i="34" s="1" a="1"/>
  <c r="CT814" i="34" s="1"/>
  <c r="CR814" i="34"/>
  <c r="CW814" i="34"/>
  <c r="DA814" i="34" s="1" a="1"/>
  <c r="DA814" i="34" s="1"/>
  <c r="CX814" i="34"/>
  <c r="CZ814" i="34" a="1"/>
  <c r="CZ814" i="34" s="1"/>
  <c r="DC814" i="34"/>
  <c r="DD814" i="34"/>
  <c r="DF814" i="34" a="1"/>
  <c r="DF814" i="34"/>
  <c r="DG814" i="34" a="1"/>
  <c r="DG814" i="34" s="1"/>
  <c r="DI814" i="34"/>
  <c r="DL814" i="34" s="1" a="1"/>
  <c r="DL814" i="34" s="1"/>
  <c r="DJ814" i="34"/>
  <c r="DM814" i="34" a="1"/>
  <c r="DM814" i="34" s="1"/>
  <c r="DO814" i="34"/>
  <c r="DP814" i="34"/>
  <c r="DU814" i="34"/>
  <c r="DV814" i="34"/>
  <c r="DX814" i="34" a="1"/>
  <c r="DX814" i="34" s="1"/>
  <c r="DY814" i="34" a="1"/>
  <c r="DY814" i="34" s="1"/>
  <c r="EA814" i="34"/>
  <c r="EB814" i="34"/>
  <c r="ED814" i="34" a="1"/>
  <c r="ED814" i="34" s="1"/>
  <c r="EE814" i="34" a="1"/>
  <c r="EE814" i="34" s="1"/>
  <c r="BS815" i="34"/>
  <c r="BT815" i="34"/>
  <c r="BV815" i="34" s="1" a="1"/>
  <c r="BV815" i="34" s="1"/>
  <c r="BY815" i="34"/>
  <c r="CB815" i="34" s="1" a="1"/>
  <c r="CB815" i="34" s="1"/>
  <c r="BZ815" i="34"/>
  <c r="CE815" i="34"/>
  <c r="CI815" i="34" s="1" a="1"/>
  <c r="CI815" i="34" s="1"/>
  <c r="CF815" i="34"/>
  <c r="CH815" i="34" a="1"/>
  <c r="CH815" i="34" s="1"/>
  <c r="CK815" i="34"/>
  <c r="CL815" i="34"/>
  <c r="CN815" i="34" a="1"/>
  <c r="CN815" i="34"/>
  <c r="CO815" i="34" a="1"/>
  <c r="CO815" i="34" s="1"/>
  <c r="CQ815" i="34" a="1"/>
  <c r="CQ815" i="34" s="1"/>
  <c r="CR815" i="34"/>
  <c r="CW815" i="34"/>
  <c r="CX815" i="34"/>
  <c r="CZ815" i="34" a="1"/>
  <c r="CZ815" i="34" s="1"/>
  <c r="DA815" i="34" a="1"/>
  <c r="DA815" i="34"/>
  <c r="DC815" i="34"/>
  <c r="DF815" i="34" s="1" a="1"/>
  <c r="DF815" i="34" s="1"/>
  <c r="DD815" i="34"/>
  <c r="DI815" i="34"/>
  <c r="DL815" i="34" s="1" a="1"/>
  <c r="DL815" i="34" s="1"/>
  <c r="DJ815" i="34"/>
  <c r="DO815" i="34"/>
  <c r="DR815" i="34" s="1" a="1"/>
  <c r="DR815" i="34" s="1"/>
  <c r="DP815" i="34"/>
  <c r="DS815" i="34" a="1"/>
  <c r="DS815" i="34"/>
  <c r="DU815" i="34"/>
  <c r="DX815" i="34" s="1" a="1"/>
  <c r="DX815" i="34" s="1"/>
  <c r="DV815" i="34"/>
  <c r="EA815" i="34"/>
  <c r="ED815" i="34" s="1" a="1"/>
  <c r="ED815" i="34" s="1"/>
  <c r="EB815" i="34"/>
  <c r="EE815" i="34" s="1" a="1"/>
  <c r="EE815" i="34" s="1"/>
  <c r="BS816" i="34"/>
  <c r="BT816" i="34"/>
  <c r="BV816" i="34" a="1"/>
  <c r="BV816" i="34"/>
  <c r="BW816" i="34" a="1"/>
  <c r="BW816" i="34"/>
  <c r="BY816" i="34"/>
  <c r="BZ816" i="34"/>
  <c r="CC816" i="34" s="1" a="1"/>
  <c r="CC816" i="34" s="1"/>
  <c r="CB816" i="34" a="1"/>
  <c r="CB816" i="34"/>
  <c r="CE816" i="34"/>
  <c r="CF816" i="34"/>
  <c r="CH816" i="34" a="1"/>
  <c r="CH816" i="34" s="1"/>
  <c r="CI816" i="34" a="1"/>
  <c r="CI816" i="34"/>
  <c r="CK816" i="34"/>
  <c r="CN816" i="34" s="1" a="1"/>
  <c r="CN816" i="34" s="1"/>
  <c r="CL816" i="34"/>
  <c r="CQ816" i="34" a="1"/>
  <c r="CQ816" i="34"/>
  <c r="CU816" i="34" s="1" a="1"/>
  <c r="CU816" i="34" s="1"/>
  <c r="CR816" i="34"/>
  <c r="CT816" i="34" a="1"/>
  <c r="CT816" i="34" s="1"/>
  <c r="CW816" i="34"/>
  <c r="CX816" i="34"/>
  <c r="CZ816" i="34" a="1"/>
  <c r="CZ816" i="34"/>
  <c r="DA816" i="34" a="1"/>
  <c r="DA816" i="34" s="1"/>
  <c r="DC816" i="34"/>
  <c r="DF816" i="34" s="1" a="1"/>
  <c r="DF816" i="34" s="1"/>
  <c r="DD816" i="34"/>
  <c r="DG816" i="34" a="1"/>
  <c r="DG816" i="34" s="1"/>
  <c r="DI816" i="34"/>
  <c r="DJ816" i="34"/>
  <c r="DO816" i="34"/>
  <c r="DP816" i="34"/>
  <c r="DS816" i="34" s="1" a="1"/>
  <c r="DS816" i="34" s="1"/>
  <c r="DR816" i="34" a="1"/>
  <c r="DR816" i="34" s="1"/>
  <c r="DU816" i="34"/>
  <c r="DV816" i="34"/>
  <c r="DX816" i="34" a="1"/>
  <c r="DX816" i="34" s="1"/>
  <c r="DY816" i="34" a="1"/>
  <c r="DY816" i="34" s="1"/>
  <c r="EA816" i="34"/>
  <c r="EB816" i="34"/>
  <c r="ED816" i="34" s="1" a="1"/>
  <c r="ED816" i="34" s="1"/>
  <c r="BS817" i="34"/>
  <c r="BV817" i="34" s="1" a="1"/>
  <c r="BV817" i="34" s="1"/>
  <c r="BT817" i="34"/>
  <c r="BY817" i="34"/>
  <c r="CC817" i="34" s="1" a="1"/>
  <c r="CC817" i="34" s="1"/>
  <c r="BZ817" i="34"/>
  <c r="CB817" i="34" a="1"/>
  <c r="CB817" i="34" s="1"/>
  <c r="CE817" i="34"/>
  <c r="CF817" i="34"/>
  <c r="CH817" i="34" a="1"/>
  <c r="CH817" i="34"/>
  <c r="CI817" i="34" a="1"/>
  <c r="CI817" i="34" s="1"/>
  <c r="CK817" i="34"/>
  <c r="CN817" i="34" s="1" a="1"/>
  <c r="CN817" i="34" s="1"/>
  <c r="CL817" i="34"/>
  <c r="CO817" i="34" a="1"/>
  <c r="CO817" i="34" s="1"/>
  <c r="CQ817" i="34" a="1"/>
  <c r="CQ817" i="34" s="1"/>
  <c r="CR817" i="34"/>
  <c r="CW817" i="34"/>
  <c r="CZ817" i="34" s="1" a="1"/>
  <c r="CZ817" i="34" s="1"/>
  <c r="CX817" i="34"/>
  <c r="DC817" i="34"/>
  <c r="DF817" i="34" s="1" a="1"/>
  <c r="DD817" i="34"/>
  <c r="DF817" i="34"/>
  <c r="DI817" i="34"/>
  <c r="DL817" i="34" s="1" a="1"/>
  <c r="DL817" i="34" s="1"/>
  <c r="DJ817" i="34"/>
  <c r="DM817" i="34" a="1"/>
  <c r="DM817" i="34"/>
  <c r="DO817" i="34"/>
  <c r="DR817" i="34" s="1" a="1"/>
  <c r="DR817" i="34" s="1"/>
  <c r="DP817" i="34"/>
  <c r="DU817" i="34"/>
  <c r="DX817" i="34" s="1" a="1"/>
  <c r="DX817" i="34" s="1"/>
  <c r="DV817" i="34"/>
  <c r="DY817" i="34" s="1" a="1"/>
  <c r="DY817" i="34" s="1"/>
  <c r="EA817" i="34"/>
  <c r="EB817" i="34"/>
  <c r="ED817" i="34" a="1"/>
  <c r="ED817" i="34"/>
  <c r="EE817" i="34" a="1"/>
  <c r="EE817" i="34"/>
  <c r="BS818" i="34"/>
  <c r="BT818" i="34"/>
  <c r="BW818" i="34" s="1" a="1"/>
  <c r="BV818" i="34" a="1"/>
  <c r="BV818" i="34"/>
  <c r="BW818" i="34"/>
  <c r="BY818" i="34"/>
  <c r="BZ818" i="34"/>
  <c r="CB818" i="34" a="1"/>
  <c r="CB818" i="34" s="1"/>
  <c r="CC818" i="34" a="1"/>
  <c r="CC818" i="34"/>
  <c r="CE818" i="34"/>
  <c r="CH818" i="34" s="1" a="1"/>
  <c r="CH818" i="34" s="1"/>
  <c r="CF818" i="34"/>
  <c r="CK818" i="34"/>
  <c r="CN818" i="34" s="1" a="1"/>
  <c r="CN818" i="34" s="1"/>
  <c r="CL818" i="34"/>
  <c r="CQ818" i="34" a="1"/>
  <c r="CQ818" i="34" s="1"/>
  <c r="CR818" i="34"/>
  <c r="CW818" i="34"/>
  <c r="CZ818" i="34" s="1" a="1"/>
  <c r="CZ818" i="34" s="1"/>
  <c r="CX818" i="34"/>
  <c r="DA818" i="34" a="1"/>
  <c r="DA818" i="34" s="1"/>
  <c r="DC818" i="34"/>
  <c r="DD818" i="34"/>
  <c r="DI818" i="34"/>
  <c r="DJ818" i="34"/>
  <c r="DM818" i="34" s="1" a="1"/>
  <c r="DM818" i="34" s="1"/>
  <c r="DL818" i="34" a="1"/>
  <c r="DL818" i="34" s="1"/>
  <c r="DO818" i="34"/>
  <c r="DP818" i="34"/>
  <c r="DR818" i="34" a="1"/>
  <c r="DR818" i="34" s="1"/>
  <c r="DS818" i="34" a="1"/>
  <c r="DS818" i="34" s="1"/>
  <c r="DU818" i="34"/>
  <c r="DV818" i="34"/>
  <c r="DX818" i="34" s="1" a="1"/>
  <c r="DX818" i="34" s="1"/>
  <c r="EA818" i="34"/>
  <c r="ED818" i="34" s="1" a="1"/>
  <c r="ED818" i="34" s="1"/>
  <c r="EB818" i="34"/>
  <c r="BS819" i="34"/>
  <c r="BW819" i="34" s="1" a="1"/>
  <c r="BW819" i="34" s="1"/>
  <c r="BT819" i="34"/>
  <c r="BV819" i="34" a="1"/>
  <c r="BV819" i="34" s="1"/>
  <c r="BY819" i="34"/>
  <c r="BZ819" i="34"/>
  <c r="CB819" i="34" a="1"/>
  <c r="CB819" i="34"/>
  <c r="CC819" i="34" a="1"/>
  <c r="CC819" i="34" s="1"/>
  <c r="CE819" i="34"/>
  <c r="CH819" i="34" s="1" a="1"/>
  <c r="CH819" i="34" s="1"/>
  <c r="CF819" i="34"/>
  <c r="CI819" i="34" a="1"/>
  <c r="CI819" i="34" s="1"/>
  <c r="CK819" i="34"/>
  <c r="CL819" i="34"/>
  <c r="CQ819" i="34" a="1"/>
  <c r="CQ819" i="34"/>
  <c r="CT819" i="34" s="1" a="1"/>
  <c r="CT819" i="34" s="1"/>
  <c r="CR819" i="34"/>
  <c r="CW819" i="34"/>
  <c r="CZ819" i="34" s="1" a="1"/>
  <c r="CX819" i="34"/>
  <c r="CZ819" i="34"/>
  <c r="DC819" i="34"/>
  <c r="DF819" i="34" s="1" a="1"/>
  <c r="DF819" i="34" s="1"/>
  <c r="DD819" i="34"/>
  <c r="DG819" i="34" a="1"/>
  <c r="DG819" i="34"/>
  <c r="DI819" i="34"/>
  <c r="DL819" i="34" s="1" a="1"/>
  <c r="DL819" i="34" s="1"/>
  <c r="DJ819" i="34"/>
  <c r="DO819" i="34"/>
  <c r="DR819" i="34" s="1" a="1"/>
  <c r="DR819" i="34" s="1"/>
  <c r="DP819" i="34"/>
  <c r="DS819" i="34" s="1" a="1"/>
  <c r="DS819" i="34" s="1"/>
  <c r="DU819" i="34"/>
  <c r="DV819" i="34"/>
  <c r="DX819" i="34" a="1"/>
  <c r="DX819" i="34"/>
  <c r="DY819" i="34" a="1"/>
  <c r="DY819" i="34"/>
  <c r="EA819" i="34"/>
  <c r="EB819" i="34"/>
  <c r="EE819" i="34" s="1" a="1"/>
  <c r="ED819" i="34" a="1"/>
  <c r="ED819" i="34"/>
  <c r="EE819" i="34"/>
  <c r="BS820" i="34"/>
  <c r="BT820" i="34"/>
  <c r="BV820" i="34" a="1"/>
  <c r="BV820" i="34" s="1"/>
  <c r="BW820" i="34" a="1"/>
  <c r="BW820" i="34"/>
  <c r="BY820" i="34"/>
  <c r="CB820" i="34" s="1" a="1"/>
  <c r="CB820" i="34" s="1"/>
  <c r="BZ820" i="34"/>
  <c r="CE820" i="34"/>
  <c r="CH820" i="34" s="1" a="1"/>
  <c r="CH820" i="34" s="1"/>
  <c r="CF820" i="34"/>
  <c r="CK820" i="34"/>
  <c r="CN820" i="34" s="1" a="1"/>
  <c r="CN820" i="34" s="1"/>
  <c r="CL820" i="34"/>
  <c r="CO820" i="34" a="1"/>
  <c r="CO820" i="34"/>
  <c r="CQ820" i="34" a="1"/>
  <c r="CQ820" i="34"/>
  <c r="CT820" i="34" s="1" a="1"/>
  <c r="CT820" i="34" s="1"/>
  <c r="CR820" i="34"/>
  <c r="CU820" i="34" a="1"/>
  <c r="CU820" i="34" s="1"/>
  <c r="CW820" i="34"/>
  <c r="CX820" i="34"/>
  <c r="DC820" i="34"/>
  <c r="DD820" i="34"/>
  <c r="DG820" i="34" s="1" a="1"/>
  <c r="DG820" i="34" s="1"/>
  <c r="DF820" i="34" a="1"/>
  <c r="DF820" i="34" s="1"/>
  <c r="DI820" i="34"/>
  <c r="DJ820" i="34"/>
  <c r="DL820" i="34" a="1"/>
  <c r="DL820" i="34" s="1"/>
  <c r="DM820" i="34" a="1"/>
  <c r="DM820" i="34" s="1"/>
  <c r="DO820" i="34"/>
  <c r="DP820" i="34"/>
  <c r="DR820" i="34" s="1" a="1"/>
  <c r="DR820" i="34" s="1"/>
  <c r="DS820" i="34" a="1"/>
  <c r="DS820" i="34"/>
  <c r="DU820" i="34"/>
  <c r="DX820" i="34" s="1" a="1"/>
  <c r="DX820" i="34" s="1"/>
  <c r="DV820" i="34"/>
  <c r="EA820" i="34"/>
  <c r="EE820" i="34" s="1" a="1"/>
  <c r="EE820" i="34" s="1"/>
  <c r="EB820" i="34"/>
  <c r="ED820" i="34" a="1"/>
  <c r="ED820" i="34" s="1"/>
  <c r="BS821" i="34"/>
  <c r="BT821" i="34"/>
  <c r="BV821" i="34" a="1"/>
  <c r="BV821" i="34"/>
  <c r="BW821" i="34" a="1"/>
  <c r="BW821" i="34" s="1"/>
  <c r="BY821" i="34"/>
  <c r="CB821" i="34" s="1" a="1"/>
  <c r="CB821" i="34" s="1"/>
  <c r="BZ821" i="34"/>
  <c r="CC821" i="34" a="1"/>
  <c r="CC821" i="34" s="1"/>
  <c r="CE821" i="34"/>
  <c r="CF821" i="34"/>
  <c r="CK821" i="34"/>
  <c r="CL821" i="34"/>
  <c r="CO821" i="34" s="1" a="1"/>
  <c r="CO821" i="34" s="1"/>
  <c r="CN821" i="34" a="1"/>
  <c r="CN821" i="34" s="1"/>
  <c r="CQ821" i="34" a="1"/>
  <c r="CQ821" i="34"/>
  <c r="CT821" i="34" s="1" a="1"/>
  <c r="CR821" i="34"/>
  <c r="CT821" i="34"/>
  <c r="CW821" i="34"/>
  <c r="CZ821" i="34" s="1" a="1"/>
  <c r="CZ821" i="34" s="1"/>
  <c r="CX821" i="34"/>
  <c r="DA821" i="34" a="1"/>
  <c r="DA821" i="34"/>
  <c r="DC821" i="34"/>
  <c r="DF821" i="34" s="1" a="1"/>
  <c r="DF821" i="34" s="1"/>
  <c r="DD821" i="34"/>
  <c r="DI821" i="34"/>
  <c r="DJ821" i="34"/>
  <c r="DM821" i="34" s="1" a="1"/>
  <c r="DM821" i="34" s="1"/>
  <c r="DO821" i="34"/>
  <c r="DP821" i="34"/>
  <c r="DR821" i="34" a="1"/>
  <c r="DR821" i="34"/>
  <c r="DS821" i="34" a="1"/>
  <c r="DS821" i="34"/>
  <c r="DU821" i="34"/>
  <c r="DV821" i="34"/>
  <c r="DY821" i="34" s="1" a="1"/>
  <c r="DY821" i="34" s="1"/>
  <c r="DX821" i="34" a="1"/>
  <c r="DX821" i="34"/>
  <c r="EA821" i="34"/>
  <c r="EB821" i="34"/>
  <c r="ED821" i="34" a="1"/>
  <c r="ED821" i="34" s="1"/>
  <c r="EE821" i="34" a="1"/>
  <c r="EE821" i="34"/>
  <c r="BS822" i="34"/>
  <c r="BV822" i="34" s="1" a="1"/>
  <c r="BV822" i="34" s="1"/>
  <c r="BT822" i="34"/>
  <c r="BY822" i="34"/>
  <c r="CB822" i="34" s="1" a="1"/>
  <c r="CB822" i="34" s="1"/>
  <c r="BZ822" i="34"/>
  <c r="CE822" i="34"/>
  <c r="CH822" i="34" s="1" a="1"/>
  <c r="CH822" i="34" s="1"/>
  <c r="CF822" i="34"/>
  <c r="CI822" i="34" a="1"/>
  <c r="CI822" i="34"/>
  <c r="CK822" i="34"/>
  <c r="CN822" i="34" s="1" a="1"/>
  <c r="CN822" i="34" s="1"/>
  <c r="CL822" i="34"/>
  <c r="CQ822" i="34" a="1"/>
  <c r="CQ822" i="34"/>
  <c r="CR822" i="34"/>
  <c r="CW822" i="34"/>
  <c r="CX822" i="34"/>
  <c r="DA822" i="34" s="1" a="1"/>
  <c r="DA822" i="34" s="1"/>
  <c r="CZ822" i="34" a="1"/>
  <c r="CZ822" i="34" s="1"/>
  <c r="DC822" i="34"/>
  <c r="DD822" i="34"/>
  <c r="DF822" i="34" a="1"/>
  <c r="DF822" i="34" s="1"/>
  <c r="DG822" i="34" a="1"/>
  <c r="DG822" i="34" s="1"/>
  <c r="DI822" i="34"/>
  <c r="DJ822" i="34"/>
  <c r="DL822" i="34" a="1"/>
  <c r="DL822" i="34" s="1"/>
  <c r="DM822" i="34" a="1"/>
  <c r="DM822" i="34"/>
  <c r="DO822" i="34"/>
  <c r="DR822" i="34" s="1" a="1"/>
  <c r="DR822" i="34" s="1"/>
  <c r="DP822" i="34"/>
  <c r="DU822" i="34"/>
  <c r="DY822" i="34" s="1" a="1"/>
  <c r="DY822" i="34" s="1"/>
  <c r="DV822" i="34"/>
  <c r="DX822" i="34" a="1"/>
  <c r="DX822" i="34" s="1"/>
  <c r="EA822" i="34"/>
  <c r="EB822" i="34"/>
  <c r="ED822" i="34" a="1"/>
  <c r="ED822" i="34"/>
  <c r="EE822" i="34" a="1"/>
  <c r="EE822" i="34" s="1"/>
  <c r="BS823" i="34"/>
  <c r="BV823" i="34" s="1" a="1"/>
  <c r="BV823" i="34" s="1"/>
  <c r="BT823" i="34"/>
  <c r="BW823" i="34" a="1"/>
  <c r="BW823" i="34" s="1"/>
  <c r="BY823" i="34"/>
  <c r="BZ823" i="34"/>
  <c r="CE823" i="34"/>
  <c r="CF823" i="34"/>
  <c r="CI823" i="34" s="1" a="1"/>
  <c r="CI823" i="34" s="1"/>
  <c r="CH823" i="34" a="1"/>
  <c r="CH823" i="34" s="1"/>
  <c r="CK823" i="34"/>
  <c r="CL823" i="34"/>
  <c r="CN823" i="34" a="1"/>
  <c r="CN823" i="34" s="1"/>
  <c r="CO823" i="34" a="1"/>
  <c r="CO823" i="34" s="1"/>
  <c r="CQ823" i="34" a="1"/>
  <c r="CQ823" i="34"/>
  <c r="CT823" i="34" s="1" a="1"/>
  <c r="CT823" i="34" s="1"/>
  <c r="CR823" i="34"/>
  <c r="CU823" i="34" a="1"/>
  <c r="CU823" i="34"/>
  <c r="CW823" i="34"/>
  <c r="CZ823" i="34" s="1" a="1"/>
  <c r="CZ823" i="34" s="1"/>
  <c r="CX823" i="34"/>
  <c r="DC823" i="34"/>
  <c r="DF823" i="34" s="1" a="1"/>
  <c r="DF823" i="34" s="1"/>
  <c r="DD823" i="34"/>
  <c r="DG823" i="34" s="1" a="1"/>
  <c r="DG823" i="34" s="1"/>
  <c r="DI823" i="34"/>
  <c r="DJ823" i="34"/>
  <c r="DL823" i="34" a="1"/>
  <c r="DL823" i="34"/>
  <c r="DM823" i="34" a="1"/>
  <c r="DM823" i="34" s="1"/>
  <c r="DO823" i="34"/>
  <c r="DP823" i="34"/>
  <c r="DS823" i="34" s="1" a="1"/>
  <c r="DR823" i="34" a="1"/>
  <c r="DR823" i="34"/>
  <c r="DS823" i="34"/>
  <c r="DU823" i="34"/>
  <c r="DV823" i="34"/>
  <c r="DX823" i="34" a="1"/>
  <c r="DX823" i="34"/>
  <c r="DY823" i="34" a="1"/>
  <c r="DY823" i="34"/>
  <c r="EA823" i="34"/>
  <c r="ED823" i="34" s="1" a="1"/>
  <c r="ED823" i="34" s="1"/>
  <c r="EB823" i="34"/>
  <c r="BS824" i="34"/>
  <c r="BV824" i="34" s="1" a="1"/>
  <c r="BT824" i="34"/>
  <c r="BV824" i="34"/>
  <c r="BY824" i="34"/>
  <c r="CB824" i="34" s="1" a="1"/>
  <c r="CB824" i="34" s="1"/>
  <c r="BZ824" i="34"/>
  <c r="CC824" i="34" a="1"/>
  <c r="CC824" i="34"/>
  <c r="CE824" i="34"/>
  <c r="CH824" i="34" s="1" a="1"/>
  <c r="CH824" i="34" s="1"/>
  <c r="CF824" i="34"/>
  <c r="CK824" i="34"/>
  <c r="CN824" i="34" s="1" a="1"/>
  <c r="CN824" i="34" s="1"/>
  <c r="CL824" i="34"/>
  <c r="CO824" i="34" s="1" a="1"/>
  <c r="CO824" i="34" s="1"/>
  <c r="CQ824" i="34" a="1"/>
  <c r="CQ824" i="34"/>
  <c r="CR824" i="34"/>
  <c r="CU824" i="34" s="1" a="1"/>
  <c r="CU824" i="34" s="1"/>
  <c r="CT824" i="34" a="1"/>
  <c r="CT824" i="34" s="1"/>
  <c r="CW824" i="34"/>
  <c r="CX824" i="34"/>
  <c r="CZ824" i="34" a="1"/>
  <c r="CZ824" i="34" s="1"/>
  <c r="DA824" i="34" a="1"/>
  <c r="DA824" i="34" s="1"/>
  <c r="DC824" i="34"/>
  <c r="DD824" i="34"/>
  <c r="DF824" i="34" s="1" a="1"/>
  <c r="DF824" i="34" s="1"/>
  <c r="DG824" i="34" a="1"/>
  <c r="DG824" i="34"/>
  <c r="DI824" i="34"/>
  <c r="DL824" i="34" s="1" a="1"/>
  <c r="DL824" i="34" s="1"/>
  <c r="DJ824" i="34"/>
  <c r="DO824" i="34"/>
  <c r="DS824" i="34" s="1" a="1"/>
  <c r="DS824" i="34" s="1"/>
  <c r="DP824" i="34"/>
  <c r="DR824" i="34" a="1"/>
  <c r="DR824" i="34" s="1"/>
  <c r="DU824" i="34"/>
  <c r="DV824" i="34"/>
  <c r="DX824" i="34" a="1"/>
  <c r="DX824" i="34"/>
  <c r="DY824" i="34" a="1"/>
  <c r="DY824" i="34" s="1"/>
  <c r="EA824" i="34"/>
  <c r="ED824" i="34" s="1" a="1"/>
  <c r="ED824" i="34" s="1"/>
  <c r="EB824" i="34"/>
  <c r="EE824" i="34" a="1"/>
  <c r="EE824" i="34" s="1"/>
  <c r="BS825" i="34"/>
  <c r="BT825" i="34"/>
  <c r="BY825" i="34"/>
  <c r="BZ825" i="34"/>
  <c r="CC825" i="34" s="1" a="1"/>
  <c r="CC825" i="34" s="1"/>
  <c r="CB825" i="34" a="1"/>
  <c r="CB825" i="34" s="1"/>
  <c r="CE825" i="34"/>
  <c r="CF825" i="34"/>
  <c r="CH825" i="34" a="1"/>
  <c r="CH825" i="34" s="1"/>
  <c r="CI825" i="34" a="1"/>
  <c r="CI825" i="34" s="1"/>
  <c r="CK825" i="34"/>
  <c r="CL825" i="34"/>
  <c r="CN825" i="34" a="1"/>
  <c r="CN825" i="34" s="1"/>
  <c r="CO825" i="34" a="1"/>
  <c r="CO825" i="34"/>
  <c r="CQ825" i="34" a="1"/>
  <c r="CQ825" i="34" s="1"/>
  <c r="CR825" i="34"/>
  <c r="CW825" i="34"/>
  <c r="CZ825" i="34" s="1" a="1"/>
  <c r="CZ825" i="34" s="1"/>
  <c r="CX825" i="34"/>
  <c r="DA825" i="34" s="1" a="1"/>
  <c r="DA825" i="34" s="1"/>
  <c r="DC825" i="34"/>
  <c r="DD825" i="34"/>
  <c r="DF825" i="34" a="1"/>
  <c r="DF825" i="34"/>
  <c r="DG825" i="34" a="1"/>
  <c r="DG825" i="34" s="1"/>
  <c r="DI825" i="34"/>
  <c r="DJ825" i="34"/>
  <c r="DM825" i="34" s="1" a="1"/>
  <c r="DM825" i="34" s="1"/>
  <c r="DL825" i="34" a="1"/>
  <c r="DL825" i="34"/>
  <c r="DO825" i="34"/>
  <c r="DP825" i="34"/>
  <c r="DR825" i="34" a="1"/>
  <c r="DR825" i="34"/>
  <c r="DS825" i="34" a="1"/>
  <c r="DS825" i="34"/>
  <c r="DU825" i="34"/>
  <c r="DX825" i="34" s="1" a="1"/>
  <c r="DX825" i="34" s="1"/>
  <c r="DV825" i="34"/>
  <c r="EA825" i="34"/>
  <c r="ED825" i="34" s="1" a="1"/>
  <c r="EB825" i="34"/>
  <c r="ED825" i="34"/>
  <c r="BS826" i="34"/>
  <c r="BV826" i="34" s="1" a="1"/>
  <c r="BV826" i="34" s="1"/>
  <c r="BT826" i="34"/>
  <c r="BW826" i="34" a="1"/>
  <c r="BW826" i="34"/>
  <c r="BY826" i="34"/>
  <c r="CB826" i="34" s="1" a="1"/>
  <c r="CB826" i="34" s="1"/>
  <c r="BZ826" i="34"/>
  <c r="CE826" i="34"/>
  <c r="CF826" i="34"/>
  <c r="CI826" i="34" s="1" a="1"/>
  <c r="CI826" i="34" s="1"/>
  <c r="CK826" i="34"/>
  <c r="CL826" i="34"/>
  <c r="CN826" i="34" a="1"/>
  <c r="CN826" i="34"/>
  <c r="CO826" i="34" a="1"/>
  <c r="CO826" i="34" s="1"/>
  <c r="CQ826" i="34" a="1"/>
  <c r="CQ826" i="34"/>
  <c r="CR826" i="34"/>
  <c r="CT826" i="34" a="1"/>
  <c r="CT826" i="34" s="1"/>
  <c r="CU826" i="34" a="1"/>
  <c r="CU826" i="34" s="1"/>
  <c r="CW826" i="34"/>
  <c r="CX826" i="34"/>
  <c r="CZ826" i="34" s="1" a="1"/>
  <c r="CZ826" i="34" s="1"/>
  <c r="DA826" i="34" a="1"/>
  <c r="DA826" i="34"/>
  <c r="DC826" i="34"/>
  <c r="DF826" i="34" s="1" a="1"/>
  <c r="DF826" i="34" s="1"/>
  <c r="DD826" i="34"/>
  <c r="DI826" i="34"/>
  <c r="DM826" i="34" s="1" a="1"/>
  <c r="DM826" i="34" s="1"/>
  <c r="DJ826" i="34"/>
  <c r="DL826" i="34" a="1"/>
  <c r="DL826" i="34" s="1"/>
  <c r="DO826" i="34"/>
  <c r="DP826" i="34"/>
  <c r="DR826" i="34" a="1"/>
  <c r="DR826" i="34"/>
  <c r="DS826" i="34" a="1"/>
  <c r="DS826" i="34" s="1"/>
  <c r="DU826" i="34"/>
  <c r="DX826" i="34" s="1" a="1"/>
  <c r="DX826" i="34" s="1"/>
  <c r="DV826" i="34"/>
  <c r="DY826" i="34" a="1"/>
  <c r="DY826" i="34" s="1"/>
  <c r="EA826" i="34"/>
  <c r="EB826" i="34"/>
  <c r="BS827" i="34"/>
  <c r="BT827" i="34"/>
  <c r="BW827" i="34" s="1" a="1"/>
  <c r="BW827" i="34" s="1"/>
  <c r="BV827" i="34" a="1"/>
  <c r="BV827" i="34" s="1"/>
  <c r="BY827" i="34"/>
  <c r="BZ827" i="34"/>
  <c r="CB827" i="34" a="1"/>
  <c r="CB827" i="34" s="1"/>
  <c r="CC827" i="34" a="1"/>
  <c r="CC827" i="34" s="1"/>
  <c r="CE827" i="34"/>
  <c r="CF827" i="34"/>
  <c r="CH827" i="34" a="1"/>
  <c r="CH827" i="34" s="1"/>
  <c r="CI827" i="34" a="1"/>
  <c r="CI827" i="34"/>
  <c r="CK827" i="34"/>
  <c r="CN827" i="34" s="1" a="1"/>
  <c r="CN827" i="34" s="1"/>
  <c r="CL827" i="34"/>
  <c r="CQ827" i="34" a="1"/>
  <c r="CQ827" i="34" s="1"/>
  <c r="CR827" i="34"/>
  <c r="CW827" i="34"/>
  <c r="CX827" i="34"/>
  <c r="CZ827" i="34" a="1"/>
  <c r="CZ827" i="34"/>
  <c r="DA827" i="34" a="1"/>
  <c r="DA827" i="34" s="1"/>
  <c r="DC827" i="34"/>
  <c r="DD827" i="34"/>
  <c r="DG827" i="34" s="1" a="1"/>
  <c r="DF827" i="34" a="1"/>
  <c r="DF827" i="34"/>
  <c r="DG827" i="34"/>
  <c r="DI827" i="34"/>
  <c r="DJ827" i="34"/>
  <c r="DL827" i="34" a="1"/>
  <c r="DL827" i="34"/>
  <c r="DM827" i="34" a="1"/>
  <c r="DM827" i="34"/>
  <c r="DO827" i="34"/>
  <c r="DR827" i="34" s="1" a="1"/>
  <c r="DR827" i="34" s="1"/>
  <c r="DP827" i="34"/>
  <c r="DU827" i="34"/>
  <c r="DX827" i="34" s="1" a="1"/>
  <c r="DV827" i="34"/>
  <c r="DX827" i="34"/>
  <c r="EA827" i="34"/>
  <c r="ED827" i="34" s="1" a="1"/>
  <c r="ED827" i="34" s="1"/>
  <c r="EB827" i="34"/>
  <c r="EE827" i="34" a="1"/>
  <c r="EE827" i="34"/>
  <c r="BS828" i="34"/>
  <c r="BV828" i="34" s="1" a="1"/>
  <c r="BV828" i="34" s="1"/>
  <c r="BT828" i="34"/>
  <c r="BY828" i="34"/>
  <c r="CB828" i="34" s="1" a="1"/>
  <c r="CB828" i="34" s="1"/>
  <c r="BZ828" i="34"/>
  <c r="CC828" i="34" s="1" a="1"/>
  <c r="CC828" i="34" s="1"/>
  <c r="CE828" i="34"/>
  <c r="CF828" i="34"/>
  <c r="CH828" i="34" a="1"/>
  <c r="CH828" i="34" s="1"/>
  <c r="CI828" i="34" a="1"/>
  <c r="CI828" i="34" s="1"/>
  <c r="CK828" i="34"/>
  <c r="CL828" i="34"/>
  <c r="CO828" i="34" s="1" a="1"/>
  <c r="CN828" i="34" a="1"/>
  <c r="CN828" i="34"/>
  <c r="CO828" i="34"/>
  <c r="CQ828" i="34" a="1"/>
  <c r="CQ828" i="34" s="1"/>
  <c r="CR828" i="34"/>
  <c r="CW828" i="34"/>
  <c r="CZ828" i="34" s="1" a="1"/>
  <c r="CZ828" i="34" s="1"/>
  <c r="CX828" i="34"/>
  <c r="DC828" i="34"/>
  <c r="DG828" i="34" s="1" a="1"/>
  <c r="DG828" i="34" s="1"/>
  <c r="DD828" i="34"/>
  <c r="DI828" i="34"/>
  <c r="DJ828" i="34"/>
  <c r="DL828" i="34" a="1"/>
  <c r="DL828" i="34"/>
  <c r="DM828" i="34" a="1"/>
  <c r="DM828" i="34" s="1"/>
  <c r="DO828" i="34"/>
  <c r="DR828" i="34" s="1" a="1"/>
  <c r="DR828" i="34" s="1"/>
  <c r="DP828" i="34"/>
  <c r="DS828" i="34" a="1"/>
  <c r="DS828" i="34" s="1"/>
  <c r="DU828" i="34"/>
  <c r="DV828" i="34"/>
  <c r="EA828" i="34"/>
  <c r="EB828" i="34"/>
  <c r="EE828" i="34" s="1" a="1"/>
  <c r="EE828" i="34" s="1"/>
  <c r="ED828" i="34" a="1"/>
  <c r="ED828" i="34" s="1"/>
  <c r="BS829" i="34"/>
  <c r="BT829" i="34"/>
  <c r="BV829" i="34" a="1"/>
  <c r="BV829" i="34" s="1"/>
  <c r="BW829" i="34" a="1"/>
  <c r="BW829" i="34" s="1"/>
  <c r="BY829" i="34"/>
  <c r="BZ829" i="34"/>
  <c r="CB829" i="34" a="1"/>
  <c r="CB829" i="34" s="1"/>
  <c r="CC829" i="34" a="1"/>
  <c r="CC829" i="34"/>
  <c r="CE829" i="34"/>
  <c r="CH829" i="34" s="1" a="1"/>
  <c r="CH829" i="34" s="1"/>
  <c r="CF829" i="34"/>
  <c r="CK829" i="34"/>
  <c r="CO829" i="34" s="1" a="1"/>
  <c r="CO829" i="34" s="1"/>
  <c r="CL829" i="34"/>
  <c r="CQ829" i="34" a="1"/>
  <c r="CQ829" i="34" s="1"/>
  <c r="CR829" i="34"/>
  <c r="CW829" i="34"/>
  <c r="CX829" i="34"/>
  <c r="DA829" i="34" s="1" a="1"/>
  <c r="DA829" i="34" s="1"/>
  <c r="CZ829" i="34" a="1"/>
  <c r="CZ829" i="34"/>
  <c r="DC829" i="34"/>
  <c r="DD829" i="34"/>
  <c r="DF829" i="34" a="1"/>
  <c r="DF829" i="34"/>
  <c r="DG829" i="34" a="1"/>
  <c r="DG829" i="34"/>
  <c r="DI829" i="34"/>
  <c r="DL829" i="34" s="1" a="1"/>
  <c r="DL829" i="34" s="1"/>
  <c r="DJ829" i="34"/>
  <c r="DO829" i="34"/>
  <c r="DP829" i="34"/>
  <c r="DU829" i="34"/>
  <c r="DX829" i="34" s="1" a="1"/>
  <c r="DX829" i="34" s="1"/>
  <c r="DV829" i="34"/>
  <c r="DY829" i="34" a="1"/>
  <c r="DY829" i="34" s="1"/>
  <c r="EA829" i="34"/>
  <c r="ED829" i="34" s="1" a="1"/>
  <c r="ED829" i="34" s="1"/>
  <c r="EB829" i="34"/>
  <c r="BS830" i="34"/>
  <c r="BT830" i="34"/>
  <c r="BW830" i="34" s="1" a="1"/>
  <c r="BW830" i="34" s="1"/>
  <c r="BY830" i="34"/>
  <c r="BZ830" i="34"/>
  <c r="CB830" i="34" a="1"/>
  <c r="CB830" i="34" s="1"/>
  <c r="CC830" i="34" a="1"/>
  <c r="CC830" i="34" s="1"/>
  <c r="CE830" i="34"/>
  <c r="CF830" i="34"/>
  <c r="CI830" i="34" s="1" a="1"/>
  <c r="CH830" i="34" a="1"/>
  <c r="CH830" i="34"/>
  <c r="CI830" i="34"/>
  <c r="CK830" i="34"/>
  <c r="CL830" i="34"/>
  <c r="CN830" i="34" a="1"/>
  <c r="CN830" i="34" s="1"/>
  <c r="CO830" i="34" a="1"/>
  <c r="CO830" i="34"/>
  <c r="CQ830" i="34" a="1"/>
  <c r="CQ830" i="34" s="1"/>
  <c r="CR830" i="34"/>
  <c r="CW830" i="34"/>
  <c r="DA830" i="34" s="1" a="1"/>
  <c r="DA830" i="34" s="1"/>
  <c r="CX830" i="34"/>
  <c r="CZ830" i="34" a="1"/>
  <c r="CZ830" i="34" s="1"/>
  <c r="DC830" i="34"/>
  <c r="DD830" i="34"/>
  <c r="DF830" i="34" a="1"/>
  <c r="DF830" i="34"/>
  <c r="DG830" i="34" a="1"/>
  <c r="DG830" i="34" s="1"/>
  <c r="DI830" i="34"/>
  <c r="DL830" i="34" s="1" a="1"/>
  <c r="DL830" i="34" s="1"/>
  <c r="DJ830" i="34"/>
  <c r="DM830" i="34" a="1"/>
  <c r="DM830" i="34" s="1"/>
  <c r="DO830" i="34"/>
  <c r="DP830" i="34"/>
  <c r="DU830" i="34"/>
  <c r="DV830" i="34"/>
  <c r="DX830" i="34" s="1" a="1"/>
  <c r="DX830" i="34" s="1"/>
  <c r="EA830" i="34"/>
  <c r="EB830" i="34"/>
  <c r="ED830" i="34" a="1"/>
  <c r="ED830" i="34" s="1"/>
  <c r="EE830" i="34" a="1"/>
  <c r="EE830" i="34" s="1"/>
  <c r="BS831" i="34"/>
  <c r="BT831" i="34"/>
  <c r="BV831" i="34" a="1"/>
  <c r="BV831" i="34" s="1"/>
  <c r="BW831" i="34" a="1"/>
  <c r="BW831" i="34"/>
  <c r="BY831" i="34"/>
  <c r="CB831" i="34" s="1" a="1"/>
  <c r="CB831" i="34" s="1"/>
  <c r="BZ831" i="34"/>
  <c r="CE831" i="34"/>
  <c r="CI831" i="34" s="1" a="1"/>
  <c r="CI831" i="34" s="1"/>
  <c r="CF831" i="34"/>
  <c r="CK831" i="34"/>
  <c r="CL831" i="34"/>
  <c r="CN831" i="34" a="1"/>
  <c r="CN831" i="34"/>
  <c r="CO831" i="34" a="1"/>
  <c r="CO831" i="34" s="1"/>
  <c r="CQ831" i="34" a="1"/>
  <c r="CQ831" i="34" s="1"/>
  <c r="CR831" i="34"/>
  <c r="CW831" i="34"/>
  <c r="CX831" i="34"/>
  <c r="CZ831" i="34" a="1"/>
  <c r="CZ831" i="34"/>
  <c r="DA831" i="34" a="1"/>
  <c r="DA831" i="34"/>
  <c r="DC831" i="34"/>
  <c r="DF831" i="34" s="1" a="1"/>
  <c r="DF831" i="34" s="1"/>
  <c r="DD831" i="34"/>
  <c r="DI831" i="34"/>
  <c r="DJ831" i="34"/>
  <c r="DO831" i="34"/>
  <c r="DR831" i="34" s="1" a="1"/>
  <c r="DR831" i="34" s="1"/>
  <c r="DP831" i="34"/>
  <c r="DS831" i="34" a="1"/>
  <c r="DS831" i="34"/>
  <c r="DU831" i="34"/>
  <c r="DX831" i="34" s="1" a="1"/>
  <c r="DX831" i="34" s="1"/>
  <c r="DV831" i="34"/>
  <c r="DY831" i="34" a="1"/>
  <c r="DY831" i="34"/>
  <c r="EA831" i="34"/>
  <c r="ED831" i="34" s="1" a="1"/>
  <c r="ED831" i="34" s="1"/>
  <c r="EB831" i="34"/>
  <c r="EE831" i="34" s="1" a="1"/>
  <c r="EE831" i="34" s="1"/>
  <c r="BS832" i="34"/>
  <c r="BT832" i="34"/>
  <c r="BV832" i="34" a="1"/>
  <c r="BV832" i="34" s="1"/>
  <c r="BW832" i="34" a="1"/>
  <c r="BW832" i="34" s="1"/>
  <c r="BY832" i="34"/>
  <c r="BZ832" i="34"/>
  <c r="CB832" i="34" a="1"/>
  <c r="CB832" i="34"/>
  <c r="CC832" i="34" a="1"/>
  <c r="CC832" i="34"/>
  <c r="CE832" i="34"/>
  <c r="CF832" i="34"/>
  <c r="CH832" i="34" a="1"/>
  <c r="CH832" i="34" s="1"/>
  <c r="CI832" i="34" a="1"/>
  <c r="CI832" i="34"/>
  <c r="CK832" i="34"/>
  <c r="CL832" i="34"/>
  <c r="CQ832" i="34" a="1"/>
  <c r="CQ832" i="34"/>
  <c r="CU832" i="34" s="1" a="1"/>
  <c r="CU832" i="34" s="1"/>
  <c r="CR832" i="34"/>
  <c r="CT832" i="34" a="1"/>
  <c r="CT832" i="34" s="1"/>
  <c r="CW832" i="34"/>
  <c r="CX832" i="34"/>
  <c r="CZ832" i="34" a="1"/>
  <c r="CZ832" i="34"/>
  <c r="DA832" i="34" a="1"/>
  <c r="DA832" i="34" s="1"/>
  <c r="DC832" i="34"/>
  <c r="DF832" i="34" s="1" a="1"/>
  <c r="DF832" i="34" s="1"/>
  <c r="DD832" i="34"/>
  <c r="DG832" i="34" a="1"/>
  <c r="DG832" i="34" s="1"/>
  <c r="DI832" i="34"/>
  <c r="DJ832" i="34"/>
  <c r="DO832" i="34"/>
  <c r="DP832" i="34"/>
  <c r="DU832" i="34"/>
  <c r="DV832" i="34"/>
  <c r="DX832" i="34" a="1"/>
  <c r="DX832" i="34" s="1"/>
  <c r="DY832" i="34" a="1"/>
  <c r="DY832" i="34" s="1"/>
  <c r="EA832" i="34"/>
  <c r="EB832" i="34"/>
  <c r="ED832" i="34" s="1" a="1"/>
  <c r="ED832" i="34" s="1"/>
  <c r="EE832" i="34" a="1"/>
  <c r="EE832" i="34"/>
  <c r="BS833" i="34"/>
  <c r="BT833" i="34"/>
  <c r="BY833" i="34"/>
  <c r="CC833" i="34" s="1" a="1"/>
  <c r="CC833" i="34" s="1"/>
  <c r="BZ833" i="34"/>
  <c r="CB833" i="34" a="1"/>
  <c r="CB833" i="34" s="1"/>
  <c r="CE833" i="34"/>
  <c r="CF833" i="34"/>
  <c r="CH833" i="34" a="1"/>
  <c r="CH833" i="34"/>
  <c r="CI833" i="34" a="1"/>
  <c r="CI833" i="34" s="1"/>
  <c r="CK833" i="34"/>
  <c r="CN833" i="34" s="1" a="1"/>
  <c r="CN833" i="34" s="1"/>
  <c r="CL833" i="34"/>
  <c r="CO833" i="34" a="1"/>
  <c r="CO833" i="34" s="1"/>
  <c r="CQ833" i="34" a="1"/>
  <c r="CQ833" i="34" s="1"/>
  <c r="CR833" i="34"/>
  <c r="CW833" i="34"/>
  <c r="CX833" i="34"/>
  <c r="DC833" i="34"/>
  <c r="DF833" i="34" s="1" a="1"/>
  <c r="DD833" i="34"/>
  <c r="DF833" i="34"/>
  <c r="DI833" i="34"/>
  <c r="DL833" i="34" s="1" a="1"/>
  <c r="DL833" i="34" s="1"/>
  <c r="DJ833" i="34"/>
  <c r="DM833" i="34" a="1"/>
  <c r="DM833" i="34" s="1"/>
  <c r="DO833" i="34"/>
  <c r="DR833" i="34" s="1" a="1"/>
  <c r="DR833" i="34" s="1"/>
  <c r="DP833" i="34"/>
  <c r="DS833" i="34" a="1"/>
  <c r="DS833" i="34"/>
  <c r="DU833" i="34"/>
  <c r="DX833" i="34" s="1" a="1"/>
  <c r="DX833" i="34" s="1"/>
  <c r="DV833" i="34"/>
  <c r="DY833" i="34" s="1" a="1"/>
  <c r="DY833" i="34" s="1"/>
  <c r="EA833" i="34"/>
  <c r="EB833" i="34"/>
  <c r="ED833" i="34" a="1"/>
  <c r="ED833" i="34"/>
  <c r="EE833" i="34" a="1"/>
  <c r="EE833" i="34" s="1"/>
  <c r="BS834" i="34"/>
  <c r="BT834" i="34"/>
  <c r="BV834" i="34" a="1"/>
  <c r="BV834" i="34"/>
  <c r="BW834" i="34" a="1"/>
  <c r="BW834" i="34"/>
  <c r="BY834" i="34"/>
  <c r="BZ834" i="34"/>
  <c r="CB834" i="34" a="1"/>
  <c r="CB834" i="34" s="1"/>
  <c r="CC834" i="34" a="1"/>
  <c r="CC834" i="34"/>
  <c r="CE834" i="34"/>
  <c r="CF834" i="34"/>
  <c r="CK834" i="34"/>
  <c r="CL834" i="34"/>
  <c r="CQ834" i="34" a="1"/>
  <c r="CQ834" i="34" s="1"/>
  <c r="CT834" i="34" s="1" a="1"/>
  <c r="CT834" i="34" s="1"/>
  <c r="CR834" i="34"/>
  <c r="CU834" i="34" a="1"/>
  <c r="CU834" i="34" s="1"/>
  <c r="CW834" i="34"/>
  <c r="CZ834" i="34" s="1" a="1"/>
  <c r="CZ834" i="34" s="1"/>
  <c r="CX834" i="34"/>
  <c r="DA834" i="34" a="1"/>
  <c r="DA834" i="34" s="1"/>
  <c r="DC834" i="34"/>
  <c r="DD834" i="34"/>
  <c r="DI834" i="34"/>
  <c r="DJ834" i="34"/>
  <c r="DM834" i="34" s="1" a="1"/>
  <c r="DM834" i="34" s="1"/>
  <c r="DO834" i="34"/>
  <c r="DP834" i="34"/>
  <c r="DR834" i="34" a="1"/>
  <c r="DR834" i="34" s="1"/>
  <c r="DS834" i="34" a="1"/>
  <c r="DS834" i="34" s="1"/>
  <c r="DU834" i="34"/>
  <c r="DV834" i="34"/>
  <c r="DX834" i="34" s="1" a="1"/>
  <c r="DX834" i="34" s="1"/>
  <c r="DY834" i="34" a="1"/>
  <c r="DY834" i="34"/>
  <c r="EA834" i="34"/>
  <c r="EB834" i="34"/>
  <c r="BS835" i="34"/>
  <c r="BW835" i="34" s="1" a="1"/>
  <c r="BW835" i="34" s="1"/>
  <c r="BT835" i="34"/>
  <c r="BV835" i="34" a="1"/>
  <c r="BV835" i="34" s="1"/>
  <c r="BY835" i="34"/>
  <c r="BZ835" i="34"/>
  <c r="CB835" i="34" a="1"/>
  <c r="CB835" i="34"/>
  <c r="CC835" i="34" a="1"/>
  <c r="CC835" i="34" s="1"/>
  <c r="CE835" i="34"/>
  <c r="CH835" i="34" s="1" a="1"/>
  <c r="CH835" i="34" s="1"/>
  <c r="CF835" i="34"/>
  <c r="CI835" i="34" a="1"/>
  <c r="CI835" i="34" s="1"/>
  <c r="CK835" i="34"/>
  <c r="CL835" i="34"/>
  <c r="CQ835" i="34" a="1"/>
  <c r="CQ835" i="34"/>
  <c r="CR835" i="34"/>
  <c r="CW835" i="34"/>
  <c r="CX835" i="34"/>
  <c r="DC835" i="34"/>
  <c r="DF835" i="34" s="1" a="1"/>
  <c r="DF835" i="34" s="1"/>
  <c r="DD835" i="34"/>
  <c r="DG835" i="34" a="1"/>
  <c r="DG835" i="34"/>
  <c r="DI835" i="34"/>
  <c r="DL835" i="34" s="1" a="1"/>
  <c r="DL835" i="34" s="1"/>
  <c r="DJ835" i="34"/>
  <c r="DM835" i="34" a="1"/>
  <c r="DM835" i="34"/>
  <c r="DO835" i="34"/>
  <c r="DR835" i="34" s="1" a="1"/>
  <c r="DR835" i="34" s="1"/>
  <c r="DP835" i="34"/>
  <c r="DS835" i="34" s="1" a="1"/>
  <c r="DS835" i="34" s="1"/>
  <c r="DU835" i="34"/>
  <c r="DV835" i="34"/>
  <c r="DX835" i="34" a="1"/>
  <c r="DX835" i="34"/>
  <c r="DY835" i="34" a="1"/>
  <c r="DY835" i="34" s="1"/>
  <c r="EA835" i="34"/>
  <c r="EB835" i="34"/>
  <c r="ED835" i="34" a="1"/>
  <c r="ED835" i="34"/>
  <c r="EE835" i="34" a="1"/>
  <c r="EE835" i="34"/>
  <c r="BS836" i="34"/>
  <c r="BT836" i="34"/>
  <c r="BV836" i="34" a="1"/>
  <c r="BV836" i="34" s="1"/>
  <c r="BW836" i="34" a="1"/>
  <c r="BW836" i="34"/>
  <c r="BY836" i="34"/>
  <c r="BZ836" i="34"/>
  <c r="CE836" i="34"/>
  <c r="CF836" i="34"/>
  <c r="CK836" i="34"/>
  <c r="CN836" i="34" s="1" a="1"/>
  <c r="CN836" i="34" s="1"/>
  <c r="CL836" i="34"/>
  <c r="CO836" i="34" a="1"/>
  <c r="CO836" i="34" s="1"/>
  <c r="CQ836" i="34" a="1"/>
  <c r="CQ836" i="34" s="1"/>
  <c r="CT836" i="34" s="1" a="1"/>
  <c r="CT836" i="34" s="1"/>
  <c r="CR836" i="34"/>
  <c r="CU836" i="34" a="1"/>
  <c r="CU836" i="34" s="1"/>
  <c r="CW836" i="34"/>
  <c r="CX836" i="34"/>
  <c r="DC836" i="34"/>
  <c r="DD836" i="34"/>
  <c r="DG836" i="34" s="1" a="1"/>
  <c r="DG836" i="34" s="1"/>
  <c r="DF836" i="34" a="1"/>
  <c r="DF836" i="34" s="1"/>
  <c r="DI836" i="34"/>
  <c r="DJ836" i="34"/>
  <c r="DL836" i="34" a="1"/>
  <c r="DL836" i="34" s="1"/>
  <c r="DM836" i="34" a="1"/>
  <c r="DM836" i="34" s="1"/>
  <c r="DO836" i="34"/>
  <c r="DP836" i="34"/>
  <c r="DR836" i="34" a="1"/>
  <c r="DR836" i="34" s="1"/>
  <c r="DS836" i="34" a="1"/>
  <c r="DS836" i="34"/>
  <c r="DU836" i="34"/>
  <c r="DV836" i="34"/>
  <c r="EA836" i="34"/>
  <c r="EE836" i="34" s="1" a="1"/>
  <c r="EE836" i="34" s="1"/>
  <c r="EB836" i="34"/>
  <c r="ED836" i="34" a="1"/>
  <c r="ED836" i="34" s="1"/>
  <c r="BS837" i="34"/>
  <c r="BT837" i="34"/>
  <c r="BV837" i="34" a="1"/>
  <c r="BV837" i="34"/>
  <c r="BW837" i="34" a="1"/>
  <c r="BW837" i="34" s="1"/>
  <c r="BY837" i="34"/>
  <c r="CB837" i="34" s="1" a="1"/>
  <c r="CB837" i="34" s="1"/>
  <c r="BZ837" i="34"/>
  <c r="CC837" i="34" a="1"/>
  <c r="CC837" i="34" s="1"/>
  <c r="CE837" i="34"/>
  <c r="CF837" i="34"/>
  <c r="CK837" i="34"/>
  <c r="CL837" i="34"/>
  <c r="CO837" i="34" s="1" a="1"/>
  <c r="CO837" i="34" s="1"/>
  <c r="CN837" i="34" a="1"/>
  <c r="CN837" i="34" s="1"/>
  <c r="CQ837" i="34" a="1"/>
  <c r="CQ837" i="34"/>
  <c r="CT837" i="34" s="1" a="1"/>
  <c r="CT837" i="34" s="1"/>
  <c r="CR837" i="34"/>
  <c r="CW837" i="34"/>
  <c r="CZ837" i="34" s="1" a="1"/>
  <c r="CZ837" i="34" s="1"/>
  <c r="CX837" i="34"/>
  <c r="DA837" i="34" a="1"/>
  <c r="DA837" i="34"/>
  <c r="DC837" i="34"/>
  <c r="DF837" i="34" s="1" a="1"/>
  <c r="DF837" i="34" s="1"/>
  <c r="DD837" i="34"/>
  <c r="DG837" i="34" a="1"/>
  <c r="DG837" i="34"/>
  <c r="DI837" i="34"/>
  <c r="DJ837" i="34"/>
  <c r="DM837" i="34" s="1" a="1"/>
  <c r="DM837" i="34" s="1"/>
  <c r="DO837" i="34"/>
  <c r="DP837" i="34"/>
  <c r="DR837" i="34" a="1"/>
  <c r="DR837" i="34"/>
  <c r="DS837" i="34" a="1"/>
  <c r="DS837" i="34" s="1"/>
  <c r="DU837" i="34"/>
  <c r="DV837" i="34"/>
  <c r="DX837" i="34" a="1"/>
  <c r="DX837" i="34"/>
  <c r="DY837" i="34" a="1"/>
  <c r="DY837" i="34"/>
  <c r="EA837" i="34"/>
  <c r="EB837" i="34"/>
  <c r="ED837" i="34" a="1"/>
  <c r="ED837" i="34"/>
  <c r="EE837" i="34" a="1"/>
  <c r="EE837" i="34"/>
  <c r="BS838" i="34"/>
  <c r="BT838" i="34"/>
  <c r="BY838" i="34"/>
  <c r="CB838" i="34" s="1" a="1"/>
  <c r="CB838" i="34" s="1"/>
  <c r="BZ838" i="34"/>
  <c r="CE838" i="34"/>
  <c r="CH838" i="34" s="1" a="1"/>
  <c r="CH838" i="34" s="1"/>
  <c r="CF838" i="34"/>
  <c r="CI838" i="34" a="1"/>
  <c r="CI838" i="34"/>
  <c r="CK838" i="34"/>
  <c r="CN838" i="34" s="1" a="1"/>
  <c r="CN838" i="34" s="1"/>
  <c r="CL838" i="34"/>
  <c r="CO838" i="34" a="1"/>
  <c r="CO838" i="34"/>
  <c r="CQ838" i="34" a="1"/>
  <c r="CQ838" i="34"/>
  <c r="CR838" i="34"/>
  <c r="CW838" i="34"/>
  <c r="CX838" i="34"/>
  <c r="DA838" i="34" s="1" a="1"/>
  <c r="DA838" i="34" s="1"/>
  <c r="CZ838" i="34" a="1"/>
  <c r="CZ838" i="34" s="1"/>
  <c r="DC838" i="34"/>
  <c r="DD838" i="34"/>
  <c r="DF838" i="34" a="1"/>
  <c r="DF838" i="34" s="1"/>
  <c r="DG838" i="34" a="1"/>
  <c r="DG838" i="34" s="1"/>
  <c r="DI838" i="34"/>
  <c r="DJ838" i="34"/>
  <c r="DL838" i="34" a="1"/>
  <c r="DL838" i="34" s="1"/>
  <c r="DM838" i="34" a="1"/>
  <c r="DM838" i="34"/>
  <c r="DO838" i="34"/>
  <c r="DP838" i="34"/>
  <c r="DU838" i="34"/>
  <c r="DY838" i="34" s="1" a="1"/>
  <c r="DY838" i="34" s="1"/>
  <c r="DV838" i="34"/>
  <c r="DX838" i="34" a="1"/>
  <c r="DX838" i="34" s="1"/>
  <c r="EA838" i="34"/>
  <c r="EB838" i="34"/>
  <c r="ED838" i="34" a="1"/>
  <c r="ED838" i="34"/>
  <c r="EE838" i="34" a="1"/>
  <c r="EE838" i="34" s="1"/>
  <c r="BS839" i="34"/>
  <c r="BV839" i="34" s="1" a="1"/>
  <c r="BT839" i="34"/>
  <c r="BV839" i="34"/>
  <c r="BW839" i="34" a="1"/>
  <c r="BW839" i="34" s="1"/>
  <c r="BY839" i="34"/>
  <c r="BZ839" i="34"/>
  <c r="CE839" i="34"/>
  <c r="CF839" i="34"/>
  <c r="CI839" i="34" s="1" a="1"/>
  <c r="CI839" i="34" s="1"/>
  <c r="CH839" i="34" a="1"/>
  <c r="CH839" i="34" s="1"/>
  <c r="CK839" i="34"/>
  <c r="CL839" i="34"/>
  <c r="CN839" i="34" s="1" a="1"/>
  <c r="CN839" i="34" s="1"/>
  <c r="CO839" i="34" a="1"/>
  <c r="CO839" i="34" s="1"/>
  <c r="CQ839" i="34" a="1"/>
  <c r="CQ839" i="34"/>
  <c r="CT839" i="34" s="1" a="1"/>
  <c r="CT839" i="34" s="1"/>
  <c r="CR839" i="34"/>
  <c r="CU839" i="34" a="1"/>
  <c r="CU839" i="34" s="1"/>
  <c r="CW839" i="34"/>
  <c r="CZ839" i="34" s="1" a="1"/>
  <c r="CZ839" i="34" s="1"/>
  <c r="CX839" i="34"/>
  <c r="DA839" i="34" a="1"/>
  <c r="DA839" i="34"/>
  <c r="DC839" i="34"/>
  <c r="DF839" i="34" s="1" a="1"/>
  <c r="DF839" i="34" s="1"/>
  <c r="DD839" i="34"/>
  <c r="DG839" i="34" s="1" a="1"/>
  <c r="DG839" i="34" s="1"/>
  <c r="DI839" i="34"/>
  <c r="DJ839" i="34"/>
  <c r="DL839" i="34" a="1"/>
  <c r="DL839" i="34" s="1"/>
  <c r="DM839" i="34" a="1"/>
  <c r="DM839" i="34" s="1"/>
  <c r="DO839" i="34"/>
  <c r="DP839" i="34"/>
  <c r="DR839" i="34" a="1"/>
  <c r="DR839" i="34" s="1"/>
  <c r="DS839" i="34" a="1"/>
  <c r="DS839" i="34"/>
  <c r="DU839" i="34"/>
  <c r="DV839" i="34"/>
  <c r="DX839" i="34" a="1"/>
  <c r="DX839" i="34"/>
  <c r="DY839" i="34" a="1"/>
  <c r="DY839" i="34"/>
  <c r="EA839" i="34"/>
  <c r="EB839" i="34"/>
  <c r="BS840" i="34"/>
  <c r="BT840" i="34"/>
  <c r="BY840" i="34"/>
  <c r="CB840" i="34" s="1" a="1"/>
  <c r="CB840" i="34" s="1"/>
  <c r="BZ840" i="34"/>
  <c r="CC840" i="34" a="1"/>
  <c r="CC840" i="34" s="1"/>
  <c r="CE840" i="34"/>
  <c r="CH840" i="34" s="1" a="1"/>
  <c r="CH840" i="34" s="1"/>
  <c r="CF840" i="34"/>
  <c r="CI840" i="34" a="1"/>
  <c r="CI840" i="34"/>
  <c r="CK840" i="34"/>
  <c r="CN840" i="34" s="1" a="1"/>
  <c r="CN840" i="34" s="1"/>
  <c r="CL840" i="34"/>
  <c r="CO840" i="34" s="1" a="1"/>
  <c r="CO840" i="34" s="1"/>
  <c r="CQ840" i="34" a="1"/>
  <c r="CQ840" i="34"/>
  <c r="CR840" i="34"/>
  <c r="CU840" i="34" s="1" a="1"/>
  <c r="CU840" i="34" s="1"/>
  <c r="CW840" i="34"/>
  <c r="CX840" i="34"/>
  <c r="CZ840" i="34" s="1" a="1"/>
  <c r="CZ840" i="34" s="1"/>
  <c r="DA840" i="34" a="1"/>
  <c r="DA840" i="34" s="1"/>
  <c r="DC840" i="34"/>
  <c r="DD840" i="34"/>
  <c r="DF840" i="34" a="1"/>
  <c r="DF840" i="34" s="1"/>
  <c r="DG840" i="34" a="1"/>
  <c r="DG840" i="34"/>
  <c r="DI840" i="34"/>
  <c r="DJ840" i="34"/>
  <c r="DO840" i="34"/>
  <c r="DS840" i="34" s="1" a="1"/>
  <c r="DS840" i="34" s="1"/>
  <c r="DP840" i="34"/>
  <c r="DR840" i="34" a="1"/>
  <c r="DR840" i="34" s="1"/>
  <c r="DU840" i="34"/>
  <c r="DV840" i="34"/>
  <c r="DX840" i="34" a="1"/>
  <c r="DX840" i="34"/>
  <c r="DY840" i="34" a="1"/>
  <c r="DY840" i="34" s="1"/>
  <c r="EA840" i="34"/>
  <c r="ED840" i="34" s="1" a="1"/>
  <c r="EB840" i="34"/>
  <c r="ED840" i="34"/>
  <c r="EE840" i="34" a="1"/>
  <c r="EE840" i="34" s="1"/>
  <c r="BS841" i="34"/>
  <c r="BT841" i="34"/>
  <c r="BY841" i="34"/>
  <c r="BZ841" i="34"/>
  <c r="CC841" i="34" s="1" a="1"/>
  <c r="CC841" i="34" s="1"/>
  <c r="CB841" i="34" a="1"/>
  <c r="CB841" i="34" s="1"/>
  <c r="CE841" i="34"/>
  <c r="CF841" i="34"/>
  <c r="CH841" i="34" s="1" a="1"/>
  <c r="CH841" i="34" s="1"/>
  <c r="CK841" i="34"/>
  <c r="CL841" i="34"/>
  <c r="CN841" i="34" a="1"/>
  <c r="CN841" i="34" s="1"/>
  <c r="CO841" i="34" a="1"/>
  <c r="CO841" i="34"/>
  <c r="CQ841" i="34" a="1"/>
  <c r="CQ841" i="34" s="1"/>
  <c r="CT841" i="34" s="1" a="1"/>
  <c r="CT841" i="34" s="1"/>
  <c r="CR841" i="34"/>
  <c r="CU841" i="34" a="1"/>
  <c r="CU841" i="34"/>
  <c r="CW841" i="34"/>
  <c r="CZ841" i="34" s="1" a="1"/>
  <c r="CZ841" i="34" s="1"/>
  <c r="CX841" i="34"/>
  <c r="DA841" i="34" s="1" a="1"/>
  <c r="DA841" i="34" s="1"/>
  <c r="DC841" i="34"/>
  <c r="DD841" i="34"/>
  <c r="DF841" i="34" a="1"/>
  <c r="DF841" i="34" s="1"/>
  <c r="DG841" i="34" a="1"/>
  <c r="DG841" i="34" s="1"/>
  <c r="DI841" i="34"/>
  <c r="DJ841" i="34"/>
  <c r="DL841" i="34" a="1"/>
  <c r="DL841" i="34" s="1"/>
  <c r="DM841" i="34" a="1"/>
  <c r="DM841" i="34"/>
  <c r="DO841" i="34"/>
  <c r="DP841" i="34"/>
  <c r="DR841" i="34" a="1"/>
  <c r="DR841" i="34"/>
  <c r="DS841" i="34" a="1"/>
  <c r="DS841" i="34"/>
  <c r="DU841" i="34"/>
  <c r="DV841" i="34"/>
  <c r="EA841" i="34"/>
  <c r="EB841" i="34"/>
  <c r="BS842" i="34"/>
  <c r="BV842" i="34" s="1" a="1"/>
  <c r="BV842" i="34" s="1"/>
  <c r="BT842" i="34"/>
  <c r="BW842" i="34" a="1"/>
  <c r="BW842" i="34" s="1"/>
  <c r="BY842" i="34"/>
  <c r="CB842" i="34" s="1" a="1"/>
  <c r="CB842" i="34" s="1"/>
  <c r="BZ842" i="34"/>
  <c r="CC842" i="34" a="1"/>
  <c r="CC842" i="34"/>
  <c r="CE842" i="34"/>
  <c r="CH842" i="34" s="1" a="1"/>
  <c r="CH842" i="34" s="1"/>
  <c r="CF842" i="34"/>
  <c r="CI842" i="34" s="1" a="1"/>
  <c r="CI842" i="34" s="1"/>
  <c r="CK842" i="34"/>
  <c r="CL842" i="34"/>
  <c r="CN842" i="34" a="1"/>
  <c r="CN842" i="34" s="1"/>
  <c r="CO842" i="34" a="1"/>
  <c r="CO842" i="34" s="1"/>
  <c r="CQ842" i="34" a="1"/>
  <c r="CQ842" i="34" s="1"/>
  <c r="CU842" i="34" s="1" a="1"/>
  <c r="CU842" i="34" s="1"/>
  <c r="CR842" i="34"/>
  <c r="CT842" i="34" a="1"/>
  <c r="CT842" i="34" s="1"/>
  <c r="CW842" i="34"/>
  <c r="CX842" i="34"/>
  <c r="CZ842" i="34" a="1"/>
  <c r="CZ842" i="34" s="1"/>
  <c r="DA842" i="34" a="1"/>
  <c r="DA842" i="34"/>
  <c r="DC842" i="34"/>
  <c r="DD842" i="34"/>
  <c r="DI842" i="34"/>
  <c r="DM842" i="34" s="1" a="1"/>
  <c r="DM842" i="34" s="1"/>
  <c r="DJ842" i="34"/>
  <c r="DL842" i="34" a="1"/>
  <c r="DL842" i="34" s="1"/>
  <c r="DO842" i="34"/>
  <c r="DP842" i="34"/>
  <c r="DR842" i="34" a="1"/>
  <c r="DR842" i="34"/>
  <c r="DS842" i="34" a="1"/>
  <c r="DS842" i="34" s="1"/>
  <c r="DU842" i="34"/>
  <c r="DX842" i="34" s="1" a="1"/>
  <c r="DV842" i="34"/>
  <c r="DX842" i="34"/>
  <c r="DY842" i="34" a="1"/>
  <c r="DY842" i="34" s="1"/>
  <c r="EA842" i="34"/>
  <c r="EB842" i="34"/>
  <c r="BS843" i="34"/>
  <c r="BT843" i="34"/>
  <c r="BW843" i="34" s="1" a="1"/>
  <c r="BW843" i="34" s="1"/>
  <c r="BY843" i="34"/>
  <c r="BZ843" i="34"/>
  <c r="CC843" i="34" s="1" a="1"/>
  <c r="CC843" i="34" s="1"/>
  <c r="CB843" i="34" a="1"/>
  <c r="CB843" i="34" s="1"/>
  <c r="CE843" i="34"/>
  <c r="CF843" i="34"/>
  <c r="CH843" i="34" a="1"/>
  <c r="CH843" i="34" s="1"/>
  <c r="CI843" i="34" a="1"/>
  <c r="CI843" i="34"/>
  <c r="CK843" i="34"/>
  <c r="CL843" i="34"/>
  <c r="CQ843" i="34" a="1"/>
  <c r="CQ843" i="34" s="1"/>
  <c r="CR843" i="34"/>
  <c r="CW843" i="34"/>
  <c r="CX843" i="34"/>
  <c r="CZ843" i="34" a="1"/>
  <c r="CZ843" i="34" s="1"/>
  <c r="DA843" i="34" a="1"/>
  <c r="DA843" i="34" s="1"/>
  <c r="DC843" i="34"/>
  <c r="DD843" i="34"/>
  <c r="DF843" i="34" a="1"/>
  <c r="DF843" i="34" s="1"/>
  <c r="DG843" i="34" a="1"/>
  <c r="DG843" i="34"/>
  <c r="DI843" i="34"/>
  <c r="DJ843" i="34"/>
  <c r="DL843" i="34" a="1"/>
  <c r="DL843" i="34"/>
  <c r="DM843" i="34" a="1"/>
  <c r="DM843" i="34"/>
  <c r="DO843" i="34"/>
  <c r="DP843" i="34"/>
  <c r="DR843" i="34" s="1" a="1"/>
  <c r="DR843" i="34" s="1"/>
  <c r="DU843" i="34"/>
  <c r="DV843" i="34"/>
  <c r="EA843" i="34"/>
  <c r="ED843" i="34" s="1" a="1"/>
  <c r="ED843" i="34" s="1"/>
  <c r="EB843" i="34"/>
  <c r="EE843" i="34" a="1"/>
  <c r="EE843" i="34"/>
  <c r="BS844" i="34"/>
  <c r="BV844" i="34" s="1" a="1"/>
  <c r="BV844" i="34" s="1"/>
  <c r="BT844" i="34"/>
  <c r="BY844" i="34"/>
  <c r="CB844" i="34" s="1" a="1"/>
  <c r="CB844" i="34" s="1"/>
  <c r="BZ844" i="34"/>
  <c r="CC844" i="34" s="1" a="1"/>
  <c r="CC844" i="34" s="1"/>
  <c r="CE844" i="34"/>
  <c r="CF844" i="34"/>
  <c r="CH844" i="34" a="1"/>
  <c r="CH844" i="34"/>
  <c r="CI844" i="34" a="1"/>
  <c r="CI844" i="34" s="1"/>
  <c r="CK844" i="34"/>
  <c r="CL844" i="34"/>
  <c r="CN844" i="34" a="1"/>
  <c r="CN844" i="34" s="1"/>
  <c r="CO844" i="34" a="1"/>
  <c r="CO844" i="34"/>
  <c r="CQ844" i="34" a="1"/>
  <c r="CQ844" i="34" s="1"/>
  <c r="CR844" i="34"/>
  <c r="CW844" i="34"/>
  <c r="CX844" i="34"/>
  <c r="DC844" i="34"/>
  <c r="DG844" i="34" s="1" a="1"/>
  <c r="DG844" i="34" s="1"/>
  <c r="DD844" i="34"/>
  <c r="DI844" i="34"/>
  <c r="DJ844" i="34"/>
  <c r="DL844" i="34" a="1"/>
  <c r="DL844" i="34"/>
  <c r="DM844" i="34" a="1"/>
  <c r="DM844" i="34"/>
  <c r="DO844" i="34"/>
  <c r="DR844" i="34" s="1" a="1"/>
  <c r="DR844" i="34" s="1"/>
  <c r="DP844" i="34"/>
  <c r="DS844" i="34" a="1"/>
  <c r="DS844" i="34" s="1"/>
  <c r="DU844" i="34"/>
  <c r="DV844" i="34"/>
  <c r="EA844" i="34"/>
  <c r="EB844" i="34"/>
  <c r="ED844" i="34" s="1" a="1"/>
  <c r="ED844" i="34" s="1"/>
  <c r="BS845" i="34"/>
  <c r="BT845" i="34"/>
  <c r="BV845" i="34" a="1"/>
  <c r="BV845" i="34" s="1"/>
  <c r="BW845" i="34" a="1"/>
  <c r="BW845" i="34" s="1"/>
  <c r="BY845" i="34"/>
  <c r="BZ845" i="34"/>
  <c r="CB845" i="34" a="1"/>
  <c r="CB845" i="34" s="1"/>
  <c r="CC845" i="34" a="1"/>
  <c r="CC845" i="34"/>
  <c r="CE845" i="34"/>
  <c r="CF845" i="34"/>
  <c r="CK845" i="34"/>
  <c r="CO845" i="34" s="1" a="1"/>
  <c r="CO845" i="34" s="1"/>
  <c r="CL845" i="34"/>
  <c r="CN845" i="34" a="1"/>
  <c r="CN845" i="34" s="1"/>
  <c r="CQ845" i="34" a="1"/>
  <c r="CQ845" i="34" s="1"/>
  <c r="CU845" i="34" s="1" a="1"/>
  <c r="CU845" i="34" s="1"/>
  <c r="CR845" i="34"/>
  <c r="CW845" i="34"/>
  <c r="CX845" i="34"/>
  <c r="CZ845" i="34" a="1"/>
  <c r="CZ845" i="34" s="1"/>
  <c r="DA845" i="34" a="1"/>
  <c r="DA845" i="34"/>
  <c r="DC845" i="34"/>
  <c r="DD845" i="34"/>
  <c r="DF845" i="34" a="1"/>
  <c r="DF845" i="34"/>
  <c r="DG845" i="34" a="1"/>
  <c r="DG845" i="34"/>
  <c r="DI845" i="34"/>
  <c r="DM845" i="34" s="1" a="1"/>
  <c r="DM845" i="34" s="1"/>
  <c r="DJ845" i="34"/>
  <c r="DL845" i="34" a="1"/>
  <c r="DL845" i="34" s="1"/>
  <c r="DO845" i="34"/>
  <c r="DP845" i="34"/>
  <c r="DU845" i="34"/>
  <c r="DX845" i="34" s="1" a="1"/>
  <c r="DX845" i="34" s="1"/>
  <c r="DV845" i="34"/>
  <c r="DY845" i="34" a="1"/>
  <c r="DY845" i="34"/>
  <c r="EA845" i="34"/>
  <c r="ED845" i="34" s="1" a="1"/>
  <c r="ED845" i="34" s="1"/>
  <c r="EB845" i="34"/>
  <c r="BS846" i="34"/>
  <c r="BT846" i="34"/>
  <c r="BW846" i="34" s="1" a="1"/>
  <c r="BW846" i="34" s="1"/>
  <c r="BY846" i="34"/>
  <c r="BZ846" i="34"/>
  <c r="CB846" i="34" a="1"/>
  <c r="CB846" i="34" s="1"/>
  <c r="CC846" i="34" a="1"/>
  <c r="CC846" i="34" s="1"/>
  <c r="CE846" i="34"/>
  <c r="CF846" i="34"/>
  <c r="CH846" i="34" a="1"/>
  <c r="CH846" i="34"/>
  <c r="CI846" i="34" a="1"/>
  <c r="CI846" i="34"/>
  <c r="CK846" i="34"/>
  <c r="CL846" i="34"/>
  <c r="CN846" i="34" a="1"/>
  <c r="CN846" i="34"/>
  <c r="CO846" i="34" a="1"/>
  <c r="CO846" i="34"/>
  <c r="CQ846" i="34" a="1"/>
  <c r="CQ846" i="34"/>
  <c r="CR846" i="34"/>
  <c r="CW846" i="34"/>
  <c r="DA846" i="34" s="1" a="1"/>
  <c r="DA846" i="34" s="1"/>
  <c r="CX846" i="34"/>
  <c r="CZ846" i="34" a="1"/>
  <c r="CZ846" i="34" s="1"/>
  <c r="DC846" i="34"/>
  <c r="DD846" i="34"/>
  <c r="DF846" i="34" a="1"/>
  <c r="DF846" i="34"/>
  <c r="DG846" i="34" a="1"/>
  <c r="DG846" i="34"/>
  <c r="DI846" i="34"/>
  <c r="DL846" i="34" s="1" a="1"/>
  <c r="DL846" i="34" s="1"/>
  <c r="DJ846" i="34"/>
  <c r="DM846" i="34" a="1"/>
  <c r="DM846" i="34" s="1"/>
  <c r="DO846" i="34"/>
  <c r="DP846" i="34"/>
  <c r="DU846" i="34"/>
  <c r="DV846" i="34"/>
  <c r="DX846" i="34" a="1"/>
  <c r="DX846" i="34" s="1"/>
  <c r="EA846" i="34"/>
  <c r="EB846" i="34"/>
  <c r="EE846" i="34" s="1" a="1"/>
  <c r="EE846" i="34" s="1"/>
  <c r="ED846" i="34" a="1"/>
  <c r="ED846" i="34" s="1"/>
  <c r="BS847" i="34"/>
  <c r="BT847" i="34"/>
  <c r="BV847" i="34" a="1"/>
  <c r="BV847" i="34" s="1"/>
  <c r="BW847" i="34" a="1"/>
  <c r="BW847" i="34" s="1"/>
  <c r="BY847" i="34"/>
  <c r="BZ847" i="34"/>
  <c r="CE847" i="34"/>
  <c r="CI847" i="34" s="1" a="1"/>
  <c r="CI847" i="34" s="1"/>
  <c r="CF847" i="34"/>
  <c r="CH847" i="34" a="1"/>
  <c r="CH847" i="34" s="1"/>
  <c r="CK847" i="34"/>
  <c r="CL847" i="34"/>
  <c r="CN847" i="34" a="1"/>
  <c r="CN847" i="34"/>
  <c r="CO847" i="34" a="1"/>
  <c r="CO847" i="34"/>
  <c r="CQ847" i="34" a="1"/>
  <c r="CQ847" i="34" s="1"/>
  <c r="CU847" i="34" s="1" a="1"/>
  <c r="CU847" i="34" s="1"/>
  <c r="CR847" i="34"/>
  <c r="CW847" i="34"/>
  <c r="CX847" i="34"/>
  <c r="CZ847" i="34" a="1"/>
  <c r="CZ847" i="34"/>
  <c r="DA847" i="34" a="1"/>
  <c r="DA847" i="34"/>
  <c r="DC847" i="34"/>
  <c r="DD847" i="34"/>
  <c r="DF847" i="34" a="1"/>
  <c r="DF847" i="34" s="1"/>
  <c r="DI847" i="34"/>
  <c r="DJ847" i="34"/>
  <c r="DO847" i="34"/>
  <c r="DR847" i="34" s="1" a="1"/>
  <c r="DR847" i="34" s="1"/>
  <c r="DP847" i="34"/>
  <c r="DS847" i="34" a="1"/>
  <c r="DS847" i="34" s="1"/>
  <c r="DU847" i="34"/>
  <c r="DV847" i="34"/>
  <c r="DY847" i="34" a="1"/>
  <c r="DY847" i="34" s="1"/>
  <c r="EA847" i="34"/>
  <c r="EB847" i="34"/>
  <c r="EE847" i="34" s="1" a="1"/>
  <c r="EE847" i="34" s="1"/>
  <c r="BS848" i="34"/>
  <c r="BT848" i="34"/>
  <c r="BV848" i="34" a="1"/>
  <c r="BV848" i="34"/>
  <c r="BW848" i="34" a="1"/>
  <c r="BW848" i="34"/>
  <c r="BY848" i="34"/>
  <c r="BZ848" i="34"/>
  <c r="CB848" i="34" a="1"/>
  <c r="CB848" i="34" s="1"/>
  <c r="CC848" i="34" a="1"/>
  <c r="CC848" i="34"/>
  <c r="CE848" i="34"/>
  <c r="CF848" i="34"/>
  <c r="CH848" i="34" a="1"/>
  <c r="CH848" i="34" s="1"/>
  <c r="CI848" i="34" a="1"/>
  <c r="CI848" i="34"/>
  <c r="CK848" i="34"/>
  <c r="CL848" i="34"/>
  <c r="CN848" i="34" a="1"/>
  <c r="CN848" i="34" s="1"/>
  <c r="CQ848" i="34" a="1"/>
  <c r="CQ848" i="34" s="1"/>
  <c r="CU848" i="34" s="1" a="1"/>
  <c r="CU848" i="34" s="1"/>
  <c r="CR848" i="34"/>
  <c r="CW848" i="34"/>
  <c r="CX848" i="34"/>
  <c r="CZ848" i="34" a="1"/>
  <c r="CZ848" i="34"/>
  <c r="DA848" i="34" a="1"/>
  <c r="DA848" i="34" s="1"/>
  <c r="DC848" i="34"/>
  <c r="DF848" i="34" s="1" a="1"/>
  <c r="DF848" i="34" s="1"/>
  <c r="DD848" i="34"/>
  <c r="DI848" i="34"/>
  <c r="DJ848" i="34"/>
  <c r="DO848" i="34"/>
  <c r="DS848" i="34" s="1" a="1"/>
  <c r="DS848" i="34" s="1"/>
  <c r="DP848" i="34"/>
  <c r="DU848" i="34"/>
  <c r="DV848" i="34"/>
  <c r="DX848" i="34" a="1"/>
  <c r="DX848" i="34" s="1"/>
  <c r="DY848" i="34" a="1"/>
  <c r="DY848" i="34" s="1"/>
  <c r="EA848" i="34"/>
  <c r="EB848" i="34"/>
  <c r="ED848" i="34" a="1"/>
  <c r="ED848" i="34" s="1"/>
  <c r="EE848" i="34" a="1"/>
  <c r="EE848" i="34"/>
  <c r="BS849" i="34"/>
  <c r="BW849" i="34" s="1" a="1"/>
  <c r="BW849" i="34" s="1"/>
  <c r="BT849" i="34"/>
  <c r="BY849" i="34"/>
  <c r="CC849" i="34" s="1" a="1"/>
  <c r="CC849" i="34" s="1"/>
  <c r="BZ849" i="34"/>
  <c r="CE849" i="34"/>
  <c r="CF849" i="34"/>
  <c r="CH849" i="34" a="1"/>
  <c r="CH849" i="34" s="1"/>
  <c r="CI849" i="34" a="1"/>
  <c r="CI849" i="34"/>
  <c r="CK849" i="34"/>
  <c r="CN849" i="34" s="1" a="1"/>
  <c r="CN849" i="34" s="1"/>
  <c r="CL849" i="34"/>
  <c r="CO849" i="34" a="1"/>
  <c r="CO849" i="34" s="1"/>
  <c r="CQ849" i="34" a="1"/>
  <c r="CQ849" i="34" s="1"/>
  <c r="CR849" i="34"/>
  <c r="CW849" i="34"/>
  <c r="CX849" i="34"/>
  <c r="DC849" i="34"/>
  <c r="DD849" i="34"/>
  <c r="DI849" i="34"/>
  <c r="DL849" i="34" s="1" a="1"/>
  <c r="DL849" i="34" s="1"/>
  <c r="DJ849" i="34"/>
  <c r="DM849" i="34" s="1" a="1"/>
  <c r="DM849" i="34" s="1"/>
  <c r="DO849" i="34"/>
  <c r="DS849" i="34" s="1" a="1"/>
  <c r="DS849" i="34" s="1"/>
  <c r="DP849" i="34"/>
  <c r="DU849" i="34"/>
  <c r="DX849" i="34" s="1" a="1"/>
  <c r="DX849" i="34" s="1"/>
  <c r="DV849" i="34"/>
  <c r="DY849" i="34" s="1" a="1"/>
  <c r="DY849" i="34" s="1"/>
  <c r="EA849" i="34"/>
  <c r="EB849" i="34"/>
  <c r="ED849" i="34" s="1" a="1"/>
  <c r="ED849" i="34" s="1"/>
  <c r="EE849" i="34" a="1"/>
  <c r="EE849" i="34" s="1"/>
  <c r="BS850" i="34"/>
  <c r="BT850" i="34"/>
  <c r="BV850" i="34" a="1"/>
  <c r="BV850" i="34"/>
  <c r="BW850" i="34" a="1"/>
  <c r="BW850" i="34"/>
  <c r="BY850" i="34"/>
  <c r="BZ850" i="34"/>
  <c r="CB850" i="34" a="1"/>
  <c r="CB850" i="34"/>
  <c r="CC850" i="34" a="1"/>
  <c r="CC850" i="34"/>
  <c r="CE850" i="34"/>
  <c r="CF850" i="34"/>
  <c r="CH850" i="34" a="1"/>
  <c r="CH850" i="34" s="1"/>
  <c r="CK850" i="34"/>
  <c r="CL850" i="34"/>
  <c r="CQ850" i="34" a="1"/>
  <c r="CQ850" i="34" s="1"/>
  <c r="CU850" i="34" s="1" a="1"/>
  <c r="CU850" i="34" s="1"/>
  <c r="CR850" i="34"/>
  <c r="CT850" i="34" a="1"/>
  <c r="CT850" i="34" s="1"/>
  <c r="CW850" i="34"/>
  <c r="CZ850" i="34" s="1" a="1"/>
  <c r="CZ850" i="34" s="1"/>
  <c r="CX850" i="34"/>
  <c r="DC850" i="34"/>
  <c r="DF850" i="34" s="1" a="1"/>
  <c r="DF850" i="34" s="1"/>
  <c r="DD850" i="34"/>
  <c r="DG850" i="34" a="1"/>
  <c r="DG850" i="34" s="1"/>
  <c r="DI850" i="34"/>
  <c r="DL850" i="34" s="1" a="1"/>
  <c r="DL850" i="34" s="1"/>
  <c r="DJ850" i="34"/>
  <c r="DM850" i="34" a="1"/>
  <c r="DM850" i="34" s="1"/>
  <c r="DO850" i="34"/>
  <c r="DP850" i="34"/>
  <c r="DR850" i="34" a="1"/>
  <c r="DR850" i="34" s="1"/>
  <c r="DS850" i="34" a="1"/>
  <c r="DS850" i="34" s="1"/>
  <c r="DU850" i="34"/>
  <c r="DV850" i="34"/>
  <c r="DX850" i="34" a="1"/>
  <c r="DX850" i="34" s="1"/>
  <c r="DY850" i="34" a="1"/>
  <c r="DY850" i="34" s="1"/>
  <c r="EA850" i="34"/>
  <c r="EB850" i="34"/>
  <c r="ED850" i="34" s="1" a="1"/>
  <c r="ED850" i="34" s="1"/>
  <c r="BS851" i="34"/>
  <c r="BW851" i="34" s="1" a="1"/>
  <c r="BW851" i="34" s="1"/>
  <c r="BT851" i="34"/>
  <c r="BV851" i="34" a="1"/>
  <c r="BV851" i="34" s="1"/>
  <c r="BY851" i="34"/>
  <c r="BZ851" i="34"/>
  <c r="CB851" i="34" a="1"/>
  <c r="CB851" i="34" s="1"/>
  <c r="CC851" i="34" a="1"/>
  <c r="CC851" i="34"/>
  <c r="CE851" i="34"/>
  <c r="CH851" i="34" s="1" a="1"/>
  <c r="CH851" i="34" s="1"/>
  <c r="CF851" i="34"/>
  <c r="CI851" i="34" a="1"/>
  <c r="CI851" i="34" s="1"/>
  <c r="CK851" i="34"/>
  <c r="CN851" i="34" s="1" a="1"/>
  <c r="CN851" i="34" s="1"/>
  <c r="CL851" i="34"/>
  <c r="CQ851" i="34" a="1"/>
  <c r="CQ851" i="34" s="1"/>
  <c r="CR851" i="34"/>
  <c r="CW851" i="34"/>
  <c r="CX851" i="34"/>
  <c r="DC851" i="34"/>
  <c r="DF851" i="34" s="1" a="1"/>
  <c r="DF851" i="34" s="1"/>
  <c r="DD851" i="34"/>
  <c r="DG851" i="34" a="1"/>
  <c r="DG851" i="34" s="1"/>
  <c r="DI851" i="34"/>
  <c r="DL851" i="34" s="1" a="1"/>
  <c r="DL851" i="34" s="1"/>
  <c r="DJ851" i="34"/>
  <c r="DO851" i="34"/>
  <c r="DR851" i="34" s="1" a="1"/>
  <c r="DR851" i="34" s="1"/>
  <c r="DP851" i="34"/>
  <c r="DS851" i="34" a="1"/>
  <c r="DS851" i="34"/>
  <c r="DU851" i="34"/>
  <c r="DV851" i="34"/>
  <c r="DY851" i="34" s="1" a="1"/>
  <c r="DY851" i="34" s="1"/>
  <c r="DX851" i="34" a="1"/>
  <c r="DX851" i="34"/>
  <c r="EA851" i="34"/>
  <c r="EB851" i="34"/>
  <c r="ED851" i="34" a="1"/>
  <c r="ED851" i="34" s="1"/>
  <c r="EE851" i="34" a="1"/>
  <c r="EE851" i="34"/>
  <c r="BS852" i="34"/>
  <c r="BT852" i="34"/>
  <c r="BV852" i="34" a="1"/>
  <c r="BV852" i="34"/>
  <c r="BW852" i="34" a="1"/>
  <c r="BW852" i="34"/>
  <c r="BY852" i="34"/>
  <c r="CB852" i="34" s="1" a="1"/>
  <c r="CB852" i="34" s="1"/>
  <c r="BZ852" i="34"/>
  <c r="CE852" i="34"/>
  <c r="CF852" i="34"/>
  <c r="CK852" i="34"/>
  <c r="CN852" i="34" s="1" a="1"/>
  <c r="CL852" i="34"/>
  <c r="CN852" i="34"/>
  <c r="CQ852" i="34" a="1"/>
  <c r="CQ852" i="34"/>
  <c r="CT852" i="34" s="1" a="1"/>
  <c r="CT852" i="34" s="1"/>
  <c r="CR852" i="34"/>
  <c r="CU852" i="34" a="1"/>
  <c r="CU852" i="34" s="1"/>
  <c r="CW852" i="34"/>
  <c r="CZ852" i="34" s="1" a="1"/>
  <c r="CZ852" i="34" s="1"/>
  <c r="CX852" i="34"/>
  <c r="DA852" i="34" a="1"/>
  <c r="DA852" i="34" s="1"/>
  <c r="DC852" i="34"/>
  <c r="DF852" i="34" s="1" a="1"/>
  <c r="DF852" i="34" s="1"/>
  <c r="DD852" i="34"/>
  <c r="DG852" i="34" a="1"/>
  <c r="DG852" i="34" s="1"/>
  <c r="DI852" i="34"/>
  <c r="DJ852" i="34"/>
  <c r="DL852" i="34" a="1"/>
  <c r="DL852" i="34" s="1"/>
  <c r="DM852" i="34" a="1"/>
  <c r="DM852" i="34" s="1"/>
  <c r="DO852" i="34"/>
  <c r="DP852" i="34"/>
  <c r="DR852" i="34" a="1"/>
  <c r="DR852" i="34" s="1"/>
  <c r="DS852" i="34" a="1"/>
  <c r="DS852" i="34" s="1"/>
  <c r="DU852" i="34"/>
  <c r="DV852" i="34"/>
  <c r="DX852" i="34" s="1" a="1"/>
  <c r="DX852" i="34" s="1"/>
  <c r="EA852" i="34"/>
  <c r="EE852" i="34" s="1" a="1"/>
  <c r="EE852" i="34" s="1"/>
  <c r="EB852" i="34"/>
  <c r="ED852" i="34" a="1"/>
  <c r="ED852" i="34" s="1"/>
  <c r="BS853" i="34"/>
  <c r="BT853" i="34"/>
  <c r="BV853" i="34" a="1"/>
  <c r="BV853" i="34" s="1"/>
  <c r="BW853" i="34" a="1"/>
  <c r="BW853" i="34"/>
  <c r="BY853" i="34"/>
  <c r="CB853" i="34" s="1" a="1"/>
  <c r="CB853" i="34" s="1"/>
  <c r="BZ853" i="34"/>
  <c r="CC853" i="34" a="1"/>
  <c r="CC853" i="34" s="1"/>
  <c r="CE853" i="34"/>
  <c r="CH853" i="34" s="1" a="1"/>
  <c r="CH853" i="34" s="1"/>
  <c r="CF853" i="34"/>
  <c r="CK853" i="34"/>
  <c r="CL853" i="34"/>
  <c r="CQ853" i="34" a="1"/>
  <c r="CQ853" i="34"/>
  <c r="CR853" i="34"/>
  <c r="CW853" i="34"/>
  <c r="CX853" i="34"/>
  <c r="DA853" i="34" a="1"/>
  <c r="DA853" i="34" s="1"/>
  <c r="DC853" i="34"/>
  <c r="DF853" i="34" s="1" a="1"/>
  <c r="DF853" i="34" s="1"/>
  <c r="DD853" i="34"/>
  <c r="DG853" i="34" a="1"/>
  <c r="DG853" i="34" s="1"/>
  <c r="DI853" i="34"/>
  <c r="DJ853" i="34"/>
  <c r="DM853" i="34" a="1"/>
  <c r="DM853" i="34" s="1"/>
  <c r="DO853" i="34"/>
  <c r="DP853" i="34"/>
  <c r="DS853" i="34" s="1" a="1"/>
  <c r="DS853" i="34" s="1"/>
  <c r="DR853" i="34" a="1"/>
  <c r="DR853" i="34" s="1"/>
  <c r="DU853" i="34"/>
  <c r="DV853" i="34"/>
  <c r="DX853" i="34" a="1"/>
  <c r="DX853" i="34" s="1"/>
  <c r="DY853" i="34" a="1"/>
  <c r="DY853" i="34"/>
  <c r="EA853" i="34"/>
  <c r="EB853" i="34"/>
  <c r="ED853" i="34" a="1"/>
  <c r="ED853" i="34" s="1"/>
  <c r="EE853" i="34" a="1"/>
  <c r="EE853" i="34"/>
  <c r="BS854" i="34"/>
  <c r="BW854" i="34" s="1" a="1"/>
  <c r="BW854" i="34" s="1"/>
  <c r="BT854" i="34"/>
  <c r="BY854" i="34"/>
  <c r="BZ854" i="34"/>
  <c r="CE854" i="34"/>
  <c r="CF854" i="34"/>
  <c r="CI854" i="34" s="1" a="1"/>
  <c r="CI854" i="34" s="1"/>
  <c r="CK854" i="34"/>
  <c r="CL854" i="34"/>
  <c r="CO854" i="34" a="1"/>
  <c r="CO854" i="34"/>
  <c r="CQ854" i="34" a="1"/>
  <c r="CQ854" i="34"/>
  <c r="CT854" i="34" s="1" a="1"/>
  <c r="CR854" i="34"/>
  <c r="CT854" i="34"/>
  <c r="CU854" i="34" a="1"/>
  <c r="CU854" i="34" s="1"/>
  <c r="CW854" i="34"/>
  <c r="CX854" i="34"/>
  <c r="DA854" i="34" s="1" a="1"/>
  <c r="DA854" i="34" s="1"/>
  <c r="DC854" i="34"/>
  <c r="DD854" i="34"/>
  <c r="DF854" i="34" a="1"/>
  <c r="DF854" i="34" s="1"/>
  <c r="DG854" i="34" a="1"/>
  <c r="DG854" i="34" s="1"/>
  <c r="DI854" i="34"/>
  <c r="DJ854" i="34"/>
  <c r="DL854" i="34" a="1"/>
  <c r="DL854" i="34"/>
  <c r="DM854" i="34" a="1"/>
  <c r="DM854" i="34" s="1"/>
  <c r="DO854" i="34"/>
  <c r="DS854" i="34" s="1" a="1"/>
  <c r="DS854" i="34" s="1"/>
  <c r="DP854" i="34"/>
  <c r="DR854" i="34" a="1"/>
  <c r="DR854" i="34" s="1"/>
  <c r="DU854" i="34"/>
  <c r="DY854" i="34" s="1" a="1"/>
  <c r="DV854" i="34"/>
  <c r="DX854" i="34" a="1"/>
  <c r="DX854" i="34" s="1"/>
  <c r="DY854" i="34"/>
  <c r="EA854" i="34"/>
  <c r="EB854" i="34"/>
  <c r="EE854" i="34" s="1" a="1"/>
  <c r="EE854" i="34" s="1"/>
  <c r="ED854" i="34" a="1"/>
  <c r="ED854" i="34" s="1"/>
  <c r="BS855" i="34"/>
  <c r="BV855" i="34" s="1" a="1"/>
  <c r="BV855" i="34" s="1"/>
  <c r="BT855" i="34"/>
  <c r="BY855" i="34"/>
  <c r="BZ855" i="34"/>
  <c r="CE855" i="34"/>
  <c r="CF855" i="34"/>
  <c r="CI855" i="34" s="1" a="1"/>
  <c r="CI855" i="34" s="1"/>
  <c r="CH855" i="34" a="1"/>
  <c r="CH855" i="34"/>
  <c r="CK855" i="34"/>
  <c r="CL855" i="34"/>
  <c r="CN855" i="34" s="1" a="1"/>
  <c r="CN855" i="34" s="1"/>
  <c r="CQ855" i="34" a="1"/>
  <c r="CQ855" i="34"/>
  <c r="CR855" i="34"/>
  <c r="CU855" i="34" s="1" a="1"/>
  <c r="CU855" i="34" s="1"/>
  <c r="CW855" i="34"/>
  <c r="CX855" i="34"/>
  <c r="DA855" i="34" a="1"/>
  <c r="DA855" i="34"/>
  <c r="DC855" i="34"/>
  <c r="DD855" i="34"/>
  <c r="DG855" i="34" a="1"/>
  <c r="DG855" i="34" s="1"/>
  <c r="DI855" i="34"/>
  <c r="DM855" i="34" s="1" a="1"/>
  <c r="DM855" i="34" s="1"/>
  <c r="DJ855" i="34"/>
  <c r="DO855" i="34"/>
  <c r="DP855" i="34"/>
  <c r="DR855" i="34" a="1"/>
  <c r="DR855" i="34"/>
  <c r="DS855" i="34" a="1"/>
  <c r="DS855" i="34"/>
  <c r="DU855" i="34"/>
  <c r="DV855" i="34"/>
  <c r="DX855" i="34" a="1"/>
  <c r="DX855" i="34" s="1"/>
  <c r="DY855" i="34" a="1"/>
  <c r="DY855" i="34" s="1"/>
  <c r="EA855" i="34"/>
  <c r="EB855" i="34"/>
  <c r="BS856" i="34"/>
  <c r="BT856" i="34"/>
  <c r="BY856" i="34"/>
  <c r="BZ856" i="34"/>
  <c r="CC856" i="34" s="1" a="1"/>
  <c r="CC856" i="34" s="1"/>
  <c r="CB856" i="34" a="1"/>
  <c r="CB856" i="34" s="1"/>
  <c r="CE856" i="34"/>
  <c r="CH856" i="34" s="1" a="1"/>
  <c r="CH856" i="34" s="1"/>
  <c r="CF856" i="34"/>
  <c r="CK856" i="34"/>
  <c r="CN856" i="34" s="1" a="1"/>
  <c r="CN856" i="34" s="1"/>
  <c r="CL856" i="34"/>
  <c r="CO856" i="34" a="1"/>
  <c r="CO856" i="34"/>
  <c r="CQ856" i="34" a="1"/>
  <c r="CQ856" i="34" s="1"/>
  <c r="CR856" i="34"/>
  <c r="CW856" i="34"/>
  <c r="CX856" i="34"/>
  <c r="CZ856" i="34" s="1" a="1"/>
  <c r="CZ856" i="34" s="1"/>
  <c r="DC856" i="34"/>
  <c r="DD856" i="34"/>
  <c r="DG856" i="34" s="1" a="1"/>
  <c r="DG856" i="34" s="1"/>
  <c r="DF856" i="34" a="1"/>
  <c r="DF856" i="34" s="1"/>
  <c r="DI856" i="34"/>
  <c r="DM856" i="34" s="1" a="1"/>
  <c r="DM856" i="34" s="1"/>
  <c r="DJ856" i="34"/>
  <c r="DO856" i="34"/>
  <c r="DS856" i="34" s="1" a="1"/>
  <c r="DS856" i="34" s="1"/>
  <c r="DP856" i="34"/>
  <c r="DU856" i="34"/>
  <c r="DX856" i="34" s="1" a="1"/>
  <c r="DX856" i="34" s="1"/>
  <c r="DV856" i="34"/>
  <c r="DY856" i="34" a="1"/>
  <c r="DY856" i="34" s="1"/>
  <c r="EA856" i="34"/>
  <c r="ED856" i="34" s="1" a="1"/>
  <c r="EB856" i="34"/>
  <c r="ED856" i="34"/>
  <c r="EE856" i="34" a="1"/>
  <c r="EE856" i="34" s="1"/>
  <c r="BS857" i="34"/>
  <c r="BV857" i="34" s="1" a="1"/>
  <c r="BT857" i="34"/>
  <c r="BV857" i="34"/>
  <c r="BY857" i="34"/>
  <c r="CB857" i="34" s="1" a="1"/>
  <c r="CB857" i="34" s="1"/>
  <c r="BZ857" i="34"/>
  <c r="CE857" i="34"/>
  <c r="CF857" i="34"/>
  <c r="CH857" i="34" a="1"/>
  <c r="CH857" i="34" s="1"/>
  <c r="CI857" i="34" a="1"/>
  <c r="CI857" i="34" s="1"/>
  <c r="CK857" i="34"/>
  <c r="CL857" i="34"/>
  <c r="CN857" i="34" a="1"/>
  <c r="CN857" i="34"/>
  <c r="CO857" i="34" a="1"/>
  <c r="CO857" i="34" s="1"/>
  <c r="CQ857" i="34" a="1"/>
  <c r="CQ857" i="34"/>
  <c r="CT857" i="34" s="1" a="1"/>
  <c r="CT857" i="34" s="1"/>
  <c r="CR857" i="34"/>
  <c r="CW857" i="34"/>
  <c r="CX857" i="34"/>
  <c r="DA857" i="34" s="1" a="1"/>
  <c r="DA857" i="34" s="1"/>
  <c r="DC857" i="34"/>
  <c r="DD857" i="34"/>
  <c r="DF857" i="34" s="1" a="1"/>
  <c r="DF857" i="34" s="1"/>
  <c r="DI857" i="34"/>
  <c r="DJ857" i="34"/>
  <c r="DL857" i="34" a="1"/>
  <c r="DL857" i="34" s="1"/>
  <c r="DM857" i="34" a="1"/>
  <c r="DM857" i="34"/>
  <c r="DO857" i="34"/>
  <c r="DP857" i="34"/>
  <c r="DR857" i="34" a="1"/>
  <c r="DR857" i="34"/>
  <c r="DS857" i="34" a="1"/>
  <c r="DS857" i="34"/>
  <c r="DU857" i="34"/>
  <c r="DV857" i="34"/>
  <c r="DX857" i="34" a="1"/>
  <c r="DX857" i="34"/>
  <c r="EA857" i="34"/>
  <c r="EB857" i="34"/>
  <c r="BS858" i="34"/>
  <c r="BV858" i="34" s="1" a="1"/>
  <c r="BV858" i="34" s="1"/>
  <c r="BT858" i="34"/>
  <c r="BW858" i="34" a="1"/>
  <c r="BW858" i="34" s="1"/>
  <c r="BY858" i="34"/>
  <c r="BZ858" i="34"/>
  <c r="CC858" i="34" a="1"/>
  <c r="CC858" i="34" s="1"/>
  <c r="CE858" i="34"/>
  <c r="CF858" i="34"/>
  <c r="CI858" i="34" a="1"/>
  <c r="CI858" i="34" s="1"/>
  <c r="CK858" i="34"/>
  <c r="CO858" i="34" s="1" a="1"/>
  <c r="CO858" i="34" s="1"/>
  <c r="CL858" i="34"/>
  <c r="CN858" i="34" s="1" a="1"/>
  <c r="CN858" i="34" s="1"/>
  <c r="CQ858" i="34" a="1"/>
  <c r="CQ858" i="34" s="1"/>
  <c r="CR858" i="34"/>
  <c r="CW858" i="34"/>
  <c r="CX858" i="34"/>
  <c r="DA858" i="34" s="1" a="1"/>
  <c r="DA858" i="34" s="1"/>
  <c r="CZ858" i="34" a="1"/>
  <c r="CZ858" i="34"/>
  <c r="DC858" i="34"/>
  <c r="DG858" i="34" s="1" a="1"/>
  <c r="DG858" i="34" s="1"/>
  <c r="DD858" i="34"/>
  <c r="DI858" i="34"/>
  <c r="DJ858" i="34"/>
  <c r="DO858" i="34"/>
  <c r="DP858" i="34"/>
  <c r="DR858" i="34" s="1" a="1"/>
  <c r="DR858" i="34" s="1"/>
  <c r="DU858" i="34"/>
  <c r="DX858" i="34" s="1" a="1"/>
  <c r="DV858" i="34"/>
  <c r="DX858" i="34"/>
  <c r="DY858" i="34" a="1"/>
  <c r="DY858" i="34" s="1"/>
  <c r="EA858" i="34"/>
  <c r="ED858" i="34" s="1" a="1"/>
  <c r="EB858" i="34"/>
  <c r="ED858" i="34"/>
  <c r="BS859" i="34"/>
  <c r="BT859" i="34"/>
  <c r="BV859" i="34" s="1" a="1"/>
  <c r="BV859" i="34" s="1"/>
  <c r="BY859" i="34"/>
  <c r="BZ859" i="34"/>
  <c r="CB859" i="34" a="1"/>
  <c r="CB859" i="34"/>
  <c r="CC859" i="34" a="1"/>
  <c r="CC859" i="34" s="1"/>
  <c r="CE859" i="34"/>
  <c r="CF859" i="34"/>
  <c r="CI859" i="34" s="1" a="1"/>
  <c r="CI859" i="34" s="1"/>
  <c r="CK859" i="34"/>
  <c r="CL859" i="34"/>
  <c r="CN859" i="34" s="1" a="1"/>
  <c r="CN859" i="34" s="1"/>
  <c r="CQ859" i="34" a="1"/>
  <c r="CQ859" i="34"/>
  <c r="CT859" i="34" s="1" a="1"/>
  <c r="CT859" i="34" s="1"/>
  <c r="CR859" i="34"/>
  <c r="CW859" i="34"/>
  <c r="CZ859" i="34" s="1" a="1"/>
  <c r="CZ859" i="34" s="1"/>
  <c r="CX859" i="34"/>
  <c r="DA859" i="34" a="1"/>
  <c r="DA859" i="34" s="1"/>
  <c r="DC859" i="34"/>
  <c r="DD859" i="34"/>
  <c r="DF859" i="34" a="1"/>
  <c r="DF859" i="34" s="1"/>
  <c r="DG859" i="34" a="1"/>
  <c r="DG859" i="34"/>
  <c r="DI859" i="34"/>
  <c r="DJ859" i="34"/>
  <c r="DL859" i="34" a="1"/>
  <c r="DL859" i="34"/>
  <c r="DM859" i="34" a="1"/>
  <c r="DM859" i="34" s="1"/>
  <c r="DO859" i="34"/>
  <c r="DS859" i="34" s="1" a="1"/>
  <c r="DS859" i="34" s="1"/>
  <c r="DP859" i="34"/>
  <c r="DR859" i="34" a="1"/>
  <c r="DR859" i="34" s="1"/>
  <c r="DU859" i="34"/>
  <c r="DV859" i="34"/>
  <c r="DX859" i="34" a="1"/>
  <c r="DX859" i="34" s="1"/>
  <c r="EA859" i="34"/>
  <c r="EB859" i="34"/>
  <c r="EE859" i="34" s="1" a="1"/>
  <c r="EE859" i="34" s="1"/>
  <c r="ED859" i="34" a="1"/>
  <c r="ED859" i="34" s="1"/>
  <c r="BS860" i="34"/>
  <c r="BV860" i="34" s="1" a="1"/>
  <c r="BV860" i="34" s="1"/>
  <c r="BT860" i="34"/>
  <c r="BY860" i="34"/>
  <c r="BZ860" i="34"/>
  <c r="CE860" i="34"/>
  <c r="CH860" i="34" s="1" a="1"/>
  <c r="CH860" i="34" s="1"/>
  <c r="CF860" i="34"/>
  <c r="CI860" i="34" a="1"/>
  <c r="CI860" i="34" s="1"/>
  <c r="CK860" i="34"/>
  <c r="CL860" i="34"/>
  <c r="CN860" i="34" a="1"/>
  <c r="CN860" i="34" s="1"/>
  <c r="CO860" i="34" a="1"/>
  <c r="CO860" i="34" s="1"/>
  <c r="CQ860" i="34" a="1"/>
  <c r="CQ860" i="34" s="1"/>
  <c r="CR860" i="34"/>
  <c r="CW860" i="34"/>
  <c r="CX860" i="34"/>
  <c r="CZ860" i="34" a="1"/>
  <c r="CZ860" i="34" s="1"/>
  <c r="DC860" i="34"/>
  <c r="DD860" i="34"/>
  <c r="DF860" i="34" a="1"/>
  <c r="DF860" i="34" s="1"/>
  <c r="DI860" i="34"/>
  <c r="DM860" i="34" s="1" a="1"/>
  <c r="DM860" i="34" s="1"/>
  <c r="DJ860" i="34"/>
  <c r="DL860" i="34" a="1"/>
  <c r="DL860" i="34" s="1"/>
  <c r="DO860" i="34"/>
  <c r="DR860" i="34" s="1" a="1"/>
  <c r="DR860" i="34" s="1"/>
  <c r="DP860" i="34"/>
  <c r="DU860" i="34"/>
  <c r="DX860" i="34" s="1" a="1"/>
  <c r="DV860" i="34"/>
  <c r="DX860" i="34"/>
  <c r="DY860" i="34" a="1"/>
  <c r="DY860" i="34" s="1"/>
  <c r="EA860" i="34"/>
  <c r="EE860" i="34" s="1" a="1"/>
  <c r="EE860" i="34" s="1"/>
  <c r="EB860" i="34"/>
  <c r="ED860" i="34" a="1"/>
  <c r="ED860" i="34" s="1"/>
  <c r="BS861" i="34"/>
  <c r="BT861" i="34"/>
  <c r="BV861" i="34" s="1" a="1"/>
  <c r="BV861" i="34" s="1"/>
  <c r="BY861" i="34"/>
  <c r="BZ861" i="34"/>
  <c r="CB861" i="34" a="1"/>
  <c r="CB861" i="34"/>
  <c r="CC861" i="34" a="1"/>
  <c r="CC861" i="34" s="1"/>
  <c r="CE861" i="34"/>
  <c r="CI861" i="34" s="1" a="1"/>
  <c r="CI861" i="34" s="1"/>
  <c r="CF861" i="34"/>
  <c r="CH861" i="34" a="1"/>
  <c r="CH861" i="34" s="1"/>
  <c r="CK861" i="34"/>
  <c r="CO861" i="34" s="1" a="1"/>
  <c r="CL861" i="34"/>
  <c r="CN861" i="34" a="1"/>
  <c r="CN861" i="34" s="1"/>
  <c r="CO861" i="34"/>
  <c r="CQ861" i="34" a="1"/>
  <c r="CQ861" i="34"/>
  <c r="CT861" i="34" s="1" a="1"/>
  <c r="CT861" i="34" s="1"/>
  <c r="CR861" i="34"/>
  <c r="CU861" i="34" s="1" a="1"/>
  <c r="CU861" i="34" s="1"/>
  <c r="CW861" i="34"/>
  <c r="CX861" i="34"/>
  <c r="CZ861" i="34" a="1"/>
  <c r="CZ861" i="34"/>
  <c r="DA861" i="34" a="1"/>
  <c r="DA861" i="34"/>
  <c r="DC861" i="34"/>
  <c r="DD861" i="34"/>
  <c r="DF861" i="34" a="1"/>
  <c r="DF861" i="34"/>
  <c r="DG861" i="34" a="1"/>
  <c r="DG861" i="34"/>
  <c r="DI861" i="34"/>
  <c r="DJ861" i="34"/>
  <c r="DL861" i="34" a="1"/>
  <c r="DL861" i="34"/>
  <c r="DO861" i="34"/>
  <c r="DS861" i="34" s="1" a="1"/>
  <c r="DS861" i="34" s="1"/>
  <c r="DP861" i="34"/>
  <c r="DU861" i="34"/>
  <c r="DV861" i="34"/>
  <c r="DX861" i="34" s="1" a="1"/>
  <c r="DX861" i="34" s="1"/>
  <c r="DY861" i="34" a="1"/>
  <c r="DY861" i="34" s="1"/>
  <c r="EA861" i="34"/>
  <c r="EE861" i="34" s="1" a="1"/>
  <c r="EE861" i="34" s="1"/>
  <c r="EB861" i="34"/>
  <c r="BS862" i="34"/>
  <c r="BW862" i="34" s="1" a="1"/>
  <c r="BW862" i="34" s="1"/>
  <c r="BT862" i="34"/>
  <c r="BY862" i="34"/>
  <c r="CB862" i="34" s="1" a="1"/>
  <c r="CB862" i="34" s="1"/>
  <c r="BZ862" i="34"/>
  <c r="CC862" i="34" s="1" a="1"/>
  <c r="CC862" i="34" s="1"/>
  <c r="CE862" i="34"/>
  <c r="CF862" i="34"/>
  <c r="CH862" i="34" a="1"/>
  <c r="CH862" i="34"/>
  <c r="CI862" i="34" a="1"/>
  <c r="CI862" i="34"/>
  <c r="CK862" i="34"/>
  <c r="CL862" i="34"/>
  <c r="CN862" i="34" a="1"/>
  <c r="CN862" i="34" s="1"/>
  <c r="CO862" i="34" a="1"/>
  <c r="CO862" i="34"/>
  <c r="CQ862" i="34" a="1"/>
  <c r="CQ862" i="34"/>
  <c r="CU862" i="34" s="1" a="1"/>
  <c r="CR862" i="34"/>
  <c r="CT862" i="34" a="1"/>
  <c r="CT862" i="34" s="1"/>
  <c r="CU862" i="34"/>
  <c r="CW862" i="34"/>
  <c r="CX862" i="34"/>
  <c r="CZ862" i="34" a="1"/>
  <c r="CZ862" i="34" s="1"/>
  <c r="DC862" i="34"/>
  <c r="DG862" i="34" s="1" a="1"/>
  <c r="DG862" i="34" s="1"/>
  <c r="DD862" i="34"/>
  <c r="DF862" i="34" a="1"/>
  <c r="DF862" i="34" s="1"/>
  <c r="DI862" i="34"/>
  <c r="DJ862" i="34"/>
  <c r="DO862" i="34"/>
  <c r="DR862" i="34" s="1" a="1"/>
  <c r="DP862" i="34"/>
  <c r="DR862" i="34"/>
  <c r="DS862" i="34" a="1"/>
  <c r="DS862" i="34" s="1"/>
  <c r="DU862" i="34"/>
  <c r="DY862" i="34" s="1" a="1"/>
  <c r="DY862" i="34" s="1"/>
  <c r="DV862" i="34"/>
  <c r="DX862" i="34" a="1"/>
  <c r="DX862" i="34" s="1"/>
  <c r="EA862" i="34"/>
  <c r="EB862" i="34"/>
  <c r="BS863" i="34"/>
  <c r="BT863" i="34"/>
  <c r="BV863" i="34" s="1" a="1"/>
  <c r="BV863" i="34" s="1"/>
  <c r="BW863" i="34" a="1"/>
  <c r="BW863" i="34" s="1"/>
  <c r="BY863" i="34"/>
  <c r="BZ863" i="34"/>
  <c r="CB863" i="34" a="1"/>
  <c r="CB863" i="34" s="1"/>
  <c r="CE863" i="34"/>
  <c r="CI863" i="34" s="1" a="1"/>
  <c r="CI863" i="34" s="1"/>
  <c r="CF863" i="34"/>
  <c r="CH863" i="34" a="1"/>
  <c r="CH863" i="34" s="1"/>
  <c r="CK863" i="34"/>
  <c r="CN863" i="34" s="1" a="1"/>
  <c r="CN863" i="34" s="1"/>
  <c r="CL863" i="34"/>
  <c r="CO863" i="34" a="1"/>
  <c r="CO863" i="34" s="1"/>
  <c r="CQ863" i="34" a="1"/>
  <c r="CQ863" i="34"/>
  <c r="CT863" i="34" s="1" a="1"/>
  <c r="CT863" i="34" s="1"/>
  <c r="CR863" i="34"/>
  <c r="CW863" i="34"/>
  <c r="CX863" i="34"/>
  <c r="CZ863" i="34" s="1" a="1"/>
  <c r="CZ863" i="34" s="1"/>
  <c r="DA863" i="34" a="1"/>
  <c r="DA863" i="34" s="1"/>
  <c r="DC863" i="34"/>
  <c r="DF863" i="34" s="1" a="1"/>
  <c r="DF863" i="34" s="1"/>
  <c r="DD863" i="34"/>
  <c r="DG863" i="34" s="1" a="1"/>
  <c r="DG863" i="34" s="1"/>
  <c r="DI863" i="34"/>
  <c r="DM863" i="34" s="1" a="1"/>
  <c r="DM863" i="34" s="1"/>
  <c r="DJ863" i="34"/>
  <c r="DO863" i="34"/>
  <c r="DP863" i="34"/>
  <c r="DR863" i="34" s="1" a="1"/>
  <c r="DR863" i="34" s="1"/>
  <c r="DU863" i="34"/>
  <c r="DV863" i="34"/>
  <c r="DX863" i="34" a="1"/>
  <c r="DX863" i="34"/>
  <c r="DY863" i="34" a="1"/>
  <c r="DY863" i="34" s="1"/>
  <c r="EA863" i="34"/>
  <c r="ED863" i="34" s="1" a="1"/>
  <c r="ED863" i="34" s="1"/>
  <c r="EB863" i="34"/>
  <c r="EE863" i="34" s="1" a="1"/>
  <c r="EE863" i="34" s="1"/>
  <c r="BS864" i="34"/>
  <c r="BW864" i="34" s="1" a="1"/>
  <c r="BW864" i="34" s="1"/>
  <c r="BT864" i="34"/>
  <c r="BV864" i="34" a="1"/>
  <c r="BV864" i="34"/>
  <c r="BY864" i="34"/>
  <c r="CB864" i="34" s="1" a="1"/>
  <c r="CB864" i="34" s="1"/>
  <c r="BZ864" i="34"/>
  <c r="CE864" i="34"/>
  <c r="CF864" i="34"/>
  <c r="CH864" i="34" s="1" a="1"/>
  <c r="CH864" i="34" s="1"/>
  <c r="CI864" i="34" a="1"/>
  <c r="CI864" i="34" s="1"/>
  <c r="CK864" i="34"/>
  <c r="CN864" i="34" s="1" a="1"/>
  <c r="CN864" i="34" s="1"/>
  <c r="CL864" i="34"/>
  <c r="CO864" i="34" s="1" a="1"/>
  <c r="CO864" i="34" s="1"/>
  <c r="CQ864" i="34" a="1"/>
  <c r="CQ864" i="34" s="1"/>
  <c r="CU864" i="34" s="1" a="1"/>
  <c r="CU864" i="34" s="1"/>
  <c r="CR864" i="34"/>
  <c r="CT864" i="34" a="1"/>
  <c r="CT864" i="34" s="1"/>
  <c r="CW864" i="34"/>
  <c r="CZ864" i="34" s="1" a="1"/>
  <c r="CZ864" i="34" s="1"/>
  <c r="CX864" i="34"/>
  <c r="DA864" i="34" a="1"/>
  <c r="DA864" i="34" s="1"/>
  <c r="DC864" i="34"/>
  <c r="DG864" i="34" s="1" a="1"/>
  <c r="DG864" i="34" s="1"/>
  <c r="DD864" i="34"/>
  <c r="DF864" i="34" a="1"/>
  <c r="DF864" i="34" s="1"/>
  <c r="DI864" i="34"/>
  <c r="DJ864" i="34"/>
  <c r="DO864" i="34"/>
  <c r="DP864" i="34"/>
  <c r="DS864" i="34" s="1" a="1"/>
  <c r="DS864" i="34" s="1"/>
  <c r="DR864" i="34" a="1"/>
  <c r="DR864" i="34" s="1"/>
  <c r="DU864" i="34"/>
  <c r="DX864" i="34" s="1" a="1"/>
  <c r="DX864" i="34" s="1"/>
  <c r="DV864" i="34"/>
  <c r="DY864" i="34" a="1"/>
  <c r="DY864" i="34" s="1"/>
  <c r="EA864" i="34"/>
  <c r="EB864" i="34"/>
  <c r="ED864" i="34" a="1"/>
  <c r="ED864" i="34" s="1"/>
  <c r="EE864" i="34" a="1"/>
  <c r="EE864" i="34"/>
  <c r="BS865" i="34"/>
  <c r="BV865" i="34" s="1" a="1"/>
  <c r="BV865" i="34" s="1"/>
  <c r="BT865" i="34"/>
  <c r="BY865" i="34"/>
  <c r="CC865" i="34" s="1" a="1"/>
  <c r="CC865" i="34" s="1"/>
  <c r="BZ865" i="34"/>
  <c r="CB865" i="34" a="1"/>
  <c r="CB865" i="34" s="1"/>
  <c r="CE865" i="34"/>
  <c r="CH865" i="34" s="1" a="1"/>
  <c r="CH865" i="34" s="1"/>
  <c r="CF865" i="34"/>
  <c r="CI865" i="34" a="1"/>
  <c r="CI865" i="34" s="1"/>
  <c r="CK865" i="34"/>
  <c r="CO865" i="34" s="1" a="1"/>
  <c r="CO865" i="34" s="1"/>
  <c r="CL865" i="34"/>
  <c r="CN865" i="34" a="1"/>
  <c r="CN865" i="34" s="1"/>
  <c r="CQ865" i="34" a="1"/>
  <c r="CQ865" i="34" s="1"/>
  <c r="CR865" i="34"/>
  <c r="CW865" i="34"/>
  <c r="CZ865" i="34" s="1" a="1"/>
  <c r="CZ865" i="34" s="1"/>
  <c r="CX865" i="34"/>
  <c r="DA865" i="34" s="1" a="1"/>
  <c r="DA865" i="34" s="1"/>
  <c r="DC865" i="34"/>
  <c r="DG865" i="34" s="1" a="1"/>
  <c r="DG865" i="34" s="1"/>
  <c r="DD865" i="34"/>
  <c r="DI865" i="34"/>
  <c r="DJ865" i="34"/>
  <c r="DL865" i="34" s="1" a="1"/>
  <c r="DL865" i="34" s="1"/>
  <c r="DO865" i="34"/>
  <c r="DP865" i="34"/>
  <c r="DR865" i="34" a="1"/>
  <c r="DR865" i="34"/>
  <c r="DS865" i="34" a="1"/>
  <c r="DS865" i="34" s="1"/>
  <c r="DU865" i="34"/>
  <c r="DV865" i="34"/>
  <c r="DY865" i="34" s="1" a="1"/>
  <c r="DY865" i="34" s="1"/>
  <c r="EA865" i="34"/>
  <c r="EE865" i="34" s="1" a="1"/>
  <c r="EE865" i="34" s="1"/>
  <c r="EB865" i="34"/>
  <c r="ED865" i="34" a="1"/>
  <c r="ED865" i="34"/>
  <c r="BS866" i="34"/>
  <c r="BV866" i="34" s="1" a="1"/>
  <c r="BV866" i="34" s="1"/>
  <c r="BT866" i="34"/>
  <c r="BY866" i="34"/>
  <c r="BZ866" i="34"/>
  <c r="CB866" i="34" s="1" a="1"/>
  <c r="CB866" i="34" s="1"/>
  <c r="CC866" i="34" a="1"/>
  <c r="CC866" i="34" s="1"/>
  <c r="CE866" i="34"/>
  <c r="CH866" i="34" s="1" a="1"/>
  <c r="CH866" i="34" s="1"/>
  <c r="CF866" i="34"/>
  <c r="CI866" i="34" s="1" a="1"/>
  <c r="CI866" i="34" s="1"/>
  <c r="CK866" i="34"/>
  <c r="CO866" i="34" s="1" a="1"/>
  <c r="CO866" i="34" s="1"/>
  <c r="CL866" i="34"/>
  <c r="CQ866" i="34" a="1"/>
  <c r="CQ866" i="34"/>
  <c r="CT866" i="34" s="1" a="1"/>
  <c r="CT866" i="34" s="1"/>
  <c r="CR866" i="34"/>
  <c r="CU866" i="34" a="1"/>
  <c r="CU866" i="34" s="1"/>
  <c r="CW866" i="34"/>
  <c r="DA866" i="34" s="1" a="1"/>
  <c r="DA866" i="34" s="1"/>
  <c r="CX866" i="34"/>
  <c r="CZ866" i="34" a="1"/>
  <c r="CZ866" i="34" s="1"/>
  <c r="DC866" i="34"/>
  <c r="DD866" i="34"/>
  <c r="DI866" i="34"/>
  <c r="DJ866" i="34"/>
  <c r="DM866" i="34" s="1" a="1"/>
  <c r="DM866" i="34" s="1"/>
  <c r="DL866" i="34" a="1"/>
  <c r="DL866" i="34" s="1"/>
  <c r="DO866" i="34"/>
  <c r="DR866" i="34" s="1" a="1"/>
  <c r="DR866" i="34" s="1"/>
  <c r="DP866" i="34"/>
  <c r="DS866" i="34" a="1"/>
  <c r="DS866" i="34" s="1"/>
  <c r="DU866" i="34"/>
  <c r="DV866" i="34"/>
  <c r="DX866" i="34" a="1"/>
  <c r="DX866" i="34" s="1"/>
  <c r="DY866" i="34" a="1"/>
  <c r="DY866" i="34"/>
  <c r="EA866" i="34"/>
  <c r="ED866" i="34" s="1" a="1"/>
  <c r="ED866" i="34" s="1"/>
  <c r="EB866" i="34"/>
  <c r="BS867" i="34"/>
  <c r="BW867" i="34" s="1" a="1"/>
  <c r="BW867" i="34" s="1"/>
  <c r="BT867" i="34"/>
  <c r="BV867" i="34" a="1"/>
  <c r="BV867" i="34" s="1"/>
  <c r="BY867" i="34"/>
  <c r="CB867" i="34" s="1" a="1"/>
  <c r="CB867" i="34" s="1"/>
  <c r="BZ867" i="34"/>
  <c r="CC867" i="34" a="1"/>
  <c r="CC867" i="34" s="1"/>
  <c r="CE867" i="34"/>
  <c r="CI867" i="34" s="1" a="1"/>
  <c r="CI867" i="34" s="1"/>
  <c r="CF867" i="34"/>
  <c r="CH867" i="34" a="1"/>
  <c r="CH867" i="34" s="1"/>
  <c r="CK867" i="34"/>
  <c r="CL867" i="34"/>
  <c r="CQ867" i="34" a="1"/>
  <c r="CQ867" i="34"/>
  <c r="CT867" i="34" s="1" a="1"/>
  <c r="CT867" i="34" s="1"/>
  <c r="CR867" i="34"/>
  <c r="CU867" i="34" s="1" a="1"/>
  <c r="CU867" i="34" s="1"/>
  <c r="CW867" i="34"/>
  <c r="DA867" i="34" s="1" a="1"/>
  <c r="DA867" i="34" s="1"/>
  <c r="CX867" i="34"/>
  <c r="DC867" i="34"/>
  <c r="DD867" i="34"/>
  <c r="DF867" i="34" s="1" a="1"/>
  <c r="DF867" i="34" s="1"/>
  <c r="DI867" i="34"/>
  <c r="DJ867" i="34"/>
  <c r="DL867" i="34" a="1"/>
  <c r="DL867" i="34"/>
  <c r="DM867" i="34" a="1"/>
  <c r="DM867" i="34" s="1"/>
  <c r="DO867" i="34"/>
  <c r="DP867" i="34"/>
  <c r="DS867" i="34" s="1" a="1"/>
  <c r="DS867" i="34" s="1"/>
  <c r="DU867" i="34"/>
  <c r="DX867" i="34" s="1" a="1"/>
  <c r="DX867" i="34" s="1"/>
  <c r="DV867" i="34"/>
  <c r="EA867" i="34"/>
  <c r="ED867" i="34" s="1" a="1"/>
  <c r="ED867" i="34" s="1"/>
  <c r="EB867" i="34"/>
  <c r="BS868" i="34"/>
  <c r="BT868" i="34"/>
  <c r="BV868" i="34" s="1" a="1"/>
  <c r="BV868" i="34" s="1"/>
  <c r="BW868" i="34" a="1"/>
  <c r="BW868" i="34" s="1"/>
  <c r="BY868" i="34"/>
  <c r="CB868" i="34" s="1" a="1"/>
  <c r="CB868" i="34" s="1"/>
  <c r="BZ868" i="34"/>
  <c r="CC868" i="34" s="1" a="1"/>
  <c r="CC868" i="34" s="1"/>
  <c r="CE868" i="34"/>
  <c r="CI868" i="34" s="1" a="1"/>
  <c r="CI868" i="34" s="1"/>
  <c r="CF868" i="34"/>
  <c r="CK868" i="34"/>
  <c r="CL868" i="34"/>
  <c r="CN868" i="34" s="1" a="1"/>
  <c r="CN868" i="34" s="1"/>
  <c r="CQ868" i="34" a="1"/>
  <c r="CQ868" i="34"/>
  <c r="CU868" i="34" s="1" a="1"/>
  <c r="CU868" i="34" s="1"/>
  <c r="CR868" i="34"/>
  <c r="CT868" i="34" a="1"/>
  <c r="CT868" i="34" s="1"/>
  <c r="CW868" i="34"/>
  <c r="CX868" i="34"/>
  <c r="DC868" i="34"/>
  <c r="DG868" i="34" s="1" a="1"/>
  <c r="DG868" i="34" s="1"/>
  <c r="DD868" i="34"/>
  <c r="DF868" i="34" a="1"/>
  <c r="DF868" i="34" s="1"/>
  <c r="DI868" i="34"/>
  <c r="DL868" i="34" s="1" a="1"/>
  <c r="DL868" i="34" s="1"/>
  <c r="DJ868" i="34"/>
  <c r="DM868" i="34" a="1"/>
  <c r="DM868" i="34" s="1"/>
  <c r="DO868" i="34"/>
  <c r="DP868" i="34"/>
  <c r="DR868" i="34" a="1"/>
  <c r="DR868" i="34" s="1"/>
  <c r="DS868" i="34" a="1"/>
  <c r="DS868" i="34"/>
  <c r="DU868" i="34"/>
  <c r="DX868" i="34" s="1" a="1"/>
  <c r="DX868" i="34" s="1"/>
  <c r="DV868" i="34"/>
  <c r="EA868" i="34"/>
  <c r="EE868" i="34" s="1" a="1"/>
  <c r="EE868" i="34" s="1"/>
  <c r="EB868" i="34"/>
  <c r="ED868" i="34" a="1"/>
  <c r="ED868" i="34" s="1"/>
  <c r="BS869" i="34"/>
  <c r="BV869" i="34" s="1" a="1"/>
  <c r="BV869" i="34" s="1"/>
  <c r="BT869" i="34"/>
  <c r="BW869" i="34" a="1"/>
  <c r="BW869" i="34" s="1"/>
  <c r="BY869" i="34"/>
  <c r="CC869" i="34" s="1" a="1"/>
  <c r="CC869" i="34" s="1"/>
  <c r="BZ869" i="34"/>
  <c r="CB869" i="34" a="1"/>
  <c r="CB869" i="34" s="1"/>
  <c r="CE869" i="34"/>
  <c r="CF869" i="34"/>
  <c r="CK869" i="34"/>
  <c r="CO869" i="34" s="1" a="1"/>
  <c r="CO869" i="34" s="1"/>
  <c r="CL869" i="34"/>
  <c r="CN869" i="34" a="1"/>
  <c r="CN869" i="34" s="1"/>
  <c r="CQ869" i="34" a="1"/>
  <c r="CQ869" i="34" s="1"/>
  <c r="CR869" i="34"/>
  <c r="CW869" i="34"/>
  <c r="CX869" i="34"/>
  <c r="CZ869" i="34" s="1" a="1"/>
  <c r="CZ869" i="34" s="1"/>
  <c r="DC869" i="34"/>
  <c r="DD869" i="34"/>
  <c r="DF869" i="34" a="1"/>
  <c r="DF869" i="34"/>
  <c r="DG869" i="34" a="1"/>
  <c r="DG869" i="34" s="1"/>
  <c r="DI869" i="34"/>
  <c r="DL869" i="34" s="1" a="1"/>
  <c r="DL869" i="34" s="1"/>
  <c r="DJ869" i="34"/>
  <c r="DM869" i="34" s="1" a="1"/>
  <c r="DM869" i="34" s="1"/>
  <c r="DO869" i="34"/>
  <c r="DR869" i="34" s="1" a="1"/>
  <c r="DR869" i="34" s="1"/>
  <c r="DP869" i="34"/>
  <c r="DU869" i="34"/>
  <c r="DX869" i="34" s="1" a="1"/>
  <c r="DX869" i="34" s="1"/>
  <c r="DV869" i="34"/>
  <c r="EA869" i="34"/>
  <c r="EB869" i="34"/>
  <c r="ED869" i="34" s="1" a="1"/>
  <c r="ED869" i="34" s="1"/>
  <c r="EE869" i="34" a="1"/>
  <c r="EE869" i="34" s="1"/>
  <c r="BS870" i="34"/>
  <c r="BV870" i="34" s="1" a="1"/>
  <c r="BV870" i="34" s="1"/>
  <c r="BT870" i="34"/>
  <c r="BW870" i="34" s="1" a="1"/>
  <c r="BW870" i="34" s="1"/>
  <c r="BY870" i="34"/>
  <c r="CC870" i="34" s="1" a="1"/>
  <c r="CC870" i="34" s="1"/>
  <c r="BZ870" i="34"/>
  <c r="CE870" i="34"/>
  <c r="CF870" i="34"/>
  <c r="CH870" i="34" s="1" a="1"/>
  <c r="CH870" i="34" s="1"/>
  <c r="CK870" i="34"/>
  <c r="CL870" i="34"/>
  <c r="CN870" i="34" a="1"/>
  <c r="CN870" i="34"/>
  <c r="CO870" i="34" a="1"/>
  <c r="CO870" i="34" s="1"/>
  <c r="CQ870" i="34" a="1"/>
  <c r="CQ870" i="34"/>
  <c r="CR870" i="34"/>
  <c r="CW870" i="34"/>
  <c r="DA870" i="34" s="1" a="1"/>
  <c r="DA870" i="34" s="1"/>
  <c r="CX870" i="34"/>
  <c r="CZ870" i="34" a="1"/>
  <c r="CZ870" i="34" s="1"/>
  <c r="DC870" i="34"/>
  <c r="DF870" i="34" s="1" a="1"/>
  <c r="DF870" i="34" s="1"/>
  <c r="DD870" i="34"/>
  <c r="DG870" i="34" a="1"/>
  <c r="DG870" i="34" s="1"/>
  <c r="DI870" i="34"/>
  <c r="DJ870" i="34"/>
  <c r="DL870" i="34" a="1"/>
  <c r="DL870" i="34" s="1"/>
  <c r="DM870" i="34" a="1"/>
  <c r="DM870" i="34"/>
  <c r="DO870" i="34"/>
  <c r="DR870" i="34" s="1" a="1"/>
  <c r="DR870" i="34" s="1"/>
  <c r="DP870" i="34"/>
  <c r="DU870" i="34"/>
  <c r="DY870" i="34" s="1" a="1"/>
  <c r="DY870" i="34" s="1"/>
  <c r="DV870" i="34"/>
  <c r="DX870" i="34" a="1"/>
  <c r="DX870" i="34" s="1"/>
  <c r="EA870" i="34"/>
  <c r="ED870" i="34" s="1" a="1"/>
  <c r="ED870" i="34" s="1"/>
  <c r="EB870" i="34"/>
  <c r="EE870" i="34" a="1"/>
  <c r="EE870" i="34" s="1"/>
  <c r="BS871" i="34"/>
  <c r="BW871" i="34" s="1" a="1"/>
  <c r="BW871" i="34" s="1"/>
  <c r="BT871" i="34"/>
  <c r="BV871" i="34" a="1"/>
  <c r="BV871" i="34" s="1"/>
  <c r="BY871" i="34"/>
  <c r="BZ871" i="34"/>
  <c r="CE871" i="34"/>
  <c r="CI871" i="34" s="1" a="1"/>
  <c r="CI871" i="34" s="1"/>
  <c r="CF871" i="34"/>
  <c r="CH871" i="34" a="1"/>
  <c r="CH871" i="34" s="1"/>
  <c r="CK871" i="34"/>
  <c r="CN871" i="34" s="1" a="1"/>
  <c r="CN871" i="34" s="1"/>
  <c r="CL871" i="34"/>
  <c r="CO871" i="34" a="1"/>
  <c r="CO871" i="34" s="1"/>
  <c r="CQ871" i="34" a="1"/>
  <c r="CQ871" i="34" s="1"/>
  <c r="CR871" i="34"/>
  <c r="CW871" i="34"/>
  <c r="CX871" i="34"/>
  <c r="CZ871" i="34" a="1"/>
  <c r="CZ871" i="34"/>
  <c r="DA871" i="34" a="1"/>
  <c r="DA871" i="34" s="1"/>
  <c r="DC871" i="34"/>
  <c r="DD871" i="34"/>
  <c r="DG871" i="34" s="1" a="1"/>
  <c r="DG871" i="34" s="1"/>
  <c r="DI871" i="34"/>
  <c r="DL871" i="34" s="1" a="1"/>
  <c r="DL871" i="34" s="1"/>
  <c r="DJ871" i="34"/>
  <c r="DO871" i="34"/>
  <c r="DR871" i="34" s="1" a="1"/>
  <c r="DR871" i="34" s="1"/>
  <c r="DP871" i="34"/>
  <c r="DU871" i="34"/>
  <c r="DV871" i="34"/>
  <c r="DX871" i="34" s="1" a="1"/>
  <c r="DX871" i="34" s="1"/>
  <c r="DY871" i="34" a="1"/>
  <c r="DY871" i="34" s="1"/>
  <c r="EA871" i="34"/>
  <c r="ED871" i="34" s="1" a="1"/>
  <c r="ED871" i="34" s="1"/>
  <c r="EB871" i="34"/>
  <c r="EE871" i="34" s="1" a="1"/>
  <c r="EE871" i="34" s="1"/>
  <c r="BS872" i="34"/>
  <c r="BW872" i="34" s="1" a="1"/>
  <c r="BW872" i="34" s="1"/>
  <c r="BT872" i="34"/>
  <c r="BY872" i="34"/>
  <c r="BZ872" i="34"/>
  <c r="CB872" i="34" s="1" a="1"/>
  <c r="CB872" i="34" s="1"/>
  <c r="CE872" i="34"/>
  <c r="CF872" i="34"/>
  <c r="CH872" i="34" a="1"/>
  <c r="CH872" i="34"/>
  <c r="CI872" i="34" a="1"/>
  <c r="CI872" i="34" s="1"/>
  <c r="CK872" i="34"/>
  <c r="CN872" i="34" s="1" a="1"/>
  <c r="CN872" i="34" s="1"/>
  <c r="CL872" i="34"/>
  <c r="CO872" i="34" s="1" a="1"/>
  <c r="CO872" i="34" s="1"/>
  <c r="CQ872" i="34" a="1"/>
  <c r="CQ872" i="34" s="1"/>
  <c r="CR872" i="34"/>
  <c r="CW872" i="34"/>
  <c r="CZ872" i="34" s="1" a="1"/>
  <c r="CZ872" i="34" s="1"/>
  <c r="CX872" i="34"/>
  <c r="DA872" i="34" a="1"/>
  <c r="DA872" i="34" s="1"/>
  <c r="DC872" i="34"/>
  <c r="DD872" i="34"/>
  <c r="DF872" i="34" a="1"/>
  <c r="DF872" i="34" s="1"/>
  <c r="DG872" i="34" a="1"/>
  <c r="DG872" i="34"/>
  <c r="DI872" i="34"/>
  <c r="DL872" i="34" s="1" a="1"/>
  <c r="DL872" i="34" s="1"/>
  <c r="DJ872" i="34"/>
  <c r="DO872" i="34"/>
  <c r="DS872" i="34" s="1" a="1"/>
  <c r="DS872" i="34" s="1"/>
  <c r="DP872" i="34"/>
  <c r="DR872" i="34" a="1"/>
  <c r="DR872" i="34" s="1"/>
  <c r="DU872" i="34"/>
  <c r="DX872" i="34" s="1" a="1"/>
  <c r="DX872" i="34" s="1"/>
  <c r="DV872" i="34"/>
  <c r="DY872" i="34" a="1"/>
  <c r="DY872" i="34" s="1"/>
  <c r="EA872" i="34"/>
  <c r="EE872" i="34" s="1" a="1"/>
  <c r="EE872" i="34" s="1"/>
  <c r="EB872" i="34"/>
  <c r="ED872" i="34" a="1"/>
  <c r="ED872" i="34" s="1"/>
  <c r="BS873" i="34"/>
  <c r="BT873" i="34"/>
  <c r="BY873" i="34"/>
  <c r="CC873" i="34" s="1" a="1"/>
  <c r="CC873" i="34" s="1"/>
  <c r="BZ873" i="34"/>
  <c r="CB873" i="34" a="1"/>
  <c r="CB873" i="34" s="1"/>
  <c r="CE873" i="34"/>
  <c r="CH873" i="34" s="1" a="1"/>
  <c r="CH873" i="34" s="1"/>
  <c r="CF873" i="34"/>
  <c r="CI873" i="34" a="1"/>
  <c r="CI873" i="34" s="1"/>
  <c r="CK873" i="34"/>
  <c r="CL873" i="34"/>
  <c r="CN873" i="34" a="1"/>
  <c r="CN873" i="34" s="1"/>
  <c r="CO873" i="34" a="1"/>
  <c r="CO873" i="34"/>
  <c r="CQ873" i="34" a="1"/>
  <c r="CQ873" i="34" s="1"/>
  <c r="CR873" i="34"/>
  <c r="CW873" i="34"/>
  <c r="CZ873" i="34" s="1" a="1"/>
  <c r="CZ873" i="34" s="1"/>
  <c r="CX873" i="34"/>
  <c r="DA873" i="34" s="1" a="1"/>
  <c r="DA873" i="34" s="1"/>
  <c r="DC873" i="34"/>
  <c r="DF873" i="34" s="1" a="1"/>
  <c r="DF873" i="34" s="1"/>
  <c r="DD873" i="34"/>
  <c r="DI873" i="34"/>
  <c r="DL873" i="34" s="1" a="1"/>
  <c r="DL873" i="34" s="1"/>
  <c r="DJ873" i="34"/>
  <c r="DO873" i="34"/>
  <c r="DP873" i="34"/>
  <c r="DR873" i="34" s="1" a="1"/>
  <c r="DR873" i="34" s="1"/>
  <c r="DS873" i="34" a="1"/>
  <c r="DS873" i="34" s="1"/>
  <c r="DU873" i="34"/>
  <c r="DX873" i="34" s="1" a="1"/>
  <c r="DX873" i="34" s="1"/>
  <c r="DV873" i="34"/>
  <c r="DY873" i="34" s="1" a="1"/>
  <c r="DY873" i="34" s="1"/>
  <c r="EA873" i="34"/>
  <c r="EE873" i="34" s="1" a="1"/>
  <c r="EE873" i="34" s="1"/>
  <c r="EB873" i="34"/>
  <c r="BS874" i="34"/>
  <c r="BT874" i="34"/>
  <c r="BV874" i="34" s="1" a="1"/>
  <c r="BV874" i="34" s="1"/>
  <c r="BY874" i="34"/>
  <c r="BZ874" i="34"/>
  <c r="CB874" i="34" a="1"/>
  <c r="CB874" i="34"/>
  <c r="CC874" i="34" a="1"/>
  <c r="CC874" i="34" s="1"/>
  <c r="CE874" i="34"/>
  <c r="CH874" i="34" s="1" a="1"/>
  <c r="CH874" i="34" s="1"/>
  <c r="CF874" i="34"/>
  <c r="CI874" i="34" s="1" a="1"/>
  <c r="CI874" i="34" s="1"/>
  <c r="CK874" i="34"/>
  <c r="CN874" i="34" s="1" a="1"/>
  <c r="CN874" i="34" s="1"/>
  <c r="CL874" i="34"/>
  <c r="CQ874" i="34" a="1"/>
  <c r="CQ874" i="34"/>
  <c r="CT874" i="34" s="1" a="1"/>
  <c r="CT874" i="34" s="1"/>
  <c r="CR874" i="34"/>
  <c r="CU874" i="34" a="1"/>
  <c r="CU874" i="34" s="1"/>
  <c r="CW874" i="34"/>
  <c r="CX874" i="34"/>
  <c r="CZ874" i="34" a="1"/>
  <c r="CZ874" i="34" s="1"/>
  <c r="DA874" i="34" a="1"/>
  <c r="DA874" i="34"/>
  <c r="DC874" i="34"/>
  <c r="DF874" i="34" s="1" a="1"/>
  <c r="DF874" i="34" s="1"/>
  <c r="DD874" i="34"/>
  <c r="DI874" i="34"/>
  <c r="DM874" i="34" s="1" a="1"/>
  <c r="DM874" i="34" s="1"/>
  <c r="DJ874" i="34"/>
  <c r="DL874" i="34" a="1"/>
  <c r="DL874" i="34" s="1"/>
  <c r="DO874" i="34"/>
  <c r="DR874" i="34" s="1" a="1"/>
  <c r="DR874" i="34" s="1"/>
  <c r="DP874" i="34"/>
  <c r="DS874" i="34" a="1"/>
  <c r="DS874" i="34" s="1"/>
  <c r="DU874" i="34"/>
  <c r="DY874" i="34" s="1" a="1"/>
  <c r="DY874" i="34" s="1"/>
  <c r="DV874" i="34"/>
  <c r="DX874" i="34" a="1"/>
  <c r="DX874" i="34" s="1"/>
  <c r="EA874" i="34"/>
  <c r="EB874" i="34"/>
  <c r="BS875" i="34"/>
  <c r="BW875" i="34" s="1" a="1"/>
  <c r="BW875" i="34" s="1"/>
  <c r="BT875" i="34"/>
  <c r="BV875" i="34" a="1"/>
  <c r="BV875" i="34" s="1"/>
  <c r="BY875" i="34"/>
  <c r="CB875" i="34" s="1" a="1"/>
  <c r="CB875" i="34" s="1"/>
  <c r="BZ875" i="34"/>
  <c r="CC875" i="34" a="1"/>
  <c r="CC875" i="34" s="1"/>
  <c r="CE875" i="34"/>
  <c r="CF875" i="34"/>
  <c r="CH875" i="34" a="1"/>
  <c r="CH875" i="34" s="1"/>
  <c r="CI875" i="34" a="1"/>
  <c r="CI875" i="34" s="1"/>
  <c r="CK875" i="34"/>
  <c r="CN875" i="34" s="1" a="1"/>
  <c r="CN875" i="34" s="1"/>
  <c r="CL875" i="34"/>
  <c r="CQ875" i="34" a="1"/>
  <c r="CQ875" i="34" s="1"/>
  <c r="CR875" i="34"/>
  <c r="CW875" i="34"/>
  <c r="CZ875" i="34" s="1" a="1"/>
  <c r="CZ875" i="34" s="1"/>
  <c r="CX875" i="34"/>
  <c r="DC875" i="34"/>
  <c r="DF875" i="34" s="1" a="1"/>
  <c r="DF875" i="34" s="1"/>
  <c r="DD875" i="34"/>
  <c r="DI875" i="34"/>
  <c r="DJ875" i="34"/>
  <c r="DL875" i="34" s="1" a="1"/>
  <c r="DL875" i="34" s="1"/>
  <c r="DM875" i="34" a="1"/>
  <c r="DM875" i="34" s="1"/>
  <c r="DO875" i="34"/>
  <c r="DR875" i="34" s="1" a="1"/>
  <c r="DR875" i="34" s="1"/>
  <c r="DP875" i="34"/>
  <c r="DS875" i="34" s="1" a="1"/>
  <c r="DS875" i="34" s="1"/>
  <c r="DU875" i="34"/>
  <c r="DY875" i="34" s="1" a="1"/>
  <c r="DY875" i="34" s="1"/>
  <c r="DV875" i="34"/>
  <c r="EA875" i="34"/>
  <c r="EB875" i="34"/>
  <c r="ED875" i="34" s="1" a="1"/>
  <c r="ED875" i="34" s="1"/>
  <c r="BS876" i="34"/>
  <c r="BT876" i="34"/>
  <c r="BV876" i="34" a="1"/>
  <c r="BV876" i="34"/>
  <c r="BW876" i="34" a="1"/>
  <c r="BW876" i="34" s="1"/>
  <c r="BY876" i="34"/>
  <c r="CB876" i="34" s="1" a="1"/>
  <c r="CB876" i="34" s="1"/>
  <c r="BZ876" i="34"/>
  <c r="CC876" i="34" s="1" a="1"/>
  <c r="CC876" i="34" s="1"/>
  <c r="CE876" i="34"/>
  <c r="CH876" i="34" s="1" a="1"/>
  <c r="CH876" i="34" s="1"/>
  <c r="CF876" i="34"/>
  <c r="CK876" i="34"/>
  <c r="CN876" i="34" s="1" a="1"/>
  <c r="CN876" i="34" s="1"/>
  <c r="CL876" i="34"/>
  <c r="CQ876" i="34" a="1"/>
  <c r="CQ876" i="34" s="1"/>
  <c r="CR876" i="34"/>
  <c r="CW876" i="34"/>
  <c r="CZ876" i="34" s="1" a="1"/>
  <c r="CZ876" i="34" s="1"/>
  <c r="CX876" i="34"/>
  <c r="DC876" i="34"/>
  <c r="DG876" i="34" s="1" a="1"/>
  <c r="DG876" i="34" s="1"/>
  <c r="DD876" i="34"/>
  <c r="DF876" i="34" a="1"/>
  <c r="DF876" i="34" s="1"/>
  <c r="DI876" i="34"/>
  <c r="DL876" i="34" s="1" a="1"/>
  <c r="DL876" i="34" s="1"/>
  <c r="DJ876" i="34"/>
  <c r="DM876" i="34" a="1"/>
  <c r="DM876" i="34" s="1"/>
  <c r="DO876" i="34"/>
  <c r="DS876" i="34" s="1" a="1"/>
  <c r="DS876" i="34" s="1"/>
  <c r="DP876" i="34"/>
  <c r="DR876" i="34" a="1"/>
  <c r="DR876" i="34" s="1"/>
  <c r="DU876" i="34"/>
  <c r="DV876" i="34"/>
  <c r="EA876" i="34"/>
  <c r="EE876" i="34" s="1" a="1"/>
  <c r="EE876" i="34" s="1"/>
  <c r="EB876" i="34"/>
  <c r="ED876" i="34" a="1"/>
  <c r="ED876" i="34" s="1"/>
  <c r="BS877" i="34"/>
  <c r="BV877" i="34" s="1" a="1"/>
  <c r="BV877" i="34" s="1"/>
  <c r="BT877" i="34"/>
  <c r="BW877" i="34" a="1"/>
  <c r="BW877" i="34" s="1"/>
  <c r="BY877" i="34"/>
  <c r="BZ877" i="34"/>
  <c r="CB877" i="34" a="1"/>
  <c r="CB877" i="34" s="1"/>
  <c r="CC877" i="34" a="1"/>
  <c r="CC877" i="34" s="1"/>
  <c r="CE877" i="34"/>
  <c r="CH877" i="34" s="1" a="1"/>
  <c r="CH877" i="34" s="1"/>
  <c r="CF877" i="34"/>
  <c r="CK877" i="34"/>
  <c r="CO877" i="34" s="1" a="1"/>
  <c r="CO877" i="34" s="1"/>
  <c r="CL877" i="34"/>
  <c r="CN877" i="34" a="1"/>
  <c r="CN877" i="34" s="1"/>
  <c r="CQ877" i="34" a="1"/>
  <c r="CQ877" i="34" s="1"/>
  <c r="CR877" i="34"/>
  <c r="CW877" i="34"/>
  <c r="CZ877" i="34" s="1" a="1"/>
  <c r="CZ877" i="34" s="1"/>
  <c r="CX877" i="34"/>
  <c r="DC877" i="34"/>
  <c r="DF877" i="34" s="1" a="1"/>
  <c r="DF877" i="34" s="1"/>
  <c r="DD877" i="34"/>
  <c r="DG877" i="34" a="1"/>
  <c r="DG877" i="34" s="1"/>
  <c r="DI877" i="34"/>
  <c r="DL877" i="34" s="1" a="1"/>
  <c r="DL877" i="34" s="1"/>
  <c r="DJ877" i="34"/>
  <c r="DM877" i="34" s="1" a="1"/>
  <c r="DM877" i="34" s="1"/>
  <c r="DO877" i="34"/>
  <c r="DS877" i="34" s="1" a="1"/>
  <c r="DS877" i="34" s="1"/>
  <c r="DP877" i="34"/>
  <c r="DU877" i="34"/>
  <c r="DV877" i="34"/>
  <c r="DX877" i="34" s="1" a="1"/>
  <c r="DX877" i="34" s="1"/>
  <c r="EA877" i="34"/>
  <c r="EB877" i="34"/>
  <c r="ED877" i="34" a="1"/>
  <c r="ED877" i="34"/>
  <c r="EE877" i="34" a="1"/>
  <c r="EE877" i="34" s="1"/>
  <c r="BS878" i="34"/>
  <c r="BT878" i="34"/>
  <c r="BY878" i="34"/>
  <c r="CB878" i="34" s="1" a="1"/>
  <c r="CB878" i="34" s="1"/>
  <c r="BZ878" i="34"/>
  <c r="CE878" i="34"/>
  <c r="CH878" i="34" s="1" a="1"/>
  <c r="CH878" i="34" s="1"/>
  <c r="CF878" i="34"/>
  <c r="CK878" i="34"/>
  <c r="CL878" i="34"/>
  <c r="CN878" i="34" s="1" a="1"/>
  <c r="CN878" i="34" s="1"/>
  <c r="CO878" i="34" a="1"/>
  <c r="CO878" i="34" s="1"/>
  <c r="CQ878" i="34" a="1"/>
  <c r="CQ878" i="34"/>
  <c r="CT878" i="34" s="1" a="1"/>
  <c r="CT878" i="34" s="1"/>
  <c r="CR878" i="34"/>
  <c r="CW878" i="34"/>
  <c r="DA878" i="34" s="1" a="1"/>
  <c r="DA878" i="34" s="1"/>
  <c r="CX878" i="34"/>
  <c r="CZ878" i="34" a="1"/>
  <c r="CZ878" i="34" s="1"/>
  <c r="DC878" i="34"/>
  <c r="DF878" i="34" s="1" a="1"/>
  <c r="DF878" i="34" s="1"/>
  <c r="DD878" i="34"/>
  <c r="DG878" i="34" a="1"/>
  <c r="DG878" i="34" s="1"/>
  <c r="DI878" i="34"/>
  <c r="DM878" i="34" s="1" a="1"/>
  <c r="DM878" i="34" s="1"/>
  <c r="DJ878" i="34"/>
  <c r="DL878" i="34" a="1"/>
  <c r="DL878" i="34" s="1"/>
  <c r="DO878" i="34"/>
  <c r="DP878" i="34"/>
  <c r="DU878" i="34"/>
  <c r="DY878" i="34" s="1" a="1"/>
  <c r="DY878" i="34" s="1"/>
  <c r="DV878" i="34"/>
  <c r="DX878" i="34" a="1"/>
  <c r="DX878" i="34" s="1"/>
  <c r="EA878" i="34"/>
  <c r="ED878" i="34" s="1" a="1"/>
  <c r="ED878" i="34" s="1"/>
  <c r="EB878" i="34"/>
  <c r="EE878" i="34" a="1"/>
  <c r="EE878" i="34" s="1"/>
  <c r="BS879" i="34"/>
  <c r="BT879" i="34"/>
  <c r="BV879" i="34" a="1"/>
  <c r="BV879" i="34" s="1"/>
  <c r="BW879" i="34" a="1"/>
  <c r="BW879" i="34" s="1"/>
  <c r="BY879" i="34"/>
  <c r="CB879" i="34" s="1" a="1"/>
  <c r="CB879" i="34" s="1"/>
  <c r="BZ879" i="34"/>
  <c r="CE879" i="34"/>
  <c r="CI879" i="34" s="1" a="1"/>
  <c r="CI879" i="34" s="1"/>
  <c r="CF879" i="34"/>
  <c r="CH879" i="34" a="1"/>
  <c r="CH879" i="34" s="1"/>
  <c r="CK879" i="34"/>
  <c r="CN879" i="34" s="1" a="1"/>
  <c r="CN879" i="34" s="1"/>
  <c r="CL879" i="34"/>
  <c r="CO879" i="34" a="1"/>
  <c r="CO879" i="34" s="1"/>
  <c r="CQ879" i="34" a="1"/>
  <c r="CQ879" i="34"/>
  <c r="CT879" i="34" s="1" a="1"/>
  <c r="CT879" i="34" s="1"/>
  <c r="CR879" i="34"/>
  <c r="CW879" i="34"/>
  <c r="CZ879" i="34" s="1" a="1"/>
  <c r="CZ879" i="34" s="1"/>
  <c r="CX879" i="34"/>
  <c r="DA879" i="34" a="1"/>
  <c r="DA879" i="34" s="1"/>
  <c r="DC879" i="34"/>
  <c r="DF879" i="34" s="1" a="1"/>
  <c r="DF879" i="34" s="1"/>
  <c r="DD879" i="34"/>
  <c r="DG879" i="34" s="1" a="1"/>
  <c r="DG879" i="34" s="1"/>
  <c r="DI879" i="34"/>
  <c r="DM879" i="34" s="1" a="1"/>
  <c r="DM879" i="34" s="1"/>
  <c r="DJ879" i="34"/>
  <c r="DO879" i="34"/>
  <c r="DP879" i="34"/>
  <c r="DR879" i="34" s="1" a="1"/>
  <c r="DR879" i="34" s="1"/>
  <c r="DU879" i="34"/>
  <c r="DV879" i="34"/>
  <c r="DX879" i="34" a="1"/>
  <c r="DX879" i="34"/>
  <c r="DY879" i="34" a="1"/>
  <c r="DY879" i="34" s="1"/>
  <c r="EA879" i="34"/>
  <c r="ED879" i="34" s="1" a="1"/>
  <c r="ED879" i="34" s="1"/>
  <c r="EB879" i="34"/>
  <c r="BS880" i="34"/>
  <c r="BV880" i="34" s="1" a="1"/>
  <c r="BV880" i="34" s="1"/>
  <c r="BT880" i="34"/>
  <c r="BY880" i="34"/>
  <c r="CB880" i="34" s="1" a="1"/>
  <c r="CB880" i="34" s="1"/>
  <c r="BZ880" i="34"/>
  <c r="CE880" i="34"/>
  <c r="CH880" i="34" s="1" a="1"/>
  <c r="CH880" i="34" s="1"/>
  <c r="CF880" i="34"/>
  <c r="CI880" i="34" a="1"/>
  <c r="CI880" i="34" s="1"/>
  <c r="CK880" i="34"/>
  <c r="CN880" i="34" s="1" a="1"/>
  <c r="CN880" i="34" s="1"/>
  <c r="CL880" i="34"/>
  <c r="CO880" i="34" s="1" a="1"/>
  <c r="CO880" i="34" s="1"/>
  <c r="CQ880" i="34" a="1"/>
  <c r="CQ880" i="34" s="1"/>
  <c r="CU880" i="34" s="1" a="1"/>
  <c r="CU880" i="34" s="1"/>
  <c r="CR880" i="34"/>
  <c r="CT880" i="34" a="1"/>
  <c r="CT880" i="34" s="1"/>
  <c r="CW880" i="34"/>
  <c r="CZ880" i="34" s="1" a="1"/>
  <c r="CZ880" i="34" s="1"/>
  <c r="CX880" i="34"/>
  <c r="DA880" i="34" a="1"/>
  <c r="DA880" i="34" s="1"/>
  <c r="DC880" i="34"/>
  <c r="DG880" i="34" s="1" a="1"/>
  <c r="DG880" i="34" s="1"/>
  <c r="DD880" i="34"/>
  <c r="DF880" i="34" a="1"/>
  <c r="DF880" i="34" s="1"/>
  <c r="DI880" i="34"/>
  <c r="DJ880" i="34"/>
  <c r="DO880" i="34"/>
  <c r="DS880" i="34" s="1" a="1"/>
  <c r="DS880" i="34" s="1"/>
  <c r="DP880" i="34"/>
  <c r="DR880" i="34" a="1"/>
  <c r="DR880" i="34" s="1"/>
  <c r="DU880" i="34"/>
  <c r="DX880" i="34" s="1" a="1"/>
  <c r="DX880" i="34" s="1"/>
  <c r="DV880" i="34"/>
  <c r="DY880" i="34" a="1"/>
  <c r="DY880" i="34" s="1"/>
  <c r="EA880" i="34"/>
  <c r="EB880" i="34"/>
  <c r="ED880" i="34" a="1"/>
  <c r="ED880" i="34" s="1"/>
  <c r="EE880" i="34" a="1"/>
  <c r="EE880" i="34" s="1"/>
  <c r="BS881" i="34"/>
  <c r="BV881" i="34" s="1" a="1"/>
  <c r="BV881" i="34" s="1"/>
  <c r="BT881" i="34"/>
  <c r="BY881" i="34"/>
  <c r="BZ881" i="34"/>
  <c r="CB881" i="34" a="1"/>
  <c r="CB881" i="34" s="1"/>
  <c r="CC881" i="34" a="1"/>
  <c r="CC881" i="34" s="1"/>
  <c r="CE881" i="34"/>
  <c r="CH881" i="34" s="1" a="1"/>
  <c r="CH881" i="34" s="1"/>
  <c r="CF881" i="34"/>
  <c r="CI881" i="34" a="1"/>
  <c r="CI881" i="34" s="1"/>
  <c r="CK881" i="34"/>
  <c r="CO881" i="34" s="1" a="1"/>
  <c r="CO881" i="34" s="1"/>
  <c r="CL881" i="34"/>
  <c r="CN881" i="34" a="1"/>
  <c r="CN881" i="34" s="1"/>
  <c r="CQ881" i="34" a="1"/>
  <c r="CQ881" i="34" s="1"/>
  <c r="CR881" i="34"/>
  <c r="CW881" i="34"/>
  <c r="CZ881" i="34" s="1" a="1"/>
  <c r="CZ881" i="34" s="1"/>
  <c r="CX881" i="34"/>
  <c r="DA881" i="34" s="1" a="1"/>
  <c r="DA881" i="34" s="1"/>
  <c r="DC881" i="34"/>
  <c r="DG881" i="34" s="1" a="1"/>
  <c r="DG881" i="34" s="1"/>
  <c r="DD881" i="34"/>
  <c r="DI881" i="34"/>
  <c r="DJ881" i="34"/>
  <c r="DL881" i="34" s="1" a="1"/>
  <c r="DL881" i="34" s="1"/>
  <c r="DO881" i="34"/>
  <c r="DP881" i="34"/>
  <c r="DR881" i="34" a="1"/>
  <c r="DR881" i="34"/>
  <c r="DS881" i="34" a="1"/>
  <c r="DS881" i="34" s="1"/>
  <c r="DU881" i="34"/>
  <c r="DV881" i="34"/>
  <c r="DY881" i="34" s="1" a="1"/>
  <c r="DY881" i="34" s="1"/>
  <c r="EA881" i="34"/>
  <c r="ED881" i="34" s="1" a="1"/>
  <c r="ED881" i="34" s="1"/>
  <c r="EB881" i="34"/>
  <c r="BS882" i="34"/>
  <c r="BV882" i="34" s="1" a="1"/>
  <c r="BV882" i="34" s="1"/>
  <c r="BT882" i="34"/>
  <c r="BY882" i="34"/>
  <c r="BZ882" i="34"/>
  <c r="CB882" i="34" s="1" a="1"/>
  <c r="CB882" i="34" s="1"/>
  <c r="CC882" i="34" a="1"/>
  <c r="CC882" i="34" s="1"/>
  <c r="CE882" i="34"/>
  <c r="CH882" i="34" s="1" a="1"/>
  <c r="CH882" i="34" s="1"/>
  <c r="CF882" i="34"/>
  <c r="CI882" i="34" s="1" a="1"/>
  <c r="CI882" i="34" s="1"/>
  <c r="CK882" i="34"/>
  <c r="CO882" i="34" s="1" a="1"/>
  <c r="CO882" i="34" s="1"/>
  <c r="CL882" i="34"/>
  <c r="CQ882" i="34" a="1"/>
  <c r="CQ882" i="34"/>
  <c r="CT882" i="34" s="1" a="1"/>
  <c r="CT882" i="34" s="1"/>
  <c r="CR882" i="34"/>
  <c r="CU882" i="34" a="1"/>
  <c r="CU882" i="34" s="1"/>
  <c r="CW882" i="34"/>
  <c r="DA882" i="34" s="1" a="1"/>
  <c r="DA882" i="34" s="1"/>
  <c r="CX882" i="34"/>
  <c r="CZ882" i="34" a="1"/>
  <c r="CZ882" i="34" s="1"/>
  <c r="DC882" i="34"/>
  <c r="DD882" i="34"/>
  <c r="DI882" i="34"/>
  <c r="DM882" i="34" s="1" a="1"/>
  <c r="DM882" i="34" s="1"/>
  <c r="DJ882" i="34"/>
  <c r="DL882" i="34" a="1"/>
  <c r="DL882" i="34" s="1"/>
  <c r="DO882" i="34"/>
  <c r="DR882" i="34" s="1" a="1"/>
  <c r="DR882" i="34" s="1"/>
  <c r="DP882" i="34"/>
  <c r="DS882" i="34" a="1"/>
  <c r="DS882" i="34" s="1"/>
  <c r="DU882" i="34"/>
  <c r="DV882" i="34"/>
  <c r="DX882" i="34" a="1"/>
  <c r="DX882" i="34"/>
  <c r="DY882" i="34" a="1"/>
  <c r="DY882" i="34" s="1"/>
  <c r="EA882" i="34"/>
  <c r="ED882" i="34" s="1" a="1"/>
  <c r="ED882" i="34" s="1"/>
  <c r="EB882" i="34"/>
  <c r="BS883" i="34"/>
  <c r="BT883" i="34"/>
  <c r="BV883" i="34" a="1"/>
  <c r="BV883" i="34" s="1"/>
  <c r="BW883" i="34" a="1"/>
  <c r="BW883" i="34" s="1"/>
  <c r="BY883" i="34"/>
  <c r="CB883" i="34" s="1" a="1"/>
  <c r="CB883" i="34" s="1"/>
  <c r="BZ883" i="34"/>
  <c r="CC883" i="34" a="1"/>
  <c r="CC883" i="34" s="1"/>
  <c r="CE883" i="34"/>
  <c r="CI883" i="34" s="1" a="1"/>
  <c r="CI883" i="34" s="1"/>
  <c r="CF883" i="34"/>
  <c r="CH883" i="34" a="1"/>
  <c r="CH883" i="34" s="1"/>
  <c r="CK883" i="34"/>
  <c r="CL883" i="34"/>
  <c r="CQ883" i="34" a="1"/>
  <c r="CQ883" i="34" s="1"/>
  <c r="CR883" i="34"/>
  <c r="CW883" i="34"/>
  <c r="DA883" i="34" s="1" a="1"/>
  <c r="DA883" i="34" s="1"/>
  <c r="CX883" i="34"/>
  <c r="DC883" i="34"/>
  <c r="DD883" i="34"/>
  <c r="DF883" i="34" s="1" a="1"/>
  <c r="DF883" i="34" s="1"/>
  <c r="DI883" i="34"/>
  <c r="DJ883" i="34"/>
  <c r="DL883" i="34" a="1"/>
  <c r="DL883" i="34"/>
  <c r="DM883" i="34" a="1"/>
  <c r="DM883" i="34" s="1"/>
  <c r="DO883" i="34"/>
  <c r="DR883" i="34" s="1" a="1"/>
  <c r="DR883" i="34" s="1"/>
  <c r="DP883" i="34"/>
  <c r="DS883" i="34" s="1" a="1"/>
  <c r="DS883" i="34" s="1"/>
  <c r="DU883" i="34"/>
  <c r="DX883" i="34" s="1" a="1"/>
  <c r="DX883" i="34" s="1"/>
  <c r="DV883" i="34"/>
  <c r="EA883" i="34"/>
  <c r="ED883" i="34" s="1" a="1"/>
  <c r="ED883" i="34" s="1"/>
  <c r="EB883" i="34"/>
  <c r="BS884" i="34"/>
  <c r="BT884" i="34"/>
  <c r="BV884" i="34" s="1" a="1"/>
  <c r="BV884" i="34" s="1"/>
  <c r="BW884" i="34" a="1"/>
  <c r="BW884" i="34" s="1"/>
  <c r="BY884" i="34"/>
  <c r="CB884" i="34" s="1" a="1"/>
  <c r="CB884" i="34" s="1"/>
  <c r="BZ884" i="34"/>
  <c r="CC884" i="34" s="1" a="1"/>
  <c r="CC884" i="34" s="1"/>
  <c r="CE884" i="34"/>
  <c r="CI884" i="34" s="1" a="1"/>
  <c r="CI884" i="34" s="1"/>
  <c r="CF884" i="34"/>
  <c r="CK884" i="34"/>
  <c r="CL884" i="34"/>
  <c r="CO884" i="34" s="1" a="1"/>
  <c r="CO884" i="34" s="1"/>
  <c r="CN884" i="34" a="1"/>
  <c r="CN884" i="34" s="1"/>
  <c r="CQ884" i="34" a="1"/>
  <c r="CQ884" i="34"/>
  <c r="CU884" i="34" s="1" a="1"/>
  <c r="CU884" i="34" s="1"/>
  <c r="CR884" i="34"/>
  <c r="CT884" i="34" a="1"/>
  <c r="CT884" i="34" s="1"/>
  <c r="CW884" i="34"/>
  <c r="CX884" i="34"/>
  <c r="DC884" i="34"/>
  <c r="DG884" i="34" s="1" a="1"/>
  <c r="DG884" i="34" s="1"/>
  <c r="DD884" i="34"/>
  <c r="DF884" i="34" a="1"/>
  <c r="DF884" i="34" s="1"/>
  <c r="DI884" i="34"/>
  <c r="DL884" i="34" s="1" a="1"/>
  <c r="DL884" i="34" s="1"/>
  <c r="DJ884" i="34"/>
  <c r="DM884" i="34" a="1"/>
  <c r="DM884" i="34" s="1"/>
  <c r="DO884" i="34"/>
  <c r="DP884" i="34"/>
  <c r="DR884" i="34" a="1"/>
  <c r="DR884" i="34"/>
  <c r="DS884" i="34" a="1"/>
  <c r="DS884" i="34" s="1"/>
  <c r="DU884" i="34"/>
  <c r="DX884" i="34" s="1" a="1"/>
  <c r="DX884" i="34" s="1"/>
  <c r="DV884" i="34"/>
  <c r="EA884" i="34"/>
  <c r="EB884" i="34"/>
  <c r="ED884" i="34" a="1"/>
  <c r="ED884" i="34" s="1"/>
  <c r="EE884" i="34" a="1"/>
  <c r="EE884" i="34" s="1"/>
  <c r="BS885" i="34"/>
  <c r="BV885" i="34" s="1" a="1"/>
  <c r="BV885" i="34" s="1"/>
  <c r="BT885" i="34"/>
  <c r="BW885" i="34" a="1"/>
  <c r="BW885" i="34" s="1"/>
  <c r="BY885" i="34"/>
  <c r="CC885" i="34" s="1" a="1"/>
  <c r="CC885" i="34" s="1"/>
  <c r="BZ885" i="34"/>
  <c r="CB885" i="34" a="1"/>
  <c r="CB885" i="34" s="1"/>
  <c r="CE885" i="34"/>
  <c r="CF885" i="34"/>
  <c r="CK885" i="34"/>
  <c r="CO885" i="34" s="1" a="1"/>
  <c r="CO885" i="34" s="1"/>
  <c r="CL885" i="34"/>
  <c r="CN885" i="34" a="1"/>
  <c r="CN885" i="34" s="1"/>
  <c r="CQ885" i="34" a="1"/>
  <c r="CQ885" i="34" s="1"/>
  <c r="CR885" i="34"/>
  <c r="CW885" i="34"/>
  <c r="CX885" i="34"/>
  <c r="CZ885" i="34" s="1" a="1"/>
  <c r="CZ885" i="34" s="1"/>
  <c r="DC885" i="34"/>
  <c r="DD885" i="34"/>
  <c r="DF885" i="34" a="1"/>
  <c r="DF885" i="34"/>
  <c r="DG885" i="34" a="1"/>
  <c r="DG885" i="34" s="1"/>
  <c r="DI885" i="34"/>
  <c r="DL885" i="34" s="1" a="1"/>
  <c r="DL885" i="34" s="1"/>
  <c r="DJ885" i="34"/>
  <c r="DM885" i="34" s="1" a="1"/>
  <c r="DM885" i="34" s="1"/>
  <c r="DO885" i="34"/>
  <c r="DR885" i="34" s="1" a="1"/>
  <c r="DR885" i="34" s="1"/>
  <c r="DP885" i="34"/>
  <c r="DU885" i="34"/>
  <c r="DX885" i="34" s="1" a="1"/>
  <c r="DX885" i="34" s="1"/>
  <c r="DV885" i="34"/>
  <c r="EA885" i="34"/>
  <c r="EB885" i="34"/>
  <c r="ED885" i="34" s="1" a="1"/>
  <c r="ED885" i="34" s="1"/>
  <c r="EE885" i="34" a="1"/>
  <c r="EE885" i="34" s="1"/>
  <c r="BS886" i="34"/>
  <c r="BV886" i="34" s="1" a="1"/>
  <c r="BV886" i="34" s="1"/>
  <c r="BT886" i="34"/>
  <c r="BW886" i="34" s="1" a="1"/>
  <c r="BW886" i="34" s="1"/>
  <c r="BY886" i="34"/>
  <c r="CC886" i="34" s="1" a="1"/>
  <c r="CC886" i="34" s="1"/>
  <c r="BZ886" i="34"/>
  <c r="CE886" i="34"/>
  <c r="CF886" i="34"/>
  <c r="CI886" i="34" s="1" a="1"/>
  <c r="CI886" i="34" s="1"/>
  <c r="CH886" i="34" a="1"/>
  <c r="CH886" i="34" s="1"/>
  <c r="CK886" i="34"/>
  <c r="CL886" i="34"/>
  <c r="CN886" i="34" a="1"/>
  <c r="CN886" i="34"/>
  <c r="CO886" i="34" a="1"/>
  <c r="CO886" i="34" s="1"/>
  <c r="CQ886" i="34" a="1"/>
  <c r="CQ886" i="34"/>
  <c r="CR886" i="34"/>
  <c r="CW886" i="34"/>
  <c r="DA886" i="34" s="1" a="1"/>
  <c r="DA886" i="34" s="1"/>
  <c r="CX886" i="34"/>
  <c r="CZ886" i="34" a="1"/>
  <c r="CZ886" i="34" s="1"/>
  <c r="DC886" i="34"/>
  <c r="DF886" i="34" s="1" a="1"/>
  <c r="DF886" i="34" s="1"/>
  <c r="DD886" i="34"/>
  <c r="DG886" i="34" a="1"/>
  <c r="DG886" i="34" s="1"/>
  <c r="DI886" i="34"/>
  <c r="DJ886" i="34"/>
  <c r="DL886" i="34" a="1"/>
  <c r="DL886" i="34" s="1"/>
  <c r="DM886" i="34" a="1"/>
  <c r="DM886" i="34" s="1"/>
  <c r="DO886" i="34"/>
  <c r="DR886" i="34" s="1" a="1"/>
  <c r="DR886" i="34" s="1"/>
  <c r="DP886" i="34"/>
  <c r="DU886" i="34"/>
  <c r="DV886" i="34"/>
  <c r="DX886" i="34" a="1"/>
  <c r="DX886" i="34" s="1"/>
  <c r="DY886" i="34" a="1"/>
  <c r="DY886" i="34" s="1"/>
  <c r="EA886" i="34"/>
  <c r="ED886" i="34" s="1" a="1"/>
  <c r="ED886" i="34" s="1"/>
  <c r="EB886" i="34"/>
  <c r="EE886" i="34" a="1"/>
  <c r="EE886" i="34" s="1"/>
  <c r="BS887" i="34"/>
  <c r="BW887" i="34" s="1" a="1"/>
  <c r="BW887" i="34" s="1"/>
  <c r="BT887" i="34"/>
  <c r="BV887" i="34" a="1"/>
  <c r="BV887" i="34" s="1"/>
  <c r="BY887" i="34"/>
  <c r="BZ887" i="34"/>
  <c r="CE887" i="34"/>
  <c r="CI887" i="34" s="1" a="1"/>
  <c r="CI887" i="34" s="1"/>
  <c r="CF887" i="34"/>
  <c r="CH887" i="34" a="1"/>
  <c r="CH887" i="34" s="1"/>
  <c r="CK887" i="34"/>
  <c r="CN887" i="34" s="1" a="1"/>
  <c r="CN887" i="34" s="1"/>
  <c r="CL887" i="34"/>
  <c r="CO887" i="34" a="1"/>
  <c r="CO887" i="34" s="1"/>
  <c r="CQ887" i="34" a="1"/>
  <c r="CQ887" i="34" s="1"/>
  <c r="CR887" i="34"/>
  <c r="CW887" i="34"/>
  <c r="CX887" i="34"/>
  <c r="CZ887" i="34" a="1"/>
  <c r="CZ887" i="34"/>
  <c r="DA887" i="34" a="1"/>
  <c r="DA887" i="34" s="1"/>
  <c r="DC887" i="34"/>
  <c r="DF887" i="34" s="1" a="1"/>
  <c r="DF887" i="34" s="1"/>
  <c r="DD887" i="34"/>
  <c r="DG887" i="34" s="1" a="1"/>
  <c r="DG887" i="34" s="1"/>
  <c r="DI887" i="34"/>
  <c r="DL887" i="34" s="1" a="1"/>
  <c r="DL887" i="34" s="1"/>
  <c r="DJ887" i="34"/>
  <c r="DO887" i="34"/>
  <c r="DS887" i="34" s="1" a="1"/>
  <c r="DP887" i="34"/>
  <c r="DR887" i="34" s="1" a="1"/>
  <c r="DR887" i="34" s="1"/>
  <c r="DS887" i="34"/>
  <c r="DU887" i="34"/>
  <c r="DV887" i="34"/>
  <c r="DX887" i="34" s="1" a="1"/>
  <c r="DX887" i="34" s="1"/>
  <c r="DY887" i="34" a="1"/>
  <c r="DY887" i="34" s="1"/>
  <c r="EA887" i="34"/>
  <c r="EB887" i="34"/>
  <c r="EE887" i="34" s="1" a="1"/>
  <c r="EE887" i="34" s="1"/>
  <c r="BS888" i="34"/>
  <c r="BW888" i="34" s="1" a="1"/>
  <c r="BW888" i="34" s="1"/>
  <c r="BT888" i="34"/>
  <c r="BY888" i="34"/>
  <c r="BZ888" i="34"/>
  <c r="CC888" i="34" s="1" a="1"/>
  <c r="CC888" i="34" s="1"/>
  <c r="CB888" i="34" a="1"/>
  <c r="CB888" i="34" s="1"/>
  <c r="CE888" i="34"/>
  <c r="CF888" i="34"/>
  <c r="CH888" i="34" a="1"/>
  <c r="CH888" i="34"/>
  <c r="CI888" i="34" a="1"/>
  <c r="CI888" i="34" s="1"/>
  <c r="CK888" i="34"/>
  <c r="CL888" i="34"/>
  <c r="CQ888" i="34" a="1"/>
  <c r="CQ888" i="34" s="1"/>
  <c r="CU888" i="34" s="1" a="1"/>
  <c r="CU888" i="34" s="1"/>
  <c r="CR888" i="34"/>
  <c r="CT888" i="34" a="1"/>
  <c r="CT888" i="34" s="1"/>
  <c r="CW888" i="34"/>
  <c r="CZ888" i="34" s="1" a="1"/>
  <c r="CZ888" i="34" s="1"/>
  <c r="CX888" i="34"/>
  <c r="DA888" i="34" a="1"/>
  <c r="DA888" i="34" s="1"/>
  <c r="DC888" i="34"/>
  <c r="DD888" i="34"/>
  <c r="DF888" i="34" a="1"/>
  <c r="DF888" i="34"/>
  <c r="DG888" i="34" a="1"/>
  <c r="DG888" i="34" s="1"/>
  <c r="DI888" i="34"/>
  <c r="DJ888" i="34"/>
  <c r="DO888" i="34"/>
  <c r="DP888" i="34"/>
  <c r="DR888" i="34" a="1"/>
  <c r="DR888" i="34" s="1"/>
  <c r="DS888" i="34" a="1"/>
  <c r="DS888" i="34" s="1"/>
  <c r="DU888" i="34"/>
  <c r="DX888" i="34" s="1" a="1"/>
  <c r="DX888" i="34" s="1"/>
  <c r="DV888" i="34"/>
  <c r="DY888" i="34" a="1"/>
  <c r="DY888" i="34" s="1"/>
  <c r="EA888" i="34"/>
  <c r="EE888" i="34" s="1" a="1"/>
  <c r="EE888" i="34" s="1"/>
  <c r="EB888" i="34"/>
  <c r="ED888" i="34" a="1"/>
  <c r="ED888" i="34" s="1"/>
  <c r="BS889" i="34"/>
  <c r="BT889" i="34"/>
  <c r="BY889" i="34"/>
  <c r="CC889" i="34" s="1" a="1"/>
  <c r="CC889" i="34" s="1"/>
  <c r="BZ889" i="34"/>
  <c r="CB889" i="34" a="1"/>
  <c r="CB889" i="34" s="1"/>
  <c r="CE889" i="34"/>
  <c r="CH889" i="34" s="1" a="1"/>
  <c r="CH889" i="34" s="1"/>
  <c r="CF889" i="34"/>
  <c r="CI889" i="34" a="1"/>
  <c r="CI889" i="34" s="1"/>
  <c r="CK889" i="34"/>
  <c r="CL889" i="34"/>
  <c r="CN889" i="34" a="1"/>
  <c r="CN889" i="34" s="1"/>
  <c r="CO889" i="34" a="1"/>
  <c r="CO889" i="34" s="1"/>
  <c r="CQ889" i="34" a="1"/>
  <c r="CQ889" i="34" s="1"/>
  <c r="CR889" i="34"/>
  <c r="CW889" i="34"/>
  <c r="CZ889" i="34" s="1" a="1"/>
  <c r="CZ889" i="34" s="1"/>
  <c r="CX889" i="34"/>
  <c r="DA889" i="34" s="1" a="1"/>
  <c r="DA889" i="34" s="1"/>
  <c r="DC889" i="34"/>
  <c r="DF889" i="34" s="1" a="1"/>
  <c r="DF889" i="34" s="1"/>
  <c r="DD889" i="34"/>
  <c r="DI889" i="34"/>
  <c r="DM889" i="34" s="1" a="1"/>
  <c r="DJ889" i="34"/>
  <c r="DL889" i="34" s="1" a="1"/>
  <c r="DL889" i="34" s="1"/>
  <c r="DM889" i="34"/>
  <c r="DO889" i="34"/>
  <c r="DP889" i="34"/>
  <c r="DR889" i="34" s="1" a="1"/>
  <c r="DR889" i="34" s="1"/>
  <c r="DS889" i="34" a="1"/>
  <c r="DS889" i="34" s="1"/>
  <c r="DU889" i="34"/>
  <c r="DV889" i="34"/>
  <c r="DY889" i="34" s="1" a="1"/>
  <c r="DY889" i="34" s="1"/>
  <c r="EA889" i="34"/>
  <c r="EE889" i="34" s="1" a="1"/>
  <c r="EE889" i="34" s="1"/>
  <c r="EB889" i="34"/>
  <c r="BS890" i="34"/>
  <c r="BT890" i="34"/>
  <c r="BW890" i="34" s="1" a="1"/>
  <c r="BW890" i="34" s="1"/>
  <c r="BV890" i="34" a="1"/>
  <c r="BV890" i="34" s="1"/>
  <c r="BY890" i="34"/>
  <c r="BZ890" i="34"/>
  <c r="CB890" i="34" a="1"/>
  <c r="CB890" i="34"/>
  <c r="CC890" i="34" a="1"/>
  <c r="CC890" i="34" s="1"/>
  <c r="CE890" i="34"/>
  <c r="CF890" i="34"/>
  <c r="CK890" i="34"/>
  <c r="CN890" i="34" s="1" a="1"/>
  <c r="CL890" i="34"/>
  <c r="CN890" i="34"/>
  <c r="CQ890" i="34" a="1"/>
  <c r="CQ890" i="34"/>
  <c r="CT890" i="34" s="1" a="1"/>
  <c r="CT890" i="34" s="1"/>
  <c r="CR890" i="34"/>
  <c r="CU890" i="34" a="1"/>
  <c r="CU890" i="34" s="1"/>
  <c r="CW890" i="34"/>
  <c r="CX890" i="34"/>
  <c r="CZ890" i="34" a="1"/>
  <c r="CZ890" i="34"/>
  <c r="DA890" i="34" a="1"/>
  <c r="DA890" i="34" s="1"/>
  <c r="DC890" i="34"/>
  <c r="DD890" i="34"/>
  <c r="DI890" i="34"/>
  <c r="DJ890" i="34"/>
  <c r="DL890" i="34" a="1"/>
  <c r="DL890" i="34" s="1"/>
  <c r="DM890" i="34" a="1"/>
  <c r="DM890" i="34" s="1"/>
  <c r="DO890" i="34"/>
  <c r="DR890" i="34" s="1" a="1"/>
  <c r="DR890" i="34" s="1"/>
  <c r="DP890" i="34"/>
  <c r="DS890" i="34" a="1"/>
  <c r="DS890" i="34" s="1"/>
  <c r="DU890" i="34"/>
  <c r="DY890" i="34" s="1" a="1"/>
  <c r="DY890" i="34" s="1"/>
  <c r="DV890" i="34"/>
  <c r="DX890" i="34" a="1"/>
  <c r="DX890" i="34" s="1"/>
  <c r="EA890" i="34"/>
  <c r="EB890" i="34"/>
  <c r="BS891" i="34"/>
  <c r="BW891" i="34" s="1" a="1"/>
  <c r="BW891" i="34" s="1"/>
  <c r="BT891" i="34"/>
  <c r="BV891" i="34" a="1"/>
  <c r="BV891" i="34" s="1"/>
  <c r="BY891" i="34"/>
  <c r="CB891" i="34" s="1" a="1"/>
  <c r="CB891" i="34" s="1"/>
  <c r="BZ891" i="34"/>
  <c r="CC891" i="34" a="1"/>
  <c r="CC891" i="34" s="1"/>
  <c r="CE891" i="34"/>
  <c r="CF891" i="34"/>
  <c r="CH891" i="34" a="1"/>
  <c r="CH891" i="34" s="1"/>
  <c r="CI891" i="34" a="1"/>
  <c r="CI891" i="34" s="1"/>
  <c r="CK891" i="34"/>
  <c r="CL891" i="34"/>
  <c r="CQ891" i="34" a="1"/>
  <c r="CQ891" i="34" s="1"/>
  <c r="CR891" i="34"/>
  <c r="CW891" i="34"/>
  <c r="CX891" i="34"/>
  <c r="DC891" i="34"/>
  <c r="DD891" i="34"/>
  <c r="DF891" i="34" s="1" a="1"/>
  <c r="DF891" i="34" s="1"/>
  <c r="DI891" i="34"/>
  <c r="DJ891" i="34"/>
  <c r="DL891" i="34" s="1" a="1"/>
  <c r="DL891" i="34"/>
  <c r="DM891" i="34" a="1"/>
  <c r="DM891" i="34" s="1"/>
  <c r="DO891" i="34"/>
  <c r="DR891" i="34" s="1" a="1"/>
  <c r="DR891" i="34" s="1"/>
  <c r="DP891" i="34"/>
  <c r="DS891" i="34" s="1" a="1"/>
  <c r="DS891" i="34"/>
  <c r="DU891" i="34"/>
  <c r="DY891" i="34" s="1" a="1"/>
  <c r="DY891" i="34" s="1"/>
  <c r="DV891" i="34"/>
  <c r="EA891" i="34"/>
  <c r="EB891" i="34"/>
  <c r="EE891" i="34" s="1" a="1"/>
  <c r="ED891" i="34" a="1"/>
  <c r="ED891" i="34" s="1"/>
  <c r="EE891" i="34"/>
  <c r="BS892" i="34"/>
  <c r="BT892" i="34"/>
  <c r="BV892" i="34" a="1"/>
  <c r="BV892" i="34"/>
  <c r="BW892" i="34" a="1"/>
  <c r="BW892" i="34" s="1"/>
  <c r="BY892" i="34"/>
  <c r="CB892" i="34" s="1" a="1"/>
  <c r="CB892" i="34" s="1"/>
  <c r="BZ892" i="34"/>
  <c r="CC892" i="34" s="1" a="1"/>
  <c r="CC892" i="34" s="1"/>
  <c r="CE892" i="34"/>
  <c r="CF892" i="34"/>
  <c r="CK892" i="34"/>
  <c r="CL892" i="34"/>
  <c r="CN892" i="34" s="1" a="1"/>
  <c r="CN892" i="34" s="1"/>
  <c r="CQ892" i="34" a="1"/>
  <c r="CQ892" i="34" s="1"/>
  <c r="CU892" i="34" s="1" a="1"/>
  <c r="CU892" i="34" s="1"/>
  <c r="CR892" i="34"/>
  <c r="CT892" i="34" a="1"/>
  <c r="CT892" i="34" s="1"/>
  <c r="CW892" i="34"/>
  <c r="CZ892" i="34" s="1" a="1"/>
  <c r="CZ892" i="34" s="1"/>
  <c r="CX892" i="34"/>
  <c r="DC892" i="34"/>
  <c r="DD892" i="34"/>
  <c r="DG892" i="34" s="1" a="1"/>
  <c r="DG892" i="34" s="1"/>
  <c r="DF892" i="34" a="1"/>
  <c r="DF892" i="34" s="1"/>
  <c r="DI892" i="34"/>
  <c r="DJ892" i="34"/>
  <c r="DO892" i="34"/>
  <c r="DS892" i="34" s="1" a="1"/>
  <c r="DS892" i="34" s="1"/>
  <c r="DP892" i="34"/>
  <c r="DR892" i="34" a="1"/>
  <c r="DR892" i="34" s="1"/>
  <c r="DU892" i="34"/>
  <c r="DX892" i="34" s="1" a="1"/>
  <c r="DX892" i="34" s="1"/>
  <c r="DV892" i="34"/>
  <c r="DY892" i="34" a="1"/>
  <c r="DY892" i="34" s="1"/>
  <c r="EA892" i="34"/>
  <c r="EE892" i="34" s="1" a="1"/>
  <c r="EE892" i="34" s="1"/>
  <c r="EB892" i="34"/>
  <c r="ED892" i="34" a="1"/>
  <c r="ED892" i="34" s="1"/>
  <c r="BS893" i="34"/>
  <c r="BV893" i="34" s="1" a="1"/>
  <c r="BV893" i="34" s="1"/>
  <c r="BT893" i="34"/>
  <c r="BY893" i="34"/>
  <c r="BZ893" i="34"/>
  <c r="CB893" i="34" a="1"/>
  <c r="CB893" i="34" s="1"/>
  <c r="CC893" i="34" a="1"/>
  <c r="CC893" i="34" s="1"/>
  <c r="CE893" i="34"/>
  <c r="CH893" i="34" s="1" a="1"/>
  <c r="CH893" i="34" s="1"/>
  <c r="CF893" i="34"/>
  <c r="CI893" i="34" a="1"/>
  <c r="CI893" i="34" s="1"/>
  <c r="CK893" i="34"/>
  <c r="CL893" i="34"/>
  <c r="CN893" i="34" a="1"/>
  <c r="CN893" i="34" s="1"/>
  <c r="CO893" i="34" a="1"/>
  <c r="CO893" i="34" s="1"/>
  <c r="CQ893" i="34" a="1"/>
  <c r="CQ893" i="34"/>
  <c r="CR893" i="34"/>
  <c r="CW893" i="34"/>
  <c r="DA893" i="34" s="1" a="1"/>
  <c r="DA893" i="34" s="1"/>
  <c r="CX893" i="34"/>
  <c r="CZ893" i="34" s="1" a="1"/>
  <c r="CZ893" i="34" s="1"/>
  <c r="DC893" i="34"/>
  <c r="DF893" i="34" s="1" a="1"/>
  <c r="DD893" i="34"/>
  <c r="DF893" i="34"/>
  <c r="DG893" i="34" a="1"/>
  <c r="DG893" i="34" s="1"/>
  <c r="DI893" i="34"/>
  <c r="DJ893" i="34"/>
  <c r="DM893" i="34" s="1" a="1"/>
  <c r="DM893" i="34" s="1"/>
  <c r="DO893" i="34"/>
  <c r="DS893" i="34" s="1" a="1"/>
  <c r="DS893" i="34" s="1"/>
  <c r="DP893" i="34"/>
  <c r="DU893" i="34"/>
  <c r="DV893" i="34"/>
  <c r="DY893" i="34" s="1" a="1"/>
  <c r="DY893" i="34"/>
  <c r="EA893" i="34"/>
  <c r="EB893" i="34"/>
  <c r="ED893" i="34" a="1"/>
  <c r="ED893" i="34"/>
  <c r="EE893" i="34" a="1"/>
  <c r="EE893" i="34" s="1"/>
  <c r="BS894" i="34"/>
  <c r="BT894" i="34"/>
  <c r="BY894" i="34"/>
  <c r="BZ894" i="34"/>
  <c r="CE894" i="34"/>
  <c r="CF894" i="34"/>
  <c r="CH894" i="34" s="1" a="1"/>
  <c r="CH894" i="34" s="1"/>
  <c r="CK894" i="34"/>
  <c r="CL894" i="34"/>
  <c r="CN894" i="34" s="1" a="1"/>
  <c r="CN894" i="34" s="1"/>
  <c r="CO894" i="34" a="1"/>
  <c r="CO894" i="34" s="1"/>
  <c r="CQ894" i="34" a="1"/>
  <c r="CQ894" i="34"/>
  <c r="CT894" i="34" s="1" a="1"/>
  <c r="CT894" i="34" s="1"/>
  <c r="CR894" i="34"/>
  <c r="CU894" i="34" a="1"/>
  <c r="CU894" i="34" s="1"/>
  <c r="CW894" i="34"/>
  <c r="CX894" i="34"/>
  <c r="CZ894" i="34" a="1"/>
  <c r="CZ894" i="34" s="1"/>
  <c r="DA894" i="34" a="1"/>
  <c r="DA894" i="34" s="1"/>
  <c r="DC894" i="34"/>
  <c r="DD894" i="34"/>
  <c r="DG894" i="34" a="1"/>
  <c r="DG894" i="34" s="1"/>
  <c r="DI894" i="34"/>
  <c r="DM894" i="34" s="1" a="1"/>
  <c r="DM894" i="34" s="1"/>
  <c r="DJ894" i="34"/>
  <c r="DL894" i="34" a="1"/>
  <c r="DL894" i="34" s="1"/>
  <c r="DO894" i="34"/>
  <c r="DR894" i="34" s="1" a="1"/>
  <c r="DR894" i="34" s="1"/>
  <c r="DP894" i="34"/>
  <c r="DU894" i="34"/>
  <c r="DY894" i="34" s="1" a="1"/>
  <c r="DY894" i="34" s="1"/>
  <c r="DV894" i="34"/>
  <c r="DX894" i="34" a="1"/>
  <c r="DX894" i="34" s="1"/>
  <c r="EA894" i="34"/>
  <c r="ED894" i="34" s="1" a="1"/>
  <c r="ED894" i="34" s="1"/>
  <c r="EB894" i="34"/>
  <c r="BS895" i="34"/>
  <c r="BT895" i="34"/>
  <c r="BV895" i="34" a="1"/>
  <c r="BV895" i="34" s="1"/>
  <c r="BW895" i="34" a="1"/>
  <c r="BW895" i="34" s="1"/>
  <c r="BY895" i="34"/>
  <c r="BZ895" i="34"/>
  <c r="CE895" i="34"/>
  <c r="CF895" i="34"/>
  <c r="CH895" i="34" a="1"/>
  <c r="CH895" i="34" s="1"/>
  <c r="CI895" i="34" a="1"/>
  <c r="CI895" i="34" s="1"/>
  <c r="CK895" i="34"/>
  <c r="CO895" i="34" s="1" a="1"/>
  <c r="CO895" i="34" s="1"/>
  <c r="CL895" i="34"/>
  <c r="CQ895" i="34" a="1"/>
  <c r="CQ895" i="34"/>
  <c r="CR895" i="34"/>
  <c r="CT895" i="34" s="1" a="1"/>
  <c r="CT895" i="34" s="1"/>
  <c r="CW895" i="34"/>
  <c r="CX895" i="34"/>
  <c r="CZ895" i="34" s="1" a="1"/>
  <c r="CZ895" i="34"/>
  <c r="DA895" i="34" a="1"/>
  <c r="DA895" i="34" s="1"/>
  <c r="DC895" i="34"/>
  <c r="DF895" i="34" s="1" a="1"/>
  <c r="DF895" i="34" s="1"/>
  <c r="DD895" i="34"/>
  <c r="DG895" i="34" s="1" a="1"/>
  <c r="DG895" i="34"/>
  <c r="DI895" i="34"/>
  <c r="DM895" i="34" s="1" a="1"/>
  <c r="DM895" i="34" s="1"/>
  <c r="DJ895" i="34"/>
  <c r="DO895" i="34"/>
  <c r="DP895" i="34"/>
  <c r="DS895" i="34" s="1" a="1"/>
  <c r="DS895" i="34" s="1"/>
  <c r="DR895" i="34" a="1"/>
  <c r="DR895" i="34" s="1"/>
  <c r="DU895" i="34"/>
  <c r="DV895" i="34"/>
  <c r="DX895" i="34" a="1"/>
  <c r="DX895" i="34"/>
  <c r="DY895" i="34" a="1"/>
  <c r="DY895" i="34" s="1"/>
  <c r="EA895" i="34"/>
  <c r="EB895" i="34"/>
  <c r="EE895" i="34" s="1" a="1"/>
  <c r="EE895" i="34" s="1"/>
  <c r="BS896" i="34"/>
  <c r="BT896" i="34"/>
  <c r="BY896" i="34"/>
  <c r="BZ896" i="34"/>
  <c r="CB896" i="34" s="1" a="1"/>
  <c r="CB896" i="34" s="1"/>
  <c r="CE896" i="34"/>
  <c r="CF896" i="34"/>
  <c r="CH896" i="34" s="1" a="1"/>
  <c r="CH896" i="34"/>
  <c r="CI896" i="34" a="1"/>
  <c r="CI896" i="34" s="1"/>
  <c r="CK896" i="34"/>
  <c r="CN896" i="34" s="1" a="1"/>
  <c r="CN896" i="34" s="1"/>
  <c r="CL896" i="34"/>
  <c r="CO896" i="34" s="1" a="1"/>
  <c r="CO896" i="34"/>
  <c r="CQ896" i="34" a="1"/>
  <c r="CQ896" i="34" s="1"/>
  <c r="CU896" i="34" s="1" a="1"/>
  <c r="CU896" i="34" s="1"/>
  <c r="CR896" i="34"/>
  <c r="CW896" i="34"/>
  <c r="CX896" i="34"/>
  <c r="DA896" i="34" a="1"/>
  <c r="DA896" i="34" s="1"/>
  <c r="DC896" i="34"/>
  <c r="DG896" i="34" s="1" a="1"/>
  <c r="DG896" i="34" s="1"/>
  <c r="DD896" i="34"/>
  <c r="DF896" i="34" a="1"/>
  <c r="DF896" i="34"/>
  <c r="DI896" i="34"/>
  <c r="DL896" i="34" s="1" a="1"/>
  <c r="DL896" i="34" s="1"/>
  <c r="DJ896" i="34"/>
  <c r="DM896" i="34" a="1"/>
  <c r="DM896" i="34" s="1"/>
  <c r="DO896" i="34"/>
  <c r="DS896" i="34" s="1" a="1"/>
  <c r="DS896" i="34" s="1"/>
  <c r="DP896" i="34"/>
  <c r="DR896" i="34" a="1"/>
  <c r="DR896" i="34" s="1"/>
  <c r="DU896" i="34"/>
  <c r="DX896" i="34" s="1" a="1"/>
  <c r="DX896" i="34" s="1"/>
  <c r="DV896" i="34"/>
  <c r="EA896" i="34"/>
  <c r="EB896" i="34"/>
  <c r="ED896" i="34" a="1"/>
  <c r="ED896" i="34"/>
  <c r="EE896" i="34" a="1"/>
  <c r="EE896" i="34" s="1"/>
  <c r="BS897" i="34"/>
  <c r="BV897" i="34" s="1" a="1"/>
  <c r="BV897" i="34" s="1"/>
  <c r="BT897" i="34"/>
  <c r="BY897" i="34"/>
  <c r="BZ897" i="34"/>
  <c r="CB897" i="34" a="1"/>
  <c r="CB897" i="34" s="1"/>
  <c r="CC897" i="34" a="1"/>
  <c r="CC897" i="34" s="1"/>
  <c r="CE897" i="34"/>
  <c r="CH897" i="34" s="1" a="1"/>
  <c r="CH897" i="34" s="1"/>
  <c r="CF897" i="34"/>
  <c r="CK897" i="34"/>
  <c r="CO897" i="34" s="1" a="1"/>
  <c r="CO897" i="34" s="1"/>
  <c r="CL897" i="34"/>
  <c r="CN897" i="34" a="1"/>
  <c r="CN897" i="34"/>
  <c r="CQ897" i="34" a="1"/>
  <c r="CQ897" i="34" s="1"/>
  <c r="CT897" i="34" s="1" a="1"/>
  <c r="CT897" i="34" s="1"/>
  <c r="CR897" i="34"/>
  <c r="CU897" i="34" a="1"/>
  <c r="CU897" i="34" s="1"/>
  <c r="CW897" i="34"/>
  <c r="CZ897" i="34" s="1" a="1"/>
  <c r="CZ897" i="34" s="1"/>
  <c r="CX897" i="34"/>
  <c r="DA897" i="34" s="1" a="1"/>
  <c r="DA897" i="34" s="1"/>
  <c r="DC897" i="34"/>
  <c r="DD897" i="34"/>
  <c r="DI897" i="34"/>
  <c r="DJ897" i="34"/>
  <c r="DM897" i="34" s="1" a="1"/>
  <c r="DL897" i="34" a="1"/>
  <c r="DL897" i="34" s="1"/>
  <c r="DM897" i="34"/>
  <c r="DO897" i="34"/>
  <c r="DP897" i="34"/>
  <c r="DR897" i="34" a="1"/>
  <c r="DR897" i="34"/>
  <c r="DS897" i="34" a="1"/>
  <c r="DS897" i="34" s="1"/>
  <c r="DU897" i="34"/>
  <c r="DV897" i="34"/>
  <c r="DY897" i="34" s="1" a="1"/>
  <c r="DY897" i="34" s="1"/>
  <c r="EA897" i="34"/>
  <c r="EB897" i="34"/>
  <c r="BS898" i="34"/>
  <c r="BW898" i="34" s="1" a="1"/>
  <c r="BW898" i="34" s="1"/>
  <c r="BT898" i="34"/>
  <c r="BV898" i="34" a="1"/>
  <c r="BV898" i="34" s="1"/>
  <c r="BY898" i="34"/>
  <c r="BZ898" i="34"/>
  <c r="CB898" i="34" s="1" a="1"/>
  <c r="CB898" i="34"/>
  <c r="CC898" i="34" a="1"/>
  <c r="CC898" i="34" s="1"/>
  <c r="CE898" i="34"/>
  <c r="CH898" i="34" s="1" a="1"/>
  <c r="CH898" i="34" s="1"/>
  <c r="CF898" i="34"/>
  <c r="CI898" i="34" s="1" a="1"/>
  <c r="CI898" i="34"/>
  <c r="CK898" i="34"/>
  <c r="CL898" i="34"/>
  <c r="CQ898" i="34" a="1"/>
  <c r="CQ898" i="34"/>
  <c r="CR898" i="34"/>
  <c r="CW898" i="34"/>
  <c r="DA898" i="34" s="1" a="1"/>
  <c r="DA898" i="34" s="1"/>
  <c r="CX898" i="34"/>
  <c r="CZ898" i="34" a="1"/>
  <c r="CZ898" i="34"/>
  <c r="DC898" i="34"/>
  <c r="DF898" i="34" s="1" a="1"/>
  <c r="DF898" i="34" s="1"/>
  <c r="DD898" i="34"/>
  <c r="DI898" i="34"/>
  <c r="DM898" i="34" s="1" a="1"/>
  <c r="DM898" i="34" s="1"/>
  <c r="DJ898" i="34"/>
  <c r="DL898" i="34" a="1"/>
  <c r="DL898" i="34" s="1"/>
  <c r="DO898" i="34"/>
  <c r="DP898" i="34"/>
  <c r="DS898" i="34" s="1" a="1"/>
  <c r="DS898" i="34" s="1"/>
  <c r="DU898" i="34"/>
  <c r="DV898" i="34"/>
  <c r="DX898" i="34" a="1"/>
  <c r="DX898" i="34"/>
  <c r="DY898" i="34" a="1"/>
  <c r="DY898" i="34" s="1"/>
  <c r="EA898" i="34"/>
  <c r="ED898" i="34" s="1" a="1"/>
  <c r="ED898" i="34" s="1"/>
  <c r="EB898" i="34"/>
  <c r="BS899" i="34"/>
  <c r="BT899" i="34"/>
  <c r="BV899" i="34" a="1"/>
  <c r="BV899" i="34" s="1"/>
  <c r="BW899" i="34" a="1"/>
  <c r="BW899" i="34" s="1"/>
  <c r="BY899" i="34"/>
  <c r="CC899" i="34" s="1" a="1"/>
  <c r="CC899" i="34" s="1"/>
  <c r="BZ899" i="34"/>
  <c r="CE899" i="34"/>
  <c r="CI899" i="34" s="1" a="1"/>
  <c r="CI899" i="34" s="1"/>
  <c r="CF899" i="34"/>
  <c r="CH899" i="34" a="1"/>
  <c r="CH899" i="34" s="1"/>
  <c r="CK899" i="34"/>
  <c r="CN899" i="34" s="1" a="1"/>
  <c r="CN899" i="34" s="1"/>
  <c r="CL899" i="34"/>
  <c r="CO899" i="34" a="1"/>
  <c r="CO899" i="34" s="1"/>
  <c r="CQ899" i="34" a="1"/>
  <c r="CQ899" i="34" s="1"/>
  <c r="CR899" i="34"/>
  <c r="CW899" i="34"/>
  <c r="CX899" i="34"/>
  <c r="DC899" i="34"/>
  <c r="DD899" i="34"/>
  <c r="DG899" i="34" s="1" a="1"/>
  <c r="DG899" i="34" s="1"/>
  <c r="DF899" i="34" a="1"/>
  <c r="DF899" i="34" s="1"/>
  <c r="DI899" i="34"/>
  <c r="DJ899" i="34"/>
  <c r="DL899" i="34" a="1"/>
  <c r="DL899" i="34"/>
  <c r="DM899" i="34" a="1"/>
  <c r="DM899" i="34" s="1"/>
  <c r="DO899" i="34"/>
  <c r="DP899" i="34"/>
  <c r="DS899" i="34" s="1" a="1"/>
  <c r="DS899" i="34" s="1"/>
  <c r="DU899" i="34"/>
  <c r="DV899" i="34"/>
  <c r="EA899" i="34"/>
  <c r="EB899" i="34"/>
  <c r="ED899" i="34" s="1" a="1"/>
  <c r="ED899" i="34" s="1"/>
  <c r="BS900" i="34"/>
  <c r="BT900" i="34"/>
  <c r="BV900" i="34" s="1" a="1"/>
  <c r="BV900" i="34" s="1"/>
  <c r="BW900" i="34" a="1"/>
  <c r="BW900" i="34" s="1"/>
  <c r="BY900" i="34"/>
  <c r="BZ900" i="34"/>
  <c r="CC900" i="34" s="1" a="1"/>
  <c r="CC900" i="34" s="1"/>
  <c r="CE900" i="34"/>
  <c r="CF900" i="34"/>
  <c r="CK900" i="34"/>
  <c r="CL900" i="34"/>
  <c r="CO900" i="34" s="1" a="1"/>
  <c r="CO900" i="34"/>
  <c r="CQ900" i="34" a="1"/>
  <c r="CQ900" i="34"/>
  <c r="CU900" i="34" s="1" a="1"/>
  <c r="CU900" i="34" s="1"/>
  <c r="CR900" i="34"/>
  <c r="CT900" i="34" a="1"/>
  <c r="CT900" i="34" s="1"/>
  <c r="CW900" i="34"/>
  <c r="CZ900" i="34" s="1" a="1"/>
  <c r="CZ900" i="34" s="1"/>
  <c r="CX900" i="34"/>
  <c r="DA900" i="34" a="1"/>
  <c r="DA900" i="34" s="1"/>
  <c r="DC900" i="34"/>
  <c r="DG900" i="34" s="1" a="1"/>
  <c r="DG900" i="34" s="1"/>
  <c r="DD900" i="34"/>
  <c r="DF900" i="34" a="1"/>
  <c r="DF900" i="34" s="1"/>
  <c r="DI900" i="34"/>
  <c r="DL900" i="34" s="1" a="1"/>
  <c r="DL900" i="34" s="1"/>
  <c r="DJ900" i="34"/>
  <c r="DO900" i="34"/>
  <c r="DP900" i="34"/>
  <c r="DR900" i="34" a="1"/>
  <c r="DR900" i="34" s="1"/>
  <c r="DS900" i="34" a="1"/>
  <c r="DS900" i="34" s="1"/>
  <c r="DU900" i="34"/>
  <c r="DX900" i="34" s="1" a="1"/>
  <c r="DX900" i="34" s="1"/>
  <c r="DV900" i="34"/>
  <c r="DY900" i="34" a="1"/>
  <c r="DY900" i="34"/>
  <c r="EA900" i="34"/>
  <c r="EB900" i="34"/>
  <c r="ED900" i="34" a="1"/>
  <c r="ED900" i="34" s="1"/>
  <c r="EE900" i="34" a="1"/>
  <c r="EE900" i="34" s="1"/>
  <c r="BS901" i="34"/>
  <c r="BV901" i="34" s="1" a="1"/>
  <c r="BV901" i="34" s="1"/>
  <c r="BT901" i="34"/>
  <c r="BY901" i="34"/>
  <c r="CC901" i="34" s="1" a="1"/>
  <c r="CC901" i="34" s="1"/>
  <c r="BZ901" i="34"/>
  <c r="CB901" i="34" a="1"/>
  <c r="CB901" i="34" s="1"/>
  <c r="CE901" i="34"/>
  <c r="CH901" i="34" s="1" a="1"/>
  <c r="CH901" i="34" s="1"/>
  <c r="CF901" i="34"/>
  <c r="CI901" i="34" a="1"/>
  <c r="CI901" i="34"/>
  <c r="CK901" i="34"/>
  <c r="CO901" i="34" s="1" a="1"/>
  <c r="CO901" i="34" s="1"/>
  <c r="CL901" i="34"/>
  <c r="CN901" i="34" a="1"/>
  <c r="CN901" i="34" s="1"/>
  <c r="CQ901" i="34" a="1"/>
  <c r="CQ901" i="34"/>
  <c r="CR901" i="34"/>
  <c r="CW901" i="34"/>
  <c r="CX901" i="34"/>
  <c r="DC901" i="34"/>
  <c r="DD901" i="34"/>
  <c r="DF901" i="34" a="1"/>
  <c r="DF901" i="34"/>
  <c r="DG901" i="34" a="1"/>
  <c r="DG901" i="34" s="1"/>
  <c r="DI901" i="34"/>
  <c r="DL901" i="34" s="1" a="1"/>
  <c r="DL901" i="34" s="1"/>
  <c r="DJ901" i="34"/>
  <c r="DM901" i="34" s="1" a="1"/>
  <c r="DM901" i="34"/>
  <c r="DO901" i="34"/>
  <c r="DP901" i="34"/>
  <c r="DU901" i="34"/>
  <c r="DY901" i="34" s="1" a="1"/>
  <c r="DY901" i="34" s="1"/>
  <c r="DV901" i="34"/>
  <c r="DX901" i="34" a="1"/>
  <c r="DX901" i="34" s="1"/>
  <c r="EA901" i="34"/>
  <c r="EB901" i="34"/>
  <c r="ED901" i="34" s="1" a="1"/>
  <c r="ED901" i="34"/>
  <c r="EE901" i="34" a="1"/>
  <c r="EE901" i="34" s="1"/>
  <c r="BS902" i="34"/>
  <c r="BT902" i="34"/>
  <c r="BW902" i="34" a="1"/>
  <c r="BW902" i="34" s="1"/>
  <c r="BY902" i="34"/>
  <c r="BZ902" i="34"/>
  <c r="CE902" i="34"/>
  <c r="CF902" i="34"/>
  <c r="CI902" i="34" s="1" a="1"/>
  <c r="CI902" i="34"/>
  <c r="CK902" i="34"/>
  <c r="CL902" i="34"/>
  <c r="CN902" i="34" a="1"/>
  <c r="CN902" i="34"/>
  <c r="CO902" i="34" a="1"/>
  <c r="CO902" i="34" s="1"/>
  <c r="CQ902" i="34" a="1"/>
  <c r="CQ902" i="34"/>
  <c r="CT902" i="34" s="1" a="1"/>
  <c r="CT902" i="34" s="1"/>
  <c r="CR902" i="34"/>
  <c r="CW902" i="34"/>
  <c r="DA902" i="34" s="1" a="1"/>
  <c r="CX902" i="34"/>
  <c r="CZ902" i="34" a="1"/>
  <c r="CZ902" i="34" s="1"/>
  <c r="DA902" i="34"/>
  <c r="DC902" i="34"/>
  <c r="DG902" i="34" s="1" a="1"/>
  <c r="DG902" i="34" s="1"/>
  <c r="DD902" i="34"/>
  <c r="DI902" i="34"/>
  <c r="DJ902" i="34"/>
  <c r="DL902" i="34" a="1"/>
  <c r="DL902" i="34" s="1"/>
  <c r="DM902" i="34" a="1"/>
  <c r="DM902" i="34" s="1"/>
  <c r="DO902" i="34"/>
  <c r="DR902" i="34" s="1" a="1"/>
  <c r="DR902" i="34" s="1"/>
  <c r="DP902" i="34"/>
  <c r="DU902" i="34"/>
  <c r="DV902" i="34"/>
  <c r="DX902" i="34" a="1"/>
  <c r="DX902" i="34" s="1"/>
  <c r="DY902" i="34" a="1"/>
  <c r="DY902" i="34" s="1"/>
  <c r="EA902" i="34"/>
  <c r="EB902" i="34"/>
  <c r="BS903" i="34"/>
  <c r="BT903" i="34"/>
  <c r="BV903" i="34" s="1" a="1"/>
  <c r="BV903" i="34" s="1"/>
  <c r="BY903" i="34"/>
  <c r="CB903" i="34" s="1" a="1"/>
  <c r="CB903" i="34" s="1"/>
  <c r="BZ903" i="34"/>
  <c r="CE903" i="34"/>
  <c r="CI903" i="34" s="1" a="1"/>
  <c r="CF903" i="34"/>
  <c r="CH903" i="34" a="1"/>
  <c r="CH903" i="34" s="1"/>
  <c r="CI903" i="34"/>
  <c r="CK903" i="34"/>
  <c r="CL903" i="34"/>
  <c r="CQ903" i="34" a="1"/>
  <c r="CQ903" i="34" s="1"/>
  <c r="CU903" i="34" s="1" a="1"/>
  <c r="CU903" i="34" s="1"/>
  <c r="CR903" i="34"/>
  <c r="CW903" i="34"/>
  <c r="CX903" i="34"/>
  <c r="CZ903" i="34" a="1"/>
  <c r="CZ903" i="34" s="1"/>
  <c r="DA903" i="34" a="1"/>
  <c r="DA903" i="34" s="1"/>
  <c r="DC903" i="34"/>
  <c r="DD903" i="34"/>
  <c r="DG903" i="34" s="1" a="1"/>
  <c r="DG903" i="34"/>
  <c r="DI903" i="34"/>
  <c r="DJ903" i="34"/>
  <c r="DO903" i="34"/>
  <c r="DP903" i="34"/>
  <c r="DU903" i="34"/>
  <c r="DV903" i="34"/>
  <c r="DX903" i="34" s="1" a="1"/>
  <c r="DX903" i="34"/>
  <c r="DY903" i="34" a="1"/>
  <c r="DY903" i="34" s="1"/>
  <c r="EA903" i="34"/>
  <c r="EB903" i="34"/>
  <c r="EE903" i="34" s="1" a="1"/>
  <c r="EE903" i="34" s="1"/>
  <c r="BS904" i="34"/>
  <c r="BT904" i="34"/>
  <c r="BY904" i="34"/>
  <c r="BZ904" i="34"/>
  <c r="CC904" i="34" s="1" a="1"/>
  <c r="CC904" i="34" s="1"/>
  <c r="CB904" i="34" a="1"/>
  <c r="CB904" i="34" s="1"/>
  <c r="CE904" i="34"/>
  <c r="CF904" i="34"/>
  <c r="CH904" i="34" a="1"/>
  <c r="CH904" i="34"/>
  <c r="CI904" i="34" a="1"/>
  <c r="CI904" i="34" s="1"/>
  <c r="CK904" i="34"/>
  <c r="CL904" i="34"/>
  <c r="CQ904" i="34" a="1"/>
  <c r="CQ904" i="34" s="1"/>
  <c r="CU904" i="34" s="1" a="1"/>
  <c r="CU904" i="34" s="1"/>
  <c r="CR904" i="34"/>
  <c r="CT904" i="34" a="1"/>
  <c r="CT904" i="34" s="1"/>
  <c r="CW904" i="34"/>
  <c r="CX904" i="34"/>
  <c r="DC904" i="34"/>
  <c r="DD904" i="34"/>
  <c r="DF904" i="34" a="1"/>
  <c r="DF904" i="34"/>
  <c r="DG904" i="34" a="1"/>
  <c r="DG904" i="34" s="1"/>
  <c r="DI904" i="34"/>
  <c r="DL904" i="34" s="1" a="1"/>
  <c r="DL904" i="34" s="1"/>
  <c r="DJ904" i="34"/>
  <c r="DO904" i="34"/>
  <c r="DP904" i="34"/>
  <c r="DR904" i="34" a="1"/>
  <c r="DR904" i="34" s="1"/>
  <c r="DS904" i="34" a="1"/>
  <c r="DS904" i="34" s="1"/>
  <c r="DU904" i="34"/>
  <c r="DV904" i="34"/>
  <c r="EA904" i="34"/>
  <c r="EB904" i="34"/>
  <c r="ED904" i="34" a="1"/>
  <c r="ED904" i="34"/>
  <c r="BS905" i="34"/>
  <c r="BV905" i="34" s="1" a="1"/>
  <c r="BV905" i="34" s="1"/>
  <c r="BT905" i="34"/>
  <c r="BY905" i="34"/>
  <c r="CC905" i="34" s="1" a="1"/>
  <c r="CC905" i="34" s="1"/>
  <c r="BZ905" i="34"/>
  <c r="CB905" i="34" a="1"/>
  <c r="CB905" i="34" s="1"/>
  <c r="CE905" i="34"/>
  <c r="CF905" i="34"/>
  <c r="CK905" i="34"/>
  <c r="CL905" i="34"/>
  <c r="CN905" i="34" a="1"/>
  <c r="CN905" i="34"/>
  <c r="CO905" i="34" a="1"/>
  <c r="CO905" i="34" s="1"/>
  <c r="CQ905" i="34" a="1"/>
  <c r="CQ905" i="34" s="1"/>
  <c r="CT905" i="34" s="1" a="1"/>
  <c r="CT905" i="34" s="1"/>
  <c r="CR905" i="34"/>
  <c r="CW905" i="34"/>
  <c r="CX905" i="34"/>
  <c r="DC905" i="34"/>
  <c r="DD905" i="34"/>
  <c r="DI905" i="34"/>
  <c r="DJ905" i="34"/>
  <c r="DL905" i="34" a="1"/>
  <c r="DL905" i="34" s="1"/>
  <c r="DO905" i="34"/>
  <c r="DR905" i="34" s="1" a="1"/>
  <c r="DR905" i="34" s="1"/>
  <c r="DP905" i="34"/>
  <c r="DS905" i="34" a="1"/>
  <c r="DS905" i="34" s="1"/>
  <c r="DU905" i="34"/>
  <c r="DV905" i="34"/>
  <c r="DY905" i="34" a="1"/>
  <c r="DY905" i="34" s="1"/>
  <c r="EA905" i="34"/>
  <c r="EB905" i="34"/>
  <c r="BS906" i="34"/>
  <c r="BT906" i="34"/>
  <c r="BW906" i="34" s="1" a="1"/>
  <c r="BV906" i="34" a="1"/>
  <c r="BV906" i="34"/>
  <c r="BW906" i="34"/>
  <c r="BY906" i="34"/>
  <c r="BZ906" i="34"/>
  <c r="CB906" i="34" a="1"/>
  <c r="CB906" i="34" s="1"/>
  <c r="CC906" i="34" a="1"/>
  <c r="CC906" i="34" s="1"/>
  <c r="CE906" i="34"/>
  <c r="CF906" i="34"/>
  <c r="CK906" i="34"/>
  <c r="CL906" i="34"/>
  <c r="CQ906" i="34" a="1"/>
  <c r="CQ906" i="34"/>
  <c r="CR906" i="34"/>
  <c r="CU906" i="34" a="1"/>
  <c r="CU906" i="34" s="1"/>
  <c r="CW906" i="34"/>
  <c r="CX906" i="34"/>
  <c r="CZ906" i="34" a="1"/>
  <c r="CZ906" i="34"/>
  <c r="DA906" i="34" a="1"/>
  <c r="DA906" i="34" s="1"/>
  <c r="DC906" i="34"/>
  <c r="DF906" i="34" s="1" a="1"/>
  <c r="DD906" i="34"/>
  <c r="DF906" i="34"/>
  <c r="DI906" i="34"/>
  <c r="DJ906" i="34"/>
  <c r="DL906" i="34" a="1"/>
  <c r="DL906" i="34" s="1"/>
  <c r="DM906" i="34" a="1"/>
  <c r="DM906" i="34" s="1"/>
  <c r="DO906" i="34"/>
  <c r="DP906" i="34"/>
  <c r="DR906" i="34" a="1"/>
  <c r="DR906" i="34" s="1"/>
  <c r="DS906" i="34" a="1"/>
  <c r="DS906" i="34" s="1"/>
  <c r="DU906" i="34"/>
  <c r="DV906" i="34"/>
  <c r="DX906" i="34" s="1" a="1"/>
  <c r="DX906" i="34" s="1"/>
  <c r="EA906" i="34"/>
  <c r="ED906" i="34" s="1" a="1"/>
  <c r="ED906" i="34" s="1"/>
  <c r="EB906" i="34"/>
  <c r="BS907" i="34"/>
  <c r="BW907" i="34" s="1" a="1"/>
  <c r="BW907" i="34" s="1"/>
  <c r="BT907" i="34"/>
  <c r="BY907" i="34"/>
  <c r="BZ907" i="34"/>
  <c r="CC907" i="34" a="1"/>
  <c r="CC907" i="34" s="1"/>
  <c r="CE907" i="34"/>
  <c r="CF907" i="34"/>
  <c r="CH907" i="34" a="1"/>
  <c r="CH907" i="34" s="1"/>
  <c r="CI907" i="34" a="1"/>
  <c r="CI907" i="34" s="1"/>
  <c r="CK907" i="34"/>
  <c r="CN907" i="34" s="1" a="1"/>
  <c r="CN907" i="34" s="1"/>
  <c r="CL907" i="34"/>
  <c r="CO907" i="34" a="1"/>
  <c r="CO907" i="34" s="1"/>
  <c r="CQ907" i="34" a="1"/>
  <c r="CQ907" i="34" s="1"/>
  <c r="CR907" i="34"/>
  <c r="CW907" i="34"/>
  <c r="CX907" i="34"/>
  <c r="DC907" i="34"/>
  <c r="DG907" i="34" s="1" a="1"/>
  <c r="DG907" i="34" s="1"/>
  <c r="DD907" i="34"/>
  <c r="DI907" i="34"/>
  <c r="DL907" i="34" s="1" a="1"/>
  <c r="DJ907" i="34"/>
  <c r="DL907" i="34"/>
  <c r="DM907" i="34" a="1"/>
  <c r="DM907" i="34"/>
  <c r="DO907" i="34"/>
  <c r="DP907" i="34"/>
  <c r="DS907" i="34" s="1" a="1"/>
  <c r="DS907" i="34" s="1"/>
  <c r="DU907" i="34"/>
  <c r="DV907" i="34"/>
  <c r="EA907" i="34"/>
  <c r="EB907" i="34"/>
  <c r="EE907" i="34" s="1" a="1"/>
  <c r="ED907" i="34" a="1"/>
  <c r="ED907" i="34" s="1"/>
  <c r="EE907" i="34"/>
  <c r="BS908" i="34"/>
  <c r="BT908" i="34"/>
  <c r="BV908" i="34" a="1"/>
  <c r="BV908" i="34"/>
  <c r="BW908" i="34" a="1"/>
  <c r="BW908" i="34" s="1"/>
  <c r="BY908" i="34"/>
  <c r="BZ908" i="34"/>
  <c r="CE908" i="34"/>
  <c r="CF908" i="34"/>
  <c r="CH908" i="34" a="1"/>
  <c r="CH908" i="34"/>
  <c r="CK908" i="34"/>
  <c r="CN908" i="34" s="1" a="1"/>
  <c r="CN908" i="34" s="1"/>
  <c r="CL908" i="34"/>
  <c r="CQ908" i="34" a="1"/>
  <c r="CQ908" i="34" s="1"/>
  <c r="CT908" i="34" s="1" a="1"/>
  <c r="CR908" i="34"/>
  <c r="CT908" i="34"/>
  <c r="CW908" i="34"/>
  <c r="CZ908" i="34" s="1" a="1"/>
  <c r="CX908" i="34"/>
  <c r="CZ908" i="34"/>
  <c r="DA908" i="34" a="1"/>
  <c r="DA908" i="34"/>
  <c r="DC908" i="34"/>
  <c r="DD908" i="34"/>
  <c r="DF908" i="34" a="1"/>
  <c r="DF908" i="34" s="1"/>
  <c r="DG908" i="34" a="1"/>
  <c r="DG908" i="34" s="1"/>
  <c r="DI908" i="34"/>
  <c r="DJ908" i="34"/>
  <c r="DL908" i="34" s="1" a="1"/>
  <c r="DL908" i="34" s="1"/>
  <c r="DM908" i="34" a="1"/>
  <c r="DM908" i="34" s="1"/>
  <c r="DO908" i="34"/>
  <c r="DS908" i="34" s="1" a="1"/>
  <c r="DS908" i="34" s="1"/>
  <c r="DP908" i="34"/>
  <c r="DR908" i="34" s="1" a="1"/>
  <c r="DR908" i="34" s="1"/>
  <c r="DU908" i="34"/>
  <c r="DX908" i="34" s="1" a="1"/>
  <c r="DX908" i="34" s="1"/>
  <c r="DV908" i="34"/>
  <c r="DY908" i="34" a="1"/>
  <c r="DY908" i="34"/>
  <c r="EA908" i="34"/>
  <c r="ED908" i="34" s="1" a="1"/>
  <c r="ED908" i="34" s="1"/>
  <c r="EB908" i="34"/>
  <c r="BS909" i="34"/>
  <c r="BW909" i="34" s="1" a="1"/>
  <c r="BW909" i="34" s="1"/>
  <c r="BT909" i="34"/>
  <c r="BY909" i="34"/>
  <c r="BZ909" i="34"/>
  <c r="CB909" i="34" a="1"/>
  <c r="CB909" i="34" s="1"/>
  <c r="CC909" i="34" a="1"/>
  <c r="CC909" i="34"/>
  <c r="CE909" i="34"/>
  <c r="CH909" i="34" s="1" a="1"/>
  <c r="CF909" i="34"/>
  <c r="CH909" i="34"/>
  <c r="CK909" i="34"/>
  <c r="CL909" i="34"/>
  <c r="CN909" i="34" a="1"/>
  <c r="CN909" i="34" s="1"/>
  <c r="CO909" i="34" a="1"/>
  <c r="CO909" i="34" s="1"/>
  <c r="CQ909" i="34" a="1"/>
  <c r="CQ909" i="34"/>
  <c r="CR909" i="34"/>
  <c r="CW909" i="34"/>
  <c r="CX909" i="34"/>
  <c r="CZ909" i="34" a="1"/>
  <c r="CZ909" i="34" s="1"/>
  <c r="DC909" i="34"/>
  <c r="DF909" i="34" s="1" a="1"/>
  <c r="DF909" i="34" s="1"/>
  <c r="DD909" i="34"/>
  <c r="DG909" i="34" a="1"/>
  <c r="DG909" i="34"/>
  <c r="DI909" i="34"/>
  <c r="DL909" i="34" s="1" a="1"/>
  <c r="DL909" i="34" s="1"/>
  <c r="DJ909" i="34"/>
  <c r="DO909" i="34"/>
  <c r="DP909" i="34"/>
  <c r="DU909" i="34"/>
  <c r="DV909" i="34"/>
  <c r="DY909" i="34" s="1" a="1"/>
  <c r="DY909" i="34" s="1"/>
  <c r="DX909" i="34" a="1"/>
  <c r="DX909" i="34"/>
  <c r="EA909" i="34"/>
  <c r="EB909" i="34"/>
  <c r="ED909" i="34" a="1"/>
  <c r="ED909" i="34" s="1"/>
  <c r="EE909" i="34" a="1"/>
  <c r="EE909" i="34" s="1"/>
  <c r="BS910" i="34"/>
  <c r="BW910" i="34" s="1" a="1"/>
  <c r="BW910" i="34" s="1"/>
  <c r="BT910" i="34"/>
  <c r="BV910" i="34" s="1" a="1"/>
  <c r="BV910" i="34" s="1"/>
  <c r="BY910" i="34"/>
  <c r="BZ910" i="34"/>
  <c r="CB910" i="34" a="1"/>
  <c r="CB910" i="34"/>
  <c r="CE910" i="34"/>
  <c r="CI910" i="34" s="1" a="1"/>
  <c r="CI910" i="34" s="1"/>
  <c r="CF910" i="34"/>
  <c r="CK910" i="34"/>
  <c r="CO910" i="34" s="1" a="1"/>
  <c r="CO910" i="34" s="1"/>
  <c r="CL910" i="34"/>
  <c r="CQ910" i="34" a="1"/>
  <c r="CQ910" i="34" s="1"/>
  <c r="CR910" i="34"/>
  <c r="CW910" i="34"/>
  <c r="CX910" i="34"/>
  <c r="CZ910" i="34" a="1"/>
  <c r="CZ910" i="34"/>
  <c r="DA910" i="34" a="1"/>
  <c r="DA910" i="34" s="1"/>
  <c r="DC910" i="34"/>
  <c r="DD910" i="34"/>
  <c r="DF910" i="34" s="1" a="1"/>
  <c r="DF910" i="34" s="1"/>
  <c r="DG910" i="34" a="1"/>
  <c r="DG910" i="34" s="1"/>
  <c r="DI910" i="34"/>
  <c r="DL910" i="34" s="1" a="1"/>
  <c r="DL910" i="34" s="1"/>
  <c r="DJ910" i="34"/>
  <c r="DO910" i="34"/>
  <c r="DR910" i="34" s="1" a="1"/>
  <c r="DR910" i="34" s="1"/>
  <c r="DP910" i="34"/>
  <c r="DU910" i="34"/>
  <c r="DY910" i="34" s="1" a="1"/>
  <c r="DY910" i="34" s="1"/>
  <c r="DV910" i="34"/>
  <c r="DX910" i="34" a="1"/>
  <c r="DX910" i="34" s="1"/>
  <c r="EA910" i="34"/>
  <c r="EB910" i="34"/>
  <c r="ED910" i="34" a="1"/>
  <c r="ED910" i="34"/>
  <c r="EE910" i="34" a="1"/>
  <c r="EE910" i="34" s="1"/>
  <c r="BS911" i="34"/>
  <c r="BV911" i="34" s="1" a="1"/>
  <c r="BV911" i="34" s="1"/>
  <c r="BT911" i="34"/>
  <c r="BW911" i="34" a="1"/>
  <c r="BW911" i="34" s="1"/>
  <c r="BY911" i="34"/>
  <c r="BZ911" i="34"/>
  <c r="CE911" i="34"/>
  <c r="CF911" i="34"/>
  <c r="CI911" i="34" s="1" a="1"/>
  <c r="CI911" i="34" s="1"/>
  <c r="CH911" i="34" a="1"/>
  <c r="CH911" i="34" s="1"/>
  <c r="CK911" i="34"/>
  <c r="CL911" i="34"/>
  <c r="CN911" i="34" s="1" a="1"/>
  <c r="CN911" i="34" s="1"/>
  <c r="CO911" i="34" a="1"/>
  <c r="CO911" i="34" s="1"/>
  <c r="CQ911" i="34" a="1"/>
  <c r="CQ911" i="34" s="1"/>
  <c r="CR911" i="34"/>
  <c r="CW911" i="34"/>
  <c r="CZ911" i="34" s="1" a="1"/>
  <c r="CZ911" i="34" s="1"/>
  <c r="CX911" i="34"/>
  <c r="DA911" i="34" a="1"/>
  <c r="DA911" i="34" s="1"/>
  <c r="DC911" i="34"/>
  <c r="DD911" i="34"/>
  <c r="DF911" i="34" s="1" a="1"/>
  <c r="DF911" i="34" s="1"/>
  <c r="DI911" i="34"/>
  <c r="DJ911" i="34"/>
  <c r="DM911" i="34" s="1" a="1"/>
  <c r="DM911" i="34" s="1"/>
  <c r="DL911" i="34" a="1"/>
  <c r="DL911" i="34"/>
  <c r="DO911" i="34"/>
  <c r="DP911" i="34"/>
  <c r="DS911" i="34" s="1" a="1"/>
  <c r="DS911" i="34" s="1"/>
  <c r="DR911" i="34" a="1"/>
  <c r="DR911" i="34" s="1"/>
  <c r="DU911" i="34"/>
  <c r="DX911" i="34" s="1" a="1"/>
  <c r="DX911" i="34" s="1"/>
  <c r="DV911" i="34"/>
  <c r="EA911" i="34"/>
  <c r="ED911" i="34" s="1" a="1"/>
  <c r="ED911" i="34" s="1"/>
  <c r="EB911" i="34"/>
  <c r="BS912" i="34"/>
  <c r="BV912" i="34" s="1" a="1"/>
  <c r="BT912" i="34"/>
  <c r="BV912" i="34"/>
  <c r="BY912" i="34"/>
  <c r="BZ912" i="34"/>
  <c r="CB912" i="34" a="1"/>
  <c r="CB912" i="34"/>
  <c r="CC912" i="34" a="1"/>
  <c r="CC912" i="34"/>
  <c r="CE912" i="34"/>
  <c r="CH912" i="34" s="1" a="1"/>
  <c r="CH912" i="34" s="1"/>
  <c r="CF912" i="34"/>
  <c r="CI912" i="34" a="1"/>
  <c r="CI912" i="34" s="1"/>
  <c r="CK912" i="34"/>
  <c r="CO912" i="34" s="1" a="1"/>
  <c r="CO912" i="34" s="1"/>
  <c r="CL912" i="34"/>
  <c r="CN912" i="34" s="1" a="1"/>
  <c r="CN912" i="34" s="1"/>
  <c r="CQ912" i="34" a="1"/>
  <c r="CQ912" i="34"/>
  <c r="CR912" i="34"/>
  <c r="CU912" i="34" s="1" a="1"/>
  <c r="CU912" i="34" s="1"/>
  <c r="CT912" i="34" a="1"/>
  <c r="CT912" i="34" s="1"/>
  <c r="CW912" i="34"/>
  <c r="CX912" i="34"/>
  <c r="CZ912" i="34" s="1" a="1"/>
  <c r="CZ912" i="34" s="1"/>
  <c r="DA912" i="34" a="1"/>
  <c r="DA912" i="34" s="1"/>
  <c r="DC912" i="34"/>
  <c r="DF912" i="34" s="1" a="1"/>
  <c r="DF912" i="34" s="1"/>
  <c r="DD912" i="34"/>
  <c r="DI912" i="34"/>
  <c r="DL912" i="34" s="1" a="1"/>
  <c r="DL912" i="34" s="1"/>
  <c r="DJ912" i="34"/>
  <c r="DO912" i="34"/>
  <c r="DS912" i="34" s="1" a="1"/>
  <c r="DS912" i="34" s="1"/>
  <c r="DP912" i="34"/>
  <c r="DR912" i="34" a="1"/>
  <c r="DR912" i="34" s="1"/>
  <c r="DU912" i="34"/>
  <c r="DV912" i="34"/>
  <c r="DX912" i="34" a="1"/>
  <c r="DX912" i="34"/>
  <c r="DY912" i="34" a="1"/>
  <c r="DY912" i="34" s="1"/>
  <c r="EA912" i="34"/>
  <c r="ED912" i="34" s="1" a="1"/>
  <c r="ED912" i="34" s="1"/>
  <c r="EB912" i="34"/>
  <c r="EE912" i="34" a="1"/>
  <c r="EE912" i="34" s="1"/>
  <c r="BS913" i="34"/>
  <c r="BT913" i="34"/>
  <c r="BY913" i="34"/>
  <c r="BZ913" i="34"/>
  <c r="CC913" i="34" s="1" a="1"/>
  <c r="CC913" i="34" s="1"/>
  <c r="CB913" i="34" a="1"/>
  <c r="CB913" i="34" s="1"/>
  <c r="CE913" i="34"/>
  <c r="CF913" i="34"/>
  <c r="CH913" i="34" s="1" a="1"/>
  <c r="CH913" i="34" s="1"/>
  <c r="CI913" i="34" a="1"/>
  <c r="CI913" i="34" s="1"/>
  <c r="CK913" i="34"/>
  <c r="CN913" i="34" s="1" a="1"/>
  <c r="CN913" i="34" s="1"/>
  <c r="CL913" i="34"/>
  <c r="CO913" i="34" a="1"/>
  <c r="CO913" i="34"/>
  <c r="CQ913" i="34" a="1"/>
  <c r="CQ913" i="34" s="1"/>
  <c r="CR913" i="34"/>
  <c r="CW913" i="34"/>
  <c r="CX913" i="34"/>
  <c r="CZ913" i="34" s="1" a="1"/>
  <c r="CZ913" i="34" s="1"/>
  <c r="DC913" i="34"/>
  <c r="DG913" i="34" s="1" a="1"/>
  <c r="DG913" i="34" s="1"/>
  <c r="DD913" i="34"/>
  <c r="DF913" i="34" a="1"/>
  <c r="DF913" i="34"/>
  <c r="DI913" i="34"/>
  <c r="DJ913" i="34"/>
  <c r="DM913" i="34" s="1" a="1"/>
  <c r="DM913" i="34" s="1"/>
  <c r="DL913" i="34" a="1"/>
  <c r="DL913" i="34" s="1"/>
  <c r="DO913" i="34"/>
  <c r="DR913" i="34" s="1" a="1"/>
  <c r="DR913" i="34" s="1"/>
  <c r="DP913" i="34"/>
  <c r="DU913" i="34"/>
  <c r="DX913" i="34" s="1" a="1"/>
  <c r="DX913" i="34" s="1"/>
  <c r="DV913" i="34"/>
  <c r="EA913" i="34"/>
  <c r="ED913" i="34" s="1" a="1"/>
  <c r="EB913" i="34"/>
  <c r="ED913" i="34"/>
  <c r="BS914" i="34"/>
  <c r="BT914" i="34"/>
  <c r="BV914" i="34" a="1"/>
  <c r="BV914" i="34"/>
  <c r="BW914" i="34" a="1"/>
  <c r="BW914" i="34"/>
  <c r="BY914" i="34"/>
  <c r="CB914" i="34" s="1" a="1"/>
  <c r="CB914" i="34" s="1"/>
  <c r="BZ914" i="34"/>
  <c r="CC914" i="34" a="1"/>
  <c r="CC914" i="34" s="1"/>
  <c r="CE914" i="34"/>
  <c r="CI914" i="34" s="1" a="1"/>
  <c r="CI914" i="34" s="1"/>
  <c r="CF914" i="34"/>
  <c r="CH914" i="34" s="1" a="1"/>
  <c r="CH914" i="34" s="1"/>
  <c r="CK914" i="34"/>
  <c r="CO914" i="34" s="1" a="1"/>
  <c r="CO914" i="34" s="1"/>
  <c r="CL914" i="34"/>
  <c r="CN914" i="34" a="1"/>
  <c r="CN914" i="34"/>
  <c r="CQ914" i="34" a="1"/>
  <c r="CQ914" i="34"/>
  <c r="CR914" i="34"/>
  <c r="CT914" i="34" s="1" a="1"/>
  <c r="CT914" i="34" s="1"/>
  <c r="CU914" i="34" a="1"/>
  <c r="CU914" i="34" s="1"/>
  <c r="CW914" i="34"/>
  <c r="CZ914" i="34" s="1" a="1"/>
  <c r="CZ914" i="34" s="1"/>
  <c r="CX914" i="34"/>
  <c r="DA914" i="34" a="1"/>
  <c r="DA914" i="34"/>
  <c r="DC914" i="34"/>
  <c r="DF914" i="34" s="1" a="1"/>
  <c r="DF914" i="34" s="1"/>
  <c r="DD914" i="34"/>
  <c r="DI914" i="34"/>
  <c r="DM914" i="34" s="1" a="1"/>
  <c r="DM914" i="34" s="1"/>
  <c r="DJ914" i="34"/>
  <c r="DL914" i="34" a="1"/>
  <c r="DL914" i="34" s="1"/>
  <c r="DO914" i="34"/>
  <c r="DP914" i="34"/>
  <c r="DR914" i="34" a="1"/>
  <c r="DR914" i="34"/>
  <c r="DS914" i="34" a="1"/>
  <c r="DS914" i="34" s="1"/>
  <c r="DU914" i="34"/>
  <c r="DX914" i="34" s="1" a="1"/>
  <c r="DX914" i="34" s="1"/>
  <c r="DV914" i="34"/>
  <c r="DY914" i="34" a="1"/>
  <c r="DY914" i="34" s="1"/>
  <c r="EA914" i="34"/>
  <c r="EB914" i="34"/>
  <c r="BS915" i="34"/>
  <c r="BT915" i="34"/>
  <c r="BW915" i="34" s="1" a="1"/>
  <c r="BW915" i="34" s="1"/>
  <c r="BV915" i="34" a="1"/>
  <c r="BV915" i="34" s="1"/>
  <c r="BY915" i="34"/>
  <c r="BZ915" i="34"/>
  <c r="CB915" i="34" s="1" a="1"/>
  <c r="CB915" i="34" s="1"/>
  <c r="CC915" i="34" a="1"/>
  <c r="CC915" i="34" s="1"/>
  <c r="CE915" i="34"/>
  <c r="CH915" i="34" s="1" a="1"/>
  <c r="CH915" i="34" s="1"/>
  <c r="CF915" i="34"/>
  <c r="CI915" i="34" a="1"/>
  <c r="CI915" i="34"/>
  <c r="CK915" i="34"/>
  <c r="CN915" i="34" s="1" a="1"/>
  <c r="CN915" i="34" s="1"/>
  <c r="CL915" i="34"/>
  <c r="CQ915" i="34" a="1"/>
  <c r="CQ915" i="34" s="1"/>
  <c r="CR915" i="34"/>
  <c r="CW915" i="34"/>
  <c r="DA915" i="34" s="1" a="1"/>
  <c r="DA915" i="34" s="1"/>
  <c r="CX915" i="34"/>
  <c r="CZ915" i="34" a="1"/>
  <c r="CZ915" i="34"/>
  <c r="DC915" i="34"/>
  <c r="DD915" i="34"/>
  <c r="DG915" i="34" s="1" a="1"/>
  <c r="DG915" i="34" s="1"/>
  <c r="DF915" i="34" a="1"/>
  <c r="DF915" i="34" s="1"/>
  <c r="DI915" i="34"/>
  <c r="DL915" i="34" s="1" a="1"/>
  <c r="DL915" i="34" s="1"/>
  <c r="DJ915" i="34"/>
  <c r="DO915" i="34"/>
  <c r="DR915" i="34" s="1" a="1"/>
  <c r="DR915" i="34" s="1"/>
  <c r="DP915" i="34"/>
  <c r="DU915" i="34"/>
  <c r="DX915" i="34" s="1" a="1"/>
  <c r="DX915" i="34" s="1"/>
  <c r="DV915" i="34"/>
  <c r="EA915" i="34"/>
  <c r="EB915" i="34"/>
  <c r="ED915" i="34" a="1"/>
  <c r="ED915" i="34"/>
  <c r="EE915" i="34" a="1"/>
  <c r="EE915" i="34"/>
  <c r="BS916" i="34"/>
  <c r="BV916" i="34" s="1" a="1"/>
  <c r="BV916" i="34" s="1"/>
  <c r="BT916" i="34"/>
  <c r="BW916" i="34" a="1"/>
  <c r="BW916" i="34" s="1"/>
  <c r="BY916" i="34"/>
  <c r="CC916" i="34" s="1" a="1"/>
  <c r="CC916" i="34" s="1"/>
  <c r="BZ916" i="34"/>
  <c r="CB916" i="34" s="1" a="1"/>
  <c r="CB916" i="34" s="1"/>
  <c r="CE916" i="34"/>
  <c r="CI916" i="34" s="1" a="1"/>
  <c r="CI916" i="34" s="1"/>
  <c r="CF916" i="34"/>
  <c r="CH916" i="34" a="1"/>
  <c r="CH916" i="34"/>
  <c r="CK916" i="34"/>
  <c r="CL916" i="34"/>
  <c r="CO916" i="34" s="1" a="1"/>
  <c r="CO916" i="34" s="1"/>
  <c r="CN916" i="34" a="1"/>
  <c r="CN916" i="34" s="1"/>
  <c r="CQ916" i="34" a="1"/>
  <c r="CQ916" i="34" s="1"/>
  <c r="CR916" i="34"/>
  <c r="CW916" i="34"/>
  <c r="CZ916" i="34" s="1" a="1"/>
  <c r="CZ916" i="34" s="1"/>
  <c r="CX916" i="34"/>
  <c r="DC916" i="34"/>
  <c r="DG916" i="34" s="1" a="1"/>
  <c r="DG916" i="34" s="1"/>
  <c r="DD916" i="34"/>
  <c r="DF916" i="34" a="1"/>
  <c r="DF916" i="34" s="1"/>
  <c r="DI916" i="34"/>
  <c r="DJ916" i="34"/>
  <c r="DL916" i="34" a="1"/>
  <c r="DL916" i="34"/>
  <c r="DM916" i="34" a="1"/>
  <c r="DM916" i="34" s="1"/>
  <c r="DO916" i="34"/>
  <c r="DR916" i="34" s="1" a="1"/>
  <c r="DR916" i="34" s="1"/>
  <c r="DP916" i="34"/>
  <c r="DS916" i="34" a="1"/>
  <c r="DS916" i="34" s="1"/>
  <c r="DU916" i="34"/>
  <c r="DV916" i="34"/>
  <c r="EA916" i="34"/>
  <c r="EB916" i="34"/>
  <c r="EE916" i="34" s="1" a="1"/>
  <c r="EE916" i="34" s="1"/>
  <c r="ED916" i="34" a="1"/>
  <c r="ED916" i="34" s="1"/>
  <c r="BS917" i="34"/>
  <c r="BT917" i="34"/>
  <c r="BV917" i="34" s="1" a="1"/>
  <c r="BV917" i="34" s="1"/>
  <c r="BW917" i="34" a="1"/>
  <c r="BW917" i="34" s="1"/>
  <c r="BY917" i="34"/>
  <c r="CB917" i="34" s="1" a="1"/>
  <c r="CB917" i="34" s="1"/>
  <c r="BZ917" i="34"/>
  <c r="CC917" i="34" a="1"/>
  <c r="CC917" i="34"/>
  <c r="CE917" i="34"/>
  <c r="CH917" i="34" s="1" a="1"/>
  <c r="CH917" i="34" s="1"/>
  <c r="CF917" i="34"/>
  <c r="CK917" i="34"/>
  <c r="CO917" i="34" s="1" a="1"/>
  <c r="CO917" i="34" s="1"/>
  <c r="CL917" i="34"/>
  <c r="CN917" i="34" a="1"/>
  <c r="CN917" i="34" s="1"/>
  <c r="CQ917" i="34" a="1"/>
  <c r="CQ917" i="34"/>
  <c r="CU917" i="34" s="1" a="1"/>
  <c r="CU917" i="34" s="1"/>
  <c r="CR917" i="34"/>
  <c r="CT917" i="34" a="1"/>
  <c r="CT917" i="34"/>
  <c r="CW917" i="34"/>
  <c r="CX917" i="34"/>
  <c r="DA917" i="34" s="1" a="1"/>
  <c r="CZ917" i="34" a="1"/>
  <c r="CZ917" i="34" s="1"/>
  <c r="DA917" i="34"/>
  <c r="DC917" i="34"/>
  <c r="DF917" i="34" s="1" a="1"/>
  <c r="DF917" i="34" s="1"/>
  <c r="DD917" i="34"/>
  <c r="DI917" i="34"/>
  <c r="DL917" i="34" s="1" a="1"/>
  <c r="DL917" i="34" s="1"/>
  <c r="DJ917" i="34"/>
  <c r="DO917" i="34"/>
  <c r="DR917" i="34" s="1" a="1"/>
  <c r="DR917" i="34" s="1"/>
  <c r="DP917" i="34"/>
  <c r="DU917" i="34"/>
  <c r="DV917" i="34"/>
  <c r="DX917" i="34" a="1"/>
  <c r="DX917" i="34"/>
  <c r="DY917" i="34" a="1"/>
  <c r="DY917" i="34"/>
  <c r="EA917" i="34"/>
  <c r="ED917" i="34" s="1" a="1"/>
  <c r="ED917" i="34" s="1"/>
  <c r="EB917" i="34"/>
  <c r="EE917" i="34" a="1"/>
  <c r="EE917" i="34" s="1"/>
  <c r="BS918" i="34"/>
  <c r="BT918" i="34"/>
  <c r="BV918" i="34" s="1" a="1"/>
  <c r="BV918" i="34" s="1"/>
  <c r="BY918" i="34"/>
  <c r="CC918" i="34" s="1" a="1"/>
  <c r="CC918" i="34" s="1"/>
  <c r="BZ918" i="34"/>
  <c r="CB918" i="34" a="1"/>
  <c r="CB918" i="34"/>
  <c r="CE918" i="34"/>
  <c r="CF918" i="34"/>
  <c r="CI918" i="34" s="1" a="1"/>
  <c r="CI918" i="34" s="1"/>
  <c r="CH918" i="34" a="1"/>
  <c r="CH918" i="34" s="1"/>
  <c r="CK918" i="34"/>
  <c r="CN918" i="34" s="1" a="1"/>
  <c r="CN918" i="34" s="1"/>
  <c r="CL918" i="34"/>
  <c r="CQ918" i="34" a="1"/>
  <c r="CQ918" i="34"/>
  <c r="CT918" i="34" s="1" a="1"/>
  <c r="CT918" i="34" s="1"/>
  <c r="CR918" i="34"/>
  <c r="CW918" i="34"/>
  <c r="DA918" i="34" s="1" a="1"/>
  <c r="DA918" i="34" s="1"/>
  <c r="CX918" i="34"/>
  <c r="CZ918" i="34" a="1"/>
  <c r="CZ918" i="34" s="1"/>
  <c r="DC918" i="34"/>
  <c r="DD918" i="34"/>
  <c r="DF918" i="34" a="1"/>
  <c r="DF918" i="34"/>
  <c r="DG918" i="34" a="1"/>
  <c r="DG918" i="34" s="1"/>
  <c r="DI918" i="34"/>
  <c r="DL918" i="34" s="1" a="1"/>
  <c r="DL918" i="34" s="1"/>
  <c r="DJ918" i="34"/>
  <c r="DM918" i="34" a="1"/>
  <c r="DM918" i="34" s="1"/>
  <c r="DO918" i="34"/>
  <c r="DP918" i="34"/>
  <c r="DU918" i="34"/>
  <c r="DV918" i="34"/>
  <c r="DY918" i="34" s="1" a="1"/>
  <c r="DY918" i="34" s="1"/>
  <c r="DX918" i="34" a="1"/>
  <c r="DX918" i="34" s="1"/>
  <c r="EA918" i="34"/>
  <c r="EB918" i="34"/>
  <c r="ED918" i="34" s="1" a="1"/>
  <c r="ED918" i="34" s="1"/>
  <c r="EE918" i="34" a="1"/>
  <c r="EE918" i="34" s="1"/>
  <c r="BS919" i="34"/>
  <c r="BV919" i="34" s="1" a="1"/>
  <c r="BV919" i="34" s="1"/>
  <c r="BT919" i="34"/>
  <c r="BW919" i="34" a="1"/>
  <c r="BW919" i="34"/>
  <c r="BY919" i="34"/>
  <c r="CB919" i="34" s="1" a="1"/>
  <c r="CB919" i="34" s="1"/>
  <c r="BZ919" i="34"/>
  <c r="CE919" i="34"/>
  <c r="CI919" i="34" s="1" a="1"/>
  <c r="CI919" i="34" s="1"/>
  <c r="CF919" i="34"/>
  <c r="CH919" i="34" a="1"/>
  <c r="CH919" i="34" s="1"/>
  <c r="CK919" i="34"/>
  <c r="CL919" i="34"/>
  <c r="CN919" i="34" a="1"/>
  <c r="CN919" i="34"/>
  <c r="CO919" i="34" a="1"/>
  <c r="CO919" i="34" s="1"/>
  <c r="CQ919" i="34" a="1"/>
  <c r="CQ919" i="34" s="1"/>
  <c r="CR919" i="34"/>
  <c r="CW919" i="34"/>
  <c r="CZ919" i="34" s="1" a="1"/>
  <c r="CZ919" i="34" s="1"/>
  <c r="CX919" i="34"/>
  <c r="DC919" i="34"/>
  <c r="DF919" i="34" s="1" a="1"/>
  <c r="DF919" i="34" s="1"/>
  <c r="DD919" i="34"/>
  <c r="DI919" i="34"/>
  <c r="DL919" i="34" s="1" a="1"/>
  <c r="DL919" i="34" s="1"/>
  <c r="DJ919" i="34"/>
  <c r="DO919" i="34"/>
  <c r="DP919" i="34"/>
  <c r="DR919" i="34" a="1"/>
  <c r="DR919" i="34"/>
  <c r="DS919" i="34" a="1"/>
  <c r="DS919" i="34"/>
  <c r="DU919" i="34"/>
  <c r="DX919" i="34" s="1" a="1"/>
  <c r="DX919" i="34" s="1"/>
  <c r="DV919" i="34"/>
  <c r="DY919" i="34" a="1"/>
  <c r="DY919" i="34" s="1"/>
  <c r="EA919" i="34"/>
  <c r="EE919" i="34" s="1" a="1"/>
  <c r="EE919" i="34" s="1"/>
  <c r="EB919" i="34"/>
  <c r="ED919" i="34" s="1" a="1"/>
  <c r="ED919" i="34" s="1"/>
  <c r="BS920" i="34"/>
  <c r="BW920" i="34" s="1" a="1"/>
  <c r="BW920" i="34" s="1"/>
  <c r="BT920" i="34"/>
  <c r="BV920" i="34" a="1"/>
  <c r="BV920" i="34"/>
  <c r="BY920" i="34"/>
  <c r="BZ920" i="34"/>
  <c r="CC920" i="34" s="1" a="1"/>
  <c r="CC920" i="34" s="1"/>
  <c r="CB920" i="34" a="1"/>
  <c r="CB920" i="34" s="1"/>
  <c r="CE920" i="34"/>
  <c r="CH920" i="34" s="1" a="1"/>
  <c r="CH920" i="34" s="1"/>
  <c r="CF920" i="34"/>
  <c r="CK920" i="34"/>
  <c r="CN920" i="34" s="1" a="1"/>
  <c r="CN920" i="34" s="1"/>
  <c r="CL920" i="34"/>
  <c r="CQ920" i="34" a="1"/>
  <c r="CQ920" i="34" s="1"/>
  <c r="CU920" i="34" s="1" a="1"/>
  <c r="CU920" i="34" s="1"/>
  <c r="CR920" i="34"/>
  <c r="CW920" i="34"/>
  <c r="CX920" i="34"/>
  <c r="CZ920" i="34" a="1"/>
  <c r="CZ920" i="34"/>
  <c r="DA920" i="34" a="1"/>
  <c r="DA920" i="34" s="1"/>
  <c r="DC920" i="34"/>
  <c r="DF920" i="34" s="1" a="1"/>
  <c r="DF920" i="34" s="1"/>
  <c r="DD920" i="34"/>
  <c r="DG920" i="34" a="1"/>
  <c r="DG920" i="34" s="1"/>
  <c r="DI920" i="34"/>
  <c r="DJ920" i="34"/>
  <c r="DO920" i="34"/>
  <c r="DS920" i="34" s="1" a="1"/>
  <c r="DS920" i="34" s="1"/>
  <c r="DP920" i="34"/>
  <c r="DR920" i="34" a="1"/>
  <c r="DR920" i="34" s="1"/>
  <c r="DU920" i="34"/>
  <c r="DV920" i="34"/>
  <c r="DX920" i="34" s="1" a="1"/>
  <c r="DX920" i="34" s="1"/>
  <c r="DY920" i="34" a="1"/>
  <c r="DY920" i="34" s="1"/>
  <c r="EA920" i="34"/>
  <c r="ED920" i="34" s="1" a="1"/>
  <c r="ED920" i="34" s="1"/>
  <c r="EB920" i="34"/>
  <c r="EE920" i="34" a="1"/>
  <c r="EE920" i="34"/>
  <c r="BS921" i="34"/>
  <c r="BV921" i="34" s="1" a="1"/>
  <c r="BV921" i="34" s="1"/>
  <c r="BT921" i="34"/>
  <c r="BY921" i="34"/>
  <c r="CC921" i="34" s="1" a="1"/>
  <c r="CC921" i="34" s="1"/>
  <c r="BZ921" i="34"/>
  <c r="CB921" i="34" a="1"/>
  <c r="CB921" i="34" s="1"/>
  <c r="CE921" i="34"/>
  <c r="CF921" i="34"/>
  <c r="CH921" i="34" a="1"/>
  <c r="CH921" i="34"/>
  <c r="CI921" i="34" a="1"/>
  <c r="CI921" i="34" s="1"/>
  <c r="CK921" i="34"/>
  <c r="CN921" i="34" s="1" a="1"/>
  <c r="CN921" i="34" s="1"/>
  <c r="CL921" i="34"/>
  <c r="CO921" i="34" a="1"/>
  <c r="CO921" i="34" s="1"/>
  <c r="CQ921" i="34" a="1"/>
  <c r="CQ921" i="34" s="1"/>
  <c r="CR921" i="34"/>
  <c r="CW921" i="34"/>
  <c r="CZ921" i="34" s="1" a="1"/>
  <c r="CZ921" i="34" s="1"/>
  <c r="CX921" i="34"/>
  <c r="DC921" i="34"/>
  <c r="DF921" i="34" s="1" a="1"/>
  <c r="DD921" i="34"/>
  <c r="DF921" i="34"/>
  <c r="DI921" i="34"/>
  <c r="DJ921" i="34"/>
  <c r="DL921" i="34" a="1"/>
  <c r="DL921" i="34"/>
  <c r="DM921" i="34" a="1"/>
  <c r="DM921" i="34"/>
  <c r="DO921" i="34"/>
  <c r="DR921" i="34" s="1" a="1"/>
  <c r="DR921" i="34" s="1"/>
  <c r="DP921" i="34"/>
  <c r="DS921" i="34" a="1"/>
  <c r="DS921" i="34" s="1"/>
  <c r="DU921" i="34"/>
  <c r="DY921" i="34" s="1" a="1"/>
  <c r="DY921" i="34" s="1"/>
  <c r="DV921" i="34"/>
  <c r="DX921" i="34" s="1" a="1"/>
  <c r="DX921" i="34" s="1"/>
  <c r="EA921" i="34"/>
  <c r="EE921" i="34" s="1" a="1"/>
  <c r="EE921" i="34" s="1"/>
  <c r="EB921" i="34"/>
  <c r="ED921" i="34" a="1"/>
  <c r="ED921" i="34"/>
  <c r="BS922" i="34"/>
  <c r="BT922" i="34"/>
  <c r="BW922" i="34" s="1" a="1"/>
  <c r="BW922" i="34" s="1"/>
  <c r="BV922" i="34" a="1"/>
  <c r="BV922" i="34" s="1"/>
  <c r="BY922" i="34"/>
  <c r="CB922" i="34" s="1" a="1"/>
  <c r="CB922" i="34" s="1"/>
  <c r="BZ922" i="34"/>
  <c r="CE922" i="34"/>
  <c r="CH922" i="34" s="1" a="1"/>
  <c r="CH922" i="34" s="1"/>
  <c r="CF922" i="34"/>
  <c r="CK922" i="34"/>
  <c r="CN922" i="34" s="1" a="1"/>
  <c r="CL922" i="34"/>
  <c r="CN922" i="34"/>
  <c r="CQ922" i="34" a="1"/>
  <c r="CQ922" i="34" s="1"/>
  <c r="CR922" i="34"/>
  <c r="CW922" i="34"/>
  <c r="CZ922" i="34" s="1" a="1"/>
  <c r="CZ922" i="34" s="1"/>
  <c r="CX922" i="34"/>
  <c r="DA922" i="34" a="1"/>
  <c r="DA922" i="34" s="1"/>
  <c r="DC922" i="34"/>
  <c r="DD922" i="34"/>
  <c r="DI922" i="34"/>
  <c r="DM922" i="34" s="1" a="1"/>
  <c r="DM922" i="34" s="1"/>
  <c r="DJ922" i="34"/>
  <c r="DL922" i="34" a="1"/>
  <c r="DL922" i="34" s="1"/>
  <c r="DO922" i="34"/>
  <c r="DP922" i="34"/>
  <c r="DR922" i="34" s="1" a="1"/>
  <c r="DR922" i="34" s="1"/>
  <c r="DS922" i="34" a="1"/>
  <c r="DS922" i="34" s="1"/>
  <c r="DU922" i="34"/>
  <c r="DX922" i="34" s="1" a="1"/>
  <c r="DX922" i="34" s="1"/>
  <c r="DV922" i="34"/>
  <c r="DY922" i="34" a="1"/>
  <c r="DY922" i="34"/>
  <c r="EA922" i="34"/>
  <c r="ED922" i="34" s="1" a="1"/>
  <c r="ED922" i="34" s="1"/>
  <c r="EB922" i="34"/>
  <c r="BS923" i="34"/>
  <c r="BW923" i="34" s="1" a="1"/>
  <c r="BW923" i="34" s="1"/>
  <c r="BT923" i="34"/>
  <c r="BV923" i="34" a="1"/>
  <c r="BV923" i="34" s="1"/>
  <c r="BY923" i="34"/>
  <c r="BZ923" i="34"/>
  <c r="CB923" i="34" a="1"/>
  <c r="CB923" i="34"/>
  <c r="CC923" i="34" a="1"/>
  <c r="CC923" i="34" s="1"/>
  <c r="CE923" i="34"/>
  <c r="CH923" i="34" s="1" a="1"/>
  <c r="CH923" i="34" s="1"/>
  <c r="CF923" i="34"/>
  <c r="CI923" i="34" a="1"/>
  <c r="CI923" i="34" s="1"/>
  <c r="CK923" i="34"/>
  <c r="CL923" i="34"/>
  <c r="CQ923" i="34" a="1"/>
  <c r="CQ923" i="34"/>
  <c r="CT923" i="34" s="1" a="1"/>
  <c r="CT923" i="34" s="1"/>
  <c r="CR923" i="34"/>
  <c r="CW923" i="34"/>
  <c r="CZ923" i="34" s="1" a="1"/>
  <c r="CX923" i="34"/>
  <c r="CZ923" i="34"/>
  <c r="DC923" i="34"/>
  <c r="DD923" i="34"/>
  <c r="DF923" i="34" a="1"/>
  <c r="DF923" i="34"/>
  <c r="DG923" i="34" a="1"/>
  <c r="DG923" i="34"/>
  <c r="DI923" i="34"/>
  <c r="DL923" i="34" s="1" a="1"/>
  <c r="DL923" i="34" s="1"/>
  <c r="DJ923" i="34"/>
  <c r="DM923" i="34" a="1"/>
  <c r="DM923" i="34"/>
  <c r="DO923" i="34"/>
  <c r="DP923" i="34"/>
  <c r="DR923" i="34" s="1" a="1"/>
  <c r="DR923" i="34" s="1"/>
  <c r="DU923" i="34"/>
  <c r="DY923" i="34" s="1" a="1"/>
  <c r="DY923" i="34" s="1"/>
  <c r="DV923" i="34"/>
  <c r="DX923" i="34" a="1"/>
  <c r="DX923" i="34"/>
  <c r="EA923" i="34"/>
  <c r="EB923" i="34"/>
  <c r="EE923" i="34" s="1" a="1"/>
  <c r="EE923" i="34" s="1"/>
  <c r="ED923" i="34" a="1"/>
  <c r="ED923" i="34" s="1"/>
  <c r="BS924" i="34"/>
  <c r="BV924" i="34" s="1" a="1"/>
  <c r="BV924" i="34" s="1"/>
  <c r="BT924" i="34"/>
  <c r="BY924" i="34"/>
  <c r="CB924" i="34" s="1" a="1"/>
  <c r="CB924" i="34" s="1"/>
  <c r="BZ924" i="34"/>
  <c r="CE924" i="34"/>
  <c r="CH924" i="34" s="1" a="1"/>
  <c r="CH924" i="34" s="1"/>
  <c r="CF924" i="34"/>
  <c r="CK924" i="34"/>
  <c r="CL924" i="34"/>
  <c r="CN924" i="34" a="1"/>
  <c r="CN924" i="34"/>
  <c r="CO924" i="34" a="1"/>
  <c r="CO924" i="34"/>
  <c r="CQ924" i="34" a="1"/>
  <c r="CQ924" i="34"/>
  <c r="CT924" i="34" s="1" a="1"/>
  <c r="CT924" i="34" s="1"/>
  <c r="CR924" i="34"/>
  <c r="CU924" i="34" a="1"/>
  <c r="CU924" i="34" s="1"/>
  <c r="CW924" i="34"/>
  <c r="CX924" i="34"/>
  <c r="DC924" i="34"/>
  <c r="DG924" i="34" s="1" a="1"/>
  <c r="DG924" i="34" s="1"/>
  <c r="DD924" i="34"/>
  <c r="DF924" i="34" a="1"/>
  <c r="DF924" i="34" s="1"/>
  <c r="DI924" i="34"/>
  <c r="DJ924" i="34"/>
  <c r="DL924" i="34" a="1"/>
  <c r="DL924" i="34" s="1"/>
  <c r="DM924" i="34" a="1"/>
  <c r="DM924" i="34" s="1"/>
  <c r="DO924" i="34"/>
  <c r="DR924" i="34" s="1" a="1"/>
  <c r="DR924" i="34" s="1"/>
  <c r="DP924" i="34"/>
  <c r="DS924" i="34" a="1"/>
  <c r="DS924" i="34"/>
  <c r="DU924" i="34"/>
  <c r="DX924" i="34" s="1" a="1"/>
  <c r="DX924" i="34" s="1"/>
  <c r="DV924" i="34"/>
  <c r="EA924" i="34"/>
  <c r="EE924" i="34" s="1" a="1"/>
  <c r="EE924" i="34" s="1"/>
  <c r="EB924" i="34"/>
  <c r="ED924" i="34" a="1"/>
  <c r="ED924" i="34" s="1"/>
  <c r="BS925" i="34"/>
  <c r="BT925" i="34"/>
  <c r="BV925" i="34" a="1"/>
  <c r="BV925" i="34"/>
  <c r="BW925" i="34" a="1"/>
  <c r="BW925" i="34" s="1"/>
  <c r="BY925" i="34"/>
  <c r="BZ925" i="34"/>
  <c r="CB925" i="34" a="1"/>
  <c r="CB925" i="34"/>
  <c r="CC925" i="34" a="1"/>
  <c r="CC925" i="34" s="1"/>
  <c r="CE925" i="34"/>
  <c r="CF925" i="34"/>
  <c r="CK925" i="34"/>
  <c r="CO925" i="34" s="1" a="1"/>
  <c r="CO925" i="34" s="1"/>
  <c r="CL925" i="34"/>
  <c r="CN925" i="34" a="1"/>
  <c r="CN925" i="34" s="1"/>
  <c r="CQ925" i="34" a="1"/>
  <c r="CQ925" i="34"/>
  <c r="CT925" i="34" s="1" a="1"/>
  <c r="CR925" i="34"/>
  <c r="CT925" i="34"/>
  <c r="CW925" i="34"/>
  <c r="CX925" i="34"/>
  <c r="CZ925" i="34" a="1"/>
  <c r="CZ925" i="34"/>
  <c r="DA925" i="34" a="1"/>
  <c r="DA925" i="34"/>
  <c r="DC925" i="34"/>
  <c r="DF925" i="34" s="1" a="1"/>
  <c r="DF925" i="34" s="1"/>
  <c r="DD925" i="34"/>
  <c r="DG925" i="34" a="1"/>
  <c r="DG925" i="34"/>
  <c r="DI925" i="34"/>
  <c r="DJ925" i="34"/>
  <c r="DL925" i="34" s="1" a="1"/>
  <c r="DL925" i="34" s="1"/>
  <c r="DO925" i="34"/>
  <c r="DS925" i="34" s="1" a="1"/>
  <c r="DS925" i="34" s="1"/>
  <c r="DP925" i="34"/>
  <c r="DR925" i="34" a="1"/>
  <c r="DR925" i="34"/>
  <c r="DU925" i="34"/>
  <c r="DV925" i="34"/>
  <c r="DY925" i="34" s="1" a="1"/>
  <c r="DX925" i="34" a="1"/>
  <c r="DX925" i="34"/>
  <c r="DY925" i="34"/>
  <c r="EA925" i="34"/>
  <c r="ED925" i="34" s="1" a="1"/>
  <c r="ED925" i="34" s="1"/>
  <c r="EB925" i="34"/>
  <c r="BS926" i="34"/>
  <c r="BV926" i="34" s="1" a="1"/>
  <c r="BV926" i="34" s="1"/>
  <c r="BT926" i="34"/>
  <c r="BY926" i="34"/>
  <c r="CB926" i="34" s="1" a="1"/>
  <c r="BZ926" i="34"/>
  <c r="CB926" i="34"/>
  <c r="CE926" i="34"/>
  <c r="CF926" i="34"/>
  <c r="CH926" i="34" a="1"/>
  <c r="CH926" i="34"/>
  <c r="CI926" i="34" a="1"/>
  <c r="CI926" i="34"/>
  <c r="CK926" i="34"/>
  <c r="CN926" i="34" s="1" a="1"/>
  <c r="CN926" i="34" s="1"/>
  <c r="CL926" i="34"/>
  <c r="CO926" i="34" a="1"/>
  <c r="CO926" i="34" s="1"/>
  <c r="CQ926" i="34" a="1"/>
  <c r="CQ926" i="34"/>
  <c r="CR926" i="34"/>
  <c r="CW926" i="34"/>
  <c r="DA926" i="34" s="1" a="1"/>
  <c r="DA926" i="34" s="1"/>
  <c r="CX926" i="34"/>
  <c r="CZ926" i="34" a="1"/>
  <c r="CZ926" i="34" s="1"/>
  <c r="DC926" i="34"/>
  <c r="DD926" i="34"/>
  <c r="DF926" i="34" s="1" a="1"/>
  <c r="DF926" i="34" s="1"/>
  <c r="DG926" i="34" a="1"/>
  <c r="DG926" i="34" s="1"/>
  <c r="DI926" i="34"/>
  <c r="DL926" i="34" s="1" a="1"/>
  <c r="DL926" i="34" s="1"/>
  <c r="DJ926" i="34"/>
  <c r="DM926" i="34" a="1"/>
  <c r="DM926" i="34"/>
  <c r="DO926" i="34"/>
  <c r="DR926" i="34" s="1" a="1"/>
  <c r="DR926" i="34" s="1"/>
  <c r="DP926" i="34"/>
  <c r="DU926" i="34"/>
  <c r="DY926" i="34" s="1" a="1"/>
  <c r="DY926" i="34" s="1"/>
  <c r="DV926" i="34"/>
  <c r="DX926" i="34" a="1"/>
  <c r="DX926" i="34" s="1"/>
  <c r="EA926" i="34"/>
  <c r="EB926" i="34"/>
  <c r="ED926" i="34" a="1"/>
  <c r="ED926" i="34"/>
  <c r="EE926" i="34" a="1"/>
  <c r="EE926" i="34" s="1"/>
  <c r="BS927" i="34"/>
  <c r="BT927" i="34"/>
  <c r="BV927" i="34" a="1"/>
  <c r="BV927" i="34"/>
  <c r="BW927" i="34" a="1"/>
  <c r="BW927" i="34" s="1"/>
  <c r="BY927" i="34"/>
  <c r="BZ927" i="34"/>
  <c r="CE927" i="34"/>
  <c r="CI927" i="34" s="1" a="1"/>
  <c r="CI927" i="34" s="1"/>
  <c r="CF927" i="34"/>
  <c r="CH927" i="34" a="1"/>
  <c r="CH927" i="34" s="1"/>
  <c r="CK927" i="34"/>
  <c r="CL927" i="34"/>
  <c r="CN927" i="34" a="1"/>
  <c r="CN927" i="34" s="1"/>
  <c r="CO927" i="34" a="1"/>
  <c r="CO927" i="34" s="1"/>
  <c r="CQ927" i="34" a="1"/>
  <c r="CQ927" i="34" s="1"/>
  <c r="CR927" i="34"/>
  <c r="CW927" i="34"/>
  <c r="CZ927" i="34" s="1" a="1"/>
  <c r="CZ927" i="34" s="1"/>
  <c r="CX927" i="34"/>
  <c r="DA927" i="34" a="1"/>
  <c r="DA927" i="34"/>
  <c r="DC927" i="34"/>
  <c r="DD927" i="34"/>
  <c r="DF927" i="34" s="1" a="1"/>
  <c r="DF927" i="34" s="1"/>
  <c r="DI927" i="34"/>
  <c r="DM927" i="34" s="1" a="1"/>
  <c r="DM927" i="34" s="1"/>
  <c r="DJ927" i="34"/>
  <c r="DL927" i="34" a="1"/>
  <c r="DL927" i="34"/>
  <c r="DO927" i="34"/>
  <c r="DP927" i="34"/>
  <c r="DS927" i="34" s="1" a="1"/>
  <c r="DS927" i="34" s="1"/>
  <c r="DR927" i="34" a="1"/>
  <c r="DR927" i="34"/>
  <c r="DU927" i="34"/>
  <c r="DX927" i="34" s="1" a="1"/>
  <c r="DX927" i="34" s="1"/>
  <c r="DV927" i="34"/>
  <c r="EA927" i="34"/>
  <c r="ED927" i="34" s="1" a="1"/>
  <c r="ED927" i="34" s="1"/>
  <c r="EB927" i="34"/>
  <c r="BS928" i="34"/>
  <c r="BV928" i="34" s="1" a="1"/>
  <c r="BV928" i="34" s="1"/>
  <c r="BT928" i="34"/>
  <c r="BY928" i="34"/>
  <c r="BZ928" i="34"/>
  <c r="CB928" i="34" a="1"/>
  <c r="CB928" i="34"/>
  <c r="CC928" i="34" a="1"/>
  <c r="CC928" i="34"/>
  <c r="CE928" i="34"/>
  <c r="CH928" i="34" s="1" a="1"/>
  <c r="CH928" i="34" s="1"/>
  <c r="CF928" i="34"/>
  <c r="CI928" i="34" a="1"/>
  <c r="CI928" i="34" s="1"/>
  <c r="CK928" i="34"/>
  <c r="CL928" i="34"/>
  <c r="CN928" i="34" s="1" a="1"/>
  <c r="CN928" i="34" s="1"/>
  <c r="CQ928" i="34" a="1"/>
  <c r="CQ928" i="34"/>
  <c r="CU928" i="34" s="1" a="1"/>
  <c r="CU928" i="34" s="1"/>
  <c r="CR928" i="34"/>
  <c r="CT928" i="34" a="1"/>
  <c r="CT928" i="34" s="1"/>
  <c r="CW928" i="34"/>
  <c r="CX928" i="34"/>
  <c r="CZ928" i="34" s="1" a="1"/>
  <c r="CZ928" i="34" s="1"/>
  <c r="DA928" i="34" a="1"/>
  <c r="DA928" i="34" s="1"/>
  <c r="DC928" i="34"/>
  <c r="DF928" i="34" s="1" a="1"/>
  <c r="DF928" i="34" s="1"/>
  <c r="DD928" i="34"/>
  <c r="DG928" i="34" a="1"/>
  <c r="DG928" i="34"/>
  <c r="DI928" i="34"/>
  <c r="DL928" i="34" s="1" a="1"/>
  <c r="DL928" i="34" s="1"/>
  <c r="DJ928" i="34"/>
  <c r="DO928" i="34"/>
  <c r="DS928" i="34" s="1" a="1"/>
  <c r="DS928" i="34" s="1"/>
  <c r="DP928" i="34"/>
  <c r="DR928" i="34" a="1"/>
  <c r="DR928" i="34" s="1"/>
  <c r="DU928" i="34"/>
  <c r="DV928" i="34"/>
  <c r="DX928" i="34" a="1"/>
  <c r="DX928" i="34"/>
  <c r="DY928" i="34" a="1"/>
  <c r="DY928" i="34" s="1"/>
  <c r="EA928" i="34"/>
  <c r="EB928" i="34"/>
  <c r="ED928" i="34" a="1"/>
  <c r="ED928" i="34"/>
  <c r="EE928" i="34" a="1"/>
  <c r="EE928" i="34" s="1"/>
  <c r="BS929" i="34"/>
  <c r="BT929" i="34"/>
  <c r="BY929" i="34"/>
  <c r="CC929" i="34" s="1" a="1"/>
  <c r="CC929" i="34" s="1"/>
  <c r="BZ929" i="34"/>
  <c r="CB929" i="34" a="1"/>
  <c r="CB929" i="34" s="1"/>
  <c r="CE929" i="34"/>
  <c r="CF929" i="34"/>
  <c r="CH929" i="34" a="1"/>
  <c r="CH929" i="34" s="1"/>
  <c r="CI929" i="34" a="1"/>
  <c r="CI929" i="34" s="1"/>
  <c r="CK929" i="34"/>
  <c r="CN929" i="34" s="1" a="1"/>
  <c r="CN929" i="34" s="1"/>
  <c r="CL929" i="34"/>
  <c r="CO929" i="34" a="1"/>
  <c r="CO929" i="34"/>
  <c r="CQ929" i="34" a="1"/>
  <c r="CQ929" i="34" s="1"/>
  <c r="CR929" i="34"/>
  <c r="CW929" i="34"/>
  <c r="CX929" i="34"/>
  <c r="CZ929" i="34" s="1" a="1"/>
  <c r="CZ929" i="34" s="1"/>
  <c r="DC929" i="34"/>
  <c r="DG929" i="34" s="1" a="1"/>
  <c r="DG929" i="34" s="1"/>
  <c r="DD929" i="34"/>
  <c r="DF929" i="34" a="1"/>
  <c r="DF929" i="34"/>
  <c r="DI929" i="34"/>
  <c r="DJ929" i="34"/>
  <c r="DM929" i="34" s="1" a="1"/>
  <c r="DM929" i="34" s="1"/>
  <c r="DL929" i="34" a="1"/>
  <c r="DL929" i="34"/>
  <c r="DO929" i="34"/>
  <c r="DR929" i="34" s="1" a="1"/>
  <c r="DR929" i="34" s="1"/>
  <c r="DP929" i="34"/>
  <c r="DU929" i="34"/>
  <c r="DX929" i="34" s="1" a="1"/>
  <c r="DX929" i="34" s="1"/>
  <c r="DV929" i="34"/>
  <c r="EA929" i="34"/>
  <c r="ED929" i="34" s="1" a="1"/>
  <c r="EB929" i="34"/>
  <c r="ED929" i="34"/>
  <c r="BS930" i="34"/>
  <c r="BT930" i="34"/>
  <c r="BV930" i="34" a="1"/>
  <c r="BV930" i="34"/>
  <c r="BW930" i="34" a="1"/>
  <c r="BW930" i="34"/>
  <c r="BY930" i="34"/>
  <c r="CB930" i="34" s="1" a="1"/>
  <c r="CB930" i="34" s="1"/>
  <c r="BZ930" i="34"/>
  <c r="CC930" i="34" a="1"/>
  <c r="CC930" i="34" s="1"/>
  <c r="CE930" i="34"/>
  <c r="CI930" i="34" s="1" a="1"/>
  <c r="CI930" i="34" s="1"/>
  <c r="CF930" i="34"/>
  <c r="CH930" i="34" s="1" a="1"/>
  <c r="CH930" i="34" s="1"/>
  <c r="CK930" i="34"/>
  <c r="CO930" i="34" s="1" a="1"/>
  <c r="CO930" i="34" s="1"/>
  <c r="CL930" i="34"/>
  <c r="CN930" i="34" a="1"/>
  <c r="CN930" i="34"/>
  <c r="CQ930" i="34" a="1"/>
  <c r="CQ930" i="34"/>
  <c r="CR930" i="34"/>
  <c r="CT930" i="34" s="1" a="1"/>
  <c r="CT930" i="34" s="1"/>
  <c r="CU930" i="34" a="1"/>
  <c r="CU930" i="34" s="1"/>
  <c r="CW930" i="34"/>
  <c r="CZ930" i="34" s="1" a="1"/>
  <c r="CZ930" i="34" s="1"/>
  <c r="CX930" i="34"/>
  <c r="DA930" i="34" a="1"/>
  <c r="DA930" i="34"/>
  <c r="DC930" i="34"/>
  <c r="DF930" i="34" s="1" a="1"/>
  <c r="DF930" i="34" s="1"/>
  <c r="DD930" i="34"/>
  <c r="DI930" i="34"/>
  <c r="DM930" i="34" s="1" a="1"/>
  <c r="DM930" i="34" s="1"/>
  <c r="DJ930" i="34"/>
  <c r="DL930" i="34" a="1"/>
  <c r="DL930" i="34" s="1"/>
  <c r="DO930" i="34"/>
  <c r="DP930" i="34"/>
  <c r="DR930" i="34" a="1"/>
  <c r="DR930" i="34"/>
  <c r="DS930" i="34" a="1"/>
  <c r="DS930" i="34" s="1"/>
  <c r="DU930" i="34"/>
  <c r="DV930" i="34"/>
  <c r="DX930" i="34" a="1"/>
  <c r="DX930" i="34"/>
  <c r="DY930" i="34" a="1"/>
  <c r="DY930" i="34" s="1"/>
  <c r="EA930" i="34"/>
  <c r="EB930" i="34"/>
  <c r="BS931" i="34"/>
  <c r="BW931" i="34" s="1" a="1"/>
  <c r="BW931" i="34" s="1"/>
  <c r="BT931" i="34"/>
  <c r="BV931" i="34" a="1"/>
  <c r="BV931" i="34" s="1"/>
  <c r="BY931" i="34"/>
  <c r="BZ931" i="34"/>
  <c r="CB931" i="34" a="1"/>
  <c r="CB931" i="34" s="1"/>
  <c r="CC931" i="34" a="1"/>
  <c r="CC931" i="34" s="1"/>
  <c r="CE931" i="34"/>
  <c r="CH931" i="34" s="1" a="1"/>
  <c r="CH931" i="34" s="1"/>
  <c r="CF931" i="34"/>
  <c r="CI931" i="34" a="1"/>
  <c r="CI931" i="34"/>
  <c r="CK931" i="34"/>
  <c r="CN931" i="34" s="1" a="1"/>
  <c r="CN931" i="34" s="1"/>
  <c r="CL931" i="34"/>
  <c r="CQ931" i="34" a="1"/>
  <c r="CQ931" i="34" s="1"/>
  <c r="CR931" i="34"/>
  <c r="CW931" i="34"/>
  <c r="DA931" i="34" s="1" a="1"/>
  <c r="DA931" i="34" s="1"/>
  <c r="CX931" i="34"/>
  <c r="CZ931" i="34" a="1"/>
  <c r="CZ931" i="34"/>
  <c r="DC931" i="34"/>
  <c r="DD931" i="34"/>
  <c r="DG931" i="34" s="1" a="1"/>
  <c r="DF931" i="34" a="1"/>
  <c r="DF931" i="34"/>
  <c r="DG931" i="34"/>
  <c r="DI931" i="34"/>
  <c r="DL931" i="34" s="1" a="1"/>
  <c r="DL931" i="34" s="1"/>
  <c r="DJ931" i="34"/>
  <c r="DO931" i="34"/>
  <c r="DR931" i="34" s="1" a="1"/>
  <c r="DR931" i="34" s="1"/>
  <c r="DP931" i="34"/>
  <c r="DU931" i="34"/>
  <c r="DX931" i="34" s="1" a="1"/>
  <c r="DX931" i="34" s="1"/>
  <c r="DV931" i="34"/>
  <c r="EA931" i="34"/>
  <c r="EB931" i="34"/>
  <c r="ED931" i="34" a="1"/>
  <c r="ED931" i="34"/>
  <c r="EE931" i="34" a="1"/>
  <c r="EE931" i="34"/>
  <c r="BS932" i="34"/>
  <c r="BV932" i="34" s="1" a="1"/>
  <c r="BV932" i="34" s="1"/>
  <c r="BT932" i="34"/>
  <c r="BW932" i="34" a="1"/>
  <c r="BW932" i="34" s="1"/>
  <c r="BY932" i="34"/>
  <c r="BZ932" i="34"/>
  <c r="CB932" i="34" s="1" a="1"/>
  <c r="CB932" i="34" s="1"/>
  <c r="CE932" i="34"/>
  <c r="CI932" i="34" s="1" a="1"/>
  <c r="CI932" i="34" s="1"/>
  <c r="CF932" i="34"/>
  <c r="CH932" i="34" a="1"/>
  <c r="CH932" i="34"/>
  <c r="CK932" i="34"/>
  <c r="CO932" i="34" s="1" a="1"/>
  <c r="CL932" i="34"/>
  <c r="CN932" i="34" a="1"/>
  <c r="CN932" i="34" s="1"/>
  <c r="CO932" i="34"/>
  <c r="CQ932" i="34" a="1"/>
  <c r="CQ932" i="34" s="1"/>
  <c r="CR932" i="34"/>
  <c r="CW932" i="34"/>
  <c r="CZ932" i="34" s="1" a="1"/>
  <c r="CZ932" i="34" s="1"/>
  <c r="CX932" i="34"/>
  <c r="DC932" i="34"/>
  <c r="DG932" i="34" s="1" a="1"/>
  <c r="DG932" i="34" s="1"/>
  <c r="DD932" i="34"/>
  <c r="DF932" i="34" a="1"/>
  <c r="DF932" i="34" s="1"/>
  <c r="DI932" i="34"/>
  <c r="DJ932" i="34"/>
  <c r="DL932" i="34" a="1"/>
  <c r="DL932" i="34"/>
  <c r="DM932" i="34" a="1"/>
  <c r="DM932" i="34" s="1"/>
  <c r="DO932" i="34"/>
  <c r="DP932" i="34"/>
  <c r="DR932" i="34" a="1"/>
  <c r="DR932" i="34"/>
  <c r="DS932" i="34" a="1"/>
  <c r="DS932" i="34" s="1"/>
  <c r="DU932" i="34"/>
  <c r="DV932" i="34"/>
  <c r="EA932" i="34"/>
  <c r="EE932" i="34" s="1" a="1"/>
  <c r="EE932" i="34" s="1"/>
  <c r="EB932" i="34"/>
  <c r="ED932" i="34" a="1"/>
  <c r="ED932" i="34" s="1"/>
  <c r="BS933" i="34"/>
  <c r="BT933" i="34"/>
  <c r="BV933" i="34" a="1"/>
  <c r="BV933" i="34" s="1"/>
  <c r="BW933" i="34" a="1"/>
  <c r="BW933" i="34" s="1"/>
  <c r="BY933" i="34"/>
  <c r="CB933" i="34" s="1" a="1"/>
  <c r="CB933" i="34" s="1"/>
  <c r="BZ933" i="34"/>
  <c r="CC933" i="34" a="1"/>
  <c r="CC933" i="34"/>
  <c r="CE933" i="34"/>
  <c r="CH933" i="34" s="1" a="1"/>
  <c r="CH933" i="34" s="1"/>
  <c r="CF933" i="34"/>
  <c r="CK933" i="34"/>
  <c r="CO933" i="34" s="1" a="1"/>
  <c r="CO933" i="34" s="1"/>
  <c r="CL933" i="34"/>
  <c r="CN933" i="34" a="1"/>
  <c r="CN933" i="34" s="1"/>
  <c r="CQ933" i="34" a="1"/>
  <c r="CQ933" i="34"/>
  <c r="CU933" i="34" s="1" a="1"/>
  <c r="CU933" i="34" s="1"/>
  <c r="CR933" i="34"/>
  <c r="CT933" i="34" a="1"/>
  <c r="CT933" i="34"/>
  <c r="CW933" i="34"/>
  <c r="CX933" i="34"/>
  <c r="DA933" i="34" s="1" a="1"/>
  <c r="DA933" i="34" s="1"/>
  <c r="CZ933" i="34" a="1"/>
  <c r="CZ933" i="34"/>
  <c r="DC933" i="34"/>
  <c r="DF933" i="34" s="1" a="1"/>
  <c r="DF933" i="34" s="1"/>
  <c r="DD933" i="34"/>
  <c r="DI933" i="34"/>
  <c r="DL933" i="34" s="1" a="1"/>
  <c r="DL933" i="34" s="1"/>
  <c r="DJ933" i="34"/>
  <c r="DO933" i="34"/>
  <c r="DR933" i="34" s="1" a="1"/>
  <c r="DR933" i="34" s="1"/>
  <c r="DP933" i="34"/>
  <c r="DU933" i="34"/>
  <c r="DV933" i="34"/>
  <c r="DX933" i="34" a="1"/>
  <c r="DX933" i="34"/>
  <c r="DY933" i="34" a="1"/>
  <c r="DY933" i="34"/>
  <c r="EA933" i="34"/>
  <c r="ED933" i="34" s="1" a="1"/>
  <c r="ED933" i="34" s="1"/>
  <c r="EB933" i="34"/>
  <c r="EE933" i="34" a="1"/>
  <c r="EE933" i="34" s="1"/>
  <c r="BS934" i="34"/>
  <c r="BW934" i="34" s="1" a="1"/>
  <c r="BW934" i="34" s="1"/>
  <c r="BT934" i="34"/>
  <c r="BV934" i="34" s="1" a="1"/>
  <c r="BV934" i="34" s="1"/>
  <c r="BY934" i="34"/>
  <c r="CC934" i="34" s="1" a="1"/>
  <c r="CC934" i="34" s="1"/>
  <c r="BZ934" i="34"/>
  <c r="CB934" i="34" a="1"/>
  <c r="CB934" i="34" s="1"/>
  <c r="CE934" i="34"/>
  <c r="CI934" i="34" s="1" a="1"/>
  <c r="CI934" i="34" s="1"/>
  <c r="CF934" i="34"/>
  <c r="CH934" i="34" a="1"/>
  <c r="CH934" i="34" s="1"/>
  <c r="CK934" i="34"/>
  <c r="CN934" i="34" s="1" a="1"/>
  <c r="CN934" i="34" s="1"/>
  <c r="CL934" i="34"/>
  <c r="CO934" i="34" a="1"/>
  <c r="CO934" i="34"/>
  <c r="CQ934" i="34" a="1"/>
  <c r="CQ934" i="34" s="1"/>
  <c r="CR934" i="34"/>
  <c r="CW934" i="34"/>
  <c r="DA934" i="34" s="1" a="1"/>
  <c r="DA934" i="34" s="1"/>
  <c r="CX934" i="34"/>
  <c r="CZ934" i="34" a="1"/>
  <c r="CZ934" i="34" s="1"/>
  <c r="DC934" i="34"/>
  <c r="DD934" i="34"/>
  <c r="DF934" i="34" a="1"/>
  <c r="DF934" i="34"/>
  <c r="DG934" i="34" a="1"/>
  <c r="DG934" i="34" s="1"/>
  <c r="DI934" i="34"/>
  <c r="DJ934" i="34"/>
  <c r="DL934" i="34" a="1"/>
  <c r="DL934" i="34"/>
  <c r="DM934" i="34" a="1"/>
  <c r="DM934" i="34" s="1"/>
  <c r="DO934" i="34"/>
  <c r="DP934" i="34"/>
  <c r="DU934" i="34"/>
  <c r="DY934" i="34" s="1" a="1"/>
  <c r="DY934" i="34" s="1"/>
  <c r="DV934" i="34"/>
  <c r="DX934" i="34" s="1" a="1"/>
  <c r="DX934" i="34" s="1"/>
  <c r="EA934" i="34"/>
  <c r="EB934" i="34"/>
  <c r="ED934" i="34" s="1" a="1"/>
  <c r="ED934" i="34" s="1"/>
  <c r="EE934" i="34" a="1"/>
  <c r="EE934" i="34" s="1"/>
  <c r="BS935" i="34"/>
  <c r="BV935" i="34" s="1" a="1"/>
  <c r="BV935" i="34" s="1"/>
  <c r="BT935" i="34"/>
  <c r="BW935" i="34" a="1"/>
  <c r="BW935" i="34"/>
  <c r="BY935" i="34"/>
  <c r="CB935" i="34" s="1" a="1"/>
  <c r="CB935" i="34" s="1"/>
  <c r="BZ935" i="34"/>
  <c r="CE935" i="34"/>
  <c r="CI935" i="34" s="1" a="1"/>
  <c r="CI935" i="34" s="1"/>
  <c r="CF935" i="34"/>
  <c r="CH935" i="34" a="1"/>
  <c r="CH935" i="34" s="1"/>
  <c r="CK935" i="34"/>
  <c r="CL935" i="34"/>
  <c r="CN935" i="34" a="1"/>
  <c r="CN935" i="34"/>
  <c r="CO935" i="34" a="1"/>
  <c r="CO935" i="34" s="1"/>
  <c r="CQ935" i="34" a="1"/>
  <c r="CQ935" i="34" s="1"/>
  <c r="CR935" i="34"/>
  <c r="CW935" i="34"/>
  <c r="CZ935" i="34" s="1" a="1"/>
  <c r="CZ935" i="34" s="1"/>
  <c r="CX935" i="34"/>
  <c r="DA935" i="34" a="1"/>
  <c r="DA935" i="34"/>
  <c r="DC935" i="34"/>
  <c r="DF935" i="34" s="1" a="1"/>
  <c r="DF935" i="34" s="1"/>
  <c r="DD935" i="34"/>
  <c r="DI935" i="34"/>
  <c r="DL935" i="34" s="1" a="1"/>
  <c r="DJ935" i="34"/>
  <c r="DL935" i="34"/>
  <c r="DO935" i="34"/>
  <c r="DP935" i="34"/>
  <c r="DR935" i="34" a="1"/>
  <c r="DR935" i="34"/>
  <c r="DS935" i="34" a="1"/>
  <c r="DS935" i="34"/>
  <c r="DU935" i="34"/>
  <c r="DX935" i="34" s="1" a="1"/>
  <c r="DX935" i="34" s="1"/>
  <c r="DV935" i="34"/>
  <c r="DY935" i="34" a="1"/>
  <c r="DY935" i="34" s="1"/>
  <c r="EA935" i="34"/>
  <c r="EB935" i="34"/>
  <c r="ED935" i="34" s="1" a="1"/>
  <c r="ED935" i="34" s="1"/>
  <c r="BS936" i="34"/>
  <c r="BW936" i="34" s="1" a="1"/>
  <c r="BW936" i="34" s="1"/>
  <c r="BT936" i="34"/>
  <c r="BV936" i="34" a="1"/>
  <c r="BV936" i="34" s="1"/>
  <c r="BY936" i="34"/>
  <c r="CC936" i="34" s="1" a="1"/>
  <c r="BZ936" i="34"/>
  <c r="CB936" i="34" a="1"/>
  <c r="CB936" i="34" s="1"/>
  <c r="CC936" i="34"/>
  <c r="CE936" i="34"/>
  <c r="CH936" i="34" s="1" a="1"/>
  <c r="CH936" i="34" s="1"/>
  <c r="CF936" i="34"/>
  <c r="CI936" i="34" a="1"/>
  <c r="CI936" i="34"/>
  <c r="CK936" i="34"/>
  <c r="CN936" i="34" s="1" a="1"/>
  <c r="CN936" i="34" s="1"/>
  <c r="CL936" i="34"/>
  <c r="CQ936" i="34" a="1"/>
  <c r="CQ936" i="34" s="1"/>
  <c r="CU936" i="34" s="1" a="1"/>
  <c r="CU936" i="34" s="1"/>
  <c r="CR936" i="34"/>
  <c r="CW936" i="34"/>
  <c r="CX936" i="34"/>
  <c r="CZ936" i="34" a="1"/>
  <c r="CZ936" i="34"/>
  <c r="DA936" i="34" a="1"/>
  <c r="DA936" i="34" s="1"/>
  <c r="DC936" i="34"/>
  <c r="DD936" i="34"/>
  <c r="DF936" i="34" a="1"/>
  <c r="DF936" i="34"/>
  <c r="DG936" i="34" a="1"/>
  <c r="DG936" i="34" s="1"/>
  <c r="DI936" i="34"/>
  <c r="DJ936" i="34"/>
  <c r="DO936" i="34"/>
  <c r="DS936" i="34" s="1" a="1"/>
  <c r="DS936" i="34" s="1"/>
  <c r="DP936" i="34"/>
  <c r="DR936" i="34" a="1"/>
  <c r="DR936" i="34" s="1"/>
  <c r="DU936" i="34"/>
  <c r="DV936" i="34"/>
  <c r="DX936" i="34" s="1" a="1"/>
  <c r="DX936" i="34" s="1"/>
  <c r="DY936" i="34" a="1"/>
  <c r="DY936" i="34" s="1"/>
  <c r="EA936" i="34"/>
  <c r="ED936" i="34" s="1" a="1"/>
  <c r="ED936" i="34" s="1"/>
  <c r="EB936" i="34"/>
  <c r="EE936" i="34" a="1"/>
  <c r="EE936" i="34"/>
  <c r="BS937" i="34"/>
  <c r="BV937" i="34" s="1" a="1"/>
  <c r="BV937" i="34" s="1"/>
  <c r="BT937" i="34"/>
  <c r="BY937" i="34"/>
  <c r="CC937" i="34" s="1" a="1"/>
  <c r="CC937" i="34" s="1"/>
  <c r="BZ937" i="34"/>
  <c r="CB937" i="34" a="1"/>
  <c r="CB937" i="34" s="1"/>
  <c r="CE937" i="34"/>
  <c r="CF937" i="34"/>
  <c r="CH937" i="34" a="1"/>
  <c r="CH937" i="34"/>
  <c r="CI937" i="34" a="1"/>
  <c r="CI937" i="34" s="1"/>
  <c r="CK937" i="34"/>
  <c r="CL937" i="34"/>
  <c r="CN937" i="34" a="1"/>
  <c r="CN937" i="34"/>
  <c r="CO937" i="34" a="1"/>
  <c r="CO937" i="34" s="1"/>
  <c r="CQ937" i="34" a="1"/>
  <c r="CQ937" i="34" s="1"/>
  <c r="CR937" i="34"/>
  <c r="CW937" i="34"/>
  <c r="CZ937" i="34" s="1" a="1"/>
  <c r="CZ937" i="34" s="1"/>
  <c r="CX937" i="34"/>
  <c r="DC937" i="34"/>
  <c r="DF937" i="34" s="1" a="1"/>
  <c r="DD937" i="34"/>
  <c r="DF937" i="34"/>
  <c r="DI937" i="34"/>
  <c r="DJ937" i="34"/>
  <c r="DL937" i="34" a="1"/>
  <c r="DL937" i="34"/>
  <c r="DM937" i="34" a="1"/>
  <c r="DM937" i="34"/>
  <c r="DO937" i="34"/>
  <c r="DP937" i="34"/>
  <c r="DR937" i="34" s="1" a="1"/>
  <c r="DR937" i="34" s="1"/>
  <c r="DS937" i="34" a="1"/>
  <c r="DS937" i="34" s="1"/>
  <c r="DU937" i="34"/>
  <c r="DV937" i="34"/>
  <c r="EA937" i="34"/>
  <c r="EE937" i="34" s="1" a="1"/>
  <c r="EE937" i="34" s="1"/>
  <c r="EB937" i="34"/>
  <c r="ED937" i="34" a="1"/>
  <c r="ED937" i="34"/>
  <c r="BS938" i="34"/>
  <c r="BW938" i="34" s="1" a="1"/>
  <c r="BW938" i="34" s="1"/>
  <c r="BT938" i="34"/>
  <c r="BV938" i="34" a="1"/>
  <c r="BV938" i="34" s="1"/>
  <c r="BY938" i="34"/>
  <c r="CB938" i="34" s="1" a="1"/>
  <c r="CB938" i="34" s="1"/>
  <c r="BZ938" i="34"/>
  <c r="CC938" i="34" a="1"/>
  <c r="CC938" i="34"/>
  <c r="CE938" i="34"/>
  <c r="CH938" i="34" s="1" a="1"/>
  <c r="CH938" i="34" s="1"/>
  <c r="CF938" i="34"/>
  <c r="CK938" i="34"/>
  <c r="CN938" i="34" s="1" a="1"/>
  <c r="CN938" i="34" s="1"/>
  <c r="CL938" i="34"/>
  <c r="CQ938" i="34" a="1"/>
  <c r="CQ938" i="34" s="1"/>
  <c r="CR938" i="34"/>
  <c r="CW938" i="34"/>
  <c r="CX938" i="34"/>
  <c r="CZ938" i="34" a="1"/>
  <c r="CZ938" i="34"/>
  <c r="DA938" i="34" a="1"/>
  <c r="DA938" i="34" s="1"/>
  <c r="DC938" i="34"/>
  <c r="DD938" i="34"/>
  <c r="DI938" i="34"/>
  <c r="DM938" i="34" s="1" a="1"/>
  <c r="DM938" i="34" s="1"/>
  <c r="DJ938" i="34"/>
  <c r="DL938" i="34" a="1"/>
  <c r="DL938" i="34" s="1"/>
  <c r="DO938" i="34"/>
  <c r="DP938" i="34"/>
  <c r="DR938" i="34" a="1"/>
  <c r="DR938" i="34" s="1"/>
  <c r="DS938" i="34" a="1"/>
  <c r="DS938" i="34" s="1"/>
  <c r="DU938" i="34"/>
  <c r="DX938" i="34" s="1" a="1"/>
  <c r="DX938" i="34" s="1"/>
  <c r="DV938" i="34"/>
  <c r="DY938" i="34" a="1"/>
  <c r="DY938" i="34"/>
  <c r="EA938" i="34"/>
  <c r="ED938" i="34" s="1" a="1"/>
  <c r="ED938" i="34" s="1"/>
  <c r="EB938" i="34"/>
  <c r="BS939" i="34"/>
  <c r="BW939" i="34" s="1" a="1"/>
  <c r="BW939" i="34" s="1"/>
  <c r="BT939" i="34"/>
  <c r="BV939" i="34" a="1"/>
  <c r="BV939" i="34" s="1"/>
  <c r="BY939" i="34"/>
  <c r="BZ939" i="34"/>
  <c r="CB939" i="34" a="1"/>
  <c r="CB939" i="34"/>
  <c r="CC939" i="34" a="1"/>
  <c r="CC939" i="34" s="1"/>
  <c r="CE939" i="34"/>
  <c r="CF939" i="34"/>
  <c r="CH939" i="34" a="1"/>
  <c r="CH939" i="34"/>
  <c r="CI939" i="34" a="1"/>
  <c r="CI939" i="34" s="1"/>
  <c r="CK939" i="34"/>
  <c r="CL939" i="34"/>
  <c r="CQ939" i="34" a="1"/>
  <c r="CQ939" i="34"/>
  <c r="CT939" i="34" s="1" a="1"/>
  <c r="CT939" i="34" s="1"/>
  <c r="CR939" i="34"/>
  <c r="CW939" i="34"/>
  <c r="CZ939" i="34" s="1" a="1"/>
  <c r="CZ939" i="34" s="1"/>
  <c r="CX939" i="34"/>
  <c r="DC939" i="34"/>
  <c r="DD939" i="34"/>
  <c r="DF939" i="34" a="1"/>
  <c r="DF939" i="34"/>
  <c r="DG939" i="34" a="1"/>
  <c r="DG939" i="34"/>
  <c r="DI939" i="34"/>
  <c r="DJ939" i="34"/>
  <c r="DL939" i="34" s="1" a="1"/>
  <c r="DL939" i="34" s="1"/>
  <c r="DM939" i="34" a="1"/>
  <c r="DM939" i="34"/>
  <c r="DO939" i="34"/>
  <c r="DP939" i="34"/>
  <c r="DU939" i="34"/>
  <c r="DY939" i="34" s="1" a="1"/>
  <c r="DY939" i="34" s="1"/>
  <c r="DV939" i="34"/>
  <c r="DX939" i="34" a="1"/>
  <c r="DX939" i="34"/>
  <c r="EA939" i="34"/>
  <c r="EE939" i="34" s="1" a="1"/>
  <c r="EE939" i="34" s="1"/>
  <c r="EB939" i="34"/>
  <c r="ED939" i="34" a="1"/>
  <c r="ED939" i="34"/>
  <c r="BS940" i="34"/>
  <c r="BV940" i="34" s="1" a="1"/>
  <c r="BV940" i="34" s="1"/>
  <c r="BT940" i="34"/>
  <c r="BW940" i="34" a="1"/>
  <c r="BW940" i="34"/>
  <c r="BY940" i="34"/>
  <c r="CB940" i="34" s="1" a="1"/>
  <c r="CB940" i="34" s="1"/>
  <c r="BZ940" i="34"/>
  <c r="CE940" i="34"/>
  <c r="CH940" i="34" s="1" a="1"/>
  <c r="CF940" i="34"/>
  <c r="CH940" i="34"/>
  <c r="CK940" i="34"/>
  <c r="CL940" i="34"/>
  <c r="CN940" i="34" a="1"/>
  <c r="CN940" i="34"/>
  <c r="CO940" i="34" a="1"/>
  <c r="CO940" i="34"/>
  <c r="CQ940" i="34" a="1"/>
  <c r="CQ940" i="34"/>
  <c r="CR940" i="34"/>
  <c r="CT940" i="34" a="1"/>
  <c r="CT940" i="34"/>
  <c r="CU940" i="34" a="1"/>
  <c r="CU940" i="34" s="1"/>
  <c r="CW940" i="34"/>
  <c r="CX940" i="34"/>
  <c r="DC940" i="34"/>
  <c r="DG940" i="34" s="1" a="1"/>
  <c r="DG940" i="34" s="1"/>
  <c r="DD940" i="34"/>
  <c r="DF940" i="34" s="1" a="1"/>
  <c r="DF940" i="34" s="1"/>
  <c r="DI940" i="34"/>
  <c r="DJ940" i="34"/>
  <c r="DL940" i="34" a="1"/>
  <c r="DL940" i="34" s="1"/>
  <c r="DM940" i="34" a="1"/>
  <c r="DM940" i="34" s="1"/>
  <c r="DO940" i="34"/>
  <c r="DR940" i="34" s="1" a="1"/>
  <c r="DR940" i="34" s="1"/>
  <c r="DP940" i="34"/>
  <c r="DS940" i="34" a="1"/>
  <c r="DS940" i="34"/>
  <c r="DU940" i="34"/>
  <c r="DX940" i="34" s="1" a="1"/>
  <c r="DX940" i="34" s="1"/>
  <c r="DV940" i="34"/>
  <c r="EA940" i="34"/>
  <c r="EE940" i="34" s="1" a="1"/>
  <c r="EE940" i="34" s="1"/>
  <c r="EB940" i="34"/>
  <c r="ED940" i="34" a="1"/>
  <c r="ED940" i="34" s="1"/>
  <c r="BS941" i="34"/>
  <c r="BT941" i="34"/>
  <c r="BV941" i="34" a="1"/>
  <c r="BV941" i="34"/>
  <c r="BW941" i="34" a="1"/>
  <c r="BW941" i="34" s="1"/>
  <c r="BY941" i="34"/>
  <c r="BZ941" i="34"/>
  <c r="CB941" i="34" a="1"/>
  <c r="CB941" i="34"/>
  <c r="CC941" i="34" a="1"/>
  <c r="CC941" i="34" s="1"/>
  <c r="CE941" i="34"/>
  <c r="CF941" i="34"/>
  <c r="CK941" i="34"/>
  <c r="CO941" i="34" s="1" a="1"/>
  <c r="CO941" i="34" s="1"/>
  <c r="CL941" i="34"/>
  <c r="CN941" i="34" a="1"/>
  <c r="CN941" i="34" s="1"/>
  <c r="CQ941" i="34" a="1"/>
  <c r="CQ941" i="34"/>
  <c r="CT941" i="34" s="1" a="1"/>
  <c r="CR941" i="34"/>
  <c r="CT941" i="34"/>
  <c r="CW941" i="34"/>
  <c r="CX941" i="34"/>
  <c r="CZ941" i="34" a="1"/>
  <c r="CZ941" i="34"/>
  <c r="DA941" i="34" a="1"/>
  <c r="DA941" i="34"/>
  <c r="DC941" i="34"/>
  <c r="DD941" i="34"/>
  <c r="DF941" i="34" s="1" a="1"/>
  <c r="DF941" i="34" s="1"/>
  <c r="DG941" i="34" a="1"/>
  <c r="DG941" i="34"/>
  <c r="DI941" i="34"/>
  <c r="DJ941" i="34"/>
  <c r="DO941" i="34"/>
  <c r="DS941" i="34" s="1" a="1"/>
  <c r="DS941" i="34" s="1"/>
  <c r="DP941" i="34"/>
  <c r="DR941" i="34" a="1"/>
  <c r="DR941" i="34"/>
  <c r="DU941" i="34"/>
  <c r="DY941" i="34" s="1" a="1"/>
  <c r="DV941" i="34"/>
  <c r="DX941" i="34" a="1"/>
  <c r="DX941" i="34"/>
  <c r="DY941" i="34"/>
  <c r="EA941" i="34"/>
  <c r="ED941" i="34" s="1" a="1"/>
  <c r="ED941" i="34" s="1"/>
  <c r="EB941" i="34"/>
  <c r="EE941" i="34" a="1"/>
  <c r="EE941" i="34"/>
  <c r="BS942" i="34"/>
  <c r="BV942" i="34" s="1" a="1"/>
  <c r="BV942" i="34" s="1"/>
  <c r="BT942" i="34"/>
  <c r="BY942" i="34"/>
  <c r="CB942" i="34" s="1" a="1"/>
  <c r="CB942" i="34" s="1"/>
  <c r="BZ942" i="34"/>
  <c r="CE942" i="34"/>
  <c r="CF942" i="34"/>
  <c r="CH942" i="34" a="1"/>
  <c r="CH942" i="34"/>
  <c r="CI942" i="34" a="1"/>
  <c r="CI942" i="34" s="1"/>
  <c r="CK942" i="34"/>
  <c r="CL942" i="34"/>
  <c r="CN942" i="34" a="1"/>
  <c r="CN942" i="34"/>
  <c r="CO942" i="34" a="1"/>
  <c r="CO942" i="34"/>
  <c r="CQ942" i="34" a="1"/>
  <c r="CQ942" i="34"/>
  <c r="CR942" i="34"/>
  <c r="CW942" i="34"/>
  <c r="DA942" i="34" s="1" a="1"/>
  <c r="DA942" i="34" s="1"/>
  <c r="CX942" i="34"/>
  <c r="CZ942" i="34" s="1" a="1"/>
  <c r="CZ942" i="34" s="1"/>
  <c r="DC942" i="34"/>
  <c r="DD942" i="34"/>
  <c r="DF942" i="34" s="1" a="1"/>
  <c r="DF942" i="34" s="1"/>
  <c r="DG942" i="34" a="1"/>
  <c r="DG942" i="34" s="1"/>
  <c r="DI942" i="34"/>
  <c r="DL942" i="34" s="1" a="1"/>
  <c r="DL942" i="34" s="1"/>
  <c r="DJ942" i="34"/>
  <c r="DM942" i="34" a="1"/>
  <c r="DM942" i="34"/>
  <c r="DO942" i="34"/>
  <c r="DR942" i="34" s="1" a="1"/>
  <c r="DR942" i="34" s="1"/>
  <c r="DP942" i="34"/>
  <c r="DU942" i="34"/>
  <c r="DY942" i="34" s="1" a="1"/>
  <c r="DY942" i="34" s="1"/>
  <c r="DV942" i="34"/>
  <c r="DX942" i="34" a="1"/>
  <c r="DX942" i="34" s="1"/>
  <c r="EA942" i="34"/>
  <c r="EB942" i="34"/>
  <c r="ED942" i="34" a="1"/>
  <c r="ED942" i="34"/>
  <c r="EE942" i="34" a="1"/>
  <c r="EE942" i="34" s="1"/>
  <c r="BS943" i="34"/>
  <c r="BT943" i="34"/>
  <c r="BV943" i="34" a="1"/>
  <c r="BV943" i="34"/>
  <c r="BW943" i="34" a="1"/>
  <c r="BW943" i="34" s="1"/>
  <c r="BY943" i="34"/>
  <c r="BZ943" i="34"/>
  <c r="CE943" i="34"/>
  <c r="CI943" i="34" s="1" a="1"/>
  <c r="CI943" i="34" s="1"/>
  <c r="CF943" i="34"/>
  <c r="CH943" i="34" a="1"/>
  <c r="CH943" i="34" s="1"/>
  <c r="CK943" i="34"/>
  <c r="CL943" i="34"/>
  <c r="CN943" i="34" a="1"/>
  <c r="CN943" i="34" s="1"/>
  <c r="CO943" i="34" a="1"/>
  <c r="CO943" i="34" s="1"/>
  <c r="CQ943" i="34" a="1"/>
  <c r="CQ943" i="34" s="1"/>
  <c r="CR943" i="34"/>
  <c r="CW943" i="34"/>
  <c r="CX943" i="34"/>
  <c r="CZ943" i="34" a="1"/>
  <c r="CZ943" i="34"/>
  <c r="DA943" i="34" a="1"/>
  <c r="DA943" i="34"/>
  <c r="DC943" i="34"/>
  <c r="DG943" i="34" s="1" a="1"/>
  <c r="DG943" i="34" s="1"/>
  <c r="DD943" i="34"/>
  <c r="DF943" i="34" s="1" a="1"/>
  <c r="DF943" i="34" s="1"/>
  <c r="DI943" i="34"/>
  <c r="DM943" i="34" s="1" a="1"/>
  <c r="DM943" i="34" s="1"/>
  <c r="DJ943" i="34"/>
  <c r="DL943" i="34" a="1"/>
  <c r="DL943" i="34" s="1"/>
  <c r="DO943" i="34"/>
  <c r="DS943" i="34" s="1" a="1"/>
  <c r="DS943" i="34" s="1"/>
  <c r="DP943" i="34"/>
  <c r="DR943" i="34" a="1"/>
  <c r="DR943" i="34"/>
  <c r="DU943" i="34"/>
  <c r="DX943" i="34" s="1" a="1"/>
  <c r="DX943" i="34" s="1"/>
  <c r="DV943" i="34"/>
  <c r="DY943" i="34" a="1"/>
  <c r="DY943" i="34"/>
  <c r="EA943" i="34"/>
  <c r="ED943" i="34" s="1" a="1"/>
  <c r="ED943" i="34" s="1"/>
  <c r="EB943" i="34"/>
  <c r="BS944" i="34"/>
  <c r="BV944" i="34" s="1" a="1"/>
  <c r="BT944" i="34"/>
  <c r="BV944" i="34"/>
  <c r="BY944" i="34"/>
  <c r="BZ944" i="34"/>
  <c r="CB944" i="34" a="1"/>
  <c r="CB944" i="34"/>
  <c r="CC944" i="34" a="1"/>
  <c r="CC944" i="34" s="1"/>
  <c r="CE944" i="34"/>
  <c r="CF944" i="34"/>
  <c r="CH944" i="34" a="1"/>
  <c r="CH944" i="34"/>
  <c r="CI944" i="34" a="1"/>
  <c r="CI944" i="34" s="1"/>
  <c r="CK944" i="34"/>
  <c r="CL944" i="34"/>
  <c r="CQ944" i="34" a="1"/>
  <c r="CQ944" i="34"/>
  <c r="CU944" i="34" s="1" a="1"/>
  <c r="CU944" i="34" s="1"/>
  <c r="CR944" i="34"/>
  <c r="CT944" i="34" s="1" a="1"/>
  <c r="CT944" i="34" s="1"/>
  <c r="CW944" i="34"/>
  <c r="CX944" i="34"/>
  <c r="CZ944" i="34" s="1" a="1"/>
  <c r="CZ944" i="34" s="1"/>
  <c r="DA944" i="34" a="1"/>
  <c r="DA944" i="34" s="1"/>
  <c r="DC944" i="34"/>
  <c r="DF944" i="34" s="1" a="1"/>
  <c r="DF944" i="34" s="1"/>
  <c r="DD944" i="34"/>
  <c r="DG944" i="34" a="1"/>
  <c r="DG944" i="34"/>
  <c r="DI944" i="34"/>
  <c r="DL944" i="34" s="1" a="1"/>
  <c r="DL944" i="34" s="1"/>
  <c r="DJ944" i="34"/>
  <c r="DO944" i="34"/>
  <c r="DS944" i="34" s="1" a="1"/>
  <c r="DS944" i="34" s="1"/>
  <c r="DP944" i="34"/>
  <c r="DR944" i="34" a="1"/>
  <c r="DR944" i="34" s="1"/>
  <c r="DU944" i="34"/>
  <c r="DV944" i="34"/>
  <c r="DX944" i="34" a="1"/>
  <c r="DX944" i="34"/>
  <c r="DY944" i="34" a="1"/>
  <c r="DY944" i="34" s="1"/>
  <c r="EA944" i="34"/>
  <c r="EB944" i="34"/>
  <c r="ED944" i="34" a="1"/>
  <c r="ED944" i="34"/>
  <c r="EE944" i="34" a="1"/>
  <c r="EE944" i="34" s="1"/>
  <c r="BS945" i="34"/>
  <c r="BT945" i="34"/>
  <c r="BY945" i="34"/>
  <c r="CC945" i="34" s="1" a="1"/>
  <c r="CC945" i="34" s="1"/>
  <c r="BZ945" i="34"/>
  <c r="CB945" i="34" a="1"/>
  <c r="CB945" i="34" s="1"/>
  <c r="CE945" i="34"/>
  <c r="CF945" i="34"/>
  <c r="CH945" i="34" a="1"/>
  <c r="CH945" i="34" s="1"/>
  <c r="CI945" i="34" a="1"/>
  <c r="CI945" i="34" s="1"/>
  <c r="CK945" i="34"/>
  <c r="CN945" i="34" s="1" a="1"/>
  <c r="CN945" i="34" s="1"/>
  <c r="CL945" i="34"/>
  <c r="CO945" i="34" a="1"/>
  <c r="CO945" i="34"/>
  <c r="CQ945" i="34" a="1"/>
  <c r="CQ945" i="34" s="1"/>
  <c r="CR945" i="34"/>
  <c r="CW945" i="34"/>
  <c r="CX945" i="34"/>
  <c r="DC945" i="34"/>
  <c r="DG945" i="34" s="1" a="1"/>
  <c r="DG945" i="34" s="1"/>
  <c r="DD945" i="34"/>
  <c r="DF945" i="34" a="1"/>
  <c r="DF945" i="34"/>
  <c r="DI945" i="34"/>
  <c r="DM945" i="34" s="1" a="1"/>
  <c r="DJ945" i="34"/>
  <c r="DL945" i="34" a="1"/>
  <c r="DL945" i="34" s="1"/>
  <c r="DM945" i="34"/>
  <c r="DO945" i="34"/>
  <c r="DR945" i="34" s="1" a="1"/>
  <c r="DR945" i="34" s="1"/>
  <c r="DP945" i="34"/>
  <c r="DS945" i="34" a="1"/>
  <c r="DS945" i="34"/>
  <c r="DU945" i="34"/>
  <c r="DX945" i="34" s="1" a="1"/>
  <c r="DX945" i="34" s="1"/>
  <c r="DV945" i="34"/>
  <c r="EA945" i="34"/>
  <c r="ED945" i="34" s="1" a="1"/>
  <c r="ED945" i="34" s="1"/>
  <c r="EB945" i="34"/>
  <c r="BS946" i="34"/>
  <c r="BT946" i="34"/>
  <c r="BV946" i="34" a="1"/>
  <c r="BV946" i="34"/>
  <c r="BW946" i="34" a="1"/>
  <c r="BW946" i="34" s="1"/>
  <c r="BY946" i="34"/>
  <c r="BZ946" i="34"/>
  <c r="CB946" i="34" a="1"/>
  <c r="CB946" i="34"/>
  <c r="CC946" i="34" a="1"/>
  <c r="CC946" i="34" s="1"/>
  <c r="CE946" i="34"/>
  <c r="CF946" i="34"/>
  <c r="CK946" i="34"/>
  <c r="CO946" i="34" s="1" a="1"/>
  <c r="CO946" i="34" s="1"/>
  <c r="CL946" i="34"/>
  <c r="CN946" i="34" a="1"/>
  <c r="CN946" i="34" s="1"/>
  <c r="CQ946" i="34" a="1"/>
  <c r="CQ946" i="34"/>
  <c r="CR946" i="34"/>
  <c r="CT946" i="34" s="1" a="1"/>
  <c r="CT946" i="34" s="1"/>
  <c r="CU946" i="34" a="1"/>
  <c r="CU946" i="34" s="1"/>
  <c r="CW946" i="34"/>
  <c r="CZ946" i="34" s="1" a="1"/>
  <c r="CZ946" i="34" s="1"/>
  <c r="CX946" i="34"/>
  <c r="DA946" i="34" a="1"/>
  <c r="DA946" i="34"/>
  <c r="DC946" i="34"/>
  <c r="DF946" i="34" s="1" a="1"/>
  <c r="DF946" i="34" s="1"/>
  <c r="DD946" i="34"/>
  <c r="DI946" i="34"/>
  <c r="DM946" i="34" s="1" a="1"/>
  <c r="DM946" i="34" s="1"/>
  <c r="DJ946" i="34"/>
  <c r="DL946" i="34" a="1"/>
  <c r="DL946" i="34" s="1"/>
  <c r="DO946" i="34"/>
  <c r="DP946" i="34"/>
  <c r="DR946" i="34" a="1"/>
  <c r="DR946" i="34"/>
  <c r="DS946" i="34" a="1"/>
  <c r="DS946" i="34" s="1"/>
  <c r="DU946" i="34"/>
  <c r="DV946" i="34"/>
  <c r="DX946" i="34" a="1"/>
  <c r="DX946" i="34"/>
  <c r="DY946" i="34" a="1"/>
  <c r="DY946" i="34" s="1"/>
  <c r="EA946" i="34"/>
  <c r="EB946" i="34"/>
  <c r="BS947" i="34"/>
  <c r="BW947" i="34" s="1" a="1"/>
  <c r="BW947" i="34" s="1"/>
  <c r="BT947" i="34"/>
  <c r="BV947" i="34" a="1"/>
  <c r="BV947" i="34" s="1"/>
  <c r="BY947" i="34"/>
  <c r="BZ947" i="34"/>
  <c r="CB947" i="34" a="1"/>
  <c r="CB947" i="34" s="1"/>
  <c r="CC947" i="34" a="1"/>
  <c r="CC947" i="34" s="1"/>
  <c r="CE947" i="34"/>
  <c r="CH947" i="34" s="1" a="1"/>
  <c r="CH947" i="34" s="1"/>
  <c r="CF947" i="34"/>
  <c r="CI947" i="34" a="1"/>
  <c r="CI947" i="34"/>
  <c r="CK947" i="34"/>
  <c r="CN947" i="34" s="1" a="1"/>
  <c r="CN947" i="34" s="1"/>
  <c r="CL947" i="34"/>
  <c r="CQ947" i="34" a="1"/>
  <c r="CQ947" i="34" s="1"/>
  <c r="CR947" i="34"/>
  <c r="CW947" i="34"/>
  <c r="DA947" i="34" s="1" a="1"/>
  <c r="DA947" i="34" s="1"/>
  <c r="CX947" i="34"/>
  <c r="CZ947" i="34" a="1"/>
  <c r="CZ947" i="34"/>
  <c r="DC947" i="34"/>
  <c r="DG947" i="34" s="1" a="1"/>
  <c r="DG947" i="34" s="1"/>
  <c r="DD947" i="34"/>
  <c r="DF947" i="34" a="1"/>
  <c r="DF947" i="34"/>
  <c r="DI947" i="34"/>
  <c r="DL947" i="34" s="1" a="1"/>
  <c r="DL947" i="34" s="1"/>
  <c r="DJ947" i="34"/>
  <c r="DM947" i="34" a="1"/>
  <c r="DM947" i="34"/>
  <c r="DO947" i="34"/>
  <c r="DR947" i="34" s="1" a="1"/>
  <c r="DR947" i="34" s="1"/>
  <c r="DP947" i="34"/>
  <c r="DU947" i="34"/>
  <c r="DX947" i="34" s="1" a="1"/>
  <c r="DV947" i="34"/>
  <c r="DX947" i="34"/>
  <c r="EA947" i="34"/>
  <c r="EB947" i="34"/>
  <c r="ED947" i="34" a="1"/>
  <c r="ED947" i="34"/>
  <c r="EE947" i="34" a="1"/>
  <c r="EE947" i="34" s="1"/>
  <c r="BS948" i="34"/>
  <c r="BT948" i="34"/>
  <c r="BV948" i="34" a="1"/>
  <c r="BV948" i="34"/>
  <c r="BW948" i="34" a="1"/>
  <c r="BW948" i="34" s="1"/>
  <c r="BY948" i="34"/>
  <c r="BZ948" i="34"/>
  <c r="CE948" i="34"/>
  <c r="CI948" i="34" s="1" a="1"/>
  <c r="CI948" i="34" s="1"/>
  <c r="CF948" i="34"/>
  <c r="CH948" i="34" a="1"/>
  <c r="CH948" i="34" s="1"/>
  <c r="CK948" i="34"/>
  <c r="CO948" i="34" s="1" a="1"/>
  <c r="CO948" i="34" s="1"/>
  <c r="CL948" i="34"/>
  <c r="CN948" i="34" a="1"/>
  <c r="CN948" i="34" s="1"/>
  <c r="CQ948" i="34" a="1"/>
  <c r="CQ948" i="34" s="1"/>
  <c r="CR948" i="34"/>
  <c r="CW948" i="34"/>
  <c r="CZ948" i="34" s="1" a="1"/>
  <c r="CZ948" i="34" s="1"/>
  <c r="CX948" i="34"/>
  <c r="DC948" i="34"/>
  <c r="DG948" i="34" s="1" a="1"/>
  <c r="DG948" i="34" s="1"/>
  <c r="DD948" i="34"/>
  <c r="DF948" i="34" a="1"/>
  <c r="DF948" i="34" s="1"/>
  <c r="DI948" i="34"/>
  <c r="DJ948" i="34"/>
  <c r="DL948" i="34" a="1"/>
  <c r="DL948" i="34"/>
  <c r="DM948" i="34" a="1"/>
  <c r="DM948" i="34" s="1"/>
  <c r="DO948" i="34"/>
  <c r="DP948" i="34"/>
  <c r="DR948" i="34" a="1"/>
  <c r="DR948" i="34"/>
  <c r="DS948" i="34" a="1"/>
  <c r="DS948" i="34" s="1"/>
  <c r="DU948" i="34"/>
  <c r="DV948" i="34"/>
  <c r="EA948" i="34"/>
  <c r="EE948" i="34" s="1" a="1"/>
  <c r="EE948" i="34" s="1"/>
  <c r="EB948" i="34"/>
  <c r="ED948" i="34" s="1" a="1"/>
  <c r="ED948" i="34" s="1"/>
  <c r="BS949" i="34"/>
  <c r="BT949" i="34"/>
  <c r="BV949" i="34" a="1"/>
  <c r="BV949" i="34" s="1"/>
  <c r="BW949" i="34" a="1"/>
  <c r="BW949" i="34" s="1"/>
  <c r="BY949" i="34"/>
  <c r="CB949" i="34" s="1" a="1"/>
  <c r="CB949" i="34" s="1"/>
  <c r="BZ949" i="34"/>
  <c r="CC949" i="34" a="1"/>
  <c r="CC949" i="34"/>
  <c r="CE949" i="34"/>
  <c r="CH949" i="34" s="1" a="1"/>
  <c r="CH949" i="34" s="1"/>
  <c r="CF949" i="34"/>
  <c r="CK949" i="34"/>
  <c r="CO949" i="34" s="1" a="1"/>
  <c r="CO949" i="34" s="1"/>
  <c r="CL949" i="34"/>
  <c r="CN949" i="34" a="1"/>
  <c r="CN949" i="34" s="1"/>
  <c r="CQ949" i="34" a="1"/>
  <c r="CQ949" i="34"/>
  <c r="CU949" i="34" s="1" a="1"/>
  <c r="CU949" i="34" s="1"/>
  <c r="CR949" i="34"/>
  <c r="CT949" i="34" a="1"/>
  <c r="CT949" i="34" s="1"/>
  <c r="CW949" i="34"/>
  <c r="DA949" i="34" s="1" a="1"/>
  <c r="CX949" i="34"/>
  <c r="CZ949" i="34" a="1"/>
  <c r="CZ949" i="34"/>
  <c r="DA949" i="34"/>
  <c r="DC949" i="34"/>
  <c r="DF949" i="34" s="1" a="1"/>
  <c r="DF949" i="34" s="1"/>
  <c r="DD949" i="34"/>
  <c r="DG949" i="34" a="1"/>
  <c r="DG949" i="34"/>
  <c r="DI949" i="34"/>
  <c r="DL949" i="34" s="1" a="1"/>
  <c r="DL949" i="34" s="1"/>
  <c r="DJ949" i="34"/>
  <c r="DO949" i="34"/>
  <c r="DR949" i="34" s="1" a="1"/>
  <c r="DR949" i="34" s="1"/>
  <c r="DP949" i="34"/>
  <c r="DU949" i="34"/>
  <c r="DV949" i="34"/>
  <c r="DX949" i="34" a="1"/>
  <c r="DX949" i="34"/>
  <c r="DY949" i="34" a="1"/>
  <c r="DY949" i="34" s="1"/>
  <c r="EA949" i="34"/>
  <c r="EB949" i="34"/>
  <c r="ED949" i="34" a="1"/>
  <c r="ED949" i="34"/>
  <c r="EE949" i="34" a="1"/>
  <c r="EE949" i="34" s="1"/>
  <c r="BS950" i="34"/>
  <c r="BT950" i="34"/>
  <c r="BY950" i="34"/>
  <c r="CC950" i="34" s="1" a="1"/>
  <c r="CC950" i="34" s="1"/>
  <c r="BZ950" i="34"/>
  <c r="CB950" i="34" a="1"/>
  <c r="CB950" i="34" s="1"/>
  <c r="CE950" i="34"/>
  <c r="CI950" i="34" s="1" a="1"/>
  <c r="CI950" i="34" s="1"/>
  <c r="CF950" i="34"/>
  <c r="CH950" i="34" a="1"/>
  <c r="CH950" i="34" s="1"/>
  <c r="CK950" i="34"/>
  <c r="CN950" i="34" s="1" a="1"/>
  <c r="CN950" i="34" s="1"/>
  <c r="CL950" i="34"/>
  <c r="CO950" i="34" a="1"/>
  <c r="CO950" i="34"/>
  <c r="CQ950" i="34" a="1"/>
  <c r="CQ950" i="34" s="1"/>
  <c r="CR950" i="34"/>
  <c r="CW950" i="34"/>
  <c r="DA950" i="34" s="1" a="1"/>
  <c r="DA950" i="34" s="1"/>
  <c r="CX950" i="34"/>
  <c r="CZ950" i="34" a="1"/>
  <c r="CZ950" i="34" s="1"/>
  <c r="DC950" i="34"/>
  <c r="DD950" i="34"/>
  <c r="DF950" i="34" a="1"/>
  <c r="DF950" i="34"/>
  <c r="DG950" i="34" a="1"/>
  <c r="DG950" i="34" s="1"/>
  <c r="DI950" i="34"/>
  <c r="DJ950" i="34"/>
  <c r="DL950" i="34" a="1"/>
  <c r="DL950" i="34"/>
  <c r="DM950" i="34" a="1"/>
  <c r="DM950" i="34" s="1"/>
  <c r="DO950" i="34"/>
  <c r="DP950" i="34"/>
  <c r="DU950" i="34"/>
  <c r="DY950" i="34" s="1" a="1"/>
  <c r="DY950" i="34" s="1"/>
  <c r="DV950" i="34"/>
  <c r="DX950" i="34" s="1" a="1"/>
  <c r="DX950" i="34" s="1"/>
  <c r="EA950" i="34"/>
  <c r="EB950" i="34"/>
  <c r="ED950" i="34" s="1" a="1"/>
  <c r="ED950" i="34" s="1"/>
  <c r="EE950" i="34" a="1"/>
  <c r="EE950" i="34" s="1"/>
  <c r="BS951" i="34"/>
  <c r="BV951" i="34" s="1" a="1"/>
  <c r="BV951" i="34" s="1"/>
  <c r="BT951" i="34"/>
  <c r="BW951" i="34" a="1"/>
  <c r="BW951" i="34"/>
  <c r="BY951" i="34"/>
  <c r="CB951" i="34" s="1" a="1"/>
  <c r="CB951" i="34" s="1"/>
  <c r="BZ951" i="34"/>
  <c r="CE951" i="34"/>
  <c r="CI951" i="34" s="1" a="1"/>
  <c r="CI951" i="34" s="1"/>
  <c r="CF951" i="34"/>
  <c r="CH951" i="34" a="1"/>
  <c r="CH951" i="34" s="1"/>
  <c r="CK951" i="34"/>
  <c r="CL951" i="34"/>
  <c r="CN951" i="34" a="1"/>
  <c r="CN951" i="34"/>
  <c r="CO951" i="34" a="1"/>
  <c r="CO951" i="34" s="1"/>
  <c r="CQ951" i="34" a="1"/>
  <c r="CQ951" i="34"/>
  <c r="CU951" i="34" s="1" a="1"/>
  <c r="CR951" i="34"/>
  <c r="CT951" i="34" a="1"/>
  <c r="CT951" i="34" s="1"/>
  <c r="CU951" i="34"/>
  <c r="CW951" i="34"/>
  <c r="CZ951" i="34" s="1" a="1"/>
  <c r="CZ951" i="34" s="1"/>
  <c r="CX951" i="34"/>
  <c r="DA951" i="34" a="1"/>
  <c r="DA951" i="34"/>
  <c r="DC951" i="34"/>
  <c r="DF951" i="34" s="1" a="1"/>
  <c r="DF951" i="34" s="1"/>
  <c r="DD951" i="34"/>
  <c r="DI951" i="34"/>
  <c r="DL951" i="34" s="1" a="1"/>
  <c r="DJ951" i="34"/>
  <c r="DL951" i="34"/>
  <c r="DO951" i="34"/>
  <c r="DP951" i="34"/>
  <c r="DR951" i="34" a="1"/>
  <c r="DR951" i="34"/>
  <c r="DS951" i="34" a="1"/>
  <c r="DS951" i="34" s="1"/>
  <c r="DU951" i="34"/>
  <c r="DV951" i="34"/>
  <c r="DX951" i="34" a="1"/>
  <c r="DX951" i="34"/>
  <c r="DY951" i="34" a="1"/>
  <c r="DY951" i="34" s="1"/>
  <c r="EA951" i="34"/>
  <c r="EB951" i="34"/>
  <c r="ED951" i="34" s="1" a="1"/>
  <c r="ED951" i="34" s="1"/>
  <c r="BS952" i="34"/>
  <c r="BW952" i="34" s="1" a="1"/>
  <c r="BW952" i="34" s="1"/>
  <c r="BT952" i="34"/>
  <c r="BV952" i="34" a="1"/>
  <c r="BV952" i="34" s="1"/>
  <c r="BY952" i="34"/>
  <c r="CC952" i="34" s="1" a="1"/>
  <c r="CC952" i="34" s="1"/>
  <c r="BZ952" i="34"/>
  <c r="CB952" i="34" a="1"/>
  <c r="CB952" i="34" s="1"/>
  <c r="CE952" i="34"/>
  <c r="CH952" i="34" s="1" a="1"/>
  <c r="CH952" i="34" s="1"/>
  <c r="CF952" i="34"/>
  <c r="CI952" i="34" a="1"/>
  <c r="CI952" i="34"/>
  <c r="CK952" i="34"/>
  <c r="CN952" i="34" s="1" a="1"/>
  <c r="CN952" i="34" s="1"/>
  <c r="CL952" i="34"/>
  <c r="CQ952" i="34" a="1"/>
  <c r="CQ952" i="34" s="1"/>
  <c r="CU952" i="34" s="1" a="1"/>
  <c r="CU952" i="34" s="1"/>
  <c r="CR952" i="34"/>
  <c r="CT952" i="34" a="1"/>
  <c r="CT952" i="34" s="1"/>
  <c r="CW952" i="34"/>
  <c r="CX952" i="34"/>
  <c r="CZ952" i="34" a="1"/>
  <c r="CZ952" i="34"/>
  <c r="DA952" i="34" a="1"/>
  <c r="DA952" i="34" s="1"/>
  <c r="DC952" i="34"/>
  <c r="DD952" i="34"/>
  <c r="DF952" i="34" a="1"/>
  <c r="DF952" i="34"/>
  <c r="DG952" i="34" a="1"/>
  <c r="DG952" i="34" s="1"/>
  <c r="DI952" i="34"/>
  <c r="DJ952" i="34"/>
  <c r="DO952" i="34"/>
  <c r="DS952" i="34" s="1" a="1"/>
  <c r="DS952" i="34" s="1"/>
  <c r="DP952" i="34"/>
  <c r="DR952" i="34" s="1" a="1"/>
  <c r="DR952" i="34" s="1"/>
  <c r="DU952" i="34"/>
  <c r="DV952" i="34"/>
  <c r="DX952" i="34" s="1" a="1"/>
  <c r="DX952" i="34" s="1"/>
  <c r="DY952" i="34" a="1"/>
  <c r="DY952" i="34" s="1"/>
  <c r="EA952" i="34"/>
  <c r="ED952" i="34" s="1" a="1"/>
  <c r="ED952" i="34" s="1"/>
  <c r="EB952" i="34"/>
  <c r="EE952" i="34" a="1"/>
  <c r="EE952" i="34"/>
  <c r="BS953" i="34"/>
  <c r="BV953" i="34" s="1" a="1"/>
  <c r="BV953" i="34" s="1"/>
  <c r="BT953" i="34"/>
  <c r="BY953" i="34"/>
  <c r="CC953" i="34" s="1" a="1"/>
  <c r="CC953" i="34" s="1"/>
  <c r="BZ953" i="34"/>
  <c r="CB953" i="34" a="1"/>
  <c r="CB953" i="34" s="1"/>
  <c r="CE953" i="34"/>
  <c r="CF953" i="34"/>
  <c r="CH953" i="34" a="1"/>
  <c r="CH953" i="34"/>
  <c r="CI953" i="34" a="1"/>
  <c r="CI953" i="34" s="1"/>
  <c r="CK953" i="34"/>
  <c r="CL953" i="34"/>
  <c r="CN953" i="34" a="1"/>
  <c r="CN953" i="34"/>
  <c r="CO953" i="34" a="1"/>
  <c r="CO953" i="34" s="1"/>
  <c r="CQ953" i="34" a="1"/>
  <c r="CQ953" i="34" s="1"/>
  <c r="CR953" i="34"/>
  <c r="CW953" i="34"/>
  <c r="CZ953" i="34" s="1" a="1"/>
  <c r="CZ953" i="34" s="1"/>
  <c r="CX953" i="34"/>
  <c r="DC953" i="34"/>
  <c r="DF953" i="34" s="1" a="1"/>
  <c r="DF953" i="34" s="1"/>
  <c r="DD953" i="34"/>
  <c r="DI953" i="34"/>
  <c r="DJ953" i="34"/>
  <c r="DL953" i="34" a="1"/>
  <c r="DL953" i="34"/>
  <c r="DM953" i="34" a="1"/>
  <c r="DM953" i="34"/>
  <c r="DO953" i="34"/>
  <c r="DP953" i="34"/>
  <c r="DR953" i="34" a="1"/>
  <c r="DR953" i="34"/>
  <c r="DS953" i="34" a="1"/>
  <c r="DS953" i="34" s="1"/>
  <c r="DU953" i="34"/>
  <c r="DV953" i="34"/>
  <c r="EA953" i="34"/>
  <c r="EE953" i="34" s="1" a="1"/>
  <c r="EE953" i="34" s="1"/>
  <c r="EB953" i="34"/>
  <c r="ED953" i="34" a="1"/>
  <c r="ED953" i="34" s="1"/>
  <c r="BS954" i="34"/>
  <c r="BW954" i="34" s="1" a="1"/>
  <c r="BW954" i="34" s="1"/>
  <c r="BT954" i="34"/>
  <c r="BV954" i="34" a="1"/>
  <c r="BV954" i="34" s="1"/>
  <c r="BY954" i="34"/>
  <c r="CB954" i="34" s="1" a="1"/>
  <c r="CB954" i="34" s="1"/>
  <c r="BZ954" i="34"/>
  <c r="CC954" i="34" a="1"/>
  <c r="CC954" i="34"/>
  <c r="CE954" i="34"/>
  <c r="CH954" i="34" s="1" a="1"/>
  <c r="CH954" i="34" s="1"/>
  <c r="CF954" i="34"/>
  <c r="CK954" i="34"/>
  <c r="CN954" i="34" s="1" a="1"/>
  <c r="CN954" i="34" s="1"/>
  <c r="CL954" i="34"/>
  <c r="CQ954" i="34" a="1"/>
  <c r="CQ954" i="34" s="1"/>
  <c r="CR954" i="34"/>
  <c r="CW954" i="34"/>
  <c r="CX954" i="34"/>
  <c r="CZ954" i="34" a="1"/>
  <c r="CZ954" i="34"/>
  <c r="DA954" i="34" a="1"/>
  <c r="DA954" i="34" s="1"/>
  <c r="DC954" i="34"/>
  <c r="DD954" i="34"/>
  <c r="DI954" i="34"/>
  <c r="DM954" i="34" s="1" a="1"/>
  <c r="DM954" i="34" s="1"/>
  <c r="DJ954" i="34"/>
  <c r="DL954" i="34" a="1"/>
  <c r="DL954" i="34" s="1"/>
  <c r="DO954" i="34"/>
  <c r="DP954" i="34"/>
  <c r="DR954" i="34" s="1" a="1"/>
  <c r="DR954" i="34" s="1"/>
  <c r="DS954" i="34" a="1"/>
  <c r="DS954" i="34" s="1"/>
  <c r="DU954" i="34"/>
  <c r="DX954" i="34" s="1" a="1"/>
  <c r="DX954" i="34" s="1"/>
  <c r="DV954" i="34"/>
  <c r="DY954" i="34" a="1"/>
  <c r="DY954" i="34"/>
  <c r="EA954" i="34"/>
  <c r="ED954" i="34" s="1" a="1"/>
  <c r="ED954" i="34" s="1"/>
  <c r="EB954" i="34"/>
  <c r="BS955" i="34"/>
  <c r="BW955" i="34" s="1" a="1"/>
  <c r="BW955" i="34" s="1"/>
  <c r="BT955" i="34"/>
  <c r="BV955" i="34" a="1"/>
  <c r="BV955" i="34" s="1"/>
  <c r="BY955" i="34"/>
  <c r="BZ955" i="34"/>
  <c r="CB955" i="34" a="1"/>
  <c r="CB955" i="34"/>
  <c r="CC955" i="34" a="1"/>
  <c r="CC955" i="34" s="1"/>
  <c r="CE955" i="34"/>
  <c r="CF955" i="34"/>
  <c r="CH955" i="34" a="1"/>
  <c r="CH955" i="34"/>
  <c r="CI955" i="34" a="1"/>
  <c r="CI955" i="34" s="1"/>
  <c r="CK955" i="34"/>
  <c r="CL955" i="34"/>
  <c r="CQ955" i="34" a="1"/>
  <c r="CQ955" i="34"/>
  <c r="CT955" i="34" s="1" a="1"/>
  <c r="CT955" i="34" s="1"/>
  <c r="CR955" i="34"/>
  <c r="CW955" i="34"/>
  <c r="CZ955" i="34" s="1" a="1"/>
  <c r="CZ955" i="34" s="1"/>
  <c r="CX955" i="34"/>
  <c r="DC955" i="34"/>
  <c r="DD955" i="34"/>
  <c r="DF955" i="34" a="1"/>
  <c r="DF955" i="34"/>
  <c r="DG955" i="34" a="1"/>
  <c r="DG955" i="34"/>
  <c r="DI955" i="34"/>
  <c r="DJ955" i="34"/>
  <c r="DL955" i="34" a="1"/>
  <c r="DL955" i="34"/>
  <c r="DM955" i="34" a="1"/>
  <c r="DM955" i="34"/>
  <c r="DO955" i="34"/>
  <c r="DP955" i="34"/>
  <c r="DU955" i="34"/>
  <c r="DY955" i="34" s="1" a="1"/>
  <c r="DY955" i="34" s="1"/>
  <c r="DV955" i="34"/>
  <c r="DX955" i="34" a="1"/>
  <c r="DX955" i="34"/>
  <c r="EA955" i="34"/>
  <c r="EE955" i="34" s="1" a="1"/>
  <c r="EB955" i="34"/>
  <c r="ED955" i="34" a="1"/>
  <c r="ED955" i="34" s="1"/>
  <c r="EE955" i="34"/>
  <c r="BS956" i="34"/>
  <c r="BV956" i="34" s="1" a="1"/>
  <c r="BV956" i="34" s="1"/>
  <c r="BT956" i="34"/>
  <c r="BW956" i="34" a="1"/>
  <c r="BW956" i="34"/>
  <c r="BY956" i="34"/>
  <c r="CB956" i="34" s="1" a="1"/>
  <c r="CB956" i="34" s="1"/>
  <c r="BZ956" i="34"/>
  <c r="CE956" i="34"/>
  <c r="CH956" i="34" s="1" a="1"/>
  <c r="CF956" i="34"/>
  <c r="CH956" i="34"/>
  <c r="CK956" i="34"/>
  <c r="CL956" i="34"/>
  <c r="CN956" i="34" a="1"/>
  <c r="CN956" i="34"/>
  <c r="CO956" i="34" a="1"/>
  <c r="CO956" i="34" s="1"/>
  <c r="CQ956" i="34" a="1"/>
  <c r="CQ956" i="34" s="1"/>
  <c r="CR956" i="34"/>
  <c r="CW956" i="34"/>
  <c r="CX956" i="34"/>
  <c r="DC956" i="34"/>
  <c r="DG956" i="34" s="1" a="1"/>
  <c r="DG956" i="34" s="1"/>
  <c r="DD956" i="34"/>
  <c r="DF956" i="34" s="1" a="1"/>
  <c r="DF956" i="34" s="1"/>
  <c r="DI956" i="34"/>
  <c r="DJ956" i="34"/>
  <c r="DL956" i="34" a="1"/>
  <c r="DL956" i="34" s="1"/>
  <c r="DM956" i="34" a="1"/>
  <c r="DM956" i="34" s="1"/>
  <c r="DO956" i="34"/>
  <c r="DR956" i="34" s="1" a="1"/>
  <c r="DR956" i="34" s="1"/>
  <c r="DP956" i="34"/>
  <c r="DS956" i="34" a="1"/>
  <c r="DS956" i="34"/>
  <c r="DU956" i="34"/>
  <c r="DX956" i="34" s="1" a="1"/>
  <c r="DX956" i="34" s="1"/>
  <c r="DV956" i="34"/>
  <c r="EA956" i="34"/>
  <c r="EE956" i="34" s="1" a="1"/>
  <c r="EE956" i="34" s="1"/>
  <c r="EB956" i="34"/>
  <c r="ED956" i="34" a="1"/>
  <c r="ED956" i="34" s="1"/>
  <c r="BS957" i="34"/>
  <c r="BT957" i="34"/>
  <c r="BV957" i="34" a="1"/>
  <c r="BV957" i="34"/>
  <c r="BW957" i="34" a="1"/>
  <c r="BW957" i="34" s="1"/>
  <c r="BY957" i="34"/>
  <c r="BZ957" i="34"/>
  <c r="CB957" i="34" a="1"/>
  <c r="CB957" i="34"/>
  <c r="CC957" i="34" a="1"/>
  <c r="CC957" i="34" s="1"/>
  <c r="CE957" i="34"/>
  <c r="CF957" i="34"/>
  <c r="CK957" i="34"/>
  <c r="CO957" i="34" s="1" a="1"/>
  <c r="CO957" i="34" s="1"/>
  <c r="CL957" i="34"/>
  <c r="CN957" i="34" a="1"/>
  <c r="CN957" i="34" s="1"/>
  <c r="CQ957" i="34" a="1"/>
  <c r="CQ957" i="34"/>
  <c r="CT957" i="34" s="1" a="1"/>
  <c r="CR957" i="34"/>
  <c r="CT957" i="34"/>
  <c r="CW957" i="34"/>
  <c r="CX957" i="34"/>
  <c r="CZ957" i="34" a="1"/>
  <c r="CZ957" i="34"/>
  <c r="DA957" i="34" a="1"/>
  <c r="DA957" i="34"/>
  <c r="DC957" i="34"/>
  <c r="DD957" i="34"/>
  <c r="DF957" i="34" a="1"/>
  <c r="DF957" i="34"/>
  <c r="DG957" i="34" a="1"/>
  <c r="DG957" i="34"/>
  <c r="DI957" i="34"/>
  <c r="DM957" i="34" s="1" a="1"/>
  <c r="DM957" i="34" s="1"/>
  <c r="DJ957" i="34"/>
  <c r="DL957" i="34" s="1" a="1"/>
  <c r="DL957" i="34" s="1"/>
  <c r="DO957" i="34"/>
  <c r="DS957" i="34" s="1" a="1"/>
  <c r="DS957" i="34" s="1"/>
  <c r="DP957" i="34"/>
  <c r="DR957" i="34" a="1"/>
  <c r="DR957" i="34" s="1"/>
  <c r="DU957" i="34"/>
  <c r="DY957" i="34" s="1" a="1"/>
  <c r="DV957" i="34"/>
  <c r="DX957" i="34" a="1"/>
  <c r="DX957" i="34"/>
  <c r="DY957" i="34"/>
  <c r="EA957" i="34"/>
  <c r="ED957" i="34" s="1" a="1"/>
  <c r="ED957" i="34" s="1"/>
  <c r="EB957" i="34"/>
  <c r="EE957" i="34" a="1"/>
  <c r="EE957" i="34"/>
  <c r="BS958" i="34"/>
  <c r="BV958" i="34" s="1" a="1"/>
  <c r="BV958" i="34" s="1"/>
  <c r="BT958" i="34"/>
  <c r="BY958" i="34"/>
  <c r="CB958" i="34" s="1" a="1"/>
  <c r="CB958" i="34" s="1"/>
  <c r="BZ958" i="34"/>
  <c r="CE958" i="34"/>
  <c r="CF958" i="34"/>
  <c r="CH958" i="34" a="1"/>
  <c r="CH958" i="34"/>
  <c r="CI958" i="34" a="1"/>
  <c r="CI958" i="34" s="1"/>
  <c r="CK958" i="34"/>
  <c r="CL958" i="34"/>
  <c r="CN958" i="34" a="1"/>
  <c r="CN958" i="34"/>
  <c r="CO958" i="34" a="1"/>
  <c r="CO958" i="34" s="1"/>
  <c r="CQ958" i="34" a="1"/>
  <c r="CQ958" i="34"/>
  <c r="CR958" i="34"/>
  <c r="CW958" i="34"/>
  <c r="DA958" i="34" s="1" a="1"/>
  <c r="DA958" i="34" s="1"/>
  <c r="CX958" i="34"/>
  <c r="CZ958" i="34" s="1" a="1"/>
  <c r="CZ958" i="34" s="1"/>
  <c r="DC958" i="34"/>
  <c r="DD958" i="34"/>
  <c r="DF958" i="34" s="1" a="1"/>
  <c r="DF958" i="34" s="1"/>
  <c r="DG958" i="34" a="1"/>
  <c r="DG958" i="34" s="1"/>
  <c r="DI958" i="34"/>
  <c r="DL958" i="34" s="1" a="1"/>
  <c r="DL958" i="34" s="1"/>
  <c r="DJ958" i="34"/>
  <c r="DM958" i="34" a="1"/>
  <c r="DM958" i="34"/>
  <c r="DO958" i="34"/>
  <c r="DR958" i="34" s="1" a="1"/>
  <c r="DR958" i="34" s="1"/>
  <c r="DP958" i="34"/>
  <c r="DU958" i="34"/>
  <c r="DY958" i="34" s="1" a="1"/>
  <c r="DY958" i="34" s="1"/>
  <c r="DV958" i="34"/>
  <c r="DX958" i="34" a="1"/>
  <c r="DX958" i="34" s="1"/>
  <c r="EA958" i="34"/>
  <c r="EB958" i="34"/>
  <c r="ED958" i="34" a="1"/>
  <c r="ED958" i="34"/>
  <c r="EE958" i="34" a="1"/>
  <c r="EE958" i="34" s="1"/>
  <c r="BS959" i="34"/>
  <c r="BT959" i="34"/>
  <c r="BV959" i="34" a="1"/>
  <c r="BV959" i="34"/>
  <c r="BW959" i="34" a="1"/>
  <c r="BW959" i="34" s="1"/>
  <c r="BY959" i="34"/>
  <c r="BZ959" i="34"/>
  <c r="CE959" i="34"/>
  <c r="CI959" i="34" s="1" a="1"/>
  <c r="CI959" i="34" s="1"/>
  <c r="CF959" i="34"/>
  <c r="CH959" i="34" a="1"/>
  <c r="CH959" i="34" s="1"/>
  <c r="CK959" i="34"/>
  <c r="CL959" i="34"/>
  <c r="CN959" i="34" a="1"/>
  <c r="CN959" i="34" s="1"/>
  <c r="CO959" i="34" a="1"/>
  <c r="CO959" i="34" s="1"/>
  <c r="CQ959" i="34" a="1"/>
  <c r="CQ959" i="34" s="1"/>
  <c r="CR959" i="34"/>
  <c r="CW959" i="34"/>
  <c r="CX959" i="34"/>
  <c r="CZ959" i="34" a="1"/>
  <c r="CZ959" i="34"/>
  <c r="DA959" i="34" a="1"/>
  <c r="DA959" i="34"/>
  <c r="DC959" i="34"/>
  <c r="DD959" i="34"/>
  <c r="DI959" i="34"/>
  <c r="DM959" i="34" s="1" a="1"/>
  <c r="DM959" i="34" s="1"/>
  <c r="DJ959" i="34"/>
  <c r="DL959" i="34" a="1"/>
  <c r="DL959" i="34" s="1"/>
  <c r="DO959" i="34"/>
  <c r="DS959" i="34" s="1" a="1"/>
  <c r="DS959" i="34" s="1"/>
  <c r="DP959" i="34"/>
  <c r="DR959" i="34" a="1"/>
  <c r="DR959" i="34"/>
  <c r="DU959" i="34"/>
  <c r="DX959" i="34" s="1" a="1"/>
  <c r="DX959" i="34" s="1"/>
  <c r="DV959" i="34"/>
  <c r="DY959" i="34" a="1"/>
  <c r="DY959" i="34"/>
  <c r="EA959" i="34"/>
  <c r="ED959" i="34" s="1" a="1"/>
  <c r="ED959" i="34" s="1"/>
  <c r="EB959" i="34"/>
  <c r="BS960" i="34"/>
  <c r="BV960" i="34" s="1" a="1"/>
  <c r="BT960" i="34"/>
  <c r="BV960" i="34"/>
  <c r="BY960" i="34"/>
  <c r="BZ960" i="34"/>
  <c r="CB960" i="34" a="1"/>
  <c r="CB960" i="34"/>
  <c r="CC960" i="34" a="1"/>
  <c r="CC960" i="34" s="1"/>
  <c r="CE960" i="34"/>
  <c r="CF960" i="34"/>
  <c r="CH960" i="34" a="1"/>
  <c r="CH960" i="34"/>
  <c r="CI960" i="34" a="1"/>
  <c r="CI960" i="34" s="1"/>
  <c r="CK960" i="34"/>
  <c r="CL960" i="34"/>
  <c r="CQ960" i="34" a="1"/>
  <c r="CQ960" i="34"/>
  <c r="CU960" i="34" s="1" a="1"/>
  <c r="CU960" i="34" s="1"/>
  <c r="CR960" i="34"/>
  <c r="CT960" i="34" s="1" a="1"/>
  <c r="CT960" i="34" s="1"/>
  <c r="CW960" i="34"/>
  <c r="CX960" i="34"/>
  <c r="CZ960" i="34" s="1" a="1"/>
  <c r="CZ960" i="34" s="1"/>
  <c r="DA960" i="34" a="1"/>
  <c r="DA960" i="34" s="1"/>
  <c r="DC960" i="34"/>
  <c r="DF960" i="34" s="1" a="1"/>
  <c r="DF960" i="34" s="1"/>
  <c r="DD960" i="34"/>
  <c r="DG960" i="34" a="1"/>
  <c r="DG960" i="34"/>
  <c r="DI960" i="34"/>
  <c r="DL960" i="34" s="1" a="1"/>
  <c r="DL960" i="34" s="1"/>
  <c r="DJ960" i="34"/>
  <c r="DO960" i="34"/>
  <c r="DS960" i="34" s="1" a="1"/>
  <c r="DS960" i="34" s="1"/>
  <c r="DP960" i="34"/>
  <c r="DR960" i="34" a="1"/>
  <c r="DR960" i="34" s="1"/>
  <c r="DU960" i="34"/>
  <c r="DV960" i="34"/>
  <c r="DX960" i="34" a="1"/>
  <c r="DX960" i="34"/>
  <c r="DY960" i="34" a="1"/>
  <c r="DY960" i="34" s="1"/>
  <c r="EA960" i="34"/>
  <c r="EB960" i="34"/>
  <c r="ED960" i="34" a="1"/>
  <c r="ED960" i="34"/>
  <c r="EE960" i="34" a="1"/>
  <c r="EE960" i="34" s="1"/>
  <c r="BS961" i="34"/>
  <c r="BT961" i="34"/>
  <c r="BY961" i="34"/>
  <c r="CC961" i="34" s="1" a="1"/>
  <c r="CC961" i="34" s="1"/>
  <c r="BZ961" i="34"/>
  <c r="CB961" i="34" a="1"/>
  <c r="CB961" i="34" s="1"/>
  <c r="CE961" i="34"/>
  <c r="CF961" i="34"/>
  <c r="CH961" i="34" a="1"/>
  <c r="CH961" i="34" s="1"/>
  <c r="CI961" i="34" a="1"/>
  <c r="CI961" i="34" s="1"/>
  <c r="CK961" i="34"/>
  <c r="CN961" i="34" s="1" a="1"/>
  <c r="CN961" i="34" s="1"/>
  <c r="CL961" i="34"/>
  <c r="CO961" i="34" a="1"/>
  <c r="CO961" i="34"/>
  <c r="CQ961" i="34" a="1"/>
  <c r="CQ961" i="34" s="1"/>
  <c r="CR961" i="34"/>
  <c r="CW961" i="34"/>
  <c r="CX961" i="34"/>
  <c r="DC961" i="34"/>
  <c r="DG961" i="34" s="1" a="1"/>
  <c r="DG961" i="34" s="1"/>
  <c r="DD961" i="34"/>
  <c r="DF961" i="34" a="1"/>
  <c r="DF961" i="34"/>
  <c r="DI961" i="34"/>
  <c r="DM961" i="34" s="1" a="1"/>
  <c r="DJ961" i="34"/>
  <c r="DL961" i="34" a="1"/>
  <c r="DL961" i="34" s="1"/>
  <c r="DM961" i="34"/>
  <c r="DO961" i="34"/>
  <c r="DR961" i="34" s="1" a="1"/>
  <c r="DR961" i="34" s="1"/>
  <c r="DP961" i="34"/>
  <c r="DS961" i="34" a="1"/>
  <c r="DS961" i="34"/>
  <c r="DU961" i="34"/>
  <c r="DX961" i="34" s="1" a="1"/>
  <c r="DX961" i="34" s="1"/>
  <c r="DV961" i="34"/>
  <c r="EA961" i="34"/>
  <c r="ED961" i="34" s="1" a="1"/>
  <c r="ED961" i="34" s="1"/>
  <c r="EB961" i="34"/>
  <c r="BS962" i="34"/>
  <c r="BT962" i="34"/>
  <c r="BV962" i="34" a="1"/>
  <c r="BV962" i="34"/>
  <c r="BW962" i="34" a="1"/>
  <c r="BW962" i="34" s="1"/>
  <c r="BY962" i="34"/>
  <c r="BZ962" i="34"/>
  <c r="CB962" i="34" a="1"/>
  <c r="CB962" i="34"/>
  <c r="CC962" i="34" a="1"/>
  <c r="CC962" i="34" s="1"/>
  <c r="CE962" i="34"/>
  <c r="CF962" i="34"/>
  <c r="CK962" i="34"/>
  <c r="CO962" i="34" s="1" a="1"/>
  <c r="CO962" i="34" s="1"/>
  <c r="CL962" i="34"/>
  <c r="CN962" i="34" a="1"/>
  <c r="CN962" i="34" s="1"/>
  <c r="CQ962" i="34" a="1"/>
  <c r="CQ962" i="34"/>
  <c r="CR962" i="34"/>
  <c r="CT962" i="34" s="1" a="1"/>
  <c r="CT962" i="34" s="1"/>
  <c r="CU962" i="34" a="1"/>
  <c r="CU962" i="34" s="1"/>
  <c r="CW962" i="34"/>
  <c r="CZ962" i="34" s="1" a="1"/>
  <c r="CZ962" i="34" s="1"/>
  <c r="CX962" i="34"/>
  <c r="DA962" i="34" a="1"/>
  <c r="DA962" i="34"/>
  <c r="DC962" i="34"/>
  <c r="DF962" i="34" s="1" a="1"/>
  <c r="DF962" i="34" s="1"/>
  <c r="DD962" i="34"/>
  <c r="DI962" i="34"/>
  <c r="DM962" i="34" s="1" a="1"/>
  <c r="DM962" i="34" s="1"/>
  <c r="DJ962" i="34"/>
  <c r="DL962" i="34" a="1"/>
  <c r="DL962" i="34" s="1"/>
  <c r="DO962" i="34"/>
  <c r="DP962" i="34"/>
  <c r="DR962" i="34" a="1"/>
  <c r="DR962" i="34"/>
  <c r="DS962" i="34" a="1"/>
  <c r="DS962" i="34" s="1"/>
  <c r="DU962" i="34"/>
  <c r="DV962" i="34"/>
  <c r="DX962" i="34" a="1"/>
  <c r="DX962" i="34"/>
  <c r="DY962" i="34" a="1"/>
  <c r="DY962" i="34" s="1"/>
  <c r="EA962" i="34"/>
  <c r="EB962" i="34"/>
  <c r="BS963" i="34"/>
  <c r="BW963" i="34" s="1" a="1"/>
  <c r="BW963" i="34" s="1"/>
  <c r="BT963" i="34"/>
  <c r="BV963" i="34" s="1" a="1"/>
  <c r="BV963" i="34" s="1"/>
  <c r="BY963" i="34"/>
  <c r="BZ963" i="34"/>
  <c r="CB963" i="34" a="1"/>
  <c r="CB963" i="34" s="1"/>
  <c r="CC963" i="34" a="1"/>
  <c r="CC963" i="34" s="1"/>
  <c r="CE963" i="34"/>
  <c r="CH963" i="34" s="1" a="1"/>
  <c r="CH963" i="34" s="1"/>
  <c r="CF963" i="34"/>
  <c r="CI963" i="34" a="1"/>
  <c r="CI963" i="34"/>
  <c r="CK963" i="34"/>
  <c r="CN963" i="34" s="1" a="1"/>
  <c r="CN963" i="34" s="1"/>
  <c r="CL963" i="34"/>
  <c r="CQ963" i="34" a="1"/>
  <c r="CQ963" i="34" s="1"/>
  <c r="CR963" i="34"/>
  <c r="CW963" i="34"/>
  <c r="DA963" i="34" s="1" a="1"/>
  <c r="DA963" i="34" s="1"/>
  <c r="CX963" i="34"/>
  <c r="CZ963" i="34" a="1"/>
  <c r="CZ963" i="34" s="1"/>
  <c r="DC963" i="34"/>
  <c r="DG963" i="34" s="1" a="1"/>
  <c r="DD963" i="34"/>
  <c r="DF963" i="34" a="1"/>
  <c r="DF963" i="34"/>
  <c r="DG963" i="34"/>
  <c r="DI963" i="34"/>
  <c r="DL963" i="34" s="1" a="1"/>
  <c r="DL963" i="34" s="1"/>
  <c r="DJ963" i="34"/>
  <c r="DM963" i="34" a="1"/>
  <c r="DM963" i="34"/>
  <c r="DO963" i="34"/>
  <c r="DR963" i="34" s="1" a="1"/>
  <c r="DR963" i="34" s="1"/>
  <c r="DP963" i="34"/>
  <c r="DU963" i="34"/>
  <c r="DX963" i="34" s="1" a="1"/>
  <c r="DX963" i="34" s="1"/>
  <c r="DV963" i="34"/>
  <c r="EA963" i="34"/>
  <c r="EB963" i="34"/>
  <c r="ED963" i="34" a="1"/>
  <c r="ED963" i="34"/>
  <c r="EE963" i="34" a="1"/>
  <c r="EE963" i="34" s="1"/>
  <c r="BS964" i="34"/>
  <c r="BT964" i="34"/>
  <c r="BV964" i="34" a="1"/>
  <c r="BV964" i="34"/>
  <c r="BW964" i="34" a="1"/>
  <c r="BW964" i="34"/>
  <c r="BY964" i="34"/>
  <c r="BZ964" i="34"/>
  <c r="CE964" i="34"/>
  <c r="CI964" i="34" s="1" a="1"/>
  <c r="CI964" i="34" s="1"/>
  <c r="CF964" i="34"/>
  <c r="CH964" i="34" a="1"/>
  <c r="CH964" i="34" s="1"/>
  <c r="CK964" i="34"/>
  <c r="CO964" i="34" s="1" a="1"/>
  <c r="CL964" i="34"/>
  <c r="CN964" i="34" a="1"/>
  <c r="CN964" i="34" s="1"/>
  <c r="CO964" i="34"/>
  <c r="CQ964" i="34" a="1"/>
  <c r="CQ964" i="34" s="1"/>
  <c r="CR964" i="34"/>
  <c r="CW964" i="34"/>
  <c r="CZ964" i="34" s="1" a="1"/>
  <c r="CZ964" i="34" s="1"/>
  <c r="CX964" i="34"/>
  <c r="DC964" i="34"/>
  <c r="DG964" i="34" s="1" a="1"/>
  <c r="DG964" i="34" s="1"/>
  <c r="DD964" i="34"/>
  <c r="DF964" i="34" a="1"/>
  <c r="DF964" i="34" s="1"/>
  <c r="DI964" i="34"/>
  <c r="DJ964" i="34"/>
  <c r="DL964" i="34" a="1"/>
  <c r="DL964" i="34"/>
  <c r="DM964" i="34" a="1"/>
  <c r="DM964" i="34" s="1"/>
  <c r="DO964" i="34"/>
  <c r="DP964" i="34"/>
  <c r="DR964" i="34" a="1"/>
  <c r="DR964" i="34"/>
  <c r="DS964" i="34" a="1"/>
  <c r="DS964" i="34" s="1"/>
  <c r="DU964" i="34"/>
  <c r="DV964" i="34"/>
  <c r="EA964" i="34"/>
  <c r="EE964" i="34" s="1" a="1"/>
  <c r="EE964" i="34" s="1"/>
  <c r="EB964" i="34"/>
  <c r="ED964" i="34" s="1" a="1"/>
  <c r="ED964" i="34" s="1"/>
  <c r="BS965" i="34"/>
  <c r="BT965" i="34"/>
  <c r="BV965" i="34" a="1"/>
  <c r="BV965" i="34" s="1"/>
  <c r="BW965" i="34" a="1"/>
  <c r="BW965" i="34" s="1"/>
  <c r="BY965" i="34"/>
  <c r="CB965" i="34" s="1" a="1"/>
  <c r="CB965" i="34" s="1"/>
  <c r="BZ965" i="34"/>
  <c r="CC965" i="34" a="1"/>
  <c r="CC965" i="34"/>
  <c r="CE965" i="34"/>
  <c r="CH965" i="34" s="1" a="1"/>
  <c r="CH965" i="34" s="1"/>
  <c r="CF965" i="34"/>
  <c r="CK965" i="34"/>
  <c r="CO965" i="34" s="1" a="1"/>
  <c r="CO965" i="34" s="1"/>
  <c r="CL965" i="34"/>
  <c r="CN965" i="34" a="1"/>
  <c r="CN965" i="34" s="1"/>
  <c r="CQ965" i="34" a="1"/>
  <c r="CQ965" i="34"/>
  <c r="CU965" i="34" s="1" a="1"/>
  <c r="CU965" i="34" s="1"/>
  <c r="CR965" i="34"/>
  <c r="CT965" i="34" a="1"/>
  <c r="CT965" i="34" s="1"/>
  <c r="CW965" i="34"/>
  <c r="DA965" i="34" s="1" a="1"/>
  <c r="CX965" i="34"/>
  <c r="CZ965" i="34" a="1"/>
  <c r="CZ965" i="34"/>
  <c r="DA965" i="34"/>
  <c r="DC965" i="34"/>
  <c r="DF965" i="34" s="1" a="1"/>
  <c r="DF965" i="34" s="1"/>
  <c r="DD965" i="34"/>
  <c r="DG965" i="34" a="1"/>
  <c r="DG965" i="34"/>
  <c r="DI965" i="34"/>
  <c r="DL965" i="34" s="1" a="1"/>
  <c r="DL965" i="34" s="1"/>
  <c r="DJ965" i="34"/>
  <c r="DO965" i="34"/>
  <c r="DR965" i="34" s="1" a="1"/>
  <c r="DR965" i="34" s="1"/>
  <c r="DP965" i="34"/>
  <c r="DU965" i="34"/>
  <c r="DV965" i="34"/>
  <c r="DX965" i="34" a="1"/>
  <c r="DX965" i="34"/>
  <c r="DY965" i="34" a="1"/>
  <c r="DY965" i="34" s="1"/>
  <c r="EA965" i="34"/>
  <c r="EB965" i="34"/>
  <c r="ED965" i="34" a="1"/>
  <c r="ED965" i="34"/>
  <c r="EE965" i="34" a="1"/>
  <c r="EE965" i="34" s="1"/>
  <c r="BS966" i="34"/>
  <c r="BT966" i="34"/>
  <c r="BY966" i="34"/>
  <c r="CC966" i="34" s="1" a="1"/>
  <c r="CC966" i="34" s="1"/>
  <c r="BZ966" i="34"/>
  <c r="CB966" i="34" a="1"/>
  <c r="CB966" i="34" s="1"/>
  <c r="CE966" i="34"/>
  <c r="CI966" i="34" s="1" a="1"/>
  <c r="CI966" i="34" s="1"/>
  <c r="CF966" i="34"/>
  <c r="CH966" i="34" a="1"/>
  <c r="CH966" i="34" s="1"/>
  <c r="CK966" i="34"/>
  <c r="CN966" i="34" s="1" a="1"/>
  <c r="CN966" i="34" s="1"/>
  <c r="CL966" i="34"/>
  <c r="CO966" i="34" a="1"/>
  <c r="CO966" i="34"/>
  <c r="CQ966" i="34" a="1"/>
  <c r="CQ966" i="34" s="1"/>
  <c r="CR966" i="34"/>
  <c r="CW966" i="34"/>
  <c r="DA966" i="34" s="1" a="1"/>
  <c r="DA966" i="34" s="1"/>
  <c r="CX966" i="34"/>
  <c r="CZ966" i="34" a="1"/>
  <c r="CZ966" i="34" s="1"/>
  <c r="DC966" i="34"/>
  <c r="DD966" i="34"/>
  <c r="DF966" i="34" a="1"/>
  <c r="DF966" i="34"/>
  <c r="DG966" i="34" a="1"/>
  <c r="DG966" i="34" s="1"/>
  <c r="DI966" i="34"/>
  <c r="DJ966" i="34"/>
  <c r="DL966" i="34" a="1"/>
  <c r="DL966" i="34"/>
  <c r="DM966" i="34" a="1"/>
  <c r="DM966" i="34" s="1"/>
  <c r="DO966" i="34"/>
  <c r="DP966" i="34"/>
  <c r="DU966" i="34"/>
  <c r="DY966" i="34" s="1" a="1"/>
  <c r="DY966" i="34" s="1"/>
  <c r="DV966" i="34"/>
  <c r="DX966" i="34" s="1" a="1"/>
  <c r="DX966" i="34" s="1"/>
  <c r="EA966" i="34"/>
  <c r="EB966" i="34"/>
  <c r="ED966" i="34" s="1" a="1"/>
  <c r="ED966" i="34" s="1"/>
  <c r="EE966" i="34" a="1"/>
  <c r="EE966" i="34" s="1"/>
  <c r="BS967" i="34"/>
  <c r="BV967" i="34" s="1" a="1"/>
  <c r="BV967" i="34" s="1"/>
  <c r="BT967" i="34"/>
  <c r="BW967" i="34" a="1"/>
  <c r="BW967" i="34"/>
  <c r="BY967" i="34"/>
  <c r="CB967" i="34" s="1" a="1"/>
  <c r="CB967" i="34" s="1"/>
  <c r="BZ967" i="34"/>
  <c r="CE967" i="34"/>
  <c r="CI967" i="34" s="1" a="1"/>
  <c r="CI967" i="34" s="1"/>
  <c r="CF967" i="34"/>
  <c r="CH967" i="34" a="1"/>
  <c r="CH967" i="34" s="1"/>
  <c r="CK967" i="34"/>
  <c r="CL967" i="34"/>
  <c r="CN967" i="34" a="1"/>
  <c r="CN967" i="34"/>
  <c r="CO967" i="34" a="1"/>
  <c r="CO967" i="34" s="1"/>
  <c r="CQ967" i="34" a="1"/>
  <c r="CQ967" i="34"/>
  <c r="CU967" i="34" s="1" a="1"/>
  <c r="CU967" i="34" s="1"/>
  <c r="CR967" i="34"/>
  <c r="CT967" i="34" a="1"/>
  <c r="CT967" i="34" s="1"/>
  <c r="CW967" i="34"/>
  <c r="CZ967" i="34" s="1" a="1"/>
  <c r="CZ967" i="34" s="1"/>
  <c r="CX967" i="34"/>
  <c r="DA967" i="34" a="1"/>
  <c r="DA967" i="34"/>
  <c r="DC967" i="34"/>
  <c r="DF967" i="34" s="1" a="1"/>
  <c r="DF967" i="34" s="1"/>
  <c r="DD967" i="34"/>
  <c r="DI967" i="34"/>
  <c r="DL967" i="34" s="1" a="1"/>
  <c r="DL967" i="34" s="1"/>
  <c r="DJ967" i="34"/>
  <c r="DO967" i="34"/>
  <c r="DP967" i="34"/>
  <c r="DR967" i="34" a="1"/>
  <c r="DR967" i="34"/>
  <c r="DS967" i="34" a="1"/>
  <c r="DS967" i="34" s="1"/>
  <c r="DU967" i="34"/>
  <c r="DV967" i="34"/>
  <c r="DX967" i="34" a="1"/>
  <c r="DX967" i="34"/>
  <c r="DY967" i="34" a="1"/>
  <c r="DY967" i="34" s="1"/>
  <c r="EA967" i="34"/>
  <c r="EB967" i="34"/>
  <c r="BS968" i="34"/>
  <c r="BW968" i="34" s="1" a="1"/>
  <c r="BW968" i="34" s="1"/>
  <c r="BT968" i="34"/>
  <c r="BV968" i="34" a="1"/>
  <c r="BV968" i="34" s="1"/>
  <c r="BY968" i="34"/>
  <c r="CC968" i="34" s="1" a="1"/>
  <c r="BZ968" i="34"/>
  <c r="CB968" i="34" a="1"/>
  <c r="CB968" i="34" s="1"/>
  <c r="CC968" i="34"/>
  <c r="CE968" i="34"/>
  <c r="CH968" i="34" s="1" a="1"/>
  <c r="CH968" i="34" s="1"/>
  <c r="CF968" i="34"/>
  <c r="CI968" i="34" a="1"/>
  <c r="CI968" i="34"/>
  <c r="CK968" i="34"/>
  <c r="CN968" i="34" s="1" a="1"/>
  <c r="CN968" i="34" s="1"/>
  <c r="CL968" i="34"/>
  <c r="CQ968" i="34" a="1"/>
  <c r="CQ968" i="34" s="1"/>
  <c r="CU968" i="34" s="1" a="1"/>
  <c r="CU968" i="34" s="1"/>
  <c r="CR968" i="34"/>
  <c r="CT968" i="34" a="1"/>
  <c r="CT968" i="34" s="1"/>
  <c r="CW968" i="34"/>
  <c r="CX968" i="34"/>
  <c r="CZ968" i="34" a="1"/>
  <c r="CZ968" i="34"/>
  <c r="DA968" i="34" a="1"/>
  <c r="DA968" i="34" s="1"/>
  <c r="DC968" i="34"/>
  <c r="DD968" i="34"/>
  <c r="DF968" i="34" a="1"/>
  <c r="DF968" i="34"/>
  <c r="DG968" i="34" a="1"/>
  <c r="DG968" i="34" s="1"/>
  <c r="DI968" i="34"/>
  <c r="DJ968" i="34"/>
  <c r="DO968" i="34"/>
  <c r="DS968" i="34" s="1" a="1"/>
  <c r="DS968" i="34" s="1"/>
  <c r="DP968" i="34"/>
  <c r="DR968" i="34" s="1" a="1"/>
  <c r="DR968" i="34" s="1"/>
  <c r="DU968" i="34"/>
  <c r="DV968" i="34"/>
  <c r="DX968" i="34" s="1" a="1"/>
  <c r="DX968" i="34" s="1"/>
  <c r="DY968" i="34" a="1"/>
  <c r="DY968" i="34" s="1"/>
  <c r="EA968" i="34"/>
  <c r="ED968" i="34" s="1" a="1"/>
  <c r="ED968" i="34" s="1"/>
  <c r="EB968" i="34"/>
  <c r="EE968" i="34" a="1"/>
  <c r="EE968" i="34"/>
  <c r="BS969" i="34"/>
  <c r="BV969" i="34" s="1" a="1"/>
  <c r="BV969" i="34" s="1"/>
  <c r="BT969" i="34"/>
  <c r="BY969" i="34"/>
  <c r="CC969" i="34" s="1" a="1"/>
  <c r="CC969" i="34" s="1"/>
  <c r="BZ969" i="34"/>
  <c r="CB969" i="34" a="1"/>
  <c r="CB969" i="34" s="1"/>
  <c r="CE969" i="34"/>
  <c r="CF969" i="34"/>
  <c r="CH969" i="34" a="1"/>
  <c r="CH969" i="34"/>
  <c r="CI969" i="34" a="1"/>
  <c r="CI969" i="34" s="1"/>
  <c r="CK969" i="34"/>
  <c r="CL969" i="34"/>
  <c r="CN969" i="34" a="1"/>
  <c r="CN969" i="34"/>
  <c r="CO969" i="34" a="1"/>
  <c r="CO969" i="34" s="1"/>
  <c r="CQ969" i="34" a="1"/>
  <c r="CQ969" i="34" s="1"/>
  <c r="CR969" i="34"/>
  <c r="CW969" i="34"/>
  <c r="CZ969" i="34" s="1" a="1"/>
  <c r="CZ969" i="34" s="1"/>
  <c r="CX969" i="34"/>
  <c r="DC969" i="34"/>
  <c r="DF969" i="34" s="1" a="1"/>
  <c r="DF969" i="34" s="1"/>
  <c r="DD969" i="34"/>
  <c r="DI969" i="34"/>
  <c r="DJ969" i="34"/>
  <c r="DL969" i="34" a="1"/>
  <c r="DL969" i="34"/>
  <c r="DM969" i="34" a="1"/>
  <c r="DM969" i="34"/>
  <c r="DO969" i="34"/>
  <c r="DP969" i="34"/>
  <c r="DR969" i="34" a="1"/>
  <c r="DR969" i="34"/>
  <c r="DS969" i="34" a="1"/>
  <c r="DS969" i="34" s="1"/>
  <c r="DU969" i="34"/>
  <c r="DV969" i="34"/>
  <c r="EA969" i="34"/>
  <c r="EE969" i="34" s="1" a="1"/>
  <c r="EE969" i="34" s="1"/>
  <c r="EB969" i="34"/>
  <c r="ED969" i="34" a="1"/>
  <c r="ED969" i="34" s="1"/>
  <c r="BS970" i="34"/>
  <c r="BW970" i="34" s="1" a="1"/>
  <c r="BT970" i="34"/>
  <c r="BV970" i="34" a="1"/>
  <c r="BV970" i="34" s="1"/>
  <c r="BW970" i="34"/>
  <c r="BY970" i="34"/>
  <c r="CB970" i="34" s="1" a="1"/>
  <c r="CB970" i="34" s="1"/>
  <c r="BZ970" i="34"/>
  <c r="CC970" i="34" a="1"/>
  <c r="CC970" i="34"/>
  <c r="CE970" i="34"/>
  <c r="CH970" i="34" s="1" a="1"/>
  <c r="CH970" i="34" s="1"/>
  <c r="CF970" i="34"/>
  <c r="CK970" i="34"/>
  <c r="CN970" i="34" s="1" a="1"/>
  <c r="CL970" i="34"/>
  <c r="CN970" i="34"/>
  <c r="CQ970" i="34" a="1"/>
  <c r="CQ970" i="34" s="1"/>
  <c r="CR970" i="34"/>
  <c r="CW970" i="34"/>
  <c r="CX970" i="34"/>
  <c r="CZ970" i="34" a="1"/>
  <c r="CZ970" i="34"/>
  <c r="DA970" i="34" a="1"/>
  <c r="DA970" i="34" s="1"/>
  <c r="DC970" i="34"/>
  <c r="DD970" i="34"/>
  <c r="DI970" i="34"/>
  <c r="DM970" i="34" s="1" a="1"/>
  <c r="DM970" i="34" s="1"/>
  <c r="DJ970" i="34"/>
  <c r="DL970" i="34" a="1"/>
  <c r="DL970" i="34" s="1"/>
  <c r="DO970" i="34"/>
  <c r="DP970" i="34"/>
  <c r="DR970" i="34" s="1" a="1"/>
  <c r="DR970" i="34" s="1"/>
  <c r="DS970" i="34" a="1"/>
  <c r="DS970" i="34" s="1"/>
  <c r="DU970" i="34"/>
  <c r="DX970" i="34" s="1" a="1"/>
  <c r="DX970" i="34" s="1"/>
  <c r="DV970" i="34"/>
  <c r="DY970" i="34" a="1"/>
  <c r="DY970" i="34"/>
  <c r="EA970" i="34"/>
  <c r="ED970" i="34" s="1" a="1"/>
  <c r="ED970" i="34" s="1"/>
  <c r="EB970" i="34"/>
  <c r="BS971" i="34"/>
  <c r="BW971" i="34" s="1" a="1"/>
  <c r="BW971" i="34" s="1"/>
  <c r="BT971" i="34"/>
  <c r="BV971" i="34" a="1"/>
  <c r="BV971" i="34" s="1"/>
  <c r="BY971" i="34"/>
  <c r="BZ971" i="34"/>
  <c r="CB971" i="34" a="1"/>
  <c r="CB971" i="34"/>
  <c r="CC971" i="34" a="1"/>
  <c r="CC971" i="34" s="1"/>
  <c r="CE971" i="34"/>
  <c r="CF971" i="34"/>
  <c r="CH971" i="34" a="1"/>
  <c r="CH971" i="34"/>
  <c r="CI971" i="34" a="1"/>
  <c r="CI971" i="34" s="1"/>
  <c r="CK971" i="34"/>
  <c r="CL971" i="34"/>
  <c r="CQ971" i="34" a="1"/>
  <c r="CQ971" i="34"/>
  <c r="CT971" i="34" s="1" a="1"/>
  <c r="CT971" i="34" s="1"/>
  <c r="CR971" i="34"/>
  <c r="CW971" i="34"/>
  <c r="CZ971" i="34" s="1" a="1"/>
  <c r="CX971" i="34"/>
  <c r="CZ971" i="34"/>
  <c r="DC971" i="34"/>
  <c r="DD971" i="34"/>
  <c r="DF971" i="34" a="1"/>
  <c r="DF971" i="34"/>
  <c r="DG971" i="34" a="1"/>
  <c r="DG971" i="34"/>
  <c r="DI971" i="34"/>
  <c r="DJ971" i="34"/>
  <c r="DL971" i="34" a="1"/>
  <c r="DL971" i="34"/>
  <c r="DM971" i="34" a="1"/>
  <c r="DM971" i="34"/>
  <c r="DO971" i="34"/>
  <c r="DP971" i="34"/>
  <c r="DU971" i="34"/>
  <c r="DY971" i="34" s="1" a="1"/>
  <c r="DY971" i="34" s="1"/>
  <c r="DV971" i="34"/>
  <c r="DX971" i="34" a="1"/>
  <c r="DX971" i="34"/>
  <c r="EA971" i="34"/>
  <c r="EE971" i="34" s="1" a="1"/>
  <c r="EE971" i="34" s="1"/>
  <c r="EB971" i="34"/>
  <c r="ED971" i="34" a="1"/>
  <c r="ED971" i="34" s="1"/>
  <c r="BS972" i="34"/>
  <c r="BV972" i="34" s="1" a="1"/>
  <c r="BV972" i="34" s="1"/>
  <c r="BT972" i="34"/>
  <c r="BW972" i="34" a="1"/>
  <c r="BW972" i="34"/>
  <c r="BY972" i="34"/>
  <c r="CB972" i="34" s="1" a="1"/>
  <c r="CB972" i="34" s="1"/>
  <c r="BZ972" i="34"/>
  <c r="CE972" i="34"/>
  <c r="CH972" i="34" s="1" a="1"/>
  <c r="CF972" i="34"/>
  <c r="CH972" i="34"/>
  <c r="CK972" i="34"/>
  <c r="CL972" i="34"/>
  <c r="CN972" i="34" a="1"/>
  <c r="CN972" i="34"/>
  <c r="CO972" i="34" a="1"/>
  <c r="CO972" i="34" s="1"/>
  <c r="CQ972" i="34" a="1"/>
  <c r="CQ972" i="34" s="1"/>
  <c r="CR972" i="34"/>
  <c r="CW972" i="34"/>
  <c r="CX972" i="34"/>
  <c r="DC972" i="34"/>
  <c r="DG972" i="34" s="1" a="1"/>
  <c r="DG972" i="34" s="1"/>
  <c r="DD972" i="34"/>
  <c r="DF972" i="34" s="1" a="1"/>
  <c r="DF972" i="34" s="1"/>
  <c r="DI972" i="34"/>
  <c r="DJ972" i="34"/>
  <c r="DL972" i="34" a="1"/>
  <c r="DL972" i="34" s="1"/>
  <c r="DM972" i="34" a="1"/>
  <c r="DM972" i="34" s="1"/>
  <c r="DO972" i="34"/>
  <c r="DR972" i="34" s="1" a="1"/>
  <c r="DR972" i="34" s="1"/>
  <c r="DP972" i="34"/>
  <c r="DS972" i="34" a="1"/>
  <c r="DS972" i="34"/>
  <c r="DU972" i="34"/>
  <c r="DX972" i="34" s="1" a="1"/>
  <c r="DX972" i="34" s="1"/>
  <c r="DV972" i="34"/>
  <c r="EA972" i="34"/>
  <c r="EE972" i="34" s="1" a="1"/>
  <c r="EE972" i="34" s="1"/>
  <c r="EB972" i="34"/>
  <c r="ED972" i="34" a="1"/>
  <c r="ED972" i="34" s="1"/>
  <c r="BS973" i="34"/>
  <c r="BT973" i="34"/>
  <c r="BV973" i="34" a="1"/>
  <c r="BV973" i="34"/>
  <c r="BW973" i="34" a="1"/>
  <c r="BW973" i="34" s="1"/>
  <c r="BY973" i="34"/>
  <c r="BZ973" i="34"/>
  <c r="CB973" i="34" a="1"/>
  <c r="CB973" i="34"/>
  <c r="CC973" i="34" a="1"/>
  <c r="CC973" i="34" s="1"/>
  <c r="CE973" i="34"/>
  <c r="CF973" i="34"/>
  <c r="CK973" i="34"/>
  <c r="CO973" i="34" s="1" a="1"/>
  <c r="CO973" i="34" s="1"/>
  <c r="CL973" i="34"/>
  <c r="CN973" i="34" a="1"/>
  <c r="CN973" i="34" s="1"/>
  <c r="CQ973" i="34" a="1"/>
  <c r="CQ973" i="34"/>
  <c r="CT973" i="34" s="1" a="1"/>
  <c r="CT973" i="34" s="1"/>
  <c r="CR973" i="34"/>
  <c r="CW973" i="34"/>
  <c r="CX973" i="34"/>
  <c r="CZ973" i="34" a="1"/>
  <c r="CZ973" i="34"/>
  <c r="DA973" i="34" a="1"/>
  <c r="DA973" i="34"/>
  <c r="DC973" i="34"/>
  <c r="DD973" i="34"/>
  <c r="DF973" i="34" a="1"/>
  <c r="DF973" i="34"/>
  <c r="DG973" i="34" a="1"/>
  <c r="DG973" i="34"/>
  <c r="DI973" i="34"/>
  <c r="DJ973" i="34"/>
  <c r="DL973" i="34" s="1" a="1"/>
  <c r="DL973" i="34" s="1"/>
  <c r="DO973" i="34"/>
  <c r="DS973" i="34" s="1" a="1"/>
  <c r="DS973" i="34" s="1"/>
  <c r="DP973" i="34"/>
  <c r="DR973" i="34" a="1"/>
  <c r="DR973" i="34"/>
  <c r="DU973" i="34"/>
  <c r="DY973" i="34" s="1" a="1"/>
  <c r="DV973" i="34"/>
  <c r="DX973" i="34" a="1"/>
  <c r="DX973" i="34"/>
  <c r="DY973" i="34"/>
  <c r="EA973" i="34"/>
  <c r="ED973" i="34" s="1" a="1"/>
  <c r="ED973" i="34" s="1"/>
  <c r="EB973" i="34"/>
  <c r="EE973" i="34" a="1"/>
  <c r="EE973" i="34"/>
  <c r="BS974" i="34"/>
  <c r="BV974" i="34" s="1" a="1"/>
  <c r="BV974" i="34" s="1"/>
  <c r="BT974" i="34"/>
  <c r="BY974" i="34"/>
  <c r="CB974" i="34" s="1" a="1"/>
  <c r="CB974" i="34" s="1"/>
  <c r="BZ974" i="34"/>
  <c r="CE974" i="34"/>
  <c r="CF974" i="34"/>
  <c r="CH974" i="34" a="1"/>
  <c r="CH974" i="34"/>
  <c r="CI974" i="34" a="1"/>
  <c r="CI974" i="34" s="1"/>
  <c r="CK974" i="34"/>
  <c r="CL974" i="34"/>
  <c r="CN974" i="34" a="1"/>
  <c r="CN974" i="34"/>
  <c r="CO974" i="34" a="1"/>
  <c r="CO974" i="34" s="1"/>
  <c r="CQ974" i="34" a="1"/>
  <c r="CQ974" i="34"/>
  <c r="CR974" i="34"/>
  <c r="CW974" i="34"/>
  <c r="DA974" i="34" s="1" a="1"/>
  <c r="DA974" i="34" s="1"/>
  <c r="CX974" i="34"/>
  <c r="CZ974" i="34" s="1" a="1"/>
  <c r="CZ974" i="34" s="1"/>
  <c r="DC974" i="34"/>
  <c r="DD974" i="34"/>
  <c r="DF974" i="34" s="1" a="1"/>
  <c r="DF974" i="34" s="1"/>
  <c r="DG974" i="34" a="1"/>
  <c r="DG974" i="34" s="1"/>
  <c r="DI974" i="34"/>
  <c r="DL974" i="34" s="1" a="1"/>
  <c r="DL974" i="34" s="1"/>
  <c r="DJ974" i="34"/>
  <c r="DM974" i="34" a="1"/>
  <c r="DM974" i="34"/>
  <c r="DO974" i="34"/>
  <c r="DR974" i="34" s="1" a="1"/>
  <c r="DR974" i="34" s="1"/>
  <c r="DP974" i="34"/>
  <c r="DU974" i="34"/>
  <c r="DY974" i="34" s="1" a="1"/>
  <c r="DY974" i="34" s="1"/>
  <c r="DV974" i="34"/>
  <c r="DX974" i="34" a="1"/>
  <c r="DX974" i="34" s="1"/>
  <c r="EA974" i="34"/>
  <c r="EB974" i="34"/>
  <c r="ED974" i="34" a="1"/>
  <c r="ED974" i="34"/>
  <c r="EE974" i="34" a="1"/>
  <c r="EE974" i="34" s="1"/>
  <c r="BS975" i="34"/>
  <c r="BT975" i="34"/>
  <c r="BV975" i="34" a="1"/>
  <c r="BV975" i="34"/>
  <c r="BW975" i="34" a="1"/>
  <c r="BW975" i="34" s="1"/>
  <c r="BY975" i="34"/>
  <c r="BZ975" i="34"/>
  <c r="CE975" i="34"/>
  <c r="CI975" i="34" s="1" a="1"/>
  <c r="CI975" i="34" s="1"/>
  <c r="CF975" i="34"/>
  <c r="CH975" i="34" a="1"/>
  <c r="CH975" i="34" s="1"/>
  <c r="CK975" i="34"/>
  <c r="CL975" i="34"/>
  <c r="CN975" i="34" a="1"/>
  <c r="CN975" i="34" s="1"/>
  <c r="CO975" i="34" a="1"/>
  <c r="CO975" i="34" s="1"/>
  <c r="CQ975" i="34" a="1"/>
  <c r="CQ975" i="34" s="1"/>
  <c r="CR975" i="34"/>
  <c r="CW975" i="34"/>
  <c r="CX975" i="34"/>
  <c r="CZ975" i="34" a="1"/>
  <c r="CZ975" i="34"/>
  <c r="DA975" i="34" a="1"/>
  <c r="DA975" i="34"/>
  <c r="DC975" i="34"/>
  <c r="DG975" i="34" s="1" a="1"/>
  <c r="DG975" i="34" s="1"/>
  <c r="DD975" i="34"/>
  <c r="DF975" i="34" s="1" a="1"/>
  <c r="DF975" i="34" s="1"/>
  <c r="DI975" i="34"/>
  <c r="DM975" i="34" s="1" a="1"/>
  <c r="DM975" i="34" s="1"/>
  <c r="DJ975" i="34"/>
  <c r="DL975" i="34" a="1"/>
  <c r="DL975" i="34" s="1"/>
  <c r="DO975" i="34"/>
  <c r="DS975" i="34" s="1" a="1"/>
  <c r="DS975" i="34" s="1"/>
  <c r="DP975" i="34"/>
  <c r="DR975" i="34" a="1"/>
  <c r="DR975" i="34"/>
  <c r="DU975" i="34"/>
  <c r="DX975" i="34" s="1" a="1"/>
  <c r="DX975" i="34" s="1"/>
  <c r="DV975" i="34"/>
  <c r="DY975" i="34" a="1"/>
  <c r="DY975" i="34"/>
  <c r="EA975" i="34"/>
  <c r="ED975" i="34" s="1" a="1"/>
  <c r="ED975" i="34" s="1"/>
  <c r="EB975" i="34"/>
  <c r="BS976" i="34"/>
  <c r="BV976" i="34" s="1" a="1"/>
  <c r="BT976" i="34"/>
  <c r="BV976" i="34"/>
  <c r="BY976" i="34"/>
  <c r="BZ976" i="34"/>
  <c r="CB976" i="34" a="1"/>
  <c r="CB976" i="34" s="1"/>
  <c r="CC976" i="34" a="1"/>
  <c r="CC976" i="34" s="1"/>
  <c r="CE976" i="34"/>
  <c r="CF976" i="34"/>
  <c r="CH976" i="34" a="1"/>
  <c r="CH976" i="34"/>
  <c r="CI976" i="34" a="1"/>
  <c r="CI976" i="34" s="1"/>
  <c r="CK976" i="34"/>
  <c r="CL976" i="34"/>
  <c r="CQ976" i="34" a="1"/>
  <c r="CQ976" i="34" s="1"/>
  <c r="CR976" i="34"/>
  <c r="CW976" i="34"/>
  <c r="CX976" i="34"/>
  <c r="CZ976" i="34" s="1" a="1"/>
  <c r="CZ976" i="34" s="1"/>
  <c r="DA976" i="34" a="1"/>
  <c r="DA976" i="34" s="1"/>
  <c r="DC976" i="34"/>
  <c r="DF976" i="34" s="1" a="1"/>
  <c r="DF976" i="34" s="1"/>
  <c r="DD976" i="34"/>
  <c r="DG976" i="34" a="1"/>
  <c r="DG976" i="34"/>
  <c r="DI976" i="34"/>
  <c r="DL976" i="34" s="1" a="1"/>
  <c r="DL976" i="34" s="1"/>
  <c r="DJ976" i="34"/>
  <c r="DO976" i="34"/>
  <c r="DS976" i="34" s="1" a="1"/>
  <c r="DS976" i="34" s="1"/>
  <c r="DP976" i="34"/>
  <c r="DR976" i="34" a="1"/>
  <c r="DR976" i="34" s="1"/>
  <c r="DU976" i="34"/>
  <c r="DV976" i="34"/>
  <c r="DX976" i="34" a="1"/>
  <c r="DX976" i="34"/>
  <c r="DY976" i="34" a="1"/>
  <c r="DY976" i="34" s="1"/>
  <c r="EA976" i="34"/>
  <c r="EB976" i="34"/>
  <c r="ED976" i="34" a="1"/>
  <c r="ED976" i="34"/>
  <c r="EE976" i="34" a="1"/>
  <c r="EE976" i="34" s="1"/>
  <c r="BS977" i="34"/>
  <c r="BT977" i="34"/>
  <c r="BY977" i="34"/>
  <c r="CC977" i="34" s="1" a="1"/>
  <c r="CC977" i="34" s="1"/>
  <c r="BZ977" i="34"/>
  <c r="CB977" i="34" a="1"/>
  <c r="CB977" i="34" s="1"/>
  <c r="CE977" i="34"/>
  <c r="CF977" i="34"/>
  <c r="CH977" i="34" a="1"/>
  <c r="CH977" i="34" s="1"/>
  <c r="CI977" i="34" a="1"/>
  <c r="CI977" i="34" s="1"/>
  <c r="CK977" i="34"/>
  <c r="CN977" i="34" s="1" a="1"/>
  <c r="CN977" i="34" s="1"/>
  <c r="CL977" i="34"/>
  <c r="CO977" i="34" a="1"/>
  <c r="CO977" i="34"/>
  <c r="CQ977" i="34" a="1"/>
  <c r="CQ977" i="34" s="1"/>
  <c r="CR977" i="34"/>
  <c r="CW977" i="34"/>
  <c r="CX977" i="34"/>
  <c r="DC977" i="34"/>
  <c r="DG977" i="34" s="1" a="1"/>
  <c r="DG977" i="34" s="1"/>
  <c r="DD977" i="34"/>
  <c r="DF977" i="34" a="1"/>
  <c r="DF977" i="34"/>
  <c r="DI977" i="34"/>
  <c r="DM977" i="34" s="1" a="1"/>
  <c r="DJ977" i="34"/>
  <c r="DL977" i="34" a="1"/>
  <c r="DL977" i="34" s="1"/>
  <c r="DM977" i="34"/>
  <c r="DO977" i="34"/>
  <c r="DR977" i="34" s="1" a="1"/>
  <c r="DR977" i="34" s="1"/>
  <c r="DP977" i="34"/>
  <c r="DS977" i="34" a="1"/>
  <c r="DS977" i="34"/>
  <c r="DU977" i="34"/>
  <c r="DX977" i="34" s="1" a="1"/>
  <c r="DX977" i="34" s="1"/>
  <c r="DV977" i="34"/>
  <c r="EA977" i="34"/>
  <c r="ED977" i="34" s="1" a="1"/>
  <c r="EB977" i="34"/>
  <c r="ED977" i="34"/>
  <c r="BS978" i="34"/>
  <c r="BT978" i="34"/>
  <c r="BV978" i="34" a="1"/>
  <c r="BV978" i="34" s="1"/>
  <c r="BW978" i="34" a="1"/>
  <c r="BW978" i="34" s="1"/>
  <c r="BY978" i="34"/>
  <c r="BZ978" i="34"/>
  <c r="CB978" i="34" a="1"/>
  <c r="CB978" i="34"/>
  <c r="CC978" i="34" a="1"/>
  <c r="CC978" i="34" s="1"/>
  <c r="CE978" i="34"/>
  <c r="CF978" i="34"/>
  <c r="CK978" i="34"/>
  <c r="CO978" i="34" s="1" a="1"/>
  <c r="CO978" i="34" s="1"/>
  <c r="CL978" i="34"/>
  <c r="CN978" i="34" a="1"/>
  <c r="CN978" i="34" s="1"/>
  <c r="CQ978" i="34" a="1"/>
  <c r="CQ978" i="34"/>
  <c r="CR978" i="34"/>
  <c r="CT978" i="34" s="1" a="1"/>
  <c r="CT978" i="34" s="1"/>
  <c r="CU978" i="34" a="1"/>
  <c r="CU978" i="34" s="1"/>
  <c r="CW978" i="34"/>
  <c r="CZ978" i="34" s="1" a="1"/>
  <c r="CZ978" i="34" s="1"/>
  <c r="CX978" i="34"/>
  <c r="DA978" i="34" a="1"/>
  <c r="DA978" i="34"/>
  <c r="DC978" i="34"/>
  <c r="DF978" i="34" s="1" a="1"/>
  <c r="DF978" i="34" s="1"/>
  <c r="DD978" i="34"/>
  <c r="DI978" i="34"/>
  <c r="DM978" i="34" s="1" a="1"/>
  <c r="DM978" i="34" s="1"/>
  <c r="DJ978" i="34"/>
  <c r="DL978" i="34" a="1"/>
  <c r="DL978" i="34" s="1"/>
  <c r="DO978" i="34"/>
  <c r="DP978" i="34"/>
  <c r="DR978" i="34" a="1"/>
  <c r="DR978" i="34"/>
  <c r="DS978" i="34" a="1"/>
  <c r="DS978" i="34" s="1"/>
  <c r="DU978" i="34"/>
  <c r="DV978" i="34"/>
  <c r="DX978" i="34" a="1"/>
  <c r="DX978" i="34"/>
  <c r="DY978" i="34" a="1"/>
  <c r="DY978" i="34" s="1"/>
  <c r="EA978" i="34"/>
  <c r="EB978" i="34"/>
  <c r="BS979" i="34"/>
  <c r="BW979" i="34" s="1" a="1"/>
  <c r="BW979" i="34" s="1"/>
  <c r="BT979" i="34"/>
  <c r="BV979" i="34" s="1" a="1"/>
  <c r="BV979" i="34" s="1"/>
  <c r="BY979" i="34"/>
  <c r="BZ979" i="34"/>
  <c r="CB979" i="34" a="1"/>
  <c r="CB979" i="34" s="1"/>
  <c r="CC979" i="34" a="1"/>
  <c r="CC979" i="34" s="1"/>
  <c r="CE979" i="34"/>
  <c r="CH979" i="34" s="1" a="1"/>
  <c r="CH979" i="34" s="1"/>
  <c r="CF979" i="34"/>
  <c r="CI979" i="34" a="1"/>
  <c r="CI979" i="34"/>
  <c r="CK979" i="34"/>
  <c r="CN979" i="34" s="1" a="1"/>
  <c r="CN979" i="34" s="1"/>
  <c r="CL979" i="34"/>
  <c r="CQ979" i="34" a="1"/>
  <c r="CQ979" i="34" s="1"/>
  <c r="CR979" i="34"/>
  <c r="CW979" i="34"/>
  <c r="DA979" i="34" s="1" a="1"/>
  <c r="DA979" i="34" s="1"/>
  <c r="CX979" i="34"/>
  <c r="CZ979" i="34" a="1"/>
  <c r="CZ979" i="34" s="1"/>
  <c r="DC979" i="34"/>
  <c r="DG979" i="34" s="1" a="1"/>
  <c r="DG979" i="34" s="1"/>
  <c r="DD979" i="34"/>
  <c r="DF979" i="34" a="1"/>
  <c r="DF979" i="34"/>
  <c r="DI979" i="34"/>
  <c r="DL979" i="34" s="1" a="1"/>
  <c r="DL979" i="34" s="1"/>
  <c r="DJ979" i="34"/>
  <c r="DM979" i="34" a="1"/>
  <c r="DM979" i="34"/>
  <c r="DO979" i="34"/>
  <c r="DR979" i="34" s="1" a="1"/>
  <c r="DR979" i="34" s="1"/>
  <c r="DP979" i="34"/>
  <c r="DU979" i="34"/>
  <c r="DX979" i="34" s="1" a="1"/>
  <c r="DV979" i="34"/>
  <c r="DX979" i="34"/>
  <c r="EA979" i="34"/>
  <c r="EB979" i="34"/>
  <c r="ED979" i="34" a="1"/>
  <c r="ED979" i="34"/>
  <c r="EE979" i="34" a="1"/>
  <c r="EE979" i="34" s="1"/>
  <c r="BS980" i="34"/>
  <c r="BT980" i="34"/>
  <c r="BV980" i="34" a="1"/>
  <c r="BV980" i="34"/>
  <c r="BW980" i="34" a="1"/>
  <c r="BW980" i="34" s="1"/>
  <c r="BY980" i="34"/>
  <c r="BZ980" i="34"/>
  <c r="CE980" i="34"/>
  <c r="CI980" i="34" s="1" a="1"/>
  <c r="CI980" i="34" s="1"/>
  <c r="CF980" i="34"/>
  <c r="CH980" i="34" a="1"/>
  <c r="CH980" i="34" s="1"/>
  <c r="CK980" i="34"/>
  <c r="CO980" i="34" s="1" a="1"/>
  <c r="CL980" i="34"/>
  <c r="CN980" i="34" a="1"/>
  <c r="CN980" i="34" s="1"/>
  <c r="CO980" i="34"/>
  <c r="CQ980" i="34" a="1"/>
  <c r="CQ980" i="34" s="1"/>
  <c r="CR980" i="34"/>
  <c r="CW980" i="34"/>
  <c r="CZ980" i="34" s="1" a="1"/>
  <c r="CZ980" i="34" s="1"/>
  <c r="CX980" i="34"/>
  <c r="DC980" i="34"/>
  <c r="DG980" i="34" s="1" a="1"/>
  <c r="DG980" i="34" s="1"/>
  <c r="DD980" i="34"/>
  <c r="DF980" i="34" a="1"/>
  <c r="DF980" i="34" s="1"/>
  <c r="DI980" i="34"/>
  <c r="DJ980" i="34"/>
  <c r="DL980" i="34" a="1"/>
  <c r="DL980" i="34"/>
  <c r="DM980" i="34" a="1"/>
  <c r="DM980" i="34" s="1"/>
  <c r="DO980" i="34"/>
  <c r="DP980" i="34"/>
  <c r="DR980" i="34" a="1"/>
  <c r="DR980" i="34"/>
  <c r="DS980" i="34" a="1"/>
  <c r="DS980" i="34" s="1"/>
  <c r="DU980" i="34"/>
  <c r="DV980" i="34"/>
  <c r="EA980" i="34"/>
  <c r="EE980" i="34" s="1" a="1"/>
  <c r="EE980" i="34" s="1"/>
  <c r="EB980" i="34"/>
  <c r="ED980" i="34" s="1" a="1"/>
  <c r="ED980" i="34" s="1"/>
  <c r="BS981" i="34"/>
  <c r="BT981" i="34"/>
  <c r="BV981" i="34" s="1" a="1"/>
  <c r="BV981" i="34" s="1"/>
  <c r="BW981" i="34" a="1"/>
  <c r="BW981" i="34" s="1"/>
  <c r="BY981" i="34"/>
  <c r="CB981" i="34" s="1" a="1"/>
  <c r="CB981" i="34" s="1"/>
  <c r="BZ981" i="34"/>
  <c r="CC981" i="34" a="1"/>
  <c r="CC981" i="34"/>
  <c r="CE981" i="34"/>
  <c r="CH981" i="34" s="1" a="1"/>
  <c r="CH981" i="34" s="1"/>
  <c r="CF981" i="34"/>
  <c r="CK981" i="34"/>
  <c r="CO981" i="34" s="1" a="1"/>
  <c r="CO981" i="34" s="1"/>
  <c r="CL981" i="34"/>
  <c r="CN981" i="34" a="1"/>
  <c r="CN981" i="34" s="1"/>
  <c r="CQ981" i="34" a="1"/>
  <c r="CQ981" i="34"/>
  <c r="CU981" i="34" s="1" a="1"/>
  <c r="CU981" i="34" s="1"/>
  <c r="CR981" i="34"/>
  <c r="CT981" i="34" a="1"/>
  <c r="CT981" i="34" s="1"/>
  <c r="CW981" i="34"/>
  <c r="DA981" i="34" s="1" a="1"/>
  <c r="CX981" i="34"/>
  <c r="CZ981" i="34" a="1"/>
  <c r="CZ981" i="34" s="1"/>
  <c r="DA981" i="34"/>
  <c r="DC981" i="34"/>
  <c r="DF981" i="34" s="1" a="1"/>
  <c r="DF981" i="34" s="1"/>
  <c r="DD981" i="34"/>
  <c r="DG981" i="34" a="1"/>
  <c r="DG981" i="34"/>
  <c r="DI981" i="34"/>
  <c r="DL981" i="34" s="1" a="1"/>
  <c r="DL981" i="34" s="1"/>
  <c r="DJ981" i="34"/>
  <c r="DO981" i="34"/>
  <c r="DR981" i="34" s="1" a="1"/>
  <c r="DP981" i="34"/>
  <c r="DR981" i="34"/>
  <c r="DU981" i="34"/>
  <c r="DV981" i="34"/>
  <c r="DX981" i="34" a="1"/>
  <c r="DX981" i="34"/>
  <c r="DY981" i="34" a="1"/>
  <c r="DY981" i="34" s="1"/>
  <c r="EA981" i="34"/>
  <c r="EB981" i="34"/>
  <c r="ED981" i="34" a="1"/>
  <c r="ED981" i="34"/>
  <c r="EE981" i="34" a="1"/>
  <c r="EE981" i="34" s="1"/>
  <c r="BS982" i="34"/>
  <c r="BT982" i="34"/>
  <c r="BY982" i="34"/>
  <c r="CC982" i="34" s="1" a="1"/>
  <c r="CC982" i="34" s="1"/>
  <c r="BZ982" i="34"/>
  <c r="CB982" i="34" a="1"/>
  <c r="CB982" i="34" s="1"/>
  <c r="CE982" i="34"/>
  <c r="CI982" i="34" s="1" a="1"/>
  <c r="CI982" i="34" s="1"/>
  <c r="CF982" i="34"/>
  <c r="CH982" i="34" a="1"/>
  <c r="CH982" i="34" s="1"/>
  <c r="CK982" i="34"/>
  <c r="CN982" i="34" s="1" a="1"/>
  <c r="CN982" i="34" s="1"/>
  <c r="CL982" i="34"/>
  <c r="CO982" i="34" a="1"/>
  <c r="CO982" i="34"/>
  <c r="CQ982" i="34" a="1"/>
  <c r="CQ982" i="34" s="1"/>
  <c r="CR982" i="34"/>
  <c r="CW982" i="34"/>
  <c r="DA982" i="34" s="1" a="1"/>
  <c r="DA982" i="34" s="1"/>
  <c r="CX982" i="34"/>
  <c r="CZ982" i="34" a="1"/>
  <c r="CZ982" i="34" s="1"/>
  <c r="DC982" i="34"/>
  <c r="DD982" i="34"/>
  <c r="DF982" i="34" a="1"/>
  <c r="DF982" i="34"/>
  <c r="DG982" i="34" a="1"/>
  <c r="DG982" i="34" s="1"/>
  <c r="DI982" i="34"/>
  <c r="DJ982" i="34"/>
  <c r="DL982" i="34" a="1"/>
  <c r="DL982" i="34"/>
  <c r="DM982" i="34" a="1"/>
  <c r="DM982" i="34" s="1"/>
  <c r="DO982" i="34"/>
  <c r="DP982" i="34"/>
  <c r="DU982" i="34"/>
  <c r="DY982" i="34" s="1" a="1"/>
  <c r="DY982" i="34" s="1"/>
  <c r="DV982" i="34"/>
  <c r="DX982" i="34" s="1" a="1"/>
  <c r="DX982" i="34" s="1"/>
  <c r="EA982" i="34"/>
  <c r="EB982" i="34"/>
  <c r="ED982" i="34" s="1" a="1"/>
  <c r="ED982" i="34" s="1"/>
  <c r="EE982" i="34" a="1"/>
  <c r="EE982" i="34" s="1"/>
  <c r="BS983" i="34"/>
  <c r="BV983" i="34" s="1" a="1"/>
  <c r="BV983" i="34" s="1"/>
  <c r="BT983" i="34"/>
  <c r="BW983" i="34" a="1"/>
  <c r="BW983" i="34"/>
  <c r="BY983" i="34"/>
  <c r="CB983" i="34" s="1" a="1"/>
  <c r="CB983" i="34" s="1"/>
  <c r="BZ983" i="34"/>
  <c r="CE983" i="34"/>
  <c r="CI983" i="34" s="1" a="1"/>
  <c r="CI983" i="34" s="1"/>
  <c r="CF983" i="34"/>
  <c r="CH983" i="34" a="1"/>
  <c r="CH983" i="34" s="1"/>
  <c r="CK983" i="34"/>
  <c r="CL983" i="34"/>
  <c r="CN983" i="34" a="1"/>
  <c r="CN983" i="34"/>
  <c r="CO983" i="34" a="1"/>
  <c r="CO983" i="34" s="1"/>
  <c r="CQ983" i="34" a="1"/>
  <c r="CQ983" i="34"/>
  <c r="CU983" i="34" s="1" a="1"/>
  <c r="CR983" i="34"/>
  <c r="CT983" i="34" a="1"/>
  <c r="CT983" i="34" s="1"/>
  <c r="CU983" i="34"/>
  <c r="CW983" i="34"/>
  <c r="CZ983" i="34" s="1" a="1"/>
  <c r="CZ983" i="34" s="1"/>
  <c r="CX983" i="34"/>
  <c r="DA983" i="34" a="1"/>
  <c r="DA983" i="34"/>
  <c r="DC983" i="34"/>
  <c r="DF983" i="34" s="1" a="1"/>
  <c r="DF983" i="34" s="1"/>
  <c r="DD983" i="34"/>
  <c r="DI983" i="34"/>
  <c r="DL983" i="34" s="1" a="1"/>
  <c r="DL983" i="34" s="1"/>
  <c r="DJ983" i="34"/>
  <c r="DO983" i="34"/>
  <c r="DP983" i="34"/>
  <c r="DR983" i="34" a="1"/>
  <c r="DR983" i="34"/>
  <c r="DS983" i="34" a="1"/>
  <c r="DS983" i="34" s="1"/>
  <c r="DU983" i="34"/>
  <c r="DV983" i="34"/>
  <c r="DX983" i="34" a="1"/>
  <c r="DX983" i="34"/>
  <c r="DY983" i="34" a="1"/>
  <c r="DY983" i="34" s="1"/>
  <c r="EA983" i="34"/>
  <c r="EB983" i="34"/>
  <c r="BS984" i="34"/>
  <c r="BW984" i="34" s="1" a="1"/>
  <c r="BW984" i="34" s="1"/>
  <c r="BT984" i="34"/>
  <c r="BV984" i="34" a="1"/>
  <c r="BV984" i="34" s="1"/>
  <c r="BY984" i="34"/>
  <c r="CC984" i="34" s="1" a="1"/>
  <c r="BZ984" i="34"/>
  <c r="CB984" i="34" a="1"/>
  <c r="CB984" i="34" s="1"/>
  <c r="CC984" i="34"/>
  <c r="CE984" i="34"/>
  <c r="CH984" i="34" s="1" a="1"/>
  <c r="CH984" i="34" s="1"/>
  <c r="CF984" i="34"/>
  <c r="CI984" i="34" a="1"/>
  <c r="CI984" i="34" s="1"/>
  <c r="CK984" i="34"/>
  <c r="CN984" i="34" s="1" a="1"/>
  <c r="CN984" i="34" s="1"/>
  <c r="CL984" i="34"/>
  <c r="CQ984" i="34" a="1"/>
  <c r="CQ984" i="34" s="1"/>
  <c r="CU984" i="34" s="1" a="1"/>
  <c r="CU984" i="34" s="1"/>
  <c r="CR984" i="34"/>
  <c r="CW984" i="34"/>
  <c r="CX984" i="34"/>
  <c r="CZ984" i="34" s="1" a="1"/>
  <c r="CZ984" i="34" s="1"/>
  <c r="DA984" i="34" a="1"/>
  <c r="DA984" i="34" s="1"/>
  <c r="DC984" i="34"/>
  <c r="DD984" i="34"/>
  <c r="DF984" i="34" a="1"/>
  <c r="DF984" i="34"/>
  <c r="DG984" i="34" a="1"/>
  <c r="DG984" i="34" s="1"/>
  <c r="DI984" i="34"/>
  <c r="DJ984" i="34"/>
  <c r="DO984" i="34"/>
  <c r="DS984" i="34" s="1" a="1"/>
  <c r="DS984" i="34" s="1"/>
  <c r="DP984" i="34"/>
  <c r="DR984" i="34" s="1" a="1"/>
  <c r="DR984" i="34" s="1"/>
  <c r="DU984" i="34"/>
  <c r="DV984" i="34"/>
  <c r="DX984" i="34" s="1" a="1"/>
  <c r="DX984" i="34" s="1"/>
  <c r="DY984" i="34" a="1"/>
  <c r="DY984" i="34" s="1"/>
  <c r="EA984" i="34"/>
  <c r="ED984" i="34" s="1" a="1"/>
  <c r="ED984" i="34" s="1"/>
  <c r="EB984" i="34"/>
  <c r="EE984" i="34" a="1"/>
  <c r="EE984" i="34"/>
  <c r="BS985" i="34"/>
  <c r="BV985" i="34" s="1" a="1"/>
  <c r="BV985" i="34" s="1"/>
  <c r="BT985" i="34"/>
  <c r="BY985" i="34"/>
  <c r="CC985" i="34" s="1" a="1"/>
  <c r="CC985" i="34" s="1"/>
  <c r="BZ985" i="34"/>
  <c r="CB985" i="34" a="1"/>
  <c r="CB985" i="34" s="1"/>
  <c r="CE985" i="34"/>
  <c r="CF985" i="34"/>
  <c r="CH985" i="34" a="1"/>
  <c r="CH985" i="34"/>
  <c r="CI985" i="34" a="1"/>
  <c r="CI985" i="34" s="1"/>
  <c r="CK985" i="34"/>
  <c r="CL985" i="34"/>
  <c r="CN985" i="34" a="1"/>
  <c r="CN985" i="34"/>
  <c r="CO985" i="34" a="1"/>
  <c r="CO985" i="34" s="1"/>
  <c r="CQ985" i="34" a="1"/>
  <c r="CQ985" i="34" s="1"/>
  <c r="CR985" i="34"/>
  <c r="CW985" i="34"/>
  <c r="CZ985" i="34" s="1" a="1"/>
  <c r="CZ985" i="34" s="1"/>
  <c r="CX985" i="34"/>
  <c r="DC985" i="34"/>
  <c r="DF985" i="34" s="1" a="1"/>
  <c r="DD985" i="34"/>
  <c r="DF985" i="34"/>
  <c r="DI985" i="34"/>
  <c r="DJ985" i="34"/>
  <c r="DL985" i="34" a="1"/>
  <c r="DL985" i="34"/>
  <c r="DM985" i="34" a="1"/>
  <c r="DM985" i="34"/>
  <c r="DO985" i="34"/>
  <c r="DP985" i="34"/>
  <c r="DR985" i="34" a="1"/>
  <c r="DR985" i="34"/>
  <c r="DS985" i="34" a="1"/>
  <c r="DS985" i="34" s="1"/>
  <c r="DU985" i="34"/>
  <c r="DV985" i="34"/>
  <c r="EA985" i="34"/>
  <c r="EE985" i="34" s="1" a="1"/>
  <c r="EE985" i="34" s="1"/>
  <c r="EB985" i="34"/>
  <c r="ED985" i="34" a="1"/>
  <c r="ED985" i="34" s="1"/>
  <c r="BS986" i="34"/>
  <c r="BW986" i="34" s="1" a="1"/>
  <c r="BW986" i="34" s="1"/>
  <c r="BT986" i="34"/>
  <c r="BV986" i="34" a="1"/>
  <c r="BV986" i="34" s="1"/>
  <c r="BY986" i="34"/>
  <c r="CB986" i="34" s="1" a="1"/>
  <c r="CB986" i="34" s="1"/>
  <c r="BZ986" i="34"/>
  <c r="CC986" i="34" a="1"/>
  <c r="CC986" i="34" s="1"/>
  <c r="CE986" i="34"/>
  <c r="CH986" i="34" s="1" a="1"/>
  <c r="CH986" i="34" s="1"/>
  <c r="CF986" i="34"/>
  <c r="CK986" i="34"/>
  <c r="CN986" i="34" s="1" a="1"/>
  <c r="CN986" i="34" s="1"/>
  <c r="CL986" i="34"/>
  <c r="CQ986" i="34" a="1"/>
  <c r="CQ986" i="34" s="1"/>
  <c r="CR986" i="34"/>
  <c r="CW986" i="34"/>
  <c r="CX986" i="34"/>
  <c r="CZ986" i="34" a="1"/>
  <c r="CZ986" i="34"/>
  <c r="DA986" i="34" a="1"/>
  <c r="DA986" i="34" s="1"/>
  <c r="DC986" i="34"/>
  <c r="DD986" i="34"/>
  <c r="DI986" i="34"/>
  <c r="DM986" i="34" s="1" a="1"/>
  <c r="DM986" i="34" s="1"/>
  <c r="DJ986" i="34"/>
  <c r="DL986" i="34" a="1"/>
  <c r="DL986" i="34" s="1"/>
  <c r="DO986" i="34"/>
  <c r="DP986" i="34"/>
  <c r="DR986" i="34" s="1" a="1"/>
  <c r="DR986" i="34" s="1"/>
  <c r="DS986" i="34" a="1"/>
  <c r="DS986" i="34" s="1"/>
  <c r="DU986" i="34"/>
  <c r="DX986" i="34" s="1" a="1"/>
  <c r="DX986" i="34" s="1"/>
  <c r="DV986" i="34"/>
  <c r="DY986" i="34" a="1"/>
  <c r="DY986" i="34"/>
  <c r="EA986" i="34"/>
  <c r="ED986" i="34" s="1" a="1"/>
  <c r="ED986" i="34" s="1"/>
  <c r="EB986" i="34"/>
  <c r="BS987" i="34"/>
  <c r="BW987" i="34" s="1" a="1"/>
  <c r="BW987" i="34" s="1"/>
  <c r="BT987" i="34"/>
  <c r="BV987" i="34" a="1"/>
  <c r="BV987" i="34" s="1"/>
  <c r="BY987" i="34"/>
  <c r="BZ987" i="34"/>
  <c r="CB987" i="34" a="1"/>
  <c r="CB987" i="34"/>
  <c r="CC987" i="34" a="1"/>
  <c r="CC987" i="34" s="1"/>
  <c r="CE987" i="34"/>
  <c r="CF987" i="34"/>
  <c r="CH987" i="34" a="1"/>
  <c r="CH987" i="34"/>
  <c r="CI987" i="34" a="1"/>
  <c r="CI987" i="34" s="1"/>
  <c r="CK987" i="34"/>
  <c r="CL987" i="34"/>
  <c r="CQ987" i="34" a="1"/>
  <c r="CQ987" i="34"/>
  <c r="CT987" i="34" s="1" a="1"/>
  <c r="CT987" i="34" s="1"/>
  <c r="CR987" i="34"/>
  <c r="CW987" i="34"/>
  <c r="CZ987" i="34" s="1" a="1"/>
  <c r="CX987" i="34"/>
  <c r="CZ987" i="34"/>
  <c r="DC987" i="34"/>
  <c r="DD987" i="34"/>
  <c r="DF987" i="34" a="1"/>
  <c r="DF987" i="34"/>
  <c r="DG987" i="34" a="1"/>
  <c r="DG987" i="34"/>
  <c r="DI987" i="34"/>
  <c r="DJ987" i="34"/>
  <c r="DL987" i="34" a="1"/>
  <c r="DL987" i="34"/>
  <c r="DM987" i="34" a="1"/>
  <c r="DM987" i="34" s="1"/>
  <c r="DO987" i="34"/>
  <c r="DP987" i="34"/>
  <c r="DR987" i="34" s="1" a="1"/>
  <c r="DR987" i="34" s="1"/>
  <c r="DU987" i="34"/>
  <c r="DY987" i="34" s="1" a="1"/>
  <c r="DY987" i="34" s="1"/>
  <c r="DV987" i="34"/>
  <c r="DX987" i="34" a="1"/>
  <c r="DX987" i="34"/>
  <c r="EA987" i="34"/>
  <c r="EE987" i="34" s="1" a="1"/>
  <c r="EE987" i="34" s="1"/>
  <c r="EB987" i="34"/>
  <c r="ED987" i="34" a="1"/>
  <c r="ED987" i="34"/>
  <c r="BS988" i="34"/>
  <c r="BV988" i="34" s="1" a="1"/>
  <c r="BV988" i="34" s="1"/>
  <c r="BT988" i="34"/>
  <c r="BW988" i="34" a="1"/>
  <c r="BW988" i="34" s="1"/>
  <c r="BY988" i="34"/>
  <c r="CB988" i="34" s="1" a="1"/>
  <c r="CB988" i="34" s="1"/>
  <c r="BZ988" i="34"/>
  <c r="CE988" i="34"/>
  <c r="CH988" i="34" s="1" a="1"/>
  <c r="CH988" i="34" s="1"/>
  <c r="CF988" i="34"/>
  <c r="CK988" i="34"/>
  <c r="CL988" i="34"/>
  <c r="CN988" i="34" a="1"/>
  <c r="CN988" i="34" s="1"/>
  <c r="CO988" i="34" a="1"/>
  <c r="CO988" i="34" s="1"/>
  <c r="CQ988" i="34" a="1"/>
  <c r="CQ988" i="34" s="1"/>
  <c r="CR988" i="34"/>
  <c r="CW988" i="34"/>
  <c r="CX988" i="34"/>
  <c r="DC988" i="34"/>
  <c r="DD988" i="34"/>
  <c r="DF988" i="34" s="1" a="1"/>
  <c r="DF988" i="34" s="1"/>
  <c r="DI988" i="34"/>
  <c r="DJ988" i="34"/>
  <c r="DL988" i="34" a="1"/>
  <c r="DL988" i="34" s="1"/>
  <c r="DM988" i="34" a="1"/>
  <c r="DM988" i="34" s="1"/>
  <c r="DO988" i="34"/>
  <c r="DR988" i="34" s="1" a="1"/>
  <c r="DR988" i="34" s="1"/>
  <c r="DP988" i="34"/>
  <c r="DS988" i="34" a="1"/>
  <c r="DS988" i="34"/>
  <c r="DU988" i="34"/>
  <c r="DX988" i="34" s="1" a="1"/>
  <c r="DX988" i="34" s="1"/>
  <c r="DV988" i="34"/>
  <c r="EA988" i="34"/>
  <c r="EE988" i="34" s="1" a="1"/>
  <c r="EE988" i="34" s="1"/>
  <c r="EB988" i="34"/>
  <c r="ED988" i="34" a="1"/>
  <c r="ED988" i="34" s="1"/>
  <c r="BS989" i="34"/>
  <c r="BT989" i="34"/>
  <c r="BV989" i="34" s="1" a="1"/>
  <c r="BV989" i="34" s="1"/>
  <c r="BW989" i="34" a="1"/>
  <c r="BW989" i="34" s="1"/>
  <c r="BY989" i="34"/>
  <c r="BZ989" i="34"/>
  <c r="CB989" i="34" a="1"/>
  <c r="CB989" i="34"/>
  <c r="CC989" i="34" a="1"/>
  <c r="CC989" i="34" s="1"/>
  <c r="CE989" i="34"/>
  <c r="CF989" i="34"/>
  <c r="CK989" i="34"/>
  <c r="CO989" i="34" s="1" a="1"/>
  <c r="CO989" i="34" s="1"/>
  <c r="CL989" i="34"/>
  <c r="CN989" i="34" a="1"/>
  <c r="CN989" i="34" s="1"/>
  <c r="CQ989" i="34" a="1"/>
  <c r="CQ989" i="34"/>
  <c r="CT989" i="34" s="1" a="1"/>
  <c r="CT989" i="34" s="1"/>
  <c r="CR989" i="34"/>
  <c r="CW989" i="34"/>
  <c r="CX989" i="34"/>
  <c r="CZ989" i="34" a="1"/>
  <c r="CZ989" i="34" s="1"/>
  <c r="DA989" i="34" a="1"/>
  <c r="DA989" i="34" s="1"/>
  <c r="DC989" i="34"/>
  <c r="DD989" i="34"/>
  <c r="DF989" i="34" a="1"/>
  <c r="DF989" i="34"/>
  <c r="DG989" i="34" a="1"/>
  <c r="DG989" i="34"/>
  <c r="DI989" i="34"/>
  <c r="DJ989" i="34"/>
  <c r="DO989" i="34"/>
  <c r="DS989" i="34" s="1" a="1"/>
  <c r="DS989" i="34" s="1"/>
  <c r="DP989" i="34"/>
  <c r="DR989" i="34" a="1"/>
  <c r="DR989" i="34" s="1"/>
  <c r="DU989" i="34"/>
  <c r="DY989" i="34" s="1" a="1"/>
  <c r="DY989" i="34" s="1"/>
  <c r="DV989" i="34"/>
  <c r="DX989" i="34" a="1"/>
  <c r="DX989" i="34"/>
  <c r="EA989" i="34"/>
  <c r="ED989" i="34" s="1" a="1"/>
  <c r="ED989" i="34" s="1"/>
  <c r="EB989" i="34"/>
  <c r="EE989" i="34" a="1"/>
  <c r="EE989" i="34" s="1"/>
  <c r="BS990" i="34"/>
  <c r="BV990" i="34" s="1" a="1"/>
  <c r="BV990" i="34" s="1"/>
  <c r="BT990" i="34"/>
  <c r="BY990" i="34"/>
  <c r="CB990" i="34" s="1" a="1"/>
  <c r="CB990" i="34" s="1"/>
  <c r="BZ990" i="34"/>
  <c r="CE990" i="34"/>
  <c r="CF990" i="34"/>
  <c r="CH990" i="34" a="1"/>
  <c r="CH990" i="34" s="1"/>
  <c r="CI990" i="34" a="1"/>
  <c r="CI990" i="34"/>
  <c r="CK990" i="34"/>
  <c r="CL990" i="34"/>
  <c r="CN990" i="34" a="1"/>
  <c r="CN990" i="34"/>
  <c r="CO990" i="34" a="1"/>
  <c r="CO990" i="34"/>
  <c r="CQ990" i="34" a="1"/>
  <c r="CQ990" i="34"/>
  <c r="CR990" i="34"/>
  <c r="CW990" i="34"/>
  <c r="DA990" i="34" s="1" a="1"/>
  <c r="DA990" i="34" s="1"/>
  <c r="CX990" i="34"/>
  <c r="CZ990" i="34" a="1"/>
  <c r="CZ990" i="34" s="1"/>
  <c r="DC990" i="34"/>
  <c r="DD990" i="34"/>
  <c r="DF990" i="34" a="1"/>
  <c r="DF990" i="34" s="1"/>
  <c r="DG990" i="34" a="1"/>
  <c r="DG990" i="34" s="1"/>
  <c r="DI990" i="34"/>
  <c r="DL990" i="34" s="1" a="1"/>
  <c r="DL990" i="34" s="1"/>
  <c r="DJ990" i="34"/>
  <c r="DM990" i="34" a="1"/>
  <c r="DM990" i="34"/>
  <c r="DO990" i="34"/>
  <c r="DP990" i="34"/>
  <c r="DU990" i="34"/>
  <c r="DY990" i="34" s="1" a="1"/>
  <c r="DY990" i="34" s="1"/>
  <c r="DV990" i="34"/>
  <c r="DX990" i="34" a="1"/>
  <c r="DX990" i="34" s="1"/>
  <c r="EA990" i="34"/>
  <c r="EB990" i="34"/>
  <c r="ED990" i="34" a="1"/>
  <c r="ED990" i="34"/>
  <c r="EE990" i="34" a="1"/>
  <c r="EE990" i="34" s="1"/>
  <c r="BS991" i="34"/>
  <c r="BT991" i="34"/>
  <c r="BV991" i="34" a="1"/>
  <c r="BV991" i="34"/>
  <c r="BW991" i="34" a="1"/>
  <c r="BW991" i="34" s="1"/>
  <c r="BY991" i="34"/>
  <c r="BZ991" i="34"/>
  <c r="CE991" i="34"/>
  <c r="CI991" i="34" s="1" a="1"/>
  <c r="CI991" i="34" s="1"/>
  <c r="CF991" i="34"/>
  <c r="CH991" i="34" a="1"/>
  <c r="CH991" i="34" s="1"/>
  <c r="CK991" i="34"/>
  <c r="CL991" i="34"/>
  <c r="CN991" i="34" a="1"/>
  <c r="CN991" i="34" s="1"/>
  <c r="CO991" i="34" a="1"/>
  <c r="CO991" i="34" s="1"/>
  <c r="CQ991" i="34" a="1"/>
  <c r="CQ991" i="34" s="1"/>
  <c r="CT991" i="34" s="1" a="1"/>
  <c r="CT991" i="34" s="1"/>
  <c r="CR991" i="34"/>
  <c r="CU991" i="34" a="1"/>
  <c r="CU991" i="34"/>
  <c r="CW991" i="34"/>
  <c r="CX991" i="34"/>
  <c r="CZ991" i="34" a="1"/>
  <c r="CZ991" i="34"/>
  <c r="DA991" i="34" a="1"/>
  <c r="DA991" i="34"/>
  <c r="DC991" i="34"/>
  <c r="DD991" i="34"/>
  <c r="DI991" i="34"/>
  <c r="DM991" i="34" s="1" a="1"/>
  <c r="DM991" i="34" s="1"/>
  <c r="DJ991" i="34"/>
  <c r="DL991" i="34" a="1"/>
  <c r="DL991" i="34" s="1"/>
  <c r="DO991" i="34"/>
  <c r="DS991" i="34" s="1" a="1"/>
  <c r="DP991" i="34"/>
  <c r="DR991" i="34" a="1"/>
  <c r="DR991" i="34"/>
  <c r="DS991" i="34"/>
  <c r="DU991" i="34"/>
  <c r="DX991" i="34" s="1" a="1"/>
  <c r="DX991" i="34" s="1"/>
  <c r="DV991" i="34"/>
  <c r="DY991" i="34" a="1"/>
  <c r="DY991" i="34"/>
  <c r="EA991" i="34"/>
  <c r="EB991" i="34"/>
  <c r="BS992" i="34"/>
  <c r="BV992" i="34" s="1" a="1"/>
  <c r="BV992" i="34" s="1"/>
  <c r="BT992" i="34"/>
  <c r="BY992" i="34"/>
  <c r="BZ992" i="34"/>
  <c r="CB992" i="34" a="1"/>
  <c r="CB992" i="34" s="1"/>
  <c r="CC992" i="34" a="1"/>
  <c r="CC992" i="34"/>
  <c r="CE992" i="34"/>
  <c r="CF992" i="34"/>
  <c r="CH992" i="34" a="1"/>
  <c r="CH992" i="34"/>
  <c r="CI992" i="34" a="1"/>
  <c r="CI992" i="34"/>
  <c r="CK992" i="34"/>
  <c r="CL992" i="34"/>
  <c r="CQ992" i="34" a="1"/>
  <c r="CQ992" i="34" s="1"/>
  <c r="CT992" i="34" s="1" a="1"/>
  <c r="CT992" i="34" s="1"/>
  <c r="CR992" i="34"/>
  <c r="CW992" i="34"/>
  <c r="CX992" i="34"/>
  <c r="CZ992" i="34" a="1"/>
  <c r="CZ992" i="34" s="1"/>
  <c r="DA992" i="34" a="1"/>
  <c r="DA992" i="34" s="1"/>
  <c r="DC992" i="34"/>
  <c r="DF992" i="34" s="1" a="1"/>
  <c r="DF992" i="34" s="1"/>
  <c r="DD992" i="34"/>
  <c r="DG992" i="34" a="1"/>
  <c r="DG992" i="34"/>
  <c r="DI992" i="34"/>
  <c r="DJ992" i="34"/>
  <c r="DO992" i="34"/>
  <c r="DS992" i="34" s="1" a="1"/>
  <c r="DS992" i="34" s="1"/>
  <c r="DP992" i="34"/>
  <c r="DR992" i="34" a="1"/>
  <c r="DR992" i="34" s="1"/>
  <c r="DU992" i="34"/>
  <c r="DV992" i="34"/>
  <c r="DX992" i="34" a="1"/>
  <c r="DX992" i="34"/>
  <c r="DY992" i="34" a="1"/>
  <c r="DY992" i="34" s="1"/>
  <c r="EA992" i="34"/>
  <c r="EB992" i="34"/>
  <c r="ED992" i="34" a="1"/>
  <c r="ED992" i="34"/>
  <c r="EE992" i="34" a="1"/>
  <c r="EE992" i="34" s="1"/>
  <c r="BS993" i="34"/>
  <c r="BT993" i="34"/>
  <c r="BY993" i="34"/>
  <c r="CC993" i="34" s="1" a="1"/>
  <c r="CC993" i="34" s="1"/>
  <c r="BZ993" i="34"/>
  <c r="CB993" i="34" a="1"/>
  <c r="CB993" i="34" s="1"/>
  <c r="CE993" i="34"/>
  <c r="CF993" i="34"/>
  <c r="CH993" i="34" a="1"/>
  <c r="CH993" i="34" s="1"/>
  <c r="CI993" i="34" a="1"/>
  <c r="CI993" i="34" s="1"/>
  <c r="CK993" i="34"/>
  <c r="CN993" i="34" s="1" a="1"/>
  <c r="CN993" i="34" s="1"/>
  <c r="CL993" i="34"/>
  <c r="CO993" i="34" a="1"/>
  <c r="CO993" i="34"/>
  <c r="CQ993" i="34" a="1"/>
  <c r="CQ993" i="34" s="1"/>
  <c r="CR993" i="34"/>
  <c r="CW993" i="34"/>
  <c r="CX993" i="34"/>
  <c r="DC993" i="34"/>
  <c r="DG993" i="34" s="1" a="1"/>
  <c r="DG993" i="34" s="1"/>
  <c r="DD993" i="34"/>
  <c r="DF993" i="34" a="1"/>
  <c r="DF993" i="34" s="1"/>
  <c r="DI993" i="34"/>
  <c r="DM993" i="34" s="1" a="1"/>
  <c r="DM993" i="34" s="1"/>
  <c r="DJ993" i="34"/>
  <c r="DL993" i="34" a="1"/>
  <c r="DL993" i="34"/>
  <c r="DO993" i="34"/>
  <c r="DR993" i="34" s="1" a="1"/>
  <c r="DR993" i="34" s="1"/>
  <c r="DP993" i="34"/>
  <c r="DS993" i="34" a="1"/>
  <c r="DS993" i="34"/>
  <c r="DU993" i="34"/>
  <c r="DV993" i="34"/>
  <c r="EA993" i="34"/>
  <c r="EB993" i="34"/>
  <c r="BS994" i="34"/>
  <c r="BT994" i="34"/>
  <c r="BV994" i="34" a="1"/>
  <c r="BV994" i="34"/>
  <c r="BW994" i="34" a="1"/>
  <c r="BW994" i="34"/>
  <c r="BY994" i="34"/>
  <c r="BZ994" i="34"/>
  <c r="CB994" i="34" a="1"/>
  <c r="CB994" i="34"/>
  <c r="CC994" i="34" a="1"/>
  <c r="CC994" i="34"/>
  <c r="CE994" i="34"/>
  <c r="CF994" i="34"/>
  <c r="CK994" i="34"/>
  <c r="CO994" i="34" s="1" a="1"/>
  <c r="CO994" i="34" s="1"/>
  <c r="CL994" i="34"/>
  <c r="CN994" i="34" a="1"/>
  <c r="CN994" i="34" s="1"/>
  <c r="CQ994" i="34" a="1"/>
  <c r="CQ994" i="34"/>
  <c r="CR994" i="34"/>
  <c r="CT994" i="34" a="1"/>
  <c r="CT994" i="34" s="1"/>
  <c r="CU994" i="34" a="1"/>
  <c r="CU994" i="34" s="1"/>
  <c r="CW994" i="34"/>
  <c r="CZ994" i="34" s="1" a="1"/>
  <c r="CZ994" i="34" s="1"/>
  <c r="CX994" i="34"/>
  <c r="DA994" i="34" a="1"/>
  <c r="DA994" i="34"/>
  <c r="DC994" i="34"/>
  <c r="DD994" i="34"/>
  <c r="DI994" i="34"/>
  <c r="DM994" i="34" s="1" a="1"/>
  <c r="DM994" i="34" s="1"/>
  <c r="DJ994" i="34"/>
  <c r="DO994" i="34"/>
  <c r="DP994" i="34"/>
  <c r="DR994" i="34" a="1"/>
  <c r="DR994" i="34"/>
  <c r="DS994" i="34" a="1"/>
  <c r="DS994" i="34" s="1"/>
  <c r="DU994" i="34"/>
  <c r="DV994" i="34"/>
  <c r="DX994" i="34" a="1"/>
  <c r="DX994" i="34"/>
  <c r="DY994" i="34" a="1"/>
  <c r="DY994" i="34" s="1"/>
  <c r="EA994" i="34"/>
  <c r="EB994" i="34"/>
  <c r="BS995" i="34"/>
  <c r="BW995" i="34" s="1" a="1"/>
  <c r="BW995" i="34" s="1"/>
  <c r="BT995" i="34"/>
  <c r="BV995" i="34" a="1"/>
  <c r="BV995" i="34" s="1"/>
  <c r="BY995" i="34"/>
  <c r="BZ995" i="34"/>
  <c r="CB995" i="34" a="1"/>
  <c r="CB995" i="34" s="1"/>
  <c r="CC995" i="34" a="1"/>
  <c r="CC995" i="34" s="1"/>
  <c r="CE995" i="34"/>
  <c r="CH995" i="34" s="1" a="1"/>
  <c r="CH995" i="34" s="1"/>
  <c r="CF995" i="34"/>
  <c r="CI995" i="34" a="1"/>
  <c r="CI995" i="34"/>
  <c r="CK995" i="34"/>
  <c r="CL995" i="34"/>
  <c r="CQ995" i="34" a="1"/>
  <c r="CQ995" i="34" s="1"/>
  <c r="CR995" i="34"/>
  <c r="CW995" i="34"/>
  <c r="DA995" i="34" s="1" a="1"/>
  <c r="DA995" i="34" s="1"/>
  <c r="CX995" i="34"/>
  <c r="CZ995" i="34" a="1"/>
  <c r="CZ995" i="34"/>
  <c r="DC995" i="34"/>
  <c r="DG995" i="34" s="1" a="1"/>
  <c r="DD995" i="34"/>
  <c r="DF995" i="34" a="1"/>
  <c r="DF995" i="34"/>
  <c r="DG995" i="34"/>
  <c r="DI995" i="34"/>
  <c r="DL995" i="34" s="1" a="1"/>
  <c r="DL995" i="34" s="1"/>
  <c r="DJ995" i="34"/>
  <c r="DM995" i="34" a="1"/>
  <c r="DM995" i="34"/>
  <c r="DO995" i="34"/>
  <c r="DP995" i="34"/>
  <c r="DU995" i="34"/>
  <c r="DV995" i="34"/>
  <c r="EA995" i="34"/>
  <c r="EB995" i="34"/>
  <c r="ED995" i="34" a="1"/>
  <c r="ED995" i="34"/>
  <c r="EE995" i="34" a="1"/>
  <c r="EE995" i="34" s="1"/>
  <c r="BS996" i="34"/>
  <c r="BT996" i="34"/>
  <c r="BV996" i="34" a="1"/>
  <c r="BV996" i="34"/>
  <c r="BW996" i="34" a="1"/>
  <c r="BW996" i="34"/>
  <c r="BY996" i="34"/>
  <c r="BZ996" i="34"/>
  <c r="CB996" i="34" s="1" a="1"/>
  <c r="CB996" i="34" s="1"/>
  <c r="CE996" i="34"/>
  <c r="CI996" i="34" s="1" a="1"/>
  <c r="CI996" i="34" s="1"/>
  <c r="CF996" i="34"/>
  <c r="CH996" i="34" a="1"/>
  <c r="CH996" i="34"/>
  <c r="CK996" i="34"/>
  <c r="CO996" i="34" s="1" a="1"/>
  <c r="CL996" i="34"/>
  <c r="CN996" i="34" a="1"/>
  <c r="CN996" i="34"/>
  <c r="CO996" i="34"/>
  <c r="CQ996" i="34" a="1"/>
  <c r="CQ996" i="34" s="1"/>
  <c r="CR996" i="34"/>
  <c r="CW996" i="34"/>
  <c r="CX996" i="34"/>
  <c r="DC996" i="34"/>
  <c r="DG996" i="34" s="1" a="1"/>
  <c r="DG996" i="34" s="1"/>
  <c r="DD996" i="34"/>
  <c r="DF996" i="34" a="1"/>
  <c r="DF996" i="34" s="1"/>
  <c r="DI996" i="34"/>
  <c r="DJ996" i="34"/>
  <c r="DL996" i="34" a="1"/>
  <c r="DL996" i="34"/>
  <c r="DM996" i="34" a="1"/>
  <c r="DM996" i="34" s="1"/>
  <c r="DO996" i="34"/>
  <c r="DP996" i="34"/>
  <c r="DR996" i="34" a="1"/>
  <c r="DR996" i="34"/>
  <c r="DS996" i="34" a="1"/>
  <c r="DS996" i="34" s="1"/>
  <c r="DU996" i="34"/>
  <c r="DV996" i="34"/>
  <c r="EA996" i="34"/>
  <c r="EB996" i="34"/>
  <c r="ED996" i="34" a="1"/>
  <c r="ED996" i="34" s="1"/>
  <c r="BS997" i="34"/>
  <c r="BT997" i="34"/>
  <c r="BV997" i="34" a="1"/>
  <c r="BV997" i="34" s="1"/>
  <c r="BW997" i="34" a="1"/>
  <c r="BW997" i="34" s="1"/>
  <c r="BY997" i="34"/>
  <c r="CB997" i="34" s="1" a="1"/>
  <c r="CB997" i="34" s="1"/>
  <c r="BZ997" i="34"/>
  <c r="CC997" i="34" a="1"/>
  <c r="CC997" i="34"/>
  <c r="CE997" i="34"/>
  <c r="CF997" i="34"/>
  <c r="CK997" i="34"/>
  <c r="CO997" i="34" s="1" a="1"/>
  <c r="CO997" i="34" s="1"/>
  <c r="CL997" i="34"/>
  <c r="CQ997" i="34" a="1"/>
  <c r="CQ997" i="34"/>
  <c r="CU997" i="34" s="1" a="1"/>
  <c r="CU997" i="34" s="1"/>
  <c r="CR997" i="34"/>
  <c r="CT997" i="34" a="1"/>
  <c r="CT997" i="34" s="1"/>
  <c r="CW997" i="34"/>
  <c r="DA997" i="34" s="1" a="1"/>
  <c r="CX997" i="34"/>
  <c r="CZ997" i="34" a="1"/>
  <c r="CZ997" i="34"/>
  <c r="DA997" i="34"/>
  <c r="DC997" i="34"/>
  <c r="DF997" i="34" s="1" a="1"/>
  <c r="DF997" i="34" s="1"/>
  <c r="DD997" i="34"/>
  <c r="DG997" i="34" a="1"/>
  <c r="DG997" i="34"/>
  <c r="DI997" i="34"/>
  <c r="DJ997" i="34"/>
  <c r="DO997" i="34"/>
  <c r="DP997" i="34"/>
  <c r="DU997" i="34"/>
  <c r="DV997" i="34"/>
  <c r="DX997" i="34" a="1"/>
  <c r="DX997" i="34"/>
  <c r="DY997" i="34" a="1"/>
  <c r="DY997" i="34"/>
  <c r="EA997" i="34"/>
  <c r="EB997" i="34"/>
  <c r="ED997" i="34" a="1"/>
  <c r="ED997" i="34"/>
  <c r="EE997" i="34" a="1"/>
  <c r="EE997" i="34"/>
  <c r="BS998" i="34"/>
  <c r="BT998" i="34"/>
  <c r="BY998" i="34"/>
  <c r="CC998" i="34" s="1" a="1"/>
  <c r="CC998" i="34" s="1"/>
  <c r="BZ998" i="34"/>
  <c r="CB998" i="34" a="1"/>
  <c r="CB998" i="34" s="1"/>
  <c r="CE998" i="34"/>
  <c r="CI998" i="34" s="1" a="1"/>
  <c r="CF998" i="34"/>
  <c r="CH998" i="34" a="1"/>
  <c r="CH998" i="34"/>
  <c r="CI998" i="34"/>
  <c r="CK998" i="34"/>
  <c r="CN998" i="34" s="1" a="1"/>
  <c r="CN998" i="34" s="1"/>
  <c r="CL998" i="34"/>
  <c r="CO998" i="34" a="1"/>
  <c r="CO998" i="34"/>
  <c r="CQ998" i="34" a="1"/>
  <c r="CQ998" i="34"/>
  <c r="CR998" i="34"/>
  <c r="CW998" i="34"/>
  <c r="DA998" i="34" s="1" a="1"/>
  <c r="DA998" i="34" s="1"/>
  <c r="CX998" i="34"/>
  <c r="CZ998" i="34" a="1"/>
  <c r="CZ998" i="34" s="1"/>
  <c r="DC998" i="34"/>
  <c r="DD998" i="34"/>
  <c r="DF998" i="34" a="1"/>
  <c r="DF998" i="34"/>
  <c r="DG998" i="34" a="1"/>
  <c r="DG998" i="34" s="1"/>
  <c r="DI998" i="34"/>
  <c r="DJ998" i="34"/>
  <c r="DL998" i="34" a="1"/>
  <c r="DL998" i="34"/>
  <c r="DM998" i="34" a="1"/>
  <c r="DM998" i="34" s="1"/>
  <c r="DO998" i="34"/>
  <c r="DP998" i="34"/>
  <c r="DU998" i="34"/>
  <c r="DV998" i="34"/>
  <c r="DX998" i="34" a="1"/>
  <c r="DX998" i="34" s="1"/>
  <c r="EA998" i="34"/>
  <c r="EB998" i="34"/>
  <c r="ED998" i="34" a="1"/>
  <c r="ED998" i="34" s="1"/>
  <c r="EE998" i="34" a="1"/>
  <c r="EE998" i="34" s="1"/>
  <c r="BS999" i="34"/>
  <c r="BV999" i="34" s="1" a="1"/>
  <c r="BV999" i="34" s="1"/>
  <c r="BT999" i="34"/>
  <c r="BW999" i="34" a="1"/>
  <c r="BW999" i="34"/>
  <c r="BY999" i="34"/>
  <c r="BZ999" i="34"/>
  <c r="CE999" i="34"/>
  <c r="CI999" i="34" s="1" a="1"/>
  <c r="CI999" i="34" s="1"/>
  <c r="CF999" i="34"/>
  <c r="CK999" i="34"/>
  <c r="CL999" i="34"/>
  <c r="CN999" i="34" a="1"/>
  <c r="CN999" i="34"/>
  <c r="CO999" i="34" a="1"/>
  <c r="CO999" i="34" s="1"/>
  <c r="CQ999" i="34" a="1"/>
  <c r="CQ999" i="34"/>
  <c r="CU999" i="34" s="1" a="1"/>
  <c r="CU999" i="34" s="1"/>
  <c r="CR999" i="34"/>
  <c r="CT999" i="34" a="1"/>
  <c r="CT999" i="34"/>
  <c r="CW999" i="34"/>
  <c r="CZ999" i="34" s="1" a="1"/>
  <c r="CZ999" i="34" s="1"/>
  <c r="CX999" i="34"/>
  <c r="DA999" i="34" a="1"/>
  <c r="DA999" i="34"/>
  <c r="DC999" i="34"/>
  <c r="DD999" i="34"/>
  <c r="DI999" i="34"/>
  <c r="DJ999" i="34"/>
  <c r="DO999" i="34"/>
  <c r="DP999" i="34"/>
  <c r="DR999" i="34" a="1"/>
  <c r="DR999" i="34"/>
  <c r="DS999" i="34" a="1"/>
  <c r="DS999" i="34" s="1"/>
  <c r="DU999" i="34"/>
  <c r="DV999" i="34"/>
  <c r="DX999" i="34" a="1"/>
  <c r="DX999" i="34"/>
  <c r="DY999" i="34" a="1"/>
  <c r="DY999" i="34"/>
  <c r="EA999" i="34"/>
  <c r="EB999" i="34"/>
  <c r="ED999" i="34" s="1" a="1"/>
  <c r="ED999" i="34" s="1"/>
  <c r="BS1000" i="34"/>
  <c r="BW1000" i="34" s="1" a="1"/>
  <c r="BW1000" i="34" s="1"/>
  <c r="BT1000" i="34"/>
  <c r="BV1000" i="34" a="1"/>
  <c r="BV1000" i="34" s="1"/>
  <c r="BY1000" i="34"/>
  <c r="CC1000" i="34" s="1" a="1"/>
  <c r="CC1000" i="34" s="1"/>
  <c r="BZ1000" i="34"/>
  <c r="CB1000" i="34" a="1"/>
  <c r="CB1000" i="34"/>
  <c r="CE1000" i="34"/>
  <c r="CH1000" i="34" s="1" a="1"/>
  <c r="CH1000" i="34" s="1"/>
  <c r="CF1000" i="34"/>
  <c r="CI1000" i="34" a="1"/>
  <c r="CI1000" i="34"/>
  <c r="CK1000" i="34"/>
  <c r="CL1000" i="34"/>
  <c r="CQ1000" i="34" a="1"/>
  <c r="CQ1000" i="34"/>
  <c r="CU1000" i="34" s="1" a="1"/>
  <c r="CU1000" i="34" s="1"/>
  <c r="CR1000" i="34"/>
  <c r="CW1000" i="34"/>
  <c r="CX1000" i="34"/>
  <c r="CZ1000" i="34" a="1"/>
  <c r="CZ1000" i="34"/>
  <c r="DA1000" i="34" a="1"/>
  <c r="DA1000" i="34" s="1"/>
  <c r="DC1000" i="34"/>
  <c r="DD1000" i="34"/>
  <c r="DF1000" i="34" a="1"/>
  <c r="DF1000" i="34"/>
  <c r="DG1000" i="34" a="1"/>
  <c r="DG1000" i="34" s="1"/>
  <c r="DI1000" i="34"/>
  <c r="DJ1000" i="34"/>
  <c r="DO1000" i="34"/>
  <c r="DP1000" i="34"/>
  <c r="DR1000" i="34" a="1"/>
  <c r="DR1000" i="34" s="1"/>
  <c r="DU1000" i="34"/>
  <c r="DV1000" i="34"/>
  <c r="DX1000" i="34" a="1"/>
  <c r="DX1000" i="34" s="1"/>
  <c r="DY1000" i="34" a="1"/>
  <c r="DY1000" i="34" s="1"/>
  <c r="EA1000" i="34"/>
  <c r="ED1000" i="34" s="1" a="1"/>
  <c r="ED1000" i="34" s="1"/>
  <c r="EB1000" i="34"/>
  <c r="EE1000" i="34" a="1"/>
  <c r="EE1000" i="34"/>
  <c r="BS1001" i="34"/>
  <c r="BT1001" i="34"/>
  <c r="BY1001" i="34"/>
  <c r="CC1001" i="34" s="1" a="1"/>
  <c r="CC1001" i="34" s="1"/>
  <c r="BZ1001" i="34"/>
  <c r="CE1001" i="34"/>
  <c r="CF1001" i="34"/>
  <c r="CH1001" i="34" a="1"/>
  <c r="CH1001" i="34"/>
  <c r="CI1001" i="34" a="1"/>
  <c r="CI1001" i="34" s="1"/>
  <c r="CK1001" i="34"/>
  <c r="CL1001" i="34"/>
  <c r="CN1001" i="34" a="1"/>
  <c r="CN1001" i="34"/>
  <c r="CO1001" i="34" a="1"/>
  <c r="CO1001" i="34" s="1"/>
  <c r="CQ1001" i="34" a="1"/>
  <c r="CQ1001" i="34" s="1"/>
  <c r="CR1001" i="34"/>
  <c r="CW1001" i="34"/>
  <c r="CX1001" i="34"/>
  <c r="DC1001" i="34"/>
  <c r="DF1001" i="34" s="1" a="1"/>
  <c r="DD1001" i="34"/>
  <c r="DF1001" i="34"/>
  <c r="DI1001" i="34"/>
  <c r="DJ1001" i="34"/>
  <c r="DL1001" i="34" a="1"/>
  <c r="DL1001" i="34"/>
  <c r="DM1001" i="34" a="1"/>
  <c r="DM1001" i="34" s="1"/>
  <c r="DO1001" i="34"/>
  <c r="DP1001" i="34"/>
  <c r="DR1001" i="34" a="1"/>
  <c r="DR1001" i="34"/>
  <c r="DS1001" i="34" a="1"/>
  <c r="DS1001" i="34"/>
  <c r="DU1001" i="34"/>
  <c r="DV1001" i="34"/>
  <c r="EA1001" i="34"/>
  <c r="EE1001" i="34" s="1" a="1"/>
  <c r="EE1001" i="34" s="1"/>
  <c r="EB1001" i="34"/>
  <c r="ED1001" i="34" a="1"/>
  <c r="ED1001" i="34"/>
  <c r="BS1002" i="34"/>
  <c r="BW1002" i="34" s="1" a="1"/>
  <c r="BT1002" i="34"/>
  <c r="BV1002" i="34" a="1"/>
  <c r="BV1002" i="34"/>
  <c r="BW1002" i="34"/>
  <c r="BY1002" i="34"/>
  <c r="CB1002" i="34" s="1" a="1"/>
  <c r="CB1002" i="34" s="1"/>
  <c r="BZ1002" i="34"/>
  <c r="CC1002" i="34" a="1"/>
  <c r="CC1002" i="34"/>
  <c r="CE1002" i="34"/>
  <c r="CF1002" i="34"/>
  <c r="CK1002" i="34"/>
  <c r="CL1002" i="34"/>
  <c r="CQ1002" i="34" a="1"/>
  <c r="CQ1002" i="34" s="1"/>
  <c r="CT1002" i="34" s="1" a="1"/>
  <c r="CT1002" i="34" s="1"/>
  <c r="CR1002" i="34"/>
  <c r="CW1002" i="34"/>
  <c r="CX1002" i="34"/>
  <c r="CZ1002" i="34" a="1"/>
  <c r="CZ1002" i="34"/>
  <c r="DA1002" i="34" a="1"/>
  <c r="DA1002" i="34" s="1"/>
  <c r="DC1002" i="34"/>
  <c r="DD1002" i="34"/>
  <c r="DI1002" i="34"/>
  <c r="DM1002" i="34" s="1" a="1"/>
  <c r="DM1002" i="34" s="1"/>
  <c r="DJ1002" i="34"/>
  <c r="DL1002" i="34" a="1"/>
  <c r="DL1002" i="34" s="1"/>
  <c r="DO1002" i="34"/>
  <c r="DP1002" i="34"/>
  <c r="DR1002" i="34" a="1"/>
  <c r="DR1002" i="34" s="1"/>
  <c r="DS1002" i="34" a="1"/>
  <c r="DS1002" i="34" s="1"/>
  <c r="DU1002" i="34"/>
  <c r="DX1002" i="34" s="1" a="1"/>
  <c r="DX1002" i="34" s="1"/>
  <c r="DV1002" i="34"/>
  <c r="DY1002" i="34" a="1"/>
  <c r="DY1002" i="34"/>
  <c r="EA1002" i="34"/>
  <c r="EB1002" i="34"/>
  <c r="BS1003" i="34"/>
  <c r="BW1003" i="34" s="1" a="1"/>
  <c r="BW1003" i="34" s="1"/>
  <c r="BT1003" i="34"/>
  <c r="BY1003" i="34"/>
  <c r="BZ1003" i="34"/>
  <c r="CB1003" i="34" a="1"/>
  <c r="CB1003" i="34"/>
  <c r="CC1003" i="34" a="1"/>
  <c r="CC1003" i="34" s="1"/>
  <c r="CE1003" i="34"/>
  <c r="CF1003" i="34"/>
  <c r="CH1003" i="34" a="1"/>
  <c r="CH1003" i="34"/>
  <c r="CI1003" i="34" a="1"/>
  <c r="CI1003" i="34" s="1"/>
  <c r="CK1003" i="34"/>
  <c r="CL1003" i="34"/>
  <c r="CQ1003" i="34" a="1"/>
  <c r="CQ1003" i="34"/>
  <c r="CR1003" i="34"/>
  <c r="CW1003" i="34"/>
  <c r="CX1003" i="34"/>
  <c r="DC1003" i="34"/>
  <c r="DD1003" i="34"/>
  <c r="DF1003" i="34" a="1"/>
  <c r="DF1003" i="34"/>
  <c r="DG1003" i="34" a="1"/>
  <c r="DG1003" i="34" s="1"/>
  <c r="DI1003" i="34"/>
  <c r="DJ1003" i="34"/>
  <c r="DL1003" i="34" a="1"/>
  <c r="DL1003" i="34"/>
  <c r="DM1003" i="34" a="1"/>
  <c r="DM1003" i="34"/>
  <c r="DO1003" i="34"/>
  <c r="DP1003" i="34"/>
  <c r="DU1003" i="34"/>
  <c r="DY1003" i="34" s="1" a="1"/>
  <c r="DY1003" i="34" s="1"/>
  <c r="DV1003" i="34"/>
  <c r="DX1003" i="34" a="1"/>
  <c r="DX1003" i="34" s="1"/>
  <c r="EA1003" i="34"/>
  <c r="EE1003" i="34" s="1" a="1"/>
  <c r="EE1003" i="34" s="1"/>
  <c r="EB1003" i="34"/>
  <c r="ED1003" i="34" a="1"/>
  <c r="ED1003" i="34"/>
  <c r="BS1004" i="34"/>
  <c r="BV1004" i="34" s="1" a="1"/>
  <c r="BV1004" i="34" s="1"/>
  <c r="BT1004" i="34"/>
  <c r="BW1004" i="34" a="1"/>
  <c r="BW1004" i="34"/>
  <c r="BY1004" i="34"/>
  <c r="BZ1004" i="34"/>
  <c r="CE1004" i="34"/>
  <c r="CF1004" i="34"/>
  <c r="CK1004" i="34"/>
  <c r="CL1004" i="34"/>
  <c r="CN1004" i="34" a="1"/>
  <c r="CN1004" i="34"/>
  <c r="CO1004" i="34" a="1"/>
  <c r="CO1004" i="34" s="1"/>
  <c r="CQ1004" i="34" a="1"/>
  <c r="CQ1004" i="34" s="1"/>
  <c r="CT1004" i="34" s="1" a="1"/>
  <c r="CT1004" i="34" s="1"/>
  <c r="CR1004" i="34"/>
  <c r="CW1004" i="34"/>
  <c r="CX1004" i="34"/>
  <c r="DC1004" i="34"/>
  <c r="DD1004" i="34"/>
  <c r="DF1004" i="34" s="1" a="1"/>
  <c r="DF1004" i="34" s="1"/>
  <c r="DI1004" i="34"/>
  <c r="DJ1004" i="34"/>
  <c r="DM1004" i="34" s="1" a="1"/>
  <c r="DM1004" i="34" s="1"/>
  <c r="DL1004" i="34" a="1"/>
  <c r="DL1004" i="34" s="1"/>
  <c r="DO1004" i="34"/>
  <c r="DR1004" i="34" s="1" a="1"/>
  <c r="DR1004" i="34" s="1"/>
  <c r="DP1004" i="34"/>
  <c r="DS1004" i="34" a="1"/>
  <c r="DS1004" i="34"/>
  <c r="DU1004" i="34"/>
  <c r="DV1004" i="34"/>
  <c r="EA1004" i="34"/>
  <c r="EE1004" i="34" s="1" a="1"/>
  <c r="EE1004" i="34" s="1"/>
  <c r="EB1004" i="34"/>
  <c r="ED1004" i="34" a="1"/>
  <c r="ED1004" i="34" s="1"/>
  <c r="BS1005" i="34"/>
  <c r="BT1005" i="34"/>
  <c r="BV1005" i="34" a="1"/>
  <c r="BV1005" i="34"/>
  <c r="BW1005" i="34" a="1"/>
  <c r="BW1005" i="34" s="1"/>
  <c r="BY1005" i="34"/>
  <c r="BZ1005" i="34"/>
  <c r="CB1005" i="34" a="1"/>
  <c r="CB1005" i="34"/>
  <c r="CC1005" i="34" a="1"/>
  <c r="CC1005" i="34" s="1"/>
  <c r="CE1005" i="34"/>
  <c r="CF1005" i="34"/>
  <c r="CK1005" i="34"/>
  <c r="CO1005" i="34" s="1" a="1"/>
  <c r="CO1005" i="34" s="1"/>
  <c r="CL1005" i="34"/>
  <c r="CN1005" i="34" a="1"/>
  <c r="CN1005" i="34" s="1"/>
  <c r="CQ1005" i="34" a="1"/>
  <c r="CQ1005" i="34"/>
  <c r="CR1005" i="34"/>
  <c r="CW1005" i="34"/>
  <c r="CX1005" i="34"/>
  <c r="CZ1005" i="34" a="1"/>
  <c r="CZ1005" i="34"/>
  <c r="DA1005" i="34" a="1"/>
  <c r="DA1005" i="34"/>
  <c r="DC1005" i="34"/>
  <c r="DD1005" i="34"/>
  <c r="DF1005" i="34" a="1"/>
  <c r="DF1005" i="34"/>
  <c r="DG1005" i="34" a="1"/>
  <c r="DG1005" i="34"/>
  <c r="DI1005" i="34"/>
  <c r="DJ1005" i="34"/>
  <c r="DO1005" i="34"/>
  <c r="DS1005" i="34" s="1" a="1"/>
  <c r="DS1005" i="34" s="1"/>
  <c r="DP1005" i="34"/>
  <c r="DR1005" i="34" a="1"/>
  <c r="DR1005" i="34" s="1"/>
  <c r="DU1005" i="34"/>
  <c r="DY1005" i="34" s="1" a="1"/>
  <c r="DV1005" i="34"/>
  <c r="DX1005" i="34" a="1"/>
  <c r="DX1005" i="34"/>
  <c r="DY1005" i="34"/>
  <c r="EA1005" i="34"/>
  <c r="ED1005" i="34" s="1" a="1"/>
  <c r="ED1005" i="34" s="1"/>
  <c r="EB1005" i="34"/>
  <c r="EE1005" i="34" a="1"/>
  <c r="EE1005" i="34"/>
  <c r="BS1006" i="34"/>
  <c r="BT1006" i="34"/>
  <c r="BY1006" i="34"/>
  <c r="BZ1006" i="34"/>
  <c r="CE1006" i="34"/>
  <c r="CF1006" i="34"/>
  <c r="CH1006" i="34" a="1"/>
  <c r="CH1006" i="34"/>
  <c r="CI1006" i="34" a="1"/>
  <c r="CI1006" i="34"/>
  <c r="CK1006" i="34"/>
  <c r="CL1006" i="34"/>
  <c r="CN1006" i="34" a="1"/>
  <c r="CN1006" i="34"/>
  <c r="CO1006" i="34" a="1"/>
  <c r="CO1006" i="34"/>
  <c r="CQ1006" i="34" a="1"/>
  <c r="CQ1006" i="34"/>
  <c r="CR1006" i="34"/>
  <c r="CW1006" i="34"/>
  <c r="CX1006" i="34"/>
  <c r="CZ1006" i="34" s="1" a="1"/>
  <c r="CZ1006" i="34" s="1"/>
  <c r="DC1006" i="34"/>
  <c r="DD1006" i="34"/>
  <c r="DF1006" i="34" a="1"/>
  <c r="DF1006" i="34" s="1"/>
  <c r="DG1006" i="34" a="1"/>
  <c r="DG1006" i="34" s="1"/>
  <c r="DI1006" i="34"/>
  <c r="DL1006" i="34" s="1" a="1"/>
  <c r="DL1006" i="34" s="1"/>
  <c r="DJ1006" i="34"/>
  <c r="DM1006" i="34" a="1"/>
  <c r="DM1006" i="34"/>
  <c r="DO1006" i="34"/>
  <c r="DP1006" i="34"/>
  <c r="DU1006" i="34"/>
  <c r="DY1006" i="34" s="1" a="1"/>
  <c r="DY1006" i="34" s="1"/>
  <c r="DV1006" i="34"/>
  <c r="EA1006" i="34"/>
  <c r="EB1006" i="34"/>
  <c r="ED1006" i="34" a="1"/>
  <c r="ED1006" i="34"/>
  <c r="EE1006" i="34" a="1"/>
  <c r="EE1006" i="34" s="1"/>
  <c r="BS1007" i="34"/>
  <c r="BT1007" i="34"/>
  <c r="BV1007" i="34" a="1"/>
  <c r="BV1007" i="34"/>
  <c r="BW1007" i="34" a="1"/>
  <c r="BW1007" i="34" s="1"/>
  <c r="BY1007" i="34"/>
  <c r="BZ1007" i="34"/>
  <c r="CE1007" i="34"/>
  <c r="CI1007" i="34" s="1" a="1"/>
  <c r="CI1007" i="34" s="1"/>
  <c r="CF1007" i="34"/>
  <c r="CH1007" i="34" a="1"/>
  <c r="CH1007" i="34" s="1"/>
  <c r="CK1007" i="34"/>
  <c r="CL1007" i="34"/>
  <c r="CN1007" i="34" s="1" a="1"/>
  <c r="CN1007" i="34" s="1"/>
  <c r="CQ1007" i="34" a="1"/>
  <c r="CQ1007" i="34" s="1"/>
  <c r="CT1007" i="34" s="1" a="1"/>
  <c r="CT1007" i="34" s="1"/>
  <c r="CR1007" i="34"/>
  <c r="CU1007" i="34" a="1"/>
  <c r="CU1007" i="34"/>
  <c r="CW1007" i="34"/>
  <c r="CX1007" i="34"/>
  <c r="CZ1007" i="34" a="1"/>
  <c r="CZ1007" i="34"/>
  <c r="DA1007" i="34" a="1"/>
  <c r="DA1007" i="34"/>
  <c r="DC1007" i="34"/>
  <c r="DD1007" i="34"/>
  <c r="DF1007" i="34" s="1" a="1"/>
  <c r="DF1007" i="34" s="1"/>
  <c r="DI1007" i="34"/>
  <c r="DM1007" i="34" s="1" a="1"/>
  <c r="DM1007" i="34" s="1"/>
  <c r="DJ1007" i="34"/>
  <c r="DL1007" i="34" a="1"/>
  <c r="DL1007" i="34" s="1"/>
  <c r="DO1007" i="34"/>
  <c r="DS1007" i="34" s="1" a="1"/>
  <c r="DP1007" i="34"/>
  <c r="DR1007" i="34" a="1"/>
  <c r="DR1007" i="34" s="1"/>
  <c r="DS1007" i="34"/>
  <c r="DU1007" i="34"/>
  <c r="DX1007" i="34" s="1" a="1"/>
  <c r="DX1007" i="34" s="1"/>
  <c r="DV1007" i="34"/>
  <c r="DY1007" i="34" a="1"/>
  <c r="DY1007" i="34"/>
  <c r="EA1007" i="34"/>
  <c r="EB1007" i="34"/>
  <c r="BS1008" i="34"/>
  <c r="BT1008" i="34"/>
  <c r="BY1008" i="34"/>
  <c r="BZ1008" i="34"/>
  <c r="CB1008" i="34" a="1"/>
  <c r="CB1008" i="34"/>
  <c r="CC1008" i="34" a="1"/>
  <c r="CC1008" i="34" s="1"/>
  <c r="CE1008" i="34"/>
  <c r="CF1008" i="34"/>
  <c r="CH1008" i="34" a="1"/>
  <c r="CH1008" i="34"/>
  <c r="CI1008" i="34" a="1"/>
  <c r="CI1008" i="34"/>
  <c r="CK1008" i="34"/>
  <c r="CL1008" i="34"/>
  <c r="CN1008" i="34" s="1" a="1"/>
  <c r="CN1008" i="34" s="1"/>
  <c r="CQ1008" i="34" a="1"/>
  <c r="CQ1008" i="34"/>
  <c r="CR1008" i="34"/>
  <c r="CT1008" i="34" s="1" a="1"/>
  <c r="CT1008" i="34" s="1"/>
  <c r="CW1008" i="34"/>
  <c r="CX1008" i="34"/>
  <c r="CZ1008" i="34" a="1"/>
  <c r="CZ1008" i="34" s="1"/>
  <c r="DA1008" i="34" a="1"/>
  <c r="DA1008" i="34" s="1"/>
  <c r="DC1008" i="34"/>
  <c r="DF1008" i="34" s="1" a="1"/>
  <c r="DF1008" i="34" s="1"/>
  <c r="DD1008" i="34"/>
  <c r="DG1008" i="34" a="1"/>
  <c r="DG1008" i="34"/>
  <c r="DI1008" i="34"/>
  <c r="DJ1008" i="34"/>
  <c r="DO1008" i="34"/>
  <c r="DS1008" i="34" s="1" a="1"/>
  <c r="DS1008" i="34" s="1"/>
  <c r="DP1008" i="34"/>
  <c r="DU1008" i="34"/>
  <c r="DV1008" i="34"/>
  <c r="DX1008" i="34" a="1"/>
  <c r="DX1008" i="34"/>
  <c r="DY1008" i="34" a="1"/>
  <c r="DY1008" i="34" s="1"/>
  <c r="EA1008" i="34"/>
  <c r="EB1008" i="34"/>
  <c r="ED1008" i="34" a="1"/>
  <c r="ED1008" i="34"/>
  <c r="EE1008" i="34" a="1"/>
  <c r="EE1008" i="34" s="1"/>
  <c r="BS1009" i="34"/>
  <c r="BT1009" i="34"/>
  <c r="BY1009" i="34"/>
  <c r="BZ1009" i="34"/>
  <c r="CB1009" i="34" s="1" a="1"/>
  <c r="CB1009" i="34" s="1"/>
  <c r="CE1009" i="34"/>
  <c r="CF1009" i="34"/>
  <c r="CH1009" i="34" s="1" a="1"/>
  <c r="CH1009" i="34" s="1"/>
  <c r="CK1009" i="34"/>
  <c r="CN1009" i="34" s="1" a="1"/>
  <c r="CN1009" i="34" s="1"/>
  <c r="CL1009" i="34"/>
  <c r="CO1009" i="34" a="1"/>
  <c r="CO1009" i="34"/>
  <c r="CQ1009" i="34" a="1"/>
  <c r="CQ1009" i="34" s="1"/>
  <c r="CT1009" i="34" s="1" a="1"/>
  <c r="CT1009" i="34" s="1"/>
  <c r="CR1009" i="34"/>
  <c r="CW1009" i="34"/>
  <c r="DA1009" i="34" s="1" a="1"/>
  <c r="DA1009" i="34" s="1"/>
  <c r="CX1009" i="34"/>
  <c r="CZ1009" i="34" s="1" a="1"/>
  <c r="CZ1009" i="34" s="1"/>
  <c r="DC1009" i="34"/>
  <c r="DG1009" i="34" s="1" a="1"/>
  <c r="DG1009" i="34" s="1"/>
  <c r="DD1009" i="34"/>
  <c r="DF1009" i="34" a="1"/>
  <c r="DF1009" i="34" s="1"/>
  <c r="DI1009" i="34"/>
  <c r="DM1009" i="34" s="1" a="1"/>
  <c r="DJ1009" i="34"/>
  <c r="DL1009" i="34" a="1"/>
  <c r="DL1009" i="34"/>
  <c r="DM1009" i="34"/>
  <c r="DO1009" i="34"/>
  <c r="DR1009" i="34" s="1" a="1"/>
  <c r="DR1009" i="34" s="1"/>
  <c r="DP1009" i="34"/>
  <c r="DS1009" i="34" a="1"/>
  <c r="DS1009" i="34"/>
  <c r="DU1009" i="34"/>
  <c r="DV1009" i="34"/>
  <c r="EA1009" i="34"/>
  <c r="EB1009" i="34"/>
  <c r="BS1010" i="34"/>
  <c r="BT1010" i="34"/>
  <c r="BV1010" i="34" a="1"/>
  <c r="BV1010" i="34"/>
  <c r="BW1010" i="34" a="1"/>
  <c r="BW1010" i="34"/>
  <c r="BY1010" i="34"/>
  <c r="BZ1010" i="34"/>
  <c r="CB1010" i="34" a="1"/>
  <c r="CB1010" i="34"/>
  <c r="CC1010" i="34" a="1"/>
  <c r="CC1010" i="34"/>
  <c r="CE1010" i="34"/>
  <c r="CI1010" i="34" s="1" a="1"/>
  <c r="CI1010" i="34" s="1"/>
  <c r="CF1010" i="34"/>
  <c r="CH1010" i="34" s="1" a="1"/>
  <c r="CH1010" i="34" s="1"/>
  <c r="CK1010" i="34"/>
  <c r="CO1010" i="34" s="1" a="1"/>
  <c r="CO1010" i="34" s="1"/>
  <c r="CL1010" i="34"/>
  <c r="CN1010" i="34" a="1"/>
  <c r="CN1010" i="34" s="1"/>
  <c r="CQ1010" i="34" a="1"/>
  <c r="CQ1010" i="34"/>
  <c r="CR1010" i="34"/>
  <c r="CT1010" i="34" a="1"/>
  <c r="CT1010" i="34" s="1"/>
  <c r="CU1010" i="34" a="1"/>
  <c r="CU1010" i="34" s="1"/>
  <c r="CW1010" i="34"/>
  <c r="CZ1010" i="34" s="1" a="1"/>
  <c r="CZ1010" i="34" s="1"/>
  <c r="CX1010" i="34"/>
  <c r="DA1010" i="34" a="1"/>
  <c r="DA1010" i="34"/>
  <c r="DC1010" i="34"/>
  <c r="DD1010" i="34"/>
  <c r="DI1010" i="34"/>
  <c r="DM1010" i="34" s="1" a="1"/>
  <c r="DM1010" i="34" s="1"/>
  <c r="DJ1010" i="34"/>
  <c r="DO1010" i="34"/>
  <c r="DP1010" i="34"/>
  <c r="DR1010" i="34" a="1"/>
  <c r="DR1010" i="34"/>
  <c r="DS1010" i="34" a="1"/>
  <c r="DS1010" i="34" s="1"/>
  <c r="DU1010" i="34"/>
  <c r="DV1010" i="34"/>
  <c r="DX1010" i="34" a="1"/>
  <c r="DX1010" i="34"/>
  <c r="DY1010" i="34" a="1"/>
  <c r="DY1010" i="34" s="1"/>
  <c r="EA1010" i="34"/>
  <c r="EB1010" i="34"/>
  <c r="BS1011" i="34"/>
  <c r="BT1011" i="34"/>
  <c r="BV1011" i="34" s="1" a="1"/>
  <c r="BV1011" i="34" s="1"/>
  <c r="BY1011" i="34"/>
  <c r="BZ1011" i="34"/>
  <c r="CC1011" i="34" s="1" a="1"/>
  <c r="CC1011" i="34" s="1"/>
  <c r="CB1011" i="34" a="1"/>
  <c r="CB1011" i="34" s="1"/>
  <c r="CE1011" i="34"/>
  <c r="CH1011" i="34" s="1" a="1"/>
  <c r="CH1011" i="34" s="1"/>
  <c r="CF1011" i="34"/>
  <c r="CI1011" i="34" a="1"/>
  <c r="CI1011" i="34"/>
  <c r="CK1011" i="34"/>
  <c r="CL1011" i="34"/>
  <c r="CQ1011" i="34" a="1"/>
  <c r="CQ1011" i="34" s="1"/>
  <c r="CR1011" i="34"/>
  <c r="CW1011" i="34"/>
  <c r="DA1011" i="34" s="1" a="1"/>
  <c r="DA1011" i="34" s="1"/>
  <c r="CX1011" i="34"/>
  <c r="CZ1011" i="34" a="1"/>
  <c r="CZ1011" i="34"/>
  <c r="DC1011" i="34"/>
  <c r="DG1011" i="34" s="1" a="1"/>
  <c r="DD1011" i="34"/>
  <c r="DF1011" i="34" a="1"/>
  <c r="DF1011" i="34"/>
  <c r="DG1011" i="34"/>
  <c r="DI1011" i="34"/>
  <c r="DL1011" i="34" s="1" a="1"/>
  <c r="DL1011" i="34" s="1"/>
  <c r="DJ1011" i="34"/>
  <c r="DM1011" i="34" a="1"/>
  <c r="DM1011" i="34"/>
  <c r="DO1011" i="34"/>
  <c r="DP1011" i="34"/>
  <c r="DU1011" i="34"/>
  <c r="DV1011" i="34"/>
  <c r="EA1011" i="34"/>
  <c r="EB1011" i="34"/>
  <c r="ED1011" i="34" a="1"/>
  <c r="ED1011" i="34"/>
  <c r="EE1011" i="34" a="1"/>
  <c r="EE1011" i="34"/>
  <c r="BS1012" i="34"/>
  <c r="BT1012" i="34"/>
  <c r="BV1012" i="34" a="1"/>
  <c r="BV1012" i="34"/>
  <c r="BW1012" i="34" a="1"/>
  <c r="BW1012" i="34" s="1"/>
  <c r="BY1012" i="34"/>
  <c r="BZ1012" i="34"/>
  <c r="CE1012" i="34"/>
  <c r="CI1012" i="34" s="1" a="1"/>
  <c r="CI1012" i="34" s="1"/>
  <c r="CF1012" i="34"/>
  <c r="CH1012" i="34" a="1"/>
  <c r="CH1012" i="34"/>
  <c r="CK1012" i="34"/>
  <c r="CO1012" i="34" s="1" a="1"/>
  <c r="CL1012" i="34"/>
  <c r="CN1012" i="34" a="1"/>
  <c r="CN1012" i="34"/>
  <c r="CO1012" i="34"/>
  <c r="CQ1012" i="34" a="1"/>
  <c r="CQ1012" i="34" s="1"/>
  <c r="CR1012" i="34"/>
  <c r="CW1012" i="34"/>
  <c r="CX1012" i="34"/>
  <c r="DC1012" i="34"/>
  <c r="DG1012" i="34" s="1" a="1"/>
  <c r="DG1012" i="34" s="1"/>
  <c r="DD1012" i="34"/>
  <c r="DF1012" i="34" a="1"/>
  <c r="DF1012" i="34" s="1"/>
  <c r="DI1012" i="34"/>
  <c r="DJ1012" i="34"/>
  <c r="DL1012" i="34" a="1"/>
  <c r="DL1012" i="34"/>
  <c r="DM1012" i="34" a="1"/>
  <c r="DM1012" i="34" s="1"/>
  <c r="DO1012" i="34"/>
  <c r="DP1012" i="34"/>
  <c r="DR1012" i="34" a="1"/>
  <c r="DR1012" i="34"/>
  <c r="DS1012" i="34" a="1"/>
  <c r="DS1012" i="34" s="1"/>
  <c r="DU1012" i="34"/>
  <c r="DV1012" i="34"/>
  <c r="EA1012" i="34"/>
  <c r="EB1012" i="34"/>
  <c r="ED1012" i="34" a="1"/>
  <c r="ED1012" i="34" s="1"/>
  <c r="BS1013" i="34"/>
  <c r="BT1013" i="34"/>
  <c r="BV1013" i="34" a="1"/>
  <c r="BV1013" i="34" s="1"/>
  <c r="BW1013" i="34" a="1"/>
  <c r="BW1013" i="34" s="1"/>
  <c r="BY1013" i="34"/>
  <c r="CB1013" i="34" s="1" a="1"/>
  <c r="CB1013" i="34" s="1"/>
  <c r="BZ1013" i="34"/>
  <c r="CC1013" i="34" a="1"/>
  <c r="CC1013" i="34"/>
  <c r="CE1013" i="34"/>
  <c r="CF1013" i="34"/>
  <c r="CK1013" i="34"/>
  <c r="CO1013" i="34" s="1" a="1"/>
  <c r="CO1013" i="34" s="1"/>
  <c r="CL1013" i="34"/>
  <c r="CQ1013" i="34" a="1"/>
  <c r="CQ1013" i="34"/>
  <c r="CU1013" i="34" s="1" a="1"/>
  <c r="CU1013" i="34" s="1"/>
  <c r="CR1013" i="34"/>
  <c r="CT1013" i="34" a="1"/>
  <c r="CT1013" i="34"/>
  <c r="CW1013" i="34"/>
  <c r="DA1013" i="34" s="1" a="1"/>
  <c r="CX1013" i="34"/>
  <c r="CZ1013" i="34" a="1"/>
  <c r="CZ1013" i="34"/>
  <c r="DA1013" i="34"/>
  <c r="DC1013" i="34"/>
  <c r="DF1013" i="34" s="1" a="1"/>
  <c r="DF1013" i="34" s="1"/>
  <c r="DD1013" i="34"/>
  <c r="DG1013" i="34" a="1"/>
  <c r="DG1013" i="34"/>
  <c r="DI1013" i="34"/>
  <c r="DJ1013" i="34"/>
  <c r="DO1013" i="34"/>
  <c r="DP1013" i="34"/>
  <c r="DU1013" i="34"/>
  <c r="DV1013" i="34"/>
  <c r="DX1013" i="34" a="1"/>
  <c r="DX1013" i="34"/>
  <c r="DY1013" i="34" a="1"/>
  <c r="DY1013" i="34"/>
  <c r="EA1013" i="34"/>
  <c r="EB1013" i="34"/>
  <c r="ED1013" i="34" a="1"/>
  <c r="ED1013" i="34"/>
  <c r="EE1013" i="34" a="1"/>
  <c r="EE1013" i="34" s="1"/>
  <c r="BS1014" i="34"/>
  <c r="BT1014" i="34"/>
  <c r="BY1014" i="34"/>
  <c r="CC1014" i="34" s="1" a="1"/>
  <c r="CC1014" i="34" s="1"/>
  <c r="BZ1014" i="34"/>
  <c r="CB1014" i="34" a="1"/>
  <c r="CB1014" i="34"/>
  <c r="CE1014" i="34"/>
  <c r="CI1014" i="34" s="1" a="1"/>
  <c r="CF1014" i="34"/>
  <c r="CH1014" i="34" a="1"/>
  <c r="CH1014" i="34"/>
  <c r="CI1014" i="34"/>
  <c r="CK1014" i="34"/>
  <c r="CN1014" i="34" s="1" a="1"/>
  <c r="CN1014" i="34" s="1"/>
  <c r="CL1014" i="34"/>
  <c r="CO1014" i="34" a="1"/>
  <c r="CO1014" i="34"/>
  <c r="CQ1014" i="34" a="1"/>
  <c r="CQ1014" i="34"/>
  <c r="CR1014" i="34"/>
  <c r="CW1014" i="34"/>
  <c r="DA1014" i="34" s="1" a="1"/>
  <c r="DA1014" i="34" s="1"/>
  <c r="CX1014" i="34"/>
  <c r="DC1014" i="34"/>
  <c r="DD1014" i="34"/>
  <c r="DF1014" i="34" a="1"/>
  <c r="DF1014" i="34"/>
  <c r="DG1014" i="34" a="1"/>
  <c r="DG1014" i="34" s="1"/>
  <c r="DI1014" i="34"/>
  <c r="DJ1014" i="34"/>
  <c r="DL1014" i="34" a="1"/>
  <c r="DL1014" i="34"/>
  <c r="DM1014" i="34" a="1"/>
  <c r="DM1014" i="34" s="1"/>
  <c r="DO1014" i="34"/>
  <c r="DP1014" i="34"/>
  <c r="DU1014" i="34"/>
  <c r="DV1014" i="34"/>
  <c r="DX1014" i="34" s="1" a="1"/>
  <c r="DX1014" i="34" s="1"/>
  <c r="EA1014" i="34"/>
  <c r="EB1014" i="34"/>
  <c r="ED1014" i="34" s="1" a="1"/>
  <c r="ED1014" i="34" s="1"/>
  <c r="BS1015" i="34"/>
  <c r="BV1015" i="34" s="1" a="1"/>
  <c r="BV1015" i="34" s="1"/>
  <c r="BT1015" i="34"/>
  <c r="BW1015" i="34" a="1"/>
  <c r="BW1015" i="34"/>
  <c r="BY1015" i="34"/>
  <c r="BZ1015" i="34"/>
  <c r="CE1015" i="34"/>
  <c r="CI1015" i="34" s="1" a="1"/>
  <c r="CI1015" i="34" s="1"/>
  <c r="CF1015" i="34"/>
  <c r="CH1015" i="34" a="1"/>
  <c r="CH1015" i="34" s="1"/>
  <c r="CK1015" i="34"/>
  <c r="CL1015" i="34"/>
  <c r="CN1015" i="34" a="1"/>
  <c r="CN1015" i="34"/>
  <c r="CO1015" i="34" a="1"/>
  <c r="CO1015" i="34" s="1"/>
  <c r="CQ1015" i="34" a="1"/>
  <c r="CQ1015" i="34"/>
  <c r="CU1015" i="34" s="1" a="1"/>
  <c r="CU1015" i="34" s="1"/>
  <c r="CR1015" i="34"/>
  <c r="CT1015" i="34" a="1"/>
  <c r="CT1015" i="34" s="1"/>
  <c r="CW1015" i="34"/>
  <c r="CZ1015" i="34" s="1" a="1"/>
  <c r="CZ1015" i="34" s="1"/>
  <c r="CX1015" i="34"/>
  <c r="DA1015" i="34" a="1"/>
  <c r="DA1015" i="34"/>
  <c r="DC1015" i="34"/>
  <c r="DD1015" i="34"/>
  <c r="DI1015" i="34"/>
  <c r="DJ1015" i="34"/>
  <c r="DO1015" i="34"/>
  <c r="DP1015" i="34"/>
  <c r="DR1015" i="34" a="1"/>
  <c r="DR1015" i="34"/>
  <c r="DS1015" i="34" a="1"/>
  <c r="DS1015" i="34" s="1"/>
  <c r="DU1015" i="34"/>
  <c r="DV1015" i="34"/>
  <c r="DX1015" i="34" a="1"/>
  <c r="DX1015" i="34"/>
  <c r="DY1015" i="34" a="1"/>
  <c r="DY1015" i="34"/>
  <c r="EA1015" i="34"/>
  <c r="EE1015" i="34" s="1" a="1"/>
  <c r="EE1015" i="34" s="1"/>
  <c r="EB1015" i="34"/>
  <c r="ED1015" i="34" s="1" a="1"/>
  <c r="ED1015" i="34" s="1"/>
  <c r="BS1016" i="34"/>
  <c r="BW1016" i="34" s="1" a="1"/>
  <c r="BW1016" i="34" s="1"/>
  <c r="BT1016" i="34"/>
  <c r="BV1016" i="34" a="1"/>
  <c r="BV1016" i="34" s="1"/>
  <c r="BY1016" i="34"/>
  <c r="CC1016" i="34" s="1" a="1"/>
  <c r="CC1016" i="34" s="1"/>
  <c r="BZ1016" i="34"/>
  <c r="CB1016" i="34" a="1"/>
  <c r="CB1016" i="34" s="1"/>
  <c r="CE1016" i="34"/>
  <c r="CH1016" i="34" s="1" a="1"/>
  <c r="CH1016" i="34" s="1"/>
  <c r="CF1016" i="34"/>
  <c r="CI1016" i="34" a="1"/>
  <c r="CI1016" i="34"/>
  <c r="CK1016" i="34"/>
  <c r="CL1016" i="34"/>
  <c r="CQ1016" i="34" a="1"/>
  <c r="CQ1016" i="34" s="1"/>
  <c r="CR1016" i="34"/>
  <c r="CW1016" i="34"/>
  <c r="CX1016" i="34"/>
  <c r="CZ1016" i="34" a="1"/>
  <c r="CZ1016" i="34"/>
  <c r="DA1016" i="34" a="1"/>
  <c r="DA1016" i="34" s="1"/>
  <c r="DC1016" i="34"/>
  <c r="DD1016" i="34"/>
  <c r="DF1016" i="34" a="1"/>
  <c r="DF1016" i="34"/>
  <c r="DG1016" i="34" a="1"/>
  <c r="DG1016" i="34" s="1"/>
  <c r="DI1016" i="34"/>
  <c r="DJ1016" i="34"/>
  <c r="DO1016" i="34"/>
  <c r="DS1016" i="34" s="1" a="1"/>
  <c r="DS1016" i="34" s="1"/>
  <c r="DP1016" i="34"/>
  <c r="DR1016" i="34" a="1"/>
  <c r="DR1016" i="34" s="1"/>
  <c r="DU1016" i="34"/>
  <c r="DV1016" i="34"/>
  <c r="DX1016" i="34" a="1"/>
  <c r="DX1016" i="34" s="1"/>
  <c r="DY1016" i="34" a="1"/>
  <c r="DY1016" i="34" s="1"/>
  <c r="EA1016" i="34"/>
  <c r="ED1016" i="34" s="1" a="1"/>
  <c r="ED1016" i="34" s="1"/>
  <c r="EB1016" i="34"/>
  <c r="EE1016" i="34" a="1"/>
  <c r="EE1016" i="34"/>
  <c r="H2" i="60"/>
  <c r="M465" i="79"/>
  <c r="CU1016" i="34" l="1" a="1"/>
  <c r="CU1016" i="34" s="1"/>
  <c r="CT1016" i="34" a="1"/>
  <c r="CT1016" i="34" s="1"/>
  <c r="CT938" i="34" a="1"/>
  <c r="CT938" i="34" s="1"/>
  <c r="CU938" i="34" a="1"/>
  <c r="CU938" i="34" s="1"/>
  <c r="CT921" i="34" a="1"/>
  <c r="CT921" i="34" s="1"/>
  <c r="CU921" i="34" a="1"/>
  <c r="CU921" i="34" s="1"/>
  <c r="CB1015" i="34" a="1"/>
  <c r="CB1015" i="34" s="1"/>
  <c r="CC1015" i="34" a="1"/>
  <c r="CC1015" i="34" s="1"/>
  <c r="CN1011" i="34" a="1"/>
  <c r="CN1011" i="34" s="1"/>
  <c r="CO1011" i="34" a="1"/>
  <c r="CO1011" i="34" s="1"/>
  <c r="DY1004" i="34" a="1"/>
  <c r="DY1004" i="34" s="1"/>
  <c r="DX1004" i="34" a="1"/>
  <c r="DX1004" i="34" s="1"/>
  <c r="CU1002" i="34" a="1"/>
  <c r="CU1002" i="34" s="1"/>
  <c r="CI994" i="34" a="1"/>
  <c r="CI994" i="34" s="1"/>
  <c r="CH994" i="34" a="1"/>
  <c r="CH994" i="34" s="1"/>
  <c r="ED993" i="34" a="1"/>
  <c r="ED993" i="34" s="1"/>
  <c r="DA993" i="34" a="1"/>
  <c r="DA993" i="34" s="1"/>
  <c r="CZ993" i="34" a="1"/>
  <c r="CZ993" i="34" s="1"/>
  <c r="DL992" i="34" a="1"/>
  <c r="DL992" i="34" s="1"/>
  <c r="DM992" i="34" a="1"/>
  <c r="DM992" i="34" s="1"/>
  <c r="DS987" i="34" a="1"/>
  <c r="DS987" i="34" s="1"/>
  <c r="CT980" i="34" a="1"/>
  <c r="CT980" i="34" s="1"/>
  <c r="CU980" i="34" a="1"/>
  <c r="CU980" i="34" s="1"/>
  <c r="CH973" i="34" a="1"/>
  <c r="CH973" i="34" s="1"/>
  <c r="CI973" i="34" a="1"/>
  <c r="CI973" i="34" s="1"/>
  <c r="DG959" i="34" a="1"/>
  <c r="DG959" i="34" s="1"/>
  <c r="DF959" i="34" a="1"/>
  <c r="DF959" i="34" s="1"/>
  <c r="CT950" i="34" a="1"/>
  <c r="CT950" i="34" s="1"/>
  <c r="CU950" i="34" a="1"/>
  <c r="CU950" i="34" s="1"/>
  <c r="ED930" i="34" a="1"/>
  <c r="ED930" i="34" s="1"/>
  <c r="EE930" i="34" a="1"/>
  <c r="EE930" i="34" s="1"/>
  <c r="CN923" i="34" a="1"/>
  <c r="CN923" i="34" s="1"/>
  <c r="CO923" i="34" a="1"/>
  <c r="CO923" i="34" s="1"/>
  <c r="CH892" i="34" a="1"/>
  <c r="CH892" i="34" s="1"/>
  <c r="CI892" i="34" a="1"/>
  <c r="CI892" i="34" s="1"/>
  <c r="CI978" i="34" a="1"/>
  <c r="CI978" i="34" s="1"/>
  <c r="CH978" i="34" a="1"/>
  <c r="CH978" i="34" s="1"/>
  <c r="ED914" i="34" a="1"/>
  <c r="ED914" i="34" s="1"/>
  <c r="EE914" i="34" a="1"/>
  <c r="EE914" i="34" s="1"/>
  <c r="CH1005" i="34" a="1"/>
  <c r="CH1005" i="34" s="1"/>
  <c r="CI1005" i="34" a="1"/>
  <c r="CI1005" i="34" s="1"/>
  <c r="CT1000" i="34" a="1"/>
  <c r="CT1000" i="34" s="1"/>
  <c r="BV993" i="34" a="1"/>
  <c r="BV993" i="34" s="1"/>
  <c r="BW993" i="34" a="1"/>
  <c r="BW993" i="34" s="1"/>
  <c r="CT966" i="34" a="1"/>
  <c r="CT966" i="34" s="1"/>
  <c r="CU966" i="34" a="1"/>
  <c r="CU966" i="34" s="1"/>
  <c r="ED962" i="34" a="1"/>
  <c r="ED962" i="34" s="1"/>
  <c r="EE962" i="34" a="1"/>
  <c r="EE962" i="34" s="1"/>
  <c r="DR950" i="34" a="1"/>
  <c r="DR950" i="34" s="1"/>
  <c r="DS950" i="34" a="1"/>
  <c r="DS950" i="34" s="1"/>
  <c r="ED946" i="34" a="1"/>
  <c r="ED946" i="34" s="1"/>
  <c r="EE946" i="34" a="1"/>
  <c r="EE946" i="34" s="1"/>
  <c r="DY937" i="34" a="1"/>
  <c r="DY937" i="34" s="1"/>
  <c r="DX937" i="34" a="1"/>
  <c r="DX937" i="34" s="1"/>
  <c r="CU931" i="34" a="1"/>
  <c r="CU931" i="34" s="1"/>
  <c r="CT931" i="34" a="1"/>
  <c r="CT931" i="34" s="1"/>
  <c r="CT920" i="34" a="1"/>
  <c r="CT920" i="34" s="1"/>
  <c r="CU915" i="34" a="1"/>
  <c r="CU915" i="34" s="1"/>
  <c r="CT915" i="34" a="1"/>
  <c r="CT915" i="34" s="1"/>
  <c r="CB911" i="34" a="1"/>
  <c r="CB911" i="34" s="1"/>
  <c r="CC911" i="34" a="1"/>
  <c r="CC911" i="34" s="1"/>
  <c r="DF905" i="34" a="1"/>
  <c r="DF905" i="34" s="1"/>
  <c r="DG905" i="34" a="1"/>
  <c r="DG905" i="34" s="1"/>
  <c r="CH941" i="34" a="1"/>
  <c r="CH941" i="34" s="1"/>
  <c r="CI941" i="34" a="1"/>
  <c r="CI941" i="34" s="1"/>
  <c r="DF994" i="34" a="1"/>
  <c r="DF994" i="34" s="1"/>
  <c r="DG994" i="34" a="1"/>
  <c r="DG994" i="34" s="1"/>
  <c r="DX993" i="34" a="1"/>
  <c r="DX993" i="34" s="1"/>
  <c r="DY993" i="34" a="1"/>
  <c r="DY993" i="34" s="1"/>
  <c r="DL984" i="34" a="1"/>
  <c r="DL984" i="34" s="1"/>
  <c r="DM984" i="34" a="1"/>
  <c r="DM984" i="34" s="1"/>
  <c r="CB975" i="34" a="1"/>
  <c r="CB975" i="34" s="1"/>
  <c r="CC975" i="34" a="1"/>
  <c r="CC975" i="34" s="1"/>
  <c r="DR966" i="34" a="1"/>
  <c r="DR966" i="34" s="1"/>
  <c r="DS966" i="34" a="1"/>
  <c r="DS966" i="34" s="1"/>
  <c r="CB959" i="34" a="1"/>
  <c r="CB959" i="34" s="1"/>
  <c r="CC959" i="34" a="1"/>
  <c r="CC959" i="34" s="1"/>
  <c r="CU947" i="34" a="1"/>
  <c r="CU947" i="34" s="1"/>
  <c r="CT947" i="34" a="1"/>
  <c r="CT947" i="34" s="1"/>
  <c r="CB943" i="34" a="1"/>
  <c r="CB943" i="34" s="1"/>
  <c r="CC943" i="34" a="1"/>
  <c r="CC943" i="34" s="1"/>
  <c r="CT937" i="34" a="1"/>
  <c r="CT937" i="34" s="1"/>
  <c r="CU937" i="34" a="1"/>
  <c r="CU937" i="34" s="1"/>
  <c r="CT934" i="34" a="1"/>
  <c r="CT934" i="34" s="1"/>
  <c r="CU934" i="34" a="1"/>
  <c r="CU934" i="34" s="1"/>
  <c r="BV913" i="34" a="1"/>
  <c r="BV913" i="34" s="1"/>
  <c r="BW913" i="34" a="1"/>
  <c r="BW913" i="34" s="1"/>
  <c r="CZ1012" i="34" a="1"/>
  <c r="CZ1012" i="34" s="1"/>
  <c r="DA1012" i="34" a="1"/>
  <c r="DA1012" i="34" s="1"/>
  <c r="DX995" i="34" a="1"/>
  <c r="DX995" i="34" s="1"/>
  <c r="ED994" i="34" a="1"/>
  <c r="ED994" i="34" s="1"/>
  <c r="EE994" i="34" a="1"/>
  <c r="EE994" i="34" s="1"/>
  <c r="CN987" i="34" a="1"/>
  <c r="CN987" i="34" s="1"/>
  <c r="CO987" i="34" a="1"/>
  <c r="CO987" i="34" s="1"/>
  <c r="BW982" i="34" a="1"/>
  <c r="BW982" i="34" s="1"/>
  <c r="BV982" i="34" a="1"/>
  <c r="BV982" i="34" s="1"/>
  <c r="CT976" i="34" a="1"/>
  <c r="CT976" i="34" s="1"/>
  <c r="CU976" i="34" a="1"/>
  <c r="CU976" i="34" s="1"/>
  <c r="CU963" i="34" a="1"/>
  <c r="CU963" i="34" s="1"/>
  <c r="CT963" i="34" a="1"/>
  <c r="CT963" i="34" s="1"/>
  <c r="CO960" i="34" a="1"/>
  <c r="CO960" i="34" s="1"/>
  <c r="CN960" i="34" a="1"/>
  <c r="CN960" i="34" s="1"/>
  <c r="DS955" i="34" a="1"/>
  <c r="DS955" i="34" s="1"/>
  <c r="DR955" i="34" a="1"/>
  <c r="DR955" i="34" s="1"/>
  <c r="DF954" i="34" a="1"/>
  <c r="DF954" i="34" s="1"/>
  <c r="DG954" i="34" a="1"/>
  <c r="DG954" i="34" s="1"/>
  <c r="CC948" i="34" a="1"/>
  <c r="CC948" i="34" s="1"/>
  <c r="CB948" i="34" a="1"/>
  <c r="CB948" i="34" s="1"/>
  <c r="CO944" i="34" a="1"/>
  <c r="CO944" i="34" s="1"/>
  <c r="CN944" i="34" a="1"/>
  <c r="CN944" i="34" s="1"/>
  <c r="DR934" i="34" a="1"/>
  <c r="DR934" i="34" s="1"/>
  <c r="DS934" i="34" a="1"/>
  <c r="DS934" i="34" s="1"/>
  <c r="CO928" i="34" a="1"/>
  <c r="CO928" i="34" s="1"/>
  <c r="CZ924" i="34" a="1"/>
  <c r="CZ924" i="34" s="1"/>
  <c r="DA924" i="34" a="1"/>
  <c r="DA924" i="34" s="1"/>
  <c r="ED902" i="34" a="1"/>
  <c r="ED902" i="34" s="1"/>
  <c r="EE902" i="34" a="1"/>
  <c r="EE902" i="34" s="1"/>
  <c r="CT873" i="34" a="1"/>
  <c r="CT873" i="34" s="1"/>
  <c r="CU873" i="34" a="1"/>
  <c r="CU873" i="34" s="1"/>
  <c r="DS1000" i="34" a="1"/>
  <c r="DS1000" i="34" s="1"/>
  <c r="DL999" i="34" a="1"/>
  <c r="DL999" i="34" s="1"/>
  <c r="CC996" i="34" a="1"/>
  <c r="CC996" i="34" s="1"/>
  <c r="CU995" i="34" a="1"/>
  <c r="CU995" i="34" s="1"/>
  <c r="CT995" i="34" a="1"/>
  <c r="CT995" i="34" s="1"/>
  <c r="CT993" i="34" a="1"/>
  <c r="CT993" i="34" s="1"/>
  <c r="CU993" i="34" a="1"/>
  <c r="CU993" i="34" s="1"/>
  <c r="ED978" i="34" a="1"/>
  <c r="ED978" i="34" s="1"/>
  <c r="EE978" i="34" a="1"/>
  <c r="EE978" i="34" s="1"/>
  <c r="CO976" i="34" a="1"/>
  <c r="CO976" i="34" s="1"/>
  <c r="CN976" i="34" a="1"/>
  <c r="CN976" i="34" s="1"/>
  <c r="DS971" i="34" a="1"/>
  <c r="DS971" i="34" s="1"/>
  <c r="DR971" i="34" a="1"/>
  <c r="DR971" i="34" s="1"/>
  <c r="DF970" i="34" a="1"/>
  <c r="DF970" i="34" s="1"/>
  <c r="DG970" i="34" a="1"/>
  <c r="DG970" i="34" s="1"/>
  <c r="EE967" i="34" a="1"/>
  <c r="EE967" i="34" s="1"/>
  <c r="ED967" i="34" a="1"/>
  <c r="ED967" i="34" s="1"/>
  <c r="CC964" i="34" a="1"/>
  <c r="CC964" i="34" s="1"/>
  <c r="CB964" i="34" a="1"/>
  <c r="CB964" i="34" s="1"/>
  <c r="EE951" i="34" a="1"/>
  <c r="EE951" i="34" s="1"/>
  <c r="CT927" i="34" a="1"/>
  <c r="CT927" i="34" s="1"/>
  <c r="CU927" i="34" a="1"/>
  <c r="CU927" i="34" s="1"/>
  <c r="DM925" i="34" a="1"/>
  <c r="DM925" i="34" s="1"/>
  <c r="CT919" i="34" a="1"/>
  <c r="CT919" i="34" s="1"/>
  <c r="CU919" i="34" a="1"/>
  <c r="CU919" i="34" s="1"/>
  <c r="BW918" i="34" a="1"/>
  <c r="BW918" i="34" s="1"/>
  <c r="DA913" i="34" a="1"/>
  <c r="DA913" i="34" s="1"/>
  <c r="DG911" i="34" a="1"/>
  <c r="DG911" i="34" s="1"/>
  <c r="CZ904" i="34" a="1"/>
  <c r="CZ904" i="34" s="1"/>
  <c r="DA904" i="34" a="1"/>
  <c r="DA904" i="34" s="1"/>
  <c r="DL892" i="34" a="1"/>
  <c r="DL892" i="34" s="1"/>
  <c r="DM892" i="34" a="1"/>
  <c r="DM892" i="34" s="1"/>
  <c r="CB887" i="34" a="1"/>
  <c r="CB887" i="34" s="1"/>
  <c r="CC887" i="34" a="1"/>
  <c r="CC887" i="34" s="1"/>
  <c r="ED874" i="34" a="1"/>
  <c r="ED874" i="34" s="1"/>
  <c r="EE874" i="34" a="1"/>
  <c r="EE874" i="34" s="1"/>
  <c r="EE1014" i="34" a="1"/>
  <c r="EE1014" i="34" s="1"/>
  <c r="CI1009" i="34" a="1"/>
  <c r="CI1009" i="34" s="1"/>
  <c r="CB1001" i="34" a="1"/>
  <c r="CB1001" i="34" s="1"/>
  <c r="EE999" i="34" a="1"/>
  <c r="EE999" i="34" s="1"/>
  <c r="DY998" i="34" a="1"/>
  <c r="DY998" i="34" s="1"/>
  <c r="BW998" i="34" a="1"/>
  <c r="BW998" i="34" s="1"/>
  <c r="BV998" i="34" a="1"/>
  <c r="BV998" i="34" s="1"/>
  <c r="DR997" i="34" a="1"/>
  <c r="DR997" i="34" s="1"/>
  <c r="EE996" i="34" a="1"/>
  <c r="EE996" i="34" s="1"/>
  <c r="DR995" i="34" a="1"/>
  <c r="DR995" i="34" s="1"/>
  <c r="DS995" i="34" a="1"/>
  <c r="DS995" i="34" s="1"/>
  <c r="DG988" i="34" a="1"/>
  <c r="DG988" i="34" s="1"/>
  <c r="CT986" i="34" a="1"/>
  <c r="CT986" i="34" s="1"/>
  <c r="CU986" i="34" a="1"/>
  <c r="CU986" i="34" s="1"/>
  <c r="DY985" i="34" a="1"/>
  <c r="DY985" i="34" s="1"/>
  <c r="DX985" i="34" a="1"/>
  <c r="DX985" i="34" s="1"/>
  <c r="DA901" i="34" a="1"/>
  <c r="DA901" i="34" s="1"/>
  <c r="CZ901" i="34" a="1"/>
  <c r="CZ901" i="34" s="1"/>
  <c r="DG897" i="34" a="1"/>
  <c r="DG897" i="34" s="1"/>
  <c r="DF897" i="34" a="1"/>
  <c r="DF897" i="34" s="1"/>
  <c r="CB895" i="34" a="1"/>
  <c r="CB895" i="34" s="1"/>
  <c r="CC895" i="34" a="1"/>
  <c r="CC895" i="34" s="1"/>
  <c r="CO1007" i="34" a="1"/>
  <c r="CO1007" i="34" s="1"/>
  <c r="CN1002" i="34" a="1"/>
  <c r="CN1002" i="34" s="1"/>
  <c r="DY1001" i="34" a="1"/>
  <c r="DY1001" i="34" s="1"/>
  <c r="DX1001" i="34" a="1"/>
  <c r="DX1001" i="34" s="1"/>
  <c r="DL1000" i="34" a="1"/>
  <c r="DL1000" i="34" s="1"/>
  <c r="DM1000" i="34" a="1"/>
  <c r="DM1000" i="34" s="1"/>
  <c r="CN1000" i="34" a="1"/>
  <c r="CN1000" i="34" s="1"/>
  <c r="CO1000" i="34" a="1"/>
  <c r="CO1000" i="34" s="1"/>
  <c r="DF999" i="34" a="1"/>
  <c r="DF999" i="34" s="1"/>
  <c r="DG999" i="34" a="1"/>
  <c r="DG999" i="34" s="1"/>
  <c r="CH999" i="34" a="1"/>
  <c r="CH999" i="34" s="1"/>
  <c r="CT998" i="34" a="1"/>
  <c r="CT998" i="34" s="1"/>
  <c r="CU998" i="34" a="1"/>
  <c r="CU998" i="34" s="1"/>
  <c r="CN997" i="34" a="1"/>
  <c r="CN997" i="34" s="1"/>
  <c r="CZ996" i="34" a="1"/>
  <c r="CZ996" i="34" s="1"/>
  <c r="DA996" i="34" a="1"/>
  <c r="DA996" i="34" s="1"/>
  <c r="CN995" i="34" a="1"/>
  <c r="CN995" i="34" s="1"/>
  <c r="CO995" i="34" a="1"/>
  <c r="CO995" i="34" s="1"/>
  <c r="CU979" i="34" a="1"/>
  <c r="CU979" i="34" s="1"/>
  <c r="CT979" i="34" a="1"/>
  <c r="CT979" i="34" s="1"/>
  <c r="CC932" i="34" a="1"/>
  <c r="CC932" i="34" s="1"/>
  <c r="CT913" i="34" a="1"/>
  <c r="CT913" i="34" s="1"/>
  <c r="CU913" i="34" a="1"/>
  <c r="CU913" i="34" s="1"/>
  <c r="EE905" i="34" a="1"/>
  <c r="EE905" i="34" s="1"/>
  <c r="ED905" i="34" a="1"/>
  <c r="ED905" i="34" s="1"/>
  <c r="DR998" i="34" a="1"/>
  <c r="DR998" i="34" s="1"/>
  <c r="DS998" i="34" a="1"/>
  <c r="DS998" i="34" s="1"/>
  <c r="DL997" i="34" a="1"/>
  <c r="DL997" i="34" s="1"/>
  <c r="DM997" i="34" a="1"/>
  <c r="DM997" i="34" s="1"/>
  <c r="DX996" i="34" a="1"/>
  <c r="DX996" i="34" s="1"/>
  <c r="DY996" i="34" a="1"/>
  <c r="DY996" i="34" s="1"/>
  <c r="CZ988" i="34" a="1"/>
  <c r="CZ988" i="34" s="1"/>
  <c r="DA988" i="34" a="1"/>
  <c r="DA988" i="34" s="1"/>
  <c r="CT982" i="34" a="1"/>
  <c r="CT982" i="34" s="1"/>
  <c r="CU982" i="34" a="1"/>
  <c r="CU982" i="34" s="1"/>
  <c r="BV929" i="34" a="1"/>
  <c r="BV929" i="34" s="1"/>
  <c r="BW929" i="34" a="1"/>
  <c r="BW929" i="34" s="1"/>
  <c r="CH925" i="34" a="1"/>
  <c r="CH925" i="34" s="1"/>
  <c r="CI925" i="34" a="1"/>
  <c r="CI925" i="34" s="1"/>
  <c r="ED862" i="34" a="1"/>
  <c r="ED862" i="34" s="1"/>
  <c r="EE862" i="34" a="1"/>
  <c r="EE862" i="34" s="1"/>
  <c r="CT969" i="34" a="1"/>
  <c r="CT969" i="34" s="1"/>
  <c r="CU969" i="34" a="1"/>
  <c r="CU969" i="34" s="1"/>
  <c r="CZ1014" i="34" a="1"/>
  <c r="CZ1014" i="34" s="1"/>
  <c r="DL1010" i="34" a="1"/>
  <c r="DL1010" i="34" s="1"/>
  <c r="DR1008" i="34" a="1"/>
  <c r="DR1008" i="34" s="1"/>
  <c r="CU1008" i="34" a="1"/>
  <c r="CU1008" i="34" s="1"/>
  <c r="CH1002" i="34" a="1"/>
  <c r="CH1002" i="34" s="1"/>
  <c r="CI1002" i="34" a="1"/>
  <c r="CI1002" i="34" s="1"/>
  <c r="CZ1001" i="34" a="1"/>
  <c r="CZ1001" i="34" s="1"/>
  <c r="DA1001" i="34" a="1"/>
  <c r="DA1001" i="34" s="1"/>
  <c r="CT985" i="34" a="1"/>
  <c r="CT985" i="34" s="1"/>
  <c r="CU985" i="34" a="1"/>
  <c r="CU985" i="34" s="1"/>
  <c r="DR982" i="34" a="1"/>
  <c r="DR982" i="34" s="1"/>
  <c r="DS982" i="34" a="1"/>
  <c r="DS982" i="34" s="1"/>
  <c r="CC980" i="34" a="1"/>
  <c r="CC980" i="34" s="1"/>
  <c r="CB980" i="34" a="1"/>
  <c r="CB980" i="34" s="1"/>
  <c r="CN955" i="34" a="1"/>
  <c r="CN955" i="34" s="1"/>
  <c r="CO955" i="34" a="1"/>
  <c r="CO955" i="34" s="1"/>
  <c r="DL952" i="34" a="1"/>
  <c r="DL952" i="34" s="1"/>
  <c r="DM952" i="34" a="1"/>
  <c r="DM952" i="34" s="1"/>
  <c r="DF938" i="34" a="1"/>
  <c r="DF938" i="34" s="1"/>
  <c r="DG938" i="34" a="1"/>
  <c r="DG938" i="34" s="1"/>
  <c r="CT936" i="34" a="1"/>
  <c r="CT936" i="34" s="1"/>
  <c r="DA929" i="34" a="1"/>
  <c r="DA929" i="34" s="1"/>
  <c r="CT926" i="34" a="1"/>
  <c r="CT926" i="34" s="1"/>
  <c r="CU926" i="34" a="1"/>
  <c r="CU926" i="34" s="1"/>
  <c r="DL920" i="34" a="1"/>
  <c r="DL920" i="34" s="1"/>
  <c r="DM920" i="34" a="1"/>
  <c r="DM920" i="34" s="1"/>
  <c r="CH957" i="34" a="1"/>
  <c r="CH957" i="34" s="1"/>
  <c r="CI957" i="34" a="1"/>
  <c r="CI957" i="34" s="1"/>
  <c r="CT1012" i="34" a="1"/>
  <c r="CT1012" i="34" s="1"/>
  <c r="CU1012" i="34" a="1"/>
  <c r="CU1012" i="34" s="1"/>
  <c r="DL1015" i="34" a="1"/>
  <c r="DL1015" i="34" s="1"/>
  <c r="DM1015" i="34" a="1"/>
  <c r="DM1015" i="34" s="1"/>
  <c r="DX1006" i="34" a="1"/>
  <c r="DX1006" i="34" s="1"/>
  <c r="DA1006" i="34" a="1"/>
  <c r="DA1006" i="34" s="1"/>
  <c r="CH1004" i="34" a="1"/>
  <c r="CH1004" i="34" s="1"/>
  <c r="DS1003" i="34" a="1"/>
  <c r="DS1003" i="34" s="1"/>
  <c r="DR1003" i="34" a="1"/>
  <c r="DR1003" i="34" s="1"/>
  <c r="CZ1003" i="34" a="1"/>
  <c r="CZ1003" i="34" s="1"/>
  <c r="BV1003" i="34" a="1"/>
  <c r="BV1003" i="34" s="1"/>
  <c r="BV1001" i="34" a="1"/>
  <c r="BV1001" i="34" s="1"/>
  <c r="BW1001" i="34" a="1"/>
  <c r="BW1001" i="34" s="1"/>
  <c r="CT996" i="34" a="1"/>
  <c r="CT996" i="34" s="1"/>
  <c r="CU996" i="34" a="1"/>
  <c r="CU996" i="34" s="1"/>
  <c r="DM989" i="34" a="1"/>
  <c r="DM989" i="34" s="1"/>
  <c r="DL989" i="34" a="1"/>
  <c r="DL989" i="34" s="1"/>
  <c r="CT988" i="34" a="1"/>
  <c r="CT988" i="34" s="1"/>
  <c r="CU988" i="34" a="1"/>
  <c r="CU988" i="34" s="1"/>
  <c r="CT975" i="34" a="1"/>
  <c r="CT975" i="34" s="1"/>
  <c r="CU975" i="34" a="1"/>
  <c r="CU975" i="34" s="1"/>
  <c r="CN971" i="34" a="1"/>
  <c r="CN971" i="34" s="1"/>
  <c r="CO971" i="34" a="1"/>
  <c r="CO971" i="34" s="1"/>
  <c r="DL968" i="34" a="1"/>
  <c r="DL968" i="34" s="1"/>
  <c r="DM968" i="34" a="1"/>
  <c r="DM968" i="34" s="1"/>
  <c r="DA961" i="34" a="1"/>
  <c r="DA961" i="34" s="1"/>
  <c r="CZ961" i="34" a="1"/>
  <c r="CZ961" i="34" s="1"/>
  <c r="BV961" i="34" a="1"/>
  <c r="BV961" i="34" s="1"/>
  <c r="BW961" i="34" a="1"/>
  <c r="BW961" i="34" s="1"/>
  <c r="CT959" i="34" a="1"/>
  <c r="CT959" i="34" s="1"/>
  <c r="CU959" i="34" a="1"/>
  <c r="CU959" i="34" s="1"/>
  <c r="DA945" i="34" a="1"/>
  <c r="DA945" i="34" s="1"/>
  <c r="CZ945" i="34" a="1"/>
  <c r="CZ945" i="34" s="1"/>
  <c r="BV945" i="34" a="1"/>
  <c r="BV945" i="34" s="1"/>
  <c r="BW945" i="34" a="1"/>
  <c r="BW945" i="34" s="1"/>
  <c r="CT943" i="34" a="1"/>
  <c r="CT943" i="34" s="1"/>
  <c r="CU943" i="34" a="1"/>
  <c r="CU943" i="34" s="1"/>
  <c r="DS939" i="34" a="1"/>
  <c r="DS939" i="34" s="1"/>
  <c r="DR939" i="34" a="1"/>
  <c r="DR939" i="34" s="1"/>
  <c r="EE935" i="34" a="1"/>
  <c r="EE935" i="34" s="1"/>
  <c r="DF922" i="34" a="1"/>
  <c r="DF922" i="34" s="1"/>
  <c r="DG922" i="34" a="1"/>
  <c r="DG922" i="34" s="1"/>
  <c r="CT911" i="34" a="1"/>
  <c r="CT911" i="34" s="1"/>
  <c r="CU911" i="34" a="1"/>
  <c r="CU911" i="34" s="1"/>
  <c r="CN906" i="34" a="1"/>
  <c r="CN906" i="34" s="1"/>
  <c r="CO906" i="34" a="1"/>
  <c r="CO906" i="34" s="1"/>
  <c r="CO903" i="34" a="1"/>
  <c r="CO903" i="34" s="1"/>
  <c r="DX1012" i="34" a="1"/>
  <c r="DX1012" i="34" s="1"/>
  <c r="DY1012" i="34" a="1"/>
  <c r="DY1012" i="34" s="1"/>
  <c r="BV1008" i="34" a="1"/>
  <c r="BV1008" i="34" s="1"/>
  <c r="BW1008" i="34" a="1"/>
  <c r="BW1008" i="34" s="1"/>
  <c r="DF1002" i="34" a="1"/>
  <c r="DF1002" i="34" s="1"/>
  <c r="DG1002" i="34" a="1"/>
  <c r="DG1002" i="34" s="1"/>
  <c r="CT1001" i="34" a="1"/>
  <c r="CT1001" i="34" s="1"/>
  <c r="CU1001" i="34" a="1"/>
  <c r="CU1001" i="34" s="1"/>
  <c r="CB999" i="34" a="1"/>
  <c r="CB999" i="34" s="1"/>
  <c r="CC999" i="34" a="1"/>
  <c r="CC999" i="34" s="1"/>
  <c r="CH997" i="34" a="1"/>
  <c r="CH997" i="34" s="1"/>
  <c r="CI997" i="34" a="1"/>
  <c r="CI997" i="34" s="1"/>
  <c r="EE983" i="34" a="1"/>
  <c r="EE983" i="34" s="1"/>
  <c r="ED983" i="34" a="1"/>
  <c r="ED983" i="34" s="1"/>
  <c r="CZ956" i="34" a="1"/>
  <c r="CZ956" i="34" s="1"/>
  <c r="DA956" i="34" a="1"/>
  <c r="DA956" i="34" s="1"/>
  <c r="CT954" i="34" a="1"/>
  <c r="CT954" i="34" s="1"/>
  <c r="CU954" i="34" a="1"/>
  <c r="CU954" i="34" s="1"/>
  <c r="DX948" i="34" a="1"/>
  <c r="DX948" i="34" s="1"/>
  <c r="DY948" i="34" a="1"/>
  <c r="DY948" i="34" s="1"/>
  <c r="CZ940" i="34" a="1"/>
  <c r="CZ940" i="34" s="1"/>
  <c r="DA940" i="34" a="1"/>
  <c r="DA940" i="34" s="1"/>
  <c r="CT929" i="34" a="1"/>
  <c r="CT929" i="34" s="1"/>
  <c r="CU929" i="34" a="1"/>
  <c r="CU929" i="34" s="1"/>
  <c r="DR918" i="34" a="1"/>
  <c r="DR918" i="34" s="1"/>
  <c r="DS918" i="34" a="1"/>
  <c r="DS918" i="34" s="1"/>
  <c r="CT910" i="34" a="1"/>
  <c r="CT910" i="34" s="1"/>
  <c r="CU910" i="34" a="1"/>
  <c r="CU910" i="34" s="1"/>
  <c r="CH1013" i="34" a="1"/>
  <c r="CH1013" i="34" s="1"/>
  <c r="CI1013" i="34" a="1"/>
  <c r="CI1013" i="34" s="1"/>
  <c r="DM1016" i="34" a="1"/>
  <c r="DM1016" i="34" s="1"/>
  <c r="DL1016" i="34" a="1"/>
  <c r="DL1016" i="34" s="1"/>
  <c r="BW1011" i="34" a="1"/>
  <c r="BW1011" i="34" s="1"/>
  <c r="ED1009" i="34" a="1"/>
  <c r="ED1009" i="34" s="1"/>
  <c r="EE1009" i="34" a="1"/>
  <c r="EE1009" i="34" s="1"/>
  <c r="CC1009" i="34" a="1"/>
  <c r="CC1009" i="34" s="1"/>
  <c r="CO1008" i="34" a="1"/>
  <c r="CO1008" i="34" s="1"/>
  <c r="DG1007" i="34" a="1"/>
  <c r="DG1007" i="34" s="1"/>
  <c r="CT1006" i="34" a="1"/>
  <c r="CT1006" i="34" s="1"/>
  <c r="CU1006" i="34" a="1"/>
  <c r="CU1006" i="34" s="1"/>
  <c r="CB1006" i="34" a="1"/>
  <c r="CB1006" i="34" s="1"/>
  <c r="CC1006" i="34" a="1"/>
  <c r="CC1006" i="34" s="1"/>
  <c r="DM1005" i="34" a="1"/>
  <c r="DM1005" i="34" s="1"/>
  <c r="DL1005" i="34" a="1"/>
  <c r="DL1005" i="34" s="1"/>
  <c r="CT1005" i="34" a="1"/>
  <c r="CT1005" i="34" s="1"/>
  <c r="CU1005" i="34" a="1"/>
  <c r="CU1005" i="34" s="1"/>
  <c r="DG1004" i="34" a="1"/>
  <c r="DG1004" i="34" s="1"/>
  <c r="CB1004" i="34" a="1"/>
  <c r="CB1004" i="34" s="1"/>
  <c r="CC1004" i="34" a="1"/>
  <c r="CC1004" i="34" s="1"/>
  <c r="CT1003" i="34" a="1"/>
  <c r="CT1003" i="34" s="1"/>
  <c r="CU1003" i="34" a="1"/>
  <c r="CU1003" i="34" s="1"/>
  <c r="CU992" i="34" a="1"/>
  <c r="CU992" i="34" s="1"/>
  <c r="DG991" i="34" a="1"/>
  <c r="DG991" i="34" s="1"/>
  <c r="DF991" i="34" a="1"/>
  <c r="DF991" i="34" s="1"/>
  <c r="CT990" i="34" a="1"/>
  <c r="CT990" i="34" s="1"/>
  <c r="CU990" i="34" a="1"/>
  <c r="CU990" i="34" s="1"/>
  <c r="CT984" i="34" a="1"/>
  <c r="CT984" i="34" s="1"/>
  <c r="DA977" i="34" a="1"/>
  <c r="DA977" i="34" s="1"/>
  <c r="CZ977" i="34" a="1"/>
  <c r="CZ977" i="34" s="1"/>
  <c r="BV977" i="34" a="1"/>
  <c r="BV977" i="34" s="1"/>
  <c r="BW977" i="34" a="1"/>
  <c r="BW977" i="34" s="1"/>
  <c r="DM973" i="34" a="1"/>
  <c r="DM973" i="34" s="1"/>
  <c r="CZ972" i="34" a="1"/>
  <c r="CZ972" i="34" s="1"/>
  <c r="DA972" i="34" a="1"/>
  <c r="DA972" i="34" s="1"/>
  <c r="CT970" i="34" a="1"/>
  <c r="CT970" i="34" s="1"/>
  <c r="CU970" i="34" a="1"/>
  <c r="CU970" i="34" s="1"/>
  <c r="DX964" i="34" a="1"/>
  <c r="DX964" i="34" s="1"/>
  <c r="DY964" i="34" a="1"/>
  <c r="DY964" i="34" s="1"/>
  <c r="DY953" i="34" a="1"/>
  <c r="DY953" i="34" s="1"/>
  <c r="DX953" i="34" a="1"/>
  <c r="DX953" i="34" s="1"/>
  <c r="CT948" i="34" a="1"/>
  <c r="CT948" i="34" s="1"/>
  <c r="CU948" i="34" a="1"/>
  <c r="CU948" i="34" s="1"/>
  <c r="DM941" i="34" a="1"/>
  <c r="DM941" i="34" s="1"/>
  <c r="DL941" i="34" a="1"/>
  <c r="DL941" i="34" s="1"/>
  <c r="DX932" i="34" a="1"/>
  <c r="DX932" i="34" s="1"/>
  <c r="DY932" i="34" a="1"/>
  <c r="DY932" i="34" s="1"/>
  <c r="CU909" i="34" a="1"/>
  <c r="CU909" i="34" s="1"/>
  <c r="CT909" i="34" a="1"/>
  <c r="CT909" i="34" s="1"/>
  <c r="DX980" i="34" a="1"/>
  <c r="DX980" i="34" s="1"/>
  <c r="DY980" i="34" a="1"/>
  <c r="DY980" i="34" s="1"/>
  <c r="DR1013" i="34" a="1"/>
  <c r="DR1013" i="34" s="1"/>
  <c r="DS1013" i="34" a="1"/>
  <c r="DS1013" i="34" s="1"/>
  <c r="CC1012" i="34" a="1"/>
  <c r="CC1012" i="34" s="1"/>
  <c r="CB1012" i="34" a="1"/>
  <c r="CB1012" i="34" s="1"/>
  <c r="ED1007" i="34" a="1"/>
  <c r="ED1007" i="34" s="1"/>
  <c r="EE1007" i="34" a="1"/>
  <c r="EE1007" i="34" s="1"/>
  <c r="CO992" i="34" a="1"/>
  <c r="CO992" i="34" s="1"/>
  <c r="CN992" i="34" a="1"/>
  <c r="CN992" i="34" s="1"/>
  <c r="CT974" i="34" a="1"/>
  <c r="CT974" i="34" s="1"/>
  <c r="CU974" i="34" a="1"/>
  <c r="CU974" i="34" s="1"/>
  <c r="DY969" i="34" a="1"/>
  <c r="DY969" i="34" s="1"/>
  <c r="DX969" i="34" a="1"/>
  <c r="DX969" i="34" s="1"/>
  <c r="CT964" i="34" a="1"/>
  <c r="CT964" i="34" s="1"/>
  <c r="CU964" i="34" a="1"/>
  <c r="CU964" i="34" s="1"/>
  <c r="CI962" i="34" a="1"/>
  <c r="CI962" i="34" s="1"/>
  <c r="CH962" i="34" a="1"/>
  <c r="CH962" i="34" s="1"/>
  <c r="CT961" i="34" a="1"/>
  <c r="CT961" i="34" s="1"/>
  <c r="CU961" i="34" a="1"/>
  <c r="CU961" i="34" s="1"/>
  <c r="CT958" i="34" a="1"/>
  <c r="CT958" i="34" s="1"/>
  <c r="CU958" i="34" a="1"/>
  <c r="CU958" i="34" s="1"/>
  <c r="CT956" i="34" a="1"/>
  <c r="CT956" i="34" s="1"/>
  <c r="CU956" i="34" a="1"/>
  <c r="CU956" i="34" s="1"/>
  <c r="BW950" i="34" a="1"/>
  <c r="BW950" i="34" s="1"/>
  <c r="BV950" i="34" a="1"/>
  <c r="BV950" i="34" s="1"/>
  <c r="CI946" i="34" a="1"/>
  <c r="CI946" i="34" s="1"/>
  <c r="CH946" i="34" a="1"/>
  <c r="CH946" i="34" s="1"/>
  <c r="CT945" i="34" a="1"/>
  <c r="CT945" i="34" s="1"/>
  <c r="CU945" i="34" a="1"/>
  <c r="CU945" i="34" s="1"/>
  <c r="CT942" i="34" a="1"/>
  <c r="CT942" i="34" s="1"/>
  <c r="CU942" i="34" a="1"/>
  <c r="CU942" i="34" s="1"/>
  <c r="CN939" i="34" a="1"/>
  <c r="CN939" i="34" s="1"/>
  <c r="CO939" i="34" a="1"/>
  <c r="CO939" i="34" s="1"/>
  <c r="CT932" i="34" a="1"/>
  <c r="CT932" i="34" s="1"/>
  <c r="CU932" i="34" a="1"/>
  <c r="CU932" i="34" s="1"/>
  <c r="CH905" i="34" a="1"/>
  <c r="CH905" i="34" s="1"/>
  <c r="CI905" i="34" a="1"/>
  <c r="CI905" i="34" s="1"/>
  <c r="CB991" i="34" a="1"/>
  <c r="CB991" i="34" s="1"/>
  <c r="CC991" i="34" a="1"/>
  <c r="CC991" i="34" s="1"/>
  <c r="BW1014" i="34" a="1"/>
  <c r="BW1014" i="34" s="1"/>
  <c r="BV1014" i="34" a="1"/>
  <c r="BV1014" i="34" s="1"/>
  <c r="DX1011" i="34" a="1"/>
  <c r="DX1011" i="34" s="1"/>
  <c r="DY1011" i="34" a="1"/>
  <c r="DY1011" i="34" s="1"/>
  <c r="CN1013" i="34" a="1"/>
  <c r="CN1013" i="34" s="1"/>
  <c r="CU1011" i="34" a="1"/>
  <c r="CU1011" i="34" s="1"/>
  <c r="CT1011" i="34" a="1"/>
  <c r="CT1011" i="34" s="1"/>
  <c r="DG1010" i="34" a="1"/>
  <c r="DG1010" i="34" s="1"/>
  <c r="DF1010" i="34" a="1"/>
  <c r="DF1010" i="34" s="1"/>
  <c r="DL1008" i="34" a="1"/>
  <c r="DL1008" i="34" s="1"/>
  <c r="DM1008" i="34" a="1"/>
  <c r="DM1008" i="34" s="1"/>
  <c r="BV1006" i="34" a="1"/>
  <c r="BV1006" i="34" s="1"/>
  <c r="BW1006" i="34" a="1"/>
  <c r="BW1006" i="34" s="1"/>
  <c r="CZ1004" i="34" a="1"/>
  <c r="CZ1004" i="34" s="1"/>
  <c r="DA1004" i="34" a="1"/>
  <c r="DA1004" i="34" s="1"/>
  <c r="ED991" i="34" a="1"/>
  <c r="ED991" i="34" s="1"/>
  <c r="EE991" i="34" a="1"/>
  <c r="EE991" i="34" s="1"/>
  <c r="CT972" i="34" a="1"/>
  <c r="CT972" i="34" s="1"/>
  <c r="CU972" i="34" a="1"/>
  <c r="CU972" i="34" s="1"/>
  <c r="BW966" i="34" a="1"/>
  <c r="BW966" i="34" s="1"/>
  <c r="BV966" i="34" a="1"/>
  <c r="BV966" i="34" s="1"/>
  <c r="DL936" i="34" a="1"/>
  <c r="DL936" i="34" s="1"/>
  <c r="DM936" i="34" a="1"/>
  <c r="DM936" i="34" s="1"/>
  <c r="CB927" i="34" a="1"/>
  <c r="CB927" i="34" s="1"/>
  <c r="CC927" i="34" a="1"/>
  <c r="CC927" i="34" s="1"/>
  <c r="CT916" i="34" a="1"/>
  <c r="CT916" i="34" s="1"/>
  <c r="CU916" i="34" a="1"/>
  <c r="CU916" i="34" s="1"/>
  <c r="CN1016" i="34" a="1"/>
  <c r="CN1016" i="34" s="1"/>
  <c r="CO1016" i="34" a="1"/>
  <c r="CO1016" i="34" s="1"/>
  <c r="DF1015" i="34" a="1"/>
  <c r="DF1015" i="34" s="1"/>
  <c r="DG1015" i="34" a="1"/>
  <c r="DG1015" i="34" s="1"/>
  <c r="DY1014" i="34" a="1"/>
  <c r="DY1014" i="34" s="1"/>
  <c r="DR1014" i="34" a="1"/>
  <c r="DR1014" i="34" s="1"/>
  <c r="DS1014" i="34" a="1"/>
  <c r="DS1014" i="34" s="1"/>
  <c r="CU1014" i="34" a="1"/>
  <c r="CU1014" i="34" s="1"/>
  <c r="CT1014" i="34" a="1"/>
  <c r="CT1014" i="34" s="1"/>
  <c r="EE1012" i="34" a="1"/>
  <c r="EE1012" i="34" s="1"/>
  <c r="ED1010" i="34" a="1"/>
  <c r="ED1010" i="34" s="1"/>
  <c r="EE1010" i="34" a="1"/>
  <c r="EE1010" i="34" s="1"/>
  <c r="DX1009" i="34" a="1"/>
  <c r="DX1009" i="34" s="1"/>
  <c r="DY1009" i="34" a="1"/>
  <c r="DY1009" i="34" s="1"/>
  <c r="BV1009" i="34" a="1"/>
  <c r="BV1009" i="34" s="1"/>
  <c r="BW1009" i="34" a="1"/>
  <c r="BW1009" i="34" s="1"/>
  <c r="ED1002" i="34" a="1"/>
  <c r="ED1002" i="34" s="1"/>
  <c r="EE1002" i="34" a="1"/>
  <c r="EE1002" i="34" s="1"/>
  <c r="DL1013" i="34" a="1"/>
  <c r="DL1013" i="34" s="1"/>
  <c r="DM1013" i="34" a="1"/>
  <c r="DM1013" i="34" s="1"/>
  <c r="DR1011" i="34" a="1"/>
  <c r="DR1011" i="34" s="1"/>
  <c r="DS1011" i="34" a="1"/>
  <c r="DS1011" i="34" s="1"/>
  <c r="CU1009" i="34" a="1"/>
  <c r="CU1009" i="34" s="1"/>
  <c r="CB1007" i="34" a="1"/>
  <c r="CB1007" i="34" s="1"/>
  <c r="CC1007" i="34" a="1"/>
  <c r="CC1007" i="34" s="1"/>
  <c r="DR1006" i="34" a="1"/>
  <c r="DR1006" i="34" s="1"/>
  <c r="DS1006" i="34" a="1"/>
  <c r="DS1006" i="34" s="1"/>
  <c r="CU1004" i="34" a="1"/>
  <c r="CU1004" i="34" s="1"/>
  <c r="CN1003" i="34" a="1"/>
  <c r="CN1003" i="34" s="1"/>
  <c r="CO1003" i="34" a="1"/>
  <c r="CO1003" i="34" s="1"/>
  <c r="DL994" i="34" a="1"/>
  <c r="DL994" i="34" s="1"/>
  <c r="DR990" i="34" a="1"/>
  <c r="DR990" i="34" s="1"/>
  <c r="DS990" i="34" a="1"/>
  <c r="DS990" i="34" s="1"/>
  <c r="CH989" i="34" a="1"/>
  <c r="CH989" i="34" s="1"/>
  <c r="CI989" i="34" a="1"/>
  <c r="CI989" i="34" s="1"/>
  <c r="DF986" i="34" a="1"/>
  <c r="DF986" i="34" s="1"/>
  <c r="DG986" i="34" a="1"/>
  <c r="DG986" i="34" s="1"/>
  <c r="CT977" i="34" a="1"/>
  <c r="CT977" i="34" s="1"/>
  <c r="CU977" i="34" a="1"/>
  <c r="CU977" i="34" s="1"/>
  <c r="CT953" i="34" a="1"/>
  <c r="CT953" i="34" s="1"/>
  <c r="CU953" i="34" a="1"/>
  <c r="CU953" i="34" s="1"/>
  <c r="CT935" i="34" a="1"/>
  <c r="CT935" i="34" s="1"/>
  <c r="CU935" i="34" a="1"/>
  <c r="CU935" i="34" s="1"/>
  <c r="DG927" i="34" a="1"/>
  <c r="DG927" i="34" s="1"/>
  <c r="DS923" i="34" a="1"/>
  <c r="DS923" i="34" s="1"/>
  <c r="CT922" i="34" a="1"/>
  <c r="CT922" i="34" s="1"/>
  <c r="CU922" i="34" a="1"/>
  <c r="CU922" i="34" s="1"/>
  <c r="DX916" i="34" a="1"/>
  <c r="DX916" i="34" s="1"/>
  <c r="DY916" i="34" a="1"/>
  <c r="DY916" i="34" s="1"/>
  <c r="CI1004" i="34" a="1"/>
  <c r="CI1004" i="34" s="1"/>
  <c r="DA1003" i="34" a="1"/>
  <c r="DA1003" i="34" s="1"/>
  <c r="CO1002" i="34" a="1"/>
  <c r="CO1002" i="34" s="1"/>
  <c r="DG1001" i="34" a="1"/>
  <c r="DG1001" i="34" s="1"/>
  <c r="DM999" i="34" a="1"/>
  <c r="DM999" i="34" s="1"/>
  <c r="DS997" i="34" a="1"/>
  <c r="DS997" i="34" s="1"/>
  <c r="DY995" i="34" a="1"/>
  <c r="DY995" i="34" s="1"/>
  <c r="EE993" i="34" a="1"/>
  <c r="EE993" i="34" s="1"/>
  <c r="BW992" i="34" a="1"/>
  <c r="BW992" i="34" s="1"/>
  <c r="CC990" i="34" a="1"/>
  <c r="CC990" i="34" s="1"/>
  <c r="CU989" i="34" a="1"/>
  <c r="CU989" i="34" s="1"/>
  <c r="CI988" i="34" a="1"/>
  <c r="CI988" i="34" s="1"/>
  <c r="DA987" i="34" a="1"/>
  <c r="DA987" i="34" s="1"/>
  <c r="CO986" i="34" a="1"/>
  <c r="CO986" i="34" s="1"/>
  <c r="DG985" i="34" a="1"/>
  <c r="DG985" i="34" s="1"/>
  <c r="DM983" i="34" a="1"/>
  <c r="DM983" i="34" s="1"/>
  <c r="DS981" i="34" a="1"/>
  <c r="DS981" i="34" s="1"/>
  <c r="DY979" i="34" a="1"/>
  <c r="DY979" i="34" s="1"/>
  <c r="EE977" i="34" a="1"/>
  <c r="EE977" i="34" s="1"/>
  <c r="BW976" i="34" a="1"/>
  <c r="BW976" i="34" s="1"/>
  <c r="CC974" i="34" a="1"/>
  <c r="CC974" i="34" s="1"/>
  <c r="CU973" i="34" a="1"/>
  <c r="CU973" i="34" s="1"/>
  <c r="CI972" i="34" a="1"/>
  <c r="CI972" i="34" s="1"/>
  <c r="DA971" i="34" a="1"/>
  <c r="DA971" i="34" s="1"/>
  <c r="CO970" i="34" a="1"/>
  <c r="CO970" i="34" s="1"/>
  <c r="DG969" i="34" a="1"/>
  <c r="DG969" i="34" s="1"/>
  <c r="DM967" i="34" a="1"/>
  <c r="DM967" i="34" s="1"/>
  <c r="DS965" i="34" a="1"/>
  <c r="DS965" i="34" s="1"/>
  <c r="DY963" i="34" a="1"/>
  <c r="DY963" i="34" s="1"/>
  <c r="EE961" i="34" a="1"/>
  <c r="EE961" i="34" s="1"/>
  <c r="BW960" i="34" a="1"/>
  <c r="BW960" i="34" s="1"/>
  <c r="CC958" i="34" a="1"/>
  <c r="CC958" i="34" s="1"/>
  <c r="CU957" i="34" a="1"/>
  <c r="CU957" i="34" s="1"/>
  <c r="CI956" i="34" a="1"/>
  <c r="CI956" i="34" s="1"/>
  <c r="DA955" i="34" a="1"/>
  <c r="DA955" i="34" s="1"/>
  <c r="CO954" i="34" a="1"/>
  <c r="CO954" i="34" s="1"/>
  <c r="DG953" i="34" a="1"/>
  <c r="DG953" i="34" s="1"/>
  <c r="DM951" i="34" a="1"/>
  <c r="DM951" i="34" s="1"/>
  <c r="DS949" i="34" a="1"/>
  <c r="DS949" i="34" s="1"/>
  <c r="DY947" i="34" a="1"/>
  <c r="DY947" i="34" s="1"/>
  <c r="EE945" i="34" a="1"/>
  <c r="EE945" i="34" s="1"/>
  <c r="BW944" i="34" a="1"/>
  <c r="BW944" i="34" s="1"/>
  <c r="CC942" i="34" a="1"/>
  <c r="CC942" i="34" s="1"/>
  <c r="CU941" i="34" a="1"/>
  <c r="CU941" i="34" s="1"/>
  <c r="CI940" i="34" a="1"/>
  <c r="CI940" i="34" s="1"/>
  <c r="DA939" i="34" a="1"/>
  <c r="DA939" i="34" s="1"/>
  <c r="CO938" i="34" a="1"/>
  <c r="CO938" i="34" s="1"/>
  <c r="DG937" i="34" a="1"/>
  <c r="DG937" i="34" s="1"/>
  <c r="DM935" i="34" a="1"/>
  <c r="DM935" i="34" s="1"/>
  <c r="DS933" i="34" a="1"/>
  <c r="DS933" i="34" s="1"/>
  <c r="DY931" i="34" a="1"/>
  <c r="DY931" i="34" s="1"/>
  <c r="EE929" i="34" a="1"/>
  <c r="EE929" i="34" s="1"/>
  <c r="BW928" i="34" a="1"/>
  <c r="BW928" i="34" s="1"/>
  <c r="CC926" i="34" a="1"/>
  <c r="CC926" i="34" s="1"/>
  <c r="CU925" i="34" a="1"/>
  <c r="CU925" i="34" s="1"/>
  <c r="CI924" i="34" a="1"/>
  <c r="CI924" i="34" s="1"/>
  <c r="DA923" i="34" a="1"/>
  <c r="DA923" i="34" s="1"/>
  <c r="CO922" i="34" a="1"/>
  <c r="CO922" i="34" s="1"/>
  <c r="DG921" i="34" a="1"/>
  <c r="DG921" i="34" s="1"/>
  <c r="DM919" i="34" a="1"/>
  <c r="DM919" i="34" s="1"/>
  <c r="DS917" i="34" a="1"/>
  <c r="DS917" i="34" s="1"/>
  <c r="DY915" i="34" a="1"/>
  <c r="DY915" i="34" s="1"/>
  <c r="EE913" i="34" a="1"/>
  <c r="EE913" i="34" s="1"/>
  <c r="BW912" i="34" a="1"/>
  <c r="BW912" i="34" s="1"/>
  <c r="DS909" i="34" a="1"/>
  <c r="DS909" i="34" s="1"/>
  <c r="DR909" i="34" a="1"/>
  <c r="DR909" i="34" s="1"/>
  <c r="CU908" i="34" a="1"/>
  <c r="CU908" i="34" s="1"/>
  <c r="DR907" i="34" a="1"/>
  <c r="DR907" i="34" s="1"/>
  <c r="DX904" i="34" a="1"/>
  <c r="DX904" i="34" s="1"/>
  <c r="DS903" i="34" a="1"/>
  <c r="DS903" i="34" s="1"/>
  <c r="CT898" i="34" a="1"/>
  <c r="CT898" i="34" s="1"/>
  <c r="ED895" i="34" a="1"/>
  <c r="ED895" i="34" s="1"/>
  <c r="CT891" i="34" a="1"/>
  <c r="CT891" i="34" s="1"/>
  <c r="CU891" i="34" a="1"/>
  <c r="CU891" i="34" s="1"/>
  <c r="CH885" i="34" a="1"/>
  <c r="CH885" i="34" s="1"/>
  <c r="CI885" i="34" a="1"/>
  <c r="CI885" i="34" s="1"/>
  <c r="CZ868" i="34" a="1"/>
  <c r="CZ868" i="34" s="1"/>
  <c r="DA868" i="34" a="1"/>
  <c r="DA868" i="34" s="1"/>
  <c r="CO789" i="34" a="1"/>
  <c r="CO789" i="34" s="1"/>
  <c r="CN789" i="34" a="1"/>
  <c r="CN789" i="34" s="1"/>
  <c r="DM909" i="34" a="1"/>
  <c r="DM909" i="34" s="1"/>
  <c r="EE906" i="34" a="1"/>
  <c r="EE906" i="34" s="1"/>
  <c r="DG906" i="34" a="1"/>
  <c r="DG906" i="34" s="1"/>
  <c r="CN903" i="34" a="1"/>
  <c r="CN903" i="34" s="1"/>
  <c r="DF902" i="34" a="1"/>
  <c r="DF902" i="34" s="1"/>
  <c r="CH902" i="34" a="1"/>
  <c r="CH902" i="34" s="1"/>
  <c r="BW901" i="34" a="1"/>
  <c r="BW901" i="34" s="1"/>
  <c r="DM900" i="34" a="1"/>
  <c r="DM900" i="34" s="1"/>
  <c r="CN900" i="34" a="1"/>
  <c r="CN900" i="34" s="1"/>
  <c r="EE899" i="34" a="1"/>
  <c r="EE899" i="34" s="1"/>
  <c r="CB899" i="34" a="1"/>
  <c r="CB899" i="34" s="1"/>
  <c r="DR898" i="34" a="1"/>
  <c r="DR898" i="34" s="1"/>
  <c r="ED897" i="34" a="1"/>
  <c r="ED897" i="34" s="1"/>
  <c r="EE897" i="34" a="1"/>
  <c r="EE897" i="34" s="1"/>
  <c r="DX893" i="34" a="1"/>
  <c r="DX893" i="34" s="1"/>
  <c r="BW893" i="34" a="1"/>
  <c r="BW893" i="34" s="1"/>
  <c r="CN891" i="34" a="1"/>
  <c r="CN891" i="34" s="1"/>
  <c r="CO891" i="34" a="1"/>
  <c r="CO891" i="34" s="1"/>
  <c r="DL880" i="34" a="1"/>
  <c r="DL880" i="34" s="1"/>
  <c r="DM880" i="34" a="1"/>
  <c r="DM880" i="34" s="1"/>
  <c r="CT871" i="34" a="1"/>
  <c r="CT871" i="34" s="1"/>
  <c r="CU871" i="34" a="1"/>
  <c r="CU871" i="34" s="1"/>
  <c r="CT870" i="34" a="1"/>
  <c r="CT870" i="34" s="1"/>
  <c r="CU870" i="34" a="1"/>
  <c r="CU870" i="34" s="1"/>
  <c r="CT865" i="34" a="1"/>
  <c r="CT865" i="34" s="1"/>
  <c r="CU865" i="34" a="1"/>
  <c r="CU865" i="34" s="1"/>
  <c r="CT860" i="34" a="1"/>
  <c r="CT860" i="34" s="1"/>
  <c r="CU860" i="34" a="1"/>
  <c r="CU860" i="34" s="1"/>
  <c r="CH906" i="34" a="1"/>
  <c r="CH906" i="34" s="1"/>
  <c r="CI906" i="34" a="1"/>
  <c r="CI906" i="34" s="1"/>
  <c r="CZ905" i="34" a="1"/>
  <c r="CZ905" i="34" s="1"/>
  <c r="DA905" i="34" a="1"/>
  <c r="DA905" i="34" s="1"/>
  <c r="DL903" i="34" a="1"/>
  <c r="DL903" i="34" s="1"/>
  <c r="DM903" i="34" a="1"/>
  <c r="DM903" i="34" s="1"/>
  <c r="CT889" i="34" a="1"/>
  <c r="CT889" i="34" s="1"/>
  <c r="CU889" i="34" a="1"/>
  <c r="CU889" i="34" s="1"/>
  <c r="CT875" i="34" a="1"/>
  <c r="CT875" i="34" s="1"/>
  <c r="CU875" i="34" a="1"/>
  <c r="CU875" i="34" s="1"/>
  <c r="CT872" i="34" a="1"/>
  <c r="CT872" i="34" s="1"/>
  <c r="CU872" i="34" a="1"/>
  <c r="CU872" i="34" s="1"/>
  <c r="CU869" i="34" a="1"/>
  <c r="CU869" i="34" s="1"/>
  <c r="CT869" i="34" a="1"/>
  <c r="CT869" i="34" s="1"/>
  <c r="BV909" i="34" a="1"/>
  <c r="BV909" i="34" s="1"/>
  <c r="BW904" i="34" a="1"/>
  <c r="BW904" i="34" s="1"/>
  <c r="BV904" i="34" a="1"/>
  <c r="BV904" i="34" s="1"/>
  <c r="DA899" i="34" a="1"/>
  <c r="DA899" i="34" s="1"/>
  <c r="CZ899" i="34" a="1"/>
  <c r="CZ899" i="34" s="1"/>
  <c r="CO898" i="34" a="1"/>
  <c r="CO898" i="34" s="1"/>
  <c r="CN898" i="34" a="1"/>
  <c r="CN898" i="34" s="1"/>
  <c r="CT893" i="34" a="1"/>
  <c r="CT893" i="34" s="1"/>
  <c r="CU893" i="34" a="1"/>
  <c r="CU893" i="34" s="1"/>
  <c r="BV878" i="34" a="1"/>
  <c r="BV878" i="34" s="1"/>
  <c r="CN867" i="34" a="1"/>
  <c r="CN867" i="34" s="1"/>
  <c r="CO867" i="34" a="1"/>
  <c r="CO867" i="34" s="1"/>
  <c r="DX865" i="34" a="1"/>
  <c r="DX865" i="34" s="1"/>
  <c r="CB855" i="34" a="1"/>
  <c r="CB855" i="34" s="1"/>
  <c r="CC855" i="34" a="1"/>
  <c r="CC855" i="34" s="1"/>
  <c r="DY988" i="34" a="1"/>
  <c r="DY988" i="34" s="1"/>
  <c r="EE986" i="34" a="1"/>
  <c r="EE986" i="34" s="1"/>
  <c r="BW985" i="34" a="1"/>
  <c r="BW985" i="34" s="1"/>
  <c r="CC983" i="34" a="1"/>
  <c r="CC983" i="34" s="1"/>
  <c r="CI981" i="34" a="1"/>
  <c r="CI981" i="34" s="1"/>
  <c r="DA980" i="34" a="1"/>
  <c r="DA980" i="34" s="1"/>
  <c r="CO979" i="34" a="1"/>
  <c r="CO979" i="34" s="1"/>
  <c r="DG978" i="34" a="1"/>
  <c r="DG978" i="34" s="1"/>
  <c r="DM976" i="34" a="1"/>
  <c r="DM976" i="34" s="1"/>
  <c r="DS974" i="34" a="1"/>
  <c r="DS974" i="34" s="1"/>
  <c r="DY972" i="34" a="1"/>
  <c r="DY972" i="34" s="1"/>
  <c r="EE970" i="34" a="1"/>
  <c r="EE970" i="34" s="1"/>
  <c r="BW969" i="34" a="1"/>
  <c r="BW969" i="34" s="1"/>
  <c r="CC967" i="34" a="1"/>
  <c r="CC967" i="34" s="1"/>
  <c r="CI965" i="34" a="1"/>
  <c r="CI965" i="34" s="1"/>
  <c r="DA964" i="34" a="1"/>
  <c r="DA964" i="34" s="1"/>
  <c r="CO963" i="34" a="1"/>
  <c r="CO963" i="34" s="1"/>
  <c r="DG962" i="34" a="1"/>
  <c r="DG962" i="34" s="1"/>
  <c r="DM960" i="34" a="1"/>
  <c r="DM960" i="34" s="1"/>
  <c r="DS958" i="34" a="1"/>
  <c r="DS958" i="34" s="1"/>
  <c r="DY956" i="34" a="1"/>
  <c r="DY956" i="34" s="1"/>
  <c r="EE954" i="34" a="1"/>
  <c r="EE954" i="34" s="1"/>
  <c r="BW953" i="34" a="1"/>
  <c r="BW953" i="34" s="1"/>
  <c r="CC951" i="34" a="1"/>
  <c r="CC951" i="34" s="1"/>
  <c r="CI949" i="34" a="1"/>
  <c r="CI949" i="34" s="1"/>
  <c r="DA948" i="34" a="1"/>
  <c r="DA948" i="34" s="1"/>
  <c r="CO947" i="34" a="1"/>
  <c r="CO947" i="34" s="1"/>
  <c r="DG946" i="34" a="1"/>
  <c r="DG946" i="34" s="1"/>
  <c r="DM944" i="34" a="1"/>
  <c r="DM944" i="34" s="1"/>
  <c r="DS942" i="34" a="1"/>
  <c r="DS942" i="34" s="1"/>
  <c r="DY940" i="34" a="1"/>
  <c r="DY940" i="34" s="1"/>
  <c r="EE938" i="34" a="1"/>
  <c r="EE938" i="34" s="1"/>
  <c r="BW937" i="34" a="1"/>
  <c r="BW937" i="34" s="1"/>
  <c r="CC935" i="34" a="1"/>
  <c r="CC935" i="34" s="1"/>
  <c r="CI933" i="34" a="1"/>
  <c r="CI933" i="34" s="1"/>
  <c r="DA932" i="34" a="1"/>
  <c r="DA932" i="34" s="1"/>
  <c r="CO931" i="34" a="1"/>
  <c r="CO931" i="34" s="1"/>
  <c r="DG930" i="34" a="1"/>
  <c r="DG930" i="34" s="1"/>
  <c r="DM928" i="34" a="1"/>
  <c r="DM928" i="34" s="1"/>
  <c r="DS926" i="34" a="1"/>
  <c r="DS926" i="34" s="1"/>
  <c r="DY924" i="34" a="1"/>
  <c r="DY924" i="34" s="1"/>
  <c r="EE922" i="34" a="1"/>
  <c r="EE922" i="34" s="1"/>
  <c r="BW921" i="34" a="1"/>
  <c r="BW921" i="34" s="1"/>
  <c r="CC919" i="34" a="1"/>
  <c r="CC919" i="34" s="1"/>
  <c r="CU918" i="34" a="1"/>
  <c r="CU918" i="34" s="1"/>
  <c r="CI917" i="34" a="1"/>
  <c r="CI917" i="34" s="1"/>
  <c r="DA916" i="34" a="1"/>
  <c r="DA916" i="34" s="1"/>
  <c r="CO915" i="34" a="1"/>
  <c r="CO915" i="34" s="1"/>
  <c r="DG914" i="34" a="1"/>
  <c r="DG914" i="34" s="1"/>
  <c r="DM912" i="34" a="1"/>
  <c r="DM912" i="34" s="1"/>
  <c r="DS910" i="34" a="1"/>
  <c r="DS910" i="34" s="1"/>
  <c r="CN910" i="34" a="1"/>
  <c r="CN910" i="34" s="1"/>
  <c r="DX905" i="34" a="1"/>
  <c r="DX905" i="34" s="1"/>
  <c r="CU905" i="34" a="1"/>
  <c r="CU905" i="34" s="1"/>
  <c r="CU901" i="34" a="1"/>
  <c r="CU901" i="34" s="1"/>
  <c r="CT901" i="34" a="1"/>
  <c r="CT901" i="34" s="1"/>
  <c r="DX899" i="34" a="1"/>
  <c r="DX899" i="34" s="1"/>
  <c r="DY899" i="34" a="1"/>
  <c r="DY899" i="34" s="1"/>
  <c r="DX897" i="34" a="1"/>
  <c r="DX897" i="34" s="1"/>
  <c r="BW897" i="34" a="1"/>
  <c r="BW897" i="34" s="1"/>
  <c r="CI894" i="34" a="1"/>
  <c r="CI894" i="34" s="1"/>
  <c r="DA892" i="34" a="1"/>
  <c r="DA892" i="34" s="1"/>
  <c r="DR867" i="34" a="1"/>
  <c r="DR867" i="34" s="1"/>
  <c r="CT858" i="34" a="1"/>
  <c r="CT858" i="34" s="1"/>
  <c r="CU858" i="34" a="1"/>
  <c r="CU858" i="34" s="1"/>
  <c r="CN853" i="34" a="1"/>
  <c r="CN853" i="34" s="1"/>
  <c r="CO853" i="34" a="1"/>
  <c r="CO853" i="34" s="1"/>
  <c r="DR830" i="34" a="1"/>
  <c r="DR830" i="34" s="1"/>
  <c r="DS830" i="34" a="1"/>
  <c r="DS830" i="34" s="1"/>
  <c r="BW990" i="34" a="1"/>
  <c r="BW990" i="34" s="1"/>
  <c r="CC988" i="34" a="1"/>
  <c r="CC988" i="34" s="1"/>
  <c r="CU987" i="34" a="1"/>
  <c r="CU987" i="34" s="1"/>
  <c r="CI986" i="34" a="1"/>
  <c r="CI986" i="34" s="1"/>
  <c r="DA985" i="34" a="1"/>
  <c r="DA985" i="34" s="1"/>
  <c r="CO984" i="34" a="1"/>
  <c r="CO984" i="34" s="1"/>
  <c r="DG983" i="34" a="1"/>
  <c r="DG983" i="34" s="1"/>
  <c r="DM981" i="34" a="1"/>
  <c r="DM981" i="34" s="1"/>
  <c r="DS979" i="34" a="1"/>
  <c r="DS979" i="34" s="1"/>
  <c r="DY977" i="34" a="1"/>
  <c r="DY977" i="34" s="1"/>
  <c r="EE975" i="34" a="1"/>
  <c r="EE975" i="34" s="1"/>
  <c r="BW974" i="34" a="1"/>
  <c r="BW974" i="34" s="1"/>
  <c r="CC972" i="34" a="1"/>
  <c r="CC972" i="34" s="1"/>
  <c r="CU971" i="34" a="1"/>
  <c r="CU971" i="34" s="1"/>
  <c r="CI970" i="34" a="1"/>
  <c r="CI970" i="34" s="1"/>
  <c r="DA969" i="34" a="1"/>
  <c r="DA969" i="34" s="1"/>
  <c r="CO968" i="34" a="1"/>
  <c r="CO968" i="34" s="1"/>
  <c r="DG967" i="34" a="1"/>
  <c r="DG967" i="34" s="1"/>
  <c r="DM965" i="34" a="1"/>
  <c r="DM965" i="34" s="1"/>
  <c r="DS963" i="34" a="1"/>
  <c r="DS963" i="34" s="1"/>
  <c r="DY961" i="34" a="1"/>
  <c r="DY961" i="34" s="1"/>
  <c r="EE959" i="34" a="1"/>
  <c r="EE959" i="34" s="1"/>
  <c r="BW958" i="34" a="1"/>
  <c r="BW958" i="34" s="1"/>
  <c r="CC956" i="34" a="1"/>
  <c r="CC956" i="34" s="1"/>
  <c r="CU955" i="34" a="1"/>
  <c r="CU955" i="34" s="1"/>
  <c r="CI954" i="34" a="1"/>
  <c r="CI954" i="34" s="1"/>
  <c r="DA953" i="34" a="1"/>
  <c r="DA953" i="34" s="1"/>
  <c r="CO952" i="34" a="1"/>
  <c r="CO952" i="34" s="1"/>
  <c r="DG951" i="34" a="1"/>
  <c r="DG951" i="34" s="1"/>
  <c r="DM949" i="34" a="1"/>
  <c r="DM949" i="34" s="1"/>
  <c r="DS947" i="34" a="1"/>
  <c r="DS947" i="34" s="1"/>
  <c r="DY945" i="34" a="1"/>
  <c r="DY945" i="34" s="1"/>
  <c r="EE943" i="34" a="1"/>
  <c r="EE943" i="34" s="1"/>
  <c r="BW942" i="34" a="1"/>
  <c r="BW942" i="34" s="1"/>
  <c r="CC940" i="34" a="1"/>
  <c r="CC940" i="34" s="1"/>
  <c r="CU939" i="34" a="1"/>
  <c r="CU939" i="34" s="1"/>
  <c r="CI938" i="34" a="1"/>
  <c r="CI938" i="34" s="1"/>
  <c r="DA937" i="34" a="1"/>
  <c r="DA937" i="34" s="1"/>
  <c r="CO936" i="34" a="1"/>
  <c r="CO936" i="34" s="1"/>
  <c r="DG935" i="34" a="1"/>
  <c r="DG935" i="34" s="1"/>
  <c r="DM933" i="34" a="1"/>
  <c r="DM933" i="34" s="1"/>
  <c r="DS931" i="34" a="1"/>
  <c r="DS931" i="34" s="1"/>
  <c r="DY929" i="34" a="1"/>
  <c r="DY929" i="34" s="1"/>
  <c r="EE927" i="34" a="1"/>
  <c r="EE927" i="34" s="1"/>
  <c r="BW926" i="34" a="1"/>
  <c r="BW926" i="34" s="1"/>
  <c r="CC924" i="34" a="1"/>
  <c r="CC924" i="34" s="1"/>
  <c r="CU923" i="34" a="1"/>
  <c r="CU923" i="34" s="1"/>
  <c r="CI922" i="34" a="1"/>
  <c r="CI922" i="34" s="1"/>
  <c r="DA921" i="34" a="1"/>
  <c r="DA921" i="34" s="1"/>
  <c r="CO920" i="34" a="1"/>
  <c r="CO920" i="34" s="1"/>
  <c r="DG919" i="34" a="1"/>
  <c r="DG919" i="34" s="1"/>
  <c r="DM917" i="34" a="1"/>
  <c r="DM917" i="34" s="1"/>
  <c r="DS915" i="34" a="1"/>
  <c r="DS915" i="34" s="1"/>
  <c r="DY913" i="34" a="1"/>
  <c r="DY913" i="34" s="1"/>
  <c r="EE911" i="34" a="1"/>
  <c r="EE911" i="34" s="1"/>
  <c r="DM904" i="34" a="1"/>
  <c r="DM904" i="34" s="1"/>
  <c r="DF903" i="34" a="1"/>
  <c r="DF903" i="34" s="1"/>
  <c r="DR901" i="34" a="1"/>
  <c r="DR901" i="34" s="1"/>
  <c r="DS901" i="34" a="1"/>
  <c r="DS901" i="34" s="1"/>
  <c r="CU895" i="34" a="1"/>
  <c r="CU895" i="34" s="1"/>
  <c r="DF894" i="34" a="1"/>
  <c r="DF894" i="34" s="1"/>
  <c r="DX889" i="34" a="1"/>
  <c r="DX889" i="34" s="1"/>
  <c r="ED887" i="34" a="1"/>
  <c r="ED887" i="34" s="1"/>
  <c r="DF882" i="34" a="1"/>
  <c r="DF882" i="34" s="1"/>
  <c r="DG882" i="34" a="1"/>
  <c r="DG882" i="34" s="1"/>
  <c r="CT876" i="34" a="1"/>
  <c r="CT876" i="34" s="1"/>
  <c r="CU876" i="34" a="1"/>
  <c r="CU876" i="34" s="1"/>
  <c r="CH854" i="34" a="1"/>
  <c r="CH854" i="34" s="1"/>
  <c r="CH910" i="34" a="1"/>
  <c r="CH910" i="34" s="1"/>
  <c r="DF907" i="34" a="1"/>
  <c r="DF907" i="34" s="1"/>
  <c r="BW905" i="34" a="1"/>
  <c r="BW905" i="34" s="1"/>
  <c r="CN904" i="34" a="1"/>
  <c r="CN904" i="34" s="1"/>
  <c r="CO904" i="34" a="1"/>
  <c r="CO904" i="34" s="1"/>
  <c r="DS902" i="34" a="1"/>
  <c r="DS902" i="34" s="1"/>
  <c r="CC902" i="34" a="1"/>
  <c r="CC902" i="34" s="1"/>
  <c r="CB902" i="34" a="1"/>
  <c r="CB902" i="34" s="1"/>
  <c r="CI900" i="34" a="1"/>
  <c r="CI900" i="34" s="1"/>
  <c r="CH900" i="34" a="1"/>
  <c r="CH900" i="34" s="1"/>
  <c r="CT899" i="34" a="1"/>
  <c r="CT899" i="34" s="1"/>
  <c r="CU899" i="34" a="1"/>
  <c r="CU899" i="34" s="1"/>
  <c r="DG898" i="34" a="1"/>
  <c r="DG898" i="34" s="1"/>
  <c r="EE894" i="34" a="1"/>
  <c r="EE894" i="34" s="1"/>
  <c r="CH890" i="34" a="1"/>
  <c r="CH890" i="34" s="1"/>
  <c r="CI890" i="34" a="1"/>
  <c r="CI890" i="34" s="1"/>
  <c r="CN888" i="34" a="1"/>
  <c r="CN888" i="34" s="1"/>
  <c r="CO888" i="34" a="1"/>
  <c r="CO888" i="34" s="1"/>
  <c r="CI909" i="34" a="1"/>
  <c r="CI909" i="34" s="1"/>
  <c r="EE908" i="34" a="1"/>
  <c r="EE908" i="34" s="1"/>
  <c r="CO908" i="34" a="1"/>
  <c r="CO908" i="34" s="1"/>
  <c r="DY906" i="34" a="1"/>
  <c r="DY906" i="34" s="1"/>
  <c r="ED903" i="34" a="1"/>
  <c r="ED903" i="34" s="1"/>
  <c r="CC903" i="34" a="1"/>
  <c r="CC903" i="34" s="1"/>
  <c r="CU902" i="34" a="1"/>
  <c r="CU902" i="34" s="1"/>
  <c r="DR899" i="34" a="1"/>
  <c r="DR899" i="34" s="1"/>
  <c r="EE898" i="34" a="1"/>
  <c r="EE898" i="34" s="1"/>
  <c r="CB894" i="34" a="1"/>
  <c r="CB894" i="34" s="1"/>
  <c r="CC894" i="34" a="1"/>
  <c r="CC894" i="34" s="1"/>
  <c r="CT877" i="34" a="1"/>
  <c r="CT877" i="34" s="1"/>
  <c r="CU877" i="34" a="1"/>
  <c r="CU877" i="34" s="1"/>
  <c r="CH869" i="34" a="1"/>
  <c r="CH869" i="34" s="1"/>
  <c r="CI869" i="34" a="1"/>
  <c r="CI869" i="34" s="1"/>
  <c r="CT856" i="34" a="1"/>
  <c r="CT856" i="34" s="1"/>
  <c r="CU856" i="34" a="1"/>
  <c r="CU856" i="34" s="1"/>
  <c r="CT887" i="34" a="1"/>
  <c r="CT887" i="34" s="1"/>
  <c r="CU887" i="34" a="1"/>
  <c r="CU887" i="34" s="1"/>
  <c r="CT886" i="34" a="1"/>
  <c r="CT886" i="34" s="1"/>
  <c r="CU886" i="34" a="1"/>
  <c r="CU886" i="34" s="1"/>
  <c r="CZ884" i="34" a="1"/>
  <c r="CZ884" i="34" s="1"/>
  <c r="DA884" i="34" a="1"/>
  <c r="DA884" i="34" s="1"/>
  <c r="DX876" i="34" a="1"/>
  <c r="DX876" i="34" s="1"/>
  <c r="DY876" i="34" a="1"/>
  <c r="DY876" i="34" s="1"/>
  <c r="DS832" i="34" a="1"/>
  <c r="DS832" i="34" s="1"/>
  <c r="DR832" i="34" a="1"/>
  <c r="DR832" i="34" s="1"/>
  <c r="CB900" i="34" a="1"/>
  <c r="CB900" i="34" s="1"/>
  <c r="CC896" i="34" a="1"/>
  <c r="CC896" i="34" s="1"/>
  <c r="CN895" i="34" a="1"/>
  <c r="CN895" i="34" s="1"/>
  <c r="DL893" i="34" a="1"/>
  <c r="DL893" i="34" s="1"/>
  <c r="DG891" i="34" a="1"/>
  <c r="DG891" i="34" s="1"/>
  <c r="DF890" i="34" a="1"/>
  <c r="DF890" i="34" s="1"/>
  <c r="DG890" i="34" a="1"/>
  <c r="DG890" i="34" s="1"/>
  <c r="CT881" i="34" a="1"/>
  <c r="CT881" i="34" s="1"/>
  <c r="CU881" i="34" a="1"/>
  <c r="CU881" i="34" s="1"/>
  <c r="CB871" i="34" a="1"/>
  <c r="CB871" i="34" s="1"/>
  <c r="CC871" i="34" a="1"/>
  <c r="CC871" i="34" s="1"/>
  <c r="DL864" i="34" a="1"/>
  <c r="DL864" i="34" s="1"/>
  <c r="DM864" i="34" a="1"/>
  <c r="DM864" i="34" s="1"/>
  <c r="CU851" i="34" a="1"/>
  <c r="CU851" i="34" s="1"/>
  <c r="CT851" i="34" a="1"/>
  <c r="CT851" i="34" s="1"/>
  <c r="DA849" i="34" a="1"/>
  <c r="DA849" i="34" s="1"/>
  <c r="CZ849" i="34" a="1"/>
  <c r="CZ849" i="34" s="1"/>
  <c r="DG912" i="34" a="1"/>
  <c r="DG912" i="34" s="1"/>
  <c r="DM910" i="34" a="1"/>
  <c r="DM910" i="34" s="1"/>
  <c r="BV902" i="34" a="1"/>
  <c r="BV902" i="34" s="1"/>
  <c r="BV894" i="34" a="1"/>
  <c r="BV894" i="34" s="1"/>
  <c r="DL888" i="34" a="1"/>
  <c r="DL888" i="34" s="1"/>
  <c r="DM888" i="34" a="1"/>
  <c r="DM888" i="34" s="1"/>
  <c r="CU885" i="34" a="1"/>
  <c r="CU885" i="34" s="1"/>
  <c r="CT885" i="34" a="1"/>
  <c r="CT885" i="34" s="1"/>
  <c r="CT883" i="34" a="1"/>
  <c r="CT883" i="34" s="1"/>
  <c r="CU883" i="34" a="1"/>
  <c r="CU883" i="34" s="1"/>
  <c r="DF871" i="34" a="1"/>
  <c r="DF871" i="34" s="1"/>
  <c r="DL862" i="34" a="1"/>
  <c r="DL862" i="34" s="1"/>
  <c r="DM862" i="34" a="1"/>
  <c r="DM862" i="34" s="1"/>
  <c r="CB860" i="34" a="1"/>
  <c r="CB860" i="34" s="1"/>
  <c r="CC860" i="34" a="1"/>
  <c r="CC860" i="34" s="1"/>
  <c r="CT855" i="34" a="1"/>
  <c r="CT855" i="34" s="1"/>
  <c r="CZ854" i="34" a="1"/>
  <c r="CZ854" i="34" s="1"/>
  <c r="DG933" i="34" a="1"/>
  <c r="DG933" i="34" s="1"/>
  <c r="DM931" i="34" a="1"/>
  <c r="DM931" i="34" s="1"/>
  <c r="DS929" i="34" a="1"/>
  <c r="DS929" i="34" s="1"/>
  <c r="DY927" i="34" a="1"/>
  <c r="DY927" i="34" s="1"/>
  <c r="EE925" i="34" a="1"/>
  <c r="EE925" i="34" s="1"/>
  <c r="BW924" i="34" a="1"/>
  <c r="BW924" i="34" s="1"/>
  <c r="CC922" i="34" a="1"/>
  <c r="CC922" i="34" s="1"/>
  <c r="CI920" i="34" a="1"/>
  <c r="CI920" i="34" s="1"/>
  <c r="DA919" i="34" a="1"/>
  <c r="DA919" i="34" s="1"/>
  <c r="CO918" i="34" a="1"/>
  <c r="CO918" i="34" s="1"/>
  <c r="DG917" i="34" a="1"/>
  <c r="DG917" i="34" s="1"/>
  <c r="DM915" i="34" a="1"/>
  <c r="DM915" i="34" s="1"/>
  <c r="DS913" i="34" a="1"/>
  <c r="DS913" i="34" s="1"/>
  <c r="DY911" i="34" a="1"/>
  <c r="DY911" i="34" s="1"/>
  <c r="CI908" i="34" a="1"/>
  <c r="CI908" i="34" s="1"/>
  <c r="DY907" i="34" a="1"/>
  <c r="DY907" i="34" s="1"/>
  <c r="DX907" i="34" a="1"/>
  <c r="DX907" i="34" s="1"/>
  <c r="CZ907" i="34" a="1"/>
  <c r="CZ907" i="34" s="1"/>
  <c r="DA907" i="34" a="1"/>
  <c r="DA907" i="34" s="1"/>
  <c r="CB907" i="34" a="1"/>
  <c r="CB907" i="34" s="1"/>
  <c r="DX881" i="34" a="1"/>
  <c r="DX881" i="34" s="1"/>
  <c r="DF866" i="34" a="1"/>
  <c r="DF866" i="34" s="1"/>
  <c r="DG866" i="34" a="1"/>
  <c r="DG866" i="34" s="1"/>
  <c r="CC910" i="34" a="1"/>
  <c r="CC910" i="34" s="1"/>
  <c r="DA909" i="34" a="1"/>
  <c r="DA909" i="34" s="1"/>
  <c r="CT906" i="34" a="1"/>
  <c r="CT906" i="34" s="1"/>
  <c r="EE904" i="34" a="1"/>
  <c r="EE904" i="34" s="1"/>
  <c r="CT903" i="34" a="1"/>
  <c r="CT903" i="34" s="1"/>
  <c r="CI897" i="34" a="1"/>
  <c r="CI897" i="34" s="1"/>
  <c r="DY896" i="34" a="1"/>
  <c r="DY896" i="34" s="1"/>
  <c r="CZ896" i="34" a="1"/>
  <c r="CZ896" i="34" s="1"/>
  <c r="BV896" i="34" a="1"/>
  <c r="BV896" i="34" s="1"/>
  <c r="BW896" i="34" a="1"/>
  <c r="BW896" i="34" s="1"/>
  <c r="CZ891" i="34" a="1"/>
  <c r="CZ891" i="34" s="1"/>
  <c r="DA891" i="34" a="1"/>
  <c r="DA891" i="34" s="1"/>
  <c r="CN883" i="34" a="1"/>
  <c r="CN883" i="34" s="1"/>
  <c r="CO883" i="34" a="1"/>
  <c r="CO883" i="34" s="1"/>
  <c r="CT846" i="34" a="1"/>
  <c r="CT846" i="34" s="1"/>
  <c r="CU846" i="34" a="1"/>
  <c r="CU846" i="34" s="1"/>
  <c r="CB908" i="34" a="1"/>
  <c r="CB908" i="34" s="1"/>
  <c r="CC908" i="34" a="1"/>
  <c r="CC908" i="34" s="1"/>
  <c r="BV907" i="34" a="1"/>
  <c r="BV907" i="34" s="1"/>
  <c r="DM905" i="34" a="1"/>
  <c r="DM905" i="34" s="1"/>
  <c r="DY904" i="34" a="1"/>
  <c r="DY904" i="34" s="1"/>
  <c r="DR903" i="34" a="1"/>
  <c r="DR903" i="34" s="1"/>
  <c r="BW903" i="34" a="1"/>
  <c r="BW903" i="34" s="1"/>
  <c r="CU898" i="34" a="1"/>
  <c r="CU898" i="34" s="1"/>
  <c r="CT896" i="34" a="1"/>
  <c r="CT896" i="34" s="1"/>
  <c r="DS894" i="34" a="1"/>
  <c r="DS894" i="34" s="1"/>
  <c r="CO892" i="34" a="1"/>
  <c r="CO892" i="34" s="1"/>
  <c r="ED890" i="34" a="1"/>
  <c r="ED890" i="34" s="1"/>
  <c r="EE890" i="34" a="1"/>
  <c r="EE890" i="34" s="1"/>
  <c r="DR878" i="34" a="1"/>
  <c r="DR878" i="34" s="1"/>
  <c r="DS878" i="34" a="1"/>
  <c r="DS878" i="34" s="1"/>
  <c r="BV873" i="34" a="1"/>
  <c r="BV873" i="34" s="1"/>
  <c r="BW873" i="34" a="1"/>
  <c r="BW873" i="34" s="1"/>
  <c r="CT848" i="34" a="1"/>
  <c r="CT848" i="34" s="1"/>
  <c r="CT907" i="34" a="1"/>
  <c r="CT907" i="34" s="1"/>
  <c r="CU907" i="34" a="1"/>
  <c r="CU907" i="34" s="1"/>
  <c r="BV889" i="34" a="1"/>
  <c r="BV889" i="34" s="1"/>
  <c r="BW889" i="34" a="1"/>
  <c r="BW889" i="34" s="1"/>
  <c r="DR846" i="34" a="1"/>
  <c r="DR846" i="34" s="1"/>
  <c r="DS846" i="34" a="1"/>
  <c r="DS846" i="34" s="1"/>
  <c r="CB836" i="34" a="1"/>
  <c r="CB836" i="34" s="1"/>
  <c r="CC836" i="34" a="1"/>
  <c r="CC836" i="34" s="1"/>
  <c r="CU827" i="34" a="1"/>
  <c r="CU827" i="34" s="1"/>
  <c r="CT827" i="34" a="1"/>
  <c r="CT827" i="34" s="1"/>
  <c r="ED826" i="34" a="1"/>
  <c r="ED826" i="34" s="1"/>
  <c r="EE826" i="34" a="1"/>
  <c r="EE826" i="34" s="1"/>
  <c r="DL895" i="34" a="1"/>
  <c r="DL895" i="34" s="1"/>
  <c r="DR893" i="34" a="1"/>
  <c r="DR893" i="34" s="1"/>
  <c r="DX891" i="34" a="1"/>
  <c r="DX891" i="34" s="1"/>
  <c r="ED889" i="34" a="1"/>
  <c r="ED889" i="34" s="1"/>
  <c r="BV888" i="34" a="1"/>
  <c r="BV888" i="34" s="1"/>
  <c r="CB886" i="34" a="1"/>
  <c r="CB886" i="34" s="1"/>
  <c r="DY885" i="34" a="1"/>
  <c r="DY885" i="34" s="1"/>
  <c r="CH884" i="34" a="1"/>
  <c r="CH884" i="34" s="1"/>
  <c r="EE883" i="34" a="1"/>
  <c r="EE883" i="34" s="1"/>
  <c r="CZ883" i="34" a="1"/>
  <c r="CZ883" i="34" s="1"/>
  <c r="CN882" i="34" a="1"/>
  <c r="CN882" i="34" s="1"/>
  <c r="BW882" i="34" a="1"/>
  <c r="BW882" i="34" s="1"/>
  <c r="DF881" i="34" a="1"/>
  <c r="DF881" i="34" s="1"/>
  <c r="CC880" i="34" a="1"/>
  <c r="CC880" i="34" s="1"/>
  <c r="DL879" i="34" a="1"/>
  <c r="DL879" i="34" s="1"/>
  <c r="CU879" i="34" a="1"/>
  <c r="CU879" i="34" s="1"/>
  <c r="CI878" i="34" a="1"/>
  <c r="CI878" i="34" s="1"/>
  <c r="DR877" i="34" a="1"/>
  <c r="DR877" i="34" s="1"/>
  <c r="DA877" i="34" a="1"/>
  <c r="DA877" i="34" s="1"/>
  <c r="CO876" i="34" a="1"/>
  <c r="CO876" i="34" s="1"/>
  <c r="DX875" i="34" a="1"/>
  <c r="DX875" i="34" s="1"/>
  <c r="DG875" i="34" a="1"/>
  <c r="DG875" i="34" s="1"/>
  <c r="ED873" i="34" a="1"/>
  <c r="ED873" i="34" s="1"/>
  <c r="DM873" i="34" a="1"/>
  <c r="DM873" i="34" s="1"/>
  <c r="BV872" i="34" a="1"/>
  <c r="BV872" i="34" s="1"/>
  <c r="DS871" i="34" a="1"/>
  <c r="DS871" i="34" s="1"/>
  <c r="CB870" i="34" a="1"/>
  <c r="CB870" i="34" s="1"/>
  <c r="DY869" i="34" a="1"/>
  <c r="DY869" i="34" s="1"/>
  <c r="CH868" i="34" a="1"/>
  <c r="CH868" i="34" s="1"/>
  <c r="EE867" i="34" a="1"/>
  <c r="EE867" i="34" s="1"/>
  <c r="CZ867" i="34" a="1"/>
  <c r="CZ867" i="34" s="1"/>
  <c r="CN866" i="34" a="1"/>
  <c r="CN866" i="34" s="1"/>
  <c r="BW866" i="34" a="1"/>
  <c r="BW866" i="34" s="1"/>
  <c r="DF865" i="34" a="1"/>
  <c r="DF865" i="34" s="1"/>
  <c r="CC864" i="34" a="1"/>
  <c r="CC864" i="34" s="1"/>
  <c r="DL863" i="34" a="1"/>
  <c r="DL863" i="34" s="1"/>
  <c r="CU863" i="34" a="1"/>
  <c r="CU863" i="34" s="1"/>
  <c r="DR861" i="34" a="1"/>
  <c r="DR861" i="34" s="1"/>
  <c r="CH859" i="34" a="1"/>
  <c r="CH859" i="34" s="1"/>
  <c r="DM858" i="34" a="1"/>
  <c r="DM858" i="34" s="1"/>
  <c r="CZ857" i="34" a="1"/>
  <c r="CZ857" i="34" s="1"/>
  <c r="CC857" i="34" a="1"/>
  <c r="CC857" i="34" s="1"/>
  <c r="EE855" i="34" a="1"/>
  <c r="EE855" i="34" s="1"/>
  <c r="DL855" i="34" a="1"/>
  <c r="DL855" i="34" s="1"/>
  <c r="BW855" i="34" a="1"/>
  <c r="BW855" i="34" s="1"/>
  <c r="CI853" i="34" a="1"/>
  <c r="CI853" i="34" s="1"/>
  <c r="DM851" i="34" a="1"/>
  <c r="DM851" i="34" s="1"/>
  <c r="CO851" i="34" a="1"/>
  <c r="CO851" i="34" s="1"/>
  <c r="DR848" i="34" a="1"/>
  <c r="DR848" i="34" s="1"/>
  <c r="CB847" i="34" a="1"/>
  <c r="CB847" i="34" s="1"/>
  <c r="CC847" i="34" a="1"/>
  <c r="CC847" i="34" s="1"/>
  <c r="CT845" i="34" a="1"/>
  <c r="CT845" i="34" s="1"/>
  <c r="CN832" i="34" a="1"/>
  <c r="CN832" i="34" s="1"/>
  <c r="CO832" i="34" a="1"/>
  <c r="CO832" i="34" s="1"/>
  <c r="DF828" i="34" a="1"/>
  <c r="DF828" i="34" s="1"/>
  <c r="CN819" i="34" a="1"/>
  <c r="CN819" i="34" s="1"/>
  <c r="CO819" i="34" a="1"/>
  <c r="CO819" i="34" s="1"/>
  <c r="DY797" i="34" a="1"/>
  <c r="DY797" i="34" s="1"/>
  <c r="BW860" i="34" a="1"/>
  <c r="BW860" i="34" s="1"/>
  <c r="CI856" i="34" a="1"/>
  <c r="CI856" i="34" s="1"/>
  <c r="CN835" i="34" a="1"/>
  <c r="CN835" i="34" s="1"/>
  <c r="CO835" i="34" a="1"/>
  <c r="CO835" i="34" s="1"/>
  <c r="CB823" i="34" a="1"/>
  <c r="CB823" i="34" s="1"/>
  <c r="CC823" i="34" a="1"/>
  <c r="CC823" i="34" s="1"/>
  <c r="CT817" i="34" a="1"/>
  <c r="CT817" i="34" s="1"/>
  <c r="CU817" i="34" a="1"/>
  <c r="CU817" i="34" s="1"/>
  <c r="CB812" i="34" a="1"/>
  <c r="CB812" i="34" s="1"/>
  <c r="CC812" i="34" a="1"/>
  <c r="CC812" i="34" s="1"/>
  <c r="DL799" i="34" a="1"/>
  <c r="DL799" i="34" s="1"/>
  <c r="DM799" i="34" a="1"/>
  <c r="DM799" i="34" s="1"/>
  <c r="DF858" i="34" a="1"/>
  <c r="DF858" i="34" s="1"/>
  <c r="CU857" i="34" a="1"/>
  <c r="CU857" i="34" s="1"/>
  <c r="DA856" i="34" a="1"/>
  <c r="DA856" i="34" s="1"/>
  <c r="CO855" i="34" a="1"/>
  <c r="CO855" i="34" s="1"/>
  <c r="BV849" i="34" a="1"/>
  <c r="BV849" i="34" s="1"/>
  <c r="CT847" i="34" a="1"/>
  <c r="CT847" i="34" s="1"/>
  <c r="DF844" i="34" a="1"/>
  <c r="DF844" i="34" s="1"/>
  <c r="DX843" i="34" a="1"/>
  <c r="DX843" i="34" s="1"/>
  <c r="DY843" i="34" a="1"/>
  <c r="DY843" i="34" s="1"/>
  <c r="CI841" i="34" a="1"/>
  <c r="CI841" i="34" s="1"/>
  <c r="DL832" i="34" a="1"/>
  <c r="DL832" i="34" s="1"/>
  <c r="DM832" i="34" a="1"/>
  <c r="DM832" i="34" s="1"/>
  <c r="DR814" i="34" a="1"/>
  <c r="DR814" i="34" s="1"/>
  <c r="DS814" i="34" a="1"/>
  <c r="DS814" i="34" s="1"/>
  <c r="DS886" i="34" a="1"/>
  <c r="DS886" i="34" s="1"/>
  <c r="DY884" i="34" a="1"/>
  <c r="DY884" i="34" s="1"/>
  <c r="EE882" i="34" a="1"/>
  <c r="EE882" i="34" s="1"/>
  <c r="BW881" i="34" a="1"/>
  <c r="BW881" i="34" s="1"/>
  <c r="CC879" i="34" a="1"/>
  <c r="CC879" i="34" s="1"/>
  <c r="CU878" i="34" a="1"/>
  <c r="CU878" i="34" s="1"/>
  <c r="CI877" i="34" a="1"/>
  <c r="CI877" i="34" s="1"/>
  <c r="DA876" i="34" a="1"/>
  <c r="DA876" i="34" s="1"/>
  <c r="CO875" i="34" a="1"/>
  <c r="CO875" i="34" s="1"/>
  <c r="DG874" i="34" a="1"/>
  <c r="DG874" i="34" s="1"/>
  <c r="DM872" i="34" a="1"/>
  <c r="DM872" i="34" s="1"/>
  <c r="DS870" i="34" a="1"/>
  <c r="DS870" i="34" s="1"/>
  <c r="DY868" i="34" a="1"/>
  <c r="DY868" i="34" s="1"/>
  <c r="EE866" i="34" a="1"/>
  <c r="EE866" i="34" s="1"/>
  <c r="BW865" i="34" a="1"/>
  <c r="BW865" i="34" s="1"/>
  <c r="CB854" i="34" a="1"/>
  <c r="CB854" i="34" s="1"/>
  <c r="CC854" i="34" a="1"/>
  <c r="CC854" i="34" s="1"/>
  <c r="DR849" i="34" a="1"/>
  <c r="DR849" i="34" s="1"/>
  <c r="CT849" i="34" a="1"/>
  <c r="CT849" i="34" s="1"/>
  <c r="CU849" i="34" a="1"/>
  <c r="CU849" i="34" s="1"/>
  <c r="BV846" i="34" a="1"/>
  <c r="BV846" i="34" s="1"/>
  <c r="ED841" i="34" a="1"/>
  <c r="ED841" i="34" s="1"/>
  <c r="EE841" i="34" a="1"/>
  <c r="EE841" i="34" s="1"/>
  <c r="CT840" i="34" a="1"/>
  <c r="CT840" i="34" s="1"/>
  <c r="BV840" i="34" a="1"/>
  <c r="BV840" i="34" s="1"/>
  <c r="BW840" i="34" a="1"/>
  <c r="BW840" i="34" s="1"/>
  <c r="CZ836" i="34" a="1"/>
  <c r="CZ836" i="34" s="1"/>
  <c r="DA836" i="34" a="1"/>
  <c r="DA836" i="34" s="1"/>
  <c r="CZ820" i="34" a="1"/>
  <c r="CZ820" i="34" s="1"/>
  <c r="DA820" i="34" a="1"/>
  <c r="DA820" i="34" s="1"/>
  <c r="BV862" i="34" a="1"/>
  <c r="BV862" i="34" s="1"/>
  <c r="CH852" i="34" a="1"/>
  <c r="CH852" i="34" s="1"/>
  <c r="CI852" i="34" a="1"/>
  <c r="CI852" i="34" s="1"/>
  <c r="DL848" i="34" a="1"/>
  <c r="DL848" i="34" s="1"/>
  <c r="DM848" i="34" a="1"/>
  <c r="DM848" i="34" s="1"/>
  <c r="BV838" i="34" a="1"/>
  <c r="BV838" i="34" s="1"/>
  <c r="BW838" i="34" a="1"/>
  <c r="BW838" i="34" s="1"/>
  <c r="CT829" i="34" a="1"/>
  <c r="CT829" i="34" s="1"/>
  <c r="CU829" i="34" a="1"/>
  <c r="CU829" i="34" s="1"/>
  <c r="CU749" i="34" a="1"/>
  <c r="CU749" i="34" s="1"/>
  <c r="CT749" i="34" a="1"/>
  <c r="CT749" i="34" s="1"/>
  <c r="CC863" i="34" a="1"/>
  <c r="CC863" i="34" s="1"/>
  <c r="DG860" i="34" a="1"/>
  <c r="DG860" i="34" s="1"/>
  <c r="CU859" i="34" a="1"/>
  <c r="CU859" i="34" s="1"/>
  <c r="DR856" i="34" a="1"/>
  <c r="DR856" i="34" s="1"/>
  <c r="BV854" i="34" a="1"/>
  <c r="BV854" i="34" s="1"/>
  <c r="DY852" i="34" a="1"/>
  <c r="DY852" i="34" s="1"/>
  <c r="EE850" i="34" a="1"/>
  <c r="EE850" i="34" s="1"/>
  <c r="CN850" i="34" a="1"/>
  <c r="CN850" i="34" s="1"/>
  <c r="CO850" i="34" a="1"/>
  <c r="CO850" i="34" s="1"/>
  <c r="DG848" i="34" a="1"/>
  <c r="DG848" i="34" s="1"/>
  <c r="DL847" i="34" a="1"/>
  <c r="DL847" i="34" s="1"/>
  <c r="DM847" i="34" a="1"/>
  <c r="DM847" i="34" s="1"/>
  <c r="EE845" i="34" a="1"/>
  <c r="EE845" i="34" s="1"/>
  <c r="EE844" i="34" a="1"/>
  <c r="EE844" i="34" s="1"/>
  <c r="DS843" i="34" a="1"/>
  <c r="DS843" i="34" s="1"/>
  <c r="BV843" i="34" a="1"/>
  <c r="BV843" i="34" s="1"/>
  <c r="DX841" i="34" a="1"/>
  <c r="DX841" i="34" s="1"/>
  <c r="DY841" i="34" a="1"/>
  <c r="DY841" i="34" s="1"/>
  <c r="ED839" i="34" a="1"/>
  <c r="ED839" i="34" s="1"/>
  <c r="EE839" i="34" a="1"/>
  <c r="EE839" i="34" s="1"/>
  <c r="DX836" i="34" a="1"/>
  <c r="DX836" i="34" s="1"/>
  <c r="DY836" i="34" a="1"/>
  <c r="DY836" i="34" s="1"/>
  <c r="CN834" i="34" a="1"/>
  <c r="CN834" i="34" s="1"/>
  <c r="BV833" i="34" a="1"/>
  <c r="BV833" i="34" s="1"/>
  <c r="BW833" i="34" a="1"/>
  <c r="BW833" i="34" s="1"/>
  <c r="DR829" i="34" a="1"/>
  <c r="DR829" i="34" s="1"/>
  <c r="CN829" i="34" a="1"/>
  <c r="CN829" i="34" s="1"/>
  <c r="CT813" i="34" a="1"/>
  <c r="CT813" i="34" s="1"/>
  <c r="CU813" i="34" a="1"/>
  <c r="CU813" i="34" s="1"/>
  <c r="CT812" i="34" a="1"/>
  <c r="CT812" i="34" s="1"/>
  <c r="CU804" i="34" a="1"/>
  <c r="CU804" i="34" s="1"/>
  <c r="CT804" i="34" a="1"/>
  <c r="CT804" i="34" s="1"/>
  <c r="CC797" i="34" a="1"/>
  <c r="CC797" i="34" s="1"/>
  <c r="CB797" i="34" a="1"/>
  <c r="CB797" i="34" s="1"/>
  <c r="CO890" i="34" a="1"/>
  <c r="CO890" i="34" s="1"/>
  <c r="DG889" i="34" a="1"/>
  <c r="DG889" i="34" s="1"/>
  <c r="DM887" i="34" a="1"/>
  <c r="DM887" i="34" s="1"/>
  <c r="DS885" i="34" a="1"/>
  <c r="DS885" i="34" s="1"/>
  <c r="DY883" i="34" a="1"/>
  <c r="DY883" i="34" s="1"/>
  <c r="EE881" i="34" a="1"/>
  <c r="EE881" i="34" s="1"/>
  <c r="BW880" i="34" a="1"/>
  <c r="BW880" i="34" s="1"/>
  <c r="CC878" i="34" a="1"/>
  <c r="CC878" i="34" s="1"/>
  <c r="CI876" i="34" a="1"/>
  <c r="CI876" i="34" s="1"/>
  <c r="DA875" i="34" a="1"/>
  <c r="DA875" i="34" s="1"/>
  <c r="CO874" i="34" a="1"/>
  <c r="CO874" i="34" s="1"/>
  <c r="DG873" i="34" a="1"/>
  <c r="DG873" i="34" s="1"/>
  <c r="DM871" i="34" a="1"/>
  <c r="DM871" i="34" s="1"/>
  <c r="DS869" i="34" a="1"/>
  <c r="DS869" i="34" s="1"/>
  <c r="DY867" i="34" a="1"/>
  <c r="DY867" i="34" s="1"/>
  <c r="DM861" i="34" a="1"/>
  <c r="DM861" i="34" s="1"/>
  <c r="ED857" i="34" a="1"/>
  <c r="ED857" i="34" s="1"/>
  <c r="EE857" i="34" a="1"/>
  <c r="EE857" i="34" s="1"/>
  <c r="BW857" i="34" a="1"/>
  <c r="BW857" i="34" s="1"/>
  <c r="DF855" i="34" a="1"/>
  <c r="DF855" i="34" s="1"/>
  <c r="CZ853" i="34" a="1"/>
  <c r="CZ853" i="34" s="1"/>
  <c r="CO848" i="34" a="1"/>
  <c r="CO848" i="34" s="1"/>
  <c r="CT838" i="34" a="1"/>
  <c r="CT838" i="34" s="1"/>
  <c r="CU838" i="34" a="1"/>
  <c r="CU838" i="34" s="1"/>
  <c r="CZ833" i="34" a="1"/>
  <c r="CZ833" i="34" s="1"/>
  <c r="DA833" i="34" a="1"/>
  <c r="DA833" i="34" s="1"/>
  <c r="CT828" i="34" a="1"/>
  <c r="CT828" i="34" s="1"/>
  <c r="CU828" i="34" a="1"/>
  <c r="CU828" i="34" s="1"/>
  <c r="CZ811" i="34" a="1"/>
  <c r="CZ811" i="34" s="1"/>
  <c r="DA811" i="34" a="1"/>
  <c r="DA811" i="34" s="1"/>
  <c r="EE807" i="34" a="1"/>
  <c r="EE807" i="34" s="1"/>
  <c r="ED807" i="34" a="1"/>
  <c r="ED807" i="34" s="1"/>
  <c r="CT802" i="34" a="1"/>
  <c r="CT802" i="34" s="1"/>
  <c r="CU802" i="34" a="1"/>
  <c r="CU802" i="34" s="1"/>
  <c r="CT800" i="34" a="1"/>
  <c r="CT800" i="34" s="1"/>
  <c r="CU800" i="34" a="1"/>
  <c r="CU800" i="34" s="1"/>
  <c r="DX844" i="34" a="1"/>
  <c r="DX844" i="34" s="1"/>
  <c r="DY844" i="34" a="1"/>
  <c r="DY844" i="34" s="1"/>
  <c r="CZ844" i="34" a="1"/>
  <c r="CZ844" i="34" s="1"/>
  <c r="DA844" i="34" a="1"/>
  <c r="DA844" i="34" s="1"/>
  <c r="DL837" i="34" a="1"/>
  <c r="DL837" i="34" s="1"/>
  <c r="DL834" i="34" a="1"/>
  <c r="DL834" i="34" s="1"/>
  <c r="CH834" i="34" a="1"/>
  <c r="CH834" i="34" s="1"/>
  <c r="CI834" i="34" a="1"/>
  <c r="CI834" i="34" s="1"/>
  <c r="DX828" i="34" a="1"/>
  <c r="DX828" i="34" s="1"/>
  <c r="DY828" i="34" a="1"/>
  <c r="DY828" i="34" s="1"/>
  <c r="CN806" i="34" a="1"/>
  <c r="CN806" i="34" s="1"/>
  <c r="CO806" i="34" a="1"/>
  <c r="CO806" i="34" s="1"/>
  <c r="CT803" i="34" a="1"/>
  <c r="CT803" i="34" s="1"/>
  <c r="CN795" i="34" a="1"/>
  <c r="CN795" i="34" s="1"/>
  <c r="DR781" i="34" a="1"/>
  <c r="DR781" i="34" s="1"/>
  <c r="DS781" i="34" a="1"/>
  <c r="DS781" i="34" s="1"/>
  <c r="DA885" i="34" a="1"/>
  <c r="DA885" i="34" s="1"/>
  <c r="DG883" i="34" a="1"/>
  <c r="DG883" i="34" s="1"/>
  <c r="DM881" i="34" a="1"/>
  <c r="DM881" i="34" s="1"/>
  <c r="DS879" i="34" a="1"/>
  <c r="DS879" i="34" s="1"/>
  <c r="DY877" i="34" a="1"/>
  <c r="DY877" i="34" s="1"/>
  <c r="EE875" i="34" a="1"/>
  <c r="EE875" i="34" s="1"/>
  <c r="BW874" i="34" a="1"/>
  <c r="BW874" i="34" s="1"/>
  <c r="CC872" i="34" a="1"/>
  <c r="CC872" i="34" s="1"/>
  <c r="CI870" i="34" a="1"/>
  <c r="CI870" i="34" s="1"/>
  <c r="DA869" i="34" a="1"/>
  <c r="DA869" i="34" s="1"/>
  <c r="CO868" i="34" a="1"/>
  <c r="CO868" i="34" s="1"/>
  <c r="DG867" i="34" a="1"/>
  <c r="DG867" i="34" s="1"/>
  <c r="DM865" i="34" a="1"/>
  <c r="DM865" i="34" s="1"/>
  <c r="DS863" i="34" a="1"/>
  <c r="DS863" i="34" s="1"/>
  <c r="ED861" i="34" a="1"/>
  <c r="ED861" i="34" s="1"/>
  <c r="BW861" i="34" a="1"/>
  <c r="BW861" i="34" s="1"/>
  <c r="DS860" i="34" a="1"/>
  <c r="DS860" i="34" s="1"/>
  <c r="BW859" i="34" a="1"/>
  <c r="BW859" i="34" s="1"/>
  <c r="DS858" i="34" a="1"/>
  <c r="DS858" i="34" s="1"/>
  <c r="DG857" i="34" a="1"/>
  <c r="DG857" i="34" s="1"/>
  <c r="CC852" i="34" a="1"/>
  <c r="CC852" i="34" s="1"/>
  <c r="DA850" i="34" a="1"/>
  <c r="DA850" i="34" s="1"/>
  <c r="CH845" i="34" a="1"/>
  <c r="CH845" i="34" s="1"/>
  <c r="CI845" i="34" a="1"/>
  <c r="CI845" i="34" s="1"/>
  <c r="CU843" i="34" a="1"/>
  <c r="CU843" i="34" s="1"/>
  <c r="CT843" i="34" a="1"/>
  <c r="CT843" i="34" s="1"/>
  <c r="DF842" i="34" a="1"/>
  <c r="DF842" i="34" s="1"/>
  <c r="DG842" i="34" a="1"/>
  <c r="DG842" i="34" s="1"/>
  <c r="DR838" i="34" a="1"/>
  <c r="DR838" i="34" s="1"/>
  <c r="DS838" i="34" a="1"/>
  <c r="DS838" i="34" s="1"/>
  <c r="CH837" i="34" a="1"/>
  <c r="CH837" i="34" s="1"/>
  <c r="CI837" i="34" a="1"/>
  <c r="CI837" i="34" s="1"/>
  <c r="CT833" i="34" a="1"/>
  <c r="CT833" i="34" s="1"/>
  <c r="CU833" i="34" a="1"/>
  <c r="CU833" i="34" s="1"/>
  <c r="CT831" i="34" a="1"/>
  <c r="CT831" i="34" s="1"/>
  <c r="CU831" i="34" a="1"/>
  <c r="CU831" i="34" s="1"/>
  <c r="DF818" i="34" a="1"/>
  <c r="DF818" i="34" s="1"/>
  <c r="DG818" i="34" a="1"/>
  <c r="DG818" i="34" s="1"/>
  <c r="CT786" i="34" a="1"/>
  <c r="CT786" i="34" s="1"/>
  <c r="CU786" i="34" a="1"/>
  <c r="CU786" i="34" s="1"/>
  <c r="DA862" i="34" a="1"/>
  <c r="DA862" i="34" s="1"/>
  <c r="DA860" i="34" a="1"/>
  <c r="DA860" i="34" s="1"/>
  <c r="CH858" i="34" a="1"/>
  <c r="CH858" i="34" s="1"/>
  <c r="DL856" i="34" a="1"/>
  <c r="DL856" i="34" s="1"/>
  <c r="CT853" i="34" a="1"/>
  <c r="CT853" i="34" s="1"/>
  <c r="CU853" i="34" a="1"/>
  <c r="CU853" i="34" s="1"/>
  <c r="CI850" i="34" a="1"/>
  <c r="CI850" i="34" s="1"/>
  <c r="ED847" i="34" a="1"/>
  <c r="ED847" i="34" s="1"/>
  <c r="DG847" i="34" a="1"/>
  <c r="DG847" i="34" s="1"/>
  <c r="BW844" i="34" a="1"/>
  <c r="BW844" i="34" s="1"/>
  <c r="ED842" i="34" a="1"/>
  <c r="ED842" i="34" s="1"/>
  <c r="EE842" i="34" a="1"/>
  <c r="EE842" i="34" s="1"/>
  <c r="DL840" i="34" a="1"/>
  <c r="DL840" i="34" s="1"/>
  <c r="DM840" i="34" a="1"/>
  <c r="DM840" i="34" s="1"/>
  <c r="BV825" i="34" a="1"/>
  <c r="BV825" i="34" s="1"/>
  <c r="BW825" i="34" a="1"/>
  <c r="BW825" i="34" s="1"/>
  <c r="CH821" i="34" a="1"/>
  <c r="CH821" i="34" s="1"/>
  <c r="CI821" i="34" a="1"/>
  <c r="CI821" i="34" s="1"/>
  <c r="DL816" i="34" a="1"/>
  <c r="DL816" i="34" s="1"/>
  <c r="DM816" i="34" a="1"/>
  <c r="DM816" i="34" s="1"/>
  <c r="DS800" i="34" a="1"/>
  <c r="DS800" i="34" s="1"/>
  <c r="DR800" i="34" a="1"/>
  <c r="DR800" i="34" s="1"/>
  <c r="DY857" i="34" a="1"/>
  <c r="DY857" i="34" s="1"/>
  <c r="CZ855" i="34" a="1"/>
  <c r="CZ855" i="34" s="1"/>
  <c r="CN854" i="34" a="1"/>
  <c r="CN854" i="34" s="1"/>
  <c r="CZ851" i="34" a="1"/>
  <c r="CZ851" i="34" s="1"/>
  <c r="DA851" i="34" a="1"/>
  <c r="DA851" i="34" s="1"/>
  <c r="CT844" i="34" a="1"/>
  <c r="CT844" i="34" s="1"/>
  <c r="CU844" i="34" a="1"/>
  <c r="CU844" i="34" s="1"/>
  <c r="BV841" i="34" a="1"/>
  <c r="BV841" i="34" s="1"/>
  <c r="BW841" i="34" a="1"/>
  <c r="BW841" i="34" s="1"/>
  <c r="CB839" i="34" a="1"/>
  <c r="CB839" i="34" s="1"/>
  <c r="CC839" i="34" a="1"/>
  <c r="CC839" i="34" s="1"/>
  <c r="DL821" i="34" a="1"/>
  <c r="DL821" i="34" s="1"/>
  <c r="DM813" i="34" a="1"/>
  <c r="DM813" i="34" s="1"/>
  <c r="DL813" i="34" a="1"/>
  <c r="DL813" i="34" s="1"/>
  <c r="DR812" i="34" a="1"/>
  <c r="DR812" i="34" s="1"/>
  <c r="DS812" i="34" a="1"/>
  <c r="DS812" i="34" s="1"/>
  <c r="DF849" i="34" a="1"/>
  <c r="DF849" i="34" s="1"/>
  <c r="DG849" i="34" a="1"/>
  <c r="DG849" i="34" s="1"/>
  <c r="CN843" i="34" a="1"/>
  <c r="CN843" i="34" s="1"/>
  <c r="CO843" i="34" a="1"/>
  <c r="CO843" i="34" s="1"/>
  <c r="DF834" i="34" a="1"/>
  <c r="DF834" i="34" s="1"/>
  <c r="DG834" i="34" a="1"/>
  <c r="DG834" i="34" s="1"/>
  <c r="CT825" i="34" a="1"/>
  <c r="CT825" i="34" s="1"/>
  <c r="CU825" i="34" a="1"/>
  <c r="CU825" i="34" s="1"/>
  <c r="DS811" i="34" a="1"/>
  <c r="DS811" i="34" s="1"/>
  <c r="DR811" i="34" a="1"/>
  <c r="DR811" i="34" s="1"/>
  <c r="BW894" i="34" a="1"/>
  <c r="BW894" i="34" s="1"/>
  <c r="EE879" i="34" a="1"/>
  <c r="EE879" i="34" s="1"/>
  <c r="BW878" i="34" a="1"/>
  <c r="BW878" i="34" s="1"/>
  <c r="CO859" i="34" a="1"/>
  <c r="CO859" i="34" s="1"/>
  <c r="BV856" i="34" a="1"/>
  <c r="BV856" i="34" s="1"/>
  <c r="BW856" i="34" a="1"/>
  <c r="BW856" i="34" s="1"/>
  <c r="CZ835" i="34" a="1"/>
  <c r="CZ835" i="34" s="1"/>
  <c r="DL831" i="34" a="1"/>
  <c r="DL831" i="34" s="1"/>
  <c r="CT830" i="34" a="1"/>
  <c r="CT830" i="34" s="1"/>
  <c r="CU830" i="34" a="1"/>
  <c r="CU830" i="34" s="1"/>
  <c r="BV830" i="34" a="1"/>
  <c r="BV830" i="34" s="1"/>
  <c r="CH826" i="34" a="1"/>
  <c r="CH826" i="34" s="1"/>
  <c r="CT822" i="34" a="1"/>
  <c r="CT822" i="34" s="1"/>
  <c r="CU822" i="34" a="1"/>
  <c r="CU822" i="34" s="1"/>
  <c r="CT815" i="34" a="1"/>
  <c r="CT815" i="34" s="1"/>
  <c r="CU815" i="34" a="1"/>
  <c r="CU815" i="34" s="1"/>
  <c r="CN808" i="34" a="1"/>
  <c r="CN808" i="34" s="1"/>
  <c r="CO808" i="34" a="1"/>
  <c r="CO808" i="34" s="1"/>
  <c r="CB804" i="34" a="1"/>
  <c r="CB804" i="34" s="1"/>
  <c r="CU788" i="34" a="1"/>
  <c r="CU788" i="34" s="1"/>
  <c r="CT788" i="34" a="1"/>
  <c r="CT788" i="34" s="1"/>
  <c r="DY859" i="34" a="1"/>
  <c r="DY859" i="34" s="1"/>
  <c r="CB858" i="34" a="1"/>
  <c r="CB858" i="34" s="1"/>
  <c r="DL853" i="34" a="1"/>
  <c r="DL853" i="34" s="1"/>
  <c r="DX847" i="34" a="1"/>
  <c r="DX847" i="34" s="1"/>
  <c r="DY846" i="34" a="1"/>
  <c r="DY846" i="34" s="1"/>
  <c r="CH836" i="34" a="1"/>
  <c r="CH836" i="34" s="1"/>
  <c r="CT818" i="34" a="1"/>
  <c r="CT818" i="34" s="1"/>
  <c r="CU818" i="34" a="1"/>
  <c r="CU818" i="34" s="1"/>
  <c r="EE858" i="34" a="1"/>
  <c r="EE858" i="34" s="1"/>
  <c r="DL858" i="34" a="1"/>
  <c r="DL858" i="34" s="1"/>
  <c r="ED855" i="34" a="1"/>
  <c r="ED855" i="34" s="1"/>
  <c r="CO852" i="34" a="1"/>
  <c r="CO852" i="34" s="1"/>
  <c r="CB849" i="34" a="1"/>
  <c r="CB849" i="34" s="1"/>
  <c r="DR845" i="34" a="1"/>
  <c r="DR845" i="34" s="1"/>
  <c r="DS845" i="34" a="1"/>
  <c r="DS845" i="34" s="1"/>
  <c r="CT835" i="34" a="1"/>
  <c r="CT835" i="34" s="1"/>
  <c r="CU835" i="34" a="1"/>
  <c r="CU835" i="34" s="1"/>
  <c r="ED834" i="34" a="1"/>
  <c r="ED834" i="34" s="1"/>
  <c r="EE834" i="34" a="1"/>
  <c r="EE834" i="34" s="1"/>
  <c r="CH831" i="34" a="1"/>
  <c r="CH831" i="34" s="1"/>
  <c r="BV796" i="34" a="1"/>
  <c r="BV796" i="34" s="1"/>
  <c r="BW796" i="34" a="1"/>
  <c r="BW796" i="34" s="1"/>
  <c r="CC838" i="34" a="1"/>
  <c r="CC838" i="34" s="1"/>
  <c r="CU837" i="34" a="1"/>
  <c r="CU837" i="34" s="1"/>
  <c r="CI836" i="34" a="1"/>
  <c r="CI836" i="34" s="1"/>
  <c r="DA835" i="34" a="1"/>
  <c r="DA835" i="34" s="1"/>
  <c r="CO834" i="34" a="1"/>
  <c r="CO834" i="34" s="1"/>
  <c r="DG833" i="34" a="1"/>
  <c r="DG833" i="34" s="1"/>
  <c r="DM831" i="34" a="1"/>
  <c r="DM831" i="34" s="1"/>
  <c r="DS829" i="34" a="1"/>
  <c r="DS829" i="34" s="1"/>
  <c r="DY827" i="34" a="1"/>
  <c r="DY827" i="34" s="1"/>
  <c r="EE825" i="34" a="1"/>
  <c r="EE825" i="34" s="1"/>
  <c r="BW824" i="34" a="1"/>
  <c r="BW824" i="34" s="1"/>
  <c r="CC822" i="34" a="1"/>
  <c r="CC822" i="34" s="1"/>
  <c r="CU821" i="34" a="1"/>
  <c r="CU821" i="34" s="1"/>
  <c r="CI820" i="34" a="1"/>
  <c r="CI820" i="34" s="1"/>
  <c r="DA819" i="34" a="1"/>
  <c r="DA819" i="34" s="1"/>
  <c r="CO818" i="34" a="1"/>
  <c r="CO818" i="34" s="1"/>
  <c r="DG817" i="34" a="1"/>
  <c r="DG817" i="34" s="1"/>
  <c r="DM815" i="34" a="1"/>
  <c r="DM815" i="34" s="1"/>
  <c r="CI810" i="34" a="1"/>
  <c r="CI810" i="34" s="1"/>
  <c r="EE808" i="34" a="1"/>
  <c r="EE808" i="34" s="1"/>
  <c r="ED804" i="34" a="1"/>
  <c r="ED804" i="34" s="1"/>
  <c r="EE804" i="34" a="1"/>
  <c r="EE804" i="34" s="1"/>
  <c r="CN802" i="34" a="1"/>
  <c r="CN802" i="34" s="1"/>
  <c r="CO802" i="34" a="1"/>
  <c r="CO802" i="34" s="1"/>
  <c r="DF801" i="34" a="1"/>
  <c r="DF801" i="34" s="1"/>
  <c r="DG801" i="34" a="1"/>
  <c r="DG801" i="34" s="1"/>
  <c r="DY798" i="34" a="1"/>
  <c r="DY798" i="34" s="1"/>
  <c r="DS796" i="34" a="1"/>
  <c r="DS796" i="34" s="1"/>
  <c r="DR796" i="34" a="1"/>
  <c r="DR796" i="34" s="1"/>
  <c r="CU790" i="34" a="1"/>
  <c r="CU790" i="34" s="1"/>
  <c r="DL783" i="34" a="1"/>
  <c r="DL783" i="34" s="1"/>
  <c r="DM783" i="34" a="1"/>
  <c r="DM783" i="34" s="1"/>
  <c r="BW813" i="34" a="1"/>
  <c r="BW813" i="34" s="1"/>
  <c r="CU812" i="34" a="1"/>
  <c r="CU812" i="34" s="1"/>
  <c r="DY809" i="34" a="1"/>
  <c r="DY809" i="34" s="1"/>
  <c r="CO807" i="34" a="1"/>
  <c r="CO807" i="34" s="1"/>
  <c r="EE806" i="34" a="1"/>
  <c r="EE806" i="34" s="1"/>
  <c r="CC804" i="34" a="1"/>
  <c r="CC804" i="34" s="1"/>
  <c r="CU803" i="34" a="1"/>
  <c r="CU803" i="34" s="1"/>
  <c r="DX797" i="34" a="1"/>
  <c r="DX797" i="34" s="1"/>
  <c r="CO795" i="34" a="1"/>
  <c r="CO795" i="34" s="1"/>
  <c r="CZ794" i="34" a="1"/>
  <c r="CZ794" i="34" s="1"/>
  <c r="DA786" i="34" a="1"/>
  <c r="DA786" i="34" s="1"/>
  <c r="CZ786" i="34" a="1"/>
  <c r="CZ786" i="34" s="1"/>
  <c r="DR785" i="34" a="1"/>
  <c r="DR785" i="34" s="1"/>
  <c r="CO785" i="34" a="1"/>
  <c r="CO785" i="34" s="1"/>
  <c r="CN785" i="34" a="1"/>
  <c r="CN785" i="34" s="1"/>
  <c r="DY784" i="34" a="1"/>
  <c r="DY784" i="34" s="1"/>
  <c r="DL781" i="34" a="1"/>
  <c r="DL781" i="34" s="1"/>
  <c r="CI777" i="34" a="1"/>
  <c r="CI777" i="34" s="1"/>
  <c r="BV776" i="34" a="1"/>
  <c r="BV776" i="34" s="1"/>
  <c r="BW776" i="34" a="1"/>
  <c r="BW776" i="34" s="1"/>
  <c r="CZ757" i="34" a="1"/>
  <c r="CZ757" i="34" s="1"/>
  <c r="DA757" i="34" a="1"/>
  <c r="DA757" i="34" s="1"/>
  <c r="CT774" i="34" a="1"/>
  <c r="CT774" i="34" s="1"/>
  <c r="CU774" i="34" a="1"/>
  <c r="CU774" i="34" s="1"/>
  <c r="DS771" i="34" a="1"/>
  <c r="DS771" i="34" s="1"/>
  <c r="DR771" i="34" a="1"/>
  <c r="DR771" i="34" s="1"/>
  <c r="DY769" i="34" a="1"/>
  <c r="DY769" i="34" s="1"/>
  <c r="DX769" i="34" a="1"/>
  <c r="DX769" i="34" s="1"/>
  <c r="DR752" i="34" a="1"/>
  <c r="DR752" i="34" s="1"/>
  <c r="DS752" i="34" a="1"/>
  <c r="DS752" i="34" s="1"/>
  <c r="BV745" i="34" a="1"/>
  <c r="BV745" i="34" s="1"/>
  <c r="BW745" i="34" a="1"/>
  <c r="BW745" i="34" s="1"/>
  <c r="EE829" i="34" a="1"/>
  <c r="EE829" i="34" s="1"/>
  <c r="BW828" i="34" a="1"/>
  <c r="BW828" i="34" s="1"/>
  <c r="CC826" i="34" a="1"/>
  <c r="CC826" i="34" s="1"/>
  <c r="CI824" i="34" a="1"/>
  <c r="CI824" i="34" s="1"/>
  <c r="DA823" i="34" a="1"/>
  <c r="DA823" i="34" s="1"/>
  <c r="CO822" i="34" a="1"/>
  <c r="CO822" i="34" s="1"/>
  <c r="DG821" i="34" a="1"/>
  <c r="DG821" i="34" s="1"/>
  <c r="DM819" i="34" a="1"/>
  <c r="DM819" i="34" s="1"/>
  <c r="DS817" i="34" a="1"/>
  <c r="DS817" i="34" s="1"/>
  <c r="DY815" i="34" a="1"/>
  <c r="DY815" i="34" s="1"/>
  <c r="ED813" i="34" a="1"/>
  <c r="ED813" i="34" s="1"/>
  <c r="BW811" i="34" a="1"/>
  <c r="BW811" i="34" s="1"/>
  <c r="DS810" i="34" a="1"/>
  <c r="DS810" i="34" s="1"/>
  <c r="CI809" i="34" a="1"/>
  <c r="CI809" i="34" s="1"/>
  <c r="DG808" i="34" a="1"/>
  <c r="DG808" i="34" s="1"/>
  <c r="DG806" i="34" a="1"/>
  <c r="DG806" i="34" s="1"/>
  <c r="DY804" i="34" a="1"/>
  <c r="DY804" i="34" s="1"/>
  <c r="CI802" i="34" a="1"/>
  <c r="CI802" i="34" s="1"/>
  <c r="DA801" i="34" a="1"/>
  <c r="DA801" i="34" s="1"/>
  <c r="DR797" i="34" a="1"/>
  <c r="DR797" i="34" s="1"/>
  <c r="DS797" i="34" a="1"/>
  <c r="DS797" i="34" s="1"/>
  <c r="BW797" i="34" a="1"/>
  <c r="BW797" i="34" s="1"/>
  <c r="DY794" i="34" a="1"/>
  <c r="DY794" i="34" s="1"/>
  <c r="DX794" i="34" a="1"/>
  <c r="DX794" i="34" s="1"/>
  <c r="CB794" i="34" a="1"/>
  <c r="CB794" i="34" s="1"/>
  <c r="CT793" i="34" a="1"/>
  <c r="CT793" i="34" s="1"/>
  <c r="DS790" i="34" a="1"/>
  <c r="DS790" i="34" s="1"/>
  <c r="CT784" i="34" a="1"/>
  <c r="CT784" i="34" s="1"/>
  <c r="CU784" i="34" a="1"/>
  <c r="CU784" i="34" s="1"/>
  <c r="DX764" i="34" a="1"/>
  <c r="DX764" i="34" s="1"/>
  <c r="DY764" i="34" a="1"/>
  <c r="DY764" i="34" s="1"/>
  <c r="CC831" i="34" a="1"/>
  <c r="CC831" i="34" s="1"/>
  <c r="CI829" i="34" a="1"/>
  <c r="CI829" i="34" s="1"/>
  <c r="DA828" i="34" a="1"/>
  <c r="DA828" i="34" s="1"/>
  <c r="CO827" i="34" a="1"/>
  <c r="CO827" i="34" s="1"/>
  <c r="DG826" i="34" a="1"/>
  <c r="DG826" i="34" s="1"/>
  <c r="DM824" i="34" a="1"/>
  <c r="DM824" i="34" s="1"/>
  <c r="DS822" i="34" a="1"/>
  <c r="DS822" i="34" s="1"/>
  <c r="DY820" i="34" a="1"/>
  <c r="DY820" i="34" s="1"/>
  <c r="EE818" i="34" a="1"/>
  <c r="EE818" i="34" s="1"/>
  <c r="BW817" i="34" a="1"/>
  <c r="BW817" i="34" s="1"/>
  <c r="CC815" i="34" a="1"/>
  <c r="CC815" i="34" s="1"/>
  <c r="CU814" i="34" a="1"/>
  <c r="CU814" i="34" s="1"/>
  <c r="CN813" i="34" a="1"/>
  <c r="CN813" i="34" s="1"/>
  <c r="CO813" i="34" a="1"/>
  <c r="CO813" i="34" s="1"/>
  <c r="BV812" i="34" a="1"/>
  <c r="BV812" i="34" s="1"/>
  <c r="CH808" i="34" a="1"/>
  <c r="CH808" i="34" s="1"/>
  <c r="DA806" i="34" a="1"/>
  <c r="DA806" i="34" s="1"/>
  <c r="CH806" i="34" a="1"/>
  <c r="CH806" i="34" s="1"/>
  <c r="DA805" i="34" a="1"/>
  <c r="DA805" i="34" s="1"/>
  <c r="CC805" i="34" a="1"/>
  <c r="CC805" i="34" s="1"/>
  <c r="BV801" i="34" a="1"/>
  <c r="BV801" i="34" s="1"/>
  <c r="CO800" i="34" a="1"/>
  <c r="CO800" i="34" s="1"/>
  <c r="DG799" i="34" a="1"/>
  <c r="DG799" i="34" s="1"/>
  <c r="CT798" i="34" a="1"/>
  <c r="CT798" i="34" s="1"/>
  <c r="ED795" i="34" a="1"/>
  <c r="ED795" i="34" s="1"/>
  <c r="CH792" i="34" a="1"/>
  <c r="CH792" i="34" s="1"/>
  <c r="CZ791" i="34" a="1"/>
  <c r="CZ791" i="34" s="1"/>
  <c r="DY788" i="34" a="1"/>
  <c r="DY788" i="34" s="1"/>
  <c r="DL787" i="34" a="1"/>
  <c r="DL787" i="34" s="1"/>
  <c r="DL785" i="34" a="1"/>
  <c r="DL785" i="34" s="1"/>
  <c r="DA776" i="34" a="1"/>
  <c r="DA776" i="34" s="1"/>
  <c r="CT773" i="34" a="1"/>
  <c r="CT773" i="34" s="1"/>
  <c r="CU773" i="34" a="1"/>
  <c r="CU773" i="34" s="1"/>
  <c r="DX762" i="34" a="1"/>
  <c r="DX762" i="34" s="1"/>
  <c r="DY762" i="34" a="1"/>
  <c r="DY762" i="34" s="1"/>
  <c r="CZ717" i="34" a="1"/>
  <c r="CZ717" i="34" s="1"/>
  <c r="DA717" i="34" a="1"/>
  <c r="DA717" i="34" s="1"/>
  <c r="DG831" i="34" a="1"/>
  <c r="DG831" i="34" s="1"/>
  <c r="DM829" i="34" a="1"/>
  <c r="DM829" i="34" s="1"/>
  <c r="DS827" i="34" a="1"/>
  <c r="DS827" i="34" s="1"/>
  <c r="DY825" i="34" a="1"/>
  <c r="DY825" i="34" s="1"/>
  <c r="EE823" i="34" a="1"/>
  <c r="EE823" i="34" s="1"/>
  <c r="BW822" i="34" a="1"/>
  <c r="BW822" i="34" s="1"/>
  <c r="CC820" i="34" a="1"/>
  <c r="CC820" i="34" s="1"/>
  <c r="CU819" i="34" a="1"/>
  <c r="CU819" i="34" s="1"/>
  <c r="CI818" i="34" a="1"/>
  <c r="CI818" i="34" s="1"/>
  <c r="DA817" i="34" a="1"/>
  <c r="DA817" i="34" s="1"/>
  <c r="CO816" i="34" a="1"/>
  <c r="CO816" i="34" s="1"/>
  <c r="DG815" i="34" a="1"/>
  <c r="DG815" i="34" s="1"/>
  <c r="DY813" i="34" a="1"/>
  <c r="DY813" i="34" s="1"/>
  <c r="DL812" i="34" a="1"/>
  <c r="DL812" i="34" s="1"/>
  <c r="CB810" i="34" a="1"/>
  <c r="CB810" i="34" s="1"/>
  <c r="DM803" i="34" a="1"/>
  <c r="DM803" i="34" s="1"/>
  <c r="EE802" i="34" a="1"/>
  <c r="EE802" i="34" s="1"/>
  <c r="CT801" i="34" a="1"/>
  <c r="CT801" i="34" s="1"/>
  <c r="DS794" i="34" a="1"/>
  <c r="DS794" i="34" s="1"/>
  <c r="DL790" i="34" a="1"/>
  <c r="DL790" i="34" s="1"/>
  <c r="CI787" i="34" a="1"/>
  <c r="CI787" i="34" s="1"/>
  <c r="CH787" i="34" a="1"/>
  <c r="CH787" i="34" s="1"/>
  <c r="CH785" i="34" a="1"/>
  <c r="CH785" i="34" s="1"/>
  <c r="CI785" i="34" a="1"/>
  <c r="CI785" i="34" s="1"/>
  <c r="CN784" i="34" a="1"/>
  <c r="CN784" i="34" s="1"/>
  <c r="DY830" i="34" a="1"/>
  <c r="DY830" i="34" s="1"/>
  <c r="CH813" i="34" a="1"/>
  <c r="CH813" i="34" s="1"/>
  <c r="EE811" i="34" a="1"/>
  <c r="EE811" i="34" s="1"/>
  <c r="CC808" i="34" a="1"/>
  <c r="CC808" i="34" s="1"/>
  <c r="CB806" i="34" a="1"/>
  <c r="CB806" i="34" s="1"/>
  <c r="CC806" i="34" a="1"/>
  <c r="CC806" i="34" s="1"/>
  <c r="CB799" i="34" a="1"/>
  <c r="CB799" i="34" s="1"/>
  <c r="DX795" i="34" a="1"/>
  <c r="DX795" i="34" s="1"/>
  <c r="DY795" i="34" a="1"/>
  <c r="DY795" i="34" s="1"/>
  <c r="EE792" i="34" a="1"/>
  <c r="EE792" i="34" s="1"/>
  <c r="ED792" i="34" a="1"/>
  <c r="ED792" i="34" s="1"/>
  <c r="DF785" i="34" a="1"/>
  <c r="DF785" i="34" s="1"/>
  <c r="DG785" i="34" a="1"/>
  <c r="DG785" i="34" s="1"/>
  <c r="CT776" i="34" a="1"/>
  <c r="CT776" i="34" s="1"/>
  <c r="CU776" i="34" a="1"/>
  <c r="CU776" i="34" s="1"/>
  <c r="CZ754" i="34" a="1"/>
  <c r="CZ754" i="34" s="1"/>
  <c r="DA754" i="34" a="1"/>
  <c r="DA754" i="34" s="1"/>
  <c r="CU745" i="34" a="1"/>
  <c r="CU745" i="34" s="1"/>
  <c r="CT745" i="34" a="1"/>
  <c r="CT745" i="34" s="1"/>
  <c r="CN811" i="34" a="1"/>
  <c r="CN811" i="34" s="1"/>
  <c r="BW810" i="34" a="1"/>
  <c r="BW810" i="34" s="1"/>
  <c r="DX808" i="34" a="1"/>
  <c r="DX808" i="34" s="1"/>
  <c r="DX806" i="34" a="1"/>
  <c r="DX806" i="34" s="1"/>
  <c r="DY806" i="34" a="1"/>
  <c r="DY806" i="34" s="1"/>
  <c r="DA802" i="34" a="1"/>
  <c r="DA802" i="34" s="1"/>
  <c r="CZ802" i="34" a="1"/>
  <c r="CZ802" i="34" s="1"/>
  <c r="DM797" i="34" a="1"/>
  <c r="DM797" i="34" s="1"/>
  <c r="CC795" i="34" a="1"/>
  <c r="CC795" i="34" s="1"/>
  <c r="BV794" i="34" a="1"/>
  <c r="BV794" i="34" s="1"/>
  <c r="BW791" i="34" a="1"/>
  <c r="BW791" i="34" s="1"/>
  <c r="BV791" i="34" a="1"/>
  <c r="BV791" i="34" s="1"/>
  <c r="CI790" i="34" a="1"/>
  <c r="CI790" i="34" s="1"/>
  <c r="DA789" i="34" a="1"/>
  <c r="DA789" i="34" s="1"/>
  <c r="CO788" i="34" a="1"/>
  <c r="CO788" i="34" s="1"/>
  <c r="DF787" i="34" a="1"/>
  <c r="DF787" i="34" s="1"/>
  <c r="DM786" i="34" a="1"/>
  <c r="DM786" i="34" s="1"/>
  <c r="CT783" i="34" a="1"/>
  <c r="CT783" i="34" s="1"/>
  <c r="EE782" i="34" a="1"/>
  <c r="EE782" i="34" s="1"/>
  <c r="CC771" i="34" a="1"/>
  <c r="CC771" i="34" s="1"/>
  <c r="CB771" i="34" a="1"/>
  <c r="CB771" i="34" s="1"/>
  <c r="CZ767" i="34" a="1"/>
  <c r="CZ767" i="34" s="1"/>
  <c r="DA767" i="34" a="1"/>
  <c r="DA767" i="34" s="1"/>
  <c r="DF812" i="34" a="1"/>
  <c r="DF812" i="34" s="1"/>
  <c r="DG812" i="34" a="1"/>
  <c r="DG812" i="34" s="1"/>
  <c r="CZ807" i="34" a="1"/>
  <c r="CZ807" i="34" s="1"/>
  <c r="CT805" i="34" a="1"/>
  <c r="CT805" i="34" s="1"/>
  <c r="CU805" i="34" a="1"/>
  <c r="CU805" i="34" s="1"/>
  <c r="DG800" i="34" a="1"/>
  <c r="DG800" i="34" s="1"/>
  <c r="DF800" i="34" a="1"/>
  <c r="DF800" i="34" s="1"/>
  <c r="CT791" i="34" a="1"/>
  <c r="CT791" i="34" s="1"/>
  <c r="CC789" i="34" a="1"/>
  <c r="CC789" i="34" s="1"/>
  <c r="CB789" i="34" a="1"/>
  <c r="CB789" i="34" s="1"/>
  <c r="DS788" i="34" a="1"/>
  <c r="DS788" i="34" s="1"/>
  <c r="CN786" i="34" a="1"/>
  <c r="CN786" i="34" s="1"/>
  <c r="CO786" i="34" a="1"/>
  <c r="CO786" i="34" s="1"/>
  <c r="BW781" i="34" a="1"/>
  <c r="BW781" i="34" s="1"/>
  <c r="ED777" i="34" a="1"/>
  <c r="ED777" i="34" s="1"/>
  <c r="EE777" i="34" a="1"/>
  <c r="EE777" i="34" s="1"/>
  <c r="DL772" i="34" a="1"/>
  <c r="DL772" i="34" s="1"/>
  <c r="DL810" i="34" a="1"/>
  <c r="DL810" i="34" s="1"/>
  <c r="DM810" i="34" a="1"/>
  <c r="DM810" i="34" s="1"/>
  <c r="CT809" i="34" a="1"/>
  <c r="CT809" i="34" s="1"/>
  <c r="CI803" i="34" a="1"/>
  <c r="CI803" i="34" s="1"/>
  <c r="CH803" i="34" a="1"/>
  <c r="CH803" i="34" s="1"/>
  <c r="DR801" i="34" a="1"/>
  <c r="DR801" i="34" s="1"/>
  <c r="ED793" i="34" a="1"/>
  <c r="ED793" i="34" s="1"/>
  <c r="EE793" i="34" a="1"/>
  <c r="EE793" i="34" s="1"/>
  <c r="CZ787" i="34" a="1"/>
  <c r="CZ787" i="34" s="1"/>
  <c r="DA787" i="34" a="1"/>
  <c r="DA787" i="34" s="1"/>
  <c r="CB787" i="34" a="1"/>
  <c r="CB787" i="34" s="1"/>
  <c r="CC787" i="34" a="1"/>
  <c r="CC787" i="34" s="1"/>
  <c r="DX782" i="34" a="1"/>
  <c r="DX782" i="34" s="1"/>
  <c r="DY782" i="34" a="1"/>
  <c r="DY782" i="34" s="1"/>
  <c r="CT782" i="34" a="1"/>
  <c r="CT782" i="34" s="1"/>
  <c r="CU782" i="34" a="1"/>
  <c r="CU782" i="34" s="1"/>
  <c r="ED780" i="34" a="1"/>
  <c r="ED780" i="34" s="1"/>
  <c r="EE780" i="34" a="1"/>
  <c r="EE780" i="34" s="1"/>
  <c r="DY755" i="34" a="1"/>
  <c r="DY755" i="34" s="1"/>
  <c r="DX755" i="34" a="1"/>
  <c r="DX755" i="34" s="1"/>
  <c r="CT755" i="34" a="1"/>
  <c r="CT755" i="34" s="1"/>
  <c r="CU755" i="34" a="1"/>
  <c r="CU755" i="34" s="1"/>
  <c r="DY818" i="34" a="1"/>
  <c r="DY818" i="34" s="1"/>
  <c r="EE816" i="34" a="1"/>
  <c r="EE816" i="34" s="1"/>
  <c r="BW815" i="34" a="1"/>
  <c r="BW815" i="34" s="1"/>
  <c r="DR808" i="34" a="1"/>
  <c r="DR808" i="34" s="1"/>
  <c r="DS808" i="34" a="1"/>
  <c r="DS808" i="34" s="1"/>
  <c r="BW806" i="34" a="1"/>
  <c r="BW806" i="34" s="1"/>
  <c r="CO805" i="34" a="1"/>
  <c r="CO805" i="34" s="1"/>
  <c r="DM804" i="34" a="1"/>
  <c r="DM804" i="34" s="1"/>
  <c r="CO801" i="34" a="1"/>
  <c r="CO801" i="34" s="1"/>
  <c r="CN801" i="34" a="1"/>
  <c r="CN801" i="34" s="1"/>
  <c r="DX799" i="34" a="1"/>
  <c r="DX799" i="34" s="1"/>
  <c r="DM798" i="34" a="1"/>
  <c r="DM798" i="34" s="1"/>
  <c r="DL798" i="34" a="1"/>
  <c r="DL798" i="34" s="1"/>
  <c r="DS795" i="34" a="1"/>
  <c r="DS795" i="34" s="1"/>
  <c r="CI793" i="34" a="1"/>
  <c r="CI793" i="34" s="1"/>
  <c r="BV792" i="34" a="1"/>
  <c r="BV792" i="34" s="1"/>
  <c r="BW792" i="34" a="1"/>
  <c r="BW792" i="34" s="1"/>
  <c r="DM788" i="34" a="1"/>
  <c r="DM788" i="34" s="1"/>
  <c r="CB774" i="34" a="1"/>
  <c r="CB774" i="34" s="1"/>
  <c r="CC774" i="34" a="1"/>
  <c r="CC774" i="34" s="1"/>
  <c r="CC750" i="34" a="1"/>
  <c r="CC750" i="34" s="1"/>
  <c r="CB750" i="34" a="1"/>
  <c r="CB750" i="34" s="1"/>
  <c r="DS813" i="34" a="1"/>
  <c r="DS813" i="34" s="1"/>
  <c r="CB813" i="34" a="1"/>
  <c r="CB813" i="34" s="1"/>
  <c r="DF810" i="34" a="1"/>
  <c r="DF810" i="34" s="1"/>
  <c r="ED809" i="34" a="1"/>
  <c r="ED809" i="34" s="1"/>
  <c r="DS806" i="34" a="1"/>
  <c r="DS806" i="34" s="1"/>
  <c r="CN804" i="34" a="1"/>
  <c r="CN804" i="34" s="1"/>
  <c r="DF803" i="34" a="1"/>
  <c r="DF803" i="34" s="1"/>
  <c r="DS802" i="34" a="1"/>
  <c r="DS802" i="34" s="1"/>
  <c r="DM801" i="34" a="1"/>
  <c r="DM801" i="34" s="1"/>
  <c r="EE797" i="34" a="1"/>
  <c r="EE797" i="34" s="1"/>
  <c r="CH797" i="34" a="1"/>
  <c r="CH797" i="34" s="1"/>
  <c r="DA796" i="34" a="1"/>
  <c r="DA796" i="34" s="1"/>
  <c r="CU795" i="34" a="1"/>
  <c r="CU795" i="34" s="1"/>
  <c r="DX793" i="34" a="1"/>
  <c r="DX793" i="34" s="1"/>
  <c r="CO791" i="34" a="1"/>
  <c r="CO791" i="34" s="1"/>
  <c r="CB790" i="34" a="1"/>
  <c r="CB790" i="34" s="1"/>
  <c r="CC790" i="34" a="1"/>
  <c r="CC790" i="34" s="1"/>
  <c r="CT789" i="34" a="1"/>
  <c r="CT789" i="34" s="1"/>
  <c r="CU789" i="34" a="1"/>
  <c r="CU789" i="34" s="1"/>
  <c r="DG788" i="34" a="1"/>
  <c r="DG788" i="34" s="1"/>
  <c r="CH788" i="34" a="1"/>
  <c r="CH788" i="34" s="1"/>
  <c r="CI788" i="34" a="1"/>
  <c r="CI788" i="34" s="1"/>
  <c r="CT787" i="34" a="1"/>
  <c r="CT787" i="34" s="1"/>
  <c r="CT780" i="34" a="1"/>
  <c r="CT780" i="34" s="1"/>
  <c r="CU780" i="34" a="1"/>
  <c r="CU780" i="34" s="1"/>
  <c r="CO775" i="34" a="1"/>
  <c r="CO775" i="34" s="1"/>
  <c r="CU765" i="34" a="1"/>
  <c r="CU765" i="34" s="1"/>
  <c r="CT765" i="34" a="1"/>
  <c r="CT765" i="34" s="1"/>
  <c r="DA759" i="34" a="1"/>
  <c r="DA759" i="34" s="1"/>
  <c r="CZ759" i="34" a="1"/>
  <c r="CZ759" i="34" s="1"/>
  <c r="DM748" i="34" a="1"/>
  <c r="DM748" i="34" s="1"/>
  <c r="DL748" i="34" a="1"/>
  <c r="DL748" i="34" s="1"/>
  <c r="CH811" i="34" a="1"/>
  <c r="CH811" i="34" s="1"/>
  <c r="BW808" i="34" a="1"/>
  <c r="BW808" i="34" s="1"/>
  <c r="CT807" i="34" a="1"/>
  <c r="CT807" i="34" s="1"/>
  <c r="DY800" i="34" a="1"/>
  <c r="DY800" i="34" s="1"/>
  <c r="BW785" i="34" a="1"/>
  <c r="BW785" i="34" s="1"/>
  <c r="DG784" i="34" a="1"/>
  <c r="DG784" i="34" s="1"/>
  <c r="DF784" i="34" a="1"/>
  <c r="DF784" i="34" s="1"/>
  <c r="CH804" i="34" a="1"/>
  <c r="CH804" i="34" s="1"/>
  <c r="CI804" i="34" a="1"/>
  <c r="CI804" i="34" s="1"/>
  <c r="CZ803" i="34" a="1"/>
  <c r="CZ803" i="34" s="1"/>
  <c r="DA803" i="34" a="1"/>
  <c r="DA803" i="34" s="1"/>
  <c r="DA763" i="34" a="1"/>
  <c r="DA763" i="34" s="1"/>
  <c r="CZ763" i="34" a="1"/>
  <c r="CZ763" i="34" s="1"/>
  <c r="DS753" i="34" a="1"/>
  <c r="DS753" i="34" s="1"/>
  <c r="DR753" i="34" a="1"/>
  <c r="DR753" i="34" s="1"/>
  <c r="DY810" i="34" a="1"/>
  <c r="DY810" i="34" s="1"/>
  <c r="DM808" i="34" a="1"/>
  <c r="DM808" i="34" s="1"/>
  <c r="DR799" i="34" a="1"/>
  <c r="DR799" i="34" s="1"/>
  <c r="CO799" i="34" a="1"/>
  <c r="CO799" i="34" s="1"/>
  <c r="EE798" i="34" a="1"/>
  <c r="EE798" i="34" s="1"/>
  <c r="EE791" i="34" a="1"/>
  <c r="EE791" i="34" s="1"/>
  <c r="ED784" i="34" a="1"/>
  <c r="ED784" i="34" s="1"/>
  <c r="EE784" i="34" a="1"/>
  <c r="EE784" i="34" s="1"/>
  <c r="DX779" i="34" a="1"/>
  <c r="DX779" i="34" s="1"/>
  <c r="DY779" i="34" a="1"/>
  <c r="DY779" i="34" s="1"/>
  <c r="CT779" i="34" a="1"/>
  <c r="CT779" i="34" s="1"/>
  <c r="CU779" i="34" a="1"/>
  <c r="CU779" i="34" s="1"/>
  <c r="DF774" i="34" a="1"/>
  <c r="DF774" i="34" s="1"/>
  <c r="DA770" i="34" a="1"/>
  <c r="DA770" i="34" s="1"/>
  <c r="CZ770" i="34" a="1"/>
  <c r="CZ770" i="34" s="1"/>
  <c r="CI762" i="34" a="1"/>
  <c r="CI762" i="34" s="1"/>
  <c r="CH762" i="34" a="1"/>
  <c r="CH762" i="34" s="1"/>
  <c r="CT760" i="34" a="1"/>
  <c r="CT760" i="34" s="1"/>
  <c r="CU760" i="34" a="1"/>
  <c r="CU760" i="34" s="1"/>
  <c r="DL782" i="34" a="1"/>
  <c r="DL782" i="34" s="1"/>
  <c r="DR780" i="34" a="1"/>
  <c r="DR780" i="34" s="1"/>
  <c r="DX778" i="34" a="1"/>
  <c r="DX778" i="34" s="1"/>
  <c r="ED776" i="34" a="1"/>
  <c r="ED776" i="34" s="1"/>
  <c r="BV775" i="34" a="1"/>
  <c r="BV775" i="34" s="1"/>
  <c r="CB773" i="34" a="1"/>
  <c r="CB773" i="34" s="1"/>
  <c r="CO772" i="34" a="1"/>
  <c r="CO772" i="34" s="1"/>
  <c r="BW772" i="34" a="1"/>
  <c r="BW772" i="34" s="1"/>
  <c r="DS770" i="34" a="1"/>
  <c r="DS770" i="34" s="1"/>
  <c r="CC770" i="34" a="1"/>
  <c r="CC770" i="34" s="1"/>
  <c r="DA768" i="34" a="1"/>
  <c r="DA768" i="34" s="1"/>
  <c r="DX766" i="34" a="1"/>
  <c r="DX766" i="34" s="1"/>
  <c r="CC766" i="34" a="1"/>
  <c r="CC766" i="34" s="1"/>
  <c r="CC759" i="34" a="1"/>
  <c r="CC759" i="34" s="1"/>
  <c r="CB757" i="34" a="1"/>
  <c r="CB757" i="34" s="1"/>
  <c r="CC757" i="34" a="1"/>
  <c r="CC757" i="34" s="1"/>
  <c r="CZ756" i="34" a="1"/>
  <c r="CZ756" i="34" s="1"/>
  <c r="CC755" i="34" a="1"/>
  <c r="CC755" i="34" s="1"/>
  <c r="CU753" i="34" a="1"/>
  <c r="CU753" i="34" s="1"/>
  <c r="DY750" i="34" a="1"/>
  <c r="DY750" i="34" s="1"/>
  <c r="DM749" i="34" a="1"/>
  <c r="DM749" i="34" s="1"/>
  <c r="CN748" i="34" a="1"/>
  <c r="CN748" i="34" s="1"/>
  <c r="CO748" i="34" a="1"/>
  <c r="CO748" i="34" s="1"/>
  <c r="DF747" i="34" a="1"/>
  <c r="DF747" i="34" s="1"/>
  <c r="DG747" i="34" a="1"/>
  <c r="DG747" i="34" s="1"/>
  <c r="DX746" i="34" a="1"/>
  <c r="DX746" i="34" s="1"/>
  <c r="DY746" i="34" a="1"/>
  <c r="DY746" i="34" s="1"/>
  <c r="BW746" i="34" a="1"/>
  <c r="BW746" i="34" s="1"/>
  <c r="ED742" i="34" a="1"/>
  <c r="ED742" i="34" s="1"/>
  <c r="CU741" i="34" a="1"/>
  <c r="CU741" i="34" s="1"/>
  <c r="CT741" i="34" a="1"/>
  <c r="CT741" i="34" s="1"/>
  <c r="CC739" i="34" a="1"/>
  <c r="CC739" i="34" s="1"/>
  <c r="CB708" i="34" a="1"/>
  <c r="CB708" i="34" s="1"/>
  <c r="CC708" i="34" a="1"/>
  <c r="CC708" i="34" s="1"/>
  <c r="DS779" i="34" a="1"/>
  <c r="DS779" i="34" s="1"/>
  <c r="DY777" i="34" a="1"/>
  <c r="DY777" i="34" s="1"/>
  <c r="EE775" i="34" a="1"/>
  <c r="EE775" i="34" s="1"/>
  <c r="DL771" i="34" a="1"/>
  <c r="DL771" i="34" s="1"/>
  <c r="BV771" i="34" a="1"/>
  <c r="BV771" i="34" s="1"/>
  <c r="CT770" i="34" a="1"/>
  <c r="CT770" i="34" s="1"/>
  <c r="CU767" i="34" a="1"/>
  <c r="CU767" i="34" s="1"/>
  <c r="CT766" i="34" a="1"/>
  <c r="CT766" i="34" s="1"/>
  <c r="CC764" i="34" a="1"/>
  <c r="CC764" i="34" s="1"/>
  <c r="CT763" i="34" a="1"/>
  <c r="CT763" i="34" s="1"/>
  <c r="DR762" i="34" a="1"/>
  <c r="DR762" i="34" s="1"/>
  <c r="DA761" i="34" a="1"/>
  <c r="DA761" i="34" s="1"/>
  <c r="CC761" i="34" a="1"/>
  <c r="CC761" i="34" s="1"/>
  <c r="CZ758" i="34" a="1"/>
  <c r="CZ758" i="34" s="1"/>
  <c r="DR755" i="34" a="1"/>
  <c r="DR755" i="34" s="1"/>
  <c r="CT754" i="34" a="1"/>
  <c r="CT754" i="34" s="1"/>
  <c r="DM752" i="34" a="1"/>
  <c r="DM752" i="34" s="1"/>
  <c r="CT750" i="34" a="1"/>
  <c r="CT750" i="34" s="1"/>
  <c r="ED744" i="34" a="1"/>
  <c r="ED744" i="34" s="1"/>
  <c r="DX741" i="34" a="1"/>
  <c r="DX741" i="34" s="1"/>
  <c r="DY741" i="34" a="1"/>
  <c r="DY741" i="34" s="1"/>
  <c r="CZ740" i="34" a="1"/>
  <c r="CZ740" i="34" s="1"/>
  <c r="DA740" i="34" a="1"/>
  <c r="DA740" i="34" s="1"/>
  <c r="CT732" i="34" a="1"/>
  <c r="CT732" i="34" s="1"/>
  <c r="CU732" i="34" a="1"/>
  <c r="CU732" i="34" s="1"/>
  <c r="CB727" i="34" a="1"/>
  <c r="CB727" i="34" s="1"/>
  <c r="CC727" i="34" a="1"/>
  <c r="CC727" i="34" s="1"/>
  <c r="CH725" i="34" a="1"/>
  <c r="CH725" i="34" s="1"/>
  <c r="CI725" i="34" a="1"/>
  <c r="CI725" i="34" s="1"/>
  <c r="BW779" i="34" a="1"/>
  <c r="BW779" i="34" s="1"/>
  <c r="CC777" i="34" a="1"/>
  <c r="CC777" i="34" s="1"/>
  <c r="CI775" i="34" a="1"/>
  <c r="CI775" i="34" s="1"/>
  <c r="DA774" i="34" a="1"/>
  <c r="DA774" i="34" s="1"/>
  <c r="CO773" i="34" a="1"/>
  <c r="CO773" i="34" s="1"/>
  <c r="DG772" i="34" a="1"/>
  <c r="DG772" i="34" s="1"/>
  <c r="DR764" i="34" a="1"/>
  <c r="DR764" i="34" s="1"/>
  <c r="DS764" i="34" a="1"/>
  <c r="DS764" i="34" s="1"/>
  <c r="BV764" i="34" a="1"/>
  <c r="BV764" i="34" s="1"/>
  <c r="BV710" i="34" a="1"/>
  <c r="BV710" i="34" s="1"/>
  <c r="BW710" i="34" a="1"/>
  <c r="BW710" i="34" s="1"/>
  <c r="DF656" i="34" a="1"/>
  <c r="DF656" i="34" s="1"/>
  <c r="DG656" i="34" a="1"/>
  <c r="DG656" i="34" s="1"/>
  <c r="CT756" i="34" a="1"/>
  <c r="CT756" i="34" s="1"/>
  <c r="CU756" i="34" a="1"/>
  <c r="CU756" i="34" s="1"/>
  <c r="DR741" i="34" a="1"/>
  <c r="DR741" i="34" s="1"/>
  <c r="DS741" i="34" a="1"/>
  <c r="DS741" i="34" s="1"/>
  <c r="CN741" i="34" a="1"/>
  <c r="CN741" i="34" s="1"/>
  <c r="CO741" i="34" a="1"/>
  <c r="CO741" i="34" s="1"/>
  <c r="DX732" i="34" a="1"/>
  <c r="DX732" i="34" s="1"/>
  <c r="DY732" i="34" a="1"/>
  <c r="DY732" i="34" s="1"/>
  <c r="ED730" i="34" a="1"/>
  <c r="ED730" i="34" s="1"/>
  <c r="EE730" i="34" a="1"/>
  <c r="EE730" i="34" s="1"/>
  <c r="DA784" i="34" a="1"/>
  <c r="DA784" i="34" s="1"/>
  <c r="CO783" i="34" a="1"/>
  <c r="CO783" i="34" s="1"/>
  <c r="DG782" i="34" a="1"/>
  <c r="DG782" i="34" s="1"/>
  <c r="DM780" i="34" a="1"/>
  <c r="DM780" i="34" s="1"/>
  <c r="DS778" i="34" a="1"/>
  <c r="DS778" i="34" s="1"/>
  <c r="DY776" i="34" a="1"/>
  <c r="DY776" i="34" s="1"/>
  <c r="EE774" i="34" a="1"/>
  <c r="EE774" i="34" s="1"/>
  <c r="BW773" i="34" a="1"/>
  <c r="BW773" i="34" s="1"/>
  <c r="CU768" i="34" a="1"/>
  <c r="CU768" i="34" s="1"/>
  <c r="DR766" i="34" a="1"/>
  <c r="DR766" i="34" s="1"/>
  <c r="BW766" i="34" a="1"/>
  <c r="BW766" i="34" s="1"/>
  <c r="CU761" i="34" a="1"/>
  <c r="CU761" i="34" s="1"/>
  <c r="DS757" i="34" a="1"/>
  <c r="DS757" i="34" s="1"/>
  <c r="BW757" i="34" a="1"/>
  <c r="BW757" i="34" s="1"/>
  <c r="DL755" i="34" a="1"/>
  <c r="DL755" i="34" s="1"/>
  <c r="BW755" i="34" a="1"/>
  <c r="BW755" i="34" s="1"/>
  <c r="CI748" i="34" a="1"/>
  <c r="CI748" i="34" s="1"/>
  <c r="DA747" i="34" a="1"/>
  <c r="DA747" i="34" s="1"/>
  <c r="DS746" i="34" a="1"/>
  <c r="DS746" i="34" s="1"/>
  <c r="DL736" i="34" a="1"/>
  <c r="DL736" i="34" s="1"/>
  <c r="DM736" i="34" a="1"/>
  <c r="DM736" i="34" s="1"/>
  <c r="DR734" i="34" a="1"/>
  <c r="DR734" i="34" s="1"/>
  <c r="DS734" i="34" a="1"/>
  <c r="DS734" i="34" s="1"/>
  <c r="CZ729" i="34" a="1"/>
  <c r="CZ729" i="34" s="1"/>
  <c r="BV729" i="34" a="1"/>
  <c r="BV729" i="34" s="1"/>
  <c r="BW729" i="34" a="1"/>
  <c r="BW729" i="34" s="1"/>
  <c r="CT707" i="34" a="1"/>
  <c r="CT707" i="34" s="1"/>
  <c r="CU707" i="34" a="1"/>
  <c r="CU707" i="34" s="1"/>
  <c r="EE763" i="34" a="1"/>
  <c r="EE763" i="34" s="1"/>
  <c r="BV759" i="34" a="1"/>
  <c r="BV759" i="34" s="1"/>
  <c r="BW759" i="34" a="1"/>
  <c r="BW759" i="34" s="1"/>
  <c r="CO756" i="34" a="1"/>
  <c r="CO756" i="34" s="1"/>
  <c r="DF752" i="34" a="1"/>
  <c r="DF752" i="34" s="1"/>
  <c r="DG752" i="34" a="1"/>
  <c r="DG752" i="34" s="1"/>
  <c r="DS747" i="34" a="1"/>
  <c r="DS747" i="34" s="1"/>
  <c r="DL745" i="34" a="1"/>
  <c r="DL745" i="34" s="1"/>
  <c r="DM745" i="34" a="1"/>
  <c r="DM745" i="34" s="1"/>
  <c r="DR743" i="34" a="1"/>
  <c r="DR743" i="34" s="1"/>
  <c r="DS743" i="34" a="1"/>
  <c r="DS743" i="34" s="1"/>
  <c r="CZ742" i="34" a="1"/>
  <c r="CZ742" i="34" s="1"/>
  <c r="DA742" i="34" a="1"/>
  <c r="DA742" i="34" s="1"/>
  <c r="DF738" i="34" a="1"/>
  <c r="DF738" i="34" s="1"/>
  <c r="DG738" i="34" a="1"/>
  <c r="DG738" i="34" s="1"/>
  <c r="DS713" i="34" a="1"/>
  <c r="DS713" i="34" s="1"/>
  <c r="DR713" i="34" a="1"/>
  <c r="DR713" i="34" s="1"/>
  <c r="CT710" i="34" a="1"/>
  <c r="CT710" i="34" s="1"/>
  <c r="CU710" i="34" a="1"/>
  <c r="CU710" i="34" s="1"/>
  <c r="CZ667" i="34" a="1"/>
  <c r="CZ667" i="34" s="1"/>
  <c r="DA667" i="34" a="1"/>
  <c r="DA667" i="34" s="1"/>
  <c r="BW783" i="34" a="1"/>
  <c r="BW783" i="34" s="1"/>
  <c r="CC781" i="34" a="1"/>
  <c r="CC781" i="34" s="1"/>
  <c r="CI779" i="34" a="1"/>
  <c r="CI779" i="34" s="1"/>
  <c r="DA778" i="34" a="1"/>
  <c r="DA778" i="34" s="1"/>
  <c r="CO777" i="34" a="1"/>
  <c r="CO777" i="34" s="1"/>
  <c r="CN767" i="34" a="1"/>
  <c r="CN767" i="34" s="1"/>
  <c r="DM764" i="34" a="1"/>
  <c r="DM764" i="34" s="1"/>
  <c r="BW763" i="34" a="1"/>
  <c r="BW763" i="34" s="1"/>
  <c r="DL757" i="34" a="1"/>
  <c r="DL757" i="34" s="1"/>
  <c r="DM754" i="34" a="1"/>
  <c r="DM754" i="34" s="1"/>
  <c r="CN753" i="34" a="1"/>
  <c r="CN753" i="34" s="1"/>
  <c r="CO753" i="34" a="1"/>
  <c r="CO753" i="34" s="1"/>
  <c r="DL743" i="34" a="1"/>
  <c r="DL743" i="34" s="1"/>
  <c r="DL741" i="34" a="1"/>
  <c r="DL741" i="34" s="1"/>
  <c r="CH741" i="34" a="1"/>
  <c r="CH741" i="34" s="1"/>
  <c r="CI741" i="34" a="1"/>
  <c r="CI741" i="34" s="1"/>
  <c r="ED668" i="34" a="1"/>
  <c r="ED668" i="34" s="1"/>
  <c r="EE668" i="34" a="1"/>
  <c r="EE668" i="34" s="1"/>
  <c r="DA772" i="34" a="1"/>
  <c r="DA772" i="34" s="1"/>
  <c r="DM768" i="34" a="1"/>
  <c r="DM768" i="34" s="1"/>
  <c r="ED767" i="34" a="1"/>
  <c r="ED767" i="34" s="1"/>
  <c r="DL766" i="34" a="1"/>
  <c r="DL766" i="34" s="1"/>
  <c r="DM766" i="34" a="1"/>
  <c r="DM766" i="34" s="1"/>
  <c r="CO764" i="34" a="1"/>
  <c r="CO764" i="34" s="1"/>
  <c r="DM761" i="34" a="1"/>
  <c r="DM761" i="34" s="1"/>
  <c r="CN758" i="34" a="1"/>
  <c r="CN758" i="34" s="1"/>
  <c r="DY748" i="34" a="1"/>
  <c r="DY748" i="34" s="1"/>
  <c r="CB748" i="34" a="1"/>
  <c r="CB748" i="34" s="1"/>
  <c r="CT747" i="34" a="1"/>
  <c r="CT747" i="34" s="1"/>
  <c r="CU742" i="34" a="1"/>
  <c r="CU742" i="34" s="1"/>
  <c r="ED739" i="34" a="1"/>
  <c r="ED739" i="34" s="1"/>
  <c r="EE739" i="34" a="1"/>
  <c r="EE739" i="34" s="1"/>
  <c r="BV734" i="34" a="1"/>
  <c r="BV734" i="34" s="1"/>
  <c r="DF764" i="34" a="1"/>
  <c r="DF764" i="34" s="1"/>
  <c r="CB752" i="34" a="1"/>
  <c r="CB752" i="34" s="1"/>
  <c r="CC752" i="34" a="1"/>
  <c r="CC752" i="34" s="1"/>
  <c r="CT751" i="34" a="1"/>
  <c r="CT751" i="34" s="1"/>
  <c r="CU751" i="34" a="1"/>
  <c r="CU751" i="34" s="1"/>
  <c r="DL750" i="34" a="1"/>
  <c r="DL750" i="34" s="1"/>
  <c r="DM750" i="34" a="1"/>
  <c r="DM750" i="34" s="1"/>
  <c r="CN769" i="34" a="1"/>
  <c r="CN769" i="34" s="1"/>
  <c r="CO769" i="34" a="1"/>
  <c r="CO769" i="34" s="1"/>
  <c r="DM759" i="34" a="1"/>
  <c r="DM759" i="34" s="1"/>
  <c r="EE758" i="34" a="1"/>
  <c r="EE758" i="34" s="1"/>
  <c r="CN757" i="34" a="1"/>
  <c r="CN757" i="34" s="1"/>
  <c r="CN755" i="34" a="1"/>
  <c r="CN755" i="34" s="1"/>
  <c r="DA752" i="34" a="1"/>
  <c r="DA752" i="34" s="1"/>
  <c r="CO746" i="34" a="1"/>
  <c r="CO746" i="34" s="1"/>
  <c r="DG745" i="34" a="1"/>
  <c r="DG745" i="34" s="1"/>
  <c r="CT744" i="34" a="1"/>
  <c r="CT744" i="34" s="1"/>
  <c r="CU744" i="34" a="1"/>
  <c r="CU744" i="34" s="1"/>
  <c r="CH743" i="34" a="1"/>
  <c r="CH743" i="34" s="1"/>
  <c r="CI743" i="34" a="1"/>
  <c r="CI743" i="34" s="1"/>
  <c r="DX739" i="34" a="1"/>
  <c r="DX739" i="34" s="1"/>
  <c r="DY739" i="34" a="1"/>
  <c r="DY739" i="34" s="1"/>
  <c r="CT739" i="34" a="1"/>
  <c r="CT739" i="34" s="1"/>
  <c r="CU739" i="34" a="1"/>
  <c r="CU739" i="34" s="1"/>
  <c r="CU738" i="34" a="1"/>
  <c r="CU738" i="34" s="1"/>
  <c r="CT716" i="34" a="1"/>
  <c r="CT716" i="34" s="1"/>
  <c r="CU716" i="34" a="1"/>
  <c r="CU716" i="34" s="1"/>
  <c r="CB711" i="34" a="1"/>
  <c r="CB711" i="34" s="1"/>
  <c r="CC711" i="34" a="1"/>
  <c r="CC711" i="34" s="1"/>
  <c r="BW803" i="34" a="1"/>
  <c r="BW803" i="34" s="1"/>
  <c r="CC801" i="34" a="1"/>
  <c r="CC801" i="34" s="1"/>
  <c r="CI799" i="34" a="1"/>
  <c r="CI799" i="34" s="1"/>
  <c r="DA798" i="34" a="1"/>
  <c r="DA798" i="34" s="1"/>
  <c r="CO797" i="34" a="1"/>
  <c r="CO797" i="34" s="1"/>
  <c r="DG796" i="34" a="1"/>
  <c r="DG796" i="34" s="1"/>
  <c r="DM794" i="34" a="1"/>
  <c r="DM794" i="34" s="1"/>
  <c r="DS792" i="34" a="1"/>
  <c r="DS792" i="34" s="1"/>
  <c r="DY790" i="34" a="1"/>
  <c r="DY790" i="34" s="1"/>
  <c r="EE788" i="34" a="1"/>
  <c r="EE788" i="34" s="1"/>
  <c r="BW787" i="34" a="1"/>
  <c r="BW787" i="34" s="1"/>
  <c r="CC785" i="34" a="1"/>
  <c r="CC785" i="34" s="1"/>
  <c r="CI783" i="34" a="1"/>
  <c r="CI783" i="34" s="1"/>
  <c r="DA782" i="34" a="1"/>
  <c r="DA782" i="34" s="1"/>
  <c r="CO781" i="34" a="1"/>
  <c r="CO781" i="34" s="1"/>
  <c r="DG780" i="34" a="1"/>
  <c r="DG780" i="34" s="1"/>
  <c r="DM778" i="34" a="1"/>
  <c r="DM778" i="34" s="1"/>
  <c r="DS776" i="34" a="1"/>
  <c r="DS776" i="34" s="1"/>
  <c r="DY774" i="34" a="1"/>
  <c r="DY774" i="34" s="1"/>
  <c r="EE772" i="34" a="1"/>
  <c r="EE772" i="34" s="1"/>
  <c r="CI768" i="34" a="1"/>
  <c r="CI768" i="34" s="1"/>
  <c r="CI766" i="34" a="1"/>
  <c r="CI766" i="34" s="1"/>
  <c r="EE762" i="34" a="1"/>
  <c r="EE762" i="34" s="1"/>
  <c r="ED760" i="34" a="1"/>
  <c r="ED760" i="34" s="1"/>
  <c r="EE760" i="34" a="1"/>
  <c r="EE760" i="34" s="1"/>
  <c r="CI758" i="34" a="1"/>
  <c r="CI758" i="34" s="1"/>
  <c r="DG756" i="34" a="1"/>
  <c r="DG756" i="34" s="1"/>
  <c r="DG754" i="34" a="1"/>
  <c r="DG754" i="34" s="1"/>
  <c r="CI754" i="34" a="1"/>
  <c r="CI754" i="34" s="1"/>
  <c r="EE753" i="34" a="1"/>
  <c r="EE753" i="34" s="1"/>
  <c r="CI753" i="34" a="1"/>
  <c r="CI753" i="34" s="1"/>
  <c r="CT752" i="34" a="1"/>
  <c r="CT752" i="34" s="1"/>
  <c r="BV752" i="34" a="1"/>
  <c r="BV752" i="34" s="1"/>
  <c r="BV747" i="34" a="1"/>
  <c r="BV747" i="34" s="1"/>
  <c r="DY745" i="34" a="1"/>
  <c r="DY745" i="34" s="1"/>
  <c r="ED737" i="34" a="1"/>
  <c r="ED737" i="34" s="1"/>
  <c r="EE737" i="34" a="1"/>
  <c r="EE737" i="34" s="1"/>
  <c r="CT727" i="34" a="1"/>
  <c r="CT727" i="34" s="1"/>
  <c r="CU727" i="34" a="1"/>
  <c r="CU727" i="34" s="1"/>
  <c r="CT726" i="34" a="1"/>
  <c r="CT726" i="34" s="1"/>
  <c r="CU726" i="34" a="1"/>
  <c r="CU726" i="34" s="1"/>
  <c r="CZ724" i="34" a="1"/>
  <c r="CZ724" i="34" s="1"/>
  <c r="DA724" i="34" a="1"/>
  <c r="DA724" i="34" s="1"/>
  <c r="CT679" i="34" a="1"/>
  <c r="CT679" i="34" s="1"/>
  <c r="CU679" i="34" a="1"/>
  <c r="CU679" i="34" s="1"/>
  <c r="CC772" i="34" a="1"/>
  <c r="CC772" i="34" s="1"/>
  <c r="DY771" i="34" a="1"/>
  <c r="DY771" i="34" s="1"/>
  <c r="CI771" i="34" a="1"/>
  <c r="CI771" i="34" s="1"/>
  <c r="DF770" i="34" a="1"/>
  <c r="DF770" i="34" s="1"/>
  <c r="CI770" i="34" a="1"/>
  <c r="CI770" i="34" s="1"/>
  <c r="EE769" i="34" a="1"/>
  <c r="EE769" i="34" s="1"/>
  <c r="CH769" i="34" a="1"/>
  <c r="CH769" i="34" s="1"/>
  <c r="DG766" i="34" a="1"/>
  <c r="DG766" i="34" s="1"/>
  <c r="ED764" i="34" a="1"/>
  <c r="ED764" i="34" s="1"/>
  <c r="CH764" i="34" a="1"/>
  <c r="CH764" i="34" s="1"/>
  <c r="CO762" i="34" a="1"/>
  <c r="CO762" i="34" s="1"/>
  <c r="DF761" i="34" a="1"/>
  <c r="DF761" i="34" s="1"/>
  <c r="CO760" i="34" a="1"/>
  <c r="CO760" i="34" s="1"/>
  <c r="DF759" i="34" a="1"/>
  <c r="DF759" i="34" s="1"/>
  <c r="CI757" i="34" a="1"/>
  <c r="CI757" i="34" s="1"/>
  <c r="DA753" i="34" a="1"/>
  <c r="DA753" i="34" s="1"/>
  <c r="CN751" i="34" a="1"/>
  <c r="CN751" i="34" s="1"/>
  <c r="CH750" i="34" a="1"/>
  <c r="CH750" i="34" s="1"/>
  <c r="CI750" i="34" a="1"/>
  <c r="CI750" i="34" s="1"/>
  <c r="CZ749" i="34" a="1"/>
  <c r="CZ749" i="34" s="1"/>
  <c r="DA749" i="34" a="1"/>
  <c r="DA749" i="34" s="1"/>
  <c r="DR748" i="34" a="1"/>
  <c r="DR748" i="34" s="1"/>
  <c r="DS748" i="34" a="1"/>
  <c r="DS748" i="34" s="1"/>
  <c r="CB745" i="34" a="1"/>
  <c r="CB745" i="34" s="1"/>
  <c r="CC745" i="34" a="1"/>
  <c r="CC745" i="34" s="1"/>
  <c r="EE743" i="34" a="1"/>
  <c r="EE743" i="34" s="1"/>
  <c r="DF743" i="34" a="1"/>
  <c r="DF743" i="34" s="1"/>
  <c r="CC743" i="34" a="1"/>
  <c r="CC743" i="34" s="1"/>
  <c r="CZ741" i="34" a="1"/>
  <c r="CZ741" i="34" s="1"/>
  <c r="BW741" i="34" a="1"/>
  <c r="BW741" i="34" s="1"/>
  <c r="DR739" i="34" a="1"/>
  <c r="DR739" i="34" s="1"/>
  <c r="CH730" i="34" a="1"/>
  <c r="CH730" i="34" s="1"/>
  <c r="CT728" i="34" a="1"/>
  <c r="CT728" i="34" s="1"/>
  <c r="CU728" i="34" a="1"/>
  <c r="CU728" i="34" s="1"/>
  <c r="DX698" i="34" a="1"/>
  <c r="DX698" i="34" s="1"/>
  <c r="DY698" i="34" a="1"/>
  <c r="DY698" i="34" s="1"/>
  <c r="DG774" i="34" a="1"/>
  <c r="DG774" i="34" s="1"/>
  <c r="DM772" i="34" a="1"/>
  <c r="DM772" i="34" s="1"/>
  <c r="DF768" i="34" a="1"/>
  <c r="DF768" i="34" s="1"/>
  <c r="DG768" i="34" a="1"/>
  <c r="DG768" i="34" s="1"/>
  <c r="DA765" i="34" a="1"/>
  <c r="DA765" i="34" s="1"/>
  <c r="CH760" i="34" a="1"/>
  <c r="CH760" i="34" s="1"/>
  <c r="CH755" i="34" a="1"/>
  <c r="CH755" i="34" s="1"/>
  <c r="CI755" i="34" a="1"/>
  <c r="CI755" i="34" s="1"/>
  <c r="EE746" i="34" a="1"/>
  <c r="EE746" i="34" s="1"/>
  <c r="CZ745" i="34" a="1"/>
  <c r="CZ745" i="34" s="1"/>
  <c r="CN739" i="34" a="1"/>
  <c r="CN739" i="34" s="1"/>
  <c r="CO739" i="34" a="1"/>
  <c r="CO739" i="34" s="1"/>
  <c r="CT737" i="34" a="1"/>
  <c r="CT737" i="34" s="1"/>
  <c r="CU737" i="34" a="1"/>
  <c r="CU737" i="34" s="1"/>
  <c r="ED712" i="34" a="1"/>
  <c r="ED712" i="34" s="1"/>
  <c r="EE712" i="34" a="1"/>
  <c r="EE712" i="34" s="1"/>
  <c r="DA711" i="34" a="1"/>
  <c r="DA711" i="34" s="1"/>
  <c r="CZ711" i="34" a="1"/>
  <c r="CZ711" i="34" s="1"/>
  <c r="CT695" i="34" a="1"/>
  <c r="CT695" i="34" s="1"/>
  <c r="CU695" i="34" a="1"/>
  <c r="CU695" i="34" s="1"/>
  <c r="DX753" i="34" a="1"/>
  <c r="DX753" i="34" s="1"/>
  <c r="DY753" i="34" a="1"/>
  <c r="DY753" i="34" s="1"/>
  <c r="CT734" i="34" a="1"/>
  <c r="CT734" i="34" s="1"/>
  <c r="CU734" i="34" a="1"/>
  <c r="CU734" i="34" s="1"/>
  <c r="CU725" i="34" a="1"/>
  <c r="CU725" i="34" s="1"/>
  <c r="CT725" i="34" a="1"/>
  <c r="CT725" i="34" s="1"/>
  <c r="CU772" i="34" a="1"/>
  <c r="CU772" i="34" s="1"/>
  <c r="CZ768" i="34" a="1"/>
  <c r="CZ768" i="34" s="1"/>
  <c r="CB766" i="34" a="1"/>
  <c r="CB766" i="34" s="1"/>
  <c r="DY760" i="34" a="1"/>
  <c r="DY760" i="34" s="1"/>
  <c r="CH759" i="34" a="1"/>
  <c r="CH759" i="34" s="1"/>
  <c r="CB755" i="34" a="1"/>
  <c r="CB755" i="34" s="1"/>
  <c r="DF740" i="34" a="1"/>
  <c r="DF740" i="34" s="1"/>
  <c r="DG740" i="34" a="1"/>
  <c r="DG740" i="34" s="1"/>
  <c r="CT723" i="34" a="1"/>
  <c r="CT723" i="34" s="1"/>
  <c r="CU723" i="34" a="1"/>
  <c r="CU723" i="34" s="1"/>
  <c r="BW738" i="34" a="1"/>
  <c r="BW738" i="34" s="1"/>
  <c r="CC736" i="34" a="1"/>
  <c r="CC736" i="34" s="1"/>
  <c r="CU735" i="34" a="1"/>
  <c r="CU735" i="34" s="1"/>
  <c r="CI734" i="34" a="1"/>
  <c r="CI734" i="34" s="1"/>
  <c r="DA733" i="34" a="1"/>
  <c r="DA733" i="34" s="1"/>
  <c r="CO732" i="34" a="1"/>
  <c r="CO732" i="34" s="1"/>
  <c r="DG731" i="34" a="1"/>
  <c r="DG731" i="34" s="1"/>
  <c r="DM729" i="34" a="1"/>
  <c r="DM729" i="34" s="1"/>
  <c r="DS727" i="34" a="1"/>
  <c r="DS727" i="34" s="1"/>
  <c r="DY725" i="34" a="1"/>
  <c r="DY725" i="34" s="1"/>
  <c r="CC720" i="34" a="1"/>
  <c r="CC720" i="34" s="1"/>
  <c r="DA719" i="34" a="1"/>
  <c r="DA719" i="34" s="1"/>
  <c r="CZ719" i="34" a="1"/>
  <c r="CZ719" i="34" s="1"/>
  <c r="CH709" i="34" a="1"/>
  <c r="CH709" i="34" s="1"/>
  <c r="CZ708" i="34" a="1"/>
  <c r="CZ708" i="34" s="1"/>
  <c r="DR704" i="34" a="1"/>
  <c r="DR704" i="34" s="1"/>
  <c r="BV700" i="34" a="1"/>
  <c r="BV700" i="34" s="1"/>
  <c r="DR698" i="34" a="1"/>
  <c r="DR698" i="34" s="1"/>
  <c r="CH689" i="34" a="1"/>
  <c r="CH689" i="34" s="1"/>
  <c r="CI689" i="34" a="1"/>
  <c r="CI689" i="34" s="1"/>
  <c r="DR687" i="34" a="1"/>
  <c r="DR687" i="34" s="1"/>
  <c r="DR682" i="34" a="1"/>
  <c r="DR682" i="34" s="1"/>
  <c r="DS682" i="34" a="1"/>
  <c r="DS682" i="34" s="1"/>
  <c r="CT682" i="34" a="1"/>
  <c r="CT682" i="34" s="1"/>
  <c r="CU682" i="34" a="1"/>
  <c r="CU682" i="34" s="1"/>
  <c r="CN676" i="34" a="1"/>
  <c r="CN676" i="34" s="1"/>
  <c r="CB675" i="34" a="1"/>
  <c r="CB675" i="34" s="1"/>
  <c r="CC675" i="34" a="1"/>
  <c r="CC675" i="34" s="1"/>
  <c r="EE744" i="34" a="1"/>
  <c r="EE744" i="34" s="1"/>
  <c r="BW743" i="34" a="1"/>
  <c r="BW743" i="34" s="1"/>
  <c r="CC741" i="34" a="1"/>
  <c r="CC741" i="34" s="1"/>
  <c r="CU740" i="34" a="1"/>
  <c r="CU740" i="34" s="1"/>
  <c r="CI739" i="34" a="1"/>
  <c r="CI739" i="34" s="1"/>
  <c r="DA738" i="34" a="1"/>
  <c r="DA738" i="34" s="1"/>
  <c r="CO737" i="34" a="1"/>
  <c r="CO737" i="34" s="1"/>
  <c r="DG736" i="34" a="1"/>
  <c r="DG736" i="34" s="1"/>
  <c r="DM734" i="34" a="1"/>
  <c r="DM734" i="34" s="1"/>
  <c r="DS732" i="34" a="1"/>
  <c r="DS732" i="34" s="1"/>
  <c r="DY730" i="34" a="1"/>
  <c r="DY730" i="34" s="1"/>
  <c r="EE728" i="34" a="1"/>
  <c r="EE728" i="34" s="1"/>
  <c r="BW727" i="34" a="1"/>
  <c r="BW727" i="34" s="1"/>
  <c r="CC725" i="34" a="1"/>
  <c r="CC725" i="34" s="1"/>
  <c r="CU724" i="34" a="1"/>
  <c r="CU724" i="34" s="1"/>
  <c r="EE723" i="34" a="1"/>
  <c r="EE723" i="34" s="1"/>
  <c r="CO722" i="34" a="1"/>
  <c r="CO722" i="34" s="1"/>
  <c r="BW722" i="34" a="1"/>
  <c r="BW722" i="34" s="1"/>
  <c r="CU721" i="34" a="1"/>
  <c r="CU721" i="34" s="1"/>
  <c r="CT721" i="34" a="1"/>
  <c r="CT721" i="34" s="1"/>
  <c r="DX718" i="34" a="1"/>
  <c r="DX718" i="34" s="1"/>
  <c r="DS716" i="34" a="1"/>
  <c r="DS716" i="34" s="1"/>
  <c r="CC716" i="34" a="1"/>
  <c r="CC716" i="34" s="1"/>
  <c r="CU711" i="34" a="1"/>
  <c r="CU711" i="34" s="1"/>
  <c r="BV711" i="34" a="1"/>
  <c r="BV711" i="34" s="1"/>
  <c r="BW711" i="34" a="1"/>
  <c r="BW711" i="34" s="1"/>
  <c r="CN707" i="34" a="1"/>
  <c r="CN707" i="34" s="1"/>
  <c r="DF706" i="34" a="1"/>
  <c r="DF706" i="34" s="1"/>
  <c r="DL684" i="34" a="1"/>
  <c r="DL684" i="34" s="1"/>
  <c r="DM684" i="34" a="1"/>
  <c r="DM684" i="34" s="1"/>
  <c r="DL722" i="34" a="1"/>
  <c r="DL722" i="34" s="1"/>
  <c r="DR720" i="34" a="1"/>
  <c r="DR720" i="34" s="1"/>
  <c r="DR719" i="34" a="1"/>
  <c r="DR719" i="34" s="1"/>
  <c r="CT719" i="34" a="1"/>
  <c r="CT719" i="34" s="1"/>
  <c r="DS718" i="34" a="1"/>
  <c r="DS718" i="34" s="1"/>
  <c r="CU715" i="34" a="1"/>
  <c r="CU715" i="34" s="1"/>
  <c r="BW715" i="34" a="1"/>
  <c r="BW715" i="34" s="1"/>
  <c r="BV714" i="34" a="1"/>
  <c r="BV714" i="34" s="1"/>
  <c r="DL713" i="34" a="1"/>
  <c r="DL713" i="34" s="1"/>
  <c r="DM713" i="34" a="1"/>
  <c r="DM713" i="34" s="1"/>
  <c r="DY711" i="34" a="1"/>
  <c r="DY711" i="34" s="1"/>
  <c r="DX711" i="34" a="1"/>
  <c r="DX711" i="34" s="1"/>
  <c r="CB709" i="34" a="1"/>
  <c r="CB709" i="34" s="1"/>
  <c r="CC709" i="34" a="1"/>
  <c r="CC709" i="34" s="1"/>
  <c r="CT708" i="34" a="1"/>
  <c r="CT708" i="34" s="1"/>
  <c r="CU708" i="34" a="1"/>
  <c r="CU708" i="34" s="1"/>
  <c r="CU705" i="34" a="1"/>
  <c r="CU705" i="34" s="1"/>
  <c r="CT705" i="34" a="1"/>
  <c r="CT705" i="34" s="1"/>
  <c r="CT703" i="34" a="1"/>
  <c r="CT703" i="34" s="1"/>
  <c r="CU703" i="34" a="1"/>
  <c r="CU703" i="34" s="1"/>
  <c r="CZ701" i="34" a="1"/>
  <c r="CZ701" i="34" s="1"/>
  <c r="DA701" i="34" a="1"/>
  <c r="DA701" i="34" s="1"/>
  <c r="DR700" i="34" a="1"/>
  <c r="DR700" i="34" s="1"/>
  <c r="DS700" i="34" a="1"/>
  <c r="DS700" i="34" s="1"/>
  <c r="CU700" i="34" a="1"/>
  <c r="CU700" i="34" s="1"/>
  <c r="CT698" i="34" a="1"/>
  <c r="CT698" i="34" s="1"/>
  <c r="CU698" i="34" a="1"/>
  <c r="CU698" i="34" s="1"/>
  <c r="CT697" i="34" a="1"/>
  <c r="CT697" i="34" s="1"/>
  <c r="DL689" i="34" a="1"/>
  <c r="DL689" i="34" s="1"/>
  <c r="BV655" i="34" a="1"/>
  <c r="BV655" i="34" s="1"/>
  <c r="BW655" i="34" a="1"/>
  <c r="BW655" i="34" s="1"/>
  <c r="DX723" i="34" a="1"/>
  <c r="DX723" i="34" s="1"/>
  <c r="ED721" i="34" a="1"/>
  <c r="ED721" i="34" s="1"/>
  <c r="DL721" i="34" a="1"/>
  <c r="DL721" i="34" s="1"/>
  <c r="DL716" i="34" a="1"/>
  <c r="DL716" i="34" s="1"/>
  <c r="BV716" i="34" a="1"/>
  <c r="BV716" i="34" s="1"/>
  <c r="ED710" i="34" a="1"/>
  <c r="ED710" i="34" s="1"/>
  <c r="EE709" i="34" a="1"/>
  <c r="EE709" i="34" s="1"/>
  <c r="ED709" i="34" a="1"/>
  <c r="ED709" i="34" s="1"/>
  <c r="BW708" i="34" a="1"/>
  <c r="BW708" i="34" s="1"/>
  <c r="BV708" i="34" a="1"/>
  <c r="BV708" i="34" s="1"/>
  <c r="CH707" i="34" a="1"/>
  <c r="CH707" i="34" s="1"/>
  <c r="CI707" i="34" a="1"/>
  <c r="CI707" i="34" s="1"/>
  <c r="CZ706" i="34" a="1"/>
  <c r="CZ706" i="34" s="1"/>
  <c r="DA706" i="34" a="1"/>
  <c r="DA706" i="34" s="1"/>
  <c r="DL704" i="34" a="1"/>
  <c r="DL704" i="34" s="1"/>
  <c r="DL702" i="34" a="1"/>
  <c r="DL702" i="34" s="1"/>
  <c r="DM702" i="34" a="1"/>
  <c r="DM702" i="34" s="1"/>
  <c r="DF699" i="34" a="1"/>
  <c r="DF699" i="34" s="1"/>
  <c r="DG699" i="34" a="1"/>
  <c r="DG699" i="34" s="1"/>
  <c r="CH696" i="34" a="1"/>
  <c r="CH696" i="34" s="1"/>
  <c r="DR695" i="34" a="1"/>
  <c r="DR695" i="34" s="1"/>
  <c r="DS695" i="34" a="1"/>
  <c r="DS695" i="34" s="1"/>
  <c r="CZ673" i="34" a="1"/>
  <c r="CZ673" i="34" s="1"/>
  <c r="DA673" i="34" a="1"/>
  <c r="DA673" i="34" s="1"/>
  <c r="CT651" i="34" a="1"/>
  <c r="CT651" i="34" s="1"/>
  <c r="CU651" i="34" a="1"/>
  <c r="CU651" i="34" s="1"/>
  <c r="EE727" i="34" a="1"/>
  <c r="EE727" i="34" s="1"/>
  <c r="BW726" i="34" a="1"/>
  <c r="BW726" i="34" s="1"/>
  <c r="CC724" i="34" a="1"/>
  <c r="CC724" i="34" s="1"/>
  <c r="CN714" i="34" a="1"/>
  <c r="CN714" i="34" s="1"/>
  <c r="DF713" i="34" a="1"/>
  <c r="DF713" i="34" s="1"/>
  <c r="CC706" i="34" a="1"/>
  <c r="CC706" i="34" s="1"/>
  <c r="CB706" i="34" a="1"/>
  <c r="CB706" i="34" s="1"/>
  <c r="CI704" i="34" a="1"/>
  <c r="CI704" i="34" s="1"/>
  <c r="CH704" i="34" a="1"/>
  <c r="CH704" i="34" s="1"/>
  <c r="CT693" i="34" a="1"/>
  <c r="CT693" i="34" s="1"/>
  <c r="CU693" i="34" a="1"/>
  <c r="CU693" i="34" s="1"/>
  <c r="CH678" i="34" a="1"/>
  <c r="CH678" i="34" s="1"/>
  <c r="CI678" i="34" a="1"/>
  <c r="CI678" i="34" s="1"/>
  <c r="DF675" i="34" a="1"/>
  <c r="DF675" i="34" s="1"/>
  <c r="DG675" i="34" a="1"/>
  <c r="DG675" i="34" s="1"/>
  <c r="ED603" i="34" a="1"/>
  <c r="ED603" i="34" s="1"/>
  <c r="EE603" i="34" a="1"/>
  <c r="EE603" i="34" s="1"/>
  <c r="DM738" i="34" a="1"/>
  <c r="DM738" i="34" s="1"/>
  <c r="DS736" i="34" a="1"/>
  <c r="DS736" i="34" s="1"/>
  <c r="DY734" i="34" a="1"/>
  <c r="DY734" i="34" s="1"/>
  <c r="EE732" i="34" a="1"/>
  <c r="EE732" i="34" s="1"/>
  <c r="BW731" i="34" a="1"/>
  <c r="BW731" i="34" s="1"/>
  <c r="CC729" i="34" a="1"/>
  <c r="CC729" i="34" s="1"/>
  <c r="CI727" i="34" a="1"/>
  <c r="CI727" i="34" s="1"/>
  <c r="DA726" i="34" a="1"/>
  <c r="DA726" i="34" s="1"/>
  <c r="CO725" i="34" a="1"/>
  <c r="CO725" i="34" s="1"/>
  <c r="DG724" i="34" a="1"/>
  <c r="DG724" i="34" s="1"/>
  <c r="DA723" i="34" a="1"/>
  <c r="DA723" i="34" s="1"/>
  <c r="DG721" i="34" a="1"/>
  <c r="DG721" i="34" s="1"/>
  <c r="CO720" i="34" a="1"/>
  <c r="CO720" i="34" s="1"/>
  <c r="DM717" i="34" a="1"/>
  <c r="DM717" i="34" s="1"/>
  <c r="DR711" i="34" a="1"/>
  <c r="DR711" i="34" s="1"/>
  <c r="DS711" i="34" a="1"/>
  <c r="DS711" i="34" s="1"/>
  <c r="CN705" i="34" a="1"/>
  <c r="CN705" i="34" s="1"/>
  <c r="CO705" i="34" a="1"/>
  <c r="CO705" i="34" s="1"/>
  <c r="DF704" i="34" a="1"/>
  <c r="DF704" i="34" s="1"/>
  <c r="DG704" i="34" a="1"/>
  <c r="DG704" i="34" s="1"/>
  <c r="CZ699" i="34" a="1"/>
  <c r="CZ699" i="34" s="1"/>
  <c r="DA699" i="34" a="1"/>
  <c r="DA699" i="34" s="1"/>
  <c r="ED696" i="34" a="1"/>
  <c r="ED696" i="34" s="1"/>
  <c r="EE696" i="34" a="1"/>
  <c r="EE696" i="34" s="1"/>
  <c r="DF686" i="34" a="1"/>
  <c r="DF686" i="34" s="1"/>
  <c r="DG686" i="34" a="1"/>
  <c r="DG686" i="34" s="1"/>
  <c r="CT656" i="34" a="1"/>
  <c r="CT656" i="34" s="1"/>
  <c r="CU656" i="34" a="1"/>
  <c r="CU656" i="34" s="1"/>
  <c r="CU655" i="34" a="1"/>
  <c r="CU655" i="34" s="1"/>
  <c r="CT655" i="34" a="1"/>
  <c r="CT655" i="34" s="1"/>
  <c r="DX651" i="34" a="1"/>
  <c r="DX651" i="34" s="1"/>
  <c r="DY651" i="34" a="1"/>
  <c r="DY651" i="34" s="1"/>
  <c r="BW736" i="34" a="1"/>
  <c r="BW736" i="34" s="1"/>
  <c r="CC734" i="34" a="1"/>
  <c r="CC734" i="34" s="1"/>
  <c r="CU733" i="34" a="1"/>
  <c r="CU733" i="34" s="1"/>
  <c r="CI732" i="34" a="1"/>
  <c r="CI732" i="34" s="1"/>
  <c r="DA731" i="34" a="1"/>
  <c r="DA731" i="34" s="1"/>
  <c r="CO730" i="34" a="1"/>
  <c r="CO730" i="34" s="1"/>
  <c r="DG729" i="34" a="1"/>
  <c r="DG729" i="34" s="1"/>
  <c r="DM727" i="34" a="1"/>
  <c r="DM727" i="34" s="1"/>
  <c r="DS725" i="34" a="1"/>
  <c r="DS725" i="34" s="1"/>
  <c r="CI723" i="34" a="1"/>
  <c r="CI723" i="34" s="1"/>
  <c r="CI722" i="34" a="1"/>
  <c r="CI722" i="34" s="1"/>
  <c r="CO721" i="34" a="1"/>
  <c r="CO721" i="34" s="1"/>
  <c r="BW719" i="34" a="1"/>
  <c r="BW719" i="34" s="1"/>
  <c r="DL718" i="34" a="1"/>
  <c r="DL718" i="34" s="1"/>
  <c r="BW718" i="34" a="1"/>
  <c r="BW718" i="34" s="1"/>
  <c r="CB712" i="34" a="1"/>
  <c r="CB712" i="34" s="1"/>
  <c r="DX709" i="34" a="1"/>
  <c r="DX709" i="34" s="1"/>
  <c r="DY709" i="34" a="1"/>
  <c r="DY709" i="34" s="1"/>
  <c r="CU709" i="34" a="1"/>
  <c r="CU709" i="34" s="1"/>
  <c r="ED707" i="34" a="1"/>
  <c r="ED707" i="34" s="1"/>
  <c r="EE707" i="34" a="1"/>
  <c r="EE707" i="34" s="1"/>
  <c r="DL705" i="34" a="1"/>
  <c r="DL705" i="34" s="1"/>
  <c r="CB704" i="34" a="1"/>
  <c r="CB704" i="34" s="1"/>
  <c r="CC704" i="34" a="1"/>
  <c r="CC704" i="34" s="1"/>
  <c r="CH702" i="34" a="1"/>
  <c r="CH702" i="34" s="1"/>
  <c r="CI702" i="34" a="1"/>
  <c r="CI702" i="34" s="1"/>
  <c r="CU701" i="34" a="1"/>
  <c r="CU701" i="34" s="1"/>
  <c r="ED699" i="34" a="1"/>
  <c r="ED699" i="34" s="1"/>
  <c r="BV677" i="34" a="1"/>
  <c r="BV677" i="34" s="1"/>
  <c r="BW677" i="34" a="1"/>
  <c r="BW677" i="34" s="1"/>
  <c r="CT657" i="34" a="1"/>
  <c r="CT657" i="34" s="1"/>
  <c r="CU657" i="34" a="1"/>
  <c r="CU657" i="34" s="1"/>
  <c r="DY722" i="34" a="1"/>
  <c r="DY722" i="34" s="1"/>
  <c r="EE720" i="34" a="1"/>
  <c r="EE720" i="34" s="1"/>
  <c r="CN719" i="34" a="1"/>
  <c r="CN719" i="34" s="1"/>
  <c r="DM715" i="34" a="1"/>
  <c r="DM715" i="34" s="1"/>
  <c r="DL715" i="34" a="1"/>
  <c r="DL715" i="34" s="1"/>
  <c r="ED714" i="34" a="1"/>
  <c r="ED714" i="34" s="1"/>
  <c r="DL711" i="34" a="1"/>
  <c r="DL711" i="34" s="1"/>
  <c r="CH710" i="34" a="1"/>
  <c r="CH710" i="34" s="1"/>
  <c r="CN708" i="34" a="1"/>
  <c r="CN708" i="34" s="1"/>
  <c r="BV706" i="34" a="1"/>
  <c r="BV706" i="34" s="1"/>
  <c r="BW706" i="34" a="1"/>
  <c r="BW706" i="34" s="1"/>
  <c r="CH705" i="34" a="1"/>
  <c r="CH705" i="34" s="1"/>
  <c r="CZ704" i="34" a="1"/>
  <c r="CZ704" i="34" s="1"/>
  <c r="CN700" i="34" a="1"/>
  <c r="CN700" i="34" s="1"/>
  <c r="CO700" i="34" a="1"/>
  <c r="CO700" i="34" s="1"/>
  <c r="DX696" i="34" a="1"/>
  <c r="DX696" i="34" s="1"/>
  <c r="DY696" i="34" a="1"/>
  <c r="DY696" i="34" s="1"/>
  <c r="CT691" i="34" a="1"/>
  <c r="CT691" i="34" s="1"/>
  <c r="CU691" i="34" a="1"/>
  <c r="CU691" i="34" s="1"/>
  <c r="CI654" i="34" a="1"/>
  <c r="CI654" i="34" s="1"/>
  <c r="CH654" i="34" a="1"/>
  <c r="CH654" i="34" s="1"/>
  <c r="CH652" i="34" a="1"/>
  <c r="CH652" i="34" s="1"/>
  <c r="CI652" i="34" a="1"/>
  <c r="CI652" i="34" s="1"/>
  <c r="CB723" i="34" a="1"/>
  <c r="CB723" i="34" s="1"/>
  <c r="CZ722" i="34" a="1"/>
  <c r="CZ722" i="34" s="1"/>
  <c r="DX721" i="34" a="1"/>
  <c r="DX721" i="34" s="1"/>
  <c r="CH721" i="34" a="1"/>
  <c r="CH721" i="34" s="1"/>
  <c r="ED717" i="34" a="1"/>
  <c r="ED717" i="34" s="1"/>
  <c r="EE716" i="34" a="1"/>
  <c r="EE716" i="34" s="1"/>
  <c r="CN716" i="34" a="1"/>
  <c r="CN716" i="34" s="1"/>
  <c r="CO716" i="34" a="1"/>
  <c r="CO716" i="34" s="1"/>
  <c r="DX714" i="34" a="1"/>
  <c r="DX714" i="34" s="1"/>
  <c r="CZ713" i="34" a="1"/>
  <c r="CZ713" i="34" s="1"/>
  <c r="DR709" i="34" a="1"/>
  <c r="DR709" i="34" s="1"/>
  <c r="DX707" i="34" a="1"/>
  <c r="DX707" i="34" s="1"/>
  <c r="BV704" i="34" a="1"/>
  <c r="BV704" i="34" s="1"/>
  <c r="CB702" i="34" a="1"/>
  <c r="CB702" i="34" s="1"/>
  <c r="BW699" i="34" a="1"/>
  <c r="BW699" i="34" s="1"/>
  <c r="CH700" i="34" a="1"/>
  <c r="CH700" i="34" s="1"/>
  <c r="CT699" i="34" a="1"/>
  <c r="CT699" i="34" s="1"/>
  <c r="CU699" i="34" a="1"/>
  <c r="CU699" i="34" s="1"/>
  <c r="CT685" i="34" a="1"/>
  <c r="CT685" i="34" s="1"/>
  <c r="CU685" i="34" a="1"/>
  <c r="CU685" i="34" s="1"/>
  <c r="CB680" i="34" a="1"/>
  <c r="CB680" i="34" s="1"/>
  <c r="CT675" i="34" a="1"/>
  <c r="CT675" i="34" s="1"/>
  <c r="CU675" i="34" a="1"/>
  <c r="CU675" i="34" s="1"/>
  <c r="DG720" i="34" a="1"/>
  <c r="DG720" i="34" s="1"/>
  <c r="CO718" i="34" a="1"/>
  <c r="CO718" i="34" s="1"/>
  <c r="CN718" i="34" a="1"/>
  <c r="CN718" i="34" s="1"/>
  <c r="DF715" i="34" a="1"/>
  <c r="DF715" i="34" s="1"/>
  <c r="DG715" i="34" a="1"/>
  <c r="DG715" i="34" s="1"/>
  <c r="CI714" i="34" a="1"/>
  <c r="CI714" i="34" s="1"/>
  <c r="CB713" i="34" a="1"/>
  <c r="CB713" i="34" s="1"/>
  <c r="CT712" i="34" a="1"/>
  <c r="CT712" i="34" s="1"/>
  <c r="DL697" i="34" a="1"/>
  <c r="DL697" i="34" s="1"/>
  <c r="DM697" i="34" a="1"/>
  <c r="DM697" i="34" s="1"/>
  <c r="ED678" i="34" a="1"/>
  <c r="ED678" i="34" s="1"/>
  <c r="EE678" i="34" a="1"/>
  <c r="EE678" i="34" s="1"/>
  <c r="CT664" i="34" a="1"/>
  <c r="CT664" i="34" s="1"/>
  <c r="CU664" i="34" a="1"/>
  <c r="CU664" i="34" s="1"/>
  <c r="CT690" i="34" a="1"/>
  <c r="CT690" i="34" s="1"/>
  <c r="CU690" i="34" a="1"/>
  <c r="CU690" i="34" s="1"/>
  <c r="CZ688" i="34" a="1"/>
  <c r="CZ688" i="34" s="1"/>
  <c r="DA688" i="34" a="1"/>
  <c r="DA688" i="34" s="1"/>
  <c r="CT687" i="34" a="1"/>
  <c r="CT687" i="34" s="1"/>
  <c r="CU687" i="34" a="1"/>
  <c r="CU687" i="34" s="1"/>
  <c r="ED683" i="34" a="1"/>
  <c r="ED683" i="34" s="1"/>
  <c r="CT683" i="34" a="1"/>
  <c r="CT683" i="34" s="1"/>
  <c r="CU683" i="34" a="1"/>
  <c r="CU683" i="34" s="1"/>
  <c r="BV682" i="34" a="1"/>
  <c r="BV682" i="34" s="1"/>
  <c r="CZ677" i="34" a="1"/>
  <c r="CZ677" i="34" s="1"/>
  <c r="DF652" i="34" a="1"/>
  <c r="DF652" i="34" s="1"/>
  <c r="DG652" i="34" a="1"/>
  <c r="DG652" i="34" s="1"/>
  <c r="EE751" i="34" a="1"/>
  <c r="EE751" i="34" s="1"/>
  <c r="BW750" i="34" a="1"/>
  <c r="BW750" i="34" s="1"/>
  <c r="CC748" i="34" a="1"/>
  <c r="CC748" i="34" s="1"/>
  <c r="CU747" i="34" a="1"/>
  <c r="CU747" i="34" s="1"/>
  <c r="CI746" i="34" a="1"/>
  <c r="CI746" i="34" s="1"/>
  <c r="DA745" i="34" a="1"/>
  <c r="DA745" i="34" s="1"/>
  <c r="CO744" i="34" a="1"/>
  <c r="CO744" i="34" s="1"/>
  <c r="DG743" i="34" a="1"/>
  <c r="DG743" i="34" s="1"/>
  <c r="DM741" i="34" a="1"/>
  <c r="DM741" i="34" s="1"/>
  <c r="DS739" i="34" a="1"/>
  <c r="DS739" i="34" s="1"/>
  <c r="DY737" i="34" a="1"/>
  <c r="DY737" i="34" s="1"/>
  <c r="EE735" i="34" a="1"/>
  <c r="EE735" i="34" s="1"/>
  <c r="BW734" i="34" a="1"/>
  <c r="BW734" i="34" s="1"/>
  <c r="CC732" i="34" a="1"/>
  <c r="CC732" i="34" s="1"/>
  <c r="CU731" i="34" a="1"/>
  <c r="CU731" i="34" s="1"/>
  <c r="CI730" i="34" a="1"/>
  <c r="CI730" i="34" s="1"/>
  <c r="DA729" i="34" a="1"/>
  <c r="DA729" i="34" s="1"/>
  <c r="CO728" i="34" a="1"/>
  <c r="CO728" i="34" s="1"/>
  <c r="DG727" i="34" a="1"/>
  <c r="DG727" i="34" s="1"/>
  <c r="DM725" i="34" a="1"/>
  <c r="DM725" i="34" s="1"/>
  <c r="DS722" i="34" a="1"/>
  <c r="DS722" i="34" s="1"/>
  <c r="CT722" i="34" a="1"/>
  <c r="CT722" i="34" s="1"/>
  <c r="DY720" i="34" a="1"/>
  <c r="DY720" i="34" s="1"/>
  <c r="CZ720" i="34" a="1"/>
  <c r="CZ720" i="34" s="1"/>
  <c r="CI720" i="34" a="1"/>
  <c r="CI720" i="34" s="1"/>
  <c r="CH720" i="34" a="1"/>
  <c r="CH720" i="34" s="1"/>
  <c r="DG717" i="34" a="1"/>
  <c r="DG717" i="34" s="1"/>
  <c r="DF717" i="34" a="1"/>
  <c r="DF717" i="34" s="1"/>
  <c r="DR714" i="34" a="1"/>
  <c r="DR714" i="34" s="1"/>
  <c r="CH711" i="34" a="1"/>
  <c r="CH711" i="34" s="1"/>
  <c r="CZ710" i="34" a="1"/>
  <c r="CZ710" i="34" s="1"/>
  <c r="DM706" i="34" a="1"/>
  <c r="DM706" i="34" s="1"/>
  <c r="CT704" i="34" a="1"/>
  <c r="CT704" i="34" s="1"/>
  <c r="CU704" i="34" a="1"/>
  <c r="CU704" i="34" s="1"/>
  <c r="DY702" i="34" a="1"/>
  <c r="DY702" i="34" s="1"/>
  <c r="BV695" i="34" a="1"/>
  <c r="BV695" i="34" s="1"/>
  <c r="BW695" i="34" a="1"/>
  <c r="BW695" i="34" s="1"/>
  <c r="CN692" i="34" a="1"/>
  <c r="CN692" i="34" s="1"/>
  <c r="CT686" i="34" a="1"/>
  <c r="CT686" i="34" s="1"/>
  <c r="CU686" i="34" a="1"/>
  <c r="CU686" i="34" s="1"/>
  <c r="DX685" i="34" a="1"/>
  <c r="DX685" i="34" s="1"/>
  <c r="CT684" i="34" a="1"/>
  <c r="CT684" i="34" s="1"/>
  <c r="DX674" i="34" a="1"/>
  <c r="DX674" i="34" s="1"/>
  <c r="DY674" i="34" a="1"/>
  <c r="DY674" i="34" s="1"/>
  <c r="BW724" i="34" a="1"/>
  <c r="BW724" i="34" s="1"/>
  <c r="CC722" i="34" a="1"/>
  <c r="CC722" i="34" s="1"/>
  <c r="CB722" i="34" a="1"/>
  <c r="CB722" i="34" s="1"/>
  <c r="CH718" i="34" a="1"/>
  <c r="CH718" i="34" s="1"/>
  <c r="CI718" i="34" a="1"/>
  <c r="CI718" i="34" s="1"/>
  <c r="CU713" i="34" a="1"/>
  <c r="CU713" i="34" s="1"/>
  <c r="BV713" i="34" a="1"/>
  <c r="BV713" i="34" s="1"/>
  <c r="DG711" i="34" a="1"/>
  <c r="DG711" i="34" s="1"/>
  <c r="CN709" i="34" a="1"/>
  <c r="CN709" i="34" s="1"/>
  <c r="DF708" i="34" a="1"/>
  <c r="DF708" i="34" s="1"/>
  <c r="CI706" i="34" a="1"/>
  <c r="CI706" i="34" s="1"/>
  <c r="CO704" i="34" a="1"/>
  <c r="CO704" i="34" s="1"/>
  <c r="ED700" i="34" a="1"/>
  <c r="ED700" i="34" s="1"/>
  <c r="CH694" i="34" a="1"/>
  <c r="CH694" i="34" s="1"/>
  <c r="CT688" i="34" a="1"/>
  <c r="CT688" i="34" s="1"/>
  <c r="CU688" i="34" a="1"/>
  <c r="CU688" i="34" s="1"/>
  <c r="CN687" i="34" a="1"/>
  <c r="CN687" i="34" s="1"/>
  <c r="CO687" i="34" a="1"/>
  <c r="CO687" i="34" s="1"/>
  <c r="DX680" i="34" a="1"/>
  <c r="DX680" i="34" s="1"/>
  <c r="DY680" i="34" a="1"/>
  <c r="DY680" i="34" s="1"/>
  <c r="CT677" i="34" a="1"/>
  <c r="CT677" i="34" s="1"/>
  <c r="CU677" i="34" a="1"/>
  <c r="CU677" i="34" s="1"/>
  <c r="CB720" i="34" a="1"/>
  <c r="CB720" i="34" s="1"/>
  <c r="CC715" i="34" a="1"/>
  <c r="CC715" i="34" s="1"/>
  <c r="CI709" i="34" a="1"/>
  <c r="CI709" i="34" s="1"/>
  <c r="DA708" i="34" a="1"/>
  <c r="DA708" i="34" s="1"/>
  <c r="DS704" i="34" a="1"/>
  <c r="DS704" i="34" s="1"/>
  <c r="CT702" i="34" a="1"/>
  <c r="CT702" i="34" s="1"/>
  <c r="ED694" i="34" a="1"/>
  <c r="ED694" i="34" s="1"/>
  <c r="EE694" i="34" a="1"/>
  <c r="EE694" i="34" s="1"/>
  <c r="BV693" i="34" a="1"/>
  <c r="BV693" i="34" s="1"/>
  <c r="BW693" i="34" a="1"/>
  <c r="BW693" i="34" s="1"/>
  <c r="CB691" i="34" a="1"/>
  <c r="CB691" i="34" s="1"/>
  <c r="CC691" i="34" a="1"/>
  <c r="CC691" i="34" s="1"/>
  <c r="CT681" i="34" a="1"/>
  <c r="CT681" i="34" s="1"/>
  <c r="CU681" i="34" a="1"/>
  <c r="CU681" i="34" s="1"/>
  <c r="CZ703" i="34" a="1"/>
  <c r="CZ703" i="34" s="1"/>
  <c r="CN702" i="34" a="1"/>
  <c r="CN702" i="34" s="1"/>
  <c r="DF701" i="34" a="1"/>
  <c r="DF701" i="34" s="1"/>
  <c r="DL699" i="34" a="1"/>
  <c r="DL699" i="34" s="1"/>
  <c r="DR697" i="34" a="1"/>
  <c r="DR697" i="34" s="1"/>
  <c r="DX695" i="34" a="1"/>
  <c r="DX695" i="34" s="1"/>
  <c r="ED693" i="34" a="1"/>
  <c r="ED693" i="34" s="1"/>
  <c r="BV692" i="34" a="1"/>
  <c r="BV692" i="34" s="1"/>
  <c r="CB690" i="34" a="1"/>
  <c r="CB690" i="34" s="1"/>
  <c r="CT689" i="34" a="1"/>
  <c r="CT689" i="34" s="1"/>
  <c r="CH688" i="34" a="1"/>
  <c r="CH688" i="34" s="1"/>
  <c r="CZ687" i="34" a="1"/>
  <c r="CZ687" i="34" s="1"/>
  <c r="CN686" i="34" a="1"/>
  <c r="CN686" i="34" s="1"/>
  <c r="DF685" i="34" a="1"/>
  <c r="DF685" i="34" s="1"/>
  <c r="DL683" i="34" a="1"/>
  <c r="DL683" i="34" s="1"/>
  <c r="DR681" i="34" a="1"/>
  <c r="DR681" i="34" s="1"/>
  <c r="DX679" i="34" a="1"/>
  <c r="DX679" i="34" s="1"/>
  <c r="ED677" i="34" a="1"/>
  <c r="ED677" i="34" s="1"/>
  <c r="BV676" i="34" a="1"/>
  <c r="BV676" i="34" s="1"/>
  <c r="ED665" i="34" a="1"/>
  <c r="ED665" i="34" s="1"/>
  <c r="EE665" i="34" a="1"/>
  <c r="EE665" i="34" s="1"/>
  <c r="DL663" i="34" a="1"/>
  <c r="DL663" i="34" s="1"/>
  <c r="DM663" i="34" a="1"/>
  <c r="DM663" i="34" s="1"/>
  <c r="CZ662" i="34" a="1"/>
  <c r="CZ662" i="34" s="1"/>
  <c r="DA662" i="34" a="1"/>
  <c r="DA662" i="34" s="1"/>
  <c r="DF660" i="34" a="1"/>
  <c r="DF660" i="34" s="1"/>
  <c r="DG660" i="34" a="1"/>
  <c r="DG660" i="34" s="1"/>
  <c r="CH660" i="34" a="1"/>
  <c r="CH660" i="34" s="1"/>
  <c r="CI660" i="34" a="1"/>
  <c r="CI660" i="34" s="1"/>
  <c r="CC658" i="34" a="1"/>
  <c r="CC658" i="34" s="1"/>
  <c r="CO657" i="34" a="1"/>
  <c r="CO657" i="34" s="1"/>
  <c r="CB656" i="34" a="1"/>
  <c r="CB656" i="34" s="1"/>
  <c r="DG654" i="34" a="1"/>
  <c r="DG654" i="34" s="1"/>
  <c r="CO653" i="34" a="1"/>
  <c r="CO653" i="34" s="1"/>
  <c r="CU650" i="34" a="1"/>
  <c r="CU650" i="34" s="1"/>
  <c r="BV648" i="34" a="1"/>
  <c r="BV648" i="34" s="1"/>
  <c r="BW648" i="34" a="1"/>
  <c r="BW648" i="34" s="1"/>
  <c r="CB637" i="34" a="1"/>
  <c r="CB637" i="34" s="1"/>
  <c r="CC637" i="34" a="1"/>
  <c r="CC637" i="34" s="1"/>
  <c r="DX631" i="34" a="1"/>
  <c r="DX631" i="34" s="1"/>
  <c r="DM573" i="34" a="1"/>
  <c r="DM573" i="34" s="1"/>
  <c r="DL573" i="34" a="1"/>
  <c r="DL573" i="34" s="1"/>
  <c r="DR672" i="34" a="1"/>
  <c r="DR672" i="34" s="1"/>
  <c r="DS672" i="34" a="1"/>
  <c r="DS672" i="34" s="1"/>
  <c r="CU672" i="34" a="1"/>
  <c r="CU672" i="34" s="1"/>
  <c r="DX667" i="34" a="1"/>
  <c r="DX667" i="34" s="1"/>
  <c r="DY667" i="34" a="1"/>
  <c r="DY667" i="34" s="1"/>
  <c r="BV667" i="34" a="1"/>
  <c r="BV667" i="34" s="1"/>
  <c r="BW667" i="34" a="1"/>
  <c r="BW667" i="34" s="1"/>
  <c r="CB662" i="34" a="1"/>
  <c r="CB662" i="34" s="1"/>
  <c r="CC662" i="34" a="1"/>
  <c r="CC662" i="34" s="1"/>
  <c r="DA654" i="34" a="1"/>
  <c r="DA654" i="34" s="1"/>
  <c r="CB654" i="34" a="1"/>
  <c r="CB654" i="34" s="1"/>
  <c r="CC654" i="34" a="1"/>
  <c r="CC654" i="34" s="1"/>
  <c r="DR653" i="34" a="1"/>
  <c r="DR653" i="34" s="1"/>
  <c r="DS653" i="34" a="1"/>
  <c r="DS653" i="34" s="1"/>
  <c r="ED652" i="34" a="1"/>
  <c r="ED652" i="34" s="1"/>
  <c r="EE652" i="34" a="1"/>
  <c r="EE652" i="34" s="1"/>
  <c r="ED649" i="34" a="1"/>
  <c r="ED649" i="34" s="1"/>
  <c r="EE649" i="34" a="1"/>
  <c r="EE649" i="34" s="1"/>
  <c r="CU649" i="34" a="1"/>
  <c r="CU649" i="34" s="1"/>
  <c r="CT648" i="34" a="1"/>
  <c r="CT648" i="34" s="1"/>
  <c r="CU648" i="34" a="1"/>
  <c r="CU648" i="34" s="1"/>
  <c r="CZ634" i="34" a="1"/>
  <c r="CZ634" i="34" s="1"/>
  <c r="DA634" i="34" a="1"/>
  <c r="DA634" i="34" s="1"/>
  <c r="DR628" i="34" a="1"/>
  <c r="DR628" i="34" s="1"/>
  <c r="DS628" i="34" a="1"/>
  <c r="DS628" i="34" s="1"/>
  <c r="CI676" i="34" a="1"/>
  <c r="CI676" i="34" s="1"/>
  <c r="DA675" i="34" a="1"/>
  <c r="DA675" i="34" s="1"/>
  <c r="CT667" i="34" a="1"/>
  <c r="CT667" i="34" s="1"/>
  <c r="CU667" i="34" a="1"/>
  <c r="CU667" i="34" s="1"/>
  <c r="CB665" i="34" a="1"/>
  <c r="CB665" i="34" s="1"/>
  <c r="CC665" i="34" a="1"/>
  <c r="CC665" i="34" s="1"/>
  <c r="CH663" i="34" a="1"/>
  <c r="CH663" i="34" s="1"/>
  <c r="CI663" i="34" a="1"/>
  <c r="CI663" i="34" s="1"/>
  <c r="CN661" i="34" a="1"/>
  <c r="CN661" i="34" s="1"/>
  <c r="CO661" i="34" a="1"/>
  <c r="CO661" i="34" s="1"/>
  <c r="EE654" i="34" a="1"/>
  <c r="EE654" i="34" s="1"/>
  <c r="CB646" i="34" a="1"/>
  <c r="CB646" i="34" s="1"/>
  <c r="CC646" i="34" a="1"/>
  <c r="CC646" i="34" s="1"/>
  <c r="CT633" i="34" a="1"/>
  <c r="CT633" i="34" s="1"/>
  <c r="CU633" i="34" a="1"/>
  <c r="CU633" i="34" s="1"/>
  <c r="DY688" i="34" a="1"/>
  <c r="DY688" i="34" s="1"/>
  <c r="EE686" i="34" a="1"/>
  <c r="EE686" i="34" s="1"/>
  <c r="BW685" i="34" a="1"/>
  <c r="BW685" i="34" s="1"/>
  <c r="CC683" i="34" a="1"/>
  <c r="CC683" i="34" s="1"/>
  <c r="CI681" i="34" a="1"/>
  <c r="CI681" i="34" s="1"/>
  <c r="DA680" i="34" a="1"/>
  <c r="DA680" i="34" s="1"/>
  <c r="CO679" i="34" a="1"/>
  <c r="CO679" i="34" s="1"/>
  <c r="DG678" i="34" a="1"/>
  <c r="DG678" i="34" s="1"/>
  <c r="DM676" i="34" a="1"/>
  <c r="DM676" i="34" s="1"/>
  <c r="DS674" i="34" a="1"/>
  <c r="DS674" i="34" s="1"/>
  <c r="CU671" i="34" a="1"/>
  <c r="CU671" i="34" s="1"/>
  <c r="BV664" i="34" a="1"/>
  <c r="BV664" i="34" s="1"/>
  <c r="BW664" i="34" a="1"/>
  <c r="BW664" i="34" s="1"/>
  <c r="CT634" i="34" a="1"/>
  <c r="CT634" i="34" s="1"/>
  <c r="CU634" i="34" a="1"/>
  <c r="CU634" i="34" s="1"/>
  <c r="DL630" i="34" a="1"/>
  <c r="DL630" i="34" s="1"/>
  <c r="DM630" i="34" a="1"/>
  <c r="DM630" i="34" s="1"/>
  <c r="DX617" i="34" a="1"/>
  <c r="DX617" i="34" s="1"/>
  <c r="DY617" i="34" a="1"/>
  <c r="DY617" i="34" s="1"/>
  <c r="CT599" i="34" a="1"/>
  <c r="CT599" i="34" s="1"/>
  <c r="CU599" i="34" a="1"/>
  <c r="CU599" i="34" s="1"/>
  <c r="DY693" i="34" a="1"/>
  <c r="DY693" i="34" s="1"/>
  <c r="EE691" i="34" a="1"/>
  <c r="EE691" i="34" s="1"/>
  <c r="BW690" i="34" a="1"/>
  <c r="BW690" i="34" s="1"/>
  <c r="CC688" i="34" a="1"/>
  <c r="CC688" i="34" s="1"/>
  <c r="CI686" i="34" a="1"/>
  <c r="CI686" i="34" s="1"/>
  <c r="DA685" i="34" a="1"/>
  <c r="DA685" i="34" s="1"/>
  <c r="CO684" i="34" a="1"/>
  <c r="CO684" i="34" s="1"/>
  <c r="DG683" i="34" a="1"/>
  <c r="DG683" i="34" s="1"/>
  <c r="DM681" i="34" a="1"/>
  <c r="DM681" i="34" s="1"/>
  <c r="DS679" i="34" a="1"/>
  <c r="DS679" i="34" s="1"/>
  <c r="DY677" i="34" a="1"/>
  <c r="DY677" i="34" s="1"/>
  <c r="EE675" i="34" a="1"/>
  <c r="EE675" i="34" s="1"/>
  <c r="BV674" i="34" a="1"/>
  <c r="BV674" i="34" s="1"/>
  <c r="DM673" i="34" a="1"/>
  <c r="DM673" i="34" s="1"/>
  <c r="BW672" i="34" a="1"/>
  <c r="BW672" i="34" s="1"/>
  <c r="DS668" i="34" a="1"/>
  <c r="DS668" i="34" s="1"/>
  <c r="CU668" i="34" a="1"/>
  <c r="CU668" i="34" s="1"/>
  <c r="DY658" i="34" a="1"/>
  <c r="DY658" i="34" s="1"/>
  <c r="BV658" i="34" a="1"/>
  <c r="BV658" i="34" s="1"/>
  <c r="BV656" i="34" a="1"/>
  <c r="BV656" i="34" s="1"/>
  <c r="BW656" i="34" a="1"/>
  <c r="BW656" i="34" s="1"/>
  <c r="DL655" i="34" a="1"/>
  <c r="DL655" i="34" s="1"/>
  <c r="DM655" i="34" a="1"/>
  <c r="DM655" i="34" s="1"/>
  <c r="CI655" i="34" a="1"/>
  <c r="CI655" i="34" s="1"/>
  <c r="CI651" i="34" a="1"/>
  <c r="CI651" i="34" s="1"/>
  <c r="DS648" i="34" a="1"/>
  <c r="DS648" i="34" s="1"/>
  <c r="DY647" i="34" a="1"/>
  <c r="DY647" i="34" s="1"/>
  <c r="DX647" i="34" a="1"/>
  <c r="DX647" i="34" s="1"/>
  <c r="DY646" i="34" a="1"/>
  <c r="DY646" i="34" s="1"/>
  <c r="CT646" i="34" a="1"/>
  <c r="CT646" i="34" s="1"/>
  <c r="CT643" i="34" a="1"/>
  <c r="CT643" i="34" s="1"/>
  <c r="CU643" i="34" a="1"/>
  <c r="CU643" i="34" s="1"/>
  <c r="CT642" i="34" a="1"/>
  <c r="CT642" i="34" s="1"/>
  <c r="CU642" i="34" a="1"/>
  <c r="CU642" i="34" s="1"/>
  <c r="CN633" i="34" a="1"/>
  <c r="CN633" i="34" s="1"/>
  <c r="CO633" i="34" a="1"/>
  <c r="CO633" i="34" s="1"/>
  <c r="CB627" i="34" a="1"/>
  <c r="CB627" i="34" s="1"/>
  <c r="CC627" i="34" a="1"/>
  <c r="CC627" i="34" s="1"/>
  <c r="CC693" i="34" a="1"/>
  <c r="CC693" i="34" s="1"/>
  <c r="CU692" i="34" a="1"/>
  <c r="CU692" i="34" s="1"/>
  <c r="CI691" i="34" a="1"/>
  <c r="CI691" i="34" s="1"/>
  <c r="DA690" i="34" a="1"/>
  <c r="DA690" i="34" s="1"/>
  <c r="CO689" i="34" a="1"/>
  <c r="CO689" i="34" s="1"/>
  <c r="DG688" i="34" a="1"/>
  <c r="DG688" i="34" s="1"/>
  <c r="DM686" i="34" a="1"/>
  <c r="DM686" i="34" s="1"/>
  <c r="DS684" i="34" a="1"/>
  <c r="DS684" i="34" s="1"/>
  <c r="DY682" i="34" a="1"/>
  <c r="DY682" i="34" s="1"/>
  <c r="EE680" i="34" a="1"/>
  <c r="EE680" i="34" s="1"/>
  <c r="BW679" i="34" a="1"/>
  <c r="BW679" i="34" s="1"/>
  <c r="CC677" i="34" a="1"/>
  <c r="CC677" i="34" s="1"/>
  <c r="CU676" i="34" a="1"/>
  <c r="CU676" i="34" s="1"/>
  <c r="CI675" i="34" a="1"/>
  <c r="CI675" i="34" s="1"/>
  <c r="CU674" i="34" a="1"/>
  <c r="CU674" i="34" s="1"/>
  <c r="CO673" i="34" a="1"/>
  <c r="CO673" i="34" s="1"/>
  <c r="DS665" i="34" a="1"/>
  <c r="DS665" i="34" s="1"/>
  <c r="CU665" i="34" a="1"/>
  <c r="CU665" i="34" s="1"/>
  <c r="CU660" i="34" a="1"/>
  <c r="CU660" i="34" s="1"/>
  <c r="CI659" i="34" a="1"/>
  <c r="CI659" i="34" s="1"/>
  <c r="DY656" i="34" a="1"/>
  <c r="DY656" i="34" s="1"/>
  <c r="DX654" i="34" a="1"/>
  <c r="DX654" i="34" s="1"/>
  <c r="DY654" i="34" a="1"/>
  <c r="DY654" i="34" s="1"/>
  <c r="CU652" i="34" a="1"/>
  <c r="CU652" i="34" s="1"/>
  <c r="DM650" i="34" a="1"/>
  <c r="DM650" i="34" s="1"/>
  <c r="DS649" i="34" a="1"/>
  <c r="DS649" i="34" s="1"/>
  <c r="DR649" i="34" a="1"/>
  <c r="DR649" i="34" s="1"/>
  <c r="CN649" i="34" a="1"/>
  <c r="CN649" i="34" s="1"/>
  <c r="CO649" i="34" a="1"/>
  <c r="CO649" i="34" s="1"/>
  <c r="CT647" i="34" a="1"/>
  <c r="CT647" i="34" s="1"/>
  <c r="CU647" i="34" a="1"/>
  <c r="CU647" i="34" s="1"/>
  <c r="DR644" i="34" a="1"/>
  <c r="DR644" i="34" s="1"/>
  <c r="DS644" i="34" a="1"/>
  <c r="DS644" i="34" s="1"/>
  <c r="CU641" i="34" a="1"/>
  <c r="CU641" i="34" s="1"/>
  <c r="CT641" i="34" a="1"/>
  <c r="CT641" i="34" s="1"/>
  <c r="BV639" i="34" a="1"/>
  <c r="BV639" i="34" s="1"/>
  <c r="BW639" i="34" a="1"/>
  <c r="BW639" i="34" s="1"/>
  <c r="CT636" i="34" a="1"/>
  <c r="CT636" i="34" s="1"/>
  <c r="CU636" i="34" a="1"/>
  <c r="CU636" i="34" s="1"/>
  <c r="DG693" i="34" a="1"/>
  <c r="DG693" i="34" s="1"/>
  <c r="CO672" i="34" a="1"/>
  <c r="CO672" i="34" s="1"/>
  <c r="ED670" i="34" a="1"/>
  <c r="ED670" i="34" s="1"/>
  <c r="CH670" i="34" a="1"/>
  <c r="CH670" i="34" s="1"/>
  <c r="CC669" i="34" a="1"/>
  <c r="CC669" i="34" s="1"/>
  <c r="DA666" i="34" a="1"/>
  <c r="DA666" i="34" s="1"/>
  <c r="EE661" i="34" a="1"/>
  <c r="EE661" i="34" s="1"/>
  <c r="CT658" i="34" a="1"/>
  <c r="CT658" i="34" s="1"/>
  <c r="DS652" i="34" a="1"/>
  <c r="DS652" i="34" s="1"/>
  <c r="DL644" i="34" a="1"/>
  <c r="DL644" i="34" s="1"/>
  <c r="ED640" i="34" a="1"/>
  <c r="ED640" i="34" s="1"/>
  <c r="EE640" i="34" a="1"/>
  <c r="EE640" i="34" s="1"/>
  <c r="CT638" i="34" a="1"/>
  <c r="CT638" i="34" s="1"/>
  <c r="CU638" i="34" a="1"/>
  <c r="CU638" i="34" s="1"/>
  <c r="CT635" i="34" a="1"/>
  <c r="CT635" i="34" s="1"/>
  <c r="CU635" i="34" a="1"/>
  <c r="CU635" i="34" s="1"/>
  <c r="CT615" i="34" a="1"/>
  <c r="CT615" i="34" s="1"/>
  <c r="CU615" i="34" a="1"/>
  <c r="CU615" i="34" s="1"/>
  <c r="DM674" i="34" a="1"/>
  <c r="DM674" i="34" s="1"/>
  <c r="DL671" i="34" a="1"/>
  <c r="DL671" i="34" s="1"/>
  <c r="DM671" i="34" a="1"/>
  <c r="DM671" i="34" s="1"/>
  <c r="DM667" i="34" a="1"/>
  <c r="DM667" i="34" s="1"/>
  <c r="DY666" i="34" a="1"/>
  <c r="DY666" i="34" s="1"/>
  <c r="CC657" i="34" a="1"/>
  <c r="CC657" i="34" s="1"/>
  <c r="CT654" i="34" a="1"/>
  <c r="CT654" i="34" s="1"/>
  <c r="CU654" i="34" a="1"/>
  <c r="CU654" i="34" s="1"/>
  <c r="DX610" i="34" a="1"/>
  <c r="DX610" i="34" s="1"/>
  <c r="ED657" i="34" a="1"/>
  <c r="ED657" i="34" s="1"/>
  <c r="EE657" i="34" a="1"/>
  <c r="EE657" i="34" s="1"/>
  <c r="DF657" i="34" a="1"/>
  <c r="DF657" i="34" s="1"/>
  <c r="DG657" i="34" a="1"/>
  <c r="DG657" i="34" s="1"/>
  <c r="DR656" i="34" a="1"/>
  <c r="DR656" i="34" s="1"/>
  <c r="DS656" i="34" a="1"/>
  <c r="DS656" i="34" s="1"/>
  <c r="DX642" i="34" a="1"/>
  <c r="DX642" i="34" s="1"/>
  <c r="DY642" i="34" a="1"/>
  <c r="DY642" i="34" s="1"/>
  <c r="DY686" i="34" a="1"/>
  <c r="DY686" i="34" s="1"/>
  <c r="EE684" i="34" a="1"/>
  <c r="EE684" i="34" s="1"/>
  <c r="BW683" i="34" a="1"/>
  <c r="BW683" i="34" s="1"/>
  <c r="CC681" i="34" a="1"/>
  <c r="CC681" i="34" s="1"/>
  <c r="CU680" i="34" a="1"/>
  <c r="CU680" i="34" s="1"/>
  <c r="CI679" i="34" a="1"/>
  <c r="CI679" i="34" s="1"/>
  <c r="DA678" i="34" a="1"/>
  <c r="DA678" i="34" s="1"/>
  <c r="CO677" i="34" a="1"/>
  <c r="CO677" i="34" s="1"/>
  <c r="DG676" i="34" a="1"/>
  <c r="DG676" i="34" s="1"/>
  <c r="CN674" i="34" a="1"/>
  <c r="CN674" i="34" s="1"/>
  <c r="EE673" i="34" a="1"/>
  <c r="EE673" i="34" s="1"/>
  <c r="CO665" i="34" a="1"/>
  <c r="CO665" i="34" s="1"/>
  <c r="CC651" i="34" a="1"/>
  <c r="CC651" i="34" s="1"/>
  <c r="CH644" i="34" a="1"/>
  <c r="CH644" i="34" s="1"/>
  <c r="CI644" i="34" a="1"/>
  <c r="CI644" i="34" s="1"/>
  <c r="DF632" i="34" a="1"/>
  <c r="DF632" i="34" s="1"/>
  <c r="DG632" i="34" a="1"/>
  <c r="DG632" i="34" s="1"/>
  <c r="CU627" i="34" a="1"/>
  <c r="CU627" i="34" s="1"/>
  <c r="CT627" i="34" a="1"/>
  <c r="CT627" i="34" s="1"/>
  <c r="CC617" i="34" a="1"/>
  <c r="CC617" i="34" s="1"/>
  <c r="CB617" i="34" a="1"/>
  <c r="CB617" i="34" s="1"/>
  <c r="EE608" i="34" a="1"/>
  <c r="EE608" i="34" s="1"/>
  <c r="ED608" i="34" a="1"/>
  <c r="ED608" i="34" s="1"/>
  <c r="CO698" i="34" a="1"/>
  <c r="CO698" i="34" s="1"/>
  <c r="DG697" i="34" a="1"/>
  <c r="DG697" i="34" s="1"/>
  <c r="DM695" i="34" a="1"/>
  <c r="DM695" i="34" s="1"/>
  <c r="DS693" i="34" a="1"/>
  <c r="DS693" i="34" s="1"/>
  <c r="DY691" i="34" a="1"/>
  <c r="DY691" i="34" s="1"/>
  <c r="EE689" i="34" a="1"/>
  <c r="EE689" i="34" s="1"/>
  <c r="BW688" i="34" a="1"/>
  <c r="BW688" i="34" s="1"/>
  <c r="CC686" i="34" a="1"/>
  <c r="CC686" i="34" s="1"/>
  <c r="CI684" i="34" a="1"/>
  <c r="CI684" i="34" s="1"/>
  <c r="DA683" i="34" a="1"/>
  <c r="DA683" i="34" s="1"/>
  <c r="CO682" i="34" a="1"/>
  <c r="CO682" i="34" s="1"/>
  <c r="DG681" i="34" a="1"/>
  <c r="DG681" i="34" s="1"/>
  <c r="DM679" i="34" a="1"/>
  <c r="DM679" i="34" s="1"/>
  <c r="DS677" i="34" a="1"/>
  <c r="DS677" i="34" s="1"/>
  <c r="DY675" i="34" a="1"/>
  <c r="DY675" i="34" s="1"/>
  <c r="CI672" i="34" a="1"/>
  <c r="CI672" i="34" s="1"/>
  <c r="DA669" i="34" a="1"/>
  <c r="DA669" i="34" s="1"/>
  <c r="BV669" i="34" a="1"/>
  <c r="BV669" i="34" s="1"/>
  <c r="CN668" i="34" a="1"/>
  <c r="CN668" i="34" s="1"/>
  <c r="CT666" i="34" a="1"/>
  <c r="CT666" i="34" s="1"/>
  <c r="CT663" i="34" a="1"/>
  <c r="CT663" i="34" s="1"/>
  <c r="DX661" i="34" a="1"/>
  <c r="DX661" i="34" s="1"/>
  <c r="DS658" i="34" a="1"/>
  <c r="DS658" i="34" s="1"/>
  <c r="DM654" i="34" a="1"/>
  <c r="DM654" i="34" s="1"/>
  <c r="CZ653" i="34" a="1"/>
  <c r="CZ653" i="34" s="1"/>
  <c r="CH640" i="34" a="1"/>
  <c r="CH640" i="34" s="1"/>
  <c r="ED629" i="34" a="1"/>
  <c r="ED629" i="34" s="1"/>
  <c r="CI674" i="34" a="1"/>
  <c r="CI674" i="34" s="1"/>
  <c r="DF673" i="34" a="1"/>
  <c r="DF673" i="34" s="1"/>
  <c r="DG673" i="34" a="1"/>
  <c r="DG673" i="34" s="1"/>
  <c r="DX670" i="34" a="1"/>
  <c r="DX670" i="34" s="1"/>
  <c r="DY670" i="34" a="1"/>
  <c r="DY670" i="34" s="1"/>
  <c r="CC670" i="34" a="1"/>
  <c r="CC670" i="34" s="1"/>
  <c r="DM668" i="34" a="1"/>
  <c r="DM668" i="34" s="1"/>
  <c r="DF667" i="34" a="1"/>
  <c r="DF667" i="34" s="1"/>
  <c r="CN658" i="34" a="1"/>
  <c r="CN658" i="34" s="1"/>
  <c r="CO658" i="34" a="1"/>
  <c r="CO658" i="34" s="1"/>
  <c r="CN654" i="34" a="1"/>
  <c r="CN654" i="34" s="1"/>
  <c r="CN652" i="34" a="1"/>
  <c r="CN652" i="34" s="1"/>
  <c r="BV651" i="34" a="1"/>
  <c r="BV651" i="34" s="1"/>
  <c r="BW651" i="34" a="1"/>
  <c r="BW651" i="34" s="1"/>
  <c r="EE644" i="34" a="1"/>
  <c r="EE644" i="34" s="1"/>
  <c r="CT626" i="34" a="1"/>
  <c r="CT626" i="34" s="1"/>
  <c r="CU626" i="34" a="1"/>
  <c r="CU626" i="34" s="1"/>
  <c r="CT624" i="34" a="1"/>
  <c r="CT624" i="34" s="1"/>
  <c r="CU624" i="34" a="1"/>
  <c r="CU624" i="34" s="1"/>
  <c r="CT578" i="34" a="1"/>
  <c r="CT578" i="34" s="1"/>
  <c r="CU578" i="34" a="1"/>
  <c r="CU578" i="34" s="1"/>
  <c r="CT569" i="34" a="1"/>
  <c r="CT569" i="34" s="1"/>
  <c r="CU569" i="34" a="1"/>
  <c r="CU569" i="34" s="1"/>
  <c r="CT669" i="34" a="1"/>
  <c r="CT669" i="34" s="1"/>
  <c r="CU669" i="34" a="1"/>
  <c r="CU669" i="34" s="1"/>
  <c r="CI656" i="34" a="1"/>
  <c r="CI656" i="34" s="1"/>
  <c r="DF648" i="34" a="1"/>
  <c r="DF648" i="34" s="1"/>
  <c r="DG648" i="34" a="1"/>
  <c r="DG648" i="34" s="1"/>
  <c r="CH635" i="34" a="1"/>
  <c r="CH635" i="34" s="1"/>
  <c r="CI635" i="34" a="1"/>
  <c r="CI635" i="34" s="1"/>
  <c r="CU625" i="34" a="1"/>
  <c r="CU625" i="34" s="1"/>
  <c r="CT625" i="34" a="1"/>
  <c r="CT625" i="34" s="1"/>
  <c r="CT622" i="34" a="1"/>
  <c r="CT622" i="34" s="1"/>
  <c r="CU622" i="34" a="1"/>
  <c r="CU622" i="34" s="1"/>
  <c r="DF665" i="34" a="1"/>
  <c r="DF665" i="34" s="1"/>
  <c r="DG665" i="34" a="1"/>
  <c r="DG665" i="34" s="1"/>
  <c r="DX659" i="34" a="1"/>
  <c r="DX659" i="34" s="1"/>
  <c r="DY659" i="34" a="1"/>
  <c r="DY659" i="34" s="1"/>
  <c r="CZ659" i="34" a="1"/>
  <c r="CZ659" i="34" s="1"/>
  <c r="DA659" i="34" a="1"/>
  <c r="DA659" i="34" s="1"/>
  <c r="DL658" i="34" a="1"/>
  <c r="DL658" i="34" s="1"/>
  <c r="DM658" i="34" a="1"/>
  <c r="DM658" i="34" s="1"/>
  <c r="CZ650" i="34" a="1"/>
  <c r="CZ650" i="34" s="1"/>
  <c r="DA650" i="34" a="1"/>
  <c r="DA650" i="34" s="1"/>
  <c r="CT645" i="34" a="1"/>
  <c r="CT645" i="34" s="1"/>
  <c r="CU645" i="34" a="1"/>
  <c r="CU645" i="34" s="1"/>
  <c r="CT632" i="34" a="1"/>
  <c r="CT632" i="34" s="1"/>
  <c r="CU632" i="34" a="1"/>
  <c r="CU632" i="34" s="1"/>
  <c r="DY672" i="34" a="1"/>
  <c r="DY672" i="34" s="1"/>
  <c r="DR669" i="34" a="1"/>
  <c r="DR669" i="34" s="1"/>
  <c r="DS669" i="34" a="1"/>
  <c r="DS669" i="34" s="1"/>
  <c r="CH668" i="34" a="1"/>
  <c r="CH668" i="34" s="1"/>
  <c r="CI668" i="34" a="1"/>
  <c r="CI668" i="34" s="1"/>
  <c r="CC667" i="34" a="1"/>
  <c r="CC667" i="34" s="1"/>
  <c r="CN666" i="34" a="1"/>
  <c r="CN666" i="34" s="1"/>
  <c r="CO666" i="34" a="1"/>
  <c r="CO666" i="34" s="1"/>
  <c r="DY664" i="34" a="1"/>
  <c r="DY664" i="34" s="1"/>
  <c r="EE662" i="34" a="1"/>
  <c r="EE662" i="34" s="1"/>
  <c r="DR661" i="34" a="1"/>
  <c r="DR661" i="34" s="1"/>
  <c r="DS661" i="34" a="1"/>
  <c r="DS661" i="34" s="1"/>
  <c r="CT661" i="34" a="1"/>
  <c r="CT661" i="34" s="1"/>
  <c r="CU661" i="34" a="1"/>
  <c r="CU661" i="34" s="1"/>
  <c r="BW661" i="34" a="1"/>
  <c r="BW661" i="34" s="1"/>
  <c r="CT653" i="34" a="1"/>
  <c r="CT653" i="34" s="1"/>
  <c r="CU653" i="34" a="1"/>
  <c r="CU653" i="34" s="1"/>
  <c r="BW653" i="34" a="1"/>
  <c r="BW653" i="34" s="1"/>
  <c r="CT650" i="34" a="1"/>
  <c r="CT650" i="34" s="1"/>
  <c r="DL646" i="34" a="1"/>
  <c r="DL646" i="34" s="1"/>
  <c r="DM646" i="34" a="1"/>
  <c r="DM646" i="34" s="1"/>
  <c r="BV644" i="34" a="1"/>
  <c r="BV644" i="34" s="1"/>
  <c r="DL635" i="34" a="1"/>
  <c r="DL635" i="34" s="1"/>
  <c r="CT631" i="34" a="1"/>
  <c r="CT631" i="34" s="1"/>
  <c r="CU631" i="34" a="1"/>
  <c r="CU631" i="34" s="1"/>
  <c r="ED601" i="34" a="1"/>
  <c r="ED601" i="34" s="1"/>
  <c r="EE601" i="34" a="1"/>
  <c r="EE601" i="34" s="1"/>
  <c r="DG663" i="34" a="1"/>
  <c r="DG663" i="34" s="1"/>
  <c r="DM661" i="34" a="1"/>
  <c r="DM661" i="34" s="1"/>
  <c r="DS659" i="34" a="1"/>
  <c r="DS659" i="34" s="1"/>
  <c r="DY657" i="34" a="1"/>
  <c r="DY657" i="34" s="1"/>
  <c r="EE655" i="34" a="1"/>
  <c r="EE655" i="34" s="1"/>
  <c r="BW654" i="34" a="1"/>
  <c r="BW654" i="34" s="1"/>
  <c r="CC652" i="34" a="1"/>
  <c r="CC652" i="34" s="1"/>
  <c r="CI650" i="34" a="1"/>
  <c r="CI650" i="34" s="1"/>
  <c r="DA649" i="34" a="1"/>
  <c r="DA649" i="34" s="1"/>
  <c r="CO648" i="34" a="1"/>
  <c r="CO648" i="34" s="1"/>
  <c r="DG647" i="34" a="1"/>
  <c r="DG647" i="34" s="1"/>
  <c r="DM645" i="34" a="1"/>
  <c r="DM645" i="34" s="1"/>
  <c r="DS643" i="34" a="1"/>
  <c r="DS643" i="34" s="1"/>
  <c r="DY641" i="34" a="1"/>
  <c r="DY641" i="34" s="1"/>
  <c r="EE639" i="34" a="1"/>
  <c r="EE639" i="34" s="1"/>
  <c r="BW638" i="34" a="1"/>
  <c r="BW638" i="34" s="1"/>
  <c r="CC636" i="34" a="1"/>
  <c r="CC636" i="34" s="1"/>
  <c r="CI634" i="34" a="1"/>
  <c r="CI634" i="34" s="1"/>
  <c r="DA633" i="34" a="1"/>
  <c r="DA633" i="34" s="1"/>
  <c r="CO632" i="34" a="1"/>
  <c r="CO632" i="34" s="1"/>
  <c r="DG631" i="34" a="1"/>
  <c r="DG631" i="34" s="1"/>
  <c r="DM629" i="34" a="1"/>
  <c r="DM629" i="34" s="1"/>
  <c r="DS625" i="34" a="1"/>
  <c r="DS625" i="34" s="1"/>
  <c r="DR623" i="34" a="1"/>
  <c r="DR623" i="34" s="1"/>
  <c r="CH621" i="34" a="1"/>
  <c r="CH621" i="34" s="1"/>
  <c r="CI621" i="34" a="1"/>
  <c r="CI621" i="34" s="1"/>
  <c r="CU616" i="34" a="1"/>
  <c r="CU616" i="34" s="1"/>
  <c r="BV616" i="34" a="1"/>
  <c r="BV616" i="34" s="1"/>
  <c r="BW616" i="34" a="1"/>
  <c r="BW616" i="34" s="1"/>
  <c r="DG614" i="34" a="1"/>
  <c r="DG614" i="34" s="1"/>
  <c r="CH614" i="34" a="1"/>
  <c r="CH614" i="34" s="1"/>
  <c r="CZ613" i="34" a="1"/>
  <c r="CZ613" i="34" s="1"/>
  <c r="DS612" i="34" a="1"/>
  <c r="DS612" i="34" s="1"/>
  <c r="DY605" i="34" a="1"/>
  <c r="DY605" i="34" s="1"/>
  <c r="CO585" i="34" a="1"/>
  <c r="CO585" i="34" s="1"/>
  <c r="CN585" i="34" a="1"/>
  <c r="CN585" i="34" s="1"/>
  <c r="DM582" i="34" a="1"/>
  <c r="DM582" i="34" s="1"/>
  <c r="DL582" i="34" a="1"/>
  <c r="DL582" i="34" s="1"/>
  <c r="CH582" i="34" a="1"/>
  <c r="CH582" i="34" s="1"/>
  <c r="CI582" i="34" a="1"/>
  <c r="CI582" i="34" s="1"/>
  <c r="DL578" i="34" a="1"/>
  <c r="DL578" i="34" s="1"/>
  <c r="DM578" i="34" a="1"/>
  <c r="DM578" i="34" s="1"/>
  <c r="CI577" i="34" a="1"/>
  <c r="CI577" i="34" s="1"/>
  <c r="CZ562" i="34" a="1"/>
  <c r="CZ562" i="34" s="1"/>
  <c r="DA562" i="34" a="1"/>
  <c r="DA562" i="34" s="1"/>
  <c r="CT555" i="34" a="1"/>
  <c r="CT555" i="34" s="1"/>
  <c r="CU555" i="34" a="1"/>
  <c r="CU555" i="34" s="1"/>
  <c r="DA643" i="34" a="1"/>
  <c r="DA643" i="34" s="1"/>
  <c r="CO642" i="34" a="1"/>
  <c r="CO642" i="34" s="1"/>
  <c r="DG641" i="34" a="1"/>
  <c r="DG641" i="34" s="1"/>
  <c r="DM639" i="34" a="1"/>
  <c r="DM639" i="34" s="1"/>
  <c r="DS637" i="34" a="1"/>
  <c r="DS637" i="34" s="1"/>
  <c r="DY635" i="34" a="1"/>
  <c r="DY635" i="34" s="1"/>
  <c r="EE633" i="34" a="1"/>
  <c r="EE633" i="34" s="1"/>
  <c r="BW632" i="34" a="1"/>
  <c r="BW632" i="34" s="1"/>
  <c r="CC630" i="34" a="1"/>
  <c r="CC630" i="34" s="1"/>
  <c r="CU629" i="34" a="1"/>
  <c r="CU629" i="34" s="1"/>
  <c r="CI628" i="34" a="1"/>
  <c r="CI628" i="34" s="1"/>
  <c r="BV625" i="34" a="1"/>
  <c r="BV625" i="34" s="1"/>
  <c r="BW625" i="34" a="1"/>
  <c r="BW625" i="34" s="1"/>
  <c r="DL623" i="34" a="1"/>
  <c r="DL623" i="34" s="1"/>
  <c r="EE622" i="34" a="1"/>
  <c r="EE622" i="34" s="1"/>
  <c r="CB621" i="34" a="1"/>
  <c r="CB621" i="34" s="1"/>
  <c r="CU620" i="34" a="1"/>
  <c r="CU620" i="34" s="1"/>
  <c r="ED615" i="34" a="1"/>
  <c r="ED615" i="34" s="1"/>
  <c r="EE615" i="34" a="1"/>
  <c r="EE615" i="34" s="1"/>
  <c r="CH615" i="34" a="1"/>
  <c r="CH615" i="34" s="1"/>
  <c r="BW613" i="34" a="1"/>
  <c r="BW613" i="34" s="1"/>
  <c r="DY610" i="34" a="1"/>
  <c r="DY610" i="34" s="1"/>
  <c r="DX608" i="34" a="1"/>
  <c r="DX608" i="34" s="1"/>
  <c r="DS607" i="34" a="1"/>
  <c r="DS607" i="34" s="1"/>
  <c r="DX606" i="34" a="1"/>
  <c r="DX606" i="34" s="1"/>
  <c r="DG604" i="34" a="1"/>
  <c r="DG604" i="34" s="1"/>
  <c r="DM602" i="34" a="1"/>
  <c r="DM602" i="34" s="1"/>
  <c r="ED587" i="34" a="1"/>
  <c r="ED587" i="34" s="1"/>
  <c r="EE587" i="34" a="1"/>
  <c r="EE587" i="34" s="1"/>
  <c r="DY583" i="34" a="1"/>
  <c r="DY583" i="34" s="1"/>
  <c r="DS642" i="34" a="1"/>
  <c r="DS642" i="34" s="1"/>
  <c r="DY640" i="34" a="1"/>
  <c r="DY640" i="34" s="1"/>
  <c r="EE638" i="34" a="1"/>
  <c r="EE638" i="34" s="1"/>
  <c r="BW637" i="34" a="1"/>
  <c r="BW637" i="34" s="1"/>
  <c r="CC635" i="34" a="1"/>
  <c r="CC635" i="34" s="1"/>
  <c r="CI633" i="34" a="1"/>
  <c r="CI633" i="34" s="1"/>
  <c r="DA632" i="34" a="1"/>
  <c r="DA632" i="34" s="1"/>
  <c r="CO631" i="34" a="1"/>
  <c r="CO631" i="34" s="1"/>
  <c r="DG630" i="34" a="1"/>
  <c r="DG630" i="34" s="1"/>
  <c r="DM628" i="34" a="1"/>
  <c r="DM628" i="34" s="1"/>
  <c r="BW627" i="34" a="1"/>
  <c r="BW627" i="34" s="1"/>
  <c r="CN624" i="34" a="1"/>
  <c r="CN624" i="34" s="1"/>
  <c r="DF618" i="34" a="1"/>
  <c r="DF618" i="34" s="1"/>
  <c r="DG618" i="34" a="1"/>
  <c r="DG618" i="34" s="1"/>
  <c r="CB614" i="34" a="1"/>
  <c r="CB614" i="34" s="1"/>
  <c r="CC614" i="34" a="1"/>
  <c r="CC614" i="34" s="1"/>
  <c r="CT613" i="34" a="1"/>
  <c r="CT613" i="34" s="1"/>
  <c r="CU613" i="34" a="1"/>
  <c r="CU613" i="34" s="1"/>
  <c r="CU610" i="34" a="1"/>
  <c r="CU610" i="34" s="1"/>
  <c r="DA606" i="34" a="1"/>
  <c r="DA606" i="34" s="1"/>
  <c r="DX601" i="34" a="1"/>
  <c r="DX601" i="34" s="1"/>
  <c r="DY601" i="34" a="1"/>
  <c r="DY601" i="34" s="1"/>
  <c r="DY594" i="34" a="1"/>
  <c r="DY594" i="34" s="1"/>
  <c r="DX594" i="34" a="1"/>
  <c r="DX594" i="34" s="1"/>
  <c r="CT594" i="34" a="1"/>
  <c r="CT594" i="34" s="1"/>
  <c r="CU594" i="34" a="1"/>
  <c r="CU594" i="34" s="1"/>
  <c r="CT580" i="34" a="1"/>
  <c r="CT580" i="34" s="1"/>
  <c r="CU580" i="34" a="1"/>
  <c r="CU580" i="34" s="1"/>
  <c r="DS557" i="34" a="1"/>
  <c r="DS557" i="34" s="1"/>
  <c r="DM627" i="34" a="1"/>
  <c r="DM627" i="34" s="1"/>
  <c r="DM625" i="34" a="1"/>
  <c r="DM625" i="34" s="1"/>
  <c r="ED624" i="34" a="1"/>
  <c r="ED624" i="34" s="1"/>
  <c r="DX622" i="34" a="1"/>
  <c r="DX622" i="34" s="1"/>
  <c r="DX615" i="34" a="1"/>
  <c r="DX615" i="34" s="1"/>
  <c r="DY614" i="34" a="1"/>
  <c r="DY614" i="34" s="1"/>
  <c r="DX603" i="34" a="1"/>
  <c r="DX603" i="34" s="1"/>
  <c r="DY603" i="34" a="1"/>
  <c r="DY603" i="34" s="1"/>
  <c r="DR601" i="34" a="1"/>
  <c r="DR601" i="34" s="1"/>
  <c r="CB600" i="34" a="1"/>
  <c r="CB600" i="34" s="1"/>
  <c r="CC600" i="34" a="1"/>
  <c r="CC600" i="34" s="1"/>
  <c r="DY598" i="34" a="1"/>
  <c r="DY598" i="34" s="1"/>
  <c r="EE592" i="34" a="1"/>
  <c r="EE592" i="34" s="1"/>
  <c r="ED592" i="34" a="1"/>
  <c r="ED592" i="34" s="1"/>
  <c r="BW591" i="34" a="1"/>
  <c r="BW591" i="34" s="1"/>
  <c r="BV591" i="34" a="1"/>
  <c r="BV591" i="34" s="1"/>
  <c r="DR572" i="34" a="1"/>
  <c r="DR572" i="34" s="1"/>
  <c r="DS572" i="34" a="1"/>
  <c r="DS572" i="34" s="1"/>
  <c r="DM567" i="34" a="1"/>
  <c r="DM567" i="34" s="1"/>
  <c r="DL567" i="34" a="1"/>
  <c r="DL567" i="34" s="1"/>
  <c r="DL563" i="34" a="1"/>
  <c r="DL563" i="34" s="1"/>
  <c r="DM563" i="34" a="1"/>
  <c r="DM563" i="34" s="1"/>
  <c r="CB540" i="34" a="1"/>
  <c r="CB540" i="34" s="1"/>
  <c r="CC540" i="34" a="1"/>
  <c r="CC540" i="34" s="1"/>
  <c r="CN619" i="34" a="1"/>
  <c r="CN619" i="34" s="1"/>
  <c r="CO619" i="34" a="1"/>
  <c r="CO619" i="34" s="1"/>
  <c r="BV614" i="34" a="1"/>
  <c r="BV614" i="34" s="1"/>
  <c r="BW614" i="34" a="1"/>
  <c r="BW614" i="34" s="1"/>
  <c r="CN613" i="34" a="1"/>
  <c r="CN613" i="34" s="1"/>
  <c r="DR608" i="34" a="1"/>
  <c r="DR608" i="34" s="1"/>
  <c r="DR605" i="34" a="1"/>
  <c r="DR605" i="34" s="1"/>
  <c r="DS605" i="34" a="1"/>
  <c r="DS605" i="34" s="1"/>
  <c r="DG600" i="34" a="1"/>
  <c r="DG600" i="34" s="1"/>
  <c r="DF600" i="34" a="1"/>
  <c r="DF600" i="34" s="1"/>
  <c r="CZ597" i="34" a="1"/>
  <c r="CZ597" i="34" s="1"/>
  <c r="DA597" i="34" a="1"/>
  <c r="DA597" i="34" s="1"/>
  <c r="DA586" i="34" a="1"/>
  <c r="DA586" i="34" s="1"/>
  <c r="CZ586" i="34" a="1"/>
  <c r="CZ586" i="34" s="1"/>
  <c r="CN580" i="34" a="1"/>
  <c r="CN580" i="34" s="1"/>
  <c r="CO580" i="34" a="1"/>
  <c r="CO580" i="34" s="1"/>
  <c r="CT559" i="34" a="1"/>
  <c r="CT559" i="34" s="1"/>
  <c r="CU559" i="34" a="1"/>
  <c r="CU559" i="34" s="1"/>
  <c r="DL616" i="34" a="1"/>
  <c r="DL616" i="34" s="1"/>
  <c r="DM616" i="34" a="1"/>
  <c r="DM616" i="34" s="1"/>
  <c r="CH612" i="34" a="1"/>
  <c r="CH612" i="34" s="1"/>
  <c r="CI612" i="34" a="1"/>
  <c r="CI612" i="34" s="1"/>
  <c r="CZ611" i="34" a="1"/>
  <c r="CZ611" i="34" s="1"/>
  <c r="DA611" i="34" a="1"/>
  <c r="DA611" i="34" s="1"/>
  <c r="DR603" i="34" a="1"/>
  <c r="DR603" i="34" s="1"/>
  <c r="DS603" i="34" a="1"/>
  <c r="DS603" i="34" s="1"/>
  <c r="BW596" i="34" a="1"/>
  <c r="BW596" i="34" s="1"/>
  <c r="CU593" i="34" a="1"/>
  <c r="CU593" i="34" s="1"/>
  <c r="CC589" i="34" a="1"/>
  <c r="CC589" i="34" s="1"/>
  <c r="CB589" i="34" a="1"/>
  <c r="CB589" i="34" s="1"/>
  <c r="BV586" i="34" a="1"/>
  <c r="BV586" i="34" s="1"/>
  <c r="BW586" i="34" a="1"/>
  <c r="BW586" i="34" s="1"/>
  <c r="CT583" i="34" a="1"/>
  <c r="CT583" i="34" s="1"/>
  <c r="CU583" i="34" a="1"/>
  <c r="CU583" i="34" s="1"/>
  <c r="DS580" i="34" a="1"/>
  <c r="DS580" i="34" s="1"/>
  <c r="DR580" i="34" a="1"/>
  <c r="DR580" i="34" s="1"/>
  <c r="DA577" i="34" a="1"/>
  <c r="DA577" i="34" s="1"/>
  <c r="CZ577" i="34" a="1"/>
  <c r="CZ577" i="34" s="1"/>
  <c r="CT564" i="34" a="1"/>
  <c r="CT564" i="34" s="1"/>
  <c r="CU564" i="34" a="1"/>
  <c r="CU564" i="34" s="1"/>
  <c r="DG623" i="34" a="1"/>
  <c r="DG623" i="34" s="1"/>
  <c r="DX621" i="34" a="1"/>
  <c r="DX621" i="34" s="1"/>
  <c r="CT621" i="34" a="1"/>
  <c r="CT621" i="34" s="1"/>
  <c r="BW621" i="34" a="1"/>
  <c r="BW621" i="34" s="1"/>
  <c r="DA618" i="34" a="1"/>
  <c r="DA618" i="34" s="1"/>
  <c r="EE612" i="34" a="1"/>
  <c r="EE612" i="34" s="1"/>
  <c r="DL607" i="34" a="1"/>
  <c r="DL607" i="34" s="1"/>
  <c r="DM607" i="34" a="1"/>
  <c r="DM607" i="34" s="1"/>
  <c r="DL605" i="34" a="1"/>
  <c r="DL605" i="34" s="1"/>
  <c r="DM605" i="34" a="1"/>
  <c r="DM605" i="34" s="1"/>
  <c r="CZ604" i="34" a="1"/>
  <c r="CZ604" i="34" s="1"/>
  <c r="DA604" i="34" a="1"/>
  <c r="DA604" i="34" s="1"/>
  <c r="DL603" i="34" a="1"/>
  <c r="DL603" i="34" s="1"/>
  <c r="DF602" i="34" a="1"/>
  <c r="DF602" i="34" s="1"/>
  <c r="DG602" i="34" a="1"/>
  <c r="DG602" i="34" s="1"/>
  <c r="BV600" i="34" a="1"/>
  <c r="BV600" i="34" s="1"/>
  <c r="BW600" i="34" a="1"/>
  <c r="BW600" i="34" s="1"/>
  <c r="DA591" i="34" a="1"/>
  <c r="DA591" i="34" s="1"/>
  <c r="DG589" i="34" a="1"/>
  <c r="DG589" i="34" s="1"/>
  <c r="CT586" i="34" a="1"/>
  <c r="CT586" i="34" s="1"/>
  <c r="CU586" i="34" a="1"/>
  <c r="CU586" i="34" s="1"/>
  <c r="CU574" i="34" a="1"/>
  <c r="CU574" i="34" s="1"/>
  <c r="CT574" i="34" a="1"/>
  <c r="CT574" i="34" s="1"/>
  <c r="ED626" i="34" a="1"/>
  <c r="ED626" i="34" s="1"/>
  <c r="EE626" i="34" a="1"/>
  <c r="EE626" i="34" s="1"/>
  <c r="CB612" i="34" a="1"/>
  <c r="CB612" i="34" s="1"/>
  <c r="CC612" i="34" a="1"/>
  <c r="CC612" i="34" s="1"/>
  <c r="CT611" i="34" a="1"/>
  <c r="CT611" i="34" s="1"/>
  <c r="CU611" i="34" a="1"/>
  <c r="CU611" i="34" s="1"/>
  <c r="CT606" i="34" a="1"/>
  <c r="CT606" i="34" s="1"/>
  <c r="CU606" i="34" a="1"/>
  <c r="CU606" i="34" s="1"/>
  <c r="CU579" i="34" a="1"/>
  <c r="CU579" i="34" s="1"/>
  <c r="CT579" i="34" a="1"/>
  <c r="CT579" i="34" s="1"/>
  <c r="CU576" i="34" a="1"/>
  <c r="CU576" i="34" s="1"/>
  <c r="CT576" i="34" a="1"/>
  <c r="CT576" i="34" s="1"/>
  <c r="CC649" i="34" a="1"/>
  <c r="CC649" i="34" s="1"/>
  <c r="CI647" i="34" a="1"/>
  <c r="CI647" i="34" s="1"/>
  <c r="DA646" i="34" a="1"/>
  <c r="DA646" i="34" s="1"/>
  <c r="CO645" i="34" a="1"/>
  <c r="CO645" i="34" s="1"/>
  <c r="DG644" i="34" a="1"/>
  <c r="DG644" i="34" s="1"/>
  <c r="DM642" i="34" a="1"/>
  <c r="DM642" i="34" s="1"/>
  <c r="DS640" i="34" a="1"/>
  <c r="DS640" i="34" s="1"/>
  <c r="DY638" i="34" a="1"/>
  <c r="DY638" i="34" s="1"/>
  <c r="EE636" i="34" a="1"/>
  <c r="EE636" i="34" s="1"/>
  <c r="BW635" i="34" a="1"/>
  <c r="BW635" i="34" s="1"/>
  <c r="CC633" i="34" a="1"/>
  <c r="CC633" i="34" s="1"/>
  <c r="CI631" i="34" a="1"/>
  <c r="CI631" i="34" s="1"/>
  <c r="DA630" i="34" a="1"/>
  <c r="DA630" i="34" s="1"/>
  <c r="CO629" i="34" a="1"/>
  <c r="CO629" i="34" s="1"/>
  <c r="DG628" i="34" a="1"/>
  <c r="DG628" i="34" s="1"/>
  <c r="DY627" i="34" a="1"/>
  <c r="DY627" i="34" s="1"/>
  <c r="CI624" i="34" a="1"/>
  <c r="CI624" i="34" s="1"/>
  <c r="CI619" i="34" a="1"/>
  <c r="CI619" i="34" s="1"/>
  <c r="DS618" i="34" a="1"/>
  <c r="DS618" i="34" s="1"/>
  <c r="DR614" i="34" a="1"/>
  <c r="DR614" i="34" s="1"/>
  <c r="DS614" i="34" a="1"/>
  <c r="DS614" i="34" s="1"/>
  <c r="EE613" i="34" a="1"/>
  <c r="EE613" i="34" s="1"/>
  <c r="DF607" i="34" a="1"/>
  <c r="DF607" i="34" s="1"/>
  <c r="DG607" i="34" a="1"/>
  <c r="DG607" i="34" s="1"/>
  <c r="CH598" i="34" a="1"/>
  <c r="CH598" i="34" s="1"/>
  <c r="CI598" i="34" a="1"/>
  <c r="CI598" i="34" s="1"/>
  <c r="CT591" i="34" a="1"/>
  <c r="CT591" i="34" s="1"/>
  <c r="CU591" i="34" a="1"/>
  <c r="CU591" i="34" s="1"/>
  <c r="DG584" i="34" a="1"/>
  <c r="DG584" i="34" s="1"/>
  <c r="DF584" i="34" a="1"/>
  <c r="DF584" i="34" s="1"/>
  <c r="EE578" i="34" a="1"/>
  <c r="EE578" i="34" s="1"/>
  <c r="ED578" i="34" a="1"/>
  <c r="ED578" i="34" s="1"/>
  <c r="CI575" i="34" a="1"/>
  <c r="CI575" i="34" s="1"/>
  <c r="CH575" i="34" a="1"/>
  <c r="CH575" i="34" s="1"/>
  <c r="DS571" i="34" a="1"/>
  <c r="DS571" i="34" s="1"/>
  <c r="DR571" i="34" a="1"/>
  <c r="DR571" i="34" s="1"/>
  <c r="DA651" i="34" a="1"/>
  <c r="DA651" i="34" s="1"/>
  <c r="CO650" i="34" a="1"/>
  <c r="CO650" i="34" s="1"/>
  <c r="DG649" i="34" a="1"/>
  <c r="DG649" i="34" s="1"/>
  <c r="DM647" i="34" a="1"/>
  <c r="DM647" i="34" s="1"/>
  <c r="DS645" i="34" a="1"/>
  <c r="DS645" i="34" s="1"/>
  <c r="DY643" i="34" a="1"/>
  <c r="DY643" i="34" s="1"/>
  <c r="EE641" i="34" a="1"/>
  <c r="EE641" i="34" s="1"/>
  <c r="BW640" i="34" a="1"/>
  <c r="BW640" i="34" s="1"/>
  <c r="CC638" i="34" a="1"/>
  <c r="CC638" i="34" s="1"/>
  <c r="CU637" i="34" a="1"/>
  <c r="CU637" i="34" s="1"/>
  <c r="CI636" i="34" a="1"/>
  <c r="CI636" i="34" s="1"/>
  <c r="DA635" i="34" a="1"/>
  <c r="DA635" i="34" s="1"/>
  <c r="CO634" i="34" a="1"/>
  <c r="CO634" i="34" s="1"/>
  <c r="DG633" i="34" a="1"/>
  <c r="DG633" i="34" s="1"/>
  <c r="DM631" i="34" a="1"/>
  <c r="DM631" i="34" s="1"/>
  <c r="DS629" i="34" a="1"/>
  <c r="DS629" i="34" s="1"/>
  <c r="DF627" i="34" a="1"/>
  <c r="DF627" i="34" s="1"/>
  <c r="DX626" i="34" a="1"/>
  <c r="DX626" i="34" s="1"/>
  <c r="DG625" i="34" a="1"/>
  <c r="DG625" i="34" s="1"/>
  <c r="DA624" i="34" a="1"/>
  <c r="DA624" i="34" s="1"/>
  <c r="DY623" i="34" a="1"/>
  <c r="DY623" i="34" s="1"/>
  <c r="DR621" i="34" a="1"/>
  <c r="DR621" i="34" s="1"/>
  <c r="DS621" i="34" a="1"/>
  <c r="DS621" i="34" s="1"/>
  <c r="EE620" i="34" a="1"/>
  <c r="EE620" i="34" s="1"/>
  <c r="ED619" i="34" a="1"/>
  <c r="ED619" i="34" s="1"/>
  <c r="CU618" i="34" a="1"/>
  <c r="CU618" i="34" s="1"/>
  <c r="BW618" i="34" a="1"/>
  <c r="BW618" i="34" s="1"/>
  <c r="CN617" i="34" a="1"/>
  <c r="CN617" i="34" s="1"/>
  <c r="DG616" i="34" a="1"/>
  <c r="DG616" i="34" s="1"/>
  <c r="CN610" i="34" a="1"/>
  <c r="CN610" i="34" s="1"/>
  <c r="CO610" i="34" a="1"/>
  <c r="CO610" i="34" s="1"/>
  <c r="DF609" i="34" a="1"/>
  <c r="DF609" i="34" s="1"/>
  <c r="DG609" i="34" a="1"/>
  <c r="DG609" i="34" s="1"/>
  <c r="CH605" i="34" a="1"/>
  <c r="CH605" i="34" s="1"/>
  <c r="CI605" i="34" a="1"/>
  <c r="CI605" i="34" s="1"/>
  <c r="CU604" i="34" a="1"/>
  <c r="CU604" i="34" s="1"/>
  <c r="CT604" i="34" a="1"/>
  <c r="CT604" i="34" s="1"/>
  <c r="CN603" i="34" a="1"/>
  <c r="CN603" i="34" s="1"/>
  <c r="CO603" i="34" a="1"/>
  <c r="CO603" i="34" s="1"/>
  <c r="DA602" i="34" a="1"/>
  <c r="DA602" i="34" s="1"/>
  <c r="CZ602" i="34" a="1"/>
  <c r="CZ602" i="34" s="1"/>
  <c r="CO601" i="34" a="1"/>
  <c r="CO601" i="34" s="1"/>
  <c r="CN601" i="34" a="1"/>
  <c r="CN601" i="34" s="1"/>
  <c r="CT600" i="34" a="1"/>
  <c r="CT600" i="34" s="1"/>
  <c r="CU600" i="34" a="1"/>
  <c r="CU600" i="34" s="1"/>
  <c r="DM598" i="34" a="1"/>
  <c r="DM598" i="34" s="1"/>
  <c r="DL598" i="34" a="1"/>
  <c r="DL598" i="34" s="1"/>
  <c r="DF595" i="34" a="1"/>
  <c r="DF595" i="34" s="1"/>
  <c r="DG595" i="34" a="1"/>
  <c r="DG595" i="34" s="1"/>
  <c r="CT590" i="34" a="1"/>
  <c r="CT590" i="34" s="1"/>
  <c r="CU590" i="34" a="1"/>
  <c r="CU590" i="34" s="1"/>
  <c r="CB584" i="34" a="1"/>
  <c r="CB584" i="34" s="1"/>
  <c r="CC584" i="34" a="1"/>
  <c r="CC584" i="34" s="1"/>
  <c r="DA640" i="34" a="1"/>
  <c r="DA640" i="34" s="1"/>
  <c r="DG638" i="34" a="1"/>
  <c r="DG638" i="34" s="1"/>
  <c r="DM636" i="34" a="1"/>
  <c r="DM636" i="34" s="1"/>
  <c r="DS634" i="34" a="1"/>
  <c r="DS634" i="34" s="1"/>
  <c r="DY632" i="34" a="1"/>
  <c r="DY632" i="34" s="1"/>
  <c r="EE630" i="34" a="1"/>
  <c r="EE630" i="34" s="1"/>
  <c r="CI626" i="34" a="1"/>
  <c r="CI626" i="34" s="1"/>
  <c r="DY625" i="34" a="1"/>
  <c r="DY625" i="34" s="1"/>
  <c r="CZ625" i="34" a="1"/>
  <c r="CZ625" i="34" s="1"/>
  <c r="CB623" i="34" a="1"/>
  <c r="CB623" i="34" s="1"/>
  <c r="CC623" i="34" a="1"/>
  <c r="CC623" i="34" s="1"/>
  <c r="CO621" i="34" a="1"/>
  <c r="CO621" i="34" s="1"/>
  <c r="CC616" i="34" a="1"/>
  <c r="CC616" i="34" s="1"/>
  <c r="DL614" i="34" a="1"/>
  <c r="DL614" i="34" s="1"/>
  <c r="CN608" i="34" a="1"/>
  <c r="CN608" i="34" s="1"/>
  <c r="CO608" i="34" a="1"/>
  <c r="CO608" i="34" s="1"/>
  <c r="CB607" i="34" a="1"/>
  <c r="CB607" i="34" s="1"/>
  <c r="CC607" i="34" a="1"/>
  <c r="CC607" i="34" s="1"/>
  <c r="CT602" i="34" a="1"/>
  <c r="CT602" i="34" s="1"/>
  <c r="CH601" i="34" a="1"/>
  <c r="CH601" i="34" s="1"/>
  <c r="CC594" i="34" a="1"/>
  <c r="CC594" i="34" s="1"/>
  <c r="CB565" i="34" a="1"/>
  <c r="CB565" i="34" s="1"/>
  <c r="CC565" i="34" a="1"/>
  <c r="CC565" i="34" s="1"/>
  <c r="CZ627" i="34" a="1"/>
  <c r="CZ627" i="34" s="1"/>
  <c r="DR624" i="34" a="1"/>
  <c r="DR624" i="34" s="1"/>
  <c r="DL621" i="34" a="1"/>
  <c r="DL621" i="34" s="1"/>
  <c r="DM621" i="34" a="1"/>
  <c r="DM621" i="34" s="1"/>
  <c r="DX612" i="34" a="1"/>
  <c r="DX612" i="34" s="1"/>
  <c r="DY612" i="34" a="1"/>
  <c r="DY612" i="34" s="1"/>
  <c r="CH610" i="34" a="1"/>
  <c r="CH610" i="34" s="1"/>
  <c r="CI610" i="34" a="1"/>
  <c r="CI610" i="34" s="1"/>
  <c r="CZ609" i="34" a="1"/>
  <c r="CZ609" i="34" s="1"/>
  <c r="DA609" i="34" a="1"/>
  <c r="DA609" i="34" s="1"/>
  <c r="CH608" i="34" a="1"/>
  <c r="CH608" i="34" s="1"/>
  <c r="BW602" i="34" a="1"/>
  <c r="BW602" i="34" s="1"/>
  <c r="CT596" i="34" a="1"/>
  <c r="CT596" i="34" s="1"/>
  <c r="CU596" i="34" a="1"/>
  <c r="CU596" i="34" s="1"/>
  <c r="CI587" i="34" a="1"/>
  <c r="CI587" i="34" s="1"/>
  <c r="CH587" i="34" a="1"/>
  <c r="CH587" i="34" s="1"/>
  <c r="CZ581" i="34" a="1"/>
  <c r="CZ581" i="34" s="1"/>
  <c r="DA581" i="34" a="1"/>
  <c r="DA581" i="34" s="1"/>
  <c r="CB572" i="34" a="1"/>
  <c r="CB572" i="34" s="1"/>
  <c r="CC572" i="34" a="1"/>
  <c r="CC572" i="34" s="1"/>
  <c r="CT530" i="34" a="1"/>
  <c r="CT530" i="34" s="1"/>
  <c r="CU530" i="34" a="1"/>
  <c r="CU530" i="34" s="1"/>
  <c r="DX619" i="34" a="1"/>
  <c r="DX619" i="34" s="1"/>
  <c r="DY619" i="34" a="1"/>
  <c r="DY619" i="34" s="1"/>
  <c r="BV619" i="34" a="1"/>
  <c r="BV619" i="34" s="1"/>
  <c r="CC605" i="34" a="1"/>
  <c r="CC605" i="34" s="1"/>
  <c r="CB605" i="34" a="1"/>
  <c r="CB605" i="34" s="1"/>
  <c r="CI603" i="34" a="1"/>
  <c r="CI603" i="34" s="1"/>
  <c r="CH603" i="34" a="1"/>
  <c r="CH603" i="34" s="1"/>
  <c r="CH554" i="34" a="1"/>
  <c r="CH554" i="34" s="1"/>
  <c r="CI554" i="34" a="1"/>
  <c r="CI554" i="34" s="1"/>
  <c r="CZ620" i="34" a="1"/>
  <c r="CZ620" i="34" s="1"/>
  <c r="DA620" i="34" a="1"/>
  <c r="DA620" i="34" s="1"/>
  <c r="ED610" i="34" a="1"/>
  <c r="ED610" i="34" s="1"/>
  <c r="EE610" i="34" a="1"/>
  <c r="EE610" i="34" s="1"/>
  <c r="BV609" i="34" a="1"/>
  <c r="BV609" i="34" s="1"/>
  <c r="BW609" i="34" a="1"/>
  <c r="BW609" i="34" s="1"/>
  <c r="BW607" i="34" a="1"/>
  <c r="BW607" i="34" s="1"/>
  <c r="BV607" i="34" a="1"/>
  <c r="BV607" i="34" s="1"/>
  <c r="CN596" i="34" a="1"/>
  <c r="CN596" i="34" s="1"/>
  <c r="CO596" i="34" a="1"/>
  <c r="CO596" i="34" s="1"/>
  <c r="DL593" i="34" a="1"/>
  <c r="DL593" i="34" s="1"/>
  <c r="DM593" i="34" a="1"/>
  <c r="DM593" i="34" s="1"/>
  <c r="CT589" i="34" a="1"/>
  <c r="CT589" i="34" s="1"/>
  <c r="CU589" i="34" a="1"/>
  <c r="CU589" i="34" s="1"/>
  <c r="CU588" i="34" a="1"/>
  <c r="CU588" i="34" s="1"/>
  <c r="CT588" i="34" a="1"/>
  <c r="CT588" i="34" s="1"/>
  <c r="CT585" i="34" a="1"/>
  <c r="CT585" i="34" s="1"/>
  <c r="CU585" i="34" a="1"/>
  <c r="CU585" i="34" s="1"/>
  <c r="CU573" i="34" a="1"/>
  <c r="CU573" i="34" s="1"/>
  <c r="DX570" i="34" a="1"/>
  <c r="DX570" i="34" s="1"/>
  <c r="DY570" i="34" a="1"/>
  <c r="DY570" i="34" s="1"/>
  <c r="CH568" i="34" a="1"/>
  <c r="CH568" i="34" s="1"/>
  <c r="CI568" i="34" a="1"/>
  <c r="CI568" i="34" s="1"/>
  <c r="DS627" i="34" a="1"/>
  <c r="DS627" i="34" s="1"/>
  <c r="CB625" i="34" a="1"/>
  <c r="CB625" i="34" s="1"/>
  <c r="BW623" i="34" a="1"/>
  <c r="BW623" i="34" s="1"/>
  <c r="DR619" i="34" a="1"/>
  <c r="DR619" i="34" s="1"/>
  <c r="DS619" i="34" a="1"/>
  <c r="DS619" i="34" s="1"/>
  <c r="CU619" i="34" a="1"/>
  <c r="CU619" i="34" s="1"/>
  <c r="ED617" i="34" a="1"/>
  <c r="ED617" i="34" s="1"/>
  <c r="EE617" i="34" a="1"/>
  <c r="EE617" i="34" s="1"/>
  <c r="CI617" i="34" a="1"/>
  <c r="CI617" i="34" s="1"/>
  <c r="EE614" i="34" a="1"/>
  <c r="EE614" i="34" s="1"/>
  <c r="CU609" i="34" a="1"/>
  <c r="CU609" i="34" s="1"/>
  <c r="DS596" i="34" a="1"/>
  <c r="DS596" i="34" s="1"/>
  <c r="DR596" i="34" a="1"/>
  <c r="DR596" i="34" s="1"/>
  <c r="DR591" i="34" a="1"/>
  <c r="DR591" i="34" s="1"/>
  <c r="DS591" i="34" a="1"/>
  <c r="DS591" i="34" s="1"/>
  <c r="DX589" i="34" a="1"/>
  <c r="DX589" i="34" s="1"/>
  <c r="DY589" i="34" a="1"/>
  <c r="DY589" i="34" s="1"/>
  <c r="DY569" i="34" a="1"/>
  <c r="DY569" i="34" s="1"/>
  <c r="DX569" i="34" a="1"/>
  <c r="DX569" i="34" s="1"/>
  <c r="CT539" i="34" a="1"/>
  <c r="CT539" i="34" s="1"/>
  <c r="CU539" i="34" a="1"/>
  <c r="CU539" i="34" s="1"/>
  <c r="CH570" i="34" a="1"/>
  <c r="CH570" i="34" s="1"/>
  <c r="CI570" i="34" a="1"/>
  <c r="CI570" i="34" s="1"/>
  <c r="DM554" i="34" a="1"/>
  <c r="DM554" i="34" s="1"/>
  <c r="DL554" i="34" a="1"/>
  <c r="DL554" i="34" s="1"/>
  <c r="CZ553" i="34" a="1"/>
  <c r="CZ553" i="34" s="1"/>
  <c r="DA553" i="34" a="1"/>
  <c r="DA553" i="34" s="1"/>
  <c r="EE548" i="34" a="1"/>
  <c r="EE548" i="34" s="1"/>
  <c r="ED548" i="34" a="1"/>
  <c r="ED548" i="34" s="1"/>
  <c r="CT546" i="34" a="1"/>
  <c r="CT546" i="34" s="1"/>
  <c r="CU546" i="34" a="1"/>
  <c r="CU546" i="34" s="1"/>
  <c r="CC545" i="34" a="1"/>
  <c r="CC545" i="34" s="1"/>
  <c r="CB545" i="34" a="1"/>
  <c r="CB545" i="34" s="1"/>
  <c r="DG540" i="34" a="1"/>
  <c r="DG540" i="34" s="1"/>
  <c r="DF540" i="34" a="1"/>
  <c r="DF540" i="34" s="1"/>
  <c r="CH526" i="34" a="1"/>
  <c r="CH526" i="34" s="1"/>
  <c r="CI526" i="34" a="1"/>
  <c r="CI526" i="34" s="1"/>
  <c r="CC598" i="34" a="1"/>
  <c r="CC598" i="34" s="1"/>
  <c r="CU597" i="34" a="1"/>
  <c r="CU597" i="34" s="1"/>
  <c r="CI596" i="34" a="1"/>
  <c r="CI596" i="34" s="1"/>
  <c r="DA595" i="34" a="1"/>
  <c r="DA595" i="34" s="1"/>
  <c r="CO594" i="34" a="1"/>
  <c r="CO594" i="34" s="1"/>
  <c r="DG593" i="34" a="1"/>
  <c r="DG593" i="34" s="1"/>
  <c r="DM591" i="34" a="1"/>
  <c r="DM591" i="34" s="1"/>
  <c r="DS589" i="34" a="1"/>
  <c r="DS589" i="34" s="1"/>
  <c r="DY587" i="34" a="1"/>
  <c r="DY587" i="34" s="1"/>
  <c r="EE585" i="34" a="1"/>
  <c r="EE585" i="34" s="1"/>
  <c r="BW584" i="34" a="1"/>
  <c r="BW584" i="34" s="1"/>
  <c r="CC582" i="34" a="1"/>
  <c r="CC582" i="34" s="1"/>
  <c r="CU581" i="34" a="1"/>
  <c r="CU581" i="34" s="1"/>
  <c r="CI580" i="34" a="1"/>
  <c r="CI580" i="34" s="1"/>
  <c r="DY578" i="34" a="1"/>
  <c r="DY578" i="34" s="1"/>
  <c r="DG578" i="34" a="1"/>
  <c r="DG578" i="34" s="1"/>
  <c r="ED573" i="34" a="1"/>
  <c r="ED573" i="34" s="1"/>
  <c r="DS570" i="34" a="1"/>
  <c r="DS570" i="34" s="1"/>
  <c r="CB570" i="34" a="1"/>
  <c r="CB570" i="34" s="1"/>
  <c r="CC570" i="34" a="1"/>
  <c r="CC570" i="34" s="1"/>
  <c r="CI567" i="34" a="1"/>
  <c r="CI567" i="34" s="1"/>
  <c r="DM559" i="34" a="1"/>
  <c r="DM559" i="34" s="1"/>
  <c r="CO546" i="34" a="1"/>
  <c r="CO546" i="34" s="1"/>
  <c r="DM522" i="34" a="1"/>
  <c r="DM522" i="34" s="1"/>
  <c r="DF514" i="34" a="1"/>
  <c r="DF514" i="34" s="1"/>
  <c r="DG514" i="34" a="1"/>
  <c r="DG514" i="34" s="1"/>
  <c r="DY592" i="34" a="1"/>
  <c r="DY592" i="34" s="1"/>
  <c r="CN578" i="34" a="1"/>
  <c r="CN578" i="34" s="1"/>
  <c r="CO576" i="34" a="1"/>
  <c r="CO576" i="34" s="1"/>
  <c r="CZ574" i="34" a="1"/>
  <c r="CZ574" i="34" s="1"/>
  <c r="BV572" i="34" a="1"/>
  <c r="BV572" i="34" s="1"/>
  <c r="BW572" i="34" a="1"/>
  <c r="BW572" i="34" s="1"/>
  <c r="DF567" i="34" a="1"/>
  <c r="DF567" i="34" s="1"/>
  <c r="DG567" i="34" a="1"/>
  <c r="DG567" i="34" s="1"/>
  <c r="DA566" i="34" a="1"/>
  <c r="DA566" i="34" s="1"/>
  <c r="CT562" i="34" a="1"/>
  <c r="CT562" i="34" s="1"/>
  <c r="CU562" i="34" a="1"/>
  <c r="CU562" i="34" s="1"/>
  <c r="CB556" i="34" a="1"/>
  <c r="CB556" i="34" s="1"/>
  <c r="CC556" i="34" a="1"/>
  <c r="CC556" i="34" s="1"/>
  <c r="CC550" i="34" a="1"/>
  <c r="CC550" i="34" s="1"/>
  <c r="CT545" i="34" a="1"/>
  <c r="CT545" i="34" s="1"/>
  <c r="CU545" i="34" a="1"/>
  <c r="CU545" i="34" s="1"/>
  <c r="CO541" i="34" a="1"/>
  <c r="CO541" i="34" s="1"/>
  <c r="CN541" i="34" a="1"/>
  <c r="CN541" i="34" s="1"/>
  <c r="CT538" i="34" a="1"/>
  <c r="CT538" i="34" s="1"/>
  <c r="DY526" i="34" a="1"/>
  <c r="DY526" i="34" s="1"/>
  <c r="DX526" i="34" a="1"/>
  <c r="DX526" i="34" s="1"/>
  <c r="CB519" i="34" a="1"/>
  <c r="CB519" i="34" s="1"/>
  <c r="CC519" i="34" a="1"/>
  <c r="CC519" i="34" s="1"/>
  <c r="CT508" i="34" a="1"/>
  <c r="CT508" i="34" s="1"/>
  <c r="CU508" i="34" a="1"/>
  <c r="CU508" i="34" s="1"/>
  <c r="CZ569" i="34" a="1"/>
  <c r="CZ569" i="34" s="1"/>
  <c r="DA569" i="34" a="1"/>
  <c r="DA569" i="34" s="1"/>
  <c r="DY566" i="34" a="1"/>
  <c r="DY566" i="34" s="1"/>
  <c r="DX566" i="34" a="1"/>
  <c r="DX566" i="34" s="1"/>
  <c r="CC566" i="34" a="1"/>
  <c r="CC566" i="34" s="1"/>
  <c r="DG556" i="34" a="1"/>
  <c r="DG556" i="34" s="1"/>
  <c r="DF556" i="34" a="1"/>
  <c r="DF556" i="34" s="1"/>
  <c r="DX545" i="34" a="1"/>
  <c r="DX545" i="34" s="1"/>
  <c r="DY545" i="34" a="1"/>
  <c r="DY545" i="34" s="1"/>
  <c r="DA542" i="34" a="1"/>
  <c r="DA542" i="34" s="1"/>
  <c r="CZ542" i="34" a="1"/>
  <c r="CZ542" i="34" s="1"/>
  <c r="CZ528" i="34" a="1"/>
  <c r="CZ528" i="34" s="1"/>
  <c r="DA528" i="34" a="1"/>
  <c r="DA528" i="34" s="1"/>
  <c r="CT571" i="34" a="1"/>
  <c r="CT571" i="34" s="1"/>
  <c r="CU571" i="34" a="1"/>
  <c r="CU571" i="34" s="1"/>
  <c r="CU560" i="34" a="1"/>
  <c r="CU560" i="34" s="1"/>
  <c r="CT560" i="34" a="1"/>
  <c r="CT560" i="34" s="1"/>
  <c r="DA558" i="34" a="1"/>
  <c r="DA558" i="34" s="1"/>
  <c r="CZ558" i="34" a="1"/>
  <c r="CZ558" i="34" s="1"/>
  <c r="DL549" i="34" a="1"/>
  <c r="DL549" i="34" s="1"/>
  <c r="DM549" i="34" a="1"/>
  <c r="DM549" i="34" s="1"/>
  <c r="BV542" i="34" a="1"/>
  <c r="BV542" i="34" s="1"/>
  <c r="BW542" i="34" a="1"/>
  <c r="BW542" i="34" s="1"/>
  <c r="CC577" i="34" a="1"/>
  <c r="CC577" i="34" s="1"/>
  <c r="CO573" i="34" a="1"/>
  <c r="CO573" i="34" s="1"/>
  <c r="CZ567" i="34" a="1"/>
  <c r="CZ567" i="34" s="1"/>
  <c r="DA567" i="34" a="1"/>
  <c r="DA567" i="34" s="1"/>
  <c r="CO562" i="34" a="1"/>
  <c r="CO562" i="34" s="1"/>
  <c r="CT542" i="34" a="1"/>
  <c r="CT542" i="34" s="1"/>
  <c r="CU542" i="34" a="1"/>
  <c r="CU542" i="34" s="1"/>
  <c r="CZ537" i="34" a="1"/>
  <c r="CZ537" i="34" s="1"/>
  <c r="DA537" i="34" a="1"/>
  <c r="DA537" i="34" s="1"/>
  <c r="DM600" i="34" a="1"/>
  <c r="DM600" i="34" s="1"/>
  <c r="DS598" i="34" a="1"/>
  <c r="DS598" i="34" s="1"/>
  <c r="DY596" i="34" a="1"/>
  <c r="DY596" i="34" s="1"/>
  <c r="EE594" i="34" a="1"/>
  <c r="EE594" i="34" s="1"/>
  <c r="BW593" i="34" a="1"/>
  <c r="BW593" i="34" s="1"/>
  <c r="CC591" i="34" a="1"/>
  <c r="CC591" i="34" s="1"/>
  <c r="CI589" i="34" a="1"/>
  <c r="CI589" i="34" s="1"/>
  <c r="DA588" i="34" a="1"/>
  <c r="DA588" i="34" s="1"/>
  <c r="CO587" i="34" a="1"/>
  <c r="CO587" i="34" s="1"/>
  <c r="DG586" i="34" a="1"/>
  <c r="DG586" i="34" s="1"/>
  <c r="DM584" i="34" a="1"/>
  <c r="DM584" i="34" s="1"/>
  <c r="DS582" i="34" a="1"/>
  <c r="DS582" i="34" s="1"/>
  <c r="DY580" i="34" a="1"/>
  <c r="DY580" i="34" s="1"/>
  <c r="DS578" i="34" a="1"/>
  <c r="DS578" i="34" s="1"/>
  <c r="DA578" i="34" a="1"/>
  <c r="DA578" i="34" s="1"/>
  <c r="CH578" i="34" a="1"/>
  <c r="CH578" i="34" s="1"/>
  <c r="EE577" i="34" a="1"/>
  <c r="EE577" i="34" s="1"/>
  <c r="DM575" i="34" a="1"/>
  <c r="DM575" i="34" s="1"/>
  <c r="DR574" i="34" a="1"/>
  <c r="DR574" i="34" s="1"/>
  <c r="DS574" i="34" a="1"/>
  <c r="DS574" i="34" s="1"/>
  <c r="CU568" i="34" a="1"/>
  <c r="CU568" i="34" s="1"/>
  <c r="DS566" i="34" a="1"/>
  <c r="DS566" i="34" s="1"/>
  <c r="CO565" i="34" a="1"/>
  <c r="CO565" i="34" s="1"/>
  <c r="CC561" i="34" a="1"/>
  <c r="CC561" i="34" s="1"/>
  <c r="CB561" i="34" a="1"/>
  <c r="CB561" i="34" s="1"/>
  <c r="CT558" i="34" a="1"/>
  <c r="CT558" i="34" s="1"/>
  <c r="CU558" i="34" a="1"/>
  <c r="CU558" i="34" s="1"/>
  <c r="BV558" i="34" a="1"/>
  <c r="BV558" i="34" s="1"/>
  <c r="BW558" i="34" a="1"/>
  <c r="BW558" i="34" s="1"/>
  <c r="CO557" i="34" a="1"/>
  <c r="CO557" i="34" s="1"/>
  <c r="CN557" i="34" a="1"/>
  <c r="CN557" i="34" s="1"/>
  <c r="DY550" i="34" a="1"/>
  <c r="DY550" i="34" s="1"/>
  <c r="DX550" i="34" a="1"/>
  <c r="DX550" i="34" s="1"/>
  <c r="DA547" i="34" a="1"/>
  <c r="DA547" i="34" s="1"/>
  <c r="DM543" i="34" a="1"/>
  <c r="DM543" i="34" s="1"/>
  <c r="DL536" i="34" a="1"/>
  <c r="DL536" i="34" s="1"/>
  <c r="DM536" i="34" a="1"/>
  <c r="DM536" i="34" s="1"/>
  <c r="EE599" i="34" a="1"/>
  <c r="EE599" i="34" s="1"/>
  <c r="BW598" i="34" a="1"/>
  <c r="BW598" i="34" s="1"/>
  <c r="CC596" i="34" a="1"/>
  <c r="CC596" i="34" s="1"/>
  <c r="CU595" i="34" a="1"/>
  <c r="CU595" i="34" s="1"/>
  <c r="CI594" i="34" a="1"/>
  <c r="CI594" i="34" s="1"/>
  <c r="DA593" i="34" a="1"/>
  <c r="DA593" i="34" s="1"/>
  <c r="CO592" i="34" a="1"/>
  <c r="CO592" i="34" s="1"/>
  <c r="DG591" i="34" a="1"/>
  <c r="DG591" i="34" s="1"/>
  <c r="DM589" i="34" a="1"/>
  <c r="DM589" i="34" s="1"/>
  <c r="DS587" i="34" a="1"/>
  <c r="DS587" i="34" s="1"/>
  <c r="DY585" i="34" a="1"/>
  <c r="DY585" i="34" s="1"/>
  <c r="EE583" i="34" a="1"/>
  <c r="EE583" i="34" s="1"/>
  <c r="BW582" i="34" a="1"/>
  <c r="BW582" i="34" s="1"/>
  <c r="CC580" i="34" a="1"/>
  <c r="CC580" i="34" s="1"/>
  <c r="BV577" i="34" a="1"/>
  <c r="BV577" i="34" s="1"/>
  <c r="CC574" i="34" a="1"/>
  <c r="CC574" i="34" s="1"/>
  <c r="CH573" i="34" a="1"/>
  <c r="CH573" i="34" s="1"/>
  <c r="DF572" i="34" a="1"/>
  <c r="DF572" i="34" s="1"/>
  <c r="EE564" i="34" a="1"/>
  <c r="EE564" i="34" s="1"/>
  <c r="ED564" i="34" a="1"/>
  <c r="ED564" i="34" s="1"/>
  <c r="ED559" i="34" a="1"/>
  <c r="ED559" i="34" s="1"/>
  <c r="EE559" i="34" a="1"/>
  <c r="EE559" i="34" s="1"/>
  <c r="CI559" i="34" a="1"/>
  <c r="CI559" i="34" s="1"/>
  <c r="CH559" i="34" a="1"/>
  <c r="CH559" i="34" s="1"/>
  <c r="CT556" i="34" a="1"/>
  <c r="CT556" i="34" s="1"/>
  <c r="CU556" i="34" a="1"/>
  <c r="CU556" i="34" s="1"/>
  <c r="CT534" i="34" a="1"/>
  <c r="CT534" i="34" s="1"/>
  <c r="CU534" i="34" a="1"/>
  <c r="CU534" i="34" s="1"/>
  <c r="DG459" i="34" a="1"/>
  <c r="DG459" i="34" s="1"/>
  <c r="DF459" i="34" a="1"/>
  <c r="DF459" i="34" s="1"/>
  <c r="CU452" i="34" a="1"/>
  <c r="CU452" i="34" s="1"/>
  <c r="CT452" i="34" a="1"/>
  <c r="CT452" i="34" s="1"/>
  <c r="DA598" i="34" a="1"/>
  <c r="DA598" i="34" s="1"/>
  <c r="DY590" i="34" a="1"/>
  <c r="DY590" i="34" s="1"/>
  <c r="EE588" i="34" a="1"/>
  <c r="EE588" i="34" s="1"/>
  <c r="CO577" i="34" a="1"/>
  <c r="CO577" i="34" s="1"/>
  <c r="ED575" i="34" a="1"/>
  <c r="ED575" i="34" s="1"/>
  <c r="DF575" i="34" a="1"/>
  <c r="DF575" i="34" s="1"/>
  <c r="DM574" i="34" a="1"/>
  <c r="DM574" i="34" s="1"/>
  <c r="CO571" i="34" a="1"/>
  <c r="CO571" i="34" s="1"/>
  <c r="DM570" i="34" a="1"/>
  <c r="DM570" i="34" s="1"/>
  <c r="DL568" i="34" a="1"/>
  <c r="DL568" i="34" s="1"/>
  <c r="CT566" i="34" a="1"/>
  <c r="CT566" i="34" s="1"/>
  <c r="CU566" i="34" a="1"/>
  <c r="CU566" i="34" s="1"/>
  <c r="DX564" i="34" a="1"/>
  <c r="DX564" i="34" s="1"/>
  <c r="BW563" i="34" a="1"/>
  <c r="BW563" i="34" s="1"/>
  <c r="BV563" i="34" a="1"/>
  <c r="BV563" i="34" s="1"/>
  <c r="CT554" i="34" a="1"/>
  <c r="CT554" i="34" s="1"/>
  <c r="CT550" i="34" a="1"/>
  <c r="CT550" i="34" s="1"/>
  <c r="CU550" i="34" a="1"/>
  <c r="CU550" i="34" s="1"/>
  <c r="BW547" i="34" a="1"/>
  <c r="BW547" i="34" s="1"/>
  <c r="BV547" i="34" a="1"/>
  <c r="BV547" i="34" s="1"/>
  <c r="CU544" i="34" a="1"/>
  <c r="CU544" i="34" s="1"/>
  <c r="CT544" i="34" a="1"/>
  <c r="CT544" i="34" s="1"/>
  <c r="DL565" i="34" a="1"/>
  <c r="DL565" i="34" s="1"/>
  <c r="DM565" i="34" a="1"/>
  <c r="DM565" i="34" s="1"/>
  <c r="DX561" i="34" a="1"/>
  <c r="DX561" i="34" s="1"/>
  <c r="DY561" i="34" a="1"/>
  <c r="DY561" i="34" s="1"/>
  <c r="CI543" i="34" a="1"/>
  <c r="CI543" i="34" s="1"/>
  <c r="CH543" i="34" a="1"/>
  <c r="CH543" i="34" s="1"/>
  <c r="CZ525" i="34" a="1"/>
  <c r="CZ525" i="34" s="1"/>
  <c r="CT518" i="34" a="1"/>
  <c r="CT518" i="34" s="1"/>
  <c r="CU518" i="34" a="1"/>
  <c r="CU518" i="34" s="1"/>
  <c r="DL501" i="34" a="1"/>
  <c r="DL501" i="34" s="1"/>
  <c r="DM501" i="34" a="1"/>
  <c r="DM501" i="34" s="1"/>
  <c r="CT461" i="34" a="1"/>
  <c r="CT461" i="34" s="1"/>
  <c r="CU461" i="34" a="1"/>
  <c r="CU461" i="34" s="1"/>
  <c r="BV569" i="34" a="1"/>
  <c r="BV569" i="34" s="1"/>
  <c r="BW569" i="34" a="1"/>
  <c r="BW569" i="34" s="1"/>
  <c r="CT561" i="34" a="1"/>
  <c r="CT561" i="34" s="1"/>
  <c r="CU561" i="34" a="1"/>
  <c r="CU561" i="34" s="1"/>
  <c r="DF551" i="34" a="1"/>
  <c r="DF551" i="34" s="1"/>
  <c r="DG551" i="34" a="1"/>
  <c r="DG551" i="34" s="1"/>
  <c r="DM538" i="34" a="1"/>
  <c r="DM538" i="34" s="1"/>
  <c r="DL538" i="34" a="1"/>
  <c r="DL538" i="34" s="1"/>
  <c r="CH538" i="34" a="1"/>
  <c r="CH538" i="34" s="1"/>
  <c r="CI538" i="34" a="1"/>
  <c r="CI538" i="34" s="1"/>
  <c r="CT522" i="34" a="1"/>
  <c r="CT522" i="34" s="1"/>
  <c r="CU522" i="34" a="1"/>
  <c r="CU522" i="34" s="1"/>
  <c r="DL496" i="34" a="1"/>
  <c r="DL496" i="34" s="1"/>
  <c r="DM496" i="34" a="1"/>
  <c r="DM496" i="34" s="1"/>
  <c r="BW579" i="34" a="1"/>
  <c r="BW579" i="34" s="1"/>
  <c r="EE576" i="34" a="1"/>
  <c r="EE576" i="34" s="1"/>
  <c r="DM576" i="34" a="1"/>
  <c r="DM576" i="34" s="1"/>
  <c r="DS573" i="34" a="1"/>
  <c r="DS573" i="34" s="1"/>
  <c r="ED570" i="34" a="1"/>
  <c r="ED570" i="34" s="1"/>
  <c r="EE570" i="34" a="1"/>
  <c r="EE570" i="34" s="1"/>
  <c r="DG570" i="34" a="1"/>
  <c r="DG570" i="34" s="1"/>
  <c r="EE569" i="34" a="1"/>
  <c r="EE569" i="34" s="1"/>
  <c r="CN566" i="34" a="1"/>
  <c r="CN566" i="34" s="1"/>
  <c r="CO566" i="34" a="1"/>
  <c r="CO566" i="34" s="1"/>
  <c r="EE562" i="34" a="1"/>
  <c r="EE562" i="34" s="1"/>
  <c r="CT552" i="34" a="1"/>
  <c r="CT552" i="34" s="1"/>
  <c r="CU552" i="34" a="1"/>
  <c r="CU552" i="34" s="1"/>
  <c r="DR547" i="34" a="1"/>
  <c r="DR547" i="34" s="1"/>
  <c r="DS547" i="34" a="1"/>
  <c r="DS547" i="34" s="1"/>
  <c r="ED543" i="34" a="1"/>
  <c r="ED543" i="34" s="1"/>
  <c r="EE543" i="34" a="1"/>
  <c r="EE543" i="34" s="1"/>
  <c r="CT490" i="34" a="1"/>
  <c r="CT490" i="34" s="1"/>
  <c r="CU490" i="34" a="1"/>
  <c r="CU490" i="34" s="1"/>
  <c r="DY577" i="34" a="1"/>
  <c r="DY577" i="34" s="1"/>
  <c r="DG577" i="34" a="1"/>
  <c r="DG577" i="34" s="1"/>
  <c r="DX575" i="34" a="1"/>
  <c r="DX575" i="34" s="1"/>
  <c r="DX572" i="34" a="1"/>
  <c r="DX572" i="34" s="1"/>
  <c r="DY572" i="34" a="1"/>
  <c r="DY572" i="34" s="1"/>
  <c r="DA572" i="34" a="1"/>
  <c r="DA572" i="34" s="1"/>
  <c r="DY571" i="34" a="1"/>
  <c r="DY571" i="34" s="1"/>
  <c r="EE568" i="34" a="1"/>
  <c r="EE568" i="34" s="1"/>
  <c r="ED567" i="34" a="1"/>
  <c r="ED567" i="34" s="1"/>
  <c r="DF565" i="34" a="1"/>
  <c r="DF565" i="34" s="1"/>
  <c r="DG565" i="34" a="1"/>
  <c r="DG565" i="34" s="1"/>
  <c r="DR563" i="34" a="1"/>
  <c r="DR563" i="34" s="1"/>
  <c r="DS563" i="34" a="1"/>
  <c r="DS563" i="34" s="1"/>
  <c r="DR561" i="34" a="1"/>
  <c r="DR561" i="34" s="1"/>
  <c r="DS561" i="34" a="1"/>
  <c r="DS561" i="34" s="1"/>
  <c r="CO561" i="34" a="1"/>
  <c r="CO561" i="34" s="1"/>
  <c r="DY555" i="34" a="1"/>
  <c r="DY555" i="34" s="1"/>
  <c r="DS552" i="34" a="1"/>
  <c r="DS552" i="34" s="1"/>
  <c r="DR552" i="34" a="1"/>
  <c r="DR552" i="34" s="1"/>
  <c r="EE532" i="34" a="1"/>
  <c r="EE532" i="34" s="1"/>
  <c r="BV574" i="34" a="1"/>
  <c r="BV574" i="34" s="1"/>
  <c r="BW574" i="34" a="1"/>
  <c r="BW574" i="34" s="1"/>
  <c r="CN568" i="34" a="1"/>
  <c r="CN568" i="34" s="1"/>
  <c r="CO568" i="34" a="1"/>
  <c r="CO568" i="34" s="1"/>
  <c r="CN552" i="34" a="1"/>
  <c r="CN552" i="34" s="1"/>
  <c r="CO552" i="34" a="1"/>
  <c r="CO552" i="34" s="1"/>
  <c r="CU536" i="34" a="1"/>
  <c r="CU536" i="34" s="1"/>
  <c r="CT536" i="34" a="1"/>
  <c r="CT536" i="34" s="1"/>
  <c r="DS504" i="34" a="1"/>
  <c r="DS504" i="34" s="1"/>
  <c r="DR504" i="34" a="1"/>
  <c r="DR504" i="34" s="1"/>
  <c r="CN504" i="34" a="1"/>
  <c r="CN504" i="34" s="1"/>
  <c r="CO504" i="34" a="1"/>
  <c r="CO504" i="34" s="1"/>
  <c r="CT523" i="34" a="1"/>
  <c r="CT523" i="34" s="1"/>
  <c r="CU523" i="34" a="1"/>
  <c r="CU523" i="34" s="1"/>
  <c r="DX432" i="34" a="1"/>
  <c r="DX432" i="34" s="1"/>
  <c r="DY432" i="34" a="1"/>
  <c r="DY432" i="34" s="1"/>
  <c r="DY559" i="34" a="1"/>
  <c r="DY559" i="34" s="1"/>
  <c r="EE557" i="34" a="1"/>
  <c r="EE557" i="34" s="1"/>
  <c r="BW556" i="34" a="1"/>
  <c r="BW556" i="34" s="1"/>
  <c r="CC554" i="34" a="1"/>
  <c r="CC554" i="34" s="1"/>
  <c r="CU553" i="34" a="1"/>
  <c r="CU553" i="34" s="1"/>
  <c r="CI552" i="34" a="1"/>
  <c r="CI552" i="34" s="1"/>
  <c r="DA551" i="34" a="1"/>
  <c r="DA551" i="34" s="1"/>
  <c r="CO550" i="34" a="1"/>
  <c r="CO550" i="34" s="1"/>
  <c r="DG549" i="34" a="1"/>
  <c r="DG549" i="34" s="1"/>
  <c r="DM547" i="34" a="1"/>
  <c r="DM547" i="34" s="1"/>
  <c r="DS545" i="34" a="1"/>
  <c r="DS545" i="34" s="1"/>
  <c r="DY543" i="34" a="1"/>
  <c r="DY543" i="34" s="1"/>
  <c r="EE541" i="34" a="1"/>
  <c r="EE541" i="34" s="1"/>
  <c r="BW540" i="34" a="1"/>
  <c r="BW540" i="34" s="1"/>
  <c r="CC538" i="34" a="1"/>
  <c r="CC538" i="34" s="1"/>
  <c r="CU537" i="34" a="1"/>
  <c r="CU537" i="34" s="1"/>
  <c r="EE536" i="34" a="1"/>
  <c r="EE536" i="34" s="1"/>
  <c r="DG536" i="34" a="1"/>
  <c r="DG536" i="34" s="1"/>
  <c r="CO536" i="34" a="1"/>
  <c r="CO536" i="34" s="1"/>
  <c r="DS534" i="34" a="1"/>
  <c r="DS534" i="34" s="1"/>
  <c r="CI534" i="34" a="1"/>
  <c r="CI534" i="34" s="1"/>
  <c r="DY533" i="34" a="1"/>
  <c r="DY533" i="34" s="1"/>
  <c r="CO532" i="34" a="1"/>
  <c r="CO532" i="34" s="1"/>
  <c r="EE531" i="34" a="1"/>
  <c r="EE531" i="34" s="1"/>
  <c r="EE530" i="34" a="1"/>
  <c r="EE530" i="34" s="1"/>
  <c r="BW529" i="34" a="1"/>
  <c r="BW529" i="34" s="1"/>
  <c r="CT528" i="34" a="1"/>
  <c r="CT528" i="34" s="1"/>
  <c r="CO523" i="34" a="1"/>
  <c r="CO523" i="34" s="1"/>
  <c r="CI521" i="34" a="1"/>
  <c r="CI521" i="34" s="1"/>
  <c r="DY520" i="34" a="1"/>
  <c r="DY520" i="34" s="1"/>
  <c r="CH501" i="34" a="1"/>
  <c r="CH501" i="34" s="1"/>
  <c r="CI501" i="34" a="1"/>
  <c r="CI501" i="34" s="1"/>
  <c r="CT499" i="34" a="1"/>
  <c r="CT499" i="34" s="1"/>
  <c r="CU499" i="34" a="1"/>
  <c r="CU499" i="34" s="1"/>
  <c r="CT498" i="34" a="1"/>
  <c r="CT498" i="34" s="1"/>
  <c r="CU498" i="34" a="1"/>
  <c r="CU498" i="34" s="1"/>
  <c r="CO493" i="34" a="1"/>
  <c r="CO493" i="34" s="1"/>
  <c r="DX492" i="34" a="1"/>
  <c r="DX492" i="34" s="1"/>
  <c r="DY492" i="34" a="1"/>
  <c r="DY492" i="34" s="1"/>
  <c r="CZ489" i="34" a="1"/>
  <c r="CZ489" i="34" s="1"/>
  <c r="DA489" i="34" a="1"/>
  <c r="DA489" i="34" s="1"/>
  <c r="BV489" i="34" a="1"/>
  <c r="BV489" i="34" s="1"/>
  <c r="BW489" i="34" a="1"/>
  <c r="BW489" i="34" s="1"/>
  <c r="CU481" i="34" a="1"/>
  <c r="CU481" i="34" s="1"/>
  <c r="CT481" i="34" a="1"/>
  <c r="CT481" i="34" s="1"/>
  <c r="CT535" i="34" a="1"/>
  <c r="CT535" i="34" s="1"/>
  <c r="DY532" i="34" a="1"/>
  <c r="DY532" i="34" s="1"/>
  <c r="CN530" i="34" a="1"/>
  <c r="CN530" i="34" s="1"/>
  <c r="DL529" i="34" a="1"/>
  <c r="DL529" i="34" s="1"/>
  <c r="DS527" i="34" a="1"/>
  <c r="DS527" i="34" s="1"/>
  <c r="CU527" i="34" a="1"/>
  <c r="CU527" i="34" s="1"/>
  <c r="DR526" i="34" a="1"/>
  <c r="DR526" i="34" s="1"/>
  <c r="DS526" i="34" a="1"/>
  <c r="DS526" i="34" s="1"/>
  <c r="CB526" i="34" a="1"/>
  <c r="CB526" i="34" s="1"/>
  <c r="CC526" i="34" a="1"/>
  <c r="CC526" i="34" s="1"/>
  <c r="DS524" i="34" a="1"/>
  <c r="DS524" i="34" s="1"/>
  <c r="DG522" i="34" a="1"/>
  <c r="DG522" i="34" s="1"/>
  <c r="CN522" i="34" a="1"/>
  <c r="CN522" i="34" s="1"/>
  <c r="CO522" i="34" a="1"/>
  <c r="CO522" i="34" s="1"/>
  <c r="BW519" i="34" a="1"/>
  <c r="BW519" i="34" s="1"/>
  <c r="DY517" i="34" a="1"/>
  <c r="DY517" i="34" s="1"/>
  <c r="DX502" i="34" a="1"/>
  <c r="DX502" i="34" s="1"/>
  <c r="DA494" i="34" a="1"/>
  <c r="DA494" i="34" s="1"/>
  <c r="BV494" i="34" a="1"/>
  <c r="BV494" i="34" s="1"/>
  <c r="BW494" i="34" a="1"/>
  <c r="BW494" i="34" s="1"/>
  <c r="EE484" i="34" a="1"/>
  <c r="EE484" i="34" s="1"/>
  <c r="CU482" i="34" a="1"/>
  <c r="CU482" i="34" s="1"/>
  <c r="CT482" i="34" a="1"/>
  <c r="CT482" i="34" s="1"/>
  <c r="DL385" i="34" a="1"/>
  <c r="DL385" i="34" s="1"/>
  <c r="DM385" i="34" a="1"/>
  <c r="DM385" i="34" s="1"/>
  <c r="CB534" i="34" a="1"/>
  <c r="CB534" i="34" s="1"/>
  <c r="CZ533" i="34" a="1"/>
  <c r="CZ533" i="34" s="1"/>
  <c r="CH532" i="34" a="1"/>
  <c r="CH532" i="34" s="1"/>
  <c r="DG530" i="34" a="1"/>
  <c r="DG530" i="34" s="1"/>
  <c r="DS519" i="34" a="1"/>
  <c r="DS519" i="34" s="1"/>
  <c r="EE518" i="34" a="1"/>
  <c r="EE518" i="34" s="1"/>
  <c r="DR515" i="34" a="1"/>
  <c r="DR515" i="34" s="1"/>
  <c r="DS515" i="34" a="1"/>
  <c r="DS515" i="34" s="1"/>
  <c r="BW514" i="34" a="1"/>
  <c r="BW514" i="34" s="1"/>
  <c r="DL512" i="34" a="1"/>
  <c r="DL512" i="34" s="1"/>
  <c r="DM512" i="34" a="1"/>
  <c r="DM512" i="34" s="1"/>
  <c r="DX508" i="34" a="1"/>
  <c r="DX508" i="34" s="1"/>
  <c r="DY508" i="34" a="1"/>
  <c r="DY508" i="34" s="1"/>
  <c r="CT507" i="34" a="1"/>
  <c r="CT507" i="34" s="1"/>
  <c r="CU507" i="34" a="1"/>
  <c r="CU507" i="34" s="1"/>
  <c r="CN499" i="34" a="1"/>
  <c r="CN499" i="34" s="1"/>
  <c r="CO499" i="34" a="1"/>
  <c r="CO499" i="34" s="1"/>
  <c r="CH490" i="34" a="1"/>
  <c r="CH490" i="34" s="1"/>
  <c r="CI490" i="34" a="1"/>
  <c r="CI490" i="34" s="1"/>
  <c r="CT489" i="34" a="1"/>
  <c r="CT489" i="34" s="1"/>
  <c r="CU489" i="34" a="1"/>
  <c r="CU489" i="34" s="1"/>
  <c r="DY482" i="34" a="1"/>
  <c r="DY482" i="34" s="1"/>
  <c r="CT462" i="34" a="1"/>
  <c r="CT462" i="34" s="1"/>
  <c r="CU462" i="34" a="1"/>
  <c r="CU462" i="34" s="1"/>
  <c r="CC386" i="34" a="1"/>
  <c r="CC386" i="34" s="1"/>
  <c r="CB386" i="34" a="1"/>
  <c r="CB386" i="34" s="1"/>
  <c r="BV526" i="34" a="1"/>
  <c r="BV526" i="34" s="1"/>
  <c r="BW526" i="34" a="1"/>
  <c r="BW526" i="34" s="1"/>
  <c r="CT525" i="34" a="1"/>
  <c r="CT525" i="34" s="1"/>
  <c r="CU525" i="34" a="1"/>
  <c r="CU525" i="34" s="1"/>
  <c r="ED522" i="34" a="1"/>
  <c r="ED522" i="34" s="1"/>
  <c r="EE522" i="34" a="1"/>
  <c r="EE522" i="34" s="1"/>
  <c r="CH522" i="34" a="1"/>
  <c r="CH522" i="34" s="1"/>
  <c r="CI522" i="34" a="1"/>
  <c r="CI522" i="34" s="1"/>
  <c r="DF521" i="34" a="1"/>
  <c r="DF521" i="34" s="1"/>
  <c r="DG521" i="34" a="1"/>
  <c r="DG521" i="34" s="1"/>
  <c r="CN515" i="34" a="1"/>
  <c r="CN515" i="34" s="1"/>
  <c r="CO515" i="34" a="1"/>
  <c r="CO515" i="34" s="1"/>
  <c r="ED506" i="34" a="1"/>
  <c r="ED506" i="34" s="1"/>
  <c r="EE506" i="34" a="1"/>
  <c r="EE506" i="34" s="1"/>
  <c r="CT502" i="34" a="1"/>
  <c r="CT502" i="34" s="1"/>
  <c r="CU502" i="34" a="1"/>
  <c r="CU502" i="34" s="1"/>
  <c r="DR499" i="34" a="1"/>
  <c r="DR499" i="34" s="1"/>
  <c r="DS499" i="34" a="1"/>
  <c r="DS499" i="34" s="1"/>
  <c r="DL485" i="34" a="1"/>
  <c r="DL485" i="34" s="1"/>
  <c r="DM485" i="34" a="1"/>
  <c r="DM485" i="34" s="1"/>
  <c r="DL535" i="34" a="1"/>
  <c r="DL535" i="34" s="1"/>
  <c r="DM535" i="34" a="1"/>
  <c r="DM535" i="34" s="1"/>
  <c r="DG531" i="34" a="1"/>
  <c r="DG531" i="34" s="1"/>
  <c r="BV528" i="34" a="1"/>
  <c r="BV528" i="34" s="1"/>
  <c r="BW528" i="34" a="1"/>
  <c r="BW528" i="34" s="1"/>
  <c r="CT514" i="34" a="1"/>
  <c r="CT514" i="34" s="1"/>
  <c r="CU514" i="34" a="1"/>
  <c r="CU514" i="34" s="1"/>
  <c r="BV510" i="34" a="1"/>
  <c r="BV510" i="34" s="1"/>
  <c r="BW510" i="34" a="1"/>
  <c r="BW510" i="34" s="1"/>
  <c r="DX497" i="34" a="1"/>
  <c r="DX497" i="34" s="1"/>
  <c r="DY497" i="34" a="1"/>
  <c r="DY497" i="34" s="1"/>
  <c r="CT497" i="34" a="1"/>
  <c r="CT497" i="34" s="1"/>
  <c r="CU497" i="34" a="1"/>
  <c r="CU497" i="34" s="1"/>
  <c r="DY486" i="34" a="1"/>
  <c r="DY486" i="34" s="1"/>
  <c r="CT486" i="34" a="1"/>
  <c r="CT486" i="34" s="1"/>
  <c r="CU486" i="34" a="1"/>
  <c r="CU486" i="34" s="1"/>
  <c r="ED446" i="34" a="1"/>
  <c r="ED446" i="34" s="1"/>
  <c r="EE446" i="34" a="1"/>
  <c r="EE446" i="34" s="1"/>
  <c r="ED529" i="34" a="1"/>
  <c r="ED529" i="34" s="1"/>
  <c r="EE529" i="34" a="1"/>
  <c r="EE529" i="34" s="1"/>
  <c r="DL525" i="34" a="1"/>
  <c r="DL525" i="34" s="1"/>
  <c r="BV525" i="34" a="1"/>
  <c r="BV525" i="34" s="1"/>
  <c r="DX521" i="34" a="1"/>
  <c r="DX521" i="34" s="1"/>
  <c r="CZ521" i="34" a="1"/>
  <c r="CZ521" i="34" s="1"/>
  <c r="DA521" i="34" a="1"/>
  <c r="DA521" i="34" s="1"/>
  <c r="DX518" i="34" a="1"/>
  <c r="DX518" i="34" s="1"/>
  <c r="CZ483" i="34" a="1"/>
  <c r="CZ483" i="34" s="1"/>
  <c r="DA483" i="34" a="1"/>
  <c r="DA483" i="34" s="1"/>
  <c r="ED471" i="34" a="1"/>
  <c r="ED471" i="34" s="1"/>
  <c r="EE471" i="34" a="1"/>
  <c r="EE471" i="34" s="1"/>
  <c r="CT437" i="34" a="1"/>
  <c r="CT437" i="34" s="1"/>
  <c r="CU437" i="34" a="1"/>
  <c r="CU437" i="34" s="1"/>
  <c r="DR533" i="34" a="1"/>
  <c r="DR533" i="34" s="1"/>
  <c r="DS533" i="34" a="1"/>
  <c r="DS533" i="34" s="1"/>
  <c r="DX531" i="34" a="1"/>
  <c r="DX531" i="34" s="1"/>
  <c r="DY531" i="34" a="1"/>
  <c r="DY531" i="34" s="1"/>
  <c r="CI531" i="34" a="1"/>
  <c r="CI531" i="34" s="1"/>
  <c r="CO529" i="34" a="1"/>
  <c r="CO529" i="34" s="1"/>
  <c r="CN528" i="34" a="1"/>
  <c r="CN528" i="34" s="1"/>
  <c r="DM526" i="34" a="1"/>
  <c r="DM526" i="34" s="1"/>
  <c r="CZ516" i="34" a="1"/>
  <c r="CZ516" i="34" s="1"/>
  <c r="DA516" i="34" a="1"/>
  <c r="DA516" i="34" s="1"/>
  <c r="CZ505" i="34" a="1"/>
  <c r="CZ505" i="34" s="1"/>
  <c r="DA505" i="34" a="1"/>
  <c r="DA505" i="34" s="1"/>
  <c r="BV505" i="34" a="1"/>
  <c r="BV505" i="34" s="1"/>
  <c r="BW505" i="34" a="1"/>
  <c r="BW505" i="34" s="1"/>
  <c r="CT488" i="34" a="1"/>
  <c r="CT488" i="34" s="1"/>
  <c r="CU488" i="34" a="1"/>
  <c r="CU488" i="34" s="1"/>
  <c r="DF487" i="34" a="1"/>
  <c r="DF487" i="34" s="1"/>
  <c r="DG487" i="34" a="1"/>
  <c r="DG487" i="34" s="1"/>
  <c r="DR475" i="34" a="1"/>
  <c r="DR475" i="34" s="1"/>
  <c r="DS475" i="34" a="1"/>
  <c r="DS475" i="34" s="1"/>
  <c r="CT448" i="34" a="1"/>
  <c r="CT448" i="34" s="1"/>
  <c r="CU448" i="34" a="1"/>
  <c r="CU448" i="34" s="1"/>
  <c r="CC533" i="34" a="1"/>
  <c r="CC533" i="34" s="1"/>
  <c r="CH530" i="34" a="1"/>
  <c r="CH530" i="34" s="1"/>
  <c r="ED527" i="34" a="1"/>
  <c r="ED527" i="34" s="1"/>
  <c r="EE527" i="34" a="1"/>
  <c r="EE527" i="34" s="1"/>
  <c r="DL519" i="34" a="1"/>
  <c r="DL519" i="34" s="1"/>
  <c r="DM519" i="34" a="1"/>
  <c r="DM519" i="34" s="1"/>
  <c r="DX516" i="34" a="1"/>
  <c r="DX516" i="34" s="1"/>
  <c r="DY516" i="34" a="1"/>
  <c r="DY516" i="34" s="1"/>
  <c r="CB508" i="34" a="1"/>
  <c r="CB508" i="34" s="1"/>
  <c r="CC508" i="34" a="1"/>
  <c r="CC508" i="34" s="1"/>
  <c r="CU496" i="34" a="1"/>
  <c r="CU496" i="34" s="1"/>
  <c r="ED495" i="34" a="1"/>
  <c r="ED495" i="34" s="1"/>
  <c r="EE495" i="34" a="1"/>
  <c r="EE495" i="34" s="1"/>
  <c r="CH485" i="34" a="1"/>
  <c r="CH485" i="34" s="1"/>
  <c r="CI485" i="34" a="1"/>
  <c r="CI485" i="34" s="1"/>
  <c r="CC482" i="34" a="1"/>
  <c r="CC482" i="34" s="1"/>
  <c r="CB482" i="34" a="1"/>
  <c r="CB482" i="34" s="1"/>
  <c r="CT465" i="34" a="1"/>
  <c r="CT465" i="34" s="1"/>
  <c r="CU465" i="34" a="1"/>
  <c r="CU465" i="34" s="1"/>
  <c r="CN535" i="34" a="1"/>
  <c r="CN535" i="34" s="1"/>
  <c r="BV534" i="34" a="1"/>
  <c r="BV534" i="34" s="1"/>
  <c r="BW533" i="34" a="1"/>
  <c r="BW533" i="34" s="1"/>
  <c r="CB532" i="34" a="1"/>
  <c r="CB532" i="34" s="1"/>
  <c r="DY522" i="34" a="1"/>
  <c r="DY522" i="34" s="1"/>
  <c r="DL517" i="34" a="1"/>
  <c r="DL517" i="34" s="1"/>
  <c r="DM517" i="34" a="1"/>
  <c r="DM517" i="34" s="1"/>
  <c r="DX513" i="34" a="1"/>
  <c r="DX513" i="34" s="1"/>
  <c r="DY513" i="34" a="1"/>
  <c r="DY513" i="34" s="1"/>
  <c r="CT513" i="34" a="1"/>
  <c r="CT513" i="34" s="1"/>
  <c r="CU513" i="34" a="1"/>
  <c r="CU513" i="34" s="1"/>
  <c r="CT505" i="34" a="1"/>
  <c r="CT505" i="34" s="1"/>
  <c r="CU505" i="34" a="1"/>
  <c r="CU505" i="34" s="1"/>
  <c r="DR494" i="34" a="1"/>
  <c r="DR494" i="34" s="1"/>
  <c r="DS494" i="34" a="1"/>
  <c r="DS494" i="34" s="1"/>
  <c r="CT491" i="34" a="1"/>
  <c r="CT491" i="34" s="1"/>
  <c r="CU491" i="34" a="1"/>
  <c r="CU491" i="34" s="1"/>
  <c r="CN488" i="34" a="1"/>
  <c r="CN488" i="34" s="1"/>
  <c r="CO488" i="34" a="1"/>
  <c r="CO488" i="34" s="1"/>
  <c r="CC567" i="34" a="1"/>
  <c r="CC567" i="34" s="1"/>
  <c r="CI565" i="34" a="1"/>
  <c r="CI565" i="34" s="1"/>
  <c r="DA564" i="34" a="1"/>
  <c r="DA564" i="34" s="1"/>
  <c r="CO563" i="34" a="1"/>
  <c r="CO563" i="34" s="1"/>
  <c r="DG562" i="34" a="1"/>
  <c r="DG562" i="34" s="1"/>
  <c r="DM560" i="34" a="1"/>
  <c r="DM560" i="34" s="1"/>
  <c r="DS558" i="34" a="1"/>
  <c r="DS558" i="34" s="1"/>
  <c r="DY556" i="34" a="1"/>
  <c r="DY556" i="34" s="1"/>
  <c r="EE554" i="34" a="1"/>
  <c r="EE554" i="34" s="1"/>
  <c r="BW553" i="34" a="1"/>
  <c r="BW553" i="34" s="1"/>
  <c r="CC551" i="34" a="1"/>
  <c r="CC551" i="34" s="1"/>
  <c r="CI549" i="34" a="1"/>
  <c r="CI549" i="34" s="1"/>
  <c r="DA548" i="34" a="1"/>
  <c r="DA548" i="34" s="1"/>
  <c r="CO547" i="34" a="1"/>
  <c r="CO547" i="34" s="1"/>
  <c r="DG546" i="34" a="1"/>
  <c r="DG546" i="34" s="1"/>
  <c r="DM544" i="34" a="1"/>
  <c r="DM544" i="34" s="1"/>
  <c r="DS542" i="34" a="1"/>
  <c r="DS542" i="34" s="1"/>
  <c r="DY540" i="34" a="1"/>
  <c r="DY540" i="34" s="1"/>
  <c r="EE538" i="34" a="1"/>
  <c r="EE538" i="34" s="1"/>
  <c r="CZ536" i="34" a="1"/>
  <c r="CZ536" i="34" s="1"/>
  <c r="CT532" i="34" a="1"/>
  <c r="CT532" i="34" s="1"/>
  <c r="DX529" i="34" a="1"/>
  <c r="DX529" i="34" s="1"/>
  <c r="DF527" i="34" a="1"/>
  <c r="DF527" i="34" s="1"/>
  <c r="CH524" i="34" a="1"/>
  <c r="CH524" i="34" s="1"/>
  <c r="CI524" i="34" a="1"/>
  <c r="CI524" i="34" s="1"/>
  <c r="DS522" i="34" a="1"/>
  <c r="DS522" i="34" s="1"/>
  <c r="DF519" i="34" a="1"/>
  <c r="DF519" i="34" s="1"/>
  <c r="DG519" i="34" a="1"/>
  <c r="DG519" i="34" s="1"/>
  <c r="CH519" i="34" a="1"/>
  <c r="CH519" i="34" s="1"/>
  <c r="CT516" i="34" a="1"/>
  <c r="CT516" i="34" s="1"/>
  <c r="CU516" i="34" a="1"/>
  <c r="CU516" i="34" s="1"/>
  <c r="CT512" i="34" a="1"/>
  <c r="CT512" i="34" s="1"/>
  <c r="DF508" i="34" a="1"/>
  <c r="DF508" i="34" s="1"/>
  <c r="DF503" i="34" a="1"/>
  <c r="DF503" i="34" s="1"/>
  <c r="DG503" i="34" a="1"/>
  <c r="DG503" i="34" s="1"/>
  <c r="EE500" i="34" a="1"/>
  <c r="EE500" i="34" s="1"/>
  <c r="CZ500" i="34" a="1"/>
  <c r="CZ500" i="34" s="1"/>
  <c r="DA500" i="34" a="1"/>
  <c r="DA500" i="34" s="1"/>
  <c r="ED490" i="34" a="1"/>
  <c r="ED490" i="34" s="1"/>
  <c r="EE490" i="34" a="1"/>
  <c r="EE490" i="34" s="1"/>
  <c r="DS488" i="34" a="1"/>
  <c r="DS488" i="34" s="1"/>
  <c r="DM532" i="34" a="1"/>
  <c r="DM532" i="34" s="1"/>
  <c r="DA524" i="34" a="1"/>
  <c r="DA524" i="34" s="1"/>
  <c r="BV521" i="34" a="1"/>
  <c r="BV521" i="34" s="1"/>
  <c r="BW521" i="34" a="1"/>
  <c r="BW521" i="34" s="1"/>
  <c r="DL520" i="34" a="1"/>
  <c r="DL520" i="34" s="1"/>
  <c r="DM520" i="34" a="1"/>
  <c r="DM520" i="34" s="1"/>
  <c r="CN520" i="34" a="1"/>
  <c r="CN520" i="34" s="1"/>
  <c r="CO520" i="34" a="1"/>
  <c r="CO520" i="34" s="1"/>
  <c r="DR518" i="34" a="1"/>
  <c r="DR518" i="34" s="1"/>
  <c r="DS518" i="34" a="1"/>
  <c r="DS518" i="34" s="1"/>
  <c r="DL506" i="34" a="1"/>
  <c r="DL506" i="34" s="1"/>
  <c r="CB503" i="34" a="1"/>
  <c r="CB503" i="34" s="1"/>
  <c r="CC503" i="34" a="1"/>
  <c r="CC503" i="34" s="1"/>
  <c r="CB492" i="34" a="1"/>
  <c r="CB492" i="34" s="1"/>
  <c r="CC492" i="34" a="1"/>
  <c r="CC492" i="34" s="1"/>
  <c r="CB487" i="34" a="1"/>
  <c r="CB487" i="34" s="1"/>
  <c r="CC487" i="34" a="1"/>
  <c r="CC487" i="34" s="1"/>
  <c r="CH473" i="34" a="1"/>
  <c r="CH473" i="34" s="1"/>
  <c r="CI473" i="34" a="1"/>
  <c r="CI473" i="34" s="1"/>
  <c r="CT466" i="34" a="1"/>
  <c r="CT466" i="34" s="1"/>
  <c r="CU466" i="34" a="1"/>
  <c r="CU466" i="34" s="1"/>
  <c r="CB536" i="34" a="1"/>
  <c r="CB536" i="34" s="1"/>
  <c r="CN533" i="34" a="1"/>
  <c r="CN533" i="34" s="1"/>
  <c r="CB524" i="34" a="1"/>
  <c r="CB524" i="34" s="1"/>
  <c r="CC524" i="34" a="1"/>
  <c r="CC524" i="34" s="1"/>
  <c r="CZ523" i="34" a="1"/>
  <c r="CZ523" i="34" s="1"/>
  <c r="DA523" i="34" a="1"/>
  <c r="DA523" i="34" s="1"/>
  <c r="CH517" i="34" a="1"/>
  <c r="CH517" i="34" s="1"/>
  <c r="CI517" i="34" a="1"/>
  <c r="CI517" i="34" s="1"/>
  <c r="EE515" i="34" a="1"/>
  <c r="EE515" i="34" s="1"/>
  <c r="ED511" i="34" a="1"/>
  <c r="ED511" i="34" s="1"/>
  <c r="EE511" i="34" a="1"/>
  <c r="EE511" i="34" s="1"/>
  <c r="DR510" i="34" a="1"/>
  <c r="DR510" i="34" s="1"/>
  <c r="DS510" i="34" a="1"/>
  <c r="DS510" i="34" s="1"/>
  <c r="CH506" i="34" a="1"/>
  <c r="CH506" i="34" s="1"/>
  <c r="CI506" i="34" a="1"/>
  <c r="CI506" i="34" s="1"/>
  <c r="BW499" i="34" a="1"/>
  <c r="BW499" i="34" s="1"/>
  <c r="DF498" i="34" a="1"/>
  <c r="DF498" i="34" s="1"/>
  <c r="DG498" i="34" a="1"/>
  <c r="DG498" i="34" s="1"/>
  <c r="CT453" i="34" a="1"/>
  <c r="CT453" i="34" s="1"/>
  <c r="CU453" i="34" a="1"/>
  <c r="CU453" i="34" s="1"/>
  <c r="CB443" i="34" a="1"/>
  <c r="CB443" i="34" s="1"/>
  <c r="CC443" i="34" a="1"/>
  <c r="CC443" i="34" s="1"/>
  <c r="DX534" i="34" a="1"/>
  <c r="DX534" i="34" s="1"/>
  <c r="DF534" i="34" a="1"/>
  <c r="DF534" i="34" s="1"/>
  <c r="CT531" i="34" a="1"/>
  <c r="CT531" i="34" s="1"/>
  <c r="DR530" i="34" a="1"/>
  <c r="DR530" i="34" s="1"/>
  <c r="DX528" i="34" a="1"/>
  <c r="DX528" i="34" s="1"/>
  <c r="CI527" i="34" a="1"/>
  <c r="CI527" i="34" s="1"/>
  <c r="DX524" i="34" a="1"/>
  <c r="DX524" i="34" s="1"/>
  <c r="DY524" i="34" a="1"/>
  <c r="DY524" i="34" s="1"/>
  <c r="CB523" i="34" a="1"/>
  <c r="CB523" i="34" s="1"/>
  <c r="CT504" i="34" a="1"/>
  <c r="CT504" i="34" s="1"/>
  <c r="CU504" i="34" a="1"/>
  <c r="CU504" i="34" s="1"/>
  <c r="CT500" i="34" a="1"/>
  <c r="CT500" i="34" s="1"/>
  <c r="CU500" i="34" a="1"/>
  <c r="CU500" i="34" s="1"/>
  <c r="CT391" i="34" a="1"/>
  <c r="CT391" i="34" s="1"/>
  <c r="CU391" i="34" a="1"/>
  <c r="CU391" i="34" s="1"/>
  <c r="CO513" i="34" a="1"/>
  <c r="CO513" i="34" s="1"/>
  <c r="DG512" i="34" a="1"/>
  <c r="DG512" i="34" s="1"/>
  <c r="DY506" i="34" a="1"/>
  <c r="DY506" i="34" s="1"/>
  <c r="BW503" i="34" a="1"/>
  <c r="BW503" i="34" s="1"/>
  <c r="CC501" i="34" a="1"/>
  <c r="CC501" i="34" s="1"/>
  <c r="CI499" i="34" a="1"/>
  <c r="CI499" i="34" s="1"/>
  <c r="DA498" i="34" a="1"/>
  <c r="DA498" i="34" s="1"/>
  <c r="CO497" i="34" a="1"/>
  <c r="CO497" i="34" s="1"/>
  <c r="DG496" i="34" a="1"/>
  <c r="DG496" i="34" s="1"/>
  <c r="DM494" i="34" a="1"/>
  <c r="DM494" i="34" s="1"/>
  <c r="DS492" i="34" a="1"/>
  <c r="DS492" i="34" s="1"/>
  <c r="DY490" i="34" a="1"/>
  <c r="DY490" i="34" s="1"/>
  <c r="EE488" i="34" a="1"/>
  <c r="EE488" i="34" s="1"/>
  <c r="BW487" i="34" a="1"/>
  <c r="BW487" i="34" s="1"/>
  <c r="CC485" i="34" a="1"/>
  <c r="CC485" i="34" s="1"/>
  <c r="CU483" i="34" a="1"/>
  <c r="CU483" i="34" s="1"/>
  <c r="DM481" i="34" a="1"/>
  <c r="DM481" i="34" s="1"/>
  <c r="CH480" i="34" a="1"/>
  <c r="CH480" i="34" s="1"/>
  <c r="DL477" i="34" a="1"/>
  <c r="DL477" i="34" s="1"/>
  <c r="DM477" i="34" a="1"/>
  <c r="DM477" i="34" s="1"/>
  <c r="CZ474" i="34" a="1"/>
  <c r="CZ474" i="34" s="1"/>
  <c r="DA474" i="34" a="1"/>
  <c r="DA474" i="34" s="1"/>
  <c r="BW474" i="34" a="1"/>
  <c r="BW474" i="34" s="1"/>
  <c r="CB473" i="34" a="1"/>
  <c r="CB473" i="34" s="1"/>
  <c r="DL470" i="34" a="1"/>
  <c r="DL470" i="34" s="1"/>
  <c r="DR466" i="34" a="1"/>
  <c r="DR466" i="34" s="1"/>
  <c r="DS466" i="34" a="1"/>
  <c r="DS466" i="34" s="1"/>
  <c r="CN466" i="34" a="1"/>
  <c r="CN466" i="34" s="1"/>
  <c r="CO466" i="34" a="1"/>
  <c r="CO466" i="34" s="1"/>
  <c r="CH457" i="34" a="1"/>
  <c r="CH457" i="34" s="1"/>
  <c r="CI457" i="34" a="1"/>
  <c r="CI457" i="34" s="1"/>
  <c r="DF454" i="34" a="1"/>
  <c r="DF454" i="34" s="1"/>
  <c r="DG454" i="34" a="1"/>
  <c r="DG454" i="34" s="1"/>
  <c r="BV445" i="34" a="1"/>
  <c r="BV445" i="34" s="1"/>
  <c r="BW445" i="34" a="1"/>
  <c r="BW445" i="34" s="1"/>
  <c r="CH441" i="34" a="1"/>
  <c r="CH441" i="34" s="1"/>
  <c r="CI441" i="34" a="1"/>
  <c r="CI441" i="34" s="1"/>
  <c r="CZ435" i="34" a="1"/>
  <c r="CZ435" i="34" s="1"/>
  <c r="DA435" i="34" a="1"/>
  <c r="DA435" i="34" s="1"/>
  <c r="DR433" i="34" a="1"/>
  <c r="DR433" i="34" s="1"/>
  <c r="DS433" i="34" a="1"/>
  <c r="DS433" i="34" s="1"/>
  <c r="DF422" i="34" a="1"/>
  <c r="DF422" i="34" s="1"/>
  <c r="DG422" i="34" a="1"/>
  <c r="DG422" i="34" s="1"/>
  <c r="CT484" i="34" a="1"/>
  <c r="CT484" i="34" s="1"/>
  <c r="CB470" i="34" a="1"/>
  <c r="CB470" i="34" s="1"/>
  <c r="CC470" i="34" a="1"/>
  <c r="CC470" i="34" s="1"/>
  <c r="CZ467" i="34" a="1"/>
  <c r="CZ467" i="34" s="1"/>
  <c r="DA467" i="34" a="1"/>
  <c r="DA467" i="34" s="1"/>
  <c r="CN439" i="34" a="1"/>
  <c r="CN439" i="34" s="1"/>
  <c r="CO439" i="34" a="1"/>
  <c r="CO439" i="34" s="1"/>
  <c r="EE514" i="34" a="1"/>
  <c r="EE514" i="34" s="1"/>
  <c r="BW513" i="34" a="1"/>
  <c r="BW513" i="34" s="1"/>
  <c r="CC511" i="34" a="1"/>
  <c r="CC511" i="34" s="1"/>
  <c r="CU510" i="34" a="1"/>
  <c r="CU510" i="34" s="1"/>
  <c r="CI509" i="34" a="1"/>
  <c r="CI509" i="34" s="1"/>
  <c r="DA508" i="34" a="1"/>
  <c r="DA508" i="34" s="1"/>
  <c r="CO507" i="34" a="1"/>
  <c r="CO507" i="34" s="1"/>
  <c r="DG506" i="34" a="1"/>
  <c r="DG506" i="34" s="1"/>
  <c r="DM504" i="34" a="1"/>
  <c r="DM504" i="34" s="1"/>
  <c r="DS502" i="34" a="1"/>
  <c r="DS502" i="34" s="1"/>
  <c r="DY500" i="34" a="1"/>
  <c r="DY500" i="34" s="1"/>
  <c r="EE498" i="34" a="1"/>
  <c r="EE498" i="34" s="1"/>
  <c r="BW497" i="34" a="1"/>
  <c r="BW497" i="34" s="1"/>
  <c r="CC495" i="34" a="1"/>
  <c r="CC495" i="34" s="1"/>
  <c r="CU494" i="34" a="1"/>
  <c r="CU494" i="34" s="1"/>
  <c r="CI493" i="34" a="1"/>
  <c r="CI493" i="34" s="1"/>
  <c r="DA492" i="34" a="1"/>
  <c r="DA492" i="34" s="1"/>
  <c r="CO491" i="34" a="1"/>
  <c r="CO491" i="34" s="1"/>
  <c r="DG490" i="34" a="1"/>
  <c r="DG490" i="34" s="1"/>
  <c r="DM488" i="34" a="1"/>
  <c r="DM488" i="34" s="1"/>
  <c r="DS486" i="34" a="1"/>
  <c r="DS486" i="34" s="1"/>
  <c r="DY484" i="34" a="1"/>
  <c r="DY484" i="34" s="1"/>
  <c r="DR482" i="34" a="1"/>
  <c r="DR482" i="34" s="1"/>
  <c r="DS482" i="34" a="1"/>
  <c r="DS482" i="34" s="1"/>
  <c r="BW482" i="34" a="1"/>
  <c r="BW482" i="34" s="1"/>
  <c r="DM475" i="34" a="1"/>
  <c r="DM475" i="34" s="1"/>
  <c r="CT474" i="34" a="1"/>
  <c r="CT474" i="34" s="1"/>
  <c r="CU474" i="34" a="1"/>
  <c r="CU474" i="34" s="1"/>
  <c r="DF470" i="34" a="1"/>
  <c r="DF470" i="34" s="1"/>
  <c r="DG470" i="34" a="1"/>
  <c r="DG470" i="34" s="1"/>
  <c r="DL466" i="34" a="1"/>
  <c r="DL466" i="34" s="1"/>
  <c r="DM457" i="34" a="1"/>
  <c r="DM457" i="34" s="1"/>
  <c r="DR455" i="34" a="1"/>
  <c r="DR455" i="34" s="1"/>
  <c r="DF449" i="34" a="1"/>
  <c r="DF449" i="34" s="1"/>
  <c r="DG449" i="34" a="1"/>
  <c r="DG449" i="34" s="1"/>
  <c r="DG443" i="34" a="1"/>
  <c r="DG443" i="34" s="1"/>
  <c r="DL434" i="34" a="1"/>
  <c r="DL434" i="34" s="1"/>
  <c r="DM434" i="34" a="1"/>
  <c r="DM434" i="34" s="1"/>
  <c r="DL420" i="34" a="1"/>
  <c r="DL420" i="34" s="1"/>
  <c r="DM420" i="34" a="1"/>
  <c r="DM420" i="34" s="1"/>
  <c r="CH466" i="34" a="1"/>
  <c r="CH466" i="34" s="1"/>
  <c r="CI466" i="34" a="1"/>
  <c r="CI466" i="34" s="1"/>
  <c r="DX464" i="34" a="1"/>
  <c r="DX464" i="34" s="1"/>
  <c r="DY464" i="34" a="1"/>
  <c r="DY464" i="34" s="1"/>
  <c r="DR461" i="34" a="1"/>
  <c r="DR461" i="34" s="1"/>
  <c r="DS461" i="34" a="1"/>
  <c r="DS461" i="34" s="1"/>
  <c r="CT430" i="34" a="1"/>
  <c r="CT430" i="34" s="1"/>
  <c r="CU430" i="34" a="1"/>
  <c r="CU430" i="34" s="1"/>
  <c r="CB397" i="34" a="1"/>
  <c r="CB397" i="34" s="1"/>
  <c r="CC397" i="34" a="1"/>
  <c r="CC397" i="34" s="1"/>
  <c r="CH481" i="34" a="1"/>
  <c r="CH481" i="34" s="1"/>
  <c r="CZ480" i="34" a="1"/>
  <c r="CZ480" i="34" s="1"/>
  <c r="CU479" i="34" a="1"/>
  <c r="CU479" i="34" s="1"/>
  <c r="CT476" i="34" a="1"/>
  <c r="CT476" i="34" s="1"/>
  <c r="CH475" i="34" a="1"/>
  <c r="CH475" i="34" s="1"/>
  <c r="CZ470" i="34" a="1"/>
  <c r="CZ470" i="34" s="1"/>
  <c r="BV470" i="34" a="1"/>
  <c r="BV470" i="34" s="1"/>
  <c r="BW470" i="34" a="1"/>
  <c r="BW470" i="34" s="1"/>
  <c r="CT467" i="34" a="1"/>
  <c r="CT467" i="34" s="1"/>
  <c r="CU467" i="34" a="1"/>
  <c r="CU467" i="34" s="1"/>
  <c r="CT463" i="34" a="1"/>
  <c r="CT463" i="34" s="1"/>
  <c r="CI462" i="34" a="1"/>
  <c r="CI462" i="34" s="1"/>
  <c r="CN455" i="34" a="1"/>
  <c r="CN455" i="34" s="1"/>
  <c r="CO455" i="34" a="1"/>
  <c r="CO455" i="34" s="1"/>
  <c r="CT454" i="34" a="1"/>
  <c r="CT454" i="34" s="1"/>
  <c r="CU454" i="34" a="1"/>
  <c r="CU454" i="34" s="1"/>
  <c r="DL452" i="34" a="1"/>
  <c r="DL452" i="34" s="1"/>
  <c r="DM452" i="34" a="1"/>
  <c r="DM452" i="34" s="1"/>
  <c r="CH452" i="34" a="1"/>
  <c r="CH452" i="34" s="1"/>
  <c r="CI452" i="34" a="1"/>
  <c r="CI452" i="34" s="1"/>
  <c r="DA445" i="34" a="1"/>
  <c r="DA445" i="34" s="1"/>
  <c r="CT429" i="34" a="1"/>
  <c r="CT429" i="34" s="1"/>
  <c r="CU429" i="34" a="1"/>
  <c r="CU429" i="34" s="1"/>
  <c r="CH411" i="34" a="1"/>
  <c r="CH411" i="34" s="1"/>
  <c r="CI411" i="34" a="1"/>
  <c r="CI411" i="34" s="1"/>
  <c r="BV410" i="34" a="1"/>
  <c r="BV410" i="34" s="1"/>
  <c r="BW410" i="34" a="1"/>
  <c r="BW410" i="34" s="1"/>
  <c r="DS517" i="34" a="1"/>
  <c r="DS517" i="34" s="1"/>
  <c r="DY515" i="34" a="1"/>
  <c r="DY515" i="34" s="1"/>
  <c r="EE513" i="34" a="1"/>
  <c r="EE513" i="34" s="1"/>
  <c r="BW512" i="34" a="1"/>
  <c r="BW512" i="34" s="1"/>
  <c r="CC510" i="34" a="1"/>
  <c r="CC510" i="34" s="1"/>
  <c r="CU509" i="34" a="1"/>
  <c r="CU509" i="34" s="1"/>
  <c r="CI508" i="34" a="1"/>
  <c r="CI508" i="34" s="1"/>
  <c r="DA507" i="34" a="1"/>
  <c r="DA507" i="34" s="1"/>
  <c r="CO506" i="34" a="1"/>
  <c r="CO506" i="34" s="1"/>
  <c r="DG505" i="34" a="1"/>
  <c r="DG505" i="34" s="1"/>
  <c r="DM503" i="34" a="1"/>
  <c r="DM503" i="34" s="1"/>
  <c r="DS501" i="34" a="1"/>
  <c r="DS501" i="34" s="1"/>
  <c r="DY499" i="34" a="1"/>
  <c r="DY499" i="34" s="1"/>
  <c r="EE497" i="34" a="1"/>
  <c r="EE497" i="34" s="1"/>
  <c r="BW496" i="34" a="1"/>
  <c r="BW496" i="34" s="1"/>
  <c r="CC494" i="34" a="1"/>
  <c r="CC494" i="34" s="1"/>
  <c r="CU493" i="34" a="1"/>
  <c r="CU493" i="34" s="1"/>
  <c r="CI492" i="34" a="1"/>
  <c r="CI492" i="34" s="1"/>
  <c r="DA491" i="34" a="1"/>
  <c r="DA491" i="34" s="1"/>
  <c r="CO490" i="34" a="1"/>
  <c r="CO490" i="34" s="1"/>
  <c r="DG489" i="34" a="1"/>
  <c r="DG489" i="34" s="1"/>
  <c r="DM487" i="34" a="1"/>
  <c r="DM487" i="34" s="1"/>
  <c r="DS485" i="34" a="1"/>
  <c r="DS485" i="34" s="1"/>
  <c r="CO484" i="34" a="1"/>
  <c r="CO484" i="34" s="1"/>
  <c r="DL482" i="34" a="1"/>
  <c r="DL482" i="34" s="1"/>
  <c r="DM482" i="34" a="1"/>
  <c r="DM482" i="34" s="1"/>
  <c r="EE481" i="34" a="1"/>
  <c r="EE481" i="34" s="1"/>
  <c r="CC480" i="34" a="1"/>
  <c r="CC480" i="34" s="1"/>
  <c r="DG477" i="34" a="1"/>
  <c r="DG477" i="34" s="1"/>
  <c r="EE475" i="34" a="1"/>
  <c r="EE475" i="34" s="1"/>
  <c r="DG475" i="34" a="1"/>
  <c r="DG475" i="34" s="1"/>
  <c r="ED473" i="34" a="1"/>
  <c r="ED473" i="34" s="1"/>
  <c r="EE473" i="34" a="1"/>
  <c r="EE473" i="34" s="1"/>
  <c r="DS471" i="34" a="1"/>
  <c r="DS471" i="34" s="1"/>
  <c r="CT464" i="34" a="1"/>
  <c r="CT464" i="34" s="1"/>
  <c r="CU464" i="34" a="1"/>
  <c r="CU464" i="34" s="1"/>
  <c r="CT459" i="34" a="1"/>
  <c r="CT459" i="34" s="1"/>
  <c r="CU459" i="34" a="1"/>
  <c r="CU459" i="34" s="1"/>
  <c r="CB448" i="34" a="1"/>
  <c r="CB448" i="34" s="1"/>
  <c r="CN423" i="34" a="1"/>
  <c r="CN423" i="34" s="1"/>
  <c r="CO423" i="34" a="1"/>
  <c r="CO423" i="34" s="1"/>
  <c r="CN482" i="34" a="1"/>
  <c r="CN482" i="34" s="1"/>
  <c r="CO482" i="34" a="1"/>
  <c r="CO482" i="34" s="1"/>
  <c r="DF481" i="34" a="1"/>
  <c r="DF481" i="34" s="1"/>
  <c r="DG481" i="34" a="1"/>
  <c r="DG481" i="34" s="1"/>
  <c r="CB475" i="34" a="1"/>
  <c r="CB475" i="34" s="1"/>
  <c r="CC475" i="34" a="1"/>
  <c r="CC475" i="34" s="1"/>
  <c r="CN471" i="34" a="1"/>
  <c r="CN471" i="34" s="1"/>
  <c r="CO471" i="34" a="1"/>
  <c r="CO471" i="34" s="1"/>
  <c r="ED462" i="34" a="1"/>
  <c r="ED462" i="34" s="1"/>
  <c r="EE462" i="34" a="1"/>
  <c r="EE462" i="34" s="1"/>
  <c r="CT445" i="34" a="1"/>
  <c r="CT445" i="34" s="1"/>
  <c r="CU445" i="34" a="1"/>
  <c r="CU445" i="34" s="1"/>
  <c r="CT444" i="34" a="1"/>
  <c r="CT444" i="34" s="1"/>
  <c r="CU444" i="34" a="1"/>
  <c r="CU444" i="34" s="1"/>
  <c r="CT421" i="34" a="1"/>
  <c r="CT421" i="34" s="1"/>
  <c r="CU421" i="34" a="1"/>
  <c r="CU421" i="34" s="1"/>
  <c r="DX480" i="34" a="1"/>
  <c r="DX480" i="34" s="1"/>
  <c r="DY480" i="34" a="1"/>
  <c r="DY480" i="34" s="1"/>
  <c r="CN479" i="34" a="1"/>
  <c r="CN479" i="34" s="1"/>
  <c r="DF478" i="34" a="1"/>
  <c r="DF478" i="34" s="1"/>
  <c r="CB477" i="34" a="1"/>
  <c r="CB477" i="34" s="1"/>
  <c r="CC472" i="34" a="1"/>
  <c r="CC472" i="34" s="1"/>
  <c r="CT470" i="34" a="1"/>
  <c r="CT470" i="34" s="1"/>
  <c r="CU470" i="34" a="1"/>
  <c r="CU470" i="34" s="1"/>
  <c r="DX459" i="34" a="1"/>
  <c r="DX459" i="34" s="1"/>
  <c r="DY459" i="34" a="1"/>
  <c r="DY459" i="34" s="1"/>
  <c r="CT449" i="34" a="1"/>
  <c r="CT449" i="34" s="1"/>
  <c r="CU449" i="34" a="1"/>
  <c r="CU449" i="34" s="1"/>
  <c r="CT443" i="34" a="1"/>
  <c r="CT443" i="34" s="1"/>
  <c r="CU443" i="34" a="1"/>
  <c r="CU443" i="34" s="1"/>
  <c r="CT442" i="34" a="1"/>
  <c r="CT442" i="34" s="1"/>
  <c r="CU442" i="34" a="1"/>
  <c r="CU442" i="34" s="1"/>
  <c r="BV475" i="34" a="1"/>
  <c r="BV475" i="34" s="1"/>
  <c r="BW475" i="34" a="1"/>
  <c r="BW475" i="34" s="1"/>
  <c r="DX473" i="34" a="1"/>
  <c r="DX473" i="34" s="1"/>
  <c r="DY473" i="34" a="1"/>
  <c r="DY473" i="34" s="1"/>
  <c r="DF472" i="34" a="1"/>
  <c r="DF472" i="34" s="1"/>
  <c r="DG472" i="34" a="1"/>
  <c r="DG472" i="34" s="1"/>
  <c r="DL468" i="34" a="1"/>
  <c r="DL468" i="34" s="1"/>
  <c r="DM468" i="34" a="1"/>
  <c r="DM468" i="34" s="1"/>
  <c r="CH468" i="34" a="1"/>
  <c r="CH468" i="34" s="1"/>
  <c r="CI468" i="34" a="1"/>
  <c r="CI468" i="34" s="1"/>
  <c r="CT450" i="34" a="1"/>
  <c r="CT450" i="34" s="1"/>
  <c r="CU450" i="34" a="1"/>
  <c r="CU450" i="34" s="1"/>
  <c r="DL447" i="34" a="1"/>
  <c r="DL447" i="34" s="1"/>
  <c r="DM447" i="34" a="1"/>
  <c r="DM447" i="34" s="1"/>
  <c r="ED441" i="34" a="1"/>
  <c r="ED441" i="34" s="1"/>
  <c r="EE441" i="34" a="1"/>
  <c r="EE441" i="34" s="1"/>
  <c r="CZ440" i="34" a="1"/>
  <c r="CZ440" i="34" s="1"/>
  <c r="DA440" i="34" a="1"/>
  <c r="DA440" i="34" s="1"/>
  <c r="BV440" i="34" a="1"/>
  <c r="BV440" i="34" s="1"/>
  <c r="BW440" i="34" a="1"/>
  <c r="BW440" i="34" s="1"/>
  <c r="CB438" i="34" a="1"/>
  <c r="CB438" i="34" s="1"/>
  <c r="CC438" i="34" a="1"/>
  <c r="CC438" i="34" s="1"/>
  <c r="CH436" i="34" a="1"/>
  <c r="CH436" i="34" s="1"/>
  <c r="CI436" i="34" a="1"/>
  <c r="CI436" i="34" s="1"/>
  <c r="CT383" i="34" a="1"/>
  <c r="CT383" i="34" s="1"/>
  <c r="CU383" i="34" a="1"/>
  <c r="CU383" i="34" s="1"/>
  <c r="EE483" i="34" a="1"/>
  <c r="EE483" i="34" s="1"/>
  <c r="CZ481" i="34" a="1"/>
  <c r="CZ481" i="34" s="1"/>
  <c r="DA481" i="34" a="1"/>
  <c r="DA481" i="34" s="1"/>
  <c r="DR480" i="34" a="1"/>
  <c r="DR480" i="34" s="1"/>
  <c r="DS480" i="34" a="1"/>
  <c r="DS480" i="34" s="1"/>
  <c r="DL479" i="34" a="1"/>
  <c r="DL479" i="34" s="1"/>
  <c r="DM479" i="34" a="1"/>
  <c r="DM479" i="34" s="1"/>
  <c r="CI478" i="34" a="1"/>
  <c r="CI478" i="34" s="1"/>
  <c r="BV477" i="34" a="1"/>
  <c r="BV477" i="34" s="1"/>
  <c r="BW477" i="34" a="1"/>
  <c r="BW477" i="34" s="1"/>
  <c r="BW466" i="34" a="1"/>
  <c r="BW466" i="34" s="1"/>
  <c r="DF465" i="34" a="1"/>
  <c r="DF465" i="34" s="1"/>
  <c r="DG465" i="34" a="1"/>
  <c r="DG465" i="34" s="1"/>
  <c r="CT458" i="34" a="1"/>
  <c r="CT458" i="34" s="1"/>
  <c r="CU458" i="34" a="1"/>
  <c r="CU458" i="34" s="1"/>
  <c r="ED457" i="34" a="1"/>
  <c r="ED457" i="34" s="1"/>
  <c r="EE457" i="34" a="1"/>
  <c r="EE457" i="34" s="1"/>
  <c r="CO444" i="34" a="1"/>
  <c r="CO444" i="34" s="1"/>
  <c r="DX443" i="34" a="1"/>
  <c r="DX443" i="34" s="1"/>
  <c r="DY443" i="34" a="1"/>
  <c r="DY443" i="34" s="1"/>
  <c r="DF438" i="34" a="1"/>
  <c r="DF438" i="34" s="1"/>
  <c r="DG438" i="34" a="1"/>
  <c r="DG438" i="34" s="1"/>
  <c r="CT407" i="34" a="1"/>
  <c r="CT407" i="34" s="1"/>
  <c r="CU407" i="34" a="1"/>
  <c r="CU407" i="34" s="1"/>
  <c r="DY391" i="34" a="1"/>
  <c r="DY391" i="34" s="1"/>
  <c r="ED478" i="34" a="1"/>
  <c r="ED478" i="34" s="1"/>
  <c r="EE478" i="34" a="1"/>
  <c r="EE478" i="34" s="1"/>
  <c r="DX477" i="34" a="1"/>
  <c r="DX477" i="34" s="1"/>
  <c r="CZ472" i="34" a="1"/>
  <c r="CZ472" i="34" s="1"/>
  <c r="DA472" i="34" a="1"/>
  <c r="DA472" i="34" s="1"/>
  <c r="DY469" i="34" a="1"/>
  <c r="DY469" i="34" s="1"/>
  <c r="CT469" i="34" a="1"/>
  <c r="CT469" i="34" s="1"/>
  <c r="CU469" i="34" a="1"/>
  <c r="CU469" i="34" s="1"/>
  <c r="DF468" i="34" a="1"/>
  <c r="DF468" i="34" s="1"/>
  <c r="BV461" i="34" a="1"/>
  <c r="BV461" i="34" s="1"/>
  <c r="BW461" i="34" a="1"/>
  <c r="BW461" i="34" s="1"/>
  <c r="DR450" i="34" a="1"/>
  <c r="DR450" i="34" s="1"/>
  <c r="DS450" i="34" a="1"/>
  <c r="DS450" i="34" s="1"/>
  <c r="CN450" i="34" a="1"/>
  <c r="CN450" i="34" s="1"/>
  <c r="CO450" i="34" a="1"/>
  <c r="CO450" i="34" s="1"/>
  <c r="DL436" i="34" a="1"/>
  <c r="DL436" i="34" s="1"/>
  <c r="DM436" i="34" a="1"/>
  <c r="DM436" i="34" s="1"/>
  <c r="DF483" i="34" a="1"/>
  <c r="DF483" i="34" s="1"/>
  <c r="ED476" i="34" a="1"/>
  <c r="ED476" i="34" s="1"/>
  <c r="EE476" i="34" a="1"/>
  <c r="EE476" i="34" s="1"/>
  <c r="DX475" i="34" a="1"/>
  <c r="DX475" i="34" s="1"/>
  <c r="DY475" i="34" a="1"/>
  <c r="DY475" i="34" s="1"/>
  <c r="CB468" i="34" a="1"/>
  <c r="CB468" i="34" s="1"/>
  <c r="CC468" i="34" a="1"/>
  <c r="CC468" i="34" s="1"/>
  <c r="BV456" i="34" a="1"/>
  <c r="BV456" i="34" s="1"/>
  <c r="BW456" i="34" a="1"/>
  <c r="BW456" i="34" s="1"/>
  <c r="DR445" i="34" a="1"/>
  <c r="DR445" i="34" s="1"/>
  <c r="DS445" i="34" a="1"/>
  <c r="DS445" i="34" s="1"/>
  <c r="BV424" i="34" a="1"/>
  <c r="BV424" i="34" s="1"/>
  <c r="BW424" i="34" a="1"/>
  <c r="BW424" i="34" s="1"/>
  <c r="CH484" i="34" a="1"/>
  <c r="CH484" i="34" s="1"/>
  <c r="CI484" i="34" a="1"/>
  <c r="CI484" i="34" s="1"/>
  <c r="DF479" i="34" a="1"/>
  <c r="DF479" i="34" s="1"/>
  <c r="DG479" i="34" a="1"/>
  <c r="DG479" i="34" s="1"/>
  <c r="DX478" i="34" a="1"/>
  <c r="DX478" i="34" s="1"/>
  <c r="DY478" i="34" a="1"/>
  <c r="DY478" i="34" s="1"/>
  <c r="CC478" i="34" a="1"/>
  <c r="CC478" i="34" s="1"/>
  <c r="CN473" i="34" a="1"/>
  <c r="CN473" i="34" s="1"/>
  <c r="CO473" i="34" a="1"/>
  <c r="CO473" i="34" s="1"/>
  <c r="CT472" i="34" a="1"/>
  <c r="CT472" i="34" s="1"/>
  <c r="BV472" i="34" a="1"/>
  <c r="BV472" i="34" s="1"/>
  <c r="BW472" i="34" a="1"/>
  <c r="BW472" i="34" s="1"/>
  <c r="CZ456" i="34" a="1"/>
  <c r="CZ456" i="34" s="1"/>
  <c r="DA456" i="34" a="1"/>
  <c r="DA456" i="34" s="1"/>
  <c r="CZ451" i="34" a="1"/>
  <c r="CZ451" i="34" s="1"/>
  <c r="DA451" i="34" a="1"/>
  <c r="DA451" i="34" s="1"/>
  <c r="DX448" i="34" a="1"/>
  <c r="DX448" i="34" s="1"/>
  <c r="DY448" i="34" a="1"/>
  <c r="DY448" i="34" s="1"/>
  <c r="ED431" i="34" a="1"/>
  <c r="ED431" i="34" s="1"/>
  <c r="EE431" i="34" a="1"/>
  <c r="EE431" i="34" s="1"/>
  <c r="CT419" i="34" a="1"/>
  <c r="CT419" i="34" s="1"/>
  <c r="CU419" i="34" a="1"/>
  <c r="CU419" i="34" s="1"/>
  <c r="DY483" i="34" a="1"/>
  <c r="DY483" i="34" s="1"/>
  <c r="CI483" i="34" a="1"/>
  <c r="CI483" i="34" s="1"/>
  <c r="CN480" i="34" a="1"/>
  <c r="CN480" i="34" s="1"/>
  <c r="CO480" i="34" a="1"/>
  <c r="CO480" i="34" s="1"/>
  <c r="DR477" i="34" a="1"/>
  <c r="DR477" i="34" s="1"/>
  <c r="DS477" i="34" a="1"/>
  <c r="DS477" i="34" s="1"/>
  <c r="CN469" i="34" a="1"/>
  <c r="CN469" i="34" s="1"/>
  <c r="DL463" i="34" a="1"/>
  <c r="DL463" i="34" s="1"/>
  <c r="DM463" i="34" a="1"/>
  <c r="DM463" i="34" s="1"/>
  <c r="CB459" i="34" a="1"/>
  <c r="CB459" i="34" s="1"/>
  <c r="CC459" i="34" a="1"/>
  <c r="CC459" i="34" s="1"/>
  <c r="CB454" i="34" a="1"/>
  <c r="CB454" i="34" s="1"/>
  <c r="CC454" i="34" a="1"/>
  <c r="CC454" i="34" s="1"/>
  <c r="EE451" i="34" a="1"/>
  <c r="EE451" i="34" s="1"/>
  <c r="BV428" i="34" a="1"/>
  <c r="BV428" i="34" s="1"/>
  <c r="BW428" i="34" a="1"/>
  <c r="BW428" i="34" s="1"/>
  <c r="CH422" i="34" a="1"/>
  <c r="CH422" i="34" s="1"/>
  <c r="CI422" i="34" a="1"/>
  <c r="CI422" i="34" s="1"/>
  <c r="ED400" i="34" a="1"/>
  <c r="ED400" i="34" s="1"/>
  <c r="EE400" i="34" a="1"/>
  <c r="EE400" i="34" s="1"/>
  <c r="DA465" i="34" a="1"/>
  <c r="DA465" i="34" s="1"/>
  <c r="CO464" i="34" a="1"/>
  <c r="CO464" i="34" s="1"/>
  <c r="DG463" i="34" a="1"/>
  <c r="DG463" i="34" s="1"/>
  <c r="DM461" i="34" a="1"/>
  <c r="DM461" i="34" s="1"/>
  <c r="DS459" i="34" a="1"/>
  <c r="DS459" i="34" s="1"/>
  <c r="DY457" i="34" a="1"/>
  <c r="DY457" i="34" s="1"/>
  <c r="EE455" i="34" a="1"/>
  <c r="EE455" i="34" s="1"/>
  <c r="BW454" i="34" a="1"/>
  <c r="BW454" i="34" s="1"/>
  <c r="CC452" i="34" a="1"/>
  <c r="CC452" i="34" s="1"/>
  <c r="CU451" i="34" a="1"/>
  <c r="CU451" i="34" s="1"/>
  <c r="CI450" i="34" a="1"/>
  <c r="CI450" i="34" s="1"/>
  <c r="DA449" i="34" a="1"/>
  <c r="DA449" i="34" s="1"/>
  <c r="CO448" i="34" a="1"/>
  <c r="CO448" i="34" s="1"/>
  <c r="DG447" i="34" a="1"/>
  <c r="DG447" i="34" s="1"/>
  <c r="DM445" i="34" a="1"/>
  <c r="DM445" i="34" s="1"/>
  <c r="DS443" i="34" a="1"/>
  <c r="DS443" i="34" s="1"/>
  <c r="DY441" i="34" a="1"/>
  <c r="DY441" i="34" s="1"/>
  <c r="EE439" i="34" a="1"/>
  <c r="EE439" i="34" s="1"/>
  <c r="BW438" i="34" a="1"/>
  <c r="BW438" i="34" s="1"/>
  <c r="CC436" i="34" a="1"/>
  <c r="CC436" i="34" s="1"/>
  <c r="CU435" i="34" a="1"/>
  <c r="CU435" i="34" s="1"/>
  <c r="DM433" i="34" a="1"/>
  <c r="DM433" i="34" s="1"/>
  <c r="DS432" i="34" a="1"/>
  <c r="DS432" i="34" s="1"/>
  <c r="CI432" i="34" a="1"/>
  <c r="CI432" i="34" s="1"/>
  <c r="ED430" i="34" a="1"/>
  <c r="ED430" i="34" s="1"/>
  <c r="CN430" i="34" a="1"/>
  <c r="CN430" i="34" s="1"/>
  <c r="DG426" i="34" a="1"/>
  <c r="DG426" i="34" s="1"/>
  <c r="CH420" i="34" a="1"/>
  <c r="CH420" i="34" s="1"/>
  <c r="CI420" i="34" a="1"/>
  <c r="CI420" i="34" s="1"/>
  <c r="CC418" i="34" a="1"/>
  <c r="CC418" i="34" s="1"/>
  <c r="CT405" i="34" a="1"/>
  <c r="CT405" i="34" s="1"/>
  <c r="CU405" i="34" a="1"/>
  <c r="CU405" i="34" s="1"/>
  <c r="CT382" i="34" a="1"/>
  <c r="CT382" i="34" s="1"/>
  <c r="CU382" i="34" a="1"/>
  <c r="CU382" i="34" s="1"/>
  <c r="DX381" i="34" a="1"/>
  <c r="DX381" i="34" s="1"/>
  <c r="DY381" i="34" a="1"/>
  <c r="DY381" i="34" s="1"/>
  <c r="BV380" i="34" a="1"/>
  <c r="BV380" i="34" s="1"/>
  <c r="BW380" i="34" a="1"/>
  <c r="BW380" i="34" s="1"/>
  <c r="DY373" i="34" a="1"/>
  <c r="DY373" i="34" s="1"/>
  <c r="CC473" i="34" a="1"/>
  <c r="CC473" i="34" s="1"/>
  <c r="CU472" i="34" a="1"/>
  <c r="CU472" i="34" s="1"/>
  <c r="CI471" i="34" a="1"/>
  <c r="CI471" i="34" s="1"/>
  <c r="DA470" i="34" a="1"/>
  <c r="DA470" i="34" s="1"/>
  <c r="CO469" i="34" a="1"/>
  <c r="CO469" i="34" s="1"/>
  <c r="DG468" i="34" a="1"/>
  <c r="DG468" i="34" s="1"/>
  <c r="DM466" i="34" a="1"/>
  <c r="DM466" i="34" s="1"/>
  <c r="DS464" i="34" a="1"/>
  <c r="DS464" i="34" s="1"/>
  <c r="DY462" i="34" a="1"/>
  <c r="DY462" i="34" s="1"/>
  <c r="EE460" i="34" a="1"/>
  <c r="EE460" i="34" s="1"/>
  <c r="BW459" i="34" a="1"/>
  <c r="BW459" i="34" s="1"/>
  <c r="CC457" i="34" a="1"/>
  <c r="CC457" i="34" s="1"/>
  <c r="CU456" i="34" a="1"/>
  <c r="CU456" i="34" s="1"/>
  <c r="CI455" i="34" a="1"/>
  <c r="CI455" i="34" s="1"/>
  <c r="DA454" i="34" a="1"/>
  <c r="DA454" i="34" s="1"/>
  <c r="CO453" i="34" a="1"/>
  <c r="CO453" i="34" s="1"/>
  <c r="DG452" i="34" a="1"/>
  <c r="DG452" i="34" s="1"/>
  <c r="DM450" i="34" a="1"/>
  <c r="DM450" i="34" s="1"/>
  <c r="DS448" i="34" a="1"/>
  <c r="DS448" i="34" s="1"/>
  <c r="DY446" i="34" a="1"/>
  <c r="DY446" i="34" s="1"/>
  <c r="EE444" i="34" a="1"/>
  <c r="EE444" i="34" s="1"/>
  <c r="BW443" i="34" a="1"/>
  <c r="BW443" i="34" s="1"/>
  <c r="CC441" i="34" a="1"/>
  <c r="CC441" i="34" s="1"/>
  <c r="CU440" i="34" a="1"/>
  <c r="CU440" i="34" s="1"/>
  <c r="CI439" i="34" a="1"/>
  <c r="CI439" i="34" s="1"/>
  <c r="DA438" i="34" a="1"/>
  <c r="DA438" i="34" s="1"/>
  <c r="CO437" i="34" a="1"/>
  <c r="CO437" i="34" s="1"/>
  <c r="DG436" i="34" a="1"/>
  <c r="DG436" i="34" s="1"/>
  <c r="DF434" i="34" a="1"/>
  <c r="DF434" i="34" s="1"/>
  <c r="EE433" i="34" a="1"/>
  <c r="EE433" i="34" s="1"/>
  <c r="DG431" i="34" a="1"/>
  <c r="DG431" i="34" s="1"/>
  <c r="DY430" i="34" a="1"/>
  <c r="DY430" i="34" s="1"/>
  <c r="DX426" i="34" a="1"/>
  <c r="DX426" i="34" s="1"/>
  <c r="CB422" i="34" a="1"/>
  <c r="CB422" i="34" s="1"/>
  <c r="CC422" i="34" a="1"/>
  <c r="CC422" i="34" s="1"/>
  <c r="CB413" i="34" a="1"/>
  <c r="CB413" i="34" s="1"/>
  <c r="CC413" i="34" a="1"/>
  <c r="CC413" i="34" s="1"/>
  <c r="CT412" i="34" a="1"/>
  <c r="CT412" i="34" s="1"/>
  <c r="CU412" i="34" a="1"/>
  <c r="CU412" i="34" s="1"/>
  <c r="CB408" i="34" a="1"/>
  <c r="CB408" i="34" s="1"/>
  <c r="CC408" i="34" a="1"/>
  <c r="CC408" i="34" s="1"/>
  <c r="CT387" i="34" a="1"/>
  <c r="CT387" i="34" s="1"/>
  <c r="CU387" i="34" a="1"/>
  <c r="CU387" i="34" s="1"/>
  <c r="CH384" i="34" a="1"/>
  <c r="CH384" i="34" s="1"/>
  <c r="CN382" i="34" a="1"/>
  <c r="CN382" i="34" s="1"/>
  <c r="CT359" i="34" a="1"/>
  <c r="CT359" i="34" s="1"/>
  <c r="CU359" i="34" a="1"/>
  <c r="CU359" i="34" s="1"/>
  <c r="CZ431" i="34" a="1"/>
  <c r="CZ431" i="34" s="1"/>
  <c r="ED427" i="34" a="1"/>
  <c r="ED427" i="34" s="1"/>
  <c r="EE427" i="34" a="1"/>
  <c r="EE427" i="34" s="1"/>
  <c r="DL417" i="34" a="1"/>
  <c r="DL417" i="34" s="1"/>
  <c r="DM417" i="34" a="1"/>
  <c r="DM417" i="34" s="1"/>
  <c r="CU416" i="34" a="1"/>
  <c r="CU416" i="34" s="1"/>
  <c r="CU400" i="34" a="1"/>
  <c r="CU400" i="34" s="1"/>
  <c r="DR388" i="34" a="1"/>
  <c r="DR388" i="34" s="1"/>
  <c r="DS388" i="34" a="1"/>
  <c r="DS388" i="34" s="1"/>
  <c r="DR383" i="34" a="1"/>
  <c r="DR383" i="34" s="1"/>
  <c r="DS383" i="34" a="1"/>
  <c r="DS383" i="34" s="1"/>
  <c r="DF365" i="34" a="1"/>
  <c r="DF365" i="34" s="1"/>
  <c r="DG365" i="34" a="1"/>
  <c r="DG365" i="34" s="1"/>
  <c r="DX431" i="34" a="1"/>
  <c r="DX431" i="34" s="1"/>
  <c r="CH427" i="34" a="1"/>
  <c r="CH427" i="34" s="1"/>
  <c r="CI427" i="34" a="1"/>
  <c r="CI427" i="34" s="1"/>
  <c r="DF403" i="34" a="1"/>
  <c r="DF403" i="34" s="1"/>
  <c r="DG403" i="34" a="1"/>
  <c r="DG403" i="34" s="1"/>
  <c r="DX397" i="34" a="1"/>
  <c r="DX397" i="34" s="1"/>
  <c r="DY397" i="34" a="1"/>
  <c r="DY397" i="34" s="1"/>
  <c r="CZ394" i="34" a="1"/>
  <c r="CZ394" i="34" s="1"/>
  <c r="DA394" i="34" a="1"/>
  <c r="DA394" i="34" s="1"/>
  <c r="BV394" i="34" a="1"/>
  <c r="BV394" i="34" s="1"/>
  <c r="BW394" i="34" a="1"/>
  <c r="BW394" i="34" s="1"/>
  <c r="CN388" i="34" a="1"/>
  <c r="CN388" i="34" s="1"/>
  <c r="CO388" i="34" a="1"/>
  <c r="CO388" i="34" s="1"/>
  <c r="DR372" i="34" a="1"/>
  <c r="DR372" i="34" s="1"/>
  <c r="DS372" i="34" a="1"/>
  <c r="DS372" i="34" s="1"/>
  <c r="DX359" i="34" a="1"/>
  <c r="DX359" i="34" s="1"/>
  <c r="ED411" i="34" a="1"/>
  <c r="ED411" i="34" s="1"/>
  <c r="EE411" i="34" a="1"/>
  <c r="EE411" i="34" s="1"/>
  <c r="DF408" i="34" a="1"/>
  <c r="DF408" i="34" s="1"/>
  <c r="DG408" i="34" a="1"/>
  <c r="DG408" i="34" s="1"/>
  <c r="DL374" i="34" a="1"/>
  <c r="DL374" i="34" s="1"/>
  <c r="DM374" i="34" a="1"/>
  <c r="DM374" i="34" s="1"/>
  <c r="DS370" i="34" a="1"/>
  <c r="DS370" i="34" s="1"/>
  <c r="DR370" i="34" a="1"/>
  <c r="DR370" i="34" s="1"/>
  <c r="DM470" i="34" a="1"/>
  <c r="DM470" i="34" s="1"/>
  <c r="DS468" i="34" a="1"/>
  <c r="DS468" i="34" s="1"/>
  <c r="DY466" i="34" a="1"/>
  <c r="DY466" i="34" s="1"/>
  <c r="EE464" i="34" a="1"/>
  <c r="EE464" i="34" s="1"/>
  <c r="CC461" i="34" a="1"/>
  <c r="CC461" i="34" s="1"/>
  <c r="CU460" i="34" a="1"/>
  <c r="CU460" i="34" s="1"/>
  <c r="CI459" i="34" a="1"/>
  <c r="CI459" i="34" s="1"/>
  <c r="DA458" i="34" a="1"/>
  <c r="DA458" i="34" s="1"/>
  <c r="CO457" i="34" a="1"/>
  <c r="CO457" i="34" s="1"/>
  <c r="DG456" i="34" a="1"/>
  <c r="DG456" i="34" s="1"/>
  <c r="DM454" i="34" a="1"/>
  <c r="DM454" i="34" s="1"/>
  <c r="DS452" i="34" a="1"/>
  <c r="DS452" i="34" s="1"/>
  <c r="DY450" i="34" a="1"/>
  <c r="DY450" i="34" s="1"/>
  <c r="EE448" i="34" a="1"/>
  <c r="EE448" i="34" s="1"/>
  <c r="BW447" i="34" a="1"/>
  <c r="BW447" i="34" s="1"/>
  <c r="CC445" i="34" a="1"/>
  <c r="CC445" i="34" s="1"/>
  <c r="CI443" i="34" a="1"/>
  <c r="CI443" i="34" s="1"/>
  <c r="DA442" i="34" a="1"/>
  <c r="DA442" i="34" s="1"/>
  <c r="CO441" i="34" a="1"/>
  <c r="CO441" i="34" s="1"/>
  <c r="DG440" i="34" a="1"/>
  <c r="DG440" i="34" s="1"/>
  <c r="DM438" i="34" a="1"/>
  <c r="DM438" i="34" s="1"/>
  <c r="DS436" i="34" a="1"/>
  <c r="DS436" i="34" s="1"/>
  <c r="DG433" i="34" a="1"/>
  <c r="DG433" i="34" s="1"/>
  <c r="ED429" i="34" a="1"/>
  <c r="ED429" i="34" s="1"/>
  <c r="DG429" i="34" a="1"/>
  <c r="DG429" i="34" s="1"/>
  <c r="CZ426" i="34" a="1"/>
  <c r="CZ426" i="34" s="1"/>
  <c r="DA426" i="34" a="1"/>
  <c r="DA426" i="34" s="1"/>
  <c r="CT425" i="34" a="1"/>
  <c r="CT425" i="34" s="1"/>
  <c r="DA423" i="34" a="1"/>
  <c r="DA423" i="34" s="1"/>
  <c r="DA415" i="34" a="1"/>
  <c r="DA415" i="34" s="1"/>
  <c r="CU411" i="34" a="1"/>
  <c r="CU411" i="34" s="1"/>
  <c r="DL401" i="34" a="1"/>
  <c r="DL401" i="34" s="1"/>
  <c r="DM401" i="34" a="1"/>
  <c r="DM401" i="34" s="1"/>
  <c r="BV399" i="34" a="1"/>
  <c r="BV399" i="34" s="1"/>
  <c r="BW399" i="34" a="1"/>
  <c r="BW399" i="34" s="1"/>
  <c r="CB392" i="34" a="1"/>
  <c r="CB392" i="34" s="1"/>
  <c r="CC392" i="34" a="1"/>
  <c r="CC392" i="34" s="1"/>
  <c r="DX386" i="34" a="1"/>
  <c r="DX386" i="34" s="1"/>
  <c r="DY386" i="34" a="1"/>
  <c r="DY386" i="34" s="1"/>
  <c r="CT386" i="34" a="1"/>
  <c r="CT386" i="34" s="1"/>
  <c r="CU386" i="34" a="1"/>
  <c r="CU386" i="34" s="1"/>
  <c r="DX434" i="34" a="1"/>
  <c r="DX434" i="34" s="1"/>
  <c r="DL432" i="34" a="1"/>
  <c r="DL432" i="34" s="1"/>
  <c r="CT431" i="34" a="1"/>
  <c r="CT431" i="34" s="1"/>
  <c r="CC431" i="34" a="1"/>
  <c r="CC431" i="34" s="1"/>
  <c r="CI430" i="34" a="1"/>
  <c r="CI430" i="34" s="1"/>
  <c r="DX427" i="34" a="1"/>
  <c r="DX427" i="34" s="1"/>
  <c r="DY427" i="34" a="1"/>
  <c r="DY427" i="34" s="1"/>
  <c r="CB427" i="34" a="1"/>
  <c r="CB427" i="34" s="1"/>
  <c r="CB426" i="34" a="1"/>
  <c r="CB426" i="34" s="1"/>
  <c r="BW420" i="34" a="1"/>
  <c r="BW420" i="34" s="1"/>
  <c r="CT413" i="34" a="1"/>
  <c r="CT413" i="34" s="1"/>
  <c r="CU413" i="34" a="1"/>
  <c r="CU413" i="34" s="1"/>
  <c r="CT409" i="34" a="1"/>
  <c r="CT409" i="34" s="1"/>
  <c r="CU409" i="34" a="1"/>
  <c r="CU409" i="34" s="1"/>
  <c r="DL406" i="34" a="1"/>
  <c r="DL406" i="34" s="1"/>
  <c r="DM406" i="34" a="1"/>
  <c r="DM406" i="34" s="1"/>
  <c r="CH406" i="34" a="1"/>
  <c r="CH406" i="34" s="1"/>
  <c r="CI406" i="34" a="1"/>
  <c r="CI406" i="34" s="1"/>
  <c r="CC402" i="34" a="1"/>
  <c r="CC402" i="34" s="1"/>
  <c r="CT399" i="34" a="1"/>
  <c r="CT399" i="34" s="1"/>
  <c r="CU399" i="34" a="1"/>
  <c r="CU399" i="34" s="1"/>
  <c r="DM395" i="34" a="1"/>
  <c r="DM395" i="34" s="1"/>
  <c r="CH395" i="34" a="1"/>
  <c r="CH395" i="34" s="1"/>
  <c r="CI395" i="34" a="1"/>
  <c r="CI395" i="34" s="1"/>
  <c r="CZ389" i="34" a="1"/>
  <c r="CZ389" i="34" s="1"/>
  <c r="DA389" i="34" a="1"/>
  <c r="DA389" i="34" s="1"/>
  <c r="CT385" i="34" a="1"/>
  <c r="CT385" i="34" s="1"/>
  <c r="DA378" i="34" a="1"/>
  <c r="DA378" i="34" s="1"/>
  <c r="CZ378" i="34" a="1"/>
  <c r="CZ378" i="34" s="1"/>
  <c r="CT353" i="34" a="1"/>
  <c r="CT353" i="34" s="1"/>
  <c r="CT426" i="34" a="1"/>
  <c r="CT426" i="34" s="1"/>
  <c r="CU426" i="34" a="1"/>
  <c r="CU426" i="34" s="1"/>
  <c r="DX418" i="34" a="1"/>
  <c r="DX418" i="34" s="1"/>
  <c r="DY418" i="34" a="1"/>
  <c r="DY418" i="34" s="1"/>
  <c r="CT418" i="34" a="1"/>
  <c r="CT418" i="34" s="1"/>
  <c r="CU418" i="34" a="1"/>
  <c r="CU418" i="34" s="1"/>
  <c r="CT415" i="34" a="1"/>
  <c r="CT415" i="34" s="1"/>
  <c r="CU415" i="34" a="1"/>
  <c r="CU415" i="34" s="1"/>
  <c r="BV415" i="34" a="1"/>
  <c r="BV415" i="34" s="1"/>
  <c r="BW415" i="34" a="1"/>
  <c r="BW415" i="34" s="1"/>
  <c r="DS409" i="34" a="1"/>
  <c r="DS409" i="34" s="1"/>
  <c r="EE389" i="34" a="1"/>
  <c r="EE389" i="34" s="1"/>
  <c r="CZ377" i="34" a="1"/>
  <c r="CZ377" i="34" s="1"/>
  <c r="DA377" i="34" a="1"/>
  <c r="DA377" i="34" s="1"/>
  <c r="DX429" i="34" a="1"/>
  <c r="DX429" i="34" s="1"/>
  <c r="DY429" i="34" a="1"/>
  <c r="DY429" i="34" s="1"/>
  <c r="CN425" i="34" a="1"/>
  <c r="CN425" i="34" s="1"/>
  <c r="CO425" i="34" a="1"/>
  <c r="CO425" i="34" s="1"/>
  <c r="CN409" i="34" a="1"/>
  <c r="CN409" i="34" s="1"/>
  <c r="CO409" i="34" a="1"/>
  <c r="CO409" i="34" s="1"/>
  <c r="CT408" i="34" a="1"/>
  <c r="CT408" i="34" s="1"/>
  <c r="CU408" i="34" a="1"/>
  <c r="CU408" i="34" s="1"/>
  <c r="CT403" i="34" a="1"/>
  <c r="CT403" i="34" s="1"/>
  <c r="CU403" i="34" a="1"/>
  <c r="CU403" i="34" s="1"/>
  <c r="DF392" i="34" a="1"/>
  <c r="DF392" i="34" s="1"/>
  <c r="DG392" i="34" a="1"/>
  <c r="DG392" i="34" s="1"/>
  <c r="ED384" i="34" a="1"/>
  <c r="ED384" i="34" s="1"/>
  <c r="EE384" i="34" a="1"/>
  <c r="EE384" i="34" s="1"/>
  <c r="CH368" i="34" a="1"/>
  <c r="CH368" i="34" s="1"/>
  <c r="CI368" i="34" a="1"/>
  <c r="CI368" i="34" s="1"/>
  <c r="CI447" i="34" a="1"/>
  <c r="CI447" i="34" s="1"/>
  <c r="DA446" i="34" a="1"/>
  <c r="DA446" i="34" s="1"/>
  <c r="CO445" i="34" a="1"/>
  <c r="CO445" i="34" s="1"/>
  <c r="DG444" i="34" a="1"/>
  <c r="DG444" i="34" s="1"/>
  <c r="DM442" i="34" a="1"/>
  <c r="DM442" i="34" s="1"/>
  <c r="DS440" i="34" a="1"/>
  <c r="DS440" i="34" s="1"/>
  <c r="DY438" i="34" a="1"/>
  <c r="DY438" i="34" s="1"/>
  <c r="EE436" i="34" a="1"/>
  <c r="EE436" i="34" s="1"/>
  <c r="CU434" i="34" a="1"/>
  <c r="CU434" i="34" s="1"/>
  <c r="CB434" i="34" a="1"/>
  <c r="CB434" i="34" s="1"/>
  <c r="EE432" i="34" a="1"/>
  <c r="EE432" i="34" s="1"/>
  <c r="DM431" i="34" a="1"/>
  <c r="DM431" i="34" s="1"/>
  <c r="DS430" i="34" a="1"/>
  <c r="DS430" i="34" s="1"/>
  <c r="DA429" i="34" a="1"/>
  <c r="DA429" i="34" s="1"/>
  <c r="BV426" i="34" a="1"/>
  <c r="BV426" i="34" s="1"/>
  <c r="BW426" i="34" a="1"/>
  <c r="BW426" i="34" s="1"/>
  <c r="DF424" i="34" a="1"/>
  <c r="DF424" i="34" s="1"/>
  <c r="DG424" i="34" a="1"/>
  <c r="DG424" i="34" s="1"/>
  <c r="CH424" i="34" a="1"/>
  <c r="CH424" i="34" s="1"/>
  <c r="BV423" i="34" a="1"/>
  <c r="BV423" i="34" s="1"/>
  <c r="DF421" i="34" a="1"/>
  <c r="DF421" i="34" s="1"/>
  <c r="CB421" i="34" a="1"/>
  <c r="CB421" i="34" s="1"/>
  <c r="EE419" i="34" a="1"/>
  <c r="EE419" i="34" s="1"/>
  <c r="DF419" i="34" a="1"/>
  <c r="DF419" i="34" s="1"/>
  <c r="DG419" i="34" a="1"/>
  <c r="DG419" i="34" s="1"/>
  <c r="DR418" i="34" a="1"/>
  <c r="DR418" i="34" s="1"/>
  <c r="DS418" i="34" a="1"/>
  <c r="DS418" i="34" s="1"/>
  <c r="DY407" i="34" a="1"/>
  <c r="DY407" i="34" s="1"/>
  <c r="DR404" i="34" a="1"/>
  <c r="DR404" i="34" s="1"/>
  <c r="DS404" i="34" a="1"/>
  <c r="DS404" i="34" s="1"/>
  <c r="CT393" i="34" a="1"/>
  <c r="CT393" i="34" s="1"/>
  <c r="CU393" i="34" a="1"/>
  <c r="CU393" i="34" s="1"/>
  <c r="CT389" i="34" a="1"/>
  <c r="CT389" i="34" s="1"/>
  <c r="CU389" i="34" a="1"/>
  <c r="CU389" i="34" s="1"/>
  <c r="DS429" i="34" a="1"/>
  <c r="DS429" i="34" s="1"/>
  <c r="CB429" i="34" a="1"/>
  <c r="CB429" i="34" s="1"/>
  <c r="CC429" i="34" a="1"/>
  <c r="CC429" i="34" s="1"/>
  <c r="CH425" i="34" a="1"/>
  <c r="CH425" i="34" s="1"/>
  <c r="CI425" i="34" a="1"/>
  <c r="CI425" i="34" s="1"/>
  <c r="CN418" i="34" a="1"/>
  <c r="CN418" i="34" s="1"/>
  <c r="CO418" i="34" a="1"/>
  <c r="CO418" i="34" s="1"/>
  <c r="DX413" i="34" a="1"/>
  <c r="DX413" i="34" s="1"/>
  <c r="DY413" i="34" a="1"/>
  <c r="DY413" i="34" s="1"/>
  <c r="CN404" i="34" a="1"/>
  <c r="CN404" i="34" s="1"/>
  <c r="CO404" i="34" a="1"/>
  <c r="CO404" i="34" s="1"/>
  <c r="DR399" i="34" a="1"/>
  <c r="DR399" i="34" s="1"/>
  <c r="DS399" i="34" a="1"/>
  <c r="DS399" i="34" s="1"/>
  <c r="CZ383" i="34" a="1"/>
  <c r="CZ383" i="34" s="1"/>
  <c r="CB381" i="34" a="1"/>
  <c r="CB381" i="34" s="1"/>
  <c r="CC381" i="34" a="1"/>
  <c r="CC381" i="34" s="1"/>
  <c r="DM356" i="34" a="1"/>
  <c r="DM356" i="34" s="1"/>
  <c r="DL356" i="34" a="1"/>
  <c r="DL356" i="34" s="1"/>
  <c r="CZ433" i="34" a="1"/>
  <c r="CZ433" i="34" s="1"/>
  <c r="CN432" i="34" a="1"/>
  <c r="CN432" i="34" s="1"/>
  <c r="DL430" i="34" a="1"/>
  <c r="DL430" i="34" s="1"/>
  <c r="CZ424" i="34" a="1"/>
  <c r="CZ424" i="34" s="1"/>
  <c r="DA424" i="34" a="1"/>
  <c r="DA424" i="34" s="1"/>
  <c r="CT423" i="34" a="1"/>
  <c r="CT423" i="34" s="1"/>
  <c r="CU423" i="34" a="1"/>
  <c r="CU423" i="34" s="1"/>
  <c r="CZ421" i="34" a="1"/>
  <c r="CZ421" i="34" s="1"/>
  <c r="DA421" i="34" a="1"/>
  <c r="DA421" i="34" s="1"/>
  <c r="CT401" i="34" a="1"/>
  <c r="CT401" i="34" s="1"/>
  <c r="CI400" i="34" a="1"/>
  <c r="CI400" i="34" s="1"/>
  <c r="CN393" i="34" a="1"/>
  <c r="CN393" i="34" s="1"/>
  <c r="CO393" i="34" a="1"/>
  <c r="CO393" i="34" s="1"/>
  <c r="BV383" i="34" a="1"/>
  <c r="BV383" i="34" s="1"/>
  <c r="BW383" i="34" a="1"/>
  <c r="BW383" i="34" s="1"/>
  <c r="CH363" i="34" a="1"/>
  <c r="CH363" i="34" s="1"/>
  <c r="CI363" i="34" a="1"/>
  <c r="CI363" i="34" s="1"/>
  <c r="BV431" i="34" a="1"/>
  <c r="BV431" i="34" s="1"/>
  <c r="BW431" i="34" a="1"/>
  <c r="BW431" i="34" s="1"/>
  <c r="CT428" i="34" a="1"/>
  <c r="CT428" i="34" s="1"/>
  <c r="CU428" i="34" a="1"/>
  <c r="CU428" i="34" s="1"/>
  <c r="CT427" i="34" a="1"/>
  <c r="CT427" i="34" s="1"/>
  <c r="ED425" i="34" a="1"/>
  <c r="ED425" i="34" s="1"/>
  <c r="EE425" i="34" a="1"/>
  <c r="EE425" i="34" s="1"/>
  <c r="CB424" i="34" a="1"/>
  <c r="CB424" i="34" s="1"/>
  <c r="CC424" i="34" a="1"/>
  <c r="CC424" i="34" s="1"/>
  <c r="CN422" i="34" a="1"/>
  <c r="CN422" i="34" s="1"/>
  <c r="DR420" i="34" a="1"/>
  <c r="DR420" i="34" s="1"/>
  <c r="DS420" i="34" a="1"/>
  <c r="DS420" i="34" s="1"/>
  <c r="CZ419" i="34" a="1"/>
  <c r="CZ419" i="34" s="1"/>
  <c r="DA419" i="34" a="1"/>
  <c r="DA419" i="34" s="1"/>
  <c r="ED416" i="34" a="1"/>
  <c r="ED416" i="34" s="1"/>
  <c r="EE416" i="34" a="1"/>
  <c r="EE416" i="34" s="1"/>
  <c r="DM411" i="34" a="1"/>
  <c r="DM411" i="34" s="1"/>
  <c r="CT402" i="34" a="1"/>
  <c r="CT402" i="34" s="1"/>
  <c r="CU402" i="34" a="1"/>
  <c r="CU402" i="34" s="1"/>
  <c r="CT396" i="34" a="1"/>
  <c r="CT396" i="34" s="1"/>
  <c r="CU396" i="34" a="1"/>
  <c r="CU396" i="34" s="1"/>
  <c r="ED395" i="34" a="1"/>
  <c r="ED395" i="34" s="1"/>
  <c r="EE395" i="34" a="1"/>
  <c r="EE395" i="34" s="1"/>
  <c r="CT392" i="34" a="1"/>
  <c r="CT392" i="34" s="1"/>
  <c r="CU392" i="34" a="1"/>
  <c r="CU392" i="34" s="1"/>
  <c r="DL390" i="34" a="1"/>
  <c r="DL390" i="34" s="1"/>
  <c r="DM390" i="34" a="1"/>
  <c r="DM390" i="34" s="1"/>
  <c r="DF387" i="34" a="1"/>
  <c r="DF387" i="34" s="1"/>
  <c r="DG387" i="34" a="1"/>
  <c r="DG387" i="34" s="1"/>
  <c r="DL363" i="34" a="1"/>
  <c r="DL363" i="34" s="1"/>
  <c r="DM363" i="34" a="1"/>
  <c r="DM363" i="34" s="1"/>
  <c r="DL422" i="34" a="1"/>
  <c r="DL422" i="34" s="1"/>
  <c r="DM422" i="34" a="1"/>
  <c r="DM422" i="34" s="1"/>
  <c r="CN420" i="34" a="1"/>
  <c r="CN420" i="34" s="1"/>
  <c r="CO420" i="34" a="1"/>
  <c r="CO420" i="34" s="1"/>
  <c r="DR415" i="34" a="1"/>
  <c r="DR415" i="34" s="1"/>
  <c r="DS415" i="34" a="1"/>
  <c r="DS415" i="34" s="1"/>
  <c r="CZ410" i="34" a="1"/>
  <c r="CZ410" i="34" s="1"/>
  <c r="DA410" i="34" a="1"/>
  <c r="DA410" i="34" s="1"/>
  <c r="CZ405" i="34" a="1"/>
  <c r="CZ405" i="34" s="1"/>
  <c r="DA405" i="34" a="1"/>
  <c r="DA405" i="34" s="1"/>
  <c r="DX402" i="34" a="1"/>
  <c r="DX402" i="34" s="1"/>
  <c r="DY402" i="34" a="1"/>
  <c r="DY402" i="34" s="1"/>
  <c r="CH390" i="34" a="1"/>
  <c r="CH390" i="34" s="1"/>
  <c r="CI390" i="34" a="1"/>
  <c r="CI390" i="34" s="1"/>
  <c r="BW388" i="34" a="1"/>
  <c r="BW388" i="34" s="1"/>
  <c r="CU373" i="34" a="1"/>
  <c r="CU373" i="34" s="1"/>
  <c r="CT373" i="34" a="1"/>
  <c r="CT373" i="34" s="1"/>
  <c r="DG417" i="34" a="1"/>
  <c r="DG417" i="34" s="1"/>
  <c r="DM415" i="34" a="1"/>
  <c r="DM415" i="34" s="1"/>
  <c r="DS413" i="34" a="1"/>
  <c r="DS413" i="34" s="1"/>
  <c r="DY411" i="34" a="1"/>
  <c r="DY411" i="34" s="1"/>
  <c r="EE409" i="34" a="1"/>
  <c r="EE409" i="34" s="1"/>
  <c r="BW408" i="34" a="1"/>
  <c r="BW408" i="34" s="1"/>
  <c r="CC406" i="34" a="1"/>
  <c r="CC406" i="34" s="1"/>
  <c r="CI404" i="34" a="1"/>
  <c r="CI404" i="34" s="1"/>
  <c r="DA403" i="34" a="1"/>
  <c r="DA403" i="34" s="1"/>
  <c r="CO402" i="34" a="1"/>
  <c r="CO402" i="34" s="1"/>
  <c r="DG401" i="34" a="1"/>
  <c r="DG401" i="34" s="1"/>
  <c r="DM399" i="34" a="1"/>
  <c r="DM399" i="34" s="1"/>
  <c r="DS397" i="34" a="1"/>
  <c r="DS397" i="34" s="1"/>
  <c r="DY395" i="34" a="1"/>
  <c r="DY395" i="34" s="1"/>
  <c r="EE393" i="34" a="1"/>
  <c r="EE393" i="34" s="1"/>
  <c r="BW392" i="34" a="1"/>
  <c r="BW392" i="34" s="1"/>
  <c r="CC390" i="34" a="1"/>
  <c r="CC390" i="34" s="1"/>
  <c r="CI388" i="34" a="1"/>
  <c r="CI388" i="34" s="1"/>
  <c r="DA387" i="34" a="1"/>
  <c r="DA387" i="34" s="1"/>
  <c r="CO386" i="34" a="1"/>
  <c r="CO386" i="34" s="1"/>
  <c r="DG385" i="34" a="1"/>
  <c r="DG385" i="34" s="1"/>
  <c r="DM383" i="34" a="1"/>
  <c r="DM383" i="34" s="1"/>
  <c r="DS381" i="34" a="1"/>
  <c r="DS381" i="34" s="1"/>
  <c r="DA380" i="34" a="1"/>
  <c r="DA380" i="34" s="1"/>
  <c r="DR376" i="34" a="1"/>
  <c r="DR376" i="34" s="1"/>
  <c r="CU372" i="34" a="1"/>
  <c r="CU372" i="34" s="1"/>
  <c r="BV366" i="34" a="1"/>
  <c r="BV366" i="34" s="1"/>
  <c r="BW366" i="34" a="1"/>
  <c r="BW366" i="34" s="1"/>
  <c r="CH362" i="34" a="1"/>
  <c r="CH362" i="34" s="1"/>
  <c r="CI362" i="34" a="1"/>
  <c r="CI362" i="34" s="1"/>
  <c r="DR360" i="34" a="1"/>
  <c r="DR360" i="34" s="1"/>
  <c r="CN360" i="34" a="1"/>
  <c r="CN360" i="34" s="1"/>
  <c r="CO360" i="34" a="1"/>
  <c r="CO360" i="34" s="1"/>
  <c r="CT358" i="34" a="1"/>
  <c r="CT358" i="34" s="1"/>
  <c r="CB356" i="34" a="1"/>
  <c r="CB356" i="34" s="1"/>
  <c r="CC356" i="34" a="1"/>
  <c r="CC356" i="34" s="1"/>
  <c r="CT336" i="34" a="1"/>
  <c r="CT336" i="34" s="1"/>
  <c r="CU336" i="34" a="1"/>
  <c r="CU336" i="34" s="1"/>
  <c r="DY416" i="34" a="1"/>
  <c r="DY416" i="34" s="1"/>
  <c r="EE414" i="34" a="1"/>
  <c r="EE414" i="34" s="1"/>
  <c r="BW413" i="34" a="1"/>
  <c r="BW413" i="34" s="1"/>
  <c r="CC411" i="34" a="1"/>
  <c r="CC411" i="34" s="1"/>
  <c r="CU410" i="34" a="1"/>
  <c r="CU410" i="34" s="1"/>
  <c r="CI409" i="34" a="1"/>
  <c r="CI409" i="34" s="1"/>
  <c r="DA408" i="34" a="1"/>
  <c r="DA408" i="34" s="1"/>
  <c r="CO407" i="34" a="1"/>
  <c r="CO407" i="34" s="1"/>
  <c r="DG406" i="34" a="1"/>
  <c r="DG406" i="34" s="1"/>
  <c r="DM404" i="34" a="1"/>
  <c r="DM404" i="34" s="1"/>
  <c r="DS402" i="34" a="1"/>
  <c r="DS402" i="34" s="1"/>
  <c r="DY400" i="34" a="1"/>
  <c r="DY400" i="34" s="1"/>
  <c r="EE398" i="34" a="1"/>
  <c r="EE398" i="34" s="1"/>
  <c r="BW397" i="34" a="1"/>
  <c r="BW397" i="34" s="1"/>
  <c r="CC395" i="34" a="1"/>
  <c r="CC395" i="34" s="1"/>
  <c r="CU394" i="34" a="1"/>
  <c r="CU394" i="34" s="1"/>
  <c r="CI393" i="34" a="1"/>
  <c r="CI393" i="34" s="1"/>
  <c r="DA392" i="34" a="1"/>
  <c r="DA392" i="34" s="1"/>
  <c r="CO391" i="34" a="1"/>
  <c r="CO391" i="34" s="1"/>
  <c r="DG390" i="34" a="1"/>
  <c r="DG390" i="34" s="1"/>
  <c r="DM388" i="34" a="1"/>
  <c r="DM388" i="34" s="1"/>
  <c r="DS386" i="34" a="1"/>
  <c r="DS386" i="34" s="1"/>
  <c r="DY384" i="34" a="1"/>
  <c r="DY384" i="34" s="1"/>
  <c r="EE382" i="34" a="1"/>
  <c r="EE382" i="34" s="1"/>
  <c r="CU378" i="34" a="1"/>
  <c r="CU378" i="34" s="1"/>
  <c r="CT378" i="34" a="1"/>
  <c r="CT378" i="34" s="1"/>
  <c r="CT375" i="34" a="1"/>
  <c r="CT375" i="34" s="1"/>
  <c r="CU375" i="34" a="1"/>
  <c r="CU375" i="34" s="1"/>
  <c r="CZ369" i="34" a="1"/>
  <c r="CZ369" i="34" s="1"/>
  <c r="DA369" i="34" a="1"/>
  <c r="DA369" i="34" s="1"/>
  <c r="CB364" i="34" a="1"/>
  <c r="CB364" i="34" s="1"/>
  <c r="CC364" i="34" a="1"/>
  <c r="CC364" i="34" s="1"/>
  <c r="CT350" i="34" a="1"/>
  <c r="CT350" i="34" s="1"/>
  <c r="CU350" i="34" a="1"/>
  <c r="CU350" i="34" s="1"/>
  <c r="CC400" i="34" a="1"/>
  <c r="CC400" i="34" s="1"/>
  <c r="DS391" i="34" a="1"/>
  <c r="DS391" i="34" s="1"/>
  <c r="EE387" i="34" a="1"/>
  <c r="EE387" i="34" s="1"/>
  <c r="BW386" i="34" a="1"/>
  <c r="BW386" i="34" s="1"/>
  <c r="CC384" i="34" a="1"/>
  <c r="CC384" i="34" s="1"/>
  <c r="CI382" i="34" a="1"/>
  <c r="CI382" i="34" s="1"/>
  <c r="DA381" i="34" a="1"/>
  <c r="DA381" i="34" s="1"/>
  <c r="ED379" i="34" a="1"/>
  <c r="ED379" i="34" s="1"/>
  <c r="DG379" i="34" a="1"/>
  <c r="DG379" i="34" s="1"/>
  <c r="DM377" i="34" a="1"/>
  <c r="DM377" i="34" s="1"/>
  <c r="DM376" i="34" a="1"/>
  <c r="DM376" i="34" s="1"/>
  <c r="BW375" i="34" a="1"/>
  <c r="BW375" i="34" s="1"/>
  <c r="DG374" i="34" a="1"/>
  <c r="DG374" i="34" s="1"/>
  <c r="DF374" i="34" a="1"/>
  <c r="DF374" i="34" s="1"/>
  <c r="CC373" i="34" a="1"/>
  <c r="CC373" i="34" s="1"/>
  <c r="DM372" i="34" a="1"/>
  <c r="DM372" i="34" s="1"/>
  <c r="DL372" i="34" a="1"/>
  <c r="DL372" i="34" s="1"/>
  <c r="CZ371" i="34" a="1"/>
  <c r="CZ371" i="34" s="1"/>
  <c r="BV369" i="34" a="1"/>
  <c r="BV369" i="34" s="1"/>
  <c r="BW369" i="34" a="1"/>
  <c r="BW369" i="34" s="1"/>
  <c r="DF364" i="34" a="1"/>
  <c r="DF364" i="34" s="1"/>
  <c r="BW381" i="34" a="1"/>
  <c r="BW381" i="34" s="1"/>
  <c r="BV381" i="34" a="1"/>
  <c r="BV381" i="34" s="1"/>
  <c r="CN370" i="34" a="1"/>
  <c r="CN370" i="34" s="1"/>
  <c r="CT366" i="34" a="1"/>
  <c r="CT366" i="34" s="1"/>
  <c r="CU366" i="34" a="1"/>
  <c r="CU366" i="34" s="1"/>
  <c r="DX358" i="34" a="1"/>
  <c r="DX358" i="34" s="1"/>
  <c r="BV378" i="34" a="1"/>
  <c r="BV378" i="34" s="1"/>
  <c r="BW378" i="34" a="1"/>
  <c r="BW378" i="34" s="1"/>
  <c r="CO375" i="34" a="1"/>
  <c r="CO375" i="34" s="1"/>
  <c r="CN375" i="34" a="1"/>
  <c r="CN375" i="34" s="1"/>
  <c r="DX369" i="34" a="1"/>
  <c r="DX369" i="34" s="1"/>
  <c r="DY369" i="34" a="1"/>
  <c r="DY369" i="34" s="1"/>
  <c r="CT369" i="34" a="1"/>
  <c r="CT369" i="34" s="1"/>
  <c r="CU369" i="34" a="1"/>
  <c r="CU369" i="34" s="1"/>
  <c r="ED368" i="34" a="1"/>
  <c r="ED368" i="34" s="1"/>
  <c r="EE368" i="34" a="1"/>
  <c r="EE368" i="34" s="1"/>
  <c r="CZ364" i="34" a="1"/>
  <c r="CZ364" i="34" s="1"/>
  <c r="DA364" i="34" a="1"/>
  <c r="DA364" i="34" s="1"/>
  <c r="DF360" i="34" a="1"/>
  <c r="DF360" i="34" s="1"/>
  <c r="DG360" i="34" a="1"/>
  <c r="DG360" i="34" s="1"/>
  <c r="ED348" i="34" a="1"/>
  <c r="ED348" i="34" s="1"/>
  <c r="CN366" i="34" a="1"/>
  <c r="CN366" i="34" s="1"/>
  <c r="CO366" i="34" a="1"/>
  <c r="CO366" i="34" s="1"/>
  <c r="DF355" i="34" a="1"/>
  <c r="DF355" i="34" s="1"/>
  <c r="DG355" i="34" a="1"/>
  <c r="DG355" i="34" s="1"/>
  <c r="BW406" i="34" a="1"/>
  <c r="BW406" i="34" s="1"/>
  <c r="DA401" i="34" a="1"/>
  <c r="DA401" i="34" s="1"/>
  <c r="ED377" i="34" a="1"/>
  <c r="ED377" i="34" s="1"/>
  <c r="BV371" i="34" a="1"/>
  <c r="BV371" i="34" s="1"/>
  <c r="CH370" i="34" a="1"/>
  <c r="CH370" i="34" s="1"/>
  <c r="CI370" i="34" a="1"/>
  <c r="CI370" i="34" s="1"/>
  <c r="CH367" i="34" a="1"/>
  <c r="CH367" i="34" s="1"/>
  <c r="CT365" i="34" a="1"/>
  <c r="CT365" i="34" s="1"/>
  <c r="CU365" i="34" a="1"/>
  <c r="CU365" i="34" s="1"/>
  <c r="CT364" i="34" a="1"/>
  <c r="CT364" i="34" s="1"/>
  <c r="CU364" i="34" a="1"/>
  <c r="CU364" i="34" s="1"/>
  <c r="CN376" i="34" a="1"/>
  <c r="CN376" i="34" s="1"/>
  <c r="CO376" i="34" a="1"/>
  <c r="CO376" i="34" s="1"/>
  <c r="DL373" i="34" a="1"/>
  <c r="DL373" i="34" s="1"/>
  <c r="DM373" i="34" a="1"/>
  <c r="DM373" i="34" s="1"/>
  <c r="CT371" i="34" a="1"/>
  <c r="CT371" i="34" s="1"/>
  <c r="CU371" i="34" a="1"/>
  <c r="CU371" i="34" s="1"/>
  <c r="CZ361" i="34" a="1"/>
  <c r="CZ361" i="34" s="1"/>
  <c r="DA361" i="34" a="1"/>
  <c r="DA361" i="34" s="1"/>
  <c r="DL358" i="34" a="1"/>
  <c r="DL358" i="34" s="1"/>
  <c r="DM358" i="34" a="1"/>
  <c r="DM358" i="34" s="1"/>
  <c r="DG354" i="34" a="1"/>
  <c r="DG354" i="34" s="1"/>
  <c r="DF354" i="34" a="1"/>
  <c r="DF354" i="34" s="1"/>
  <c r="CC382" i="34" a="1"/>
  <c r="CC382" i="34" s="1"/>
  <c r="CU381" i="34" a="1"/>
  <c r="CU381" i="34" s="1"/>
  <c r="CU380" i="34" a="1"/>
  <c r="CU380" i="34" s="1"/>
  <c r="DR371" i="34" a="1"/>
  <c r="DR371" i="34" s="1"/>
  <c r="DS371" i="34" a="1"/>
  <c r="DS371" i="34" s="1"/>
  <c r="CB370" i="34" a="1"/>
  <c r="CB370" i="34" s="1"/>
  <c r="CC370" i="34" a="1"/>
  <c r="CC370" i="34" s="1"/>
  <c r="DF367" i="34" a="1"/>
  <c r="DF367" i="34" s="1"/>
  <c r="DG367" i="34" a="1"/>
  <c r="DG367" i="34" s="1"/>
  <c r="CB367" i="34" a="1"/>
  <c r="CB367" i="34" s="1"/>
  <c r="CC367" i="34" a="1"/>
  <c r="CC367" i="34" s="1"/>
  <c r="CZ362" i="34" a="1"/>
  <c r="CZ362" i="34" s="1"/>
  <c r="DA362" i="34" a="1"/>
  <c r="DA362" i="34" s="1"/>
  <c r="DF359" i="34" a="1"/>
  <c r="DF359" i="34" s="1"/>
  <c r="DG359" i="34" a="1"/>
  <c r="DG359" i="34" s="1"/>
  <c r="CC352" i="34" a="1"/>
  <c r="CC352" i="34" s="1"/>
  <c r="CB352" i="34" a="1"/>
  <c r="CB352" i="34" s="1"/>
  <c r="DA384" i="34" a="1"/>
  <c r="DA384" i="34" s="1"/>
  <c r="CO383" i="34" a="1"/>
  <c r="CO383" i="34" s="1"/>
  <c r="DG382" i="34" a="1"/>
  <c r="DG382" i="34" s="1"/>
  <c r="DS379" i="34" a="1"/>
  <c r="DS379" i="34" s="1"/>
  <c r="CI378" i="34" a="1"/>
  <c r="CI378" i="34" s="1"/>
  <c r="EE376" i="34" a="1"/>
  <c r="EE376" i="34" s="1"/>
  <c r="DF375" i="34" a="1"/>
  <c r="DF375" i="34" s="1"/>
  <c r="DG375" i="34" a="1"/>
  <c r="DG375" i="34" s="1"/>
  <c r="CC372" i="34" a="1"/>
  <c r="CC372" i="34" s="1"/>
  <c r="CN365" i="34" a="1"/>
  <c r="CN365" i="34" s="1"/>
  <c r="CT361" i="34" a="1"/>
  <c r="CT361" i="34" s="1"/>
  <c r="CU361" i="34" a="1"/>
  <c r="CU361" i="34" s="1"/>
  <c r="CO380" i="34" a="1"/>
  <c r="CO380" i="34" s="1"/>
  <c r="CI377" i="34" a="1"/>
  <c r="CI377" i="34" s="1"/>
  <c r="CH377" i="34" a="1"/>
  <c r="CH377" i="34" s="1"/>
  <c r="DS374" i="34" a="1"/>
  <c r="DS374" i="34" s="1"/>
  <c r="DY372" i="34" a="1"/>
  <c r="DY372" i="34" s="1"/>
  <c r="CZ367" i="34" a="1"/>
  <c r="CZ367" i="34" s="1"/>
  <c r="DA367" i="34" a="1"/>
  <c r="DA367" i="34" s="1"/>
  <c r="BV367" i="34" a="1"/>
  <c r="BV367" i="34" s="1"/>
  <c r="BW367" i="34" a="1"/>
  <c r="BW367" i="34" s="1"/>
  <c r="CT363" i="34" a="1"/>
  <c r="CT363" i="34" s="1"/>
  <c r="CU363" i="34" a="1"/>
  <c r="CU363" i="34" s="1"/>
  <c r="DL357" i="34" a="1"/>
  <c r="DL357" i="34" s="1"/>
  <c r="DM357" i="34" a="1"/>
  <c r="DM357" i="34" s="1"/>
  <c r="DR345" i="34" a="1"/>
  <c r="DR345" i="34" s="1"/>
  <c r="DS345" i="34" a="1"/>
  <c r="DS345" i="34" s="1"/>
  <c r="DY376" i="34" a="1"/>
  <c r="DY376" i="34" s="1"/>
  <c r="CT368" i="34" a="1"/>
  <c r="CT368" i="34" s="1"/>
  <c r="ED367" i="34" a="1"/>
  <c r="ED367" i="34" s="1"/>
  <c r="EE367" i="34" a="1"/>
  <c r="EE367" i="34" s="1"/>
  <c r="CH365" i="34" a="1"/>
  <c r="CH365" i="34" s="1"/>
  <c r="CI365" i="34" a="1"/>
  <c r="CI365" i="34" s="1"/>
  <c r="CU362" i="34" a="1"/>
  <c r="CU362" i="34" s="1"/>
  <c r="CT362" i="34" a="1"/>
  <c r="CT362" i="34" s="1"/>
  <c r="CN361" i="34" a="1"/>
  <c r="CN361" i="34" s="1"/>
  <c r="CO361" i="34" a="1"/>
  <c r="CO361" i="34" s="1"/>
  <c r="DR349" i="34" a="1"/>
  <c r="DR349" i="34" s="1"/>
  <c r="DS349" i="34" a="1"/>
  <c r="DS349" i="34" s="1"/>
  <c r="DA347" i="34" a="1"/>
  <c r="DA347" i="34" s="1"/>
  <c r="CZ347" i="34" a="1"/>
  <c r="CZ347" i="34" s="1"/>
  <c r="DX343" i="34" a="1"/>
  <c r="DX343" i="34" s="1"/>
  <c r="DY343" i="34" a="1"/>
  <c r="DY343" i="34" s="1"/>
  <c r="DA376" i="34" a="1"/>
  <c r="DA376" i="34" s="1"/>
  <c r="CZ376" i="34" a="1"/>
  <c r="CZ376" i="34" s="1"/>
  <c r="BV372" i="34" a="1"/>
  <c r="BV372" i="34" s="1"/>
  <c r="BW372" i="34" a="1"/>
  <c r="BW372" i="34" s="1"/>
  <c r="DX370" i="34" a="1"/>
  <c r="DX370" i="34" s="1"/>
  <c r="DY370" i="34" a="1"/>
  <c r="DY370" i="34" s="1"/>
  <c r="CN368" i="34" a="1"/>
  <c r="CN368" i="34" s="1"/>
  <c r="CO368" i="34" a="1"/>
  <c r="CO368" i="34" s="1"/>
  <c r="DL365" i="34" a="1"/>
  <c r="DL365" i="34" s="1"/>
  <c r="DM365" i="34" a="1"/>
  <c r="DM365" i="34" s="1"/>
  <c r="EE353" i="34" a="1"/>
  <c r="EE353" i="34" s="1"/>
  <c r="ED353" i="34" a="1"/>
  <c r="ED353" i="34" s="1"/>
  <c r="CB351" i="34" a="1"/>
  <c r="CB351" i="34" s="1"/>
  <c r="CC351" i="34" a="1"/>
  <c r="CC351" i="34" s="1"/>
  <c r="CC379" i="34" a="1"/>
  <c r="CC379" i="34" s="1"/>
  <c r="CB379" i="34" a="1"/>
  <c r="CB379" i="34" s="1"/>
  <c r="DY378" i="34" a="1"/>
  <c r="DY378" i="34" s="1"/>
  <c r="CB365" i="34" a="1"/>
  <c r="CB365" i="34" s="1"/>
  <c r="CC365" i="34" a="1"/>
  <c r="CC365" i="34" s="1"/>
  <c r="DR363" i="34" a="1"/>
  <c r="DR363" i="34" s="1"/>
  <c r="DS363" i="34" a="1"/>
  <c r="DS363" i="34" s="1"/>
  <c r="CN363" i="34" a="1"/>
  <c r="CN363" i="34" s="1"/>
  <c r="CO363" i="34" a="1"/>
  <c r="CO363" i="34" s="1"/>
  <c r="DM349" i="34" a="1"/>
  <c r="DM349" i="34" s="1"/>
  <c r="DL349" i="34" a="1"/>
  <c r="DL349" i="34" s="1"/>
  <c r="BV337" i="34" a="1"/>
  <c r="BV337" i="34" s="1"/>
  <c r="BW337" i="34" a="1"/>
  <c r="BW337" i="34" s="1"/>
  <c r="CT329" i="34" a="1"/>
  <c r="CT329" i="34" s="1"/>
  <c r="CU329" i="34" a="1"/>
  <c r="CU329" i="34" s="1"/>
  <c r="DX368" i="34" a="1"/>
  <c r="DX368" i="34" s="1"/>
  <c r="ED366" i="34" a="1"/>
  <c r="ED366" i="34" s="1"/>
  <c r="BV365" i="34" a="1"/>
  <c r="BV365" i="34" s="1"/>
  <c r="CB363" i="34" a="1"/>
  <c r="CB363" i="34" s="1"/>
  <c r="CH361" i="34" a="1"/>
  <c r="CH361" i="34" s="1"/>
  <c r="CZ360" i="34" a="1"/>
  <c r="CZ360" i="34" s="1"/>
  <c r="CN359" i="34" a="1"/>
  <c r="CN359" i="34" s="1"/>
  <c r="DF358" i="34" a="1"/>
  <c r="DF358" i="34" s="1"/>
  <c r="BV356" i="34" a="1"/>
  <c r="BV356" i="34" s="1"/>
  <c r="CZ355" i="34" a="1"/>
  <c r="CZ355" i="34" s="1"/>
  <c r="CC355" i="34" a="1"/>
  <c r="CC355" i="34" s="1"/>
  <c r="DY354" i="34" a="1"/>
  <c r="DY354" i="34" s="1"/>
  <c r="CN353" i="34" a="1"/>
  <c r="CN353" i="34" s="1"/>
  <c r="DL352" i="34" a="1"/>
  <c r="DL352" i="34" s="1"/>
  <c r="BW352" i="34" a="1"/>
  <c r="BW352" i="34" s="1"/>
  <c r="CO351" i="34" a="1"/>
  <c r="CO351" i="34" s="1"/>
  <c r="DG350" i="34" a="1"/>
  <c r="DG350" i="34" s="1"/>
  <c r="DY347" i="34" a="1"/>
  <c r="DY347" i="34" s="1"/>
  <c r="DX344" i="34" a="1"/>
  <c r="DX344" i="34" s="1"/>
  <c r="CT343" i="34" a="1"/>
  <c r="CT343" i="34" s="1"/>
  <c r="CT340" i="34" a="1"/>
  <c r="CT340" i="34" s="1"/>
  <c r="CU340" i="34" a="1"/>
  <c r="CU340" i="34" s="1"/>
  <c r="CU281" i="34" a="1"/>
  <c r="CU281" i="34" s="1"/>
  <c r="CT281" i="34" a="1"/>
  <c r="CT281" i="34" s="1"/>
  <c r="CZ348" i="34" a="1"/>
  <c r="CZ348" i="34" s="1"/>
  <c r="DA348" i="34" a="1"/>
  <c r="DA348" i="34" s="1"/>
  <c r="CH333" i="34" a="1"/>
  <c r="CH333" i="34" s="1"/>
  <c r="CI333" i="34" a="1"/>
  <c r="CI333" i="34" s="1"/>
  <c r="DG362" i="34" a="1"/>
  <c r="DG362" i="34" s="1"/>
  <c r="DM360" i="34" a="1"/>
  <c r="DM360" i="34" s="1"/>
  <c r="DS358" i="34" a="1"/>
  <c r="DS358" i="34" s="1"/>
  <c r="CH354" i="34" a="1"/>
  <c r="CH354" i="34" s="1"/>
  <c r="DG353" i="34" a="1"/>
  <c r="DG353" i="34" s="1"/>
  <c r="CH349" i="34" a="1"/>
  <c r="CH349" i="34" s="1"/>
  <c r="CI349" i="34" a="1"/>
  <c r="CI349" i="34" s="1"/>
  <c r="CO346" i="34" a="1"/>
  <c r="CO346" i="34" s="1"/>
  <c r="DY361" i="34" a="1"/>
  <c r="DY361" i="34" s="1"/>
  <c r="DM329" i="34" a="1"/>
  <c r="DM329" i="34" s="1"/>
  <c r="DL329" i="34" a="1"/>
  <c r="DL329" i="34" s="1"/>
  <c r="CB312" i="34" a="1"/>
  <c r="CB312" i="34" s="1"/>
  <c r="CC312" i="34" a="1"/>
  <c r="CC312" i="34" s="1"/>
  <c r="ED355" i="34" a="1"/>
  <c r="ED355" i="34" s="1"/>
  <c r="CT355" i="34" a="1"/>
  <c r="CT355" i="34" s="1"/>
  <c r="CC354" i="34" a="1"/>
  <c r="CC354" i="34" s="1"/>
  <c r="CN352" i="34" a="1"/>
  <c r="CN352" i="34" s="1"/>
  <c r="ED350" i="34" a="1"/>
  <c r="ED350" i="34" s="1"/>
  <c r="EE350" i="34" a="1"/>
  <c r="EE350" i="34" s="1"/>
  <c r="CI350" i="34" a="1"/>
  <c r="CI350" i="34" s="1"/>
  <c r="DS347" i="34" a="1"/>
  <c r="DS347" i="34" s="1"/>
  <c r="DR347" i="34" a="1"/>
  <c r="DR347" i="34" s="1"/>
  <c r="DX340" i="34" a="1"/>
  <c r="DX340" i="34" s="1"/>
  <c r="DY340" i="34" a="1"/>
  <c r="DY340" i="34" s="1"/>
  <c r="DA356" i="34" a="1"/>
  <c r="DA356" i="34" s="1"/>
  <c r="DF346" i="34" a="1"/>
  <c r="DF346" i="34" s="1"/>
  <c r="DG346" i="34" a="1"/>
  <c r="DG346" i="34" s="1"/>
  <c r="CN331" i="34" a="1"/>
  <c r="CN331" i="34" s="1"/>
  <c r="CO331" i="34" a="1"/>
  <c r="CO331" i="34" s="1"/>
  <c r="CB329" i="34" a="1"/>
  <c r="CB329" i="34" s="1"/>
  <c r="CC329" i="34" a="1"/>
  <c r="CC329" i="34" s="1"/>
  <c r="CN327" i="34" a="1"/>
  <c r="CN327" i="34" s="1"/>
  <c r="CO327" i="34" a="1"/>
  <c r="CO327" i="34" s="1"/>
  <c r="DM323" i="34" a="1"/>
  <c r="DM323" i="34" s="1"/>
  <c r="DL323" i="34" a="1"/>
  <c r="DL323" i="34" s="1"/>
  <c r="CZ320" i="34" a="1"/>
  <c r="CZ320" i="34" s="1"/>
  <c r="DA320" i="34" a="1"/>
  <c r="DA320" i="34" s="1"/>
  <c r="CN347" i="34" a="1"/>
  <c r="CN347" i="34" s="1"/>
  <c r="CO347" i="34" a="1"/>
  <c r="CO347" i="34" s="1"/>
  <c r="CH343" i="34" a="1"/>
  <c r="CH343" i="34" s="1"/>
  <c r="CU338" i="34" a="1"/>
  <c r="CU338" i="34" s="1"/>
  <c r="CT334" i="34" a="1"/>
  <c r="CT334" i="34" s="1"/>
  <c r="CU334" i="34" a="1"/>
  <c r="CU334" i="34" s="1"/>
  <c r="CC376" i="34" a="1"/>
  <c r="CC376" i="34" s="1"/>
  <c r="CI374" i="34" a="1"/>
  <c r="CI374" i="34" s="1"/>
  <c r="DA373" i="34" a="1"/>
  <c r="DA373" i="34" s="1"/>
  <c r="CO372" i="34" a="1"/>
  <c r="CO372" i="34" s="1"/>
  <c r="DG371" i="34" a="1"/>
  <c r="DG371" i="34" s="1"/>
  <c r="DM369" i="34" a="1"/>
  <c r="DM369" i="34" s="1"/>
  <c r="DS367" i="34" a="1"/>
  <c r="DS367" i="34" s="1"/>
  <c r="BW362" i="34" a="1"/>
  <c r="BW362" i="34" s="1"/>
  <c r="CC360" i="34" a="1"/>
  <c r="CC360" i="34" s="1"/>
  <c r="CI358" i="34" a="1"/>
  <c r="CI358" i="34" s="1"/>
  <c r="DA357" i="34" a="1"/>
  <c r="DA357" i="34" s="1"/>
  <c r="DS356" i="34" a="1"/>
  <c r="DS356" i="34" s="1"/>
  <c r="DS354" i="34" a="1"/>
  <c r="DS354" i="34" s="1"/>
  <c r="DA352" i="34" a="1"/>
  <c r="DA352" i="34" s="1"/>
  <c r="DG351" i="34" a="1"/>
  <c r="DG351" i="34" s="1"/>
  <c r="DF351" i="34" a="1"/>
  <c r="DF351" i="34" s="1"/>
  <c r="DY350" i="34" a="1"/>
  <c r="DY350" i="34" s="1"/>
  <c r="DA346" i="34" a="1"/>
  <c r="DA346" i="34" s="1"/>
  <c r="BV345" i="34" a="1"/>
  <c r="BV345" i="34" s="1"/>
  <c r="BW345" i="34" a="1"/>
  <c r="BW345" i="34" s="1"/>
  <c r="CU339" i="34" a="1"/>
  <c r="CU339" i="34" s="1"/>
  <c r="CT339" i="34" a="1"/>
  <c r="CT339" i="34" s="1"/>
  <c r="ED338" i="34" a="1"/>
  <c r="ED338" i="34" s="1"/>
  <c r="EE338" i="34" a="1"/>
  <c r="EE338" i="34" s="1"/>
  <c r="CU321" i="34" a="1"/>
  <c r="CU321" i="34" s="1"/>
  <c r="CT321" i="34" a="1"/>
  <c r="CT321" i="34" s="1"/>
  <c r="CT349" i="34" a="1"/>
  <c r="CT349" i="34" s="1"/>
  <c r="DY345" i="34" a="1"/>
  <c r="DY345" i="34" s="1"/>
  <c r="DX345" i="34" a="1"/>
  <c r="DX345" i="34" s="1"/>
  <c r="DL344" i="34" a="1"/>
  <c r="DL344" i="34" s="1"/>
  <c r="DM344" i="34" a="1"/>
  <c r="DM344" i="34" s="1"/>
  <c r="EE343" i="34" a="1"/>
  <c r="EE343" i="34" s="1"/>
  <c r="ED343" i="34" a="1"/>
  <c r="ED343" i="34" s="1"/>
  <c r="DX352" i="34" a="1"/>
  <c r="DX352" i="34" s="1"/>
  <c r="DY352" i="34" a="1"/>
  <c r="DY352" i="34" s="1"/>
  <c r="DR350" i="34" a="1"/>
  <c r="DR350" i="34" s="1"/>
  <c r="CT342" i="34" a="1"/>
  <c r="CT342" i="34" s="1"/>
  <c r="CU342" i="34" a="1"/>
  <c r="CU342" i="34" s="1"/>
  <c r="CZ332" i="34" a="1"/>
  <c r="CZ332" i="34" s="1"/>
  <c r="DA332" i="34" a="1"/>
  <c r="DA332" i="34" s="1"/>
  <c r="CT345" i="34" a="1"/>
  <c r="CT345" i="34" s="1"/>
  <c r="CU345" i="34" a="1"/>
  <c r="CU345" i="34" s="1"/>
  <c r="CB343" i="34" a="1"/>
  <c r="CB343" i="34" s="1"/>
  <c r="CC343" i="34" a="1"/>
  <c r="CC343" i="34" s="1"/>
  <c r="CC340" i="34" a="1"/>
  <c r="CC340" i="34" s="1"/>
  <c r="DM354" i="34" a="1"/>
  <c r="DM354" i="34" s="1"/>
  <c r="BW354" i="34" a="1"/>
  <c r="BW354" i="34" s="1"/>
  <c r="CZ351" i="34" a="1"/>
  <c r="CZ351" i="34" s="1"/>
  <c r="DR342" i="34" a="1"/>
  <c r="DR342" i="34" s="1"/>
  <c r="DS342" i="34" a="1"/>
  <c r="DS342" i="34" s="1"/>
  <c r="CT332" i="34" a="1"/>
  <c r="CT332" i="34" s="1"/>
  <c r="CU332" i="34" a="1"/>
  <c r="CU332" i="34" s="1"/>
  <c r="CT324" i="34" a="1"/>
  <c r="CT324" i="34" s="1"/>
  <c r="DS352" i="34" a="1"/>
  <c r="DS352" i="34" s="1"/>
  <c r="EE348" i="34" a="1"/>
  <c r="EE348" i="34" s="1"/>
  <c r="CT346" i="34" a="1"/>
  <c r="CT346" i="34" s="1"/>
  <c r="CI338" i="34" a="1"/>
  <c r="CI338" i="34" s="1"/>
  <c r="DG335" i="34" a="1"/>
  <c r="DG335" i="34" s="1"/>
  <c r="CZ322" i="34" a="1"/>
  <c r="CZ322" i="34" s="1"/>
  <c r="DA355" i="34" a="1"/>
  <c r="DA355" i="34" s="1"/>
  <c r="CN354" i="34" a="1"/>
  <c r="CN354" i="34" s="1"/>
  <c r="BW353" i="34" a="1"/>
  <c r="BW353" i="34" s="1"/>
  <c r="BV352" i="34" a="1"/>
  <c r="BV352" i="34" s="1"/>
  <c r="CU351" i="34" a="1"/>
  <c r="CU351" i="34" s="1"/>
  <c r="BW351" i="34" a="1"/>
  <c r="BW351" i="34" s="1"/>
  <c r="CI348" i="34" a="1"/>
  <c r="CI348" i="34" s="1"/>
  <c r="CB347" i="34" a="1"/>
  <c r="CB347" i="34" s="1"/>
  <c r="CB335" i="34" a="1"/>
  <c r="CB335" i="34" s="1"/>
  <c r="CC335" i="34" a="1"/>
  <c r="CC335" i="34" s="1"/>
  <c r="BV342" i="34" a="1"/>
  <c r="BV342" i="34" s="1"/>
  <c r="DS341" i="34" a="1"/>
  <c r="DS341" i="34" s="1"/>
  <c r="CB340" i="34" a="1"/>
  <c r="CB340" i="34" s="1"/>
  <c r="DY339" i="34" a="1"/>
  <c r="DY339" i="34" s="1"/>
  <c r="CH338" i="34" a="1"/>
  <c r="CH338" i="34" s="1"/>
  <c r="EE337" i="34" a="1"/>
  <c r="EE337" i="34" s="1"/>
  <c r="CZ337" i="34" a="1"/>
  <c r="CZ337" i="34" s="1"/>
  <c r="CN336" i="34" a="1"/>
  <c r="CN336" i="34" s="1"/>
  <c r="DF335" i="34" a="1"/>
  <c r="DF335" i="34" s="1"/>
  <c r="DL333" i="34" a="1"/>
  <c r="DL333" i="34" s="1"/>
  <c r="DR331" i="34" a="1"/>
  <c r="DR331" i="34" s="1"/>
  <c r="ED327" i="34" a="1"/>
  <c r="ED327" i="34" s="1"/>
  <c r="DL326" i="34" a="1"/>
  <c r="DL326" i="34" s="1"/>
  <c r="ED320" i="34" a="1"/>
  <c r="ED320" i="34" s="1"/>
  <c r="CH310" i="34" a="1"/>
  <c r="CH310" i="34" s="1"/>
  <c r="CI310" i="34" a="1"/>
  <c r="CI310" i="34" s="1"/>
  <c r="ED329" i="34" a="1"/>
  <c r="ED329" i="34" s="1"/>
  <c r="DG325" i="34" a="1"/>
  <c r="DG325" i="34" s="1"/>
  <c r="CU324" i="34" a="1"/>
  <c r="CU324" i="34" s="1"/>
  <c r="BW324" i="34" a="1"/>
  <c r="BW324" i="34" s="1"/>
  <c r="BV324" i="34" a="1"/>
  <c r="BV324" i="34" s="1"/>
  <c r="DA322" i="34" a="1"/>
  <c r="DA322" i="34" s="1"/>
  <c r="CO318" i="34" a="1"/>
  <c r="CO318" i="34" s="1"/>
  <c r="CN318" i="34" a="1"/>
  <c r="CN318" i="34" s="1"/>
  <c r="DX317" i="34" a="1"/>
  <c r="DX317" i="34" s="1"/>
  <c r="CI309" i="34" a="1"/>
  <c r="CI309" i="34" s="1"/>
  <c r="CH309" i="34" a="1"/>
  <c r="CH309" i="34" s="1"/>
  <c r="CI330" i="34" a="1"/>
  <c r="CI330" i="34" s="1"/>
  <c r="CZ328" i="34" a="1"/>
  <c r="CZ328" i="34" s="1"/>
  <c r="EE325" i="34" a="1"/>
  <c r="EE325" i="34" s="1"/>
  <c r="ED325" i="34" a="1"/>
  <c r="ED325" i="34" s="1"/>
  <c r="DF323" i="34" a="1"/>
  <c r="DF323" i="34" s="1"/>
  <c r="CC322" i="34" a="1"/>
  <c r="CC322" i="34" s="1"/>
  <c r="CB322" i="34" a="1"/>
  <c r="CB322" i="34" s="1"/>
  <c r="CT317" i="34" a="1"/>
  <c r="CT317" i="34" s="1"/>
  <c r="CU317" i="34" a="1"/>
  <c r="CU317" i="34" s="1"/>
  <c r="BV294" i="34" a="1"/>
  <c r="BV294" i="34" s="1"/>
  <c r="BW294" i="34" a="1"/>
  <c r="BW294" i="34" s="1"/>
  <c r="CT283" i="34" a="1"/>
  <c r="CT283" i="34" s="1"/>
  <c r="CU283" i="34" a="1"/>
  <c r="CU283" i="34" s="1"/>
  <c r="EE341" i="34" a="1"/>
  <c r="EE341" i="34" s="1"/>
  <c r="CI336" i="34" a="1"/>
  <c r="CI336" i="34" s="1"/>
  <c r="CO334" i="34" a="1"/>
  <c r="CO334" i="34" s="1"/>
  <c r="DG333" i="34" a="1"/>
  <c r="DG333" i="34" s="1"/>
  <c r="DM331" i="34" a="1"/>
  <c r="DM331" i="34" s="1"/>
  <c r="DM330" i="34" a="1"/>
  <c r="DM330" i="34" s="1"/>
  <c r="DY329" i="34" a="1"/>
  <c r="DY329" i="34" s="1"/>
  <c r="DG327" i="34" a="1"/>
  <c r="DG327" i="34" s="1"/>
  <c r="ED323" i="34" a="1"/>
  <c r="ED323" i="34" s="1"/>
  <c r="EE323" i="34" a="1"/>
  <c r="EE323" i="34" s="1"/>
  <c r="ED315" i="34" a="1"/>
  <c r="ED315" i="34" s="1"/>
  <c r="EE315" i="34" a="1"/>
  <c r="EE315" i="34" s="1"/>
  <c r="CT300" i="34" a="1"/>
  <c r="CT300" i="34" s="1"/>
  <c r="CU300" i="34" a="1"/>
  <c r="CU300" i="34" s="1"/>
  <c r="DR284" i="34" a="1"/>
  <c r="DR284" i="34" s="1"/>
  <c r="DS284" i="34" a="1"/>
  <c r="DS284" i="34" s="1"/>
  <c r="CI341" i="34" a="1"/>
  <c r="CI341" i="34" s="1"/>
  <c r="DA340" i="34" a="1"/>
  <c r="DA340" i="34" s="1"/>
  <c r="CO339" i="34" a="1"/>
  <c r="CO339" i="34" s="1"/>
  <c r="DG338" i="34" a="1"/>
  <c r="DG338" i="34" s="1"/>
  <c r="DM336" i="34" a="1"/>
  <c r="DM336" i="34" s="1"/>
  <c r="DS334" i="34" a="1"/>
  <c r="DS334" i="34" s="1"/>
  <c r="DY332" i="34" a="1"/>
  <c r="DY332" i="34" s="1"/>
  <c r="CU330" i="34" a="1"/>
  <c r="CU330" i="34" s="1"/>
  <c r="CC330" i="34" a="1"/>
  <c r="CC330" i="34" s="1"/>
  <c r="CU328" i="34" a="1"/>
  <c r="CU328" i="34" s="1"/>
  <c r="DA327" i="34" a="1"/>
  <c r="DA327" i="34" s="1"/>
  <c r="DF326" i="34" a="1"/>
  <c r="DF326" i="34" s="1"/>
  <c r="DG326" i="34" a="1"/>
  <c r="DG326" i="34" s="1"/>
  <c r="CH326" i="34" a="1"/>
  <c r="CH326" i="34" s="1"/>
  <c r="CI326" i="34" a="1"/>
  <c r="CI326" i="34" s="1"/>
  <c r="DX325" i="34" a="1"/>
  <c r="DX325" i="34" s="1"/>
  <c r="DY325" i="34" a="1"/>
  <c r="DY325" i="34" s="1"/>
  <c r="CN324" i="34" a="1"/>
  <c r="CN324" i="34" s="1"/>
  <c r="CT322" i="34" a="1"/>
  <c r="CT322" i="34" s="1"/>
  <c r="CU322" i="34" a="1"/>
  <c r="CU322" i="34" s="1"/>
  <c r="BV322" i="34" a="1"/>
  <c r="BV322" i="34" s="1"/>
  <c r="DX320" i="34" a="1"/>
  <c r="DX320" i="34" s="1"/>
  <c r="DY320" i="34" a="1"/>
  <c r="DY320" i="34" s="1"/>
  <c r="DL286" i="34" a="1"/>
  <c r="DL286" i="34" s="1"/>
  <c r="DM286" i="34" a="1"/>
  <c r="DM286" i="34" s="1"/>
  <c r="DY327" i="34" a="1"/>
  <c r="DY327" i="34" s="1"/>
  <c r="DX327" i="34" a="1"/>
  <c r="DX327" i="34" s="1"/>
  <c r="CH327" i="34" a="1"/>
  <c r="CH327" i="34" s="1"/>
  <c r="CU325" i="34" a="1"/>
  <c r="CU325" i="34" s="1"/>
  <c r="DL324" i="34" a="1"/>
  <c r="DL324" i="34" s="1"/>
  <c r="DM324" i="34" a="1"/>
  <c r="DM324" i="34" s="1"/>
  <c r="DR322" i="34" a="1"/>
  <c r="DR322" i="34" s="1"/>
  <c r="DS322" i="34" a="1"/>
  <c r="DS322" i="34" s="1"/>
  <c r="CT312" i="34" a="1"/>
  <c r="CT312" i="34" s="1"/>
  <c r="CU312" i="34" a="1"/>
  <c r="CU312" i="34" s="1"/>
  <c r="BV292" i="34" a="1"/>
  <c r="BV292" i="34" s="1"/>
  <c r="BW292" i="34" a="1"/>
  <c r="BW292" i="34" s="1"/>
  <c r="BV325" i="34" a="1"/>
  <c r="BV325" i="34" s="1"/>
  <c r="BW325" i="34" a="1"/>
  <c r="BW325" i="34" s="1"/>
  <c r="CB323" i="34" a="1"/>
  <c r="CB323" i="34" s="1"/>
  <c r="CC323" i="34" a="1"/>
  <c r="CC323" i="34" s="1"/>
  <c r="CH321" i="34" a="1"/>
  <c r="CH321" i="34" s="1"/>
  <c r="CI321" i="34" a="1"/>
  <c r="CI321" i="34" s="1"/>
  <c r="CZ310" i="34" a="1"/>
  <c r="CZ310" i="34" s="1"/>
  <c r="DA310" i="34" a="1"/>
  <c r="DA310" i="34" s="1"/>
  <c r="BV314" i="34" a="1"/>
  <c r="BV314" i="34" s="1"/>
  <c r="BW314" i="34" a="1"/>
  <c r="BW314" i="34" s="1"/>
  <c r="BW349" i="34" a="1"/>
  <c r="BW349" i="34" s="1"/>
  <c r="CC347" i="34" a="1"/>
  <c r="CC347" i="34" s="1"/>
  <c r="CU346" i="34" a="1"/>
  <c r="CU346" i="34" s="1"/>
  <c r="CI345" i="34" a="1"/>
  <c r="CI345" i="34" s="1"/>
  <c r="DA344" i="34" a="1"/>
  <c r="DA344" i="34" s="1"/>
  <c r="CO343" i="34" a="1"/>
  <c r="CO343" i="34" s="1"/>
  <c r="DG342" i="34" a="1"/>
  <c r="DG342" i="34" s="1"/>
  <c r="DM340" i="34" a="1"/>
  <c r="DM340" i="34" s="1"/>
  <c r="DS338" i="34" a="1"/>
  <c r="DS338" i="34" s="1"/>
  <c r="DY336" i="34" a="1"/>
  <c r="DY336" i="34" s="1"/>
  <c r="EE334" i="34" a="1"/>
  <c r="EE334" i="34" s="1"/>
  <c r="BW333" i="34" a="1"/>
  <c r="BW333" i="34" s="1"/>
  <c r="CC331" i="34" a="1"/>
  <c r="CC331" i="34" s="1"/>
  <c r="DY330" i="34" a="1"/>
  <c r="DY330" i="34" s="1"/>
  <c r="CI329" i="34" a="1"/>
  <c r="CI329" i="34" s="1"/>
  <c r="BW328" i="34" a="1"/>
  <c r="BW328" i="34" s="1"/>
  <c r="DF318" i="34" a="1"/>
  <c r="DF318" i="34" s="1"/>
  <c r="DG318" i="34" a="1"/>
  <c r="DG318" i="34" s="1"/>
  <c r="CT292" i="34" a="1"/>
  <c r="CT292" i="34" s="1"/>
  <c r="CU292" i="34" a="1"/>
  <c r="CU292" i="34" s="1"/>
  <c r="CU299" i="34" a="1"/>
  <c r="CU299" i="34" s="1"/>
  <c r="CT299" i="34" a="1"/>
  <c r="CT299" i="34" s="1"/>
  <c r="DA329" i="34" a="1"/>
  <c r="DA329" i="34" s="1"/>
  <c r="DA319" i="34" a="1"/>
  <c r="DA319" i="34" s="1"/>
  <c r="CZ319" i="34" a="1"/>
  <c r="CZ319" i="34" s="1"/>
  <c r="CT315" i="34" a="1"/>
  <c r="CT315" i="34" s="1"/>
  <c r="CU315" i="34" a="1"/>
  <c r="CU315" i="34" s="1"/>
  <c r="DS329" i="34" a="1"/>
  <c r="DS329" i="34" s="1"/>
  <c r="DR329" i="34" a="1"/>
  <c r="DR329" i="34" s="1"/>
  <c r="DL316" i="34" a="1"/>
  <c r="DL316" i="34" s="1"/>
  <c r="DM316" i="34" a="1"/>
  <c r="DM316" i="34" s="1"/>
  <c r="BV330" i="34" a="1"/>
  <c r="BV330" i="34" s="1"/>
  <c r="CT327" i="34" a="1"/>
  <c r="CT327" i="34" s="1"/>
  <c r="CI320" i="34" a="1"/>
  <c r="CI320" i="34" s="1"/>
  <c r="CH320" i="34" a="1"/>
  <c r="CH320" i="34" s="1"/>
  <c r="DR319" i="34" a="1"/>
  <c r="DR319" i="34" s="1"/>
  <c r="DS319" i="34" a="1"/>
  <c r="DS319" i="34" s="1"/>
  <c r="CT319" i="34" a="1"/>
  <c r="CT319" i="34" s="1"/>
  <c r="CU319" i="34" a="1"/>
  <c r="CU319" i="34" s="1"/>
  <c r="DX310" i="34" a="1"/>
  <c r="DX310" i="34" s="1"/>
  <c r="DY310" i="34" a="1"/>
  <c r="DY310" i="34" s="1"/>
  <c r="CO328" i="34" a="1"/>
  <c r="CO328" i="34" s="1"/>
  <c r="BW327" i="34" a="1"/>
  <c r="BW327" i="34" s="1"/>
  <c r="EE329" i="34" a="1"/>
  <c r="EE329" i="34" s="1"/>
  <c r="CB320" i="34" a="1"/>
  <c r="CB320" i="34" s="1"/>
  <c r="CN319" i="34" a="1"/>
  <c r="CN319" i="34" s="1"/>
  <c r="CO319" i="34" a="1"/>
  <c r="CO319" i="34" s="1"/>
  <c r="CT318" i="34" a="1"/>
  <c r="CT318" i="34" s="1"/>
  <c r="CU318" i="34" a="1"/>
  <c r="CU318" i="34" s="1"/>
  <c r="DG317" i="34" a="1"/>
  <c r="DG317" i="34" s="1"/>
  <c r="DF317" i="34" a="1"/>
  <c r="DF317" i="34" s="1"/>
  <c r="DR314" i="34" a="1"/>
  <c r="DR314" i="34" s="1"/>
  <c r="DS314" i="34" a="1"/>
  <c r="DS314" i="34" s="1"/>
  <c r="DL315" i="34" a="1"/>
  <c r="DL315" i="34" s="1"/>
  <c r="DR313" i="34" a="1"/>
  <c r="DR313" i="34" s="1"/>
  <c r="DL312" i="34" a="1"/>
  <c r="DL312" i="34" s="1"/>
  <c r="CZ308" i="34" a="1"/>
  <c r="CZ308" i="34" s="1"/>
  <c r="CC305" i="34" a="1"/>
  <c r="CC305" i="34" s="1"/>
  <c r="DY304" i="34" a="1"/>
  <c r="DY304" i="34" s="1"/>
  <c r="CZ303" i="34" a="1"/>
  <c r="CZ303" i="34" s="1"/>
  <c r="CN299" i="34" a="1"/>
  <c r="CN299" i="34" s="1"/>
  <c r="CZ298" i="34" a="1"/>
  <c r="CZ298" i="34" s="1"/>
  <c r="DA298" i="34" a="1"/>
  <c r="DA298" i="34" s="1"/>
  <c r="CI295" i="34" a="1"/>
  <c r="CI295" i="34" s="1"/>
  <c r="DF293" i="34" a="1"/>
  <c r="DF293" i="34" s="1"/>
  <c r="CH293" i="34" a="1"/>
  <c r="CH293" i="34" s="1"/>
  <c r="CZ289" i="34" a="1"/>
  <c r="CZ289" i="34" s="1"/>
  <c r="DA289" i="34" a="1"/>
  <c r="DA289" i="34" s="1"/>
  <c r="CH280" i="34" a="1"/>
  <c r="CH280" i="34" s="1"/>
  <c r="DR273" i="34" a="1"/>
  <c r="DR273" i="34" s="1"/>
  <c r="CN273" i="34" a="1"/>
  <c r="CN273" i="34" s="1"/>
  <c r="CO273" i="34" a="1"/>
  <c r="CO273" i="34" s="1"/>
  <c r="CN235" i="34" a="1"/>
  <c r="CN235" i="34" s="1"/>
  <c r="CO235" i="34" a="1"/>
  <c r="CO235" i="34" s="1"/>
  <c r="CT234" i="34" a="1"/>
  <c r="CT234" i="34" s="1"/>
  <c r="CU234" i="34" a="1"/>
  <c r="CU234" i="34" s="1"/>
  <c r="CZ305" i="34" a="1"/>
  <c r="CZ305" i="34" s="1"/>
  <c r="DA305" i="34" a="1"/>
  <c r="DA305" i="34" s="1"/>
  <c r="DR299" i="34" a="1"/>
  <c r="DR299" i="34" s="1"/>
  <c r="DS299" i="34" a="1"/>
  <c r="DS299" i="34" s="1"/>
  <c r="DX298" i="34" a="1"/>
  <c r="DX298" i="34" s="1"/>
  <c r="DY298" i="34" a="1"/>
  <c r="DY298" i="34" s="1"/>
  <c r="CN297" i="34" a="1"/>
  <c r="CN297" i="34" s="1"/>
  <c r="CO297" i="34" a="1"/>
  <c r="CO297" i="34" s="1"/>
  <c r="ED293" i="34" a="1"/>
  <c r="ED293" i="34" s="1"/>
  <c r="EE293" i="34" a="1"/>
  <c r="EE293" i="34" s="1"/>
  <c r="CH291" i="34" a="1"/>
  <c r="CH291" i="34" s="1"/>
  <c r="CI291" i="34" a="1"/>
  <c r="CI291" i="34" s="1"/>
  <c r="CB306" i="34" a="1"/>
  <c r="CB306" i="34" s="1"/>
  <c r="DL301" i="34" a="1"/>
  <c r="DL301" i="34" s="1"/>
  <c r="DM301" i="34" a="1"/>
  <c r="DM301" i="34" s="1"/>
  <c r="DF277" i="34" a="1"/>
  <c r="DF277" i="34" s="1"/>
  <c r="BV268" i="34" a="1"/>
  <c r="BV268" i="34" s="1"/>
  <c r="BV265" i="34" a="1"/>
  <c r="BV265" i="34" s="1"/>
  <c r="BW265" i="34" a="1"/>
  <c r="BW265" i="34" s="1"/>
  <c r="CT250" i="34" a="1"/>
  <c r="CT250" i="34" s="1"/>
  <c r="CU250" i="34" a="1"/>
  <c r="CU250" i="34" s="1"/>
  <c r="CT242" i="34" a="1"/>
  <c r="CT242" i="34" s="1"/>
  <c r="CU242" i="34" a="1"/>
  <c r="CU242" i="34" s="1"/>
  <c r="EE318" i="34" a="1"/>
  <c r="EE318" i="34" s="1"/>
  <c r="BW317" i="34" a="1"/>
  <c r="BW317" i="34" s="1"/>
  <c r="CC315" i="34" a="1"/>
  <c r="CC315" i="34" s="1"/>
  <c r="CU314" i="34" a="1"/>
  <c r="CU314" i="34" s="1"/>
  <c r="CH313" i="34" a="1"/>
  <c r="CH313" i="34" s="1"/>
  <c r="BV312" i="34" a="1"/>
  <c r="BV312" i="34" s="1"/>
  <c r="CT310" i="34" a="1"/>
  <c r="CT310" i="34" s="1"/>
  <c r="CB310" i="34" a="1"/>
  <c r="CB310" i="34" s="1"/>
  <c r="DS308" i="34" a="1"/>
  <c r="DS308" i="34" s="1"/>
  <c r="CU308" i="34" a="1"/>
  <c r="CU308" i="34" s="1"/>
  <c r="CU306" i="34" a="1"/>
  <c r="CU306" i="34" s="1"/>
  <c r="CU305" i="34" a="1"/>
  <c r="CU305" i="34" s="1"/>
  <c r="BW303" i="34" a="1"/>
  <c r="BW303" i="34" s="1"/>
  <c r="CH301" i="34" a="1"/>
  <c r="CH301" i="34" s="1"/>
  <c r="DL299" i="34" a="1"/>
  <c r="DL299" i="34" s="1"/>
  <c r="DM299" i="34" a="1"/>
  <c r="DM299" i="34" s="1"/>
  <c r="CT298" i="34" a="1"/>
  <c r="CT298" i="34" s="1"/>
  <c r="CU298" i="34" a="1"/>
  <c r="CU298" i="34" s="1"/>
  <c r="CN294" i="34" a="1"/>
  <c r="CN294" i="34" s="1"/>
  <c r="DR292" i="34" a="1"/>
  <c r="DR292" i="34" s="1"/>
  <c r="DS292" i="34" a="1"/>
  <c r="DS292" i="34" s="1"/>
  <c r="CH290" i="34" a="1"/>
  <c r="CH290" i="34" s="1"/>
  <c r="CI290" i="34" a="1"/>
  <c r="CI290" i="34" s="1"/>
  <c r="DR289" i="34" a="1"/>
  <c r="DR289" i="34" s="1"/>
  <c r="DL275" i="34" a="1"/>
  <c r="DL275" i="34" s="1"/>
  <c r="DS260" i="34" a="1"/>
  <c r="DS260" i="34" s="1"/>
  <c r="DR260" i="34" a="1"/>
  <c r="DR260" i="34" s="1"/>
  <c r="CT258" i="34" a="1"/>
  <c r="CT258" i="34" s="1"/>
  <c r="CU258" i="34" a="1"/>
  <c r="CU258" i="34" s="1"/>
  <c r="BV238" i="34" a="1"/>
  <c r="BV238" i="34" s="1"/>
  <c r="BW238" i="34" a="1"/>
  <c r="BW238" i="34" s="1"/>
  <c r="BW322" i="34" a="1"/>
  <c r="BW322" i="34" s="1"/>
  <c r="CC320" i="34" a="1"/>
  <c r="CC320" i="34" s="1"/>
  <c r="CI318" i="34" a="1"/>
  <c r="CI318" i="34" s="1"/>
  <c r="DA317" i="34" a="1"/>
  <c r="DA317" i="34" s="1"/>
  <c r="CO316" i="34" a="1"/>
  <c r="CO316" i="34" s="1"/>
  <c r="DG315" i="34" a="1"/>
  <c r="DG315" i="34" s="1"/>
  <c r="DG312" i="34" a="1"/>
  <c r="DG312" i="34" s="1"/>
  <c r="DM311" i="34" a="1"/>
  <c r="DM311" i="34" s="1"/>
  <c r="DS309" i="34" a="1"/>
  <c r="DS309" i="34" s="1"/>
  <c r="CB308" i="34" a="1"/>
  <c r="CB308" i="34" s="1"/>
  <c r="CC308" i="34" a="1"/>
  <c r="CC308" i="34" s="1"/>
  <c r="CZ307" i="34" a="1"/>
  <c r="CZ307" i="34" s="1"/>
  <c r="DL302" i="34" a="1"/>
  <c r="DL302" i="34" s="1"/>
  <c r="DM302" i="34" a="1"/>
  <c r="DM302" i="34" s="1"/>
  <c r="BV300" i="34" a="1"/>
  <c r="BV300" i="34" s="1"/>
  <c r="CB295" i="34" a="1"/>
  <c r="CB295" i="34" s="1"/>
  <c r="CB293" i="34" a="1"/>
  <c r="CB293" i="34" s="1"/>
  <c r="CC293" i="34" a="1"/>
  <c r="CC293" i="34" s="1"/>
  <c r="CT288" i="34" a="1"/>
  <c r="CT288" i="34" s="1"/>
  <c r="CU288" i="34" a="1"/>
  <c r="CU288" i="34" s="1"/>
  <c r="DF287" i="34" a="1"/>
  <c r="DF287" i="34" s="1"/>
  <c r="DG287" i="34" a="1"/>
  <c r="DG287" i="34" s="1"/>
  <c r="DF272" i="34" a="1"/>
  <c r="DF272" i="34" s="1"/>
  <c r="DG272" i="34" a="1"/>
  <c r="DG272" i="34" s="1"/>
  <c r="CU264" i="34" a="1"/>
  <c r="CU264" i="34" s="1"/>
  <c r="CT264" i="34" a="1"/>
  <c r="CT264" i="34" s="1"/>
  <c r="BV305" i="34" a="1"/>
  <c r="BV305" i="34" s="1"/>
  <c r="DF301" i="34" a="1"/>
  <c r="DF301" i="34" s="1"/>
  <c r="DG301" i="34" a="1"/>
  <c r="DG301" i="34" s="1"/>
  <c r="DR300" i="34" a="1"/>
  <c r="DR300" i="34" s="1"/>
  <c r="DS300" i="34" a="1"/>
  <c r="DS300" i="34" s="1"/>
  <c r="CH299" i="34" a="1"/>
  <c r="CH299" i="34" s="1"/>
  <c r="CI299" i="34" a="1"/>
  <c r="CI299" i="34" s="1"/>
  <c r="CN289" i="34" a="1"/>
  <c r="CN289" i="34" s="1"/>
  <c r="CO289" i="34" a="1"/>
  <c r="CO289" i="34" s="1"/>
  <c r="BV279" i="34" a="1"/>
  <c r="BV279" i="34" s="1"/>
  <c r="BW279" i="34" a="1"/>
  <c r="BW279" i="34" s="1"/>
  <c r="CB277" i="34" a="1"/>
  <c r="CB277" i="34" s="1"/>
  <c r="CC277" i="34" a="1"/>
  <c r="CC277" i="34" s="1"/>
  <c r="CH275" i="34" a="1"/>
  <c r="CH275" i="34" s="1"/>
  <c r="CI275" i="34" a="1"/>
  <c r="CI275" i="34" s="1"/>
  <c r="CT268" i="34" a="1"/>
  <c r="CT268" i="34" s="1"/>
  <c r="CU268" i="34" a="1"/>
  <c r="CU268" i="34" s="1"/>
  <c r="DX266" i="34" a="1"/>
  <c r="DX266" i="34" s="1"/>
  <c r="DY266" i="34" a="1"/>
  <c r="DY266" i="34" s="1"/>
  <c r="CU248" i="34" a="1"/>
  <c r="CU248" i="34" s="1"/>
  <c r="CT248" i="34" a="1"/>
  <c r="CT248" i="34" s="1"/>
  <c r="CT238" i="34" a="1"/>
  <c r="CT238" i="34" s="1"/>
  <c r="CU238" i="34" a="1"/>
  <c r="CU238" i="34" s="1"/>
  <c r="DS321" i="34" a="1"/>
  <c r="DS321" i="34" s="1"/>
  <c r="DY319" i="34" a="1"/>
  <c r="DY319" i="34" s="1"/>
  <c r="EE317" i="34" a="1"/>
  <c r="EE317" i="34" s="1"/>
  <c r="BW316" i="34" a="1"/>
  <c r="BW316" i="34" s="1"/>
  <c r="CC314" i="34" a="1"/>
  <c r="CC314" i="34" s="1"/>
  <c r="CU313" i="34" a="1"/>
  <c r="CU313" i="34" s="1"/>
  <c r="ED311" i="34" a="1"/>
  <c r="ED311" i="34" s="1"/>
  <c r="EE311" i="34" a="1"/>
  <c r="EE311" i="34" s="1"/>
  <c r="EE310" i="34" a="1"/>
  <c r="EE310" i="34" s="1"/>
  <c r="BV310" i="34" a="1"/>
  <c r="BV310" i="34" s="1"/>
  <c r="BW310" i="34" a="1"/>
  <c r="BW310" i="34" s="1"/>
  <c r="DS306" i="34" a="1"/>
  <c r="DS306" i="34" s="1"/>
  <c r="BW304" i="34" a="1"/>
  <c r="BW304" i="34" s="1"/>
  <c r="CN302" i="34" a="1"/>
  <c r="CN302" i="34" s="1"/>
  <c r="ED295" i="34" a="1"/>
  <c r="ED295" i="34" s="1"/>
  <c r="EE295" i="34" a="1"/>
  <c r="EE295" i="34" s="1"/>
  <c r="CB282" i="34" a="1"/>
  <c r="CB282" i="34" s="1"/>
  <c r="DS250" i="34" a="1"/>
  <c r="DS250" i="34" s="1"/>
  <c r="DR250" i="34" a="1"/>
  <c r="DR250" i="34" s="1"/>
  <c r="DX213" i="34" a="1"/>
  <c r="DX213" i="34" s="1"/>
  <c r="DY213" i="34" a="1"/>
  <c r="DY213" i="34" s="1"/>
  <c r="CT309" i="34" a="1"/>
  <c r="CT309" i="34" s="1"/>
  <c r="CT307" i="34" a="1"/>
  <c r="CT307" i="34" s="1"/>
  <c r="CU307" i="34" a="1"/>
  <c r="CU307" i="34" s="1"/>
  <c r="DL294" i="34" a="1"/>
  <c r="DL294" i="34" s="1"/>
  <c r="DM294" i="34" a="1"/>
  <c r="DM294" i="34" s="1"/>
  <c r="CN288" i="34" a="1"/>
  <c r="CN288" i="34" s="1"/>
  <c r="CO288" i="34" a="1"/>
  <c r="CO288" i="34" s="1"/>
  <c r="DX287" i="34" a="1"/>
  <c r="DX287" i="34" s="1"/>
  <c r="CT278" i="34" a="1"/>
  <c r="CT278" i="34" s="1"/>
  <c r="CU278" i="34" a="1"/>
  <c r="CU278" i="34" s="1"/>
  <c r="CT267" i="34" a="1"/>
  <c r="CT267" i="34" s="1"/>
  <c r="CU267" i="34" a="1"/>
  <c r="CU267" i="34" s="1"/>
  <c r="CO311" i="34" a="1"/>
  <c r="CO311" i="34" s="1"/>
  <c r="DL310" i="34" a="1"/>
  <c r="DL310" i="34" s="1"/>
  <c r="BV308" i="34" a="1"/>
  <c r="BV308" i="34" s="1"/>
  <c r="DM307" i="34" a="1"/>
  <c r="DM307" i="34" s="1"/>
  <c r="DM304" i="34" a="1"/>
  <c r="DM304" i="34" s="1"/>
  <c r="DX295" i="34" a="1"/>
  <c r="DX295" i="34" s="1"/>
  <c r="DY295" i="34" a="1"/>
  <c r="DY295" i="34" s="1"/>
  <c r="BV295" i="34" a="1"/>
  <c r="BV295" i="34" s="1"/>
  <c r="BW295" i="34" a="1"/>
  <c r="BW295" i="34" s="1"/>
  <c r="CT287" i="34" a="1"/>
  <c r="CT287" i="34" s="1"/>
  <c r="CU287" i="34" a="1"/>
  <c r="CU287" i="34" s="1"/>
  <c r="ED262" i="34" a="1"/>
  <c r="ED262" i="34" s="1"/>
  <c r="EE262" i="34" a="1"/>
  <c r="EE262" i="34" s="1"/>
  <c r="CT262" i="34" a="1"/>
  <c r="CT262" i="34" s="1"/>
  <c r="CU262" i="34" a="1"/>
  <c r="CU262" i="34" s="1"/>
  <c r="CT220" i="34" a="1"/>
  <c r="CT220" i="34" s="1"/>
  <c r="CU220" i="34" a="1"/>
  <c r="CU220" i="34" s="1"/>
  <c r="CN304" i="34" a="1"/>
  <c r="CN304" i="34" s="1"/>
  <c r="CO304" i="34" a="1"/>
  <c r="CO304" i="34" s="1"/>
  <c r="CZ290" i="34" a="1"/>
  <c r="CZ290" i="34" s="1"/>
  <c r="DA290" i="34" a="1"/>
  <c r="DA290" i="34" s="1"/>
  <c r="DY286" i="34" a="1"/>
  <c r="DY286" i="34" s="1"/>
  <c r="ED285" i="34" a="1"/>
  <c r="ED285" i="34" s="1"/>
  <c r="BV284" i="34" a="1"/>
  <c r="BV284" i="34" s="1"/>
  <c r="CZ279" i="34" a="1"/>
  <c r="CZ279" i="34" s="1"/>
  <c r="CN278" i="34" a="1"/>
  <c r="CN278" i="34" s="1"/>
  <c r="CT276" i="34" a="1"/>
  <c r="CT276" i="34" s="1"/>
  <c r="CU276" i="34" a="1"/>
  <c r="CU276" i="34" s="1"/>
  <c r="CZ274" i="34" a="1"/>
  <c r="CZ274" i="34" s="1"/>
  <c r="DA274" i="34" a="1"/>
  <c r="DA274" i="34" s="1"/>
  <c r="CT272" i="34" a="1"/>
  <c r="CT272" i="34" s="1"/>
  <c r="CU272" i="34" a="1"/>
  <c r="CU272" i="34" s="1"/>
  <c r="CT271" i="34" a="1"/>
  <c r="CT271" i="34" s="1"/>
  <c r="CU271" i="34" a="1"/>
  <c r="CU271" i="34" s="1"/>
  <c r="CC259" i="34" a="1"/>
  <c r="CC259" i="34" s="1"/>
  <c r="DM308" i="34" a="1"/>
  <c r="DM308" i="34" s="1"/>
  <c r="ED280" i="34" a="1"/>
  <c r="ED280" i="34" s="1"/>
  <c r="EE280" i="34" a="1"/>
  <c r="EE280" i="34" s="1"/>
  <c r="DR268" i="34" a="1"/>
  <c r="DR268" i="34" s="1"/>
  <c r="DS268" i="34" a="1"/>
  <c r="DS268" i="34" s="1"/>
  <c r="DF252" i="34" a="1"/>
  <c r="DF252" i="34" s="1"/>
  <c r="DS312" i="34" a="1"/>
  <c r="DS312" i="34" s="1"/>
  <c r="DA312" i="34" a="1"/>
  <c r="DA312" i="34" s="1"/>
  <c r="DA311" i="34" a="1"/>
  <c r="DA311" i="34" s="1"/>
  <c r="DG309" i="34" a="1"/>
  <c r="DG309" i="34" s="1"/>
  <c r="ED306" i="34" a="1"/>
  <c r="ED306" i="34" s="1"/>
  <c r="CN306" i="34" a="1"/>
  <c r="CN306" i="34" s="1"/>
  <c r="EE305" i="34" a="1"/>
  <c r="EE305" i="34" s="1"/>
  <c r="DF298" i="34" a="1"/>
  <c r="DF298" i="34" s="1"/>
  <c r="BW297" i="34" a="1"/>
  <c r="BW297" i="34" s="1"/>
  <c r="CZ292" i="34" a="1"/>
  <c r="CZ292" i="34" s="1"/>
  <c r="CT291" i="34" a="1"/>
  <c r="CT291" i="34" s="1"/>
  <c r="CU291" i="34" a="1"/>
  <c r="CU291" i="34" s="1"/>
  <c r="CT279" i="34" a="1"/>
  <c r="CT279" i="34" s="1"/>
  <c r="CU279" i="34" a="1"/>
  <c r="CU279" i="34" s="1"/>
  <c r="CT274" i="34" a="1"/>
  <c r="CT274" i="34" s="1"/>
  <c r="CU274" i="34" a="1"/>
  <c r="CU274" i="34" s="1"/>
  <c r="DA259" i="34" a="1"/>
  <c r="DA259" i="34" s="1"/>
  <c r="CZ259" i="34" a="1"/>
  <c r="CZ259" i="34" s="1"/>
  <c r="CT240" i="34" a="1"/>
  <c r="CT240" i="34" s="1"/>
  <c r="DF303" i="34" a="1"/>
  <c r="DF303" i="34" s="1"/>
  <c r="DG303" i="34" a="1"/>
  <c r="DG303" i="34" s="1"/>
  <c r="DX297" i="34" a="1"/>
  <c r="DX297" i="34" s="1"/>
  <c r="DY297" i="34" a="1"/>
  <c r="DY297" i="34" s="1"/>
  <c r="DF296" i="34" a="1"/>
  <c r="DF296" i="34" s="1"/>
  <c r="DG296" i="34" a="1"/>
  <c r="DG296" i="34" s="1"/>
  <c r="CT284" i="34" a="1"/>
  <c r="CT284" i="34" s="1"/>
  <c r="CU284" i="34" a="1"/>
  <c r="CU284" i="34" s="1"/>
  <c r="CT282" i="34" a="1"/>
  <c r="CT282" i="34" s="1"/>
  <c r="CU282" i="34" a="1"/>
  <c r="CU282" i="34" s="1"/>
  <c r="CH304" i="34" a="1"/>
  <c r="CH304" i="34" s="1"/>
  <c r="CU301" i="34" a="1"/>
  <c r="CU301" i="34" s="1"/>
  <c r="ED296" i="34" a="1"/>
  <c r="ED296" i="34" s="1"/>
  <c r="EE296" i="34" a="1"/>
  <c r="EE296" i="34" s="1"/>
  <c r="CB292" i="34" a="1"/>
  <c r="CB292" i="34" s="1"/>
  <c r="CC292" i="34" a="1"/>
  <c r="CC292" i="34" s="1"/>
  <c r="DF288" i="34" a="1"/>
  <c r="DF288" i="34" s="1"/>
  <c r="DG288" i="34" a="1"/>
  <c r="DG288" i="34" s="1"/>
  <c r="DX282" i="34" a="1"/>
  <c r="DX282" i="34" s="1"/>
  <c r="DY282" i="34" a="1"/>
  <c r="DY282" i="34" s="1"/>
  <c r="DL270" i="34" a="1"/>
  <c r="DL270" i="34" s="1"/>
  <c r="DM270" i="34" a="1"/>
  <c r="DM270" i="34" s="1"/>
  <c r="CB266" i="34" a="1"/>
  <c r="CB266" i="34" s="1"/>
  <c r="CB264" i="34" a="1"/>
  <c r="CB264" i="34" s="1"/>
  <c r="CH306" i="34" a="1"/>
  <c r="CH306" i="34" s="1"/>
  <c r="CI306" i="34" a="1"/>
  <c r="CI306" i="34" s="1"/>
  <c r="DF305" i="34" a="1"/>
  <c r="DF305" i="34" s="1"/>
  <c r="DR297" i="34" a="1"/>
  <c r="DR297" i="34" s="1"/>
  <c r="DS297" i="34" a="1"/>
  <c r="DS297" i="34" s="1"/>
  <c r="CU297" i="34" a="1"/>
  <c r="CU297" i="34" s="1"/>
  <c r="CT297" i="34" a="1"/>
  <c r="CT297" i="34" s="1"/>
  <c r="DX292" i="34" a="1"/>
  <c r="DX292" i="34" s="1"/>
  <c r="BV289" i="34" a="1"/>
  <c r="BV289" i="34" s="1"/>
  <c r="DM285" i="34" a="1"/>
  <c r="DM285" i="34" s="1"/>
  <c r="DS283" i="34" a="1"/>
  <c r="DS283" i="34" s="1"/>
  <c r="DY281" i="34" a="1"/>
  <c r="DY281" i="34" s="1"/>
  <c r="EE279" i="34" a="1"/>
  <c r="EE279" i="34" s="1"/>
  <c r="BW278" i="34" a="1"/>
  <c r="BW278" i="34" s="1"/>
  <c r="CC276" i="34" a="1"/>
  <c r="CC276" i="34" s="1"/>
  <c r="CU275" i="34" a="1"/>
  <c r="CU275" i="34" s="1"/>
  <c r="CI274" i="34" a="1"/>
  <c r="CI274" i="34" s="1"/>
  <c r="DA273" i="34" a="1"/>
  <c r="DA273" i="34" s="1"/>
  <c r="CO272" i="34" a="1"/>
  <c r="CO272" i="34" s="1"/>
  <c r="DG271" i="34" a="1"/>
  <c r="DG271" i="34" s="1"/>
  <c r="DM269" i="34" a="1"/>
  <c r="DM269" i="34" s="1"/>
  <c r="DS267" i="34" a="1"/>
  <c r="DS267" i="34" s="1"/>
  <c r="DY265" i="34" a="1"/>
  <c r="DY265" i="34" s="1"/>
  <c r="CH263" i="34" a="1"/>
  <c r="CH263" i="34" s="1"/>
  <c r="DG262" i="34" a="1"/>
  <c r="DG262" i="34" s="1"/>
  <c r="DR261" i="34" a="1"/>
  <c r="DR261" i="34" s="1"/>
  <c r="DS261" i="34" a="1"/>
  <c r="DS261" i="34" s="1"/>
  <c r="CB259" i="34" a="1"/>
  <c r="CB259" i="34" s="1"/>
  <c r="CZ257" i="34" a="1"/>
  <c r="CZ257" i="34" s="1"/>
  <c r="BV254" i="34" a="1"/>
  <c r="BV254" i="34" s="1"/>
  <c r="BW254" i="34" a="1"/>
  <c r="BW254" i="34" s="1"/>
  <c r="DL253" i="34" a="1"/>
  <c r="DL253" i="34" s="1"/>
  <c r="DL247" i="34" a="1"/>
  <c r="DL247" i="34" s="1"/>
  <c r="DM247" i="34" a="1"/>
  <c r="DM247" i="34" s="1"/>
  <c r="CZ236" i="34" a="1"/>
  <c r="CZ236" i="34" s="1"/>
  <c r="DA236" i="34" a="1"/>
  <c r="DA236" i="34" s="1"/>
  <c r="CT232" i="34" a="1"/>
  <c r="CT232" i="34" s="1"/>
  <c r="CC228" i="34" a="1"/>
  <c r="CC228" i="34" s="1"/>
  <c r="CT218" i="34" a="1"/>
  <c r="CT218" i="34" s="1"/>
  <c r="CU218" i="34" a="1"/>
  <c r="CU218" i="34" s="1"/>
  <c r="DG208" i="34" a="1"/>
  <c r="DG208" i="34" s="1"/>
  <c r="DF208" i="34" a="1"/>
  <c r="DF208" i="34" s="1"/>
  <c r="CT204" i="34" a="1"/>
  <c r="CT204" i="34" s="1"/>
  <c r="CU204" i="34" a="1"/>
  <c r="CU204" i="34" s="1"/>
  <c r="CN201" i="34" a="1"/>
  <c r="CN201" i="34" s="1"/>
  <c r="CO201" i="34" a="1"/>
  <c r="CO201" i="34" s="1"/>
  <c r="CC264" i="34" a="1"/>
  <c r="CC264" i="34" s="1"/>
  <c r="DR259" i="34" a="1"/>
  <c r="DR259" i="34" s="1"/>
  <c r="DG252" i="34" a="1"/>
  <c r="DG252" i="34" s="1"/>
  <c r="CH252" i="34" a="1"/>
  <c r="CH252" i="34" s="1"/>
  <c r="CI252" i="34" a="1"/>
  <c r="CI252" i="34" s="1"/>
  <c r="DY251" i="34" a="1"/>
  <c r="DY251" i="34" s="1"/>
  <c r="CB249" i="34" a="1"/>
  <c r="CB249" i="34" s="1"/>
  <c r="DS248" i="34" a="1"/>
  <c r="DS248" i="34" s="1"/>
  <c r="EE247" i="34" a="1"/>
  <c r="EE247" i="34" s="1"/>
  <c r="DF247" i="34" a="1"/>
  <c r="DF247" i="34" s="1"/>
  <c r="DG247" i="34" a="1"/>
  <c r="DG247" i="34" s="1"/>
  <c r="CZ246" i="34" a="1"/>
  <c r="CZ246" i="34" s="1"/>
  <c r="DL242" i="34" a="1"/>
  <c r="DL242" i="34" s="1"/>
  <c r="CU240" i="34" a="1"/>
  <c r="CU240" i="34" s="1"/>
  <c r="ED239" i="34" a="1"/>
  <c r="ED239" i="34" s="1"/>
  <c r="EE239" i="34" a="1"/>
  <c r="EE239" i="34" s="1"/>
  <c r="DG239" i="34" a="1"/>
  <c r="DG239" i="34" s="1"/>
  <c r="EE231" i="34" a="1"/>
  <c r="EE231" i="34" s="1"/>
  <c r="DS163" i="34" a="1"/>
  <c r="DS163" i="34" s="1"/>
  <c r="DR163" i="34" a="1"/>
  <c r="DR163" i="34" s="1"/>
  <c r="CU259" i="34" a="1"/>
  <c r="CU259" i="34" s="1"/>
  <c r="CT259" i="34" a="1"/>
  <c r="CT259" i="34" s="1"/>
  <c r="CZ251" i="34" a="1"/>
  <c r="CZ251" i="34" s="1"/>
  <c r="DA251" i="34" a="1"/>
  <c r="DA251" i="34" s="1"/>
  <c r="DF249" i="34" a="1"/>
  <c r="DF249" i="34" s="1"/>
  <c r="DG249" i="34" a="1"/>
  <c r="DG249" i="34" s="1"/>
  <c r="CN248" i="34" a="1"/>
  <c r="CN248" i="34" s="1"/>
  <c r="CO248" i="34" a="1"/>
  <c r="CO248" i="34" s="1"/>
  <c r="DR238" i="34" a="1"/>
  <c r="DR238" i="34" s="1"/>
  <c r="DS238" i="34" a="1"/>
  <c r="DS238" i="34" s="1"/>
  <c r="CT233" i="34" a="1"/>
  <c r="CT233" i="34" s="1"/>
  <c r="CU233" i="34" a="1"/>
  <c r="CU233" i="34" s="1"/>
  <c r="CT230" i="34" a="1"/>
  <c r="CT230" i="34" s="1"/>
  <c r="CU230" i="34" a="1"/>
  <c r="CU230" i="34" s="1"/>
  <c r="DY207" i="34" a="1"/>
  <c r="DY207" i="34" s="1"/>
  <c r="DX207" i="34" a="1"/>
  <c r="DX207" i="34" s="1"/>
  <c r="ED195" i="34" a="1"/>
  <c r="ED195" i="34" s="1"/>
  <c r="EE195" i="34" a="1"/>
  <c r="EE195" i="34" s="1"/>
  <c r="DF265" i="34" a="1"/>
  <c r="DF265" i="34" s="1"/>
  <c r="DG265" i="34" a="1"/>
  <c r="DG265" i="34" s="1"/>
  <c r="DL261" i="34" a="1"/>
  <c r="DL261" i="34" s="1"/>
  <c r="BV256" i="34" a="1"/>
  <c r="BV256" i="34" s="1"/>
  <c r="BW256" i="34" a="1"/>
  <c r="BW256" i="34" s="1"/>
  <c r="CB252" i="34" a="1"/>
  <c r="CB252" i="34" s="1"/>
  <c r="CC252" i="34" a="1"/>
  <c r="CC252" i="34" s="1"/>
  <c r="CN250" i="34" a="1"/>
  <c r="CN250" i="34" s="1"/>
  <c r="CO250" i="34" a="1"/>
  <c r="CO250" i="34" s="1"/>
  <c r="DL248" i="34" a="1"/>
  <c r="DL248" i="34" s="1"/>
  <c r="DM248" i="34" a="1"/>
  <c r="DM248" i="34" s="1"/>
  <c r="ED241" i="34" a="1"/>
  <c r="ED241" i="34" s="1"/>
  <c r="EE241" i="34" a="1"/>
  <c r="EE241" i="34" s="1"/>
  <c r="CO240" i="34" a="1"/>
  <c r="CO240" i="34" s="1"/>
  <c r="DY233" i="34" a="1"/>
  <c r="DY233" i="34" s="1"/>
  <c r="DY290" i="34" a="1"/>
  <c r="DY290" i="34" s="1"/>
  <c r="EE288" i="34" a="1"/>
  <c r="EE288" i="34" s="1"/>
  <c r="BW287" i="34" a="1"/>
  <c r="BW287" i="34" s="1"/>
  <c r="CC285" i="34" a="1"/>
  <c r="CC285" i="34" s="1"/>
  <c r="CI283" i="34" a="1"/>
  <c r="CI283" i="34" s="1"/>
  <c r="DA282" i="34" a="1"/>
  <c r="DA282" i="34" s="1"/>
  <c r="CO281" i="34" a="1"/>
  <c r="CO281" i="34" s="1"/>
  <c r="DG280" i="34" a="1"/>
  <c r="DG280" i="34" s="1"/>
  <c r="DM278" i="34" a="1"/>
  <c r="DM278" i="34" s="1"/>
  <c r="DS276" i="34" a="1"/>
  <c r="DS276" i="34" s="1"/>
  <c r="DY274" i="34" a="1"/>
  <c r="DY274" i="34" s="1"/>
  <c r="EE272" i="34" a="1"/>
  <c r="EE272" i="34" s="1"/>
  <c r="BW271" i="34" a="1"/>
  <c r="BW271" i="34" s="1"/>
  <c r="CC269" i="34" a="1"/>
  <c r="CC269" i="34" s="1"/>
  <c r="CI267" i="34" a="1"/>
  <c r="CI267" i="34" s="1"/>
  <c r="DA266" i="34" a="1"/>
  <c r="DA266" i="34" s="1"/>
  <c r="DY262" i="34" a="1"/>
  <c r="DY262" i="34" s="1"/>
  <c r="DM255" i="34" a="1"/>
  <c r="DM255" i="34" s="1"/>
  <c r="CZ252" i="34" a="1"/>
  <c r="CZ252" i="34" s="1"/>
  <c r="DA252" i="34" a="1"/>
  <c r="DA252" i="34" s="1"/>
  <c r="CT251" i="34" a="1"/>
  <c r="CT251" i="34" s="1"/>
  <c r="CU251" i="34" a="1"/>
  <c r="CU251" i="34" s="1"/>
  <c r="DM250" i="34" a="1"/>
  <c r="DM250" i="34" s="1"/>
  <c r="DY249" i="34" a="1"/>
  <c r="DY249" i="34" s="1"/>
  <c r="CZ249" i="34" a="1"/>
  <c r="CZ249" i="34" s="1"/>
  <c r="DA249" i="34" a="1"/>
  <c r="DA249" i="34" s="1"/>
  <c r="DR245" i="34" a="1"/>
  <c r="DR245" i="34" s="1"/>
  <c r="DS245" i="34" a="1"/>
  <c r="DS245" i="34" s="1"/>
  <c r="DX243" i="34" a="1"/>
  <c r="DX243" i="34" s="1"/>
  <c r="DY243" i="34" a="1"/>
  <c r="DY243" i="34" s="1"/>
  <c r="CB239" i="34" a="1"/>
  <c r="CB239" i="34" s="1"/>
  <c r="CC239" i="34" a="1"/>
  <c r="CC239" i="34" s="1"/>
  <c r="CH237" i="34" a="1"/>
  <c r="CH237" i="34" s="1"/>
  <c r="CI237" i="34" a="1"/>
  <c r="CI237" i="34" s="1"/>
  <c r="CT231" i="34" a="1"/>
  <c r="CT231" i="34" s="1"/>
  <c r="CU231" i="34" a="1"/>
  <c r="CU231" i="34" s="1"/>
  <c r="CB223" i="34" a="1"/>
  <c r="CB223" i="34" s="1"/>
  <c r="CC223" i="34" a="1"/>
  <c r="CC223" i="34" s="1"/>
  <c r="CN219" i="34" a="1"/>
  <c r="CN219" i="34" s="1"/>
  <c r="CO219" i="34" a="1"/>
  <c r="CO219" i="34" s="1"/>
  <c r="CT207" i="34" a="1"/>
  <c r="CT207" i="34" s="1"/>
  <c r="CU207" i="34" a="1"/>
  <c r="CU207" i="34" s="1"/>
  <c r="CH174" i="34" a="1"/>
  <c r="CH174" i="34" s="1"/>
  <c r="CI174" i="34" a="1"/>
  <c r="CI174" i="34" s="1"/>
  <c r="CC290" i="34" a="1"/>
  <c r="CC290" i="34" s="1"/>
  <c r="CU289" i="34" a="1"/>
  <c r="CU289" i="34" s="1"/>
  <c r="CI288" i="34" a="1"/>
  <c r="CI288" i="34" s="1"/>
  <c r="DA287" i="34" a="1"/>
  <c r="DA287" i="34" s="1"/>
  <c r="CO286" i="34" a="1"/>
  <c r="CO286" i="34" s="1"/>
  <c r="DG285" i="34" a="1"/>
  <c r="DG285" i="34" s="1"/>
  <c r="DM283" i="34" a="1"/>
  <c r="DM283" i="34" s="1"/>
  <c r="DS281" i="34" a="1"/>
  <c r="DS281" i="34" s="1"/>
  <c r="DY279" i="34" a="1"/>
  <c r="DY279" i="34" s="1"/>
  <c r="EE277" i="34" a="1"/>
  <c r="EE277" i="34" s="1"/>
  <c r="BW276" i="34" a="1"/>
  <c r="BW276" i="34" s="1"/>
  <c r="CC274" i="34" a="1"/>
  <c r="CC274" i="34" s="1"/>
  <c r="CU273" i="34" a="1"/>
  <c r="CU273" i="34" s="1"/>
  <c r="CI272" i="34" a="1"/>
  <c r="CI272" i="34" s="1"/>
  <c r="DA271" i="34" a="1"/>
  <c r="DA271" i="34" s="1"/>
  <c r="CO270" i="34" a="1"/>
  <c r="CO270" i="34" s="1"/>
  <c r="DG269" i="34" a="1"/>
  <c r="DG269" i="34" s="1"/>
  <c r="DM267" i="34" a="1"/>
  <c r="DM267" i="34" s="1"/>
  <c r="DS265" i="34" a="1"/>
  <c r="DS265" i="34" s="1"/>
  <c r="BV257" i="34" a="1"/>
  <c r="BV257" i="34" s="1"/>
  <c r="BW257" i="34" a="1"/>
  <c r="BW257" i="34" s="1"/>
  <c r="DL256" i="34" a="1"/>
  <c r="DL256" i="34" s="1"/>
  <c r="DM256" i="34" a="1"/>
  <c r="DM256" i="34" s="1"/>
  <c r="ED255" i="34" a="1"/>
  <c r="ED255" i="34" s="1"/>
  <c r="EE255" i="34" a="1"/>
  <c r="EE255" i="34" s="1"/>
  <c r="CH253" i="34" a="1"/>
  <c r="CH253" i="34" s="1"/>
  <c r="CI253" i="34" a="1"/>
  <c r="CI253" i="34" s="1"/>
  <c r="DX252" i="34" a="1"/>
  <c r="DX252" i="34" s="1"/>
  <c r="DY252" i="34" a="1"/>
  <c r="DY252" i="34" s="1"/>
  <c r="CU252" i="34" a="1"/>
  <c r="CU252" i="34" s="1"/>
  <c r="CH250" i="34" a="1"/>
  <c r="CH250" i="34" s="1"/>
  <c r="CI250" i="34" a="1"/>
  <c r="CI250" i="34" s="1"/>
  <c r="DY246" i="34" a="1"/>
  <c r="DY246" i="34" s="1"/>
  <c r="DX241" i="34" a="1"/>
  <c r="DX241" i="34" s="1"/>
  <c r="DY241" i="34" a="1"/>
  <c r="DY241" i="34" s="1"/>
  <c r="DL240" i="34" a="1"/>
  <c r="DL240" i="34" s="1"/>
  <c r="DM240" i="34" a="1"/>
  <c r="DM240" i="34" s="1"/>
  <c r="CT228" i="34" a="1"/>
  <c r="CT228" i="34" s="1"/>
  <c r="CU228" i="34" a="1"/>
  <c r="CU228" i="34" s="1"/>
  <c r="CB197" i="34" a="1"/>
  <c r="CB197" i="34" s="1"/>
  <c r="CC197" i="34" a="1"/>
  <c r="CC197" i="34" s="1"/>
  <c r="DR196" i="34" a="1"/>
  <c r="DR196" i="34" s="1"/>
  <c r="DS196" i="34" a="1"/>
  <c r="DS196" i="34" s="1"/>
  <c r="DG290" i="34" a="1"/>
  <c r="DG290" i="34" s="1"/>
  <c r="DM288" i="34" a="1"/>
  <c r="DM288" i="34" s="1"/>
  <c r="DS286" i="34" a="1"/>
  <c r="DS286" i="34" s="1"/>
  <c r="DY284" i="34" a="1"/>
  <c r="DY284" i="34" s="1"/>
  <c r="EE282" i="34" a="1"/>
  <c r="EE282" i="34" s="1"/>
  <c r="BW281" i="34" a="1"/>
  <c r="BW281" i="34" s="1"/>
  <c r="CC279" i="34" a="1"/>
  <c r="CC279" i="34" s="1"/>
  <c r="DA276" i="34" a="1"/>
  <c r="DA276" i="34" s="1"/>
  <c r="DG274" i="34" a="1"/>
  <c r="DG274" i="34" s="1"/>
  <c r="DM272" i="34" a="1"/>
  <c r="DM272" i="34" s="1"/>
  <c r="DS270" i="34" a="1"/>
  <c r="DS270" i="34" s="1"/>
  <c r="DY268" i="34" a="1"/>
  <c r="DY268" i="34" s="1"/>
  <c r="EE266" i="34" a="1"/>
  <c r="EE266" i="34" s="1"/>
  <c r="CN264" i="34" a="1"/>
  <c r="CN264" i="34" s="1"/>
  <c r="DS262" i="34" a="1"/>
  <c r="DS262" i="34" s="1"/>
  <c r="CH262" i="34" a="1"/>
  <c r="CH262" i="34" s="1"/>
  <c r="CN260" i="34" a="1"/>
  <c r="CN260" i="34" s="1"/>
  <c r="DF255" i="34" a="1"/>
  <c r="DF255" i="34" s="1"/>
  <c r="CT249" i="34" a="1"/>
  <c r="CT249" i="34" s="1"/>
  <c r="CU249" i="34" a="1"/>
  <c r="CU249" i="34" s="1"/>
  <c r="BV249" i="34" a="1"/>
  <c r="BV249" i="34" s="1"/>
  <c r="BW249" i="34" a="1"/>
  <c r="BW249" i="34" s="1"/>
  <c r="CT246" i="34" a="1"/>
  <c r="CT246" i="34" s="1"/>
  <c r="CU246" i="34" a="1"/>
  <c r="CU246" i="34" s="1"/>
  <c r="BW246" i="34" a="1"/>
  <c r="BW246" i="34" s="1"/>
  <c r="DL245" i="34" a="1"/>
  <c r="DL245" i="34" s="1"/>
  <c r="DM245" i="34" a="1"/>
  <c r="DM245" i="34" s="1"/>
  <c r="CN245" i="34" a="1"/>
  <c r="CN245" i="34" s="1"/>
  <c r="DR243" i="34" a="1"/>
  <c r="DR243" i="34" s="1"/>
  <c r="DS243" i="34" a="1"/>
  <c r="DS243" i="34" s="1"/>
  <c r="CU243" i="34" a="1"/>
  <c r="CU243" i="34" s="1"/>
  <c r="CT243" i="34" a="1"/>
  <c r="CT243" i="34" s="1"/>
  <c r="BW243" i="34" a="1"/>
  <c r="BW243" i="34" s="1"/>
  <c r="DF242" i="34" a="1"/>
  <c r="DF242" i="34" s="1"/>
  <c r="DG242" i="34" a="1"/>
  <c r="DG242" i="34" s="1"/>
  <c r="CI242" i="34" a="1"/>
  <c r="CI242" i="34" s="1"/>
  <c r="DM221" i="34" a="1"/>
  <c r="DM221" i="34" s="1"/>
  <c r="CI220" i="34" a="1"/>
  <c r="CI220" i="34" s="1"/>
  <c r="CH220" i="34" a="1"/>
  <c r="CH220" i="34" s="1"/>
  <c r="DM218" i="34" a="1"/>
  <c r="DM218" i="34" s="1"/>
  <c r="DL218" i="34" a="1"/>
  <c r="DL218" i="34" s="1"/>
  <c r="ED208" i="34" a="1"/>
  <c r="ED208" i="34" s="1"/>
  <c r="EE208" i="34" a="1"/>
  <c r="EE208" i="34" s="1"/>
  <c r="CH190" i="34" a="1"/>
  <c r="CH190" i="34" s="1"/>
  <c r="CI190" i="34" a="1"/>
  <c r="CI190" i="34" s="1"/>
  <c r="DY264" i="34" a="1"/>
  <c r="DY264" i="34" s="1"/>
  <c r="ED260" i="34" a="1"/>
  <c r="ED260" i="34" s="1"/>
  <c r="DF260" i="34" a="1"/>
  <c r="DF260" i="34" s="1"/>
  <c r="DF250" i="34" a="1"/>
  <c r="DF250" i="34" s="1"/>
  <c r="DG250" i="34" a="1"/>
  <c r="DG250" i="34" s="1"/>
  <c r="DR246" i="34" a="1"/>
  <c r="DR246" i="34" s="1"/>
  <c r="DS246" i="34" a="1"/>
  <c r="DS246" i="34" s="1"/>
  <c r="CC244" i="34" a="1"/>
  <c r="CC244" i="34" s="1"/>
  <c r="BV241" i="34" a="1"/>
  <c r="BV241" i="34" s="1"/>
  <c r="BW241" i="34" a="1"/>
  <c r="BW241" i="34" s="1"/>
  <c r="DR230" i="34" a="1"/>
  <c r="DR230" i="34" s="1"/>
  <c r="DS230" i="34" a="1"/>
  <c r="DS230" i="34" s="1"/>
  <c r="ED226" i="34" a="1"/>
  <c r="ED226" i="34" s="1"/>
  <c r="EE226" i="34" a="1"/>
  <c r="EE226" i="34" s="1"/>
  <c r="CU226" i="34" a="1"/>
  <c r="CU226" i="34" s="1"/>
  <c r="BV225" i="34" a="1"/>
  <c r="BV225" i="34" s="1"/>
  <c r="BW225" i="34" a="1"/>
  <c r="BW225" i="34" s="1"/>
  <c r="DG223" i="34" a="1"/>
  <c r="DG223" i="34" s="1"/>
  <c r="CH221" i="34" a="1"/>
  <c r="CH221" i="34" s="1"/>
  <c r="CI221" i="34" a="1"/>
  <c r="CI221" i="34" s="1"/>
  <c r="DL263" i="34" a="1"/>
  <c r="DL263" i="34" s="1"/>
  <c r="DM263" i="34" a="1"/>
  <c r="DM263" i="34" s="1"/>
  <c r="ED258" i="34" a="1"/>
  <c r="ED258" i="34" s="1"/>
  <c r="EE258" i="34" a="1"/>
  <c r="EE258" i="34" s="1"/>
  <c r="CN251" i="34" a="1"/>
  <c r="CN251" i="34" s="1"/>
  <c r="CO251" i="34" a="1"/>
  <c r="CO251" i="34" s="1"/>
  <c r="ED250" i="34" a="1"/>
  <c r="ED250" i="34" s="1"/>
  <c r="EE250" i="34" a="1"/>
  <c r="EE250" i="34" s="1"/>
  <c r="CB247" i="34" a="1"/>
  <c r="CB247" i="34" s="1"/>
  <c r="CC247" i="34" a="1"/>
  <c r="CC247" i="34" s="1"/>
  <c r="ED242" i="34" a="1"/>
  <c r="ED242" i="34" s="1"/>
  <c r="EE242" i="34" a="1"/>
  <c r="EE242" i="34" s="1"/>
  <c r="CT241" i="34" a="1"/>
  <c r="CT241" i="34" s="1"/>
  <c r="CU241" i="34" a="1"/>
  <c r="CU241" i="34" s="1"/>
  <c r="DL232" i="34" a="1"/>
  <c r="DL232" i="34" s="1"/>
  <c r="DM232" i="34" a="1"/>
  <c r="DM232" i="34" s="1"/>
  <c r="DX228" i="34" a="1"/>
  <c r="DX228" i="34" s="1"/>
  <c r="DY228" i="34" a="1"/>
  <c r="DY228" i="34" s="1"/>
  <c r="CT209" i="34" a="1"/>
  <c r="CT209" i="34" s="1"/>
  <c r="CU209" i="34" a="1"/>
  <c r="CU209" i="34" s="1"/>
  <c r="DX197" i="34" a="1"/>
  <c r="DX197" i="34" s="1"/>
  <c r="DY197" i="34" a="1"/>
  <c r="DY197" i="34" s="1"/>
  <c r="ED263" i="34" a="1"/>
  <c r="ED263" i="34" s="1"/>
  <c r="CO258" i="34" a="1"/>
  <c r="CO258" i="34" s="1"/>
  <c r="DM257" i="34" a="1"/>
  <c r="DM257" i="34" s="1"/>
  <c r="CZ244" i="34" a="1"/>
  <c r="CZ244" i="34" s="1"/>
  <c r="DA244" i="34" a="1"/>
  <c r="DA244" i="34" s="1"/>
  <c r="CN243" i="34" a="1"/>
  <c r="CN243" i="34" s="1"/>
  <c r="CO243" i="34" a="1"/>
  <c r="CO243" i="34" s="1"/>
  <c r="DF234" i="34" a="1"/>
  <c r="DF234" i="34" s="1"/>
  <c r="DG234" i="34" a="1"/>
  <c r="DG234" i="34" s="1"/>
  <c r="CU227" i="34" a="1"/>
  <c r="CU227" i="34" s="1"/>
  <c r="CT227" i="34" a="1"/>
  <c r="CT227" i="34" s="1"/>
  <c r="DA225" i="34" a="1"/>
  <c r="DA225" i="34" s="1"/>
  <c r="DM215" i="34" a="1"/>
  <c r="DM215" i="34" s="1"/>
  <c r="DL215" i="34" a="1"/>
  <c r="DL215" i="34" s="1"/>
  <c r="BW215" i="34" a="1"/>
  <c r="BW215" i="34" s="1"/>
  <c r="BV215" i="34" a="1"/>
  <c r="BV215" i="34" s="1"/>
  <c r="CT192" i="34" a="1"/>
  <c r="CT192" i="34" s="1"/>
  <c r="CU192" i="34" a="1"/>
  <c r="CU192" i="34" s="1"/>
  <c r="CC299" i="34" a="1"/>
  <c r="CC299" i="34" s="1"/>
  <c r="CI297" i="34" a="1"/>
  <c r="CI297" i="34" s="1"/>
  <c r="DA296" i="34" a="1"/>
  <c r="DA296" i="34" s="1"/>
  <c r="CO295" i="34" a="1"/>
  <c r="CO295" i="34" s="1"/>
  <c r="DG294" i="34" a="1"/>
  <c r="DG294" i="34" s="1"/>
  <c r="DM276" i="34" a="1"/>
  <c r="DM276" i="34" s="1"/>
  <c r="DS274" i="34" a="1"/>
  <c r="DS274" i="34" s="1"/>
  <c r="DY272" i="34" a="1"/>
  <c r="DY272" i="34" s="1"/>
  <c r="EE270" i="34" a="1"/>
  <c r="EE270" i="34" s="1"/>
  <c r="BW269" i="34" a="1"/>
  <c r="BW269" i="34" s="1"/>
  <c r="CC267" i="34" a="1"/>
  <c r="CC267" i="34" s="1"/>
  <c r="CU266" i="34" a="1"/>
  <c r="CU266" i="34" s="1"/>
  <c r="DG263" i="34" a="1"/>
  <c r="DG263" i="34" s="1"/>
  <c r="DM262" i="34" a="1"/>
  <c r="DM262" i="34" s="1"/>
  <c r="CB262" i="34" a="1"/>
  <c r="CB262" i="34" s="1"/>
  <c r="CH260" i="34" a="1"/>
  <c r="CH260" i="34" s="1"/>
  <c r="DF259" i="34" a="1"/>
  <c r="DF259" i="34" s="1"/>
  <c r="ED257" i="34" a="1"/>
  <c r="ED257" i="34" s="1"/>
  <c r="EE257" i="34" a="1"/>
  <c r="EE257" i="34" s="1"/>
  <c r="CI255" i="34" a="1"/>
  <c r="CI255" i="34" s="1"/>
  <c r="DA254" i="34" a="1"/>
  <c r="DA254" i="34" s="1"/>
  <c r="DX244" i="34" a="1"/>
  <c r="DX244" i="34" s="1"/>
  <c r="DY244" i="34" a="1"/>
  <c r="DY244" i="34" s="1"/>
  <c r="CT222" i="34" a="1"/>
  <c r="CT222" i="34" s="1"/>
  <c r="CU222" i="34" a="1"/>
  <c r="CU222" i="34" s="1"/>
  <c r="CH203" i="34" a="1"/>
  <c r="CH203" i="34" s="1"/>
  <c r="CI203" i="34" a="1"/>
  <c r="CI203" i="34" s="1"/>
  <c r="DA260" i="34" a="1"/>
  <c r="DA260" i="34" s="1"/>
  <c r="DF257" i="34" a="1"/>
  <c r="DF257" i="34" s="1"/>
  <c r="DR253" i="34" a="1"/>
  <c r="DR253" i="34" s="1"/>
  <c r="DM252" i="34" a="1"/>
  <c r="DM252" i="34" s="1"/>
  <c r="DY248" i="34" a="1"/>
  <c r="DY248" i="34" s="1"/>
  <c r="CH245" i="34" a="1"/>
  <c r="CH245" i="34" s="1"/>
  <c r="CI245" i="34" a="1"/>
  <c r="CI245" i="34" s="1"/>
  <c r="CT225" i="34" a="1"/>
  <c r="CT225" i="34" s="1"/>
  <c r="CU225" i="34" a="1"/>
  <c r="CU225" i="34" s="1"/>
  <c r="CT224" i="34" a="1"/>
  <c r="CT224" i="34" s="1"/>
  <c r="CU224" i="34" a="1"/>
  <c r="CU224" i="34" s="1"/>
  <c r="DA217" i="34" a="1"/>
  <c r="DA217" i="34" s="1"/>
  <c r="CZ217" i="34" a="1"/>
  <c r="CZ217" i="34" s="1"/>
  <c r="CI209" i="34" a="1"/>
  <c r="CI209" i="34" s="1"/>
  <c r="CH209" i="34" a="1"/>
  <c r="CH209" i="34" s="1"/>
  <c r="CU206" i="34" a="1"/>
  <c r="CU206" i="34" s="1"/>
  <c r="CT206" i="34" a="1"/>
  <c r="CT206" i="34" s="1"/>
  <c r="DX260" i="34" a="1"/>
  <c r="DX260" i="34" s="1"/>
  <c r="DY260" i="34" a="1"/>
  <c r="DY260" i="34" s="1"/>
  <c r="CT244" i="34" a="1"/>
  <c r="CT244" i="34" s="1"/>
  <c r="CU244" i="34" a="1"/>
  <c r="CU244" i="34" s="1"/>
  <c r="CT223" i="34" a="1"/>
  <c r="CT223" i="34" s="1"/>
  <c r="CU223" i="34" a="1"/>
  <c r="CU223" i="34" s="1"/>
  <c r="CT191" i="34" a="1"/>
  <c r="CT191" i="34" s="1"/>
  <c r="CU191" i="34" a="1"/>
  <c r="CU191" i="34" s="1"/>
  <c r="DX259" i="34" a="1"/>
  <c r="DX259" i="34" s="1"/>
  <c r="DY259" i="34" a="1"/>
  <c r="DY259" i="34" s="1"/>
  <c r="CB255" i="34" a="1"/>
  <c r="CB255" i="34" s="1"/>
  <c r="CC255" i="34" a="1"/>
  <c r="CC255" i="34" s="1"/>
  <c r="DR254" i="34" a="1"/>
  <c r="DR254" i="34" s="1"/>
  <c r="DS254" i="34" a="1"/>
  <c r="DS254" i="34" s="1"/>
  <c r="CT254" i="34" a="1"/>
  <c r="CT254" i="34" s="1"/>
  <c r="CU254" i="34" a="1"/>
  <c r="CU254" i="34" s="1"/>
  <c r="CB254" i="34" a="1"/>
  <c r="CB254" i="34" s="1"/>
  <c r="CC254" i="34" a="1"/>
  <c r="CC254" i="34" s="1"/>
  <c r="CT214" i="34" a="1"/>
  <c r="CT214" i="34" s="1"/>
  <c r="DS264" i="34" a="1"/>
  <c r="DS264" i="34" s="1"/>
  <c r="DA261" i="34" a="1"/>
  <c r="DA261" i="34" s="1"/>
  <c r="CB260" i="34" a="1"/>
  <c r="CB260" i="34" s="1"/>
  <c r="DX257" i="34" a="1"/>
  <c r="DX257" i="34" s="1"/>
  <c r="CT253" i="34" a="1"/>
  <c r="CT253" i="34" s="1"/>
  <c r="CU253" i="34" a="1"/>
  <c r="CU253" i="34" s="1"/>
  <c r="DA238" i="34" a="1"/>
  <c r="DA238" i="34" s="1"/>
  <c r="CZ220" i="34" a="1"/>
  <c r="CZ220" i="34" s="1"/>
  <c r="DA220" i="34" a="1"/>
  <c r="DA220" i="34" s="1"/>
  <c r="DX249" i="34" a="1"/>
  <c r="DX249" i="34" s="1"/>
  <c r="ED247" i="34" a="1"/>
  <c r="ED247" i="34" s="1"/>
  <c r="BV246" i="34" a="1"/>
  <c r="BV246" i="34" s="1"/>
  <c r="CB244" i="34" a="1"/>
  <c r="CB244" i="34" s="1"/>
  <c r="CH242" i="34" a="1"/>
  <c r="CH242" i="34" s="1"/>
  <c r="CZ241" i="34" a="1"/>
  <c r="CZ241" i="34" s="1"/>
  <c r="CN240" i="34" a="1"/>
  <c r="CN240" i="34" s="1"/>
  <c r="BW240" i="34" a="1"/>
  <c r="BW240" i="34" s="1"/>
  <c r="DF239" i="34" a="1"/>
  <c r="DF239" i="34" s="1"/>
  <c r="CC238" i="34" a="1"/>
  <c r="CC238" i="34" s="1"/>
  <c r="DL237" i="34" a="1"/>
  <c r="DL237" i="34" s="1"/>
  <c r="CU237" i="34" a="1"/>
  <c r="CU237" i="34" s="1"/>
  <c r="CI236" i="34" a="1"/>
  <c r="CI236" i="34" s="1"/>
  <c r="DR235" i="34" a="1"/>
  <c r="DR235" i="34" s="1"/>
  <c r="DA235" i="34" a="1"/>
  <c r="DA235" i="34" s="1"/>
  <c r="CO234" i="34" a="1"/>
  <c r="CO234" i="34" s="1"/>
  <c r="DX233" i="34" a="1"/>
  <c r="DX233" i="34" s="1"/>
  <c r="DG233" i="34" a="1"/>
  <c r="DG233" i="34" s="1"/>
  <c r="ED231" i="34" a="1"/>
  <c r="ED231" i="34" s="1"/>
  <c r="DM231" i="34" a="1"/>
  <c r="DM231" i="34" s="1"/>
  <c r="BV230" i="34" a="1"/>
  <c r="BV230" i="34" s="1"/>
  <c r="DS229" i="34" a="1"/>
  <c r="DS229" i="34" s="1"/>
  <c r="CB228" i="34" a="1"/>
  <c r="CB228" i="34" s="1"/>
  <c r="DY227" i="34" a="1"/>
  <c r="DY227" i="34" s="1"/>
  <c r="CH226" i="34" a="1"/>
  <c r="CH226" i="34" s="1"/>
  <c r="EE225" i="34" a="1"/>
  <c r="EE225" i="34" s="1"/>
  <c r="CZ225" i="34" a="1"/>
  <c r="CZ225" i="34" s="1"/>
  <c r="CN224" i="34" a="1"/>
  <c r="CN224" i="34" s="1"/>
  <c r="BW224" i="34" a="1"/>
  <c r="BW224" i="34" s="1"/>
  <c r="DF223" i="34" a="1"/>
  <c r="DF223" i="34" s="1"/>
  <c r="CC222" i="34" a="1"/>
  <c r="CC222" i="34" s="1"/>
  <c r="DL221" i="34" a="1"/>
  <c r="DL221" i="34" s="1"/>
  <c r="CU221" i="34" a="1"/>
  <c r="CU221" i="34" s="1"/>
  <c r="CN204" i="34" a="1"/>
  <c r="CN204" i="34" s="1"/>
  <c r="CO204" i="34" a="1"/>
  <c r="CO204" i="34" s="1"/>
  <c r="DF203" i="34" a="1"/>
  <c r="DF203" i="34" s="1"/>
  <c r="DG203" i="34" a="1"/>
  <c r="DG203" i="34" s="1"/>
  <c r="DR201" i="34" a="1"/>
  <c r="DR201" i="34" s="1"/>
  <c r="DS201" i="34" a="1"/>
  <c r="DS201" i="34" s="1"/>
  <c r="DX199" i="34" a="1"/>
  <c r="DX199" i="34" s="1"/>
  <c r="DY199" i="34" a="1"/>
  <c r="DY199" i="34" s="1"/>
  <c r="CU199" i="34" a="1"/>
  <c r="CU199" i="34" s="1"/>
  <c r="DL198" i="34" a="1"/>
  <c r="DL198" i="34" s="1"/>
  <c r="DM198" i="34" a="1"/>
  <c r="DM198" i="34" s="1"/>
  <c r="CZ194" i="34" a="1"/>
  <c r="CZ194" i="34" s="1"/>
  <c r="DA194" i="34" a="1"/>
  <c r="DA194" i="34" s="1"/>
  <c r="BV194" i="34" a="1"/>
  <c r="BV194" i="34" s="1"/>
  <c r="BW194" i="34" a="1"/>
  <c r="BW194" i="34" s="1"/>
  <c r="CN193" i="34" a="1"/>
  <c r="CN193" i="34" s="1"/>
  <c r="CO193" i="34" a="1"/>
  <c r="CO193" i="34" s="1"/>
  <c r="DL190" i="34" a="1"/>
  <c r="DL190" i="34" s="1"/>
  <c r="DF187" i="34" a="1"/>
  <c r="DF187" i="34" s="1"/>
  <c r="DG187" i="34" a="1"/>
  <c r="DG187" i="34" s="1"/>
  <c r="CZ178" i="34" a="1"/>
  <c r="CZ178" i="34" s="1"/>
  <c r="CB176" i="34" a="1"/>
  <c r="CB176" i="34" s="1"/>
  <c r="CC176" i="34" a="1"/>
  <c r="CC176" i="34" s="1"/>
  <c r="DF219" i="34" a="1"/>
  <c r="DF219" i="34" s="1"/>
  <c r="ED218" i="34" a="1"/>
  <c r="ED218" i="34" s="1"/>
  <c r="DS217" i="34" a="1"/>
  <c r="DS217" i="34" s="1"/>
  <c r="DS210" i="34" a="1"/>
  <c r="DS210" i="34" s="1"/>
  <c r="CC210" i="34" a="1"/>
  <c r="CC210" i="34" s="1"/>
  <c r="DR209" i="34" a="1"/>
  <c r="DR209" i="34" s="1"/>
  <c r="CT202" i="34" a="1"/>
  <c r="CT202" i="34" s="1"/>
  <c r="CU202" i="34" a="1"/>
  <c r="CU202" i="34" s="1"/>
  <c r="DL201" i="34" a="1"/>
  <c r="DL201" i="34" s="1"/>
  <c r="DM201" i="34" a="1"/>
  <c r="DM201" i="34" s="1"/>
  <c r="DR199" i="34" a="1"/>
  <c r="DR199" i="34" s="1"/>
  <c r="DS199" i="34" a="1"/>
  <c r="DS199" i="34" s="1"/>
  <c r="CT194" i="34" a="1"/>
  <c r="CT194" i="34" s="1"/>
  <c r="CU194" i="34" a="1"/>
  <c r="CU194" i="34" s="1"/>
  <c r="DL185" i="34" a="1"/>
  <c r="DL185" i="34" s="1"/>
  <c r="DM185" i="34" a="1"/>
  <c r="DM185" i="34" s="1"/>
  <c r="DR183" i="34" a="1"/>
  <c r="DR183" i="34" s="1"/>
  <c r="DS183" i="34" a="1"/>
  <c r="DS183" i="34" s="1"/>
  <c r="DX181" i="34" a="1"/>
  <c r="DX181" i="34" s="1"/>
  <c r="DY181" i="34" a="1"/>
  <c r="DY181" i="34" s="1"/>
  <c r="CT178" i="34" a="1"/>
  <c r="CT178" i="34" s="1"/>
  <c r="CU178" i="34" a="1"/>
  <c r="CU178" i="34" s="1"/>
  <c r="DL174" i="34" a="1"/>
  <c r="DL174" i="34" s="1"/>
  <c r="CT172" i="34" a="1"/>
  <c r="CT172" i="34" s="1"/>
  <c r="CU172" i="34" a="1"/>
  <c r="CU172" i="34" s="1"/>
  <c r="DG218" i="34" a="1"/>
  <c r="DG218" i="34" s="1"/>
  <c r="DY208" i="34" a="1"/>
  <c r="DY208" i="34" s="1"/>
  <c r="DF207" i="34" a="1"/>
  <c r="DF207" i="34" s="1"/>
  <c r="CH195" i="34" a="1"/>
  <c r="CH195" i="34" s="1"/>
  <c r="CI195" i="34" a="1"/>
  <c r="CI195" i="34" s="1"/>
  <c r="DX194" i="34" a="1"/>
  <c r="DX194" i="34" s="1"/>
  <c r="DY194" i="34" a="1"/>
  <c r="DY194" i="34" s="1"/>
  <c r="DL169" i="34" a="1"/>
  <c r="DL169" i="34" s="1"/>
  <c r="DM169" i="34" a="1"/>
  <c r="DM169" i="34" s="1"/>
  <c r="CT167" i="34" a="1"/>
  <c r="CT167" i="34" s="1"/>
  <c r="CU167" i="34" a="1"/>
  <c r="CU167" i="34" s="1"/>
  <c r="DA161" i="34" a="1"/>
  <c r="DA161" i="34" s="1"/>
  <c r="CZ161" i="34" a="1"/>
  <c r="CZ161" i="34" s="1"/>
  <c r="DR188" i="34" a="1"/>
  <c r="DR188" i="34" s="1"/>
  <c r="CT188" i="34" a="1"/>
  <c r="CT188" i="34" s="1"/>
  <c r="CU188" i="34" a="1"/>
  <c r="CU188" i="34" s="1"/>
  <c r="CT181" i="34" a="1"/>
  <c r="CT181" i="34" s="1"/>
  <c r="CU181" i="34" a="1"/>
  <c r="CU181" i="34" s="1"/>
  <c r="DF176" i="34" a="1"/>
  <c r="DF176" i="34" s="1"/>
  <c r="DR172" i="34" a="1"/>
  <c r="DR172" i="34" s="1"/>
  <c r="CN172" i="34" a="1"/>
  <c r="CN172" i="34" s="1"/>
  <c r="CO172" i="34" a="1"/>
  <c r="CO172" i="34" s="1"/>
  <c r="CN143" i="34" a="1"/>
  <c r="CN143" i="34" s="1"/>
  <c r="CO143" i="34" a="1"/>
  <c r="CO143" i="34" s="1"/>
  <c r="DY236" i="34" a="1"/>
  <c r="DY236" i="34" s="1"/>
  <c r="EE234" i="34" a="1"/>
  <c r="EE234" i="34" s="1"/>
  <c r="BW233" i="34" a="1"/>
  <c r="BW233" i="34" s="1"/>
  <c r="CC231" i="34" a="1"/>
  <c r="CC231" i="34" s="1"/>
  <c r="CI229" i="34" a="1"/>
  <c r="CI229" i="34" s="1"/>
  <c r="DA228" i="34" a="1"/>
  <c r="DA228" i="34" s="1"/>
  <c r="CO227" i="34" a="1"/>
  <c r="CO227" i="34" s="1"/>
  <c r="DG226" i="34" a="1"/>
  <c r="DG226" i="34" s="1"/>
  <c r="DM224" i="34" a="1"/>
  <c r="DM224" i="34" s="1"/>
  <c r="DS222" i="34" a="1"/>
  <c r="DS222" i="34" s="1"/>
  <c r="DY220" i="34" a="1"/>
  <c r="DY220" i="34" s="1"/>
  <c r="CC220" i="34" a="1"/>
  <c r="CC220" i="34" s="1"/>
  <c r="CZ219" i="34" a="1"/>
  <c r="CZ219" i="34" s="1"/>
  <c r="CN218" i="34" a="1"/>
  <c r="CN218" i="34" s="1"/>
  <c r="CU217" i="34" a="1"/>
  <c r="CU217" i="34" s="1"/>
  <c r="DG215" i="34" a="1"/>
  <c r="DG215" i="34" s="1"/>
  <c r="CB213" i="34" a="1"/>
  <c r="CB213" i="34" s="1"/>
  <c r="CZ209" i="34" a="1"/>
  <c r="CZ209" i="34" s="1"/>
  <c r="CB208" i="34" a="1"/>
  <c r="CB208" i="34" s="1"/>
  <c r="CC208" i="34" a="1"/>
  <c r="CC208" i="34" s="1"/>
  <c r="DA198" i="34" a="1"/>
  <c r="DA198" i="34" s="1"/>
  <c r="CH179" i="34" a="1"/>
  <c r="CH179" i="34" s="1"/>
  <c r="DR167" i="34" a="1"/>
  <c r="DR167" i="34" s="1"/>
  <c r="DS167" i="34" a="1"/>
  <c r="DS167" i="34" s="1"/>
  <c r="DR145" i="34" a="1"/>
  <c r="DR145" i="34" s="1"/>
  <c r="DS145" i="34" a="1"/>
  <c r="DS145" i="34" s="1"/>
  <c r="CC236" i="34" a="1"/>
  <c r="CC236" i="34" s="1"/>
  <c r="CU235" i="34" a="1"/>
  <c r="CU235" i="34" s="1"/>
  <c r="CI234" i="34" a="1"/>
  <c r="CI234" i="34" s="1"/>
  <c r="DA233" i="34" a="1"/>
  <c r="DA233" i="34" s="1"/>
  <c r="CO232" i="34" a="1"/>
  <c r="CO232" i="34" s="1"/>
  <c r="DG231" i="34" a="1"/>
  <c r="DG231" i="34" s="1"/>
  <c r="DM229" i="34" a="1"/>
  <c r="DM229" i="34" s="1"/>
  <c r="DS227" i="34" a="1"/>
  <c r="DS227" i="34" s="1"/>
  <c r="DY225" i="34" a="1"/>
  <c r="DY225" i="34" s="1"/>
  <c r="EE223" i="34" a="1"/>
  <c r="EE223" i="34" s="1"/>
  <c r="BW222" i="34" a="1"/>
  <c r="BW222" i="34" s="1"/>
  <c r="CI215" i="34" a="1"/>
  <c r="CI215" i="34" s="1"/>
  <c r="CN214" i="34" a="1"/>
  <c r="CN214" i="34" s="1"/>
  <c r="BW214" i="34" a="1"/>
  <c r="BW214" i="34" s="1"/>
  <c r="CU213" i="34" a="1"/>
  <c r="CU213" i="34" s="1"/>
  <c r="ED211" i="34" a="1"/>
  <c r="ED211" i="34" s="1"/>
  <c r="EE211" i="34" a="1"/>
  <c r="EE211" i="34" s="1"/>
  <c r="DM210" i="34" a="1"/>
  <c r="DM210" i="34" s="1"/>
  <c r="CZ207" i="34" a="1"/>
  <c r="CZ207" i="34" s="1"/>
  <c r="DA207" i="34" a="1"/>
  <c r="DA207" i="34" s="1"/>
  <c r="DM205" i="34" a="1"/>
  <c r="DM205" i="34" s="1"/>
  <c r="CN188" i="34" a="1"/>
  <c r="CN188" i="34" s="1"/>
  <c r="CO188" i="34" a="1"/>
  <c r="CO188" i="34" s="1"/>
  <c r="CT166" i="34" a="1"/>
  <c r="CT166" i="34" s="1"/>
  <c r="CU166" i="34" a="1"/>
  <c r="CU166" i="34" s="1"/>
  <c r="DA222" i="34" a="1"/>
  <c r="DA222" i="34" s="1"/>
  <c r="DS219" i="34" a="1"/>
  <c r="DS219" i="34" s="1"/>
  <c r="CO217" i="34" a="1"/>
  <c r="CO217" i="34" s="1"/>
  <c r="CU216" i="34" a="1"/>
  <c r="CU216" i="34" s="1"/>
  <c r="DY214" i="34" a="1"/>
  <c r="DY214" i="34" s="1"/>
  <c r="DG214" i="34" a="1"/>
  <c r="DG214" i="34" s="1"/>
  <c r="CZ212" i="34" a="1"/>
  <c r="CZ212" i="34" s="1"/>
  <c r="CN211" i="34" a="1"/>
  <c r="CN211" i="34" s="1"/>
  <c r="BV210" i="34" a="1"/>
  <c r="BV210" i="34" s="1"/>
  <c r="BW210" i="34" a="1"/>
  <c r="BW210" i="34" s="1"/>
  <c r="DS208" i="34" a="1"/>
  <c r="DS208" i="34" s="1"/>
  <c r="CU208" i="34" a="1"/>
  <c r="CU208" i="34" s="1"/>
  <c r="CI199" i="34" a="1"/>
  <c r="CI199" i="34" s="1"/>
  <c r="CC219" i="34" a="1"/>
  <c r="CC219" i="34" s="1"/>
  <c r="DY218" i="34" a="1"/>
  <c r="DY218" i="34" s="1"/>
  <c r="DL217" i="34" a="1"/>
  <c r="DL217" i="34" s="1"/>
  <c r="BW217" i="34" a="1"/>
  <c r="BW217" i="34" s="1"/>
  <c r="DX215" i="34" a="1"/>
  <c r="DX215" i="34" s="1"/>
  <c r="DL213" i="34" a="1"/>
  <c r="DL213" i="34" s="1"/>
  <c r="DS212" i="34" a="1"/>
  <c r="DS212" i="34" s="1"/>
  <c r="CZ204" i="34" a="1"/>
  <c r="CZ204" i="34" s="1"/>
  <c r="BV183" i="34" a="1"/>
  <c r="BV183" i="34" s="1"/>
  <c r="ED179" i="34" a="1"/>
  <c r="ED179" i="34" s="1"/>
  <c r="EE179" i="34" a="1"/>
  <c r="EE179" i="34" s="1"/>
  <c r="DX170" i="34" a="1"/>
  <c r="DX170" i="34" s="1"/>
  <c r="CT170" i="34" a="1"/>
  <c r="CT170" i="34" s="1"/>
  <c r="CU170" i="34" a="1"/>
  <c r="CU170" i="34" s="1"/>
  <c r="DY161" i="34" a="1"/>
  <c r="DY161" i="34" s="1"/>
  <c r="DX161" i="34" a="1"/>
  <c r="DX161" i="34" s="1"/>
  <c r="CB192" i="34" a="1"/>
  <c r="CB192" i="34" s="1"/>
  <c r="CC192" i="34" a="1"/>
  <c r="CC192" i="34" s="1"/>
  <c r="CT186" i="34" a="1"/>
  <c r="CT186" i="34" s="1"/>
  <c r="CU186" i="34" a="1"/>
  <c r="CU186" i="34" s="1"/>
  <c r="CT176" i="34" a="1"/>
  <c r="CT176" i="34" s="1"/>
  <c r="CU176" i="34" a="1"/>
  <c r="CU176" i="34" s="1"/>
  <c r="CT175" i="34" a="1"/>
  <c r="CT175" i="34" s="1"/>
  <c r="CU175" i="34" a="1"/>
  <c r="CU175" i="34" s="1"/>
  <c r="CT164" i="34" a="1"/>
  <c r="CT164" i="34" s="1"/>
  <c r="CU164" i="34" a="1"/>
  <c r="CU164" i="34" s="1"/>
  <c r="DM206" i="34" a="1"/>
  <c r="DM206" i="34" s="1"/>
  <c r="DF192" i="34" a="1"/>
  <c r="DF192" i="34" s="1"/>
  <c r="DG192" i="34" a="1"/>
  <c r="DG192" i="34" s="1"/>
  <c r="CN177" i="34" a="1"/>
  <c r="CN177" i="34" s="1"/>
  <c r="CU219" i="34" a="1"/>
  <c r="CU219" i="34" s="1"/>
  <c r="CI218" i="34" a="1"/>
  <c r="CI218" i="34" s="1"/>
  <c r="CU215" i="34" a="1"/>
  <c r="CU215" i="34" s="1"/>
  <c r="DY211" i="34" a="1"/>
  <c r="DY211" i="34" s="1"/>
  <c r="CN206" i="34" a="1"/>
  <c r="CN206" i="34" s="1"/>
  <c r="CO206" i="34" a="1"/>
  <c r="CO206" i="34" s="1"/>
  <c r="DF205" i="34" a="1"/>
  <c r="DF205" i="34" s="1"/>
  <c r="DG205" i="34" a="1"/>
  <c r="DG205" i="34" s="1"/>
  <c r="DR198" i="34" a="1"/>
  <c r="DR198" i="34" s="1"/>
  <c r="DA196" i="34" a="1"/>
  <c r="DA196" i="34" s="1"/>
  <c r="DS193" i="34" a="1"/>
  <c r="DS193" i="34" s="1"/>
  <c r="CZ189" i="34" a="1"/>
  <c r="CZ189" i="34" s="1"/>
  <c r="DA189" i="34" a="1"/>
  <c r="DA189" i="34" s="1"/>
  <c r="CZ173" i="34" a="1"/>
  <c r="CZ173" i="34" s="1"/>
  <c r="DA173" i="34" a="1"/>
  <c r="DA173" i="34" s="1"/>
  <c r="ED168" i="34" a="1"/>
  <c r="ED168" i="34" s="1"/>
  <c r="CU155" i="34" a="1"/>
  <c r="CU155" i="34" s="1"/>
  <c r="CT155" i="34" a="1"/>
  <c r="CT155" i="34" s="1"/>
  <c r="DR204" i="34" a="1"/>
  <c r="DR204" i="34" s="1"/>
  <c r="DS204" i="34" a="1"/>
  <c r="DS204" i="34" s="1"/>
  <c r="CH200" i="34" a="1"/>
  <c r="CH200" i="34" s="1"/>
  <c r="CT184" i="34" a="1"/>
  <c r="CT184" i="34" s="1"/>
  <c r="CU184" i="34" a="1"/>
  <c r="CU184" i="34" s="1"/>
  <c r="CT169" i="34" a="1"/>
  <c r="CT169" i="34" s="1"/>
  <c r="BW219" i="34" a="1"/>
  <c r="BW219" i="34" s="1"/>
  <c r="DY217" i="34" a="1"/>
  <c r="DY217" i="34" s="1"/>
  <c r="DG217" i="34" a="1"/>
  <c r="DG217" i="34" s="1"/>
  <c r="DY216" i="34" a="1"/>
  <c r="DY216" i="34" s="1"/>
  <c r="DG216" i="34" a="1"/>
  <c r="DG216" i="34" s="1"/>
  <c r="CN216" i="34" a="1"/>
  <c r="CN216" i="34" s="1"/>
  <c r="CC215" i="34" a="1"/>
  <c r="CC215" i="34" s="1"/>
  <c r="ED213" i="34" a="1"/>
  <c r="ED213" i="34" s="1"/>
  <c r="EE212" i="34" a="1"/>
  <c r="EE212" i="34" s="1"/>
  <c r="DM212" i="34" a="1"/>
  <c r="DM212" i="34" s="1"/>
  <c r="CU212" i="34" a="1"/>
  <c r="CU212" i="34" s="1"/>
  <c r="CC211" i="34" a="1"/>
  <c r="CC211" i="34" s="1"/>
  <c r="DY210" i="34" a="1"/>
  <c r="DY210" i="34" s="1"/>
  <c r="DG210" i="34" a="1"/>
  <c r="DG210" i="34" s="1"/>
  <c r="CI210" i="34" a="1"/>
  <c r="CI210" i="34" s="1"/>
  <c r="CO209" i="34" a="1"/>
  <c r="CO209" i="34" s="1"/>
  <c r="CH206" i="34" a="1"/>
  <c r="CH206" i="34" s="1"/>
  <c r="CI206" i="34" a="1"/>
  <c r="CI206" i="34" s="1"/>
  <c r="CZ205" i="34" a="1"/>
  <c r="CZ205" i="34" s="1"/>
  <c r="DA205" i="34" a="1"/>
  <c r="DA205" i="34" s="1"/>
  <c r="CC199" i="34" a="1"/>
  <c r="CC199" i="34" s="1"/>
  <c r="DG197" i="34" a="1"/>
  <c r="DG197" i="34" s="1"/>
  <c r="CT196" i="34" a="1"/>
  <c r="CT196" i="34" s="1"/>
  <c r="CU196" i="34" a="1"/>
  <c r="CU196" i="34" s="1"/>
  <c r="DM195" i="34" a="1"/>
  <c r="DM195" i="34" s="1"/>
  <c r="CT193" i="34" a="1"/>
  <c r="CT193" i="34" s="1"/>
  <c r="CU190" i="34" a="1"/>
  <c r="CU190" i="34" s="1"/>
  <c r="CT190" i="34" a="1"/>
  <c r="CT190" i="34" s="1"/>
  <c r="CT183" i="34" a="1"/>
  <c r="CT183" i="34" s="1"/>
  <c r="CU183" i="34" a="1"/>
  <c r="CU183" i="34" s="1"/>
  <c r="CB181" i="34" a="1"/>
  <c r="CB181" i="34" s="1"/>
  <c r="CU174" i="34" a="1"/>
  <c r="CU174" i="34" s="1"/>
  <c r="CT174" i="34" a="1"/>
  <c r="CT174" i="34" s="1"/>
  <c r="DL219" i="34" a="1"/>
  <c r="DL219" i="34" s="1"/>
  <c r="CZ210" i="34" a="1"/>
  <c r="CZ210" i="34" s="1"/>
  <c r="DL203" i="34" a="1"/>
  <c r="DL203" i="34" s="1"/>
  <c r="DM203" i="34" a="1"/>
  <c r="DM203" i="34" s="1"/>
  <c r="DX202" i="34" a="1"/>
  <c r="DX202" i="34" s="1"/>
  <c r="DY202" i="34" a="1"/>
  <c r="DY202" i="34" s="1"/>
  <c r="DX201" i="34" a="1"/>
  <c r="DX201" i="34" s="1"/>
  <c r="CU201" i="34" a="1"/>
  <c r="CU201" i="34" s="1"/>
  <c r="ED200" i="34" a="1"/>
  <c r="ED200" i="34" s="1"/>
  <c r="EE200" i="34" a="1"/>
  <c r="EE200" i="34" s="1"/>
  <c r="ED199" i="34" a="1"/>
  <c r="ED199" i="34" s="1"/>
  <c r="CB194" i="34" a="1"/>
  <c r="CB194" i="34" s="1"/>
  <c r="CC194" i="34" a="1"/>
  <c r="CC194" i="34" s="1"/>
  <c r="BV178" i="34" a="1"/>
  <c r="BV178" i="34" s="1"/>
  <c r="BW178" i="34" a="1"/>
  <c r="BW178" i="34" s="1"/>
  <c r="DF171" i="34" a="1"/>
  <c r="DF171" i="34" s="1"/>
  <c r="DG171" i="34" a="1"/>
  <c r="DG171" i="34" s="1"/>
  <c r="CT168" i="34" a="1"/>
  <c r="CT168" i="34" s="1"/>
  <c r="CU168" i="34" a="1"/>
  <c r="CU168" i="34" s="1"/>
  <c r="BV167" i="34" a="1"/>
  <c r="BV167" i="34" s="1"/>
  <c r="ED206" i="34" a="1"/>
  <c r="ED206" i="34" s="1"/>
  <c r="EE206" i="34" a="1"/>
  <c r="EE206" i="34" s="1"/>
  <c r="CB205" i="34" a="1"/>
  <c r="CB205" i="34" s="1"/>
  <c r="CC205" i="34" a="1"/>
  <c r="CC205" i="34" s="1"/>
  <c r="CZ202" i="34" a="1"/>
  <c r="CZ202" i="34" s="1"/>
  <c r="DA202" i="34" a="1"/>
  <c r="DA202" i="34" s="1"/>
  <c r="DF200" i="34" a="1"/>
  <c r="DF200" i="34" s="1"/>
  <c r="DG200" i="34" a="1"/>
  <c r="DG200" i="34" s="1"/>
  <c r="BV199" i="34" a="1"/>
  <c r="BV199" i="34" s="1"/>
  <c r="BW199" i="34" a="1"/>
  <c r="BW199" i="34" s="1"/>
  <c r="ED197" i="34" a="1"/>
  <c r="ED197" i="34" s="1"/>
  <c r="EE197" i="34" a="1"/>
  <c r="EE197" i="34" s="1"/>
  <c r="BV196" i="34" a="1"/>
  <c r="BV196" i="34" s="1"/>
  <c r="BW196" i="34" a="1"/>
  <c r="BW196" i="34" s="1"/>
  <c r="DX154" i="34" a="1"/>
  <c r="DX154" i="34" s="1"/>
  <c r="DY154" i="34" a="1"/>
  <c r="DY154" i="34" s="1"/>
  <c r="CN159" i="34" a="1"/>
  <c r="CN159" i="34" s="1"/>
  <c r="CO159" i="34" a="1"/>
  <c r="CO159" i="34" s="1"/>
  <c r="CO157" i="34" a="1"/>
  <c r="CO157" i="34" s="1"/>
  <c r="DA156" i="34" a="1"/>
  <c r="DA156" i="34" s="1"/>
  <c r="BV156" i="34" a="1"/>
  <c r="BV156" i="34" s="1"/>
  <c r="BW156" i="34" a="1"/>
  <c r="BW156" i="34" s="1"/>
  <c r="CN165" i="34" a="1"/>
  <c r="CN165" i="34" s="1"/>
  <c r="CC161" i="34" a="1"/>
  <c r="CC161" i="34" s="1"/>
  <c r="CU160" i="34" a="1"/>
  <c r="CU160" i="34" s="1"/>
  <c r="BV158" i="34" a="1"/>
  <c r="BV158" i="34" s="1"/>
  <c r="CH157" i="34" a="1"/>
  <c r="CH157" i="34" s="1"/>
  <c r="CT153" i="34" a="1"/>
  <c r="CT153" i="34" s="1"/>
  <c r="CU153" i="34" a="1"/>
  <c r="CU153" i="34" s="1"/>
  <c r="CT150" i="34" a="1"/>
  <c r="CT150" i="34" s="1"/>
  <c r="CU150" i="34" a="1"/>
  <c r="CU150" i="34" s="1"/>
  <c r="CH144" i="34" a="1"/>
  <c r="CH144" i="34" s="1"/>
  <c r="CI144" i="34" a="1"/>
  <c r="CI144" i="34" s="1"/>
  <c r="CT141" i="34" a="1"/>
  <c r="CT141" i="34" s="1"/>
  <c r="CU141" i="34" a="1"/>
  <c r="CU141" i="34" s="1"/>
  <c r="DL163" i="34" a="1"/>
  <c r="DL163" i="34" s="1"/>
  <c r="DM163" i="34" a="1"/>
  <c r="DM163" i="34" s="1"/>
  <c r="DR161" i="34" a="1"/>
  <c r="DR161" i="34" s="1"/>
  <c r="DS161" i="34" a="1"/>
  <c r="DS161" i="34" s="1"/>
  <c r="CT156" i="34" a="1"/>
  <c r="CT156" i="34" s="1"/>
  <c r="CU156" i="34" a="1"/>
  <c r="CU156" i="34" s="1"/>
  <c r="BV153" i="34" a="1"/>
  <c r="BV153" i="34" s="1"/>
  <c r="DS150" i="34" a="1"/>
  <c r="DS150" i="34" s="1"/>
  <c r="DL147" i="34" a="1"/>
  <c r="DL147" i="34" s="1"/>
  <c r="DM147" i="34" a="1"/>
  <c r="DM147" i="34" s="1"/>
  <c r="CZ166" i="34" a="1"/>
  <c r="CZ166" i="34" s="1"/>
  <c r="CT161" i="34" a="1"/>
  <c r="CT161" i="34" s="1"/>
  <c r="CU161" i="34" a="1"/>
  <c r="CU161" i="34" s="1"/>
  <c r="DR160" i="34" a="1"/>
  <c r="DR160" i="34" s="1"/>
  <c r="DF157" i="34" a="1"/>
  <c r="DF157" i="34" s="1"/>
  <c r="DG157" i="34" a="1"/>
  <c r="DG157" i="34" s="1"/>
  <c r="CH152" i="34" a="1"/>
  <c r="CH152" i="34" s="1"/>
  <c r="CI152" i="34" a="1"/>
  <c r="CI152" i="34" s="1"/>
  <c r="CN150" i="34" a="1"/>
  <c r="CN150" i="34" s="1"/>
  <c r="CO150" i="34" a="1"/>
  <c r="CO150" i="34" s="1"/>
  <c r="EE192" i="34" a="1"/>
  <c r="EE192" i="34" s="1"/>
  <c r="BW191" i="34" a="1"/>
  <c r="BW191" i="34" s="1"/>
  <c r="CC189" i="34" a="1"/>
  <c r="CC189" i="34" s="1"/>
  <c r="CI187" i="34" a="1"/>
  <c r="CI187" i="34" s="1"/>
  <c r="DA186" i="34" a="1"/>
  <c r="DA186" i="34" s="1"/>
  <c r="CO185" i="34" a="1"/>
  <c r="CO185" i="34" s="1"/>
  <c r="DG184" i="34" a="1"/>
  <c r="DG184" i="34" s="1"/>
  <c r="DM182" i="34" a="1"/>
  <c r="DM182" i="34" s="1"/>
  <c r="DS180" i="34" a="1"/>
  <c r="DS180" i="34" s="1"/>
  <c r="DY178" i="34" a="1"/>
  <c r="DY178" i="34" s="1"/>
  <c r="EE176" i="34" a="1"/>
  <c r="EE176" i="34" s="1"/>
  <c r="BW175" i="34" a="1"/>
  <c r="BW175" i="34" s="1"/>
  <c r="CC173" i="34" a="1"/>
  <c r="CC173" i="34" s="1"/>
  <c r="CI171" i="34" a="1"/>
  <c r="CI171" i="34" s="1"/>
  <c r="DA170" i="34" a="1"/>
  <c r="DA170" i="34" s="1"/>
  <c r="CO169" i="34" a="1"/>
  <c r="CO169" i="34" s="1"/>
  <c r="DG168" i="34" a="1"/>
  <c r="DG168" i="34" s="1"/>
  <c r="DM166" i="34" a="1"/>
  <c r="DM166" i="34" s="1"/>
  <c r="CI159" i="34" a="1"/>
  <c r="CI159" i="34" s="1"/>
  <c r="DR153" i="34" a="1"/>
  <c r="DR153" i="34" s="1"/>
  <c r="DS153" i="34" a="1"/>
  <c r="DS153" i="34" s="1"/>
  <c r="BW145" i="34" a="1"/>
  <c r="BW145" i="34" s="1"/>
  <c r="CO134" i="34" a="1"/>
  <c r="CO134" i="34" s="1"/>
  <c r="CN134" i="34" a="1"/>
  <c r="CN134" i="34" s="1"/>
  <c r="CU193" i="34" a="1"/>
  <c r="CU193" i="34" s="1"/>
  <c r="CI192" i="34" a="1"/>
  <c r="CI192" i="34" s="1"/>
  <c r="DA191" i="34" a="1"/>
  <c r="DA191" i="34" s="1"/>
  <c r="CO190" i="34" a="1"/>
  <c r="CO190" i="34" s="1"/>
  <c r="DG189" i="34" a="1"/>
  <c r="DG189" i="34" s="1"/>
  <c r="DM187" i="34" a="1"/>
  <c r="DM187" i="34" s="1"/>
  <c r="DS185" i="34" a="1"/>
  <c r="DS185" i="34" s="1"/>
  <c r="DY183" i="34" a="1"/>
  <c r="DY183" i="34" s="1"/>
  <c r="EE181" i="34" a="1"/>
  <c r="EE181" i="34" s="1"/>
  <c r="BW180" i="34" a="1"/>
  <c r="BW180" i="34" s="1"/>
  <c r="CC178" i="34" a="1"/>
  <c r="CC178" i="34" s="1"/>
  <c r="CU177" i="34" a="1"/>
  <c r="CU177" i="34" s="1"/>
  <c r="CI176" i="34" a="1"/>
  <c r="CI176" i="34" s="1"/>
  <c r="DA175" i="34" a="1"/>
  <c r="DA175" i="34" s="1"/>
  <c r="CO174" i="34" a="1"/>
  <c r="CO174" i="34" s="1"/>
  <c r="DG173" i="34" a="1"/>
  <c r="DG173" i="34" s="1"/>
  <c r="DM171" i="34" a="1"/>
  <c r="DM171" i="34" s="1"/>
  <c r="DS169" i="34" a="1"/>
  <c r="DS169" i="34" s="1"/>
  <c r="DY167" i="34" a="1"/>
  <c r="DY167" i="34" s="1"/>
  <c r="DL154" i="34" a="1"/>
  <c r="DL154" i="34" s="1"/>
  <c r="DM154" i="34" a="1"/>
  <c r="DM154" i="34" s="1"/>
  <c r="EE170" i="34" a="1"/>
  <c r="EE170" i="34" s="1"/>
  <c r="BW169" i="34" a="1"/>
  <c r="BW169" i="34" s="1"/>
  <c r="CC167" i="34" a="1"/>
  <c r="CC167" i="34" s="1"/>
  <c r="CO161" i="34" a="1"/>
  <c r="CO161" i="34" s="1"/>
  <c r="DL160" i="34" a="1"/>
  <c r="DL160" i="34" s="1"/>
  <c r="ED157" i="34" a="1"/>
  <c r="ED157" i="34" s="1"/>
  <c r="EE157" i="34" a="1"/>
  <c r="EE157" i="34" s="1"/>
  <c r="BW152" i="34" a="1"/>
  <c r="BW152" i="34" s="1"/>
  <c r="EE146" i="34" a="1"/>
  <c r="EE146" i="34" s="1"/>
  <c r="DS165" i="34" a="1"/>
  <c r="DS165" i="34" s="1"/>
  <c r="CC165" i="34" a="1"/>
  <c r="CC165" i="34" s="1"/>
  <c r="DA164" i="34" a="1"/>
  <c r="DA164" i="34" s="1"/>
  <c r="CI163" i="34" a="1"/>
  <c r="CI163" i="34" s="1"/>
  <c r="DG162" i="34" a="1"/>
  <c r="DG162" i="34" s="1"/>
  <c r="EE159" i="34" a="1"/>
  <c r="EE159" i="34" s="1"/>
  <c r="DR158" i="34" a="1"/>
  <c r="DR158" i="34" s="1"/>
  <c r="DS158" i="34" a="1"/>
  <c r="DS158" i="34" s="1"/>
  <c r="CN158" i="34" a="1"/>
  <c r="CN158" i="34" s="1"/>
  <c r="CO158" i="34" a="1"/>
  <c r="CO158" i="34" s="1"/>
  <c r="DG154" i="34" a="1"/>
  <c r="DG154" i="34" s="1"/>
  <c r="CB151" i="34" a="1"/>
  <c r="CB151" i="34" s="1"/>
  <c r="CZ159" i="34" a="1"/>
  <c r="CZ159" i="34" s="1"/>
  <c r="DA159" i="34" a="1"/>
  <c r="DA159" i="34" s="1"/>
  <c r="DF149" i="34" a="1"/>
  <c r="DF149" i="34" s="1"/>
  <c r="DG149" i="34" a="1"/>
  <c r="DG149" i="34" s="1"/>
  <c r="CU140" i="34" a="1"/>
  <c r="CU140" i="34" s="1"/>
  <c r="CT140" i="34" a="1"/>
  <c r="CT140" i="34" s="1"/>
  <c r="CH160" i="34" a="1"/>
  <c r="CH160" i="34" s="1"/>
  <c r="CI160" i="34" a="1"/>
  <c r="CI160" i="34" s="1"/>
  <c r="CB154" i="34" a="1"/>
  <c r="CB154" i="34" s="1"/>
  <c r="CC154" i="34" a="1"/>
  <c r="CC154" i="34" s="1"/>
  <c r="DX127" i="34" a="1"/>
  <c r="DX127" i="34" s="1"/>
  <c r="DY127" i="34" a="1"/>
  <c r="DY127" i="34" s="1"/>
  <c r="BW205" i="34" a="1"/>
  <c r="BW205" i="34" s="1"/>
  <c r="CC203" i="34" a="1"/>
  <c r="CC203" i="34" s="1"/>
  <c r="CI201" i="34" a="1"/>
  <c r="CI201" i="34" s="1"/>
  <c r="DA200" i="34" a="1"/>
  <c r="DA200" i="34" s="1"/>
  <c r="CO199" i="34" a="1"/>
  <c r="CO199" i="34" s="1"/>
  <c r="DG198" i="34" a="1"/>
  <c r="DG198" i="34" s="1"/>
  <c r="DM196" i="34" a="1"/>
  <c r="DM196" i="34" s="1"/>
  <c r="DS194" i="34" a="1"/>
  <c r="DS194" i="34" s="1"/>
  <c r="DY192" i="34" a="1"/>
  <c r="DY192" i="34" s="1"/>
  <c r="EE190" i="34" a="1"/>
  <c r="EE190" i="34" s="1"/>
  <c r="BW189" i="34" a="1"/>
  <c r="BW189" i="34" s="1"/>
  <c r="CC187" i="34" a="1"/>
  <c r="CC187" i="34" s="1"/>
  <c r="CI185" i="34" a="1"/>
  <c r="CI185" i="34" s="1"/>
  <c r="DA184" i="34" a="1"/>
  <c r="DA184" i="34" s="1"/>
  <c r="CO183" i="34" a="1"/>
  <c r="CO183" i="34" s="1"/>
  <c r="DG182" i="34" a="1"/>
  <c r="DG182" i="34" s="1"/>
  <c r="DM180" i="34" a="1"/>
  <c r="DM180" i="34" s="1"/>
  <c r="DS178" i="34" a="1"/>
  <c r="DS178" i="34" s="1"/>
  <c r="DY176" i="34" a="1"/>
  <c r="DY176" i="34" s="1"/>
  <c r="EE174" i="34" a="1"/>
  <c r="EE174" i="34" s="1"/>
  <c r="BW173" i="34" a="1"/>
  <c r="BW173" i="34" s="1"/>
  <c r="CC171" i="34" a="1"/>
  <c r="CC171" i="34" s="1"/>
  <c r="CI169" i="34" a="1"/>
  <c r="CI169" i="34" s="1"/>
  <c r="DA168" i="34" a="1"/>
  <c r="DA168" i="34" s="1"/>
  <c r="CO167" i="34" a="1"/>
  <c r="CO167" i="34" s="1"/>
  <c r="DX159" i="34" a="1"/>
  <c r="DX159" i="34" s="1"/>
  <c r="DY159" i="34" a="1"/>
  <c r="DY159" i="34" s="1"/>
  <c r="CZ151" i="34" a="1"/>
  <c r="CZ151" i="34" s="1"/>
  <c r="DA151" i="34" a="1"/>
  <c r="DA151" i="34" s="1"/>
  <c r="DR140" i="34" a="1"/>
  <c r="DR140" i="34" s="1"/>
  <c r="DS140" i="34" a="1"/>
  <c r="DS140" i="34" s="1"/>
  <c r="DR159" i="34" a="1"/>
  <c r="DR159" i="34" s="1"/>
  <c r="DS159" i="34" a="1"/>
  <c r="DS159" i="34" s="1"/>
  <c r="DM190" i="34" a="1"/>
  <c r="DM190" i="34" s="1"/>
  <c r="DS188" i="34" a="1"/>
  <c r="DS188" i="34" s="1"/>
  <c r="DY186" i="34" a="1"/>
  <c r="DY186" i="34" s="1"/>
  <c r="EE184" i="34" a="1"/>
  <c r="EE184" i="34" s="1"/>
  <c r="BW183" i="34" a="1"/>
  <c r="BW183" i="34" s="1"/>
  <c r="CC181" i="34" a="1"/>
  <c r="CC181" i="34" s="1"/>
  <c r="CU180" i="34" a="1"/>
  <c r="CU180" i="34" s="1"/>
  <c r="CI179" i="34" a="1"/>
  <c r="CI179" i="34" s="1"/>
  <c r="DA178" i="34" a="1"/>
  <c r="DA178" i="34" s="1"/>
  <c r="CO177" i="34" a="1"/>
  <c r="CO177" i="34" s="1"/>
  <c r="DG176" i="34" a="1"/>
  <c r="DG176" i="34" s="1"/>
  <c r="DM174" i="34" a="1"/>
  <c r="DM174" i="34" s="1"/>
  <c r="DS172" i="34" a="1"/>
  <c r="DS172" i="34" s="1"/>
  <c r="DY170" i="34" a="1"/>
  <c r="DY170" i="34" s="1"/>
  <c r="EE168" i="34" a="1"/>
  <c r="EE168" i="34" s="1"/>
  <c r="BW167" i="34" a="1"/>
  <c r="BW167" i="34" s="1"/>
  <c r="CO166" i="34" a="1"/>
  <c r="CO166" i="34" s="1"/>
  <c r="DL165" i="34" a="1"/>
  <c r="DL165" i="34" s="1"/>
  <c r="BV165" i="34" a="1"/>
  <c r="BV165" i="34" s="1"/>
  <c r="CB163" i="34" a="1"/>
  <c r="CB163" i="34" s="1"/>
  <c r="DL155" i="34" a="1"/>
  <c r="DL155" i="34" s="1"/>
  <c r="DM155" i="34" a="1"/>
  <c r="DM155" i="34" s="1"/>
  <c r="EE153" i="34" a="1"/>
  <c r="EE153" i="34" s="1"/>
  <c r="CZ153" i="34" a="1"/>
  <c r="CZ153" i="34" s="1"/>
  <c r="DR152" i="34" a="1"/>
  <c r="DR152" i="34" s="1"/>
  <c r="DS152" i="34" a="1"/>
  <c r="DS152" i="34" s="1"/>
  <c r="CT151" i="34" a="1"/>
  <c r="CT151" i="34" s="1"/>
  <c r="CU151" i="34" a="1"/>
  <c r="CU151" i="34" s="1"/>
  <c r="CT149" i="34" a="1"/>
  <c r="CT149" i="34" s="1"/>
  <c r="CU149" i="34" a="1"/>
  <c r="CU149" i="34" s="1"/>
  <c r="DY148" i="34" a="1"/>
  <c r="DY148" i="34" s="1"/>
  <c r="EE165" i="34" a="1"/>
  <c r="EE165" i="34" s="1"/>
  <c r="CZ160" i="34" a="1"/>
  <c r="CZ160" i="34" s="1"/>
  <c r="DA160" i="34" a="1"/>
  <c r="DA160" i="34" s="1"/>
  <c r="DF156" i="34" a="1"/>
  <c r="DF156" i="34" s="1"/>
  <c r="DG156" i="34" a="1"/>
  <c r="DG156" i="34" s="1"/>
  <c r="DX151" i="34" a="1"/>
  <c r="DX151" i="34" s="1"/>
  <c r="DY151" i="34" a="1"/>
  <c r="DY151" i="34" s="1"/>
  <c r="ED149" i="34" a="1"/>
  <c r="ED149" i="34" s="1"/>
  <c r="EE149" i="34" a="1"/>
  <c r="EE149" i="34" s="1"/>
  <c r="CT148" i="34" a="1"/>
  <c r="CT148" i="34" s="1"/>
  <c r="CU148" i="34" a="1"/>
  <c r="CU148" i="34" s="1"/>
  <c r="CO165" i="34" a="1"/>
  <c r="CO165" i="34" s="1"/>
  <c r="BW164" i="34" a="1"/>
  <c r="BW164" i="34" s="1"/>
  <c r="CT163" i="34" a="1"/>
  <c r="CT163" i="34" s="1"/>
  <c r="CC162" i="34" a="1"/>
  <c r="CC162" i="34" s="1"/>
  <c r="CN157" i="34" a="1"/>
  <c r="CN157" i="34" s="1"/>
  <c r="CT154" i="34" a="1"/>
  <c r="CT154" i="34" s="1"/>
  <c r="CN152" i="34" a="1"/>
  <c r="CN152" i="34" s="1"/>
  <c r="DL137" i="34" a="1"/>
  <c r="DL137" i="34" s="1"/>
  <c r="DM137" i="34" a="1"/>
  <c r="DM137" i="34" s="1"/>
  <c r="ED133" i="34" a="1"/>
  <c r="ED133" i="34" s="1"/>
  <c r="EE133" i="34" a="1"/>
  <c r="EE133" i="34" s="1"/>
  <c r="CT129" i="34" a="1"/>
  <c r="CT129" i="34" s="1"/>
  <c r="CU129" i="34" a="1"/>
  <c r="CU129" i="34" s="1"/>
  <c r="CT127" i="34" a="1"/>
  <c r="CT127" i="34" s="1"/>
  <c r="CU127" i="34" a="1"/>
  <c r="CU127" i="34" s="1"/>
  <c r="DG158" i="34" a="1"/>
  <c r="DG158" i="34" s="1"/>
  <c r="DM156" i="34" a="1"/>
  <c r="DM156" i="34" s="1"/>
  <c r="DS154" i="34" a="1"/>
  <c r="DS154" i="34" s="1"/>
  <c r="DY152" i="34" a="1"/>
  <c r="DY152" i="34" s="1"/>
  <c r="EE150" i="34" a="1"/>
  <c r="EE150" i="34" s="1"/>
  <c r="BW149" i="34" a="1"/>
  <c r="BW149" i="34" s="1"/>
  <c r="CC147" i="34" a="1"/>
  <c r="CC147" i="34" s="1"/>
  <c r="CU146" i="34" a="1"/>
  <c r="CU146" i="34" s="1"/>
  <c r="CI145" i="34" a="1"/>
  <c r="CI145" i="34" s="1"/>
  <c r="CZ144" i="34" a="1"/>
  <c r="CZ144" i="34" s="1"/>
  <c r="DX143" i="34" a="1"/>
  <c r="DX143" i="34" s="1"/>
  <c r="CI143" i="34" a="1"/>
  <c r="CI143" i="34" s="1"/>
  <c r="DL142" i="34" a="1"/>
  <c r="DL142" i="34" s="1"/>
  <c r="DM142" i="34" a="1"/>
  <c r="DM142" i="34" s="1"/>
  <c r="BW142" i="34" a="1"/>
  <c r="BW142" i="34" s="1"/>
  <c r="CU139" i="34" a="1"/>
  <c r="CU139" i="34" s="1"/>
  <c r="DG137" i="34" a="1"/>
  <c r="DG137" i="34" s="1"/>
  <c r="DX136" i="34" a="1"/>
  <c r="DX136" i="34" s="1"/>
  <c r="DR135" i="34" a="1"/>
  <c r="DR135" i="34" s="1"/>
  <c r="DS135" i="34" a="1"/>
  <c r="DS135" i="34" s="1"/>
  <c r="ED134" i="34" a="1"/>
  <c r="ED134" i="34" s="1"/>
  <c r="DR129" i="34" a="1"/>
  <c r="DR129" i="34" s="1"/>
  <c r="DS129" i="34" a="1"/>
  <c r="DS129" i="34" s="1"/>
  <c r="CN129" i="34" a="1"/>
  <c r="CN129" i="34" s="1"/>
  <c r="CO129" i="34" a="1"/>
  <c r="CO129" i="34" s="1"/>
  <c r="CU126" i="34" a="1"/>
  <c r="CU126" i="34" s="1"/>
  <c r="DY157" i="34" a="1"/>
  <c r="DY157" i="34" s="1"/>
  <c r="EE155" i="34" a="1"/>
  <c r="EE155" i="34" s="1"/>
  <c r="BW154" i="34" a="1"/>
  <c r="BW154" i="34" s="1"/>
  <c r="CC152" i="34" a="1"/>
  <c r="CC152" i="34" s="1"/>
  <c r="CI150" i="34" a="1"/>
  <c r="CI150" i="34" s="1"/>
  <c r="DA149" i="34" a="1"/>
  <c r="DA149" i="34" s="1"/>
  <c r="CO148" i="34" a="1"/>
  <c r="CO148" i="34" s="1"/>
  <c r="CC144" i="34" a="1"/>
  <c r="CC144" i="34" s="1"/>
  <c r="DX133" i="34" a="1"/>
  <c r="DX133" i="34" s="1"/>
  <c r="DY133" i="34" a="1"/>
  <c r="DY133" i="34" s="1"/>
  <c r="DG118" i="34" a="1"/>
  <c r="DG118" i="34" s="1"/>
  <c r="DF118" i="34" a="1"/>
  <c r="DF118" i="34" s="1"/>
  <c r="CN142" i="34" a="1"/>
  <c r="CN142" i="34" s="1"/>
  <c r="DF130" i="34" a="1"/>
  <c r="DF130" i="34" s="1"/>
  <c r="DG130" i="34" a="1"/>
  <c r="DG130" i="34" s="1"/>
  <c r="BW148" i="34" a="1"/>
  <c r="BW148" i="34" s="1"/>
  <c r="CC146" i="34" a="1"/>
  <c r="CC146" i="34" s="1"/>
  <c r="CU145" i="34" a="1"/>
  <c r="CU145" i="34" s="1"/>
  <c r="EE141" i="34" a="1"/>
  <c r="EE141" i="34" s="1"/>
  <c r="DG141" i="34" a="1"/>
  <c r="DG141" i="34" s="1"/>
  <c r="DL140" i="34" a="1"/>
  <c r="DL140" i="34" s="1"/>
  <c r="DL139" i="34" a="1"/>
  <c r="DL139" i="34" s="1"/>
  <c r="EE130" i="34" a="1"/>
  <c r="EE130" i="34" s="1"/>
  <c r="CT124" i="34" a="1"/>
  <c r="CT124" i="34" s="1"/>
  <c r="CU124" i="34" a="1"/>
  <c r="CU124" i="34" s="1"/>
  <c r="CT121" i="34" a="1"/>
  <c r="CT121" i="34" s="1"/>
  <c r="CU121" i="34" a="1"/>
  <c r="CU121" i="34" s="1"/>
  <c r="DY156" i="34" a="1"/>
  <c r="DY156" i="34" s="1"/>
  <c r="EE154" i="34" a="1"/>
  <c r="EE154" i="34" s="1"/>
  <c r="BW153" i="34" a="1"/>
  <c r="BW153" i="34" s="1"/>
  <c r="DM144" i="34" a="1"/>
  <c r="DM144" i="34" s="1"/>
  <c r="CN140" i="34" a="1"/>
  <c r="CN140" i="34" s="1"/>
  <c r="CO140" i="34" a="1"/>
  <c r="CO140" i="34" s="1"/>
  <c r="DY137" i="34" a="1"/>
  <c r="DY137" i="34" s="1"/>
  <c r="CU136" i="34" a="1"/>
  <c r="CU136" i="34" s="1"/>
  <c r="CZ130" i="34" a="1"/>
  <c r="CZ130" i="34" s="1"/>
  <c r="DA130" i="34" a="1"/>
  <c r="DA130" i="34" s="1"/>
  <c r="CB130" i="34" a="1"/>
  <c r="CB130" i="34" s="1"/>
  <c r="CC130" i="34" a="1"/>
  <c r="CC130" i="34" s="1"/>
  <c r="ED116" i="34" a="1"/>
  <c r="ED116" i="34" s="1"/>
  <c r="EE116" i="34" a="1"/>
  <c r="EE116" i="34" s="1"/>
  <c r="CZ143" i="34" a="1"/>
  <c r="CZ143" i="34" s="1"/>
  <c r="EE139" i="34" a="1"/>
  <c r="EE139" i="34" s="1"/>
  <c r="ED138" i="34" a="1"/>
  <c r="ED138" i="34" s="1"/>
  <c r="DL131" i="34" a="1"/>
  <c r="DL131" i="34" s="1"/>
  <c r="CT123" i="34" a="1"/>
  <c r="CT123" i="34" s="1"/>
  <c r="CU123" i="34" a="1"/>
  <c r="CU123" i="34" s="1"/>
  <c r="ED121" i="34" a="1"/>
  <c r="ED121" i="34" s="1"/>
  <c r="EE121" i="34" a="1"/>
  <c r="EE121" i="34" s="1"/>
  <c r="DY150" i="34" a="1"/>
  <c r="DY150" i="34" s="1"/>
  <c r="EE148" i="34" a="1"/>
  <c r="EE148" i="34" s="1"/>
  <c r="BW147" i="34" a="1"/>
  <c r="BW147" i="34" s="1"/>
  <c r="CC145" i="34" a="1"/>
  <c r="CC145" i="34" s="1"/>
  <c r="BW144" i="34" a="1"/>
  <c r="BW144" i="34" s="1"/>
  <c r="CI140" i="34" a="1"/>
  <c r="CI140" i="34" s="1"/>
  <c r="DF139" i="34" a="1"/>
  <c r="DF139" i="34" s="1"/>
  <c r="DG139" i="34" a="1"/>
  <c r="DG139" i="34" s="1"/>
  <c r="CH139" i="34" a="1"/>
  <c r="CH139" i="34" s="1"/>
  <c r="DG138" i="34" a="1"/>
  <c r="DG138" i="34" s="1"/>
  <c r="CI138" i="34" a="1"/>
  <c r="CI138" i="34" s="1"/>
  <c r="DA137" i="34" a="1"/>
  <c r="DA137" i="34" s="1"/>
  <c r="DL133" i="34" a="1"/>
  <c r="DL133" i="34" s="1"/>
  <c r="CN131" i="34" a="1"/>
  <c r="CN131" i="34" s="1"/>
  <c r="CO131" i="34" a="1"/>
  <c r="CO131" i="34" s="1"/>
  <c r="DL128" i="34" a="1"/>
  <c r="DL128" i="34" s="1"/>
  <c r="DM128" i="34" a="1"/>
  <c r="DM128" i="34" s="1"/>
  <c r="DL126" i="34" a="1"/>
  <c r="DL126" i="34" s="1"/>
  <c r="DM126" i="34" a="1"/>
  <c r="DM126" i="34" s="1"/>
  <c r="CU122" i="34" a="1"/>
  <c r="CU122" i="34" s="1"/>
  <c r="CT122" i="34" a="1"/>
  <c r="CT122" i="34" s="1"/>
  <c r="DR124" i="34" a="1"/>
  <c r="DR124" i="34" s="1"/>
  <c r="DS124" i="34" a="1"/>
  <c r="DS124" i="34" s="1"/>
  <c r="CT115" i="34" a="1"/>
  <c r="CT115" i="34" s="1"/>
  <c r="CU115" i="34" a="1"/>
  <c r="CU115" i="34" s="1"/>
  <c r="CC143" i="34" a="1"/>
  <c r="CC143" i="34" s="1"/>
  <c r="CI141" i="34" a="1"/>
  <c r="CI141" i="34" s="1"/>
  <c r="CZ135" i="34" a="1"/>
  <c r="CZ135" i="34" s="1"/>
  <c r="DY132" i="34" a="1"/>
  <c r="DY132" i="34" s="1"/>
  <c r="CZ132" i="34" a="1"/>
  <c r="CZ132" i="34" s="1"/>
  <c r="DA132" i="34" a="1"/>
  <c r="DA132" i="34" s="1"/>
  <c r="CH131" i="34" a="1"/>
  <c r="CH131" i="34" s="1"/>
  <c r="CI131" i="34" a="1"/>
  <c r="CI131" i="34" s="1"/>
  <c r="DF128" i="34" a="1"/>
  <c r="DF128" i="34" s="1"/>
  <c r="DG128" i="34" a="1"/>
  <c r="DG128" i="34" s="1"/>
  <c r="CC127" i="34" a="1"/>
  <c r="CC127" i="34" s="1"/>
  <c r="CZ141" i="34" a="1"/>
  <c r="CZ141" i="34" s="1"/>
  <c r="DA141" i="34" a="1"/>
  <c r="DA141" i="34" s="1"/>
  <c r="DX138" i="34" a="1"/>
  <c r="DX138" i="34" s="1"/>
  <c r="DY138" i="34" a="1"/>
  <c r="DY138" i="34" s="1"/>
  <c r="CZ138" i="34" a="1"/>
  <c r="CZ138" i="34" s="1"/>
  <c r="DA138" i="34" a="1"/>
  <c r="DA138" i="34" s="1"/>
  <c r="CB121" i="34" a="1"/>
  <c r="CB121" i="34" s="1"/>
  <c r="CC121" i="34" a="1"/>
  <c r="CC121" i="34" s="1"/>
  <c r="CH133" i="34" a="1"/>
  <c r="CH133" i="34" s="1"/>
  <c r="CI133" i="34" a="1"/>
  <c r="CI133" i="34" s="1"/>
  <c r="CT132" i="34" a="1"/>
  <c r="CT132" i="34" s="1"/>
  <c r="CU132" i="34" a="1"/>
  <c r="CU132" i="34" s="1"/>
  <c r="BV132" i="34" a="1"/>
  <c r="BV132" i="34" s="1"/>
  <c r="BW132" i="34" a="1"/>
  <c r="BW132" i="34" s="1"/>
  <c r="BW129" i="34" a="1"/>
  <c r="BW129" i="34" s="1"/>
  <c r="CT142" i="34" a="1"/>
  <c r="CT142" i="34" s="1"/>
  <c r="DS139" i="34" a="1"/>
  <c r="DS139" i="34" s="1"/>
  <c r="CU138" i="34" a="1"/>
  <c r="CU138" i="34" s="1"/>
  <c r="DR137" i="34" a="1"/>
  <c r="DR137" i="34" s="1"/>
  <c r="BV137" i="34" a="1"/>
  <c r="BV137" i="34" s="1"/>
  <c r="BW137" i="34" a="1"/>
  <c r="BW137" i="34" s="1"/>
  <c r="CH136" i="34" a="1"/>
  <c r="CH136" i="34" s="1"/>
  <c r="DY135" i="34" a="1"/>
  <c r="DY135" i="34" s="1"/>
  <c r="CT135" i="34" a="1"/>
  <c r="CT135" i="34" s="1"/>
  <c r="CB135" i="34" a="1"/>
  <c r="CB135" i="34" s="1"/>
  <c r="CC135" i="34" a="1"/>
  <c r="CC135" i="34" s="1"/>
  <c r="CT134" i="34" a="1"/>
  <c r="CT134" i="34" s="1"/>
  <c r="CU134" i="34" a="1"/>
  <c r="CU134" i="34" s="1"/>
  <c r="DG133" i="34" a="1"/>
  <c r="DG133" i="34" s="1"/>
  <c r="DF144" i="34" a="1"/>
  <c r="DF144" i="34" s="1"/>
  <c r="ED143" i="34" a="1"/>
  <c r="ED143" i="34" s="1"/>
  <c r="DA140" i="34" a="1"/>
  <c r="DA140" i="34" s="1"/>
  <c r="CB133" i="34" a="1"/>
  <c r="CB133" i="34" s="1"/>
  <c r="CC133" i="34" a="1"/>
  <c r="CC133" i="34" s="1"/>
  <c r="CT128" i="34" a="1"/>
  <c r="CT128" i="34" s="1"/>
  <c r="CN137" i="34" a="1"/>
  <c r="CN137" i="34" s="1"/>
  <c r="CO137" i="34" a="1"/>
  <c r="CO137" i="34" s="1"/>
  <c r="ED136" i="34" a="1"/>
  <c r="ED136" i="34" s="1"/>
  <c r="EE136" i="34" a="1"/>
  <c r="EE136" i="34" s="1"/>
  <c r="BV135" i="34" a="1"/>
  <c r="BV135" i="34" s="1"/>
  <c r="BW135" i="34" a="1"/>
  <c r="BW135" i="34" s="1"/>
  <c r="ED131" i="34" a="1"/>
  <c r="ED131" i="34" s="1"/>
  <c r="EE131" i="34" a="1"/>
  <c r="EE131" i="34" s="1"/>
  <c r="ED125" i="34" a="1"/>
  <c r="ED125" i="34" s="1"/>
  <c r="EE125" i="34" a="1"/>
  <c r="EE125" i="34" s="1"/>
  <c r="CT110" i="34" a="1"/>
  <c r="CT110" i="34" s="1"/>
  <c r="CU110" i="34" a="1"/>
  <c r="CU110" i="34" s="1"/>
  <c r="DX118" i="34" a="1"/>
  <c r="DX118" i="34" s="1"/>
  <c r="DF117" i="34" a="1"/>
  <c r="DF117" i="34" s="1"/>
  <c r="DG117" i="34" a="1"/>
  <c r="DG117" i="34" s="1"/>
  <c r="DY115" i="34" a="1"/>
  <c r="DY115" i="34" s="1"/>
  <c r="CT111" i="34" a="1"/>
  <c r="CT111" i="34" s="1"/>
  <c r="CT93" i="34" a="1"/>
  <c r="CT93" i="34" s="1"/>
  <c r="CU93" i="34" a="1"/>
  <c r="CU93" i="34" s="1"/>
  <c r="CZ73" i="34" a="1"/>
  <c r="CZ73" i="34" s="1"/>
  <c r="DA73" i="34" a="1"/>
  <c r="DA73" i="34" s="1"/>
  <c r="BW133" i="34" a="1"/>
  <c r="BW133" i="34" s="1"/>
  <c r="CC131" i="34" a="1"/>
  <c r="CC131" i="34" s="1"/>
  <c r="CU130" i="34" a="1"/>
  <c r="CU130" i="34" s="1"/>
  <c r="CI129" i="34" a="1"/>
  <c r="CI129" i="34" s="1"/>
  <c r="DA128" i="34" a="1"/>
  <c r="DA128" i="34" s="1"/>
  <c r="CO127" i="34" a="1"/>
  <c r="CO127" i="34" s="1"/>
  <c r="DG126" i="34" a="1"/>
  <c r="DG126" i="34" s="1"/>
  <c r="DM124" i="34" a="1"/>
  <c r="DM124" i="34" s="1"/>
  <c r="DY121" i="34" a="1"/>
  <c r="DY121" i="34" s="1"/>
  <c r="CO121" i="34" a="1"/>
  <c r="CO121" i="34" s="1"/>
  <c r="EE119" i="34" a="1"/>
  <c r="EE119" i="34" s="1"/>
  <c r="CC119" i="34" a="1"/>
  <c r="CC119" i="34" s="1"/>
  <c r="DS118" i="34" a="1"/>
  <c r="DS118" i="34" s="1"/>
  <c r="CH109" i="34" a="1"/>
  <c r="CH109" i="34" s="1"/>
  <c r="CI109" i="34" a="1"/>
  <c r="CI109" i="34" s="1"/>
  <c r="CH123" i="34" a="1"/>
  <c r="CH123" i="34" s="1"/>
  <c r="BV114" i="34" a="1"/>
  <c r="BV114" i="34" s="1"/>
  <c r="EE110" i="34" a="1"/>
  <c r="EE110" i="34" s="1"/>
  <c r="ED110" i="34" a="1"/>
  <c r="ED110" i="34" s="1"/>
  <c r="DL109" i="34" a="1"/>
  <c r="DL109" i="34" s="1"/>
  <c r="ED105" i="34" a="1"/>
  <c r="ED105" i="34" s="1"/>
  <c r="DG136" i="34" a="1"/>
  <c r="DG136" i="34" s="1"/>
  <c r="DM134" i="34" a="1"/>
  <c r="DM134" i="34" s="1"/>
  <c r="DS132" i="34" a="1"/>
  <c r="DS132" i="34" s="1"/>
  <c r="DY130" i="34" a="1"/>
  <c r="DY130" i="34" s="1"/>
  <c r="EE128" i="34" a="1"/>
  <c r="EE128" i="34" s="1"/>
  <c r="BW127" i="34" a="1"/>
  <c r="BW127" i="34" s="1"/>
  <c r="DL122" i="34" a="1"/>
  <c r="DL122" i="34" s="1"/>
  <c r="BW121" i="34" a="1"/>
  <c r="BW121" i="34" s="1"/>
  <c r="DR120" i="34" a="1"/>
  <c r="DR120" i="34" s="1"/>
  <c r="DA120" i="34" a="1"/>
  <c r="DA120" i="34" s="1"/>
  <c r="DX117" i="34" a="1"/>
  <c r="DX117" i="34" s="1"/>
  <c r="DR115" i="34" a="1"/>
  <c r="DR115" i="34" s="1"/>
  <c r="DS115" i="34" a="1"/>
  <c r="DS115" i="34" s="1"/>
  <c r="DL114" i="34" a="1"/>
  <c r="DL114" i="34" s="1"/>
  <c r="CC110" i="34" a="1"/>
  <c r="CC110" i="34" s="1"/>
  <c r="CT90" i="34" a="1"/>
  <c r="CT90" i="34" s="1"/>
  <c r="CU90" i="34" a="1"/>
  <c r="CU90" i="34" s="1"/>
  <c r="CU81" i="34" a="1"/>
  <c r="CU81" i="34" s="1"/>
  <c r="CT81" i="34" a="1"/>
  <c r="CT81" i="34" s="1"/>
  <c r="CI128" i="34" a="1"/>
  <c r="CI128" i="34" s="1"/>
  <c r="DA127" i="34" a="1"/>
  <c r="DA127" i="34" s="1"/>
  <c r="CO126" i="34" a="1"/>
  <c r="CO126" i="34" s="1"/>
  <c r="DG125" i="34" a="1"/>
  <c r="DG125" i="34" s="1"/>
  <c r="DY122" i="34" a="1"/>
  <c r="DY122" i="34" s="1"/>
  <c r="CB116" i="34" a="1"/>
  <c r="CB116" i="34" s="1"/>
  <c r="CC116" i="34" a="1"/>
  <c r="CC116" i="34" s="1"/>
  <c r="CT105" i="34" a="1"/>
  <c r="CT105" i="34" s="1"/>
  <c r="CU105" i="34" a="1"/>
  <c r="CU105" i="34" s="1"/>
  <c r="DS126" i="34" a="1"/>
  <c r="DS126" i="34" s="1"/>
  <c r="DY124" i="34" a="1"/>
  <c r="DY124" i="34" s="1"/>
  <c r="DG122" i="34" a="1"/>
  <c r="DG122" i="34" s="1"/>
  <c r="EE120" i="34" a="1"/>
  <c r="EE120" i="34" s="1"/>
  <c r="DM120" i="34" a="1"/>
  <c r="DM120" i="34" s="1"/>
  <c r="CU120" i="34" a="1"/>
  <c r="CU120" i="34" s="1"/>
  <c r="DS117" i="34" a="1"/>
  <c r="DS117" i="34" s="1"/>
  <c r="CI113" i="34" a="1"/>
  <c r="CI113" i="34" s="1"/>
  <c r="DY110" i="34" a="1"/>
  <c r="DY110" i="34" s="1"/>
  <c r="CZ110" i="34" a="1"/>
  <c r="CZ110" i="34" s="1"/>
  <c r="BV110" i="34" a="1"/>
  <c r="BV110" i="34" s="1"/>
  <c r="BW110" i="34" a="1"/>
  <c r="BW110" i="34" s="1"/>
  <c r="DL108" i="34" a="1"/>
  <c r="DL108" i="34" s="1"/>
  <c r="DM108" i="34" a="1"/>
  <c r="DM108" i="34" s="1"/>
  <c r="DX88" i="34" a="1"/>
  <c r="DX88" i="34" s="1"/>
  <c r="DY88" i="34" a="1"/>
  <c r="DY88" i="34" s="1"/>
  <c r="EE127" i="34" a="1"/>
  <c r="EE127" i="34" s="1"/>
  <c r="BW126" i="34" a="1"/>
  <c r="BW126" i="34" s="1"/>
  <c r="CC124" i="34" a="1"/>
  <c r="CC124" i="34" s="1"/>
  <c r="CO122" i="34" a="1"/>
  <c r="CO122" i="34" s="1"/>
  <c r="CZ121" i="34" a="1"/>
  <c r="CZ121" i="34" s="1"/>
  <c r="CT118" i="34" a="1"/>
  <c r="CT118" i="34" s="1"/>
  <c r="BV115" i="34" a="1"/>
  <c r="BV115" i="34" s="1"/>
  <c r="EE113" i="34" a="1"/>
  <c r="EE113" i="34" s="1"/>
  <c r="DY112" i="34" a="1"/>
  <c r="DY112" i="34" s="1"/>
  <c r="DX112" i="34" a="1"/>
  <c r="DX112" i="34" s="1"/>
  <c r="BV112" i="34" a="1"/>
  <c r="BV112" i="34" s="1"/>
  <c r="CU98" i="34" a="1"/>
  <c r="CU98" i="34" s="1"/>
  <c r="DR91" i="34" a="1"/>
  <c r="DR91" i="34" s="1"/>
  <c r="DS91" i="34" a="1"/>
  <c r="DS91" i="34" s="1"/>
  <c r="DS121" i="34" a="1"/>
  <c r="DS121" i="34" s="1"/>
  <c r="CH121" i="34" a="1"/>
  <c r="CH121" i="34" s="1"/>
  <c r="DY119" i="34" a="1"/>
  <c r="DY119" i="34" s="1"/>
  <c r="EE114" i="34" a="1"/>
  <c r="EE114" i="34" s="1"/>
  <c r="CB108" i="34" a="1"/>
  <c r="CB108" i="34" s="1"/>
  <c r="CC108" i="34" a="1"/>
  <c r="CC108" i="34" s="1"/>
  <c r="DX104" i="34" a="1"/>
  <c r="DX104" i="34" s="1"/>
  <c r="DY104" i="34" a="1"/>
  <c r="DY104" i="34" s="1"/>
  <c r="CH89" i="34" a="1"/>
  <c r="CH89" i="34" s="1"/>
  <c r="CI89" i="34" a="1"/>
  <c r="CI89" i="34" s="1"/>
  <c r="DX113" i="34" a="1"/>
  <c r="DX113" i="34" s="1"/>
  <c r="DY113" i="34" a="1"/>
  <c r="DY113" i="34" s="1"/>
  <c r="DS112" i="34" a="1"/>
  <c r="DS112" i="34" s="1"/>
  <c r="CT112" i="34" a="1"/>
  <c r="CT112" i="34" s="1"/>
  <c r="DF111" i="34" a="1"/>
  <c r="DF111" i="34" s="1"/>
  <c r="DG111" i="34" a="1"/>
  <c r="DG111" i="34" s="1"/>
  <c r="DR106" i="34" a="1"/>
  <c r="DR106" i="34" s="1"/>
  <c r="DS106" i="34" a="1"/>
  <c r="DS106" i="34" s="1"/>
  <c r="BW130" i="34" a="1"/>
  <c r="BW130" i="34" s="1"/>
  <c r="CC128" i="34" a="1"/>
  <c r="CC128" i="34" s="1"/>
  <c r="CI126" i="34" a="1"/>
  <c r="CI126" i="34" s="1"/>
  <c r="DA125" i="34" a="1"/>
  <c r="DA125" i="34" s="1"/>
  <c r="CO124" i="34" a="1"/>
  <c r="CO124" i="34" s="1"/>
  <c r="DS122" i="34" a="1"/>
  <c r="DS122" i="34" s="1"/>
  <c r="DM121" i="34" a="1"/>
  <c r="DM121" i="34" s="1"/>
  <c r="CU117" i="34" a="1"/>
  <c r="CU117" i="34" s="1"/>
  <c r="CH114" i="34" a="1"/>
  <c r="CH114" i="34" s="1"/>
  <c r="CI114" i="34" a="1"/>
  <c r="CI114" i="34" s="1"/>
  <c r="CZ113" i="34" a="1"/>
  <c r="CZ113" i="34" s="1"/>
  <c r="DA113" i="34" a="1"/>
  <c r="DA113" i="34" s="1"/>
  <c r="ED111" i="34" a="1"/>
  <c r="ED111" i="34" s="1"/>
  <c r="EE111" i="34" a="1"/>
  <c r="EE111" i="34" s="1"/>
  <c r="ED108" i="34" a="1"/>
  <c r="ED108" i="34" s="1"/>
  <c r="DA122" i="34" a="1"/>
  <c r="DA122" i="34" s="1"/>
  <c r="DY120" i="34" a="1"/>
  <c r="DY120" i="34" s="1"/>
  <c r="DG120" i="34" a="1"/>
  <c r="DG120" i="34" s="1"/>
  <c r="BW118" i="34" a="1"/>
  <c r="BW118" i="34" s="1"/>
  <c r="DY114" i="34" a="1"/>
  <c r="DY114" i="34" s="1"/>
  <c r="CB113" i="34" a="1"/>
  <c r="CB113" i="34" s="1"/>
  <c r="CT108" i="34" a="1"/>
  <c r="CT108" i="34" s="1"/>
  <c r="DL105" i="34" a="1"/>
  <c r="DL105" i="34" s="1"/>
  <c r="BW124" i="34" a="1"/>
  <c r="BW124" i="34" s="1"/>
  <c r="CH122" i="34" a="1"/>
  <c r="CH122" i="34" s="1"/>
  <c r="CN120" i="34" a="1"/>
  <c r="CN120" i="34" s="1"/>
  <c r="BW120" i="34" a="1"/>
  <c r="BW120" i="34" s="1"/>
  <c r="CN118" i="34" a="1"/>
  <c r="CN118" i="34" s="1"/>
  <c r="CO118" i="34" a="1"/>
  <c r="CO118" i="34" s="1"/>
  <c r="DL117" i="34" a="1"/>
  <c r="DL117" i="34" s="1"/>
  <c r="DM117" i="34" a="1"/>
  <c r="DM117" i="34" s="1"/>
  <c r="CN117" i="34" a="1"/>
  <c r="CN117" i="34" s="1"/>
  <c r="DF116" i="34" a="1"/>
  <c r="DF116" i="34" s="1"/>
  <c r="BW113" i="34" a="1"/>
  <c r="BW113" i="34" s="1"/>
  <c r="CT109" i="34" a="1"/>
  <c r="CT109" i="34" s="1"/>
  <c r="CU109" i="34" a="1"/>
  <c r="CU109" i="34" s="1"/>
  <c r="CB92" i="34" a="1"/>
  <c r="CB92" i="34" s="1"/>
  <c r="CC92" i="34" a="1"/>
  <c r="CC92" i="34" s="1"/>
  <c r="DR119" i="34" a="1"/>
  <c r="DR119" i="34" s="1"/>
  <c r="DY118" i="34" a="1"/>
  <c r="DY118" i="34" s="1"/>
  <c r="CN112" i="34" a="1"/>
  <c r="CN112" i="34" s="1"/>
  <c r="CO112" i="34" a="1"/>
  <c r="CO112" i="34" s="1"/>
  <c r="BW95" i="34" a="1"/>
  <c r="BW95" i="34" s="1"/>
  <c r="BV95" i="34" a="1"/>
  <c r="BV95" i="34" s="1"/>
  <c r="DX115" i="34" a="1"/>
  <c r="DX115" i="34" s="1"/>
  <c r="CU111" i="34" a="1"/>
  <c r="CU111" i="34" s="1"/>
  <c r="CZ93" i="34" a="1"/>
  <c r="CZ93" i="34" s="1"/>
  <c r="DA93" i="34" a="1"/>
  <c r="DA93" i="34" s="1"/>
  <c r="BV109" i="34" a="1"/>
  <c r="BV109" i="34" s="1"/>
  <c r="CB107" i="34" a="1"/>
  <c r="CB107" i="34" s="1"/>
  <c r="CN106" i="34" a="1"/>
  <c r="CN106" i="34" s="1"/>
  <c r="CH105" i="34" a="1"/>
  <c r="CH105" i="34" s="1"/>
  <c r="DM94" i="34" a="1"/>
  <c r="DM94" i="34" s="1"/>
  <c r="DF89" i="34" a="1"/>
  <c r="DF89" i="34" s="1"/>
  <c r="DG89" i="34" a="1"/>
  <c r="DG89" i="34" s="1"/>
  <c r="CT88" i="34" a="1"/>
  <c r="CT88" i="34" s="1"/>
  <c r="CU88" i="34" a="1"/>
  <c r="CU88" i="34" s="1"/>
  <c r="CI85" i="34" a="1"/>
  <c r="CI85" i="34" s="1"/>
  <c r="CH85" i="34" a="1"/>
  <c r="CH85" i="34" s="1"/>
  <c r="DM115" i="34" a="1"/>
  <c r="DM115" i="34" s="1"/>
  <c r="DS113" i="34" a="1"/>
  <c r="DS113" i="34" s="1"/>
  <c r="DY111" i="34" a="1"/>
  <c r="DY111" i="34" s="1"/>
  <c r="EE109" i="34" a="1"/>
  <c r="EE109" i="34" s="1"/>
  <c r="DA102" i="34" a="1"/>
  <c r="DA102" i="34" s="1"/>
  <c r="DG100" i="34" a="1"/>
  <c r="DG100" i="34" s="1"/>
  <c r="DA99" i="34" a="1"/>
  <c r="DA99" i="34" s="1"/>
  <c r="DM98" i="34" a="1"/>
  <c r="DM98" i="34" s="1"/>
  <c r="DS96" i="34" a="1"/>
  <c r="DS96" i="34" s="1"/>
  <c r="ED94" i="34" a="1"/>
  <c r="ED94" i="34" s="1"/>
  <c r="CT94" i="34" a="1"/>
  <c r="CT94" i="34" s="1"/>
  <c r="DS93" i="34" a="1"/>
  <c r="DS93" i="34" s="1"/>
  <c r="BV93" i="34" a="1"/>
  <c r="BV93" i="34" s="1"/>
  <c r="DR90" i="34" a="1"/>
  <c r="DR90" i="34" s="1"/>
  <c r="DS90" i="34" a="1"/>
  <c r="DS90" i="34" s="1"/>
  <c r="CO90" i="34" a="1"/>
  <c r="CO90" i="34" s="1"/>
  <c r="CU86" i="34" a="1"/>
  <c r="CU86" i="34" s="1"/>
  <c r="DR81" i="34" a="1"/>
  <c r="DR81" i="34" s="1"/>
  <c r="CT58" i="34" a="1"/>
  <c r="CT58" i="34" s="1"/>
  <c r="CU58" i="34" a="1"/>
  <c r="CU58" i="34" s="1"/>
  <c r="DY95" i="34" a="1"/>
  <c r="DY95" i="34" s="1"/>
  <c r="BW94" i="34" a="1"/>
  <c r="BW94" i="34" s="1"/>
  <c r="BV92" i="34" a="1"/>
  <c r="BV92" i="34" s="1"/>
  <c r="DA89" i="34" a="1"/>
  <c r="DA89" i="34" s="1"/>
  <c r="CO88" i="34" a="1"/>
  <c r="CO88" i="34" s="1"/>
  <c r="DF85" i="34" a="1"/>
  <c r="DF85" i="34" s="1"/>
  <c r="CT74" i="34" a="1"/>
  <c r="CT74" i="34" s="1"/>
  <c r="CU74" i="34" a="1"/>
  <c r="CU74" i="34" s="1"/>
  <c r="CB65" i="34" a="1"/>
  <c r="CB65" i="34" s="1"/>
  <c r="CC65" i="34" a="1"/>
  <c r="CC65" i="34" s="1"/>
  <c r="DM109" i="34" a="1"/>
  <c r="DM109" i="34" s="1"/>
  <c r="DM105" i="34" a="1"/>
  <c r="DM105" i="34" s="1"/>
  <c r="DS103" i="34" a="1"/>
  <c r="DS103" i="34" s="1"/>
  <c r="DA103" i="34" a="1"/>
  <c r="DA103" i="34" s="1"/>
  <c r="CU102" i="34" a="1"/>
  <c r="CU102" i="34" s="1"/>
  <c r="DY101" i="34" a="1"/>
  <c r="DY101" i="34" s="1"/>
  <c r="DG101" i="34" a="1"/>
  <c r="DG101" i="34" s="1"/>
  <c r="EE99" i="34" a="1"/>
  <c r="EE99" i="34" s="1"/>
  <c r="DM99" i="34" a="1"/>
  <c r="DM99" i="34" s="1"/>
  <c r="CU99" i="34" a="1"/>
  <c r="CU99" i="34" s="1"/>
  <c r="CC96" i="34" a="1"/>
  <c r="CC96" i="34" s="1"/>
  <c r="CO94" i="34" a="1"/>
  <c r="CO94" i="34" s="1"/>
  <c r="DM93" i="34" a="1"/>
  <c r="DM93" i="34" s="1"/>
  <c r="CO91" i="34" a="1"/>
  <c r="CO91" i="34" s="1"/>
  <c r="CT79" i="34" a="1"/>
  <c r="CT79" i="34" s="1"/>
  <c r="CU79" i="34" a="1"/>
  <c r="CU79" i="34" s="1"/>
  <c r="CI106" i="34" a="1"/>
  <c r="CI106" i="34" s="1"/>
  <c r="CO104" i="34" a="1"/>
  <c r="CO104" i="34" s="1"/>
  <c r="CU96" i="34" a="1"/>
  <c r="CU96" i="34" s="1"/>
  <c r="CI95" i="34" a="1"/>
  <c r="CI95" i="34" s="1"/>
  <c r="DL90" i="34" a="1"/>
  <c r="DL90" i="34" s="1"/>
  <c r="DM90" i="34" a="1"/>
  <c r="DM90" i="34" s="1"/>
  <c r="DL84" i="34" a="1"/>
  <c r="DL84" i="34" s="1"/>
  <c r="DM84" i="34" a="1"/>
  <c r="DM84" i="34" s="1"/>
  <c r="DF83" i="34" a="1"/>
  <c r="DF83" i="34" s="1"/>
  <c r="DG83" i="34" a="1"/>
  <c r="DG83" i="34" s="1"/>
  <c r="CT76" i="34" a="1"/>
  <c r="CT76" i="34" s="1"/>
  <c r="CU76" i="34" a="1"/>
  <c r="CU76" i="34" s="1"/>
  <c r="BW64" i="34" a="1"/>
  <c r="BW64" i="34" s="1"/>
  <c r="BV64" i="34" a="1"/>
  <c r="BV64" i="34" s="1"/>
  <c r="CO107" i="34" a="1"/>
  <c r="CO107" i="34" s="1"/>
  <c r="EE102" i="34" a="1"/>
  <c r="EE102" i="34" s="1"/>
  <c r="BW101" i="34" a="1"/>
  <c r="BW101" i="34" s="1"/>
  <c r="CC99" i="34" a="1"/>
  <c r="CC99" i="34" s="1"/>
  <c r="CI97" i="34" a="1"/>
  <c r="CI97" i="34" s="1"/>
  <c r="DL86" i="34" a="1"/>
  <c r="DL86" i="34" s="1"/>
  <c r="DL81" i="34" a="1"/>
  <c r="DL81" i="34" s="1"/>
  <c r="DM81" i="34" a="1"/>
  <c r="DM81" i="34" s="1"/>
  <c r="DX73" i="34" a="1"/>
  <c r="DX73" i="34" s="1"/>
  <c r="DY73" i="34" a="1"/>
  <c r="DY73" i="34" s="1"/>
  <c r="CZ85" i="34" a="1"/>
  <c r="CZ85" i="34" s="1"/>
  <c r="DA85" i="34" a="1"/>
  <c r="DA85" i="34" s="1"/>
  <c r="DG60" i="34" a="1"/>
  <c r="DG60" i="34" s="1"/>
  <c r="DF60" i="34" a="1"/>
  <c r="DF60" i="34" s="1"/>
  <c r="CT48" i="34" a="1"/>
  <c r="CT48" i="34" s="1"/>
  <c r="CU48" i="34" a="1"/>
  <c r="CU48" i="34" s="1"/>
  <c r="EE108" i="34" a="1"/>
  <c r="EE108" i="34" s="1"/>
  <c r="BW107" i="34" a="1"/>
  <c r="BW107" i="34" s="1"/>
  <c r="EE105" i="34" a="1"/>
  <c r="EE105" i="34" s="1"/>
  <c r="CC105" i="34" a="1"/>
  <c r="CC105" i="34" s="1"/>
  <c r="BW104" i="34" a="1"/>
  <c r="BW104" i="34" s="1"/>
  <c r="CI103" i="34" a="1"/>
  <c r="CI103" i="34" s="1"/>
  <c r="CC102" i="34" a="1"/>
  <c r="CC102" i="34" s="1"/>
  <c r="CO101" i="34" a="1"/>
  <c r="CO101" i="34" s="1"/>
  <c r="CI100" i="34" a="1"/>
  <c r="CI100" i="34" s="1"/>
  <c r="CN93" i="34" a="1"/>
  <c r="CN93" i="34" s="1"/>
  <c r="CO93" i="34" a="1"/>
  <c r="CO93" i="34" s="1"/>
  <c r="DL92" i="34" a="1"/>
  <c r="DL92" i="34" s="1"/>
  <c r="CN92" i="34" a="1"/>
  <c r="CN92" i="34" s="1"/>
  <c r="DF90" i="34" a="1"/>
  <c r="DF90" i="34" s="1"/>
  <c r="DF88" i="34" a="1"/>
  <c r="DF88" i="34" s="1"/>
  <c r="CU87" i="34" a="1"/>
  <c r="CU87" i="34" s="1"/>
  <c r="BV87" i="34" a="1"/>
  <c r="BV87" i="34" s="1"/>
  <c r="CT85" i="34" a="1"/>
  <c r="CT85" i="34" s="1"/>
  <c r="CU85" i="34" a="1"/>
  <c r="CU85" i="34" s="1"/>
  <c r="CB73" i="34" a="1"/>
  <c r="CB73" i="34" s="1"/>
  <c r="CC73" i="34" a="1"/>
  <c r="CC73" i="34" s="1"/>
  <c r="DS107" i="34" a="1"/>
  <c r="DS107" i="34" s="1"/>
  <c r="CT106" i="34" a="1"/>
  <c r="CT106" i="34" s="1"/>
  <c r="CZ104" i="34" a="1"/>
  <c r="CZ104" i="34" s="1"/>
  <c r="DF102" i="34" a="1"/>
  <c r="DF102" i="34" s="1"/>
  <c r="DL100" i="34" a="1"/>
  <c r="DL100" i="34" s="1"/>
  <c r="DR98" i="34" a="1"/>
  <c r="DR98" i="34" s="1"/>
  <c r="CI98" i="34" a="1"/>
  <c r="CI98" i="34" s="1"/>
  <c r="DX96" i="34" a="1"/>
  <c r="DX96" i="34" s="1"/>
  <c r="DS95" i="34" a="1"/>
  <c r="DS95" i="34" s="1"/>
  <c r="DA94" i="34" a="1"/>
  <c r="DA94" i="34" s="1"/>
  <c r="DF92" i="34" a="1"/>
  <c r="DF92" i="34" s="1"/>
  <c r="DG92" i="34" a="1"/>
  <c r="DG92" i="34" s="1"/>
  <c r="DA91" i="34" a="1"/>
  <c r="DA91" i="34" s="1"/>
  <c r="CI91" i="34" a="1"/>
  <c r="CI91" i="34" s="1"/>
  <c r="CZ90" i="34" a="1"/>
  <c r="CZ90" i="34" s="1"/>
  <c r="CN89" i="34" a="1"/>
  <c r="CN89" i="34" s="1"/>
  <c r="DF86" i="34" a="1"/>
  <c r="DF86" i="34" s="1"/>
  <c r="DG86" i="34" a="1"/>
  <c r="DG86" i="34" s="1"/>
  <c r="CB74" i="34" a="1"/>
  <c r="CB74" i="34" s="1"/>
  <c r="CC74" i="34" a="1"/>
  <c r="CC74" i="34" s="1"/>
  <c r="ED88" i="34" a="1"/>
  <c r="ED88" i="34" s="1"/>
  <c r="CI86" i="34" a="1"/>
  <c r="CI86" i="34" s="1"/>
  <c r="DX85" i="34" a="1"/>
  <c r="DX85" i="34" s="1"/>
  <c r="CU84" i="34" a="1"/>
  <c r="CU84" i="34" s="1"/>
  <c r="CT84" i="34" a="1"/>
  <c r="CT84" i="34" s="1"/>
  <c r="DX83" i="34" a="1"/>
  <c r="DX83" i="34" s="1"/>
  <c r="DY83" i="34" a="1"/>
  <c r="DY83" i="34" s="1"/>
  <c r="DA82" i="34" a="1"/>
  <c r="DA82" i="34" s="1"/>
  <c r="CZ82" i="34" a="1"/>
  <c r="CZ82" i="34" s="1"/>
  <c r="CN87" i="34" a="1"/>
  <c r="CN87" i="34" s="1"/>
  <c r="CO87" i="34" a="1"/>
  <c r="CO87" i="34" s="1"/>
  <c r="ED86" i="34" a="1"/>
  <c r="ED86" i="34" s="1"/>
  <c r="EE86" i="34" a="1"/>
  <c r="EE86" i="34" s="1"/>
  <c r="ED81" i="34" a="1"/>
  <c r="ED81" i="34" s="1"/>
  <c r="EE81" i="34" a="1"/>
  <c r="EE81" i="34" s="1"/>
  <c r="DF108" i="34" a="1"/>
  <c r="DF108" i="34" s="1"/>
  <c r="DL106" i="34" a="1"/>
  <c r="DL106" i="34" s="1"/>
  <c r="DR104" i="34" a="1"/>
  <c r="DR104" i="34" s="1"/>
  <c r="DX102" i="34" a="1"/>
  <c r="DX102" i="34" s="1"/>
  <c r="ED100" i="34" a="1"/>
  <c r="ED100" i="34" s="1"/>
  <c r="BV99" i="34" a="1"/>
  <c r="BV99" i="34" s="1"/>
  <c r="CB97" i="34" a="1"/>
  <c r="CB97" i="34" s="1"/>
  <c r="EE95" i="34" a="1"/>
  <c r="EE95" i="34" s="1"/>
  <c r="CC94" i="34" a="1"/>
  <c r="CC94" i="34" s="1"/>
  <c r="CZ88" i="34" a="1"/>
  <c r="CZ88" i="34" s="1"/>
  <c r="DA88" i="34" a="1"/>
  <c r="DA88" i="34" s="1"/>
  <c r="DL87" i="34" a="1"/>
  <c r="DL87" i="34" s="1"/>
  <c r="DM87" i="34" a="1"/>
  <c r="DM87" i="34" s="1"/>
  <c r="DR85" i="34" a="1"/>
  <c r="DR85" i="34" s="1"/>
  <c r="DS85" i="34" a="1"/>
  <c r="DS85" i="34" s="1"/>
  <c r="DA105" i="34" a="1"/>
  <c r="DA105" i="34" s="1"/>
  <c r="DG103" i="34" a="1"/>
  <c r="DG103" i="34" s="1"/>
  <c r="DM101" i="34" a="1"/>
  <c r="DM101" i="34" s="1"/>
  <c r="DS99" i="34" a="1"/>
  <c r="DS99" i="34" s="1"/>
  <c r="DM95" i="34" a="1"/>
  <c r="DM95" i="34" s="1"/>
  <c r="CU94" i="34" a="1"/>
  <c r="CU94" i="34" s="1"/>
  <c r="DY93" i="34" a="1"/>
  <c r="DY93" i="34" s="1"/>
  <c r="CZ92" i="34" a="1"/>
  <c r="CZ92" i="34" s="1"/>
  <c r="BW90" i="34" a="1"/>
  <c r="BW90" i="34" s="1"/>
  <c r="DL89" i="34" a="1"/>
  <c r="DL89" i="34" s="1"/>
  <c r="DS76" i="34" a="1"/>
  <c r="DS76" i="34" s="1"/>
  <c r="DX66" i="34" a="1"/>
  <c r="DX66" i="34" s="1"/>
  <c r="DA66" i="34" a="1"/>
  <c r="DA66" i="34" s="1"/>
  <c r="DR64" i="34" a="1"/>
  <c r="DR64" i="34" s="1"/>
  <c r="CU61" i="34" a="1"/>
  <c r="CU61" i="34" s="1"/>
  <c r="CT55" i="34" a="1"/>
  <c r="CT55" i="34" s="1"/>
  <c r="CU55" i="34" a="1"/>
  <c r="CU55" i="34" s="1"/>
  <c r="CZ46" i="34" a="1"/>
  <c r="CZ46" i="34" s="1"/>
  <c r="DA46" i="34" a="1"/>
  <c r="DA46" i="34" s="1"/>
  <c r="DA84" i="34" a="1"/>
  <c r="DA84" i="34" s="1"/>
  <c r="DG82" i="34" a="1"/>
  <c r="DG82" i="34" s="1"/>
  <c r="DM80" i="34" a="1"/>
  <c r="DM80" i="34" s="1"/>
  <c r="DS78" i="34" a="1"/>
  <c r="DS78" i="34" s="1"/>
  <c r="BW74" i="34" a="1"/>
  <c r="BW74" i="34" s="1"/>
  <c r="CC66" i="34" a="1"/>
  <c r="CC66" i="34" s="1"/>
  <c r="CT64" i="34" a="1"/>
  <c r="CT64" i="34" s="1"/>
  <c r="EE63" i="34" a="1"/>
  <c r="EE63" i="34" s="1"/>
  <c r="CO61" i="34" a="1"/>
  <c r="CO61" i="34" s="1"/>
  <c r="CB60" i="34" a="1"/>
  <c r="CB60" i="34" s="1"/>
  <c r="CC60" i="34" a="1"/>
  <c r="CC60" i="34" s="1"/>
  <c r="CO70" i="34" a="1"/>
  <c r="CO70" i="34" s="1"/>
  <c r="BW66" i="34" a="1"/>
  <c r="BW66" i="34" s="1"/>
  <c r="DM65" i="34" a="1"/>
  <c r="DM65" i="34" s="1"/>
  <c r="CO64" i="34" a="1"/>
  <c r="CO64" i="34" s="1"/>
  <c r="BW80" i="34" a="1"/>
  <c r="BW80" i="34" s="1"/>
  <c r="DS79" i="34" a="1"/>
  <c r="DS79" i="34" s="1"/>
  <c r="DY77" i="34" a="1"/>
  <c r="DY77" i="34" s="1"/>
  <c r="BV77" i="34" a="1"/>
  <c r="BV77" i="34" s="1"/>
  <c r="CI75" i="34" a="1"/>
  <c r="CI75" i="34" s="1"/>
  <c r="DS73" i="34" a="1"/>
  <c r="DS73" i="34" s="1"/>
  <c r="BW71" i="34" a="1"/>
  <c r="BW71" i="34" s="1"/>
  <c r="CO69" i="34" a="1"/>
  <c r="CO69" i="34" s="1"/>
  <c r="DR66" i="34" a="1"/>
  <c r="DR66" i="34" s="1"/>
  <c r="DS66" i="34" a="1"/>
  <c r="DS66" i="34" s="1"/>
  <c r="DY62" i="34" a="1"/>
  <c r="DY62" i="34" s="1"/>
  <c r="DM61" i="34" a="1"/>
  <c r="DM61" i="34" s="1"/>
  <c r="DM58" i="34" a="1"/>
  <c r="DM58" i="34" s="1"/>
  <c r="DL58" i="34" a="1"/>
  <c r="DL58" i="34" s="1"/>
  <c r="DF80" i="34" a="1"/>
  <c r="DF80" i="34" s="1"/>
  <c r="CZ79" i="34" a="1"/>
  <c r="CZ79" i="34" s="1"/>
  <c r="CI79" i="34" a="1"/>
  <c r="CI79" i="34" s="1"/>
  <c r="DL78" i="34" a="1"/>
  <c r="DL78" i="34" s="1"/>
  <c r="CN74" i="34" a="1"/>
  <c r="CN74" i="34" s="1"/>
  <c r="DM73" i="34" a="1"/>
  <c r="DM73" i="34" s="1"/>
  <c r="CO72" i="34" a="1"/>
  <c r="CO72" i="34" s="1"/>
  <c r="DM70" i="34" a="1"/>
  <c r="DM70" i="34" s="1"/>
  <c r="DG69" i="34" a="1"/>
  <c r="DG69" i="34" s="1"/>
  <c r="CO68" i="34" a="1"/>
  <c r="CO68" i="34" s="1"/>
  <c r="BW68" i="34" a="1"/>
  <c r="BW68" i="34" s="1"/>
  <c r="BW67" i="34" a="1"/>
  <c r="BW67" i="34" s="1"/>
  <c r="CN65" i="34" a="1"/>
  <c r="CN65" i="34" s="1"/>
  <c r="DA62" i="34" a="1"/>
  <c r="DA62" i="34" s="1"/>
  <c r="CH58" i="34" a="1"/>
  <c r="CH58" i="34" s="1"/>
  <c r="CI58" i="34" a="1"/>
  <c r="CI58" i="34" s="1"/>
  <c r="DS56" i="34" a="1"/>
  <c r="DS56" i="34" s="1"/>
  <c r="DR56" i="34" a="1"/>
  <c r="DR56" i="34" s="1"/>
  <c r="DY54" i="34" a="1"/>
  <c r="DY54" i="34" s="1"/>
  <c r="DX54" i="34" a="1"/>
  <c r="DX54" i="34" s="1"/>
  <c r="CT54" i="34" a="1"/>
  <c r="CT54" i="34" s="1"/>
  <c r="CU54" i="34" a="1"/>
  <c r="CU54" i="34" s="1"/>
  <c r="EE52" i="34" a="1"/>
  <c r="EE52" i="34" s="1"/>
  <c r="ED52" i="34" a="1"/>
  <c r="ED52" i="34" s="1"/>
  <c r="CU47" i="34" a="1"/>
  <c r="CU47" i="34" s="1"/>
  <c r="CT47" i="34" a="1"/>
  <c r="CT47" i="34" s="1"/>
  <c r="CT37" i="34" a="1"/>
  <c r="CT37" i="34" s="1"/>
  <c r="CU37" i="34" a="1"/>
  <c r="CU37" i="34" s="1"/>
  <c r="CB78" i="34" a="1"/>
  <c r="CB78" i="34" s="1"/>
  <c r="EE76" i="34" a="1"/>
  <c r="EE76" i="34" s="1"/>
  <c r="DX74" i="34" a="1"/>
  <c r="DX74" i="34" s="1"/>
  <c r="DL68" i="34" a="1"/>
  <c r="DL68" i="34" s="1"/>
  <c r="DM68" i="34" a="1"/>
  <c r="DM68" i="34" s="1"/>
  <c r="DM66" i="34" a="1"/>
  <c r="DM66" i="34" s="1"/>
  <c r="DX63" i="34" a="1"/>
  <c r="DX63" i="34" s="1"/>
  <c r="CN56" i="34" a="1"/>
  <c r="CN56" i="34" s="1"/>
  <c r="CO56" i="34" a="1"/>
  <c r="CO56" i="34" s="1"/>
  <c r="CI49" i="34" a="1"/>
  <c r="CI49" i="34" s="1"/>
  <c r="CH49" i="34" a="1"/>
  <c r="CH49" i="34" s="1"/>
  <c r="CN71" i="34" a="1"/>
  <c r="CN71" i="34" s="1"/>
  <c r="CO71" i="34" a="1"/>
  <c r="CO71" i="34" s="1"/>
  <c r="EE68" i="34" a="1"/>
  <c r="EE68" i="34" s="1"/>
  <c r="CT45" i="34" a="1"/>
  <c r="CT45" i="34" s="1"/>
  <c r="CU45" i="34" a="1"/>
  <c r="CU45" i="34" s="1"/>
  <c r="CT44" i="34" a="1"/>
  <c r="CT44" i="34" s="1"/>
  <c r="CU44" i="34" a="1"/>
  <c r="CU44" i="34" s="1"/>
  <c r="CO83" i="34" a="1"/>
  <c r="CO83" i="34" s="1"/>
  <c r="DR82" i="34" a="1"/>
  <c r="DR82" i="34" s="1"/>
  <c r="DX80" i="34" a="1"/>
  <c r="DX80" i="34" s="1"/>
  <c r="ED78" i="34" a="1"/>
  <c r="ED78" i="34" s="1"/>
  <c r="DF64" i="34" a="1"/>
  <c r="DF64" i="34" s="1"/>
  <c r="DG64" i="34" a="1"/>
  <c r="DG64" i="34" s="1"/>
  <c r="BV62" i="34" a="1"/>
  <c r="BV62" i="34" s="1"/>
  <c r="BW62" i="34" a="1"/>
  <c r="BW62" i="34" s="1"/>
  <c r="CT59" i="34" a="1"/>
  <c r="CT59" i="34" s="1"/>
  <c r="CU59" i="34" a="1"/>
  <c r="CU59" i="34" s="1"/>
  <c r="CN73" i="34" a="1"/>
  <c r="CN73" i="34" s="1"/>
  <c r="EE72" i="34" a="1"/>
  <c r="EE72" i="34" s="1"/>
  <c r="DR60" i="34" a="1"/>
  <c r="DR60" i="34" s="1"/>
  <c r="DS60" i="34" a="1"/>
  <c r="DS60" i="34" s="1"/>
  <c r="CU42" i="34" a="1"/>
  <c r="CU42" i="34" s="1"/>
  <c r="CT42" i="34" a="1"/>
  <c r="CT42" i="34" s="1"/>
  <c r="DS88" i="34" a="1"/>
  <c r="DS88" i="34" s="1"/>
  <c r="DY86" i="34" a="1"/>
  <c r="DY86" i="34" s="1"/>
  <c r="DG84" i="34" a="1"/>
  <c r="DG84" i="34" s="1"/>
  <c r="CO84" i="34" a="1"/>
  <c r="CO84" i="34" s="1"/>
  <c r="DM82" i="34" a="1"/>
  <c r="DM82" i="34" s="1"/>
  <c r="DS80" i="34" a="1"/>
  <c r="DS80" i="34" s="1"/>
  <c r="DY78" i="34" a="1"/>
  <c r="DY78" i="34" s="1"/>
  <c r="DF70" i="34" a="1"/>
  <c r="DF70" i="34" s="1"/>
  <c r="DG70" i="34" a="1"/>
  <c r="DG70" i="34" s="1"/>
  <c r="DA69" i="34" a="1"/>
  <c r="DA69" i="34" s="1"/>
  <c r="DF68" i="34" a="1"/>
  <c r="DF68" i="34" s="1"/>
  <c r="ED64" i="34" a="1"/>
  <c r="ED64" i="34" s="1"/>
  <c r="CI64" i="34" a="1"/>
  <c r="CI64" i="34" s="1"/>
  <c r="DG61" i="34" a="1"/>
  <c r="DG61" i="34" s="1"/>
  <c r="CI46" i="34" a="1"/>
  <c r="CI46" i="34" s="1"/>
  <c r="CH46" i="34" a="1"/>
  <c r="CH46" i="34" s="1"/>
  <c r="CT39" i="34" a="1"/>
  <c r="CT39" i="34" s="1"/>
  <c r="CU39" i="34" a="1"/>
  <c r="CU39" i="34" s="1"/>
  <c r="CB85" i="34" a="1"/>
  <c r="CB85" i="34" s="1"/>
  <c r="BV84" i="34" a="1"/>
  <c r="BV84" i="34" s="1"/>
  <c r="CH83" i="34" a="1"/>
  <c r="CH83" i="34" s="1"/>
  <c r="CB82" i="34" a="1"/>
  <c r="CB82" i="34" s="1"/>
  <c r="CN81" i="34" a="1"/>
  <c r="CN81" i="34" s="1"/>
  <c r="CH80" i="34" a="1"/>
  <c r="CH80" i="34" s="1"/>
  <c r="EE75" i="34" a="1"/>
  <c r="EE75" i="34" s="1"/>
  <c r="DL75" i="34" a="1"/>
  <c r="DL75" i="34" s="1"/>
  <c r="CB75" i="34" a="1"/>
  <c r="CB75" i="34" s="1"/>
  <c r="DA74" i="34" a="1"/>
  <c r="DA74" i="34" s="1"/>
  <c r="DA71" i="34" a="1"/>
  <c r="DA71" i="34" s="1"/>
  <c r="CH71" i="34" a="1"/>
  <c r="CH71" i="34" s="1"/>
  <c r="CH67" i="34" a="1"/>
  <c r="CH67" i="34" s="1"/>
  <c r="CI66" i="34" a="1"/>
  <c r="CI66" i="34" s="1"/>
  <c r="DY65" i="34" a="1"/>
  <c r="DY65" i="34" s="1"/>
  <c r="CC64" i="34" a="1"/>
  <c r="CC64" i="34" s="1"/>
  <c r="DA61" i="34" a="1"/>
  <c r="DA61" i="34" s="1"/>
  <c r="CO60" i="34" a="1"/>
  <c r="CO60" i="34" s="1"/>
  <c r="CZ57" i="34" a="1"/>
  <c r="CZ57" i="34" s="1"/>
  <c r="DA57" i="34" a="1"/>
  <c r="DA57" i="34" s="1"/>
  <c r="DL53" i="34" a="1"/>
  <c r="DL53" i="34" s="1"/>
  <c r="DM53" i="34" a="1"/>
  <c r="DM53" i="34" s="1"/>
  <c r="CN38" i="34" a="1"/>
  <c r="CN38" i="34" s="1"/>
  <c r="CO38" i="34" a="1"/>
  <c r="CO38" i="34" s="1"/>
  <c r="CN78" i="34" a="1"/>
  <c r="CN78" i="34" s="1"/>
  <c r="DY76" i="34" a="1"/>
  <c r="DY76" i="34" s="1"/>
  <c r="CH73" i="34" a="1"/>
  <c r="CH73" i="34" s="1"/>
  <c r="CI73" i="34" a="1"/>
  <c r="CI73" i="34" s="1"/>
  <c r="DF72" i="34" a="1"/>
  <c r="DF72" i="34" s="1"/>
  <c r="DA70" i="34" a="1"/>
  <c r="DA70" i="34" s="1"/>
  <c r="CZ67" i="34" a="1"/>
  <c r="CZ67" i="34" s="1"/>
  <c r="DA65" i="34" a="1"/>
  <c r="DA65" i="34" s="1"/>
  <c r="DF55" i="34" a="1"/>
  <c r="DF55" i="34" s="1"/>
  <c r="DG55" i="34" a="1"/>
  <c r="DG55" i="34" s="1"/>
  <c r="DL62" i="34" a="1"/>
  <c r="DL62" i="34" s="1"/>
  <c r="DM62" i="34" a="1"/>
  <c r="DM62" i="34" s="1"/>
  <c r="CU50" i="34" a="1"/>
  <c r="CU50" i="34" s="1"/>
  <c r="CT50" i="34" a="1"/>
  <c r="CT50" i="34" s="1"/>
  <c r="CH36" i="34" a="1"/>
  <c r="CH36" i="34" s="1"/>
  <c r="CI36" i="34" a="1"/>
  <c r="CI36" i="34" s="1"/>
  <c r="CC72" i="34" a="1"/>
  <c r="CC72" i="34" s="1"/>
  <c r="CC68" i="34" a="1"/>
  <c r="CC68" i="34" s="1"/>
  <c r="DS67" i="34" a="1"/>
  <c r="DS67" i="34" s="1"/>
  <c r="CU77" i="34" a="1"/>
  <c r="CU77" i="34" s="1"/>
  <c r="CB77" i="34" a="1"/>
  <c r="CB77" i="34" s="1"/>
  <c r="DR76" i="34" a="1"/>
  <c r="DR76" i="34" s="1"/>
  <c r="BV75" i="34" a="1"/>
  <c r="BV75" i="34" s="1"/>
  <c r="CZ72" i="34" a="1"/>
  <c r="CZ72" i="34" s="1"/>
  <c r="DA72" i="34" a="1"/>
  <c r="DA72" i="34" s="1"/>
  <c r="CT69" i="34" a="1"/>
  <c r="CT69" i="34" s="1"/>
  <c r="CC69" i="34" a="1"/>
  <c r="CC69" i="34" s="1"/>
  <c r="DY66" i="34" a="1"/>
  <c r="DY66" i="34" s="1"/>
  <c r="CZ66" i="34" a="1"/>
  <c r="CZ66" i="34" s="1"/>
  <c r="DS64" i="34" a="1"/>
  <c r="DS64" i="34" s="1"/>
  <c r="BV63" i="34" a="1"/>
  <c r="BV63" i="34" s="1"/>
  <c r="CI62" i="34" a="1"/>
  <c r="CI62" i="34" s="1"/>
  <c r="CT61" i="34" a="1"/>
  <c r="CT61" i="34" s="1"/>
  <c r="DY64" i="34" a="1"/>
  <c r="DY64" i="34" s="1"/>
  <c r="EE62" i="34" a="1"/>
  <c r="EE62" i="34" s="1"/>
  <c r="BW61" i="34" a="1"/>
  <c r="BW61" i="34" s="1"/>
  <c r="CC59" i="34" a="1"/>
  <c r="CC59" i="34" s="1"/>
  <c r="CI57" i="34" a="1"/>
  <c r="CI57" i="34" s="1"/>
  <c r="DA56" i="34" a="1"/>
  <c r="DA56" i="34" s="1"/>
  <c r="CO55" i="34" a="1"/>
  <c r="CO55" i="34" s="1"/>
  <c r="DG54" i="34" a="1"/>
  <c r="DG54" i="34" s="1"/>
  <c r="DM52" i="34" a="1"/>
  <c r="DM52" i="34" s="1"/>
  <c r="DM51" i="34" a="1"/>
  <c r="DM51" i="34" s="1"/>
  <c r="DS49" i="34" a="1"/>
  <c r="DS49" i="34" s="1"/>
  <c r="EE44" i="34" a="1"/>
  <c r="EE44" i="34" s="1"/>
  <c r="CU43" i="34" a="1"/>
  <c r="CU43" i="34" s="1"/>
  <c r="CC42" i="34" a="1"/>
  <c r="CC42" i="34" s="1"/>
  <c r="CC41" i="34" a="1"/>
  <c r="CC41" i="34" s="1"/>
  <c r="CZ40" i="34" a="1"/>
  <c r="CZ40" i="34" s="1"/>
  <c r="DA40" i="34" a="1"/>
  <c r="DA40" i="34" s="1"/>
  <c r="DY58" i="34" a="1"/>
  <c r="DY58" i="34" s="1"/>
  <c r="EE56" i="34" a="1"/>
  <c r="EE56" i="34" s="1"/>
  <c r="BW55" i="34" a="1"/>
  <c r="BW55" i="34" s="1"/>
  <c r="CC53" i="34" a="1"/>
  <c r="CC53" i="34" s="1"/>
  <c r="CU52" i="34" a="1"/>
  <c r="CU52" i="34" s="1"/>
  <c r="DL47" i="34" a="1"/>
  <c r="DL47" i="34" s="1"/>
  <c r="DM47" i="34" a="1"/>
  <c r="DM47" i="34" s="1"/>
  <c r="BW47" i="34" a="1"/>
  <c r="BW47" i="34" s="1"/>
  <c r="CI45" i="34" a="1"/>
  <c r="CI45" i="34" s="1"/>
  <c r="DM44" i="34" a="1"/>
  <c r="DM44" i="34" s="1"/>
  <c r="BW43" i="34" a="1"/>
  <c r="BW43" i="34" s="1"/>
  <c r="CZ42" i="34" a="1"/>
  <c r="CZ42" i="34" s="1"/>
  <c r="CU40" i="34" a="1"/>
  <c r="CU40" i="34" s="1"/>
  <c r="CB40" i="34" a="1"/>
  <c r="CB40" i="34" s="1"/>
  <c r="CC40" i="34" a="1"/>
  <c r="CC40" i="34" s="1"/>
  <c r="DS39" i="34" a="1"/>
  <c r="DS39" i="34" s="1"/>
  <c r="DL38" i="34" a="1"/>
  <c r="DL38" i="34" s="1"/>
  <c r="DM38" i="34" a="1"/>
  <c r="DM38" i="34" s="1"/>
  <c r="CC49" i="34" a="1"/>
  <c r="CC49" i="34" s="1"/>
  <c r="BV39" i="34" a="1"/>
  <c r="BV39" i="34" s="1"/>
  <c r="BW39" i="34" a="1"/>
  <c r="BW39" i="34" s="1"/>
  <c r="CH38" i="34" a="1"/>
  <c r="CH38" i="34" s="1"/>
  <c r="CI38" i="34" a="1"/>
  <c r="CI38" i="34" s="1"/>
  <c r="DL33" i="34" a="1"/>
  <c r="DL33" i="34" s="1"/>
  <c r="DM33" i="34" a="1"/>
  <c r="DM33" i="34" s="1"/>
  <c r="DY45" i="34" a="1"/>
  <c r="DY45" i="34" s="1"/>
  <c r="DG44" i="34" a="1"/>
  <c r="DG44" i="34" s="1"/>
  <c r="CN44" i="34" a="1"/>
  <c r="CN44" i="34" s="1"/>
  <c r="DM43" i="34" a="1"/>
  <c r="DM43" i="34" s="1"/>
  <c r="DS42" i="34" a="1"/>
  <c r="DS42" i="34" s="1"/>
  <c r="DF38" i="34" a="1"/>
  <c r="DF38" i="34" s="1"/>
  <c r="DL35" i="34" a="1"/>
  <c r="DL35" i="34" s="1"/>
  <c r="DM35" i="34" a="1"/>
  <c r="DM35" i="34" s="1"/>
  <c r="CB29" i="34" a="1"/>
  <c r="CB29" i="34" s="1"/>
  <c r="BV40" i="34" a="1"/>
  <c r="BV40" i="34" s="1"/>
  <c r="BW40" i="34" a="1"/>
  <c r="BW40" i="34" s="1"/>
  <c r="CN39" i="34" a="1"/>
  <c r="CN39" i="34" s="1"/>
  <c r="BV31" i="34" a="1"/>
  <c r="BV31" i="34" s="1"/>
  <c r="CB38" i="34" a="1"/>
  <c r="CB38" i="34" s="1"/>
  <c r="CC38" i="34" a="1"/>
  <c r="CC38" i="34" s="1"/>
  <c r="DF35" i="34" a="1"/>
  <c r="DF35" i="34" s="1"/>
  <c r="DG35" i="34" a="1"/>
  <c r="DG35" i="34" s="1"/>
  <c r="DY51" i="34" a="1"/>
  <c r="DY51" i="34" s="1"/>
  <c r="EE49" i="34" a="1"/>
  <c r="EE49" i="34" s="1"/>
  <c r="BW49" i="34" a="1"/>
  <c r="BW49" i="34" s="1"/>
  <c r="DA48" i="34" a="1"/>
  <c r="DA48" i="34" s="1"/>
  <c r="DY47" i="34" a="1"/>
  <c r="DY47" i="34" s="1"/>
  <c r="CO47" i="34" a="1"/>
  <c r="CO47" i="34" s="1"/>
  <c r="ED46" i="34" a="1"/>
  <c r="ED46" i="34" s="1"/>
  <c r="DR45" i="34" a="1"/>
  <c r="DR45" i="34" s="1"/>
  <c r="DS45" i="34" a="1"/>
  <c r="DS45" i="34" s="1"/>
  <c r="DA45" i="34" a="1"/>
  <c r="DA45" i="34" s="1"/>
  <c r="CC45" i="34" a="1"/>
  <c r="CC45" i="34" s="1"/>
  <c r="ED43" i="34" a="1"/>
  <c r="ED43" i="34" s="1"/>
  <c r="DM40" i="34" a="1"/>
  <c r="DM40" i="34" s="1"/>
  <c r="CI39" i="34" a="1"/>
  <c r="CI39" i="34" s="1"/>
  <c r="DG51" i="34" a="1"/>
  <c r="DG51" i="34" s="1"/>
  <c r="DM49" i="34" a="1"/>
  <c r="DM49" i="34" s="1"/>
  <c r="CI44" i="34" a="1"/>
  <c r="CI44" i="34" s="1"/>
  <c r="CO42" i="34" a="1"/>
  <c r="CO42" i="34" s="1"/>
  <c r="DL41" i="34" a="1"/>
  <c r="DL41" i="34" s="1"/>
  <c r="DX36" i="34" a="1"/>
  <c r="DX36" i="34" s="1"/>
  <c r="CC61" i="34" a="1"/>
  <c r="CC61" i="34" s="1"/>
  <c r="CU60" i="34" a="1"/>
  <c r="CU60" i="34" s="1"/>
  <c r="CI59" i="34" a="1"/>
  <c r="CI59" i="34" s="1"/>
  <c r="DA58" i="34" a="1"/>
  <c r="DA58" i="34" s="1"/>
  <c r="CO57" i="34" a="1"/>
  <c r="CO57" i="34" s="1"/>
  <c r="DG56" i="34" a="1"/>
  <c r="DG56" i="34" s="1"/>
  <c r="DM54" i="34" a="1"/>
  <c r="DM54" i="34" s="1"/>
  <c r="DS52" i="34" a="1"/>
  <c r="DS52" i="34" s="1"/>
  <c r="CT32" i="34" a="1"/>
  <c r="CT32" i="34" s="1"/>
  <c r="CU32" i="34" a="1"/>
  <c r="CU32" i="34" s="1"/>
  <c r="CT31" i="34" a="1"/>
  <c r="CT31" i="34" s="1"/>
  <c r="CU31" i="34" a="1"/>
  <c r="CU31" i="34" s="1"/>
  <c r="ED27" i="34" a="1"/>
  <c r="ED27" i="34" s="1"/>
  <c r="EE27" i="34" a="1"/>
  <c r="EE27" i="34" s="1"/>
  <c r="CU26" i="34" a="1"/>
  <c r="CU26" i="34" s="1"/>
  <c r="CT26" i="34" a="1"/>
  <c r="CT26" i="34" s="1"/>
  <c r="DS51" i="34" a="1"/>
  <c r="DS51" i="34" s="1"/>
  <c r="CZ51" i="34" a="1"/>
  <c r="CZ51" i="34" s="1"/>
  <c r="CC50" i="34" a="1"/>
  <c r="CC50" i="34" s="1"/>
  <c r="DY46" i="34" a="1"/>
  <c r="DY46" i="34" s="1"/>
  <c r="DF46" i="34" a="1"/>
  <c r="DF46" i="34" s="1"/>
  <c r="DG43" i="34" a="1"/>
  <c r="DG43" i="34" s="1"/>
  <c r="ED41" i="34" a="1"/>
  <c r="ED41" i="34" s="1"/>
  <c r="EE41" i="34" a="1"/>
  <c r="EE41" i="34" s="1"/>
  <c r="ED40" i="34" a="1"/>
  <c r="ED40" i="34" s="1"/>
  <c r="CT38" i="34" a="1"/>
  <c r="CT38" i="34" s="1"/>
  <c r="ED34" i="34" a="1"/>
  <c r="ED34" i="34" s="1"/>
  <c r="EE34" i="34" a="1"/>
  <c r="EE34" i="34" s="1"/>
  <c r="CT30" i="34" a="1"/>
  <c r="CT30" i="34" s="1"/>
  <c r="CU30" i="34" a="1"/>
  <c r="CU30" i="34" s="1"/>
  <c r="DX29" i="34" a="1"/>
  <c r="DX29" i="34" s="1"/>
  <c r="DY29" i="34" a="1"/>
  <c r="DY29" i="34" s="1"/>
  <c r="CU27" i="34" a="1"/>
  <c r="CU27" i="34" s="1"/>
  <c r="CU25" i="34" a="1"/>
  <c r="CU25" i="34" s="1"/>
  <c r="CT25" i="34" a="1"/>
  <c r="CT25" i="34" s="1"/>
  <c r="DF49" i="34" a="1"/>
  <c r="DF49" i="34" s="1"/>
  <c r="DG49" i="34" a="1"/>
  <c r="DG49" i="34" s="1"/>
  <c r="BV45" i="34" a="1"/>
  <c r="BV45" i="34" s="1"/>
  <c r="DX43" i="34" a="1"/>
  <c r="DX43" i="34" s="1"/>
  <c r="DY43" i="34" a="1"/>
  <c r="DY43" i="34" s="1"/>
  <c r="DG40" i="34" a="1"/>
  <c r="DG40" i="34" s="1"/>
  <c r="ED37" i="34" a="1"/>
  <c r="ED37" i="34" s="1"/>
  <c r="CT36" i="34" a="1"/>
  <c r="CT36" i="34" s="1"/>
  <c r="CU36" i="34" a="1"/>
  <c r="CU36" i="34" s="1"/>
  <c r="DX39" i="34" a="1"/>
  <c r="DX39" i="34" s="1"/>
  <c r="DR36" i="34" a="1"/>
  <c r="DR36" i="34" s="1"/>
  <c r="DS36" i="34" a="1"/>
  <c r="DS36" i="34" s="1"/>
  <c r="CT34" i="34" a="1"/>
  <c r="CT34" i="34" s="1"/>
  <c r="CU34" i="34" a="1"/>
  <c r="CU34" i="34" s="1"/>
  <c r="CH41" i="34" a="1"/>
  <c r="CH41" i="34" s="1"/>
  <c r="CI41" i="34" a="1"/>
  <c r="CI41" i="34" s="1"/>
  <c r="CZ37" i="34" a="1"/>
  <c r="CZ37" i="34" s="1"/>
  <c r="DA37" i="34" a="1"/>
  <c r="DA37" i="34" s="1"/>
  <c r="CN36" i="34" a="1"/>
  <c r="CN36" i="34" s="1"/>
  <c r="CO36" i="34" a="1"/>
  <c r="CO36" i="34" s="1"/>
  <c r="DX34" i="34" a="1"/>
  <c r="DX34" i="34" s="1"/>
  <c r="DR31" i="34" a="1"/>
  <c r="DR31" i="34" s="1"/>
  <c r="DS31" i="34" a="1"/>
  <c r="DS31" i="34" s="1"/>
  <c r="DS47" i="34" a="1"/>
  <c r="DS47" i="34" s="1"/>
  <c r="CZ43" i="34" a="1"/>
  <c r="CZ43" i="34" s="1"/>
  <c r="CB37" i="34" a="1"/>
  <c r="CB37" i="34" s="1"/>
  <c r="CC37" i="34" a="1"/>
  <c r="CC37" i="34" s="1"/>
  <c r="DL36" i="34" a="1"/>
  <c r="DL36" i="34" s="1"/>
  <c r="CT24" i="34" a="1"/>
  <c r="CT24" i="34" s="1"/>
  <c r="CU24" i="34" a="1"/>
  <c r="CU24" i="34" s="1"/>
  <c r="DR24" i="34" a="1"/>
  <c r="DR24" i="34" s="1"/>
  <c r="DX23" i="34" a="1"/>
  <c r="DX23" i="34" s="1"/>
  <c r="DA35" i="34" a="1"/>
  <c r="DA35" i="34" s="1"/>
  <c r="CO34" i="34" a="1"/>
  <c r="CO34" i="34" s="1"/>
  <c r="DG33" i="34" a="1"/>
  <c r="DG33" i="34" s="1"/>
  <c r="DM31" i="34" a="1"/>
  <c r="DM31" i="34" s="1"/>
  <c r="DS29" i="34" a="1"/>
  <c r="DS29" i="34" s="1"/>
  <c r="DY27" i="34" a="1"/>
  <c r="DY27" i="34" s="1"/>
  <c r="DY25" i="34" a="1"/>
  <c r="DY25" i="34" s="1"/>
  <c r="BW25" i="34" a="1"/>
  <c r="BW25" i="34" s="1"/>
  <c r="DM24" i="34" a="1"/>
  <c r="DM24" i="34" s="1"/>
  <c r="CZ23" i="34" a="1"/>
  <c r="CZ23" i="34" s="1"/>
  <c r="DA23" i="34" a="1"/>
  <c r="DA23" i="34" s="1"/>
  <c r="DA22" i="34" a="1"/>
  <c r="DA22" i="34" s="1"/>
  <c r="CO39" i="34" a="1"/>
  <c r="CO39" i="34" s="1"/>
  <c r="DG38" i="34" a="1"/>
  <c r="DG38" i="34" s="1"/>
  <c r="DM36" i="34" a="1"/>
  <c r="DM36" i="34" s="1"/>
  <c r="DS34" i="34" a="1"/>
  <c r="DS34" i="34" s="1"/>
  <c r="DY32" i="34" a="1"/>
  <c r="DY32" i="34" s="1"/>
  <c r="EE30" i="34" a="1"/>
  <c r="EE30" i="34" s="1"/>
  <c r="BW29" i="34" a="1"/>
  <c r="BW29" i="34" s="1"/>
  <c r="CC27" i="34" a="1"/>
  <c r="CC27" i="34" s="1"/>
  <c r="EE24" i="34" a="1"/>
  <c r="EE24" i="34" s="1"/>
  <c r="BV21" i="34" a="1"/>
  <c r="BV21" i="34" s="1"/>
  <c r="CI35" i="34" a="1"/>
  <c r="CI35" i="34" s="1"/>
  <c r="DA34" i="34" a="1"/>
  <c r="DA34" i="34" s="1"/>
  <c r="CO33" i="34" a="1"/>
  <c r="CO33" i="34" s="1"/>
  <c r="DG32" i="34" a="1"/>
  <c r="DG32" i="34" s="1"/>
  <c r="DR22" i="34" a="1"/>
  <c r="DR22" i="34" s="1"/>
  <c r="CC22" i="34" a="1"/>
  <c r="CC22" i="34" s="1"/>
  <c r="DS33" i="34" a="1"/>
  <c r="DS33" i="34" s="1"/>
  <c r="DY31" i="34" a="1"/>
  <c r="DY31" i="34" s="1"/>
  <c r="EE29" i="34" a="1"/>
  <c r="EE29" i="34" s="1"/>
  <c r="BW28" i="34" a="1"/>
  <c r="BW28" i="34" s="1"/>
  <c r="DG26" i="34" a="1"/>
  <c r="DG26" i="34" s="1"/>
  <c r="CC23" i="34" a="1"/>
  <c r="CC23" i="34" s="1"/>
  <c r="CU21" i="34" a="1"/>
  <c r="CU21" i="34" s="1"/>
  <c r="BW33" i="34" a="1"/>
  <c r="BW33" i="34" s="1"/>
  <c r="CC31" i="34" a="1"/>
  <c r="CC31" i="34" s="1"/>
  <c r="CI29" i="34" a="1"/>
  <c r="CI29" i="34" s="1"/>
  <c r="DA28" i="34" a="1"/>
  <c r="DA28" i="34" s="1"/>
  <c r="CO27" i="34" a="1"/>
  <c r="CO27" i="34" s="1"/>
  <c r="CO26" i="34" a="1"/>
  <c r="CO26" i="34" s="1"/>
  <c r="DM23" i="34" a="1"/>
  <c r="DM23" i="34" s="1"/>
  <c r="CO21" i="34" a="1"/>
  <c r="CO21" i="34" s="1"/>
  <c r="DR19" i="34" a="1"/>
  <c r="DR19" i="34" s="1"/>
  <c r="DS19" i="34" a="1"/>
  <c r="DS19" i="34" s="1"/>
  <c r="DS25" i="34" a="1"/>
  <c r="DS25" i="34" s="1"/>
  <c r="BW23" i="34" a="1"/>
  <c r="BW23" i="34" s="1"/>
  <c r="CT22" i="34" a="1"/>
  <c r="CT22" i="34" s="1"/>
  <c r="ED20" i="34" a="1"/>
  <c r="ED20" i="34" s="1"/>
  <c r="EE20" i="34" a="1"/>
  <c r="EE20" i="34" s="1"/>
  <c r="DF20" i="34" a="1"/>
  <c r="DF20" i="34" s="1"/>
  <c r="CB20" i="34" a="1"/>
  <c r="CB20" i="34" s="1"/>
  <c r="BW27" i="34" a="1"/>
  <c r="BW27" i="34" s="1"/>
  <c r="DL19" i="34" a="1"/>
  <c r="DL19" i="34" s="1"/>
  <c r="DM19" i="34" a="1"/>
  <c r="DM19" i="34" s="1"/>
  <c r="CH19" i="34" a="1"/>
  <c r="CH19" i="34" s="1"/>
  <c r="CI19" i="34" a="1"/>
  <c r="CI19" i="34" s="1"/>
  <c r="CN18" i="34" a="1"/>
  <c r="CN18" i="34" s="1"/>
  <c r="CO18" i="34" a="1"/>
  <c r="CO18" i="34" s="1"/>
  <c r="DS26" i="34" a="1"/>
  <c r="DS26" i="34" s="1"/>
  <c r="DM25" i="34" a="1"/>
  <c r="DM25" i="34" s="1"/>
  <c r="ED23" i="34" a="1"/>
  <c r="ED23" i="34" s="1"/>
  <c r="DL21" i="34" a="1"/>
  <c r="DL21" i="34" s="1"/>
  <c r="DM21" i="34" a="1"/>
  <c r="DM21" i="34" s="1"/>
  <c r="DY20" i="34" a="1"/>
  <c r="DY20" i="34" s="1"/>
  <c r="DA26" i="34" a="1"/>
  <c r="DA26" i="34" s="1"/>
  <c r="DY34" i="34" a="1"/>
  <c r="DY34" i="34" s="1"/>
  <c r="EE32" i="34" a="1"/>
  <c r="EE32" i="34" s="1"/>
  <c r="BW31" i="34" a="1"/>
  <c r="BW31" i="34" s="1"/>
  <c r="CC29" i="34" a="1"/>
  <c r="CC29" i="34" s="1"/>
  <c r="CU28" i="34" a="1"/>
  <c r="CU28" i="34" s="1"/>
  <c r="CI27" i="34" a="1"/>
  <c r="CI27" i="34" s="1"/>
  <c r="CN22" i="34" a="1"/>
  <c r="CN22" i="34" s="1"/>
  <c r="CO22" i="34" a="1"/>
  <c r="CO22" i="34" s="1"/>
  <c r="DS24" i="34" a="1"/>
  <c r="DS24" i="34" s="1"/>
  <c r="CH24" i="34" a="1"/>
  <c r="CH24" i="34" s="1"/>
  <c r="CI24" i="34" a="1"/>
  <c r="CI24" i="34" s="1"/>
  <c r="DF21" i="34" a="1"/>
  <c r="DF21" i="34" s="1"/>
  <c r="DG21" i="34" a="1"/>
  <c r="DG21" i="34" s="1"/>
  <c r="CT20" i="34" a="1"/>
  <c r="CT20" i="34" s="1"/>
  <c r="CU20" i="34" a="1"/>
  <c r="CU20" i="34" s="1"/>
  <c r="DY23" i="34" a="1"/>
  <c r="DY23" i="34" s="1"/>
  <c r="CC21" i="34" a="1"/>
  <c r="CC21" i="34" s="1"/>
  <c r="CI18" i="34" a="1"/>
  <c r="CI18" i="34" s="1"/>
  <c r="CC19" i="34" a="1"/>
  <c r="CC19" i="34" s="1"/>
  <c r="CO19" i="34" a="1"/>
  <c r="CO19" i="34" s="1"/>
  <c r="DG18" i="34" a="1"/>
  <c r="DG18" i="34" s="1"/>
  <c r="BW19" i="34" a="1"/>
  <c r="BW19" i="34" s="1"/>
  <c r="I5" i="36"/>
  <c r="I6" i="36"/>
  <c r="I7" i="36"/>
  <c r="I8" i="36"/>
  <c r="I9" i="36"/>
  <c r="H10" i="36"/>
  <c r="I10" i="36"/>
  <c r="H11" i="36"/>
  <c r="I11" i="36"/>
  <c r="H12" i="36"/>
  <c r="I12" i="36"/>
  <c r="H13" i="36"/>
  <c r="I13" i="36"/>
  <c r="H14" i="36"/>
  <c r="I14" i="36"/>
  <c r="I15" i="36"/>
  <c r="G11" i="135" a="1"/>
  <c r="G11" i="135" s="1"/>
  <c r="AB8" i="60"/>
  <c r="AC3" i="60"/>
  <c r="AC8" i="60" s="1"/>
  <c r="F2" i="35" l="1"/>
  <c r="AD3" i="60"/>
  <c r="O250" i="79"/>
  <c r="K16" i="35" l="1"/>
  <c r="L21" i="35"/>
  <c r="K32" i="35"/>
  <c r="L37" i="35"/>
  <c r="K48" i="35"/>
  <c r="L53" i="35"/>
  <c r="K64" i="35"/>
  <c r="L69" i="35"/>
  <c r="K80" i="35"/>
  <c r="L85" i="35"/>
  <c r="K96" i="35"/>
  <c r="L101" i="35"/>
  <c r="K112" i="35"/>
  <c r="L117" i="35"/>
  <c r="K128" i="35"/>
  <c r="L133" i="35"/>
  <c r="K144" i="35"/>
  <c r="L149" i="35"/>
  <c r="K160" i="35"/>
  <c r="L165" i="35"/>
  <c r="K176" i="35"/>
  <c r="L181" i="35"/>
  <c r="K192" i="35"/>
  <c r="L197" i="35"/>
  <c r="K208" i="35"/>
  <c r="L213" i="35"/>
  <c r="K224" i="35"/>
  <c r="L229" i="35"/>
  <c r="K240" i="35"/>
  <c r="L245" i="35"/>
  <c r="K256" i="35"/>
  <c r="L261" i="35"/>
  <c r="K272" i="35"/>
  <c r="L277" i="35"/>
  <c r="K288" i="35"/>
  <c r="L293" i="35"/>
  <c r="K304" i="35"/>
  <c r="L309" i="35"/>
  <c r="K320" i="35"/>
  <c r="L325" i="35"/>
  <c r="K336" i="35"/>
  <c r="L341" i="35"/>
  <c r="K352" i="35"/>
  <c r="L357" i="35"/>
  <c r="K368" i="35"/>
  <c r="L373" i="35"/>
  <c r="K384" i="35"/>
  <c r="L389" i="35"/>
  <c r="K400" i="35"/>
  <c r="L405" i="35"/>
  <c r="K416" i="35"/>
  <c r="L421" i="35"/>
  <c r="K432" i="35"/>
  <c r="L437" i="35"/>
  <c r="K448" i="35"/>
  <c r="L453" i="35"/>
  <c r="K464" i="35"/>
  <c r="L16" i="35"/>
  <c r="M16" i="35" s="1"/>
  <c r="K27" i="35"/>
  <c r="L32" i="35"/>
  <c r="M32" i="35" s="1"/>
  <c r="K43" i="35"/>
  <c r="L48" i="35"/>
  <c r="M48" i="35" s="1"/>
  <c r="K59" i="35"/>
  <c r="L64" i="35"/>
  <c r="M64" i="35" s="1"/>
  <c r="K75" i="35"/>
  <c r="L80" i="35"/>
  <c r="M80" i="35" s="1"/>
  <c r="K91" i="35"/>
  <c r="L96" i="35"/>
  <c r="M96" i="35" s="1"/>
  <c r="K107" i="35"/>
  <c r="L112" i="35"/>
  <c r="M112" i="35" s="1"/>
  <c r="K123" i="35"/>
  <c r="L128" i="35"/>
  <c r="K139" i="35"/>
  <c r="L144" i="35"/>
  <c r="M144" i="35" s="1"/>
  <c r="K155" i="35"/>
  <c r="L160" i="35"/>
  <c r="M160" i="35" s="1"/>
  <c r="K171" i="35"/>
  <c r="L176" i="35"/>
  <c r="M176" i="35" s="1"/>
  <c r="K187" i="35"/>
  <c r="L192" i="35"/>
  <c r="M192" i="35" s="1"/>
  <c r="K203" i="35"/>
  <c r="L208" i="35"/>
  <c r="M208" i="35" s="1"/>
  <c r="K219" i="35"/>
  <c r="L224" i="35"/>
  <c r="M224" i="35" s="1"/>
  <c r="K235" i="35"/>
  <c r="K22" i="35"/>
  <c r="L27" i="35"/>
  <c r="M27" i="35" s="1"/>
  <c r="K38" i="35"/>
  <c r="L43" i="35"/>
  <c r="K54" i="35"/>
  <c r="L59" i="35"/>
  <c r="K70" i="35"/>
  <c r="L75" i="35"/>
  <c r="M75" i="35" s="1"/>
  <c r="K86" i="35"/>
  <c r="L91" i="35"/>
  <c r="M91" i="35" s="1"/>
  <c r="K102" i="35"/>
  <c r="L107" i="35"/>
  <c r="K118" i="35"/>
  <c r="L123" i="35"/>
  <c r="K134" i="35"/>
  <c r="L139" i="35"/>
  <c r="M139" i="35" s="1"/>
  <c r="K150" i="35"/>
  <c r="L155" i="35"/>
  <c r="M155" i="35" s="1"/>
  <c r="K166" i="35"/>
  <c r="L171" i="35"/>
  <c r="K182" i="35"/>
  <c r="L187" i="35"/>
  <c r="K198" i="35"/>
  <c r="L203" i="35"/>
  <c r="M203" i="35" s="1"/>
  <c r="K214" i="35"/>
  <c r="L219" i="35"/>
  <c r="M219" i="35" s="1"/>
  <c r="K230" i="35"/>
  <c r="L235" i="35"/>
  <c r="K17" i="35"/>
  <c r="L22" i="35"/>
  <c r="K33" i="35"/>
  <c r="L38" i="35"/>
  <c r="K49" i="35"/>
  <c r="L54" i="35"/>
  <c r="M54" i="35" s="1"/>
  <c r="K65" i="35"/>
  <c r="L70" i="35"/>
  <c r="K81" i="35"/>
  <c r="L86" i="35"/>
  <c r="K97" i="35"/>
  <c r="L17" i="35"/>
  <c r="M17" i="35" s="1"/>
  <c r="K28" i="35"/>
  <c r="L33" i="35"/>
  <c r="M33" i="35" s="1"/>
  <c r="K44" i="35"/>
  <c r="L49" i="35"/>
  <c r="K60" i="35"/>
  <c r="L65" i="35"/>
  <c r="K76" i="35"/>
  <c r="L81" i="35"/>
  <c r="K92" i="35"/>
  <c r="L97" i="35"/>
  <c r="K18" i="35"/>
  <c r="K20" i="35"/>
  <c r="L20" i="35"/>
  <c r="L18" i="35"/>
  <c r="L26" i="35"/>
  <c r="K35" i="35"/>
  <c r="K42" i="35"/>
  <c r="L66" i="35"/>
  <c r="L73" i="35"/>
  <c r="K82" i="35"/>
  <c r="K89" i="35"/>
  <c r="K104" i="35"/>
  <c r="L110" i="35"/>
  <c r="K124" i="35"/>
  <c r="L130" i="35"/>
  <c r="K143" i="35"/>
  <c r="L150" i="35"/>
  <c r="K163" i="35"/>
  <c r="L169" i="35"/>
  <c r="K183" i="35"/>
  <c r="L189" i="35"/>
  <c r="K202" i="35"/>
  <c r="L209" i="35"/>
  <c r="K222" i="35"/>
  <c r="L228" i="35"/>
  <c r="L241" i="35"/>
  <c r="K247" i="35"/>
  <c r="L258" i="35"/>
  <c r="K264" i="35"/>
  <c r="L275" i="35"/>
  <c r="K281" i="35"/>
  <c r="L292" i="35"/>
  <c r="K298" i="35"/>
  <c r="L315" i="35"/>
  <c r="K321" i="35"/>
  <c r="L332" i="35"/>
  <c r="K338" i="35"/>
  <c r="L349" i="35"/>
  <c r="K355" i="35"/>
  <c r="L366" i="35"/>
  <c r="K372" i="35"/>
  <c r="L383" i="35"/>
  <c r="K389" i="35"/>
  <c r="K395" i="35"/>
  <c r="L406" i="35"/>
  <c r="L28" i="35"/>
  <c r="L35" i="35"/>
  <c r="M35" i="35" s="1"/>
  <c r="L42" i="35"/>
  <c r="K51" i="35"/>
  <c r="K58" i="35"/>
  <c r="L82" i="35"/>
  <c r="M82" i="35" s="1"/>
  <c r="L89" i="35"/>
  <c r="M89" i="35" s="1"/>
  <c r="K98" i="35"/>
  <c r="L104" i="35"/>
  <c r="M104" i="35" s="1"/>
  <c r="K117" i="35"/>
  <c r="L124" i="35"/>
  <c r="M124" i="35" s="1"/>
  <c r="K137" i="35"/>
  <c r="L143" i="35"/>
  <c r="K157" i="35"/>
  <c r="L163" i="35"/>
  <c r="K177" i="35"/>
  <c r="L183" i="35"/>
  <c r="M183" i="35" s="1"/>
  <c r="K196" i="35"/>
  <c r="L202" i="35"/>
  <c r="M202" i="35" s="1"/>
  <c r="K216" i="35"/>
  <c r="L222" i="35"/>
  <c r="K236" i="35"/>
  <c r="L247" i="35"/>
  <c r="M247" i="35" s="1"/>
  <c r="K253" i="35"/>
  <c r="L264" i="35"/>
  <c r="M264" i="35" s="1"/>
  <c r="K270" i="35"/>
  <c r="L281" i="35"/>
  <c r="M281" i="35" s="1"/>
  <c r="K287" i="35"/>
  <c r="L298" i="35"/>
  <c r="L304" i="35"/>
  <c r="M304" i="35" s="1"/>
  <c r="K310" i="35"/>
  <c r="L321" i="35"/>
  <c r="M321" i="35" s="1"/>
  <c r="K327" i="35"/>
  <c r="L338" i="35"/>
  <c r="M338" i="35" s="1"/>
  <c r="K344" i="35"/>
  <c r="L355" i="35"/>
  <c r="K361" i="35"/>
  <c r="L372" i="35"/>
  <c r="M372" i="35" s="1"/>
  <c r="K378" i="35"/>
  <c r="L395" i="35"/>
  <c r="M395" i="35" s="1"/>
  <c r="K401" i="35"/>
  <c r="L412" i="35"/>
  <c r="K418" i="35"/>
  <c r="L429" i="35"/>
  <c r="K435" i="35"/>
  <c r="L446" i="35"/>
  <c r="K452" i="35"/>
  <c r="L463" i="35"/>
  <c r="K469" i="35"/>
  <c r="L474" i="35"/>
  <c r="K485" i="35"/>
  <c r="L490" i="35"/>
  <c r="K501" i="35"/>
  <c r="L506" i="35"/>
  <c r="K517" i="35"/>
  <c r="L522" i="35"/>
  <c r="K533" i="35"/>
  <c r="K19" i="35"/>
  <c r="L44" i="35"/>
  <c r="M44" i="35" s="1"/>
  <c r="L51" i="35"/>
  <c r="M51" i="35" s="1"/>
  <c r="L58" i="35"/>
  <c r="M58" i="35" s="1"/>
  <c r="K67" i="35"/>
  <c r="K74" i="35"/>
  <c r="L98" i="35"/>
  <c r="K111" i="35"/>
  <c r="L118" i="35"/>
  <c r="M118" i="35" s="1"/>
  <c r="K131" i="35"/>
  <c r="L137" i="35"/>
  <c r="M137" i="35" s="1"/>
  <c r="K151" i="35"/>
  <c r="L157" i="35"/>
  <c r="M157" i="35" s="1"/>
  <c r="K170" i="35"/>
  <c r="L177" i="35"/>
  <c r="M177" i="35" s="1"/>
  <c r="K190" i="35"/>
  <c r="L196" i="35"/>
  <c r="M196" i="35" s="1"/>
  <c r="K210" i="35"/>
  <c r="L216" i="35"/>
  <c r="M216" i="35" s="1"/>
  <c r="K229" i="35"/>
  <c r="L236" i="35"/>
  <c r="K242" i="35"/>
  <c r="L253" i="35"/>
  <c r="K259" i="35"/>
  <c r="L270" i="35"/>
  <c r="M270" i="35" s="1"/>
  <c r="K276" i="35"/>
  <c r="L287" i="35"/>
  <c r="M287" i="35" s="1"/>
  <c r="K293" i="35"/>
  <c r="K299" i="35"/>
  <c r="L310" i="35"/>
  <c r="M310" i="35" s="1"/>
  <c r="K316" i="35"/>
  <c r="L327" i="35"/>
  <c r="M327" i="35" s="1"/>
  <c r="K333" i="35"/>
  <c r="L344" i="35"/>
  <c r="M344" i="35" s="1"/>
  <c r="K350" i="35"/>
  <c r="L361" i="35"/>
  <c r="M361" i="35" s="1"/>
  <c r="K367" i="35"/>
  <c r="L378" i="35"/>
  <c r="L384" i="35"/>
  <c r="K390" i="35"/>
  <c r="L401" i="35"/>
  <c r="M401" i="35" s="1"/>
  <c r="K407" i="35"/>
  <c r="L418" i="35"/>
  <c r="K424" i="35"/>
  <c r="L435" i="35"/>
  <c r="M435" i="35" s="1"/>
  <c r="K441" i="35"/>
  <c r="L452" i="35"/>
  <c r="M452" i="35" s="1"/>
  <c r="K458" i="35"/>
  <c r="L469" i="35"/>
  <c r="M469" i="35" s="1"/>
  <c r="K480" i="35"/>
  <c r="L485" i="35"/>
  <c r="M485" i="35" s="1"/>
  <c r="K496" i="35"/>
  <c r="L501" i="35"/>
  <c r="K512" i="35"/>
  <c r="L517" i="35"/>
  <c r="M517" i="35" s="1"/>
  <c r="K528" i="35"/>
  <c r="L533" i="35"/>
  <c r="M533" i="35" s="1"/>
  <c r="L19" i="35"/>
  <c r="K29" i="35"/>
  <c r="K36" i="35"/>
  <c r="L60" i="35"/>
  <c r="M60" i="35" s="1"/>
  <c r="L67" i="35"/>
  <c r="M67" i="35" s="1"/>
  <c r="L74" i="35"/>
  <c r="M74" i="35" s="1"/>
  <c r="K83" i="35"/>
  <c r="K90" i="35"/>
  <c r="K105" i="35"/>
  <c r="L111" i="35"/>
  <c r="M111" i="35" s="1"/>
  <c r="L29" i="35"/>
  <c r="L36" i="35"/>
  <c r="K45" i="35"/>
  <c r="K52" i="35"/>
  <c r="L76" i="35"/>
  <c r="M76" i="35" s="1"/>
  <c r="L83" i="35"/>
  <c r="L90" i="35"/>
  <c r="K99" i="35"/>
  <c r="L105" i="35"/>
  <c r="K119" i="35"/>
  <c r="K21" i="35"/>
  <c r="L45" i="35"/>
  <c r="M45" i="35" s="1"/>
  <c r="K23" i="35"/>
  <c r="K30" i="35"/>
  <c r="K37" i="35"/>
  <c r="L23" i="35"/>
  <c r="L25" i="35"/>
  <c r="K34" i="35"/>
  <c r="K41" i="35"/>
  <c r="L72" i="35"/>
  <c r="L79" i="35"/>
  <c r="K88" i="35"/>
  <c r="K95" i="35"/>
  <c r="K103" i="35"/>
  <c r="L109" i="35"/>
  <c r="K122" i="35"/>
  <c r="L129" i="35"/>
  <c r="K142" i="35"/>
  <c r="L148" i="35"/>
  <c r="K162" i="35"/>
  <c r="L168" i="35"/>
  <c r="K181" i="35"/>
  <c r="L188" i="35"/>
  <c r="K26" i="35"/>
  <c r="L50" i="35"/>
  <c r="L57" i="35"/>
  <c r="K66" i="35"/>
  <c r="K73" i="35"/>
  <c r="K24" i="35"/>
  <c r="L40" i="35"/>
  <c r="K56" i="35"/>
  <c r="K71" i="35"/>
  <c r="L84" i="35"/>
  <c r="L99" i="35"/>
  <c r="M99" i="35" s="1"/>
  <c r="L127" i="35"/>
  <c r="L136" i="35"/>
  <c r="K146" i="35"/>
  <c r="L172" i="35"/>
  <c r="K180" i="35"/>
  <c r="K189" i="35"/>
  <c r="K206" i="35"/>
  <c r="L214" i="35"/>
  <c r="M214" i="35" s="1"/>
  <c r="K231" i="35"/>
  <c r="L238" i="35"/>
  <c r="K245" i="35"/>
  <c r="K252" i="35"/>
  <c r="L266" i="35"/>
  <c r="L273" i="35"/>
  <c r="K280" i="35"/>
  <c r="L301" i="35"/>
  <c r="K308" i="35"/>
  <c r="K315" i="35"/>
  <c r="L329" i="35"/>
  <c r="L336" i="35"/>
  <c r="M336" i="35" s="1"/>
  <c r="K343" i="35"/>
  <c r="L364" i="35"/>
  <c r="K371" i="35"/>
  <c r="K379" i="35"/>
  <c r="L392" i="35"/>
  <c r="K399" i="35"/>
  <c r="K406" i="35"/>
  <c r="L413" i="35"/>
  <c r="K426" i="35"/>
  <c r="K439" i="35"/>
  <c r="L445" i="35"/>
  <c r="K459" i="35"/>
  <c r="L465" i="35"/>
  <c r="L471" i="35"/>
  <c r="L477" i="35"/>
  <c r="L483" i="35"/>
  <c r="L489" i="35"/>
  <c r="L495" i="35"/>
  <c r="K502" i="35"/>
  <c r="K508" i="35"/>
  <c r="K514" i="35"/>
  <c r="K520" i="35"/>
  <c r="K526" i="35"/>
  <c r="K532" i="35"/>
  <c r="K538" i="35"/>
  <c r="L543" i="35"/>
  <c r="K554" i="35"/>
  <c r="L559" i="35"/>
  <c r="K570" i="35"/>
  <c r="L575" i="35"/>
  <c r="K586" i="35"/>
  <c r="L591" i="35"/>
  <c r="K602" i="35"/>
  <c r="L607" i="35"/>
  <c r="L24" i="35"/>
  <c r="L56" i="35"/>
  <c r="M56" i="35" s="1"/>
  <c r="L71" i="35"/>
  <c r="M71" i="35" s="1"/>
  <c r="K109" i="35"/>
  <c r="K120" i="35"/>
  <c r="L146" i="35"/>
  <c r="K154" i="35"/>
  <c r="K164" i="35"/>
  <c r="L180" i="35"/>
  <c r="M180" i="35" s="1"/>
  <c r="L190" i="35"/>
  <c r="M190" i="35" s="1"/>
  <c r="K199" i="35"/>
  <c r="L206" i="35"/>
  <c r="M206" i="35" s="1"/>
  <c r="K223" i="35"/>
  <c r="L231" i="35"/>
  <c r="M231" i="35" s="1"/>
  <c r="L252" i="35"/>
  <c r="M252" i="35" s="1"/>
  <c r="K260" i="35"/>
  <c r="K267" i="35"/>
  <c r="L280" i="35"/>
  <c r="M280" i="35" s="1"/>
  <c r="L288" i="35"/>
  <c r="M288" i="35" s="1"/>
  <c r="L41" i="35"/>
  <c r="M41" i="35" s="1"/>
  <c r="K57" i="35"/>
  <c r="K85" i="35"/>
  <c r="K100" i="35"/>
  <c r="L120" i="35"/>
  <c r="M120" i="35" s="1"/>
  <c r="K129" i="35"/>
  <c r="K138" i="35"/>
  <c r="L154" i="35"/>
  <c r="M154" i="35" s="1"/>
  <c r="L164" i="35"/>
  <c r="K173" i="35"/>
  <c r="L199" i="35"/>
  <c r="K215" i="35"/>
  <c r="L223" i="35"/>
  <c r="K239" i="35"/>
  <c r="K246" i="35"/>
  <c r="L260" i="35"/>
  <c r="M260" i="35" s="1"/>
  <c r="L267" i="35"/>
  <c r="M267" i="35" s="1"/>
  <c r="K274" i="35"/>
  <c r="K25" i="35"/>
  <c r="K46" i="35"/>
  <c r="K61" i="35"/>
  <c r="K72" i="35"/>
  <c r="K87" i="35"/>
  <c r="L100" i="35"/>
  <c r="M100" i="35" s="1"/>
  <c r="K110" i="35"/>
  <c r="L138" i="35"/>
  <c r="M138" i="35" s="1"/>
  <c r="K147" i="35"/>
  <c r="K156" i="35"/>
  <c r="L173" i="35"/>
  <c r="L182" i="35"/>
  <c r="M182" i="35" s="1"/>
  <c r="K191" i="35"/>
  <c r="K207" i="35"/>
  <c r="L215" i="35"/>
  <c r="K232" i="35"/>
  <c r="L239" i="35"/>
  <c r="M239" i="35" s="1"/>
  <c r="L246" i="35"/>
  <c r="M246" i="35" s="1"/>
  <c r="K254" i="35"/>
  <c r="L274" i="35"/>
  <c r="K282" i="35"/>
  <c r="K289" i="35"/>
  <c r="L302" i="35"/>
  <c r="K309" i="35"/>
  <c r="K317" i="35"/>
  <c r="L330" i="35"/>
  <c r="L337" i="35"/>
  <c r="K345" i="35"/>
  <c r="L365" i="35"/>
  <c r="K373" i="35"/>
  <c r="K380" i="35"/>
  <c r="L393" i="35"/>
  <c r="L400" i="35"/>
  <c r="M400" i="35" s="1"/>
  <c r="K408" i="35"/>
  <c r="L414" i="35"/>
  <c r="L427" i="35"/>
  <c r="K440" i="35"/>
  <c r="K447" i="35"/>
  <c r="K460" i="35"/>
  <c r="L466" i="35"/>
  <c r="L472" i="35"/>
  <c r="L478" i="35"/>
  <c r="L484" i="35"/>
  <c r="K491" i="35"/>
  <c r="K497" i="35"/>
  <c r="K503" i="35"/>
  <c r="K509" i="35"/>
  <c r="K515" i="35"/>
  <c r="K521" i="35"/>
  <c r="K527" i="35"/>
  <c r="K539" i="35"/>
  <c r="L544" i="35"/>
  <c r="K555" i="35"/>
  <c r="L560" i="35"/>
  <c r="K571" i="35"/>
  <c r="L576" i="35"/>
  <c r="K587" i="35"/>
  <c r="L592" i="35"/>
  <c r="K603" i="35"/>
  <c r="L608" i="35"/>
  <c r="K619" i="35"/>
  <c r="L624" i="35"/>
  <c r="L46" i="35"/>
  <c r="M46" i="35" s="1"/>
  <c r="L61" i="35"/>
  <c r="M61" i="35" s="1"/>
  <c r="L87" i="35"/>
  <c r="M87" i="35" s="1"/>
  <c r="K113" i="35"/>
  <c r="K121" i="35"/>
  <c r="K130" i="35"/>
  <c r="L147" i="35"/>
  <c r="M147" i="35" s="1"/>
  <c r="L156" i="35"/>
  <c r="M156" i="35" s="1"/>
  <c r="K165" i="35"/>
  <c r="L191" i="35"/>
  <c r="M191" i="35" s="1"/>
  <c r="K200" i="35"/>
  <c r="L207" i="35"/>
  <c r="M207" i="35" s="1"/>
  <c r="K225" i="35"/>
  <c r="L232" i="35"/>
  <c r="L254" i="35"/>
  <c r="K261" i="35"/>
  <c r="K268" i="35"/>
  <c r="L282" i="35"/>
  <c r="M282" i="35" s="1"/>
  <c r="L289" i="35"/>
  <c r="M289" i="35" s="1"/>
  <c r="K296" i="35"/>
  <c r="L317" i="35"/>
  <c r="M317" i="35" s="1"/>
  <c r="K324" i="35"/>
  <c r="K331" i="35"/>
  <c r="L345" i="35"/>
  <c r="M345" i="35" s="1"/>
  <c r="L352" i="35"/>
  <c r="M352" i="35" s="1"/>
  <c r="K359" i="35"/>
  <c r="L380" i="35"/>
  <c r="M380" i="35" s="1"/>
  <c r="K387" i="35"/>
  <c r="L408" i="35"/>
  <c r="K421" i="35"/>
  <c r="K434" i="35"/>
  <c r="L440" i="35"/>
  <c r="L447" i="35"/>
  <c r="M447" i="35" s="1"/>
  <c r="K454" i="35"/>
  <c r="L460" i="35"/>
  <c r="M460" i="35" s="1"/>
  <c r="L491" i="35"/>
  <c r="M491" i="35" s="1"/>
  <c r="L497" i="35"/>
  <c r="M497" i="35" s="1"/>
  <c r="L503" i="35"/>
  <c r="L509" i="35"/>
  <c r="M509" i="35" s="1"/>
  <c r="L515" i="35"/>
  <c r="M515" i="35" s="1"/>
  <c r="L521" i="35"/>
  <c r="M521" i="35" s="1"/>
  <c r="L527" i="35"/>
  <c r="M527" i="35" s="1"/>
  <c r="K534" i="35"/>
  <c r="L539" i="35"/>
  <c r="M539" i="35" s="1"/>
  <c r="K550" i="35"/>
  <c r="L555" i="35"/>
  <c r="K566" i="35"/>
  <c r="L571" i="35"/>
  <c r="K582" i="35"/>
  <c r="L587" i="35"/>
  <c r="M587" i="35" s="1"/>
  <c r="K598" i="35"/>
  <c r="L603" i="35"/>
  <c r="M603" i="35" s="1"/>
  <c r="K614" i="35"/>
  <c r="L619" i="35"/>
  <c r="M619" i="35" s="1"/>
  <c r="K630" i="35"/>
  <c r="L635" i="35"/>
  <c r="L30" i="35"/>
  <c r="M30" i="35" s="1"/>
  <c r="K101" i="35"/>
  <c r="L113" i="35"/>
  <c r="M113" i="35" s="1"/>
  <c r="L121" i="35"/>
  <c r="M121" i="35" s="1"/>
  <c r="L131" i="35"/>
  <c r="M131" i="35" s="1"/>
  <c r="K140" i="35"/>
  <c r="L166" i="35"/>
  <c r="M166" i="35" s="1"/>
  <c r="K174" i="35"/>
  <c r="K184" i="35"/>
  <c r="L200" i="35"/>
  <c r="M200" i="35" s="1"/>
  <c r="K47" i="35"/>
  <c r="K62" i="35"/>
  <c r="K77" i="35"/>
  <c r="L88" i="35"/>
  <c r="M88" i="35" s="1"/>
  <c r="L102" i="35"/>
  <c r="M102" i="35" s="1"/>
  <c r="L140" i="35"/>
  <c r="K148" i="35"/>
  <c r="K158" i="35"/>
  <c r="L174" i="35"/>
  <c r="L184" i="35"/>
  <c r="K193" i="35"/>
  <c r="K31" i="35"/>
  <c r="L47" i="35"/>
  <c r="L62" i="35"/>
  <c r="L77" i="35"/>
  <c r="L92" i="35"/>
  <c r="M92" i="35" s="1"/>
  <c r="K114" i="35"/>
  <c r="L122" i="35"/>
  <c r="M122" i="35" s="1"/>
  <c r="K132" i="35"/>
  <c r="L158" i="35"/>
  <c r="K167" i="35"/>
  <c r="K175" i="35"/>
  <c r="L193" i="35"/>
  <c r="M193" i="35" s="1"/>
  <c r="K201" i="35"/>
  <c r="L210" i="35"/>
  <c r="K226" i="35"/>
  <c r="L233" i="35"/>
  <c r="K241" i="35"/>
  <c r="L255" i="35"/>
  <c r="L262" i="35"/>
  <c r="K269" i="35"/>
  <c r="L290" i="35"/>
  <c r="K297" i="35"/>
  <c r="K305" i="35"/>
  <c r="L318" i="35"/>
  <c r="K325" i="35"/>
  <c r="K332" i="35"/>
  <c r="L346" i="35"/>
  <c r="L353" i="35"/>
  <c r="K360" i="35"/>
  <c r="L381" i="35"/>
  <c r="K388" i="35"/>
  <c r="K396" i="35"/>
  <c r="L409" i="35"/>
  <c r="L422" i="35"/>
  <c r="K442" i="35"/>
  <c r="L31" i="35"/>
  <c r="L103" i="35"/>
  <c r="M103" i="35" s="1"/>
  <c r="L114" i="35"/>
  <c r="M114" i="35" s="1"/>
  <c r="L132" i="35"/>
  <c r="K141" i="35"/>
  <c r="K149" i="35"/>
  <c r="L167" i="35"/>
  <c r="M167" i="35" s="1"/>
  <c r="L175" i="35"/>
  <c r="M175" i="35" s="1"/>
  <c r="K185" i="35"/>
  <c r="L201" i="35"/>
  <c r="M201" i="35" s="1"/>
  <c r="K218" i="35"/>
  <c r="L226" i="35"/>
  <c r="M226" i="35" s="1"/>
  <c r="L242" i="35"/>
  <c r="M242" i="35" s="1"/>
  <c r="K249" i="35"/>
  <c r="L269" i="35"/>
  <c r="K277" i="35"/>
  <c r="K284" i="35"/>
  <c r="L297" i="35"/>
  <c r="M297" i="35" s="1"/>
  <c r="L305" i="35"/>
  <c r="K312" i="35"/>
  <c r="L333" i="35"/>
  <c r="M333" i="35" s="1"/>
  <c r="K340" i="35"/>
  <c r="K347" i="35"/>
  <c r="L360" i="35"/>
  <c r="L368" i="35"/>
  <c r="M368" i="35" s="1"/>
  <c r="K375" i="35"/>
  <c r="L388" i="35"/>
  <c r="L396" i="35"/>
  <c r="M396" i="35" s="1"/>
  <c r="K403" i="35"/>
  <c r="L416" i="35"/>
  <c r="M416" i="35" s="1"/>
  <c r="K429" i="35"/>
  <c r="K436" i="35"/>
  <c r="L442" i="35"/>
  <c r="K449" i="35"/>
  <c r="L455" i="35"/>
  <c r="K468" i="35"/>
  <c r="K474" i="35"/>
  <c r="L34" i="35"/>
  <c r="M34" i="35" s="1"/>
  <c r="K39" i="35"/>
  <c r="L39" i="35"/>
  <c r="M39" i="35" s="1"/>
  <c r="K55" i="35"/>
  <c r="L68" i="35"/>
  <c r="L94" i="35"/>
  <c r="L116" i="35"/>
  <c r="L126" i="35"/>
  <c r="K135" i="35"/>
  <c r="K145" i="35"/>
  <c r="L161" i="35"/>
  <c r="L170" i="35"/>
  <c r="M170" i="35" s="1"/>
  <c r="K179" i="35"/>
  <c r="K205" i="35"/>
  <c r="L212" i="35"/>
  <c r="K228" i="35"/>
  <c r="L237" i="35"/>
  <c r="K244" i="35"/>
  <c r="K251" i="35"/>
  <c r="L265" i="35"/>
  <c r="L272" i="35"/>
  <c r="M272" i="35" s="1"/>
  <c r="K279" i="35"/>
  <c r="L300" i="35"/>
  <c r="K307" i="35"/>
  <c r="L328" i="35"/>
  <c r="K335" i="35"/>
  <c r="K342" i="35"/>
  <c r="L356" i="35"/>
  <c r="K40" i="35"/>
  <c r="K69" i="35"/>
  <c r="K84" i="35"/>
  <c r="L95" i="35"/>
  <c r="M95" i="35" s="1"/>
  <c r="L108" i="35"/>
  <c r="L119" i="35"/>
  <c r="M119" i="35" s="1"/>
  <c r="K127" i="35"/>
  <c r="K136" i="35"/>
  <c r="L153" i="35"/>
  <c r="L162" i="35"/>
  <c r="M162" i="35" s="1"/>
  <c r="K172" i="35"/>
  <c r="L198" i="35"/>
  <c r="M198" i="35" s="1"/>
  <c r="K213" i="35"/>
  <c r="L221" i="35"/>
  <c r="K93" i="35"/>
  <c r="L125" i="35"/>
  <c r="K152" i="35"/>
  <c r="L225" i="35"/>
  <c r="M225" i="35" s="1"/>
  <c r="K255" i="35"/>
  <c r="L283" i="35"/>
  <c r="L295" i="35"/>
  <c r="K318" i="35"/>
  <c r="K329" i="35"/>
  <c r="L351" i="35"/>
  <c r="K363" i="35"/>
  <c r="K413" i="35"/>
  <c r="K423" i="35"/>
  <c r="L468" i="35"/>
  <c r="L476" i="35"/>
  <c r="K492" i="35"/>
  <c r="K499" i="35"/>
  <c r="K506" i="35"/>
  <c r="L529" i="35"/>
  <c r="L536" i="35"/>
  <c r="L549" i="35"/>
  <c r="L556" i="35"/>
  <c r="K569" i="35"/>
  <c r="K589" i="35"/>
  <c r="L595" i="35"/>
  <c r="K609" i="35"/>
  <c r="K615" i="35"/>
  <c r="K621" i="35"/>
  <c r="K627" i="35"/>
  <c r="K633" i="35"/>
  <c r="K644" i="35"/>
  <c r="L649" i="35"/>
  <c r="K660" i="35"/>
  <c r="L665" i="35"/>
  <c r="K676" i="35"/>
  <c r="L681" i="35"/>
  <c r="K692" i="35"/>
  <c r="L697" i="35"/>
  <c r="K708" i="35"/>
  <c r="L713" i="35"/>
  <c r="K724" i="35"/>
  <c r="L729" i="35"/>
  <c r="K740" i="35"/>
  <c r="L745" i="35"/>
  <c r="K756" i="35"/>
  <c r="L761" i="35"/>
  <c r="K772" i="35"/>
  <c r="L777" i="35"/>
  <c r="K788" i="35"/>
  <c r="L793" i="35"/>
  <c r="K804" i="35"/>
  <c r="L809" i="35"/>
  <c r="K820" i="35"/>
  <c r="L825" i="35"/>
  <c r="K836" i="35"/>
  <c r="L841" i="35"/>
  <c r="K852" i="35"/>
  <c r="L857" i="35"/>
  <c r="K868" i="35"/>
  <c r="L873" i="35"/>
  <c r="K884" i="35"/>
  <c r="L889" i="35"/>
  <c r="K900" i="35"/>
  <c r="L905" i="35"/>
  <c r="K916" i="35"/>
  <c r="L921" i="35"/>
  <c r="K932" i="35"/>
  <c r="L937" i="35"/>
  <c r="K948" i="35"/>
  <c r="L953" i="35"/>
  <c r="K964" i="35"/>
  <c r="L969" i="35"/>
  <c r="K980" i="35"/>
  <c r="L985" i="35"/>
  <c r="K996" i="35"/>
  <c r="L1001" i="35"/>
  <c r="K1012" i="35"/>
  <c r="K50" i="35"/>
  <c r="L93" i="35"/>
  <c r="M93" i="35" s="1"/>
  <c r="L152" i="35"/>
  <c r="L179" i="35"/>
  <c r="M179" i="35" s="1"/>
  <c r="L205" i="35"/>
  <c r="M205" i="35" s="1"/>
  <c r="L256" i="35"/>
  <c r="L284" i="35"/>
  <c r="M284" i="35" s="1"/>
  <c r="L296" i="35"/>
  <c r="M296" i="35" s="1"/>
  <c r="L307" i="35"/>
  <c r="M307" i="35" s="1"/>
  <c r="K319" i="35"/>
  <c r="K341" i="35"/>
  <c r="L363" i="35"/>
  <c r="K374" i="35"/>
  <c r="K383" i="35"/>
  <c r="K393" i="35"/>
  <c r="K404" i="35"/>
  <c r="L423" i="35"/>
  <c r="L432" i="35"/>
  <c r="M432" i="35" s="1"/>
  <c r="K443" i="35"/>
  <c r="K451" i="35"/>
  <c r="K484" i="35"/>
  <c r="L492" i="35"/>
  <c r="M492" i="35" s="1"/>
  <c r="L499" i="35"/>
  <c r="K507" i="35"/>
  <c r="L514" i="35"/>
  <c r="M514" i="35" s="1"/>
  <c r="K522" i="35"/>
  <c r="K543" i="35"/>
  <c r="L550" i="35"/>
  <c r="M550" i="35" s="1"/>
  <c r="K563" i="35"/>
  <c r="L569" i="35"/>
  <c r="M569" i="35" s="1"/>
  <c r="K576" i="35"/>
  <c r="K583" i="35"/>
  <c r="L589" i="35"/>
  <c r="L602" i="35"/>
  <c r="M602" i="35" s="1"/>
  <c r="L609" i="35"/>
  <c r="M609" i="35" s="1"/>
  <c r="L615" i="35"/>
  <c r="L621" i="35"/>
  <c r="M621" i="35" s="1"/>
  <c r="L627" i="35"/>
  <c r="M627" i="35" s="1"/>
  <c r="L633" i="35"/>
  <c r="M633" i="35" s="1"/>
  <c r="K639" i="35"/>
  <c r="L644" i="35"/>
  <c r="M644" i="35" s="1"/>
  <c r="K655" i="35"/>
  <c r="L660" i="35"/>
  <c r="M660" i="35" s="1"/>
  <c r="K671" i="35"/>
  <c r="L676" i="35"/>
  <c r="K687" i="35"/>
  <c r="L692" i="35"/>
  <c r="M692" i="35" s="1"/>
  <c r="L52" i="35"/>
  <c r="M52" i="35" s="1"/>
  <c r="K126" i="35"/>
  <c r="K153" i="35"/>
  <c r="L185" i="35"/>
  <c r="M185" i="35" s="1"/>
  <c r="K243" i="35"/>
  <c r="K271" i="35"/>
  <c r="L319" i="35"/>
  <c r="M319" i="35" s="1"/>
  <c r="K330" i="35"/>
  <c r="K353" i="35"/>
  <c r="L374" i="35"/>
  <c r="M374" i="35" s="1"/>
  <c r="K394" i="35"/>
  <c r="L404" i="35"/>
  <c r="K414" i="35"/>
  <c r="L424" i="35"/>
  <c r="M424" i="35" s="1"/>
  <c r="K433" i="35"/>
  <c r="L443" i="35"/>
  <c r="M443" i="35" s="1"/>
  <c r="L451" i="35"/>
  <c r="M451" i="35" s="1"/>
  <c r="K461" i="35"/>
  <c r="K477" i="35"/>
  <c r="L507" i="35"/>
  <c r="K523" i="35"/>
  <c r="K530" i="35"/>
  <c r="K537" i="35"/>
  <c r="K557" i="35"/>
  <c r="L563" i="35"/>
  <c r="M563" i="35" s="1"/>
  <c r="K577" i="35"/>
  <c r="L583" i="35"/>
  <c r="K596" i="35"/>
  <c r="L639" i="35"/>
  <c r="K650" i="35"/>
  <c r="L655" i="35"/>
  <c r="M655" i="35" s="1"/>
  <c r="K666" i="35"/>
  <c r="L671" i="35"/>
  <c r="K682" i="35"/>
  <c r="L687" i="35"/>
  <c r="K94" i="35"/>
  <c r="K159" i="35"/>
  <c r="K209" i="35"/>
  <c r="K227" i="35"/>
  <c r="L243" i="35"/>
  <c r="K257" i="35"/>
  <c r="L271" i="35"/>
  <c r="K285" i="35"/>
  <c r="L308" i="35"/>
  <c r="M308" i="35" s="1"/>
  <c r="L331" i="35"/>
  <c r="M331" i="35" s="1"/>
  <c r="L342" i="35"/>
  <c r="M342" i="35" s="1"/>
  <c r="K354" i="35"/>
  <c r="K364" i="35"/>
  <c r="L375" i="35"/>
  <c r="K385" i="35"/>
  <c r="L394" i="35"/>
  <c r="K415" i="35"/>
  <c r="L433" i="35"/>
  <c r="L461" i="35"/>
  <c r="M461" i="35" s="1"/>
  <c r="K470" i="35"/>
  <c r="K486" i="35"/>
  <c r="K493" i="35"/>
  <c r="K500" i="35"/>
  <c r="L523" i="35"/>
  <c r="L530" i="35"/>
  <c r="M530" i="35" s="1"/>
  <c r="L537" i="35"/>
  <c r="K544" i="35"/>
  <c r="K551" i="35"/>
  <c r="L557" i="35"/>
  <c r="L570" i="35"/>
  <c r="M570" i="35" s="1"/>
  <c r="L577" i="35"/>
  <c r="K590" i="35"/>
  <c r="L596" i="35"/>
  <c r="K610" i="35"/>
  <c r="K616" i="35"/>
  <c r="K622" i="35"/>
  <c r="K628" i="35"/>
  <c r="K634" i="35"/>
  <c r="K645" i="35"/>
  <c r="L650" i="35"/>
  <c r="K661" i="35"/>
  <c r="L666" i="35"/>
  <c r="M666" i="35" s="1"/>
  <c r="K677" i="35"/>
  <c r="L682" i="35"/>
  <c r="M682" i="35" s="1"/>
  <c r="K693" i="35"/>
  <c r="L698" i="35"/>
  <c r="K709" i="35"/>
  <c r="L714" i="35"/>
  <c r="K53" i="35"/>
  <c r="L159" i="35"/>
  <c r="M159" i="35" s="1"/>
  <c r="K186" i="35"/>
  <c r="K211" i="35"/>
  <c r="L227" i="35"/>
  <c r="L257" i="35"/>
  <c r="M257" i="35" s="1"/>
  <c r="L285" i="35"/>
  <c r="M285" i="35" s="1"/>
  <c r="L299" i="35"/>
  <c r="M299" i="35" s="1"/>
  <c r="L320" i="35"/>
  <c r="M320" i="35" s="1"/>
  <c r="L354" i="35"/>
  <c r="L385" i="35"/>
  <c r="M385" i="35" s="1"/>
  <c r="K405" i="35"/>
  <c r="L415" i="35"/>
  <c r="M415" i="35" s="1"/>
  <c r="K425" i="35"/>
  <c r="L434" i="35"/>
  <c r="M434" i="35" s="1"/>
  <c r="K444" i="35"/>
  <c r="K453" i="35"/>
  <c r="K462" i="35"/>
  <c r="L470" i="35"/>
  <c r="K478" i="35"/>
  <c r="L486" i="35"/>
  <c r="M486" i="35" s="1"/>
  <c r="L493" i="35"/>
  <c r="M493" i="35" s="1"/>
  <c r="L500" i="35"/>
  <c r="M500" i="35" s="1"/>
  <c r="L508" i="35"/>
  <c r="M508" i="35" s="1"/>
  <c r="K516" i="35"/>
  <c r="K545" i="35"/>
  <c r="L551" i="35"/>
  <c r="K564" i="35"/>
  <c r="K584" i="35"/>
  <c r="L590" i="35"/>
  <c r="M590" i="35" s="1"/>
  <c r="K597" i="35"/>
  <c r="K604" i="35"/>
  <c r="L610" i="35"/>
  <c r="L616" i="35"/>
  <c r="L622" i="35"/>
  <c r="L628" i="35"/>
  <c r="M628" i="35" s="1"/>
  <c r="L634" i="35"/>
  <c r="K640" i="35"/>
  <c r="L645" i="35"/>
  <c r="M645" i="35" s="1"/>
  <c r="K656" i="35"/>
  <c r="L661" i="35"/>
  <c r="M661" i="35" s="1"/>
  <c r="K672" i="35"/>
  <c r="L677" i="35"/>
  <c r="M677" i="35" s="1"/>
  <c r="K688" i="35"/>
  <c r="L693" i="35"/>
  <c r="M693" i="35" s="1"/>
  <c r="K704" i="35"/>
  <c r="L709" i="35"/>
  <c r="M709" i="35" s="1"/>
  <c r="L55" i="35"/>
  <c r="M55" i="35" s="1"/>
  <c r="K133" i="35"/>
  <c r="L186" i="35"/>
  <c r="L211" i="35"/>
  <c r="L244" i="35"/>
  <c r="M244" i="35" s="1"/>
  <c r="K258" i="35"/>
  <c r="K286" i="35"/>
  <c r="K311" i="35"/>
  <c r="K322" i="35"/>
  <c r="L343" i="35"/>
  <c r="M343" i="35" s="1"/>
  <c r="K365" i="35"/>
  <c r="K376" i="35"/>
  <c r="K386" i="35"/>
  <c r="K397" i="35"/>
  <c r="L425" i="35"/>
  <c r="M425" i="35" s="1"/>
  <c r="L444" i="35"/>
  <c r="L454" i="35"/>
  <c r="M454" i="35" s="1"/>
  <c r="L462" i="35"/>
  <c r="K479" i="35"/>
  <c r="L516" i="35"/>
  <c r="M516" i="35" s="1"/>
  <c r="K524" i="35"/>
  <c r="K531" i="35"/>
  <c r="L538" i="35"/>
  <c r="M538" i="35" s="1"/>
  <c r="L545" i="35"/>
  <c r="K558" i="35"/>
  <c r="L564" i="35"/>
  <c r="K578" i="35"/>
  <c r="L584" i="35"/>
  <c r="M584" i="35" s="1"/>
  <c r="L597" i="35"/>
  <c r="M597" i="35" s="1"/>
  <c r="L604" i="35"/>
  <c r="K63" i="35"/>
  <c r="L134" i="35"/>
  <c r="M134" i="35" s="1"/>
  <c r="K161" i="35"/>
  <c r="K188" i="35"/>
  <c r="L230" i="35"/>
  <c r="M230" i="35" s="1"/>
  <c r="L259" i="35"/>
  <c r="M259" i="35" s="1"/>
  <c r="K273" i="35"/>
  <c r="L286" i="35"/>
  <c r="K300" i="35"/>
  <c r="L311" i="35"/>
  <c r="M311" i="35" s="1"/>
  <c r="L322" i="35"/>
  <c r="M322" i="35" s="1"/>
  <c r="K334" i="35"/>
  <c r="K356" i="35"/>
  <c r="K366" i="35"/>
  <c r="L376" i="35"/>
  <c r="M376" i="35" s="1"/>
  <c r="L386" i="35"/>
  <c r="L397" i="35"/>
  <c r="M397" i="35" s="1"/>
  <c r="L407" i="35"/>
  <c r="M407" i="35" s="1"/>
  <c r="K417" i="35"/>
  <c r="L436" i="35"/>
  <c r="M436" i="35" s="1"/>
  <c r="K471" i="35"/>
  <c r="L479" i="35"/>
  <c r="K487" i="35"/>
  <c r="K494" i="35"/>
  <c r="L524" i="35"/>
  <c r="M524" i="35" s="1"/>
  <c r="L531" i="35"/>
  <c r="K552" i="35"/>
  <c r="L558" i="35"/>
  <c r="M558" i="35" s="1"/>
  <c r="K565" i="35"/>
  <c r="K572" i="35"/>
  <c r="L578" i="35"/>
  <c r="M578" i="35" s="1"/>
  <c r="K591" i="35"/>
  <c r="L598" i="35"/>
  <c r="M598" i="35" s="1"/>
  <c r="K611" i="35"/>
  <c r="K617" i="35"/>
  <c r="K623" i="35"/>
  <c r="K629" i="35"/>
  <c r="K635" i="35"/>
  <c r="K646" i="35"/>
  <c r="L651" i="35"/>
  <c r="L63" i="35"/>
  <c r="M63" i="35" s="1"/>
  <c r="K106" i="35"/>
  <c r="K194" i="35"/>
  <c r="K212" i="35"/>
  <c r="K248" i="35"/>
  <c r="K275" i="35"/>
  <c r="L312" i="35"/>
  <c r="M312" i="35" s="1"/>
  <c r="K323" i="35"/>
  <c r="L334" i="35"/>
  <c r="L367" i="35"/>
  <c r="M367" i="35" s="1"/>
  <c r="L387" i="35"/>
  <c r="M387" i="35" s="1"/>
  <c r="L417" i="35"/>
  <c r="L426" i="35"/>
  <c r="M426" i="35" s="1"/>
  <c r="K445" i="35"/>
  <c r="K455" i="35"/>
  <c r="K463" i="35"/>
  <c r="L480" i="35"/>
  <c r="L487" i="35"/>
  <c r="L494" i="35"/>
  <c r="L502" i="35"/>
  <c r="M502" i="35" s="1"/>
  <c r="K510" i="35"/>
  <c r="K546" i="35"/>
  <c r="L552" i="35"/>
  <c r="M552" i="35" s="1"/>
  <c r="L565" i="35"/>
  <c r="L572" i="35"/>
  <c r="K585" i="35"/>
  <c r="K605" i="35"/>
  <c r="L106" i="35"/>
  <c r="L135" i="35"/>
  <c r="M135" i="35" s="1"/>
  <c r="L194" i="35"/>
  <c r="M194" i="35" s="1"/>
  <c r="K233" i="35"/>
  <c r="L248" i="35"/>
  <c r="K262" i="35"/>
  <c r="L276" i="35"/>
  <c r="M276" i="35" s="1"/>
  <c r="K290" i="35"/>
  <c r="K301" i="35"/>
  <c r="L323" i="35"/>
  <c r="M323" i="35" s="1"/>
  <c r="K346" i="35"/>
  <c r="K357" i="35"/>
  <c r="K377" i="35"/>
  <c r="K398" i="35"/>
  <c r="K427" i="35"/>
  <c r="K437" i="35"/>
  <c r="L464" i="35"/>
  <c r="M464" i="35" s="1"/>
  <c r="K472" i="35"/>
  <c r="L510" i="35"/>
  <c r="K518" i="35"/>
  <c r="K525" i="35"/>
  <c r="L532" i="35"/>
  <c r="M532" i="35" s="1"/>
  <c r="K540" i="35"/>
  <c r="L546" i="35"/>
  <c r="K559" i="35"/>
  <c r="L566" i="35"/>
  <c r="M566" i="35" s="1"/>
  <c r="K579" i="35"/>
  <c r="L585" i="35"/>
  <c r="M585" i="35" s="1"/>
  <c r="K592" i="35"/>
  <c r="K599" i="35"/>
  <c r="L605" i="35"/>
  <c r="K68" i="35"/>
  <c r="K108" i="35"/>
  <c r="L141" i="35"/>
  <c r="M141" i="35" s="1"/>
  <c r="K168" i="35"/>
  <c r="K195" i="35"/>
  <c r="K217" i="35"/>
  <c r="K234" i="35"/>
  <c r="L249" i="35"/>
  <c r="M249" i="35" s="1"/>
  <c r="K263" i="35"/>
  <c r="K291" i="35"/>
  <c r="K313" i="35"/>
  <c r="L324" i="35"/>
  <c r="M324" i="35" s="1"/>
  <c r="L335" i="35"/>
  <c r="M335" i="35" s="1"/>
  <c r="L347" i="35"/>
  <c r="M347" i="35" s="1"/>
  <c r="K358" i="35"/>
  <c r="K369" i="35"/>
  <c r="L377" i="35"/>
  <c r="L398" i="35"/>
  <c r="K409" i="35"/>
  <c r="K428" i="35"/>
  <c r="K446" i="35"/>
  <c r="K456" i="35"/>
  <c r="K473" i="35"/>
  <c r="K481" i="35"/>
  <c r="K488" i="35"/>
  <c r="K495" i="35"/>
  <c r="L518" i="35"/>
  <c r="L525" i="35"/>
  <c r="L540" i="35"/>
  <c r="K553" i="35"/>
  <c r="K573" i="35"/>
  <c r="L579" i="35"/>
  <c r="K593" i="35"/>
  <c r="L195" i="35"/>
  <c r="L217" i="35"/>
  <c r="L234" i="35"/>
  <c r="L263" i="35"/>
  <c r="M263" i="35" s="1"/>
  <c r="K278" i="35"/>
  <c r="L291" i="35"/>
  <c r="K302" i="35"/>
  <c r="L313" i="35"/>
  <c r="L358" i="35"/>
  <c r="L369" i="35"/>
  <c r="M369" i="35" s="1"/>
  <c r="L379" i="35"/>
  <c r="M379" i="35" s="1"/>
  <c r="L390" i="35"/>
  <c r="M390" i="35" s="1"/>
  <c r="K410" i="35"/>
  <c r="K419" i="35"/>
  <c r="L428" i="35"/>
  <c r="K438" i="35"/>
  <c r="L456" i="35"/>
  <c r="K465" i="35"/>
  <c r="L473" i="35"/>
  <c r="L481" i="35"/>
  <c r="L488" i="35"/>
  <c r="M488" i="35" s="1"/>
  <c r="L496" i="35"/>
  <c r="M496" i="35" s="1"/>
  <c r="K504" i="35"/>
  <c r="K511" i="35"/>
  <c r="L534" i="35"/>
  <c r="M534" i="35" s="1"/>
  <c r="K547" i="35"/>
  <c r="L553" i="35"/>
  <c r="M553" i="35" s="1"/>
  <c r="K560" i="35"/>
  <c r="K567" i="35"/>
  <c r="L573" i="35"/>
  <c r="M573" i="35" s="1"/>
  <c r="L586" i="35"/>
  <c r="K78" i="35"/>
  <c r="K115" i="35"/>
  <c r="L142" i="35"/>
  <c r="M142" i="35" s="1"/>
  <c r="K169" i="35"/>
  <c r="K197" i="35"/>
  <c r="L218" i="35"/>
  <c r="M218" i="35" s="1"/>
  <c r="K250" i="35"/>
  <c r="L278" i="35"/>
  <c r="K303" i="35"/>
  <c r="K314" i="35"/>
  <c r="K326" i="35"/>
  <c r="K348" i="35"/>
  <c r="L359" i="35"/>
  <c r="M359" i="35" s="1"/>
  <c r="L399" i="35"/>
  <c r="M399" i="35" s="1"/>
  <c r="L410" i="35"/>
  <c r="M410" i="35" s="1"/>
  <c r="L419" i="35"/>
  <c r="K430" i="35"/>
  <c r="L438" i="35"/>
  <c r="L448" i="35"/>
  <c r="M448" i="35" s="1"/>
  <c r="L504" i="35"/>
  <c r="L511" i="35"/>
  <c r="M511" i="35" s="1"/>
  <c r="K519" i="35"/>
  <c r="L526" i="35"/>
  <c r="M526" i="35" s="1"/>
  <c r="K541" i="35"/>
  <c r="L547" i="35"/>
  <c r="K561" i="35"/>
  <c r="L567" i="35"/>
  <c r="M567" i="35" s="1"/>
  <c r="K580" i="35"/>
  <c r="K600" i="35"/>
  <c r="L606" i="35"/>
  <c r="L625" i="35"/>
  <c r="L631" i="35"/>
  <c r="K637" i="35"/>
  <c r="L642" i="35"/>
  <c r="K653" i="35"/>
  <c r="L658" i="35"/>
  <c r="K669" i="35"/>
  <c r="L674" i="35"/>
  <c r="K685" i="35"/>
  <c r="L690" i="35"/>
  <c r="K701" i="35"/>
  <c r="L706" i="35"/>
  <c r="K717" i="35"/>
  <c r="L722" i="35"/>
  <c r="K733" i="35"/>
  <c r="L738" i="35"/>
  <c r="K749" i="35"/>
  <c r="L754" i="35"/>
  <c r="K765" i="35"/>
  <c r="L770" i="35"/>
  <c r="K781" i="35"/>
  <c r="L786" i="35"/>
  <c r="K797" i="35"/>
  <c r="L802" i="35"/>
  <c r="L78" i="35"/>
  <c r="M78" i="35" s="1"/>
  <c r="L115" i="35"/>
  <c r="M115" i="35" s="1"/>
  <c r="K237" i="35"/>
  <c r="L250" i="35"/>
  <c r="K265" i="35"/>
  <c r="K292" i="35"/>
  <c r="L303" i="35"/>
  <c r="M303" i="35" s="1"/>
  <c r="L314" i="35"/>
  <c r="L326" i="35"/>
  <c r="K337" i="35"/>
  <c r="L348" i="35"/>
  <c r="K370" i="35"/>
  <c r="K391" i="35"/>
  <c r="K411" i="35"/>
  <c r="K420" i="35"/>
  <c r="L430" i="35"/>
  <c r="L449" i="35"/>
  <c r="M449" i="35" s="1"/>
  <c r="K457" i="35"/>
  <c r="K466" i="35"/>
  <c r="K475" i="35"/>
  <c r="K482" i="35"/>
  <c r="K489" i="35"/>
  <c r="L512" i="35"/>
  <c r="M512" i="35" s="1"/>
  <c r="L519" i="35"/>
  <c r="K535" i="35"/>
  <c r="L541" i="35"/>
  <c r="L554" i="35"/>
  <c r="M554" i="35" s="1"/>
  <c r="L561" i="35"/>
  <c r="K574" i="35"/>
  <c r="L580" i="35"/>
  <c r="M580" i="35" s="1"/>
  <c r="K594" i="35"/>
  <c r="L600" i="35"/>
  <c r="K613" i="35"/>
  <c r="L637" i="35"/>
  <c r="M637" i="35" s="1"/>
  <c r="K648" i="35"/>
  <c r="L653" i="35"/>
  <c r="K664" i="35"/>
  <c r="L669" i="35"/>
  <c r="K680" i="35"/>
  <c r="L685" i="35"/>
  <c r="K696" i="35"/>
  <c r="L701" i="35"/>
  <c r="K712" i="35"/>
  <c r="L717" i="35"/>
  <c r="K728" i="35"/>
  <c r="L733" i="35"/>
  <c r="K744" i="35"/>
  <c r="L749" i="35"/>
  <c r="K760" i="35"/>
  <c r="L765" i="35"/>
  <c r="M765" i="35" s="1"/>
  <c r="K776" i="35"/>
  <c r="L781" i="35"/>
  <c r="K792" i="35"/>
  <c r="L797" i="35"/>
  <c r="K808" i="35"/>
  <c r="K116" i="35"/>
  <c r="L145" i="35"/>
  <c r="M145" i="35" s="1"/>
  <c r="K220" i="35"/>
  <c r="L251" i="35"/>
  <c r="M251" i="35" s="1"/>
  <c r="L279" i="35"/>
  <c r="M279" i="35" s="1"/>
  <c r="K294" i="35"/>
  <c r="L316" i="35"/>
  <c r="M316" i="35" s="1"/>
  <c r="K339" i="35"/>
  <c r="K349" i="35"/>
  <c r="L370" i="35"/>
  <c r="M370" i="35" s="1"/>
  <c r="K381" i="35"/>
  <c r="L391" i="35"/>
  <c r="K402" i="35"/>
  <c r="L411" i="35"/>
  <c r="M411" i="35" s="1"/>
  <c r="L420" i="35"/>
  <c r="L439" i="35"/>
  <c r="M439" i="35" s="1"/>
  <c r="L457" i="35"/>
  <c r="K467" i="35"/>
  <c r="L475" i="35"/>
  <c r="L482" i="35"/>
  <c r="K498" i="35"/>
  <c r="K505" i="35"/>
  <c r="L528" i="35"/>
  <c r="M528" i="35" s="1"/>
  <c r="L535" i="35"/>
  <c r="M535" i="35" s="1"/>
  <c r="K548" i="35"/>
  <c r="K568" i="35"/>
  <c r="L574" i="35"/>
  <c r="M574" i="35" s="1"/>
  <c r="K581" i="35"/>
  <c r="K588" i="35"/>
  <c r="L594" i="35"/>
  <c r="K607" i="35"/>
  <c r="L613" i="35"/>
  <c r="K620" i="35"/>
  <c r="K626" i="35"/>
  <c r="K632" i="35"/>
  <c r="K643" i="35"/>
  <c r="L648" i="35"/>
  <c r="M648" i="35" s="1"/>
  <c r="K659" i="35"/>
  <c r="L664" i="35"/>
  <c r="M664" i="35" s="1"/>
  <c r="K675" i="35"/>
  <c r="L680" i="35"/>
  <c r="K691" i="35"/>
  <c r="L696" i="35"/>
  <c r="M696" i="35" s="1"/>
  <c r="K79" i="35"/>
  <c r="L151" i="35"/>
  <c r="M151" i="35" s="1"/>
  <c r="K178" i="35"/>
  <c r="K204" i="35"/>
  <c r="L220" i="35"/>
  <c r="M220" i="35" s="1"/>
  <c r="K238" i="35"/>
  <c r="K266" i="35"/>
  <c r="L294" i="35"/>
  <c r="K306" i="35"/>
  <c r="K328" i="35"/>
  <c r="L339" i="35"/>
  <c r="L350" i="35"/>
  <c r="M350" i="35" s="1"/>
  <c r="K362" i="35"/>
  <c r="K382" i="35"/>
  <c r="L402" i="35"/>
  <c r="M402" i="35" s="1"/>
  <c r="K431" i="35"/>
  <c r="K450" i="35"/>
  <c r="L458" i="35"/>
  <c r="M458" i="35" s="1"/>
  <c r="L467" i="35"/>
  <c r="K490" i="35"/>
  <c r="L498" i="35"/>
  <c r="M498" i="35" s="1"/>
  <c r="L505" i="35"/>
  <c r="K513" i="35"/>
  <c r="L520" i="35"/>
  <c r="M520" i="35" s="1"/>
  <c r="K542" i="35"/>
  <c r="L548" i="35"/>
  <c r="K562" i="35"/>
  <c r="L568" i="35"/>
  <c r="L581" i="35"/>
  <c r="M581" i="35" s="1"/>
  <c r="L588" i="35"/>
  <c r="M588" i="35" s="1"/>
  <c r="K601" i="35"/>
  <c r="L614" i="35"/>
  <c r="M614" i="35" s="1"/>
  <c r="L620" i="35"/>
  <c r="M620" i="35" s="1"/>
  <c r="L626" i="35"/>
  <c r="L632" i="35"/>
  <c r="M632" i="35" s="1"/>
  <c r="K638" i="35"/>
  <c r="L643" i="35"/>
  <c r="K654" i="35"/>
  <c r="L659" i="35"/>
  <c r="M659" i="35" s="1"/>
  <c r="K670" i="35"/>
  <c r="L675" i="35"/>
  <c r="K686" i="35"/>
  <c r="L691" i="35"/>
  <c r="K702" i="35"/>
  <c r="L707" i="35"/>
  <c r="K718" i="35"/>
  <c r="L723" i="35"/>
  <c r="K734" i="35"/>
  <c r="L739" i="35"/>
  <c r="K750" i="35"/>
  <c r="L755" i="35"/>
  <c r="K766" i="35"/>
  <c r="L771" i="35"/>
  <c r="K782" i="35"/>
  <c r="L787" i="35"/>
  <c r="L362" i="35"/>
  <c r="L670" i="35"/>
  <c r="M670" i="35" s="1"/>
  <c r="L683" i="35"/>
  <c r="L694" i="35"/>
  <c r="K713" i="35"/>
  <c r="L727" i="35"/>
  <c r="L735" i="35"/>
  <c r="K742" i="35"/>
  <c r="L763" i="35"/>
  <c r="K770" i="35"/>
  <c r="K778" i="35"/>
  <c r="L791" i="35"/>
  <c r="L798" i="35"/>
  <c r="K805" i="35"/>
  <c r="L811" i="35"/>
  <c r="K817" i="35"/>
  <c r="L828" i="35"/>
  <c r="K834" i="35"/>
  <c r="L845" i="35"/>
  <c r="K851" i="35"/>
  <c r="L862" i="35"/>
  <c r="L868" i="35"/>
  <c r="K874" i="35"/>
  <c r="L885" i="35"/>
  <c r="K891" i="35"/>
  <c r="L902" i="35"/>
  <c r="K908" i="35"/>
  <c r="L919" i="35"/>
  <c r="K925" i="35"/>
  <c r="L936" i="35"/>
  <c r="K942" i="35"/>
  <c r="L959" i="35"/>
  <c r="K965" i="35"/>
  <c r="L976" i="35"/>
  <c r="K982" i="35"/>
  <c r="L993" i="35"/>
  <c r="K999" i="35"/>
  <c r="L1010" i="35"/>
  <c r="K125" i="35"/>
  <c r="L371" i="35"/>
  <c r="M371" i="35" s="1"/>
  <c r="L513" i="35"/>
  <c r="M513" i="35" s="1"/>
  <c r="L601" i="35"/>
  <c r="L629" i="35"/>
  <c r="M629" i="35" s="1"/>
  <c r="K658" i="35"/>
  <c r="L672" i="35"/>
  <c r="M672" i="35" s="1"/>
  <c r="K705" i="35"/>
  <c r="K721" i="35"/>
  <c r="L728" i="35"/>
  <c r="M728" i="35" s="1"/>
  <c r="L742" i="35"/>
  <c r="K757" i="35"/>
  <c r="K771" i="35"/>
  <c r="L778" i="35"/>
  <c r="K785" i="35"/>
  <c r="L792" i="35"/>
  <c r="M792" i="35" s="1"/>
  <c r="K799" i="35"/>
  <c r="L805" i="35"/>
  <c r="L817" i="35"/>
  <c r="M817" i="35" s="1"/>
  <c r="K823" i="35"/>
  <c r="L834" i="35"/>
  <c r="K840" i="35"/>
  <c r="L851" i="35"/>
  <c r="K857" i="35"/>
  <c r="K863" i="35"/>
  <c r="L874" i="35"/>
  <c r="K880" i="35"/>
  <c r="L891" i="35"/>
  <c r="K897" i="35"/>
  <c r="L908" i="35"/>
  <c r="K914" i="35"/>
  <c r="L925" i="35"/>
  <c r="M925" i="35" s="1"/>
  <c r="K931" i="35"/>
  <c r="L942" i="35"/>
  <c r="M942" i="35" s="1"/>
  <c r="L948" i="35"/>
  <c r="M948" i="35" s="1"/>
  <c r="K954" i="35"/>
  <c r="L965" i="35"/>
  <c r="M965" i="35" s="1"/>
  <c r="K971" i="35"/>
  <c r="L982" i="35"/>
  <c r="M982" i="35" s="1"/>
  <c r="K988" i="35"/>
  <c r="L999" i="35"/>
  <c r="K1005" i="35"/>
  <c r="L382" i="35"/>
  <c r="L630" i="35"/>
  <c r="M630" i="35" s="1"/>
  <c r="L646" i="35"/>
  <c r="M646" i="35" s="1"/>
  <c r="K684" i="35"/>
  <c r="K695" i="35"/>
  <c r="L705" i="35"/>
  <c r="K714" i="35"/>
  <c r="L721" i="35"/>
  <c r="M721" i="35" s="1"/>
  <c r="K729" i="35"/>
  <c r="K736" i="35"/>
  <c r="L750" i="35"/>
  <c r="M750" i="35" s="1"/>
  <c r="L757" i="35"/>
  <c r="K764" i="35"/>
  <c r="L785" i="35"/>
  <c r="M785" i="35" s="1"/>
  <c r="L799" i="35"/>
  <c r="K812" i="35"/>
  <c r="L823" i="35"/>
  <c r="K829" i="35"/>
  <c r="L840" i="35"/>
  <c r="K846" i="35"/>
  <c r="L863" i="35"/>
  <c r="M863" i="35" s="1"/>
  <c r="K869" i="35"/>
  <c r="L880" i="35"/>
  <c r="M880" i="35" s="1"/>
  <c r="K886" i="35"/>
  <c r="L897" i="35"/>
  <c r="M897" i="35" s="1"/>
  <c r="K903" i="35"/>
  <c r="L914" i="35"/>
  <c r="M914" i="35" s="1"/>
  <c r="K920" i="35"/>
  <c r="L931" i="35"/>
  <c r="K937" i="35"/>
  <c r="K943" i="35"/>
  <c r="L954" i="35"/>
  <c r="M954" i="35" s="1"/>
  <c r="K960" i="35"/>
  <c r="L971" i="35"/>
  <c r="K977" i="35"/>
  <c r="L988" i="35"/>
  <c r="K994" i="35"/>
  <c r="L1005" i="35"/>
  <c r="M1005" i="35" s="1"/>
  <c r="K1011" i="35"/>
  <c r="L178" i="35"/>
  <c r="M178" i="35" s="1"/>
  <c r="K392" i="35"/>
  <c r="K529" i="35"/>
  <c r="K606" i="35"/>
  <c r="K673" i="35"/>
  <c r="L684" i="35"/>
  <c r="L695" i="35"/>
  <c r="M695" i="35" s="1"/>
  <c r="L736" i="35"/>
  <c r="M736" i="35" s="1"/>
  <c r="K743" i="35"/>
  <c r="K751" i="35"/>
  <c r="L764" i="35"/>
  <c r="L772" i="35"/>
  <c r="M772" i="35" s="1"/>
  <c r="K779" i="35"/>
  <c r="K793" i="35"/>
  <c r="K806" i="35"/>
  <c r="L812" i="35"/>
  <c r="K818" i="35"/>
  <c r="L829" i="35"/>
  <c r="M829" i="35" s="1"/>
  <c r="K835" i="35"/>
  <c r="L846" i="35"/>
  <c r="L852" i="35"/>
  <c r="M852" i="35" s="1"/>
  <c r="K858" i="35"/>
  <c r="L869" i="35"/>
  <c r="K875" i="35"/>
  <c r="L886" i="35"/>
  <c r="K892" i="35"/>
  <c r="L903" i="35"/>
  <c r="K909" i="35"/>
  <c r="L920" i="35"/>
  <c r="K926" i="35"/>
  <c r="L943" i="35"/>
  <c r="M943" i="35" s="1"/>
  <c r="K949" i="35"/>
  <c r="L960" i="35"/>
  <c r="M960" i="35" s="1"/>
  <c r="K966" i="35"/>
  <c r="L977" i="35"/>
  <c r="M977" i="35" s="1"/>
  <c r="K983" i="35"/>
  <c r="L994" i="35"/>
  <c r="M994" i="35" s="1"/>
  <c r="K1000" i="35"/>
  <c r="L1011" i="35"/>
  <c r="M1011" i="35" s="1"/>
  <c r="L204" i="35"/>
  <c r="M204" i="35" s="1"/>
  <c r="L403" i="35"/>
  <c r="M403" i="35" s="1"/>
  <c r="K536" i="35"/>
  <c r="K608" i="35"/>
  <c r="K631" i="35"/>
  <c r="K647" i="35"/>
  <c r="K662" i="35"/>
  <c r="L673" i="35"/>
  <c r="M673" i="35" s="1"/>
  <c r="K697" i="35"/>
  <c r="K706" i="35"/>
  <c r="K715" i="35"/>
  <c r="K722" i="35"/>
  <c r="K730" i="35"/>
  <c r="L743" i="35"/>
  <c r="L751" i="35"/>
  <c r="M751" i="35" s="1"/>
  <c r="K758" i="35"/>
  <c r="L779" i="35"/>
  <c r="K786" i="35"/>
  <c r="K800" i="35"/>
  <c r="L806" i="35"/>
  <c r="L818" i="35"/>
  <c r="K824" i="35"/>
  <c r="L835" i="35"/>
  <c r="M835" i="35" s="1"/>
  <c r="K841" i="35"/>
  <c r="K847" i="35"/>
  <c r="L858" i="35"/>
  <c r="M858" i="35" s="1"/>
  <c r="K864" i="35"/>
  <c r="L875" i="35"/>
  <c r="M875" i="35" s="1"/>
  <c r="K881" i="35"/>
  <c r="L892" i="35"/>
  <c r="M892" i="35" s="1"/>
  <c r="K898" i="35"/>
  <c r="L909" i="35"/>
  <c r="M909" i="35" s="1"/>
  <c r="K915" i="35"/>
  <c r="L926" i="35"/>
  <c r="L932" i="35"/>
  <c r="M932" i="35" s="1"/>
  <c r="K938" i="35"/>
  <c r="L949" i="35"/>
  <c r="K955" i="35"/>
  <c r="L966" i="35"/>
  <c r="K972" i="35"/>
  <c r="L983" i="35"/>
  <c r="K989" i="35"/>
  <c r="L1000" i="35"/>
  <c r="M1000" i="35" s="1"/>
  <c r="K1006" i="35"/>
  <c r="K221" i="35"/>
  <c r="K412" i="35"/>
  <c r="L542" i="35"/>
  <c r="M542" i="35" s="1"/>
  <c r="L611" i="35"/>
  <c r="M611" i="35" s="1"/>
  <c r="L647" i="35"/>
  <c r="L662" i="35"/>
  <c r="L686" i="35"/>
  <c r="M686" i="35" s="1"/>
  <c r="K698" i="35"/>
  <c r="K707" i="35"/>
  <c r="L715" i="35"/>
  <c r="K723" i="35"/>
  <c r="L730" i="35"/>
  <c r="M730" i="35" s="1"/>
  <c r="K737" i="35"/>
  <c r="L744" i="35"/>
  <c r="M744" i="35" s="1"/>
  <c r="L758" i="35"/>
  <c r="K773" i="35"/>
  <c r="K787" i="35"/>
  <c r="K794" i="35"/>
  <c r="L800" i="35"/>
  <c r="M800" i="35" s="1"/>
  <c r="K813" i="35"/>
  <c r="L824" i="35"/>
  <c r="K830" i="35"/>
  <c r="L847" i="35"/>
  <c r="K853" i="35"/>
  <c r="L864" i="35"/>
  <c r="K870" i="35"/>
  <c r="L881" i="35"/>
  <c r="M881" i="35" s="1"/>
  <c r="K887" i="35"/>
  <c r="L898" i="35"/>
  <c r="M898" i="35" s="1"/>
  <c r="K904" i="35"/>
  <c r="L915" i="35"/>
  <c r="M915" i="35" s="1"/>
  <c r="K921" i="35"/>
  <c r="K927" i="35"/>
  <c r="L938" i="35"/>
  <c r="K944" i="35"/>
  <c r="L955" i="35"/>
  <c r="K961" i="35"/>
  <c r="L972" i="35"/>
  <c r="K978" i="35"/>
  <c r="L989" i="35"/>
  <c r="K995" i="35"/>
  <c r="L1006" i="35"/>
  <c r="L1012" i="35"/>
  <c r="M1012" i="35" s="1"/>
  <c r="L240" i="35"/>
  <c r="M240" i="35" s="1"/>
  <c r="K422" i="35"/>
  <c r="K549" i="35"/>
  <c r="K612" i="35"/>
  <c r="K649" i="35"/>
  <c r="K674" i="35"/>
  <c r="L688" i="35"/>
  <c r="K699" i="35"/>
  <c r="L737" i="35"/>
  <c r="M737" i="35" s="1"/>
  <c r="K745" i="35"/>
  <c r="K752" i="35"/>
  <c r="L766" i="35"/>
  <c r="M766" i="35" s="1"/>
  <c r="L773" i="35"/>
  <c r="K780" i="35"/>
  <c r="L794" i="35"/>
  <c r="K807" i="35"/>
  <c r="L813" i="35"/>
  <c r="K819" i="35"/>
  <c r="L830" i="35"/>
  <c r="M830" i="35" s="1"/>
  <c r="L836" i="35"/>
  <c r="M836" i="35" s="1"/>
  <c r="K842" i="35"/>
  <c r="L853" i="35"/>
  <c r="K859" i="35"/>
  <c r="L870" i="35"/>
  <c r="K876" i="35"/>
  <c r="L887" i="35"/>
  <c r="K893" i="35"/>
  <c r="L904" i="35"/>
  <c r="K910" i="35"/>
  <c r="L927" i="35"/>
  <c r="K933" i="35"/>
  <c r="L944" i="35"/>
  <c r="K950" i="35"/>
  <c r="L961" i="35"/>
  <c r="M961" i="35" s="1"/>
  <c r="K967" i="35"/>
  <c r="L978" i="35"/>
  <c r="M978" i="35" s="1"/>
  <c r="K984" i="35"/>
  <c r="L995" i="35"/>
  <c r="M995" i="35" s="1"/>
  <c r="K1001" i="35"/>
  <c r="K1007" i="35"/>
  <c r="L431" i="35"/>
  <c r="M431" i="35" s="1"/>
  <c r="K556" i="35"/>
  <c r="L612" i="35"/>
  <c r="K636" i="35"/>
  <c r="K651" i="35"/>
  <c r="K663" i="35"/>
  <c r="L699" i="35"/>
  <c r="L708" i="35"/>
  <c r="M708" i="35" s="1"/>
  <c r="K716" i="35"/>
  <c r="L724" i="35"/>
  <c r="M724" i="35" s="1"/>
  <c r="K731" i="35"/>
  <c r="L752" i="35"/>
  <c r="M752" i="35" s="1"/>
  <c r="K759" i="35"/>
  <c r="K767" i="35"/>
  <c r="L780" i="35"/>
  <c r="M780" i="35" s="1"/>
  <c r="L788" i="35"/>
  <c r="M788" i="35" s="1"/>
  <c r="K801" i="35"/>
  <c r="L807" i="35"/>
  <c r="L819" i="35"/>
  <c r="K825" i="35"/>
  <c r="K831" i="35"/>
  <c r="L842" i="35"/>
  <c r="K848" i="35"/>
  <c r="L859" i="35"/>
  <c r="M859" i="35" s="1"/>
  <c r="K865" i="35"/>
  <c r="L876" i="35"/>
  <c r="K882" i="35"/>
  <c r="L893" i="35"/>
  <c r="M893" i="35" s="1"/>
  <c r="K899" i="35"/>
  <c r="L910" i="35"/>
  <c r="L916" i="35"/>
  <c r="M916" i="35" s="1"/>
  <c r="K922" i="35"/>
  <c r="L933" i="35"/>
  <c r="K939" i="35"/>
  <c r="L950" i="35"/>
  <c r="K956" i="35"/>
  <c r="L967" i="35"/>
  <c r="K973" i="35"/>
  <c r="L984" i="35"/>
  <c r="K990" i="35"/>
  <c r="L1007" i="35"/>
  <c r="K1013" i="35"/>
  <c r="L268" i="35"/>
  <c r="M268" i="35" s="1"/>
  <c r="L441" i="35"/>
  <c r="M441" i="35" s="1"/>
  <c r="L562" i="35"/>
  <c r="M562" i="35" s="1"/>
  <c r="L636" i="35"/>
  <c r="M636" i="35" s="1"/>
  <c r="L663" i="35"/>
  <c r="M663" i="35" s="1"/>
  <c r="K689" i="35"/>
  <c r="L716" i="35"/>
  <c r="L731" i="35"/>
  <c r="K738" i="35"/>
  <c r="K746" i="35"/>
  <c r="L759" i="35"/>
  <c r="L767" i="35"/>
  <c r="K774" i="35"/>
  <c r="K795" i="35"/>
  <c r="L801" i="35"/>
  <c r="L808" i="35"/>
  <c r="K814" i="35"/>
  <c r="L831" i="35"/>
  <c r="M831" i="35" s="1"/>
  <c r="K837" i="35"/>
  <c r="L848" i="35"/>
  <c r="K854" i="35"/>
  <c r="L865" i="35"/>
  <c r="K871" i="35"/>
  <c r="L882" i="35"/>
  <c r="K888" i="35"/>
  <c r="L899" i="35"/>
  <c r="K905" i="35"/>
  <c r="K911" i="35"/>
  <c r="L922" i="35"/>
  <c r="K928" i="35"/>
  <c r="L939" i="35"/>
  <c r="M939" i="35" s="1"/>
  <c r="K945" i="35"/>
  <c r="L956" i="35"/>
  <c r="M956" i="35" s="1"/>
  <c r="K962" i="35"/>
  <c r="L973" i="35"/>
  <c r="M973" i="35" s="1"/>
  <c r="K979" i="35"/>
  <c r="L990" i="35"/>
  <c r="M990" i="35" s="1"/>
  <c r="L996" i="35"/>
  <c r="K1002" i="35"/>
  <c r="L1013" i="35"/>
  <c r="K283" i="35"/>
  <c r="L450" i="35"/>
  <c r="M450" i="35" s="1"/>
  <c r="L617" i="35"/>
  <c r="M617" i="35" s="1"/>
  <c r="K652" i="35"/>
  <c r="K665" i="35"/>
  <c r="K678" i="35"/>
  <c r="L689" i="35"/>
  <c r="K700" i="35"/>
  <c r="K725" i="35"/>
  <c r="K739" i="35"/>
  <c r="L746" i="35"/>
  <c r="M746" i="35" s="1"/>
  <c r="K753" i="35"/>
  <c r="L760" i="35"/>
  <c r="M760" i="35" s="1"/>
  <c r="L774" i="35"/>
  <c r="K789" i="35"/>
  <c r="L795" i="35"/>
  <c r="L814" i="35"/>
  <c r="L820" i="35"/>
  <c r="M820" i="35" s="1"/>
  <c r="K826" i="35"/>
  <c r="L837" i="35"/>
  <c r="K843" i="35"/>
  <c r="L854" i="35"/>
  <c r="M854" i="35" s="1"/>
  <c r="K860" i="35"/>
  <c r="L871" i="35"/>
  <c r="K877" i="35"/>
  <c r="L888" i="35"/>
  <c r="M888" i="35" s="1"/>
  <c r="K894" i="35"/>
  <c r="L911" i="35"/>
  <c r="M911" i="35" s="1"/>
  <c r="K917" i="35"/>
  <c r="L928" i="35"/>
  <c r="K934" i="35"/>
  <c r="L945" i="35"/>
  <c r="K951" i="35"/>
  <c r="L962" i="35"/>
  <c r="K968" i="35"/>
  <c r="L979" i="35"/>
  <c r="K985" i="35"/>
  <c r="K991" i="35"/>
  <c r="L1002" i="35"/>
  <c r="K1008" i="35"/>
  <c r="K295" i="35"/>
  <c r="L459" i="35"/>
  <c r="M459" i="35" s="1"/>
  <c r="K575" i="35"/>
  <c r="K618" i="35"/>
  <c r="L638" i="35"/>
  <c r="M638" i="35" s="1"/>
  <c r="L652" i="35"/>
  <c r="M652" i="35" s="1"/>
  <c r="K667" i="35"/>
  <c r="L678" i="35"/>
  <c r="L700" i="35"/>
  <c r="K710" i="35"/>
  <c r="L725" i="35"/>
  <c r="K732" i="35"/>
  <c r="L753" i="35"/>
  <c r="K761" i="35"/>
  <c r="K768" i="35"/>
  <c r="L782" i="35"/>
  <c r="M782" i="35" s="1"/>
  <c r="L789" i="35"/>
  <c r="K802" i="35"/>
  <c r="K809" i="35"/>
  <c r="K815" i="35"/>
  <c r="L826" i="35"/>
  <c r="K832" i="35"/>
  <c r="L843" i="35"/>
  <c r="K849" i="35"/>
  <c r="L860" i="35"/>
  <c r="K866" i="35"/>
  <c r="L877" i="35"/>
  <c r="K883" i="35"/>
  <c r="L894" i="35"/>
  <c r="L900" i="35"/>
  <c r="M900" i="35" s="1"/>
  <c r="K906" i="35"/>
  <c r="L917" i="35"/>
  <c r="K923" i="35"/>
  <c r="L934" i="35"/>
  <c r="K940" i="35"/>
  <c r="L951" i="35"/>
  <c r="K957" i="35"/>
  <c r="L968" i="35"/>
  <c r="K974" i="35"/>
  <c r="L991" i="35"/>
  <c r="K997" i="35"/>
  <c r="L1008" i="35"/>
  <c r="K1014" i="35"/>
  <c r="L306" i="35"/>
  <c r="M306" i="35" s="1"/>
  <c r="L582" i="35"/>
  <c r="M582" i="35" s="1"/>
  <c r="L618" i="35"/>
  <c r="L640" i="35"/>
  <c r="M640" i="35" s="1"/>
  <c r="L667" i="35"/>
  <c r="K690" i="35"/>
  <c r="L710" i="35"/>
  <c r="M710" i="35" s="1"/>
  <c r="L718" i="35"/>
  <c r="M718" i="35" s="1"/>
  <c r="L732" i="35"/>
  <c r="M732" i="35" s="1"/>
  <c r="L740" i="35"/>
  <c r="K747" i="35"/>
  <c r="L768" i="35"/>
  <c r="K775" i="35"/>
  <c r="K783" i="35"/>
  <c r="K796" i="35"/>
  <c r="K803" i="35"/>
  <c r="L815" i="35"/>
  <c r="K821" i="35"/>
  <c r="L832" i="35"/>
  <c r="K838" i="35"/>
  <c r="L849" i="35"/>
  <c r="M849" i="35" s="1"/>
  <c r="K855" i="35"/>
  <c r="L866" i="35"/>
  <c r="M866" i="35" s="1"/>
  <c r="K872" i="35"/>
  <c r="L883" i="35"/>
  <c r="M883" i="35" s="1"/>
  <c r="K889" i="35"/>
  <c r="K895" i="35"/>
  <c r="L906" i="35"/>
  <c r="K912" i="35"/>
  <c r="L923" i="35"/>
  <c r="K929" i="35"/>
  <c r="L940" i="35"/>
  <c r="K946" i="35"/>
  <c r="L957" i="35"/>
  <c r="K963" i="35"/>
  <c r="L974" i="35"/>
  <c r="L980" i="35"/>
  <c r="M980" i="35" s="1"/>
  <c r="K986" i="35"/>
  <c r="L997" i="35"/>
  <c r="M997" i="35" s="1"/>
  <c r="K1003" i="35"/>
  <c r="L1014" i="35"/>
  <c r="K476" i="35"/>
  <c r="K641" i="35"/>
  <c r="L654" i="35"/>
  <c r="M654" i="35" s="1"/>
  <c r="K679" i="35"/>
  <c r="L702" i="35"/>
  <c r="M702" i="35" s="1"/>
  <c r="K719" i="35"/>
  <c r="K726" i="35"/>
  <c r="L747" i="35"/>
  <c r="K754" i="35"/>
  <c r="K762" i="35"/>
  <c r="L775" i="35"/>
  <c r="M775" i="35" s="1"/>
  <c r="L783" i="35"/>
  <c r="K790" i="35"/>
  <c r="L796" i="35"/>
  <c r="M796" i="35" s="1"/>
  <c r="L803" i="35"/>
  <c r="K810" i="35"/>
  <c r="L821" i="35"/>
  <c r="K827" i="35"/>
  <c r="L838" i="35"/>
  <c r="K844" i="35"/>
  <c r="L855" i="35"/>
  <c r="K861" i="35"/>
  <c r="L872" i="35"/>
  <c r="K878" i="35"/>
  <c r="L895" i="35"/>
  <c r="K901" i="35"/>
  <c r="L912" i="35"/>
  <c r="M912" i="35" s="1"/>
  <c r="K918" i="35"/>
  <c r="L929" i="35"/>
  <c r="M929" i="35" s="1"/>
  <c r="K935" i="35"/>
  <c r="L946" i="35"/>
  <c r="M946" i="35" s="1"/>
  <c r="K952" i="35"/>
  <c r="L963" i="35"/>
  <c r="M963" i="35" s="1"/>
  <c r="K969" i="35"/>
  <c r="K975" i="35"/>
  <c r="L986" i="35"/>
  <c r="K992" i="35"/>
  <c r="L1003" i="35"/>
  <c r="K1009" i="35"/>
  <c r="K483" i="35"/>
  <c r="L593" i="35"/>
  <c r="M593" i="35" s="1"/>
  <c r="L623" i="35"/>
  <c r="M623" i="35" s="1"/>
  <c r="L641" i="35"/>
  <c r="L656" i="35"/>
  <c r="M656" i="35" s="1"/>
  <c r="K668" i="35"/>
  <c r="L679" i="35"/>
  <c r="M679" i="35" s="1"/>
  <c r="K703" i="35"/>
  <c r="K711" i="35"/>
  <c r="L719" i="35"/>
  <c r="M719" i="35" s="1"/>
  <c r="L726" i="35"/>
  <c r="K741" i="35"/>
  <c r="K755" i="35"/>
  <c r="L762" i="35"/>
  <c r="K769" i="35"/>
  <c r="L776" i="35"/>
  <c r="M776" i="35" s="1"/>
  <c r="L790" i="35"/>
  <c r="L810" i="35"/>
  <c r="K816" i="35"/>
  <c r="L827" i="35"/>
  <c r="M827" i="35" s="1"/>
  <c r="K833" i="35"/>
  <c r="L844" i="35"/>
  <c r="M844" i="35" s="1"/>
  <c r="K850" i="35"/>
  <c r="L861" i="35"/>
  <c r="M861" i="35" s="1"/>
  <c r="K867" i="35"/>
  <c r="L878" i="35"/>
  <c r="M878" i="35" s="1"/>
  <c r="L884" i="35"/>
  <c r="M884" i="35" s="1"/>
  <c r="K890" i="35"/>
  <c r="L901" i="35"/>
  <c r="K907" i="35"/>
  <c r="L918" i="35"/>
  <c r="K924" i="35"/>
  <c r="L935" i="35"/>
  <c r="K941" i="35"/>
  <c r="L952" i="35"/>
  <c r="K958" i="35"/>
  <c r="L975" i="35"/>
  <c r="K981" i="35"/>
  <c r="L992" i="35"/>
  <c r="M992" i="35" s="1"/>
  <c r="K998" i="35"/>
  <c r="L1009" i="35"/>
  <c r="L340" i="35"/>
  <c r="M340" i="35" s="1"/>
  <c r="K595" i="35"/>
  <c r="K624" i="35"/>
  <c r="K657" i="35"/>
  <c r="L668" i="35"/>
  <c r="K681" i="35"/>
  <c r="L703" i="35"/>
  <c r="L711" i="35"/>
  <c r="K720" i="35"/>
  <c r="L734" i="35"/>
  <c r="M734" i="35" s="1"/>
  <c r="L741" i="35"/>
  <c r="K748" i="35"/>
  <c r="L769" i="35"/>
  <c r="M769" i="35" s="1"/>
  <c r="K777" i="35"/>
  <c r="K784" i="35"/>
  <c r="L804" i="35"/>
  <c r="M804" i="35" s="1"/>
  <c r="L816" i="35"/>
  <c r="M816" i="35" s="1"/>
  <c r="K822" i="35"/>
  <c r="L833" i="35"/>
  <c r="M833" i="35" s="1"/>
  <c r="K839" i="35"/>
  <c r="L850" i="35"/>
  <c r="K856" i="35"/>
  <c r="L867" i="35"/>
  <c r="K873" i="35"/>
  <c r="K879" i="35"/>
  <c r="L890" i="35"/>
  <c r="K896" i="35"/>
  <c r="L907" i="35"/>
  <c r="K913" i="35"/>
  <c r="L924" i="35"/>
  <c r="M924" i="35" s="1"/>
  <c r="K930" i="35"/>
  <c r="L941" i="35"/>
  <c r="K947" i="35"/>
  <c r="L958" i="35"/>
  <c r="L964" i="35"/>
  <c r="M964" i="35" s="1"/>
  <c r="K970" i="35"/>
  <c r="L981" i="35"/>
  <c r="K987" i="35"/>
  <c r="L998" i="35"/>
  <c r="K1004" i="35"/>
  <c r="K351" i="35"/>
  <c r="L756" i="35"/>
  <c r="M756" i="35" s="1"/>
  <c r="L856" i="35"/>
  <c r="M856" i="35" s="1"/>
  <c r="L947" i="35"/>
  <c r="K763" i="35"/>
  <c r="K862" i="35"/>
  <c r="K953" i="35"/>
  <c r="L599" i="35"/>
  <c r="M599" i="35" s="1"/>
  <c r="K959" i="35"/>
  <c r="K625" i="35"/>
  <c r="K642" i="35"/>
  <c r="L784" i="35"/>
  <c r="L879" i="35"/>
  <c r="L970" i="35"/>
  <c r="L657" i="35"/>
  <c r="K791" i="35"/>
  <c r="K885" i="35"/>
  <c r="K976" i="35"/>
  <c r="K798" i="35"/>
  <c r="K683" i="35"/>
  <c r="L896" i="35"/>
  <c r="M896" i="35" s="1"/>
  <c r="L987" i="35"/>
  <c r="M987" i="35" s="1"/>
  <c r="K694" i="35"/>
  <c r="K811" i="35"/>
  <c r="K902" i="35"/>
  <c r="K993" i="35"/>
  <c r="L704" i="35"/>
  <c r="M704" i="35" s="1"/>
  <c r="L712" i="35"/>
  <c r="M712" i="35" s="1"/>
  <c r="L822" i="35"/>
  <c r="L913" i="35"/>
  <c r="L1004" i="35"/>
  <c r="L720" i="35"/>
  <c r="K828" i="35"/>
  <c r="K919" i="35"/>
  <c r="K1010" i="35"/>
  <c r="K727" i="35"/>
  <c r="K735" i="35"/>
  <c r="L839" i="35"/>
  <c r="M839" i="35" s="1"/>
  <c r="L930" i="35"/>
  <c r="M930" i="35" s="1"/>
  <c r="K845" i="35"/>
  <c r="K936" i="35"/>
  <c r="L748" i="35"/>
  <c r="K15" i="35"/>
  <c r="AD8" i="60"/>
  <c r="AE3" i="60"/>
  <c r="L736" i="79" a="1"/>
  <c r="L736" i="79" s="1"/>
  <c r="L451" i="79" a="1"/>
  <c r="L451" i="79" s="1"/>
  <c r="L246" i="79" a="1"/>
  <c r="L246" i="79" s="1"/>
  <c r="M746" i="79"/>
  <c r="M745" i="79"/>
  <c r="M741" i="79"/>
  <c r="M740" i="79"/>
  <c r="M466" i="79"/>
  <c r="M464" i="79"/>
  <c r="M463" i="79"/>
  <c r="M461" i="79"/>
  <c r="M460" i="79"/>
  <c r="M455" i="79"/>
  <c r="M250" i="79"/>
  <c r="M15" i="79"/>
  <c r="M10" i="79"/>
  <c r="O171" i="79"/>
  <c r="M171" i="79" s="1"/>
  <c r="O170" i="79"/>
  <c r="M170" i="79" s="1"/>
  <c r="O14" i="79"/>
  <c r="M14" i="79" s="1"/>
  <c r="M824" i="35" l="1"/>
  <c r="M647" i="35"/>
  <c r="M779" i="35"/>
  <c r="M505" i="35"/>
  <c r="M457" i="35"/>
  <c r="M604" i="35"/>
  <c r="M388" i="35"/>
  <c r="M174" i="35"/>
  <c r="M838" i="35"/>
  <c r="M906" i="35"/>
  <c r="M768" i="35"/>
  <c r="M843" i="35"/>
  <c r="M716" i="35"/>
  <c r="M933" i="35"/>
  <c r="M955" i="35"/>
  <c r="M869" i="35"/>
  <c r="M643" i="35"/>
  <c r="M613" i="35"/>
  <c r="M540" i="35"/>
  <c r="M879" i="35"/>
  <c r="M726" i="35"/>
  <c r="M968" i="35"/>
  <c r="M774" i="35"/>
  <c r="M870" i="35"/>
  <c r="M684" i="35"/>
  <c r="M851" i="35"/>
  <c r="M676" i="35"/>
  <c r="M164" i="35"/>
  <c r="M821" i="35"/>
  <c r="M826" i="35"/>
  <c r="M938" i="35"/>
  <c r="M743" i="35"/>
  <c r="M757" i="35"/>
  <c r="M467" i="35"/>
  <c r="M594" i="35"/>
  <c r="M518" i="35"/>
  <c r="M537" i="35"/>
  <c r="M639" i="35"/>
  <c r="M140" i="35"/>
  <c r="M941" i="35"/>
  <c r="M1009" i="35"/>
  <c r="M1014" i="35"/>
  <c r="M951" i="35"/>
  <c r="M848" i="35"/>
  <c r="M910" i="35"/>
  <c r="M853" i="35"/>
  <c r="M846" i="35"/>
  <c r="M834" i="35"/>
  <c r="M626" i="35"/>
  <c r="M781" i="35"/>
  <c r="M653" i="35"/>
  <c r="M250" i="35"/>
  <c r="M358" i="35"/>
  <c r="M404" i="35"/>
  <c r="M803" i="35"/>
  <c r="M391" i="35"/>
  <c r="M523" i="35"/>
  <c r="M583" i="35"/>
  <c r="M503" i="35"/>
  <c r="M274" i="35"/>
  <c r="M132" i="35"/>
  <c r="M907" i="35"/>
  <c r="M783" i="35"/>
  <c r="M812" i="35"/>
  <c r="M749" i="35"/>
  <c r="M430" i="35"/>
  <c r="M286" i="35"/>
  <c r="M634" i="35"/>
  <c r="M227" i="35"/>
  <c r="M243" i="35"/>
  <c r="M499" i="35"/>
  <c r="M305" i="35"/>
  <c r="M481" i="35"/>
  <c r="M966" i="35"/>
  <c r="M568" i="35"/>
  <c r="M504" i="35"/>
  <c r="M473" i="35"/>
  <c r="M234" i="35"/>
  <c r="M479" i="35"/>
  <c r="M211" i="35"/>
  <c r="M622" i="35"/>
  <c r="M470" i="35"/>
  <c r="M442" i="35"/>
  <c r="M31" i="35"/>
  <c r="M215" i="35"/>
  <c r="M720" i="35"/>
  <c r="M438" i="35"/>
  <c r="M417" i="35"/>
  <c r="M462" i="35"/>
  <c r="M610" i="35"/>
  <c r="M254" i="35"/>
  <c r="M605" i="35"/>
  <c r="M444" i="35"/>
  <c r="M612" i="35"/>
  <c r="M171" i="35"/>
  <c r="M150" i="35"/>
  <c r="M77" i="35"/>
  <c r="M235" i="35"/>
  <c r="M107" i="35"/>
  <c r="M936" i="35"/>
  <c r="M771" i="35"/>
  <c r="M153" i="35"/>
  <c r="M68" i="35"/>
  <c r="M576" i="35"/>
  <c r="M466" i="35"/>
  <c r="M477" i="35"/>
  <c r="M329" i="35"/>
  <c r="M168" i="35"/>
  <c r="M366" i="35"/>
  <c r="M66" i="35"/>
  <c r="M546" i="35"/>
  <c r="M650" i="35"/>
  <c r="M18" i="35"/>
  <c r="M20" i="35"/>
  <c r="M355" i="35"/>
  <c r="M641" i="35"/>
  <c r="M689" i="35"/>
  <c r="M1007" i="35"/>
  <c r="M19" i="35"/>
  <c r="M42" i="35"/>
  <c r="M832" i="35"/>
  <c r="M944" i="35"/>
  <c r="M822" i="35"/>
  <c r="M572" i="35"/>
  <c r="M784" i="35"/>
  <c r="M901" i="35"/>
  <c r="M986" i="35"/>
  <c r="M991" i="35"/>
  <c r="M678" i="35"/>
  <c r="M945" i="35"/>
  <c r="M795" i="35"/>
  <c r="M1013" i="35"/>
  <c r="M882" i="35"/>
  <c r="M731" i="35"/>
  <c r="M807" i="35"/>
  <c r="M887" i="35"/>
  <c r="M799" i="35"/>
  <c r="M999" i="35"/>
  <c r="M811" i="35"/>
  <c r="M685" i="35"/>
  <c r="M519" i="35"/>
  <c r="M314" i="35"/>
  <c r="M738" i="35"/>
  <c r="M606" i="35"/>
  <c r="M565" i="35"/>
  <c r="M386" i="35"/>
  <c r="M557" i="35"/>
  <c r="M1001" i="35"/>
  <c r="M873" i="35"/>
  <c r="M745" i="35"/>
  <c r="M94" i="35"/>
  <c r="M381" i="35"/>
  <c r="M210" i="35"/>
  <c r="M472" i="35"/>
  <c r="M199" i="35"/>
  <c r="M591" i="35"/>
  <c r="M483" i="35"/>
  <c r="M172" i="35"/>
  <c r="M23" i="35"/>
  <c r="M429" i="35"/>
  <c r="M228" i="35"/>
  <c r="M73" i="35"/>
  <c r="M389" i="35"/>
  <c r="M261" i="35"/>
  <c r="M133" i="35"/>
  <c r="M748" i="35"/>
  <c r="M958" i="35"/>
  <c r="M928" i="35"/>
  <c r="M996" i="35"/>
  <c r="M865" i="35"/>
  <c r="M931" i="35"/>
  <c r="M798" i="35"/>
  <c r="M420" i="35"/>
  <c r="M797" i="35"/>
  <c r="M669" i="35"/>
  <c r="M722" i="35"/>
  <c r="M525" i="35"/>
  <c r="M551" i="35"/>
  <c r="M985" i="35"/>
  <c r="M857" i="35"/>
  <c r="M729" i="35"/>
  <c r="M351" i="35"/>
  <c r="M265" i="35"/>
  <c r="M353" i="35"/>
  <c r="M302" i="35"/>
  <c r="M575" i="35"/>
  <c r="M471" i="35"/>
  <c r="M136" i="35"/>
  <c r="M412" i="35"/>
  <c r="M209" i="35"/>
  <c r="M373" i="35"/>
  <c r="M245" i="35"/>
  <c r="M117" i="35"/>
  <c r="M740" i="35"/>
  <c r="M688" i="35"/>
  <c r="M919" i="35"/>
  <c r="M791" i="35"/>
  <c r="M755" i="35"/>
  <c r="M354" i="35"/>
  <c r="M363" i="35"/>
  <c r="M595" i="35"/>
  <c r="M360" i="35"/>
  <c r="M346" i="35"/>
  <c r="M635" i="35"/>
  <c r="M560" i="35"/>
  <c r="M465" i="35"/>
  <c r="M127" i="35"/>
  <c r="M148" i="35"/>
  <c r="M349" i="35"/>
  <c r="M706" i="35"/>
  <c r="M564" i="35"/>
  <c r="M969" i="35"/>
  <c r="M841" i="35"/>
  <c r="M713" i="35"/>
  <c r="M559" i="35"/>
  <c r="M301" i="35"/>
  <c r="M522" i="35"/>
  <c r="M189" i="35"/>
  <c r="M26" i="35"/>
  <c r="M357" i="35"/>
  <c r="M229" i="35"/>
  <c r="M101" i="35"/>
  <c r="M601" i="35"/>
  <c r="M902" i="35"/>
  <c r="M739" i="35"/>
  <c r="M547" i="35"/>
  <c r="M313" i="35"/>
  <c r="M494" i="35"/>
  <c r="M295" i="35"/>
  <c r="M108" i="35"/>
  <c r="M237" i="35"/>
  <c r="M158" i="35"/>
  <c r="M544" i="35"/>
  <c r="M427" i="35"/>
  <c r="M445" i="35"/>
  <c r="M84" i="35"/>
  <c r="M129" i="35"/>
  <c r="M332" i="35"/>
  <c r="M86" i="35"/>
  <c r="M187" i="35"/>
  <c r="M59" i="35"/>
  <c r="M934" i="35"/>
  <c r="M758" i="35"/>
  <c r="M763" i="35"/>
  <c r="M690" i="35"/>
  <c r="M278" i="35"/>
  <c r="M487" i="35"/>
  <c r="M531" i="35"/>
  <c r="M545" i="35"/>
  <c r="M271" i="35"/>
  <c r="M953" i="35"/>
  <c r="M825" i="35"/>
  <c r="M697" i="35"/>
  <c r="M556" i="35"/>
  <c r="M283" i="35"/>
  <c r="M318" i="35"/>
  <c r="M414" i="35"/>
  <c r="M543" i="35"/>
  <c r="M273" i="35"/>
  <c r="M506" i="35"/>
  <c r="M169" i="35"/>
  <c r="M341" i="35"/>
  <c r="M213" i="35"/>
  <c r="M85" i="35"/>
  <c r="M789" i="35"/>
  <c r="M805" i="35"/>
  <c r="M885" i="35"/>
  <c r="M723" i="35"/>
  <c r="M291" i="35"/>
  <c r="M480" i="35"/>
  <c r="M549" i="35"/>
  <c r="M212" i="35"/>
  <c r="M266" i="35"/>
  <c r="M109" i="35"/>
  <c r="M105" i="35"/>
  <c r="M222" i="35"/>
  <c r="M315" i="35"/>
  <c r="M70" i="35"/>
  <c r="M43" i="35"/>
  <c r="M667" i="35"/>
  <c r="M917" i="35"/>
  <c r="M871" i="35"/>
  <c r="M808" i="35"/>
  <c r="M876" i="35"/>
  <c r="M983" i="35"/>
  <c r="M735" i="35"/>
  <c r="M680" i="35"/>
  <c r="M600" i="35"/>
  <c r="M802" i="35"/>
  <c r="M674" i="35"/>
  <c r="M248" i="35"/>
  <c r="M651" i="35"/>
  <c r="M937" i="35"/>
  <c r="M809" i="35"/>
  <c r="M681" i="35"/>
  <c r="M536" i="35"/>
  <c r="M455" i="35"/>
  <c r="M146" i="35"/>
  <c r="M413" i="35"/>
  <c r="M40" i="35"/>
  <c r="M418" i="35"/>
  <c r="M490" i="35"/>
  <c r="M128" i="35"/>
  <c r="M453" i="35"/>
  <c r="M325" i="35"/>
  <c r="M197" i="35"/>
  <c r="M69" i="35"/>
  <c r="M947" i="35"/>
  <c r="M1002" i="35"/>
  <c r="M801" i="35"/>
  <c r="M813" i="35"/>
  <c r="M705" i="35"/>
  <c r="M1010" i="35"/>
  <c r="M868" i="35"/>
  <c r="M727" i="35"/>
  <c r="M707" i="35"/>
  <c r="M256" i="35"/>
  <c r="M529" i="35"/>
  <c r="M290" i="35"/>
  <c r="M393" i="35"/>
  <c r="M90" i="35"/>
  <c r="M292" i="35"/>
  <c r="M97" i="35"/>
  <c r="M862" i="35"/>
  <c r="M733" i="35"/>
  <c r="M786" i="35"/>
  <c r="M658" i="35"/>
  <c r="M510" i="35"/>
  <c r="M921" i="35"/>
  <c r="M793" i="35"/>
  <c r="M665" i="35"/>
  <c r="M125" i="35"/>
  <c r="M356" i="35"/>
  <c r="M238" i="35"/>
  <c r="M83" i="35"/>
  <c r="M474" i="35"/>
  <c r="M130" i="35"/>
  <c r="M437" i="35"/>
  <c r="M309" i="35"/>
  <c r="M181" i="35"/>
  <c r="M53" i="35"/>
  <c r="M810" i="35"/>
  <c r="M895" i="35"/>
  <c r="M957" i="35"/>
  <c r="M894" i="35"/>
  <c r="M753" i="35"/>
  <c r="M922" i="35"/>
  <c r="M984" i="35"/>
  <c r="M699" i="35"/>
  <c r="M794" i="35"/>
  <c r="M1006" i="35"/>
  <c r="M715" i="35"/>
  <c r="M920" i="35"/>
  <c r="M988" i="35"/>
  <c r="M908" i="35"/>
  <c r="M778" i="35"/>
  <c r="M993" i="35"/>
  <c r="M694" i="35"/>
  <c r="M691" i="35"/>
  <c r="M339" i="35"/>
  <c r="M217" i="35"/>
  <c r="M186" i="35"/>
  <c r="M616" i="35"/>
  <c r="M433" i="35"/>
  <c r="M615" i="35"/>
  <c r="M161" i="35"/>
  <c r="M262" i="35"/>
  <c r="M62" i="35"/>
  <c r="M571" i="35"/>
  <c r="M440" i="35"/>
  <c r="M624" i="35"/>
  <c r="M392" i="35"/>
  <c r="M79" i="35"/>
  <c r="M28" i="35"/>
  <c r="M275" i="35"/>
  <c r="M81" i="35"/>
  <c r="M38" i="35"/>
  <c r="M741" i="35"/>
  <c r="M974" i="35"/>
  <c r="M711" i="35"/>
  <c r="M935" i="35"/>
  <c r="M790" i="35"/>
  <c r="M747" i="35"/>
  <c r="M815" i="35"/>
  <c r="M979" i="35"/>
  <c r="M837" i="35"/>
  <c r="M767" i="35"/>
  <c r="M842" i="35"/>
  <c r="M927" i="35"/>
  <c r="M864" i="35"/>
  <c r="M949" i="35"/>
  <c r="M818" i="35"/>
  <c r="M840" i="35"/>
  <c r="M845" i="35"/>
  <c r="M683" i="35"/>
  <c r="M548" i="35"/>
  <c r="M717" i="35"/>
  <c r="M561" i="35"/>
  <c r="M770" i="35"/>
  <c r="M642" i="35"/>
  <c r="M456" i="35"/>
  <c r="M195" i="35"/>
  <c r="M398" i="35"/>
  <c r="M106" i="35"/>
  <c r="M596" i="35"/>
  <c r="M507" i="35"/>
  <c r="M152" i="35"/>
  <c r="M905" i="35"/>
  <c r="M777" i="35"/>
  <c r="M649" i="35"/>
  <c r="M221" i="35"/>
  <c r="M269" i="35"/>
  <c r="M422" i="35"/>
  <c r="M255" i="35"/>
  <c r="M47" i="35"/>
  <c r="M365" i="35"/>
  <c r="M57" i="35"/>
  <c r="M72" i="35"/>
  <c r="M384" i="35"/>
  <c r="M253" i="35"/>
  <c r="M98" i="35"/>
  <c r="M463" i="35"/>
  <c r="M406" i="35"/>
  <c r="M110" i="35"/>
  <c r="M421" i="35"/>
  <c r="M293" i="35"/>
  <c r="M165" i="35"/>
  <c r="M37" i="35"/>
  <c r="M890" i="35"/>
  <c r="M1004" i="35"/>
  <c r="M657" i="35"/>
  <c r="M998" i="35"/>
  <c r="M867" i="35"/>
  <c r="M703" i="35"/>
  <c r="M872" i="35"/>
  <c r="M940" i="35"/>
  <c r="M877" i="35"/>
  <c r="M725" i="35"/>
  <c r="M759" i="35"/>
  <c r="M967" i="35"/>
  <c r="M773" i="35"/>
  <c r="M989" i="35"/>
  <c r="M806" i="35"/>
  <c r="M903" i="35"/>
  <c r="M764" i="35"/>
  <c r="M971" i="35"/>
  <c r="M891" i="35"/>
  <c r="M976" i="35"/>
  <c r="M675" i="35"/>
  <c r="M482" i="35"/>
  <c r="M348" i="35"/>
  <c r="M377" i="35"/>
  <c r="M714" i="35"/>
  <c r="M394" i="35"/>
  <c r="M687" i="35"/>
  <c r="M476" i="35"/>
  <c r="M328" i="35"/>
  <c r="M409" i="35"/>
  <c r="M555" i="35"/>
  <c r="M232" i="35"/>
  <c r="M608" i="35"/>
  <c r="M24" i="35"/>
  <c r="M50" i="35"/>
  <c r="M378" i="35"/>
  <c r="M163" i="35"/>
  <c r="M258" i="35"/>
  <c r="M65" i="35"/>
  <c r="M22" i="35"/>
  <c r="M123" i="35"/>
  <c r="M952" i="35"/>
  <c r="M618" i="35"/>
  <c r="M913" i="35"/>
  <c r="M970" i="35"/>
  <c r="M918" i="35"/>
  <c r="M1003" i="35"/>
  <c r="M1008" i="35"/>
  <c r="M962" i="35"/>
  <c r="M899" i="35"/>
  <c r="M904" i="35"/>
  <c r="M847" i="35"/>
  <c r="M823" i="35"/>
  <c r="M382" i="35"/>
  <c r="M742" i="35"/>
  <c r="M828" i="35"/>
  <c r="M362" i="35"/>
  <c r="M294" i="35"/>
  <c r="M475" i="35"/>
  <c r="M701" i="35"/>
  <c r="M541" i="35"/>
  <c r="M754" i="35"/>
  <c r="M631" i="35"/>
  <c r="M419" i="35"/>
  <c r="M586" i="35"/>
  <c r="M428" i="35"/>
  <c r="M579" i="35"/>
  <c r="M577" i="35"/>
  <c r="M589" i="35"/>
  <c r="M423" i="35"/>
  <c r="M889" i="35"/>
  <c r="M761" i="35"/>
  <c r="M468" i="35"/>
  <c r="M126" i="35"/>
  <c r="M233" i="35"/>
  <c r="M408" i="35"/>
  <c r="M484" i="35"/>
  <c r="M337" i="35"/>
  <c r="M173" i="35"/>
  <c r="M223" i="35"/>
  <c r="M607" i="35"/>
  <c r="M495" i="35"/>
  <c r="M364" i="35"/>
  <c r="M36" i="35"/>
  <c r="M501" i="35"/>
  <c r="M236" i="35"/>
  <c r="M446" i="35"/>
  <c r="M405" i="35"/>
  <c r="M277" i="35"/>
  <c r="M149" i="35"/>
  <c r="M21" i="35"/>
  <c r="M975" i="35"/>
  <c r="M981" i="35"/>
  <c r="M850" i="35"/>
  <c r="M668" i="35"/>
  <c r="M762" i="35"/>
  <c r="M855" i="35"/>
  <c r="M923" i="35"/>
  <c r="M860" i="35"/>
  <c r="M700" i="35"/>
  <c r="M814" i="35"/>
  <c r="M950" i="35"/>
  <c r="M819" i="35"/>
  <c r="M972" i="35"/>
  <c r="M662" i="35"/>
  <c r="M926" i="35"/>
  <c r="M886" i="35"/>
  <c r="M874" i="35"/>
  <c r="M959" i="35"/>
  <c r="M787" i="35"/>
  <c r="M326" i="35"/>
  <c r="M625" i="35"/>
  <c r="M334" i="35"/>
  <c r="M698" i="35"/>
  <c r="M375" i="35"/>
  <c r="M671" i="35"/>
  <c r="M300" i="35"/>
  <c r="M116" i="35"/>
  <c r="M184" i="35"/>
  <c r="M592" i="35"/>
  <c r="M478" i="35"/>
  <c r="M330" i="35"/>
  <c r="M489" i="35"/>
  <c r="M188" i="35"/>
  <c r="M25" i="35"/>
  <c r="M29" i="35"/>
  <c r="M298" i="35"/>
  <c r="M143" i="35"/>
  <c r="M383" i="35"/>
  <c r="M241" i="35"/>
  <c r="M49" i="35"/>
  <c r="AE8" i="60"/>
  <c r="AF3" i="60"/>
  <c r="AF8" i="60" l="1"/>
  <c r="AG3" i="60"/>
  <c r="AG8" i="60" l="1"/>
  <c r="AH3" i="60"/>
  <c r="AH8" i="60" l="1"/>
  <c r="AI3" i="60"/>
  <c r="AJ3" i="60" l="1"/>
  <c r="AI8" i="60"/>
  <c r="AK3" i="60" l="1"/>
  <c r="AJ8" i="60"/>
  <c r="AL3" i="60" l="1"/>
  <c r="AK8" i="60"/>
  <c r="AM3" i="60" l="1"/>
  <c r="AM8" i="60" s="1"/>
  <c r="AL8" i="60"/>
  <c r="D1188" i="79" l="1"/>
  <c r="D1189" i="79" s="1"/>
  <c r="D1190" i="79" s="1"/>
  <c r="D1191" i="79" s="1"/>
  <c r="D1181" i="79"/>
  <c r="D1182" i="79" s="1"/>
  <c r="D1183" i="79" s="1"/>
  <c r="D1184" i="79" s="1"/>
  <c r="D1174" i="79"/>
  <c r="D1175" i="79" s="1"/>
  <c r="D1176" i="79" s="1"/>
  <c r="D1177" i="79" s="1"/>
  <c r="D1167" i="79"/>
  <c r="D1168" i="79" s="1"/>
  <c r="D1169" i="79" s="1"/>
  <c r="D1170" i="79" s="1"/>
  <c r="D1160" i="79"/>
  <c r="D1161" i="79" s="1"/>
  <c r="D1162" i="79" s="1"/>
  <c r="D1163" i="79" s="1"/>
  <c r="D1153" i="79"/>
  <c r="D1154" i="79" s="1"/>
  <c r="D1155" i="79" s="1"/>
  <c r="D1156" i="79" s="1"/>
  <c r="D1146" i="79"/>
  <c r="D1147" i="79" s="1"/>
  <c r="D1148" i="79" s="1"/>
  <c r="D1149" i="79" s="1"/>
  <c r="D1139" i="79"/>
  <c r="D1140" i="79" s="1"/>
  <c r="D1141" i="79" s="1"/>
  <c r="D1142" i="79" s="1"/>
  <c r="D1132" i="79"/>
  <c r="D1133" i="79" s="1"/>
  <c r="D1134" i="79" s="1"/>
  <c r="D1135" i="79" s="1"/>
  <c r="D1125" i="79"/>
  <c r="D1126" i="79" s="1"/>
  <c r="D1127" i="79" s="1"/>
  <c r="D1128" i="79" s="1"/>
  <c r="D1093" i="79"/>
  <c r="D1094" i="79" s="1"/>
  <c r="D1095" i="79" s="1"/>
  <c r="D1096" i="79" s="1"/>
  <c r="D1100" i="79"/>
  <c r="D1101" i="79" s="1"/>
  <c r="D1102" i="79" s="1"/>
  <c r="D1103" i="79" s="1"/>
  <c r="D1107" i="79"/>
  <c r="D1108" i="79" s="1"/>
  <c r="D1109" i="79" s="1"/>
  <c r="D1110" i="79" s="1"/>
  <c r="D12" i="65"/>
  <c r="D15" i="65" s="1"/>
  <c r="D18" i="65" s="1"/>
  <c r="D21" i="65" s="1"/>
  <c r="D24" i="65" s="1"/>
  <c r="D27" i="65" s="1"/>
  <c r="D30" i="65" s="1"/>
  <c r="D33" i="65" s="1"/>
  <c r="D36" i="65" s="1"/>
  <c r="D39" i="65" s="1"/>
  <c r="D13" i="65"/>
  <c r="D16" i="65" s="1"/>
  <c r="D19" i="65" s="1"/>
  <c r="D22" i="65" s="1"/>
  <c r="D25" i="65" s="1"/>
  <c r="D28" i="65" s="1"/>
  <c r="D31" i="65" s="1"/>
  <c r="D34" i="65" s="1"/>
  <c r="D37" i="65" s="1"/>
  <c r="D40" i="65" s="1"/>
  <c r="E27" i="135"/>
  <c r="D12" i="135"/>
  <c r="F11" i="135" a="1"/>
  <c r="F11" i="135" s="1"/>
  <c r="E1" i="135"/>
  <c r="E1" i="67"/>
  <c r="D13" i="135" l="1"/>
  <c r="G13" i="135" s="1" a="1"/>
  <c r="G13" i="135" s="1"/>
  <c r="G12" i="135" a="1"/>
  <c r="G12" i="135" s="1"/>
  <c r="D14" i="135"/>
  <c r="G14" i="135" s="1" a="1"/>
  <c r="G14" i="135" s="1"/>
  <c r="F13" i="135" a="1"/>
  <c r="F13" i="135" s="1"/>
  <c r="F12" i="135" a="1"/>
  <c r="F12" i="135" s="1"/>
  <c r="D15" i="135" l="1"/>
  <c r="G15" i="135" s="1" a="1"/>
  <c r="G15" i="135" s="1"/>
  <c r="F14" i="135" a="1"/>
  <c r="F14" i="135" s="1"/>
  <c r="D16" i="135" l="1"/>
  <c r="G16" i="135" s="1" a="1"/>
  <c r="G16" i="135" s="1"/>
  <c r="F15" i="135" a="1"/>
  <c r="F15" i="135" s="1"/>
  <c r="F16" i="135" l="1" a="1"/>
  <c r="F16" i="135" s="1"/>
  <c r="O1114" i="79" l="1"/>
  <c r="L1137" i="79"/>
  <c r="AF10" i="73"/>
  <c r="S10" i="73"/>
  <c r="AF10" i="76"/>
  <c r="S10" i="76"/>
  <c r="AN10" i="116"/>
  <c r="AM10" i="116"/>
  <c r="W10" i="116"/>
  <c r="V10" i="116"/>
  <c r="M7" i="79"/>
  <c r="M8" i="79"/>
  <c r="M462" i="79"/>
  <c r="AP7" i="55"/>
  <c r="AJ7" i="36"/>
  <c r="AP8" i="55"/>
  <c r="AP9" i="55"/>
  <c r="AP10" i="55"/>
  <c r="AP11" i="55"/>
  <c r="AP12" i="55"/>
  <c r="AP13" i="55"/>
  <c r="AP14" i="55"/>
  <c r="AP15" i="55"/>
  <c r="AP16" i="55"/>
  <c r="AP17" i="55"/>
  <c r="AP18" i="55"/>
  <c r="AP19" i="55"/>
  <c r="AP20" i="55"/>
  <c r="AP21" i="55"/>
  <c r="AP22" i="55"/>
  <c r="AP23" i="55"/>
  <c r="AP24" i="55"/>
  <c r="AP25" i="55"/>
  <c r="AP26" i="55"/>
  <c r="AP27" i="55"/>
  <c r="AP28" i="55"/>
  <c r="AP29" i="55"/>
  <c r="AP30" i="55"/>
  <c r="AP31" i="55"/>
  <c r="AP32" i="55"/>
  <c r="AP33" i="55"/>
  <c r="AP34" i="55"/>
  <c r="AP35" i="55"/>
  <c r="AP36" i="55"/>
  <c r="AP37" i="55"/>
  <c r="AP38" i="55"/>
  <c r="AP39" i="55"/>
  <c r="AP40" i="55"/>
  <c r="AP41" i="55"/>
  <c r="AP42" i="55"/>
  <c r="AP43" i="55"/>
  <c r="AP44" i="55"/>
  <c r="AP45" i="55"/>
  <c r="AP46" i="55"/>
  <c r="AP47" i="55"/>
  <c r="AP48" i="55"/>
  <c r="AP49" i="55"/>
  <c r="AP50" i="55"/>
  <c r="AP51" i="55"/>
  <c r="AP52" i="55"/>
  <c r="AP53" i="55"/>
  <c r="AP54" i="55"/>
  <c r="AP55" i="55"/>
  <c r="AP56" i="55"/>
  <c r="AP57" i="55"/>
  <c r="AP58" i="55"/>
  <c r="AP59" i="55"/>
  <c r="AP60" i="55"/>
  <c r="AP61" i="55"/>
  <c r="AP62" i="55"/>
  <c r="AP63" i="55"/>
  <c r="AP64" i="55"/>
  <c r="AP65" i="55"/>
  <c r="AP66" i="55"/>
  <c r="AP67" i="55"/>
  <c r="AP68" i="55"/>
  <c r="AP69" i="55"/>
  <c r="AP70" i="55"/>
  <c r="AP71" i="55"/>
  <c r="AP72" i="55"/>
  <c r="AP73" i="55"/>
  <c r="AP74" i="55"/>
  <c r="AP75" i="55"/>
  <c r="AP76" i="55"/>
  <c r="AP77" i="55"/>
  <c r="AP78" i="55"/>
  <c r="AP79" i="55"/>
  <c r="AP80" i="55"/>
  <c r="AP81" i="55"/>
  <c r="AP82" i="55"/>
  <c r="AP83" i="55"/>
  <c r="AP84" i="55"/>
  <c r="AP85" i="55"/>
  <c r="AP86" i="55"/>
  <c r="AP87" i="55"/>
  <c r="AP88" i="55"/>
  <c r="AP89" i="55"/>
  <c r="AP90" i="55"/>
  <c r="AP91" i="55"/>
  <c r="AP92" i="55"/>
  <c r="AP93" i="55"/>
  <c r="AP94" i="55"/>
  <c r="AP95" i="55"/>
  <c r="AP96" i="55"/>
  <c r="AP97" i="55"/>
  <c r="AP98" i="55"/>
  <c r="AP99" i="55"/>
  <c r="AP100" i="55"/>
  <c r="AP101" i="55"/>
  <c r="AP102" i="55"/>
  <c r="AP103" i="55"/>
  <c r="AP104" i="55"/>
  <c r="AP105" i="55"/>
  <c r="AP106" i="55"/>
  <c r="AP107" i="55"/>
  <c r="AP108" i="55"/>
  <c r="AP109" i="55"/>
  <c r="AP110" i="55"/>
  <c r="AP111" i="55"/>
  <c r="AP112" i="55"/>
  <c r="AP113" i="55"/>
  <c r="AP114" i="55"/>
  <c r="AP115" i="55"/>
  <c r="AP116" i="55"/>
  <c r="AP117" i="55"/>
  <c r="AP118" i="55"/>
  <c r="AP119" i="55"/>
  <c r="AP120" i="55"/>
  <c r="AP121" i="55"/>
  <c r="AP122" i="55"/>
  <c r="AP123" i="55"/>
  <c r="AP124" i="55"/>
  <c r="AP125" i="55"/>
  <c r="AP126" i="55"/>
  <c r="AP127" i="55"/>
  <c r="AP128" i="55"/>
  <c r="AP129" i="55"/>
  <c r="AP130" i="55"/>
  <c r="AP131" i="55"/>
  <c r="AP132" i="55"/>
  <c r="AP133" i="55"/>
  <c r="AP134" i="55"/>
  <c r="AP135" i="55"/>
  <c r="AP136" i="55"/>
  <c r="AP137" i="55"/>
  <c r="AP138" i="55"/>
  <c r="AP139" i="55"/>
  <c r="AP140" i="55"/>
  <c r="AP141" i="55"/>
  <c r="AP142" i="55"/>
  <c r="AP143" i="55"/>
  <c r="AP144" i="55"/>
  <c r="AP145" i="55"/>
  <c r="AP146" i="55"/>
  <c r="AP147" i="55"/>
  <c r="AP148" i="55"/>
  <c r="AP149" i="55"/>
  <c r="AP150" i="55"/>
  <c r="AP151" i="55"/>
  <c r="AP152" i="55"/>
  <c r="AP153" i="55"/>
  <c r="AP154" i="55"/>
  <c r="AP155" i="55"/>
  <c r="AP156" i="55"/>
  <c r="AP157" i="55"/>
  <c r="AP158" i="55"/>
  <c r="AP159" i="55"/>
  <c r="AP160" i="55"/>
  <c r="AP161" i="55"/>
  <c r="AP162" i="55"/>
  <c r="AP163" i="55"/>
  <c r="AP164" i="55"/>
  <c r="AP165" i="55"/>
  <c r="AP166" i="55"/>
  <c r="AP167" i="55"/>
  <c r="AP168" i="55"/>
  <c r="AP169" i="55"/>
  <c r="AP170" i="55"/>
  <c r="AP171" i="55"/>
  <c r="AP172" i="55"/>
  <c r="AP173" i="55"/>
  <c r="AP174" i="55"/>
  <c r="AP175" i="55"/>
  <c r="AP176" i="55"/>
  <c r="AP177" i="55"/>
  <c r="AP178" i="55"/>
  <c r="AP179" i="55"/>
  <c r="AP180" i="55"/>
  <c r="AP181" i="55"/>
  <c r="AP182" i="55"/>
  <c r="AP183" i="55"/>
  <c r="AP184" i="55"/>
  <c r="AP185" i="55"/>
  <c r="AP186" i="55"/>
  <c r="AP187" i="55"/>
  <c r="AP188" i="55"/>
  <c r="AP189" i="55"/>
  <c r="AP190" i="55"/>
  <c r="AP191" i="55"/>
  <c r="AP192" i="55"/>
  <c r="AP193" i="55"/>
  <c r="AP194" i="55"/>
  <c r="AP195" i="55"/>
  <c r="AP196" i="55"/>
  <c r="AP197" i="55"/>
  <c r="AP198" i="55"/>
  <c r="AP199" i="55"/>
  <c r="AP200" i="55"/>
  <c r="AP201" i="55"/>
  <c r="AP202" i="55"/>
  <c r="AP203" i="55"/>
  <c r="AP204" i="55"/>
  <c r="AP205" i="55"/>
  <c r="AP206" i="55"/>
  <c r="AP207" i="55"/>
  <c r="AP208" i="55"/>
  <c r="AP209" i="55"/>
  <c r="AP210" i="55"/>
  <c r="AP211" i="55"/>
  <c r="AP212" i="55"/>
  <c r="AP213" i="55"/>
  <c r="AP214" i="55"/>
  <c r="AP215" i="55"/>
  <c r="AP216" i="55"/>
  <c r="AP217" i="55"/>
  <c r="AP218" i="55"/>
  <c r="AP219" i="55"/>
  <c r="AP220" i="55"/>
  <c r="AP221" i="55"/>
  <c r="AP222" i="55"/>
  <c r="AP223" i="55"/>
  <c r="AP224" i="55"/>
  <c r="AP225" i="55"/>
  <c r="AP226" i="55"/>
  <c r="AP227" i="55"/>
  <c r="AP228" i="55"/>
  <c r="AP229" i="55"/>
  <c r="AP230" i="55"/>
  <c r="AP231" i="55"/>
  <c r="AP232" i="55"/>
  <c r="AP233" i="55"/>
  <c r="AP234" i="55"/>
  <c r="AP235" i="55"/>
  <c r="AP236" i="55"/>
  <c r="AP237" i="55"/>
  <c r="AP238" i="55"/>
  <c r="AP239" i="55"/>
  <c r="AP240" i="55"/>
  <c r="AP241" i="55"/>
  <c r="AP242" i="55"/>
  <c r="AP243" i="55"/>
  <c r="AP244" i="55"/>
  <c r="AP245" i="55"/>
  <c r="AP246" i="55"/>
  <c r="AP247" i="55"/>
  <c r="AP248" i="55"/>
  <c r="AP249" i="55"/>
  <c r="AP250" i="55"/>
  <c r="AP251" i="55"/>
  <c r="AP252" i="55"/>
  <c r="AP253" i="55"/>
  <c r="AP254" i="55"/>
  <c r="AP255" i="55"/>
  <c r="AP256" i="55"/>
  <c r="AP257" i="55"/>
  <c r="AP258" i="55"/>
  <c r="AP259" i="55"/>
  <c r="AP260" i="55"/>
  <c r="AP261" i="55"/>
  <c r="AP262" i="55"/>
  <c r="AP263" i="55"/>
  <c r="AP264" i="55"/>
  <c r="AP265" i="55"/>
  <c r="AP266" i="55"/>
  <c r="AP267" i="55"/>
  <c r="AP268" i="55"/>
  <c r="AP269" i="55"/>
  <c r="AP270" i="55"/>
  <c r="AP271" i="55"/>
  <c r="AP272" i="55"/>
  <c r="AP273" i="55"/>
  <c r="AP274" i="55"/>
  <c r="AP275" i="55"/>
  <c r="AP276" i="55"/>
  <c r="AP277" i="55"/>
  <c r="AP278" i="55"/>
  <c r="AP279" i="55"/>
  <c r="AP280" i="55"/>
  <c r="AP281" i="55"/>
  <c r="AP282" i="55"/>
  <c r="AP283" i="55"/>
  <c r="AP284" i="55"/>
  <c r="AP285" i="55"/>
  <c r="AP286" i="55"/>
  <c r="AP287" i="55"/>
  <c r="AP288" i="55"/>
  <c r="AP289" i="55"/>
  <c r="AP290" i="55"/>
  <c r="AP291" i="55"/>
  <c r="AP292" i="55"/>
  <c r="AP293" i="55"/>
  <c r="AP294" i="55"/>
  <c r="AP295" i="55"/>
  <c r="AP296" i="55"/>
  <c r="AP297" i="55"/>
  <c r="AP298" i="55"/>
  <c r="AP299" i="55"/>
  <c r="AP300" i="55"/>
  <c r="AP301" i="55"/>
  <c r="AP302" i="55"/>
  <c r="AP303" i="55"/>
  <c r="AP304" i="55"/>
  <c r="AP305" i="55"/>
  <c r="AP306" i="55"/>
  <c r="AP307" i="55"/>
  <c r="AP308" i="55"/>
  <c r="AP309" i="55"/>
  <c r="AP310" i="55"/>
  <c r="AP311" i="55"/>
  <c r="AP312" i="55"/>
  <c r="AP313" i="55"/>
  <c r="AP314" i="55"/>
  <c r="AP315" i="55"/>
  <c r="AP316" i="55"/>
  <c r="AP317" i="55"/>
  <c r="AP318" i="55"/>
  <c r="AP319" i="55"/>
  <c r="AP320" i="55"/>
  <c r="AP321" i="55"/>
  <c r="AP322" i="55"/>
  <c r="AP323" i="55"/>
  <c r="AP324" i="55"/>
  <c r="AP325" i="55"/>
  <c r="AP326" i="55"/>
  <c r="AP327" i="55"/>
  <c r="AP328" i="55"/>
  <c r="AP329" i="55"/>
  <c r="AP330" i="55"/>
  <c r="AP331" i="55"/>
  <c r="AP332" i="55"/>
  <c r="AP333" i="55"/>
  <c r="AP334" i="55"/>
  <c r="AP335" i="55"/>
  <c r="AP336" i="55"/>
  <c r="AP337" i="55"/>
  <c r="AP338" i="55"/>
  <c r="AP339" i="55"/>
  <c r="AP340" i="55"/>
  <c r="AP341" i="55"/>
  <c r="AP342" i="55"/>
  <c r="AP343" i="55"/>
  <c r="AP344" i="55"/>
  <c r="AP345" i="55"/>
  <c r="AP346" i="55"/>
  <c r="AP347" i="55"/>
  <c r="AP348" i="55"/>
  <c r="AP349" i="55"/>
  <c r="AP350" i="55"/>
  <c r="AP351" i="55"/>
  <c r="AP352" i="55"/>
  <c r="AP353" i="55"/>
  <c r="AP354" i="55"/>
  <c r="AP355" i="55"/>
  <c r="AP356" i="55"/>
  <c r="AP357" i="55"/>
  <c r="AP358" i="55"/>
  <c r="AP359" i="55"/>
  <c r="AP360" i="55"/>
  <c r="AP361" i="55"/>
  <c r="AP362" i="55"/>
  <c r="AP363" i="55"/>
  <c r="AP364" i="55"/>
  <c r="AP365" i="55"/>
  <c r="AP366" i="55"/>
  <c r="AP367" i="55"/>
  <c r="AP368" i="55"/>
  <c r="AP369" i="55"/>
  <c r="AP370" i="55"/>
  <c r="AP371" i="55"/>
  <c r="AP372" i="55"/>
  <c r="AP373" i="55"/>
  <c r="AP374" i="55"/>
  <c r="AP375" i="55"/>
  <c r="AP376" i="55"/>
  <c r="AP377" i="55"/>
  <c r="AP378" i="55"/>
  <c r="AP379" i="55"/>
  <c r="AP380" i="55"/>
  <c r="AP381" i="55"/>
  <c r="AP382" i="55"/>
  <c r="AP383" i="55"/>
  <c r="AP384" i="55"/>
  <c r="AP385" i="55"/>
  <c r="AP386" i="55"/>
  <c r="AP387" i="55"/>
  <c r="AP388" i="55"/>
  <c r="AP389" i="55"/>
  <c r="AP390" i="55"/>
  <c r="AP391" i="55"/>
  <c r="AP392" i="55"/>
  <c r="AP393" i="55"/>
  <c r="AP394" i="55"/>
  <c r="AP395" i="55"/>
  <c r="AP396" i="55"/>
  <c r="AP397" i="55"/>
  <c r="AP398" i="55"/>
  <c r="AP399" i="55"/>
  <c r="AP400" i="55"/>
  <c r="AP401" i="55"/>
  <c r="AP402" i="55"/>
  <c r="AP403" i="55"/>
  <c r="AP404" i="55"/>
  <c r="AP405" i="55"/>
  <c r="AP406" i="55"/>
  <c r="AP407" i="55"/>
  <c r="AP408" i="55"/>
  <c r="AP409" i="55"/>
  <c r="AP410" i="55"/>
  <c r="AP411" i="55"/>
  <c r="AP412" i="55"/>
  <c r="AP413" i="55"/>
  <c r="AP414" i="55"/>
  <c r="AP415" i="55"/>
  <c r="AP416" i="55"/>
  <c r="AP417" i="55"/>
  <c r="AP418" i="55"/>
  <c r="AP419" i="55"/>
  <c r="AP420" i="55"/>
  <c r="AP421" i="55"/>
  <c r="AP422" i="55"/>
  <c r="AP423" i="55"/>
  <c r="AP424" i="55"/>
  <c r="AP425" i="55"/>
  <c r="AP426" i="55"/>
  <c r="AP427" i="55"/>
  <c r="AP428" i="55"/>
  <c r="AP429" i="55"/>
  <c r="AP430" i="55"/>
  <c r="AP431" i="55"/>
  <c r="AP432" i="55"/>
  <c r="AP433" i="55"/>
  <c r="AP434" i="55"/>
  <c r="AP435" i="55"/>
  <c r="AP436" i="55"/>
  <c r="AP437" i="55"/>
  <c r="AP438" i="55"/>
  <c r="AP439" i="55"/>
  <c r="AP440" i="55"/>
  <c r="AP441" i="55"/>
  <c r="AP442" i="55"/>
  <c r="AP443" i="55"/>
  <c r="AP444" i="55"/>
  <c r="AP445" i="55"/>
  <c r="AP446" i="55"/>
  <c r="AP447" i="55"/>
  <c r="AP448" i="55"/>
  <c r="AP449" i="55"/>
  <c r="AP450" i="55"/>
  <c r="AP451" i="55"/>
  <c r="AP452" i="55"/>
  <c r="AP453" i="55"/>
  <c r="AP454" i="55"/>
  <c r="AP455" i="55"/>
  <c r="AP456" i="55"/>
  <c r="AP457" i="55"/>
  <c r="AP458" i="55"/>
  <c r="AP459" i="55"/>
  <c r="AP460" i="55"/>
  <c r="AP461" i="55"/>
  <c r="AP462" i="55"/>
  <c r="AP463" i="55"/>
  <c r="AP464" i="55"/>
  <c r="AP465" i="55"/>
  <c r="AP466" i="55"/>
  <c r="AP467" i="55"/>
  <c r="AP468" i="55"/>
  <c r="AP469" i="55"/>
  <c r="AP470" i="55"/>
  <c r="AP471" i="55"/>
  <c r="AP472" i="55"/>
  <c r="AP473" i="55"/>
  <c r="AP474" i="55"/>
  <c r="AP475" i="55"/>
  <c r="AP476" i="55"/>
  <c r="AP477" i="55"/>
  <c r="AP478" i="55"/>
  <c r="AP479" i="55"/>
  <c r="AP480" i="55"/>
  <c r="AP481" i="55"/>
  <c r="AP482" i="55"/>
  <c r="AP483" i="55"/>
  <c r="AP484" i="55"/>
  <c r="AP485" i="55"/>
  <c r="AP486" i="55"/>
  <c r="AP487" i="55"/>
  <c r="AP488" i="55"/>
  <c r="AP489" i="55"/>
  <c r="AP490" i="55"/>
  <c r="AP491" i="55"/>
  <c r="AP492" i="55"/>
  <c r="AP493" i="55"/>
  <c r="AP494" i="55"/>
  <c r="AP495" i="55"/>
  <c r="AP496" i="55"/>
  <c r="AP497" i="55"/>
  <c r="AP498" i="55"/>
  <c r="AP499" i="55"/>
  <c r="AP500" i="55"/>
  <c r="AP501" i="55"/>
  <c r="AP502" i="55"/>
  <c r="AP503" i="55"/>
  <c r="AP504" i="55"/>
  <c r="AP505" i="55"/>
  <c r="AP506" i="55"/>
  <c r="AP507" i="55"/>
  <c r="AP508" i="55"/>
  <c r="AP509" i="55"/>
  <c r="AP510" i="55"/>
  <c r="AP511" i="55"/>
  <c r="AP512" i="55"/>
  <c r="AP513" i="55"/>
  <c r="AP514" i="55"/>
  <c r="AP515" i="55"/>
  <c r="AP516" i="55"/>
  <c r="AP517" i="55"/>
  <c r="AP518" i="55"/>
  <c r="AP519" i="55"/>
  <c r="AP520" i="55"/>
  <c r="AP521" i="55"/>
  <c r="AP522" i="55"/>
  <c r="AP523" i="55"/>
  <c r="AP524" i="55"/>
  <c r="AP525" i="55"/>
  <c r="AP526" i="55"/>
  <c r="AP527" i="55"/>
  <c r="AP528" i="55"/>
  <c r="AP529" i="55"/>
  <c r="AP530" i="55"/>
  <c r="AP531" i="55"/>
  <c r="AP532" i="55"/>
  <c r="AP533" i="55"/>
  <c r="AP534" i="55"/>
  <c r="AP535" i="55"/>
  <c r="AP536" i="55"/>
  <c r="AP537" i="55"/>
  <c r="AP538" i="55"/>
  <c r="AP539" i="55"/>
  <c r="AP540" i="55"/>
  <c r="AP541" i="55"/>
  <c r="AP542" i="55"/>
  <c r="AP543" i="55"/>
  <c r="AP544" i="55"/>
  <c r="AP545" i="55"/>
  <c r="AP546" i="55"/>
  <c r="AP547" i="55"/>
  <c r="AP548" i="55"/>
  <c r="AP549" i="55"/>
  <c r="AP550" i="55"/>
  <c r="AP551" i="55"/>
  <c r="AP552" i="55"/>
  <c r="AP553" i="55"/>
  <c r="AP554" i="55"/>
  <c r="AP555" i="55"/>
  <c r="AP556" i="55"/>
  <c r="AP557" i="55"/>
  <c r="AP558" i="55"/>
  <c r="AP559" i="55"/>
  <c r="AP560" i="55"/>
  <c r="AP561" i="55"/>
  <c r="AP562" i="55"/>
  <c r="AP563" i="55"/>
  <c r="AP564" i="55"/>
  <c r="AP565" i="55"/>
  <c r="AP566" i="55"/>
  <c r="AP567" i="55"/>
  <c r="AP568" i="55"/>
  <c r="AP569" i="55"/>
  <c r="AP570" i="55"/>
  <c r="AP571" i="55"/>
  <c r="AP572" i="55"/>
  <c r="AP573" i="55"/>
  <c r="AP574" i="55"/>
  <c r="AP575" i="55"/>
  <c r="AP576" i="55"/>
  <c r="AP577" i="55"/>
  <c r="AP578" i="55"/>
  <c r="AP579" i="55"/>
  <c r="AP580" i="55"/>
  <c r="AP581" i="55"/>
  <c r="AP582" i="55"/>
  <c r="AP583" i="55"/>
  <c r="AP584" i="55"/>
  <c r="AP585" i="55"/>
  <c r="AP586" i="55"/>
  <c r="AP587" i="55"/>
  <c r="AP588" i="55"/>
  <c r="AP589" i="55"/>
  <c r="AP590" i="55"/>
  <c r="AP591" i="55"/>
  <c r="AP592" i="55"/>
  <c r="AP593" i="55"/>
  <c r="AP594" i="55"/>
  <c r="AP595" i="55"/>
  <c r="AP596" i="55"/>
  <c r="AP597" i="55"/>
  <c r="AP598" i="55"/>
  <c r="AP599" i="55"/>
  <c r="AP600" i="55"/>
  <c r="AP601" i="55"/>
  <c r="AP602" i="55"/>
  <c r="AP603" i="55"/>
  <c r="AP604" i="55"/>
  <c r="AP605" i="55"/>
  <c r="AP606" i="55"/>
  <c r="AP607" i="55"/>
  <c r="AP608" i="55"/>
  <c r="AP609" i="55"/>
  <c r="AP610" i="55"/>
  <c r="AP611" i="55"/>
  <c r="AP612" i="55"/>
  <c r="AP613" i="55"/>
  <c r="AP614" i="55"/>
  <c r="AP615" i="55"/>
  <c r="AP616" i="55"/>
  <c r="AP617" i="55"/>
  <c r="AP618" i="55"/>
  <c r="AP619" i="55"/>
  <c r="AP620" i="55"/>
  <c r="AP621" i="55"/>
  <c r="AP622" i="55"/>
  <c r="AP623" i="55"/>
  <c r="AP624" i="55"/>
  <c r="AP625" i="55"/>
  <c r="AP626" i="55"/>
  <c r="AP627" i="55"/>
  <c r="AP628" i="55"/>
  <c r="AP629" i="55"/>
  <c r="AP630" i="55"/>
  <c r="AP631" i="55"/>
  <c r="AP632" i="55"/>
  <c r="AP633" i="55"/>
  <c r="AP634" i="55"/>
  <c r="AP635" i="55"/>
  <c r="AP636" i="55"/>
  <c r="AP637" i="55"/>
  <c r="AP638" i="55"/>
  <c r="AP639" i="55"/>
  <c r="AP640" i="55"/>
  <c r="AP641" i="55"/>
  <c r="AP642" i="55"/>
  <c r="AP643" i="55"/>
  <c r="AP644" i="55"/>
  <c r="AP645" i="55"/>
  <c r="AP646" i="55"/>
  <c r="AP647" i="55"/>
  <c r="AP648" i="55"/>
  <c r="AP649" i="55"/>
  <c r="AP650" i="55"/>
  <c r="AP651" i="55"/>
  <c r="AP652" i="55"/>
  <c r="AP653" i="55"/>
  <c r="AP654" i="55"/>
  <c r="AP655" i="55"/>
  <c r="AP656" i="55"/>
  <c r="AP657" i="55"/>
  <c r="AP658" i="55"/>
  <c r="AP659" i="55"/>
  <c r="AP660" i="55"/>
  <c r="AP661" i="55"/>
  <c r="AP662" i="55"/>
  <c r="AP663" i="55"/>
  <c r="AP664" i="55"/>
  <c r="AP665" i="55"/>
  <c r="AP666" i="55"/>
  <c r="AP667" i="55"/>
  <c r="AP668" i="55"/>
  <c r="AP669" i="55"/>
  <c r="AP670" i="55"/>
  <c r="AP671" i="55"/>
  <c r="AP672" i="55"/>
  <c r="AP673" i="55"/>
  <c r="AP674" i="55"/>
  <c r="AP675" i="55"/>
  <c r="AP676" i="55"/>
  <c r="AP677" i="55"/>
  <c r="AP678" i="55"/>
  <c r="AP679" i="55"/>
  <c r="AP680" i="55"/>
  <c r="AP681" i="55"/>
  <c r="AP682" i="55"/>
  <c r="AP683" i="55"/>
  <c r="AP684" i="55"/>
  <c r="AP685" i="55"/>
  <c r="AP686" i="55"/>
  <c r="AP687" i="55"/>
  <c r="AP688" i="55"/>
  <c r="AP689" i="55"/>
  <c r="AP690" i="55"/>
  <c r="AP691" i="55"/>
  <c r="AP692" i="55"/>
  <c r="AP693" i="55"/>
  <c r="AP694" i="55"/>
  <c r="AP695" i="55"/>
  <c r="AP696" i="55"/>
  <c r="AP697" i="55"/>
  <c r="AP698" i="55"/>
  <c r="AP699" i="55"/>
  <c r="AP700" i="55"/>
  <c r="AP701" i="55"/>
  <c r="AP702" i="55"/>
  <c r="AP703" i="55"/>
  <c r="AP704" i="55"/>
  <c r="AP705" i="55"/>
  <c r="AP706" i="55"/>
  <c r="AP707" i="55"/>
  <c r="AP708" i="55"/>
  <c r="AP709" i="55"/>
  <c r="AP710" i="55"/>
  <c r="AP711" i="55"/>
  <c r="AP712" i="55"/>
  <c r="AP713" i="55"/>
  <c r="AP714" i="55"/>
  <c r="AP715" i="55"/>
  <c r="AP716" i="55"/>
  <c r="AP717" i="55"/>
  <c r="AP718" i="55"/>
  <c r="AP719" i="55"/>
  <c r="AP720" i="55"/>
  <c r="AP721" i="55"/>
  <c r="AP722" i="55"/>
  <c r="AP723" i="55"/>
  <c r="AP724" i="55"/>
  <c r="AP725" i="55"/>
  <c r="AP726" i="55"/>
  <c r="AP727" i="55"/>
  <c r="AP728" i="55"/>
  <c r="AP729" i="55"/>
  <c r="AP730" i="55"/>
  <c r="AP731" i="55"/>
  <c r="AP732" i="55"/>
  <c r="AP733" i="55"/>
  <c r="AP734" i="55"/>
  <c r="AP735" i="55"/>
  <c r="AP736" i="55"/>
  <c r="AP737" i="55"/>
  <c r="AP738" i="55"/>
  <c r="AP739" i="55"/>
  <c r="AP740" i="55"/>
  <c r="AP741" i="55"/>
  <c r="AP742" i="55"/>
  <c r="AP743" i="55"/>
  <c r="AP744" i="55"/>
  <c r="AP745" i="55"/>
  <c r="AP746" i="55"/>
  <c r="AP747" i="55"/>
  <c r="AP748" i="55"/>
  <c r="AP749" i="55"/>
  <c r="AP750" i="55"/>
  <c r="AP751" i="55"/>
  <c r="AP752" i="55"/>
  <c r="AP753" i="55"/>
  <c r="AP754" i="55"/>
  <c r="AP755" i="55"/>
  <c r="AP756" i="55"/>
  <c r="AP757" i="55"/>
  <c r="AP758" i="55"/>
  <c r="AP759" i="55"/>
  <c r="AP760" i="55"/>
  <c r="AP761" i="55"/>
  <c r="AP762" i="55"/>
  <c r="AP763" i="55"/>
  <c r="AP764" i="55"/>
  <c r="AP765" i="55"/>
  <c r="AP766" i="55"/>
  <c r="AP767" i="55"/>
  <c r="AP768" i="55"/>
  <c r="AP769" i="55"/>
  <c r="AP770" i="55"/>
  <c r="AP771" i="55"/>
  <c r="AP772" i="55"/>
  <c r="AP773" i="55"/>
  <c r="AP774" i="55"/>
  <c r="AP775" i="55"/>
  <c r="AP776" i="55"/>
  <c r="AP777" i="55"/>
  <c r="AP778" i="55"/>
  <c r="AP779" i="55"/>
  <c r="AP780" i="55"/>
  <c r="AP781" i="55"/>
  <c r="AP782" i="55"/>
  <c r="AP783" i="55"/>
  <c r="AP784" i="55"/>
  <c r="AP785" i="55"/>
  <c r="AP786" i="55"/>
  <c r="AP787" i="55"/>
  <c r="AP788" i="55"/>
  <c r="AP789" i="55"/>
  <c r="AP790" i="55"/>
  <c r="AP791" i="55"/>
  <c r="AP792" i="55"/>
  <c r="AP793" i="55"/>
  <c r="AP794" i="55"/>
  <c r="AP795" i="55"/>
  <c r="AP796" i="55"/>
  <c r="AP797" i="55"/>
  <c r="AP798" i="55"/>
  <c r="AP799" i="55"/>
  <c r="AP800" i="55"/>
  <c r="AP801" i="55"/>
  <c r="AP802" i="55"/>
  <c r="AP803" i="55"/>
  <c r="AP804" i="55"/>
  <c r="AP805" i="55"/>
  <c r="AP806" i="55"/>
  <c r="AP807" i="55"/>
  <c r="AP808" i="55"/>
  <c r="AP809" i="55"/>
  <c r="AP810" i="55"/>
  <c r="AP811" i="55"/>
  <c r="AP812" i="55"/>
  <c r="AP813" i="55"/>
  <c r="AP814" i="55"/>
  <c r="AP815" i="55"/>
  <c r="AP816" i="55"/>
  <c r="AP817" i="55"/>
  <c r="AP818" i="55"/>
  <c r="AP819" i="55"/>
  <c r="AP820" i="55"/>
  <c r="AP821" i="55"/>
  <c r="AP822" i="55"/>
  <c r="AP823" i="55"/>
  <c r="AP824" i="55"/>
  <c r="AP825" i="55"/>
  <c r="AP826" i="55"/>
  <c r="AP827" i="55"/>
  <c r="AP828" i="55"/>
  <c r="AP829" i="55"/>
  <c r="AP830" i="55"/>
  <c r="AP831" i="55"/>
  <c r="AP832" i="55"/>
  <c r="AP833" i="55"/>
  <c r="AP834" i="55"/>
  <c r="AP835" i="55"/>
  <c r="AP836" i="55"/>
  <c r="AP837" i="55"/>
  <c r="AP838" i="55"/>
  <c r="AP839" i="55"/>
  <c r="AP840" i="55"/>
  <c r="AP841" i="55"/>
  <c r="AP842" i="55"/>
  <c r="AP843" i="55"/>
  <c r="AP844" i="55"/>
  <c r="AP845" i="55"/>
  <c r="AP846" i="55"/>
  <c r="AP847" i="55"/>
  <c r="AP848" i="55"/>
  <c r="AP849" i="55"/>
  <c r="AP850" i="55"/>
  <c r="AP851" i="55"/>
  <c r="AP852" i="55"/>
  <c r="AP853" i="55"/>
  <c r="AP854" i="55"/>
  <c r="AP855" i="55"/>
  <c r="AP856" i="55"/>
  <c r="AP857" i="55"/>
  <c r="AP858" i="55"/>
  <c r="AP859" i="55"/>
  <c r="AP860" i="55"/>
  <c r="AP861" i="55"/>
  <c r="AP862" i="55"/>
  <c r="AP863" i="55"/>
  <c r="AP864" i="55"/>
  <c r="AP865" i="55"/>
  <c r="AP866" i="55"/>
  <c r="AP867" i="55"/>
  <c r="AP868" i="55"/>
  <c r="AP869" i="55"/>
  <c r="AP870" i="55"/>
  <c r="AP871" i="55"/>
  <c r="AP872" i="55"/>
  <c r="AP873" i="55"/>
  <c r="AP874" i="55"/>
  <c r="AP875" i="55"/>
  <c r="AP876" i="55"/>
  <c r="AP877" i="55"/>
  <c r="AP878" i="55"/>
  <c r="AP879" i="55"/>
  <c r="AP880" i="55"/>
  <c r="AP881" i="55"/>
  <c r="AP882" i="55"/>
  <c r="AP883" i="55"/>
  <c r="AP884" i="55"/>
  <c r="AP885" i="55"/>
  <c r="AP886" i="55"/>
  <c r="AP887" i="55"/>
  <c r="AP888" i="55"/>
  <c r="AP889" i="55"/>
  <c r="AP890" i="55"/>
  <c r="AP891" i="55"/>
  <c r="AP892" i="55"/>
  <c r="AP893" i="55"/>
  <c r="AP894" i="55"/>
  <c r="AP895" i="55"/>
  <c r="AP896" i="55"/>
  <c r="AP897" i="55"/>
  <c r="AP898" i="55"/>
  <c r="AP899" i="55"/>
  <c r="AP900" i="55"/>
  <c r="AP901" i="55"/>
  <c r="AP902" i="55"/>
  <c r="AP903" i="55"/>
  <c r="AP904" i="55"/>
  <c r="AP905" i="55"/>
  <c r="AP906" i="55"/>
  <c r="AP907" i="55"/>
  <c r="AP908" i="55"/>
  <c r="AP909" i="55"/>
  <c r="AP910" i="55"/>
  <c r="AP911" i="55"/>
  <c r="AP912" i="55"/>
  <c r="AP913" i="55"/>
  <c r="AP914" i="55"/>
  <c r="AP915" i="55"/>
  <c r="AP916" i="55"/>
  <c r="AP917" i="55"/>
  <c r="AP918" i="55"/>
  <c r="AP919" i="55"/>
  <c r="AP920" i="55"/>
  <c r="AP921" i="55"/>
  <c r="AP922" i="55"/>
  <c r="AP923" i="55"/>
  <c r="AP924" i="55"/>
  <c r="AP925" i="55"/>
  <c r="AP926" i="55"/>
  <c r="AP927" i="55"/>
  <c r="AP928" i="55"/>
  <c r="AP929" i="55"/>
  <c r="AP930" i="55"/>
  <c r="AP931" i="55"/>
  <c r="AP932" i="55"/>
  <c r="AP933" i="55"/>
  <c r="AP934" i="55"/>
  <c r="AP935" i="55"/>
  <c r="AP936" i="55"/>
  <c r="AP937" i="55"/>
  <c r="AP938" i="55"/>
  <c r="AP939" i="55"/>
  <c r="AP940" i="55"/>
  <c r="AP941" i="55"/>
  <c r="AP942" i="55"/>
  <c r="AP943" i="55"/>
  <c r="AP944" i="55"/>
  <c r="AP945" i="55"/>
  <c r="AP946" i="55"/>
  <c r="AP947" i="55"/>
  <c r="AP948" i="55"/>
  <c r="AP949" i="55"/>
  <c r="AP950" i="55"/>
  <c r="AP951" i="55"/>
  <c r="AP952" i="55"/>
  <c r="AP953" i="55"/>
  <c r="AP954" i="55"/>
  <c r="AP955" i="55"/>
  <c r="AP956" i="55"/>
  <c r="AP957" i="55"/>
  <c r="AP958" i="55"/>
  <c r="AP959" i="55"/>
  <c r="AP960" i="55"/>
  <c r="AP961" i="55"/>
  <c r="AP962" i="55"/>
  <c r="AP963" i="55"/>
  <c r="AP964" i="55"/>
  <c r="AP965" i="55"/>
  <c r="AP966" i="55"/>
  <c r="AP967" i="55"/>
  <c r="AP968" i="55"/>
  <c r="AP969" i="55"/>
  <c r="AP970" i="55"/>
  <c r="AP971" i="55"/>
  <c r="AP972" i="55"/>
  <c r="AP973" i="55"/>
  <c r="AP974" i="55"/>
  <c r="AP975" i="55"/>
  <c r="AP976" i="55"/>
  <c r="AP977" i="55"/>
  <c r="AP978" i="55"/>
  <c r="AP979" i="55"/>
  <c r="AP980" i="55"/>
  <c r="AP981" i="55"/>
  <c r="AP982" i="55"/>
  <c r="AP983" i="55"/>
  <c r="AP984" i="55"/>
  <c r="AP985" i="55"/>
  <c r="AP986" i="55"/>
  <c r="AP987" i="55"/>
  <c r="AP988" i="55"/>
  <c r="AP989" i="55"/>
  <c r="AP990" i="55"/>
  <c r="AP991" i="55"/>
  <c r="AP992" i="55"/>
  <c r="AP993" i="55"/>
  <c r="AP994" i="55"/>
  <c r="AP995" i="55"/>
  <c r="AP996" i="55"/>
  <c r="AP997" i="55"/>
  <c r="AP998" i="55"/>
  <c r="AP999" i="55"/>
  <c r="AP1000" i="55"/>
  <c r="AP1001" i="55"/>
  <c r="AP1002" i="55"/>
  <c r="AP1003" i="55"/>
  <c r="AP1004" i="55"/>
  <c r="AP1005" i="55"/>
  <c r="AP1006" i="55"/>
  <c r="AP1007" i="55"/>
  <c r="AP1008" i="55"/>
  <c r="AP1009" i="55"/>
  <c r="AP1010" i="55"/>
  <c r="AP1011" i="55"/>
  <c r="AP1012" i="55"/>
  <c r="AP1013" i="55"/>
  <c r="AP1014" i="55"/>
  <c r="AP1015" i="55"/>
  <c r="AP1016" i="55"/>
  <c r="AP1017" i="55"/>
  <c r="AP1018" i="55"/>
  <c r="AP1019" i="55"/>
  <c r="AP1020" i="55"/>
  <c r="AP1021" i="55"/>
  <c r="AP1022" i="55"/>
  <c r="AP1023" i="55"/>
  <c r="AP1024" i="55"/>
  <c r="AP1025" i="55"/>
  <c r="AP1026" i="55"/>
  <c r="AP1027" i="55"/>
  <c r="AP1028" i="55"/>
  <c r="AP1029" i="55"/>
  <c r="AP1030" i="55"/>
  <c r="AP1031" i="55"/>
  <c r="AP1032" i="55"/>
  <c r="AP1033" i="55"/>
  <c r="AP1034" i="55"/>
  <c r="AP1035" i="55"/>
  <c r="AP1036" i="55"/>
  <c r="AP1037" i="55"/>
  <c r="AP1038" i="55"/>
  <c r="AP1039" i="55"/>
  <c r="AP1040" i="55"/>
  <c r="AP1041" i="55"/>
  <c r="AP1042" i="55"/>
  <c r="AP1043" i="55"/>
  <c r="AP1044" i="55"/>
  <c r="AP1045" i="55"/>
  <c r="AP1046" i="55"/>
  <c r="AP1047" i="55"/>
  <c r="AP1048" i="55"/>
  <c r="AP1049" i="55"/>
  <c r="AP1050" i="55"/>
  <c r="AP1051" i="55"/>
  <c r="AP1052" i="55"/>
  <c r="AP1053" i="55"/>
  <c r="AP1054" i="55"/>
  <c r="AP1055" i="55"/>
  <c r="AP1056" i="55"/>
  <c r="AP1057" i="55"/>
  <c r="AP1058" i="55"/>
  <c r="AP1059" i="55"/>
  <c r="AP1060" i="55"/>
  <c r="AP1061" i="55"/>
  <c r="AP1062" i="55"/>
  <c r="AP1063" i="55"/>
  <c r="AP1064" i="55"/>
  <c r="AP1065" i="55"/>
  <c r="AP1066" i="55"/>
  <c r="AP1067" i="55"/>
  <c r="AP1068" i="55"/>
  <c r="AP1069" i="55"/>
  <c r="AP1070" i="55"/>
  <c r="AP1071" i="55"/>
  <c r="AP1072" i="55"/>
  <c r="AP1073" i="55"/>
  <c r="AP1074" i="55"/>
  <c r="AP1075" i="55"/>
  <c r="AP1076" i="55"/>
  <c r="AP1077" i="55"/>
  <c r="AP1078" i="55"/>
  <c r="AP1079" i="55"/>
  <c r="AP1080" i="55"/>
  <c r="AP1081" i="55"/>
  <c r="AP1082" i="55"/>
  <c r="AP1083" i="55"/>
  <c r="AP1084" i="55"/>
  <c r="AP1085" i="55"/>
  <c r="AP1086" i="55"/>
  <c r="AP1087" i="55"/>
  <c r="AP1088" i="55"/>
  <c r="AP1089" i="55"/>
  <c r="AP1090" i="55"/>
  <c r="AP1091" i="55"/>
  <c r="AP1092" i="55"/>
  <c r="AP1093" i="55"/>
  <c r="AP1094" i="55"/>
  <c r="AP1095" i="55"/>
  <c r="AP1096" i="55"/>
  <c r="AP1097" i="55"/>
  <c r="AP1098" i="55"/>
  <c r="AP1099" i="55"/>
  <c r="AP1100" i="55"/>
  <c r="AP1101" i="55"/>
  <c r="AP1102" i="55"/>
  <c r="AP1103" i="55"/>
  <c r="AP1104" i="55"/>
  <c r="AP1105" i="55"/>
  <c r="AP1106" i="55"/>
  <c r="AP1107" i="55"/>
  <c r="AP1108" i="55"/>
  <c r="AP1109" i="55"/>
  <c r="AP1110" i="55"/>
  <c r="AP1111" i="55"/>
  <c r="AP1112" i="55"/>
  <c r="AP1113" i="55"/>
  <c r="AP1114" i="55"/>
  <c r="AP1115" i="55"/>
  <c r="AP1116" i="55"/>
  <c r="AP1117" i="55"/>
  <c r="AP1118" i="55"/>
  <c r="AP1119" i="55"/>
  <c r="AP1120" i="55"/>
  <c r="AP1121" i="55"/>
  <c r="AP1122" i="55"/>
  <c r="AP1123" i="55"/>
  <c r="AP1124" i="55"/>
  <c r="AP1125" i="55"/>
  <c r="AP1126" i="55"/>
  <c r="AP1127" i="55"/>
  <c r="AP1128" i="55"/>
  <c r="AP1129" i="55"/>
  <c r="AP1130" i="55"/>
  <c r="AP1131" i="55"/>
  <c r="AP1132" i="55"/>
  <c r="AP1133" i="55"/>
  <c r="AP1134" i="55"/>
  <c r="AP1135" i="55"/>
  <c r="AP1136" i="55"/>
  <c r="AP1137" i="55"/>
  <c r="AP1138" i="55"/>
  <c r="AP1139" i="55"/>
  <c r="AP1140" i="55"/>
  <c r="AP1141" i="55"/>
  <c r="AP1142" i="55"/>
  <c r="AP1143" i="55"/>
  <c r="AP1144" i="55"/>
  <c r="AP1145" i="55"/>
  <c r="AP1146" i="55"/>
  <c r="AP1147" i="55"/>
  <c r="AP1148" i="55"/>
  <c r="AP1149" i="55"/>
  <c r="AP1150" i="55"/>
  <c r="AP1151" i="55"/>
  <c r="AP1152" i="55"/>
  <c r="AP1153" i="55"/>
  <c r="AP1154" i="55"/>
  <c r="AP1155" i="55"/>
  <c r="AP1156" i="55"/>
  <c r="AP1157" i="55"/>
  <c r="AP1158" i="55"/>
  <c r="AP1159" i="55"/>
  <c r="AP1160" i="55"/>
  <c r="AP1161" i="55"/>
  <c r="AP1162" i="55"/>
  <c r="AP1163" i="55"/>
  <c r="AP1164" i="55"/>
  <c r="AP1165" i="55"/>
  <c r="AP1166" i="55"/>
  <c r="AP1167" i="55"/>
  <c r="AP1168" i="55"/>
  <c r="AP1169" i="55"/>
  <c r="AP1170" i="55"/>
  <c r="AP1171" i="55"/>
  <c r="AP1172" i="55"/>
  <c r="AP1173" i="55"/>
  <c r="AP1174" i="55"/>
  <c r="AP1175" i="55"/>
  <c r="AP1176" i="55"/>
  <c r="AP1177" i="55"/>
  <c r="AP1178" i="55"/>
  <c r="AP1179" i="55"/>
  <c r="AP1180" i="55"/>
  <c r="AP1181" i="55"/>
  <c r="AP1182" i="55"/>
  <c r="AP1183" i="55"/>
  <c r="AP1184" i="55"/>
  <c r="AP1185" i="55"/>
  <c r="AP1186" i="55"/>
  <c r="AP1187" i="55"/>
  <c r="AP1188" i="55"/>
  <c r="AP1189" i="55"/>
  <c r="AP1190" i="55"/>
  <c r="AP1191" i="55"/>
  <c r="AP1192" i="55"/>
  <c r="AP1193" i="55"/>
  <c r="AP1194" i="55"/>
  <c r="AP1195" i="55"/>
  <c r="AP1196" i="55"/>
  <c r="AP1197" i="55"/>
  <c r="AP1198" i="55"/>
  <c r="AP1199" i="55"/>
  <c r="AP1200" i="55"/>
  <c r="AP1201" i="55"/>
  <c r="AP1202" i="55"/>
  <c r="AP1203" i="55"/>
  <c r="AP1204" i="55"/>
  <c r="AP1205" i="55"/>
  <c r="AP1206" i="55"/>
  <c r="AP1207" i="55"/>
  <c r="AP1208" i="55"/>
  <c r="AP1209" i="55"/>
  <c r="AP1210" i="55"/>
  <c r="AP1211" i="55"/>
  <c r="AP1212" i="55"/>
  <c r="AP1213" i="55"/>
  <c r="AP1214" i="55"/>
  <c r="AP1215" i="55"/>
  <c r="AP1216" i="55"/>
  <c r="AP1217" i="55"/>
  <c r="AP1218" i="55"/>
  <c r="AP1219" i="55"/>
  <c r="AP1220" i="55"/>
  <c r="AP1221" i="55"/>
  <c r="AP1222" i="55"/>
  <c r="AP1223" i="55"/>
  <c r="AP1224" i="55"/>
  <c r="AP1225" i="55"/>
  <c r="AP1226" i="55"/>
  <c r="AP1227" i="55"/>
  <c r="AP1228" i="55"/>
  <c r="AP1229" i="55"/>
  <c r="AP1230" i="55"/>
  <c r="AP1231" i="55"/>
  <c r="AP1232" i="55"/>
  <c r="AP1233" i="55"/>
  <c r="AP1234" i="55"/>
  <c r="AP1235" i="55"/>
  <c r="AP1236" i="55"/>
  <c r="AP1237" i="55"/>
  <c r="AP1238" i="55"/>
  <c r="AP1239" i="55"/>
  <c r="AP1240" i="55"/>
  <c r="AP1241" i="55"/>
  <c r="AP1242" i="55"/>
  <c r="AP1243" i="55"/>
  <c r="AP1244" i="55"/>
  <c r="AP1245" i="55"/>
  <c r="AP1246" i="55"/>
  <c r="AP1247" i="55"/>
  <c r="AP1248" i="55"/>
  <c r="AP1249" i="55"/>
  <c r="AP1250" i="55"/>
  <c r="AP1251" i="55"/>
  <c r="AP1252" i="55"/>
  <c r="AP1253" i="55"/>
  <c r="AP1254" i="55"/>
  <c r="AP1255" i="55"/>
  <c r="AP1256" i="55"/>
  <c r="AP1257" i="55"/>
  <c r="AP1258" i="55"/>
  <c r="AP1259" i="55"/>
  <c r="AP1260" i="55"/>
  <c r="AP1261" i="55"/>
  <c r="AP1262" i="55"/>
  <c r="AP1263" i="55"/>
  <c r="AP1264" i="55"/>
  <c r="AP1265" i="55"/>
  <c r="AP1266" i="55"/>
  <c r="AP1267" i="55"/>
  <c r="AP1268" i="55"/>
  <c r="AP1269" i="55"/>
  <c r="AP1270" i="55"/>
  <c r="AP1271" i="55"/>
  <c r="AP1272" i="55"/>
  <c r="AP1273" i="55"/>
  <c r="AP1274" i="55"/>
  <c r="AP1275" i="55"/>
  <c r="AP1276" i="55"/>
  <c r="AP1277" i="55"/>
  <c r="AP1278" i="55"/>
  <c r="AP1279" i="55"/>
  <c r="AP1280" i="55"/>
  <c r="AP1281" i="55"/>
  <c r="AP1282" i="55"/>
  <c r="AP1283" i="55"/>
  <c r="AP1284" i="55"/>
  <c r="AP1285" i="55"/>
  <c r="AP1286" i="55"/>
  <c r="AP1287" i="55"/>
  <c r="AP1288" i="55"/>
  <c r="AP1289" i="55"/>
  <c r="AP1290" i="55"/>
  <c r="AP1291" i="55"/>
  <c r="AP1292" i="55"/>
  <c r="AP1293" i="55"/>
  <c r="AP1294" i="55"/>
  <c r="AP1295" i="55"/>
  <c r="AP1296" i="55"/>
  <c r="AP1297" i="55"/>
  <c r="AP1298" i="55"/>
  <c r="AP1299" i="55"/>
  <c r="AP1300" i="55"/>
  <c r="AP1301" i="55"/>
  <c r="AP1302" i="55"/>
  <c r="AP1303" i="55"/>
  <c r="AP1304" i="55"/>
  <c r="AP1305" i="55"/>
  <c r="AP1306" i="55"/>
  <c r="AP1307" i="55"/>
  <c r="AP1308" i="55"/>
  <c r="AP1309" i="55"/>
  <c r="AP1310" i="55"/>
  <c r="AP1311" i="55"/>
  <c r="AP1312" i="55"/>
  <c r="AP1313" i="55"/>
  <c r="AP1314" i="55"/>
  <c r="AP1315" i="55"/>
  <c r="AP1316" i="55"/>
  <c r="AP1317" i="55"/>
  <c r="AP1318" i="55"/>
  <c r="AP1319" i="55"/>
  <c r="AP1320" i="55"/>
  <c r="AP1321" i="55"/>
  <c r="AP1322" i="55"/>
  <c r="AP1323" i="55"/>
  <c r="AP1324" i="55"/>
  <c r="AP1325" i="55"/>
  <c r="AP1326" i="55"/>
  <c r="AP1327" i="55"/>
  <c r="AP1328" i="55"/>
  <c r="AP1329" i="55"/>
  <c r="AP1330" i="55"/>
  <c r="AP1331" i="55"/>
  <c r="AP1332" i="55"/>
  <c r="AP1333" i="55"/>
  <c r="AP1334" i="55"/>
  <c r="AP1335" i="55"/>
  <c r="AP1336" i="55"/>
  <c r="AP1337" i="55"/>
  <c r="AP1338" i="55"/>
  <c r="AP1339" i="55"/>
  <c r="AP1340" i="55"/>
  <c r="AP1341" i="55"/>
  <c r="AP1342" i="55"/>
  <c r="AP1343" i="55"/>
  <c r="AP1344" i="55"/>
  <c r="AP1345" i="55"/>
  <c r="AP1346" i="55"/>
  <c r="AP1347" i="55"/>
  <c r="AP1348" i="55"/>
  <c r="AP1349" i="55"/>
  <c r="AP1350" i="55"/>
  <c r="AP1351" i="55"/>
  <c r="AP1352" i="55"/>
  <c r="AP1353" i="55"/>
  <c r="AP1354" i="55"/>
  <c r="AP1355" i="55"/>
  <c r="AP1356" i="55"/>
  <c r="AP1357" i="55"/>
  <c r="AP1358" i="55"/>
  <c r="AP1359" i="55"/>
  <c r="AP1360" i="55"/>
  <c r="AP1361" i="55"/>
  <c r="AP1362" i="55"/>
  <c r="AP1363" i="55"/>
  <c r="AP1364" i="55"/>
  <c r="AP1365" i="55"/>
  <c r="AP1366" i="55"/>
  <c r="AP1367" i="55"/>
  <c r="AP1368" i="55"/>
  <c r="AP1369" i="55"/>
  <c r="AP1370" i="55"/>
  <c r="AP1371" i="55"/>
  <c r="AP1372" i="55"/>
  <c r="AP1373" i="55"/>
  <c r="AP1374" i="55"/>
  <c r="AP1375" i="55"/>
  <c r="AP1376" i="55"/>
  <c r="AP1377" i="55"/>
  <c r="AP1378" i="55"/>
  <c r="AP1379" i="55"/>
  <c r="AP1380" i="55"/>
  <c r="AP1381" i="55"/>
  <c r="AP1382" i="55"/>
  <c r="AP1383" i="55"/>
  <c r="AP1384" i="55"/>
  <c r="AP1385" i="55"/>
  <c r="AP1386" i="55"/>
  <c r="AP1387" i="55"/>
  <c r="AP1388" i="55"/>
  <c r="AP1389" i="55"/>
  <c r="AP1390" i="55"/>
  <c r="AP1391" i="55"/>
  <c r="AP1392" i="55"/>
  <c r="AP1393" i="55"/>
  <c r="AP1394" i="55"/>
  <c r="AP1395" i="55"/>
  <c r="AP1396" i="55"/>
  <c r="AP1397" i="55"/>
  <c r="AP1398" i="55"/>
  <c r="AP1399" i="55"/>
  <c r="AP1400" i="55"/>
  <c r="AP1401" i="55"/>
  <c r="AP1402" i="55"/>
  <c r="AP1403" i="55"/>
  <c r="AP1404" i="55"/>
  <c r="AP1405" i="55"/>
  <c r="AP1406" i="55"/>
  <c r="AP1407" i="55"/>
  <c r="AP1408" i="55"/>
  <c r="AP1409" i="55"/>
  <c r="AP1410" i="55"/>
  <c r="AP1411" i="55"/>
  <c r="AP1412" i="55"/>
  <c r="AP1413" i="55"/>
  <c r="AP1414" i="55"/>
  <c r="AP1415" i="55"/>
  <c r="AP1416" i="55"/>
  <c r="AP1417" i="55"/>
  <c r="AP1418" i="55"/>
  <c r="AP1419" i="55"/>
  <c r="AP1420" i="55"/>
  <c r="AP1421" i="55"/>
  <c r="AP1422" i="55"/>
  <c r="AP1423" i="55"/>
  <c r="AP1424" i="55"/>
  <c r="AP1425" i="55"/>
  <c r="AP1426" i="55"/>
  <c r="AP1427" i="55"/>
  <c r="AP1428" i="55"/>
  <c r="AP1429" i="55"/>
  <c r="AP1430" i="55"/>
  <c r="AP1431" i="55"/>
  <c r="AP1432" i="55"/>
  <c r="AP1433" i="55"/>
  <c r="AP1434" i="55"/>
  <c r="AP1435" i="55"/>
  <c r="AP1436" i="55"/>
  <c r="AP1437" i="55"/>
  <c r="AP1438" i="55"/>
  <c r="AP1439" i="55"/>
  <c r="AP1440" i="55"/>
  <c r="AP1441" i="55"/>
  <c r="AP1442" i="55"/>
  <c r="AP1443" i="55"/>
  <c r="AP1444" i="55"/>
  <c r="AP1445" i="55"/>
  <c r="AP1446" i="55"/>
  <c r="AP1447" i="55"/>
  <c r="AP1448" i="55"/>
  <c r="AP1449" i="55"/>
  <c r="AP1450" i="55"/>
  <c r="AP1451" i="55"/>
  <c r="AP1452" i="55"/>
  <c r="AP1453" i="55"/>
  <c r="AP1454" i="55"/>
  <c r="AP1455" i="55"/>
  <c r="AP1456" i="55"/>
  <c r="AP1457" i="55"/>
  <c r="AP1458" i="55"/>
  <c r="AP1459" i="55"/>
  <c r="AP1460" i="55"/>
  <c r="AP1461" i="55"/>
  <c r="AP1462" i="55"/>
  <c r="AP1463" i="55"/>
  <c r="AP1464" i="55"/>
  <c r="AP1465" i="55"/>
  <c r="AP1466" i="55"/>
  <c r="AP1467" i="55"/>
  <c r="AP1468" i="55"/>
  <c r="AP1469" i="55"/>
  <c r="AP1470" i="55"/>
  <c r="AP1471" i="55"/>
  <c r="AP1472" i="55"/>
  <c r="AP1473" i="55"/>
  <c r="AP1474" i="55"/>
  <c r="AP1475" i="55"/>
  <c r="AP1476" i="55"/>
  <c r="AP1477" i="55"/>
  <c r="AP1478" i="55"/>
  <c r="AP1479" i="55"/>
  <c r="AP1480" i="55"/>
  <c r="AP1481" i="55"/>
  <c r="AP1482" i="55"/>
  <c r="AP1483" i="55"/>
  <c r="AP1484" i="55"/>
  <c r="AP1485" i="55"/>
  <c r="AP1486" i="55"/>
  <c r="AP1487" i="55"/>
  <c r="AP1488" i="55"/>
  <c r="AP1489" i="55"/>
  <c r="AP1490" i="55"/>
  <c r="AP1491" i="55"/>
  <c r="AP1492" i="55"/>
  <c r="AP1493" i="55"/>
  <c r="AP1494" i="55"/>
  <c r="AP1495" i="55"/>
  <c r="AP1496" i="55"/>
  <c r="AP1497" i="55"/>
  <c r="AP1498" i="55"/>
  <c r="AP1499" i="55"/>
  <c r="AP1500" i="55"/>
  <c r="AP1501" i="55"/>
  <c r="AP1502" i="55"/>
  <c r="AP1503" i="55"/>
  <c r="AP1504" i="55"/>
  <c r="AP1505" i="55"/>
  <c r="AP1506" i="55"/>
  <c r="AP1507" i="55"/>
  <c r="AP1508" i="55"/>
  <c r="AP1509" i="55"/>
  <c r="AP1510" i="55"/>
  <c r="AP1511" i="55"/>
  <c r="AP1512" i="55"/>
  <c r="AP1513" i="55"/>
  <c r="AP1514" i="55"/>
  <c r="AP1515" i="55"/>
  <c r="AP1516" i="55"/>
  <c r="AP1517" i="55"/>
  <c r="AP1518" i="55"/>
  <c r="AP1519" i="55"/>
  <c r="AP1520" i="55"/>
  <c r="AP1521" i="55"/>
  <c r="AP1522" i="55"/>
  <c r="AP1523" i="55"/>
  <c r="AP1524" i="55"/>
  <c r="AP1525" i="55"/>
  <c r="AP1526" i="55"/>
  <c r="AP1527" i="55"/>
  <c r="AP1528" i="55"/>
  <c r="AP1529" i="55"/>
  <c r="AP1530" i="55"/>
  <c r="AP1531" i="55"/>
  <c r="AP1532" i="55"/>
  <c r="AP1533" i="55"/>
  <c r="AP1534" i="55"/>
  <c r="AP1535" i="55"/>
  <c r="AP1536" i="55"/>
  <c r="AP1537" i="55"/>
  <c r="AP1538" i="55"/>
  <c r="AP1539" i="55"/>
  <c r="AP1540" i="55"/>
  <c r="AP1541" i="55"/>
  <c r="AP1542" i="55"/>
  <c r="AP1543" i="55"/>
  <c r="AP1544" i="55"/>
  <c r="AP1545" i="55"/>
  <c r="AP1546" i="55"/>
  <c r="AP1547" i="55"/>
  <c r="AP1548" i="55"/>
  <c r="AP1549" i="55"/>
  <c r="AP1550" i="55"/>
  <c r="AP1551" i="55"/>
  <c r="AP1552" i="55"/>
  <c r="AP1553" i="55"/>
  <c r="AP1554" i="55"/>
  <c r="AP1555" i="55"/>
  <c r="AP1556" i="55"/>
  <c r="AP1557" i="55"/>
  <c r="AP1558" i="55"/>
  <c r="AP1559" i="55"/>
  <c r="AP1560" i="55"/>
  <c r="AP1561" i="55"/>
  <c r="AP1562" i="55"/>
  <c r="AP1563" i="55"/>
  <c r="AP1564" i="55"/>
  <c r="AP1565" i="55"/>
  <c r="AP1566" i="55"/>
  <c r="AP1567" i="55"/>
  <c r="AP1568" i="55"/>
  <c r="AP1569" i="55"/>
  <c r="AP1570" i="55"/>
  <c r="AP1571" i="55"/>
  <c r="AP1572" i="55"/>
  <c r="AP1573" i="55"/>
  <c r="AP1574" i="55"/>
  <c r="AP1575" i="55"/>
  <c r="AP1576" i="55"/>
  <c r="AP1577" i="55"/>
  <c r="AP1578" i="55"/>
  <c r="AP1579" i="55"/>
  <c r="AP1580" i="55"/>
  <c r="AP1581" i="55"/>
  <c r="AP1582" i="55"/>
  <c r="AP1583" i="55"/>
  <c r="AP1584" i="55"/>
  <c r="AP1585" i="55"/>
  <c r="AP1586" i="55"/>
  <c r="AP1587" i="55"/>
  <c r="AP1588" i="55"/>
  <c r="AP1589" i="55"/>
  <c r="AP1590" i="55"/>
  <c r="AP1591" i="55"/>
  <c r="AP1592" i="55"/>
  <c r="AP1593" i="55"/>
  <c r="AP1594" i="55"/>
  <c r="AP1595" i="55"/>
  <c r="AP1596" i="55"/>
  <c r="AP1597" i="55"/>
  <c r="AP1598" i="55"/>
  <c r="AP1599" i="55"/>
  <c r="AP1600" i="55"/>
  <c r="AP1601" i="55"/>
  <c r="AP1602" i="55"/>
  <c r="AP1603" i="55"/>
  <c r="AP1604" i="55"/>
  <c r="AP1605" i="55"/>
  <c r="AP1606" i="55"/>
  <c r="AP1607" i="55"/>
  <c r="AP1608" i="55"/>
  <c r="AP1609" i="55"/>
  <c r="AP1610" i="55"/>
  <c r="AP1611" i="55"/>
  <c r="AP1612" i="55"/>
  <c r="AP1613" i="55"/>
  <c r="AP1614" i="55"/>
  <c r="AP1615" i="55"/>
  <c r="AP1616" i="55"/>
  <c r="AP1617" i="55"/>
  <c r="AP1618" i="55"/>
  <c r="AP1619" i="55"/>
  <c r="AP1620" i="55"/>
  <c r="AP1621" i="55"/>
  <c r="AP1622" i="55"/>
  <c r="AP1623" i="55"/>
  <c r="AP1624" i="55"/>
  <c r="AP1625" i="55"/>
  <c r="AP1626" i="55"/>
  <c r="AP1627" i="55"/>
  <c r="AP1628" i="55"/>
  <c r="AP1629" i="55"/>
  <c r="AP1630" i="55"/>
  <c r="AP1631" i="55"/>
  <c r="AP1632" i="55"/>
  <c r="AP1633" i="55"/>
  <c r="AP1634" i="55"/>
  <c r="AP1635" i="55"/>
  <c r="AP1636" i="55"/>
  <c r="AP1637" i="55"/>
  <c r="AP1638" i="55"/>
  <c r="AP1639" i="55"/>
  <c r="AP1640" i="55"/>
  <c r="AP1641" i="55"/>
  <c r="AP1642" i="55"/>
  <c r="AP1643" i="55"/>
  <c r="AP1644" i="55"/>
  <c r="AP1645" i="55"/>
  <c r="AP1646" i="55"/>
  <c r="AP1647" i="55"/>
  <c r="AP1648" i="55"/>
  <c r="AP1649" i="55"/>
  <c r="AP1650" i="55"/>
  <c r="AP1651" i="55"/>
  <c r="AP1652" i="55"/>
  <c r="AP1653" i="55"/>
  <c r="AP1654" i="55"/>
  <c r="AP1655" i="55"/>
  <c r="AP1656" i="55"/>
  <c r="AP1657" i="55"/>
  <c r="AP1658" i="55"/>
  <c r="AP1659" i="55"/>
  <c r="AP1660" i="55"/>
  <c r="AP1661" i="55"/>
  <c r="AP1662" i="55"/>
  <c r="AP1663" i="55"/>
  <c r="AP1664" i="55"/>
  <c r="AP1665" i="55"/>
  <c r="AP1666" i="55"/>
  <c r="AP1667" i="55"/>
  <c r="AP1668" i="55"/>
  <c r="AP1669" i="55"/>
  <c r="AP1670" i="55"/>
  <c r="AP1671" i="55"/>
  <c r="AP1672" i="55"/>
  <c r="AP1673" i="55"/>
  <c r="AP1674" i="55"/>
  <c r="AP1675" i="55"/>
  <c r="AP1676" i="55"/>
  <c r="AP1677" i="55"/>
  <c r="AP1678" i="55"/>
  <c r="AP1679" i="55"/>
  <c r="AP1680" i="55"/>
  <c r="AP1681" i="55"/>
  <c r="AP1682" i="55"/>
  <c r="AP1683" i="55"/>
  <c r="AP1684" i="55"/>
  <c r="AP1685" i="55"/>
  <c r="AP1686" i="55"/>
  <c r="AP1687" i="55"/>
  <c r="AP1688" i="55"/>
  <c r="AP1689" i="55"/>
  <c r="AP1690" i="55"/>
  <c r="AP1691" i="55"/>
  <c r="AP1692" i="55"/>
  <c r="AP1693" i="55"/>
  <c r="AP1694" i="55"/>
  <c r="AP1695" i="55"/>
  <c r="AP1696" i="55"/>
  <c r="AP1697" i="55"/>
  <c r="AP1698" i="55"/>
  <c r="AP1699" i="55"/>
  <c r="AP1700" i="55"/>
  <c r="AP1701" i="55"/>
  <c r="AP1702" i="55"/>
  <c r="AP1703" i="55"/>
  <c r="AP1704" i="55"/>
  <c r="AP1705" i="55"/>
  <c r="AP1706" i="55"/>
  <c r="AP1707" i="55"/>
  <c r="AP1708" i="55"/>
  <c r="AP1709" i="55"/>
  <c r="AP1710" i="55"/>
  <c r="AP1711" i="55"/>
  <c r="AP1712" i="55"/>
  <c r="AP1713" i="55"/>
  <c r="AP1714" i="55"/>
  <c r="AP1715" i="55"/>
  <c r="AP1716" i="55"/>
  <c r="AP1717" i="55"/>
  <c r="AP1718" i="55"/>
  <c r="AP1719" i="55"/>
  <c r="AP1720" i="55"/>
  <c r="AP1721" i="55"/>
  <c r="AP1722" i="55"/>
  <c r="AP1723" i="55"/>
  <c r="AP1724" i="55"/>
  <c r="AP1725" i="55"/>
  <c r="AP1726" i="55"/>
  <c r="AP1727" i="55"/>
  <c r="AP1728" i="55"/>
  <c r="AP1729" i="55"/>
  <c r="AP1730" i="55"/>
  <c r="AP1731" i="55"/>
  <c r="AP1732" i="55"/>
  <c r="AP1733" i="55"/>
  <c r="AP1734" i="55"/>
  <c r="AP1735" i="55"/>
  <c r="AP1736" i="55"/>
  <c r="AP1737" i="55"/>
  <c r="AP1738" i="55"/>
  <c r="AP1739" i="55"/>
  <c r="AP1740" i="55"/>
  <c r="AP1741" i="55"/>
  <c r="AP1742" i="55"/>
  <c r="AP1743" i="55"/>
  <c r="AP1744" i="55"/>
  <c r="AP1745" i="55"/>
  <c r="AP1746" i="55"/>
  <c r="AP1747" i="55"/>
  <c r="AP1748" i="55"/>
  <c r="AP1749" i="55"/>
  <c r="AP1750" i="55"/>
  <c r="AP1751" i="55"/>
  <c r="AP1752" i="55"/>
  <c r="AP1753" i="55"/>
  <c r="AP1754" i="55"/>
  <c r="AP1755" i="55"/>
  <c r="AP1756" i="55"/>
  <c r="AP1757" i="55"/>
  <c r="AP1758" i="55"/>
  <c r="AP1759" i="55"/>
  <c r="AP1760" i="55"/>
  <c r="AP1761" i="55"/>
  <c r="AP1762" i="55"/>
  <c r="AP1763" i="55"/>
  <c r="AP1764" i="55"/>
  <c r="AP1765" i="55"/>
  <c r="AP1766" i="55"/>
  <c r="AP1767" i="55"/>
  <c r="AP1768" i="55"/>
  <c r="AP1769" i="55"/>
  <c r="AP1770" i="55"/>
  <c r="AP1771" i="55"/>
  <c r="AP1772" i="55"/>
  <c r="AP1773" i="55"/>
  <c r="AP1774" i="55"/>
  <c r="AP1775" i="55"/>
  <c r="AP1776" i="55"/>
  <c r="AP1777" i="55"/>
  <c r="AP1778" i="55"/>
  <c r="AP1779" i="55"/>
  <c r="AP1780" i="55"/>
  <c r="AP1781" i="55"/>
  <c r="AP1782" i="55"/>
  <c r="AP1783" i="55"/>
  <c r="AP1784" i="55"/>
  <c r="AP1785" i="55"/>
  <c r="AP1786" i="55"/>
  <c r="AP1787" i="55"/>
  <c r="AP1788" i="55"/>
  <c r="AP1789" i="55"/>
  <c r="AP1790" i="55"/>
  <c r="AP1791" i="55"/>
  <c r="AP1792" i="55"/>
  <c r="AP1793" i="55"/>
  <c r="AP1794" i="55"/>
  <c r="AP1795" i="55"/>
  <c r="AP1796" i="55"/>
  <c r="AP1797" i="55"/>
  <c r="AP1798" i="55"/>
  <c r="AP1799" i="55"/>
  <c r="AP1800" i="55"/>
  <c r="AP1801" i="55"/>
  <c r="AP1802" i="55"/>
  <c r="AP1803" i="55"/>
  <c r="AP1804" i="55"/>
  <c r="AP1805" i="55"/>
  <c r="AP1806" i="55"/>
  <c r="AP1807" i="55"/>
  <c r="AP1808" i="55"/>
  <c r="AP1809" i="55"/>
  <c r="AP1810" i="55"/>
  <c r="AP1811" i="55"/>
  <c r="AP1812" i="55"/>
  <c r="AP1813" i="55"/>
  <c r="AP1814" i="55"/>
  <c r="AP1815" i="55"/>
  <c r="AP1816" i="55"/>
  <c r="AP1817" i="55"/>
  <c r="AP1818" i="55"/>
  <c r="AP1819" i="55"/>
  <c r="AP1820" i="55"/>
  <c r="AP1821" i="55"/>
  <c r="AP1822" i="55"/>
  <c r="AP1823" i="55"/>
  <c r="AP1824" i="55"/>
  <c r="AP1825" i="55"/>
  <c r="AP1826" i="55"/>
  <c r="AP1827" i="55"/>
  <c r="AP1828" i="55"/>
  <c r="AP1829" i="55"/>
  <c r="AP1830" i="55"/>
  <c r="AP1831" i="55"/>
  <c r="AP1832" i="55"/>
  <c r="AP1833" i="55"/>
  <c r="AP1834" i="55"/>
  <c r="AP1835" i="55"/>
  <c r="AP1836" i="55"/>
  <c r="AP1837" i="55"/>
  <c r="AP1838" i="55"/>
  <c r="AP1839" i="55"/>
  <c r="AP1840" i="55"/>
  <c r="AP1841" i="55"/>
  <c r="AP1842" i="55"/>
  <c r="AP1843" i="55"/>
  <c r="AP1844" i="55"/>
  <c r="AP1845" i="55"/>
  <c r="AP1846" i="55"/>
  <c r="AP1847" i="55"/>
  <c r="AP1848" i="55"/>
  <c r="AP1849" i="55"/>
  <c r="AP1850" i="55"/>
  <c r="AP1851" i="55"/>
  <c r="AP1852" i="55"/>
  <c r="AP1853" i="55"/>
  <c r="AP1854" i="55"/>
  <c r="AP1855" i="55"/>
  <c r="AP1856" i="55"/>
  <c r="AP1857" i="55"/>
  <c r="AP1858" i="55"/>
  <c r="AP1859" i="55"/>
  <c r="AP1860" i="55"/>
  <c r="AP1861" i="55"/>
  <c r="AP1862" i="55"/>
  <c r="AP1863" i="55"/>
  <c r="AP1864" i="55"/>
  <c r="AP1865" i="55"/>
  <c r="AP1866" i="55"/>
  <c r="AP1867" i="55"/>
  <c r="AP1868" i="55"/>
  <c r="AP1869" i="55"/>
  <c r="AP1870" i="55"/>
  <c r="AP1871" i="55"/>
  <c r="AP1872" i="55"/>
  <c r="AP1873" i="55"/>
  <c r="AP1874" i="55"/>
  <c r="AP1875" i="55"/>
  <c r="AP1876" i="55"/>
  <c r="AP1877" i="55"/>
  <c r="AP1878" i="55"/>
  <c r="AP1879" i="55"/>
  <c r="AP1880" i="55"/>
  <c r="AP1881" i="55"/>
  <c r="AP1882" i="55"/>
  <c r="AP1883" i="55"/>
  <c r="AP1884" i="55"/>
  <c r="AP1885" i="55"/>
  <c r="AP1886" i="55"/>
  <c r="AP1887" i="55"/>
  <c r="AP1888" i="55"/>
  <c r="AP1889" i="55"/>
  <c r="AP1890" i="55"/>
  <c r="AP1891" i="55"/>
  <c r="AP1892" i="55"/>
  <c r="AP1893" i="55"/>
  <c r="AP1894" i="55"/>
  <c r="AP1895" i="55"/>
  <c r="AP1896" i="55"/>
  <c r="AP1897" i="55"/>
  <c r="AP1898" i="55"/>
  <c r="AP1899" i="55"/>
  <c r="AP1900" i="55"/>
  <c r="AP1901" i="55"/>
  <c r="AP1902" i="55"/>
  <c r="AP1903" i="55"/>
  <c r="AP1904" i="55"/>
  <c r="AP1905" i="55"/>
  <c r="AP1906" i="55"/>
  <c r="AP1907" i="55"/>
  <c r="AP1908" i="55"/>
  <c r="AP1909" i="55"/>
  <c r="AP1910" i="55"/>
  <c r="AP1911" i="55"/>
  <c r="AP1912" i="55"/>
  <c r="AP1913" i="55"/>
  <c r="AP1914" i="55"/>
  <c r="AP1915" i="55"/>
  <c r="AP1916" i="55"/>
  <c r="AP1917" i="55"/>
  <c r="AP1918" i="55"/>
  <c r="AP1919" i="55"/>
  <c r="AP1920" i="55"/>
  <c r="AP1921" i="55"/>
  <c r="AP1922" i="55"/>
  <c r="AP1923" i="55"/>
  <c r="AP1924" i="55"/>
  <c r="AP1925" i="55"/>
  <c r="AP1926" i="55"/>
  <c r="AP1927" i="55"/>
  <c r="AP1928" i="55"/>
  <c r="AP1929" i="55"/>
  <c r="AP1930" i="55"/>
  <c r="AP1931" i="55"/>
  <c r="AP1932" i="55"/>
  <c r="AP1933" i="55"/>
  <c r="AP1934" i="55"/>
  <c r="AP1935" i="55"/>
  <c r="AP1936" i="55"/>
  <c r="AP1937" i="55"/>
  <c r="AP1938" i="55"/>
  <c r="AP1939" i="55"/>
  <c r="AP1940" i="55"/>
  <c r="AP1941" i="55"/>
  <c r="AP1942" i="55"/>
  <c r="AP1943" i="55"/>
  <c r="AP1944" i="55"/>
  <c r="AP1945" i="55"/>
  <c r="AP1946" i="55"/>
  <c r="AP1947" i="55"/>
  <c r="AP1948" i="55"/>
  <c r="AP1949" i="55"/>
  <c r="AP1950" i="55"/>
  <c r="AP1951" i="55"/>
  <c r="AP1952" i="55"/>
  <c r="AP1953" i="55"/>
  <c r="AP1954" i="55"/>
  <c r="AP1955" i="55"/>
  <c r="AP1956" i="55"/>
  <c r="AP1957" i="55"/>
  <c r="AP1958" i="55"/>
  <c r="AP1959" i="55"/>
  <c r="AP1960" i="55"/>
  <c r="AP1961" i="55"/>
  <c r="AP1962" i="55"/>
  <c r="AP1963" i="55"/>
  <c r="AP1964" i="55"/>
  <c r="AP1965" i="55"/>
  <c r="AP1966" i="55"/>
  <c r="AP1967" i="55"/>
  <c r="AP1968" i="55"/>
  <c r="AP1969" i="55"/>
  <c r="AP1970" i="55"/>
  <c r="AP1971" i="55"/>
  <c r="AP1972" i="55"/>
  <c r="AP1973" i="55"/>
  <c r="AP1974" i="55"/>
  <c r="AP1975" i="55"/>
  <c r="AP1976" i="55"/>
  <c r="AP1977" i="55"/>
  <c r="AP1978" i="55"/>
  <c r="AP1979" i="55"/>
  <c r="AP1980" i="55"/>
  <c r="AP1981" i="55"/>
  <c r="AP1982" i="55"/>
  <c r="AP1983" i="55"/>
  <c r="AP1984" i="55"/>
  <c r="AP1985" i="55"/>
  <c r="AP1986" i="55"/>
  <c r="AP1987" i="55"/>
  <c r="AP1988" i="55"/>
  <c r="AP1989" i="55"/>
  <c r="AP1990" i="55"/>
  <c r="AP1991" i="55"/>
  <c r="AP1992" i="55"/>
  <c r="AP1993" i="55"/>
  <c r="AP1994" i="55"/>
  <c r="AP1995" i="55"/>
  <c r="AP1996" i="55"/>
  <c r="AP1997" i="55"/>
  <c r="AP1998" i="55"/>
  <c r="AP1999" i="55"/>
  <c r="AP2000" i="55"/>
  <c r="AP2001" i="55"/>
  <c r="AP2002" i="55"/>
  <c r="AP2003" i="55"/>
  <c r="AP2004" i="55"/>
  <c r="AP2005" i="55"/>
  <c r="AP2006" i="55"/>
  <c r="AP2007" i="55"/>
  <c r="AP2008" i="55"/>
  <c r="AP2009" i="55"/>
  <c r="AP2010" i="55"/>
  <c r="AP2011" i="55"/>
  <c r="AP2012" i="55"/>
  <c r="AP2013" i="55"/>
  <c r="AP2014" i="55"/>
  <c r="AP2015" i="55"/>
  <c r="AP2016" i="55"/>
  <c r="AP2017" i="55"/>
  <c r="AP2018" i="55"/>
  <c r="AP2019" i="55"/>
  <c r="AP2020" i="55"/>
  <c r="AP2021" i="55"/>
  <c r="AP2022" i="55"/>
  <c r="AP2023" i="55"/>
  <c r="AP2024" i="55"/>
  <c r="AP2025" i="55"/>
  <c r="AP2026" i="55"/>
  <c r="AP2027" i="55"/>
  <c r="AP2028" i="55"/>
  <c r="AP2029" i="55"/>
  <c r="AP2030" i="55"/>
  <c r="AP2031" i="55"/>
  <c r="AP2032" i="55"/>
  <c r="AP2033" i="55"/>
  <c r="AP2034" i="55"/>
  <c r="AP2035" i="55"/>
  <c r="AP2036" i="55"/>
  <c r="AP2037" i="55"/>
  <c r="AP2038" i="55"/>
  <c r="AP2039" i="55"/>
  <c r="AP2040" i="55"/>
  <c r="AP2041" i="55"/>
  <c r="AP2042" i="55"/>
  <c r="AP2043" i="55"/>
  <c r="AP2044" i="55"/>
  <c r="AP2045" i="55"/>
  <c r="AP2046" i="55"/>
  <c r="AP2047" i="55"/>
  <c r="AP2048" i="55"/>
  <c r="AP2049" i="55"/>
  <c r="AP2050" i="55"/>
  <c r="AP2051" i="55"/>
  <c r="AP2052" i="55"/>
  <c r="AP2053" i="55"/>
  <c r="AP2054" i="55"/>
  <c r="AP2055" i="55"/>
  <c r="AP2056" i="55"/>
  <c r="AP2057" i="55"/>
  <c r="AP2058" i="55"/>
  <c r="AP2059" i="55"/>
  <c r="AP2060" i="55"/>
  <c r="AP2061" i="55"/>
  <c r="AP2062" i="55"/>
  <c r="AP2063" i="55"/>
  <c r="AP2064" i="55"/>
  <c r="AP2065" i="55"/>
  <c r="AP2066" i="55"/>
  <c r="AP2067" i="55"/>
  <c r="AP2068" i="55"/>
  <c r="AP2069" i="55"/>
  <c r="AP2070" i="55"/>
  <c r="AP2071" i="55"/>
  <c r="AP2072" i="55"/>
  <c r="AP2073" i="55"/>
  <c r="AP2074" i="55"/>
  <c r="AP2075" i="55"/>
  <c r="AP2076" i="55"/>
  <c r="AP2077" i="55"/>
  <c r="AP2078" i="55"/>
  <c r="AP2079" i="55"/>
  <c r="AP2080" i="55"/>
  <c r="AP2081" i="55"/>
  <c r="AP2082" i="55"/>
  <c r="AP2083" i="55"/>
  <c r="AP2084" i="55"/>
  <c r="AP2085" i="55"/>
  <c r="AP2086" i="55"/>
  <c r="AP2087" i="55"/>
  <c r="AP2088" i="55"/>
  <c r="AP2089" i="55"/>
  <c r="AP2090" i="55"/>
  <c r="AP2091" i="55"/>
  <c r="AP2092" i="55"/>
  <c r="AP2093" i="55"/>
  <c r="AP2094" i="55"/>
  <c r="AP2095" i="55"/>
  <c r="AP2096" i="55"/>
  <c r="AP2097" i="55"/>
  <c r="AP2098" i="55"/>
  <c r="AP2099" i="55"/>
  <c r="AP2100" i="55"/>
  <c r="AP2101" i="55"/>
  <c r="AP2102" i="55"/>
  <c r="AP2103" i="55"/>
  <c r="AP2104" i="55"/>
  <c r="AP2105" i="55"/>
  <c r="AP2106" i="55"/>
  <c r="AP2107" i="55"/>
  <c r="AP2108" i="55"/>
  <c r="AP2109" i="55"/>
  <c r="AP2110" i="55"/>
  <c r="AP2111" i="55"/>
  <c r="AP2112" i="55"/>
  <c r="AP2113" i="55"/>
  <c r="AP2114" i="55"/>
  <c r="AP2115" i="55"/>
  <c r="AP2116" i="55"/>
  <c r="AP2117" i="55"/>
  <c r="AP2118" i="55"/>
  <c r="AP2119" i="55"/>
  <c r="AP2120" i="55"/>
  <c r="AP2121" i="55"/>
  <c r="AP2122" i="55"/>
  <c r="AP2123" i="55"/>
  <c r="AP2124" i="55"/>
  <c r="AP2125" i="55"/>
  <c r="AP2126" i="55"/>
  <c r="AP2127" i="55"/>
  <c r="AP2128" i="55"/>
  <c r="AP2129" i="55"/>
  <c r="AP2130" i="55"/>
  <c r="AP2131" i="55"/>
  <c r="AP2132" i="55"/>
  <c r="AP2133" i="55"/>
  <c r="AP2134" i="55"/>
  <c r="AP2135" i="55"/>
  <c r="AP2136" i="55"/>
  <c r="AP2137" i="55"/>
  <c r="AP2138" i="55"/>
  <c r="AP2139" i="55"/>
  <c r="AP2140" i="55"/>
  <c r="AP2141" i="55"/>
  <c r="AP2142" i="55"/>
  <c r="AP2143" i="55"/>
  <c r="AP2144" i="55"/>
  <c r="AP2145" i="55"/>
  <c r="AP2146" i="55"/>
  <c r="AP2147" i="55"/>
  <c r="AP2148" i="55"/>
  <c r="AP2149" i="55"/>
  <c r="AP2150" i="55"/>
  <c r="AP2151" i="55"/>
  <c r="AP2152" i="55"/>
  <c r="AP2153" i="55"/>
  <c r="AP2154" i="55"/>
  <c r="AP2155" i="55"/>
  <c r="AP2156" i="55"/>
  <c r="AP2157" i="55"/>
  <c r="AP2158" i="55"/>
  <c r="AP2159" i="55"/>
  <c r="AP2160" i="55"/>
  <c r="AP2161" i="55"/>
  <c r="AP2162" i="55"/>
  <c r="AP2163" i="55"/>
  <c r="AP2164" i="55"/>
  <c r="AP2165" i="55"/>
  <c r="AP2166" i="55"/>
  <c r="AP2167" i="55"/>
  <c r="AP2168" i="55"/>
  <c r="AP2169" i="55"/>
  <c r="AP2170" i="55"/>
  <c r="AP2171" i="55"/>
  <c r="AP2172" i="55"/>
  <c r="AP2173" i="55"/>
  <c r="AP2174" i="55"/>
  <c r="AP2175" i="55"/>
  <c r="AP2176" i="55"/>
  <c r="AP2177" i="55"/>
  <c r="AP2178" i="55"/>
  <c r="AP2179" i="55"/>
  <c r="AP2180" i="55"/>
  <c r="AP2181" i="55"/>
  <c r="AP2182" i="55"/>
  <c r="AP2183" i="55"/>
  <c r="AP2184" i="55"/>
  <c r="AP2185" i="55"/>
  <c r="AP2186" i="55"/>
  <c r="AP2187" i="55"/>
  <c r="AP2188" i="55"/>
  <c r="AP2189" i="55"/>
  <c r="AP2190" i="55"/>
  <c r="AP2191" i="55"/>
  <c r="AP2192" i="55"/>
  <c r="AP2193" i="55"/>
  <c r="AP2194" i="55"/>
  <c r="AP2195" i="55"/>
  <c r="AP2196" i="55"/>
  <c r="AP2197" i="55"/>
  <c r="AP2198" i="55"/>
  <c r="AP2199" i="55"/>
  <c r="AP2200" i="55"/>
  <c r="AP2201" i="55"/>
  <c r="AP2202" i="55"/>
  <c r="AP2203" i="55"/>
  <c r="AP2204" i="55"/>
  <c r="AP2205" i="55"/>
  <c r="AP2206" i="55"/>
  <c r="AP2207" i="55"/>
  <c r="AP2208" i="55"/>
  <c r="AP2209" i="55"/>
  <c r="AP2210" i="55"/>
  <c r="AP2211" i="55"/>
  <c r="AP2212" i="55"/>
  <c r="AP2213" i="55"/>
  <c r="AP2214" i="55"/>
  <c r="AP2215" i="55"/>
  <c r="AP2216" i="55"/>
  <c r="AP2217" i="55"/>
  <c r="AP2218" i="55"/>
  <c r="AP2219" i="55"/>
  <c r="AP2220" i="55"/>
  <c r="AP2221" i="55"/>
  <c r="AP2222" i="55"/>
  <c r="AP2223" i="55"/>
  <c r="AP2224" i="55"/>
  <c r="AP2225" i="55"/>
  <c r="AP2226" i="55"/>
  <c r="AP2227" i="55"/>
  <c r="AP2228" i="55"/>
  <c r="AP2229" i="55"/>
  <c r="AP2230" i="55"/>
  <c r="AP2231" i="55"/>
  <c r="AP2232" i="55"/>
  <c r="AP2233" i="55"/>
  <c r="AP2234" i="55"/>
  <c r="AP2235" i="55"/>
  <c r="AP2236" i="55"/>
  <c r="AP2237" i="55"/>
  <c r="AP2238" i="55"/>
  <c r="AP2239" i="55"/>
  <c r="AP2240" i="55"/>
  <c r="AP2241" i="55"/>
  <c r="AP2242" i="55"/>
  <c r="AP2243" i="55"/>
  <c r="AP2244" i="55"/>
  <c r="AP2245" i="55"/>
  <c r="AP2246" i="55"/>
  <c r="AP2247" i="55"/>
  <c r="AP2248" i="55"/>
  <c r="AP2249" i="55"/>
  <c r="AP2250" i="55"/>
  <c r="AP2251" i="55"/>
  <c r="AP2252" i="55"/>
  <c r="AP2253" i="55"/>
  <c r="AP2254" i="55"/>
  <c r="AP2255" i="55"/>
  <c r="AP2256" i="55"/>
  <c r="AP2257" i="55"/>
  <c r="AP2258" i="55"/>
  <c r="AP2259" i="55"/>
  <c r="AP2260" i="55"/>
  <c r="AP2261" i="55"/>
  <c r="AP2262" i="55"/>
  <c r="AP2263" i="55"/>
  <c r="AP2264" i="55"/>
  <c r="AP2265" i="55"/>
  <c r="AP2266" i="55"/>
  <c r="AP2267" i="55"/>
  <c r="AP2268" i="55"/>
  <c r="AP2269" i="55"/>
  <c r="AP2270" i="55"/>
  <c r="AP2271" i="55"/>
  <c r="AP2272" i="55"/>
  <c r="AP2273" i="55"/>
  <c r="AP2274" i="55"/>
  <c r="AP2275" i="55"/>
  <c r="AP2276" i="55"/>
  <c r="AP2277" i="55"/>
  <c r="AP2278" i="55"/>
  <c r="AP2279" i="55"/>
  <c r="AP2280" i="55"/>
  <c r="AP2281" i="55"/>
  <c r="AP2282" i="55"/>
  <c r="AP2283" i="55"/>
  <c r="AP2284" i="55"/>
  <c r="AP2285" i="55"/>
  <c r="AP2286" i="55"/>
  <c r="AP2287" i="55"/>
  <c r="AP2288" i="55"/>
  <c r="AP2289" i="55"/>
  <c r="AP2290" i="55"/>
  <c r="AP2291" i="55"/>
  <c r="AP2292" i="55"/>
  <c r="AP2293" i="55"/>
  <c r="AP2294" i="55"/>
  <c r="AP2295" i="55"/>
  <c r="AP2296" i="55"/>
  <c r="AP2297" i="55"/>
  <c r="AP2298" i="55"/>
  <c r="AP2299" i="55"/>
  <c r="AP2300" i="55"/>
  <c r="AP2301" i="55"/>
  <c r="AP2302" i="55"/>
  <c r="AP2303" i="55"/>
  <c r="AP2304" i="55"/>
  <c r="AP2305" i="55"/>
  <c r="AP2306" i="55"/>
  <c r="AP2307" i="55"/>
  <c r="AP2308" i="55"/>
  <c r="AP2309" i="55"/>
  <c r="AP2310" i="55"/>
  <c r="AP2311" i="55"/>
  <c r="AP2312" i="55"/>
  <c r="AP2313" i="55"/>
  <c r="AP2314" i="55"/>
  <c r="AP2315" i="55"/>
  <c r="AP2316" i="55"/>
  <c r="AP2317" i="55"/>
  <c r="AP2318" i="55"/>
  <c r="AP2319" i="55"/>
  <c r="AP2320" i="55"/>
  <c r="AP2321" i="55"/>
  <c r="AP2322" i="55"/>
  <c r="AP2323" i="55"/>
  <c r="AP2324" i="55"/>
  <c r="AP2325" i="55"/>
  <c r="AP2326" i="55"/>
  <c r="AP2327" i="55"/>
  <c r="AP2328" i="55"/>
  <c r="AP2329" i="55"/>
  <c r="AP2330" i="55"/>
  <c r="AP2331" i="55"/>
  <c r="AP2332" i="55"/>
  <c r="AP2333" i="55"/>
  <c r="AP2334" i="55"/>
  <c r="AP2335" i="55"/>
  <c r="AP2336" i="55"/>
  <c r="AP2337" i="55"/>
  <c r="AP2338" i="55"/>
  <c r="AP2339" i="55"/>
  <c r="AP2340" i="55"/>
  <c r="AP2341" i="55"/>
  <c r="AP2342" i="55"/>
  <c r="AP2343" i="55"/>
  <c r="AP2344" i="55"/>
  <c r="AP2345" i="55"/>
  <c r="AP2346" i="55"/>
  <c r="AP2347" i="55"/>
  <c r="AP2348" i="55"/>
  <c r="AP2349" i="55"/>
  <c r="AP2350" i="55"/>
  <c r="AP2351" i="55"/>
  <c r="AP2352" i="55"/>
  <c r="AP2353" i="55"/>
  <c r="AP2354" i="55"/>
  <c r="AP2355" i="55"/>
  <c r="AP2356" i="55"/>
  <c r="AP2357" i="55"/>
  <c r="AP2358" i="55"/>
  <c r="AP2359" i="55"/>
  <c r="AP2360" i="55"/>
  <c r="AP2361" i="55"/>
  <c r="AP2362" i="55"/>
  <c r="AP2363" i="55"/>
  <c r="AP2364" i="55"/>
  <c r="AP2365" i="55"/>
  <c r="AP2366" i="55"/>
  <c r="AP2367" i="55"/>
  <c r="AP2368" i="55"/>
  <c r="AP2369" i="55"/>
  <c r="AP2370" i="55"/>
  <c r="AP2371" i="55"/>
  <c r="AP2372" i="55"/>
  <c r="AP2373" i="55"/>
  <c r="AP2374" i="55"/>
  <c r="AP2375" i="55"/>
  <c r="AP2376" i="55"/>
  <c r="AP2377" i="55"/>
  <c r="AP2378" i="55"/>
  <c r="AP2379" i="55"/>
  <c r="AP2380" i="55"/>
  <c r="AP2381" i="55"/>
  <c r="AP2382" i="55"/>
  <c r="AP2383" i="55"/>
  <c r="AP2384" i="55"/>
  <c r="AP2385" i="55"/>
  <c r="AP2386" i="55"/>
  <c r="AP2387" i="55"/>
  <c r="AP2388" i="55"/>
  <c r="AP2389" i="55"/>
  <c r="AP2390" i="55"/>
  <c r="AP2391" i="55"/>
  <c r="AP2392" i="55"/>
  <c r="AP2393" i="55"/>
  <c r="AP2394" i="55"/>
  <c r="AP2395" i="55"/>
  <c r="AP2396" i="55"/>
  <c r="AP2397" i="55"/>
  <c r="AP2398" i="55"/>
  <c r="AP2399" i="55"/>
  <c r="AP2400" i="55"/>
  <c r="AP2401" i="55"/>
  <c r="AP2402" i="55"/>
  <c r="AP2403" i="55"/>
  <c r="AP2404" i="55"/>
  <c r="AP2405" i="55"/>
  <c r="AP2406" i="55"/>
  <c r="AP2407" i="55"/>
  <c r="AP2408" i="55"/>
  <c r="AP2409" i="55"/>
  <c r="AP2410" i="55"/>
  <c r="AP2411" i="55"/>
  <c r="AP2412" i="55"/>
  <c r="AP2413" i="55"/>
  <c r="AP2414" i="55"/>
  <c r="AP2415" i="55"/>
  <c r="AP2416" i="55"/>
  <c r="AP2417" i="55"/>
  <c r="AP2418" i="55"/>
  <c r="AP2419" i="55"/>
  <c r="AP2420" i="55"/>
  <c r="AP2421" i="55"/>
  <c r="AP2422" i="55"/>
  <c r="AP2423" i="55"/>
  <c r="AP2424" i="55"/>
  <c r="AP2425" i="55"/>
  <c r="AP2426" i="55"/>
  <c r="AP2427" i="55"/>
  <c r="AP2428" i="55"/>
  <c r="AP2429" i="55"/>
  <c r="AP2430" i="55"/>
  <c r="AP2431" i="55"/>
  <c r="AP2432" i="55"/>
  <c r="AP2433" i="55"/>
  <c r="AP2434" i="55"/>
  <c r="AP2435" i="55"/>
  <c r="AP2436" i="55"/>
  <c r="AP2437" i="55"/>
  <c r="AP2438" i="55"/>
  <c r="AP2439" i="55"/>
  <c r="AP2440" i="55"/>
  <c r="AP2441" i="55"/>
  <c r="AP2442" i="55"/>
  <c r="AP2443" i="55"/>
  <c r="AP2444" i="55"/>
  <c r="AP2445" i="55"/>
  <c r="AP2446" i="55"/>
  <c r="AP2447" i="55"/>
  <c r="AP2448" i="55"/>
  <c r="AP2449" i="55"/>
  <c r="AP2450" i="55"/>
  <c r="AP2451" i="55"/>
  <c r="AP2452" i="55"/>
  <c r="AP2453" i="55"/>
  <c r="AP2454" i="55"/>
  <c r="AP2455" i="55"/>
  <c r="AP2456" i="55"/>
  <c r="AP2457" i="55"/>
  <c r="AP2458" i="55"/>
  <c r="AP2459" i="55"/>
  <c r="AP2460" i="55"/>
  <c r="AP2461" i="55"/>
  <c r="AP2462" i="55"/>
  <c r="AP2463" i="55"/>
  <c r="AP2464" i="55"/>
  <c r="AP2465" i="55"/>
  <c r="AP2466" i="55"/>
  <c r="AP2467" i="55"/>
  <c r="AP2468" i="55"/>
  <c r="AP2469" i="55"/>
  <c r="AP2470" i="55"/>
  <c r="AP2471" i="55"/>
  <c r="AP2472" i="55"/>
  <c r="AP2473" i="55"/>
  <c r="AP2474" i="55"/>
  <c r="AP2475" i="55"/>
  <c r="AP2476" i="55"/>
  <c r="AP2477" i="55"/>
  <c r="AP2478" i="55"/>
  <c r="AP2479" i="55"/>
  <c r="AP2480" i="55"/>
  <c r="AP2481" i="55"/>
  <c r="AP2482" i="55"/>
  <c r="AP2483" i="55"/>
  <c r="AP2484" i="55"/>
  <c r="AP2485" i="55"/>
  <c r="AP2486" i="55"/>
  <c r="AP2487" i="55"/>
  <c r="AP2488" i="55"/>
  <c r="AP2489" i="55"/>
  <c r="AP2490" i="55"/>
  <c r="AP2491" i="55"/>
  <c r="AP2492" i="55"/>
  <c r="AP2493" i="55"/>
  <c r="AP2494" i="55"/>
  <c r="AP2495" i="55"/>
  <c r="AP2496" i="55"/>
  <c r="AP2497" i="55"/>
  <c r="AP2498" i="55"/>
  <c r="AP2499" i="55"/>
  <c r="AP2500" i="55"/>
  <c r="AP2501" i="55"/>
  <c r="AP2502" i="55"/>
  <c r="AP2503" i="55"/>
  <c r="AP2504" i="55"/>
  <c r="AP2505" i="55"/>
  <c r="AP2506" i="55"/>
  <c r="AP2507" i="55"/>
  <c r="AP2508" i="55"/>
  <c r="AP2509" i="55"/>
  <c r="AP2510" i="55"/>
  <c r="AP2511" i="55"/>
  <c r="AP2512" i="55"/>
  <c r="AP2513" i="55"/>
  <c r="AP2514" i="55"/>
  <c r="AP2515" i="55"/>
  <c r="AP2516" i="55"/>
  <c r="AP2517" i="55"/>
  <c r="AP2518" i="55"/>
  <c r="AP2519" i="55"/>
  <c r="AP2520" i="55"/>
  <c r="AP2521" i="55"/>
  <c r="AP2522" i="55"/>
  <c r="AP2523" i="55"/>
  <c r="AP2524" i="55"/>
  <c r="AP2525" i="55"/>
  <c r="AP2526" i="55"/>
  <c r="AP2527" i="55"/>
  <c r="AP2528" i="55"/>
  <c r="AP2529" i="55"/>
  <c r="AP2530" i="55"/>
  <c r="AP2531" i="55"/>
  <c r="AP2532" i="55"/>
  <c r="AP2533" i="55"/>
  <c r="AP2534" i="55"/>
  <c r="AP2535" i="55"/>
  <c r="AP2536" i="55"/>
  <c r="AP2537" i="55"/>
  <c r="AP2538" i="55"/>
  <c r="AP2539" i="55"/>
  <c r="AP2540" i="55"/>
  <c r="AP2541" i="55"/>
  <c r="AP2542" i="55"/>
  <c r="AP2543" i="55"/>
  <c r="AP2544" i="55"/>
  <c r="AP2545" i="55"/>
  <c r="AP2546" i="55"/>
  <c r="AP2547" i="55"/>
  <c r="AP2548" i="55"/>
  <c r="AP2549" i="55"/>
  <c r="AP2550" i="55"/>
  <c r="AP2551" i="55"/>
  <c r="AP2552" i="55"/>
  <c r="AP2553" i="55"/>
  <c r="AP2554" i="55"/>
  <c r="AP2555" i="55"/>
  <c r="AP2556" i="55"/>
  <c r="AP2557" i="55"/>
  <c r="AP2558" i="55"/>
  <c r="AP2559" i="55"/>
  <c r="AP2560" i="55"/>
  <c r="AP2561" i="55"/>
  <c r="AP2562" i="55"/>
  <c r="AP2563" i="55"/>
  <c r="AP2564" i="55"/>
  <c r="AP2565" i="55"/>
  <c r="AP2566" i="55"/>
  <c r="AP2567" i="55"/>
  <c r="AP2568" i="55"/>
  <c r="AP2569" i="55"/>
  <c r="AP2570" i="55"/>
  <c r="AP2571" i="55"/>
  <c r="AP2572" i="55"/>
  <c r="AP2573" i="55"/>
  <c r="AP2574" i="55"/>
  <c r="AP2575" i="55"/>
  <c r="AP2576" i="55"/>
  <c r="AP2577" i="55"/>
  <c r="AP2578" i="55"/>
  <c r="AP2579" i="55"/>
  <c r="AP2580" i="55"/>
  <c r="AP2581" i="55"/>
  <c r="AP2582" i="55"/>
  <c r="AP2583" i="55"/>
  <c r="AP2584" i="55"/>
  <c r="AP2585" i="55"/>
  <c r="AP2586" i="55"/>
  <c r="AP2587" i="55"/>
  <c r="AP2588" i="55"/>
  <c r="AP2589" i="55"/>
  <c r="AP2590" i="55"/>
  <c r="AP2591" i="55"/>
  <c r="AP2592" i="55"/>
  <c r="AP2593" i="55"/>
  <c r="AP2594" i="55"/>
  <c r="AP2595" i="55"/>
  <c r="AP2596" i="55"/>
  <c r="AP2597" i="55"/>
  <c r="AP2598" i="55"/>
  <c r="AP2599" i="55"/>
  <c r="AP2600" i="55"/>
  <c r="AP2601" i="55"/>
  <c r="AP2602" i="55"/>
  <c r="AP2603" i="55"/>
  <c r="AP2604" i="55"/>
  <c r="AP2605" i="55"/>
  <c r="AP2606" i="55"/>
  <c r="AP2607" i="55"/>
  <c r="AP2608" i="55"/>
  <c r="AP2609" i="55"/>
  <c r="AP2610" i="55"/>
  <c r="AP2611" i="55"/>
  <c r="AP2612" i="55"/>
  <c r="AP2613" i="55"/>
  <c r="AP2614" i="55"/>
  <c r="AP2615" i="55"/>
  <c r="AP2616" i="55"/>
  <c r="AP2617" i="55"/>
  <c r="AP2618" i="55"/>
  <c r="AP2619" i="55"/>
  <c r="AP2620" i="55"/>
  <c r="AP2621" i="55"/>
  <c r="AP2622" i="55"/>
  <c r="AP2623" i="55"/>
  <c r="AP2624" i="55"/>
  <c r="AP2625" i="55"/>
  <c r="AP2626" i="55"/>
  <c r="AP2627" i="55"/>
  <c r="AP2628" i="55"/>
  <c r="AP2629" i="55"/>
  <c r="AP2630" i="55"/>
  <c r="AP2631" i="55"/>
  <c r="AP2632" i="55"/>
  <c r="AP2633" i="55"/>
  <c r="AP2634" i="55"/>
  <c r="AP2635" i="55"/>
  <c r="AP2636" i="55"/>
  <c r="AP2637" i="55"/>
  <c r="AP2638" i="55"/>
  <c r="AP2639" i="55"/>
  <c r="AP2640" i="55"/>
  <c r="AP2641" i="55"/>
  <c r="AP2642" i="55"/>
  <c r="AP2643" i="55"/>
  <c r="AP2644" i="55"/>
  <c r="AP2645" i="55"/>
  <c r="AP2646" i="55"/>
  <c r="AP2647" i="55"/>
  <c r="AP2648" i="55"/>
  <c r="AP2649" i="55"/>
  <c r="AP2650" i="55"/>
  <c r="AP2651" i="55"/>
  <c r="AP2652" i="55"/>
  <c r="AP2653" i="55"/>
  <c r="AP2654" i="55"/>
  <c r="AP2655" i="55"/>
  <c r="AP2656" i="55"/>
  <c r="AP2657" i="55"/>
  <c r="AP2658" i="55"/>
  <c r="AP2659" i="55"/>
  <c r="AP2660" i="55"/>
  <c r="AP2661" i="55"/>
  <c r="AP2662" i="55"/>
  <c r="AP2663" i="55"/>
  <c r="AP2664" i="55"/>
  <c r="AP2665" i="55"/>
  <c r="AP2666" i="55"/>
  <c r="AP2667" i="55"/>
  <c r="AP2668" i="55"/>
  <c r="AP2669" i="55"/>
  <c r="AP2670" i="55"/>
  <c r="AP2671" i="55"/>
  <c r="AP2672" i="55"/>
  <c r="AP2673" i="55"/>
  <c r="AP2674" i="55"/>
  <c r="AP2675" i="55"/>
  <c r="AP2676" i="55"/>
  <c r="AP2677" i="55"/>
  <c r="AP2678" i="55"/>
  <c r="AP2679" i="55"/>
  <c r="AP2680" i="55"/>
  <c r="AP2681" i="55"/>
  <c r="AP2682" i="55"/>
  <c r="AP2683" i="55"/>
  <c r="AP2684" i="55"/>
  <c r="AP2685" i="55"/>
  <c r="AP2686" i="55"/>
  <c r="AP2687" i="55"/>
  <c r="AP2688" i="55"/>
  <c r="AP2689" i="55"/>
  <c r="AP2690" i="55"/>
  <c r="AP2691" i="55"/>
  <c r="AP2692" i="55"/>
  <c r="AP2693" i="55"/>
  <c r="AP2694" i="55"/>
  <c r="AP2695" i="55"/>
  <c r="AP2696" i="55"/>
  <c r="AP2697" i="55"/>
  <c r="AP2698" i="55"/>
  <c r="AP2699" i="55"/>
  <c r="AP2700" i="55"/>
  <c r="AP2701" i="55"/>
  <c r="AP2702" i="55"/>
  <c r="AP2703" i="55"/>
  <c r="AP2704" i="55"/>
  <c r="AP2705" i="55"/>
  <c r="AP2706" i="55"/>
  <c r="AP2707" i="55"/>
  <c r="AP2708" i="55"/>
  <c r="AP2709" i="55"/>
  <c r="AP2710" i="55"/>
  <c r="AP2711" i="55"/>
  <c r="AP2712" i="55"/>
  <c r="AP2713" i="55"/>
  <c r="AP2714" i="55"/>
  <c r="AP2715" i="55"/>
  <c r="AP2716" i="55"/>
  <c r="AP2717" i="55"/>
  <c r="AP2718" i="55"/>
  <c r="AP2719" i="55"/>
  <c r="AP2720" i="55"/>
  <c r="AP2721" i="55"/>
  <c r="AP2722" i="55"/>
  <c r="AP2723" i="55"/>
  <c r="AP2724" i="55"/>
  <c r="AP2725" i="55"/>
  <c r="AP2726" i="55"/>
  <c r="AP2727" i="55"/>
  <c r="AP2728" i="55"/>
  <c r="AP2729" i="55"/>
  <c r="AP2730" i="55"/>
  <c r="AP2731" i="55"/>
  <c r="AP2732" i="55"/>
  <c r="AP2733" i="55"/>
  <c r="AP2734" i="55"/>
  <c r="AP2735" i="55"/>
  <c r="AP2736" i="55"/>
  <c r="AP2737" i="55"/>
  <c r="AP2738" i="55"/>
  <c r="AP2739" i="55"/>
  <c r="AP2740" i="55"/>
  <c r="AP2741" i="55"/>
  <c r="AP2742" i="55"/>
  <c r="AP2743" i="55"/>
  <c r="AP2744" i="55"/>
  <c r="AP2745" i="55"/>
  <c r="AP2746" i="55"/>
  <c r="AP2747" i="55"/>
  <c r="AP2748" i="55"/>
  <c r="AP2749" i="55"/>
  <c r="AP2750" i="55"/>
  <c r="AP2751" i="55"/>
  <c r="AP2752" i="55"/>
  <c r="AP2753" i="55"/>
  <c r="AP2754" i="55"/>
  <c r="AP2755" i="55"/>
  <c r="AP2756" i="55"/>
  <c r="AP2757" i="55"/>
  <c r="AP2758" i="55"/>
  <c r="AP2759" i="55"/>
  <c r="AP2760" i="55"/>
  <c r="AP2761" i="55"/>
  <c r="AP2762" i="55"/>
  <c r="AP2763" i="55"/>
  <c r="AP2764" i="55"/>
  <c r="AP2765" i="55"/>
  <c r="AP2766" i="55"/>
  <c r="AP2767" i="55"/>
  <c r="AP2768" i="55"/>
  <c r="AP2769" i="55"/>
  <c r="AP2770" i="55"/>
  <c r="AP2771" i="55"/>
  <c r="AP2772" i="55"/>
  <c r="AP2773" i="55"/>
  <c r="AP2774" i="55"/>
  <c r="AP2775" i="55"/>
  <c r="AP2776" i="55"/>
  <c r="AP2777" i="55"/>
  <c r="AP2778" i="55"/>
  <c r="AP2779" i="55"/>
  <c r="AP2780" i="55"/>
  <c r="AP2781" i="55"/>
  <c r="AP2782" i="55"/>
  <c r="AP2783" i="55"/>
  <c r="AP2784" i="55"/>
  <c r="AP2785" i="55"/>
  <c r="AP2786" i="55"/>
  <c r="AP2787" i="55"/>
  <c r="AP2788" i="55"/>
  <c r="AP2789" i="55"/>
  <c r="AP2790" i="55"/>
  <c r="AP2791" i="55"/>
  <c r="AP2792" i="55"/>
  <c r="AP2793" i="55"/>
  <c r="AP2794" i="55"/>
  <c r="AP2795" i="55"/>
  <c r="AP2796" i="55"/>
  <c r="AP2797" i="55"/>
  <c r="AP2798" i="55"/>
  <c r="AP2799" i="55"/>
  <c r="AP2800" i="55"/>
  <c r="AP2801" i="55"/>
  <c r="AP2802" i="55"/>
  <c r="AP2803" i="55"/>
  <c r="AP2804" i="55"/>
  <c r="AP2805" i="55"/>
  <c r="AP2806" i="55"/>
  <c r="AP2807" i="55"/>
  <c r="AP2808" i="55"/>
  <c r="AP2809" i="55"/>
  <c r="AP2810" i="55"/>
  <c r="AP2811" i="55"/>
  <c r="AP2812" i="55"/>
  <c r="AP2813" i="55"/>
  <c r="AP2814" i="55"/>
  <c r="AP2815" i="55"/>
  <c r="AP2816" i="55"/>
  <c r="AP2817" i="55"/>
  <c r="AP2818" i="55"/>
  <c r="AP2819" i="55"/>
  <c r="AP2820" i="55"/>
  <c r="AP2821" i="55"/>
  <c r="AP2822" i="55"/>
  <c r="AP2823" i="55"/>
  <c r="AP2824" i="55"/>
  <c r="AP2825" i="55"/>
  <c r="AP2826" i="55"/>
  <c r="AP2827" i="55"/>
  <c r="AP2828" i="55"/>
  <c r="AP2829" i="55"/>
  <c r="AP2830" i="55"/>
  <c r="AP2831" i="55"/>
  <c r="AP2832" i="55"/>
  <c r="AP2833" i="55"/>
  <c r="AP2834" i="55"/>
  <c r="AP2835" i="55"/>
  <c r="AP2836" i="55"/>
  <c r="AP2837" i="55"/>
  <c r="AP2838" i="55"/>
  <c r="AP2839" i="55"/>
  <c r="AP2840" i="55"/>
  <c r="AP2841" i="55"/>
  <c r="AP2842" i="55"/>
  <c r="AP2843" i="55"/>
  <c r="AP2844" i="55"/>
  <c r="AP2845" i="55"/>
  <c r="AP2846" i="55"/>
  <c r="AP2847" i="55"/>
  <c r="AP2848" i="55"/>
  <c r="AP2849" i="55"/>
  <c r="AP2850" i="55"/>
  <c r="AP2851" i="55"/>
  <c r="AP2852" i="55"/>
  <c r="AP2853" i="55"/>
  <c r="AP2854" i="55"/>
  <c r="AP2855" i="55"/>
  <c r="AP2856" i="55"/>
  <c r="AP2857" i="55"/>
  <c r="AP2858" i="55"/>
  <c r="AP2859" i="55"/>
  <c r="AP2860" i="55"/>
  <c r="AP2861" i="55"/>
  <c r="AP2862" i="55"/>
  <c r="AP2863" i="55"/>
  <c r="AP2864" i="55"/>
  <c r="AP2865" i="55"/>
  <c r="AP2866" i="55"/>
  <c r="AP2867" i="55"/>
  <c r="AP2868" i="55"/>
  <c r="AP2869" i="55"/>
  <c r="AP2870" i="55"/>
  <c r="AP2871" i="55"/>
  <c r="AP2872" i="55"/>
  <c r="AP2873" i="55"/>
  <c r="AP2874" i="55"/>
  <c r="AP2875" i="55"/>
  <c r="AP2876" i="55"/>
  <c r="AP2877" i="55"/>
  <c r="AP2878" i="55"/>
  <c r="AP2879" i="55"/>
  <c r="AP2880" i="55"/>
  <c r="AP2881" i="55"/>
  <c r="AP2882" i="55"/>
  <c r="AP2883" i="55"/>
  <c r="AP2884" i="55"/>
  <c r="AP2885" i="55"/>
  <c r="AP2886" i="55"/>
  <c r="AP2887" i="55"/>
  <c r="AP2888" i="55"/>
  <c r="AP2889" i="55"/>
  <c r="AP2890" i="55"/>
  <c r="AP2891" i="55"/>
  <c r="AP2892" i="55"/>
  <c r="AP2893" i="55"/>
  <c r="AP2894" i="55"/>
  <c r="AP2895" i="55"/>
  <c r="AP2896" i="55"/>
  <c r="AP2897" i="55"/>
  <c r="AP2898" i="55"/>
  <c r="AP2899" i="55"/>
  <c r="AP2900" i="55"/>
  <c r="AP2901" i="55"/>
  <c r="AP2902" i="55"/>
  <c r="AP2903" i="55"/>
  <c r="AP2904" i="55"/>
  <c r="AP2905" i="55"/>
  <c r="AP2906" i="55"/>
  <c r="AP2907" i="55"/>
  <c r="AP2908" i="55"/>
  <c r="AP2909" i="55"/>
  <c r="AP2910" i="55"/>
  <c r="AP2911" i="55"/>
  <c r="AP2912" i="55"/>
  <c r="AP2913" i="55"/>
  <c r="AP2914" i="55"/>
  <c r="AP2915" i="55"/>
  <c r="AP2916" i="55"/>
  <c r="AP2917" i="55"/>
  <c r="AP2918" i="55"/>
  <c r="AP2919" i="55"/>
  <c r="AP2920" i="55"/>
  <c r="AP2921" i="55"/>
  <c r="AP2922" i="55"/>
  <c r="AP2923" i="55"/>
  <c r="AP2924" i="55"/>
  <c r="AP2925" i="55"/>
  <c r="AP2926" i="55"/>
  <c r="AP2927" i="55"/>
  <c r="AP2928" i="55"/>
  <c r="AP2929" i="55"/>
  <c r="AP2930" i="55"/>
  <c r="AP2931" i="55"/>
  <c r="AP2932" i="55"/>
  <c r="AP2933" i="55"/>
  <c r="AP2934" i="55"/>
  <c r="AP2935" i="55"/>
  <c r="AP2936" i="55"/>
  <c r="AP2937" i="55"/>
  <c r="AP2938" i="55"/>
  <c r="AP2939" i="55"/>
  <c r="AP2940" i="55"/>
  <c r="AP2941" i="55"/>
  <c r="AP2942" i="55"/>
  <c r="AP2943" i="55"/>
  <c r="AP2944" i="55"/>
  <c r="AP2945" i="55"/>
  <c r="AP2946" i="55"/>
  <c r="AP2947" i="55"/>
  <c r="AP2948" i="55"/>
  <c r="AP2949" i="55"/>
  <c r="AP2950" i="55"/>
  <c r="AP2951" i="55"/>
  <c r="AP2952" i="55"/>
  <c r="AP2953" i="55"/>
  <c r="AP2954" i="55"/>
  <c r="AP2955" i="55"/>
  <c r="AP2956" i="55"/>
  <c r="AP2957" i="55"/>
  <c r="AP2958" i="55"/>
  <c r="AP2959" i="55"/>
  <c r="AP2960" i="55"/>
  <c r="AP2961" i="55"/>
  <c r="AP2962" i="55"/>
  <c r="AP2963" i="55"/>
  <c r="AP2964" i="55"/>
  <c r="AP2965" i="55"/>
  <c r="AP2966" i="55"/>
  <c r="AP2967" i="55"/>
  <c r="AP2968" i="55"/>
  <c r="AP2969" i="55"/>
  <c r="AP2970" i="55"/>
  <c r="AP2971" i="55"/>
  <c r="AP2972" i="55"/>
  <c r="AP2973" i="55"/>
  <c r="AP2974" i="55"/>
  <c r="AP2975" i="55"/>
  <c r="AP2976" i="55"/>
  <c r="AP2977" i="55"/>
  <c r="AP2978" i="55"/>
  <c r="AP2979" i="55"/>
  <c r="AP2980" i="55"/>
  <c r="AP2981" i="55"/>
  <c r="AP2982" i="55"/>
  <c r="AP2983" i="55"/>
  <c r="AP2984" i="55"/>
  <c r="AP2985" i="55"/>
  <c r="AP2986" i="55"/>
  <c r="AP2987" i="55"/>
  <c r="AP2988" i="55"/>
  <c r="AP2989" i="55"/>
  <c r="AP2990" i="55"/>
  <c r="AP2991" i="55"/>
  <c r="AP2992" i="55"/>
  <c r="AP2993" i="55"/>
  <c r="AP2994" i="55"/>
  <c r="AP2995" i="55"/>
  <c r="AP2996" i="55"/>
  <c r="AP2997" i="55"/>
  <c r="AP2998" i="55"/>
  <c r="AP2999" i="55"/>
  <c r="AP3000" i="55"/>
  <c r="AP3001" i="55"/>
  <c r="AP3002" i="55"/>
  <c r="AP3003" i="55"/>
  <c r="AP3004" i="55"/>
  <c r="AP3005" i="55"/>
  <c r="AP3006" i="55"/>
  <c r="AP3007" i="55"/>
  <c r="AP3008" i="55"/>
  <c r="AP3009" i="55"/>
  <c r="AP3010" i="55"/>
  <c r="AP3011" i="55"/>
  <c r="AP3012" i="55"/>
  <c r="AP3013" i="55"/>
  <c r="AP3014" i="55"/>
  <c r="AP3015" i="55"/>
  <c r="AP3016" i="55"/>
  <c r="AP3017" i="55"/>
  <c r="AP3018" i="55"/>
  <c r="AP3019" i="55"/>
  <c r="AP3020" i="55"/>
  <c r="AP3021" i="55"/>
  <c r="AP3022" i="55"/>
  <c r="AP3023" i="55"/>
  <c r="AP3024" i="55"/>
  <c r="AP3025" i="55"/>
  <c r="AP3026" i="55"/>
  <c r="AP3027" i="55"/>
  <c r="AP3028" i="55"/>
  <c r="AP3029" i="55"/>
  <c r="AP3030" i="55"/>
  <c r="AP3031" i="55"/>
  <c r="AP3032" i="55"/>
  <c r="AP3033" i="55"/>
  <c r="AP3034" i="55"/>
  <c r="AP3035" i="55"/>
  <c r="AP3036" i="55"/>
  <c r="AP3037" i="55"/>
  <c r="AP3038" i="55"/>
  <c r="AP3039" i="55"/>
  <c r="AP3040" i="55"/>
  <c r="AP3041" i="55"/>
  <c r="AP3042" i="55"/>
  <c r="AP3043" i="55"/>
  <c r="AP3044" i="55"/>
  <c r="AP3045" i="55"/>
  <c r="AP3046" i="55"/>
  <c r="AP3047" i="55"/>
  <c r="AP3048" i="55"/>
  <c r="AP3049" i="55"/>
  <c r="AP3050" i="55"/>
  <c r="AP3051" i="55"/>
  <c r="AP3052" i="55"/>
  <c r="AP3053" i="55"/>
  <c r="AP3054" i="55"/>
  <c r="AP3055" i="55"/>
  <c r="AP3056" i="55"/>
  <c r="AP3057" i="55"/>
  <c r="AP3058" i="55"/>
  <c r="AP3059" i="55"/>
  <c r="AP3060" i="55"/>
  <c r="AP3061" i="55"/>
  <c r="AP3062" i="55"/>
  <c r="AP3063" i="55"/>
  <c r="AP3064" i="55"/>
  <c r="AP3065" i="55"/>
  <c r="AP3066" i="55"/>
  <c r="AP3067" i="55"/>
  <c r="AP3068" i="55"/>
  <c r="AP3069" i="55"/>
  <c r="AP3070" i="55"/>
  <c r="AP3071" i="55"/>
  <c r="AP3072" i="55"/>
  <c r="AP3073" i="55"/>
  <c r="AP3074" i="55"/>
  <c r="AP3075" i="55"/>
  <c r="AP3076" i="55"/>
  <c r="AP3077" i="55"/>
  <c r="AP3078" i="55"/>
  <c r="AP3079" i="55"/>
  <c r="AP3080" i="55"/>
  <c r="AP3081" i="55"/>
  <c r="AP3082" i="55"/>
  <c r="AP3083" i="55"/>
  <c r="AP3084" i="55"/>
  <c r="AP3085" i="55"/>
  <c r="AP3086" i="55"/>
  <c r="AP3087" i="55"/>
  <c r="AP3088" i="55"/>
  <c r="AP3089" i="55"/>
  <c r="AP3090" i="55"/>
  <c r="AP3091" i="55"/>
  <c r="AP3092" i="55"/>
  <c r="AP3093" i="55"/>
  <c r="AP3094" i="55"/>
  <c r="AP3095" i="55"/>
  <c r="AP3096" i="55"/>
  <c r="AP3097" i="55"/>
  <c r="AP3098" i="55"/>
  <c r="AP3099" i="55"/>
  <c r="AP3100" i="55"/>
  <c r="AP3101" i="55"/>
  <c r="AP3102" i="55"/>
  <c r="AP3103" i="55"/>
  <c r="AP3104" i="55"/>
  <c r="AP3105" i="55"/>
  <c r="AP3106" i="55"/>
  <c r="AP3107" i="55"/>
  <c r="AP3108" i="55"/>
  <c r="AP3109" i="55"/>
  <c r="AP3110" i="55"/>
  <c r="AP3111" i="55"/>
  <c r="AP3112" i="55"/>
  <c r="AP3113" i="55"/>
  <c r="AP3114" i="55"/>
  <c r="AP3115" i="55"/>
  <c r="AP3116" i="55"/>
  <c r="AP3117" i="55"/>
  <c r="AP3118" i="55"/>
  <c r="AP3119" i="55"/>
  <c r="AP3120" i="55"/>
  <c r="AP3121" i="55"/>
  <c r="AP3122" i="55"/>
  <c r="AP3123" i="55"/>
  <c r="AP3124" i="55"/>
  <c r="AP3125" i="55"/>
  <c r="AP3126" i="55"/>
  <c r="AP3127" i="55"/>
  <c r="AP3128" i="55"/>
  <c r="AP3129" i="55"/>
  <c r="AP3130" i="55"/>
  <c r="AP3131" i="55"/>
  <c r="AP3132" i="55"/>
  <c r="AP3133" i="55"/>
  <c r="AP3134" i="55"/>
  <c r="AP3135" i="55"/>
  <c r="AP3136" i="55"/>
  <c r="AP3137" i="55"/>
  <c r="AP3138" i="55"/>
  <c r="AP3139" i="55"/>
  <c r="AP3140" i="55"/>
  <c r="AP3141" i="55"/>
  <c r="AP3142" i="55"/>
  <c r="AP3143" i="55"/>
  <c r="AP3144" i="55"/>
  <c r="AP3145" i="55"/>
  <c r="AP3146" i="55"/>
  <c r="AP3147" i="55"/>
  <c r="AP3148" i="55"/>
  <c r="AP3149" i="55"/>
  <c r="AP3150" i="55"/>
  <c r="AP3151" i="55"/>
  <c r="AP3152" i="55"/>
  <c r="AP3153" i="55"/>
  <c r="AP3154" i="55"/>
  <c r="AP3155" i="55"/>
  <c r="AP3156" i="55"/>
  <c r="AP3157" i="55"/>
  <c r="AP3158" i="55"/>
  <c r="AP3159" i="55"/>
  <c r="AP3160" i="55"/>
  <c r="AP3161" i="55"/>
  <c r="AP3162" i="55"/>
  <c r="AP3163" i="55"/>
  <c r="AP3164" i="55"/>
  <c r="AP3165" i="55"/>
  <c r="AP3166" i="55"/>
  <c r="AP3167" i="55"/>
  <c r="AP3168" i="55"/>
  <c r="AP3169" i="55"/>
  <c r="AP3170" i="55"/>
  <c r="AP3171" i="55"/>
  <c r="AP3172" i="55"/>
  <c r="AP3173" i="55"/>
  <c r="AP3174" i="55"/>
  <c r="AP3175" i="55"/>
  <c r="AP3176" i="55"/>
  <c r="AP3177" i="55"/>
  <c r="AP3178" i="55"/>
  <c r="AP3179" i="55"/>
  <c r="AP3180" i="55"/>
  <c r="AP3181" i="55"/>
  <c r="AP3182" i="55"/>
  <c r="AP3183" i="55"/>
  <c r="AP3184" i="55"/>
  <c r="AP3185" i="55"/>
  <c r="AP3186" i="55"/>
  <c r="AP3187" i="55"/>
  <c r="AP3188" i="55"/>
  <c r="AP3189" i="55"/>
  <c r="AP3190" i="55"/>
  <c r="AP3191" i="55"/>
  <c r="AP3192" i="55"/>
  <c r="AP3193" i="55"/>
  <c r="AP3194" i="55"/>
  <c r="AP3195" i="55"/>
  <c r="AP3196" i="55"/>
  <c r="AP3197" i="55"/>
  <c r="AP3198" i="55"/>
  <c r="AP3199" i="55"/>
  <c r="AP3200" i="55"/>
  <c r="AP3201" i="55"/>
  <c r="AP3202" i="55"/>
  <c r="AP3203" i="55"/>
  <c r="AP3204" i="55"/>
  <c r="AP3205" i="55"/>
  <c r="AP3206" i="55"/>
  <c r="AP3207" i="55"/>
  <c r="AP3208" i="55"/>
  <c r="AP3209" i="55"/>
  <c r="AP3210" i="55"/>
  <c r="AP3211" i="55"/>
  <c r="AP3212" i="55"/>
  <c r="AP3213" i="55"/>
  <c r="AP3214" i="55"/>
  <c r="AP3215" i="55"/>
  <c r="AP3216" i="55"/>
  <c r="AP3217" i="55"/>
  <c r="AP3218" i="55"/>
  <c r="AP3219" i="55"/>
  <c r="AP3220" i="55"/>
  <c r="AP3221" i="55"/>
  <c r="AP3222" i="55"/>
  <c r="AP3223" i="55"/>
  <c r="AP3224" i="55"/>
  <c r="AP3225" i="55"/>
  <c r="AP3226" i="55"/>
  <c r="AP3227" i="55"/>
  <c r="AP3228" i="55"/>
  <c r="AP3229" i="55"/>
  <c r="AP3230" i="55"/>
  <c r="AP3231" i="55"/>
  <c r="AP3232" i="55"/>
  <c r="AP3233" i="55"/>
  <c r="AP3234" i="55"/>
  <c r="AP3235" i="55"/>
  <c r="AP3236" i="55"/>
  <c r="AP3237" i="55"/>
  <c r="AP3238" i="55"/>
  <c r="AP3239" i="55"/>
  <c r="AP3240" i="55"/>
  <c r="AP3241" i="55"/>
  <c r="AP3242" i="55"/>
  <c r="AP3243" i="55"/>
  <c r="AP3244" i="55"/>
  <c r="AP3245" i="55"/>
  <c r="AP3246" i="55"/>
  <c r="AP3247" i="55"/>
  <c r="AP3248" i="55"/>
  <c r="AP3249" i="55"/>
  <c r="AP3250" i="55"/>
  <c r="AP3251" i="55"/>
  <c r="AP3252" i="55"/>
  <c r="AP3253" i="55"/>
  <c r="AP3254" i="55"/>
  <c r="AP3255" i="55"/>
  <c r="AP3256" i="55"/>
  <c r="AP3257" i="55"/>
  <c r="AP3258" i="55"/>
  <c r="AP3259" i="55"/>
  <c r="AP3260" i="55"/>
  <c r="AP3261" i="55"/>
  <c r="AP3262" i="55"/>
  <c r="AP3263" i="55"/>
  <c r="AP3264" i="55"/>
  <c r="AP3265" i="55"/>
  <c r="AP3266" i="55"/>
  <c r="AP3267" i="55"/>
  <c r="AP3268" i="55"/>
  <c r="AP3269" i="55"/>
  <c r="AP3270" i="55"/>
  <c r="AP3271" i="55"/>
  <c r="AP3272" i="55"/>
  <c r="AP3273" i="55"/>
  <c r="AP3274" i="55"/>
  <c r="AP3275" i="55"/>
  <c r="AP3276" i="55"/>
  <c r="AP3277" i="55"/>
  <c r="AP3278" i="55"/>
  <c r="AP3279" i="55"/>
  <c r="AP3280" i="55"/>
  <c r="AP3281" i="55"/>
  <c r="AP3282" i="55"/>
  <c r="AP3283" i="55"/>
  <c r="AP3284" i="55"/>
  <c r="AP3285" i="55"/>
  <c r="AP3286" i="55"/>
  <c r="AP3287" i="55"/>
  <c r="AP3288" i="55"/>
  <c r="AP3289" i="55"/>
  <c r="AP3290" i="55"/>
  <c r="AP3291" i="55"/>
  <c r="AP3292" i="55"/>
  <c r="AP3293" i="55"/>
  <c r="AP3294" i="55"/>
  <c r="AP3295" i="55"/>
  <c r="AP3296" i="55"/>
  <c r="AP3297" i="55"/>
  <c r="AP3298" i="55"/>
  <c r="AP3299" i="55"/>
  <c r="AP3300" i="55"/>
  <c r="AP3301" i="55"/>
  <c r="AP3302" i="55"/>
  <c r="AP3303" i="55"/>
  <c r="AP3304" i="55"/>
  <c r="AP3305" i="55"/>
  <c r="AP3306" i="55"/>
  <c r="AP3307" i="55"/>
  <c r="AP3308" i="55"/>
  <c r="AP3309" i="55"/>
  <c r="AP3310" i="55"/>
  <c r="AP3311" i="55"/>
  <c r="AP3312" i="55"/>
  <c r="AP3313" i="55"/>
  <c r="AP3314" i="55"/>
  <c r="AP3315" i="55"/>
  <c r="AP3316" i="55"/>
  <c r="AP3317" i="55"/>
  <c r="AP3318" i="55"/>
  <c r="AP3319" i="55"/>
  <c r="AP3320" i="55"/>
  <c r="AP3321" i="55"/>
  <c r="AP3322" i="55"/>
  <c r="AP3323" i="55"/>
  <c r="AP3324" i="55"/>
  <c r="AP3325" i="55"/>
  <c r="AP3326" i="55"/>
  <c r="AP3327" i="55"/>
  <c r="AP3328" i="55"/>
  <c r="AP3329" i="55"/>
  <c r="AP3330" i="55"/>
  <c r="AP3331" i="55"/>
  <c r="AP3332" i="55"/>
  <c r="AP3333" i="55"/>
  <c r="AP3334" i="55"/>
  <c r="AP3335" i="55"/>
  <c r="AP3336" i="55"/>
  <c r="AP3337" i="55"/>
  <c r="AP3338" i="55"/>
  <c r="AP3339" i="55"/>
  <c r="AP3340" i="55"/>
  <c r="AP3341" i="55"/>
  <c r="AP3342" i="55"/>
  <c r="AP3343" i="55"/>
  <c r="AP3344" i="55"/>
  <c r="AP3345" i="55"/>
  <c r="AP3346" i="55"/>
  <c r="AP3347" i="55"/>
  <c r="AP3348" i="55"/>
  <c r="AP3349" i="55"/>
  <c r="AP3350" i="55"/>
  <c r="AP3351" i="55"/>
  <c r="AP3352" i="55"/>
  <c r="AP3353" i="55"/>
  <c r="AP3354" i="55"/>
  <c r="AP3355" i="55"/>
  <c r="AP3356" i="55"/>
  <c r="AP3357" i="55"/>
  <c r="AP3358" i="55"/>
  <c r="AP3359" i="55"/>
  <c r="AP3360" i="55"/>
  <c r="AP3361" i="55"/>
  <c r="AP3362" i="55"/>
  <c r="AP3363" i="55"/>
  <c r="AP3364" i="55"/>
  <c r="AP3365" i="55"/>
  <c r="AP3366" i="55"/>
  <c r="AP3367" i="55"/>
  <c r="AP3368" i="55"/>
  <c r="AP3369" i="55"/>
  <c r="AP3370" i="55"/>
  <c r="AP3371" i="55"/>
  <c r="AP3372" i="55"/>
  <c r="AP3373" i="55"/>
  <c r="AP3374" i="55"/>
  <c r="AP3375" i="55"/>
  <c r="AP3376" i="55"/>
  <c r="AP3377" i="55"/>
  <c r="AP3378" i="55"/>
  <c r="AP3379" i="55"/>
  <c r="AP3380" i="55"/>
  <c r="AP3381" i="55"/>
  <c r="AP3382" i="55"/>
  <c r="AP3383" i="55"/>
  <c r="AP3384" i="55"/>
  <c r="AP3385" i="55"/>
  <c r="AP3386" i="55"/>
  <c r="AP3387" i="55"/>
  <c r="AP3388" i="55"/>
  <c r="AP3389" i="55"/>
  <c r="AP3390" i="55"/>
  <c r="AP3391" i="55"/>
  <c r="AP3392" i="55"/>
  <c r="AP3393" i="55"/>
  <c r="AP3394" i="55"/>
  <c r="AP3395" i="55"/>
  <c r="AP3396" i="55"/>
  <c r="AP3397" i="55"/>
  <c r="AP3398" i="55"/>
  <c r="AP3399" i="55"/>
  <c r="AP3400" i="55"/>
  <c r="AP3401" i="55"/>
  <c r="AP3402" i="55"/>
  <c r="AP3403" i="55"/>
  <c r="AP3404" i="55"/>
  <c r="AP3405" i="55"/>
  <c r="AP3406" i="55"/>
  <c r="AP3407" i="55"/>
  <c r="AP3408" i="55"/>
  <c r="AP3409" i="55"/>
  <c r="AP3410" i="55"/>
  <c r="AP3411" i="55"/>
  <c r="AP3412" i="55"/>
  <c r="AP3413" i="55"/>
  <c r="AP3414" i="55"/>
  <c r="AP3415" i="55"/>
  <c r="AP3416" i="55"/>
  <c r="AP3417" i="55"/>
  <c r="AP3418" i="55"/>
  <c r="AP3419" i="55"/>
  <c r="AP3420" i="55"/>
  <c r="AP3421" i="55"/>
  <c r="AP3422" i="55"/>
  <c r="AP3423" i="55"/>
  <c r="AP3424" i="55"/>
  <c r="AP3425" i="55"/>
  <c r="AP3426" i="55"/>
  <c r="AP3427" i="55"/>
  <c r="AP3428" i="55"/>
  <c r="AP3429" i="55"/>
  <c r="AP3430" i="55"/>
  <c r="AP3431" i="55"/>
  <c r="AP3432" i="55"/>
  <c r="AP3433" i="55"/>
  <c r="AP3434" i="55"/>
  <c r="AP3435" i="55"/>
  <c r="AP3436" i="55"/>
  <c r="AP3437" i="55"/>
  <c r="AP3438" i="55"/>
  <c r="AP3439" i="55"/>
  <c r="AP3440" i="55"/>
  <c r="AP3441" i="55"/>
  <c r="AP3442" i="55"/>
  <c r="AP3443" i="55"/>
  <c r="AP3444" i="55"/>
  <c r="AP3445" i="55"/>
  <c r="AP3446" i="55"/>
  <c r="AP3447" i="55"/>
  <c r="AP3448" i="55"/>
  <c r="AP3449" i="55"/>
  <c r="AP3450" i="55"/>
  <c r="AP3451" i="55"/>
  <c r="AP3452" i="55"/>
  <c r="AP3453" i="55"/>
  <c r="AP3454" i="55"/>
  <c r="AP3455" i="55"/>
  <c r="AP3456" i="55"/>
  <c r="AP3457" i="55"/>
  <c r="AP3458" i="55"/>
  <c r="AP3459" i="55"/>
  <c r="AP3460" i="55"/>
  <c r="AP3461" i="55"/>
  <c r="AP3462" i="55"/>
  <c r="AP3463" i="55"/>
  <c r="AP3464" i="55"/>
  <c r="AP3465" i="55"/>
  <c r="AP3466" i="55"/>
  <c r="AP3467" i="55"/>
  <c r="AP3468" i="55"/>
  <c r="AP3469" i="55"/>
  <c r="AP3470" i="55"/>
  <c r="AP3471" i="55"/>
  <c r="AP3472" i="55"/>
  <c r="AP3473" i="55"/>
  <c r="AP3474" i="55"/>
  <c r="AP3475" i="55"/>
  <c r="AP3476" i="55"/>
  <c r="AP3477" i="55"/>
  <c r="AP3478" i="55"/>
  <c r="AP3479" i="55"/>
  <c r="AP3480" i="55"/>
  <c r="AP3481" i="55"/>
  <c r="AP3482" i="55"/>
  <c r="AP3483" i="55"/>
  <c r="AP3484" i="55"/>
  <c r="AP3485" i="55"/>
  <c r="AP3486" i="55"/>
  <c r="AP3487" i="55"/>
  <c r="AP3488" i="55"/>
  <c r="AP3489" i="55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J39" i="36"/>
  <c r="AJ40" i="36"/>
  <c r="AJ41" i="36"/>
  <c r="AJ42" i="36"/>
  <c r="AJ43" i="36"/>
  <c r="AJ44" i="36"/>
  <c r="AJ45" i="36"/>
  <c r="AJ46" i="36"/>
  <c r="AJ47" i="36"/>
  <c r="AJ48" i="36"/>
  <c r="AJ49" i="36"/>
  <c r="AJ50" i="36"/>
  <c r="AJ51" i="36"/>
  <c r="AJ52" i="36"/>
  <c r="AJ53" i="36"/>
  <c r="AJ54" i="36"/>
  <c r="AJ55" i="36"/>
  <c r="AJ56" i="36"/>
  <c r="AJ57" i="36"/>
  <c r="AJ58" i="36"/>
  <c r="AJ59" i="36"/>
  <c r="AJ60" i="36"/>
  <c r="AJ61" i="36"/>
  <c r="AJ62" i="36"/>
  <c r="AJ63" i="36"/>
  <c r="AJ64" i="36"/>
  <c r="AJ65" i="36"/>
  <c r="AJ66" i="36"/>
  <c r="AJ67" i="36"/>
  <c r="AJ68" i="36"/>
  <c r="AJ69" i="36"/>
  <c r="AJ70" i="36"/>
  <c r="AJ71" i="36"/>
  <c r="AJ72" i="36"/>
  <c r="AJ73" i="36"/>
  <c r="AJ74" i="36"/>
  <c r="AJ75" i="36"/>
  <c r="AJ76" i="36"/>
  <c r="AJ77" i="36"/>
  <c r="AJ78" i="36"/>
  <c r="AJ79" i="36"/>
  <c r="AJ80" i="36"/>
  <c r="AJ81" i="36"/>
  <c r="AJ82" i="36"/>
  <c r="AJ83" i="36"/>
  <c r="AJ84" i="36"/>
  <c r="AJ85" i="36"/>
  <c r="AJ86" i="36"/>
  <c r="AJ87" i="36"/>
  <c r="AJ88" i="36"/>
  <c r="AJ89" i="36"/>
  <c r="AJ90" i="36"/>
  <c r="AJ91" i="36"/>
  <c r="AJ92" i="36"/>
  <c r="AJ93" i="36"/>
  <c r="AJ94" i="36"/>
  <c r="AJ95" i="36"/>
  <c r="AJ96" i="36"/>
  <c r="AJ97" i="36"/>
  <c r="AJ98" i="36"/>
  <c r="AJ99" i="36"/>
  <c r="AJ100" i="36"/>
  <c r="AJ101" i="36"/>
  <c r="AJ102" i="36"/>
  <c r="AJ103" i="36"/>
  <c r="AJ104" i="36"/>
  <c r="AJ105" i="36"/>
  <c r="AJ106" i="36"/>
  <c r="AJ107" i="36"/>
  <c r="AJ108" i="36"/>
  <c r="AJ109" i="36"/>
  <c r="AJ110" i="36"/>
  <c r="AJ111" i="36"/>
  <c r="AJ112" i="36"/>
  <c r="AJ113" i="36"/>
  <c r="AJ114" i="36"/>
  <c r="AJ115" i="36"/>
  <c r="AJ116" i="36"/>
  <c r="AJ117" i="36"/>
  <c r="AJ118" i="36"/>
  <c r="AJ119" i="36"/>
  <c r="AJ120" i="36"/>
  <c r="AJ121" i="36"/>
  <c r="AJ122" i="36"/>
  <c r="AJ123" i="36"/>
  <c r="AJ124" i="36"/>
  <c r="AJ125" i="36"/>
  <c r="AJ126" i="36"/>
  <c r="AJ127" i="36"/>
  <c r="AJ128" i="36"/>
  <c r="AJ129" i="36"/>
  <c r="AJ130" i="36"/>
  <c r="AJ131" i="36"/>
  <c r="AJ132" i="36"/>
  <c r="AJ133" i="36"/>
  <c r="AJ134" i="36"/>
  <c r="AJ135" i="36"/>
  <c r="AJ136" i="36"/>
  <c r="AJ137" i="36"/>
  <c r="AJ138" i="36"/>
  <c r="AJ139" i="36"/>
  <c r="AJ140" i="36"/>
  <c r="AJ141" i="36"/>
  <c r="AJ142" i="36"/>
  <c r="AJ143" i="36"/>
  <c r="AJ144" i="36"/>
  <c r="AJ145" i="36"/>
  <c r="AJ146" i="36"/>
  <c r="AJ147" i="36"/>
  <c r="AJ148" i="36"/>
  <c r="AJ149" i="36"/>
  <c r="AJ150" i="36"/>
  <c r="AJ151" i="36"/>
  <c r="AJ152" i="36"/>
  <c r="AJ153" i="36"/>
  <c r="AJ154" i="36"/>
  <c r="AJ155" i="36"/>
  <c r="AJ156" i="36"/>
  <c r="AJ157" i="36"/>
  <c r="AJ158" i="36"/>
  <c r="AJ159" i="36"/>
  <c r="AJ160" i="36"/>
  <c r="AJ161" i="36"/>
  <c r="AJ162" i="36"/>
  <c r="AJ163" i="36"/>
  <c r="AJ164" i="36"/>
  <c r="AJ165" i="36"/>
  <c r="AJ166" i="36"/>
  <c r="AJ167" i="36"/>
  <c r="AJ168" i="36"/>
  <c r="AJ169" i="36"/>
  <c r="AJ170" i="36"/>
  <c r="AJ171" i="36"/>
  <c r="AJ172" i="36"/>
  <c r="AJ173" i="36"/>
  <c r="AJ174" i="36"/>
  <c r="AJ175" i="36"/>
  <c r="AJ176" i="36"/>
  <c r="AJ177" i="36"/>
  <c r="AJ178" i="36"/>
  <c r="AJ179" i="36"/>
  <c r="AJ180" i="36"/>
  <c r="AJ181" i="36"/>
  <c r="AJ182" i="36"/>
  <c r="AJ183" i="36"/>
  <c r="AJ184" i="36"/>
  <c r="AJ185" i="36"/>
  <c r="AJ186" i="36"/>
  <c r="AJ187" i="36"/>
  <c r="AJ188" i="36"/>
  <c r="AJ189" i="36"/>
  <c r="AJ190" i="36"/>
  <c r="AJ191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J318" i="36"/>
  <c r="AJ319" i="36"/>
  <c r="AJ320" i="36"/>
  <c r="AJ321" i="36"/>
  <c r="AJ322" i="36"/>
  <c r="AJ323" i="36"/>
  <c r="AJ324" i="36"/>
  <c r="AJ325" i="36"/>
  <c r="AJ326" i="36"/>
  <c r="AJ327" i="36"/>
  <c r="AJ328" i="36"/>
  <c r="AJ329" i="36"/>
  <c r="AJ330" i="36"/>
  <c r="AJ331" i="36"/>
  <c r="AJ332" i="36"/>
  <c r="AJ333" i="36"/>
  <c r="AJ334" i="36"/>
  <c r="AJ335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J397" i="36"/>
  <c r="AJ398" i="36"/>
  <c r="AJ399" i="36"/>
  <c r="AJ400" i="36"/>
  <c r="AJ401" i="36"/>
  <c r="AJ402" i="36"/>
  <c r="AJ403" i="36"/>
  <c r="AJ404" i="36"/>
  <c r="AJ405" i="36"/>
  <c r="AJ406" i="36"/>
  <c r="AJ407" i="36"/>
  <c r="AJ408" i="36"/>
  <c r="AJ409" i="36"/>
  <c r="AJ410" i="36"/>
  <c r="AJ411" i="36"/>
  <c r="AJ412" i="36"/>
  <c r="AJ413" i="36"/>
  <c r="AJ414" i="36"/>
  <c r="AJ415" i="36"/>
  <c r="AJ416" i="36"/>
  <c r="AJ417" i="36"/>
  <c r="AJ418" i="36"/>
  <c r="AJ419" i="36"/>
  <c r="AJ420" i="36"/>
  <c r="AJ421" i="36"/>
  <c r="AJ422" i="36"/>
  <c r="AJ423" i="36"/>
  <c r="AJ424" i="36"/>
  <c r="AJ425" i="36"/>
  <c r="AJ426" i="36"/>
  <c r="AJ427" i="36"/>
  <c r="AJ428" i="36"/>
  <c r="AJ429" i="36"/>
  <c r="AJ430" i="36"/>
  <c r="AJ431" i="36"/>
  <c r="AJ432" i="36"/>
  <c r="AJ433" i="36"/>
  <c r="AJ434" i="36"/>
  <c r="AJ435" i="36"/>
  <c r="AJ436" i="36"/>
  <c r="AJ437" i="36"/>
  <c r="AJ438" i="36"/>
  <c r="AJ439" i="36"/>
  <c r="AJ440" i="36"/>
  <c r="AJ441" i="36"/>
  <c r="AJ442" i="36"/>
  <c r="AJ443" i="36"/>
  <c r="AJ444" i="36"/>
  <c r="AJ445" i="36"/>
  <c r="AJ446" i="36"/>
  <c r="AJ447" i="36"/>
  <c r="AJ448" i="36"/>
  <c r="AJ449" i="36"/>
  <c r="AJ450" i="36"/>
  <c r="AJ451" i="36"/>
  <c r="AJ452" i="36"/>
  <c r="AJ453" i="36"/>
  <c r="AJ454" i="36"/>
  <c r="AJ455" i="36"/>
  <c r="AJ456" i="36"/>
  <c r="AJ457" i="36"/>
  <c r="AJ458" i="36"/>
  <c r="AJ459" i="36"/>
  <c r="AJ460" i="36"/>
  <c r="AJ461" i="36"/>
  <c r="AJ462" i="36"/>
  <c r="AJ463" i="36"/>
  <c r="AJ464" i="36"/>
  <c r="AJ465" i="36"/>
  <c r="AJ466" i="36"/>
  <c r="AJ467" i="36"/>
  <c r="AJ468" i="36"/>
  <c r="AJ469" i="36"/>
  <c r="AJ470" i="36"/>
  <c r="AJ471" i="36"/>
  <c r="AJ472" i="36"/>
  <c r="AJ473" i="36"/>
  <c r="AJ474" i="36"/>
  <c r="AJ475" i="36"/>
  <c r="AJ476" i="36"/>
  <c r="AJ477" i="36"/>
  <c r="AJ478" i="36"/>
  <c r="AJ479" i="36"/>
  <c r="AJ480" i="36"/>
  <c r="AJ481" i="36"/>
  <c r="AJ482" i="36"/>
  <c r="AJ483" i="36"/>
  <c r="AJ484" i="36"/>
  <c r="AJ485" i="36"/>
  <c r="AJ486" i="36"/>
  <c r="AJ487" i="36"/>
  <c r="AJ488" i="36"/>
  <c r="AJ489" i="36"/>
  <c r="AJ490" i="36"/>
  <c r="AJ491" i="36"/>
  <c r="AJ492" i="36"/>
  <c r="AJ493" i="36"/>
  <c r="AJ494" i="36"/>
  <c r="AJ495" i="36"/>
  <c r="AJ496" i="36"/>
  <c r="AJ497" i="36"/>
  <c r="AJ498" i="36"/>
  <c r="AJ499" i="36"/>
  <c r="AJ500" i="36"/>
  <c r="AJ501" i="36"/>
  <c r="AJ502" i="36"/>
  <c r="AJ503" i="36"/>
  <c r="AJ504" i="36"/>
  <c r="AJ505" i="36"/>
  <c r="AJ506" i="36"/>
  <c r="AJ507" i="36"/>
  <c r="AJ508" i="36"/>
  <c r="AJ509" i="36"/>
  <c r="AJ510" i="36"/>
  <c r="AJ511" i="36"/>
  <c r="AJ512" i="36"/>
  <c r="AJ513" i="36"/>
  <c r="AJ514" i="36"/>
  <c r="AJ515" i="36"/>
  <c r="AJ516" i="36"/>
  <c r="AJ517" i="36"/>
  <c r="AJ518" i="36"/>
  <c r="AJ519" i="36"/>
  <c r="AJ520" i="36"/>
  <c r="AJ521" i="36"/>
  <c r="AJ522" i="36"/>
  <c r="AJ523" i="36"/>
  <c r="AJ524" i="36"/>
  <c r="AJ525" i="36"/>
  <c r="AJ526" i="36"/>
  <c r="AJ527" i="36"/>
  <c r="AJ528" i="36"/>
  <c r="AJ529" i="36"/>
  <c r="AJ530" i="36"/>
  <c r="AJ531" i="36"/>
  <c r="AJ532" i="36"/>
  <c r="AJ533" i="36"/>
  <c r="AJ534" i="36"/>
  <c r="AJ535" i="36"/>
  <c r="AJ536" i="36"/>
  <c r="AJ537" i="36"/>
  <c r="AJ538" i="36"/>
  <c r="AJ539" i="36"/>
  <c r="AJ540" i="36"/>
  <c r="AJ541" i="36"/>
  <c r="AJ542" i="36"/>
  <c r="AJ543" i="36"/>
  <c r="AJ544" i="36"/>
  <c r="AJ545" i="36"/>
  <c r="AJ546" i="36"/>
  <c r="AJ547" i="36"/>
  <c r="AJ548" i="36"/>
  <c r="AJ549" i="36"/>
  <c r="AJ550" i="36"/>
  <c r="AJ551" i="36"/>
  <c r="AJ552" i="36"/>
  <c r="AJ553" i="36"/>
  <c r="AJ554" i="36"/>
  <c r="AJ555" i="36"/>
  <c r="AJ556" i="36"/>
  <c r="AJ557" i="36"/>
  <c r="AJ558" i="36"/>
  <c r="AJ559" i="36"/>
  <c r="AJ560" i="36"/>
  <c r="AJ561" i="36"/>
  <c r="AJ562" i="36"/>
  <c r="AJ563" i="36"/>
  <c r="AJ564" i="36"/>
  <c r="AJ565" i="36"/>
  <c r="AJ566" i="36"/>
  <c r="AJ567" i="36"/>
  <c r="AJ568" i="36"/>
  <c r="AJ569" i="36"/>
  <c r="AJ570" i="36"/>
  <c r="AJ571" i="36"/>
  <c r="AJ572" i="36"/>
  <c r="AJ573" i="36"/>
  <c r="AJ574" i="36"/>
  <c r="AJ575" i="36"/>
  <c r="AJ576" i="36"/>
  <c r="AJ577" i="36"/>
  <c r="AJ578" i="36"/>
  <c r="AJ579" i="36"/>
  <c r="AJ580" i="36"/>
  <c r="AJ581" i="36"/>
  <c r="AJ582" i="36"/>
  <c r="AJ583" i="36"/>
  <c r="AJ584" i="36"/>
  <c r="AJ585" i="36"/>
  <c r="AJ586" i="36"/>
  <c r="AJ587" i="36"/>
  <c r="AJ588" i="36"/>
  <c r="AJ589" i="36"/>
  <c r="AJ590" i="36"/>
  <c r="AJ591" i="36"/>
  <c r="AJ592" i="36"/>
  <c r="AJ593" i="36"/>
  <c r="AJ594" i="36"/>
  <c r="AJ595" i="36"/>
  <c r="AJ596" i="36"/>
  <c r="AJ597" i="36"/>
  <c r="AJ598" i="36"/>
  <c r="AJ599" i="36"/>
  <c r="AJ600" i="36"/>
  <c r="AJ601" i="36"/>
  <c r="AJ602" i="36"/>
  <c r="AJ603" i="36"/>
  <c r="AJ604" i="36"/>
  <c r="AJ605" i="36"/>
  <c r="AJ606" i="36"/>
  <c r="AJ607" i="36"/>
  <c r="AJ608" i="36"/>
  <c r="AJ609" i="36"/>
  <c r="AJ610" i="36"/>
  <c r="AJ611" i="36"/>
  <c r="AJ612" i="36"/>
  <c r="AJ613" i="36"/>
  <c r="AJ614" i="36"/>
  <c r="AJ615" i="36"/>
  <c r="AJ616" i="36"/>
  <c r="AJ617" i="36"/>
  <c r="AJ618" i="36"/>
  <c r="AJ619" i="36"/>
  <c r="AJ620" i="36"/>
  <c r="AJ621" i="36"/>
  <c r="AJ622" i="36"/>
  <c r="AJ623" i="36"/>
  <c r="AJ624" i="36"/>
  <c r="AJ625" i="36"/>
  <c r="AJ626" i="36"/>
  <c r="AJ627" i="36"/>
  <c r="AJ628" i="36"/>
  <c r="AJ629" i="36"/>
  <c r="AJ630" i="36"/>
  <c r="AJ631" i="36"/>
  <c r="AJ632" i="36"/>
  <c r="AJ633" i="36"/>
  <c r="AJ634" i="36"/>
  <c r="AJ635" i="36"/>
  <c r="AJ636" i="36"/>
  <c r="AJ637" i="36"/>
  <c r="AJ638" i="36"/>
  <c r="AJ639" i="36"/>
  <c r="AJ640" i="36"/>
  <c r="AJ641" i="36"/>
  <c r="AJ642" i="36"/>
  <c r="AJ643" i="36"/>
  <c r="AJ644" i="36"/>
  <c r="AJ645" i="36"/>
  <c r="AJ646" i="36"/>
  <c r="AJ647" i="36"/>
  <c r="AJ648" i="36"/>
  <c r="AJ649" i="36"/>
  <c r="AJ650" i="36"/>
  <c r="AJ651" i="36"/>
  <c r="AJ652" i="36"/>
  <c r="AJ653" i="36"/>
  <c r="AJ654" i="36"/>
  <c r="AJ655" i="36"/>
  <c r="AJ656" i="36"/>
  <c r="AJ657" i="36"/>
  <c r="AJ658" i="36"/>
  <c r="AJ659" i="36"/>
  <c r="AJ660" i="36"/>
  <c r="AJ661" i="36"/>
  <c r="AJ662" i="36"/>
  <c r="AJ663" i="36"/>
  <c r="AJ664" i="36"/>
  <c r="AJ665" i="36"/>
  <c r="AJ666" i="36"/>
  <c r="AJ667" i="36"/>
  <c r="AJ668" i="36"/>
  <c r="AJ669" i="36"/>
  <c r="AJ670" i="36"/>
  <c r="AJ671" i="36"/>
  <c r="AJ672" i="36"/>
  <c r="AJ673" i="36"/>
  <c r="AJ674" i="36"/>
  <c r="AJ675" i="36"/>
  <c r="AJ676" i="36"/>
  <c r="AJ677" i="36"/>
  <c r="AJ678" i="36"/>
  <c r="AJ679" i="36"/>
  <c r="AJ680" i="36"/>
  <c r="AJ681" i="36"/>
  <c r="AJ682" i="36"/>
  <c r="AJ683" i="36"/>
  <c r="AJ684" i="36"/>
  <c r="AJ685" i="36"/>
  <c r="AJ686" i="36"/>
  <c r="AJ687" i="36"/>
  <c r="AJ688" i="36"/>
  <c r="AJ689" i="36"/>
  <c r="AJ690" i="36"/>
  <c r="AJ691" i="36"/>
  <c r="AJ692" i="36"/>
  <c r="AJ693" i="36"/>
  <c r="AJ694" i="36"/>
  <c r="AJ695" i="36"/>
  <c r="AJ696" i="36"/>
  <c r="AJ697" i="36"/>
  <c r="AJ698" i="36"/>
  <c r="AJ699" i="36"/>
  <c r="AJ700" i="36"/>
  <c r="AJ701" i="36"/>
  <c r="AJ702" i="36"/>
  <c r="AJ703" i="36"/>
  <c r="AJ704" i="36"/>
  <c r="AJ705" i="36"/>
  <c r="AJ706" i="36"/>
  <c r="AJ707" i="36"/>
  <c r="AJ708" i="36"/>
  <c r="AJ709" i="36"/>
  <c r="AJ710" i="36"/>
  <c r="AJ711" i="36"/>
  <c r="AJ712" i="36"/>
  <c r="AJ713" i="36"/>
  <c r="AJ714" i="36"/>
  <c r="AJ715" i="36"/>
  <c r="AJ716" i="36"/>
  <c r="AJ717" i="36"/>
  <c r="AJ718" i="36"/>
  <c r="AJ719" i="36"/>
  <c r="AJ720" i="36"/>
  <c r="AJ721" i="36"/>
  <c r="AJ722" i="36"/>
  <c r="AJ723" i="36"/>
  <c r="AJ724" i="36"/>
  <c r="AJ725" i="36"/>
  <c r="AJ726" i="36"/>
  <c r="AJ727" i="36"/>
  <c r="AJ728" i="36"/>
  <c r="AJ729" i="36"/>
  <c r="AJ730" i="36"/>
  <c r="AJ731" i="36"/>
  <c r="AJ732" i="36"/>
  <c r="AJ733" i="36"/>
  <c r="AJ734" i="36"/>
  <c r="AJ735" i="36"/>
  <c r="AJ736" i="36"/>
  <c r="AJ737" i="36"/>
  <c r="AJ738" i="36"/>
  <c r="AJ739" i="36"/>
  <c r="AJ740" i="36"/>
  <c r="AJ741" i="36"/>
  <c r="AJ742" i="36"/>
  <c r="AJ743" i="36"/>
  <c r="AJ744" i="36"/>
  <c r="AJ745" i="36"/>
  <c r="AJ746" i="36"/>
  <c r="AJ747" i="36"/>
  <c r="AJ748" i="36"/>
  <c r="AJ749" i="36"/>
  <c r="AJ750" i="36"/>
  <c r="AJ751" i="36"/>
  <c r="AJ752" i="36"/>
  <c r="AJ753" i="36"/>
  <c r="AJ754" i="36"/>
  <c r="AJ755" i="36"/>
  <c r="AJ756" i="36"/>
  <c r="AJ757" i="36"/>
  <c r="AJ758" i="36"/>
  <c r="AJ759" i="36"/>
  <c r="AJ760" i="36"/>
  <c r="AJ761" i="36"/>
  <c r="AJ762" i="36"/>
  <c r="AJ763" i="36"/>
  <c r="AJ764" i="36"/>
  <c r="AJ765" i="36"/>
  <c r="AJ766" i="36"/>
  <c r="AJ767" i="36"/>
  <c r="AJ768" i="36"/>
  <c r="AJ769" i="36"/>
  <c r="AJ770" i="36"/>
  <c r="AJ771" i="36"/>
  <c r="AJ772" i="36"/>
  <c r="AJ773" i="36"/>
  <c r="AJ774" i="36"/>
  <c r="AJ775" i="36"/>
  <c r="AJ776" i="36"/>
  <c r="AJ777" i="36"/>
  <c r="AJ778" i="36"/>
  <c r="AJ779" i="36"/>
  <c r="AJ780" i="36"/>
  <c r="AJ781" i="36"/>
  <c r="AJ782" i="36"/>
  <c r="AJ783" i="36"/>
  <c r="AJ784" i="36"/>
  <c r="AJ785" i="36"/>
  <c r="AJ786" i="36"/>
  <c r="AJ787" i="36"/>
  <c r="AJ788" i="36"/>
  <c r="AJ789" i="36"/>
  <c r="AJ790" i="36"/>
  <c r="AJ791" i="36"/>
  <c r="AJ792" i="36"/>
  <c r="AJ793" i="36"/>
  <c r="AJ794" i="36"/>
  <c r="AJ795" i="36"/>
  <c r="AJ796" i="36"/>
  <c r="AJ797" i="36"/>
  <c r="AJ798" i="36"/>
  <c r="AJ799" i="36"/>
  <c r="AJ800" i="36"/>
  <c r="AJ801" i="36"/>
  <c r="AJ802" i="36"/>
  <c r="AJ803" i="36"/>
  <c r="AJ804" i="36"/>
  <c r="AJ805" i="36"/>
  <c r="AJ806" i="36"/>
  <c r="AJ807" i="36"/>
  <c r="AJ808" i="36"/>
  <c r="AJ809" i="36"/>
  <c r="AJ810" i="36"/>
  <c r="AJ811" i="36"/>
  <c r="AJ812" i="36"/>
  <c r="AJ813" i="36"/>
  <c r="AJ814" i="36"/>
  <c r="AJ815" i="36"/>
  <c r="AJ816" i="36"/>
  <c r="AJ817" i="36"/>
  <c r="AJ818" i="36"/>
  <c r="AJ819" i="36"/>
  <c r="AJ820" i="36"/>
  <c r="AJ821" i="36"/>
  <c r="AJ822" i="36"/>
  <c r="AJ823" i="36"/>
  <c r="AJ824" i="36"/>
  <c r="AJ825" i="36"/>
  <c r="AJ826" i="36"/>
  <c r="AJ827" i="36"/>
  <c r="AJ828" i="36"/>
  <c r="AJ829" i="36"/>
  <c r="AJ830" i="36"/>
  <c r="AJ831" i="36"/>
  <c r="AJ832" i="36"/>
  <c r="AJ833" i="36"/>
  <c r="AJ834" i="36"/>
  <c r="AJ835" i="36"/>
  <c r="AJ836" i="36"/>
  <c r="AJ837" i="36"/>
  <c r="AJ838" i="36"/>
  <c r="AJ839" i="36"/>
  <c r="AJ840" i="36"/>
  <c r="AJ841" i="36"/>
  <c r="AJ842" i="36"/>
  <c r="AJ843" i="36"/>
  <c r="AJ844" i="36"/>
  <c r="AJ845" i="36"/>
  <c r="AJ846" i="36"/>
  <c r="AJ847" i="36"/>
  <c r="AJ848" i="36"/>
  <c r="AJ849" i="36"/>
  <c r="AJ850" i="36"/>
  <c r="AJ851" i="36"/>
  <c r="AJ852" i="36"/>
  <c r="AJ853" i="36"/>
  <c r="AJ854" i="36"/>
  <c r="AJ855" i="36"/>
  <c r="AJ856" i="36"/>
  <c r="AJ857" i="36"/>
  <c r="AJ858" i="36"/>
  <c r="AJ859" i="36"/>
  <c r="AJ860" i="36"/>
  <c r="AJ861" i="36"/>
  <c r="AJ862" i="36"/>
  <c r="AJ863" i="36"/>
  <c r="AJ864" i="36"/>
  <c r="AJ865" i="36"/>
  <c r="AJ866" i="36"/>
  <c r="AJ867" i="36"/>
  <c r="AJ868" i="36"/>
  <c r="AJ869" i="36"/>
  <c r="AJ870" i="36"/>
  <c r="AJ871" i="36"/>
  <c r="AJ872" i="36"/>
  <c r="AJ873" i="36"/>
  <c r="AJ874" i="36"/>
  <c r="AJ875" i="36"/>
  <c r="AJ876" i="36"/>
  <c r="AJ877" i="36"/>
  <c r="AJ878" i="36"/>
  <c r="AJ879" i="36"/>
  <c r="AJ880" i="36"/>
  <c r="AJ881" i="36"/>
  <c r="AJ882" i="36"/>
  <c r="AJ883" i="36"/>
  <c r="AJ884" i="36"/>
  <c r="AJ885" i="36"/>
  <c r="AJ886" i="36"/>
  <c r="AJ887" i="36"/>
  <c r="AJ888" i="36"/>
  <c r="AJ889" i="36"/>
  <c r="AJ890" i="36"/>
  <c r="AJ891" i="36"/>
  <c r="AJ892" i="36"/>
  <c r="AJ893" i="36"/>
  <c r="AJ894" i="36"/>
  <c r="AJ895" i="36"/>
  <c r="AJ896" i="36"/>
  <c r="AJ897" i="36"/>
  <c r="AJ898" i="36"/>
  <c r="AJ899" i="36"/>
  <c r="AJ900" i="36"/>
  <c r="AJ901" i="36"/>
  <c r="AJ902" i="36"/>
  <c r="AJ903" i="36"/>
  <c r="AJ904" i="36"/>
  <c r="AJ905" i="36"/>
  <c r="AJ906" i="36"/>
  <c r="AJ907" i="36"/>
  <c r="AJ908" i="36"/>
  <c r="AJ909" i="36"/>
  <c r="AJ910" i="36"/>
  <c r="AJ911" i="36"/>
  <c r="AJ912" i="36"/>
  <c r="AJ913" i="36"/>
  <c r="AJ914" i="36"/>
  <c r="AJ915" i="36"/>
  <c r="AJ916" i="36"/>
  <c r="AJ917" i="36"/>
  <c r="AJ918" i="36"/>
  <c r="AJ919" i="36"/>
  <c r="AJ920" i="36"/>
  <c r="AJ921" i="36"/>
  <c r="AJ922" i="36"/>
  <c r="AJ923" i="36"/>
  <c r="AJ924" i="36"/>
  <c r="AJ925" i="36"/>
  <c r="AJ926" i="36"/>
  <c r="AJ927" i="36"/>
  <c r="AJ928" i="36"/>
  <c r="AJ929" i="36"/>
  <c r="AJ930" i="36"/>
  <c r="AJ931" i="36"/>
  <c r="AJ932" i="36"/>
  <c r="AJ933" i="36"/>
  <c r="AJ934" i="36"/>
  <c r="AJ935" i="36"/>
  <c r="AJ936" i="36"/>
  <c r="AJ937" i="36"/>
  <c r="AJ938" i="36"/>
  <c r="AJ939" i="36"/>
  <c r="AJ940" i="36"/>
  <c r="AJ941" i="36"/>
  <c r="AJ942" i="36"/>
  <c r="AJ943" i="36"/>
  <c r="AJ944" i="36"/>
  <c r="AJ945" i="36"/>
  <c r="AJ946" i="36"/>
  <c r="AJ947" i="36"/>
  <c r="AJ948" i="36"/>
  <c r="AJ949" i="36"/>
  <c r="AJ950" i="36"/>
  <c r="AJ951" i="36"/>
  <c r="AJ952" i="36"/>
  <c r="AJ953" i="36"/>
  <c r="AJ954" i="36"/>
  <c r="AJ955" i="36"/>
  <c r="AJ956" i="36"/>
  <c r="AJ957" i="36"/>
  <c r="AJ958" i="36"/>
  <c r="AJ959" i="36"/>
  <c r="AJ960" i="36"/>
  <c r="AJ961" i="36"/>
  <c r="AJ962" i="36"/>
  <c r="AJ963" i="36"/>
  <c r="AJ964" i="36"/>
  <c r="AJ965" i="36"/>
  <c r="AJ966" i="36"/>
  <c r="AJ967" i="36"/>
  <c r="AJ968" i="36"/>
  <c r="AJ969" i="36"/>
  <c r="AJ970" i="36"/>
  <c r="AJ971" i="36"/>
  <c r="AJ972" i="36"/>
  <c r="AJ973" i="36"/>
  <c r="AJ974" i="36"/>
  <c r="AJ975" i="36"/>
  <c r="AJ976" i="36"/>
  <c r="AJ977" i="36"/>
  <c r="AJ978" i="36"/>
  <c r="AJ979" i="36"/>
  <c r="AJ980" i="36"/>
  <c r="AJ981" i="36"/>
  <c r="AJ982" i="36"/>
  <c r="AJ983" i="36"/>
  <c r="AJ984" i="36"/>
  <c r="AJ985" i="36"/>
  <c r="AJ986" i="36"/>
  <c r="AJ987" i="36"/>
  <c r="AJ988" i="36"/>
  <c r="AJ989" i="36"/>
  <c r="AJ990" i="36"/>
  <c r="AJ991" i="36"/>
  <c r="AJ992" i="36"/>
  <c r="AJ993" i="36"/>
  <c r="AJ994" i="36"/>
  <c r="AJ995" i="36"/>
  <c r="AJ996" i="36"/>
  <c r="AJ997" i="36"/>
  <c r="AJ998" i="36"/>
  <c r="AJ999" i="36"/>
  <c r="AJ1000" i="36"/>
  <c r="AJ1001" i="36"/>
  <c r="AJ1002" i="36"/>
  <c r="AJ1003" i="36"/>
  <c r="AJ1004" i="36"/>
  <c r="AJ1005" i="36"/>
  <c r="AJ1006" i="36"/>
  <c r="AJ1007" i="36"/>
  <c r="AJ1008" i="36"/>
  <c r="AJ1009" i="36"/>
  <c r="AJ1010" i="36"/>
  <c r="AJ1011" i="36"/>
  <c r="AJ1012" i="36"/>
  <c r="AJ1013" i="36"/>
  <c r="AJ1014" i="36"/>
  <c r="AJ1015" i="36"/>
  <c r="AJ1016" i="36"/>
  <c r="AJ1017" i="36"/>
  <c r="AJ1018" i="36"/>
  <c r="AJ1019" i="36"/>
  <c r="AJ1020" i="36"/>
  <c r="AJ1021" i="36"/>
  <c r="AJ1022" i="36"/>
  <c r="AJ1023" i="36"/>
  <c r="AJ1024" i="36"/>
  <c r="AJ1025" i="36"/>
  <c r="AJ1026" i="36"/>
  <c r="AJ1027" i="36"/>
  <c r="AJ1028" i="36"/>
  <c r="AJ1029" i="36"/>
  <c r="AJ1030" i="36"/>
  <c r="AJ1031" i="36"/>
  <c r="AJ1032" i="36"/>
  <c r="AJ1033" i="36"/>
  <c r="AJ1034" i="36"/>
  <c r="AJ1035" i="36"/>
  <c r="AJ1036" i="36"/>
  <c r="AJ1037" i="36"/>
  <c r="AJ1038" i="36"/>
  <c r="AJ1039" i="36"/>
  <c r="AJ1040" i="36"/>
  <c r="AJ1041" i="36"/>
  <c r="AJ1042" i="36"/>
  <c r="AJ1043" i="36"/>
  <c r="AJ1044" i="36"/>
  <c r="AJ1045" i="36"/>
  <c r="AJ1046" i="36"/>
  <c r="AJ1047" i="36"/>
  <c r="AJ1048" i="36"/>
  <c r="AJ1049" i="36"/>
  <c r="AJ1050" i="36"/>
  <c r="AJ1051" i="36"/>
  <c r="AJ1052" i="36"/>
  <c r="AJ1053" i="36"/>
  <c r="AJ1054" i="36"/>
  <c r="AJ1055" i="36"/>
  <c r="AJ1056" i="36"/>
  <c r="AJ1057" i="36"/>
  <c r="AJ1058" i="36"/>
  <c r="AJ1059" i="36"/>
  <c r="AJ1060" i="36"/>
  <c r="AJ1061" i="36"/>
  <c r="AJ1062" i="36"/>
  <c r="AJ1063" i="36"/>
  <c r="AJ1064" i="36"/>
  <c r="AJ1065" i="36"/>
  <c r="AJ1066" i="36"/>
  <c r="AJ1067" i="36"/>
  <c r="AJ1068" i="36"/>
  <c r="AJ1069" i="36"/>
  <c r="AJ1070" i="36"/>
  <c r="AJ1071" i="36"/>
  <c r="AJ1072" i="36"/>
  <c r="AJ1073" i="36"/>
  <c r="AJ1074" i="36"/>
  <c r="AJ1075" i="36"/>
  <c r="AJ1076" i="36"/>
  <c r="AJ1077" i="36"/>
  <c r="AJ1078" i="36"/>
  <c r="AJ1079" i="36"/>
  <c r="AJ1080" i="36"/>
  <c r="AJ1081" i="36"/>
  <c r="AJ1082" i="36"/>
  <c r="AJ1083" i="36"/>
  <c r="AJ1084" i="36"/>
  <c r="AJ1085" i="36"/>
  <c r="AJ1086" i="36"/>
  <c r="AJ1087" i="36"/>
  <c r="AJ1088" i="36"/>
  <c r="AJ1089" i="36"/>
  <c r="AJ1090" i="36"/>
  <c r="AJ1091" i="36"/>
  <c r="AJ1092" i="36"/>
  <c r="AJ1093" i="36"/>
  <c r="AJ1094" i="36"/>
  <c r="AJ1095" i="36"/>
  <c r="AJ1096" i="36"/>
  <c r="AJ1097" i="36"/>
  <c r="AJ1098" i="36"/>
  <c r="AJ1099" i="36"/>
  <c r="AJ1100" i="36"/>
  <c r="AJ1101" i="36"/>
  <c r="AJ1102" i="36"/>
  <c r="AJ1103" i="36"/>
  <c r="AJ1104" i="36"/>
  <c r="AJ1105" i="36"/>
  <c r="AJ1106" i="36"/>
  <c r="AJ1107" i="36"/>
  <c r="AJ1108" i="36"/>
  <c r="AJ1109" i="36"/>
  <c r="AJ1110" i="36"/>
  <c r="AJ1111" i="36"/>
  <c r="AJ1112" i="36"/>
  <c r="AJ1113" i="36"/>
  <c r="AJ1114" i="36"/>
  <c r="AJ1115" i="36"/>
  <c r="AJ1116" i="36"/>
  <c r="AJ1117" i="36"/>
  <c r="AJ1118" i="36"/>
  <c r="AJ1119" i="36"/>
  <c r="AJ1120" i="36"/>
  <c r="AJ1121" i="36"/>
  <c r="AJ1122" i="36"/>
  <c r="AJ1123" i="36"/>
  <c r="AJ1124" i="36"/>
  <c r="AJ1125" i="36"/>
  <c r="AJ1126" i="36"/>
  <c r="AJ1127" i="36"/>
  <c r="AJ1128" i="36"/>
  <c r="AJ1129" i="36"/>
  <c r="AJ1130" i="36"/>
  <c r="AJ1131" i="36"/>
  <c r="AJ1132" i="36"/>
  <c r="AJ1133" i="36"/>
  <c r="AJ1134" i="36"/>
  <c r="AJ1135" i="36"/>
  <c r="AJ1136" i="36"/>
  <c r="AJ1137" i="36"/>
  <c r="AJ1138" i="36"/>
  <c r="AJ1139" i="36"/>
  <c r="AJ1140" i="36"/>
  <c r="AJ1141" i="36"/>
  <c r="AJ1142" i="36"/>
  <c r="AJ1143" i="36"/>
  <c r="AJ1144" i="36"/>
  <c r="AJ1145" i="36"/>
  <c r="AJ1146" i="36"/>
  <c r="AJ1147" i="36"/>
  <c r="AJ1148" i="36"/>
  <c r="AJ1149" i="36"/>
  <c r="AJ1150" i="36"/>
  <c r="AJ1151" i="36"/>
  <c r="AJ1152" i="36"/>
  <c r="AJ1153" i="36"/>
  <c r="AJ1154" i="36"/>
  <c r="AJ1155" i="36"/>
  <c r="AJ1156" i="36"/>
  <c r="AJ1157" i="36"/>
  <c r="AJ1158" i="36"/>
  <c r="AJ1159" i="36"/>
  <c r="AJ1160" i="36"/>
  <c r="AJ1161" i="36"/>
  <c r="AJ1162" i="36"/>
  <c r="AJ1163" i="36"/>
  <c r="AJ1164" i="36"/>
  <c r="AJ1165" i="36"/>
  <c r="AJ1166" i="36"/>
  <c r="AJ1167" i="36"/>
  <c r="AJ1168" i="36"/>
  <c r="AJ1169" i="36"/>
  <c r="AJ1170" i="36"/>
  <c r="AJ1171" i="36"/>
  <c r="AJ1172" i="36"/>
  <c r="AJ1173" i="36"/>
  <c r="AJ1174" i="36"/>
  <c r="AJ1175" i="36"/>
  <c r="AJ1176" i="36"/>
  <c r="AJ1177" i="36"/>
  <c r="AJ1178" i="36"/>
  <c r="AJ1179" i="36"/>
  <c r="AJ1180" i="36"/>
  <c r="AJ1181" i="36"/>
  <c r="AJ1182" i="36"/>
  <c r="AJ1183" i="36"/>
  <c r="AJ1184" i="36"/>
  <c r="AJ1185" i="36"/>
  <c r="AJ1186" i="36"/>
  <c r="AJ1187" i="36"/>
  <c r="AJ1188" i="36"/>
  <c r="AJ1189" i="36"/>
  <c r="AJ1190" i="36"/>
  <c r="AJ1191" i="36"/>
  <c r="AJ1192" i="36"/>
  <c r="AJ1193" i="36"/>
  <c r="AJ1194" i="36"/>
  <c r="AJ1195" i="36"/>
  <c r="AJ1196" i="36"/>
  <c r="AJ1197" i="36"/>
  <c r="AJ1198" i="36"/>
  <c r="AJ1199" i="36"/>
  <c r="AJ1200" i="36"/>
  <c r="AJ1201" i="36"/>
  <c r="AJ1202" i="36"/>
  <c r="AJ1203" i="36"/>
  <c r="AJ1204" i="36"/>
  <c r="AJ1205" i="36"/>
  <c r="AJ1206" i="36"/>
  <c r="AJ1207" i="36"/>
  <c r="AJ1208" i="36"/>
  <c r="AJ1209" i="36"/>
  <c r="AJ1210" i="36"/>
  <c r="AJ1211" i="36"/>
  <c r="AJ1212" i="36"/>
  <c r="AJ1213" i="36"/>
  <c r="AJ1214" i="36"/>
  <c r="AJ1215" i="36"/>
  <c r="AJ1216" i="36"/>
  <c r="AJ1217" i="36"/>
  <c r="AJ1218" i="36"/>
  <c r="AJ1219" i="36"/>
  <c r="AJ1220" i="36"/>
  <c r="AJ1221" i="36"/>
  <c r="AJ1222" i="36"/>
  <c r="AJ1223" i="36"/>
  <c r="AJ1224" i="36"/>
  <c r="AJ1225" i="36"/>
  <c r="AJ1226" i="36"/>
  <c r="AJ1227" i="36"/>
  <c r="AJ1228" i="36"/>
  <c r="AJ1229" i="36"/>
  <c r="AJ1230" i="36"/>
  <c r="AJ1231" i="36"/>
  <c r="AJ1232" i="36"/>
  <c r="AJ1233" i="36"/>
  <c r="AJ1234" i="36"/>
  <c r="AJ1235" i="36"/>
  <c r="AJ1236" i="36"/>
  <c r="AJ1237" i="36"/>
  <c r="AJ1238" i="36"/>
  <c r="AJ1239" i="36"/>
  <c r="AJ1240" i="36"/>
  <c r="AJ1241" i="36"/>
  <c r="AJ1242" i="36"/>
  <c r="AJ1243" i="36"/>
  <c r="AJ1244" i="36"/>
  <c r="AJ1245" i="36"/>
  <c r="AJ1246" i="36"/>
  <c r="AJ1247" i="36"/>
  <c r="AJ1248" i="36"/>
  <c r="AJ1249" i="36"/>
  <c r="AJ1250" i="36"/>
  <c r="AJ1251" i="36"/>
  <c r="AJ1252" i="36"/>
  <c r="AJ1253" i="36"/>
  <c r="AJ1254" i="36"/>
  <c r="AJ1255" i="36"/>
  <c r="AJ1256" i="36"/>
  <c r="AJ1257" i="36"/>
  <c r="AJ1258" i="36"/>
  <c r="AJ1259" i="36"/>
  <c r="AJ1260" i="36"/>
  <c r="AJ1261" i="36"/>
  <c r="AJ1262" i="36"/>
  <c r="AJ1263" i="36"/>
  <c r="AJ1264" i="36"/>
  <c r="AJ1265" i="36"/>
  <c r="AJ1266" i="36"/>
  <c r="AJ1267" i="36"/>
  <c r="AJ1268" i="36"/>
  <c r="AJ1269" i="36"/>
  <c r="AJ1270" i="36"/>
  <c r="AJ1271" i="36"/>
  <c r="AJ1272" i="36"/>
  <c r="AJ1273" i="36"/>
  <c r="AJ1274" i="36"/>
  <c r="AJ1275" i="36"/>
  <c r="AJ1276" i="36"/>
  <c r="AJ1277" i="36"/>
  <c r="AJ1278" i="36"/>
  <c r="AJ1279" i="36"/>
  <c r="AJ1280" i="36"/>
  <c r="AJ1281" i="36"/>
  <c r="AJ1282" i="36"/>
  <c r="AJ1283" i="36"/>
  <c r="AJ1284" i="36"/>
  <c r="AJ1285" i="36"/>
  <c r="AJ1286" i="36"/>
  <c r="AJ1287" i="36"/>
  <c r="AJ1288" i="36"/>
  <c r="AJ1289" i="36"/>
  <c r="AJ1290" i="36"/>
  <c r="AJ1291" i="36"/>
  <c r="AJ1292" i="36"/>
  <c r="AJ1293" i="36"/>
  <c r="AJ1294" i="36"/>
  <c r="AJ1295" i="36"/>
  <c r="AJ1296" i="36"/>
  <c r="AJ1297" i="36"/>
  <c r="AJ1298" i="36"/>
  <c r="AJ1299" i="36"/>
  <c r="AJ1300" i="36"/>
  <c r="AJ1301" i="36"/>
  <c r="AJ1302" i="36"/>
  <c r="AJ1303" i="36"/>
  <c r="AJ1304" i="36"/>
  <c r="AJ1305" i="36"/>
  <c r="AJ1306" i="36"/>
  <c r="AJ1307" i="36"/>
  <c r="AJ1308" i="36"/>
  <c r="AJ1309" i="36"/>
  <c r="AJ1310" i="36"/>
  <c r="AJ1311" i="36"/>
  <c r="AJ1312" i="36"/>
  <c r="AJ1313" i="36"/>
  <c r="AJ1314" i="36"/>
  <c r="AJ1315" i="36"/>
  <c r="AJ1316" i="36"/>
  <c r="AJ1317" i="36"/>
  <c r="AJ1318" i="36"/>
  <c r="AJ1319" i="36"/>
  <c r="AJ1320" i="36"/>
  <c r="AJ1321" i="36"/>
  <c r="AJ1322" i="36"/>
  <c r="AJ1323" i="36"/>
  <c r="AJ1324" i="36"/>
  <c r="AJ1325" i="36"/>
  <c r="AJ1326" i="36"/>
  <c r="AJ1327" i="36"/>
  <c r="AJ1328" i="36"/>
  <c r="AJ1329" i="36"/>
  <c r="AJ1330" i="36"/>
  <c r="AJ1331" i="36"/>
  <c r="AJ1332" i="36"/>
  <c r="AJ1333" i="36"/>
  <c r="AJ1334" i="36"/>
  <c r="AJ1335" i="36"/>
  <c r="AJ1336" i="36"/>
  <c r="AJ1337" i="36"/>
  <c r="AJ1338" i="36"/>
  <c r="AJ1339" i="36"/>
  <c r="AJ1340" i="36"/>
  <c r="AJ1341" i="36"/>
  <c r="AJ1342" i="36"/>
  <c r="AJ1343" i="36"/>
  <c r="AJ1344" i="36"/>
  <c r="AJ1345" i="36"/>
  <c r="AJ1346" i="36"/>
  <c r="AJ1347" i="36"/>
  <c r="AJ1348" i="36"/>
  <c r="AJ1349" i="36"/>
  <c r="AJ1350" i="36"/>
  <c r="AJ1351" i="36"/>
  <c r="AJ1352" i="36"/>
  <c r="AJ1353" i="36"/>
  <c r="AJ1354" i="36"/>
  <c r="AJ1355" i="36"/>
  <c r="AJ1356" i="36"/>
  <c r="AJ1357" i="36"/>
  <c r="AJ1358" i="36"/>
  <c r="AJ1359" i="36"/>
  <c r="AJ1360" i="36"/>
  <c r="AJ1361" i="36"/>
  <c r="AJ1362" i="36"/>
  <c r="AJ1363" i="36"/>
  <c r="AJ1364" i="36"/>
  <c r="AJ1365" i="36"/>
  <c r="AJ1366" i="36"/>
  <c r="AJ1367" i="36"/>
  <c r="AJ1368" i="36"/>
  <c r="AJ1369" i="36"/>
  <c r="AJ1370" i="36"/>
  <c r="AJ1371" i="36"/>
  <c r="AJ1372" i="36"/>
  <c r="AJ1373" i="36"/>
  <c r="AJ1374" i="36"/>
  <c r="AJ1375" i="36"/>
  <c r="AJ1376" i="36"/>
  <c r="AJ1377" i="36"/>
  <c r="AJ1378" i="36"/>
  <c r="AJ1379" i="36"/>
  <c r="AJ1380" i="36"/>
  <c r="AJ1381" i="36"/>
  <c r="AJ1382" i="36"/>
  <c r="AJ1383" i="36"/>
  <c r="AJ1384" i="36"/>
  <c r="AJ1385" i="36"/>
  <c r="AJ1386" i="36"/>
  <c r="AJ1387" i="36"/>
  <c r="AJ1388" i="36"/>
  <c r="AJ1389" i="36"/>
  <c r="AJ1390" i="36"/>
  <c r="AJ1391" i="36"/>
  <c r="AJ1392" i="36"/>
  <c r="AJ1393" i="36"/>
  <c r="AJ1394" i="36"/>
  <c r="AJ1395" i="36"/>
  <c r="AJ1396" i="36"/>
  <c r="AJ1397" i="36"/>
  <c r="AJ1398" i="36"/>
  <c r="AJ1399" i="36"/>
  <c r="AJ1400" i="36"/>
  <c r="AJ1401" i="36"/>
  <c r="AJ1402" i="36"/>
  <c r="AJ1403" i="36"/>
  <c r="AJ1404" i="36"/>
  <c r="AJ1405" i="36"/>
  <c r="AJ1406" i="36"/>
  <c r="AJ1407" i="36"/>
  <c r="AJ1408" i="36"/>
  <c r="AJ1409" i="36"/>
  <c r="AJ1410" i="36"/>
  <c r="AJ1411" i="36"/>
  <c r="AJ1412" i="36"/>
  <c r="AJ1413" i="36"/>
  <c r="AJ1414" i="36"/>
  <c r="AJ1415" i="36"/>
  <c r="AJ1416" i="36"/>
  <c r="AJ1417" i="36"/>
  <c r="AJ1418" i="36"/>
  <c r="AJ1419" i="36"/>
  <c r="AJ1420" i="36"/>
  <c r="AJ1421" i="36"/>
  <c r="AJ1422" i="36"/>
  <c r="AJ1423" i="36"/>
  <c r="AJ1424" i="36"/>
  <c r="AJ1425" i="36"/>
  <c r="AJ1426" i="36"/>
  <c r="AJ1427" i="36"/>
  <c r="AJ1428" i="36"/>
  <c r="AJ1429" i="36"/>
  <c r="AJ1430" i="36"/>
  <c r="AJ1431" i="36"/>
  <c r="AJ1432" i="36"/>
  <c r="AJ1433" i="36"/>
  <c r="AJ1434" i="36"/>
  <c r="AJ1435" i="36"/>
  <c r="AJ1436" i="36"/>
  <c r="AJ1437" i="36"/>
  <c r="AJ1438" i="36"/>
  <c r="AJ1439" i="36"/>
  <c r="AJ1440" i="36"/>
  <c r="AJ1441" i="36"/>
  <c r="AJ1442" i="36"/>
  <c r="AJ1443" i="36"/>
  <c r="AJ1444" i="36"/>
  <c r="AJ1445" i="36"/>
  <c r="AJ1446" i="36"/>
  <c r="AJ1447" i="36"/>
  <c r="AJ1448" i="36"/>
  <c r="AJ1449" i="36"/>
  <c r="AJ1450" i="36"/>
  <c r="AJ1451" i="36"/>
  <c r="AJ1452" i="36"/>
  <c r="AJ1453" i="36"/>
  <c r="AJ1454" i="36"/>
  <c r="AJ1455" i="36"/>
  <c r="AJ1456" i="36"/>
  <c r="AJ1457" i="36"/>
  <c r="AJ1458" i="36"/>
  <c r="AJ1459" i="36"/>
  <c r="AJ1460" i="36"/>
  <c r="AJ1461" i="36"/>
  <c r="AJ1462" i="36"/>
  <c r="AJ1463" i="36"/>
  <c r="AJ1464" i="36"/>
  <c r="AJ1465" i="36"/>
  <c r="AJ1466" i="36"/>
  <c r="AJ1467" i="36"/>
  <c r="AJ1468" i="36"/>
  <c r="AJ1469" i="36"/>
  <c r="AJ1470" i="36"/>
  <c r="AJ1471" i="36"/>
  <c r="AJ1472" i="36"/>
  <c r="AJ1473" i="36"/>
  <c r="AJ1474" i="36"/>
  <c r="AJ1475" i="36"/>
  <c r="AJ1476" i="36"/>
  <c r="AJ1477" i="36"/>
  <c r="AJ1478" i="36"/>
  <c r="AJ1479" i="36"/>
  <c r="AJ1480" i="36"/>
  <c r="AJ1481" i="36"/>
  <c r="AJ1482" i="36"/>
  <c r="AJ1483" i="36"/>
  <c r="AJ1484" i="36"/>
  <c r="AJ1485" i="36"/>
  <c r="AJ1486" i="36"/>
  <c r="AJ1487" i="36"/>
  <c r="AJ1488" i="36"/>
  <c r="AJ1489" i="36"/>
  <c r="AJ1490" i="36"/>
  <c r="AJ1491" i="36"/>
  <c r="AJ1492" i="36"/>
  <c r="AJ1493" i="36"/>
  <c r="AJ1494" i="36"/>
  <c r="AJ1495" i="36"/>
  <c r="AJ1496" i="36"/>
  <c r="AJ1497" i="36"/>
  <c r="AJ1498" i="36"/>
  <c r="AJ1499" i="36"/>
  <c r="AJ1500" i="36"/>
  <c r="AJ1501" i="36"/>
  <c r="AJ1502" i="36"/>
  <c r="AJ1503" i="36"/>
  <c r="AJ1504" i="36"/>
  <c r="AJ1505" i="36"/>
  <c r="AJ1506" i="36"/>
  <c r="AJ1507" i="36"/>
  <c r="AJ1508" i="36"/>
  <c r="AJ1509" i="36"/>
  <c r="AJ1510" i="36"/>
  <c r="AJ1511" i="36"/>
  <c r="AJ1512" i="36"/>
  <c r="AJ1513" i="36"/>
  <c r="AJ1514" i="36"/>
  <c r="AJ1515" i="36"/>
  <c r="AJ1516" i="36"/>
  <c r="AJ1517" i="36"/>
  <c r="AJ1518" i="36"/>
  <c r="AJ1519" i="36"/>
  <c r="AJ1520" i="36"/>
  <c r="AJ1521" i="36"/>
  <c r="AJ1522" i="36"/>
  <c r="AJ1523" i="36"/>
  <c r="AJ1524" i="36"/>
  <c r="AJ1525" i="36"/>
  <c r="AJ1526" i="36"/>
  <c r="AJ1527" i="36"/>
  <c r="AJ1528" i="36"/>
  <c r="AJ1529" i="36"/>
  <c r="AJ1530" i="36"/>
  <c r="AJ1531" i="36"/>
  <c r="AJ1532" i="36"/>
  <c r="AJ1533" i="36"/>
  <c r="AJ1534" i="36"/>
  <c r="AJ1535" i="36"/>
  <c r="AJ1536" i="36"/>
  <c r="AJ1537" i="36"/>
  <c r="AJ1538" i="36"/>
  <c r="AJ1539" i="36"/>
  <c r="AJ1540" i="36"/>
  <c r="AJ1541" i="36"/>
  <c r="AJ1542" i="36"/>
  <c r="AJ1543" i="36"/>
  <c r="AJ1544" i="36"/>
  <c r="AJ1545" i="36"/>
  <c r="AJ1546" i="36"/>
  <c r="AJ1547" i="36"/>
  <c r="AJ1548" i="36"/>
  <c r="AJ1549" i="36"/>
  <c r="AJ1550" i="36"/>
  <c r="AJ1551" i="36"/>
  <c r="AJ1552" i="36"/>
  <c r="AJ1553" i="36"/>
  <c r="AJ1554" i="36"/>
  <c r="AJ1555" i="36"/>
  <c r="AJ1556" i="36"/>
  <c r="AJ1557" i="36"/>
  <c r="AJ1558" i="36"/>
  <c r="AJ1559" i="36"/>
  <c r="AJ1560" i="36"/>
  <c r="AJ1561" i="36"/>
  <c r="AJ1562" i="36"/>
  <c r="AJ1563" i="36"/>
  <c r="AJ1564" i="36"/>
  <c r="AJ1565" i="36"/>
  <c r="AJ1566" i="36"/>
  <c r="AJ1567" i="36"/>
  <c r="AJ1568" i="36"/>
  <c r="AJ1569" i="36"/>
  <c r="AJ1570" i="36"/>
  <c r="AJ1571" i="36"/>
  <c r="AJ1572" i="36"/>
  <c r="AJ1573" i="36"/>
  <c r="AJ1574" i="36"/>
  <c r="AJ1575" i="36"/>
  <c r="AJ1576" i="36"/>
  <c r="AJ1577" i="36"/>
  <c r="AJ1578" i="36"/>
  <c r="AJ1579" i="36"/>
  <c r="AJ1580" i="36"/>
  <c r="AJ1581" i="36"/>
  <c r="AJ1582" i="36"/>
  <c r="AJ1583" i="36"/>
  <c r="AJ1584" i="36"/>
  <c r="AJ1585" i="36"/>
  <c r="AJ1586" i="36"/>
  <c r="AJ1587" i="36"/>
  <c r="AJ1588" i="36"/>
  <c r="AJ1589" i="36"/>
  <c r="AJ1590" i="36"/>
  <c r="AJ1591" i="36"/>
  <c r="AJ1592" i="36"/>
  <c r="AJ1593" i="36"/>
  <c r="AJ1594" i="36"/>
  <c r="AJ1595" i="36"/>
  <c r="AJ1596" i="36"/>
  <c r="AJ1597" i="36"/>
  <c r="AJ1598" i="36"/>
  <c r="AJ1599" i="36"/>
  <c r="AJ1600" i="36"/>
  <c r="AJ1601" i="36"/>
  <c r="AJ1602" i="36"/>
  <c r="AJ1603" i="36"/>
  <c r="AJ1604" i="36"/>
  <c r="AJ1605" i="36"/>
  <c r="AJ1606" i="36"/>
  <c r="AJ1607" i="36"/>
  <c r="AJ1608" i="36"/>
  <c r="AJ1609" i="36"/>
  <c r="AJ1610" i="36"/>
  <c r="AJ1611" i="36"/>
  <c r="AJ1612" i="36"/>
  <c r="AJ1613" i="36"/>
  <c r="AJ1614" i="36"/>
  <c r="AJ1615" i="36"/>
  <c r="AJ1616" i="36"/>
  <c r="AJ1617" i="36"/>
  <c r="AJ1618" i="36"/>
  <c r="AJ1619" i="36"/>
  <c r="AJ1620" i="36"/>
  <c r="AJ1621" i="36"/>
  <c r="AJ1622" i="36"/>
  <c r="AJ1623" i="36"/>
  <c r="AJ1624" i="36"/>
  <c r="AJ1625" i="36"/>
  <c r="AJ1626" i="36"/>
  <c r="AJ1627" i="36"/>
  <c r="AJ1628" i="36"/>
  <c r="AJ1629" i="36"/>
  <c r="AJ1630" i="36"/>
  <c r="AJ1631" i="36"/>
  <c r="AJ1632" i="36"/>
  <c r="AJ1633" i="36"/>
  <c r="AJ1634" i="36"/>
  <c r="AJ1635" i="36"/>
  <c r="AJ1636" i="36"/>
  <c r="AJ1637" i="36"/>
  <c r="AJ1638" i="36"/>
  <c r="AJ1639" i="36"/>
  <c r="AJ1640" i="36"/>
  <c r="AJ1641" i="36"/>
  <c r="AJ1642" i="36"/>
  <c r="AJ1643" i="36"/>
  <c r="AJ1644" i="36"/>
  <c r="AJ1645" i="36"/>
  <c r="AJ1646" i="36"/>
  <c r="AJ1647" i="36"/>
  <c r="AJ1648" i="36"/>
  <c r="AJ1649" i="36"/>
  <c r="AJ1650" i="36"/>
  <c r="AJ1651" i="36"/>
  <c r="AJ1652" i="36"/>
  <c r="AJ1653" i="36"/>
  <c r="AJ1654" i="36"/>
  <c r="AJ1655" i="36"/>
  <c r="AJ1656" i="36"/>
  <c r="AJ1657" i="36"/>
  <c r="AJ1658" i="36"/>
  <c r="AJ1659" i="36"/>
  <c r="AJ1660" i="36"/>
  <c r="AJ1661" i="36"/>
  <c r="AJ1662" i="36"/>
  <c r="AJ1663" i="36"/>
  <c r="AJ1664" i="36"/>
  <c r="AJ1665" i="36"/>
  <c r="AJ1666" i="36"/>
  <c r="AJ1667" i="36"/>
  <c r="AJ1668" i="36"/>
  <c r="AJ1669" i="36"/>
  <c r="AJ1670" i="36"/>
  <c r="AJ1671" i="36"/>
  <c r="AJ1672" i="36"/>
  <c r="AJ1673" i="36"/>
  <c r="AJ1674" i="36"/>
  <c r="AJ1675" i="36"/>
  <c r="AJ1676" i="36"/>
  <c r="AJ1677" i="36"/>
  <c r="AJ1678" i="36"/>
  <c r="AJ1679" i="36"/>
  <c r="AJ1680" i="36"/>
  <c r="AJ1681" i="36"/>
  <c r="AJ1682" i="36"/>
  <c r="AJ1683" i="36"/>
  <c r="AJ1684" i="36"/>
  <c r="AJ1685" i="36"/>
  <c r="AJ1686" i="36"/>
  <c r="AJ1687" i="36"/>
  <c r="AJ1688" i="36"/>
  <c r="AJ1689" i="36"/>
  <c r="AJ1690" i="36"/>
  <c r="AJ1691" i="36"/>
  <c r="AJ1692" i="36"/>
  <c r="AJ1693" i="36"/>
  <c r="AJ1694" i="36"/>
  <c r="AJ1695" i="36"/>
  <c r="AJ1696" i="36"/>
  <c r="AJ1697" i="36"/>
  <c r="AJ1698" i="36"/>
  <c r="AJ1699" i="36"/>
  <c r="AJ1700" i="36"/>
  <c r="AJ1701" i="36"/>
  <c r="AJ1702" i="36"/>
  <c r="AJ1703" i="36"/>
  <c r="AJ1704" i="36"/>
  <c r="AJ1705" i="36"/>
  <c r="AJ1706" i="36"/>
  <c r="AJ1707" i="36"/>
  <c r="AJ1708" i="36"/>
  <c r="AJ1709" i="36"/>
  <c r="AJ1710" i="36"/>
  <c r="AJ1711" i="36"/>
  <c r="AJ1712" i="36"/>
  <c r="AJ1713" i="36"/>
  <c r="AJ1714" i="36"/>
  <c r="AJ1715" i="36"/>
  <c r="AJ1716" i="36"/>
  <c r="AJ1717" i="36"/>
  <c r="AJ1718" i="36"/>
  <c r="AJ1719" i="36"/>
  <c r="AJ1720" i="36"/>
  <c r="AJ1721" i="36"/>
  <c r="AJ1722" i="36"/>
  <c r="AJ1723" i="36"/>
  <c r="AJ1724" i="36"/>
  <c r="AJ1725" i="36"/>
  <c r="AJ1726" i="36"/>
  <c r="AJ1727" i="36"/>
  <c r="AJ1728" i="36"/>
  <c r="AJ1729" i="36"/>
  <c r="AJ1730" i="36"/>
  <c r="AJ1731" i="36"/>
  <c r="AJ1732" i="36"/>
  <c r="AJ1733" i="36"/>
  <c r="AJ1734" i="36"/>
  <c r="AJ1735" i="36"/>
  <c r="AJ1736" i="36"/>
  <c r="AJ1737" i="36"/>
  <c r="AJ1738" i="36"/>
  <c r="AJ1739" i="36"/>
  <c r="AJ1740" i="36"/>
  <c r="AJ1741" i="36"/>
  <c r="AJ1742" i="36"/>
  <c r="AJ1743" i="36"/>
  <c r="AJ1744" i="36"/>
  <c r="AJ1745" i="36"/>
  <c r="AJ1746" i="36"/>
  <c r="AJ1747" i="36"/>
  <c r="AJ1748" i="36"/>
  <c r="AJ1749" i="36"/>
  <c r="AJ1750" i="36"/>
  <c r="AJ1751" i="36"/>
  <c r="AJ1752" i="36"/>
  <c r="AJ1753" i="36"/>
  <c r="AJ1754" i="36"/>
  <c r="AJ1755" i="36"/>
  <c r="AJ1756" i="36"/>
  <c r="AJ1757" i="36"/>
  <c r="AJ1758" i="36"/>
  <c r="AJ1759" i="36"/>
  <c r="AJ1760" i="36"/>
  <c r="AJ1761" i="36"/>
  <c r="AJ1762" i="36"/>
  <c r="AJ1763" i="36"/>
  <c r="AJ1764" i="36"/>
  <c r="AJ1765" i="36"/>
  <c r="AJ1766" i="36"/>
  <c r="AJ1767" i="36"/>
  <c r="AJ1768" i="36"/>
  <c r="AJ1769" i="36"/>
  <c r="AJ1770" i="36"/>
  <c r="AJ1771" i="36"/>
  <c r="AJ1772" i="36"/>
  <c r="AJ1773" i="36"/>
  <c r="AJ1774" i="36"/>
  <c r="AJ1775" i="36"/>
  <c r="AJ1776" i="36"/>
  <c r="AJ1777" i="36"/>
  <c r="AJ1778" i="36"/>
  <c r="AJ1779" i="36"/>
  <c r="AJ1780" i="36"/>
  <c r="AJ1781" i="36"/>
  <c r="AJ1782" i="36"/>
  <c r="AJ1783" i="36"/>
  <c r="AJ1784" i="36"/>
  <c r="AJ1785" i="36"/>
  <c r="AJ1786" i="36"/>
  <c r="AJ1787" i="36"/>
  <c r="AJ1788" i="36"/>
  <c r="AJ1789" i="36"/>
  <c r="AJ1790" i="36"/>
  <c r="AJ1791" i="36"/>
  <c r="AJ1792" i="36"/>
  <c r="AJ1793" i="36"/>
  <c r="AJ1794" i="36"/>
  <c r="AJ1795" i="36"/>
  <c r="AJ1796" i="36"/>
  <c r="AJ1797" i="36"/>
  <c r="AJ1798" i="36"/>
  <c r="AJ1799" i="36"/>
  <c r="AJ1800" i="36"/>
  <c r="AJ1801" i="36"/>
  <c r="AJ1802" i="36"/>
  <c r="AJ1803" i="36"/>
  <c r="AJ1804" i="36"/>
  <c r="AJ1805" i="36"/>
  <c r="AJ1806" i="36"/>
  <c r="AJ1807" i="36"/>
  <c r="AJ1808" i="36"/>
  <c r="AJ1809" i="36"/>
  <c r="AJ1810" i="36"/>
  <c r="AJ1811" i="36"/>
  <c r="AJ1812" i="36"/>
  <c r="AJ1813" i="36"/>
  <c r="AJ1814" i="36"/>
  <c r="AJ1815" i="36"/>
  <c r="AJ1816" i="36"/>
  <c r="AJ1817" i="36"/>
  <c r="AJ1818" i="36"/>
  <c r="AJ1819" i="36"/>
  <c r="AJ1820" i="36"/>
  <c r="AJ1821" i="36"/>
  <c r="AJ1822" i="36"/>
  <c r="AJ1823" i="36"/>
  <c r="AJ1824" i="36"/>
  <c r="AJ1825" i="36"/>
  <c r="AJ1826" i="36"/>
  <c r="AJ1827" i="36"/>
  <c r="AJ1828" i="36"/>
  <c r="AJ1829" i="36"/>
  <c r="AJ1830" i="36"/>
  <c r="AJ1831" i="36"/>
  <c r="AJ1832" i="36"/>
  <c r="AJ1833" i="36"/>
  <c r="AJ1834" i="36"/>
  <c r="AJ1835" i="36"/>
  <c r="AJ1836" i="36"/>
  <c r="AJ1837" i="36"/>
  <c r="AJ1838" i="36"/>
  <c r="AJ1839" i="36"/>
  <c r="AJ1840" i="36"/>
  <c r="AJ1841" i="36"/>
  <c r="AJ1842" i="36"/>
  <c r="AJ1843" i="36"/>
  <c r="AJ1844" i="36"/>
  <c r="AJ1845" i="36"/>
  <c r="AJ1846" i="36"/>
  <c r="AJ1847" i="36"/>
  <c r="AJ1848" i="36"/>
  <c r="AJ1849" i="36"/>
  <c r="AJ1850" i="36"/>
  <c r="AJ1851" i="36"/>
  <c r="AJ1852" i="36"/>
  <c r="AJ1853" i="36"/>
  <c r="AJ1854" i="36"/>
  <c r="AJ1855" i="36"/>
  <c r="AJ1856" i="36"/>
  <c r="AJ1857" i="36"/>
  <c r="AJ1858" i="36"/>
  <c r="AJ1859" i="36"/>
  <c r="AJ1860" i="36"/>
  <c r="AJ1861" i="36"/>
  <c r="AJ1862" i="36"/>
  <c r="AJ1863" i="36"/>
  <c r="AJ1864" i="36"/>
  <c r="AJ1865" i="36"/>
  <c r="AJ1866" i="36"/>
  <c r="AJ1867" i="36"/>
  <c r="AJ1868" i="36"/>
  <c r="AJ1869" i="36"/>
  <c r="AJ1870" i="36"/>
  <c r="AJ1871" i="36"/>
  <c r="AJ1872" i="36"/>
  <c r="AJ1873" i="36"/>
  <c r="AJ1874" i="36"/>
  <c r="AJ1875" i="36"/>
  <c r="AJ1876" i="36"/>
  <c r="AJ1877" i="36"/>
  <c r="AJ1878" i="36"/>
  <c r="AJ1879" i="36"/>
  <c r="AJ1880" i="36"/>
  <c r="AJ1881" i="36"/>
  <c r="AJ1882" i="36"/>
  <c r="AJ1883" i="36"/>
  <c r="AJ1884" i="36"/>
  <c r="AJ1885" i="36"/>
  <c r="AJ1886" i="36"/>
  <c r="AJ1887" i="36"/>
  <c r="AJ1888" i="36"/>
  <c r="AJ1889" i="36"/>
  <c r="AJ1890" i="36"/>
  <c r="AJ1891" i="36"/>
  <c r="AJ1892" i="36"/>
  <c r="AJ1893" i="36"/>
  <c r="AJ1894" i="36"/>
  <c r="AJ1895" i="36"/>
  <c r="AJ1896" i="36"/>
  <c r="AJ1897" i="36"/>
  <c r="AJ1898" i="36"/>
  <c r="AJ1899" i="36"/>
  <c r="AJ1900" i="36"/>
  <c r="AJ1901" i="36"/>
  <c r="AJ1902" i="36"/>
  <c r="AJ1903" i="36"/>
  <c r="AJ1904" i="36"/>
  <c r="AJ1905" i="36"/>
  <c r="AJ1906" i="36"/>
  <c r="AJ1907" i="36"/>
  <c r="AJ1908" i="36"/>
  <c r="AJ1909" i="36"/>
  <c r="AJ1910" i="36"/>
  <c r="AJ1911" i="36"/>
  <c r="AJ1912" i="36"/>
  <c r="AJ1913" i="36"/>
  <c r="AJ1914" i="36"/>
  <c r="AJ1915" i="36"/>
  <c r="AJ1916" i="36"/>
  <c r="AJ1917" i="36"/>
  <c r="AJ1918" i="36"/>
  <c r="AJ1919" i="36"/>
  <c r="AJ1920" i="36"/>
  <c r="AJ1921" i="36"/>
  <c r="AJ1922" i="36"/>
  <c r="AJ1923" i="36"/>
  <c r="AJ1924" i="36"/>
  <c r="AJ1925" i="36"/>
  <c r="AJ1926" i="36"/>
  <c r="AJ1927" i="36"/>
  <c r="AJ1928" i="36"/>
  <c r="AJ1929" i="36"/>
  <c r="AJ1930" i="36"/>
  <c r="AJ1931" i="36"/>
  <c r="AJ1932" i="36"/>
  <c r="AJ1933" i="36"/>
  <c r="AJ1934" i="36"/>
  <c r="AJ1935" i="36"/>
  <c r="AJ1936" i="36"/>
  <c r="AJ1937" i="36"/>
  <c r="AJ1938" i="36"/>
  <c r="AJ1939" i="36"/>
  <c r="AJ1940" i="36"/>
  <c r="AJ1941" i="36"/>
  <c r="AJ1942" i="36"/>
  <c r="AJ1943" i="36"/>
  <c r="AJ1944" i="36"/>
  <c r="AJ1945" i="36"/>
  <c r="AJ1946" i="36"/>
  <c r="AJ1947" i="36"/>
  <c r="AJ1948" i="36"/>
  <c r="AJ1949" i="36"/>
  <c r="AJ1950" i="36"/>
  <c r="AJ1951" i="36"/>
  <c r="AJ1952" i="36"/>
  <c r="AJ1953" i="36"/>
  <c r="AJ1954" i="36"/>
  <c r="AJ1955" i="36"/>
  <c r="AJ1956" i="36"/>
  <c r="AJ1957" i="36"/>
  <c r="AJ1958" i="36"/>
  <c r="AJ1959" i="36"/>
  <c r="AJ1960" i="36"/>
  <c r="AJ1961" i="36"/>
  <c r="AJ1962" i="36"/>
  <c r="AJ1963" i="36"/>
  <c r="AJ1964" i="36"/>
  <c r="AJ1965" i="36"/>
  <c r="AJ1966" i="36"/>
  <c r="AJ1967" i="36"/>
  <c r="AJ1968" i="36"/>
  <c r="AJ1969" i="36"/>
  <c r="AJ1970" i="36"/>
  <c r="AJ1971" i="36"/>
  <c r="AJ1972" i="36"/>
  <c r="AJ1973" i="36"/>
  <c r="AJ1974" i="36"/>
  <c r="AJ1975" i="36"/>
  <c r="AJ1976" i="36"/>
  <c r="AJ1977" i="36"/>
  <c r="AJ1978" i="36"/>
  <c r="AJ1979" i="36"/>
  <c r="AJ1980" i="36"/>
  <c r="AJ1981" i="36"/>
  <c r="AJ1982" i="36"/>
  <c r="AJ1983" i="36"/>
  <c r="AJ1984" i="36"/>
  <c r="AJ1985" i="36"/>
  <c r="AJ1986" i="36"/>
  <c r="AJ1987" i="36"/>
  <c r="AJ1988" i="36"/>
  <c r="AJ1989" i="36"/>
  <c r="AJ1990" i="36"/>
  <c r="AJ1991" i="36"/>
  <c r="AJ1992" i="36"/>
  <c r="AJ1993" i="36"/>
  <c r="AJ1994" i="36"/>
  <c r="AJ1995" i="36"/>
  <c r="AJ1996" i="36"/>
  <c r="AJ1997" i="36"/>
  <c r="AJ1998" i="36"/>
  <c r="AJ1999" i="36"/>
  <c r="AJ2000" i="36"/>
  <c r="AJ2001" i="36"/>
  <c r="AJ2002" i="36"/>
  <c r="AJ2003" i="36"/>
  <c r="AJ2004" i="36"/>
  <c r="AJ2005" i="36"/>
  <c r="AJ2006" i="36"/>
  <c r="AJ2007" i="36"/>
  <c r="AJ2008" i="36"/>
  <c r="AJ2009" i="36"/>
  <c r="AJ2010" i="36"/>
  <c r="AJ2011" i="36"/>
  <c r="AJ2012" i="36"/>
  <c r="AJ2013" i="36"/>
  <c r="AJ2014" i="36"/>
  <c r="AJ2015" i="36"/>
  <c r="AJ2016" i="36"/>
  <c r="AJ2017" i="36"/>
  <c r="AJ2018" i="36"/>
  <c r="AJ2019" i="36"/>
  <c r="AJ2020" i="36"/>
  <c r="AJ2021" i="36"/>
  <c r="AJ2022" i="36"/>
  <c r="AJ2023" i="36"/>
  <c r="AJ2024" i="36"/>
  <c r="AJ2025" i="36"/>
  <c r="AJ2026" i="36"/>
  <c r="AJ2027" i="36"/>
  <c r="AJ2028" i="36"/>
  <c r="AJ2029" i="36"/>
  <c r="AJ2030" i="36"/>
  <c r="AJ2031" i="36"/>
  <c r="AJ2032" i="36"/>
  <c r="AJ2033" i="36"/>
  <c r="AJ2034" i="36"/>
  <c r="AJ2035" i="36"/>
  <c r="AJ2036" i="36"/>
  <c r="AJ2037" i="36"/>
  <c r="AJ2038" i="36"/>
  <c r="AJ2039" i="36"/>
  <c r="AJ2040" i="36"/>
  <c r="AJ2041" i="36"/>
  <c r="AJ2042" i="36"/>
  <c r="AJ2043" i="36"/>
  <c r="AJ2044" i="36"/>
  <c r="AJ2045" i="36"/>
  <c r="AJ2046" i="36"/>
  <c r="AJ2047" i="36"/>
  <c r="AJ2048" i="36"/>
  <c r="AJ2049" i="36"/>
  <c r="AJ2050" i="36"/>
  <c r="AJ2051" i="36"/>
  <c r="AJ2052" i="36"/>
  <c r="AJ2053" i="36"/>
  <c r="AJ2054" i="36"/>
  <c r="AJ2055" i="36"/>
  <c r="AJ2056" i="36"/>
  <c r="AJ2057" i="36"/>
  <c r="AJ2058" i="36"/>
  <c r="AJ2059" i="36"/>
  <c r="AJ2060" i="36"/>
  <c r="AJ2061" i="36"/>
  <c r="AJ2062" i="36"/>
  <c r="AJ2063" i="36"/>
  <c r="AJ2064" i="36"/>
  <c r="AJ2065" i="36"/>
  <c r="AJ2066" i="36"/>
  <c r="AJ2067" i="36"/>
  <c r="AJ2068" i="36"/>
  <c r="AJ2069" i="36"/>
  <c r="AJ2070" i="36"/>
  <c r="AJ2071" i="36"/>
  <c r="AJ2072" i="36"/>
  <c r="AJ2073" i="36"/>
  <c r="AJ2074" i="36"/>
  <c r="AJ2075" i="36"/>
  <c r="AJ2076" i="36"/>
  <c r="AJ2077" i="36"/>
  <c r="AJ2078" i="36"/>
  <c r="AJ2079" i="36"/>
  <c r="AJ2080" i="36"/>
  <c r="AJ2081" i="36"/>
  <c r="AJ2082" i="36"/>
  <c r="AJ2083" i="36"/>
  <c r="AJ2084" i="36"/>
  <c r="AJ2085" i="36"/>
  <c r="AJ2086" i="36"/>
  <c r="AJ2087" i="36"/>
  <c r="AJ2088" i="36"/>
  <c r="AJ2089" i="36"/>
  <c r="AJ2090" i="36"/>
  <c r="AJ2091" i="36"/>
  <c r="AJ2092" i="36"/>
  <c r="AJ2093" i="36"/>
  <c r="AJ2094" i="36"/>
  <c r="AJ2095" i="36"/>
  <c r="AJ2096" i="36"/>
  <c r="AJ2097" i="36"/>
  <c r="AJ2098" i="36"/>
  <c r="AJ2099" i="36"/>
  <c r="AJ2100" i="36"/>
  <c r="AJ2101" i="36"/>
  <c r="AJ2102" i="36"/>
  <c r="AJ2103" i="36"/>
  <c r="AJ2104" i="36"/>
  <c r="AJ2105" i="36"/>
  <c r="AJ2106" i="36"/>
  <c r="AJ2107" i="36"/>
  <c r="AJ2108" i="36"/>
  <c r="AJ2109" i="36"/>
  <c r="AJ2110" i="36"/>
  <c r="AJ2111" i="36"/>
  <c r="AJ2112" i="36"/>
  <c r="AJ2113" i="36"/>
  <c r="AJ2114" i="36"/>
  <c r="AJ2115" i="36"/>
  <c r="AJ2116" i="36"/>
  <c r="AJ2117" i="36"/>
  <c r="AJ2118" i="36"/>
  <c r="AJ2119" i="36"/>
  <c r="AJ2120" i="36"/>
  <c r="AJ2121" i="36"/>
  <c r="AJ2122" i="36"/>
  <c r="AJ2123" i="36"/>
  <c r="AJ2124" i="36"/>
  <c r="AJ2125" i="36"/>
  <c r="AJ2126" i="36"/>
  <c r="AJ2127" i="36"/>
  <c r="AJ2128" i="36"/>
  <c r="AJ2129" i="36"/>
  <c r="AJ2130" i="36"/>
  <c r="AJ2131" i="36"/>
  <c r="AJ2132" i="36"/>
  <c r="AJ2133" i="36"/>
  <c r="AJ2134" i="36"/>
  <c r="AJ2135" i="36"/>
  <c r="AJ2136" i="36"/>
  <c r="AJ2137" i="36"/>
  <c r="AJ2138" i="36"/>
  <c r="AJ2139" i="36"/>
  <c r="AJ2140" i="36"/>
  <c r="AJ2141" i="36"/>
  <c r="AJ2142" i="36"/>
  <c r="AJ2143" i="36"/>
  <c r="AJ2144" i="36"/>
  <c r="AJ2145" i="36"/>
  <c r="AJ2146" i="36"/>
  <c r="AJ2147" i="36"/>
  <c r="AJ2148" i="36"/>
  <c r="AJ2149" i="36"/>
  <c r="AJ2150" i="36"/>
  <c r="AJ2151" i="36"/>
  <c r="AJ2152" i="36"/>
  <c r="AJ2153" i="36"/>
  <c r="AJ2154" i="36"/>
  <c r="AJ2155" i="36"/>
  <c r="AJ2156" i="36"/>
  <c r="AJ2157" i="36"/>
  <c r="AJ2158" i="36"/>
  <c r="AJ2159" i="36"/>
  <c r="AJ2160" i="36"/>
  <c r="AJ2161" i="36"/>
  <c r="AJ2162" i="36"/>
  <c r="AJ2163" i="36"/>
  <c r="AJ2164" i="36"/>
  <c r="AJ2165" i="36"/>
  <c r="AJ2166" i="36"/>
  <c r="AJ2167" i="36"/>
  <c r="AJ2168" i="36"/>
  <c r="AJ2169" i="36"/>
  <c r="AJ2170" i="36"/>
  <c r="AJ2171" i="36"/>
  <c r="AJ2172" i="36"/>
  <c r="AJ2173" i="36"/>
  <c r="AJ2174" i="36"/>
  <c r="AJ2175" i="36"/>
  <c r="AJ2176" i="36"/>
  <c r="AJ2177" i="36"/>
  <c r="AJ2178" i="36"/>
  <c r="AJ2179" i="36"/>
  <c r="AJ2180" i="36"/>
  <c r="AJ2181" i="36"/>
  <c r="AJ2182" i="36"/>
  <c r="AJ2183" i="36"/>
  <c r="AJ2184" i="36"/>
  <c r="AJ2185" i="36"/>
  <c r="AJ2186" i="36"/>
  <c r="AJ2187" i="36"/>
  <c r="AJ2188" i="36"/>
  <c r="AJ2189" i="36"/>
  <c r="AJ2190" i="36"/>
  <c r="AJ2191" i="36"/>
  <c r="AJ2192" i="36"/>
  <c r="AJ2193" i="36"/>
  <c r="AJ2194" i="36"/>
  <c r="AJ2195" i="36"/>
  <c r="AJ2196" i="36"/>
  <c r="AJ2197" i="36"/>
  <c r="AJ2198" i="36"/>
  <c r="AJ2199" i="36"/>
  <c r="AJ2200" i="36"/>
  <c r="AJ2201" i="36"/>
  <c r="AJ2202" i="36"/>
  <c r="AJ2203" i="36"/>
  <c r="AJ2204" i="36"/>
  <c r="AJ2205" i="36"/>
  <c r="AJ2206" i="36"/>
  <c r="AJ2207" i="36"/>
  <c r="AJ2208" i="36"/>
  <c r="AJ2209" i="36"/>
  <c r="AJ2210" i="36"/>
  <c r="AJ2211" i="36"/>
  <c r="AJ2212" i="36"/>
  <c r="AJ2213" i="36"/>
  <c r="AJ2214" i="36"/>
  <c r="AJ2215" i="36"/>
  <c r="AJ2216" i="36"/>
  <c r="AJ2217" i="36"/>
  <c r="AJ2218" i="36"/>
  <c r="AJ2219" i="36"/>
  <c r="AJ2220" i="36"/>
  <c r="AJ2221" i="36"/>
  <c r="AJ2222" i="36"/>
  <c r="AJ2223" i="36"/>
  <c r="AJ2224" i="36"/>
  <c r="AJ2225" i="36"/>
  <c r="AJ2226" i="36"/>
  <c r="AJ2227" i="36"/>
  <c r="AJ2228" i="36"/>
  <c r="AJ2229" i="36"/>
  <c r="AJ2230" i="36"/>
  <c r="AJ2231" i="36"/>
  <c r="AJ2232" i="36"/>
  <c r="AJ2233" i="36"/>
  <c r="AJ2234" i="36"/>
  <c r="AJ2235" i="36"/>
  <c r="AJ2236" i="36"/>
  <c r="AJ2237" i="36"/>
  <c r="AJ2238" i="36"/>
  <c r="AJ2239" i="36"/>
  <c r="AJ2240" i="36"/>
  <c r="AJ2241" i="36"/>
  <c r="AJ2242" i="36"/>
  <c r="AJ2243" i="36"/>
  <c r="AJ2244" i="36"/>
  <c r="AJ2245" i="36"/>
  <c r="AJ2246" i="36"/>
  <c r="AJ2247" i="36"/>
  <c r="AJ2248" i="36"/>
  <c r="AJ2249" i="36"/>
  <c r="AJ2250" i="36"/>
  <c r="AJ2251" i="36"/>
  <c r="AJ2252" i="36"/>
  <c r="AJ2253" i="36"/>
  <c r="AJ2254" i="36"/>
  <c r="AJ2255" i="36"/>
  <c r="AJ2256" i="36"/>
  <c r="AJ2257" i="36"/>
  <c r="AJ2258" i="36"/>
  <c r="AJ2259" i="36"/>
  <c r="AJ2260" i="36"/>
  <c r="AJ2261" i="36"/>
  <c r="AJ2262" i="36"/>
  <c r="AJ2263" i="36"/>
  <c r="AJ2264" i="36"/>
  <c r="AJ2265" i="36"/>
  <c r="AJ2266" i="36"/>
  <c r="AJ2267" i="36"/>
  <c r="AJ2268" i="36"/>
  <c r="AJ2269" i="36"/>
  <c r="AJ2270" i="36"/>
  <c r="AJ2271" i="36"/>
  <c r="AJ2272" i="36"/>
  <c r="AJ2273" i="36"/>
  <c r="AJ2274" i="36"/>
  <c r="AJ2275" i="36"/>
  <c r="AJ2276" i="36"/>
  <c r="AJ2277" i="36"/>
  <c r="AJ2278" i="36"/>
  <c r="AJ2279" i="36"/>
  <c r="AJ2280" i="36"/>
  <c r="AJ2281" i="36"/>
  <c r="AJ2282" i="36"/>
  <c r="AJ2283" i="36"/>
  <c r="AJ2284" i="36"/>
  <c r="AJ2285" i="36"/>
  <c r="AJ2286" i="36"/>
  <c r="AJ2287" i="36"/>
  <c r="AJ2288" i="36"/>
  <c r="AJ2289" i="36"/>
  <c r="AJ2290" i="36"/>
  <c r="AJ2291" i="36"/>
  <c r="AJ2292" i="36"/>
  <c r="AJ2293" i="36"/>
  <c r="AJ2294" i="36"/>
  <c r="AJ2295" i="36"/>
  <c r="AJ2296" i="36"/>
  <c r="AJ2297" i="36"/>
  <c r="AJ2298" i="36"/>
  <c r="AJ2299" i="36"/>
  <c r="AJ2300" i="36"/>
  <c r="AJ2301" i="36"/>
  <c r="AJ2302" i="36"/>
  <c r="AJ2303" i="36"/>
  <c r="AJ2304" i="36"/>
  <c r="AJ2305" i="36"/>
  <c r="AJ2306" i="36"/>
  <c r="AJ2307" i="36"/>
  <c r="AJ2308" i="36"/>
  <c r="AJ2309" i="36"/>
  <c r="AJ2310" i="36"/>
  <c r="AJ2311" i="36"/>
  <c r="AJ2312" i="36"/>
  <c r="AJ2313" i="36"/>
  <c r="AJ2314" i="36"/>
  <c r="AJ2315" i="36"/>
  <c r="AJ2316" i="36"/>
  <c r="AJ2317" i="36"/>
  <c r="AJ2318" i="36"/>
  <c r="AJ2319" i="36"/>
  <c r="AJ2320" i="36"/>
  <c r="AJ2321" i="36"/>
  <c r="AJ2322" i="36"/>
  <c r="AJ2323" i="36"/>
  <c r="AJ2324" i="36"/>
  <c r="AJ2325" i="36"/>
  <c r="AJ2326" i="36"/>
  <c r="AJ2327" i="36"/>
  <c r="AJ2328" i="36"/>
  <c r="AJ2329" i="36"/>
  <c r="AJ2330" i="36"/>
  <c r="AJ2331" i="36"/>
  <c r="AJ2332" i="36"/>
  <c r="AJ2333" i="36"/>
  <c r="AJ2334" i="36"/>
  <c r="AJ2335" i="36"/>
  <c r="AJ2336" i="36"/>
  <c r="AJ2337" i="36"/>
  <c r="AJ2338" i="36"/>
  <c r="AJ2339" i="36"/>
  <c r="AJ2340" i="36"/>
  <c r="AJ2341" i="36"/>
  <c r="AJ2342" i="36"/>
  <c r="AJ2343" i="36"/>
  <c r="AJ2344" i="36"/>
  <c r="AJ2345" i="36"/>
  <c r="AJ2346" i="36"/>
  <c r="AJ2347" i="36"/>
  <c r="AJ2348" i="36"/>
  <c r="AJ2349" i="36"/>
  <c r="AJ2350" i="36"/>
  <c r="AJ2351" i="36"/>
  <c r="AJ2352" i="36"/>
  <c r="AJ2353" i="36"/>
  <c r="AJ2354" i="36"/>
  <c r="AJ2355" i="36"/>
  <c r="AJ2356" i="36"/>
  <c r="AJ2357" i="36"/>
  <c r="AJ2358" i="36"/>
  <c r="AJ2359" i="36"/>
  <c r="AJ2360" i="36"/>
  <c r="AJ2361" i="36"/>
  <c r="AJ2362" i="36"/>
  <c r="AJ2363" i="36"/>
  <c r="AJ2364" i="36"/>
  <c r="AJ2365" i="36"/>
  <c r="AJ2366" i="36"/>
  <c r="AJ2367" i="36"/>
  <c r="AJ2368" i="36"/>
  <c r="AJ2369" i="36"/>
  <c r="AJ2370" i="36"/>
  <c r="AJ2371" i="36"/>
  <c r="AJ2372" i="36"/>
  <c r="AJ2373" i="36"/>
  <c r="AJ2374" i="36"/>
  <c r="AJ2375" i="36"/>
  <c r="AJ2376" i="36"/>
  <c r="AJ2377" i="36"/>
  <c r="AJ2378" i="36"/>
  <c r="AJ2379" i="36"/>
  <c r="AJ2380" i="36"/>
  <c r="AJ2381" i="36"/>
  <c r="AJ2382" i="36"/>
  <c r="AJ2383" i="36"/>
  <c r="AJ2384" i="36"/>
  <c r="AJ2385" i="36"/>
  <c r="AJ2386" i="36"/>
  <c r="AJ2387" i="36"/>
  <c r="AJ2388" i="36"/>
  <c r="AJ2389" i="36"/>
  <c r="AJ2390" i="36"/>
  <c r="AJ2391" i="36"/>
  <c r="AJ2392" i="36"/>
  <c r="AJ2393" i="36"/>
  <c r="AJ2394" i="36"/>
  <c r="AJ2395" i="36"/>
  <c r="AJ2396" i="36"/>
  <c r="AJ2397" i="36"/>
  <c r="AJ2398" i="36"/>
  <c r="AJ2399" i="36"/>
  <c r="AJ2400" i="36"/>
  <c r="AJ2401" i="36"/>
  <c r="AJ2402" i="36"/>
  <c r="AJ2403" i="36"/>
  <c r="AJ2404" i="36"/>
  <c r="AJ2405" i="36"/>
  <c r="AJ2406" i="36"/>
  <c r="AJ2407" i="36"/>
  <c r="AJ2408" i="36"/>
  <c r="AJ2409" i="36"/>
  <c r="AJ2410" i="36"/>
  <c r="AJ2411" i="36"/>
  <c r="AJ2412" i="36"/>
  <c r="AJ2413" i="36"/>
  <c r="AJ2414" i="36"/>
  <c r="AJ2415" i="36"/>
  <c r="AJ2416" i="36"/>
  <c r="AJ2417" i="36"/>
  <c r="AJ2418" i="36"/>
  <c r="AJ2419" i="36"/>
  <c r="AJ2420" i="36"/>
  <c r="AJ2421" i="36"/>
  <c r="AJ2422" i="36"/>
  <c r="AJ2423" i="36"/>
  <c r="AJ2424" i="36"/>
  <c r="AJ2425" i="36"/>
  <c r="AJ2426" i="36"/>
  <c r="AJ2427" i="36"/>
  <c r="AJ2428" i="36"/>
  <c r="AJ2429" i="36"/>
  <c r="AJ2430" i="36"/>
  <c r="AJ2431" i="36"/>
  <c r="AJ2432" i="36"/>
  <c r="AJ2433" i="36"/>
  <c r="AJ2434" i="36"/>
  <c r="AJ2435" i="36"/>
  <c r="AJ2436" i="36"/>
  <c r="AJ2437" i="36"/>
  <c r="AJ2438" i="36"/>
  <c r="AJ2439" i="36"/>
  <c r="AJ2440" i="36"/>
  <c r="AJ2441" i="36"/>
  <c r="AJ2442" i="36"/>
  <c r="AJ2443" i="36"/>
  <c r="AJ2444" i="36"/>
  <c r="AJ2445" i="36"/>
  <c r="AJ2446" i="36"/>
  <c r="AJ2447" i="36"/>
  <c r="AJ2448" i="36"/>
  <c r="AJ2449" i="36"/>
  <c r="AJ2450" i="36"/>
  <c r="AJ2451" i="36"/>
  <c r="AJ2452" i="36"/>
  <c r="AJ2453" i="36"/>
  <c r="AJ2454" i="36"/>
  <c r="AJ2455" i="36"/>
  <c r="AJ2456" i="36"/>
  <c r="AJ2457" i="36"/>
  <c r="AJ2458" i="36"/>
  <c r="AJ2459" i="36"/>
  <c r="AJ2460" i="36"/>
  <c r="AJ2461" i="36"/>
  <c r="AJ2462" i="36"/>
  <c r="AJ2463" i="36"/>
  <c r="AJ2464" i="36"/>
  <c r="AJ2465" i="36"/>
  <c r="AJ2466" i="36"/>
  <c r="AJ2467" i="36"/>
  <c r="AJ2468" i="36"/>
  <c r="AJ2469" i="36"/>
  <c r="AJ2470" i="36"/>
  <c r="AJ2471" i="36"/>
  <c r="AJ2472" i="36"/>
  <c r="AJ2473" i="36"/>
  <c r="AJ2474" i="36"/>
  <c r="AJ2475" i="36"/>
  <c r="AJ2476" i="36"/>
  <c r="AJ2477" i="36"/>
  <c r="AJ2478" i="36"/>
  <c r="AJ2479" i="36"/>
  <c r="AJ2480" i="36"/>
  <c r="AJ2481" i="36"/>
  <c r="AJ2482" i="36"/>
  <c r="AJ2483" i="36"/>
  <c r="AJ2484" i="36"/>
  <c r="AJ2485" i="36"/>
  <c r="AJ2486" i="36"/>
  <c r="AJ2487" i="36"/>
  <c r="AJ2488" i="36"/>
  <c r="AJ2489" i="36"/>
  <c r="AJ2490" i="36"/>
  <c r="AJ2491" i="36"/>
  <c r="AJ2492" i="36"/>
  <c r="AJ2493" i="36"/>
  <c r="AJ2494" i="36"/>
  <c r="AJ2495" i="36"/>
  <c r="AJ2496" i="36"/>
  <c r="AJ2497" i="36"/>
  <c r="AJ2498" i="36"/>
  <c r="AJ2499" i="36"/>
  <c r="AJ2500" i="36"/>
  <c r="AJ2501" i="36"/>
  <c r="AJ2502" i="36"/>
  <c r="AJ2503" i="36"/>
  <c r="AJ2504" i="36"/>
  <c r="AJ2505" i="36"/>
  <c r="AJ2506" i="36"/>
  <c r="AJ2507" i="36"/>
  <c r="AJ2508" i="36"/>
  <c r="AJ2509" i="36"/>
  <c r="AJ2510" i="36"/>
  <c r="AJ2511" i="36"/>
  <c r="AJ2512" i="36"/>
  <c r="AJ2513" i="36"/>
  <c r="AJ2514" i="36"/>
  <c r="AJ2515" i="36"/>
  <c r="AJ2516" i="36"/>
  <c r="AJ2517" i="36"/>
  <c r="AJ2518" i="36"/>
  <c r="AJ2519" i="36"/>
  <c r="AJ2520" i="36"/>
  <c r="AJ2521" i="36"/>
  <c r="AJ2522" i="36"/>
  <c r="AJ2523" i="36"/>
  <c r="AJ2524" i="36"/>
  <c r="AJ2525" i="36"/>
  <c r="AJ2526" i="36"/>
  <c r="AJ2527" i="36"/>
  <c r="AJ2528" i="36"/>
  <c r="AJ2529" i="36"/>
  <c r="AJ2530" i="36"/>
  <c r="AJ2531" i="36"/>
  <c r="AJ2532" i="36"/>
  <c r="AJ2533" i="36"/>
  <c r="AJ2534" i="36"/>
  <c r="AJ2535" i="36"/>
  <c r="AJ2536" i="36"/>
  <c r="AJ2537" i="36"/>
  <c r="AJ2538" i="36"/>
  <c r="AJ2539" i="36"/>
  <c r="AJ2540" i="36"/>
  <c r="AJ2541" i="36"/>
  <c r="AJ2542" i="36"/>
  <c r="AJ2543" i="36"/>
  <c r="AJ2544" i="36"/>
  <c r="AJ2545" i="36"/>
  <c r="AJ2546" i="36"/>
  <c r="AJ2547" i="36"/>
  <c r="AJ2548" i="36"/>
  <c r="AJ2549" i="36"/>
  <c r="AJ2550" i="36"/>
  <c r="AJ2551" i="36"/>
  <c r="AJ2552" i="36"/>
  <c r="AJ2553" i="36"/>
  <c r="AJ2554" i="36"/>
  <c r="AJ2555" i="36"/>
  <c r="AJ2556" i="36"/>
  <c r="AJ2557" i="36"/>
  <c r="AJ2558" i="36"/>
  <c r="AJ2559" i="36"/>
  <c r="AJ2560" i="36"/>
  <c r="AJ2561" i="36"/>
  <c r="AJ2562" i="36"/>
  <c r="AJ2563" i="36"/>
  <c r="AJ2564" i="36"/>
  <c r="AJ2565" i="36"/>
  <c r="AJ2566" i="36"/>
  <c r="AJ2567" i="36"/>
  <c r="AJ2568" i="36"/>
  <c r="AJ2569" i="36"/>
  <c r="AJ2570" i="36"/>
  <c r="AJ2571" i="36"/>
  <c r="AJ2572" i="36"/>
  <c r="AJ2573" i="36"/>
  <c r="AJ2574" i="36"/>
  <c r="AJ2575" i="36"/>
  <c r="AJ2576" i="36"/>
  <c r="AJ2577" i="36"/>
  <c r="AJ2578" i="36"/>
  <c r="AJ2579" i="36"/>
  <c r="AJ2580" i="36"/>
  <c r="AJ2581" i="36"/>
  <c r="AJ2582" i="36"/>
  <c r="AJ2583" i="36"/>
  <c r="AJ2584" i="36"/>
  <c r="AJ2585" i="36"/>
  <c r="AJ2586" i="36"/>
  <c r="AJ2587" i="36"/>
  <c r="AJ2588" i="36"/>
  <c r="AJ2589" i="36"/>
  <c r="AJ2590" i="36"/>
  <c r="AJ2591" i="36"/>
  <c r="AJ2592" i="36"/>
  <c r="AJ2593" i="36"/>
  <c r="AJ2594" i="36"/>
  <c r="AJ2595" i="36"/>
  <c r="AJ2596" i="36"/>
  <c r="AJ2597" i="36"/>
  <c r="AJ2598" i="36"/>
  <c r="AJ2599" i="36"/>
  <c r="AJ2600" i="36"/>
  <c r="AJ2601" i="36"/>
  <c r="AJ2602" i="36"/>
  <c r="AJ2603" i="36"/>
  <c r="AJ2604" i="36"/>
  <c r="AJ2605" i="36"/>
  <c r="AJ2606" i="36"/>
  <c r="AJ2607" i="36"/>
  <c r="AJ2608" i="36"/>
  <c r="AJ2609" i="36"/>
  <c r="AJ2610" i="36"/>
  <c r="AJ2611" i="36"/>
  <c r="AJ2612" i="36"/>
  <c r="AJ2613" i="36"/>
  <c r="AJ2614" i="36"/>
  <c r="AJ2615" i="36"/>
  <c r="AJ2616" i="36"/>
  <c r="AJ2617" i="36"/>
  <c r="AJ2618" i="36"/>
  <c r="AJ2619" i="36"/>
  <c r="AJ2620" i="36"/>
  <c r="AJ2621" i="36"/>
  <c r="AJ2622" i="36"/>
  <c r="AJ2623" i="36"/>
  <c r="AJ2624" i="36"/>
  <c r="AJ2625" i="36"/>
  <c r="AJ2626" i="36"/>
  <c r="AJ2627" i="36"/>
  <c r="AJ2628" i="36"/>
  <c r="AJ2629" i="36"/>
  <c r="AJ2630" i="36"/>
  <c r="AJ2631" i="36"/>
  <c r="AJ2632" i="36"/>
  <c r="AJ2633" i="36"/>
  <c r="AJ2634" i="36"/>
  <c r="AJ2635" i="36"/>
  <c r="AJ2636" i="36"/>
  <c r="AJ2637" i="36"/>
  <c r="AJ2638" i="36"/>
  <c r="AJ2639" i="36"/>
  <c r="AJ2640" i="36"/>
  <c r="AJ2641" i="36"/>
  <c r="AJ2642" i="36"/>
  <c r="AJ2643" i="36"/>
  <c r="AJ2644" i="36"/>
  <c r="AJ2645" i="36"/>
  <c r="AJ2646" i="36"/>
  <c r="AJ2647" i="36"/>
  <c r="AJ2648" i="36"/>
  <c r="AJ2649" i="36"/>
  <c r="AJ2650" i="36"/>
  <c r="AJ2651" i="36"/>
  <c r="AJ2652" i="36"/>
  <c r="AJ2653" i="36"/>
  <c r="AJ2654" i="36"/>
  <c r="AJ2655" i="36"/>
  <c r="AJ2656" i="36"/>
  <c r="AJ2657" i="36"/>
  <c r="AJ2658" i="36"/>
  <c r="AJ2659" i="36"/>
  <c r="AJ2660" i="36"/>
  <c r="AJ2661" i="36"/>
  <c r="AJ2662" i="36"/>
  <c r="AJ2663" i="36"/>
  <c r="AJ2664" i="36"/>
  <c r="AJ2665" i="36"/>
  <c r="AJ2666" i="36"/>
  <c r="AJ2667" i="36"/>
  <c r="AJ2668" i="36"/>
  <c r="AJ2669" i="36"/>
  <c r="AJ2670" i="36"/>
  <c r="AJ2671" i="36"/>
  <c r="AJ2672" i="36"/>
  <c r="AJ2673" i="36"/>
  <c r="AJ2674" i="36"/>
  <c r="AJ2675" i="36"/>
  <c r="AJ2676" i="36"/>
  <c r="AJ2677" i="36"/>
  <c r="AJ2678" i="36"/>
  <c r="AJ2679" i="36"/>
  <c r="AJ2680" i="36"/>
  <c r="AJ2681" i="36"/>
  <c r="AJ2682" i="36"/>
  <c r="AJ2683" i="36"/>
  <c r="AJ2684" i="36"/>
  <c r="AJ2685" i="36"/>
  <c r="AJ2686" i="36"/>
  <c r="AJ2687" i="36"/>
  <c r="AJ2688" i="36"/>
  <c r="AJ2689" i="36"/>
  <c r="AJ2690" i="36"/>
  <c r="AJ2691" i="36"/>
  <c r="AJ2692" i="36"/>
  <c r="AJ2693" i="36"/>
  <c r="AJ2694" i="36"/>
  <c r="AJ2695" i="36"/>
  <c r="AJ2696" i="36"/>
  <c r="AJ2697" i="36"/>
  <c r="AJ2698" i="36"/>
  <c r="AJ2699" i="36"/>
  <c r="AJ2700" i="36"/>
  <c r="AJ2701" i="36"/>
  <c r="AJ2702" i="36"/>
  <c r="AJ2703" i="36"/>
  <c r="AJ2704" i="36"/>
  <c r="AJ2705" i="36"/>
  <c r="AJ2706" i="36"/>
  <c r="AJ2707" i="36"/>
  <c r="AJ2708" i="36"/>
  <c r="AJ2709" i="36"/>
  <c r="AJ2710" i="36"/>
  <c r="AJ2711" i="36"/>
  <c r="AJ2712" i="36"/>
  <c r="AJ2713" i="36"/>
  <c r="AJ2714" i="36"/>
  <c r="AJ2715" i="36"/>
  <c r="AJ2716" i="36"/>
  <c r="AJ2717" i="36"/>
  <c r="AJ2718" i="36"/>
  <c r="AJ2719" i="36"/>
  <c r="AJ2720" i="36"/>
  <c r="AJ2721" i="36"/>
  <c r="AJ2722" i="36"/>
  <c r="AJ2723" i="36"/>
  <c r="AJ2724" i="36"/>
  <c r="AJ2725" i="36"/>
  <c r="AJ2726" i="36"/>
  <c r="AJ2727" i="36"/>
  <c r="AJ2728" i="36"/>
  <c r="AJ2729" i="36"/>
  <c r="AJ2730" i="36"/>
  <c r="AJ2731" i="36"/>
  <c r="AJ2732" i="36"/>
  <c r="AJ2733" i="36"/>
  <c r="AJ2734" i="36"/>
  <c r="AJ2735" i="36"/>
  <c r="AJ2736" i="36"/>
  <c r="AJ2737" i="36"/>
  <c r="AJ2738" i="36"/>
  <c r="AJ2739" i="36"/>
  <c r="AJ2740" i="36"/>
  <c r="AJ2741" i="36"/>
  <c r="AJ2742" i="36"/>
  <c r="AJ2743" i="36"/>
  <c r="AJ2744" i="36"/>
  <c r="AJ2745" i="36"/>
  <c r="AJ2746" i="36"/>
  <c r="AJ2747" i="36"/>
  <c r="AJ2748" i="36"/>
  <c r="AJ2749" i="36"/>
  <c r="AJ2750" i="36"/>
  <c r="AJ2751" i="36"/>
  <c r="AJ2752" i="36"/>
  <c r="AJ2753" i="36"/>
  <c r="AJ2754" i="36"/>
  <c r="AJ2755" i="36"/>
  <c r="AJ2756" i="36"/>
  <c r="AJ2757" i="36"/>
  <c r="AJ2758" i="36"/>
  <c r="AJ2759" i="36"/>
  <c r="AJ2760" i="36"/>
  <c r="AJ2761" i="36"/>
  <c r="AJ2762" i="36"/>
  <c r="AJ2763" i="36"/>
  <c r="AJ2764" i="36"/>
  <c r="AJ2765" i="36"/>
  <c r="AJ2766" i="36"/>
  <c r="AJ2767" i="36"/>
  <c r="AJ2768" i="36"/>
  <c r="AJ2769" i="36"/>
  <c r="AJ2770" i="36"/>
  <c r="AJ2771" i="36"/>
  <c r="AJ2772" i="36"/>
  <c r="AJ2773" i="36"/>
  <c r="AJ2774" i="36"/>
  <c r="AJ2775" i="36"/>
  <c r="AJ2776" i="36"/>
  <c r="AJ2777" i="36"/>
  <c r="AJ2778" i="36"/>
  <c r="AJ2779" i="36"/>
  <c r="AJ2780" i="36"/>
  <c r="AJ2781" i="36"/>
  <c r="AJ2782" i="36"/>
  <c r="AJ2783" i="36"/>
  <c r="AJ2784" i="36"/>
  <c r="AJ2785" i="36"/>
  <c r="AJ2786" i="36"/>
  <c r="AJ2787" i="36"/>
  <c r="AJ2788" i="36"/>
  <c r="AJ2789" i="36"/>
  <c r="AJ2790" i="36"/>
  <c r="AJ2791" i="36"/>
  <c r="AJ2792" i="36"/>
  <c r="AJ2793" i="36"/>
  <c r="AJ2794" i="36"/>
  <c r="AJ2795" i="36"/>
  <c r="AJ2796" i="36"/>
  <c r="AJ2797" i="36"/>
  <c r="AJ2798" i="36"/>
  <c r="AJ2799" i="36"/>
  <c r="AJ2800" i="36"/>
  <c r="AJ2801" i="36"/>
  <c r="AJ2802" i="36"/>
  <c r="AJ2803" i="36"/>
  <c r="AJ2804" i="36"/>
  <c r="AJ2805" i="36"/>
  <c r="AJ2806" i="36"/>
  <c r="AJ2807" i="36"/>
  <c r="AJ2808" i="36"/>
  <c r="AJ2809" i="36"/>
  <c r="AJ2810" i="36"/>
  <c r="AJ2811" i="36"/>
  <c r="AJ2812" i="36"/>
  <c r="AJ2813" i="36"/>
  <c r="AJ2814" i="36"/>
  <c r="AJ2815" i="36"/>
  <c r="AJ2816" i="36"/>
  <c r="AJ2817" i="36"/>
  <c r="AJ2818" i="36"/>
  <c r="AJ2819" i="36"/>
  <c r="AJ2820" i="36"/>
  <c r="AJ2821" i="36"/>
  <c r="AJ2822" i="36"/>
  <c r="AJ2823" i="36"/>
  <c r="AJ2824" i="36"/>
  <c r="AJ2825" i="36"/>
  <c r="AJ2826" i="36"/>
  <c r="AJ2827" i="36"/>
  <c r="AJ2828" i="36"/>
  <c r="AJ2829" i="36"/>
  <c r="AJ2830" i="36"/>
  <c r="AJ2831" i="36"/>
  <c r="AJ2832" i="36"/>
  <c r="AJ2833" i="36"/>
  <c r="AJ2834" i="36"/>
  <c r="AJ2835" i="36"/>
  <c r="AJ2836" i="36"/>
  <c r="AJ2837" i="36"/>
  <c r="AJ2838" i="36"/>
  <c r="AJ2839" i="36"/>
  <c r="AJ2840" i="36"/>
  <c r="AJ2841" i="36"/>
  <c r="AJ2842" i="36"/>
  <c r="AJ2843" i="36"/>
  <c r="AJ2844" i="36"/>
  <c r="AJ2845" i="36"/>
  <c r="AJ2846" i="36"/>
  <c r="AJ2847" i="36"/>
  <c r="AJ2848" i="36"/>
  <c r="AJ2849" i="36"/>
  <c r="AJ2850" i="36"/>
  <c r="AJ2851" i="36"/>
  <c r="AJ2852" i="36"/>
  <c r="AJ2853" i="36"/>
  <c r="AJ2854" i="36"/>
  <c r="AJ2855" i="36"/>
  <c r="AJ2856" i="36"/>
  <c r="AJ2857" i="36"/>
  <c r="AJ2858" i="36"/>
  <c r="AJ2859" i="36"/>
  <c r="AJ2860" i="36"/>
  <c r="AJ2861" i="36"/>
  <c r="AJ2862" i="36"/>
  <c r="AJ2863" i="36"/>
  <c r="AJ2864" i="36"/>
  <c r="AJ2865" i="36"/>
  <c r="AJ2866" i="36"/>
  <c r="AJ2867" i="36"/>
  <c r="AJ2868" i="36"/>
  <c r="AJ2869" i="36"/>
  <c r="AJ2870" i="36"/>
  <c r="AJ2871" i="36"/>
  <c r="AJ2872" i="36"/>
  <c r="AJ2873" i="36"/>
  <c r="AJ2874" i="36"/>
  <c r="AJ2875" i="36"/>
  <c r="AJ2876" i="36"/>
  <c r="AJ2877" i="36"/>
  <c r="AJ2878" i="36"/>
  <c r="AJ2879" i="36"/>
  <c r="AJ2880" i="36"/>
  <c r="AJ2881" i="36"/>
  <c r="AJ2882" i="36"/>
  <c r="AJ2883" i="36"/>
  <c r="AJ2884" i="36"/>
  <c r="AJ2885" i="36"/>
  <c r="AJ2886" i="36"/>
  <c r="AJ2887" i="36"/>
  <c r="AJ2888" i="36"/>
  <c r="AJ2889" i="36"/>
  <c r="AJ2890" i="36"/>
  <c r="AJ2891" i="36"/>
  <c r="AJ2892" i="36"/>
  <c r="AJ2893" i="36"/>
  <c r="AJ2894" i="36"/>
  <c r="AJ2895" i="36"/>
  <c r="AJ2896" i="36"/>
  <c r="AJ2897" i="36"/>
  <c r="AJ2898" i="36"/>
  <c r="AJ2899" i="36"/>
  <c r="AJ2900" i="36"/>
  <c r="AJ2901" i="36"/>
  <c r="AJ2902" i="36"/>
  <c r="AJ2903" i="36"/>
  <c r="AJ2904" i="36"/>
  <c r="AJ2905" i="36"/>
  <c r="AJ2906" i="36"/>
  <c r="AJ2907" i="36"/>
  <c r="AJ2908" i="36"/>
  <c r="AJ2909" i="36"/>
  <c r="AJ2910" i="36"/>
  <c r="AJ2911" i="36"/>
  <c r="AJ2912" i="36"/>
  <c r="AJ2913" i="36"/>
  <c r="AJ2914" i="36"/>
  <c r="AJ2915" i="36"/>
  <c r="AJ2916" i="36"/>
  <c r="AJ2917" i="36"/>
  <c r="AJ2918" i="36"/>
  <c r="AJ2919" i="36"/>
  <c r="AJ2920" i="36"/>
  <c r="AJ2921" i="36"/>
  <c r="AJ2922" i="36"/>
  <c r="AJ2923" i="36"/>
  <c r="AJ2924" i="36"/>
  <c r="AJ2925" i="36"/>
  <c r="AJ2926" i="36"/>
  <c r="AJ2927" i="36"/>
  <c r="AJ2928" i="36"/>
  <c r="AJ2929" i="36"/>
  <c r="AJ2930" i="36"/>
  <c r="AJ2931" i="36"/>
  <c r="AJ2932" i="36"/>
  <c r="AJ2933" i="36"/>
  <c r="AJ2934" i="36"/>
  <c r="AJ2935" i="36"/>
  <c r="AJ2936" i="36"/>
  <c r="AJ2937" i="36"/>
  <c r="AJ2938" i="36"/>
  <c r="AJ2939" i="36"/>
  <c r="AJ2940" i="36"/>
  <c r="AJ2941" i="36"/>
  <c r="AJ2942" i="36"/>
  <c r="AJ2943" i="36"/>
  <c r="AJ2944" i="36"/>
  <c r="AJ2945" i="36"/>
  <c r="AJ2946" i="36"/>
  <c r="AJ2947" i="36"/>
  <c r="AJ2948" i="36"/>
  <c r="AJ2949" i="36"/>
  <c r="AJ2950" i="36"/>
  <c r="AJ2951" i="36"/>
  <c r="AJ2952" i="36"/>
  <c r="AJ2953" i="36"/>
  <c r="AJ2954" i="36"/>
  <c r="AJ2955" i="36"/>
  <c r="AJ2956" i="36"/>
  <c r="AJ2957" i="36"/>
  <c r="AJ2958" i="36"/>
  <c r="AJ2959" i="36"/>
  <c r="AJ2960" i="36"/>
  <c r="AJ2961" i="36"/>
  <c r="AJ2962" i="36"/>
  <c r="AJ2963" i="36"/>
  <c r="AJ2964" i="36"/>
  <c r="AJ2965" i="36"/>
  <c r="AJ2966" i="36"/>
  <c r="AJ2967" i="36"/>
  <c r="AJ2968" i="36"/>
  <c r="AJ2969" i="36"/>
  <c r="AJ2970" i="36"/>
  <c r="AJ2971" i="36"/>
  <c r="AJ2972" i="36"/>
  <c r="AJ2973" i="36"/>
  <c r="AJ2974" i="36"/>
  <c r="AJ2975" i="36"/>
  <c r="AJ2976" i="36"/>
  <c r="AJ2977" i="36"/>
  <c r="AJ2978" i="36"/>
  <c r="AJ2979" i="36"/>
  <c r="AJ2980" i="36"/>
  <c r="AJ2981" i="36"/>
  <c r="AJ2982" i="36"/>
  <c r="AJ2983" i="36"/>
  <c r="AJ2984" i="36"/>
  <c r="AJ2985" i="36"/>
  <c r="AJ2986" i="36"/>
  <c r="AJ2987" i="36"/>
  <c r="AJ2988" i="36"/>
  <c r="AJ2989" i="36"/>
  <c r="AJ2990" i="36"/>
  <c r="AJ2991" i="36"/>
  <c r="AJ2992" i="36"/>
  <c r="AJ2993" i="36"/>
  <c r="AJ2994" i="36"/>
  <c r="AJ2995" i="36"/>
  <c r="AJ2996" i="36"/>
  <c r="AJ2997" i="36"/>
  <c r="AJ2998" i="36"/>
  <c r="AJ2999" i="36"/>
  <c r="AJ3000" i="36"/>
  <c r="AJ3001" i="36"/>
  <c r="AJ3002" i="36"/>
  <c r="AJ3003" i="36"/>
  <c r="AJ3004" i="36"/>
  <c r="AJ3005" i="36"/>
  <c r="AJ3006" i="36"/>
  <c r="AJ3007" i="36"/>
  <c r="AJ3008" i="36"/>
  <c r="AJ3009" i="36"/>
  <c r="AJ3010" i="36"/>
  <c r="AJ3011" i="36"/>
  <c r="AJ3012" i="36"/>
  <c r="AJ3013" i="36"/>
  <c r="AJ3014" i="36"/>
  <c r="AJ3015" i="36"/>
  <c r="AJ3016" i="36"/>
  <c r="AJ3017" i="36"/>
  <c r="AJ3018" i="36"/>
  <c r="AJ3019" i="36"/>
  <c r="AJ3020" i="36"/>
  <c r="AJ3021" i="36"/>
  <c r="AJ3022" i="36"/>
  <c r="AJ3023" i="36"/>
  <c r="AJ3024" i="36"/>
  <c r="AJ3025" i="36"/>
  <c r="AJ3026" i="36"/>
  <c r="AJ3027" i="36"/>
  <c r="AJ3028" i="36"/>
  <c r="AJ3029" i="36"/>
  <c r="AJ3030" i="36"/>
  <c r="AJ3031" i="36"/>
  <c r="AJ3032" i="36"/>
  <c r="AJ3033" i="36"/>
  <c r="AJ3034" i="36"/>
  <c r="AJ3035" i="36"/>
  <c r="AJ3036" i="36"/>
  <c r="AJ3037" i="36"/>
  <c r="AJ3038" i="36"/>
  <c r="AJ3039" i="36"/>
  <c r="AJ3040" i="36"/>
  <c r="AJ3041" i="36"/>
  <c r="AJ3042" i="36"/>
  <c r="AJ3043" i="36"/>
  <c r="AJ3044" i="36"/>
  <c r="AJ3045" i="36"/>
  <c r="AJ3046" i="36"/>
  <c r="AJ3047" i="36"/>
  <c r="AJ3048" i="36"/>
  <c r="AJ3049" i="36"/>
  <c r="AJ3050" i="36"/>
  <c r="AJ3051" i="36"/>
  <c r="AJ3052" i="36"/>
  <c r="AJ3053" i="36"/>
  <c r="AJ3054" i="36"/>
  <c r="AJ3055" i="36"/>
  <c r="AJ3056" i="36"/>
  <c r="AJ3057" i="36"/>
  <c r="AJ3058" i="36"/>
  <c r="AJ3059" i="36"/>
  <c r="AJ3060" i="36"/>
  <c r="AJ3061" i="36"/>
  <c r="AJ3062" i="36"/>
  <c r="AJ3063" i="36"/>
  <c r="AJ3064" i="36"/>
  <c r="AJ3065" i="36"/>
  <c r="AJ3066" i="36"/>
  <c r="AJ3067" i="36"/>
  <c r="AJ3068" i="36"/>
  <c r="AJ3069" i="36"/>
  <c r="AJ3070" i="36"/>
  <c r="AJ3071" i="36"/>
  <c r="AJ3072" i="36"/>
  <c r="AJ3073" i="36"/>
  <c r="AJ3074" i="36"/>
  <c r="AJ3075" i="36"/>
  <c r="AJ3076" i="36"/>
  <c r="AJ3077" i="36"/>
  <c r="AJ3078" i="36"/>
  <c r="AJ3079" i="36"/>
  <c r="AJ3080" i="36"/>
  <c r="AJ3081" i="36"/>
  <c r="AJ3082" i="36"/>
  <c r="AJ3083" i="36"/>
  <c r="AJ3084" i="36"/>
  <c r="AJ3085" i="36"/>
  <c r="AJ3086" i="36"/>
  <c r="AJ3087" i="36"/>
  <c r="AJ3088" i="36"/>
  <c r="AJ3089" i="36"/>
  <c r="AJ3090" i="36"/>
  <c r="AJ3091" i="36"/>
  <c r="AJ3092" i="36"/>
  <c r="AJ3093" i="36"/>
  <c r="AJ3094" i="36"/>
  <c r="AJ3095" i="36"/>
  <c r="AJ3096" i="36"/>
  <c r="AJ3097" i="36"/>
  <c r="AJ3098" i="36"/>
  <c r="AJ3099" i="36"/>
  <c r="AJ3100" i="36"/>
  <c r="AJ3101" i="36"/>
  <c r="AJ3102" i="36"/>
  <c r="AJ3103" i="36"/>
  <c r="AJ3104" i="36"/>
  <c r="AJ3105" i="36"/>
  <c r="AJ3106" i="36"/>
  <c r="AJ3107" i="36"/>
  <c r="AJ3108" i="36"/>
  <c r="AJ3109" i="36"/>
  <c r="AJ3110" i="36"/>
  <c r="AJ3111" i="36"/>
  <c r="AJ3112" i="36"/>
  <c r="AJ3113" i="36"/>
  <c r="AJ3114" i="36"/>
  <c r="AJ3115" i="36"/>
  <c r="AJ3116" i="36"/>
  <c r="AJ3117" i="36"/>
  <c r="AJ3118" i="36"/>
  <c r="AJ3119" i="36"/>
  <c r="AJ3120" i="36"/>
  <c r="AJ3121" i="36"/>
  <c r="AJ3122" i="36"/>
  <c r="AJ3123" i="36"/>
  <c r="AJ3124" i="36"/>
  <c r="AJ3125" i="36"/>
  <c r="AJ3126" i="36"/>
  <c r="AJ3127" i="36"/>
  <c r="AJ3128" i="36"/>
  <c r="AJ3129" i="36"/>
  <c r="AJ3130" i="36"/>
  <c r="AJ3131" i="36"/>
  <c r="AJ3132" i="36"/>
  <c r="AJ3133" i="36"/>
  <c r="AJ3134" i="36"/>
  <c r="AJ3135" i="36"/>
  <c r="AJ3136" i="36"/>
  <c r="AJ3137" i="36"/>
  <c r="AJ3138" i="36"/>
  <c r="AJ3139" i="36"/>
  <c r="AJ3140" i="36"/>
  <c r="AJ3141" i="36"/>
  <c r="AJ3142" i="36"/>
  <c r="AJ3143" i="36"/>
  <c r="AJ3144" i="36"/>
  <c r="AJ3145" i="36"/>
  <c r="AJ3146" i="36"/>
  <c r="AJ3147" i="36"/>
  <c r="AJ3148" i="36"/>
  <c r="AJ3149" i="36"/>
  <c r="AJ3150" i="36"/>
  <c r="AJ3151" i="36"/>
  <c r="AJ3152" i="36"/>
  <c r="AJ3153" i="36"/>
  <c r="AJ3154" i="36"/>
  <c r="AJ3155" i="36"/>
  <c r="AJ3156" i="36"/>
  <c r="AJ3157" i="36"/>
  <c r="AJ3158" i="36"/>
  <c r="AJ3159" i="36"/>
  <c r="AJ3160" i="36"/>
  <c r="AJ3161" i="36"/>
  <c r="AJ3162" i="36"/>
  <c r="AJ3163" i="36"/>
  <c r="AJ3164" i="36"/>
  <c r="AJ3165" i="36"/>
  <c r="AJ3166" i="36"/>
  <c r="AJ3167" i="36"/>
  <c r="AJ3168" i="36"/>
  <c r="AJ3169" i="36"/>
  <c r="AJ3170" i="36"/>
  <c r="AJ3171" i="36"/>
  <c r="AJ3172" i="36"/>
  <c r="AJ3173" i="36"/>
  <c r="AJ3174" i="36"/>
  <c r="AJ3175" i="36"/>
  <c r="AJ3176" i="36"/>
  <c r="AJ3177" i="36"/>
  <c r="AJ3178" i="36"/>
  <c r="AJ3179" i="36"/>
  <c r="AJ3180" i="36"/>
  <c r="AJ3181" i="36"/>
  <c r="AJ3182" i="36"/>
  <c r="AJ3183" i="36"/>
  <c r="AJ3184" i="36"/>
  <c r="AJ3185" i="36"/>
  <c r="AJ3186" i="36"/>
  <c r="AJ3187" i="36"/>
  <c r="AJ3188" i="36"/>
  <c r="AJ3189" i="36"/>
  <c r="AJ3190" i="36"/>
  <c r="AJ3191" i="36"/>
  <c r="AJ3192" i="36"/>
  <c r="AJ3193" i="36"/>
  <c r="AJ3194" i="36"/>
  <c r="AJ3195" i="36"/>
  <c r="AJ3196" i="36"/>
  <c r="AJ3197" i="36"/>
  <c r="AJ3198" i="36"/>
  <c r="AJ3199" i="36"/>
  <c r="AJ3200" i="36"/>
  <c r="AJ3201" i="36"/>
  <c r="AJ3202" i="36"/>
  <c r="AJ3203" i="36"/>
  <c r="AJ3204" i="36"/>
  <c r="AJ3205" i="36"/>
  <c r="AJ3206" i="36"/>
  <c r="AJ3207" i="36"/>
  <c r="AJ3208" i="36"/>
  <c r="AJ3209" i="36"/>
  <c r="AJ3210" i="36"/>
  <c r="AJ3211" i="36"/>
  <c r="AJ3212" i="36"/>
  <c r="AJ3213" i="36"/>
  <c r="AJ3214" i="36"/>
  <c r="AJ3215" i="36"/>
  <c r="AJ3216" i="36"/>
  <c r="AJ3217" i="36"/>
  <c r="AJ3218" i="36"/>
  <c r="AJ3219" i="36"/>
  <c r="AJ3220" i="36"/>
  <c r="AJ3221" i="36"/>
  <c r="AJ3222" i="36"/>
  <c r="AJ3223" i="36"/>
  <c r="AJ3224" i="36"/>
  <c r="AJ3225" i="36"/>
  <c r="AJ3226" i="36"/>
  <c r="AJ3227" i="36"/>
  <c r="AJ3228" i="36"/>
  <c r="AJ3229" i="36"/>
  <c r="AJ3230" i="36"/>
  <c r="AJ3231" i="36"/>
  <c r="AJ3232" i="36"/>
  <c r="AJ3233" i="36"/>
  <c r="AJ3234" i="36"/>
  <c r="AJ3235" i="36"/>
  <c r="AJ3236" i="36"/>
  <c r="AJ3237" i="36"/>
  <c r="AJ3238" i="36"/>
  <c r="AJ3239" i="36"/>
  <c r="AJ3240" i="36"/>
  <c r="AJ3241" i="36"/>
  <c r="AJ3242" i="36"/>
  <c r="AJ3243" i="36"/>
  <c r="AJ3244" i="36"/>
  <c r="AJ3245" i="36"/>
  <c r="AJ3246" i="36"/>
  <c r="AJ3247" i="36"/>
  <c r="AJ3248" i="36"/>
  <c r="AJ3249" i="36"/>
  <c r="AJ3250" i="36"/>
  <c r="AJ3251" i="36"/>
  <c r="AJ3252" i="36"/>
  <c r="AJ3253" i="36"/>
  <c r="AJ3254" i="36"/>
  <c r="AJ3255" i="36"/>
  <c r="AJ3256" i="36"/>
  <c r="AJ3257" i="36"/>
  <c r="AJ3258" i="36"/>
  <c r="AJ3259" i="36"/>
  <c r="AJ3260" i="36"/>
  <c r="AJ3261" i="36"/>
  <c r="AJ3262" i="36"/>
  <c r="AJ3263" i="36"/>
  <c r="AJ3264" i="36"/>
  <c r="AJ3265" i="36"/>
  <c r="AJ3266" i="36"/>
  <c r="AJ3267" i="36"/>
  <c r="AJ3268" i="36"/>
  <c r="AJ3269" i="36"/>
  <c r="AJ3270" i="36"/>
  <c r="AJ3271" i="36"/>
  <c r="AJ3272" i="36"/>
  <c r="AJ3273" i="36"/>
  <c r="AJ3274" i="36"/>
  <c r="AJ3275" i="36"/>
  <c r="AJ3276" i="36"/>
  <c r="AJ3277" i="36"/>
  <c r="AJ3278" i="36"/>
  <c r="AJ3279" i="36"/>
  <c r="AJ3280" i="36"/>
  <c r="AJ3281" i="36"/>
  <c r="AJ3282" i="36"/>
  <c r="AJ3283" i="36"/>
  <c r="AJ3284" i="36"/>
  <c r="AJ3285" i="36"/>
  <c r="AJ3286" i="36"/>
  <c r="AJ3287" i="36"/>
  <c r="AJ3288" i="36"/>
  <c r="AJ3289" i="36"/>
  <c r="AJ3290" i="36"/>
  <c r="AJ3291" i="36"/>
  <c r="AJ3292" i="36"/>
  <c r="AJ3293" i="36"/>
  <c r="AJ3294" i="36"/>
  <c r="AJ3295" i="36"/>
  <c r="AJ3296" i="36"/>
  <c r="AJ3297" i="36"/>
  <c r="AJ3298" i="36"/>
  <c r="AJ3299" i="36"/>
  <c r="AJ3300" i="36"/>
  <c r="AJ3301" i="36"/>
  <c r="AJ3302" i="36"/>
  <c r="AJ3303" i="36"/>
  <c r="AJ3304" i="36"/>
  <c r="AJ3305" i="36"/>
  <c r="AJ3306" i="36"/>
  <c r="AJ3307" i="36"/>
  <c r="AJ3308" i="36"/>
  <c r="AJ3309" i="36"/>
  <c r="AJ3310" i="36"/>
  <c r="AJ3311" i="36"/>
  <c r="AJ3312" i="36"/>
  <c r="AJ3313" i="36"/>
  <c r="AJ3314" i="36"/>
  <c r="AJ3315" i="36"/>
  <c r="AJ3316" i="36"/>
  <c r="AJ3317" i="36"/>
  <c r="AJ3318" i="36"/>
  <c r="AJ3319" i="36"/>
  <c r="AJ3320" i="36"/>
  <c r="AJ3321" i="36"/>
  <c r="AJ3322" i="36"/>
  <c r="AJ3323" i="36"/>
  <c r="AJ3324" i="36"/>
  <c r="AJ3325" i="36"/>
  <c r="AJ3326" i="36"/>
  <c r="AJ3327" i="36"/>
  <c r="AJ3328" i="36"/>
  <c r="AJ3329" i="36"/>
  <c r="AJ3330" i="36"/>
  <c r="AJ3331" i="36"/>
  <c r="AJ3332" i="36"/>
  <c r="AJ3333" i="36"/>
  <c r="AJ3334" i="36"/>
  <c r="AJ3335" i="36"/>
  <c r="AJ3336" i="36"/>
  <c r="AJ3337" i="36"/>
  <c r="AJ3338" i="36"/>
  <c r="AJ3339" i="36"/>
  <c r="AJ3340" i="36"/>
  <c r="AJ3341" i="36"/>
  <c r="AJ3342" i="36"/>
  <c r="AJ3343" i="36"/>
  <c r="AJ3344" i="36"/>
  <c r="AJ3345" i="36"/>
  <c r="AJ3346" i="36"/>
  <c r="AJ3347" i="36"/>
  <c r="AJ3348" i="36"/>
  <c r="AJ3349" i="36"/>
  <c r="AJ3350" i="36"/>
  <c r="AJ3351" i="36"/>
  <c r="AJ3352" i="36"/>
  <c r="AJ3353" i="36"/>
  <c r="AJ3354" i="36"/>
  <c r="AJ3355" i="36"/>
  <c r="AJ3356" i="36"/>
  <c r="AJ3357" i="36"/>
  <c r="AJ3358" i="36"/>
  <c r="AJ3359" i="36"/>
  <c r="AJ3360" i="36"/>
  <c r="AJ3361" i="36"/>
  <c r="AJ3362" i="36"/>
  <c r="AJ3363" i="36"/>
  <c r="AJ3364" i="36"/>
  <c r="AJ3365" i="36"/>
  <c r="AJ3366" i="36"/>
  <c r="AJ3367" i="36"/>
  <c r="AJ3368" i="36"/>
  <c r="AJ3369" i="36"/>
  <c r="AJ3370" i="36"/>
  <c r="AJ3371" i="36"/>
  <c r="AJ3372" i="36"/>
  <c r="AJ3373" i="36"/>
  <c r="AJ3374" i="36"/>
  <c r="AJ3375" i="36"/>
  <c r="AJ3376" i="36"/>
  <c r="AJ3377" i="36"/>
  <c r="AJ3378" i="36"/>
  <c r="AJ3379" i="36"/>
  <c r="AJ3380" i="36"/>
  <c r="AJ3381" i="36"/>
  <c r="AJ3382" i="36"/>
  <c r="AJ3383" i="36"/>
  <c r="AJ3384" i="36"/>
  <c r="AJ3385" i="36"/>
  <c r="AJ3386" i="36"/>
  <c r="AJ3387" i="36"/>
  <c r="AJ3388" i="36"/>
  <c r="AJ3389" i="36"/>
  <c r="AJ3390" i="36"/>
  <c r="AJ3391" i="36"/>
  <c r="AJ3392" i="36"/>
  <c r="AJ3393" i="36"/>
  <c r="AJ3394" i="36"/>
  <c r="AJ3395" i="36"/>
  <c r="AJ3396" i="36"/>
  <c r="AJ3397" i="36"/>
  <c r="AJ3398" i="36"/>
  <c r="AJ3399" i="36"/>
  <c r="AJ3400" i="36"/>
  <c r="AJ3401" i="36"/>
  <c r="AJ3402" i="36"/>
  <c r="AJ3403" i="36"/>
  <c r="AJ3404" i="36"/>
  <c r="AJ3405" i="36"/>
  <c r="AJ3406" i="36"/>
  <c r="AJ3407" i="36"/>
  <c r="AJ3408" i="36"/>
  <c r="AJ3409" i="36"/>
  <c r="AJ3410" i="36"/>
  <c r="AJ3411" i="36"/>
  <c r="AJ3412" i="36"/>
  <c r="AJ3413" i="36"/>
  <c r="AJ3414" i="36"/>
  <c r="AJ3415" i="36"/>
  <c r="AJ3416" i="36"/>
  <c r="AJ3417" i="36"/>
  <c r="AJ3418" i="36"/>
  <c r="AJ3419" i="36"/>
  <c r="AJ3420" i="36"/>
  <c r="AJ3421" i="36"/>
  <c r="AJ3422" i="36"/>
  <c r="AJ3423" i="36"/>
  <c r="AJ3424" i="36"/>
  <c r="AJ3425" i="36"/>
  <c r="AJ3426" i="36"/>
  <c r="AJ3427" i="36"/>
  <c r="AJ3428" i="36"/>
  <c r="AJ3429" i="36"/>
  <c r="AJ3430" i="36"/>
  <c r="AJ3431" i="36"/>
  <c r="AJ3432" i="36"/>
  <c r="AJ3433" i="36"/>
  <c r="AJ3434" i="36"/>
  <c r="AJ3435" i="36"/>
  <c r="AJ3436" i="36"/>
  <c r="AJ3437" i="36"/>
  <c r="AJ3438" i="36"/>
  <c r="AJ3439" i="36"/>
  <c r="AJ3440" i="36"/>
  <c r="AJ3441" i="36"/>
  <c r="AJ3442" i="36"/>
  <c r="AJ3443" i="36"/>
  <c r="AJ3444" i="36"/>
  <c r="AJ3445" i="36"/>
  <c r="AJ3446" i="36"/>
  <c r="AJ3447" i="36"/>
  <c r="AJ3448" i="36"/>
  <c r="AJ3449" i="36"/>
  <c r="AJ3450" i="36"/>
  <c r="AJ3451" i="36"/>
  <c r="AJ3452" i="36"/>
  <c r="AJ3453" i="36"/>
  <c r="AJ3454" i="36"/>
  <c r="AJ3455" i="36"/>
  <c r="AJ3456" i="36"/>
  <c r="AJ3457" i="36"/>
  <c r="AJ3458" i="36"/>
  <c r="AJ3459" i="36"/>
  <c r="AJ3460" i="36"/>
  <c r="AJ3461" i="36"/>
  <c r="AJ3462" i="36"/>
  <c r="AJ3463" i="36"/>
  <c r="AJ3464" i="36"/>
  <c r="AJ3465" i="36"/>
  <c r="AJ3466" i="36"/>
  <c r="AJ3467" i="36"/>
  <c r="AJ3468" i="36"/>
  <c r="AJ3469" i="36"/>
  <c r="AJ3470" i="36"/>
  <c r="AJ3471" i="36"/>
  <c r="AJ3472" i="36"/>
  <c r="AJ3473" i="36"/>
  <c r="AJ3474" i="36"/>
  <c r="AJ3475" i="36"/>
  <c r="AJ3476" i="36"/>
  <c r="AJ3477" i="36"/>
  <c r="AJ3478" i="36"/>
  <c r="AJ3479" i="36"/>
  <c r="AJ3480" i="36"/>
  <c r="AJ3481" i="36"/>
  <c r="AJ3482" i="36"/>
  <c r="AJ3483" i="36"/>
  <c r="AJ3484" i="36"/>
  <c r="AJ3485" i="36"/>
  <c r="AJ3486" i="36"/>
  <c r="AJ3487" i="36"/>
  <c r="AJ3488" i="36"/>
  <c r="AJ3489" i="36"/>
  <c r="AA40" i="79" l="1"/>
  <c r="AA39" i="79"/>
  <c r="O700" i="79"/>
  <c r="O1046" i="79"/>
  <c r="O1045" i="79"/>
  <c r="AA979" i="79"/>
  <c r="AA974" i="79"/>
  <c r="AA965" i="79"/>
  <c r="AA955" i="79"/>
  <c r="AA1006" i="79"/>
  <c r="X1003" i="79" a="1"/>
  <c r="X1003" i="79" s="1"/>
  <c r="V1003" i="79" a="1"/>
  <c r="V1003" i="79" s="1"/>
  <c r="X998" i="79" a="1"/>
  <c r="X998" i="79" s="1"/>
  <c r="V998" i="79" a="1"/>
  <c r="V998" i="79" s="1"/>
  <c r="AA690" i="79"/>
  <c r="AA683" i="79"/>
  <c r="AA636" i="79"/>
  <c r="AA68" i="79"/>
  <c r="AA58" i="79"/>
  <c r="AA54" i="79"/>
  <c r="AA50" i="79"/>
  <c r="AA46" i="79"/>
  <c r="AA630" i="79"/>
  <c r="AA153" i="79"/>
  <c r="AA152" i="79"/>
  <c r="AA222" i="79"/>
  <c r="AA303" i="79" l="1"/>
  <c r="AL10" i="66"/>
  <c r="AJ10" i="66"/>
  <c r="AL9" i="66"/>
  <c r="AJ9" i="66"/>
  <c r="Y31" i="59"/>
  <c r="Y30" i="59"/>
  <c r="Y19" i="59"/>
  <c r="Y18" i="59"/>
  <c r="O12" i="79" l="1"/>
  <c r="M12" i="79" s="1"/>
  <c r="Q1100" i="79"/>
  <c r="AE1100" i="79" s="1"/>
  <c r="Q1101" i="79"/>
  <c r="S1101" i="79" s="1"/>
  <c r="Q1102" i="79"/>
  <c r="AE1102" i="79" s="1"/>
  <c r="Q1103" i="79"/>
  <c r="AE1103" i="79" s="1"/>
  <c r="Q1099" i="79"/>
  <c r="AE1099" i="79" s="1"/>
  <c r="AA1104" i="79"/>
  <c r="R1104" i="79"/>
  <c r="AD1104" i="79" s="1"/>
  <c r="AD1103" i="79"/>
  <c r="AA1103" i="79"/>
  <c r="AD1102" i="79"/>
  <c r="AA1102" i="79"/>
  <c r="AD1101" i="79"/>
  <c r="AA1101" i="79"/>
  <c r="AD1100" i="79"/>
  <c r="AA1100" i="79"/>
  <c r="AD1099" i="79"/>
  <c r="AA1099" i="79"/>
  <c r="AA1097" i="79"/>
  <c r="R1097" i="79"/>
  <c r="AD1097" i="79" s="1"/>
  <c r="Q1097" i="79"/>
  <c r="AD1096" i="79"/>
  <c r="AA1096" i="79"/>
  <c r="Q1096" i="79"/>
  <c r="AE1096" i="79" s="1"/>
  <c r="AD1095" i="79"/>
  <c r="AA1095" i="79"/>
  <c r="Q1095" i="79"/>
  <c r="AE1095" i="79" s="1"/>
  <c r="AD1094" i="79"/>
  <c r="AA1094" i="79"/>
  <c r="Q1094" i="79"/>
  <c r="AE1094" i="79" s="1"/>
  <c r="AD1093" i="79"/>
  <c r="AA1093" i="79"/>
  <c r="Q1093" i="79"/>
  <c r="S1093" i="79" s="1"/>
  <c r="AE1092" i="79"/>
  <c r="AD1092" i="79"/>
  <c r="AA1092" i="79"/>
  <c r="S1092" i="79"/>
  <c r="S1100" i="79" l="1"/>
  <c r="S1099" i="79"/>
  <c r="X1100" i="79"/>
  <c r="V1099" i="79"/>
  <c r="Q1104" i="79"/>
  <c r="AE1104" i="79" s="1"/>
  <c r="X1104" i="79" s="1"/>
  <c r="AE1101" i="79"/>
  <c r="X1101" i="79" s="1"/>
  <c r="AB1100" i="79"/>
  <c r="S1094" i="79"/>
  <c r="AE1093" i="79"/>
  <c r="AB1093" i="79" s="1"/>
  <c r="O1093" i="79" s="1"/>
  <c r="M1093" i="79" s="1"/>
  <c r="AB1099" i="79"/>
  <c r="X1099" i="79"/>
  <c r="AB1103" i="79"/>
  <c r="X1103" i="79"/>
  <c r="V1103" i="79"/>
  <c r="X1102" i="79"/>
  <c r="V1102" i="79"/>
  <c r="AB1102" i="79"/>
  <c r="S1102" i="79"/>
  <c r="S1103" i="79"/>
  <c r="AB1092" i="79"/>
  <c r="O1092" i="79" s="1"/>
  <c r="M1092" i="79" s="1"/>
  <c r="V1092" i="79"/>
  <c r="V1100" i="79"/>
  <c r="AB1095" i="79"/>
  <c r="AE1097" i="79"/>
  <c r="AB1097" i="79" s="1"/>
  <c r="X1092" i="79"/>
  <c r="X1094" i="79"/>
  <c r="V1094" i="79"/>
  <c r="AB1096" i="79"/>
  <c r="V1096" i="79"/>
  <c r="AB1094" i="79"/>
  <c r="X1096" i="79"/>
  <c r="X1095" i="79"/>
  <c r="V1095" i="79"/>
  <c r="S1095" i="79"/>
  <c r="S1096" i="79"/>
  <c r="S1097" i="79"/>
  <c r="N1100" i="79" l="1" a="1"/>
  <c r="N1100" i="79" s="1"/>
  <c r="O1099" i="79"/>
  <c r="M1099" i="79" s="1"/>
  <c r="O1100" i="79"/>
  <c r="M1100" i="79" s="1"/>
  <c r="N1092" i="79" a="1"/>
  <c r="N1092" i="79" s="1"/>
  <c r="N1099" i="79" a="1"/>
  <c r="N1099" i="79" s="1"/>
  <c r="N1094" i="79" a="1"/>
  <c r="N1094" i="79" s="1"/>
  <c r="N1096" i="79" a="1"/>
  <c r="N1096" i="79" s="1"/>
  <c r="N1103" i="79" a="1"/>
  <c r="N1103" i="79" s="1"/>
  <c r="N1095" i="79" a="1"/>
  <c r="N1095" i="79" s="1"/>
  <c r="N1102" i="79" a="1"/>
  <c r="N1102" i="79" s="1"/>
  <c r="O1094" i="79"/>
  <c r="M1094" i="79" s="1"/>
  <c r="V1093" i="79"/>
  <c r="AB1104" i="79"/>
  <c r="V1101" i="79"/>
  <c r="N1101" i="79" s="1" a="1"/>
  <c r="N1101" i="79" s="1"/>
  <c r="S1104" i="79"/>
  <c r="V1104" i="79"/>
  <c r="AB1101" i="79"/>
  <c r="O1101" i="79" s="1"/>
  <c r="M1101" i="79" s="1"/>
  <c r="V1097" i="79"/>
  <c r="X1097" i="79"/>
  <c r="X1093" i="79"/>
  <c r="O1103" i="79"/>
  <c r="M1103" i="79" s="1"/>
  <c r="O1102" i="79"/>
  <c r="M1102" i="79" s="1"/>
  <c r="O1097" i="79"/>
  <c r="M1097" i="79" s="1"/>
  <c r="O1096" i="79"/>
  <c r="M1096" i="79" s="1"/>
  <c r="O1095" i="79"/>
  <c r="M1095" i="79" s="1"/>
  <c r="O1104" i="79" l="1"/>
  <c r="M1104" i="79" s="1"/>
  <c r="N1097" i="79" a="1"/>
  <c r="N1097" i="79" s="1"/>
  <c r="N1104" i="79" a="1"/>
  <c r="N1104" i="79" s="1"/>
  <c r="N1093" i="79" a="1"/>
  <c r="N1093" i="79" s="1"/>
  <c r="S164" i="79"/>
  <c r="AD166" i="79"/>
  <c r="AA166" i="79"/>
  <c r="U166" i="79"/>
  <c r="AE166" i="79" s="1"/>
  <c r="AB166" i="79" l="1"/>
  <c r="O166" i="79" s="1"/>
  <c r="M166" i="79" s="1"/>
  <c r="V8" i="31" l="1"/>
  <c r="W3" i="31"/>
  <c r="X3" i="31" s="1"/>
  <c r="W8" i="31" l="1"/>
  <c r="Y3" i="31"/>
  <c r="X8" i="31"/>
  <c r="Z3" i="31" l="1"/>
  <c r="Y8" i="31"/>
  <c r="Z8" i="31" l="1"/>
  <c r="AA3" i="31"/>
  <c r="AA8" i="31" l="1"/>
  <c r="AB3" i="31"/>
  <c r="AB8" i="31" l="1"/>
  <c r="AC3" i="31"/>
  <c r="AC8" i="31" l="1"/>
  <c r="AD3" i="31"/>
  <c r="AD8" i="31" l="1"/>
  <c r="AE3" i="31"/>
  <c r="X281" i="79"/>
  <c r="V281" i="79"/>
  <c r="S281" i="79"/>
  <c r="X272" i="79"/>
  <c r="V272" i="79"/>
  <c r="S272" i="79"/>
  <c r="X284" i="79" a="1"/>
  <c r="V284" i="79" a="1"/>
  <c r="AF3" i="31" l="1"/>
  <c r="AE8" i="31"/>
  <c r="V284" i="79"/>
  <c r="X284" i="79"/>
  <c r="AG3" i="31" l="1"/>
  <c r="AF8" i="31"/>
  <c r="AG8" i="31" l="1"/>
  <c r="W40" i="65" l="1"/>
  <c r="X39" i="65" a="1"/>
  <c r="X39" i="65" s="1"/>
  <c r="O39" i="65"/>
  <c r="N39" i="65"/>
  <c r="M39" i="65"/>
  <c r="W37" i="65"/>
  <c r="X37" i="65" s="1" a="1"/>
  <c r="X37" i="65" s="1"/>
  <c r="X36" i="65" a="1"/>
  <c r="X36" i="65" s="1"/>
  <c r="O36" i="65"/>
  <c r="N36" i="65"/>
  <c r="M36" i="65"/>
  <c r="W34" i="65"/>
  <c r="X34" i="65" s="1" a="1"/>
  <c r="X34" i="65" s="1"/>
  <c r="X33" i="65" a="1"/>
  <c r="X33" i="65" s="1"/>
  <c r="O33" i="65"/>
  <c r="N33" i="65"/>
  <c r="M33" i="65"/>
  <c r="W31" i="65"/>
  <c r="X31" i="65" s="1" a="1"/>
  <c r="X31" i="65" s="1"/>
  <c r="X30" i="65" a="1"/>
  <c r="X30" i="65" s="1"/>
  <c r="O30" i="65"/>
  <c r="N30" i="65"/>
  <c r="M30" i="65"/>
  <c r="W28" i="65"/>
  <c r="X27" i="65" a="1"/>
  <c r="X27" i="65" s="1"/>
  <c r="O27" i="65"/>
  <c r="N27" i="65"/>
  <c r="M27" i="65"/>
  <c r="W25" i="65"/>
  <c r="X25" i="65" s="1" a="1"/>
  <c r="X25" i="65" s="1"/>
  <c r="X24" i="65" a="1"/>
  <c r="X24" i="65" s="1"/>
  <c r="O24" i="65"/>
  <c r="N24" i="65"/>
  <c r="M24" i="65"/>
  <c r="E16" i="135" l="1" a="1"/>
  <c r="E16" i="135" s="1"/>
  <c r="E15" i="135" a="1"/>
  <c r="E15" i="135" s="1"/>
  <c r="E14" i="135" a="1"/>
  <c r="E14" i="135" s="1"/>
  <c r="E13" i="135" a="1"/>
  <c r="E13" i="135" s="1"/>
  <c r="E12" i="135" a="1"/>
  <c r="E12" i="135" s="1"/>
  <c r="E11" i="135" a="1"/>
  <c r="E11" i="135" s="1"/>
  <c r="L1189" i="79" a="1"/>
  <c r="L1189" i="79" s="1"/>
  <c r="L1161" i="79" a="1"/>
  <c r="L1161" i="79" s="1"/>
  <c r="L1168" i="79" a="1"/>
  <c r="L1168" i="79" s="1"/>
  <c r="L1175" i="79" a="1"/>
  <c r="L1175" i="79" s="1"/>
  <c r="L1147" i="79" a="1"/>
  <c r="L1147" i="79" s="1"/>
  <c r="L1182" i="79" a="1"/>
  <c r="L1182" i="79" s="1"/>
  <c r="L1154" i="79" a="1"/>
  <c r="L1154" i="79" s="1"/>
  <c r="L1188" i="79" a="1"/>
  <c r="L1188" i="79" s="1"/>
  <c r="L1181" i="79" a="1"/>
  <c r="L1181" i="79" s="1"/>
  <c r="L1174" i="79" a="1"/>
  <c r="L1174" i="79" s="1"/>
  <c r="L1167" i="79" a="1"/>
  <c r="L1167" i="79" s="1"/>
  <c r="L1160" i="79" a="1"/>
  <c r="L1160" i="79" s="1"/>
  <c r="L1153" i="79" a="1"/>
  <c r="L1153" i="79" s="1"/>
  <c r="L1146" i="79" a="1"/>
  <c r="L1146" i="79" s="1"/>
  <c r="L1180" i="79" a="1"/>
  <c r="L1180" i="79" s="1"/>
  <c r="L1152" i="79" a="1"/>
  <c r="L1152" i="79" s="1"/>
  <c r="L1187" i="79" a="1"/>
  <c r="L1187" i="79" s="1"/>
  <c r="L1159" i="79" a="1"/>
  <c r="L1159" i="79" s="1"/>
  <c r="L1166" i="79" a="1"/>
  <c r="L1166" i="79" s="1"/>
  <c r="L1173" i="79" a="1"/>
  <c r="L1173" i="79" s="1"/>
  <c r="L1145" i="79" a="1"/>
  <c r="L1145" i="79" s="1"/>
  <c r="L1163" i="79" a="1"/>
  <c r="L1163" i="79" s="1"/>
  <c r="L1170" i="79" a="1"/>
  <c r="L1170" i="79" s="1"/>
  <c r="L1191" i="79" a="1"/>
  <c r="L1191" i="79" s="1"/>
  <c r="L1177" i="79" a="1"/>
  <c r="L1177" i="79" s="1"/>
  <c r="L1149" i="79" a="1"/>
  <c r="L1149" i="79" s="1"/>
  <c r="L1184" i="79" a="1"/>
  <c r="L1184" i="79" s="1"/>
  <c r="L1156" i="79" a="1"/>
  <c r="L1156" i="79" s="1"/>
  <c r="L1190" i="79" a="1"/>
  <c r="L1190" i="79" s="1"/>
  <c r="L1162" i="79" a="1"/>
  <c r="L1162" i="79" s="1"/>
  <c r="L1169" i="79" a="1"/>
  <c r="L1169" i="79" s="1"/>
  <c r="L1155" i="79" a="1"/>
  <c r="L1155" i="79" s="1"/>
  <c r="L1176" i="79" a="1"/>
  <c r="L1176" i="79" s="1"/>
  <c r="L1148" i="79" a="1"/>
  <c r="L1148" i="79" s="1"/>
  <c r="L1183" i="79" a="1"/>
  <c r="L1183" i="79" s="1"/>
  <c r="L1140" i="79" a="1"/>
  <c r="L1140" i="79" s="1"/>
  <c r="L1101" i="79" a="1"/>
  <c r="L1101" i="79" s="1"/>
  <c r="L1094" i="79" a="1"/>
  <c r="L1094" i="79" s="1"/>
  <c r="L1100" i="79" a="1"/>
  <c r="L1100" i="79" s="1"/>
  <c r="L1093" i="79" a="1"/>
  <c r="L1093" i="79" s="1"/>
  <c r="L1139" i="79" a="1"/>
  <c r="L1139" i="79" s="1"/>
  <c r="L1138" i="79" a="1"/>
  <c r="L1138" i="79" s="1"/>
  <c r="L1099" i="79" a="1"/>
  <c r="L1099" i="79" s="1"/>
  <c r="L1092" i="79" a="1"/>
  <c r="L1092" i="79" s="1"/>
  <c r="L1103" i="79" a="1"/>
  <c r="L1103" i="79" s="1"/>
  <c r="L1096" i="79" a="1"/>
  <c r="L1096" i="79" s="1"/>
  <c r="L1142" i="79" a="1"/>
  <c r="L1142" i="79" s="1"/>
  <c r="L1141" i="79" a="1"/>
  <c r="L1141" i="79" s="1"/>
  <c r="L1095" i="79" a="1"/>
  <c r="L1095" i="79" s="1"/>
  <c r="L1102" i="79" a="1"/>
  <c r="L1102" i="79" s="1"/>
  <c r="X28" i="65" a="1"/>
  <c r="X28" i="65" s="1"/>
  <c r="X40" i="65" a="1"/>
  <c r="X40" i="65" s="1"/>
  <c r="O1113" i="79"/>
  <c r="M1113" i="79" s="1"/>
  <c r="O1115" i="79" s="1" a="1"/>
  <c r="O1115" i="79" s="1"/>
  <c r="M1115" i="79" s="1"/>
  <c r="R1111" i="79"/>
  <c r="AD1111" i="79" s="1"/>
  <c r="AA1111" i="79"/>
  <c r="Q1111" i="79"/>
  <c r="D1117" i="79"/>
  <c r="D1118" i="79" s="1"/>
  <c r="D1119" i="79" s="1"/>
  <c r="D1120" i="79" s="1"/>
  <c r="Q1108" i="79"/>
  <c r="AE1108" i="79" s="1"/>
  <c r="Q1109" i="79"/>
  <c r="AE1109" i="79" s="1"/>
  <c r="Q1110" i="79"/>
  <c r="S1110" i="79" s="1"/>
  <c r="Q1107" i="79"/>
  <c r="S1107" i="79" s="1"/>
  <c r="AD1110" i="79"/>
  <c r="AA1110" i="79"/>
  <c r="AD1109" i="79"/>
  <c r="AA1109" i="79"/>
  <c r="AD1108" i="79"/>
  <c r="AA1108" i="79"/>
  <c r="AD1107" i="79"/>
  <c r="AA1107" i="79"/>
  <c r="AD1106" i="79"/>
  <c r="AA1106" i="79"/>
  <c r="S1106" i="79"/>
  <c r="AE1106" i="79"/>
  <c r="D8" i="67"/>
  <c r="D11" i="67" s="1"/>
  <c r="S1117" i="79" l="1"/>
  <c r="S1120" i="79"/>
  <c r="S1116" i="79"/>
  <c r="AG4" i="31"/>
  <c r="AF4" i="31"/>
  <c r="S1108" i="79"/>
  <c r="S1118" i="79" s="1"/>
  <c r="S1111" i="79"/>
  <c r="S1121" i="79" s="1"/>
  <c r="AE1111" i="79"/>
  <c r="V1111" i="79" s="1"/>
  <c r="V1121" i="79" s="1"/>
  <c r="S1109" i="79"/>
  <c r="S1119" i="79" s="1"/>
  <c r="AB1109" i="79"/>
  <c r="X1109" i="79"/>
  <c r="X1119" i="79" s="1"/>
  <c r="AE1110" i="79"/>
  <c r="AB1110" i="79" s="1"/>
  <c r="O1110" i="79" s="1"/>
  <c r="M1110" i="79" s="1"/>
  <c r="O1120" i="79" s="1"/>
  <c r="X1106" i="79"/>
  <c r="X1116" i="79" s="1"/>
  <c r="AE1107" i="79"/>
  <c r="V1107" i="79" s="1"/>
  <c r="V1117" i="79" s="1"/>
  <c r="AB1106" i="79"/>
  <c r="O1106" i="79" s="1"/>
  <c r="V1106" i="79"/>
  <c r="V1116" i="79" s="1"/>
  <c r="V1108" i="79"/>
  <c r="V1118" i="79" s="1"/>
  <c r="X1108" i="79"/>
  <c r="X1118" i="79" s="1"/>
  <c r="AB1108" i="79"/>
  <c r="V1109" i="79"/>
  <c r="V1119" i="79" s="1"/>
  <c r="D12" i="67"/>
  <c r="D14" i="67"/>
  <c r="D9" i="67"/>
  <c r="M1120" i="79" l="1"/>
  <c r="O1156" i="79" s="1" a="1"/>
  <c r="O1156" i="79" s="1"/>
  <c r="M1156" i="79" s="1"/>
  <c r="N1108" i="79" a="1"/>
  <c r="N1108" i="79" s="1"/>
  <c r="N1109" i="79" a="1"/>
  <c r="N1109" i="79" s="1"/>
  <c r="N1106" i="79" a="1"/>
  <c r="N1106" i="79" s="1"/>
  <c r="M1106" i="79"/>
  <c r="O1116" i="79" s="1"/>
  <c r="N1118" i="79" a="1"/>
  <c r="N1118" i="79" s="1"/>
  <c r="N1119" i="79" a="1"/>
  <c r="N1119" i="79" s="1"/>
  <c r="O1108" i="79"/>
  <c r="M1108" i="79" s="1"/>
  <c r="O1118" i="79" s="1"/>
  <c r="O1109" i="79"/>
  <c r="M1109" i="79" s="1"/>
  <c r="AB1111" i="79"/>
  <c r="O1111" i="79" s="1"/>
  <c r="M1111" i="79" s="1"/>
  <c r="X1111" i="79"/>
  <c r="X1121" i="79" s="1"/>
  <c r="V1110" i="79"/>
  <c r="V1120" i="79" s="1"/>
  <c r="X1110" i="79"/>
  <c r="X1120" i="79" s="1"/>
  <c r="AB1107" i="79"/>
  <c r="O1107" i="79" s="1"/>
  <c r="M1107" i="79" s="1"/>
  <c r="X1107" i="79"/>
  <c r="D17" i="67"/>
  <c r="D15" i="67"/>
  <c r="D13" i="67"/>
  <c r="M11" i="79"/>
  <c r="O1121" i="79" l="1"/>
  <c r="M1121" i="79" s="1"/>
  <c r="O1119" i="79"/>
  <c r="M1119" i="79" s="1"/>
  <c r="X1117" i="79"/>
  <c r="N1117" i="79" s="1" a="1"/>
  <c r="N1117" i="79" s="1"/>
  <c r="O1117" i="79"/>
  <c r="M1117" i="79" s="1"/>
  <c r="O1149" i="79" a="1"/>
  <c r="O1149" i="79" s="1"/>
  <c r="O1163" i="79" a="1"/>
  <c r="O1163" i="79" s="1"/>
  <c r="M1163" i="79" s="1"/>
  <c r="O1170" i="79" a="1"/>
  <c r="O1170" i="79" s="1"/>
  <c r="M1170" i="79" s="1"/>
  <c r="O1177" i="79" a="1"/>
  <c r="O1177" i="79" s="1"/>
  <c r="M1177" i="79" s="1"/>
  <c r="N1116" i="79" a="1"/>
  <c r="N1116" i="79" s="1"/>
  <c r="M1116" i="79"/>
  <c r="M1118" i="79"/>
  <c r="O1189" i="79" s="1" a="1"/>
  <c r="O1189" i="79" s="1"/>
  <c r="M1189" i="79" s="1"/>
  <c r="N1110" i="79" a="1"/>
  <c r="N1110" i="79" s="1"/>
  <c r="N1121" i="79" a="1"/>
  <c r="N1121" i="79" s="1"/>
  <c r="N1107" i="79" a="1"/>
  <c r="N1107" i="79" s="1"/>
  <c r="N1111" i="79" a="1"/>
  <c r="N1111" i="79" s="1"/>
  <c r="N1120" i="79" a="1"/>
  <c r="N1120" i="79" s="1"/>
  <c r="O743" i="79"/>
  <c r="O173" i="79"/>
  <c r="O458" i="79"/>
  <c r="M458" i="79" s="1"/>
  <c r="O252" i="79"/>
  <c r="D16" i="67"/>
  <c r="D20" i="67"/>
  <c r="D18" i="67"/>
  <c r="T26" i="72"/>
  <c r="V26" i="72" s="1"/>
  <c r="AG26" i="72"/>
  <c r="AI26" i="72" s="1"/>
  <c r="T36" i="72"/>
  <c r="V36" i="72" s="1"/>
  <c r="AG36" i="72"/>
  <c r="AI36" i="72" s="1"/>
  <c r="T46" i="72"/>
  <c r="V46" i="72" s="1"/>
  <c r="AG46" i="72"/>
  <c r="AI46" i="72" s="1"/>
  <c r="T56" i="72"/>
  <c r="V56" i="72" s="1"/>
  <c r="AG56" i="72"/>
  <c r="AI56" i="72" s="1"/>
  <c r="O1188" i="79" l="1" a="1"/>
  <c r="O1188" i="79" s="1"/>
  <c r="M1188" i="79" s="1"/>
  <c r="O1181" i="79" a="1"/>
  <c r="O1181" i="79" s="1"/>
  <c r="M1181" i="79" s="1"/>
  <c r="O1174" i="79" a="1"/>
  <c r="O1174" i="79" s="1"/>
  <c r="M1174" i="79" s="1"/>
  <c r="O1167" i="79" a="1"/>
  <c r="O1167" i="79" s="1"/>
  <c r="O1190" i="79" a="1"/>
  <c r="O1190" i="79" s="1"/>
  <c r="M1190" i="79" s="1"/>
  <c r="O1183" i="79" a="1"/>
  <c r="O1183" i="79" s="1"/>
  <c r="O1169" i="79" a="1"/>
  <c r="O1169" i="79" s="1"/>
  <c r="M1169" i="79" s="1"/>
  <c r="O1162" i="79" a="1"/>
  <c r="O1162" i="79" s="1"/>
  <c r="M1162" i="79" s="1"/>
  <c r="O1155" i="79" a="1"/>
  <c r="O1155" i="79" s="1"/>
  <c r="M1155" i="79" s="1"/>
  <c r="O1148" i="79" a="1"/>
  <c r="O1148" i="79" s="1"/>
  <c r="O1182" i="79" a="1"/>
  <c r="O1182" i="79" s="1"/>
  <c r="M1182" i="79" s="1"/>
  <c r="D19" i="67"/>
  <c r="D23" i="67"/>
  <c r="D21" i="67"/>
  <c r="D22" i="67" l="1"/>
  <c r="D26" i="67"/>
  <c r="D24" i="67"/>
  <c r="D25" i="67" l="1"/>
  <c r="D29" i="67"/>
  <c r="D27" i="67"/>
  <c r="D28" i="67" l="1"/>
  <c r="D30" i="67"/>
  <c r="D32" i="67"/>
  <c r="D35" i="67" l="1"/>
  <c r="D33" i="67"/>
  <c r="D31" i="67"/>
  <c r="D34" i="67" l="1"/>
  <c r="D36" i="67"/>
  <c r="O249" i="79"/>
  <c r="M249" i="79" s="1"/>
  <c r="D37" i="67" l="1"/>
  <c r="AA853" i="79" l="1"/>
  <c r="L1127" i="79" l="1" a="1"/>
  <c r="L1127" i="79" s="1"/>
  <c r="L1134" i="79" a="1"/>
  <c r="L1134" i="79" s="1"/>
  <c r="L1119" i="79" a="1"/>
  <c r="L1119" i="79" s="1"/>
  <c r="L1109" i="79" a="1"/>
  <c r="L1109" i="79" s="1"/>
  <c r="L1126" i="79" a="1"/>
  <c r="L1126" i="79" s="1"/>
  <c r="L1108" i="79" a="1"/>
  <c r="L1108" i="79" s="1"/>
  <c r="L1133" i="79" a="1"/>
  <c r="L1133" i="79" s="1"/>
  <c r="L1118" i="79" a="1"/>
  <c r="L1118" i="79" s="1"/>
  <c r="E14" i="67" a="1"/>
  <c r="E14" i="67" s="1"/>
  <c r="E7" i="135" s="1"/>
  <c r="E29" i="67" a="1"/>
  <c r="E29" i="67" s="1"/>
  <c r="L1116" i="79" a="1"/>
  <c r="L1116" i="79" s="1"/>
  <c r="L1124" i="79" a="1"/>
  <c r="L1124" i="79" s="1"/>
  <c r="L1106" i="79" a="1"/>
  <c r="L1106" i="79" s="1"/>
  <c r="L1131" i="79" a="1"/>
  <c r="L1131" i="79" s="1"/>
  <c r="E5" i="67" a="1"/>
  <c r="E5" i="67" s="1"/>
  <c r="E4" i="135" s="1"/>
  <c r="E26" i="67" a="1"/>
  <c r="E26" i="67" s="1"/>
  <c r="E17" i="67" a="1"/>
  <c r="E17" i="67" s="1"/>
  <c r="E8" i="135" s="1"/>
  <c r="E35" i="67" a="1"/>
  <c r="E35" i="67" s="1"/>
  <c r="E11" i="67" a="1"/>
  <c r="E11" i="67" s="1"/>
  <c r="E6" i="135" s="1"/>
  <c r="E32" i="67" a="1"/>
  <c r="E32" i="67" s="1"/>
  <c r="L1107" i="79" a="1"/>
  <c r="L1107" i="79" s="1"/>
  <c r="L1125" i="79" a="1"/>
  <c r="L1125" i="79" s="1"/>
  <c r="L1117" i="79" a="1"/>
  <c r="L1117" i="79" s="1"/>
  <c r="L1132" i="79" a="1"/>
  <c r="L1132" i="79" s="1"/>
  <c r="E8" i="67" a="1"/>
  <c r="E8" i="67" s="1"/>
  <c r="E5" i="135" s="1"/>
  <c r="E23" i="67" a="1"/>
  <c r="E23" i="67" s="1"/>
  <c r="L1128" i="79" a="1"/>
  <c r="L1128" i="79" s="1"/>
  <c r="L1135" i="79" a="1"/>
  <c r="L1135" i="79" s="1"/>
  <c r="L1120" i="79" a="1"/>
  <c r="L1120" i="79" s="1"/>
  <c r="L1110" i="79" a="1"/>
  <c r="L1110" i="79" s="1"/>
  <c r="E20" i="67" a="1"/>
  <c r="E20" i="67" s="1"/>
  <c r="AA705" i="79"/>
  <c r="AA706" i="79"/>
  <c r="AA707" i="79"/>
  <c r="AA708" i="79"/>
  <c r="X181" i="79"/>
  <c r="O133" i="79"/>
  <c r="M133" i="79" s="1"/>
  <c r="O132" i="79"/>
  <c r="M132" i="79" s="1"/>
  <c r="O131" i="79"/>
  <c r="M131" i="79" s="1"/>
  <c r="O113" i="79" l="1"/>
  <c r="M113" i="79" s="1"/>
  <c r="M743" i="79" l="1"/>
  <c r="U751" i="79"/>
  <c r="U752" i="79"/>
  <c r="R753" i="79"/>
  <c r="U753" i="79" l="1"/>
  <c r="AE753" i="79" s="1"/>
  <c r="AA753" i="79"/>
  <c r="U758" i="79" l="1"/>
  <c r="U759" i="79"/>
  <c r="R760" i="79"/>
  <c r="U760" i="79" l="1"/>
  <c r="AE760" i="79" s="1"/>
  <c r="AA760" i="79"/>
  <c r="U761" i="79"/>
  <c r="AA761" i="79" l="1"/>
  <c r="AE761" i="79"/>
  <c r="O767" i="79" l="1"/>
  <c r="M767" i="79" s="1"/>
  <c r="U768" i="79"/>
  <c r="AE768" i="79" s="1"/>
  <c r="AA768" i="79"/>
  <c r="U769" i="79"/>
  <c r="AE769" i="79" s="1"/>
  <c r="AA769" i="79"/>
  <c r="O771" i="79"/>
  <c r="M771" i="79" l="1"/>
  <c r="AA775" i="79"/>
  <c r="AD775" i="79"/>
  <c r="AE775" i="79" s="1"/>
  <c r="T49" i="59" l="1"/>
  <c r="AI49" i="59"/>
  <c r="T37" i="59"/>
  <c r="AI13" i="59"/>
  <c r="AI25" i="59"/>
  <c r="AI37" i="59"/>
  <c r="T25" i="59"/>
  <c r="T13" i="59"/>
  <c r="X775" i="79"/>
  <c r="AB775" i="79"/>
  <c r="O775" i="79" s="1"/>
  <c r="M775" i="79" s="1"/>
  <c r="V775" i="79"/>
  <c r="S780" i="79"/>
  <c r="Q780" i="79" s="1"/>
  <c r="U780" i="79"/>
  <c r="X780" i="79"/>
  <c r="V780" i="79"/>
  <c r="O776" i="79" a="1"/>
  <c r="O776" i="79" l="1"/>
  <c r="M776" i="79" s="1"/>
  <c r="O780" i="79"/>
  <c r="M780" i="79" s="1"/>
  <c r="S781" i="79"/>
  <c r="Q781" i="79" s="1"/>
  <c r="U781" i="79"/>
  <c r="V781" i="79"/>
  <c r="X781" i="79"/>
  <c r="S52" i="59" l="1"/>
  <c r="S41" i="59"/>
  <c r="S53" i="59"/>
  <c r="AH16" i="59"/>
  <c r="AH28" i="59"/>
  <c r="AH17" i="59"/>
  <c r="AH29" i="59"/>
  <c r="AH40" i="59"/>
  <c r="AH41" i="59"/>
  <c r="AH52" i="59"/>
  <c r="S40" i="59"/>
  <c r="AH53" i="59"/>
  <c r="S29" i="59"/>
  <c r="S17" i="59"/>
  <c r="S28" i="59"/>
  <c r="S16" i="59"/>
  <c r="O781" i="79"/>
  <c r="M781" i="79" s="1"/>
  <c r="S782" i="79"/>
  <c r="Q782" i="79" s="1"/>
  <c r="U782" i="79"/>
  <c r="X782" i="79"/>
  <c r="V782" i="79"/>
  <c r="O782" i="79" l="1"/>
  <c r="M782" i="79" s="1"/>
  <c r="S784" i="79"/>
  <c r="O784" i="79" s="1"/>
  <c r="M784" i="79" s="1"/>
  <c r="U784" i="79"/>
  <c r="Q784" i="79" l="1"/>
  <c r="S785" i="79"/>
  <c r="Q785" i="79" s="1"/>
  <c r="U785" i="79"/>
  <c r="X784" i="79"/>
  <c r="V785" i="79"/>
  <c r="V784" i="79"/>
  <c r="X785" i="79"/>
  <c r="O785" i="79" l="1"/>
  <c r="M785" i="79" s="1"/>
  <c r="S786" i="79"/>
  <c r="O786" i="79" s="1"/>
  <c r="M786" i="79" s="1"/>
  <c r="U786" i="79"/>
  <c r="Q786" i="79" l="1"/>
  <c r="R787" i="79"/>
  <c r="V786" i="79"/>
  <c r="X786" i="79"/>
  <c r="U787" i="79" l="1"/>
  <c r="AE787" i="79" s="1"/>
  <c r="AA787" i="79"/>
  <c r="S791" i="79" l="1"/>
  <c r="Q791" i="79" s="1"/>
  <c r="U791" i="79"/>
  <c r="X791" i="79"/>
  <c r="V791" i="79"/>
  <c r="O791" i="79" l="1"/>
  <c r="M791" i="79" s="1"/>
  <c r="S792" i="79"/>
  <c r="Q792" i="79" s="1"/>
  <c r="U792" i="79"/>
  <c r="V792" i="79"/>
  <c r="X792" i="79"/>
  <c r="O792" i="79" l="1"/>
  <c r="M792" i="79" s="1"/>
  <c r="S793" i="79"/>
  <c r="O793" i="79" s="1"/>
  <c r="M793" i="79" s="1"/>
  <c r="U793" i="79"/>
  <c r="Q793" i="79" l="1"/>
  <c r="S795" i="79"/>
  <c r="O795" i="79" s="1"/>
  <c r="M795" i="79" s="1"/>
  <c r="U795" i="79"/>
  <c r="V793" i="79"/>
  <c r="X793" i="79"/>
  <c r="Q795" i="79" l="1"/>
  <c r="S796" i="79"/>
  <c r="O796" i="79" s="1"/>
  <c r="M796" i="79" s="1"/>
  <c r="U796" i="79"/>
  <c r="V795" i="79"/>
  <c r="X795" i="79"/>
  <c r="Q796" i="79" l="1"/>
  <c r="S797" i="79"/>
  <c r="Q797" i="79" s="1"/>
  <c r="U797" i="79"/>
  <c r="V797" i="79"/>
  <c r="V796" i="79"/>
  <c r="X797" i="79"/>
  <c r="X796" i="79"/>
  <c r="Q787" i="79" l="1"/>
  <c r="S787" i="79" s="1"/>
  <c r="O797" i="79"/>
  <c r="M797" i="79" s="1"/>
  <c r="Q798" i="79"/>
  <c r="R798" i="79"/>
  <c r="V798" i="79"/>
  <c r="V787" i="79"/>
  <c r="X798" i="79"/>
  <c r="X787" i="79"/>
  <c r="S798" i="79" l="1"/>
  <c r="U798" i="79"/>
  <c r="AE798" i="79" s="1"/>
  <c r="AD787" i="79"/>
  <c r="AB787" i="79" s="1"/>
  <c r="O787" i="79" s="1"/>
  <c r="M787" i="79" s="1"/>
  <c r="AA798" i="79"/>
  <c r="O788" i="79"/>
  <c r="AD798" i="79" l="1"/>
  <c r="AB798" i="79" s="1"/>
  <c r="O798" i="79" s="1"/>
  <c r="M798" i="79" s="1"/>
  <c r="M788" i="79"/>
  <c r="Q800" i="79"/>
  <c r="R800" i="79"/>
  <c r="AD800" i="79" s="1"/>
  <c r="AA800" i="79"/>
  <c r="R802" i="79"/>
  <c r="AD802" i="79" s="1"/>
  <c r="U802" i="79"/>
  <c r="AA802" i="79"/>
  <c r="E806" i="79"/>
  <c r="L806" i="79" s="1"/>
  <c r="S806" i="79"/>
  <c r="V806" i="79"/>
  <c r="X806" i="79"/>
  <c r="AA806" i="79"/>
  <c r="D807" i="79"/>
  <c r="D808" i="79" s="1"/>
  <c r="S807" i="79"/>
  <c r="AD807" i="79" s="1"/>
  <c r="V807" i="79"/>
  <c r="X807" i="79"/>
  <c r="AA807" i="79"/>
  <c r="S808" i="79"/>
  <c r="V808" i="79"/>
  <c r="X808" i="79"/>
  <c r="AA808" i="79"/>
  <c r="E810" i="79"/>
  <c r="L810" i="79" s="1"/>
  <c r="O799" i="79"/>
  <c r="M799" i="79" l="1"/>
  <c r="U808" i="79"/>
  <c r="AE808" i="79" s="1"/>
  <c r="AD806" i="79"/>
  <c r="AD808" i="79"/>
  <c r="AE800" i="79"/>
  <c r="AB800" i="79" s="1"/>
  <c r="U806" i="79"/>
  <c r="AE806" i="79" s="1"/>
  <c r="AE802" i="79"/>
  <c r="U807" i="79"/>
  <c r="AE807" i="79" s="1"/>
  <c r="AB807" i="79" s="1"/>
  <c r="O807" i="79" s="1"/>
  <c r="M807" i="79" s="1"/>
  <c r="E808" i="79"/>
  <c r="L808" i="79" s="1"/>
  <c r="E807" i="79"/>
  <c r="L807" i="79" s="1"/>
  <c r="S800" i="79"/>
  <c r="D811" i="79"/>
  <c r="E811" i="79"/>
  <c r="O811" i="79" a="1"/>
  <c r="AB808" i="79" l="1"/>
  <c r="O808" i="79" s="1"/>
  <c r="M808" i="79" s="1"/>
  <c r="X800" i="79"/>
  <c r="AB806" i="79"/>
  <c r="O806" i="79" s="1"/>
  <c r="M806" i="79" s="1"/>
  <c r="L811" i="79"/>
  <c r="V800" i="79"/>
  <c r="X802" i="79"/>
  <c r="AB802" i="79"/>
  <c r="O802" i="79" s="1"/>
  <c r="M802" i="79" s="1"/>
  <c r="V802" i="79"/>
  <c r="O800" i="79"/>
  <c r="M800" i="79" s="1"/>
  <c r="U800" i="79"/>
  <c r="O811" i="79"/>
  <c r="M811" i="79" s="1"/>
  <c r="D812" i="79"/>
  <c r="E812" i="79"/>
  <c r="O810" i="79" a="1"/>
  <c r="O812" i="79" a="1"/>
  <c r="O803" i="79" l="1"/>
  <c r="M803" i="79" s="1"/>
  <c r="O810" i="79"/>
  <c r="M810" i="79" s="1"/>
  <c r="L812" i="79"/>
  <c r="O812" i="79"/>
  <c r="M812" i="79" s="1"/>
  <c r="D813" i="79"/>
  <c r="E813" i="79"/>
  <c r="O813" i="79" a="1"/>
  <c r="L813" i="79" l="1"/>
  <c r="O813" i="79"/>
  <c r="M813" i="79" s="1"/>
  <c r="O820" i="79" s="1"/>
  <c r="M820" i="79" s="1"/>
  <c r="E817" i="79"/>
  <c r="E818" i="79" s="1"/>
  <c r="E819" i="79" s="1"/>
  <c r="E820" i="79" s="1"/>
  <c r="O817" i="79"/>
  <c r="M817" i="79" s="1"/>
  <c r="D818" i="79"/>
  <c r="O818" i="79"/>
  <c r="M818" i="79" s="1"/>
  <c r="O819" i="79"/>
  <c r="M819" i="79" s="1"/>
  <c r="E822" i="79"/>
  <c r="E823" i="79" s="1"/>
  <c r="E824" i="79" s="1"/>
  <c r="E825" i="79" s="1"/>
  <c r="O822" i="79"/>
  <c r="M822" i="79" s="1"/>
  <c r="D823" i="79"/>
  <c r="O823" i="79"/>
  <c r="M823" i="79" s="1"/>
  <c r="O824" i="79"/>
  <c r="M824" i="79" s="1"/>
  <c r="E827" i="79"/>
  <c r="E828" i="79" s="1"/>
  <c r="E829" i="79" s="1"/>
  <c r="E830" i="79" s="1"/>
  <c r="O827" i="79"/>
  <c r="M827" i="79" s="1"/>
  <c r="D828" i="79"/>
  <c r="O828" i="79"/>
  <c r="M828" i="79" s="1"/>
  <c r="O829" i="79"/>
  <c r="M829" i="79" s="1"/>
  <c r="E833" i="79"/>
  <c r="L833" i="79" s="1"/>
  <c r="O825" i="79" l="1"/>
  <c r="M825" i="79" s="1"/>
  <c r="L817" i="79"/>
  <c r="O830" i="79"/>
  <c r="M830" i="79" s="1"/>
  <c r="L827" i="79"/>
  <c r="L818" i="79"/>
  <c r="L822" i="79"/>
  <c r="L828" i="79"/>
  <c r="L823" i="79"/>
  <c r="D824" i="79"/>
  <c r="D829" i="79"/>
  <c r="D819" i="79"/>
  <c r="D834" i="79"/>
  <c r="AC8" i="59" s="1"/>
  <c r="E834" i="79"/>
  <c r="AE13" i="59" l="1"/>
  <c r="AE8" i="59"/>
  <c r="AC13" i="59"/>
  <c r="AD8" i="59"/>
  <c r="AD13" i="59"/>
  <c r="P13" i="59"/>
  <c r="P8" i="59"/>
  <c r="O8" i="59"/>
  <c r="O13" i="59"/>
  <c r="N8" i="59"/>
  <c r="N13" i="59"/>
  <c r="L834" i="79"/>
  <c r="L824" i="79"/>
  <c r="D825" i="79"/>
  <c r="L825" i="79" s="1"/>
  <c r="D820" i="79"/>
  <c r="L820" i="79" s="1"/>
  <c r="L819" i="79"/>
  <c r="L829" i="79"/>
  <c r="D830" i="79"/>
  <c r="L830" i="79" s="1"/>
  <c r="D835" i="79"/>
  <c r="E835" i="79"/>
  <c r="E836" i="79" s="1"/>
  <c r="E838" i="79"/>
  <c r="L838" i="79" s="1"/>
  <c r="D839" i="79"/>
  <c r="D840" i="79" s="1"/>
  <c r="E843" i="79"/>
  <c r="L843" i="79" s="1"/>
  <c r="D844" i="79"/>
  <c r="S848" i="79"/>
  <c r="U848" i="79" s="1"/>
  <c r="AA848" i="79"/>
  <c r="AD848" i="79"/>
  <c r="AE848" i="79"/>
  <c r="Q849" i="79"/>
  <c r="AE849" i="79" s="1"/>
  <c r="AA849" i="79"/>
  <c r="AD849" i="79"/>
  <c r="R851" i="79"/>
  <c r="U851" i="79"/>
  <c r="AA851" i="79"/>
  <c r="R852" i="79"/>
  <c r="U852" i="79"/>
  <c r="AA852" i="79"/>
  <c r="E859" i="79"/>
  <c r="L859" i="79" s="1"/>
  <c r="U859" i="79"/>
  <c r="AE859" i="79" s="1"/>
  <c r="AA859" i="79"/>
  <c r="AD859" i="79"/>
  <c r="D860" i="79"/>
  <c r="E860" i="79" s="1"/>
  <c r="U860" i="79"/>
  <c r="AE860" i="79" s="1"/>
  <c r="AA860" i="79"/>
  <c r="AD860" i="79"/>
  <c r="U861" i="79"/>
  <c r="AE861" i="79" s="1"/>
  <c r="AA861" i="79"/>
  <c r="AD861" i="79"/>
  <c r="E864" i="79"/>
  <c r="L864" i="79" s="1"/>
  <c r="AE851" i="79" l="1"/>
  <c r="U853" i="79"/>
  <c r="AE853" i="79" s="1"/>
  <c r="AD852" i="79"/>
  <c r="S853" i="79"/>
  <c r="E839" i="79"/>
  <c r="E840" i="79" s="1"/>
  <c r="E841" i="79" s="1"/>
  <c r="U849" i="79"/>
  <c r="L835" i="79"/>
  <c r="D836" i="79"/>
  <c r="AB848" i="79"/>
  <c r="O848" i="79" s="1"/>
  <c r="M848" i="79" s="1"/>
  <c r="L860" i="79"/>
  <c r="AD851" i="79"/>
  <c r="X849" i="79"/>
  <c r="E844" i="79"/>
  <c r="E845" i="79" s="1"/>
  <c r="E846" i="79" s="1"/>
  <c r="D861" i="79"/>
  <c r="V848" i="79"/>
  <c r="V849" i="79"/>
  <c r="D841" i="79"/>
  <c r="AB861" i="79"/>
  <c r="O861" i="79" s="1"/>
  <c r="M861" i="79" s="1"/>
  <c r="AB860" i="79"/>
  <c r="O860" i="79" s="1"/>
  <c r="M860" i="79" s="1"/>
  <c r="D845" i="79"/>
  <c r="X848" i="79"/>
  <c r="AB859" i="79"/>
  <c r="O859" i="79" s="1"/>
  <c r="M859" i="79" s="1"/>
  <c r="AB849" i="79"/>
  <c r="O849" i="79" s="1"/>
  <c r="M849" i="79" s="1"/>
  <c r="AE852" i="79"/>
  <c r="D865" i="79"/>
  <c r="E865" i="79"/>
  <c r="O864" i="79" a="1"/>
  <c r="O865" i="79" a="1"/>
  <c r="V852" i="79" l="1"/>
  <c r="L836" i="79"/>
  <c r="V853" i="79"/>
  <c r="AD853" i="79"/>
  <c r="AB853" i="79" s="1"/>
  <c r="O853" i="79" s="1"/>
  <c r="X853" i="79"/>
  <c r="AB851" i="79"/>
  <c r="O851" i="79" s="1"/>
  <c r="M851" i="79" s="1"/>
  <c r="V851" i="79"/>
  <c r="X851" i="79"/>
  <c r="L840" i="79"/>
  <c r="L839" i="79"/>
  <c r="L841" i="79"/>
  <c r="L844" i="79"/>
  <c r="L865" i="79"/>
  <c r="L845" i="79"/>
  <c r="D846" i="79"/>
  <c r="L846" i="79" s="1"/>
  <c r="O864" i="79"/>
  <c r="M864" i="79" s="1"/>
  <c r="X852" i="79"/>
  <c r="AB852" i="79"/>
  <c r="O852" i="79" s="1"/>
  <c r="M852" i="79" s="1"/>
  <c r="O865" i="79"/>
  <c r="M865" i="79" s="1"/>
  <c r="D866" i="79"/>
  <c r="E866" i="79"/>
  <c r="O866" i="79" a="1"/>
  <c r="V10" i="59" l="1"/>
  <c r="AK10" i="59"/>
  <c r="M853" i="79"/>
  <c r="L866" i="79"/>
  <c r="O866" i="79"/>
  <c r="M866" i="79" s="1"/>
  <c r="D867" i="79"/>
  <c r="E867" i="79"/>
  <c r="O867" i="79" a="1"/>
  <c r="O855" i="79" l="1"/>
  <c r="M855" i="79" s="1"/>
  <c r="L867" i="79"/>
  <c r="O867" i="79"/>
  <c r="M867" i="79" s="1"/>
  <c r="E869" i="79"/>
  <c r="L869" i="79" s="1"/>
  <c r="D870" i="79"/>
  <c r="O869" i="79" a="1"/>
  <c r="O870" i="79" a="1"/>
  <c r="O856" i="79" l="1"/>
  <c r="M856" i="79" s="1"/>
  <c r="E870" i="79"/>
  <c r="L870" i="79" s="1"/>
  <c r="O869" i="79"/>
  <c r="M869" i="79" s="1"/>
  <c r="O870" i="79"/>
  <c r="M870" i="79" s="1"/>
  <c r="D871" i="79"/>
  <c r="O871" i="79" a="1"/>
  <c r="V11" i="59" l="1"/>
  <c r="AK11" i="59"/>
  <c r="E871" i="79"/>
  <c r="L871" i="79" s="1"/>
  <c r="O871" i="79"/>
  <c r="M871" i="79" s="1"/>
  <c r="D872" i="79"/>
  <c r="O872" i="79" a="1"/>
  <c r="E872" i="79" l="1"/>
  <c r="L872" i="79" s="1"/>
  <c r="O872" i="79"/>
  <c r="M872" i="79" s="1"/>
  <c r="E874" i="79"/>
  <c r="L874" i="79" s="1"/>
  <c r="D875" i="79"/>
  <c r="O874" i="79" a="1"/>
  <c r="O875" i="79" a="1"/>
  <c r="E875" i="79" l="1"/>
  <c r="L875" i="79" s="1"/>
  <c r="O874" i="79"/>
  <c r="M874" i="79" s="1"/>
  <c r="O875" i="79"/>
  <c r="M875" i="79" s="1"/>
  <c r="D876" i="79"/>
  <c r="O876" i="79" a="1"/>
  <c r="V12" i="59" l="1"/>
  <c r="AK12" i="59"/>
  <c r="E876" i="79"/>
  <c r="E877" i="79" s="1"/>
  <c r="O876" i="79"/>
  <c r="M876" i="79" s="1"/>
  <c r="D877" i="79"/>
  <c r="O877" i="79" a="1"/>
  <c r="L876" i="79" l="1"/>
  <c r="L877" i="79"/>
  <c r="O877" i="79"/>
  <c r="M877" i="79" s="1"/>
  <c r="S878" i="79"/>
  <c r="U878" i="79" s="1"/>
  <c r="AA878" i="79"/>
  <c r="AD878" i="79"/>
  <c r="AE878" i="79"/>
  <c r="S879" i="79"/>
  <c r="AA879" i="79"/>
  <c r="AD879" i="79"/>
  <c r="AE879" i="79"/>
  <c r="R884" i="79"/>
  <c r="S884" i="79"/>
  <c r="O884" i="79" s="1"/>
  <c r="M884" i="79" s="1"/>
  <c r="X879" i="79" l="1"/>
  <c r="X878" i="79"/>
  <c r="Q884" i="79"/>
  <c r="Q752" i="79" s="1"/>
  <c r="AB879" i="79"/>
  <c r="O879" i="79" s="1"/>
  <c r="M879" i="79" s="1"/>
  <c r="V878" i="79"/>
  <c r="U884" i="79"/>
  <c r="AB878" i="79"/>
  <c r="O878" i="79" s="1"/>
  <c r="M878" i="79" s="1"/>
  <c r="V879" i="79"/>
  <c r="U879" i="79"/>
  <c r="R885" i="79"/>
  <c r="S885" i="79"/>
  <c r="O885" i="79" s="1"/>
  <c r="M885" i="79" s="1"/>
  <c r="X752" i="79"/>
  <c r="V752" i="79"/>
  <c r="V884" i="79"/>
  <c r="X884" i="79"/>
  <c r="S12" i="59" l="1"/>
  <c r="S36" i="59"/>
  <c r="S48" i="59"/>
  <c r="AH12" i="59"/>
  <c r="AH24" i="59"/>
  <c r="AH36" i="59"/>
  <c r="AH48" i="59"/>
  <c r="R47" i="59"/>
  <c r="AG11" i="59"/>
  <c r="AF11" i="59" s="1"/>
  <c r="AG23" i="59"/>
  <c r="AG35" i="59"/>
  <c r="AG47" i="59"/>
  <c r="R35" i="59"/>
  <c r="S24" i="59"/>
  <c r="R23" i="59"/>
  <c r="R11" i="59"/>
  <c r="Q11" i="59" s="1"/>
  <c r="Y11" i="59" s="1"/>
  <c r="Q885" i="79"/>
  <c r="Q758" i="79" s="1"/>
  <c r="Q759" i="79"/>
  <c r="S759" i="79" s="1"/>
  <c r="U885" i="79"/>
  <c r="S752" i="79"/>
  <c r="R886" i="79"/>
  <c r="V885" i="79"/>
  <c r="X758" i="79"/>
  <c r="X759" i="79"/>
  <c r="V758" i="79"/>
  <c r="X885" i="79"/>
  <c r="V759" i="79"/>
  <c r="O880" i="79" l="1"/>
  <c r="M880" i="79" s="1"/>
  <c r="R12" i="59" s="1"/>
  <c r="Q751" i="79"/>
  <c r="S751" i="79" s="1"/>
  <c r="Q886" i="79"/>
  <c r="S886" i="79" s="1"/>
  <c r="O881" i="79"/>
  <c r="M881" i="79" s="1"/>
  <c r="U886" i="79"/>
  <c r="AE886" i="79" s="1"/>
  <c r="O752" i="79"/>
  <c r="M752" i="79" s="1"/>
  <c r="O759" i="79"/>
  <c r="M759" i="79" s="1"/>
  <c r="S758" i="79"/>
  <c r="Q760" i="79"/>
  <c r="AA886" i="79"/>
  <c r="R887" i="79"/>
  <c r="S887" i="79"/>
  <c r="V760" i="79"/>
  <c r="V751" i="79"/>
  <c r="V886" i="79"/>
  <c r="X751" i="79"/>
  <c r="X886" i="79"/>
  <c r="X760" i="79"/>
  <c r="AG24" i="59" l="1"/>
  <c r="R36" i="59"/>
  <c r="AG36" i="59"/>
  <c r="R48" i="59"/>
  <c r="AG48" i="59"/>
  <c r="AG12" i="59"/>
  <c r="AF12" i="59" s="1"/>
  <c r="AG34" i="59"/>
  <c r="R46" i="59"/>
  <c r="AG46" i="59"/>
  <c r="AG10" i="59"/>
  <c r="AF10" i="59" s="1"/>
  <c r="AG22" i="59"/>
  <c r="R34" i="59"/>
  <c r="R22" i="59"/>
  <c r="R10" i="59"/>
  <c r="Q10" i="59" s="1"/>
  <c r="Y10" i="59" s="1"/>
  <c r="R24" i="59"/>
  <c r="Q12" i="59"/>
  <c r="Y12" i="59" s="1"/>
  <c r="Q753" i="79"/>
  <c r="AD886" i="79"/>
  <c r="AB886" i="79" s="1"/>
  <c r="O886" i="79" s="1"/>
  <c r="M886" i="79" s="1"/>
  <c r="Q887" i="79"/>
  <c r="Q768" i="79" s="1"/>
  <c r="U887" i="79"/>
  <c r="AE887" i="79" s="1"/>
  <c r="O751" i="79"/>
  <c r="M751" i="79" s="1"/>
  <c r="S760" i="79"/>
  <c r="O758" i="79"/>
  <c r="M758" i="79" s="1"/>
  <c r="AA887" i="79"/>
  <c r="AD887" i="79"/>
  <c r="R888" i="79"/>
  <c r="S888" i="79"/>
  <c r="V887" i="79"/>
  <c r="X753" i="79"/>
  <c r="X887" i="79"/>
  <c r="V768" i="79"/>
  <c r="X768" i="79"/>
  <c r="V753" i="79"/>
  <c r="S753" i="79" l="1"/>
  <c r="Q888" i="79"/>
  <c r="Q761" i="79"/>
  <c r="S761" i="79" s="1"/>
  <c r="U888" i="79"/>
  <c r="AE888" i="79" s="1"/>
  <c r="AB887" i="79"/>
  <c r="O887" i="79" s="1"/>
  <c r="M887" i="79" s="1"/>
  <c r="S768" i="79"/>
  <c r="AD760" i="79"/>
  <c r="AB760" i="79" s="1"/>
  <c r="O760" i="79" s="1"/>
  <c r="M760" i="79" s="1"/>
  <c r="AA888" i="79"/>
  <c r="AD888" i="79"/>
  <c r="L891" i="79"/>
  <c r="V888" i="79"/>
  <c r="V761" i="79"/>
  <c r="O763" i="79"/>
  <c r="X761" i="79"/>
  <c r="X888" i="79"/>
  <c r="AD753" i="79" l="1"/>
  <c r="AB753" i="79" s="1"/>
  <c r="O753" i="79" s="1"/>
  <c r="M753" i="79" s="1"/>
  <c r="Q769" i="79"/>
  <c r="AB888" i="79"/>
  <c r="O888" i="79" s="1"/>
  <c r="M888" i="79" s="1"/>
  <c r="M763" i="79"/>
  <c r="S13" i="59" s="1"/>
  <c r="AD768" i="79"/>
  <c r="AD761" i="79"/>
  <c r="D892" i="79"/>
  <c r="E892" i="79"/>
  <c r="V769" i="79"/>
  <c r="O755" i="79"/>
  <c r="X769" i="79"/>
  <c r="S25" i="59" l="1"/>
  <c r="AH49" i="59"/>
  <c r="AH21" i="59"/>
  <c r="AH44" i="59"/>
  <c r="AH33" i="59"/>
  <c r="S32" i="59"/>
  <c r="AH45" i="59"/>
  <c r="AH37" i="59"/>
  <c r="S37" i="59"/>
  <c r="S44" i="59"/>
  <c r="S49" i="59"/>
  <c r="AH8" i="59"/>
  <c r="AH9" i="59"/>
  <c r="AH13" i="59"/>
  <c r="S33" i="59"/>
  <c r="AH20" i="59"/>
  <c r="AH25" i="59"/>
  <c r="S45" i="59"/>
  <c r="AH32" i="59"/>
  <c r="L892" i="79"/>
  <c r="S20" i="59"/>
  <c r="S9" i="59"/>
  <c r="S8" i="59"/>
  <c r="S21" i="59"/>
  <c r="M755" i="79"/>
  <c r="R13" i="59" s="1"/>
  <c r="S769" i="79"/>
  <c r="AB761" i="79"/>
  <c r="O761" i="79" s="1"/>
  <c r="M761" i="79" s="1"/>
  <c r="AB768" i="79"/>
  <c r="O768" i="79" s="1"/>
  <c r="M768" i="79" s="1"/>
  <c r="D893" i="79"/>
  <c r="D894" i="79" s="1"/>
  <c r="E893" i="79"/>
  <c r="E894" i="79" s="1"/>
  <c r="E895" i="79" s="1"/>
  <c r="L897" i="79"/>
  <c r="D898" i="79"/>
  <c r="L898" i="79" s="1"/>
  <c r="E898" i="79"/>
  <c r="E899" i="79" s="1"/>
  <c r="E900" i="79" s="1"/>
  <c r="E901" i="79" s="1"/>
  <c r="L903" i="79"/>
  <c r="D904" i="79"/>
  <c r="L904" i="79" s="1"/>
  <c r="E904" i="79"/>
  <c r="E905" i="79" s="1"/>
  <c r="E906" i="79" s="1"/>
  <c r="E907" i="79" s="1"/>
  <c r="L909" i="79"/>
  <c r="D910" i="79"/>
  <c r="L910" i="79" s="1"/>
  <c r="E910" i="79"/>
  <c r="E911" i="79" s="1"/>
  <c r="E912" i="79" s="1"/>
  <c r="E913" i="79" s="1"/>
  <c r="L916" i="79"/>
  <c r="D917" i="79"/>
  <c r="D918" i="79" s="1"/>
  <c r="L918" i="79" s="1"/>
  <c r="L922" i="79"/>
  <c r="D923" i="79"/>
  <c r="L923" i="79" s="1"/>
  <c r="U929" i="79"/>
  <c r="AE929" i="79" s="1"/>
  <c r="AA929" i="79"/>
  <c r="AD929" i="79"/>
  <c r="E931" i="79"/>
  <c r="E932" i="79" s="1"/>
  <c r="E933" i="79" s="1"/>
  <c r="E934" i="79" s="1"/>
  <c r="U931" i="79"/>
  <c r="AE931" i="79" s="1"/>
  <c r="AA931" i="79"/>
  <c r="AD931" i="79"/>
  <c r="D932" i="79"/>
  <c r="U932" i="79"/>
  <c r="AE932" i="79" s="1"/>
  <c r="AA932" i="79"/>
  <c r="AD932" i="79"/>
  <c r="U933" i="79"/>
  <c r="AE933" i="79" s="1"/>
  <c r="AA933" i="79"/>
  <c r="AD933" i="79"/>
  <c r="U934" i="79"/>
  <c r="AE934" i="79" s="1"/>
  <c r="AA934" i="79"/>
  <c r="AD934" i="79"/>
  <c r="E936" i="79"/>
  <c r="L936" i="79" s="1"/>
  <c r="D937" i="79"/>
  <c r="D938" i="79" s="1"/>
  <c r="D939" i="79" s="1"/>
  <c r="E941" i="79"/>
  <c r="L941" i="79" s="1"/>
  <c r="D942" i="79"/>
  <c r="O958" i="79"/>
  <c r="O959" i="79"/>
  <c r="M959" i="79" s="1"/>
  <c r="O960" i="79"/>
  <c r="M960" i="79" s="1"/>
  <c r="O961" i="79"/>
  <c r="M961" i="79" s="1"/>
  <c r="O962" i="79"/>
  <c r="M962" i="79" s="1"/>
  <c r="O963" i="79"/>
  <c r="M963" i="79" s="1"/>
  <c r="O964" i="79"/>
  <c r="O968" i="79"/>
  <c r="M968" i="79" s="1"/>
  <c r="O969" i="79"/>
  <c r="M969" i="79" s="1"/>
  <c r="O970" i="79"/>
  <c r="O971" i="79"/>
  <c r="M971" i="79" s="1"/>
  <c r="O972" i="79"/>
  <c r="O973" i="79"/>
  <c r="M973" i="79" s="1"/>
  <c r="O977" i="79"/>
  <c r="O978" i="79"/>
  <c r="M978" i="79" s="1"/>
  <c r="AA983" i="79"/>
  <c r="AD983" i="79"/>
  <c r="AE983" i="79"/>
  <c r="AA984" i="79"/>
  <c r="AD984" i="79"/>
  <c r="AE984" i="79"/>
  <c r="AA989" i="79"/>
  <c r="AD989" i="79"/>
  <c r="AE989" i="79"/>
  <c r="AA993" i="79"/>
  <c r="AD993" i="79"/>
  <c r="AE993" i="79"/>
  <c r="U997" i="79"/>
  <c r="AE997" i="79" s="1"/>
  <c r="AA997" i="79"/>
  <c r="U1002" i="79"/>
  <c r="AD1002" i="79" s="1"/>
  <c r="AA1002" i="79"/>
  <c r="O1006" i="79"/>
  <c r="M1006" i="79" s="1"/>
  <c r="O1011" i="79"/>
  <c r="M1011" i="79" s="1"/>
  <c r="O1012" i="79"/>
  <c r="M1012" i="79" s="1"/>
  <c r="S1016" i="79"/>
  <c r="AA1016" i="79"/>
  <c r="AD1016" i="79"/>
  <c r="AE1016" i="79"/>
  <c r="U1018" i="79"/>
  <c r="AE1018" i="79" s="1"/>
  <c r="AD1018" i="79" s="1"/>
  <c r="AA1018" i="79"/>
  <c r="O1019" i="79"/>
  <c r="M1019" i="79" s="1"/>
  <c r="U1019" i="79"/>
  <c r="AE1019" i="79" s="1"/>
  <c r="AD1019" i="79" s="1"/>
  <c r="O1020" i="79"/>
  <c r="M1020" i="79" s="1"/>
  <c r="U1020" i="79"/>
  <c r="AE1020" i="79" s="1"/>
  <c r="AD1020" i="79" s="1"/>
  <c r="O1021" i="79"/>
  <c r="M1021" i="79" s="1"/>
  <c r="U1021" i="79"/>
  <c r="AE1021" i="79" s="1"/>
  <c r="AD1021" i="79" s="1"/>
  <c r="Q1022" i="79"/>
  <c r="S1022" i="79" s="1"/>
  <c r="AA1022" i="79"/>
  <c r="O1024" i="79"/>
  <c r="M1024" i="79" s="1"/>
  <c r="O1025" i="79"/>
  <c r="M1025" i="79" s="1"/>
  <c r="L1035" i="79" a="1"/>
  <c r="L1035" i="79" s="1"/>
  <c r="D1036" i="79"/>
  <c r="L1036" i="79" s="1" a="1"/>
  <c r="L1036" i="79" s="1"/>
  <c r="M1045" i="79"/>
  <c r="M1046" i="79"/>
  <c r="U1049" i="79"/>
  <c r="AD1049" i="79" s="1"/>
  <c r="AA1049" i="79"/>
  <c r="U1051" i="79"/>
  <c r="AD1051" i="79" s="1"/>
  <c r="AA1051" i="79"/>
  <c r="U1054" i="79"/>
  <c r="AD1054" i="79" s="1"/>
  <c r="AA1054" i="79"/>
  <c r="Q1056" i="79"/>
  <c r="U1056" i="79"/>
  <c r="AD1056" i="79" s="1"/>
  <c r="AE1056" i="79" s="1"/>
  <c r="AA1056" i="79"/>
  <c r="Q1057" i="79"/>
  <c r="U1057" i="79"/>
  <c r="AD1057" i="79" s="1"/>
  <c r="AE1057" i="79" s="1"/>
  <c r="AA1057" i="79"/>
  <c r="Q1058" i="79"/>
  <c r="U1058" i="79" s="1"/>
  <c r="AA1058" i="79"/>
  <c r="Q1059" i="79"/>
  <c r="S1059" i="79"/>
  <c r="AA1059" i="79"/>
  <c r="AA1062" i="79"/>
  <c r="AD1062" i="79"/>
  <c r="AE1062" i="79" s="1"/>
  <c r="AA1063" i="79"/>
  <c r="AD1063" i="79"/>
  <c r="AE1063" i="79" s="1"/>
  <c r="O1067" i="79"/>
  <c r="M1067" i="79" s="1"/>
  <c r="U1067" i="79"/>
  <c r="AD1067" i="79" s="1"/>
  <c r="AA1067" i="79"/>
  <c r="O1068" i="79"/>
  <c r="M1068" i="79" s="1"/>
  <c r="U1068" i="79"/>
  <c r="AD1068" i="79" s="1"/>
  <c r="AA1068" i="79"/>
  <c r="Q1069" i="79"/>
  <c r="T1069" i="79" s="1"/>
  <c r="U1069" i="79" s="1"/>
  <c r="AA1069" i="79"/>
  <c r="S1071" i="79"/>
  <c r="S1072" i="79"/>
  <c r="L1074" i="79" a="1"/>
  <c r="L1074" i="79" s="1"/>
  <c r="D1075" i="79"/>
  <c r="D1076" i="79" s="1"/>
  <c r="D1077" i="79" s="1"/>
  <c r="L1077" i="79" s="1" a="1"/>
  <c r="L1077" i="79" s="1"/>
  <c r="M1084" i="79"/>
  <c r="AF6" i="31" s="1" a="1"/>
  <c r="AF6" i="31" s="1"/>
  <c r="M1085" i="79"/>
  <c r="AG6" i="31" s="1" a="1"/>
  <c r="AG6" i="31" s="1"/>
  <c r="M456" i="79"/>
  <c r="S470" i="79"/>
  <c r="AA470" i="79"/>
  <c r="O764" i="79"/>
  <c r="O772" i="79"/>
  <c r="R25" i="59" l="1"/>
  <c r="AG21" i="59"/>
  <c r="AG33" i="59"/>
  <c r="AG49" i="59"/>
  <c r="R32" i="59"/>
  <c r="AG45" i="59"/>
  <c r="R37" i="59"/>
  <c r="R44" i="59"/>
  <c r="R49" i="59"/>
  <c r="AG8" i="59"/>
  <c r="AG13" i="59"/>
  <c r="R33" i="59"/>
  <c r="AG20" i="59"/>
  <c r="AG25" i="59"/>
  <c r="R45" i="59"/>
  <c r="AG32" i="59"/>
  <c r="AG9" i="59"/>
  <c r="AG37" i="59"/>
  <c r="AG44" i="59"/>
  <c r="R9" i="59"/>
  <c r="R20" i="59"/>
  <c r="R8" i="59"/>
  <c r="R21" i="59"/>
  <c r="O1007" i="79" a="1"/>
  <c r="O1007" i="79" s="1"/>
  <c r="M1007" i="79" s="1"/>
  <c r="AD470" i="79"/>
  <c r="M764" i="79"/>
  <c r="S14" i="59" s="1"/>
  <c r="M772" i="79"/>
  <c r="M964" i="79"/>
  <c r="M977" i="79"/>
  <c r="S979" i="79" s="1"/>
  <c r="M958" i="79"/>
  <c r="M972" i="79"/>
  <c r="AD769" i="79"/>
  <c r="R1059" i="79"/>
  <c r="AE1059" i="79" s="1"/>
  <c r="L932" i="79"/>
  <c r="L931" i="79"/>
  <c r="L1076" i="79" a="1"/>
  <c r="L1076" i="79" s="1"/>
  <c r="T1022" i="79"/>
  <c r="U1022" i="79" s="1"/>
  <c r="AE1022" i="79" s="1"/>
  <c r="AD1022" i="79" s="1"/>
  <c r="AB1022" i="79" s="1"/>
  <c r="O1022" i="79" s="1"/>
  <c r="M1022" i="79" s="1"/>
  <c r="AE1002" i="79"/>
  <c r="AD997" i="79"/>
  <c r="V993" i="79"/>
  <c r="V994" i="79" s="1" a="1"/>
  <c r="V994" i="79" s="1"/>
  <c r="AB993" i="79"/>
  <c r="O993" i="79" s="1"/>
  <c r="M993" i="79" s="1"/>
  <c r="X993" i="79"/>
  <c r="X994" i="79" s="1" a="1"/>
  <c r="X994" i="79" s="1"/>
  <c r="X1062" i="79"/>
  <c r="V1016" i="79"/>
  <c r="E942" i="79"/>
  <c r="E943" i="79" s="1"/>
  <c r="E944" i="79" s="1"/>
  <c r="AB932" i="79"/>
  <c r="O932" i="79" s="1"/>
  <c r="M932" i="79" s="1"/>
  <c r="D905" i="79"/>
  <c r="L905" i="79" s="1"/>
  <c r="M970" i="79"/>
  <c r="X1016" i="79"/>
  <c r="V983" i="79"/>
  <c r="L894" i="79"/>
  <c r="D895" i="79"/>
  <c r="L895" i="79" s="1"/>
  <c r="AB1062" i="79"/>
  <c r="O1062" i="79" s="1"/>
  <c r="M1062" i="79" s="1"/>
  <c r="R1058" i="79"/>
  <c r="AE1058" i="79" s="1"/>
  <c r="AB1016" i="79"/>
  <c r="O1016" i="79" s="1"/>
  <c r="M1016" i="79" s="1"/>
  <c r="L917" i="79"/>
  <c r="L893" i="79"/>
  <c r="AB934" i="79"/>
  <c r="O934" i="79" s="1"/>
  <c r="M934" i="79" s="1"/>
  <c r="O1072" i="79"/>
  <c r="M1072" i="79" s="1"/>
  <c r="V989" i="79"/>
  <c r="V990" i="79" s="1" a="1"/>
  <c r="V990" i="79" s="1"/>
  <c r="AE1054" i="79"/>
  <c r="X1054" i="79" s="1"/>
  <c r="AB989" i="79"/>
  <c r="O989" i="79" s="1"/>
  <c r="M989" i="79" s="1"/>
  <c r="V984" i="79"/>
  <c r="E937" i="79"/>
  <c r="L937" i="79" s="1"/>
  <c r="AB931" i="79"/>
  <c r="O931" i="79" s="1"/>
  <c r="M931" i="79" s="1"/>
  <c r="D911" i="79"/>
  <c r="AB984" i="79"/>
  <c r="O984" i="79" s="1"/>
  <c r="M984" i="79" s="1"/>
  <c r="D899" i="79"/>
  <c r="AB983" i="79"/>
  <c r="O983" i="79" s="1"/>
  <c r="M983" i="79" s="1"/>
  <c r="AB1056" i="79"/>
  <c r="O1056" i="79" s="1"/>
  <c r="M1056" i="79" s="1"/>
  <c r="S1069" i="79"/>
  <c r="AE1068" i="79"/>
  <c r="V1068" i="79" s="1"/>
  <c r="AB1057" i="79"/>
  <c r="O1057" i="79" s="1"/>
  <c r="M1057" i="79" s="1"/>
  <c r="V1020" i="79"/>
  <c r="X1020" i="79"/>
  <c r="V1019" i="79"/>
  <c r="X1019" i="79"/>
  <c r="AB929" i="79"/>
  <c r="O929" i="79" s="1"/>
  <c r="M929" i="79" s="1"/>
  <c r="O1071" i="79"/>
  <c r="M1071" i="79" s="1"/>
  <c r="X1063" i="79"/>
  <c r="V1021" i="79"/>
  <c r="X1021" i="79"/>
  <c r="AB1063" i="79"/>
  <c r="O1063" i="79" s="1"/>
  <c r="M1063" i="79" s="1"/>
  <c r="AE1051" i="79"/>
  <c r="AB1051" i="79" s="1"/>
  <c r="O1051" i="79" s="1"/>
  <c r="M1051" i="79" s="1"/>
  <c r="AE1049" i="79"/>
  <c r="AB1049" i="79" s="1"/>
  <c r="O1049" i="79" s="1"/>
  <c r="M1049" i="79" s="1"/>
  <c r="AB933" i="79"/>
  <c r="O933" i="79" s="1"/>
  <c r="M933" i="79" s="1"/>
  <c r="AE1067" i="79"/>
  <c r="V1063" i="79"/>
  <c r="U1059" i="79"/>
  <c r="D1078" i="79"/>
  <c r="L1075" i="79" a="1"/>
  <c r="L1075" i="79" s="1"/>
  <c r="V1062" i="79"/>
  <c r="X1018" i="79"/>
  <c r="AB1018" i="79"/>
  <c r="O1018" i="79" s="1"/>
  <c r="M1018" i="79" s="1"/>
  <c r="V1018" i="79"/>
  <c r="D1037" i="79"/>
  <c r="X989" i="79"/>
  <c r="X990" i="79" s="1" a="1"/>
  <c r="X990" i="79" s="1"/>
  <c r="D943" i="79"/>
  <c r="D933" i="79"/>
  <c r="X983" i="79"/>
  <c r="U1016" i="79"/>
  <c r="X984" i="79"/>
  <c r="D924" i="79"/>
  <c r="D919" i="79"/>
  <c r="S473" i="79"/>
  <c r="AD473" i="79" s="1"/>
  <c r="AA473" i="79"/>
  <c r="AE473" i="79"/>
  <c r="S474" i="79"/>
  <c r="AA474" i="79"/>
  <c r="AE474" i="79"/>
  <c r="L477" i="79"/>
  <c r="S477" i="79"/>
  <c r="V477" i="79"/>
  <c r="X477" i="79"/>
  <c r="AA477" i="79"/>
  <c r="L478" i="79"/>
  <c r="S478" i="79"/>
  <c r="V478" i="79"/>
  <c r="X478" i="79"/>
  <c r="AA478" i="79"/>
  <c r="D479" i="79"/>
  <c r="D480" i="79" s="1"/>
  <c r="L480" i="79" s="1"/>
  <c r="S479" i="79"/>
  <c r="V479" i="79"/>
  <c r="X479" i="79"/>
  <c r="AA479" i="79"/>
  <c r="S480" i="79"/>
  <c r="V480" i="79"/>
  <c r="X480" i="79"/>
  <c r="AA480" i="79"/>
  <c r="L484" i="79"/>
  <c r="R484" i="79"/>
  <c r="S484" i="79" s="1"/>
  <c r="AA484" i="79"/>
  <c r="L485" i="79"/>
  <c r="R485" i="79"/>
  <c r="AD485" i="79" s="1"/>
  <c r="AA485" i="79"/>
  <c r="D486" i="79"/>
  <c r="L486" i="79" s="1"/>
  <c r="R486" i="79"/>
  <c r="Q495" i="79" s="1"/>
  <c r="AA486" i="79"/>
  <c r="R487" i="79"/>
  <c r="AE487" i="79" s="1"/>
  <c r="AA487" i="79"/>
  <c r="R488" i="79"/>
  <c r="S488" i="79" s="1"/>
  <c r="AA488" i="79"/>
  <c r="R489" i="79"/>
  <c r="S489" i="79" s="1"/>
  <c r="AA489" i="79"/>
  <c r="L493" i="79"/>
  <c r="AA493" i="79"/>
  <c r="AD493" i="79"/>
  <c r="L494" i="79"/>
  <c r="AA494" i="79"/>
  <c r="AD494" i="79"/>
  <c r="D495" i="79"/>
  <c r="L495" i="79" s="1"/>
  <c r="AA495" i="79"/>
  <c r="AD495" i="79"/>
  <c r="AA496" i="79"/>
  <c r="AD496" i="79"/>
  <c r="AA497" i="79"/>
  <c r="AD497" i="79"/>
  <c r="AA498" i="79"/>
  <c r="AD498" i="79"/>
  <c r="Q503" i="79"/>
  <c r="U503" i="79" s="1"/>
  <c r="AA503" i="79"/>
  <c r="Q504" i="79"/>
  <c r="R504" i="79" s="1"/>
  <c r="AA504" i="79"/>
  <c r="L510" i="79"/>
  <c r="D511" i="79"/>
  <c r="L511" i="79" s="1"/>
  <c r="L514" i="79"/>
  <c r="S974" i="79" l="1"/>
  <c r="X985" i="79"/>
  <c r="X986" i="79" s="1" a="1"/>
  <c r="X986" i="79" s="1"/>
  <c r="S965" i="79"/>
  <c r="V985" i="79"/>
  <c r="V986" i="79" s="1" a="1"/>
  <c r="V986" i="79" s="1"/>
  <c r="S26" i="59"/>
  <c r="AI26" i="59"/>
  <c r="AI38" i="59"/>
  <c r="AI50" i="59"/>
  <c r="AI14" i="59"/>
  <c r="T38" i="59"/>
  <c r="T50" i="59"/>
  <c r="AH38" i="59"/>
  <c r="AH50" i="59"/>
  <c r="AH26" i="59"/>
  <c r="S38" i="59"/>
  <c r="S50" i="59"/>
  <c r="AH14" i="59"/>
  <c r="T14" i="59"/>
  <c r="T26" i="59"/>
  <c r="O990" i="79" a="1"/>
  <c r="O990" i="79" s="1"/>
  <c r="M990" i="79" s="1"/>
  <c r="O994" i="79" a="1"/>
  <c r="O994" i="79" s="1"/>
  <c r="E938" i="79"/>
  <c r="E939" i="79" s="1"/>
  <c r="L939" i="79" s="1"/>
  <c r="O936" i="79"/>
  <c r="M936" i="79" s="1"/>
  <c r="O985" i="79"/>
  <c r="M985" i="79" s="1"/>
  <c r="O1064" i="79"/>
  <c r="M1064" i="79" s="1"/>
  <c r="O1023" i="79"/>
  <c r="M1023" i="79" s="1"/>
  <c r="AD1059" i="79"/>
  <c r="O937" i="79"/>
  <c r="M937" i="79" s="1"/>
  <c r="O939" i="79"/>
  <c r="M939" i="79" s="1"/>
  <c r="O938" i="79"/>
  <c r="M938" i="79" s="1"/>
  <c r="D906" i="79"/>
  <c r="L906" i="79" s="1"/>
  <c r="AD1058" i="79"/>
  <c r="AB1058" i="79" s="1"/>
  <c r="O1058" i="79" s="1"/>
  <c r="M1058" i="79" s="1"/>
  <c r="Q498" i="79"/>
  <c r="S498" i="79" s="1"/>
  <c r="AB769" i="79"/>
  <c r="O769" i="79" s="1"/>
  <c r="M769" i="79" s="1"/>
  <c r="U477" i="79"/>
  <c r="AD477" i="79" s="1"/>
  <c r="AE477" i="79" s="1"/>
  <c r="AB477" i="79" s="1"/>
  <c r="O477" i="79" s="1"/>
  <c r="M477" i="79" s="1"/>
  <c r="AE489" i="79"/>
  <c r="S487" i="79"/>
  <c r="U487" i="79" s="1"/>
  <c r="V1054" i="79"/>
  <c r="AB1002" i="79"/>
  <c r="O1002" i="79" s="1"/>
  <c r="M1002" i="79" s="1"/>
  <c r="AB997" i="79"/>
  <c r="O997" i="79" s="1"/>
  <c r="M997" i="79" s="1"/>
  <c r="AB1054" i="79"/>
  <c r="O1054" i="79" s="1"/>
  <c r="M1054" i="79" s="1"/>
  <c r="L942" i="79"/>
  <c r="D496" i="79"/>
  <c r="V1067" i="79"/>
  <c r="Q496" i="79"/>
  <c r="S496" i="79" s="1"/>
  <c r="U496" i="79" s="1"/>
  <c r="AD487" i="79"/>
  <c r="X487" i="79" s="1"/>
  <c r="U478" i="79"/>
  <c r="AD478" i="79" s="1"/>
  <c r="AE478" i="79" s="1"/>
  <c r="AB478" i="79" s="1"/>
  <c r="O478" i="79" s="1"/>
  <c r="M478" i="79" s="1"/>
  <c r="U479" i="79"/>
  <c r="AD479" i="79" s="1"/>
  <c r="AE479" i="79" s="1"/>
  <c r="X1067" i="79"/>
  <c r="L899" i="79"/>
  <c r="D900" i="79"/>
  <c r="L911" i="79"/>
  <c r="D912" i="79"/>
  <c r="L943" i="79"/>
  <c r="D944" i="79"/>
  <c r="L944" i="79" s="1"/>
  <c r="D1079" i="79"/>
  <c r="L1078" i="79" a="1"/>
  <c r="L1078" i="79" s="1"/>
  <c r="X1068" i="79"/>
  <c r="L924" i="79"/>
  <c r="D925" i="79"/>
  <c r="U480" i="79"/>
  <c r="AD480" i="79" s="1"/>
  <c r="AE480" i="79" s="1"/>
  <c r="L919" i="79"/>
  <c r="D920" i="79"/>
  <c r="AD474" i="79"/>
  <c r="V474" i="79" s="1"/>
  <c r="L1037" i="79" a="1"/>
  <c r="L1037" i="79" s="1"/>
  <c r="D1038" i="79"/>
  <c r="AB1067" i="79"/>
  <c r="AB1068" i="79"/>
  <c r="AD1069" i="79"/>
  <c r="D512" i="79"/>
  <c r="L512" i="79" s="1"/>
  <c r="L933" i="79"/>
  <c r="D934" i="79"/>
  <c r="L934" i="79" s="1"/>
  <c r="X1022" i="79"/>
  <c r="V1022" i="79"/>
  <c r="U489" i="79"/>
  <c r="R503" i="79"/>
  <c r="AD503" i="79" s="1"/>
  <c r="Q493" i="79"/>
  <c r="AD489" i="79"/>
  <c r="AE486" i="79"/>
  <c r="S485" i="79"/>
  <c r="AE488" i="79"/>
  <c r="AE485" i="79"/>
  <c r="V485" i="79" s="1"/>
  <c r="AE484" i="79"/>
  <c r="Q494" i="79"/>
  <c r="AD484" i="79"/>
  <c r="AE495" i="79"/>
  <c r="S495" i="79"/>
  <c r="V473" i="79"/>
  <c r="X473" i="79"/>
  <c r="AB473" i="79"/>
  <c r="O473" i="79" s="1"/>
  <c r="M473" i="79" s="1"/>
  <c r="U488" i="79"/>
  <c r="AE504" i="79"/>
  <c r="AD504" i="79"/>
  <c r="U484" i="79"/>
  <c r="AD488" i="79"/>
  <c r="Q497" i="79"/>
  <c r="D487" i="79"/>
  <c r="S486" i="79"/>
  <c r="L479" i="79"/>
  <c r="AD486" i="79"/>
  <c r="U504" i="79"/>
  <c r="D515" i="79"/>
  <c r="L515" i="79" s="1"/>
  <c r="O773" i="79"/>
  <c r="M994" i="79" l="1"/>
  <c r="O1003" i="79" a="1"/>
  <c r="O1003" i="79" s="1"/>
  <c r="M1003" i="79" s="1"/>
  <c r="V1059" i="79"/>
  <c r="L938" i="79"/>
  <c r="AB1059" i="79"/>
  <c r="O1059" i="79" s="1"/>
  <c r="M1059" i="79" s="1"/>
  <c r="O941" i="79"/>
  <c r="M941" i="79" s="1"/>
  <c r="X1059" i="79"/>
  <c r="O998" i="79" a="1"/>
  <c r="O998" i="79" s="1"/>
  <c r="M998" i="79" s="1"/>
  <c r="O986" i="79" a="1"/>
  <c r="O986" i="79" s="1"/>
  <c r="M986" i="79" s="1"/>
  <c r="M773" i="79"/>
  <c r="O942" i="79"/>
  <c r="M942" i="79" s="1"/>
  <c r="O944" i="79"/>
  <c r="M944" i="79" s="1"/>
  <c r="AB474" i="79"/>
  <c r="O474" i="79" s="1"/>
  <c r="M474" i="79" s="1"/>
  <c r="AE496" i="79"/>
  <c r="X496" i="79" s="1"/>
  <c r="D907" i="79"/>
  <c r="L907" i="79" s="1"/>
  <c r="AB487" i="79"/>
  <c r="O487" i="79" s="1"/>
  <c r="M487" i="79" s="1"/>
  <c r="V489" i="79"/>
  <c r="X1058" i="79"/>
  <c r="V1058" i="79"/>
  <c r="V487" i="79"/>
  <c r="AB479" i="79"/>
  <c r="O479" i="79" s="1"/>
  <c r="M479" i="79" s="1"/>
  <c r="AE498" i="79"/>
  <c r="V498" i="79" s="1"/>
  <c r="U498" i="79"/>
  <c r="O943" i="79"/>
  <c r="M943" i="79" s="1"/>
  <c r="AB480" i="79"/>
  <c r="O480" i="79" s="1"/>
  <c r="M480" i="79" s="1"/>
  <c r="X474" i="79"/>
  <c r="X489" i="79"/>
  <c r="AE503" i="79"/>
  <c r="X503" i="79" s="1"/>
  <c r="AB488" i="79"/>
  <c r="O488" i="79" s="1"/>
  <c r="M488" i="79" s="1"/>
  <c r="D497" i="79"/>
  <c r="L496" i="79"/>
  <c r="L912" i="79"/>
  <c r="D913" i="79"/>
  <c r="L913" i="79" s="1"/>
  <c r="X485" i="79"/>
  <c r="AB504" i="79"/>
  <c r="O504" i="79" s="1"/>
  <c r="M504" i="79" s="1"/>
  <c r="AB485" i="79"/>
  <c r="O485" i="79" s="1"/>
  <c r="M485" i="79" s="1"/>
  <c r="V484" i="79"/>
  <c r="L900" i="79"/>
  <c r="D901" i="79"/>
  <c r="L901" i="79" s="1"/>
  <c r="L1079" i="79" a="1"/>
  <c r="L1079" i="79" s="1"/>
  <c r="D1080" i="79"/>
  <c r="L925" i="79"/>
  <c r="D926" i="79"/>
  <c r="L920" i="79"/>
  <c r="D1039" i="79"/>
  <c r="L1038" i="79" a="1"/>
  <c r="L1038" i="79" s="1"/>
  <c r="AE1069" i="79"/>
  <c r="X1069" i="79" s="1"/>
  <c r="S494" i="79"/>
  <c r="AE494" i="79"/>
  <c r="U485" i="79"/>
  <c r="AE493" i="79"/>
  <c r="S493" i="79"/>
  <c r="X484" i="79"/>
  <c r="AB489" i="79"/>
  <c r="O489" i="79" s="1"/>
  <c r="M489" i="79" s="1"/>
  <c r="AB484" i="79"/>
  <c r="O484" i="79" s="1"/>
  <c r="M484" i="79" s="1"/>
  <c r="V486" i="79"/>
  <c r="X486" i="79"/>
  <c r="U486" i="79"/>
  <c r="AB486" i="79"/>
  <c r="O486" i="79" s="1"/>
  <c r="M486" i="79" s="1"/>
  <c r="AE497" i="79"/>
  <c r="S497" i="79"/>
  <c r="D488" i="79"/>
  <c r="L487" i="79"/>
  <c r="AB495" i="79"/>
  <c r="O495" i="79" s="1"/>
  <c r="M495" i="79" s="1"/>
  <c r="V495" i="79"/>
  <c r="V488" i="79"/>
  <c r="X488" i="79"/>
  <c r="V504" i="79"/>
  <c r="X504" i="79"/>
  <c r="X495" i="79"/>
  <c r="U495" i="79"/>
  <c r="D516" i="79"/>
  <c r="L516" i="79" s="1"/>
  <c r="O845" i="79" a="1"/>
  <c r="O834" i="79" a="1"/>
  <c r="O844" i="79" a="1"/>
  <c r="O835" i="79" a="1"/>
  <c r="O839" i="79" a="1"/>
  <c r="O840" i="79" a="1"/>
  <c r="O846" i="79" a="1"/>
  <c r="O843" i="79" a="1"/>
  <c r="O841" i="79" a="1"/>
  <c r="O833" i="79" a="1"/>
  <c r="O838" i="79" a="1"/>
  <c r="AI15" i="59" l="1"/>
  <c r="AI27" i="59"/>
  <c r="AI39" i="59"/>
  <c r="AI51" i="59"/>
  <c r="T39" i="59"/>
  <c r="T51" i="59"/>
  <c r="T27" i="59"/>
  <c r="T15" i="59"/>
  <c r="O1060" i="79"/>
  <c r="M1060" i="79" s="1"/>
  <c r="O833" i="79"/>
  <c r="M833" i="79" s="1"/>
  <c r="AC9" i="59" s="1"/>
  <c r="O843" i="79"/>
  <c r="M843" i="79" s="1"/>
  <c r="AE9" i="59" s="1"/>
  <c r="O838" i="79"/>
  <c r="M838" i="79" s="1"/>
  <c r="AD9" i="59" s="1"/>
  <c r="V496" i="79"/>
  <c r="O491" i="79"/>
  <c r="M491" i="79" s="1"/>
  <c r="O507" i="79" s="1"/>
  <c r="M507" i="79" s="1"/>
  <c r="O475" i="79"/>
  <c r="M475" i="79" s="1"/>
  <c r="AB496" i="79"/>
  <c r="O496" i="79" s="1"/>
  <c r="M496" i="79" s="1"/>
  <c r="O844" i="79"/>
  <c r="M844" i="79" s="1"/>
  <c r="O839" i="79"/>
  <c r="M839" i="79" s="1"/>
  <c r="O834" i="79"/>
  <c r="M834" i="79" s="1"/>
  <c r="O846" i="79"/>
  <c r="M846" i="79" s="1"/>
  <c r="O841" i="79"/>
  <c r="M841" i="79" s="1"/>
  <c r="X498" i="79"/>
  <c r="AB498" i="79"/>
  <c r="O498" i="79" s="1"/>
  <c r="M498" i="79" s="1"/>
  <c r="O840" i="79"/>
  <c r="M840" i="79" s="1"/>
  <c r="O845" i="79"/>
  <c r="M845" i="79" s="1"/>
  <c r="O835" i="79"/>
  <c r="M835" i="79" s="1"/>
  <c r="V503" i="79"/>
  <c r="AB503" i="79"/>
  <c r="O503" i="79" s="1"/>
  <c r="M503" i="79" s="1"/>
  <c r="D498" i="79"/>
  <c r="L498" i="79" s="1"/>
  <c r="L497" i="79"/>
  <c r="V1069" i="79"/>
  <c r="D1081" i="79"/>
  <c r="L1080" i="79" a="1"/>
  <c r="L1080" i="79" s="1"/>
  <c r="O490" i="79"/>
  <c r="M490" i="79" s="1"/>
  <c r="AB1069" i="79"/>
  <c r="O1069" i="79" s="1"/>
  <c r="M1069" i="79" s="1"/>
  <c r="L926" i="79"/>
  <c r="D1040" i="79"/>
  <c r="L1039" i="79" a="1"/>
  <c r="L1039" i="79" s="1"/>
  <c r="U493" i="79"/>
  <c r="X493" i="79"/>
  <c r="V493" i="79"/>
  <c r="AB493" i="79"/>
  <c r="O493" i="79" s="1"/>
  <c r="M493" i="79" s="1"/>
  <c r="V494" i="79"/>
  <c r="X494" i="79"/>
  <c r="AB494" i="79"/>
  <c r="O494" i="79" s="1"/>
  <c r="M494" i="79" s="1"/>
  <c r="U494" i="79"/>
  <c r="D489" i="79"/>
  <c r="L489" i="79" s="1"/>
  <c r="L488" i="79"/>
  <c r="U497" i="79"/>
  <c r="AB497" i="79"/>
  <c r="O497" i="79" s="1"/>
  <c r="M497" i="79" s="1"/>
  <c r="V497" i="79"/>
  <c r="X497" i="79"/>
  <c r="AA518" i="79"/>
  <c r="AD518" i="79"/>
  <c r="AE518" i="79" s="1"/>
  <c r="O836" i="79" a="1"/>
  <c r="O9" i="59" l="1"/>
  <c r="P9" i="59"/>
  <c r="N9" i="59"/>
  <c r="O836" i="79"/>
  <c r="M836" i="79" s="1"/>
  <c r="O512" i="79"/>
  <c r="M512" i="79" s="1"/>
  <c r="O506" i="79"/>
  <c r="M506" i="79" s="1"/>
  <c r="O510" i="79" s="1"/>
  <c r="M510" i="79" s="1"/>
  <c r="O499" i="79"/>
  <c r="M499" i="79" s="1"/>
  <c r="AB518" i="79"/>
  <c r="O518" i="79" s="1"/>
  <c r="M518" i="79" s="1"/>
  <c r="L1040" i="79" a="1"/>
  <c r="L1040" i="79" s="1"/>
  <c r="D1041" i="79"/>
  <c r="L1081" i="79" a="1"/>
  <c r="L1081" i="79" s="1"/>
  <c r="D1082" i="79"/>
  <c r="V518" i="79"/>
  <c r="O500" i="79"/>
  <c r="M500" i="79" s="1"/>
  <c r="O511" i="79"/>
  <c r="M511" i="79" s="1"/>
  <c r="X518" i="79"/>
  <c r="L521" i="79"/>
  <c r="L522" i="79"/>
  <c r="L523" i="79"/>
  <c r="D524" i="79"/>
  <c r="D525" i="79" s="1"/>
  <c r="L525" i="79" s="1"/>
  <c r="L526" i="79"/>
  <c r="L527" i="79"/>
  <c r="O516" i="79" a="1"/>
  <c r="O514" i="79" a="1"/>
  <c r="O515" i="79" a="1"/>
  <c r="O527" i="79" a="1"/>
  <c r="O519" i="79" a="1"/>
  <c r="O519" i="79" l="1"/>
  <c r="M519" i="79" s="1"/>
  <c r="O514" i="79"/>
  <c r="M514" i="79" s="1"/>
  <c r="O516" i="79"/>
  <c r="M516" i="79" s="1"/>
  <c r="L524" i="79"/>
  <c r="D1083" i="79"/>
  <c r="L1082" i="79" a="1"/>
  <c r="L1082" i="79" s="1"/>
  <c r="L1041" i="79" a="1"/>
  <c r="L1041" i="79" s="1"/>
  <c r="D1042" i="79"/>
  <c r="O515" i="79"/>
  <c r="M515" i="79" s="1"/>
  <c r="O527" i="79"/>
  <c r="M527" i="79" s="1"/>
  <c r="D528" i="79"/>
  <c r="L528" i="79" s="1"/>
  <c r="D1043" i="79" l="1"/>
  <c r="L1042" i="79" a="1"/>
  <c r="L1042" i="79" s="1"/>
  <c r="L1083" i="79" a="1"/>
  <c r="L1083" i="79" s="1"/>
  <c r="D1084" i="79"/>
  <c r="D529" i="79"/>
  <c r="L529" i="79" s="1"/>
  <c r="O528" i="79" a="1"/>
  <c r="O528" i="79" l="1"/>
  <c r="M528" i="79" s="1"/>
  <c r="L1084" i="79" a="1"/>
  <c r="L1084" i="79" s="1"/>
  <c r="D1085" i="79"/>
  <c r="L1085" i="79" s="1" a="1"/>
  <c r="L1085" i="79" s="1"/>
  <c r="L1043" i="79" a="1"/>
  <c r="L1043" i="79" s="1"/>
  <c r="D1044" i="79"/>
  <c r="L530" i="79"/>
  <c r="L531" i="79"/>
  <c r="O531" i="79" a="1"/>
  <c r="O529" i="79" a="1"/>
  <c r="O529" i="79" l="1"/>
  <c r="M529" i="79" s="1"/>
  <c r="L1044" i="79" a="1"/>
  <c r="L1044" i="79" s="1"/>
  <c r="D1045" i="79"/>
  <c r="O531" i="79"/>
  <c r="M531" i="79" s="1"/>
  <c r="V531" i="79" a="1"/>
  <c r="L1045" i="79" l="1" a="1"/>
  <c r="L1045" i="79" s="1"/>
  <c r="D1046" i="79"/>
  <c r="L1046" i="79" s="1" a="1"/>
  <c r="L1046" i="79" s="1"/>
  <c r="V531" i="79"/>
  <c r="D532" i="79"/>
  <c r="L532" i="79" s="1"/>
  <c r="E534" i="79"/>
  <c r="L534" i="79" s="1"/>
  <c r="E535" i="79"/>
  <c r="E548" i="79" s="1"/>
  <c r="F535" i="79"/>
  <c r="L535" i="79" s="1"/>
  <c r="E536" i="79"/>
  <c r="E549" i="79" s="1"/>
  <c r="F536" i="79"/>
  <c r="F549" i="79" s="1"/>
  <c r="L536" i="79"/>
  <c r="D537" i="79"/>
  <c r="L537" i="79" s="1"/>
  <c r="E537" i="79"/>
  <c r="E550" i="79" s="1"/>
  <c r="F537" i="79"/>
  <c r="F550" i="79" s="1"/>
  <c r="E538" i="79"/>
  <c r="E551" i="79" s="1"/>
  <c r="F538" i="79"/>
  <c r="F551" i="79" s="1"/>
  <c r="E539" i="79"/>
  <c r="E552" i="79" s="1"/>
  <c r="F539" i="79"/>
  <c r="L539" i="79" s="1"/>
  <c r="E540" i="79"/>
  <c r="E553" i="79" s="1"/>
  <c r="F540" i="79"/>
  <c r="F553" i="79" s="1"/>
  <c r="L540" i="79"/>
  <c r="O540" i="79"/>
  <c r="M540" i="79" s="1"/>
  <c r="D541" i="79"/>
  <c r="L541" i="79" s="1"/>
  <c r="E541" i="79"/>
  <c r="E554" i="79" s="1"/>
  <c r="F541" i="79"/>
  <c r="F554" i="79" s="1"/>
  <c r="O541" i="79"/>
  <c r="M541" i="79" s="1"/>
  <c r="E542" i="79"/>
  <c r="E555" i="79" s="1"/>
  <c r="F542" i="79"/>
  <c r="F555" i="79" s="1"/>
  <c r="O542" i="79"/>
  <c r="M542" i="79" s="1"/>
  <c r="E543" i="79"/>
  <c r="E556" i="79" s="1"/>
  <c r="F543" i="79"/>
  <c r="L543" i="79" s="1"/>
  <c r="E544" i="79"/>
  <c r="E557" i="79" s="1"/>
  <c r="F544" i="79"/>
  <c r="F557" i="79" s="1"/>
  <c r="L544" i="79"/>
  <c r="O544" i="79"/>
  <c r="M544" i="79" s="1"/>
  <c r="D545" i="79"/>
  <c r="L545" i="79" s="1"/>
  <c r="E545" i="79"/>
  <c r="E558" i="79" s="1"/>
  <c r="F545" i="79"/>
  <c r="F558" i="79" s="1"/>
  <c r="E546" i="79"/>
  <c r="E559" i="79" s="1"/>
  <c r="F546" i="79"/>
  <c r="F559" i="79" s="1"/>
  <c r="L549" i="79"/>
  <c r="D550" i="79"/>
  <c r="L550" i="79" s="1"/>
  <c r="L553" i="79"/>
  <c r="O553" i="79"/>
  <c r="M553" i="79" s="1"/>
  <c r="D554" i="79"/>
  <c r="L554" i="79" s="1"/>
  <c r="O554" i="79"/>
  <c r="M554" i="79" s="1"/>
  <c r="O555" i="79"/>
  <c r="M555" i="79" s="1"/>
  <c r="L557" i="79"/>
  <c r="O557" i="79"/>
  <c r="M557" i="79" s="1"/>
  <c r="D558" i="79"/>
  <c r="D559" i="79" s="1"/>
  <c r="L559" i="79" s="1"/>
  <c r="L561" i="79"/>
  <c r="L562" i="79"/>
  <c r="V532" i="79" a="1"/>
  <c r="X531" i="79" a="1"/>
  <c r="X532" i="79" a="1"/>
  <c r="O532" i="79" a="1"/>
  <c r="V533" i="79" a="1"/>
  <c r="X533" i="79" a="1"/>
  <c r="O533" i="79" a="1"/>
  <c r="D533" i="79" l="1"/>
  <c r="L533" i="79" s="1"/>
  <c r="V533" i="79"/>
  <c r="O533" i="79"/>
  <c r="M533" i="79" s="1"/>
  <c r="X532" i="79"/>
  <c r="V532" i="79"/>
  <c r="X533" i="79"/>
  <c r="O532" i="79"/>
  <c r="M532" i="79" s="1"/>
  <c r="X531" i="79"/>
  <c r="U531" i="79" s="1"/>
  <c r="F556" i="79"/>
  <c r="L556" i="79" s="1"/>
  <c r="E547" i="79"/>
  <c r="F548" i="79"/>
  <c r="L548" i="79" s="1"/>
  <c r="D546" i="79"/>
  <c r="L546" i="79" s="1"/>
  <c r="L558" i="79"/>
  <c r="F552" i="79"/>
  <c r="L552" i="79" s="1"/>
  <c r="D551" i="79"/>
  <c r="L551" i="79" s="1"/>
  <c r="D538" i="79"/>
  <c r="L538" i="79" s="1"/>
  <c r="D555" i="79"/>
  <c r="L555" i="79" s="1"/>
  <c r="D542" i="79"/>
  <c r="L542" i="79" s="1"/>
  <c r="D563" i="79"/>
  <c r="L563" i="79" s="1"/>
  <c r="L565" i="79"/>
  <c r="L566" i="79"/>
  <c r="D567" i="79"/>
  <c r="L567" i="79" s="1"/>
  <c r="F569" i="79"/>
  <c r="L569" i="79" s="1"/>
  <c r="F570" i="79"/>
  <c r="F583" i="79" s="1"/>
  <c r="F596" i="79" s="1"/>
  <c r="L570" i="79"/>
  <c r="D571" i="79"/>
  <c r="D572" i="79" s="1"/>
  <c r="L572" i="79" s="1"/>
  <c r="F571" i="79"/>
  <c r="F584" i="79" s="1"/>
  <c r="F597" i="79" s="1"/>
  <c r="F572" i="79"/>
  <c r="F585" i="79" s="1"/>
  <c r="F598" i="79" s="1"/>
  <c r="F573" i="79"/>
  <c r="L573" i="79" s="1"/>
  <c r="F574" i="79"/>
  <c r="F587" i="79" s="1"/>
  <c r="F600" i="79" s="1"/>
  <c r="L574" i="79"/>
  <c r="D575" i="79"/>
  <c r="L575" i="79" s="1"/>
  <c r="F575" i="79"/>
  <c r="F588" i="79" s="1"/>
  <c r="F601" i="79" s="1"/>
  <c r="F576" i="79"/>
  <c r="F589" i="79" s="1"/>
  <c r="F602" i="79" s="1"/>
  <c r="L577" i="79"/>
  <c r="L578" i="79"/>
  <c r="D579" i="79"/>
  <c r="L579" i="79" s="1"/>
  <c r="L583" i="79"/>
  <c r="D584" i="79"/>
  <c r="D585" i="79" s="1"/>
  <c r="L585" i="79" s="1"/>
  <c r="L587" i="79"/>
  <c r="D588" i="79"/>
  <c r="L588" i="79" s="1"/>
  <c r="F590" i="79"/>
  <c r="F603" i="79" s="1"/>
  <c r="L603" i="79" s="1"/>
  <c r="F591" i="79"/>
  <c r="F604" i="79" s="1"/>
  <c r="L591" i="79"/>
  <c r="D592" i="79"/>
  <c r="L592" i="79" s="1"/>
  <c r="F592" i="79"/>
  <c r="F605" i="79" s="1"/>
  <c r="F593" i="79"/>
  <c r="F606" i="79" s="1"/>
  <c r="L596" i="79"/>
  <c r="D597" i="79"/>
  <c r="L597" i="79" s="1"/>
  <c r="L600" i="79"/>
  <c r="D601" i="79"/>
  <c r="L601" i="79" s="1"/>
  <c r="L604" i="79"/>
  <c r="O604" i="79"/>
  <c r="M604" i="79" s="1"/>
  <c r="D605" i="79"/>
  <c r="L605" i="79" s="1"/>
  <c r="L608" i="79"/>
  <c r="L609" i="79"/>
  <c r="U609" i="79"/>
  <c r="AE609" i="79" s="1"/>
  <c r="AA609" i="79"/>
  <c r="AD609" i="79"/>
  <c r="U612" i="79"/>
  <c r="AE612" i="79" s="1"/>
  <c r="AA612" i="79"/>
  <c r="AD612" i="79"/>
  <c r="U613" i="79"/>
  <c r="AE613" i="79" s="1"/>
  <c r="AA613" i="79"/>
  <c r="AD613" i="79"/>
  <c r="U614" i="79"/>
  <c r="AE614" i="79" s="1"/>
  <c r="AA614" i="79"/>
  <c r="AD614" i="79"/>
  <c r="U615" i="79"/>
  <c r="AE615" i="79" s="1"/>
  <c r="AA615" i="79"/>
  <c r="AD615" i="79"/>
  <c r="Q60" i="79"/>
  <c r="S60" i="79" s="1"/>
  <c r="AA60" i="79"/>
  <c r="AA61" i="79"/>
  <c r="AA62" i="79"/>
  <c r="AA63" i="79"/>
  <c r="O628" i="79"/>
  <c r="M628" i="79" s="1"/>
  <c r="S629" i="79"/>
  <c r="O629" i="79" s="1"/>
  <c r="M629" i="79" s="1"/>
  <c r="O634" i="79"/>
  <c r="M634" i="79" s="1"/>
  <c r="O635" i="79"/>
  <c r="M635" i="79" s="1"/>
  <c r="O641" i="79"/>
  <c r="M641" i="79" s="1"/>
  <c r="O642" i="79"/>
  <c r="M642" i="79" s="1"/>
  <c r="O643" i="79"/>
  <c r="M643" i="79" s="1"/>
  <c r="O644" i="79"/>
  <c r="M644" i="79" s="1"/>
  <c r="O645" i="79"/>
  <c r="M645" i="79" s="1"/>
  <c r="O647" i="79"/>
  <c r="M647" i="79" s="1"/>
  <c r="O648" i="79"/>
  <c r="M648" i="79" s="1"/>
  <c r="O649" i="79"/>
  <c r="M649" i="79" s="1"/>
  <c r="O650" i="79"/>
  <c r="M650" i="79" s="1"/>
  <c r="O651" i="79"/>
  <c r="M651" i="79" s="1"/>
  <c r="O656" i="79"/>
  <c r="M656" i="79" s="1"/>
  <c r="O657" i="79"/>
  <c r="M657" i="79" s="1"/>
  <c r="O658" i="79"/>
  <c r="M658" i="79" s="1"/>
  <c r="O659" i="79"/>
  <c r="M659" i="79" s="1"/>
  <c r="O660" i="79"/>
  <c r="M660" i="79" s="1"/>
  <c r="O661" i="79"/>
  <c r="M661" i="79" s="1"/>
  <c r="O662" i="79"/>
  <c r="M662" i="79" s="1"/>
  <c r="O663" i="79"/>
  <c r="M663" i="79" s="1"/>
  <c r="O665" i="79"/>
  <c r="M665" i="79" s="1"/>
  <c r="O666" i="79"/>
  <c r="M666" i="79" s="1"/>
  <c r="O667" i="79"/>
  <c r="M667" i="79" s="1"/>
  <c r="O668" i="79"/>
  <c r="M668" i="79" s="1"/>
  <c r="O669" i="79"/>
  <c r="M669" i="79" s="1"/>
  <c r="O670" i="79"/>
  <c r="M670" i="79" s="1"/>
  <c r="O671" i="79"/>
  <c r="M671" i="79" s="1"/>
  <c r="O672" i="79"/>
  <c r="M672" i="79" s="1"/>
  <c r="O675" i="79"/>
  <c r="M675" i="79" s="1"/>
  <c r="S678" i="79"/>
  <c r="O678" i="79" s="1"/>
  <c r="M678" i="79" s="1"/>
  <c r="AA678" i="79"/>
  <c r="AD678" i="79"/>
  <c r="AE678" i="79"/>
  <c r="O679" i="79"/>
  <c r="M679" i="79" s="1"/>
  <c r="O680" i="79"/>
  <c r="M680" i="79" s="1"/>
  <c r="O681" i="79"/>
  <c r="M681" i="79" s="1"/>
  <c r="O682" i="79"/>
  <c r="M682" i="79" s="1"/>
  <c r="O686" i="79"/>
  <c r="M686" i="79" s="1"/>
  <c r="O689" i="79"/>
  <c r="M689" i="79" s="1"/>
  <c r="L692" i="79"/>
  <c r="D693" i="79"/>
  <c r="L693" i="79" s="1"/>
  <c r="M700" i="79"/>
  <c r="O705" i="79"/>
  <c r="M705" i="79" s="1"/>
  <c r="U705" i="79"/>
  <c r="AD705" i="79" s="1"/>
  <c r="O706" i="79"/>
  <c r="M706" i="79" s="1"/>
  <c r="U706" i="79"/>
  <c r="AD706" i="79" s="1"/>
  <c r="O707" i="79"/>
  <c r="M707" i="79" s="1"/>
  <c r="U707" i="79"/>
  <c r="AD707" i="79" s="1"/>
  <c r="O708" i="79"/>
  <c r="M708" i="79" s="1"/>
  <c r="U708" i="79"/>
  <c r="AD708" i="79" s="1"/>
  <c r="AA709" i="79"/>
  <c r="AA710" i="79"/>
  <c r="AA711" i="79"/>
  <c r="AA713" i="79"/>
  <c r="AD713" i="79"/>
  <c r="AE713" i="79" s="1"/>
  <c r="X713" i="79" s="1"/>
  <c r="U715" i="79"/>
  <c r="AD715" i="79" s="1"/>
  <c r="AA715" i="79"/>
  <c r="U716" i="79"/>
  <c r="AD716" i="79" s="1"/>
  <c r="AE716" i="79" s="1"/>
  <c r="AA716" i="79"/>
  <c r="U717" i="79"/>
  <c r="AD717" i="79" s="1"/>
  <c r="AA717" i="79"/>
  <c r="U718" i="79"/>
  <c r="AD718" i="79" s="1"/>
  <c r="AA718" i="79"/>
  <c r="O720" i="79"/>
  <c r="M720" i="79" s="1"/>
  <c r="U720" i="79"/>
  <c r="V720" i="79" s="1"/>
  <c r="O721" i="79"/>
  <c r="M721" i="79" s="1"/>
  <c r="U721" i="79"/>
  <c r="V721" i="79" s="1"/>
  <c r="Q722" i="79"/>
  <c r="S722" i="79" s="1"/>
  <c r="AA722" i="79"/>
  <c r="L727" i="79"/>
  <c r="D728" i="79"/>
  <c r="L728" i="79" s="1"/>
  <c r="O735" i="79"/>
  <c r="M735" i="79" s="1"/>
  <c r="O571" i="79" a="1"/>
  <c r="O576" i="79" a="1"/>
  <c r="O570" i="79" a="1"/>
  <c r="O574" i="79" a="1"/>
  <c r="O572" i="79" a="1"/>
  <c r="O575" i="79" a="1"/>
  <c r="O546" i="79" l="1"/>
  <c r="M546" i="79" s="1"/>
  <c r="O559" i="79"/>
  <c r="M559" i="79" s="1"/>
  <c r="O606" i="79" s="1"/>
  <c r="M606" i="79" s="1"/>
  <c r="O545" i="79"/>
  <c r="M545" i="79" s="1"/>
  <c r="O558" i="79"/>
  <c r="M558" i="79" s="1"/>
  <c r="O605" i="79" s="1"/>
  <c r="M605" i="79" s="1"/>
  <c r="S630" i="79" a="1"/>
  <c r="S630" i="79" s="1"/>
  <c r="F586" i="79"/>
  <c r="L586" i="79" s="1"/>
  <c r="O652" i="79"/>
  <c r="M652" i="79" s="1"/>
  <c r="O574" i="79"/>
  <c r="M574" i="79" s="1"/>
  <c r="O600" i="79" s="1"/>
  <c r="M600" i="79" s="1"/>
  <c r="O572" i="79"/>
  <c r="M572" i="79" s="1"/>
  <c r="O598" i="79" s="1"/>
  <c r="M598" i="79" s="1"/>
  <c r="O575" i="79"/>
  <c r="M575" i="79" s="1"/>
  <c r="O588" i="79" s="1"/>
  <c r="M588" i="79" s="1"/>
  <c r="O576" i="79"/>
  <c r="M576" i="79" s="1"/>
  <c r="O602" i="79" s="1"/>
  <c r="M602" i="79" s="1"/>
  <c r="O570" i="79"/>
  <c r="M570" i="79" s="1"/>
  <c r="O583" i="79" s="1"/>
  <c r="M583" i="79" s="1"/>
  <c r="O571" i="79"/>
  <c r="M571" i="79" s="1"/>
  <c r="O597" i="79" s="1"/>
  <c r="M597" i="79" s="1"/>
  <c r="U532" i="79"/>
  <c r="U533" i="79"/>
  <c r="Q63" i="79"/>
  <c r="S63" i="79" s="1"/>
  <c r="Q61" i="79"/>
  <c r="S61" i="79" s="1"/>
  <c r="AD61" i="79" s="1"/>
  <c r="D593" i="79"/>
  <c r="L593" i="79" s="1"/>
  <c r="D576" i="79"/>
  <c r="L576" i="79" s="1"/>
  <c r="D564" i="79"/>
  <c r="L564" i="79" s="1"/>
  <c r="Q62" i="79"/>
  <c r="S62" i="79" s="1"/>
  <c r="U62" i="79" s="1"/>
  <c r="AE62" i="79" s="1"/>
  <c r="V678" i="79"/>
  <c r="D606" i="79"/>
  <c r="L606" i="79" s="1"/>
  <c r="L584" i="79"/>
  <c r="V60" i="79"/>
  <c r="E560" i="79"/>
  <c r="L547" i="79"/>
  <c r="AB63" i="79"/>
  <c r="AB614" i="79"/>
  <c r="O614" i="79" s="1"/>
  <c r="M614" i="79" s="1"/>
  <c r="X720" i="79"/>
  <c r="T722" i="79"/>
  <c r="U722" i="79" s="1"/>
  <c r="AE722" i="79" s="1"/>
  <c r="AB716" i="79"/>
  <c r="O716" i="79" s="1"/>
  <c r="M716" i="79" s="1"/>
  <c r="D598" i="79"/>
  <c r="L598" i="79" s="1"/>
  <c r="D580" i="79"/>
  <c r="L580" i="79" s="1"/>
  <c r="AB678" i="79"/>
  <c r="U709" i="79" a="1"/>
  <c r="U709" i="79" s="1"/>
  <c r="U710" i="79" s="1"/>
  <c r="U678" i="79"/>
  <c r="L590" i="79"/>
  <c r="F582" i="79"/>
  <c r="L571" i="79"/>
  <c r="D568" i="79"/>
  <c r="L568" i="79" s="1"/>
  <c r="V713" i="79"/>
  <c r="AB613" i="79"/>
  <c r="O613" i="79" s="1"/>
  <c r="M613" i="79" s="1"/>
  <c r="AB62" i="79"/>
  <c r="AB61" i="79"/>
  <c r="AB60" i="79"/>
  <c r="O60" i="79" s="1"/>
  <c r="M60" i="79" s="1"/>
  <c r="U60" i="79"/>
  <c r="AE60" i="79" s="1"/>
  <c r="AD60" i="79"/>
  <c r="AD722" i="79"/>
  <c r="AE715" i="79"/>
  <c r="X715" i="79" s="1"/>
  <c r="AE706" i="79"/>
  <c r="V706" i="79" s="1"/>
  <c r="AE705" i="79"/>
  <c r="V705" i="79" s="1"/>
  <c r="AB612" i="79"/>
  <c r="O612" i="79" s="1"/>
  <c r="M612" i="79" s="1"/>
  <c r="AE708" i="79"/>
  <c r="V708" i="79" s="1"/>
  <c r="AE707" i="79"/>
  <c r="X707" i="79" s="1"/>
  <c r="S709" i="79"/>
  <c r="AB615" i="79"/>
  <c r="O615" i="79" s="1"/>
  <c r="M615" i="79" s="1"/>
  <c r="AB609" i="79"/>
  <c r="O609" i="79" s="1"/>
  <c r="M609" i="79" s="1"/>
  <c r="O673" i="79"/>
  <c r="M673" i="79" s="1"/>
  <c r="AE717" i="79"/>
  <c r="V717" i="79" s="1"/>
  <c r="D694" i="79"/>
  <c r="X721" i="79"/>
  <c r="AB713" i="79"/>
  <c r="O713" i="79" s="1"/>
  <c r="M713" i="79" s="1"/>
  <c r="AE718" i="79"/>
  <c r="V718" i="79" s="1"/>
  <c r="X716" i="79"/>
  <c r="X678" i="79"/>
  <c r="X60" i="79"/>
  <c r="V716" i="79"/>
  <c r="D729" i="79"/>
  <c r="D602" i="79"/>
  <c r="L602" i="79" s="1"/>
  <c r="D589" i="79"/>
  <c r="L589" i="79" s="1"/>
  <c r="O608" i="79" l="1"/>
  <c r="M608" i="79" s="1"/>
  <c r="AB708" i="79"/>
  <c r="AB707" i="79"/>
  <c r="AB706" i="79"/>
  <c r="AB705" i="79"/>
  <c r="O63" i="79"/>
  <c r="M63" i="79" s="1"/>
  <c r="V63" i="79"/>
  <c r="O596" i="79"/>
  <c r="M596" i="79" s="1"/>
  <c r="O584" i="79"/>
  <c r="M584" i="79" s="1"/>
  <c r="O587" i="79"/>
  <c r="M587" i="79" s="1"/>
  <c r="O589" i="79"/>
  <c r="M589" i="79" s="1"/>
  <c r="F599" i="79"/>
  <c r="L599" i="79" s="1"/>
  <c r="O601" i="79"/>
  <c r="M601" i="79" s="1"/>
  <c r="O585" i="79"/>
  <c r="M585" i="79" s="1"/>
  <c r="AD63" i="79"/>
  <c r="X61" i="79"/>
  <c r="X62" i="79"/>
  <c r="U61" i="79"/>
  <c r="AE61" i="79" s="1"/>
  <c r="U63" i="79"/>
  <c r="AE63" i="79" s="1"/>
  <c r="X63" i="79"/>
  <c r="AD62" i="79"/>
  <c r="O61" i="79"/>
  <c r="M61" i="79" s="1"/>
  <c r="V722" i="79"/>
  <c r="V61" i="79"/>
  <c r="O62" i="79"/>
  <c r="M62" i="79" s="1"/>
  <c r="V62" i="79"/>
  <c r="AB715" i="79"/>
  <c r="O715" i="79" s="1"/>
  <c r="M715" i="79" s="1"/>
  <c r="AB722" i="79"/>
  <c r="O722" i="79" s="1"/>
  <c r="M722" i="79" s="1"/>
  <c r="O723" i="79" s="1"/>
  <c r="M723" i="79" s="1"/>
  <c r="V707" i="79"/>
  <c r="E561" i="79"/>
  <c r="E562" i="79" s="1"/>
  <c r="E563" i="79" s="1"/>
  <c r="E564" i="79" s="1"/>
  <c r="E565" i="79" s="1"/>
  <c r="E566" i="79" s="1"/>
  <c r="E567" i="79" s="1"/>
  <c r="E568" i="79" s="1"/>
  <c r="E569" i="79" s="1"/>
  <c r="L560" i="79"/>
  <c r="E581" i="79"/>
  <c r="U711" i="79"/>
  <c r="V715" i="79"/>
  <c r="F595" i="79"/>
  <c r="L595" i="79" s="1"/>
  <c r="L582" i="79"/>
  <c r="X717" i="79"/>
  <c r="X722" i="79"/>
  <c r="AB718" i="79"/>
  <c r="O718" i="79" s="1"/>
  <c r="M718" i="79" s="1"/>
  <c r="D695" i="79"/>
  <c r="L694" i="79"/>
  <c r="X718" i="79"/>
  <c r="X708" i="79"/>
  <c r="X706" i="79"/>
  <c r="AB717" i="79"/>
  <c r="O717" i="79" s="1"/>
  <c r="M717" i="79" s="1"/>
  <c r="AD709" i="79"/>
  <c r="L729" i="79"/>
  <c r="D730" i="79"/>
  <c r="X705" i="79"/>
  <c r="O566" i="79" a="1"/>
  <c r="O567" i="79" a="1"/>
  <c r="O568" i="79" a="1"/>
  <c r="O616" i="79" l="1"/>
  <c r="O566" i="79"/>
  <c r="M566" i="79" s="1"/>
  <c r="O568" i="79"/>
  <c r="M568" i="79" s="1"/>
  <c r="O567" i="79"/>
  <c r="M567" i="79" s="1"/>
  <c r="O724" i="79" a="1"/>
  <c r="O724" i="79" s="1"/>
  <c r="M724" i="79" s="1"/>
  <c r="O725" i="79" s="1"/>
  <c r="M725" i="79" s="1"/>
  <c r="L581" i="79"/>
  <c r="E594" i="79"/>
  <c r="L594" i="79" s="1"/>
  <c r="E570" i="79"/>
  <c r="E582" i="79"/>
  <c r="E595" i="79" s="1"/>
  <c r="L695" i="79"/>
  <c r="D696" i="79"/>
  <c r="L730" i="79"/>
  <c r="D731" i="79"/>
  <c r="AE709" i="79"/>
  <c r="AB709" i="79" s="1"/>
  <c r="O709" i="79" s="1"/>
  <c r="M709" i="79" s="1"/>
  <c r="S710" i="79" l="1"/>
  <c r="S711" i="79"/>
  <c r="O727" i="79"/>
  <c r="M727" i="79" s="1"/>
  <c r="O733" i="79" s="1"/>
  <c r="M733" i="79" s="1"/>
  <c r="E571" i="79"/>
  <c r="E583" i="79"/>
  <c r="E596" i="79" s="1"/>
  <c r="X709" i="79"/>
  <c r="V709" i="79"/>
  <c r="L731" i="79"/>
  <c r="D732" i="79"/>
  <c r="L696" i="79"/>
  <c r="D697" i="79"/>
  <c r="AD710" i="79" l="1"/>
  <c r="AE710" i="79" s="1"/>
  <c r="V710" i="79" s="1"/>
  <c r="AD711" i="79"/>
  <c r="AE711" i="79" s="1"/>
  <c r="X711" i="79" s="1"/>
  <c r="O730" i="79"/>
  <c r="M730" i="79" s="1"/>
  <c r="O734" i="79" s="1"/>
  <c r="M734" i="79" s="1"/>
  <c r="E572" i="79"/>
  <c r="E584" i="79"/>
  <c r="E597" i="79" s="1"/>
  <c r="L697" i="79"/>
  <c r="D698" i="79"/>
  <c r="L732" i="79"/>
  <c r="D733" i="79"/>
  <c r="X710" i="79" l="1"/>
  <c r="E573" i="79"/>
  <c r="E585" i="79"/>
  <c r="E598" i="79" s="1"/>
  <c r="AB711" i="79"/>
  <c r="O711" i="79" s="1"/>
  <c r="M711" i="79" s="1"/>
  <c r="V711" i="79"/>
  <c r="AB710" i="79"/>
  <c r="O710" i="79" s="1"/>
  <c r="M710" i="79" s="1"/>
  <c r="L733" i="79"/>
  <c r="D734" i="79"/>
  <c r="L698" i="79"/>
  <c r="D699" i="79"/>
  <c r="N711" i="79" l="1"/>
  <c r="N710" i="79"/>
  <c r="O729" i="79"/>
  <c r="M729" i="79" s="1"/>
  <c r="O732" i="79" s="1"/>
  <c r="M732" i="79" s="1"/>
  <c r="E574" i="79"/>
  <c r="E586" i="79"/>
  <c r="E599" i="79" s="1"/>
  <c r="L699" i="79"/>
  <c r="D700" i="79"/>
  <c r="L700" i="79" s="1"/>
  <c r="L734" i="79"/>
  <c r="D735" i="79"/>
  <c r="L735" i="79" s="1"/>
  <c r="O728" i="79" l="1"/>
  <c r="M728" i="79" s="1"/>
  <c r="O731" i="79" s="1"/>
  <c r="M731" i="79" s="1"/>
  <c r="E575" i="79"/>
  <c r="E587" i="79"/>
  <c r="E600" i="79" s="1"/>
  <c r="E576" i="79" l="1"/>
  <c r="E588" i="79"/>
  <c r="E601" i="79" s="1"/>
  <c r="E577" i="79" l="1"/>
  <c r="E589" i="79"/>
  <c r="E602" i="79" s="1"/>
  <c r="E578" i="79" l="1"/>
  <c r="E590" i="79"/>
  <c r="E603" i="79" s="1"/>
  <c r="E591" i="79" l="1"/>
  <c r="E604" i="79" s="1"/>
  <c r="E579" i="79"/>
  <c r="E580" i="79" l="1"/>
  <c r="E593" i="79" s="1"/>
  <c r="E606" i="79" s="1"/>
  <c r="E592" i="79"/>
  <c r="E605" i="79" s="1"/>
  <c r="O127" i="79" l="1"/>
  <c r="M127" i="79" s="1"/>
  <c r="O128" i="79"/>
  <c r="M128" i="79" s="1"/>
  <c r="M252" i="79"/>
  <c r="U254" i="79"/>
  <c r="AE254" i="79" s="1"/>
  <c r="AA254" i="79"/>
  <c r="AD254" i="79"/>
  <c r="S222" i="79" l="1"/>
  <c r="O374" i="79"/>
  <c r="AB254" i="79"/>
  <c r="O254" i="79" s="1"/>
  <c r="M254" i="79" s="1"/>
  <c r="S266" i="79"/>
  <c r="AD266" i="79" s="1"/>
  <c r="V266" i="79"/>
  <c r="X266" i="79"/>
  <c r="AA266" i="79"/>
  <c r="S267" i="79"/>
  <c r="AD267" i="79" s="1"/>
  <c r="V267" i="79"/>
  <c r="X267" i="79"/>
  <c r="AA267" i="79"/>
  <c r="U255" i="79"/>
  <c r="AE255" i="79" s="1"/>
  <c r="AA255" i="79"/>
  <c r="AD255" i="79"/>
  <c r="U266" i="79" l="1"/>
  <c r="AE266" i="79" s="1"/>
  <c r="AB266" i="79" s="1"/>
  <c r="O266" i="79" s="1"/>
  <c r="M266" i="79" s="1"/>
  <c r="AB255" i="79"/>
  <c r="O255" i="79" s="1"/>
  <c r="M255" i="79" s="1"/>
  <c r="U267" i="79"/>
  <c r="AE267" i="79" s="1"/>
  <c r="AB267" i="79" s="1"/>
  <c r="O267" i="79" s="1"/>
  <c r="M267" i="79" s="1"/>
  <c r="AD272" i="79" l="1"/>
  <c r="AA272" i="79"/>
  <c r="U256" i="79"/>
  <c r="AE256" i="79" s="1"/>
  <c r="AA256" i="79"/>
  <c r="AD256" i="79"/>
  <c r="O269" i="79" a="1"/>
  <c r="O269" i="79" l="1"/>
  <c r="M269" i="79" s="1"/>
  <c r="U272" i="79"/>
  <c r="AE272" i="79" s="1"/>
  <c r="AB272" i="79" s="1"/>
  <c r="O272" i="79" s="1"/>
  <c r="M272" i="79" s="1"/>
  <c r="AB256" i="79"/>
  <c r="O256" i="79" s="1"/>
  <c r="M256" i="79" s="1"/>
  <c r="O274" i="79" a="1"/>
  <c r="O270" i="79"/>
  <c r="O275" i="79" a="1"/>
  <c r="M270" i="79" l="1"/>
  <c r="O274" i="79"/>
  <c r="M274" i="79" s="1"/>
  <c r="O275" i="79"/>
  <c r="M275" i="79" s="1"/>
  <c r="AA281" i="79"/>
  <c r="U257" i="79"/>
  <c r="AE257" i="79" s="1"/>
  <c r="AA257" i="79"/>
  <c r="AD257" i="79"/>
  <c r="U282" i="79"/>
  <c r="AE282" i="79" s="1"/>
  <c r="AA282" i="79"/>
  <c r="AD282" i="79"/>
  <c r="AD281" i="79" l="1"/>
  <c r="U281" i="79"/>
  <c r="AE281" i="79" s="1"/>
  <c r="AB282" i="79"/>
  <c r="O282" i="79" s="1"/>
  <c r="M282" i="79" s="1"/>
  <c r="AB257" i="79"/>
  <c r="O257" i="79" s="1"/>
  <c r="M257" i="79" s="1"/>
  <c r="D285" i="79"/>
  <c r="AB281" i="79" l="1"/>
  <c r="O281" i="79" s="1"/>
  <c r="M281" i="79" s="1"/>
  <c r="D286" i="79"/>
  <c r="S286" i="79" a="1"/>
  <c r="O284" i="79" a="1"/>
  <c r="S284" i="79" a="1"/>
  <c r="S284" i="79" l="1"/>
  <c r="S286" i="79"/>
  <c r="U286" i="79" a="1"/>
  <c r="U286" i="79" s="1"/>
  <c r="U285" i="79" a="1"/>
  <c r="U285" i="79" s="1"/>
  <c r="U284" i="79" a="1"/>
  <c r="U284" i="79" s="1"/>
  <c r="O284" i="79"/>
  <c r="M284" i="79" s="1"/>
  <c r="D288" i="79"/>
  <c r="D289" i="79" s="1"/>
  <c r="U291" i="79"/>
  <c r="AD291" i="79" s="1"/>
  <c r="AA291" i="79"/>
  <c r="U292" i="79"/>
  <c r="AE292" i="79" s="1"/>
  <c r="AA292" i="79"/>
  <c r="AD292" i="79"/>
  <c r="O287" i="79" a="1"/>
  <c r="O286" i="79" a="1"/>
  <c r="S285" i="79" a="1"/>
  <c r="O285" i="79" a="1"/>
  <c r="O289" i="79" a="1"/>
  <c r="O288" i="79" a="1"/>
  <c r="O285" i="79" l="1"/>
  <c r="M285" i="79" s="1"/>
  <c r="S285" i="79"/>
  <c r="AD285" i="79" s="1"/>
  <c r="O286" i="79"/>
  <c r="M286" i="79" s="1"/>
  <c r="AD286" i="79"/>
  <c r="AD284" i="79"/>
  <c r="AE284" i="79" s="1"/>
  <c r="O289" i="79"/>
  <c r="M289" i="79" s="1"/>
  <c r="O288" i="79"/>
  <c r="M288" i="79" s="1"/>
  <c r="O287" i="79"/>
  <c r="M287" i="79" s="1"/>
  <c r="AB292" i="79"/>
  <c r="O292" i="79" s="1"/>
  <c r="M292" i="79" s="1"/>
  <c r="AE291" i="79"/>
  <c r="AB291" i="79" s="1"/>
  <c r="O291" i="79" s="1"/>
  <c r="M291" i="79" s="1"/>
  <c r="D295" i="79"/>
  <c r="D296" i="79" s="1"/>
  <c r="S299" i="79"/>
  <c r="U299" i="79"/>
  <c r="O295" i="79" a="1"/>
  <c r="O299" i="79" l="1"/>
  <c r="AE286" i="79"/>
  <c r="V286" i="79" s="1"/>
  <c r="AE285" i="79"/>
  <c r="X285" i="79" s="1"/>
  <c r="O295" i="79"/>
  <c r="M295" i="79" s="1"/>
  <c r="Q299" i="79"/>
  <c r="S300" i="79"/>
  <c r="O300" i="79" s="1"/>
  <c r="U300" i="79"/>
  <c r="X299" i="79"/>
  <c r="O294" i="79" a="1"/>
  <c r="O296" i="79" a="1"/>
  <c r="V299" i="79"/>
  <c r="X286" i="79" l="1"/>
  <c r="V285" i="79"/>
  <c r="O294" i="79"/>
  <c r="M294" i="79" s="1"/>
  <c r="O296" i="79"/>
  <c r="M296" i="79" s="1"/>
  <c r="M299" i="79"/>
  <c r="Q300" i="79"/>
  <c r="S301" i="79"/>
  <c r="U301" i="79"/>
  <c r="X300" i="79"/>
  <c r="V300" i="79"/>
  <c r="O301" i="79" l="1"/>
  <c r="M300" i="79"/>
  <c r="Q301" i="79"/>
  <c r="S302" i="79"/>
  <c r="S303" i="79" s="1" a="1"/>
  <c r="U302" i="79"/>
  <c r="X301" i="79"/>
  <c r="V301" i="79"/>
  <c r="S303" i="79" l="1"/>
  <c r="AE303" i="79"/>
  <c r="Q302" i="79"/>
  <c r="O302" i="79"/>
  <c r="M301" i="79"/>
  <c r="X302" i="79"/>
  <c r="V302" i="79"/>
  <c r="AD303" i="79" l="1"/>
  <c r="AB303" i="79" s="1"/>
  <c r="O303" i="79" s="1"/>
  <c r="M303" i="79" s="1"/>
  <c r="M302" i="79"/>
  <c r="D306" i="79"/>
  <c r="D307" i="79" l="1"/>
  <c r="O305" i="79"/>
  <c r="M305" i="79" l="1"/>
  <c r="L311" i="79"/>
  <c r="D312" i="79"/>
  <c r="D313" i="79" s="1"/>
  <c r="L313" i="79" s="1"/>
  <c r="L317" i="79"/>
  <c r="O307" i="79"/>
  <c r="O306" i="79"/>
  <c r="M307" i="79" l="1"/>
  <c r="M306" i="79"/>
  <c r="L312" i="79"/>
  <c r="D314" i="79"/>
  <c r="D318" i="79"/>
  <c r="L318" i="79" s="1"/>
  <c r="L314" i="79" l="1"/>
  <c r="D315" i="79"/>
  <c r="L315" i="79" s="1"/>
  <c r="D319" i="79"/>
  <c r="L319" i="79" s="1"/>
  <c r="U323" i="79"/>
  <c r="AE323" i="79" s="1"/>
  <c r="AA323" i="79"/>
  <c r="AD323" i="79"/>
  <c r="D320" i="79" l="1"/>
  <c r="L320" i="79" s="1"/>
  <c r="AB323" i="79"/>
  <c r="O323" i="79" s="1"/>
  <c r="M323" i="79" s="1"/>
  <c r="L325" i="79"/>
  <c r="D326" i="79"/>
  <c r="L326" i="79" s="1"/>
  <c r="L333" i="79"/>
  <c r="D334" i="79"/>
  <c r="L334" i="79" s="1"/>
  <c r="L340" i="79"/>
  <c r="D341" i="79"/>
  <c r="L341" i="79" s="1"/>
  <c r="S347" i="79"/>
  <c r="AA347" i="79"/>
  <c r="AD347" i="79"/>
  <c r="AE347" i="79"/>
  <c r="S348" i="79"/>
  <c r="AA348" i="79"/>
  <c r="AD348" i="79"/>
  <c r="AE348" i="79"/>
  <c r="Q349" i="79"/>
  <c r="R349" i="79"/>
  <c r="AD349" i="79" s="1"/>
  <c r="AA349" i="79"/>
  <c r="L351" i="79"/>
  <c r="D327" i="79" l="1"/>
  <c r="L327" i="79" s="1"/>
  <c r="D321" i="79"/>
  <c r="L321" i="79" s="1"/>
  <c r="AE349" i="79"/>
  <c r="X349" i="79" s="1"/>
  <c r="X347" i="79"/>
  <c r="AB347" i="79"/>
  <c r="O347" i="79" s="1"/>
  <c r="M347" i="79" s="1"/>
  <c r="D335" i="79"/>
  <c r="L335" i="79" s="1"/>
  <c r="V348" i="79"/>
  <c r="V347" i="79"/>
  <c r="X348" i="79"/>
  <c r="U348" i="79"/>
  <c r="S349" i="79"/>
  <c r="D342" i="79"/>
  <c r="U347" i="79"/>
  <c r="AB348" i="79"/>
  <c r="O348" i="79" s="1"/>
  <c r="M348" i="79" s="1"/>
  <c r="D352" i="79"/>
  <c r="D353" i="79" s="1"/>
  <c r="U357" i="79"/>
  <c r="AE357" i="79" s="1"/>
  <c r="AA357" i="79"/>
  <c r="AD357" i="79"/>
  <c r="L359" i="79"/>
  <c r="D360" i="79"/>
  <c r="D361" i="79" s="1"/>
  <c r="M374" i="79"/>
  <c r="U378" i="79"/>
  <c r="AE378" i="79" s="1"/>
  <c r="AA378" i="79"/>
  <c r="Q379" i="79"/>
  <c r="U379" i="79" s="1"/>
  <c r="AD379" i="79" s="1"/>
  <c r="AA379" i="79"/>
  <c r="Q380" i="79"/>
  <c r="U380" i="79" s="1"/>
  <c r="AA380" i="79"/>
  <c r="Q381" i="79"/>
  <c r="U381" i="79" s="1"/>
  <c r="AE381" i="79" s="1"/>
  <c r="AA381" i="79"/>
  <c r="U382" i="79"/>
  <c r="AD382" i="79" s="1"/>
  <c r="AA382" i="79"/>
  <c r="R400" i="79"/>
  <c r="AA400" i="79" s="1"/>
  <c r="R401" i="79"/>
  <c r="AA401" i="79" s="1"/>
  <c r="R402" i="79"/>
  <c r="AA402" i="79" s="1"/>
  <c r="R403" i="79"/>
  <c r="AA403" i="79" s="1"/>
  <c r="U390" i="79"/>
  <c r="AE390" i="79" s="1"/>
  <c r="AA390" i="79"/>
  <c r="AD390" i="79"/>
  <c r="Q391" i="79"/>
  <c r="U391" i="79"/>
  <c r="AE391" i="79" s="1"/>
  <c r="AA391" i="79"/>
  <c r="AD391" i="79"/>
  <c r="U392" i="79"/>
  <c r="AA392" i="79"/>
  <c r="AD392" i="79"/>
  <c r="U393" i="79"/>
  <c r="AE393" i="79" s="1"/>
  <c r="AA393" i="79"/>
  <c r="AD393" i="79"/>
  <c r="L411" i="79"/>
  <c r="D412" i="79"/>
  <c r="L412" i="79" s="1"/>
  <c r="O423" i="79"/>
  <c r="M423" i="79" s="1"/>
  <c r="U435" i="79"/>
  <c r="AE435" i="79" s="1"/>
  <c r="AA435" i="79"/>
  <c r="AD435" i="79"/>
  <c r="U436" i="79"/>
  <c r="AE436" i="79" s="1"/>
  <c r="AA436" i="79"/>
  <c r="AD436" i="79"/>
  <c r="L438" i="79"/>
  <c r="M438" i="79"/>
  <c r="D439" i="79"/>
  <c r="D440" i="79" s="1"/>
  <c r="M439" i="79"/>
  <c r="M446" i="79"/>
  <c r="M450" i="79"/>
  <c r="M173" i="79"/>
  <c r="S181" i="79"/>
  <c r="AD181" i="79" s="1"/>
  <c r="V181" i="79"/>
  <c r="AA181" i="79"/>
  <c r="U175" i="79"/>
  <c r="AE175" i="79" s="1"/>
  <c r="AA175" i="79"/>
  <c r="AD175" i="79"/>
  <c r="AE392" i="79" l="1"/>
  <c r="AB392" i="79" s="1"/>
  <c r="O392" i="79" s="1"/>
  <c r="M392" i="79" s="1"/>
  <c r="D328" i="79"/>
  <c r="L328" i="79" s="1"/>
  <c r="V349" i="79"/>
  <c r="D336" i="79"/>
  <c r="D337" i="79" s="1"/>
  <c r="L337" i="79" s="1"/>
  <c r="AB349" i="79"/>
  <c r="O349" i="79" s="1"/>
  <c r="M349" i="79" s="1"/>
  <c r="AB391" i="79"/>
  <c r="O391" i="79" s="1"/>
  <c r="M391" i="79" s="1"/>
  <c r="L352" i="79"/>
  <c r="AB435" i="79"/>
  <c r="O435" i="79" s="1"/>
  <c r="M435" i="79" s="1"/>
  <c r="AD381" i="79"/>
  <c r="X381" i="79" s="1"/>
  <c r="AB357" i="79"/>
  <c r="O357" i="79" s="1"/>
  <c r="M357" i="79" s="1"/>
  <c r="AB390" i="79"/>
  <c r="O390" i="79" s="1"/>
  <c r="M390" i="79" s="1"/>
  <c r="L353" i="79"/>
  <c r="D354" i="79"/>
  <c r="D362" i="79"/>
  <c r="L361" i="79"/>
  <c r="L360" i="79"/>
  <c r="AD378" i="79"/>
  <c r="V378" i="79" s="1"/>
  <c r="L342" i="79"/>
  <c r="D343" i="79"/>
  <c r="U349" i="79"/>
  <c r="U181" i="79"/>
  <c r="AE181" i="79" s="1"/>
  <c r="AB181" i="79" s="1"/>
  <c r="O181" i="79" s="1"/>
  <c r="M181" i="79" s="1"/>
  <c r="AB436" i="79"/>
  <c r="O436" i="79" s="1"/>
  <c r="M436" i="79" s="1"/>
  <c r="AB403" i="79"/>
  <c r="AB393" i="79"/>
  <c r="O393" i="79" s="1"/>
  <c r="M393" i="79" s="1"/>
  <c r="AB402" i="79"/>
  <c r="AB400" i="79"/>
  <c r="AB401" i="79"/>
  <c r="AE380" i="79"/>
  <c r="AD380" i="79"/>
  <c r="L440" i="79"/>
  <c r="D441" i="79"/>
  <c r="L439" i="79"/>
  <c r="D413" i="79"/>
  <c r="AE382" i="79"/>
  <c r="V382" i="79" s="1"/>
  <c r="Q400" i="79"/>
  <c r="AE379" i="79"/>
  <c r="AB379" i="79" s="1"/>
  <c r="O379" i="79" s="1"/>
  <c r="M379" i="79" s="1"/>
  <c r="AB175" i="79"/>
  <c r="O175" i="79" s="1"/>
  <c r="M175" i="79" s="1"/>
  <c r="S186" i="79"/>
  <c r="V186" i="79"/>
  <c r="X186" i="79"/>
  <c r="AA186" i="79"/>
  <c r="U176" i="79"/>
  <c r="AE176" i="79" s="1"/>
  <c r="AA176" i="79"/>
  <c r="AD176" i="79"/>
  <c r="O183" i="79"/>
  <c r="X400" i="79" l="1"/>
  <c r="O448" i="79"/>
  <c r="M448" i="79" s="1"/>
  <c r="O449" i="79"/>
  <c r="M449" i="79" s="1"/>
  <c r="O447" i="79"/>
  <c r="M447" i="79" s="1"/>
  <c r="M183" i="79"/>
  <c r="D329" i="79"/>
  <c r="L329" i="79" s="1"/>
  <c r="L336" i="79"/>
  <c r="AB381" i="79"/>
  <c r="O381" i="79" s="1"/>
  <c r="M381" i="79" s="1"/>
  <c r="V381" i="79"/>
  <c r="AB378" i="79"/>
  <c r="O378" i="79" s="1"/>
  <c r="M378" i="79" s="1"/>
  <c r="X378" i="79"/>
  <c r="U186" i="79"/>
  <c r="AE186" i="79" s="1"/>
  <c r="V379" i="79"/>
  <c r="D344" i="79"/>
  <c r="L344" i="79" s="1"/>
  <c r="L343" i="79"/>
  <c r="D363" i="79"/>
  <c r="L363" i="79" s="1"/>
  <c r="L362" i="79"/>
  <c r="D355" i="79"/>
  <c r="L355" i="79" s="1"/>
  <c r="L354" i="79"/>
  <c r="V400" i="79"/>
  <c r="X379" i="79"/>
  <c r="Q401" i="79"/>
  <c r="Q403" i="79"/>
  <c r="Q402" i="79"/>
  <c r="S400" i="79"/>
  <c r="L413" i="79"/>
  <c r="D414" i="79"/>
  <c r="V380" i="79"/>
  <c r="X380" i="79"/>
  <c r="AB380" i="79"/>
  <c r="O380" i="79" s="1"/>
  <c r="M380" i="79" s="1"/>
  <c r="AB382" i="79"/>
  <c r="O382" i="79" s="1"/>
  <c r="M382" i="79" s="1"/>
  <c r="D442" i="79"/>
  <c r="L441" i="79"/>
  <c r="X382" i="79"/>
  <c r="AD186" i="79"/>
  <c r="AB176" i="79"/>
  <c r="O176" i="79" s="1"/>
  <c r="M176" i="79" s="1"/>
  <c r="O184" i="79" l="1"/>
  <c r="M184" i="79" s="1"/>
  <c r="M8" i="72"/>
  <c r="Z38" i="72"/>
  <c r="M48" i="72"/>
  <c r="M18" i="72"/>
  <c r="Z48" i="72"/>
  <c r="M28" i="72"/>
  <c r="Z18" i="72"/>
  <c r="Z8" i="72"/>
  <c r="Z28" i="72"/>
  <c r="M38" i="72"/>
  <c r="AB186" i="79"/>
  <c r="O186" i="79" s="1"/>
  <c r="M186" i="79" s="1"/>
  <c r="L414" i="79"/>
  <c r="D415" i="79"/>
  <c r="O400" i="79"/>
  <c r="M400" i="79" s="1"/>
  <c r="U400" i="79"/>
  <c r="L442" i="79"/>
  <c r="D443" i="79"/>
  <c r="V402" i="79"/>
  <c r="S402" i="79"/>
  <c r="X402" i="79"/>
  <c r="S403" i="79"/>
  <c r="X403" i="79"/>
  <c r="V403" i="79"/>
  <c r="S401" i="79"/>
  <c r="V401" i="79"/>
  <c r="X401" i="79"/>
  <c r="Q191" i="79"/>
  <c r="S191" i="79" s="1"/>
  <c r="U191" i="79"/>
  <c r="O188" i="79"/>
  <c r="X191" i="79"/>
  <c r="V191" i="79"/>
  <c r="M17" i="72" l="1"/>
  <c r="M45" i="72"/>
  <c r="Z47" i="72"/>
  <c r="Z15" i="72"/>
  <c r="Z7" i="72"/>
  <c r="M27" i="72"/>
  <c r="Z17" i="72"/>
  <c r="Z45" i="72"/>
  <c r="M55" i="72"/>
  <c r="Z27" i="72"/>
  <c r="M37" i="72"/>
  <c r="M25" i="72"/>
  <c r="M15" i="72"/>
  <c r="Z55" i="72"/>
  <c r="M7" i="72"/>
  <c r="Z35" i="72"/>
  <c r="M35" i="72"/>
  <c r="Z37" i="72"/>
  <c r="Z25" i="72"/>
  <c r="M47" i="72"/>
  <c r="M188" i="79"/>
  <c r="O402" i="79"/>
  <c r="M402" i="79" s="1"/>
  <c r="U402" i="79"/>
  <c r="D444" i="79"/>
  <c r="L443" i="79"/>
  <c r="O401" i="79"/>
  <c r="M401" i="79" s="1"/>
  <c r="U401" i="79"/>
  <c r="O403" i="79"/>
  <c r="M403" i="79" s="1"/>
  <c r="U403" i="79"/>
  <c r="L415" i="79"/>
  <c r="D416" i="79"/>
  <c r="AA191" i="79"/>
  <c r="AD191" i="79"/>
  <c r="AE191" i="79"/>
  <c r="U177" i="79"/>
  <c r="AE177" i="79" s="1"/>
  <c r="AA177" i="79"/>
  <c r="AD177" i="79"/>
  <c r="O189" i="79"/>
  <c r="O8" i="72" l="1"/>
  <c r="O38" i="72"/>
  <c r="AB38" i="72"/>
  <c r="O48" i="72"/>
  <c r="AB28" i="72"/>
  <c r="O18" i="72"/>
  <c r="AB48" i="72"/>
  <c r="O28" i="72"/>
  <c r="AB8" i="72"/>
  <c r="AB18" i="72"/>
  <c r="M189" i="79"/>
  <c r="L416" i="79"/>
  <c r="D417" i="79"/>
  <c r="AB177" i="79"/>
  <c r="O177" i="79" s="1"/>
  <c r="M177" i="79" s="1"/>
  <c r="L444" i="79"/>
  <c r="D445" i="79"/>
  <c r="AB191" i="79"/>
  <c r="O191" i="79" s="1"/>
  <c r="M191" i="79" s="1"/>
  <c r="O193" i="79"/>
  <c r="AB35" i="72" l="1"/>
  <c r="O17" i="72"/>
  <c r="O45" i="72"/>
  <c r="AB47" i="72"/>
  <c r="AB15" i="72"/>
  <c r="O27" i="72"/>
  <c r="O7" i="72"/>
  <c r="AB7" i="72"/>
  <c r="AB17" i="72"/>
  <c r="AB45" i="72"/>
  <c r="O55" i="72"/>
  <c r="O15" i="72"/>
  <c r="AB27" i="72"/>
  <c r="O37" i="72"/>
  <c r="O25" i="72"/>
  <c r="AB55" i="72"/>
  <c r="O35" i="72"/>
  <c r="AB37" i="72"/>
  <c r="AB25" i="72"/>
  <c r="O47" i="72"/>
  <c r="M193" i="79"/>
  <c r="D446" i="79"/>
  <c r="L445" i="79"/>
  <c r="L417" i="79"/>
  <c r="D418" i="79"/>
  <c r="U196" i="79"/>
  <c r="AE196" i="79" s="1"/>
  <c r="AA196" i="79"/>
  <c r="AD196" i="79"/>
  <c r="V197" i="79"/>
  <c r="X197" i="79"/>
  <c r="O194" i="79"/>
  <c r="AD28" i="72" l="1"/>
  <c r="Q38" i="72"/>
  <c r="AD8" i="72"/>
  <c r="AD38" i="72"/>
  <c r="Q48" i="72"/>
  <c r="Q18" i="72"/>
  <c r="AD48" i="72"/>
  <c r="Q28" i="72"/>
  <c r="Q8" i="72"/>
  <c r="AD18" i="72"/>
  <c r="M194" i="79"/>
  <c r="L418" i="79"/>
  <c r="D419" i="79"/>
  <c r="L446" i="79"/>
  <c r="D447" i="79"/>
  <c r="AB196" i="79"/>
  <c r="O196" i="79" s="1"/>
  <c r="M196" i="79" s="1"/>
  <c r="L200" i="79"/>
  <c r="D201" i="79"/>
  <c r="L201" i="79" s="1"/>
  <c r="L207" i="79"/>
  <c r="D208" i="79"/>
  <c r="L208" i="79" s="1"/>
  <c r="R213" i="79"/>
  <c r="AD213" i="79" s="1"/>
  <c r="U213" i="79"/>
  <c r="AA213" i="79"/>
  <c r="L215" i="79"/>
  <c r="D216" i="79"/>
  <c r="L216" i="79" s="1"/>
  <c r="L224" i="79"/>
  <c r="D225" i="79"/>
  <c r="D226" i="79" s="1"/>
  <c r="L226" i="79" s="1"/>
  <c r="S225" i="79"/>
  <c r="O225" i="79" s="1"/>
  <c r="M225" i="79" s="1"/>
  <c r="S233" i="79"/>
  <c r="O233" i="79" s="1"/>
  <c r="M233" i="79" s="1"/>
  <c r="L236" i="79" a="1"/>
  <c r="L236" i="79" s="1"/>
  <c r="O236" i="79"/>
  <c r="M236" i="79" s="1"/>
  <c r="D237" i="79"/>
  <c r="D238" i="79" s="1"/>
  <c r="D239" i="79" s="1"/>
  <c r="O237" i="79"/>
  <c r="M237" i="79" s="1"/>
  <c r="O244" i="79"/>
  <c r="M244" i="79" s="1"/>
  <c r="O245" i="79"/>
  <c r="M245" i="79" s="1"/>
  <c r="O197" i="79"/>
  <c r="AD35" i="72" l="1"/>
  <c r="AD15" i="72"/>
  <c r="Q17" i="72"/>
  <c r="Q45" i="72"/>
  <c r="AD47" i="72"/>
  <c r="AD7" i="72"/>
  <c r="Q27" i="72"/>
  <c r="Q15" i="72"/>
  <c r="AD17" i="72"/>
  <c r="AD45" i="72"/>
  <c r="Q55" i="72"/>
  <c r="Q7" i="72"/>
  <c r="Q37" i="72"/>
  <c r="AD27" i="72"/>
  <c r="Q25" i="72"/>
  <c r="AD55" i="72"/>
  <c r="Q35" i="72"/>
  <c r="AD37" i="72"/>
  <c r="AD25" i="72"/>
  <c r="Q47" i="72"/>
  <c r="L237" i="79" a="1"/>
  <c r="L237" i="79" s="1"/>
  <c r="M197" i="79"/>
  <c r="L225" i="79"/>
  <c r="D448" i="79"/>
  <c r="L447" i="79"/>
  <c r="L419" i="79"/>
  <c r="D420" i="79"/>
  <c r="D209" i="79"/>
  <c r="L238" i="79" a="1"/>
  <c r="L238" i="79" s="1"/>
  <c r="D227" i="79"/>
  <c r="L227" i="79" s="1"/>
  <c r="D217" i="79"/>
  <c r="L217" i="79" s="1"/>
  <c r="D202" i="79"/>
  <c r="AE213" i="79"/>
  <c r="V213" i="79" s="1"/>
  <c r="L239" i="79" a="1"/>
  <c r="L239" i="79" s="1"/>
  <c r="D240" i="79"/>
  <c r="N19" i="72" l="1"/>
  <c r="R23" i="72"/>
  <c r="AE53" i="72"/>
  <c r="AA49" i="72"/>
  <c r="AC41" i="72"/>
  <c r="AC11" i="72"/>
  <c r="P11" i="72"/>
  <c r="AA19" i="72"/>
  <c r="AE23" i="72"/>
  <c r="N29" i="72"/>
  <c r="AE13" i="72"/>
  <c r="R33" i="72"/>
  <c r="AA29" i="72"/>
  <c r="P51" i="72"/>
  <c r="AE33" i="72"/>
  <c r="N39" i="72"/>
  <c r="R43" i="72"/>
  <c r="AC51" i="72"/>
  <c r="AA9" i="72"/>
  <c r="AA39" i="72"/>
  <c r="P21" i="72"/>
  <c r="P31" i="72"/>
  <c r="AE43" i="72"/>
  <c r="N9" i="72"/>
  <c r="AC21" i="72"/>
  <c r="AC31" i="72"/>
  <c r="N49" i="72"/>
  <c r="P41" i="72"/>
  <c r="R13" i="72"/>
  <c r="R53" i="72"/>
  <c r="AB213" i="79"/>
  <c r="O213" i="79" s="1"/>
  <c r="M213" i="79" s="1"/>
  <c r="X213" i="79"/>
  <c r="D218" i="79"/>
  <c r="L218" i="79" s="1"/>
  <c r="L420" i="79"/>
  <c r="D421" i="79"/>
  <c r="L448" i="79"/>
  <c r="D449" i="79"/>
  <c r="D210" i="79"/>
  <c r="L209" i="79"/>
  <c r="L202" i="79"/>
  <c r="D203" i="79"/>
  <c r="D228" i="79"/>
  <c r="D229" i="79" s="1"/>
  <c r="D241" i="79"/>
  <c r="L240" i="79" a="1"/>
  <c r="L240" i="79" s="1"/>
  <c r="L228" i="79" l="1"/>
  <c r="L449" i="79"/>
  <c r="D450" i="79"/>
  <c r="L450" i="79" s="1"/>
  <c r="D219" i="79"/>
  <c r="L219" i="79" s="1"/>
  <c r="D422" i="79"/>
  <c r="L421" i="79"/>
  <c r="L210" i="79"/>
  <c r="D211" i="79"/>
  <c r="L211" i="79" s="1"/>
  <c r="L203" i="79"/>
  <c r="D204" i="79"/>
  <c r="L229" i="79"/>
  <c r="D230" i="79"/>
  <c r="L241" i="79" a="1"/>
  <c r="L241" i="79" s="1"/>
  <c r="D242" i="79"/>
  <c r="L204" i="79" l="1"/>
  <c r="L422" i="79"/>
  <c r="D423" i="79"/>
  <c r="L423" i="79" s="1"/>
  <c r="L230" i="79"/>
  <c r="D231" i="79"/>
  <c r="L242" i="79" a="1"/>
  <c r="L242" i="79" s="1"/>
  <c r="D243" i="79"/>
  <c r="H2" i="116"/>
  <c r="AA261" i="79"/>
  <c r="U261" i="79"/>
  <c r="AE261" i="79" s="1"/>
  <c r="S261" i="79"/>
  <c r="AD261" i="79" s="1"/>
  <c r="O150" i="79"/>
  <c r="M150" i="79" s="1"/>
  <c r="O149" i="79"/>
  <c r="M149" i="79" s="1"/>
  <c r="O148" i="79"/>
  <c r="M148" i="79" s="1"/>
  <c r="O147" i="79"/>
  <c r="M147" i="79" s="1"/>
  <c r="O146" i="79"/>
  <c r="M146" i="79" s="1"/>
  <c r="O144" i="79"/>
  <c r="M144" i="79" s="1"/>
  <c r="O143" i="79"/>
  <c r="M143" i="79" s="1"/>
  <c r="AE139" i="79"/>
  <c r="AD139" i="79"/>
  <c r="AA139" i="79"/>
  <c r="Q277" i="79"/>
  <c r="R277" i="79"/>
  <c r="AD277" i="79" s="1"/>
  <c r="AA277" i="79"/>
  <c r="V261" i="79"/>
  <c r="X261" i="79"/>
  <c r="V139" i="79" l="1"/>
  <c r="X139" i="79"/>
  <c r="D232" i="79"/>
  <c r="L231" i="79"/>
  <c r="D244" i="79"/>
  <c r="L243" i="79" a="1"/>
  <c r="L243" i="79" s="1"/>
  <c r="AB261" i="79"/>
  <c r="O261" i="79" s="1"/>
  <c r="M261" i="79" s="1"/>
  <c r="AB139" i="79"/>
  <c r="O139" i="79" s="1"/>
  <c r="M139" i="79" s="1"/>
  <c r="AE277" i="79"/>
  <c r="V277" i="79" s="1"/>
  <c r="S277" i="79"/>
  <c r="O263" i="79" a="1"/>
  <c r="O263" i="79" l="1"/>
  <c r="M263" i="79" s="1"/>
  <c r="L244" i="79" a="1"/>
  <c r="L244" i="79" s="1"/>
  <c r="D245" i="79"/>
  <c r="L245" i="79" s="1" a="1"/>
  <c r="L245" i="79" s="1"/>
  <c r="L232" i="79"/>
  <c r="D233" i="79"/>
  <c r="L233" i="79" s="1"/>
  <c r="X277" i="79"/>
  <c r="AB277" i="79"/>
  <c r="O277" i="79" s="1"/>
  <c r="M277" i="79" s="1"/>
  <c r="U277" i="79"/>
  <c r="O278" i="79" a="1"/>
  <c r="O264" i="79" a="1"/>
  <c r="O278" i="79" l="1"/>
  <c r="M278" i="79" s="1"/>
  <c r="O264" i="79"/>
  <c r="M264" i="79" s="1"/>
  <c r="S36" i="79"/>
  <c r="S35" i="79"/>
  <c r="S34" i="79"/>
  <c r="S33" i="79"/>
  <c r="O33" i="79" s="1"/>
  <c r="M33" i="79" s="1"/>
  <c r="S32" i="79"/>
  <c r="S31" i="79"/>
  <c r="S30" i="79"/>
  <c r="S29" i="79"/>
  <c r="S27" i="79"/>
  <c r="S26" i="79"/>
  <c r="S25" i="79"/>
  <c r="S24" i="79"/>
  <c r="O24" i="79" s="1"/>
  <c r="M24" i="79" s="1"/>
  <c r="S23" i="79"/>
  <c r="S22" i="79"/>
  <c r="S21" i="79"/>
  <c r="S20" i="79"/>
  <c r="D30" i="79"/>
  <c r="D31" i="79" s="1"/>
  <c r="L29" i="79"/>
  <c r="D21" i="79"/>
  <c r="D22" i="79" s="1"/>
  <c r="L20" i="79"/>
  <c r="O204" i="79" a="1"/>
  <c r="O26" i="79" l="1"/>
  <c r="M26" i="79" s="1"/>
  <c r="O35" i="79"/>
  <c r="M35" i="79" s="1"/>
  <c r="O27" i="79"/>
  <c r="M27" i="79" s="1"/>
  <c r="O36" i="79"/>
  <c r="M36" i="79" s="1"/>
  <c r="O21" i="79"/>
  <c r="M21" i="79" s="1"/>
  <c r="O30" i="79"/>
  <c r="M30" i="79" s="1"/>
  <c r="O23" i="79"/>
  <c r="M23" i="79" s="1"/>
  <c r="O32" i="79"/>
  <c r="M32" i="79" s="1"/>
  <c r="O22" i="79"/>
  <c r="M22" i="79" s="1"/>
  <c r="O31" i="79"/>
  <c r="M31" i="79" s="1"/>
  <c r="O25" i="79"/>
  <c r="M25" i="79" s="1"/>
  <c r="O34" i="79"/>
  <c r="M34" i="79" s="1"/>
  <c r="O20" i="79"/>
  <c r="M20" i="79" s="1"/>
  <c r="O29" i="79"/>
  <c r="M29" i="79" s="1"/>
  <c r="O312" i="79"/>
  <c r="M312" i="79" s="1"/>
  <c r="O204" i="79"/>
  <c r="M204" i="79" s="1"/>
  <c r="R65" i="115"/>
  <c r="P50" i="115"/>
  <c r="N35" i="115"/>
  <c r="R13" i="115"/>
  <c r="R26" i="115"/>
  <c r="AH52" i="115"/>
  <c r="R52" i="115"/>
  <c r="AH13" i="115"/>
  <c r="AF63" i="115"/>
  <c r="AD48" i="115"/>
  <c r="AH26" i="115"/>
  <c r="AF11" i="115"/>
  <c r="N48" i="115"/>
  <c r="AF37" i="115"/>
  <c r="N22" i="115"/>
  <c r="AF50" i="115"/>
  <c r="P63" i="115"/>
  <c r="P11" i="115"/>
  <c r="AD61" i="115"/>
  <c r="AH39" i="115"/>
  <c r="AF24" i="115"/>
  <c r="AD9" i="115"/>
  <c r="AD22" i="115"/>
  <c r="AH65" i="115"/>
  <c r="N61" i="115"/>
  <c r="R39" i="115"/>
  <c r="P24" i="115"/>
  <c r="N9" i="115"/>
  <c r="P37" i="115"/>
  <c r="AD35" i="115"/>
  <c r="L30" i="79"/>
  <c r="L22" i="79"/>
  <c r="D23" i="79"/>
  <c r="D32" i="79"/>
  <c r="L31" i="79"/>
  <c r="L21" i="79"/>
  <c r="O202" i="79" a="1"/>
  <c r="O318" i="79" a="1"/>
  <c r="O202" i="79" l="1"/>
  <c r="O311" i="79"/>
  <c r="M311" i="79" s="1"/>
  <c r="O318" i="79"/>
  <c r="M318" i="79" s="1"/>
  <c r="D33" i="79"/>
  <c r="L32" i="79"/>
  <c r="L23" i="79"/>
  <c r="D24" i="79"/>
  <c r="O201" i="79" a="1"/>
  <c r="O203" i="79" a="1"/>
  <c r="O317" i="79" a="1"/>
  <c r="O200" i="79" a="1"/>
  <c r="O201" i="79" l="1"/>
  <c r="M201" i="79" s="1"/>
  <c r="O200" i="79"/>
  <c r="M200" i="79" s="1"/>
  <c r="O916" i="79"/>
  <c r="M916" i="79" s="1"/>
  <c r="O922" i="79" s="1"/>
  <c r="M922" i="79" s="1"/>
  <c r="O203" i="79"/>
  <c r="M203" i="79" s="1"/>
  <c r="O313" i="79"/>
  <c r="M313" i="79" s="1"/>
  <c r="O314" i="79"/>
  <c r="M314" i="79" s="1"/>
  <c r="O315" i="79"/>
  <c r="M315" i="79" s="1"/>
  <c r="M202" i="79"/>
  <c r="O317" i="79"/>
  <c r="M317" i="79" s="1"/>
  <c r="D25" i="79"/>
  <c r="L24" i="79"/>
  <c r="D34" i="79"/>
  <c r="L33" i="79"/>
  <c r="O891" i="79" a="1"/>
  <c r="O319" i="79" a="1"/>
  <c r="O320" i="79" a="1"/>
  <c r="O321" i="79" a="1"/>
  <c r="O909" i="79" a="1"/>
  <c r="O326" i="79" a="1"/>
  <c r="AG15" i="72" l="1"/>
  <c r="T9" i="72"/>
  <c r="AG7" i="72"/>
  <c r="T15" i="72"/>
  <c r="AG10" i="72"/>
  <c r="T10" i="72"/>
  <c r="AG9" i="72"/>
  <c r="T7" i="72"/>
  <c r="AG8" i="72"/>
  <c r="T8" i="72"/>
  <c r="O217" i="79"/>
  <c r="M217" i="79" s="1"/>
  <c r="O326" i="79"/>
  <c r="M326" i="79" s="1"/>
  <c r="O909" i="79"/>
  <c r="M909" i="79" s="1"/>
  <c r="O320" i="79"/>
  <c r="M320" i="79" s="1"/>
  <c r="O319" i="79"/>
  <c r="M319" i="79" s="1"/>
  <c r="O321" i="79"/>
  <c r="M321" i="79" s="1"/>
  <c r="O218" i="79"/>
  <c r="M218" i="79" s="1"/>
  <c r="O215" i="79"/>
  <c r="M215" i="79" s="1"/>
  <c r="O216" i="79"/>
  <c r="M216" i="79" s="1"/>
  <c r="O219" i="79"/>
  <c r="M219" i="79" s="1"/>
  <c r="O891" i="79"/>
  <c r="M891" i="79" s="1"/>
  <c r="O917" i="79"/>
  <c r="M917" i="79" s="1"/>
  <c r="D35" i="79"/>
  <c r="L34" i="79"/>
  <c r="D26" i="79"/>
  <c r="L25" i="79"/>
  <c r="O360" i="79" a="1"/>
  <c r="O325" i="79" a="1"/>
  <c r="O897" i="79" a="1"/>
  <c r="O327" i="79" a="1"/>
  <c r="O328" i="79" a="1"/>
  <c r="O910" i="79" a="1"/>
  <c r="O903" i="79" a="1"/>
  <c r="O329" i="79" a="1"/>
  <c r="W17" i="59" l="1"/>
  <c r="U17" i="59" s="1"/>
  <c r="Y17" i="59" s="1"/>
  <c r="AL16" i="59"/>
  <c r="AJ16" i="59" s="1"/>
  <c r="AL17" i="59"/>
  <c r="AJ17" i="59" s="1"/>
  <c r="AL9" i="59"/>
  <c r="AL8" i="59"/>
  <c r="AL13" i="59"/>
  <c r="AF13" i="59" s="1"/>
  <c r="W9" i="59"/>
  <c r="M9" i="59" s="1"/>
  <c r="Y9" i="59" s="1"/>
  <c r="W13" i="59"/>
  <c r="Q13" i="59" s="1"/>
  <c r="Y13" i="59" s="1"/>
  <c r="W8" i="59"/>
  <c r="L8" i="59" s="1"/>
  <c r="Y8" i="59" s="1"/>
  <c r="AG14" i="72"/>
  <c r="T14" i="72"/>
  <c r="AG13" i="72"/>
  <c r="T13" i="72"/>
  <c r="O325" i="79"/>
  <c r="M325" i="79" s="1"/>
  <c r="O327" i="79"/>
  <c r="M327" i="79" s="1"/>
  <c r="O328" i="79"/>
  <c r="M328" i="79" s="1"/>
  <c r="O329" i="79"/>
  <c r="M329" i="79" s="1"/>
  <c r="O903" i="79"/>
  <c r="M903" i="79" s="1"/>
  <c r="O897" i="79"/>
  <c r="M897" i="79" s="1"/>
  <c r="O360" i="79"/>
  <c r="M360" i="79" s="1"/>
  <c r="O910" i="79"/>
  <c r="M910" i="79" s="1"/>
  <c r="O923" i="79"/>
  <c r="M923" i="79" s="1"/>
  <c r="O918" i="79"/>
  <c r="M918" i="79" s="1"/>
  <c r="D27" i="79"/>
  <c r="L27" i="79" s="1"/>
  <c r="L26" i="79"/>
  <c r="D36" i="79"/>
  <c r="L36" i="79" s="1"/>
  <c r="L35" i="79"/>
  <c r="O354" i="79" a="1"/>
  <c r="O353" i="79" a="1"/>
  <c r="O911" i="79" a="1"/>
  <c r="O359" i="79" a="1"/>
  <c r="O898" i="79" a="1"/>
  <c r="O361" i="79" a="1"/>
  <c r="O363" i="79" a="1"/>
  <c r="O362" i="79" a="1"/>
  <c r="O352" i="79" a="1"/>
  <c r="O351" i="79" a="1"/>
  <c r="O355" i="79" a="1"/>
  <c r="W14" i="59" l="1"/>
  <c r="AL14" i="59"/>
  <c r="AG14" i="59" s="1"/>
  <c r="W15" i="59"/>
  <c r="S15" i="59" s="1"/>
  <c r="Y15" i="59" s="1"/>
  <c r="AL15" i="59"/>
  <c r="AH15" i="59" s="1"/>
  <c r="O353" i="79"/>
  <c r="M353" i="79" s="1"/>
  <c r="O352" i="79"/>
  <c r="M352" i="79" s="1"/>
  <c r="O354" i="79"/>
  <c r="M354" i="79" s="1"/>
  <c r="O355" i="79"/>
  <c r="M355" i="79" s="1"/>
  <c r="O351" i="79"/>
  <c r="M351" i="79" s="1"/>
  <c r="O359" i="79"/>
  <c r="M359" i="79" s="1"/>
  <c r="O363" i="79"/>
  <c r="M363" i="79" s="1"/>
  <c r="O361" i="79"/>
  <c r="M361" i="79" s="1"/>
  <c r="O362" i="79"/>
  <c r="M362" i="79" s="1"/>
  <c r="O919" i="79"/>
  <c r="M919" i="79" s="1"/>
  <c r="O925" i="79" s="1"/>
  <c r="M925" i="79" s="1"/>
  <c r="O911" i="79"/>
  <c r="M911" i="79" s="1"/>
  <c r="O898" i="79"/>
  <c r="M898" i="79" s="1"/>
  <c r="O924" i="79"/>
  <c r="M924" i="79" s="1"/>
  <c r="O920" i="79"/>
  <c r="M920" i="79" s="1"/>
  <c r="AA331" i="79"/>
  <c r="R331" i="79"/>
  <c r="Q331" i="79"/>
  <c r="O912" i="79" a="1"/>
  <c r="O894" i="79" a="1"/>
  <c r="O905" i="79" a="1"/>
  <c r="O904" i="79" a="1"/>
  <c r="O892" i="79" a="1"/>
  <c r="O913" i="79" a="1"/>
  <c r="R14" i="59" l="1"/>
  <c r="Y14" i="59" s="1"/>
  <c r="O904" i="79"/>
  <c r="M904" i="79" s="1"/>
  <c r="O892" i="79"/>
  <c r="M892" i="79" s="1"/>
  <c r="O912" i="79"/>
  <c r="M912" i="79" s="1"/>
  <c r="O913" i="79"/>
  <c r="M913" i="79" s="1"/>
  <c r="O905" i="79"/>
  <c r="M905" i="79" s="1"/>
  <c r="O894" i="79"/>
  <c r="M894" i="79" s="1"/>
  <c r="O926" i="79"/>
  <c r="M926" i="79" s="1"/>
  <c r="AE331" i="79"/>
  <c r="S331" i="79"/>
  <c r="U331" i="79" s="1"/>
  <c r="AD331" i="79"/>
  <c r="L121" i="79"/>
  <c r="U121" i="79"/>
  <c r="AE121" i="79" s="1"/>
  <c r="AA121" i="79"/>
  <c r="AD121" i="79"/>
  <c r="U122" i="79"/>
  <c r="AE122" i="79" s="1"/>
  <c r="AA122" i="79"/>
  <c r="AD122" i="79"/>
  <c r="O895" i="79" a="1"/>
  <c r="O899" i="79" a="1"/>
  <c r="O900" i="79" a="1"/>
  <c r="O893" i="79" a="1"/>
  <c r="O906" i="79" a="1"/>
  <c r="O907" i="79" a="1"/>
  <c r="O901" i="79" a="1"/>
  <c r="W16" i="59" l="1"/>
  <c r="U16" i="59" s="1"/>
  <c r="Y16" i="59" s="1"/>
  <c r="O899" i="79"/>
  <c r="M899" i="79" s="1"/>
  <c r="O906" i="79"/>
  <c r="M906" i="79" s="1"/>
  <c r="O893" i="79"/>
  <c r="M893" i="79" s="1"/>
  <c r="O900" i="79"/>
  <c r="M900" i="79" s="1"/>
  <c r="O895" i="79"/>
  <c r="M895" i="79" s="1"/>
  <c r="O901" i="79"/>
  <c r="M901" i="79" s="1"/>
  <c r="O907" i="79"/>
  <c r="M907" i="79" s="1"/>
  <c r="AB331" i="79"/>
  <c r="O331" i="79" s="1"/>
  <c r="M331" i="79" s="1"/>
  <c r="V331" i="79"/>
  <c r="X331" i="79"/>
  <c r="AB122" i="79"/>
  <c r="O122" i="79" s="1"/>
  <c r="M122" i="79" s="1"/>
  <c r="AB121" i="79"/>
  <c r="O121" i="79" s="1"/>
  <c r="M121" i="79" s="1"/>
  <c r="G6" i="117"/>
  <c r="AA429" i="79"/>
  <c r="U429" i="79"/>
  <c r="AD429" i="79" s="1"/>
  <c r="D428" i="79"/>
  <c r="D429" i="79" s="1"/>
  <c r="D430" i="79" s="1"/>
  <c r="L427" i="79"/>
  <c r="AA163" i="79"/>
  <c r="U163" i="79"/>
  <c r="AD163" i="79" s="1"/>
  <c r="AE163" i="79" s="1"/>
  <c r="AA162" i="79"/>
  <c r="U162" i="79"/>
  <c r="AD162" i="79" s="1"/>
  <c r="AE162" i="79" s="1"/>
  <c r="AA159" i="79"/>
  <c r="T159" i="79"/>
  <c r="S159" i="79"/>
  <c r="Q159" i="79"/>
  <c r="U158" i="79"/>
  <c r="X158" i="79" s="1"/>
  <c r="O158" i="79"/>
  <c r="M158" i="79" s="1"/>
  <c r="U157" i="79"/>
  <c r="X157" i="79" s="1"/>
  <c r="O157" i="79"/>
  <c r="M157" i="79" s="1"/>
  <c r="S67" i="79"/>
  <c r="O67" i="79" s="1"/>
  <c r="M67" i="79" s="1"/>
  <c r="S57" i="79"/>
  <c r="O57" i="79" s="1"/>
  <c r="M57" i="79" s="1"/>
  <c r="S53" i="79"/>
  <c r="O53" i="79" s="1"/>
  <c r="M53" i="79" s="1"/>
  <c r="S49" i="79"/>
  <c r="O49" i="79" s="1"/>
  <c r="M49" i="79" s="1"/>
  <c r="S45" i="79"/>
  <c r="O45" i="79" s="1"/>
  <c r="M45" i="79" s="1"/>
  <c r="O66" i="79"/>
  <c r="M66" i="79" s="1"/>
  <c r="O56" i="79"/>
  <c r="M56" i="79" s="1"/>
  <c r="O52" i="79"/>
  <c r="M52" i="79" s="1"/>
  <c r="O48" i="79"/>
  <c r="O44" i="79"/>
  <c r="M44" i="79" s="1"/>
  <c r="D11" i="66"/>
  <c r="U39" i="66"/>
  <c r="S39" i="66"/>
  <c r="Q39" i="66"/>
  <c r="U36" i="66"/>
  <c r="S36" i="66"/>
  <c r="Q36" i="66"/>
  <c r="U33" i="66"/>
  <c r="S33" i="66"/>
  <c r="Q33" i="66"/>
  <c r="U30" i="66"/>
  <c r="S30" i="66"/>
  <c r="Q30" i="66"/>
  <c r="U27" i="66"/>
  <c r="S27" i="66"/>
  <c r="Q27" i="66"/>
  <c r="U24" i="66"/>
  <c r="S24" i="66"/>
  <c r="Q24" i="66"/>
  <c r="U21" i="66"/>
  <c r="S21" i="66"/>
  <c r="Q21" i="66"/>
  <c r="U18" i="66"/>
  <c r="S18" i="66"/>
  <c r="Q18" i="66"/>
  <c r="U15" i="66"/>
  <c r="S15" i="66"/>
  <c r="Q15" i="66"/>
  <c r="U12" i="66"/>
  <c r="S12" i="66"/>
  <c r="Q12" i="66"/>
  <c r="U9" i="66"/>
  <c r="S9" i="66"/>
  <c r="Q9" i="66"/>
  <c r="O21" i="65"/>
  <c r="N21" i="65"/>
  <c r="M21" i="65"/>
  <c r="O18" i="65"/>
  <c r="N18" i="65"/>
  <c r="M18" i="65"/>
  <c r="O15" i="65"/>
  <c r="N15" i="65"/>
  <c r="M15" i="65"/>
  <c r="O12" i="65"/>
  <c r="N12" i="65"/>
  <c r="M12" i="65"/>
  <c r="O9" i="65"/>
  <c r="N9" i="65"/>
  <c r="M9" i="65"/>
  <c r="D11" i="65"/>
  <c r="D14" i="65" s="1"/>
  <c r="D17" i="65" s="1"/>
  <c r="D20" i="65" s="1"/>
  <c r="D23" i="65" s="1"/>
  <c r="D26" i="65" s="1"/>
  <c r="D29" i="65" s="1"/>
  <c r="D32" i="65" s="1"/>
  <c r="D35" i="65" s="1"/>
  <c r="D38" i="65" s="1"/>
  <c r="P21" i="36"/>
  <c r="P23" i="36"/>
  <c r="O335" i="79" a="1"/>
  <c r="S68" i="79" l="1"/>
  <c r="M48" i="79"/>
  <c r="S50" i="79" s="1"/>
  <c r="S58" i="79"/>
  <c r="S54" i="79"/>
  <c r="S46" i="79"/>
  <c r="O335" i="79"/>
  <c r="M335" i="79" s="1"/>
  <c r="O123" i="79" a="1"/>
  <c r="O123" i="79" s="1"/>
  <c r="M123" i="79" s="1"/>
  <c r="V6" i="117"/>
  <c r="L428" i="79"/>
  <c r="U159" i="79"/>
  <c r="AD159" i="79" s="1"/>
  <c r="AE159" i="79" s="1"/>
  <c r="AB159" i="79" s="1"/>
  <c r="O159" i="79" s="1"/>
  <c r="M159" i="79" s="1"/>
  <c r="D431" i="79"/>
  <c r="L430" i="79"/>
  <c r="AE429" i="79"/>
  <c r="V429" i="79" s="1"/>
  <c r="L429" i="79"/>
  <c r="V158" i="79"/>
  <c r="AB163" i="79"/>
  <c r="O163" i="79" s="1"/>
  <c r="M163" i="79" s="1"/>
  <c r="U164" i="79"/>
  <c r="X164" i="79" s="1"/>
  <c r="V157" i="79"/>
  <c r="AB162" i="79"/>
  <c r="O162" i="79" s="1"/>
  <c r="M162" i="79" s="1"/>
  <c r="D14" i="66"/>
  <c r="O334" i="79" a="1"/>
  <c r="O333" i="79" a="1"/>
  <c r="O337" i="79" a="1"/>
  <c r="O336" i="79" a="1"/>
  <c r="O336" i="79" l="1"/>
  <c r="M336" i="79" s="1"/>
  <c r="O334" i="79"/>
  <c r="M334" i="79" s="1"/>
  <c r="O333" i="79"/>
  <c r="M333" i="79" s="1"/>
  <c r="O337" i="79"/>
  <c r="M337" i="79" s="1"/>
  <c r="M616" i="79"/>
  <c r="O164" i="79"/>
  <c r="M164" i="79" s="1"/>
  <c r="V159" i="79"/>
  <c r="X159" i="79"/>
  <c r="X429" i="79"/>
  <c r="AB429" i="79"/>
  <c r="O429" i="79" s="1"/>
  <c r="M429" i="79" s="1"/>
  <c r="D432" i="79"/>
  <c r="L431" i="79"/>
  <c r="V164" i="79"/>
  <c r="D17" i="66"/>
  <c r="O343" i="79" a="1"/>
  <c r="O344" i="79" a="1"/>
  <c r="O208" i="79" a="1"/>
  <c r="O341" i="79" a="1"/>
  <c r="O342" i="79" a="1"/>
  <c r="O207" i="79" a="1"/>
  <c r="O340" i="79" a="1"/>
  <c r="O210" i="79" a="1"/>
  <c r="O209" i="79" a="1"/>
  <c r="O211" i="79" a="1"/>
  <c r="O579" i="79" a="1"/>
  <c r="O343" i="79" l="1"/>
  <c r="M343" i="79" s="1"/>
  <c r="O340" i="79"/>
  <c r="M340" i="79" s="1"/>
  <c r="O207" i="79"/>
  <c r="M207" i="79" s="1"/>
  <c r="O211" i="79"/>
  <c r="M211" i="79" s="1"/>
  <c r="O344" i="79"/>
  <c r="M344" i="79" s="1"/>
  <c r="O342" i="79"/>
  <c r="M342" i="79" s="1"/>
  <c r="O209" i="79"/>
  <c r="M209" i="79" s="1"/>
  <c r="O341" i="79"/>
  <c r="M341" i="79" s="1"/>
  <c r="O208" i="79"/>
  <c r="M208" i="79" s="1"/>
  <c r="O210" i="79"/>
  <c r="M210" i="79" s="1"/>
  <c r="O579" i="79"/>
  <c r="M579" i="79" s="1"/>
  <c r="O592" i="79" s="1"/>
  <c r="M592" i="79" s="1"/>
  <c r="O444" i="79"/>
  <c r="M444" i="79" s="1"/>
  <c r="O445" i="79"/>
  <c r="M445" i="79" s="1"/>
  <c r="O243" i="79"/>
  <c r="M243" i="79" s="1"/>
  <c r="O242" i="79"/>
  <c r="M242" i="79" s="1"/>
  <c r="D433" i="79"/>
  <c r="L432" i="79"/>
  <c r="D20" i="66"/>
  <c r="O578" i="79" a="1"/>
  <c r="O580" i="79" a="1"/>
  <c r="O578" i="79" l="1"/>
  <c r="M578" i="79" s="1"/>
  <c r="O591" i="79" s="1"/>
  <c r="M591" i="79" s="1"/>
  <c r="O580" i="79"/>
  <c r="M580" i="79" s="1"/>
  <c r="O593" i="79" s="1"/>
  <c r="M593" i="79" s="1"/>
  <c r="O443" i="79"/>
  <c r="M443" i="79" s="1"/>
  <c r="O241" i="79"/>
  <c r="M241" i="79" s="1"/>
  <c r="O442" i="79"/>
  <c r="M442" i="79" s="1"/>
  <c r="O240" i="79"/>
  <c r="M240" i="79" s="1"/>
  <c r="AG11" i="72"/>
  <c r="T11" i="72"/>
  <c r="AG12" i="72"/>
  <c r="T12" i="72"/>
  <c r="L433" i="79"/>
  <c r="D23" i="66"/>
  <c r="D26" i="66" l="1"/>
  <c r="D29" i="66" l="1"/>
  <c r="D32" i="66" l="1"/>
  <c r="H6" i="116"/>
  <c r="D2" i="118"/>
  <c r="G2" i="118"/>
  <c r="H2" i="118" s="1"/>
  <c r="I2" i="118" s="1"/>
  <c r="J2" i="118" s="1"/>
  <c r="H3" i="118"/>
  <c r="H8" i="118" s="1"/>
  <c r="W3" i="118"/>
  <c r="W8" i="118" s="1"/>
  <c r="G8" i="118"/>
  <c r="V8" i="118"/>
  <c r="D12" i="118"/>
  <c r="D2" i="117"/>
  <c r="G2" i="117"/>
  <c r="G7" i="117" s="1"/>
  <c r="H3" i="117"/>
  <c r="H8" i="117" s="1"/>
  <c r="W3" i="117"/>
  <c r="S4" i="117"/>
  <c r="AH4" i="117"/>
  <c r="G8" i="117"/>
  <c r="V8" i="117"/>
  <c r="D12" i="117"/>
  <c r="D2" i="116"/>
  <c r="I3" i="116"/>
  <c r="J3" i="116" s="1"/>
  <c r="Z3" i="116"/>
  <c r="Z7" i="116" s="1"/>
  <c r="H7" i="116"/>
  <c r="Y7" i="116"/>
  <c r="E10" i="116"/>
  <c r="D11" i="116"/>
  <c r="L2" i="115"/>
  <c r="AB2" i="115"/>
  <c r="AC2" i="115" s="1"/>
  <c r="K4" i="115" a="1"/>
  <c r="K4" i="115" s="1"/>
  <c r="AA4" i="115" a="1"/>
  <c r="AA4" i="115" s="1"/>
  <c r="F7" i="115"/>
  <c r="G7" i="115" a="1"/>
  <c r="G7" i="115" s="1"/>
  <c r="D8" i="115"/>
  <c r="G8" i="115" s="1" a="1"/>
  <c r="G8" i="115" s="1"/>
  <c r="E8" i="115"/>
  <c r="Y19" i="115"/>
  <c r="AO19" i="115"/>
  <c r="E20" i="115"/>
  <c r="E33" i="115" s="1"/>
  <c r="G20" i="115" a="1"/>
  <c r="G20" i="115" s="1"/>
  <c r="D21" i="115"/>
  <c r="G21" i="115" s="1" a="1"/>
  <c r="G21" i="115" s="1"/>
  <c r="Y32" i="115"/>
  <c r="AO32" i="115"/>
  <c r="G33" i="115" a="1"/>
  <c r="G33" i="115" s="1"/>
  <c r="D34" i="115"/>
  <c r="G34" i="115" s="1" a="1"/>
  <c r="G34" i="115" s="1"/>
  <c r="Y45" i="115"/>
  <c r="AO45" i="115"/>
  <c r="G46" i="115" a="1"/>
  <c r="G46" i="115" s="1"/>
  <c r="D47" i="115"/>
  <c r="G47" i="115" s="1" a="1"/>
  <c r="G47" i="115" s="1"/>
  <c r="Y58" i="115"/>
  <c r="AO58" i="115"/>
  <c r="G59" i="115" a="1"/>
  <c r="G59" i="115" s="1"/>
  <c r="D60" i="115"/>
  <c r="D61" i="115" s="1"/>
  <c r="D62" i="115" s="1"/>
  <c r="Y71" i="115"/>
  <c r="AO71" i="115"/>
  <c r="G60" i="115" l="1" a="1"/>
  <c r="G60" i="115" s="1"/>
  <c r="F20" i="115"/>
  <c r="H2" i="117"/>
  <c r="D9" i="115"/>
  <c r="G9" i="115" s="1" a="1"/>
  <c r="G9" i="115" s="1"/>
  <c r="D35" i="115"/>
  <c r="D36" i="115" s="1"/>
  <c r="G36" i="115" s="1" a="1"/>
  <c r="G36" i="115" s="1"/>
  <c r="F33" i="115"/>
  <c r="E34" i="115"/>
  <c r="E46" i="115"/>
  <c r="E47" i="115" s="1"/>
  <c r="X3" i="118"/>
  <c r="X3" i="117"/>
  <c r="Y3" i="117" s="1"/>
  <c r="W6" i="117"/>
  <c r="I3" i="117"/>
  <c r="J3" i="117" s="1"/>
  <c r="K3" i="117" s="1"/>
  <c r="K6" i="117" s="1"/>
  <c r="H6" i="117"/>
  <c r="D10" i="115"/>
  <c r="G7" i="118"/>
  <c r="W8" i="117"/>
  <c r="G10" i="116"/>
  <c r="K3" i="116"/>
  <c r="L3" i="116" s="1"/>
  <c r="M3" i="116" s="1"/>
  <c r="J7" i="116"/>
  <c r="AA3" i="116"/>
  <c r="AA7" i="116" s="1"/>
  <c r="I7" i="116"/>
  <c r="E11" i="117"/>
  <c r="D35" i="66"/>
  <c r="G62" i="115" a="1"/>
  <c r="G62" i="115" s="1"/>
  <c r="D63" i="115"/>
  <c r="D37" i="115"/>
  <c r="G61" i="115" a="1"/>
  <c r="G61" i="115" s="1"/>
  <c r="G35" i="115" a="1"/>
  <c r="G35" i="115" s="1"/>
  <c r="AD2" i="115"/>
  <c r="AC4" i="115" a="1"/>
  <c r="AC4" i="115" s="1"/>
  <c r="E21" i="115"/>
  <c r="F8" i="115"/>
  <c r="E9" i="115"/>
  <c r="E11" i="118"/>
  <c r="E12" i="118"/>
  <c r="E12" i="117"/>
  <c r="F10" i="116"/>
  <c r="M2" i="115"/>
  <c r="L4" i="115" a="1"/>
  <c r="L4" i="115" s="1"/>
  <c r="D48" i="115"/>
  <c r="D22" i="115"/>
  <c r="AB4" i="115" a="1"/>
  <c r="AB4" i="115" s="1"/>
  <c r="I2" i="116"/>
  <c r="H10" i="116"/>
  <c r="D12" i="116"/>
  <c r="E11" i="116"/>
  <c r="D13" i="117"/>
  <c r="I2" i="117"/>
  <c r="K2" i="118"/>
  <c r="N2" i="118"/>
  <c r="I3" i="118"/>
  <c r="D13" i="118"/>
  <c r="AB3" i="116" l="1"/>
  <c r="X8" i="117"/>
  <c r="I8" i="117"/>
  <c r="J8" i="117"/>
  <c r="G10" i="115" a="1"/>
  <c r="G10" i="115" s="1"/>
  <c r="D11" i="115"/>
  <c r="Y3" i="118"/>
  <c r="X8" i="118"/>
  <c r="E59" i="115"/>
  <c r="F46" i="115"/>
  <c r="E35" i="115"/>
  <c r="F34" i="115"/>
  <c r="G11" i="116"/>
  <c r="L7" i="116"/>
  <c r="K7" i="116"/>
  <c r="M7" i="116"/>
  <c r="N3" i="116"/>
  <c r="D38" i="66"/>
  <c r="AC15" i="115"/>
  <c r="Z3" i="117"/>
  <c r="Z6" i="117" s="1"/>
  <c r="Y8" i="117"/>
  <c r="D14" i="117"/>
  <c r="E12" i="116"/>
  <c r="D13" i="116"/>
  <c r="D14" i="118"/>
  <c r="AB7" i="116"/>
  <c r="AC3" i="116"/>
  <c r="L2" i="118"/>
  <c r="G22" i="115" a="1"/>
  <c r="G22" i="115" s="1"/>
  <c r="D23" i="115"/>
  <c r="E22" i="115"/>
  <c r="F21" i="115"/>
  <c r="AE2" i="115"/>
  <c r="AD4" i="115" a="1"/>
  <c r="AD4" i="115" s="1"/>
  <c r="N2" i="115"/>
  <c r="M4" i="115" a="1"/>
  <c r="M4" i="115" s="1"/>
  <c r="D49" i="115"/>
  <c r="G48" i="115" a="1"/>
  <c r="G48" i="115" s="1"/>
  <c r="E13" i="117"/>
  <c r="E48" i="115"/>
  <c r="F47" i="115"/>
  <c r="D38" i="115"/>
  <c r="G37" i="115" a="1"/>
  <c r="G37" i="115" s="1"/>
  <c r="D64" i="115"/>
  <c r="G63" i="115" a="1"/>
  <c r="G63" i="115" s="1"/>
  <c r="J3" i="118"/>
  <c r="I8" i="118"/>
  <c r="I10" i="116"/>
  <c r="U10" i="116" s="1"/>
  <c r="J2" i="116"/>
  <c r="E13" i="118"/>
  <c r="F9" i="115"/>
  <c r="E10" i="115"/>
  <c r="F11" i="116"/>
  <c r="J2" i="117"/>
  <c r="L3" i="117"/>
  <c r="L6" i="117" s="1"/>
  <c r="K8" i="117"/>
  <c r="O2" i="118"/>
  <c r="E36" i="115" l="1"/>
  <c r="F35" i="115"/>
  <c r="F59" i="115"/>
  <c r="E60" i="115"/>
  <c r="Z3" i="118"/>
  <c r="Y8" i="118"/>
  <c r="G11" i="115" a="1"/>
  <c r="G11" i="115" s="1"/>
  <c r="D12" i="115"/>
  <c r="G12" i="116"/>
  <c r="N7" i="116"/>
  <c r="O3" i="116"/>
  <c r="AC7" i="115"/>
  <c r="M67" i="115"/>
  <c r="AC20" i="115"/>
  <c r="M41" i="115"/>
  <c r="AC54" i="115"/>
  <c r="M15" i="115"/>
  <c r="M54" i="115"/>
  <c r="M33" i="115"/>
  <c r="AC67" i="115"/>
  <c r="AC59" i="115"/>
  <c r="M46" i="115"/>
  <c r="M28" i="115"/>
  <c r="AC33" i="115"/>
  <c r="AC41" i="115"/>
  <c r="M7" i="115"/>
  <c r="AC28" i="115"/>
  <c r="M20" i="115"/>
  <c r="AC46" i="115"/>
  <c r="M59" i="115"/>
  <c r="M8" i="115"/>
  <c r="M2" i="118"/>
  <c r="F12" i="116"/>
  <c r="AC7" i="116"/>
  <c r="AD3" i="116"/>
  <c r="G64" i="115" a="1"/>
  <c r="G64" i="115" s="1"/>
  <c r="D65" i="115"/>
  <c r="O2" i="115"/>
  <c r="N4" i="115" a="1"/>
  <c r="N4" i="115" s="1"/>
  <c r="AA3" i="117"/>
  <c r="AA6" i="117" s="1"/>
  <c r="Z8" i="117"/>
  <c r="P2" i="118"/>
  <c r="M3" i="117"/>
  <c r="M6" i="117" s="1"/>
  <c r="L8" i="117"/>
  <c r="G49" i="115" a="1"/>
  <c r="G49" i="115" s="1"/>
  <c r="D50" i="115"/>
  <c r="F22" i="115"/>
  <c r="E23" i="115"/>
  <c r="D15" i="118"/>
  <c r="E14" i="118"/>
  <c r="D15" i="117"/>
  <c r="E14" i="117"/>
  <c r="K2" i="116"/>
  <c r="G38" i="115" a="1"/>
  <c r="G38" i="115" s="1"/>
  <c r="D39" i="115"/>
  <c r="F48" i="115"/>
  <c r="E49" i="115"/>
  <c r="G23" i="115" a="1"/>
  <c r="G23" i="115" s="1"/>
  <c r="D24" i="115"/>
  <c r="N2" i="117"/>
  <c r="K2" i="117"/>
  <c r="F10" i="115"/>
  <c r="E11" i="115"/>
  <c r="AE4" i="115" a="1"/>
  <c r="AE4" i="115" s="1"/>
  <c r="AF2" i="115"/>
  <c r="K3" i="118"/>
  <c r="J8" i="118"/>
  <c r="D14" i="116"/>
  <c r="E13" i="116"/>
  <c r="D13" i="115" l="1"/>
  <c r="G12" i="115" a="1"/>
  <c r="G12" i="115" s="1"/>
  <c r="Z8" i="118"/>
  <c r="AA3" i="118"/>
  <c r="F60" i="115"/>
  <c r="E61" i="115"/>
  <c r="E37" i="115"/>
  <c r="F36" i="115"/>
  <c r="G13" i="116"/>
  <c r="P3" i="116"/>
  <c r="O7" i="116"/>
  <c r="M21" i="115"/>
  <c r="M60" i="115"/>
  <c r="AC60" i="115"/>
  <c r="AC8" i="115"/>
  <c r="AC34" i="115"/>
  <c r="M47" i="115"/>
  <c r="AC47" i="115"/>
  <c r="AC21" i="115"/>
  <c r="M34" i="115"/>
  <c r="AE3" i="116"/>
  <c r="AD7" i="116"/>
  <c r="F11" i="115"/>
  <c r="E12" i="115"/>
  <c r="G24" i="115" a="1"/>
  <c r="G24" i="115" s="1"/>
  <c r="D25" i="115"/>
  <c r="E50" i="115"/>
  <c r="F49" i="115"/>
  <c r="Q2" i="118"/>
  <c r="D15" i="116"/>
  <c r="E14" i="116"/>
  <c r="AG2" i="115"/>
  <c r="AF4" i="115" a="1"/>
  <c r="AF4" i="115" s="1"/>
  <c r="O2" i="117"/>
  <c r="O4" i="115" a="1"/>
  <c r="O4" i="115" s="1"/>
  <c r="P2" i="115"/>
  <c r="L2" i="116"/>
  <c r="M2" i="116" s="1"/>
  <c r="N2" i="116" s="1"/>
  <c r="R2" i="116" s="1"/>
  <c r="S2" i="116" s="1"/>
  <c r="T2" i="116" s="1"/>
  <c r="O2" i="116"/>
  <c r="P2" i="116" s="1"/>
  <c r="Q2" i="116" s="1"/>
  <c r="D16" i="117"/>
  <c r="E15" i="117"/>
  <c r="D16" i="118"/>
  <c r="E15" i="118"/>
  <c r="F13" i="116"/>
  <c r="AB3" i="117"/>
  <c r="AB6" i="117" s="1"/>
  <c r="AA8" i="117"/>
  <c r="N3" i="117"/>
  <c r="N6" i="117" s="1"/>
  <c r="M8" i="117"/>
  <c r="L3" i="118"/>
  <c r="K8" i="118"/>
  <c r="L2" i="117"/>
  <c r="D40" i="115"/>
  <c r="G39" i="115" a="1"/>
  <c r="G39" i="115" s="1"/>
  <c r="E24" i="115"/>
  <c r="F23" i="115"/>
  <c r="D66" i="115"/>
  <c r="G65" i="115" a="1"/>
  <c r="G65" i="115" s="1"/>
  <c r="D51" i="115"/>
  <c r="G50" i="115" a="1"/>
  <c r="G50" i="115" s="1"/>
  <c r="F37" i="115" l="1"/>
  <c r="E38" i="115"/>
  <c r="E62" i="115"/>
  <c r="F61" i="115"/>
  <c r="AA8" i="118"/>
  <c r="AB3" i="118"/>
  <c r="G13" i="115" a="1"/>
  <c r="G13" i="115" s="1"/>
  <c r="D14" i="115"/>
  <c r="G14" i="116"/>
  <c r="Q3" i="116"/>
  <c r="P7" i="116"/>
  <c r="F24" i="115"/>
  <c r="E25" i="115"/>
  <c r="AB8" i="117"/>
  <c r="AC3" i="117"/>
  <c r="AC6" i="117" s="1"/>
  <c r="Q2" i="115"/>
  <c r="P4" i="115" a="1"/>
  <c r="P4" i="115" s="1"/>
  <c r="F50" i="115"/>
  <c r="E51" i="115"/>
  <c r="D17" i="118"/>
  <c r="E16" i="118"/>
  <c r="P2" i="117"/>
  <c r="AG4" i="115" a="1"/>
  <c r="AG4" i="115" s="1"/>
  <c r="AH2" i="115"/>
  <c r="E15" i="116"/>
  <c r="D16" i="116"/>
  <c r="G40" i="115" a="1"/>
  <c r="G40" i="115" s="1"/>
  <c r="D41" i="115"/>
  <c r="G25" i="115" a="1"/>
  <c r="G25" i="115" s="1"/>
  <c r="D26" i="115"/>
  <c r="G51" i="115" a="1"/>
  <c r="G51" i="115" s="1"/>
  <c r="D52" i="115"/>
  <c r="F14" i="116"/>
  <c r="D67" i="115"/>
  <c r="G66" i="115" a="1"/>
  <c r="G66" i="115" s="1"/>
  <c r="AF3" i="116"/>
  <c r="AE7" i="116"/>
  <c r="L8" i="118"/>
  <c r="M3" i="118"/>
  <c r="Y2" i="116"/>
  <c r="Y6" i="116" s="1"/>
  <c r="M2" i="117"/>
  <c r="O3" i="117"/>
  <c r="O6" i="117" s="1"/>
  <c r="N8" i="117"/>
  <c r="R2" i="118"/>
  <c r="D17" i="117"/>
  <c r="E16" i="117"/>
  <c r="E13" i="115"/>
  <c r="F12" i="115"/>
  <c r="G14" i="115" l="1" a="1"/>
  <c r="G14" i="115" s="1"/>
  <c r="D15" i="115"/>
  <c r="AC3" i="118"/>
  <c r="AB8" i="118"/>
  <c r="F62" i="115"/>
  <c r="E63" i="115"/>
  <c r="F38" i="115"/>
  <c r="E39" i="115"/>
  <c r="G15" i="116"/>
  <c r="R3" i="116"/>
  <c r="Q7" i="116"/>
  <c r="AG3" i="116"/>
  <c r="AF7" i="116"/>
  <c r="G67" i="115" a="1"/>
  <c r="G67" i="115" s="1"/>
  <c r="D68" i="115"/>
  <c r="Y10" i="116"/>
  <c r="Z2" i="116"/>
  <c r="N3" i="118"/>
  <c r="M8" i="118"/>
  <c r="D53" i="115"/>
  <c r="G52" i="115" a="1"/>
  <c r="G52" i="115" s="1"/>
  <c r="D17" i="116"/>
  <c r="E16" i="116"/>
  <c r="E52" i="115"/>
  <c r="F51" i="115"/>
  <c r="R2" i="115"/>
  <c r="Q4" i="115" a="1"/>
  <c r="Q4" i="115" s="1"/>
  <c r="E26" i="115"/>
  <c r="F25" i="115"/>
  <c r="S2" i="118"/>
  <c r="D18" i="118"/>
  <c r="E17" i="118"/>
  <c r="AD3" i="117"/>
  <c r="AD6" i="117" s="1"/>
  <c r="AC8" i="117"/>
  <c r="G41" i="115" a="1"/>
  <c r="G41" i="115" s="1"/>
  <c r="D42" i="115"/>
  <c r="E14" i="115"/>
  <c r="F13" i="115"/>
  <c r="Q2" i="117"/>
  <c r="F15" i="116"/>
  <c r="AI2" i="115"/>
  <c r="AH4" i="115" a="1"/>
  <c r="AH4" i="115" s="1"/>
  <c r="P3" i="117"/>
  <c r="O8" i="117"/>
  <c r="D18" i="117"/>
  <c r="E17" i="117"/>
  <c r="D27" i="115"/>
  <c r="G26" i="115" a="1"/>
  <c r="G26" i="115" s="1"/>
  <c r="E40" i="115" l="1"/>
  <c r="F39" i="115"/>
  <c r="F63" i="115"/>
  <c r="E64" i="115"/>
  <c r="AD3" i="118"/>
  <c r="AC8" i="118"/>
  <c r="G15" i="115" a="1"/>
  <c r="G15" i="115" s="1"/>
  <c r="D16" i="115"/>
  <c r="G16" i="116"/>
  <c r="S3" i="116"/>
  <c r="R7" i="116"/>
  <c r="G42" i="115" a="1"/>
  <c r="G42" i="115" s="1"/>
  <c r="D43" i="115"/>
  <c r="AI4" i="115" a="1"/>
  <c r="AI4" i="115" s="1"/>
  <c r="AJ2" i="115"/>
  <c r="R2" i="117"/>
  <c r="R4" i="115" a="1"/>
  <c r="R4" i="115" s="1"/>
  <c r="S2" i="115"/>
  <c r="Q3" i="117"/>
  <c r="P8" i="117"/>
  <c r="AA2" i="116"/>
  <c r="AB2" i="116" s="1"/>
  <c r="Z10" i="116"/>
  <c r="AL10" i="116" s="1"/>
  <c r="F16" i="116"/>
  <c r="AD8" i="117"/>
  <c r="AE3" i="117"/>
  <c r="D19" i="118"/>
  <c r="E18" i="118"/>
  <c r="Q8" i="115"/>
  <c r="AG34" i="115"/>
  <c r="AG60" i="115"/>
  <c r="Q21" i="115"/>
  <c r="Q34" i="115"/>
  <c r="Q60" i="115"/>
  <c r="AG47" i="115"/>
  <c r="AG21" i="115"/>
  <c r="AG8" i="115"/>
  <c r="Q47" i="115"/>
  <c r="D18" i="116"/>
  <c r="E17" i="116"/>
  <c r="AH3" i="116"/>
  <c r="AG7" i="116"/>
  <c r="F26" i="115"/>
  <c r="E27" i="115"/>
  <c r="D19" i="117"/>
  <c r="E18" i="117"/>
  <c r="E15" i="115"/>
  <c r="F14" i="115"/>
  <c r="V2" i="118"/>
  <c r="V7" i="118" s="1"/>
  <c r="F52" i="115"/>
  <c r="E53" i="115"/>
  <c r="G68" i="115" a="1"/>
  <c r="G68" i="115" s="1"/>
  <c r="D69" i="115"/>
  <c r="G27" i="115" a="1"/>
  <c r="G27" i="115" s="1"/>
  <c r="D28" i="115"/>
  <c r="G53" i="115" a="1"/>
  <c r="G53" i="115" s="1"/>
  <c r="D54" i="115"/>
  <c r="O3" i="118"/>
  <c r="N8" i="118"/>
  <c r="AG7" i="115"/>
  <c r="Q7" i="115"/>
  <c r="AG59" i="115"/>
  <c r="AG20" i="115"/>
  <c r="AG46" i="115"/>
  <c r="AG33" i="115"/>
  <c r="AG15" i="115"/>
  <c r="Q20" i="115"/>
  <c r="AG41" i="115"/>
  <c r="Q46" i="115"/>
  <c r="AG67" i="115"/>
  <c r="Q15" i="115"/>
  <c r="Q41" i="115"/>
  <c r="Q67" i="115"/>
  <c r="AG28" i="115"/>
  <c r="Q33" i="115"/>
  <c r="AG54" i="115"/>
  <c r="Q59" i="115"/>
  <c r="Q28" i="115"/>
  <c r="Q54" i="115"/>
  <c r="D17" i="115" l="1"/>
  <c r="G16" i="115" a="1"/>
  <c r="G16" i="115" s="1"/>
  <c r="AD8" i="118"/>
  <c r="AE3" i="118"/>
  <c r="F64" i="115"/>
  <c r="E65" i="115"/>
  <c r="E41" i="115"/>
  <c r="F40" i="115"/>
  <c r="G17" i="116"/>
  <c r="T3" i="116"/>
  <c r="T7" i="116" s="1"/>
  <c r="S7" i="116"/>
  <c r="T7" i="115"/>
  <c r="G69" i="115" a="1"/>
  <c r="G69" i="115" s="1"/>
  <c r="D70" i="115"/>
  <c r="S2" i="117"/>
  <c r="V2" i="117" s="1"/>
  <c r="V7" i="117" s="1"/>
  <c r="P3" i="118"/>
  <c r="O8" i="118"/>
  <c r="D20" i="117"/>
  <c r="E19" i="117"/>
  <c r="D19" i="116"/>
  <c r="E18" i="116"/>
  <c r="AF3" i="117"/>
  <c r="AE8" i="117"/>
  <c r="R3" i="117"/>
  <c r="Q8" i="117"/>
  <c r="AK2" i="115"/>
  <c r="AJ4" i="115" a="1"/>
  <c r="AJ4" i="115" s="1"/>
  <c r="AH7" i="116"/>
  <c r="AI3" i="116"/>
  <c r="D20" i="118"/>
  <c r="E19" i="118"/>
  <c r="G54" i="115" a="1"/>
  <c r="G54" i="115" s="1"/>
  <c r="D55" i="115"/>
  <c r="W2" i="118"/>
  <c r="F17" i="116"/>
  <c r="G43" i="115" a="1"/>
  <c r="G43" i="115" s="1"/>
  <c r="D44" i="115"/>
  <c r="E54" i="115"/>
  <c r="F53" i="115"/>
  <c r="G28" i="115" a="1"/>
  <c r="G28" i="115" s="1"/>
  <c r="D29" i="115"/>
  <c r="E16" i="115"/>
  <c r="F15" i="115"/>
  <c r="T2" i="115"/>
  <c r="S4" i="115" a="1"/>
  <c r="S4" i="115" s="1"/>
  <c r="E28" i="115"/>
  <c r="F27" i="115"/>
  <c r="AF2" i="116"/>
  <c r="AG2" i="116" s="1"/>
  <c r="AH2" i="116" s="1"/>
  <c r="AC2" i="116"/>
  <c r="AD2" i="116" s="1"/>
  <c r="AE2" i="116" s="1"/>
  <c r="AI2" i="116" s="1"/>
  <c r="AJ2" i="116" s="1"/>
  <c r="AK2" i="116" s="1"/>
  <c r="E42" i="115" l="1"/>
  <c r="F41" i="115"/>
  <c r="E66" i="115"/>
  <c r="F65" i="115"/>
  <c r="AF3" i="118"/>
  <c r="AE8" i="118"/>
  <c r="G17" i="115" a="1"/>
  <c r="G17" i="115" s="1"/>
  <c r="D18" i="115"/>
  <c r="G18" i="116"/>
  <c r="T41" i="115"/>
  <c r="AJ20" i="115"/>
  <c r="T20" i="115"/>
  <c r="AJ15" i="115"/>
  <c r="AJ7" i="115"/>
  <c r="T15" i="115"/>
  <c r="T33" i="115"/>
  <c r="AJ33" i="115"/>
  <c r="AJ46" i="115"/>
  <c r="D21" i="117"/>
  <c r="E20" i="117"/>
  <c r="D21" i="118"/>
  <c r="E20" i="118"/>
  <c r="S3" i="117"/>
  <c r="S8" i="117" s="1"/>
  <c r="R8" i="117"/>
  <c r="E19" i="116"/>
  <c r="D20" i="116"/>
  <c r="AI7" i="116"/>
  <c r="AJ3" i="116"/>
  <c r="T46" i="115"/>
  <c r="F18" i="116"/>
  <c r="D30" i="115"/>
  <c r="G29" i="115" a="1"/>
  <c r="G29" i="115" s="1"/>
  <c r="AJ41" i="115"/>
  <c r="AL2" i="115"/>
  <c r="AK4" i="115" a="1"/>
  <c r="AK4" i="115" s="1"/>
  <c r="U2" i="115"/>
  <c r="T4" i="115" a="1"/>
  <c r="T4" i="115" s="1"/>
  <c r="F16" i="115"/>
  <c r="E17" i="115"/>
  <c r="D45" i="115"/>
  <c r="G45" i="115" s="1" a="1"/>
  <c r="G45" i="115" s="1"/>
  <c r="G44" i="115" a="1"/>
  <c r="G44" i="115" s="1"/>
  <c r="G70" i="115" a="1"/>
  <c r="G70" i="115" s="1"/>
  <c r="D71" i="115"/>
  <c r="G71" i="115" s="1" a="1"/>
  <c r="G71" i="115" s="1"/>
  <c r="W2" i="117"/>
  <c r="D56" i="115"/>
  <c r="G55" i="115" a="1"/>
  <c r="G55" i="115" s="1"/>
  <c r="P8" i="118"/>
  <c r="Q3" i="118"/>
  <c r="AJ28" i="115"/>
  <c r="E29" i="115"/>
  <c r="T28" i="115"/>
  <c r="F28" i="115"/>
  <c r="AJ54" i="115"/>
  <c r="T54" i="115"/>
  <c r="E55" i="115"/>
  <c r="F54" i="115"/>
  <c r="X2" i="118"/>
  <c r="AG3" i="117"/>
  <c r="AF8" i="117"/>
  <c r="T59" i="115"/>
  <c r="D19" i="115" l="1"/>
  <c r="G19" i="115" s="1" a="1"/>
  <c r="G19" i="115" s="1"/>
  <c r="G18" i="115" a="1"/>
  <c r="G18" i="115" s="1"/>
  <c r="AF8" i="118"/>
  <c r="AG3" i="118"/>
  <c r="E67" i="115"/>
  <c r="T67" i="115" s="1"/>
  <c r="F66" i="115"/>
  <c r="F42" i="115"/>
  <c r="E43" i="115"/>
  <c r="G19" i="116"/>
  <c r="V2" i="115"/>
  <c r="U4" i="115" a="1"/>
  <c r="U4" i="115" s="1"/>
  <c r="F19" i="116"/>
  <c r="E20" i="116"/>
  <c r="D21" i="116"/>
  <c r="D22" i="117"/>
  <c r="E21" i="117"/>
  <c r="Y2" i="118"/>
  <c r="G56" i="115" a="1"/>
  <c r="G56" i="115" s="1"/>
  <c r="D57" i="115"/>
  <c r="X2" i="117"/>
  <c r="E18" i="115"/>
  <c r="F17" i="115"/>
  <c r="AH3" i="117"/>
  <c r="AH8" i="117" s="1"/>
  <c r="AG8" i="117"/>
  <c r="G30" i="115" a="1"/>
  <c r="G30" i="115" s="1"/>
  <c r="D31" i="115"/>
  <c r="AJ59" i="115"/>
  <c r="E56" i="115"/>
  <c r="F55" i="115"/>
  <c r="E30" i="115"/>
  <c r="F29" i="115"/>
  <c r="AM2" i="115"/>
  <c r="AM4" i="115" s="1" a="1"/>
  <c r="AM4" i="115" s="1"/>
  <c r="AL4" i="115" a="1"/>
  <c r="AL4" i="115" s="1"/>
  <c r="D22" i="118"/>
  <c r="E21" i="118"/>
  <c r="R3" i="118"/>
  <c r="Q8" i="118"/>
  <c r="AJ7" i="116"/>
  <c r="AK3" i="116"/>
  <c r="AK7" i="116" s="1"/>
  <c r="AJ67" i="115" l="1"/>
  <c r="F43" i="115"/>
  <c r="E44" i="115"/>
  <c r="E68" i="115"/>
  <c r="F67" i="115"/>
  <c r="AH3" i="118"/>
  <c r="AH8" i="118" s="1"/>
  <c r="AG8" i="118"/>
  <c r="G20" i="116"/>
  <c r="E19" i="115"/>
  <c r="F19" i="115" s="1"/>
  <c r="F18" i="115"/>
  <c r="F30" i="115"/>
  <c r="E31" i="115"/>
  <c r="D22" i="116"/>
  <c r="E21" i="116"/>
  <c r="D58" i="115"/>
  <c r="G58" i="115" s="1" a="1"/>
  <c r="G58" i="115" s="1"/>
  <c r="G57" i="115" a="1"/>
  <c r="G57" i="115" s="1"/>
  <c r="D23" i="117"/>
  <c r="E22" i="117"/>
  <c r="S3" i="118"/>
  <c r="R8" i="118"/>
  <c r="D32" i="115"/>
  <c r="G32" i="115" s="1" a="1"/>
  <c r="G32" i="115" s="1"/>
  <c r="G31" i="115" a="1"/>
  <c r="G31" i="115" s="1"/>
  <c r="F20" i="116"/>
  <c r="AJ8" i="115"/>
  <c r="T8" i="115"/>
  <c r="T21" i="115"/>
  <c r="AJ21" i="115"/>
  <c r="Z2" i="118"/>
  <c r="AC2" i="118"/>
  <c r="Y2" i="117"/>
  <c r="D23" i="118"/>
  <c r="E22" i="118"/>
  <c r="E57" i="115"/>
  <c r="F56" i="115"/>
  <c r="W2" i="115"/>
  <c r="W4" i="115" s="1" a="1"/>
  <c r="W4" i="115" s="1"/>
  <c r="V4" i="115" a="1"/>
  <c r="V4" i="115" s="1"/>
  <c r="F68" i="115" l="1"/>
  <c r="E69" i="115"/>
  <c r="F44" i="115"/>
  <c r="E45" i="115"/>
  <c r="F45" i="115" s="1"/>
  <c r="G21" i="116"/>
  <c r="AJ34" i="115"/>
  <c r="T34" i="115"/>
  <c r="AJ47" i="115"/>
  <c r="AA2" i="118"/>
  <c r="D24" i="118"/>
  <c r="E23" i="118"/>
  <c r="T47" i="115"/>
  <c r="D24" i="117"/>
  <c r="E23" i="117"/>
  <c r="F57" i="115"/>
  <c r="E58" i="115"/>
  <c r="F58" i="115" s="1"/>
  <c r="F21" i="116"/>
  <c r="E32" i="115"/>
  <c r="F32" i="115" s="1"/>
  <c r="F31" i="115"/>
  <c r="Z2" i="117"/>
  <c r="AC2" i="117"/>
  <c r="S8" i="118"/>
  <c r="E22" i="116"/>
  <c r="D23" i="116"/>
  <c r="AD2" i="118"/>
  <c r="T60" i="115"/>
  <c r="E70" i="115" l="1"/>
  <c r="F69" i="115"/>
  <c r="G22" i="116"/>
  <c r="AA2" i="117"/>
  <c r="D25" i="118"/>
  <c r="E24" i="118"/>
  <c r="F22" i="116"/>
  <c r="D25" i="117"/>
  <c r="E24" i="117"/>
  <c r="AE2" i="118"/>
  <c r="AJ60" i="115"/>
  <c r="AB2" i="118"/>
  <c r="E23" i="116"/>
  <c r="D24" i="116"/>
  <c r="AD2" i="117"/>
  <c r="F70" i="115" l="1"/>
  <c r="E71" i="115"/>
  <c r="F71" i="115" s="1"/>
  <c r="G23" i="116"/>
  <c r="AF2" i="118"/>
  <c r="D25" i="116"/>
  <c r="E24" i="116"/>
  <c r="F23" i="116"/>
  <c r="AB2" i="117"/>
  <c r="D26" i="118"/>
  <c r="E25" i="118"/>
  <c r="D26" i="117"/>
  <c r="E25" i="117"/>
  <c r="AE2" i="117"/>
  <c r="G24" i="116" l="1"/>
  <c r="D27" i="117"/>
  <c r="E26" i="117"/>
  <c r="D27" i="118"/>
  <c r="E26" i="118"/>
  <c r="F24" i="116"/>
  <c r="AG2" i="118"/>
  <c r="E25" i="116"/>
  <c r="D26" i="116"/>
  <c r="AF2" i="117"/>
  <c r="G25" i="116" l="1"/>
  <c r="D27" i="116"/>
  <c r="E26" i="116"/>
  <c r="AH2" i="118"/>
  <c r="D28" i="118"/>
  <c r="E27" i="118"/>
  <c r="F25" i="116"/>
  <c r="AG2" i="117"/>
  <c r="U16" i="115"/>
  <c r="AK16" i="115"/>
  <c r="AK29" i="115"/>
  <c r="U29" i="115"/>
  <c r="D28" i="117"/>
  <c r="E27" i="117"/>
  <c r="G26" i="116" l="1"/>
  <c r="D29" i="117"/>
  <c r="E28" i="117"/>
  <c r="D29" i="118"/>
  <c r="E28" i="118"/>
  <c r="F26" i="116"/>
  <c r="E27" i="116"/>
  <c r="D28" i="116"/>
  <c r="AH2" i="117"/>
  <c r="G27" i="116" l="1"/>
  <c r="D30" i="117"/>
  <c r="E29" i="117"/>
  <c r="F27" i="116"/>
  <c r="U55" i="115"/>
  <c r="AK55" i="115"/>
  <c r="AK42" i="115"/>
  <c r="U42" i="115"/>
  <c r="D30" i="118"/>
  <c r="E29" i="118"/>
  <c r="E28" i="116"/>
  <c r="D29" i="116"/>
  <c r="AK68" i="115"/>
  <c r="G28" i="116" l="1"/>
  <c r="U68" i="115"/>
  <c r="D31" i="117"/>
  <c r="E30" i="117"/>
  <c r="F28" i="116"/>
  <c r="D30" i="116"/>
  <c r="E29" i="116"/>
  <c r="D31" i="118"/>
  <c r="E30" i="118"/>
  <c r="G29" i="116" l="1"/>
  <c r="D32" i="118"/>
  <c r="E31" i="118"/>
  <c r="E30" i="116"/>
  <c r="D31" i="116"/>
  <c r="F29" i="116"/>
  <c r="D32" i="117"/>
  <c r="E31" i="117"/>
  <c r="G30" i="116" l="1"/>
  <c r="E31" i="116"/>
  <c r="D32" i="116"/>
  <c r="D33" i="118"/>
  <c r="E32" i="118"/>
  <c r="D33" i="117"/>
  <c r="E32" i="117"/>
  <c r="F30" i="116"/>
  <c r="G31" i="116" l="1"/>
  <c r="D34" i="117"/>
  <c r="E33" i="117"/>
  <c r="D34" i="118"/>
  <c r="E33" i="118"/>
  <c r="F31" i="116"/>
  <c r="E32" i="116"/>
  <c r="D33" i="116"/>
  <c r="G32" i="116" l="1"/>
  <c r="F32" i="116"/>
  <c r="D35" i="118"/>
  <c r="E34" i="118"/>
  <c r="D34" i="116"/>
  <c r="E33" i="116"/>
  <c r="D35" i="117"/>
  <c r="E34" i="117"/>
  <c r="G33" i="116" l="1"/>
  <c r="D36" i="117"/>
  <c r="E35" i="117"/>
  <c r="F33" i="116"/>
  <c r="E34" i="116"/>
  <c r="D35" i="116"/>
  <c r="D36" i="118"/>
  <c r="E35" i="118"/>
  <c r="G34" i="116" l="1"/>
  <c r="AJ31" i="115"/>
  <c r="D37" i="118"/>
  <c r="E36" i="118"/>
  <c r="D37" i="117"/>
  <c r="E36" i="117"/>
  <c r="F34" i="116"/>
  <c r="E35" i="116"/>
  <c r="D36" i="116"/>
  <c r="G35" i="116" l="1"/>
  <c r="T31" i="115"/>
  <c r="AJ44" i="115"/>
  <c r="T18" i="115"/>
  <c r="AJ18" i="115"/>
  <c r="T57" i="115"/>
  <c r="T70" i="115"/>
  <c r="F35" i="116"/>
  <c r="D38" i="118"/>
  <c r="E37" i="118"/>
  <c r="T44" i="115"/>
  <c r="D38" i="117"/>
  <c r="E37" i="117"/>
  <c r="D37" i="116"/>
  <c r="E36" i="116"/>
  <c r="AJ57" i="115"/>
  <c r="G36" i="116" l="1"/>
  <c r="AJ70" i="115"/>
  <c r="E37" i="116"/>
  <c r="D38" i="116"/>
  <c r="D39" i="118"/>
  <c r="E38" i="118"/>
  <c r="F36" i="116"/>
  <c r="D39" i="117"/>
  <c r="E38" i="117"/>
  <c r="G37" i="116" l="1"/>
  <c r="D39" i="116"/>
  <c r="E38" i="116"/>
  <c r="D40" i="118"/>
  <c r="E39" i="118"/>
  <c r="F37" i="116"/>
  <c r="D40" i="117"/>
  <c r="E39" i="117"/>
  <c r="G38" i="116" l="1"/>
  <c r="D41" i="117"/>
  <c r="E40" i="117"/>
  <c r="F38" i="116"/>
  <c r="D41" i="118"/>
  <c r="E40" i="118"/>
  <c r="E39" i="116"/>
  <c r="D40" i="116"/>
  <c r="G39" i="116" l="1"/>
  <c r="D42" i="117"/>
  <c r="E41" i="117"/>
  <c r="F39" i="116"/>
  <c r="E40" i="116"/>
  <c r="D41" i="116"/>
  <c r="D42" i="118"/>
  <c r="E41" i="118"/>
  <c r="G40" i="116" l="1"/>
  <c r="D42" i="116"/>
  <c r="E41" i="116"/>
  <c r="D43" i="118"/>
  <c r="E42" i="118"/>
  <c r="F40" i="116"/>
  <c r="D43" i="117"/>
  <c r="E42" i="117"/>
  <c r="G41" i="116" l="1"/>
  <c r="D44" i="118"/>
  <c r="E43" i="118"/>
  <c r="D44" i="117"/>
  <c r="E43" i="117"/>
  <c r="F41" i="116"/>
  <c r="E42" i="116"/>
  <c r="D43" i="116"/>
  <c r="G42" i="116" l="1"/>
  <c r="D45" i="118"/>
  <c r="E44" i="118"/>
  <c r="E43" i="116"/>
  <c r="D44" i="116"/>
  <c r="F42" i="116"/>
  <c r="D45" i="117"/>
  <c r="E44" i="117"/>
  <c r="G43" i="116" l="1"/>
  <c r="D45" i="116"/>
  <c r="E44" i="116"/>
  <c r="D46" i="118"/>
  <c r="E45" i="118"/>
  <c r="D46" i="117"/>
  <c r="E45" i="117"/>
  <c r="F43" i="116"/>
  <c r="G44" i="116" l="1"/>
  <c r="D47" i="117"/>
  <c r="E46" i="117"/>
  <c r="D47" i="118"/>
  <c r="E46" i="118"/>
  <c r="F44" i="116"/>
  <c r="E45" i="116"/>
  <c r="D46" i="116"/>
  <c r="G45" i="116" l="1"/>
  <c r="D47" i="116"/>
  <c r="E46" i="116"/>
  <c r="D48" i="118"/>
  <c r="E47" i="118"/>
  <c r="F45" i="116"/>
  <c r="D48" i="117"/>
  <c r="E47" i="117"/>
  <c r="G46" i="116" l="1"/>
  <c r="F46" i="116"/>
  <c r="D49" i="117"/>
  <c r="E48" i="117"/>
  <c r="D49" i="118"/>
  <c r="E48" i="118"/>
  <c r="E47" i="116"/>
  <c r="D48" i="116"/>
  <c r="G47" i="116" l="1"/>
  <c r="D50" i="118"/>
  <c r="E49" i="118"/>
  <c r="D50" i="117"/>
  <c r="E49" i="117"/>
  <c r="E48" i="116"/>
  <c r="D49" i="116"/>
  <c r="F47" i="116"/>
  <c r="G48" i="116" l="1"/>
  <c r="D51" i="118"/>
  <c r="E50" i="118"/>
  <c r="F48" i="116"/>
  <c r="D51" i="117"/>
  <c r="E50" i="117"/>
  <c r="AH5" i="117" a="1"/>
  <c r="AH5" i="117" s="1"/>
  <c r="S5" i="117" a="1"/>
  <c r="S5" i="117" s="1"/>
  <c r="D50" i="116"/>
  <c r="E49" i="116"/>
  <c r="G49" i="116" l="1"/>
  <c r="D51" i="116"/>
  <c r="E50" i="116"/>
  <c r="D52" i="117"/>
  <c r="E51" i="117"/>
  <c r="D52" i="118"/>
  <c r="E51" i="118"/>
  <c r="F49" i="116"/>
  <c r="G50" i="116" l="1"/>
  <c r="D53" i="118"/>
  <c r="E52" i="118"/>
  <c r="F50" i="116"/>
  <c r="D53" i="117"/>
  <c r="E52" i="117"/>
  <c r="D52" i="116"/>
  <c r="E51" i="116"/>
  <c r="G51" i="116" l="1"/>
  <c r="D53" i="116"/>
  <c r="E52" i="116"/>
  <c r="F51" i="116"/>
  <c r="D54" i="117"/>
  <c r="E53" i="117"/>
  <c r="D54" i="118"/>
  <c r="E53" i="118"/>
  <c r="G52" i="116" l="1"/>
  <c r="F52" i="116"/>
  <c r="D55" i="117"/>
  <c r="E54" i="117"/>
  <c r="D55" i="118"/>
  <c r="E54" i="118"/>
  <c r="E53" i="116"/>
  <c r="D54" i="116"/>
  <c r="G53" i="116" l="1"/>
  <c r="D56" i="118"/>
  <c r="E55" i="118"/>
  <c r="D55" i="116"/>
  <c r="E54" i="116"/>
  <c r="D56" i="117"/>
  <c r="E55" i="117"/>
  <c r="F53" i="116"/>
  <c r="G54" i="116" l="1"/>
  <c r="F54" i="116"/>
  <c r="D57" i="117"/>
  <c r="E56" i="117"/>
  <c r="D57" i="118"/>
  <c r="E56" i="118"/>
  <c r="E55" i="116"/>
  <c r="D56" i="116"/>
  <c r="G55" i="116" l="1"/>
  <c r="D58" i="117"/>
  <c r="E57" i="117"/>
  <c r="D57" i="116"/>
  <c r="E56" i="116"/>
  <c r="D58" i="118"/>
  <c r="E57" i="118"/>
  <c r="F55" i="116"/>
  <c r="G56" i="116" l="1"/>
  <c r="D58" i="116"/>
  <c r="E57" i="116"/>
  <c r="F56" i="116"/>
  <c r="D59" i="118"/>
  <c r="E58" i="118"/>
  <c r="D59" i="117"/>
  <c r="E58" i="117"/>
  <c r="G57" i="116" l="1"/>
  <c r="F57" i="116"/>
  <c r="E58" i="116"/>
  <c r="D59" i="116"/>
  <c r="D60" i="117"/>
  <c r="E59" i="117"/>
  <c r="D60" i="118"/>
  <c r="E59" i="118"/>
  <c r="G58" i="116" l="1"/>
  <c r="D61" i="117"/>
  <c r="E60" i="117"/>
  <c r="D61" i="118"/>
  <c r="E60" i="118"/>
  <c r="D60" i="116"/>
  <c r="E59" i="116"/>
  <c r="F58" i="116"/>
  <c r="G59" i="116" l="1"/>
  <c r="D61" i="116"/>
  <c r="E60" i="116"/>
  <c r="D62" i="118"/>
  <c r="E61" i="118"/>
  <c r="D62" i="117"/>
  <c r="E61" i="117"/>
  <c r="F59" i="116"/>
  <c r="G60" i="116" l="1"/>
  <c r="F60" i="116"/>
  <c r="D63" i="117"/>
  <c r="E62" i="117"/>
  <c r="D63" i="118"/>
  <c r="E62" i="118"/>
  <c r="E61" i="116"/>
  <c r="D62" i="116"/>
  <c r="G61" i="116" l="1"/>
  <c r="D63" i="116"/>
  <c r="E62" i="116"/>
  <c r="D64" i="118"/>
  <c r="E63" i="118"/>
  <c r="D64" i="117"/>
  <c r="E63" i="117"/>
  <c r="F61" i="116"/>
  <c r="G62" i="116" l="1"/>
  <c r="D65" i="118"/>
  <c r="E64" i="118"/>
  <c r="D65" i="117"/>
  <c r="E64" i="117"/>
  <c r="F62" i="116"/>
  <c r="E63" i="116"/>
  <c r="D64" i="116"/>
  <c r="G63" i="116" l="1"/>
  <c r="D66" i="117"/>
  <c r="E65" i="117"/>
  <c r="D66" i="118"/>
  <c r="E65" i="118"/>
  <c r="E64" i="116"/>
  <c r="D65" i="116"/>
  <c r="F63" i="116"/>
  <c r="G64" i="116" l="1"/>
  <c r="D67" i="117"/>
  <c r="E66" i="117"/>
  <c r="D67" i="118"/>
  <c r="E66" i="118"/>
  <c r="F64" i="116"/>
  <c r="D66" i="116"/>
  <c r="E65" i="116"/>
  <c r="G65" i="116" l="1"/>
  <c r="D68" i="118"/>
  <c r="E67" i="118"/>
  <c r="E66" i="116"/>
  <c r="D67" i="116"/>
  <c r="F65" i="116"/>
  <c r="D68" i="117"/>
  <c r="E67" i="117"/>
  <c r="G66" i="116" l="1"/>
  <c r="AH6" i="118" a="1"/>
  <c r="AH6" i="118" s="1"/>
  <c r="S6" i="118" a="1"/>
  <c r="S6" i="118" s="1"/>
  <c r="D69" i="117"/>
  <c r="E68" i="117"/>
  <c r="D68" i="116"/>
  <c r="E67" i="116"/>
  <c r="D69" i="118"/>
  <c r="E68" i="118"/>
  <c r="F66" i="116"/>
  <c r="G67" i="116" l="1"/>
  <c r="R6" i="117"/>
  <c r="AG6" i="117"/>
  <c r="D70" i="117"/>
  <c r="E69" i="117"/>
  <c r="D70" i="118"/>
  <c r="E69" i="118"/>
  <c r="D69" i="116"/>
  <c r="E68" i="116"/>
  <c r="F67" i="116"/>
  <c r="G68" i="116" l="1"/>
  <c r="AE6" i="117"/>
  <c r="P6" i="117"/>
  <c r="Q6" i="117"/>
  <c r="AF6" i="117"/>
  <c r="E69" i="116"/>
  <c r="D70" i="116"/>
  <c r="F68" i="116"/>
  <c r="D71" i="118"/>
  <c r="E70" i="118"/>
  <c r="D71" i="117"/>
  <c r="E70" i="117"/>
  <c r="G69" i="116" l="1"/>
  <c r="D72" i="117"/>
  <c r="E71" i="117"/>
  <c r="D71" i="116"/>
  <c r="E70" i="116"/>
  <c r="D72" i="118"/>
  <c r="E71" i="118"/>
  <c r="F69" i="116"/>
  <c r="G70" i="116" l="1"/>
  <c r="E71" i="116"/>
  <c r="D72" i="116"/>
  <c r="F70" i="116"/>
  <c r="D73" i="117"/>
  <c r="E72" i="117"/>
  <c r="D73" i="118"/>
  <c r="E72" i="118"/>
  <c r="D2" i="112"/>
  <c r="G2" i="112"/>
  <c r="H2" i="112" s="1"/>
  <c r="H3" i="112"/>
  <c r="I3" i="112" s="1"/>
  <c r="S3" i="112"/>
  <c r="T3" i="112" s="1"/>
  <c r="U3" i="112" s="1"/>
  <c r="G8" i="112"/>
  <c r="R8" i="112"/>
  <c r="E11" i="112"/>
  <c r="D12" i="112"/>
  <c r="D2" i="111"/>
  <c r="G2" i="111"/>
  <c r="H2" i="111" s="1"/>
  <c r="I2" i="111" s="1"/>
  <c r="J2" i="111" s="1"/>
  <c r="H3" i="111"/>
  <c r="H8" i="111" s="1"/>
  <c r="S3" i="111"/>
  <c r="T3" i="111" s="1"/>
  <c r="G8" i="111"/>
  <c r="R8" i="111"/>
  <c r="E11" i="111"/>
  <c r="D12" i="111"/>
  <c r="E12" i="111" s="1"/>
  <c r="D2" i="110"/>
  <c r="I2" i="110"/>
  <c r="I6" i="110" s="1"/>
  <c r="J3" i="110"/>
  <c r="K3" i="110" s="1"/>
  <c r="K7" i="110" s="1"/>
  <c r="Z3" i="110"/>
  <c r="AA3" i="110" s="1"/>
  <c r="AA7" i="110" s="1"/>
  <c r="I7" i="110"/>
  <c r="Y7" i="110"/>
  <c r="E10" i="110"/>
  <c r="S10" i="110"/>
  <c r="T10" i="110"/>
  <c r="U10" i="110"/>
  <c r="AI10" i="110"/>
  <c r="AJ10" i="110"/>
  <c r="AK10" i="110"/>
  <c r="D11" i="110"/>
  <c r="L2" i="109"/>
  <c r="M2" i="109" s="1"/>
  <c r="X2" i="109"/>
  <c r="Y2" i="109" s="1"/>
  <c r="K4" i="109" a="1"/>
  <c r="K4" i="109" s="1"/>
  <c r="W4" i="109" a="1"/>
  <c r="W4" i="109" s="1"/>
  <c r="F7" i="109"/>
  <c r="G7" i="109" a="1"/>
  <c r="G7" i="109" s="1"/>
  <c r="D8" i="109"/>
  <c r="G8" i="109" s="1" a="1"/>
  <c r="G8" i="109" s="1"/>
  <c r="E8" i="109"/>
  <c r="E9" i="109" s="1"/>
  <c r="V10" i="110" l="1"/>
  <c r="AL10" i="110"/>
  <c r="S8" i="111"/>
  <c r="D13" i="111"/>
  <c r="E13" i="111" s="1"/>
  <c r="Z7" i="110"/>
  <c r="L3" i="110"/>
  <c r="F8" i="109"/>
  <c r="J7" i="110"/>
  <c r="AB3" i="110"/>
  <c r="AC3" i="110" s="1"/>
  <c r="E10" i="109"/>
  <c r="F10" i="109" s="1"/>
  <c r="F9" i="109"/>
  <c r="G7" i="112"/>
  <c r="I3" i="111"/>
  <c r="I8" i="111" s="1"/>
  <c r="S8" i="112"/>
  <c r="D9" i="109"/>
  <c r="D14" i="111"/>
  <c r="D15" i="111" s="1"/>
  <c r="H8" i="112"/>
  <c r="G7" i="111"/>
  <c r="I10" i="110"/>
  <c r="G71" i="116"/>
  <c r="F71" i="116"/>
  <c r="D74" i="117"/>
  <c r="E73" i="117"/>
  <c r="D74" i="118"/>
  <c r="E73" i="118"/>
  <c r="E72" i="116"/>
  <c r="D73" i="116"/>
  <c r="M4" i="109" a="1"/>
  <c r="M4" i="109" s="1"/>
  <c r="N2" i="109"/>
  <c r="Z2" i="109"/>
  <c r="Y4" i="109" a="1"/>
  <c r="Y4" i="109" s="1"/>
  <c r="L4" i="109" a="1"/>
  <c r="L4" i="109" s="1"/>
  <c r="X4" i="109" a="1"/>
  <c r="X4" i="109" s="1"/>
  <c r="J2" i="110"/>
  <c r="K2" i="110" s="1"/>
  <c r="L2" i="110" s="1"/>
  <c r="L7" i="110"/>
  <c r="M3" i="110"/>
  <c r="E11" i="110"/>
  <c r="D12" i="110"/>
  <c r="U3" i="111"/>
  <c r="T8" i="111"/>
  <c r="K2" i="111"/>
  <c r="V3" i="112"/>
  <c r="U8" i="112"/>
  <c r="T8" i="112"/>
  <c r="J3" i="112"/>
  <c r="I8" i="112"/>
  <c r="I2" i="112"/>
  <c r="D13" i="112"/>
  <c r="E12" i="112"/>
  <c r="E11" i="109" l="1"/>
  <c r="AB7" i="110"/>
  <c r="J3" i="111"/>
  <c r="E14" i="111"/>
  <c r="E15" i="111"/>
  <c r="D16" i="111"/>
  <c r="G9" i="109" a="1"/>
  <c r="G9" i="109" s="1"/>
  <c r="D10" i="109"/>
  <c r="G72" i="116"/>
  <c r="H10" i="110"/>
  <c r="D75" i="118"/>
  <c r="E74" i="118"/>
  <c r="D74" i="116"/>
  <c r="E73" i="116"/>
  <c r="D75" i="117"/>
  <c r="E74" i="117"/>
  <c r="F72" i="116"/>
  <c r="J2" i="112"/>
  <c r="W3" i="112"/>
  <c r="V8" i="112"/>
  <c r="L2" i="111"/>
  <c r="E13" i="112"/>
  <c r="D14" i="112"/>
  <c r="M2" i="110"/>
  <c r="N2" i="110" s="1"/>
  <c r="O2" i="110" s="1"/>
  <c r="P2" i="110" s="1"/>
  <c r="L10" i="110"/>
  <c r="Z4" i="109" a="1"/>
  <c r="Z4" i="109" s="1"/>
  <c r="AA2" i="109"/>
  <c r="K3" i="111"/>
  <c r="J8" i="111"/>
  <c r="V3" i="111"/>
  <c r="U8" i="111"/>
  <c r="N3" i="110"/>
  <c r="M7" i="110"/>
  <c r="E12" i="110"/>
  <c r="D13" i="110"/>
  <c r="AC7" i="110"/>
  <c r="AD3" i="110"/>
  <c r="E12" i="109"/>
  <c r="F11" i="109"/>
  <c r="N4" i="109" a="1"/>
  <c r="N4" i="109" s="1"/>
  <c r="O2" i="109"/>
  <c r="K3" i="112"/>
  <c r="J8" i="112"/>
  <c r="E16" i="109"/>
  <c r="Z16" i="109" s="1"/>
  <c r="G16" i="109" a="1"/>
  <c r="G16" i="109" s="1"/>
  <c r="D17" i="109"/>
  <c r="D18" i="109" s="1"/>
  <c r="E17" i="109"/>
  <c r="R10" i="110" l="1"/>
  <c r="F16" i="109"/>
  <c r="G10" i="109" a="1"/>
  <c r="G10" i="109" s="1"/>
  <c r="D11" i="109"/>
  <c r="E16" i="111"/>
  <c r="D17" i="111"/>
  <c r="AA16" i="109"/>
  <c r="D19" i="109"/>
  <c r="D20" i="109" s="1"/>
  <c r="G17" i="109" a="1"/>
  <c r="G17" i="109" s="1"/>
  <c r="AA17" i="109"/>
  <c r="Z17" i="109"/>
  <c r="W17" i="109"/>
  <c r="H11" i="110"/>
  <c r="G73" i="116"/>
  <c r="D76" i="118"/>
  <c r="E75" i="118"/>
  <c r="F73" i="116"/>
  <c r="D76" i="117"/>
  <c r="E75" i="117"/>
  <c r="E74" i="116"/>
  <c r="D75" i="116"/>
  <c r="R2" i="110"/>
  <c r="Q2" i="110"/>
  <c r="Y2" i="110" s="1"/>
  <c r="Y6" i="110" s="1"/>
  <c r="O3" i="110"/>
  <c r="N7" i="110"/>
  <c r="G18" i="109" a="1"/>
  <c r="G18" i="109" s="1"/>
  <c r="E13" i="110"/>
  <c r="D14" i="110"/>
  <c r="L3" i="112"/>
  <c r="K8" i="112"/>
  <c r="E18" i="109"/>
  <c r="W18" i="109" s="1"/>
  <c r="F17" i="109"/>
  <c r="F12" i="109"/>
  <c r="E13" i="109"/>
  <c r="L3" i="111"/>
  <c r="K8" i="111"/>
  <c r="M2" i="111"/>
  <c r="X3" i="112"/>
  <c r="W8" i="112"/>
  <c r="O4" i="109" a="1"/>
  <c r="O4" i="109" s="1"/>
  <c r="P2" i="109"/>
  <c r="D15" i="112"/>
  <c r="E14" i="112"/>
  <c r="AE3" i="110"/>
  <c r="AD7" i="110"/>
  <c r="W3" i="111"/>
  <c r="V8" i="111"/>
  <c r="AB2" i="109"/>
  <c r="AB17" i="109" s="1"/>
  <c r="AA4" i="109" a="1"/>
  <c r="AA4" i="109" s="1"/>
  <c r="K2" i="112"/>
  <c r="G19" i="109" l="1" a="1"/>
  <c r="G19" i="109" s="1"/>
  <c r="AA18" i="109"/>
  <c r="E17" i="111"/>
  <c r="D18" i="111"/>
  <c r="D12" i="109"/>
  <c r="G11" i="109" a="1"/>
  <c r="G11" i="109" s="1"/>
  <c r="AB16" i="109"/>
  <c r="AB18" i="109"/>
  <c r="Z18" i="109"/>
  <c r="H12" i="110"/>
  <c r="G74" i="116"/>
  <c r="F74" i="116"/>
  <c r="D77" i="117"/>
  <c r="E76" i="117"/>
  <c r="D77" i="118"/>
  <c r="E76" i="118"/>
  <c r="D76" i="116"/>
  <c r="E75" i="116"/>
  <c r="Z2" i="110"/>
  <c r="AA2" i="110" s="1"/>
  <c r="AB2" i="110" s="1"/>
  <c r="Y10" i="110"/>
  <c r="L2" i="112"/>
  <c r="E15" i="112"/>
  <c r="D16" i="112"/>
  <c r="P3" i="110"/>
  <c r="O7" i="110"/>
  <c r="X3" i="111"/>
  <c r="W8" i="111"/>
  <c r="N2" i="111"/>
  <c r="F13" i="109"/>
  <c r="E14" i="109"/>
  <c r="E15" i="109"/>
  <c r="AF3" i="110"/>
  <c r="AE7" i="110"/>
  <c r="M3" i="112"/>
  <c r="L8" i="112"/>
  <c r="E14" i="110"/>
  <c r="D15" i="110"/>
  <c r="D21" i="109"/>
  <c r="G20" i="109" a="1"/>
  <c r="G20" i="109" s="1"/>
  <c r="AC2" i="109"/>
  <c r="AB4" i="109" a="1"/>
  <c r="AB4" i="109" s="1"/>
  <c r="P4" i="109" a="1"/>
  <c r="P4" i="109" s="1"/>
  <c r="Q2" i="109"/>
  <c r="M3" i="111"/>
  <c r="L8" i="111"/>
  <c r="F18" i="109"/>
  <c r="E19" i="109"/>
  <c r="Y3" i="112"/>
  <c r="X8" i="112"/>
  <c r="E25" i="109"/>
  <c r="G25" i="109" a="1"/>
  <c r="G25" i="109" s="1"/>
  <c r="D26" i="109"/>
  <c r="G26" i="109" s="1" a="1"/>
  <c r="G26" i="109" s="1"/>
  <c r="G12" i="109" l="1" a="1"/>
  <c r="G12" i="109" s="1"/>
  <c r="D13" i="109"/>
  <c r="D19" i="111"/>
  <c r="E18" i="111"/>
  <c r="AC25" i="109"/>
  <c r="AC16" i="109"/>
  <c r="D27" i="109"/>
  <c r="D28" i="109" s="1"/>
  <c r="AC19" i="109"/>
  <c r="Z25" i="109"/>
  <c r="AA25" i="109"/>
  <c r="AB25" i="109"/>
  <c r="G75" i="116"/>
  <c r="H13" i="110"/>
  <c r="F75" i="116"/>
  <c r="D78" i="118"/>
  <c r="E77" i="118"/>
  <c r="D78" i="117"/>
  <c r="E77" i="117"/>
  <c r="D77" i="116"/>
  <c r="E76" i="116"/>
  <c r="R2" i="109"/>
  <c r="Q4" i="109" a="1"/>
  <c r="Q4" i="109" s="1"/>
  <c r="Q3" i="110"/>
  <c r="Q7" i="110" s="1"/>
  <c r="P7" i="110"/>
  <c r="E20" i="109"/>
  <c r="W20" i="109" s="1"/>
  <c r="F19" i="109"/>
  <c r="O2" i="111"/>
  <c r="M2" i="112"/>
  <c r="E15" i="110"/>
  <c r="D16" i="110"/>
  <c r="N3" i="111"/>
  <c r="M8" i="111"/>
  <c r="AG3" i="110"/>
  <c r="AG7" i="110" s="1"/>
  <c r="AF7" i="110"/>
  <c r="E16" i="112"/>
  <c r="D17" i="112"/>
  <c r="AB10" i="110"/>
  <c r="AH10" i="110" s="1"/>
  <c r="AC2" i="110"/>
  <c r="AD2" i="110" s="1"/>
  <c r="AE2" i="110" s="1"/>
  <c r="AF2" i="110" s="1"/>
  <c r="N3" i="112"/>
  <c r="M8" i="112"/>
  <c r="Z3" i="112"/>
  <c r="Y8" i="112"/>
  <c r="E26" i="109"/>
  <c r="AB26" i="109" s="1"/>
  <c r="F25" i="109"/>
  <c r="AC4" i="109" a="1"/>
  <c r="AC4" i="109" s="1"/>
  <c r="AD2" i="109"/>
  <c r="F15" i="109"/>
  <c r="Y3" i="111"/>
  <c r="X8" i="111"/>
  <c r="F14" i="109"/>
  <c r="G21" i="109" a="1"/>
  <c r="G21" i="109" s="1"/>
  <c r="D22" i="109"/>
  <c r="G27" i="109" l="1" a="1"/>
  <c r="G27" i="109" s="1"/>
  <c r="E19" i="111"/>
  <c r="D20" i="111"/>
  <c r="G13" i="109" a="1"/>
  <c r="G13" i="109" s="1"/>
  <c r="D14" i="109"/>
  <c r="AD16" i="109"/>
  <c r="AD25" i="109"/>
  <c r="AD18" i="109"/>
  <c r="AD17" i="109"/>
  <c r="AD20" i="109"/>
  <c r="AD19" i="109"/>
  <c r="W26" i="109"/>
  <c r="Z26" i="109"/>
  <c r="AA26" i="109"/>
  <c r="AD26" i="109"/>
  <c r="G76" i="116"/>
  <c r="H14" i="110"/>
  <c r="F76" i="116"/>
  <c r="E77" i="116"/>
  <c r="D78" i="116"/>
  <c r="D79" i="118"/>
  <c r="E78" i="118"/>
  <c r="D79" i="117"/>
  <c r="E78" i="117"/>
  <c r="Z8" i="112"/>
  <c r="O3" i="111"/>
  <c r="N8" i="111"/>
  <c r="E16" i="110"/>
  <c r="D17" i="110"/>
  <c r="R2" i="111"/>
  <c r="R7" i="111" s="1"/>
  <c r="N2" i="112"/>
  <c r="O3" i="112"/>
  <c r="N8" i="112"/>
  <c r="AD4" i="109" a="1"/>
  <c r="AD4" i="109" s="1"/>
  <c r="AE2" i="109"/>
  <c r="G22" i="109" a="1"/>
  <c r="G22" i="109" s="1"/>
  <c r="D23" i="109"/>
  <c r="Z3" i="111"/>
  <c r="Y8" i="111"/>
  <c r="F26" i="109"/>
  <c r="E27" i="109"/>
  <c r="Z27" i="109" s="1"/>
  <c r="AG2" i="110"/>
  <c r="AH2" i="110"/>
  <c r="D18" i="112"/>
  <c r="E17" i="112"/>
  <c r="R4" i="109" a="1"/>
  <c r="R4" i="109" s="1"/>
  <c r="S2" i="109"/>
  <c r="E21" i="109"/>
  <c r="W21" i="109" s="1"/>
  <c r="F20" i="109"/>
  <c r="D29" i="109"/>
  <c r="G28" i="109" a="1"/>
  <c r="G28" i="109" s="1"/>
  <c r="AB27" i="109" l="1"/>
  <c r="AD27" i="109"/>
  <c r="D15" i="109"/>
  <c r="G15" i="109" s="1" a="1"/>
  <c r="G15" i="109" s="1"/>
  <c r="G14" i="109" a="1"/>
  <c r="G14" i="109" s="1"/>
  <c r="D21" i="111"/>
  <c r="E20" i="111"/>
  <c r="F20" i="111" s="1"/>
  <c r="AA27" i="109"/>
  <c r="AD21" i="109"/>
  <c r="W27" i="109"/>
  <c r="G77" i="116"/>
  <c r="H15" i="110"/>
  <c r="D80" i="118"/>
  <c r="E79" i="118"/>
  <c r="D79" i="116"/>
  <c r="E78" i="116"/>
  <c r="F77" i="116"/>
  <c r="D80" i="117"/>
  <c r="E79" i="117"/>
  <c r="S4" i="109" a="1"/>
  <c r="S4" i="109" s="1"/>
  <c r="Z8" i="111"/>
  <c r="E17" i="110"/>
  <c r="D18" i="110"/>
  <c r="F27" i="109"/>
  <c r="E28" i="109"/>
  <c r="G29" i="109" a="1"/>
  <c r="G29" i="109" s="1"/>
  <c r="D30" i="109"/>
  <c r="G23" i="109" a="1"/>
  <c r="G23" i="109" s="1"/>
  <c r="D24" i="109"/>
  <c r="G24" i="109" s="1" a="1"/>
  <c r="G24" i="109" s="1"/>
  <c r="E22" i="109"/>
  <c r="W22" i="109" s="1"/>
  <c r="F21" i="109"/>
  <c r="D19" i="112"/>
  <c r="F19" i="112" s="1"/>
  <c r="E18" i="112"/>
  <c r="F17" i="112"/>
  <c r="F15" i="112"/>
  <c r="F13" i="112"/>
  <c r="F11" i="112"/>
  <c r="F16" i="112"/>
  <c r="F18" i="112"/>
  <c r="F12" i="112"/>
  <c r="F14" i="112"/>
  <c r="F15" i="111"/>
  <c r="F14" i="111"/>
  <c r="F13" i="111"/>
  <c r="F12" i="111"/>
  <c r="F11" i="111"/>
  <c r="F16" i="111"/>
  <c r="F19" i="111"/>
  <c r="F17" i="111"/>
  <c r="F18" i="111"/>
  <c r="F10" i="110"/>
  <c r="F12" i="110"/>
  <c r="F14" i="110"/>
  <c r="F11" i="110"/>
  <c r="F13" i="110"/>
  <c r="F16" i="110"/>
  <c r="F15" i="110"/>
  <c r="AE4" i="109" a="1"/>
  <c r="AE4" i="109" s="1"/>
  <c r="AF2" i="109"/>
  <c r="AG2" i="109" s="1"/>
  <c r="O2" i="112"/>
  <c r="O8" i="112"/>
  <c r="O8" i="111"/>
  <c r="S2" i="111"/>
  <c r="E21" i="111" l="1"/>
  <c r="F21" i="111" s="1"/>
  <c r="D22" i="111"/>
  <c r="AD28" i="109"/>
  <c r="AC28" i="109"/>
  <c r="H16" i="110"/>
  <c r="G78" i="116"/>
  <c r="D81" i="117"/>
  <c r="E80" i="117"/>
  <c r="F78" i="116"/>
  <c r="E79" i="116"/>
  <c r="D80" i="116"/>
  <c r="D81" i="118"/>
  <c r="E80" i="118"/>
  <c r="F28" i="109"/>
  <c r="E29" i="109"/>
  <c r="D19" i="110"/>
  <c r="E18" i="110"/>
  <c r="F17" i="110"/>
  <c r="D20" i="112"/>
  <c r="E19" i="112"/>
  <c r="G30" i="109" a="1"/>
  <c r="G30" i="109" s="1"/>
  <c r="D31" i="109"/>
  <c r="R2" i="112"/>
  <c r="R7" i="112" s="1"/>
  <c r="T2" i="111"/>
  <c r="E23" i="109"/>
  <c r="W23" i="109" s="1"/>
  <c r="E24" i="109"/>
  <c r="F22" i="109"/>
  <c r="E22" i="111" l="1"/>
  <c r="F22" i="111" s="1"/>
  <c r="D23" i="111"/>
  <c r="AD29" i="109"/>
  <c r="W29" i="109"/>
  <c r="H17" i="110"/>
  <c r="G79" i="116"/>
  <c r="D82" i="117"/>
  <c r="E81" i="117"/>
  <c r="F79" i="116"/>
  <c r="E80" i="116"/>
  <c r="D81" i="116"/>
  <c r="D82" i="118"/>
  <c r="E81" i="118"/>
  <c r="U2" i="111"/>
  <c r="E19" i="110"/>
  <c r="D20" i="110"/>
  <c r="S2" i="112"/>
  <c r="F23" i="109"/>
  <c r="F29" i="109"/>
  <c r="E30" i="109"/>
  <c r="D21" i="112"/>
  <c r="E20" i="112"/>
  <c r="F20" i="112"/>
  <c r="D32" i="109"/>
  <c r="G31" i="109" a="1"/>
  <c r="G31" i="109" s="1"/>
  <c r="F24" i="109"/>
  <c r="F18" i="110"/>
  <c r="Y24" i="109"/>
  <c r="W24" i="109"/>
  <c r="X24" i="109"/>
  <c r="E23" i="111" l="1"/>
  <c r="F23" i="111" s="1"/>
  <c r="D24" i="111"/>
  <c r="W30" i="109"/>
  <c r="AD30" i="109"/>
  <c r="H18" i="110"/>
  <c r="G80" i="116"/>
  <c r="D82" i="116"/>
  <c r="E81" i="116"/>
  <c r="D83" i="118"/>
  <c r="E82" i="118"/>
  <c r="F80" i="116"/>
  <c r="D83" i="117"/>
  <c r="E82" i="117"/>
  <c r="T2" i="112"/>
  <c r="G32" i="109" a="1"/>
  <c r="G32" i="109" s="1"/>
  <c r="D33" i="109"/>
  <c r="G33" i="109" s="1" a="1"/>
  <c r="G33" i="109" s="1"/>
  <c r="D22" i="112"/>
  <c r="E21" i="112"/>
  <c r="F21" i="112"/>
  <c r="E20" i="110"/>
  <c r="D21" i="110"/>
  <c r="F19" i="110"/>
  <c r="V2" i="111"/>
  <c r="F30" i="109"/>
  <c r="E31" i="109"/>
  <c r="W31" i="109" s="1"/>
  <c r="D25" i="111" l="1"/>
  <c r="E24" i="111"/>
  <c r="F24" i="111" s="1"/>
  <c r="H19" i="110"/>
  <c r="G81" i="116"/>
  <c r="D84" i="117"/>
  <c r="E83" i="117"/>
  <c r="D84" i="118"/>
  <c r="E83" i="118"/>
  <c r="F81" i="116"/>
  <c r="E82" i="116"/>
  <c r="D83" i="116"/>
  <c r="W2" i="111"/>
  <c r="F20" i="110"/>
  <c r="D23" i="112"/>
  <c r="E22" i="112"/>
  <c r="F22" i="112"/>
  <c r="E32" i="109"/>
  <c r="W32" i="109" s="1"/>
  <c r="F31" i="109"/>
  <c r="E33" i="109"/>
  <c r="E21" i="110"/>
  <c r="D22" i="110"/>
  <c r="U2" i="112"/>
  <c r="G19" i="110"/>
  <c r="D26" i="111" l="1"/>
  <c r="E25" i="111"/>
  <c r="F25" i="111" s="1"/>
  <c r="H20" i="110"/>
  <c r="G82" i="116"/>
  <c r="D85" i="117"/>
  <c r="E84" i="117"/>
  <c r="D84" i="116"/>
  <c r="E83" i="116"/>
  <c r="F82" i="116"/>
  <c r="D85" i="118"/>
  <c r="E84" i="118"/>
  <c r="F21" i="110"/>
  <c r="G21" i="110" s="1"/>
  <c r="E23" i="112"/>
  <c r="D24" i="112"/>
  <c r="F23" i="112"/>
  <c r="E22" i="110"/>
  <c r="D23" i="110"/>
  <c r="G10" i="110"/>
  <c r="G11" i="110"/>
  <c r="G16" i="110"/>
  <c r="G14" i="110"/>
  <c r="G13" i="110"/>
  <c r="G15" i="110"/>
  <c r="G12" i="110"/>
  <c r="G17" i="110"/>
  <c r="G18" i="110"/>
  <c r="V2" i="112"/>
  <c r="F33" i="109"/>
  <c r="F32" i="109"/>
  <c r="G20" i="110"/>
  <c r="X2" i="111"/>
  <c r="Y33" i="109"/>
  <c r="W33" i="109"/>
  <c r="X33" i="109"/>
  <c r="E26" i="111" l="1"/>
  <c r="F26" i="111" s="1"/>
  <c r="D27" i="111"/>
  <c r="G83" i="116"/>
  <c r="H21" i="110"/>
  <c r="D85" i="116"/>
  <c r="E84" i="116"/>
  <c r="F83" i="116"/>
  <c r="D86" i="117"/>
  <c r="E85" i="117"/>
  <c r="D86" i="118"/>
  <c r="E85" i="118"/>
  <c r="E23" i="110"/>
  <c r="D24" i="110"/>
  <c r="F22" i="110"/>
  <c r="G22" i="110" s="1"/>
  <c r="Y2" i="111"/>
  <c r="E24" i="112"/>
  <c r="D25" i="112"/>
  <c r="F24" i="112"/>
  <c r="W2" i="112"/>
  <c r="E27" i="111" l="1"/>
  <c r="F27" i="111" s="1"/>
  <c r="D28" i="111"/>
  <c r="G84" i="116"/>
  <c r="H22" i="110"/>
  <c r="Y22" i="109"/>
  <c r="Y16" i="109"/>
  <c r="E85" i="116"/>
  <c r="D86" i="116"/>
  <c r="D87" i="117"/>
  <c r="E86" i="117"/>
  <c r="D87" i="118"/>
  <c r="E86" i="118"/>
  <c r="F84" i="116"/>
  <c r="F23" i="110"/>
  <c r="G23" i="110" s="1"/>
  <c r="E24" i="110"/>
  <c r="D25" i="110"/>
  <c r="E25" i="112"/>
  <c r="D26" i="112"/>
  <c r="F25" i="112"/>
  <c r="Z2" i="111"/>
  <c r="X2" i="112"/>
  <c r="E28" i="111" l="1"/>
  <c r="F28" i="111" s="1"/>
  <c r="D29" i="111"/>
  <c r="H23" i="110"/>
  <c r="G85" i="116"/>
  <c r="Y31" i="109"/>
  <c r="Y25" i="109"/>
  <c r="D87" i="116"/>
  <c r="E86" i="116"/>
  <c r="F85" i="116"/>
  <c r="D88" i="118"/>
  <c r="E87" i="118"/>
  <c r="D88" i="117"/>
  <c r="E87" i="117"/>
  <c r="E25" i="110"/>
  <c r="D26" i="110"/>
  <c r="E26" i="112"/>
  <c r="D27" i="112"/>
  <c r="F26" i="112"/>
  <c r="F24" i="110"/>
  <c r="G24" i="110" s="1"/>
  <c r="Y2" i="112"/>
  <c r="D30" i="111" l="1"/>
  <c r="E29" i="111"/>
  <c r="F29" i="111" s="1"/>
  <c r="H24" i="110"/>
  <c r="G86" i="116"/>
  <c r="F86" i="116"/>
  <c r="E87" i="116"/>
  <c r="D88" i="116"/>
  <c r="D89" i="117"/>
  <c r="E88" i="117"/>
  <c r="D89" i="118"/>
  <c r="E88" i="118"/>
  <c r="D27" i="110"/>
  <c r="E26" i="110"/>
  <c r="F25" i="110"/>
  <c r="G25" i="110" s="1"/>
  <c r="Z2" i="112"/>
  <c r="E27" i="112"/>
  <c r="D28" i="112"/>
  <c r="F27" i="112"/>
  <c r="D31" i="111" l="1"/>
  <c r="E30" i="111"/>
  <c r="F30" i="111" s="1"/>
  <c r="H25" i="110"/>
  <c r="G87" i="116"/>
  <c r="E88" i="116"/>
  <c r="D89" i="116"/>
  <c r="F87" i="116"/>
  <c r="D90" i="118"/>
  <c r="E89" i="118"/>
  <c r="D90" i="117"/>
  <c r="E89" i="117"/>
  <c r="D29" i="112"/>
  <c r="E28" i="112"/>
  <c r="F28" i="112"/>
  <c r="F26" i="110"/>
  <c r="G26" i="110" s="1"/>
  <c r="E27" i="110"/>
  <c r="D28" i="110"/>
  <c r="D32" i="111" l="1"/>
  <c r="E31" i="111"/>
  <c r="F31" i="111" s="1"/>
  <c r="H26" i="110"/>
  <c r="G88" i="116"/>
  <c r="F88" i="116"/>
  <c r="D91" i="117"/>
  <c r="E90" i="117"/>
  <c r="D90" i="116"/>
  <c r="E89" i="116"/>
  <c r="D91" i="118"/>
  <c r="E90" i="118"/>
  <c r="E29" i="112"/>
  <c r="D30" i="112"/>
  <c r="F29" i="112"/>
  <c r="F27" i="110"/>
  <c r="G27" i="110" s="1"/>
  <c r="E28" i="110"/>
  <c r="D29" i="110"/>
  <c r="D33" i="111" l="1"/>
  <c r="E32" i="111"/>
  <c r="F32" i="111" s="1"/>
  <c r="H27" i="110"/>
  <c r="G89" i="116"/>
  <c r="AE22" i="109"/>
  <c r="AE16" i="109"/>
  <c r="D92" i="117"/>
  <c r="E91" i="117"/>
  <c r="D92" i="118"/>
  <c r="E91" i="118"/>
  <c r="E90" i="116"/>
  <c r="D91" i="116"/>
  <c r="F89" i="116"/>
  <c r="D31" i="112"/>
  <c r="E30" i="112"/>
  <c r="F30" i="112"/>
  <c r="E29" i="110"/>
  <c r="D30" i="110"/>
  <c r="F28" i="110"/>
  <c r="G28" i="110" s="1"/>
  <c r="E33" i="111" l="1"/>
  <c r="F33" i="111" s="1"/>
  <c r="D34" i="111"/>
  <c r="G90" i="116"/>
  <c r="H28" i="110"/>
  <c r="D93" i="117"/>
  <c r="E92" i="117"/>
  <c r="D92" i="116"/>
  <c r="E91" i="116"/>
  <c r="D93" i="118"/>
  <c r="E92" i="118"/>
  <c r="F90" i="116"/>
  <c r="E31" i="112"/>
  <c r="D32" i="112"/>
  <c r="F31" i="112"/>
  <c r="E30" i="110"/>
  <c r="H29" i="110" s="1"/>
  <c r="D31" i="110"/>
  <c r="F29" i="110"/>
  <c r="G29" i="110" s="1"/>
  <c r="D35" i="111" l="1"/>
  <c r="E34" i="111"/>
  <c r="F34" i="111" s="1"/>
  <c r="G91" i="116"/>
  <c r="D94" i="117"/>
  <c r="E93" i="117"/>
  <c r="F91" i="116"/>
  <c r="D93" i="116"/>
  <c r="E92" i="116"/>
  <c r="D94" i="118"/>
  <c r="E93" i="118"/>
  <c r="E31" i="110"/>
  <c r="D32" i="110"/>
  <c r="E32" i="112"/>
  <c r="D33" i="112"/>
  <c r="F32" i="112"/>
  <c r="F30" i="110"/>
  <c r="G30" i="110" s="1"/>
  <c r="D36" i="111" l="1"/>
  <c r="E35" i="111"/>
  <c r="F35" i="111" s="1"/>
  <c r="H30" i="110"/>
  <c r="G92" i="116"/>
  <c r="AE31" i="109"/>
  <c r="AE25" i="109"/>
  <c r="D95" i="118"/>
  <c r="E94" i="118"/>
  <c r="E93" i="116"/>
  <c r="D94" i="116"/>
  <c r="F92" i="116"/>
  <c r="D95" i="117"/>
  <c r="E94" i="117"/>
  <c r="E33" i="112"/>
  <c r="D34" i="112"/>
  <c r="F33" i="112"/>
  <c r="E32" i="110"/>
  <c r="H31" i="110" s="1"/>
  <c r="D33" i="110"/>
  <c r="F31" i="110"/>
  <c r="G31" i="110" s="1"/>
  <c r="E36" i="111" l="1"/>
  <c r="F36" i="111" s="1"/>
  <c r="D37" i="111"/>
  <c r="G93" i="116"/>
  <c r="D96" i="118"/>
  <c r="E95" i="118"/>
  <c r="D95" i="116"/>
  <c r="E94" i="116"/>
  <c r="F93" i="116"/>
  <c r="D96" i="117"/>
  <c r="E95" i="117"/>
  <c r="D34" i="110"/>
  <c r="E33" i="110"/>
  <c r="F32" i="110"/>
  <c r="G32" i="110" s="1"/>
  <c r="E34" i="112"/>
  <c r="D35" i="112"/>
  <c r="F34" i="112"/>
  <c r="Y17" i="109"/>
  <c r="Y26" i="109"/>
  <c r="AE17" i="109"/>
  <c r="AE26" i="109"/>
  <c r="Y18" i="109"/>
  <c r="Y27" i="109"/>
  <c r="AE18" i="109"/>
  <c r="AE27" i="109"/>
  <c r="D38" i="111" l="1"/>
  <c r="E37" i="111"/>
  <c r="F37" i="111" s="1"/>
  <c r="G94" i="116"/>
  <c r="H32" i="110"/>
  <c r="F94" i="116"/>
  <c r="E95" i="116"/>
  <c r="D96" i="116"/>
  <c r="D97" i="118"/>
  <c r="E96" i="118"/>
  <c r="D97" i="117"/>
  <c r="E96" i="117"/>
  <c r="F33" i="110"/>
  <c r="G33" i="110" s="1"/>
  <c r="E35" i="112"/>
  <c r="D36" i="112"/>
  <c r="F35" i="112"/>
  <c r="E34" i="110"/>
  <c r="D35" i="110"/>
  <c r="L33" i="109"/>
  <c r="K33" i="109"/>
  <c r="W15" i="109"/>
  <c r="M15" i="109"/>
  <c r="Y15" i="109"/>
  <c r="M33" i="109"/>
  <c r="K15" i="109"/>
  <c r="M24" i="109"/>
  <c r="K24" i="109"/>
  <c r="L15" i="109"/>
  <c r="X15" i="109"/>
  <c r="L24" i="109"/>
  <c r="D39" i="111" l="1"/>
  <c r="E38" i="111"/>
  <c r="F38" i="111" s="1"/>
  <c r="H33" i="110"/>
  <c r="G95" i="116"/>
  <c r="D98" i="117"/>
  <c r="E97" i="117"/>
  <c r="F95" i="116"/>
  <c r="D98" i="118"/>
  <c r="E97" i="118"/>
  <c r="E96" i="116"/>
  <c r="D97" i="116"/>
  <c r="U15" i="109"/>
  <c r="AG15" i="109"/>
  <c r="AG24" i="109"/>
  <c r="U24" i="109"/>
  <c r="U33" i="109"/>
  <c r="AG33" i="109"/>
  <c r="D37" i="112"/>
  <c r="E36" i="112"/>
  <c r="F36" i="112"/>
  <c r="E35" i="110"/>
  <c r="D36" i="110"/>
  <c r="F34" i="110"/>
  <c r="G34" i="110" s="1"/>
  <c r="D40" i="111" l="1"/>
  <c r="E39" i="111"/>
  <c r="F39" i="111" s="1"/>
  <c r="G96" i="116"/>
  <c r="H34" i="110"/>
  <c r="F96" i="116"/>
  <c r="D99" i="118"/>
  <c r="E98" i="118"/>
  <c r="D98" i="116"/>
  <c r="E97" i="116"/>
  <c r="D99" i="117"/>
  <c r="E98" i="117"/>
  <c r="E36" i="110"/>
  <c r="D37" i="110"/>
  <c r="F35" i="110"/>
  <c r="G35" i="110" s="1"/>
  <c r="D38" i="112"/>
  <c r="E37" i="112"/>
  <c r="F37" i="112"/>
  <c r="D41" i="111" l="1"/>
  <c r="E40" i="111"/>
  <c r="F40" i="111" s="1"/>
  <c r="H35" i="110"/>
  <c r="G97" i="116"/>
  <c r="F97" i="116"/>
  <c r="E98" i="116"/>
  <c r="D99" i="116"/>
  <c r="D100" i="117"/>
  <c r="E99" i="117"/>
  <c r="D100" i="118"/>
  <c r="E99" i="118"/>
  <c r="D39" i="112"/>
  <c r="E38" i="112"/>
  <c r="F38" i="112"/>
  <c r="E37" i="110"/>
  <c r="D38" i="110"/>
  <c r="F36" i="110"/>
  <c r="G36" i="110" s="1"/>
  <c r="D42" i="111" l="1"/>
  <c r="E41" i="111"/>
  <c r="F41" i="111" s="1"/>
  <c r="G98" i="116"/>
  <c r="H36" i="110"/>
  <c r="F98" i="116"/>
  <c r="D101" i="118"/>
  <c r="E100" i="118"/>
  <c r="D101" i="117"/>
  <c r="E100" i="117"/>
  <c r="D100" i="116"/>
  <c r="E99" i="116"/>
  <c r="E39" i="112"/>
  <c r="D40" i="112"/>
  <c r="F39" i="112"/>
  <c r="D39" i="110"/>
  <c r="E38" i="110"/>
  <c r="F37" i="110"/>
  <c r="G37" i="110" s="1"/>
  <c r="D43" i="111" l="1"/>
  <c r="E42" i="111"/>
  <c r="F42" i="111" s="1"/>
  <c r="H37" i="110"/>
  <c r="G99" i="116"/>
  <c r="F99" i="116"/>
  <c r="D102" i="118"/>
  <c r="E101" i="118"/>
  <c r="D101" i="116"/>
  <c r="E100" i="116"/>
  <c r="G100" i="116" s="1"/>
  <c r="D102" i="117"/>
  <c r="E101" i="117"/>
  <c r="F38" i="110"/>
  <c r="G38" i="110" s="1"/>
  <c r="E39" i="110"/>
  <c r="D40" i="110"/>
  <c r="D41" i="112"/>
  <c r="E40" i="112"/>
  <c r="F40" i="112"/>
  <c r="E43" i="111" l="1"/>
  <c r="F43" i="111" s="1"/>
  <c r="D44" i="111"/>
  <c r="H38" i="110"/>
  <c r="X32" i="109"/>
  <c r="Y32" i="109"/>
  <c r="Y23" i="109"/>
  <c r="X23" i="109"/>
  <c r="D103" i="117"/>
  <c r="E102" i="117"/>
  <c r="D103" i="118"/>
  <c r="E102" i="118"/>
  <c r="E101" i="116"/>
  <c r="D102" i="116"/>
  <c r="F100" i="116"/>
  <c r="E40" i="110"/>
  <c r="D41" i="110"/>
  <c r="F39" i="110"/>
  <c r="G39" i="110" s="1"/>
  <c r="D42" i="112"/>
  <c r="E41" i="112"/>
  <c r="F41" i="112"/>
  <c r="D45" i="111" l="1"/>
  <c r="E44" i="111"/>
  <c r="F44" i="111" s="1"/>
  <c r="G101" i="116"/>
  <c r="H39" i="110"/>
  <c r="D104" i="117"/>
  <c r="E103" i="117"/>
  <c r="F101" i="116"/>
  <c r="D104" i="118"/>
  <c r="E103" i="118"/>
  <c r="D103" i="116"/>
  <c r="E102" i="116"/>
  <c r="E42" i="112"/>
  <c r="D43" i="112"/>
  <c r="F42" i="112"/>
  <c r="E41" i="110"/>
  <c r="D42" i="110"/>
  <c r="F40" i="110"/>
  <c r="G40" i="110" s="1"/>
  <c r="D46" i="111" l="1"/>
  <c r="E45" i="111"/>
  <c r="F45" i="111" s="1"/>
  <c r="H40" i="110"/>
  <c r="G102" i="116"/>
  <c r="F102" i="116"/>
  <c r="D105" i="118"/>
  <c r="E104" i="118"/>
  <c r="D105" i="117"/>
  <c r="E104" i="117"/>
  <c r="D104" i="116"/>
  <c r="E103" i="116"/>
  <c r="E42" i="110"/>
  <c r="D43" i="110"/>
  <c r="F41" i="110"/>
  <c r="G41" i="110" s="1"/>
  <c r="E43" i="112"/>
  <c r="D44" i="112"/>
  <c r="F43" i="112"/>
  <c r="X20" i="109"/>
  <c r="X29" i="109"/>
  <c r="Y20" i="109"/>
  <c r="Y29" i="109"/>
  <c r="X21" i="109"/>
  <c r="X30" i="109"/>
  <c r="Y21" i="109"/>
  <c r="Y30" i="109"/>
  <c r="AE21" i="109"/>
  <c r="AE30" i="109"/>
  <c r="D47" i="111" l="1"/>
  <c r="E46" i="111"/>
  <c r="F46" i="111" s="1"/>
  <c r="G103" i="116"/>
  <c r="H41" i="110"/>
  <c r="AC21" i="109"/>
  <c r="AC30" i="109"/>
  <c r="D106" i="118"/>
  <c r="E105" i="118"/>
  <c r="E104" i="116"/>
  <c r="G104" i="116" s="1"/>
  <c r="D105" i="116"/>
  <c r="F103" i="116"/>
  <c r="D106" i="117"/>
  <c r="E105" i="117"/>
  <c r="Z4" i="112"/>
  <c r="O4" i="112"/>
  <c r="Z4" i="111"/>
  <c r="O4" i="111"/>
  <c r="E44" i="112"/>
  <c r="D45" i="112"/>
  <c r="F44" i="112"/>
  <c r="D44" i="110"/>
  <c r="E43" i="110"/>
  <c r="F42" i="110"/>
  <c r="G42" i="110" s="1"/>
  <c r="E47" i="111" l="1"/>
  <c r="F47" i="111" s="1"/>
  <c r="D48" i="111"/>
  <c r="H42" i="110"/>
  <c r="S23" i="109"/>
  <c r="S32" i="109"/>
  <c r="AE11" i="109"/>
  <c r="F104" i="116"/>
  <c r="E105" i="116"/>
  <c r="G105" i="116" s="1"/>
  <c r="D106" i="116"/>
  <c r="D107" i="117"/>
  <c r="E106" i="117"/>
  <c r="D107" i="118"/>
  <c r="E106" i="118"/>
  <c r="Y28" i="109"/>
  <c r="Y19" i="109"/>
  <c r="Y10" i="109"/>
  <c r="O25" i="109"/>
  <c r="M21" i="109"/>
  <c r="O28" i="109"/>
  <c r="R25" i="109"/>
  <c r="K26" i="109"/>
  <c r="N13" i="109"/>
  <c r="P32" i="109"/>
  <c r="P19" i="109"/>
  <c r="S21" i="109"/>
  <c r="O22" i="109"/>
  <c r="K14" i="109"/>
  <c r="R9" i="109"/>
  <c r="W8" i="109"/>
  <c r="AD9" i="109"/>
  <c r="M26" i="109"/>
  <c r="AD10" i="109"/>
  <c r="N21" i="109"/>
  <c r="W11" i="109"/>
  <c r="K10" i="109"/>
  <c r="P21" i="109"/>
  <c r="M8" i="109"/>
  <c r="K28" i="109"/>
  <c r="N22" i="109"/>
  <c r="P30" i="109"/>
  <c r="S7" i="109"/>
  <c r="O11" i="109"/>
  <c r="P10" i="109"/>
  <c r="S12" i="109"/>
  <c r="S16" i="109"/>
  <c r="M22" i="109"/>
  <c r="K12" i="109"/>
  <c r="O7" i="109"/>
  <c r="K9" i="109"/>
  <c r="W12" i="109"/>
  <c r="M30" i="109"/>
  <c r="N26" i="109"/>
  <c r="S9" i="109"/>
  <c r="K31" i="109"/>
  <c r="S31" i="109"/>
  <c r="N11" i="109"/>
  <c r="L29" i="109"/>
  <c r="AA9" i="109"/>
  <c r="D46" i="112"/>
  <c r="E45" i="112"/>
  <c r="F45" i="112"/>
  <c r="Y7" i="109"/>
  <c r="AA7" i="109"/>
  <c r="N31" i="109"/>
  <c r="L21" i="109"/>
  <c r="K19" i="109"/>
  <c r="M29" i="109"/>
  <c r="M25" i="109"/>
  <c r="P29" i="109"/>
  <c r="O20" i="109"/>
  <c r="M11" i="109"/>
  <c r="P16" i="109"/>
  <c r="O10" i="109"/>
  <c r="R7" i="109"/>
  <c r="Q28" i="109"/>
  <c r="P26" i="109"/>
  <c r="L12" i="109"/>
  <c r="M18" i="109"/>
  <c r="AC10" i="109"/>
  <c r="P28" i="109"/>
  <c r="P8" i="109"/>
  <c r="K18" i="109"/>
  <c r="AE8" i="109"/>
  <c r="O23" i="109"/>
  <c r="Z9" i="109"/>
  <c r="N12" i="109"/>
  <c r="P23" i="109"/>
  <c r="O13" i="109"/>
  <c r="Y13" i="109"/>
  <c r="O18" i="109"/>
  <c r="S26" i="109"/>
  <c r="S18" i="109"/>
  <c r="N32" i="109"/>
  <c r="M27" i="109"/>
  <c r="Q19" i="109"/>
  <c r="P20" i="109"/>
  <c r="O32" i="109"/>
  <c r="AC7" i="109"/>
  <c r="Y9" i="109"/>
  <c r="P25" i="109"/>
  <c r="R27" i="109"/>
  <c r="R10" i="109"/>
  <c r="N23" i="109"/>
  <c r="M31" i="109"/>
  <c r="K17" i="109"/>
  <c r="R17" i="109"/>
  <c r="AB8" i="109"/>
  <c r="M13" i="109"/>
  <c r="R8" i="109"/>
  <c r="Y12" i="109"/>
  <c r="O19" i="109"/>
  <c r="N27" i="109"/>
  <c r="K20" i="109"/>
  <c r="Q10" i="109"/>
  <c r="O12" i="109"/>
  <c r="P22" i="109"/>
  <c r="S27" i="109"/>
  <c r="AE7" i="109"/>
  <c r="AE13" i="109"/>
  <c r="K21" i="109"/>
  <c r="K22" i="109"/>
  <c r="O30" i="109"/>
  <c r="N18" i="109"/>
  <c r="W9" i="109"/>
  <c r="P14" i="109"/>
  <c r="K30" i="109"/>
  <c r="N9" i="109"/>
  <c r="W14" i="109"/>
  <c r="N30" i="109"/>
  <c r="K11" i="109"/>
  <c r="Y11" i="109"/>
  <c r="L30" i="109"/>
  <c r="O26" i="109"/>
  <c r="R19" i="109"/>
  <c r="W13" i="109"/>
  <c r="P31" i="109"/>
  <c r="K27" i="109"/>
  <c r="Z8" i="109"/>
  <c r="Y14" i="109"/>
  <c r="N17" i="109"/>
  <c r="AB9" i="109"/>
  <c r="AD11" i="109"/>
  <c r="O8" i="109"/>
  <c r="AD7" i="109"/>
  <c r="K13" i="109"/>
  <c r="O21" i="109"/>
  <c r="N14" i="109"/>
  <c r="M12" i="109"/>
  <c r="AD8" i="109"/>
  <c r="O16" i="109"/>
  <c r="Q25" i="109"/>
  <c r="P7" i="109"/>
  <c r="S13" i="109"/>
  <c r="K29" i="109"/>
  <c r="O17" i="109"/>
  <c r="P12" i="109"/>
  <c r="AA8" i="109"/>
  <c r="Z7" i="109"/>
  <c r="S25" i="109"/>
  <c r="R16" i="109"/>
  <c r="O9" i="109"/>
  <c r="O14" i="109"/>
  <c r="M9" i="109"/>
  <c r="O27" i="109"/>
  <c r="AE9" i="109"/>
  <c r="AE12" i="109"/>
  <c r="P11" i="109"/>
  <c r="Q16" i="109"/>
  <c r="N25" i="109"/>
  <c r="F43" i="110"/>
  <c r="G43" i="110" s="1"/>
  <c r="Y8" i="109"/>
  <c r="X12" i="109"/>
  <c r="N7" i="109"/>
  <c r="X11" i="109"/>
  <c r="N29" i="109"/>
  <c r="S22" i="109"/>
  <c r="P27" i="109"/>
  <c r="X14" i="109"/>
  <c r="P17" i="109"/>
  <c r="N20" i="109"/>
  <c r="M17" i="109"/>
  <c r="R28" i="109"/>
  <c r="O31" i="109"/>
  <c r="L20" i="109"/>
  <c r="K32" i="109"/>
  <c r="K23" i="109"/>
  <c r="S30" i="109"/>
  <c r="R26" i="109"/>
  <c r="O29" i="109"/>
  <c r="AB7" i="109"/>
  <c r="M16" i="109"/>
  <c r="AD12" i="109"/>
  <c r="M20" i="109"/>
  <c r="M7" i="109"/>
  <c r="P13" i="109"/>
  <c r="K8" i="109"/>
  <c r="L11" i="109"/>
  <c r="P18" i="109"/>
  <c r="Q7" i="109"/>
  <c r="N16" i="109"/>
  <c r="S17" i="109"/>
  <c r="R18" i="109"/>
  <c r="S8" i="109"/>
  <c r="E44" i="110"/>
  <c r="D45" i="110"/>
  <c r="P9" i="109"/>
  <c r="N8" i="109"/>
  <c r="D49" i="111" l="1"/>
  <c r="E48" i="111"/>
  <c r="F48" i="111" s="1"/>
  <c r="H43" i="110"/>
  <c r="S19" i="109"/>
  <c r="S10" i="109"/>
  <c r="S28" i="109"/>
  <c r="S14" i="109"/>
  <c r="AE10" i="109"/>
  <c r="S11" i="109"/>
  <c r="R11" i="109" s="1"/>
  <c r="U11" i="109" s="1"/>
  <c r="AE14" i="109"/>
  <c r="AC14" i="109" s="1"/>
  <c r="AG14" i="109" s="1"/>
  <c r="AE32" i="109"/>
  <c r="AC32" i="109" s="1"/>
  <c r="AG32" i="109" s="1"/>
  <c r="AE28" i="109"/>
  <c r="AE19" i="109"/>
  <c r="AE23" i="109"/>
  <c r="AC23" i="109" s="1"/>
  <c r="AG23" i="109" s="1"/>
  <c r="M14" i="109"/>
  <c r="M19" i="109"/>
  <c r="M28" i="109"/>
  <c r="F105" i="116"/>
  <c r="D108" i="117"/>
  <c r="E107" i="117"/>
  <c r="D108" i="118"/>
  <c r="E107" i="118"/>
  <c r="E106" i="116"/>
  <c r="D107" i="116"/>
  <c r="M32" i="109"/>
  <c r="M10" i="109"/>
  <c r="M23" i="109"/>
  <c r="R30" i="109"/>
  <c r="U30" i="109" s="1"/>
  <c r="R21" i="109"/>
  <c r="U21" i="109" s="1"/>
  <c r="F44" i="110"/>
  <c r="G44" i="110" s="1"/>
  <c r="AC12" i="109"/>
  <c r="AG12" i="109" s="1"/>
  <c r="AC11" i="109"/>
  <c r="AG11" i="109" s="1"/>
  <c r="AG30" i="109"/>
  <c r="AG21" i="109"/>
  <c r="E45" i="110"/>
  <c r="D46" i="110"/>
  <c r="D47" i="112"/>
  <c r="E46" i="112"/>
  <c r="F46" i="112"/>
  <c r="R12" i="109"/>
  <c r="U12" i="109" s="1"/>
  <c r="D50" i="111" l="1"/>
  <c r="E49" i="111"/>
  <c r="F49" i="111" s="1"/>
  <c r="G106" i="116"/>
  <c r="H44" i="110"/>
  <c r="AE20" i="109"/>
  <c r="AC20" i="109" s="1"/>
  <c r="AG20" i="109" s="1"/>
  <c r="S20" i="109"/>
  <c r="R20" i="109" s="1"/>
  <c r="U20" i="109" s="1"/>
  <c r="AE29" i="109"/>
  <c r="AC29" i="109" s="1"/>
  <c r="AG29" i="109" s="1"/>
  <c r="S29" i="109"/>
  <c r="R29" i="109" s="1"/>
  <c r="U29" i="109" s="1"/>
  <c r="D109" i="118"/>
  <c r="E108" i="118"/>
  <c r="D108" i="116"/>
  <c r="E107" i="116"/>
  <c r="D109" i="117"/>
  <c r="E108" i="117"/>
  <c r="F106" i="116"/>
  <c r="G4" i="111"/>
  <c r="R4" i="111"/>
  <c r="X4" i="111"/>
  <c r="T4" i="111"/>
  <c r="U4" i="111"/>
  <c r="J4" i="111"/>
  <c r="D48" i="112"/>
  <c r="E47" i="112"/>
  <c r="F47" i="112"/>
  <c r="E46" i="110"/>
  <c r="D47" i="110"/>
  <c r="F45" i="110"/>
  <c r="G45" i="110" s="1"/>
  <c r="E50" i="111" l="1"/>
  <c r="F50" i="111" s="1"/>
  <c r="D51" i="111"/>
  <c r="H45" i="110"/>
  <c r="G107" i="116"/>
  <c r="D110" i="117"/>
  <c r="E109" i="117"/>
  <c r="D109" i="116"/>
  <c r="E108" i="116"/>
  <c r="D110" i="118"/>
  <c r="E109" i="118"/>
  <c r="F107" i="116"/>
  <c r="M4" i="111"/>
  <c r="W4" i="111"/>
  <c r="I4" i="111"/>
  <c r="S4" i="111"/>
  <c r="H4" i="111"/>
  <c r="E47" i="110"/>
  <c r="D48" i="110"/>
  <c r="F46" i="110"/>
  <c r="G46" i="110" s="1"/>
  <c r="N4" i="111"/>
  <c r="Y4" i="111"/>
  <c r="K4" i="111"/>
  <c r="V4" i="111"/>
  <c r="E48" i="112"/>
  <c r="D49" i="112"/>
  <c r="F48" i="112"/>
  <c r="E51" i="111" l="1"/>
  <c r="F51" i="111" s="1"/>
  <c r="D52" i="111"/>
  <c r="G108" i="116"/>
  <c r="H46" i="110"/>
  <c r="L4" i="111"/>
  <c r="E109" i="116"/>
  <c r="D110" i="116"/>
  <c r="D111" i="117"/>
  <c r="E110" i="117"/>
  <c r="D111" i="118"/>
  <c r="E110" i="118"/>
  <c r="F108" i="116"/>
  <c r="E49" i="112"/>
  <c r="D50" i="112"/>
  <c r="F49" i="112"/>
  <c r="E48" i="110"/>
  <c r="D49" i="110"/>
  <c r="F47" i="110"/>
  <c r="G47" i="110" s="1"/>
  <c r="D53" i="111" l="1"/>
  <c r="E52" i="111"/>
  <c r="F52" i="111" s="1"/>
  <c r="G109" i="116"/>
  <c r="H47" i="110"/>
  <c r="F109" i="116"/>
  <c r="D112" i="118"/>
  <c r="E111" i="118"/>
  <c r="D111" i="116"/>
  <c r="E110" i="116"/>
  <c r="D112" i="117"/>
  <c r="E111" i="117"/>
  <c r="E50" i="112"/>
  <c r="D51" i="112"/>
  <c r="F50" i="112"/>
  <c r="E49" i="110"/>
  <c r="D50" i="110"/>
  <c r="F48" i="110"/>
  <c r="G48" i="110" s="1"/>
  <c r="E53" i="111" l="1"/>
  <c r="F53" i="111" s="1"/>
  <c r="D54" i="111"/>
  <c r="H48" i="110"/>
  <c r="G110" i="116"/>
  <c r="D112" i="116"/>
  <c r="E111" i="116"/>
  <c r="F110" i="116"/>
  <c r="D113" i="117"/>
  <c r="E112" i="117"/>
  <c r="D113" i="118"/>
  <c r="E112" i="118"/>
  <c r="E50" i="110"/>
  <c r="D51" i="110"/>
  <c r="F49" i="110"/>
  <c r="G49" i="110" s="1"/>
  <c r="E51" i="112"/>
  <c r="D52" i="112"/>
  <c r="F51" i="112"/>
  <c r="D55" i="111" l="1"/>
  <c r="E54" i="111"/>
  <c r="F54" i="111" s="1"/>
  <c r="G111" i="116"/>
  <c r="H49" i="110"/>
  <c r="D113" i="116"/>
  <c r="E112" i="116"/>
  <c r="F111" i="116"/>
  <c r="D114" i="117"/>
  <c r="E113" i="117"/>
  <c r="D114" i="118"/>
  <c r="E113" i="118"/>
  <c r="E51" i="110"/>
  <c r="D52" i="110"/>
  <c r="F50" i="110"/>
  <c r="G50" i="110" s="1"/>
  <c r="E52" i="112"/>
  <c r="D53" i="112"/>
  <c r="F52" i="112"/>
  <c r="E55" i="111" l="1"/>
  <c r="F55" i="111" s="1"/>
  <c r="D56" i="111"/>
  <c r="H50" i="110"/>
  <c r="G112" i="116"/>
  <c r="D115" i="117"/>
  <c r="E114" i="117"/>
  <c r="F112" i="116"/>
  <c r="E113" i="116"/>
  <c r="D114" i="116"/>
  <c r="D115" i="118"/>
  <c r="E114" i="118"/>
  <c r="E52" i="110"/>
  <c r="D53" i="110"/>
  <c r="F51" i="110"/>
  <c r="G51" i="110" s="1"/>
  <c r="D54" i="112"/>
  <c r="E53" i="112"/>
  <c r="F53" i="112"/>
  <c r="D57" i="111" l="1"/>
  <c r="E56" i="111"/>
  <c r="F56" i="111" s="1"/>
  <c r="G113" i="116"/>
  <c r="H51" i="110"/>
  <c r="E114" i="116"/>
  <c r="D115" i="116"/>
  <c r="F113" i="116"/>
  <c r="D116" i="118"/>
  <c r="E115" i="118"/>
  <c r="D116" i="117"/>
  <c r="E115" i="117"/>
  <c r="D55" i="112"/>
  <c r="E54" i="112"/>
  <c r="F54" i="112"/>
  <c r="E53" i="110"/>
  <c r="D54" i="110"/>
  <c r="F52" i="110"/>
  <c r="G52" i="110" s="1"/>
  <c r="D58" i="111" l="1"/>
  <c r="E57" i="111"/>
  <c r="F57" i="111" s="1"/>
  <c r="H52" i="110"/>
  <c r="G114" i="116"/>
  <c r="D117" i="117"/>
  <c r="E116" i="117"/>
  <c r="D116" i="116"/>
  <c r="E115" i="116"/>
  <c r="D117" i="118"/>
  <c r="E116" i="118"/>
  <c r="F114" i="116"/>
  <c r="D56" i="112"/>
  <c r="E55" i="112"/>
  <c r="F55" i="112"/>
  <c r="E54" i="110"/>
  <c r="D55" i="110"/>
  <c r="F53" i="110"/>
  <c r="G53" i="110" s="1"/>
  <c r="D59" i="111" l="1"/>
  <c r="E58" i="111"/>
  <c r="F58" i="111" s="1"/>
  <c r="G115" i="116"/>
  <c r="H53" i="110"/>
  <c r="D118" i="117"/>
  <c r="E117" i="117"/>
  <c r="D118" i="118"/>
  <c r="E117" i="118"/>
  <c r="F115" i="116"/>
  <c r="D117" i="116"/>
  <c r="E116" i="116"/>
  <c r="E55" i="110"/>
  <c r="D56" i="110"/>
  <c r="F54" i="110"/>
  <c r="G54" i="110" s="1"/>
  <c r="E56" i="112"/>
  <c r="D57" i="112"/>
  <c r="F56" i="112"/>
  <c r="E59" i="111" l="1"/>
  <c r="F59" i="111" s="1"/>
  <c r="D60" i="111"/>
  <c r="H54" i="110"/>
  <c r="G116" i="116"/>
  <c r="D119" i="118"/>
  <c r="E118" i="118"/>
  <c r="E117" i="116"/>
  <c r="D118" i="116"/>
  <c r="D119" i="117"/>
  <c r="E118" i="117"/>
  <c r="F116" i="116"/>
  <c r="F55" i="110"/>
  <c r="G55" i="110" s="1"/>
  <c r="E57" i="112"/>
  <c r="D58" i="112"/>
  <c r="F57" i="112"/>
  <c r="E56" i="110"/>
  <c r="D57" i="110"/>
  <c r="E60" i="111" l="1"/>
  <c r="F60" i="111" s="1"/>
  <c r="D61" i="111"/>
  <c r="H55" i="110"/>
  <c r="G117" i="116"/>
  <c r="D120" i="117"/>
  <c r="E119" i="117"/>
  <c r="F117" i="116"/>
  <c r="D119" i="116"/>
  <c r="E118" i="116"/>
  <c r="D120" i="118"/>
  <c r="E119" i="118"/>
  <c r="E58" i="112"/>
  <c r="D59" i="112"/>
  <c r="F58" i="112"/>
  <c r="E57" i="110"/>
  <c r="D58" i="110"/>
  <c r="F56" i="110"/>
  <c r="G56" i="110" s="1"/>
  <c r="D62" i="111" l="1"/>
  <c r="E61" i="111"/>
  <c r="F61" i="111" s="1"/>
  <c r="H56" i="110"/>
  <c r="G118" i="116"/>
  <c r="D121" i="118"/>
  <c r="E120" i="118"/>
  <c r="F118" i="116"/>
  <c r="D121" i="117"/>
  <c r="E120" i="117"/>
  <c r="D120" i="116"/>
  <c r="E119" i="116"/>
  <c r="E58" i="110"/>
  <c r="D59" i="110"/>
  <c r="F57" i="110"/>
  <c r="G57" i="110" s="1"/>
  <c r="D60" i="112"/>
  <c r="E59" i="112"/>
  <c r="F59" i="112"/>
  <c r="E62" i="111" l="1"/>
  <c r="F62" i="111" s="1"/>
  <c r="D63" i="111"/>
  <c r="G119" i="116"/>
  <c r="H57" i="110"/>
  <c r="F119" i="116"/>
  <c r="D122" i="117"/>
  <c r="E121" i="117"/>
  <c r="E120" i="116"/>
  <c r="D121" i="116"/>
  <c r="D122" i="118"/>
  <c r="E121" i="118"/>
  <c r="E60" i="112"/>
  <c r="D61" i="112"/>
  <c r="F60" i="112"/>
  <c r="D60" i="110"/>
  <c r="E59" i="110"/>
  <c r="F58" i="110"/>
  <c r="G58" i="110" s="1"/>
  <c r="E63" i="111" l="1"/>
  <c r="F63" i="111" s="1"/>
  <c r="D64" i="111"/>
  <c r="G120" i="116"/>
  <c r="H58" i="110"/>
  <c r="F120" i="116"/>
  <c r="D122" i="116"/>
  <c r="E121" i="116"/>
  <c r="D123" i="118"/>
  <c r="E122" i="118"/>
  <c r="D123" i="117"/>
  <c r="E122" i="117"/>
  <c r="F59" i="110"/>
  <c r="G59" i="110" s="1"/>
  <c r="E60" i="110"/>
  <c r="D61" i="110"/>
  <c r="E61" i="112"/>
  <c r="D62" i="112"/>
  <c r="F61" i="112"/>
  <c r="D65" i="111" l="1"/>
  <c r="E64" i="111"/>
  <c r="F64" i="111" s="1"/>
  <c r="H59" i="110"/>
  <c r="G121" i="116"/>
  <c r="D124" i="118"/>
  <c r="E123" i="118"/>
  <c r="F121" i="116"/>
  <c r="D124" i="117"/>
  <c r="E123" i="117"/>
  <c r="E122" i="116"/>
  <c r="D123" i="116"/>
  <c r="E61" i="110"/>
  <c r="D62" i="110"/>
  <c r="F60" i="110"/>
  <c r="G60" i="110" s="1"/>
  <c r="D63" i="112"/>
  <c r="E62" i="112"/>
  <c r="F62" i="112"/>
  <c r="D66" i="111" l="1"/>
  <c r="E65" i="111"/>
  <c r="F65" i="111" s="1"/>
  <c r="H60" i="110"/>
  <c r="G122" i="116"/>
  <c r="D125" i="118"/>
  <c r="E124" i="118"/>
  <c r="D124" i="116"/>
  <c r="E123" i="116"/>
  <c r="F122" i="116"/>
  <c r="D125" i="117"/>
  <c r="E124" i="117"/>
  <c r="E62" i="110"/>
  <c r="D63" i="110"/>
  <c r="D64" i="112"/>
  <c r="E63" i="112"/>
  <c r="F63" i="112"/>
  <c r="F61" i="110"/>
  <c r="G61" i="110" s="1"/>
  <c r="D67" i="111" l="1"/>
  <c r="E66" i="111"/>
  <c r="F66" i="111" s="1"/>
  <c r="G123" i="116"/>
  <c r="H61" i="110"/>
  <c r="D126" i="118"/>
  <c r="E125" i="118"/>
  <c r="D126" i="117"/>
  <c r="E125" i="117"/>
  <c r="F123" i="116"/>
  <c r="E124" i="116"/>
  <c r="D125" i="116"/>
  <c r="E63" i="110"/>
  <c r="D64" i="110"/>
  <c r="F62" i="110"/>
  <c r="G62" i="110" s="1"/>
  <c r="D65" i="112"/>
  <c r="E64" i="112"/>
  <c r="F64" i="112"/>
  <c r="E67" i="111" l="1"/>
  <c r="F67" i="111" s="1"/>
  <c r="D68" i="111"/>
  <c r="H62" i="110"/>
  <c r="G124" i="116"/>
  <c r="D127" i="117"/>
  <c r="E126" i="117"/>
  <c r="E125" i="116"/>
  <c r="D126" i="116"/>
  <c r="D127" i="118"/>
  <c r="E126" i="118"/>
  <c r="F124" i="116"/>
  <c r="E64" i="110"/>
  <c r="D65" i="110"/>
  <c r="F63" i="110"/>
  <c r="G63" i="110" s="1"/>
  <c r="D66" i="112"/>
  <c r="E65" i="112"/>
  <c r="F65" i="112"/>
  <c r="E68" i="111" l="1"/>
  <c r="F68" i="111" s="1"/>
  <c r="D69" i="111"/>
  <c r="H63" i="110"/>
  <c r="G125" i="116"/>
  <c r="D128" i="117"/>
  <c r="E127" i="117"/>
  <c r="D128" i="118"/>
  <c r="E127" i="118"/>
  <c r="D127" i="116"/>
  <c r="E126" i="116"/>
  <c r="F125" i="116"/>
  <c r="E66" i="112"/>
  <c r="D67" i="112"/>
  <c r="F66" i="112"/>
  <c r="E65" i="110"/>
  <c r="D66" i="110"/>
  <c r="F64" i="110"/>
  <c r="G64" i="110" s="1"/>
  <c r="D70" i="111" l="1"/>
  <c r="E69" i="111"/>
  <c r="F69" i="111" s="1"/>
  <c r="H64" i="110"/>
  <c r="G126" i="116"/>
  <c r="D128" i="116"/>
  <c r="E127" i="116"/>
  <c r="D129" i="117"/>
  <c r="E128" i="117"/>
  <c r="F126" i="116"/>
  <c r="D129" i="118"/>
  <c r="E128" i="118"/>
  <c r="E66" i="110"/>
  <c r="D67" i="110"/>
  <c r="F65" i="110"/>
  <c r="G65" i="110" s="1"/>
  <c r="D68" i="112"/>
  <c r="E67" i="112"/>
  <c r="F67" i="112"/>
  <c r="E70" i="111" l="1"/>
  <c r="F70" i="111" s="1"/>
  <c r="D71" i="111"/>
  <c r="G127" i="116"/>
  <c r="H65" i="110"/>
  <c r="D130" i="118"/>
  <c r="E129" i="118"/>
  <c r="F127" i="116"/>
  <c r="E128" i="116"/>
  <c r="D129" i="116"/>
  <c r="D130" i="117"/>
  <c r="E129" i="117"/>
  <c r="F66" i="110"/>
  <c r="G66" i="110" s="1"/>
  <c r="E68" i="112"/>
  <c r="D69" i="112"/>
  <c r="F68" i="112"/>
  <c r="E67" i="110"/>
  <c r="D68" i="110"/>
  <c r="D72" i="111" l="1"/>
  <c r="E71" i="111"/>
  <c r="F71" i="111" s="1"/>
  <c r="H66" i="110"/>
  <c r="G128" i="116"/>
  <c r="F128" i="116"/>
  <c r="D131" i="118"/>
  <c r="E130" i="118"/>
  <c r="E129" i="116"/>
  <c r="D130" i="116"/>
  <c r="E130" i="116" s="1"/>
  <c r="D131" i="117"/>
  <c r="E130" i="117"/>
  <c r="E69" i="112"/>
  <c r="D70" i="112"/>
  <c r="F69" i="112"/>
  <c r="E68" i="110"/>
  <c r="D69" i="110"/>
  <c r="F67" i="110"/>
  <c r="G67" i="110" s="1"/>
  <c r="E72" i="111" l="1"/>
  <c r="F72" i="111" s="1"/>
  <c r="D73" i="111"/>
  <c r="G130" i="116"/>
  <c r="G129" i="116"/>
  <c r="H67" i="110"/>
  <c r="E131" i="118"/>
  <c r="E131" i="117"/>
  <c r="F129" i="116"/>
  <c r="E70" i="112"/>
  <c r="D71" i="112"/>
  <c r="F70" i="112"/>
  <c r="E69" i="110"/>
  <c r="D70" i="110"/>
  <c r="F68" i="110"/>
  <c r="G68" i="110" s="1"/>
  <c r="D74" i="111" l="1"/>
  <c r="E73" i="111"/>
  <c r="F73" i="111" s="1"/>
  <c r="H68" i="110"/>
  <c r="F130" i="116"/>
  <c r="F69" i="110"/>
  <c r="G69" i="110" s="1"/>
  <c r="E70" i="110"/>
  <c r="D71" i="110"/>
  <c r="D72" i="112"/>
  <c r="E71" i="112"/>
  <c r="F71" i="112"/>
  <c r="E74" i="111" l="1"/>
  <c r="F74" i="111" s="1"/>
  <c r="D75" i="111"/>
  <c r="H69" i="110"/>
  <c r="E71" i="110"/>
  <c r="D72" i="110"/>
  <c r="D73" i="112"/>
  <c r="E72" i="112"/>
  <c r="F72" i="112"/>
  <c r="F70" i="110"/>
  <c r="G70" i="110" s="1"/>
  <c r="D76" i="111" l="1"/>
  <c r="E75" i="111"/>
  <c r="F75" i="111" s="1"/>
  <c r="H70" i="110"/>
  <c r="E73" i="112"/>
  <c r="D74" i="112"/>
  <c r="F73" i="112"/>
  <c r="E72" i="110"/>
  <c r="D73" i="110"/>
  <c r="F71" i="110"/>
  <c r="G71" i="110" s="1"/>
  <c r="D77" i="111" l="1"/>
  <c r="E76" i="111"/>
  <c r="F76" i="111" s="1"/>
  <c r="H71" i="110"/>
  <c r="E73" i="110"/>
  <c r="D74" i="110"/>
  <c r="F72" i="110"/>
  <c r="G72" i="110" s="1"/>
  <c r="D75" i="112"/>
  <c r="E74" i="112"/>
  <c r="F74" i="112"/>
  <c r="D78" i="111" l="1"/>
  <c r="E77" i="111"/>
  <c r="F77" i="111" s="1"/>
  <c r="H72" i="110"/>
  <c r="E74" i="110"/>
  <c r="D75" i="110"/>
  <c r="F73" i="110"/>
  <c r="G73" i="110" s="1"/>
  <c r="D76" i="112"/>
  <c r="E75" i="112"/>
  <c r="F75" i="112"/>
  <c r="E78" i="111" l="1"/>
  <c r="F78" i="111" s="1"/>
  <c r="D79" i="111"/>
  <c r="H73" i="110"/>
  <c r="F74" i="110"/>
  <c r="G74" i="110" s="1"/>
  <c r="E76" i="112"/>
  <c r="D77" i="112"/>
  <c r="F76" i="112"/>
  <c r="E75" i="110"/>
  <c r="D76" i="110"/>
  <c r="D80" i="111" l="1"/>
  <c r="E79" i="111"/>
  <c r="F79" i="111" s="1"/>
  <c r="H74" i="110"/>
  <c r="E76" i="110"/>
  <c r="D77" i="110"/>
  <c r="E77" i="112"/>
  <c r="D78" i="112"/>
  <c r="F77" i="112"/>
  <c r="F75" i="110"/>
  <c r="G75" i="110" s="1"/>
  <c r="D81" i="111" l="1"/>
  <c r="E80" i="111"/>
  <c r="F80" i="111" s="1"/>
  <c r="H75" i="110"/>
  <c r="F76" i="110"/>
  <c r="G76" i="110" s="1"/>
  <c r="D79" i="112"/>
  <c r="E78" i="112"/>
  <c r="F78" i="112"/>
  <c r="E77" i="110"/>
  <c r="D78" i="110"/>
  <c r="E81" i="111" l="1"/>
  <c r="F81" i="111" s="1"/>
  <c r="D82" i="111"/>
  <c r="H76" i="110"/>
  <c r="F77" i="110"/>
  <c r="G77" i="110" s="1"/>
  <c r="E79" i="112"/>
  <c r="D80" i="112"/>
  <c r="F79" i="112"/>
  <c r="E78" i="110"/>
  <c r="D79" i="110"/>
  <c r="E82" i="111" l="1"/>
  <c r="F82" i="111" s="1"/>
  <c r="D83" i="111"/>
  <c r="H77" i="110"/>
  <c r="D81" i="112"/>
  <c r="E80" i="112"/>
  <c r="F80" i="112"/>
  <c r="E79" i="110"/>
  <c r="D80" i="110"/>
  <c r="F78" i="110"/>
  <c r="G78" i="110" s="1"/>
  <c r="D84" i="111" l="1"/>
  <c r="E83" i="111"/>
  <c r="F83" i="111" s="1"/>
  <c r="H78" i="110"/>
  <c r="D82" i="112"/>
  <c r="E81" i="112"/>
  <c r="F81" i="112"/>
  <c r="F79" i="110"/>
  <c r="G79" i="110" s="1"/>
  <c r="E80" i="110"/>
  <c r="D81" i="110"/>
  <c r="D85" i="111" l="1"/>
  <c r="E84" i="111"/>
  <c r="F84" i="111" s="1"/>
  <c r="H79" i="110"/>
  <c r="E82" i="112"/>
  <c r="D83" i="112"/>
  <c r="F82" i="112"/>
  <c r="E81" i="110"/>
  <c r="D82" i="110"/>
  <c r="F80" i="110"/>
  <c r="G80" i="110" s="1"/>
  <c r="D86" i="111" l="1"/>
  <c r="E85" i="111"/>
  <c r="F85" i="111" s="1"/>
  <c r="H80" i="110"/>
  <c r="E82" i="110"/>
  <c r="D83" i="110"/>
  <c r="F81" i="110"/>
  <c r="G81" i="110" s="1"/>
  <c r="E83" i="112"/>
  <c r="D84" i="112"/>
  <c r="F83" i="112"/>
  <c r="E86" i="111" l="1"/>
  <c r="F86" i="111" s="1"/>
  <c r="D87" i="111"/>
  <c r="H81" i="110"/>
  <c r="E84" i="112"/>
  <c r="D85" i="112"/>
  <c r="F84" i="112"/>
  <c r="D84" i="110"/>
  <c r="E83" i="110"/>
  <c r="F82" i="110"/>
  <c r="G82" i="110" s="1"/>
  <c r="E87" i="111" l="1"/>
  <c r="F87" i="111" s="1"/>
  <c r="D88" i="111"/>
  <c r="H82" i="110"/>
  <c r="F83" i="110"/>
  <c r="G83" i="110" s="1"/>
  <c r="E84" i="110"/>
  <c r="D85" i="110"/>
  <c r="D86" i="112"/>
  <c r="E85" i="112"/>
  <c r="F85" i="112"/>
  <c r="D89" i="111" l="1"/>
  <c r="E88" i="111"/>
  <c r="F88" i="111" s="1"/>
  <c r="H83" i="110"/>
  <c r="E85" i="110"/>
  <c r="D86" i="110"/>
  <c r="D87" i="112"/>
  <c r="E86" i="112"/>
  <c r="F86" i="112"/>
  <c r="F84" i="110"/>
  <c r="G84" i="110" s="1"/>
  <c r="D90" i="111" l="1"/>
  <c r="E89" i="111"/>
  <c r="F89" i="111" s="1"/>
  <c r="H84" i="110"/>
  <c r="E87" i="112"/>
  <c r="D88" i="112"/>
  <c r="F87" i="112"/>
  <c r="E86" i="110"/>
  <c r="D87" i="110"/>
  <c r="F85" i="110"/>
  <c r="G85" i="110" s="1"/>
  <c r="E90" i="111" l="1"/>
  <c r="F90" i="111" s="1"/>
  <c r="D91" i="111"/>
  <c r="H85" i="110"/>
  <c r="E87" i="110"/>
  <c r="D88" i="110"/>
  <c r="F86" i="110"/>
  <c r="G86" i="110" s="1"/>
  <c r="E88" i="112"/>
  <c r="D89" i="112"/>
  <c r="F88" i="112"/>
  <c r="D92" i="111" l="1"/>
  <c r="E91" i="111"/>
  <c r="F91" i="111" s="1"/>
  <c r="H86" i="110"/>
  <c r="D90" i="112"/>
  <c r="E89" i="112"/>
  <c r="F89" i="112"/>
  <c r="E88" i="110"/>
  <c r="D89" i="110"/>
  <c r="F87" i="110"/>
  <c r="G87" i="110" s="1"/>
  <c r="D93" i="111" l="1"/>
  <c r="E92" i="111"/>
  <c r="F92" i="111" s="1"/>
  <c r="H87" i="110"/>
  <c r="F88" i="110"/>
  <c r="G88" i="110" s="1"/>
  <c r="D91" i="112"/>
  <c r="E90" i="112"/>
  <c r="F90" i="112"/>
  <c r="E89" i="110"/>
  <c r="D90" i="110"/>
  <c r="D94" i="111" l="1"/>
  <c r="E93" i="111"/>
  <c r="F93" i="111" s="1"/>
  <c r="H88" i="110"/>
  <c r="E90" i="110"/>
  <c r="D91" i="110"/>
  <c r="F89" i="110"/>
  <c r="G89" i="110" s="1"/>
  <c r="D92" i="112"/>
  <c r="E91" i="112"/>
  <c r="F91" i="112"/>
  <c r="E94" i="111" l="1"/>
  <c r="F94" i="111" s="1"/>
  <c r="D95" i="111"/>
  <c r="H89" i="110"/>
  <c r="D93" i="112"/>
  <c r="E92" i="112"/>
  <c r="F92" i="112"/>
  <c r="F90" i="110"/>
  <c r="G90" i="110" s="1"/>
  <c r="E91" i="110"/>
  <c r="D92" i="110"/>
  <c r="D96" i="111" l="1"/>
  <c r="E95" i="111"/>
  <c r="F95" i="111" s="1"/>
  <c r="H90" i="110"/>
  <c r="F91" i="110"/>
  <c r="G91" i="110" s="1"/>
  <c r="D94" i="112"/>
  <c r="E93" i="112"/>
  <c r="F93" i="112"/>
  <c r="E92" i="110"/>
  <c r="D93" i="110"/>
  <c r="D97" i="111" l="1"/>
  <c r="E96" i="111"/>
  <c r="F96" i="111" s="1"/>
  <c r="H91" i="110"/>
  <c r="F92" i="110"/>
  <c r="G92" i="110" s="1"/>
  <c r="E93" i="110"/>
  <c r="D94" i="110"/>
  <c r="E94" i="112"/>
  <c r="D95" i="112"/>
  <c r="F94" i="112"/>
  <c r="E97" i="111" l="1"/>
  <c r="F97" i="111" s="1"/>
  <c r="D98" i="111"/>
  <c r="H92" i="110"/>
  <c r="E95" i="112"/>
  <c r="D96" i="112"/>
  <c r="F95" i="112"/>
  <c r="E94" i="110"/>
  <c r="D95" i="110"/>
  <c r="F93" i="110"/>
  <c r="G93" i="110" s="1"/>
  <c r="D99" i="111" l="1"/>
  <c r="E98" i="111"/>
  <c r="F98" i="111" s="1"/>
  <c r="H93" i="110"/>
  <c r="D97" i="112"/>
  <c r="E96" i="112"/>
  <c r="F96" i="112"/>
  <c r="E95" i="110"/>
  <c r="D96" i="110"/>
  <c r="F94" i="110"/>
  <c r="G94" i="110" s="1"/>
  <c r="E99" i="111" l="1"/>
  <c r="F99" i="111" s="1"/>
  <c r="D100" i="111"/>
  <c r="H94" i="110"/>
  <c r="D98" i="112"/>
  <c r="E97" i="112"/>
  <c r="F97" i="112"/>
  <c r="E96" i="110"/>
  <c r="D97" i="110"/>
  <c r="F95" i="110"/>
  <c r="G95" i="110" s="1"/>
  <c r="E100" i="111" l="1"/>
  <c r="F100" i="111" s="1"/>
  <c r="D101" i="111"/>
  <c r="H95" i="110"/>
  <c r="E98" i="112"/>
  <c r="D99" i="112"/>
  <c r="F98" i="112"/>
  <c r="E97" i="110"/>
  <c r="D98" i="110"/>
  <c r="F96" i="110"/>
  <c r="G96" i="110" s="1"/>
  <c r="E101" i="111" l="1"/>
  <c r="F101" i="111" s="1"/>
  <c r="D102" i="111"/>
  <c r="H96" i="110"/>
  <c r="D100" i="112"/>
  <c r="E99" i="112"/>
  <c r="F99" i="112"/>
  <c r="F97" i="110"/>
  <c r="G97" i="110" s="1"/>
  <c r="E98" i="110"/>
  <c r="D99" i="110"/>
  <c r="E102" i="111" l="1"/>
  <c r="F102" i="111" s="1"/>
  <c r="D103" i="111"/>
  <c r="H97" i="110"/>
  <c r="F98" i="110"/>
  <c r="G98" i="110" s="1"/>
  <c r="D101" i="112"/>
  <c r="E100" i="112"/>
  <c r="F100" i="112"/>
  <c r="E99" i="110"/>
  <c r="D100" i="110"/>
  <c r="D104" i="111" l="1"/>
  <c r="E103" i="111"/>
  <c r="F103" i="111" s="1"/>
  <c r="H98" i="110"/>
  <c r="E100" i="110"/>
  <c r="D101" i="110"/>
  <c r="F99" i="110"/>
  <c r="G99" i="110" s="1"/>
  <c r="D102" i="112"/>
  <c r="E101" i="112"/>
  <c r="F101" i="112"/>
  <c r="D105" i="111" l="1"/>
  <c r="E104" i="111"/>
  <c r="F104" i="111" s="1"/>
  <c r="H99" i="110"/>
  <c r="E101" i="110"/>
  <c r="D102" i="110"/>
  <c r="F100" i="110"/>
  <c r="G100" i="110" s="1"/>
  <c r="E102" i="112"/>
  <c r="D103" i="112"/>
  <c r="F102" i="112"/>
  <c r="E105" i="111" l="1"/>
  <c r="F105" i="111" s="1"/>
  <c r="D106" i="111"/>
  <c r="H100" i="110"/>
  <c r="E102" i="110"/>
  <c r="D103" i="110"/>
  <c r="F101" i="110"/>
  <c r="G101" i="110" s="1"/>
  <c r="E103" i="112"/>
  <c r="D104" i="112"/>
  <c r="F103" i="112"/>
  <c r="E106" i="111" l="1"/>
  <c r="F106" i="111" s="1"/>
  <c r="D107" i="111"/>
  <c r="H101" i="110"/>
  <c r="F102" i="110"/>
  <c r="G102" i="110" s="1"/>
  <c r="D105" i="112"/>
  <c r="E104" i="112"/>
  <c r="F104" i="112"/>
  <c r="D104" i="110"/>
  <c r="E103" i="110"/>
  <c r="E107" i="111" l="1"/>
  <c r="F107" i="111" s="1"/>
  <c r="D108" i="111"/>
  <c r="H102" i="110"/>
  <c r="F103" i="110"/>
  <c r="G103" i="110" s="1"/>
  <c r="D106" i="112"/>
  <c r="E105" i="112"/>
  <c r="F105" i="112"/>
  <c r="E104" i="110"/>
  <c r="D105" i="110"/>
  <c r="E108" i="111" l="1"/>
  <c r="F108" i="111" s="1"/>
  <c r="D109" i="111"/>
  <c r="H103" i="110"/>
  <c r="E106" i="112"/>
  <c r="D107" i="112"/>
  <c r="F106" i="112"/>
  <c r="E105" i="110"/>
  <c r="D106" i="110"/>
  <c r="F104" i="110"/>
  <c r="G104" i="110" s="1"/>
  <c r="E109" i="111" l="1"/>
  <c r="F109" i="111" s="1"/>
  <c r="D110" i="111"/>
  <c r="H104" i="110"/>
  <c r="D107" i="110"/>
  <c r="E106" i="110"/>
  <c r="F105" i="110"/>
  <c r="G105" i="110" s="1"/>
  <c r="D108" i="112"/>
  <c r="E107" i="112"/>
  <c r="F107" i="112"/>
  <c r="D111" i="111" l="1"/>
  <c r="E110" i="111"/>
  <c r="F110" i="111" s="1"/>
  <c r="H105" i="110"/>
  <c r="D109" i="112"/>
  <c r="E108" i="112"/>
  <c r="F108" i="112"/>
  <c r="F106" i="110"/>
  <c r="G106" i="110" s="1"/>
  <c r="E107" i="110"/>
  <c r="D108" i="110"/>
  <c r="D112" i="111" l="1"/>
  <c r="E111" i="111"/>
  <c r="F111" i="111" s="1"/>
  <c r="H106" i="110"/>
  <c r="E108" i="110"/>
  <c r="D109" i="110"/>
  <c r="D110" i="112"/>
  <c r="E109" i="112"/>
  <c r="F109" i="112"/>
  <c r="F107" i="110"/>
  <c r="G107" i="110" s="1"/>
  <c r="E112" i="111" l="1"/>
  <c r="F112" i="111" s="1"/>
  <c r="D113" i="111"/>
  <c r="H107" i="110"/>
  <c r="E110" i="112"/>
  <c r="D111" i="112"/>
  <c r="F110" i="112"/>
  <c r="E109" i="110"/>
  <c r="D110" i="110"/>
  <c r="F108" i="110"/>
  <c r="G108" i="110" s="1"/>
  <c r="E113" i="111" l="1"/>
  <c r="F113" i="111" s="1"/>
  <c r="D114" i="111"/>
  <c r="H108" i="110"/>
  <c r="D111" i="110"/>
  <c r="E110" i="110"/>
  <c r="F109" i="110"/>
  <c r="G109" i="110" s="1"/>
  <c r="E111" i="112"/>
  <c r="D112" i="112"/>
  <c r="F111" i="112"/>
  <c r="D115" i="111" l="1"/>
  <c r="E114" i="111"/>
  <c r="F114" i="111" s="1"/>
  <c r="H109" i="110"/>
  <c r="F110" i="110"/>
  <c r="G110" i="110" s="1"/>
  <c r="E111" i="110"/>
  <c r="D112" i="110"/>
  <c r="D113" i="112"/>
  <c r="E112" i="112"/>
  <c r="F112" i="112"/>
  <c r="D116" i="111" l="1"/>
  <c r="E115" i="111"/>
  <c r="F115" i="111" s="1"/>
  <c r="H110" i="110"/>
  <c r="D114" i="112"/>
  <c r="E113" i="112"/>
  <c r="F113" i="112"/>
  <c r="D113" i="110"/>
  <c r="E112" i="110"/>
  <c r="F111" i="110"/>
  <c r="G111" i="110" s="1"/>
  <c r="D117" i="111" l="1"/>
  <c r="E116" i="111"/>
  <c r="F116" i="111" s="1"/>
  <c r="H111" i="110"/>
  <c r="E114" i="112"/>
  <c r="D115" i="112"/>
  <c r="F114" i="112"/>
  <c r="F112" i="110"/>
  <c r="G112" i="110" s="1"/>
  <c r="E113" i="110"/>
  <c r="D114" i="110"/>
  <c r="D118" i="111" l="1"/>
  <c r="E117" i="111"/>
  <c r="F117" i="111" s="1"/>
  <c r="H112" i="110"/>
  <c r="D116" i="112"/>
  <c r="E115" i="112"/>
  <c r="F115" i="112"/>
  <c r="E114" i="110"/>
  <c r="D115" i="110"/>
  <c r="F113" i="110"/>
  <c r="G113" i="110" s="1"/>
  <c r="E118" i="111" l="1"/>
  <c r="F118" i="111" s="1"/>
  <c r="D119" i="111"/>
  <c r="H113" i="110"/>
  <c r="F114" i="110"/>
  <c r="G114" i="110" s="1"/>
  <c r="D117" i="112"/>
  <c r="E116" i="112"/>
  <c r="F116" i="112"/>
  <c r="E115" i="110"/>
  <c r="D116" i="110"/>
  <c r="E119" i="111" l="1"/>
  <c r="F119" i="111" s="1"/>
  <c r="D120" i="111"/>
  <c r="H114" i="110"/>
  <c r="E116" i="110"/>
  <c r="D117" i="110"/>
  <c r="F115" i="110"/>
  <c r="G115" i="110" s="1"/>
  <c r="D118" i="112"/>
  <c r="E117" i="112"/>
  <c r="F117" i="112"/>
  <c r="D121" i="111" l="1"/>
  <c r="E120" i="111"/>
  <c r="F120" i="111" s="1"/>
  <c r="H115" i="110"/>
  <c r="E118" i="112"/>
  <c r="D119" i="112"/>
  <c r="F118" i="112"/>
  <c r="E117" i="110"/>
  <c r="D118" i="110"/>
  <c r="F116" i="110"/>
  <c r="G116" i="110" s="1"/>
  <c r="E121" i="111" l="1"/>
  <c r="F121" i="111" s="1"/>
  <c r="D122" i="111"/>
  <c r="H116" i="110"/>
  <c r="F117" i="110"/>
  <c r="G117" i="110" s="1"/>
  <c r="E119" i="112"/>
  <c r="D120" i="112"/>
  <c r="F119" i="112"/>
  <c r="E118" i="110"/>
  <c r="D119" i="110"/>
  <c r="E122" i="111" l="1"/>
  <c r="F122" i="111" s="1"/>
  <c r="D123" i="111"/>
  <c r="H117" i="110"/>
  <c r="D121" i="112"/>
  <c r="E120" i="112"/>
  <c r="F120" i="112"/>
  <c r="E119" i="110"/>
  <c r="D120" i="110"/>
  <c r="F118" i="110"/>
  <c r="G118" i="110" s="1"/>
  <c r="D124" i="111" l="1"/>
  <c r="E123" i="111"/>
  <c r="F123" i="111" s="1"/>
  <c r="H118" i="110"/>
  <c r="D121" i="110"/>
  <c r="E120" i="110"/>
  <c r="F119" i="110"/>
  <c r="G119" i="110" s="1"/>
  <c r="D122" i="112"/>
  <c r="E121" i="112"/>
  <c r="F121" i="112"/>
  <c r="D125" i="111" l="1"/>
  <c r="E124" i="111"/>
  <c r="F124" i="111" s="1"/>
  <c r="H119" i="110"/>
  <c r="E122" i="112"/>
  <c r="D123" i="112"/>
  <c r="F122" i="112"/>
  <c r="F120" i="110"/>
  <c r="G120" i="110" s="1"/>
  <c r="E121" i="110"/>
  <c r="D122" i="110"/>
  <c r="D126" i="111" l="1"/>
  <c r="E125" i="111"/>
  <c r="F125" i="111" s="1"/>
  <c r="H120" i="110"/>
  <c r="E122" i="110"/>
  <c r="D123" i="110"/>
  <c r="D124" i="112"/>
  <c r="E123" i="112"/>
  <c r="F123" i="112"/>
  <c r="F121" i="110"/>
  <c r="G121" i="110" s="1"/>
  <c r="E126" i="111" l="1"/>
  <c r="F126" i="111" s="1"/>
  <c r="D127" i="111"/>
  <c r="H121" i="110"/>
  <c r="D124" i="110"/>
  <c r="E123" i="110"/>
  <c r="F122" i="110"/>
  <c r="G122" i="110" s="1"/>
  <c r="D125" i="112"/>
  <c r="E124" i="112"/>
  <c r="F124" i="112"/>
  <c r="E127" i="111" l="1"/>
  <c r="F127" i="111" s="1"/>
  <c r="D128" i="111"/>
  <c r="H122" i="110"/>
  <c r="F123" i="110"/>
  <c r="G123" i="110" s="1"/>
  <c r="E124" i="110"/>
  <c r="D125" i="110"/>
  <c r="D126" i="112"/>
  <c r="E125" i="112"/>
  <c r="F125" i="112"/>
  <c r="D129" i="111" l="1"/>
  <c r="E128" i="111"/>
  <c r="F128" i="111" s="1"/>
  <c r="H123" i="110"/>
  <c r="E125" i="110"/>
  <c r="D126" i="110"/>
  <c r="F124" i="110"/>
  <c r="G124" i="110" s="1"/>
  <c r="E126" i="112"/>
  <c r="D127" i="112"/>
  <c r="F126" i="112"/>
  <c r="D130" i="111" l="1"/>
  <c r="E129" i="111"/>
  <c r="F129" i="111" s="1"/>
  <c r="H124" i="110"/>
  <c r="F125" i="110"/>
  <c r="G125" i="110" s="1"/>
  <c r="E127" i="112"/>
  <c r="D128" i="112"/>
  <c r="F127" i="112"/>
  <c r="E126" i="110"/>
  <c r="D127" i="110"/>
  <c r="E130" i="111" l="1"/>
  <c r="F130" i="111" s="1"/>
  <c r="D131" i="111"/>
  <c r="E131" i="111" s="1"/>
  <c r="F131" i="111" s="1"/>
  <c r="H125" i="110"/>
  <c r="Y51" i="110" a="1"/>
  <c r="I51" i="110" a="1"/>
  <c r="F126" i="110"/>
  <c r="G126" i="110" s="1"/>
  <c r="D129" i="112"/>
  <c r="E128" i="112"/>
  <c r="F128" i="112"/>
  <c r="E127" i="110"/>
  <c r="D128" i="110"/>
  <c r="H126" i="110" l="1"/>
  <c r="K51" i="110"/>
  <c r="O51" i="110"/>
  <c r="N51" i="110"/>
  <c r="M51" i="110"/>
  <c r="Q51" i="110"/>
  <c r="L51" i="110"/>
  <c r="P51" i="110"/>
  <c r="J51" i="110"/>
  <c r="I51" i="110"/>
  <c r="AD51" i="110"/>
  <c r="AB51" i="110"/>
  <c r="AC51" i="110"/>
  <c r="AF51" i="110"/>
  <c r="AE51" i="110"/>
  <c r="Z51" i="110"/>
  <c r="Y51" i="110"/>
  <c r="AG51" i="110"/>
  <c r="AA51" i="110"/>
  <c r="E128" i="110"/>
  <c r="D129" i="110"/>
  <c r="F127" i="110"/>
  <c r="G127" i="110" s="1"/>
  <c r="D130" i="112"/>
  <c r="E129" i="112"/>
  <c r="F129" i="112"/>
  <c r="V51" i="110" l="1"/>
  <c r="AL51" i="110"/>
  <c r="H127" i="110"/>
  <c r="R51" i="110"/>
  <c r="I52" i="110" a="1"/>
  <c r="U51" i="110"/>
  <c r="T51" i="110"/>
  <c r="AK51" i="110"/>
  <c r="AI51" i="110"/>
  <c r="AH51" i="110"/>
  <c r="Y52" i="110" a="1"/>
  <c r="S51" i="110"/>
  <c r="AJ51" i="110"/>
  <c r="D130" i="110"/>
  <c r="E130" i="110" s="1"/>
  <c r="H130" i="110" s="1"/>
  <c r="E129" i="110"/>
  <c r="F128" i="110"/>
  <c r="G128" i="110" s="1"/>
  <c r="E130" i="112"/>
  <c r="D131" i="112"/>
  <c r="F130" i="112"/>
  <c r="H129" i="110" l="1"/>
  <c r="H128" i="110"/>
  <c r="N52" i="110"/>
  <c r="L52" i="110"/>
  <c r="J52" i="110"/>
  <c r="K52" i="110"/>
  <c r="I52" i="110"/>
  <c r="P52" i="110"/>
  <c r="M52" i="110"/>
  <c r="O52" i="110"/>
  <c r="Q52" i="110"/>
  <c r="AA52" i="110"/>
  <c r="Z52" i="110"/>
  <c r="Y52" i="110"/>
  <c r="AE52" i="110"/>
  <c r="AC52" i="110"/>
  <c r="AB52" i="110"/>
  <c r="AF52" i="110"/>
  <c r="AG52" i="110"/>
  <c r="AD52" i="110"/>
  <c r="F129" i="110"/>
  <c r="G129" i="110" s="1"/>
  <c r="F130" i="110"/>
  <c r="G130" i="110" s="1"/>
  <c r="E131" i="112"/>
  <c r="F131" i="112"/>
  <c r="AL52" i="110" l="1"/>
  <c r="V52" i="110"/>
  <c r="W52" i="111"/>
  <c r="AK52" i="110"/>
  <c r="T52" i="111"/>
  <c r="M52" i="111"/>
  <c r="Z52" i="111"/>
  <c r="Z52" i="112"/>
  <c r="AI52" i="110"/>
  <c r="K52" i="111"/>
  <c r="Y52" i="111"/>
  <c r="N52" i="111"/>
  <c r="U52" i="111"/>
  <c r="R52" i="110"/>
  <c r="I53" i="110" a="1"/>
  <c r="G52" i="111"/>
  <c r="V52" i="111"/>
  <c r="U52" i="110"/>
  <c r="I52" i="111"/>
  <c r="X52" i="111"/>
  <c r="T52" i="110"/>
  <c r="H52" i="111"/>
  <c r="AH52" i="110"/>
  <c r="Y53" i="110" a="1"/>
  <c r="R52" i="111"/>
  <c r="J52" i="111"/>
  <c r="AJ52" i="110"/>
  <c r="S52" i="111"/>
  <c r="S52" i="110"/>
  <c r="O52" i="112"/>
  <c r="O52" i="111"/>
  <c r="L52" i="111"/>
  <c r="M53" i="110" l="1"/>
  <c r="L53" i="110"/>
  <c r="K53" i="110"/>
  <c r="P53" i="110"/>
  <c r="O53" i="110"/>
  <c r="J53" i="110"/>
  <c r="I53" i="110"/>
  <c r="Q53" i="110"/>
  <c r="N53" i="110"/>
  <c r="AB53" i="110"/>
  <c r="AA53" i="110"/>
  <c r="AE53" i="110"/>
  <c r="Y53" i="110"/>
  <c r="AG53" i="110"/>
  <c r="AF53" i="110"/>
  <c r="Z53" i="110"/>
  <c r="AD53" i="110"/>
  <c r="AC53" i="110"/>
  <c r="P52" i="111"/>
  <c r="AA52" i="111"/>
  <c r="AL53" i="110" l="1"/>
  <c r="V53" i="110"/>
  <c r="Y53" i="111"/>
  <c r="N53" i="111"/>
  <c r="AI53" i="110"/>
  <c r="Z53" i="112"/>
  <c r="Z53" i="111"/>
  <c r="U53" i="110"/>
  <c r="I53" i="111"/>
  <c r="AH53" i="110"/>
  <c r="Y54" i="110" a="1"/>
  <c r="R53" i="111"/>
  <c r="J53" i="111"/>
  <c r="X53" i="111"/>
  <c r="L53" i="111"/>
  <c r="K53" i="111"/>
  <c r="AK53" i="110"/>
  <c r="T53" i="111"/>
  <c r="O53" i="111"/>
  <c r="S53" i="110"/>
  <c r="O53" i="112"/>
  <c r="V53" i="111"/>
  <c r="U53" i="111"/>
  <c r="R53" i="110"/>
  <c r="I54" i="110" a="1"/>
  <c r="G53" i="111"/>
  <c r="W53" i="111"/>
  <c r="T53" i="110"/>
  <c r="H53" i="111"/>
  <c r="AJ53" i="110"/>
  <c r="S53" i="111"/>
  <c r="M53" i="111"/>
  <c r="P53" i="111" l="1"/>
  <c r="AA53" i="111"/>
  <c r="M54" i="110"/>
  <c r="L54" i="110"/>
  <c r="P54" i="110"/>
  <c r="N54" i="110"/>
  <c r="K54" i="110"/>
  <c r="J54" i="110"/>
  <c r="Q54" i="110"/>
  <c r="I54" i="110"/>
  <c r="O54" i="110"/>
  <c r="AG54" i="110"/>
  <c r="AD54" i="110"/>
  <c r="AE54" i="110"/>
  <c r="AA54" i="110"/>
  <c r="AC54" i="110"/>
  <c r="AB54" i="110"/>
  <c r="Y54" i="110"/>
  <c r="AF54" i="110"/>
  <c r="Z54" i="110"/>
  <c r="AL54" i="110" l="1"/>
  <c r="V54" i="110"/>
  <c r="Y54" i="111"/>
  <c r="N54" i="111"/>
  <c r="AH54" i="110"/>
  <c r="Y55" i="110" a="1"/>
  <c r="R54" i="111"/>
  <c r="J54" i="111"/>
  <c r="U54" i="111"/>
  <c r="M54" i="111"/>
  <c r="K54" i="111"/>
  <c r="V54" i="111"/>
  <c r="R54" i="110"/>
  <c r="I55" i="110" a="1"/>
  <c r="G54" i="111"/>
  <c r="AK54" i="110"/>
  <c r="T54" i="111"/>
  <c r="S54" i="110"/>
  <c r="O54" i="112"/>
  <c r="O54" i="111"/>
  <c r="X54" i="111"/>
  <c r="T54" i="110"/>
  <c r="H54" i="111"/>
  <c r="W54" i="111"/>
  <c r="U54" i="110"/>
  <c r="I54" i="111"/>
  <c r="AJ54" i="110"/>
  <c r="S54" i="111"/>
  <c r="AI54" i="110"/>
  <c r="Z54" i="112"/>
  <c r="Z54" i="111"/>
  <c r="L54" i="111"/>
  <c r="AA54" i="111" l="1"/>
  <c r="Q55" i="110"/>
  <c r="O55" i="110"/>
  <c r="N55" i="110"/>
  <c r="M55" i="110"/>
  <c r="K55" i="110"/>
  <c r="I55" i="110"/>
  <c r="J55" i="110"/>
  <c r="L55" i="110"/>
  <c r="P55" i="110"/>
  <c r="AF55" i="110"/>
  <c r="AC55" i="110"/>
  <c r="Z55" i="110"/>
  <c r="AB55" i="110"/>
  <c r="AG55" i="110"/>
  <c r="AA55" i="110"/>
  <c r="AD55" i="110"/>
  <c r="AE55" i="110"/>
  <c r="Y55" i="110"/>
  <c r="P54" i="111"/>
  <c r="AL55" i="110" l="1"/>
  <c r="V55" i="110"/>
  <c r="AJ55" i="110"/>
  <c r="S55" i="111"/>
  <c r="J55" i="111"/>
  <c r="V55" i="111"/>
  <c r="T55" i="110"/>
  <c r="H55" i="111"/>
  <c r="AH55" i="110"/>
  <c r="Y56" i="110" a="1"/>
  <c r="R55" i="111"/>
  <c r="Y55" i="111"/>
  <c r="R55" i="110"/>
  <c r="I56" i="110" a="1"/>
  <c r="G55" i="111"/>
  <c r="X55" i="111"/>
  <c r="U55" i="110"/>
  <c r="I55" i="111"/>
  <c r="W55" i="111"/>
  <c r="K55" i="111"/>
  <c r="AK55" i="110"/>
  <c r="T55" i="111"/>
  <c r="L55" i="111"/>
  <c r="AI55" i="110"/>
  <c r="Z55" i="112"/>
  <c r="Z55" i="111"/>
  <c r="M55" i="111"/>
  <c r="U55" i="111"/>
  <c r="N55" i="111"/>
  <c r="S55" i="110"/>
  <c r="O55" i="112"/>
  <c r="O55" i="111"/>
  <c r="P55" i="111" l="1"/>
  <c r="AA55" i="111"/>
  <c r="Q56" i="110"/>
  <c r="I56" i="110"/>
  <c r="J56" i="110"/>
  <c r="P56" i="110"/>
  <c r="M56" i="110"/>
  <c r="N56" i="110"/>
  <c r="K56" i="110"/>
  <c r="L56" i="110"/>
  <c r="O56" i="110"/>
  <c r="Z56" i="110"/>
  <c r="AC56" i="110"/>
  <c r="AD56" i="110"/>
  <c r="Y56" i="110"/>
  <c r="AE56" i="110"/>
  <c r="AB56" i="110"/>
  <c r="AG56" i="110"/>
  <c r="AF56" i="110"/>
  <c r="AA56" i="110"/>
  <c r="AL56" i="110" l="1"/>
  <c r="V56" i="110"/>
  <c r="U56" i="111"/>
  <c r="J56" i="111"/>
  <c r="X56" i="111"/>
  <c r="U56" i="110"/>
  <c r="I56" i="111"/>
  <c r="AH56" i="110"/>
  <c r="Y57" i="110" a="1"/>
  <c r="R56" i="111"/>
  <c r="L56" i="111"/>
  <c r="W56" i="111"/>
  <c r="K56" i="111"/>
  <c r="V56" i="111"/>
  <c r="N56" i="111"/>
  <c r="AK56" i="110"/>
  <c r="T56" i="111"/>
  <c r="AJ56" i="110"/>
  <c r="S56" i="111"/>
  <c r="T56" i="110"/>
  <c r="H56" i="111"/>
  <c r="Y56" i="111"/>
  <c r="R56" i="110"/>
  <c r="I57" i="110" a="1"/>
  <c r="G56" i="111"/>
  <c r="Z56" i="111"/>
  <c r="AI56" i="110"/>
  <c r="Z56" i="112"/>
  <c r="M56" i="111"/>
  <c r="O56" i="111"/>
  <c r="O56" i="112"/>
  <c r="S56" i="110"/>
  <c r="AA56" i="111" l="1"/>
  <c r="P56" i="111"/>
  <c r="AB57" i="110"/>
  <c r="AE57" i="110"/>
  <c r="AG57" i="110"/>
  <c r="AD57" i="110"/>
  <c r="Z57" i="110"/>
  <c r="AF57" i="110"/>
  <c r="AA57" i="110"/>
  <c r="Y57" i="110"/>
  <c r="AC57" i="110"/>
  <c r="I57" i="110"/>
  <c r="O57" i="110"/>
  <c r="N57" i="110"/>
  <c r="L57" i="110"/>
  <c r="K57" i="110"/>
  <c r="Q57" i="110"/>
  <c r="M57" i="110"/>
  <c r="P57" i="110"/>
  <c r="J57" i="110"/>
  <c r="AL57" i="110" l="1"/>
  <c r="V57" i="110"/>
  <c r="L57" i="111"/>
  <c r="X57" i="111"/>
  <c r="M57" i="111"/>
  <c r="V57" i="111"/>
  <c r="U57" i="111"/>
  <c r="S57" i="110"/>
  <c r="O57" i="112"/>
  <c r="O57" i="111"/>
  <c r="T57" i="110"/>
  <c r="H57" i="111"/>
  <c r="G57" i="111"/>
  <c r="R57" i="110"/>
  <c r="I58" i="110" a="1"/>
  <c r="AH57" i="110"/>
  <c r="Y58" i="110" a="1"/>
  <c r="R57" i="111"/>
  <c r="N57" i="111"/>
  <c r="AK57" i="110"/>
  <c r="T57" i="111"/>
  <c r="K57" i="111"/>
  <c r="Y57" i="111"/>
  <c r="U57" i="110"/>
  <c r="I57" i="111"/>
  <c r="W57" i="111"/>
  <c r="AJ57" i="110"/>
  <c r="S57" i="111"/>
  <c r="J57" i="111"/>
  <c r="Z57" i="112"/>
  <c r="AI57" i="110"/>
  <c r="Z57" i="111"/>
  <c r="AA57" i="111" l="1"/>
  <c r="I58" i="110"/>
  <c r="Q58" i="110"/>
  <c r="O58" i="110"/>
  <c r="P58" i="110"/>
  <c r="L58" i="110"/>
  <c r="J58" i="110"/>
  <c r="M58" i="110"/>
  <c r="N58" i="110"/>
  <c r="K58" i="110"/>
  <c r="AC58" i="110"/>
  <c r="AB58" i="110"/>
  <c r="Z58" i="110"/>
  <c r="AD58" i="110"/>
  <c r="AG58" i="110"/>
  <c r="AA58" i="110"/>
  <c r="AE58" i="110"/>
  <c r="Y58" i="110"/>
  <c r="AF58" i="110"/>
  <c r="P57" i="111"/>
  <c r="V58" i="110" l="1"/>
  <c r="AL58" i="110"/>
  <c r="AI58" i="110"/>
  <c r="Z58" i="112"/>
  <c r="Z58" i="111"/>
  <c r="T58" i="110"/>
  <c r="H58" i="111"/>
  <c r="W58" i="111"/>
  <c r="J58" i="111"/>
  <c r="AJ58" i="110"/>
  <c r="S58" i="111"/>
  <c r="N58" i="111"/>
  <c r="U58" i="111"/>
  <c r="M58" i="111"/>
  <c r="Y58" i="111"/>
  <c r="V58" i="111"/>
  <c r="O58" i="112"/>
  <c r="S58" i="110"/>
  <c r="O58" i="111"/>
  <c r="AH58" i="110"/>
  <c r="Y59" i="110" a="1"/>
  <c r="R58" i="111"/>
  <c r="U58" i="110"/>
  <c r="I58" i="111"/>
  <c r="R58" i="110"/>
  <c r="I59" i="110" a="1"/>
  <c r="G58" i="111"/>
  <c r="X58" i="111"/>
  <c r="L58" i="111"/>
  <c r="AK58" i="110"/>
  <c r="T58" i="111"/>
  <c r="K58" i="111"/>
  <c r="AA59" i="110" l="1"/>
  <c r="AC59" i="110"/>
  <c r="Z59" i="110"/>
  <c r="AD59" i="110"/>
  <c r="Y59" i="110"/>
  <c r="AE59" i="110"/>
  <c r="AB59" i="110"/>
  <c r="AF59" i="110"/>
  <c r="AG59" i="110"/>
  <c r="P58" i="111"/>
  <c r="O59" i="110"/>
  <c r="I59" i="110"/>
  <c r="N59" i="110"/>
  <c r="L59" i="110"/>
  <c r="M59" i="110"/>
  <c r="K59" i="110"/>
  <c r="Q59" i="110"/>
  <c r="J59" i="110"/>
  <c r="P59" i="110"/>
  <c r="AA58" i="111"/>
  <c r="V59" i="110" l="1"/>
  <c r="AL59" i="110"/>
  <c r="N59" i="111"/>
  <c r="M59" i="111"/>
  <c r="X59" i="111"/>
  <c r="T59" i="110"/>
  <c r="H59" i="111"/>
  <c r="AH59" i="110"/>
  <c r="Y60" i="110" a="1"/>
  <c r="R59" i="111"/>
  <c r="S59" i="110"/>
  <c r="O59" i="112"/>
  <c r="O59" i="111"/>
  <c r="W59" i="111"/>
  <c r="U59" i="110"/>
  <c r="I59" i="111"/>
  <c r="AJ59" i="110"/>
  <c r="S59" i="111"/>
  <c r="K59" i="111"/>
  <c r="V59" i="111"/>
  <c r="J59" i="111"/>
  <c r="Z59" i="112"/>
  <c r="AI59" i="110"/>
  <c r="Z59" i="111"/>
  <c r="T59" i="111"/>
  <c r="AK59" i="110"/>
  <c r="L59" i="111"/>
  <c r="Y59" i="111"/>
  <c r="R59" i="110"/>
  <c r="I60" i="110" a="1"/>
  <c r="G59" i="111"/>
  <c r="U59" i="111"/>
  <c r="P59" i="111" l="1"/>
  <c r="AA59" i="111"/>
  <c r="K60" i="110"/>
  <c r="J60" i="110"/>
  <c r="Q60" i="110"/>
  <c r="I60" i="110"/>
  <c r="M60" i="110"/>
  <c r="O60" i="110"/>
  <c r="P60" i="110"/>
  <c r="L60" i="110"/>
  <c r="N60" i="110"/>
  <c r="AA60" i="110"/>
  <c r="Z60" i="110"/>
  <c r="AD60" i="110"/>
  <c r="AF60" i="110"/>
  <c r="AE60" i="110"/>
  <c r="AB60" i="110"/>
  <c r="AG60" i="110"/>
  <c r="Y60" i="110"/>
  <c r="AC60" i="110"/>
  <c r="V60" i="110" l="1"/>
  <c r="AL60" i="110"/>
  <c r="W60" i="111"/>
  <c r="M60" i="111"/>
  <c r="AJ60" i="110"/>
  <c r="S60" i="111"/>
  <c r="K60" i="111"/>
  <c r="V60" i="111"/>
  <c r="T60" i="111"/>
  <c r="AK60" i="110"/>
  <c r="R60" i="110"/>
  <c r="I61" i="110" a="1"/>
  <c r="G60" i="111"/>
  <c r="AH60" i="110"/>
  <c r="Y61" i="110" a="1"/>
  <c r="R60" i="111"/>
  <c r="O60" i="112"/>
  <c r="S60" i="110"/>
  <c r="O60" i="111"/>
  <c r="AI60" i="110"/>
  <c r="Z60" i="112"/>
  <c r="Z60" i="111"/>
  <c r="T60" i="110"/>
  <c r="H60" i="111"/>
  <c r="U60" i="111"/>
  <c r="L60" i="111"/>
  <c r="U60" i="110"/>
  <c r="I60" i="111"/>
  <c r="X60" i="111"/>
  <c r="J60" i="111"/>
  <c r="Y60" i="111"/>
  <c r="N60" i="111"/>
  <c r="Z61" i="110" l="1"/>
  <c r="AC61" i="110"/>
  <c r="AF61" i="110"/>
  <c r="AB61" i="110"/>
  <c r="AG61" i="110"/>
  <c r="AD61" i="110"/>
  <c r="AE61" i="110"/>
  <c r="AA61" i="110"/>
  <c r="Y61" i="110"/>
  <c r="M61" i="110"/>
  <c r="O61" i="110"/>
  <c r="L61" i="110"/>
  <c r="Q61" i="110"/>
  <c r="K61" i="110"/>
  <c r="I61" i="110"/>
  <c r="N61" i="110"/>
  <c r="P61" i="110"/>
  <c r="J61" i="110"/>
  <c r="AA60" i="111"/>
  <c r="P60" i="111"/>
  <c r="V61" i="110" l="1"/>
  <c r="AL61" i="110"/>
  <c r="N61" i="111"/>
  <c r="AH61" i="110"/>
  <c r="Y62" i="110" a="1"/>
  <c r="R61" i="111"/>
  <c r="AJ61" i="110"/>
  <c r="S61" i="111"/>
  <c r="L61" i="111"/>
  <c r="AK61" i="110"/>
  <c r="T61" i="111"/>
  <c r="R61" i="110"/>
  <c r="I62" i="110" a="1"/>
  <c r="G61" i="111"/>
  <c r="X61" i="111"/>
  <c r="U61" i="110"/>
  <c r="I61" i="111"/>
  <c r="W61" i="111"/>
  <c r="S61" i="110"/>
  <c r="O61" i="112"/>
  <c r="O61" i="111"/>
  <c r="AI61" i="110"/>
  <c r="Z61" i="112"/>
  <c r="Z61" i="111"/>
  <c r="J61" i="111"/>
  <c r="U61" i="111"/>
  <c r="M61" i="111"/>
  <c r="Y61" i="111"/>
  <c r="T61" i="110"/>
  <c r="H61" i="111"/>
  <c r="K61" i="111"/>
  <c r="V61" i="111"/>
  <c r="K62" i="110" l="1"/>
  <c r="I62" i="110"/>
  <c r="M62" i="110"/>
  <c r="Q62" i="110"/>
  <c r="O62" i="110"/>
  <c r="P62" i="110"/>
  <c r="N62" i="110"/>
  <c r="L62" i="110"/>
  <c r="J62" i="110"/>
  <c r="AA61" i="111"/>
  <c r="AC62" i="110"/>
  <c r="Y62" i="110"/>
  <c r="AF62" i="110"/>
  <c r="AG62" i="110"/>
  <c r="AD62" i="110"/>
  <c r="AA62" i="110"/>
  <c r="Z62" i="110"/>
  <c r="AE62" i="110"/>
  <c r="AB62" i="110"/>
  <c r="P61" i="111"/>
  <c r="AL62" i="110" l="1"/>
  <c r="V62" i="110"/>
  <c r="Y62" i="111"/>
  <c r="M62" i="111"/>
  <c r="AH62" i="110"/>
  <c r="Y63" i="110" a="1"/>
  <c r="R62" i="111"/>
  <c r="O62" i="112"/>
  <c r="S62" i="110"/>
  <c r="O62" i="111"/>
  <c r="X62" i="111"/>
  <c r="R62" i="110"/>
  <c r="I63" i="110" a="1"/>
  <c r="G62" i="111"/>
  <c r="S62" i="111"/>
  <c r="AJ62" i="110"/>
  <c r="T62" i="110"/>
  <c r="H62" i="111"/>
  <c r="U62" i="110"/>
  <c r="I62" i="111"/>
  <c r="AK62" i="110"/>
  <c r="T62" i="111"/>
  <c r="J62" i="111"/>
  <c r="K62" i="111"/>
  <c r="W62" i="111"/>
  <c r="L62" i="111"/>
  <c r="U62" i="111"/>
  <c r="V62" i="111"/>
  <c r="AI62" i="110"/>
  <c r="Z62" i="112"/>
  <c r="Z62" i="111"/>
  <c r="N62" i="111"/>
  <c r="P62" i="111" l="1"/>
  <c r="AA62" i="111"/>
  <c r="O63" i="110"/>
  <c r="Q63" i="110"/>
  <c r="N63" i="110"/>
  <c r="K63" i="110"/>
  <c r="J63" i="110"/>
  <c r="P63" i="110"/>
  <c r="I63" i="110"/>
  <c r="M63" i="110"/>
  <c r="L63" i="110"/>
  <c r="AC63" i="110"/>
  <c r="AD63" i="110"/>
  <c r="AA63" i="110"/>
  <c r="Z63" i="110"/>
  <c r="Y63" i="110"/>
  <c r="AB63" i="110"/>
  <c r="AF63" i="110"/>
  <c r="AE63" i="110"/>
  <c r="AG63" i="110"/>
  <c r="V63" i="110" l="1"/>
  <c r="AL63" i="110"/>
  <c r="T63" i="110"/>
  <c r="H63" i="111"/>
  <c r="AJ63" i="110"/>
  <c r="S63" i="111"/>
  <c r="U63" i="110"/>
  <c r="I63" i="111"/>
  <c r="AK63" i="110"/>
  <c r="T63" i="111"/>
  <c r="L63" i="111"/>
  <c r="AH63" i="110"/>
  <c r="Y64" i="110" a="1"/>
  <c r="R63" i="111"/>
  <c r="W63" i="111"/>
  <c r="O63" i="111"/>
  <c r="S63" i="110"/>
  <c r="O63" i="112"/>
  <c r="Z63" i="112"/>
  <c r="AI63" i="110"/>
  <c r="Z63" i="111"/>
  <c r="V63" i="111"/>
  <c r="J63" i="111"/>
  <c r="M63" i="111"/>
  <c r="X63" i="111"/>
  <c r="K63" i="111"/>
  <c r="Y63" i="111"/>
  <c r="R63" i="110"/>
  <c r="I64" i="110" a="1"/>
  <c r="G63" i="111"/>
  <c r="U63" i="111"/>
  <c r="N63" i="111"/>
  <c r="AD64" i="110" l="1"/>
  <c r="Y64" i="110"/>
  <c r="AG64" i="110"/>
  <c r="AF64" i="110"/>
  <c r="AB64" i="110"/>
  <c r="AA64" i="110"/>
  <c r="AE64" i="110"/>
  <c r="AC64" i="110"/>
  <c r="Z64" i="110"/>
  <c r="P63" i="111"/>
  <c r="AA63" i="111"/>
  <c r="J64" i="110"/>
  <c r="Q64" i="110"/>
  <c r="K64" i="110"/>
  <c r="N64" i="110"/>
  <c r="L64" i="110"/>
  <c r="I64" i="110"/>
  <c r="O64" i="110"/>
  <c r="P64" i="110"/>
  <c r="M64" i="110"/>
  <c r="AL64" i="110" l="1"/>
  <c r="V64" i="110"/>
  <c r="L64" i="111"/>
  <c r="U64" i="110"/>
  <c r="I64" i="111"/>
  <c r="Z64" i="112"/>
  <c r="AI64" i="110"/>
  <c r="Z64" i="111"/>
  <c r="Y64" i="111"/>
  <c r="O64" i="112"/>
  <c r="S64" i="110"/>
  <c r="O64" i="111"/>
  <c r="R64" i="111"/>
  <c r="AH64" i="110"/>
  <c r="Y65" i="110" a="1"/>
  <c r="K64" i="111"/>
  <c r="H64" i="111"/>
  <c r="T64" i="110"/>
  <c r="AJ64" i="110"/>
  <c r="S64" i="111"/>
  <c r="W64" i="111"/>
  <c r="N64" i="111"/>
  <c r="V64" i="111"/>
  <c r="M64" i="111"/>
  <c r="X64" i="111"/>
  <c r="R64" i="110"/>
  <c r="I65" i="110" a="1"/>
  <c r="G64" i="111"/>
  <c r="AK64" i="110"/>
  <c r="T64" i="111"/>
  <c r="J64" i="111"/>
  <c r="U64" i="111"/>
  <c r="N65" i="110" l="1"/>
  <c r="J65" i="110"/>
  <c r="M65" i="110"/>
  <c r="L65" i="110"/>
  <c r="K65" i="110"/>
  <c r="I65" i="110"/>
  <c r="Q65" i="110"/>
  <c r="P65" i="110"/>
  <c r="O65" i="110"/>
  <c r="Y65" i="110"/>
  <c r="AG65" i="110"/>
  <c r="Z65" i="110"/>
  <c r="AA65" i="110"/>
  <c r="AF65" i="110"/>
  <c r="AD65" i="110"/>
  <c r="AC65" i="110"/>
  <c r="AE65" i="110"/>
  <c r="AB65" i="110"/>
  <c r="AA64" i="111"/>
  <c r="P64" i="111"/>
  <c r="AL65" i="110" l="1"/>
  <c r="V65" i="110"/>
  <c r="AI65" i="110"/>
  <c r="Z65" i="112"/>
  <c r="Z65" i="111"/>
  <c r="M65" i="111"/>
  <c r="L65" i="111"/>
  <c r="U65" i="111"/>
  <c r="AH65" i="110"/>
  <c r="Y66" i="110" a="1"/>
  <c r="R65" i="111"/>
  <c r="N65" i="111"/>
  <c r="X65" i="111"/>
  <c r="O65" i="112"/>
  <c r="S65" i="110"/>
  <c r="O65" i="111"/>
  <c r="V65" i="111"/>
  <c r="R65" i="110"/>
  <c r="I66" i="110" a="1"/>
  <c r="G65" i="111"/>
  <c r="W65" i="111"/>
  <c r="U65" i="110"/>
  <c r="I65" i="111"/>
  <c r="Y65" i="111"/>
  <c r="J65" i="111"/>
  <c r="AK65" i="110"/>
  <c r="T65" i="111"/>
  <c r="K65" i="111"/>
  <c r="AJ65" i="110"/>
  <c r="S65" i="111"/>
  <c r="T65" i="110"/>
  <c r="H65" i="111"/>
  <c r="L66" i="110" l="1"/>
  <c r="O66" i="110"/>
  <c r="P66" i="110"/>
  <c r="K66" i="110"/>
  <c r="N66" i="110"/>
  <c r="J66" i="110"/>
  <c r="M66" i="110"/>
  <c r="Q66" i="110"/>
  <c r="I66" i="110"/>
  <c r="AA65" i="111"/>
  <c r="P65" i="111"/>
  <c r="AC66" i="110"/>
  <c r="AA66" i="110"/>
  <c r="AB66" i="110"/>
  <c r="Y66" i="110"/>
  <c r="Z66" i="110"/>
  <c r="AG66" i="110"/>
  <c r="AF66" i="110"/>
  <c r="AD66" i="110"/>
  <c r="AE66" i="110"/>
  <c r="AL66" i="110" l="1"/>
  <c r="V66" i="110"/>
  <c r="U66" i="111"/>
  <c r="S66" i="110"/>
  <c r="O66" i="112"/>
  <c r="O66" i="111"/>
  <c r="AK66" i="110"/>
  <c r="T66" i="111"/>
  <c r="K66" i="111"/>
  <c r="X66" i="111"/>
  <c r="V66" i="111"/>
  <c r="H66" i="111"/>
  <c r="T66" i="110"/>
  <c r="W66" i="111"/>
  <c r="L66" i="111"/>
  <c r="Y66" i="111"/>
  <c r="U66" i="110"/>
  <c r="I66" i="111"/>
  <c r="AI66" i="110"/>
  <c r="Z66" i="112"/>
  <c r="Z66" i="111"/>
  <c r="N66" i="111"/>
  <c r="AJ66" i="110"/>
  <c r="S66" i="111"/>
  <c r="M66" i="111"/>
  <c r="AH66" i="110"/>
  <c r="Y67" i="110" a="1"/>
  <c r="R66" i="111"/>
  <c r="R66" i="110"/>
  <c r="I67" i="110" a="1"/>
  <c r="G66" i="111"/>
  <c r="J66" i="111"/>
  <c r="M67" i="110" l="1"/>
  <c r="O67" i="110"/>
  <c r="K67" i="110"/>
  <c r="N67" i="110"/>
  <c r="J67" i="110"/>
  <c r="L67" i="110"/>
  <c r="Q67" i="110"/>
  <c r="P67" i="110"/>
  <c r="I67" i="110"/>
  <c r="AC67" i="110"/>
  <c r="AG67" i="110"/>
  <c r="AE67" i="110"/>
  <c r="AD67" i="110"/>
  <c r="AF67" i="110"/>
  <c r="AB67" i="110"/>
  <c r="AA67" i="110"/>
  <c r="Z67" i="110"/>
  <c r="Y67" i="110"/>
  <c r="AA66" i="111"/>
  <c r="P66" i="111"/>
  <c r="V67" i="110" l="1"/>
  <c r="AL67" i="110"/>
  <c r="AH67" i="110"/>
  <c r="Y68" i="110" a="1"/>
  <c r="R67" i="111"/>
  <c r="V67" i="111"/>
  <c r="M67" i="111"/>
  <c r="S67" i="111"/>
  <c r="AJ67" i="110"/>
  <c r="R67" i="110"/>
  <c r="I68" i="110" a="1"/>
  <c r="G67" i="111"/>
  <c r="K67" i="111"/>
  <c r="AK67" i="110"/>
  <c r="T67" i="111"/>
  <c r="N67" i="111"/>
  <c r="U67" i="111"/>
  <c r="S67" i="110"/>
  <c r="O67" i="112"/>
  <c r="O67" i="111"/>
  <c r="Y67" i="111"/>
  <c r="J67" i="111"/>
  <c r="W67" i="111"/>
  <c r="T67" i="110"/>
  <c r="H67" i="111"/>
  <c r="X67" i="111"/>
  <c r="L67" i="111"/>
  <c r="Z67" i="112"/>
  <c r="AI67" i="110"/>
  <c r="Z67" i="111"/>
  <c r="U67" i="110"/>
  <c r="I67" i="111"/>
  <c r="AD68" i="110" l="1"/>
  <c r="AA68" i="110"/>
  <c r="Z68" i="110"/>
  <c r="AG68" i="110"/>
  <c r="Y68" i="110"/>
  <c r="AB68" i="110"/>
  <c r="AE68" i="110"/>
  <c r="AF68" i="110"/>
  <c r="AC68" i="110"/>
  <c r="P68" i="110"/>
  <c r="Q68" i="110"/>
  <c r="L68" i="110"/>
  <c r="I68" i="110"/>
  <c r="M68" i="110"/>
  <c r="K68" i="110"/>
  <c r="O68" i="110"/>
  <c r="J68" i="110"/>
  <c r="N68" i="110"/>
  <c r="AA67" i="111"/>
  <c r="P67" i="111"/>
  <c r="V68" i="110" l="1"/>
  <c r="AL68" i="110"/>
  <c r="M68" i="111"/>
  <c r="U68" i="111"/>
  <c r="U68" i="110"/>
  <c r="I68" i="111"/>
  <c r="AH68" i="110"/>
  <c r="Y69" i="110" a="1"/>
  <c r="R68" i="111"/>
  <c r="K68" i="111"/>
  <c r="Z68" i="111"/>
  <c r="Z68" i="112"/>
  <c r="AI68" i="110"/>
  <c r="R68" i="110"/>
  <c r="I69" i="110" a="1"/>
  <c r="G68" i="111"/>
  <c r="AJ68" i="110"/>
  <c r="S68" i="111"/>
  <c r="J68" i="111"/>
  <c r="AK68" i="110"/>
  <c r="T68" i="111"/>
  <c r="O68" i="111"/>
  <c r="S68" i="110"/>
  <c r="O68" i="112"/>
  <c r="V68" i="111"/>
  <c r="W68" i="111"/>
  <c r="L68" i="111"/>
  <c r="N68" i="111"/>
  <c r="Y68" i="111"/>
  <c r="T68" i="110"/>
  <c r="H68" i="111"/>
  <c r="X68" i="111"/>
  <c r="P68" i="111" l="1"/>
  <c r="AF69" i="110"/>
  <c r="AE69" i="110"/>
  <c r="AG69" i="110"/>
  <c r="AC69" i="110"/>
  <c r="AA69" i="110"/>
  <c r="AB69" i="110"/>
  <c r="Z69" i="110"/>
  <c r="AD69" i="110"/>
  <c r="Y69" i="110"/>
  <c r="K69" i="110"/>
  <c r="I69" i="110"/>
  <c r="P69" i="110"/>
  <c r="J69" i="110"/>
  <c r="O69" i="110"/>
  <c r="Q69" i="110"/>
  <c r="N69" i="110"/>
  <c r="L69" i="110"/>
  <c r="M69" i="110"/>
  <c r="AA68" i="111"/>
  <c r="AL69" i="110" l="1"/>
  <c r="V69" i="110"/>
  <c r="M69" i="111"/>
  <c r="T69" i="110"/>
  <c r="H69" i="111"/>
  <c r="AI69" i="110"/>
  <c r="Z69" i="112"/>
  <c r="Z69" i="111"/>
  <c r="N69" i="111"/>
  <c r="X69" i="111"/>
  <c r="R69" i="110"/>
  <c r="I70" i="110" a="1"/>
  <c r="G69" i="111"/>
  <c r="AH69" i="110"/>
  <c r="Y70" i="110" a="1"/>
  <c r="R69" i="111"/>
  <c r="Y69" i="111"/>
  <c r="K69" i="111"/>
  <c r="U69" i="110"/>
  <c r="I69" i="111"/>
  <c r="W69" i="111"/>
  <c r="J69" i="111"/>
  <c r="AJ69" i="110"/>
  <c r="S69" i="111"/>
  <c r="L69" i="111"/>
  <c r="U69" i="111"/>
  <c r="S69" i="110"/>
  <c r="O69" i="112"/>
  <c r="O69" i="111"/>
  <c r="AK69" i="110"/>
  <c r="T69" i="111"/>
  <c r="V69" i="111"/>
  <c r="P69" i="111" l="1"/>
  <c r="AA69" i="111"/>
  <c r="Q70" i="110"/>
  <c r="P70" i="110"/>
  <c r="I70" i="110"/>
  <c r="N70" i="110"/>
  <c r="K70" i="110"/>
  <c r="O70" i="110"/>
  <c r="L70" i="110"/>
  <c r="J70" i="110"/>
  <c r="M70" i="110"/>
  <c r="AD70" i="110"/>
  <c r="Y70" i="110"/>
  <c r="AC70" i="110"/>
  <c r="AB70" i="110"/>
  <c r="AF70" i="110"/>
  <c r="Z70" i="110"/>
  <c r="AA70" i="110"/>
  <c r="AG70" i="110"/>
  <c r="AE70" i="110"/>
  <c r="AL70" i="110" l="1"/>
  <c r="V70" i="110"/>
  <c r="M70" i="111"/>
  <c r="U70" i="111"/>
  <c r="V70" i="111"/>
  <c r="AH70" i="110"/>
  <c r="Y71" i="110" a="1"/>
  <c r="R70" i="111"/>
  <c r="R70" i="110"/>
  <c r="I71" i="110" a="1"/>
  <c r="G70" i="111"/>
  <c r="N70" i="111"/>
  <c r="K70" i="111"/>
  <c r="S70" i="110"/>
  <c r="O70" i="112"/>
  <c r="O70" i="111"/>
  <c r="X70" i="111"/>
  <c r="W70" i="111"/>
  <c r="AI70" i="110"/>
  <c r="Z70" i="112"/>
  <c r="Z70" i="111"/>
  <c r="T70" i="110"/>
  <c r="H70" i="111"/>
  <c r="AK70" i="110"/>
  <c r="T70" i="111"/>
  <c r="AJ70" i="110"/>
  <c r="S70" i="111"/>
  <c r="J70" i="111"/>
  <c r="U70" i="110"/>
  <c r="I70" i="111"/>
  <c r="Y70" i="111"/>
  <c r="L70" i="111"/>
  <c r="AA70" i="111" l="1"/>
  <c r="P70" i="111"/>
  <c r="AE71" i="110"/>
  <c r="AB71" i="110"/>
  <c r="AC71" i="110"/>
  <c r="AF71" i="110"/>
  <c r="AD71" i="110"/>
  <c r="AG71" i="110"/>
  <c r="Z71" i="110"/>
  <c r="AA71" i="110"/>
  <c r="Y71" i="110"/>
  <c r="K71" i="110"/>
  <c r="Q71" i="110"/>
  <c r="M71" i="110"/>
  <c r="O71" i="110"/>
  <c r="L71" i="110"/>
  <c r="P71" i="110"/>
  <c r="I71" i="110"/>
  <c r="J71" i="110"/>
  <c r="N71" i="110"/>
  <c r="V71" i="110" l="1"/>
  <c r="AL71" i="110"/>
  <c r="L71" i="111"/>
  <c r="U71" i="110"/>
  <c r="I71" i="111"/>
  <c r="AJ71" i="110"/>
  <c r="S71" i="111"/>
  <c r="Z71" i="111"/>
  <c r="Z71" i="112"/>
  <c r="AI71" i="110"/>
  <c r="R71" i="110"/>
  <c r="I72" i="110" a="1"/>
  <c r="G71" i="111"/>
  <c r="W71" i="111"/>
  <c r="T71" i="110"/>
  <c r="H71" i="111"/>
  <c r="N71" i="111"/>
  <c r="Y71" i="111"/>
  <c r="J71" i="111"/>
  <c r="V71" i="111"/>
  <c r="U71" i="111"/>
  <c r="M71" i="111"/>
  <c r="K71" i="111"/>
  <c r="AH71" i="110"/>
  <c r="Y72" i="110" a="1"/>
  <c r="R71" i="111"/>
  <c r="X71" i="111"/>
  <c r="S71" i="110"/>
  <c r="O71" i="112"/>
  <c r="O71" i="111"/>
  <c r="AK71" i="110"/>
  <c r="T71" i="111"/>
  <c r="Y72" i="110" l="1"/>
  <c r="AC72" i="110"/>
  <c r="AG72" i="110"/>
  <c r="AE72" i="110"/>
  <c r="AF72" i="110"/>
  <c r="Z72" i="110"/>
  <c r="AD72" i="110"/>
  <c r="AB72" i="110"/>
  <c r="AA72" i="110"/>
  <c r="P71" i="111"/>
  <c r="J72" i="110"/>
  <c r="M72" i="110"/>
  <c r="O72" i="110"/>
  <c r="K72" i="110"/>
  <c r="N72" i="110"/>
  <c r="P72" i="110"/>
  <c r="I72" i="110"/>
  <c r="L72" i="110"/>
  <c r="Q72" i="110"/>
  <c r="AA71" i="111"/>
  <c r="AL72" i="110" l="1"/>
  <c r="V72" i="110"/>
  <c r="L72" i="111"/>
  <c r="Y72" i="111"/>
  <c r="U72" i="110"/>
  <c r="I72" i="111"/>
  <c r="X72" i="111"/>
  <c r="M72" i="111"/>
  <c r="AI72" i="110"/>
  <c r="Z72" i="112"/>
  <c r="Z72" i="111"/>
  <c r="K72" i="111"/>
  <c r="V72" i="111"/>
  <c r="O72" i="112"/>
  <c r="S72" i="110"/>
  <c r="O72" i="111"/>
  <c r="T72" i="110"/>
  <c r="H72" i="111"/>
  <c r="T72" i="111"/>
  <c r="AK72" i="110"/>
  <c r="AH72" i="110"/>
  <c r="Y73" i="110" a="1"/>
  <c r="R72" i="111"/>
  <c r="J72" i="111"/>
  <c r="U72" i="111"/>
  <c r="R72" i="110"/>
  <c r="I73" i="110" a="1"/>
  <c r="G72" i="111"/>
  <c r="W72" i="111"/>
  <c r="N72" i="111"/>
  <c r="AJ72" i="110"/>
  <c r="S72" i="111"/>
  <c r="AA72" i="111" l="1"/>
  <c r="AG73" i="110"/>
  <c r="Y73" i="110"/>
  <c r="AD73" i="110"/>
  <c r="AE73" i="110"/>
  <c r="AA73" i="110"/>
  <c r="AF73" i="110"/>
  <c r="AC73" i="110"/>
  <c r="AB73" i="110"/>
  <c r="Z73" i="110"/>
  <c r="P72" i="111"/>
  <c r="N73" i="110"/>
  <c r="M73" i="110"/>
  <c r="J73" i="110"/>
  <c r="P73" i="110"/>
  <c r="L73" i="110"/>
  <c r="K73" i="110"/>
  <c r="I73" i="110"/>
  <c r="O73" i="110"/>
  <c r="Q73" i="110"/>
  <c r="AL73" i="110" l="1"/>
  <c r="V73" i="110"/>
  <c r="J73" i="111"/>
  <c r="U73" i="111"/>
  <c r="N73" i="111"/>
  <c r="V73" i="111"/>
  <c r="T73" i="110"/>
  <c r="H73" i="111"/>
  <c r="Y73" i="111"/>
  <c r="K73" i="111"/>
  <c r="AK73" i="110"/>
  <c r="T73" i="111"/>
  <c r="O73" i="112"/>
  <c r="S73" i="110"/>
  <c r="O73" i="111"/>
  <c r="L73" i="111"/>
  <c r="X73" i="111"/>
  <c r="M73" i="111"/>
  <c r="W73" i="111"/>
  <c r="AH73" i="110"/>
  <c r="Y74" i="110" a="1"/>
  <c r="R73" i="111"/>
  <c r="R73" i="110"/>
  <c r="I74" i="110" a="1"/>
  <c r="G73" i="111"/>
  <c r="U73" i="110"/>
  <c r="I73" i="111"/>
  <c r="AJ73" i="110"/>
  <c r="S73" i="111"/>
  <c r="AI73" i="110"/>
  <c r="Z73" i="112"/>
  <c r="Z73" i="111"/>
  <c r="AA73" i="111" l="1"/>
  <c r="P73" i="111"/>
  <c r="AA74" i="110"/>
  <c r="Z74" i="110"/>
  <c r="AG74" i="110"/>
  <c r="Y74" i="110"/>
  <c r="AD74" i="110"/>
  <c r="AF74" i="110"/>
  <c r="AB74" i="110"/>
  <c r="AE74" i="110"/>
  <c r="AC74" i="110"/>
  <c r="J74" i="110"/>
  <c r="I74" i="110"/>
  <c r="Q74" i="110"/>
  <c r="L74" i="110"/>
  <c r="K74" i="110"/>
  <c r="O74" i="110"/>
  <c r="N74" i="110"/>
  <c r="P74" i="110"/>
  <c r="M74" i="110"/>
  <c r="AL74" i="110" l="1"/>
  <c r="V74" i="110"/>
  <c r="S74" i="110"/>
  <c r="O74" i="112"/>
  <c r="O74" i="111"/>
  <c r="AJ74" i="110"/>
  <c r="S74" i="111"/>
  <c r="R74" i="110"/>
  <c r="I75" i="110" a="1"/>
  <c r="G74" i="111"/>
  <c r="V74" i="111"/>
  <c r="AK74" i="110"/>
  <c r="T74" i="111"/>
  <c r="K74" i="111"/>
  <c r="T74" i="110"/>
  <c r="H74" i="111"/>
  <c r="X74" i="111"/>
  <c r="N74" i="111"/>
  <c r="U74" i="111"/>
  <c r="L74" i="111"/>
  <c r="Y74" i="111"/>
  <c r="M74" i="111"/>
  <c r="W74" i="111"/>
  <c r="I74" i="111"/>
  <c r="U74" i="110"/>
  <c r="AH74" i="110"/>
  <c r="Y75" i="110" a="1"/>
  <c r="R74" i="111"/>
  <c r="J74" i="111"/>
  <c r="AI74" i="110"/>
  <c r="Z74" i="112"/>
  <c r="Z74" i="111"/>
  <c r="P74" i="111" l="1"/>
  <c r="Y75" i="110"/>
  <c r="AB75" i="110"/>
  <c r="AD75" i="110"/>
  <c r="AF75" i="110"/>
  <c r="AE75" i="110"/>
  <c r="AA75" i="110"/>
  <c r="AC75" i="110"/>
  <c r="Z75" i="110"/>
  <c r="AG75" i="110"/>
  <c r="M75" i="110"/>
  <c r="O75" i="110"/>
  <c r="I75" i="110"/>
  <c r="P75" i="110"/>
  <c r="Q75" i="110"/>
  <c r="J75" i="110"/>
  <c r="K75" i="110"/>
  <c r="N75" i="110"/>
  <c r="L75" i="110"/>
  <c r="AA74" i="111"/>
  <c r="AL75" i="110" l="1"/>
  <c r="V75" i="110"/>
  <c r="Y75" i="111"/>
  <c r="J75" i="111"/>
  <c r="K75" i="111"/>
  <c r="W75" i="111"/>
  <c r="L75" i="111"/>
  <c r="U75" i="111"/>
  <c r="U75" i="110"/>
  <c r="I75" i="111"/>
  <c r="Z75" i="111"/>
  <c r="AI75" i="110"/>
  <c r="Z75" i="112"/>
  <c r="AH75" i="110"/>
  <c r="Y76" i="110" a="1"/>
  <c r="R75" i="111"/>
  <c r="N75" i="111"/>
  <c r="AK75" i="110"/>
  <c r="T75" i="111"/>
  <c r="T75" i="110"/>
  <c r="H75" i="111"/>
  <c r="S75" i="111"/>
  <c r="AJ75" i="110"/>
  <c r="M75" i="111"/>
  <c r="S75" i="110"/>
  <c r="O75" i="112"/>
  <c r="O75" i="111"/>
  <c r="V75" i="111"/>
  <c r="R75" i="110"/>
  <c r="I76" i="110" a="1"/>
  <c r="G75" i="111"/>
  <c r="X75" i="111"/>
  <c r="P75" i="111" l="1"/>
  <c r="L76" i="110"/>
  <c r="P76" i="110"/>
  <c r="O76" i="110"/>
  <c r="N76" i="110"/>
  <c r="M76" i="110"/>
  <c r="K76" i="110"/>
  <c r="J76" i="110"/>
  <c r="I76" i="110"/>
  <c r="Q76" i="110"/>
  <c r="AA75" i="111"/>
  <c r="AA76" i="110"/>
  <c r="AB76" i="110"/>
  <c r="AC76" i="110"/>
  <c r="AE76" i="110"/>
  <c r="AF76" i="110"/>
  <c r="AD76" i="110"/>
  <c r="AG76" i="110"/>
  <c r="Z76" i="110"/>
  <c r="Y76" i="110"/>
  <c r="AL76" i="110" l="1"/>
  <c r="V76" i="110"/>
  <c r="U76" i="111"/>
  <c r="H76" i="111"/>
  <c r="T76" i="110"/>
  <c r="AH76" i="110"/>
  <c r="Y77" i="110" a="1"/>
  <c r="R76" i="111"/>
  <c r="AK76" i="110"/>
  <c r="T76" i="111"/>
  <c r="U76" i="110"/>
  <c r="I76" i="111"/>
  <c r="AJ76" i="110"/>
  <c r="S76" i="111"/>
  <c r="K76" i="111"/>
  <c r="Z76" i="112"/>
  <c r="AI76" i="110"/>
  <c r="Z76" i="111"/>
  <c r="L76" i="111"/>
  <c r="W76" i="111"/>
  <c r="M76" i="111"/>
  <c r="N76" i="111"/>
  <c r="X76" i="111"/>
  <c r="O76" i="111"/>
  <c r="S76" i="110"/>
  <c r="O76" i="112"/>
  <c r="J76" i="111"/>
  <c r="Y76" i="111"/>
  <c r="V76" i="111"/>
  <c r="R76" i="110"/>
  <c r="I77" i="110" a="1"/>
  <c r="G76" i="111"/>
  <c r="L77" i="110" l="1"/>
  <c r="I77" i="110"/>
  <c r="K77" i="110"/>
  <c r="P77" i="110"/>
  <c r="J77" i="110"/>
  <c r="O77" i="110"/>
  <c r="N77" i="110"/>
  <c r="Q77" i="110"/>
  <c r="M77" i="110"/>
  <c r="AA76" i="111"/>
  <c r="Y77" i="110"/>
  <c r="AG77" i="110"/>
  <c r="AD77" i="110"/>
  <c r="AC77" i="110"/>
  <c r="Z77" i="110"/>
  <c r="AB77" i="110"/>
  <c r="AE77" i="110"/>
  <c r="AA77" i="110"/>
  <c r="AF77" i="110"/>
  <c r="P76" i="111"/>
  <c r="AL77" i="110" l="1"/>
  <c r="V77" i="110"/>
  <c r="V77" i="111"/>
  <c r="U77" i="110"/>
  <c r="I77" i="111"/>
  <c r="W77" i="111"/>
  <c r="R77" i="110"/>
  <c r="I78" i="110" a="1"/>
  <c r="G77" i="111"/>
  <c r="AI77" i="110"/>
  <c r="Z77" i="112"/>
  <c r="Z77" i="111"/>
  <c r="K77" i="111"/>
  <c r="J77" i="111"/>
  <c r="Y77" i="111"/>
  <c r="AH77" i="110"/>
  <c r="Y78" i="110" a="1"/>
  <c r="R77" i="111"/>
  <c r="O77" i="111"/>
  <c r="S77" i="110"/>
  <c r="O77" i="112"/>
  <c r="AK77" i="110"/>
  <c r="T77" i="111"/>
  <c r="L77" i="111"/>
  <c r="X77" i="111"/>
  <c r="M77" i="111"/>
  <c r="U77" i="111"/>
  <c r="T77" i="110"/>
  <c r="H77" i="111"/>
  <c r="AJ77" i="110"/>
  <c r="S77" i="111"/>
  <c r="N77" i="111"/>
  <c r="AA78" i="110" l="1"/>
  <c r="Z78" i="110"/>
  <c r="AG78" i="110"/>
  <c r="AB78" i="110"/>
  <c r="Y78" i="110"/>
  <c r="AF78" i="110"/>
  <c r="AC78" i="110"/>
  <c r="AD78" i="110"/>
  <c r="AE78" i="110"/>
  <c r="P77" i="111"/>
  <c r="L78" i="110"/>
  <c r="P78" i="110"/>
  <c r="M78" i="110"/>
  <c r="J78" i="110"/>
  <c r="I78" i="110"/>
  <c r="Q78" i="110"/>
  <c r="K78" i="110"/>
  <c r="O78" i="110"/>
  <c r="N78" i="110"/>
  <c r="AA77" i="111"/>
  <c r="V78" i="110" l="1"/>
  <c r="AL78" i="110"/>
  <c r="T78" i="110"/>
  <c r="H78" i="111"/>
  <c r="AJ78" i="110"/>
  <c r="S78" i="111"/>
  <c r="K78" i="111"/>
  <c r="X78" i="111"/>
  <c r="AK78" i="110"/>
  <c r="T78" i="111"/>
  <c r="N78" i="111"/>
  <c r="W78" i="111"/>
  <c r="L78" i="111"/>
  <c r="J78" i="111"/>
  <c r="V78" i="111"/>
  <c r="M78" i="111"/>
  <c r="Y78" i="111"/>
  <c r="U78" i="110"/>
  <c r="I78" i="111"/>
  <c r="R78" i="111"/>
  <c r="AH78" i="110"/>
  <c r="Y79" i="110" a="1"/>
  <c r="O78" i="111"/>
  <c r="S78" i="110"/>
  <c r="O78" i="112"/>
  <c r="U78" i="111"/>
  <c r="R78" i="110"/>
  <c r="I79" i="110" a="1"/>
  <c r="G78" i="111"/>
  <c r="AI78" i="110"/>
  <c r="Z78" i="112"/>
  <c r="Z78" i="111"/>
  <c r="P78" i="111" l="1"/>
  <c r="Z79" i="110"/>
  <c r="Y79" i="110"/>
  <c r="AB79" i="110"/>
  <c r="AD79" i="110"/>
  <c r="AC79" i="110"/>
  <c r="AA79" i="110"/>
  <c r="AG79" i="110"/>
  <c r="AF79" i="110"/>
  <c r="AE79" i="110"/>
  <c r="M79" i="110"/>
  <c r="J79" i="110"/>
  <c r="Q79" i="110"/>
  <c r="L79" i="110"/>
  <c r="O79" i="110"/>
  <c r="K79" i="110"/>
  <c r="P79" i="110"/>
  <c r="I79" i="110"/>
  <c r="N79" i="110"/>
  <c r="AA78" i="111"/>
  <c r="V79" i="110" l="1"/>
  <c r="AL79" i="110"/>
  <c r="AH79" i="110"/>
  <c r="Y80" i="110" a="1"/>
  <c r="R79" i="111"/>
  <c r="O79" i="112"/>
  <c r="S79" i="110"/>
  <c r="O79" i="111"/>
  <c r="X79" i="111"/>
  <c r="AJ79" i="110"/>
  <c r="S79" i="111"/>
  <c r="T79" i="110"/>
  <c r="H79" i="111"/>
  <c r="Y79" i="111"/>
  <c r="J79" i="111"/>
  <c r="L79" i="111"/>
  <c r="K79" i="111"/>
  <c r="AI79" i="110"/>
  <c r="Z79" i="112"/>
  <c r="Z79" i="111"/>
  <c r="N79" i="111"/>
  <c r="AK79" i="110"/>
  <c r="T79" i="111"/>
  <c r="U79" i="110"/>
  <c r="I79" i="111"/>
  <c r="W79" i="111"/>
  <c r="G79" i="111"/>
  <c r="R79" i="110"/>
  <c r="I80" i="110" a="1"/>
  <c r="V79" i="111"/>
  <c r="M79" i="111"/>
  <c r="U79" i="111"/>
  <c r="AA79" i="111" l="1"/>
  <c r="K80" i="110"/>
  <c r="J80" i="110"/>
  <c r="O80" i="110"/>
  <c r="L80" i="110"/>
  <c r="P80" i="110"/>
  <c r="I80" i="110"/>
  <c r="Q80" i="110"/>
  <c r="M80" i="110"/>
  <c r="N80" i="110"/>
  <c r="P79" i="111"/>
  <c r="AG80" i="110"/>
  <c r="AD80" i="110"/>
  <c r="AB80" i="110"/>
  <c r="AE80" i="110"/>
  <c r="AC80" i="110"/>
  <c r="Z80" i="110"/>
  <c r="AF80" i="110"/>
  <c r="Y80" i="110"/>
  <c r="AA80" i="110"/>
  <c r="AL80" i="110" l="1"/>
  <c r="V80" i="110"/>
  <c r="N80" i="111"/>
  <c r="W80" i="111"/>
  <c r="J80" i="111"/>
  <c r="U80" i="111"/>
  <c r="AK80" i="110"/>
  <c r="T80" i="111"/>
  <c r="AI80" i="110"/>
  <c r="Z80" i="112"/>
  <c r="Z80" i="111"/>
  <c r="M80" i="111"/>
  <c r="AH80" i="110"/>
  <c r="Y81" i="110" a="1"/>
  <c r="R80" i="111"/>
  <c r="T80" i="110"/>
  <c r="H80" i="111"/>
  <c r="X80" i="111"/>
  <c r="R80" i="110"/>
  <c r="I81" i="110" a="1"/>
  <c r="G80" i="111"/>
  <c r="Y80" i="111"/>
  <c r="L80" i="111"/>
  <c r="U80" i="110"/>
  <c r="I80" i="111"/>
  <c r="AJ80" i="110"/>
  <c r="S80" i="111"/>
  <c r="K80" i="111"/>
  <c r="V80" i="111"/>
  <c r="O80" i="112"/>
  <c r="S80" i="110"/>
  <c r="O80" i="111"/>
  <c r="K81" i="110" l="1"/>
  <c r="Q81" i="110"/>
  <c r="P81" i="110"/>
  <c r="M81" i="110"/>
  <c r="J81" i="110"/>
  <c r="N81" i="110"/>
  <c r="I81" i="110"/>
  <c r="O81" i="110"/>
  <c r="L81" i="110"/>
  <c r="AB81" i="110"/>
  <c r="Z81" i="110"/>
  <c r="Y81" i="110"/>
  <c r="AF81" i="110"/>
  <c r="AD81" i="110"/>
  <c r="AA81" i="110"/>
  <c r="AE81" i="110"/>
  <c r="AG81" i="110"/>
  <c r="AC81" i="110"/>
  <c r="AA80" i="111"/>
  <c r="P80" i="111"/>
  <c r="AL81" i="110" l="1"/>
  <c r="V81" i="110"/>
  <c r="AK81" i="110"/>
  <c r="T81" i="111"/>
  <c r="M81" i="111"/>
  <c r="W81" i="111"/>
  <c r="R81" i="110"/>
  <c r="I82" i="110" a="1"/>
  <c r="G81" i="111"/>
  <c r="Y81" i="111"/>
  <c r="L81" i="111"/>
  <c r="AH81" i="110"/>
  <c r="Y82" i="110" a="1"/>
  <c r="R81" i="111"/>
  <c r="T81" i="110"/>
  <c r="H81" i="111"/>
  <c r="AJ81" i="110"/>
  <c r="S81" i="111"/>
  <c r="K81" i="111"/>
  <c r="V81" i="111"/>
  <c r="U81" i="111"/>
  <c r="N81" i="111"/>
  <c r="Z81" i="111"/>
  <c r="AI81" i="110"/>
  <c r="Z81" i="112"/>
  <c r="S81" i="110"/>
  <c r="O81" i="112"/>
  <c r="O81" i="111"/>
  <c r="X81" i="111"/>
  <c r="J81" i="111"/>
  <c r="U81" i="110"/>
  <c r="I81" i="111"/>
  <c r="AA81" i="111" l="1"/>
  <c r="J82" i="110"/>
  <c r="I82" i="110"/>
  <c r="L82" i="110"/>
  <c r="P82" i="110"/>
  <c r="M82" i="110"/>
  <c r="Q82" i="110"/>
  <c r="O82" i="110"/>
  <c r="N82" i="110"/>
  <c r="K82" i="110"/>
  <c r="AE82" i="110"/>
  <c r="AA82" i="110"/>
  <c r="AD82" i="110"/>
  <c r="Z82" i="110"/>
  <c r="Y82" i="110"/>
  <c r="AF82" i="110"/>
  <c r="AG82" i="110"/>
  <c r="AC82" i="110"/>
  <c r="AB82" i="110"/>
  <c r="P81" i="111"/>
  <c r="AL82" i="110" l="1"/>
  <c r="V82" i="110"/>
  <c r="W82" i="111"/>
  <c r="R82" i="110"/>
  <c r="I83" i="110" a="1"/>
  <c r="G82" i="111"/>
  <c r="AK82" i="110"/>
  <c r="T82" i="111"/>
  <c r="U82" i="110"/>
  <c r="I82" i="111"/>
  <c r="T82" i="110"/>
  <c r="H82" i="111"/>
  <c r="U82" i="111"/>
  <c r="X82" i="111"/>
  <c r="L82" i="111"/>
  <c r="V82" i="111"/>
  <c r="M82" i="111"/>
  <c r="AI82" i="110"/>
  <c r="Z82" i="112"/>
  <c r="Z82" i="111"/>
  <c r="O82" i="112"/>
  <c r="S82" i="110"/>
  <c r="O82" i="111"/>
  <c r="Y82" i="111"/>
  <c r="K82" i="111"/>
  <c r="AH82" i="110"/>
  <c r="Y83" i="110" a="1"/>
  <c r="R82" i="111"/>
  <c r="N82" i="111"/>
  <c r="AJ82" i="110"/>
  <c r="S82" i="111"/>
  <c r="J82" i="111"/>
  <c r="AE83" i="110" l="1"/>
  <c r="AF83" i="110"/>
  <c r="AC83" i="110"/>
  <c r="AD83" i="110"/>
  <c r="AB83" i="110"/>
  <c r="AG83" i="110"/>
  <c r="Z83" i="110"/>
  <c r="Y83" i="110"/>
  <c r="AA83" i="110"/>
  <c r="Q83" i="110"/>
  <c r="P83" i="110"/>
  <c r="M83" i="110"/>
  <c r="N83" i="110"/>
  <c r="J83" i="110"/>
  <c r="O83" i="110"/>
  <c r="L83" i="110"/>
  <c r="K83" i="110"/>
  <c r="I83" i="110"/>
  <c r="AA82" i="111"/>
  <c r="P82" i="111"/>
  <c r="AL83" i="110" l="1"/>
  <c r="V83" i="110"/>
  <c r="U83" i="110"/>
  <c r="I83" i="111"/>
  <c r="AI83" i="110"/>
  <c r="Z83" i="112"/>
  <c r="Z83" i="111"/>
  <c r="J83" i="111"/>
  <c r="U83" i="111"/>
  <c r="M83" i="111"/>
  <c r="W83" i="111"/>
  <c r="T83" i="110"/>
  <c r="H83" i="111"/>
  <c r="V83" i="111"/>
  <c r="L83" i="111"/>
  <c r="Y83" i="111"/>
  <c r="K83" i="111"/>
  <c r="T83" i="111"/>
  <c r="AK83" i="110"/>
  <c r="X83" i="111"/>
  <c r="N83" i="111"/>
  <c r="AH83" i="110"/>
  <c r="Y84" i="110" a="1"/>
  <c r="R83" i="111"/>
  <c r="R83" i="110"/>
  <c r="I84" i="110" a="1"/>
  <c r="G83" i="111"/>
  <c r="S83" i="110"/>
  <c r="O83" i="112"/>
  <c r="O83" i="111"/>
  <c r="S83" i="111"/>
  <c r="AJ83" i="110"/>
  <c r="AA83" i="111" l="1"/>
  <c r="P83" i="111"/>
  <c r="AD84" i="110"/>
  <c r="AC84" i="110"/>
  <c r="Y84" i="110"/>
  <c r="AG84" i="110"/>
  <c r="AE84" i="110"/>
  <c r="AB84" i="110"/>
  <c r="AA84" i="110"/>
  <c r="Z84" i="110"/>
  <c r="AF84" i="110"/>
  <c r="K84" i="110"/>
  <c r="I84" i="110"/>
  <c r="J84" i="110"/>
  <c r="Q84" i="110"/>
  <c r="L84" i="110"/>
  <c r="P84" i="110"/>
  <c r="N84" i="110"/>
  <c r="M84" i="110"/>
  <c r="O84" i="110"/>
  <c r="AL84" i="110" l="1"/>
  <c r="V84" i="110"/>
  <c r="M84" i="111"/>
  <c r="U84" i="110"/>
  <c r="I84" i="111"/>
  <c r="X84" i="111"/>
  <c r="K84" i="111"/>
  <c r="Z84" i="112"/>
  <c r="AI84" i="110"/>
  <c r="Z84" i="111"/>
  <c r="L84" i="111"/>
  <c r="R84" i="111"/>
  <c r="AH84" i="110"/>
  <c r="Y85" i="110" a="1"/>
  <c r="N84" i="111"/>
  <c r="V84" i="111"/>
  <c r="J84" i="111"/>
  <c r="Y84" i="111"/>
  <c r="W84" i="111"/>
  <c r="S84" i="110"/>
  <c r="O84" i="112"/>
  <c r="O84" i="111"/>
  <c r="AJ84" i="110"/>
  <c r="S84" i="111"/>
  <c r="H84" i="111"/>
  <c r="T84" i="110"/>
  <c r="AK84" i="110"/>
  <c r="T84" i="111"/>
  <c r="R84" i="110"/>
  <c r="I85" i="110" a="1"/>
  <c r="G84" i="111"/>
  <c r="U84" i="111"/>
  <c r="AD85" i="110" l="1"/>
  <c r="AA85" i="110"/>
  <c r="Z85" i="110"/>
  <c r="Y85" i="110"/>
  <c r="AB85" i="110"/>
  <c r="AG85" i="110"/>
  <c r="AF85" i="110"/>
  <c r="AE85" i="110"/>
  <c r="AC85" i="110"/>
  <c r="P84" i="111"/>
  <c r="AA84" i="111"/>
  <c r="J85" i="110"/>
  <c r="Q85" i="110"/>
  <c r="O85" i="110"/>
  <c r="N85" i="110"/>
  <c r="L85" i="110"/>
  <c r="I85" i="110"/>
  <c r="K85" i="110"/>
  <c r="M85" i="110"/>
  <c r="P85" i="110"/>
  <c r="AL85" i="110" l="1"/>
  <c r="V85" i="110"/>
  <c r="L85" i="111"/>
  <c r="AI85" i="110"/>
  <c r="Z85" i="112"/>
  <c r="Z85" i="111"/>
  <c r="M85" i="111"/>
  <c r="U85" i="111"/>
  <c r="O85" i="112"/>
  <c r="S85" i="110"/>
  <c r="O85" i="111"/>
  <c r="AH85" i="110"/>
  <c r="Y86" i="110" a="1"/>
  <c r="R85" i="111"/>
  <c r="N85" i="111"/>
  <c r="T85" i="110"/>
  <c r="H85" i="111"/>
  <c r="AJ85" i="110"/>
  <c r="S85" i="111"/>
  <c r="K85" i="111"/>
  <c r="AK85" i="110"/>
  <c r="T85" i="111"/>
  <c r="U85" i="110"/>
  <c r="I85" i="111"/>
  <c r="V85" i="111"/>
  <c r="W85" i="111"/>
  <c r="R85" i="110"/>
  <c r="I86" i="110" a="1"/>
  <c r="G85" i="111"/>
  <c r="X85" i="111"/>
  <c r="J85" i="111"/>
  <c r="Y85" i="111"/>
  <c r="AG86" i="110" l="1"/>
  <c r="AD86" i="110"/>
  <c r="AC86" i="110"/>
  <c r="Y86" i="110"/>
  <c r="AB86" i="110"/>
  <c r="Z86" i="110"/>
  <c r="AA86" i="110"/>
  <c r="AF86" i="110"/>
  <c r="AE86" i="110"/>
  <c r="I86" i="110"/>
  <c r="P86" i="110"/>
  <c r="L86" i="110"/>
  <c r="Q86" i="110"/>
  <c r="O86" i="110"/>
  <c r="N86" i="110"/>
  <c r="K86" i="110"/>
  <c r="J86" i="110"/>
  <c r="M86" i="110"/>
  <c r="P85" i="111"/>
  <c r="AA85" i="111"/>
  <c r="AL86" i="110" l="1"/>
  <c r="V86" i="110"/>
  <c r="N86" i="111"/>
  <c r="U86" i="111"/>
  <c r="K86" i="111"/>
  <c r="R86" i="110"/>
  <c r="I87" i="110" a="1"/>
  <c r="G86" i="111"/>
  <c r="AH86" i="110"/>
  <c r="Y87" i="110" a="1"/>
  <c r="R86" i="111"/>
  <c r="T86" i="110"/>
  <c r="H86" i="111"/>
  <c r="V86" i="111"/>
  <c r="U86" i="110"/>
  <c r="I86" i="111"/>
  <c r="W86" i="111"/>
  <c r="L86" i="111"/>
  <c r="X86" i="111"/>
  <c r="Z86" i="112"/>
  <c r="AI86" i="110"/>
  <c r="Z86" i="111"/>
  <c r="M86" i="111"/>
  <c r="Y86" i="111"/>
  <c r="S86" i="110"/>
  <c r="O86" i="112"/>
  <c r="O86" i="111"/>
  <c r="AK86" i="110"/>
  <c r="T86" i="111"/>
  <c r="J86" i="111"/>
  <c r="AJ86" i="110"/>
  <c r="S86" i="111"/>
  <c r="N87" i="110" l="1"/>
  <c r="J87" i="110"/>
  <c r="P87" i="110"/>
  <c r="Q87" i="110"/>
  <c r="L87" i="110"/>
  <c r="M87" i="110"/>
  <c r="K87" i="110"/>
  <c r="I87" i="110"/>
  <c r="O87" i="110"/>
  <c r="AF87" i="110"/>
  <c r="AE87" i="110"/>
  <c r="AG87" i="110"/>
  <c r="Y87" i="110"/>
  <c r="Z87" i="110"/>
  <c r="AA87" i="110"/>
  <c r="AC87" i="110"/>
  <c r="AD87" i="110"/>
  <c r="AB87" i="110"/>
  <c r="P86" i="111"/>
  <c r="AA86" i="111"/>
  <c r="AL87" i="110" l="1"/>
  <c r="V87" i="110"/>
  <c r="V87" i="111"/>
  <c r="J87" i="111"/>
  <c r="AK87" i="110"/>
  <c r="T87" i="111"/>
  <c r="S87" i="110"/>
  <c r="O87" i="112"/>
  <c r="O87" i="111"/>
  <c r="AJ87" i="110"/>
  <c r="S87" i="111"/>
  <c r="N87" i="111"/>
  <c r="AH87" i="110"/>
  <c r="Y88" i="110" a="1"/>
  <c r="R87" i="111"/>
  <c r="T87" i="110"/>
  <c r="H87" i="111"/>
  <c r="AI87" i="110"/>
  <c r="Z87" i="112"/>
  <c r="Z87" i="111"/>
  <c r="M87" i="111"/>
  <c r="L87" i="111"/>
  <c r="X87" i="111"/>
  <c r="R87" i="110"/>
  <c r="I88" i="110" a="1"/>
  <c r="G87" i="111"/>
  <c r="U87" i="111"/>
  <c r="Y87" i="111"/>
  <c r="U87" i="110"/>
  <c r="I87" i="111"/>
  <c r="W87" i="111"/>
  <c r="K87" i="111"/>
  <c r="AA87" i="111" l="1"/>
  <c r="M88" i="110"/>
  <c r="L88" i="110"/>
  <c r="K88" i="110"/>
  <c r="P88" i="110"/>
  <c r="J88" i="110"/>
  <c r="Q88" i="110"/>
  <c r="I88" i="110"/>
  <c r="O88" i="110"/>
  <c r="N88" i="110"/>
  <c r="AE88" i="110"/>
  <c r="AF88" i="110"/>
  <c r="AC88" i="110"/>
  <c r="Y88" i="110"/>
  <c r="AD88" i="110"/>
  <c r="AA88" i="110"/>
  <c r="Z88" i="110"/>
  <c r="AB88" i="110"/>
  <c r="AG88" i="110"/>
  <c r="P87" i="111"/>
  <c r="AL88" i="110" l="1"/>
  <c r="V88" i="110"/>
  <c r="AK88" i="110"/>
  <c r="T88" i="111"/>
  <c r="R88" i="110"/>
  <c r="I89" i="110" a="1"/>
  <c r="G88" i="111"/>
  <c r="W88" i="111"/>
  <c r="O88" i="111"/>
  <c r="S88" i="110"/>
  <c r="O88" i="112"/>
  <c r="AH88" i="110"/>
  <c r="Y89" i="110" a="1"/>
  <c r="R88" i="111"/>
  <c r="T88" i="110"/>
  <c r="H88" i="111"/>
  <c r="V88" i="111"/>
  <c r="N88" i="111"/>
  <c r="Y88" i="111"/>
  <c r="U88" i="110"/>
  <c r="I88" i="111"/>
  <c r="AI88" i="110"/>
  <c r="Z88" i="112"/>
  <c r="Z88" i="111"/>
  <c r="X88" i="111"/>
  <c r="J88" i="111"/>
  <c r="U88" i="111"/>
  <c r="L88" i="111"/>
  <c r="K88" i="111"/>
  <c r="S88" i="111"/>
  <c r="AJ88" i="110"/>
  <c r="M88" i="111"/>
  <c r="AA88" i="111" l="1"/>
  <c r="J89" i="110"/>
  <c r="O89" i="110"/>
  <c r="Q89" i="110"/>
  <c r="N89" i="110"/>
  <c r="P89" i="110"/>
  <c r="M89" i="110"/>
  <c r="L89" i="110"/>
  <c r="I89" i="110"/>
  <c r="K89" i="110"/>
  <c r="Z89" i="110"/>
  <c r="AE89" i="110"/>
  <c r="AF89" i="110"/>
  <c r="Y89" i="110"/>
  <c r="AG89" i="110"/>
  <c r="AD89" i="110"/>
  <c r="AC89" i="110"/>
  <c r="AB89" i="110"/>
  <c r="AA89" i="110"/>
  <c r="P88" i="111"/>
  <c r="V89" i="110" l="1"/>
  <c r="AL89" i="110"/>
  <c r="V89" i="111"/>
  <c r="S89" i="110"/>
  <c r="O89" i="112"/>
  <c r="O89" i="111"/>
  <c r="W89" i="111"/>
  <c r="M89" i="111"/>
  <c r="Z89" i="112"/>
  <c r="AI89" i="110"/>
  <c r="Z89" i="111"/>
  <c r="U89" i="110"/>
  <c r="I89" i="111"/>
  <c r="H89" i="111"/>
  <c r="T89" i="110"/>
  <c r="AH89" i="110"/>
  <c r="Y90" i="110" a="1"/>
  <c r="R89" i="111"/>
  <c r="G89" i="111"/>
  <c r="R89" i="110"/>
  <c r="I90" i="110" a="1"/>
  <c r="Y89" i="111"/>
  <c r="J89" i="111"/>
  <c r="X89" i="111"/>
  <c r="K89" i="111"/>
  <c r="AK89" i="110"/>
  <c r="T89" i="111"/>
  <c r="AJ89" i="110"/>
  <c r="S89" i="111"/>
  <c r="N89" i="111"/>
  <c r="U89" i="111"/>
  <c r="L89" i="111"/>
  <c r="P90" i="110" l="1"/>
  <c r="L90" i="110"/>
  <c r="Q90" i="110"/>
  <c r="J90" i="110"/>
  <c r="I90" i="110"/>
  <c r="O90" i="110"/>
  <c r="N90" i="110"/>
  <c r="K90" i="110"/>
  <c r="M90" i="110"/>
  <c r="P89" i="111"/>
  <c r="AA89" i="111"/>
  <c r="AD90" i="110"/>
  <c r="AF90" i="110"/>
  <c r="Y90" i="110"/>
  <c r="AA90" i="110"/>
  <c r="AE90" i="110"/>
  <c r="AC90" i="110"/>
  <c r="AB90" i="110"/>
  <c r="Z90" i="110"/>
  <c r="AG90" i="110"/>
  <c r="AL90" i="110" l="1"/>
  <c r="V90" i="110"/>
  <c r="I91" i="110" a="1"/>
  <c r="Y91" i="110" a="1"/>
  <c r="M90" i="111"/>
  <c r="S90" i="111"/>
  <c r="AJ90" i="110"/>
  <c r="U90" i="111"/>
  <c r="V90" i="111"/>
  <c r="R90" i="110"/>
  <c r="G90" i="111"/>
  <c r="X90" i="111"/>
  <c r="T90" i="110"/>
  <c r="H90" i="111"/>
  <c r="AK90" i="110"/>
  <c r="T90" i="111"/>
  <c r="O90" i="112"/>
  <c r="S90" i="110"/>
  <c r="O90" i="111"/>
  <c r="AH90" i="110"/>
  <c r="R90" i="111"/>
  <c r="J90" i="111"/>
  <c r="Y90" i="111"/>
  <c r="K90" i="111"/>
  <c r="N90" i="111"/>
  <c r="Z90" i="112"/>
  <c r="AI90" i="110"/>
  <c r="Z90" i="111"/>
  <c r="W90" i="111"/>
  <c r="U90" i="110"/>
  <c r="I90" i="111"/>
  <c r="L90" i="111"/>
  <c r="AG91" i="110" l="1"/>
  <c r="Z91" i="110"/>
  <c r="Y91" i="110"/>
  <c r="AE91" i="110"/>
  <c r="AF91" i="110"/>
  <c r="AC91" i="110"/>
  <c r="AB91" i="110"/>
  <c r="AD91" i="110"/>
  <c r="AA91" i="110"/>
  <c r="J91" i="110"/>
  <c r="K91" i="110"/>
  <c r="M91" i="110"/>
  <c r="I91" i="110"/>
  <c r="L91" i="110"/>
  <c r="Q91" i="110"/>
  <c r="N91" i="110"/>
  <c r="O91" i="110"/>
  <c r="P91" i="110"/>
  <c r="AA90" i="111"/>
  <c r="P90" i="111"/>
  <c r="V91" i="110" l="1"/>
  <c r="AL91" i="110"/>
  <c r="L91" i="111"/>
  <c r="S91" i="110"/>
  <c r="O91" i="112"/>
  <c r="O91" i="111"/>
  <c r="J91" i="111"/>
  <c r="R91" i="110"/>
  <c r="I92" i="110" a="1"/>
  <c r="G91" i="111"/>
  <c r="K91" i="111"/>
  <c r="U91" i="110"/>
  <c r="I91" i="111"/>
  <c r="T91" i="110"/>
  <c r="H91" i="111"/>
  <c r="AK91" i="110"/>
  <c r="T91" i="111"/>
  <c r="W91" i="111"/>
  <c r="U91" i="111"/>
  <c r="V91" i="111"/>
  <c r="Y91" i="111"/>
  <c r="X91" i="111"/>
  <c r="AH91" i="110"/>
  <c r="Y92" i="110" a="1"/>
  <c r="R91" i="111"/>
  <c r="N91" i="111"/>
  <c r="AJ91" i="110"/>
  <c r="S91" i="111"/>
  <c r="M91" i="111"/>
  <c r="AI91" i="110"/>
  <c r="Z91" i="111"/>
  <c r="Z91" i="112"/>
  <c r="P91" i="111" l="1"/>
  <c r="J92" i="110"/>
  <c r="Q92" i="110"/>
  <c r="I92" i="110"/>
  <c r="P92" i="110"/>
  <c r="K92" i="110"/>
  <c r="O92" i="110"/>
  <c r="N92" i="110"/>
  <c r="M92" i="110"/>
  <c r="L92" i="110"/>
  <c r="AA91" i="111"/>
  <c r="AF92" i="110"/>
  <c r="Z92" i="110"/>
  <c r="AB92" i="110"/>
  <c r="AA92" i="110"/>
  <c r="AC92" i="110"/>
  <c r="AG92" i="110"/>
  <c r="Y92" i="110"/>
  <c r="AD92" i="110"/>
  <c r="AE92" i="110"/>
  <c r="AL92" i="110" l="1"/>
  <c r="V92" i="110"/>
  <c r="U92" i="110"/>
  <c r="I92" i="111"/>
  <c r="V92" i="111"/>
  <c r="AK92" i="110"/>
  <c r="T92" i="111"/>
  <c r="K92" i="111"/>
  <c r="U92" i="111"/>
  <c r="AJ92" i="110"/>
  <c r="S92" i="111"/>
  <c r="M92" i="111"/>
  <c r="Y92" i="111"/>
  <c r="N92" i="111"/>
  <c r="R92" i="110"/>
  <c r="I93" i="110" a="1"/>
  <c r="G92" i="111"/>
  <c r="S92" i="110"/>
  <c r="O92" i="112"/>
  <c r="O92" i="111"/>
  <c r="T92" i="110"/>
  <c r="H92" i="111"/>
  <c r="X92" i="111"/>
  <c r="W92" i="111"/>
  <c r="AH92" i="110"/>
  <c r="Y93" i="110" a="1"/>
  <c r="R92" i="111"/>
  <c r="J92" i="111"/>
  <c r="L92" i="111"/>
  <c r="Z92" i="112"/>
  <c r="AI92" i="110"/>
  <c r="Z92" i="111"/>
  <c r="AA92" i="111" l="1"/>
  <c r="AC93" i="110"/>
  <c r="AB93" i="110"/>
  <c r="AA93" i="110"/>
  <c r="Y93" i="110"/>
  <c r="AD93" i="110"/>
  <c r="Z93" i="110"/>
  <c r="AE93" i="110"/>
  <c r="AF93" i="110"/>
  <c r="AG93" i="110"/>
  <c r="P92" i="111"/>
  <c r="L93" i="110"/>
  <c r="K93" i="110"/>
  <c r="M93" i="110"/>
  <c r="Q93" i="110"/>
  <c r="P93" i="110"/>
  <c r="I93" i="110"/>
  <c r="J93" i="110"/>
  <c r="O93" i="110"/>
  <c r="N93" i="110"/>
  <c r="V93" i="110" l="1"/>
  <c r="AL93" i="110"/>
  <c r="W93" i="111"/>
  <c r="AH93" i="110"/>
  <c r="Y94" i="110" a="1"/>
  <c r="R93" i="111"/>
  <c r="AK93" i="110"/>
  <c r="T93" i="111"/>
  <c r="U93" i="111"/>
  <c r="V93" i="111"/>
  <c r="T93" i="110"/>
  <c r="H93" i="111"/>
  <c r="R93" i="110"/>
  <c r="I94" i="110" a="1"/>
  <c r="G93" i="111"/>
  <c r="O93" i="112"/>
  <c r="S93" i="110"/>
  <c r="O93" i="111"/>
  <c r="K93" i="111"/>
  <c r="Z93" i="111"/>
  <c r="Z93" i="112"/>
  <c r="AI93" i="110"/>
  <c r="N93" i="111"/>
  <c r="L93" i="111"/>
  <c r="M93" i="111"/>
  <c r="J93" i="111"/>
  <c r="X93" i="111"/>
  <c r="U93" i="110"/>
  <c r="I93" i="111"/>
  <c r="Y93" i="111"/>
  <c r="AJ93" i="110"/>
  <c r="S93" i="111"/>
  <c r="P93" i="111" l="1"/>
  <c r="Q94" i="110"/>
  <c r="O94" i="110"/>
  <c r="N94" i="110"/>
  <c r="K94" i="110"/>
  <c r="J94" i="110"/>
  <c r="I94" i="110"/>
  <c r="L94" i="110"/>
  <c r="M94" i="110"/>
  <c r="P94" i="110"/>
  <c r="AA93" i="111"/>
  <c r="AC94" i="110"/>
  <c r="AG94" i="110"/>
  <c r="AB94" i="110"/>
  <c r="Y94" i="110"/>
  <c r="AA94" i="110"/>
  <c r="AF94" i="110"/>
  <c r="AE94" i="110"/>
  <c r="Z94" i="110"/>
  <c r="AD94" i="110"/>
  <c r="AL94" i="110" l="1"/>
  <c r="V94" i="110"/>
  <c r="W94" i="111"/>
  <c r="AJ94" i="110"/>
  <c r="S94" i="111"/>
  <c r="X94" i="111"/>
  <c r="Y94" i="111"/>
  <c r="AK94" i="110"/>
  <c r="T94" i="111"/>
  <c r="N94" i="111"/>
  <c r="AH94" i="110"/>
  <c r="Y95" i="110" a="1"/>
  <c r="R94" i="111"/>
  <c r="K94" i="111"/>
  <c r="U94" i="111"/>
  <c r="J94" i="111"/>
  <c r="Z94" i="111"/>
  <c r="AI94" i="110"/>
  <c r="Z94" i="112"/>
  <c r="R94" i="110"/>
  <c r="I95" i="110" a="1"/>
  <c r="G94" i="111"/>
  <c r="U94" i="110"/>
  <c r="I94" i="111"/>
  <c r="V94" i="111"/>
  <c r="T94" i="110"/>
  <c r="H94" i="111"/>
  <c r="L94" i="111"/>
  <c r="M94" i="111"/>
  <c r="S94" i="110"/>
  <c r="O94" i="112"/>
  <c r="O94" i="111"/>
  <c r="P94" i="111" l="1"/>
  <c r="J95" i="110"/>
  <c r="L95" i="110"/>
  <c r="M95" i="110"/>
  <c r="K95" i="110"/>
  <c r="O95" i="110"/>
  <c r="I95" i="110"/>
  <c r="Q95" i="110"/>
  <c r="N95" i="110"/>
  <c r="P95" i="110"/>
  <c r="AA94" i="111"/>
  <c r="AB95" i="110"/>
  <c r="AE95" i="110"/>
  <c r="Y95" i="110"/>
  <c r="AC95" i="110"/>
  <c r="AF95" i="110"/>
  <c r="AD95" i="110"/>
  <c r="AG95" i="110"/>
  <c r="AA95" i="110"/>
  <c r="Z95" i="110"/>
  <c r="AL95" i="110" l="1"/>
  <c r="V95" i="110"/>
  <c r="AI95" i="110"/>
  <c r="Z95" i="112"/>
  <c r="Z95" i="111"/>
  <c r="S95" i="110"/>
  <c r="O95" i="112"/>
  <c r="O95" i="111"/>
  <c r="W95" i="111"/>
  <c r="R95" i="110"/>
  <c r="I96" i="110" a="1"/>
  <c r="G95" i="111"/>
  <c r="Y95" i="111"/>
  <c r="M95" i="111"/>
  <c r="V95" i="111"/>
  <c r="U95" i="110"/>
  <c r="I95" i="111"/>
  <c r="AH95" i="110"/>
  <c r="Y96" i="110" a="1"/>
  <c r="R95" i="111"/>
  <c r="K95" i="111"/>
  <c r="X95" i="111"/>
  <c r="J95" i="111"/>
  <c r="U95" i="111"/>
  <c r="T95" i="110"/>
  <c r="H95" i="111"/>
  <c r="AJ95" i="110"/>
  <c r="S95" i="111"/>
  <c r="N95" i="111"/>
  <c r="AK95" i="110"/>
  <c r="T95" i="111"/>
  <c r="L95" i="111"/>
  <c r="AC96" i="110" l="1"/>
  <c r="Y96" i="110"/>
  <c r="AE96" i="110"/>
  <c r="AB96" i="110"/>
  <c r="AG96" i="110"/>
  <c r="AA96" i="110"/>
  <c r="AF96" i="110"/>
  <c r="Z96" i="110"/>
  <c r="AD96" i="110"/>
  <c r="P95" i="111"/>
  <c r="M96" i="110"/>
  <c r="L96" i="110"/>
  <c r="K96" i="110"/>
  <c r="J96" i="110"/>
  <c r="I96" i="110"/>
  <c r="P96" i="110"/>
  <c r="N96" i="110"/>
  <c r="Q96" i="110"/>
  <c r="O96" i="110"/>
  <c r="AA95" i="111"/>
  <c r="V96" i="110" l="1"/>
  <c r="AL96" i="110"/>
  <c r="M96" i="111"/>
  <c r="W96" i="111"/>
  <c r="S96" i="110"/>
  <c r="O96" i="112"/>
  <c r="O96" i="111"/>
  <c r="AJ96" i="110"/>
  <c r="S96" i="111"/>
  <c r="L96" i="111"/>
  <c r="Y96" i="111"/>
  <c r="N96" i="111"/>
  <c r="AK96" i="110"/>
  <c r="T96" i="111"/>
  <c r="R96" i="110"/>
  <c r="I97" i="110" a="1"/>
  <c r="G96" i="111"/>
  <c r="Z96" i="112"/>
  <c r="AI96" i="110"/>
  <c r="Z96" i="111"/>
  <c r="T96" i="110"/>
  <c r="H96" i="111"/>
  <c r="U96" i="111"/>
  <c r="U96" i="110"/>
  <c r="I96" i="111"/>
  <c r="X96" i="111"/>
  <c r="J96" i="111"/>
  <c r="AH96" i="110"/>
  <c r="Y97" i="110" a="1"/>
  <c r="R96" i="111"/>
  <c r="K96" i="111"/>
  <c r="V96" i="111"/>
  <c r="P96" i="111" l="1"/>
  <c r="AA96" i="111"/>
  <c r="O97" i="110"/>
  <c r="J97" i="110"/>
  <c r="N97" i="110"/>
  <c r="I97" i="110"/>
  <c r="K97" i="110"/>
  <c r="Q97" i="110"/>
  <c r="L97" i="110"/>
  <c r="P97" i="110"/>
  <c r="M97" i="110"/>
  <c r="Y97" i="110"/>
  <c r="AB97" i="110"/>
  <c r="AF97" i="110"/>
  <c r="AG97" i="110"/>
  <c r="AD97" i="110"/>
  <c r="AE97" i="110"/>
  <c r="AA97" i="110"/>
  <c r="Z97" i="110"/>
  <c r="AC97" i="110"/>
  <c r="AL97" i="110" l="1"/>
  <c r="V97" i="110"/>
  <c r="K97" i="111"/>
  <c r="N97" i="111"/>
  <c r="J97" i="111"/>
  <c r="O97" i="112"/>
  <c r="S97" i="110"/>
  <c r="O97" i="111"/>
  <c r="U97" i="110"/>
  <c r="I97" i="111"/>
  <c r="R97" i="110"/>
  <c r="I98" i="110" a="1"/>
  <c r="G97" i="111"/>
  <c r="U97" i="111"/>
  <c r="V97" i="111"/>
  <c r="L97" i="111"/>
  <c r="AH97" i="110"/>
  <c r="Y98" i="110" a="1"/>
  <c r="R97" i="111"/>
  <c r="AJ97" i="110"/>
  <c r="S97" i="111"/>
  <c r="T97" i="110"/>
  <c r="H97" i="111"/>
  <c r="AK97" i="110"/>
  <c r="T97" i="111"/>
  <c r="M97" i="111"/>
  <c r="X97" i="111"/>
  <c r="W97" i="111"/>
  <c r="Z97" i="111"/>
  <c r="Z97" i="112"/>
  <c r="AI97" i="110"/>
  <c r="Y97" i="111"/>
  <c r="P97" i="111" l="1"/>
  <c r="AA97" i="111"/>
  <c r="I98" i="110"/>
  <c r="M98" i="110"/>
  <c r="N98" i="110"/>
  <c r="L98" i="110"/>
  <c r="K98" i="110"/>
  <c r="Q98" i="110"/>
  <c r="O98" i="110"/>
  <c r="J98" i="110"/>
  <c r="P98" i="110"/>
  <c r="AC98" i="110"/>
  <c r="AA98" i="110"/>
  <c r="Y98" i="110"/>
  <c r="AD98" i="110"/>
  <c r="AF98" i="110"/>
  <c r="Z98" i="110"/>
  <c r="AE98" i="110"/>
  <c r="AB98" i="110"/>
  <c r="AG98" i="110"/>
  <c r="AL98" i="110" l="1"/>
  <c r="V98" i="110"/>
  <c r="J98" i="111"/>
  <c r="Z98" i="112"/>
  <c r="AI98" i="110"/>
  <c r="Z98" i="111"/>
  <c r="L98" i="111"/>
  <c r="U98" i="111"/>
  <c r="K98" i="111"/>
  <c r="X98" i="111"/>
  <c r="R98" i="110"/>
  <c r="I99" i="110" a="1"/>
  <c r="G98" i="111"/>
  <c r="AJ98" i="110"/>
  <c r="S98" i="111"/>
  <c r="Y98" i="111"/>
  <c r="W98" i="111"/>
  <c r="AH98" i="110"/>
  <c r="Y99" i="110" a="1"/>
  <c r="R98" i="111"/>
  <c r="V98" i="111"/>
  <c r="M98" i="111"/>
  <c r="N98" i="111"/>
  <c r="S98" i="110"/>
  <c r="O98" i="112"/>
  <c r="O98" i="111"/>
  <c r="T98" i="110"/>
  <c r="H98" i="111"/>
  <c r="U98" i="110"/>
  <c r="I98" i="111"/>
  <c r="AK98" i="110"/>
  <c r="T98" i="111"/>
  <c r="P98" i="111" l="1"/>
  <c r="AA98" i="111"/>
  <c r="K99" i="110"/>
  <c r="O99" i="110"/>
  <c r="M99" i="110"/>
  <c r="L99" i="110"/>
  <c r="P99" i="110"/>
  <c r="J99" i="110"/>
  <c r="I99" i="110"/>
  <c r="Q99" i="110"/>
  <c r="N99" i="110"/>
  <c r="AE99" i="110"/>
  <c r="Y99" i="110"/>
  <c r="AD99" i="110"/>
  <c r="AC99" i="110"/>
  <c r="AF99" i="110"/>
  <c r="AA99" i="110"/>
  <c r="AB99" i="110"/>
  <c r="Z99" i="110"/>
  <c r="AG99" i="110"/>
  <c r="AL99" i="110" l="1"/>
  <c r="V99" i="110"/>
  <c r="K99" i="111"/>
  <c r="Z99" i="111"/>
  <c r="AI99" i="110"/>
  <c r="Z99" i="112"/>
  <c r="M99" i="111"/>
  <c r="S99" i="111"/>
  <c r="AJ99" i="110"/>
  <c r="U99" i="110"/>
  <c r="I99" i="111"/>
  <c r="U99" i="111"/>
  <c r="AK99" i="110"/>
  <c r="T99" i="111"/>
  <c r="Y99" i="111"/>
  <c r="V99" i="111"/>
  <c r="J99" i="111"/>
  <c r="W99" i="111"/>
  <c r="R99" i="111"/>
  <c r="AH99" i="110"/>
  <c r="Y100" i="110" a="1"/>
  <c r="X99" i="111"/>
  <c r="R99" i="110"/>
  <c r="I100" i="110" a="1"/>
  <c r="G99" i="111"/>
  <c r="O99" i="111"/>
  <c r="O99" i="112"/>
  <c r="S99" i="110"/>
  <c r="T99" i="110"/>
  <c r="H99" i="111"/>
  <c r="N99" i="111"/>
  <c r="L99" i="111"/>
  <c r="AE100" i="110" l="1"/>
  <c r="AF100" i="110"/>
  <c r="AC100" i="110"/>
  <c r="AA100" i="110"/>
  <c r="Y100" i="110"/>
  <c r="Z100" i="110"/>
  <c r="AB100" i="110"/>
  <c r="AD100" i="110"/>
  <c r="AG100" i="110"/>
  <c r="AA99" i="111"/>
  <c r="P99" i="111"/>
  <c r="N100" i="110"/>
  <c r="M100" i="110"/>
  <c r="P100" i="110"/>
  <c r="O100" i="110"/>
  <c r="K100" i="110"/>
  <c r="Q100" i="110"/>
  <c r="L100" i="110"/>
  <c r="J100" i="110"/>
  <c r="I100" i="110"/>
  <c r="AL100" i="110" l="1"/>
  <c r="V100" i="110"/>
  <c r="J100" i="111"/>
  <c r="AI100" i="110"/>
  <c r="Z100" i="112"/>
  <c r="Z100" i="111"/>
  <c r="S100" i="110"/>
  <c r="O100" i="112"/>
  <c r="O100" i="111"/>
  <c r="W100" i="111"/>
  <c r="U100" i="110"/>
  <c r="I100" i="111"/>
  <c r="U100" i="111"/>
  <c r="M100" i="111"/>
  <c r="AJ100" i="110"/>
  <c r="S100" i="111"/>
  <c r="N100" i="111"/>
  <c r="AH100" i="110"/>
  <c r="Y101" i="110" a="1"/>
  <c r="R100" i="111"/>
  <c r="T100" i="110"/>
  <c r="H100" i="111"/>
  <c r="K100" i="111"/>
  <c r="AK100" i="110"/>
  <c r="T100" i="111"/>
  <c r="R100" i="110"/>
  <c r="I101" i="110" a="1"/>
  <c r="G100" i="111"/>
  <c r="L100" i="111"/>
  <c r="V100" i="111"/>
  <c r="Y100" i="111"/>
  <c r="X100" i="111"/>
  <c r="P100" i="111" l="1"/>
  <c r="O101" i="110"/>
  <c r="I101" i="110"/>
  <c r="N101" i="110"/>
  <c r="Q101" i="110"/>
  <c r="P101" i="110"/>
  <c r="K101" i="110"/>
  <c r="L101" i="110"/>
  <c r="J101" i="110"/>
  <c r="M101" i="110"/>
  <c r="AA100" i="111"/>
  <c r="AC101" i="110"/>
  <c r="AA101" i="110"/>
  <c r="AF101" i="110"/>
  <c r="AE101" i="110"/>
  <c r="Y101" i="110"/>
  <c r="AB101" i="110"/>
  <c r="AD101" i="110"/>
  <c r="Z101" i="110"/>
  <c r="AG101" i="110"/>
  <c r="V101" i="110" l="1"/>
  <c r="AL101" i="110"/>
  <c r="U101" i="110"/>
  <c r="I101" i="111"/>
  <c r="U101" i="111"/>
  <c r="N101" i="111"/>
  <c r="X101" i="111"/>
  <c r="L101" i="111"/>
  <c r="J101" i="111"/>
  <c r="W101" i="111"/>
  <c r="Y101" i="111"/>
  <c r="R101" i="110"/>
  <c r="I102" i="110" a="1"/>
  <c r="G101" i="111"/>
  <c r="K101" i="111"/>
  <c r="Z101" i="111"/>
  <c r="AI101" i="110"/>
  <c r="Z101" i="112"/>
  <c r="T101" i="110"/>
  <c r="H101" i="111"/>
  <c r="AJ101" i="110"/>
  <c r="S101" i="111"/>
  <c r="AH101" i="110"/>
  <c r="Y102" i="110" a="1"/>
  <c r="R101" i="111"/>
  <c r="O101" i="112"/>
  <c r="S101" i="110"/>
  <c r="O101" i="111"/>
  <c r="AK101" i="110"/>
  <c r="T101" i="111"/>
  <c r="M101" i="111"/>
  <c r="V101" i="111"/>
  <c r="P101" i="111" l="1"/>
  <c r="L102" i="110"/>
  <c r="O102" i="110"/>
  <c r="J102" i="110"/>
  <c r="K102" i="110"/>
  <c r="Q102" i="110"/>
  <c r="M102" i="110"/>
  <c r="N102" i="110"/>
  <c r="P102" i="110"/>
  <c r="I102" i="110"/>
  <c r="AA101" i="111"/>
  <c r="AB102" i="110"/>
  <c r="AA102" i="110"/>
  <c r="Y102" i="110"/>
  <c r="Z102" i="110"/>
  <c r="AG102" i="110"/>
  <c r="AF102" i="110"/>
  <c r="AE102" i="110"/>
  <c r="AC102" i="110"/>
  <c r="AD102" i="110"/>
  <c r="AL102" i="110" l="1"/>
  <c r="V102" i="110"/>
  <c r="V102" i="111"/>
  <c r="X102" i="111"/>
  <c r="Y102" i="111"/>
  <c r="AI102" i="110"/>
  <c r="Z102" i="112"/>
  <c r="Z102" i="111"/>
  <c r="AJ102" i="110"/>
  <c r="S102" i="111"/>
  <c r="AK102" i="110"/>
  <c r="T102" i="111"/>
  <c r="R102" i="110"/>
  <c r="I103" i="110" a="1"/>
  <c r="G102" i="111"/>
  <c r="AH102" i="110"/>
  <c r="Y103" i="110" a="1"/>
  <c r="R102" i="111"/>
  <c r="U102" i="111"/>
  <c r="N102" i="111"/>
  <c r="L102" i="111"/>
  <c r="K102" i="111"/>
  <c r="S102" i="110"/>
  <c r="O102" i="112"/>
  <c r="O102" i="111"/>
  <c r="U102" i="110"/>
  <c r="I102" i="111"/>
  <c r="T102" i="110"/>
  <c r="H102" i="111"/>
  <c r="M102" i="111"/>
  <c r="J102" i="111"/>
  <c r="W102" i="111"/>
  <c r="AC103" i="110" l="1"/>
  <c r="AA103" i="110"/>
  <c r="AG103" i="110"/>
  <c r="AF103" i="110"/>
  <c r="Z103" i="110"/>
  <c r="AD103" i="110"/>
  <c r="Y103" i="110"/>
  <c r="AE103" i="110"/>
  <c r="AB103" i="110"/>
  <c r="P102" i="111"/>
  <c r="N103" i="110"/>
  <c r="K103" i="110"/>
  <c r="I103" i="110"/>
  <c r="L103" i="110"/>
  <c r="M103" i="110"/>
  <c r="P103" i="110"/>
  <c r="Q103" i="110"/>
  <c r="J103" i="110"/>
  <c r="O103" i="110"/>
  <c r="AA102" i="111"/>
  <c r="V103" i="110" l="1"/>
  <c r="AL103" i="110"/>
  <c r="M103" i="111"/>
  <c r="O103" i="112"/>
  <c r="S103" i="110"/>
  <c r="O103" i="111"/>
  <c r="U103" i="111"/>
  <c r="T103" i="110"/>
  <c r="H103" i="111"/>
  <c r="N103" i="111"/>
  <c r="X103" i="111"/>
  <c r="K103" i="111"/>
  <c r="AH103" i="110"/>
  <c r="Y104" i="110" a="1"/>
  <c r="R103" i="111"/>
  <c r="J103" i="111"/>
  <c r="W103" i="111"/>
  <c r="R103" i="110"/>
  <c r="I104" i="110" a="1"/>
  <c r="G103" i="111"/>
  <c r="AJ103" i="110"/>
  <c r="S103" i="111"/>
  <c r="U103" i="110"/>
  <c r="I103" i="111"/>
  <c r="Y103" i="111"/>
  <c r="L103" i="111"/>
  <c r="AI103" i="110"/>
  <c r="Z103" i="112"/>
  <c r="Z103" i="111"/>
  <c r="AK103" i="110"/>
  <c r="T103" i="111"/>
  <c r="V103" i="111"/>
  <c r="Z104" i="110" l="1"/>
  <c r="AB104" i="110"/>
  <c r="AD104" i="110"/>
  <c r="Y104" i="110"/>
  <c r="AF104" i="110"/>
  <c r="AG104" i="110"/>
  <c r="AE104" i="110"/>
  <c r="AC104" i="110"/>
  <c r="AA104" i="110"/>
  <c r="AA103" i="111"/>
  <c r="P103" i="111"/>
  <c r="N104" i="110"/>
  <c r="K104" i="110"/>
  <c r="P104" i="110"/>
  <c r="O104" i="110"/>
  <c r="I104" i="110"/>
  <c r="J104" i="110"/>
  <c r="M104" i="110"/>
  <c r="Q104" i="110"/>
  <c r="L104" i="110"/>
  <c r="AL104" i="110" l="1"/>
  <c r="V104" i="110"/>
  <c r="J104" i="111"/>
  <c r="O104" i="111"/>
  <c r="O104" i="112"/>
  <c r="S104" i="110"/>
  <c r="T104" i="111"/>
  <c r="AK104" i="110"/>
  <c r="K104" i="111"/>
  <c r="V104" i="111"/>
  <c r="T104" i="110"/>
  <c r="H104" i="111"/>
  <c r="X104" i="111"/>
  <c r="R104" i="110"/>
  <c r="I105" i="110" a="1"/>
  <c r="G104" i="111"/>
  <c r="AI104" i="110"/>
  <c r="Z104" i="112"/>
  <c r="Z104" i="111"/>
  <c r="M104" i="111"/>
  <c r="Y104" i="111"/>
  <c r="N104" i="111"/>
  <c r="AH104" i="110"/>
  <c r="Y105" i="110" a="1"/>
  <c r="R104" i="111"/>
  <c r="U104" i="110"/>
  <c r="I104" i="111"/>
  <c r="W104" i="111"/>
  <c r="L104" i="111"/>
  <c r="U104" i="111"/>
  <c r="AJ104" i="110"/>
  <c r="S104" i="111"/>
  <c r="M105" i="110" l="1"/>
  <c r="K105" i="110"/>
  <c r="Q105" i="110"/>
  <c r="I105" i="110"/>
  <c r="N105" i="110"/>
  <c r="O105" i="110"/>
  <c r="J105" i="110"/>
  <c r="P105" i="110"/>
  <c r="L105" i="110"/>
  <c r="AA104" i="111"/>
  <c r="AC105" i="110"/>
  <c r="AA105" i="110"/>
  <c r="Z105" i="110"/>
  <c r="Y105" i="110"/>
  <c r="AG105" i="110"/>
  <c r="AF105" i="110"/>
  <c r="AD105" i="110"/>
  <c r="AE105" i="110"/>
  <c r="AB105" i="110"/>
  <c r="P104" i="111"/>
  <c r="AL105" i="110" l="1"/>
  <c r="V105" i="110"/>
  <c r="AH105" i="110"/>
  <c r="Y106" i="110" a="1"/>
  <c r="R105" i="111"/>
  <c r="AK105" i="110"/>
  <c r="T105" i="111"/>
  <c r="J105" i="111"/>
  <c r="Y105" i="111"/>
  <c r="AI105" i="110"/>
  <c r="Z105" i="112"/>
  <c r="Z105" i="111"/>
  <c r="AJ105" i="110"/>
  <c r="S105" i="111"/>
  <c r="V105" i="111"/>
  <c r="N105" i="111"/>
  <c r="T105" i="110"/>
  <c r="H105" i="111"/>
  <c r="M105" i="111"/>
  <c r="L105" i="111"/>
  <c r="R105" i="110"/>
  <c r="I106" i="110" a="1"/>
  <c r="G105" i="111"/>
  <c r="O105" i="112"/>
  <c r="S105" i="110"/>
  <c r="O105" i="111"/>
  <c r="U105" i="110"/>
  <c r="I105" i="111"/>
  <c r="K105" i="111"/>
  <c r="U105" i="111"/>
  <c r="W105" i="111"/>
  <c r="X105" i="111"/>
  <c r="M106" i="110" l="1"/>
  <c r="K106" i="110"/>
  <c r="N106" i="110"/>
  <c r="I106" i="110"/>
  <c r="P106" i="110"/>
  <c r="J106" i="110"/>
  <c r="Q106" i="110"/>
  <c r="O106" i="110"/>
  <c r="L106" i="110"/>
  <c r="AA105" i="111"/>
  <c r="P105" i="111"/>
  <c r="AF106" i="110"/>
  <c r="Y106" i="110"/>
  <c r="AD106" i="110"/>
  <c r="Z106" i="110"/>
  <c r="AB106" i="110"/>
  <c r="AG106" i="110"/>
  <c r="AE106" i="110"/>
  <c r="AC106" i="110"/>
  <c r="AA106" i="110"/>
  <c r="AL106" i="110" l="1"/>
  <c r="V106" i="110"/>
  <c r="J106" i="111"/>
  <c r="M106" i="111"/>
  <c r="S106" i="110"/>
  <c r="O106" i="112"/>
  <c r="O106" i="111"/>
  <c r="T106" i="110"/>
  <c r="H106" i="111"/>
  <c r="N106" i="111"/>
  <c r="AH106" i="110"/>
  <c r="Y107" i="110" a="1"/>
  <c r="R106" i="111"/>
  <c r="Y106" i="111"/>
  <c r="R106" i="110"/>
  <c r="I107" i="110" a="1"/>
  <c r="G106" i="111"/>
  <c r="AI106" i="110"/>
  <c r="Z106" i="112"/>
  <c r="Z106" i="111"/>
  <c r="U106" i="111"/>
  <c r="W106" i="111"/>
  <c r="AK106" i="110"/>
  <c r="T106" i="111"/>
  <c r="L106" i="111"/>
  <c r="V106" i="111"/>
  <c r="U106" i="110"/>
  <c r="I106" i="111"/>
  <c r="AJ106" i="110"/>
  <c r="S106" i="111"/>
  <c r="X106" i="111"/>
  <c r="K106" i="111"/>
  <c r="AA106" i="111" l="1"/>
  <c r="AB107" i="110"/>
  <c r="AG107" i="110"/>
  <c r="AC107" i="110"/>
  <c r="AA107" i="110"/>
  <c r="Y107" i="110"/>
  <c r="Z107" i="110"/>
  <c r="AE107" i="110"/>
  <c r="AD107" i="110"/>
  <c r="AF107" i="110"/>
  <c r="P106" i="111"/>
  <c r="K107" i="110"/>
  <c r="Q107" i="110"/>
  <c r="L107" i="110"/>
  <c r="I107" i="110"/>
  <c r="M107" i="110"/>
  <c r="P107" i="110"/>
  <c r="N107" i="110"/>
  <c r="L107" i="111" s="1"/>
  <c r="J107" i="110"/>
  <c r="O107" i="110"/>
  <c r="AL107" i="110" l="1"/>
  <c r="V107" i="110"/>
  <c r="Y107" i="111"/>
  <c r="T107" i="110"/>
  <c r="H107" i="111"/>
  <c r="AK107" i="110"/>
  <c r="T107" i="111"/>
  <c r="R107" i="110"/>
  <c r="I108" i="110" a="1"/>
  <c r="G107" i="111"/>
  <c r="V107" i="111"/>
  <c r="X107" i="111"/>
  <c r="N107" i="111"/>
  <c r="AH107" i="110"/>
  <c r="Y108" i="110" a="1"/>
  <c r="R107" i="111"/>
  <c r="K107" i="111"/>
  <c r="J107" i="111"/>
  <c r="AI107" i="110"/>
  <c r="Z107" i="112"/>
  <c r="Z107" i="111"/>
  <c r="M107" i="111"/>
  <c r="W107" i="111"/>
  <c r="AJ107" i="110"/>
  <c r="S107" i="111"/>
  <c r="S107" i="110"/>
  <c r="O107" i="112"/>
  <c r="O107" i="111"/>
  <c r="U107" i="111"/>
  <c r="U107" i="110"/>
  <c r="I107" i="111"/>
  <c r="M108" i="110" l="1"/>
  <c r="L108" i="110"/>
  <c r="I108" i="110"/>
  <c r="P108" i="110"/>
  <c r="Q108" i="110"/>
  <c r="N108" i="110"/>
  <c r="J108" i="110"/>
  <c r="K108" i="110"/>
  <c r="O108" i="110"/>
  <c r="AC108" i="110"/>
  <c r="AA108" i="110"/>
  <c r="Y108" i="110"/>
  <c r="AE108" i="110"/>
  <c r="Z108" i="110"/>
  <c r="AB108" i="110"/>
  <c r="AD108" i="110"/>
  <c r="AG108" i="110"/>
  <c r="AF108" i="110"/>
  <c r="AA107" i="111"/>
  <c r="P107" i="111"/>
  <c r="AL108" i="110" l="1"/>
  <c r="V108" i="110"/>
  <c r="AJ108" i="110"/>
  <c r="S108" i="111"/>
  <c r="X108" i="111"/>
  <c r="AH108" i="110"/>
  <c r="Y109" i="110" a="1"/>
  <c r="R108" i="111"/>
  <c r="AK108" i="110"/>
  <c r="T108" i="111"/>
  <c r="V108" i="111"/>
  <c r="M108" i="111"/>
  <c r="U108" i="110"/>
  <c r="I108" i="111"/>
  <c r="T108" i="110"/>
  <c r="H108" i="111"/>
  <c r="L108" i="111"/>
  <c r="S108" i="110"/>
  <c r="O108" i="112"/>
  <c r="O108" i="111"/>
  <c r="N108" i="111"/>
  <c r="Y108" i="111"/>
  <c r="R108" i="110"/>
  <c r="I109" i="110" a="1"/>
  <c r="G108" i="111"/>
  <c r="Z108" i="111"/>
  <c r="Z108" i="112"/>
  <c r="AI108" i="110"/>
  <c r="J108" i="111"/>
  <c r="W108" i="111"/>
  <c r="K108" i="111"/>
  <c r="U108" i="111"/>
  <c r="P109" i="110" l="1"/>
  <c r="L109" i="110"/>
  <c r="M109" i="110"/>
  <c r="Q109" i="110"/>
  <c r="J109" i="110"/>
  <c r="K109" i="110"/>
  <c r="I109" i="110"/>
  <c r="N109" i="110"/>
  <c r="O109" i="110"/>
  <c r="AA108" i="111"/>
  <c r="AB109" i="110"/>
  <c r="AE109" i="110"/>
  <c r="AF109" i="110"/>
  <c r="AA109" i="110"/>
  <c r="AD109" i="110"/>
  <c r="AC109" i="110"/>
  <c r="Y109" i="110"/>
  <c r="Z109" i="110"/>
  <c r="AG109" i="110"/>
  <c r="P108" i="111"/>
  <c r="AL109" i="110" l="1"/>
  <c r="V109" i="110"/>
  <c r="Z109" i="112"/>
  <c r="AI109" i="110"/>
  <c r="Z109" i="111"/>
  <c r="M109" i="111"/>
  <c r="AJ109" i="110"/>
  <c r="S109" i="111"/>
  <c r="L109" i="111"/>
  <c r="AH109" i="110"/>
  <c r="Y110" i="110" a="1"/>
  <c r="R109" i="111"/>
  <c r="R109" i="110"/>
  <c r="I110" i="110" a="1"/>
  <c r="G109" i="111"/>
  <c r="V109" i="111"/>
  <c r="U109" i="110"/>
  <c r="I109" i="111"/>
  <c r="W109" i="111"/>
  <c r="T109" i="110"/>
  <c r="H109" i="111"/>
  <c r="AK109" i="110"/>
  <c r="T109" i="111"/>
  <c r="O109" i="112"/>
  <c r="S109" i="110"/>
  <c r="O109" i="111"/>
  <c r="Y109" i="111"/>
  <c r="K109" i="111"/>
  <c r="X109" i="111"/>
  <c r="J109" i="111"/>
  <c r="U109" i="111"/>
  <c r="N109" i="111"/>
  <c r="P109" i="111" l="1"/>
  <c r="K110" i="110"/>
  <c r="Q110" i="110"/>
  <c r="I110" i="110"/>
  <c r="N110" i="110"/>
  <c r="P110" i="110"/>
  <c r="L110" i="110"/>
  <c r="O110" i="110"/>
  <c r="J110" i="110"/>
  <c r="M110" i="110"/>
  <c r="AA109" i="111"/>
  <c r="AB110" i="110"/>
  <c r="Y110" i="110"/>
  <c r="AC110" i="110"/>
  <c r="Z110" i="110"/>
  <c r="AG110" i="110"/>
  <c r="AE110" i="110"/>
  <c r="AA110" i="110"/>
  <c r="AD110" i="110"/>
  <c r="AF110" i="110"/>
  <c r="AL110" i="110" l="1"/>
  <c r="V110" i="110"/>
  <c r="AK110" i="110"/>
  <c r="T110" i="111"/>
  <c r="T110" i="110"/>
  <c r="H110" i="111"/>
  <c r="Z110" i="112"/>
  <c r="AI110" i="110"/>
  <c r="Z110" i="111"/>
  <c r="V110" i="111"/>
  <c r="L110" i="111"/>
  <c r="Y110" i="111"/>
  <c r="K110" i="111"/>
  <c r="J110" i="111"/>
  <c r="N110" i="111"/>
  <c r="AH110" i="110"/>
  <c r="Y111" i="110" a="1"/>
  <c r="R110" i="111"/>
  <c r="R110" i="110"/>
  <c r="I111" i="110" a="1"/>
  <c r="G110" i="111"/>
  <c r="W110" i="111"/>
  <c r="X110" i="111"/>
  <c r="M110" i="111"/>
  <c r="AJ110" i="110"/>
  <c r="S110" i="111"/>
  <c r="U110" i="111"/>
  <c r="S110" i="110"/>
  <c r="O110" i="112"/>
  <c r="O110" i="111"/>
  <c r="U110" i="110"/>
  <c r="I110" i="111"/>
  <c r="P110" i="111" l="1"/>
  <c r="Q111" i="110"/>
  <c r="L111" i="110"/>
  <c r="N111" i="110"/>
  <c r="M111" i="110"/>
  <c r="I111" i="110"/>
  <c r="J111" i="110"/>
  <c r="P111" i="110"/>
  <c r="K111" i="110"/>
  <c r="O111" i="110"/>
  <c r="AA110" i="111"/>
  <c r="Y111" i="110"/>
  <c r="AG111" i="110"/>
  <c r="AA111" i="110"/>
  <c r="AE111" i="110"/>
  <c r="AF111" i="110"/>
  <c r="AC111" i="110"/>
  <c r="AB111" i="110"/>
  <c r="AD111" i="110"/>
  <c r="Z111" i="110"/>
  <c r="AL111" i="110" l="1"/>
  <c r="V111" i="110"/>
  <c r="Y111" i="111"/>
  <c r="AK111" i="110"/>
  <c r="T111" i="111"/>
  <c r="N111" i="111"/>
  <c r="U111" i="111"/>
  <c r="V111" i="111"/>
  <c r="X111" i="111"/>
  <c r="U111" i="110"/>
  <c r="I111" i="111"/>
  <c r="Z111" i="112"/>
  <c r="AI111" i="110"/>
  <c r="Z111" i="111"/>
  <c r="T111" i="110"/>
  <c r="H111" i="111"/>
  <c r="M111" i="111"/>
  <c r="AH111" i="110"/>
  <c r="Y112" i="110" a="1"/>
  <c r="R111" i="111"/>
  <c r="R111" i="110"/>
  <c r="I112" i="110" a="1"/>
  <c r="G111" i="111"/>
  <c r="K111" i="111"/>
  <c r="L111" i="111"/>
  <c r="J111" i="111"/>
  <c r="S111" i="110"/>
  <c r="O111" i="112"/>
  <c r="O111" i="111"/>
  <c r="AJ111" i="110"/>
  <c r="S111" i="111"/>
  <c r="W111" i="111"/>
  <c r="P111" i="111" l="1"/>
  <c r="Q112" i="110"/>
  <c r="I112" i="110"/>
  <c r="O112" i="110"/>
  <c r="K112" i="110"/>
  <c r="M112" i="110"/>
  <c r="J112" i="110"/>
  <c r="P112" i="110"/>
  <c r="N112" i="110"/>
  <c r="L112" i="110"/>
  <c r="AA111" i="111"/>
  <c r="AF112" i="110"/>
  <c r="AD112" i="110"/>
  <c r="AG112" i="110"/>
  <c r="AE112" i="110"/>
  <c r="AC112" i="110"/>
  <c r="AA112" i="110"/>
  <c r="Y112" i="110"/>
  <c r="Z112" i="110"/>
  <c r="AB112" i="110"/>
  <c r="V112" i="110" l="1"/>
  <c r="AL112" i="110"/>
  <c r="AJ112" i="110"/>
  <c r="S112" i="111"/>
  <c r="J112" i="111"/>
  <c r="AH112" i="110"/>
  <c r="Y113" i="110" a="1"/>
  <c r="R112" i="111"/>
  <c r="L112" i="111"/>
  <c r="AK112" i="110"/>
  <c r="T112" i="111"/>
  <c r="N112" i="111"/>
  <c r="U112" i="111"/>
  <c r="V112" i="111"/>
  <c r="T112" i="110"/>
  <c r="H112" i="111"/>
  <c r="X112" i="111"/>
  <c r="K112" i="111"/>
  <c r="AI112" i="110"/>
  <c r="Z112" i="112"/>
  <c r="Z112" i="111"/>
  <c r="U112" i="110"/>
  <c r="I112" i="111"/>
  <c r="W112" i="111"/>
  <c r="M112" i="111"/>
  <c r="Y112" i="111"/>
  <c r="R112" i="110"/>
  <c r="I113" i="110" a="1"/>
  <c r="G112" i="111"/>
  <c r="S112" i="110"/>
  <c r="O112" i="112"/>
  <c r="O112" i="111"/>
  <c r="P112" i="111" l="1"/>
  <c r="O113" i="110"/>
  <c r="P113" i="110"/>
  <c r="Q113" i="110"/>
  <c r="I113" i="110"/>
  <c r="N113" i="110"/>
  <c r="K113" i="110"/>
  <c r="J113" i="110"/>
  <c r="L113" i="110"/>
  <c r="M113" i="110"/>
  <c r="AA112" i="111"/>
  <c r="AB113" i="110"/>
  <c r="Z113" i="110"/>
  <c r="AA113" i="110"/>
  <c r="AD113" i="110"/>
  <c r="AE113" i="110"/>
  <c r="AC113" i="110"/>
  <c r="Y113" i="110"/>
  <c r="AF113" i="110"/>
  <c r="AG113" i="110"/>
  <c r="V113" i="110" l="1"/>
  <c r="AL113" i="110"/>
  <c r="K113" i="111"/>
  <c r="J113" i="111"/>
  <c r="AI113" i="110"/>
  <c r="Z113" i="112"/>
  <c r="Z113" i="111"/>
  <c r="T113" i="110"/>
  <c r="H113" i="111"/>
  <c r="Y113" i="111"/>
  <c r="U113" i="110"/>
  <c r="I113" i="111"/>
  <c r="AH113" i="110"/>
  <c r="Y114" i="110" a="1"/>
  <c r="R113" i="111"/>
  <c r="L113" i="111"/>
  <c r="V113" i="111"/>
  <c r="R113" i="110"/>
  <c r="I114" i="110" a="1"/>
  <c r="G113" i="111"/>
  <c r="X113" i="111"/>
  <c r="S113" i="110"/>
  <c r="O113" i="112"/>
  <c r="O113" i="111"/>
  <c r="W113" i="111"/>
  <c r="N113" i="111"/>
  <c r="AK113" i="110"/>
  <c r="T113" i="111"/>
  <c r="M113" i="111"/>
  <c r="AJ113" i="110"/>
  <c r="S113" i="111"/>
  <c r="U113" i="111"/>
  <c r="AA113" i="111" l="1"/>
  <c r="AC114" i="110"/>
  <c r="AA114" i="110"/>
  <c r="AG114" i="110"/>
  <c r="Y114" i="110"/>
  <c r="AD114" i="110"/>
  <c r="AB114" i="110"/>
  <c r="AF114" i="110"/>
  <c r="Z114" i="110"/>
  <c r="AE114" i="110"/>
  <c r="P113" i="111"/>
  <c r="O114" i="110"/>
  <c r="Q114" i="110"/>
  <c r="I114" i="110"/>
  <c r="K114" i="110"/>
  <c r="P114" i="110"/>
  <c r="N114" i="110"/>
  <c r="J114" i="110"/>
  <c r="L114" i="110"/>
  <c r="M114" i="110"/>
  <c r="AL114" i="110" l="1"/>
  <c r="V114" i="110"/>
  <c r="X114" i="111"/>
  <c r="L114" i="111"/>
  <c r="W114" i="111"/>
  <c r="N114" i="111"/>
  <c r="AH114" i="110"/>
  <c r="Y115" i="110" a="1"/>
  <c r="R114" i="111"/>
  <c r="K114" i="111"/>
  <c r="T114" i="110"/>
  <c r="H114" i="111"/>
  <c r="U114" i="110"/>
  <c r="I114" i="111"/>
  <c r="Z114" i="111"/>
  <c r="AI114" i="110"/>
  <c r="Z114" i="112"/>
  <c r="AJ114" i="110"/>
  <c r="S114" i="111"/>
  <c r="R114" i="110"/>
  <c r="I115" i="110" a="1"/>
  <c r="G114" i="111"/>
  <c r="AK114" i="110"/>
  <c r="T114" i="111"/>
  <c r="J114" i="111"/>
  <c r="Y114" i="111"/>
  <c r="U114" i="111"/>
  <c r="O114" i="111"/>
  <c r="O114" i="112"/>
  <c r="S114" i="110"/>
  <c r="V114" i="111"/>
  <c r="M114" i="111"/>
  <c r="Y115" i="110" l="1"/>
  <c r="AG115" i="110"/>
  <c r="AE115" i="110"/>
  <c r="AD115" i="110"/>
  <c r="W115" i="111" s="1"/>
  <c r="AC115" i="110"/>
  <c r="AF115" i="110"/>
  <c r="AA115" i="110"/>
  <c r="Z115" i="110"/>
  <c r="AB115" i="110"/>
  <c r="P114" i="111"/>
  <c r="K115" i="110"/>
  <c r="I115" i="110"/>
  <c r="O115" i="110"/>
  <c r="N115" i="110"/>
  <c r="L115" i="110"/>
  <c r="J115" i="110"/>
  <c r="M115" i="110"/>
  <c r="Q115" i="110"/>
  <c r="P115" i="110"/>
  <c r="AA114" i="111"/>
  <c r="AL115" i="110" l="1"/>
  <c r="V115" i="110"/>
  <c r="N115" i="111"/>
  <c r="T115" i="110"/>
  <c r="H115" i="111"/>
  <c r="U115" i="111"/>
  <c r="K115" i="111"/>
  <c r="J115" i="111"/>
  <c r="AJ115" i="110"/>
  <c r="S115" i="111"/>
  <c r="S115" i="110"/>
  <c r="O115" i="112"/>
  <c r="O115" i="111"/>
  <c r="L115" i="111"/>
  <c r="AK115" i="110"/>
  <c r="T115" i="111"/>
  <c r="M115" i="111"/>
  <c r="Y115" i="111"/>
  <c r="R115" i="110"/>
  <c r="I116" i="110" a="1"/>
  <c r="G115" i="111"/>
  <c r="V115" i="111"/>
  <c r="U115" i="110"/>
  <c r="I115" i="111"/>
  <c r="X115" i="111"/>
  <c r="Z115" i="111"/>
  <c r="AI115" i="110"/>
  <c r="Z115" i="112"/>
  <c r="AH115" i="110"/>
  <c r="Y116" i="110" a="1"/>
  <c r="R115" i="111"/>
  <c r="AB116" i="110" l="1"/>
  <c r="Z116" i="110"/>
  <c r="AD116" i="110"/>
  <c r="Y116" i="110"/>
  <c r="AF116" i="110"/>
  <c r="AE116" i="110"/>
  <c r="AC116" i="110"/>
  <c r="AG116" i="110"/>
  <c r="AA116" i="110"/>
  <c r="P115" i="111"/>
  <c r="AA115" i="111"/>
  <c r="I116" i="110"/>
  <c r="O116" i="110"/>
  <c r="N116" i="110"/>
  <c r="L116" i="110"/>
  <c r="K116" i="110"/>
  <c r="J116" i="110"/>
  <c r="Q116" i="110"/>
  <c r="M116" i="110"/>
  <c r="P116" i="110"/>
  <c r="V116" i="110" l="1"/>
  <c r="AL116" i="110"/>
  <c r="K116" i="111"/>
  <c r="V116" i="111"/>
  <c r="O116" i="111"/>
  <c r="S116" i="110"/>
  <c r="O116" i="112"/>
  <c r="X116" i="111"/>
  <c r="AK116" i="110"/>
  <c r="T116" i="111"/>
  <c r="N116" i="111"/>
  <c r="Z116" i="111"/>
  <c r="AI116" i="110"/>
  <c r="Z116" i="112"/>
  <c r="T116" i="110"/>
  <c r="H116" i="111"/>
  <c r="Y116" i="111"/>
  <c r="U116" i="110"/>
  <c r="I116" i="111"/>
  <c r="AH116" i="110"/>
  <c r="Y117" i="110" a="1"/>
  <c r="R116" i="111"/>
  <c r="J116" i="111"/>
  <c r="W116" i="111"/>
  <c r="L116" i="111"/>
  <c r="AJ116" i="110"/>
  <c r="S116" i="111"/>
  <c r="M116" i="111"/>
  <c r="U116" i="111"/>
  <c r="R116" i="110"/>
  <c r="I117" i="110" a="1"/>
  <c r="G116" i="111"/>
  <c r="X21" i="65" a="1"/>
  <c r="X21" i="65" s="1"/>
  <c r="W22" i="65"/>
  <c r="AA116" i="111" l="1"/>
  <c r="AC117" i="110"/>
  <c r="AA117" i="110"/>
  <c r="Y117" i="110"/>
  <c r="AG117" i="110"/>
  <c r="AD117" i="110"/>
  <c r="AB117" i="110"/>
  <c r="AF117" i="110"/>
  <c r="Z117" i="110"/>
  <c r="AE117" i="110"/>
  <c r="P116" i="111"/>
  <c r="M117" i="110"/>
  <c r="Q117" i="110"/>
  <c r="L117" i="110"/>
  <c r="J117" i="110"/>
  <c r="P117" i="110"/>
  <c r="O117" i="110"/>
  <c r="N117" i="110"/>
  <c r="K117" i="110"/>
  <c r="I117" i="110"/>
  <c r="F35" i="66" a="1"/>
  <c r="F35" i="66" s="1"/>
  <c r="X22" i="65" a="1"/>
  <c r="X22" i="65" s="1"/>
  <c r="V117" i="110" l="1"/>
  <c r="AL117" i="110"/>
  <c r="M117" i="111"/>
  <c r="U117" i="111"/>
  <c r="X117" i="111"/>
  <c r="AJ117" i="110"/>
  <c r="S117" i="111"/>
  <c r="N117" i="111"/>
  <c r="W117" i="111"/>
  <c r="U117" i="110"/>
  <c r="I117" i="111"/>
  <c r="L117" i="111"/>
  <c r="Y117" i="111"/>
  <c r="T117" i="110"/>
  <c r="H117" i="111"/>
  <c r="AI117" i="110"/>
  <c r="Z117" i="112"/>
  <c r="Z117" i="111"/>
  <c r="J117" i="111"/>
  <c r="AH117" i="110"/>
  <c r="Y118" i="110" a="1"/>
  <c r="R117" i="111"/>
  <c r="S117" i="110"/>
  <c r="O117" i="112"/>
  <c r="O117" i="111"/>
  <c r="AK117" i="110"/>
  <c r="T117" i="111"/>
  <c r="R117" i="110"/>
  <c r="I118" i="110" a="1"/>
  <c r="G117" i="111"/>
  <c r="K117" i="111"/>
  <c r="V117" i="111"/>
  <c r="AB118" i="110" l="1"/>
  <c r="Z118" i="110"/>
  <c r="Y118" i="110"/>
  <c r="AG118" i="110"/>
  <c r="AE118" i="110"/>
  <c r="AC118" i="110"/>
  <c r="AA118" i="110"/>
  <c r="AF118" i="110"/>
  <c r="AD118" i="110"/>
  <c r="P117" i="111"/>
  <c r="I118" i="110"/>
  <c r="O118" i="110"/>
  <c r="L118" i="110"/>
  <c r="N118" i="110"/>
  <c r="Q118" i="110"/>
  <c r="P118" i="110"/>
  <c r="M118" i="110"/>
  <c r="K118" i="110"/>
  <c r="J118" i="110"/>
  <c r="AA117" i="111"/>
  <c r="V118" i="110" l="1"/>
  <c r="AL118" i="110"/>
  <c r="W118" i="111"/>
  <c r="Y118" i="111"/>
  <c r="T118" i="110"/>
  <c r="H118" i="111"/>
  <c r="AK118" i="110"/>
  <c r="T118" i="111"/>
  <c r="U118" i="110"/>
  <c r="I118" i="111"/>
  <c r="V118" i="111"/>
  <c r="K118" i="111"/>
  <c r="X118" i="111"/>
  <c r="N118" i="111"/>
  <c r="AI118" i="110"/>
  <c r="Z118" i="112"/>
  <c r="Z118" i="111"/>
  <c r="O118" i="111"/>
  <c r="S118" i="110"/>
  <c r="O118" i="112"/>
  <c r="AH118" i="110"/>
  <c r="Y119" i="110" a="1"/>
  <c r="R118" i="111"/>
  <c r="L118" i="111"/>
  <c r="AJ118" i="110"/>
  <c r="S118" i="111"/>
  <c r="J118" i="111"/>
  <c r="U118" i="111"/>
  <c r="M118" i="111"/>
  <c r="R118" i="110"/>
  <c r="I119" i="110" a="1"/>
  <c r="G118" i="111"/>
  <c r="Y119" i="110" l="1"/>
  <c r="AG119" i="110"/>
  <c r="AE119" i="110"/>
  <c r="AD119" i="110"/>
  <c r="AF119" i="110"/>
  <c r="AC119" i="110"/>
  <c r="AB119" i="110"/>
  <c r="AA119" i="110"/>
  <c r="Z119" i="110"/>
  <c r="AA118" i="111"/>
  <c r="J119" i="110"/>
  <c r="N119" i="110"/>
  <c r="P119" i="110"/>
  <c r="O119" i="110"/>
  <c r="M119" i="110"/>
  <c r="Q119" i="110"/>
  <c r="L119" i="110"/>
  <c r="I119" i="110"/>
  <c r="K119" i="110"/>
  <c r="P118" i="111"/>
  <c r="AL119" i="110" l="1"/>
  <c r="V119" i="110"/>
  <c r="AJ119" i="110"/>
  <c r="S119" i="111"/>
  <c r="AK119" i="110"/>
  <c r="T119" i="111"/>
  <c r="U119" i="111"/>
  <c r="V119" i="111"/>
  <c r="Y119" i="111"/>
  <c r="W119" i="111"/>
  <c r="X119" i="111"/>
  <c r="Z119" i="111"/>
  <c r="AI119" i="110"/>
  <c r="Z119" i="112"/>
  <c r="U119" i="110"/>
  <c r="I119" i="111"/>
  <c r="R119" i="110"/>
  <c r="I120" i="110" a="1"/>
  <c r="G119" i="111"/>
  <c r="J119" i="111"/>
  <c r="O119" i="112"/>
  <c r="S119" i="110"/>
  <c r="O119" i="111"/>
  <c r="K119" i="111"/>
  <c r="M119" i="111"/>
  <c r="N119" i="111"/>
  <c r="L119" i="111"/>
  <c r="AH119" i="110"/>
  <c r="Y120" i="110" a="1"/>
  <c r="R119" i="111"/>
  <c r="T119" i="110"/>
  <c r="H119" i="111"/>
  <c r="I120" i="110" l="1"/>
  <c r="M120" i="110"/>
  <c r="K120" i="110"/>
  <c r="N120" i="110"/>
  <c r="P120" i="110"/>
  <c r="J120" i="110"/>
  <c r="L120" i="110"/>
  <c r="Q120" i="110"/>
  <c r="O120" i="110"/>
  <c r="AA119" i="111"/>
  <c r="AC120" i="110"/>
  <c r="AA120" i="110"/>
  <c r="Y120" i="110"/>
  <c r="AB120" i="110"/>
  <c r="Z120" i="110"/>
  <c r="AD120" i="110"/>
  <c r="AF120" i="110"/>
  <c r="AG120" i="110"/>
  <c r="AE120" i="110"/>
  <c r="P119" i="111"/>
  <c r="AL120" i="110" l="1"/>
  <c r="V120" i="110"/>
  <c r="M120" i="111"/>
  <c r="X120" i="111"/>
  <c r="O120" i="111"/>
  <c r="S120" i="110"/>
  <c r="O120" i="112"/>
  <c r="Z120" i="112"/>
  <c r="AI120" i="110"/>
  <c r="Z120" i="111"/>
  <c r="J120" i="111"/>
  <c r="AJ120" i="110"/>
  <c r="S120" i="111"/>
  <c r="W120" i="111"/>
  <c r="U120" i="111"/>
  <c r="U120" i="110"/>
  <c r="I120" i="111"/>
  <c r="Y120" i="111"/>
  <c r="T120" i="110"/>
  <c r="H120" i="111"/>
  <c r="N120" i="111"/>
  <c r="L120" i="111"/>
  <c r="AH120" i="110"/>
  <c r="Y121" i="110" a="1"/>
  <c r="R120" i="111"/>
  <c r="K120" i="111"/>
  <c r="AK120" i="110"/>
  <c r="T120" i="111"/>
  <c r="G120" i="111"/>
  <c r="R120" i="110"/>
  <c r="I121" i="110" a="1"/>
  <c r="V120" i="111"/>
  <c r="K121" i="110" l="1"/>
  <c r="P121" i="110"/>
  <c r="Q121" i="110"/>
  <c r="I121" i="110"/>
  <c r="L121" i="110"/>
  <c r="O121" i="110"/>
  <c r="J121" i="110"/>
  <c r="M121" i="110"/>
  <c r="N121" i="110"/>
  <c r="P120" i="111"/>
  <c r="AA120" i="111"/>
  <c r="AD121" i="110"/>
  <c r="AC121" i="110"/>
  <c r="AF121" i="110"/>
  <c r="Z121" i="110"/>
  <c r="Y121" i="110"/>
  <c r="AG121" i="110"/>
  <c r="AE121" i="110"/>
  <c r="AB121" i="110"/>
  <c r="AA121" i="110"/>
  <c r="AL121" i="110" l="1"/>
  <c r="V121" i="110"/>
  <c r="AK121" i="110"/>
  <c r="T121" i="111"/>
  <c r="U121" i="111"/>
  <c r="Z121" i="112"/>
  <c r="AI121" i="110"/>
  <c r="Z121" i="111"/>
  <c r="AJ121" i="110"/>
  <c r="S121" i="111"/>
  <c r="L121" i="111"/>
  <c r="AH121" i="110"/>
  <c r="Y122" i="110" a="1"/>
  <c r="R121" i="111"/>
  <c r="Y121" i="111"/>
  <c r="K121" i="111"/>
  <c r="T121" i="110"/>
  <c r="H121" i="111"/>
  <c r="X121" i="111"/>
  <c r="V121" i="111"/>
  <c r="W121" i="111"/>
  <c r="M121" i="111"/>
  <c r="J121" i="111"/>
  <c r="G121" i="111"/>
  <c r="R121" i="110"/>
  <c r="I122" i="110" a="1"/>
  <c r="O121" i="111"/>
  <c r="S121" i="110"/>
  <c r="O121" i="112"/>
  <c r="N121" i="111"/>
  <c r="U121" i="110"/>
  <c r="I121" i="111"/>
  <c r="AA121" i="111" l="1"/>
  <c r="Y122" i="110"/>
  <c r="AB122" i="110"/>
  <c r="AF122" i="110"/>
  <c r="AG122" i="110"/>
  <c r="AE122" i="110"/>
  <c r="AC122" i="110"/>
  <c r="AA122" i="110"/>
  <c r="AD122" i="110"/>
  <c r="Z122" i="110"/>
  <c r="L122" i="110"/>
  <c r="M122" i="110"/>
  <c r="O122" i="110"/>
  <c r="I122" i="110"/>
  <c r="P122" i="110"/>
  <c r="K122" i="110"/>
  <c r="J122" i="110"/>
  <c r="Q122" i="110"/>
  <c r="N122" i="110"/>
  <c r="P121" i="111"/>
  <c r="AL122" i="110" l="1"/>
  <c r="V122" i="110"/>
  <c r="N122" i="111"/>
  <c r="R122" i="110"/>
  <c r="I123" i="110" a="1"/>
  <c r="G122" i="111"/>
  <c r="AJ122" i="110"/>
  <c r="S122" i="111"/>
  <c r="M122" i="111"/>
  <c r="W122" i="111"/>
  <c r="K122" i="111"/>
  <c r="AK122" i="110"/>
  <c r="T122" i="111"/>
  <c r="J122" i="111"/>
  <c r="V122" i="111"/>
  <c r="X122" i="111"/>
  <c r="Z122" i="111"/>
  <c r="Z122" i="112"/>
  <c r="AI122" i="110"/>
  <c r="Y122" i="111"/>
  <c r="U122" i="111"/>
  <c r="R122" i="111"/>
  <c r="AH122" i="110"/>
  <c r="Y123" i="110" a="1"/>
  <c r="L122" i="111"/>
  <c r="S122" i="110"/>
  <c r="O122" i="112"/>
  <c r="O122" i="111"/>
  <c r="T122" i="110"/>
  <c r="H122" i="111"/>
  <c r="U122" i="110"/>
  <c r="I122" i="111"/>
  <c r="AA122" i="111" l="1"/>
  <c r="AF123" i="110"/>
  <c r="AB123" i="110"/>
  <c r="AA123" i="110"/>
  <c r="Y123" i="110"/>
  <c r="Z123" i="110"/>
  <c r="AG123" i="110"/>
  <c r="AD123" i="110"/>
  <c r="AE123" i="110"/>
  <c r="AC123" i="110"/>
  <c r="P122" i="111"/>
  <c r="N123" i="110"/>
  <c r="L123" i="110"/>
  <c r="J123" i="110"/>
  <c r="O123" i="110"/>
  <c r="K123" i="110"/>
  <c r="I123" i="110"/>
  <c r="M123" i="110"/>
  <c r="P123" i="110"/>
  <c r="Q123" i="110"/>
  <c r="AL123" i="110" l="1"/>
  <c r="V123" i="110"/>
  <c r="M123" i="111"/>
  <c r="H123" i="111"/>
  <c r="T123" i="110"/>
  <c r="J123" i="111"/>
  <c r="L123" i="111"/>
  <c r="V123" i="111"/>
  <c r="X123" i="111"/>
  <c r="W123" i="111"/>
  <c r="Z123" i="111"/>
  <c r="Z123" i="112"/>
  <c r="AI123" i="110"/>
  <c r="AJ123" i="110"/>
  <c r="S123" i="111"/>
  <c r="AH123" i="110"/>
  <c r="Y124" i="110" a="1"/>
  <c r="R123" i="111"/>
  <c r="AK123" i="110"/>
  <c r="T123" i="111"/>
  <c r="U123" i="111"/>
  <c r="O123" i="111"/>
  <c r="S123" i="110"/>
  <c r="O123" i="112"/>
  <c r="Y123" i="111"/>
  <c r="N123" i="111"/>
  <c r="K123" i="111"/>
  <c r="R123" i="110"/>
  <c r="I124" i="110" a="1"/>
  <c r="G123" i="111"/>
  <c r="U123" i="110"/>
  <c r="I123" i="111"/>
  <c r="P123" i="111" l="1"/>
  <c r="AA123" i="111"/>
  <c r="Y124" i="110"/>
  <c r="AC124" i="110"/>
  <c r="AE124" i="110"/>
  <c r="AF124" i="110"/>
  <c r="AA124" i="110"/>
  <c r="AD124" i="110"/>
  <c r="AG124" i="110"/>
  <c r="Z124" i="110"/>
  <c r="AB124" i="110"/>
  <c r="O124" i="110"/>
  <c r="K124" i="110"/>
  <c r="M124" i="110"/>
  <c r="P124" i="110"/>
  <c r="I124" i="110"/>
  <c r="Q124" i="110"/>
  <c r="J124" i="110"/>
  <c r="N124" i="110"/>
  <c r="L124" i="111" s="1"/>
  <c r="L124" i="110"/>
  <c r="AL124" i="110" l="1"/>
  <c r="V124" i="110"/>
  <c r="J124" i="111"/>
  <c r="O124" i="112"/>
  <c r="S124" i="110"/>
  <c r="O124" i="111"/>
  <c r="AI124" i="110"/>
  <c r="Z124" i="112"/>
  <c r="Z124" i="111"/>
  <c r="R124" i="110"/>
  <c r="I125" i="110" a="1"/>
  <c r="G124" i="111"/>
  <c r="W124" i="111"/>
  <c r="N124" i="111"/>
  <c r="AK124" i="110"/>
  <c r="T124" i="111"/>
  <c r="K124" i="111"/>
  <c r="Y124" i="111"/>
  <c r="U124" i="111"/>
  <c r="T124" i="110"/>
  <c r="H124" i="111"/>
  <c r="AJ124" i="110"/>
  <c r="S124" i="111"/>
  <c r="U124" i="110"/>
  <c r="I124" i="111"/>
  <c r="X124" i="111"/>
  <c r="M124" i="111"/>
  <c r="V124" i="111"/>
  <c r="AH124" i="110"/>
  <c r="Y125" i="110" a="1"/>
  <c r="R124" i="111"/>
  <c r="P124" i="111" l="1"/>
  <c r="M125" i="110"/>
  <c r="L125" i="110"/>
  <c r="J125" i="110"/>
  <c r="Q125" i="110"/>
  <c r="K125" i="110"/>
  <c r="O125" i="110"/>
  <c r="P125" i="110"/>
  <c r="N125" i="110"/>
  <c r="I125" i="110"/>
  <c r="AF125" i="110"/>
  <c r="AD125" i="110"/>
  <c r="AE125" i="110"/>
  <c r="AB125" i="110"/>
  <c r="Z125" i="110"/>
  <c r="AG125" i="110"/>
  <c r="AC125" i="110"/>
  <c r="AA125" i="110"/>
  <c r="Y125" i="110"/>
  <c r="AA124" i="111"/>
  <c r="AL125" i="110" l="1"/>
  <c r="V125" i="110"/>
  <c r="Y125" i="111"/>
  <c r="M125" i="111"/>
  <c r="R125" i="110"/>
  <c r="I126" i="110" a="1"/>
  <c r="G125" i="111"/>
  <c r="L125" i="111"/>
  <c r="V125" i="111"/>
  <c r="U125" i="110"/>
  <c r="I125" i="111"/>
  <c r="N125" i="111"/>
  <c r="AI125" i="110"/>
  <c r="Z125" i="112"/>
  <c r="Z125" i="111"/>
  <c r="O125" i="111"/>
  <c r="S125" i="110"/>
  <c r="O125" i="112"/>
  <c r="AH125" i="110"/>
  <c r="Y126" i="110" a="1"/>
  <c r="R125" i="111"/>
  <c r="AK125" i="110"/>
  <c r="T125" i="111"/>
  <c r="AJ125" i="110"/>
  <c r="S125" i="111"/>
  <c r="T125" i="110"/>
  <c r="H125" i="111"/>
  <c r="U125" i="111"/>
  <c r="J125" i="111"/>
  <c r="X125" i="111"/>
  <c r="K125" i="111"/>
  <c r="W125" i="111"/>
  <c r="AC126" i="110" l="1"/>
  <c r="AG126" i="110"/>
  <c r="AA126" i="110"/>
  <c r="Y126" i="110"/>
  <c r="AD126" i="110"/>
  <c r="AF126" i="110"/>
  <c r="Z126" i="110"/>
  <c r="AB126" i="110"/>
  <c r="AE126" i="110"/>
  <c r="P125" i="111"/>
  <c r="J126" i="110"/>
  <c r="I126" i="110"/>
  <c r="O126" i="110"/>
  <c r="M126" i="110"/>
  <c r="N126" i="110"/>
  <c r="L126" i="110"/>
  <c r="P126" i="110"/>
  <c r="Q126" i="110"/>
  <c r="K126" i="110"/>
  <c r="AA125" i="111"/>
  <c r="AL126" i="110" l="1"/>
  <c r="V126" i="110"/>
  <c r="AJ126" i="110"/>
  <c r="S126" i="111"/>
  <c r="U126" i="110"/>
  <c r="I126" i="111"/>
  <c r="O126" i="111"/>
  <c r="O126" i="112"/>
  <c r="S126" i="110"/>
  <c r="X126" i="111"/>
  <c r="J126" i="111"/>
  <c r="AH126" i="110"/>
  <c r="Y127" i="110" a="1"/>
  <c r="R126" i="111"/>
  <c r="Y126" i="111"/>
  <c r="N126" i="111"/>
  <c r="W126" i="111"/>
  <c r="L126" i="111"/>
  <c r="AK126" i="110"/>
  <c r="T126" i="111"/>
  <c r="U126" i="111"/>
  <c r="K126" i="111"/>
  <c r="AI126" i="110"/>
  <c r="Z126" i="112"/>
  <c r="Z126" i="111"/>
  <c r="M126" i="111"/>
  <c r="V126" i="111"/>
  <c r="R126" i="110"/>
  <c r="I127" i="110" a="1"/>
  <c r="G126" i="111"/>
  <c r="T126" i="110"/>
  <c r="H126" i="111"/>
  <c r="P126" i="111" l="1"/>
  <c r="AA126" i="111"/>
  <c r="K127" i="110"/>
  <c r="I127" i="110"/>
  <c r="M127" i="110"/>
  <c r="J127" i="110"/>
  <c r="Q127" i="110"/>
  <c r="N127" i="110"/>
  <c r="L127" i="110"/>
  <c r="O127" i="110"/>
  <c r="P127" i="110"/>
  <c r="Y127" i="110"/>
  <c r="AG127" i="110"/>
  <c r="AE127" i="110"/>
  <c r="AD127" i="110"/>
  <c r="AC127" i="110"/>
  <c r="AB127" i="110"/>
  <c r="AA127" i="110"/>
  <c r="Z127" i="110"/>
  <c r="AF127" i="110"/>
  <c r="V127" i="110" l="1"/>
  <c r="AL127" i="110"/>
  <c r="M127" i="111"/>
  <c r="J127" i="111"/>
  <c r="L127" i="111"/>
  <c r="O127" i="111"/>
  <c r="S127" i="110"/>
  <c r="O127" i="112"/>
  <c r="AH127" i="110"/>
  <c r="Y128" i="110" a="1"/>
  <c r="R127" i="111"/>
  <c r="T127" i="110"/>
  <c r="H127" i="111"/>
  <c r="K127" i="111"/>
  <c r="Y127" i="111"/>
  <c r="R127" i="110"/>
  <c r="I128" i="110" a="1"/>
  <c r="G127" i="111"/>
  <c r="N127" i="111"/>
  <c r="AJ127" i="110"/>
  <c r="S127" i="111"/>
  <c r="U127" i="110"/>
  <c r="I127" i="111"/>
  <c r="V127" i="111"/>
  <c r="AK127" i="110"/>
  <c r="T127" i="111"/>
  <c r="X127" i="111"/>
  <c r="U127" i="111"/>
  <c r="W127" i="111"/>
  <c r="Z127" i="111"/>
  <c r="AI127" i="110"/>
  <c r="Z127" i="112"/>
  <c r="P127" i="111" l="1"/>
  <c r="J128" i="110"/>
  <c r="K128" i="110"/>
  <c r="N128" i="110"/>
  <c r="O128" i="110"/>
  <c r="L128" i="110"/>
  <c r="M128" i="110"/>
  <c r="Q128" i="110"/>
  <c r="I128" i="110"/>
  <c r="P128" i="110"/>
  <c r="AA127" i="111"/>
  <c r="AE128" i="110"/>
  <c r="AD128" i="110"/>
  <c r="Z128" i="110"/>
  <c r="AB128" i="110"/>
  <c r="AF128" i="110"/>
  <c r="AG128" i="110"/>
  <c r="AA128" i="110"/>
  <c r="Y128" i="110"/>
  <c r="AC128" i="110"/>
  <c r="V128" i="110" l="1"/>
  <c r="AL128" i="110"/>
  <c r="X128" i="111"/>
  <c r="L128" i="111"/>
  <c r="V128" i="111"/>
  <c r="U128" i="110"/>
  <c r="I128" i="111"/>
  <c r="T128" i="110"/>
  <c r="H128" i="111"/>
  <c r="AH128" i="110"/>
  <c r="Y129" i="110" a="1"/>
  <c r="R128" i="111"/>
  <c r="AK128" i="110"/>
  <c r="T128" i="111"/>
  <c r="Y128" i="111"/>
  <c r="AI128" i="110"/>
  <c r="Z128" i="112"/>
  <c r="Z128" i="111"/>
  <c r="U128" i="111"/>
  <c r="AJ128" i="110"/>
  <c r="S128" i="111"/>
  <c r="W128" i="111"/>
  <c r="N128" i="111"/>
  <c r="R128" i="110"/>
  <c r="I129" i="110" a="1"/>
  <c r="G128" i="111"/>
  <c r="O128" i="112"/>
  <c r="S128" i="110"/>
  <c r="O128" i="111"/>
  <c r="K128" i="111"/>
  <c r="J128" i="111"/>
  <c r="M128" i="111"/>
  <c r="AA128" i="111" l="1"/>
  <c r="P128" i="111"/>
  <c r="AC129" i="110"/>
  <c r="AB129" i="110"/>
  <c r="AA129" i="110"/>
  <c r="Y129" i="110"/>
  <c r="Z129" i="110"/>
  <c r="AF129" i="110"/>
  <c r="AG129" i="110"/>
  <c r="AD129" i="110"/>
  <c r="AE129" i="110"/>
  <c r="Q129" i="110"/>
  <c r="M129" i="110"/>
  <c r="L129" i="110"/>
  <c r="J129" i="110"/>
  <c r="N129" i="110"/>
  <c r="O129" i="110"/>
  <c r="K129" i="110"/>
  <c r="P129" i="110"/>
  <c r="I129" i="110"/>
  <c r="V129" i="110" l="1"/>
  <c r="AL129" i="110"/>
  <c r="AJ129" i="110"/>
  <c r="S129" i="111"/>
  <c r="Y130" i="110" a="1"/>
  <c r="AH129" i="110"/>
  <c r="R129" i="111"/>
  <c r="I130" i="110" a="1"/>
  <c r="R129" i="110"/>
  <c r="G129" i="111"/>
  <c r="AK129" i="110"/>
  <c r="T129" i="111"/>
  <c r="N129" i="111"/>
  <c r="U129" i="111"/>
  <c r="U129" i="110"/>
  <c r="I129" i="111"/>
  <c r="V129" i="111"/>
  <c r="M129" i="111"/>
  <c r="L129" i="111"/>
  <c r="T129" i="110"/>
  <c r="H129" i="111"/>
  <c r="J129" i="111"/>
  <c r="K129" i="111"/>
  <c r="O129" i="112"/>
  <c r="S129" i="110"/>
  <c r="O129" i="111"/>
  <c r="X129" i="111"/>
  <c r="W129" i="111"/>
  <c r="Z129" i="111"/>
  <c r="AI129" i="110"/>
  <c r="Z129" i="112"/>
  <c r="Y129" i="111"/>
  <c r="P129" i="111" l="1"/>
  <c r="O130" i="110"/>
  <c r="P130" i="110"/>
  <c r="N130" i="110"/>
  <c r="Q130" i="110"/>
  <c r="M130" i="110"/>
  <c r="L130" i="110"/>
  <c r="K130" i="110"/>
  <c r="J130" i="110"/>
  <c r="I130" i="110"/>
  <c r="AA129" i="111"/>
  <c r="Y130" i="110"/>
  <c r="AF130" i="110"/>
  <c r="AG130" i="110"/>
  <c r="AD130" i="110"/>
  <c r="Z130" i="110"/>
  <c r="AA130" i="110"/>
  <c r="AB130" i="110"/>
  <c r="AE130" i="110"/>
  <c r="AC130" i="110"/>
  <c r="V130" i="110" l="1"/>
  <c r="AL130" i="110"/>
  <c r="V131" i="111"/>
  <c r="V130" i="111"/>
  <c r="X131" i="111"/>
  <c r="X130" i="111"/>
  <c r="R130" i="110"/>
  <c r="G131" i="111"/>
  <c r="G130" i="111"/>
  <c r="T130" i="110"/>
  <c r="H131" i="111"/>
  <c r="H130" i="111"/>
  <c r="T131" i="111"/>
  <c r="AK130" i="110"/>
  <c r="T130" i="111"/>
  <c r="I131" i="111"/>
  <c r="U130" i="110"/>
  <c r="I130" i="111"/>
  <c r="S131" i="111"/>
  <c r="AJ130" i="110"/>
  <c r="S130" i="111"/>
  <c r="J131" i="111"/>
  <c r="J130" i="111"/>
  <c r="W131" i="111"/>
  <c r="W130" i="111"/>
  <c r="K131" i="111"/>
  <c r="K130" i="111"/>
  <c r="Z130" i="112"/>
  <c r="AI130" i="110"/>
  <c r="Z131" i="111"/>
  <c r="Z131" i="112"/>
  <c r="Z130" i="111"/>
  <c r="O131" i="112"/>
  <c r="O131" i="111"/>
  <c r="S130" i="110"/>
  <c r="O130" i="112"/>
  <c r="O130" i="111"/>
  <c r="Y131" i="111"/>
  <c r="Y130" i="111"/>
  <c r="L131" i="111"/>
  <c r="L130" i="111"/>
  <c r="U131" i="111"/>
  <c r="U130" i="111"/>
  <c r="AH130" i="110"/>
  <c r="R131" i="111"/>
  <c r="R130" i="111"/>
  <c r="N131" i="111"/>
  <c r="N130" i="111"/>
  <c r="M131" i="111"/>
  <c r="M130" i="111"/>
  <c r="P130" i="111" l="1"/>
  <c r="P131" i="111"/>
  <c r="AA130" i="111"/>
  <c r="AA131" i="111"/>
  <c r="K2" i="34" l="1"/>
  <c r="Q2" i="34" s="1"/>
  <c r="F2" i="34"/>
  <c r="H2" i="34" s="1"/>
  <c r="I2" i="34" s="1"/>
  <c r="W2" i="34" l="1"/>
  <c r="AC2" i="34" s="1"/>
  <c r="L2" i="34"/>
  <c r="N2" i="34" s="1"/>
  <c r="O2" i="34" s="1"/>
  <c r="R2" i="34"/>
  <c r="X2" i="34" l="1"/>
  <c r="Z2" i="34" s="1"/>
  <c r="T2" i="34"/>
  <c r="AI2" i="34"/>
  <c r="AD2" i="34"/>
  <c r="AF2" i="34" s="1"/>
  <c r="AG2" i="34" s="1"/>
  <c r="AA2" i="34" l="1"/>
  <c r="U2" i="34"/>
  <c r="AJ2" i="34"/>
  <c r="AO2" i="34"/>
  <c r="AL2" i="34" l="1"/>
  <c r="AU2" i="34"/>
  <c r="AP2" i="34"/>
  <c r="O59" i="115" l="1"/>
  <c r="AE41" i="115"/>
  <c r="O54" i="115"/>
  <c r="O7" i="115"/>
  <c r="AE20" i="115"/>
  <c r="AE59" i="115"/>
  <c r="AE28" i="115"/>
  <c r="O46" i="115"/>
  <c r="O15" i="115"/>
  <c r="O41" i="115"/>
  <c r="O28" i="115"/>
  <c r="AE7" i="115"/>
  <c r="AE46" i="115"/>
  <c r="AE54" i="115"/>
  <c r="AE67" i="115"/>
  <c r="O33" i="115"/>
  <c r="AE33" i="115"/>
  <c r="O67" i="115"/>
  <c r="O20" i="115"/>
  <c r="AE15" i="115"/>
  <c r="AM2" i="34"/>
  <c r="AR2" i="34"/>
  <c r="AX2" i="34" s="1"/>
  <c r="AV2" i="34"/>
  <c r="BA2" i="34"/>
  <c r="O21" i="115" l="1"/>
  <c r="AE34" i="115"/>
  <c r="O47" i="115"/>
  <c r="AE8" i="115"/>
  <c r="O60" i="115"/>
  <c r="AE47" i="115"/>
  <c r="O34" i="115"/>
  <c r="AE60" i="115"/>
  <c r="AE21" i="115"/>
  <c r="O8" i="115"/>
  <c r="AS2" i="34"/>
  <c r="AY2" i="34"/>
  <c r="BD2" i="34"/>
  <c r="BG2" i="34"/>
  <c r="BB2" i="34"/>
  <c r="AM67" i="115" l="1"/>
  <c r="AI67" i="115" s="1"/>
  <c r="AO67" i="115" s="1"/>
  <c r="W62" i="115"/>
  <c r="S62" i="115" s="1"/>
  <c r="Y62" i="115" s="1"/>
  <c r="W59" i="115"/>
  <c r="K59" i="115" s="1"/>
  <c r="Y59" i="115" s="1"/>
  <c r="W67" i="115"/>
  <c r="S67" i="115" s="1"/>
  <c r="Y67" i="115" s="1"/>
  <c r="AM62" i="115"/>
  <c r="AI62" i="115" s="1"/>
  <c r="AO62" i="115" s="1"/>
  <c r="W60" i="115"/>
  <c r="L60" i="115" s="1"/>
  <c r="Y60" i="115" s="1"/>
  <c r="AM60" i="115"/>
  <c r="AA60" i="115" s="1"/>
  <c r="AO60" i="115" s="1"/>
  <c r="AM59" i="115"/>
  <c r="AA59" i="115" s="1"/>
  <c r="AO59" i="115" s="1"/>
  <c r="AM61" i="115"/>
  <c r="AI61" i="115" s="1"/>
  <c r="AO61" i="115" s="1"/>
  <c r="W61" i="115"/>
  <c r="S61" i="115" s="1"/>
  <c r="Y61" i="115" s="1"/>
  <c r="W40" i="115"/>
  <c r="S40" i="115" s="1"/>
  <c r="Y40" i="115" s="1"/>
  <c r="W39" i="115"/>
  <c r="S39" i="115" s="1"/>
  <c r="Y39" i="115" s="1"/>
  <c r="AM40" i="115"/>
  <c r="AI40" i="115" s="1"/>
  <c r="AO40" i="115" s="1"/>
  <c r="AM39" i="115"/>
  <c r="AI39" i="115" s="1"/>
  <c r="AO39" i="115" s="1"/>
  <c r="W42" i="115"/>
  <c r="V42" i="115" s="1"/>
  <c r="Y42" i="115" s="1"/>
  <c r="AM43" i="115"/>
  <c r="AL43" i="115" s="1"/>
  <c r="AO43" i="115" s="1"/>
  <c r="W43" i="115"/>
  <c r="V43" i="115" s="1"/>
  <c r="Y43" i="115" s="1"/>
  <c r="AM42" i="115"/>
  <c r="AL42" i="115" s="1"/>
  <c r="AO42" i="115" s="1"/>
  <c r="AM22" i="115"/>
  <c r="AI22" i="115" s="1"/>
  <c r="AO22" i="115" s="1"/>
  <c r="AM28" i="115"/>
  <c r="AI28" i="115" s="1"/>
  <c r="AO28" i="115" s="1"/>
  <c r="W20" i="115"/>
  <c r="W28" i="115"/>
  <c r="W22" i="115"/>
  <c r="AM21" i="115"/>
  <c r="AA21" i="115" s="1"/>
  <c r="AO21" i="115" s="1"/>
  <c r="W21" i="115"/>
  <c r="AM23" i="115"/>
  <c r="AI23" i="115" s="1"/>
  <c r="AO23" i="115" s="1"/>
  <c r="W23" i="115"/>
  <c r="AM20" i="115"/>
  <c r="AA20" i="115" s="1"/>
  <c r="AO20" i="115" s="1"/>
  <c r="W54" i="115"/>
  <c r="S54" i="115" s="1"/>
  <c r="Y54" i="115" s="1"/>
  <c r="W46" i="115"/>
  <c r="K46" i="115" s="1"/>
  <c r="Y46" i="115" s="1"/>
  <c r="AM54" i="115"/>
  <c r="AI54" i="115" s="1"/>
  <c r="AO54" i="115" s="1"/>
  <c r="W47" i="115"/>
  <c r="L47" i="115" s="1"/>
  <c r="Y47" i="115" s="1"/>
  <c r="AM47" i="115"/>
  <c r="AA47" i="115" s="1"/>
  <c r="AO47" i="115" s="1"/>
  <c r="W48" i="115"/>
  <c r="S48" i="115" s="1"/>
  <c r="Y48" i="115" s="1"/>
  <c r="W49" i="115"/>
  <c r="S49" i="115" s="1"/>
  <c r="Y49" i="115" s="1"/>
  <c r="AM48" i="115"/>
  <c r="AI48" i="115" s="1"/>
  <c r="AO48" i="115" s="1"/>
  <c r="AM46" i="115"/>
  <c r="AA46" i="115" s="1"/>
  <c r="AO46" i="115" s="1"/>
  <c r="AM49" i="115"/>
  <c r="AI49" i="115" s="1"/>
  <c r="AO49" i="115" s="1"/>
  <c r="W69" i="115"/>
  <c r="V69" i="115" s="1"/>
  <c r="Y69" i="115" s="1"/>
  <c r="AM69" i="115"/>
  <c r="AL69" i="115" s="1"/>
  <c r="AO69" i="115" s="1"/>
  <c r="AM68" i="115"/>
  <c r="AL68" i="115" s="1"/>
  <c r="AO68" i="115" s="1"/>
  <c r="W68" i="115"/>
  <c r="V68" i="115" s="1"/>
  <c r="Y68" i="115" s="1"/>
  <c r="W55" i="115"/>
  <c r="V55" i="115" s="1"/>
  <c r="Y55" i="115" s="1"/>
  <c r="AM56" i="115"/>
  <c r="AL56" i="115" s="1"/>
  <c r="AO56" i="115" s="1"/>
  <c r="AM55" i="115"/>
  <c r="AL55" i="115" s="1"/>
  <c r="AO55" i="115" s="1"/>
  <c r="W56" i="115"/>
  <c r="V56" i="115" s="1"/>
  <c r="Y56" i="115" s="1"/>
  <c r="W66" i="115"/>
  <c r="S66" i="115" s="1"/>
  <c r="Y66" i="115" s="1"/>
  <c r="AM66" i="115"/>
  <c r="AI66" i="115" s="1"/>
  <c r="AO66" i="115" s="1"/>
  <c r="AM65" i="115"/>
  <c r="AI65" i="115" s="1"/>
  <c r="AO65" i="115" s="1"/>
  <c r="W65" i="115"/>
  <c r="S65" i="115" s="1"/>
  <c r="Y65" i="115" s="1"/>
  <c r="W52" i="115"/>
  <c r="S52" i="115" s="1"/>
  <c r="Y52" i="115" s="1"/>
  <c r="W53" i="115"/>
  <c r="S53" i="115" s="1"/>
  <c r="Y53" i="115" s="1"/>
  <c r="AM52" i="115"/>
  <c r="AI52" i="115" s="1"/>
  <c r="AO52" i="115" s="1"/>
  <c r="AM53" i="115"/>
  <c r="AI53" i="115" s="1"/>
  <c r="AO53" i="115" s="1"/>
  <c r="W29" i="115"/>
  <c r="AM29" i="115"/>
  <c r="AL29" i="115" s="1"/>
  <c r="AO29" i="115" s="1"/>
  <c r="AM30" i="115"/>
  <c r="AL30" i="115" s="1"/>
  <c r="AO30" i="115" s="1"/>
  <c r="W30" i="115"/>
  <c r="V30" i="115" s="1"/>
  <c r="Y30" i="115" s="1"/>
  <c r="W7" i="115"/>
  <c r="AM10" i="115"/>
  <c r="AI10" i="115" s="1"/>
  <c r="AO10" i="115" s="1"/>
  <c r="W8" i="115"/>
  <c r="AM15" i="115"/>
  <c r="AI15" i="115" s="1"/>
  <c r="AO15" i="115" s="1"/>
  <c r="AM8" i="115"/>
  <c r="AA8" i="115" s="1"/>
  <c r="AO8" i="115" s="1"/>
  <c r="W10" i="115"/>
  <c r="AM9" i="115"/>
  <c r="AI9" i="115" s="1"/>
  <c r="AO9" i="115" s="1"/>
  <c r="AM7" i="115"/>
  <c r="AA7" i="115" s="1"/>
  <c r="AO7" i="115" s="1"/>
  <c r="W15" i="115"/>
  <c r="W9" i="115"/>
  <c r="W27" i="115"/>
  <c r="AM27" i="115"/>
  <c r="AI27" i="115" s="1"/>
  <c r="AO27" i="115" s="1"/>
  <c r="W26" i="115"/>
  <c r="AM26" i="115"/>
  <c r="AI26" i="115" s="1"/>
  <c r="AO26" i="115" s="1"/>
  <c r="AM16" i="115"/>
  <c r="AL16" i="115" s="1"/>
  <c r="AO16" i="115" s="1"/>
  <c r="W16" i="115"/>
  <c r="W17" i="115"/>
  <c r="AM17" i="115"/>
  <c r="AL17" i="115" s="1"/>
  <c r="AO17" i="115" s="1"/>
  <c r="W33" i="115"/>
  <c r="K33" i="115" s="1"/>
  <c r="Y33" i="115" s="1"/>
  <c r="AM33" i="115"/>
  <c r="AA33" i="115" s="1"/>
  <c r="AO33" i="115" s="1"/>
  <c r="W34" i="115"/>
  <c r="L34" i="115" s="1"/>
  <c r="Y34" i="115" s="1"/>
  <c r="AM35" i="115"/>
  <c r="AI35" i="115" s="1"/>
  <c r="AO35" i="115" s="1"/>
  <c r="AM41" i="115"/>
  <c r="AI41" i="115" s="1"/>
  <c r="AO41" i="115" s="1"/>
  <c r="W35" i="115"/>
  <c r="S35" i="115" s="1"/>
  <c r="Y35" i="115" s="1"/>
  <c r="AM34" i="115"/>
  <c r="AA34" i="115" s="1"/>
  <c r="AO34" i="115" s="1"/>
  <c r="W36" i="115"/>
  <c r="S36" i="115" s="1"/>
  <c r="Y36" i="115" s="1"/>
  <c r="W41" i="115"/>
  <c r="S41" i="115" s="1"/>
  <c r="Y41" i="115" s="1"/>
  <c r="AM36" i="115"/>
  <c r="AI36" i="115" s="1"/>
  <c r="AO36" i="115" s="1"/>
  <c r="W14" i="115"/>
  <c r="W13" i="115"/>
  <c r="AM14" i="115"/>
  <c r="AI14" i="115" s="1"/>
  <c r="AO14" i="115" s="1"/>
  <c r="AM13" i="115"/>
  <c r="AI13" i="115" s="1"/>
  <c r="AO13" i="115" s="1"/>
  <c r="BG4" i="34" a="1"/>
  <c r="BG4" i="34" s="1"/>
  <c r="BJ2" i="34"/>
  <c r="BE2" i="34"/>
  <c r="BH2" i="34"/>
  <c r="BM2" i="34"/>
  <c r="L8" i="115" l="1"/>
  <c r="V17" i="115"/>
  <c r="K7" i="115"/>
  <c r="S23" i="115"/>
  <c r="V16" i="115"/>
  <c r="L21" i="115"/>
  <c r="S10" i="115"/>
  <c r="S13" i="115"/>
  <c r="S14" i="115"/>
  <c r="S26" i="115"/>
  <c r="V29" i="115"/>
  <c r="S22" i="115"/>
  <c r="S28" i="115"/>
  <c r="S27" i="115"/>
  <c r="K20" i="115"/>
  <c r="S9" i="115"/>
  <c r="S15" i="115"/>
  <c r="AM18" i="115"/>
  <c r="AL18" i="115" s="1"/>
  <c r="AO18" i="115" s="1"/>
  <c r="W18" i="115"/>
  <c r="W12" i="115"/>
  <c r="AM12" i="115"/>
  <c r="AI12" i="115" s="1"/>
  <c r="AO12" i="115" s="1"/>
  <c r="W11" i="115"/>
  <c r="AM11" i="115"/>
  <c r="AI11" i="115" s="1"/>
  <c r="AO11" i="115" s="1"/>
  <c r="AM57" i="115"/>
  <c r="AL57" i="115" s="1"/>
  <c r="AO57" i="115" s="1"/>
  <c r="W57" i="115"/>
  <c r="V57" i="115" s="1"/>
  <c r="Y57" i="115" s="1"/>
  <c r="Y7" i="115"/>
  <c r="W50" i="115"/>
  <c r="S50" i="115" s="1"/>
  <c r="Y50" i="115" s="1"/>
  <c r="W51" i="115"/>
  <c r="S51" i="115" s="1"/>
  <c r="Y51" i="115" s="1"/>
  <c r="AM51" i="115"/>
  <c r="AI51" i="115" s="1"/>
  <c r="AO51" i="115" s="1"/>
  <c r="AM50" i="115"/>
  <c r="AI50" i="115" s="1"/>
  <c r="AO50" i="115" s="1"/>
  <c r="W31" i="115"/>
  <c r="V31" i="115" s="1"/>
  <c r="Y31" i="115" s="1"/>
  <c r="AM31" i="115"/>
  <c r="AL31" i="115" s="1"/>
  <c r="AO31" i="115" s="1"/>
  <c r="W24" i="115"/>
  <c r="W25" i="115"/>
  <c r="AM25" i="115"/>
  <c r="AI25" i="115" s="1"/>
  <c r="AO25" i="115" s="1"/>
  <c r="AM24" i="115"/>
  <c r="AI24" i="115" s="1"/>
  <c r="AO24" i="115" s="1"/>
  <c r="W44" i="115"/>
  <c r="V44" i="115" s="1"/>
  <c r="Y44" i="115" s="1"/>
  <c r="AM44" i="115"/>
  <c r="AL44" i="115" s="1"/>
  <c r="AO44" i="115" s="1"/>
  <c r="AM70" i="115"/>
  <c r="AL70" i="115" s="1"/>
  <c r="AO70" i="115" s="1"/>
  <c r="W70" i="115"/>
  <c r="V70" i="115" s="1"/>
  <c r="Y70" i="115" s="1"/>
  <c r="W37" i="115"/>
  <c r="S37" i="115" s="1"/>
  <c r="Y37" i="115" s="1"/>
  <c r="W38" i="115"/>
  <c r="S38" i="115" s="1"/>
  <c r="Y38" i="115" s="1"/>
  <c r="AM37" i="115"/>
  <c r="AI37" i="115" s="1"/>
  <c r="AO37" i="115" s="1"/>
  <c r="AM38" i="115"/>
  <c r="AI38" i="115" s="1"/>
  <c r="AO38" i="115" s="1"/>
  <c r="AM64" i="115"/>
  <c r="AI64" i="115" s="1"/>
  <c r="AO64" i="115" s="1"/>
  <c r="AM63" i="115"/>
  <c r="AI63" i="115" s="1"/>
  <c r="AO63" i="115" s="1"/>
  <c r="W63" i="115"/>
  <c r="S63" i="115" s="1"/>
  <c r="Y63" i="115" s="1"/>
  <c r="W64" i="115"/>
  <c r="S64" i="115" s="1"/>
  <c r="Y64" i="115" s="1"/>
  <c r="BK2" i="34"/>
  <c r="BP2" i="34"/>
  <c r="BN2" i="34"/>
  <c r="Y10" i="115" l="1"/>
  <c r="Y9" i="115"/>
  <c r="Y27" i="115"/>
  <c r="Y21" i="115"/>
  <c r="Y28" i="115"/>
  <c r="Y16" i="115"/>
  <c r="S11" i="115"/>
  <c r="Y22" i="115"/>
  <c r="Y23" i="115"/>
  <c r="Y13" i="115"/>
  <c r="Y20" i="115"/>
  <c r="Y29" i="115"/>
  <c r="V18" i="115"/>
  <c r="Y18" i="115" s="1"/>
  <c r="S12" i="115"/>
  <c r="S25" i="115"/>
  <c r="Y26" i="115"/>
  <c r="Y17" i="115"/>
  <c r="S24" i="115"/>
  <c r="Y15" i="115"/>
  <c r="Y14" i="115"/>
  <c r="Y8" i="115"/>
  <c r="H11" i="116" a="1"/>
  <c r="N11" i="116" s="1"/>
  <c r="Y11" i="116" a="1"/>
  <c r="BQ2" i="34"/>
  <c r="Y25" i="115" l="1"/>
  <c r="Y12" i="115"/>
  <c r="Y11" i="115"/>
  <c r="Y24" i="115"/>
  <c r="S11" i="116"/>
  <c r="P11" i="116"/>
  <c r="R11" i="116"/>
  <c r="K11" i="116"/>
  <c r="O11" i="116"/>
  <c r="I11" i="116"/>
  <c r="M11" i="116"/>
  <c r="H11" i="116"/>
  <c r="Q11" i="116"/>
  <c r="T11" i="116"/>
  <c r="S11" i="118" s="1"/>
  <c r="J11" i="116"/>
  <c r="L11" i="116"/>
  <c r="AE11" i="116"/>
  <c r="AA11" i="116"/>
  <c r="AF11" i="116"/>
  <c r="AB11" i="116"/>
  <c r="Y11" i="116"/>
  <c r="AH11" i="116"/>
  <c r="AG11" i="116"/>
  <c r="AI11" i="116"/>
  <c r="AJ11" i="116"/>
  <c r="AK11" i="116"/>
  <c r="AD11" i="116"/>
  <c r="Z11" i="116"/>
  <c r="AC11" i="116"/>
  <c r="W11" i="116" l="1"/>
  <c r="AM11" i="116"/>
  <c r="AN11" i="116"/>
  <c r="V11" i="116"/>
  <c r="H12" i="116" a="1"/>
  <c r="P12" i="116" s="1"/>
  <c r="U11" i="116"/>
  <c r="Y12" i="116" a="1"/>
  <c r="AL11" i="116"/>
  <c r="AH11" i="118"/>
  <c r="H12" i="116" l="1"/>
  <c r="T12" i="116"/>
  <c r="S12" i="118" s="1"/>
  <c r="R12" i="116"/>
  <c r="O12" i="116"/>
  <c r="N12" i="116"/>
  <c r="L12" i="116"/>
  <c r="J12" i="116"/>
  <c r="M12" i="116"/>
  <c r="S12" i="116"/>
  <c r="K12" i="116"/>
  <c r="I12" i="116"/>
  <c r="Q12" i="116"/>
  <c r="Z12" i="116"/>
  <c r="AJ12" i="116"/>
  <c r="AF12" i="116"/>
  <c r="AH12" i="116"/>
  <c r="AB12" i="116"/>
  <c r="AI12" i="116"/>
  <c r="AA12" i="116"/>
  <c r="AC12" i="116"/>
  <c r="AG12" i="116"/>
  <c r="AK12" i="116"/>
  <c r="Y12" i="116"/>
  <c r="AD12" i="116"/>
  <c r="AE12" i="116"/>
  <c r="AM12" i="116" l="1"/>
  <c r="AN12" i="116"/>
  <c r="W12" i="116"/>
  <c r="V12" i="116"/>
  <c r="U12" i="116"/>
  <c r="H13" i="116" a="1"/>
  <c r="J13" i="116" s="1"/>
  <c r="Y13" i="116" a="1"/>
  <c r="AL12" i="116"/>
  <c r="AH12" i="118"/>
  <c r="O13" i="116" l="1"/>
  <c r="I13" i="116"/>
  <c r="M13" i="116"/>
  <c r="H13" i="116"/>
  <c r="Q13" i="116"/>
  <c r="R13" i="116"/>
  <c r="T13" i="116"/>
  <c r="S13" i="118" s="1"/>
  <c r="N13" i="116"/>
  <c r="P13" i="116"/>
  <c r="L13" i="116"/>
  <c r="K13" i="116"/>
  <c r="S13" i="116"/>
  <c r="AF13" i="116"/>
  <c r="AG13" i="116"/>
  <c r="AJ13" i="116"/>
  <c r="Z13" i="116"/>
  <c r="AK13" i="116"/>
  <c r="AH13" i="116"/>
  <c r="Y13" i="116"/>
  <c r="AA13" i="116"/>
  <c r="AC13" i="116"/>
  <c r="AI13" i="116"/>
  <c r="AD13" i="116"/>
  <c r="AE13" i="116"/>
  <c r="AB13" i="116"/>
  <c r="AN13" i="116" l="1"/>
  <c r="W13" i="116"/>
  <c r="AM13" i="116"/>
  <c r="V13" i="116"/>
  <c r="H14" i="116" a="1"/>
  <c r="H14" i="116" s="1"/>
  <c r="U13" i="116"/>
  <c r="Y14" i="116" a="1"/>
  <c r="AL13" i="116"/>
  <c r="AH13" i="118"/>
  <c r="R14" i="116" l="1"/>
  <c r="P14" i="116"/>
  <c r="S14" i="116"/>
  <c r="M14" i="116"/>
  <c r="O14" i="116"/>
  <c r="T14" i="116"/>
  <c r="S14" i="118" s="1"/>
  <c r="L14" i="116"/>
  <c r="J14" i="116"/>
  <c r="I14" i="116"/>
  <c r="Q14" i="116"/>
  <c r="K14" i="116"/>
  <c r="N14" i="116"/>
  <c r="AF14" i="116"/>
  <c r="AI14" i="116"/>
  <c r="AB14" i="116"/>
  <c r="Z14" i="116"/>
  <c r="AJ14" i="116"/>
  <c r="Y14" i="116"/>
  <c r="AC14" i="116"/>
  <c r="AA14" i="116"/>
  <c r="AK14" i="116"/>
  <c r="AD14" i="116"/>
  <c r="AE14" i="116"/>
  <c r="AH14" i="116"/>
  <c r="AG14" i="116"/>
  <c r="AN14" i="116" l="1"/>
  <c r="AM14" i="116"/>
  <c r="V14" i="116"/>
  <c r="W14" i="116"/>
  <c r="U14" i="116"/>
  <c r="H15" i="116" a="1"/>
  <c r="H15" i="116" s="1"/>
  <c r="AH14" i="118"/>
  <c r="AL14" i="116"/>
  <c r="Y15" i="116" a="1"/>
  <c r="K15" i="116" l="1"/>
  <c r="M15" i="116"/>
  <c r="R15" i="116"/>
  <c r="T15" i="116"/>
  <c r="S15" i="118" s="1"/>
  <c r="L15" i="116"/>
  <c r="O15" i="116"/>
  <c r="J15" i="116"/>
  <c r="Q15" i="116"/>
  <c r="I15" i="116"/>
  <c r="S15" i="116"/>
  <c r="P15" i="116"/>
  <c r="N15" i="116"/>
  <c r="AB15" i="116"/>
  <c r="AA15" i="116"/>
  <c r="AJ15" i="116"/>
  <c r="AD15" i="116"/>
  <c r="AC15" i="116"/>
  <c r="AE15" i="116"/>
  <c r="AK15" i="116"/>
  <c r="AF15" i="116"/>
  <c r="Y15" i="116"/>
  <c r="AI15" i="116"/>
  <c r="AG15" i="116"/>
  <c r="Z15" i="116"/>
  <c r="AH15" i="116"/>
  <c r="W15" i="116" l="1"/>
  <c r="AM15" i="116"/>
  <c r="AN15" i="116"/>
  <c r="V15" i="116"/>
  <c r="U15" i="116"/>
  <c r="H16" i="116" a="1"/>
  <c r="P16" i="116" s="1"/>
  <c r="Y16" i="116" a="1"/>
  <c r="AL15" i="116"/>
  <c r="AH15" i="118"/>
  <c r="M16" i="116" l="1"/>
  <c r="R16" i="116"/>
  <c r="H16" i="116"/>
  <c r="I16" i="116"/>
  <c r="N16" i="116"/>
  <c r="S16" i="116"/>
  <c r="K16" i="116"/>
  <c r="T16" i="116"/>
  <c r="S16" i="118" s="1"/>
  <c r="O16" i="116"/>
  <c r="Q16" i="116"/>
  <c r="J16" i="116"/>
  <c r="L16" i="116"/>
  <c r="AG16" i="116"/>
  <c r="AF16" i="116"/>
  <c r="Z16" i="116"/>
  <c r="AJ16" i="116"/>
  <c r="AH16" i="116"/>
  <c r="AI16" i="116"/>
  <c r="AD16" i="116"/>
  <c r="AK16" i="116"/>
  <c r="AE16" i="116"/>
  <c r="AA16" i="116"/>
  <c r="AB16" i="116"/>
  <c r="Y16" i="116"/>
  <c r="AC16" i="116"/>
  <c r="AM16" i="116" l="1"/>
  <c r="AN16" i="116"/>
  <c r="W16" i="116"/>
  <c r="V16" i="116"/>
  <c r="H17" i="116" a="1"/>
  <c r="Q17" i="116" s="1"/>
  <c r="U16" i="116"/>
  <c r="AH16" i="118"/>
  <c r="Y17" i="116" a="1"/>
  <c r="AL16" i="116"/>
  <c r="S17" i="116" l="1"/>
  <c r="P17" i="116"/>
  <c r="K17" i="116"/>
  <c r="I17" i="116"/>
  <c r="L17" i="116"/>
  <c r="H17" i="116"/>
  <c r="R17" i="116"/>
  <c r="W17" i="116" s="1"/>
  <c r="M17" i="116"/>
  <c r="O17" i="116"/>
  <c r="T17" i="116"/>
  <c r="S17" i="118" s="1"/>
  <c r="J17" i="116"/>
  <c r="N17" i="116"/>
  <c r="AA17" i="116"/>
  <c r="Y17" i="116"/>
  <c r="AI17" i="116"/>
  <c r="AC17" i="116"/>
  <c r="AB17" i="116"/>
  <c r="AD17" i="116"/>
  <c r="AJ17" i="116"/>
  <c r="Z17" i="116"/>
  <c r="AF17" i="116"/>
  <c r="AG17" i="116"/>
  <c r="AH17" i="116"/>
  <c r="AE17" i="116"/>
  <c r="AK17" i="116"/>
  <c r="AM17" i="116" l="1"/>
  <c r="AN17" i="116"/>
  <c r="V17" i="116"/>
  <c r="U17" i="116"/>
  <c r="H18" i="116" a="1"/>
  <c r="M18" i="116" s="1"/>
  <c r="AH17" i="118"/>
  <c r="Y18" i="116" a="1"/>
  <c r="AL17" i="116"/>
  <c r="H18" i="116" l="1"/>
  <c r="L18" i="116"/>
  <c r="S18" i="116"/>
  <c r="R18" i="116"/>
  <c r="P18" i="116"/>
  <c r="J18" i="116"/>
  <c r="O18" i="116"/>
  <c r="I18" i="116"/>
  <c r="Q18" i="116"/>
  <c r="K18" i="116"/>
  <c r="N18" i="116"/>
  <c r="T18" i="116"/>
  <c r="S18" i="118" s="1"/>
  <c r="Z18" i="116"/>
  <c r="AJ18" i="116"/>
  <c r="AC18" i="116"/>
  <c r="AF18" i="116"/>
  <c r="AE18" i="116"/>
  <c r="Y18" i="116"/>
  <c r="AH18" i="116"/>
  <c r="AG18" i="116"/>
  <c r="AD18" i="116"/>
  <c r="AI18" i="116"/>
  <c r="AK18" i="116"/>
  <c r="AB18" i="116"/>
  <c r="AA18" i="116"/>
  <c r="AM18" i="116" l="1"/>
  <c r="W18" i="116"/>
  <c r="AN18" i="116"/>
  <c r="V18" i="116"/>
  <c r="H19" i="116" a="1"/>
  <c r="O19" i="116" s="1"/>
  <c r="U18" i="116"/>
  <c r="AL18" i="116"/>
  <c r="Y19" i="116" a="1"/>
  <c r="AH18" i="118"/>
  <c r="M19" i="116" l="1"/>
  <c r="I19" i="116"/>
  <c r="H19" i="116"/>
  <c r="L19" i="116"/>
  <c r="J19" i="116"/>
  <c r="S19" i="116"/>
  <c r="N19" i="116"/>
  <c r="Q19" i="116"/>
  <c r="R19" i="116"/>
  <c r="K19" i="116"/>
  <c r="T19" i="116"/>
  <c r="S19" i="118" s="1"/>
  <c r="P19" i="116"/>
  <c r="Y19" i="116"/>
  <c r="AE19" i="116"/>
  <c r="AG19" i="116"/>
  <c r="AF19" i="116"/>
  <c r="AC19" i="116"/>
  <c r="AI19" i="116"/>
  <c r="AK19" i="116"/>
  <c r="AH19" i="116"/>
  <c r="AD19" i="116"/>
  <c r="AJ19" i="116"/>
  <c r="Z19" i="116"/>
  <c r="AA19" i="116"/>
  <c r="AB19" i="116"/>
  <c r="AN19" i="116" l="1"/>
  <c r="AM19" i="116"/>
  <c r="W19" i="116"/>
  <c r="V19" i="116"/>
  <c r="H20" i="116" a="1"/>
  <c r="S20" i="116" s="1"/>
  <c r="U19" i="116"/>
  <c r="AH19" i="118"/>
  <c r="AL19" i="116"/>
  <c r="Y20" i="116" a="1"/>
  <c r="Q20" i="116" l="1"/>
  <c r="I20" i="116"/>
  <c r="R20" i="116"/>
  <c r="T20" i="116"/>
  <c r="S20" i="118" s="1"/>
  <c r="M20" i="116"/>
  <c r="L20" i="116"/>
  <c r="P20" i="116"/>
  <c r="N20" i="116"/>
  <c r="J20" i="116"/>
  <c r="O20" i="116"/>
  <c r="K20" i="116"/>
  <c r="H20" i="116"/>
  <c r="AA20" i="116"/>
  <c r="AB20" i="116"/>
  <c r="AF20" i="116"/>
  <c r="AD20" i="116"/>
  <c r="AI20" i="116"/>
  <c r="AK20" i="116"/>
  <c r="AC20" i="116"/>
  <c r="AE20" i="116"/>
  <c r="AG20" i="116"/>
  <c r="AJ20" i="116"/>
  <c r="AH20" i="116"/>
  <c r="Y20" i="116"/>
  <c r="Z20" i="116"/>
  <c r="AM20" i="116" l="1"/>
  <c r="AN20" i="116"/>
  <c r="V20" i="116"/>
  <c r="W20" i="116"/>
  <c r="H21" i="116" a="1"/>
  <c r="N21" i="116" s="1"/>
  <c r="U20" i="116"/>
  <c r="AH20" i="118"/>
  <c r="AL20" i="116"/>
  <c r="Y21" i="116" a="1"/>
  <c r="P21" i="116" l="1"/>
  <c r="O21" i="116"/>
  <c r="M21" i="116"/>
  <c r="I21" i="116"/>
  <c r="T21" i="116"/>
  <c r="S21" i="118" s="1"/>
  <c r="H21" i="116"/>
  <c r="K21" i="116"/>
  <c r="S21" i="116"/>
  <c r="Q21" i="116"/>
  <c r="R21" i="116"/>
  <c r="L21" i="116"/>
  <c r="J21" i="116"/>
  <c r="AJ21" i="116"/>
  <c r="AF21" i="116"/>
  <c r="Y21" i="116"/>
  <c r="AC21" i="116"/>
  <c r="AG21" i="116"/>
  <c r="AA21" i="116"/>
  <c r="AK21" i="116"/>
  <c r="AE21" i="116"/>
  <c r="AD21" i="116"/>
  <c r="AB21" i="116"/>
  <c r="AH21" i="116"/>
  <c r="AI21" i="116"/>
  <c r="Z21" i="116"/>
  <c r="V21" i="116" l="1"/>
  <c r="AN21" i="116"/>
  <c r="AM21" i="116"/>
  <c r="W21" i="116"/>
  <c r="H22" i="116" a="1"/>
  <c r="N22" i="116" s="1"/>
  <c r="U21" i="116"/>
  <c r="AL21" i="116"/>
  <c r="Y22" i="116" a="1"/>
  <c r="AH21" i="118"/>
  <c r="L22" i="116" l="1"/>
  <c r="P22" i="116"/>
  <c r="R22" i="116"/>
  <c r="T22" i="116"/>
  <c r="S22" i="118" s="1"/>
  <c r="K22" i="116"/>
  <c r="H22" i="116"/>
  <c r="Q22" i="116"/>
  <c r="I22" i="116"/>
  <c r="O22" i="116"/>
  <c r="S22" i="116"/>
  <c r="J22" i="116"/>
  <c r="M22" i="116"/>
  <c r="Y22" i="116"/>
  <c r="Z22" i="116"/>
  <c r="AF22" i="116"/>
  <c r="AA22" i="116"/>
  <c r="AB22" i="116"/>
  <c r="AD22" i="116"/>
  <c r="AJ22" i="116"/>
  <c r="AG22" i="116"/>
  <c r="AK22" i="116"/>
  <c r="AC22" i="116"/>
  <c r="AE22" i="116"/>
  <c r="AH22" i="116"/>
  <c r="AI22" i="116"/>
  <c r="W22" i="116" l="1"/>
  <c r="V22" i="116"/>
  <c r="AM22" i="116"/>
  <c r="AN22" i="116"/>
  <c r="H23" i="116" a="1"/>
  <c r="K23" i="116" s="1"/>
  <c r="U22" i="116"/>
  <c r="AH22" i="118"/>
  <c r="AL22" i="116"/>
  <c r="Y23" i="116" a="1"/>
  <c r="I23" i="116" l="1"/>
  <c r="O23" i="116"/>
  <c r="T23" i="116"/>
  <c r="S23" i="118" s="1"/>
  <c r="J23" i="116"/>
  <c r="R23" i="116"/>
  <c r="N23" i="116"/>
  <c r="S23" i="116"/>
  <c r="L23" i="116"/>
  <c r="P23" i="116"/>
  <c r="M23" i="116"/>
  <c r="H23" i="116"/>
  <c r="Q23" i="116"/>
  <c r="AA23" i="116"/>
  <c r="Z23" i="116"/>
  <c r="AB23" i="116"/>
  <c r="AK23" i="116"/>
  <c r="AE23" i="116"/>
  <c r="Y23" i="116"/>
  <c r="AF23" i="116"/>
  <c r="AG23" i="116"/>
  <c r="AJ23" i="116"/>
  <c r="AC23" i="116"/>
  <c r="AD23" i="116"/>
  <c r="AI23" i="116"/>
  <c r="AH23" i="116"/>
  <c r="AM23" i="116" l="1"/>
  <c r="W23" i="116"/>
  <c r="AN23" i="116"/>
  <c r="V23" i="116"/>
  <c r="H24" i="116" a="1"/>
  <c r="J24" i="116" s="1"/>
  <c r="U23" i="116"/>
  <c r="Y24" i="116" a="1"/>
  <c r="AL23" i="116"/>
  <c r="AH23" i="118"/>
  <c r="K24" i="116" l="1"/>
  <c r="P24" i="116"/>
  <c r="S24" i="116"/>
  <c r="L24" i="116"/>
  <c r="H24" i="116"/>
  <c r="T24" i="116"/>
  <c r="S24" i="118" s="1"/>
  <c r="I24" i="116"/>
  <c r="O24" i="116"/>
  <c r="R24" i="116"/>
  <c r="N24" i="116"/>
  <c r="Q24" i="116"/>
  <c r="M24" i="116"/>
  <c r="AE24" i="116"/>
  <c r="AK24" i="116"/>
  <c r="AA24" i="116"/>
  <c r="AD24" i="116"/>
  <c r="AB24" i="116"/>
  <c r="AC24" i="116"/>
  <c r="Y24" i="116"/>
  <c r="AJ24" i="116"/>
  <c r="AH24" i="116"/>
  <c r="AF24" i="116"/>
  <c r="AI24" i="116"/>
  <c r="AG24" i="116"/>
  <c r="Z24" i="116"/>
  <c r="V24" i="116" l="1"/>
  <c r="AM24" i="116"/>
  <c r="AN24" i="116"/>
  <c r="W24" i="116"/>
  <c r="U24" i="116"/>
  <c r="H25" i="116" a="1"/>
  <c r="I25" i="116" s="1"/>
  <c r="AH24" i="118"/>
  <c r="AL24" i="116"/>
  <c r="Y25" i="116" a="1"/>
  <c r="K25" i="116" l="1"/>
  <c r="M25" i="116"/>
  <c r="P25" i="116"/>
  <c r="R25" i="116"/>
  <c r="N25" i="116"/>
  <c r="J25" i="116"/>
  <c r="O25" i="116"/>
  <c r="H25" i="116"/>
  <c r="Q25" i="116"/>
  <c r="T25" i="116"/>
  <c r="S25" i="118" s="1"/>
  <c r="L25" i="116"/>
  <c r="S25" i="116"/>
  <c r="AG25" i="116"/>
  <c r="AH25" i="116"/>
  <c r="Y25" i="116"/>
  <c r="AA25" i="116"/>
  <c r="AK25" i="116"/>
  <c r="AI25" i="116"/>
  <c r="Z25" i="116"/>
  <c r="AC25" i="116"/>
  <c r="AB25" i="116"/>
  <c r="AD25" i="116"/>
  <c r="AJ25" i="116"/>
  <c r="AF25" i="116"/>
  <c r="AE25" i="116"/>
  <c r="AM25" i="116" l="1"/>
  <c r="W25" i="116"/>
  <c r="AN25" i="116"/>
  <c r="V25" i="116"/>
  <c r="U25" i="116"/>
  <c r="H26" i="116" a="1"/>
  <c r="O26" i="116" s="1"/>
  <c r="AH25" i="118"/>
  <c r="AL25" i="116"/>
  <c r="Y26" i="116" a="1"/>
  <c r="R26" i="116" l="1"/>
  <c r="M26" i="116"/>
  <c r="L26" i="116"/>
  <c r="J26" i="116"/>
  <c r="Q26" i="116"/>
  <c r="S26" i="116"/>
  <c r="P26" i="116"/>
  <c r="T26" i="116"/>
  <c r="S26" i="118" s="1"/>
  <c r="H26" i="116"/>
  <c r="N26" i="116"/>
  <c r="K26" i="116"/>
  <c r="I26" i="116"/>
  <c r="AD26" i="116"/>
  <c r="AJ26" i="116"/>
  <c r="AE26" i="116"/>
  <c r="AH26" i="116"/>
  <c r="AI26" i="116"/>
  <c r="AF26" i="116"/>
  <c r="AA26" i="116"/>
  <c r="Y26" i="116"/>
  <c r="AK26" i="116"/>
  <c r="AG26" i="116"/>
  <c r="Z26" i="116"/>
  <c r="AC26" i="116"/>
  <c r="AB26" i="116"/>
  <c r="W26" i="116" l="1"/>
  <c r="AM26" i="116"/>
  <c r="AN26" i="116"/>
  <c r="V26" i="116"/>
  <c r="H27" i="116" a="1"/>
  <c r="L27" i="116" s="1"/>
  <c r="U26" i="116"/>
  <c r="AH26" i="118"/>
  <c r="Y27" i="116" a="1"/>
  <c r="AL26" i="116"/>
  <c r="Q27" i="116" l="1"/>
  <c r="I27" i="116"/>
  <c r="O27" i="116"/>
  <c r="R27" i="116"/>
  <c r="S27" i="116"/>
  <c r="N27" i="116"/>
  <c r="M27" i="116"/>
  <c r="T27" i="116"/>
  <c r="S27" i="118" s="1"/>
  <c r="P27" i="116"/>
  <c r="H27" i="116"/>
  <c r="J27" i="116"/>
  <c r="K27" i="116"/>
  <c r="AD27" i="116"/>
  <c r="Y27" i="116"/>
  <c r="Z27" i="116"/>
  <c r="AG27" i="116"/>
  <c r="AJ27" i="116"/>
  <c r="AI27" i="116"/>
  <c r="AA27" i="116"/>
  <c r="AK27" i="116"/>
  <c r="AE27" i="116"/>
  <c r="AB27" i="116"/>
  <c r="AH27" i="116"/>
  <c r="AC27" i="116"/>
  <c r="AF27" i="116"/>
  <c r="AM27" i="116" l="1"/>
  <c r="AN27" i="116"/>
  <c r="W27" i="116"/>
  <c r="V27" i="116"/>
  <c r="H28" i="116" a="1"/>
  <c r="O28" i="116" s="1"/>
  <c r="U27" i="116"/>
  <c r="AL27" i="116"/>
  <c r="Y28" i="116" a="1"/>
  <c r="AH27" i="118"/>
  <c r="K28" i="116" l="1"/>
  <c r="Q28" i="116"/>
  <c r="H28" i="116"/>
  <c r="L28" i="116"/>
  <c r="N28" i="116"/>
  <c r="T28" i="116"/>
  <c r="S28" i="118" s="1"/>
  <c r="J28" i="116"/>
  <c r="I28" i="116"/>
  <c r="P28" i="116"/>
  <c r="R28" i="116"/>
  <c r="M28" i="116"/>
  <c r="S28" i="116"/>
  <c r="Z28" i="116"/>
  <c r="AB28" i="116"/>
  <c r="AH28" i="116"/>
  <c r="AC28" i="116"/>
  <c r="Y28" i="116"/>
  <c r="AK28" i="116"/>
  <c r="AA28" i="116"/>
  <c r="AE28" i="116"/>
  <c r="AD28" i="116"/>
  <c r="AJ28" i="116"/>
  <c r="AI28" i="116"/>
  <c r="AF28" i="116"/>
  <c r="AG28" i="116"/>
  <c r="W28" i="116" l="1"/>
  <c r="AM28" i="116"/>
  <c r="AN28" i="116"/>
  <c r="V28" i="116"/>
  <c r="H29" i="116" a="1"/>
  <c r="H29" i="116" s="1"/>
  <c r="U28" i="116"/>
  <c r="AH28" i="118"/>
  <c r="AL28" i="116"/>
  <c r="Y29" i="116" a="1"/>
  <c r="J29" i="116" l="1"/>
  <c r="L29" i="116"/>
  <c r="S29" i="116"/>
  <c r="N29" i="116"/>
  <c r="Q29" i="116"/>
  <c r="K29" i="116"/>
  <c r="I29" i="116"/>
  <c r="M29" i="116"/>
  <c r="O29" i="116"/>
  <c r="T29" i="116"/>
  <c r="S29" i="118" s="1"/>
  <c r="R29" i="116"/>
  <c r="P29" i="116"/>
  <c r="AE29" i="116"/>
  <c r="AJ29" i="116"/>
  <c r="AB29" i="116"/>
  <c r="AD29" i="116"/>
  <c r="AC29" i="116"/>
  <c r="AK29" i="116"/>
  <c r="Z29" i="116"/>
  <c r="AF29" i="116"/>
  <c r="AG29" i="116"/>
  <c r="AI29" i="116"/>
  <c r="AH29" i="116"/>
  <c r="AA29" i="116"/>
  <c r="Y29" i="116"/>
  <c r="W29" i="116" l="1"/>
  <c r="AM29" i="116"/>
  <c r="AN29" i="116"/>
  <c r="V29" i="116"/>
  <c r="U29" i="116"/>
  <c r="H30" i="116" a="1"/>
  <c r="M30" i="116" s="1"/>
  <c r="AH29" i="118"/>
  <c r="AL29" i="116"/>
  <c r="Y30" i="116" a="1"/>
  <c r="H30" i="116" l="1"/>
  <c r="K30" i="116"/>
  <c r="Q30" i="116"/>
  <c r="I30" i="116"/>
  <c r="P30" i="116"/>
  <c r="R30" i="116"/>
  <c r="N30" i="116"/>
  <c r="T30" i="116"/>
  <c r="S30" i="118" s="1"/>
  <c r="O30" i="116"/>
  <c r="J30" i="116"/>
  <c r="L30" i="116"/>
  <c r="S30" i="116"/>
  <c r="AF30" i="116"/>
  <c r="AB30" i="116"/>
  <c r="AG30" i="116"/>
  <c r="AJ30" i="116"/>
  <c r="Y30" i="116"/>
  <c r="AC30" i="116"/>
  <c r="AI30" i="116"/>
  <c r="AK30" i="116"/>
  <c r="Z30" i="116"/>
  <c r="AA30" i="116"/>
  <c r="AH30" i="116"/>
  <c r="AD30" i="116"/>
  <c r="AE30" i="116"/>
  <c r="AN30" i="116" l="1"/>
  <c r="AM30" i="116"/>
  <c r="W30" i="116"/>
  <c r="V30" i="116"/>
  <c r="H31" i="116" a="1"/>
  <c r="Q31" i="116" s="1"/>
  <c r="U30" i="116"/>
  <c r="AH30" i="118"/>
  <c r="Y31" i="116" a="1"/>
  <c r="AL30" i="116"/>
  <c r="P31" i="116" l="1"/>
  <c r="N31" i="116"/>
  <c r="I31" i="116"/>
  <c r="K31" i="116"/>
  <c r="T31" i="116"/>
  <c r="S31" i="118" s="1"/>
  <c r="M31" i="116"/>
  <c r="H31" i="116"/>
  <c r="J31" i="116"/>
  <c r="O31" i="116"/>
  <c r="S31" i="116"/>
  <c r="R31" i="116"/>
  <c r="W31" i="116" s="1"/>
  <c r="L31" i="116"/>
  <c r="AK31" i="116"/>
  <c r="AB31" i="116"/>
  <c r="Z31" i="116"/>
  <c r="Y31" i="116"/>
  <c r="AC31" i="116"/>
  <c r="AF31" i="116"/>
  <c r="AG31" i="116"/>
  <c r="AD31" i="116"/>
  <c r="AH31" i="116"/>
  <c r="AE31" i="116"/>
  <c r="AJ31" i="116"/>
  <c r="AI31" i="116"/>
  <c r="AA31" i="116"/>
  <c r="AN31" i="116" l="1"/>
  <c r="AM31" i="116"/>
  <c r="V31" i="116"/>
  <c r="H32" i="116" a="1"/>
  <c r="I32" i="116" s="1"/>
  <c r="U31" i="116"/>
  <c r="AH31" i="118"/>
  <c r="Y32" i="116" a="1"/>
  <c r="AL31" i="116"/>
  <c r="N32" i="116" l="1"/>
  <c r="R32" i="116"/>
  <c r="M32" i="116"/>
  <c r="K32" i="116"/>
  <c r="Q32" i="116"/>
  <c r="P32" i="116"/>
  <c r="T32" i="116"/>
  <c r="S32" i="118" s="1"/>
  <c r="S32" i="116"/>
  <c r="O32" i="116"/>
  <c r="J32" i="116"/>
  <c r="L32" i="116"/>
  <c r="H32" i="116"/>
  <c r="AI32" i="116"/>
  <c r="AF32" i="116"/>
  <c r="Z32" i="116"/>
  <c r="AJ32" i="116"/>
  <c r="AK32" i="116"/>
  <c r="AD32" i="116"/>
  <c r="AA32" i="116"/>
  <c r="AE32" i="116"/>
  <c r="AG32" i="116"/>
  <c r="AC32" i="116"/>
  <c r="AH32" i="116"/>
  <c r="AB32" i="116"/>
  <c r="Y32" i="116"/>
  <c r="AN32" i="116" l="1"/>
  <c r="W32" i="116"/>
  <c r="AM32" i="116"/>
  <c r="V32" i="116"/>
  <c r="U32" i="116"/>
  <c r="H33" i="116" a="1"/>
  <c r="Q33" i="116" s="1"/>
  <c r="AL32" i="116"/>
  <c r="Y33" i="116" a="1"/>
  <c r="AH32" i="118"/>
  <c r="O33" i="116" l="1"/>
  <c r="I33" i="116"/>
  <c r="J33" i="116"/>
  <c r="R33" i="116"/>
  <c r="W33" i="116" s="1"/>
  <c r="L33" i="116"/>
  <c r="N33" i="116"/>
  <c r="T33" i="116"/>
  <c r="S33" i="118" s="1"/>
  <c r="P33" i="116"/>
  <c r="S33" i="116"/>
  <c r="H33" i="116"/>
  <c r="M33" i="116"/>
  <c r="K33" i="116"/>
  <c r="AA33" i="116"/>
  <c r="AI33" i="116"/>
  <c r="AE33" i="116"/>
  <c r="AC33" i="116"/>
  <c r="AF33" i="116"/>
  <c r="AK33" i="116"/>
  <c r="Y33" i="116"/>
  <c r="AB33" i="116"/>
  <c r="AG33" i="116"/>
  <c r="AD33" i="116"/>
  <c r="Z33" i="116"/>
  <c r="AJ33" i="116"/>
  <c r="AH33" i="116"/>
  <c r="AN33" i="116" l="1"/>
  <c r="AM33" i="116"/>
  <c r="V33" i="116"/>
  <c r="U33" i="116"/>
  <c r="H34" i="116" a="1"/>
  <c r="H34" i="116" s="1"/>
  <c r="Y34" i="116" a="1"/>
  <c r="AL33" i="116"/>
  <c r="AH33" i="118"/>
  <c r="J34" i="116" l="1"/>
  <c r="Q34" i="116"/>
  <c r="O34" i="116"/>
  <c r="L34" i="116"/>
  <c r="I34" i="116"/>
  <c r="S34" i="116"/>
  <c r="N34" i="116"/>
  <c r="K34" i="116"/>
  <c r="M34" i="116"/>
  <c r="P34" i="116"/>
  <c r="T34" i="116"/>
  <c r="S34" i="118" s="1"/>
  <c r="R34" i="116"/>
  <c r="AC34" i="116"/>
  <c r="AA34" i="116"/>
  <c r="AK34" i="116"/>
  <c r="AG34" i="116"/>
  <c r="AD34" i="116"/>
  <c r="AI34" i="116"/>
  <c r="AE34" i="116"/>
  <c r="AF34" i="116"/>
  <c r="Z34" i="116"/>
  <c r="AB34" i="116"/>
  <c r="AH34" i="116"/>
  <c r="AJ34" i="116"/>
  <c r="Y34" i="116"/>
  <c r="W34" i="116" l="1"/>
  <c r="AM34" i="116"/>
  <c r="AN34" i="116"/>
  <c r="V34" i="116"/>
  <c r="H35" i="116" a="1"/>
  <c r="J35" i="116" s="1"/>
  <c r="U34" i="116"/>
  <c r="AL34" i="116"/>
  <c r="Y35" i="116" a="1"/>
  <c r="AH34" i="118"/>
  <c r="Q35" i="116" l="1"/>
  <c r="P35" i="116"/>
  <c r="H35" i="116"/>
  <c r="O35" i="116"/>
  <c r="M35" i="116"/>
  <c r="L35" i="116"/>
  <c r="S35" i="116"/>
  <c r="T35" i="116"/>
  <c r="S35" i="118" s="1"/>
  <c r="K35" i="116"/>
  <c r="I35" i="116"/>
  <c r="R35" i="116"/>
  <c r="N35" i="116"/>
  <c r="AA35" i="116"/>
  <c r="AF35" i="116"/>
  <c r="AI35" i="116"/>
  <c r="AB35" i="116"/>
  <c r="AJ35" i="116"/>
  <c r="Y35" i="116"/>
  <c r="AC35" i="116"/>
  <c r="AG35" i="116"/>
  <c r="AK35" i="116"/>
  <c r="Z35" i="116"/>
  <c r="AE35" i="116"/>
  <c r="AH35" i="116"/>
  <c r="AD35" i="116"/>
  <c r="W35" i="116" l="1"/>
  <c r="AM35" i="116"/>
  <c r="AN35" i="116"/>
  <c r="V35" i="116"/>
  <c r="H36" i="116" a="1"/>
  <c r="S36" i="116" s="1"/>
  <c r="U35" i="116"/>
  <c r="AH35" i="118"/>
  <c r="Y36" i="116" a="1"/>
  <c r="AL35" i="116"/>
  <c r="J36" i="116" l="1"/>
  <c r="N36" i="116"/>
  <c r="M36" i="116"/>
  <c r="Q36" i="116"/>
  <c r="P36" i="116"/>
  <c r="K36" i="116"/>
  <c r="H36" i="116"/>
  <c r="T36" i="116"/>
  <c r="S36" i="118" s="1"/>
  <c r="I36" i="116"/>
  <c r="R36" i="116"/>
  <c r="O36" i="116"/>
  <c r="L36" i="116"/>
  <c r="Y36" i="116"/>
  <c r="AC36" i="116"/>
  <c r="AG36" i="116"/>
  <c r="AI36" i="116"/>
  <c r="Z36" i="116"/>
  <c r="AH36" i="116"/>
  <c r="AB36" i="116"/>
  <c r="AD36" i="116"/>
  <c r="AJ36" i="116"/>
  <c r="AE36" i="116"/>
  <c r="AA36" i="116"/>
  <c r="AF36" i="116"/>
  <c r="AK36" i="116"/>
  <c r="AN36" i="116" l="1"/>
  <c r="AM36" i="116"/>
  <c r="W36" i="116"/>
  <c r="V36" i="116"/>
  <c r="H37" i="116" a="1"/>
  <c r="H37" i="116" s="1"/>
  <c r="U36" i="116"/>
  <c r="AL36" i="116"/>
  <c r="Y37" i="116" a="1"/>
  <c r="AH36" i="118"/>
  <c r="T37" i="116" l="1"/>
  <c r="S37" i="118" s="1"/>
  <c r="P37" i="116"/>
  <c r="J37" i="116"/>
  <c r="M37" i="116"/>
  <c r="L37" i="116"/>
  <c r="O37" i="116"/>
  <c r="S37" i="116"/>
  <c r="Q37" i="116"/>
  <c r="K37" i="116"/>
  <c r="I37" i="116"/>
  <c r="N37" i="116"/>
  <c r="R37" i="116"/>
  <c r="AB37" i="116"/>
  <c r="AH37" i="116"/>
  <c r="AJ37" i="116"/>
  <c r="Z37" i="116"/>
  <c r="AC37" i="116"/>
  <c r="AF37" i="116"/>
  <c r="AK37" i="116"/>
  <c r="AD37" i="116"/>
  <c r="AE37" i="116"/>
  <c r="AA37" i="116"/>
  <c r="Y37" i="116"/>
  <c r="AI37" i="116"/>
  <c r="AG37" i="116"/>
  <c r="AM37" i="116" l="1"/>
  <c r="AN37" i="116"/>
  <c r="W37" i="116"/>
  <c r="V37" i="116"/>
  <c r="H38" i="116" a="1"/>
  <c r="H38" i="116" s="1"/>
  <c r="U37" i="116"/>
  <c r="AH37" i="118"/>
  <c r="Y38" i="116" a="1"/>
  <c r="AL37" i="116"/>
  <c r="S38" i="116" l="1"/>
  <c r="T38" i="116"/>
  <c r="S38" i="118" s="1"/>
  <c r="O38" i="116"/>
  <c r="L38" i="116"/>
  <c r="J38" i="116"/>
  <c r="Q38" i="116"/>
  <c r="I38" i="116"/>
  <c r="N38" i="116"/>
  <c r="M38" i="116"/>
  <c r="P38" i="116"/>
  <c r="K38" i="116"/>
  <c r="R38" i="116"/>
  <c r="AI38" i="116"/>
  <c r="AB38" i="116"/>
  <c r="AF38" i="116"/>
  <c r="AJ38" i="116"/>
  <c r="Y38" i="116"/>
  <c r="AD38" i="116"/>
  <c r="AG38" i="116"/>
  <c r="AE38" i="116"/>
  <c r="Z38" i="116"/>
  <c r="AK38" i="116"/>
  <c r="AH38" i="116"/>
  <c r="AC38" i="116"/>
  <c r="AA38" i="116"/>
  <c r="W38" i="116" l="1"/>
  <c r="AM38" i="116"/>
  <c r="AN38" i="116"/>
  <c r="V38" i="116"/>
  <c r="H39" i="116" a="1"/>
  <c r="L39" i="116" s="1"/>
  <c r="U38" i="116"/>
  <c r="AH38" i="118"/>
  <c r="Y39" i="116" a="1"/>
  <c r="AL38" i="116"/>
  <c r="R39" i="116" l="1"/>
  <c r="N39" i="116"/>
  <c r="I39" i="116"/>
  <c r="H39" i="116"/>
  <c r="S39" i="116"/>
  <c r="O39" i="116"/>
  <c r="M39" i="116"/>
  <c r="Q39" i="116"/>
  <c r="P39" i="116"/>
  <c r="K39" i="116"/>
  <c r="T39" i="116"/>
  <c r="S39" i="118" s="1"/>
  <c r="J39" i="116"/>
  <c r="AG39" i="116"/>
  <c r="AK39" i="116"/>
  <c r="AJ39" i="116"/>
  <c r="AA39" i="116"/>
  <c r="AF39" i="116"/>
  <c r="AC39" i="116"/>
  <c r="AI39" i="116"/>
  <c r="AD39" i="116"/>
  <c r="AB39" i="116"/>
  <c r="Z39" i="116"/>
  <c r="Y39" i="116"/>
  <c r="AE39" i="116"/>
  <c r="AH39" i="116"/>
  <c r="AM39" i="116" l="1"/>
  <c r="AN39" i="116"/>
  <c r="W39" i="116"/>
  <c r="V39" i="116"/>
  <c r="U39" i="116"/>
  <c r="H40" i="116" a="1"/>
  <c r="K40" i="116" s="1"/>
  <c r="AH39" i="118"/>
  <c r="Y40" i="116" a="1"/>
  <c r="AL39" i="116"/>
  <c r="M40" i="116" l="1"/>
  <c r="N40" i="116"/>
  <c r="I40" i="116"/>
  <c r="S40" i="116"/>
  <c r="T40" i="116"/>
  <c r="S40" i="118" s="1"/>
  <c r="R40" i="116"/>
  <c r="P40" i="116"/>
  <c r="O40" i="116"/>
  <c r="L40" i="116"/>
  <c r="J40" i="116"/>
  <c r="H40" i="116"/>
  <c r="Q40" i="116"/>
  <c r="AH40" i="116"/>
  <c r="AF40" i="116"/>
  <c r="AA40" i="116"/>
  <c r="AG40" i="116"/>
  <c r="AI40" i="116"/>
  <c r="Y40" i="116"/>
  <c r="AB40" i="116"/>
  <c r="AE40" i="116"/>
  <c r="AJ40" i="116"/>
  <c r="AC40" i="116"/>
  <c r="AK40" i="116"/>
  <c r="Z40" i="116"/>
  <c r="AD40" i="116"/>
  <c r="AN40" i="116" l="1"/>
  <c r="AM40" i="116"/>
  <c r="W40" i="116"/>
  <c r="V40" i="116"/>
  <c r="U40" i="116"/>
  <c r="H41" i="116" a="1"/>
  <c r="K41" i="116" s="1"/>
  <c r="Y41" i="116" a="1"/>
  <c r="AL40" i="116"/>
  <c r="AH40" i="118"/>
  <c r="H41" i="116" l="1"/>
  <c r="R41" i="116"/>
  <c r="T41" i="116"/>
  <c r="S41" i="118" s="1"/>
  <c r="N41" i="116"/>
  <c r="Q41" i="116"/>
  <c r="O41" i="116"/>
  <c r="J41" i="116"/>
  <c r="P41" i="116"/>
  <c r="S41" i="116"/>
  <c r="I41" i="116"/>
  <c r="M41" i="116"/>
  <c r="L41" i="116"/>
  <c r="Y41" i="116"/>
  <c r="AD41" i="116"/>
  <c r="AG41" i="116"/>
  <c r="AJ41" i="116"/>
  <c r="Z41" i="116"/>
  <c r="AB41" i="116"/>
  <c r="AH41" i="116"/>
  <c r="AF41" i="116"/>
  <c r="AA41" i="116"/>
  <c r="AK41" i="116"/>
  <c r="AI41" i="116"/>
  <c r="AE41" i="116"/>
  <c r="AC41" i="116"/>
  <c r="AN41" i="116" l="1"/>
  <c r="W41" i="116"/>
  <c r="AM41" i="116"/>
  <c r="V41" i="116"/>
  <c r="H42" i="116" a="1"/>
  <c r="I42" i="116" s="1"/>
  <c r="U41" i="116"/>
  <c r="AH41" i="118"/>
  <c r="Y42" i="116" a="1"/>
  <c r="AL41" i="116"/>
  <c r="N42" i="116" l="1"/>
  <c r="S42" i="116"/>
  <c r="M42" i="116"/>
  <c r="Q42" i="116"/>
  <c r="K42" i="116"/>
  <c r="P42" i="116"/>
  <c r="T42" i="116"/>
  <c r="S42" i="118" s="1"/>
  <c r="R42" i="116"/>
  <c r="O42" i="116"/>
  <c r="H42" i="116"/>
  <c r="L42" i="116"/>
  <c r="J42" i="116"/>
  <c r="AK42" i="116"/>
  <c r="AI42" i="116"/>
  <c r="AD42" i="116"/>
  <c r="Y42" i="116"/>
  <c r="AF42" i="116"/>
  <c r="Z42" i="116"/>
  <c r="AB42" i="116"/>
  <c r="AH42" i="116"/>
  <c r="AJ42" i="116"/>
  <c r="AA42" i="116"/>
  <c r="AC42" i="116"/>
  <c r="AG42" i="116"/>
  <c r="AE42" i="116"/>
  <c r="AM42" i="116" l="1"/>
  <c r="AN42" i="116"/>
  <c r="W42" i="116"/>
  <c r="V42" i="116"/>
  <c r="H43" i="116" a="1"/>
  <c r="L43" i="116" s="1"/>
  <c r="U42" i="116"/>
  <c r="AH42" i="118"/>
  <c r="AL42" i="116"/>
  <c r="Y43" i="116" a="1"/>
  <c r="Q43" i="116" l="1"/>
  <c r="M43" i="116"/>
  <c r="S43" i="116"/>
  <c r="H43" i="116"/>
  <c r="I43" i="116"/>
  <c r="R43" i="116"/>
  <c r="O43" i="116"/>
  <c r="T43" i="116"/>
  <c r="S43" i="118" s="1"/>
  <c r="K43" i="116"/>
  <c r="N43" i="116"/>
  <c r="J43" i="116"/>
  <c r="P43" i="116"/>
  <c r="Y43" i="116"/>
  <c r="AC43" i="116"/>
  <c r="AG43" i="116"/>
  <c r="AK43" i="116"/>
  <c r="Z43" i="116"/>
  <c r="AE43" i="116"/>
  <c r="AH43" i="116"/>
  <c r="AD43" i="116"/>
  <c r="AA43" i="116"/>
  <c r="AF43" i="116"/>
  <c r="AI43" i="116"/>
  <c r="AB43" i="116"/>
  <c r="AJ43" i="116"/>
  <c r="AN43" i="116" l="1"/>
  <c r="AM43" i="116"/>
  <c r="W43" i="116"/>
  <c r="V43" i="116"/>
  <c r="H44" i="116" a="1"/>
  <c r="R44" i="116" s="1"/>
  <c r="U43" i="116"/>
  <c r="AH43" i="118"/>
  <c r="Y44" i="116" a="1"/>
  <c r="AL43" i="116"/>
  <c r="O44" i="116" l="1"/>
  <c r="L44" i="116"/>
  <c r="Q44" i="116"/>
  <c r="W44" i="116" s="1"/>
  <c r="J44" i="116"/>
  <c r="N44" i="116"/>
  <c r="P44" i="116"/>
  <c r="K44" i="116"/>
  <c r="M44" i="116"/>
  <c r="S44" i="116"/>
  <c r="H44" i="116"/>
  <c r="T44" i="116"/>
  <c r="S44" i="118" s="1"/>
  <c r="I44" i="116"/>
  <c r="AD44" i="116"/>
  <c r="AJ44" i="116"/>
  <c r="AE44" i="116"/>
  <c r="AA44" i="116"/>
  <c r="AF44" i="116"/>
  <c r="AC44" i="116"/>
  <c r="Y44" i="116"/>
  <c r="AI44" i="116"/>
  <c r="AG44" i="116"/>
  <c r="AK44" i="116"/>
  <c r="Z44" i="116"/>
  <c r="AH44" i="116"/>
  <c r="AB44" i="116"/>
  <c r="AM44" i="116" l="1"/>
  <c r="AN44" i="116"/>
  <c r="V44" i="116"/>
  <c r="U44" i="116"/>
  <c r="H45" i="116" a="1"/>
  <c r="M45" i="116" s="1"/>
  <c r="AH44" i="118"/>
  <c r="AL44" i="116"/>
  <c r="Y45" i="116" a="1"/>
  <c r="T45" i="116" l="1"/>
  <c r="S45" i="118" s="1"/>
  <c r="K45" i="116"/>
  <c r="H45" i="116"/>
  <c r="I45" i="116"/>
  <c r="R45" i="116"/>
  <c r="L45" i="116"/>
  <c r="P45" i="116"/>
  <c r="J45" i="116"/>
  <c r="O45" i="116"/>
  <c r="S45" i="116"/>
  <c r="Q45" i="116"/>
  <c r="N45" i="116"/>
  <c r="AE45" i="116"/>
  <c r="AA45" i="116"/>
  <c r="Y45" i="116"/>
  <c r="AI45" i="116"/>
  <c r="AG45" i="116"/>
  <c r="AB45" i="116"/>
  <c r="Z45" i="116"/>
  <c r="AJ45" i="116"/>
  <c r="AF45" i="116"/>
  <c r="AC45" i="116"/>
  <c r="AH45" i="116"/>
  <c r="AK45" i="116"/>
  <c r="AD45" i="116"/>
  <c r="AM45" i="116" l="1"/>
  <c r="W45" i="116"/>
  <c r="AN45" i="116"/>
  <c r="V45" i="116"/>
  <c r="H46" i="116" a="1"/>
  <c r="P46" i="116" s="1"/>
  <c r="U45" i="116"/>
  <c r="AH45" i="118"/>
  <c r="AL45" i="116"/>
  <c r="Y46" i="116" a="1"/>
  <c r="S46" i="116" l="1"/>
  <c r="H46" i="116"/>
  <c r="J46" i="116"/>
  <c r="M46" i="116"/>
  <c r="Q46" i="116"/>
  <c r="O46" i="116"/>
  <c r="K46" i="116"/>
  <c r="L46" i="116"/>
  <c r="I46" i="116"/>
  <c r="N46" i="116"/>
  <c r="T46" i="116"/>
  <c r="S46" i="118" s="1"/>
  <c r="R46" i="116"/>
  <c r="AF46" i="116"/>
  <c r="AJ46" i="116"/>
  <c r="Y46" i="116"/>
  <c r="AE46" i="116"/>
  <c r="AG46" i="116"/>
  <c r="AK46" i="116"/>
  <c r="Z46" i="116"/>
  <c r="AC46" i="116"/>
  <c r="AH46" i="116"/>
  <c r="AD46" i="116"/>
  <c r="AA46" i="116"/>
  <c r="AI46" i="116"/>
  <c r="AB46" i="116"/>
  <c r="AM46" i="116" l="1"/>
  <c r="AN46" i="116"/>
  <c r="W46" i="116"/>
  <c r="V46" i="116"/>
  <c r="H47" i="116" a="1"/>
  <c r="M47" i="116" s="1"/>
  <c r="U46" i="116"/>
  <c r="AH46" i="118"/>
  <c r="AL46" i="116"/>
  <c r="Y47" i="116" a="1"/>
  <c r="I47" i="116" l="1"/>
  <c r="T47" i="116"/>
  <c r="S47" i="118" s="1"/>
  <c r="S47" i="116"/>
  <c r="J47" i="116"/>
  <c r="K47" i="116"/>
  <c r="R47" i="116"/>
  <c r="N47" i="116"/>
  <c r="H47" i="116"/>
  <c r="O47" i="116"/>
  <c r="L47" i="116"/>
  <c r="P47" i="116"/>
  <c r="Q47" i="116"/>
  <c r="AK47" i="116"/>
  <c r="AD47" i="116"/>
  <c r="AE47" i="116"/>
  <c r="AJ47" i="116"/>
  <c r="AF47" i="116"/>
  <c r="AH47" i="116"/>
  <c r="Y47" i="116"/>
  <c r="AI47" i="116"/>
  <c r="AG47" i="116"/>
  <c r="Z47" i="116"/>
  <c r="AA47" i="116"/>
  <c r="AC47" i="116"/>
  <c r="AB47" i="116"/>
  <c r="AM47" i="116" l="1"/>
  <c r="AN47" i="116"/>
  <c r="W47" i="116"/>
  <c r="V47" i="116"/>
  <c r="H48" i="116" a="1"/>
  <c r="R48" i="116" s="1"/>
  <c r="U47" i="116"/>
  <c r="AH47" i="118"/>
  <c r="Y48" i="116" a="1"/>
  <c r="AL47" i="116"/>
  <c r="Q48" i="116" l="1"/>
  <c r="W48" i="116" s="1"/>
  <c r="J48" i="116"/>
  <c r="L48" i="116"/>
  <c r="O48" i="116"/>
  <c r="S48" i="116"/>
  <c r="P48" i="116"/>
  <c r="N48" i="116"/>
  <c r="I48" i="116"/>
  <c r="K48" i="116"/>
  <c r="H48" i="116"/>
  <c r="M48" i="116"/>
  <c r="T48" i="116"/>
  <c r="S48" i="118" s="1"/>
  <c r="Z48" i="116"/>
  <c r="AA48" i="116"/>
  <c r="AH48" i="116"/>
  <c r="AG48" i="116"/>
  <c r="AB48" i="116"/>
  <c r="AI48" i="116"/>
  <c r="AJ48" i="116"/>
  <c r="AE48" i="116"/>
  <c r="AC48" i="116"/>
  <c r="AF48" i="116"/>
  <c r="AK48" i="116"/>
  <c r="AD48" i="116"/>
  <c r="Y48" i="116"/>
  <c r="AM48" i="116" l="1"/>
  <c r="AN48" i="116"/>
  <c r="V48" i="116"/>
  <c r="H49" i="116" a="1"/>
  <c r="T49" i="116" s="1"/>
  <c r="U48" i="116"/>
  <c r="AL48" i="116"/>
  <c r="Y49" i="116" a="1"/>
  <c r="AH48" i="118"/>
  <c r="P49" i="116" l="1"/>
  <c r="S49" i="116"/>
  <c r="M49" i="116"/>
  <c r="R49" i="116"/>
  <c r="I49" i="116"/>
  <c r="J49" i="116"/>
  <c r="N49" i="116"/>
  <c r="Q49" i="116"/>
  <c r="H49" i="116"/>
  <c r="L49" i="116"/>
  <c r="O49" i="116"/>
  <c r="K49" i="116"/>
  <c r="S49" i="118"/>
  <c r="AD49" i="116"/>
  <c r="AF49" i="116"/>
  <c r="AI49" i="116"/>
  <c r="AE49" i="116"/>
  <c r="AJ49" i="116"/>
  <c r="Y49" i="116"/>
  <c r="AB49" i="116"/>
  <c r="AG49" i="116"/>
  <c r="AC49" i="116"/>
  <c r="Z49" i="116"/>
  <c r="AA49" i="116"/>
  <c r="AH49" i="116"/>
  <c r="AK49" i="116"/>
  <c r="AN49" i="116" l="1"/>
  <c r="AN4" i="116" s="1"/>
  <c r="AM49" i="116"/>
  <c r="AM4" i="116" s="1"/>
  <c r="W49" i="116"/>
  <c r="W4" i="116" s="1"/>
  <c r="V49" i="116"/>
  <c r="V4" i="116" s="1"/>
  <c r="U49" i="116"/>
  <c r="H50" i="116" a="1"/>
  <c r="K50" i="116" s="1"/>
  <c r="Y50" i="116" a="1"/>
  <c r="AL49" i="116"/>
  <c r="AH49" i="118"/>
  <c r="AF15" i="65" l="1"/>
  <c r="N50" i="116"/>
  <c r="S50" i="116"/>
  <c r="M50" i="116"/>
  <c r="R50" i="116"/>
  <c r="J50" i="116"/>
  <c r="T50" i="116"/>
  <c r="Q50" i="116"/>
  <c r="I50" i="116"/>
  <c r="L50" i="116"/>
  <c r="H50" i="116"/>
  <c r="P50" i="116"/>
  <c r="O50" i="116"/>
  <c r="AD50" i="116"/>
  <c r="AG50" i="116"/>
  <c r="AE50" i="116"/>
  <c r="AA50" i="116"/>
  <c r="AH50" i="116"/>
  <c r="AC50" i="116"/>
  <c r="AI50" i="116"/>
  <c r="Y50" i="116"/>
  <c r="AK50" i="116"/>
  <c r="AB50" i="116"/>
  <c r="Z50" i="116"/>
  <c r="AJ50" i="116"/>
  <c r="AF50" i="116"/>
  <c r="AN50" i="116" l="1"/>
  <c r="AM50" i="116"/>
  <c r="W50" i="116"/>
  <c r="V50" i="116"/>
  <c r="S50" i="118"/>
  <c r="H51" i="116" a="1"/>
  <c r="Q51" i="116" s="1"/>
  <c r="U50" i="116"/>
  <c r="AH50" i="118"/>
  <c r="AL50" i="116"/>
  <c r="Y51" i="116" a="1"/>
  <c r="L51" i="116" l="1"/>
  <c r="S51" i="116"/>
  <c r="R51" i="116"/>
  <c r="W51" i="116" s="1"/>
  <c r="T51" i="116"/>
  <c r="H51" i="116"/>
  <c r="N51" i="116"/>
  <c r="I51" i="116"/>
  <c r="K51" i="116"/>
  <c r="O51" i="116"/>
  <c r="J51" i="116"/>
  <c r="P51" i="116"/>
  <c r="M51" i="116"/>
  <c r="AA51" i="116"/>
  <c r="AK51" i="116"/>
  <c r="AI51" i="116"/>
  <c r="AE51" i="116"/>
  <c r="AB51" i="116"/>
  <c r="AF51" i="116"/>
  <c r="AJ51" i="116"/>
  <c r="Z51" i="116"/>
  <c r="AC51" i="116"/>
  <c r="Y51" i="116"/>
  <c r="AD51" i="116"/>
  <c r="AG51" i="116"/>
  <c r="AH51" i="116"/>
  <c r="AM51" i="116" l="1"/>
  <c r="AN51" i="116"/>
  <c r="V51" i="116"/>
  <c r="S51" i="118"/>
  <c r="H52" i="116" a="1"/>
  <c r="Q52" i="116" s="1"/>
  <c r="U51" i="116"/>
  <c r="Y52" i="116" a="1"/>
  <c r="AL51" i="116"/>
  <c r="AH51" i="118"/>
  <c r="S52" i="116" l="1"/>
  <c r="K52" i="116"/>
  <c r="M52" i="116"/>
  <c r="P52" i="116"/>
  <c r="N52" i="116"/>
  <c r="I52" i="116"/>
  <c r="T52" i="116"/>
  <c r="H52" i="116"/>
  <c r="J52" i="116"/>
  <c r="O52" i="116"/>
  <c r="L52" i="116"/>
  <c r="R52" i="116"/>
  <c r="W52" i="116" s="1"/>
  <c r="AE52" i="116"/>
  <c r="AF52" i="116"/>
  <c r="Z52" i="116"/>
  <c r="AD52" i="116"/>
  <c r="AJ52" i="116"/>
  <c r="Y52" i="116"/>
  <c r="AA52" i="116"/>
  <c r="AG52" i="116"/>
  <c r="AK52" i="116"/>
  <c r="AB52" i="116"/>
  <c r="AH52" i="116"/>
  <c r="AC52" i="116"/>
  <c r="AI52" i="116"/>
  <c r="AM52" i="116" l="1"/>
  <c r="AN52" i="116"/>
  <c r="V52" i="116"/>
  <c r="S52" i="118"/>
  <c r="U52" i="116"/>
  <c r="H53" i="116" a="1"/>
  <c r="I53" i="116" s="1"/>
  <c r="AL52" i="116"/>
  <c r="Y53" i="116" a="1"/>
  <c r="AH52" i="118"/>
  <c r="P53" i="116" l="1"/>
  <c r="N53" i="116"/>
  <c r="S53" i="116"/>
  <c r="Q53" i="116"/>
  <c r="T53" i="116"/>
  <c r="R53" i="116"/>
  <c r="L53" i="116"/>
  <c r="O53" i="116"/>
  <c r="K53" i="116"/>
  <c r="H53" i="116"/>
  <c r="J53" i="116"/>
  <c r="M53" i="116"/>
  <c r="AB53" i="116"/>
  <c r="AK53" i="116"/>
  <c r="AA53" i="116"/>
  <c r="AC53" i="116"/>
  <c r="AI53" i="116"/>
  <c r="AF53" i="116"/>
  <c r="Y53" i="116"/>
  <c r="AG53" i="116"/>
  <c r="AH53" i="116"/>
  <c r="AD53" i="116"/>
  <c r="Z53" i="116"/>
  <c r="AE53" i="116"/>
  <c r="AJ53" i="116"/>
  <c r="AN53" i="116" l="1"/>
  <c r="AM53" i="116"/>
  <c r="W53" i="116"/>
  <c r="V53" i="116"/>
  <c r="S53" i="118"/>
  <c r="H54" i="116" a="1"/>
  <c r="P54" i="116" s="1"/>
  <c r="U53" i="116"/>
  <c r="AH53" i="118"/>
  <c r="AL53" i="116"/>
  <c r="Y54" i="116" a="1"/>
  <c r="L54" i="116" l="1"/>
  <c r="H54" i="116"/>
  <c r="M54" i="116"/>
  <c r="I54" i="116"/>
  <c r="N54" i="116"/>
  <c r="T54" i="116"/>
  <c r="S54" i="116"/>
  <c r="Q54" i="116"/>
  <c r="J54" i="116"/>
  <c r="K54" i="116"/>
  <c r="O54" i="116"/>
  <c r="R54" i="116"/>
  <c r="AJ54" i="116"/>
  <c r="AI54" i="116"/>
  <c r="AB54" i="116"/>
  <c r="AE54" i="116"/>
  <c r="AK54" i="116"/>
  <c r="AG54" i="116"/>
  <c r="AC54" i="116"/>
  <c r="AD54" i="116"/>
  <c r="Y54" i="116"/>
  <c r="AF54" i="116"/>
  <c r="AH54" i="116"/>
  <c r="AA54" i="116"/>
  <c r="Z54" i="116"/>
  <c r="AM54" i="116" l="1"/>
  <c r="AN54" i="116"/>
  <c r="W54" i="116"/>
  <c r="V54" i="116"/>
  <c r="S54" i="118"/>
  <c r="H55" i="116" a="1"/>
  <c r="R55" i="116" s="1"/>
  <c r="U54" i="116"/>
  <c r="Y55" i="116" a="1"/>
  <c r="AL54" i="116"/>
  <c r="AH54" i="118"/>
  <c r="H55" i="116" l="1"/>
  <c r="K55" i="116"/>
  <c r="T55" i="116"/>
  <c r="N55" i="116"/>
  <c r="Q55" i="116"/>
  <c r="W55" i="116" s="1"/>
  <c r="P55" i="116"/>
  <c r="L55" i="116"/>
  <c r="O55" i="116"/>
  <c r="I55" i="116"/>
  <c r="S55" i="116"/>
  <c r="M55" i="116"/>
  <c r="J55" i="116"/>
  <c r="Z55" i="116"/>
  <c r="AI55" i="116"/>
  <c r="AC55" i="116"/>
  <c r="AA55" i="116"/>
  <c r="AK55" i="116"/>
  <c r="AJ55" i="116"/>
  <c r="AB55" i="116"/>
  <c r="AG55" i="116"/>
  <c r="AD55" i="116"/>
  <c r="AH55" i="116"/>
  <c r="AE55" i="116"/>
  <c r="Y55" i="116"/>
  <c r="AF55" i="116"/>
  <c r="AM55" i="116" l="1"/>
  <c r="AN55" i="116"/>
  <c r="V55" i="116"/>
  <c r="S55" i="118"/>
  <c r="U55" i="116"/>
  <c r="H56" i="116" a="1"/>
  <c r="S56" i="116" s="1"/>
  <c r="AH55" i="118"/>
  <c r="AL55" i="116"/>
  <c r="Y56" i="116" a="1"/>
  <c r="R56" i="116" l="1"/>
  <c r="J56" i="116"/>
  <c r="L56" i="116"/>
  <c r="I56" i="116"/>
  <c r="T56" i="116"/>
  <c r="P56" i="116"/>
  <c r="O56" i="116"/>
  <c r="Q56" i="116"/>
  <c r="K56" i="116"/>
  <c r="H56" i="116"/>
  <c r="N56" i="116"/>
  <c r="M56" i="116"/>
  <c r="AD56" i="116"/>
  <c r="AJ56" i="116"/>
  <c r="AE56" i="116"/>
  <c r="Y56" i="116"/>
  <c r="AF56" i="116"/>
  <c r="AA56" i="116"/>
  <c r="AG56" i="116"/>
  <c r="AB56" i="116"/>
  <c r="AK56" i="116"/>
  <c r="Z56" i="116"/>
  <c r="AC56" i="116"/>
  <c r="AH56" i="116"/>
  <c r="AI56" i="116"/>
  <c r="AM56" i="116" l="1"/>
  <c r="AN56" i="116"/>
  <c r="W56" i="116"/>
  <c r="V56" i="116"/>
  <c r="S56" i="118"/>
  <c r="U56" i="116"/>
  <c r="H57" i="116" a="1"/>
  <c r="H57" i="116" s="1"/>
  <c r="AH56" i="118"/>
  <c r="Y57" i="116" a="1"/>
  <c r="AL56" i="116"/>
  <c r="N57" i="116" l="1"/>
  <c r="T57" i="116"/>
  <c r="S57" i="116"/>
  <c r="M57" i="116"/>
  <c r="O57" i="116"/>
  <c r="K57" i="116"/>
  <c r="Q57" i="116"/>
  <c r="J57" i="116"/>
  <c r="P57" i="116"/>
  <c r="R57" i="116"/>
  <c r="L57" i="116"/>
  <c r="I57" i="116"/>
  <c r="Z57" i="116"/>
  <c r="AB57" i="116"/>
  <c r="AH57" i="116"/>
  <c r="AC57" i="116"/>
  <c r="AK57" i="116"/>
  <c r="AE57" i="116"/>
  <c r="AD57" i="116"/>
  <c r="AF57" i="116"/>
  <c r="AI57" i="116"/>
  <c r="Y57" i="116"/>
  <c r="AJ57" i="116"/>
  <c r="AG57" i="116"/>
  <c r="AA57" i="116"/>
  <c r="W57" i="116" l="1"/>
  <c r="AN57" i="116"/>
  <c r="AM57" i="116"/>
  <c r="V57" i="116"/>
  <c r="S57" i="118"/>
  <c r="H58" i="116" a="1"/>
  <c r="S58" i="116" s="1"/>
  <c r="U57" i="116"/>
  <c r="AL57" i="116"/>
  <c r="Y58" i="116" a="1"/>
  <c r="AH57" i="118"/>
  <c r="Q58" i="116" l="1"/>
  <c r="K58" i="116"/>
  <c r="M58" i="116"/>
  <c r="I58" i="116"/>
  <c r="T58" i="116"/>
  <c r="R58" i="116"/>
  <c r="O58" i="116"/>
  <c r="P58" i="116"/>
  <c r="L58" i="116"/>
  <c r="J58" i="116"/>
  <c r="N58" i="116"/>
  <c r="H58" i="116"/>
  <c r="AE58" i="116"/>
  <c r="Z58" i="116"/>
  <c r="AH58" i="116"/>
  <c r="AB58" i="116"/>
  <c r="AA58" i="116"/>
  <c r="AJ58" i="116"/>
  <c r="AI58" i="116"/>
  <c r="AC58" i="116"/>
  <c r="AF58" i="116"/>
  <c r="AK58" i="116"/>
  <c r="AG58" i="116"/>
  <c r="AD58" i="116"/>
  <c r="Y58" i="116"/>
  <c r="AM58" i="116" l="1"/>
  <c r="AN58" i="116"/>
  <c r="W58" i="116"/>
  <c r="V58" i="116"/>
  <c r="S58" i="118"/>
  <c r="H59" i="116" a="1"/>
  <c r="O59" i="116" s="1"/>
  <c r="U58" i="116"/>
  <c r="Y59" i="116" a="1"/>
  <c r="AL58" i="116"/>
  <c r="AH58" i="118"/>
  <c r="M59" i="116" l="1"/>
  <c r="R59" i="116"/>
  <c r="T59" i="116"/>
  <c r="I59" i="116"/>
  <c r="K59" i="116"/>
  <c r="S59" i="116"/>
  <c r="P59" i="116"/>
  <c r="J59" i="116"/>
  <c r="H59" i="116"/>
  <c r="L59" i="116"/>
  <c r="N59" i="116"/>
  <c r="Q59" i="116"/>
  <c r="AJ59" i="116"/>
  <c r="Y59" i="116"/>
  <c r="AE59" i="116"/>
  <c r="AG59" i="116"/>
  <c r="AF59" i="116"/>
  <c r="Z59" i="116"/>
  <c r="AC59" i="116"/>
  <c r="AH59" i="116"/>
  <c r="AD59" i="116"/>
  <c r="AA59" i="116"/>
  <c r="AK59" i="116"/>
  <c r="AI59" i="116"/>
  <c r="AB59" i="116"/>
  <c r="AN59" i="116" l="1"/>
  <c r="AM59" i="116"/>
  <c r="W59" i="116"/>
  <c r="V59" i="116"/>
  <c r="S59" i="118"/>
  <c r="U59" i="116"/>
  <c r="H60" i="116" a="1"/>
  <c r="H60" i="116" s="1"/>
  <c r="AH59" i="118"/>
  <c r="Y60" i="116" a="1"/>
  <c r="AL59" i="116"/>
  <c r="M60" i="116" l="1"/>
  <c r="J60" i="116"/>
  <c r="T60" i="116"/>
  <c r="I60" i="116"/>
  <c r="S60" i="116"/>
  <c r="O60" i="116"/>
  <c r="L60" i="116"/>
  <c r="Q60" i="116"/>
  <c r="K60" i="116"/>
  <c r="N60" i="116"/>
  <c r="R60" i="116"/>
  <c r="P60" i="116"/>
  <c r="AJ60" i="116"/>
  <c r="AC60" i="116"/>
  <c r="AD60" i="116"/>
  <c r="AK60" i="116"/>
  <c r="AE60" i="116"/>
  <c r="Z60" i="116"/>
  <c r="AF60" i="116"/>
  <c r="AA60" i="116"/>
  <c r="Y60" i="116"/>
  <c r="AH60" i="116"/>
  <c r="AG60" i="116"/>
  <c r="AI60" i="116"/>
  <c r="AB60" i="116"/>
  <c r="AN60" i="116" l="1"/>
  <c r="W60" i="116"/>
  <c r="AM60" i="116"/>
  <c r="V60" i="116"/>
  <c r="S60" i="118"/>
  <c r="U60" i="116"/>
  <c r="H61" i="116" a="1"/>
  <c r="J61" i="116" s="1"/>
  <c r="AL60" i="116"/>
  <c r="Y61" i="116" a="1"/>
  <c r="AH60" i="118"/>
  <c r="H61" i="116" l="1"/>
  <c r="K61" i="116"/>
  <c r="I61" i="116"/>
  <c r="L61" i="116"/>
  <c r="P61" i="116"/>
  <c r="S61" i="116"/>
  <c r="N61" i="116"/>
  <c r="Q61" i="116"/>
  <c r="M61" i="116"/>
  <c r="O61" i="116"/>
  <c r="R61" i="116"/>
  <c r="T61" i="116"/>
  <c r="AA61" i="116"/>
  <c r="AG61" i="116"/>
  <c r="AI61" i="116"/>
  <c r="Z61" i="116"/>
  <c r="AB61" i="116"/>
  <c r="AH61" i="116"/>
  <c r="AJ61" i="116"/>
  <c r="AE61" i="116"/>
  <c r="AC61" i="116"/>
  <c r="AF61" i="116"/>
  <c r="AK61" i="116"/>
  <c r="AD61" i="116"/>
  <c r="Y61" i="116"/>
  <c r="AN61" i="116" l="1"/>
  <c r="AM61" i="116"/>
  <c r="W61" i="116"/>
  <c r="V61" i="116"/>
  <c r="S61" i="118"/>
  <c r="U61" i="116"/>
  <c r="H62" i="116" a="1"/>
  <c r="Q62" i="116" s="1"/>
  <c r="AH61" i="118"/>
  <c r="Y62" i="116" a="1"/>
  <c r="AL61" i="116"/>
  <c r="R62" i="116" l="1"/>
  <c r="W62" i="116" s="1"/>
  <c r="K62" i="116"/>
  <c r="I62" i="116"/>
  <c r="O62" i="116"/>
  <c r="J62" i="116"/>
  <c r="M62" i="116"/>
  <c r="P62" i="116"/>
  <c r="N62" i="116"/>
  <c r="S62" i="116"/>
  <c r="T62" i="116"/>
  <c r="H62" i="116"/>
  <c r="L62" i="116"/>
  <c r="AH62" i="116"/>
  <c r="AK62" i="116"/>
  <c r="AA62" i="116"/>
  <c r="AI62" i="116"/>
  <c r="AD62" i="116"/>
  <c r="AF62" i="116"/>
  <c r="AE62" i="116"/>
  <c r="Y62" i="116"/>
  <c r="AB62" i="116"/>
  <c r="AG62" i="116"/>
  <c r="AC62" i="116"/>
  <c r="Z62" i="116"/>
  <c r="AJ62" i="116"/>
  <c r="AM62" i="116" l="1"/>
  <c r="AN62" i="116"/>
  <c r="V62" i="116"/>
  <c r="S62" i="118"/>
  <c r="H63" i="116" a="1"/>
  <c r="J63" i="116" s="1"/>
  <c r="U62" i="116"/>
  <c r="AH62" i="118"/>
  <c r="Y63" i="116" a="1"/>
  <c r="AL62" i="116"/>
  <c r="K63" i="116" l="1"/>
  <c r="M63" i="116"/>
  <c r="O63" i="116"/>
  <c r="P63" i="116"/>
  <c r="T63" i="116"/>
  <c r="Q63" i="116"/>
  <c r="L63" i="116"/>
  <c r="I63" i="116"/>
  <c r="R63" i="116"/>
  <c r="N63" i="116"/>
  <c r="S63" i="116"/>
  <c r="H63" i="116"/>
  <c r="AF63" i="116"/>
  <c r="AH63" i="116"/>
  <c r="AA63" i="116"/>
  <c r="AI63" i="116"/>
  <c r="AB63" i="116"/>
  <c r="AC63" i="116"/>
  <c r="AJ63" i="116"/>
  <c r="AK63" i="116"/>
  <c r="Y63" i="116"/>
  <c r="AD63" i="116"/>
  <c r="Z63" i="116"/>
  <c r="AE63" i="116"/>
  <c r="AG63" i="116"/>
  <c r="W63" i="116" l="1"/>
  <c r="AM63" i="116"/>
  <c r="AN63" i="116"/>
  <c r="V63" i="116"/>
  <c r="S63" i="118"/>
  <c r="U63" i="116"/>
  <c r="H64" i="116" a="1"/>
  <c r="H64" i="116" s="1"/>
  <c r="AL63" i="116"/>
  <c r="Y64" i="116" a="1"/>
  <c r="AH63" i="118"/>
  <c r="S64" i="116" l="1"/>
  <c r="M64" i="116"/>
  <c r="Q64" i="116"/>
  <c r="I64" i="116"/>
  <c r="L64" i="116"/>
  <c r="K64" i="116"/>
  <c r="O64" i="116"/>
  <c r="R64" i="116"/>
  <c r="P64" i="116"/>
  <c r="T64" i="116"/>
  <c r="S64" i="118" s="1"/>
  <c r="N64" i="116"/>
  <c r="J64" i="116"/>
  <c r="AK64" i="116"/>
  <c r="Z64" i="116"/>
  <c r="AF64" i="116"/>
  <c r="AH64" i="116"/>
  <c r="Y64" i="116"/>
  <c r="AA64" i="116"/>
  <c r="AG64" i="116"/>
  <c r="AI64" i="116"/>
  <c r="AD64" i="116"/>
  <c r="AB64" i="116"/>
  <c r="AE64" i="116"/>
  <c r="AJ64" i="116"/>
  <c r="AC64" i="116"/>
  <c r="AM64" i="116" l="1"/>
  <c r="AN64" i="116"/>
  <c r="W64" i="116"/>
  <c r="V64" i="116"/>
  <c r="H65" i="116" a="1"/>
  <c r="L65" i="116" s="1"/>
  <c r="U64" i="116"/>
  <c r="Y65" i="116" a="1"/>
  <c r="AL64" i="116"/>
  <c r="AH64" i="118"/>
  <c r="H65" i="116" l="1"/>
  <c r="S65" i="116"/>
  <c r="K65" i="116"/>
  <c r="J65" i="116"/>
  <c r="O65" i="116"/>
  <c r="N65" i="116"/>
  <c r="I65" i="116"/>
  <c r="R65" i="116"/>
  <c r="T65" i="116"/>
  <c r="P65" i="116"/>
  <c r="M65" i="116"/>
  <c r="Q65" i="116"/>
  <c r="AF65" i="116"/>
  <c r="AA65" i="116"/>
  <c r="Y65" i="116"/>
  <c r="AI65" i="116"/>
  <c r="AG65" i="116"/>
  <c r="AJ65" i="116"/>
  <c r="Z65" i="116"/>
  <c r="AB65" i="116"/>
  <c r="AH65" i="116"/>
  <c r="AC65" i="116"/>
  <c r="AK65" i="116"/>
  <c r="AE65" i="116"/>
  <c r="AD65" i="116"/>
  <c r="AN65" i="116" l="1"/>
  <c r="AM65" i="116"/>
  <c r="W65" i="116"/>
  <c r="V65" i="116"/>
  <c r="S65" i="118"/>
  <c r="U65" i="116"/>
  <c r="H66" i="116" a="1"/>
  <c r="M66" i="116" s="1"/>
  <c r="AH65" i="118"/>
  <c r="AL65" i="116"/>
  <c r="Y66" i="116" a="1"/>
  <c r="I66" i="116" l="1"/>
  <c r="T66" i="116"/>
  <c r="R66" i="116"/>
  <c r="K66" i="116"/>
  <c r="O66" i="116"/>
  <c r="P66" i="116"/>
  <c r="L66" i="116"/>
  <c r="J66" i="116"/>
  <c r="N66" i="116"/>
  <c r="H66" i="116"/>
  <c r="Q66" i="116"/>
  <c r="S66" i="116"/>
  <c r="AD66" i="116"/>
  <c r="Y66" i="116"/>
  <c r="AE66" i="116"/>
  <c r="Z66" i="116"/>
  <c r="AH66" i="116"/>
  <c r="AB66" i="116"/>
  <c r="AA66" i="116"/>
  <c r="AJ66" i="116"/>
  <c r="AI66" i="116"/>
  <c r="AC66" i="116"/>
  <c r="AF66" i="116"/>
  <c r="AK66" i="116"/>
  <c r="AG66" i="116"/>
  <c r="W66" i="116" l="1"/>
  <c r="AM66" i="116"/>
  <c r="AN66" i="116"/>
  <c r="V66" i="116"/>
  <c r="S66" i="118"/>
  <c r="U66" i="116"/>
  <c r="H67" i="116" a="1"/>
  <c r="P67" i="116" s="1"/>
  <c r="AH66" i="118"/>
  <c r="AL66" i="116"/>
  <c r="Y67" i="116" a="1"/>
  <c r="J67" i="116" l="1"/>
  <c r="T67" i="116"/>
  <c r="K67" i="116"/>
  <c r="H67" i="116"/>
  <c r="N67" i="116"/>
  <c r="Q67" i="116"/>
  <c r="O67" i="116"/>
  <c r="S67" i="116"/>
  <c r="M67" i="116"/>
  <c r="I67" i="116"/>
  <c r="R67" i="116"/>
  <c r="L67" i="116"/>
  <c r="Z67" i="116"/>
  <c r="AK67" i="116"/>
  <c r="AH67" i="116"/>
  <c r="AC67" i="116"/>
  <c r="AA67" i="116"/>
  <c r="AD67" i="116"/>
  <c r="AI67" i="116"/>
  <c r="AB67" i="116"/>
  <c r="AJ67" i="116"/>
  <c r="Y67" i="116"/>
  <c r="AE67" i="116"/>
  <c r="AG67" i="116"/>
  <c r="AF67" i="116"/>
  <c r="AN67" i="116" l="1"/>
  <c r="AM67" i="116"/>
  <c r="W67" i="116"/>
  <c r="V67" i="116"/>
  <c r="S67" i="118"/>
  <c r="H68" i="116" a="1"/>
  <c r="K68" i="116" s="1"/>
  <c r="U67" i="116"/>
  <c r="Y68" i="116" a="1"/>
  <c r="AL67" i="116"/>
  <c r="AH67" i="118"/>
  <c r="R68" i="116" l="1"/>
  <c r="O68" i="116"/>
  <c r="N68" i="116"/>
  <c r="L68" i="116"/>
  <c r="I68" i="116"/>
  <c r="M68" i="116"/>
  <c r="H68" i="116"/>
  <c r="J68" i="116"/>
  <c r="T68" i="116"/>
  <c r="Q68" i="116"/>
  <c r="S68" i="116"/>
  <c r="P68" i="116"/>
  <c r="AJ68" i="116"/>
  <c r="AC68" i="116"/>
  <c r="AD68" i="116"/>
  <c r="AK68" i="116"/>
  <c r="AE68" i="116"/>
  <c r="AH68" i="116"/>
  <c r="AF68" i="116"/>
  <c r="AI68" i="116"/>
  <c r="Y68" i="116"/>
  <c r="Z68" i="116"/>
  <c r="AG68" i="116"/>
  <c r="AA68" i="116"/>
  <c r="AB68" i="116"/>
  <c r="AN68" i="116" l="1"/>
  <c r="AM68" i="116"/>
  <c r="W68" i="116"/>
  <c r="V68" i="116"/>
  <c r="S68" i="118"/>
  <c r="H69" i="116" a="1"/>
  <c r="S69" i="116" s="1"/>
  <c r="U68" i="116"/>
  <c r="AH68" i="118"/>
  <c r="Y69" i="116" a="1"/>
  <c r="AL68" i="116"/>
  <c r="H69" i="116" l="1"/>
  <c r="L69" i="116"/>
  <c r="N69" i="116"/>
  <c r="K69" i="116"/>
  <c r="R69" i="116"/>
  <c r="J69" i="116"/>
  <c r="O69" i="116"/>
  <c r="Q69" i="116"/>
  <c r="M69" i="116"/>
  <c r="I69" i="116"/>
  <c r="T69" i="116"/>
  <c r="P69" i="116"/>
  <c r="AC69" i="116"/>
  <c r="AF69" i="116"/>
  <c r="AK69" i="116"/>
  <c r="AD69" i="116"/>
  <c r="Y69" i="116"/>
  <c r="AA69" i="116"/>
  <c r="AG69" i="116"/>
  <c r="AI69" i="116"/>
  <c r="Z69" i="116"/>
  <c r="AB69" i="116"/>
  <c r="AH69" i="116"/>
  <c r="AJ69" i="116"/>
  <c r="AE69" i="116"/>
  <c r="W69" i="116" l="1"/>
  <c r="AN69" i="116"/>
  <c r="AM69" i="116"/>
  <c r="V69" i="116"/>
  <c r="S69" i="118"/>
  <c r="H70" i="116" a="1"/>
  <c r="H70" i="116" s="1"/>
  <c r="U69" i="116"/>
  <c r="Y70" i="116" a="1"/>
  <c r="AL69" i="116"/>
  <c r="AH69" i="118"/>
  <c r="J70" i="116" l="1"/>
  <c r="O70" i="116"/>
  <c r="K70" i="116"/>
  <c r="M70" i="116"/>
  <c r="I70" i="116"/>
  <c r="N70" i="116"/>
  <c r="S70" i="116"/>
  <c r="T70" i="116"/>
  <c r="P70" i="116"/>
  <c r="L70" i="116"/>
  <c r="R70" i="116"/>
  <c r="Q70" i="116"/>
  <c r="AI70" i="116"/>
  <c r="AD70" i="116"/>
  <c r="AF70" i="116"/>
  <c r="AE70" i="116"/>
  <c r="Y70" i="116"/>
  <c r="AB70" i="116"/>
  <c r="AG70" i="116"/>
  <c r="AC70" i="116"/>
  <c r="Z70" i="116"/>
  <c r="AJ70" i="116"/>
  <c r="AH70" i="116"/>
  <c r="AK70" i="116"/>
  <c r="AA70" i="116"/>
  <c r="AM70" i="116" l="1"/>
  <c r="AN70" i="116"/>
  <c r="W70" i="116"/>
  <c r="V70" i="116"/>
  <c r="H71" i="116" a="1"/>
  <c r="Q71" i="116" s="1"/>
  <c r="S70" i="118"/>
  <c r="U70" i="116"/>
  <c r="Y71" i="116" a="1"/>
  <c r="AL70" i="116"/>
  <c r="AH70" i="118"/>
  <c r="I71" i="116" l="1"/>
  <c r="S71" i="116"/>
  <c r="P71" i="116"/>
  <c r="O71" i="116"/>
  <c r="N71" i="116"/>
  <c r="L71" i="116"/>
  <c r="H71" i="116"/>
  <c r="R71" i="116"/>
  <c r="W71" i="116" s="1"/>
  <c r="M71" i="116"/>
  <c r="J71" i="116"/>
  <c r="T71" i="116"/>
  <c r="K71" i="116"/>
  <c r="AI71" i="116"/>
  <c r="AB71" i="116"/>
  <c r="AC71" i="116"/>
  <c r="AJ71" i="116"/>
  <c r="AK71" i="116"/>
  <c r="Y71" i="116"/>
  <c r="AD71" i="116"/>
  <c r="Z71" i="116"/>
  <c r="AE71" i="116"/>
  <c r="AG71" i="116"/>
  <c r="AF71" i="116"/>
  <c r="AH71" i="116"/>
  <c r="AA71" i="116"/>
  <c r="AM71" i="116" l="1"/>
  <c r="AN71" i="116"/>
  <c r="V71" i="116"/>
  <c r="S71" i="118"/>
  <c r="H72" i="116" a="1"/>
  <c r="I72" i="116" s="1"/>
  <c r="U71" i="116"/>
  <c r="AH71" i="118"/>
  <c r="AL71" i="116"/>
  <c r="Y72" i="116" a="1"/>
  <c r="M72" i="116" l="1"/>
  <c r="O72" i="116"/>
  <c r="P72" i="116"/>
  <c r="N72" i="116"/>
  <c r="J72" i="116"/>
  <c r="H72" i="116"/>
  <c r="L72" i="116"/>
  <c r="S72" i="116"/>
  <c r="Q72" i="116"/>
  <c r="K72" i="116"/>
  <c r="T72" i="116"/>
  <c r="R72" i="116"/>
  <c r="Z72" i="116"/>
  <c r="AF72" i="116"/>
  <c r="AH72" i="116"/>
  <c r="Y72" i="116"/>
  <c r="AA72" i="116"/>
  <c r="AG72" i="116"/>
  <c r="AI72" i="116"/>
  <c r="AD72" i="116"/>
  <c r="AB72" i="116"/>
  <c r="AE72" i="116"/>
  <c r="AJ72" i="116"/>
  <c r="AC72" i="116"/>
  <c r="AK72" i="116"/>
  <c r="AN72" i="116" l="1"/>
  <c r="AM72" i="116"/>
  <c r="W72" i="116"/>
  <c r="V72" i="116"/>
  <c r="S72" i="118"/>
  <c r="H73" i="116" a="1"/>
  <c r="Q73" i="116" s="1"/>
  <c r="U72" i="116"/>
  <c r="AH72" i="118"/>
  <c r="Y73" i="116" a="1"/>
  <c r="AL72" i="116"/>
  <c r="N73" i="116" l="1"/>
  <c r="K73" i="116"/>
  <c r="J73" i="116"/>
  <c r="P73" i="116"/>
  <c r="I73" i="116"/>
  <c r="T73" i="116"/>
  <c r="H73" i="116"/>
  <c r="M73" i="116"/>
  <c r="R73" i="116"/>
  <c r="W73" i="116" s="1"/>
  <c r="L73" i="116"/>
  <c r="O73" i="116"/>
  <c r="S73" i="116"/>
  <c r="Y73" i="116"/>
  <c r="AB73" i="116"/>
  <c r="AG73" i="116"/>
  <c r="AI73" i="116"/>
  <c r="Z73" i="116"/>
  <c r="AJ73" i="116"/>
  <c r="AH73" i="116"/>
  <c r="AC73" i="116"/>
  <c r="AK73" i="116"/>
  <c r="AE73" i="116"/>
  <c r="AD73" i="116"/>
  <c r="AF73" i="116"/>
  <c r="AA73" i="116"/>
  <c r="AN73" i="116" l="1"/>
  <c r="AM73" i="116"/>
  <c r="V73" i="116"/>
  <c r="S73" i="118"/>
  <c r="H74" i="116" a="1"/>
  <c r="H74" i="116" s="1"/>
  <c r="U73" i="116"/>
  <c r="AH73" i="118"/>
  <c r="AL73" i="116"/>
  <c r="Y74" i="116" a="1"/>
  <c r="M74" i="116" l="1"/>
  <c r="S74" i="116"/>
  <c r="I74" i="116"/>
  <c r="Q74" i="116"/>
  <c r="K74" i="116"/>
  <c r="T74" i="116"/>
  <c r="R74" i="116"/>
  <c r="O74" i="116"/>
  <c r="P74" i="116"/>
  <c r="L74" i="116"/>
  <c r="J74" i="116"/>
  <c r="N74" i="116"/>
  <c r="AC74" i="116"/>
  <c r="Y74" i="116"/>
  <c r="AK74" i="116"/>
  <c r="AF74" i="116"/>
  <c r="AD74" i="116"/>
  <c r="AG74" i="116"/>
  <c r="AE74" i="116"/>
  <c r="Z74" i="116"/>
  <c r="AH74" i="116"/>
  <c r="AB74" i="116"/>
  <c r="AA74" i="116"/>
  <c r="AJ74" i="116"/>
  <c r="AI74" i="116"/>
  <c r="W74" i="116" l="1"/>
  <c r="AM74" i="116"/>
  <c r="AN74" i="116"/>
  <c r="V74" i="116"/>
  <c r="S74" i="118"/>
  <c r="H75" i="116" a="1"/>
  <c r="K75" i="116" s="1"/>
  <c r="U74" i="116"/>
  <c r="AH74" i="118"/>
  <c r="Y75" i="116" a="1"/>
  <c r="AL74" i="116"/>
  <c r="R75" i="116" l="1"/>
  <c r="J75" i="116"/>
  <c r="H75" i="116"/>
  <c r="L75" i="116"/>
  <c r="T75" i="116"/>
  <c r="N75" i="116"/>
  <c r="S75" i="116"/>
  <c r="O75" i="116"/>
  <c r="I75" i="116"/>
  <c r="M75" i="116"/>
  <c r="Q75" i="116"/>
  <c r="P75" i="116"/>
  <c r="Z75" i="116"/>
  <c r="AC75" i="116"/>
  <c r="AH75" i="116"/>
  <c r="AK75" i="116"/>
  <c r="AA75" i="116"/>
  <c r="AD75" i="116"/>
  <c r="AI75" i="116"/>
  <c r="AB75" i="116"/>
  <c r="AJ75" i="116"/>
  <c r="Y75" i="116"/>
  <c r="AE75" i="116"/>
  <c r="AG75" i="116"/>
  <c r="AF75" i="116"/>
  <c r="AM75" i="116" l="1"/>
  <c r="AN75" i="116"/>
  <c r="W75" i="116"/>
  <c r="V75" i="116"/>
  <c r="S75" i="118"/>
  <c r="H76" i="116" a="1"/>
  <c r="I76" i="116" s="1"/>
  <c r="U75" i="116"/>
  <c r="AH75" i="118"/>
  <c r="AL75" i="116"/>
  <c r="Y76" i="116" a="1"/>
  <c r="K76" i="116" l="1"/>
  <c r="R76" i="116"/>
  <c r="M76" i="116"/>
  <c r="H76" i="116"/>
  <c r="J76" i="116"/>
  <c r="T76" i="116"/>
  <c r="Q76" i="116"/>
  <c r="S76" i="116"/>
  <c r="O76" i="116"/>
  <c r="L76" i="116"/>
  <c r="P76" i="116"/>
  <c r="N76" i="116"/>
  <c r="Y76" i="116"/>
  <c r="AI76" i="116"/>
  <c r="AG76" i="116"/>
  <c r="AA76" i="116"/>
  <c r="AB76" i="116"/>
  <c r="AJ76" i="116"/>
  <c r="AC76" i="116"/>
  <c r="AD76" i="116"/>
  <c r="AK76" i="116"/>
  <c r="AE76" i="116"/>
  <c r="Z76" i="116"/>
  <c r="AF76" i="116"/>
  <c r="AH76" i="116"/>
  <c r="AN76" i="116" l="1"/>
  <c r="AM76" i="116"/>
  <c r="W76" i="116"/>
  <c r="V76" i="116"/>
  <c r="S76" i="118"/>
  <c r="H77" i="116" a="1"/>
  <c r="Q77" i="116" s="1"/>
  <c r="U76" i="116"/>
  <c r="AH76" i="118"/>
  <c r="AL76" i="116"/>
  <c r="Y77" i="116" a="1"/>
  <c r="O77" i="116" l="1"/>
  <c r="I77" i="116"/>
  <c r="M77" i="116"/>
  <c r="T77" i="116"/>
  <c r="R77" i="116"/>
  <c r="W77" i="116" s="1"/>
  <c r="L77" i="116"/>
  <c r="P77" i="116"/>
  <c r="S77" i="116"/>
  <c r="J77" i="116"/>
  <c r="N77" i="116"/>
  <c r="H77" i="116"/>
  <c r="K77" i="116"/>
  <c r="AJ77" i="116"/>
  <c r="AE77" i="116"/>
  <c r="AC77" i="116"/>
  <c r="AF77" i="116"/>
  <c r="AK77" i="116"/>
  <c r="AD77" i="116"/>
  <c r="Y77" i="116"/>
  <c r="AA77" i="116"/>
  <c r="AG77" i="116"/>
  <c r="AI77" i="116"/>
  <c r="Z77" i="116"/>
  <c r="AB77" i="116"/>
  <c r="AH77" i="116"/>
  <c r="AN77" i="116" l="1"/>
  <c r="AM77" i="116"/>
  <c r="V77" i="116"/>
  <c r="S77" i="118"/>
  <c r="H78" i="116" a="1"/>
  <c r="L78" i="116" s="1"/>
  <c r="U77" i="116"/>
  <c r="Y78" i="116" a="1"/>
  <c r="AL77" i="116"/>
  <c r="AH77" i="118"/>
  <c r="Q78" i="116" l="1"/>
  <c r="S78" i="116"/>
  <c r="J78" i="116"/>
  <c r="I78" i="116"/>
  <c r="O78" i="116"/>
  <c r="R78" i="116"/>
  <c r="M78" i="116"/>
  <c r="P78" i="116"/>
  <c r="N78" i="116"/>
  <c r="K78" i="116"/>
  <c r="T78" i="116"/>
  <c r="H78" i="116"/>
  <c r="Y78" i="116"/>
  <c r="AJ78" i="116"/>
  <c r="AG78" i="116"/>
  <c r="AK78" i="116"/>
  <c r="Z78" i="116"/>
  <c r="AB78" i="116"/>
  <c r="AH78" i="116"/>
  <c r="AC78" i="116"/>
  <c r="AA78" i="116"/>
  <c r="AI78" i="116"/>
  <c r="AD78" i="116"/>
  <c r="AF78" i="116"/>
  <c r="AE78" i="116"/>
  <c r="AN78" i="116" l="1"/>
  <c r="W78" i="116"/>
  <c r="AM78" i="116"/>
  <c r="V78" i="116"/>
  <c r="S78" i="118"/>
  <c r="U78" i="116"/>
  <c r="H79" i="116" a="1"/>
  <c r="L79" i="116" s="1"/>
  <c r="Y79" i="116" a="1"/>
  <c r="AL78" i="116"/>
  <c r="AH78" i="118"/>
  <c r="S79" i="116" l="1"/>
  <c r="I79" i="116"/>
  <c r="O79" i="116"/>
  <c r="P79" i="116"/>
  <c r="M79" i="116"/>
  <c r="R79" i="116"/>
  <c r="N79" i="116"/>
  <c r="J79" i="116"/>
  <c r="T79" i="116"/>
  <c r="K79" i="116"/>
  <c r="H79" i="116"/>
  <c r="Q79" i="116"/>
  <c r="AC79" i="116"/>
  <c r="AJ79" i="116"/>
  <c r="AK79" i="116"/>
  <c r="AG79" i="116"/>
  <c r="AD79" i="116"/>
  <c r="AH79" i="116"/>
  <c r="AE79" i="116"/>
  <c r="Y79" i="116"/>
  <c r="AF79" i="116"/>
  <c r="Z79" i="116"/>
  <c r="AA79" i="116"/>
  <c r="AI79" i="116"/>
  <c r="AB79" i="116"/>
  <c r="W79" i="116" l="1"/>
  <c r="AN79" i="116"/>
  <c r="AM79" i="116"/>
  <c r="V79" i="116"/>
  <c r="S79" i="118"/>
  <c r="H80" i="116" a="1"/>
  <c r="H80" i="116" s="1"/>
  <c r="U79" i="116"/>
  <c r="AH79" i="118"/>
  <c r="AL79" i="116"/>
  <c r="Y80" i="116" a="1"/>
  <c r="S80" i="116" l="1"/>
  <c r="I80" i="116"/>
  <c r="O80" i="116"/>
  <c r="K80" i="116"/>
  <c r="R80" i="116"/>
  <c r="J80" i="116"/>
  <c r="M80" i="116"/>
  <c r="T80" i="116"/>
  <c r="P80" i="116"/>
  <c r="Q80" i="116"/>
  <c r="N80" i="116"/>
  <c r="L80" i="116"/>
  <c r="AA80" i="116"/>
  <c r="AG80" i="116"/>
  <c r="AI80" i="116"/>
  <c r="AD80" i="116"/>
  <c r="AB80" i="116"/>
  <c r="AE80" i="116"/>
  <c r="AJ80" i="116"/>
  <c r="AC80" i="116"/>
  <c r="AK80" i="116"/>
  <c r="Z80" i="116"/>
  <c r="AF80" i="116"/>
  <c r="AH80" i="116"/>
  <c r="Y80" i="116"/>
  <c r="AM80" i="116" l="1"/>
  <c r="W80" i="116"/>
  <c r="AN80" i="116"/>
  <c r="V80" i="116"/>
  <c r="S80" i="118"/>
  <c r="H81" i="116" a="1"/>
  <c r="N81" i="116" s="1"/>
  <c r="U80" i="116"/>
  <c r="Y81" i="116" a="1"/>
  <c r="AL80" i="116"/>
  <c r="AH80" i="118"/>
  <c r="Q81" i="116" l="1"/>
  <c r="K81" i="116"/>
  <c r="T81" i="116"/>
  <c r="O81" i="116"/>
  <c r="J81" i="116"/>
  <c r="M81" i="116"/>
  <c r="R81" i="116"/>
  <c r="P81" i="116"/>
  <c r="H81" i="116"/>
  <c r="L81" i="116"/>
  <c r="I81" i="116"/>
  <c r="S81" i="116"/>
  <c r="Y81" i="116"/>
  <c r="AB81" i="116"/>
  <c r="AG81" i="116"/>
  <c r="AI81" i="116"/>
  <c r="Z81" i="116"/>
  <c r="AJ81" i="116"/>
  <c r="AH81" i="116"/>
  <c r="AC81" i="116"/>
  <c r="AK81" i="116"/>
  <c r="AD81" i="116"/>
  <c r="AF81" i="116"/>
  <c r="AA81" i="116"/>
  <c r="AE81" i="116"/>
  <c r="W81" i="116" l="1"/>
  <c r="AN81" i="116"/>
  <c r="AM81" i="116"/>
  <c r="V81" i="116"/>
  <c r="S81" i="118"/>
  <c r="H82" i="116" a="1"/>
  <c r="O82" i="116" s="1"/>
  <c r="U81" i="116"/>
  <c r="AH81" i="118"/>
  <c r="AL81" i="116"/>
  <c r="Y82" i="116" a="1"/>
  <c r="L82" i="116" l="1"/>
  <c r="I82" i="116"/>
  <c r="N82" i="116"/>
  <c r="R82" i="116"/>
  <c r="S82" i="116"/>
  <c r="P82" i="116"/>
  <c r="T82" i="116"/>
  <c r="J82" i="116"/>
  <c r="Q82" i="116"/>
  <c r="H82" i="116"/>
  <c r="K82" i="116"/>
  <c r="M82" i="116"/>
  <c r="AD82" i="116"/>
  <c r="AG82" i="116"/>
  <c r="Z82" i="116"/>
  <c r="AH82" i="116"/>
  <c r="AE82" i="116"/>
  <c r="AB82" i="116"/>
  <c r="AA82" i="116"/>
  <c r="AJ82" i="116"/>
  <c r="AI82" i="116"/>
  <c r="AC82" i="116"/>
  <c r="Y82" i="116"/>
  <c r="AK82" i="116"/>
  <c r="AF82" i="116"/>
  <c r="AM82" i="116" l="1"/>
  <c r="W82" i="116"/>
  <c r="AN82" i="116"/>
  <c r="V82" i="116"/>
  <c r="S82" i="118"/>
  <c r="U82" i="116"/>
  <c r="H83" i="116" a="1"/>
  <c r="T83" i="116" s="1"/>
  <c r="AH82" i="118"/>
  <c r="Y83" i="116" a="1"/>
  <c r="AL82" i="116"/>
  <c r="Q83" i="116" l="1"/>
  <c r="P83" i="116"/>
  <c r="R83" i="116"/>
  <c r="N83" i="116"/>
  <c r="J83" i="116"/>
  <c r="O83" i="116"/>
  <c r="K83" i="116"/>
  <c r="I83" i="116"/>
  <c r="S83" i="116"/>
  <c r="M83" i="116"/>
  <c r="H83" i="116"/>
  <c r="L83" i="116"/>
  <c r="S83" i="118"/>
  <c r="AH83" i="116"/>
  <c r="AD83" i="116"/>
  <c r="AJ83" i="116"/>
  <c r="Z83" i="116"/>
  <c r="AA83" i="116"/>
  <c r="AK83" i="116"/>
  <c r="AB83" i="116"/>
  <c r="AI83" i="116"/>
  <c r="Y83" i="116"/>
  <c r="AE83" i="116"/>
  <c r="AG83" i="116"/>
  <c r="AF83" i="116"/>
  <c r="AC83" i="116"/>
  <c r="AN83" i="116" l="1"/>
  <c r="AM83" i="116"/>
  <c r="W83" i="116"/>
  <c r="V83" i="116"/>
  <c r="U83" i="116"/>
  <c r="H84" i="116" a="1"/>
  <c r="N84" i="116" s="1"/>
  <c r="AL83" i="116"/>
  <c r="Y84" i="116" a="1"/>
  <c r="AH83" i="118"/>
  <c r="O84" i="116" l="1"/>
  <c r="T84" i="116"/>
  <c r="S84" i="118" s="1"/>
  <c r="I84" i="116"/>
  <c r="P84" i="116"/>
  <c r="Q84" i="116"/>
  <c r="S84" i="116"/>
  <c r="M84" i="116"/>
  <c r="L84" i="116"/>
  <c r="R84" i="116"/>
  <c r="K84" i="116"/>
  <c r="H84" i="116"/>
  <c r="J84" i="116"/>
  <c r="AD84" i="116"/>
  <c r="AK84" i="116"/>
  <c r="AE84" i="116"/>
  <c r="Z84" i="116"/>
  <c r="AJ84" i="116"/>
  <c r="AF84" i="116"/>
  <c r="AA84" i="116"/>
  <c r="Y84" i="116"/>
  <c r="AH84" i="116"/>
  <c r="AG84" i="116"/>
  <c r="AI84" i="116"/>
  <c r="AB84" i="116"/>
  <c r="AC84" i="116"/>
  <c r="AN84" i="116" l="1"/>
  <c r="AM84" i="116"/>
  <c r="W84" i="116"/>
  <c r="V84" i="116"/>
  <c r="U84" i="116"/>
  <c r="H85" i="116" a="1"/>
  <c r="Q85" i="116" s="1"/>
  <c r="AL84" i="116"/>
  <c r="Y85" i="116" a="1"/>
  <c r="AH84" i="118"/>
  <c r="M85" i="116" l="1"/>
  <c r="O85" i="116"/>
  <c r="R85" i="116"/>
  <c r="W85" i="116" s="1"/>
  <c r="S85" i="116"/>
  <c r="I85" i="116"/>
  <c r="P85" i="116"/>
  <c r="T85" i="116"/>
  <c r="J85" i="116"/>
  <c r="K85" i="116"/>
  <c r="L85" i="116"/>
  <c r="H85" i="116"/>
  <c r="N85" i="116"/>
  <c r="Y85" i="116"/>
  <c r="AA85" i="116"/>
  <c r="AG85" i="116"/>
  <c r="AI85" i="116"/>
  <c r="Z85" i="116"/>
  <c r="AD85" i="116"/>
  <c r="AB85" i="116"/>
  <c r="AH85" i="116"/>
  <c r="AJ85" i="116"/>
  <c r="AE85" i="116"/>
  <c r="AF85" i="116"/>
  <c r="AC85" i="116"/>
  <c r="AK85" i="116"/>
  <c r="AM85" i="116" l="1"/>
  <c r="AN85" i="116"/>
  <c r="V85" i="116"/>
  <c r="S85" i="118"/>
  <c r="U85" i="116"/>
  <c r="H86" i="116" a="1"/>
  <c r="P86" i="116" s="1"/>
  <c r="AH85" i="118"/>
  <c r="Y86" i="116" a="1"/>
  <c r="AL85" i="116"/>
  <c r="R86" i="116" l="1"/>
  <c r="K86" i="116"/>
  <c r="T86" i="116"/>
  <c r="H86" i="116"/>
  <c r="Q86" i="116"/>
  <c r="J86" i="116"/>
  <c r="L86" i="116"/>
  <c r="O86" i="116"/>
  <c r="S86" i="116"/>
  <c r="M86" i="116"/>
  <c r="I86" i="116"/>
  <c r="N86" i="116"/>
  <c r="AH86" i="116"/>
  <c r="AC86" i="116"/>
  <c r="AA86" i="116"/>
  <c r="AI86" i="116"/>
  <c r="AD86" i="116"/>
  <c r="AF86" i="116"/>
  <c r="AE86" i="116"/>
  <c r="Y86" i="116"/>
  <c r="AB86" i="116"/>
  <c r="AG86" i="116"/>
  <c r="AJ86" i="116"/>
  <c r="Z86" i="116"/>
  <c r="AK86" i="116"/>
  <c r="AM86" i="116" l="1"/>
  <c r="AN86" i="116"/>
  <c r="W86" i="116"/>
  <c r="V86" i="116"/>
  <c r="S86" i="118"/>
  <c r="H87" i="116" a="1"/>
  <c r="N87" i="116" s="1"/>
  <c r="U86" i="116"/>
  <c r="AL86" i="116"/>
  <c r="Y87" i="116" a="1"/>
  <c r="AH86" i="118"/>
  <c r="S87" i="116" l="1"/>
  <c r="J87" i="116"/>
  <c r="Q87" i="116"/>
  <c r="O87" i="116"/>
  <c r="T87" i="116"/>
  <c r="P87" i="116"/>
  <c r="R87" i="116"/>
  <c r="M87" i="116"/>
  <c r="K87" i="116"/>
  <c r="H87" i="116"/>
  <c r="I87" i="116"/>
  <c r="L87" i="116"/>
  <c r="AC87" i="116"/>
  <c r="AJ87" i="116"/>
  <c r="AK87" i="116"/>
  <c r="Y87" i="116"/>
  <c r="AI87" i="116"/>
  <c r="AD87" i="116"/>
  <c r="AG87" i="116"/>
  <c r="AH87" i="116"/>
  <c r="AE87" i="116"/>
  <c r="AF87" i="116"/>
  <c r="Z87" i="116"/>
  <c r="AA87" i="116"/>
  <c r="AB87" i="116"/>
  <c r="AM87" i="116" l="1"/>
  <c r="AN87" i="116"/>
  <c r="W87" i="116"/>
  <c r="V87" i="116"/>
  <c r="S87" i="118"/>
  <c r="H88" i="116" a="1"/>
  <c r="M88" i="116" s="1"/>
  <c r="U87" i="116"/>
  <c r="Y88" i="116" a="1"/>
  <c r="AL87" i="116"/>
  <c r="AH87" i="118"/>
  <c r="I88" i="116" l="1"/>
  <c r="N88" i="116"/>
  <c r="J88" i="116"/>
  <c r="Q88" i="116"/>
  <c r="O88" i="116"/>
  <c r="K88" i="116"/>
  <c r="P88" i="116"/>
  <c r="T88" i="116"/>
  <c r="H88" i="116"/>
  <c r="S88" i="116"/>
  <c r="R88" i="116"/>
  <c r="L88" i="116"/>
  <c r="AA88" i="116"/>
  <c r="AG88" i="116"/>
  <c r="AB88" i="116"/>
  <c r="AE88" i="116"/>
  <c r="AI88" i="116"/>
  <c r="AD88" i="116"/>
  <c r="AJ88" i="116"/>
  <c r="AC88" i="116"/>
  <c r="AK88" i="116"/>
  <c r="Z88" i="116"/>
  <c r="AF88" i="116"/>
  <c r="AH88" i="116"/>
  <c r="Y88" i="116"/>
  <c r="W88" i="116" l="1"/>
  <c r="AM88" i="116"/>
  <c r="AN88" i="116"/>
  <c r="V88" i="116"/>
  <c r="S88" i="118"/>
  <c r="U88" i="116"/>
  <c r="H89" i="116" a="1"/>
  <c r="L89" i="116" s="1"/>
  <c r="AH88" i="118"/>
  <c r="Y89" i="116" a="1"/>
  <c r="AL88" i="116"/>
  <c r="H89" i="116" l="1"/>
  <c r="H4" i="116" s="1"/>
  <c r="I89" i="116"/>
  <c r="N89" i="116"/>
  <c r="P89" i="116"/>
  <c r="J89" i="116"/>
  <c r="S89" i="116"/>
  <c r="Q89" i="116"/>
  <c r="O89" i="116"/>
  <c r="T89" i="116"/>
  <c r="K89" i="116"/>
  <c r="M89" i="116"/>
  <c r="R89" i="116"/>
  <c r="L4" i="116"/>
  <c r="AD15" i="65" s="1"/>
  <c r="AG89" i="116"/>
  <c r="AA89" i="116"/>
  <c r="AK89" i="116"/>
  <c r="Y89" i="116"/>
  <c r="Z89" i="116"/>
  <c r="AB89" i="116"/>
  <c r="AC89" i="116"/>
  <c r="AH89" i="116"/>
  <c r="AJ89" i="116"/>
  <c r="AE89" i="116"/>
  <c r="AD89" i="116"/>
  <c r="AF89" i="116"/>
  <c r="AI89" i="116"/>
  <c r="AN89" i="116" l="1"/>
  <c r="AM89" i="116"/>
  <c r="W89" i="116"/>
  <c r="V89" i="116"/>
  <c r="AJ4" i="116"/>
  <c r="AH4" i="116"/>
  <c r="AE4" i="116"/>
  <c r="AI4" i="116"/>
  <c r="AF4" i="116"/>
  <c r="O4" i="116"/>
  <c r="Q4" i="116"/>
  <c r="S4" i="116"/>
  <c r="R4" i="116"/>
  <c r="M4" i="116"/>
  <c r="N4" i="116"/>
  <c r="J4" i="116"/>
  <c r="AC15" i="65" s="1"/>
  <c r="P4" i="116"/>
  <c r="K4" i="116"/>
  <c r="AL4" i="116" a="1"/>
  <c r="AL4" i="116" s="1"/>
  <c r="AL5" i="116" a="1"/>
  <c r="AL5" i="116" s="1"/>
  <c r="I4" i="116"/>
  <c r="S89" i="118"/>
  <c r="U4" i="116" a="1"/>
  <c r="U4" i="116" s="1"/>
  <c r="AA15" i="65" s="1"/>
  <c r="U5" i="116" a="1"/>
  <c r="U5" i="116" s="1"/>
  <c r="U89" i="116"/>
  <c r="H90" i="116" a="1"/>
  <c r="L90" i="116" s="1"/>
  <c r="AA4" i="116"/>
  <c r="AC4" i="116"/>
  <c r="AG4" i="116"/>
  <c r="AB4" i="116"/>
  <c r="Z4" i="116"/>
  <c r="Y4" i="116"/>
  <c r="AL89" i="116"/>
  <c r="Y90" i="116" a="1"/>
  <c r="AD4" i="116"/>
  <c r="AH89" i="118"/>
  <c r="AE15" i="65" l="1"/>
  <c r="H90" i="116"/>
  <c r="M90" i="116"/>
  <c r="O90" i="116"/>
  <c r="Q90" i="116"/>
  <c r="N90" i="116"/>
  <c r="K90" i="116"/>
  <c r="I90" i="116"/>
  <c r="R90" i="116"/>
  <c r="S90" i="116"/>
  <c r="J90" i="116"/>
  <c r="P90" i="116"/>
  <c r="T90" i="116"/>
  <c r="AH90" i="116"/>
  <c r="AB90" i="116"/>
  <c r="AA90" i="116"/>
  <c r="AC90" i="116"/>
  <c r="AF90" i="116"/>
  <c r="AK90" i="116"/>
  <c r="AK4" i="116" s="1"/>
  <c r="AG90" i="116"/>
  <c r="AD90" i="116"/>
  <c r="Y90" i="116"/>
  <c r="AE90" i="116"/>
  <c r="Z90" i="116"/>
  <c r="AJ90" i="116"/>
  <c r="AI90" i="116"/>
  <c r="W90" i="116" l="1"/>
  <c r="AN90" i="116"/>
  <c r="AM90" i="116"/>
  <c r="V90" i="116"/>
  <c r="S90" i="118"/>
  <c r="S4" i="118" s="1"/>
  <c r="T4" i="116"/>
  <c r="AB15" i="65" s="1"/>
  <c r="U90" i="116"/>
  <c r="H91" i="116" a="1"/>
  <c r="N91" i="116" s="1"/>
  <c r="AH90" i="118"/>
  <c r="AL90" i="116"/>
  <c r="Y91" i="116" a="1"/>
  <c r="S5" i="118" l="1" a="1"/>
  <c r="S5" i="118" s="1"/>
  <c r="AH4" i="118"/>
  <c r="AH5" i="118" a="1"/>
  <c r="AH5" i="118" s="1"/>
  <c r="O91" i="116"/>
  <c r="R91" i="116"/>
  <c r="M91" i="116"/>
  <c r="S91" i="116"/>
  <c r="J91" i="116"/>
  <c r="P91" i="116"/>
  <c r="L91" i="116"/>
  <c r="K91" i="116"/>
  <c r="Q91" i="116"/>
  <c r="H91" i="116"/>
  <c r="T91" i="116"/>
  <c r="S91" i="118" s="1"/>
  <c r="I91" i="116"/>
  <c r="Y91" i="116"/>
  <c r="AE91" i="116"/>
  <c r="AF91" i="116"/>
  <c r="AG91" i="116"/>
  <c r="AI91" i="116"/>
  <c r="Z91" i="116"/>
  <c r="AC91" i="116"/>
  <c r="AH91" i="116"/>
  <c r="AD91" i="116"/>
  <c r="AA91" i="116"/>
  <c r="AK91" i="116"/>
  <c r="AJ91" i="116"/>
  <c r="AB91" i="116"/>
  <c r="AN91" i="116" l="1"/>
  <c r="AM91" i="116"/>
  <c r="W91" i="116"/>
  <c r="V91" i="116"/>
  <c r="U91" i="116"/>
  <c r="H92" i="116" a="1"/>
  <c r="M92" i="116" s="1"/>
  <c r="AH91" i="118"/>
  <c r="Y92" i="116" a="1"/>
  <c r="AL91" i="116"/>
  <c r="J92" i="116" l="1"/>
  <c r="H92" i="116"/>
  <c r="T92" i="116"/>
  <c r="S92" i="118" s="1"/>
  <c r="I92" i="116"/>
  <c r="S92" i="116"/>
  <c r="O92" i="116"/>
  <c r="L92" i="116"/>
  <c r="Q92" i="116"/>
  <c r="K92" i="116"/>
  <c r="N92" i="116"/>
  <c r="R92" i="116"/>
  <c r="P92" i="116"/>
  <c r="AC92" i="116"/>
  <c r="AJ92" i="116"/>
  <c r="AD92" i="116"/>
  <c r="AK92" i="116"/>
  <c r="AE92" i="116"/>
  <c r="Z92" i="116"/>
  <c r="AF92" i="116"/>
  <c r="AA92" i="116"/>
  <c r="Y92" i="116"/>
  <c r="AH92" i="116"/>
  <c r="AG92" i="116"/>
  <c r="AI92" i="116"/>
  <c r="AB92" i="116"/>
  <c r="AM92" i="116" l="1"/>
  <c r="AN92" i="116"/>
  <c r="W92" i="116"/>
  <c r="V92" i="116"/>
  <c r="H93" i="116" a="1"/>
  <c r="S93" i="116" s="1"/>
  <c r="U92" i="116"/>
  <c r="AH92" i="118"/>
  <c r="AL92" i="116"/>
  <c r="Y93" i="116" a="1"/>
  <c r="O93" i="116" l="1"/>
  <c r="N93" i="116"/>
  <c r="I93" i="116"/>
  <c r="K93" i="116"/>
  <c r="T93" i="116"/>
  <c r="S93" i="118" s="1"/>
  <c r="R93" i="116"/>
  <c r="L93" i="116"/>
  <c r="P93" i="116"/>
  <c r="M93" i="116"/>
  <c r="H93" i="116"/>
  <c r="J93" i="116"/>
  <c r="Q93" i="116"/>
  <c r="Y93" i="116"/>
  <c r="AA93" i="116"/>
  <c r="AG93" i="116"/>
  <c r="AF93" i="116"/>
  <c r="AK93" i="116"/>
  <c r="AD93" i="116"/>
  <c r="AI93" i="116"/>
  <c r="Z93" i="116"/>
  <c r="AB93" i="116"/>
  <c r="AH93" i="116"/>
  <c r="AJ93" i="116"/>
  <c r="AE93" i="116"/>
  <c r="AC93" i="116"/>
  <c r="W93" i="116" l="1"/>
  <c r="AM93" i="116"/>
  <c r="AN93" i="116"/>
  <c r="V93" i="116"/>
  <c r="U93" i="116"/>
  <c r="H94" i="116" a="1"/>
  <c r="J94" i="116" s="1"/>
  <c r="AH93" i="118"/>
  <c r="Y94" i="116" a="1"/>
  <c r="AL93" i="116"/>
  <c r="O94" i="116" l="1"/>
  <c r="P94" i="116"/>
  <c r="N94" i="116"/>
  <c r="M94" i="116"/>
  <c r="T94" i="116"/>
  <c r="S94" i="118" s="1"/>
  <c r="S94" i="116"/>
  <c r="L94" i="116"/>
  <c r="H94" i="116"/>
  <c r="Q94" i="116"/>
  <c r="K94" i="116"/>
  <c r="I94" i="116"/>
  <c r="R94" i="116"/>
  <c r="AI94" i="116"/>
  <c r="AD94" i="116"/>
  <c r="AF94" i="116"/>
  <c r="AE94" i="116"/>
  <c r="AA94" i="116"/>
  <c r="Y94" i="116"/>
  <c r="AB94" i="116"/>
  <c r="AG94" i="116"/>
  <c r="AC94" i="116"/>
  <c r="Z94" i="116"/>
  <c r="AJ94" i="116"/>
  <c r="AH94" i="116"/>
  <c r="AK94" i="116"/>
  <c r="AN94" i="116" l="1"/>
  <c r="AM94" i="116"/>
  <c r="W94" i="116"/>
  <c r="V94" i="116"/>
  <c r="U94" i="116"/>
  <c r="H95" i="116" a="1"/>
  <c r="H95" i="116" s="1"/>
  <c r="Y95" i="116" a="1"/>
  <c r="AL94" i="116"/>
  <c r="AH94" i="118"/>
  <c r="S95" i="116" l="1"/>
  <c r="P95" i="116"/>
  <c r="R95" i="116"/>
  <c r="M95" i="116"/>
  <c r="J95" i="116"/>
  <c r="T95" i="116"/>
  <c r="K95" i="116"/>
  <c r="O95" i="116"/>
  <c r="Q95" i="116"/>
  <c r="L95" i="116"/>
  <c r="I95" i="116"/>
  <c r="N95" i="116"/>
  <c r="AD95" i="116"/>
  <c r="Z95" i="116"/>
  <c r="AE95" i="116"/>
  <c r="AG95" i="116"/>
  <c r="AF95" i="116"/>
  <c r="AH95" i="116"/>
  <c r="AA95" i="116"/>
  <c r="AI95" i="116"/>
  <c r="AB95" i="116"/>
  <c r="AC95" i="116"/>
  <c r="AJ95" i="116"/>
  <c r="AK95" i="116"/>
  <c r="Y95" i="116"/>
  <c r="W95" i="116" l="1"/>
  <c r="AM95" i="116"/>
  <c r="AN95" i="116"/>
  <c r="V95" i="116"/>
  <c r="H96" i="116" a="1"/>
  <c r="H96" i="116" s="1"/>
  <c r="U95" i="116"/>
  <c r="S95" i="118"/>
  <c r="AH95" i="118"/>
  <c r="AL95" i="116"/>
  <c r="Y96" i="116" a="1"/>
  <c r="S96" i="116" l="1"/>
  <c r="K96" i="116"/>
  <c r="R96" i="116"/>
  <c r="M96" i="116"/>
  <c r="Q96" i="116"/>
  <c r="L96" i="116"/>
  <c r="P96" i="116"/>
  <c r="I96" i="116"/>
  <c r="O96" i="116"/>
  <c r="T96" i="116"/>
  <c r="S96" i="118" s="1"/>
  <c r="N96" i="116"/>
  <c r="J96" i="116"/>
  <c r="AA96" i="116"/>
  <c r="AG96" i="116"/>
  <c r="AI96" i="116"/>
  <c r="AD96" i="116"/>
  <c r="AB96" i="116"/>
  <c r="AE96" i="116"/>
  <c r="AJ96" i="116"/>
  <c r="AC96" i="116"/>
  <c r="AK96" i="116"/>
  <c r="Z96" i="116"/>
  <c r="AF96" i="116"/>
  <c r="AH96" i="116"/>
  <c r="Y96" i="116"/>
  <c r="AN96" i="116" l="1"/>
  <c r="AM96" i="116"/>
  <c r="W96" i="116"/>
  <c r="V96" i="116"/>
  <c r="H97" i="116" a="1"/>
  <c r="M97" i="116" s="1"/>
  <c r="U96" i="116"/>
  <c r="Y97" i="116" a="1"/>
  <c r="AL96" i="116"/>
  <c r="AH96" i="118"/>
  <c r="R97" i="116" l="1"/>
  <c r="T97" i="116"/>
  <c r="S97" i="118" s="1"/>
  <c r="L97" i="116"/>
  <c r="K97" i="116"/>
  <c r="J97" i="116"/>
  <c r="P97" i="116"/>
  <c r="O97" i="116"/>
  <c r="S97" i="116"/>
  <c r="H97" i="116"/>
  <c r="I97" i="116"/>
  <c r="N97" i="116"/>
  <c r="Q97" i="116"/>
  <c r="Y97" i="116"/>
  <c r="AI97" i="116"/>
  <c r="AF97" i="116"/>
  <c r="AG97" i="116"/>
  <c r="AJ97" i="116"/>
  <c r="AA97" i="116"/>
  <c r="Z97" i="116"/>
  <c r="AB97" i="116"/>
  <c r="AH97" i="116"/>
  <c r="AC97" i="116"/>
  <c r="AK97" i="116"/>
  <c r="AE97" i="116"/>
  <c r="AD97" i="116"/>
  <c r="W97" i="116" l="1"/>
  <c r="AN97" i="116"/>
  <c r="AM97" i="116"/>
  <c r="V97" i="116"/>
  <c r="U97" i="116"/>
  <c r="H98" i="116" a="1"/>
  <c r="N98" i="116" s="1"/>
  <c r="AH97" i="118"/>
  <c r="Y98" i="116" a="1"/>
  <c r="AL97" i="116"/>
  <c r="H98" i="116" l="1"/>
  <c r="K98" i="116"/>
  <c r="P98" i="116"/>
  <c r="S98" i="116"/>
  <c r="J98" i="116"/>
  <c r="Q98" i="116"/>
  <c r="M98" i="116"/>
  <c r="I98" i="116"/>
  <c r="T98" i="116"/>
  <c r="S98" i="118" s="1"/>
  <c r="R98" i="116"/>
  <c r="O98" i="116"/>
  <c r="L98" i="116"/>
  <c r="AE98" i="116"/>
  <c r="Z98" i="116"/>
  <c r="AH98" i="116"/>
  <c r="AB98" i="116"/>
  <c r="AA98" i="116"/>
  <c r="AJ98" i="116"/>
  <c r="AI98" i="116"/>
  <c r="AC98" i="116"/>
  <c r="AF98" i="116"/>
  <c r="AK98" i="116"/>
  <c r="AG98" i="116"/>
  <c r="AD98" i="116"/>
  <c r="Y98" i="116"/>
  <c r="AN98" i="116" l="1"/>
  <c r="AM98" i="116"/>
  <c r="W98" i="116"/>
  <c r="V98" i="116"/>
  <c r="H99" i="116" a="1"/>
  <c r="J99" i="116" s="1"/>
  <c r="U98" i="116"/>
  <c r="AL98" i="116"/>
  <c r="Y99" i="116" a="1"/>
  <c r="AH98" i="118"/>
  <c r="T99" i="116" l="1"/>
  <c r="S99" i="118" s="1"/>
  <c r="I99" i="116"/>
  <c r="N99" i="116"/>
  <c r="K99" i="116"/>
  <c r="Q99" i="116"/>
  <c r="H99" i="116"/>
  <c r="S99" i="116"/>
  <c r="O99" i="116"/>
  <c r="L99" i="116"/>
  <c r="M99" i="116"/>
  <c r="P99" i="116"/>
  <c r="R99" i="116"/>
  <c r="Y99" i="116"/>
  <c r="AG99" i="116"/>
  <c r="Z99" i="116"/>
  <c r="AJ99" i="116"/>
  <c r="AH99" i="116"/>
  <c r="AK99" i="116"/>
  <c r="AA99" i="116"/>
  <c r="AB99" i="116"/>
  <c r="AI99" i="116"/>
  <c r="AC99" i="116"/>
  <c r="AE99" i="116"/>
  <c r="AF99" i="116"/>
  <c r="AD99" i="116"/>
  <c r="AM99" i="116" l="1"/>
  <c r="AN99" i="116"/>
  <c r="W99" i="116"/>
  <c r="V99" i="116"/>
  <c r="H100" i="116" a="1"/>
  <c r="J100" i="116" s="1"/>
  <c r="U99" i="116"/>
  <c r="AH99" i="118"/>
  <c r="Y100" i="116" a="1"/>
  <c r="AL99" i="116"/>
  <c r="I100" i="116" l="1"/>
  <c r="T100" i="116"/>
  <c r="S100" i="118" s="1"/>
  <c r="P100" i="116"/>
  <c r="K100" i="116"/>
  <c r="N100" i="116"/>
  <c r="H100" i="116"/>
  <c r="S100" i="116"/>
  <c r="O100" i="116"/>
  <c r="R100" i="116"/>
  <c r="M100" i="116"/>
  <c r="Q100" i="116"/>
  <c r="L100" i="116"/>
  <c r="AE100" i="116"/>
  <c r="AG100" i="116"/>
  <c r="AF100" i="116"/>
  <c r="AH100" i="116"/>
  <c r="AB100" i="116"/>
  <c r="AI100" i="116"/>
  <c r="AJ100" i="116"/>
  <c r="Y100" i="116"/>
  <c r="AC100" i="116"/>
  <c r="Z100" i="116"/>
  <c r="AK100" i="116"/>
  <c r="AA100" i="116"/>
  <c r="AD100" i="116"/>
  <c r="W100" i="116" l="1"/>
  <c r="AM100" i="116"/>
  <c r="AN100" i="116"/>
  <c r="V100" i="116"/>
  <c r="U100" i="116"/>
  <c r="H101" i="116" a="1"/>
  <c r="Q101" i="116" s="1"/>
  <c r="Y101" i="116" a="1"/>
  <c r="AL100" i="116"/>
  <c r="AH100" i="118"/>
  <c r="L101" i="116" l="1"/>
  <c r="O101" i="116"/>
  <c r="S101" i="116"/>
  <c r="J101" i="116"/>
  <c r="N101" i="116"/>
  <c r="T101" i="116"/>
  <c r="S101" i="118" s="1"/>
  <c r="I101" i="116"/>
  <c r="K101" i="116"/>
  <c r="P101" i="116"/>
  <c r="M101" i="116"/>
  <c r="H101" i="116"/>
  <c r="R101" i="116"/>
  <c r="W101" i="116" s="1"/>
  <c r="Z101" i="116"/>
  <c r="AH101" i="116"/>
  <c r="AB101" i="116"/>
  <c r="AA101" i="116"/>
  <c r="AJ101" i="116"/>
  <c r="AD101" i="116"/>
  <c r="AC101" i="116"/>
  <c r="AE101" i="116"/>
  <c r="AK101" i="116"/>
  <c r="AF101" i="116"/>
  <c r="Y101" i="116"/>
  <c r="AI101" i="116"/>
  <c r="AG101" i="116"/>
  <c r="AM101" i="116" l="1"/>
  <c r="AN101" i="116"/>
  <c r="V101" i="116"/>
  <c r="H102" i="116" a="1"/>
  <c r="L102" i="116" s="1"/>
  <c r="U101" i="116"/>
  <c r="AH101" i="118"/>
  <c r="Y102" i="116" a="1"/>
  <c r="AL101" i="116"/>
  <c r="O102" i="116" l="1"/>
  <c r="Q102" i="116"/>
  <c r="I102" i="116"/>
  <c r="P102" i="116"/>
  <c r="S102" i="116"/>
  <c r="K102" i="116"/>
  <c r="M102" i="116"/>
  <c r="H102" i="116"/>
  <c r="N102" i="116"/>
  <c r="T102" i="116"/>
  <c r="S102" i="118" s="1"/>
  <c r="R102" i="116"/>
  <c r="J102" i="116"/>
  <c r="AA102" i="116"/>
  <c r="Y102" i="116"/>
  <c r="AB102" i="116"/>
  <c r="AG102" i="116"/>
  <c r="AC102" i="116"/>
  <c r="Z102" i="116"/>
  <c r="AI102" i="116"/>
  <c r="AH102" i="116"/>
  <c r="AJ102" i="116"/>
  <c r="AD102" i="116"/>
  <c r="AF102" i="116"/>
  <c r="AE102" i="116"/>
  <c r="AK102" i="116"/>
  <c r="AN102" i="116" l="1"/>
  <c r="AM102" i="116"/>
  <c r="W102" i="116"/>
  <c r="V102" i="116"/>
  <c r="U102" i="116"/>
  <c r="H103" i="116" a="1"/>
  <c r="O103" i="116" s="1"/>
  <c r="AL102" i="116"/>
  <c r="Y103" i="116" a="1"/>
  <c r="AH102" i="118"/>
  <c r="I103" i="116" l="1"/>
  <c r="K103" i="116"/>
  <c r="S103" i="116"/>
  <c r="N103" i="116"/>
  <c r="P103" i="116"/>
  <c r="M103" i="116"/>
  <c r="R103" i="116"/>
  <c r="H103" i="116"/>
  <c r="J103" i="116"/>
  <c r="T103" i="116"/>
  <c r="S103" i="118" s="1"/>
  <c r="Q103" i="116"/>
  <c r="L103" i="116"/>
  <c r="AA103" i="116"/>
  <c r="AF103" i="116"/>
  <c r="AI103" i="116"/>
  <c r="AG103" i="116"/>
  <c r="AB103" i="116"/>
  <c r="AC103" i="116"/>
  <c r="AJ103" i="116"/>
  <c r="AH103" i="116"/>
  <c r="AK103" i="116"/>
  <c r="AD103" i="116"/>
  <c r="Y103" i="116"/>
  <c r="AE103" i="116"/>
  <c r="Z103" i="116"/>
  <c r="W103" i="116" l="1"/>
  <c r="AM103" i="116"/>
  <c r="AN103" i="116"/>
  <c r="V103" i="116"/>
  <c r="U103" i="116"/>
  <c r="H104" i="116" a="1"/>
  <c r="T104" i="116" s="1"/>
  <c r="AL103" i="116"/>
  <c r="Y104" i="116" a="1"/>
  <c r="AH103" i="118"/>
  <c r="O104" i="116" l="1"/>
  <c r="Q104" i="116"/>
  <c r="P104" i="116"/>
  <c r="J104" i="116"/>
  <c r="H104" i="116"/>
  <c r="S104" i="116"/>
  <c r="N104" i="116"/>
  <c r="I104" i="116"/>
  <c r="L104" i="116"/>
  <c r="R104" i="116"/>
  <c r="K104" i="116"/>
  <c r="M104" i="116"/>
  <c r="AI104" i="116"/>
  <c r="AK104" i="116"/>
  <c r="AB104" i="116"/>
  <c r="AC104" i="116"/>
  <c r="AJ104" i="116"/>
  <c r="AD104" i="116"/>
  <c r="AF104" i="116"/>
  <c r="Z104" i="116"/>
  <c r="Y104" i="116"/>
  <c r="AG104" i="116"/>
  <c r="AE104" i="116"/>
  <c r="AA104" i="116"/>
  <c r="AH104" i="116"/>
  <c r="S104" i="118"/>
  <c r="AN104" i="116" l="1"/>
  <c r="W104" i="116"/>
  <c r="AM104" i="116"/>
  <c r="V104" i="116"/>
  <c r="H105" i="116" a="1"/>
  <c r="S105" i="116" s="1"/>
  <c r="U104" i="116"/>
  <c r="AH104" i="118"/>
  <c r="AL104" i="116"/>
  <c r="Y105" i="116" a="1"/>
  <c r="I105" i="116" l="1"/>
  <c r="R105" i="116"/>
  <c r="K105" i="116"/>
  <c r="O105" i="116"/>
  <c r="N105" i="116"/>
  <c r="M105" i="116"/>
  <c r="T105" i="116"/>
  <c r="S105" i="118" s="1"/>
  <c r="J105" i="116"/>
  <c r="Q105" i="116"/>
  <c r="L105" i="116"/>
  <c r="H105" i="116"/>
  <c r="P105" i="116"/>
  <c r="AG105" i="116"/>
  <c r="AJ105" i="116"/>
  <c r="AC105" i="116"/>
  <c r="Z105" i="116"/>
  <c r="AK105" i="116"/>
  <c r="AA105" i="116"/>
  <c r="AD105" i="116"/>
  <c r="AB105" i="116"/>
  <c r="AE105" i="116"/>
  <c r="AF105" i="116"/>
  <c r="AH105" i="116"/>
  <c r="Y105" i="116"/>
  <c r="AI105" i="116"/>
  <c r="AN105" i="116" l="1"/>
  <c r="AM105" i="116"/>
  <c r="W105" i="116"/>
  <c r="V105" i="116"/>
  <c r="H106" i="116" a="1"/>
  <c r="M106" i="116" s="1"/>
  <c r="U105" i="116"/>
  <c r="AH105" i="118"/>
  <c r="AL105" i="116"/>
  <c r="Y106" i="116" a="1"/>
  <c r="O106" i="116" l="1"/>
  <c r="T106" i="116"/>
  <c r="S106" i="118" s="1"/>
  <c r="Q106" i="116"/>
  <c r="I106" i="116"/>
  <c r="P106" i="116"/>
  <c r="S106" i="116"/>
  <c r="R106" i="116"/>
  <c r="J106" i="116"/>
  <c r="H106" i="116"/>
  <c r="K106" i="116"/>
  <c r="N106" i="116"/>
  <c r="L106" i="116"/>
  <c r="AD106" i="116"/>
  <c r="AF106" i="116"/>
  <c r="Z106" i="116"/>
  <c r="AG106" i="116"/>
  <c r="AH106" i="116"/>
  <c r="AJ106" i="116"/>
  <c r="AA106" i="116"/>
  <c r="AI106" i="116"/>
  <c r="Y106" i="116"/>
  <c r="AC106" i="116"/>
  <c r="AB106" i="116"/>
  <c r="AK106" i="116"/>
  <c r="AE106" i="116"/>
  <c r="AM106" i="116" l="1"/>
  <c r="AN106" i="116"/>
  <c r="W106" i="116"/>
  <c r="V106" i="116"/>
  <c r="U106" i="116"/>
  <c r="H107" i="116" a="1"/>
  <c r="O107" i="116" s="1"/>
  <c r="Y107" i="116" a="1"/>
  <c r="AL106" i="116"/>
  <c r="AH106" i="118"/>
  <c r="M107" i="116" l="1"/>
  <c r="L107" i="116"/>
  <c r="P107" i="116"/>
  <c r="S107" i="116"/>
  <c r="K107" i="116"/>
  <c r="Q107" i="116"/>
  <c r="T107" i="116"/>
  <c r="S107" i="118" s="1"/>
  <c r="H107" i="116"/>
  <c r="R107" i="116"/>
  <c r="J107" i="116"/>
  <c r="N107" i="116"/>
  <c r="I107" i="116"/>
  <c r="AH107" i="116"/>
  <c r="AD107" i="116"/>
  <c r="AA107" i="116"/>
  <c r="AJ107" i="116"/>
  <c r="AI107" i="116"/>
  <c r="AK107" i="116"/>
  <c r="AE107" i="116"/>
  <c r="AG107" i="116"/>
  <c r="AF107" i="116"/>
  <c r="Y107" i="116"/>
  <c r="AB107" i="116"/>
  <c r="Z107" i="116"/>
  <c r="AC107" i="116"/>
  <c r="W107" i="116" l="1"/>
  <c r="AN107" i="116"/>
  <c r="AM107" i="116"/>
  <c r="V107" i="116"/>
  <c r="H108" i="116" a="1"/>
  <c r="T108" i="116" s="1"/>
  <c r="U107" i="116"/>
  <c r="AH107" i="118"/>
  <c r="Y108" i="116" a="1"/>
  <c r="AL107" i="116"/>
  <c r="R108" i="116" l="1"/>
  <c r="Q108" i="116"/>
  <c r="O108" i="116"/>
  <c r="S108" i="116"/>
  <c r="J108" i="116"/>
  <c r="L108" i="116"/>
  <c r="N108" i="116"/>
  <c r="I108" i="116"/>
  <c r="K108" i="116"/>
  <c r="H108" i="116"/>
  <c r="M108" i="116"/>
  <c r="P108" i="116"/>
  <c r="S108" i="118"/>
  <c r="AB108" i="116"/>
  <c r="AG108" i="116"/>
  <c r="AJ108" i="116"/>
  <c r="AH108" i="116"/>
  <c r="AC108" i="116"/>
  <c r="AD108" i="116"/>
  <c r="AK108" i="116"/>
  <c r="AI108" i="116"/>
  <c r="Y108" i="116"/>
  <c r="AE108" i="116"/>
  <c r="Z108" i="116"/>
  <c r="AF108" i="116"/>
  <c r="AA108" i="116"/>
  <c r="W108" i="116" l="1"/>
  <c r="AM108" i="116"/>
  <c r="AN108" i="116"/>
  <c r="V108" i="116"/>
  <c r="H109" i="116" a="1"/>
  <c r="K109" i="116" s="1"/>
  <c r="U108" i="116"/>
  <c r="AL108" i="116"/>
  <c r="Y109" i="116" a="1"/>
  <c r="AH108" i="118"/>
  <c r="I109" i="116" l="1"/>
  <c r="Q109" i="116"/>
  <c r="S109" i="116"/>
  <c r="P109" i="116"/>
  <c r="T109" i="116"/>
  <c r="S109" i="118" s="1"/>
  <c r="H109" i="116"/>
  <c r="R109" i="116"/>
  <c r="O109" i="116"/>
  <c r="J109" i="116"/>
  <c r="M109" i="116"/>
  <c r="N109" i="116"/>
  <c r="L109" i="116"/>
  <c r="AH109" i="116"/>
  <c r="AB109" i="116"/>
  <c r="AF109" i="116"/>
  <c r="AJ109" i="116"/>
  <c r="AI109" i="116"/>
  <c r="AC109" i="116"/>
  <c r="AD109" i="116"/>
  <c r="AK109" i="116"/>
  <c r="AE109" i="116"/>
  <c r="Y109" i="116"/>
  <c r="AA109" i="116"/>
  <c r="AG109" i="116"/>
  <c r="Z109" i="116"/>
  <c r="AM109" i="116" l="1"/>
  <c r="AN109" i="116"/>
  <c r="W109" i="116"/>
  <c r="V109" i="116"/>
  <c r="H110" i="116" a="1"/>
  <c r="S110" i="116" s="1"/>
  <c r="U109" i="116"/>
  <c r="AL109" i="116"/>
  <c r="Y110" i="116" a="1"/>
  <c r="AH109" i="118"/>
  <c r="P110" i="116" l="1"/>
  <c r="K110" i="116"/>
  <c r="R110" i="116"/>
  <c r="M110" i="116"/>
  <c r="H110" i="116"/>
  <c r="J110" i="116"/>
  <c r="N110" i="116"/>
  <c r="T110" i="116"/>
  <c r="S110" i="118" s="1"/>
  <c r="I110" i="116"/>
  <c r="Q110" i="116"/>
  <c r="L110" i="116"/>
  <c r="O110" i="116"/>
  <c r="Z110" i="116"/>
  <c r="AK110" i="116"/>
  <c r="AH110" i="116"/>
  <c r="AA110" i="116"/>
  <c r="AD110" i="116"/>
  <c r="AB110" i="116"/>
  <c r="AE110" i="116"/>
  <c r="AC110" i="116"/>
  <c r="AF110" i="116"/>
  <c r="Y110" i="116"/>
  <c r="AI110" i="116"/>
  <c r="AG110" i="116"/>
  <c r="AJ110" i="116"/>
  <c r="AM110" i="116" l="1"/>
  <c r="AN110" i="116"/>
  <c r="W110" i="116"/>
  <c r="V110" i="116"/>
  <c r="U110" i="116"/>
  <c r="H111" i="116" a="1"/>
  <c r="I111" i="116" s="1"/>
  <c r="AL110" i="116"/>
  <c r="Y111" i="116" a="1"/>
  <c r="AH110" i="118"/>
  <c r="L111" i="116" l="1"/>
  <c r="O111" i="116"/>
  <c r="H111" i="116"/>
  <c r="M111" i="116"/>
  <c r="R111" i="116"/>
  <c r="N111" i="116"/>
  <c r="J111" i="116"/>
  <c r="T111" i="116"/>
  <c r="S111" i="118" s="1"/>
  <c r="S111" i="116"/>
  <c r="Q111" i="116"/>
  <c r="P111" i="116"/>
  <c r="K111" i="116"/>
  <c r="AA111" i="116"/>
  <c r="AH111" i="116"/>
  <c r="AI111" i="116"/>
  <c r="Y111" i="116"/>
  <c r="AB111" i="116"/>
  <c r="AK111" i="116"/>
  <c r="AJ111" i="116"/>
  <c r="Z111" i="116"/>
  <c r="AC111" i="116"/>
  <c r="AD111" i="116"/>
  <c r="AF111" i="116"/>
  <c r="AE111" i="116"/>
  <c r="AG111" i="116"/>
  <c r="AM111" i="116" l="1"/>
  <c r="AN111" i="116"/>
  <c r="W111" i="116"/>
  <c r="V111" i="116"/>
  <c r="U111" i="116"/>
  <c r="H112" i="116" a="1"/>
  <c r="O112" i="116" s="1"/>
  <c r="AH111" i="118"/>
  <c r="Y112" i="116" a="1"/>
  <c r="AL111" i="116"/>
  <c r="H112" i="116" l="1"/>
  <c r="P112" i="116"/>
  <c r="R112" i="116"/>
  <c r="J112" i="116"/>
  <c r="M112" i="116"/>
  <c r="N112" i="116"/>
  <c r="Q112" i="116"/>
  <c r="L112" i="116"/>
  <c r="I112" i="116"/>
  <c r="T112" i="116"/>
  <c r="S112" i="118" s="1"/>
  <c r="K112" i="116"/>
  <c r="S112" i="116"/>
  <c r="Y112" i="116"/>
  <c r="AG112" i="116"/>
  <c r="Z112" i="116"/>
  <c r="AA112" i="116"/>
  <c r="AC112" i="116"/>
  <c r="AI112" i="116"/>
  <c r="AD112" i="116"/>
  <c r="AF112" i="116"/>
  <c r="AH112" i="116"/>
  <c r="AB112" i="116"/>
  <c r="AE112" i="116"/>
  <c r="AJ112" i="116"/>
  <c r="AK112" i="116"/>
  <c r="AN112" i="116" l="1"/>
  <c r="AM112" i="116"/>
  <c r="W112" i="116"/>
  <c r="V112" i="116"/>
  <c r="U112" i="116"/>
  <c r="H113" i="116" a="1"/>
  <c r="O113" i="116" s="1"/>
  <c r="Y113" i="116" a="1"/>
  <c r="AL112" i="116"/>
  <c r="AH112" i="118"/>
  <c r="H113" i="116" l="1"/>
  <c r="Q113" i="116"/>
  <c r="L113" i="116"/>
  <c r="T113" i="116"/>
  <c r="S113" i="118" s="1"/>
  <c r="I113" i="116"/>
  <c r="N113" i="116"/>
  <c r="S113" i="116"/>
  <c r="R113" i="116"/>
  <c r="P113" i="116"/>
  <c r="K113" i="116"/>
  <c r="J113" i="116"/>
  <c r="M113" i="116"/>
  <c r="AJ113" i="116"/>
  <c r="Z113" i="116"/>
  <c r="AF113" i="116"/>
  <c r="AA113" i="116"/>
  <c r="Y113" i="116"/>
  <c r="AB113" i="116"/>
  <c r="AD113" i="116"/>
  <c r="AG113" i="116"/>
  <c r="AH113" i="116"/>
  <c r="AC113" i="116"/>
  <c r="AI113" i="116"/>
  <c r="AK113" i="116"/>
  <c r="AE113" i="116"/>
  <c r="AN113" i="116" l="1"/>
  <c r="AM113" i="116"/>
  <c r="W113" i="116"/>
  <c r="V113" i="116"/>
  <c r="U113" i="116"/>
  <c r="H114" i="116" a="1"/>
  <c r="H114" i="116" s="1"/>
  <c r="AL113" i="116"/>
  <c r="Y114" i="116" a="1"/>
  <c r="AH113" i="118"/>
  <c r="J114" i="116" l="1"/>
  <c r="N114" i="116"/>
  <c r="T114" i="116"/>
  <c r="S114" i="118" s="1"/>
  <c r="O114" i="116"/>
  <c r="K114" i="116"/>
  <c r="M114" i="116"/>
  <c r="Q114" i="116"/>
  <c r="L114" i="116"/>
  <c r="I114" i="116"/>
  <c r="R114" i="116"/>
  <c r="P114" i="116"/>
  <c r="S114" i="116"/>
  <c r="Z114" i="116"/>
  <c r="AF114" i="116"/>
  <c r="AH114" i="116"/>
  <c r="AB114" i="116"/>
  <c r="AA114" i="116"/>
  <c r="AI114" i="116"/>
  <c r="AG114" i="116"/>
  <c r="AC114" i="116"/>
  <c r="AJ114" i="116"/>
  <c r="AK114" i="116"/>
  <c r="Y114" i="116"/>
  <c r="AD114" i="116"/>
  <c r="AE114" i="116"/>
  <c r="W114" i="116" l="1"/>
  <c r="AM114" i="116"/>
  <c r="AN114" i="116"/>
  <c r="V114" i="116"/>
  <c r="H115" i="116" a="1"/>
  <c r="O115" i="116" s="1"/>
  <c r="U114" i="116"/>
  <c r="AL114" i="116"/>
  <c r="Y115" i="116" a="1"/>
  <c r="AH114" i="118"/>
  <c r="L115" i="116" l="1"/>
  <c r="N115" i="116"/>
  <c r="Q115" i="116"/>
  <c r="T115" i="116"/>
  <c r="S115" i="118" s="1"/>
  <c r="I115" i="116"/>
  <c r="S115" i="116"/>
  <c r="P115" i="116"/>
  <c r="K115" i="116"/>
  <c r="R115" i="116"/>
  <c r="M115" i="116"/>
  <c r="H115" i="116"/>
  <c r="J115" i="116"/>
  <c r="Z115" i="116"/>
  <c r="AJ115" i="116"/>
  <c r="AH115" i="116"/>
  <c r="AK115" i="116"/>
  <c r="AA115" i="116"/>
  <c r="AB115" i="116"/>
  <c r="AI115" i="116"/>
  <c r="AC115" i="116"/>
  <c r="AE115" i="116"/>
  <c r="Y115" i="116"/>
  <c r="AF115" i="116"/>
  <c r="AD115" i="116"/>
  <c r="AG115" i="116"/>
  <c r="AM115" i="116" l="1"/>
  <c r="AN115" i="116"/>
  <c r="W115" i="116"/>
  <c r="V115" i="116"/>
  <c r="U115" i="116"/>
  <c r="H116" i="116" a="1"/>
  <c r="Q116" i="116" s="1"/>
  <c r="AH115" i="118"/>
  <c r="Y116" i="116" a="1"/>
  <c r="AL115" i="116"/>
  <c r="I116" i="116" l="1"/>
  <c r="S116" i="116"/>
  <c r="J116" i="116"/>
  <c r="P116" i="116"/>
  <c r="N116" i="116"/>
  <c r="T116" i="116"/>
  <c r="S116" i="118" s="1"/>
  <c r="O116" i="116"/>
  <c r="K116" i="116"/>
  <c r="M116" i="116"/>
  <c r="H116" i="116"/>
  <c r="L116" i="116"/>
  <c r="R116" i="116"/>
  <c r="W116" i="116" s="1"/>
  <c r="AD116" i="116"/>
  <c r="AE116" i="116"/>
  <c r="AG116" i="116"/>
  <c r="AF116" i="116"/>
  <c r="AH116" i="116"/>
  <c r="AB116" i="116"/>
  <c r="AI116" i="116"/>
  <c r="AJ116" i="116"/>
  <c r="Y116" i="116"/>
  <c r="AC116" i="116"/>
  <c r="Z116" i="116"/>
  <c r="AK116" i="116"/>
  <c r="AA116" i="116"/>
  <c r="AN116" i="116" l="1"/>
  <c r="AM116" i="116"/>
  <c r="V116" i="116"/>
  <c r="H117" i="116" a="1"/>
  <c r="I117" i="116" s="1"/>
  <c r="U116" i="116"/>
  <c r="AH116" i="118"/>
  <c r="Y117" i="116" a="1"/>
  <c r="AL116" i="116"/>
  <c r="N117" i="116" l="1"/>
  <c r="S117" i="116"/>
  <c r="P117" i="116"/>
  <c r="H117" i="116"/>
  <c r="K117" i="116"/>
  <c r="Q117" i="116"/>
  <c r="M117" i="116"/>
  <c r="O117" i="116"/>
  <c r="R117" i="116"/>
  <c r="L117" i="116"/>
  <c r="J117" i="116"/>
  <c r="T117" i="116"/>
  <c r="S117" i="118" s="1"/>
  <c r="Z117" i="116"/>
  <c r="AH117" i="116"/>
  <c r="AB117" i="116"/>
  <c r="AA117" i="116"/>
  <c r="AJ117" i="116"/>
  <c r="AD117" i="116"/>
  <c r="AC117" i="116"/>
  <c r="AE117" i="116"/>
  <c r="AK117" i="116"/>
  <c r="AF117" i="116"/>
  <c r="Y117" i="116"/>
  <c r="AI117" i="116"/>
  <c r="AG117" i="116"/>
  <c r="AN117" i="116" l="1"/>
  <c r="AM117" i="116"/>
  <c r="W117" i="116"/>
  <c r="V117" i="116"/>
  <c r="U117" i="116"/>
  <c r="H118" i="116" a="1"/>
  <c r="L118" i="116" s="1"/>
  <c r="Y118" i="116" a="1"/>
  <c r="AL117" i="116"/>
  <c r="AH117" i="118"/>
  <c r="T118" i="116" l="1"/>
  <c r="S118" i="118" s="1"/>
  <c r="O118" i="116"/>
  <c r="Q118" i="116"/>
  <c r="P118" i="116"/>
  <c r="S118" i="116"/>
  <c r="K118" i="116"/>
  <c r="M118" i="116"/>
  <c r="H118" i="116"/>
  <c r="N118" i="116"/>
  <c r="J118" i="116"/>
  <c r="R118" i="116"/>
  <c r="I118" i="116"/>
  <c r="Y118" i="116"/>
  <c r="AB118" i="116"/>
  <c r="AG118" i="116"/>
  <c r="AC118" i="116"/>
  <c r="Z118" i="116"/>
  <c r="AI118" i="116"/>
  <c r="AH118" i="116"/>
  <c r="AJ118" i="116"/>
  <c r="AD118" i="116"/>
  <c r="AF118" i="116"/>
  <c r="AE118" i="116"/>
  <c r="AK118" i="116"/>
  <c r="AA118" i="116"/>
  <c r="AN118" i="116" l="1"/>
  <c r="AM118" i="116"/>
  <c r="W118" i="116"/>
  <c r="V118" i="116"/>
  <c r="U118" i="116"/>
  <c r="H119" i="116" a="1"/>
  <c r="M119" i="116" s="1"/>
  <c r="AH118" i="118"/>
  <c r="AL118" i="116"/>
  <c r="Y119" i="116" a="1"/>
  <c r="J119" i="116" l="1"/>
  <c r="H119" i="116"/>
  <c r="T119" i="116"/>
  <c r="S119" i="118" s="1"/>
  <c r="K119" i="116"/>
  <c r="S119" i="116"/>
  <c r="Q119" i="116"/>
  <c r="L119" i="116"/>
  <c r="O119" i="116"/>
  <c r="P119" i="116"/>
  <c r="I119" i="116"/>
  <c r="R119" i="116"/>
  <c r="N119" i="116"/>
  <c r="AK119" i="116"/>
  <c r="AD119" i="116"/>
  <c r="Y119" i="116"/>
  <c r="AE119" i="116"/>
  <c r="Z119" i="116"/>
  <c r="AA119" i="116"/>
  <c r="AF119" i="116"/>
  <c r="AI119" i="116"/>
  <c r="AG119" i="116"/>
  <c r="AB119" i="116"/>
  <c r="AC119" i="116"/>
  <c r="AJ119" i="116"/>
  <c r="AH119" i="116"/>
  <c r="AN119" i="116" l="1"/>
  <c r="W119" i="116"/>
  <c r="AM119" i="116"/>
  <c r="V119" i="116"/>
  <c r="H120" i="116" a="1"/>
  <c r="R120" i="116" s="1"/>
  <c r="U119" i="116"/>
  <c r="AH119" i="118"/>
  <c r="AL119" i="116"/>
  <c r="Y120" i="116" a="1"/>
  <c r="S120" i="116" l="1"/>
  <c r="I120" i="116"/>
  <c r="M120" i="116"/>
  <c r="J120" i="116"/>
  <c r="H120" i="116"/>
  <c r="Q120" i="116"/>
  <c r="W120" i="116" s="1"/>
  <c r="L120" i="116"/>
  <c r="P120" i="116"/>
  <c r="K120" i="116"/>
  <c r="O120" i="116"/>
  <c r="N120" i="116"/>
  <c r="T120" i="116"/>
  <c r="S120" i="118" s="1"/>
  <c r="Y120" i="116"/>
  <c r="AC120" i="116"/>
  <c r="AG120" i="116"/>
  <c r="AK120" i="116"/>
  <c r="Z120" i="116"/>
  <c r="AE120" i="116"/>
  <c r="AH120" i="116"/>
  <c r="AF120" i="116"/>
  <c r="AA120" i="116"/>
  <c r="AD120" i="116"/>
  <c r="AI120" i="116"/>
  <c r="AB120" i="116"/>
  <c r="AJ120" i="116"/>
  <c r="AN120" i="116" l="1"/>
  <c r="AM120" i="116"/>
  <c r="V120" i="116"/>
  <c r="H121" i="116" a="1"/>
  <c r="S121" i="116" s="1"/>
  <c r="U120" i="116"/>
  <c r="AH120" i="118"/>
  <c r="Y121" i="116" a="1"/>
  <c r="AL120" i="116"/>
  <c r="P121" i="116" l="1"/>
  <c r="K121" i="116"/>
  <c r="H121" i="116"/>
  <c r="T121" i="116"/>
  <c r="S121" i="118" s="1"/>
  <c r="Q121" i="116"/>
  <c r="R121" i="116"/>
  <c r="O121" i="116"/>
  <c r="L121" i="116"/>
  <c r="J121" i="116"/>
  <c r="M121" i="116"/>
  <c r="N121" i="116"/>
  <c r="I121" i="116"/>
  <c r="AH121" i="116"/>
  <c r="AB121" i="116"/>
  <c r="AD121" i="116"/>
  <c r="AJ121" i="116"/>
  <c r="AE121" i="116"/>
  <c r="AC121" i="116"/>
  <c r="AF121" i="116"/>
  <c r="AK121" i="116"/>
  <c r="Y121" i="116"/>
  <c r="AA121" i="116"/>
  <c r="AG121" i="116"/>
  <c r="AI121" i="116"/>
  <c r="Z121" i="116"/>
  <c r="AM121" i="116" l="1"/>
  <c r="AN121" i="116"/>
  <c r="W121" i="116"/>
  <c r="V121" i="116"/>
  <c r="H122" i="116" a="1"/>
  <c r="L122" i="116" s="1"/>
  <c r="U121" i="116"/>
  <c r="AH121" i="118"/>
  <c r="AL121" i="116"/>
  <c r="Y122" i="116" a="1"/>
  <c r="H122" i="116" l="1"/>
  <c r="J122" i="116"/>
  <c r="O122" i="116"/>
  <c r="S122" i="116"/>
  <c r="Q122" i="116"/>
  <c r="N122" i="116"/>
  <c r="M122" i="116"/>
  <c r="K122" i="116"/>
  <c r="I122" i="116"/>
  <c r="P122" i="116"/>
  <c r="T122" i="116"/>
  <c r="S122" i="118" s="1"/>
  <c r="R122" i="116"/>
  <c r="AA122" i="116"/>
  <c r="Y122" i="116"/>
  <c r="AI122" i="116"/>
  <c r="AG122" i="116"/>
  <c r="AB122" i="116"/>
  <c r="Z122" i="116"/>
  <c r="AJ122" i="116"/>
  <c r="AH122" i="116"/>
  <c r="AC122" i="116"/>
  <c r="AF122" i="116"/>
  <c r="AK122" i="116"/>
  <c r="AD122" i="116"/>
  <c r="AE122" i="116"/>
  <c r="AM122" i="116" l="1"/>
  <c r="W122" i="116"/>
  <c r="AN122" i="116"/>
  <c r="V122" i="116"/>
  <c r="U122" i="116"/>
  <c r="H123" i="116" a="1"/>
  <c r="R123" i="116" s="1"/>
  <c r="AH122" i="118"/>
  <c r="Y123" i="116" a="1"/>
  <c r="AL122" i="116"/>
  <c r="O123" i="116" l="1"/>
  <c r="M123" i="116"/>
  <c r="P123" i="116"/>
  <c r="J123" i="116"/>
  <c r="H123" i="116"/>
  <c r="S123" i="116"/>
  <c r="T123" i="116"/>
  <c r="S123" i="118" s="1"/>
  <c r="Q123" i="116"/>
  <c r="W123" i="116" s="1"/>
  <c r="N123" i="116"/>
  <c r="K123" i="116"/>
  <c r="L123" i="116"/>
  <c r="I123" i="116"/>
  <c r="AJ123" i="116"/>
  <c r="AD123" i="116"/>
  <c r="AF123" i="116"/>
  <c r="AE123" i="116"/>
  <c r="Z123" i="116"/>
  <c r="Y123" i="116"/>
  <c r="AH123" i="116"/>
  <c r="AC123" i="116"/>
  <c r="AA123" i="116"/>
  <c r="AG123" i="116"/>
  <c r="AI123" i="116"/>
  <c r="AK123" i="116"/>
  <c r="AB123" i="116"/>
  <c r="AN123" i="116" l="1"/>
  <c r="AM123" i="116"/>
  <c r="V123" i="116"/>
  <c r="H124" i="116" a="1"/>
  <c r="K124" i="116" s="1"/>
  <c r="U123" i="116"/>
  <c r="AL123" i="116"/>
  <c r="Y124" i="116" a="1"/>
  <c r="AH123" i="118"/>
  <c r="J124" i="116" l="1"/>
  <c r="L124" i="116"/>
  <c r="N124" i="116"/>
  <c r="H124" i="116"/>
  <c r="M124" i="116"/>
  <c r="Q124" i="116"/>
  <c r="T124" i="116"/>
  <c r="S124" i="118" s="1"/>
  <c r="P124" i="116"/>
  <c r="R124" i="116"/>
  <c r="I124" i="116"/>
  <c r="S124" i="116"/>
  <c r="O124" i="116"/>
  <c r="AI124" i="116"/>
  <c r="AC124" i="116"/>
  <c r="AB124" i="116"/>
  <c r="AK124" i="116"/>
  <c r="AJ124" i="116"/>
  <c r="AE124" i="116"/>
  <c r="Z124" i="116"/>
  <c r="AF124" i="116"/>
  <c r="AD124" i="116"/>
  <c r="Y124" i="116"/>
  <c r="AH124" i="116"/>
  <c r="AG124" i="116"/>
  <c r="AA124" i="116"/>
  <c r="AN124" i="116" l="1"/>
  <c r="AM124" i="116"/>
  <c r="W124" i="116"/>
  <c r="V124" i="116"/>
  <c r="U124" i="116"/>
  <c r="H125" i="116" a="1"/>
  <c r="P125" i="116" s="1"/>
  <c r="Y125" i="116" a="1"/>
  <c r="AL124" i="116"/>
  <c r="AH124" i="118"/>
  <c r="N125" i="116" l="1"/>
  <c r="I125" i="116"/>
  <c r="T125" i="116"/>
  <c r="S125" i="118" s="1"/>
  <c r="R125" i="116"/>
  <c r="L125" i="116"/>
  <c r="Q125" i="116"/>
  <c r="S125" i="116"/>
  <c r="H125" i="116"/>
  <c r="J125" i="116"/>
  <c r="M125" i="116"/>
  <c r="O125" i="116"/>
  <c r="K125" i="116"/>
  <c r="AD125" i="116"/>
  <c r="AF125" i="116"/>
  <c r="Z125" i="116"/>
  <c r="Y125" i="116"/>
  <c r="AH125" i="116"/>
  <c r="AG125" i="116"/>
  <c r="AB125" i="116"/>
  <c r="AA125" i="116"/>
  <c r="AJ125" i="116"/>
  <c r="AE125" i="116"/>
  <c r="AC125" i="116"/>
  <c r="AI125" i="116"/>
  <c r="AK125" i="116"/>
  <c r="AN125" i="116" l="1"/>
  <c r="AM125" i="116"/>
  <c r="W125" i="116"/>
  <c r="V125" i="116"/>
  <c r="H126" i="116" a="1"/>
  <c r="Q126" i="116" s="1"/>
  <c r="U125" i="116"/>
  <c r="AH125" i="118"/>
  <c r="AL125" i="116"/>
  <c r="Y126" i="116" a="1"/>
  <c r="J126" i="116" l="1"/>
  <c r="O126" i="116"/>
  <c r="R126" i="116"/>
  <c r="W126" i="116" s="1"/>
  <c r="L126" i="116"/>
  <c r="P126" i="116"/>
  <c r="I126" i="116"/>
  <c r="M126" i="116"/>
  <c r="N126" i="116"/>
  <c r="S126" i="116"/>
  <c r="H126" i="116"/>
  <c r="T126" i="116"/>
  <c r="S126" i="118" s="1"/>
  <c r="K126" i="116"/>
  <c r="AC126" i="116"/>
  <c r="AE126" i="116"/>
  <c r="AK126" i="116"/>
  <c r="Y126" i="116"/>
  <c r="AD126" i="116"/>
  <c r="AG126" i="116"/>
  <c r="AB126" i="116"/>
  <c r="Z126" i="116"/>
  <c r="AF126" i="116"/>
  <c r="AH126" i="116"/>
  <c r="AJ126" i="116"/>
  <c r="AA126" i="116"/>
  <c r="AI126" i="116"/>
  <c r="AN126" i="116" l="1"/>
  <c r="AM126" i="116"/>
  <c r="V126" i="116"/>
  <c r="H127" i="116" a="1"/>
  <c r="H127" i="116" s="1"/>
  <c r="U126" i="116"/>
  <c r="Y127" i="116" a="1"/>
  <c r="AL126" i="116"/>
  <c r="AH126" i="118"/>
  <c r="R127" i="116" l="1"/>
  <c r="I127" i="116"/>
  <c r="N127" i="116"/>
  <c r="K127" i="116"/>
  <c r="S127" i="116"/>
  <c r="L127" i="116"/>
  <c r="Q127" i="116"/>
  <c r="M127" i="116"/>
  <c r="J127" i="116"/>
  <c r="O127" i="116"/>
  <c r="P127" i="116"/>
  <c r="T127" i="116"/>
  <c r="S127" i="118" s="1"/>
  <c r="AH127" i="116"/>
  <c r="AA127" i="116"/>
  <c r="AB127" i="116"/>
  <c r="AI127" i="116"/>
  <c r="AJ127" i="116"/>
  <c r="AC127" i="116"/>
  <c r="AD127" i="116"/>
  <c r="Y127" i="116"/>
  <c r="AE127" i="116"/>
  <c r="AG127" i="116"/>
  <c r="AF127" i="116"/>
  <c r="AK127" i="116"/>
  <c r="Z127" i="116"/>
  <c r="W127" i="116" l="1"/>
  <c r="AN127" i="116"/>
  <c r="AM127" i="116"/>
  <c r="V127" i="116"/>
  <c r="H128" i="116" a="1"/>
  <c r="H128" i="116" s="1"/>
  <c r="U127" i="116"/>
  <c r="AL127" i="116"/>
  <c r="Y128" i="116" a="1"/>
  <c r="AH127" i="118"/>
  <c r="I128" i="116" l="1"/>
  <c r="K128" i="116"/>
  <c r="T128" i="116"/>
  <c r="S128" i="118" s="1"/>
  <c r="N128" i="116"/>
  <c r="R128" i="116"/>
  <c r="O128" i="116"/>
  <c r="P128" i="116"/>
  <c r="M128" i="116"/>
  <c r="J128" i="116"/>
  <c r="S128" i="116"/>
  <c r="L128" i="116"/>
  <c r="Q128" i="116"/>
  <c r="AG128" i="116"/>
  <c r="AF128" i="116"/>
  <c r="AA128" i="116"/>
  <c r="AH128" i="116"/>
  <c r="AI128" i="116"/>
  <c r="Z128" i="116"/>
  <c r="AB128" i="116"/>
  <c r="AD128" i="116"/>
  <c r="AJ128" i="116"/>
  <c r="AC128" i="116"/>
  <c r="AK128" i="116"/>
  <c r="Y128" i="116"/>
  <c r="AE128" i="116"/>
  <c r="AN128" i="116" l="1"/>
  <c r="AM128" i="116"/>
  <c r="W128" i="116"/>
  <c r="V128" i="116"/>
  <c r="H129" i="116" a="1"/>
  <c r="S129" i="116" s="1"/>
  <c r="U128" i="116"/>
  <c r="Y129" i="116" a="1"/>
  <c r="AL128" i="116"/>
  <c r="AH128" i="118"/>
  <c r="K129" i="116" l="1"/>
  <c r="T129" i="116"/>
  <c r="S129" i="118" s="1"/>
  <c r="M129" i="116"/>
  <c r="P129" i="116"/>
  <c r="Q129" i="116"/>
  <c r="H129" i="116"/>
  <c r="L129" i="116"/>
  <c r="O129" i="116"/>
  <c r="I129" i="116"/>
  <c r="R129" i="116"/>
  <c r="N129" i="116"/>
  <c r="J129" i="116"/>
  <c r="Y129" i="116"/>
  <c r="AE129" i="116"/>
  <c r="AG129" i="116"/>
  <c r="AI129" i="116"/>
  <c r="Z129" i="116"/>
  <c r="AA129" i="116"/>
  <c r="AH129" i="116"/>
  <c r="AB129" i="116"/>
  <c r="AJ129" i="116"/>
  <c r="AD129" i="116"/>
  <c r="AC129" i="116"/>
  <c r="AF129" i="116"/>
  <c r="AK129" i="116"/>
  <c r="W129" i="116" l="1"/>
  <c r="AN129" i="116"/>
  <c r="AM129" i="116"/>
  <c r="V129" i="116"/>
  <c r="H130" i="116" a="1"/>
  <c r="R130" i="116" s="1"/>
  <c r="U129" i="116"/>
  <c r="AH129" i="118"/>
  <c r="AL129" i="116"/>
  <c r="Y130" i="116" a="1"/>
  <c r="M130" i="116" l="1"/>
  <c r="T130" i="116"/>
  <c r="S131" i="118" s="1"/>
  <c r="K130" i="116"/>
  <c r="P130" i="116"/>
  <c r="Q130" i="116"/>
  <c r="W130" i="116" s="1"/>
  <c r="N130" i="116"/>
  <c r="H130" i="116"/>
  <c r="L130" i="116"/>
  <c r="I130" i="116"/>
  <c r="J130" i="116"/>
  <c r="O130" i="116"/>
  <c r="S130" i="116"/>
  <c r="Y130" i="116"/>
  <c r="AG130" i="116"/>
  <c r="AA130" i="116"/>
  <c r="Z130" i="116"/>
  <c r="AI130" i="116"/>
  <c r="AH130" i="116"/>
  <c r="AC130" i="116"/>
  <c r="AJ130" i="116"/>
  <c r="AK130" i="116"/>
  <c r="AB130" i="116"/>
  <c r="AD130" i="116"/>
  <c r="AF130" i="116"/>
  <c r="AE130" i="116"/>
  <c r="AM130" i="116" l="1"/>
  <c r="AN130" i="116"/>
  <c r="V130" i="116"/>
  <c r="S130" i="118"/>
  <c r="U130" i="116"/>
  <c r="AH131" i="118"/>
  <c r="AH130" i="118"/>
  <c r="AL130" i="116"/>
  <c r="AH40" i="66" l="1"/>
  <c r="AH39" i="66"/>
  <c r="AH37" i="66"/>
  <c r="AH36" i="66"/>
  <c r="AH34" i="66"/>
  <c r="AH33" i="66"/>
  <c r="AH31" i="66"/>
  <c r="AH30" i="66"/>
  <c r="AH28" i="66"/>
  <c r="AH27" i="66"/>
  <c r="AH25" i="66"/>
  <c r="AH24" i="66"/>
  <c r="AH22" i="66"/>
  <c r="AH21" i="66"/>
  <c r="AH19" i="66"/>
  <c r="AH18" i="66"/>
  <c r="AH16" i="66"/>
  <c r="AH15" i="66"/>
  <c r="AH13" i="66"/>
  <c r="AH12" i="66"/>
  <c r="AH10" i="66"/>
  <c r="AH9" i="66"/>
  <c r="X12" i="65" a="1"/>
  <c r="X12" i="65" s="1"/>
  <c r="BQ12" i="34"/>
  <c r="BP12" i="34"/>
  <c r="BN12" i="34"/>
  <c r="BM12" i="34"/>
  <c r="BK12" i="34"/>
  <c r="BJ12" i="34"/>
  <c r="BH12" i="34"/>
  <c r="BG12" i="34"/>
  <c r="BE12" i="34"/>
  <c r="BD12" i="34"/>
  <c r="BB12" i="34"/>
  <c r="BA12" i="34"/>
  <c r="AY12" i="34"/>
  <c r="AX12" i="34"/>
  <c r="AV12" i="34"/>
  <c r="AU12" i="34"/>
  <c r="AS12" i="34"/>
  <c r="AR12" i="34"/>
  <c r="AP12" i="34"/>
  <c r="AO12" i="34"/>
  <c r="AM12" i="34"/>
  <c r="AL12" i="34"/>
  <c r="AJ12" i="34"/>
  <c r="AI12" i="34"/>
  <c r="AG12" i="34"/>
  <c r="AF12" i="34"/>
  <c r="AD12" i="34"/>
  <c r="AC12" i="34"/>
  <c r="AA12" i="34"/>
  <c r="Z12" i="34"/>
  <c r="X12" i="34"/>
  <c r="W12" i="34"/>
  <c r="U12" i="34"/>
  <c r="T12" i="34"/>
  <c r="R12" i="34"/>
  <c r="Q12" i="34"/>
  <c r="O12" i="34"/>
  <c r="N12" i="34"/>
  <c r="L12" i="34"/>
  <c r="K12" i="34"/>
  <c r="I12" i="34"/>
  <c r="H12" i="34"/>
  <c r="F12" i="34"/>
  <c r="E12" i="34"/>
  <c r="BQ11" i="34"/>
  <c r="BP11" i="34"/>
  <c r="BN11" i="34"/>
  <c r="BM11" i="34"/>
  <c r="BK11" i="34"/>
  <c r="BJ11" i="34"/>
  <c r="BH11" i="34"/>
  <c r="BG11" i="34"/>
  <c r="BE11" i="34"/>
  <c r="BD11" i="34"/>
  <c r="BB11" i="34"/>
  <c r="BA11" i="34"/>
  <c r="AY11" i="34"/>
  <c r="AX11" i="34"/>
  <c r="AV11" i="34"/>
  <c r="AU11" i="34"/>
  <c r="AS11" i="34"/>
  <c r="AR11" i="34"/>
  <c r="AP11" i="34"/>
  <c r="AO11" i="34"/>
  <c r="AM11" i="34"/>
  <c r="AL11" i="34"/>
  <c r="AJ11" i="34"/>
  <c r="AI11" i="34"/>
  <c r="AG11" i="34"/>
  <c r="AF11" i="34"/>
  <c r="AD11" i="34"/>
  <c r="AC11" i="34"/>
  <c r="AA11" i="34"/>
  <c r="Z11" i="34"/>
  <c r="X11" i="34"/>
  <c r="W11" i="34"/>
  <c r="U11" i="34"/>
  <c r="T11" i="34"/>
  <c r="R11" i="34"/>
  <c r="Q11" i="34"/>
  <c r="O11" i="34"/>
  <c r="N11" i="34"/>
  <c r="L11" i="34"/>
  <c r="K11" i="34"/>
  <c r="I11" i="34"/>
  <c r="H11" i="34"/>
  <c r="F11" i="34"/>
  <c r="E11" i="34"/>
  <c r="BQ10" i="34"/>
  <c r="BP10" i="34"/>
  <c r="BN10" i="34"/>
  <c r="BM10" i="34"/>
  <c r="BK10" i="34"/>
  <c r="BJ10" i="34"/>
  <c r="BH10" i="34"/>
  <c r="BG10" i="34"/>
  <c r="BE10" i="34"/>
  <c r="BD10" i="34"/>
  <c r="BB10" i="34"/>
  <c r="BA10" i="34"/>
  <c r="AY10" i="34"/>
  <c r="AX10" i="34"/>
  <c r="AV10" i="34"/>
  <c r="AU10" i="34"/>
  <c r="AS10" i="34"/>
  <c r="AR10" i="34"/>
  <c r="AP10" i="34"/>
  <c r="AO10" i="34"/>
  <c r="AM10" i="34"/>
  <c r="AL10" i="34"/>
  <c r="AJ10" i="34"/>
  <c r="AI10" i="34"/>
  <c r="AG10" i="34"/>
  <c r="AF10" i="34"/>
  <c r="AD10" i="34"/>
  <c r="AC10" i="34"/>
  <c r="AA10" i="34"/>
  <c r="Z10" i="34"/>
  <c r="X10" i="34"/>
  <c r="W10" i="34"/>
  <c r="U10" i="34"/>
  <c r="T10" i="34"/>
  <c r="R10" i="34"/>
  <c r="Q10" i="34"/>
  <c r="O10" i="34"/>
  <c r="N10" i="34"/>
  <c r="L10" i="34"/>
  <c r="K10" i="34"/>
  <c r="I10" i="34"/>
  <c r="H10" i="34"/>
  <c r="F10" i="34"/>
  <c r="E10" i="34"/>
  <c r="BQ9" i="34"/>
  <c r="BP9" i="34"/>
  <c r="BN9" i="34"/>
  <c r="BM9" i="34"/>
  <c r="BK9" i="34"/>
  <c r="BJ9" i="34"/>
  <c r="BH9" i="34"/>
  <c r="BG9" i="34"/>
  <c r="BE9" i="34"/>
  <c r="BD9" i="34"/>
  <c r="BB9" i="34"/>
  <c r="BA9" i="34"/>
  <c r="AY9" i="34"/>
  <c r="AX9" i="34"/>
  <c r="AV9" i="34"/>
  <c r="AU9" i="34"/>
  <c r="AS9" i="34"/>
  <c r="AR9" i="34"/>
  <c r="AP9" i="34"/>
  <c r="AO9" i="34"/>
  <c r="AM9" i="34"/>
  <c r="AL9" i="34"/>
  <c r="AJ9" i="34"/>
  <c r="AI9" i="34"/>
  <c r="AG9" i="34"/>
  <c r="AF9" i="34"/>
  <c r="AD9" i="34"/>
  <c r="AC9" i="34"/>
  <c r="AA9" i="34"/>
  <c r="Z9" i="34"/>
  <c r="X9" i="34"/>
  <c r="W9" i="34"/>
  <c r="U9" i="34"/>
  <c r="T9" i="34"/>
  <c r="R9" i="34"/>
  <c r="Q9" i="34"/>
  <c r="O9" i="34"/>
  <c r="N9" i="34"/>
  <c r="L9" i="34"/>
  <c r="K9" i="34"/>
  <c r="I9" i="34"/>
  <c r="H9" i="34"/>
  <c r="F9" i="34"/>
  <c r="E9" i="34"/>
  <c r="BQ8" i="34"/>
  <c r="BP8" i="34"/>
  <c r="BN8" i="34"/>
  <c r="BM8" i="34"/>
  <c r="BK8" i="34"/>
  <c r="BJ8" i="34"/>
  <c r="BH8" i="34"/>
  <c r="BG8" i="34"/>
  <c r="BE8" i="34"/>
  <c r="BD8" i="34"/>
  <c r="BB8" i="34"/>
  <c r="BA8" i="34"/>
  <c r="AY8" i="34"/>
  <c r="AX8" i="34"/>
  <c r="AV8" i="34"/>
  <c r="AU8" i="34"/>
  <c r="AS8" i="34"/>
  <c r="AR8" i="34"/>
  <c r="AP8" i="34"/>
  <c r="AO8" i="34"/>
  <c r="AM8" i="34"/>
  <c r="AL8" i="34"/>
  <c r="AJ8" i="34"/>
  <c r="AI8" i="34"/>
  <c r="AG8" i="34"/>
  <c r="AF8" i="34"/>
  <c r="AD8" i="34"/>
  <c r="AC8" i="34"/>
  <c r="AA8" i="34"/>
  <c r="Z8" i="34"/>
  <c r="X8" i="34"/>
  <c r="W8" i="34"/>
  <c r="U8" i="34"/>
  <c r="T8" i="34"/>
  <c r="R8" i="34"/>
  <c r="Q8" i="34"/>
  <c r="O8" i="34"/>
  <c r="N8" i="34"/>
  <c r="L8" i="34"/>
  <c r="K8" i="34"/>
  <c r="I8" i="34"/>
  <c r="H8" i="34"/>
  <c r="F8" i="34"/>
  <c r="E8" i="34"/>
  <c r="BQ7" i="34"/>
  <c r="BP7" i="34"/>
  <c r="BN7" i="34"/>
  <c r="BM7" i="34"/>
  <c r="BK7" i="34"/>
  <c r="BJ7" i="34"/>
  <c r="BH7" i="34"/>
  <c r="BG7" i="34"/>
  <c r="BE7" i="34"/>
  <c r="BD7" i="34"/>
  <c r="BB7" i="34"/>
  <c r="BA7" i="34"/>
  <c r="AY7" i="34"/>
  <c r="AX7" i="34"/>
  <c r="AV7" i="34"/>
  <c r="AU7" i="34"/>
  <c r="AS7" i="34"/>
  <c r="AR7" i="34"/>
  <c r="AP7" i="34"/>
  <c r="AO7" i="34"/>
  <c r="AM7" i="34"/>
  <c r="AL7" i="34"/>
  <c r="AJ7" i="34"/>
  <c r="AI7" i="34"/>
  <c r="AG7" i="34"/>
  <c r="AF7" i="34"/>
  <c r="AD7" i="34"/>
  <c r="AC7" i="34"/>
  <c r="AA7" i="34"/>
  <c r="Z7" i="34"/>
  <c r="X7" i="34"/>
  <c r="W7" i="34"/>
  <c r="U7" i="34"/>
  <c r="T7" i="34"/>
  <c r="R7" i="34"/>
  <c r="Q7" i="34"/>
  <c r="O7" i="34"/>
  <c r="N7" i="34"/>
  <c r="L7" i="34"/>
  <c r="K7" i="34"/>
  <c r="I7" i="34"/>
  <c r="H7" i="34"/>
  <c r="F7" i="34"/>
  <c r="E7" i="34"/>
  <c r="BQ6" i="34"/>
  <c r="BP6" i="34"/>
  <c r="BN6" i="34"/>
  <c r="BM6" i="34"/>
  <c r="BK6" i="34"/>
  <c r="BJ6" i="34"/>
  <c r="BH6" i="34"/>
  <c r="BG6" i="34"/>
  <c r="BE6" i="34"/>
  <c r="BD6" i="34"/>
  <c r="BB6" i="34"/>
  <c r="BA6" i="34"/>
  <c r="AY6" i="34"/>
  <c r="AX6" i="34"/>
  <c r="AV6" i="34"/>
  <c r="AU6" i="34"/>
  <c r="AS6" i="34"/>
  <c r="AR6" i="34"/>
  <c r="AP6" i="34"/>
  <c r="AO6" i="34"/>
  <c r="AM6" i="34"/>
  <c r="AL6" i="34"/>
  <c r="AJ6" i="34"/>
  <c r="AI6" i="34"/>
  <c r="AG6" i="34"/>
  <c r="AF6" i="34"/>
  <c r="AD6" i="34"/>
  <c r="AC6" i="34"/>
  <c r="AA6" i="34"/>
  <c r="Z6" i="34"/>
  <c r="X6" i="34"/>
  <c r="W6" i="34"/>
  <c r="U6" i="34"/>
  <c r="T6" i="34"/>
  <c r="R6" i="34"/>
  <c r="Q6" i="34"/>
  <c r="O6" i="34"/>
  <c r="N6" i="34"/>
  <c r="L6" i="34"/>
  <c r="K6" i="34"/>
  <c r="I6" i="34"/>
  <c r="H6" i="34"/>
  <c r="F6" i="34"/>
  <c r="E6" i="34"/>
  <c r="D10" i="67" l="1"/>
  <c r="W19" i="65"/>
  <c r="X18" i="65" a="1"/>
  <c r="X18" i="65" s="1"/>
  <c r="W16" i="65"/>
  <c r="X15" i="65" a="1"/>
  <c r="X15" i="65" s="1"/>
  <c r="X9" i="65" a="1"/>
  <c r="X9" i="65" s="1"/>
  <c r="AM40" i="66"/>
  <c r="AM39" i="66"/>
  <c r="AM37" i="66"/>
  <c r="AM36" i="66"/>
  <c r="AM34" i="66"/>
  <c r="AM33" i="66"/>
  <c r="AM31" i="66"/>
  <c r="AM30" i="66"/>
  <c r="AM28" i="66"/>
  <c r="AM27" i="66"/>
  <c r="AM25" i="66"/>
  <c r="AM24" i="66"/>
  <c r="AM22" i="66"/>
  <c r="AM21" i="66"/>
  <c r="AM19" i="66"/>
  <c r="AM18" i="66"/>
  <c r="AM16" i="66"/>
  <c r="AM15" i="66"/>
  <c r="AM13" i="66"/>
  <c r="AM12" i="66"/>
  <c r="AM10" i="66"/>
  <c r="AM9" i="66"/>
  <c r="D13" i="66"/>
  <c r="D12" i="66"/>
  <c r="E1" i="35"/>
  <c r="D16" i="35"/>
  <c r="EA5" i="34"/>
  <c r="DU5" i="34"/>
  <c r="DO5" i="34"/>
  <c r="DI5" i="34"/>
  <c r="DC5" i="34"/>
  <c r="CW5" i="34"/>
  <c r="CQ5" i="34"/>
  <c r="CK5" i="34"/>
  <c r="CE5" i="34"/>
  <c r="BY5" i="34"/>
  <c r="CQ17" i="34" a="1"/>
  <c r="CQ17" i="34" s="1"/>
  <c r="CR17" i="34"/>
  <c r="CT3" i="34"/>
  <c r="CT13" i="34" s="1"/>
  <c r="CQ3" i="34"/>
  <c r="CQ13" i="34" s="1"/>
  <c r="CX17" i="34"/>
  <c r="CW17" i="34"/>
  <c r="CZ3" i="34"/>
  <c r="CZ13" i="34" s="1"/>
  <c r="CW3" i="34"/>
  <c r="CW13" i="34" s="1"/>
  <c r="DD17" i="34"/>
  <c r="DC17" i="34"/>
  <c r="DF3" i="34"/>
  <c r="DC3" i="34"/>
  <c r="DJ17" i="34"/>
  <c r="DI17" i="34"/>
  <c r="DL3" i="34"/>
  <c r="DI3" i="34"/>
  <c r="DP17" i="34"/>
  <c r="DO17" i="34"/>
  <c r="DR3" i="34"/>
  <c r="DR13" i="34" s="1"/>
  <c r="DO3" i="34"/>
  <c r="DO13" i="34" s="1"/>
  <c r="DV17" i="34"/>
  <c r="DU17" i="34"/>
  <c r="DU4" i="34"/>
  <c r="DX3" i="34"/>
  <c r="DX13" i="34" s="1"/>
  <c r="DU3" i="34"/>
  <c r="DU13" i="34" s="1"/>
  <c r="EB17" i="34"/>
  <c r="EA17" i="34"/>
  <c r="ED3" i="34"/>
  <c r="ED13" i="34" s="1"/>
  <c r="EA3" i="34"/>
  <c r="EA13" i="34" s="1"/>
  <c r="CL17" i="34"/>
  <c r="CK17" i="34"/>
  <c r="CN3" i="34"/>
  <c r="CN13" i="34" s="1"/>
  <c r="CK3" i="34"/>
  <c r="CK13" i="34" s="1"/>
  <c r="CF17" i="34"/>
  <c r="CE17" i="34"/>
  <c r="CH3" i="34"/>
  <c r="CE3" i="34"/>
  <c r="CE13" i="34" s="1"/>
  <c r="T3" i="34"/>
  <c r="Q3" i="34"/>
  <c r="Z3" i="34"/>
  <c r="W3" i="34"/>
  <c r="AF3" i="34"/>
  <c r="AC3" i="34"/>
  <c r="AL3" i="34"/>
  <c r="AI3" i="34"/>
  <c r="AR3" i="34"/>
  <c r="AO3" i="34"/>
  <c r="AX3" i="34"/>
  <c r="AU3" i="34"/>
  <c r="BD3" i="34"/>
  <c r="BA3" i="34"/>
  <c r="BJ3" i="34"/>
  <c r="BG3" i="34"/>
  <c r="BP3" i="34"/>
  <c r="BM3" i="34"/>
  <c r="AF16" i="65" l="1"/>
  <c r="AB16" i="65"/>
  <c r="AD16" i="65"/>
  <c r="AC16" i="65"/>
  <c r="O1147" i="79" s="1" a="1"/>
  <c r="O1147" i="79" s="1"/>
  <c r="AE16" i="65"/>
  <c r="AL12" i="66"/>
  <c r="AJ12" i="66"/>
  <c r="AL13" i="66"/>
  <c r="AJ13" i="66"/>
  <c r="D17" i="35"/>
  <c r="F23" i="66" a="1"/>
  <c r="F23" i="66" s="1"/>
  <c r="F14" i="66" a="1"/>
  <c r="F14" i="66" s="1"/>
  <c r="F32" i="66" a="1"/>
  <c r="F32" i="66" s="1"/>
  <c r="L167" i="79" a="1"/>
  <c r="L167" i="79" s="1"/>
  <c r="F8" i="65" a="1"/>
  <c r="F8" i="65" s="1"/>
  <c r="F8" i="66" a="1"/>
  <c r="F8" i="66" s="1"/>
  <c r="F1" i="72"/>
  <c r="D1" i="31" a="1"/>
  <c r="D1" i="31" s="1"/>
  <c r="G1" i="59" a="1"/>
  <c r="G1" i="59" s="1"/>
  <c r="D1" i="60" a="1"/>
  <c r="D1" i="60" s="1"/>
  <c r="D1" i="32" a="1"/>
  <c r="D1" i="32" s="1"/>
  <c r="F29" i="66" a="1"/>
  <c r="F29" i="66" s="1"/>
  <c r="F26" i="66" a="1"/>
  <c r="F26" i="66" s="1"/>
  <c r="F20" i="66" a="1"/>
  <c r="F20" i="66" s="1"/>
  <c r="F17" i="66" a="1"/>
  <c r="F17" i="66" s="1"/>
  <c r="D1" i="117"/>
  <c r="D1" i="118"/>
  <c r="F1" i="115"/>
  <c r="D1" i="116"/>
  <c r="D1" i="112"/>
  <c r="F1" i="109"/>
  <c r="D1" i="111"/>
  <c r="D1" i="110"/>
  <c r="F38" i="66" a="1"/>
  <c r="F38" i="66" s="1"/>
  <c r="F11" i="66" a="1"/>
  <c r="F11" i="66" s="1"/>
  <c r="F11" i="65" a="1"/>
  <c r="F11" i="65" s="1"/>
  <c r="AA16" i="65"/>
  <c r="W4" i="34" a="1"/>
  <c r="W4" i="34" s="1"/>
  <c r="CK4" i="34" s="1"/>
  <c r="AU4" i="34" a="1"/>
  <c r="AU4" i="34" s="1"/>
  <c r="DI4" i="34" s="1"/>
  <c r="AO4" i="34" a="1"/>
  <c r="AO4" i="34" s="1"/>
  <c r="DC4" i="34" s="1"/>
  <c r="BA4" i="34" a="1"/>
  <c r="BA4" i="34" s="1"/>
  <c r="DO4" i="34" s="1"/>
  <c r="AI4" i="34" a="1"/>
  <c r="AI4" i="34" s="1"/>
  <c r="CW4" i="34" s="1"/>
  <c r="Q4" i="34" a="1"/>
  <c r="Q4" i="34" s="1"/>
  <c r="CE4" i="34" s="1"/>
  <c r="E4" i="34" a="1"/>
  <c r="E4" i="34" s="1"/>
  <c r="BS4" i="34" s="1"/>
  <c r="AC4" i="34" a="1"/>
  <c r="AC4" i="34" s="1"/>
  <c r="CQ4" i="34" s="1"/>
  <c r="BM4" i="34" a="1"/>
  <c r="BM4" i="34" s="1"/>
  <c r="EA4" i="34" s="1"/>
  <c r="K4" i="34" a="1"/>
  <c r="K4" i="34" s="1"/>
  <c r="BY4" i="34" s="1"/>
  <c r="AI13" i="34"/>
  <c r="BA13" i="34"/>
  <c r="AC13" i="34"/>
  <c r="AU13" i="34"/>
  <c r="AX13" i="34"/>
  <c r="W13" i="34"/>
  <c r="BM13" i="34"/>
  <c r="AO13" i="34"/>
  <c r="Q13" i="34"/>
  <c r="BG13" i="34"/>
  <c r="U3" i="34"/>
  <c r="T13" i="34"/>
  <c r="BK3" i="34"/>
  <c r="BJ13" i="34"/>
  <c r="AM3" i="34"/>
  <c r="AL13" i="34"/>
  <c r="DD3" i="34"/>
  <c r="DD13" i="34" s="1"/>
  <c r="DC13" i="34"/>
  <c r="BQ3" i="34"/>
  <c r="BP13" i="34"/>
  <c r="BE3" i="34"/>
  <c r="BD13" i="34"/>
  <c r="AG3" i="34"/>
  <c r="AF13" i="34"/>
  <c r="DM3" i="34"/>
  <c r="DM13" i="34" s="1"/>
  <c r="DL13" i="34"/>
  <c r="AS3" i="34"/>
  <c r="AR13" i="34"/>
  <c r="CI3" i="34"/>
  <c r="CI13" i="34" s="1"/>
  <c r="CH13" i="34"/>
  <c r="DG3" i="34"/>
  <c r="DG13" i="34" s="1"/>
  <c r="DF13" i="34"/>
  <c r="AA3" i="34"/>
  <c r="Z13" i="34"/>
  <c r="DJ3" i="34"/>
  <c r="DJ13" i="34" s="1"/>
  <c r="DI13" i="34"/>
  <c r="CL12" i="34"/>
  <c r="CL7" i="34"/>
  <c r="CL8" i="34"/>
  <c r="CL9" i="34"/>
  <c r="CL10" i="34"/>
  <c r="CL6" i="34"/>
  <c r="CL11" i="34"/>
  <c r="CK11" i="34"/>
  <c r="CK12" i="34"/>
  <c r="CK7" i="34"/>
  <c r="CK8" i="34"/>
  <c r="CK9" i="34"/>
  <c r="CK10" i="34"/>
  <c r="CK6" i="34"/>
  <c r="EB10" i="34"/>
  <c r="EB11" i="34"/>
  <c r="EB12" i="34"/>
  <c r="EB6" i="34"/>
  <c r="EB7" i="34"/>
  <c r="EB8" i="34"/>
  <c r="EB9" i="34"/>
  <c r="CW7" i="34"/>
  <c r="CW8" i="34"/>
  <c r="CW9" i="34"/>
  <c r="CW10" i="34"/>
  <c r="CW11" i="34"/>
  <c r="CW12" i="34"/>
  <c r="CW6" i="34"/>
  <c r="DO7" i="34"/>
  <c r="DO8" i="34"/>
  <c r="DO6" i="34"/>
  <c r="DO9" i="34"/>
  <c r="DO10" i="34"/>
  <c r="DO11" i="34"/>
  <c r="DO12" i="34"/>
  <c r="DP7" i="34"/>
  <c r="DP8" i="34"/>
  <c r="DP6" i="34"/>
  <c r="DP9" i="34"/>
  <c r="DP10" i="34"/>
  <c r="DP11" i="34"/>
  <c r="DP12" i="34"/>
  <c r="CE9" i="34"/>
  <c r="CE10" i="34"/>
  <c r="CE11" i="34"/>
  <c r="CE12" i="34"/>
  <c r="CE6" i="34"/>
  <c r="CE7" i="34"/>
  <c r="CE8" i="34"/>
  <c r="DC9" i="34"/>
  <c r="DC10" i="34"/>
  <c r="DC11" i="34"/>
  <c r="DC12" i="34"/>
  <c r="DC6" i="34"/>
  <c r="DC7" i="34"/>
  <c r="DC8" i="34"/>
  <c r="CF10" i="34"/>
  <c r="CF11" i="34"/>
  <c r="CF12" i="34"/>
  <c r="CF6" i="34"/>
  <c r="CF7" i="34"/>
  <c r="CF8" i="34"/>
  <c r="CF9" i="34"/>
  <c r="DU7" i="34"/>
  <c r="DU8" i="34"/>
  <c r="DU9" i="34"/>
  <c r="DU10" i="34"/>
  <c r="DU11" i="34"/>
  <c r="DU12" i="34"/>
  <c r="DU6" i="34"/>
  <c r="DD10" i="34"/>
  <c r="DD11" i="34"/>
  <c r="DD12" i="34"/>
  <c r="DD6" i="34"/>
  <c r="DD7" i="34"/>
  <c r="DD8" i="34"/>
  <c r="DD9" i="34"/>
  <c r="DV8" i="34"/>
  <c r="DV9" i="34"/>
  <c r="DV10" i="34"/>
  <c r="DV11" i="34"/>
  <c r="DV12" i="34"/>
  <c r="DV6" i="34"/>
  <c r="DV7" i="34"/>
  <c r="CR7" i="34"/>
  <c r="CR8" i="34"/>
  <c r="CR6" i="34"/>
  <c r="CR9" i="34"/>
  <c r="CR10" i="34"/>
  <c r="CR11" i="34"/>
  <c r="CR12" i="34"/>
  <c r="DI11" i="34"/>
  <c r="DI12" i="34"/>
  <c r="DI7" i="34"/>
  <c r="DI8" i="34"/>
  <c r="DI9" i="34"/>
  <c r="DI10" i="34"/>
  <c r="DI6" i="34"/>
  <c r="CQ7" i="34"/>
  <c r="CQ8" i="34"/>
  <c r="CQ6" i="34"/>
  <c r="CQ9" i="34"/>
  <c r="CQ10" i="34"/>
  <c r="CQ11" i="34"/>
  <c r="CQ12" i="34"/>
  <c r="CX8" i="34"/>
  <c r="CX9" i="34"/>
  <c r="CX10" i="34"/>
  <c r="CX11" i="34"/>
  <c r="CX12" i="34"/>
  <c r="CX6" i="34"/>
  <c r="CX7" i="34"/>
  <c r="EA9" i="34"/>
  <c r="EA10" i="34"/>
  <c r="EA11" i="34"/>
  <c r="EA12" i="34"/>
  <c r="EA6" i="34"/>
  <c r="EA7" i="34"/>
  <c r="EA8" i="34"/>
  <c r="DJ12" i="34"/>
  <c r="DJ7" i="34"/>
  <c r="DJ8" i="34"/>
  <c r="DJ9" i="34"/>
  <c r="DJ10" i="34"/>
  <c r="DJ6" i="34"/>
  <c r="DJ11" i="34"/>
  <c r="D15" i="66"/>
  <c r="D16" i="66"/>
  <c r="DP3" i="34"/>
  <c r="DP13" i="34" s="1"/>
  <c r="X16" i="65" a="1"/>
  <c r="X16" i="65" s="1"/>
  <c r="X19" i="65" a="1"/>
  <c r="X19" i="65" s="1"/>
  <c r="DG17" i="34" a="1"/>
  <c r="DG17" i="34" s="1"/>
  <c r="DG6" i="34" s="1" a="1"/>
  <c r="DG6" i="34" s="1"/>
  <c r="DS17" i="34" a="1"/>
  <c r="DS17" i="34" s="1"/>
  <c r="DS6" i="34" s="1" a="1"/>
  <c r="DS6" i="34" s="1"/>
  <c r="DA17" i="34" a="1"/>
  <c r="DA17" i="34" s="1"/>
  <c r="DA6" i="34" s="1" a="1"/>
  <c r="DA6" i="34" s="1"/>
  <c r="EE17" i="34" a="1"/>
  <c r="EE17" i="34" s="1"/>
  <c r="EE6" i="34" s="1" a="1"/>
  <c r="EE6" i="34" s="1"/>
  <c r="DM17" i="34" a="1"/>
  <c r="DM17" i="34" s="1"/>
  <c r="DM6" i="34" s="1" a="1"/>
  <c r="DM6" i="34" s="1"/>
  <c r="CU17" i="34" a="1"/>
  <c r="CU17" i="34" s="1"/>
  <c r="CU6" i="34" s="1" a="1"/>
  <c r="CU6" i="34" s="1"/>
  <c r="CO17" i="34" a="1"/>
  <c r="CO17" i="34" s="1"/>
  <c r="CO6" i="34" s="1" a="1"/>
  <c r="CO6" i="34" s="1"/>
  <c r="CI17" i="34" a="1"/>
  <c r="CI17" i="34" s="1"/>
  <c r="CI6" i="34" s="1" a="1"/>
  <c r="CI6" i="34" s="1"/>
  <c r="DY17" i="34" a="1"/>
  <c r="DY17" i="34" s="1"/>
  <c r="DY6" i="34" s="1" a="1"/>
  <c r="DY6" i="34" s="1"/>
  <c r="ED17" i="34" a="1"/>
  <c r="ED17" i="34" s="1"/>
  <c r="ED6" i="34" s="1" a="1"/>
  <c r="ED6" i="34" s="1"/>
  <c r="DR17" i="34" a="1"/>
  <c r="DR17" i="34" s="1"/>
  <c r="DR6" i="34" s="1" a="1"/>
  <c r="DR6" i="34" s="1"/>
  <c r="DF17" i="34" a="1"/>
  <c r="DF17" i="34" s="1"/>
  <c r="DF6" i="34" s="1" a="1"/>
  <c r="DF6" i="34" s="1"/>
  <c r="CT17" i="34" a="1"/>
  <c r="CT17" i="34" s="1"/>
  <c r="CT6" i="34" s="1" a="1"/>
  <c r="CT6" i="34" s="1"/>
  <c r="CH17" i="34" a="1"/>
  <c r="CH17" i="34" s="1"/>
  <c r="CH6" i="34" s="1" a="1"/>
  <c r="CH6" i="34" s="1"/>
  <c r="DX17" i="34" a="1"/>
  <c r="DX17" i="34" s="1"/>
  <c r="DX6" i="34" s="1" a="1"/>
  <c r="DX6" i="34" s="1"/>
  <c r="DL17" i="34" a="1"/>
  <c r="DL17" i="34" s="1"/>
  <c r="DL6" i="34" s="1" a="1"/>
  <c r="DL6" i="34" s="1"/>
  <c r="CZ17" i="34" a="1"/>
  <c r="CZ17" i="34" s="1"/>
  <c r="CZ6" i="34" s="1" a="1"/>
  <c r="CZ6" i="34" s="1"/>
  <c r="CN17" i="34" a="1"/>
  <c r="CN17" i="34" s="1"/>
  <c r="CN6" i="34" s="1" a="1"/>
  <c r="CN6" i="34" s="1"/>
  <c r="DA3" i="34"/>
  <c r="DA13" i="34" s="1"/>
  <c r="CX3" i="34"/>
  <c r="CX13" i="34" s="1"/>
  <c r="CR3" i="34"/>
  <c r="CR13" i="34" s="1"/>
  <c r="CU3" i="34"/>
  <c r="CU13" i="34" s="1"/>
  <c r="EE3" i="34"/>
  <c r="EE13" i="34" s="1"/>
  <c r="DV3" i="34"/>
  <c r="DV13" i="34" s="1"/>
  <c r="DS3" i="34"/>
  <c r="DS13" i="34" s="1"/>
  <c r="EB3" i="34"/>
  <c r="EB13" i="34" s="1"/>
  <c r="DY3" i="34"/>
  <c r="DY13" i="34" s="1"/>
  <c r="CL3" i="34"/>
  <c r="CL13" i="34" s="1"/>
  <c r="CO3" i="34"/>
  <c r="CO13" i="34" s="1"/>
  <c r="CF3" i="34"/>
  <c r="CF13" i="34" s="1"/>
  <c r="R3" i="34"/>
  <c r="X3" i="34"/>
  <c r="AD3" i="34"/>
  <c r="AJ3" i="34"/>
  <c r="AP3" i="34"/>
  <c r="AV3" i="34"/>
  <c r="AY3" i="34"/>
  <c r="BB3" i="34"/>
  <c r="BH3" i="34"/>
  <c r="BN3" i="34"/>
  <c r="G2" i="35" l="1"/>
  <c r="G3" i="35"/>
  <c r="F14" i="65" a="1"/>
  <c r="F14" i="65" s="1"/>
  <c r="L15" i="35"/>
  <c r="M1183" i="79"/>
  <c r="O1168" i="79" a="1"/>
  <c r="O1168" i="79" s="1"/>
  <c r="M1168" i="79" s="1"/>
  <c r="O1161" i="79" a="1"/>
  <c r="O1161" i="79" s="1"/>
  <c r="M1161" i="79" s="1"/>
  <c r="O1154" i="79" a="1"/>
  <c r="O1154" i="79" s="1"/>
  <c r="M1147" i="79"/>
  <c r="O1140" i="79" a="1"/>
  <c r="O1140" i="79" s="1"/>
  <c r="M1148" i="79"/>
  <c r="AL16" i="66"/>
  <c r="AJ16" i="66"/>
  <c r="AL15" i="66"/>
  <c r="AJ15" i="66"/>
  <c r="D18" i="35"/>
  <c r="D18" i="66"/>
  <c r="BB13" i="34"/>
  <c r="U13" i="34"/>
  <c r="BH13" i="34"/>
  <c r="R13" i="34"/>
  <c r="AV13" i="34"/>
  <c r="AG13" i="34"/>
  <c r="AJ13" i="34"/>
  <c r="AA13" i="34"/>
  <c r="AS13" i="34"/>
  <c r="BE13" i="34"/>
  <c r="AM13" i="34"/>
  <c r="AY13" i="34"/>
  <c r="AP13" i="34"/>
  <c r="AD13" i="34"/>
  <c r="BN13" i="34"/>
  <c r="X13" i="34"/>
  <c r="BQ13" i="34"/>
  <c r="BK13" i="34"/>
  <c r="D19" i="66"/>
  <c r="AK16" i="66" a="1"/>
  <c r="AK16" i="66" s="1"/>
  <c r="AI16" i="66" a="1"/>
  <c r="AI16" i="66" s="1"/>
  <c r="AK15" i="66" a="1"/>
  <c r="AK15" i="66" s="1"/>
  <c r="AI15" i="66" a="1"/>
  <c r="AI15" i="66" s="1"/>
  <c r="H2" i="35" l="1"/>
  <c r="H3" i="35"/>
  <c r="I2" i="35"/>
  <c r="K3" i="35" a="1"/>
  <c r="K3" i="35" s="1"/>
  <c r="M1154" i="79"/>
  <c r="AL18" i="66"/>
  <c r="AJ18" i="66"/>
  <c r="AL19" i="66"/>
  <c r="AJ19" i="66"/>
  <c r="D19" i="35"/>
  <c r="D21" i="66"/>
  <c r="AI18" i="66" a="1"/>
  <c r="AI18" i="66" s="1"/>
  <c r="AK18" i="66" a="1"/>
  <c r="AK18" i="66" s="1"/>
  <c r="I13" i="67"/>
  <c r="J6" i="135" s="1"/>
  <c r="F13" i="67"/>
  <c r="F6" i="135" s="1"/>
  <c r="G13" i="67"/>
  <c r="G6" i="135" s="1"/>
  <c r="H13" i="67"/>
  <c r="I6" i="135" s="1"/>
  <c r="F16" i="66"/>
  <c r="F15" i="66"/>
  <c r="D22" i="66"/>
  <c r="AK19" i="66" a="1"/>
  <c r="AK19" i="66" s="1"/>
  <c r="AI19" i="66" a="1"/>
  <c r="AI19" i="66" s="1"/>
  <c r="O12" i="35"/>
  <c r="K8" i="35"/>
  <c r="K14" i="35"/>
  <c r="K10" i="35"/>
  <c r="O13" i="35"/>
  <c r="K12" i="35"/>
  <c r="K9" i="35"/>
  <c r="K13" i="35"/>
  <c r="K11" i="35"/>
  <c r="BT17" i="34"/>
  <c r="BS17" i="34"/>
  <c r="BV3" i="34"/>
  <c r="BS3" i="34"/>
  <c r="BS13" i="34" s="1"/>
  <c r="BZ17" i="34"/>
  <c r="BY17" i="34"/>
  <c r="CB3" i="34"/>
  <c r="BY3" i="34"/>
  <c r="BY13" i="34" s="1"/>
  <c r="AK13" i="66" a="1"/>
  <c r="AK13" i="66" s="1"/>
  <c r="AK12" i="66" a="1"/>
  <c r="AK12" i="66" s="1"/>
  <c r="AI13" i="66" a="1"/>
  <c r="AI13" i="66" s="1"/>
  <c r="AI12" i="66" a="1"/>
  <c r="AI12" i="66" s="1"/>
  <c r="N3" i="34"/>
  <c r="N13" i="34" s="1"/>
  <c r="K3" i="34"/>
  <c r="K13" i="34" s="1"/>
  <c r="L3" i="35" l="1" a="1"/>
  <c r="L3" i="35" s="1"/>
  <c r="AL22" i="66"/>
  <c r="AJ22" i="66"/>
  <c r="AL21" i="66"/>
  <c r="AJ21" i="66"/>
  <c r="AB15" i="66" a="1"/>
  <c r="AB15" i="66" s="1"/>
  <c r="Z15" i="66" a="1"/>
  <c r="Z15" i="66" s="1"/>
  <c r="X15" i="66" a="1"/>
  <c r="X15" i="66" s="1"/>
  <c r="O15" i="66" a="1"/>
  <c r="O15" i="66" s="1"/>
  <c r="M15" i="66" a="1"/>
  <c r="M15" i="66" s="1"/>
  <c r="K15" i="66"/>
  <c r="AD15" i="66" a="1"/>
  <c r="AD15" i="66" s="1"/>
  <c r="I15" i="66"/>
  <c r="X16" i="66" a="1"/>
  <c r="X16" i="66" s="1"/>
  <c r="T16" i="66" a="1"/>
  <c r="T16" i="66" s="1"/>
  <c r="R16" i="66" a="1"/>
  <c r="R16" i="66" s="1"/>
  <c r="O16" i="66" a="1"/>
  <c r="O16" i="66" s="1"/>
  <c r="M16" i="66" a="1"/>
  <c r="M16" i="66" s="1"/>
  <c r="K16" i="66"/>
  <c r="AD16" i="66" a="1"/>
  <c r="AD16" i="66" s="1"/>
  <c r="I16" i="66"/>
  <c r="AB16" i="66" a="1"/>
  <c r="AB16" i="66" s="1"/>
  <c r="Z16" i="66" a="1"/>
  <c r="Z16" i="66" s="1"/>
  <c r="AK21" i="66" a="1"/>
  <c r="AK21" i="66" s="1"/>
  <c r="D24" i="66"/>
  <c r="D27" i="66" s="1"/>
  <c r="D20" i="35"/>
  <c r="H10" i="67"/>
  <c r="I5" i="135" s="1"/>
  <c r="I10" i="67"/>
  <c r="J5" i="135" s="1"/>
  <c r="F10" i="67"/>
  <c r="F5" i="135" s="1"/>
  <c r="G10" i="67"/>
  <c r="G5" i="135" s="1"/>
  <c r="F16" i="67"/>
  <c r="F7" i="135" s="1"/>
  <c r="AI21" i="66" a="1"/>
  <c r="AI21" i="66" s="1"/>
  <c r="H16" i="67"/>
  <c r="I7" i="135" s="1"/>
  <c r="P12" i="35"/>
  <c r="P10" i="35"/>
  <c r="L11" i="35"/>
  <c r="L13" i="35"/>
  <c r="L9" i="35"/>
  <c r="L12" i="35"/>
  <c r="P13" i="35"/>
  <c r="L10" i="35"/>
  <c r="L2" i="35"/>
  <c r="L14" i="35"/>
  <c r="L8" i="35"/>
  <c r="I16" i="67"/>
  <c r="J7" i="135" s="1"/>
  <c r="G16" i="67"/>
  <c r="G7" i="135" s="1"/>
  <c r="BW3" i="34"/>
  <c r="BW13" i="34" s="1"/>
  <c r="BV13" i="34"/>
  <c r="CC3" i="34"/>
  <c r="CC13" i="34" s="1"/>
  <c r="CB13" i="34"/>
  <c r="BS7" i="34"/>
  <c r="BS8" i="34"/>
  <c r="BS6" i="34"/>
  <c r="BS9" i="34"/>
  <c r="BS10" i="34"/>
  <c r="BS11" i="34"/>
  <c r="BS12" i="34"/>
  <c r="BT7" i="34"/>
  <c r="BT8" i="34"/>
  <c r="BT6" i="34"/>
  <c r="BT9" i="34"/>
  <c r="BT10" i="34"/>
  <c r="BT11" i="34"/>
  <c r="BT12" i="34"/>
  <c r="BY7" i="34"/>
  <c r="BY8" i="34"/>
  <c r="BY9" i="34"/>
  <c r="BY10" i="34"/>
  <c r="BY11" i="34"/>
  <c r="BY12" i="34"/>
  <c r="BY6" i="34"/>
  <c r="BZ8" i="34"/>
  <c r="BZ9" i="34"/>
  <c r="BZ10" i="34"/>
  <c r="BZ11" i="34"/>
  <c r="BZ12" i="34"/>
  <c r="BZ6" i="34"/>
  <c r="BZ7" i="34"/>
  <c r="F19" i="66"/>
  <c r="F18" i="66"/>
  <c r="D25" i="66"/>
  <c r="AK22" i="66" a="1"/>
  <c r="AK22" i="66" s="1"/>
  <c r="AI22" i="66" a="1"/>
  <c r="AI22" i="66" s="1"/>
  <c r="H15" i="66" a="1"/>
  <c r="H15" i="66" s="1"/>
  <c r="W15" i="66" s="1" a="1"/>
  <c r="W15" i="66" s="1"/>
  <c r="J15" i="66" a="1"/>
  <c r="J15" i="66" s="1"/>
  <c r="Y15" i="66" s="1" a="1"/>
  <c r="Y15" i="66" s="1"/>
  <c r="G15" i="66" a="1"/>
  <c r="G15" i="66" s="1"/>
  <c r="H16" i="66" a="1"/>
  <c r="H16" i="66" s="1"/>
  <c r="J16" i="66" a="1"/>
  <c r="J16" i="66" s="1"/>
  <c r="G16" i="66" a="1"/>
  <c r="G16" i="66" s="1"/>
  <c r="AI24" i="66" a="1"/>
  <c r="AI24" i="66" s="1"/>
  <c r="AK24" i="66" a="1"/>
  <c r="AK24" i="66" s="1"/>
  <c r="F12" i="66"/>
  <c r="F13" i="66"/>
  <c r="CC17" i="34" a="1"/>
  <c r="CC17" i="34" s="1"/>
  <c r="CC6" i="34" s="1" a="1"/>
  <c r="CC6" i="34" s="1"/>
  <c r="CB17" i="34" a="1"/>
  <c r="CB17" i="34" s="1"/>
  <c r="BV17" i="34" a="1"/>
  <c r="BV17" i="34" s="1"/>
  <c r="BW17" i="34" a="1"/>
  <c r="BW17" i="34" s="1"/>
  <c r="BW6" i="34" s="1" a="1"/>
  <c r="BW6" i="34" s="1"/>
  <c r="BT3" i="34"/>
  <c r="BT13" i="34" s="1"/>
  <c r="BZ3" i="34"/>
  <c r="BZ13" i="34" s="1"/>
  <c r="O3" i="34"/>
  <c r="O13" i="34" s="1"/>
  <c r="L3" i="34"/>
  <c r="L13" i="34" s="1"/>
  <c r="AJ27" i="66" l="1"/>
  <c r="AL27" i="66"/>
  <c r="D30" i="66"/>
  <c r="AL25" i="66"/>
  <c r="AJ25" i="66"/>
  <c r="AL24" i="66"/>
  <c r="AJ24" i="66"/>
  <c r="R18" i="66" a="1"/>
  <c r="R18" i="66" s="1"/>
  <c r="O18" i="66" a="1"/>
  <c r="O18" i="66" s="1"/>
  <c r="M18" i="66" a="1"/>
  <c r="M18" i="66" s="1"/>
  <c r="K18" i="66"/>
  <c r="AD18" i="66" a="1"/>
  <c r="AD18" i="66" s="1"/>
  <c r="I18" i="66"/>
  <c r="AB18" i="66" a="1"/>
  <c r="AB18" i="66" s="1"/>
  <c r="Z18" i="66" a="1"/>
  <c r="Z18" i="66" s="1"/>
  <c r="X18" i="66" a="1"/>
  <c r="X18" i="66" s="1"/>
  <c r="T18" i="66" a="1"/>
  <c r="T18" i="66" s="1"/>
  <c r="M19" i="66" a="1"/>
  <c r="M19" i="66" s="1"/>
  <c r="K19" i="66"/>
  <c r="AD19" i="66" a="1"/>
  <c r="AD19" i="66" s="1"/>
  <c r="I19" i="66"/>
  <c r="AB19" i="66" a="1"/>
  <c r="AB19" i="66" s="1"/>
  <c r="Z19" i="66" a="1"/>
  <c r="Z19" i="66" s="1"/>
  <c r="X19" i="66" a="1"/>
  <c r="X19" i="66" s="1"/>
  <c r="T19" i="66" a="1"/>
  <c r="T19" i="66" s="1"/>
  <c r="R19" i="66" a="1"/>
  <c r="R19" i="66" s="1"/>
  <c r="O19" i="66" a="1"/>
  <c r="O19" i="66" s="1"/>
  <c r="M13" i="66" a="1"/>
  <c r="M13" i="66" s="1"/>
  <c r="K13" i="66"/>
  <c r="AD13" i="66" a="1"/>
  <c r="AD13" i="66" s="1"/>
  <c r="I13" i="66"/>
  <c r="AB13" i="66" a="1"/>
  <c r="AB13" i="66" s="1"/>
  <c r="Z13" i="66" a="1"/>
  <c r="Z13" i="66" s="1"/>
  <c r="X13" i="66" a="1"/>
  <c r="X13" i="66" s="1"/>
  <c r="T13" i="66" a="1"/>
  <c r="T13" i="66" s="1"/>
  <c r="R13" i="66" a="1"/>
  <c r="R13" i="66" s="1"/>
  <c r="O13" i="66" a="1"/>
  <c r="O13" i="66" s="1"/>
  <c r="O12" i="66" a="1"/>
  <c r="O12" i="66" s="1"/>
  <c r="M12" i="66" a="1"/>
  <c r="M12" i="66" s="1"/>
  <c r="K12" i="66"/>
  <c r="AD12" i="66" a="1"/>
  <c r="AD12" i="66" s="1"/>
  <c r="I12" i="66"/>
  <c r="AB12" i="66" a="1"/>
  <c r="AB12" i="66" s="1"/>
  <c r="Z12" i="66" a="1"/>
  <c r="Z12" i="66" s="1"/>
  <c r="X12" i="66" a="1"/>
  <c r="X12" i="66" s="1"/>
  <c r="R15" i="66" a="1"/>
  <c r="R15" i="66" s="1"/>
  <c r="T15" i="66" a="1"/>
  <c r="T15" i="66" s="1"/>
  <c r="CB6" i="34" a="1"/>
  <c r="CB6" i="34" s="1"/>
  <c r="BV6" i="34" a="1"/>
  <c r="BV6" i="34" s="1"/>
  <c r="AI27" i="66" a="1"/>
  <c r="AI27" i="66" s="1"/>
  <c r="AK27" i="66" a="1"/>
  <c r="AK27" i="66" s="1"/>
  <c r="H19" i="67"/>
  <c r="I8" i="135" s="1"/>
  <c r="D21" i="35"/>
  <c r="F19" i="67"/>
  <c r="F8" i="135" s="1"/>
  <c r="I19" i="67"/>
  <c r="J8" i="135" s="1"/>
  <c r="G19" i="67"/>
  <c r="G8" i="135" s="1"/>
  <c r="F21" i="66"/>
  <c r="S16" i="66"/>
  <c r="W16" i="66" a="1"/>
  <c r="W16" i="66" s="1"/>
  <c r="J13" i="67" s="1"/>
  <c r="H6" i="135" s="1"/>
  <c r="Q16" i="66"/>
  <c r="J18" i="66" a="1"/>
  <c r="J18" i="66" s="1"/>
  <c r="Y18" i="66" s="1" a="1"/>
  <c r="Y18" i="66" s="1"/>
  <c r="N16" i="66"/>
  <c r="Y16" i="66" a="1"/>
  <c r="Y16" i="66" s="1"/>
  <c r="K13" i="67" s="1"/>
  <c r="K6" i="135" s="1"/>
  <c r="L16" i="66"/>
  <c r="N15" i="66"/>
  <c r="AC15" i="66" a="1"/>
  <c r="AC15" i="66" s="1"/>
  <c r="AA15" i="66" a="1"/>
  <c r="AA15" i="66" s="1"/>
  <c r="AE15" i="66" a="1"/>
  <c r="AE15" i="66" s="1"/>
  <c r="L15" i="66"/>
  <c r="F22" i="66"/>
  <c r="H18" i="66" a="1"/>
  <c r="H18" i="66" s="1"/>
  <c r="G18" i="66" a="1"/>
  <c r="G18" i="66" s="1"/>
  <c r="H19" i="66" a="1"/>
  <c r="H19" i="66" s="1"/>
  <c r="G19" i="66" a="1"/>
  <c r="G19" i="66" s="1"/>
  <c r="J19" i="66" a="1"/>
  <c r="J19" i="66" s="1"/>
  <c r="D28" i="66"/>
  <c r="AK25" i="66" a="1"/>
  <c r="AK25" i="66" s="1"/>
  <c r="AI25" i="66" a="1"/>
  <c r="AI25" i="66" s="1"/>
  <c r="AK30" i="66" a="1"/>
  <c r="AK30" i="66" s="1"/>
  <c r="AI30" i="66" a="1"/>
  <c r="AI30" i="66" s="1"/>
  <c r="J13" i="66" a="1"/>
  <c r="J13" i="66" s="1"/>
  <c r="H13" i="66" a="1"/>
  <c r="H13" i="66" s="1"/>
  <c r="G13" i="66" a="1"/>
  <c r="G13" i="66" s="1"/>
  <c r="H12" i="66" a="1"/>
  <c r="H12" i="66" s="1"/>
  <c r="W12" i="66" s="1" a="1"/>
  <c r="W12" i="66" s="1"/>
  <c r="G12" i="66" a="1"/>
  <c r="G12" i="66" s="1"/>
  <c r="J12" i="66" a="1"/>
  <c r="J12" i="66" s="1"/>
  <c r="Y12" i="66" s="1" a="1"/>
  <c r="Y12" i="66" s="1"/>
  <c r="D33" i="66"/>
  <c r="AL28" i="66" l="1"/>
  <c r="AJ28" i="66"/>
  <c r="AL33" i="66"/>
  <c r="AJ33" i="66"/>
  <c r="AL30" i="66"/>
  <c r="AJ30" i="66"/>
  <c r="AB21" i="66" a="1"/>
  <c r="AB21" i="66" s="1"/>
  <c r="Z21" i="66" a="1"/>
  <c r="Z21" i="66" s="1"/>
  <c r="X21" i="66" a="1"/>
  <c r="X21" i="66" s="1"/>
  <c r="T21" i="66" a="1"/>
  <c r="T21" i="66" s="1"/>
  <c r="R21" i="66" a="1"/>
  <c r="R21" i="66" s="1"/>
  <c r="O21" i="66" a="1"/>
  <c r="O21" i="66" s="1"/>
  <c r="M21" i="66" a="1"/>
  <c r="M21" i="66" s="1"/>
  <c r="K21" i="66"/>
  <c r="AD21" i="66" a="1"/>
  <c r="AD21" i="66" s="1"/>
  <c r="I21" i="66"/>
  <c r="X22" i="66" a="1"/>
  <c r="X22" i="66" s="1"/>
  <c r="T22" i="66" a="1"/>
  <c r="T22" i="66" s="1"/>
  <c r="R22" i="66" a="1"/>
  <c r="R22" i="66" s="1"/>
  <c r="O22" i="66" a="1"/>
  <c r="O22" i="66" s="1"/>
  <c r="M22" i="66" a="1"/>
  <c r="M22" i="66" s="1"/>
  <c r="K22" i="66"/>
  <c r="AD22" i="66" a="1"/>
  <c r="AD22" i="66" s="1"/>
  <c r="I22" i="66"/>
  <c r="AB22" i="66" a="1"/>
  <c r="AB22" i="66" s="1"/>
  <c r="Z22" i="66" a="1"/>
  <c r="Z22" i="66" s="1"/>
  <c r="D22" i="35"/>
  <c r="N18" i="66"/>
  <c r="AE16" i="66" a="1"/>
  <c r="AE16" i="66" s="1"/>
  <c r="U16" i="66"/>
  <c r="H21" i="66" a="1"/>
  <c r="H21" i="66" s="1"/>
  <c r="W21" i="66" s="1" a="1"/>
  <c r="W21" i="66" s="1"/>
  <c r="G21" i="66" a="1"/>
  <c r="G21" i="66" s="1"/>
  <c r="J21" i="66" a="1"/>
  <c r="J21" i="66" s="1"/>
  <c r="Y21" i="66" s="1" a="1"/>
  <c r="Y21" i="66" s="1"/>
  <c r="S19" i="66"/>
  <c r="Y13" i="66" a="1"/>
  <c r="Y13" i="66" s="1"/>
  <c r="K10" i="67" s="1"/>
  <c r="K5" i="135" s="1"/>
  <c r="S13" i="66"/>
  <c r="W13" i="66" a="1"/>
  <c r="W13" i="66" s="1"/>
  <c r="J10" i="67" s="1"/>
  <c r="H5" i="135" s="1"/>
  <c r="Q13" i="66"/>
  <c r="W19" i="66" a="1"/>
  <c r="W19" i="66" s="1"/>
  <c r="Q19" i="66"/>
  <c r="AC16" i="66" a="1"/>
  <c r="AC16" i="66" s="1"/>
  <c r="AA16" i="66" a="1"/>
  <c r="AA16" i="66" s="1"/>
  <c r="L19" i="66"/>
  <c r="L18" i="66"/>
  <c r="W18" i="66" a="1"/>
  <c r="W18" i="66" s="1"/>
  <c r="Y19" i="66" a="1"/>
  <c r="Y19" i="66" s="1"/>
  <c r="K16" i="67" s="1"/>
  <c r="K7" i="135" s="1"/>
  <c r="N19" i="66"/>
  <c r="J22" i="66" a="1"/>
  <c r="J22" i="66" s="1"/>
  <c r="Y22" i="66" s="1" a="1"/>
  <c r="Y22" i="66" s="1"/>
  <c r="G22" i="66" a="1"/>
  <c r="G22" i="66" s="1"/>
  <c r="H22" i="66" a="1"/>
  <c r="H22" i="66" s="1"/>
  <c r="W22" i="66" s="1" a="1"/>
  <c r="W22" i="66" s="1"/>
  <c r="F25" i="66"/>
  <c r="AE12" i="66" a="1"/>
  <c r="AE12" i="66" s="1"/>
  <c r="AA12" i="66" a="1"/>
  <c r="AA12" i="66" s="1"/>
  <c r="AC12" i="66" a="1"/>
  <c r="AC12" i="66" s="1"/>
  <c r="F24" i="66"/>
  <c r="D31" i="66"/>
  <c r="AK28" i="66" a="1"/>
  <c r="AK28" i="66" s="1"/>
  <c r="AI28" i="66" a="1"/>
  <c r="AI28" i="66" s="1"/>
  <c r="AK33" i="66" a="1"/>
  <c r="AK33" i="66" s="1"/>
  <c r="AI33" i="66" a="1"/>
  <c r="AI33" i="66" s="1"/>
  <c r="N12" i="66"/>
  <c r="N13" i="66"/>
  <c r="L12" i="66"/>
  <c r="L13" i="66"/>
  <c r="D36" i="66"/>
  <c r="W13" i="65"/>
  <c r="W10" i="65"/>
  <c r="L12" i="67" l="1"/>
  <c r="M12" i="67"/>
  <c r="AE22" i="66" a="1"/>
  <c r="AE22" i="66" s="1"/>
  <c r="AC22" i="66" a="1"/>
  <c r="AC22" i="66" s="1"/>
  <c r="AA22" i="66" a="1"/>
  <c r="AA22" i="66" s="1"/>
  <c r="X13" i="65" a="1"/>
  <c r="X13" i="65" s="1"/>
  <c r="AL36" i="66"/>
  <c r="AJ36" i="66"/>
  <c r="AL31" i="66"/>
  <c r="AJ31" i="66"/>
  <c r="R24" i="66" a="1"/>
  <c r="R24" i="66" s="1"/>
  <c r="O24" i="66" a="1"/>
  <c r="O24" i="66" s="1"/>
  <c r="M24" i="66" a="1"/>
  <c r="M24" i="66" s="1"/>
  <c r="K24" i="66"/>
  <c r="AD24" i="66" a="1"/>
  <c r="AD24" i="66" s="1"/>
  <c r="I24" i="66"/>
  <c r="AB24" i="66" a="1"/>
  <c r="AB24" i="66" s="1"/>
  <c r="Z24" i="66" a="1"/>
  <c r="Z24" i="66" s="1"/>
  <c r="X24" i="66" a="1"/>
  <c r="X24" i="66" s="1"/>
  <c r="T24" i="66" a="1"/>
  <c r="T24" i="66" s="1"/>
  <c r="M25" i="66" a="1"/>
  <c r="M25" i="66" s="1"/>
  <c r="K25" i="66"/>
  <c r="AD25" i="66" a="1"/>
  <c r="AD25" i="66" s="1"/>
  <c r="I25" i="66"/>
  <c r="AB25" i="66" a="1"/>
  <c r="AB25" i="66" s="1"/>
  <c r="Z25" i="66" a="1"/>
  <c r="Z25" i="66" s="1"/>
  <c r="X25" i="66" a="1"/>
  <c r="X25" i="66" s="1"/>
  <c r="T25" i="66" a="1"/>
  <c r="T25" i="66" s="1"/>
  <c r="R25" i="66" a="1"/>
  <c r="R25" i="66" s="1"/>
  <c r="O25" i="66" a="1"/>
  <c r="O25" i="66" s="1"/>
  <c r="D23" i="35"/>
  <c r="K19" i="67"/>
  <c r="K8" i="135" s="1"/>
  <c r="J19" i="67"/>
  <c r="H8" i="135" s="1"/>
  <c r="AA18" i="66" a="1"/>
  <c r="AA18" i="66" s="1"/>
  <c r="J16" i="67"/>
  <c r="H7" i="135" s="1"/>
  <c r="AE21" i="66" a="1"/>
  <c r="AE21" i="66" s="1"/>
  <c r="AA21" i="66" a="1"/>
  <c r="AA21" i="66" s="1"/>
  <c r="L21" i="66"/>
  <c r="AC21" i="66" a="1"/>
  <c r="AC21" i="66" s="1"/>
  <c r="AA13" i="66" a="1"/>
  <c r="AA13" i="66" s="1"/>
  <c r="N21" i="66"/>
  <c r="Q22" i="66"/>
  <c r="S22" i="66"/>
  <c r="U19" i="66"/>
  <c r="AE13" i="66" a="1"/>
  <c r="AE13" i="66" s="1"/>
  <c r="AC13" i="66" a="1"/>
  <c r="AC13" i="66" s="1"/>
  <c r="U13" i="66"/>
  <c r="AE19" i="66" a="1"/>
  <c r="AE19" i="66" s="1"/>
  <c r="N22" i="66"/>
  <c r="X10" i="65" a="1"/>
  <c r="X10" i="65" s="1"/>
  <c r="AE18" i="66" a="1"/>
  <c r="AE18" i="66" s="1"/>
  <c r="AC18" i="66" a="1"/>
  <c r="AC18" i="66" s="1"/>
  <c r="L22" i="66"/>
  <c r="AC19" i="66" a="1"/>
  <c r="AC19" i="66" s="1"/>
  <c r="AA19" i="66" a="1"/>
  <c r="AA19" i="66" s="1"/>
  <c r="G25" i="66" a="1"/>
  <c r="G25" i="66" s="1"/>
  <c r="H25" i="66" a="1"/>
  <c r="H25" i="66" s="1"/>
  <c r="J25" i="66" a="1"/>
  <c r="J25" i="66" s="1"/>
  <c r="G24" i="66" a="1"/>
  <c r="G24" i="66" s="1"/>
  <c r="J24" i="66" a="1"/>
  <c r="J24" i="66" s="1"/>
  <c r="Y24" i="66" s="1" a="1"/>
  <c r="Y24" i="66" s="1"/>
  <c r="H24" i="66" a="1"/>
  <c r="H24" i="66" s="1"/>
  <c r="W24" i="66" s="1" a="1"/>
  <c r="W24" i="66" s="1"/>
  <c r="F27" i="66"/>
  <c r="F28" i="66"/>
  <c r="D34" i="66"/>
  <c r="AK31" i="66" a="1"/>
  <c r="AK31" i="66" s="1"/>
  <c r="AI31" i="66" a="1"/>
  <c r="AI31" i="66" s="1"/>
  <c r="AI36" i="66" a="1"/>
  <c r="AI36" i="66" s="1"/>
  <c r="AK36" i="66" a="1"/>
  <c r="AK36" i="66" s="1"/>
  <c r="D39" i="66"/>
  <c r="AL34" i="66" l="1"/>
  <c r="AJ34" i="66"/>
  <c r="AL39" i="66"/>
  <c r="AJ39" i="66"/>
  <c r="X28" i="66" a="1"/>
  <c r="X28" i="66" s="1"/>
  <c r="T28" i="66" a="1"/>
  <c r="T28" i="66" s="1"/>
  <c r="R28" i="66" a="1"/>
  <c r="R28" i="66" s="1"/>
  <c r="O28" i="66" a="1"/>
  <c r="O28" i="66" s="1"/>
  <c r="M28" i="66" a="1"/>
  <c r="M28" i="66" s="1"/>
  <c r="K28" i="66"/>
  <c r="AD28" i="66" a="1"/>
  <c r="AD28" i="66" s="1"/>
  <c r="I28" i="66"/>
  <c r="AB28" i="66" a="1"/>
  <c r="AB28" i="66" s="1"/>
  <c r="Z28" i="66" a="1"/>
  <c r="Z28" i="66" s="1"/>
  <c r="AB27" i="66" a="1"/>
  <c r="AB27" i="66" s="1"/>
  <c r="Z27" i="66" a="1"/>
  <c r="Z27" i="66" s="1"/>
  <c r="X27" i="66" a="1"/>
  <c r="X27" i="66" s="1"/>
  <c r="T27" i="66" a="1"/>
  <c r="T27" i="66" s="1"/>
  <c r="R27" i="66" a="1"/>
  <c r="R27" i="66" s="1"/>
  <c r="O27" i="66" a="1"/>
  <c r="O27" i="66" s="1"/>
  <c r="M27" i="66" a="1"/>
  <c r="M27" i="66" s="1"/>
  <c r="K27" i="66"/>
  <c r="AD27" i="66" a="1"/>
  <c r="AD27" i="66" s="1"/>
  <c r="I27" i="66"/>
  <c r="D24" i="35"/>
  <c r="U22" i="66"/>
  <c r="S25" i="66"/>
  <c r="W25" i="66" a="1"/>
  <c r="W25" i="66" s="1"/>
  <c r="J22" i="67" s="1"/>
  <c r="Q25" i="66"/>
  <c r="L25" i="66"/>
  <c r="AE24" i="66" a="1"/>
  <c r="AE24" i="66" s="1"/>
  <c r="AC24" i="66" a="1"/>
  <c r="AC24" i="66" s="1"/>
  <c r="AA24" i="66" a="1"/>
  <c r="AA24" i="66" s="1"/>
  <c r="N24" i="66"/>
  <c r="Y25" i="66" a="1"/>
  <c r="Y25" i="66" s="1"/>
  <c r="K22" i="67" s="1"/>
  <c r="L24" i="66"/>
  <c r="N25" i="66"/>
  <c r="F30" i="66"/>
  <c r="F31" i="66"/>
  <c r="D37" i="66"/>
  <c r="AK34" i="66" a="1"/>
  <c r="AK34" i="66" s="1"/>
  <c r="AI34" i="66" a="1"/>
  <c r="AI34" i="66" s="1"/>
  <c r="H28" i="66" a="1"/>
  <c r="H28" i="66" s="1"/>
  <c r="G28" i="66" a="1"/>
  <c r="G28" i="66" s="1"/>
  <c r="J28" i="66" a="1"/>
  <c r="J28" i="66" s="1"/>
  <c r="H27" i="66" a="1"/>
  <c r="H27" i="66" s="1"/>
  <c r="W27" i="66" s="1" a="1"/>
  <c r="W27" i="66" s="1"/>
  <c r="G27" i="66" a="1"/>
  <c r="G27" i="66" s="1"/>
  <c r="J27" i="66" a="1"/>
  <c r="J27" i="66" s="1"/>
  <c r="Y27" i="66" s="1" a="1"/>
  <c r="Y27" i="66" s="1"/>
  <c r="AK39" i="66" a="1"/>
  <c r="AK39" i="66" s="1"/>
  <c r="AI39" i="66" a="1"/>
  <c r="AI39" i="66" s="1"/>
  <c r="AL37" i="66" l="1"/>
  <c r="AJ37" i="66"/>
  <c r="M31" i="66" a="1"/>
  <c r="M31" i="66" s="1"/>
  <c r="K31" i="66"/>
  <c r="AD31" i="66" a="1"/>
  <c r="AD31" i="66" s="1"/>
  <c r="I31" i="66"/>
  <c r="AB31" i="66" a="1"/>
  <c r="AB31" i="66" s="1"/>
  <c r="Z31" i="66" a="1"/>
  <c r="Z31" i="66" s="1"/>
  <c r="X31" i="66" a="1"/>
  <c r="X31" i="66" s="1"/>
  <c r="T31" i="66" a="1"/>
  <c r="T31" i="66" s="1"/>
  <c r="R31" i="66" a="1"/>
  <c r="R31" i="66" s="1"/>
  <c r="O31" i="66" a="1"/>
  <c r="O31" i="66" s="1"/>
  <c r="R30" i="66" a="1"/>
  <c r="R30" i="66" s="1"/>
  <c r="O30" i="66" a="1"/>
  <c r="O30" i="66" s="1"/>
  <c r="M30" i="66" a="1"/>
  <c r="M30" i="66" s="1"/>
  <c r="K30" i="66"/>
  <c r="AD30" i="66" a="1"/>
  <c r="AD30" i="66" s="1"/>
  <c r="I30" i="66"/>
  <c r="AB30" i="66" a="1"/>
  <c r="AB30" i="66" s="1"/>
  <c r="Z30" i="66" a="1"/>
  <c r="Z30" i="66" s="1"/>
  <c r="X30" i="66" a="1"/>
  <c r="X30" i="66" s="1"/>
  <c r="T30" i="66" a="1"/>
  <c r="T30" i="66" s="1"/>
  <c r="D25" i="35"/>
  <c r="U25" i="66"/>
  <c r="Y28" i="66" a="1"/>
  <c r="Y28" i="66" s="1"/>
  <c r="K25" i="67" s="1"/>
  <c r="S28" i="66"/>
  <c r="W28" i="66" a="1"/>
  <c r="W28" i="66" s="1"/>
  <c r="J25" i="67" s="1"/>
  <c r="Q28" i="66"/>
  <c r="AC27" i="66" a="1"/>
  <c r="AC27" i="66" s="1"/>
  <c r="L27" i="66"/>
  <c r="N28" i="66"/>
  <c r="L28" i="66"/>
  <c r="AE27" i="66" a="1"/>
  <c r="AE27" i="66" s="1"/>
  <c r="N27" i="66"/>
  <c r="AA25" i="66" a="1"/>
  <c r="AA25" i="66" s="1"/>
  <c r="AC25" i="66" a="1"/>
  <c r="AC25" i="66" s="1"/>
  <c r="AA27" i="66" a="1"/>
  <c r="AA27" i="66" s="1"/>
  <c r="AE25" i="66" a="1"/>
  <c r="AE25" i="66" s="1"/>
  <c r="F33" i="66"/>
  <c r="F34" i="66"/>
  <c r="D40" i="66"/>
  <c r="AK37" i="66" a="1"/>
  <c r="AK37" i="66" s="1"/>
  <c r="AI37" i="66" a="1"/>
  <c r="AI37" i="66" s="1"/>
  <c r="J31" i="66" a="1"/>
  <c r="J31" i="66" s="1"/>
  <c r="G31" i="66" a="1"/>
  <c r="G31" i="66" s="1"/>
  <c r="H31" i="66" a="1"/>
  <c r="H31" i="66" s="1"/>
  <c r="J30" i="66" a="1"/>
  <c r="J30" i="66" s="1"/>
  <c r="G30" i="66" a="1"/>
  <c r="G30" i="66" s="1"/>
  <c r="H30" i="66" a="1"/>
  <c r="H30" i="66" s="1"/>
  <c r="W30" i="66" s="1" a="1"/>
  <c r="W30" i="66" s="1"/>
  <c r="F17" i="65" a="1"/>
  <c r="F17" i="65" s="1"/>
  <c r="AL40" i="66" l="1"/>
  <c r="AJ40" i="66"/>
  <c r="X34" i="66" a="1"/>
  <c r="X34" i="66" s="1"/>
  <c r="T34" i="66" a="1"/>
  <c r="T34" i="66" s="1"/>
  <c r="R34" i="66" a="1"/>
  <c r="R34" i="66" s="1"/>
  <c r="O34" i="66" a="1"/>
  <c r="O34" i="66" s="1"/>
  <c r="M34" i="66" a="1"/>
  <c r="M34" i="66" s="1"/>
  <c r="K34" i="66"/>
  <c r="AD34" i="66" a="1"/>
  <c r="AD34" i="66" s="1"/>
  <c r="I34" i="66"/>
  <c r="AB34" i="66" a="1"/>
  <c r="AB34" i="66" s="1"/>
  <c r="Z34" i="66" a="1"/>
  <c r="Z34" i="66" s="1"/>
  <c r="AB33" i="66" a="1"/>
  <c r="AB33" i="66" s="1"/>
  <c r="Z33" i="66" a="1"/>
  <c r="Z33" i="66" s="1"/>
  <c r="X33" i="66" a="1"/>
  <c r="X33" i="66" s="1"/>
  <c r="T33" i="66" a="1"/>
  <c r="T33" i="66" s="1"/>
  <c r="R33" i="66" a="1"/>
  <c r="R33" i="66" s="1"/>
  <c r="O33" i="66" a="1"/>
  <c r="O33" i="66" s="1"/>
  <c r="M33" i="66" a="1"/>
  <c r="M33" i="66" s="1"/>
  <c r="K33" i="66"/>
  <c r="AD33" i="66" a="1"/>
  <c r="AD33" i="66" s="1"/>
  <c r="I33" i="66"/>
  <c r="D26" i="35"/>
  <c r="AC28" i="66" a="1"/>
  <c r="AC28" i="66" s="1"/>
  <c r="AE28" i="66" a="1"/>
  <c r="AE28" i="66" s="1"/>
  <c r="AA28" i="66" a="1"/>
  <c r="AA28" i="66" s="1"/>
  <c r="U28" i="66"/>
  <c r="Q31" i="66"/>
  <c r="Y31" i="66" a="1"/>
  <c r="Y31" i="66" s="1"/>
  <c r="S31" i="66"/>
  <c r="L31" i="66"/>
  <c r="W31" i="66" a="1"/>
  <c r="W31" i="66" s="1"/>
  <c r="J28" i="67" s="1"/>
  <c r="N30" i="66"/>
  <c r="N31" i="66"/>
  <c r="Y30" i="66" a="1"/>
  <c r="Y30" i="66" s="1"/>
  <c r="L30" i="66"/>
  <c r="F36" i="66"/>
  <c r="F37" i="66"/>
  <c r="AK40" i="66" a="1"/>
  <c r="AK40" i="66" s="1"/>
  <c r="AI40" i="66" a="1"/>
  <c r="AI40" i="66" s="1"/>
  <c r="G34" i="66" a="1"/>
  <c r="G34" i="66" s="1"/>
  <c r="J34" i="66" a="1"/>
  <c r="J34" i="66" s="1"/>
  <c r="H34" i="66" a="1"/>
  <c r="H34" i="66" s="1"/>
  <c r="G33" i="66" a="1"/>
  <c r="G33" i="66" s="1"/>
  <c r="H33" i="66" a="1"/>
  <c r="H33" i="66" s="1"/>
  <c r="W33" i="66" s="1" a="1"/>
  <c r="W33" i="66" s="1"/>
  <c r="J33" i="66" a="1"/>
  <c r="J33" i="66" s="1"/>
  <c r="Y33" i="66" s="1" a="1"/>
  <c r="Y33" i="66" s="1"/>
  <c r="M37" i="66" l="1" a="1"/>
  <c r="M37" i="66" s="1"/>
  <c r="K37" i="66"/>
  <c r="AD37" i="66" a="1"/>
  <c r="AD37" i="66" s="1"/>
  <c r="I37" i="66"/>
  <c r="AB37" i="66" a="1"/>
  <c r="AB37" i="66" s="1"/>
  <c r="Z37" i="66" a="1"/>
  <c r="Z37" i="66" s="1"/>
  <c r="X37" i="66" a="1"/>
  <c r="X37" i="66" s="1"/>
  <c r="T37" i="66" a="1"/>
  <c r="T37" i="66" s="1"/>
  <c r="R37" i="66" a="1"/>
  <c r="R37" i="66" s="1"/>
  <c r="O37" i="66" a="1"/>
  <c r="O37" i="66" s="1"/>
  <c r="R36" i="66" a="1"/>
  <c r="R36" i="66" s="1"/>
  <c r="O36" i="66" a="1"/>
  <c r="O36" i="66" s="1"/>
  <c r="M36" i="66" a="1"/>
  <c r="M36" i="66" s="1"/>
  <c r="K36" i="66"/>
  <c r="AD36" i="66" a="1"/>
  <c r="AD36" i="66" s="1"/>
  <c r="I36" i="66"/>
  <c r="AB36" i="66" a="1"/>
  <c r="AB36" i="66" s="1"/>
  <c r="Z36" i="66" a="1"/>
  <c r="Z36" i="66" s="1"/>
  <c r="X36" i="66" a="1"/>
  <c r="X36" i="66" s="1"/>
  <c r="T36" i="66" a="1"/>
  <c r="T36" i="66" s="1"/>
  <c r="D27" i="35"/>
  <c r="K28" i="67"/>
  <c r="AE31" i="66" a="1"/>
  <c r="AE31" i="66" s="1"/>
  <c r="U31" i="66"/>
  <c r="W34" i="66" a="1"/>
  <c r="W34" i="66" s="1"/>
  <c r="J31" i="67" s="1"/>
  <c r="Q34" i="66"/>
  <c r="Y34" i="66" a="1"/>
  <c r="Y34" i="66" s="1"/>
  <c r="K31" i="67" s="1"/>
  <c r="S34" i="66"/>
  <c r="AC31" i="66" a="1"/>
  <c r="AC31" i="66" s="1"/>
  <c r="AA31" i="66" a="1"/>
  <c r="AA31" i="66" s="1"/>
  <c r="AE30" i="66" a="1"/>
  <c r="AE30" i="66" s="1"/>
  <c r="L33" i="66"/>
  <c r="AC30" i="66" a="1"/>
  <c r="AC30" i="66" s="1"/>
  <c r="AA30" i="66" a="1"/>
  <c r="AA30" i="66" s="1"/>
  <c r="AA33" i="66" a="1"/>
  <c r="AA33" i="66" s="1"/>
  <c r="AC33" i="66" a="1"/>
  <c r="AC33" i="66" s="1"/>
  <c r="AE33" i="66" a="1"/>
  <c r="AE33" i="66" s="1"/>
  <c r="N33" i="66"/>
  <c r="N34" i="66"/>
  <c r="L34" i="66"/>
  <c r="F40" i="66"/>
  <c r="F39" i="66"/>
  <c r="J37" i="66" a="1"/>
  <c r="J37" i="66" s="1"/>
  <c r="H37" i="66" a="1"/>
  <c r="H37" i="66" s="1"/>
  <c r="G37" i="66" a="1"/>
  <c r="G37" i="66" s="1"/>
  <c r="G36" i="66" a="1"/>
  <c r="G36" i="66" s="1"/>
  <c r="H36" i="66" a="1"/>
  <c r="H36" i="66" s="1"/>
  <c r="J36" i="66" a="1"/>
  <c r="J36" i="66" s="1"/>
  <c r="Y36" i="66" s="1" a="1"/>
  <c r="Y36" i="66" s="1"/>
  <c r="AB39" i="66" l="1" a="1"/>
  <c r="AB39" i="66" s="1"/>
  <c r="Z39" i="66" a="1"/>
  <c r="Z39" i="66" s="1"/>
  <c r="X39" i="66" a="1"/>
  <c r="X39" i="66" s="1"/>
  <c r="T39" i="66" a="1"/>
  <c r="T39" i="66" s="1"/>
  <c r="R39" i="66" a="1"/>
  <c r="R39" i="66" s="1"/>
  <c r="O39" i="66" a="1"/>
  <c r="O39" i="66" s="1"/>
  <c r="M39" i="66" a="1"/>
  <c r="M39" i="66" s="1"/>
  <c r="K39" i="66"/>
  <c r="AD39" i="66" a="1"/>
  <c r="AD39" i="66" s="1"/>
  <c r="I39" i="66"/>
  <c r="X40" i="66" a="1"/>
  <c r="X40" i="66" s="1"/>
  <c r="T40" i="66" a="1"/>
  <c r="T40" i="66" s="1"/>
  <c r="R40" i="66" a="1"/>
  <c r="R40" i="66" s="1"/>
  <c r="O40" i="66" a="1"/>
  <c r="O40" i="66" s="1"/>
  <c r="M40" i="66" a="1"/>
  <c r="M40" i="66" s="1"/>
  <c r="K40" i="66"/>
  <c r="AD40" i="66" a="1"/>
  <c r="AD40" i="66" s="1"/>
  <c r="I40" i="66"/>
  <c r="AB40" i="66" a="1"/>
  <c r="AB40" i="66" s="1"/>
  <c r="Z40" i="66" a="1"/>
  <c r="Z40" i="66" s="1"/>
  <c r="D28" i="35"/>
  <c r="F20" i="65" a="1"/>
  <c r="F20" i="65" s="1"/>
  <c r="AE34" i="66" a="1"/>
  <c r="AE34" i="66" s="1"/>
  <c r="AC34" i="66" a="1"/>
  <c r="AC34" i="66" s="1"/>
  <c r="AA34" i="66" a="1"/>
  <c r="AA34" i="66" s="1"/>
  <c r="W37" i="66" a="1"/>
  <c r="W37" i="66" s="1"/>
  <c r="Q37" i="66"/>
  <c r="S37" i="66"/>
  <c r="U34" i="66"/>
  <c r="N36" i="66"/>
  <c r="L37" i="66"/>
  <c r="Y37" i="66" a="1"/>
  <c r="Y37" i="66" s="1"/>
  <c r="K34" i="67" s="1"/>
  <c r="L36" i="66"/>
  <c r="W36" i="66" a="1"/>
  <c r="W36" i="66" s="1"/>
  <c r="N37" i="66"/>
  <c r="H39" i="66" a="1"/>
  <c r="H39" i="66" s="1"/>
  <c r="W39" i="66" s="1" a="1"/>
  <c r="W39" i="66" s="1"/>
  <c r="G39" i="66" a="1"/>
  <c r="G39" i="66" s="1"/>
  <c r="J39" i="66" a="1"/>
  <c r="J39" i="66" s="1"/>
  <c r="H40" i="66" a="1"/>
  <c r="H40" i="66" s="1"/>
  <c r="J40" i="66" a="1"/>
  <c r="J40" i="66" s="1"/>
  <c r="G40" i="66" a="1"/>
  <c r="G40" i="66" s="1"/>
  <c r="D29" i="35" l="1"/>
  <c r="J34" i="67"/>
  <c r="U37" i="66"/>
  <c r="Y40" i="66" a="1"/>
  <c r="Y40" i="66" s="1"/>
  <c r="S40" i="66"/>
  <c r="W40" i="66" a="1"/>
  <c r="W40" i="66" s="1"/>
  <c r="J37" i="67" s="1"/>
  <c r="Q40" i="66"/>
  <c r="L39" i="66"/>
  <c r="Y39" i="66" a="1"/>
  <c r="Y39" i="66" s="1"/>
  <c r="AC36" i="66" a="1"/>
  <c r="AC36" i="66" s="1"/>
  <c r="AE36" i="66" a="1"/>
  <c r="AE36" i="66" s="1"/>
  <c r="L40" i="66"/>
  <c r="N39" i="66"/>
  <c r="AC37" i="66" a="1"/>
  <c r="AC37" i="66" s="1"/>
  <c r="AA37" i="66" a="1"/>
  <c r="AA37" i="66" s="1"/>
  <c r="N40" i="66"/>
  <c r="AA36" i="66" a="1"/>
  <c r="AA36" i="66" s="1"/>
  <c r="AE37" i="66" a="1"/>
  <c r="AE37" i="66" s="1"/>
  <c r="S6" i="74" a="1"/>
  <c r="S6" i="74" s="1"/>
  <c r="H2" i="76"/>
  <c r="H6" i="76" s="1"/>
  <c r="H2" i="73"/>
  <c r="H6" i="73" s="1"/>
  <c r="S4" i="31"/>
  <c r="R4" i="31"/>
  <c r="AA78" i="79"/>
  <c r="U78" i="79"/>
  <c r="AD78" i="79" s="1"/>
  <c r="AA77" i="79"/>
  <c r="U77" i="79"/>
  <c r="AD77" i="79" s="1"/>
  <c r="AA76" i="79"/>
  <c r="U76" i="79"/>
  <c r="AD76" i="79" s="1"/>
  <c r="AA75" i="79"/>
  <c r="U75" i="79"/>
  <c r="AD75" i="79" s="1"/>
  <c r="AA74" i="79"/>
  <c r="U74" i="79"/>
  <c r="AD74" i="79" s="1"/>
  <c r="AA73" i="79"/>
  <c r="U73" i="79"/>
  <c r="AD73" i="79" s="1"/>
  <c r="AA72" i="79"/>
  <c r="U72" i="79"/>
  <c r="AD72" i="79" s="1"/>
  <c r="D72" i="79"/>
  <c r="D73" i="79" s="1"/>
  <c r="AA71" i="79"/>
  <c r="U71" i="79"/>
  <c r="AD71" i="79" s="1"/>
  <c r="E71" i="79"/>
  <c r="L71" i="79" s="1"/>
  <c r="L92" i="79"/>
  <c r="L93" i="79"/>
  <c r="D94" i="79"/>
  <c r="D95" i="79" s="1"/>
  <c r="D96" i="79" s="1"/>
  <c r="D97" i="79" s="1"/>
  <c r="D98" i="79" s="1"/>
  <c r="D99" i="79" s="1"/>
  <c r="D100" i="79" s="1"/>
  <c r="D101" i="79" s="1"/>
  <c r="D102" i="79" s="1"/>
  <c r="D103" i="79" s="1"/>
  <c r="D104" i="79" s="1"/>
  <c r="D105" i="79" s="1"/>
  <c r="D106" i="79" s="1"/>
  <c r="D107" i="79" s="1"/>
  <c r="D108" i="79" s="1"/>
  <c r="D109" i="79" s="1"/>
  <c r="D110" i="79" s="1"/>
  <c r="D111" i="79" s="1"/>
  <c r="D112" i="79" s="1"/>
  <c r="D113" i="79" s="1"/>
  <c r="O112" i="79"/>
  <c r="M112" i="79" s="1"/>
  <c r="O111" i="79"/>
  <c r="M111" i="79" s="1"/>
  <c r="O110" i="79"/>
  <c r="M110" i="79" s="1"/>
  <c r="O109" i="79"/>
  <c r="M109" i="79" s="1"/>
  <c r="O108" i="79"/>
  <c r="M108" i="79" s="1"/>
  <c r="O107" i="79"/>
  <c r="M107" i="79" s="1"/>
  <c r="O106" i="79"/>
  <c r="M106" i="79" s="1"/>
  <c r="O105" i="79"/>
  <c r="M105" i="79" s="1"/>
  <c r="O104" i="79"/>
  <c r="M104" i="79" s="1"/>
  <c r="O91" i="79"/>
  <c r="M91" i="79" s="1"/>
  <c r="O90" i="79"/>
  <c r="M90" i="79" s="1"/>
  <c r="O89" i="79"/>
  <c r="M89" i="79" s="1"/>
  <c r="O88" i="79"/>
  <c r="M88" i="79" s="1"/>
  <c r="O87" i="79"/>
  <c r="M87" i="79" s="1"/>
  <c r="O86" i="79"/>
  <c r="M86" i="79" s="1"/>
  <c r="O85" i="79"/>
  <c r="M85" i="79" s="1"/>
  <c r="O84" i="79"/>
  <c r="M84" i="79" s="1"/>
  <c r="O83" i="79"/>
  <c r="M83" i="79" s="1"/>
  <c r="O82" i="79"/>
  <c r="M82" i="79" s="1"/>
  <c r="O81" i="79"/>
  <c r="M81" i="79" s="1"/>
  <c r="O80" i="79"/>
  <c r="M80" i="79" s="1"/>
  <c r="L1" i="79"/>
  <c r="D1" i="78"/>
  <c r="D2" i="78"/>
  <c r="G2" i="78"/>
  <c r="H3" i="78"/>
  <c r="H8" i="78" s="1"/>
  <c r="T3" i="78"/>
  <c r="G8" i="78"/>
  <c r="S8" i="78"/>
  <c r="E11" i="78"/>
  <c r="D12" i="78"/>
  <c r="E12" i="78" s="1"/>
  <c r="D13" i="78"/>
  <c r="E13" i="78" s="1"/>
  <c r="D1" i="77"/>
  <c r="D2" i="77"/>
  <c r="G2" i="77"/>
  <c r="H3" i="77"/>
  <c r="I3" i="77" s="1"/>
  <c r="T3" i="77"/>
  <c r="U3" i="77" s="1"/>
  <c r="V3" i="77" s="1"/>
  <c r="P4" i="77"/>
  <c r="AB4" i="77"/>
  <c r="G8" i="77"/>
  <c r="S8" i="77"/>
  <c r="E11" i="77"/>
  <c r="D12" i="77"/>
  <c r="D1" i="76"/>
  <c r="D2" i="76"/>
  <c r="I3" i="76"/>
  <c r="J3" i="76" s="1"/>
  <c r="J7" i="76" s="1"/>
  <c r="V3" i="76"/>
  <c r="W3" i="76" s="1"/>
  <c r="H7" i="76"/>
  <c r="U7" i="76"/>
  <c r="E10" i="76"/>
  <c r="D11" i="76"/>
  <c r="E11" i="76" s="1"/>
  <c r="D1" i="75"/>
  <c r="D2" i="75"/>
  <c r="G2" i="75"/>
  <c r="H3" i="75"/>
  <c r="I3" i="75" s="1"/>
  <c r="I8" i="75" s="1"/>
  <c r="T3" i="75"/>
  <c r="U3" i="75" s="1"/>
  <c r="G8" i="75"/>
  <c r="S8" i="75"/>
  <c r="E11" i="75"/>
  <c r="D12" i="75"/>
  <c r="D1" i="74"/>
  <c r="D2" i="74"/>
  <c r="G2" i="74"/>
  <c r="H3" i="74"/>
  <c r="H8" i="74" s="1"/>
  <c r="T3" i="74"/>
  <c r="T6" i="74" s="1" a="1"/>
  <c r="T6" i="74" s="1"/>
  <c r="AB4" i="74"/>
  <c r="G8" i="74"/>
  <c r="S8" i="74"/>
  <c r="E11" i="74"/>
  <c r="D12" i="74"/>
  <c r="E12" i="74" s="1"/>
  <c r="D1" i="73"/>
  <c r="D2" i="73"/>
  <c r="I3" i="73"/>
  <c r="I7" i="73" s="1"/>
  <c r="V3" i="73"/>
  <c r="V7" i="73" s="1"/>
  <c r="H7" i="73"/>
  <c r="U7" i="73"/>
  <c r="E10" i="73"/>
  <c r="D11" i="73"/>
  <c r="D12" i="73" s="1"/>
  <c r="L2" i="72"/>
  <c r="L4" i="72" s="1" a="1"/>
  <c r="L4" i="72" s="1"/>
  <c r="Y2" i="72"/>
  <c r="Z2" i="72" s="1"/>
  <c r="K4" i="72" a="1"/>
  <c r="K4" i="72" s="1"/>
  <c r="X4" i="72" a="1"/>
  <c r="X4" i="72" s="1"/>
  <c r="F7" i="72"/>
  <c r="G7" i="72" a="1"/>
  <c r="G7" i="72" s="1"/>
  <c r="D8" i="72"/>
  <c r="G8" i="72" s="1" a="1"/>
  <c r="G8" i="72" s="1"/>
  <c r="F8" i="72"/>
  <c r="F9" i="72"/>
  <c r="F10" i="72"/>
  <c r="F11" i="72"/>
  <c r="F12" i="72"/>
  <c r="F13" i="72"/>
  <c r="F14" i="72"/>
  <c r="F15" i="72"/>
  <c r="F16" i="72"/>
  <c r="T16" i="72"/>
  <c r="V16" i="72" s="1"/>
  <c r="AG16" i="72"/>
  <c r="AI16" i="72" s="1"/>
  <c r="E17" i="72"/>
  <c r="G17" i="72" a="1"/>
  <c r="G17" i="72" s="1"/>
  <c r="D18" i="72"/>
  <c r="G18" i="72" s="1" a="1"/>
  <c r="G18" i="72" s="1"/>
  <c r="E18" i="72"/>
  <c r="E19" i="72"/>
  <c r="E20" i="72"/>
  <c r="E21" i="72"/>
  <c r="E22" i="72"/>
  <c r="E23" i="72"/>
  <c r="E24" i="72"/>
  <c r="E25" i="72"/>
  <c r="E26" i="72"/>
  <c r="E36" i="72" s="1"/>
  <c r="G27" i="72" a="1"/>
  <c r="G27" i="72" s="1"/>
  <c r="D28" i="72"/>
  <c r="D29" i="72" s="1"/>
  <c r="G29" i="72" s="1" a="1"/>
  <c r="G29" i="72" s="1"/>
  <c r="G37" i="72" a="1"/>
  <c r="G37" i="72" s="1"/>
  <c r="D38" i="72"/>
  <c r="D39" i="72" s="1"/>
  <c r="G39" i="72" s="1" a="1"/>
  <c r="G39" i="72" s="1"/>
  <c r="G47" i="72" a="1"/>
  <c r="G47" i="72" s="1"/>
  <c r="D48" i="72"/>
  <c r="D49" i="72" s="1"/>
  <c r="AA40" i="66" l="1" a="1"/>
  <c r="AA40" i="66" s="1"/>
  <c r="AE40" i="66" a="1"/>
  <c r="AE40" i="66" s="1"/>
  <c r="AC40" i="66" a="1"/>
  <c r="AC40" i="66" s="1"/>
  <c r="G38" i="72" a="1"/>
  <c r="G38" i="72" s="1"/>
  <c r="D14" i="78"/>
  <c r="E14" i="78" s="1"/>
  <c r="T8" i="77"/>
  <c r="D19" i="72"/>
  <c r="G19" i="72" s="1" a="1"/>
  <c r="G19" i="72" s="1"/>
  <c r="D30" i="35"/>
  <c r="F21" i="72"/>
  <c r="T21" i="72"/>
  <c r="S21" i="72" s="1"/>
  <c r="V21" i="72" s="1"/>
  <c r="AG21" i="72"/>
  <c r="AF21" i="72" s="1"/>
  <c r="AI21" i="72" s="1"/>
  <c r="F25" i="72"/>
  <c r="T25" i="72"/>
  <c r="S25" i="72" s="1"/>
  <c r="V25" i="72" s="1"/>
  <c r="AG25" i="72"/>
  <c r="AF25" i="72" s="1"/>
  <c r="AI25" i="72" s="1"/>
  <c r="F18" i="72"/>
  <c r="AG18" i="72"/>
  <c r="X18" i="72" s="1"/>
  <c r="AI18" i="72" s="1"/>
  <c r="T18" i="72"/>
  <c r="L18" i="72" s="1"/>
  <c r="V18" i="72" s="1"/>
  <c r="I2" i="76"/>
  <c r="J2" i="76" s="1"/>
  <c r="K2" i="76" s="1"/>
  <c r="L2" i="76" s="1"/>
  <c r="M2" i="76" s="1"/>
  <c r="N2" i="76" s="1"/>
  <c r="O2" i="76" s="1"/>
  <c r="P2" i="76" s="1"/>
  <c r="Q2" i="76" s="1"/>
  <c r="E34" i="72"/>
  <c r="F34" i="72" s="1"/>
  <c r="T24" i="72"/>
  <c r="S24" i="72" s="1"/>
  <c r="V24" i="72" s="1"/>
  <c r="AG24" i="72"/>
  <c r="AF24" i="72" s="1"/>
  <c r="AI24" i="72" s="1"/>
  <c r="F23" i="72"/>
  <c r="T23" i="72"/>
  <c r="S23" i="72" s="1"/>
  <c r="V23" i="72" s="1"/>
  <c r="AG23" i="72"/>
  <c r="AF23" i="72" s="1"/>
  <c r="AI23" i="72" s="1"/>
  <c r="Y4" i="72" a="1"/>
  <c r="Y4" i="72" s="1"/>
  <c r="F19" i="72"/>
  <c r="AG19" i="72"/>
  <c r="AF19" i="72" s="1"/>
  <c r="AI19" i="72" s="1"/>
  <c r="T19" i="72"/>
  <c r="S19" i="72" s="1"/>
  <c r="V19" i="72" s="1"/>
  <c r="E32" i="72"/>
  <c r="E42" i="72" s="1"/>
  <c r="T22" i="72"/>
  <c r="S22" i="72" s="1"/>
  <c r="V22" i="72" s="1"/>
  <c r="AG22" i="72"/>
  <c r="AF22" i="72" s="1"/>
  <c r="AI22" i="72" s="1"/>
  <c r="F17" i="72"/>
  <c r="T17" i="72"/>
  <c r="K17" i="72" s="1"/>
  <c r="V17" i="72" s="1"/>
  <c r="AG17" i="72"/>
  <c r="X17" i="72" s="1"/>
  <c r="AI17" i="72" s="1"/>
  <c r="E30" i="72"/>
  <c r="E40" i="72" s="1"/>
  <c r="AG20" i="72"/>
  <c r="AF20" i="72" s="1"/>
  <c r="AI20" i="72" s="1"/>
  <c r="T20" i="72"/>
  <c r="S20" i="72" s="1"/>
  <c r="V20" i="72" s="1"/>
  <c r="G10" i="73"/>
  <c r="T8" i="75"/>
  <c r="G28" i="72" a="1"/>
  <c r="G28" i="72" s="1"/>
  <c r="E35" i="72"/>
  <c r="E33" i="72"/>
  <c r="F26" i="72"/>
  <c r="D12" i="76"/>
  <c r="D13" i="76" s="1"/>
  <c r="E31" i="72"/>
  <c r="H10" i="76"/>
  <c r="F36" i="72"/>
  <c r="E46" i="72"/>
  <c r="F46" i="72" s="1"/>
  <c r="H2" i="78"/>
  <c r="G7" i="78"/>
  <c r="D30" i="72"/>
  <c r="D31" i="72" s="1"/>
  <c r="G31" i="72" s="1" a="1"/>
  <c r="G31" i="72" s="1"/>
  <c r="H2" i="77"/>
  <c r="I2" i="77" s="1"/>
  <c r="G7" i="77"/>
  <c r="E29" i="72"/>
  <c r="E27" i="72"/>
  <c r="H2" i="75"/>
  <c r="I2" i="75" s="1"/>
  <c r="G7" i="75"/>
  <c r="U8" i="77"/>
  <c r="F10" i="76"/>
  <c r="F11" i="76" s="1"/>
  <c r="F12" i="76" s="1"/>
  <c r="F13" i="76" s="1"/>
  <c r="G10" i="76"/>
  <c r="G11" i="76"/>
  <c r="H2" i="74"/>
  <c r="I2" i="74" s="1"/>
  <c r="G7" i="74"/>
  <c r="G6" i="74" a="1"/>
  <c r="G6" i="74" s="1"/>
  <c r="G6" i="77" a="1"/>
  <c r="G6" i="77" s="1"/>
  <c r="H6" i="74" a="1"/>
  <c r="H6" i="74" s="1"/>
  <c r="AE39" i="66" a="1"/>
  <c r="AE39" i="66" s="1"/>
  <c r="K37" i="67"/>
  <c r="S6" i="77" a="1"/>
  <c r="S6" i="77" s="1"/>
  <c r="T6" i="77" a="1"/>
  <c r="T6" i="77" s="1"/>
  <c r="U40" i="66"/>
  <c r="AC39" i="66" a="1"/>
  <c r="AC39" i="66" s="1"/>
  <c r="AA39" i="66" a="1"/>
  <c r="AA39" i="66" s="1"/>
  <c r="I3" i="78"/>
  <c r="H8" i="75"/>
  <c r="J3" i="75"/>
  <c r="K3" i="75" s="1"/>
  <c r="I8" i="77"/>
  <c r="J3" i="77"/>
  <c r="K3" i="77" s="1"/>
  <c r="H6" i="77" a="1"/>
  <c r="H6" i="77" s="1"/>
  <c r="H8" i="77"/>
  <c r="K3" i="76"/>
  <c r="L3" i="76" s="1"/>
  <c r="M3" i="76" s="1"/>
  <c r="M7" i="76" s="1"/>
  <c r="V7" i="76"/>
  <c r="X3" i="76"/>
  <c r="Y3" i="76" s="1"/>
  <c r="W7" i="76"/>
  <c r="I7" i="76"/>
  <c r="J3" i="73"/>
  <c r="J7" i="73" s="1"/>
  <c r="W3" i="73"/>
  <c r="W7" i="73" s="1"/>
  <c r="E11" i="73"/>
  <c r="G11" i="73" s="1"/>
  <c r="AE76" i="79"/>
  <c r="AE73" i="79"/>
  <c r="AB73" i="79" s="1"/>
  <c r="O73" i="79" s="1"/>
  <c r="M73" i="79" s="1"/>
  <c r="AE75" i="79"/>
  <c r="AE72" i="79"/>
  <c r="AB72" i="79" s="1"/>
  <c r="O72" i="79" s="1"/>
  <c r="M72" i="79" s="1"/>
  <c r="E73" i="79"/>
  <c r="L73" i="79" s="1"/>
  <c r="D74" i="79"/>
  <c r="AE71" i="79"/>
  <c r="AE74" i="79"/>
  <c r="AE77" i="79"/>
  <c r="AB77" i="79" s="1"/>
  <c r="O77" i="79" s="1"/>
  <c r="M77" i="79" s="1"/>
  <c r="E72" i="79"/>
  <c r="L72" i="79" s="1"/>
  <c r="AE78" i="79"/>
  <c r="O92" i="79"/>
  <c r="M92" i="79" s="1"/>
  <c r="O103" i="79"/>
  <c r="M103" i="79" s="1"/>
  <c r="O97" i="79"/>
  <c r="M97" i="79" s="1"/>
  <c r="O95" i="79"/>
  <c r="M95" i="79" s="1"/>
  <c r="O100" i="79"/>
  <c r="M100" i="79" s="1"/>
  <c r="O94" i="79"/>
  <c r="M94" i="79" s="1"/>
  <c r="O102" i="79"/>
  <c r="M102" i="79" s="1"/>
  <c r="O96" i="79"/>
  <c r="M96" i="79" s="1"/>
  <c r="O99" i="79"/>
  <c r="M99" i="79" s="1"/>
  <c r="O93" i="79"/>
  <c r="M93" i="79" s="1"/>
  <c r="O101" i="79"/>
  <c r="M101" i="79" s="1"/>
  <c r="O98" i="79"/>
  <c r="M98" i="79" s="1"/>
  <c r="F30" i="72"/>
  <c r="G49" i="72" a="1"/>
  <c r="G49" i="72" s="1"/>
  <c r="D50" i="72"/>
  <c r="E44" i="72"/>
  <c r="AA2" i="72"/>
  <c r="Z4" i="72" a="1"/>
  <c r="Z4" i="72" s="1"/>
  <c r="F24" i="72"/>
  <c r="F22" i="72"/>
  <c r="F20" i="72"/>
  <c r="M2" i="72"/>
  <c r="G48" i="72" a="1"/>
  <c r="G48" i="72" s="1"/>
  <c r="E28" i="72"/>
  <c r="D9" i="72"/>
  <c r="E56" i="72"/>
  <c r="F56" i="72" s="1"/>
  <c r="D40" i="72"/>
  <c r="D13" i="73"/>
  <c r="E12" i="73"/>
  <c r="F10" i="73"/>
  <c r="I2" i="73"/>
  <c r="H10" i="73"/>
  <c r="U3" i="74"/>
  <c r="T8" i="74"/>
  <c r="D13" i="74"/>
  <c r="I3" i="74"/>
  <c r="D13" i="75"/>
  <c r="E12" i="75"/>
  <c r="V3" i="75"/>
  <c r="U8" i="75"/>
  <c r="D13" i="77"/>
  <c r="E12" i="77"/>
  <c r="V8" i="77"/>
  <c r="W3" i="77"/>
  <c r="U3" i="78"/>
  <c r="T8" i="78"/>
  <c r="I2" i="78"/>
  <c r="I10" i="76" l="1"/>
  <c r="R10" i="76" s="1"/>
  <c r="F32" i="72"/>
  <c r="D20" i="72"/>
  <c r="D15" i="78"/>
  <c r="E12" i="76"/>
  <c r="G12" i="76" s="1"/>
  <c r="D32" i="72"/>
  <c r="G30" i="72" a="1"/>
  <c r="G30" i="72" s="1"/>
  <c r="V995" i="79" a="1"/>
  <c r="V995" i="79" s="1"/>
  <c r="X999" i="79" a="1"/>
  <c r="X999" i="79" s="1"/>
  <c r="V999" i="79" a="1"/>
  <c r="V999" i="79" s="1"/>
  <c r="V1004" i="79" a="1"/>
  <c r="V1004" i="79" s="1"/>
  <c r="X1004" i="79" a="1"/>
  <c r="X1004" i="79" s="1"/>
  <c r="X995" i="79" a="1"/>
  <c r="X995" i="79" s="1"/>
  <c r="X987" i="79" a="1"/>
  <c r="X987" i="79" s="1"/>
  <c r="X991" i="79" a="1"/>
  <c r="X991" i="79" s="1"/>
  <c r="V991" i="79" a="1"/>
  <c r="V991" i="79" s="1"/>
  <c r="V987" i="79" a="1"/>
  <c r="V987" i="79" s="1"/>
  <c r="V395" i="79" a="1"/>
  <c r="V395" i="79" s="1"/>
  <c r="X397" i="79" a="1"/>
  <c r="X397" i="79" s="1"/>
  <c r="X396" i="79" a="1"/>
  <c r="X396" i="79" s="1"/>
  <c r="X395" i="79" a="1"/>
  <c r="X395" i="79" s="1"/>
  <c r="V396" i="79" a="1"/>
  <c r="V396" i="79" s="1"/>
  <c r="V397" i="79" a="1"/>
  <c r="V397" i="79" s="1"/>
  <c r="X386" i="79" a="1"/>
  <c r="X386" i="79" s="1"/>
  <c r="X384" i="79" a="1"/>
  <c r="X384" i="79" s="1"/>
  <c r="X387" i="79" a="1"/>
  <c r="X387" i="79" s="1"/>
  <c r="X385" i="79" a="1"/>
  <c r="X385" i="79" s="1"/>
  <c r="V387" i="79" a="1"/>
  <c r="V387" i="79" s="1"/>
  <c r="V385" i="79" a="1"/>
  <c r="V385" i="79" s="1"/>
  <c r="V386" i="79" a="1"/>
  <c r="V386" i="79" s="1"/>
  <c r="V384" i="79" a="1"/>
  <c r="V384" i="79" s="1"/>
  <c r="D31" i="35"/>
  <c r="O140" i="79" a="1"/>
  <c r="O140" i="79" s="1"/>
  <c r="M140" i="79" s="1"/>
  <c r="O385" i="79" a="1"/>
  <c r="O385" i="79" s="1"/>
  <c r="M385" i="79" s="1"/>
  <c r="O386" i="79" a="1"/>
  <c r="O386" i="79" s="1"/>
  <c r="M386" i="79" s="1"/>
  <c r="O387" i="79" a="1"/>
  <c r="O387" i="79" s="1"/>
  <c r="M387" i="79" s="1"/>
  <c r="O384" i="79" a="1"/>
  <c r="O384" i="79" s="1"/>
  <c r="M384" i="79" s="1"/>
  <c r="O395" i="79" a="1"/>
  <c r="O395" i="79" s="1"/>
  <c r="M395" i="79" s="1"/>
  <c r="O396" i="79" a="1"/>
  <c r="O396" i="79" s="1"/>
  <c r="M396" i="79" s="1"/>
  <c r="O397" i="79" a="1"/>
  <c r="O397" i="79" s="1"/>
  <c r="M397" i="79" s="1"/>
  <c r="T33" i="72"/>
  <c r="S33" i="72" s="1"/>
  <c r="V33" i="72" s="1"/>
  <c r="AG33" i="72"/>
  <c r="AF33" i="72" s="1"/>
  <c r="AI33" i="72" s="1"/>
  <c r="T44" i="72"/>
  <c r="S44" i="72" s="1"/>
  <c r="V44" i="72" s="1"/>
  <c r="AG44" i="72"/>
  <c r="AF44" i="72" s="1"/>
  <c r="AI44" i="72" s="1"/>
  <c r="AG28" i="72"/>
  <c r="X28" i="72" s="1"/>
  <c r="AI28" i="72" s="1"/>
  <c r="T28" i="72"/>
  <c r="L28" i="72" s="1"/>
  <c r="V28" i="72" s="1"/>
  <c r="F35" i="72"/>
  <c r="T35" i="72"/>
  <c r="S35" i="72" s="1"/>
  <c r="V35" i="72" s="1"/>
  <c r="AG35" i="72"/>
  <c r="AF35" i="72" s="1"/>
  <c r="AI35" i="72" s="1"/>
  <c r="AG32" i="72"/>
  <c r="AF32" i="72" s="1"/>
  <c r="AI32" i="72" s="1"/>
  <c r="T32" i="72"/>
  <c r="S32" i="72" s="1"/>
  <c r="V32" i="72" s="1"/>
  <c r="T27" i="72"/>
  <c r="K27" i="72" s="1"/>
  <c r="V27" i="72" s="1"/>
  <c r="AG27" i="72"/>
  <c r="X27" i="72" s="1"/>
  <c r="AI27" i="72" s="1"/>
  <c r="T42" i="72"/>
  <c r="S42" i="72" s="1"/>
  <c r="V42" i="72" s="1"/>
  <c r="AG42" i="72"/>
  <c r="AF42" i="72" s="1"/>
  <c r="AI42" i="72" s="1"/>
  <c r="AG40" i="72"/>
  <c r="AF40" i="72" s="1"/>
  <c r="AI40" i="72" s="1"/>
  <c r="T40" i="72"/>
  <c r="S40" i="72" s="1"/>
  <c r="V40" i="72" s="1"/>
  <c r="E45" i="72"/>
  <c r="F45" i="72" s="1"/>
  <c r="AG30" i="72"/>
  <c r="AF30" i="72" s="1"/>
  <c r="AI30" i="72" s="1"/>
  <c r="T30" i="72"/>
  <c r="S30" i="72" s="1"/>
  <c r="V30" i="72" s="1"/>
  <c r="T34" i="72"/>
  <c r="S34" i="72" s="1"/>
  <c r="V34" i="72" s="1"/>
  <c r="AG34" i="72"/>
  <c r="AF34" i="72" s="1"/>
  <c r="AI34" i="72" s="1"/>
  <c r="AG29" i="72"/>
  <c r="AF29" i="72" s="1"/>
  <c r="AI29" i="72" s="1"/>
  <c r="T29" i="72"/>
  <c r="S29" i="72" s="1"/>
  <c r="V29" i="72" s="1"/>
  <c r="AG31" i="72"/>
  <c r="AF31" i="72" s="1"/>
  <c r="AI31" i="72" s="1"/>
  <c r="T31" i="72"/>
  <c r="S31" i="72" s="1"/>
  <c r="V31" i="72" s="1"/>
  <c r="O135" i="79" a="1"/>
  <c r="O135" i="79" s="1"/>
  <c r="M135" i="79" s="1"/>
  <c r="O160" i="79" a="1"/>
  <c r="O160" i="79" s="1"/>
  <c r="M160" i="79" s="1"/>
  <c r="N3" i="76"/>
  <c r="N7" i="76" s="1"/>
  <c r="L7" i="76"/>
  <c r="K7" i="76"/>
  <c r="J8" i="77"/>
  <c r="E43" i="72"/>
  <c r="F33" i="72"/>
  <c r="J8" i="75"/>
  <c r="E41" i="72"/>
  <c r="F31" i="72"/>
  <c r="X7" i="76"/>
  <c r="F27" i="72"/>
  <c r="E37" i="72"/>
  <c r="F29" i="72"/>
  <c r="E39" i="72"/>
  <c r="V160" i="79" a="1"/>
  <c r="V160" i="79" s="1"/>
  <c r="X160" i="79" a="1"/>
  <c r="X160" i="79" s="1"/>
  <c r="O687" i="79" a="1"/>
  <c r="O687" i="79" s="1"/>
  <c r="M687" i="79" s="1"/>
  <c r="S690" i="79" s="1"/>
  <c r="O653" i="79" a="1"/>
  <c r="O653" i="79" s="1"/>
  <c r="M653" i="79" s="1"/>
  <c r="O676" i="79" a="1"/>
  <c r="O676" i="79" s="1"/>
  <c r="M676" i="79" s="1"/>
  <c r="O674" i="79" a="1"/>
  <c r="O674" i="79" s="1"/>
  <c r="M674" i="79" s="1"/>
  <c r="V140" i="79" a="1"/>
  <c r="V140" i="79" s="1"/>
  <c r="X140" i="79" a="1"/>
  <c r="X140" i="79" s="1"/>
  <c r="O136" i="79" a="1"/>
  <c r="O136" i="79" s="1"/>
  <c r="M136" i="79" s="1"/>
  <c r="O137" i="79" a="1"/>
  <c r="O137" i="79" s="1"/>
  <c r="M137" i="79" s="1"/>
  <c r="U140" i="79" a="1"/>
  <c r="U140" i="79" s="1"/>
  <c r="G12" i="73"/>
  <c r="O1061" i="79" a="1"/>
  <c r="O1061" i="79" s="1"/>
  <c r="M1061" i="79" s="1"/>
  <c r="O1050" i="79" a="1"/>
  <c r="O1050" i="79" s="1"/>
  <c r="M1050" i="79" s="1"/>
  <c r="O1052" i="79" a="1"/>
  <c r="O1052" i="79" s="1"/>
  <c r="M1052" i="79" s="1"/>
  <c r="O991" i="79" a="1"/>
  <c r="O991" i="79" s="1"/>
  <c r="M991" i="79" s="1"/>
  <c r="O999" i="79" a="1"/>
  <c r="O999" i="79" s="1"/>
  <c r="M999" i="79" s="1"/>
  <c r="O1004" i="79" a="1"/>
  <c r="O1004" i="79" s="1"/>
  <c r="M1004" i="79" s="1"/>
  <c r="O987" i="79" a="1"/>
  <c r="O987" i="79" s="1"/>
  <c r="M987" i="79" s="1"/>
  <c r="O995" i="79" a="1"/>
  <c r="O995" i="79" s="1"/>
  <c r="M995" i="79" s="1"/>
  <c r="AB76" i="79"/>
  <c r="O76" i="79" s="1"/>
  <c r="M76" i="79" s="1"/>
  <c r="AB78" i="79"/>
  <c r="O78" i="79" s="1"/>
  <c r="M78" i="79" s="1"/>
  <c r="AB74" i="79"/>
  <c r="O74" i="79" s="1"/>
  <c r="M74" i="79" s="1"/>
  <c r="J3" i="78"/>
  <c r="I8" i="78"/>
  <c r="U2" i="76"/>
  <c r="K3" i="73"/>
  <c r="X3" i="73"/>
  <c r="X7" i="73" s="1"/>
  <c r="AB71" i="79"/>
  <c r="O71" i="79" s="1"/>
  <c r="M71" i="79" s="1"/>
  <c r="D75" i="79"/>
  <c r="E74" i="79"/>
  <c r="L74" i="79" s="1"/>
  <c r="AB75" i="79"/>
  <c r="O75" i="79" s="1"/>
  <c r="M75" i="79" s="1"/>
  <c r="D14" i="73"/>
  <c r="E13" i="73"/>
  <c r="F14" i="76"/>
  <c r="L3" i="75"/>
  <c r="K8" i="75"/>
  <c r="V3" i="74"/>
  <c r="U8" i="74"/>
  <c r="M4" i="72" a="1"/>
  <c r="M4" i="72" s="1"/>
  <c r="N2" i="72"/>
  <c r="G32" i="72" a="1"/>
  <c r="G32" i="72" s="1"/>
  <c r="D33" i="72"/>
  <c r="J2" i="77"/>
  <c r="E13" i="76"/>
  <c r="D14" i="76"/>
  <c r="D16" i="78"/>
  <c r="E15" i="78"/>
  <c r="Z3" i="76"/>
  <c r="Y7" i="76"/>
  <c r="J2" i="73"/>
  <c r="K2" i="73" s="1"/>
  <c r="L2" i="73" s="1"/>
  <c r="M2" i="73" s="1"/>
  <c r="N2" i="73" s="1"/>
  <c r="O2" i="73" s="1"/>
  <c r="P2" i="73" s="1"/>
  <c r="Q2" i="73" s="1"/>
  <c r="I10" i="73"/>
  <c r="R10" i="73" s="1"/>
  <c r="D21" i="72"/>
  <c r="G20" i="72" a="1"/>
  <c r="G20" i="72" s="1"/>
  <c r="L3" i="77"/>
  <c r="K8" i="77"/>
  <c r="G9" i="72" a="1"/>
  <c r="G9" i="72" s="1"/>
  <c r="D10" i="72"/>
  <c r="F40" i="72"/>
  <c r="E50" i="72"/>
  <c r="J2" i="78"/>
  <c r="W8" i="77"/>
  <c r="X3" i="77"/>
  <c r="J2" i="75"/>
  <c r="D14" i="74"/>
  <c r="E13" i="74"/>
  <c r="J2" i="74"/>
  <c r="F11" i="73"/>
  <c r="AB2" i="72"/>
  <c r="AA4" i="72" a="1"/>
  <c r="AA4" i="72" s="1"/>
  <c r="F44" i="72"/>
  <c r="E54" i="72"/>
  <c r="G50" i="72" a="1"/>
  <c r="G50" i="72" s="1"/>
  <c r="D51" i="72"/>
  <c r="U8" i="78"/>
  <c r="V3" i="78"/>
  <c r="D14" i="77"/>
  <c r="E13" i="77"/>
  <c r="W3" i="75"/>
  <c r="V8" i="75"/>
  <c r="E13" i="75"/>
  <c r="D14" i="75"/>
  <c r="J3" i="74"/>
  <c r="I8" i="74"/>
  <c r="D41" i="72"/>
  <c r="G40" i="72" a="1"/>
  <c r="G40" i="72" s="1"/>
  <c r="F28" i="72"/>
  <c r="E38" i="72"/>
  <c r="F42" i="72"/>
  <c r="E52" i="72"/>
  <c r="E55" i="72" l="1"/>
  <c r="O3" i="76"/>
  <c r="O1041" i="79"/>
  <c r="O406" i="79" a="1"/>
  <c r="O406" i="79" s="1"/>
  <c r="M406" i="79" s="1"/>
  <c r="O422" i="79" s="1"/>
  <c r="M422" i="79" s="1"/>
  <c r="R6" i="118" s="1" a="1"/>
  <c r="R6" i="118" s="1"/>
  <c r="O404" i="79"/>
  <c r="M404" i="79" s="1"/>
  <c r="O420" i="79" s="1"/>
  <c r="M420" i="79" s="1"/>
  <c r="O421" i="79" s="1"/>
  <c r="M421" i="79" s="1"/>
  <c r="F55" i="72"/>
  <c r="T55" i="72"/>
  <c r="S55" i="72" s="1"/>
  <c r="V55" i="72" s="1"/>
  <c r="AG55" i="72"/>
  <c r="AF55" i="72" s="1"/>
  <c r="AI55" i="72" s="1"/>
  <c r="AG43" i="72"/>
  <c r="AF43" i="72" s="1"/>
  <c r="AI43" i="72" s="1"/>
  <c r="T43" i="72"/>
  <c r="S43" i="72" s="1"/>
  <c r="V43" i="72" s="1"/>
  <c r="T54" i="72"/>
  <c r="S54" i="72" s="1"/>
  <c r="V54" i="72" s="1"/>
  <c r="AG54" i="72"/>
  <c r="AF54" i="72" s="1"/>
  <c r="AI54" i="72" s="1"/>
  <c r="AG39" i="72"/>
  <c r="AF39" i="72" s="1"/>
  <c r="AI39" i="72" s="1"/>
  <c r="T39" i="72"/>
  <c r="S39" i="72" s="1"/>
  <c r="V39" i="72" s="1"/>
  <c r="AG41" i="72"/>
  <c r="AF41" i="72" s="1"/>
  <c r="AI41" i="72" s="1"/>
  <c r="T41" i="72"/>
  <c r="S41" i="72" s="1"/>
  <c r="V41" i="72" s="1"/>
  <c r="T37" i="72"/>
  <c r="K37" i="72" s="1"/>
  <c r="V37" i="72" s="1"/>
  <c r="AG37" i="72"/>
  <c r="X37" i="72" s="1"/>
  <c r="AI37" i="72" s="1"/>
  <c r="AG38" i="72"/>
  <c r="X38" i="72" s="1"/>
  <c r="AI38" i="72" s="1"/>
  <c r="T38" i="72"/>
  <c r="L38" i="72" s="1"/>
  <c r="V38" i="72" s="1"/>
  <c r="T52" i="72"/>
  <c r="S52" i="72" s="1"/>
  <c r="V52" i="72" s="1"/>
  <c r="AG52" i="72"/>
  <c r="AF52" i="72" s="1"/>
  <c r="AI52" i="72" s="1"/>
  <c r="T50" i="72"/>
  <c r="S50" i="72" s="1"/>
  <c r="V50" i="72" s="1"/>
  <c r="AG50" i="72"/>
  <c r="AF50" i="72" s="1"/>
  <c r="AI50" i="72" s="1"/>
  <c r="AG45" i="72"/>
  <c r="AF45" i="72" s="1"/>
  <c r="AI45" i="72" s="1"/>
  <c r="T45" i="72"/>
  <c r="S45" i="72" s="1"/>
  <c r="V45" i="72" s="1"/>
  <c r="F43" i="72"/>
  <c r="E53" i="72"/>
  <c r="E51" i="72"/>
  <c r="F41" i="72"/>
  <c r="V2" i="76"/>
  <c r="V10" i="76" s="1"/>
  <c r="AE10" i="76" s="1"/>
  <c r="U6" i="76"/>
  <c r="E49" i="72"/>
  <c r="F39" i="72"/>
  <c r="F37" i="72"/>
  <c r="E47" i="72"/>
  <c r="O417" i="79"/>
  <c r="M417" i="79" s="1"/>
  <c r="O418" i="79"/>
  <c r="M418" i="79" s="1"/>
  <c r="G13" i="76"/>
  <c r="G13" i="73"/>
  <c r="O1065" i="79" a="1"/>
  <c r="O1065" i="79" s="1"/>
  <c r="M1065" i="79" s="1"/>
  <c r="O1008" i="79"/>
  <c r="M1008" i="79" s="1"/>
  <c r="O1080" i="79"/>
  <c r="M1080" i="79" s="1"/>
  <c r="AB6" i="31" s="1" a="1"/>
  <c r="AB6" i="31" s="1"/>
  <c r="O1074" i="79"/>
  <c r="M1074" i="79" s="1"/>
  <c r="V6" i="31" s="1" a="1"/>
  <c r="V6" i="31" s="1"/>
  <c r="O1079" i="79"/>
  <c r="M1079" i="79" s="1"/>
  <c r="AA6" i="31" s="1" a="1"/>
  <c r="AA6" i="31" s="1"/>
  <c r="O1075" i="79"/>
  <c r="M1075" i="79" s="1"/>
  <c r="W6" i="31" s="1" a="1"/>
  <c r="W6" i="31" s="1"/>
  <c r="O1081" i="79"/>
  <c r="M1081" i="79" s="1"/>
  <c r="O1082" i="79"/>
  <c r="M1082" i="79" s="1"/>
  <c r="AD6" i="31" s="1" a="1"/>
  <c r="AD6" i="31" s="1"/>
  <c r="O440" i="79"/>
  <c r="M440" i="79" s="1"/>
  <c r="O441" i="79"/>
  <c r="M441" i="79" s="1"/>
  <c r="O239" i="79"/>
  <c r="M239" i="79" s="1"/>
  <c r="O238" i="79"/>
  <c r="M238" i="79" s="1"/>
  <c r="K3" i="78"/>
  <c r="J8" i="78"/>
  <c r="U10" i="76"/>
  <c r="L3" i="73"/>
  <c r="K7" i="73"/>
  <c r="Y3" i="73"/>
  <c r="Y7" i="73" s="1"/>
  <c r="D76" i="79"/>
  <c r="E75" i="79"/>
  <c r="L75" i="79" s="1"/>
  <c r="F52" i="72"/>
  <c r="K3" i="74"/>
  <c r="J8" i="74"/>
  <c r="W8" i="75"/>
  <c r="X3" i="75"/>
  <c r="W3" i="78"/>
  <c r="V8" i="78"/>
  <c r="D15" i="74"/>
  <c r="E14" i="74"/>
  <c r="K2" i="78"/>
  <c r="E14" i="75"/>
  <c r="D15" i="75"/>
  <c r="D52" i="72"/>
  <c r="G51" i="72" a="1"/>
  <c r="G51" i="72" s="1"/>
  <c r="K2" i="75"/>
  <c r="X8" i="77"/>
  <c r="Y3" i="77"/>
  <c r="F50" i="72"/>
  <c r="G33" i="72" a="1"/>
  <c r="G33" i="72" s="1"/>
  <c r="D34" i="72"/>
  <c r="U2" i="73"/>
  <c r="U6" i="73" s="1"/>
  <c r="K2" i="74"/>
  <c r="L8" i="77"/>
  <c r="M3" i="77"/>
  <c r="M3" i="75"/>
  <c r="L8" i="75"/>
  <c r="G41" i="72" a="1"/>
  <c r="G41" i="72" s="1"/>
  <c r="D42" i="72"/>
  <c r="F12" i="73"/>
  <c r="G21" i="72" a="1"/>
  <c r="G21" i="72" s="1"/>
  <c r="D22" i="72"/>
  <c r="F15" i="76"/>
  <c r="AA3" i="76"/>
  <c r="Z7" i="76"/>
  <c r="W3" i="74"/>
  <c r="V8" i="74"/>
  <c r="AC2" i="72"/>
  <c r="AB4" i="72" a="1"/>
  <c r="AB4" i="72" s="1"/>
  <c r="K2" i="77"/>
  <c r="F54" i="72"/>
  <c r="O2" i="72"/>
  <c r="N4" i="72" a="1"/>
  <c r="N4" i="72" s="1"/>
  <c r="P3" i="76"/>
  <c r="O7" i="76"/>
  <c r="E48" i="72"/>
  <c r="F38" i="72"/>
  <c r="D15" i="77"/>
  <c r="E14" i="77"/>
  <c r="G10" i="72" a="1"/>
  <c r="G10" i="72" s="1"/>
  <c r="D11" i="72"/>
  <c r="E16" i="78"/>
  <c r="D17" i="78"/>
  <c r="E14" i="76"/>
  <c r="D15" i="76"/>
  <c r="E14" i="73"/>
  <c r="G14" i="73" s="1"/>
  <c r="D15" i="73"/>
  <c r="F14" i="77" l="1" a="1"/>
  <c r="F14" i="77" s="1"/>
  <c r="F12" i="77" a="1"/>
  <c r="F12" i="77" s="1"/>
  <c r="F11" i="77" a="1"/>
  <c r="F11" i="77" s="1"/>
  <c r="F13" i="77" a="1"/>
  <c r="F13" i="77" s="1"/>
  <c r="AC6" i="31" a="1"/>
  <c r="AC6" i="31" s="1"/>
  <c r="W2" i="76"/>
  <c r="X2" i="76" s="1"/>
  <c r="Y2" i="76" s="1"/>
  <c r="Z2" i="76" s="1"/>
  <c r="AA2" i="76" s="1"/>
  <c r="AB2" i="76" s="1"/>
  <c r="AC2" i="76" s="1"/>
  <c r="AD2" i="76" s="1"/>
  <c r="F23" i="65" a="1"/>
  <c r="F23" i="65" s="1"/>
  <c r="F47" i="72"/>
  <c r="AG47" i="72"/>
  <c r="X47" i="72" s="1"/>
  <c r="AI47" i="72" s="1"/>
  <c r="T47" i="72"/>
  <c r="K47" i="72" s="1"/>
  <c r="V47" i="72" s="1"/>
  <c r="F53" i="72"/>
  <c r="AG53" i="72"/>
  <c r="AF53" i="72" s="1"/>
  <c r="AI53" i="72" s="1"/>
  <c r="T53" i="72"/>
  <c r="S53" i="72" s="1"/>
  <c r="V53" i="72" s="1"/>
  <c r="AG48" i="72"/>
  <c r="X48" i="72" s="1"/>
  <c r="AI48" i="72" s="1"/>
  <c r="T48" i="72"/>
  <c r="L48" i="72" s="1"/>
  <c r="V48" i="72" s="1"/>
  <c r="F49" i="72"/>
  <c r="AG49" i="72"/>
  <c r="AF49" i="72" s="1"/>
  <c r="AI49" i="72" s="1"/>
  <c r="T49" i="72"/>
  <c r="S49" i="72" s="1"/>
  <c r="V49" i="72" s="1"/>
  <c r="F51" i="72"/>
  <c r="AG51" i="72"/>
  <c r="AF51" i="72" s="1"/>
  <c r="AI51" i="72" s="1"/>
  <c r="T51" i="72"/>
  <c r="S51" i="72" s="1"/>
  <c r="V51" i="72" s="1"/>
  <c r="AG6" i="118" a="1"/>
  <c r="AG6" i="118" s="1"/>
  <c r="AG11" i="118" s="1"/>
  <c r="O1070" i="79" a="1"/>
  <c r="O1070" i="79" s="1"/>
  <c r="M1070" i="79" s="1"/>
  <c r="O1076" i="79" s="1" a="1"/>
  <c r="O1076" i="79" s="1"/>
  <c r="M1076" i="79" s="1"/>
  <c r="X6" i="31" s="1" a="1"/>
  <c r="X6" i="31" s="1"/>
  <c r="G14" i="76"/>
  <c r="O1083" i="79"/>
  <c r="M1083" i="79" s="1"/>
  <c r="AE6" i="31" s="1" a="1"/>
  <c r="AE6" i="31" s="1"/>
  <c r="M1041" i="79"/>
  <c r="O1042" i="79"/>
  <c r="M1042" i="79" s="1"/>
  <c r="O1043" i="79"/>
  <c r="M1043" i="79" s="1"/>
  <c r="O1044" i="79"/>
  <c r="M1044" i="79" s="1"/>
  <c r="I6" i="117"/>
  <c r="X6" i="117"/>
  <c r="J6" i="117"/>
  <c r="Y6" i="117"/>
  <c r="O427" i="79" a="1"/>
  <c r="O427" i="79" s="1"/>
  <c r="M427" i="79" s="1"/>
  <c r="O428" i="79" a="1"/>
  <c r="O428" i="79" s="1"/>
  <c r="M428" i="79" s="1"/>
  <c r="O430" i="79" a="1"/>
  <c r="O430" i="79" s="1"/>
  <c r="M430" i="79" s="1"/>
  <c r="AE6" i="118" a="1"/>
  <c r="AE6" i="118" s="1"/>
  <c r="AE14" i="118" s="1"/>
  <c r="P6" i="118" a="1"/>
  <c r="P6" i="118" s="1"/>
  <c r="P12" i="118" s="1"/>
  <c r="AB6" i="118" a="1"/>
  <c r="AB6" i="118" s="1"/>
  <c r="M6" i="118" a="1"/>
  <c r="M6" i="118" s="1"/>
  <c r="R13" i="118"/>
  <c r="R12" i="118"/>
  <c r="R11" i="118"/>
  <c r="R14" i="118"/>
  <c r="R15" i="118"/>
  <c r="R16" i="118"/>
  <c r="R17" i="118"/>
  <c r="R18" i="118"/>
  <c r="R19" i="118"/>
  <c r="R20" i="118"/>
  <c r="R21" i="118"/>
  <c r="R22" i="118"/>
  <c r="R23" i="118"/>
  <c r="R24" i="118"/>
  <c r="R25" i="118"/>
  <c r="R26" i="118"/>
  <c r="R27" i="118"/>
  <c r="R28" i="118"/>
  <c r="R29" i="118"/>
  <c r="R30" i="118"/>
  <c r="R31" i="118"/>
  <c r="R32" i="118"/>
  <c r="R33" i="118"/>
  <c r="R34" i="118"/>
  <c r="R35" i="118"/>
  <c r="R36" i="118"/>
  <c r="R37" i="118"/>
  <c r="R38" i="118"/>
  <c r="R39" i="118"/>
  <c r="R40" i="118"/>
  <c r="R41" i="118"/>
  <c r="R42" i="118"/>
  <c r="R43" i="118"/>
  <c r="R44" i="118"/>
  <c r="R45" i="118"/>
  <c r="R46" i="118"/>
  <c r="R47" i="118"/>
  <c r="R48" i="118"/>
  <c r="R49" i="118"/>
  <c r="R50" i="118"/>
  <c r="R51" i="118"/>
  <c r="R52" i="118"/>
  <c r="R53" i="118"/>
  <c r="R54" i="118"/>
  <c r="R55" i="118"/>
  <c r="R56" i="118"/>
  <c r="R57" i="118"/>
  <c r="R58" i="118"/>
  <c r="R59" i="118"/>
  <c r="R60" i="118"/>
  <c r="R61" i="118"/>
  <c r="R62" i="118"/>
  <c r="R63" i="118"/>
  <c r="R64" i="118"/>
  <c r="R65" i="118"/>
  <c r="R66" i="118"/>
  <c r="R67" i="118"/>
  <c r="R68" i="118"/>
  <c r="R69" i="118"/>
  <c r="R70" i="118"/>
  <c r="R71" i="118"/>
  <c r="R72" i="118"/>
  <c r="R73" i="118"/>
  <c r="R74" i="118"/>
  <c r="R75" i="118"/>
  <c r="R76" i="118"/>
  <c r="R77" i="118"/>
  <c r="R78" i="118"/>
  <c r="R79" i="118"/>
  <c r="R80" i="118"/>
  <c r="R81" i="118"/>
  <c r="R82" i="118"/>
  <c r="R83" i="118"/>
  <c r="R84" i="118"/>
  <c r="R85" i="118"/>
  <c r="R86" i="118"/>
  <c r="R87" i="118"/>
  <c r="R88" i="118"/>
  <c r="R89" i="118"/>
  <c r="R90" i="118"/>
  <c r="R91" i="118"/>
  <c r="R92" i="118"/>
  <c r="R93" i="118"/>
  <c r="R94" i="118"/>
  <c r="R95" i="118"/>
  <c r="R96" i="118"/>
  <c r="R97" i="118"/>
  <c r="R98" i="118"/>
  <c r="R99" i="118"/>
  <c r="R100" i="118"/>
  <c r="R101" i="118"/>
  <c r="R102" i="118"/>
  <c r="R103" i="118"/>
  <c r="R104" i="118"/>
  <c r="R105" i="118"/>
  <c r="R106" i="118"/>
  <c r="R107" i="118"/>
  <c r="R108" i="118"/>
  <c r="R109" i="118"/>
  <c r="R110" i="118"/>
  <c r="R111" i="118"/>
  <c r="R112" i="118"/>
  <c r="R113" i="118"/>
  <c r="R114" i="118"/>
  <c r="R115" i="118"/>
  <c r="R116" i="118"/>
  <c r="R117" i="118"/>
  <c r="R118" i="118"/>
  <c r="R119" i="118"/>
  <c r="R120" i="118"/>
  <c r="R121" i="118"/>
  <c r="R122" i="118"/>
  <c r="R123" i="118"/>
  <c r="R124" i="118"/>
  <c r="R125" i="118"/>
  <c r="R126" i="118"/>
  <c r="R127" i="118"/>
  <c r="R128" i="118"/>
  <c r="R129" i="118"/>
  <c r="R130" i="118"/>
  <c r="R131" i="118"/>
  <c r="AF6" i="118" a="1"/>
  <c r="AF6" i="118" s="1"/>
  <c r="Q6" i="118" a="1"/>
  <c r="Q6" i="118" s="1"/>
  <c r="N6" i="118" a="1"/>
  <c r="N6" i="118" s="1"/>
  <c r="AC6" i="118" a="1"/>
  <c r="AC6" i="118" s="1"/>
  <c r="K8" i="78"/>
  <c r="L3" i="78"/>
  <c r="Z3" i="73"/>
  <c r="Z7" i="73" s="1"/>
  <c r="M3" i="73"/>
  <c r="L7" i="73"/>
  <c r="D77" i="79"/>
  <c r="E76" i="79"/>
  <c r="L76" i="79" s="1"/>
  <c r="D16" i="77"/>
  <c r="E15" i="77"/>
  <c r="F15" i="77" s="1" a="1"/>
  <c r="F15" i="77" s="1"/>
  <c r="P2" i="72"/>
  <c r="O4" i="72" a="1"/>
  <c r="O4" i="72" s="1"/>
  <c r="F16" i="76"/>
  <c r="Y8" i="77"/>
  <c r="Z3" i="77"/>
  <c r="D16" i="73"/>
  <c r="E15" i="73"/>
  <c r="AD2" i="72"/>
  <c r="AC4" i="72" a="1"/>
  <c r="AC4" i="72" s="1"/>
  <c r="E15" i="75"/>
  <c r="D16" i="75"/>
  <c r="L2" i="78"/>
  <c r="D16" i="74"/>
  <c r="E15" i="74"/>
  <c r="L3" i="74"/>
  <c r="K8" i="74"/>
  <c r="N3" i="75"/>
  <c r="M8" i="75"/>
  <c r="V2" i="73"/>
  <c r="U10" i="73"/>
  <c r="F48" i="72"/>
  <c r="G22" i="72" a="1"/>
  <c r="G22" i="72" s="1"/>
  <c r="D23" i="72"/>
  <c r="M8" i="77"/>
  <c r="N3" i="77"/>
  <c r="D35" i="72"/>
  <c r="G34" i="72" a="1"/>
  <c r="G34" i="72" s="1"/>
  <c r="E17" i="78"/>
  <c r="D18" i="78"/>
  <c r="Q3" i="76"/>
  <c r="Q7" i="76" s="1"/>
  <c r="P7" i="76"/>
  <c r="X3" i="74"/>
  <c r="W8" i="74"/>
  <c r="L2" i="75"/>
  <c r="X3" i="78"/>
  <c r="W8" i="78"/>
  <c r="L2" i="77"/>
  <c r="G42" i="72" a="1"/>
  <c r="G42" i="72" s="1"/>
  <c r="D43" i="72"/>
  <c r="D16" i="76"/>
  <c r="E15" i="76"/>
  <c r="D12" i="72"/>
  <c r="G11" i="72" a="1"/>
  <c r="G11" i="72" s="1"/>
  <c r="AB3" i="76"/>
  <c r="AA7" i="76"/>
  <c r="F13" i="73"/>
  <c r="L2" i="74"/>
  <c r="G52" i="72" a="1"/>
  <c r="G52" i="72" s="1"/>
  <c r="D53" i="72"/>
  <c r="Y3" i="75"/>
  <c r="X8" i="75"/>
  <c r="AA3" i="73" l="1"/>
  <c r="F26" i="65" a="1"/>
  <c r="F26" i="65" s="1"/>
  <c r="AG101" i="118"/>
  <c r="AG69" i="118"/>
  <c r="AG29" i="118"/>
  <c r="AG116" i="118"/>
  <c r="AG76" i="118"/>
  <c r="AG28" i="118"/>
  <c r="AG131" i="118"/>
  <c r="AG123" i="118"/>
  <c r="AG115" i="118"/>
  <c r="AG107" i="118"/>
  <c r="AG99" i="118"/>
  <c r="AG91" i="118"/>
  <c r="AG83" i="118"/>
  <c r="AG75" i="118"/>
  <c r="AG67" i="118"/>
  <c r="AG59" i="118"/>
  <c r="AG51" i="118"/>
  <c r="AG43" i="118"/>
  <c r="AG35" i="118"/>
  <c r="AG27" i="118"/>
  <c r="AG19" i="118"/>
  <c r="AG14" i="118"/>
  <c r="AG109" i="118"/>
  <c r="AG85" i="118"/>
  <c r="AG53" i="118"/>
  <c r="AG21" i="118"/>
  <c r="AG100" i="118"/>
  <c r="AG60" i="118"/>
  <c r="AG36" i="118"/>
  <c r="AG114" i="118"/>
  <c r="AG90" i="118"/>
  <c r="AG58" i="118"/>
  <c r="AG34" i="118"/>
  <c r="AG130" i="118"/>
  <c r="AG106" i="118"/>
  <c r="AG82" i="118"/>
  <c r="AG66" i="118"/>
  <c r="AG42" i="118"/>
  <c r="AG18" i="118"/>
  <c r="AG121" i="118"/>
  <c r="AG105" i="118"/>
  <c r="AG81" i="118"/>
  <c r="AG65" i="118"/>
  <c r="AG49" i="118"/>
  <c r="AG33" i="118"/>
  <c r="AG122" i="118"/>
  <c r="AG98" i="118"/>
  <c r="AG74" i="118"/>
  <c r="AG50" i="118"/>
  <c r="AG26" i="118"/>
  <c r="AG129" i="118"/>
  <c r="AG113" i="118"/>
  <c r="AG97" i="118"/>
  <c r="AG89" i="118"/>
  <c r="AG73" i="118"/>
  <c r="AG57" i="118"/>
  <c r="AG41" i="118"/>
  <c r="AG25" i="118"/>
  <c r="AG17" i="118"/>
  <c r="AG128" i="118"/>
  <c r="AG120" i="118"/>
  <c r="AG112" i="118"/>
  <c r="AG104" i="118"/>
  <c r="AG96" i="118"/>
  <c r="AG88" i="118"/>
  <c r="AG80" i="118"/>
  <c r="AG72" i="118"/>
  <c r="AG64" i="118"/>
  <c r="AG56" i="118"/>
  <c r="AG48" i="118"/>
  <c r="AG40" i="118"/>
  <c r="AG32" i="118"/>
  <c r="AG24" i="118"/>
  <c r="AG16" i="118"/>
  <c r="AG125" i="118"/>
  <c r="AG93" i="118"/>
  <c r="AG61" i="118"/>
  <c r="AG45" i="118"/>
  <c r="AG13" i="118"/>
  <c r="AG92" i="118"/>
  <c r="AG68" i="118"/>
  <c r="AG44" i="118"/>
  <c r="AG12" i="118"/>
  <c r="AG127" i="118"/>
  <c r="AG111" i="118"/>
  <c r="AG95" i="118"/>
  <c r="AG79" i="118"/>
  <c r="AG63" i="118"/>
  <c r="AG47" i="118"/>
  <c r="AG39" i="118"/>
  <c r="AG23" i="118"/>
  <c r="AG117" i="118"/>
  <c r="AG77" i="118"/>
  <c r="AG37" i="118"/>
  <c r="AG124" i="118"/>
  <c r="AG108" i="118"/>
  <c r="AG84" i="118"/>
  <c r="AG52" i="118"/>
  <c r="AG20" i="118"/>
  <c r="AG119" i="118"/>
  <c r="AG103" i="118"/>
  <c r="AG87" i="118"/>
  <c r="AG71" i="118"/>
  <c r="AG55" i="118"/>
  <c r="AG31" i="118"/>
  <c r="AG15" i="118"/>
  <c r="AG126" i="118"/>
  <c r="AG118" i="118"/>
  <c r="AG110" i="118"/>
  <c r="AG102" i="118"/>
  <c r="AG94" i="118"/>
  <c r="AG86" i="118"/>
  <c r="AG78" i="118"/>
  <c r="AG70" i="118"/>
  <c r="AG62" i="118"/>
  <c r="AG54" i="118"/>
  <c r="AG46" i="118"/>
  <c r="AG38" i="118"/>
  <c r="AG30" i="118"/>
  <c r="AG22" i="118"/>
  <c r="O1077" i="79" a="1"/>
  <c r="O1077" i="79" s="1"/>
  <c r="M1077" i="79" s="1"/>
  <c r="O1078" i="79" a="1"/>
  <c r="O1078" i="79" s="1"/>
  <c r="M1078" i="79" s="1"/>
  <c r="G15" i="76"/>
  <c r="G15" i="73"/>
  <c r="P74" i="118"/>
  <c r="P131" i="118"/>
  <c r="P66" i="118"/>
  <c r="P122" i="118"/>
  <c r="P58" i="118"/>
  <c r="P114" i="118"/>
  <c r="P50" i="118"/>
  <c r="P106" i="118"/>
  <c r="P42" i="118"/>
  <c r="P98" i="118"/>
  <c r="P34" i="118"/>
  <c r="P90" i="118"/>
  <c r="P26" i="118"/>
  <c r="P82" i="118"/>
  <c r="P18" i="118"/>
  <c r="F12" i="117"/>
  <c r="F11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P129" i="118"/>
  <c r="P105" i="118"/>
  <c r="P81" i="118"/>
  <c r="P65" i="118"/>
  <c r="P41" i="118"/>
  <c r="P17" i="118"/>
  <c r="P120" i="118"/>
  <c r="P96" i="118"/>
  <c r="P72" i="118"/>
  <c r="P56" i="118"/>
  <c r="P32" i="118"/>
  <c r="P127" i="118"/>
  <c r="P119" i="118"/>
  <c r="P111" i="118"/>
  <c r="P103" i="118"/>
  <c r="P95" i="118"/>
  <c r="P87" i="118"/>
  <c r="P79" i="118"/>
  <c r="P71" i="118"/>
  <c r="P63" i="118"/>
  <c r="P55" i="118"/>
  <c r="P47" i="118"/>
  <c r="P39" i="118"/>
  <c r="P31" i="118"/>
  <c r="P23" i="118"/>
  <c r="P15" i="118"/>
  <c r="P126" i="118"/>
  <c r="P118" i="118"/>
  <c r="P110" i="118"/>
  <c r="P102" i="118"/>
  <c r="P94" i="118"/>
  <c r="P86" i="118"/>
  <c r="P78" i="118"/>
  <c r="P70" i="118"/>
  <c r="P62" i="118"/>
  <c r="P54" i="118"/>
  <c r="P46" i="118"/>
  <c r="P38" i="118"/>
  <c r="P30" i="118"/>
  <c r="P22" i="118"/>
  <c r="P14" i="118"/>
  <c r="P125" i="118"/>
  <c r="P117" i="118"/>
  <c r="P109" i="118"/>
  <c r="P101" i="118"/>
  <c r="P93" i="118"/>
  <c r="P85" i="118"/>
  <c r="P77" i="118"/>
  <c r="P69" i="118"/>
  <c r="P61" i="118"/>
  <c r="P53" i="118"/>
  <c r="P45" i="118"/>
  <c r="P37" i="118"/>
  <c r="P29" i="118"/>
  <c r="P21" i="118"/>
  <c r="P13" i="118"/>
  <c r="P121" i="118"/>
  <c r="P97" i="118"/>
  <c r="P73" i="118"/>
  <c r="P57" i="118"/>
  <c r="P33" i="118"/>
  <c r="P128" i="118"/>
  <c r="P104" i="118"/>
  <c r="P80" i="118"/>
  <c r="P64" i="118"/>
  <c r="P40" i="118"/>
  <c r="P16" i="118"/>
  <c r="P124" i="118"/>
  <c r="P116" i="118"/>
  <c r="P108" i="118"/>
  <c r="P100" i="118"/>
  <c r="P92" i="118"/>
  <c r="P84" i="118"/>
  <c r="P76" i="118"/>
  <c r="P68" i="118"/>
  <c r="P60" i="118"/>
  <c r="P52" i="118"/>
  <c r="P44" i="118"/>
  <c r="P36" i="118"/>
  <c r="P28" i="118"/>
  <c r="P20" i="118"/>
  <c r="P11" i="118"/>
  <c r="P113" i="118"/>
  <c r="P89" i="118"/>
  <c r="P49" i="118"/>
  <c r="P25" i="118"/>
  <c r="P112" i="118"/>
  <c r="P88" i="118"/>
  <c r="P48" i="118"/>
  <c r="P24" i="118"/>
  <c r="P130" i="118"/>
  <c r="P123" i="118"/>
  <c r="P115" i="118"/>
  <c r="P107" i="118"/>
  <c r="P99" i="118"/>
  <c r="P91" i="118"/>
  <c r="P83" i="118"/>
  <c r="P75" i="118"/>
  <c r="P67" i="118"/>
  <c r="P59" i="118"/>
  <c r="P51" i="118"/>
  <c r="P43" i="118"/>
  <c r="P35" i="118"/>
  <c r="P27" i="118"/>
  <c r="P19" i="118"/>
  <c r="O431" i="79" a="1"/>
  <c r="O431" i="79" s="1"/>
  <c r="M431" i="79" s="1"/>
  <c r="AE105" i="118"/>
  <c r="AE89" i="118"/>
  <c r="AE69" i="118"/>
  <c r="AE25" i="118"/>
  <c r="AE121" i="118"/>
  <c r="AE45" i="118"/>
  <c r="AE117" i="118"/>
  <c r="AE85" i="118"/>
  <c r="AE41" i="118"/>
  <c r="AE113" i="118"/>
  <c r="AE77" i="118"/>
  <c r="AE37" i="118"/>
  <c r="AE109" i="118"/>
  <c r="AE73" i="118"/>
  <c r="AE29" i="118"/>
  <c r="AE131" i="118"/>
  <c r="AE101" i="118"/>
  <c r="AE61" i="118"/>
  <c r="AE21" i="118"/>
  <c r="AE129" i="118"/>
  <c r="AE97" i="118"/>
  <c r="AE57" i="118"/>
  <c r="AE13" i="118"/>
  <c r="AE125" i="118"/>
  <c r="AE93" i="118"/>
  <c r="AE53" i="118"/>
  <c r="AE118" i="118"/>
  <c r="AE102" i="118"/>
  <c r="AE86" i="118"/>
  <c r="AE70" i="118"/>
  <c r="AE54" i="118"/>
  <c r="AE38" i="118"/>
  <c r="AE22" i="118"/>
  <c r="AE114" i="118"/>
  <c r="AE98" i="118"/>
  <c r="AE82" i="118"/>
  <c r="AE66" i="118"/>
  <c r="AE50" i="118"/>
  <c r="AE34" i="118"/>
  <c r="AE18" i="118"/>
  <c r="AE81" i="118"/>
  <c r="AE65" i="118"/>
  <c r="AE49" i="118"/>
  <c r="AE33" i="118"/>
  <c r="AE17" i="118"/>
  <c r="AE126" i="118"/>
  <c r="AE110" i="118"/>
  <c r="AE94" i="118"/>
  <c r="AE78" i="118"/>
  <c r="AE62" i="118"/>
  <c r="AE46" i="118"/>
  <c r="AE30" i="118"/>
  <c r="AE12" i="118"/>
  <c r="AE122" i="118"/>
  <c r="AE106" i="118"/>
  <c r="AE90" i="118"/>
  <c r="AE74" i="118"/>
  <c r="AE58" i="118"/>
  <c r="AE42" i="118"/>
  <c r="AE26" i="118"/>
  <c r="AE128" i="118"/>
  <c r="AE120" i="118"/>
  <c r="AE112" i="118"/>
  <c r="AE104" i="118"/>
  <c r="AE96" i="118"/>
  <c r="AE88" i="118"/>
  <c r="AE80" i="118"/>
  <c r="AE72" i="118"/>
  <c r="AE64" i="118"/>
  <c r="AE56" i="118"/>
  <c r="AE48" i="118"/>
  <c r="AE40" i="118"/>
  <c r="AE32" i="118"/>
  <c r="AE24" i="118"/>
  <c r="AE16" i="118"/>
  <c r="AE127" i="118"/>
  <c r="AE119" i="118"/>
  <c r="AE111" i="118"/>
  <c r="AE103" i="118"/>
  <c r="AE95" i="118"/>
  <c r="AE87" i="118"/>
  <c r="AE79" i="118"/>
  <c r="AE71" i="118"/>
  <c r="AE63" i="118"/>
  <c r="AE55" i="118"/>
  <c r="AE47" i="118"/>
  <c r="AE39" i="118"/>
  <c r="AE31" i="118"/>
  <c r="AE23" i="118"/>
  <c r="AE11" i="118"/>
  <c r="AE124" i="118"/>
  <c r="AE116" i="118"/>
  <c r="AE108" i="118"/>
  <c r="AE100" i="118"/>
  <c r="AE92" i="118"/>
  <c r="AE84" i="118"/>
  <c r="AE76" i="118"/>
  <c r="AE68" i="118"/>
  <c r="AE60" i="118"/>
  <c r="AE52" i="118"/>
  <c r="AE44" i="118"/>
  <c r="AE36" i="118"/>
  <c r="AE28" i="118"/>
  <c r="AE20" i="118"/>
  <c r="AE15" i="118"/>
  <c r="AE130" i="118"/>
  <c r="AE123" i="118"/>
  <c r="AE115" i="118"/>
  <c r="AE107" i="118"/>
  <c r="AE99" i="118"/>
  <c r="AE91" i="118"/>
  <c r="AE83" i="118"/>
  <c r="AE75" i="118"/>
  <c r="AE67" i="118"/>
  <c r="AE59" i="118"/>
  <c r="AE51" i="118"/>
  <c r="AE43" i="118"/>
  <c r="AE35" i="118"/>
  <c r="AE27" i="118"/>
  <c r="AE19" i="118"/>
  <c r="AC12" i="118"/>
  <c r="AC13" i="118"/>
  <c r="AC11" i="118"/>
  <c r="AC14" i="118"/>
  <c r="AC15" i="118"/>
  <c r="AC16" i="118"/>
  <c r="AC17" i="118"/>
  <c r="AC18" i="118"/>
  <c r="AC19" i="118"/>
  <c r="AC20" i="118"/>
  <c r="AC21" i="118"/>
  <c r="AC22" i="118"/>
  <c r="AC23" i="118"/>
  <c r="AC24" i="118"/>
  <c r="AC25" i="118"/>
  <c r="AC26" i="118"/>
  <c r="AC27" i="118"/>
  <c r="AC28" i="118"/>
  <c r="AC29" i="118"/>
  <c r="AC30" i="118"/>
  <c r="AC31" i="118"/>
  <c r="AC32" i="118"/>
  <c r="AC33" i="118"/>
  <c r="AC34" i="118"/>
  <c r="AC35" i="118"/>
  <c r="AC36" i="118"/>
  <c r="AC37" i="118"/>
  <c r="AC38" i="118"/>
  <c r="AC39" i="118"/>
  <c r="AC40" i="118"/>
  <c r="AC41" i="118"/>
  <c r="AC42" i="118"/>
  <c r="AC43" i="118"/>
  <c r="AC44" i="118"/>
  <c r="AC45" i="118"/>
  <c r="AC46" i="118"/>
  <c r="AC47" i="118"/>
  <c r="AC48" i="118"/>
  <c r="AC49" i="118"/>
  <c r="AC50" i="118"/>
  <c r="AC51" i="118"/>
  <c r="AC52" i="118"/>
  <c r="AC53" i="118"/>
  <c r="AC54" i="118"/>
  <c r="AC55" i="118"/>
  <c r="AC56" i="118"/>
  <c r="AC57" i="118"/>
  <c r="AC58" i="118"/>
  <c r="AC59" i="118"/>
  <c r="AC60" i="118"/>
  <c r="AC61" i="118"/>
  <c r="AC62" i="118"/>
  <c r="AC63" i="118"/>
  <c r="AC64" i="118"/>
  <c r="AC65" i="118"/>
  <c r="AC66" i="118"/>
  <c r="AC67" i="118"/>
  <c r="AC68" i="118"/>
  <c r="AC69" i="118"/>
  <c r="AC70" i="118"/>
  <c r="AC71" i="118"/>
  <c r="AC72" i="118"/>
  <c r="AC73" i="118"/>
  <c r="AC74" i="118"/>
  <c r="AC75" i="118"/>
  <c r="AC76" i="118"/>
  <c r="AC77" i="118"/>
  <c r="AC78" i="118"/>
  <c r="AC79" i="118"/>
  <c r="AC80" i="118"/>
  <c r="AC81" i="118"/>
  <c r="AC82" i="118"/>
  <c r="AC83" i="118"/>
  <c r="AC84" i="118"/>
  <c r="AC85" i="118"/>
  <c r="AC86" i="118"/>
  <c r="AC87" i="118"/>
  <c r="AC88" i="118"/>
  <c r="AC89" i="118"/>
  <c r="AC90" i="118"/>
  <c r="AC91" i="118"/>
  <c r="AC92" i="118"/>
  <c r="AC93" i="118"/>
  <c r="AC94" i="118"/>
  <c r="AC95" i="118"/>
  <c r="AC96" i="118"/>
  <c r="AC97" i="118"/>
  <c r="AC98" i="118"/>
  <c r="AC99" i="118"/>
  <c r="AC100" i="118"/>
  <c r="AC101" i="118"/>
  <c r="AC102" i="118"/>
  <c r="AC103" i="118"/>
  <c r="AC104" i="118"/>
  <c r="AC105" i="118"/>
  <c r="AC106" i="118"/>
  <c r="AC107" i="118"/>
  <c r="AC108" i="118"/>
  <c r="AC109" i="118"/>
  <c r="AC110" i="118"/>
  <c r="AC111" i="118"/>
  <c r="AC112" i="118"/>
  <c r="AC113" i="118"/>
  <c r="AC114" i="118"/>
  <c r="AC115" i="118"/>
  <c r="AC116" i="118"/>
  <c r="AC117" i="118"/>
  <c r="AC118" i="118"/>
  <c r="AC119" i="118"/>
  <c r="AC120" i="118"/>
  <c r="AC121" i="118"/>
  <c r="AC122" i="118"/>
  <c r="AC123" i="118"/>
  <c r="AC124" i="118"/>
  <c r="AC125" i="118"/>
  <c r="AC126" i="118"/>
  <c r="AC127" i="118"/>
  <c r="AC128" i="118"/>
  <c r="AC129" i="118"/>
  <c r="AC131" i="118"/>
  <c r="AC130" i="118"/>
  <c r="AF15" i="118"/>
  <c r="AF11" i="118"/>
  <c r="AF12" i="118"/>
  <c r="AF14" i="118"/>
  <c r="AF13" i="118"/>
  <c r="AF16" i="118"/>
  <c r="AF17" i="118"/>
  <c r="AF18" i="118"/>
  <c r="AF19" i="118"/>
  <c r="AF20" i="118"/>
  <c r="AF21" i="118"/>
  <c r="AF22" i="118"/>
  <c r="AF23" i="118"/>
  <c r="AF24" i="118"/>
  <c r="AF25" i="118"/>
  <c r="AF26" i="118"/>
  <c r="AF27" i="118"/>
  <c r="AF28" i="118"/>
  <c r="AF29" i="118"/>
  <c r="AF30" i="118"/>
  <c r="AF31" i="118"/>
  <c r="AF32" i="118"/>
  <c r="AF33" i="118"/>
  <c r="AF34" i="118"/>
  <c r="AF35" i="118"/>
  <c r="AF36" i="118"/>
  <c r="AF37" i="118"/>
  <c r="AF38" i="118"/>
  <c r="AF39" i="118"/>
  <c r="AF40" i="118"/>
  <c r="AF41" i="118"/>
  <c r="AF42" i="118"/>
  <c r="AF43" i="118"/>
  <c r="AF44" i="118"/>
  <c r="AF45" i="118"/>
  <c r="AF46" i="118"/>
  <c r="AF47" i="118"/>
  <c r="AF48" i="118"/>
  <c r="AF49" i="118"/>
  <c r="AF50" i="118"/>
  <c r="AF51" i="118"/>
  <c r="AF52" i="118"/>
  <c r="AF53" i="118"/>
  <c r="AF54" i="118"/>
  <c r="AF55" i="118"/>
  <c r="AF56" i="118"/>
  <c r="AF57" i="118"/>
  <c r="AF58" i="118"/>
  <c r="AF59" i="118"/>
  <c r="AF60" i="118"/>
  <c r="AF61" i="118"/>
  <c r="AF62" i="118"/>
  <c r="AF63" i="118"/>
  <c r="AF64" i="118"/>
  <c r="AF65" i="118"/>
  <c r="AF66" i="118"/>
  <c r="AF67" i="118"/>
  <c r="AF68" i="118"/>
  <c r="AF69" i="118"/>
  <c r="AF70" i="118"/>
  <c r="AF71" i="118"/>
  <c r="AF72" i="118"/>
  <c r="AF73" i="118"/>
  <c r="AF74" i="118"/>
  <c r="AF75" i="118"/>
  <c r="AF76" i="118"/>
  <c r="AF77" i="118"/>
  <c r="AF78" i="118"/>
  <c r="AF79" i="118"/>
  <c r="AF80" i="118"/>
  <c r="AF81" i="118"/>
  <c r="AF82" i="118"/>
  <c r="AF83" i="118"/>
  <c r="AF84" i="118"/>
  <c r="AF85" i="118"/>
  <c r="AF86" i="118"/>
  <c r="AF87" i="118"/>
  <c r="AF88" i="118"/>
  <c r="AF89" i="118"/>
  <c r="AF90" i="118"/>
  <c r="AF91" i="118"/>
  <c r="AF92" i="118"/>
  <c r="AF93" i="118"/>
  <c r="AF94" i="118"/>
  <c r="AF95" i="118"/>
  <c r="AF96" i="118"/>
  <c r="AF97" i="118"/>
  <c r="AF98" i="118"/>
  <c r="AF99" i="118"/>
  <c r="AF100" i="118"/>
  <c r="AF101" i="118"/>
  <c r="AF102" i="118"/>
  <c r="AF103" i="118"/>
  <c r="AF104" i="118"/>
  <c r="AF105" i="118"/>
  <c r="AF106" i="118"/>
  <c r="AF107" i="118"/>
  <c r="AF108" i="118"/>
  <c r="AF109" i="118"/>
  <c r="AF110" i="118"/>
  <c r="AF111" i="118"/>
  <c r="AF112" i="118"/>
  <c r="AF113" i="118"/>
  <c r="AF114" i="118"/>
  <c r="AF115" i="118"/>
  <c r="AF116" i="118"/>
  <c r="AF117" i="118"/>
  <c r="AF118" i="118"/>
  <c r="AF119" i="118"/>
  <c r="AF120" i="118"/>
  <c r="AF121" i="118"/>
  <c r="AF122" i="118"/>
  <c r="AF123" i="118"/>
  <c r="AF124" i="118"/>
  <c r="AF125" i="118"/>
  <c r="AF126" i="118"/>
  <c r="AF127" i="118"/>
  <c r="AF128" i="118"/>
  <c r="AF129" i="118"/>
  <c r="AF130" i="118"/>
  <c r="AF131" i="118"/>
  <c r="N13" i="118"/>
  <c r="N12" i="118"/>
  <c r="N11" i="118"/>
  <c r="N14" i="118"/>
  <c r="N15" i="118"/>
  <c r="N16" i="118"/>
  <c r="N17" i="118"/>
  <c r="N18" i="118"/>
  <c r="N19" i="118"/>
  <c r="N20" i="118"/>
  <c r="N21" i="118"/>
  <c r="N22" i="118"/>
  <c r="N23" i="118"/>
  <c r="N24" i="118"/>
  <c r="N25" i="118"/>
  <c r="N26" i="118"/>
  <c r="N27" i="118"/>
  <c r="N28" i="118"/>
  <c r="N29" i="118"/>
  <c r="N30" i="118"/>
  <c r="N31" i="118"/>
  <c r="N32" i="118"/>
  <c r="N33" i="118"/>
  <c r="N34" i="118"/>
  <c r="N35" i="118"/>
  <c r="N36" i="118"/>
  <c r="N37" i="118"/>
  <c r="N38" i="118"/>
  <c r="N39" i="118"/>
  <c r="N40" i="118"/>
  <c r="N41" i="118"/>
  <c r="N42" i="118"/>
  <c r="N43" i="118"/>
  <c r="N44" i="118"/>
  <c r="N45" i="118"/>
  <c r="N46" i="118"/>
  <c r="N47" i="118"/>
  <c r="N48" i="118"/>
  <c r="N49" i="118"/>
  <c r="N50" i="118"/>
  <c r="N51" i="118"/>
  <c r="N52" i="118"/>
  <c r="N53" i="118"/>
  <c r="N54" i="118"/>
  <c r="N55" i="118"/>
  <c r="N56" i="118"/>
  <c r="N57" i="118"/>
  <c r="N58" i="118"/>
  <c r="N59" i="118"/>
  <c r="N60" i="118"/>
  <c r="N61" i="118"/>
  <c r="N62" i="118"/>
  <c r="N63" i="118"/>
  <c r="N64" i="118"/>
  <c r="N65" i="118"/>
  <c r="N66" i="118"/>
  <c r="N67" i="118"/>
  <c r="N68" i="118"/>
  <c r="N69" i="118"/>
  <c r="N70" i="118"/>
  <c r="N71" i="118"/>
  <c r="N72" i="118"/>
  <c r="N73" i="118"/>
  <c r="N74" i="118"/>
  <c r="N75" i="118"/>
  <c r="N76" i="118"/>
  <c r="N77" i="118"/>
  <c r="N78" i="118"/>
  <c r="N79" i="118"/>
  <c r="N80" i="118"/>
  <c r="N81" i="118"/>
  <c r="N82" i="118"/>
  <c r="N83" i="118"/>
  <c r="N84" i="118"/>
  <c r="N85" i="118"/>
  <c r="N86" i="118"/>
  <c r="N87" i="118"/>
  <c r="N88" i="118"/>
  <c r="N89" i="118"/>
  <c r="N90" i="118"/>
  <c r="N91" i="118"/>
  <c r="N92" i="118"/>
  <c r="N93" i="118"/>
  <c r="N94" i="118"/>
  <c r="N95" i="118"/>
  <c r="N96" i="118"/>
  <c r="N97" i="118"/>
  <c r="N98" i="118"/>
  <c r="N99" i="118"/>
  <c r="N100" i="118"/>
  <c r="N101" i="118"/>
  <c r="N102" i="118"/>
  <c r="N103" i="118"/>
  <c r="N104" i="118"/>
  <c r="N105" i="118"/>
  <c r="N106" i="118"/>
  <c r="N107" i="118"/>
  <c r="N108" i="118"/>
  <c r="N109" i="118"/>
  <c r="N110" i="118"/>
  <c r="N111" i="118"/>
  <c r="N112" i="118"/>
  <c r="N113" i="118"/>
  <c r="N114" i="118"/>
  <c r="N115" i="118"/>
  <c r="N116" i="118"/>
  <c r="N117" i="118"/>
  <c r="N118" i="118"/>
  <c r="N119" i="118"/>
  <c r="N120" i="118"/>
  <c r="N121" i="118"/>
  <c r="N122" i="118"/>
  <c r="N123" i="118"/>
  <c r="N124" i="118"/>
  <c r="N125" i="118"/>
  <c r="N126" i="118"/>
  <c r="N127" i="118"/>
  <c r="N128" i="118"/>
  <c r="N129" i="118"/>
  <c r="N131" i="118"/>
  <c r="N130" i="118"/>
  <c r="M12" i="118"/>
  <c r="M11" i="118"/>
  <c r="M13" i="118"/>
  <c r="M14" i="118"/>
  <c r="M15" i="118"/>
  <c r="M16" i="118"/>
  <c r="M17" i="118"/>
  <c r="M18" i="118"/>
  <c r="M19" i="118"/>
  <c r="M20" i="118"/>
  <c r="M21" i="118"/>
  <c r="M22" i="118"/>
  <c r="M23" i="118"/>
  <c r="M24" i="118"/>
  <c r="M25" i="118"/>
  <c r="M26" i="118"/>
  <c r="M27" i="118"/>
  <c r="M28" i="118"/>
  <c r="M29" i="118"/>
  <c r="M30" i="118"/>
  <c r="M31" i="118"/>
  <c r="M32" i="118"/>
  <c r="M33" i="118"/>
  <c r="M34" i="118"/>
  <c r="M35" i="118"/>
  <c r="M36" i="118"/>
  <c r="M37" i="118"/>
  <c r="M38" i="118"/>
  <c r="M39" i="118"/>
  <c r="M40" i="118"/>
  <c r="M41" i="118"/>
  <c r="M42" i="118"/>
  <c r="M43" i="118"/>
  <c r="M44" i="118"/>
  <c r="M45" i="118"/>
  <c r="M46" i="118"/>
  <c r="M47" i="118"/>
  <c r="M48" i="118"/>
  <c r="M49" i="118"/>
  <c r="M50" i="118"/>
  <c r="M51" i="118"/>
  <c r="M52" i="118"/>
  <c r="M53" i="118"/>
  <c r="M54" i="118"/>
  <c r="M55" i="118"/>
  <c r="M56" i="118"/>
  <c r="M57" i="118"/>
  <c r="M58" i="118"/>
  <c r="M59" i="118"/>
  <c r="M60" i="118"/>
  <c r="M61" i="118"/>
  <c r="M62" i="118"/>
  <c r="M63" i="118"/>
  <c r="M64" i="118"/>
  <c r="M65" i="118"/>
  <c r="M66" i="118"/>
  <c r="M67" i="118"/>
  <c r="M68" i="118"/>
  <c r="M69" i="118"/>
  <c r="M70" i="118"/>
  <c r="M71" i="118"/>
  <c r="M72" i="118"/>
  <c r="M73" i="118"/>
  <c r="M74" i="118"/>
  <c r="M75" i="118"/>
  <c r="M76" i="118"/>
  <c r="M77" i="118"/>
  <c r="M78" i="118"/>
  <c r="M79" i="118"/>
  <c r="M80" i="118"/>
  <c r="M81" i="118"/>
  <c r="M82" i="118"/>
  <c r="M83" i="118"/>
  <c r="M84" i="118"/>
  <c r="M85" i="118"/>
  <c r="M86" i="118"/>
  <c r="M87" i="118"/>
  <c r="M88" i="118"/>
  <c r="M89" i="118"/>
  <c r="M90" i="118"/>
  <c r="M91" i="118"/>
  <c r="M92" i="118"/>
  <c r="M93" i="118"/>
  <c r="M94" i="118"/>
  <c r="M95" i="118"/>
  <c r="M96" i="118"/>
  <c r="M97" i="118"/>
  <c r="M98" i="118"/>
  <c r="M99" i="118"/>
  <c r="M100" i="118"/>
  <c r="M101" i="118"/>
  <c r="M102" i="118"/>
  <c r="M103" i="118"/>
  <c r="M104" i="118"/>
  <c r="M105" i="118"/>
  <c r="M106" i="118"/>
  <c r="M107" i="118"/>
  <c r="M108" i="118"/>
  <c r="M109" i="118"/>
  <c r="M110" i="118"/>
  <c r="M111" i="118"/>
  <c r="M112" i="118"/>
  <c r="M113" i="118"/>
  <c r="M114" i="118"/>
  <c r="M115" i="118"/>
  <c r="M116" i="118"/>
  <c r="M117" i="118"/>
  <c r="M118" i="118"/>
  <c r="M119" i="118"/>
  <c r="M120" i="118"/>
  <c r="M121" i="118"/>
  <c r="M122" i="118"/>
  <c r="M123" i="118"/>
  <c r="M124" i="118"/>
  <c r="M125" i="118"/>
  <c r="M126" i="118"/>
  <c r="M127" i="118"/>
  <c r="M128" i="118"/>
  <c r="M129" i="118"/>
  <c r="M131" i="118"/>
  <c r="M130" i="118"/>
  <c r="AB13" i="118"/>
  <c r="AB11" i="118"/>
  <c r="AB12" i="118"/>
  <c r="AB14" i="118"/>
  <c r="AB15" i="118"/>
  <c r="AB16" i="118"/>
  <c r="AB17" i="118"/>
  <c r="AB18" i="118"/>
  <c r="AB19" i="118"/>
  <c r="AB20" i="118"/>
  <c r="AB21" i="118"/>
  <c r="AB22" i="118"/>
  <c r="AB23" i="118"/>
  <c r="AB24" i="118"/>
  <c r="AB25" i="118"/>
  <c r="AB26" i="118"/>
  <c r="AB27" i="118"/>
  <c r="AB28" i="118"/>
  <c r="AB29" i="118"/>
  <c r="AB30" i="118"/>
  <c r="AB31" i="118"/>
  <c r="AB32" i="118"/>
  <c r="AB33" i="118"/>
  <c r="AB34" i="118"/>
  <c r="AB35" i="118"/>
  <c r="AB36" i="118"/>
  <c r="AB37" i="118"/>
  <c r="AB38" i="118"/>
  <c r="AB39" i="118"/>
  <c r="AB40" i="118"/>
  <c r="AB41" i="118"/>
  <c r="AB42" i="118"/>
  <c r="AB43" i="118"/>
  <c r="AB44" i="118"/>
  <c r="AB45" i="118"/>
  <c r="AB46" i="118"/>
  <c r="AB47" i="118"/>
  <c r="AB48" i="118"/>
  <c r="AB49" i="118"/>
  <c r="AB50" i="118"/>
  <c r="AB51" i="118"/>
  <c r="AB52" i="118"/>
  <c r="AB53" i="118"/>
  <c r="AB54" i="118"/>
  <c r="AB55" i="118"/>
  <c r="AB56" i="118"/>
  <c r="AB57" i="118"/>
  <c r="AB58" i="118"/>
  <c r="AB59" i="118"/>
  <c r="AB60" i="118"/>
  <c r="AB61" i="118"/>
  <c r="AB62" i="118"/>
  <c r="AB63" i="118"/>
  <c r="AB64" i="118"/>
  <c r="AB65" i="118"/>
  <c r="AB66" i="118"/>
  <c r="AB67" i="118"/>
  <c r="AB68" i="118"/>
  <c r="AB69" i="118"/>
  <c r="AB70" i="118"/>
  <c r="AB71" i="118"/>
  <c r="AB72" i="118"/>
  <c r="AB73" i="118"/>
  <c r="AB74" i="118"/>
  <c r="AB75" i="118"/>
  <c r="AB76" i="118"/>
  <c r="AB77" i="118"/>
  <c r="AB78" i="118"/>
  <c r="AB79" i="118"/>
  <c r="AB80" i="118"/>
  <c r="AB81" i="118"/>
  <c r="AB82" i="118"/>
  <c r="AB83" i="118"/>
  <c r="AB84" i="118"/>
  <c r="AB85" i="118"/>
  <c r="AB86" i="118"/>
  <c r="AB87" i="118"/>
  <c r="AB88" i="118"/>
  <c r="AB89" i="118"/>
  <c r="AB90" i="118"/>
  <c r="AB91" i="118"/>
  <c r="AB92" i="118"/>
  <c r="AB93" i="118"/>
  <c r="AB94" i="118"/>
  <c r="AB95" i="118"/>
  <c r="AB96" i="118"/>
  <c r="AB97" i="118"/>
  <c r="AB98" i="118"/>
  <c r="AB99" i="118"/>
  <c r="AB100" i="118"/>
  <c r="AB101" i="118"/>
  <c r="AB102" i="118"/>
  <c r="AB103" i="118"/>
  <c r="AB104" i="118"/>
  <c r="AB105" i="118"/>
  <c r="AB106" i="118"/>
  <c r="AB107" i="118"/>
  <c r="AB108" i="118"/>
  <c r="AB109" i="118"/>
  <c r="AB110" i="118"/>
  <c r="AB111" i="118"/>
  <c r="AB112" i="118"/>
  <c r="AB113" i="118"/>
  <c r="AB114" i="118"/>
  <c r="AB115" i="118"/>
  <c r="AB116" i="118"/>
  <c r="AB117" i="118"/>
  <c r="AB118" i="118"/>
  <c r="AB119" i="118"/>
  <c r="AB120" i="118"/>
  <c r="AB121" i="118"/>
  <c r="AB122" i="118"/>
  <c r="AB123" i="118"/>
  <c r="AB124" i="118"/>
  <c r="AB125" i="118"/>
  <c r="AB126" i="118"/>
  <c r="AB127" i="118"/>
  <c r="AB128" i="118"/>
  <c r="AB129" i="118"/>
  <c r="AB131" i="118"/>
  <c r="AB130" i="118"/>
  <c r="Q13" i="118"/>
  <c r="Q11" i="118"/>
  <c r="Q14" i="118"/>
  <c r="Q15" i="118"/>
  <c r="Q12" i="118"/>
  <c r="Q16" i="118"/>
  <c r="Q17" i="118"/>
  <c r="Q18" i="118"/>
  <c r="Q19" i="118"/>
  <c r="Q20" i="118"/>
  <c r="Q21" i="118"/>
  <c r="Q22" i="118"/>
  <c r="Q23" i="118"/>
  <c r="Q24" i="118"/>
  <c r="Q25" i="118"/>
  <c r="Q26" i="118"/>
  <c r="Q27" i="118"/>
  <c r="Q28" i="118"/>
  <c r="Q29" i="118"/>
  <c r="Q30" i="118"/>
  <c r="Q31" i="118"/>
  <c r="Q32" i="118"/>
  <c r="Q33" i="118"/>
  <c r="Q34" i="118"/>
  <c r="Q35" i="118"/>
  <c r="Q36" i="118"/>
  <c r="Q37" i="118"/>
  <c r="Q38" i="118"/>
  <c r="Q39" i="118"/>
  <c r="Q40" i="118"/>
  <c r="Q41" i="118"/>
  <c r="Q42" i="118"/>
  <c r="Q43" i="118"/>
  <c r="Q44" i="118"/>
  <c r="Q45" i="118"/>
  <c r="Q46" i="118"/>
  <c r="Q47" i="118"/>
  <c r="Q48" i="118"/>
  <c r="Q49" i="118"/>
  <c r="Q50" i="118"/>
  <c r="Q51" i="118"/>
  <c r="Q52" i="118"/>
  <c r="Q53" i="118"/>
  <c r="Q54" i="118"/>
  <c r="Q55" i="118"/>
  <c r="Q56" i="118"/>
  <c r="Q57" i="118"/>
  <c r="Q58" i="118"/>
  <c r="Q59" i="118"/>
  <c r="Q60" i="118"/>
  <c r="Q61" i="118"/>
  <c r="Q62" i="118"/>
  <c r="Q63" i="118"/>
  <c r="Q64" i="118"/>
  <c r="Q65" i="118"/>
  <c r="Q66" i="118"/>
  <c r="Q67" i="118"/>
  <c r="Q68" i="118"/>
  <c r="Q69" i="118"/>
  <c r="Q70" i="118"/>
  <c r="Q71" i="118"/>
  <c r="Q72" i="118"/>
  <c r="Q73" i="118"/>
  <c r="Q74" i="118"/>
  <c r="Q75" i="118"/>
  <c r="Q76" i="118"/>
  <c r="Q77" i="118"/>
  <c r="Q78" i="118"/>
  <c r="Q79" i="118"/>
  <c r="Q80" i="118"/>
  <c r="Q81" i="118"/>
  <c r="Q82" i="118"/>
  <c r="Q83" i="118"/>
  <c r="Q84" i="118"/>
  <c r="Q85" i="118"/>
  <c r="Q86" i="118"/>
  <c r="Q87" i="118"/>
  <c r="Q88" i="118"/>
  <c r="Q89" i="118"/>
  <c r="Q90" i="118"/>
  <c r="Q91" i="118"/>
  <c r="Q92" i="118"/>
  <c r="Q93" i="118"/>
  <c r="Q94" i="118"/>
  <c r="Q95" i="118"/>
  <c r="Q96" i="118"/>
  <c r="Q97" i="118"/>
  <c r="Q98" i="118"/>
  <c r="Q99" i="118"/>
  <c r="Q100" i="118"/>
  <c r="Q101" i="118"/>
  <c r="Q102" i="118"/>
  <c r="Q103" i="118"/>
  <c r="Q104" i="118"/>
  <c r="Q105" i="118"/>
  <c r="Q106" i="118"/>
  <c r="Q107" i="118"/>
  <c r="Q108" i="118"/>
  <c r="Q109" i="118"/>
  <c r="Q110" i="118"/>
  <c r="Q111" i="118"/>
  <c r="Q112" i="118"/>
  <c r="Q113" i="118"/>
  <c r="Q114" i="118"/>
  <c r="Q115" i="118"/>
  <c r="Q116" i="118"/>
  <c r="Q117" i="118"/>
  <c r="Q118" i="118"/>
  <c r="Q119" i="118"/>
  <c r="Q120" i="118"/>
  <c r="Q121" i="118"/>
  <c r="Q122" i="118"/>
  <c r="Q123" i="118"/>
  <c r="Q124" i="118"/>
  <c r="Q125" i="118"/>
  <c r="Q126" i="118"/>
  <c r="Q127" i="118"/>
  <c r="Q128" i="118"/>
  <c r="Q129" i="118"/>
  <c r="Q130" i="118"/>
  <c r="Q131" i="118"/>
  <c r="R4" i="118"/>
  <c r="R5" i="118" a="1"/>
  <c r="R5" i="118" s="1"/>
  <c r="L8" i="78"/>
  <c r="M3" i="78"/>
  <c r="N3" i="73"/>
  <c r="M7" i="73"/>
  <c r="D78" i="79"/>
  <c r="E77" i="79"/>
  <c r="L77" i="79" s="1"/>
  <c r="Z8" i="77"/>
  <c r="AA3" i="77"/>
  <c r="AA6" i="77" s="1" a="1"/>
  <c r="AA6" i="77" s="1"/>
  <c r="D17" i="77"/>
  <c r="E16" i="77"/>
  <c r="F16" i="77" s="1" a="1"/>
  <c r="F16" i="77" s="1"/>
  <c r="AC3" i="76"/>
  <c r="AB7" i="76"/>
  <c r="M2" i="78"/>
  <c r="AE2" i="72"/>
  <c r="AD4" i="72" a="1"/>
  <c r="AD4" i="72" s="1"/>
  <c r="G43" i="72" a="1"/>
  <c r="G43" i="72" s="1"/>
  <c r="D44" i="72"/>
  <c r="D19" i="78"/>
  <c r="E18" i="78"/>
  <c r="D36" i="72"/>
  <c r="G36" i="72" s="1" a="1"/>
  <c r="G36" i="72" s="1"/>
  <c r="G35" i="72" a="1"/>
  <c r="G35" i="72" s="1"/>
  <c r="E16" i="75"/>
  <c r="D17" i="75"/>
  <c r="F17" i="76"/>
  <c r="M2" i="74"/>
  <c r="X8" i="78"/>
  <c r="Y3" i="78"/>
  <c r="M2" i="75"/>
  <c r="N8" i="77"/>
  <c r="O3" i="77"/>
  <c r="O6" i="77" s="1" a="1"/>
  <c r="O6" i="77" s="1"/>
  <c r="E16" i="74"/>
  <c r="D17" i="74"/>
  <c r="P4" i="72" a="1"/>
  <c r="P4" i="72" s="1"/>
  <c r="Q2" i="72"/>
  <c r="M3" i="74"/>
  <c r="L8" i="74"/>
  <c r="F14" i="73"/>
  <c r="G12" i="72" a="1"/>
  <c r="G12" i="72" s="1"/>
  <c r="D13" i="72"/>
  <c r="M2" i="77"/>
  <c r="X8" i="74"/>
  <c r="Y3" i="74"/>
  <c r="G23" i="72" a="1"/>
  <c r="G23" i="72" s="1"/>
  <c r="D24" i="72"/>
  <c r="W2" i="73"/>
  <c r="X2" i="73" s="1"/>
  <c r="Y2" i="73" s="1"/>
  <c r="Z2" i="73" s="1"/>
  <c r="AA2" i="73" s="1"/>
  <c r="AB2" i="73" s="1"/>
  <c r="AC2" i="73" s="1"/>
  <c r="AD2" i="73" s="1"/>
  <c r="V10" i="73"/>
  <c r="AE10" i="73" s="1"/>
  <c r="E16" i="73"/>
  <c r="D17" i="73"/>
  <c r="G53" i="72" a="1"/>
  <c r="G53" i="72" s="1"/>
  <c r="D54" i="72"/>
  <c r="E16" i="76"/>
  <c r="D17" i="76"/>
  <c r="O3" i="75"/>
  <c r="N8" i="75"/>
  <c r="Z3" i="75"/>
  <c r="Y8" i="75"/>
  <c r="AB3" i="73"/>
  <c r="AA7" i="73"/>
  <c r="F13" i="74" l="1" a="1"/>
  <c r="F13" i="74" s="1"/>
  <c r="F11" i="74" a="1"/>
  <c r="F11" i="74" s="1"/>
  <c r="F14" i="74" a="1"/>
  <c r="F14" i="74" s="1"/>
  <c r="F16" i="74" a="1"/>
  <c r="F16" i="74" s="1"/>
  <c r="F15" i="74" a="1"/>
  <c r="F15" i="74" s="1"/>
  <c r="F12" i="74" a="1"/>
  <c r="F12" i="74" s="1"/>
  <c r="F29" i="65" a="1"/>
  <c r="F29" i="65" s="1"/>
  <c r="AG4" i="118"/>
  <c r="AG5" i="118" a="1"/>
  <c r="AG5" i="118" s="1"/>
  <c r="Z6" i="31" a="1"/>
  <c r="Z6" i="31" s="1"/>
  <c r="Y6" i="31" a="1"/>
  <c r="Y6" i="31" s="1"/>
  <c r="K27" i="117"/>
  <c r="AC27" i="117"/>
  <c r="AA27" i="117"/>
  <c r="R27" i="117"/>
  <c r="H27" i="117"/>
  <c r="M27" i="117"/>
  <c r="AG27" i="117"/>
  <c r="Y27" i="117"/>
  <c r="L27" i="117"/>
  <c r="AF27" i="117"/>
  <c r="V27" i="117"/>
  <c r="J27" i="117"/>
  <c r="AD27" i="117"/>
  <c r="X27" i="117"/>
  <c r="Q27" i="117"/>
  <c r="AE27" i="117"/>
  <c r="I27" i="117"/>
  <c r="AB27" i="117"/>
  <c r="W27" i="117"/>
  <c r="O27" i="117"/>
  <c r="N27" i="117"/>
  <c r="Z27" i="117"/>
  <c r="P27" i="117"/>
  <c r="G27" i="117"/>
  <c r="N19" i="117"/>
  <c r="Y19" i="117"/>
  <c r="AB19" i="117"/>
  <c r="R19" i="117"/>
  <c r="O19" i="117"/>
  <c r="K19" i="117"/>
  <c r="Z19" i="117"/>
  <c r="AA19" i="117"/>
  <c r="AF19" i="117"/>
  <c r="V19" i="117"/>
  <c r="G19" i="117"/>
  <c r="X19" i="117"/>
  <c r="AE19" i="117"/>
  <c r="I19" i="117"/>
  <c r="AC19" i="117"/>
  <c r="J19" i="117"/>
  <c r="Q19" i="117"/>
  <c r="AD19" i="117"/>
  <c r="L19" i="117"/>
  <c r="W19" i="117"/>
  <c r="H19" i="117"/>
  <c r="P19" i="117"/>
  <c r="AG19" i="117"/>
  <c r="M19" i="117"/>
  <c r="O12" i="117"/>
  <c r="AC12" i="117"/>
  <c r="AF12" i="117"/>
  <c r="K12" i="117"/>
  <c r="AB12" i="117"/>
  <c r="H12" i="117"/>
  <c r="AD12" i="117"/>
  <c r="Y12" i="117"/>
  <c r="Q12" i="117"/>
  <c r="AA12" i="117"/>
  <c r="J12" i="117"/>
  <c r="M12" i="117"/>
  <c r="W12" i="117"/>
  <c r="AE12" i="117"/>
  <c r="R12" i="117"/>
  <c r="V12" i="117"/>
  <c r="Z12" i="117"/>
  <c r="P12" i="117"/>
  <c r="G12" i="117"/>
  <c r="X12" i="117"/>
  <c r="N12" i="117"/>
  <c r="L12" i="117"/>
  <c r="AG12" i="117"/>
  <c r="I12" i="117"/>
  <c r="M21" i="117"/>
  <c r="Y21" i="117"/>
  <c r="W21" i="117"/>
  <c r="O21" i="117"/>
  <c r="R21" i="117"/>
  <c r="AC21" i="117"/>
  <c r="J21" i="117"/>
  <c r="AD21" i="117"/>
  <c r="AE21" i="117"/>
  <c r="AF21" i="117"/>
  <c r="G21" i="117"/>
  <c r="AA21" i="117"/>
  <c r="Z21" i="117"/>
  <c r="K21" i="117"/>
  <c r="AG21" i="117"/>
  <c r="I21" i="117"/>
  <c r="L21" i="117"/>
  <c r="V21" i="117"/>
  <c r="Q21" i="117"/>
  <c r="AB21" i="117"/>
  <c r="H21" i="117"/>
  <c r="N21" i="117"/>
  <c r="X21" i="117"/>
  <c r="P21" i="117"/>
  <c r="N28" i="117"/>
  <c r="AD28" i="117"/>
  <c r="AA28" i="117"/>
  <c r="P28" i="117"/>
  <c r="V28" i="117"/>
  <c r="W28" i="117"/>
  <c r="G28" i="117"/>
  <c r="AC28" i="117"/>
  <c r="X28" i="117"/>
  <c r="H28" i="117"/>
  <c r="AE28" i="117"/>
  <c r="AB28" i="117"/>
  <c r="I28" i="117"/>
  <c r="L28" i="117"/>
  <c r="Z28" i="117"/>
  <c r="M28" i="117"/>
  <c r="AF28" i="117"/>
  <c r="O28" i="117"/>
  <c r="R28" i="117"/>
  <c r="Y28" i="117"/>
  <c r="Q28" i="117"/>
  <c r="AG28" i="117"/>
  <c r="J28" i="117"/>
  <c r="K28" i="117"/>
  <c r="R20" i="117"/>
  <c r="W20" i="117"/>
  <c r="AF20" i="117"/>
  <c r="X20" i="117"/>
  <c r="K20" i="117"/>
  <c r="G20" i="117"/>
  <c r="AE20" i="117"/>
  <c r="AA20" i="117"/>
  <c r="L20" i="117"/>
  <c r="Z20" i="117"/>
  <c r="M20" i="117"/>
  <c r="AC20" i="117"/>
  <c r="AB20" i="117"/>
  <c r="I20" i="117"/>
  <c r="AG20" i="117"/>
  <c r="O20" i="117"/>
  <c r="J20" i="117"/>
  <c r="V20" i="117"/>
  <c r="P20" i="117"/>
  <c r="H20" i="117"/>
  <c r="AD20" i="117"/>
  <c r="Y20" i="117"/>
  <c r="N20" i="117"/>
  <c r="Q20" i="117"/>
  <c r="M11" i="117"/>
  <c r="AB11" i="117"/>
  <c r="AG11" i="117"/>
  <c r="J11" i="117"/>
  <c r="AF11" i="117"/>
  <c r="V11" i="117"/>
  <c r="P11" i="117"/>
  <c r="G11" i="117"/>
  <c r="AD11" i="117"/>
  <c r="AA11" i="117"/>
  <c r="R11" i="117"/>
  <c r="I11" i="117"/>
  <c r="X11" i="117"/>
  <c r="AE11" i="117"/>
  <c r="AC11" i="117"/>
  <c r="L11" i="117"/>
  <c r="Z11" i="117"/>
  <c r="N11" i="117"/>
  <c r="Q11" i="117"/>
  <c r="W11" i="117"/>
  <c r="K11" i="117"/>
  <c r="O11" i="117"/>
  <c r="H11" i="117"/>
  <c r="Y11" i="117"/>
  <c r="N26" i="117"/>
  <c r="V26" i="117"/>
  <c r="W26" i="117"/>
  <c r="J26" i="117"/>
  <c r="R26" i="117"/>
  <c r="G26" i="117"/>
  <c r="Z26" i="117"/>
  <c r="X26" i="117"/>
  <c r="AB26" i="117"/>
  <c r="K26" i="117"/>
  <c r="P26" i="117"/>
  <c r="I26" i="117"/>
  <c r="AC26" i="117"/>
  <c r="AD26" i="117"/>
  <c r="L26" i="117"/>
  <c r="M26" i="117"/>
  <c r="Y26" i="117"/>
  <c r="AG26" i="117"/>
  <c r="AF26" i="117"/>
  <c r="O26" i="117"/>
  <c r="AA26" i="117"/>
  <c r="Q26" i="117"/>
  <c r="AE26" i="117"/>
  <c r="H26" i="117"/>
  <c r="L18" i="117"/>
  <c r="AE18" i="117"/>
  <c r="Y18" i="117"/>
  <c r="R18" i="117"/>
  <c r="N18" i="117"/>
  <c r="V18" i="117"/>
  <c r="AC18" i="117"/>
  <c r="J18" i="117"/>
  <c r="Q18" i="117"/>
  <c r="G18" i="117"/>
  <c r="X18" i="117"/>
  <c r="AA18" i="117"/>
  <c r="K18" i="117"/>
  <c r="I18" i="117"/>
  <c r="AB18" i="117"/>
  <c r="W18" i="117"/>
  <c r="P18" i="117"/>
  <c r="AD18" i="117"/>
  <c r="Z18" i="117"/>
  <c r="AF18" i="117"/>
  <c r="O18" i="117"/>
  <c r="AG18" i="117"/>
  <c r="M18" i="117"/>
  <c r="H18" i="117"/>
  <c r="G29" i="117"/>
  <c r="V29" i="117"/>
  <c r="AD29" i="117"/>
  <c r="K29" i="117"/>
  <c r="R29" i="117"/>
  <c r="Z29" i="117"/>
  <c r="AB29" i="117"/>
  <c r="X29" i="117"/>
  <c r="AC29" i="117"/>
  <c r="H29" i="117"/>
  <c r="AA29" i="117"/>
  <c r="W29" i="117"/>
  <c r="P29" i="117"/>
  <c r="Q29" i="117"/>
  <c r="AE29" i="117"/>
  <c r="N29" i="117"/>
  <c r="Y29" i="117"/>
  <c r="I29" i="117"/>
  <c r="O29" i="117"/>
  <c r="AG29" i="117"/>
  <c r="AF29" i="117"/>
  <c r="L29" i="117"/>
  <c r="M29" i="117"/>
  <c r="J29" i="117"/>
  <c r="I13" i="117"/>
  <c r="Z13" i="117"/>
  <c r="AA13" i="117"/>
  <c r="O13" i="117"/>
  <c r="X13" i="117"/>
  <c r="AF13" i="117"/>
  <c r="J13" i="117"/>
  <c r="Y13" i="117"/>
  <c r="AD13" i="117"/>
  <c r="L13" i="117"/>
  <c r="W13" i="117"/>
  <c r="AB13" i="117"/>
  <c r="M13" i="117"/>
  <c r="K13" i="117"/>
  <c r="Q13" i="117"/>
  <c r="V13" i="117"/>
  <c r="P13" i="117"/>
  <c r="H13" i="117"/>
  <c r="AC13" i="117"/>
  <c r="N13" i="117"/>
  <c r="AE13" i="117"/>
  <c r="R13" i="117"/>
  <c r="AG13" i="117"/>
  <c r="G13" i="117"/>
  <c r="P17" i="117"/>
  <c r="AG17" i="117"/>
  <c r="AD17" i="117"/>
  <c r="I17" i="117"/>
  <c r="Y17" i="117"/>
  <c r="V17" i="117"/>
  <c r="J17" i="117"/>
  <c r="H17" i="117"/>
  <c r="AC17" i="117"/>
  <c r="L17" i="117"/>
  <c r="AB17" i="117"/>
  <c r="Z17" i="117"/>
  <c r="X17" i="117"/>
  <c r="Q17" i="117"/>
  <c r="AA17" i="117"/>
  <c r="AE17" i="117"/>
  <c r="O17" i="117"/>
  <c r="G17" i="117"/>
  <c r="AF17" i="117"/>
  <c r="N17" i="117"/>
  <c r="K17" i="117"/>
  <c r="W17" i="117"/>
  <c r="R17" i="117"/>
  <c r="M17" i="117"/>
  <c r="H25" i="117"/>
  <c r="X25" i="117"/>
  <c r="AD25" i="117"/>
  <c r="K25" i="117"/>
  <c r="J25" i="117"/>
  <c r="AG25" i="117"/>
  <c r="AF25" i="117"/>
  <c r="V25" i="117"/>
  <c r="W25" i="117"/>
  <c r="O25" i="117"/>
  <c r="Z25" i="117"/>
  <c r="AB25" i="117"/>
  <c r="Q25" i="117"/>
  <c r="AA25" i="117"/>
  <c r="I25" i="117"/>
  <c r="M25" i="117"/>
  <c r="Y25" i="117"/>
  <c r="P25" i="117"/>
  <c r="AE25" i="117"/>
  <c r="R25" i="117"/>
  <c r="AC25" i="117"/>
  <c r="G25" i="117"/>
  <c r="L25" i="117"/>
  <c r="N25" i="117"/>
  <c r="I24" i="117"/>
  <c r="V24" i="117"/>
  <c r="Z24" i="117"/>
  <c r="O24" i="117"/>
  <c r="W24" i="117"/>
  <c r="AC24" i="117"/>
  <c r="L24" i="117"/>
  <c r="G24" i="117"/>
  <c r="AG24" i="117"/>
  <c r="AE24" i="117"/>
  <c r="K24" i="117"/>
  <c r="Y24" i="117"/>
  <c r="AB24" i="117"/>
  <c r="N24" i="117"/>
  <c r="AD24" i="117"/>
  <c r="P24" i="117"/>
  <c r="AA24" i="117"/>
  <c r="R24" i="117"/>
  <c r="H24" i="117"/>
  <c r="AF24" i="117"/>
  <c r="M24" i="117"/>
  <c r="Q24" i="117"/>
  <c r="X24" i="117"/>
  <c r="J24" i="117"/>
  <c r="O16" i="117"/>
  <c r="Z16" i="117"/>
  <c r="X16" i="117"/>
  <c r="I16" i="117"/>
  <c r="H16" i="117"/>
  <c r="AE16" i="117"/>
  <c r="AC16" i="117"/>
  <c r="L16" i="117"/>
  <c r="AF16" i="117"/>
  <c r="AB16" i="117"/>
  <c r="G16" i="117"/>
  <c r="V16" i="117"/>
  <c r="AD16" i="117"/>
  <c r="J16" i="117"/>
  <c r="AG16" i="117"/>
  <c r="P16" i="117"/>
  <c r="R16" i="117"/>
  <c r="Y16" i="117"/>
  <c r="Q16" i="117"/>
  <c r="M16" i="117"/>
  <c r="W16" i="117"/>
  <c r="N16" i="117"/>
  <c r="K16" i="117"/>
  <c r="AA16" i="117"/>
  <c r="J23" i="117"/>
  <c r="AE23" i="117"/>
  <c r="AG23" i="117"/>
  <c r="M23" i="117"/>
  <c r="AF23" i="117"/>
  <c r="X23" i="117"/>
  <c r="G23" i="117"/>
  <c r="AB23" i="117"/>
  <c r="AD23" i="117"/>
  <c r="O23" i="117"/>
  <c r="AA23" i="117"/>
  <c r="AC23" i="117"/>
  <c r="Q23" i="117"/>
  <c r="L23" i="117"/>
  <c r="P23" i="117"/>
  <c r="Y23" i="117"/>
  <c r="V23" i="117"/>
  <c r="N23" i="117"/>
  <c r="W23" i="117"/>
  <c r="R23" i="117"/>
  <c r="I23" i="117"/>
  <c r="Z23" i="117"/>
  <c r="K23" i="117"/>
  <c r="H23" i="117"/>
  <c r="G15" i="117"/>
  <c r="AD15" i="117"/>
  <c r="AB15" i="117"/>
  <c r="P15" i="117"/>
  <c r="AF15" i="117"/>
  <c r="AE15" i="117"/>
  <c r="M15" i="117"/>
  <c r="W15" i="117"/>
  <c r="X15" i="117"/>
  <c r="Z15" i="117"/>
  <c r="N15" i="117"/>
  <c r="AA15" i="117"/>
  <c r="H15" i="117"/>
  <c r="O15" i="117"/>
  <c r="AC15" i="117"/>
  <c r="J15" i="117"/>
  <c r="Q15" i="117"/>
  <c r="K15" i="117"/>
  <c r="V15" i="117"/>
  <c r="I15" i="117"/>
  <c r="R15" i="117"/>
  <c r="AG15" i="117"/>
  <c r="Y15" i="117"/>
  <c r="L15" i="117"/>
  <c r="L30" i="117"/>
  <c r="Z30" i="117"/>
  <c r="AD30" i="117"/>
  <c r="O30" i="117"/>
  <c r="I30" i="117"/>
  <c r="AB30" i="117"/>
  <c r="W30" i="117"/>
  <c r="R30" i="117"/>
  <c r="J30" i="117"/>
  <c r="V30" i="117"/>
  <c r="AC30" i="117"/>
  <c r="Y30" i="117"/>
  <c r="X30" i="117"/>
  <c r="H30" i="117"/>
  <c r="AF30" i="117"/>
  <c r="M30" i="117"/>
  <c r="N30" i="117"/>
  <c r="AA30" i="117"/>
  <c r="Q30" i="117"/>
  <c r="AE30" i="117"/>
  <c r="P30" i="117"/>
  <c r="AG30" i="117"/>
  <c r="G30" i="117"/>
  <c r="K30" i="117"/>
  <c r="M22" i="117"/>
  <c r="AF22" i="117"/>
  <c r="AC22" i="117"/>
  <c r="K22" i="117"/>
  <c r="Q22" i="117"/>
  <c r="Y22" i="117"/>
  <c r="Z22" i="117"/>
  <c r="AD22" i="117"/>
  <c r="W22" i="117"/>
  <c r="H22" i="117"/>
  <c r="AG22" i="117"/>
  <c r="V22" i="117"/>
  <c r="P22" i="117"/>
  <c r="AE22" i="117"/>
  <c r="R22" i="117"/>
  <c r="G22" i="117"/>
  <c r="X22" i="117"/>
  <c r="J22" i="117"/>
  <c r="AA22" i="117"/>
  <c r="O22" i="117"/>
  <c r="L22" i="117"/>
  <c r="AB22" i="117"/>
  <c r="N22" i="117"/>
  <c r="I22" i="117"/>
  <c r="G14" i="117"/>
  <c r="W14" i="117"/>
  <c r="AF14" i="117"/>
  <c r="N14" i="117"/>
  <c r="V14" i="117"/>
  <c r="X14" i="117"/>
  <c r="M14" i="117"/>
  <c r="Q14" i="117"/>
  <c r="AA14" i="117"/>
  <c r="Z14" i="117"/>
  <c r="L14" i="117"/>
  <c r="AD14" i="117"/>
  <c r="J14" i="117"/>
  <c r="AG14" i="117"/>
  <c r="I14" i="117"/>
  <c r="R14" i="117"/>
  <c r="AC14" i="117"/>
  <c r="K14" i="117"/>
  <c r="P14" i="117"/>
  <c r="O14" i="117"/>
  <c r="AB14" i="117"/>
  <c r="AE14" i="117"/>
  <c r="Y14" i="117"/>
  <c r="H14" i="117"/>
  <c r="G16" i="73"/>
  <c r="G16" i="76"/>
  <c r="P4" i="118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P5" i="118" a="1"/>
  <c r="P5" i="118" s="1"/>
  <c r="O432" i="79" a="1"/>
  <c r="O432" i="79" s="1"/>
  <c r="M432" i="79" s="1"/>
  <c r="O433" i="79" a="1"/>
  <c r="O433" i="79" s="1"/>
  <c r="M433" i="79" s="1"/>
  <c r="AE4" i="118"/>
  <c r="AE5" i="118" a="1"/>
  <c r="AE5" i="118" s="1"/>
  <c r="AB4" i="118"/>
  <c r="AB5" i="118" a="1"/>
  <c r="AB5" i="118" s="1"/>
  <c r="AF4" i="118"/>
  <c r="AF5" i="118" a="1"/>
  <c r="AF5" i="118" s="1"/>
  <c r="AC4" i="118"/>
  <c r="AC5" i="118" a="1"/>
  <c r="AC5" i="118" s="1"/>
  <c r="M4" i="118"/>
  <c r="M5" i="118" a="1"/>
  <c r="M5" i="118" s="1"/>
  <c r="Q4" i="118"/>
  <c r="Q5" i="118" a="1"/>
  <c r="Q5" i="118" s="1"/>
  <c r="N4" i="118"/>
  <c r="N5" i="118" a="1"/>
  <c r="N5" i="118" s="1"/>
  <c r="N3" i="78"/>
  <c r="M8" i="78"/>
  <c r="O3" i="73"/>
  <c r="N7" i="73"/>
  <c r="E78" i="79"/>
  <c r="L78" i="79" s="1"/>
  <c r="N2" i="75"/>
  <c r="N2" i="78"/>
  <c r="D14" i="72"/>
  <c r="G13" i="72" a="1"/>
  <c r="G13" i="72" s="1"/>
  <c r="E17" i="74"/>
  <c r="F17" i="74" s="1" a="1"/>
  <c r="F17" i="74" s="1"/>
  <c r="D18" i="74"/>
  <c r="G44" i="72" a="1"/>
  <c r="G44" i="72" s="1"/>
  <c r="D45" i="72"/>
  <c r="Z3" i="78"/>
  <c r="Y8" i="78"/>
  <c r="N2" i="74"/>
  <c r="D18" i="76"/>
  <c r="E17" i="76"/>
  <c r="E17" i="77"/>
  <c r="F17" i="77" s="1" a="1"/>
  <c r="F17" i="77" s="1"/>
  <c r="D18" i="77"/>
  <c r="E17" i="73"/>
  <c r="D18" i="73"/>
  <c r="F15" i="73"/>
  <c r="AE4" i="72" a="1"/>
  <c r="AE4" i="72" s="1"/>
  <c r="AF2" i="72"/>
  <c r="D20" i="78"/>
  <c r="E19" i="78"/>
  <c r="R2" i="72"/>
  <c r="Q4" i="72" a="1"/>
  <c r="Q4" i="72" s="1"/>
  <c r="O8" i="77"/>
  <c r="P3" i="77"/>
  <c r="P3" i="75"/>
  <c r="P8" i="75" s="1"/>
  <c r="O8" i="75"/>
  <c r="Z3" i="74"/>
  <c r="Y8" i="74"/>
  <c r="N3" i="74"/>
  <c r="M8" i="74"/>
  <c r="F18" i="76"/>
  <c r="E17" i="75"/>
  <c r="D18" i="75"/>
  <c r="AA8" i="77"/>
  <c r="AB3" i="77"/>
  <c r="AD3" i="76"/>
  <c r="AD7" i="76" s="1"/>
  <c r="AC7" i="76"/>
  <c r="Z8" i="75"/>
  <c r="AA3" i="75"/>
  <c r="G24" i="72" a="1"/>
  <c r="G24" i="72" s="1"/>
  <c r="D25" i="72"/>
  <c r="AC3" i="73"/>
  <c r="AB7" i="73"/>
  <c r="G54" i="72" a="1"/>
  <c r="G54" i="72" s="1"/>
  <c r="D55" i="72"/>
  <c r="N2" i="77"/>
  <c r="F32" i="65" l="1" a="1"/>
  <c r="F32" i="65" s="1"/>
  <c r="AD49" i="117"/>
  <c r="X49" i="117"/>
  <c r="N49" i="117"/>
  <c r="P49" i="117"/>
  <c r="Y49" i="117"/>
  <c r="AF49" i="117"/>
  <c r="L49" i="117"/>
  <c r="M49" i="117"/>
  <c r="V49" i="117"/>
  <c r="W49" i="117"/>
  <c r="K49" i="117"/>
  <c r="AG49" i="117"/>
  <c r="AC49" i="117"/>
  <c r="R49" i="117"/>
  <c r="H49" i="117"/>
  <c r="AE49" i="117"/>
  <c r="G49" i="117"/>
  <c r="AB49" i="117"/>
  <c r="Z49" i="117"/>
  <c r="J49" i="117"/>
  <c r="O49" i="117"/>
  <c r="AA49" i="117"/>
  <c r="Q49" i="117"/>
  <c r="I49" i="117"/>
  <c r="P33" i="117"/>
  <c r="AE33" i="117"/>
  <c r="AD33" i="117"/>
  <c r="J33" i="117"/>
  <c r="AC33" i="117"/>
  <c r="X33" i="117"/>
  <c r="H33" i="117"/>
  <c r="Q33" i="117"/>
  <c r="AG33" i="117"/>
  <c r="V33" i="117"/>
  <c r="Z33" i="117"/>
  <c r="Y33" i="117"/>
  <c r="G33" i="117"/>
  <c r="AB33" i="117"/>
  <c r="R33" i="117"/>
  <c r="M33" i="117"/>
  <c r="AA33" i="117"/>
  <c r="N33" i="117"/>
  <c r="K33" i="117"/>
  <c r="O33" i="117"/>
  <c r="AF33" i="117"/>
  <c r="L33" i="117"/>
  <c r="W33" i="117"/>
  <c r="I33" i="117"/>
  <c r="Q48" i="117"/>
  <c r="AG48" i="117"/>
  <c r="AA48" i="117"/>
  <c r="J48" i="117"/>
  <c r="R48" i="117"/>
  <c r="AE48" i="117"/>
  <c r="AD48" i="117"/>
  <c r="P48" i="117"/>
  <c r="AF48" i="117"/>
  <c r="AC48" i="117"/>
  <c r="K48" i="117"/>
  <c r="M48" i="117"/>
  <c r="Z48" i="117"/>
  <c r="X48" i="117"/>
  <c r="L48" i="117"/>
  <c r="W48" i="117"/>
  <c r="N48" i="117"/>
  <c r="H48" i="117"/>
  <c r="V48" i="117"/>
  <c r="Y48" i="117"/>
  <c r="G48" i="117"/>
  <c r="AB48" i="117"/>
  <c r="I48" i="117"/>
  <c r="O48" i="117"/>
  <c r="J40" i="117"/>
  <c r="X40" i="117"/>
  <c r="Y40" i="117"/>
  <c r="G40" i="117"/>
  <c r="L40" i="117"/>
  <c r="Z40" i="117"/>
  <c r="V40" i="117"/>
  <c r="N40" i="117"/>
  <c r="AC40" i="117"/>
  <c r="AA40" i="117"/>
  <c r="H40" i="117"/>
  <c r="AB40" i="117"/>
  <c r="AG40" i="117"/>
  <c r="AF40" i="117"/>
  <c r="I40" i="117"/>
  <c r="K40" i="117"/>
  <c r="AE40" i="117"/>
  <c r="Q40" i="117"/>
  <c r="M40" i="117"/>
  <c r="W40" i="117"/>
  <c r="P40" i="117"/>
  <c r="AD40" i="117"/>
  <c r="R40" i="117"/>
  <c r="O40" i="117"/>
  <c r="H32" i="117"/>
  <c r="AD32" i="117"/>
  <c r="Z32" i="117"/>
  <c r="M32" i="117"/>
  <c r="AF32" i="117"/>
  <c r="V32" i="117"/>
  <c r="G32" i="117"/>
  <c r="X32" i="117"/>
  <c r="Y32" i="117"/>
  <c r="J32" i="117"/>
  <c r="AE32" i="117"/>
  <c r="AG32" i="117"/>
  <c r="K32" i="117"/>
  <c r="AC32" i="117"/>
  <c r="R32" i="117"/>
  <c r="L32" i="117"/>
  <c r="AB32" i="117"/>
  <c r="I32" i="117"/>
  <c r="AA32" i="117"/>
  <c r="O32" i="117"/>
  <c r="Q32" i="117"/>
  <c r="W32" i="117"/>
  <c r="P32" i="117"/>
  <c r="N32" i="117"/>
  <c r="J41" i="117"/>
  <c r="AF41" i="117"/>
  <c r="Y41" i="117"/>
  <c r="I41" i="117"/>
  <c r="AA41" i="117"/>
  <c r="AE41" i="117"/>
  <c r="L41" i="117"/>
  <c r="O41" i="117"/>
  <c r="G41" i="117"/>
  <c r="AB41" i="117"/>
  <c r="Z41" i="117"/>
  <c r="X41" i="117"/>
  <c r="W41" i="117"/>
  <c r="H41" i="117"/>
  <c r="V41" i="117"/>
  <c r="N41" i="117"/>
  <c r="Q41" i="117"/>
  <c r="AC41" i="117"/>
  <c r="AG41" i="117"/>
  <c r="P41" i="117"/>
  <c r="R41" i="117"/>
  <c r="M41" i="117"/>
  <c r="AD41" i="117"/>
  <c r="K41" i="117"/>
  <c r="L47" i="117"/>
  <c r="AD47" i="117"/>
  <c r="Z47" i="117"/>
  <c r="K47" i="117"/>
  <c r="M47" i="117"/>
  <c r="AF47" i="117"/>
  <c r="AG47" i="117"/>
  <c r="J47" i="117"/>
  <c r="Q47" i="117"/>
  <c r="V47" i="117"/>
  <c r="X47" i="117"/>
  <c r="I47" i="117"/>
  <c r="AA47" i="117"/>
  <c r="AB47" i="117"/>
  <c r="Y47" i="117"/>
  <c r="G47" i="117"/>
  <c r="P47" i="117"/>
  <c r="W47" i="117"/>
  <c r="O47" i="117"/>
  <c r="N47" i="117"/>
  <c r="H47" i="117"/>
  <c r="AE47" i="117"/>
  <c r="R47" i="117"/>
  <c r="AC47" i="117"/>
  <c r="K39" i="117"/>
  <c r="AG39" i="117"/>
  <c r="AC39" i="117"/>
  <c r="G39" i="117"/>
  <c r="M39" i="117"/>
  <c r="W39" i="117"/>
  <c r="Z39" i="117"/>
  <c r="L39" i="117"/>
  <c r="P39" i="117"/>
  <c r="V39" i="117"/>
  <c r="AB39" i="117"/>
  <c r="Y39" i="117"/>
  <c r="X39" i="117"/>
  <c r="H39" i="117"/>
  <c r="AD39" i="117"/>
  <c r="R39" i="117"/>
  <c r="J39" i="117"/>
  <c r="AA39" i="117"/>
  <c r="N39" i="117"/>
  <c r="AF39" i="117"/>
  <c r="I39" i="117"/>
  <c r="O39" i="117"/>
  <c r="AE39" i="117"/>
  <c r="Q39" i="117"/>
  <c r="P31" i="117"/>
  <c r="AG31" i="117"/>
  <c r="AA31" i="117"/>
  <c r="J31" i="117"/>
  <c r="W31" i="117"/>
  <c r="AC31" i="117"/>
  <c r="K31" i="117"/>
  <c r="O31" i="117"/>
  <c r="G31" i="117"/>
  <c r="AB31" i="117"/>
  <c r="X31" i="117"/>
  <c r="Q31" i="117"/>
  <c r="Y31" i="117"/>
  <c r="Z31" i="117"/>
  <c r="AF31" i="117"/>
  <c r="I31" i="117"/>
  <c r="H31" i="117"/>
  <c r="N31" i="117"/>
  <c r="AD31" i="117"/>
  <c r="L31" i="117"/>
  <c r="R31" i="117"/>
  <c r="AE31" i="117"/>
  <c r="V31" i="117"/>
  <c r="M31" i="117"/>
  <c r="O46" i="117"/>
  <c r="AF46" i="117"/>
  <c r="Z46" i="117"/>
  <c r="M46" i="117"/>
  <c r="J46" i="117"/>
  <c r="AC46" i="117"/>
  <c r="V46" i="117"/>
  <c r="W46" i="117"/>
  <c r="AB46" i="117"/>
  <c r="Y46" i="117"/>
  <c r="G46" i="117"/>
  <c r="X46" i="117"/>
  <c r="AD46" i="117"/>
  <c r="I46" i="117"/>
  <c r="K46" i="117"/>
  <c r="AA46" i="117"/>
  <c r="N46" i="117"/>
  <c r="AG46" i="117"/>
  <c r="P46" i="117"/>
  <c r="H46" i="117"/>
  <c r="AE46" i="117"/>
  <c r="Q46" i="117"/>
  <c r="R46" i="117"/>
  <c r="L46" i="117"/>
  <c r="G38" i="117"/>
  <c r="Y38" i="117"/>
  <c r="X38" i="117"/>
  <c r="J38" i="117"/>
  <c r="M38" i="117"/>
  <c r="AA38" i="117"/>
  <c r="W38" i="117"/>
  <c r="V38" i="117"/>
  <c r="N38" i="117"/>
  <c r="AC38" i="117"/>
  <c r="AF38" i="117"/>
  <c r="Z38" i="117"/>
  <c r="P38" i="117"/>
  <c r="L38" i="117"/>
  <c r="R38" i="117"/>
  <c r="AB38" i="117"/>
  <c r="AG38" i="117"/>
  <c r="I38" i="117"/>
  <c r="Q38" i="117"/>
  <c r="K38" i="117"/>
  <c r="AD38" i="117"/>
  <c r="AE38" i="117"/>
  <c r="H38" i="117"/>
  <c r="O38" i="117"/>
  <c r="G37" i="117"/>
  <c r="AC37" i="117"/>
  <c r="AE37" i="117"/>
  <c r="P37" i="117"/>
  <c r="I37" i="117"/>
  <c r="M37" i="117"/>
  <c r="AD37" i="117"/>
  <c r="AB37" i="117"/>
  <c r="J37" i="117"/>
  <c r="Z37" i="117"/>
  <c r="Y37" i="117"/>
  <c r="R37" i="117"/>
  <c r="L37" i="117"/>
  <c r="X37" i="117"/>
  <c r="AF37" i="117"/>
  <c r="AA37" i="117"/>
  <c r="N37" i="117"/>
  <c r="W37" i="117"/>
  <c r="K37" i="117"/>
  <c r="AG37" i="117"/>
  <c r="V37" i="117"/>
  <c r="H37" i="117"/>
  <c r="Q37" i="117"/>
  <c r="O37" i="117"/>
  <c r="Q44" i="117"/>
  <c r="Y44" i="117"/>
  <c r="W44" i="117"/>
  <c r="N44" i="117"/>
  <c r="I44" i="117"/>
  <c r="AC44" i="117"/>
  <c r="AD44" i="117"/>
  <c r="P44" i="117"/>
  <c r="AE44" i="117"/>
  <c r="AF44" i="117"/>
  <c r="O44" i="117"/>
  <c r="X44" i="117"/>
  <c r="V44" i="117"/>
  <c r="R44" i="117"/>
  <c r="Z44" i="117"/>
  <c r="J44" i="117"/>
  <c r="K44" i="117"/>
  <c r="AB44" i="117"/>
  <c r="G44" i="117"/>
  <c r="M44" i="117"/>
  <c r="AA44" i="117"/>
  <c r="H44" i="117"/>
  <c r="AG44" i="117"/>
  <c r="L44" i="117"/>
  <c r="L45" i="117"/>
  <c r="Y45" i="117"/>
  <c r="AC45" i="117"/>
  <c r="J45" i="117"/>
  <c r="AA45" i="117"/>
  <c r="AB45" i="117"/>
  <c r="I45" i="117"/>
  <c r="H45" i="117"/>
  <c r="AD45" i="117"/>
  <c r="AF45" i="117"/>
  <c r="K45" i="117"/>
  <c r="AE45" i="117"/>
  <c r="AG45" i="117"/>
  <c r="V45" i="117"/>
  <c r="O45" i="117"/>
  <c r="Z45" i="117"/>
  <c r="G45" i="117"/>
  <c r="Q45" i="117"/>
  <c r="X45" i="117"/>
  <c r="N45" i="117"/>
  <c r="P45" i="117"/>
  <c r="W45" i="117"/>
  <c r="R45" i="117"/>
  <c r="M45" i="117"/>
  <c r="R36" i="117"/>
  <c r="W36" i="117"/>
  <c r="V36" i="117"/>
  <c r="Q36" i="117"/>
  <c r="AG36" i="117"/>
  <c r="AC36" i="117"/>
  <c r="AB36" i="117"/>
  <c r="O36" i="117"/>
  <c r="M36" i="117"/>
  <c r="AF36" i="117"/>
  <c r="Z36" i="117"/>
  <c r="K36" i="117"/>
  <c r="Y36" i="117"/>
  <c r="AA36" i="117"/>
  <c r="P36" i="117"/>
  <c r="AD36" i="117"/>
  <c r="AE36" i="117"/>
  <c r="N36" i="117"/>
  <c r="J36" i="117"/>
  <c r="X36" i="117"/>
  <c r="G36" i="117"/>
  <c r="H36" i="117"/>
  <c r="I36" i="117"/>
  <c r="L36" i="117"/>
  <c r="K43" i="117"/>
  <c r="AB43" i="117"/>
  <c r="V43" i="117"/>
  <c r="I43" i="117"/>
  <c r="Y43" i="117"/>
  <c r="AE43" i="117"/>
  <c r="H43" i="117"/>
  <c r="R43" i="117"/>
  <c r="AG43" i="117"/>
  <c r="AF43" i="117"/>
  <c r="W43" i="117"/>
  <c r="AA43" i="117"/>
  <c r="O43" i="117"/>
  <c r="AD43" i="117"/>
  <c r="J43" i="117"/>
  <c r="AC43" i="117"/>
  <c r="N43" i="117"/>
  <c r="G43" i="117"/>
  <c r="X43" i="117"/>
  <c r="Z43" i="117"/>
  <c r="P43" i="117"/>
  <c r="M43" i="117"/>
  <c r="Q43" i="117"/>
  <c r="L43" i="117"/>
  <c r="I35" i="117"/>
  <c r="V35" i="117"/>
  <c r="X35" i="117"/>
  <c r="M35" i="117"/>
  <c r="AA35" i="117"/>
  <c r="Z35" i="117"/>
  <c r="H35" i="117"/>
  <c r="N35" i="117"/>
  <c r="AG35" i="117"/>
  <c r="AB35" i="117"/>
  <c r="Q35" i="117"/>
  <c r="AE35" i="117"/>
  <c r="AD35" i="117"/>
  <c r="AC35" i="117"/>
  <c r="Y35" i="117"/>
  <c r="G35" i="117"/>
  <c r="P35" i="117"/>
  <c r="AF35" i="117"/>
  <c r="O35" i="117"/>
  <c r="K35" i="117"/>
  <c r="W35" i="117"/>
  <c r="J35" i="117"/>
  <c r="L35" i="117"/>
  <c r="R35" i="117"/>
  <c r="J50" i="117"/>
  <c r="W50" i="117"/>
  <c r="Z50" i="117"/>
  <c r="N50" i="117"/>
  <c r="AB50" i="117"/>
  <c r="AG50" i="117"/>
  <c r="Q50" i="117"/>
  <c r="H50" i="117"/>
  <c r="X50" i="117"/>
  <c r="AC50" i="117"/>
  <c r="Y50" i="117"/>
  <c r="AE50" i="117"/>
  <c r="G50" i="117"/>
  <c r="I50" i="117"/>
  <c r="AA50" i="117"/>
  <c r="R50" i="117"/>
  <c r="V50" i="117"/>
  <c r="O50" i="117"/>
  <c r="K50" i="117"/>
  <c r="P50" i="117"/>
  <c r="AF50" i="117"/>
  <c r="L50" i="117"/>
  <c r="M50" i="117"/>
  <c r="AD50" i="117"/>
  <c r="H42" i="117"/>
  <c r="AD42" i="117"/>
  <c r="Y42" i="117"/>
  <c r="Q42" i="117"/>
  <c r="R42" i="117"/>
  <c r="V42" i="117"/>
  <c r="AC42" i="117"/>
  <c r="K42" i="117"/>
  <c r="Z42" i="117"/>
  <c r="AE42" i="117"/>
  <c r="L42" i="117"/>
  <c r="N42" i="117"/>
  <c r="AA42" i="117"/>
  <c r="W42" i="117"/>
  <c r="J42" i="117"/>
  <c r="X42" i="117"/>
  <c r="M42" i="117"/>
  <c r="I42" i="117"/>
  <c r="AB42" i="117"/>
  <c r="AF42" i="117"/>
  <c r="P42" i="117"/>
  <c r="G42" i="117"/>
  <c r="AG42" i="117"/>
  <c r="O42" i="117"/>
  <c r="G34" i="117"/>
  <c r="W34" i="117"/>
  <c r="AG34" i="117"/>
  <c r="I34" i="117"/>
  <c r="Z34" i="117"/>
  <c r="Y34" i="117"/>
  <c r="H34" i="117"/>
  <c r="L34" i="117"/>
  <c r="AD34" i="117"/>
  <c r="V34" i="117"/>
  <c r="N34" i="117"/>
  <c r="AE34" i="117"/>
  <c r="AA34" i="117"/>
  <c r="AC34" i="117"/>
  <c r="R34" i="117"/>
  <c r="O34" i="117"/>
  <c r="AF34" i="117"/>
  <c r="AB34" i="117"/>
  <c r="M34" i="117"/>
  <c r="P34" i="117"/>
  <c r="X34" i="117"/>
  <c r="Q34" i="117"/>
  <c r="J34" i="117"/>
  <c r="K34" i="117"/>
  <c r="G17" i="76"/>
  <c r="G17" i="73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AI26" i="117"/>
  <c r="AI23" i="117"/>
  <c r="T20" i="117"/>
  <c r="AI18" i="117"/>
  <c r="T22" i="117"/>
  <c r="AI12" i="117"/>
  <c r="T25" i="117"/>
  <c r="AI20" i="117"/>
  <c r="AI13" i="117"/>
  <c r="AI14" i="117"/>
  <c r="AI24" i="117"/>
  <c r="T18" i="117"/>
  <c r="T13" i="117"/>
  <c r="T14" i="117"/>
  <c r="AI22" i="117"/>
  <c r="T17" i="117"/>
  <c r="AI17" i="117"/>
  <c r="AI11" i="117"/>
  <c r="T29" i="117"/>
  <c r="T19" i="117"/>
  <c r="T16" i="117"/>
  <c r="T23" i="117"/>
  <c r="AI27" i="117"/>
  <c r="AI15" i="117"/>
  <c r="T26" i="117"/>
  <c r="AI16" i="117"/>
  <c r="T27" i="117"/>
  <c r="AI30" i="117"/>
  <c r="T21" i="117"/>
  <c r="T15" i="117"/>
  <c r="AI25" i="117"/>
  <c r="T28" i="117"/>
  <c r="AI28" i="117"/>
  <c r="T30" i="117"/>
  <c r="T24" i="117"/>
  <c r="AI29" i="117"/>
  <c r="AI19" i="117"/>
  <c r="AI21" i="117"/>
  <c r="T12" i="117"/>
  <c r="N8" i="78"/>
  <c r="O3" i="78"/>
  <c r="P8" i="77"/>
  <c r="P6" i="77" a="1"/>
  <c r="P6" i="77" s="1"/>
  <c r="AB8" i="77"/>
  <c r="AB6" i="77" a="1"/>
  <c r="AB6" i="77" s="1"/>
  <c r="P3" i="73"/>
  <c r="O7" i="73"/>
  <c r="G45" i="72" a="1"/>
  <c r="G45" i="72" s="1"/>
  <c r="D46" i="72"/>
  <c r="G46" i="72" s="1" a="1"/>
  <c r="G46" i="72" s="1"/>
  <c r="O2" i="77"/>
  <c r="E20" i="78"/>
  <c r="D21" i="78"/>
  <c r="E18" i="77"/>
  <c r="F18" i="77" s="1" a="1"/>
  <c r="F18" i="77" s="1"/>
  <c r="D19" i="77"/>
  <c r="N8" i="74"/>
  <c r="O3" i="74"/>
  <c r="O6" i="74" s="1" a="1"/>
  <c r="O6" i="74" s="1"/>
  <c r="D56" i="72"/>
  <c r="G56" i="72" s="1" a="1"/>
  <c r="G56" i="72" s="1"/>
  <c r="G55" i="72" a="1"/>
  <c r="G55" i="72" s="1"/>
  <c r="Z8" i="74"/>
  <c r="AA3" i="74"/>
  <c r="AA6" i="74" s="1" a="1"/>
  <c r="AA6" i="74" s="1"/>
  <c r="R4" i="72" a="1"/>
  <c r="R4" i="72" s="1"/>
  <c r="S2" i="72"/>
  <c r="AF4" i="72" a="1"/>
  <c r="AF4" i="72" s="1"/>
  <c r="AG2" i="72"/>
  <c r="AG4" i="72" s="1" a="1"/>
  <c r="AG4" i="72" s="1"/>
  <c r="D19" i="73"/>
  <c r="E18" i="73"/>
  <c r="E18" i="74"/>
  <c r="F18" i="74" s="1" a="1"/>
  <c r="F18" i="74" s="1"/>
  <c r="D19" i="74"/>
  <c r="O2" i="74"/>
  <c r="D26" i="72"/>
  <c r="G26" i="72" s="1" a="1"/>
  <c r="G26" i="72" s="1"/>
  <c r="G25" i="72" a="1"/>
  <c r="G25" i="72" s="1"/>
  <c r="E18" i="75"/>
  <c r="D19" i="75"/>
  <c r="F19" i="76"/>
  <c r="D19" i="76"/>
  <c r="E18" i="76"/>
  <c r="O2" i="78"/>
  <c r="O2" i="75"/>
  <c r="AB3" i="75"/>
  <c r="AB8" i="75" s="1"/>
  <c r="AA8" i="75"/>
  <c r="AD3" i="73"/>
  <c r="AD7" i="73" s="1"/>
  <c r="AC7" i="73"/>
  <c r="F16" i="73"/>
  <c r="Z8" i="78"/>
  <c r="AA3" i="78"/>
  <c r="G14" i="72" a="1"/>
  <c r="G14" i="72" s="1"/>
  <c r="D15" i="72"/>
  <c r="F35" i="65" l="1" a="1"/>
  <c r="F35" i="65" s="1"/>
  <c r="I63" i="117"/>
  <c r="Y63" i="117"/>
  <c r="AG63" i="117"/>
  <c r="H63" i="117"/>
  <c r="Q63" i="117"/>
  <c r="AA63" i="117"/>
  <c r="Z63" i="117"/>
  <c r="O63" i="117"/>
  <c r="K63" i="117"/>
  <c r="X63" i="117"/>
  <c r="L63" i="117"/>
  <c r="V63" i="117"/>
  <c r="AE63" i="117"/>
  <c r="AB63" i="117"/>
  <c r="R63" i="117"/>
  <c r="AD63" i="117"/>
  <c r="AF63" i="117"/>
  <c r="M63" i="117"/>
  <c r="P63" i="117"/>
  <c r="N63" i="117"/>
  <c r="AC63" i="117"/>
  <c r="J63" i="117"/>
  <c r="W63" i="117"/>
  <c r="G63" i="117"/>
  <c r="Q55" i="117"/>
  <c r="AB55" i="117"/>
  <c r="AG55" i="117"/>
  <c r="P55" i="117"/>
  <c r="G55" i="117"/>
  <c r="I55" i="117"/>
  <c r="Z55" i="117"/>
  <c r="V55" i="117"/>
  <c r="L55" i="117"/>
  <c r="N55" i="117"/>
  <c r="O55" i="117"/>
  <c r="AE55" i="117"/>
  <c r="X55" i="117"/>
  <c r="R55" i="117"/>
  <c r="AF55" i="117"/>
  <c r="AC55" i="117"/>
  <c r="J55" i="117"/>
  <c r="AA55" i="117"/>
  <c r="K55" i="117"/>
  <c r="M55" i="117"/>
  <c r="AD55" i="117"/>
  <c r="W55" i="117"/>
  <c r="Y55" i="117"/>
  <c r="H55" i="117"/>
  <c r="J124" i="117"/>
  <c r="V124" i="117"/>
  <c r="AE124" i="117"/>
  <c r="K124" i="117"/>
  <c r="W124" i="117"/>
  <c r="H124" i="117"/>
  <c r="AA124" i="117"/>
  <c r="AB124" i="117"/>
  <c r="N124" i="117"/>
  <c r="O124" i="117"/>
  <c r="M124" i="117"/>
  <c r="G124" i="117"/>
  <c r="AF124" i="117"/>
  <c r="X124" i="117"/>
  <c r="R124" i="117"/>
  <c r="AG124" i="117"/>
  <c r="Z124" i="117"/>
  <c r="Y124" i="117"/>
  <c r="P124" i="117"/>
  <c r="Q124" i="117"/>
  <c r="AC124" i="117"/>
  <c r="L124" i="117"/>
  <c r="I124" i="117"/>
  <c r="AD124" i="117"/>
  <c r="P116" i="117"/>
  <c r="W116" i="117"/>
  <c r="Y116" i="117"/>
  <c r="K116" i="117"/>
  <c r="N116" i="117"/>
  <c r="Z116" i="117"/>
  <c r="AD116" i="117"/>
  <c r="AC116" i="117"/>
  <c r="I116" i="117"/>
  <c r="J116" i="117"/>
  <c r="O116" i="117"/>
  <c r="V116" i="117"/>
  <c r="X116" i="117"/>
  <c r="AA116" i="117"/>
  <c r="AE116" i="117"/>
  <c r="G116" i="117"/>
  <c r="AG116" i="117"/>
  <c r="M116" i="117"/>
  <c r="R116" i="117"/>
  <c r="H116" i="117"/>
  <c r="AB116" i="117"/>
  <c r="Q116" i="117"/>
  <c r="L116" i="117"/>
  <c r="AF116" i="117"/>
  <c r="AB108" i="117"/>
  <c r="Z108" i="117"/>
  <c r="O108" i="117"/>
  <c r="AD108" i="117"/>
  <c r="AF108" i="117"/>
  <c r="R108" i="117"/>
  <c r="J108" i="117"/>
  <c r="M108" i="117"/>
  <c r="K108" i="117"/>
  <c r="V108" i="117"/>
  <c r="AC108" i="117"/>
  <c r="L108" i="117"/>
  <c r="Q108" i="117"/>
  <c r="AA108" i="117"/>
  <c r="W108" i="117"/>
  <c r="G108" i="117"/>
  <c r="P108" i="117"/>
  <c r="Y108" i="117"/>
  <c r="AE108" i="117"/>
  <c r="N108" i="117"/>
  <c r="X108" i="117"/>
  <c r="H108" i="117"/>
  <c r="AG108" i="117"/>
  <c r="I108" i="117"/>
  <c r="I100" i="117"/>
  <c r="AF100" i="117"/>
  <c r="AA100" i="117"/>
  <c r="R100" i="117"/>
  <c r="AE100" i="117"/>
  <c r="AB100" i="117"/>
  <c r="J100" i="117"/>
  <c r="N100" i="117"/>
  <c r="AC100" i="117"/>
  <c r="Y100" i="117"/>
  <c r="O100" i="117"/>
  <c r="AD100" i="117"/>
  <c r="H100" i="117"/>
  <c r="L100" i="117"/>
  <c r="AG100" i="117"/>
  <c r="W100" i="117"/>
  <c r="X100" i="117"/>
  <c r="G100" i="117"/>
  <c r="V100" i="117"/>
  <c r="Q100" i="117"/>
  <c r="P100" i="117"/>
  <c r="Z100" i="117"/>
  <c r="M100" i="117"/>
  <c r="K100" i="117"/>
  <c r="L92" i="117"/>
  <c r="AD92" i="117"/>
  <c r="X92" i="117"/>
  <c r="R92" i="117"/>
  <c r="AA92" i="117"/>
  <c r="W92" i="117"/>
  <c r="H92" i="117"/>
  <c r="P92" i="117"/>
  <c r="AF92" i="117"/>
  <c r="Y92" i="117"/>
  <c r="Q92" i="117"/>
  <c r="AE92" i="117"/>
  <c r="AB92" i="117"/>
  <c r="M92" i="117"/>
  <c r="AG92" i="117"/>
  <c r="K92" i="117"/>
  <c r="AC92" i="117"/>
  <c r="I92" i="117"/>
  <c r="V92" i="117"/>
  <c r="N92" i="117"/>
  <c r="G92" i="117"/>
  <c r="O92" i="117"/>
  <c r="Z92" i="117"/>
  <c r="J92" i="117"/>
  <c r="M84" i="117"/>
  <c r="Z84" i="117"/>
  <c r="AA84" i="117"/>
  <c r="O84" i="117"/>
  <c r="Q84" i="117"/>
  <c r="Y84" i="117"/>
  <c r="V84" i="117"/>
  <c r="P84" i="117"/>
  <c r="N84" i="117"/>
  <c r="G84" i="117"/>
  <c r="AB84" i="117"/>
  <c r="W84" i="117"/>
  <c r="X84" i="117"/>
  <c r="AG84" i="117"/>
  <c r="AC84" i="117"/>
  <c r="L84" i="117"/>
  <c r="R84" i="117"/>
  <c r="AF84" i="117"/>
  <c r="H84" i="117"/>
  <c r="AE84" i="117"/>
  <c r="I84" i="117"/>
  <c r="K84" i="117"/>
  <c r="AD84" i="117"/>
  <c r="J84" i="117"/>
  <c r="H76" i="117"/>
  <c r="Y76" i="117"/>
  <c r="AA76" i="117"/>
  <c r="G76" i="117"/>
  <c r="AC76" i="117"/>
  <c r="Z76" i="117"/>
  <c r="J76" i="117"/>
  <c r="I76" i="117"/>
  <c r="V76" i="117"/>
  <c r="X76" i="117"/>
  <c r="AG76" i="117"/>
  <c r="O76" i="117"/>
  <c r="AD76" i="117"/>
  <c r="N76" i="117"/>
  <c r="AE76" i="117"/>
  <c r="W76" i="117"/>
  <c r="R76" i="117"/>
  <c r="L76" i="117"/>
  <c r="K76" i="117"/>
  <c r="AB76" i="117"/>
  <c r="P76" i="117"/>
  <c r="M76" i="117"/>
  <c r="AF76" i="117"/>
  <c r="Q76" i="117"/>
  <c r="R56" i="117"/>
  <c r="W56" i="117"/>
  <c r="AF56" i="117"/>
  <c r="N56" i="117"/>
  <c r="K56" i="117"/>
  <c r="AG56" i="117"/>
  <c r="AC56" i="117"/>
  <c r="H56" i="117"/>
  <c r="AB56" i="117"/>
  <c r="I56" i="117"/>
  <c r="AD56" i="117"/>
  <c r="L56" i="117"/>
  <c r="AA56" i="117"/>
  <c r="AE56" i="117"/>
  <c r="G56" i="117"/>
  <c r="V56" i="117"/>
  <c r="Y56" i="117"/>
  <c r="J56" i="117"/>
  <c r="Z56" i="117"/>
  <c r="O56" i="117"/>
  <c r="Q56" i="117"/>
  <c r="M56" i="117"/>
  <c r="X56" i="117"/>
  <c r="P56" i="117"/>
  <c r="R93" i="117"/>
  <c r="AG93" i="117"/>
  <c r="W93" i="117"/>
  <c r="M93" i="117"/>
  <c r="AD93" i="117"/>
  <c r="AF93" i="117"/>
  <c r="L93" i="117"/>
  <c r="O93" i="117"/>
  <c r="X93" i="117"/>
  <c r="Y93" i="117"/>
  <c r="AA93" i="117"/>
  <c r="N93" i="117"/>
  <c r="H93" i="117"/>
  <c r="V93" i="117"/>
  <c r="Z93" i="117"/>
  <c r="K93" i="117"/>
  <c r="AB93" i="117"/>
  <c r="P93" i="117"/>
  <c r="Q93" i="117"/>
  <c r="AC93" i="117"/>
  <c r="J93" i="117"/>
  <c r="I93" i="117"/>
  <c r="G93" i="117"/>
  <c r="AE93" i="117"/>
  <c r="P62" i="117"/>
  <c r="Z62" i="117"/>
  <c r="AB62" i="117"/>
  <c r="O62" i="117"/>
  <c r="I62" i="117"/>
  <c r="K62" i="117"/>
  <c r="X62" i="117"/>
  <c r="AC62" i="117"/>
  <c r="H62" i="117"/>
  <c r="M62" i="117"/>
  <c r="W62" i="117"/>
  <c r="AG62" i="117"/>
  <c r="R62" i="117"/>
  <c r="Q62" i="117"/>
  <c r="N62" i="117"/>
  <c r="AD62" i="117"/>
  <c r="AA62" i="117"/>
  <c r="G62" i="117"/>
  <c r="AE62" i="117"/>
  <c r="AF62" i="117"/>
  <c r="Y62" i="117"/>
  <c r="L62" i="117"/>
  <c r="J62" i="117"/>
  <c r="V62" i="117"/>
  <c r="Q131" i="117"/>
  <c r="AA131" i="117"/>
  <c r="V131" i="117"/>
  <c r="AB131" i="117"/>
  <c r="I131" i="117"/>
  <c r="R131" i="117"/>
  <c r="G131" i="117"/>
  <c r="X131" i="117"/>
  <c r="AG131" i="117"/>
  <c r="AF131" i="117"/>
  <c r="O131" i="117"/>
  <c r="M131" i="117"/>
  <c r="H131" i="117"/>
  <c r="L131" i="117"/>
  <c r="Y131" i="117"/>
  <c r="Z131" i="117"/>
  <c r="AC131" i="117"/>
  <c r="N131" i="117"/>
  <c r="P131" i="117"/>
  <c r="AD131" i="117"/>
  <c r="AE131" i="117"/>
  <c r="W131" i="117"/>
  <c r="J131" i="117"/>
  <c r="K131" i="117"/>
  <c r="N115" i="117"/>
  <c r="AC115" i="117"/>
  <c r="AF115" i="117"/>
  <c r="P115" i="117"/>
  <c r="J115" i="117"/>
  <c r="AE115" i="117"/>
  <c r="Y115" i="117"/>
  <c r="L115" i="117"/>
  <c r="V115" i="117"/>
  <c r="AD115" i="117"/>
  <c r="I115" i="117"/>
  <c r="AG115" i="117"/>
  <c r="X115" i="117"/>
  <c r="O115" i="117"/>
  <c r="AB115" i="117"/>
  <c r="R115" i="117"/>
  <c r="G115" i="117"/>
  <c r="Z115" i="117"/>
  <c r="K115" i="117"/>
  <c r="W115" i="117"/>
  <c r="M115" i="117"/>
  <c r="AA115" i="117"/>
  <c r="H115" i="117"/>
  <c r="Q115" i="117"/>
  <c r="I99" i="117"/>
  <c r="W99" i="117"/>
  <c r="Y99" i="117"/>
  <c r="Q99" i="117"/>
  <c r="K99" i="117"/>
  <c r="Z99" i="117"/>
  <c r="X99" i="117"/>
  <c r="J99" i="117"/>
  <c r="N99" i="117"/>
  <c r="AD99" i="117"/>
  <c r="AE99" i="117"/>
  <c r="AA99" i="117"/>
  <c r="AC99" i="117"/>
  <c r="O99" i="117"/>
  <c r="AG99" i="117"/>
  <c r="R99" i="117"/>
  <c r="M99" i="117"/>
  <c r="AF99" i="117"/>
  <c r="P99" i="117"/>
  <c r="L99" i="117"/>
  <c r="H99" i="117"/>
  <c r="AB99" i="117"/>
  <c r="V99" i="117"/>
  <c r="G99" i="117"/>
  <c r="AC83" i="117"/>
  <c r="AF83" i="117"/>
  <c r="W83" i="117"/>
  <c r="X83" i="117"/>
  <c r="AG83" i="117"/>
  <c r="Y83" i="117"/>
  <c r="O83" i="117"/>
  <c r="Q83" i="117"/>
  <c r="AD83" i="117"/>
  <c r="Z83" i="117"/>
  <c r="AB83" i="117"/>
  <c r="V83" i="117"/>
  <c r="M83" i="117"/>
  <c r="AA83" i="117"/>
  <c r="R83" i="117"/>
  <c r="H83" i="117"/>
  <c r="L83" i="117"/>
  <c r="AE83" i="117"/>
  <c r="P83" i="117"/>
  <c r="I83" i="117"/>
  <c r="K83" i="117"/>
  <c r="J83" i="117"/>
  <c r="N83" i="117"/>
  <c r="G83" i="117"/>
  <c r="P77" i="117"/>
  <c r="Y77" i="117"/>
  <c r="AA77" i="117"/>
  <c r="Q77" i="117"/>
  <c r="H77" i="117"/>
  <c r="AC77" i="117"/>
  <c r="Z77" i="117"/>
  <c r="K77" i="117"/>
  <c r="I77" i="117"/>
  <c r="AF77" i="117"/>
  <c r="V77" i="117"/>
  <c r="J77" i="117"/>
  <c r="AB77" i="117"/>
  <c r="W77" i="117"/>
  <c r="N77" i="117"/>
  <c r="G77" i="117"/>
  <c r="AD77" i="117"/>
  <c r="R77" i="117"/>
  <c r="L77" i="117"/>
  <c r="O77" i="117"/>
  <c r="AG77" i="117"/>
  <c r="M77" i="117"/>
  <c r="AE77" i="117"/>
  <c r="X77" i="117"/>
  <c r="G70" i="117"/>
  <c r="AB70" i="117"/>
  <c r="AD70" i="117"/>
  <c r="H70" i="117"/>
  <c r="N70" i="117"/>
  <c r="AG70" i="117"/>
  <c r="L70" i="117"/>
  <c r="AE70" i="117"/>
  <c r="V70" i="117"/>
  <c r="Z70" i="117"/>
  <c r="P70" i="117"/>
  <c r="AA70" i="117"/>
  <c r="K70" i="117"/>
  <c r="AC70" i="117"/>
  <c r="O70" i="117"/>
  <c r="Y70" i="117"/>
  <c r="J70" i="117"/>
  <c r="R70" i="117"/>
  <c r="W70" i="117"/>
  <c r="Q70" i="117"/>
  <c r="AF70" i="117"/>
  <c r="M70" i="117"/>
  <c r="X70" i="117"/>
  <c r="I70" i="117"/>
  <c r="O54" i="117"/>
  <c r="AE54" i="117"/>
  <c r="AD54" i="117"/>
  <c r="N54" i="117"/>
  <c r="P54" i="117"/>
  <c r="AC54" i="117"/>
  <c r="W54" i="117"/>
  <c r="L54" i="117"/>
  <c r="M54" i="117"/>
  <c r="AF54" i="117"/>
  <c r="X54" i="117"/>
  <c r="J54" i="117"/>
  <c r="V54" i="117"/>
  <c r="AB54" i="117"/>
  <c r="H54" i="117"/>
  <c r="AG54" i="117"/>
  <c r="R54" i="117"/>
  <c r="G54" i="117"/>
  <c r="Z54" i="117"/>
  <c r="AA54" i="117"/>
  <c r="Q54" i="117"/>
  <c r="I54" i="117"/>
  <c r="Y54" i="117"/>
  <c r="K54" i="117"/>
  <c r="Q123" i="117"/>
  <c r="AD123" i="117"/>
  <c r="V123" i="117"/>
  <c r="H123" i="117"/>
  <c r="N123" i="117"/>
  <c r="AA123" i="117"/>
  <c r="Y123" i="117"/>
  <c r="I123" i="117"/>
  <c r="P123" i="117"/>
  <c r="AB123" i="117"/>
  <c r="M123" i="117"/>
  <c r="AC123" i="117"/>
  <c r="W123" i="117"/>
  <c r="K123" i="117"/>
  <c r="X123" i="117"/>
  <c r="AG123" i="117"/>
  <c r="R123" i="117"/>
  <c r="O123" i="117"/>
  <c r="AF123" i="117"/>
  <c r="G123" i="117"/>
  <c r="L123" i="117"/>
  <c r="Z123" i="117"/>
  <c r="J123" i="117"/>
  <c r="AE123" i="117"/>
  <c r="N107" i="117"/>
  <c r="AA107" i="117"/>
  <c r="Z107" i="117"/>
  <c r="R107" i="117"/>
  <c r="G107" i="117"/>
  <c r="AD107" i="117"/>
  <c r="AF107" i="117"/>
  <c r="Y107" i="117"/>
  <c r="W107" i="117"/>
  <c r="O107" i="117"/>
  <c r="L107" i="117"/>
  <c r="X107" i="117"/>
  <c r="AG107" i="117"/>
  <c r="I107" i="117"/>
  <c r="AB107" i="117"/>
  <c r="J107" i="117"/>
  <c r="V107" i="117"/>
  <c r="P107" i="117"/>
  <c r="K107" i="117"/>
  <c r="M107" i="117"/>
  <c r="AC107" i="117"/>
  <c r="Q107" i="117"/>
  <c r="AE107" i="117"/>
  <c r="H107" i="117"/>
  <c r="M91" i="117"/>
  <c r="X91" i="117"/>
  <c r="W91" i="117"/>
  <c r="R91" i="117"/>
  <c r="AB91" i="117"/>
  <c r="Y91" i="117"/>
  <c r="L91" i="117"/>
  <c r="H91" i="117"/>
  <c r="AA91" i="117"/>
  <c r="AF91" i="117"/>
  <c r="G91" i="117"/>
  <c r="V91" i="117"/>
  <c r="K91" i="117"/>
  <c r="Q91" i="117"/>
  <c r="Z91" i="117"/>
  <c r="AG91" i="117"/>
  <c r="P91" i="117"/>
  <c r="AC91" i="117"/>
  <c r="J91" i="117"/>
  <c r="AD91" i="117"/>
  <c r="O91" i="117"/>
  <c r="N91" i="117"/>
  <c r="AE91" i="117"/>
  <c r="I91" i="117"/>
  <c r="J75" i="117"/>
  <c r="X75" i="117"/>
  <c r="Y75" i="117"/>
  <c r="O75" i="117"/>
  <c r="AD75" i="117"/>
  <c r="V75" i="117"/>
  <c r="K75" i="117"/>
  <c r="AB75" i="117"/>
  <c r="AF75" i="117"/>
  <c r="H75" i="117"/>
  <c r="AE75" i="117"/>
  <c r="Q75" i="117"/>
  <c r="P75" i="117"/>
  <c r="Z75" i="117"/>
  <c r="N75" i="117"/>
  <c r="AG75" i="117"/>
  <c r="M75" i="117"/>
  <c r="G75" i="117"/>
  <c r="W75" i="117"/>
  <c r="R75" i="117"/>
  <c r="L75" i="117"/>
  <c r="AC75" i="117"/>
  <c r="AA75" i="117"/>
  <c r="I75" i="117"/>
  <c r="R69" i="117"/>
  <c r="AB69" i="117"/>
  <c r="Z69" i="117"/>
  <c r="P69" i="117"/>
  <c r="H69" i="117"/>
  <c r="L69" i="117"/>
  <c r="V69" i="117"/>
  <c r="X69" i="117"/>
  <c r="I69" i="117"/>
  <c r="K69" i="117"/>
  <c r="Y69" i="117"/>
  <c r="AG69" i="117"/>
  <c r="AF69" i="117"/>
  <c r="Q69" i="117"/>
  <c r="J69" i="117"/>
  <c r="AA69" i="117"/>
  <c r="AD69" i="117"/>
  <c r="AE69" i="117"/>
  <c r="O69" i="117"/>
  <c r="N69" i="117"/>
  <c r="AC69" i="117"/>
  <c r="M69" i="117"/>
  <c r="W69" i="117"/>
  <c r="G69" i="117"/>
  <c r="I61" i="117"/>
  <c r="AC61" i="117"/>
  <c r="Y61" i="117"/>
  <c r="H61" i="117"/>
  <c r="P61" i="117"/>
  <c r="AD61" i="117"/>
  <c r="AG61" i="117"/>
  <c r="N61" i="117"/>
  <c r="M61" i="117"/>
  <c r="Z61" i="117"/>
  <c r="AA61" i="117"/>
  <c r="J61" i="117"/>
  <c r="X61" i="117"/>
  <c r="W61" i="117"/>
  <c r="R61" i="117"/>
  <c r="AF61" i="117"/>
  <c r="O61" i="117"/>
  <c r="AE61" i="117"/>
  <c r="L61" i="117"/>
  <c r="AB61" i="117"/>
  <c r="K61" i="117"/>
  <c r="G61" i="117"/>
  <c r="V61" i="117"/>
  <c r="Q61" i="117"/>
  <c r="H53" i="117"/>
  <c r="AC53" i="117"/>
  <c r="AA53" i="117"/>
  <c r="J53" i="117"/>
  <c r="AG53" i="117"/>
  <c r="AE53" i="117"/>
  <c r="AF53" i="117"/>
  <c r="Y53" i="117"/>
  <c r="O53" i="117"/>
  <c r="AB53" i="117"/>
  <c r="AD53" i="117"/>
  <c r="N53" i="117"/>
  <c r="Z53" i="117"/>
  <c r="R53" i="117"/>
  <c r="K53" i="117"/>
  <c r="W53" i="117"/>
  <c r="L53" i="117"/>
  <c r="G53" i="117"/>
  <c r="X53" i="117"/>
  <c r="P53" i="117"/>
  <c r="M53" i="117"/>
  <c r="V53" i="117"/>
  <c r="I53" i="117"/>
  <c r="Q53" i="117"/>
  <c r="Q130" i="117"/>
  <c r="R130" i="117"/>
  <c r="K130" i="117"/>
  <c r="N130" i="117"/>
  <c r="AA130" i="117"/>
  <c r="V130" i="117"/>
  <c r="AB130" i="117"/>
  <c r="I130" i="117"/>
  <c r="G130" i="117"/>
  <c r="W130" i="117"/>
  <c r="X130" i="117"/>
  <c r="AG130" i="117"/>
  <c r="AF130" i="117"/>
  <c r="O130" i="117"/>
  <c r="AD130" i="117"/>
  <c r="J130" i="117"/>
  <c r="M130" i="117"/>
  <c r="H130" i="117"/>
  <c r="Y130" i="117"/>
  <c r="Z130" i="117"/>
  <c r="AC130" i="117"/>
  <c r="P130" i="117"/>
  <c r="L130" i="117"/>
  <c r="AE130" i="117"/>
  <c r="K122" i="117"/>
  <c r="AF122" i="117"/>
  <c r="AB122" i="117"/>
  <c r="J122" i="117"/>
  <c r="R122" i="117"/>
  <c r="G122" i="117"/>
  <c r="AC122" i="117"/>
  <c r="Y122" i="117"/>
  <c r="O122" i="117"/>
  <c r="L122" i="117"/>
  <c r="V122" i="117"/>
  <c r="AA122" i="117"/>
  <c r="I122" i="117"/>
  <c r="W122" i="117"/>
  <c r="Z122" i="117"/>
  <c r="AD122" i="117"/>
  <c r="M122" i="117"/>
  <c r="X122" i="117"/>
  <c r="P122" i="117"/>
  <c r="AG122" i="117"/>
  <c r="N122" i="117"/>
  <c r="AE122" i="117"/>
  <c r="Q122" i="117"/>
  <c r="H122" i="117"/>
  <c r="G114" i="117"/>
  <c r="AC114" i="117"/>
  <c r="X114" i="117"/>
  <c r="K114" i="117"/>
  <c r="I114" i="117"/>
  <c r="AG114" i="117"/>
  <c r="Z114" i="117"/>
  <c r="O114" i="117"/>
  <c r="W114" i="117"/>
  <c r="AA114" i="117"/>
  <c r="Q114" i="117"/>
  <c r="AE114" i="117"/>
  <c r="Y114" i="117"/>
  <c r="M114" i="117"/>
  <c r="V114" i="117"/>
  <c r="L114" i="117"/>
  <c r="P114" i="117"/>
  <c r="AD114" i="117"/>
  <c r="J114" i="117"/>
  <c r="N114" i="117"/>
  <c r="AF114" i="117"/>
  <c r="R114" i="117"/>
  <c r="H114" i="117"/>
  <c r="AB114" i="117"/>
  <c r="L106" i="117"/>
  <c r="X106" i="117"/>
  <c r="AD106" i="117"/>
  <c r="R106" i="117"/>
  <c r="Q106" i="117"/>
  <c r="J106" i="117"/>
  <c r="AE106" i="117"/>
  <c r="AG106" i="117"/>
  <c r="AF106" i="117"/>
  <c r="M106" i="117"/>
  <c r="AB106" i="117"/>
  <c r="I106" i="117"/>
  <c r="Z106" i="117"/>
  <c r="Y106" i="117"/>
  <c r="P106" i="117"/>
  <c r="AC106" i="117"/>
  <c r="W106" i="117"/>
  <c r="V106" i="117"/>
  <c r="O106" i="117"/>
  <c r="G106" i="117"/>
  <c r="H106" i="117"/>
  <c r="AA106" i="117"/>
  <c r="K106" i="117"/>
  <c r="N106" i="117"/>
  <c r="M98" i="117"/>
  <c r="AA98" i="117"/>
  <c r="AF98" i="117"/>
  <c r="N98" i="117"/>
  <c r="H98" i="117"/>
  <c r="Y98" i="117"/>
  <c r="AG98" i="117"/>
  <c r="P98" i="117"/>
  <c r="AD98" i="117"/>
  <c r="V98" i="117"/>
  <c r="O98" i="117"/>
  <c r="AE98" i="117"/>
  <c r="X98" i="117"/>
  <c r="Q98" i="117"/>
  <c r="K98" i="117"/>
  <c r="Z98" i="117"/>
  <c r="L98" i="117"/>
  <c r="W98" i="117"/>
  <c r="I98" i="117"/>
  <c r="J98" i="117"/>
  <c r="AC98" i="117"/>
  <c r="AB98" i="117"/>
  <c r="R98" i="117"/>
  <c r="G98" i="117"/>
  <c r="K90" i="117"/>
  <c r="AD90" i="117"/>
  <c r="V90" i="117"/>
  <c r="AA90" i="117"/>
  <c r="R90" i="117"/>
  <c r="M90" i="117"/>
  <c r="AG90" i="117"/>
  <c r="O90" i="117"/>
  <c r="I90" i="117"/>
  <c r="AE90" i="117"/>
  <c r="AB90" i="117"/>
  <c r="X90" i="117"/>
  <c r="AF90" i="117"/>
  <c r="Y90" i="117"/>
  <c r="G90" i="117"/>
  <c r="W90" i="117"/>
  <c r="P90" i="117"/>
  <c r="AC90" i="117"/>
  <c r="Q90" i="117"/>
  <c r="J90" i="117"/>
  <c r="L90" i="117"/>
  <c r="Z90" i="117"/>
  <c r="N90" i="117"/>
  <c r="H90" i="117"/>
  <c r="N82" i="117"/>
  <c r="Y82" i="117"/>
  <c r="AF82" i="117"/>
  <c r="R82" i="117"/>
  <c r="G82" i="117"/>
  <c r="AC82" i="117"/>
  <c r="AA82" i="117"/>
  <c r="L82" i="117"/>
  <c r="H82" i="117"/>
  <c r="M82" i="117"/>
  <c r="Z82" i="117"/>
  <c r="AD82" i="117"/>
  <c r="O82" i="117"/>
  <c r="AB82" i="117"/>
  <c r="AG82" i="117"/>
  <c r="Q82" i="117"/>
  <c r="K82" i="117"/>
  <c r="I82" i="117"/>
  <c r="P82" i="117"/>
  <c r="W82" i="117"/>
  <c r="X82" i="117"/>
  <c r="AE82" i="117"/>
  <c r="J82" i="117"/>
  <c r="V82" i="117"/>
  <c r="G74" i="117"/>
  <c r="AG74" i="117"/>
  <c r="W74" i="117"/>
  <c r="P74" i="117"/>
  <c r="L74" i="117"/>
  <c r="AC74" i="117"/>
  <c r="AB74" i="117"/>
  <c r="I74" i="117"/>
  <c r="X74" i="117"/>
  <c r="AA74" i="117"/>
  <c r="AF74" i="117"/>
  <c r="AD74" i="117"/>
  <c r="H74" i="117"/>
  <c r="O74" i="117"/>
  <c r="Y74" i="117"/>
  <c r="Q74" i="117"/>
  <c r="K74" i="117"/>
  <c r="V74" i="117"/>
  <c r="N74" i="117"/>
  <c r="R74" i="117"/>
  <c r="M74" i="117"/>
  <c r="AE74" i="117"/>
  <c r="J74" i="117"/>
  <c r="Z74" i="117"/>
  <c r="G64" i="117"/>
  <c r="AB64" i="117"/>
  <c r="X64" i="117"/>
  <c r="H64" i="117"/>
  <c r="Q64" i="117"/>
  <c r="AC64" i="117"/>
  <c r="AG64" i="117"/>
  <c r="P64" i="117"/>
  <c r="R64" i="117"/>
  <c r="Y64" i="117"/>
  <c r="Z64" i="117"/>
  <c r="L64" i="117"/>
  <c r="AF64" i="117"/>
  <c r="W64" i="117"/>
  <c r="V64" i="117"/>
  <c r="N64" i="117"/>
  <c r="O64" i="117"/>
  <c r="AA64" i="117"/>
  <c r="J64" i="117"/>
  <c r="M64" i="117"/>
  <c r="AE64" i="117"/>
  <c r="K64" i="117"/>
  <c r="I64" i="117"/>
  <c r="AD64" i="117"/>
  <c r="H117" i="117"/>
  <c r="AC117" i="117"/>
  <c r="AD117" i="117"/>
  <c r="G117" i="117"/>
  <c r="N117" i="117"/>
  <c r="O117" i="117"/>
  <c r="AE117" i="117"/>
  <c r="AG117" i="117"/>
  <c r="I117" i="117"/>
  <c r="V117" i="117"/>
  <c r="AF117" i="117"/>
  <c r="Y117" i="117"/>
  <c r="X117" i="117"/>
  <c r="W117" i="117"/>
  <c r="L117" i="117"/>
  <c r="K117" i="117"/>
  <c r="AB117" i="117"/>
  <c r="P117" i="117"/>
  <c r="R117" i="117"/>
  <c r="Z117" i="117"/>
  <c r="J117" i="117"/>
  <c r="Q117" i="117"/>
  <c r="AA117" i="117"/>
  <c r="M117" i="117"/>
  <c r="J68" i="117"/>
  <c r="Y68" i="117"/>
  <c r="V68" i="117"/>
  <c r="H68" i="117"/>
  <c r="Q68" i="117"/>
  <c r="AB68" i="117"/>
  <c r="AF68" i="117"/>
  <c r="X68" i="117"/>
  <c r="AC68" i="117"/>
  <c r="O68" i="117"/>
  <c r="AD68" i="117"/>
  <c r="AE68" i="117"/>
  <c r="K68" i="117"/>
  <c r="AA68" i="117"/>
  <c r="I68" i="117"/>
  <c r="R68" i="117"/>
  <c r="W68" i="117"/>
  <c r="G68" i="117"/>
  <c r="M68" i="117"/>
  <c r="Z68" i="117"/>
  <c r="L68" i="117"/>
  <c r="P68" i="117"/>
  <c r="AG68" i="117"/>
  <c r="N68" i="117"/>
  <c r="G60" i="117"/>
  <c r="V60" i="117"/>
  <c r="X60" i="117"/>
  <c r="H60" i="117"/>
  <c r="K60" i="117"/>
  <c r="Y60" i="117"/>
  <c r="AG60" i="117"/>
  <c r="AF60" i="117"/>
  <c r="I60" i="117"/>
  <c r="AE60" i="117"/>
  <c r="AD60" i="117"/>
  <c r="Q60" i="117"/>
  <c r="AC60" i="117"/>
  <c r="AA60" i="117"/>
  <c r="M60" i="117"/>
  <c r="N60" i="117"/>
  <c r="P60" i="117"/>
  <c r="Z60" i="117"/>
  <c r="R60" i="117"/>
  <c r="J60" i="117"/>
  <c r="O60" i="117"/>
  <c r="W60" i="117"/>
  <c r="L60" i="117"/>
  <c r="AB60" i="117"/>
  <c r="P52" i="117"/>
  <c r="Z52" i="117"/>
  <c r="AB52" i="117"/>
  <c r="I52" i="117"/>
  <c r="AA52" i="117"/>
  <c r="V52" i="117"/>
  <c r="O52" i="117"/>
  <c r="R52" i="117"/>
  <c r="Q52" i="117"/>
  <c r="AF52" i="117"/>
  <c r="AD52" i="117"/>
  <c r="K52" i="117"/>
  <c r="AC52" i="117"/>
  <c r="AG52" i="117"/>
  <c r="X52" i="117"/>
  <c r="L52" i="117"/>
  <c r="AE52" i="117"/>
  <c r="N52" i="117"/>
  <c r="H52" i="117"/>
  <c r="W52" i="117"/>
  <c r="G52" i="117"/>
  <c r="J52" i="117"/>
  <c r="Y52" i="117"/>
  <c r="M52" i="117"/>
  <c r="R129" i="117"/>
  <c r="AA129" i="117"/>
  <c r="X129" i="117"/>
  <c r="N129" i="117"/>
  <c r="AB129" i="117"/>
  <c r="W129" i="117"/>
  <c r="G129" i="117"/>
  <c r="K129" i="117"/>
  <c r="V129" i="117"/>
  <c r="AC129" i="117"/>
  <c r="L129" i="117"/>
  <c r="Y129" i="117"/>
  <c r="AF129" i="117"/>
  <c r="M129" i="117"/>
  <c r="AD129" i="117"/>
  <c r="AG129" i="117"/>
  <c r="P129" i="117"/>
  <c r="Q129" i="117"/>
  <c r="I129" i="117"/>
  <c r="Z129" i="117"/>
  <c r="H129" i="117"/>
  <c r="AE129" i="117"/>
  <c r="O129" i="117"/>
  <c r="J129" i="117"/>
  <c r="R121" i="117"/>
  <c r="AD121" i="117"/>
  <c r="W121" i="117"/>
  <c r="L121" i="117"/>
  <c r="H121" i="117"/>
  <c r="AA121" i="117"/>
  <c r="AB121" i="117"/>
  <c r="J121" i="117"/>
  <c r="N121" i="117"/>
  <c r="X121" i="117"/>
  <c r="AF121" i="117"/>
  <c r="I121" i="117"/>
  <c r="Y121" i="117"/>
  <c r="AG121" i="117"/>
  <c r="Q121" i="117"/>
  <c r="V121" i="117"/>
  <c r="P121" i="117"/>
  <c r="O121" i="117"/>
  <c r="AE121" i="117"/>
  <c r="M121" i="117"/>
  <c r="K121" i="117"/>
  <c r="AC121" i="117"/>
  <c r="Z121" i="117"/>
  <c r="G121" i="117"/>
  <c r="R105" i="117"/>
  <c r="Z105" i="117"/>
  <c r="X105" i="117"/>
  <c r="N105" i="117"/>
  <c r="H105" i="117"/>
  <c r="AB105" i="117"/>
  <c r="V105" i="117"/>
  <c r="I105" i="117"/>
  <c r="Y105" i="117"/>
  <c r="AG105" i="117"/>
  <c r="G105" i="117"/>
  <c r="O105" i="117"/>
  <c r="AD105" i="117"/>
  <c r="AF105" i="117"/>
  <c r="J105" i="117"/>
  <c r="M105" i="117"/>
  <c r="AA105" i="117"/>
  <c r="L105" i="117"/>
  <c r="K105" i="117"/>
  <c r="W105" i="117"/>
  <c r="Q105" i="117"/>
  <c r="AC105" i="117"/>
  <c r="AE105" i="117"/>
  <c r="P105" i="117"/>
  <c r="L97" i="117"/>
  <c r="AC97" i="117"/>
  <c r="X97" i="117"/>
  <c r="R97" i="117"/>
  <c r="AD97" i="117"/>
  <c r="AA97" i="117"/>
  <c r="O97" i="117"/>
  <c r="Z97" i="117"/>
  <c r="AG97" i="117"/>
  <c r="I97" i="117"/>
  <c r="AF97" i="117"/>
  <c r="P97" i="117"/>
  <c r="V97" i="117"/>
  <c r="G97" i="117"/>
  <c r="K97" i="117"/>
  <c r="Q97" i="117"/>
  <c r="AB97" i="117"/>
  <c r="N97" i="117"/>
  <c r="AE97" i="117"/>
  <c r="J97" i="117"/>
  <c r="H97" i="117"/>
  <c r="M97" i="117"/>
  <c r="Y97" i="117"/>
  <c r="W97" i="117"/>
  <c r="K89" i="117"/>
  <c r="Y89" i="117"/>
  <c r="AA89" i="117"/>
  <c r="Q89" i="117"/>
  <c r="AD89" i="117"/>
  <c r="N89" i="117"/>
  <c r="O89" i="117"/>
  <c r="AF89" i="117"/>
  <c r="I89" i="117"/>
  <c r="AE89" i="117"/>
  <c r="W89" i="117"/>
  <c r="P89" i="117"/>
  <c r="L89" i="117"/>
  <c r="G89" i="117"/>
  <c r="Z89" i="117"/>
  <c r="AB89" i="117"/>
  <c r="AC89" i="117"/>
  <c r="R89" i="117"/>
  <c r="M89" i="117"/>
  <c r="X89" i="117"/>
  <c r="V89" i="117"/>
  <c r="J89" i="117"/>
  <c r="AG89" i="117"/>
  <c r="H89" i="117"/>
  <c r="M81" i="117"/>
  <c r="AG81" i="117"/>
  <c r="Z81" i="117"/>
  <c r="P81" i="117"/>
  <c r="K81" i="117"/>
  <c r="X81" i="117"/>
  <c r="AA81" i="117"/>
  <c r="L81" i="117"/>
  <c r="J81" i="117"/>
  <c r="AC81" i="117"/>
  <c r="AF81" i="117"/>
  <c r="Y81" i="117"/>
  <c r="Q81" i="117"/>
  <c r="O81" i="117"/>
  <c r="I81" i="117"/>
  <c r="AB81" i="117"/>
  <c r="AE81" i="117"/>
  <c r="R81" i="117"/>
  <c r="W81" i="117"/>
  <c r="N81" i="117"/>
  <c r="AD81" i="117"/>
  <c r="V81" i="117"/>
  <c r="G81" i="117"/>
  <c r="H81" i="117"/>
  <c r="P73" i="117"/>
  <c r="AG73" i="117"/>
  <c r="Z73" i="117"/>
  <c r="K73" i="117"/>
  <c r="W73" i="117"/>
  <c r="X73" i="117"/>
  <c r="H73" i="117"/>
  <c r="J73" i="117"/>
  <c r="Q73" i="117"/>
  <c r="AA73" i="117"/>
  <c r="AC73" i="117"/>
  <c r="R73" i="117"/>
  <c r="AD73" i="117"/>
  <c r="AE73" i="117"/>
  <c r="AF73" i="117"/>
  <c r="O73" i="117"/>
  <c r="Y73" i="117"/>
  <c r="L73" i="117"/>
  <c r="N73" i="117"/>
  <c r="I73" i="117"/>
  <c r="AB73" i="117"/>
  <c r="G73" i="117"/>
  <c r="M73" i="117"/>
  <c r="V73" i="117"/>
  <c r="J109" i="117"/>
  <c r="Y109" i="117"/>
  <c r="V109" i="117"/>
  <c r="O109" i="117"/>
  <c r="H109" i="117"/>
  <c r="AA109" i="117"/>
  <c r="W109" i="117"/>
  <c r="R109" i="117"/>
  <c r="AF109" i="117"/>
  <c r="I109" i="117"/>
  <c r="AC109" i="117"/>
  <c r="AE109" i="117"/>
  <c r="AB109" i="117"/>
  <c r="M109" i="117"/>
  <c r="N109" i="117"/>
  <c r="Z109" i="117"/>
  <c r="Q109" i="117"/>
  <c r="K109" i="117"/>
  <c r="AD109" i="117"/>
  <c r="L109" i="117"/>
  <c r="G109" i="117"/>
  <c r="P109" i="117"/>
  <c r="AG109" i="117"/>
  <c r="X109" i="117"/>
  <c r="O67" i="117"/>
  <c r="AD67" i="117"/>
  <c r="Y67" i="117"/>
  <c r="K67" i="117"/>
  <c r="AA67" i="117"/>
  <c r="P67" i="117"/>
  <c r="Z67" i="117"/>
  <c r="AF67" i="117"/>
  <c r="AG67" i="117"/>
  <c r="M67" i="117"/>
  <c r="AB67" i="117"/>
  <c r="L67" i="117"/>
  <c r="G67" i="117"/>
  <c r="N67" i="117"/>
  <c r="AC67" i="117"/>
  <c r="H67" i="117"/>
  <c r="W67" i="117"/>
  <c r="AE67" i="117"/>
  <c r="I67" i="117"/>
  <c r="J67" i="117"/>
  <c r="V67" i="117"/>
  <c r="R67" i="117"/>
  <c r="Q67" i="117"/>
  <c r="X67" i="117"/>
  <c r="Q120" i="117"/>
  <c r="AF120" i="117"/>
  <c r="AC120" i="117"/>
  <c r="O120" i="117"/>
  <c r="AB120" i="117"/>
  <c r="AD120" i="117"/>
  <c r="AG120" i="117"/>
  <c r="H120" i="117"/>
  <c r="K120" i="117"/>
  <c r="AA120" i="117"/>
  <c r="W120" i="117"/>
  <c r="Z120" i="117"/>
  <c r="Y120" i="117"/>
  <c r="G120" i="117"/>
  <c r="X120" i="117"/>
  <c r="I120" i="117"/>
  <c r="J120" i="117"/>
  <c r="N120" i="117"/>
  <c r="V120" i="117"/>
  <c r="M120" i="117"/>
  <c r="R120" i="117"/>
  <c r="AE120" i="117"/>
  <c r="L120" i="117"/>
  <c r="P120" i="117"/>
  <c r="G96" i="117"/>
  <c r="W96" i="117"/>
  <c r="V96" i="117"/>
  <c r="M96" i="117"/>
  <c r="O96" i="117"/>
  <c r="AD96" i="117"/>
  <c r="Y96" i="117"/>
  <c r="Q96" i="117"/>
  <c r="AC96" i="117"/>
  <c r="AE96" i="117"/>
  <c r="J96" i="117"/>
  <c r="AB96" i="117"/>
  <c r="AF96" i="117"/>
  <c r="AA96" i="117"/>
  <c r="N96" i="117"/>
  <c r="K96" i="117"/>
  <c r="X96" i="117"/>
  <c r="P96" i="117"/>
  <c r="R96" i="117"/>
  <c r="AG96" i="117"/>
  <c r="L96" i="117"/>
  <c r="H96" i="117"/>
  <c r="Z96" i="117"/>
  <c r="I96" i="117"/>
  <c r="H72" i="117"/>
  <c r="Z72" i="117"/>
  <c r="AA72" i="117"/>
  <c r="I72" i="117"/>
  <c r="N72" i="117"/>
  <c r="AB72" i="117"/>
  <c r="V72" i="117"/>
  <c r="W72" i="117"/>
  <c r="M72" i="117"/>
  <c r="R72" i="117"/>
  <c r="AG72" i="117"/>
  <c r="AF72" i="117"/>
  <c r="P72" i="117"/>
  <c r="AE72" i="117"/>
  <c r="AD72" i="117"/>
  <c r="O72" i="117"/>
  <c r="AC72" i="117"/>
  <c r="K72" i="117"/>
  <c r="L72" i="117"/>
  <c r="J72" i="117"/>
  <c r="X72" i="117"/>
  <c r="Q72" i="117"/>
  <c r="Y72" i="117"/>
  <c r="G72" i="117"/>
  <c r="P101" i="117"/>
  <c r="X101" i="117"/>
  <c r="Z101" i="117"/>
  <c r="Q101" i="117"/>
  <c r="K101" i="117"/>
  <c r="J101" i="117"/>
  <c r="R101" i="117"/>
  <c r="V101" i="117"/>
  <c r="AA101" i="117"/>
  <c r="Y101" i="117"/>
  <c r="AD101" i="117"/>
  <c r="G101" i="117"/>
  <c r="AB101" i="117"/>
  <c r="AF101" i="117"/>
  <c r="AG101" i="117"/>
  <c r="H101" i="117"/>
  <c r="I101" i="117"/>
  <c r="AC101" i="117"/>
  <c r="M101" i="117"/>
  <c r="L101" i="117"/>
  <c r="AE101" i="117"/>
  <c r="N101" i="117"/>
  <c r="W101" i="117"/>
  <c r="O101" i="117"/>
  <c r="N59" i="117"/>
  <c r="V59" i="117"/>
  <c r="AC59" i="117"/>
  <c r="P59" i="117"/>
  <c r="Z59" i="117"/>
  <c r="AA59" i="117"/>
  <c r="AB59" i="117"/>
  <c r="O59" i="117"/>
  <c r="L59" i="117"/>
  <c r="AG59" i="117"/>
  <c r="AF59" i="117"/>
  <c r="H59" i="117"/>
  <c r="G59" i="117"/>
  <c r="AE59" i="117"/>
  <c r="AD59" i="117"/>
  <c r="X59" i="117"/>
  <c r="J59" i="117"/>
  <c r="K59" i="117"/>
  <c r="W59" i="117"/>
  <c r="Q59" i="117"/>
  <c r="I59" i="117"/>
  <c r="Y59" i="117"/>
  <c r="R59" i="117"/>
  <c r="M59" i="117"/>
  <c r="N112" i="117"/>
  <c r="W112" i="117"/>
  <c r="AA112" i="117"/>
  <c r="J112" i="117"/>
  <c r="K112" i="117"/>
  <c r="P112" i="117"/>
  <c r="AG112" i="117"/>
  <c r="AF112" i="117"/>
  <c r="Q112" i="117"/>
  <c r="Y112" i="117"/>
  <c r="O112" i="117"/>
  <c r="X112" i="117"/>
  <c r="Z112" i="117"/>
  <c r="AD112" i="117"/>
  <c r="M112" i="117"/>
  <c r="I112" i="117"/>
  <c r="AE112" i="117"/>
  <c r="L112" i="117"/>
  <c r="H112" i="117"/>
  <c r="AB112" i="117"/>
  <c r="G112" i="117"/>
  <c r="V112" i="117"/>
  <c r="R112" i="117"/>
  <c r="AC112" i="117"/>
  <c r="L88" i="117"/>
  <c r="W88" i="117"/>
  <c r="AF88" i="117"/>
  <c r="Q88" i="117"/>
  <c r="AD88" i="117"/>
  <c r="Y88" i="117"/>
  <c r="I88" i="117"/>
  <c r="O88" i="117"/>
  <c r="X88" i="117"/>
  <c r="AE88" i="117"/>
  <c r="M88" i="117"/>
  <c r="AC88" i="117"/>
  <c r="AB88" i="117"/>
  <c r="Z88" i="117"/>
  <c r="N88" i="117"/>
  <c r="G88" i="117"/>
  <c r="AG88" i="117"/>
  <c r="J88" i="117"/>
  <c r="R88" i="117"/>
  <c r="AA88" i="117"/>
  <c r="K88" i="117"/>
  <c r="V88" i="117"/>
  <c r="P88" i="117"/>
  <c r="H88" i="117"/>
  <c r="L66" i="117"/>
  <c r="Z66" i="117"/>
  <c r="AB66" i="117"/>
  <c r="J66" i="117"/>
  <c r="I66" i="117"/>
  <c r="V66" i="117"/>
  <c r="AD66" i="117"/>
  <c r="K66" i="117"/>
  <c r="M66" i="117"/>
  <c r="R66" i="117"/>
  <c r="AF66" i="117"/>
  <c r="AE66" i="117"/>
  <c r="G66" i="117"/>
  <c r="P66" i="117"/>
  <c r="Q66" i="117"/>
  <c r="H66" i="117"/>
  <c r="AA66" i="117"/>
  <c r="W66" i="117"/>
  <c r="AC66" i="117"/>
  <c r="N66" i="117"/>
  <c r="O66" i="117"/>
  <c r="AG66" i="117"/>
  <c r="X66" i="117"/>
  <c r="Y66" i="117"/>
  <c r="G127" i="117"/>
  <c r="AD127" i="117"/>
  <c r="Z127" i="117"/>
  <c r="O127" i="117"/>
  <c r="L127" i="117"/>
  <c r="AB127" i="117"/>
  <c r="I127" i="117"/>
  <c r="J127" i="117"/>
  <c r="X127" i="117"/>
  <c r="W127" i="117"/>
  <c r="M127" i="117"/>
  <c r="Q127" i="117"/>
  <c r="Y127" i="117"/>
  <c r="AG127" i="117"/>
  <c r="N127" i="117"/>
  <c r="AF127" i="117"/>
  <c r="AA127" i="117"/>
  <c r="AE127" i="117"/>
  <c r="K127" i="117"/>
  <c r="H127" i="117"/>
  <c r="R127" i="117"/>
  <c r="AC127" i="117"/>
  <c r="V127" i="117"/>
  <c r="P127" i="117"/>
  <c r="H111" i="117"/>
  <c r="AB111" i="117"/>
  <c r="W111" i="117"/>
  <c r="K111" i="117"/>
  <c r="AA111" i="117"/>
  <c r="AG111" i="117"/>
  <c r="G111" i="117"/>
  <c r="AE111" i="117"/>
  <c r="AD111" i="117"/>
  <c r="I111" i="117"/>
  <c r="X111" i="117"/>
  <c r="Y111" i="117"/>
  <c r="M111" i="117"/>
  <c r="Z111" i="117"/>
  <c r="O111" i="117"/>
  <c r="R111" i="117"/>
  <c r="AC111" i="117"/>
  <c r="Q111" i="117"/>
  <c r="P111" i="117"/>
  <c r="J111" i="117"/>
  <c r="V111" i="117"/>
  <c r="L111" i="117"/>
  <c r="N111" i="117"/>
  <c r="AF111" i="117"/>
  <c r="G95" i="117"/>
  <c r="Z95" i="117"/>
  <c r="X95" i="117"/>
  <c r="H95" i="117"/>
  <c r="J95" i="117"/>
  <c r="W95" i="117"/>
  <c r="V95" i="117"/>
  <c r="Q95" i="117"/>
  <c r="Y95" i="117"/>
  <c r="AC95" i="117"/>
  <c r="AA95" i="117"/>
  <c r="AD95" i="117"/>
  <c r="O95" i="117"/>
  <c r="N95" i="117"/>
  <c r="AG95" i="117"/>
  <c r="I95" i="117"/>
  <c r="K95" i="117"/>
  <c r="R95" i="117"/>
  <c r="AB95" i="117"/>
  <c r="M95" i="117"/>
  <c r="P95" i="117"/>
  <c r="AE95" i="117"/>
  <c r="L95" i="117"/>
  <c r="AF95" i="117"/>
  <c r="K79" i="117"/>
  <c r="AF79" i="117"/>
  <c r="AG79" i="117"/>
  <c r="AD79" i="117"/>
  <c r="AB79" i="117"/>
  <c r="O79" i="117"/>
  <c r="R79" i="117"/>
  <c r="X79" i="117"/>
  <c r="Y79" i="117"/>
  <c r="I79" i="117"/>
  <c r="W79" i="117"/>
  <c r="AE79" i="117"/>
  <c r="Z79" i="117"/>
  <c r="M79" i="117"/>
  <c r="G79" i="117"/>
  <c r="AC79" i="117"/>
  <c r="Q79" i="117"/>
  <c r="N79" i="117"/>
  <c r="V79" i="117"/>
  <c r="L79" i="117"/>
  <c r="J79" i="117"/>
  <c r="AA79" i="117"/>
  <c r="P79" i="117"/>
  <c r="H79" i="117"/>
  <c r="O125" i="117"/>
  <c r="AB125" i="117"/>
  <c r="W125" i="117"/>
  <c r="L125" i="117"/>
  <c r="R125" i="117"/>
  <c r="I125" i="117"/>
  <c r="J125" i="117"/>
  <c r="Z125" i="117"/>
  <c r="AC125" i="117"/>
  <c r="AE125" i="117"/>
  <c r="P125" i="117"/>
  <c r="AG125" i="117"/>
  <c r="AF125" i="117"/>
  <c r="H125" i="117"/>
  <c r="V125" i="117"/>
  <c r="K125" i="117"/>
  <c r="AA125" i="117"/>
  <c r="N125" i="117"/>
  <c r="M125" i="117"/>
  <c r="Q125" i="117"/>
  <c r="X125" i="117"/>
  <c r="AD125" i="117"/>
  <c r="Y125" i="117"/>
  <c r="G125" i="117"/>
  <c r="P85" i="117"/>
  <c r="Z85" i="117"/>
  <c r="AE85" i="117"/>
  <c r="J85" i="117"/>
  <c r="AF85" i="117"/>
  <c r="X85" i="117"/>
  <c r="L85" i="117"/>
  <c r="AA85" i="117"/>
  <c r="W85" i="117"/>
  <c r="Q85" i="117"/>
  <c r="AC85" i="117"/>
  <c r="Y85" i="117"/>
  <c r="O85" i="117"/>
  <c r="AD85" i="117"/>
  <c r="AB85" i="117"/>
  <c r="G85" i="117"/>
  <c r="H85" i="117"/>
  <c r="AG85" i="117"/>
  <c r="M85" i="117"/>
  <c r="K85" i="117"/>
  <c r="V85" i="117"/>
  <c r="R85" i="117"/>
  <c r="N85" i="117"/>
  <c r="I85" i="117"/>
  <c r="N113" i="117"/>
  <c r="Z113" i="117"/>
  <c r="AC113" i="117"/>
  <c r="I113" i="117"/>
  <c r="Q113" i="117"/>
  <c r="W113" i="117"/>
  <c r="AB113" i="117"/>
  <c r="K113" i="117"/>
  <c r="R113" i="117"/>
  <c r="AE113" i="117"/>
  <c r="V113" i="117"/>
  <c r="J113" i="117"/>
  <c r="AG113" i="117"/>
  <c r="X113" i="117"/>
  <c r="P113" i="117"/>
  <c r="AD113" i="117"/>
  <c r="M113" i="117"/>
  <c r="AA113" i="117"/>
  <c r="O113" i="117"/>
  <c r="Y113" i="117"/>
  <c r="H113" i="117"/>
  <c r="AF113" i="117"/>
  <c r="L113" i="117"/>
  <c r="G113" i="117"/>
  <c r="P51" i="117"/>
  <c r="AE51" i="117"/>
  <c r="X51" i="117"/>
  <c r="I51" i="117"/>
  <c r="Y51" i="117"/>
  <c r="W51" i="117"/>
  <c r="G51" i="117"/>
  <c r="R51" i="117"/>
  <c r="AB51" i="117"/>
  <c r="AC51" i="117"/>
  <c r="N51" i="117"/>
  <c r="Q51" i="117"/>
  <c r="AA51" i="117"/>
  <c r="AG51" i="117"/>
  <c r="K51" i="117"/>
  <c r="M51" i="117"/>
  <c r="AF51" i="117"/>
  <c r="L51" i="117"/>
  <c r="AD51" i="117"/>
  <c r="H51" i="117"/>
  <c r="V51" i="117"/>
  <c r="J51" i="117"/>
  <c r="O51" i="117"/>
  <c r="Z51" i="117"/>
  <c r="G128" i="117"/>
  <c r="Z128" i="117"/>
  <c r="AF128" i="117"/>
  <c r="R128" i="117"/>
  <c r="O128" i="117"/>
  <c r="Q128" i="117"/>
  <c r="Y128" i="117"/>
  <c r="L128" i="117"/>
  <c r="AC128" i="117"/>
  <c r="V128" i="117"/>
  <c r="J128" i="117"/>
  <c r="AA128" i="117"/>
  <c r="H128" i="117"/>
  <c r="P128" i="117"/>
  <c r="W128" i="117"/>
  <c r="AG128" i="117"/>
  <c r="AE128" i="117"/>
  <c r="I128" i="117"/>
  <c r="AD128" i="117"/>
  <c r="X128" i="117"/>
  <c r="N128" i="117"/>
  <c r="M128" i="117"/>
  <c r="K128" i="117"/>
  <c r="AB128" i="117"/>
  <c r="AB104" i="117"/>
  <c r="AE104" i="117"/>
  <c r="AC104" i="117"/>
  <c r="N104" i="117"/>
  <c r="V104" i="117"/>
  <c r="X104" i="117"/>
  <c r="O104" i="117"/>
  <c r="P104" i="117"/>
  <c r="AF104" i="117"/>
  <c r="Z104" i="117"/>
  <c r="Q104" i="117"/>
  <c r="W104" i="117"/>
  <c r="M104" i="117"/>
  <c r="I104" i="117"/>
  <c r="AA104" i="117"/>
  <c r="R104" i="117"/>
  <c r="L104" i="117"/>
  <c r="AD104" i="117"/>
  <c r="AG104" i="117"/>
  <c r="H104" i="117"/>
  <c r="J104" i="117"/>
  <c r="Y104" i="117"/>
  <c r="G104" i="117"/>
  <c r="K104" i="117"/>
  <c r="G80" i="117"/>
  <c r="V80" i="117"/>
  <c r="X80" i="117"/>
  <c r="K80" i="117"/>
  <c r="AF80" i="117"/>
  <c r="I80" i="117"/>
  <c r="Z80" i="117"/>
  <c r="Q80" i="117"/>
  <c r="AE80" i="117"/>
  <c r="AG80" i="117"/>
  <c r="J80" i="117"/>
  <c r="AD80" i="117"/>
  <c r="AA80" i="117"/>
  <c r="AB80" i="117"/>
  <c r="R80" i="117"/>
  <c r="N80" i="117"/>
  <c r="AC80" i="117"/>
  <c r="L80" i="117"/>
  <c r="M80" i="117"/>
  <c r="H80" i="117"/>
  <c r="W80" i="117"/>
  <c r="O80" i="117"/>
  <c r="P80" i="117"/>
  <c r="Y80" i="117"/>
  <c r="R58" i="117"/>
  <c r="AD58" i="117"/>
  <c r="AF58" i="117"/>
  <c r="H58" i="117"/>
  <c r="O58" i="117"/>
  <c r="Z58" i="117"/>
  <c r="AE58" i="117"/>
  <c r="AG58" i="117"/>
  <c r="M58" i="117"/>
  <c r="W58" i="117"/>
  <c r="X58" i="117"/>
  <c r="I58" i="117"/>
  <c r="AA58" i="117"/>
  <c r="Y58" i="117"/>
  <c r="V58" i="117"/>
  <c r="L58" i="117"/>
  <c r="G58" i="117"/>
  <c r="AC58" i="117"/>
  <c r="N58" i="117"/>
  <c r="J58" i="117"/>
  <c r="AB58" i="117"/>
  <c r="Q58" i="117"/>
  <c r="K58" i="117"/>
  <c r="P58" i="117"/>
  <c r="L119" i="117"/>
  <c r="Y119" i="117"/>
  <c r="AE119" i="117"/>
  <c r="Q119" i="117"/>
  <c r="N119" i="117"/>
  <c r="AA119" i="117"/>
  <c r="W119" i="117"/>
  <c r="K119" i="117"/>
  <c r="Z119" i="117"/>
  <c r="AG119" i="117"/>
  <c r="H119" i="117"/>
  <c r="V119" i="117"/>
  <c r="AB119" i="117"/>
  <c r="AD119" i="117"/>
  <c r="J119" i="117"/>
  <c r="G119" i="117"/>
  <c r="M119" i="117"/>
  <c r="AF119" i="117"/>
  <c r="P119" i="117"/>
  <c r="X119" i="117"/>
  <c r="I119" i="117"/>
  <c r="AC119" i="117"/>
  <c r="R119" i="117"/>
  <c r="O119" i="117"/>
  <c r="N103" i="117"/>
  <c r="AF103" i="117"/>
  <c r="Z103" i="117"/>
  <c r="M103" i="117"/>
  <c r="G103" i="117"/>
  <c r="AB103" i="117"/>
  <c r="Q103" i="117"/>
  <c r="K103" i="117"/>
  <c r="AA103" i="117"/>
  <c r="W103" i="117"/>
  <c r="P103" i="117"/>
  <c r="J103" i="117"/>
  <c r="V103" i="117"/>
  <c r="AC103" i="117"/>
  <c r="Y103" i="117"/>
  <c r="R103" i="117"/>
  <c r="AD103" i="117"/>
  <c r="L103" i="117"/>
  <c r="I103" i="117"/>
  <c r="AE103" i="117"/>
  <c r="O103" i="117"/>
  <c r="H103" i="117"/>
  <c r="AG103" i="117"/>
  <c r="X103" i="117"/>
  <c r="M87" i="117"/>
  <c r="AA87" i="117"/>
  <c r="AG87" i="117"/>
  <c r="G87" i="117"/>
  <c r="Y87" i="117"/>
  <c r="AB87" i="117"/>
  <c r="Q87" i="117"/>
  <c r="AF87" i="117"/>
  <c r="Z87" i="117"/>
  <c r="AD87" i="117"/>
  <c r="AE87" i="117"/>
  <c r="O87" i="117"/>
  <c r="J87" i="117"/>
  <c r="X87" i="117"/>
  <c r="I87" i="117"/>
  <c r="K87" i="117"/>
  <c r="V87" i="117"/>
  <c r="N87" i="117"/>
  <c r="W87" i="117"/>
  <c r="R87" i="117"/>
  <c r="H87" i="117"/>
  <c r="AC87" i="117"/>
  <c r="L87" i="117"/>
  <c r="P87" i="117"/>
  <c r="P71" i="117"/>
  <c r="AE71" i="117"/>
  <c r="X71" i="117"/>
  <c r="N71" i="117"/>
  <c r="W71" i="117"/>
  <c r="AG71" i="117"/>
  <c r="Y71" i="117"/>
  <c r="H71" i="117"/>
  <c r="J71" i="117"/>
  <c r="AC71" i="117"/>
  <c r="AA71" i="117"/>
  <c r="O71" i="117"/>
  <c r="R71" i="117"/>
  <c r="Z71" i="117"/>
  <c r="V71" i="117"/>
  <c r="Q71" i="117"/>
  <c r="AF71" i="117"/>
  <c r="M71" i="117"/>
  <c r="AD71" i="117"/>
  <c r="K71" i="117"/>
  <c r="AB71" i="117"/>
  <c r="G71" i="117"/>
  <c r="I71" i="117"/>
  <c r="L71" i="117"/>
  <c r="K65" i="117"/>
  <c r="Z65" i="117"/>
  <c r="AA65" i="117"/>
  <c r="L65" i="117"/>
  <c r="AG65" i="117"/>
  <c r="X65" i="117"/>
  <c r="AD65" i="117"/>
  <c r="J65" i="117"/>
  <c r="H65" i="117"/>
  <c r="N65" i="117"/>
  <c r="V65" i="117"/>
  <c r="I65" i="117"/>
  <c r="AE65" i="117"/>
  <c r="AB65" i="117"/>
  <c r="G65" i="117"/>
  <c r="AC65" i="117"/>
  <c r="AF65" i="117"/>
  <c r="O65" i="117"/>
  <c r="Q65" i="117"/>
  <c r="Y65" i="117"/>
  <c r="M65" i="117"/>
  <c r="R65" i="117"/>
  <c r="W65" i="117"/>
  <c r="P65" i="117"/>
  <c r="G57" i="117"/>
  <c r="V57" i="117"/>
  <c r="AG57" i="117"/>
  <c r="P57" i="117"/>
  <c r="Y57" i="117"/>
  <c r="X57" i="117"/>
  <c r="H57" i="117"/>
  <c r="AF57" i="117"/>
  <c r="M57" i="117"/>
  <c r="R57" i="117"/>
  <c r="AB57" i="117"/>
  <c r="Q57" i="117"/>
  <c r="W57" i="117"/>
  <c r="AD57" i="117"/>
  <c r="L57" i="117"/>
  <c r="K57" i="117"/>
  <c r="I57" i="117"/>
  <c r="J57" i="117"/>
  <c r="AC57" i="117"/>
  <c r="Z57" i="117"/>
  <c r="AE57" i="117"/>
  <c r="N57" i="117"/>
  <c r="O57" i="117"/>
  <c r="AA57" i="117"/>
  <c r="P126" i="117"/>
  <c r="AG126" i="117"/>
  <c r="AD126" i="117"/>
  <c r="J126" i="117"/>
  <c r="I126" i="117"/>
  <c r="AB126" i="117"/>
  <c r="AA126" i="117"/>
  <c r="Q126" i="117"/>
  <c r="H126" i="117"/>
  <c r="N126" i="117"/>
  <c r="O126" i="117"/>
  <c r="X126" i="117"/>
  <c r="V126" i="117"/>
  <c r="K126" i="117"/>
  <c r="M126" i="117"/>
  <c r="G126" i="117"/>
  <c r="R126" i="117"/>
  <c r="AE126" i="117"/>
  <c r="AF126" i="117"/>
  <c r="L126" i="117"/>
  <c r="Z126" i="117"/>
  <c r="W126" i="117"/>
  <c r="AC126" i="117"/>
  <c r="Y126" i="117"/>
  <c r="K118" i="117"/>
  <c r="AD118" i="117"/>
  <c r="AF118" i="117"/>
  <c r="Q118" i="117"/>
  <c r="Z118" i="117"/>
  <c r="X118" i="117"/>
  <c r="P118" i="117"/>
  <c r="Y118" i="117"/>
  <c r="H118" i="117"/>
  <c r="AC118" i="117"/>
  <c r="W118" i="117"/>
  <c r="J118" i="117"/>
  <c r="AA118" i="117"/>
  <c r="L118" i="117"/>
  <c r="I118" i="117"/>
  <c r="AB118" i="117"/>
  <c r="AG118" i="117"/>
  <c r="G118" i="117"/>
  <c r="V118" i="117"/>
  <c r="R118" i="117"/>
  <c r="N118" i="117"/>
  <c r="O118" i="117"/>
  <c r="AE118" i="117"/>
  <c r="M118" i="117"/>
  <c r="R110" i="117"/>
  <c r="V110" i="117"/>
  <c r="AB110" i="117"/>
  <c r="N110" i="117"/>
  <c r="AC110" i="117"/>
  <c r="Y110" i="117"/>
  <c r="L110" i="117"/>
  <c r="O110" i="117"/>
  <c r="Z110" i="117"/>
  <c r="W110" i="117"/>
  <c r="AG110" i="117"/>
  <c r="K110" i="117"/>
  <c r="J110" i="117"/>
  <c r="AD110" i="117"/>
  <c r="AA110" i="117"/>
  <c r="Q110" i="117"/>
  <c r="X110" i="117"/>
  <c r="I110" i="117"/>
  <c r="P110" i="117"/>
  <c r="AF110" i="117"/>
  <c r="G110" i="117"/>
  <c r="AE110" i="117"/>
  <c r="M110" i="117"/>
  <c r="H110" i="117"/>
  <c r="K102" i="117"/>
  <c r="AD102" i="117"/>
  <c r="X102" i="117"/>
  <c r="I102" i="117"/>
  <c r="AC102" i="117"/>
  <c r="AE102" i="117"/>
  <c r="O102" i="117"/>
  <c r="G102" i="117"/>
  <c r="Y102" i="117"/>
  <c r="AF102" i="117"/>
  <c r="Q102" i="117"/>
  <c r="W102" i="117"/>
  <c r="Z102" i="117"/>
  <c r="AA102" i="117"/>
  <c r="J102" i="117"/>
  <c r="H102" i="117"/>
  <c r="AB102" i="117"/>
  <c r="L102" i="117"/>
  <c r="P102" i="117"/>
  <c r="AG102" i="117"/>
  <c r="V102" i="117"/>
  <c r="R102" i="117"/>
  <c r="M102" i="117"/>
  <c r="N102" i="117"/>
  <c r="I94" i="117"/>
  <c r="W94" i="117"/>
  <c r="Y94" i="117"/>
  <c r="N94" i="117"/>
  <c r="K94" i="117"/>
  <c r="AA94" i="117"/>
  <c r="X94" i="117"/>
  <c r="G94" i="117"/>
  <c r="AF94" i="117"/>
  <c r="AE94" i="117"/>
  <c r="R94" i="117"/>
  <c r="M94" i="117"/>
  <c r="AD94" i="117"/>
  <c r="AB94" i="117"/>
  <c r="Q94" i="117"/>
  <c r="Z94" i="117"/>
  <c r="J94" i="117"/>
  <c r="L94" i="117"/>
  <c r="AC94" i="117"/>
  <c r="P94" i="117"/>
  <c r="AG94" i="117"/>
  <c r="V94" i="117"/>
  <c r="O94" i="117"/>
  <c r="H94" i="117"/>
  <c r="O86" i="117"/>
  <c r="AG86" i="117"/>
  <c r="AF86" i="117"/>
  <c r="M86" i="117"/>
  <c r="Q86" i="117"/>
  <c r="V86" i="117"/>
  <c r="X86" i="117"/>
  <c r="AB86" i="117"/>
  <c r="R86" i="117"/>
  <c r="AD86" i="117"/>
  <c r="AC86" i="117"/>
  <c r="G86" i="117"/>
  <c r="P86" i="117"/>
  <c r="Z86" i="117"/>
  <c r="AA86" i="117"/>
  <c r="Y86" i="117"/>
  <c r="K86" i="117"/>
  <c r="H86" i="117"/>
  <c r="AE86" i="117"/>
  <c r="I86" i="117"/>
  <c r="L86" i="117"/>
  <c r="W86" i="117"/>
  <c r="N86" i="117"/>
  <c r="J86" i="117"/>
  <c r="K78" i="117"/>
  <c r="V78" i="117"/>
  <c r="AB78" i="117"/>
  <c r="AE78" i="117"/>
  <c r="H78" i="117"/>
  <c r="AA78" i="117"/>
  <c r="Y78" i="117"/>
  <c r="I78" i="117"/>
  <c r="AD78" i="117"/>
  <c r="L78" i="117"/>
  <c r="AF78" i="117"/>
  <c r="Q78" i="117"/>
  <c r="O78" i="117"/>
  <c r="G78" i="117"/>
  <c r="Z78" i="117"/>
  <c r="P78" i="117"/>
  <c r="AG78" i="117"/>
  <c r="N78" i="117"/>
  <c r="J78" i="117"/>
  <c r="X78" i="117"/>
  <c r="R78" i="117"/>
  <c r="AC78" i="117"/>
  <c r="M78" i="117"/>
  <c r="W78" i="117"/>
  <c r="G18" i="73"/>
  <c r="G18" i="76"/>
  <c r="T35" i="117"/>
  <c r="AI35" i="117"/>
  <c r="AI43" i="117"/>
  <c r="T43" i="117"/>
  <c r="AI38" i="117"/>
  <c r="T46" i="117"/>
  <c r="T42" i="117"/>
  <c r="T38" i="117"/>
  <c r="AI46" i="117"/>
  <c r="T34" i="117"/>
  <c r="T50" i="117"/>
  <c r="AI50" i="117"/>
  <c r="AI34" i="117"/>
  <c r="AI42" i="117"/>
  <c r="T37" i="117"/>
  <c r="AI40" i="117"/>
  <c r="T45" i="117"/>
  <c r="AI45" i="117"/>
  <c r="T40" i="117"/>
  <c r="AI48" i="117"/>
  <c r="AI32" i="117"/>
  <c r="AI37" i="117"/>
  <c r="T32" i="117"/>
  <c r="T48" i="117"/>
  <c r="AI36" i="117"/>
  <c r="T44" i="117"/>
  <c r="T36" i="117"/>
  <c r="AI44" i="117"/>
  <c r="T31" i="117"/>
  <c r="T39" i="117"/>
  <c r="AI39" i="117"/>
  <c r="T47" i="117"/>
  <c r="AI31" i="117"/>
  <c r="AI47" i="117"/>
  <c r="AI33" i="117"/>
  <c r="AI49" i="117"/>
  <c r="T33" i="117"/>
  <c r="T49" i="117"/>
  <c r="T41" i="117"/>
  <c r="AI41" i="117"/>
  <c r="O8" i="78"/>
  <c r="P3" i="78"/>
  <c r="Q3" i="73"/>
  <c r="Q7" i="73" s="1"/>
  <c r="P7" i="73"/>
  <c r="P2" i="74"/>
  <c r="S2" i="74" s="1"/>
  <c r="S7" i="74" s="1"/>
  <c r="AB3" i="78"/>
  <c r="AA8" i="78"/>
  <c r="P2" i="75"/>
  <c r="D20" i="74"/>
  <c r="E19" i="74"/>
  <c r="F19" i="74" s="1" a="1"/>
  <c r="F19" i="74" s="1"/>
  <c r="E21" i="78"/>
  <c r="D22" i="78"/>
  <c r="P2" i="78"/>
  <c r="S2" i="78" s="1"/>
  <c r="S7" i="78" s="1"/>
  <c r="E19" i="73"/>
  <c r="D20" i="73"/>
  <c r="F17" i="73"/>
  <c r="P2" i="77"/>
  <c r="S2" i="77" s="1"/>
  <c r="S7" i="77" s="1"/>
  <c r="E19" i="76"/>
  <c r="D20" i="76"/>
  <c r="E19" i="75"/>
  <c r="D20" i="75"/>
  <c r="S4" i="72" a="1"/>
  <c r="S4" i="72" s="1"/>
  <c r="T2" i="72"/>
  <c r="T4" i="72" s="1" a="1"/>
  <c r="T4" i="72" s="1"/>
  <c r="D16" i="72"/>
  <c r="G16" i="72" s="1" a="1"/>
  <c r="G16" i="72" s="1"/>
  <c r="G15" i="72" a="1"/>
  <c r="G15" i="72" s="1"/>
  <c r="F20" i="76"/>
  <c r="O8" i="74"/>
  <c r="P3" i="74"/>
  <c r="AA8" i="74"/>
  <c r="AB3" i="74"/>
  <c r="D20" i="77"/>
  <c r="E19" i="77"/>
  <c r="F19" i="77" s="1" a="1"/>
  <c r="F19" i="77" s="1"/>
  <c r="F38" i="65" l="1" a="1"/>
  <c r="F38" i="65" s="1"/>
  <c r="G19" i="76"/>
  <c r="G19" i="73"/>
  <c r="P8" i="74"/>
  <c r="P6" i="74" a="1"/>
  <c r="P6" i="74" s="1"/>
  <c r="AB8" i="74"/>
  <c r="AB6" i="74" a="1"/>
  <c r="AB6" i="74" s="1"/>
  <c r="N4" i="117"/>
  <c r="K4" i="117"/>
  <c r="V4" i="117"/>
  <c r="AC4" i="117"/>
  <c r="Q5" i="117" a="1"/>
  <c r="Q5" i="117" s="1"/>
  <c r="M4" i="117"/>
  <c r="AE5" i="117" a="1"/>
  <c r="AE5" i="117" s="1"/>
  <c r="X5" i="117" a="1"/>
  <c r="X5" i="117" s="1"/>
  <c r="P4" i="117"/>
  <c r="H5" i="117" a="1"/>
  <c r="H5" i="117" s="1"/>
  <c r="AG5" i="117" a="1"/>
  <c r="AG5" i="117" s="1"/>
  <c r="R5" i="117" a="1"/>
  <c r="R5" i="117" s="1"/>
  <c r="I5" i="117" a="1"/>
  <c r="I5" i="117" s="1"/>
  <c r="AA4" i="117"/>
  <c r="Y5" i="117" a="1"/>
  <c r="Y5" i="117" s="1"/>
  <c r="L4" i="117"/>
  <c r="W4" i="117"/>
  <c r="O4" i="117"/>
  <c r="Z4" i="117"/>
  <c r="AF5" i="117" a="1"/>
  <c r="AF5" i="117" s="1"/>
  <c r="J5" i="117" a="1"/>
  <c r="J5" i="117" s="1"/>
  <c r="AD5" i="117" a="1"/>
  <c r="AD5" i="117" s="1"/>
  <c r="AB5" i="117" a="1"/>
  <c r="AB5" i="117" s="1"/>
  <c r="Q4" i="117"/>
  <c r="M5" i="117" a="1"/>
  <c r="M5" i="117" s="1"/>
  <c r="Y4" i="117"/>
  <c r="AD4" i="117"/>
  <c r="AF4" i="117"/>
  <c r="H4" i="117"/>
  <c r="AA5" i="117" a="1"/>
  <c r="AA5" i="117" s="1"/>
  <c r="Z5" i="117" a="1"/>
  <c r="Z5" i="117" s="1"/>
  <c r="AE4" i="117"/>
  <c r="L5" i="117" a="1"/>
  <c r="L5" i="117" s="1"/>
  <c r="AG4" i="117"/>
  <c r="N5" i="117" a="1"/>
  <c r="N5" i="117" s="1"/>
  <c r="AC5" i="117" a="1"/>
  <c r="AC5" i="117" s="1"/>
  <c r="O5" i="117" a="1"/>
  <c r="O5" i="117" s="1"/>
  <c r="X4" i="117"/>
  <c r="R4" i="117"/>
  <c r="K5" i="117" a="1"/>
  <c r="K5" i="117" s="1"/>
  <c r="I4" i="117"/>
  <c r="P5" i="117" a="1"/>
  <c r="P5" i="117" s="1"/>
  <c r="V5" i="117" a="1"/>
  <c r="V5" i="117" s="1"/>
  <c r="AB4" i="117"/>
  <c r="W5" i="117" a="1"/>
  <c r="W5" i="117" s="1"/>
  <c r="J4" i="117"/>
  <c r="AI72" i="117"/>
  <c r="AI120" i="117"/>
  <c r="T80" i="117"/>
  <c r="AI80" i="117"/>
  <c r="AI112" i="117"/>
  <c r="T128" i="117"/>
  <c r="T104" i="117"/>
  <c r="AI104" i="117"/>
  <c r="T96" i="117"/>
  <c r="AI88" i="117"/>
  <c r="T112" i="117"/>
  <c r="T72" i="117"/>
  <c r="T120" i="117"/>
  <c r="AI96" i="117"/>
  <c r="AI128" i="117"/>
  <c r="T88" i="117"/>
  <c r="AI131" i="117"/>
  <c r="T99" i="117"/>
  <c r="AI114" i="117"/>
  <c r="AI90" i="117"/>
  <c r="AI74" i="117"/>
  <c r="T130" i="117"/>
  <c r="T116" i="117"/>
  <c r="AI76" i="117"/>
  <c r="AI124" i="117"/>
  <c r="T124" i="117"/>
  <c r="T84" i="117"/>
  <c r="AI92" i="117"/>
  <c r="AI108" i="117"/>
  <c r="T92" i="117"/>
  <c r="T108" i="117"/>
  <c r="AI122" i="117"/>
  <c r="T98" i="117"/>
  <c r="AI106" i="117"/>
  <c r="AI100" i="117"/>
  <c r="T106" i="117"/>
  <c r="T123" i="117"/>
  <c r="AI99" i="117"/>
  <c r="AI116" i="117"/>
  <c r="T76" i="117"/>
  <c r="T74" i="117"/>
  <c r="AI98" i="117"/>
  <c r="AI82" i="117"/>
  <c r="T100" i="117"/>
  <c r="AI84" i="117"/>
  <c r="T114" i="117"/>
  <c r="T82" i="117"/>
  <c r="AI130" i="117"/>
  <c r="T122" i="117"/>
  <c r="T90" i="117"/>
  <c r="T131" i="117"/>
  <c r="T107" i="117"/>
  <c r="T83" i="117"/>
  <c r="AI123" i="117"/>
  <c r="AI83" i="117"/>
  <c r="T91" i="117"/>
  <c r="AI75" i="117"/>
  <c r="AI107" i="117"/>
  <c r="T115" i="117"/>
  <c r="AI91" i="117"/>
  <c r="T75" i="117"/>
  <c r="AI115" i="117"/>
  <c r="T93" i="117"/>
  <c r="AI85" i="117"/>
  <c r="AI101" i="117"/>
  <c r="AI117" i="117"/>
  <c r="T101" i="117"/>
  <c r="AI109" i="117"/>
  <c r="AI93" i="117"/>
  <c r="T109" i="117"/>
  <c r="AI125" i="117"/>
  <c r="T117" i="117"/>
  <c r="T77" i="117"/>
  <c r="T85" i="117"/>
  <c r="AI77" i="117"/>
  <c r="T125" i="117"/>
  <c r="T89" i="117"/>
  <c r="AI102" i="117"/>
  <c r="T78" i="117"/>
  <c r="AI73" i="117"/>
  <c r="T94" i="117"/>
  <c r="AI81" i="117"/>
  <c r="T129" i="117"/>
  <c r="AI119" i="117"/>
  <c r="AI129" i="117"/>
  <c r="AI121" i="117"/>
  <c r="AI86" i="117"/>
  <c r="T71" i="117"/>
  <c r="T126" i="117"/>
  <c r="AI118" i="117"/>
  <c r="AI97" i="117"/>
  <c r="AI113" i="117"/>
  <c r="T103" i="117"/>
  <c r="T127" i="117"/>
  <c r="T87" i="117"/>
  <c r="T113" i="117"/>
  <c r="AI94" i="117"/>
  <c r="AI110" i="117"/>
  <c r="T79" i="117"/>
  <c r="T118" i="117"/>
  <c r="AI89" i="117"/>
  <c r="T111" i="117"/>
  <c r="AI111" i="117"/>
  <c r="AI103" i="117"/>
  <c r="T81" i="117"/>
  <c r="T97" i="117"/>
  <c r="AI105" i="117"/>
  <c r="T121" i="117"/>
  <c r="T119" i="117"/>
  <c r="T110" i="117"/>
  <c r="AI78" i="117"/>
  <c r="AI127" i="117"/>
  <c r="T102" i="117"/>
  <c r="AI87" i="117"/>
  <c r="T86" i="117"/>
  <c r="AI126" i="117"/>
  <c r="AI95" i="117"/>
  <c r="T73" i="117"/>
  <c r="T95" i="117"/>
  <c r="AI79" i="117"/>
  <c r="T105" i="117"/>
  <c r="AI71" i="117"/>
  <c r="AI64" i="117"/>
  <c r="AI63" i="117"/>
  <c r="AI68" i="117"/>
  <c r="T63" i="117"/>
  <c r="T60" i="117"/>
  <c r="AI60" i="117"/>
  <c r="AI51" i="117"/>
  <c r="AI54" i="117"/>
  <c r="AI57" i="117"/>
  <c r="T55" i="117"/>
  <c r="AI66" i="117"/>
  <c r="T59" i="117"/>
  <c r="T57" i="117"/>
  <c r="T61" i="117"/>
  <c r="AI58" i="117"/>
  <c r="T56" i="117"/>
  <c r="T67" i="117"/>
  <c r="AI67" i="117"/>
  <c r="AI55" i="117"/>
  <c r="T65" i="117"/>
  <c r="T58" i="117"/>
  <c r="T68" i="117"/>
  <c r="AI53" i="117"/>
  <c r="AI69" i="117"/>
  <c r="T51" i="117"/>
  <c r="T54" i="117"/>
  <c r="AI59" i="117"/>
  <c r="T69" i="117"/>
  <c r="AI56" i="117"/>
  <c r="T62" i="117"/>
  <c r="T70" i="117"/>
  <c r="T52" i="117"/>
  <c r="AI62" i="117"/>
  <c r="AI65" i="117"/>
  <c r="AI52" i="117"/>
  <c r="T66" i="117"/>
  <c r="T53" i="117"/>
  <c r="T64" i="117"/>
  <c r="AI70" i="117"/>
  <c r="AI61" i="117"/>
  <c r="AB8" i="78"/>
  <c r="P8" i="78"/>
  <c r="F18" i="73"/>
  <c r="D21" i="77"/>
  <c r="E20" i="77"/>
  <c r="F20" i="77" s="1" a="1"/>
  <c r="F20" i="77" s="1"/>
  <c r="D21" i="73"/>
  <c r="E20" i="73"/>
  <c r="D23" i="78"/>
  <c r="E22" i="78"/>
  <c r="T2" i="77"/>
  <c r="D21" i="74"/>
  <c r="E20" i="74"/>
  <c r="F20" i="74" s="1" a="1"/>
  <c r="F20" i="74" s="1"/>
  <c r="F21" i="76"/>
  <c r="E20" i="75"/>
  <c r="D21" i="75"/>
  <c r="T2" i="78"/>
  <c r="S2" i="75"/>
  <c r="S7" i="75" s="1"/>
  <c r="T2" i="74"/>
  <c r="D21" i="76"/>
  <c r="E20" i="76"/>
  <c r="G20" i="73" l="1"/>
  <c r="G20" i="76"/>
  <c r="AI5" i="117" a="1"/>
  <c r="AI5" i="117" s="1"/>
  <c r="Z16" i="65" s="1"/>
  <c r="I12" i="67" s="1"/>
  <c r="AI4" i="117"/>
  <c r="T2" i="75"/>
  <c r="U2" i="77"/>
  <c r="U2" i="78"/>
  <c r="F22" i="76"/>
  <c r="D24" i="78"/>
  <c r="E23" i="78"/>
  <c r="D22" i="73"/>
  <c r="E21" i="73"/>
  <c r="G21" i="73" s="1"/>
  <c r="F19" i="73"/>
  <c r="E21" i="74"/>
  <c r="F21" i="74" s="1" a="1"/>
  <c r="F21" i="74" s="1"/>
  <c r="D22" i="74"/>
  <c r="D22" i="77"/>
  <c r="E21" i="77"/>
  <c r="F21" i="77" s="1" a="1"/>
  <c r="F21" i="77" s="1"/>
  <c r="AF9" i="72"/>
  <c r="AI9" i="72" s="1"/>
  <c r="S15" i="72"/>
  <c r="V15" i="72" s="1"/>
  <c r="AF10" i="72"/>
  <c r="AI10" i="72" s="1"/>
  <c r="K7" i="72"/>
  <c r="X7" i="72"/>
  <c r="AI7" i="72" s="1"/>
  <c r="L8" i="72"/>
  <c r="V8" i="72" s="1"/>
  <c r="S9" i="72"/>
  <c r="V9" i="72" s="1"/>
  <c r="S10" i="72"/>
  <c r="V10" i="72" s="1"/>
  <c r="AF15" i="72"/>
  <c r="AI15" i="72" s="1"/>
  <c r="X8" i="72"/>
  <c r="AI8" i="72" s="1"/>
  <c r="E21" i="76"/>
  <c r="D22" i="76"/>
  <c r="U2" i="74"/>
  <c r="E21" i="75"/>
  <c r="D22" i="75"/>
  <c r="G21" i="76" l="1"/>
  <c r="V7" i="72"/>
  <c r="D23" i="77"/>
  <c r="E22" i="77"/>
  <c r="F22" i="77" s="1" a="1"/>
  <c r="F22" i="77" s="1"/>
  <c r="V2" i="77"/>
  <c r="V2" i="78"/>
  <c r="E22" i="75"/>
  <c r="D23" i="75"/>
  <c r="E22" i="76"/>
  <c r="D23" i="76"/>
  <c r="F20" i="73"/>
  <c r="E22" i="73"/>
  <c r="D23" i="73"/>
  <c r="E24" i="78"/>
  <c r="D25" i="78"/>
  <c r="F23" i="76"/>
  <c r="V2" i="74"/>
  <c r="U2" i="75"/>
  <c r="D23" i="74"/>
  <c r="E22" i="74"/>
  <c r="F22" i="74" s="1" a="1"/>
  <c r="F22" i="74" s="1"/>
  <c r="G22" i="76" l="1"/>
  <c r="G22" i="73"/>
  <c r="E25" i="78"/>
  <c r="D26" i="78"/>
  <c r="W2" i="77"/>
  <c r="D24" i="76"/>
  <c r="E23" i="76"/>
  <c r="W2" i="74"/>
  <c r="F24" i="76"/>
  <c r="E23" i="75"/>
  <c r="D24" i="75"/>
  <c r="D24" i="73"/>
  <c r="E23" i="73"/>
  <c r="G23" i="73" s="1"/>
  <c r="W2" i="78"/>
  <c r="E23" i="74"/>
  <c r="F23" i="74" s="1" a="1"/>
  <c r="F23" i="74" s="1"/>
  <c r="D24" i="74"/>
  <c r="D24" i="77"/>
  <c r="E23" i="77"/>
  <c r="F23" i="77" s="1" a="1"/>
  <c r="F23" i="77" s="1"/>
  <c r="V2" i="75"/>
  <c r="F21" i="73"/>
  <c r="G23" i="76" l="1"/>
  <c r="E24" i="74"/>
  <c r="F24" i="74" s="1" a="1"/>
  <c r="F24" i="74" s="1"/>
  <c r="D25" i="74"/>
  <c r="F22" i="73"/>
  <c r="E24" i="73"/>
  <c r="G24" i="73" s="1"/>
  <c r="D25" i="73"/>
  <c r="F25" i="76"/>
  <c r="X2" i="74"/>
  <c r="D27" i="78"/>
  <c r="E26" i="78"/>
  <c r="X2" i="77"/>
  <c r="D25" i="77"/>
  <c r="E24" i="77"/>
  <c r="F24" i="77" s="1" a="1"/>
  <c r="F24" i="77" s="1"/>
  <c r="E24" i="75"/>
  <c r="D25" i="75"/>
  <c r="E24" i="76"/>
  <c r="D25" i="76"/>
  <c r="W2" i="75"/>
  <c r="X2" i="78"/>
  <c r="G24" i="76" l="1"/>
  <c r="X2" i="75"/>
  <c r="Y2" i="74"/>
  <c r="Y2" i="78"/>
  <c r="F26" i="76"/>
  <c r="D26" i="76"/>
  <c r="E25" i="76"/>
  <c r="Y2" i="77"/>
  <c r="E25" i="73"/>
  <c r="D26" i="73"/>
  <c r="E25" i="74"/>
  <c r="F25" i="74" s="1" a="1"/>
  <c r="F25" i="74" s="1"/>
  <c r="D26" i="74"/>
  <c r="E25" i="75"/>
  <c r="D26" i="75"/>
  <c r="E25" i="77"/>
  <c r="F25" i="77" s="1" a="1"/>
  <c r="F25" i="77" s="1"/>
  <c r="D26" i="77"/>
  <c r="D28" i="78"/>
  <c r="E27" i="78"/>
  <c r="F23" i="73"/>
  <c r="G25" i="73" l="1"/>
  <c r="G25" i="76"/>
  <c r="AF11" i="72"/>
  <c r="AI11" i="72" s="1"/>
  <c r="F27" i="76"/>
  <c r="E26" i="77"/>
  <c r="F26" i="77" s="1" a="1"/>
  <c r="F26" i="77" s="1"/>
  <c r="D27" i="77"/>
  <c r="D27" i="76"/>
  <c r="E26" i="76"/>
  <c r="D27" i="73"/>
  <c r="E26" i="73"/>
  <c r="Z2" i="77"/>
  <c r="E26" i="75"/>
  <c r="D27" i="75"/>
  <c r="Z2" i="74"/>
  <c r="E26" i="74"/>
  <c r="F26" i="74" s="1" a="1"/>
  <c r="F26" i="74" s="1"/>
  <c r="D27" i="74"/>
  <c r="D29" i="78"/>
  <c r="E28" i="78"/>
  <c r="Z2" i="78"/>
  <c r="F24" i="73"/>
  <c r="Y2" i="75"/>
  <c r="G26" i="76" l="1"/>
  <c r="G26" i="73"/>
  <c r="S11" i="72"/>
  <c r="V11" i="72" s="1"/>
  <c r="AF12" i="72"/>
  <c r="AI12" i="72" s="1"/>
  <c r="S12" i="72"/>
  <c r="V12" i="72" s="1"/>
  <c r="E27" i="74"/>
  <c r="F27" i="74" s="1" a="1"/>
  <c r="F27" i="74" s="1"/>
  <c r="D28" i="74"/>
  <c r="AA2" i="77"/>
  <c r="AA2" i="78"/>
  <c r="E27" i="73"/>
  <c r="G27" i="73" s="1"/>
  <c r="D28" i="73"/>
  <c r="D28" i="77"/>
  <c r="E27" i="77"/>
  <c r="F27" i="77" s="1" a="1"/>
  <c r="F27" i="77" s="1"/>
  <c r="E27" i="75"/>
  <c r="D28" i="75"/>
  <c r="F28" i="76"/>
  <c r="Z2" i="75"/>
  <c r="AA2" i="74"/>
  <c r="E27" i="76"/>
  <c r="D28" i="76"/>
  <c r="F25" i="73"/>
  <c r="E29" i="78"/>
  <c r="D30" i="78"/>
  <c r="G27" i="76" l="1"/>
  <c r="AB2" i="77"/>
  <c r="D29" i="73"/>
  <c r="E28" i="73"/>
  <c r="D29" i="76"/>
  <c r="E28" i="76"/>
  <c r="G28" i="76" s="1"/>
  <c r="AB2" i="74"/>
  <c r="AA2" i="75"/>
  <c r="D29" i="74"/>
  <c r="E28" i="74"/>
  <c r="F28" i="74" s="1" a="1"/>
  <c r="F28" i="74" s="1"/>
  <c r="E28" i="75"/>
  <c r="D29" i="75"/>
  <c r="AB2" i="78"/>
  <c r="D29" i="77"/>
  <c r="E28" i="77"/>
  <c r="F28" i="77" s="1" a="1"/>
  <c r="F28" i="77" s="1"/>
  <c r="D31" i="78"/>
  <c r="E30" i="78"/>
  <c r="F29" i="76"/>
  <c r="F26" i="73"/>
  <c r="T11" i="117" l="1"/>
  <c r="G5" i="117" a="1"/>
  <c r="G5" i="117" s="1"/>
  <c r="G4" i="117"/>
  <c r="G28" i="73"/>
  <c r="P11" i="75"/>
  <c r="AB11" i="78"/>
  <c r="P11" i="78"/>
  <c r="AB6" i="75" a="1"/>
  <c r="AB6" i="75" s="1"/>
  <c r="P6" i="75" a="1"/>
  <c r="P6" i="75" s="1"/>
  <c r="P6" i="78" a="1"/>
  <c r="P6" i="78" s="1"/>
  <c r="AB6" i="78" a="1"/>
  <c r="AB6" i="78" s="1"/>
  <c r="T6" i="75" a="1"/>
  <c r="T6" i="75" s="1"/>
  <c r="H6" i="75" a="1"/>
  <c r="H6" i="75" s="1"/>
  <c r="T6" i="78" a="1"/>
  <c r="T6" i="78" s="1"/>
  <c r="H6" i="78" a="1"/>
  <c r="H6" i="78" s="1"/>
  <c r="D30" i="77"/>
  <c r="E29" i="77"/>
  <c r="F29" i="77" s="1" a="1"/>
  <c r="F29" i="77" s="1"/>
  <c r="D32" i="78"/>
  <c r="E31" i="78"/>
  <c r="E29" i="75"/>
  <c r="D30" i="75"/>
  <c r="E29" i="76"/>
  <c r="D30" i="76"/>
  <c r="D30" i="73"/>
  <c r="E29" i="73"/>
  <c r="F27" i="73"/>
  <c r="F30" i="76"/>
  <c r="D30" i="74"/>
  <c r="E29" i="74"/>
  <c r="F29" i="74" s="1" a="1"/>
  <c r="F29" i="74" s="1"/>
  <c r="AB2" i="75"/>
  <c r="AB11" i="75" s="1"/>
  <c r="T5" i="117" l="1" a="1"/>
  <c r="T5" i="117" s="1"/>
  <c r="Z15" i="65" s="1"/>
  <c r="H12" i="67" s="1"/>
  <c r="T4" i="117"/>
  <c r="G29" i="73"/>
  <c r="G29" i="76"/>
  <c r="F31" i="76"/>
  <c r="D31" i="74"/>
  <c r="E30" i="74"/>
  <c r="F30" i="74" s="1" a="1"/>
  <c r="F30" i="74" s="1"/>
  <c r="E30" i="75"/>
  <c r="D31" i="75"/>
  <c r="D31" i="77"/>
  <c r="E30" i="77"/>
  <c r="F30" i="77" s="1" a="1"/>
  <c r="F30" i="77" s="1"/>
  <c r="F28" i="73"/>
  <c r="E30" i="76"/>
  <c r="D31" i="76"/>
  <c r="E30" i="73"/>
  <c r="D31" i="73"/>
  <c r="D33" i="78"/>
  <c r="E32" i="78"/>
  <c r="M1140" i="79" l="1"/>
  <c r="O1133" i="79" a="1"/>
  <c r="O1133" i="79" s="1"/>
  <c r="G30" i="73"/>
  <c r="G30" i="76"/>
  <c r="D34" i="78"/>
  <c r="E33" i="78"/>
  <c r="E31" i="75"/>
  <c r="D32" i="75"/>
  <c r="F29" i="73"/>
  <c r="D32" i="76"/>
  <c r="E31" i="76"/>
  <c r="E31" i="74"/>
  <c r="F31" i="74" s="1" a="1"/>
  <c r="F31" i="74" s="1"/>
  <c r="D32" i="74"/>
  <c r="E31" i="77"/>
  <c r="F31" i="77" s="1" a="1"/>
  <c r="F31" i="77" s="1"/>
  <c r="D32" i="77"/>
  <c r="F32" i="76"/>
  <c r="D32" i="73"/>
  <c r="E31" i="73"/>
  <c r="G31" i="76" l="1"/>
  <c r="G31" i="73"/>
  <c r="X6" i="74" a="1"/>
  <c r="X6" i="74" s="1"/>
  <c r="L6" i="74" a="1"/>
  <c r="L6" i="74" s="1"/>
  <c r="X6" i="77" a="1"/>
  <c r="X6" i="77" s="1"/>
  <c r="L6" i="77" a="1"/>
  <c r="L6" i="77" s="1"/>
  <c r="N6" i="74" a="1"/>
  <c r="N6" i="74" s="1"/>
  <c r="Z6" i="74" a="1"/>
  <c r="Z6" i="74" s="1"/>
  <c r="Z6" i="77" a="1"/>
  <c r="Z6" i="77" s="1"/>
  <c r="N6" i="77" a="1"/>
  <c r="N6" i="77" s="1"/>
  <c r="W6" i="74" a="1"/>
  <c r="W6" i="74" s="1"/>
  <c r="K6" i="74" a="1"/>
  <c r="K6" i="74" s="1"/>
  <c r="W6" i="77" a="1"/>
  <c r="W6" i="77" s="1"/>
  <c r="K6" i="77" a="1"/>
  <c r="K6" i="77" s="1"/>
  <c r="M6" i="74" a="1"/>
  <c r="M6" i="74" s="1"/>
  <c r="Y6" i="74" a="1"/>
  <c r="Y6" i="74" s="1"/>
  <c r="M6" i="77" a="1"/>
  <c r="M6" i="77" s="1"/>
  <c r="Y6" i="77" a="1"/>
  <c r="Y6" i="77" s="1"/>
  <c r="S14" i="72"/>
  <c r="V14" i="72" s="1"/>
  <c r="AF13" i="72"/>
  <c r="AI13" i="72" s="1"/>
  <c r="S13" i="72"/>
  <c r="V13" i="72" s="1"/>
  <c r="AF14" i="72"/>
  <c r="AI14" i="72" s="1"/>
  <c r="D35" i="78"/>
  <c r="E34" i="78"/>
  <c r="E32" i="73"/>
  <c r="G32" i="73" s="1"/>
  <c r="D33" i="73"/>
  <c r="E32" i="76"/>
  <c r="D33" i="76"/>
  <c r="E32" i="75"/>
  <c r="D33" i="75"/>
  <c r="F33" i="76"/>
  <c r="D33" i="77"/>
  <c r="E32" i="77"/>
  <c r="F32" i="77" s="1" a="1"/>
  <c r="F32" i="77" s="1"/>
  <c r="F30" i="73"/>
  <c r="E32" i="74"/>
  <c r="F32" i="74" s="1" a="1"/>
  <c r="F32" i="74" s="1"/>
  <c r="D33" i="74"/>
  <c r="G32" i="76" l="1"/>
  <c r="I6" i="74" a="1"/>
  <c r="I6" i="74" s="1"/>
  <c r="U6" i="77" a="1"/>
  <c r="U6" i="77" s="1"/>
  <c r="U6" i="74" a="1"/>
  <c r="U6" i="74" s="1"/>
  <c r="I6" i="77" a="1"/>
  <c r="I6" i="77" s="1"/>
  <c r="J6" i="74" a="1"/>
  <c r="J6" i="74" s="1"/>
  <c r="V6" i="74" a="1"/>
  <c r="V6" i="74" s="1"/>
  <c r="V6" i="77" a="1"/>
  <c r="V6" i="77" s="1"/>
  <c r="J6" i="77" a="1"/>
  <c r="J6" i="77" s="1"/>
  <c r="U11" i="76" a="1"/>
  <c r="AC11" i="76" s="1"/>
  <c r="H11" i="73" a="1"/>
  <c r="U11" i="73" a="1"/>
  <c r="H11" i="76" a="1"/>
  <c r="M11" i="76" s="1"/>
  <c r="E33" i="73"/>
  <c r="D34" i="73"/>
  <c r="F34" i="76"/>
  <c r="E33" i="75"/>
  <c r="D34" i="75"/>
  <c r="D36" i="78"/>
  <c r="E35" i="78"/>
  <c r="D34" i="76"/>
  <c r="E33" i="76"/>
  <c r="D34" i="74"/>
  <c r="E33" i="74"/>
  <c r="F33" i="74" s="1" a="1"/>
  <c r="F33" i="74" s="1"/>
  <c r="D34" i="77"/>
  <c r="E33" i="77"/>
  <c r="F33" i="77" s="1" a="1"/>
  <c r="F33" i="77" s="1"/>
  <c r="F31" i="73"/>
  <c r="G33" i="73" l="1"/>
  <c r="G33" i="76"/>
  <c r="AA11" i="77"/>
  <c r="L11" i="77"/>
  <c r="AB11" i="76"/>
  <c r="AA11" i="76"/>
  <c r="Z11" i="76"/>
  <c r="X11" i="76"/>
  <c r="Y11" i="76"/>
  <c r="U11" i="76"/>
  <c r="AD11" i="76"/>
  <c r="AB12" i="78" s="1"/>
  <c r="V11" i="76"/>
  <c r="P11" i="76"/>
  <c r="W11" i="76"/>
  <c r="H11" i="76"/>
  <c r="I11" i="76"/>
  <c r="J11" i="76"/>
  <c r="AB11" i="73"/>
  <c r="U11" i="73"/>
  <c r="V11" i="73"/>
  <c r="AC11" i="73"/>
  <c r="AD11" i="73"/>
  <c r="X11" i="73"/>
  <c r="Z11" i="73"/>
  <c r="W11" i="73"/>
  <c r="AA11" i="73"/>
  <c r="Y11" i="73"/>
  <c r="K11" i="76"/>
  <c r="O11" i="73"/>
  <c r="H11" i="73"/>
  <c r="Q11" i="73"/>
  <c r="P11" i="73"/>
  <c r="N11" i="73"/>
  <c r="J11" i="73"/>
  <c r="M11" i="73"/>
  <c r="K11" i="73"/>
  <c r="L11" i="73"/>
  <c r="I11" i="73"/>
  <c r="N11" i="76"/>
  <c r="L11" i="76"/>
  <c r="Q11" i="76"/>
  <c r="P12" i="78" s="1"/>
  <c r="O11" i="76"/>
  <c r="E34" i="77"/>
  <c r="F34" i="77" s="1" a="1"/>
  <c r="F34" i="77" s="1"/>
  <c r="D35" i="77"/>
  <c r="E34" i="75"/>
  <c r="D35" i="75"/>
  <c r="F35" i="76"/>
  <c r="D37" i="78"/>
  <c r="E36" i="78"/>
  <c r="E34" i="74"/>
  <c r="F34" i="74" s="1" a="1"/>
  <c r="F34" i="74" s="1"/>
  <c r="D35" i="74"/>
  <c r="F32" i="73"/>
  <c r="D35" i="76"/>
  <c r="E34" i="76"/>
  <c r="D35" i="73"/>
  <c r="E34" i="73"/>
  <c r="S11" i="76" l="1"/>
  <c r="S11" i="73"/>
  <c r="AF11" i="73"/>
  <c r="AF11" i="76"/>
  <c r="AB12" i="75"/>
  <c r="P12" i="75"/>
  <c r="G34" i="73"/>
  <c r="G34" i="76"/>
  <c r="K11" i="74"/>
  <c r="AA11" i="74"/>
  <c r="O11" i="77"/>
  <c r="M11" i="74"/>
  <c r="U11" i="74"/>
  <c r="I11" i="77"/>
  <c r="W11" i="77"/>
  <c r="N11" i="74"/>
  <c r="Z11" i="77"/>
  <c r="K11" i="77"/>
  <c r="O11" i="74"/>
  <c r="X11" i="74"/>
  <c r="H11" i="78"/>
  <c r="H11" i="77"/>
  <c r="V11" i="77"/>
  <c r="N11" i="77"/>
  <c r="I11" i="74"/>
  <c r="Y11" i="74"/>
  <c r="Z11" i="74"/>
  <c r="S11" i="77"/>
  <c r="M11" i="77"/>
  <c r="V11" i="74"/>
  <c r="G11" i="77"/>
  <c r="X11" i="77"/>
  <c r="J11" i="74"/>
  <c r="J11" i="77"/>
  <c r="T11" i="75"/>
  <c r="T11" i="74"/>
  <c r="T11" i="78"/>
  <c r="T11" i="77"/>
  <c r="H11" i="75"/>
  <c r="H11" i="74"/>
  <c r="G11" i="74"/>
  <c r="U11" i="77"/>
  <c r="Y11" i="77"/>
  <c r="L11" i="74"/>
  <c r="W11" i="74"/>
  <c r="S11" i="74"/>
  <c r="AE11" i="76"/>
  <c r="U12" i="76" a="1"/>
  <c r="Z12" i="76" s="1"/>
  <c r="AE11" i="73"/>
  <c r="U12" i="73" a="1"/>
  <c r="H12" i="76" a="1"/>
  <c r="H12" i="76" s="1"/>
  <c r="G12" i="77" s="1"/>
  <c r="R11" i="76"/>
  <c r="R11" i="73"/>
  <c r="H12" i="73" a="1"/>
  <c r="D36" i="74"/>
  <c r="E35" i="74"/>
  <c r="F35" i="74" s="1" a="1"/>
  <c r="F35" i="74" s="1"/>
  <c r="E35" i="76"/>
  <c r="D36" i="76"/>
  <c r="D36" i="77"/>
  <c r="E35" i="77"/>
  <c r="F35" i="77" s="1" a="1"/>
  <c r="F35" i="77" s="1"/>
  <c r="F33" i="73"/>
  <c r="D38" i="78"/>
  <c r="E37" i="78"/>
  <c r="E35" i="75"/>
  <c r="D36" i="75"/>
  <c r="E35" i="73"/>
  <c r="D36" i="73"/>
  <c r="F36" i="76"/>
  <c r="G35" i="73" l="1"/>
  <c r="G35" i="76"/>
  <c r="X12" i="77"/>
  <c r="AC11" i="74"/>
  <c r="Q11" i="77"/>
  <c r="AC11" i="77"/>
  <c r="Q11" i="74"/>
  <c r="U12" i="76"/>
  <c r="AB12" i="76"/>
  <c r="Y12" i="76"/>
  <c r="X12" i="76"/>
  <c r="J12" i="76"/>
  <c r="W12" i="76"/>
  <c r="AC12" i="76"/>
  <c r="AD12" i="76"/>
  <c r="AB13" i="78" s="1"/>
  <c r="AA12" i="76"/>
  <c r="V12" i="76"/>
  <c r="K12" i="76"/>
  <c r="L12" i="76"/>
  <c r="M12" i="76"/>
  <c r="N12" i="76"/>
  <c r="O12" i="76"/>
  <c r="I12" i="76"/>
  <c r="H12" i="73"/>
  <c r="P12" i="73"/>
  <c r="J12" i="73"/>
  <c r="I12" i="73"/>
  <c r="O12" i="73"/>
  <c r="L12" i="73"/>
  <c r="K12" i="73"/>
  <c r="M12" i="73"/>
  <c r="Q12" i="73"/>
  <c r="N12" i="73"/>
  <c r="V12" i="73"/>
  <c r="AD12" i="73"/>
  <c r="W12" i="73"/>
  <c r="X12" i="73"/>
  <c r="AC12" i="73"/>
  <c r="AB12" i="73"/>
  <c r="Y12" i="73"/>
  <c r="AA12" i="73"/>
  <c r="U12" i="73"/>
  <c r="Z12" i="73"/>
  <c r="Q12" i="76"/>
  <c r="P13" i="78" s="1"/>
  <c r="P12" i="76"/>
  <c r="D37" i="77"/>
  <c r="E36" i="77"/>
  <c r="F36" i="77" s="1" a="1"/>
  <c r="F36" i="77" s="1"/>
  <c r="D37" i="73"/>
  <c r="E36" i="73"/>
  <c r="E36" i="75"/>
  <c r="D37" i="75"/>
  <c r="D37" i="76"/>
  <c r="E36" i="76"/>
  <c r="G36" i="76" s="1"/>
  <c r="D39" i="78"/>
  <c r="E38" i="78"/>
  <c r="F34" i="73"/>
  <c r="F37" i="76"/>
  <c r="D37" i="74"/>
  <c r="E36" i="74"/>
  <c r="F36" i="74" s="1" a="1"/>
  <c r="F36" i="74" s="1"/>
  <c r="AF12" i="73" l="1"/>
  <c r="S12" i="73"/>
  <c r="AF12" i="76"/>
  <c r="S12" i="76"/>
  <c r="AB13" i="75"/>
  <c r="P13" i="75"/>
  <c r="G36" i="73"/>
  <c r="L12" i="77"/>
  <c r="Z12" i="74"/>
  <c r="L12" i="74"/>
  <c r="H12" i="78"/>
  <c r="H12" i="77"/>
  <c r="T12" i="78"/>
  <c r="T12" i="77"/>
  <c r="Z12" i="77"/>
  <c r="AA12" i="74"/>
  <c r="J12" i="74"/>
  <c r="Y12" i="77"/>
  <c r="S12" i="77"/>
  <c r="S12" i="74"/>
  <c r="I12" i="74"/>
  <c r="I12" i="77"/>
  <c r="O12" i="77"/>
  <c r="V12" i="74"/>
  <c r="K12" i="74"/>
  <c r="U12" i="74"/>
  <c r="N12" i="74"/>
  <c r="N12" i="77"/>
  <c r="AA12" i="77"/>
  <c r="T12" i="75"/>
  <c r="T12" i="74"/>
  <c r="X12" i="74"/>
  <c r="H12" i="74"/>
  <c r="H12" i="75"/>
  <c r="M12" i="77"/>
  <c r="U12" i="77"/>
  <c r="Y12" i="74"/>
  <c r="M12" i="74"/>
  <c r="O12" i="74"/>
  <c r="K12" i="77"/>
  <c r="V12" i="77"/>
  <c r="W12" i="74"/>
  <c r="G12" i="74"/>
  <c r="J12" i="77"/>
  <c r="W12" i="77"/>
  <c r="U13" i="76" a="1"/>
  <c r="Y13" i="76" s="1"/>
  <c r="AE12" i="76"/>
  <c r="AE12" i="73"/>
  <c r="U13" i="73" a="1"/>
  <c r="H13" i="76" a="1"/>
  <c r="N13" i="76" s="1"/>
  <c r="H13" i="73" a="1"/>
  <c r="R12" i="73"/>
  <c r="R12" i="76"/>
  <c r="D38" i="77"/>
  <c r="E37" i="77"/>
  <c r="F37" i="77" s="1" a="1"/>
  <c r="F37" i="77" s="1"/>
  <c r="F35" i="73"/>
  <c r="D40" i="78"/>
  <c r="E39" i="78"/>
  <c r="E37" i="75"/>
  <c r="D38" i="75"/>
  <c r="D38" i="73"/>
  <c r="E37" i="73"/>
  <c r="F38" i="76"/>
  <c r="E37" i="76"/>
  <c r="D38" i="76"/>
  <c r="E37" i="74"/>
  <c r="F37" i="74" s="1" a="1"/>
  <c r="F37" i="74" s="1"/>
  <c r="D38" i="74"/>
  <c r="G37" i="73" l="1"/>
  <c r="G37" i="76"/>
  <c r="W13" i="77"/>
  <c r="M13" i="77"/>
  <c r="AC12" i="77"/>
  <c r="AC12" i="74"/>
  <c r="Q12" i="77"/>
  <c r="Q12" i="74"/>
  <c r="AC13" i="76"/>
  <c r="V13" i="76"/>
  <c r="W13" i="76"/>
  <c r="U13" i="76"/>
  <c r="AB13" i="76"/>
  <c r="AA13" i="76"/>
  <c r="AD13" i="76"/>
  <c r="AB14" i="78" s="1"/>
  <c r="Z13" i="76"/>
  <c r="X13" i="76"/>
  <c r="H13" i="76"/>
  <c r="K13" i="76"/>
  <c r="M13" i="76"/>
  <c r="P13" i="76"/>
  <c r="J13" i="76"/>
  <c r="O13" i="76"/>
  <c r="I13" i="76"/>
  <c r="Q13" i="76"/>
  <c r="P14" i="78" s="1"/>
  <c r="L13" i="76"/>
  <c r="AD13" i="73"/>
  <c r="Y13" i="73"/>
  <c r="U13" i="73"/>
  <c r="AC13" i="73"/>
  <c r="V13" i="73"/>
  <c r="X13" i="73"/>
  <c r="W13" i="73"/>
  <c r="AB13" i="73"/>
  <c r="Z13" i="73"/>
  <c r="AA13" i="73"/>
  <c r="P13" i="73"/>
  <c r="I13" i="73"/>
  <c r="H13" i="73"/>
  <c r="N13" i="73"/>
  <c r="Q13" i="73"/>
  <c r="K13" i="73"/>
  <c r="J13" i="73"/>
  <c r="M13" i="73"/>
  <c r="O13" i="73"/>
  <c r="L13" i="73"/>
  <c r="D39" i="77"/>
  <c r="E38" i="77"/>
  <c r="F38" i="77" s="1" a="1"/>
  <c r="F38" i="77" s="1"/>
  <c r="D39" i="74"/>
  <c r="E38" i="74"/>
  <c r="F38" i="74" s="1" a="1"/>
  <c r="F38" i="74" s="1"/>
  <c r="E38" i="75"/>
  <c r="D39" i="75"/>
  <c r="F39" i="76"/>
  <c r="E38" i="73"/>
  <c r="D39" i="73"/>
  <c r="F36" i="73"/>
  <c r="D41" i="78"/>
  <c r="E40" i="78"/>
  <c r="E38" i="76"/>
  <c r="G38" i="76" s="1"/>
  <c r="D39" i="76"/>
  <c r="AF13" i="73" l="1"/>
  <c r="AF13" i="76"/>
  <c r="S13" i="73"/>
  <c r="S13" i="76"/>
  <c r="AB14" i="75"/>
  <c r="P14" i="75"/>
  <c r="G38" i="73"/>
  <c r="M13" i="74"/>
  <c r="V13" i="74"/>
  <c r="H13" i="78"/>
  <c r="H13" i="77"/>
  <c r="X13" i="77"/>
  <c r="W13" i="74"/>
  <c r="I13" i="74"/>
  <c r="X13" i="74"/>
  <c r="U13" i="74"/>
  <c r="AA13" i="77"/>
  <c r="G13" i="74"/>
  <c r="T13" i="75"/>
  <c r="T13" i="74"/>
  <c r="N13" i="77"/>
  <c r="Y13" i="74"/>
  <c r="S13" i="77"/>
  <c r="K13" i="74"/>
  <c r="H13" i="75"/>
  <c r="H13" i="74"/>
  <c r="AA13" i="74"/>
  <c r="I13" i="77"/>
  <c r="Y13" i="77"/>
  <c r="V13" i="77"/>
  <c r="N13" i="74"/>
  <c r="O13" i="74"/>
  <c r="S13" i="74"/>
  <c r="O13" i="77"/>
  <c r="Z13" i="77"/>
  <c r="L13" i="74"/>
  <c r="L13" i="77"/>
  <c r="J13" i="77"/>
  <c r="U13" i="77"/>
  <c r="J13" i="74"/>
  <c r="Z13" i="74"/>
  <c r="K13" i="77"/>
  <c r="G13" i="77"/>
  <c r="T13" i="78"/>
  <c r="T13" i="77"/>
  <c r="U14" i="76" a="1"/>
  <c r="Y14" i="76" s="1"/>
  <c r="AE13" i="76"/>
  <c r="H14" i="76" a="1"/>
  <c r="J14" i="76" s="1"/>
  <c r="R13" i="76"/>
  <c r="R13" i="73"/>
  <c r="H14" i="73" a="1"/>
  <c r="U14" i="73" a="1"/>
  <c r="AE13" i="73"/>
  <c r="D42" i="78"/>
  <c r="E41" i="78"/>
  <c r="F37" i="73"/>
  <c r="D40" i="73"/>
  <c r="E39" i="73"/>
  <c r="E39" i="76"/>
  <c r="G39" i="76" s="1"/>
  <c r="D40" i="76"/>
  <c r="D40" i="74"/>
  <c r="E39" i="74"/>
  <c r="F39" i="74" s="1" a="1"/>
  <c r="F39" i="74" s="1"/>
  <c r="E39" i="77"/>
  <c r="F39" i="77" s="1" a="1"/>
  <c r="F39" i="77" s="1"/>
  <c r="D40" i="77"/>
  <c r="E39" i="75"/>
  <c r="D40" i="75"/>
  <c r="F40" i="76"/>
  <c r="G39" i="73" l="1"/>
  <c r="I14" i="77"/>
  <c r="W14" i="77"/>
  <c r="AC13" i="74"/>
  <c r="Q13" i="77"/>
  <c r="AC13" i="77"/>
  <c r="Q13" i="74"/>
  <c r="Z14" i="76"/>
  <c r="AB14" i="76"/>
  <c r="X14" i="76"/>
  <c r="W14" i="76"/>
  <c r="AA14" i="76"/>
  <c r="AD14" i="76"/>
  <c r="AB15" i="78" s="1"/>
  <c r="V14" i="76"/>
  <c r="U14" i="76"/>
  <c r="AC14" i="76"/>
  <c r="N14" i="76"/>
  <c r="P14" i="76"/>
  <c r="Q14" i="76"/>
  <c r="P15" i="78" s="1"/>
  <c r="M14" i="76"/>
  <c r="O14" i="76"/>
  <c r="I14" i="76"/>
  <c r="H14" i="76"/>
  <c r="K14" i="76"/>
  <c r="L14" i="76"/>
  <c r="H14" i="73"/>
  <c r="P14" i="73"/>
  <c r="I14" i="73"/>
  <c r="J14" i="73"/>
  <c r="O14" i="73"/>
  <c r="K14" i="73"/>
  <c r="Q14" i="73"/>
  <c r="L14" i="73"/>
  <c r="M14" i="73"/>
  <c r="N14" i="73"/>
  <c r="Y14" i="73"/>
  <c r="AA14" i="73"/>
  <c r="X14" i="73"/>
  <c r="AB14" i="73"/>
  <c r="Z14" i="73"/>
  <c r="U14" i="73"/>
  <c r="AC14" i="73"/>
  <c r="V14" i="73"/>
  <c r="AD14" i="73"/>
  <c r="W14" i="73"/>
  <c r="E40" i="75"/>
  <c r="D41" i="75"/>
  <c r="D41" i="74"/>
  <c r="E40" i="74"/>
  <c r="F40" i="74" s="1" a="1"/>
  <c r="F40" i="74" s="1"/>
  <c r="E40" i="76"/>
  <c r="D41" i="76"/>
  <c r="D43" i="78"/>
  <c r="E42" i="78"/>
  <c r="F38" i="73"/>
  <c r="F41" i="76"/>
  <c r="D41" i="77"/>
  <c r="E40" i="77"/>
  <c r="F40" i="77" s="1" a="1"/>
  <c r="F40" i="77" s="1"/>
  <c r="E40" i="73"/>
  <c r="G40" i="73" s="1"/>
  <c r="D41" i="73"/>
  <c r="AF14" i="73" l="1"/>
  <c r="AF14" i="76"/>
  <c r="S14" i="73"/>
  <c r="S14" i="76"/>
  <c r="P15" i="75"/>
  <c r="AB15" i="75"/>
  <c r="G40" i="76"/>
  <c r="Z14" i="74"/>
  <c r="J14" i="74"/>
  <c r="G14" i="77"/>
  <c r="S14" i="77"/>
  <c r="X14" i="74"/>
  <c r="J14" i="77"/>
  <c r="X14" i="77"/>
  <c r="V14" i="74"/>
  <c r="N14" i="74"/>
  <c r="H14" i="78"/>
  <c r="H14" i="77"/>
  <c r="T14" i="78"/>
  <c r="T14" i="77"/>
  <c r="W14" i="74"/>
  <c r="H14" i="75"/>
  <c r="H14" i="74"/>
  <c r="L14" i="77"/>
  <c r="Y14" i="77"/>
  <c r="U14" i="77"/>
  <c r="AA14" i="77"/>
  <c r="U14" i="74"/>
  <c r="Y14" i="74"/>
  <c r="I14" i="74"/>
  <c r="T14" i="75"/>
  <c r="T14" i="74"/>
  <c r="G14" i="74"/>
  <c r="O14" i="77"/>
  <c r="V14" i="77"/>
  <c r="N14" i="77"/>
  <c r="M14" i="74"/>
  <c r="O14" i="74"/>
  <c r="AA14" i="74"/>
  <c r="L14" i="74"/>
  <c r="S14" i="74"/>
  <c r="K14" i="74"/>
  <c r="K14" i="77"/>
  <c r="M14" i="77"/>
  <c r="Z14" i="77"/>
  <c r="AE14" i="76"/>
  <c r="U15" i="76" a="1"/>
  <c r="Z15" i="76" s="1"/>
  <c r="R14" i="76"/>
  <c r="H15" i="76" a="1"/>
  <c r="P15" i="76" s="1"/>
  <c r="R14" i="73"/>
  <c r="H15" i="73" a="1"/>
  <c r="AE14" i="73"/>
  <c r="U15" i="73" a="1"/>
  <c r="D44" i="78"/>
  <c r="E43" i="78"/>
  <c r="E41" i="75"/>
  <c r="D42" i="75"/>
  <c r="F42" i="76"/>
  <c r="E41" i="76"/>
  <c r="D42" i="76"/>
  <c r="F39" i="73"/>
  <c r="D42" i="74"/>
  <c r="E41" i="74"/>
  <c r="F41" i="74" s="1" a="1"/>
  <c r="F41" i="74" s="1"/>
  <c r="E41" i="73"/>
  <c r="D42" i="73"/>
  <c r="E41" i="77"/>
  <c r="F41" i="77" s="1" a="1"/>
  <c r="F41" i="77" s="1"/>
  <c r="D42" i="77"/>
  <c r="G41" i="76" l="1"/>
  <c r="G41" i="73"/>
  <c r="O15" i="77"/>
  <c r="X15" i="77"/>
  <c r="Q14" i="77"/>
  <c r="AC14" i="77"/>
  <c r="AC14" i="74"/>
  <c r="Q14" i="74"/>
  <c r="W15" i="76"/>
  <c r="AD15" i="76"/>
  <c r="AB16" i="78" s="1"/>
  <c r="X15" i="76"/>
  <c r="V15" i="76"/>
  <c r="AC15" i="76"/>
  <c r="Y15" i="76"/>
  <c r="H15" i="76"/>
  <c r="U15" i="76"/>
  <c r="AB15" i="76"/>
  <c r="AA15" i="76"/>
  <c r="L15" i="76"/>
  <c r="J15" i="76"/>
  <c r="N15" i="76"/>
  <c r="I15" i="76"/>
  <c r="O15" i="76"/>
  <c r="Q15" i="76"/>
  <c r="P16" i="78" s="1"/>
  <c r="K15" i="76"/>
  <c r="M15" i="76"/>
  <c r="U15" i="73"/>
  <c r="AD15" i="73"/>
  <c r="AC15" i="73"/>
  <c r="W15" i="73"/>
  <c r="AB15" i="73"/>
  <c r="V15" i="73"/>
  <c r="AA15" i="73"/>
  <c r="X15" i="73"/>
  <c r="Y15" i="73"/>
  <c r="Z15" i="73"/>
  <c r="N15" i="73"/>
  <c r="J15" i="73"/>
  <c r="H15" i="73"/>
  <c r="O15" i="73"/>
  <c r="I15" i="73"/>
  <c r="P15" i="73"/>
  <c r="M15" i="73"/>
  <c r="Q15" i="73"/>
  <c r="K15" i="73"/>
  <c r="L15" i="73"/>
  <c r="E42" i="77"/>
  <c r="F42" i="77" s="1" a="1"/>
  <c r="F42" i="77" s="1"/>
  <c r="D43" i="77"/>
  <c r="F40" i="73"/>
  <c r="D43" i="74"/>
  <c r="E42" i="74"/>
  <c r="F42" i="74" s="1" a="1"/>
  <c r="F42" i="74" s="1"/>
  <c r="E42" i="75"/>
  <c r="D43" i="75"/>
  <c r="D43" i="76"/>
  <c r="E42" i="76"/>
  <c r="D43" i="73"/>
  <c r="E42" i="73"/>
  <c r="G42" i="73" s="1"/>
  <c r="D45" i="78"/>
  <c r="E44" i="78"/>
  <c r="F43" i="76"/>
  <c r="AF15" i="73" l="1"/>
  <c r="S15" i="73"/>
  <c r="AF15" i="76"/>
  <c r="S15" i="76"/>
  <c r="P16" i="75"/>
  <c r="AB16" i="75"/>
  <c r="G42" i="76"/>
  <c r="G15" i="74"/>
  <c r="Z15" i="74"/>
  <c r="N15" i="77"/>
  <c r="G15" i="77"/>
  <c r="K15" i="74"/>
  <c r="I15" i="74"/>
  <c r="U15" i="74"/>
  <c r="H15" i="78"/>
  <c r="H15" i="77"/>
  <c r="W15" i="77"/>
  <c r="N15" i="74"/>
  <c r="T15" i="75"/>
  <c r="T15" i="74"/>
  <c r="M15" i="74"/>
  <c r="J15" i="74"/>
  <c r="AA15" i="74"/>
  <c r="M15" i="77"/>
  <c r="AA15" i="77"/>
  <c r="X15" i="74"/>
  <c r="I15" i="77"/>
  <c r="T15" i="78"/>
  <c r="T15" i="77"/>
  <c r="L15" i="74"/>
  <c r="W15" i="74"/>
  <c r="S15" i="74"/>
  <c r="K15" i="77"/>
  <c r="V15" i="77"/>
  <c r="S15" i="77"/>
  <c r="O15" i="74"/>
  <c r="V15" i="74"/>
  <c r="L15" i="77"/>
  <c r="Y15" i="77"/>
  <c r="H15" i="75"/>
  <c r="H15" i="74"/>
  <c r="Y15" i="74"/>
  <c r="J15" i="77"/>
  <c r="Z15" i="77"/>
  <c r="U15" i="77"/>
  <c r="AE15" i="76"/>
  <c r="U16" i="76" a="1"/>
  <c r="Z16" i="76" s="1"/>
  <c r="H16" i="76" a="1"/>
  <c r="Q16" i="76" s="1"/>
  <c r="P17" i="78" s="1"/>
  <c r="R15" i="76"/>
  <c r="H16" i="73" a="1"/>
  <c r="R15" i="73"/>
  <c r="AE15" i="73"/>
  <c r="U16" i="73" a="1"/>
  <c r="D44" i="76"/>
  <c r="E43" i="76"/>
  <c r="F41" i="73"/>
  <c r="E43" i="73"/>
  <c r="D44" i="73"/>
  <c r="E43" i="74"/>
  <c r="F43" i="74" s="1" a="1"/>
  <c r="F43" i="74" s="1"/>
  <c r="D44" i="74"/>
  <c r="E43" i="75"/>
  <c r="D44" i="75"/>
  <c r="E43" i="77"/>
  <c r="F43" i="77" s="1" a="1"/>
  <c r="F43" i="77" s="1"/>
  <c r="D44" i="77"/>
  <c r="F44" i="76"/>
  <c r="D46" i="78"/>
  <c r="E45" i="78"/>
  <c r="G43" i="73" l="1"/>
  <c r="G43" i="76"/>
  <c r="X16" i="77"/>
  <c r="AC15" i="77"/>
  <c r="Q15" i="77"/>
  <c r="AC15" i="74"/>
  <c r="Q15" i="74"/>
  <c r="V16" i="76"/>
  <c r="AB16" i="76"/>
  <c r="W16" i="76"/>
  <c r="AD16" i="76"/>
  <c r="AB17" i="78" s="1"/>
  <c r="Y16" i="76"/>
  <c r="AA16" i="76"/>
  <c r="X16" i="76"/>
  <c r="AC16" i="76"/>
  <c r="U16" i="76"/>
  <c r="O16" i="76"/>
  <c r="J16" i="76"/>
  <c r="K16" i="76"/>
  <c r="L16" i="76"/>
  <c r="P16" i="76"/>
  <c r="N16" i="76"/>
  <c r="M16" i="76"/>
  <c r="H16" i="76"/>
  <c r="I16" i="76"/>
  <c r="U16" i="73"/>
  <c r="AC16" i="73"/>
  <c r="W16" i="73"/>
  <c r="V16" i="73"/>
  <c r="Y16" i="73"/>
  <c r="AB16" i="73"/>
  <c r="X16" i="73"/>
  <c r="Z16" i="73"/>
  <c r="AD16" i="73"/>
  <c r="AA16" i="73"/>
  <c r="J16" i="73"/>
  <c r="Q16" i="73"/>
  <c r="K16" i="73"/>
  <c r="P16" i="73"/>
  <c r="M16" i="73"/>
  <c r="L16" i="73"/>
  <c r="N16" i="73"/>
  <c r="O16" i="73"/>
  <c r="H16" i="73"/>
  <c r="I16" i="73"/>
  <c r="F45" i="76"/>
  <c r="E44" i="74"/>
  <c r="F44" i="74" s="1" a="1"/>
  <c r="F44" i="74" s="1"/>
  <c r="D45" i="74"/>
  <c r="E44" i="76"/>
  <c r="D45" i="76"/>
  <c r="F42" i="73"/>
  <c r="D45" i="77"/>
  <c r="E44" i="77"/>
  <c r="F44" i="77" s="1" a="1"/>
  <c r="F44" i="77" s="1"/>
  <c r="D45" i="73"/>
  <c r="E44" i="73"/>
  <c r="D47" i="78"/>
  <c r="E46" i="78"/>
  <c r="E44" i="75"/>
  <c r="D45" i="75"/>
  <c r="S16" i="76" l="1"/>
  <c r="AF16" i="73"/>
  <c r="S16" i="73"/>
  <c r="AF16" i="76"/>
  <c r="AB17" i="75"/>
  <c r="P17" i="75"/>
  <c r="G44" i="73"/>
  <c r="G44" i="76"/>
  <c r="S16" i="74"/>
  <c r="I16" i="77"/>
  <c r="U16" i="77"/>
  <c r="M16" i="74"/>
  <c r="K16" i="74"/>
  <c r="X16" i="74"/>
  <c r="H16" i="78"/>
  <c r="H16" i="77"/>
  <c r="N16" i="77"/>
  <c r="Z16" i="77"/>
  <c r="L16" i="74"/>
  <c r="V16" i="74"/>
  <c r="G16" i="77"/>
  <c r="S16" i="77"/>
  <c r="T16" i="78"/>
  <c r="T16" i="77"/>
  <c r="N16" i="74"/>
  <c r="Y16" i="74"/>
  <c r="AA16" i="74"/>
  <c r="O16" i="74"/>
  <c r="Z16" i="74"/>
  <c r="L16" i="77"/>
  <c r="AA16" i="77"/>
  <c r="J16" i="74"/>
  <c r="W16" i="74"/>
  <c r="M16" i="77"/>
  <c r="V16" i="77"/>
  <c r="J16" i="77"/>
  <c r="H16" i="75"/>
  <c r="H16" i="74"/>
  <c r="T16" i="75"/>
  <c r="T16" i="74"/>
  <c r="O16" i="77"/>
  <c r="Y16" i="77"/>
  <c r="G16" i="74"/>
  <c r="I16" i="74"/>
  <c r="U16" i="74"/>
  <c r="K16" i="77"/>
  <c r="W16" i="77"/>
  <c r="U17" i="76" a="1"/>
  <c r="V17" i="76" s="1"/>
  <c r="T17" i="77" s="1"/>
  <c r="AE16" i="76"/>
  <c r="H17" i="76" a="1"/>
  <c r="K17" i="76" s="1"/>
  <c r="R16" i="76"/>
  <c r="R16" i="73"/>
  <c r="H17" i="73" a="1"/>
  <c r="U17" i="73" a="1"/>
  <c r="AE16" i="73"/>
  <c r="D46" i="76"/>
  <c r="E45" i="76"/>
  <c r="F46" i="76"/>
  <c r="D46" i="73"/>
  <c r="E45" i="73"/>
  <c r="D46" i="74"/>
  <c r="E45" i="74"/>
  <c r="F45" i="74" s="1" a="1"/>
  <c r="F45" i="74" s="1"/>
  <c r="E45" i="75"/>
  <c r="D46" i="75"/>
  <c r="D48" i="78"/>
  <c r="E47" i="78"/>
  <c r="E45" i="77"/>
  <c r="F45" i="77" s="1" a="1"/>
  <c r="F45" i="77" s="1"/>
  <c r="D46" i="77"/>
  <c r="F43" i="73"/>
  <c r="G45" i="73" l="1"/>
  <c r="G45" i="76"/>
  <c r="J17" i="77"/>
  <c r="T17" i="78"/>
  <c r="AC16" i="74"/>
  <c r="Q16" i="77"/>
  <c r="AC16" i="77"/>
  <c r="Q16" i="74"/>
  <c r="AB17" i="76"/>
  <c r="AC17" i="76"/>
  <c r="U17" i="76"/>
  <c r="Z17" i="76"/>
  <c r="Y17" i="76"/>
  <c r="AA17" i="76"/>
  <c r="X17" i="76"/>
  <c r="W17" i="76"/>
  <c r="AD17" i="76"/>
  <c r="AB18" i="78" s="1"/>
  <c r="N17" i="76"/>
  <c r="H17" i="76"/>
  <c r="P17" i="76"/>
  <c r="I17" i="76"/>
  <c r="L17" i="76"/>
  <c r="J17" i="76"/>
  <c r="M17" i="76"/>
  <c r="Q17" i="76"/>
  <c r="P18" i="78" s="1"/>
  <c r="O17" i="76"/>
  <c r="AC17" i="73"/>
  <c r="Y17" i="73"/>
  <c r="AA17" i="73"/>
  <c r="V17" i="73"/>
  <c r="AD17" i="73"/>
  <c r="W17" i="73"/>
  <c r="X17" i="73"/>
  <c r="AB17" i="73"/>
  <c r="Z17" i="73"/>
  <c r="U17" i="73"/>
  <c r="K17" i="73"/>
  <c r="J17" i="73"/>
  <c r="L17" i="73"/>
  <c r="P17" i="73"/>
  <c r="M17" i="73"/>
  <c r="N17" i="73"/>
  <c r="O17" i="73"/>
  <c r="I17" i="73"/>
  <c r="Q17" i="73"/>
  <c r="H17" i="73"/>
  <c r="D47" i="77"/>
  <c r="E46" i="77"/>
  <c r="F46" i="77" s="1" a="1"/>
  <c r="F46" i="77" s="1"/>
  <c r="E46" i="76"/>
  <c r="D47" i="76"/>
  <c r="E46" i="75"/>
  <c r="D47" i="75"/>
  <c r="D47" i="74"/>
  <c r="E46" i="74"/>
  <c r="F46" i="74" s="1" a="1"/>
  <c r="F46" i="74" s="1"/>
  <c r="E46" i="73"/>
  <c r="D47" i="73"/>
  <c r="F44" i="73"/>
  <c r="F47" i="76"/>
  <c r="D49" i="78"/>
  <c r="E48" i="78"/>
  <c r="AF17" i="73" l="1"/>
  <c r="AF17" i="76"/>
  <c r="S17" i="73"/>
  <c r="S17" i="76"/>
  <c r="P18" i="75"/>
  <c r="AB18" i="75"/>
  <c r="G46" i="76"/>
  <c r="G46" i="73"/>
  <c r="V17" i="74"/>
  <c r="U17" i="74"/>
  <c r="U17" i="77"/>
  <c r="I17" i="77"/>
  <c r="O17" i="74"/>
  <c r="K17" i="74"/>
  <c r="V17" i="77"/>
  <c r="G17" i="74"/>
  <c r="T17" i="75"/>
  <c r="T17" i="74"/>
  <c r="J17" i="74"/>
  <c r="W17" i="77"/>
  <c r="H17" i="75"/>
  <c r="H17" i="74"/>
  <c r="W17" i="74"/>
  <c r="O17" i="77"/>
  <c r="X17" i="77"/>
  <c r="I17" i="74"/>
  <c r="K17" i="77"/>
  <c r="H17" i="78"/>
  <c r="H17" i="77"/>
  <c r="N17" i="74"/>
  <c r="X17" i="74"/>
  <c r="AA17" i="74"/>
  <c r="G17" i="77"/>
  <c r="S17" i="77"/>
  <c r="L17" i="74"/>
  <c r="Z17" i="77"/>
  <c r="L17" i="77"/>
  <c r="Y17" i="77"/>
  <c r="Y17" i="74"/>
  <c r="S17" i="74"/>
  <c r="M17" i="74"/>
  <c r="Z17" i="74"/>
  <c r="N17" i="77"/>
  <c r="M17" i="77"/>
  <c r="AA17" i="77"/>
  <c r="U18" i="76" a="1"/>
  <c r="AC18" i="76" s="1"/>
  <c r="AE17" i="76"/>
  <c r="R17" i="76"/>
  <c r="H18" i="76" a="1"/>
  <c r="J18" i="76" s="1"/>
  <c r="R17" i="73"/>
  <c r="H18" i="73" a="1"/>
  <c r="AE17" i="73"/>
  <c r="U18" i="73" a="1"/>
  <c r="F45" i="73"/>
  <c r="F48" i="76"/>
  <c r="E47" i="75"/>
  <c r="D48" i="75"/>
  <c r="D48" i="73"/>
  <c r="E47" i="73"/>
  <c r="E47" i="77"/>
  <c r="F47" i="77" s="1" a="1"/>
  <c r="F47" i="77" s="1"/>
  <c r="D48" i="77"/>
  <c r="E47" i="76"/>
  <c r="D48" i="76"/>
  <c r="D48" i="74"/>
  <c r="E47" i="74"/>
  <c r="F47" i="74" s="1" a="1"/>
  <c r="F47" i="74" s="1"/>
  <c r="D50" i="78"/>
  <c r="E49" i="78"/>
  <c r="G47" i="73" l="1"/>
  <c r="G47" i="76"/>
  <c r="AA18" i="77"/>
  <c r="I18" i="77"/>
  <c r="Q17" i="77"/>
  <c r="AC17" i="74"/>
  <c r="AC17" i="77"/>
  <c r="Q17" i="74"/>
  <c r="K18" i="76"/>
  <c r="N18" i="76"/>
  <c r="AA18" i="76"/>
  <c r="Z18" i="76"/>
  <c r="H18" i="76"/>
  <c r="W18" i="76"/>
  <c r="AB18" i="76"/>
  <c r="U18" i="76"/>
  <c r="X18" i="76"/>
  <c r="M18" i="76"/>
  <c r="V18" i="76"/>
  <c r="Y18" i="76"/>
  <c r="AD18" i="76"/>
  <c r="AB19" i="78" s="1"/>
  <c r="P18" i="76"/>
  <c r="I18" i="76"/>
  <c r="L18" i="76"/>
  <c r="Q18" i="76"/>
  <c r="P19" i="78" s="1"/>
  <c r="O18" i="76"/>
  <c r="Z18" i="73"/>
  <c r="AD18" i="73"/>
  <c r="AA18" i="73"/>
  <c r="U18" i="73"/>
  <c r="X18" i="73"/>
  <c r="AC18" i="73"/>
  <c r="Y18" i="73"/>
  <c r="V18" i="73"/>
  <c r="W18" i="73"/>
  <c r="AB18" i="73"/>
  <c r="N18" i="73"/>
  <c r="K18" i="73"/>
  <c r="O18" i="73"/>
  <c r="M18" i="73"/>
  <c r="H18" i="73"/>
  <c r="I18" i="73"/>
  <c r="P18" i="73"/>
  <c r="Q18" i="73"/>
  <c r="J18" i="73"/>
  <c r="L18" i="73"/>
  <c r="E48" i="73"/>
  <c r="D49" i="73"/>
  <c r="D49" i="76"/>
  <c r="E48" i="76"/>
  <c r="D49" i="77"/>
  <c r="E48" i="77"/>
  <c r="F48" i="77" s="1" a="1"/>
  <c r="F48" i="77" s="1"/>
  <c r="D51" i="78"/>
  <c r="E50" i="78"/>
  <c r="F49" i="76"/>
  <c r="F46" i="73"/>
  <c r="D49" i="74"/>
  <c r="E48" i="74"/>
  <c r="F48" i="74" s="1" a="1"/>
  <c r="F48" i="74" s="1"/>
  <c r="E48" i="75"/>
  <c r="D49" i="75"/>
  <c r="AF18" i="73" l="1"/>
  <c r="S18" i="73"/>
  <c r="AF18" i="76"/>
  <c r="S18" i="76"/>
  <c r="P19" i="75"/>
  <c r="AB19" i="75"/>
  <c r="G48" i="73"/>
  <c r="G48" i="76"/>
  <c r="N18" i="77"/>
  <c r="V18" i="77"/>
  <c r="J18" i="77"/>
  <c r="H18" i="75"/>
  <c r="H18" i="74"/>
  <c r="M18" i="77"/>
  <c r="L18" i="74"/>
  <c r="S18" i="77"/>
  <c r="G18" i="74"/>
  <c r="W18" i="74"/>
  <c r="AA18" i="74"/>
  <c r="K18" i="77"/>
  <c r="N18" i="74"/>
  <c r="V18" i="74"/>
  <c r="H18" i="78"/>
  <c r="H18" i="77"/>
  <c r="Z18" i="77"/>
  <c r="T18" i="75"/>
  <c r="T18" i="74"/>
  <c r="L18" i="77"/>
  <c r="K18" i="74"/>
  <c r="J18" i="74"/>
  <c r="S18" i="74"/>
  <c r="O18" i="77"/>
  <c r="U18" i="77"/>
  <c r="I18" i="74"/>
  <c r="M18" i="74"/>
  <c r="Y18" i="74"/>
  <c r="G18" i="77"/>
  <c r="W18" i="77"/>
  <c r="X18" i="77"/>
  <c r="Z18" i="74"/>
  <c r="O18" i="74"/>
  <c r="U18" i="74"/>
  <c r="X18" i="74"/>
  <c r="T18" i="78"/>
  <c r="T18" i="77"/>
  <c r="Y18" i="77"/>
  <c r="U19" i="76" a="1"/>
  <c r="AD19" i="76" s="1"/>
  <c r="AB20" i="78" s="1"/>
  <c r="AE18" i="76"/>
  <c r="R18" i="76"/>
  <c r="H19" i="76" a="1"/>
  <c r="P19" i="76" s="1"/>
  <c r="H19" i="73" a="1"/>
  <c r="R18" i="73"/>
  <c r="AE18" i="73"/>
  <c r="U19" i="73" a="1"/>
  <c r="F50" i="76"/>
  <c r="E49" i="75"/>
  <c r="D50" i="75"/>
  <c r="E49" i="73"/>
  <c r="D50" i="73"/>
  <c r="D50" i="74"/>
  <c r="E49" i="74"/>
  <c r="F49" i="74" s="1" a="1"/>
  <c r="F49" i="74" s="1"/>
  <c r="D50" i="77"/>
  <c r="E49" i="77"/>
  <c r="F49" i="77" s="1" a="1"/>
  <c r="F49" i="77" s="1"/>
  <c r="E49" i="76"/>
  <c r="D50" i="76"/>
  <c r="D52" i="78"/>
  <c r="E51" i="78"/>
  <c r="F47" i="73"/>
  <c r="G49" i="73" l="1"/>
  <c r="G49" i="76"/>
  <c r="O19" i="77"/>
  <c r="Q18" i="77"/>
  <c r="AC18" i="77"/>
  <c r="AC18" i="74"/>
  <c r="Q18" i="74"/>
  <c r="AC19" i="76"/>
  <c r="U19" i="76"/>
  <c r="Z19" i="76"/>
  <c r="AB19" i="76"/>
  <c r="Y19" i="76"/>
  <c r="AA19" i="76"/>
  <c r="V19" i="76"/>
  <c r="X19" i="76"/>
  <c r="W19" i="76"/>
  <c r="Q19" i="76"/>
  <c r="P20" i="78" s="1"/>
  <c r="H19" i="76"/>
  <c r="I19" i="76"/>
  <c r="N19" i="76"/>
  <c r="M19" i="76"/>
  <c r="J19" i="76"/>
  <c r="K19" i="76"/>
  <c r="O19" i="76"/>
  <c r="L19" i="76"/>
  <c r="H19" i="73"/>
  <c r="I19" i="73"/>
  <c r="P19" i="73"/>
  <c r="Q19" i="73"/>
  <c r="N19" i="73"/>
  <c r="J19" i="73"/>
  <c r="K19" i="73"/>
  <c r="O19" i="73"/>
  <c r="L19" i="73"/>
  <c r="M19" i="73"/>
  <c r="Z19" i="73"/>
  <c r="Y19" i="73"/>
  <c r="AA19" i="73"/>
  <c r="W19" i="73"/>
  <c r="U19" i="73"/>
  <c r="AB19" i="73"/>
  <c r="AD19" i="73"/>
  <c r="AC19" i="73"/>
  <c r="V19" i="73"/>
  <c r="X19" i="73"/>
  <c r="F51" i="76"/>
  <c r="E50" i="77"/>
  <c r="F50" i="77" s="1" a="1"/>
  <c r="F50" i="77" s="1"/>
  <c r="D51" i="77"/>
  <c r="D51" i="74"/>
  <c r="E50" i="74"/>
  <c r="F50" i="74" s="1" a="1"/>
  <c r="F50" i="74" s="1"/>
  <c r="D51" i="76"/>
  <c r="E50" i="76"/>
  <c r="E52" i="78"/>
  <c r="D53" i="78"/>
  <c r="D51" i="73"/>
  <c r="E50" i="73"/>
  <c r="F48" i="73"/>
  <c r="E50" i="75"/>
  <c r="D51" i="75"/>
  <c r="AF19" i="76" l="1"/>
  <c r="AF19" i="73"/>
  <c r="S19" i="73"/>
  <c r="S19" i="76"/>
  <c r="AB20" i="75"/>
  <c r="P20" i="75"/>
  <c r="G50" i="76"/>
  <c r="G50" i="73"/>
  <c r="K19" i="74"/>
  <c r="G19" i="74"/>
  <c r="G19" i="77"/>
  <c r="X19" i="77"/>
  <c r="S19" i="77"/>
  <c r="Z19" i="74"/>
  <c r="N19" i="74"/>
  <c r="K19" i="77"/>
  <c r="S19" i="74"/>
  <c r="J19" i="74"/>
  <c r="N19" i="77"/>
  <c r="U19" i="77"/>
  <c r="AA19" i="77"/>
  <c r="L19" i="74"/>
  <c r="H19" i="78"/>
  <c r="H19" i="77"/>
  <c r="I19" i="74"/>
  <c r="V19" i="77"/>
  <c r="Y19" i="74"/>
  <c r="M19" i="74"/>
  <c r="I19" i="77"/>
  <c r="T19" i="78"/>
  <c r="T19" i="77"/>
  <c r="L19" i="77"/>
  <c r="Y19" i="77"/>
  <c r="AA19" i="74"/>
  <c r="H19" i="75"/>
  <c r="H19" i="74"/>
  <c r="Z19" i="77"/>
  <c r="U19" i="74"/>
  <c r="J19" i="77"/>
  <c r="V19" i="74"/>
  <c r="W19" i="74"/>
  <c r="T19" i="75"/>
  <c r="T19" i="74"/>
  <c r="X19" i="74"/>
  <c r="O19" i="74"/>
  <c r="M19" i="77"/>
  <c r="W19" i="77"/>
  <c r="AE19" i="76"/>
  <c r="U20" i="76" a="1"/>
  <c r="AA20" i="76" s="1"/>
  <c r="H20" i="76" a="1"/>
  <c r="Q20" i="76" s="1"/>
  <c r="P21" i="78" s="1"/>
  <c r="R19" i="76"/>
  <c r="AE19" i="73"/>
  <c r="U20" i="73" a="1"/>
  <c r="R19" i="73"/>
  <c r="H20" i="73" a="1"/>
  <c r="F52" i="76"/>
  <c r="E51" i="75"/>
  <c r="D52" i="75"/>
  <c r="E51" i="73"/>
  <c r="D52" i="73"/>
  <c r="E53" i="78"/>
  <c r="D54" i="78"/>
  <c r="D52" i="76"/>
  <c r="E51" i="76"/>
  <c r="F49" i="73"/>
  <c r="D52" i="77"/>
  <c r="E51" i="77"/>
  <c r="F51" i="77" s="1" a="1"/>
  <c r="F51" i="77" s="1"/>
  <c r="E51" i="74"/>
  <c r="F51" i="74" s="1" a="1"/>
  <c r="F51" i="74" s="1"/>
  <c r="D52" i="74"/>
  <c r="G51" i="76" l="1"/>
  <c r="G51" i="73"/>
  <c r="Y20" i="77"/>
  <c r="AC19" i="77"/>
  <c r="Q19" i="77"/>
  <c r="AC19" i="74"/>
  <c r="Q19" i="74"/>
  <c r="W20" i="76"/>
  <c r="AC20" i="76"/>
  <c r="Z20" i="76"/>
  <c r="Y20" i="76"/>
  <c r="X20" i="76"/>
  <c r="U20" i="76"/>
  <c r="AD20" i="76"/>
  <c r="AB21" i="78" s="1"/>
  <c r="AB20" i="76"/>
  <c r="V20" i="76"/>
  <c r="J20" i="76"/>
  <c r="P20" i="76"/>
  <c r="I20" i="76"/>
  <c r="K20" i="76"/>
  <c r="O20" i="76"/>
  <c r="N20" i="76"/>
  <c r="M20" i="76"/>
  <c r="L20" i="76"/>
  <c r="H20" i="76"/>
  <c r="X20" i="73"/>
  <c r="Y20" i="73"/>
  <c r="AA20" i="73"/>
  <c r="U20" i="73"/>
  <c r="AB20" i="73"/>
  <c r="AC20" i="73"/>
  <c r="Z20" i="73"/>
  <c r="V20" i="73"/>
  <c r="AD20" i="73"/>
  <c r="W20" i="73"/>
  <c r="O20" i="73"/>
  <c r="H20" i="73"/>
  <c r="P20" i="73"/>
  <c r="J20" i="73"/>
  <c r="I20" i="73"/>
  <c r="L20" i="73"/>
  <c r="K20" i="73"/>
  <c r="M20" i="73"/>
  <c r="Q20" i="73"/>
  <c r="N20" i="73"/>
  <c r="F50" i="73"/>
  <c r="E52" i="75"/>
  <c r="D53" i="75"/>
  <c r="E54" i="78"/>
  <c r="D55" i="78"/>
  <c r="E52" i="76"/>
  <c r="D53" i="76"/>
  <c r="E52" i="74"/>
  <c r="F52" i="74" s="1" a="1"/>
  <c r="F52" i="74" s="1"/>
  <c r="D53" i="74"/>
  <c r="E52" i="77"/>
  <c r="F52" i="77" s="1" a="1"/>
  <c r="F52" i="77" s="1"/>
  <c r="D53" i="77"/>
  <c r="F53" i="76"/>
  <c r="D53" i="73"/>
  <c r="E52" i="73"/>
  <c r="AF20" i="73" l="1"/>
  <c r="S20" i="76"/>
  <c r="S20" i="73"/>
  <c r="AF20" i="76"/>
  <c r="P21" i="75"/>
  <c r="AB21" i="75"/>
  <c r="G52" i="76"/>
  <c r="G52" i="73"/>
  <c r="V20" i="74"/>
  <c r="O20" i="77"/>
  <c r="X20" i="77"/>
  <c r="L20" i="74"/>
  <c r="U20" i="74"/>
  <c r="W20" i="74"/>
  <c r="H20" i="78"/>
  <c r="H20" i="77"/>
  <c r="W20" i="77"/>
  <c r="J20" i="74"/>
  <c r="K20" i="74"/>
  <c r="T20" i="75"/>
  <c r="T20" i="74"/>
  <c r="G20" i="77"/>
  <c r="I20" i="77"/>
  <c r="AA20" i="77"/>
  <c r="H20" i="75"/>
  <c r="H20" i="74"/>
  <c r="X20" i="74"/>
  <c r="K20" i="77"/>
  <c r="T20" i="78"/>
  <c r="T20" i="77"/>
  <c r="U20" i="77"/>
  <c r="I20" i="74"/>
  <c r="AA20" i="74"/>
  <c r="L20" i="77"/>
  <c r="Z20" i="77"/>
  <c r="O20" i="74"/>
  <c r="Z20" i="74"/>
  <c r="M20" i="77"/>
  <c r="M20" i="74"/>
  <c r="G20" i="74"/>
  <c r="S20" i="74"/>
  <c r="N20" i="77"/>
  <c r="S20" i="77"/>
  <c r="N20" i="74"/>
  <c r="Y20" i="74"/>
  <c r="J20" i="77"/>
  <c r="V20" i="77"/>
  <c r="U21" i="76" a="1"/>
  <c r="AC21" i="76" s="1"/>
  <c r="AA21" i="77" s="1"/>
  <c r="AE20" i="76"/>
  <c r="R20" i="76"/>
  <c r="H21" i="76" a="1"/>
  <c r="K21" i="76" s="1"/>
  <c r="H21" i="73" a="1"/>
  <c r="R20" i="73"/>
  <c r="U21" i="73" a="1"/>
  <c r="AE20" i="73"/>
  <c r="D54" i="76"/>
  <c r="E53" i="76"/>
  <c r="F51" i="73"/>
  <c r="E53" i="74"/>
  <c r="F53" i="74" s="1" a="1"/>
  <c r="F53" i="74" s="1"/>
  <c r="D54" i="74"/>
  <c r="D54" i="77"/>
  <c r="E53" i="77"/>
  <c r="F53" i="77" s="1" a="1"/>
  <c r="F53" i="77" s="1"/>
  <c r="E55" i="78"/>
  <c r="D56" i="78"/>
  <c r="D54" i="73"/>
  <c r="E53" i="73"/>
  <c r="F54" i="76"/>
  <c r="E53" i="75"/>
  <c r="D54" i="75"/>
  <c r="G53" i="76" l="1"/>
  <c r="G53" i="73"/>
  <c r="J21" i="77"/>
  <c r="Q20" i="77"/>
  <c r="AC20" i="74"/>
  <c r="AC20" i="77"/>
  <c r="Q20" i="74"/>
  <c r="X21" i="76"/>
  <c r="AD21" i="76"/>
  <c r="AB22" i="78" s="1"/>
  <c r="Y21" i="76"/>
  <c r="U21" i="76"/>
  <c r="AB21" i="76"/>
  <c r="AA21" i="76"/>
  <c r="V21" i="76"/>
  <c r="Z21" i="76"/>
  <c r="W21" i="76"/>
  <c r="J21" i="76"/>
  <c r="L21" i="76"/>
  <c r="M21" i="76"/>
  <c r="N21" i="76"/>
  <c r="P21" i="76"/>
  <c r="Q21" i="76"/>
  <c r="P22" i="78" s="1"/>
  <c r="O21" i="76"/>
  <c r="I21" i="76"/>
  <c r="H21" i="76"/>
  <c r="AD21" i="73"/>
  <c r="U21" i="73"/>
  <c r="X21" i="73"/>
  <c r="W21" i="73"/>
  <c r="Y21" i="73"/>
  <c r="AC21" i="73"/>
  <c r="Z21" i="73"/>
  <c r="AA21" i="73"/>
  <c r="AB21" i="73"/>
  <c r="V21" i="73"/>
  <c r="P21" i="73"/>
  <c r="I21" i="73"/>
  <c r="Q21" i="73"/>
  <c r="J21" i="73"/>
  <c r="K21" i="73"/>
  <c r="N21" i="73"/>
  <c r="M21" i="73"/>
  <c r="H21" i="73"/>
  <c r="O21" i="73"/>
  <c r="L21" i="73"/>
  <c r="E54" i="73"/>
  <c r="D55" i="73"/>
  <c r="E54" i="76"/>
  <c r="D55" i="76"/>
  <c r="E56" i="78"/>
  <c r="D57" i="78"/>
  <c r="E54" i="75"/>
  <c r="D55" i="75"/>
  <c r="F52" i="73"/>
  <c r="F55" i="76"/>
  <c r="E54" i="77"/>
  <c r="F54" i="77" s="1" a="1"/>
  <c r="F54" i="77" s="1"/>
  <c r="D55" i="77"/>
  <c r="D55" i="74"/>
  <c r="E54" i="74"/>
  <c r="F54" i="74" s="1" a="1"/>
  <c r="F54" i="74" s="1"/>
  <c r="AF21" i="73" l="1"/>
  <c r="AF21" i="76"/>
  <c r="S21" i="73"/>
  <c r="S21" i="76"/>
  <c r="AB22" i="75"/>
  <c r="P22" i="75"/>
  <c r="G54" i="76"/>
  <c r="G54" i="73"/>
  <c r="J21" i="74"/>
  <c r="X21" i="74"/>
  <c r="H21" i="78"/>
  <c r="H21" i="77"/>
  <c r="U21" i="77"/>
  <c r="V21" i="77"/>
  <c r="Z21" i="74"/>
  <c r="G21" i="77"/>
  <c r="I21" i="74"/>
  <c r="AA21" i="74"/>
  <c r="N21" i="77"/>
  <c r="X21" i="77"/>
  <c r="M21" i="74"/>
  <c r="O21" i="77"/>
  <c r="L21" i="74"/>
  <c r="Y21" i="74"/>
  <c r="I21" i="77"/>
  <c r="T21" i="78"/>
  <c r="T21" i="77"/>
  <c r="K21" i="74"/>
  <c r="U21" i="74"/>
  <c r="N21" i="74"/>
  <c r="V21" i="74"/>
  <c r="M21" i="77"/>
  <c r="Z21" i="77"/>
  <c r="W21" i="74"/>
  <c r="H21" i="75"/>
  <c r="H21" i="74"/>
  <c r="Y21" i="77"/>
  <c r="O21" i="74"/>
  <c r="G21" i="74"/>
  <c r="T21" i="75"/>
  <c r="T21" i="74"/>
  <c r="S21" i="74"/>
  <c r="L21" i="77"/>
  <c r="S21" i="77"/>
  <c r="K21" i="77"/>
  <c r="W21" i="77"/>
  <c r="U22" i="76" a="1"/>
  <c r="W22" i="76" s="1"/>
  <c r="AE21" i="76"/>
  <c r="R21" i="76"/>
  <c r="H22" i="76" a="1"/>
  <c r="I22" i="76" s="1"/>
  <c r="R21" i="73"/>
  <c r="H22" i="73" a="1"/>
  <c r="U22" i="73" a="1"/>
  <c r="AE21" i="73"/>
  <c r="F56" i="76"/>
  <c r="E55" i="76"/>
  <c r="D56" i="76"/>
  <c r="E57" i="78"/>
  <c r="D58" i="78"/>
  <c r="D56" i="73"/>
  <c r="E55" i="73"/>
  <c r="D56" i="77"/>
  <c r="E55" i="77"/>
  <c r="F55" i="77" s="1" a="1"/>
  <c r="F55" i="77" s="1"/>
  <c r="E55" i="75"/>
  <c r="D56" i="75"/>
  <c r="D56" i="74"/>
  <c r="E55" i="74"/>
  <c r="F55" i="74" s="1" a="1"/>
  <c r="F55" i="74" s="1"/>
  <c r="F53" i="73"/>
  <c r="G55" i="73" l="1"/>
  <c r="G55" i="76"/>
  <c r="U22" i="77"/>
  <c r="H22" i="77"/>
  <c r="H22" i="78"/>
  <c r="Q21" i="77"/>
  <c r="AC21" i="74"/>
  <c r="AC21" i="77"/>
  <c r="Q21" i="74"/>
  <c r="V22" i="76"/>
  <c r="AC22" i="76"/>
  <c r="AD22" i="76"/>
  <c r="AB23" i="78" s="1"/>
  <c r="AA22" i="76"/>
  <c r="U22" i="76"/>
  <c r="Z22" i="76"/>
  <c r="AB22" i="76"/>
  <c r="Y22" i="76"/>
  <c r="X22" i="76"/>
  <c r="J22" i="76"/>
  <c r="L22" i="76"/>
  <c r="O22" i="76"/>
  <c r="P22" i="76"/>
  <c r="H22" i="76"/>
  <c r="M22" i="76"/>
  <c r="N22" i="76"/>
  <c r="K22" i="76"/>
  <c r="Q22" i="76"/>
  <c r="P23" i="78" s="1"/>
  <c r="K22" i="73"/>
  <c r="Q22" i="73"/>
  <c r="L22" i="73"/>
  <c r="M22" i="73"/>
  <c r="N22" i="73"/>
  <c r="H22" i="73"/>
  <c r="P22" i="73"/>
  <c r="I22" i="73"/>
  <c r="J22" i="73"/>
  <c r="O22" i="73"/>
  <c r="V22" i="73"/>
  <c r="AD22" i="73"/>
  <c r="X22" i="73"/>
  <c r="W22" i="73"/>
  <c r="Y22" i="73"/>
  <c r="AA22" i="73"/>
  <c r="AB22" i="73"/>
  <c r="Z22" i="73"/>
  <c r="U22" i="73"/>
  <c r="AC22" i="73"/>
  <c r="E58" i="78"/>
  <c r="D59" i="78"/>
  <c r="D57" i="76"/>
  <c r="E56" i="76"/>
  <c r="F54" i="73"/>
  <c r="D57" i="74"/>
  <c r="E56" i="74"/>
  <c r="F56" i="74" s="1" a="1"/>
  <c r="F56" i="74" s="1"/>
  <c r="E56" i="75"/>
  <c r="D57" i="75"/>
  <c r="F57" i="76"/>
  <c r="D57" i="77"/>
  <c r="E56" i="77"/>
  <c r="F56" i="77" s="1" a="1"/>
  <c r="F56" i="77" s="1"/>
  <c r="E56" i="73"/>
  <c r="D57" i="73"/>
  <c r="AF22" i="76" l="1"/>
  <c r="AF22" i="73"/>
  <c r="S22" i="73"/>
  <c r="S22" i="76"/>
  <c r="P23" i="75"/>
  <c r="AB23" i="75"/>
  <c r="G56" i="76"/>
  <c r="G56" i="73"/>
  <c r="U22" i="74"/>
  <c r="G22" i="74"/>
  <c r="M22" i="77"/>
  <c r="W22" i="77"/>
  <c r="O22" i="74"/>
  <c r="J22" i="77"/>
  <c r="T22" i="78"/>
  <c r="T22" i="77"/>
  <c r="V22" i="74"/>
  <c r="M22" i="74"/>
  <c r="L22" i="77"/>
  <c r="Z22" i="77"/>
  <c r="L22" i="74"/>
  <c r="G22" i="77"/>
  <c r="X22" i="77"/>
  <c r="W22" i="74"/>
  <c r="V22" i="77"/>
  <c r="AA22" i="74"/>
  <c r="S22" i="74"/>
  <c r="T22" i="75"/>
  <c r="T22" i="74"/>
  <c r="K22" i="74"/>
  <c r="O22" i="77"/>
  <c r="S22" i="77"/>
  <c r="X22" i="74"/>
  <c r="N22" i="74"/>
  <c r="N22" i="77"/>
  <c r="Y22" i="77"/>
  <c r="Z22" i="74"/>
  <c r="I22" i="74"/>
  <c r="J22" i="74"/>
  <c r="K22" i="77"/>
  <c r="Y22" i="74"/>
  <c r="H22" i="75"/>
  <c r="H22" i="74"/>
  <c r="I22" i="77"/>
  <c r="AA22" i="77"/>
  <c r="AE22" i="76"/>
  <c r="U23" i="76" a="1"/>
  <c r="X23" i="76" s="1"/>
  <c r="R22" i="76"/>
  <c r="H23" i="76" a="1"/>
  <c r="Q23" i="76" s="1"/>
  <c r="P24" i="78" s="1"/>
  <c r="AE22" i="73"/>
  <c r="U23" i="73" a="1"/>
  <c r="R22" i="73"/>
  <c r="H23" i="73" a="1"/>
  <c r="D60" i="78"/>
  <c r="E59" i="78"/>
  <c r="F58" i="76"/>
  <c r="D58" i="77"/>
  <c r="E57" i="77"/>
  <c r="F57" i="77" s="1" a="1"/>
  <c r="F57" i="77" s="1"/>
  <c r="D58" i="74"/>
  <c r="E57" i="74"/>
  <c r="F57" i="74" s="1" a="1"/>
  <c r="F57" i="74" s="1"/>
  <c r="E57" i="76"/>
  <c r="D58" i="76"/>
  <c r="E57" i="73"/>
  <c r="D58" i="73"/>
  <c r="E57" i="75"/>
  <c r="D58" i="75"/>
  <c r="F55" i="73"/>
  <c r="G57" i="76" l="1"/>
  <c r="G57" i="73"/>
  <c r="V23" i="77"/>
  <c r="AC22" i="77"/>
  <c r="Q22" i="77"/>
  <c r="AC22" i="74"/>
  <c r="Q22" i="74"/>
  <c r="W23" i="76"/>
  <c r="AB23" i="76"/>
  <c r="AA23" i="76"/>
  <c r="V23" i="76"/>
  <c r="AD23" i="76"/>
  <c r="AB24" i="78" s="1"/>
  <c r="AC23" i="76"/>
  <c r="Z23" i="76"/>
  <c r="Y23" i="76"/>
  <c r="U23" i="76"/>
  <c r="K23" i="76"/>
  <c r="N23" i="76"/>
  <c r="O23" i="76"/>
  <c r="P23" i="76"/>
  <c r="I23" i="76"/>
  <c r="J23" i="76"/>
  <c r="L23" i="76"/>
  <c r="M23" i="76"/>
  <c r="H23" i="76"/>
  <c r="N23" i="73"/>
  <c r="L23" i="73"/>
  <c r="O23" i="73"/>
  <c r="H23" i="73"/>
  <c r="P23" i="73"/>
  <c r="I23" i="73"/>
  <c r="Q23" i="73"/>
  <c r="K23" i="73"/>
  <c r="M23" i="73"/>
  <c r="J23" i="73"/>
  <c r="V23" i="73"/>
  <c r="AA23" i="73"/>
  <c r="AD23" i="73"/>
  <c r="AC23" i="73"/>
  <c r="W23" i="73"/>
  <c r="X23" i="73"/>
  <c r="Y23" i="73"/>
  <c r="Z23" i="73"/>
  <c r="AB23" i="73"/>
  <c r="U23" i="73"/>
  <c r="D59" i="74"/>
  <c r="E58" i="74"/>
  <c r="F58" i="74" s="1" a="1"/>
  <c r="F58" i="74" s="1"/>
  <c r="D59" i="77"/>
  <c r="E58" i="77"/>
  <c r="F58" i="77" s="1" a="1"/>
  <c r="F58" i="77" s="1"/>
  <c r="E58" i="75"/>
  <c r="D59" i="75"/>
  <c r="D59" i="76"/>
  <c r="E58" i="76"/>
  <c r="D59" i="73"/>
  <c r="E58" i="73"/>
  <c r="F59" i="76"/>
  <c r="D61" i="78"/>
  <c r="E60" i="78"/>
  <c r="F56" i="73"/>
  <c r="AF23" i="73" l="1"/>
  <c r="S23" i="73"/>
  <c r="AF23" i="76"/>
  <c r="S23" i="76"/>
  <c r="AB24" i="75"/>
  <c r="P24" i="75"/>
  <c r="G58" i="73"/>
  <c r="G58" i="76"/>
  <c r="N23" i="74"/>
  <c r="X23" i="74"/>
  <c r="I23" i="74"/>
  <c r="K23" i="74"/>
  <c r="N23" i="77"/>
  <c r="T23" i="78"/>
  <c r="T23" i="77"/>
  <c r="Z23" i="74"/>
  <c r="T23" i="75"/>
  <c r="T23" i="74"/>
  <c r="O23" i="77"/>
  <c r="W23" i="74"/>
  <c r="M23" i="74"/>
  <c r="M23" i="77"/>
  <c r="Y23" i="77"/>
  <c r="L23" i="74"/>
  <c r="V23" i="74"/>
  <c r="J23" i="74"/>
  <c r="G23" i="77"/>
  <c r="J23" i="77"/>
  <c r="Z23" i="77"/>
  <c r="L23" i="77"/>
  <c r="S23" i="77"/>
  <c r="U23" i="77"/>
  <c r="AA23" i="74"/>
  <c r="H23" i="75"/>
  <c r="H23" i="74"/>
  <c r="K23" i="77"/>
  <c r="W23" i="77"/>
  <c r="U23" i="74"/>
  <c r="O23" i="74"/>
  <c r="I23" i="77"/>
  <c r="X23" i="77"/>
  <c r="S23" i="74"/>
  <c r="Y23" i="74"/>
  <c r="G23" i="74"/>
  <c r="H23" i="78"/>
  <c r="H23" i="77"/>
  <c r="AA23" i="77"/>
  <c r="U24" i="76" a="1"/>
  <c r="AB24" i="76" s="1"/>
  <c r="AE23" i="76"/>
  <c r="R23" i="76"/>
  <c r="H24" i="76" a="1"/>
  <c r="K24" i="76" s="1"/>
  <c r="H24" i="73" a="1"/>
  <c r="R23" i="73"/>
  <c r="U24" i="73" a="1"/>
  <c r="AE23" i="73"/>
  <c r="E59" i="77"/>
  <c r="F59" i="77" s="1" a="1"/>
  <c r="F59" i="77" s="1"/>
  <c r="D60" i="77"/>
  <c r="F60" i="76"/>
  <c r="E59" i="73"/>
  <c r="D60" i="73"/>
  <c r="F57" i="73"/>
  <c r="E59" i="74"/>
  <c r="F59" i="74" s="1" a="1"/>
  <c r="F59" i="74" s="1"/>
  <c r="D60" i="74"/>
  <c r="D62" i="78"/>
  <c r="E61" i="78"/>
  <c r="D60" i="76"/>
  <c r="E59" i="76"/>
  <c r="E59" i="75"/>
  <c r="D60" i="75"/>
  <c r="G59" i="73" l="1"/>
  <c r="G59" i="76"/>
  <c r="J24" i="77"/>
  <c r="Z24" i="77"/>
  <c r="AC23" i="77"/>
  <c r="Q23" i="77"/>
  <c r="AC23" i="74"/>
  <c r="Q23" i="74"/>
  <c r="AA24" i="76"/>
  <c r="Y24" i="76"/>
  <c r="V24" i="76"/>
  <c r="W24" i="76"/>
  <c r="X24" i="76"/>
  <c r="Z24" i="76"/>
  <c r="AD24" i="76"/>
  <c r="AB25" i="78" s="1"/>
  <c r="AC24" i="76"/>
  <c r="U24" i="76"/>
  <c r="I24" i="76"/>
  <c r="Q24" i="76"/>
  <c r="P25" i="78" s="1"/>
  <c r="P24" i="76"/>
  <c r="N24" i="76"/>
  <c r="J24" i="76"/>
  <c r="M24" i="76"/>
  <c r="H24" i="76"/>
  <c r="O24" i="76"/>
  <c r="L24" i="76"/>
  <c r="AC24" i="73"/>
  <c r="W24" i="73"/>
  <c r="V24" i="73"/>
  <c r="Y24" i="73"/>
  <c r="X24" i="73"/>
  <c r="Z24" i="73"/>
  <c r="AD24" i="73"/>
  <c r="AA24" i="73"/>
  <c r="U24" i="73"/>
  <c r="AB24" i="73"/>
  <c r="P24" i="73"/>
  <c r="O24" i="73"/>
  <c r="I24" i="73"/>
  <c r="H24" i="73"/>
  <c r="Q24" i="73"/>
  <c r="J24" i="73"/>
  <c r="K24" i="73"/>
  <c r="L24" i="73"/>
  <c r="M24" i="73"/>
  <c r="N24" i="73"/>
  <c r="D63" i="78"/>
  <c r="E62" i="78"/>
  <c r="D61" i="73"/>
  <c r="E60" i="73"/>
  <c r="E60" i="77"/>
  <c r="F60" i="77" s="1" a="1"/>
  <c r="F60" i="77" s="1"/>
  <c r="D61" i="77"/>
  <c r="E60" i="75"/>
  <c r="D61" i="75"/>
  <c r="F58" i="73"/>
  <c r="E60" i="76"/>
  <c r="D61" i="76"/>
  <c r="E60" i="74"/>
  <c r="F60" i="74" s="1" a="1"/>
  <c r="F60" i="74" s="1"/>
  <c r="D61" i="74"/>
  <c r="F61" i="76"/>
  <c r="AF24" i="73" l="1"/>
  <c r="S24" i="73"/>
  <c r="AF24" i="76"/>
  <c r="S24" i="76"/>
  <c r="P25" i="75"/>
  <c r="AB25" i="75"/>
  <c r="G60" i="76"/>
  <c r="G60" i="73"/>
  <c r="S24" i="77"/>
  <c r="X24" i="74"/>
  <c r="G24" i="77"/>
  <c r="AA24" i="77"/>
  <c r="Y24" i="77"/>
  <c r="G24" i="74"/>
  <c r="H24" i="75"/>
  <c r="H24" i="74"/>
  <c r="V24" i="74"/>
  <c r="L24" i="77"/>
  <c r="M24" i="74"/>
  <c r="N24" i="74"/>
  <c r="W24" i="74"/>
  <c r="I24" i="77"/>
  <c r="X24" i="77"/>
  <c r="T24" i="75"/>
  <c r="T24" i="74"/>
  <c r="V24" i="77"/>
  <c r="N24" i="77"/>
  <c r="O24" i="74"/>
  <c r="K24" i="74"/>
  <c r="Z24" i="74"/>
  <c r="U24" i="74"/>
  <c r="O24" i="77"/>
  <c r="U24" i="77"/>
  <c r="T24" i="78"/>
  <c r="T24" i="77"/>
  <c r="L24" i="74"/>
  <c r="M24" i="77"/>
  <c r="J24" i="74"/>
  <c r="S24" i="74"/>
  <c r="AA24" i="74"/>
  <c r="I24" i="74"/>
  <c r="Y24" i="74"/>
  <c r="K24" i="77"/>
  <c r="H24" i="78"/>
  <c r="H24" i="77"/>
  <c r="W24" i="77"/>
  <c r="U25" i="76" a="1"/>
  <c r="X25" i="76" s="1"/>
  <c r="AE24" i="76"/>
  <c r="H25" i="76" a="1"/>
  <c r="M25" i="76" s="1"/>
  <c r="R24" i="76"/>
  <c r="R24" i="73"/>
  <c r="H25" i="73" a="1"/>
  <c r="U25" i="73" a="1"/>
  <c r="AE24" i="73"/>
  <c r="D62" i="73"/>
  <c r="E61" i="73"/>
  <c r="G61" i="73" s="1"/>
  <c r="F62" i="76"/>
  <c r="E61" i="76"/>
  <c r="D62" i="76"/>
  <c r="F59" i="73"/>
  <c r="D62" i="74"/>
  <c r="E61" i="74"/>
  <c r="F61" i="74" s="1" a="1"/>
  <c r="F61" i="74" s="1"/>
  <c r="E61" i="75"/>
  <c r="D62" i="75"/>
  <c r="D62" i="77"/>
  <c r="E61" i="77"/>
  <c r="F61" i="77" s="1" a="1"/>
  <c r="F61" i="77" s="1"/>
  <c r="D64" i="78"/>
  <c r="E63" i="78"/>
  <c r="G61" i="76" l="1"/>
  <c r="V25" i="77"/>
  <c r="L25" i="77"/>
  <c r="AC24" i="77"/>
  <c r="Q24" i="77"/>
  <c r="AC24" i="74"/>
  <c r="Q24" i="74"/>
  <c r="W25" i="76"/>
  <c r="AD25" i="76"/>
  <c r="AB26" i="78" s="1"/>
  <c r="AA25" i="76"/>
  <c r="AC25" i="76"/>
  <c r="V25" i="76"/>
  <c r="AB25" i="76"/>
  <c r="Z25" i="76"/>
  <c r="U25" i="76"/>
  <c r="Y25" i="76"/>
  <c r="K25" i="76"/>
  <c r="I25" i="76"/>
  <c r="J25" i="76"/>
  <c r="P25" i="76"/>
  <c r="N25" i="76"/>
  <c r="O25" i="76"/>
  <c r="Q25" i="76"/>
  <c r="P26" i="78" s="1"/>
  <c r="L25" i="76"/>
  <c r="H25" i="76"/>
  <c r="AC25" i="73"/>
  <c r="V25" i="73"/>
  <c r="AD25" i="73"/>
  <c r="W25" i="73"/>
  <c r="X25" i="73"/>
  <c r="Z25" i="73"/>
  <c r="U25" i="73"/>
  <c r="AB25" i="73"/>
  <c r="Y25" i="73"/>
  <c r="AA25" i="73"/>
  <c r="L25" i="73"/>
  <c r="M25" i="73"/>
  <c r="N25" i="73"/>
  <c r="O25" i="73"/>
  <c r="Q25" i="73"/>
  <c r="J25" i="73"/>
  <c r="K25" i="73"/>
  <c r="H25" i="73"/>
  <c r="I25" i="73"/>
  <c r="P25" i="73"/>
  <c r="D65" i="78"/>
  <c r="E64" i="78"/>
  <c r="F60" i="73"/>
  <c r="F63" i="76"/>
  <c r="D63" i="76"/>
  <c r="E62" i="76"/>
  <c r="D63" i="77"/>
  <c r="E62" i="77"/>
  <c r="F62" i="77" s="1" a="1"/>
  <c r="F62" i="77" s="1"/>
  <c r="D63" i="74"/>
  <c r="E62" i="74"/>
  <c r="F62" i="74" s="1" a="1"/>
  <c r="F62" i="74" s="1"/>
  <c r="E62" i="73"/>
  <c r="D63" i="73"/>
  <c r="E62" i="75"/>
  <c r="D63" i="75"/>
  <c r="AF25" i="73" l="1"/>
  <c r="S25" i="73"/>
  <c r="S25" i="76"/>
  <c r="AF25" i="76"/>
  <c r="AB26" i="75"/>
  <c r="P26" i="75"/>
  <c r="G62" i="73"/>
  <c r="G62" i="76"/>
  <c r="S25" i="77"/>
  <c r="N25" i="77"/>
  <c r="X25" i="77"/>
  <c r="K25" i="77"/>
  <c r="U25" i="77"/>
  <c r="N25" i="74"/>
  <c r="X25" i="74"/>
  <c r="M25" i="74"/>
  <c r="V25" i="74"/>
  <c r="O25" i="74"/>
  <c r="L25" i="74"/>
  <c r="U25" i="74"/>
  <c r="M25" i="77"/>
  <c r="Z25" i="77"/>
  <c r="W25" i="77"/>
  <c r="K25" i="74"/>
  <c r="O25" i="77"/>
  <c r="T25" i="78"/>
  <c r="T25" i="77"/>
  <c r="G25" i="74"/>
  <c r="Y25" i="74"/>
  <c r="T25" i="75"/>
  <c r="T25" i="74"/>
  <c r="I25" i="77"/>
  <c r="AA25" i="77"/>
  <c r="S25" i="74"/>
  <c r="H25" i="75"/>
  <c r="H25" i="74"/>
  <c r="J25" i="74"/>
  <c r="W25" i="74"/>
  <c r="AA25" i="74"/>
  <c r="H25" i="78"/>
  <c r="H25" i="77"/>
  <c r="Y25" i="77"/>
  <c r="I25" i="74"/>
  <c r="Z25" i="74"/>
  <c r="G25" i="77"/>
  <c r="J25" i="77"/>
  <c r="U26" i="76" a="1"/>
  <c r="Z26" i="76" s="1"/>
  <c r="X26" i="77" s="1"/>
  <c r="AE25" i="76"/>
  <c r="R25" i="76"/>
  <c r="H26" i="76" a="1"/>
  <c r="H26" i="76" s="1"/>
  <c r="G26" i="77" s="1"/>
  <c r="AE25" i="73"/>
  <c r="U26" i="73" a="1"/>
  <c r="H26" i="73" a="1"/>
  <c r="R25" i="73"/>
  <c r="E63" i="75"/>
  <c r="D64" i="75"/>
  <c r="D64" i="74"/>
  <c r="E63" i="74"/>
  <c r="F63" i="74" s="1" a="1"/>
  <c r="F63" i="74" s="1"/>
  <c r="D64" i="77"/>
  <c r="E63" i="77"/>
  <c r="F63" i="77" s="1" a="1"/>
  <c r="F63" i="77" s="1"/>
  <c r="F64" i="76"/>
  <c r="D66" i="78"/>
  <c r="E65" i="78"/>
  <c r="E63" i="76"/>
  <c r="D64" i="76"/>
  <c r="F61" i="73"/>
  <c r="E63" i="73"/>
  <c r="D64" i="73"/>
  <c r="G63" i="76" l="1"/>
  <c r="G63" i="73"/>
  <c r="AC25" i="77"/>
  <c r="Q25" i="77"/>
  <c r="AC25" i="74"/>
  <c r="Q25" i="74"/>
  <c r="AC26" i="76"/>
  <c r="AA26" i="76"/>
  <c r="Y26" i="76"/>
  <c r="U26" i="76"/>
  <c r="W26" i="76"/>
  <c r="X26" i="76"/>
  <c r="V26" i="76"/>
  <c r="AD26" i="76"/>
  <c r="AB27" i="78" s="1"/>
  <c r="AB26" i="76"/>
  <c r="J26" i="76"/>
  <c r="M26" i="76"/>
  <c r="L26" i="76"/>
  <c r="N26" i="76"/>
  <c r="O26" i="76"/>
  <c r="I26" i="76"/>
  <c r="K26" i="76"/>
  <c r="P26" i="76"/>
  <c r="Q26" i="76"/>
  <c r="P27" i="78" s="1"/>
  <c r="P26" i="73"/>
  <c r="I26" i="73"/>
  <c r="Q26" i="73"/>
  <c r="J26" i="73"/>
  <c r="L26" i="73"/>
  <c r="H26" i="73"/>
  <c r="N26" i="73"/>
  <c r="M26" i="73"/>
  <c r="O26" i="73"/>
  <c r="K26" i="73"/>
  <c r="U26" i="73"/>
  <c r="AC26" i="73"/>
  <c r="AA26" i="73"/>
  <c r="V26" i="73"/>
  <c r="W26" i="73"/>
  <c r="AB26" i="73"/>
  <c r="X26" i="73"/>
  <c r="AD26" i="73"/>
  <c r="Y26" i="73"/>
  <c r="Z26" i="73"/>
  <c r="D65" i="73"/>
  <c r="E64" i="73"/>
  <c r="E64" i="75"/>
  <c r="D65" i="75"/>
  <c r="F62" i="73"/>
  <c r="D65" i="74"/>
  <c r="E64" i="74"/>
  <c r="F64" i="74" s="1" a="1"/>
  <c r="F64" i="74" s="1"/>
  <c r="F65" i="76"/>
  <c r="D65" i="76"/>
  <c r="E64" i="76"/>
  <c r="D67" i="78"/>
  <c r="E66" i="78"/>
  <c r="D65" i="77"/>
  <c r="E64" i="77"/>
  <c r="F64" i="77" s="1" a="1"/>
  <c r="F64" i="77" s="1"/>
  <c r="AF26" i="73" l="1"/>
  <c r="S26" i="73"/>
  <c r="S26" i="76"/>
  <c r="AF26" i="76"/>
  <c r="P27" i="75"/>
  <c r="AB27" i="75"/>
  <c r="G64" i="76"/>
  <c r="G64" i="73"/>
  <c r="I26" i="77"/>
  <c r="Y26" i="77"/>
  <c r="U26" i="74"/>
  <c r="M26" i="74"/>
  <c r="O26" i="77"/>
  <c r="Z26" i="77"/>
  <c r="AA26" i="77"/>
  <c r="G26" i="74"/>
  <c r="Y26" i="74"/>
  <c r="K26" i="74"/>
  <c r="H26" i="78"/>
  <c r="H26" i="77"/>
  <c r="T26" i="78"/>
  <c r="T26" i="77"/>
  <c r="L26" i="74"/>
  <c r="T26" i="75"/>
  <c r="T26" i="74"/>
  <c r="X26" i="74"/>
  <c r="I26" i="74"/>
  <c r="V26" i="77"/>
  <c r="M26" i="77"/>
  <c r="U26" i="77"/>
  <c r="J26" i="74"/>
  <c r="H26" i="75"/>
  <c r="H26" i="74"/>
  <c r="K26" i="77"/>
  <c r="S26" i="77"/>
  <c r="Z26" i="74"/>
  <c r="J26" i="77"/>
  <c r="AA26" i="74"/>
  <c r="N26" i="77"/>
  <c r="W26" i="74"/>
  <c r="S26" i="74"/>
  <c r="V26" i="74"/>
  <c r="N26" i="74"/>
  <c r="O26" i="74"/>
  <c r="L26" i="77"/>
  <c r="W26" i="77"/>
  <c r="U27" i="76" a="1"/>
  <c r="U27" i="76" s="1"/>
  <c r="S27" i="77" s="1"/>
  <c r="AE26" i="76"/>
  <c r="H27" i="76" a="1"/>
  <c r="O27" i="76" s="1"/>
  <c r="R26" i="76"/>
  <c r="R26" i="73"/>
  <c r="H27" i="73" a="1"/>
  <c r="AE26" i="73"/>
  <c r="U27" i="73" a="1"/>
  <c r="F63" i="73"/>
  <c r="D68" i="78"/>
  <c r="E67" i="78"/>
  <c r="F66" i="76"/>
  <c r="E65" i="76"/>
  <c r="D66" i="76"/>
  <c r="E65" i="75"/>
  <c r="D66" i="75"/>
  <c r="E65" i="73"/>
  <c r="D66" i="73"/>
  <c r="D66" i="77"/>
  <c r="E65" i="77"/>
  <c r="F65" i="77" s="1" a="1"/>
  <c r="F65" i="77" s="1"/>
  <c r="D66" i="74"/>
  <c r="E65" i="74"/>
  <c r="F65" i="74" s="1" a="1"/>
  <c r="F65" i="74" s="1"/>
  <c r="G65" i="73" l="1"/>
  <c r="G65" i="76"/>
  <c r="N27" i="77"/>
  <c r="Q26" i="77"/>
  <c r="AC26" i="74"/>
  <c r="AC26" i="77"/>
  <c r="Q26" i="74"/>
  <c r="X27" i="76"/>
  <c r="Z27" i="76"/>
  <c r="AB27" i="76"/>
  <c r="AA27" i="76"/>
  <c r="W27" i="76"/>
  <c r="Y27" i="76"/>
  <c r="AD27" i="76"/>
  <c r="AB28" i="78" s="1"/>
  <c r="V27" i="76"/>
  <c r="AC27" i="76"/>
  <c r="L27" i="76"/>
  <c r="N27" i="76"/>
  <c r="J27" i="76"/>
  <c r="Q27" i="76"/>
  <c r="P28" i="78" s="1"/>
  <c r="K27" i="76"/>
  <c r="I27" i="76"/>
  <c r="M27" i="76"/>
  <c r="P27" i="76"/>
  <c r="H27" i="76"/>
  <c r="O27" i="73"/>
  <c r="P27" i="73"/>
  <c r="I27" i="73"/>
  <c r="H27" i="73"/>
  <c r="Q27" i="73"/>
  <c r="N27" i="73"/>
  <c r="J27" i="73"/>
  <c r="K27" i="73"/>
  <c r="M27" i="73"/>
  <c r="L27" i="73"/>
  <c r="Z27" i="73"/>
  <c r="W27" i="73"/>
  <c r="AA27" i="73"/>
  <c r="Y27" i="73"/>
  <c r="AB27" i="73"/>
  <c r="U27" i="73"/>
  <c r="AC27" i="73"/>
  <c r="V27" i="73"/>
  <c r="AD27" i="73"/>
  <c r="X27" i="73"/>
  <c r="F64" i="73"/>
  <c r="E66" i="76"/>
  <c r="D67" i="76"/>
  <c r="D67" i="77"/>
  <c r="E66" i="77"/>
  <c r="F66" i="77" s="1" a="1"/>
  <c r="F66" i="77" s="1"/>
  <c r="D67" i="74"/>
  <c r="E66" i="74"/>
  <c r="F66" i="74" s="1" a="1"/>
  <c r="F66" i="74" s="1"/>
  <c r="D69" i="78"/>
  <c r="E68" i="78"/>
  <c r="D67" i="73"/>
  <c r="E66" i="73"/>
  <c r="E66" i="75"/>
  <c r="D67" i="75"/>
  <c r="F67" i="76"/>
  <c r="AF27" i="73" l="1"/>
  <c r="S27" i="73"/>
  <c r="AF27" i="76"/>
  <c r="S27" i="76"/>
  <c r="AB28" i="75"/>
  <c r="P28" i="75"/>
  <c r="G66" i="76"/>
  <c r="G66" i="73"/>
  <c r="I27" i="74"/>
  <c r="AA27" i="77"/>
  <c r="W27" i="74"/>
  <c r="T27" i="78"/>
  <c r="T27" i="77"/>
  <c r="Z27" i="74"/>
  <c r="O27" i="77"/>
  <c r="V27" i="77"/>
  <c r="M27" i="74"/>
  <c r="J27" i="77"/>
  <c r="U27" i="77"/>
  <c r="L27" i="77"/>
  <c r="Y27" i="74"/>
  <c r="X27" i="74"/>
  <c r="K27" i="74"/>
  <c r="O27" i="74"/>
  <c r="I27" i="77"/>
  <c r="Y27" i="77"/>
  <c r="H27" i="78"/>
  <c r="H27" i="77"/>
  <c r="V27" i="74"/>
  <c r="U27" i="74"/>
  <c r="G27" i="74"/>
  <c r="W27" i="77"/>
  <c r="H27" i="75"/>
  <c r="H27" i="74"/>
  <c r="AA27" i="74"/>
  <c r="L27" i="74"/>
  <c r="N27" i="74"/>
  <c r="M27" i="77"/>
  <c r="Z27" i="77"/>
  <c r="T27" i="75"/>
  <c r="T27" i="74"/>
  <c r="S27" i="74"/>
  <c r="J27" i="74"/>
  <c r="G27" i="77"/>
  <c r="K27" i="77"/>
  <c r="X27" i="77"/>
  <c r="AE27" i="76"/>
  <c r="U28" i="76" a="1"/>
  <c r="Y28" i="76" s="1"/>
  <c r="H28" i="76" a="1"/>
  <c r="L28" i="76" s="1"/>
  <c r="R27" i="76"/>
  <c r="H28" i="73" a="1"/>
  <c r="R27" i="73"/>
  <c r="U28" i="73" a="1"/>
  <c r="AE27" i="73"/>
  <c r="D68" i="76"/>
  <c r="E67" i="76"/>
  <c r="G67" i="76" s="1"/>
  <c r="F65" i="73"/>
  <c r="E67" i="77"/>
  <c r="F67" i="77" s="1" a="1"/>
  <c r="F67" i="77" s="1"/>
  <c r="D68" i="77"/>
  <c r="F68" i="76"/>
  <c r="E67" i="75"/>
  <c r="D68" i="75"/>
  <c r="E67" i="74"/>
  <c r="F67" i="74" s="1" a="1"/>
  <c r="F67" i="74" s="1"/>
  <c r="D68" i="74"/>
  <c r="D70" i="78"/>
  <c r="E69" i="78"/>
  <c r="E67" i="73"/>
  <c r="D68" i="73"/>
  <c r="G67" i="73" l="1"/>
  <c r="W28" i="77"/>
  <c r="K28" i="77"/>
  <c r="Q27" i="77"/>
  <c r="AC27" i="74"/>
  <c r="AC27" i="77"/>
  <c r="Q27" i="74"/>
  <c r="U28" i="76"/>
  <c r="V28" i="76"/>
  <c r="AA28" i="76"/>
  <c r="Z28" i="76"/>
  <c r="AD28" i="76"/>
  <c r="AB29" i="78" s="1"/>
  <c r="X28" i="76"/>
  <c r="W28" i="76"/>
  <c r="AC28" i="76"/>
  <c r="AB28" i="76"/>
  <c r="H28" i="76"/>
  <c r="P28" i="76"/>
  <c r="Q28" i="76"/>
  <c r="P29" i="78" s="1"/>
  <c r="I28" i="76"/>
  <c r="K28" i="76"/>
  <c r="J28" i="76"/>
  <c r="M28" i="76"/>
  <c r="O28" i="76"/>
  <c r="N28" i="76"/>
  <c r="M28" i="73"/>
  <c r="I28" i="73"/>
  <c r="N28" i="73"/>
  <c r="P28" i="73"/>
  <c r="K28" i="73"/>
  <c r="L28" i="73"/>
  <c r="O28" i="73"/>
  <c r="H28" i="73"/>
  <c r="J28" i="73"/>
  <c r="Q28" i="73"/>
  <c r="Y28" i="73"/>
  <c r="AA28" i="73"/>
  <c r="V28" i="73"/>
  <c r="X28" i="73"/>
  <c r="U28" i="73"/>
  <c r="Z28" i="73"/>
  <c r="AC28" i="73"/>
  <c r="AB28" i="73"/>
  <c r="AD28" i="73"/>
  <c r="W28" i="73"/>
  <c r="D71" i="78"/>
  <c r="E70" i="78"/>
  <c r="E68" i="74"/>
  <c r="F68" i="74" s="1" a="1"/>
  <c r="F68" i="74" s="1"/>
  <c r="D69" i="74"/>
  <c r="F66" i="73"/>
  <c r="E68" i="75"/>
  <c r="D69" i="75"/>
  <c r="E68" i="76"/>
  <c r="D69" i="76"/>
  <c r="E68" i="73"/>
  <c r="D69" i="73"/>
  <c r="E68" i="77"/>
  <c r="F68" i="77" s="1" a="1"/>
  <c r="F68" i="77" s="1"/>
  <c r="D69" i="77"/>
  <c r="F69" i="76"/>
  <c r="AF28" i="73" l="1"/>
  <c r="S28" i="73"/>
  <c r="AF28" i="76"/>
  <c r="S28" i="76"/>
  <c r="AB29" i="75"/>
  <c r="P29" i="75"/>
  <c r="G68" i="76"/>
  <c r="G68" i="73"/>
  <c r="S28" i="74"/>
  <c r="S28" i="77"/>
  <c r="V28" i="74"/>
  <c r="L28" i="77"/>
  <c r="K28" i="74"/>
  <c r="AA28" i="77"/>
  <c r="T28" i="75"/>
  <c r="T28" i="74"/>
  <c r="J28" i="74"/>
  <c r="I28" i="77"/>
  <c r="U28" i="77"/>
  <c r="N28" i="77"/>
  <c r="Z28" i="77"/>
  <c r="U28" i="74"/>
  <c r="Y28" i="74"/>
  <c r="O28" i="74"/>
  <c r="J28" i="77"/>
  <c r="V28" i="77"/>
  <c r="H28" i="75"/>
  <c r="H28" i="74"/>
  <c r="X28" i="77"/>
  <c r="N28" i="74"/>
  <c r="AA28" i="74"/>
  <c r="I28" i="74"/>
  <c r="L28" i="74"/>
  <c r="O28" i="77"/>
  <c r="Y28" i="77"/>
  <c r="W28" i="74"/>
  <c r="M28" i="74"/>
  <c r="H28" i="78"/>
  <c r="H28" i="77"/>
  <c r="Z28" i="74"/>
  <c r="X28" i="74"/>
  <c r="G28" i="74"/>
  <c r="M28" i="77"/>
  <c r="G28" i="77"/>
  <c r="T28" i="78"/>
  <c r="T28" i="77"/>
  <c r="U29" i="76" a="1"/>
  <c r="V29" i="76" s="1"/>
  <c r="T29" i="78" s="1"/>
  <c r="AE28" i="76"/>
  <c r="H29" i="76" a="1"/>
  <c r="O29" i="76" s="1"/>
  <c r="R28" i="76"/>
  <c r="H29" i="73" a="1"/>
  <c r="R28" i="73"/>
  <c r="AE28" i="73"/>
  <c r="U29" i="73" a="1"/>
  <c r="E69" i="75"/>
  <c r="D70" i="75"/>
  <c r="D70" i="74"/>
  <c r="E69" i="74"/>
  <c r="F69" i="74" s="1" a="1"/>
  <c r="F69" i="74" s="1"/>
  <c r="D72" i="78"/>
  <c r="E71" i="78"/>
  <c r="F70" i="76"/>
  <c r="D70" i="77"/>
  <c r="E69" i="77"/>
  <c r="F69" i="77" s="1" a="1"/>
  <c r="F69" i="77" s="1"/>
  <c r="F67" i="73"/>
  <c r="E69" i="73"/>
  <c r="D70" i="73"/>
  <c r="D70" i="76"/>
  <c r="E69" i="76"/>
  <c r="G69" i="76" l="1"/>
  <c r="G69" i="73"/>
  <c r="T29" i="77"/>
  <c r="N29" i="77"/>
  <c r="AC28" i="74"/>
  <c r="Q28" i="77"/>
  <c r="AC28" i="77"/>
  <c r="Q28" i="74"/>
  <c r="U29" i="76"/>
  <c r="AB29" i="76"/>
  <c r="AA29" i="76"/>
  <c r="AD29" i="76"/>
  <c r="AB30" i="78" s="1"/>
  <c r="Z29" i="76"/>
  <c r="AC29" i="76"/>
  <c r="Y29" i="76"/>
  <c r="X29" i="76"/>
  <c r="W29" i="76"/>
  <c r="H29" i="76"/>
  <c r="P29" i="76"/>
  <c r="Q29" i="76"/>
  <c r="P30" i="78" s="1"/>
  <c r="I29" i="76"/>
  <c r="J29" i="76"/>
  <c r="K29" i="76"/>
  <c r="N29" i="76"/>
  <c r="L29" i="76"/>
  <c r="M29" i="76"/>
  <c r="I29" i="73"/>
  <c r="M29" i="73"/>
  <c r="Q29" i="73"/>
  <c r="J29" i="73"/>
  <c r="K29" i="73"/>
  <c r="P29" i="73"/>
  <c r="O29" i="73"/>
  <c r="L29" i="73"/>
  <c r="H29" i="73"/>
  <c r="N29" i="73"/>
  <c r="AD29" i="73"/>
  <c r="W29" i="73"/>
  <c r="X29" i="73"/>
  <c r="AC29" i="73"/>
  <c r="Y29" i="73"/>
  <c r="U29" i="73"/>
  <c r="Z29" i="73"/>
  <c r="AA29" i="73"/>
  <c r="AB29" i="73"/>
  <c r="V29" i="73"/>
  <c r="F71" i="76"/>
  <c r="D71" i="73"/>
  <c r="E70" i="73"/>
  <c r="D73" i="78"/>
  <c r="E72" i="78"/>
  <c r="D71" i="74"/>
  <c r="E70" i="74"/>
  <c r="F70" i="74" s="1" a="1"/>
  <c r="F70" i="74" s="1"/>
  <c r="E70" i="75"/>
  <c r="D71" i="75"/>
  <c r="D71" i="77"/>
  <c r="E70" i="77"/>
  <c r="F70" i="77" s="1" a="1"/>
  <c r="F70" i="77" s="1"/>
  <c r="D71" i="76"/>
  <c r="E70" i="76"/>
  <c r="F68" i="73"/>
  <c r="S29" i="73" l="1"/>
  <c r="AF29" i="73"/>
  <c r="AF29" i="76"/>
  <c r="S29" i="76"/>
  <c r="P30" i="75"/>
  <c r="AB30" i="75"/>
  <c r="G70" i="73"/>
  <c r="G70" i="76"/>
  <c r="U29" i="77"/>
  <c r="O29" i="74"/>
  <c r="V29" i="77"/>
  <c r="V29" i="74"/>
  <c r="W29" i="77"/>
  <c r="W29" i="74"/>
  <c r="N29" i="74"/>
  <c r="K29" i="77"/>
  <c r="S29" i="77"/>
  <c r="AA29" i="74"/>
  <c r="M29" i="77"/>
  <c r="J29" i="74"/>
  <c r="J29" i="77"/>
  <c r="T29" i="75"/>
  <c r="T29" i="74"/>
  <c r="U29" i="74"/>
  <c r="I29" i="74"/>
  <c r="I29" i="77"/>
  <c r="AA29" i="77"/>
  <c r="H29" i="78"/>
  <c r="H29" i="77"/>
  <c r="Z29" i="74"/>
  <c r="X29" i="74"/>
  <c r="G29" i="74"/>
  <c r="H29" i="75"/>
  <c r="H29" i="74"/>
  <c r="O29" i="77"/>
  <c r="Y29" i="77"/>
  <c r="X29" i="77"/>
  <c r="Y29" i="74"/>
  <c r="M29" i="74"/>
  <c r="L29" i="74"/>
  <c r="S29" i="74"/>
  <c r="K29" i="74"/>
  <c r="L29" i="77"/>
  <c r="G29" i="77"/>
  <c r="Z29" i="77"/>
  <c r="U30" i="76" a="1"/>
  <c r="W30" i="76" s="1"/>
  <c r="AE29" i="76"/>
  <c r="H30" i="76" a="1"/>
  <c r="N30" i="76" s="1"/>
  <c r="R29" i="76"/>
  <c r="U30" i="73" a="1"/>
  <c r="AE29" i="73"/>
  <c r="R29" i="73"/>
  <c r="H30" i="73" a="1"/>
  <c r="D74" i="78"/>
  <c r="E73" i="78"/>
  <c r="D72" i="77"/>
  <c r="E71" i="77"/>
  <c r="F71" i="77" s="1" a="1"/>
  <c r="F71" i="77" s="1"/>
  <c r="E71" i="73"/>
  <c r="D72" i="73"/>
  <c r="F72" i="76"/>
  <c r="E71" i="76"/>
  <c r="D72" i="76"/>
  <c r="E71" i="75"/>
  <c r="D72" i="75"/>
  <c r="F69" i="73"/>
  <c r="D72" i="74"/>
  <c r="E71" i="74"/>
  <c r="F71" i="74" s="1" a="1"/>
  <c r="F71" i="74" s="1"/>
  <c r="U30" i="77" l="1"/>
  <c r="G71" i="76"/>
  <c r="G71" i="73"/>
  <c r="M30" i="77"/>
  <c r="Q29" i="77"/>
  <c r="AC29" i="77"/>
  <c r="AC29" i="74"/>
  <c r="Q29" i="74"/>
  <c r="X30" i="76"/>
  <c r="AD30" i="76"/>
  <c r="AB31" i="78" s="1"/>
  <c r="AC30" i="76"/>
  <c r="Y30" i="76"/>
  <c r="V30" i="76"/>
  <c r="AA30" i="76"/>
  <c r="U30" i="76"/>
  <c r="Z30" i="76"/>
  <c r="AB30" i="76"/>
  <c r="H30" i="76"/>
  <c r="K30" i="76"/>
  <c r="O30" i="76"/>
  <c r="L30" i="76"/>
  <c r="P30" i="76"/>
  <c r="J30" i="76"/>
  <c r="M30" i="76"/>
  <c r="I30" i="76"/>
  <c r="Q30" i="76"/>
  <c r="P31" i="78" s="1"/>
  <c r="AC30" i="73"/>
  <c r="AB30" i="73"/>
  <c r="V30" i="73"/>
  <c r="AD30" i="73"/>
  <c r="U30" i="73"/>
  <c r="W30" i="73"/>
  <c r="Y30" i="73"/>
  <c r="AA30" i="73"/>
  <c r="Z30" i="73"/>
  <c r="X30" i="73"/>
  <c r="K30" i="73"/>
  <c r="Q30" i="73"/>
  <c r="I30" i="73"/>
  <c r="O30" i="73"/>
  <c r="L30" i="73"/>
  <c r="M30" i="73"/>
  <c r="J30" i="73"/>
  <c r="N30" i="73"/>
  <c r="H30" i="73"/>
  <c r="P30" i="73"/>
  <c r="D73" i="73"/>
  <c r="E72" i="73"/>
  <c r="D73" i="74"/>
  <c r="E72" i="74"/>
  <c r="F72" i="74" s="1" a="1"/>
  <c r="F72" i="74" s="1"/>
  <c r="D73" i="76"/>
  <c r="E72" i="76"/>
  <c r="E72" i="75"/>
  <c r="D73" i="75"/>
  <c r="F70" i="73"/>
  <c r="F73" i="76"/>
  <c r="D73" i="77"/>
  <c r="E72" i="77"/>
  <c r="F72" i="77" s="1" a="1"/>
  <c r="F72" i="77" s="1"/>
  <c r="D75" i="78"/>
  <c r="E74" i="78"/>
  <c r="AF30" i="73" l="1"/>
  <c r="AF30" i="76"/>
  <c r="S30" i="73"/>
  <c r="S30" i="76"/>
  <c r="P31" i="75"/>
  <c r="AB31" i="75"/>
  <c r="G72" i="73"/>
  <c r="G72" i="76"/>
  <c r="N30" i="74"/>
  <c r="U30" i="74"/>
  <c r="L30" i="77"/>
  <c r="X30" i="77"/>
  <c r="Z30" i="77"/>
  <c r="H30" i="75"/>
  <c r="H30" i="74"/>
  <c r="S30" i="74"/>
  <c r="I30" i="77"/>
  <c r="S30" i="77"/>
  <c r="O30" i="77"/>
  <c r="Y30" i="77"/>
  <c r="Y30" i="74"/>
  <c r="W30" i="74"/>
  <c r="V30" i="77"/>
  <c r="G30" i="74"/>
  <c r="J30" i="74"/>
  <c r="T30" i="75"/>
  <c r="T30" i="74"/>
  <c r="K30" i="77"/>
  <c r="T30" i="78"/>
  <c r="T30" i="77"/>
  <c r="V30" i="74"/>
  <c r="Z30" i="74"/>
  <c r="N30" i="77"/>
  <c r="W30" i="77"/>
  <c r="L30" i="74"/>
  <c r="K30" i="74"/>
  <c r="H30" i="78"/>
  <c r="H30" i="77"/>
  <c r="O30" i="74"/>
  <c r="M30" i="74"/>
  <c r="I30" i="74"/>
  <c r="X30" i="74"/>
  <c r="AA30" i="74"/>
  <c r="J30" i="77"/>
  <c r="AA30" i="77"/>
  <c r="G30" i="77"/>
  <c r="U31" i="76" a="1"/>
  <c r="AC31" i="76" s="1"/>
  <c r="AA31" i="77" s="1"/>
  <c r="AE30" i="76"/>
  <c r="R30" i="76"/>
  <c r="H31" i="76" a="1"/>
  <c r="J31" i="76" s="1"/>
  <c r="H31" i="73" a="1"/>
  <c r="R30" i="73"/>
  <c r="U31" i="73" a="1"/>
  <c r="AE30" i="73"/>
  <c r="F71" i="73"/>
  <c r="E73" i="75"/>
  <c r="D74" i="75"/>
  <c r="E73" i="76"/>
  <c r="D74" i="76"/>
  <c r="E73" i="73"/>
  <c r="D74" i="73"/>
  <c r="D74" i="77"/>
  <c r="E73" i="77"/>
  <c r="F73" i="77" s="1" a="1"/>
  <c r="F73" i="77" s="1"/>
  <c r="D76" i="78"/>
  <c r="E75" i="78"/>
  <c r="F74" i="76"/>
  <c r="D74" i="74"/>
  <c r="E73" i="74"/>
  <c r="F73" i="74" s="1" a="1"/>
  <c r="F73" i="74" s="1"/>
  <c r="G73" i="76" l="1"/>
  <c r="G73" i="73"/>
  <c r="I31" i="77"/>
  <c r="AC30" i="74"/>
  <c r="AC30" i="77"/>
  <c r="Q30" i="77"/>
  <c r="Q30" i="74"/>
  <c r="Y31" i="76"/>
  <c r="X31" i="76"/>
  <c r="AA31" i="76"/>
  <c r="AB31" i="76"/>
  <c r="Z31" i="76"/>
  <c r="U31" i="76"/>
  <c r="W31" i="76"/>
  <c r="V31" i="76"/>
  <c r="AD31" i="76"/>
  <c r="AB32" i="78" s="1"/>
  <c r="Q31" i="76"/>
  <c r="P32" i="78" s="1"/>
  <c r="P31" i="76"/>
  <c r="N31" i="76"/>
  <c r="K31" i="76"/>
  <c r="L31" i="76"/>
  <c r="M31" i="76"/>
  <c r="O31" i="76"/>
  <c r="H31" i="76"/>
  <c r="I31" i="76"/>
  <c r="N31" i="73"/>
  <c r="L31" i="73"/>
  <c r="M31" i="73"/>
  <c r="O31" i="73"/>
  <c r="H31" i="73"/>
  <c r="P31" i="73"/>
  <c r="I31" i="73"/>
  <c r="Q31" i="73"/>
  <c r="K31" i="73"/>
  <c r="J31" i="73"/>
  <c r="AC31" i="73"/>
  <c r="V31" i="73"/>
  <c r="U31" i="73"/>
  <c r="AD31" i="73"/>
  <c r="AA31" i="73"/>
  <c r="W31" i="73"/>
  <c r="X31" i="73"/>
  <c r="Y31" i="73"/>
  <c r="Z31" i="73"/>
  <c r="AB31" i="73"/>
  <c r="D75" i="74"/>
  <c r="E74" i="74"/>
  <c r="F74" i="74" s="1" a="1"/>
  <c r="F74" i="74" s="1"/>
  <c r="F72" i="73"/>
  <c r="D75" i="77"/>
  <c r="E74" i="77"/>
  <c r="F74" i="77" s="1" a="1"/>
  <c r="F74" i="77" s="1"/>
  <c r="F75" i="76"/>
  <c r="E74" i="75"/>
  <c r="D75" i="75"/>
  <c r="D77" i="78"/>
  <c r="E76" i="78"/>
  <c r="E74" i="73"/>
  <c r="D75" i="73"/>
  <c r="E74" i="76"/>
  <c r="D75" i="76"/>
  <c r="AF31" i="73" l="1"/>
  <c r="S31" i="76"/>
  <c r="S31" i="73"/>
  <c r="AF31" i="76"/>
  <c r="AB32" i="75"/>
  <c r="P32" i="75"/>
  <c r="G74" i="76"/>
  <c r="G74" i="73"/>
  <c r="W31" i="77"/>
  <c r="Y31" i="74"/>
  <c r="T31" i="78"/>
  <c r="T31" i="77"/>
  <c r="S31" i="74"/>
  <c r="G31" i="74"/>
  <c r="L31" i="77"/>
  <c r="U31" i="77"/>
  <c r="K31" i="77"/>
  <c r="H31" i="75"/>
  <c r="H31" i="74"/>
  <c r="S31" i="77"/>
  <c r="X31" i="74"/>
  <c r="AA31" i="74"/>
  <c r="L31" i="74"/>
  <c r="J31" i="77"/>
  <c r="X31" i="77"/>
  <c r="U31" i="74"/>
  <c r="H31" i="78"/>
  <c r="H31" i="77"/>
  <c r="G31" i="77"/>
  <c r="O31" i="74"/>
  <c r="Z31" i="74"/>
  <c r="T31" i="75"/>
  <c r="T31" i="74"/>
  <c r="N31" i="74"/>
  <c r="W31" i="74"/>
  <c r="I31" i="74"/>
  <c r="K31" i="74"/>
  <c r="M31" i="77"/>
  <c r="Z31" i="77"/>
  <c r="V31" i="77"/>
  <c r="N31" i="77"/>
  <c r="V31" i="74"/>
  <c r="J31" i="74"/>
  <c r="M31" i="74"/>
  <c r="O31" i="77"/>
  <c r="Y31" i="77"/>
  <c r="AE31" i="76"/>
  <c r="U32" i="76" a="1"/>
  <c r="AC32" i="76" s="1"/>
  <c r="H32" i="76" a="1"/>
  <c r="I32" i="76" s="1"/>
  <c r="R31" i="76"/>
  <c r="H32" i="73" a="1"/>
  <c r="R31" i="73"/>
  <c r="AE31" i="73"/>
  <c r="U32" i="73" a="1"/>
  <c r="E75" i="75"/>
  <c r="D76" i="75"/>
  <c r="F76" i="76"/>
  <c r="E75" i="76"/>
  <c r="D76" i="76"/>
  <c r="F73" i="73"/>
  <c r="E75" i="77"/>
  <c r="F75" i="77" s="1" a="1"/>
  <c r="F75" i="77" s="1"/>
  <c r="D76" i="77"/>
  <c r="D76" i="73"/>
  <c r="E75" i="73"/>
  <c r="D78" i="78"/>
  <c r="E77" i="78"/>
  <c r="E75" i="74"/>
  <c r="F75" i="74" s="1" a="1"/>
  <c r="F75" i="74" s="1"/>
  <c r="D76" i="74"/>
  <c r="G75" i="76" l="1"/>
  <c r="G75" i="73"/>
  <c r="AA32" i="77"/>
  <c r="H32" i="77"/>
  <c r="H32" i="78"/>
  <c r="AC31" i="77"/>
  <c r="Q31" i="77"/>
  <c r="AC31" i="74"/>
  <c r="Q31" i="74"/>
  <c r="Z32" i="76"/>
  <c r="U32" i="76"/>
  <c r="AB32" i="76"/>
  <c r="V32" i="76"/>
  <c r="AD32" i="76"/>
  <c r="AB33" i="78" s="1"/>
  <c r="W32" i="76"/>
  <c r="AA32" i="76"/>
  <c r="Y32" i="76"/>
  <c r="X32" i="76"/>
  <c r="K32" i="76"/>
  <c r="Q32" i="76"/>
  <c r="P33" i="78" s="1"/>
  <c r="L32" i="76"/>
  <c r="O32" i="76"/>
  <c r="N32" i="76"/>
  <c r="H32" i="76"/>
  <c r="J32" i="76"/>
  <c r="P32" i="76"/>
  <c r="M32" i="76"/>
  <c r="V32" i="73"/>
  <c r="Y32" i="73"/>
  <c r="X32" i="73"/>
  <c r="Z32" i="73"/>
  <c r="AD32" i="73"/>
  <c r="AA32" i="73"/>
  <c r="AB32" i="73"/>
  <c r="W32" i="73"/>
  <c r="U32" i="73"/>
  <c r="AC32" i="73"/>
  <c r="L32" i="73"/>
  <c r="N32" i="73"/>
  <c r="H32" i="73"/>
  <c r="M32" i="73"/>
  <c r="P32" i="73"/>
  <c r="O32" i="73"/>
  <c r="I32" i="73"/>
  <c r="Q32" i="73"/>
  <c r="K32" i="73"/>
  <c r="J32" i="73"/>
  <c r="E76" i="76"/>
  <c r="D77" i="76"/>
  <c r="F74" i="73"/>
  <c r="E76" i="75"/>
  <c r="D77" i="75"/>
  <c r="E76" i="77"/>
  <c r="F76" i="77" s="1" a="1"/>
  <c r="F76" i="77" s="1"/>
  <c r="D77" i="77"/>
  <c r="E76" i="74"/>
  <c r="F76" i="74" s="1" a="1"/>
  <c r="F76" i="74" s="1"/>
  <c r="D77" i="74"/>
  <c r="D79" i="78"/>
  <c r="E78" i="78"/>
  <c r="E76" i="73"/>
  <c r="D77" i="73"/>
  <c r="F77" i="76"/>
  <c r="AF32" i="73" l="1"/>
  <c r="AF32" i="76"/>
  <c r="S32" i="73"/>
  <c r="S32" i="76"/>
  <c r="P33" i="75"/>
  <c r="AB33" i="75"/>
  <c r="G76" i="73"/>
  <c r="G76" i="76"/>
  <c r="I32" i="74"/>
  <c r="M32" i="74"/>
  <c r="X32" i="74"/>
  <c r="M32" i="77"/>
  <c r="U32" i="77"/>
  <c r="K32" i="74"/>
  <c r="N32" i="77"/>
  <c r="AA32" i="74"/>
  <c r="W32" i="74"/>
  <c r="K32" i="77"/>
  <c r="T32" i="78"/>
  <c r="T32" i="77"/>
  <c r="Y32" i="74"/>
  <c r="W32" i="77"/>
  <c r="Y32" i="77"/>
  <c r="J32" i="74"/>
  <c r="Z32" i="77"/>
  <c r="S32" i="74"/>
  <c r="N32" i="74"/>
  <c r="U32" i="74"/>
  <c r="L32" i="77"/>
  <c r="J32" i="77"/>
  <c r="S32" i="77"/>
  <c r="L32" i="74"/>
  <c r="I32" i="77"/>
  <c r="G32" i="74"/>
  <c r="G32" i="77"/>
  <c r="V32" i="74"/>
  <c r="H32" i="75"/>
  <c r="H32" i="74"/>
  <c r="T32" i="75"/>
  <c r="T32" i="74"/>
  <c r="O32" i="74"/>
  <c r="Z32" i="74"/>
  <c r="O32" i="77"/>
  <c r="V32" i="77"/>
  <c r="X32" i="77"/>
  <c r="U33" i="76" a="1"/>
  <c r="AD33" i="76" s="1"/>
  <c r="AB34" i="78" s="1"/>
  <c r="AE32" i="76"/>
  <c r="R32" i="76"/>
  <c r="H33" i="76" a="1"/>
  <c r="L33" i="76" s="1"/>
  <c r="H33" i="73" a="1"/>
  <c r="R32" i="73"/>
  <c r="AE32" i="73"/>
  <c r="U33" i="73" a="1"/>
  <c r="F78" i="76"/>
  <c r="D78" i="73"/>
  <c r="E77" i="73"/>
  <c r="D78" i="77"/>
  <c r="E77" i="77"/>
  <c r="F77" i="77" s="1" a="1"/>
  <c r="F77" i="77" s="1"/>
  <c r="E77" i="75"/>
  <c r="D78" i="75"/>
  <c r="D78" i="76"/>
  <c r="E77" i="76"/>
  <c r="D80" i="78"/>
  <c r="E79" i="78"/>
  <c r="D78" i="74"/>
  <c r="E77" i="74"/>
  <c r="F77" i="74" s="1" a="1"/>
  <c r="F77" i="74" s="1"/>
  <c r="F75" i="73"/>
  <c r="G77" i="73" l="1"/>
  <c r="G77" i="76"/>
  <c r="K33" i="77"/>
  <c r="AC32" i="74"/>
  <c r="AC32" i="77"/>
  <c r="Q32" i="77"/>
  <c r="Q32" i="74"/>
  <c r="AC33" i="76"/>
  <c r="Y33" i="76"/>
  <c r="AB33" i="76"/>
  <c r="Z33" i="76"/>
  <c r="AA33" i="76"/>
  <c r="V33" i="76"/>
  <c r="U33" i="76"/>
  <c r="X33" i="76"/>
  <c r="W33" i="76"/>
  <c r="Q33" i="76"/>
  <c r="P34" i="78" s="1"/>
  <c r="K33" i="76"/>
  <c r="N33" i="76"/>
  <c r="P33" i="76"/>
  <c r="H33" i="76"/>
  <c r="I33" i="76"/>
  <c r="O33" i="76"/>
  <c r="M33" i="76"/>
  <c r="J33" i="76"/>
  <c r="AD33" i="73"/>
  <c r="W33" i="73"/>
  <c r="V33" i="73"/>
  <c r="X33" i="73"/>
  <c r="Z33" i="73"/>
  <c r="AB33" i="73"/>
  <c r="Y33" i="73"/>
  <c r="U33" i="73"/>
  <c r="AA33" i="73"/>
  <c r="AC33" i="73"/>
  <c r="Q33" i="73"/>
  <c r="H33" i="73"/>
  <c r="K33" i="73"/>
  <c r="J33" i="73"/>
  <c r="L33" i="73"/>
  <c r="P33" i="73"/>
  <c r="M33" i="73"/>
  <c r="I33" i="73"/>
  <c r="N33" i="73"/>
  <c r="O33" i="73"/>
  <c r="D81" i="78"/>
  <c r="E80" i="78"/>
  <c r="E78" i="75"/>
  <c r="D79" i="75"/>
  <c r="D79" i="73"/>
  <c r="E78" i="73"/>
  <c r="G78" i="73" s="1"/>
  <c r="F76" i="73"/>
  <c r="D79" i="77"/>
  <c r="E78" i="77"/>
  <c r="F78" i="77" s="1" a="1"/>
  <c r="F78" i="77" s="1"/>
  <c r="D79" i="76"/>
  <c r="E78" i="76"/>
  <c r="D79" i="74"/>
  <c r="E78" i="74"/>
  <c r="F78" i="74" s="1" a="1"/>
  <c r="F78" i="74" s="1"/>
  <c r="F79" i="76"/>
  <c r="S33" i="73" l="1"/>
  <c r="AF33" i="73"/>
  <c r="AF33" i="76"/>
  <c r="S33" i="76"/>
  <c r="AB34" i="75"/>
  <c r="P34" i="75"/>
  <c r="G78" i="76"/>
  <c r="T33" i="75"/>
  <c r="T33" i="74"/>
  <c r="Y33" i="77"/>
  <c r="H33" i="75"/>
  <c r="H33" i="74"/>
  <c r="AA33" i="74"/>
  <c r="U33" i="74"/>
  <c r="M33" i="77"/>
  <c r="X33" i="77"/>
  <c r="J33" i="77"/>
  <c r="Z33" i="77"/>
  <c r="W33" i="77"/>
  <c r="M33" i="74"/>
  <c r="O33" i="77"/>
  <c r="L33" i="74"/>
  <c r="Y33" i="74"/>
  <c r="O33" i="74"/>
  <c r="S33" i="74"/>
  <c r="I33" i="77"/>
  <c r="K33" i="74"/>
  <c r="W33" i="74"/>
  <c r="L33" i="77"/>
  <c r="U33" i="77"/>
  <c r="AA33" i="77"/>
  <c r="I33" i="74"/>
  <c r="Z33" i="74"/>
  <c r="N33" i="77"/>
  <c r="V33" i="77"/>
  <c r="J33" i="74"/>
  <c r="X33" i="74"/>
  <c r="H33" i="78"/>
  <c r="H33" i="77"/>
  <c r="S33" i="77"/>
  <c r="N33" i="74"/>
  <c r="G33" i="74"/>
  <c r="V33" i="74"/>
  <c r="G33" i="77"/>
  <c r="T33" i="78"/>
  <c r="T33" i="77"/>
  <c r="AE33" i="76"/>
  <c r="U34" i="76" a="1"/>
  <c r="Z34" i="76" s="1"/>
  <c r="R33" i="76"/>
  <c r="H34" i="76" a="1"/>
  <c r="I34" i="76" s="1"/>
  <c r="R33" i="73"/>
  <c r="H34" i="73" a="1"/>
  <c r="AE33" i="73"/>
  <c r="U34" i="73" a="1"/>
  <c r="E79" i="75"/>
  <c r="D80" i="75"/>
  <c r="F80" i="76"/>
  <c r="D80" i="76"/>
  <c r="E79" i="76"/>
  <c r="F77" i="73"/>
  <c r="D80" i="74"/>
  <c r="E79" i="74"/>
  <c r="F79" i="74" s="1" a="1"/>
  <c r="F79" i="74" s="1"/>
  <c r="D82" i="78"/>
  <c r="E81" i="78"/>
  <c r="E79" i="73"/>
  <c r="D80" i="73"/>
  <c r="D80" i="77"/>
  <c r="E79" i="77"/>
  <c r="F79" i="77" s="1" a="1"/>
  <c r="F79" i="77" s="1"/>
  <c r="G79" i="73" l="1"/>
  <c r="G79" i="76"/>
  <c r="H34" i="77"/>
  <c r="X34" i="77"/>
  <c r="H34" i="78"/>
  <c r="AC33" i="74"/>
  <c r="Q33" i="77"/>
  <c r="AC33" i="77"/>
  <c r="Q33" i="74"/>
  <c r="AC34" i="76"/>
  <c r="Y34" i="76"/>
  <c r="W34" i="76"/>
  <c r="U34" i="76"/>
  <c r="AA34" i="76"/>
  <c r="AB34" i="76"/>
  <c r="X34" i="76"/>
  <c r="AD34" i="76"/>
  <c r="AB35" i="78" s="1"/>
  <c r="V34" i="76"/>
  <c r="P34" i="76"/>
  <c r="J34" i="76"/>
  <c r="Q34" i="76"/>
  <c r="P35" i="78" s="1"/>
  <c r="K34" i="76"/>
  <c r="M34" i="76"/>
  <c r="N34" i="76"/>
  <c r="O34" i="76"/>
  <c r="L34" i="76"/>
  <c r="H34" i="76"/>
  <c r="V34" i="73"/>
  <c r="W34" i="73"/>
  <c r="AB34" i="73"/>
  <c r="X34" i="73"/>
  <c r="AD34" i="73"/>
  <c r="Y34" i="73"/>
  <c r="Z34" i="73"/>
  <c r="U34" i="73"/>
  <c r="AC34" i="73"/>
  <c r="AA34" i="73"/>
  <c r="P34" i="73"/>
  <c r="I34" i="73"/>
  <c r="Q34" i="73"/>
  <c r="J34" i="73"/>
  <c r="K34" i="73"/>
  <c r="L34" i="73"/>
  <c r="N34" i="73"/>
  <c r="O34" i="73"/>
  <c r="M34" i="73"/>
  <c r="H34" i="73"/>
  <c r="D83" i="78"/>
  <c r="E82" i="78"/>
  <c r="D81" i="74"/>
  <c r="E80" i="74"/>
  <c r="F80" i="74" s="1" a="1"/>
  <c r="F80" i="74" s="1"/>
  <c r="E80" i="77"/>
  <c r="F80" i="77" s="1" a="1"/>
  <c r="F80" i="77" s="1"/>
  <c r="D81" i="77"/>
  <c r="F78" i="73"/>
  <c r="F81" i="76"/>
  <c r="E80" i="75"/>
  <c r="D81" i="75"/>
  <c r="D81" i="73"/>
  <c r="E80" i="73"/>
  <c r="G80" i="73" s="1"/>
  <c r="D81" i="76"/>
  <c r="E80" i="76"/>
  <c r="S34" i="76" l="1"/>
  <c r="AF34" i="73"/>
  <c r="S34" i="73"/>
  <c r="AF34" i="76"/>
  <c r="P35" i="75"/>
  <c r="AB35" i="75"/>
  <c r="G80" i="76"/>
  <c r="M34" i="77"/>
  <c r="V34" i="77"/>
  <c r="W34" i="74"/>
  <c r="N34" i="77"/>
  <c r="H34" i="75"/>
  <c r="H34" i="74"/>
  <c r="V34" i="74"/>
  <c r="Z34" i="77"/>
  <c r="L34" i="74"/>
  <c r="O34" i="74"/>
  <c r="Z34" i="74"/>
  <c r="J34" i="77"/>
  <c r="Y34" i="77"/>
  <c r="U34" i="74"/>
  <c r="G34" i="74"/>
  <c r="S34" i="77"/>
  <c r="M34" i="74"/>
  <c r="AA34" i="74"/>
  <c r="T34" i="75"/>
  <c r="T34" i="74"/>
  <c r="I34" i="77"/>
  <c r="U34" i="77"/>
  <c r="K34" i="74"/>
  <c r="S34" i="74"/>
  <c r="G34" i="77"/>
  <c r="O34" i="77"/>
  <c r="W34" i="77"/>
  <c r="I34" i="74"/>
  <c r="L34" i="77"/>
  <c r="N34" i="74"/>
  <c r="Y34" i="74"/>
  <c r="J34" i="74"/>
  <c r="X34" i="74"/>
  <c r="K34" i="77"/>
  <c r="T34" i="78"/>
  <c r="T34" i="77"/>
  <c r="AA34" i="77"/>
  <c r="U35" i="76" a="1"/>
  <c r="V35" i="76" s="1"/>
  <c r="T35" i="77" s="1"/>
  <c r="AE34" i="76"/>
  <c r="H35" i="76" a="1"/>
  <c r="K35" i="76" s="1"/>
  <c r="R34" i="76"/>
  <c r="R34" i="73"/>
  <c r="H35" i="73" a="1"/>
  <c r="U35" i="73" a="1"/>
  <c r="AE34" i="73"/>
  <c r="F82" i="76"/>
  <c r="F79" i="73"/>
  <c r="D82" i="77"/>
  <c r="E81" i="77"/>
  <c r="F81" i="77" s="1" a="1"/>
  <c r="F81" i="77" s="1"/>
  <c r="E81" i="75"/>
  <c r="D82" i="75"/>
  <c r="D84" i="78"/>
  <c r="E83" i="78"/>
  <c r="D82" i="74"/>
  <c r="E81" i="74"/>
  <c r="F81" i="74" s="1" a="1"/>
  <c r="F81" i="74" s="1"/>
  <c r="E81" i="73"/>
  <c r="D82" i="73"/>
  <c r="E81" i="76"/>
  <c r="D82" i="76"/>
  <c r="G81" i="73" l="1"/>
  <c r="G81" i="76"/>
  <c r="J35" i="77"/>
  <c r="T35" i="78"/>
  <c r="AC34" i="77"/>
  <c r="AC34" i="74"/>
  <c r="Q34" i="77"/>
  <c r="Q34" i="74"/>
  <c r="AC35" i="76"/>
  <c r="Z35" i="76"/>
  <c r="AB35" i="76"/>
  <c r="X35" i="76"/>
  <c r="U35" i="76"/>
  <c r="W35" i="76"/>
  <c r="AD35" i="76"/>
  <c r="AB36" i="78" s="1"/>
  <c r="Y35" i="76"/>
  <c r="AA35" i="76"/>
  <c r="H35" i="76"/>
  <c r="N35" i="76"/>
  <c r="Q35" i="76"/>
  <c r="P36" i="78" s="1"/>
  <c r="O35" i="76"/>
  <c r="L35" i="76"/>
  <c r="M35" i="76"/>
  <c r="P35" i="76"/>
  <c r="I35" i="76"/>
  <c r="J35" i="76"/>
  <c r="AB35" i="73"/>
  <c r="U35" i="73"/>
  <c r="X35" i="73"/>
  <c r="AC35" i="73"/>
  <c r="Z35" i="73"/>
  <c r="W35" i="73"/>
  <c r="AA35" i="73"/>
  <c r="Y35" i="73"/>
  <c r="V35" i="73"/>
  <c r="AD35" i="73"/>
  <c r="K35" i="73"/>
  <c r="L35" i="73"/>
  <c r="H35" i="73"/>
  <c r="I35" i="73"/>
  <c r="M35" i="73"/>
  <c r="Q35" i="73"/>
  <c r="P35" i="73"/>
  <c r="J35" i="73"/>
  <c r="O35" i="73"/>
  <c r="N35" i="73"/>
  <c r="E84" i="78"/>
  <c r="D85" i="78"/>
  <c r="D83" i="74"/>
  <c r="E82" i="74"/>
  <c r="F82" i="74" s="1" a="1"/>
  <c r="F82" i="74" s="1"/>
  <c r="D83" i="77"/>
  <c r="E82" i="77"/>
  <c r="F82" i="77" s="1" a="1"/>
  <c r="F82" i="77" s="1"/>
  <c r="E82" i="76"/>
  <c r="D83" i="76"/>
  <c r="E82" i="73"/>
  <c r="D83" i="73"/>
  <c r="E82" i="75"/>
  <c r="D83" i="75"/>
  <c r="F80" i="73"/>
  <c r="F83" i="76"/>
  <c r="AF35" i="73" l="1"/>
  <c r="S35" i="73"/>
  <c r="AF35" i="76"/>
  <c r="S35" i="76"/>
  <c r="P36" i="75"/>
  <c r="AB36" i="75"/>
  <c r="G82" i="73"/>
  <c r="G82" i="76"/>
  <c r="H35" i="75"/>
  <c r="H35" i="74"/>
  <c r="U35" i="74"/>
  <c r="O35" i="77"/>
  <c r="W35" i="77"/>
  <c r="Y35" i="77"/>
  <c r="G35" i="74"/>
  <c r="X35" i="74"/>
  <c r="L35" i="77"/>
  <c r="M35" i="74"/>
  <c r="K35" i="74"/>
  <c r="AA35" i="74"/>
  <c r="K35" i="77"/>
  <c r="U35" i="77"/>
  <c r="L35" i="74"/>
  <c r="Y35" i="74"/>
  <c r="H35" i="78"/>
  <c r="H35" i="77"/>
  <c r="AA35" i="77"/>
  <c r="N35" i="74"/>
  <c r="J35" i="74"/>
  <c r="V35" i="74"/>
  <c r="N35" i="77"/>
  <c r="S35" i="77"/>
  <c r="V35" i="77"/>
  <c r="S35" i="74"/>
  <c r="O35" i="74"/>
  <c r="T35" i="75"/>
  <c r="T35" i="74"/>
  <c r="Z35" i="74"/>
  <c r="M35" i="77"/>
  <c r="Z35" i="77"/>
  <c r="I35" i="74"/>
  <c r="W35" i="74"/>
  <c r="I35" i="77"/>
  <c r="G35" i="77"/>
  <c r="X35" i="77"/>
  <c r="U36" i="76" a="1"/>
  <c r="AD36" i="76" s="1"/>
  <c r="AB37" i="78" s="1"/>
  <c r="AE35" i="76"/>
  <c r="H36" i="76" a="1"/>
  <c r="I36" i="76" s="1"/>
  <c r="R35" i="76"/>
  <c r="H36" i="73" a="1"/>
  <c r="R35" i="73"/>
  <c r="AE35" i="73"/>
  <c r="U36" i="73" a="1"/>
  <c r="F81" i="73"/>
  <c r="E83" i="75"/>
  <c r="D84" i="75"/>
  <c r="E83" i="77"/>
  <c r="F83" i="77" s="1" a="1"/>
  <c r="F83" i="77" s="1"/>
  <c r="D84" i="77"/>
  <c r="D84" i="73"/>
  <c r="E83" i="73"/>
  <c r="E83" i="74"/>
  <c r="F83" i="74" s="1" a="1"/>
  <c r="F83" i="74" s="1"/>
  <c r="D84" i="74"/>
  <c r="E85" i="78"/>
  <c r="D86" i="78"/>
  <c r="E83" i="76"/>
  <c r="D84" i="76"/>
  <c r="F84" i="76"/>
  <c r="H36" i="78" l="1"/>
  <c r="G83" i="76"/>
  <c r="G83" i="73"/>
  <c r="H36" i="77"/>
  <c r="AC35" i="74"/>
  <c r="Q35" i="77"/>
  <c r="AC35" i="77"/>
  <c r="Q35" i="74"/>
  <c r="V36" i="76"/>
  <c r="AC36" i="76"/>
  <c r="AB36" i="76"/>
  <c r="AA36" i="76"/>
  <c r="Z36" i="76"/>
  <c r="Y36" i="76"/>
  <c r="X36" i="76"/>
  <c r="W36" i="76"/>
  <c r="U36" i="76"/>
  <c r="K36" i="76"/>
  <c r="L36" i="76"/>
  <c r="Q36" i="76"/>
  <c r="P37" i="78" s="1"/>
  <c r="O36" i="76"/>
  <c r="P36" i="76"/>
  <c r="N36" i="76"/>
  <c r="H36" i="76"/>
  <c r="J36" i="76"/>
  <c r="M36" i="76"/>
  <c r="Y36" i="73"/>
  <c r="AA36" i="73"/>
  <c r="U36" i="73"/>
  <c r="Z36" i="73"/>
  <c r="W36" i="73"/>
  <c r="X36" i="73"/>
  <c r="AC36" i="73"/>
  <c r="AB36" i="73"/>
  <c r="V36" i="73"/>
  <c r="AD36" i="73"/>
  <c r="L36" i="73"/>
  <c r="Q36" i="73"/>
  <c r="M36" i="73"/>
  <c r="I36" i="73"/>
  <c r="N36" i="73"/>
  <c r="K36" i="73"/>
  <c r="O36" i="73"/>
  <c r="J36" i="73"/>
  <c r="H36" i="73"/>
  <c r="P36" i="73"/>
  <c r="E84" i="77"/>
  <c r="F84" i="77" s="1" a="1"/>
  <c r="F84" i="77" s="1"/>
  <c r="D85" i="77"/>
  <c r="E84" i="76"/>
  <c r="D85" i="76"/>
  <c r="F85" i="76"/>
  <c r="E84" i="74"/>
  <c r="F84" i="74" s="1" a="1"/>
  <c r="F84" i="74" s="1"/>
  <c r="D85" i="74"/>
  <c r="E86" i="78"/>
  <c r="D87" i="78"/>
  <c r="E84" i="73"/>
  <c r="D85" i="73"/>
  <c r="E84" i="75"/>
  <c r="D85" i="75"/>
  <c r="F82" i="73"/>
  <c r="AF36" i="73" l="1"/>
  <c r="S36" i="76"/>
  <c r="S36" i="73"/>
  <c r="AF36" i="76"/>
  <c r="P37" i="75"/>
  <c r="AB37" i="75"/>
  <c r="G84" i="76"/>
  <c r="G84" i="73"/>
  <c r="Y36" i="77"/>
  <c r="N36" i="74"/>
  <c r="T36" i="75"/>
  <c r="T36" i="74"/>
  <c r="W36" i="74"/>
  <c r="K36" i="77"/>
  <c r="Z36" i="77"/>
  <c r="J36" i="74"/>
  <c r="Z36" i="74"/>
  <c r="L36" i="77"/>
  <c r="J36" i="77"/>
  <c r="AA36" i="77"/>
  <c r="K36" i="74"/>
  <c r="N36" i="77"/>
  <c r="I36" i="74"/>
  <c r="Y36" i="74"/>
  <c r="M36" i="74"/>
  <c r="AA36" i="74"/>
  <c r="I36" i="77"/>
  <c r="S36" i="77"/>
  <c r="T36" i="78"/>
  <c r="T36" i="77"/>
  <c r="O36" i="74"/>
  <c r="S36" i="74"/>
  <c r="V36" i="74"/>
  <c r="G36" i="77"/>
  <c r="U36" i="77"/>
  <c r="G36" i="74"/>
  <c r="X36" i="77"/>
  <c r="H36" i="75"/>
  <c r="H36" i="74"/>
  <c r="L36" i="74"/>
  <c r="U36" i="74"/>
  <c r="M36" i="77"/>
  <c r="V36" i="77"/>
  <c r="X36" i="74"/>
  <c r="O36" i="77"/>
  <c r="W36" i="77"/>
  <c r="AE36" i="76"/>
  <c r="U37" i="76" a="1"/>
  <c r="Z37" i="76" s="1"/>
  <c r="R36" i="76"/>
  <c r="H37" i="76" a="1"/>
  <c r="N37" i="76" s="1"/>
  <c r="M37" i="77" s="1"/>
  <c r="H37" i="73" a="1"/>
  <c r="R36" i="73"/>
  <c r="U37" i="73" a="1"/>
  <c r="AE36" i="73"/>
  <c r="F86" i="76"/>
  <c r="E85" i="75"/>
  <c r="D86" i="75"/>
  <c r="E85" i="74"/>
  <c r="F85" i="74" s="1" a="1"/>
  <c r="F85" i="74" s="1"/>
  <c r="D86" i="74"/>
  <c r="D86" i="73"/>
  <c r="E85" i="73"/>
  <c r="G85" i="73" s="1"/>
  <c r="F83" i="73"/>
  <c r="D86" i="76"/>
  <c r="E85" i="76"/>
  <c r="D86" i="77"/>
  <c r="E85" i="77"/>
  <c r="F85" i="77" s="1" a="1"/>
  <c r="F85" i="77" s="1"/>
  <c r="E87" i="78"/>
  <c r="D88" i="78"/>
  <c r="G85" i="76" l="1"/>
  <c r="X37" i="77"/>
  <c r="AC36" i="77"/>
  <c r="Q36" i="77"/>
  <c r="AC36" i="74"/>
  <c r="Q36" i="74"/>
  <c r="X37" i="76"/>
  <c r="U37" i="76"/>
  <c r="Y37" i="76"/>
  <c r="AC37" i="76"/>
  <c r="W37" i="76"/>
  <c r="AD37" i="76"/>
  <c r="AB38" i="78" s="1"/>
  <c r="AA37" i="76"/>
  <c r="AB37" i="76"/>
  <c r="V37" i="76"/>
  <c r="L37" i="76"/>
  <c r="P37" i="76"/>
  <c r="O37" i="76"/>
  <c r="I37" i="76"/>
  <c r="H37" i="76"/>
  <c r="K37" i="76"/>
  <c r="M37" i="76"/>
  <c r="J37" i="76"/>
  <c r="Q37" i="76"/>
  <c r="P38" i="78" s="1"/>
  <c r="V37" i="73"/>
  <c r="AD37" i="73"/>
  <c r="U37" i="73"/>
  <c r="AC37" i="73"/>
  <c r="Z37" i="73"/>
  <c r="X37" i="73"/>
  <c r="W37" i="73"/>
  <c r="Y37" i="73"/>
  <c r="AA37" i="73"/>
  <c r="AB37" i="73"/>
  <c r="O37" i="73"/>
  <c r="N37" i="73"/>
  <c r="H37" i="73"/>
  <c r="L37" i="73"/>
  <c r="P37" i="73"/>
  <c r="Q37" i="73"/>
  <c r="J37" i="73"/>
  <c r="I37" i="73"/>
  <c r="K37" i="73"/>
  <c r="M37" i="73"/>
  <c r="D87" i="74"/>
  <c r="E86" i="74"/>
  <c r="F86" i="74" s="1" a="1"/>
  <c r="F86" i="74" s="1"/>
  <c r="D87" i="73"/>
  <c r="E86" i="73"/>
  <c r="E86" i="75"/>
  <c r="D87" i="75"/>
  <c r="D87" i="77"/>
  <c r="E86" i="77"/>
  <c r="F86" i="77" s="1" a="1"/>
  <c r="F86" i="77" s="1"/>
  <c r="D87" i="76"/>
  <c r="E86" i="76"/>
  <c r="F84" i="73"/>
  <c r="F87" i="76"/>
  <c r="E88" i="78"/>
  <c r="D89" i="78"/>
  <c r="AF37" i="73" l="1"/>
  <c r="S37" i="73"/>
  <c r="AF37" i="76"/>
  <c r="S37" i="76"/>
  <c r="AB38" i="75"/>
  <c r="P38" i="75"/>
  <c r="G86" i="73"/>
  <c r="G86" i="76"/>
  <c r="K37" i="74"/>
  <c r="V37" i="74"/>
  <c r="L37" i="77"/>
  <c r="Z37" i="77"/>
  <c r="I37" i="77"/>
  <c r="G37" i="74"/>
  <c r="X37" i="74"/>
  <c r="J37" i="77"/>
  <c r="Y37" i="77"/>
  <c r="U37" i="74"/>
  <c r="T37" i="78"/>
  <c r="T37" i="77"/>
  <c r="H37" i="78"/>
  <c r="H37" i="77"/>
  <c r="N37" i="77"/>
  <c r="AA37" i="77"/>
  <c r="O37" i="74"/>
  <c r="V37" i="77"/>
  <c r="L37" i="74"/>
  <c r="M37" i="74"/>
  <c r="AA37" i="74"/>
  <c r="G37" i="77"/>
  <c r="J37" i="74"/>
  <c r="N37" i="74"/>
  <c r="S37" i="74"/>
  <c r="U37" i="77"/>
  <c r="H37" i="75"/>
  <c r="H37" i="74"/>
  <c r="Z37" i="74"/>
  <c r="I37" i="74"/>
  <c r="Y37" i="74"/>
  <c r="T37" i="75"/>
  <c r="T37" i="74"/>
  <c r="O37" i="77"/>
  <c r="W37" i="77"/>
  <c r="W37" i="74"/>
  <c r="K37" i="77"/>
  <c r="S37" i="77"/>
  <c r="AE37" i="76"/>
  <c r="U38" i="76" a="1"/>
  <c r="AB38" i="76" s="1"/>
  <c r="R37" i="76"/>
  <c r="H38" i="76" a="1"/>
  <c r="I38" i="76" s="1"/>
  <c r="R37" i="73"/>
  <c r="H38" i="73" a="1"/>
  <c r="U38" i="73" a="1"/>
  <c r="AE37" i="73"/>
  <c r="E89" i="78"/>
  <c r="D90" i="78"/>
  <c r="D88" i="76"/>
  <c r="E87" i="76"/>
  <c r="G87" i="76" s="1"/>
  <c r="E87" i="73"/>
  <c r="D88" i="73"/>
  <c r="E87" i="75"/>
  <c r="D88" i="75"/>
  <c r="F85" i="73"/>
  <c r="D88" i="77"/>
  <c r="E87" i="77"/>
  <c r="F87" i="77" s="1" a="1"/>
  <c r="F87" i="77" s="1"/>
  <c r="D88" i="74"/>
  <c r="E87" i="74"/>
  <c r="F87" i="74" s="1" a="1"/>
  <c r="F87" i="74" s="1"/>
  <c r="F88" i="76"/>
  <c r="H38" i="78" l="1"/>
  <c r="G87" i="73"/>
  <c r="H38" i="77"/>
  <c r="Z38" i="77"/>
  <c r="AC37" i="77"/>
  <c r="AC37" i="74"/>
  <c r="Q37" i="77"/>
  <c r="Q37" i="74"/>
  <c r="AA38" i="76"/>
  <c r="Z38" i="76"/>
  <c r="V38" i="76"/>
  <c r="AD38" i="76"/>
  <c r="AB39" i="78" s="1"/>
  <c r="AC38" i="76"/>
  <c r="Y38" i="76"/>
  <c r="U38" i="76"/>
  <c r="W38" i="76"/>
  <c r="X38" i="76"/>
  <c r="O38" i="76"/>
  <c r="J38" i="76"/>
  <c r="K38" i="76"/>
  <c r="Q38" i="76"/>
  <c r="P39" i="78" s="1"/>
  <c r="H38" i="76"/>
  <c r="M38" i="76"/>
  <c r="L38" i="76"/>
  <c r="N38" i="76"/>
  <c r="P38" i="76"/>
  <c r="J38" i="73"/>
  <c r="I38" i="73"/>
  <c r="K38" i="73"/>
  <c r="L38" i="73"/>
  <c r="O38" i="73"/>
  <c r="M38" i="73"/>
  <c r="N38" i="73"/>
  <c r="H38" i="73"/>
  <c r="P38" i="73"/>
  <c r="Q38" i="73"/>
  <c r="AA38" i="73"/>
  <c r="X38" i="73"/>
  <c r="AB38" i="73"/>
  <c r="Z38" i="73"/>
  <c r="U38" i="73"/>
  <c r="V38" i="73"/>
  <c r="Y38" i="73"/>
  <c r="AC38" i="73"/>
  <c r="AD38" i="73"/>
  <c r="W38" i="73"/>
  <c r="F86" i="73"/>
  <c r="E88" i="75"/>
  <c r="D89" i="75"/>
  <c r="E88" i="77"/>
  <c r="F88" i="77" s="1" a="1"/>
  <c r="F88" i="77" s="1"/>
  <c r="D89" i="77"/>
  <c r="F89" i="76"/>
  <c r="D89" i="76"/>
  <c r="E88" i="76"/>
  <c r="D91" i="78"/>
  <c r="E90" i="78"/>
  <c r="E88" i="74"/>
  <c r="F88" i="74" s="1" a="1"/>
  <c r="F88" i="74" s="1"/>
  <c r="D89" i="74"/>
  <c r="D89" i="73"/>
  <c r="E88" i="73"/>
  <c r="S38" i="73" l="1"/>
  <c r="AF38" i="73"/>
  <c r="AF38" i="76"/>
  <c r="S38" i="76"/>
  <c r="AB39" i="75"/>
  <c r="P39" i="75"/>
  <c r="G88" i="76"/>
  <c r="G88" i="73"/>
  <c r="Y38" i="74"/>
  <c r="AA38" i="74"/>
  <c r="T38" i="75"/>
  <c r="T38" i="74"/>
  <c r="G38" i="74"/>
  <c r="O38" i="77"/>
  <c r="N38" i="77"/>
  <c r="X38" i="77"/>
  <c r="S38" i="74"/>
  <c r="M38" i="74"/>
  <c r="M38" i="77"/>
  <c r="V38" i="77"/>
  <c r="Y38" i="77"/>
  <c r="X38" i="74"/>
  <c r="L38" i="74"/>
  <c r="K38" i="77"/>
  <c r="U38" i="77"/>
  <c r="Z38" i="74"/>
  <c r="N38" i="74"/>
  <c r="L38" i="77"/>
  <c r="S38" i="77"/>
  <c r="J38" i="74"/>
  <c r="U38" i="74"/>
  <c r="V38" i="74"/>
  <c r="K38" i="74"/>
  <c r="G38" i="77"/>
  <c r="W38" i="77"/>
  <c r="AA38" i="77"/>
  <c r="H38" i="75"/>
  <c r="H38" i="74"/>
  <c r="J38" i="77"/>
  <c r="W38" i="74"/>
  <c r="O38" i="74"/>
  <c r="I38" i="74"/>
  <c r="I38" i="77"/>
  <c r="T38" i="78"/>
  <c r="T38" i="77"/>
  <c r="U39" i="76" a="1"/>
  <c r="AA39" i="76" s="1"/>
  <c r="AE38" i="76"/>
  <c r="R38" i="76"/>
  <c r="H39" i="76" a="1"/>
  <c r="R38" i="73"/>
  <c r="H39" i="73" a="1"/>
  <c r="AE38" i="73"/>
  <c r="U39" i="73" a="1"/>
  <c r="D92" i="78"/>
  <c r="E91" i="78"/>
  <c r="E89" i="76"/>
  <c r="D90" i="76"/>
  <c r="F87" i="73"/>
  <c r="F90" i="76"/>
  <c r="D90" i="77"/>
  <c r="E89" i="77"/>
  <c r="F89" i="77" s="1" a="1"/>
  <c r="F89" i="77" s="1"/>
  <c r="E89" i="75"/>
  <c r="D90" i="75"/>
  <c r="D90" i="74"/>
  <c r="E89" i="74"/>
  <c r="F89" i="74" s="1" a="1"/>
  <c r="F89" i="74" s="1"/>
  <c r="E89" i="73"/>
  <c r="D90" i="73"/>
  <c r="G89" i="73" l="1"/>
  <c r="G89" i="76"/>
  <c r="Y39" i="77"/>
  <c r="AC38" i="74"/>
  <c r="Q38" i="77"/>
  <c r="AC38" i="77"/>
  <c r="Q38" i="74"/>
  <c r="AB39" i="76"/>
  <c r="U39" i="76"/>
  <c r="AD39" i="76"/>
  <c r="AB40" i="78" s="1"/>
  <c r="AC39" i="76"/>
  <c r="Z39" i="76"/>
  <c r="X39" i="76"/>
  <c r="Y39" i="76"/>
  <c r="V39" i="76"/>
  <c r="W39" i="76"/>
  <c r="N39" i="76"/>
  <c r="J39" i="76"/>
  <c r="M39" i="76"/>
  <c r="H39" i="76"/>
  <c r="K39" i="76"/>
  <c r="P39" i="76"/>
  <c r="I39" i="76"/>
  <c r="Q39" i="76"/>
  <c r="P40" i="78" s="1"/>
  <c r="O39" i="76"/>
  <c r="L39" i="76"/>
  <c r="P39" i="73"/>
  <c r="I39" i="73"/>
  <c r="Q39" i="73"/>
  <c r="M39" i="73"/>
  <c r="N39" i="73"/>
  <c r="J39" i="73"/>
  <c r="L39" i="73"/>
  <c r="K39" i="73"/>
  <c r="O39" i="73"/>
  <c r="H39" i="73"/>
  <c r="V39" i="73"/>
  <c r="AA39" i="73"/>
  <c r="AD39" i="73"/>
  <c r="AC39" i="73"/>
  <c r="W39" i="73"/>
  <c r="X39" i="73"/>
  <c r="Y39" i="73"/>
  <c r="Z39" i="73"/>
  <c r="AB39" i="73"/>
  <c r="U39" i="73"/>
  <c r="F91" i="76"/>
  <c r="D93" i="78"/>
  <c r="E92" i="78"/>
  <c r="F88" i="73"/>
  <c r="E90" i="73"/>
  <c r="D91" i="73"/>
  <c r="E90" i="76"/>
  <c r="G90" i="76" s="1"/>
  <c r="D91" i="76"/>
  <c r="D91" i="74"/>
  <c r="E90" i="74"/>
  <c r="F90" i="74" s="1" a="1"/>
  <c r="F90" i="74" s="1"/>
  <c r="E90" i="75"/>
  <c r="D91" i="75"/>
  <c r="D91" i="77"/>
  <c r="E90" i="77"/>
  <c r="F90" i="77" s="1" a="1"/>
  <c r="F90" i="77" s="1"/>
  <c r="AF39" i="76" l="1"/>
  <c r="AF39" i="73"/>
  <c r="S39" i="73"/>
  <c r="S39" i="76"/>
  <c r="P40" i="75"/>
  <c r="AB40" i="75"/>
  <c r="G90" i="73"/>
  <c r="G39" i="74"/>
  <c r="G39" i="77"/>
  <c r="X39" i="77"/>
  <c r="W39" i="74"/>
  <c r="N39" i="74"/>
  <c r="O39" i="74"/>
  <c r="L39" i="77"/>
  <c r="AA39" i="77"/>
  <c r="Z39" i="74"/>
  <c r="X39" i="74"/>
  <c r="H39" i="75"/>
  <c r="H39" i="74"/>
  <c r="V39" i="74"/>
  <c r="J39" i="74"/>
  <c r="K39" i="77"/>
  <c r="I39" i="77"/>
  <c r="U39" i="74"/>
  <c r="K39" i="74"/>
  <c r="N39" i="77"/>
  <c r="M39" i="77"/>
  <c r="S39" i="77"/>
  <c r="U39" i="77"/>
  <c r="Z39" i="77"/>
  <c r="M39" i="74"/>
  <c r="H39" i="78"/>
  <c r="H39" i="77"/>
  <c r="T39" i="78"/>
  <c r="T39" i="77"/>
  <c r="T39" i="75"/>
  <c r="T39" i="74"/>
  <c r="AA39" i="74"/>
  <c r="I39" i="74"/>
  <c r="S39" i="74"/>
  <c r="Y39" i="74"/>
  <c r="L39" i="74"/>
  <c r="O39" i="77"/>
  <c r="W39" i="77"/>
  <c r="J39" i="77"/>
  <c r="V39" i="77"/>
  <c r="AE39" i="76"/>
  <c r="U40" i="76" a="1"/>
  <c r="W40" i="76" s="1"/>
  <c r="H40" i="76" a="1"/>
  <c r="R39" i="76"/>
  <c r="H40" i="73" a="1"/>
  <c r="R39" i="73"/>
  <c r="AE39" i="73"/>
  <c r="U40" i="73" a="1"/>
  <c r="D92" i="73"/>
  <c r="E91" i="73"/>
  <c r="F89" i="73"/>
  <c r="E91" i="75"/>
  <c r="D92" i="75"/>
  <c r="E91" i="74"/>
  <c r="F91" i="74" s="1" a="1"/>
  <c r="F91" i="74" s="1"/>
  <c r="D92" i="74"/>
  <c r="F92" i="76"/>
  <c r="E91" i="76"/>
  <c r="D92" i="76"/>
  <c r="D94" i="78"/>
  <c r="E93" i="78"/>
  <c r="E91" i="77"/>
  <c r="F91" i="77" s="1" a="1"/>
  <c r="F91" i="77" s="1"/>
  <c r="D92" i="77"/>
  <c r="G91" i="73" l="1"/>
  <c r="G91" i="76"/>
  <c r="U40" i="77"/>
  <c r="Q39" i="77"/>
  <c r="AC39" i="74"/>
  <c r="AC39" i="77"/>
  <c r="Q39" i="74"/>
  <c r="AA40" i="76"/>
  <c r="V40" i="76"/>
  <c r="U40" i="76"/>
  <c r="Z40" i="76"/>
  <c r="AD40" i="76"/>
  <c r="AB41" i="78" s="1"/>
  <c r="Y40" i="76"/>
  <c r="X40" i="76"/>
  <c r="AC40" i="76"/>
  <c r="AB40" i="76"/>
  <c r="N40" i="76"/>
  <c r="O40" i="76"/>
  <c r="P40" i="76"/>
  <c r="H40" i="76"/>
  <c r="I40" i="76"/>
  <c r="J40" i="76"/>
  <c r="K40" i="76"/>
  <c r="Q40" i="76"/>
  <c r="P41" i="78" s="1"/>
  <c r="L40" i="76"/>
  <c r="M40" i="76"/>
  <c r="AC40" i="73"/>
  <c r="Y40" i="73"/>
  <c r="AD40" i="73"/>
  <c r="Z40" i="73"/>
  <c r="V40" i="73"/>
  <c r="AA40" i="73"/>
  <c r="U40" i="73"/>
  <c r="X40" i="73"/>
  <c r="AB40" i="73"/>
  <c r="W40" i="73"/>
  <c r="I40" i="73"/>
  <c r="K40" i="73"/>
  <c r="J40" i="73"/>
  <c r="L40" i="73"/>
  <c r="N40" i="73"/>
  <c r="O40" i="73"/>
  <c r="P40" i="73"/>
  <c r="Q40" i="73"/>
  <c r="H40" i="73"/>
  <c r="M40" i="73"/>
  <c r="E92" i="75"/>
  <c r="D93" i="75"/>
  <c r="E92" i="74"/>
  <c r="F92" i="74" s="1" a="1"/>
  <c r="F92" i="74" s="1"/>
  <c r="D93" i="74"/>
  <c r="E92" i="73"/>
  <c r="D93" i="73"/>
  <c r="F93" i="76"/>
  <c r="F90" i="73"/>
  <c r="E92" i="76"/>
  <c r="D93" i="76"/>
  <c r="E92" i="77"/>
  <c r="F92" i="77" s="1" a="1"/>
  <c r="F92" i="77" s="1"/>
  <c r="D93" i="77"/>
  <c r="D95" i="78"/>
  <c r="E94" i="78"/>
  <c r="AF40" i="73" l="1"/>
  <c r="S40" i="73"/>
  <c r="AF40" i="76"/>
  <c r="S40" i="76"/>
  <c r="AB41" i="75"/>
  <c r="P41" i="75"/>
  <c r="G92" i="76"/>
  <c r="G92" i="73"/>
  <c r="H40" i="75"/>
  <c r="H40" i="74"/>
  <c r="O40" i="74"/>
  <c r="N40" i="74"/>
  <c r="V40" i="74"/>
  <c r="L40" i="77"/>
  <c r="N40" i="77"/>
  <c r="S40" i="77"/>
  <c r="G40" i="74"/>
  <c r="U40" i="74"/>
  <c r="W40" i="74"/>
  <c r="Z40" i="74"/>
  <c r="AA40" i="74"/>
  <c r="O40" i="77"/>
  <c r="X40" i="77"/>
  <c r="M40" i="74"/>
  <c r="S40" i="74"/>
  <c r="K40" i="77"/>
  <c r="M40" i="77"/>
  <c r="T40" i="78"/>
  <c r="T40" i="77"/>
  <c r="Z40" i="77"/>
  <c r="Y40" i="77"/>
  <c r="K40" i="74"/>
  <c r="T40" i="75"/>
  <c r="T40" i="74"/>
  <c r="AA40" i="77"/>
  <c r="Y40" i="74"/>
  <c r="I40" i="74"/>
  <c r="J40" i="77"/>
  <c r="L40" i="74"/>
  <c r="J40" i="74"/>
  <c r="X40" i="74"/>
  <c r="I40" i="77"/>
  <c r="V40" i="77"/>
  <c r="H40" i="78"/>
  <c r="H40" i="77"/>
  <c r="W40" i="77"/>
  <c r="G40" i="77"/>
  <c r="AE40" i="76"/>
  <c r="U41" i="76" a="1"/>
  <c r="AC41" i="76" s="1"/>
  <c r="H41" i="76" a="1"/>
  <c r="R40" i="76"/>
  <c r="H41" i="73" a="1"/>
  <c r="R40" i="73"/>
  <c r="U41" i="73" a="1"/>
  <c r="AE40" i="73"/>
  <c r="F91" i="73"/>
  <c r="F94" i="76"/>
  <c r="E93" i="74"/>
  <c r="F93" i="74" s="1" a="1"/>
  <c r="F93" i="74" s="1"/>
  <c r="D94" i="74"/>
  <c r="D96" i="78"/>
  <c r="E95" i="78"/>
  <c r="D94" i="76"/>
  <c r="E93" i="76"/>
  <c r="D94" i="77"/>
  <c r="E93" i="77"/>
  <c r="F93" i="77" s="1" a="1"/>
  <c r="F93" i="77" s="1"/>
  <c r="D94" i="73"/>
  <c r="E93" i="73"/>
  <c r="E93" i="75"/>
  <c r="D94" i="75"/>
  <c r="G93" i="73" l="1"/>
  <c r="G93" i="76"/>
  <c r="AA41" i="77"/>
  <c r="Q40" i="77"/>
  <c r="AC40" i="77"/>
  <c r="AC40" i="74"/>
  <c r="Q40" i="74"/>
  <c r="V41" i="76"/>
  <c r="Y41" i="76"/>
  <c r="U41" i="76"/>
  <c r="AB41" i="76"/>
  <c r="AD41" i="76"/>
  <c r="AB42" i="78" s="1"/>
  <c r="AA41" i="76"/>
  <c r="W41" i="76"/>
  <c r="Z41" i="76"/>
  <c r="X41" i="76"/>
  <c r="P41" i="76"/>
  <c r="I41" i="76"/>
  <c r="M41" i="76"/>
  <c r="H41" i="76"/>
  <c r="Q41" i="76"/>
  <c r="P42" i="78" s="1"/>
  <c r="N41" i="76"/>
  <c r="J41" i="76"/>
  <c r="K41" i="76"/>
  <c r="L41" i="76"/>
  <c r="O41" i="76"/>
  <c r="X41" i="73"/>
  <c r="Z41" i="73"/>
  <c r="AB41" i="73"/>
  <c r="AA41" i="73"/>
  <c r="U41" i="73"/>
  <c r="Y41" i="73"/>
  <c r="AC41" i="73"/>
  <c r="V41" i="73"/>
  <c r="W41" i="73"/>
  <c r="AD41" i="73"/>
  <c r="H41" i="73"/>
  <c r="K41" i="73"/>
  <c r="J41" i="73"/>
  <c r="L41" i="73"/>
  <c r="M41" i="73"/>
  <c r="O41" i="73"/>
  <c r="N41" i="73"/>
  <c r="Q41" i="73"/>
  <c r="P41" i="73"/>
  <c r="I41" i="73"/>
  <c r="D95" i="74"/>
  <c r="E94" i="74"/>
  <c r="F94" i="74" s="1" a="1"/>
  <c r="F94" i="74" s="1"/>
  <c r="D97" i="78"/>
  <c r="E96" i="78"/>
  <c r="F95" i="76"/>
  <c r="E94" i="75"/>
  <c r="D95" i="75"/>
  <c r="F92" i="73"/>
  <c r="D95" i="73"/>
  <c r="E94" i="73"/>
  <c r="D95" i="77"/>
  <c r="E94" i="77"/>
  <c r="F94" i="77" s="1" a="1"/>
  <c r="F94" i="77" s="1"/>
  <c r="D95" i="76"/>
  <c r="E94" i="76"/>
  <c r="AF41" i="73" l="1"/>
  <c r="S41" i="73"/>
  <c r="AF41" i="76"/>
  <c r="S41" i="76"/>
  <c r="P42" i="75"/>
  <c r="AB42" i="75"/>
  <c r="G94" i="76"/>
  <c r="G94" i="73"/>
  <c r="G41" i="74"/>
  <c r="Z41" i="74"/>
  <c r="N41" i="74"/>
  <c r="T41" i="75"/>
  <c r="T41" i="74"/>
  <c r="N41" i="77"/>
  <c r="H41" i="78"/>
  <c r="H41" i="77"/>
  <c r="S41" i="77"/>
  <c r="G41" i="77"/>
  <c r="U41" i="74"/>
  <c r="L41" i="77"/>
  <c r="L41" i="74"/>
  <c r="AA41" i="74"/>
  <c r="K41" i="77"/>
  <c r="O41" i="77"/>
  <c r="W41" i="77"/>
  <c r="X41" i="74"/>
  <c r="M41" i="74"/>
  <c r="V41" i="74"/>
  <c r="Z41" i="77"/>
  <c r="K41" i="74"/>
  <c r="W41" i="74"/>
  <c r="J41" i="77"/>
  <c r="V41" i="77"/>
  <c r="T41" i="78"/>
  <c r="T41" i="77"/>
  <c r="S41" i="74"/>
  <c r="I41" i="77"/>
  <c r="X41" i="77"/>
  <c r="O41" i="74"/>
  <c r="I41" i="74"/>
  <c r="H41" i="75"/>
  <c r="H41" i="74"/>
  <c r="J41" i="74"/>
  <c r="Y41" i="74"/>
  <c r="M41" i="77"/>
  <c r="U41" i="77"/>
  <c r="Y41" i="77"/>
  <c r="U42" i="76" a="1"/>
  <c r="AB42" i="76" s="1"/>
  <c r="AE41" i="76"/>
  <c r="R41" i="76"/>
  <c r="H42" i="76" a="1"/>
  <c r="AE41" i="73"/>
  <c r="U42" i="73" a="1"/>
  <c r="H42" i="73" a="1"/>
  <c r="R41" i="73"/>
  <c r="F93" i="73"/>
  <c r="E95" i="73"/>
  <c r="D96" i="73"/>
  <c r="F96" i="76"/>
  <c r="D96" i="76"/>
  <c r="E95" i="76"/>
  <c r="D96" i="77"/>
  <c r="E95" i="77"/>
  <c r="F95" i="77" s="1" a="1"/>
  <c r="F95" i="77" s="1"/>
  <c r="E95" i="75"/>
  <c r="D96" i="75"/>
  <c r="D96" i="74"/>
  <c r="E95" i="74"/>
  <c r="F95" i="74" s="1" a="1"/>
  <c r="F95" i="74" s="1"/>
  <c r="D98" i="78"/>
  <c r="E97" i="78"/>
  <c r="G95" i="76" l="1"/>
  <c r="G95" i="73"/>
  <c r="Z42" i="77"/>
  <c r="Q41" i="77"/>
  <c r="AC41" i="74"/>
  <c r="AC41" i="77"/>
  <c r="Q41" i="74"/>
  <c r="Y42" i="76"/>
  <c r="AC42" i="76"/>
  <c r="U42" i="76"/>
  <c r="Z42" i="76"/>
  <c r="X42" i="76"/>
  <c r="W42" i="76"/>
  <c r="AA42" i="76"/>
  <c r="AD42" i="76"/>
  <c r="AB43" i="78" s="1"/>
  <c r="V42" i="76"/>
  <c r="H42" i="76"/>
  <c r="I42" i="76"/>
  <c r="J42" i="76"/>
  <c r="K42" i="76"/>
  <c r="L42" i="76"/>
  <c r="P42" i="76"/>
  <c r="M42" i="76"/>
  <c r="Q42" i="76"/>
  <c r="P43" i="78" s="1"/>
  <c r="N42" i="76"/>
  <c r="O42" i="76"/>
  <c r="AD42" i="73"/>
  <c r="W42" i="73"/>
  <c r="AB42" i="73"/>
  <c r="AC42" i="73"/>
  <c r="X42" i="73"/>
  <c r="V42" i="73"/>
  <c r="Y42" i="73"/>
  <c r="Z42" i="73"/>
  <c r="AA42" i="73"/>
  <c r="U42" i="73"/>
  <c r="I42" i="73"/>
  <c r="P42" i="73"/>
  <c r="Q42" i="73"/>
  <c r="J42" i="73"/>
  <c r="L42" i="73"/>
  <c r="N42" i="73"/>
  <c r="K42" i="73"/>
  <c r="O42" i="73"/>
  <c r="M42" i="73"/>
  <c r="H42" i="73"/>
  <c r="F97" i="76"/>
  <c r="D99" i="78"/>
  <c r="E98" i="78"/>
  <c r="D97" i="73"/>
  <c r="E96" i="73"/>
  <c r="G96" i="73" s="1"/>
  <c r="E96" i="74"/>
  <c r="F96" i="74" s="1" a="1"/>
  <c r="F96" i="74" s="1"/>
  <c r="D97" i="74"/>
  <c r="F94" i="73"/>
  <c r="E96" i="75"/>
  <c r="D97" i="75"/>
  <c r="E96" i="77"/>
  <c r="F96" i="77" s="1" a="1"/>
  <c r="F96" i="77" s="1"/>
  <c r="D97" i="77"/>
  <c r="D97" i="76"/>
  <c r="E96" i="76"/>
  <c r="AF42" i="73" l="1"/>
  <c r="S42" i="73"/>
  <c r="AF42" i="76"/>
  <c r="S42" i="76"/>
  <c r="AB43" i="75"/>
  <c r="P43" i="75"/>
  <c r="G96" i="76"/>
  <c r="J42" i="74"/>
  <c r="M42" i="74"/>
  <c r="X42" i="74"/>
  <c r="N42" i="77"/>
  <c r="H42" i="78"/>
  <c r="H42" i="77"/>
  <c r="S42" i="77"/>
  <c r="I42" i="77"/>
  <c r="X42" i="77"/>
  <c r="K42" i="74"/>
  <c r="W42" i="74"/>
  <c r="M42" i="77"/>
  <c r="G42" i="77"/>
  <c r="AA42" i="77"/>
  <c r="T42" i="78"/>
  <c r="T42" i="77"/>
  <c r="W42" i="77"/>
  <c r="G42" i="74"/>
  <c r="O42" i="74"/>
  <c r="AA42" i="74"/>
  <c r="O42" i="77"/>
  <c r="Y42" i="77"/>
  <c r="I42" i="74"/>
  <c r="L42" i="77"/>
  <c r="L42" i="74"/>
  <c r="H42" i="75"/>
  <c r="H42" i="74"/>
  <c r="Z42" i="74"/>
  <c r="K42" i="77"/>
  <c r="U42" i="77"/>
  <c r="Y42" i="74"/>
  <c r="T42" i="75"/>
  <c r="T42" i="74"/>
  <c r="V42" i="74"/>
  <c r="N42" i="74"/>
  <c r="S42" i="74"/>
  <c r="U42" i="74"/>
  <c r="J42" i="77"/>
  <c r="V42" i="77"/>
  <c r="AE42" i="76"/>
  <c r="U43" i="76" a="1"/>
  <c r="AD43" i="76" s="1"/>
  <c r="AB44" i="78" s="1"/>
  <c r="H43" i="76" a="1"/>
  <c r="R42" i="76"/>
  <c r="R42" i="73"/>
  <c r="H43" i="73" a="1"/>
  <c r="AE42" i="73"/>
  <c r="U43" i="73" a="1"/>
  <c r="E97" i="75"/>
  <c r="D98" i="75"/>
  <c r="E97" i="77"/>
  <c r="F97" i="77" s="1" a="1"/>
  <c r="F97" i="77" s="1"/>
  <c r="D98" i="77"/>
  <c r="F95" i="73"/>
  <c r="F98" i="76"/>
  <c r="D98" i="76"/>
  <c r="E97" i="76"/>
  <c r="D98" i="74"/>
  <c r="E97" i="74"/>
  <c r="F97" i="74" s="1" a="1"/>
  <c r="F97" i="74" s="1"/>
  <c r="D100" i="78"/>
  <c r="E99" i="78"/>
  <c r="E97" i="73"/>
  <c r="D98" i="73"/>
  <c r="G97" i="73" l="1"/>
  <c r="G97" i="76"/>
  <c r="Q42" i="77"/>
  <c r="AC42" i="77"/>
  <c r="AC42" i="74"/>
  <c r="Q42" i="74"/>
  <c r="U43" i="76"/>
  <c r="AA43" i="76"/>
  <c r="X43" i="76"/>
  <c r="AB43" i="76"/>
  <c r="W43" i="76"/>
  <c r="Z43" i="76"/>
  <c r="V43" i="76"/>
  <c r="AC43" i="76"/>
  <c r="Y43" i="76"/>
  <c r="J43" i="76"/>
  <c r="M43" i="76"/>
  <c r="I43" i="76"/>
  <c r="Q43" i="76"/>
  <c r="P44" i="78" s="1"/>
  <c r="N43" i="76"/>
  <c r="O43" i="76"/>
  <c r="K43" i="76"/>
  <c r="H43" i="76"/>
  <c r="L43" i="76"/>
  <c r="P43" i="76"/>
  <c r="Z43" i="73"/>
  <c r="W43" i="73"/>
  <c r="AA43" i="73"/>
  <c r="Y43" i="73"/>
  <c r="AB43" i="73"/>
  <c r="AC43" i="73"/>
  <c r="U43" i="73"/>
  <c r="V43" i="73"/>
  <c r="AD43" i="73"/>
  <c r="X43" i="73"/>
  <c r="L43" i="73"/>
  <c r="M43" i="73"/>
  <c r="O43" i="73"/>
  <c r="I43" i="73"/>
  <c r="N43" i="73"/>
  <c r="H43" i="73"/>
  <c r="Q43" i="73"/>
  <c r="P43" i="73"/>
  <c r="J43" i="73"/>
  <c r="K43" i="73"/>
  <c r="E98" i="73"/>
  <c r="D99" i="73"/>
  <c r="F99" i="76"/>
  <c r="F96" i="73"/>
  <c r="D101" i="78"/>
  <c r="E100" i="78"/>
  <c r="E98" i="77"/>
  <c r="F98" i="77" s="1" a="1"/>
  <c r="F98" i="77" s="1"/>
  <c r="D99" i="77"/>
  <c r="E98" i="75"/>
  <c r="D99" i="75"/>
  <c r="D99" i="74"/>
  <c r="E98" i="74"/>
  <c r="F98" i="74" s="1" a="1"/>
  <c r="F98" i="74" s="1"/>
  <c r="E98" i="76"/>
  <c r="D99" i="76"/>
  <c r="AF43" i="76" l="1"/>
  <c r="AF43" i="73"/>
  <c r="S43" i="73"/>
  <c r="S43" i="76"/>
  <c r="AB44" i="75"/>
  <c r="P44" i="75"/>
  <c r="G98" i="76"/>
  <c r="G98" i="73"/>
  <c r="Z43" i="74"/>
  <c r="W43" i="74"/>
  <c r="N43" i="77"/>
  <c r="T43" i="78"/>
  <c r="T43" i="77"/>
  <c r="J43" i="77"/>
  <c r="I43" i="74"/>
  <c r="M43" i="77"/>
  <c r="J43" i="74"/>
  <c r="O43" i="74"/>
  <c r="U43" i="77"/>
  <c r="X43" i="74"/>
  <c r="T43" i="75"/>
  <c r="T43" i="74"/>
  <c r="O43" i="77"/>
  <c r="L43" i="77"/>
  <c r="V43" i="77"/>
  <c r="N43" i="74"/>
  <c r="AA43" i="77"/>
  <c r="L43" i="74"/>
  <c r="K43" i="74"/>
  <c r="Y43" i="74"/>
  <c r="X43" i="77"/>
  <c r="V43" i="74"/>
  <c r="U43" i="74"/>
  <c r="H43" i="78"/>
  <c r="H43" i="77"/>
  <c r="M43" i="74"/>
  <c r="S43" i="74"/>
  <c r="K43" i="77"/>
  <c r="I43" i="77"/>
  <c r="Y43" i="77"/>
  <c r="Z43" i="77"/>
  <c r="G43" i="74"/>
  <c r="H43" i="75"/>
  <c r="H43" i="74"/>
  <c r="AA43" i="74"/>
  <c r="G43" i="77"/>
  <c r="W43" i="77"/>
  <c r="S43" i="77"/>
  <c r="AE43" i="76"/>
  <c r="U44" i="76" a="1"/>
  <c r="Y44" i="76" s="1"/>
  <c r="R43" i="76"/>
  <c r="H44" i="76" a="1"/>
  <c r="AE43" i="73"/>
  <c r="U44" i="73" a="1"/>
  <c r="R43" i="73"/>
  <c r="H44" i="73" a="1"/>
  <c r="E99" i="77"/>
  <c r="F99" i="77" s="1" a="1"/>
  <c r="F99" i="77" s="1"/>
  <c r="D100" i="77"/>
  <c r="F97" i="73"/>
  <c r="D102" i="78"/>
  <c r="E101" i="78"/>
  <c r="E99" i="76"/>
  <c r="D100" i="76"/>
  <c r="E99" i="75"/>
  <c r="D100" i="75"/>
  <c r="F100" i="76"/>
  <c r="D100" i="73"/>
  <c r="E99" i="73"/>
  <c r="E99" i="74"/>
  <c r="F99" i="74" s="1" a="1"/>
  <c r="F99" i="74" s="1"/>
  <c r="D100" i="74"/>
  <c r="G99" i="73" l="1"/>
  <c r="G99" i="76"/>
  <c r="W44" i="77"/>
  <c r="AC43" i="77"/>
  <c r="Q43" i="77"/>
  <c r="AC43" i="74"/>
  <c r="Q43" i="74"/>
  <c r="X44" i="76"/>
  <c r="Z44" i="76"/>
  <c r="AD44" i="76"/>
  <c r="AB45" i="78" s="1"/>
  <c r="AB44" i="76"/>
  <c r="V44" i="76"/>
  <c r="AC44" i="76"/>
  <c r="U44" i="76"/>
  <c r="W44" i="76"/>
  <c r="AA44" i="76"/>
  <c r="P44" i="76"/>
  <c r="I44" i="76"/>
  <c r="Q44" i="76"/>
  <c r="P45" i="78" s="1"/>
  <c r="J44" i="76"/>
  <c r="N44" i="76"/>
  <c r="K44" i="76"/>
  <c r="O44" i="76"/>
  <c r="L44" i="76"/>
  <c r="M44" i="76"/>
  <c r="H44" i="76"/>
  <c r="L44" i="73"/>
  <c r="K44" i="73"/>
  <c r="M44" i="73"/>
  <c r="Q44" i="73"/>
  <c r="N44" i="73"/>
  <c r="O44" i="73"/>
  <c r="H44" i="73"/>
  <c r="P44" i="73"/>
  <c r="J44" i="73"/>
  <c r="I44" i="73"/>
  <c r="AD44" i="73"/>
  <c r="W44" i="73"/>
  <c r="X44" i="73"/>
  <c r="Y44" i="73"/>
  <c r="V44" i="73"/>
  <c r="AA44" i="73"/>
  <c r="U44" i="73"/>
  <c r="Z44" i="73"/>
  <c r="AC44" i="73"/>
  <c r="AB44" i="73"/>
  <c r="E100" i="75"/>
  <c r="D101" i="75"/>
  <c r="D103" i="78"/>
  <c r="E102" i="78"/>
  <c r="D101" i="77"/>
  <c r="E100" i="77"/>
  <c r="F100" i="77" s="1" a="1"/>
  <c r="F100" i="77" s="1"/>
  <c r="F101" i="76"/>
  <c r="F98" i="73"/>
  <c r="E100" i="74"/>
  <c r="F100" i="74" s="1" a="1"/>
  <c r="F100" i="74" s="1"/>
  <c r="D101" i="74"/>
  <c r="E100" i="73"/>
  <c r="D101" i="73"/>
  <c r="D101" i="76"/>
  <c r="E100" i="76"/>
  <c r="G100" i="76" s="1"/>
  <c r="AF44" i="73" l="1"/>
  <c r="S44" i="73"/>
  <c r="AF44" i="76"/>
  <c r="S44" i="76"/>
  <c r="P45" i="75"/>
  <c r="AB45" i="75"/>
  <c r="G100" i="73"/>
  <c r="S44" i="74"/>
  <c r="K44" i="74"/>
  <c r="G44" i="77"/>
  <c r="T44" i="75"/>
  <c r="T44" i="74"/>
  <c r="G44" i="74"/>
  <c r="L44" i="77"/>
  <c r="O44" i="77"/>
  <c r="X44" i="77"/>
  <c r="Z44" i="77"/>
  <c r="Y44" i="74"/>
  <c r="O44" i="74"/>
  <c r="H44" i="78"/>
  <c r="H44" i="77"/>
  <c r="W44" i="74"/>
  <c r="N44" i="74"/>
  <c r="K44" i="77"/>
  <c r="Y44" i="77"/>
  <c r="V44" i="77"/>
  <c r="M44" i="74"/>
  <c r="J44" i="77"/>
  <c r="S44" i="77"/>
  <c r="L44" i="74"/>
  <c r="M44" i="77"/>
  <c r="AA44" i="77"/>
  <c r="I44" i="74"/>
  <c r="V44" i="74"/>
  <c r="N44" i="77"/>
  <c r="U44" i="77"/>
  <c r="Z44" i="74"/>
  <c r="U44" i="74"/>
  <c r="AA44" i="74"/>
  <c r="X44" i="74"/>
  <c r="H44" i="75"/>
  <c r="H44" i="74"/>
  <c r="J44" i="74"/>
  <c r="I44" i="77"/>
  <c r="T44" i="78"/>
  <c r="T44" i="77"/>
  <c r="AE44" i="76"/>
  <c r="U45" i="76" a="1"/>
  <c r="U45" i="76" s="1"/>
  <c r="R44" i="76"/>
  <c r="H45" i="76" a="1"/>
  <c r="H45" i="73" a="1"/>
  <c r="R44" i="73"/>
  <c r="AE44" i="73"/>
  <c r="U45" i="73" a="1"/>
  <c r="E101" i="75"/>
  <c r="D102" i="75"/>
  <c r="D102" i="77"/>
  <c r="E101" i="77"/>
  <c r="F101" i="77" s="1" a="1"/>
  <c r="F101" i="77" s="1"/>
  <c r="F102" i="76"/>
  <c r="E101" i="76"/>
  <c r="D102" i="76"/>
  <c r="E101" i="74"/>
  <c r="F101" i="74" s="1" a="1"/>
  <c r="F101" i="74" s="1"/>
  <c r="D102" i="74"/>
  <c r="F99" i="73"/>
  <c r="D104" i="78"/>
  <c r="E103" i="78"/>
  <c r="D102" i="73"/>
  <c r="E101" i="73"/>
  <c r="G101" i="76" l="1"/>
  <c r="G101" i="73"/>
  <c r="S45" i="77"/>
  <c r="AC44" i="74"/>
  <c r="Q44" i="77"/>
  <c r="AC44" i="77"/>
  <c r="Q44" i="74"/>
  <c r="X45" i="76"/>
  <c r="W45" i="76"/>
  <c r="AC45" i="76"/>
  <c r="V45" i="76"/>
  <c r="Y45" i="76"/>
  <c r="Z45" i="76"/>
  <c r="AB45" i="76"/>
  <c r="AA45" i="76"/>
  <c r="AD45" i="76"/>
  <c r="AB46" i="78" s="1"/>
  <c r="P45" i="76"/>
  <c r="K45" i="76"/>
  <c r="L45" i="76"/>
  <c r="Q45" i="76"/>
  <c r="P46" i="78" s="1"/>
  <c r="M45" i="76"/>
  <c r="I45" i="76"/>
  <c r="N45" i="76"/>
  <c r="J45" i="76"/>
  <c r="O45" i="76"/>
  <c r="H45" i="76"/>
  <c r="J45" i="73"/>
  <c r="K45" i="73"/>
  <c r="M45" i="73"/>
  <c r="O45" i="73"/>
  <c r="L45" i="73"/>
  <c r="H45" i="73"/>
  <c r="N45" i="73"/>
  <c r="P45" i="73"/>
  <c r="I45" i="73"/>
  <c r="Q45" i="73"/>
  <c r="AD45" i="73"/>
  <c r="U45" i="73"/>
  <c r="X45" i="73"/>
  <c r="W45" i="73"/>
  <c r="Y45" i="73"/>
  <c r="AC45" i="73"/>
  <c r="Z45" i="73"/>
  <c r="V45" i="73"/>
  <c r="AA45" i="73"/>
  <c r="AB45" i="73"/>
  <c r="D103" i="75"/>
  <c r="E102" i="75"/>
  <c r="F100" i="73"/>
  <c r="D103" i="74"/>
  <c r="E102" i="74"/>
  <c r="F102" i="74" s="1" a="1"/>
  <c r="F102" i="74" s="1"/>
  <c r="D105" i="78"/>
  <c r="E104" i="78"/>
  <c r="D103" i="73"/>
  <c r="E102" i="73"/>
  <c r="D103" i="76"/>
  <c r="E102" i="76"/>
  <c r="F103" i="76"/>
  <c r="D103" i="77"/>
  <c r="E102" i="77"/>
  <c r="F102" i="77" s="1" a="1"/>
  <c r="F102" i="77" s="1"/>
  <c r="AF45" i="76" l="1"/>
  <c r="S45" i="73"/>
  <c r="AF45" i="73"/>
  <c r="S45" i="76"/>
  <c r="AB46" i="75"/>
  <c r="P46" i="75"/>
  <c r="G102" i="73"/>
  <c r="G102" i="76"/>
  <c r="U45" i="74"/>
  <c r="Y45" i="74"/>
  <c r="T45" i="75"/>
  <c r="T45" i="74"/>
  <c r="AA45" i="74"/>
  <c r="O45" i="74"/>
  <c r="G45" i="77"/>
  <c r="J45" i="77"/>
  <c r="AA45" i="77"/>
  <c r="J45" i="74"/>
  <c r="X45" i="74"/>
  <c r="H45" i="75"/>
  <c r="H45" i="74"/>
  <c r="I45" i="74"/>
  <c r="K45" i="77"/>
  <c r="T45" i="78"/>
  <c r="T45" i="77"/>
  <c r="W45" i="74"/>
  <c r="M45" i="74"/>
  <c r="N45" i="77"/>
  <c r="O45" i="77"/>
  <c r="U45" i="77"/>
  <c r="V45" i="77"/>
  <c r="G45" i="74"/>
  <c r="V45" i="74"/>
  <c r="M45" i="77"/>
  <c r="I45" i="77"/>
  <c r="K45" i="74"/>
  <c r="Y45" i="77"/>
  <c r="Z45" i="74"/>
  <c r="S45" i="74"/>
  <c r="N45" i="74"/>
  <c r="H45" i="78"/>
  <c r="H45" i="77"/>
  <c r="Z45" i="77"/>
  <c r="L45" i="74"/>
  <c r="L45" i="77"/>
  <c r="X45" i="77"/>
  <c r="W45" i="77"/>
  <c r="AE45" i="76"/>
  <c r="U46" i="76" a="1"/>
  <c r="U46" i="76" s="1"/>
  <c r="H46" i="76" a="1"/>
  <c r="R45" i="76"/>
  <c r="H46" i="73" a="1"/>
  <c r="R45" i="73"/>
  <c r="U46" i="73" a="1"/>
  <c r="AE45" i="73"/>
  <c r="F101" i="73"/>
  <c r="D104" i="75"/>
  <c r="E103" i="75"/>
  <c r="F104" i="76"/>
  <c r="E103" i="73"/>
  <c r="D104" i="73"/>
  <c r="D104" i="77"/>
  <c r="E103" i="77"/>
  <c r="F103" i="77" s="1" a="1"/>
  <c r="F103" i="77" s="1"/>
  <c r="D104" i="76"/>
  <c r="E103" i="76"/>
  <c r="D104" i="74"/>
  <c r="E103" i="74"/>
  <c r="F103" i="74" s="1" a="1"/>
  <c r="F103" i="74" s="1"/>
  <c r="D106" i="78"/>
  <c r="E105" i="78"/>
  <c r="G103" i="73" l="1"/>
  <c r="G103" i="76"/>
  <c r="S46" i="77"/>
  <c r="AC45" i="77"/>
  <c r="AC45" i="74"/>
  <c r="Q45" i="77"/>
  <c r="Q45" i="74"/>
  <c r="V46" i="76"/>
  <c r="AB46" i="76"/>
  <c r="X46" i="76"/>
  <c r="W46" i="76"/>
  <c r="AD46" i="76"/>
  <c r="AB47" i="78" s="1"/>
  <c r="Z46" i="76"/>
  <c r="AA46" i="76"/>
  <c r="AC46" i="76"/>
  <c r="Y46" i="76"/>
  <c r="N46" i="76"/>
  <c r="O46" i="76"/>
  <c r="H46" i="76"/>
  <c r="L46" i="76"/>
  <c r="Q46" i="76"/>
  <c r="P47" i="78" s="1"/>
  <c r="P46" i="76"/>
  <c r="M46" i="76"/>
  <c r="K46" i="76"/>
  <c r="I46" i="76"/>
  <c r="J46" i="76"/>
  <c r="AD46" i="73"/>
  <c r="W46" i="73"/>
  <c r="Y46" i="73"/>
  <c r="AA46" i="73"/>
  <c r="X46" i="73"/>
  <c r="AB46" i="73"/>
  <c r="Z46" i="73"/>
  <c r="U46" i="73"/>
  <c r="V46" i="73"/>
  <c r="AC46" i="73"/>
  <c r="H46" i="73"/>
  <c r="P46" i="73"/>
  <c r="I46" i="73"/>
  <c r="N46" i="73"/>
  <c r="J46" i="73"/>
  <c r="O46" i="73"/>
  <c r="K46" i="73"/>
  <c r="Q46" i="73"/>
  <c r="L46" i="73"/>
  <c r="M46" i="73"/>
  <c r="E104" i="76"/>
  <c r="D105" i="76"/>
  <c r="F105" i="76"/>
  <c r="D105" i="73"/>
  <c r="E104" i="73"/>
  <c r="F102" i="73"/>
  <c r="E104" i="74"/>
  <c r="F104" i="74" s="1" a="1"/>
  <c r="F104" i="74" s="1"/>
  <c r="D105" i="74"/>
  <c r="E104" i="77"/>
  <c r="F104" i="77" s="1" a="1"/>
  <c r="F104" i="77" s="1"/>
  <c r="D105" i="77"/>
  <c r="D105" i="75"/>
  <c r="E104" i="75"/>
  <c r="D107" i="78"/>
  <c r="E106" i="78"/>
  <c r="AF46" i="76" l="1"/>
  <c r="AF46" i="73"/>
  <c r="S46" i="76"/>
  <c r="S46" i="73"/>
  <c r="AB47" i="75"/>
  <c r="P47" i="75"/>
  <c r="G104" i="76"/>
  <c r="G104" i="73"/>
  <c r="K46" i="74"/>
  <c r="G46" i="74"/>
  <c r="W46" i="74"/>
  <c r="AA46" i="74"/>
  <c r="N46" i="74"/>
  <c r="S46" i="74"/>
  <c r="I46" i="77"/>
  <c r="N46" i="77"/>
  <c r="V46" i="77"/>
  <c r="U46" i="74"/>
  <c r="K46" i="77"/>
  <c r="J46" i="74"/>
  <c r="T46" i="75"/>
  <c r="T46" i="74"/>
  <c r="G46" i="77"/>
  <c r="I46" i="74"/>
  <c r="X46" i="74"/>
  <c r="H46" i="78"/>
  <c r="H46" i="77"/>
  <c r="M46" i="77"/>
  <c r="Z46" i="77"/>
  <c r="U46" i="77"/>
  <c r="M46" i="74"/>
  <c r="Z46" i="74"/>
  <c r="J46" i="77"/>
  <c r="W46" i="77"/>
  <c r="T46" i="78"/>
  <c r="T46" i="77"/>
  <c r="H46" i="75"/>
  <c r="H46" i="74"/>
  <c r="V46" i="74"/>
  <c r="L46" i="77"/>
  <c r="AA46" i="77"/>
  <c r="L46" i="74"/>
  <c r="O46" i="74"/>
  <c r="Y46" i="74"/>
  <c r="O46" i="77"/>
  <c r="Y46" i="77"/>
  <c r="X46" i="77"/>
  <c r="U47" i="76" a="1"/>
  <c r="U47" i="76" s="1"/>
  <c r="AE46" i="76"/>
  <c r="R46" i="76"/>
  <c r="H47" i="76" a="1"/>
  <c r="AE46" i="73"/>
  <c r="U47" i="73" a="1"/>
  <c r="R46" i="73"/>
  <c r="H47" i="73" a="1"/>
  <c r="D108" i="78"/>
  <c r="E107" i="78"/>
  <c r="E105" i="73"/>
  <c r="D106" i="73"/>
  <c r="D106" i="76"/>
  <c r="E105" i="76"/>
  <c r="D106" i="75"/>
  <c r="E105" i="75"/>
  <c r="E105" i="77"/>
  <c r="F105" i="77" s="1" a="1"/>
  <c r="F105" i="77" s="1"/>
  <c r="D106" i="77"/>
  <c r="D106" i="74"/>
  <c r="E105" i="74"/>
  <c r="F105" i="74" s="1" a="1"/>
  <c r="F105" i="74" s="1"/>
  <c r="F103" i="73"/>
  <c r="F106" i="76"/>
  <c r="G105" i="73" l="1"/>
  <c r="G105" i="76"/>
  <c r="S47" i="77"/>
  <c r="AC46" i="77"/>
  <c r="AC46" i="74"/>
  <c r="Q46" i="77"/>
  <c r="Q46" i="74"/>
  <c r="Y47" i="76"/>
  <c r="Z47" i="76"/>
  <c r="W47" i="76"/>
  <c r="X47" i="76"/>
  <c r="AB47" i="76"/>
  <c r="AC47" i="76"/>
  <c r="AD47" i="76"/>
  <c r="AB48" i="78" s="1"/>
  <c r="V47" i="76"/>
  <c r="AA47" i="76"/>
  <c r="L47" i="76"/>
  <c r="O47" i="76"/>
  <c r="M47" i="76"/>
  <c r="N47" i="76"/>
  <c r="P47" i="76"/>
  <c r="I47" i="76"/>
  <c r="Q47" i="76"/>
  <c r="P48" i="78" s="1"/>
  <c r="H47" i="76"/>
  <c r="K47" i="76"/>
  <c r="J47" i="76"/>
  <c r="W47" i="73"/>
  <c r="X47" i="73"/>
  <c r="AD47" i="73"/>
  <c r="AC47" i="73"/>
  <c r="Y47" i="73"/>
  <c r="Z47" i="73"/>
  <c r="AB47" i="73"/>
  <c r="U47" i="73"/>
  <c r="V47" i="73"/>
  <c r="AA47" i="73"/>
  <c r="Q47" i="73"/>
  <c r="K47" i="73"/>
  <c r="M47" i="73"/>
  <c r="L47" i="73"/>
  <c r="N47" i="73"/>
  <c r="J47" i="73"/>
  <c r="I47" i="73"/>
  <c r="O47" i="73"/>
  <c r="H47" i="73"/>
  <c r="P47" i="73"/>
  <c r="D107" i="75"/>
  <c r="E106" i="75"/>
  <c r="D109" i="78"/>
  <c r="E108" i="78"/>
  <c r="E106" i="77"/>
  <c r="F106" i="77" s="1" a="1"/>
  <c r="F106" i="77" s="1"/>
  <c r="D107" i="77"/>
  <c r="E106" i="73"/>
  <c r="D107" i="73"/>
  <c r="F104" i="73"/>
  <c r="D107" i="74"/>
  <c r="E106" i="74"/>
  <c r="F106" i="74" s="1" a="1"/>
  <c r="F106" i="74" s="1"/>
  <c r="F107" i="76"/>
  <c r="E106" i="76"/>
  <c r="D107" i="76"/>
  <c r="AF47" i="73" l="1"/>
  <c r="S47" i="76"/>
  <c r="S47" i="73"/>
  <c r="AF47" i="76"/>
  <c r="AB48" i="75"/>
  <c r="P48" i="75"/>
  <c r="G106" i="73"/>
  <c r="G106" i="76"/>
  <c r="O47" i="74"/>
  <c r="H47" i="78"/>
  <c r="H47" i="77"/>
  <c r="G47" i="74"/>
  <c r="H47" i="75"/>
  <c r="H47" i="74"/>
  <c r="U47" i="74"/>
  <c r="V47" i="77"/>
  <c r="I47" i="74"/>
  <c r="S47" i="74"/>
  <c r="I47" i="77"/>
  <c r="N47" i="77"/>
  <c r="U47" i="77"/>
  <c r="J47" i="74"/>
  <c r="T47" i="75"/>
  <c r="T47" i="74"/>
  <c r="L47" i="77"/>
  <c r="M47" i="74"/>
  <c r="Z47" i="74"/>
  <c r="J47" i="77"/>
  <c r="K47" i="77"/>
  <c r="X47" i="77"/>
  <c r="W47" i="74"/>
  <c r="AA47" i="74"/>
  <c r="K47" i="74"/>
  <c r="X47" i="74"/>
  <c r="G47" i="77"/>
  <c r="Y47" i="77"/>
  <c r="W47" i="77"/>
  <c r="L47" i="74"/>
  <c r="T47" i="78"/>
  <c r="T47" i="77"/>
  <c r="O47" i="77"/>
  <c r="AA47" i="77"/>
  <c r="N47" i="74"/>
  <c r="Y47" i="74"/>
  <c r="V47" i="74"/>
  <c r="M47" i="77"/>
  <c r="Z47" i="77"/>
  <c r="AE47" i="76"/>
  <c r="U48" i="76" a="1"/>
  <c r="U48" i="76" s="1"/>
  <c r="H48" i="76" a="1"/>
  <c r="R47" i="76"/>
  <c r="H48" i="73" a="1"/>
  <c r="R47" i="73"/>
  <c r="U48" i="73" a="1"/>
  <c r="AE47" i="73"/>
  <c r="E107" i="76"/>
  <c r="D108" i="76"/>
  <c r="D108" i="75"/>
  <c r="E107" i="75"/>
  <c r="E107" i="74"/>
  <c r="F107" i="74" s="1" a="1"/>
  <c r="F107" i="74" s="1"/>
  <c r="D108" i="74"/>
  <c r="D108" i="73"/>
  <c r="E107" i="73"/>
  <c r="E107" i="77"/>
  <c r="F107" i="77" s="1" a="1"/>
  <c r="F107" i="77" s="1"/>
  <c r="D108" i="77"/>
  <c r="F105" i="73"/>
  <c r="F108" i="76"/>
  <c r="D110" i="78"/>
  <c r="E109" i="78"/>
  <c r="G107" i="76" l="1"/>
  <c r="G107" i="73"/>
  <c r="S48" i="77"/>
  <c r="AC47" i="77"/>
  <c r="AC47" i="74"/>
  <c r="Q47" i="77"/>
  <c r="Q47" i="74"/>
  <c r="Z48" i="76"/>
  <c r="Y48" i="76"/>
  <c r="AC48" i="76"/>
  <c r="AB48" i="76"/>
  <c r="X48" i="76"/>
  <c r="AA48" i="76"/>
  <c r="W48" i="76"/>
  <c r="V48" i="76"/>
  <c r="AD48" i="76"/>
  <c r="AB49" i="78" s="1"/>
  <c r="N48" i="76"/>
  <c r="K48" i="76"/>
  <c r="O48" i="76"/>
  <c r="M48" i="76"/>
  <c r="H48" i="76"/>
  <c r="P48" i="76"/>
  <c r="I48" i="76"/>
  <c r="Q48" i="76"/>
  <c r="P49" i="78" s="1"/>
  <c r="L48" i="76"/>
  <c r="J48" i="76"/>
  <c r="K48" i="73"/>
  <c r="L48" i="73"/>
  <c r="I48" i="73"/>
  <c r="N48" i="73"/>
  <c r="H48" i="73"/>
  <c r="O48" i="73"/>
  <c r="P48" i="73"/>
  <c r="M48" i="73"/>
  <c r="Q48" i="73"/>
  <c r="J48" i="73"/>
  <c r="V48" i="73"/>
  <c r="U48" i="73"/>
  <c r="Y48" i="73"/>
  <c r="X48" i="73"/>
  <c r="AB48" i="73"/>
  <c r="Z48" i="73"/>
  <c r="AD48" i="73"/>
  <c r="AA48" i="73"/>
  <c r="AC48" i="73"/>
  <c r="W48" i="73"/>
  <c r="F106" i="73"/>
  <c r="D109" i="76"/>
  <c r="E108" i="76"/>
  <c r="E108" i="74"/>
  <c r="F108" i="74" s="1" a="1"/>
  <c r="F108" i="74" s="1"/>
  <c r="D109" i="74"/>
  <c r="E108" i="73"/>
  <c r="D109" i="73"/>
  <c r="D109" i="75"/>
  <c r="E108" i="75"/>
  <c r="D111" i="78"/>
  <c r="E110" i="78"/>
  <c r="F109" i="76"/>
  <c r="D109" i="77"/>
  <c r="E108" i="77"/>
  <c r="F108" i="77" s="1" a="1"/>
  <c r="F108" i="77" s="1"/>
  <c r="S48" i="73" l="1"/>
  <c r="AF48" i="73"/>
  <c r="AF48" i="76"/>
  <c r="S48" i="76"/>
  <c r="P49" i="75"/>
  <c r="AB49" i="75"/>
  <c r="G108" i="73"/>
  <c r="G108" i="76"/>
  <c r="J48" i="74"/>
  <c r="N48" i="77"/>
  <c r="Z48" i="77"/>
  <c r="X48" i="74"/>
  <c r="L48" i="74"/>
  <c r="I48" i="77"/>
  <c r="J48" i="77"/>
  <c r="AA48" i="77"/>
  <c r="Z48" i="74"/>
  <c r="O48" i="74"/>
  <c r="K48" i="77"/>
  <c r="M48" i="77"/>
  <c r="W48" i="77"/>
  <c r="X48" i="77"/>
  <c r="V48" i="74"/>
  <c r="H48" i="78"/>
  <c r="H48" i="77"/>
  <c r="U48" i="74"/>
  <c r="S48" i="74"/>
  <c r="M48" i="74"/>
  <c r="O48" i="77"/>
  <c r="U48" i="77"/>
  <c r="W48" i="74"/>
  <c r="G48" i="74"/>
  <c r="AA48" i="74"/>
  <c r="T48" i="75"/>
  <c r="T48" i="74"/>
  <c r="H48" i="75"/>
  <c r="H48" i="74"/>
  <c r="G48" i="77"/>
  <c r="Y48" i="77"/>
  <c r="N48" i="74"/>
  <c r="T48" i="78"/>
  <c r="T48" i="77"/>
  <c r="Y48" i="74"/>
  <c r="I48" i="74"/>
  <c r="K48" i="74"/>
  <c r="L48" i="77"/>
  <c r="V48" i="77"/>
  <c r="U49" i="76" a="1"/>
  <c r="Z49" i="76" s="1"/>
  <c r="X49" i="77" s="1"/>
  <c r="AE48" i="76"/>
  <c r="H49" i="76" a="1"/>
  <c r="R48" i="76"/>
  <c r="U49" i="73" a="1"/>
  <c r="AE48" i="73"/>
  <c r="H49" i="73" a="1"/>
  <c r="R48" i="73"/>
  <c r="D110" i="77"/>
  <c r="E109" i="77"/>
  <c r="F109" i="77" s="1" a="1"/>
  <c r="F109" i="77" s="1"/>
  <c r="F107" i="73"/>
  <c r="F110" i="76"/>
  <c r="D112" i="78"/>
  <c r="E111" i="78"/>
  <c r="D110" i="73"/>
  <c r="E109" i="73"/>
  <c r="E109" i="74"/>
  <c r="F109" i="74" s="1" a="1"/>
  <c r="F109" i="74" s="1"/>
  <c r="D110" i="74"/>
  <c r="E109" i="76"/>
  <c r="D110" i="76"/>
  <c r="D110" i="75"/>
  <c r="E109" i="75"/>
  <c r="G109" i="73" l="1"/>
  <c r="G109" i="76"/>
  <c r="AC48" i="77"/>
  <c r="Q48" i="77"/>
  <c r="AC48" i="74"/>
  <c r="Q48" i="74"/>
  <c r="W49" i="76"/>
  <c r="Y49" i="76"/>
  <c r="X49" i="76"/>
  <c r="AC49" i="76"/>
  <c r="U49" i="76"/>
  <c r="AB49" i="76"/>
  <c r="V49" i="76"/>
  <c r="AA49" i="76"/>
  <c r="AD49" i="76"/>
  <c r="K49" i="76"/>
  <c r="L49" i="76"/>
  <c r="O49" i="76"/>
  <c r="H49" i="76"/>
  <c r="M49" i="76"/>
  <c r="I49" i="76"/>
  <c r="Q49" i="76"/>
  <c r="P50" i="78" s="1"/>
  <c r="P49" i="76"/>
  <c r="N49" i="76"/>
  <c r="J49" i="76"/>
  <c r="V49" i="73"/>
  <c r="AD49" i="73"/>
  <c r="W49" i="73"/>
  <c r="X49" i="73"/>
  <c r="Z49" i="73"/>
  <c r="Y49" i="73"/>
  <c r="AB49" i="73"/>
  <c r="AC49" i="73"/>
  <c r="U49" i="73"/>
  <c r="AA49" i="73"/>
  <c r="Q49" i="73"/>
  <c r="H49" i="73"/>
  <c r="K49" i="73"/>
  <c r="J49" i="73"/>
  <c r="L49" i="73"/>
  <c r="P49" i="73"/>
  <c r="M49" i="73"/>
  <c r="N49" i="73"/>
  <c r="I49" i="73"/>
  <c r="O49" i="73"/>
  <c r="D111" i="76"/>
  <c r="E110" i="76"/>
  <c r="D113" i="78"/>
  <c r="E112" i="78"/>
  <c r="F108" i="73"/>
  <c r="D111" i="75"/>
  <c r="E110" i="75"/>
  <c r="F111" i="76"/>
  <c r="D111" i="77"/>
  <c r="E110" i="77"/>
  <c r="F110" i="77" s="1" a="1"/>
  <c r="F110" i="77" s="1"/>
  <c r="D111" i="74"/>
  <c r="E110" i="74"/>
  <c r="F110" i="74" s="1" a="1"/>
  <c r="F110" i="74" s="1"/>
  <c r="D111" i="73"/>
  <c r="E110" i="73"/>
  <c r="G110" i="73" s="1"/>
  <c r="S49" i="73" l="1"/>
  <c r="S4" i="73" s="1"/>
  <c r="AF49" i="76"/>
  <c r="AF4" i="76" s="1"/>
  <c r="AF49" i="73"/>
  <c r="AF4" i="73" s="1"/>
  <c r="S49" i="76"/>
  <c r="S4" i="76" s="1"/>
  <c r="AB50" i="75"/>
  <c r="P50" i="75"/>
  <c r="G110" i="76"/>
  <c r="L49" i="74"/>
  <c r="S49" i="74"/>
  <c r="T49" i="75"/>
  <c r="T49" i="74"/>
  <c r="N49" i="77"/>
  <c r="AA49" i="77"/>
  <c r="G49" i="77"/>
  <c r="O49" i="74"/>
  <c r="AA49" i="74"/>
  <c r="I49" i="77"/>
  <c r="K49" i="77"/>
  <c r="V49" i="77"/>
  <c r="M49" i="74"/>
  <c r="Y49" i="74"/>
  <c r="S49" i="77"/>
  <c r="K49" i="74"/>
  <c r="Z49" i="74"/>
  <c r="M49" i="77"/>
  <c r="J49" i="77"/>
  <c r="W49" i="77"/>
  <c r="I49" i="74"/>
  <c r="W49" i="74"/>
  <c r="O49" i="77"/>
  <c r="AB50" i="78"/>
  <c r="U49" i="77"/>
  <c r="H49" i="75"/>
  <c r="H49" i="74"/>
  <c r="J49" i="74"/>
  <c r="X49" i="74"/>
  <c r="Y49" i="77"/>
  <c r="N49" i="74"/>
  <c r="G49" i="74"/>
  <c r="V49" i="74"/>
  <c r="H49" i="78"/>
  <c r="H49" i="77"/>
  <c r="T49" i="78"/>
  <c r="T49" i="77"/>
  <c r="U49" i="74"/>
  <c r="L49" i="77"/>
  <c r="Z49" i="77"/>
  <c r="AE49" i="76"/>
  <c r="U50" i="76" a="1"/>
  <c r="AD50" i="76" s="1"/>
  <c r="R49" i="76"/>
  <c r="H50" i="76" a="1"/>
  <c r="H50" i="73" a="1"/>
  <c r="R49" i="73"/>
  <c r="U50" i="73" a="1"/>
  <c r="AE49" i="73"/>
  <c r="E111" i="73"/>
  <c r="D112" i="73"/>
  <c r="F112" i="76"/>
  <c r="F109" i="73"/>
  <c r="D112" i="76"/>
  <c r="E111" i="76"/>
  <c r="D112" i="75"/>
  <c r="E111" i="75"/>
  <c r="D112" i="77"/>
  <c r="E111" i="77"/>
  <c r="F111" i="77" s="1" a="1"/>
  <c r="F111" i="77" s="1"/>
  <c r="D112" i="74"/>
  <c r="E111" i="74"/>
  <c r="F111" i="74" s="1" a="1"/>
  <c r="F111" i="74" s="1"/>
  <c r="D114" i="78"/>
  <c r="E113" i="78"/>
  <c r="AB51" i="78" l="1"/>
  <c r="G111" i="73"/>
  <c r="G111" i="76"/>
  <c r="AC49" i="77"/>
  <c r="AC49" i="74"/>
  <c r="Q49" i="77"/>
  <c r="Q49" i="74"/>
  <c r="U50" i="76"/>
  <c r="Z50" i="76"/>
  <c r="V50" i="76"/>
  <c r="AB50" i="76"/>
  <c r="AC50" i="76"/>
  <c r="Y50" i="76"/>
  <c r="AA50" i="76"/>
  <c r="X50" i="76"/>
  <c r="W50" i="76"/>
  <c r="P50" i="76"/>
  <c r="Q50" i="76"/>
  <c r="H50" i="76"/>
  <c r="L50" i="76"/>
  <c r="I50" i="76"/>
  <c r="M50" i="76"/>
  <c r="K50" i="76"/>
  <c r="N50" i="76"/>
  <c r="O50" i="76"/>
  <c r="J50" i="76"/>
  <c r="U50" i="73"/>
  <c r="AA50" i="73"/>
  <c r="AC50" i="73"/>
  <c r="V50" i="73"/>
  <c r="W50" i="73"/>
  <c r="AB50" i="73"/>
  <c r="X50" i="73"/>
  <c r="AD50" i="73"/>
  <c r="Y50" i="73"/>
  <c r="Z50" i="73"/>
  <c r="N50" i="73"/>
  <c r="K50" i="73"/>
  <c r="O50" i="73"/>
  <c r="M50" i="73"/>
  <c r="H50" i="73"/>
  <c r="P50" i="73"/>
  <c r="I50" i="73"/>
  <c r="Q50" i="73"/>
  <c r="J50" i="73"/>
  <c r="L50" i="73"/>
  <c r="D115" i="78"/>
  <c r="E114" i="78"/>
  <c r="E112" i="76"/>
  <c r="D113" i="76"/>
  <c r="E112" i="74"/>
  <c r="F112" i="74" s="1" a="1"/>
  <c r="F112" i="74" s="1"/>
  <c r="D113" i="74"/>
  <c r="E112" i="75"/>
  <c r="D113" i="75"/>
  <c r="F113" i="76"/>
  <c r="E112" i="77"/>
  <c r="F112" i="77" s="1" a="1"/>
  <c r="F112" i="77" s="1"/>
  <c r="D113" i="77"/>
  <c r="F110" i="73"/>
  <c r="D113" i="73"/>
  <c r="E112" i="73"/>
  <c r="G112" i="73" s="1"/>
  <c r="S50" i="73" l="1"/>
  <c r="AF50" i="76"/>
  <c r="AF50" i="73"/>
  <c r="S50" i="76"/>
  <c r="G112" i="76"/>
  <c r="P51" i="75"/>
  <c r="AB51" i="75"/>
  <c r="P51" i="78"/>
  <c r="K50" i="74"/>
  <c r="J50" i="74"/>
  <c r="T50" i="75"/>
  <c r="T50" i="74"/>
  <c r="L50" i="77"/>
  <c r="Y50" i="77"/>
  <c r="N50" i="74"/>
  <c r="AA50" i="74"/>
  <c r="W50" i="77"/>
  <c r="U50" i="74"/>
  <c r="V50" i="77"/>
  <c r="AA50" i="77"/>
  <c r="K50" i="77"/>
  <c r="H50" i="74"/>
  <c r="H50" i="75"/>
  <c r="S50" i="74"/>
  <c r="Z50" i="77"/>
  <c r="T50" i="77"/>
  <c r="T50" i="78"/>
  <c r="J50" i="77"/>
  <c r="I50" i="74"/>
  <c r="M50" i="74"/>
  <c r="H50" i="78"/>
  <c r="H50" i="77"/>
  <c r="X50" i="74"/>
  <c r="Y50" i="74"/>
  <c r="W50" i="74"/>
  <c r="G50" i="77"/>
  <c r="O50" i="74"/>
  <c r="I50" i="77"/>
  <c r="G50" i="74"/>
  <c r="V50" i="74"/>
  <c r="N50" i="77"/>
  <c r="O50" i="77"/>
  <c r="X50" i="77"/>
  <c r="L50" i="74"/>
  <c r="Z50" i="74"/>
  <c r="M50" i="77"/>
  <c r="U50" i="77"/>
  <c r="S50" i="77"/>
  <c r="P4" i="74"/>
  <c r="U51" i="76" a="1"/>
  <c r="AD51" i="76" s="1"/>
  <c r="AE50" i="76"/>
  <c r="H51" i="76" a="1"/>
  <c r="R50" i="76"/>
  <c r="R50" i="73"/>
  <c r="H51" i="73" a="1"/>
  <c r="AE50" i="73"/>
  <c r="U51" i="73" a="1"/>
  <c r="E113" i="73"/>
  <c r="D114" i="73"/>
  <c r="D114" i="75"/>
  <c r="E113" i="75"/>
  <c r="F111" i="73"/>
  <c r="F114" i="76"/>
  <c r="D114" i="74"/>
  <c r="E113" i="74"/>
  <c r="F113" i="74" s="1" a="1"/>
  <c r="F113" i="74" s="1"/>
  <c r="D114" i="76"/>
  <c r="E113" i="76"/>
  <c r="D116" i="78"/>
  <c r="E115" i="78"/>
  <c r="E113" i="77"/>
  <c r="F113" i="77" s="1" a="1"/>
  <c r="F113" i="77" s="1"/>
  <c r="D114" i="77"/>
  <c r="G113" i="73" l="1"/>
  <c r="G113" i="76"/>
  <c r="AB52" i="78"/>
  <c r="AC50" i="74"/>
  <c r="AC50" i="77"/>
  <c r="Q50" i="77"/>
  <c r="Q50" i="74"/>
  <c r="X51" i="76"/>
  <c r="W51" i="76"/>
  <c r="V51" i="76"/>
  <c r="AA51" i="76"/>
  <c r="Z51" i="76"/>
  <c r="AB51" i="76"/>
  <c r="Y51" i="76"/>
  <c r="U51" i="76"/>
  <c r="AC51" i="76"/>
  <c r="O51" i="76"/>
  <c r="L51" i="76"/>
  <c r="H51" i="76"/>
  <c r="N51" i="76"/>
  <c r="P51" i="76"/>
  <c r="I51" i="76"/>
  <c r="Q51" i="76"/>
  <c r="J51" i="76"/>
  <c r="M51" i="76"/>
  <c r="K51" i="76"/>
  <c r="Z51" i="73"/>
  <c r="Y51" i="73"/>
  <c r="AA51" i="73"/>
  <c r="W51" i="73"/>
  <c r="X51" i="73"/>
  <c r="AB51" i="73"/>
  <c r="U51" i="73"/>
  <c r="AC51" i="73"/>
  <c r="V51" i="73"/>
  <c r="AD51" i="73"/>
  <c r="J51" i="73"/>
  <c r="P51" i="73"/>
  <c r="K51" i="73"/>
  <c r="Q51" i="73"/>
  <c r="L51" i="73"/>
  <c r="H51" i="73"/>
  <c r="M51" i="73"/>
  <c r="O51" i="73"/>
  <c r="I51" i="73"/>
  <c r="N51" i="73"/>
  <c r="D115" i="74"/>
  <c r="E114" i="74"/>
  <c r="F114" i="74" s="1" a="1"/>
  <c r="F114" i="74" s="1"/>
  <c r="E114" i="73"/>
  <c r="D115" i="73"/>
  <c r="F112" i="73"/>
  <c r="E114" i="77"/>
  <c r="F114" i="77" s="1" a="1"/>
  <c r="F114" i="77" s="1"/>
  <c r="D115" i="77"/>
  <c r="D117" i="78"/>
  <c r="E116" i="78"/>
  <c r="F115" i="76"/>
  <c r="D115" i="75"/>
  <c r="E114" i="75"/>
  <c r="E114" i="76"/>
  <c r="G114" i="76" s="1"/>
  <c r="D115" i="76"/>
  <c r="S51" i="76" l="1"/>
  <c r="S51" i="73"/>
  <c r="AF51" i="76"/>
  <c r="AF51" i="73"/>
  <c r="G114" i="73"/>
  <c r="AB52" i="75"/>
  <c r="P52" i="75"/>
  <c r="P52" i="78"/>
  <c r="M51" i="74"/>
  <c r="O51" i="74"/>
  <c r="U51" i="74"/>
  <c r="H51" i="78"/>
  <c r="H51" i="77"/>
  <c r="W51" i="77"/>
  <c r="V51" i="74"/>
  <c r="I51" i="74"/>
  <c r="Y51" i="74"/>
  <c r="O51" i="77"/>
  <c r="Z51" i="77"/>
  <c r="W51" i="74"/>
  <c r="M51" i="77"/>
  <c r="X51" i="77"/>
  <c r="T51" i="75"/>
  <c r="T51" i="74"/>
  <c r="Y51" i="77"/>
  <c r="G51" i="74"/>
  <c r="AA51" i="74"/>
  <c r="J51" i="77"/>
  <c r="K51" i="77"/>
  <c r="T51" i="78"/>
  <c r="T51" i="77"/>
  <c r="J51" i="74"/>
  <c r="S51" i="77"/>
  <c r="H51" i="75"/>
  <c r="H51" i="74"/>
  <c r="N51" i="74"/>
  <c r="L51" i="74"/>
  <c r="X51" i="74"/>
  <c r="G51" i="77"/>
  <c r="K51" i="74"/>
  <c r="S51" i="74"/>
  <c r="L51" i="77"/>
  <c r="N51" i="77"/>
  <c r="U51" i="77"/>
  <c r="Z51" i="74"/>
  <c r="I51" i="77"/>
  <c r="AA51" i="77"/>
  <c r="V51" i="77"/>
  <c r="U52" i="76" a="1"/>
  <c r="Y52" i="76" s="1"/>
  <c r="W52" i="77" s="1"/>
  <c r="AE51" i="76"/>
  <c r="R51" i="76"/>
  <c r="H52" i="76" a="1"/>
  <c r="R51" i="73"/>
  <c r="H52" i="73" a="1"/>
  <c r="U52" i="73" a="1"/>
  <c r="AE51" i="73"/>
  <c r="F113" i="73"/>
  <c r="D118" i="78"/>
  <c r="E117" i="78"/>
  <c r="E115" i="76"/>
  <c r="D116" i="76"/>
  <c r="E115" i="74"/>
  <c r="F115" i="74" s="1" a="1"/>
  <c r="F115" i="74" s="1"/>
  <c r="D116" i="74"/>
  <c r="E115" i="77"/>
  <c r="F115" i="77" s="1" a="1"/>
  <c r="F115" i="77" s="1"/>
  <c r="D116" i="77"/>
  <c r="D116" i="73"/>
  <c r="E115" i="73"/>
  <c r="D116" i="75"/>
  <c r="E115" i="75"/>
  <c r="F116" i="76"/>
  <c r="G115" i="76" l="1"/>
  <c r="G115" i="73"/>
  <c r="AC51" i="77"/>
  <c r="AC51" i="74"/>
  <c r="Q51" i="77"/>
  <c r="Q51" i="74"/>
  <c r="AD52" i="76"/>
  <c r="V52" i="76"/>
  <c r="AC52" i="76"/>
  <c r="Z52" i="76"/>
  <c r="AB52" i="76"/>
  <c r="X52" i="76"/>
  <c r="AA52" i="76"/>
  <c r="W52" i="76"/>
  <c r="U52" i="76"/>
  <c r="I52" i="76"/>
  <c r="N52" i="76"/>
  <c r="J52" i="76"/>
  <c r="O52" i="76"/>
  <c r="K52" i="76"/>
  <c r="Q52" i="76"/>
  <c r="L52" i="76"/>
  <c r="M52" i="76"/>
  <c r="H52" i="76"/>
  <c r="P52" i="76"/>
  <c r="U52" i="73"/>
  <c r="AB52" i="73"/>
  <c r="AC52" i="73"/>
  <c r="Z52" i="73"/>
  <c r="V52" i="73"/>
  <c r="AD52" i="73"/>
  <c r="W52" i="73"/>
  <c r="AA52" i="73"/>
  <c r="X52" i="73"/>
  <c r="Y52" i="73"/>
  <c r="O52" i="73"/>
  <c r="H52" i="73"/>
  <c r="N52" i="73"/>
  <c r="P52" i="73"/>
  <c r="J52" i="73"/>
  <c r="I52" i="73"/>
  <c r="L52" i="73"/>
  <c r="K52" i="73"/>
  <c r="M52" i="73"/>
  <c r="Q52" i="73"/>
  <c r="D117" i="75"/>
  <c r="E116" i="75"/>
  <c r="D117" i="76"/>
  <c r="E116" i="76"/>
  <c r="F114" i="73"/>
  <c r="D117" i="77"/>
  <c r="E116" i="77"/>
  <c r="F116" i="77" s="1" a="1"/>
  <c r="F116" i="77" s="1"/>
  <c r="E116" i="73"/>
  <c r="D117" i="73"/>
  <c r="E116" i="74"/>
  <c r="F116" i="74" s="1" a="1"/>
  <c r="F116" i="74" s="1"/>
  <c r="D117" i="74"/>
  <c r="F117" i="76"/>
  <c r="D119" i="78"/>
  <c r="E118" i="78"/>
  <c r="AF52" i="73" l="1"/>
  <c r="S52" i="73"/>
  <c r="AF52" i="76"/>
  <c r="S52" i="76"/>
  <c r="G116" i="73"/>
  <c r="G116" i="76"/>
  <c r="AB53" i="75"/>
  <c r="AB53" i="78"/>
  <c r="P53" i="75"/>
  <c r="P53" i="78"/>
  <c r="W52" i="74"/>
  <c r="Z52" i="77"/>
  <c r="K52" i="74"/>
  <c r="V52" i="74"/>
  <c r="S52" i="74"/>
  <c r="I52" i="77"/>
  <c r="X52" i="77"/>
  <c r="L52" i="77"/>
  <c r="J52" i="74"/>
  <c r="Z52" i="74"/>
  <c r="N52" i="77"/>
  <c r="Y52" i="74"/>
  <c r="O52" i="77"/>
  <c r="M52" i="77"/>
  <c r="AA52" i="77"/>
  <c r="H52" i="75"/>
  <c r="H52" i="74"/>
  <c r="I52" i="74"/>
  <c r="U52" i="74"/>
  <c r="G52" i="77"/>
  <c r="H52" i="78"/>
  <c r="H52" i="77"/>
  <c r="T52" i="78"/>
  <c r="T52" i="77"/>
  <c r="O52" i="74"/>
  <c r="S52" i="77"/>
  <c r="M52" i="74"/>
  <c r="T52" i="75"/>
  <c r="T52" i="74"/>
  <c r="K52" i="77"/>
  <c r="U52" i="77"/>
  <c r="G52" i="74"/>
  <c r="X52" i="74"/>
  <c r="Y52" i="77"/>
  <c r="L52" i="74"/>
  <c r="N52" i="74"/>
  <c r="AA52" i="74"/>
  <c r="J52" i="77"/>
  <c r="V52" i="77"/>
  <c r="AE52" i="76"/>
  <c r="U53" i="76" a="1"/>
  <c r="AB53" i="76" s="1"/>
  <c r="H53" i="76" a="1"/>
  <c r="R52" i="76"/>
  <c r="H53" i="73" a="1"/>
  <c r="R52" i="73"/>
  <c r="AE52" i="73"/>
  <c r="U53" i="73" a="1"/>
  <c r="F115" i="73"/>
  <c r="D118" i="73"/>
  <c r="E117" i="73"/>
  <c r="G117" i="73" s="1"/>
  <c r="D118" i="77"/>
  <c r="E117" i="77"/>
  <c r="F117" i="77" s="1" a="1"/>
  <c r="F117" i="77" s="1"/>
  <c r="E117" i="76"/>
  <c r="D118" i="76"/>
  <c r="D118" i="75"/>
  <c r="E117" i="75"/>
  <c r="E117" i="74"/>
  <c r="F117" i="74" s="1" a="1"/>
  <c r="F117" i="74" s="1"/>
  <c r="D118" i="74"/>
  <c r="F118" i="76"/>
  <c r="D120" i="78"/>
  <c r="E119" i="78"/>
  <c r="G117" i="76" l="1"/>
  <c r="Z53" i="77"/>
  <c r="AC52" i="74"/>
  <c r="Q52" i="77"/>
  <c r="AC52" i="77"/>
  <c r="Q52" i="74"/>
  <c r="Y53" i="76"/>
  <c r="X53" i="76"/>
  <c r="AD53" i="76"/>
  <c r="V53" i="76"/>
  <c r="AC53" i="76"/>
  <c r="W53" i="76"/>
  <c r="AA53" i="76"/>
  <c r="U53" i="76"/>
  <c r="Z53" i="76"/>
  <c r="M53" i="76"/>
  <c r="I53" i="76"/>
  <c r="N53" i="76"/>
  <c r="J53" i="76"/>
  <c r="O53" i="76"/>
  <c r="H53" i="76"/>
  <c r="K53" i="76"/>
  <c r="P53" i="76"/>
  <c r="L53" i="76"/>
  <c r="Q53" i="76"/>
  <c r="AD53" i="73"/>
  <c r="U53" i="73"/>
  <c r="W53" i="73"/>
  <c r="X53" i="73"/>
  <c r="AA53" i="73"/>
  <c r="Y53" i="73"/>
  <c r="AC53" i="73"/>
  <c r="Z53" i="73"/>
  <c r="AB53" i="73"/>
  <c r="V53" i="73"/>
  <c r="J53" i="73"/>
  <c r="H53" i="73"/>
  <c r="N53" i="73"/>
  <c r="P53" i="73"/>
  <c r="I53" i="73"/>
  <c r="O53" i="73"/>
  <c r="L53" i="73"/>
  <c r="Q53" i="73"/>
  <c r="M53" i="73"/>
  <c r="K53" i="73"/>
  <c r="D119" i="76"/>
  <c r="E118" i="76"/>
  <c r="D119" i="75"/>
  <c r="E118" i="75"/>
  <c r="F116" i="73"/>
  <c r="F119" i="76"/>
  <c r="D121" i="78"/>
  <c r="E120" i="78"/>
  <c r="D119" i="73"/>
  <c r="E118" i="73"/>
  <c r="D119" i="74"/>
  <c r="E118" i="74"/>
  <c r="F118" i="74" s="1" a="1"/>
  <c r="F118" i="74" s="1"/>
  <c r="D119" i="77"/>
  <c r="E118" i="77"/>
  <c r="F118" i="77" s="1" a="1"/>
  <c r="F118" i="77" s="1"/>
  <c r="AF53" i="73" l="1"/>
  <c r="S53" i="73"/>
  <c r="AF53" i="76"/>
  <c r="S53" i="76"/>
  <c r="G118" i="73"/>
  <c r="G118" i="76"/>
  <c r="AB54" i="75"/>
  <c r="P54" i="78"/>
  <c r="AB54" i="78"/>
  <c r="P54" i="75"/>
  <c r="Z53" i="74"/>
  <c r="T53" i="78"/>
  <c r="T53" i="77"/>
  <c r="N53" i="74"/>
  <c r="X53" i="74"/>
  <c r="AA53" i="74"/>
  <c r="L53" i="77"/>
  <c r="V53" i="77"/>
  <c r="H53" i="78"/>
  <c r="H53" i="77"/>
  <c r="H53" i="75"/>
  <c r="H53" i="74"/>
  <c r="K53" i="77"/>
  <c r="O53" i="74"/>
  <c r="W53" i="74"/>
  <c r="O53" i="77"/>
  <c r="X53" i="77"/>
  <c r="W53" i="77"/>
  <c r="Y53" i="74"/>
  <c r="K53" i="74"/>
  <c r="M53" i="77"/>
  <c r="S53" i="77"/>
  <c r="J53" i="74"/>
  <c r="G53" i="74"/>
  <c r="V53" i="74"/>
  <c r="G53" i="77"/>
  <c r="Y53" i="77"/>
  <c r="M53" i="74"/>
  <c r="J53" i="77"/>
  <c r="L53" i="74"/>
  <c r="I53" i="74"/>
  <c r="U53" i="74"/>
  <c r="N53" i="77"/>
  <c r="U53" i="77"/>
  <c r="T53" i="75"/>
  <c r="T53" i="74"/>
  <c r="S53" i="74"/>
  <c r="I53" i="77"/>
  <c r="AA53" i="77"/>
  <c r="U54" i="76" a="1"/>
  <c r="U54" i="76" s="1"/>
  <c r="AE53" i="76"/>
  <c r="H54" i="76" a="1"/>
  <c r="R53" i="76"/>
  <c r="U54" i="73" a="1"/>
  <c r="AE53" i="73"/>
  <c r="R53" i="73"/>
  <c r="H54" i="73" a="1"/>
  <c r="D120" i="75"/>
  <c r="E119" i="75"/>
  <c r="F117" i="73"/>
  <c r="E119" i="73"/>
  <c r="D120" i="73"/>
  <c r="D122" i="78"/>
  <c r="E121" i="78"/>
  <c r="D120" i="74"/>
  <c r="E119" i="74"/>
  <c r="F119" i="74" s="1" a="1"/>
  <c r="F119" i="74" s="1"/>
  <c r="D120" i="77"/>
  <c r="E119" i="77"/>
  <c r="F119" i="77" s="1" a="1"/>
  <c r="F119" i="77" s="1"/>
  <c r="F120" i="76"/>
  <c r="D120" i="76"/>
  <c r="E119" i="76"/>
  <c r="G119" i="76" l="1"/>
  <c r="G119" i="73"/>
  <c r="S54" i="77"/>
  <c r="Q53" i="77"/>
  <c r="AC53" i="77"/>
  <c r="AC53" i="74"/>
  <c r="Q53" i="74"/>
  <c r="AC54" i="76"/>
  <c r="AD54" i="76"/>
  <c r="W54" i="76"/>
  <c r="AB54" i="76"/>
  <c r="X54" i="76"/>
  <c r="Z54" i="76"/>
  <c r="V54" i="76"/>
  <c r="Y54" i="76"/>
  <c r="AA54" i="76"/>
  <c r="N54" i="76"/>
  <c r="H54" i="76"/>
  <c r="M54" i="76"/>
  <c r="O54" i="76"/>
  <c r="Q54" i="76"/>
  <c r="P54" i="76"/>
  <c r="I54" i="76"/>
  <c r="J54" i="76"/>
  <c r="K54" i="76"/>
  <c r="L54" i="76"/>
  <c r="AB54" i="73"/>
  <c r="AD54" i="73"/>
  <c r="U54" i="73"/>
  <c r="AC54" i="73"/>
  <c r="W54" i="73"/>
  <c r="Y54" i="73"/>
  <c r="V54" i="73"/>
  <c r="AA54" i="73"/>
  <c r="Z54" i="73"/>
  <c r="X54" i="73"/>
  <c r="N54" i="73"/>
  <c r="H54" i="73"/>
  <c r="P54" i="73"/>
  <c r="M54" i="73"/>
  <c r="O54" i="73"/>
  <c r="L54" i="73"/>
  <c r="Q54" i="73"/>
  <c r="J54" i="73"/>
  <c r="K54" i="73"/>
  <c r="I54" i="73"/>
  <c r="F121" i="76"/>
  <c r="F118" i="73"/>
  <c r="D121" i="73"/>
  <c r="E120" i="73"/>
  <c r="G120" i="73" s="1"/>
  <c r="D121" i="75"/>
  <c r="E120" i="75"/>
  <c r="E120" i="74"/>
  <c r="F120" i="74" s="1" a="1"/>
  <c r="F120" i="74" s="1"/>
  <c r="D121" i="74"/>
  <c r="E120" i="76"/>
  <c r="D121" i="76"/>
  <c r="E120" i="77"/>
  <c r="F120" i="77" s="1" a="1"/>
  <c r="F120" i="77" s="1"/>
  <c r="D121" i="77"/>
  <c r="D123" i="78"/>
  <c r="E122" i="78"/>
  <c r="AF54" i="76" l="1"/>
  <c r="AF54" i="73"/>
  <c r="S54" i="73"/>
  <c r="S54" i="76"/>
  <c r="G120" i="76"/>
  <c r="AB55" i="75"/>
  <c r="P55" i="75"/>
  <c r="AB55" i="78"/>
  <c r="P55" i="78"/>
  <c r="J54" i="74"/>
  <c r="M54" i="74"/>
  <c r="S54" i="74"/>
  <c r="I54" i="74"/>
  <c r="V54" i="74"/>
  <c r="X54" i="74"/>
  <c r="L54" i="77"/>
  <c r="Z54" i="77"/>
  <c r="Y54" i="74"/>
  <c r="K54" i="77"/>
  <c r="G54" i="77"/>
  <c r="U54" i="77"/>
  <c r="Z54" i="74"/>
  <c r="K54" i="74"/>
  <c r="N54" i="74"/>
  <c r="T54" i="75"/>
  <c r="T54" i="74"/>
  <c r="J54" i="77"/>
  <c r="M54" i="77"/>
  <c r="L54" i="74"/>
  <c r="W54" i="74"/>
  <c r="I54" i="77"/>
  <c r="Y54" i="77"/>
  <c r="AA54" i="77"/>
  <c r="U54" i="74"/>
  <c r="H54" i="78"/>
  <c r="H54" i="77"/>
  <c r="O54" i="74"/>
  <c r="W54" i="77"/>
  <c r="H54" i="75"/>
  <c r="H54" i="74"/>
  <c r="G54" i="74"/>
  <c r="AA54" i="74"/>
  <c r="O54" i="77"/>
  <c r="T54" i="78"/>
  <c r="T54" i="77"/>
  <c r="X54" i="77"/>
  <c r="N54" i="77"/>
  <c r="V54" i="77"/>
  <c r="AE54" i="76"/>
  <c r="U55" i="76" a="1"/>
  <c r="W55" i="76" s="1"/>
  <c r="H55" i="76" a="1"/>
  <c r="R54" i="76"/>
  <c r="R54" i="73"/>
  <c r="H55" i="73" a="1"/>
  <c r="AE54" i="73"/>
  <c r="U55" i="73" a="1"/>
  <c r="D122" i="76"/>
  <c r="E121" i="76"/>
  <c r="E121" i="77"/>
  <c r="F121" i="77" s="1" a="1"/>
  <c r="F121" i="77" s="1"/>
  <c r="D122" i="77"/>
  <c r="E121" i="73"/>
  <c r="D122" i="73"/>
  <c r="D122" i="75"/>
  <c r="E121" i="75"/>
  <c r="F119" i="73"/>
  <c r="F122" i="76"/>
  <c r="D124" i="78"/>
  <c r="E123" i="78"/>
  <c r="D122" i="74"/>
  <c r="E121" i="74"/>
  <c r="F121" i="74" s="1" a="1"/>
  <c r="F121" i="74" s="1"/>
  <c r="G121" i="73" l="1"/>
  <c r="G121" i="76"/>
  <c r="U55" i="77"/>
  <c r="AC54" i="77"/>
  <c r="AC54" i="74"/>
  <c r="Q54" i="77"/>
  <c r="Q54" i="74"/>
  <c r="AA55" i="76"/>
  <c r="V55" i="76"/>
  <c r="AD55" i="76"/>
  <c r="AB56" i="78" s="1"/>
  <c r="AC55" i="76"/>
  <c r="U55" i="76"/>
  <c r="AB55" i="76"/>
  <c r="Y55" i="76"/>
  <c r="Z55" i="76"/>
  <c r="X55" i="76"/>
  <c r="H55" i="76"/>
  <c r="J55" i="76"/>
  <c r="K55" i="76"/>
  <c r="O55" i="76"/>
  <c r="L55" i="76"/>
  <c r="P55" i="76"/>
  <c r="M55" i="76"/>
  <c r="N55" i="76"/>
  <c r="I55" i="76"/>
  <c r="Q55" i="76"/>
  <c r="P56" i="78" s="1"/>
  <c r="I55" i="73"/>
  <c r="Q55" i="73"/>
  <c r="K55" i="73"/>
  <c r="H55" i="73"/>
  <c r="J55" i="73"/>
  <c r="M55" i="73"/>
  <c r="L55" i="73"/>
  <c r="N55" i="73"/>
  <c r="P55" i="73"/>
  <c r="O55" i="73"/>
  <c r="X55" i="73"/>
  <c r="AB55" i="73"/>
  <c r="Z55" i="73"/>
  <c r="AA55" i="73"/>
  <c r="AC55" i="73"/>
  <c r="V55" i="73"/>
  <c r="U55" i="73"/>
  <c r="AD55" i="73"/>
  <c r="Y55" i="73"/>
  <c r="W55" i="73"/>
  <c r="D123" i="74"/>
  <c r="E122" i="74"/>
  <c r="F122" i="74" s="1" a="1"/>
  <c r="F122" i="74" s="1"/>
  <c r="F123" i="76"/>
  <c r="E122" i="73"/>
  <c r="D123" i="73"/>
  <c r="E122" i="76"/>
  <c r="D123" i="76"/>
  <c r="D125" i="78"/>
  <c r="E124" i="78"/>
  <c r="D123" i="75"/>
  <c r="E122" i="75"/>
  <c r="F120" i="73"/>
  <c r="E122" i="77"/>
  <c r="F122" i="77" s="1" a="1"/>
  <c r="F122" i="77" s="1"/>
  <c r="D123" i="77"/>
  <c r="S55" i="73" l="1"/>
  <c r="AF55" i="73"/>
  <c r="AF55" i="76"/>
  <c r="S55" i="76"/>
  <c r="AB56" i="75"/>
  <c r="P56" i="75"/>
  <c r="G122" i="73"/>
  <c r="G122" i="76"/>
  <c r="AA55" i="74"/>
  <c r="K55" i="74"/>
  <c r="H55" i="78"/>
  <c r="H55" i="77"/>
  <c r="G55" i="77"/>
  <c r="T55" i="78"/>
  <c r="T55" i="77"/>
  <c r="S55" i="74"/>
  <c r="T55" i="75"/>
  <c r="T55" i="74"/>
  <c r="M55" i="74"/>
  <c r="I55" i="77"/>
  <c r="Y55" i="74"/>
  <c r="L55" i="74"/>
  <c r="M55" i="77"/>
  <c r="V55" i="77"/>
  <c r="Y55" i="77"/>
  <c r="J55" i="77"/>
  <c r="I55" i="74"/>
  <c r="O55" i="74"/>
  <c r="H55" i="75"/>
  <c r="H55" i="74"/>
  <c r="L55" i="77"/>
  <c r="U55" i="74"/>
  <c r="G55" i="74"/>
  <c r="O55" i="77"/>
  <c r="W55" i="77"/>
  <c r="AA55" i="77"/>
  <c r="X55" i="74"/>
  <c r="X55" i="77"/>
  <c r="Z55" i="74"/>
  <c r="W55" i="74"/>
  <c r="V55" i="74"/>
  <c r="J55" i="74"/>
  <c r="K55" i="77"/>
  <c r="Z55" i="77"/>
  <c r="N55" i="74"/>
  <c r="N55" i="77"/>
  <c r="S55" i="77"/>
  <c r="U56" i="76" a="1"/>
  <c r="X56" i="76" s="1"/>
  <c r="AE55" i="76"/>
  <c r="H56" i="76" a="1"/>
  <c r="R55" i="76"/>
  <c r="H56" i="73" a="1"/>
  <c r="R55" i="73"/>
  <c r="AE55" i="73"/>
  <c r="U56" i="73" a="1"/>
  <c r="E123" i="77"/>
  <c r="F123" i="77" s="1" a="1"/>
  <c r="F123" i="77" s="1"/>
  <c r="D124" i="77"/>
  <c r="D124" i="75"/>
  <c r="E123" i="75"/>
  <c r="D126" i="78"/>
  <c r="E125" i="78"/>
  <c r="E123" i="76"/>
  <c r="D124" i="76"/>
  <c r="F124" i="76"/>
  <c r="F121" i="73"/>
  <c r="D124" i="73"/>
  <c r="E123" i="73"/>
  <c r="E123" i="74"/>
  <c r="F123" i="74" s="1" a="1"/>
  <c r="F123" i="74" s="1"/>
  <c r="D124" i="74"/>
  <c r="G123" i="73" l="1"/>
  <c r="G123" i="76"/>
  <c r="V56" i="77"/>
  <c r="Q55" i="77"/>
  <c r="AC55" i="77"/>
  <c r="AC55" i="74"/>
  <c r="Q55" i="74"/>
  <c r="AA56" i="76"/>
  <c r="W56" i="76"/>
  <c r="AB56" i="76"/>
  <c r="V56" i="76"/>
  <c r="AC56" i="76"/>
  <c r="U56" i="76"/>
  <c r="Z56" i="76"/>
  <c r="Y56" i="76"/>
  <c r="AD56" i="76"/>
  <c r="AB57" i="78" s="1"/>
  <c r="P56" i="76"/>
  <c r="I56" i="76"/>
  <c r="Q56" i="76"/>
  <c r="P57" i="78" s="1"/>
  <c r="L56" i="76"/>
  <c r="K56" i="76"/>
  <c r="N56" i="76"/>
  <c r="M56" i="76"/>
  <c r="O56" i="76"/>
  <c r="J56" i="76"/>
  <c r="H56" i="76"/>
  <c r="Q56" i="73"/>
  <c r="J56" i="73"/>
  <c r="L56" i="73"/>
  <c r="N56" i="73"/>
  <c r="K56" i="73"/>
  <c r="H56" i="73"/>
  <c r="M56" i="73"/>
  <c r="P56" i="73"/>
  <c r="O56" i="73"/>
  <c r="I56" i="73"/>
  <c r="U56" i="73"/>
  <c r="AC56" i="73"/>
  <c r="W56" i="73"/>
  <c r="V56" i="73"/>
  <c r="X56" i="73"/>
  <c r="Y56" i="73"/>
  <c r="AB56" i="73"/>
  <c r="Z56" i="73"/>
  <c r="AD56" i="73"/>
  <c r="AA56" i="73"/>
  <c r="D127" i="78"/>
  <c r="E126" i="78"/>
  <c r="E124" i="74"/>
  <c r="F124" i="74" s="1" a="1"/>
  <c r="F124" i="74" s="1"/>
  <c r="D125" i="74"/>
  <c r="E124" i="73"/>
  <c r="D125" i="73"/>
  <c r="F125" i="76"/>
  <c r="D125" i="75"/>
  <c r="E124" i="75"/>
  <c r="F122" i="73"/>
  <c r="D125" i="76"/>
  <c r="E124" i="76"/>
  <c r="G124" i="76" s="1"/>
  <c r="D125" i="77"/>
  <c r="E124" i="77"/>
  <c r="F124" i="77" s="1" a="1"/>
  <c r="F124" i="77" s="1"/>
  <c r="AF56" i="73" l="1"/>
  <c r="S56" i="73"/>
  <c r="AF56" i="76"/>
  <c r="S56" i="76"/>
  <c r="P57" i="75"/>
  <c r="AB57" i="75"/>
  <c r="G124" i="73"/>
  <c r="W56" i="74"/>
  <c r="O56" i="74"/>
  <c r="G56" i="77"/>
  <c r="H56" i="78"/>
  <c r="H56" i="77"/>
  <c r="Z56" i="77"/>
  <c r="T56" i="78"/>
  <c r="T56" i="77"/>
  <c r="V56" i="74"/>
  <c r="L56" i="74"/>
  <c r="I56" i="77"/>
  <c r="O56" i="77"/>
  <c r="U56" i="77"/>
  <c r="Y56" i="77"/>
  <c r="J56" i="74"/>
  <c r="N56" i="74"/>
  <c r="T56" i="75"/>
  <c r="T56" i="74"/>
  <c r="G56" i="74"/>
  <c r="U56" i="74"/>
  <c r="W56" i="77"/>
  <c r="AA56" i="74"/>
  <c r="M56" i="74"/>
  <c r="X56" i="77"/>
  <c r="S56" i="74"/>
  <c r="K56" i="74"/>
  <c r="J56" i="77"/>
  <c r="S56" i="77"/>
  <c r="Z56" i="74"/>
  <c r="N56" i="77"/>
  <c r="L56" i="77"/>
  <c r="Y56" i="74"/>
  <c r="M56" i="77"/>
  <c r="X56" i="74"/>
  <c r="H56" i="75"/>
  <c r="H56" i="74"/>
  <c r="I56" i="74"/>
  <c r="K56" i="77"/>
  <c r="AA56" i="77"/>
  <c r="U57" i="76" a="1"/>
  <c r="Y57" i="76" s="1"/>
  <c r="W57" i="77" s="1"/>
  <c r="AE56" i="76"/>
  <c r="H57" i="76" a="1"/>
  <c r="R56" i="76"/>
  <c r="U57" i="73" a="1"/>
  <c r="AE56" i="73"/>
  <c r="R56" i="73"/>
  <c r="H57" i="73" a="1"/>
  <c r="D126" i="73"/>
  <c r="E125" i="73"/>
  <c r="D126" i="75"/>
  <c r="E125" i="75"/>
  <c r="F126" i="76"/>
  <c r="D126" i="77"/>
  <c r="E125" i="77"/>
  <c r="F125" i="77" s="1" a="1"/>
  <c r="F125" i="77" s="1"/>
  <c r="D126" i="74"/>
  <c r="E125" i="74"/>
  <c r="F125" i="74" s="1" a="1"/>
  <c r="F125" i="74" s="1"/>
  <c r="E125" i="76"/>
  <c r="D126" i="76"/>
  <c r="F123" i="73"/>
  <c r="D128" i="78"/>
  <c r="E127" i="78"/>
  <c r="G125" i="76" l="1"/>
  <c r="G125" i="73"/>
  <c r="AC56" i="74"/>
  <c r="AC56" i="77"/>
  <c r="Q56" i="77"/>
  <c r="Q56" i="74"/>
  <c r="W57" i="76"/>
  <c r="X57" i="76"/>
  <c r="AA57" i="76"/>
  <c r="Z57" i="76"/>
  <c r="AC57" i="76"/>
  <c r="U57" i="76"/>
  <c r="V57" i="76"/>
  <c r="AB57" i="76"/>
  <c r="AD57" i="76"/>
  <c r="AB58" i="78" s="1"/>
  <c r="I57" i="76"/>
  <c r="N57" i="76"/>
  <c r="K57" i="76"/>
  <c r="Q57" i="76"/>
  <c r="P58" i="78" s="1"/>
  <c r="P57" i="76"/>
  <c r="J57" i="76"/>
  <c r="O57" i="76"/>
  <c r="L57" i="76"/>
  <c r="H57" i="76"/>
  <c r="M57" i="76"/>
  <c r="W57" i="73"/>
  <c r="AB57" i="73"/>
  <c r="Y57" i="73"/>
  <c r="U57" i="73"/>
  <c r="AA57" i="73"/>
  <c r="AC57" i="73"/>
  <c r="X57" i="73"/>
  <c r="V57" i="73"/>
  <c r="AD57" i="73"/>
  <c r="Z57" i="73"/>
  <c r="M57" i="73"/>
  <c r="O57" i="73"/>
  <c r="I57" i="73"/>
  <c r="Q57" i="73"/>
  <c r="J57" i="73"/>
  <c r="N57" i="73"/>
  <c r="L57" i="73"/>
  <c r="K57" i="73"/>
  <c r="P57" i="73"/>
  <c r="H57" i="73"/>
  <c r="F124" i="73"/>
  <c r="D127" i="74"/>
  <c r="E126" i="74"/>
  <c r="F126" i="74" s="1" a="1"/>
  <c r="F126" i="74" s="1"/>
  <c r="D129" i="78"/>
  <c r="E128" i="78"/>
  <c r="D127" i="76"/>
  <c r="E126" i="76"/>
  <c r="D127" i="77"/>
  <c r="E126" i="77"/>
  <c r="F126" i="77" s="1" a="1"/>
  <c r="F126" i="77" s="1"/>
  <c r="F127" i="76"/>
  <c r="D127" i="75"/>
  <c r="E126" i="75"/>
  <c r="D127" i="73"/>
  <c r="E126" i="73"/>
  <c r="G126" i="73" s="1"/>
  <c r="AF57" i="73" l="1"/>
  <c r="S57" i="73"/>
  <c r="AF57" i="76"/>
  <c r="S57" i="76"/>
  <c r="AB58" i="75"/>
  <c r="P58" i="75"/>
  <c r="G126" i="76"/>
  <c r="U57" i="74"/>
  <c r="J57" i="77"/>
  <c r="X57" i="77"/>
  <c r="AA57" i="77"/>
  <c r="M57" i="74"/>
  <c r="L57" i="77"/>
  <c r="M57" i="77"/>
  <c r="Y57" i="77"/>
  <c r="J57" i="74"/>
  <c r="Z57" i="74"/>
  <c r="K57" i="74"/>
  <c r="T57" i="75"/>
  <c r="T57" i="74"/>
  <c r="I57" i="74"/>
  <c r="V57" i="74"/>
  <c r="G57" i="77"/>
  <c r="H57" i="78"/>
  <c r="H57" i="77"/>
  <c r="V57" i="77"/>
  <c r="U57" i="77"/>
  <c r="X57" i="74"/>
  <c r="AA57" i="74"/>
  <c r="H57" i="75"/>
  <c r="H57" i="74"/>
  <c r="Y57" i="74"/>
  <c r="N57" i="77"/>
  <c r="Z57" i="77"/>
  <c r="G57" i="74"/>
  <c r="S57" i="74"/>
  <c r="T57" i="78"/>
  <c r="T57" i="77"/>
  <c r="K57" i="77"/>
  <c r="N57" i="74"/>
  <c r="I57" i="77"/>
  <c r="O57" i="74"/>
  <c r="L57" i="74"/>
  <c r="W57" i="74"/>
  <c r="O57" i="77"/>
  <c r="S57" i="77"/>
  <c r="AE57" i="76"/>
  <c r="U58" i="76" a="1"/>
  <c r="X58" i="76" s="1"/>
  <c r="R57" i="76"/>
  <c r="H58" i="76" a="1"/>
  <c r="R57" i="73"/>
  <c r="H58" i="73" a="1"/>
  <c r="AE57" i="73"/>
  <c r="U58" i="73" a="1"/>
  <c r="E127" i="73"/>
  <c r="D128" i="73"/>
  <c r="D130" i="78"/>
  <c r="E129" i="78"/>
  <c r="D128" i="77"/>
  <c r="E127" i="77"/>
  <c r="F127" i="77" s="1" a="1"/>
  <c r="F127" i="77" s="1"/>
  <c r="D128" i="76"/>
  <c r="E127" i="76"/>
  <c r="F125" i="73"/>
  <c r="F128" i="76"/>
  <c r="D128" i="75"/>
  <c r="E127" i="75"/>
  <c r="D128" i="74"/>
  <c r="E127" i="74"/>
  <c r="F127" i="74" s="1" a="1"/>
  <c r="F127" i="74" s="1"/>
  <c r="G127" i="73" l="1"/>
  <c r="G127" i="76"/>
  <c r="V58" i="77"/>
  <c r="AC57" i="77"/>
  <c r="AC57" i="74"/>
  <c r="Q57" i="77"/>
  <c r="Z58" i="76"/>
  <c r="Q57" i="74"/>
  <c r="W58" i="76"/>
  <c r="AD58" i="76"/>
  <c r="AB59" i="78" s="1"/>
  <c r="U58" i="76"/>
  <c r="V58" i="76"/>
  <c r="AB58" i="76"/>
  <c r="AC58" i="76"/>
  <c r="Y58" i="76"/>
  <c r="AA58" i="76"/>
  <c r="N58" i="76"/>
  <c r="H58" i="76"/>
  <c r="O58" i="76"/>
  <c r="J58" i="76"/>
  <c r="Q58" i="76"/>
  <c r="P59" i="78" s="1"/>
  <c r="I58" i="76"/>
  <c r="L58" i="76"/>
  <c r="K58" i="76"/>
  <c r="M58" i="76"/>
  <c r="P58" i="76"/>
  <c r="AB58" i="73"/>
  <c r="W58" i="73"/>
  <c r="AD58" i="73"/>
  <c r="Y58" i="73"/>
  <c r="X58" i="73"/>
  <c r="V58" i="73"/>
  <c r="AA58" i="73"/>
  <c r="U58" i="73"/>
  <c r="Z58" i="73"/>
  <c r="AC58" i="73"/>
  <c r="J58" i="73"/>
  <c r="L58" i="73"/>
  <c r="K58" i="73"/>
  <c r="I58" i="73"/>
  <c r="N58" i="73"/>
  <c r="M58" i="73"/>
  <c r="O58" i="73"/>
  <c r="Q58" i="73"/>
  <c r="H58" i="73"/>
  <c r="P58" i="73"/>
  <c r="D129" i="74"/>
  <c r="E128" i="74"/>
  <c r="F128" i="74" s="1" a="1"/>
  <c r="F128" i="74" s="1"/>
  <c r="D131" i="78"/>
  <c r="E130" i="78"/>
  <c r="D129" i="73"/>
  <c r="E128" i="73"/>
  <c r="G128" i="73" s="1"/>
  <c r="F129" i="76"/>
  <c r="D129" i="75"/>
  <c r="E128" i="75"/>
  <c r="E128" i="76"/>
  <c r="D129" i="76"/>
  <c r="F126" i="73"/>
  <c r="E128" i="77"/>
  <c r="F128" i="77" s="1" a="1"/>
  <c r="F128" i="77" s="1"/>
  <c r="D129" i="77"/>
  <c r="AF58" i="73" l="1"/>
  <c r="AF58" i="76"/>
  <c r="S58" i="73"/>
  <c r="S58" i="76"/>
  <c r="AB59" i="75"/>
  <c r="P59" i="75"/>
  <c r="G128" i="76"/>
  <c r="S58" i="74"/>
  <c r="G58" i="77"/>
  <c r="M58" i="74"/>
  <c r="Y58" i="74"/>
  <c r="L58" i="77"/>
  <c r="M58" i="77"/>
  <c r="U58" i="77"/>
  <c r="G58" i="74"/>
  <c r="X58" i="74"/>
  <c r="N58" i="77"/>
  <c r="L58" i="74"/>
  <c r="O58" i="77"/>
  <c r="H58" i="75"/>
  <c r="H58" i="74"/>
  <c r="T58" i="75"/>
  <c r="T58" i="74"/>
  <c r="J58" i="77"/>
  <c r="Y58" i="77"/>
  <c r="N58" i="74"/>
  <c r="Z58" i="74"/>
  <c r="V58" i="74"/>
  <c r="K58" i="77"/>
  <c r="W58" i="77"/>
  <c r="X58" i="77"/>
  <c r="I58" i="74"/>
  <c r="S58" i="77"/>
  <c r="J58" i="74"/>
  <c r="O58" i="74"/>
  <c r="K58" i="74"/>
  <c r="W58" i="74"/>
  <c r="H58" i="78"/>
  <c r="H58" i="77"/>
  <c r="AA58" i="77"/>
  <c r="Z58" i="77"/>
  <c r="AA58" i="74"/>
  <c r="U58" i="74"/>
  <c r="I58" i="77"/>
  <c r="T58" i="78"/>
  <c r="T58" i="77"/>
  <c r="AE58" i="76"/>
  <c r="U59" i="76" a="1"/>
  <c r="Z59" i="76" s="1"/>
  <c r="H59" i="76" a="1"/>
  <c r="R58" i="76"/>
  <c r="H59" i="73" a="1"/>
  <c r="R58" i="73"/>
  <c r="U59" i="73" a="1"/>
  <c r="AE58" i="73"/>
  <c r="E129" i="77"/>
  <c r="F129" i="77" s="1" a="1"/>
  <c r="F129" i="77" s="1"/>
  <c r="D130" i="77"/>
  <c r="E129" i="76"/>
  <c r="D130" i="76"/>
  <c r="E130" i="76" s="1"/>
  <c r="E131" i="78"/>
  <c r="F130" i="76"/>
  <c r="F127" i="73"/>
  <c r="E129" i="73"/>
  <c r="D130" i="73"/>
  <c r="E130" i="73" s="1"/>
  <c r="E129" i="74"/>
  <c r="F129" i="74" s="1" a="1"/>
  <c r="F129" i="74" s="1"/>
  <c r="D130" i="74"/>
  <c r="D130" i="75"/>
  <c r="E129" i="75"/>
  <c r="G130" i="76" l="1"/>
  <c r="G130" i="73"/>
  <c r="G129" i="73"/>
  <c r="G129" i="76"/>
  <c r="X59" i="77"/>
  <c r="Q58" i="77"/>
  <c r="AC58" i="77"/>
  <c r="AC58" i="74"/>
  <c r="Q58" i="74"/>
  <c r="W59" i="76"/>
  <c r="AB59" i="76"/>
  <c r="X59" i="76"/>
  <c r="U59" i="76"/>
  <c r="V59" i="76"/>
  <c r="AD59" i="76"/>
  <c r="AB60" i="78" s="1"/>
  <c r="AC59" i="76"/>
  <c r="Y59" i="76"/>
  <c r="AA59" i="76"/>
  <c r="J59" i="76"/>
  <c r="M59" i="76"/>
  <c r="K59" i="76"/>
  <c r="O59" i="76"/>
  <c r="L59" i="76"/>
  <c r="H59" i="76"/>
  <c r="N59" i="76"/>
  <c r="P59" i="76"/>
  <c r="I59" i="76"/>
  <c r="Q59" i="76"/>
  <c r="P60" i="78" s="1"/>
  <c r="Z59" i="73"/>
  <c r="Y59" i="73"/>
  <c r="AA59" i="73"/>
  <c r="AC59" i="73"/>
  <c r="AD59" i="73"/>
  <c r="AB59" i="73"/>
  <c r="V59" i="73"/>
  <c r="W59" i="73"/>
  <c r="X59" i="73"/>
  <c r="U59" i="73"/>
  <c r="H59" i="73"/>
  <c r="I59" i="73"/>
  <c r="L59" i="73"/>
  <c r="K59" i="73"/>
  <c r="Q59" i="73"/>
  <c r="N59" i="73"/>
  <c r="P59" i="73"/>
  <c r="J59" i="73"/>
  <c r="O59" i="73"/>
  <c r="M59" i="73"/>
  <c r="D131" i="75"/>
  <c r="E130" i="75"/>
  <c r="E130" i="77"/>
  <c r="F130" i="77" s="1" a="1"/>
  <c r="F130" i="77" s="1"/>
  <c r="D131" i="77"/>
  <c r="E130" i="74"/>
  <c r="F130" i="74" s="1" a="1"/>
  <c r="F130" i="74" s="1"/>
  <c r="D131" i="74"/>
  <c r="F128" i="73"/>
  <c r="AF59" i="76" l="1"/>
  <c r="AF59" i="73"/>
  <c r="S59" i="73"/>
  <c r="S59" i="76"/>
  <c r="AB60" i="75"/>
  <c r="P60" i="75"/>
  <c r="L59" i="77"/>
  <c r="V59" i="77"/>
  <c r="T59" i="75"/>
  <c r="T59" i="74"/>
  <c r="H59" i="78"/>
  <c r="H59" i="77"/>
  <c r="I59" i="77"/>
  <c r="Z59" i="77"/>
  <c r="O59" i="74"/>
  <c r="X59" i="74"/>
  <c r="J59" i="77"/>
  <c r="S59" i="77"/>
  <c r="M59" i="74"/>
  <c r="U59" i="74"/>
  <c r="J59" i="74"/>
  <c r="Z59" i="74"/>
  <c r="O59" i="77"/>
  <c r="Y59" i="77"/>
  <c r="U59" i="77"/>
  <c r="K59" i="74"/>
  <c r="V59" i="74"/>
  <c r="M59" i="77"/>
  <c r="W59" i="77"/>
  <c r="L59" i="74"/>
  <c r="H59" i="75"/>
  <c r="H59" i="74"/>
  <c r="AA59" i="74"/>
  <c r="G59" i="77"/>
  <c r="AA59" i="77"/>
  <c r="N59" i="74"/>
  <c r="G59" i="74"/>
  <c r="Y59" i="74"/>
  <c r="K59" i="77"/>
  <c r="I59" i="74"/>
  <c r="S59" i="74"/>
  <c r="W59" i="74"/>
  <c r="N59" i="77"/>
  <c r="T59" i="78"/>
  <c r="T59" i="77"/>
  <c r="U60" i="76" a="1"/>
  <c r="U60" i="76" s="1"/>
  <c r="S60" i="77" s="1"/>
  <c r="AE59" i="76"/>
  <c r="R59" i="76"/>
  <c r="H60" i="76" a="1"/>
  <c r="R59" i="73"/>
  <c r="H60" i="73" a="1"/>
  <c r="AE59" i="73"/>
  <c r="U60" i="73" a="1"/>
  <c r="E131" i="74"/>
  <c r="F131" i="74" s="1" a="1"/>
  <c r="F131" i="74" s="1"/>
  <c r="E131" i="77"/>
  <c r="F131" i="77" s="1" a="1"/>
  <c r="F131" i="77" s="1"/>
  <c r="E131" i="75"/>
  <c r="F129" i="73"/>
  <c r="AC59" i="74" l="1"/>
  <c r="AC59" i="77"/>
  <c r="Q59" i="77"/>
  <c r="Z60" i="76"/>
  <c r="X60" i="76"/>
  <c r="Y60" i="76"/>
  <c r="AD60" i="76"/>
  <c r="AB61" i="78" s="1"/>
  <c r="AB60" i="76"/>
  <c r="AA60" i="76"/>
  <c r="W60" i="76"/>
  <c r="V60" i="76"/>
  <c r="AC60" i="76"/>
  <c r="Q59" i="74"/>
  <c r="H60" i="76"/>
  <c r="P60" i="76"/>
  <c r="I60" i="76"/>
  <c r="N60" i="76"/>
  <c r="J60" i="76"/>
  <c r="O60" i="76"/>
  <c r="K60" i="76"/>
  <c r="Q60" i="76"/>
  <c r="P61" i="78" s="1"/>
  <c r="L60" i="76"/>
  <c r="M60" i="76"/>
  <c r="AD60" i="73"/>
  <c r="V60" i="73"/>
  <c r="W60" i="73"/>
  <c r="Y60" i="73"/>
  <c r="AA60" i="73"/>
  <c r="X60" i="73"/>
  <c r="U60" i="73"/>
  <c r="Z60" i="73"/>
  <c r="AC60" i="73"/>
  <c r="AB60" i="73"/>
  <c r="J60" i="73"/>
  <c r="I60" i="73"/>
  <c r="K60" i="73"/>
  <c r="L60" i="73"/>
  <c r="O60" i="73"/>
  <c r="M60" i="73"/>
  <c r="Q60" i="73"/>
  <c r="N60" i="73"/>
  <c r="H60" i="73"/>
  <c r="P60" i="73"/>
  <c r="F130" i="73"/>
  <c r="AF60" i="73" l="1"/>
  <c r="S60" i="73"/>
  <c r="AF60" i="76"/>
  <c r="S60" i="76"/>
  <c r="P61" i="75"/>
  <c r="AB61" i="75"/>
  <c r="H60" i="78"/>
  <c r="H60" i="77"/>
  <c r="Z60" i="77"/>
  <c r="M60" i="74"/>
  <c r="Z60" i="74"/>
  <c r="M60" i="77"/>
  <c r="O60" i="77"/>
  <c r="N60" i="74"/>
  <c r="S60" i="74"/>
  <c r="K60" i="77"/>
  <c r="G60" i="77"/>
  <c r="W60" i="77"/>
  <c r="V60" i="77"/>
  <c r="T60" i="75"/>
  <c r="T60" i="74"/>
  <c r="Y60" i="77"/>
  <c r="AA60" i="74"/>
  <c r="L60" i="74"/>
  <c r="X60" i="74"/>
  <c r="K60" i="74"/>
  <c r="Y60" i="74"/>
  <c r="J60" i="77"/>
  <c r="AA60" i="77"/>
  <c r="X60" i="77"/>
  <c r="V60" i="74"/>
  <c r="J60" i="74"/>
  <c r="O60" i="74"/>
  <c r="H60" i="75"/>
  <c r="H60" i="74"/>
  <c r="W60" i="74"/>
  <c r="N60" i="77"/>
  <c r="T60" i="78"/>
  <c r="T60" i="77"/>
  <c r="L60" i="77"/>
  <c r="G60" i="74"/>
  <c r="I60" i="74"/>
  <c r="U60" i="74"/>
  <c r="I60" i="77"/>
  <c r="U60" i="77"/>
  <c r="U61" i="76" a="1"/>
  <c r="Z61" i="76" s="1"/>
  <c r="X61" i="77" s="1"/>
  <c r="AE60" i="76"/>
  <c r="R60" i="76"/>
  <c r="H61" i="76" a="1"/>
  <c r="AE60" i="73"/>
  <c r="U61" i="73" a="1"/>
  <c r="R60" i="73"/>
  <c r="H61" i="73" a="1"/>
  <c r="AC60" i="74" l="1"/>
  <c r="Q60" i="77"/>
  <c r="AC60" i="77"/>
  <c r="W61" i="76"/>
  <c r="Y61" i="76"/>
  <c r="V61" i="76"/>
  <c r="AB61" i="76"/>
  <c r="AC61" i="76"/>
  <c r="X61" i="76"/>
  <c r="AD61" i="76"/>
  <c r="AB62" i="78" s="1"/>
  <c r="AA61" i="76"/>
  <c r="U61" i="76"/>
  <c r="Q60" i="74"/>
  <c r="I61" i="76"/>
  <c r="Q61" i="76"/>
  <c r="P62" i="78" s="1"/>
  <c r="L61" i="76"/>
  <c r="K61" i="76"/>
  <c r="M61" i="76"/>
  <c r="H61" i="76"/>
  <c r="J61" i="76"/>
  <c r="N61" i="76"/>
  <c r="O61" i="76"/>
  <c r="P61" i="76"/>
  <c r="O61" i="73"/>
  <c r="L61" i="73"/>
  <c r="H61" i="73"/>
  <c r="N61" i="73"/>
  <c r="P61" i="73"/>
  <c r="I61" i="73"/>
  <c r="Q61" i="73"/>
  <c r="K61" i="73"/>
  <c r="M61" i="73"/>
  <c r="J61" i="73"/>
  <c r="W61" i="73"/>
  <c r="AA61" i="73"/>
  <c r="X61" i="73"/>
  <c r="AC61" i="73"/>
  <c r="Y61" i="73"/>
  <c r="U61" i="73"/>
  <c r="Z61" i="73"/>
  <c r="AB61" i="73"/>
  <c r="V61" i="73"/>
  <c r="AD61" i="73"/>
  <c r="AF61" i="73" l="1"/>
  <c r="S61" i="73"/>
  <c r="S61" i="76"/>
  <c r="AF61" i="76"/>
  <c r="P62" i="75"/>
  <c r="AB62" i="75"/>
  <c r="T61" i="75"/>
  <c r="T61" i="74"/>
  <c r="I61" i="74"/>
  <c r="X61" i="74"/>
  <c r="L61" i="74"/>
  <c r="N61" i="74"/>
  <c r="K61" i="77"/>
  <c r="AA61" i="77"/>
  <c r="Z61" i="77"/>
  <c r="N61" i="77"/>
  <c r="H61" i="78"/>
  <c r="H61" i="77"/>
  <c r="T61" i="78"/>
  <c r="T61" i="77"/>
  <c r="G61" i="74"/>
  <c r="L61" i="77"/>
  <c r="K61" i="74"/>
  <c r="J61" i="77"/>
  <c r="O61" i="77"/>
  <c r="W61" i="74"/>
  <c r="AA61" i="74"/>
  <c r="H61" i="75"/>
  <c r="H61" i="74"/>
  <c r="M61" i="77"/>
  <c r="W61" i="77"/>
  <c r="U61" i="74"/>
  <c r="Z61" i="74"/>
  <c r="V61" i="77"/>
  <c r="S61" i="74"/>
  <c r="J61" i="74"/>
  <c r="V61" i="74"/>
  <c r="O61" i="74"/>
  <c r="I61" i="77"/>
  <c r="S61" i="77"/>
  <c r="U61" i="77"/>
  <c r="Y61" i="74"/>
  <c r="M61" i="74"/>
  <c r="G61" i="77"/>
  <c r="Y61" i="77"/>
  <c r="U62" i="76" a="1"/>
  <c r="V62" i="76" s="1"/>
  <c r="AE61" i="76"/>
  <c r="H62" i="76" a="1"/>
  <c r="R61" i="76"/>
  <c r="U62" i="73" a="1"/>
  <c r="AE61" i="73"/>
  <c r="H62" i="73" a="1"/>
  <c r="R61" i="73"/>
  <c r="T62" i="77" l="1"/>
  <c r="T62" i="78"/>
  <c r="AD62" i="76"/>
  <c r="AB63" i="78" s="1"/>
  <c r="AC62" i="76"/>
  <c r="Z62" i="76"/>
  <c r="X62" i="76"/>
  <c r="AC61" i="74"/>
  <c r="AC61" i="77"/>
  <c r="Q61" i="77"/>
  <c r="U62" i="76"/>
  <c r="AB62" i="76"/>
  <c r="AA62" i="76"/>
  <c r="W62" i="76"/>
  <c r="Y62" i="76"/>
  <c r="Q61" i="74"/>
  <c r="J62" i="76"/>
  <c r="K62" i="76"/>
  <c r="L62" i="76"/>
  <c r="O62" i="76"/>
  <c r="M62" i="76"/>
  <c r="H62" i="76"/>
  <c r="N62" i="76"/>
  <c r="P62" i="76"/>
  <c r="I62" i="76"/>
  <c r="Q62" i="76"/>
  <c r="P63" i="78" s="1"/>
  <c r="V62" i="73"/>
  <c r="X62" i="73"/>
  <c r="AA62" i="73"/>
  <c r="Z62" i="73"/>
  <c r="AB62" i="73"/>
  <c r="AD62" i="73"/>
  <c r="U62" i="73"/>
  <c r="AC62" i="73"/>
  <c r="Y62" i="73"/>
  <c r="W62" i="73"/>
  <c r="N62" i="73"/>
  <c r="H62" i="73"/>
  <c r="L62" i="73"/>
  <c r="P62" i="73"/>
  <c r="O62" i="73"/>
  <c r="Q62" i="73"/>
  <c r="J62" i="73"/>
  <c r="I62" i="73"/>
  <c r="K62" i="73"/>
  <c r="M62" i="73"/>
  <c r="S62" i="73" l="1"/>
  <c r="AF62" i="73"/>
  <c r="AF62" i="76"/>
  <c r="S62" i="76"/>
  <c r="P63" i="75"/>
  <c r="AB63" i="75"/>
  <c r="AA62" i="74"/>
  <c r="J62" i="77"/>
  <c r="X62" i="77"/>
  <c r="N62" i="74"/>
  <c r="S62" i="74"/>
  <c r="H62" i="78"/>
  <c r="H62" i="77"/>
  <c r="I62" i="77"/>
  <c r="AA62" i="77"/>
  <c r="I62" i="74"/>
  <c r="K62" i="77"/>
  <c r="M62" i="77"/>
  <c r="G62" i="74"/>
  <c r="U62" i="77"/>
  <c r="W62" i="74"/>
  <c r="S62" i="77"/>
  <c r="V62" i="77"/>
  <c r="O62" i="74"/>
  <c r="O62" i="77"/>
  <c r="W62" i="77"/>
  <c r="L62" i="74"/>
  <c r="X62" i="74"/>
  <c r="J62" i="74"/>
  <c r="M62" i="74"/>
  <c r="Y62" i="74"/>
  <c r="L62" i="77"/>
  <c r="Y62" i="77"/>
  <c r="T62" i="75"/>
  <c r="T62" i="74"/>
  <c r="K62" i="74"/>
  <c r="Z62" i="74"/>
  <c r="G62" i="77"/>
  <c r="H62" i="75"/>
  <c r="H62" i="74"/>
  <c r="U62" i="74"/>
  <c r="V62" i="74"/>
  <c r="N62" i="77"/>
  <c r="Z62" i="77"/>
  <c r="U63" i="76" a="1"/>
  <c r="V63" i="76" s="1"/>
  <c r="AE62" i="76"/>
  <c r="R62" i="76"/>
  <c r="H63" i="76" a="1"/>
  <c r="U63" i="73" a="1"/>
  <c r="AE62" i="73"/>
  <c r="R62" i="73"/>
  <c r="H63" i="73" a="1"/>
  <c r="T63" i="78" l="1"/>
  <c r="T63" i="77"/>
  <c r="AC63" i="76"/>
  <c r="Y63" i="76"/>
  <c r="AA63" i="76"/>
  <c r="U63" i="76"/>
  <c r="AD63" i="76"/>
  <c r="AB64" i="78" s="1"/>
  <c r="Z63" i="76"/>
  <c r="AB63" i="76"/>
  <c r="X63" i="76"/>
  <c r="W63" i="76"/>
  <c r="AC62" i="77"/>
  <c r="AC62" i="74"/>
  <c r="Q62" i="77"/>
  <c r="Q62" i="74"/>
  <c r="N63" i="76"/>
  <c r="O63" i="76"/>
  <c r="H63" i="76"/>
  <c r="P63" i="76"/>
  <c r="J63" i="76"/>
  <c r="I63" i="76"/>
  <c r="K63" i="76"/>
  <c r="Q63" i="76"/>
  <c r="P64" i="78" s="1"/>
  <c r="L63" i="76"/>
  <c r="M63" i="76"/>
  <c r="I63" i="73"/>
  <c r="Q63" i="73"/>
  <c r="K63" i="73"/>
  <c r="H63" i="73"/>
  <c r="J63" i="73"/>
  <c r="M63" i="73"/>
  <c r="L63" i="73"/>
  <c r="N63" i="73"/>
  <c r="P63" i="73"/>
  <c r="O63" i="73"/>
  <c r="AC63" i="73"/>
  <c r="Y63" i="73"/>
  <c r="V63" i="73"/>
  <c r="U63" i="73"/>
  <c r="AD63" i="73"/>
  <c r="X63" i="73"/>
  <c r="W63" i="73"/>
  <c r="AA63" i="73"/>
  <c r="Z63" i="73"/>
  <c r="AB63" i="73"/>
  <c r="AF63" i="76" l="1"/>
  <c r="S63" i="73"/>
  <c r="AF63" i="73"/>
  <c r="S63" i="76"/>
  <c r="AB64" i="75"/>
  <c r="P64" i="75"/>
  <c r="O63" i="74"/>
  <c r="H63" i="75"/>
  <c r="H63" i="74"/>
  <c r="G63" i="77"/>
  <c r="S63" i="77"/>
  <c r="V63" i="74"/>
  <c r="M63" i="74"/>
  <c r="L63" i="77"/>
  <c r="N63" i="77"/>
  <c r="Y63" i="77"/>
  <c r="K63" i="74"/>
  <c r="K63" i="77"/>
  <c r="M63" i="77"/>
  <c r="W63" i="77"/>
  <c r="U63" i="77"/>
  <c r="AA63" i="77"/>
  <c r="U63" i="74"/>
  <c r="I63" i="74"/>
  <c r="N63" i="74"/>
  <c r="H63" i="78"/>
  <c r="H63" i="77"/>
  <c r="Z63" i="77"/>
  <c r="O63" i="77"/>
  <c r="S63" i="74"/>
  <c r="L63" i="74"/>
  <c r="T63" i="75"/>
  <c r="T63" i="74"/>
  <c r="J63" i="77"/>
  <c r="V63" i="77"/>
  <c r="Z63" i="74"/>
  <c r="W63" i="74"/>
  <c r="G63" i="74"/>
  <c r="X63" i="74"/>
  <c r="AA63" i="74"/>
  <c r="J63" i="74"/>
  <c r="I63" i="77"/>
  <c r="X63" i="77"/>
  <c r="Y63" i="74"/>
  <c r="U64" i="76" a="1"/>
  <c r="Z64" i="76" s="1"/>
  <c r="X64" i="77" s="1"/>
  <c r="AE63" i="76"/>
  <c r="R63" i="76"/>
  <c r="H64" i="76" a="1"/>
  <c r="U64" i="73" a="1"/>
  <c r="AE63" i="73"/>
  <c r="R63" i="73"/>
  <c r="H64" i="73" a="1"/>
  <c r="Y64" i="76" l="1"/>
  <c r="AC63" i="77"/>
  <c r="AC64" i="76"/>
  <c r="X64" i="76"/>
  <c r="AB64" i="76"/>
  <c r="AA64" i="76"/>
  <c r="W64" i="76"/>
  <c r="U64" i="76"/>
  <c r="AD64" i="76"/>
  <c r="AB65" i="78" s="1"/>
  <c r="V64" i="76"/>
  <c r="Q63" i="77"/>
  <c r="AC63" i="74"/>
  <c r="Q63" i="74"/>
  <c r="O64" i="76"/>
  <c r="H64" i="76"/>
  <c r="M64" i="76"/>
  <c r="K64" i="76"/>
  <c r="Q64" i="76"/>
  <c r="P65" i="78" s="1"/>
  <c r="P64" i="76"/>
  <c r="I64" i="76"/>
  <c r="J64" i="76"/>
  <c r="N64" i="76"/>
  <c r="L64" i="76"/>
  <c r="W64" i="73"/>
  <c r="AD64" i="73"/>
  <c r="V64" i="73"/>
  <c r="X64" i="73"/>
  <c r="Y64" i="73"/>
  <c r="AA64" i="73"/>
  <c r="Z64" i="73"/>
  <c r="AB64" i="73"/>
  <c r="AC64" i="73"/>
  <c r="U64" i="73"/>
  <c r="I64" i="73"/>
  <c r="Q64" i="73"/>
  <c r="L64" i="73"/>
  <c r="N64" i="73"/>
  <c r="P64" i="73"/>
  <c r="M64" i="73"/>
  <c r="O64" i="73"/>
  <c r="K64" i="73"/>
  <c r="H64" i="73"/>
  <c r="J64" i="73"/>
  <c r="S64" i="73" l="1"/>
  <c r="AF64" i="73"/>
  <c r="AF64" i="76"/>
  <c r="S64" i="76"/>
  <c r="P65" i="75"/>
  <c r="AB65" i="75"/>
  <c r="J64" i="77"/>
  <c r="V64" i="77"/>
  <c r="N64" i="74"/>
  <c r="AA64" i="74"/>
  <c r="U64" i="74"/>
  <c r="L64" i="77"/>
  <c r="AA64" i="77"/>
  <c r="L64" i="74"/>
  <c r="Z64" i="74"/>
  <c r="K64" i="77"/>
  <c r="G64" i="77"/>
  <c r="T64" i="78"/>
  <c r="T64" i="77"/>
  <c r="W64" i="77"/>
  <c r="I64" i="74"/>
  <c r="H64" i="75"/>
  <c r="H64" i="74"/>
  <c r="X64" i="74"/>
  <c r="M64" i="77"/>
  <c r="N64" i="77"/>
  <c r="M64" i="74"/>
  <c r="Y64" i="74"/>
  <c r="I64" i="77"/>
  <c r="S64" i="77"/>
  <c r="G64" i="74"/>
  <c r="T64" i="75"/>
  <c r="T64" i="74"/>
  <c r="J64" i="74"/>
  <c r="S64" i="74"/>
  <c r="O64" i="74"/>
  <c r="K64" i="74"/>
  <c r="W64" i="74"/>
  <c r="H64" i="78"/>
  <c r="H64" i="77"/>
  <c r="U64" i="77"/>
  <c r="V64" i="74"/>
  <c r="O64" i="77"/>
  <c r="Y64" i="77"/>
  <c r="Z64" i="77"/>
  <c r="U65" i="76" a="1"/>
  <c r="U65" i="76" s="1"/>
  <c r="S65" i="77" s="1"/>
  <c r="AE64" i="76"/>
  <c r="R64" i="76"/>
  <c r="H65" i="76" a="1"/>
  <c r="R64" i="73"/>
  <c r="H65" i="73" a="1"/>
  <c r="U65" i="73" a="1"/>
  <c r="AE64" i="73"/>
  <c r="Z65" i="76" l="1"/>
  <c r="X65" i="76"/>
  <c r="AC65" i="76"/>
  <c r="AB65" i="76"/>
  <c r="AA65" i="76"/>
  <c r="W65" i="76"/>
  <c r="Y65" i="76"/>
  <c r="AD65" i="76"/>
  <c r="AB66" i="78" s="1"/>
  <c r="V65" i="76"/>
  <c r="AC64" i="77"/>
  <c r="AC64" i="74"/>
  <c r="Q64" i="77"/>
  <c r="Q64" i="74"/>
  <c r="H65" i="76"/>
  <c r="N65" i="76"/>
  <c r="L65" i="76"/>
  <c r="P65" i="76"/>
  <c r="O65" i="76"/>
  <c r="I65" i="76"/>
  <c r="Q65" i="76"/>
  <c r="P66" i="78" s="1"/>
  <c r="J65" i="76"/>
  <c r="K65" i="76"/>
  <c r="M65" i="76"/>
  <c r="P65" i="73"/>
  <c r="H65" i="73"/>
  <c r="M65" i="73"/>
  <c r="K65" i="73"/>
  <c r="N65" i="73"/>
  <c r="L65" i="73"/>
  <c r="J65" i="73"/>
  <c r="O65" i="73"/>
  <c r="Q65" i="73"/>
  <c r="I65" i="73"/>
  <c r="W65" i="73"/>
  <c r="Y65" i="73"/>
  <c r="AB65" i="73"/>
  <c r="AA65" i="73"/>
  <c r="U65" i="73"/>
  <c r="AD65" i="73"/>
  <c r="AC65" i="73"/>
  <c r="X65" i="73"/>
  <c r="V65" i="73"/>
  <c r="Z65" i="73"/>
  <c r="S65" i="76" l="1"/>
  <c r="AF65" i="73"/>
  <c r="S65" i="73"/>
  <c r="AF65" i="76"/>
  <c r="AB66" i="75"/>
  <c r="P66" i="75"/>
  <c r="O65" i="74"/>
  <c r="K65" i="77"/>
  <c r="AA65" i="77"/>
  <c r="N65" i="74"/>
  <c r="L65" i="77"/>
  <c r="M65" i="77"/>
  <c r="V65" i="77"/>
  <c r="V65" i="74"/>
  <c r="G65" i="74"/>
  <c r="O65" i="77"/>
  <c r="Z65" i="77"/>
  <c r="AA65" i="74"/>
  <c r="S65" i="74"/>
  <c r="I65" i="74"/>
  <c r="J65" i="77"/>
  <c r="G65" i="77"/>
  <c r="T65" i="78"/>
  <c r="T65" i="77"/>
  <c r="X65" i="77"/>
  <c r="M65" i="74"/>
  <c r="W65" i="77"/>
  <c r="H65" i="75"/>
  <c r="H65" i="74"/>
  <c r="Y65" i="74"/>
  <c r="K65" i="74"/>
  <c r="I65" i="77"/>
  <c r="Z65" i="74"/>
  <c r="X65" i="74"/>
  <c r="H65" i="78"/>
  <c r="H65" i="77"/>
  <c r="U65" i="77"/>
  <c r="W65" i="74"/>
  <c r="J65" i="74"/>
  <c r="T65" i="75"/>
  <c r="T65" i="74"/>
  <c r="U65" i="74"/>
  <c r="L65" i="74"/>
  <c r="N65" i="77"/>
  <c r="Y65" i="77"/>
  <c r="U66" i="76" a="1"/>
  <c r="AB66" i="76" s="1"/>
  <c r="AE65" i="76"/>
  <c r="R65" i="76"/>
  <c r="H66" i="76" a="1"/>
  <c r="U66" i="73" a="1"/>
  <c r="AE65" i="73"/>
  <c r="R65" i="73"/>
  <c r="H66" i="73" a="1"/>
  <c r="Z66" i="77" l="1"/>
  <c r="AC65" i="77"/>
  <c r="X66" i="76"/>
  <c r="W66" i="76"/>
  <c r="AD66" i="76"/>
  <c r="AB67" i="78" s="1"/>
  <c r="V66" i="76"/>
  <c r="AC66" i="76"/>
  <c r="Y66" i="76"/>
  <c r="AA66" i="76"/>
  <c r="U66" i="76"/>
  <c r="Z66" i="76"/>
  <c r="Q65" i="77"/>
  <c r="AC65" i="74"/>
  <c r="Q65" i="74"/>
  <c r="K66" i="76"/>
  <c r="Q66" i="76"/>
  <c r="P67" i="78" s="1"/>
  <c r="L66" i="76"/>
  <c r="J66" i="76"/>
  <c r="O66" i="76"/>
  <c r="M66" i="76"/>
  <c r="N66" i="76"/>
  <c r="I66" i="76"/>
  <c r="P66" i="76"/>
  <c r="H66" i="76"/>
  <c r="L66" i="73"/>
  <c r="H66" i="73"/>
  <c r="I66" i="73"/>
  <c r="J66" i="73"/>
  <c r="K66" i="73"/>
  <c r="M66" i="73"/>
  <c r="N66" i="73"/>
  <c r="P66" i="73"/>
  <c r="O66" i="73"/>
  <c r="Q66" i="73"/>
  <c r="Z66" i="73"/>
  <c r="W66" i="73"/>
  <c r="AB66" i="73"/>
  <c r="X66" i="73"/>
  <c r="AD66" i="73"/>
  <c r="AA66" i="73"/>
  <c r="U66" i="73"/>
  <c r="AC66" i="73"/>
  <c r="V66" i="73"/>
  <c r="Y66" i="73"/>
  <c r="AF66" i="73" l="1"/>
  <c r="AF66" i="76"/>
  <c r="S66" i="73"/>
  <c r="S66" i="76"/>
  <c r="AB67" i="75"/>
  <c r="P67" i="75"/>
  <c r="X66" i="77"/>
  <c r="V66" i="77"/>
  <c r="M66" i="74"/>
  <c r="O66" i="77"/>
  <c r="J66" i="77"/>
  <c r="S66" i="77"/>
  <c r="N66" i="74"/>
  <c r="U66" i="77"/>
  <c r="Y66" i="74"/>
  <c r="O66" i="74"/>
  <c r="G66" i="77"/>
  <c r="V66" i="74"/>
  <c r="L66" i="74"/>
  <c r="H66" i="78"/>
  <c r="H66" i="77"/>
  <c r="Y66" i="77"/>
  <c r="Z66" i="74"/>
  <c r="W66" i="77"/>
  <c r="AA66" i="74"/>
  <c r="G66" i="74"/>
  <c r="S66" i="74"/>
  <c r="U66" i="74"/>
  <c r="L66" i="77"/>
  <c r="AA66" i="77"/>
  <c r="I66" i="77"/>
  <c r="K66" i="74"/>
  <c r="K66" i="77"/>
  <c r="J66" i="74"/>
  <c r="M66" i="77"/>
  <c r="W66" i="74"/>
  <c r="I66" i="74"/>
  <c r="T66" i="75"/>
  <c r="T66" i="74"/>
  <c r="X66" i="74"/>
  <c r="H66" i="75"/>
  <c r="H66" i="74"/>
  <c r="N66" i="77"/>
  <c r="T66" i="78"/>
  <c r="T66" i="77"/>
  <c r="AE66" i="76"/>
  <c r="U67" i="76" a="1"/>
  <c r="AC67" i="76" s="1"/>
  <c r="H67" i="76" a="1"/>
  <c r="R66" i="76"/>
  <c r="R66" i="73"/>
  <c r="H67" i="73" a="1"/>
  <c r="U67" i="73" a="1"/>
  <c r="AE66" i="73"/>
  <c r="AA67" i="77" l="1"/>
  <c r="AC66" i="77"/>
  <c r="W67" i="76"/>
  <c r="V67" i="76"/>
  <c r="U67" i="76"/>
  <c r="AA67" i="76"/>
  <c r="AB67" i="76"/>
  <c r="Z67" i="76"/>
  <c r="Y67" i="76"/>
  <c r="AD67" i="76"/>
  <c r="AB68" i="78" s="1"/>
  <c r="X67" i="76"/>
  <c r="Q66" i="77"/>
  <c r="AC66" i="74"/>
  <c r="Q66" i="74"/>
  <c r="O67" i="76"/>
  <c r="M67" i="76"/>
  <c r="H67" i="76"/>
  <c r="P67" i="76"/>
  <c r="I67" i="76"/>
  <c r="Q67" i="76"/>
  <c r="P68" i="78" s="1"/>
  <c r="J67" i="76"/>
  <c r="K67" i="76"/>
  <c r="N67" i="76"/>
  <c r="L67" i="76"/>
  <c r="L67" i="73"/>
  <c r="I67" i="73"/>
  <c r="N67" i="73"/>
  <c r="Q67" i="73"/>
  <c r="P67" i="73"/>
  <c r="K67" i="73"/>
  <c r="J67" i="73"/>
  <c r="M67" i="73"/>
  <c r="O67" i="73"/>
  <c r="H67" i="73"/>
  <c r="Z67" i="73"/>
  <c r="AB67" i="73"/>
  <c r="AA67" i="73"/>
  <c r="AC67" i="73"/>
  <c r="V67" i="73"/>
  <c r="U67" i="73"/>
  <c r="AD67" i="73"/>
  <c r="X67" i="73"/>
  <c r="W67" i="73"/>
  <c r="Y67" i="73"/>
  <c r="AF67" i="73" l="1"/>
  <c r="S67" i="73"/>
  <c r="AF67" i="76"/>
  <c r="S67" i="76"/>
  <c r="AB68" i="75"/>
  <c r="P68" i="75"/>
  <c r="N67" i="74"/>
  <c r="K67" i="74"/>
  <c r="G67" i="77"/>
  <c r="T67" i="78"/>
  <c r="T67" i="77"/>
  <c r="S67" i="74"/>
  <c r="L67" i="74"/>
  <c r="K67" i="77"/>
  <c r="L67" i="77"/>
  <c r="V67" i="77"/>
  <c r="U67" i="77"/>
  <c r="Y67" i="74"/>
  <c r="T67" i="75"/>
  <c r="T67" i="74"/>
  <c r="I67" i="74"/>
  <c r="M67" i="77"/>
  <c r="N67" i="77"/>
  <c r="AA67" i="74"/>
  <c r="J67" i="74"/>
  <c r="J67" i="77"/>
  <c r="W67" i="77"/>
  <c r="O67" i="74"/>
  <c r="I67" i="77"/>
  <c r="X67" i="77"/>
  <c r="Z67" i="77"/>
  <c r="W67" i="74"/>
  <c r="Z67" i="74"/>
  <c r="U67" i="74"/>
  <c r="X67" i="74"/>
  <c r="M67" i="74"/>
  <c r="H67" i="78"/>
  <c r="H67" i="77"/>
  <c r="Y67" i="77"/>
  <c r="V67" i="74"/>
  <c r="G67" i="74"/>
  <c r="H67" i="75"/>
  <c r="H67" i="74"/>
  <c r="O67" i="77"/>
  <c r="S67" i="77"/>
  <c r="U68" i="76" a="1"/>
  <c r="AA68" i="76" s="1"/>
  <c r="Y68" i="77" s="1"/>
  <c r="AE67" i="76"/>
  <c r="R67" i="76"/>
  <c r="H68" i="76" a="1"/>
  <c r="R67" i="73"/>
  <c r="H68" i="73" a="1"/>
  <c r="U68" i="73" a="1"/>
  <c r="AE67" i="73"/>
  <c r="AC67" i="77" l="1"/>
  <c r="X68" i="76"/>
  <c r="W68" i="76"/>
  <c r="Z68" i="76"/>
  <c r="AD68" i="76"/>
  <c r="AB69" i="78" s="1"/>
  <c r="V68" i="76"/>
  <c r="AC68" i="76"/>
  <c r="U68" i="76"/>
  <c r="AB68" i="76"/>
  <c r="Y68" i="76"/>
  <c r="Q67" i="77"/>
  <c r="AC67" i="74"/>
  <c r="Q67" i="74"/>
  <c r="I68" i="76"/>
  <c r="H68" i="76"/>
  <c r="Q68" i="76"/>
  <c r="P69" i="78" s="1"/>
  <c r="P68" i="76"/>
  <c r="K68" i="76"/>
  <c r="J68" i="76"/>
  <c r="L68" i="76"/>
  <c r="M68" i="76"/>
  <c r="N68" i="76"/>
  <c r="O68" i="76"/>
  <c r="X68" i="73"/>
  <c r="AD68" i="73"/>
  <c r="Z68" i="73"/>
  <c r="AA68" i="73"/>
  <c r="AB68" i="73"/>
  <c r="AC68" i="73"/>
  <c r="U68" i="73"/>
  <c r="V68" i="73"/>
  <c r="Y68" i="73"/>
  <c r="W68" i="73"/>
  <c r="Q68" i="73"/>
  <c r="I68" i="73"/>
  <c r="J68" i="73"/>
  <c r="K68" i="73"/>
  <c r="H68" i="73"/>
  <c r="L68" i="73"/>
  <c r="P68" i="73"/>
  <c r="M68" i="73"/>
  <c r="N68" i="73"/>
  <c r="O68" i="73"/>
  <c r="AF68" i="73" l="1"/>
  <c r="S68" i="73"/>
  <c r="AF68" i="76"/>
  <c r="S68" i="76"/>
  <c r="P69" i="75"/>
  <c r="AB69" i="75"/>
  <c r="L68" i="74"/>
  <c r="U68" i="74"/>
  <c r="X68" i="77"/>
  <c r="O68" i="74"/>
  <c r="W68" i="74"/>
  <c r="V68" i="74"/>
  <c r="U68" i="77"/>
  <c r="K68" i="74"/>
  <c r="G68" i="77"/>
  <c r="G68" i="74"/>
  <c r="M68" i="77"/>
  <c r="H68" i="78"/>
  <c r="H68" i="77"/>
  <c r="Z68" i="77"/>
  <c r="J68" i="74"/>
  <c r="AA68" i="74"/>
  <c r="L68" i="77"/>
  <c r="S68" i="77"/>
  <c r="T68" i="75"/>
  <c r="T68" i="74"/>
  <c r="W68" i="77"/>
  <c r="K68" i="77"/>
  <c r="AA68" i="77"/>
  <c r="O68" i="77"/>
  <c r="N68" i="77"/>
  <c r="V68" i="77"/>
  <c r="S68" i="74"/>
  <c r="I68" i="74"/>
  <c r="Z68" i="74"/>
  <c r="N68" i="74"/>
  <c r="H68" i="75"/>
  <c r="H68" i="74"/>
  <c r="Y68" i="74"/>
  <c r="I68" i="77"/>
  <c r="T68" i="78"/>
  <c r="T68" i="77"/>
  <c r="M68" i="74"/>
  <c r="X68" i="74"/>
  <c r="J68" i="77"/>
  <c r="U69" i="76" a="1"/>
  <c r="AC69" i="76" s="1"/>
  <c r="AA69" i="77" s="1"/>
  <c r="AE68" i="76"/>
  <c r="R68" i="76"/>
  <c r="H69" i="76" a="1"/>
  <c r="R68" i="73"/>
  <c r="H69" i="73" a="1"/>
  <c r="AE68" i="73"/>
  <c r="U69" i="73" a="1"/>
  <c r="AC68" i="77" l="1"/>
  <c r="U69" i="76"/>
  <c r="AA69" i="76"/>
  <c r="Z69" i="76"/>
  <c r="X69" i="76"/>
  <c r="Y69" i="76"/>
  <c r="V69" i="76"/>
  <c r="W69" i="76"/>
  <c r="AD69" i="76"/>
  <c r="AB70" i="78" s="1"/>
  <c r="AB69" i="76"/>
  <c r="Q68" i="77"/>
  <c r="AC68" i="74"/>
  <c r="Q68" i="74"/>
  <c r="M69" i="76"/>
  <c r="K69" i="76"/>
  <c r="N69" i="76"/>
  <c r="O69" i="76"/>
  <c r="H69" i="76"/>
  <c r="P69" i="76"/>
  <c r="I69" i="76"/>
  <c r="Q69" i="76"/>
  <c r="P70" i="78" s="1"/>
  <c r="L69" i="76"/>
  <c r="J69" i="76"/>
  <c r="L69" i="73"/>
  <c r="K69" i="73"/>
  <c r="M69" i="73"/>
  <c r="Q69" i="73"/>
  <c r="N69" i="73"/>
  <c r="O69" i="73"/>
  <c r="H69" i="73"/>
  <c r="P69" i="73"/>
  <c r="I69" i="73"/>
  <c r="J69" i="73"/>
  <c r="V69" i="73"/>
  <c r="AD69" i="73"/>
  <c r="AB69" i="73"/>
  <c r="W69" i="73"/>
  <c r="X69" i="73"/>
  <c r="Y69" i="73"/>
  <c r="Z69" i="73"/>
  <c r="U69" i="73"/>
  <c r="AA69" i="73"/>
  <c r="AC69" i="73"/>
  <c r="AF69" i="73" l="1"/>
  <c r="S69" i="73"/>
  <c r="AF69" i="76"/>
  <c r="S69" i="76"/>
  <c r="AB70" i="75"/>
  <c r="P70" i="75"/>
  <c r="AA69" i="74"/>
  <c r="Y69" i="74"/>
  <c r="T69" i="75"/>
  <c r="T69" i="74"/>
  <c r="L69" i="74"/>
  <c r="S69" i="74"/>
  <c r="I69" i="74"/>
  <c r="J69" i="74"/>
  <c r="N69" i="77"/>
  <c r="X69" i="77"/>
  <c r="X69" i="74"/>
  <c r="H69" i="75"/>
  <c r="H69" i="74"/>
  <c r="K69" i="74"/>
  <c r="M69" i="77"/>
  <c r="Y69" i="77"/>
  <c r="W69" i="74"/>
  <c r="O69" i="74"/>
  <c r="I69" i="77"/>
  <c r="J69" i="77"/>
  <c r="Z69" i="77"/>
  <c r="S69" i="77"/>
  <c r="V69" i="74"/>
  <c r="G69" i="74"/>
  <c r="L69" i="77"/>
  <c r="U69" i="77"/>
  <c r="K69" i="77"/>
  <c r="U69" i="74"/>
  <c r="N69" i="74"/>
  <c r="Z69" i="74"/>
  <c r="M69" i="74"/>
  <c r="H69" i="78"/>
  <c r="H69" i="77"/>
  <c r="T69" i="78"/>
  <c r="T69" i="77"/>
  <c r="O69" i="77"/>
  <c r="W69" i="77"/>
  <c r="G69" i="77"/>
  <c r="V69" i="77"/>
  <c r="AE69" i="76"/>
  <c r="U70" i="76" a="1"/>
  <c r="V70" i="76" s="1"/>
  <c r="R69" i="76"/>
  <c r="H70" i="76" a="1"/>
  <c r="H70" i="73" a="1"/>
  <c r="R69" i="73"/>
  <c r="AE69" i="73"/>
  <c r="U70" i="73" a="1"/>
  <c r="T70" i="77" l="1"/>
  <c r="T70" i="78"/>
  <c r="AC69" i="77"/>
  <c r="AC70" i="76"/>
  <c r="U70" i="76"/>
  <c r="AD70" i="76"/>
  <c r="AB71" i="78" s="1"/>
  <c r="X70" i="76"/>
  <c r="Z70" i="76"/>
  <c r="AB70" i="76"/>
  <c r="AA70" i="76"/>
  <c r="W70" i="76"/>
  <c r="Y70" i="76"/>
  <c r="Q69" i="77"/>
  <c r="AC69" i="74"/>
  <c r="Q69" i="74"/>
  <c r="O70" i="76"/>
  <c r="M70" i="76"/>
  <c r="L70" i="76"/>
  <c r="H70" i="76"/>
  <c r="N70" i="76"/>
  <c r="I70" i="76"/>
  <c r="P70" i="76"/>
  <c r="Q70" i="76"/>
  <c r="P71" i="78" s="1"/>
  <c r="K70" i="76"/>
  <c r="J70" i="76"/>
  <c r="O70" i="73"/>
  <c r="L70" i="73"/>
  <c r="N70" i="73"/>
  <c r="H70" i="73"/>
  <c r="M70" i="73"/>
  <c r="P70" i="73"/>
  <c r="I70" i="73"/>
  <c r="Q70" i="73"/>
  <c r="J70" i="73"/>
  <c r="K70" i="73"/>
  <c r="V70" i="73"/>
  <c r="W70" i="73"/>
  <c r="X70" i="73"/>
  <c r="AC70" i="73"/>
  <c r="Y70" i="73"/>
  <c r="AD70" i="73"/>
  <c r="AA70" i="73"/>
  <c r="AB70" i="73"/>
  <c r="Z70" i="73"/>
  <c r="U70" i="73"/>
  <c r="AF70" i="73" l="1"/>
  <c r="S70" i="73"/>
  <c r="AF70" i="76"/>
  <c r="S70" i="76"/>
  <c r="AB71" i="75"/>
  <c r="P71" i="75"/>
  <c r="Z70" i="74"/>
  <c r="K70" i="74"/>
  <c r="G70" i="77"/>
  <c r="Y70" i="74"/>
  <c r="I70" i="74"/>
  <c r="N70" i="74"/>
  <c r="K70" i="77"/>
  <c r="S70" i="77"/>
  <c r="I70" i="77"/>
  <c r="L70" i="77"/>
  <c r="W70" i="77"/>
  <c r="AA70" i="77"/>
  <c r="W70" i="74"/>
  <c r="H70" i="75"/>
  <c r="H70" i="74"/>
  <c r="J70" i="77"/>
  <c r="N70" i="77"/>
  <c r="U70" i="77"/>
  <c r="O70" i="74"/>
  <c r="Y70" i="77"/>
  <c r="L70" i="74"/>
  <c r="O70" i="77"/>
  <c r="Z70" i="77"/>
  <c r="AA70" i="74"/>
  <c r="V70" i="74"/>
  <c r="S70" i="74"/>
  <c r="U70" i="74"/>
  <c r="G70" i="74"/>
  <c r="H70" i="78"/>
  <c r="H70" i="77"/>
  <c r="X70" i="77"/>
  <c r="X70" i="74"/>
  <c r="T70" i="75"/>
  <c r="T70" i="74"/>
  <c r="M70" i="74"/>
  <c r="M70" i="77"/>
  <c r="V70" i="77"/>
  <c r="J70" i="74"/>
  <c r="U71" i="76" a="1"/>
  <c r="U71" i="76" s="1"/>
  <c r="S71" i="77" s="1"/>
  <c r="AE70" i="76"/>
  <c r="H71" i="76" a="1"/>
  <c r="R70" i="76"/>
  <c r="U71" i="73" a="1"/>
  <c r="AE70" i="73"/>
  <c r="R70" i="73"/>
  <c r="H71" i="73" a="1"/>
  <c r="AC70" i="77" l="1"/>
  <c r="V71" i="76"/>
  <c r="Y71" i="76"/>
  <c r="X71" i="76"/>
  <c r="AD71" i="76"/>
  <c r="AB72" i="78" s="1"/>
  <c r="W71" i="76"/>
  <c r="AC71" i="76"/>
  <c r="AB71" i="76"/>
  <c r="Z71" i="76"/>
  <c r="AA71" i="76"/>
  <c r="AC70" i="74"/>
  <c r="Q70" i="77"/>
  <c r="Q70" i="74"/>
  <c r="J71" i="76"/>
  <c r="Q71" i="76"/>
  <c r="P72" i="78" s="1"/>
  <c r="K71" i="76"/>
  <c r="I71" i="76"/>
  <c r="N71" i="76"/>
  <c r="O71" i="76"/>
  <c r="L71" i="76"/>
  <c r="P71" i="76"/>
  <c r="M71" i="76"/>
  <c r="H71" i="76"/>
  <c r="M71" i="73"/>
  <c r="H71" i="73"/>
  <c r="N71" i="73"/>
  <c r="I71" i="73"/>
  <c r="O71" i="73"/>
  <c r="J71" i="73"/>
  <c r="P71" i="73"/>
  <c r="L71" i="73"/>
  <c r="K71" i="73"/>
  <c r="Q71" i="73"/>
  <c r="V71" i="73"/>
  <c r="AD71" i="73"/>
  <c r="W71" i="73"/>
  <c r="AA71" i="73"/>
  <c r="Y71" i="73"/>
  <c r="AB71" i="73"/>
  <c r="Z71" i="73"/>
  <c r="AC71" i="73"/>
  <c r="X71" i="73"/>
  <c r="U71" i="73"/>
  <c r="AF71" i="73" l="1"/>
  <c r="S71" i="73"/>
  <c r="AF71" i="76"/>
  <c r="S71" i="76"/>
  <c r="AB72" i="75"/>
  <c r="P72" i="75"/>
  <c r="S71" i="74"/>
  <c r="V71" i="74"/>
  <c r="T71" i="75"/>
  <c r="T71" i="74"/>
  <c r="M71" i="74"/>
  <c r="M71" i="77"/>
  <c r="V71" i="77"/>
  <c r="X71" i="74"/>
  <c r="J71" i="74"/>
  <c r="L71" i="74"/>
  <c r="J71" i="77"/>
  <c r="W71" i="77"/>
  <c r="Y71" i="77"/>
  <c r="T71" i="78"/>
  <c r="T71" i="77"/>
  <c r="AA71" i="74"/>
  <c r="G71" i="74"/>
  <c r="G71" i="77"/>
  <c r="W71" i="74"/>
  <c r="O71" i="74"/>
  <c r="L71" i="77"/>
  <c r="I71" i="77"/>
  <c r="X71" i="77"/>
  <c r="H71" i="78"/>
  <c r="H71" i="77"/>
  <c r="Z71" i="74"/>
  <c r="K71" i="74"/>
  <c r="Y71" i="74"/>
  <c r="I71" i="74"/>
  <c r="O71" i="77"/>
  <c r="Z71" i="77"/>
  <c r="U71" i="74"/>
  <c r="N71" i="74"/>
  <c r="K71" i="77"/>
  <c r="AA71" i="77"/>
  <c r="H71" i="75"/>
  <c r="H71" i="74"/>
  <c r="N71" i="77"/>
  <c r="U71" i="77"/>
  <c r="U72" i="76" a="1"/>
  <c r="AD72" i="76" s="1"/>
  <c r="AB73" i="78" s="1"/>
  <c r="AE71" i="76"/>
  <c r="R71" i="76"/>
  <c r="H72" i="76" a="1"/>
  <c r="AE71" i="73"/>
  <c r="U72" i="73" a="1"/>
  <c r="R71" i="73"/>
  <c r="H72" i="73" a="1"/>
  <c r="AC71" i="77" l="1"/>
  <c r="AC72" i="76"/>
  <c r="AB72" i="76"/>
  <c r="AA72" i="76"/>
  <c r="Z72" i="76"/>
  <c r="V72" i="76"/>
  <c r="Y72" i="76"/>
  <c r="W72" i="76"/>
  <c r="X72" i="76"/>
  <c r="U72" i="76"/>
  <c r="Q71" i="77"/>
  <c r="AC71" i="74"/>
  <c r="Q71" i="74"/>
  <c r="P72" i="76"/>
  <c r="I72" i="76"/>
  <c r="Q72" i="76"/>
  <c r="P73" i="78" s="1"/>
  <c r="J72" i="76"/>
  <c r="M72" i="76"/>
  <c r="K72" i="76"/>
  <c r="N72" i="76"/>
  <c r="L72" i="76"/>
  <c r="O72" i="76"/>
  <c r="H72" i="76"/>
  <c r="P72" i="73"/>
  <c r="I72" i="73"/>
  <c r="L72" i="73"/>
  <c r="Q72" i="73"/>
  <c r="K72" i="73"/>
  <c r="J72" i="73"/>
  <c r="N72" i="73"/>
  <c r="M72" i="73"/>
  <c r="H72" i="73"/>
  <c r="O72" i="73"/>
  <c r="U72" i="73"/>
  <c r="AC72" i="73"/>
  <c r="AA72" i="73"/>
  <c r="V72" i="73"/>
  <c r="AB72" i="73"/>
  <c r="AD72" i="73"/>
  <c r="X72" i="73"/>
  <c r="Y72" i="73"/>
  <c r="W72" i="73"/>
  <c r="Z72" i="73"/>
  <c r="AF72" i="76" l="1"/>
  <c r="AF72" i="73"/>
  <c r="S72" i="73"/>
  <c r="S72" i="76"/>
  <c r="AB73" i="75"/>
  <c r="P73" i="75"/>
  <c r="M72" i="77"/>
  <c r="T72" i="78"/>
  <c r="T72" i="77"/>
  <c r="J72" i="74"/>
  <c r="X72" i="77"/>
  <c r="Y72" i="74"/>
  <c r="W72" i="77"/>
  <c r="Y72" i="77"/>
  <c r="X72" i="74"/>
  <c r="AA72" i="74"/>
  <c r="U72" i="74"/>
  <c r="L72" i="77"/>
  <c r="N72" i="74"/>
  <c r="I72" i="77"/>
  <c r="V72" i="74"/>
  <c r="G72" i="74"/>
  <c r="O72" i="74"/>
  <c r="Z72" i="77"/>
  <c r="J72" i="77"/>
  <c r="S72" i="74"/>
  <c r="K72" i="74"/>
  <c r="W72" i="74"/>
  <c r="H72" i="75"/>
  <c r="H72" i="74"/>
  <c r="L72" i="74"/>
  <c r="G72" i="77"/>
  <c r="H72" i="78"/>
  <c r="H72" i="77"/>
  <c r="S72" i="77"/>
  <c r="AA72" i="77"/>
  <c r="Z72" i="74"/>
  <c r="M72" i="74"/>
  <c r="N72" i="77"/>
  <c r="O72" i="77"/>
  <c r="V72" i="77"/>
  <c r="T72" i="75"/>
  <c r="T72" i="74"/>
  <c r="I72" i="74"/>
  <c r="K72" i="77"/>
  <c r="U72" i="77"/>
  <c r="U73" i="76" a="1"/>
  <c r="Y73" i="76" s="1"/>
  <c r="AE72" i="76"/>
  <c r="R72" i="76"/>
  <c r="H73" i="76" a="1"/>
  <c r="U73" i="73" a="1"/>
  <c r="AE72" i="73"/>
  <c r="R72" i="73"/>
  <c r="H73" i="73" a="1"/>
  <c r="W73" i="77" l="1"/>
  <c r="AC72" i="77"/>
  <c r="AD73" i="76"/>
  <c r="AB74" i="78" s="1"/>
  <c r="V73" i="76"/>
  <c r="U73" i="76"/>
  <c r="AB73" i="76"/>
  <c r="AC73" i="76"/>
  <c r="AA73" i="76"/>
  <c r="X73" i="76"/>
  <c r="Z73" i="76"/>
  <c r="W73" i="76"/>
  <c r="AC72" i="74"/>
  <c r="Q72" i="77"/>
  <c r="Q72" i="74"/>
  <c r="H73" i="76"/>
  <c r="N73" i="76"/>
  <c r="K73" i="76"/>
  <c r="M73" i="76"/>
  <c r="P73" i="76"/>
  <c r="O73" i="76"/>
  <c r="Q73" i="76"/>
  <c r="P74" i="78" s="1"/>
  <c r="I73" i="76"/>
  <c r="J73" i="76"/>
  <c r="L73" i="76"/>
  <c r="V73" i="73"/>
  <c r="W73" i="73"/>
  <c r="AC73" i="73"/>
  <c r="Y73" i="73"/>
  <c r="X73" i="73"/>
  <c r="Z73" i="73"/>
  <c r="AD73" i="73"/>
  <c r="AB73" i="73"/>
  <c r="AA73" i="73"/>
  <c r="U73" i="73"/>
  <c r="J73" i="73"/>
  <c r="K73" i="73"/>
  <c r="Q73" i="73"/>
  <c r="L73" i="73"/>
  <c r="N73" i="73"/>
  <c r="H73" i="73"/>
  <c r="O73" i="73"/>
  <c r="P73" i="73"/>
  <c r="M73" i="73"/>
  <c r="I73" i="73"/>
  <c r="AF73" i="73" l="1"/>
  <c r="AF73" i="76"/>
  <c r="S73" i="73"/>
  <c r="S73" i="76"/>
  <c r="P74" i="75"/>
  <c r="AB74" i="75"/>
  <c r="V73" i="74"/>
  <c r="J73" i="74"/>
  <c r="S73" i="74"/>
  <c r="L73" i="77"/>
  <c r="S73" i="77"/>
  <c r="N73" i="74"/>
  <c r="Y73" i="74"/>
  <c r="T73" i="75"/>
  <c r="T73" i="74"/>
  <c r="J73" i="77"/>
  <c r="T73" i="78"/>
  <c r="T73" i="77"/>
  <c r="I73" i="77"/>
  <c r="G73" i="77"/>
  <c r="X73" i="77"/>
  <c r="H73" i="75"/>
  <c r="H73" i="74"/>
  <c r="O73" i="74"/>
  <c r="U73" i="74"/>
  <c r="G73" i="74"/>
  <c r="Z73" i="74"/>
  <c r="K73" i="77"/>
  <c r="M73" i="77"/>
  <c r="U73" i="77"/>
  <c r="M73" i="74"/>
  <c r="K73" i="74"/>
  <c r="X73" i="74"/>
  <c r="H73" i="78"/>
  <c r="H73" i="77"/>
  <c r="V73" i="77"/>
  <c r="Y73" i="77"/>
  <c r="W73" i="74"/>
  <c r="AA73" i="77"/>
  <c r="N73" i="77"/>
  <c r="L73" i="74"/>
  <c r="I73" i="74"/>
  <c r="AA73" i="74"/>
  <c r="O73" i="77"/>
  <c r="Z73" i="77"/>
  <c r="U74" i="76" a="1"/>
  <c r="U74" i="76" s="1"/>
  <c r="AE73" i="76"/>
  <c r="R73" i="76"/>
  <c r="H74" i="76" a="1"/>
  <c r="H74" i="73" a="1"/>
  <c r="R73" i="73"/>
  <c r="U74" i="73" a="1"/>
  <c r="AE73" i="73"/>
  <c r="S74" i="77" l="1"/>
  <c r="AC73" i="77"/>
  <c r="W74" i="76"/>
  <c r="Y74" i="76"/>
  <c r="V74" i="76"/>
  <c r="AC74" i="76"/>
  <c r="Z74" i="76"/>
  <c r="AB74" i="76"/>
  <c r="X74" i="76"/>
  <c r="AD74" i="76"/>
  <c r="AB75" i="78" s="1"/>
  <c r="AA74" i="76"/>
  <c r="AC73" i="74"/>
  <c r="Q73" i="77"/>
  <c r="Q73" i="74"/>
  <c r="M74" i="76"/>
  <c r="N74" i="76"/>
  <c r="O74" i="76"/>
  <c r="H74" i="76"/>
  <c r="P74" i="76"/>
  <c r="I74" i="76"/>
  <c r="K74" i="76"/>
  <c r="Q74" i="76"/>
  <c r="P75" i="78" s="1"/>
  <c r="L74" i="76"/>
  <c r="J74" i="76"/>
  <c r="AA74" i="73"/>
  <c r="AB74" i="73"/>
  <c r="Y74" i="73"/>
  <c r="AC74" i="73"/>
  <c r="AD74" i="73"/>
  <c r="U74" i="73"/>
  <c r="Z74" i="73"/>
  <c r="W74" i="73"/>
  <c r="V74" i="73"/>
  <c r="X74" i="73"/>
  <c r="H74" i="73"/>
  <c r="K74" i="73"/>
  <c r="I74" i="73"/>
  <c r="O74" i="73"/>
  <c r="J74" i="73"/>
  <c r="P74" i="73"/>
  <c r="L74" i="73"/>
  <c r="Q74" i="73"/>
  <c r="M74" i="73"/>
  <c r="N74" i="73"/>
  <c r="AF74" i="73" l="1"/>
  <c r="S74" i="73"/>
  <c r="AF74" i="76"/>
  <c r="S74" i="76"/>
  <c r="AB75" i="75"/>
  <c r="P75" i="75"/>
  <c r="I74" i="74"/>
  <c r="X74" i="74"/>
  <c r="N74" i="74"/>
  <c r="S74" i="74"/>
  <c r="K74" i="74"/>
  <c r="T74" i="75"/>
  <c r="T74" i="74"/>
  <c r="Y74" i="74"/>
  <c r="N74" i="77"/>
  <c r="W74" i="77"/>
  <c r="O74" i="74"/>
  <c r="U74" i="74"/>
  <c r="I74" i="77"/>
  <c r="M74" i="77"/>
  <c r="Y74" i="77"/>
  <c r="U74" i="77"/>
  <c r="V74" i="77"/>
  <c r="L74" i="77"/>
  <c r="Z74" i="77"/>
  <c r="M74" i="74"/>
  <c r="AA74" i="74"/>
  <c r="H74" i="78"/>
  <c r="H74" i="77"/>
  <c r="X74" i="77"/>
  <c r="K74" i="77"/>
  <c r="H74" i="75"/>
  <c r="H74" i="74"/>
  <c r="J74" i="77"/>
  <c r="J74" i="74"/>
  <c r="L74" i="74"/>
  <c r="G74" i="74"/>
  <c r="W74" i="74"/>
  <c r="O74" i="77"/>
  <c r="AA74" i="77"/>
  <c r="V74" i="74"/>
  <c r="Z74" i="74"/>
  <c r="G74" i="77"/>
  <c r="T74" i="78"/>
  <c r="T74" i="77"/>
  <c r="U75" i="76" a="1"/>
  <c r="Y75" i="76" s="1"/>
  <c r="AE74" i="76"/>
  <c r="H75" i="76" a="1"/>
  <c r="R74" i="76"/>
  <c r="AE74" i="73"/>
  <c r="U75" i="73" a="1"/>
  <c r="H75" i="73" a="1"/>
  <c r="R74" i="73"/>
  <c r="W75" i="77" l="1"/>
  <c r="AC74" i="77"/>
  <c r="V75" i="76"/>
  <c r="X75" i="76"/>
  <c r="W75" i="76"/>
  <c r="AC75" i="76"/>
  <c r="U75" i="76"/>
  <c r="AB75" i="76"/>
  <c r="AA75" i="76"/>
  <c r="Z75" i="76"/>
  <c r="AD75" i="76"/>
  <c r="AB76" i="78" s="1"/>
  <c r="Q74" i="77"/>
  <c r="AC74" i="74"/>
  <c r="Q74" i="74"/>
  <c r="I75" i="76"/>
  <c r="Q75" i="76"/>
  <c r="P76" i="78" s="1"/>
  <c r="J75" i="76"/>
  <c r="K75" i="76"/>
  <c r="L75" i="76"/>
  <c r="N75" i="76"/>
  <c r="M75" i="76"/>
  <c r="H75" i="76"/>
  <c r="O75" i="76"/>
  <c r="P75" i="76"/>
  <c r="P75" i="73"/>
  <c r="L75" i="73"/>
  <c r="I75" i="73"/>
  <c r="H75" i="73"/>
  <c r="Q75" i="73"/>
  <c r="J75" i="73"/>
  <c r="K75" i="73"/>
  <c r="N75" i="73"/>
  <c r="O75" i="73"/>
  <c r="M75" i="73"/>
  <c r="X75" i="73"/>
  <c r="AD75" i="73"/>
  <c r="Y75" i="73"/>
  <c r="AA75" i="73"/>
  <c r="Z75" i="73"/>
  <c r="V75" i="73"/>
  <c r="U75" i="73"/>
  <c r="AB75" i="73"/>
  <c r="W75" i="73"/>
  <c r="AC75" i="73"/>
  <c r="AF75" i="73" l="1"/>
  <c r="AF75" i="76"/>
  <c r="S75" i="73"/>
  <c r="S75" i="76"/>
  <c r="P76" i="75"/>
  <c r="AB76" i="75"/>
  <c r="T75" i="78"/>
  <c r="T75" i="77"/>
  <c r="O75" i="74"/>
  <c r="I75" i="77"/>
  <c r="V75" i="77"/>
  <c r="T75" i="75"/>
  <c r="T75" i="74"/>
  <c r="M75" i="74"/>
  <c r="O75" i="77"/>
  <c r="J75" i="74"/>
  <c r="N75" i="77"/>
  <c r="H75" i="78"/>
  <c r="H75" i="77"/>
  <c r="X75" i="77"/>
  <c r="X75" i="74"/>
  <c r="Y75" i="74"/>
  <c r="I75" i="74"/>
  <c r="G75" i="77"/>
  <c r="Y75" i="77"/>
  <c r="Z75" i="77"/>
  <c r="S75" i="74"/>
  <c r="N75" i="74"/>
  <c r="W75" i="74"/>
  <c r="L75" i="77"/>
  <c r="M75" i="77"/>
  <c r="S75" i="77"/>
  <c r="U75" i="74"/>
  <c r="H75" i="75"/>
  <c r="H75" i="74"/>
  <c r="K75" i="77"/>
  <c r="AA75" i="77"/>
  <c r="AA75" i="74"/>
  <c r="G75" i="74"/>
  <c r="V75" i="74"/>
  <c r="Z75" i="74"/>
  <c r="L75" i="74"/>
  <c r="K75" i="74"/>
  <c r="J75" i="77"/>
  <c r="U75" i="77"/>
  <c r="U76" i="76" a="1"/>
  <c r="Z76" i="76" s="1"/>
  <c r="AE75" i="76"/>
  <c r="R75" i="76"/>
  <c r="H76" i="76" a="1"/>
  <c r="R75" i="73"/>
  <c r="H76" i="73" a="1"/>
  <c r="U76" i="73" a="1"/>
  <c r="AE75" i="73"/>
  <c r="X76" i="77" l="1"/>
  <c r="AC75" i="77"/>
  <c r="AA76" i="76"/>
  <c r="X76" i="76"/>
  <c r="AB76" i="76"/>
  <c r="AD76" i="76"/>
  <c r="AB77" i="78" s="1"/>
  <c r="V76" i="76"/>
  <c r="W76" i="76"/>
  <c r="AC76" i="76"/>
  <c r="U76" i="76"/>
  <c r="Y76" i="76"/>
  <c r="Q75" i="77"/>
  <c r="AC75" i="74"/>
  <c r="Q75" i="74"/>
  <c r="Q76" i="76"/>
  <c r="P77" i="78" s="1"/>
  <c r="J76" i="76"/>
  <c r="K76" i="76"/>
  <c r="L76" i="76"/>
  <c r="M76" i="76"/>
  <c r="N76" i="76"/>
  <c r="O76" i="76"/>
  <c r="P76" i="76"/>
  <c r="I76" i="76"/>
  <c r="H76" i="76"/>
  <c r="J76" i="73"/>
  <c r="K76" i="73"/>
  <c r="L76" i="73"/>
  <c r="I76" i="73"/>
  <c r="M76" i="73"/>
  <c r="N76" i="73"/>
  <c r="O76" i="73"/>
  <c r="P76" i="73"/>
  <c r="Q76" i="73"/>
  <c r="H76" i="73"/>
  <c r="W76" i="73"/>
  <c r="Z76" i="73"/>
  <c r="X76" i="73"/>
  <c r="AB76" i="73"/>
  <c r="AC76" i="73"/>
  <c r="AA76" i="73"/>
  <c r="Y76" i="73"/>
  <c r="AD76" i="73"/>
  <c r="U76" i="73"/>
  <c r="V76" i="73"/>
  <c r="S76" i="73" l="1"/>
  <c r="AF76" i="73"/>
  <c r="AF76" i="76"/>
  <c r="S76" i="76"/>
  <c r="P77" i="75"/>
  <c r="AB77" i="75"/>
  <c r="I76" i="74"/>
  <c r="J76" i="77"/>
  <c r="V76" i="77"/>
  <c r="Y76" i="74"/>
  <c r="O76" i="74"/>
  <c r="G76" i="77"/>
  <c r="I76" i="77"/>
  <c r="W76" i="77"/>
  <c r="Y76" i="77"/>
  <c r="S76" i="77"/>
  <c r="W76" i="74"/>
  <c r="AA76" i="74"/>
  <c r="N76" i="74"/>
  <c r="H76" i="78"/>
  <c r="H76" i="77"/>
  <c r="Z76" i="74"/>
  <c r="M76" i="74"/>
  <c r="O76" i="77"/>
  <c r="AA76" i="77"/>
  <c r="U76" i="77"/>
  <c r="V76" i="74"/>
  <c r="L76" i="74"/>
  <c r="N76" i="77"/>
  <c r="T76" i="75"/>
  <c r="T76" i="74"/>
  <c r="X76" i="74"/>
  <c r="H76" i="75"/>
  <c r="H76" i="74"/>
  <c r="M76" i="77"/>
  <c r="T76" i="78"/>
  <c r="T76" i="77"/>
  <c r="S76" i="74"/>
  <c r="U76" i="74"/>
  <c r="K76" i="74"/>
  <c r="L76" i="77"/>
  <c r="G76" i="74"/>
  <c r="J76" i="74"/>
  <c r="K76" i="77"/>
  <c r="Z76" i="77"/>
  <c r="AE76" i="76"/>
  <c r="U77" i="76" a="1"/>
  <c r="AB77" i="76" s="1"/>
  <c r="H77" i="76" a="1"/>
  <c r="R76" i="76"/>
  <c r="AE76" i="73"/>
  <c r="U77" i="73" a="1"/>
  <c r="R76" i="73"/>
  <c r="H77" i="73" a="1"/>
  <c r="Z77" i="77" l="1"/>
  <c r="AC76" i="77"/>
  <c r="Y77" i="76"/>
  <c r="U77" i="76"/>
  <c r="Z77" i="76"/>
  <c r="X77" i="76"/>
  <c r="AD77" i="76"/>
  <c r="AB78" i="78" s="1"/>
  <c r="AA77" i="76"/>
  <c r="W77" i="76"/>
  <c r="V77" i="76"/>
  <c r="AC77" i="76"/>
  <c r="AC76" i="74"/>
  <c r="Q76" i="77"/>
  <c r="Q76" i="74"/>
  <c r="L77" i="76"/>
  <c r="M77" i="76"/>
  <c r="O77" i="76"/>
  <c r="N77" i="76"/>
  <c r="K77" i="76"/>
  <c r="H77" i="76"/>
  <c r="P77" i="76"/>
  <c r="I77" i="76"/>
  <c r="Q77" i="76"/>
  <c r="P78" i="78" s="1"/>
  <c r="J77" i="76"/>
  <c r="L77" i="73"/>
  <c r="K77" i="73"/>
  <c r="M77" i="73"/>
  <c r="Q77" i="73"/>
  <c r="N77" i="73"/>
  <c r="O77" i="73"/>
  <c r="H77" i="73"/>
  <c r="P77" i="73"/>
  <c r="I77" i="73"/>
  <c r="J77" i="73"/>
  <c r="W77" i="73"/>
  <c r="X77" i="73"/>
  <c r="Y77" i="73"/>
  <c r="AA77" i="73"/>
  <c r="U77" i="73"/>
  <c r="AB77" i="73"/>
  <c r="AC77" i="73"/>
  <c r="Z77" i="73"/>
  <c r="V77" i="73"/>
  <c r="AD77" i="73"/>
  <c r="AF77" i="76" l="1"/>
  <c r="AF77" i="73"/>
  <c r="S77" i="76"/>
  <c r="S77" i="73"/>
  <c r="AB78" i="75"/>
  <c r="P78" i="75"/>
  <c r="AA77" i="74"/>
  <c r="K77" i="74"/>
  <c r="S77" i="77"/>
  <c r="Z77" i="74"/>
  <c r="O77" i="74"/>
  <c r="I77" i="77"/>
  <c r="L77" i="77"/>
  <c r="AA77" i="77"/>
  <c r="W77" i="77"/>
  <c r="K77" i="77"/>
  <c r="T77" i="78"/>
  <c r="T77" i="77"/>
  <c r="W77" i="74"/>
  <c r="M77" i="74"/>
  <c r="O77" i="77"/>
  <c r="V77" i="74"/>
  <c r="H77" i="75"/>
  <c r="H77" i="74"/>
  <c r="N77" i="77"/>
  <c r="S77" i="74"/>
  <c r="G77" i="74"/>
  <c r="Y77" i="74"/>
  <c r="N77" i="74"/>
  <c r="H77" i="78"/>
  <c r="H77" i="77"/>
  <c r="U77" i="77"/>
  <c r="Y77" i="77"/>
  <c r="G77" i="77"/>
  <c r="U77" i="74"/>
  <c r="J77" i="77"/>
  <c r="V77" i="77"/>
  <c r="T77" i="75"/>
  <c r="T77" i="74"/>
  <c r="L77" i="74"/>
  <c r="X77" i="74"/>
  <c r="I77" i="74"/>
  <c r="J77" i="74"/>
  <c r="M77" i="77"/>
  <c r="X77" i="77"/>
  <c r="AE77" i="76"/>
  <c r="U78" i="76" a="1"/>
  <c r="AD78" i="76" s="1"/>
  <c r="AB79" i="78" s="1"/>
  <c r="H78" i="76" a="1"/>
  <c r="R77" i="76"/>
  <c r="U78" i="73" a="1"/>
  <c r="AE77" i="73"/>
  <c r="H78" i="73" a="1"/>
  <c r="R77" i="73"/>
  <c r="AC77" i="77" l="1"/>
  <c r="X78" i="76"/>
  <c r="W78" i="76"/>
  <c r="V78" i="76"/>
  <c r="AC78" i="76"/>
  <c r="U78" i="76"/>
  <c r="AB78" i="76"/>
  <c r="AA78" i="76"/>
  <c r="Y78" i="76"/>
  <c r="Z78" i="76"/>
  <c r="AC77" i="74"/>
  <c r="Q77" i="77"/>
  <c r="Q77" i="74"/>
  <c r="M78" i="76"/>
  <c r="H78" i="76"/>
  <c r="L78" i="76"/>
  <c r="P78" i="76"/>
  <c r="O78" i="76"/>
  <c r="I78" i="76"/>
  <c r="N78" i="76"/>
  <c r="J78" i="76"/>
  <c r="K78" i="76"/>
  <c r="Q78" i="76"/>
  <c r="P79" i="78" s="1"/>
  <c r="X78" i="73"/>
  <c r="AC78" i="73"/>
  <c r="Y78" i="73"/>
  <c r="AD78" i="73"/>
  <c r="Z78" i="73"/>
  <c r="AA78" i="73"/>
  <c r="AB78" i="73"/>
  <c r="U78" i="73"/>
  <c r="V78" i="73"/>
  <c r="W78" i="73"/>
  <c r="K78" i="73"/>
  <c r="L78" i="73"/>
  <c r="O78" i="73"/>
  <c r="M78" i="73"/>
  <c r="H78" i="73"/>
  <c r="N78" i="73"/>
  <c r="P78" i="73"/>
  <c r="I78" i="73"/>
  <c r="Q78" i="73"/>
  <c r="J78" i="73"/>
  <c r="S78" i="76" l="1"/>
  <c r="AF78" i="73"/>
  <c r="S78" i="73"/>
  <c r="AF78" i="76"/>
  <c r="P79" i="75"/>
  <c r="AB79" i="75"/>
  <c r="N78" i="74"/>
  <c r="S78" i="77"/>
  <c r="M78" i="77"/>
  <c r="AA78" i="77"/>
  <c r="X78" i="74"/>
  <c r="T78" i="78"/>
  <c r="T78" i="77"/>
  <c r="J78" i="74"/>
  <c r="H78" i="75"/>
  <c r="H78" i="74"/>
  <c r="U78" i="77"/>
  <c r="G78" i="77"/>
  <c r="X78" i="77"/>
  <c r="V78" i="77"/>
  <c r="Z78" i="77"/>
  <c r="I78" i="74"/>
  <c r="K78" i="74"/>
  <c r="H78" i="78"/>
  <c r="H78" i="77"/>
  <c r="N78" i="77"/>
  <c r="U78" i="74"/>
  <c r="O78" i="77"/>
  <c r="K78" i="77"/>
  <c r="M78" i="74"/>
  <c r="S78" i="74"/>
  <c r="G78" i="74"/>
  <c r="Z78" i="74"/>
  <c r="J78" i="77"/>
  <c r="L78" i="77"/>
  <c r="W78" i="77"/>
  <c r="W78" i="74"/>
  <c r="AA78" i="74"/>
  <c r="O78" i="74"/>
  <c r="T78" i="75"/>
  <c r="T78" i="74"/>
  <c r="V78" i="74"/>
  <c r="L78" i="74"/>
  <c r="Y78" i="74"/>
  <c r="I78" i="77"/>
  <c r="Y78" i="77"/>
  <c r="U79" i="76" a="1"/>
  <c r="AC79" i="76" s="1"/>
  <c r="AE78" i="76"/>
  <c r="R78" i="76"/>
  <c r="H79" i="76" a="1"/>
  <c r="U79" i="73" a="1"/>
  <c r="AE78" i="73"/>
  <c r="R78" i="73"/>
  <c r="H79" i="73" a="1"/>
  <c r="AA79" i="77" l="1"/>
  <c r="AC78" i="77"/>
  <c r="AA79" i="76"/>
  <c r="AB79" i="76"/>
  <c r="Z79" i="76"/>
  <c r="Y79" i="76"/>
  <c r="X79" i="76"/>
  <c r="AD79" i="76"/>
  <c r="AB80" i="78" s="1"/>
  <c r="U79" i="76"/>
  <c r="W79" i="76"/>
  <c r="V79" i="76"/>
  <c r="AC78" i="74"/>
  <c r="Q78" i="77"/>
  <c r="Q78" i="74"/>
  <c r="P79" i="76"/>
  <c r="I79" i="76"/>
  <c r="J79" i="76"/>
  <c r="K79" i="76"/>
  <c r="L79" i="76"/>
  <c r="Q79" i="76"/>
  <c r="P80" i="78" s="1"/>
  <c r="M79" i="76"/>
  <c r="H79" i="76"/>
  <c r="N79" i="76"/>
  <c r="O79" i="76"/>
  <c r="N79" i="73"/>
  <c r="O79" i="73"/>
  <c r="I79" i="73"/>
  <c r="M79" i="73"/>
  <c r="P79" i="73"/>
  <c r="K79" i="73"/>
  <c r="H79" i="73"/>
  <c r="J79" i="73"/>
  <c r="Q79" i="73"/>
  <c r="L79" i="73"/>
  <c r="AB79" i="73"/>
  <c r="Z79" i="73"/>
  <c r="U79" i="73"/>
  <c r="AC79" i="73"/>
  <c r="AA79" i="73"/>
  <c r="V79" i="73"/>
  <c r="W79" i="73"/>
  <c r="AD79" i="73"/>
  <c r="Y79" i="73"/>
  <c r="X79" i="73"/>
  <c r="AF79" i="73" l="1"/>
  <c r="S79" i="73"/>
  <c r="AF79" i="76"/>
  <c r="S79" i="76"/>
  <c r="P80" i="75"/>
  <c r="AB80" i="75"/>
  <c r="Z79" i="77"/>
  <c r="L79" i="74"/>
  <c r="W79" i="74"/>
  <c r="H79" i="75"/>
  <c r="H79" i="74"/>
  <c r="K79" i="77"/>
  <c r="K79" i="74"/>
  <c r="X79" i="77"/>
  <c r="U79" i="74"/>
  <c r="M79" i="74"/>
  <c r="I79" i="74"/>
  <c r="N79" i="77"/>
  <c r="H79" i="78"/>
  <c r="H79" i="77"/>
  <c r="T79" i="78"/>
  <c r="T79" i="77"/>
  <c r="Y79" i="77"/>
  <c r="S79" i="74"/>
  <c r="O79" i="74"/>
  <c r="X79" i="74"/>
  <c r="I79" i="77"/>
  <c r="T79" i="75"/>
  <c r="T79" i="74"/>
  <c r="Y79" i="74"/>
  <c r="G79" i="74"/>
  <c r="M79" i="77"/>
  <c r="O79" i="77"/>
  <c r="U79" i="77"/>
  <c r="N79" i="74"/>
  <c r="J79" i="77"/>
  <c r="AA79" i="74"/>
  <c r="J79" i="74"/>
  <c r="G79" i="77"/>
  <c r="S79" i="77"/>
  <c r="V79" i="77"/>
  <c r="L79" i="77"/>
  <c r="V79" i="74"/>
  <c r="Z79" i="74"/>
  <c r="W79" i="77"/>
  <c r="AE79" i="76"/>
  <c r="U80" i="76" a="1"/>
  <c r="AD80" i="76" s="1"/>
  <c r="AB81" i="78" s="1"/>
  <c r="R79" i="76"/>
  <c r="H80" i="76" a="1"/>
  <c r="AE79" i="73"/>
  <c r="U80" i="73" a="1"/>
  <c r="R79" i="73"/>
  <c r="H80" i="73" a="1"/>
  <c r="AC79" i="77" l="1"/>
  <c r="AA80" i="76"/>
  <c r="U80" i="76"/>
  <c r="V80" i="76"/>
  <c r="AC80" i="76"/>
  <c r="AB80" i="76"/>
  <c r="Y80" i="76"/>
  <c r="X80" i="76"/>
  <c r="Z80" i="76"/>
  <c r="W80" i="76"/>
  <c r="Q79" i="77"/>
  <c r="AC79" i="74"/>
  <c r="Q79" i="74"/>
  <c r="P80" i="76"/>
  <c r="I80" i="76"/>
  <c r="Q80" i="76"/>
  <c r="P81" i="78" s="1"/>
  <c r="J80" i="76"/>
  <c r="K80" i="76"/>
  <c r="M80" i="76"/>
  <c r="L80" i="76"/>
  <c r="O80" i="76"/>
  <c r="N80" i="76"/>
  <c r="H80" i="76"/>
  <c r="H80" i="73"/>
  <c r="P80" i="73"/>
  <c r="I80" i="73"/>
  <c r="Q80" i="73"/>
  <c r="J80" i="73"/>
  <c r="M80" i="73"/>
  <c r="K80" i="73"/>
  <c r="N80" i="73"/>
  <c r="L80" i="73"/>
  <c r="O80" i="73"/>
  <c r="Z80" i="73"/>
  <c r="U80" i="73"/>
  <c r="AA80" i="73"/>
  <c r="AB80" i="73"/>
  <c r="V80" i="73"/>
  <c r="AC80" i="73"/>
  <c r="AD80" i="73"/>
  <c r="Y80" i="73"/>
  <c r="W80" i="73"/>
  <c r="X80" i="73"/>
  <c r="S80" i="73" l="1"/>
  <c r="AF80" i="73"/>
  <c r="AF80" i="76"/>
  <c r="S80" i="76"/>
  <c r="AB81" i="75"/>
  <c r="P81" i="75"/>
  <c r="Z80" i="77"/>
  <c r="I80" i="74"/>
  <c r="AA80" i="77"/>
  <c r="K80" i="77"/>
  <c r="X80" i="74"/>
  <c r="J80" i="77"/>
  <c r="N80" i="74"/>
  <c r="O80" i="74"/>
  <c r="AA80" i="74"/>
  <c r="U80" i="77"/>
  <c r="T80" i="78"/>
  <c r="T80" i="77"/>
  <c r="M80" i="74"/>
  <c r="G80" i="77"/>
  <c r="H80" i="78"/>
  <c r="H80" i="77"/>
  <c r="S80" i="77"/>
  <c r="T80" i="75"/>
  <c r="T80" i="74"/>
  <c r="J80" i="74"/>
  <c r="M80" i="77"/>
  <c r="O80" i="77"/>
  <c r="X80" i="77"/>
  <c r="Y80" i="77"/>
  <c r="Y80" i="74"/>
  <c r="W80" i="77"/>
  <c r="V80" i="74"/>
  <c r="S80" i="74"/>
  <c r="L80" i="77"/>
  <c r="U80" i="74"/>
  <c r="H80" i="75"/>
  <c r="H80" i="74"/>
  <c r="W80" i="74"/>
  <c r="I80" i="77"/>
  <c r="K80" i="74"/>
  <c r="G80" i="74"/>
  <c r="Z80" i="74"/>
  <c r="L80" i="74"/>
  <c r="N80" i="77"/>
  <c r="V80" i="77"/>
  <c r="U81" i="76" a="1"/>
  <c r="Y81" i="76" s="1"/>
  <c r="W81" i="77" s="1"/>
  <c r="AE80" i="76"/>
  <c r="R80" i="76"/>
  <c r="H81" i="76" a="1"/>
  <c r="AE80" i="73"/>
  <c r="U81" i="73" a="1"/>
  <c r="H81" i="73" a="1"/>
  <c r="R80" i="73"/>
  <c r="AC80" i="77" l="1"/>
  <c r="Z81" i="76"/>
  <c r="W81" i="76"/>
  <c r="AD81" i="76"/>
  <c r="AB82" i="78" s="1"/>
  <c r="V81" i="76"/>
  <c r="AC81" i="76"/>
  <c r="AB81" i="76"/>
  <c r="U81" i="76"/>
  <c r="X81" i="76"/>
  <c r="AA81" i="76"/>
  <c r="AC80" i="74"/>
  <c r="Q80" i="77"/>
  <c r="Q80" i="74"/>
  <c r="I81" i="76"/>
  <c r="H81" i="76"/>
  <c r="O81" i="76"/>
  <c r="J81" i="76"/>
  <c r="P81" i="76"/>
  <c r="Q81" i="76"/>
  <c r="P82" i="78" s="1"/>
  <c r="K81" i="76"/>
  <c r="N81" i="76"/>
  <c r="L81" i="76"/>
  <c r="M81" i="76"/>
  <c r="P81" i="73"/>
  <c r="N81" i="73"/>
  <c r="L81" i="73"/>
  <c r="I81" i="73"/>
  <c r="Q81" i="73"/>
  <c r="M81" i="73"/>
  <c r="J81" i="73"/>
  <c r="K81" i="73"/>
  <c r="H81" i="73"/>
  <c r="O81" i="73"/>
  <c r="AC81" i="73"/>
  <c r="V81" i="73"/>
  <c r="Z81" i="73"/>
  <c r="AA81" i="73"/>
  <c r="W81" i="73"/>
  <c r="AD81" i="73"/>
  <c r="Y81" i="73"/>
  <c r="X81" i="73"/>
  <c r="U81" i="73"/>
  <c r="AB81" i="73"/>
  <c r="AF81" i="73" l="1"/>
  <c r="AF81" i="76"/>
  <c r="S81" i="73"/>
  <c r="S81" i="76"/>
  <c r="AB82" i="75"/>
  <c r="P82" i="75"/>
  <c r="W81" i="74"/>
  <c r="O81" i="74"/>
  <c r="N81" i="77"/>
  <c r="U81" i="77"/>
  <c r="X81" i="74"/>
  <c r="Z81" i="74"/>
  <c r="T81" i="75"/>
  <c r="T81" i="74"/>
  <c r="H81" i="75"/>
  <c r="H81" i="74"/>
  <c r="V81" i="74"/>
  <c r="N81" i="74"/>
  <c r="M81" i="74"/>
  <c r="I81" i="77"/>
  <c r="G81" i="74"/>
  <c r="J81" i="74"/>
  <c r="L81" i="77"/>
  <c r="G81" i="77"/>
  <c r="Y81" i="77"/>
  <c r="X81" i="77"/>
  <c r="U81" i="74"/>
  <c r="I81" i="74"/>
  <c r="K81" i="77"/>
  <c r="H81" i="78"/>
  <c r="H81" i="77"/>
  <c r="V81" i="77"/>
  <c r="Y81" i="74"/>
  <c r="L81" i="74"/>
  <c r="M81" i="77"/>
  <c r="S81" i="77"/>
  <c r="J81" i="77"/>
  <c r="Z81" i="77"/>
  <c r="AA81" i="77"/>
  <c r="S81" i="74"/>
  <c r="AA81" i="74"/>
  <c r="K81" i="74"/>
  <c r="O81" i="77"/>
  <c r="T81" i="78"/>
  <c r="T81" i="77"/>
  <c r="AE81" i="76"/>
  <c r="U82" i="76" a="1"/>
  <c r="V82" i="76" s="1"/>
  <c r="T82" i="78" s="1"/>
  <c r="R81" i="76"/>
  <c r="H82" i="76" a="1"/>
  <c r="AE81" i="73"/>
  <c r="U82" i="73" a="1"/>
  <c r="R81" i="73"/>
  <c r="H82" i="73" a="1"/>
  <c r="T82" i="77" l="1"/>
  <c r="AC81" i="77"/>
  <c r="AB82" i="76"/>
  <c r="AA82" i="76"/>
  <c r="Y82" i="76"/>
  <c r="X82" i="76"/>
  <c r="Z82" i="76"/>
  <c r="W82" i="76"/>
  <c r="AD82" i="76"/>
  <c r="AB83" i="78" s="1"/>
  <c r="AC82" i="76"/>
  <c r="U82" i="76"/>
  <c r="AC81" i="74"/>
  <c r="Q81" i="77"/>
  <c r="Q81" i="74"/>
  <c r="K82" i="76"/>
  <c r="L82" i="76"/>
  <c r="M82" i="76"/>
  <c r="Q82" i="76"/>
  <c r="P83" i="78" s="1"/>
  <c r="N82" i="76"/>
  <c r="O82" i="76"/>
  <c r="H82" i="76"/>
  <c r="P82" i="76"/>
  <c r="I82" i="76"/>
  <c r="J82" i="76"/>
  <c r="P82" i="73"/>
  <c r="K82" i="73"/>
  <c r="Q82" i="73"/>
  <c r="O82" i="73"/>
  <c r="L82" i="73"/>
  <c r="H82" i="73"/>
  <c r="M82" i="73"/>
  <c r="N82" i="73"/>
  <c r="J82" i="73"/>
  <c r="I82" i="73"/>
  <c r="Y82" i="73"/>
  <c r="X82" i="73"/>
  <c r="AB82" i="73"/>
  <c r="Z82" i="73"/>
  <c r="U82" i="73"/>
  <c r="AA82" i="73"/>
  <c r="AC82" i="73"/>
  <c r="V82" i="73"/>
  <c r="AD82" i="73"/>
  <c r="W82" i="73"/>
  <c r="AF82" i="76" l="1"/>
  <c r="AF82" i="73"/>
  <c r="S82" i="73"/>
  <c r="S82" i="76"/>
  <c r="AB83" i="75"/>
  <c r="P83" i="75"/>
  <c r="W82" i="74"/>
  <c r="T82" i="75"/>
  <c r="T82" i="74"/>
  <c r="H82" i="75"/>
  <c r="H82" i="74"/>
  <c r="J82" i="74"/>
  <c r="W82" i="77"/>
  <c r="AA82" i="74"/>
  <c r="I82" i="74"/>
  <c r="O82" i="74"/>
  <c r="L82" i="77"/>
  <c r="Y82" i="77"/>
  <c r="Y82" i="74"/>
  <c r="M82" i="74"/>
  <c r="I82" i="77"/>
  <c r="K82" i="77"/>
  <c r="S82" i="77"/>
  <c r="Z82" i="77"/>
  <c r="S82" i="74"/>
  <c r="L82" i="74"/>
  <c r="H82" i="78"/>
  <c r="H82" i="77"/>
  <c r="J82" i="77"/>
  <c r="AA82" i="77"/>
  <c r="G82" i="74"/>
  <c r="G82" i="77"/>
  <c r="X82" i="74"/>
  <c r="O82" i="77"/>
  <c r="Z82" i="74"/>
  <c r="K82" i="74"/>
  <c r="U82" i="77"/>
  <c r="U82" i="74"/>
  <c r="V82" i="74"/>
  <c r="N82" i="74"/>
  <c r="N82" i="77"/>
  <c r="X82" i="77"/>
  <c r="M82" i="77"/>
  <c r="V82" i="77"/>
  <c r="AE82" i="76"/>
  <c r="U83" i="76" a="1"/>
  <c r="Z83" i="76" s="1"/>
  <c r="R82" i="76"/>
  <c r="H83" i="76" a="1"/>
  <c r="R82" i="73"/>
  <c r="H83" i="73" a="1"/>
  <c r="AE82" i="73"/>
  <c r="U83" i="73" a="1"/>
  <c r="X83" i="77" l="1"/>
  <c r="AC82" i="77"/>
  <c r="W83" i="76"/>
  <c r="V83" i="76"/>
  <c r="U83" i="76"/>
  <c r="Y83" i="76"/>
  <c r="AC83" i="76"/>
  <c r="AD83" i="76"/>
  <c r="AB84" i="78" s="1"/>
  <c r="X83" i="76"/>
  <c r="AB83" i="76"/>
  <c r="AA83" i="76"/>
  <c r="Q82" i="77"/>
  <c r="AC82" i="74"/>
  <c r="Q82" i="74"/>
  <c r="K83" i="76"/>
  <c r="L83" i="76"/>
  <c r="N83" i="76"/>
  <c r="M83" i="76"/>
  <c r="H83" i="76"/>
  <c r="O83" i="76"/>
  <c r="P83" i="76"/>
  <c r="J83" i="76"/>
  <c r="I83" i="76"/>
  <c r="Q83" i="76"/>
  <c r="P84" i="78" s="1"/>
  <c r="J83" i="73"/>
  <c r="K83" i="73"/>
  <c r="N83" i="73"/>
  <c r="L83" i="73"/>
  <c r="O83" i="73"/>
  <c r="M83" i="73"/>
  <c r="H83" i="73"/>
  <c r="P83" i="73"/>
  <c r="Q83" i="73"/>
  <c r="I83" i="73"/>
  <c r="Z83" i="73"/>
  <c r="AA83" i="73"/>
  <c r="AB83" i="73"/>
  <c r="V83" i="73"/>
  <c r="AC83" i="73"/>
  <c r="AD83" i="73"/>
  <c r="W83" i="73"/>
  <c r="X83" i="73"/>
  <c r="U83" i="73"/>
  <c r="Y83" i="73"/>
  <c r="S83" i="76" l="1"/>
  <c r="S83" i="73"/>
  <c r="AF83" i="73"/>
  <c r="AF83" i="76"/>
  <c r="AB84" i="75"/>
  <c r="P84" i="75"/>
  <c r="I83" i="74"/>
  <c r="M83" i="77"/>
  <c r="T83" i="78"/>
  <c r="T83" i="77"/>
  <c r="K83" i="77"/>
  <c r="U83" i="77"/>
  <c r="AA83" i="74"/>
  <c r="G83" i="74"/>
  <c r="H83" i="78"/>
  <c r="H83" i="77"/>
  <c r="J83" i="77"/>
  <c r="Z83" i="77"/>
  <c r="V83" i="74"/>
  <c r="H83" i="75"/>
  <c r="H83" i="74"/>
  <c r="J83" i="74"/>
  <c r="L83" i="77"/>
  <c r="S83" i="77"/>
  <c r="U83" i="74"/>
  <c r="Y83" i="77"/>
  <c r="T83" i="75"/>
  <c r="T83" i="74"/>
  <c r="L83" i="74"/>
  <c r="I83" i="77"/>
  <c r="V83" i="77"/>
  <c r="O83" i="74"/>
  <c r="Z83" i="74"/>
  <c r="N83" i="74"/>
  <c r="O83" i="77"/>
  <c r="W83" i="74"/>
  <c r="Y83" i="74"/>
  <c r="K83" i="74"/>
  <c r="N83" i="77"/>
  <c r="AA83" i="77"/>
  <c r="S83" i="74"/>
  <c r="X83" i="74"/>
  <c r="M83" i="74"/>
  <c r="G83" i="77"/>
  <c r="W83" i="77"/>
  <c r="AE83" i="76"/>
  <c r="U84" i="76" a="1"/>
  <c r="AC84" i="76" s="1"/>
  <c r="R83" i="76"/>
  <c r="H84" i="76" a="1"/>
  <c r="H84" i="73" a="1"/>
  <c r="R83" i="73"/>
  <c r="AE83" i="73"/>
  <c r="U84" i="73" a="1"/>
  <c r="AA84" i="77" l="1"/>
  <c r="AC83" i="77"/>
  <c r="U84" i="76"/>
  <c r="AA84" i="76"/>
  <c r="AB84" i="76"/>
  <c r="Y84" i="76"/>
  <c r="Z84" i="76"/>
  <c r="W84" i="76"/>
  <c r="AD84" i="76"/>
  <c r="AB85" i="78" s="1"/>
  <c r="X84" i="76"/>
  <c r="V84" i="76"/>
  <c r="AC83" i="74"/>
  <c r="Q83" i="77"/>
  <c r="Q83" i="74"/>
  <c r="M84" i="76"/>
  <c r="N84" i="76"/>
  <c r="J84" i="76"/>
  <c r="P84" i="76"/>
  <c r="I84" i="76"/>
  <c r="O84" i="76"/>
  <c r="Q84" i="76"/>
  <c r="P85" i="78" s="1"/>
  <c r="H84" i="76"/>
  <c r="K84" i="76"/>
  <c r="L84" i="76"/>
  <c r="AC84" i="73"/>
  <c r="V84" i="73"/>
  <c r="AD84" i="73"/>
  <c r="W84" i="73"/>
  <c r="U84" i="73"/>
  <c r="Z84" i="73"/>
  <c r="X84" i="73"/>
  <c r="AA84" i="73"/>
  <c r="Y84" i="73"/>
  <c r="AB84" i="73"/>
  <c r="P84" i="73"/>
  <c r="I84" i="73"/>
  <c r="H84" i="73"/>
  <c r="Q84" i="73"/>
  <c r="N84" i="73"/>
  <c r="J84" i="73"/>
  <c r="K84" i="73"/>
  <c r="O84" i="73"/>
  <c r="L84" i="73"/>
  <c r="M84" i="73"/>
  <c r="AF84" i="76" l="1"/>
  <c r="AF84" i="73"/>
  <c r="S84" i="73"/>
  <c r="S84" i="76"/>
  <c r="P85" i="75"/>
  <c r="AB85" i="75"/>
  <c r="X84" i="74"/>
  <c r="Y84" i="74"/>
  <c r="M84" i="77"/>
  <c r="T84" i="78"/>
  <c r="T84" i="77"/>
  <c r="S84" i="77"/>
  <c r="J84" i="74"/>
  <c r="W84" i="74"/>
  <c r="AA84" i="74"/>
  <c r="I84" i="77"/>
  <c r="Y84" i="77"/>
  <c r="I84" i="74"/>
  <c r="K84" i="77"/>
  <c r="M84" i="74"/>
  <c r="V84" i="74"/>
  <c r="J84" i="77"/>
  <c r="L84" i="77"/>
  <c r="V84" i="77"/>
  <c r="U84" i="77"/>
  <c r="G84" i="77"/>
  <c r="U84" i="74"/>
  <c r="X84" i="77"/>
  <c r="G84" i="74"/>
  <c r="S84" i="74"/>
  <c r="L84" i="74"/>
  <c r="H84" i="75"/>
  <c r="H84" i="74"/>
  <c r="N84" i="77"/>
  <c r="K84" i="74"/>
  <c r="O84" i="74"/>
  <c r="W84" i="77"/>
  <c r="H84" i="78"/>
  <c r="H84" i="77"/>
  <c r="N84" i="74"/>
  <c r="Z84" i="74"/>
  <c r="T84" i="75"/>
  <c r="T84" i="74"/>
  <c r="O84" i="77"/>
  <c r="Z84" i="77"/>
  <c r="AE84" i="76"/>
  <c r="U85" i="76" a="1"/>
  <c r="Z85" i="76" s="1"/>
  <c r="H85" i="76" a="1"/>
  <c r="R84" i="76"/>
  <c r="R84" i="73"/>
  <c r="H85" i="73" a="1"/>
  <c r="U85" i="73" a="1"/>
  <c r="AE84" i="73"/>
  <c r="AC84" i="77" l="1"/>
  <c r="X85" i="77"/>
  <c r="X85" i="76"/>
  <c r="Y85" i="76"/>
  <c r="U85" i="76"/>
  <c r="W85" i="76"/>
  <c r="AC85" i="76"/>
  <c r="V85" i="76"/>
  <c r="AB85" i="76"/>
  <c r="AA85" i="76"/>
  <c r="AD85" i="76"/>
  <c r="AB86" i="78" s="1"/>
  <c r="AC84" i="74"/>
  <c r="Q84" i="77"/>
  <c r="Q84" i="74"/>
  <c r="H85" i="76"/>
  <c r="P85" i="76"/>
  <c r="I85" i="76"/>
  <c r="Q85" i="76"/>
  <c r="P86" i="78" s="1"/>
  <c r="K85" i="76"/>
  <c r="J85" i="76"/>
  <c r="L85" i="76"/>
  <c r="N85" i="76"/>
  <c r="M85" i="76"/>
  <c r="O85" i="76"/>
  <c r="V85" i="73"/>
  <c r="AD85" i="73"/>
  <c r="W85" i="73"/>
  <c r="AC85" i="73"/>
  <c r="X85" i="73"/>
  <c r="AA85" i="73"/>
  <c r="Y85" i="73"/>
  <c r="AB85" i="73"/>
  <c r="U85" i="73"/>
  <c r="Z85" i="73"/>
  <c r="P85" i="73"/>
  <c r="I85" i="73"/>
  <c r="J85" i="73"/>
  <c r="L85" i="73"/>
  <c r="K85" i="73"/>
  <c r="H85" i="73"/>
  <c r="M85" i="73"/>
  <c r="Q85" i="73"/>
  <c r="N85" i="73"/>
  <c r="O85" i="73"/>
  <c r="AF85" i="73" l="1"/>
  <c r="S85" i="73"/>
  <c r="AF85" i="76"/>
  <c r="S85" i="76"/>
  <c r="AB86" i="75"/>
  <c r="P86" i="75"/>
  <c r="U85" i="77"/>
  <c r="L85" i="74"/>
  <c r="S85" i="74"/>
  <c r="T85" i="75"/>
  <c r="T85" i="74"/>
  <c r="H85" i="78"/>
  <c r="H85" i="77"/>
  <c r="S85" i="77"/>
  <c r="V85" i="77"/>
  <c r="X85" i="74"/>
  <c r="N85" i="77"/>
  <c r="G85" i="74"/>
  <c r="G85" i="77"/>
  <c r="Z85" i="74"/>
  <c r="O85" i="77"/>
  <c r="W85" i="77"/>
  <c r="J85" i="74"/>
  <c r="W85" i="74"/>
  <c r="K85" i="74"/>
  <c r="M85" i="77"/>
  <c r="H85" i="75"/>
  <c r="H85" i="74"/>
  <c r="I85" i="77"/>
  <c r="T85" i="78"/>
  <c r="T85" i="77"/>
  <c r="L85" i="77"/>
  <c r="Y85" i="74"/>
  <c r="Y85" i="77"/>
  <c r="I85" i="74"/>
  <c r="V85" i="74"/>
  <c r="K85" i="77"/>
  <c r="Z85" i="77"/>
  <c r="N85" i="74"/>
  <c r="AA85" i="74"/>
  <c r="M85" i="74"/>
  <c r="O85" i="74"/>
  <c r="U85" i="74"/>
  <c r="J85" i="77"/>
  <c r="AA85" i="77"/>
  <c r="U86" i="76" a="1"/>
  <c r="U86" i="76" s="1"/>
  <c r="S86" i="77" s="1"/>
  <c r="AE85" i="76"/>
  <c r="H86" i="76" a="1"/>
  <c r="R85" i="76"/>
  <c r="R85" i="73"/>
  <c r="H86" i="73" a="1"/>
  <c r="AE85" i="73"/>
  <c r="U86" i="73" a="1"/>
  <c r="AB86" i="76" l="1"/>
  <c r="AA86" i="76"/>
  <c r="Z86" i="76"/>
  <c r="AD86" i="76"/>
  <c r="AB87" i="78" s="1"/>
  <c r="Y86" i="76"/>
  <c r="V86" i="76"/>
  <c r="X86" i="76"/>
  <c r="W86" i="76"/>
  <c r="AC86" i="76"/>
  <c r="AC85" i="77"/>
  <c r="Q85" i="77"/>
  <c r="AC85" i="74"/>
  <c r="Q85" i="74"/>
  <c r="K86" i="76"/>
  <c r="L86" i="76"/>
  <c r="H86" i="76"/>
  <c r="P86" i="76"/>
  <c r="O86" i="76"/>
  <c r="M86" i="76"/>
  <c r="I86" i="76"/>
  <c r="N86" i="76"/>
  <c r="Q86" i="76"/>
  <c r="P87" i="78" s="1"/>
  <c r="J86" i="76"/>
  <c r="M86" i="73"/>
  <c r="O86" i="73"/>
  <c r="L86" i="73"/>
  <c r="H86" i="73"/>
  <c r="N86" i="73"/>
  <c r="P86" i="73"/>
  <c r="I86" i="73"/>
  <c r="K86" i="73"/>
  <c r="Q86" i="73"/>
  <c r="J86" i="73"/>
  <c r="AA86" i="73"/>
  <c r="V86" i="73"/>
  <c r="W86" i="73"/>
  <c r="AB86" i="73"/>
  <c r="AC86" i="73"/>
  <c r="X86" i="73"/>
  <c r="AD86" i="73"/>
  <c r="Z86" i="73"/>
  <c r="Y86" i="73"/>
  <c r="U86" i="73"/>
  <c r="AF86" i="76" l="1"/>
  <c r="AF86" i="73"/>
  <c r="S86" i="73"/>
  <c r="S86" i="76"/>
  <c r="AB87" i="75"/>
  <c r="P87" i="75"/>
  <c r="X86" i="74"/>
  <c r="O86" i="77"/>
  <c r="J86" i="77"/>
  <c r="Y86" i="77"/>
  <c r="Z86" i="74"/>
  <c r="O86" i="74"/>
  <c r="M86" i="77"/>
  <c r="AA86" i="77"/>
  <c r="Z86" i="77"/>
  <c r="N86" i="74"/>
  <c r="J86" i="74"/>
  <c r="K86" i="77"/>
  <c r="H86" i="78"/>
  <c r="H86" i="77"/>
  <c r="I86" i="74"/>
  <c r="W86" i="77"/>
  <c r="G86" i="77"/>
  <c r="AA86" i="74"/>
  <c r="S86" i="74"/>
  <c r="T86" i="74"/>
  <c r="T86" i="75"/>
  <c r="G86" i="74"/>
  <c r="L86" i="77"/>
  <c r="V86" i="77"/>
  <c r="L86" i="74"/>
  <c r="V86" i="74"/>
  <c r="I86" i="77"/>
  <c r="X86" i="77"/>
  <c r="H86" i="75"/>
  <c r="H86" i="74"/>
  <c r="U86" i="74"/>
  <c r="M86" i="74"/>
  <c r="U86" i="77"/>
  <c r="W86" i="74"/>
  <c r="Y86" i="74"/>
  <c r="K86" i="74"/>
  <c r="N86" i="77"/>
  <c r="T86" i="78"/>
  <c r="T86" i="77"/>
  <c r="AE86" i="76"/>
  <c r="U87" i="76" a="1"/>
  <c r="Y87" i="76" s="1"/>
  <c r="R86" i="76"/>
  <c r="H87" i="76" a="1"/>
  <c r="U87" i="73" a="1"/>
  <c r="AE86" i="73"/>
  <c r="H87" i="73" a="1"/>
  <c r="R86" i="73"/>
  <c r="W87" i="77" l="1"/>
  <c r="U87" i="76"/>
  <c r="AA87" i="76"/>
  <c r="V87" i="76"/>
  <c r="Z87" i="76"/>
  <c r="AB87" i="76"/>
  <c r="X87" i="76"/>
  <c r="W87" i="76"/>
  <c r="AD87" i="76"/>
  <c r="AB88" i="78" s="1"/>
  <c r="AC87" i="76"/>
  <c r="AC86" i="77"/>
  <c r="Q86" i="77"/>
  <c r="AC86" i="74"/>
  <c r="Q86" i="74"/>
  <c r="J87" i="76"/>
  <c r="K87" i="76"/>
  <c r="L87" i="76"/>
  <c r="H87" i="76"/>
  <c r="Q87" i="76"/>
  <c r="P88" i="78" s="1"/>
  <c r="M87" i="76"/>
  <c r="O87" i="76"/>
  <c r="P87" i="76"/>
  <c r="N87" i="76"/>
  <c r="I87" i="76"/>
  <c r="K87" i="73"/>
  <c r="P87" i="73"/>
  <c r="L87" i="73"/>
  <c r="M87" i="73"/>
  <c r="H87" i="73"/>
  <c r="I87" i="73"/>
  <c r="N87" i="73"/>
  <c r="O87" i="73"/>
  <c r="J87" i="73"/>
  <c r="Q87" i="73"/>
  <c r="AD87" i="73"/>
  <c r="Z87" i="73"/>
  <c r="Y87" i="73"/>
  <c r="AA87" i="73"/>
  <c r="W87" i="73"/>
  <c r="AB87" i="73"/>
  <c r="X87" i="73"/>
  <c r="U87" i="73"/>
  <c r="V87" i="73"/>
  <c r="AC87" i="73"/>
  <c r="AF87" i="76" l="1"/>
  <c r="AF87" i="73"/>
  <c r="S87" i="73"/>
  <c r="S87" i="76"/>
  <c r="AB88" i="75"/>
  <c r="P88" i="75"/>
  <c r="W87" i="74"/>
  <c r="N87" i="77"/>
  <c r="T87" i="75"/>
  <c r="T87" i="74"/>
  <c r="Y87" i="77"/>
  <c r="K87" i="74"/>
  <c r="S87" i="74"/>
  <c r="V87" i="74"/>
  <c r="I87" i="74"/>
  <c r="J87" i="74"/>
  <c r="K87" i="77"/>
  <c r="T87" i="78"/>
  <c r="T87" i="77"/>
  <c r="Z87" i="74"/>
  <c r="N87" i="74"/>
  <c r="H87" i="78"/>
  <c r="H87" i="77"/>
  <c r="J87" i="77"/>
  <c r="U87" i="74"/>
  <c r="M87" i="74"/>
  <c r="M87" i="77"/>
  <c r="I87" i="77"/>
  <c r="AA87" i="77"/>
  <c r="S87" i="77"/>
  <c r="Y87" i="74"/>
  <c r="U87" i="77"/>
  <c r="H87" i="75"/>
  <c r="H87" i="74"/>
  <c r="O87" i="77"/>
  <c r="G87" i="74"/>
  <c r="AA87" i="74"/>
  <c r="X87" i="74"/>
  <c r="L87" i="74"/>
  <c r="L87" i="77"/>
  <c r="V87" i="77"/>
  <c r="Z87" i="77"/>
  <c r="O87" i="74"/>
  <c r="G87" i="77"/>
  <c r="X87" i="77"/>
  <c r="AE87" i="76"/>
  <c r="U88" i="76" a="1"/>
  <c r="W88" i="76" s="1"/>
  <c r="R87" i="76"/>
  <c r="H88" i="76" a="1"/>
  <c r="AE87" i="73"/>
  <c r="U88" i="73" a="1"/>
  <c r="R87" i="73"/>
  <c r="H88" i="73" a="1"/>
  <c r="U88" i="77" l="1"/>
  <c r="AC87" i="77"/>
  <c r="V88" i="76"/>
  <c r="Z88" i="76"/>
  <c r="AA88" i="76"/>
  <c r="Y88" i="76"/>
  <c r="AB88" i="76"/>
  <c r="AC88" i="76"/>
  <c r="X88" i="76"/>
  <c r="U88" i="76"/>
  <c r="AD88" i="76"/>
  <c r="AB89" i="78" s="1"/>
  <c r="Q87" i="77"/>
  <c r="AC87" i="74"/>
  <c r="Q87" i="74"/>
  <c r="K88" i="76"/>
  <c r="M88" i="76"/>
  <c r="L88" i="76"/>
  <c r="I88" i="76"/>
  <c r="J88" i="76"/>
  <c r="O88" i="76"/>
  <c r="N88" i="76"/>
  <c r="H88" i="76"/>
  <c r="P88" i="76"/>
  <c r="Q88" i="76"/>
  <c r="P89" i="78" s="1"/>
  <c r="U88" i="73"/>
  <c r="V88" i="73"/>
  <c r="Z88" i="73"/>
  <c r="W88" i="73"/>
  <c r="X88" i="73"/>
  <c r="AC88" i="73"/>
  <c r="AD88" i="73"/>
  <c r="AA88" i="73"/>
  <c r="AB88" i="73"/>
  <c r="Y88" i="73"/>
  <c r="K88" i="73"/>
  <c r="L88" i="73"/>
  <c r="Q88" i="73"/>
  <c r="M88" i="73"/>
  <c r="I88" i="73"/>
  <c r="N88" i="73"/>
  <c r="J88" i="73"/>
  <c r="O88" i="73"/>
  <c r="H88" i="73"/>
  <c r="P88" i="73"/>
  <c r="AF88" i="76" l="1"/>
  <c r="S88" i="73"/>
  <c r="AF88" i="73"/>
  <c r="S88" i="76"/>
  <c r="P89" i="75"/>
  <c r="AB89" i="75"/>
  <c r="T88" i="78"/>
  <c r="T88" i="77"/>
  <c r="O88" i="77"/>
  <c r="J88" i="77"/>
  <c r="S88" i="77"/>
  <c r="L88" i="77"/>
  <c r="H88" i="75"/>
  <c r="H88" i="74"/>
  <c r="L88" i="74"/>
  <c r="AA88" i="74"/>
  <c r="G88" i="77"/>
  <c r="V88" i="77"/>
  <c r="AA88" i="77"/>
  <c r="M88" i="74"/>
  <c r="M88" i="77"/>
  <c r="O88" i="74"/>
  <c r="K88" i="74"/>
  <c r="U88" i="74"/>
  <c r="N88" i="77"/>
  <c r="Z88" i="77"/>
  <c r="I88" i="74"/>
  <c r="S88" i="74"/>
  <c r="X88" i="77"/>
  <c r="Y88" i="74"/>
  <c r="V88" i="74"/>
  <c r="X88" i="74"/>
  <c r="I88" i="77"/>
  <c r="W88" i="77"/>
  <c r="Z88" i="74"/>
  <c r="K88" i="77"/>
  <c r="G88" i="74"/>
  <c r="J88" i="74"/>
  <c r="N88" i="74"/>
  <c r="W88" i="74"/>
  <c r="T88" i="75"/>
  <c r="T88" i="74"/>
  <c r="H88" i="78"/>
  <c r="H88" i="77"/>
  <c r="Y88" i="77"/>
  <c r="AE88" i="76"/>
  <c r="U89" i="76" a="1"/>
  <c r="V89" i="76" s="1"/>
  <c r="R88" i="76"/>
  <c r="H89" i="76" a="1"/>
  <c r="H89" i="73" a="1"/>
  <c r="R88" i="73"/>
  <c r="U89" i="73" a="1"/>
  <c r="AE88" i="73"/>
  <c r="T89" i="77" l="1"/>
  <c r="T89" i="78"/>
  <c r="W89" i="76"/>
  <c r="AD89" i="76"/>
  <c r="AC89" i="76"/>
  <c r="U89" i="76"/>
  <c r="AB89" i="76"/>
  <c r="AB4" i="76" s="1"/>
  <c r="Z89" i="76"/>
  <c r="Z4" i="76" s="1"/>
  <c r="AA89" i="76"/>
  <c r="AA4" i="76" s="1"/>
  <c r="X89" i="76"/>
  <c r="X4" i="76" s="1"/>
  <c r="Y89" i="76"/>
  <c r="Y4" i="76" s="1"/>
  <c r="AC88" i="77"/>
  <c r="Q88" i="77"/>
  <c r="AC88" i="74"/>
  <c r="Q88" i="74"/>
  <c r="J89" i="76"/>
  <c r="K89" i="76"/>
  <c r="K4" i="76" s="1"/>
  <c r="L89" i="76"/>
  <c r="L4" i="76" s="1"/>
  <c r="M89" i="76"/>
  <c r="M4" i="76" s="1"/>
  <c r="O89" i="76"/>
  <c r="O4" i="76" s="1"/>
  <c r="Q89" i="76"/>
  <c r="H89" i="76"/>
  <c r="I89" i="76"/>
  <c r="P89" i="76"/>
  <c r="N89" i="76"/>
  <c r="N4" i="76" s="1"/>
  <c r="AB89" i="73"/>
  <c r="V89" i="73"/>
  <c r="AA89" i="73"/>
  <c r="U89" i="73"/>
  <c r="X89" i="73"/>
  <c r="Y89" i="73"/>
  <c r="AC89" i="73"/>
  <c r="Z89" i="73"/>
  <c r="AD89" i="73"/>
  <c r="W89" i="73"/>
  <c r="N89" i="73"/>
  <c r="O89" i="73"/>
  <c r="H89" i="73"/>
  <c r="L89" i="73"/>
  <c r="P89" i="73"/>
  <c r="M89" i="73"/>
  <c r="I89" i="73"/>
  <c r="Q89" i="73"/>
  <c r="K89" i="73"/>
  <c r="J89" i="73"/>
  <c r="AE13" i="65" l="1"/>
  <c r="AE12" i="65"/>
  <c r="AD13" i="65"/>
  <c r="AD12" i="65"/>
  <c r="AF89" i="73"/>
  <c r="S89" i="73"/>
  <c r="W4" i="76"/>
  <c r="AF89" i="76"/>
  <c r="J4" i="76"/>
  <c r="S89" i="76"/>
  <c r="Z4" i="73"/>
  <c r="W4" i="73"/>
  <c r="N4" i="73"/>
  <c r="X4" i="73"/>
  <c r="L4" i="73"/>
  <c r="Y4" i="73"/>
  <c r="J4" i="73"/>
  <c r="K4" i="73"/>
  <c r="AA4" i="73"/>
  <c r="AB4" i="73"/>
  <c r="O4" i="73"/>
  <c r="M4" i="73"/>
  <c r="P90" i="75"/>
  <c r="P4" i="75" s="1"/>
  <c r="R4" i="73" a="1"/>
  <c r="R4" i="73" s="1"/>
  <c r="AA9" i="65" s="1"/>
  <c r="AB90" i="75"/>
  <c r="AB4" i="75" s="1"/>
  <c r="AE4" i="73" a="1"/>
  <c r="AE4" i="73" s="1"/>
  <c r="AA10" i="65" s="1"/>
  <c r="AB90" i="78"/>
  <c r="AB4" i="78" s="1"/>
  <c r="AE4" i="76" a="1"/>
  <c r="AE4" i="76" s="1"/>
  <c r="P90" i="78"/>
  <c r="P4" i="78" s="1"/>
  <c r="R4" i="76" a="1"/>
  <c r="R4" i="76" s="1"/>
  <c r="L89" i="74"/>
  <c r="M89" i="77"/>
  <c r="O89" i="74"/>
  <c r="AA89" i="74"/>
  <c r="O89" i="77"/>
  <c r="I89" i="77"/>
  <c r="W89" i="77"/>
  <c r="U89" i="77"/>
  <c r="Z89" i="74"/>
  <c r="K89" i="77"/>
  <c r="AA89" i="77"/>
  <c r="X89" i="74"/>
  <c r="J89" i="77"/>
  <c r="K89" i="74"/>
  <c r="W89" i="74"/>
  <c r="H89" i="78"/>
  <c r="H89" i="77"/>
  <c r="V89" i="77"/>
  <c r="H89" i="75"/>
  <c r="H89" i="74"/>
  <c r="Y89" i="77"/>
  <c r="X89" i="77"/>
  <c r="G89" i="74"/>
  <c r="V89" i="74"/>
  <c r="G89" i="77"/>
  <c r="I89" i="74"/>
  <c r="N89" i="74"/>
  <c r="S89" i="74"/>
  <c r="J89" i="74"/>
  <c r="M89" i="74"/>
  <c r="Y89" i="74"/>
  <c r="N89" i="77"/>
  <c r="Z89" i="77"/>
  <c r="U89" i="74"/>
  <c r="T89" i="75"/>
  <c r="T89" i="74"/>
  <c r="L89" i="77"/>
  <c r="S89" i="77"/>
  <c r="U90" i="76" a="1"/>
  <c r="U90" i="76" s="1"/>
  <c r="AE89" i="76"/>
  <c r="H90" i="76" a="1"/>
  <c r="R89" i="76"/>
  <c r="R89" i="73"/>
  <c r="H90" i="73" a="1"/>
  <c r="AE89" i="73"/>
  <c r="U90" i="73" a="1"/>
  <c r="O1160" i="79" l="1" a="1"/>
  <c r="O1160" i="79" s="1"/>
  <c r="M1160" i="79" s="1"/>
  <c r="M1167" i="79"/>
  <c r="O1153" i="79" a="1"/>
  <c r="O1153" i="79" s="1"/>
  <c r="AE9" i="65"/>
  <c r="AE10" i="65"/>
  <c r="AD10" i="65"/>
  <c r="AD9" i="65"/>
  <c r="AC12" i="65"/>
  <c r="AC13" i="65"/>
  <c r="AC9" i="65"/>
  <c r="AC10" i="65"/>
  <c r="AA12" i="65"/>
  <c r="AA13" i="65"/>
  <c r="S90" i="77"/>
  <c r="S4" i="77" s="1"/>
  <c r="AC89" i="77"/>
  <c r="W90" i="76"/>
  <c r="Y90" i="76"/>
  <c r="AD90" i="76"/>
  <c r="Z90" i="76"/>
  <c r="V90" i="76"/>
  <c r="AA90" i="76"/>
  <c r="AB90" i="76"/>
  <c r="X90" i="76"/>
  <c r="AC90" i="76"/>
  <c r="Q89" i="77"/>
  <c r="AC89" i="74"/>
  <c r="Q89" i="74"/>
  <c r="M90" i="76"/>
  <c r="J90" i="76"/>
  <c r="N90" i="76"/>
  <c r="O90" i="76"/>
  <c r="L90" i="76"/>
  <c r="H90" i="76"/>
  <c r="P90" i="76"/>
  <c r="Q90" i="76"/>
  <c r="K90" i="76"/>
  <c r="I90" i="76"/>
  <c r="Y90" i="73"/>
  <c r="AB90" i="73"/>
  <c r="AA90" i="73"/>
  <c r="X90" i="73"/>
  <c r="U90" i="73"/>
  <c r="Z90" i="73"/>
  <c r="AC90" i="73"/>
  <c r="V90" i="73"/>
  <c r="AD90" i="73"/>
  <c r="AD4" i="73" s="1"/>
  <c r="AB10" i="65" s="1"/>
  <c r="M6" i="67" s="1"/>
  <c r="W90" i="73"/>
  <c r="K90" i="73"/>
  <c r="O90" i="73"/>
  <c r="L90" i="73"/>
  <c r="P90" i="73"/>
  <c r="N90" i="73"/>
  <c r="I90" i="73"/>
  <c r="H90" i="73"/>
  <c r="M90" i="73"/>
  <c r="Q90" i="73"/>
  <c r="Q4" i="73" s="1"/>
  <c r="AB9" i="65" s="1"/>
  <c r="L6" i="67" s="1"/>
  <c r="J90" i="73"/>
  <c r="O1146" i="79" l="1" a="1"/>
  <c r="O1146" i="79" s="1"/>
  <c r="M1153" i="79"/>
  <c r="AF90" i="73"/>
  <c r="S90" i="73"/>
  <c r="AF90" i="76"/>
  <c r="S90" i="76"/>
  <c r="AB91" i="78"/>
  <c r="AD4" i="76"/>
  <c r="AB13" i="65" s="1"/>
  <c r="M9" i="67" s="1"/>
  <c r="P91" i="78"/>
  <c r="Q4" i="76"/>
  <c r="AB12" i="65" s="1"/>
  <c r="L9" i="67" s="1"/>
  <c r="AB91" i="75"/>
  <c r="P91" i="75"/>
  <c r="U90" i="74"/>
  <c r="U4" i="74" s="1"/>
  <c r="Z90" i="74"/>
  <c r="Z4" i="74" s="1"/>
  <c r="G90" i="74"/>
  <c r="G4" i="74" s="1"/>
  <c r="W90" i="74"/>
  <c r="W4" i="74" s="1"/>
  <c r="W90" i="77"/>
  <c r="W4" i="77" s="1"/>
  <c r="H90" i="75"/>
  <c r="H4" i="75" s="1"/>
  <c r="H90" i="74"/>
  <c r="H4" i="74" s="1"/>
  <c r="T90" i="75"/>
  <c r="T4" i="75" s="1"/>
  <c r="T90" i="74"/>
  <c r="T4" i="74" s="1"/>
  <c r="H90" i="78"/>
  <c r="H4" i="78" s="1"/>
  <c r="H90" i="77"/>
  <c r="H4" i="77" s="1"/>
  <c r="I90" i="77"/>
  <c r="I4" i="77" s="1"/>
  <c r="AA90" i="77"/>
  <c r="AA4" i="77" s="1"/>
  <c r="U90" i="77"/>
  <c r="U4" i="77" s="1"/>
  <c r="M90" i="77"/>
  <c r="M4" i="77" s="1"/>
  <c r="M90" i="74"/>
  <c r="M4" i="74" s="1"/>
  <c r="AA90" i="74"/>
  <c r="AA4" i="74" s="1"/>
  <c r="J90" i="77"/>
  <c r="J4" i="77" s="1"/>
  <c r="L90" i="77"/>
  <c r="L4" i="77" s="1"/>
  <c r="V90" i="77"/>
  <c r="V4" i="77" s="1"/>
  <c r="Z90" i="77"/>
  <c r="Z4" i="77" s="1"/>
  <c r="Y90" i="77"/>
  <c r="Y4" i="77" s="1"/>
  <c r="O90" i="74"/>
  <c r="O4" i="74" s="1"/>
  <c r="X90" i="74"/>
  <c r="X4" i="74" s="1"/>
  <c r="K90" i="74"/>
  <c r="K4" i="74" s="1"/>
  <c r="S90" i="74"/>
  <c r="S4" i="74" s="1"/>
  <c r="O90" i="77"/>
  <c r="O4" i="77" s="1"/>
  <c r="I90" i="74"/>
  <c r="I4" i="74" s="1"/>
  <c r="N90" i="74"/>
  <c r="N4" i="74" s="1"/>
  <c r="V90" i="74"/>
  <c r="V4" i="74" s="1"/>
  <c r="G90" i="77"/>
  <c r="G4" i="77" s="1"/>
  <c r="T90" i="78"/>
  <c r="T4" i="78" s="1"/>
  <c r="T90" i="77"/>
  <c r="T4" i="77" s="1"/>
  <c r="J90" i="74"/>
  <c r="J4" i="74" s="1"/>
  <c r="Y90" i="74"/>
  <c r="Y4" i="74" s="1"/>
  <c r="K90" i="77"/>
  <c r="K4" i="77" s="1"/>
  <c r="X90" i="77"/>
  <c r="X4" i="77" s="1"/>
  <c r="L90" i="74"/>
  <c r="L4" i="74" s="1"/>
  <c r="N90" i="77"/>
  <c r="N4" i="77" s="1"/>
  <c r="U91" i="76" a="1"/>
  <c r="AB91" i="76" s="1"/>
  <c r="Z91" i="77" s="1"/>
  <c r="AE90" i="76"/>
  <c r="H91" i="76" a="1"/>
  <c r="R90" i="76"/>
  <c r="H91" i="73" a="1"/>
  <c r="R90" i="73"/>
  <c r="AE90" i="73"/>
  <c r="U91" i="73" a="1"/>
  <c r="O1139" i="79" l="1" a="1"/>
  <c r="O1139" i="79" s="1"/>
  <c r="M1146" i="79"/>
  <c r="Y91" i="76"/>
  <c r="U91" i="76"/>
  <c r="AC91" i="76"/>
  <c r="AA91" i="76"/>
  <c r="Z91" i="76"/>
  <c r="W91" i="76"/>
  <c r="X91" i="76"/>
  <c r="AC90" i="77"/>
  <c r="AC4" i="77" s="1"/>
  <c r="V91" i="76"/>
  <c r="AD91" i="76"/>
  <c r="AB92" i="78" s="1"/>
  <c r="Q90" i="77"/>
  <c r="Q4" i="77" s="1"/>
  <c r="AC90" i="74"/>
  <c r="AC4" i="74" s="1"/>
  <c r="Q90" i="74"/>
  <c r="Q4" i="74" s="1"/>
  <c r="H91" i="76"/>
  <c r="O91" i="76"/>
  <c r="P91" i="76"/>
  <c r="I91" i="76"/>
  <c r="Q91" i="76"/>
  <c r="P92" i="78" s="1"/>
  <c r="J91" i="76"/>
  <c r="K91" i="76"/>
  <c r="L91" i="76"/>
  <c r="N91" i="76"/>
  <c r="M91" i="76"/>
  <c r="N91" i="73"/>
  <c r="M91" i="73"/>
  <c r="O91" i="73"/>
  <c r="L91" i="73"/>
  <c r="Q91" i="73"/>
  <c r="K91" i="73"/>
  <c r="H91" i="73"/>
  <c r="P91" i="73"/>
  <c r="I91" i="73"/>
  <c r="J91" i="73"/>
  <c r="Z91" i="73"/>
  <c r="U91" i="73"/>
  <c r="V91" i="73"/>
  <c r="AA91" i="73"/>
  <c r="AB91" i="73"/>
  <c r="W91" i="73"/>
  <c r="AD91" i="73"/>
  <c r="X91" i="73"/>
  <c r="AC91" i="73"/>
  <c r="Y91" i="73"/>
  <c r="AF91" i="73" l="1"/>
  <c r="S91" i="73"/>
  <c r="AF91" i="76"/>
  <c r="S91" i="76"/>
  <c r="P92" i="75"/>
  <c r="AB92" i="75"/>
  <c r="AA91" i="77"/>
  <c r="S91" i="77"/>
  <c r="H91" i="75"/>
  <c r="H91" i="74"/>
  <c r="M91" i="74"/>
  <c r="O91" i="77"/>
  <c r="U91" i="74"/>
  <c r="O91" i="74"/>
  <c r="L91" i="77"/>
  <c r="N91" i="77"/>
  <c r="Z91" i="74"/>
  <c r="G91" i="74"/>
  <c r="M91" i="77"/>
  <c r="G91" i="77"/>
  <c r="T91" i="78"/>
  <c r="T91" i="77"/>
  <c r="W91" i="77"/>
  <c r="X91" i="74"/>
  <c r="I91" i="74"/>
  <c r="Y91" i="77"/>
  <c r="Y91" i="74"/>
  <c r="J91" i="74"/>
  <c r="K91" i="77"/>
  <c r="J91" i="77"/>
  <c r="V91" i="77"/>
  <c r="AA91" i="74"/>
  <c r="N91" i="74"/>
  <c r="V91" i="74"/>
  <c r="L91" i="74"/>
  <c r="H91" i="78"/>
  <c r="H91" i="77"/>
  <c r="T91" i="75"/>
  <c r="T91" i="74"/>
  <c r="W91" i="74"/>
  <c r="S91" i="74"/>
  <c r="K91" i="74"/>
  <c r="I91" i="77"/>
  <c r="U91" i="77"/>
  <c r="X91" i="77"/>
  <c r="U92" i="76" a="1"/>
  <c r="W92" i="76" s="1"/>
  <c r="AE91" i="76"/>
  <c r="R91" i="76"/>
  <c r="H92" i="76" a="1"/>
  <c r="AE91" i="73"/>
  <c r="U92" i="73" a="1"/>
  <c r="H92" i="73" a="1"/>
  <c r="R91" i="73"/>
  <c r="U92" i="77" l="1"/>
  <c r="AC91" i="77"/>
  <c r="U92" i="76"/>
  <c r="V92" i="76"/>
  <c r="X92" i="76"/>
  <c r="AD92" i="76"/>
  <c r="AB93" i="78" s="1"/>
  <c r="AC92" i="76"/>
  <c r="AB92" i="76"/>
  <c r="AA92" i="76"/>
  <c r="Y92" i="76"/>
  <c r="Z92" i="76"/>
  <c r="AC91" i="74"/>
  <c r="Q91" i="77"/>
  <c r="Q91" i="74"/>
  <c r="M92" i="76"/>
  <c r="N92" i="76"/>
  <c r="O92" i="76"/>
  <c r="P92" i="76"/>
  <c r="I92" i="76"/>
  <c r="H92" i="76"/>
  <c r="Q92" i="76"/>
  <c r="P93" i="78" s="1"/>
  <c r="J92" i="76"/>
  <c r="K92" i="76"/>
  <c r="L92" i="76"/>
  <c r="M92" i="73"/>
  <c r="N92" i="73"/>
  <c r="J92" i="73"/>
  <c r="K92" i="73"/>
  <c r="I92" i="73"/>
  <c r="P92" i="73"/>
  <c r="H92" i="73"/>
  <c r="Q92" i="73"/>
  <c r="O92" i="73"/>
  <c r="L92" i="73"/>
  <c r="AB92" i="73"/>
  <c r="AA92" i="73"/>
  <c r="W92" i="73"/>
  <c r="U92" i="73"/>
  <c r="AC92" i="73"/>
  <c r="Y92" i="73"/>
  <c r="X92" i="73"/>
  <c r="AD92" i="73"/>
  <c r="Z92" i="73"/>
  <c r="V92" i="73"/>
  <c r="AF92" i="76" l="1"/>
  <c r="S92" i="73"/>
  <c r="AF92" i="73"/>
  <c r="S92" i="76"/>
  <c r="P93" i="75"/>
  <c r="AB93" i="75"/>
  <c r="X92" i="74"/>
  <c r="H92" i="78"/>
  <c r="H92" i="77"/>
  <c r="K92" i="74"/>
  <c r="N92" i="74"/>
  <c r="N92" i="77"/>
  <c r="T92" i="78"/>
  <c r="T92" i="77"/>
  <c r="K92" i="77"/>
  <c r="M92" i="77"/>
  <c r="X92" i="77"/>
  <c r="S92" i="77"/>
  <c r="V92" i="77"/>
  <c r="V92" i="74"/>
  <c r="W92" i="74"/>
  <c r="AA92" i="74"/>
  <c r="G92" i="74"/>
  <c r="J92" i="77"/>
  <c r="L92" i="77"/>
  <c r="W92" i="77"/>
  <c r="Z92" i="74"/>
  <c r="L92" i="74"/>
  <c r="S92" i="74"/>
  <c r="O92" i="74"/>
  <c r="I92" i="77"/>
  <c r="Y92" i="77"/>
  <c r="Z92" i="77"/>
  <c r="M92" i="74"/>
  <c r="O92" i="77"/>
  <c r="U92" i="74"/>
  <c r="H92" i="75"/>
  <c r="H92" i="74"/>
  <c r="T92" i="75"/>
  <c r="T92" i="74"/>
  <c r="Y92" i="74"/>
  <c r="J92" i="74"/>
  <c r="G92" i="77"/>
  <c r="AA92" i="77"/>
  <c r="I92" i="74"/>
  <c r="U93" i="76" a="1"/>
  <c r="AB93" i="76" s="1"/>
  <c r="AE92" i="76"/>
  <c r="H93" i="76" a="1"/>
  <c r="R92" i="76"/>
  <c r="R92" i="73"/>
  <c r="H93" i="73" a="1"/>
  <c r="AE92" i="73"/>
  <c r="U93" i="73" a="1"/>
  <c r="Z93" i="77" l="1"/>
  <c r="AC92" i="77"/>
  <c r="X93" i="76"/>
  <c r="Y93" i="76"/>
  <c r="Z93" i="76"/>
  <c r="W93" i="76"/>
  <c r="V93" i="76"/>
  <c r="AC93" i="76"/>
  <c r="AA93" i="76"/>
  <c r="U93" i="76"/>
  <c r="AD93" i="76"/>
  <c r="AB94" i="78" s="1"/>
  <c r="Q92" i="77"/>
  <c r="AC92" i="74"/>
  <c r="Q92" i="74"/>
  <c r="P93" i="76"/>
  <c r="I93" i="76"/>
  <c r="O93" i="76"/>
  <c r="N93" i="76"/>
  <c r="Q93" i="76"/>
  <c r="P94" i="78" s="1"/>
  <c r="K93" i="76"/>
  <c r="M93" i="76"/>
  <c r="L93" i="76"/>
  <c r="J93" i="76"/>
  <c r="H93" i="76"/>
  <c r="K93" i="73"/>
  <c r="L93" i="73"/>
  <c r="H93" i="73"/>
  <c r="P93" i="73"/>
  <c r="Q93" i="73"/>
  <c r="M93" i="73"/>
  <c r="I93" i="73"/>
  <c r="N93" i="73"/>
  <c r="O93" i="73"/>
  <c r="J93" i="73"/>
  <c r="V93" i="73"/>
  <c r="AC93" i="73"/>
  <c r="AD93" i="73"/>
  <c r="X93" i="73"/>
  <c r="W93" i="73"/>
  <c r="AA93" i="73"/>
  <c r="AB93" i="73"/>
  <c r="U93" i="73"/>
  <c r="Y93" i="73"/>
  <c r="Z93" i="73"/>
  <c r="AF93" i="73" l="1"/>
  <c r="S93" i="73"/>
  <c r="AF93" i="76"/>
  <c r="S93" i="76"/>
  <c r="AB94" i="75"/>
  <c r="P94" i="75"/>
  <c r="V93" i="77"/>
  <c r="Z93" i="74"/>
  <c r="N93" i="74"/>
  <c r="J93" i="74"/>
  <c r="N93" i="77"/>
  <c r="W93" i="77"/>
  <c r="M93" i="74"/>
  <c r="H93" i="78"/>
  <c r="H93" i="77"/>
  <c r="U93" i="74"/>
  <c r="H93" i="75"/>
  <c r="H93" i="74"/>
  <c r="I93" i="77"/>
  <c r="O93" i="77"/>
  <c r="S93" i="77"/>
  <c r="Y93" i="74"/>
  <c r="G93" i="77"/>
  <c r="V93" i="74"/>
  <c r="L93" i="74"/>
  <c r="K93" i="77"/>
  <c r="Y93" i="77"/>
  <c r="AA93" i="77"/>
  <c r="AA93" i="74"/>
  <c r="T93" i="78"/>
  <c r="T93" i="77"/>
  <c r="U93" i="77"/>
  <c r="L93" i="77"/>
  <c r="X93" i="74"/>
  <c r="O93" i="74"/>
  <c r="J93" i="77"/>
  <c r="W93" i="74"/>
  <c r="T93" i="75"/>
  <c r="T93" i="74"/>
  <c r="G93" i="74"/>
  <c r="S93" i="74"/>
  <c r="I93" i="74"/>
  <c r="K93" i="74"/>
  <c r="M93" i="77"/>
  <c r="X93" i="77"/>
  <c r="U94" i="76" a="1"/>
  <c r="AB94" i="76" s="1"/>
  <c r="AE93" i="76"/>
  <c r="H94" i="76" a="1"/>
  <c r="R93" i="76"/>
  <c r="AE93" i="73"/>
  <c r="U94" i="73" a="1"/>
  <c r="H94" i="73" a="1"/>
  <c r="R93" i="73"/>
  <c r="Z94" i="77" l="1"/>
  <c r="AA94" i="76"/>
  <c r="AC94" i="76"/>
  <c r="Z94" i="76"/>
  <c r="W94" i="76"/>
  <c r="Y94" i="76"/>
  <c r="V94" i="76"/>
  <c r="X94" i="76"/>
  <c r="AD94" i="76"/>
  <c r="AB95" i="78" s="1"/>
  <c r="U94" i="76"/>
  <c r="AC93" i="77"/>
  <c r="Q93" i="77"/>
  <c r="AC93" i="74"/>
  <c r="Q93" i="74"/>
  <c r="H94" i="76"/>
  <c r="L94" i="76"/>
  <c r="M94" i="76"/>
  <c r="O94" i="76"/>
  <c r="P94" i="76"/>
  <c r="Q94" i="76"/>
  <c r="P95" i="78" s="1"/>
  <c r="I94" i="76"/>
  <c r="N94" i="76"/>
  <c r="J94" i="76"/>
  <c r="K94" i="76"/>
  <c r="Z94" i="73"/>
  <c r="X94" i="73"/>
  <c r="AB94" i="73"/>
  <c r="AA94" i="73"/>
  <c r="AD94" i="73"/>
  <c r="Y94" i="73"/>
  <c r="AC94" i="73"/>
  <c r="U94" i="73"/>
  <c r="W94" i="73"/>
  <c r="V94" i="73"/>
  <c r="M94" i="73"/>
  <c r="N94" i="73"/>
  <c r="O94" i="73"/>
  <c r="K94" i="73"/>
  <c r="J94" i="73"/>
  <c r="H94" i="73"/>
  <c r="L94" i="73"/>
  <c r="P94" i="73"/>
  <c r="I94" i="73"/>
  <c r="Q94" i="73"/>
  <c r="AF94" i="73" l="1"/>
  <c r="S94" i="73"/>
  <c r="AF94" i="76"/>
  <c r="S94" i="76"/>
  <c r="AB95" i="75"/>
  <c r="P95" i="75"/>
  <c r="Y94" i="74"/>
  <c r="G94" i="74"/>
  <c r="X94" i="77"/>
  <c r="M94" i="74"/>
  <c r="L94" i="74"/>
  <c r="K94" i="74"/>
  <c r="U94" i="74"/>
  <c r="X94" i="74"/>
  <c r="L94" i="77"/>
  <c r="U94" i="77"/>
  <c r="S94" i="74"/>
  <c r="J94" i="77"/>
  <c r="K94" i="77"/>
  <c r="I94" i="74"/>
  <c r="AA94" i="74"/>
  <c r="I94" i="77"/>
  <c r="G94" i="77"/>
  <c r="S94" i="77"/>
  <c r="AA94" i="77"/>
  <c r="J94" i="74"/>
  <c r="Y94" i="77"/>
  <c r="W94" i="74"/>
  <c r="N94" i="74"/>
  <c r="H94" i="78"/>
  <c r="H94" i="77"/>
  <c r="T94" i="78"/>
  <c r="T94" i="77"/>
  <c r="M94" i="77"/>
  <c r="V94" i="77"/>
  <c r="Z94" i="74"/>
  <c r="H94" i="75"/>
  <c r="H94" i="74"/>
  <c r="O94" i="77"/>
  <c r="O94" i="74"/>
  <c r="T94" i="75"/>
  <c r="T94" i="74"/>
  <c r="V94" i="74"/>
  <c r="N94" i="77"/>
  <c r="W94" i="77"/>
  <c r="U95" i="76" a="1"/>
  <c r="AA95" i="76" s="1"/>
  <c r="AE94" i="76"/>
  <c r="R94" i="76"/>
  <c r="H95" i="76" a="1"/>
  <c r="H95" i="73" a="1"/>
  <c r="R94" i="73"/>
  <c r="U95" i="73" a="1"/>
  <c r="AE94" i="73"/>
  <c r="AC94" i="77" l="1"/>
  <c r="Y95" i="77"/>
  <c r="AD95" i="76"/>
  <c r="AB96" i="78" s="1"/>
  <c r="W95" i="76"/>
  <c r="AC95" i="76"/>
  <c r="Y95" i="76"/>
  <c r="V95" i="76"/>
  <c r="AB95" i="76"/>
  <c r="U95" i="76"/>
  <c r="Z95" i="76"/>
  <c r="X95" i="76"/>
  <c r="AC94" i="74"/>
  <c r="Q94" i="77"/>
  <c r="Q94" i="74"/>
  <c r="K95" i="76"/>
  <c r="H95" i="76"/>
  <c r="L95" i="76"/>
  <c r="I95" i="76"/>
  <c r="M95" i="76"/>
  <c r="Q95" i="76"/>
  <c r="P96" i="78" s="1"/>
  <c r="P95" i="76"/>
  <c r="J95" i="76"/>
  <c r="N95" i="76"/>
  <c r="O95" i="76"/>
  <c r="I95" i="73"/>
  <c r="H95" i="73"/>
  <c r="M95" i="73"/>
  <c r="J95" i="73"/>
  <c r="N95" i="73"/>
  <c r="K95" i="73"/>
  <c r="O95" i="73"/>
  <c r="L95" i="73"/>
  <c r="Q95" i="73"/>
  <c r="P95" i="73"/>
  <c r="U95" i="73"/>
  <c r="AC95" i="73"/>
  <c r="V95" i="73"/>
  <c r="AD95" i="73"/>
  <c r="X95" i="73"/>
  <c r="W95" i="73"/>
  <c r="Y95" i="73"/>
  <c r="AA95" i="73"/>
  <c r="Z95" i="73"/>
  <c r="AB95" i="73"/>
  <c r="AF95" i="73" l="1"/>
  <c r="S95" i="73"/>
  <c r="AF95" i="76"/>
  <c r="S95" i="76"/>
  <c r="AB96" i="75"/>
  <c r="P96" i="75"/>
  <c r="H95" i="75"/>
  <c r="H95" i="74"/>
  <c r="K95" i="77"/>
  <c r="U95" i="77"/>
  <c r="Y95" i="74"/>
  <c r="O95" i="74"/>
  <c r="G95" i="74"/>
  <c r="H95" i="78"/>
  <c r="H95" i="77"/>
  <c r="AA95" i="77"/>
  <c r="W95" i="74"/>
  <c r="U95" i="74"/>
  <c r="K95" i="74"/>
  <c r="N95" i="77"/>
  <c r="G95" i="77"/>
  <c r="V95" i="77"/>
  <c r="V95" i="74"/>
  <c r="N95" i="74"/>
  <c r="M95" i="77"/>
  <c r="J95" i="77"/>
  <c r="X95" i="77"/>
  <c r="S95" i="77"/>
  <c r="J95" i="74"/>
  <c r="M95" i="74"/>
  <c r="Z95" i="77"/>
  <c r="I95" i="77"/>
  <c r="T95" i="75"/>
  <c r="T95" i="74"/>
  <c r="O95" i="77"/>
  <c r="Z95" i="74"/>
  <c r="AA95" i="74"/>
  <c r="I95" i="74"/>
  <c r="T95" i="78"/>
  <c r="T95" i="77"/>
  <c r="X95" i="74"/>
  <c r="S95" i="74"/>
  <c r="L95" i="74"/>
  <c r="L95" i="77"/>
  <c r="W95" i="77"/>
  <c r="AE95" i="76"/>
  <c r="U96" i="76" a="1"/>
  <c r="W96" i="76" s="1"/>
  <c r="H96" i="76" a="1"/>
  <c r="R95" i="76"/>
  <c r="U96" i="73" a="1"/>
  <c r="AE95" i="73"/>
  <c r="R95" i="73"/>
  <c r="H96" i="73" a="1"/>
  <c r="U96" i="77" l="1"/>
  <c r="AC96" i="76"/>
  <c r="AB96" i="76"/>
  <c r="V96" i="76"/>
  <c r="AA96" i="76"/>
  <c r="AC95" i="77"/>
  <c r="Z96" i="76"/>
  <c r="U96" i="76"/>
  <c r="AD96" i="76"/>
  <c r="AB97" i="78" s="1"/>
  <c r="X96" i="76"/>
  <c r="Y96" i="76"/>
  <c r="Q95" i="77"/>
  <c r="AC95" i="74"/>
  <c r="Q95" i="74"/>
  <c r="H96" i="76"/>
  <c r="O96" i="76"/>
  <c r="P96" i="76"/>
  <c r="K96" i="76"/>
  <c r="I96" i="76"/>
  <c r="Q96" i="76"/>
  <c r="P97" i="78" s="1"/>
  <c r="L96" i="76"/>
  <c r="M96" i="76"/>
  <c r="N96" i="76"/>
  <c r="J96" i="76"/>
  <c r="X96" i="73"/>
  <c r="AA96" i="73"/>
  <c r="Y96" i="73"/>
  <c r="Z96" i="73"/>
  <c r="U96" i="73"/>
  <c r="V96" i="73"/>
  <c r="AC96" i="73"/>
  <c r="W96" i="73"/>
  <c r="AD96" i="73"/>
  <c r="AB96" i="73"/>
  <c r="M96" i="73"/>
  <c r="K96" i="73"/>
  <c r="L96" i="73"/>
  <c r="N96" i="73"/>
  <c r="Q96" i="73"/>
  <c r="O96" i="73"/>
  <c r="H96" i="73"/>
  <c r="P96" i="73"/>
  <c r="I96" i="73"/>
  <c r="J96" i="73"/>
  <c r="AF96" i="76" l="1"/>
  <c r="AF96" i="73"/>
  <c r="S96" i="76"/>
  <c r="S96" i="73"/>
  <c r="P97" i="75"/>
  <c r="AB97" i="75"/>
  <c r="V96" i="74"/>
  <c r="O96" i="77"/>
  <c r="T96" i="78"/>
  <c r="T96" i="77"/>
  <c r="N96" i="74"/>
  <c r="U96" i="74"/>
  <c r="I96" i="77"/>
  <c r="N96" i="77"/>
  <c r="W96" i="77"/>
  <c r="Z96" i="77"/>
  <c r="AA96" i="74"/>
  <c r="M96" i="77"/>
  <c r="G96" i="77"/>
  <c r="V96" i="77"/>
  <c r="AA96" i="77"/>
  <c r="L96" i="77"/>
  <c r="S96" i="77"/>
  <c r="X96" i="77"/>
  <c r="G96" i="74"/>
  <c r="M96" i="74"/>
  <c r="T96" i="75"/>
  <c r="T96" i="74"/>
  <c r="S96" i="74"/>
  <c r="H96" i="78"/>
  <c r="H96" i="77"/>
  <c r="K96" i="74"/>
  <c r="K96" i="77"/>
  <c r="I96" i="74"/>
  <c r="J96" i="74"/>
  <c r="X96" i="74"/>
  <c r="H96" i="75"/>
  <c r="H96" i="74"/>
  <c r="L96" i="74"/>
  <c r="W96" i="74"/>
  <c r="O96" i="74"/>
  <c r="Z96" i="74"/>
  <c r="Y96" i="74"/>
  <c r="J96" i="77"/>
  <c r="Y96" i="77"/>
  <c r="U97" i="76" a="1"/>
  <c r="AB97" i="76" s="1"/>
  <c r="AE96" i="76"/>
  <c r="R96" i="76"/>
  <c r="H97" i="76" a="1"/>
  <c r="U97" i="73" a="1"/>
  <c r="AE96" i="73"/>
  <c r="R96" i="73"/>
  <c r="H97" i="73" a="1"/>
  <c r="Z97" i="77" l="1"/>
  <c r="AD97" i="76"/>
  <c r="AB98" i="78" s="1"/>
  <c r="AC97" i="76"/>
  <c r="AA97" i="76"/>
  <c r="Y97" i="76"/>
  <c r="Z97" i="76"/>
  <c r="U97" i="76"/>
  <c r="X97" i="76"/>
  <c r="W97" i="76"/>
  <c r="V97" i="76"/>
  <c r="AC96" i="77"/>
  <c r="AC96" i="74"/>
  <c r="Q96" i="77"/>
  <c r="Q96" i="74"/>
  <c r="O97" i="76"/>
  <c r="H97" i="76"/>
  <c r="P97" i="76"/>
  <c r="K97" i="76"/>
  <c r="I97" i="76"/>
  <c r="Q97" i="76"/>
  <c r="P98" i="78" s="1"/>
  <c r="M97" i="76"/>
  <c r="J97" i="76"/>
  <c r="N97" i="76"/>
  <c r="L97" i="76"/>
  <c r="Q97" i="73"/>
  <c r="J97" i="73"/>
  <c r="K97" i="73"/>
  <c r="L97" i="73"/>
  <c r="M97" i="73"/>
  <c r="H97" i="73"/>
  <c r="O97" i="73"/>
  <c r="P97" i="73"/>
  <c r="N97" i="73"/>
  <c r="I97" i="73"/>
  <c r="AB97" i="73"/>
  <c r="X97" i="73"/>
  <c r="W97" i="73"/>
  <c r="AC97" i="73"/>
  <c r="AD97" i="73"/>
  <c r="AA97" i="73"/>
  <c r="Y97" i="73"/>
  <c r="U97" i="73"/>
  <c r="Z97" i="73"/>
  <c r="V97" i="73"/>
  <c r="AF97" i="76" l="1"/>
  <c r="AF97" i="73"/>
  <c r="S97" i="73"/>
  <c r="S97" i="76"/>
  <c r="AB98" i="75"/>
  <c r="P98" i="75"/>
  <c r="O97" i="77"/>
  <c r="W97" i="77"/>
  <c r="Y97" i="74"/>
  <c r="O97" i="74"/>
  <c r="K97" i="77"/>
  <c r="G97" i="77"/>
  <c r="Y97" i="77"/>
  <c r="N97" i="74"/>
  <c r="M97" i="77"/>
  <c r="N97" i="77"/>
  <c r="AA97" i="77"/>
  <c r="T97" i="78"/>
  <c r="T97" i="77"/>
  <c r="M97" i="74"/>
  <c r="U97" i="77"/>
  <c r="V97" i="77"/>
  <c r="W97" i="74"/>
  <c r="G97" i="74"/>
  <c r="L97" i="77"/>
  <c r="T97" i="75"/>
  <c r="T97" i="74"/>
  <c r="X97" i="74"/>
  <c r="Z97" i="74"/>
  <c r="J97" i="74"/>
  <c r="H97" i="78"/>
  <c r="H97" i="77"/>
  <c r="S97" i="77"/>
  <c r="AA97" i="74"/>
  <c r="I97" i="77"/>
  <c r="U97" i="74"/>
  <c r="L97" i="74"/>
  <c r="V97" i="74"/>
  <c r="K97" i="74"/>
  <c r="S97" i="74"/>
  <c r="H97" i="75"/>
  <c r="H97" i="74"/>
  <c r="I97" i="74"/>
  <c r="J97" i="77"/>
  <c r="X97" i="77"/>
  <c r="U98" i="76" a="1"/>
  <c r="Z98" i="76" s="1"/>
  <c r="AE97" i="76"/>
  <c r="H98" i="76" a="1"/>
  <c r="R97" i="76"/>
  <c r="U98" i="73" a="1"/>
  <c r="AE97" i="73"/>
  <c r="R97" i="73"/>
  <c r="H98" i="73" a="1"/>
  <c r="X98" i="77" l="1"/>
  <c r="AC97" i="77"/>
  <c r="U98" i="76"/>
  <c r="W98" i="76"/>
  <c r="AC98" i="76"/>
  <c r="Y98" i="76"/>
  <c r="AB98" i="76"/>
  <c r="AD98" i="76"/>
  <c r="AB99" i="78" s="1"/>
  <c r="V98" i="76"/>
  <c r="AA98" i="76"/>
  <c r="X98" i="76"/>
  <c r="Q97" i="77"/>
  <c r="AC97" i="74"/>
  <c r="Q97" i="74"/>
  <c r="J98" i="76"/>
  <c r="K98" i="76"/>
  <c r="N98" i="76"/>
  <c r="M98" i="76"/>
  <c r="H98" i="76"/>
  <c r="O98" i="76"/>
  <c r="I98" i="76"/>
  <c r="P98" i="76"/>
  <c r="L98" i="76"/>
  <c r="Q98" i="76"/>
  <c r="P99" i="78" s="1"/>
  <c r="P98" i="73"/>
  <c r="K98" i="73"/>
  <c r="Q98" i="73"/>
  <c r="L98" i="73"/>
  <c r="H98" i="73"/>
  <c r="O98" i="73"/>
  <c r="M98" i="73"/>
  <c r="N98" i="73"/>
  <c r="I98" i="73"/>
  <c r="J98" i="73"/>
  <c r="V98" i="73"/>
  <c r="AC98" i="73"/>
  <c r="AD98" i="73"/>
  <c r="W98" i="73"/>
  <c r="AB98" i="73"/>
  <c r="X98" i="73"/>
  <c r="Z98" i="73"/>
  <c r="AA98" i="73"/>
  <c r="U98" i="73"/>
  <c r="Y98" i="73"/>
  <c r="S98" i="73" l="1"/>
  <c r="AF98" i="73"/>
  <c r="AF98" i="76"/>
  <c r="S98" i="76"/>
  <c r="AB99" i="75"/>
  <c r="P99" i="75"/>
  <c r="J98" i="77"/>
  <c r="V98" i="77"/>
  <c r="S98" i="77"/>
  <c r="X98" i="74"/>
  <c r="H98" i="75"/>
  <c r="H98" i="74"/>
  <c r="O98" i="74"/>
  <c r="M98" i="77"/>
  <c r="U98" i="77"/>
  <c r="Z98" i="74"/>
  <c r="L98" i="74"/>
  <c r="K98" i="77"/>
  <c r="I98" i="77"/>
  <c r="Y98" i="77"/>
  <c r="V98" i="74"/>
  <c r="M98" i="74"/>
  <c r="U98" i="74"/>
  <c r="N98" i="74"/>
  <c r="O98" i="77"/>
  <c r="T98" i="78"/>
  <c r="T98" i="77"/>
  <c r="W98" i="74"/>
  <c r="AA98" i="74"/>
  <c r="K98" i="74"/>
  <c r="N98" i="77"/>
  <c r="Z98" i="77"/>
  <c r="G98" i="74"/>
  <c r="H98" i="78"/>
  <c r="H98" i="77"/>
  <c r="S98" i="74"/>
  <c r="T98" i="75"/>
  <c r="T98" i="74"/>
  <c r="G98" i="77"/>
  <c r="W98" i="77"/>
  <c r="Y98" i="74"/>
  <c r="I98" i="74"/>
  <c r="J98" i="74"/>
  <c r="L98" i="77"/>
  <c r="AA98" i="77"/>
  <c r="U99" i="76" a="1"/>
  <c r="V99" i="76" s="1"/>
  <c r="AE98" i="76"/>
  <c r="H99" i="76" a="1"/>
  <c r="R98" i="76"/>
  <c r="AE98" i="73"/>
  <c r="U99" i="73" a="1"/>
  <c r="R98" i="73"/>
  <c r="H99" i="73" a="1"/>
  <c r="T99" i="77" l="1"/>
  <c r="T99" i="78"/>
  <c r="AC99" i="76"/>
  <c r="AB99" i="76"/>
  <c r="U99" i="76"/>
  <c r="Y99" i="76"/>
  <c r="X99" i="76"/>
  <c r="AA99" i="76"/>
  <c r="Z99" i="76"/>
  <c r="W99" i="76"/>
  <c r="AD99" i="76"/>
  <c r="AB100" i="78" s="1"/>
  <c r="AC98" i="77"/>
  <c r="AC98" i="74"/>
  <c r="Q98" i="77"/>
  <c r="Q98" i="74"/>
  <c r="M99" i="76"/>
  <c r="H99" i="76"/>
  <c r="K99" i="76"/>
  <c r="O99" i="76"/>
  <c r="N99" i="76"/>
  <c r="Q99" i="76"/>
  <c r="P100" i="78" s="1"/>
  <c r="I99" i="76"/>
  <c r="J99" i="76"/>
  <c r="L99" i="76"/>
  <c r="P99" i="76"/>
  <c r="N99" i="73"/>
  <c r="J99" i="73"/>
  <c r="O99" i="73"/>
  <c r="K99" i="73"/>
  <c r="H99" i="73"/>
  <c r="P99" i="73"/>
  <c r="I99" i="73"/>
  <c r="Q99" i="73"/>
  <c r="M99" i="73"/>
  <c r="L99" i="73"/>
  <c r="Y99" i="73"/>
  <c r="X99" i="73"/>
  <c r="AB99" i="73"/>
  <c r="Z99" i="73"/>
  <c r="AC99" i="73"/>
  <c r="V99" i="73"/>
  <c r="AD99" i="73"/>
  <c r="U99" i="73"/>
  <c r="W99" i="73"/>
  <c r="AA99" i="73"/>
  <c r="AF99" i="73" l="1"/>
  <c r="S99" i="73"/>
  <c r="AF99" i="76"/>
  <c r="S99" i="76"/>
  <c r="P100" i="75"/>
  <c r="AB100" i="75"/>
  <c r="O99" i="77"/>
  <c r="G99" i="77"/>
  <c r="Z99" i="77"/>
  <c r="AA99" i="77"/>
  <c r="M99" i="74"/>
  <c r="S99" i="77"/>
  <c r="T99" i="75"/>
  <c r="T99" i="74"/>
  <c r="AA99" i="74"/>
  <c r="H99" i="75"/>
  <c r="H99" i="74"/>
  <c r="K99" i="77"/>
  <c r="L99" i="77"/>
  <c r="X99" i="74"/>
  <c r="O99" i="74"/>
  <c r="I99" i="77"/>
  <c r="U99" i="77"/>
  <c r="L99" i="74"/>
  <c r="J99" i="77"/>
  <c r="Z99" i="74"/>
  <c r="H99" i="78"/>
  <c r="H99" i="77"/>
  <c r="V99" i="74"/>
  <c r="Y99" i="77"/>
  <c r="G99" i="74"/>
  <c r="X99" i="77"/>
  <c r="Y99" i="74"/>
  <c r="J99" i="74"/>
  <c r="V99" i="77"/>
  <c r="U99" i="74"/>
  <c r="W99" i="74"/>
  <c r="N99" i="74"/>
  <c r="M99" i="77"/>
  <c r="S99" i="74"/>
  <c r="K99" i="74"/>
  <c r="I99" i="74"/>
  <c r="N99" i="77"/>
  <c r="W99" i="77"/>
  <c r="AE99" i="76"/>
  <c r="U100" i="76" a="1"/>
  <c r="AC100" i="76" s="1"/>
  <c r="H100" i="76" a="1"/>
  <c r="R99" i="76"/>
  <c r="AE99" i="73"/>
  <c r="U100" i="73" a="1"/>
  <c r="R99" i="73"/>
  <c r="H100" i="73" a="1"/>
  <c r="AA100" i="77" l="1"/>
  <c r="AC99" i="77"/>
  <c r="Y100" i="76"/>
  <c r="X100" i="76"/>
  <c r="W100" i="76"/>
  <c r="Z100" i="76"/>
  <c r="AB100" i="76"/>
  <c r="U100" i="76"/>
  <c r="AD100" i="76"/>
  <c r="AB101" i="78" s="1"/>
  <c r="AA100" i="76"/>
  <c r="V100" i="76"/>
  <c r="AC99" i="74"/>
  <c r="Q99" i="77"/>
  <c r="Q99" i="74"/>
  <c r="L100" i="76"/>
  <c r="M100" i="76"/>
  <c r="N100" i="76"/>
  <c r="J100" i="76"/>
  <c r="O100" i="76"/>
  <c r="K100" i="76"/>
  <c r="H100" i="76"/>
  <c r="P100" i="76"/>
  <c r="I100" i="76"/>
  <c r="Q100" i="76"/>
  <c r="P101" i="78" s="1"/>
  <c r="W100" i="73"/>
  <c r="Y100" i="73"/>
  <c r="U100" i="73"/>
  <c r="V100" i="73"/>
  <c r="Z100" i="73"/>
  <c r="X100" i="73"/>
  <c r="AA100" i="73"/>
  <c r="AD100" i="73"/>
  <c r="AB100" i="73"/>
  <c r="AC100" i="73"/>
  <c r="P100" i="73"/>
  <c r="K100" i="73"/>
  <c r="H100" i="73"/>
  <c r="I100" i="73"/>
  <c r="M100" i="73"/>
  <c r="Q100" i="73"/>
  <c r="N100" i="73"/>
  <c r="J100" i="73"/>
  <c r="O100" i="73"/>
  <c r="L100" i="73"/>
  <c r="AF100" i="73" l="1"/>
  <c r="S100" i="76"/>
  <c r="S100" i="73"/>
  <c r="AF100" i="76"/>
  <c r="AB101" i="75"/>
  <c r="P101" i="75"/>
  <c r="L100" i="77"/>
  <c r="T100" i="78"/>
  <c r="T100" i="77"/>
  <c r="V100" i="77"/>
  <c r="L100" i="74"/>
  <c r="Y100" i="74"/>
  <c r="H100" i="78"/>
  <c r="H100" i="77"/>
  <c r="K100" i="77"/>
  <c r="Y100" i="77"/>
  <c r="W100" i="77"/>
  <c r="M100" i="74"/>
  <c r="U100" i="74"/>
  <c r="V100" i="74"/>
  <c r="H100" i="75"/>
  <c r="H100" i="74"/>
  <c r="O100" i="77"/>
  <c r="X100" i="74"/>
  <c r="S100" i="77"/>
  <c r="Z100" i="74"/>
  <c r="M100" i="77"/>
  <c r="G100" i="74"/>
  <c r="G100" i="77"/>
  <c r="Z100" i="77"/>
  <c r="U100" i="77"/>
  <c r="K100" i="74"/>
  <c r="J100" i="74"/>
  <c r="T100" i="75"/>
  <c r="T100" i="74"/>
  <c r="J100" i="77"/>
  <c r="N100" i="74"/>
  <c r="O100" i="74"/>
  <c r="S100" i="74"/>
  <c r="N100" i="77"/>
  <c r="I100" i="74"/>
  <c r="AA100" i="74"/>
  <c r="W100" i="74"/>
  <c r="I100" i="77"/>
  <c r="X100" i="77"/>
  <c r="AE100" i="76"/>
  <c r="U101" i="76" a="1"/>
  <c r="V101" i="76" s="1"/>
  <c r="H101" i="76" a="1"/>
  <c r="R100" i="76"/>
  <c r="U101" i="73" a="1"/>
  <c r="AE100" i="73"/>
  <c r="R100" i="73"/>
  <c r="H101" i="73" a="1"/>
  <c r="T101" i="77" l="1"/>
  <c r="T101" i="78"/>
  <c r="AC100" i="77"/>
  <c r="U101" i="76"/>
  <c r="Y101" i="76"/>
  <c r="X101" i="76"/>
  <c r="AC101" i="76"/>
  <c r="AB101" i="76"/>
  <c r="AA101" i="76"/>
  <c r="W101" i="76"/>
  <c r="Z101" i="76"/>
  <c r="AD101" i="76"/>
  <c r="AB102" i="78" s="1"/>
  <c r="Q100" i="77"/>
  <c r="AC100" i="74"/>
  <c r="Q100" i="74"/>
  <c r="J101" i="76"/>
  <c r="K101" i="76"/>
  <c r="L101" i="76"/>
  <c r="O101" i="76"/>
  <c r="M101" i="76"/>
  <c r="Q101" i="76"/>
  <c r="P102" i="78" s="1"/>
  <c r="H101" i="76"/>
  <c r="N101" i="76"/>
  <c r="I101" i="76"/>
  <c r="P101" i="76"/>
  <c r="O101" i="73"/>
  <c r="H101" i="73"/>
  <c r="I101" i="73"/>
  <c r="K101" i="73"/>
  <c r="J101" i="73"/>
  <c r="N101" i="73"/>
  <c r="L101" i="73"/>
  <c r="P101" i="73"/>
  <c r="M101" i="73"/>
  <c r="Q101" i="73"/>
  <c r="Z101" i="73"/>
  <c r="U101" i="73"/>
  <c r="AB101" i="73"/>
  <c r="AC101" i="73"/>
  <c r="AA101" i="73"/>
  <c r="Y101" i="73"/>
  <c r="V101" i="73"/>
  <c r="AD101" i="73"/>
  <c r="W101" i="73"/>
  <c r="X101" i="73"/>
  <c r="AF101" i="73" l="1"/>
  <c r="S101" i="73"/>
  <c r="AF101" i="76"/>
  <c r="S101" i="76"/>
  <c r="P102" i="75"/>
  <c r="AB102" i="75"/>
  <c r="V101" i="77"/>
  <c r="T101" i="75"/>
  <c r="T101" i="74"/>
  <c r="L101" i="74"/>
  <c r="N101" i="74"/>
  <c r="K101" i="77"/>
  <c r="W101" i="77"/>
  <c r="S101" i="77"/>
  <c r="G101" i="74"/>
  <c r="N101" i="77"/>
  <c r="W101" i="74"/>
  <c r="O101" i="74"/>
  <c r="O101" i="77"/>
  <c r="J101" i="77"/>
  <c r="Y101" i="74"/>
  <c r="K101" i="74"/>
  <c r="H101" i="78"/>
  <c r="H101" i="77"/>
  <c r="I101" i="77"/>
  <c r="X101" i="77"/>
  <c r="U101" i="77"/>
  <c r="AA101" i="74"/>
  <c r="M101" i="74"/>
  <c r="M101" i="77"/>
  <c r="Z101" i="74"/>
  <c r="I101" i="74"/>
  <c r="G101" i="77"/>
  <c r="Y101" i="77"/>
  <c r="V101" i="74"/>
  <c r="S101" i="74"/>
  <c r="J101" i="74"/>
  <c r="Z101" i="77"/>
  <c r="U101" i="74"/>
  <c r="X101" i="74"/>
  <c r="H101" i="75"/>
  <c r="H101" i="74"/>
  <c r="L101" i="77"/>
  <c r="AA101" i="77"/>
  <c r="AE101" i="76"/>
  <c r="U102" i="76" a="1"/>
  <c r="V102" i="76" s="1"/>
  <c r="R101" i="76"/>
  <c r="H102" i="76" a="1"/>
  <c r="U102" i="73" a="1"/>
  <c r="AE101" i="73"/>
  <c r="H102" i="73" a="1"/>
  <c r="R101" i="73"/>
  <c r="T102" i="78" l="1"/>
  <c r="T102" i="77"/>
  <c r="AC101" i="77"/>
  <c r="Z102" i="76"/>
  <c r="AC102" i="76"/>
  <c r="Y102" i="76"/>
  <c r="AB102" i="76"/>
  <c r="U102" i="76"/>
  <c r="X102" i="76"/>
  <c r="AA102" i="76"/>
  <c r="W102" i="76"/>
  <c r="AD102" i="76"/>
  <c r="AB103" i="78" s="1"/>
  <c r="AC101" i="74"/>
  <c r="Q101" i="77"/>
  <c r="Q101" i="74"/>
  <c r="L102" i="76"/>
  <c r="M102" i="76"/>
  <c r="Q102" i="76"/>
  <c r="P103" i="78" s="1"/>
  <c r="N102" i="76"/>
  <c r="I102" i="76"/>
  <c r="O102" i="76"/>
  <c r="J102" i="76"/>
  <c r="H102" i="76"/>
  <c r="P102" i="76"/>
  <c r="K102" i="76"/>
  <c r="J102" i="73"/>
  <c r="K102" i="73"/>
  <c r="I102" i="73"/>
  <c r="H102" i="73"/>
  <c r="Q102" i="73"/>
  <c r="L102" i="73"/>
  <c r="O102" i="73"/>
  <c r="N102" i="73"/>
  <c r="M102" i="73"/>
  <c r="P102" i="73"/>
  <c r="X102" i="73"/>
  <c r="AD102" i="73"/>
  <c r="Y102" i="73"/>
  <c r="U102" i="73"/>
  <c r="V102" i="73"/>
  <c r="Z102" i="73"/>
  <c r="AA102" i="73"/>
  <c r="W102" i="73"/>
  <c r="AB102" i="73"/>
  <c r="AC102" i="73"/>
  <c r="S102" i="73" l="1"/>
  <c r="AF102" i="73"/>
  <c r="AF102" i="76"/>
  <c r="S102" i="76"/>
  <c r="AB103" i="75"/>
  <c r="P103" i="75"/>
  <c r="X102" i="77"/>
  <c r="X102" i="74"/>
  <c r="J102" i="77"/>
  <c r="T102" i="75"/>
  <c r="T102" i="74"/>
  <c r="N102" i="74"/>
  <c r="O102" i="77"/>
  <c r="K102" i="77"/>
  <c r="U102" i="77"/>
  <c r="AA102" i="77"/>
  <c r="M102" i="74"/>
  <c r="L102" i="77"/>
  <c r="S102" i="74"/>
  <c r="K102" i="74"/>
  <c r="G102" i="77"/>
  <c r="Y102" i="77"/>
  <c r="Y102" i="74"/>
  <c r="L102" i="74"/>
  <c r="I102" i="74"/>
  <c r="W102" i="74"/>
  <c r="I102" i="77"/>
  <c r="V102" i="77"/>
  <c r="G102" i="74"/>
  <c r="N102" i="77"/>
  <c r="S102" i="77"/>
  <c r="Z102" i="74"/>
  <c r="H102" i="75"/>
  <c r="H102" i="74"/>
  <c r="Z102" i="77"/>
  <c r="AA102" i="74"/>
  <c r="V102" i="74"/>
  <c r="H102" i="78"/>
  <c r="H102" i="77"/>
  <c r="U102" i="74"/>
  <c r="O102" i="74"/>
  <c r="J102" i="74"/>
  <c r="M102" i="77"/>
  <c r="W102" i="77"/>
  <c r="AE102" i="76"/>
  <c r="U103" i="76" a="1"/>
  <c r="U103" i="76" s="1"/>
  <c r="S103" i="77" s="1"/>
  <c r="H103" i="76" a="1"/>
  <c r="R102" i="76"/>
  <c r="AE102" i="73"/>
  <c r="U103" i="73" a="1"/>
  <c r="R102" i="73"/>
  <c r="H103" i="73" a="1"/>
  <c r="AC102" i="77" l="1"/>
  <c r="AD103" i="76"/>
  <c r="AB104" i="78" s="1"/>
  <c r="AC103" i="76"/>
  <c r="V103" i="76"/>
  <c r="Z103" i="76"/>
  <c r="Y103" i="76"/>
  <c r="AA103" i="76"/>
  <c r="AB103" i="76"/>
  <c r="X103" i="76"/>
  <c r="W103" i="76"/>
  <c r="Q102" i="77"/>
  <c r="AC102" i="74"/>
  <c r="Q102" i="74"/>
  <c r="H103" i="76"/>
  <c r="N103" i="76"/>
  <c r="P103" i="76"/>
  <c r="I103" i="76"/>
  <c r="Q103" i="76"/>
  <c r="P104" i="78" s="1"/>
  <c r="J103" i="76"/>
  <c r="M103" i="76"/>
  <c r="O103" i="76"/>
  <c r="L103" i="76"/>
  <c r="K103" i="76"/>
  <c r="K103" i="73"/>
  <c r="Q103" i="73"/>
  <c r="H103" i="73"/>
  <c r="L103" i="73"/>
  <c r="M103" i="73"/>
  <c r="I103" i="73"/>
  <c r="N103" i="73"/>
  <c r="P103" i="73"/>
  <c r="O103" i="73"/>
  <c r="J103" i="73"/>
  <c r="Y103" i="73"/>
  <c r="X103" i="73"/>
  <c r="Z103" i="73"/>
  <c r="AA103" i="73"/>
  <c r="W103" i="73"/>
  <c r="AB103" i="73"/>
  <c r="U103" i="73"/>
  <c r="AC103" i="73"/>
  <c r="V103" i="73"/>
  <c r="AD103" i="73"/>
  <c r="AF103" i="73" l="1"/>
  <c r="S103" i="73"/>
  <c r="AF103" i="76"/>
  <c r="S103" i="76"/>
  <c r="AB104" i="75"/>
  <c r="P104" i="75"/>
  <c r="S103" i="74"/>
  <c r="N103" i="74"/>
  <c r="J103" i="74"/>
  <c r="O103" i="77"/>
  <c r="AA103" i="77"/>
  <c r="O103" i="74"/>
  <c r="U103" i="77"/>
  <c r="U103" i="74"/>
  <c r="M103" i="74"/>
  <c r="K103" i="77"/>
  <c r="G103" i="77"/>
  <c r="V103" i="77"/>
  <c r="W103" i="74"/>
  <c r="I103" i="74"/>
  <c r="T103" i="78"/>
  <c r="T103" i="77"/>
  <c r="Z103" i="74"/>
  <c r="J103" i="77"/>
  <c r="M103" i="77"/>
  <c r="Y103" i="74"/>
  <c r="H103" i="75"/>
  <c r="H103" i="74"/>
  <c r="N103" i="77"/>
  <c r="Z103" i="77"/>
  <c r="T103" i="75"/>
  <c r="T103" i="74"/>
  <c r="G103" i="74"/>
  <c r="AA103" i="74"/>
  <c r="H103" i="78"/>
  <c r="H103" i="77"/>
  <c r="X103" i="74"/>
  <c r="L103" i="74"/>
  <c r="L103" i="77"/>
  <c r="Y103" i="77"/>
  <c r="V103" i="74"/>
  <c r="K103" i="74"/>
  <c r="I103" i="77"/>
  <c r="W103" i="77"/>
  <c r="X103" i="77"/>
  <c r="AE103" i="76"/>
  <c r="U104" i="76" a="1"/>
  <c r="AB104" i="76" s="1"/>
  <c r="Z104" i="77" s="1"/>
  <c r="R103" i="76"/>
  <c r="H104" i="76" a="1"/>
  <c r="H104" i="73" a="1"/>
  <c r="R103" i="73"/>
  <c r="AE103" i="73"/>
  <c r="U104" i="73" a="1"/>
  <c r="X104" i="76" l="1"/>
  <c r="AA104" i="76"/>
  <c r="Y104" i="76"/>
  <c r="AD104" i="76"/>
  <c r="AB105" i="78" s="1"/>
  <c r="Z104" i="76"/>
  <c r="V104" i="76"/>
  <c r="AC104" i="76"/>
  <c r="U104" i="76"/>
  <c r="W104" i="76"/>
  <c r="AC103" i="77"/>
  <c r="AC103" i="74"/>
  <c r="Q103" i="77"/>
  <c r="Q103" i="74"/>
  <c r="H104" i="76"/>
  <c r="P104" i="76"/>
  <c r="I104" i="76"/>
  <c r="L104" i="76"/>
  <c r="N104" i="76"/>
  <c r="J104" i="76"/>
  <c r="O104" i="76"/>
  <c r="K104" i="76"/>
  <c r="Q104" i="76"/>
  <c r="P105" i="78" s="1"/>
  <c r="M104" i="76"/>
  <c r="W104" i="73"/>
  <c r="X104" i="73"/>
  <c r="U104" i="73"/>
  <c r="Y104" i="73"/>
  <c r="AB104" i="73"/>
  <c r="AD104" i="73"/>
  <c r="AA104" i="73"/>
  <c r="AC104" i="73"/>
  <c r="V104" i="73"/>
  <c r="Z104" i="73"/>
  <c r="M104" i="73"/>
  <c r="I104" i="73"/>
  <c r="J104" i="73"/>
  <c r="N104" i="73"/>
  <c r="O104" i="73"/>
  <c r="H104" i="73"/>
  <c r="Q104" i="73"/>
  <c r="P104" i="73"/>
  <c r="K104" i="73"/>
  <c r="L104" i="73"/>
  <c r="AF104" i="76" l="1"/>
  <c r="AF104" i="73"/>
  <c r="S104" i="73"/>
  <c r="S104" i="76"/>
  <c r="AB105" i="75"/>
  <c r="P105" i="75"/>
  <c r="X104" i="74"/>
  <c r="G104" i="74"/>
  <c r="AA104" i="74"/>
  <c r="L104" i="77"/>
  <c r="O104" i="77"/>
  <c r="W104" i="77"/>
  <c r="G104" i="77"/>
  <c r="Y104" i="77"/>
  <c r="J104" i="77"/>
  <c r="U104" i="77"/>
  <c r="V104" i="77"/>
  <c r="U104" i="74"/>
  <c r="N104" i="74"/>
  <c r="I104" i="74"/>
  <c r="S104" i="77"/>
  <c r="V104" i="74"/>
  <c r="K104" i="77"/>
  <c r="X104" i="77"/>
  <c r="T104" i="75"/>
  <c r="T104" i="74"/>
  <c r="Y104" i="74"/>
  <c r="M104" i="74"/>
  <c r="Z104" i="74"/>
  <c r="N104" i="77"/>
  <c r="K104" i="74"/>
  <c r="H104" i="75"/>
  <c r="H104" i="74"/>
  <c r="W104" i="74"/>
  <c r="I104" i="77"/>
  <c r="AA104" i="77"/>
  <c r="O104" i="74"/>
  <c r="H104" i="78"/>
  <c r="H104" i="77"/>
  <c r="J104" i="74"/>
  <c r="L104" i="74"/>
  <c r="S104" i="74"/>
  <c r="M104" i="77"/>
  <c r="T104" i="78"/>
  <c r="T104" i="77"/>
  <c r="U105" i="76" a="1"/>
  <c r="AB105" i="76" s="1"/>
  <c r="AE104" i="76"/>
  <c r="R104" i="76"/>
  <c r="H105" i="76" a="1"/>
  <c r="U105" i="73" a="1"/>
  <c r="AE104" i="73"/>
  <c r="R104" i="73"/>
  <c r="H105" i="73" a="1"/>
  <c r="Z105" i="77" l="1"/>
  <c r="AD105" i="76"/>
  <c r="AB106" i="78" s="1"/>
  <c r="V105" i="76"/>
  <c r="U105" i="76"/>
  <c r="AA105" i="76"/>
  <c r="W105" i="76"/>
  <c r="AC105" i="76"/>
  <c r="X105" i="76"/>
  <c r="Z105" i="76"/>
  <c r="Y105" i="76"/>
  <c r="AC104" i="77"/>
  <c r="AC104" i="74"/>
  <c r="Q104" i="77"/>
  <c r="Q104" i="74"/>
  <c r="O105" i="76"/>
  <c r="H105" i="76"/>
  <c r="P105" i="76"/>
  <c r="K105" i="76"/>
  <c r="I105" i="76"/>
  <c r="J105" i="76"/>
  <c r="M105" i="76"/>
  <c r="L105" i="76"/>
  <c r="N105" i="76"/>
  <c r="Q105" i="76"/>
  <c r="P106" i="78" s="1"/>
  <c r="H105" i="73"/>
  <c r="L105" i="73"/>
  <c r="P105" i="73"/>
  <c r="M105" i="73"/>
  <c r="J105" i="73"/>
  <c r="O105" i="73"/>
  <c r="I105" i="73"/>
  <c r="Q105" i="73"/>
  <c r="K105" i="73"/>
  <c r="N105" i="73"/>
  <c r="Z105" i="73"/>
  <c r="AD105" i="73"/>
  <c r="AA105" i="73"/>
  <c r="AC105" i="73"/>
  <c r="AB105" i="73"/>
  <c r="V105" i="73"/>
  <c r="W105" i="73"/>
  <c r="U105" i="73"/>
  <c r="Y105" i="73"/>
  <c r="X105" i="73"/>
  <c r="AF105" i="73" l="1"/>
  <c r="AF105" i="76"/>
  <c r="S105" i="73"/>
  <c r="S105" i="76"/>
  <c r="AB106" i="75"/>
  <c r="P106" i="75"/>
  <c r="S105" i="77"/>
  <c r="G105" i="77"/>
  <c r="Z105" i="74"/>
  <c r="H105" i="75"/>
  <c r="H105" i="74"/>
  <c r="M105" i="77"/>
  <c r="N105" i="77"/>
  <c r="W105" i="77"/>
  <c r="T105" i="78"/>
  <c r="T105" i="77"/>
  <c r="X105" i="77"/>
  <c r="J105" i="74"/>
  <c r="O105" i="77"/>
  <c r="AA105" i="74"/>
  <c r="L105" i="74"/>
  <c r="I105" i="77"/>
  <c r="AA105" i="77"/>
  <c r="U105" i="74"/>
  <c r="G105" i="74"/>
  <c r="Y105" i="77"/>
  <c r="T105" i="75"/>
  <c r="T105" i="74"/>
  <c r="O105" i="74"/>
  <c r="N105" i="74"/>
  <c r="K105" i="77"/>
  <c r="Y105" i="74"/>
  <c r="I105" i="74"/>
  <c r="L105" i="77"/>
  <c r="V105" i="77"/>
  <c r="V105" i="74"/>
  <c r="W105" i="74"/>
  <c r="X105" i="74"/>
  <c r="H105" i="78"/>
  <c r="H105" i="77"/>
  <c r="S105" i="74"/>
  <c r="M105" i="74"/>
  <c r="K105" i="74"/>
  <c r="J105" i="77"/>
  <c r="U105" i="77"/>
  <c r="AE105" i="76"/>
  <c r="U106" i="76" a="1"/>
  <c r="W106" i="76" s="1"/>
  <c r="H106" i="76" a="1"/>
  <c r="R105" i="76"/>
  <c r="U106" i="73" a="1"/>
  <c r="AE105" i="73"/>
  <c r="R105" i="73"/>
  <c r="H106" i="73" a="1"/>
  <c r="U106" i="77" l="1"/>
  <c r="AB106" i="76"/>
  <c r="AA106" i="76"/>
  <c r="Z106" i="76"/>
  <c r="AC106" i="76"/>
  <c r="Y106" i="76"/>
  <c r="AD106" i="76"/>
  <c r="AB107" i="78" s="1"/>
  <c r="AC105" i="77"/>
  <c r="X106" i="76"/>
  <c r="V106" i="76"/>
  <c r="U106" i="76"/>
  <c r="AC105" i="74"/>
  <c r="Q105" i="77"/>
  <c r="Q105" i="74"/>
  <c r="J106" i="76"/>
  <c r="K106" i="76"/>
  <c r="N106" i="76"/>
  <c r="O106" i="76"/>
  <c r="H106" i="76"/>
  <c r="L106" i="76"/>
  <c r="P106" i="76"/>
  <c r="M106" i="76"/>
  <c r="I106" i="76"/>
  <c r="Q106" i="76"/>
  <c r="P107" i="78" s="1"/>
  <c r="V106" i="73"/>
  <c r="AD106" i="73"/>
  <c r="AB106" i="73"/>
  <c r="W106" i="73"/>
  <c r="X106" i="73"/>
  <c r="Y106" i="73"/>
  <c r="Z106" i="73"/>
  <c r="AC106" i="73"/>
  <c r="U106" i="73"/>
  <c r="AA106" i="73"/>
  <c r="H106" i="73"/>
  <c r="I106" i="73"/>
  <c r="K106" i="73"/>
  <c r="L106" i="73"/>
  <c r="J106" i="73"/>
  <c r="O106" i="73"/>
  <c r="P106" i="73"/>
  <c r="M106" i="73"/>
  <c r="Q106" i="73"/>
  <c r="N106" i="73"/>
  <c r="S106" i="73" l="1"/>
  <c r="AF106" i="73"/>
  <c r="AF106" i="76"/>
  <c r="S106" i="76"/>
  <c r="P107" i="75"/>
  <c r="AB107" i="75"/>
  <c r="J106" i="77"/>
  <c r="S106" i="77"/>
  <c r="Y106" i="77"/>
  <c r="J106" i="74"/>
  <c r="H106" i="75"/>
  <c r="H106" i="74"/>
  <c r="K106" i="77"/>
  <c r="X106" i="77"/>
  <c r="N106" i="74"/>
  <c r="AA106" i="74"/>
  <c r="I106" i="74"/>
  <c r="X106" i="74"/>
  <c r="H106" i="78"/>
  <c r="H106" i="77"/>
  <c r="I106" i="77"/>
  <c r="T106" i="78"/>
  <c r="T106" i="77"/>
  <c r="Z106" i="77"/>
  <c r="L106" i="74"/>
  <c r="Y106" i="74"/>
  <c r="O106" i="74"/>
  <c r="S106" i="74"/>
  <c r="T106" i="75"/>
  <c r="T106" i="74"/>
  <c r="M106" i="77"/>
  <c r="K106" i="74"/>
  <c r="W106" i="74"/>
  <c r="L106" i="77"/>
  <c r="V106" i="77"/>
  <c r="O106" i="77"/>
  <c r="V106" i="74"/>
  <c r="M106" i="74"/>
  <c r="U106" i="74"/>
  <c r="G106" i="74"/>
  <c r="Z106" i="74"/>
  <c r="G106" i="77"/>
  <c r="W106" i="77"/>
  <c r="N106" i="77"/>
  <c r="AA106" i="77"/>
  <c r="U107" i="76" a="1"/>
  <c r="W107" i="76" s="1"/>
  <c r="AE106" i="76"/>
  <c r="R106" i="76"/>
  <c r="H107" i="76" a="1"/>
  <c r="R106" i="73"/>
  <c r="H107" i="73" a="1"/>
  <c r="U107" i="73" a="1"/>
  <c r="AE106" i="73"/>
  <c r="U107" i="77" l="1"/>
  <c r="Y107" i="76"/>
  <c r="AC107" i="76"/>
  <c r="U107" i="76"/>
  <c r="AA107" i="76"/>
  <c r="AB107" i="76"/>
  <c r="X107" i="76"/>
  <c r="Z107" i="76"/>
  <c r="AD107" i="76"/>
  <c r="AB108" i="78" s="1"/>
  <c r="V107" i="76"/>
  <c r="AC106" i="77"/>
  <c r="Q106" i="77"/>
  <c r="AC106" i="74"/>
  <c r="Q106" i="74"/>
  <c r="M107" i="76"/>
  <c r="N107" i="76"/>
  <c r="I107" i="76"/>
  <c r="Q107" i="76"/>
  <c r="P108" i="78" s="1"/>
  <c r="J107" i="76"/>
  <c r="K107" i="76"/>
  <c r="O107" i="76"/>
  <c r="L107" i="76"/>
  <c r="P107" i="76"/>
  <c r="H107" i="76"/>
  <c r="AA107" i="73"/>
  <c r="AB107" i="73"/>
  <c r="AD107" i="73"/>
  <c r="W107" i="73"/>
  <c r="AC107" i="73"/>
  <c r="X107" i="73"/>
  <c r="Z107" i="73"/>
  <c r="Y107" i="73"/>
  <c r="U107" i="73"/>
  <c r="V107" i="73"/>
  <c r="H107" i="73"/>
  <c r="P107" i="73"/>
  <c r="I107" i="73"/>
  <c r="Q107" i="73"/>
  <c r="J107" i="73"/>
  <c r="K107" i="73"/>
  <c r="N107" i="73"/>
  <c r="L107" i="73"/>
  <c r="O107" i="73"/>
  <c r="M107" i="73"/>
  <c r="S107" i="73" l="1"/>
  <c r="AF107" i="73"/>
  <c r="AF107" i="76"/>
  <c r="S107" i="76"/>
  <c r="P108" i="75"/>
  <c r="AB108" i="75"/>
  <c r="N107" i="77"/>
  <c r="N107" i="74"/>
  <c r="K107" i="74"/>
  <c r="T107" i="75"/>
  <c r="T107" i="74"/>
  <c r="M107" i="74"/>
  <c r="S107" i="74"/>
  <c r="Y107" i="74"/>
  <c r="H107" i="78"/>
  <c r="H107" i="77"/>
  <c r="Y107" i="77"/>
  <c r="J107" i="74"/>
  <c r="W107" i="74"/>
  <c r="G107" i="77"/>
  <c r="M107" i="77"/>
  <c r="S107" i="77"/>
  <c r="AA107" i="74"/>
  <c r="G107" i="74"/>
  <c r="Z107" i="74"/>
  <c r="I107" i="74"/>
  <c r="X107" i="74"/>
  <c r="O107" i="77"/>
  <c r="L107" i="77"/>
  <c r="AA107" i="77"/>
  <c r="V107" i="74"/>
  <c r="K107" i="77"/>
  <c r="T107" i="78"/>
  <c r="T107" i="77"/>
  <c r="W107" i="77"/>
  <c r="H107" i="75"/>
  <c r="H107" i="74"/>
  <c r="L107" i="74"/>
  <c r="O107" i="74"/>
  <c r="U107" i="74"/>
  <c r="J107" i="77"/>
  <c r="X107" i="77"/>
  <c r="I107" i="77"/>
  <c r="V107" i="77"/>
  <c r="Z107" i="77"/>
  <c r="U108" i="76" a="1"/>
  <c r="U108" i="76" s="1"/>
  <c r="S108" i="77" s="1"/>
  <c r="AE107" i="76"/>
  <c r="H108" i="76" a="1"/>
  <c r="R107" i="76"/>
  <c r="H108" i="73" a="1"/>
  <c r="R107" i="73"/>
  <c r="AE107" i="73"/>
  <c r="U108" i="73" a="1"/>
  <c r="AC107" i="77" l="1"/>
  <c r="Z108" i="76"/>
  <c r="Y108" i="76"/>
  <c r="X108" i="76"/>
  <c r="W108" i="76"/>
  <c r="AD108" i="76"/>
  <c r="AB109" i="78" s="1"/>
  <c r="AB108" i="76"/>
  <c r="AA108" i="76"/>
  <c r="V108" i="76"/>
  <c r="AC108" i="76"/>
  <c r="AC107" i="74"/>
  <c r="Q107" i="77"/>
  <c r="Q107" i="74"/>
  <c r="H108" i="76"/>
  <c r="P108" i="76"/>
  <c r="L108" i="76"/>
  <c r="I108" i="76"/>
  <c r="J108" i="76"/>
  <c r="Q108" i="76"/>
  <c r="P109" i="78" s="1"/>
  <c r="N108" i="76"/>
  <c r="M108" i="76"/>
  <c r="O108" i="76"/>
  <c r="K108" i="76"/>
  <c r="K108" i="73"/>
  <c r="J108" i="73"/>
  <c r="L108" i="73"/>
  <c r="H108" i="73"/>
  <c r="M108" i="73"/>
  <c r="N108" i="73"/>
  <c r="I108" i="73"/>
  <c r="O108" i="73"/>
  <c r="Q108" i="73"/>
  <c r="P108" i="73"/>
  <c r="AA108" i="73"/>
  <c r="W108" i="73"/>
  <c r="Z108" i="73"/>
  <c r="AB108" i="73"/>
  <c r="U108" i="73"/>
  <c r="V108" i="73"/>
  <c r="AC108" i="73"/>
  <c r="X108" i="73"/>
  <c r="Y108" i="73"/>
  <c r="AD108" i="73"/>
  <c r="AF108" i="73" l="1"/>
  <c r="S108" i="73"/>
  <c r="AF108" i="76"/>
  <c r="S108" i="76"/>
  <c r="P109" i="75"/>
  <c r="AB109" i="75"/>
  <c r="J108" i="74"/>
  <c r="K108" i="77"/>
  <c r="W108" i="77"/>
  <c r="G108" i="74"/>
  <c r="V108" i="74"/>
  <c r="I108" i="74"/>
  <c r="V108" i="77"/>
  <c r="AA108" i="74"/>
  <c r="T108" i="75"/>
  <c r="T108" i="74"/>
  <c r="N108" i="74"/>
  <c r="J108" i="77"/>
  <c r="O108" i="77"/>
  <c r="AA108" i="77"/>
  <c r="X108" i="77"/>
  <c r="S108" i="74"/>
  <c r="H108" i="75"/>
  <c r="H108" i="74"/>
  <c r="N108" i="77"/>
  <c r="G108" i="77"/>
  <c r="T108" i="78"/>
  <c r="T108" i="77"/>
  <c r="U108" i="74"/>
  <c r="O108" i="74"/>
  <c r="H108" i="78"/>
  <c r="H108" i="77"/>
  <c r="Z108" i="74"/>
  <c r="M108" i="74"/>
  <c r="L108" i="77"/>
  <c r="Y108" i="77"/>
  <c r="X108" i="74"/>
  <c r="L108" i="74"/>
  <c r="M108" i="77"/>
  <c r="Z108" i="77"/>
  <c r="W108" i="74"/>
  <c r="Y108" i="74"/>
  <c r="K108" i="74"/>
  <c r="I108" i="77"/>
  <c r="U108" i="77"/>
  <c r="AE108" i="76"/>
  <c r="U109" i="76" a="1"/>
  <c r="Z109" i="76" s="1"/>
  <c r="X109" i="77" s="1"/>
  <c r="R108" i="76"/>
  <c r="H109" i="76" a="1"/>
  <c r="R108" i="73"/>
  <c r="H109" i="73" a="1"/>
  <c r="AE108" i="73"/>
  <c r="U109" i="73" a="1"/>
  <c r="AC108" i="77" l="1"/>
  <c r="W109" i="76"/>
  <c r="V109" i="76"/>
  <c r="X109" i="76"/>
  <c r="AC109" i="76"/>
  <c r="U109" i="76"/>
  <c r="AB109" i="76"/>
  <c r="AD109" i="76"/>
  <c r="AB110" i="78" s="1"/>
  <c r="AA109" i="76"/>
  <c r="Y109" i="76"/>
  <c r="Q108" i="77"/>
  <c r="AC108" i="74"/>
  <c r="Q108" i="74"/>
  <c r="L109" i="76"/>
  <c r="O109" i="76"/>
  <c r="N109" i="76"/>
  <c r="P109" i="76"/>
  <c r="I109" i="76"/>
  <c r="H109" i="76"/>
  <c r="Q109" i="76"/>
  <c r="P110" i="78" s="1"/>
  <c r="M109" i="76"/>
  <c r="J109" i="76"/>
  <c r="K109" i="76"/>
  <c r="AB109" i="73"/>
  <c r="U109" i="73"/>
  <c r="AC109" i="73"/>
  <c r="Z109" i="73"/>
  <c r="V109" i="73"/>
  <c r="X109" i="73"/>
  <c r="Y109" i="73"/>
  <c r="AD109" i="73"/>
  <c r="W109" i="73"/>
  <c r="AA109" i="73"/>
  <c r="P109" i="73"/>
  <c r="J109" i="73"/>
  <c r="K109" i="73"/>
  <c r="Q109" i="73"/>
  <c r="L109" i="73"/>
  <c r="H109" i="73"/>
  <c r="M109" i="73"/>
  <c r="I109" i="73"/>
  <c r="N109" i="73"/>
  <c r="O109" i="73"/>
  <c r="AF109" i="73" l="1"/>
  <c r="S109" i="73"/>
  <c r="AF109" i="76"/>
  <c r="S109" i="76"/>
  <c r="P110" i="75"/>
  <c r="AB110" i="75"/>
  <c r="U109" i="74"/>
  <c r="Z109" i="74"/>
  <c r="M109" i="77"/>
  <c r="T109" i="78"/>
  <c r="T109" i="77"/>
  <c r="J109" i="77"/>
  <c r="N109" i="77"/>
  <c r="W109" i="77"/>
  <c r="U109" i="77"/>
  <c r="H109" i="75"/>
  <c r="H109" i="74"/>
  <c r="Y109" i="74"/>
  <c r="S109" i="74"/>
  <c r="O109" i="77"/>
  <c r="V109" i="77"/>
  <c r="L109" i="74"/>
  <c r="G109" i="74"/>
  <c r="K109" i="74"/>
  <c r="W109" i="74"/>
  <c r="I109" i="77"/>
  <c r="K109" i="77"/>
  <c r="Y109" i="77"/>
  <c r="Z109" i="77"/>
  <c r="V109" i="74"/>
  <c r="L109" i="77"/>
  <c r="J109" i="74"/>
  <c r="T109" i="75"/>
  <c r="T109" i="74"/>
  <c r="N109" i="74"/>
  <c r="I109" i="74"/>
  <c r="X109" i="74"/>
  <c r="G109" i="77"/>
  <c r="S109" i="77"/>
  <c r="M109" i="74"/>
  <c r="O109" i="74"/>
  <c r="AA109" i="74"/>
  <c r="H109" i="78"/>
  <c r="H109" i="77"/>
  <c r="AA109" i="77"/>
  <c r="U110" i="76" a="1"/>
  <c r="X110" i="76" s="1"/>
  <c r="AE109" i="76"/>
  <c r="R109" i="76"/>
  <c r="H110" i="76" a="1"/>
  <c r="U110" i="73" a="1"/>
  <c r="AE109" i="73"/>
  <c r="H110" i="73" a="1"/>
  <c r="R109" i="73"/>
  <c r="V110" i="77" l="1"/>
  <c r="AC110" i="76"/>
  <c r="U110" i="76"/>
  <c r="V110" i="76"/>
  <c r="Z110" i="76"/>
  <c r="Y110" i="76"/>
  <c r="AB110" i="76"/>
  <c r="W110" i="76"/>
  <c r="AD110" i="76"/>
  <c r="AB111" i="78" s="1"/>
  <c r="AC109" i="77"/>
  <c r="AA110" i="76"/>
  <c r="Q109" i="77"/>
  <c r="AC109" i="74"/>
  <c r="Q109" i="74"/>
  <c r="M110" i="76"/>
  <c r="Q110" i="76"/>
  <c r="P111" i="78" s="1"/>
  <c r="J110" i="76"/>
  <c r="N110" i="76"/>
  <c r="O110" i="76"/>
  <c r="H110" i="76"/>
  <c r="I110" i="76"/>
  <c r="K110" i="76"/>
  <c r="L110" i="76"/>
  <c r="P110" i="76"/>
  <c r="Q110" i="73"/>
  <c r="J110" i="73"/>
  <c r="M110" i="73"/>
  <c r="I110" i="73"/>
  <c r="N110" i="73"/>
  <c r="O110" i="73"/>
  <c r="K110" i="73"/>
  <c r="H110" i="73"/>
  <c r="L110" i="73"/>
  <c r="P110" i="73"/>
  <c r="W110" i="73"/>
  <c r="V110" i="73"/>
  <c r="X110" i="73"/>
  <c r="AB110" i="73"/>
  <c r="Y110" i="73"/>
  <c r="AC110" i="73"/>
  <c r="Z110" i="73"/>
  <c r="AA110" i="73"/>
  <c r="AD110" i="73"/>
  <c r="U110" i="73"/>
  <c r="AF110" i="73" l="1"/>
  <c r="S110" i="73"/>
  <c r="AF110" i="76"/>
  <c r="S110" i="76"/>
  <c r="AB111" i="75"/>
  <c r="P111" i="75"/>
  <c r="Y110" i="77"/>
  <c r="T110" i="78"/>
  <c r="T110" i="77"/>
  <c r="I110" i="77"/>
  <c r="X110" i="77"/>
  <c r="AA110" i="74"/>
  <c r="G110" i="74"/>
  <c r="J110" i="74"/>
  <c r="K110" i="77"/>
  <c r="L110" i="77"/>
  <c r="S110" i="77"/>
  <c r="K110" i="74"/>
  <c r="O110" i="77"/>
  <c r="W110" i="74"/>
  <c r="Z110" i="74"/>
  <c r="N110" i="74"/>
  <c r="J110" i="77"/>
  <c r="AA110" i="77"/>
  <c r="S110" i="74"/>
  <c r="T110" i="75"/>
  <c r="T110" i="74"/>
  <c r="H110" i="75"/>
  <c r="H110" i="74"/>
  <c r="G110" i="77"/>
  <c r="U110" i="77"/>
  <c r="X110" i="74"/>
  <c r="V110" i="74"/>
  <c r="M110" i="74"/>
  <c r="H110" i="78"/>
  <c r="H110" i="77"/>
  <c r="U110" i="74"/>
  <c r="N110" i="77"/>
  <c r="Z110" i="77"/>
  <c r="L110" i="74"/>
  <c r="Y110" i="74"/>
  <c r="O110" i="74"/>
  <c r="I110" i="74"/>
  <c r="M110" i="77"/>
  <c r="W110" i="77"/>
  <c r="AE110" i="76"/>
  <c r="U111" i="76" a="1"/>
  <c r="Z111" i="76" s="1"/>
  <c r="X111" i="77" s="1"/>
  <c r="H111" i="76" a="1"/>
  <c r="R110" i="76"/>
  <c r="R110" i="73"/>
  <c r="H111" i="73" a="1"/>
  <c r="AE110" i="73"/>
  <c r="U111" i="73" a="1"/>
  <c r="AC110" i="77" l="1"/>
  <c r="X111" i="76"/>
  <c r="W111" i="76"/>
  <c r="U111" i="76"/>
  <c r="AD111" i="76"/>
  <c r="AB112" i="78" s="1"/>
  <c r="Y111" i="76"/>
  <c r="AC111" i="76"/>
  <c r="AB111" i="76"/>
  <c r="V111" i="76"/>
  <c r="AA111" i="76"/>
  <c r="Q110" i="77"/>
  <c r="AC110" i="74"/>
  <c r="Q110" i="74"/>
  <c r="P111" i="76"/>
  <c r="J111" i="76"/>
  <c r="I111" i="76"/>
  <c r="Q111" i="76"/>
  <c r="P112" i="78" s="1"/>
  <c r="N111" i="76"/>
  <c r="O111" i="76"/>
  <c r="K111" i="76"/>
  <c r="M111" i="76"/>
  <c r="H111" i="76"/>
  <c r="L111" i="76"/>
  <c r="AD111" i="73"/>
  <c r="W111" i="73"/>
  <c r="X111" i="73"/>
  <c r="AA111" i="73"/>
  <c r="Y111" i="73"/>
  <c r="AB111" i="73"/>
  <c r="Z111" i="73"/>
  <c r="U111" i="73"/>
  <c r="AC111" i="73"/>
  <c r="V111" i="73"/>
  <c r="M111" i="73"/>
  <c r="L111" i="73"/>
  <c r="P111" i="73"/>
  <c r="Q111" i="73"/>
  <c r="H111" i="73"/>
  <c r="I111" i="73"/>
  <c r="J111" i="73"/>
  <c r="N111" i="73"/>
  <c r="O111" i="73"/>
  <c r="K111" i="73"/>
  <c r="AF111" i="73" l="1"/>
  <c r="S111" i="73"/>
  <c r="AF111" i="76"/>
  <c r="S111" i="76"/>
  <c r="P112" i="75"/>
  <c r="AB112" i="75"/>
  <c r="L111" i="74"/>
  <c r="M111" i="74"/>
  <c r="T111" i="75"/>
  <c r="T111" i="74"/>
  <c r="U111" i="74"/>
  <c r="AA111" i="74"/>
  <c r="U111" i="77"/>
  <c r="H111" i="78"/>
  <c r="H111" i="77"/>
  <c r="H111" i="75"/>
  <c r="H111" i="74"/>
  <c r="S111" i="74"/>
  <c r="K111" i="77"/>
  <c r="I111" i="77"/>
  <c r="Y111" i="77"/>
  <c r="V111" i="77"/>
  <c r="S111" i="77"/>
  <c r="I111" i="74"/>
  <c r="G111" i="74"/>
  <c r="X111" i="74"/>
  <c r="G111" i="77"/>
  <c r="O111" i="77"/>
  <c r="T111" i="78"/>
  <c r="T111" i="77"/>
  <c r="Z111" i="74"/>
  <c r="L111" i="77"/>
  <c r="Z111" i="77"/>
  <c r="N111" i="74"/>
  <c r="M111" i="77"/>
  <c r="O111" i="74"/>
  <c r="W111" i="74"/>
  <c r="J111" i="77"/>
  <c r="AA111" i="77"/>
  <c r="J111" i="74"/>
  <c r="K111" i="74"/>
  <c r="Y111" i="74"/>
  <c r="N111" i="77"/>
  <c r="W111" i="77"/>
  <c r="V111" i="74"/>
  <c r="AE111" i="76"/>
  <c r="U112" i="76" a="1"/>
  <c r="Y112" i="76" s="1"/>
  <c r="W112" i="77" s="1"/>
  <c r="R111" i="76"/>
  <c r="H112" i="76" a="1"/>
  <c r="AE111" i="73"/>
  <c r="U112" i="73" a="1"/>
  <c r="R111" i="73"/>
  <c r="H112" i="73" a="1"/>
  <c r="AC111" i="77" l="1"/>
  <c r="AB112" i="76"/>
  <c r="AA112" i="76"/>
  <c r="Z112" i="76"/>
  <c r="X112" i="76"/>
  <c r="U112" i="76"/>
  <c r="W112" i="76"/>
  <c r="AD112" i="76"/>
  <c r="AB113" i="78" s="1"/>
  <c r="V112" i="76"/>
  <c r="AC112" i="76"/>
  <c r="Q111" i="77"/>
  <c r="AC111" i="74"/>
  <c r="Q111" i="74"/>
  <c r="J112" i="76"/>
  <c r="Q112" i="76"/>
  <c r="P113" i="78" s="1"/>
  <c r="K112" i="76"/>
  <c r="I112" i="76"/>
  <c r="L112" i="76"/>
  <c r="M112" i="76"/>
  <c r="H112" i="76"/>
  <c r="P112" i="76"/>
  <c r="N112" i="76"/>
  <c r="O112" i="76"/>
  <c r="J112" i="73"/>
  <c r="L112" i="73"/>
  <c r="M112" i="73"/>
  <c r="K112" i="73"/>
  <c r="I112" i="73"/>
  <c r="N112" i="73"/>
  <c r="Q112" i="73"/>
  <c r="P112" i="73"/>
  <c r="O112" i="73"/>
  <c r="H112" i="73"/>
  <c r="Y112" i="73"/>
  <c r="U112" i="73"/>
  <c r="Z112" i="73"/>
  <c r="X112" i="73"/>
  <c r="AA112" i="73"/>
  <c r="V112" i="73"/>
  <c r="AB112" i="73"/>
  <c r="AD112" i="73"/>
  <c r="AC112" i="73"/>
  <c r="W112" i="73"/>
  <c r="AF112" i="76" l="1"/>
  <c r="AF112" i="73"/>
  <c r="S112" i="73"/>
  <c r="S112" i="76"/>
  <c r="P113" i="75"/>
  <c r="AB113" i="75"/>
  <c r="G112" i="74"/>
  <c r="H112" i="78"/>
  <c r="H112" i="77"/>
  <c r="X112" i="77"/>
  <c r="Z112" i="74"/>
  <c r="N112" i="74"/>
  <c r="I112" i="74"/>
  <c r="J112" i="77"/>
  <c r="Y112" i="77"/>
  <c r="AA112" i="77"/>
  <c r="Z112" i="77"/>
  <c r="M112" i="77"/>
  <c r="I112" i="77"/>
  <c r="T112" i="78"/>
  <c r="T112" i="77"/>
  <c r="O112" i="74"/>
  <c r="X112" i="74"/>
  <c r="H112" i="75"/>
  <c r="H112" i="74"/>
  <c r="G112" i="77"/>
  <c r="U112" i="77"/>
  <c r="K112" i="74"/>
  <c r="S112" i="74"/>
  <c r="J112" i="74"/>
  <c r="L112" i="77"/>
  <c r="S112" i="77"/>
  <c r="T112" i="75"/>
  <c r="T112" i="74"/>
  <c r="N112" i="77"/>
  <c r="Y112" i="74"/>
  <c r="V112" i="74"/>
  <c r="M112" i="74"/>
  <c r="O112" i="77"/>
  <c r="U112" i="74"/>
  <c r="AA112" i="74"/>
  <c r="W112" i="74"/>
  <c r="L112" i="74"/>
  <c r="K112" i="77"/>
  <c r="V112" i="77"/>
  <c r="AE112" i="76"/>
  <c r="U113" i="76" a="1"/>
  <c r="X113" i="76" s="1"/>
  <c r="R112" i="76"/>
  <c r="H113" i="76" a="1"/>
  <c r="AE112" i="73"/>
  <c r="U113" i="73" a="1"/>
  <c r="R112" i="73"/>
  <c r="H113" i="73" a="1"/>
  <c r="V113" i="77" l="1"/>
  <c r="AC112" i="77"/>
  <c r="U113" i="76"/>
  <c r="W113" i="76"/>
  <c r="V113" i="76"/>
  <c r="Z113" i="76"/>
  <c r="AD113" i="76"/>
  <c r="AB114" i="78" s="1"/>
  <c r="AC113" i="76"/>
  <c r="AA113" i="76"/>
  <c r="AB113" i="76"/>
  <c r="Y113" i="76"/>
  <c r="AC112" i="74"/>
  <c r="Q112" i="77"/>
  <c r="Q112" i="74"/>
  <c r="P113" i="76"/>
  <c r="K113" i="76"/>
  <c r="I113" i="76"/>
  <c r="J113" i="76"/>
  <c r="M113" i="76"/>
  <c r="L113" i="76"/>
  <c r="N113" i="76"/>
  <c r="Q113" i="76"/>
  <c r="P114" i="78" s="1"/>
  <c r="O113" i="76"/>
  <c r="H113" i="76"/>
  <c r="Q113" i="73"/>
  <c r="J113" i="73"/>
  <c r="K113" i="73"/>
  <c r="L113" i="73"/>
  <c r="I113" i="73"/>
  <c r="M113" i="73"/>
  <c r="H113" i="73"/>
  <c r="N113" i="73"/>
  <c r="P113" i="73"/>
  <c r="O113" i="73"/>
  <c r="Z113" i="73"/>
  <c r="V113" i="73"/>
  <c r="AA113" i="73"/>
  <c r="AB113" i="73"/>
  <c r="W113" i="73"/>
  <c r="Y113" i="73"/>
  <c r="U113" i="73"/>
  <c r="X113" i="73"/>
  <c r="AC113" i="73"/>
  <c r="AD113" i="73"/>
  <c r="AF113" i="73" l="1"/>
  <c r="S113" i="73"/>
  <c r="AF113" i="76"/>
  <c r="S113" i="76"/>
  <c r="AB114" i="75"/>
  <c r="P114" i="75"/>
  <c r="H113" i="78"/>
  <c r="H113" i="77"/>
  <c r="U113" i="77"/>
  <c r="W113" i="74"/>
  <c r="M113" i="74"/>
  <c r="G113" i="77"/>
  <c r="J113" i="77"/>
  <c r="W113" i="77"/>
  <c r="S113" i="77"/>
  <c r="L113" i="74"/>
  <c r="S113" i="74"/>
  <c r="O113" i="74"/>
  <c r="U113" i="74"/>
  <c r="G113" i="74"/>
  <c r="N113" i="77"/>
  <c r="O113" i="77"/>
  <c r="Z113" i="77"/>
  <c r="Y113" i="77"/>
  <c r="Y113" i="74"/>
  <c r="AA113" i="77"/>
  <c r="T113" i="75"/>
  <c r="T113" i="74"/>
  <c r="K113" i="74"/>
  <c r="AA113" i="74"/>
  <c r="J113" i="74"/>
  <c r="L113" i="77"/>
  <c r="X113" i="77"/>
  <c r="Z113" i="74"/>
  <c r="H113" i="75"/>
  <c r="H113" i="74"/>
  <c r="M113" i="77"/>
  <c r="K113" i="77"/>
  <c r="X113" i="74"/>
  <c r="V113" i="74"/>
  <c r="N113" i="74"/>
  <c r="I113" i="74"/>
  <c r="I113" i="77"/>
  <c r="T113" i="78"/>
  <c r="T113" i="77"/>
  <c r="AE113" i="76"/>
  <c r="U114" i="76" a="1"/>
  <c r="W114" i="76" s="1"/>
  <c r="R113" i="76"/>
  <c r="H114" i="76" a="1"/>
  <c r="R113" i="73"/>
  <c r="H114" i="73" a="1"/>
  <c r="U114" i="73" a="1"/>
  <c r="AE113" i="73"/>
  <c r="AC113" i="77" l="1"/>
  <c r="U114" i="77"/>
  <c r="Y114" i="76"/>
  <c r="AC114" i="76"/>
  <c r="AB114" i="76"/>
  <c r="AA114" i="76"/>
  <c r="AD114" i="76"/>
  <c r="AB115" i="78" s="1"/>
  <c r="Z114" i="76"/>
  <c r="X114" i="76"/>
  <c r="V114" i="76"/>
  <c r="U114" i="76"/>
  <c r="AC113" i="74"/>
  <c r="Q113" i="77"/>
  <c r="Q113" i="74"/>
  <c r="N114" i="76"/>
  <c r="M114" i="76"/>
  <c r="H114" i="76"/>
  <c r="O114" i="76"/>
  <c r="P114" i="76"/>
  <c r="L114" i="76"/>
  <c r="I114" i="76"/>
  <c r="Q114" i="76"/>
  <c r="P115" i="78" s="1"/>
  <c r="J114" i="76"/>
  <c r="K114" i="76"/>
  <c r="Z114" i="73"/>
  <c r="AA114" i="73"/>
  <c r="AB114" i="73"/>
  <c r="X114" i="73"/>
  <c r="V114" i="73"/>
  <c r="U114" i="73"/>
  <c r="Y114" i="73"/>
  <c r="AC114" i="73"/>
  <c r="W114" i="73"/>
  <c r="AD114" i="73"/>
  <c r="K114" i="73"/>
  <c r="Q114" i="73"/>
  <c r="I114" i="73"/>
  <c r="L114" i="73"/>
  <c r="H114" i="73"/>
  <c r="M114" i="73"/>
  <c r="N114" i="73"/>
  <c r="J114" i="73"/>
  <c r="P114" i="73"/>
  <c r="O114" i="73"/>
  <c r="AF114" i="73" l="1"/>
  <c r="S114" i="73"/>
  <c r="AF114" i="76"/>
  <c r="S114" i="76"/>
  <c r="P115" i="75"/>
  <c r="AB115" i="75"/>
  <c r="O114" i="74"/>
  <c r="O114" i="77"/>
  <c r="I114" i="74"/>
  <c r="Y114" i="74"/>
  <c r="N114" i="77"/>
  <c r="X114" i="74"/>
  <c r="Z114" i="77"/>
  <c r="Y114" i="77"/>
  <c r="M114" i="74"/>
  <c r="L114" i="77"/>
  <c r="AA114" i="77"/>
  <c r="N114" i="74"/>
  <c r="J114" i="74"/>
  <c r="U114" i="74"/>
  <c r="G114" i="77"/>
  <c r="L114" i="74"/>
  <c r="AA114" i="74"/>
  <c r="J114" i="77"/>
  <c r="G114" i="74"/>
  <c r="W114" i="74"/>
  <c r="I114" i="77"/>
  <c r="M114" i="77"/>
  <c r="S114" i="77"/>
  <c r="W114" i="77"/>
  <c r="S114" i="74"/>
  <c r="T114" i="78"/>
  <c r="T114" i="77"/>
  <c r="H114" i="75"/>
  <c r="H114" i="74"/>
  <c r="T114" i="75"/>
  <c r="T114" i="74"/>
  <c r="H114" i="78"/>
  <c r="H114" i="77"/>
  <c r="V114" i="77"/>
  <c r="V114" i="74"/>
  <c r="K114" i="77"/>
  <c r="X114" i="77"/>
  <c r="K114" i="74"/>
  <c r="Z114" i="74"/>
  <c r="AE114" i="76"/>
  <c r="U115" i="76" a="1"/>
  <c r="Z115" i="76" s="1"/>
  <c r="R114" i="76"/>
  <c r="H115" i="76" a="1"/>
  <c r="AE114" i="73"/>
  <c r="U115" i="73" a="1"/>
  <c r="H115" i="73" a="1"/>
  <c r="R114" i="73"/>
  <c r="X115" i="77" l="1"/>
  <c r="AC114" i="77"/>
  <c r="Y115" i="76"/>
  <c r="AD115" i="76"/>
  <c r="AB116" i="78" s="1"/>
  <c r="AC115" i="76"/>
  <c r="V115" i="76"/>
  <c r="U115" i="76"/>
  <c r="AA115" i="76"/>
  <c r="W115" i="76"/>
  <c r="X115" i="76"/>
  <c r="AB115" i="76"/>
  <c r="Q114" i="77"/>
  <c r="AC114" i="74"/>
  <c r="Q114" i="74"/>
  <c r="K115" i="76"/>
  <c r="P115" i="76"/>
  <c r="L115" i="76"/>
  <c r="H115" i="76"/>
  <c r="M115" i="76"/>
  <c r="N115" i="76"/>
  <c r="I115" i="76"/>
  <c r="Q115" i="76"/>
  <c r="P116" i="78" s="1"/>
  <c r="J115" i="76"/>
  <c r="O115" i="76"/>
  <c r="AD115" i="73"/>
  <c r="V115" i="73"/>
  <c r="U115" i="73"/>
  <c r="AC115" i="73"/>
  <c r="W115" i="73"/>
  <c r="AA115" i="73"/>
  <c r="X115" i="73"/>
  <c r="AB115" i="73"/>
  <c r="Y115" i="73"/>
  <c r="Z115" i="73"/>
  <c r="I115" i="73"/>
  <c r="Q115" i="73"/>
  <c r="O115" i="73"/>
  <c r="K115" i="73"/>
  <c r="L115" i="73"/>
  <c r="P115" i="73"/>
  <c r="M115" i="73"/>
  <c r="N115" i="73"/>
  <c r="J115" i="73"/>
  <c r="H115" i="73"/>
  <c r="AF115" i="73" l="1"/>
  <c r="S115" i="73"/>
  <c r="S115" i="76"/>
  <c r="AF115" i="76"/>
  <c r="P116" i="75"/>
  <c r="AB116" i="75"/>
  <c r="K115" i="77"/>
  <c r="AA115" i="77"/>
  <c r="O115" i="74"/>
  <c r="Z115" i="74"/>
  <c r="N115" i="77"/>
  <c r="O115" i="77"/>
  <c r="Z115" i="77"/>
  <c r="K115" i="74"/>
  <c r="V115" i="74"/>
  <c r="I115" i="77"/>
  <c r="J115" i="77"/>
  <c r="V115" i="77"/>
  <c r="W115" i="77"/>
  <c r="U115" i="77"/>
  <c r="N115" i="74"/>
  <c r="Y115" i="77"/>
  <c r="AA115" i="74"/>
  <c r="M115" i="77"/>
  <c r="S115" i="77"/>
  <c r="G115" i="74"/>
  <c r="T115" i="78"/>
  <c r="T115" i="77"/>
  <c r="L115" i="74"/>
  <c r="W115" i="74"/>
  <c r="J115" i="74"/>
  <c r="Y115" i="74"/>
  <c r="U115" i="74"/>
  <c r="H115" i="78"/>
  <c r="H115" i="77"/>
  <c r="I115" i="74"/>
  <c r="H115" i="75"/>
  <c r="H115" i="74"/>
  <c r="S115" i="74"/>
  <c r="L115" i="77"/>
  <c r="M115" i="74"/>
  <c r="X115" i="74"/>
  <c r="T115" i="75"/>
  <c r="T115" i="74"/>
  <c r="G115" i="77"/>
  <c r="U116" i="76" a="1"/>
  <c r="Y116" i="76" s="1"/>
  <c r="AE115" i="76"/>
  <c r="R115" i="76"/>
  <c r="H116" i="76" a="1"/>
  <c r="AE115" i="73"/>
  <c r="U116" i="73" a="1"/>
  <c r="R115" i="73"/>
  <c r="H116" i="73" a="1"/>
  <c r="W116" i="77" l="1"/>
  <c r="AC115" i="77"/>
  <c r="AB116" i="76"/>
  <c r="X116" i="76"/>
  <c r="V116" i="76"/>
  <c r="AD116" i="76"/>
  <c r="AB117" i="78" s="1"/>
  <c r="W116" i="76"/>
  <c r="AA116" i="76"/>
  <c r="AC116" i="76"/>
  <c r="U116" i="76"/>
  <c r="Z116" i="76"/>
  <c r="Q115" i="77"/>
  <c r="AC115" i="74"/>
  <c r="Q115" i="74"/>
  <c r="I116" i="76"/>
  <c r="Q116" i="76"/>
  <c r="P117" i="78" s="1"/>
  <c r="L116" i="76"/>
  <c r="J116" i="76"/>
  <c r="N116" i="76"/>
  <c r="K116" i="76"/>
  <c r="O116" i="76"/>
  <c r="M116" i="76"/>
  <c r="H116" i="76"/>
  <c r="P116" i="76"/>
  <c r="H116" i="73"/>
  <c r="I116" i="73"/>
  <c r="M116" i="73"/>
  <c r="P116" i="73"/>
  <c r="Q116" i="73"/>
  <c r="N116" i="73"/>
  <c r="K116" i="73"/>
  <c r="J116" i="73"/>
  <c r="L116" i="73"/>
  <c r="O116" i="73"/>
  <c r="W116" i="73"/>
  <c r="X116" i="73"/>
  <c r="V116" i="73"/>
  <c r="Z116" i="73"/>
  <c r="Y116" i="73"/>
  <c r="AA116" i="73"/>
  <c r="AD116" i="73"/>
  <c r="AB116" i="73"/>
  <c r="AC116" i="73"/>
  <c r="U116" i="73"/>
  <c r="S116" i="73" l="1"/>
  <c r="AF116" i="73"/>
  <c r="AF116" i="76"/>
  <c r="S116" i="76"/>
  <c r="P117" i="75"/>
  <c r="AB117" i="75"/>
  <c r="X116" i="77"/>
  <c r="Z116" i="77"/>
  <c r="U116" i="74"/>
  <c r="K116" i="74"/>
  <c r="G116" i="74"/>
  <c r="V116" i="77"/>
  <c r="Y116" i="74"/>
  <c r="I116" i="74"/>
  <c r="O116" i="77"/>
  <c r="W116" i="74"/>
  <c r="J116" i="74"/>
  <c r="G116" i="77"/>
  <c r="H116" i="78"/>
  <c r="H116" i="77"/>
  <c r="S116" i="77"/>
  <c r="K116" i="77"/>
  <c r="X116" i="74"/>
  <c r="M116" i="74"/>
  <c r="L116" i="77"/>
  <c r="AA116" i="77"/>
  <c r="T116" i="75"/>
  <c r="T116" i="74"/>
  <c r="N116" i="77"/>
  <c r="Y116" i="77"/>
  <c r="S116" i="74"/>
  <c r="V116" i="74"/>
  <c r="O116" i="74"/>
  <c r="J116" i="77"/>
  <c r="U116" i="77"/>
  <c r="AA116" i="74"/>
  <c r="L116" i="74"/>
  <c r="M116" i="77"/>
  <c r="Z116" i="74"/>
  <c r="N116" i="74"/>
  <c r="H116" i="75"/>
  <c r="H116" i="74"/>
  <c r="I116" i="77"/>
  <c r="T116" i="78"/>
  <c r="T116" i="77"/>
  <c r="U117" i="76" a="1"/>
  <c r="Z117" i="76" s="1"/>
  <c r="AE116" i="76"/>
  <c r="H117" i="76" a="1"/>
  <c r="R116" i="76"/>
  <c r="U117" i="73" a="1"/>
  <c r="AE116" i="73"/>
  <c r="H117" i="73" a="1"/>
  <c r="R116" i="73"/>
  <c r="X117" i="77" l="1"/>
  <c r="AC116" i="77"/>
  <c r="V117" i="76"/>
  <c r="AC117" i="76"/>
  <c r="U117" i="76"/>
  <c r="AB117" i="76"/>
  <c r="AD117" i="76"/>
  <c r="AB118" i="78" s="1"/>
  <c r="AA117" i="76"/>
  <c r="W117" i="76"/>
  <c r="X117" i="76"/>
  <c r="Y117" i="76"/>
  <c r="Q116" i="77"/>
  <c r="AC116" i="74"/>
  <c r="Q116" i="74"/>
  <c r="J117" i="76"/>
  <c r="K117" i="76"/>
  <c r="L117" i="76"/>
  <c r="O117" i="76"/>
  <c r="P117" i="76"/>
  <c r="M117" i="76"/>
  <c r="I117" i="76"/>
  <c r="H117" i="76"/>
  <c r="Q117" i="76"/>
  <c r="P118" i="78" s="1"/>
  <c r="N117" i="76"/>
  <c r="I117" i="73"/>
  <c r="K117" i="73"/>
  <c r="J117" i="73"/>
  <c r="H117" i="73"/>
  <c r="L117" i="73"/>
  <c r="P117" i="73"/>
  <c r="N117" i="73"/>
  <c r="M117" i="73"/>
  <c r="Q117" i="73"/>
  <c r="O117" i="73"/>
  <c r="X117" i="73"/>
  <c r="Y117" i="73"/>
  <c r="Z117" i="73"/>
  <c r="W117" i="73"/>
  <c r="U117" i="73"/>
  <c r="AB117" i="73"/>
  <c r="V117" i="73"/>
  <c r="AD117" i="73"/>
  <c r="AC117" i="73"/>
  <c r="AA117" i="73"/>
  <c r="S117" i="73" l="1"/>
  <c r="AF117" i="73"/>
  <c r="AF117" i="76"/>
  <c r="S117" i="76"/>
  <c r="P118" i="75"/>
  <c r="AB118" i="75"/>
  <c r="X117" i="74"/>
  <c r="H117" i="78"/>
  <c r="H117" i="77"/>
  <c r="W117" i="74"/>
  <c r="G117" i="74"/>
  <c r="L117" i="77"/>
  <c r="T117" i="75"/>
  <c r="T117" i="74"/>
  <c r="AA117" i="77"/>
  <c r="Z117" i="74"/>
  <c r="L117" i="74"/>
  <c r="M117" i="77"/>
  <c r="J117" i="77"/>
  <c r="W117" i="77"/>
  <c r="T117" i="78"/>
  <c r="T117" i="77"/>
  <c r="I117" i="77"/>
  <c r="V117" i="77"/>
  <c r="H117" i="75"/>
  <c r="H117" i="74"/>
  <c r="K117" i="77"/>
  <c r="S117" i="74"/>
  <c r="M117" i="74"/>
  <c r="U117" i="74"/>
  <c r="O117" i="74"/>
  <c r="G117" i="77"/>
  <c r="U117" i="77"/>
  <c r="K117" i="74"/>
  <c r="Y117" i="77"/>
  <c r="Y117" i="74"/>
  <c r="AA117" i="74"/>
  <c r="V117" i="74"/>
  <c r="I117" i="74"/>
  <c r="O117" i="77"/>
  <c r="Z117" i="77"/>
  <c r="N117" i="74"/>
  <c r="J117" i="74"/>
  <c r="N117" i="77"/>
  <c r="S117" i="77"/>
  <c r="U118" i="76" a="1"/>
  <c r="X118" i="76" s="1"/>
  <c r="AE117" i="76"/>
  <c r="R117" i="76"/>
  <c r="H118" i="76" a="1"/>
  <c r="H118" i="73" a="1"/>
  <c r="R117" i="73"/>
  <c r="AE117" i="73"/>
  <c r="U118" i="73" a="1"/>
  <c r="V118" i="77" l="1"/>
  <c r="AC117" i="77"/>
  <c r="U118" i="76"/>
  <c r="Y118" i="76"/>
  <c r="W118" i="76"/>
  <c r="AD118" i="76"/>
  <c r="AB119" i="78" s="1"/>
  <c r="V118" i="76"/>
  <c r="AB118" i="76"/>
  <c r="AC118" i="76"/>
  <c r="Z118" i="76"/>
  <c r="AA118" i="76"/>
  <c r="Q117" i="77"/>
  <c r="AC117" i="74"/>
  <c r="Q117" i="74"/>
  <c r="M118" i="76"/>
  <c r="H118" i="76"/>
  <c r="N118" i="76"/>
  <c r="O118" i="76"/>
  <c r="J118" i="76"/>
  <c r="I118" i="76"/>
  <c r="K118" i="76"/>
  <c r="P118" i="76"/>
  <c r="L118" i="76"/>
  <c r="Q118" i="76"/>
  <c r="P119" i="78" s="1"/>
  <c r="Q118" i="73"/>
  <c r="L118" i="73"/>
  <c r="I118" i="73"/>
  <c r="J118" i="73"/>
  <c r="K118" i="73"/>
  <c r="O118" i="73"/>
  <c r="M118" i="73"/>
  <c r="H118" i="73"/>
  <c r="N118" i="73"/>
  <c r="P118" i="73"/>
  <c r="X118" i="73"/>
  <c r="AD118" i="73"/>
  <c r="Y118" i="73"/>
  <c r="U118" i="73"/>
  <c r="AC118" i="73"/>
  <c r="Z118" i="73"/>
  <c r="AA118" i="73"/>
  <c r="V118" i="73"/>
  <c r="W118" i="73"/>
  <c r="AB118" i="73"/>
  <c r="AF118" i="73" l="1"/>
  <c r="AF118" i="76"/>
  <c r="S118" i="73"/>
  <c r="S118" i="76"/>
  <c r="AB119" i="75"/>
  <c r="P119" i="75"/>
  <c r="G118" i="77"/>
  <c r="Y118" i="77"/>
  <c r="M118" i="77"/>
  <c r="W118" i="77"/>
  <c r="X118" i="74"/>
  <c r="G118" i="74"/>
  <c r="AA118" i="74"/>
  <c r="L118" i="74"/>
  <c r="K118" i="77"/>
  <c r="L118" i="77"/>
  <c r="X118" i="77"/>
  <c r="S118" i="77"/>
  <c r="Y118" i="74"/>
  <c r="M118" i="74"/>
  <c r="S118" i="74"/>
  <c r="N118" i="74"/>
  <c r="O118" i="77"/>
  <c r="AA118" i="77"/>
  <c r="W118" i="74"/>
  <c r="Z118" i="77"/>
  <c r="I118" i="74"/>
  <c r="H118" i="78"/>
  <c r="H118" i="77"/>
  <c r="T118" i="78"/>
  <c r="T118" i="77"/>
  <c r="J118" i="74"/>
  <c r="J118" i="77"/>
  <c r="Z118" i="74"/>
  <c r="U118" i="74"/>
  <c r="V118" i="74"/>
  <c r="H118" i="75"/>
  <c r="H118" i="74"/>
  <c r="I118" i="77"/>
  <c r="T118" i="75"/>
  <c r="T118" i="74"/>
  <c r="O118" i="74"/>
  <c r="K118" i="74"/>
  <c r="N118" i="77"/>
  <c r="U118" i="77"/>
  <c r="U119" i="76" a="1"/>
  <c r="V119" i="76" s="1"/>
  <c r="AE118" i="76"/>
  <c r="R118" i="76"/>
  <c r="H119" i="76" a="1"/>
  <c r="H119" i="73" a="1"/>
  <c r="R118" i="73"/>
  <c r="AE118" i="73"/>
  <c r="U119" i="73" a="1"/>
  <c r="T119" i="77" l="1"/>
  <c r="T119" i="78"/>
  <c r="AC118" i="77"/>
  <c r="Y119" i="76"/>
  <c r="X119" i="76"/>
  <c r="Z119" i="76"/>
  <c r="U119" i="76"/>
  <c r="AC119" i="76"/>
  <c r="AB119" i="76"/>
  <c r="W119" i="76"/>
  <c r="AA119" i="76"/>
  <c r="AD119" i="76"/>
  <c r="AB120" i="78" s="1"/>
  <c r="Q118" i="77"/>
  <c r="AC118" i="74"/>
  <c r="Q118" i="74"/>
  <c r="M119" i="76"/>
  <c r="K119" i="76"/>
  <c r="O119" i="76"/>
  <c r="L119" i="76"/>
  <c r="H119" i="76"/>
  <c r="N119" i="76"/>
  <c r="P119" i="76"/>
  <c r="Q119" i="76"/>
  <c r="P120" i="78" s="1"/>
  <c r="I119" i="76"/>
  <c r="J119" i="76"/>
  <c r="AA119" i="73"/>
  <c r="W119" i="73"/>
  <c r="AB119" i="73"/>
  <c r="X119" i="73"/>
  <c r="U119" i="73"/>
  <c r="AC119" i="73"/>
  <c r="V119" i="73"/>
  <c r="AD119" i="73"/>
  <c r="Z119" i="73"/>
  <c r="Y119" i="73"/>
  <c r="M119" i="73"/>
  <c r="H119" i="73"/>
  <c r="L119" i="73"/>
  <c r="I119" i="73"/>
  <c r="N119" i="73"/>
  <c r="K119" i="73"/>
  <c r="O119" i="73"/>
  <c r="J119" i="73"/>
  <c r="Q119" i="73"/>
  <c r="P119" i="73"/>
  <c r="AF119" i="76" l="1"/>
  <c r="AF119" i="73"/>
  <c r="S119" i="73"/>
  <c r="S119" i="76"/>
  <c r="AB120" i="75"/>
  <c r="P120" i="75"/>
  <c r="W119" i="77"/>
  <c r="I119" i="77"/>
  <c r="J119" i="77"/>
  <c r="M119" i="74"/>
  <c r="T119" i="75"/>
  <c r="T119" i="74"/>
  <c r="H119" i="78"/>
  <c r="H119" i="77"/>
  <c r="L119" i="77"/>
  <c r="Y119" i="77"/>
  <c r="U119" i="77"/>
  <c r="N119" i="74"/>
  <c r="Y119" i="74"/>
  <c r="V119" i="77"/>
  <c r="J119" i="74"/>
  <c r="H119" i="75"/>
  <c r="H119" i="74"/>
  <c r="S119" i="74"/>
  <c r="Z119" i="77"/>
  <c r="X119" i="74"/>
  <c r="N119" i="77"/>
  <c r="O119" i="74"/>
  <c r="G119" i="74"/>
  <c r="V119" i="74"/>
  <c r="M119" i="77"/>
  <c r="AA119" i="77"/>
  <c r="AA119" i="74"/>
  <c r="K119" i="74"/>
  <c r="O119" i="77"/>
  <c r="Z119" i="74"/>
  <c r="G119" i="77"/>
  <c r="S119" i="77"/>
  <c r="L119" i="74"/>
  <c r="I119" i="74"/>
  <c r="W119" i="74"/>
  <c r="U119" i="74"/>
  <c r="K119" i="77"/>
  <c r="X119" i="77"/>
  <c r="AE119" i="76"/>
  <c r="U120" i="76" a="1"/>
  <c r="AC120" i="76" s="1"/>
  <c r="R119" i="76"/>
  <c r="H120" i="76" a="1"/>
  <c r="R119" i="73"/>
  <c r="H120" i="73" a="1"/>
  <c r="AE119" i="73"/>
  <c r="U120" i="73" a="1"/>
  <c r="AA120" i="77" l="1"/>
  <c r="AC119" i="77"/>
  <c r="AB120" i="76"/>
  <c r="Z120" i="76"/>
  <c r="U120" i="76"/>
  <c r="W120" i="76"/>
  <c r="Y120" i="76"/>
  <c r="AD120" i="76"/>
  <c r="AB121" i="78" s="1"/>
  <c r="V120" i="76"/>
  <c r="X120" i="76"/>
  <c r="AA120" i="76"/>
  <c r="AC119" i="74"/>
  <c r="Q119" i="77"/>
  <c r="Q119" i="74"/>
  <c r="P120" i="76"/>
  <c r="O120" i="76"/>
  <c r="Q120" i="76"/>
  <c r="P121" i="78" s="1"/>
  <c r="J120" i="76"/>
  <c r="I120" i="76"/>
  <c r="K120" i="76"/>
  <c r="N120" i="76"/>
  <c r="L120" i="76"/>
  <c r="M120" i="76"/>
  <c r="H120" i="76"/>
  <c r="AB120" i="73"/>
  <c r="AC120" i="73"/>
  <c r="V120" i="73"/>
  <c r="Z120" i="73"/>
  <c r="U120" i="73"/>
  <c r="W120" i="73"/>
  <c r="AD120" i="73"/>
  <c r="AA120" i="73"/>
  <c r="Y120" i="73"/>
  <c r="X120" i="73"/>
  <c r="Q120" i="73"/>
  <c r="M120" i="73"/>
  <c r="I120" i="73"/>
  <c r="O120" i="73"/>
  <c r="N120" i="73"/>
  <c r="J120" i="73"/>
  <c r="P120" i="73"/>
  <c r="H120" i="73"/>
  <c r="L120" i="73"/>
  <c r="K120" i="73"/>
  <c r="AF120" i="73" l="1"/>
  <c r="S120" i="73"/>
  <c r="AF120" i="76"/>
  <c r="S120" i="76"/>
  <c r="P121" i="75"/>
  <c r="AB121" i="75"/>
  <c r="H120" i="75"/>
  <c r="H120" i="74"/>
  <c r="O120" i="74"/>
  <c r="W120" i="74"/>
  <c r="Z120" i="74"/>
  <c r="X120" i="77"/>
  <c r="I120" i="74"/>
  <c r="Y120" i="74"/>
  <c r="G120" i="77"/>
  <c r="N120" i="77"/>
  <c r="Y120" i="77"/>
  <c r="Z120" i="77"/>
  <c r="L120" i="77"/>
  <c r="O120" i="77"/>
  <c r="V120" i="77"/>
  <c r="M120" i="74"/>
  <c r="N120" i="74"/>
  <c r="U120" i="74"/>
  <c r="K120" i="77"/>
  <c r="T120" i="78"/>
  <c r="T120" i="77"/>
  <c r="M120" i="77"/>
  <c r="J120" i="74"/>
  <c r="L120" i="74"/>
  <c r="X120" i="74"/>
  <c r="J120" i="77"/>
  <c r="W120" i="77"/>
  <c r="S120" i="74"/>
  <c r="K120" i="74"/>
  <c r="T120" i="75"/>
  <c r="T120" i="74"/>
  <c r="H120" i="78"/>
  <c r="H120" i="77"/>
  <c r="U120" i="77"/>
  <c r="G120" i="74"/>
  <c r="V120" i="74"/>
  <c r="AA120" i="74"/>
  <c r="I120" i="77"/>
  <c r="S120" i="77"/>
  <c r="AE120" i="76"/>
  <c r="U121" i="76" a="1"/>
  <c r="W121" i="76" s="1"/>
  <c r="R120" i="76"/>
  <c r="H121" i="76" a="1"/>
  <c r="R120" i="73"/>
  <c r="H121" i="73" a="1"/>
  <c r="AE120" i="73"/>
  <c r="U121" i="73" a="1"/>
  <c r="U121" i="77" l="1"/>
  <c r="AC120" i="77"/>
  <c r="AD121" i="76"/>
  <c r="AB122" i="78" s="1"/>
  <c r="AA121" i="76"/>
  <c r="U121" i="76"/>
  <c r="AC121" i="76"/>
  <c r="AB121" i="76"/>
  <c r="Y121" i="76"/>
  <c r="V121" i="76"/>
  <c r="Z121" i="76"/>
  <c r="X121" i="76"/>
  <c r="Q120" i="77"/>
  <c r="AC120" i="74"/>
  <c r="Q120" i="74"/>
  <c r="M121" i="76"/>
  <c r="L121" i="76"/>
  <c r="P121" i="76"/>
  <c r="N121" i="76"/>
  <c r="Q121" i="76"/>
  <c r="P122" i="78" s="1"/>
  <c r="O121" i="76"/>
  <c r="H121" i="76"/>
  <c r="K121" i="76"/>
  <c r="I121" i="76"/>
  <c r="J121" i="76"/>
  <c r="Y121" i="73"/>
  <c r="AC121" i="73"/>
  <c r="Z121" i="73"/>
  <c r="AD121" i="73"/>
  <c r="AA121" i="73"/>
  <c r="AB121" i="73"/>
  <c r="U121" i="73"/>
  <c r="V121" i="73"/>
  <c r="W121" i="73"/>
  <c r="X121" i="73"/>
  <c r="P121" i="73"/>
  <c r="M121" i="73"/>
  <c r="H121" i="73"/>
  <c r="I121" i="73"/>
  <c r="Q121" i="73"/>
  <c r="J121" i="73"/>
  <c r="K121" i="73"/>
  <c r="N121" i="73"/>
  <c r="O121" i="73"/>
  <c r="L121" i="73"/>
  <c r="S121" i="76" l="1"/>
  <c r="AF121" i="73"/>
  <c r="S121" i="73"/>
  <c r="AF121" i="76"/>
  <c r="P122" i="75"/>
  <c r="AB122" i="75"/>
  <c r="K121" i="74"/>
  <c r="L121" i="74"/>
  <c r="V121" i="74"/>
  <c r="M121" i="77"/>
  <c r="S121" i="77"/>
  <c r="J121" i="74"/>
  <c r="U121" i="74"/>
  <c r="W121" i="74"/>
  <c r="O121" i="77"/>
  <c r="Y121" i="77"/>
  <c r="O121" i="74"/>
  <c r="M121" i="74"/>
  <c r="AA121" i="74"/>
  <c r="I121" i="74"/>
  <c r="T121" i="75"/>
  <c r="T121" i="74"/>
  <c r="I121" i="77"/>
  <c r="K121" i="77"/>
  <c r="V121" i="77"/>
  <c r="S121" i="74"/>
  <c r="H121" i="78"/>
  <c r="H121" i="77"/>
  <c r="L121" i="77"/>
  <c r="X121" i="77"/>
  <c r="H121" i="75"/>
  <c r="H121" i="74"/>
  <c r="Z121" i="74"/>
  <c r="J121" i="77"/>
  <c r="T121" i="78"/>
  <c r="T121" i="77"/>
  <c r="G121" i="74"/>
  <c r="Y121" i="74"/>
  <c r="G121" i="77"/>
  <c r="W121" i="77"/>
  <c r="N121" i="77"/>
  <c r="Z121" i="77"/>
  <c r="N121" i="74"/>
  <c r="X121" i="74"/>
  <c r="AA121" i="77"/>
  <c r="U122" i="76" a="1"/>
  <c r="AB122" i="76" s="1"/>
  <c r="Z122" i="77" s="1"/>
  <c r="AE121" i="76"/>
  <c r="H122" i="76" a="1"/>
  <c r="R121" i="76"/>
  <c r="R121" i="73"/>
  <c r="H122" i="73" a="1"/>
  <c r="U122" i="73" a="1"/>
  <c r="AE121" i="73"/>
  <c r="AC121" i="77" l="1"/>
  <c r="U122" i="76"/>
  <c r="Z122" i="76"/>
  <c r="AD122" i="76"/>
  <c r="AB123" i="78" s="1"/>
  <c r="Y122" i="76"/>
  <c r="X122" i="76"/>
  <c r="V122" i="76"/>
  <c r="AC122" i="76"/>
  <c r="W122" i="76"/>
  <c r="AA122" i="76"/>
  <c r="Q121" i="77"/>
  <c r="AC121" i="74"/>
  <c r="Q121" i="74"/>
  <c r="I122" i="76"/>
  <c r="Q122" i="76"/>
  <c r="P123" i="78" s="1"/>
  <c r="J122" i="76"/>
  <c r="K122" i="76"/>
  <c r="H122" i="76"/>
  <c r="M122" i="76"/>
  <c r="P122" i="76"/>
  <c r="L122" i="76"/>
  <c r="N122" i="76"/>
  <c r="O122" i="76"/>
  <c r="W122" i="73"/>
  <c r="AD122" i="73"/>
  <c r="X122" i="73"/>
  <c r="Y122" i="73"/>
  <c r="AB122" i="73"/>
  <c r="Z122" i="73"/>
  <c r="U122" i="73"/>
  <c r="AA122" i="73"/>
  <c r="AC122" i="73"/>
  <c r="V122" i="73"/>
  <c r="H122" i="73"/>
  <c r="I122" i="73"/>
  <c r="Q122" i="73"/>
  <c r="J122" i="73"/>
  <c r="K122" i="73"/>
  <c r="O122" i="73"/>
  <c r="L122" i="73"/>
  <c r="P122" i="73"/>
  <c r="M122" i="73"/>
  <c r="N122" i="73"/>
  <c r="S122" i="73" l="1"/>
  <c r="AF122" i="73"/>
  <c r="AF122" i="76"/>
  <c r="S122" i="76"/>
  <c r="P123" i="75"/>
  <c r="AB123" i="75"/>
  <c r="O122" i="74"/>
  <c r="T122" i="75"/>
  <c r="T122" i="74"/>
  <c r="K122" i="74"/>
  <c r="U122" i="74"/>
  <c r="I122" i="77"/>
  <c r="X122" i="77"/>
  <c r="Y122" i="77"/>
  <c r="S122" i="77"/>
  <c r="J122" i="77"/>
  <c r="N122" i="74"/>
  <c r="N122" i="77"/>
  <c r="J122" i="74"/>
  <c r="S122" i="74"/>
  <c r="M122" i="77"/>
  <c r="H122" i="78"/>
  <c r="H122" i="77"/>
  <c r="U122" i="77"/>
  <c r="Y122" i="74"/>
  <c r="I122" i="74"/>
  <c r="X122" i="74"/>
  <c r="K122" i="77"/>
  <c r="AA122" i="77"/>
  <c r="Z122" i="74"/>
  <c r="O122" i="77"/>
  <c r="T122" i="78"/>
  <c r="T122" i="77"/>
  <c r="AA122" i="74"/>
  <c r="M122" i="74"/>
  <c r="H122" i="75"/>
  <c r="H122" i="74"/>
  <c r="W122" i="74"/>
  <c r="L122" i="77"/>
  <c r="V122" i="77"/>
  <c r="L122" i="74"/>
  <c r="G122" i="74"/>
  <c r="V122" i="74"/>
  <c r="G122" i="77"/>
  <c r="W122" i="77"/>
  <c r="U123" i="76" a="1"/>
  <c r="V123" i="76" s="1"/>
  <c r="T123" i="77" s="1"/>
  <c r="AE122" i="76"/>
  <c r="H123" i="76" a="1"/>
  <c r="R122" i="76"/>
  <c r="R122" i="73"/>
  <c r="H123" i="73" a="1"/>
  <c r="AE122" i="73"/>
  <c r="U123" i="73" a="1"/>
  <c r="T123" i="78" l="1"/>
  <c r="AC123" i="76"/>
  <c r="AB123" i="76"/>
  <c r="U123" i="76"/>
  <c r="AA123" i="76"/>
  <c r="Y123" i="76"/>
  <c r="X123" i="76"/>
  <c r="Z123" i="76"/>
  <c r="W123" i="76"/>
  <c r="AD123" i="76"/>
  <c r="AB124" i="78" s="1"/>
  <c r="AC122" i="77"/>
  <c r="Q122" i="77"/>
  <c r="AC122" i="74"/>
  <c r="Q122" i="74"/>
  <c r="N123" i="76"/>
  <c r="I123" i="76"/>
  <c r="Q123" i="76"/>
  <c r="P124" i="78" s="1"/>
  <c r="O123" i="76"/>
  <c r="P123" i="76"/>
  <c r="K123" i="76"/>
  <c r="H123" i="76"/>
  <c r="L123" i="76"/>
  <c r="J123" i="76"/>
  <c r="M123" i="76"/>
  <c r="AB123" i="73"/>
  <c r="AA123" i="73"/>
  <c r="W123" i="73"/>
  <c r="AC123" i="73"/>
  <c r="X123" i="73"/>
  <c r="AD123" i="73"/>
  <c r="Y123" i="73"/>
  <c r="Z123" i="73"/>
  <c r="U123" i="73"/>
  <c r="V123" i="73"/>
  <c r="O123" i="73"/>
  <c r="M123" i="73"/>
  <c r="J123" i="73"/>
  <c r="H123" i="73"/>
  <c r="P123" i="73"/>
  <c r="L123" i="73"/>
  <c r="I123" i="73"/>
  <c r="Q123" i="73"/>
  <c r="N123" i="73"/>
  <c r="K123" i="73"/>
  <c r="AF123" i="73" l="1"/>
  <c r="AF123" i="76"/>
  <c r="S123" i="73"/>
  <c r="S123" i="76"/>
  <c r="AB124" i="75"/>
  <c r="P124" i="75"/>
  <c r="S123" i="77"/>
  <c r="T123" i="75"/>
  <c r="T123" i="74"/>
  <c r="Y123" i="74"/>
  <c r="N123" i="77"/>
  <c r="Y123" i="77"/>
  <c r="H123" i="75"/>
  <c r="H123" i="74"/>
  <c r="S123" i="74"/>
  <c r="Z123" i="74"/>
  <c r="K123" i="74"/>
  <c r="X123" i="74"/>
  <c r="L123" i="77"/>
  <c r="H123" i="78"/>
  <c r="H123" i="77"/>
  <c r="Z123" i="77"/>
  <c r="AA123" i="77"/>
  <c r="K123" i="77"/>
  <c r="U123" i="77"/>
  <c r="W123" i="74"/>
  <c r="X123" i="77"/>
  <c r="M123" i="77"/>
  <c r="I123" i="74"/>
  <c r="J123" i="77"/>
  <c r="O123" i="74"/>
  <c r="I123" i="77"/>
  <c r="G123" i="74"/>
  <c r="V123" i="74"/>
  <c r="G123" i="77"/>
  <c r="J123" i="74"/>
  <c r="L123" i="74"/>
  <c r="AA123" i="74"/>
  <c r="V123" i="77"/>
  <c r="M123" i="74"/>
  <c r="N123" i="74"/>
  <c r="U123" i="74"/>
  <c r="O123" i="77"/>
  <c r="W123" i="77"/>
  <c r="U124" i="76" a="1"/>
  <c r="AC124" i="76" s="1"/>
  <c r="AA124" i="77" s="1"/>
  <c r="AE123" i="76"/>
  <c r="H124" i="76" a="1"/>
  <c r="R123" i="76"/>
  <c r="R123" i="73"/>
  <c r="H124" i="73" a="1"/>
  <c r="U124" i="73" a="1"/>
  <c r="AE123" i="73"/>
  <c r="W124" i="76" l="1"/>
  <c r="AC123" i="77"/>
  <c r="Y124" i="76"/>
  <c r="X124" i="76"/>
  <c r="AA124" i="76"/>
  <c r="AD124" i="76"/>
  <c r="AB125" i="78" s="1"/>
  <c r="V124" i="76"/>
  <c r="AB124" i="76"/>
  <c r="U124" i="76"/>
  <c r="Z124" i="76"/>
  <c r="Q123" i="77"/>
  <c r="AC123" i="74"/>
  <c r="Q123" i="74"/>
  <c r="H124" i="76"/>
  <c r="P124" i="76"/>
  <c r="I124" i="76"/>
  <c r="Q124" i="76"/>
  <c r="P125" i="78" s="1"/>
  <c r="L124" i="76"/>
  <c r="J124" i="76"/>
  <c r="N124" i="76"/>
  <c r="K124" i="76"/>
  <c r="O124" i="76"/>
  <c r="M124" i="76"/>
  <c r="J124" i="73"/>
  <c r="K124" i="73"/>
  <c r="M124" i="73"/>
  <c r="L124" i="73"/>
  <c r="H124" i="73"/>
  <c r="Q124" i="73"/>
  <c r="N124" i="73"/>
  <c r="P124" i="73"/>
  <c r="I124" i="73"/>
  <c r="O124" i="73"/>
  <c r="Z124" i="73"/>
  <c r="V124" i="73"/>
  <c r="AA124" i="73"/>
  <c r="X124" i="73"/>
  <c r="W124" i="73"/>
  <c r="AB124" i="73"/>
  <c r="AD124" i="73"/>
  <c r="U124" i="73"/>
  <c r="AC124" i="73"/>
  <c r="Y124" i="73"/>
  <c r="S124" i="73" l="1"/>
  <c r="AF124" i="73"/>
  <c r="AF124" i="76"/>
  <c r="S124" i="76"/>
  <c r="P125" i="75"/>
  <c r="AB125" i="75"/>
  <c r="Y124" i="77"/>
  <c r="H124" i="75"/>
  <c r="H124" i="74"/>
  <c r="I124" i="74"/>
  <c r="V124" i="77"/>
  <c r="X124" i="74"/>
  <c r="H124" i="78"/>
  <c r="H124" i="77"/>
  <c r="Z124" i="74"/>
  <c r="O124" i="74"/>
  <c r="L124" i="77"/>
  <c r="O124" i="77"/>
  <c r="W124" i="77"/>
  <c r="U124" i="74"/>
  <c r="M124" i="74"/>
  <c r="N124" i="77"/>
  <c r="G124" i="77"/>
  <c r="X124" i="77"/>
  <c r="J124" i="77"/>
  <c r="S124" i="77"/>
  <c r="U124" i="77"/>
  <c r="M124" i="77"/>
  <c r="Z124" i="77"/>
  <c r="L124" i="74"/>
  <c r="K124" i="77"/>
  <c r="S124" i="74"/>
  <c r="N124" i="74"/>
  <c r="J124" i="74"/>
  <c r="V124" i="74"/>
  <c r="Y124" i="74"/>
  <c r="G124" i="74"/>
  <c r="W124" i="74"/>
  <c r="T124" i="75"/>
  <c r="T124" i="74"/>
  <c r="K124" i="74"/>
  <c r="I124" i="77"/>
  <c r="T124" i="78"/>
  <c r="T124" i="77"/>
  <c r="AA124" i="74"/>
  <c r="U125" i="76" a="1"/>
  <c r="X125" i="76" s="1"/>
  <c r="V125" i="77" s="1"/>
  <c r="AE124" i="76"/>
  <c r="H125" i="76" a="1"/>
  <c r="R124" i="76"/>
  <c r="R124" i="73"/>
  <c r="H125" i="73" a="1"/>
  <c r="U125" i="73" a="1"/>
  <c r="AE124" i="73"/>
  <c r="Z125" i="76" l="1"/>
  <c r="AB125" i="76"/>
  <c r="AA125" i="76"/>
  <c r="W125" i="76"/>
  <c r="AD125" i="76"/>
  <c r="AB126" i="78" s="1"/>
  <c r="U125" i="76"/>
  <c r="Y125" i="76"/>
  <c r="AC125" i="76"/>
  <c r="V125" i="76"/>
  <c r="AC124" i="77"/>
  <c r="Q124" i="77"/>
  <c r="AC124" i="74"/>
  <c r="Q124" i="74"/>
  <c r="N125" i="76"/>
  <c r="H125" i="76"/>
  <c r="I125" i="76"/>
  <c r="M125" i="76"/>
  <c r="K125" i="76"/>
  <c r="Q125" i="76"/>
  <c r="P126" i="78" s="1"/>
  <c r="P125" i="76"/>
  <c r="L125" i="76"/>
  <c r="J125" i="76"/>
  <c r="O125" i="76"/>
  <c r="U125" i="73"/>
  <c r="Y125" i="73"/>
  <c r="AC125" i="73"/>
  <c r="Z125" i="73"/>
  <c r="V125" i="73"/>
  <c r="AD125" i="73"/>
  <c r="W125" i="73"/>
  <c r="X125" i="73"/>
  <c r="AA125" i="73"/>
  <c r="AB125" i="73"/>
  <c r="J125" i="73"/>
  <c r="K125" i="73"/>
  <c r="I125" i="73"/>
  <c r="O125" i="73"/>
  <c r="P125" i="73"/>
  <c r="Q125" i="73"/>
  <c r="L125" i="73"/>
  <c r="H125" i="73"/>
  <c r="M125" i="73"/>
  <c r="N125" i="73"/>
  <c r="AF125" i="73" l="1"/>
  <c r="S125" i="73"/>
  <c r="S125" i="76"/>
  <c r="AF125" i="76"/>
  <c r="AB126" i="75"/>
  <c r="P126" i="75"/>
  <c r="K125" i="74"/>
  <c r="Y125" i="74"/>
  <c r="S125" i="74"/>
  <c r="H125" i="78"/>
  <c r="H125" i="77"/>
  <c r="U125" i="77"/>
  <c r="V125" i="74"/>
  <c r="N125" i="77"/>
  <c r="G125" i="77"/>
  <c r="Y125" i="77"/>
  <c r="Z125" i="74"/>
  <c r="W125" i="74"/>
  <c r="L125" i="77"/>
  <c r="O125" i="74"/>
  <c r="U125" i="74"/>
  <c r="I125" i="77"/>
  <c r="M125" i="77"/>
  <c r="Z125" i="77"/>
  <c r="K125" i="77"/>
  <c r="T125" i="78"/>
  <c r="T125" i="77"/>
  <c r="X125" i="77"/>
  <c r="N125" i="74"/>
  <c r="H125" i="75"/>
  <c r="H125" i="74"/>
  <c r="T125" i="75"/>
  <c r="T125" i="74"/>
  <c r="O125" i="77"/>
  <c r="AA125" i="77"/>
  <c r="G125" i="74"/>
  <c r="M125" i="74"/>
  <c r="J125" i="74"/>
  <c r="X125" i="74"/>
  <c r="W125" i="77"/>
  <c r="L125" i="74"/>
  <c r="I125" i="74"/>
  <c r="AA125" i="74"/>
  <c r="J125" i="77"/>
  <c r="S125" i="77"/>
  <c r="U126" i="76" a="1"/>
  <c r="W126" i="76" s="1"/>
  <c r="AE125" i="76"/>
  <c r="R125" i="76"/>
  <c r="H126" i="76" a="1"/>
  <c r="H126" i="73" a="1"/>
  <c r="R125" i="73"/>
  <c r="U126" i="73" a="1"/>
  <c r="AE125" i="73"/>
  <c r="U126" i="77" l="1"/>
  <c r="V126" i="76"/>
  <c r="AC126" i="76"/>
  <c r="U126" i="76"/>
  <c r="Y126" i="76"/>
  <c r="AB126" i="76"/>
  <c r="Z126" i="76"/>
  <c r="X126" i="76"/>
  <c r="AD126" i="76"/>
  <c r="AB127" i="78" s="1"/>
  <c r="AA126" i="76"/>
  <c r="AC125" i="77"/>
  <c r="AC125" i="74"/>
  <c r="Q125" i="77"/>
  <c r="Q125" i="74"/>
  <c r="O126" i="76"/>
  <c r="J126" i="76"/>
  <c r="I126" i="76"/>
  <c r="K126" i="76"/>
  <c r="M126" i="76"/>
  <c r="P126" i="76"/>
  <c r="Q126" i="76"/>
  <c r="P127" i="78" s="1"/>
  <c r="L126" i="76"/>
  <c r="H126" i="76"/>
  <c r="N126" i="76"/>
  <c r="W126" i="73"/>
  <c r="X126" i="73"/>
  <c r="AB126" i="73"/>
  <c r="Y126" i="73"/>
  <c r="AC126" i="73"/>
  <c r="Z126" i="73"/>
  <c r="AD126" i="73"/>
  <c r="AA126" i="73"/>
  <c r="V126" i="73"/>
  <c r="U126" i="73"/>
  <c r="M126" i="73"/>
  <c r="N126" i="73"/>
  <c r="K126" i="73"/>
  <c r="I126" i="73"/>
  <c r="J126" i="73"/>
  <c r="O126" i="73"/>
  <c r="H126" i="73"/>
  <c r="L126" i="73"/>
  <c r="P126" i="73"/>
  <c r="Q126" i="73"/>
  <c r="AF126" i="73" l="1"/>
  <c r="AF126" i="76"/>
  <c r="S126" i="73"/>
  <c r="S126" i="76"/>
  <c r="AB127" i="75"/>
  <c r="P127" i="75"/>
  <c r="I126" i="74"/>
  <c r="AA126" i="74"/>
  <c r="G126" i="74"/>
  <c r="T126" i="75"/>
  <c r="T126" i="74"/>
  <c r="U126" i="74"/>
  <c r="H126" i="78"/>
  <c r="H126" i="77"/>
  <c r="W126" i="77"/>
  <c r="N126" i="74"/>
  <c r="Y126" i="74"/>
  <c r="M126" i="77"/>
  <c r="I126" i="77"/>
  <c r="S126" i="77"/>
  <c r="G126" i="77"/>
  <c r="N126" i="77"/>
  <c r="Y126" i="77"/>
  <c r="AA126" i="77"/>
  <c r="K126" i="77"/>
  <c r="T126" i="78"/>
  <c r="T126" i="77"/>
  <c r="V126" i="77"/>
  <c r="H126" i="75"/>
  <c r="H126" i="74"/>
  <c r="J126" i="74"/>
  <c r="M126" i="74"/>
  <c r="X126" i="77"/>
  <c r="X126" i="74"/>
  <c r="O126" i="77"/>
  <c r="O126" i="74"/>
  <c r="L126" i="74"/>
  <c r="Z126" i="74"/>
  <c r="L126" i="77"/>
  <c r="W126" i="74"/>
  <c r="K126" i="74"/>
  <c r="S126" i="74"/>
  <c r="V126" i="74"/>
  <c r="J126" i="77"/>
  <c r="Z126" i="77"/>
  <c r="AE126" i="76"/>
  <c r="U127" i="76" a="1"/>
  <c r="V127" i="76" s="1"/>
  <c r="H127" i="76" a="1"/>
  <c r="R126" i="76"/>
  <c r="R126" i="73"/>
  <c r="H127" i="73" a="1"/>
  <c r="U127" i="73" a="1"/>
  <c r="AE126" i="73"/>
  <c r="T127" i="77" l="1"/>
  <c r="T127" i="78"/>
  <c r="AC126" i="77"/>
  <c r="X127" i="76"/>
  <c r="U127" i="76"/>
  <c r="W127" i="76"/>
  <c r="AB127" i="76"/>
  <c r="AC127" i="76"/>
  <c r="AD127" i="76"/>
  <c r="AB128" i="78" s="1"/>
  <c r="AA127" i="76"/>
  <c r="Z127" i="76"/>
  <c r="Y127" i="76"/>
  <c r="Q126" i="77"/>
  <c r="AC126" i="74"/>
  <c r="Q126" i="74"/>
  <c r="Q127" i="76"/>
  <c r="P128" i="78" s="1"/>
  <c r="J127" i="76"/>
  <c r="M127" i="76"/>
  <c r="K127" i="76"/>
  <c r="O127" i="76"/>
  <c r="L127" i="76"/>
  <c r="H127" i="76"/>
  <c r="N127" i="76"/>
  <c r="P127" i="76"/>
  <c r="I127" i="76"/>
  <c r="AB127" i="73"/>
  <c r="Z127" i="73"/>
  <c r="U127" i="73"/>
  <c r="AC127" i="73"/>
  <c r="W127" i="73"/>
  <c r="AA127" i="73"/>
  <c r="V127" i="73"/>
  <c r="AD127" i="73"/>
  <c r="X127" i="73"/>
  <c r="Y127" i="73"/>
  <c r="K127" i="73"/>
  <c r="O127" i="73"/>
  <c r="L127" i="73"/>
  <c r="I127" i="73"/>
  <c r="M127" i="73"/>
  <c r="P127" i="73"/>
  <c r="J127" i="73"/>
  <c r="Q127" i="73"/>
  <c r="H127" i="73"/>
  <c r="N127" i="73"/>
  <c r="S127" i="73" l="1"/>
  <c r="AF127" i="73"/>
  <c r="AF127" i="76"/>
  <c r="S127" i="76"/>
  <c r="AB128" i="75"/>
  <c r="P128" i="75"/>
  <c r="H127" i="78"/>
  <c r="H127" i="77"/>
  <c r="I127" i="77"/>
  <c r="W127" i="77"/>
  <c r="S127" i="77"/>
  <c r="X127" i="77"/>
  <c r="V127" i="77"/>
  <c r="I127" i="74"/>
  <c r="V127" i="74"/>
  <c r="L127" i="77"/>
  <c r="O127" i="74"/>
  <c r="L127" i="74"/>
  <c r="T127" i="75"/>
  <c r="T127" i="74"/>
  <c r="O127" i="77"/>
  <c r="H127" i="75"/>
  <c r="H127" i="74"/>
  <c r="Y127" i="74"/>
  <c r="M127" i="77"/>
  <c r="Y127" i="77"/>
  <c r="K127" i="74"/>
  <c r="U127" i="74"/>
  <c r="G127" i="77"/>
  <c r="M127" i="74"/>
  <c r="N127" i="74"/>
  <c r="AA127" i="74"/>
  <c r="K127" i="77"/>
  <c r="AA127" i="77"/>
  <c r="Z127" i="74"/>
  <c r="G127" i="74"/>
  <c r="J127" i="74"/>
  <c r="S127" i="74"/>
  <c r="N127" i="77"/>
  <c r="Z127" i="77"/>
  <c r="W127" i="74"/>
  <c r="X127" i="74"/>
  <c r="J127" i="77"/>
  <c r="U127" i="77"/>
  <c r="AE127" i="76"/>
  <c r="U128" i="76" a="1"/>
  <c r="V128" i="76" s="1"/>
  <c r="R127" i="76"/>
  <c r="H128" i="76" a="1"/>
  <c r="H128" i="73" a="1"/>
  <c r="R127" i="73"/>
  <c r="U128" i="73" a="1"/>
  <c r="AE127" i="73"/>
  <c r="T128" i="78" l="1"/>
  <c r="T128" i="77"/>
  <c r="AC127" i="77"/>
  <c r="AA128" i="76"/>
  <c r="U128" i="76"/>
  <c r="AB128" i="76"/>
  <c r="Z128" i="76"/>
  <c r="AC128" i="76"/>
  <c r="X128" i="76"/>
  <c r="W128" i="76"/>
  <c r="AD128" i="76"/>
  <c r="AB129" i="78" s="1"/>
  <c r="Y128" i="76"/>
  <c r="Q127" i="77"/>
  <c r="AC127" i="74"/>
  <c r="Q127" i="74"/>
  <c r="H128" i="76"/>
  <c r="P128" i="76"/>
  <c r="Q128" i="76"/>
  <c r="P129" i="78" s="1"/>
  <c r="N128" i="76"/>
  <c r="J128" i="76"/>
  <c r="I128" i="76"/>
  <c r="K128" i="76"/>
  <c r="O128" i="76"/>
  <c r="L128" i="76"/>
  <c r="M128" i="76"/>
  <c r="Y128" i="73"/>
  <c r="U128" i="73"/>
  <c r="AB128" i="73"/>
  <c r="Z128" i="73"/>
  <c r="W128" i="73"/>
  <c r="X128" i="73"/>
  <c r="V128" i="73"/>
  <c r="AD128" i="73"/>
  <c r="AC128" i="73"/>
  <c r="AA128" i="73"/>
  <c r="M128" i="73"/>
  <c r="L128" i="73"/>
  <c r="N128" i="73"/>
  <c r="Q128" i="73"/>
  <c r="O128" i="73"/>
  <c r="H128" i="73"/>
  <c r="P128" i="73"/>
  <c r="I128" i="73"/>
  <c r="J128" i="73"/>
  <c r="K128" i="73"/>
  <c r="S128" i="73" l="1"/>
  <c r="AF128" i="73"/>
  <c r="AF128" i="76"/>
  <c r="S128" i="76"/>
  <c r="P129" i="75"/>
  <c r="AB129" i="75"/>
  <c r="L128" i="77"/>
  <c r="O128" i="77"/>
  <c r="W128" i="77"/>
  <c r="Y128" i="77"/>
  <c r="V128" i="74"/>
  <c r="N128" i="77"/>
  <c r="U128" i="77"/>
  <c r="O128" i="74"/>
  <c r="AA128" i="74"/>
  <c r="N128" i="74"/>
  <c r="S128" i="77"/>
  <c r="K128" i="77"/>
  <c r="M128" i="74"/>
  <c r="U128" i="74"/>
  <c r="J128" i="77"/>
  <c r="V128" i="77"/>
  <c r="J128" i="74"/>
  <c r="K128" i="74"/>
  <c r="X128" i="74"/>
  <c r="H128" i="78"/>
  <c r="H128" i="77"/>
  <c r="AA128" i="77"/>
  <c r="T128" i="75"/>
  <c r="T128" i="74"/>
  <c r="G128" i="77"/>
  <c r="I128" i="77"/>
  <c r="X128" i="77"/>
  <c r="W128" i="74"/>
  <c r="G128" i="74"/>
  <c r="I128" i="74"/>
  <c r="L128" i="74"/>
  <c r="Z128" i="74"/>
  <c r="H128" i="75"/>
  <c r="H128" i="74"/>
  <c r="Y128" i="74"/>
  <c r="S128" i="74"/>
  <c r="M128" i="77"/>
  <c r="Z128" i="77"/>
  <c r="AE128" i="76"/>
  <c r="U129" i="76" a="1"/>
  <c r="Y129" i="76" s="1"/>
  <c r="R128" i="76"/>
  <c r="H129" i="76" a="1"/>
  <c r="AE128" i="73"/>
  <c r="U129" i="73" a="1"/>
  <c r="R128" i="73"/>
  <c r="H129" i="73" a="1"/>
  <c r="W129" i="77" l="1"/>
  <c r="U129" i="76"/>
  <c r="X129" i="76"/>
  <c r="AD129" i="76"/>
  <c r="AB130" i="78" s="1"/>
  <c r="V129" i="76"/>
  <c r="AC128" i="77"/>
  <c r="Z129" i="76"/>
  <c r="AC129" i="76"/>
  <c r="AA129" i="76"/>
  <c r="W129" i="76"/>
  <c r="AB129" i="76"/>
  <c r="AC128" i="74"/>
  <c r="Q128" i="77"/>
  <c r="Q128" i="74"/>
  <c r="P129" i="76"/>
  <c r="J129" i="76"/>
  <c r="K129" i="76"/>
  <c r="L129" i="76"/>
  <c r="O129" i="76"/>
  <c r="M129" i="76"/>
  <c r="Q129" i="76"/>
  <c r="P130" i="78" s="1"/>
  <c r="N129" i="76"/>
  <c r="I129" i="76"/>
  <c r="H129" i="76"/>
  <c r="M129" i="73"/>
  <c r="H129" i="73"/>
  <c r="N129" i="73"/>
  <c r="P129" i="73"/>
  <c r="O129" i="73"/>
  <c r="I129" i="73"/>
  <c r="L129" i="73"/>
  <c r="Q129" i="73"/>
  <c r="J129" i="73"/>
  <c r="K129" i="73"/>
  <c r="W129" i="73"/>
  <c r="X129" i="73"/>
  <c r="AC129" i="73"/>
  <c r="AD129" i="73"/>
  <c r="Y129" i="73"/>
  <c r="U129" i="73"/>
  <c r="Z129" i="73"/>
  <c r="V129" i="73"/>
  <c r="AB129" i="73"/>
  <c r="AA129" i="73"/>
  <c r="AF129" i="73" l="1"/>
  <c r="S129" i="73"/>
  <c r="AF129" i="76"/>
  <c r="S129" i="76"/>
  <c r="P130" i="75"/>
  <c r="AB130" i="75"/>
  <c r="S129" i="74"/>
  <c r="G129" i="77"/>
  <c r="I129" i="77"/>
  <c r="Z129" i="77"/>
  <c r="V129" i="77"/>
  <c r="W129" i="74"/>
  <c r="K129" i="74"/>
  <c r="H129" i="78"/>
  <c r="H129" i="77"/>
  <c r="O129" i="77"/>
  <c r="U129" i="77"/>
  <c r="S129" i="77"/>
  <c r="H129" i="75"/>
  <c r="H129" i="74"/>
  <c r="M129" i="77"/>
  <c r="Y129" i="77"/>
  <c r="N129" i="74"/>
  <c r="X129" i="77"/>
  <c r="X129" i="74"/>
  <c r="I129" i="74"/>
  <c r="L129" i="74"/>
  <c r="J129" i="77"/>
  <c r="AA129" i="74"/>
  <c r="AA129" i="77"/>
  <c r="Y129" i="74"/>
  <c r="U129" i="74"/>
  <c r="V129" i="74"/>
  <c r="O129" i="74"/>
  <c r="L129" i="77"/>
  <c r="Z129" i="74"/>
  <c r="M129" i="74"/>
  <c r="N129" i="77"/>
  <c r="T129" i="75"/>
  <c r="T129" i="74"/>
  <c r="J129" i="74"/>
  <c r="G129" i="74"/>
  <c r="K129" i="77"/>
  <c r="T129" i="78"/>
  <c r="T129" i="77"/>
  <c r="U130" i="76" a="1"/>
  <c r="AB130" i="76" s="1"/>
  <c r="Z130" i="77" s="1"/>
  <c r="AE129" i="76"/>
  <c r="H130" i="76" a="1"/>
  <c r="R129" i="76"/>
  <c r="U130" i="73" a="1"/>
  <c r="AE129" i="73"/>
  <c r="R129" i="73"/>
  <c r="H130" i="73" a="1"/>
  <c r="Z131" i="77" l="1"/>
  <c r="Z130" i="76"/>
  <c r="AD130" i="76"/>
  <c r="AB131" i="78" s="1"/>
  <c r="W130" i="76"/>
  <c r="X130" i="76"/>
  <c r="AC130" i="76"/>
  <c r="Y130" i="76"/>
  <c r="V130" i="76"/>
  <c r="AA130" i="76"/>
  <c r="U130" i="76"/>
  <c r="AC129" i="77"/>
  <c r="AC129" i="74"/>
  <c r="Q129" i="77"/>
  <c r="Q129" i="74"/>
  <c r="H130" i="76"/>
  <c r="J130" i="76"/>
  <c r="I130" i="76"/>
  <c r="Q130" i="76"/>
  <c r="P131" i="78" s="1"/>
  <c r="P130" i="76"/>
  <c r="L130" i="76"/>
  <c r="K130" i="76"/>
  <c r="M130" i="76"/>
  <c r="O130" i="76"/>
  <c r="N130" i="76"/>
  <c r="N130" i="73"/>
  <c r="I130" i="73"/>
  <c r="L130" i="73"/>
  <c r="M130" i="73"/>
  <c r="J130" i="73"/>
  <c r="O130" i="73"/>
  <c r="H130" i="73"/>
  <c r="P130" i="73"/>
  <c r="K130" i="73"/>
  <c r="Q130" i="73"/>
  <c r="AD130" i="73"/>
  <c r="W130" i="73"/>
  <c r="V130" i="73"/>
  <c r="Z130" i="73"/>
  <c r="AA130" i="73"/>
  <c r="AB130" i="73"/>
  <c r="X130" i="73"/>
  <c r="AC130" i="73"/>
  <c r="U130" i="73"/>
  <c r="Y130" i="73"/>
  <c r="AF130" i="73" l="1"/>
  <c r="S130" i="73"/>
  <c r="AF130" i="76"/>
  <c r="S130" i="76"/>
  <c r="AB131" i="75"/>
  <c r="P131" i="75"/>
  <c r="S131" i="74"/>
  <c r="S130" i="74"/>
  <c r="AA131" i="74"/>
  <c r="AA130" i="74"/>
  <c r="J131" i="74"/>
  <c r="J130" i="74"/>
  <c r="M131" i="74"/>
  <c r="M130" i="74"/>
  <c r="H131" i="78"/>
  <c r="H131" i="77"/>
  <c r="H130" i="78"/>
  <c r="H130" i="77"/>
  <c r="V131" i="77"/>
  <c r="V130" i="77"/>
  <c r="AA131" i="77"/>
  <c r="AA130" i="77"/>
  <c r="V131" i="74"/>
  <c r="V130" i="74"/>
  <c r="Z131" i="74"/>
  <c r="Z130" i="74"/>
  <c r="O131" i="74"/>
  <c r="O130" i="74"/>
  <c r="M131" i="77"/>
  <c r="M130" i="77"/>
  <c r="I131" i="77"/>
  <c r="I130" i="77"/>
  <c r="U131" i="77"/>
  <c r="U130" i="77"/>
  <c r="H131" i="75"/>
  <c r="H131" i="74"/>
  <c r="H130" i="74"/>
  <c r="H130" i="75"/>
  <c r="Y131" i="74"/>
  <c r="Y130" i="74"/>
  <c r="G131" i="74"/>
  <c r="G130" i="74"/>
  <c r="N131" i="77"/>
  <c r="N130" i="77"/>
  <c r="G131" i="77"/>
  <c r="G130" i="77"/>
  <c r="X131" i="74"/>
  <c r="X130" i="74"/>
  <c r="N131" i="74"/>
  <c r="N130" i="74"/>
  <c r="L131" i="77"/>
  <c r="L130" i="77"/>
  <c r="S131" i="77"/>
  <c r="S130" i="77"/>
  <c r="X131" i="77"/>
  <c r="X130" i="77"/>
  <c r="T131" i="75"/>
  <c r="T131" i="74"/>
  <c r="T130" i="75"/>
  <c r="T130" i="74"/>
  <c r="I131" i="74"/>
  <c r="I130" i="74"/>
  <c r="J131" i="77"/>
  <c r="J130" i="77"/>
  <c r="Y131" i="77"/>
  <c r="Y130" i="77"/>
  <c r="W131" i="74"/>
  <c r="W130" i="74"/>
  <c r="U131" i="74"/>
  <c r="U130" i="74"/>
  <c r="L131" i="74"/>
  <c r="L130" i="74"/>
  <c r="K131" i="77"/>
  <c r="K130" i="77"/>
  <c r="T131" i="77"/>
  <c r="T131" i="78"/>
  <c r="T130" i="78"/>
  <c r="T130" i="77"/>
  <c r="K131" i="74"/>
  <c r="K130" i="74"/>
  <c r="O131" i="77"/>
  <c r="O130" i="77"/>
  <c r="W131" i="77"/>
  <c r="W130" i="77"/>
  <c r="AE130" i="76"/>
  <c r="R130" i="76"/>
  <c r="AE130" i="73"/>
  <c r="R130" i="73"/>
  <c r="AC130" i="77" l="1"/>
  <c r="AC131" i="77"/>
  <c r="AC130" i="74"/>
  <c r="Q130" i="77"/>
  <c r="Q130" i="74"/>
  <c r="Q131" i="77"/>
  <c r="Q131" i="74"/>
  <c r="AC131" i="74"/>
  <c r="AB5" i="77" l="1" a="1"/>
  <c r="AB5" i="77" s="1"/>
  <c r="P5" i="77" a="1"/>
  <c r="P5" i="77" s="1"/>
  <c r="AB5" i="74" a="1"/>
  <c r="AB5" i="74" s="1"/>
  <c r="P5" i="74" a="1"/>
  <c r="P5" i="74" s="1"/>
  <c r="R5" i="76" a="1"/>
  <c r="R5" i="76" s="1"/>
  <c r="AE5" i="73" a="1"/>
  <c r="AE5" i="73" s="1"/>
  <c r="R5" i="73" a="1"/>
  <c r="R5" i="73" s="1"/>
  <c r="H5" i="77" a="1"/>
  <c r="H5" i="77" s="1"/>
  <c r="U5" i="74" a="1"/>
  <c r="U5" i="74" s="1"/>
  <c r="X5" i="74" a="1"/>
  <c r="X5" i="74" s="1"/>
  <c r="L5" i="74" a="1"/>
  <c r="L5" i="74" s="1"/>
  <c r="G5" i="77" a="1"/>
  <c r="G5" i="77" s="1"/>
  <c r="Y5" i="74" a="1"/>
  <c r="Y5" i="74" s="1"/>
  <c r="AB5" i="75" a="1"/>
  <c r="AB5" i="75" s="1"/>
  <c r="I5" i="77" a="1"/>
  <c r="I5" i="77" s="1"/>
  <c r="AA5" i="74" a="1"/>
  <c r="AA5" i="74" s="1"/>
  <c r="H5" i="78" a="1"/>
  <c r="H5" i="78" s="1"/>
  <c r="M5" i="77" a="1"/>
  <c r="M5" i="77" s="1"/>
  <c r="P5" i="78" a="1"/>
  <c r="P5" i="78" s="1"/>
  <c r="N5" i="77" a="1"/>
  <c r="N5" i="77" s="1"/>
  <c r="O5" i="77" a="1"/>
  <c r="O5" i="77" s="1"/>
  <c r="G5" i="74" a="1"/>
  <c r="G5" i="74" s="1"/>
  <c r="T5" i="74" a="1"/>
  <c r="T5" i="74" s="1"/>
  <c r="T5" i="75" a="1"/>
  <c r="T5" i="75" s="1"/>
  <c r="P5" i="75" a="1"/>
  <c r="P5" i="75" s="1"/>
  <c r="N5" i="74" a="1"/>
  <c r="N5" i="74" s="1"/>
  <c r="M5" i="74" a="1"/>
  <c r="M5" i="74" s="1"/>
  <c r="L5" i="77" a="1"/>
  <c r="L5" i="77" s="1"/>
  <c r="J5" i="74" a="1"/>
  <c r="J5" i="74" s="1"/>
  <c r="H5" i="75" a="1"/>
  <c r="H5" i="75" s="1"/>
  <c r="Z5" i="74" a="1"/>
  <c r="Z5" i="74" s="1"/>
  <c r="O5" i="74" a="1"/>
  <c r="O5" i="74" s="1"/>
  <c r="AE5" i="76" a="1"/>
  <c r="AE5" i="76" s="1"/>
  <c r="W5" i="74" a="1"/>
  <c r="W5" i="74" s="1"/>
  <c r="H5" i="74" a="1"/>
  <c r="H5" i="74" s="1"/>
  <c r="V5" i="74" a="1"/>
  <c r="V5" i="74" s="1"/>
  <c r="I5" i="74" a="1"/>
  <c r="I5" i="74" s="1"/>
  <c r="K5" i="74" a="1"/>
  <c r="K5" i="74" s="1"/>
  <c r="K5" i="77" a="1"/>
  <c r="K5" i="77" s="1"/>
  <c r="S5" i="74" a="1"/>
  <c r="S5" i="74" s="1"/>
  <c r="J5" i="77" a="1"/>
  <c r="J5" i="77" s="1"/>
  <c r="Q5" i="74" a="1"/>
  <c r="Q5" i="74" s="1"/>
  <c r="Z9" i="65" s="1"/>
  <c r="AA5" i="77" a="1"/>
  <c r="AA5" i="77" s="1"/>
  <c r="Z5" i="77" a="1"/>
  <c r="Z5" i="77" s="1"/>
  <c r="V5" i="77" a="1"/>
  <c r="V5" i="77" s="1"/>
  <c r="Y5" i="77" a="1"/>
  <c r="Y5" i="77" s="1"/>
  <c r="S5" i="77" a="1"/>
  <c r="S5" i="77" s="1"/>
  <c r="U5" i="77" a="1"/>
  <c r="U5" i="77" s="1"/>
  <c r="X5" i="77" a="1"/>
  <c r="X5" i="77" s="1"/>
  <c r="Q5" i="77" a="1"/>
  <c r="Q5" i="77" s="1"/>
  <c r="T5" i="77" a="1"/>
  <c r="T5" i="77" s="1"/>
  <c r="AB5" i="78" a="1"/>
  <c r="AB5" i="78" s="1"/>
  <c r="AC5" i="74" a="1"/>
  <c r="AC5" i="74" s="1"/>
  <c r="Z10" i="65" s="1"/>
  <c r="W5" i="77" a="1"/>
  <c r="W5" i="77" s="1"/>
  <c r="T5" i="78" a="1"/>
  <c r="T5" i="78" s="1"/>
  <c r="AC5" i="77" a="1"/>
  <c r="AC5" i="77" s="1"/>
  <c r="V9" i="32"/>
  <c r="W3" i="32"/>
  <c r="W9" i="32" s="1"/>
  <c r="I6" i="67" l="1"/>
  <c r="H6" i="67"/>
  <c r="O1187" i="79" a="1"/>
  <c r="O1187" i="79" s="1"/>
  <c r="Z12" i="65"/>
  <c r="H9" i="67" s="1"/>
  <c r="Z13" i="65"/>
  <c r="I9" i="67" s="1"/>
  <c r="X3" i="32"/>
  <c r="M1139" i="79" l="1"/>
  <c r="O1180" i="79" a="1"/>
  <c r="O1180" i="79" s="1"/>
  <c r="M1180" i="79" s="1"/>
  <c r="M1187" i="79"/>
  <c r="O1173" i="79" a="1"/>
  <c r="O1173" i="79" s="1"/>
  <c r="M1173" i="79" s="1"/>
  <c r="O1166" i="79" a="1"/>
  <c r="O1166" i="79" s="1"/>
  <c r="M1166" i="79" s="1"/>
  <c r="O1159" i="79" a="1"/>
  <c r="O1159" i="79" s="1"/>
  <c r="M1159" i="79" s="1"/>
  <c r="O1145" i="79" a="1"/>
  <c r="O1145" i="79" s="1"/>
  <c r="M1145" i="79" s="1"/>
  <c r="O1152" i="79" a="1"/>
  <c r="O1152" i="79" s="1"/>
  <c r="O1138" i="79" a="1"/>
  <c r="O1138" i="79" s="1"/>
  <c r="O1131" i="79" a="1"/>
  <c r="O1131" i="79" s="1"/>
  <c r="M1131" i="79" s="1"/>
  <c r="Z24" i="65" s="1" a="1"/>
  <c r="Z24" i="65" s="1"/>
  <c r="O1132" i="79" a="1"/>
  <c r="O1132" i="79" s="1"/>
  <c r="M1132" i="79" s="1"/>
  <c r="Z27" i="65" s="1" a="1"/>
  <c r="Z27" i="65" s="1"/>
  <c r="K24" i="67" s="1"/>
  <c r="O16" i="34" a="1"/>
  <c r="O16" i="34" s="1"/>
  <c r="N16" i="34" a="1"/>
  <c r="N16" i="34" s="1"/>
  <c r="X9" i="32"/>
  <c r="Y3" i="32"/>
  <c r="K21" i="67" l="1"/>
  <c r="O1171" i="79"/>
  <c r="M1171" i="79" s="1"/>
  <c r="I22" i="135" s="1" a="1"/>
  <c r="I22" i="135" s="1"/>
  <c r="O1164" i="79"/>
  <c r="M1164" i="79" s="1"/>
  <c r="H22" i="135" s="1" a="1"/>
  <c r="H22" i="135" s="1"/>
  <c r="M1152" i="79"/>
  <c r="M1138" i="79"/>
  <c r="Y9" i="32"/>
  <c r="Z3" i="32"/>
  <c r="O1157" i="79" l="1"/>
  <c r="M1157" i="79" s="1"/>
  <c r="G22" i="135" s="1" a="1"/>
  <c r="G22" i="135" s="1"/>
  <c r="Z9" i="32"/>
  <c r="AA3" i="32"/>
  <c r="E1" i="66"/>
  <c r="E1" i="65"/>
  <c r="AA9" i="32" l="1"/>
  <c r="AB3" i="32"/>
  <c r="J45" i="67" l="1"/>
  <c r="I45" i="67"/>
  <c r="J46" i="67"/>
  <c r="I46" i="67"/>
  <c r="AB9" i="32"/>
  <c r="AC3" i="32"/>
  <c r="N9" i="67" l="1"/>
  <c r="N6" i="67"/>
  <c r="K9" i="67"/>
  <c r="K46" i="67" s="1"/>
  <c r="AC9" i="32"/>
  <c r="AD3" i="32"/>
  <c r="AD9" i="32" l="1"/>
  <c r="AE3" i="32"/>
  <c r="AF3" i="32" l="1"/>
  <c r="AE9" i="32"/>
  <c r="AN55" i="59"/>
  <c r="Y55" i="59"/>
  <c r="AN54" i="59"/>
  <c r="Y54" i="59"/>
  <c r="AN43" i="59"/>
  <c r="Y43" i="59"/>
  <c r="AN42" i="59"/>
  <c r="Y42" i="59"/>
  <c r="AN31" i="59"/>
  <c r="AN30" i="59"/>
  <c r="AF9" i="32" l="1"/>
  <c r="AG3" i="32"/>
  <c r="AG9" i="32" l="1"/>
  <c r="AN19" i="59" l="1"/>
  <c r="AN18" i="59"/>
  <c r="E21" i="59"/>
  <c r="E22" i="59"/>
  <c r="AK22" i="59" s="1"/>
  <c r="AF22" i="59" s="1"/>
  <c r="E23" i="59"/>
  <c r="AK23" i="59" s="1"/>
  <c r="AF23" i="59" s="1"/>
  <c r="E24" i="59"/>
  <c r="AK24" i="59" s="1"/>
  <c r="AF24" i="59" s="1"/>
  <c r="E25" i="59"/>
  <c r="E26" i="59"/>
  <c r="AL26" i="59" s="1"/>
  <c r="AG26" i="59" s="1"/>
  <c r="E27" i="59"/>
  <c r="AL27" i="59" s="1"/>
  <c r="AH27" i="59" s="1"/>
  <c r="E28" i="59"/>
  <c r="AL28" i="59" s="1"/>
  <c r="AJ28" i="59" s="1"/>
  <c r="E29" i="59"/>
  <c r="AL29" i="59" s="1"/>
  <c r="AJ29" i="59" s="1"/>
  <c r="E30" i="59"/>
  <c r="E42" i="59" s="1"/>
  <c r="E54" i="59" s="1"/>
  <c r="E31" i="59"/>
  <c r="E43" i="59" s="1"/>
  <c r="E55" i="59" s="1"/>
  <c r="E20" i="59"/>
  <c r="AK10" i="66" a="1"/>
  <c r="AK10" i="66" s="1"/>
  <c r="AI10" i="66" a="1"/>
  <c r="AI10" i="66" s="1"/>
  <c r="AE20" i="59" l="1"/>
  <c r="AC20" i="59"/>
  <c r="AD20" i="59"/>
  <c r="AL20" i="59"/>
  <c r="AE25" i="59"/>
  <c r="AD25" i="59"/>
  <c r="AC25" i="59"/>
  <c r="AL25" i="59"/>
  <c r="AC21" i="59"/>
  <c r="AD21" i="59"/>
  <c r="AE21" i="59"/>
  <c r="AL21" i="59"/>
  <c r="W28" i="59"/>
  <c r="U28" i="59" s="1"/>
  <c r="Y28" i="59" s="1"/>
  <c r="W27" i="59"/>
  <c r="S27" i="59" s="1"/>
  <c r="Y27" i="59" s="1"/>
  <c r="P25" i="59"/>
  <c r="O25" i="59"/>
  <c r="N25" i="59"/>
  <c r="W25" i="59"/>
  <c r="W29" i="59"/>
  <c r="U29" i="59" s="1"/>
  <c r="Y29" i="59" s="1"/>
  <c r="V24" i="59"/>
  <c r="Q24" i="59" s="1"/>
  <c r="Y24" i="59" s="1"/>
  <c r="V23" i="59"/>
  <c r="Q23" i="59" s="1"/>
  <c r="Y23" i="59" s="1"/>
  <c r="W26" i="59"/>
  <c r="R26" i="59" s="1"/>
  <c r="Y26" i="59" s="1"/>
  <c r="V22" i="59"/>
  <c r="Q22" i="59" s="1"/>
  <c r="Y22" i="59" s="1"/>
  <c r="P20" i="59"/>
  <c r="O20" i="59"/>
  <c r="N20" i="59"/>
  <c r="W20" i="59"/>
  <c r="O21" i="59"/>
  <c r="N21" i="59"/>
  <c r="P21" i="59"/>
  <c r="W21" i="59"/>
  <c r="E32" i="59"/>
  <c r="E37" i="59"/>
  <c r="E40" i="59"/>
  <c r="E38" i="59"/>
  <c r="E35" i="59"/>
  <c r="E34" i="59"/>
  <c r="E41" i="59"/>
  <c r="E39" i="59"/>
  <c r="E36" i="59"/>
  <c r="E33" i="59"/>
  <c r="G7" i="67"/>
  <c r="G4" i="135" s="1"/>
  <c r="I7" i="67"/>
  <c r="J4" i="135" s="1"/>
  <c r="AF6" i="32" a="1"/>
  <c r="AF6" i="32" s="1"/>
  <c r="AG6" i="32" a="1"/>
  <c r="AG6" i="32" s="1"/>
  <c r="AF25" i="59" l="1"/>
  <c r="AA20" i="59"/>
  <c r="AC33" i="59"/>
  <c r="N33" i="59"/>
  <c r="AE33" i="59"/>
  <c r="P33" i="59"/>
  <c r="AD33" i="59"/>
  <c r="O33" i="59"/>
  <c r="AL33" i="59"/>
  <c r="W33" i="59"/>
  <c r="V36" i="59"/>
  <c r="Q36" i="59" s="1"/>
  <c r="AK36" i="59"/>
  <c r="AF36" i="59" s="1"/>
  <c r="AL39" i="59"/>
  <c r="AH39" i="59" s="1"/>
  <c r="W39" i="59"/>
  <c r="S39" i="59" s="1"/>
  <c r="W41" i="59"/>
  <c r="U41" i="59" s="1"/>
  <c r="AL41" i="59"/>
  <c r="AJ41" i="59" s="1"/>
  <c r="AK34" i="59"/>
  <c r="AF34" i="59" s="1"/>
  <c r="V34" i="59"/>
  <c r="Q34" i="59" s="1"/>
  <c r="V35" i="59"/>
  <c r="Q35" i="59" s="1"/>
  <c r="AK35" i="59"/>
  <c r="AF35" i="59" s="1"/>
  <c r="AL38" i="59"/>
  <c r="AG38" i="59" s="1"/>
  <c r="W38" i="59"/>
  <c r="R38" i="59" s="1"/>
  <c r="W40" i="59"/>
  <c r="U40" i="59" s="1"/>
  <c r="AL40" i="59"/>
  <c r="AJ40" i="59" s="1"/>
  <c r="AC37" i="59"/>
  <c r="O37" i="59"/>
  <c r="AD37" i="59"/>
  <c r="P37" i="59"/>
  <c r="AE37" i="59"/>
  <c r="N37" i="59"/>
  <c r="AL37" i="59"/>
  <c r="W37" i="59"/>
  <c r="P32" i="59"/>
  <c r="AC32" i="59"/>
  <c r="AD32" i="59"/>
  <c r="N32" i="59"/>
  <c r="AE32" i="59"/>
  <c r="O32" i="59"/>
  <c r="W32" i="59"/>
  <c r="AL32" i="59"/>
  <c r="L20" i="59"/>
  <c r="Y20" i="59" s="1"/>
  <c r="Q25" i="59"/>
  <c r="Y25" i="59" s="1"/>
  <c r="AA21" i="59"/>
  <c r="M21" i="59"/>
  <c r="Y21" i="59" s="1"/>
  <c r="E53" i="59"/>
  <c r="E46" i="59"/>
  <c r="E49" i="59"/>
  <c r="E47" i="59"/>
  <c r="E45" i="59"/>
  <c r="E50" i="59"/>
  <c r="E48" i="59"/>
  <c r="E52" i="59"/>
  <c r="E51" i="59"/>
  <c r="E44" i="59"/>
  <c r="AB6" i="32" a="1"/>
  <c r="AB6" i="32" s="1"/>
  <c r="AA33" i="59" l="1"/>
  <c r="M33" i="59"/>
  <c r="Q37" i="59"/>
  <c r="AF37" i="59"/>
  <c r="V47" i="59"/>
  <c r="Q47" i="59" s="1"/>
  <c r="AK47" i="59"/>
  <c r="AF47" i="59" s="1"/>
  <c r="AE49" i="59"/>
  <c r="N49" i="59"/>
  <c r="AD49" i="59"/>
  <c r="P49" i="59"/>
  <c r="AC49" i="59"/>
  <c r="O49" i="59"/>
  <c r="AL49" i="59"/>
  <c r="W49" i="59"/>
  <c r="AL53" i="59"/>
  <c r="AJ53" i="59" s="1"/>
  <c r="W53" i="59"/>
  <c r="U53" i="59" s="1"/>
  <c r="AE44" i="59"/>
  <c r="P44" i="59"/>
  <c r="AD44" i="59"/>
  <c r="N44" i="59"/>
  <c r="O44" i="59"/>
  <c r="AC44" i="59"/>
  <c r="AL44" i="59"/>
  <c r="W44" i="59"/>
  <c r="W52" i="59"/>
  <c r="U52" i="59" s="1"/>
  <c r="AL52" i="59"/>
  <c r="AJ52" i="59" s="1"/>
  <c r="V48" i="59"/>
  <c r="Q48" i="59" s="1"/>
  <c r="AK48" i="59"/>
  <c r="AF48" i="59" s="1"/>
  <c r="AL50" i="59"/>
  <c r="AG50" i="59" s="1"/>
  <c r="W50" i="59"/>
  <c r="R50" i="59" s="1"/>
  <c r="AK46" i="59"/>
  <c r="AF46" i="59" s="1"/>
  <c r="V46" i="59"/>
  <c r="Q46" i="59" s="1"/>
  <c r="AL51" i="59"/>
  <c r="AH51" i="59" s="1"/>
  <c r="W51" i="59"/>
  <c r="S51" i="59" s="1"/>
  <c r="AD45" i="59"/>
  <c r="O45" i="59"/>
  <c r="AE45" i="59"/>
  <c r="P45" i="59"/>
  <c r="AC45" i="59"/>
  <c r="N45" i="59"/>
  <c r="AL45" i="59"/>
  <c r="W45" i="59"/>
  <c r="L32" i="59"/>
  <c r="AA32" i="59"/>
  <c r="AE6" i="32" a="1"/>
  <c r="AE6" i="32" s="1"/>
  <c r="Q49" i="59" l="1"/>
  <c r="AF49" i="59"/>
  <c r="L44" i="59"/>
  <c r="AA44" i="59"/>
  <c r="M45" i="59"/>
  <c r="AA45" i="59"/>
  <c r="AA4" i="59" a="1"/>
  <c r="AA4" i="59" s="1"/>
  <c r="G55" i="59"/>
  <c r="G54" i="59"/>
  <c r="G53" i="59"/>
  <c r="G52" i="59"/>
  <c r="G51" i="59"/>
  <c r="G50" i="59"/>
  <c r="G49" i="59"/>
  <c r="G48" i="59"/>
  <c r="G47" i="59"/>
  <c r="G46" i="59"/>
  <c r="G45" i="59"/>
  <c r="D45" i="59"/>
  <c r="D46" i="59" s="1"/>
  <c r="H44" i="59" a="1"/>
  <c r="H44" i="59" s="1"/>
  <c r="G44" i="59"/>
  <c r="G43" i="59"/>
  <c r="G42" i="59"/>
  <c r="G41" i="59"/>
  <c r="G40" i="59"/>
  <c r="G39" i="59"/>
  <c r="G38" i="59"/>
  <c r="G37" i="59"/>
  <c r="G36" i="59"/>
  <c r="G35" i="59"/>
  <c r="G34" i="59"/>
  <c r="G33" i="59"/>
  <c r="D33" i="59"/>
  <c r="D34" i="59" s="1"/>
  <c r="H32" i="59" a="1"/>
  <c r="H32" i="59" s="1"/>
  <c r="G32" i="59"/>
  <c r="G31" i="59"/>
  <c r="G30" i="59"/>
  <c r="G29" i="59"/>
  <c r="G28" i="59"/>
  <c r="G27" i="59"/>
  <c r="G26" i="59"/>
  <c r="G25" i="59"/>
  <c r="G24" i="59"/>
  <c r="G23" i="59"/>
  <c r="G22" i="59"/>
  <c r="G21" i="59"/>
  <c r="D21" i="59"/>
  <c r="D22" i="59" s="1"/>
  <c r="H20" i="59" a="1"/>
  <c r="H20" i="59" s="1"/>
  <c r="G20" i="59"/>
  <c r="G19" i="59"/>
  <c r="H46" i="59" l="1" a="1"/>
  <c r="H46" i="59" s="1"/>
  <c r="D47" i="59"/>
  <c r="H45" i="59" a="1"/>
  <c r="H45" i="59" s="1"/>
  <c r="H34" i="59" a="1"/>
  <c r="H34" i="59" s="1"/>
  <c r="D35" i="59"/>
  <c r="H33" i="59" a="1"/>
  <c r="H33" i="59" s="1"/>
  <c r="H22" i="59" a="1"/>
  <c r="H22" i="59" s="1"/>
  <c r="D23" i="59"/>
  <c r="H21" i="59" a="1"/>
  <c r="H21" i="59" s="1"/>
  <c r="G9" i="59"/>
  <c r="G10" i="59"/>
  <c r="G11" i="59"/>
  <c r="G12" i="59"/>
  <c r="G13" i="59"/>
  <c r="G14" i="59"/>
  <c r="G15" i="59"/>
  <c r="G16" i="59"/>
  <c r="G17" i="59"/>
  <c r="G18" i="59"/>
  <c r="G8" i="59"/>
  <c r="D48" i="59" l="1"/>
  <c r="H47" i="59" a="1"/>
  <c r="H47" i="59" s="1"/>
  <c r="H35" i="59" a="1"/>
  <c r="H35" i="59" s="1"/>
  <c r="D36" i="59"/>
  <c r="H23" i="59" a="1"/>
  <c r="H23" i="59" s="1"/>
  <c r="D24" i="59"/>
  <c r="H48" i="59" l="1" a="1"/>
  <c r="H48" i="59" s="1"/>
  <c r="D49" i="59"/>
  <c r="H36" i="59" a="1"/>
  <c r="H36" i="59" s="1"/>
  <c r="D37" i="59"/>
  <c r="D25" i="59"/>
  <c r="H24" i="59" a="1"/>
  <c r="H24" i="59" s="1"/>
  <c r="H49" i="59" l="1" a="1"/>
  <c r="H49" i="59" s="1"/>
  <c r="D50" i="59"/>
  <c r="H37" i="59" a="1"/>
  <c r="H37" i="59" s="1"/>
  <c r="D38" i="59"/>
  <c r="H25" i="59" a="1"/>
  <c r="H25" i="59" s="1"/>
  <c r="D26" i="59"/>
  <c r="H50" i="59" l="1" a="1"/>
  <c r="H50" i="59" s="1"/>
  <c r="D51" i="59"/>
  <c r="D39" i="59"/>
  <c r="H38" i="59" a="1"/>
  <c r="H38" i="59" s="1"/>
  <c r="D27" i="59"/>
  <c r="H26" i="59" a="1"/>
  <c r="H26" i="59" s="1"/>
  <c r="H6" i="31" l="1" a="1"/>
  <c r="H6" i="31" s="1"/>
  <c r="H51" i="59" a="1"/>
  <c r="H51" i="59" s="1"/>
  <c r="D52" i="59"/>
  <c r="D40" i="59"/>
  <c r="H39" i="59" a="1"/>
  <c r="H39" i="59" s="1"/>
  <c r="H27" i="59" a="1"/>
  <c r="H27" i="59" s="1"/>
  <c r="D28" i="59"/>
  <c r="H52" i="59" l="1" a="1"/>
  <c r="H52" i="59" s="1"/>
  <c r="D53" i="59"/>
  <c r="D41" i="59"/>
  <c r="H40" i="59" a="1"/>
  <c r="H40" i="59" s="1"/>
  <c r="D29" i="59"/>
  <c r="H28" i="59" a="1"/>
  <c r="H28" i="59" s="1"/>
  <c r="H53" i="59" l="1" a="1"/>
  <c r="H53" i="59" s="1"/>
  <c r="D54" i="59"/>
  <c r="H41" i="59" a="1"/>
  <c r="H41" i="59" s="1"/>
  <c r="D42" i="59"/>
  <c r="H29" i="59" a="1"/>
  <c r="H29" i="59" s="1"/>
  <c r="D30" i="59"/>
  <c r="D55" i="59" l="1"/>
  <c r="H55" i="59" s="1" a="1"/>
  <c r="H55" i="59" s="1"/>
  <c r="H54" i="59" a="1"/>
  <c r="H54" i="59" s="1"/>
  <c r="D43" i="59"/>
  <c r="H43" i="59" s="1" a="1"/>
  <c r="H43" i="59" s="1"/>
  <c r="H42" i="59" a="1"/>
  <c r="H42" i="59" s="1"/>
  <c r="D31" i="59"/>
  <c r="H31" i="59" s="1" a="1"/>
  <c r="H31" i="59" s="1"/>
  <c r="H30" i="59" a="1"/>
  <c r="H30" i="59" s="1"/>
  <c r="AB2" i="59" l="1"/>
  <c r="AB4" i="59" s="1" a="1"/>
  <c r="AB4" i="59" s="1"/>
  <c r="AC2" i="59" l="1"/>
  <c r="AC4" i="59" s="1" a="1"/>
  <c r="AC4" i="59" s="1"/>
  <c r="AD2" i="59" l="1"/>
  <c r="AD4" i="59" s="1" a="1"/>
  <c r="AD4" i="59" s="1"/>
  <c r="AE2" i="59" l="1"/>
  <c r="AE4" i="59" s="1" a="1"/>
  <c r="AE4" i="59" s="1"/>
  <c r="D9" i="59"/>
  <c r="H9" i="59" s="1" a="1"/>
  <c r="H9" i="59" s="1"/>
  <c r="AF2" i="59" l="1"/>
  <c r="AF4" i="59" s="1" a="1"/>
  <c r="AF4" i="59" s="1"/>
  <c r="D10" i="59"/>
  <c r="AN34" i="59" l="1"/>
  <c r="Y34" i="59"/>
  <c r="AN22" i="59"/>
  <c r="AG2" i="59"/>
  <c r="AG4" i="59" s="1" a="1"/>
  <c r="AG4" i="59" s="1"/>
  <c r="D11" i="59"/>
  <c r="H10" i="59" a="1"/>
  <c r="H10" i="59" s="1"/>
  <c r="AH2" i="59" l="1"/>
  <c r="AH4" i="59" s="1" a="1"/>
  <c r="AH4" i="59" s="1"/>
  <c r="D12" i="59"/>
  <c r="H11" i="59" a="1"/>
  <c r="H11" i="59" s="1"/>
  <c r="AN23" i="59" l="1"/>
  <c r="AN11" i="59"/>
  <c r="AN35" i="59"/>
  <c r="Y35" i="59"/>
  <c r="AI2" i="59"/>
  <c r="H12" i="59" a="1"/>
  <c r="H12" i="59" s="1"/>
  <c r="D13" i="59"/>
  <c r="AN36" i="59" l="1"/>
  <c r="Y36" i="59"/>
  <c r="AN24" i="59"/>
  <c r="AN12" i="59"/>
  <c r="AI4" i="59" a="1"/>
  <c r="AI4" i="59" s="1"/>
  <c r="AJ2" i="59"/>
  <c r="D14" i="59"/>
  <c r="H13" i="59" a="1"/>
  <c r="H13" i="59" s="1"/>
  <c r="AJ4" i="59" l="1" a="1"/>
  <c r="AJ4" i="59" s="1"/>
  <c r="AK2" i="59"/>
  <c r="D15" i="59"/>
  <c r="H14" i="59" a="1"/>
  <c r="H14" i="59" s="1"/>
  <c r="AL2" i="59" l="1"/>
  <c r="AL4" i="59" s="1" a="1"/>
  <c r="AL4" i="59" s="1"/>
  <c r="AK4" i="59" a="1"/>
  <c r="AK4" i="59" s="1"/>
  <c r="H15" i="59" a="1"/>
  <c r="H15" i="59" s="1"/>
  <c r="D16" i="59"/>
  <c r="D17" i="59" l="1"/>
  <c r="D18" i="59" s="1"/>
  <c r="D19" i="59" s="1"/>
  <c r="H19" i="59" s="1" a="1"/>
  <c r="H19" i="59" s="1"/>
  <c r="H16" i="59" a="1"/>
  <c r="H16" i="59" s="1"/>
  <c r="Y46" i="59" l="1"/>
  <c r="AN46" i="59"/>
  <c r="AN47" i="59"/>
  <c r="Y47" i="59"/>
  <c r="Y48" i="59"/>
  <c r="AN48" i="59"/>
  <c r="F12" i="31"/>
  <c r="G12" i="31" s="1"/>
  <c r="E11" i="60" l="1"/>
  <c r="G11" i="60" l="1"/>
  <c r="F11" i="60"/>
  <c r="I3" i="32" l="1"/>
  <c r="I3" i="31"/>
  <c r="I3" i="60"/>
  <c r="J3" i="60" s="1"/>
  <c r="J3" i="32" l="1"/>
  <c r="K3" i="32" s="1"/>
  <c r="J3" i="31"/>
  <c r="K3" i="31" s="1"/>
  <c r="I6" i="31" a="1"/>
  <c r="I6" i="31" s="1"/>
  <c r="J8" i="60"/>
  <c r="K3" i="60"/>
  <c r="I8" i="31"/>
  <c r="M2" i="59"/>
  <c r="N2" i="59" s="1"/>
  <c r="J9" i="32" l="1"/>
  <c r="J8" i="31"/>
  <c r="L3" i="32"/>
  <c r="K9" i="32"/>
  <c r="L3" i="31"/>
  <c r="K8" i="31"/>
  <c r="K8" i="60"/>
  <c r="L3" i="60"/>
  <c r="O2" i="59"/>
  <c r="N4" i="59" a="1"/>
  <c r="N4" i="59" s="1"/>
  <c r="M4" i="59" a="1"/>
  <c r="M4" i="59" s="1"/>
  <c r="H17" i="59" a="1"/>
  <c r="H17" i="59" s="1"/>
  <c r="L9" i="32" l="1"/>
  <c r="M3" i="32"/>
  <c r="L8" i="31"/>
  <c r="M3" i="31"/>
  <c r="M6" i="31" s="1" a="1"/>
  <c r="M6" i="31" s="1"/>
  <c r="M3" i="60"/>
  <c r="L8" i="60"/>
  <c r="O4" i="59" a="1"/>
  <c r="O4" i="59" s="1"/>
  <c r="P2" i="59"/>
  <c r="M9" i="32" l="1"/>
  <c r="N3" i="32"/>
  <c r="N6" i="32" s="1" a="1"/>
  <c r="N6" i="32" s="1"/>
  <c r="M8" i="31"/>
  <c r="N3" i="31"/>
  <c r="N3" i="60"/>
  <c r="M8" i="60"/>
  <c r="P4" i="59" a="1"/>
  <c r="P4" i="59" s="1"/>
  <c r="Q2" i="59"/>
  <c r="N9" i="32" l="1"/>
  <c r="O3" i="32"/>
  <c r="N8" i="31"/>
  <c r="O3" i="31"/>
  <c r="O3" i="60"/>
  <c r="N8" i="60"/>
  <c r="R2" i="59"/>
  <c r="Q4" i="59" a="1"/>
  <c r="Q4" i="59" s="1"/>
  <c r="O9" i="32" l="1"/>
  <c r="P3" i="32"/>
  <c r="O8" i="31"/>
  <c r="P3" i="31"/>
  <c r="P3" i="60"/>
  <c r="Q3" i="60" s="1"/>
  <c r="O8" i="60"/>
  <c r="S2" i="59"/>
  <c r="R4" i="59" a="1"/>
  <c r="R4" i="59" s="1"/>
  <c r="Q3" i="32" l="1"/>
  <c r="Q6" i="32" s="1" a="1"/>
  <c r="Q6" i="32" s="1"/>
  <c r="P9" i="32"/>
  <c r="P8" i="31"/>
  <c r="Q3" i="31"/>
  <c r="Q6" i="31" s="1" a="1"/>
  <c r="Q6" i="31" s="1"/>
  <c r="R3" i="60"/>
  <c r="S3" i="60" s="1"/>
  <c r="Q8" i="60"/>
  <c r="P8" i="60"/>
  <c r="T2" i="59"/>
  <c r="U2" i="59" s="1"/>
  <c r="V2" i="59" s="1"/>
  <c r="W2" i="59" s="1"/>
  <c r="S4" i="59" a="1"/>
  <c r="S4" i="59" s="1"/>
  <c r="U4" i="59" l="1" a="1"/>
  <c r="U4" i="59" s="1"/>
  <c r="R3" i="32"/>
  <c r="Q9" i="32"/>
  <c r="Q8" i="31"/>
  <c r="R3" i="31"/>
  <c r="R6" i="31" s="1" a="1"/>
  <c r="R6" i="31" s="1"/>
  <c r="S8" i="60"/>
  <c r="R8" i="60"/>
  <c r="T4" i="59" a="1"/>
  <c r="T4" i="59" s="1"/>
  <c r="S3" i="32" l="1"/>
  <c r="R6" i="32" a="1"/>
  <c r="R6" i="32" s="1"/>
  <c r="R9" i="32"/>
  <c r="R8" i="31"/>
  <c r="S3" i="31"/>
  <c r="V4" i="59" a="1"/>
  <c r="V4" i="59" s="1"/>
  <c r="S6" i="32" l="1" a="1"/>
  <c r="S6" i="32" s="1"/>
  <c r="S9" i="32"/>
  <c r="S8" i="31"/>
  <c r="S6" i="31" a="1"/>
  <c r="S6" i="31" s="1"/>
  <c r="H18" i="59" l="1" a="1"/>
  <c r="H18" i="59" s="1"/>
  <c r="W4" i="59" a="1"/>
  <c r="W4" i="59" s="1"/>
  <c r="I9" i="32"/>
  <c r="I8" i="60"/>
  <c r="D2" i="32" l="1"/>
  <c r="D2" i="31"/>
  <c r="D12" i="60" l="1"/>
  <c r="H8" i="60"/>
  <c r="D2" i="60"/>
  <c r="H8" i="59" a="1"/>
  <c r="H8" i="59" s="1"/>
  <c r="L4" i="59" a="1"/>
  <c r="L4" i="59" s="1"/>
  <c r="H6" i="60" l="1"/>
  <c r="H11" i="60"/>
  <c r="I2" i="60"/>
  <c r="J2" i="60" s="1"/>
  <c r="K2" i="60" s="1"/>
  <c r="L2" i="60" s="1"/>
  <c r="E12" i="60"/>
  <c r="D13" i="60"/>
  <c r="G12" i="60" l="1"/>
  <c r="I11" i="60"/>
  <c r="T11" i="60" s="1"/>
  <c r="F12" i="60"/>
  <c r="M2" i="60"/>
  <c r="E13" i="60"/>
  <c r="D14" i="60"/>
  <c r="Z12" i="60" l="1" a="1"/>
  <c r="Z12" i="60" s="1"/>
  <c r="W12" i="60" a="1"/>
  <c r="W12" i="60" s="1"/>
  <c r="Y12" i="60" a="1"/>
  <c r="Y12" i="60" s="1"/>
  <c r="U11" i="60"/>
  <c r="G13" i="60"/>
  <c r="F13" i="60"/>
  <c r="N2" i="60"/>
  <c r="O2" i="60" s="1"/>
  <c r="P2" i="60" s="1"/>
  <c r="Q2" i="60" s="1"/>
  <c r="R2" i="60" s="1"/>
  <c r="S2" i="60" s="1"/>
  <c r="T2" i="60" s="1"/>
  <c r="U2" i="60" s="1"/>
  <c r="V2" i="60" s="1"/>
  <c r="X2" i="60" s="1"/>
  <c r="Y2" i="60" s="1"/>
  <c r="Z2" i="60" s="1"/>
  <c r="E14" i="60"/>
  <c r="D15" i="60"/>
  <c r="D16" i="60" s="1"/>
  <c r="AB2" i="60" l="1"/>
  <c r="G14" i="60"/>
  <c r="F14" i="60"/>
  <c r="E16" i="60"/>
  <c r="E15" i="60"/>
  <c r="D17" i="60"/>
  <c r="AB6" i="60" l="1"/>
  <c r="AB11" i="60"/>
  <c r="AC2" i="60"/>
  <c r="AD2" i="60" s="1"/>
  <c r="AE2" i="60" s="1"/>
  <c r="AF2" i="60" s="1"/>
  <c r="AG2" i="60" s="1"/>
  <c r="AH2" i="60" s="1"/>
  <c r="AI2" i="60" s="1"/>
  <c r="AJ2" i="60" s="1"/>
  <c r="AK2" i="60" s="1"/>
  <c r="AL2" i="60" s="1"/>
  <c r="AM2" i="60" s="1"/>
  <c r="AN2" i="60" s="1"/>
  <c r="AO2" i="60" s="1"/>
  <c r="AP2" i="60" s="1"/>
  <c r="AR2" i="60" s="1"/>
  <c r="AS2" i="60" s="1"/>
  <c r="AT2" i="60" s="1"/>
  <c r="G16" i="60"/>
  <c r="G15" i="60"/>
  <c r="F15" i="60"/>
  <c r="F16" i="60"/>
  <c r="E17" i="60"/>
  <c r="D18" i="60"/>
  <c r="AC11" i="60" l="1"/>
  <c r="AQ12" i="60" s="1" a="1"/>
  <c r="AQ12" i="60" s="1"/>
  <c r="AS12" i="60" a="1"/>
  <c r="AS12" i="60" s="1"/>
  <c r="AT12" i="60" a="1"/>
  <c r="AT12" i="60" s="1"/>
  <c r="AB12" i="60" a="1"/>
  <c r="G17" i="60"/>
  <c r="F17" i="60"/>
  <c r="E18" i="60"/>
  <c r="D19" i="60"/>
  <c r="AN11" i="60" l="1"/>
  <c r="AG12" i="60"/>
  <c r="AF12" i="60"/>
  <c r="AE12" i="60"/>
  <c r="AD12" i="60"/>
  <c r="AC12" i="60"/>
  <c r="AB12" i="60"/>
  <c r="AM12" i="60"/>
  <c r="AL12" i="60"/>
  <c r="AK12" i="60"/>
  <c r="AJ12" i="60"/>
  <c r="AI12" i="60"/>
  <c r="AH12" i="60"/>
  <c r="AO11" i="60"/>
  <c r="G18" i="60"/>
  <c r="F18" i="60"/>
  <c r="E19" i="60"/>
  <c r="D20" i="60"/>
  <c r="AO12" i="60" l="1"/>
  <c r="AP12" i="60" s="1"/>
  <c r="AN12" i="60"/>
  <c r="AT13" i="60" a="1"/>
  <c r="AT13" i="60" s="1"/>
  <c r="AS13" i="60" a="1"/>
  <c r="AS13" i="60" s="1"/>
  <c r="AQ13" i="60" a="1"/>
  <c r="AQ13" i="60" s="1"/>
  <c r="AB13" i="60" a="1"/>
  <c r="AR12" i="60"/>
  <c r="G19" i="60"/>
  <c r="F19" i="60"/>
  <c r="E20" i="60"/>
  <c r="D21" i="60"/>
  <c r="AM13" i="60" l="1"/>
  <c r="AL13" i="60"/>
  <c r="AK13" i="60"/>
  <c r="AJ13" i="60"/>
  <c r="AI13" i="60"/>
  <c r="AH13" i="60"/>
  <c r="AG13" i="60"/>
  <c r="AF13" i="60"/>
  <c r="AE13" i="60"/>
  <c r="AD13" i="60"/>
  <c r="AC13" i="60"/>
  <c r="AB13" i="60"/>
  <c r="G20" i="60"/>
  <c r="F20" i="60"/>
  <c r="E21" i="60"/>
  <c r="D22" i="60"/>
  <c r="AR13" i="60" l="1"/>
  <c r="AO13" i="60"/>
  <c r="AN13" i="60"/>
  <c r="AT14" i="60" a="1"/>
  <c r="AT14" i="60" s="1"/>
  <c r="AS14" i="60" a="1"/>
  <c r="AS14" i="60" s="1"/>
  <c r="AQ14" i="60" a="1"/>
  <c r="AQ14" i="60" s="1"/>
  <c r="AB14" i="60" a="1"/>
  <c r="G21" i="60"/>
  <c r="F21" i="60"/>
  <c r="E22" i="60"/>
  <c r="D23" i="60"/>
  <c r="AI14" i="60" l="1"/>
  <c r="AH14" i="60"/>
  <c r="AG14" i="60"/>
  <c r="AF14" i="60"/>
  <c r="AE14" i="60"/>
  <c r="AD14" i="60"/>
  <c r="AC14" i="60"/>
  <c r="AB14" i="60"/>
  <c r="AM14" i="60"/>
  <c r="AL14" i="60"/>
  <c r="AK14" i="60"/>
  <c r="AJ14" i="60"/>
  <c r="AP13" i="60"/>
  <c r="G22" i="60"/>
  <c r="F22" i="60"/>
  <c r="E23" i="60"/>
  <c r="D24" i="60"/>
  <c r="AQ15" i="60" l="1" a="1"/>
  <c r="AQ15" i="60" s="1"/>
  <c r="AB15" i="60" a="1"/>
  <c r="AO14" i="60"/>
  <c r="AN14" i="60"/>
  <c r="AT15" i="60" a="1"/>
  <c r="AT15" i="60" s="1"/>
  <c r="AS15" i="60" a="1"/>
  <c r="AS15" i="60" s="1"/>
  <c r="AR14" i="60"/>
  <c r="G23" i="60"/>
  <c r="F23" i="60"/>
  <c r="E24" i="60"/>
  <c r="D25" i="60"/>
  <c r="AP14" i="60" l="1"/>
  <c r="AB15" i="60"/>
  <c r="AM15" i="60"/>
  <c r="AL15" i="60"/>
  <c r="AK15" i="60"/>
  <c r="AJ15" i="60"/>
  <c r="AI15" i="60"/>
  <c r="AH15" i="60"/>
  <c r="AG15" i="60"/>
  <c r="AF15" i="60"/>
  <c r="AE15" i="60"/>
  <c r="AD15" i="60"/>
  <c r="AC15" i="60"/>
  <c r="G24" i="60"/>
  <c r="F24" i="60"/>
  <c r="E25" i="60"/>
  <c r="D26" i="60"/>
  <c r="AR15" i="60" l="1"/>
  <c r="AO15" i="60"/>
  <c r="AN15" i="60"/>
  <c r="AT16" i="60" a="1"/>
  <c r="AT16" i="60" s="1"/>
  <c r="AS16" i="60" a="1"/>
  <c r="AS16" i="60" s="1"/>
  <c r="AQ16" i="60" a="1"/>
  <c r="AQ16" i="60" s="1"/>
  <c r="AB16" i="60" a="1"/>
  <c r="G25" i="60"/>
  <c r="F25" i="60"/>
  <c r="E26" i="60"/>
  <c r="D27" i="60"/>
  <c r="AP15" i="60" l="1"/>
  <c r="AK16" i="60"/>
  <c r="AJ16" i="60"/>
  <c r="AI16" i="60"/>
  <c r="AH16" i="60"/>
  <c r="AG16" i="60"/>
  <c r="AF16" i="60"/>
  <c r="AE16" i="60"/>
  <c r="AD16" i="60"/>
  <c r="AC16" i="60"/>
  <c r="AB16" i="60"/>
  <c r="AM16" i="60"/>
  <c r="AL16" i="60"/>
  <c r="G26" i="60"/>
  <c r="F26" i="60"/>
  <c r="E27" i="60"/>
  <c r="D28" i="60"/>
  <c r="AS17" i="60" l="1" a="1"/>
  <c r="AS17" i="60" s="1"/>
  <c r="AQ17" i="60" a="1"/>
  <c r="AQ17" i="60" s="1"/>
  <c r="AB17" i="60" a="1"/>
  <c r="AO16" i="60"/>
  <c r="AN16" i="60"/>
  <c r="AT17" i="60" a="1"/>
  <c r="AT17" i="60" s="1"/>
  <c r="AR16" i="60"/>
  <c r="G27" i="60"/>
  <c r="F27" i="60"/>
  <c r="E28" i="60"/>
  <c r="D29" i="60"/>
  <c r="AP16" i="60" l="1"/>
  <c r="AD17" i="60"/>
  <c r="AC17" i="60"/>
  <c r="AB17" i="60"/>
  <c r="AM17" i="60"/>
  <c r="AL17" i="60"/>
  <c r="AK17" i="60"/>
  <c r="AJ17" i="60"/>
  <c r="AI17" i="60"/>
  <c r="AH17" i="60"/>
  <c r="AG17" i="60"/>
  <c r="AF17" i="60"/>
  <c r="AE17" i="60"/>
  <c r="G28" i="60"/>
  <c r="F28" i="60"/>
  <c r="E29" i="60"/>
  <c r="D30" i="60"/>
  <c r="AR17" i="60" l="1"/>
  <c r="AO17" i="60"/>
  <c r="AN17" i="60"/>
  <c r="AT18" i="60" a="1"/>
  <c r="AT18" i="60" s="1"/>
  <c r="AS18" i="60" a="1"/>
  <c r="AS18" i="60" s="1"/>
  <c r="AQ18" i="60" a="1"/>
  <c r="AQ18" i="60" s="1"/>
  <c r="AB18" i="60" a="1"/>
  <c r="G29" i="60"/>
  <c r="F29" i="60"/>
  <c r="E30" i="60"/>
  <c r="D31" i="60"/>
  <c r="AP17" i="60" l="1"/>
  <c r="AM18" i="60"/>
  <c r="AL18" i="60"/>
  <c r="AK18" i="60"/>
  <c r="AJ18" i="60"/>
  <c r="AI18" i="60"/>
  <c r="AH18" i="60"/>
  <c r="AG18" i="60"/>
  <c r="AF18" i="60"/>
  <c r="AE18" i="60"/>
  <c r="AD18" i="60"/>
  <c r="AC18" i="60"/>
  <c r="AB18" i="60"/>
  <c r="G30" i="60"/>
  <c r="F30" i="60"/>
  <c r="E31" i="60"/>
  <c r="D32" i="60"/>
  <c r="AQ19" i="60" l="1" a="1"/>
  <c r="AQ19" i="60" s="1"/>
  <c r="AT19" i="60" a="1"/>
  <c r="AT19" i="60" s="1"/>
  <c r="AS19" i="60" a="1"/>
  <c r="AS19" i="60" s="1"/>
  <c r="AB19" i="60" a="1"/>
  <c r="AO18" i="60"/>
  <c r="AN18" i="60"/>
  <c r="AR18" i="60"/>
  <c r="G31" i="60"/>
  <c r="F31" i="60"/>
  <c r="E32" i="60"/>
  <c r="D33" i="60"/>
  <c r="AP18" i="60" l="1"/>
  <c r="AF19" i="60"/>
  <c r="AE19" i="60"/>
  <c r="AD19" i="60"/>
  <c r="AC19" i="60"/>
  <c r="AB19" i="60"/>
  <c r="AM19" i="60"/>
  <c r="AL19" i="60"/>
  <c r="AK19" i="60"/>
  <c r="AJ19" i="60"/>
  <c r="AI19" i="60"/>
  <c r="AH19" i="60"/>
  <c r="AG19" i="60"/>
  <c r="G32" i="60"/>
  <c r="F32" i="60"/>
  <c r="E33" i="60"/>
  <c r="D34" i="60"/>
  <c r="AT20" i="60" l="1" a="1"/>
  <c r="AT20" i="60" s="1"/>
  <c r="AS20" i="60" a="1"/>
  <c r="AS20" i="60" s="1"/>
  <c r="AQ20" i="60" a="1"/>
  <c r="AQ20" i="60" s="1"/>
  <c r="AO19" i="60"/>
  <c r="AN19" i="60"/>
  <c r="AB20" i="60" a="1"/>
  <c r="AR19" i="60"/>
  <c r="G33" i="60"/>
  <c r="F33" i="60"/>
  <c r="E34" i="60"/>
  <c r="D35" i="60"/>
  <c r="AJ20" i="60" l="1"/>
  <c r="AG20" i="60"/>
  <c r="AB20" i="60"/>
  <c r="AM20" i="60"/>
  <c r="AL20" i="60"/>
  <c r="AK20" i="60"/>
  <c r="AI20" i="60"/>
  <c r="AH20" i="60"/>
  <c r="AF20" i="60"/>
  <c r="AE20" i="60"/>
  <c r="AD20" i="60"/>
  <c r="AC20" i="60"/>
  <c r="AP19" i="60"/>
  <c r="G34" i="60"/>
  <c r="F34" i="60"/>
  <c r="E35" i="60"/>
  <c r="D36" i="60"/>
  <c r="AR20" i="60" l="1"/>
  <c r="AO20" i="60"/>
  <c r="AQ21" i="60" a="1"/>
  <c r="AQ21" i="60" s="1"/>
  <c r="AB21" i="60" a="1"/>
  <c r="AT21" i="60" a="1"/>
  <c r="AT21" i="60" s="1"/>
  <c r="AS21" i="60" a="1"/>
  <c r="AS21" i="60" s="1"/>
  <c r="AN20" i="60"/>
  <c r="G35" i="60"/>
  <c r="F35" i="60"/>
  <c r="E36" i="60"/>
  <c r="D37" i="60"/>
  <c r="AI21" i="60" l="1"/>
  <c r="AH21" i="60"/>
  <c r="AC21" i="60"/>
  <c r="AK21" i="60"/>
  <c r="AM21" i="60"/>
  <c r="AL21" i="60"/>
  <c r="AJ21" i="60"/>
  <c r="AG21" i="60"/>
  <c r="AF21" i="60"/>
  <c r="AE21" i="60"/>
  <c r="AD21" i="60"/>
  <c r="AB21" i="60"/>
  <c r="AP20" i="60"/>
  <c r="G36" i="60"/>
  <c r="F36" i="60"/>
  <c r="E37" i="60"/>
  <c r="D38" i="60"/>
  <c r="AQ22" i="60" l="1" a="1"/>
  <c r="AQ22" i="60" s="1"/>
  <c r="AB22" i="60" a="1"/>
  <c r="AS22" i="60" a="1"/>
  <c r="AS22" i="60" s="1"/>
  <c r="AT22" i="60" a="1"/>
  <c r="AT22" i="60" s="1"/>
  <c r="AO21" i="60"/>
  <c r="AN21" i="60"/>
  <c r="AR21" i="60"/>
  <c r="G37" i="60"/>
  <c r="F37" i="60"/>
  <c r="E38" i="60"/>
  <c r="D39" i="60"/>
  <c r="AP21" i="60" l="1"/>
  <c r="AB22" i="60"/>
  <c r="AL22" i="60"/>
  <c r="AJ22" i="60"/>
  <c r="AI22" i="60"/>
  <c r="AD22" i="60"/>
  <c r="AC22" i="60"/>
  <c r="AM22" i="60"/>
  <c r="AK22" i="60"/>
  <c r="AH22" i="60"/>
  <c r="AG22" i="60"/>
  <c r="AF22" i="60"/>
  <c r="AE22" i="60"/>
  <c r="G38" i="60"/>
  <c r="F38" i="60"/>
  <c r="E39" i="60"/>
  <c r="D40" i="60"/>
  <c r="AR22" i="60" l="1"/>
  <c r="AT23" i="60" a="1"/>
  <c r="AT23" i="60" s="1"/>
  <c r="AS23" i="60" a="1"/>
  <c r="AS23" i="60" s="1"/>
  <c r="AQ23" i="60" a="1"/>
  <c r="AQ23" i="60" s="1"/>
  <c r="AB23" i="60" a="1"/>
  <c r="AO22" i="60"/>
  <c r="AN22" i="60"/>
  <c r="G39" i="60"/>
  <c r="F39" i="60"/>
  <c r="E40" i="60"/>
  <c r="D41" i="60"/>
  <c r="AP22" i="60" l="1"/>
  <c r="AK23" i="60"/>
  <c r="AJ23" i="60"/>
  <c r="AH23" i="60"/>
  <c r="AE23" i="60"/>
  <c r="AD23" i="60"/>
  <c r="AC23" i="60"/>
  <c r="AB23" i="60"/>
  <c r="AM23" i="60"/>
  <c r="AG23" i="60"/>
  <c r="AF23" i="60"/>
  <c r="AL23" i="60"/>
  <c r="AI23" i="60"/>
  <c r="G40" i="60"/>
  <c r="F40" i="60"/>
  <c r="E41" i="60"/>
  <c r="D42" i="60"/>
  <c r="AS24" i="60" l="1" a="1"/>
  <c r="AS24" i="60" s="1"/>
  <c r="AQ24" i="60" a="1"/>
  <c r="AQ24" i="60" s="1"/>
  <c r="AB24" i="60" a="1"/>
  <c r="AT24" i="60" a="1"/>
  <c r="AT24" i="60" s="1"/>
  <c r="AO23" i="60"/>
  <c r="AN23" i="60"/>
  <c r="AR23" i="60"/>
  <c r="G41" i="60"/>
  <c r="F41" i="60"/>
  <c r="E42" i="60"/>
  <c r="D43" i="60"/>
  <c r="AP23" i="60" l="1"/>
  <c r="AD24" i="60"/>
  <c r="AC24" i="60"/>
  <c r="AB24" i="60"/>
  <c r="AM24" i="60"/>
  <c r="AL24" i="60"/>
  <c r="AK24" i="60"/>
  <c r="AJ24" i="60"/>
  <c r="AI24" i="60"/>
  <c r="AF24" i="60"/>
  <c r="AH24" i="60"/>
  <c r="AG24" i="60"/>
  <c r="AE24" i="60"/>
  <c r="G42" i="60"/>
  <c r="F42" i="60"/>
  <c r="E43" i="60"/>
  <c r="D44" i="60"/>
  <c r="AO24" i="60" l="1"/>
  <c r="AN24" i="60"/>
  <c r="AT25" i="60" a="1"/>
  <c r="AT25" i="60" s="1"/>
  <c r="AS25" i="60" a="1"/>
  <c r="AS25" i="60" s="1"/>
  <c r="AB25" i="60" a="1"/>
  <c r="AQ25" i="60" a="1"/>
  <c r="AQ25" i="60" s="1"/>
  <c r="AR24" i="60"/>
  <c r="G43" i="60"/>
  <c r="F43" i="60"/>
  <c r="E44" i="60"/>
  <c r="D45" i="60"/>
  <c r="AM25" i="60" l="1"/>
  <c r="AL25" i="60"/>
  <c r="AK25" i="60"/>
  <c r="AJ25" i="60"/>
  <c r="AH25" i="60"/>
  <c r="AG25" i="60"/>
  <c r="AF25" i="60"/>
  <c r="AE25" i="60"/>
  <c r="AD25" i="60"/>
  <c r="AC25" i="60"/>
  <c r="AB25" i="60"/>
  <c r="AI25" i="60"/>
  <c r="AP24" i="60"/>
  <c r="G44" i="60"/>
  <c r="F44" i="60"/>
  <c r="E45" i="60"/>
  <c r="D46" i="60"/>
  <c r="AT26" i="60" l="1" a="1"/>
  <c r="AT26" i="60" s="1"/>
  <c r="AS26" i="60" a="1"/>
  <c r="AS26" i="60" s="1"/>
  <c r="AQ26" i="60" a="1"/>
  <c r="AQ26" i="60" s="1"/>
  <c r="AB26" i="60" a="1"/>
  <c r="AO25" i="60"/>
  <c r="AN25" i="60"/>
  <c r="AR25" i="60"/>
  <c r="G45" i="60"/>
  <c r="F45" i="60"/>
  <c r="E46" i="60"/>
  <c r="D47" i="60"/>
  <c r="AP25" i="60" l="1"/>
  <c r="AF26" i="60"/>
  <c r="AE26" i="60"/>
  <c r="AD26" i="60"/>
  <c r="AC26" i="60"/>
  <c r="AM26" i="60"/>
  <c r="AL26" i="60"/>
  <c r="AK26" i="60"/>
  <c r="AH26" i="60"/>
  <c r="AJ26" i="60"/>
  <c r="AI26" i="60"/>
  <c r="AG26" i="60"/>
  <c r="AB26" i="60"/>
  <c r="G46" i="60"/>
  <c r="F46" i="60"/>
  <c r="E47" i="60"/>
  <c r="D48" i="60"/>
  <c r="AO26" i="60" l="1"/>
  <c r="AN26" i="60"/>
  <c r="AT27" i="60" a="1"/>
  <c r="AT27" i="60" s="1"/>
  <c r="AS27" i="60" a="1"/>
  <c r="AS27" i="60" s="1"/>
  <c r="AQ27" i="60" a="1"/>
  <c r="AQ27" i="60" s="1"/>
  <c r="AB27" i="60" a="1"/>
  <c r="AR26" i="60"/>
  <c r="G47" i="60"/>
  <c r="F47" i="60"/>
  <c r="E48" i="60"/>
  <c r="D49" i="60"/>
  <c r="AM27" i="60" l="1"/>
  <c r="AL27" i="60"/>
  <c r="AJ27" i="60"/>
  <c r="AI27" i="60"/>
  <c r="AH27" i="60"/>
  <c r="AG27" i="60"/>
  <c r="AF27" i="60"/>
  <c r="AE27" i="60"/>
  <c r="AD27" i="60"/>
  <c r="AK27" i="60"/>
  <c r="AC27" i="60"/>
  <c r="AB27" i="60"/>
  <c r="AP26" i="60"/>
  <c r="G48" i="60"/>
  <c r="F48" i="60"/>
  <c r="E49" i="60"/>
  <c r="D50" i="60"/>
  <c r="AO27" i="60" l="1"/>
  <c r="AN27" i="60"/>
  <c r="AT28" i="60" a="1"/>
  <c r="AT28" i="60" s="1"/>
  <c r="AS28" i="60" a="1"/>
  <c r="AS28" i="60" s="1"/>
  <c r="AQ28" i="60" a="1"/>
  <c r="AQ28" i="60" s="1"/>
  <c r="AB28" i="60" a="1"/>
  <c r="AR27" i="60"/>
  <c r="G49" i="60"/>
  <c r="F49" i="60"/>
  <c r="E50" i="60"/>
  <c r="D51" i="60"/>
  <c r="AH28" i="60" l="1"/>
  <c r="AG28" i="60"/>
  <c r="AF28" i="60"/>
  <c r="AE28" i="60"/>
  <c r="AC28" i="60"/>
  <c r="AB28" i="60"/>
  <c r="AM28" i="60"/>
  <c r="AJ28" i="60"/>
  <c r="AK28" i="60"/>
  <c r="AI28" i="60"/>
  <c r="AD28" i="60"/>
  <c r="AL28" i="60"/>
  <c r="AP27" i="60"/>
  <c r="G50" i="60"/>
  <c r="F50" i="60"/>
  <c r="E51" i="60"/>
  <c r="D52" i="60"/>
  <c r="AR28" i="60" l="1"/>
  <c r="AQ29" i="60" a="1"/>
  <c r="AQ29" i="60" s="1"/>
  <c r="AB29" i="60" a="1"/>
  <c r="AO28" i="60"/>
  <c r="AN28" i="60"/>
  <c r="AT29" i="60" a="1"/>
  <c r="AT29" i="60" s="1"/>
  <c r="AS29" i="60" a="1"/>
  <c r="AS29" i="60" s="1"/>
  <c r="G51" i="60"/>
  <c r="F51" i="60"/>
  <c r="E52" i="60"/>
  <c r="D53" i="60"/>
  <c r="AP28" i="60" l="1"/>
  <c r="AM29" i="60"/>
  <c r="AL29" i="60"/>
  <c r="AK29" i="60"/>
  <c r="AJ29" i="60"/>
  <c r="AI29" i="60"/>
  <c r="AH29" i="60"/>
  <c r="AG29" i="60"/>
  <c r="AF29" i="60"/>
  <c r="AC29" i="60"/>
  <c r="AE29" i="60"/>
  <c r="AD29" i="60"/>
  <c r="AB29" i="60"/>
  <c r="G52" i="60"/>
  <c r="F52" i="60"/>
  <c r="E53" i="60"/>
  <c r="D54" i="60"/>
  <c r="AO29" i="60" l="1"/>
  <c r="AN29" i="60"/>
  <c r="AT30" i="60" a="1"/>
  <c r="AT30" i="60" s="1"/>
  <c r="AS30" i="60" a="1"/>
  <c r="AS30" i="60" s="1"/>
  <c r="AQ30" i="60" a="1"/>
  <c r="AQ30" i="60" s="1"/>
  <c r="AB30" i="60" a="1"/>
  <c r="AR29" i="60"/>
  <c r="G53" i="60"/>
  <c r="F53" i="60"/>
  <c r="E54" i="60"/>
  <c r="D55" i="60"/>
  <c r="AJ30" i="60" l="1"/>
  <c r="AI30" i="60"/>
  <c r="AH30" i="60"/>
  <c r="AG30" i="60"/>
  <c r="AF30" i="60"/>
  <c r="AE30" i="60"/>
  <c r="AD30" i="60"/>
  <c r="AC30" i="60"/>
  <c r="AB30" i="60"/>
  <c r="AM30" i="60"/>
  <c r="AL30" i="60"/>
  <c r="AK30" i="60"/>
  <c r="AP29" i="60"/>
  <c r="G54" i="60"/>
  <c r="F54" i="60"/>
  <c r="E55" i="60"/>
  <c r="D56" i="60"/>
  <c r="AQ31" i="60" l="1" a="1"/>
  <c r="AQ31" i="60" s="1"/>
  <c r="AB31" i="60" a="1"/>
  <c r="AO30" i="60"/>
  <c r="AT31" i="60" a="1"/>
  <c r="AT31" i="60" s="1"/>
  <c r="AS31" i="60" a="1"/>
  <c r="AS31" i="60" s="1"/>
  <c r="AN30" i="60"/>
  <c r="AR30" i="60"/>
  <c r="G55" i="60"/>
  <c r="F55" i="60"/>
  <c r="E56" i="60"/>
  <c r="D57" i="60"/>
  <c r="AP30" i="60" l="1"/>
  <c r="AC31" i="60"/>
  <c r="AB31" i="60"/>
  <c r="AM31" i="60"/>
  <c r="AL31" i="60"/>
  <c r="AK31" i="60"/>
  <c r="AJ31" i="60"/>
  <c r="AI31" i="60"/>
  <c r="AH31" i="60"/>
  <c r="AF31" i="60"/>
  <c r="AE31" i="60"/>
  <c r="AG31" i="60"/>
  <c r="AD31" i="60"/>
  <c r="G56" i="60"/>
  <c r="F56" i="60"/>
  <c r="E57" i="60"/>
  <c r="D58" i="60"/>
  <c r="AR31" i="60" l="1"/>
  <c r="AO31" i="60"/>
  <c r="AN31" i="60"/>
  <c r="AT32" i="60" a="1"/>
  <c r="AT32" i="60" s="1"/>
  <c r="AS32" i="60" a="1"/>
  <c r="AS32" i="60" s="1"/>
  <c r="AQ32" i="60" a="1"/>
  <c r="AQ32" i="60" s="1"/>
  <c r="AB32" i="60" a="1"/>
  <c r="G57" i="60"/>
  <c r="F57" i="60"/>
  <c r="E58" i="60"/>
  <c r="D59" i="60"/>
  <c r="AP31" i="60" l="1"/>
  <c r="AL32" i="60"/>
  <c r="AK32" i="60"/>
  <c r="AJ32" i="60"/>
  <c r="AI32" i="60"/>
  <c r="AH32" i="60"/>
  <c r="AG32" i="60"/>
  <c r="AF32" i="60"/>
  <c r="AE32" i="60"/>
  <c r="AD32" i="60"/>
  <c r="AC32" i="60"/>
  <c r="AB32" i="60"/>
  <c r="AM32" i="60"/>
  <c r="G58" i="60"/>
  <c r="F58" i="60"/>
  <c r="E59" i="60"/>
  <c r="D60" i="60"/>
  <c r="AS33" i="60" l="1" a="1"/>
  <c r="AS33" i="60" s="1"/>
  <c r="AQ33" i="60" a="1"/>
  <c r="AQ33" i="60" s="1"/>
  <c r="AB33" i="60" a="1"/>
  <c r="AO32" i="60"/>
  <c r="AN32" i="60"/>
  <c r="AT33" i="60" a="1"/>
  <c r="AT33" i="60" s="1"/>
  <c r="AR32" i="60"/>
  <c r="G59" i="60"/>
  <c r="F59" i="60"/>
  <c r="E60" i="60"/>
  <c r="D61" i="60"/>
  <c r="AP32" i="60" l="1"/>
  <c r="AE33" i="60"/>
  <c r="AD33" i="60"/>
  <c r="AC33" i="60"/>
  <c r="AB33" i="60"/>
  <c r="AM33" i="60"/>
  <c r="AL33" i="60"/>
  <c r="AK33" i="60"/>
  <c r="AJ33" i="60"/>
  <c r="AI33" i="60"/>
  <c r="AH33" i="60"/>
  <c r="AG33" i="60"/>
  <c r="AF33" i="60"/>
  <c r="G60" i="60"/>
  <c r="F60" i="60"/>
  <c r="E61" i="60"/>
  <c r="D62" i="60"/>
  <c r="AO33" i="60" l="1"/>
  <c r="AN33" i="60"/>
  <c r="AT34" i="60" a="1"/>
  <c r="AT34" i="60" s="1"/>
  <c r="AS34" i="60" a="1"/>
  <c r="AS34" i="60" s="1"/>
  <c r="AQ34" i="60" a="1"/>
  <c r="AQ34" i="60" s="1"/>
  <c r="AB34" i="60" a="1"/>
  <c r="AR33" i="60"/>
  <c r="G61" i="60"/>
  <c r="F61" i="60"/>
  <c r="E62" i="60"/>
  <c r="D63" i="60"/>
  <c r="AM34" i="60" l="1"/>
  <c r="AL34" i="60"/>
  <c r="AK34" i="60"/>
  <c r="AJ34" i="60"/>
  <c r="AI34" i="60"/>
  <c r="AH34" i="60"/>
  <c r="AG34" i="60"/>
  <c r="AF34" i="60"/>
  <c r="AE34" i="60"/>
  <c r="AD34" i="60"/>
  <c r="AC34" i="60"/>
  <c r="AB34" i="60"/>
  <c r="AP33" i="60"/>
  <c r="G62" i="60"/>
  <c r="F62" i="60"/>
  <c r="E63" i="60"/>
  <c r="D64" i="60"/>
  <c r="AN34" i="60" l="1"/>
  <c r="AT35" i="60" a="1"/>
  <c r="AT35" i="60" s="1"/>
  <c r="AS35" i="60" a="1"/>
  <c r="AS35" i="60" s="1"/>
  <c r="AQ35" i="60" a="1"/>
  <c r="AQ35" i="60" s="1"/>
  <c r="AB35" i="60" a="1"/>
  <c r="AO34" i="60"/>
  <c r="AR34" i="60"/>
  <c r="G63" i="60"/>
  <c r="F63" i="60"/>
  <c r="E64" i="60"/>
  <c r="D65" i="60"/>
  <c r="AP34" i="60" l="1"/>
  <c r="AG35" i="60"/>
  <c r="AF35" i="60"/>
  <c r="AE35" i="60"/>
  <c r="AD35" i="60"/>
  <c r="AC35" i="60"/>
  <c r="AB35" i="60"/>
  <c r="AM35" i="60"/>
  <c r="AL35" i="60"/>
  <c r="AK35" i="60"/>
  <c r="AJ35" i="60"/>
  <c r="AI35" i="60"/>
  <c r="AH35" i="60"/>
  <c r="G64" i="60"/>
  <c r="F64" i="60"/>
  <c r="E65" i="60"/>
  <c r="D66" i="60"/>
  <c r="AO35" i="60" l="1"/>
  <c r="AN35" i="60"/>
  <c r="AT36" i="60" a="1"/>
  <c r="AT36" i="60" s="1"/>
  <c r="AS36" i="60" a="1"/>
  <c r="AS36" i="60" s="1"/>
  <c r="AQ36" i="60" a="1"/>
  <c r="AQ36" i="60" s="1"/>
  <c r="AB36" i="60" a="1"/>
  <c r="AR35" i="60"/>
  <c r="G65" i="60"/>
  <c r="F65" i="60"/>
  <c r="E66" i="60"/>
  <c r="D67" i="60"/>
  <c r="AM36" i="60" l="1"/>
  <c r="AL36" i="60"/>
  <c r="AK36" i="60"/>
  <c r="AJ36" i="60"/>
  <c r="AI36" i="60"/>
  <c r="AH36" i="60"/>
  <c r="AG36" i="60"/>
  <c r="AF36" i="60"/>
  <c r="AE36" i="60"/>
  <c r="AD36" i="60"/>
  <c r="AC36" i="60"/>
  <c r="AB36" i="60"/>
  <c r="AP35" i="60"/>
  <c r="G66" i="60"/>
  <c r="F66" i="60"/>
  <c r="E67" i="60"/>
  <c r="D68" i="60"/>
  <c r="AO36" i="60" l="1"/>
  <c r="AN36" i="60"/>
  <c r="AT37" i="60" a="1"/>
  <c r="AT37" i="60" s="1"/>
  <c r="AS37" i="60" a="1"/>
  <c r="AS37" i="60" s="1"/>
  <c r="AQ37" i="60" a="1"/>
  <c r="AQ37" i="60" s="1"/>
  <c r="AB37" i="60" a="1"/>
  <c r="AR36" i="60"/>
  <c r="G67" i="60"/>
  <c r="F67" i="60"/>
  <c r="E68" i="60"/>
  <c r="D69" i="60"/>
  <c r="AI37" i="60" l="1"/>
  <c r="AH37" i="60"/>
  <c r="AG37" i="60"/>
  <c r="AF37" i="60"/>
  <c r="AE37" i="60"/>
  <c r="AD37" i="60"/>
  <c r="AC37" i="60"/>
  <c r="AB37" i="60"/>
  <c r="AM37" i="60"/>
  <c r="AL37" i="60"/>
  <c r="AK37" i="60"/>
  <c r="AJ37" i="60"/>
  <c r="AP36" i="60"/>
  <c r="G68" i="60"/>
  <c r="F68" i="60"/>
  <c r="E69" i="60"/>
  <c r="D70" i="60"/>
  <c r="AQ38" i="60" l="1" a="1"/>
  <c r="AQ38" i="60" s="1"/>
  <c r="AB38" i="60" a="1"/>
  <c r="AO37" i="60"/>
  <c r="AN37" i="60"/>
  <c r="AT38" i="60" a="1"/>
  <c r="AT38" i="60" s="1"/>
  <c r="AS38" i="60" a="1"/>
  <c r="AS38" i="60" s="1"/>
  <c r="AR37" i="60"/>
  <c r="G69" i="60"/>
  <c r="F69" i="60"/>
  <c r="E70" i="60"/>
  <c r="D71" i="60"/>
  <c r="AP37" i="60" l="1"/>
  <c r="AB38" i="60"/>
  <c r="AM38" i="60"/>
  <c r="AL38" i="60"/>
  <c r="AK38" i="60"/>
  <c r="AJ38" i="60"/>
  <c r="AI38" i="60"/>
  <c r="AH38" i="60"/>
  <c r="AG38" i="60"/>
  <c r="AF38" i="60"/>
  <c r="AE38" i="60"/>
  <c r="AD38" i="60"/>
  <c r="AC38" i="60"/>
  <c r="G70" i="60"/>
  <c r="F70" i="60"/>
  <c r="E71" i="60"/>
  <c r="D72" i="60"/>
  <c r="AR38" i="60" l="1"/>
  <c r="AO38" i="60"/>
  <c r="AN38" i="60"/>
  <c r="AT39" i="60" a="1"/>
  <c r="AT39" i="60" s="1"/>
  <c r="AS39" i="60" a="1"/>
  <c r="AS39" i="60" s="1"/>
  <c r="AQ39" i="60" a="1"/>
  <c r="AQ39" i="60" s="1"/>
  <c r="AB39" i="60" a="1"/>
  <c r="G71" i="60"/>
  <c r="F71" i="60"/>
  <c r="E72" i="60"/>
  <c r="D73" i="60"/>
  <c r="AP38" i="60" l="1"/>
  <c r="AK39" i="60"/>
  <c r="AJ39" i="60"/>
  <c r="AI39" i="60"/>
  <c r="AH39" i="60"/>
  <c r="AG39" i="60"/>
  <c r="AF39" i="60"/>
  <c r="AE39" i="60"/>
  <c r="AD39" i="60"/>
  <c r="AC39" i="60"/>
  <c r="AB39" i="60"/>
  <c r="AM39" i="60"/>
  <c r="AL39" i="60"/>
  <c r="G72" i="60"/>
  <c r="F72" i="60"/>
  <c r="E73" i="60"/>
  <c r="D74" i="60"/>
  <c r="AS40" i="60" l="1" a="1"/>
  <c r="AS40" i="60" s="1"/>
  <c r="AQ40" i="60" a="1"/>
  <c r="AQ40" i="60" s="1"/>
  <c r="AB40" i="60" a="1"/>
  <c r="AO39" i="60"/>
  <c r="AN39" i="60"/>
  <c r="AT40" i="60" a="1"/>
  <c r="AT40" i="60" s="1"/>
  <c r="AR39" i="60"/>
  <c r="G73" i="60"/>
  <c r="F73" i="60"/>
  <c r="E74" i="60"/>
  <c r="D75" i="60"/>
  <c r="AP39" i="60" l="1"/>
  <c r="AD40" i="60"/>
  <c r="AC40" i="60"/>
  <c r="AB40" i="60"/>
  <c r="AM40" i="60"/>
  <c r="AL40" i="60"/>
  <c r="AK40" i="60"/>
  <c r="AJ40" i="60"/>
  <c r="AI40" i="60"/>
  <c r="AH40" i="60"/>
  <c r="AG40" i="60"/>
  <c r="AF40" i="60"/>
  <c r="AE40" i="60"/>
  <c r="G74" i="60"/>
  <c r="F74" i="60"/>
  <c r="E75" i="60"/>
  <c r="D76" i="60"/>
  <c r="AR40" i="60" l="1"/>
  <c r="AO40" i="60"/>
  <c r="AN40" i="60"/>
  <c r="AT41" i="60" a="1"/>
  <c r="AT41" i="60" s="1"/>
  <c r="AS41" i="60" a="1"/>
  <c r="AS41" i="60" s="1"/>
  <c r="AQ41" i="60" a="1"/>
  <c r="AQ41" i="60" s="1"/>
  <c r="AB41" i="60" a="1"/>
  <c r="G75" i="60"/>
  <c r="F75" i="60"/>
  <c r="E76" i="60"/>
  <c r="D77" i="60"/>
  <c r="AP40" i="60" l="1"/>
  <c r="AM41" i="60"/>
  <c r="AL41" i="60"/>
  <c r="AK41" i="60"/>
  <c r="AJ41" i="60"/>
  <c r="AI41" i="60"/>
  <c r="AH41" i="60"/>
  <c r="AG41" i="60"/>
  <c r="AF41" i="60"/>
  <c r="AE41" i="60"/>
  <c r="AD41" i="60"/>
  <c r="AC41" i="60"/>
  <c r="AB41" i="60"/>
  <c r="G76" i="60"/>
  <c r="F76" i="60"/>
  <c r="E77" i="60"/>
  <c r="D78" i="60"/>
  <c r="AT42" i="60" l="1" a="1"/>
  <c r="AT42" i="60" s="1"/>
  <c r="AS42" i="60" a="1"/>
  <c r="AS42" i="60" s="1"/>
  <c r="AQ42" i="60" a="1"/>
  <c r="AQ42" i="60" s="1"/>
  <c r="AB42" i="60" a="1"/>
  <c r="AO41" i="60"/>
  <c r="AN41" i="60"/>
  <c r="AR41" i="60"/>
  <c r="G77" i="60"/>
  <c r="F77" i="60"/>
  <c r="E78" i="60"/>
  <c r="D79" i="60"/>
  <c r="AP41" i="60" l="1"/>
  <c r="AF42" i="60"/>
  <c r="AE42" i="60"/>
  <c r="AD42" i="60"/>
  <c r="AC42" i="60"/>
  <c r="AB42" i="60"/>
  <c r="AM42" i="60"/>
  <c r="AL42" i="60"/>
  <c r="AK42" i="60"/>
  <c r="AJ42" i="60"/>
  <c r="AI42" i="60"/>
  <c r="AH42" i="60"/>
  <c r="AG42" i="60"/>
  <c r="G78" i="60"/>
  <c r="F78" i="60"/>
  <c r="E79" i="60"/>
  <c r="D80" i="60"/>
  <c r="AO42" i="60" l="1"/>
  <c r="AN42" i="60"/>
  <c r="AT43" i="60" a="1"/>
  <c r="AT43" i="60" s="1"/>
  <c r="AS43" i="60" a="1"/>
  <c r="AS43" i="60" s="1"/>
  <c r="AQ43" i="60" a="1"/>
  <c r="AQ43" i="60" s="1"/>
  <c r="AB43" i="60" a="1"/>
  <c r="AR42" i="60"/>
  <c r="G79" i="60"/>
  <c r="F79" i="60"/>
  <c r="E80" i="60"/>
  <c r="D81" i="60"/>
  <c r="AM43" i="60" l="1"/>
  <c r="AL43" i="60"/>
  <c r="AK43" i="60"/>
  <c r="AJ43" i="60"/>
  <c r="AI43" i="60"/>
  <c r="AH43" i="60"/>
  <c r="AG43" i="60"/>
  <c r="AF43" i="60"/>
  <c r="AE43" i="60"/>
  <c r="AD43" i="60"/>
  <c r="AC43" i="60"/>
  <c r="AB43" i="60"/>
  <c r="AP42" i="60"/>
  <c r="G80" i="60"/>
  <c r="F80" i="60"/>
  <c r="E81" i="60"/>
  <c r="D82" i="60"/>
  <c r="AO43" i="60" l="1"/>
  <c r="AN43" i="60"/>
  <c r="AT44" i="60" a="1"/>
  <c r="AT44" i="60" s="1"/>
  <c r="AS44" i="60" a="1"/>
  <c r="AS44" i="60" s="1"/>
  <c r="AQ44" i="60" a="1"/>
  <c r="AQ44" i="60" s="1"/>
  <c r="AB44" i="60" a="1"/>
  <c r="AR43" i="60"/>
  <c r="G81" i="60"/>
  <c r="F81" i="60"/>
  <c r="E82" i="60"/>
  <c r="D83" i="60"/>
  <c r="AH44" i="60" l="1"/>
  <c r="AG44" i="60"/>
  <c r="AF44" i="60"/>
  <c r="AE44" i="60"/>
  <c r="AD44" i="60"/>
  <c r="AC44" i="60"/>
  <c r="AB44" i="60"/>
  <c r="AM44" i="60"/>
  <c r="AL44" i="60"/>
  <c r="AK44" i="60"/>
  <c r="AJ44" i="60"/>
  <c r="AI44" i="60"/>
  <c r="AP43" i="60"/>
  <c r="G82" i="60"/>
  <c r="F82" i="60"/>
  <c r="E83" i="60"/>
  <c r="D84" i="60"/>
  <c r="AQ45" i="60" l="1" a="1"/>
  <c r="AQ45" i="60" s="1"/>
  <c r="AB45" i="60" a="1"/>
  <c r="AO44" i="60"/>
  <c r="AN44" i="60"/>
  <c r="AT45" i="60" a="1"/>
  <c r="AT45" i="60" s="1"/>
  <c r="AS45" i="60" a="1"/>
  <c r="AS45" i="60" s="1"/>
  <c r="AR44" i="60"/>
  <c r="G83" i="60"/>
  <c r="F83" i="60"/>
  <c r="E84" i="60"/>
  <c r="D85" i="60"/>
  <c r="AP44" i="60" l="1"/>
  <c r="AM45" i="60"/>
  <c r="AL45" i="60"/>
  <c r="AK45" i="60"/>
  <c r="AJ45" i="60"/>
  <c r="AI45" i="60"/>
  <c r="AH45" i="60"/>
  <c r="AG45" i="60"/>
  <c r="AF45" i="60"/>
  <c r="AE45" i="60"/>
  <c r="AD45" i="60"/>
  <c r="AC45" i="60"/>
  <c r="AB45" i="60"/>
  <c r="G84" i="60"/>
  <c r="F84" i="60"/>
  <c r="E85" i="60"/>
  <c r="D86" i="60"/>
  <c r="AO45" i="60" l="1"/>
  <c r="AN45" i="60"/>
  <c r="AT46" i="60" a="1"/>
  <c r="AT46" i="60" s="1"/>
  <c r="AS46" i="60" a="1"/>
  <c r="AS46" i="60" s="1"/>
  <c r="AQ46" i="60" a="1"/>
  <c r="AQ46" i="60" s="1"/>
  <c r="AB46" i="60" a="1"/>
  <c r="AR45" i="60"/>
  <c r="G85" i="60"/>
  <c r="F85" i="60"/>
  <c r="E86" i="60"/>
  <c r="D87" i="60"/>
  <c r="AJ46" i="60" l="1"/>
  <c r="AI46" i="60"/>
  <c r="AH46" i="60"/>
  <c r="AG46" i="60"/>
  <c r="AF46" i="60"/>
  <c r="AE46" i="60"/>
  <c r="AD46" i="60"/>
  <c r="AC46" i="60"/>
  <c r="AB46" i="60"/>
  <c r="AM46" i="60"/>
  <c r="AL46" i="60"/>
  <c r="AK46" i="60"/>
  <c r="AP45" i="60"/>
  <c r="G86" i="60"/>
  <c r="F86" i="60"/>
  <c r="E87" i="60"/>
  <c r="D88" i="60"/>
  <c r="AQ47" i="60" l="1" a="1"/>
  <c r="AQ47" i="60" s="1"/>
  <c r="AB47" i="60" a="1"/>
  <c r="AO46" i="60"/>
  <c r="AN46" i="60"/>
  <c r="AT47" i="60" a="1"/>
  <c r="AT47" i="60" s="1"/>
  <c r="AS47" i="60" a="1"/>
  <c r="AS47" i="60" s="1"/>
  <c r="AR46" i="60"/>
  <c r="G87" i="60"/>
  <c r="F87" i="60"/>
  <c r="E88" i="60"/>
  <c r="D89" i="60"/>
  <c r="AP46" i="60" l="1"/>
  <c r="AC47" i="60"/>
  <c r="AB47" i="60"/>
  <c r="AM47" i="60"/>
  <c r="AL47" i="60"/>
  <c r="AK47" i="60"/>
  <c r="AJ47" i="60"/>
  <c r="AI47" i="60"/>
  <c r="AH47" i="60"/>
  <c r="AG47" i="60"/>
  <c r="AF47" i="60"/>
  <c r="AE47" i="60"/>
  <c r="AD47" i="60"/>
  <c r="G88" i="60"/>
  <c r="F88" i="60"/>
  <c r="E89" i="60"/>
  <c r="D90" i="60"/>
  <c r="AR47" i="60" l="1"/>
  <c r="AO47" i="60"/>
  <c r="AN47" i="60"/>
  <c r="AT48" i="60" a="1"/>
  <c r="AT48" i="60" s="1"/>
  <c r="AS48" i="60" a="1"/>
  <c r="AS48" i="60" s="1"/>
  <c r="AQ48" i="60" a="1"/>
  <c r="AQ48" i="60" s="1"/>
  <c r="AB48" i="60" a="1"/>
  <c r="G89" i="60"/>
  <c r="F89" i="60"/>
  <c r="E90" i="60"/>
  <c r="D91" i="60"/>
  <c r="AP47" i="60" l="1"/>
  <c r="AL48" i="60"/>
  <c r="AK48" i="60"/>
  <c r="AJ48" i="60"/>
  <c r="AI48" i="60"/>
  <c r="AH48" i="60"/>
  <c r="AG48" i="60"/>
  <c r="AF48" i="60"/>
  <c r="AE48" i="60"/>
  <c r="AD48" i="60"/>
  <c r="AC48" i="60"/>
  <c r="AB48" i="60"/>
  <c r="AM48" i="60"/>
  <c r="G90" i="60"/>
  <c r="F90" i="60"/>
  <c r="E91" i="60"/>
  <c r="D92" i="60"/>
  <c r="AS49" i="60" l="1" a="1"/>
  <c r="AS49" i="60" s="1"/>
  <c r="AQ49" i="60" a="1"/>
  <c r="AQ49" i="60" s="1"/>
  <c r="AB49" i="60" a="1"/>
  <c r="AO48" i="60"/>
  <c r="AN48" i="60"/>
  <c r="AT49" i="60" a="1"/>
  <c r="AT49" i="60" s="1"/>
  <c r="AR48" i="60"/>
  <c r="G91" i="60"/>
  <c r="F91" i="60"/>
  <c r="E92" i="60"/>
  <c r="D93" i="60"/>
  <c r="AP48" i="60" l="1"/>
  <c r="AE49" i="60"/>
  <c r="AD49" i="60"/>
  <c r="AC49" i="60"/>
  <c r="AB49" i="60"/>
  <c r="AM49" i="60"/>
  <c r="AL49" i="60"/>
  <c r="AK49" i="60"/>
  <c r="AJ49" i="60"/>
  <c r="AI49" i="60"/>
  <c r="AH49" i="60"/>
  <c r="AG49" i="60"/>
  <c r="AF49" i="60"/>
  <c r="G92" i="60"/>
  <c r="F92" i="60"/>
  <c r="E93" i="60"/>
  <c r="D94" i="60"/>
  <c r="AO49" i="60" l="1"/>
  <c r="AN49" i="60"/>
  <c r="AT50" i="60" a="1"/>
  <c r="AT50" i="60" s="1"/>
  <c r="AT4" i="60" s="1"/>
  <c r="AS50" i="60" a="1"/>
  <c r="AS50" i="60" s="1"/>
  <c r="AS4" i="60" s="1"/>
  <c r="AQ50" i="60" a="1"/>
  <c r="AQ50" i="60" s="1"/>
  <c r="AQ4" i="60" s="1"/>
  <c r="AB50" i="60" a="1"/>
  <c r="AR49" i="60"/>
  <c r="G93" i="60"/>
  <c r="F93" i="60"/>
  <c r="E94" i="60"/>
  <c r="D95" i="60"/>
  <c r="AM50" i="60" l="1"/>
  <c r="AL50" i="60"/>
  <c r="AK50" i="60"/>
  <c r="AJ50" i="60"/>
  <c r="AI50" i="60"/>
  <c r="AH50" i="60"/>
  <c r="AG50" i="60"/>
  <c r="AF50" i="60"/>
  <c r="AE50" i="60"/>
  <c r="AD50" i="60"/>
  <c r="AC50" i="60"/>
  <c r="AB50" i="60"/>
  <c r="AP49" i="60"/>
  <c r="G94" i="60"/>
  <c r="F94" i="60"/>
  <c r="E95" i="60"/>
  <c r="D96" i="60"/>
  <c r="AE4" i="60" l="1"/>
  <c r="AE5" i="60" a="1"/>
  <c r="AE5" i="60" s="1"/>
  <c r="AF4" i="60"/>
  <c r="AF5" i="60" a="1"/>
  <c r="AF5" i="60" s="1"/>
  <c r="AI4" i="60"/>
  <c r="AI5" i="60" a="1"/>
  <c r="AI5" i="60" s="1"/>
  <c r="AK4" i="60"/>
  <c r="AK5" i="60" a="1"/>
  <c r="AK5" i="60" s="1"/>
  <c r="AN50" i="60"/>
  <c r="AT51" i="60" a="1"/>
  <c r="AT51" i="60" s="1"/>
  <c r="AS51" i="60" a="1"/>
  <c r="AS51" i="60" s="1"/>
  <c r="AQ51" i="60" a="1"/>
  <c r="AQ51" i="60" s="1"/>
  <c r="AB51" i="60" a="1"/>
  <c r="AO50" i="60"/>
  <c r="AB4" i="60"/>
  <c r="AB5" i="60" a="1"/>
  <c r="AB5" i="60" s="1"/>
  <c r="AR50" i="60"/>
  <c r="AR4" i="60" s="1"/>
  <c r="AD4" i="60"/>
  <c r="AD5" i="60" a="1"/>
  <c r="AD5" i="60" s="1"/>
  <c r="AG4" i="60"/>
  <c r="AG5" i="60" a="1"/>
  <c r="AG5" i="60" s="1"/>
  <c r="AJ4" i="60"/>
  <c r="AJ5" i="60" a="1"/>
  <c r="AJ5" i="60" s="1"/>
  <c r="AL4" i="60"/>
  <c r="AL5" i="60" a="1"/>
  <c r="AL5" i="60" s="1"/>
  <c r="AC4" i="60"/>
  <c r="AC5" i="60" a="1"/>
  <c r="AC5" i="60" s="1"/>
  <c r="AH4" i="60"/>
  <c r="AH5" i="60" a="1"/>
  <c r="AH5" i="60" s="1"/>
  <c r="AM4" i="60"/>
  <c r="AM5" i="60" a="1"/>
  <c r="AM5" i="60" s="1"/>
  <c r="G95" i="60"/>
  <c r="F95" i="60"/>
  <c r="E96" i="60"/>
  <c r="D97" i="60"/>
  <c r="AP50" i="60" l="1"/>
  <c r="AP4" i="60" s="1"/>
  <c r="AO4" i="60"/>
  <c r="AO5" i="60" a="1"/>
  <c r="AO5" i="60" s="1"/>
  <c r="AG51" i="60"/>
  <c r="AF51" i="60"/>
  <c r="AE51" i="60"/>
  <c r="AD51" i="60"/>
  <c r="AC51" i="60"/>
  <c r="AB51" i="60"/>
  <c r="AM51" i="60"/>
  <c r="AL51" i="60"/>
  <c r="AK51" i="60"/>
  <c r="AJ51" i="60"/>
  <c r="AI51" i="60"/>
  <c r="AH51" i="60"/>
  <c r="G96" i="60"/>
  <c r="F96" i="60"/>
  <c r="E97" i="60"/>
  <c r="D98" i="60"/>
  <c r="AR51" i="60" l="1"/>
  <c r="AO51" i="60"/>
  <c r="AP51" i="60" s="1"/>
  <c r="AN51" i="60"/>
  <c r="AT52" i="60" a="1"/>
  <c r="AT52" i="60" s="1"/>
  <c r="AS52" i="60" a="1"/>
  <c r="AS52" i="60" s="1"/>
  <c r="AQ52" i="60" a="1"/>
  <c r="AQ52" i="60" s="1"/>
  <c r="AB52" i="60" a="1"/>
  <c r="G97" i="60"/>
  <c r="F97" i="60"/>
  <c r="E98" i="60"/>
  <c r="D99" i="60"/>
  <c r="AM52" i="60" l="1"/>
  <c r="AL52" i="60"/>
  <c r="AK52" i="60"/>
  <c r="AJ52" i="60"/>
  <c r="AI52" i="60"/>
  <c r="AH52" i="60"/>
  <c r="AG52" i="60"/>
  <c r="AF52" i="60"/>
  <c r="AE52" i="60"/>
  <c r="AD52" i="60"/>
  <c r="AC52" i="60"/>
  <c r="AB52" i="60"/>
  <c r="G98" i="60"/>
  <c r="F98" i="60"/>
  <c r="E99" i="60"/>
  <c r="D100" i="60"/>
  <c r="AR52" i="60" l="1"/>
  <c r="AO52" i="60"/>
  <c r="AP52" i="60" s="1"/>
  <c r="AN52" i="60"/>
  <c r="AT53" i="60" a="1"/>
  <c r="AT53" i="60" s="1"/>
  <c r="AS53" i="60" a="1"/>
  <c r="AS53" i="60" s="1"/>
  <c r="AQ53" i="60" a="1"/>
  <c r="AQ53" i="60" s="1"/>
  <c r="AB53" i="60" a="1"/>
  <c r="G99" i="60"/>
  <c r="F99" i="60"/>
  <c r="E100" i="60"/>
  <c r="D101" i="60"/>
  <c r="AI53" i="60" l="1"/>
  <c r="AH53" i="60"/>
  <c r="AG53" i="60"/>
  <c r="AF53" i="60"/>
  <c r="AE53" i="60"/>
  <c r="AD53" i="60"/>
  <c r="AR53" i="60" s="1"/>
  <c r="AC53" i="60"/>
  <c r="AB53" i="60"/>
  <c r="AM53" i="60"/>
  <c r="AL53" i="60"/>
  <c r="AK53" i="60"/>
  <c r="AJ53" i="60"/>
  <c r="G100" i="60"/>
  <c r="F100" i="60"/>
  <c r="E101" i="60"/>
  <c r="D102" i="60"/>
  <c r="AQ54" i="60" l="1" a="1"/>
  <c r="AQ54" i="60" s="1"/>
  <c r="AB54" i="60" a="1"/>
  <c r="AO53" i="60"/>
  <c r="AP53" i="60" s="1"/>
  <c r="AN53" i="60"/>
  <c r="AT54" i="60" a="1"/>
  <c r="AT54" i="60" s="1"/>
  <c r="AS54" i="60" a="1"/>
  <c r="AS54" i="60" s="1"/>
  <c r="G101" i="60"/>
  <c r="F101" i="60"/>
  <c r="E102" i="60"/>
  <c r="D103" i="60"/>
  <c r="AB54" i="60" l="1"/>
  <c r="AM54" i="60"/>
  <c r="AL54" i="60"/>
  <c r="AK54" i="60"/>
  <c r="AJ54" i="60"/>
  <c r="AI54" i="60"/>
  <c r="AH54" i="60"/>
  <c r="AG54" i="60"/>
  <c r="AF54" i="60"/>
  <c r="AE54" i="60"/>
  <c r="AD54" i="60"/>
  <c r="AR54" i="60" s="1"/>
  <c r="AC54" i="60"/>
  <c r="G102" i="60"/>
  <c r="F102" i="60"/>
  <c r="E103" i="60"/>
  <c r="D104" i="60"/>
  <c r="AO54" i="60" l="1"/>
  <c r="AP54" i="60" s="1"/>
  <c r="AN54" i="60"/>
  <c r="AT55" i="60" a="1"/>
  <c r="AT55" i="60" s="1"/>
  <c r="AS55" i="60" a="1"/>
  <c r="AS55" i="60" s="1"/>
  <c r="AQ55" i="60" a="1"/>
  <c r="AQ55" i="60" s="1"/>
  <c r="AB55" i="60" a="1"/>
  <c r="G103" i="60"/>
  <c r="F103" i="60"/>
  <c r="E104" i="60"/>
  <c r="D105" i="60"/>
  <c r="AK55" i="60" l="1"/>
  <c r="AJ55" i="60"/>
  <c r="AI55" i="60"/>
  <c r="AH55" i="60"/>
  <c r="AG55" i="60"/>
  <c r="AF55" i="60"/>
  <c r="AE55" i="60"/>
  <c r="AD55" i="60"/>
  <c r="AC55" i="60"/>
  <c r="AB55" i="60"/>
  <c r="AM55" i="60"/>
  <c r="AL55" i="60"/>
  <c r="G104" i="60"/>
  <c r="F104" i="60"/>
  <c r="E105" i="60"/>
  <c r="D106" i="60"/>
  <c r="AR55" i="60" l="1"/>
  <c r="AS56" i="60" a="1"/>
  <c r="AS56" i="60" s="1"/>
  <c r="AQ56" i="60" a="1"/>
  <c r="AQ56" i="60" s="1"/>
  <c r="AB56" i="60" a="1"/>
  <c r="AO55" i="60"/>
  <c r="AP55" i="60" s="1"/>
  <c r="AN55" i="60"/>
  <c r="AT56" i="60" a="1"/>
  <c r="AT56" i="60" s="1"/>
  <c r="G105" i="60"/>
  <c r="F105" i="60"/>
  <c r="E106" i="60"/>
  <c r="D107" i="60"/>
  <c r="AD56" i="60" l="1"/>
  <c r="AC56" i="60"/>
  <c r="AB56" i="60"/>
  <c r="AM56" i="60"/>
  <c r="AL56" i="60"/>
  <c r="AK56" i="60"/>
  <c r="AJ56" i="60"/>
  <c r="AI56" i="60"/>
  <c r="AH56" i="60"/>
  <c r="AG56" i="60"/>
  <c r="AF56" i="60"/>
  <c r="AE56" i="60"/>
  <c r="G106" i="60"/>
  <c r="F106" i="60"/>
  <c r="E107" i="60"/>
  <c r="D108" i="60"/>
  <c r="AO56" i="60" l="1"/>
  <c r="AP56" i="60" s="1"/>
  <c r="AN56" i="60"/>
  <c r="AT57" i="60" a="1"/>
  <c r="AT57" i="60" s="1"/>
  <c r="AS57" i="60" a="1"/>
  <c r="AS57" i="60" s="1"/>
  <c r="AQ57" i="60" a="1"/>
  <c r="AQ57" i="60" s="1"/>
  <c r="AB57" i="60" a="1"/>
  <c r="AR56" i="60"/>
  <c r="G107" i="60"/>
  <c r="F107" i="60"/>
  <c r="E108" i="60"/>
  <c r="D109" i="60"/>
  <c r="AM57" i="60" l="1"/>
  <c r="AL57" i="60"/>
  <c r="AK57" i="60"/>
  <c r="AJ57" i="60"/>
  <c r="AI57" i="60"/>
  <c r="AH57" i="60"/>
  <c r="AG57" i="60"/>
  <c r="AF57" i="60"/>
  <c r="AE57" i="60"/>
  <c r="AD57" i="60"/>
  <c r="AC57" i="60"/>
  <c r="AB57" i="60"/>
  <c r="G108" i="60"/>
  <c r="F108" i="60"/>
  <c r="E109" i="60"/>
  <c r="D110" i="60"/>
  <c r="AR57" i="60" l="1"/>
  <c r="AT58" i="60" a="1"/>
  <c r="AT58" i="60" s="1"/>
  <c r="AS58" i="60" a="1"/>
  <c r="AS58" i="60" s="1"/>
  <c r="AQ58" i="60" a="1"/>
  <c r="AQ58" i="60" s="1"/>
  <c r="AB58" i="60" a="1"/>
  <c r="AO57" i="60"/>
  <c r="AP57" i="60" s="1"/>
  <c r="AN57" i="60"/>
  <c r="G109" i="60"/>
  <c r="F109" i="60"/>
  <c r="E110" i="60"/>
  <c r="D111" i="60"/>
  <c r="D112" i="60" s="1"/>
  <c r="AF58" i="60" l="1"/>
  <c r="AE58" i="60"/>
  <c r="AD58" i="60"/>
  <c r="AC58" i="60"/>
  <c r="AB58" i="60"/>
  <c r="AM58" i="60"/>
  <c r="AL58" i="60"/>
  <c r="AK58" i="60"/>
  <c r="AJ58" i="60"/>
  <c r="AI58" i="60"/>
  <c r="AH58" i="60"/>
  <c r="AG58" i="60"/>
  <c r="G110" i="60"/>
  <c r="D113" i="60"/>
  <c r="E112" i="60"/>
  <c r="F110" i="60"/>
  <c r="E111" i="60"/>
  <c r="AR58" i="60" l="1"/>
  <c r="AO58" i="60"/>
  <c r="AP58" i="60" s="1"/>
  <c r="AN58" i="60"/>
  <c r="AT59" i="60" a="1"/>
  <c r="AT59" i="60" s="1"/>
  <c r="AS59" i="60" a="1"/>
  <c r="AS59" i="60" s="1"/>
  <c r="AQ59" i="60" a="1"/>
  <c r="AQ59" i="60" s="1"/>
  <c r="AB59" i="60" a="1"/>
  <c r="G112" i="60"/>
  <c r="G111" i="60"/>
  <c r="F111" i="60"/>
  <c r="F112" i="60"/>
  <c r="E113" i="60"/>
  <c r="D114" i="60"/>
  <c r="AM59" i="60" l="1"/>
  <c r="AL59" i="60"/>
  <c r="AK59" i="60"/>
  <c r="AJ59" i="60"/>
  <c r="AI59" i="60"/>
  <c r="AH59" i="60"/>
  <c r="AG59" i="60"/>
  <c r="AF59" i="60"/>
  <c r="AE59" i="60"/>
  <c r="AD59" i="60"/>
  <c r="AC59" i="60"/>
  <c r="AB59" i="60"/>
  <c r="G113" i="60"/>
  <c r="F113" i="60"/>
  <c r="D115" i="60"/>
  <c r="E114" i="60"/>
  <c r="AR59" i="60" l="1"/>
  <c r="AO59" i="60"/>
  <c r="AP59" i="60" s="1"/>
  <c r="AN59" i="60"/>
  <c r="AT60" i="60" a="1"/>
  <c r="AT60" i="60" s="1"/>
  <c r="AS60" i="60" a="1"/>
  <c r="AS60" i="60" s="1"/>
  <c r="AQ60" i="60" a="1"/>
  <c r="AQ60" i="60" s="1"/>
  <c r="AB60" i="60" a="1"/>
  <c r="G114" i="60"/>
  <c r="F114" i="60"/>
  <c r="D116" i="60"/>
  <c r="E115" i="60"/>
  <c r="AH60" i="60" l="1"/>
  <c r="AG60" i="60"/>
  <c r="AF60" i="60"/>
  <c r="AE60" i="60"/>
  <c r="AD60" i="60"/>
  <c r="AR60" i="60" s="1"/>
  <c r="AC60" i="60"/>
  <c r="AB60" i="60"/>
  <c r="AM60" i="60"/>
  <c r="AL60" i="60"/>
  <c r="AK60" i="60"/>
  <c r="AJ60" i="60"/>
  <c r="AI60" i="60"/>
  <c r="G115" i="60"/>
  <c r="F115" i="60"/>
  <c r="D117" i="60"/>
  <c r="E116" i="60"/>
  <c r="AQ61" i="60" l="1" a="1"/>
  <c r="AQ61" i="60" s="1"/>
  <c r="AB61" i="60" a="1"/>
  <c r="AO60" i="60"/>
  <c r="AP60" i="60" s="1"/>
  <c r="AN60" i="60"/>
  <c r="AT61" i="60" a="1"/>
  <c r="AT61" i="60" s="1"/>
  <c r="AS61" i="60" a="1"/>
  <c r="AS61" i="60" s="1"/>
  <c r="G116" i="60"/>
  <c r="F116" i="60"/>
  <c r="E117" i="60"/>
  <c r="D118" i="60"/>
  <c r="AM61" i="60" l="1"/>
  <c r="AL61" i="60"/>
  <c r="AK61" i="60"/>
  <c r="AJ61" i="60"/>
  <c r="AI61" i="60"/>
  <c r="AH61" i="60"/>
  <c r="AG61" i="60"/>
  <c r="AF61" i="60"/>
  <c r="AE61" i="60"/>
  <c r="AD61" i="60"/>
  <c r="AC61" i="60"/>
  <c r="AB61" i="60"/>
  <c r="G117" i="60"/>
  <c r="D119" i="60"/>
  <c r="E118" i="60"/>
  <c r="F117" i="60"/>
  <c r="AR61" i="60" l="1"/>
  <c r="AO61" i="60"/>
  <c r="AP61" i="60" s="1"/>
  <c r="AN61" i="60"/>
  <c r="AT62" i="60" a="1"/>
  <c r="AT62" i="60" s="1"/>
  <c r="AS62" i="60" a="1"/>
  <c r="AS62" i="60" s="1"/>
  <c r="AQ62" i="60" a="1"/>
  <c r="AQ62" i="60" s="1"/>
  <c r="AB62" i="60" a="1"/>
  <c r="G118" i="60"/>
  <c r="F118" i="60"/>
  <c r="D120" i="60"/>
  <c r="E119" i="60"/>
  <c r="AJ62" i="60" l="1"/>
  <c r="AI62" i="60"/>
  <c r="AH62" i="60"/>
  <c r="AG62" i="60"/>
  <c r="AF62" i="60"/>
  <c r="AE62" i="60"/>
  <c r="AD62" i="60"/>
  <c r="AR62" i="60" s="1"/>
  <c r="AC62" i="60"/>
  <c r="AB62" i="60"/>
  <c r="AM62" i="60"/>
  <c r="AL62" i="60"/>
  <c r="AK62" i="60"/>
  <c r="G119" i="60"/>
  <c r="F119" i="60"/>
  <c r="D121" i="60"/>
  <c r="E120" i="60"/>
  <c r="AQ63" i="60" l="1" a="1"/>
  <c r="AQ63" i="60" s="1"/>
  <c r="AB63" i="60" a="1"/>
  <c r="AO62" i="60"/>
  <c r="AP62" i="60" s="1"/>
  <c r="AN62" i="60"/>
  <c r="AT63" i="60" a="1"/>
  <c r="AT63" i="60" s="1"/>
  <c r="AS63" i="60" a="1"/>
  <c r="AS63" i="60" s="1"/>
  <c r="G120" i="60"/>
  <c r="F120" i="60"/>
  <c r="D122" i="60"/>
  <c r="E121" i="60"/>
  <c r="AC63" i="60" l="1"/>
  <c r="AB63" i="60"/>
  <c r="AM63" i="60"/>
  <c r="AL63" i="60"/>
  <c r="AK63" i="60"/>
  <c r="AJ63" i="60"/>
  <c r="AI63" i="60"/>
  <c r="AH63" i="60"/>
  <c r="AG63" i="60"/>
  <c r="AF63" i="60"/>
  <c r="AE63" i="60"/>
  <c r="AD63" i="60"/>
  <c r="AR63" i="60" s="1"/>
  <c r="G121" i="60"/>
  <c r="F121" i="60"/>
  <c r="D123" i="60"/>
  <c r="E122" i="60"/>
  <c r="AO63" i="60" l="1"/>
  <c r="AP63" i="60" s="1"/>
  <c r="AN63" i="60"/>
  <c r="AT64" i="60" a="1"/>
  <c r="AT64" i="60" s="1"/>
  <c r="AS64" i="60" a="1"/>
  <c r="AS64" i="60" s="1"/>
  <c r="AQ64" i="60" a="1"/>
  <c r="AQ64" i="60" s="1"/>
  <c r="AB64" i="60" a="1"/>
  <c r="G122" i="60"/>
  <c r="F122" i="60"/>
  <c r="D124" i="60"/>
  <c r="E123" i="60"/>
  <c r="AK9" i="66" a="1"/>
  <c r="AK9" i="66" s="1"/>
  <c r="AI9" i="66" a="1"/>
  <c r="AI9" i="66" s="1"/>
  <c r="H3" i="34"/>
  <c r="H16" i="34" s="1" a="1"/>
  <c r="H16" i="34" s="1"/>
  <c r="E3" i="34"/>
  <c r="AL64" i="60" l="1"/>
  <c r="AK64" i="60"/>
  <c r="AJ64" i="60"/>
  <c r="AI64" i="60"/>
  <c r="AH64" i="60"/>
  <c r="AG64" i="60"/>
  <c r="AF64" i="60"/>
  <c r="AE64" i="60"/>
  <c r="AD64" i="60"/>
  <c r="AC64" i="60"/>
  <c r="AB64" i="60"/>
  <c r="AM64" i="60"/>
  <c r="F7" i="67"/>
  <c r="F4" i="135" s="1"/>
  <c r="H7" i="67"/>
  <c r="I4" i="135" s="1"/>
  <c r="G123" i="60"/>
  <c r="E13" i="34"/>
  <c r="H13" i="34"/>
  <c r="F9" i="66"/>
  <c r="F10" i="66"/>
  <c r="I3" i="34"/>
  <c r="I16" i="34" s="1" a="1"/>
  <c r="I16" i="34" s="1"/>
  <c r="F3" i="34"/>
  <c r="F123" i="60"/>
  <c r="D125" i="60"/>
  <c r="E124" i="60"/>
  <c r="AR64" i="60" l="1"/>
  <c r="AS65" i="60" a="1"/>
  <c r="AS65" i="60" s="1"/>
  <c r="AQ65" i="60" a="1"/>
  <c r="AQ65" i="60" s="1"/>
  <c r="AB65" i="60" a="1"/>
  <c r="AO64" i="60"/>
  <c r="AP64" i="60" s="1"/>
  <c r="AN64" i="60"/>
  <c r="AT65" i="60" a="1"/>
  <c r="AT65" i="60" s="1"/>
  <c r="X10" i="66" a="1"/>
  <c r="X10" i="66" s="1"/>
  <c r="T10" i="66" a="1"/>
  <c r="T10" i="66" s="1"/>
  <c r="R10" i="66" a="1"/>
  <c r="R10" i="66" s="1"/>
  <c r="O10" i="66" a="1"/>
  <c r="O10" i="66" s="1"/>
  <c r="M10" i="66" a="1"/>
  <c r="M10" i="66" s="1"/>
  <c r="K10" i="66"/>
  <c r="AD10" i="66" a="1"/>
  <c r="AD10" i="66" s="1"/>
  <c r="I10" i="66"/>
  <c r="AB10" i="66" a="1"/>
  <c r="AB10" i="66" s="1"/>
  <c r="Z10" i="66" a="1"/>
  <c r="Z10" i="66" s="1"/>
  <c r="T12" i="66" a="1"/>
  <c r="T12" i="66" s="1"/>
  <c r="R12" i="66" a="1"/>
  <c r="R12" i="66" s="1"/>
  <c r="AB9" i="66" a="1"/>
  <c r="AB9" i="66" s="1"/>
  <c r="Z9" i="66" a="1"/>
  <c r="Z9" i="66" s="1"/>
  <c r="X9" i="66" a="1"/>
  <c r="X9" i="66" s="1"/>
  <c r="T9" i="66" a="1"/>
  <c r="T9" i="66" s="1"/>
  <c r="R9" i="66" a="1"/>
  <c r="R9" i="66" s="1"/>
  <c r="O9" i="66" a="1"/>
  <c r="O9" i="66" s="1"/>
  <c r="M9" i="66" a="1"/>
  <c r="M9" i="66" s="1"/>
  <c r="K9" i="66"/>
  <c r="AD9" i="66" a="1"/>
  <c r="AD9" i="66" s="1"/>
  <c r="I9" i="66"/>
  <c r="G124" i="60"/>
  <c r="F13" i="34"/>
  <c r="I13" i="34"/>
  <c r="H10" i="66" a="1"/>
  <c r="H10" i="66" s="1"/>
  <c r="G10" i="66" a="1"/>
  <c r="G10" i="66" s="1"/>
  <c r="J10" i="66" a="1"/>
  <c r="J10" i="66" s="1"/>
  <c r="G9" i="66" a="1"/>
  <c r="G9" i="66" s="1"/>
  <c r="J9" i="66" a="1"/>
  <c r="J9" i="66" s="1"/>
  <c r="Y9" i="66" s="1" a="1"/>
  <c r="Y9" i="66" s="1"/>
  <c r="H9" i="66" a="1"/>
  <c r="H9" i="66" s="1"/>
  <c r="W9" i="66" s="1" a="1"/>
  <c r="W9" i="66" s="1"/>
  <c r="F124" i="60"/>
  <c r="E125" i="60"/>
  <c r="D126" i="60"/>
  <c r="AE65" i="60" l="1"/>
  <c r="AD65" i="60"/>
  <c r="AC65" i="60"/>
  <c r="AB65" i="60"/>
  <c r="AM65" i="60"/>
  <c r="AL65" i="60"/>
  <c r="AK65" i="60"/>
  <c r="AJ65" i="60"/>
  <c r="AI65" i="60"/>
  <c r="AH65" i="60"/>
  <c r="AG65" i="60"/>
  <c r="AF65" i="60"/>
  <c r="G125" i="60"/>
  <c r="S10" i="66"/>
  <c r="Q10" i="66"/>
  <c r="AE9" i="66" a="1"/>
  <c r="AE9" i="66" s="1"/>
  <c r="AC9" i="66" a="1"/>
  <c r="AC9" i="66" s="1"/>
  <c r="AA9" i="66" a="1"/>
  <c r="AA9" i="66" s="1"/>
  <c r="N9" i="66"/>
  <c r="L10" i="66"/>
  <c r="N10" i="66"/>
  <c r="L9" i="66"/>
  <c r="Y10" i="66" a="1"/>
  <c r="Y10" i="66" s="1"/>
  <c r="K7" i="67" s="1"/>
  <c r="K4" i="135" s="1"/>
  <c r="W10" i="66" a="1"/>
  <c r="W10" i="66" s="1"/>
  <c r="J7" i="67" s="1"/>
  <c r="H4" i="135" s="1"/>
  <c r="F125" i="60"/>
  <c r="D127" i="60"/>
  <c r="E126" i="60"/>
  <c r="AO65" i="60" l="1"/>
  <c r="AP65" i="60" s="1"/>
  <c r="AN65" i="60"/>
  <c r="AT66" i="60" a="1"/>
  <c r="AT66" i="60" s="1"/>
  <c r="AS66" i="60" a="1"/>
  <c r="AS66" i="60" s="1"/>
  <c r="AQ66" i="60" a="1"/>
  <c r="AQ66" i="60" s="1"/>
  <c r="AB66" i="60" a="1"/>
  <c r="AR65" i="60"/>
  <c r="G126" i="60"/>
  <c r="U10" i="66"/>
  <c r="AA10" i="66" a="1"/>
  <c r="AA10" i="66" s="1"/>
  <c r="AC10" i="66" a="1"/>
  <c r="AC10" i="66" s="1"/>
  <c r="AE10" i="66" a="1"/>
  <c r="AE10" i="66" s="1"/>
  <c r="F126" i="60"/>
  <c r="D128" i="60"/>
  <c r="E127" i="60"/>
  <c r="AM66" i="60" l="1"/>
  <c r="AL66" i="60"/>
  <c r="AK66" i="60"/>
  <c r="AJ66" i="60"/>
  <c r="AI66" i="60"/>
  <c r="AH66" i="60"/>
  <c r="AG66" i="60"/>
  <c r="AF66" i="60"/>
  <c r="AE66" i="60"/>
  <c r="AD66" i="60"/>
  <c r="AC66" i="60"/>
  <c r="AB66" i="60"/>
  <c r="G127" i="60"/>
  <c r="F127" i="60"/>
  <c r="D129" i="60"/>
  <c r="E128" i="60"/>
  <c r="AR66" i="60" l="1"/>
  <c r="AN66" i="60"/>
  <c r="AT67" i="60" a="1"/>
  <c r="AT67" i="60" s="1"/>
  <c r="AS67" i="60" a="1"/>
  <c r="AS67" i="60" s="1"/>
  <c r="AQ67" i="60" a="1"/>
  <c r="AQ67" i="60" s="1"/>
  <c r="AB67" i="60" a="1"/>
  <c r="AO66" i="60"/>
  <c r="AP66" i="60" s="1"/>
  <c r="G128" i="60"/>
  <c r="F128" i="60"/>
  <c r="E129" i="60"/>
  <c r="D130" i="60"/>
  <c r="AG67" i="60" l="1"/>
  <c r="AF67" i="60"/>
  <c r="AE67" i="60"/>
  <c r="AD67" i="60"/>
  <c r="AC67" i="60"/>
  <c r="AB67" i="60"/>
  <c r="AM67" i="60"/>
  <c r="AL67" i="60"/>
  <c r="AK67" i="60"/>
  <c r="AJ67" i="60"/>
  <c r="AI67" i="60"/>
  <c r="AH67" i="60"/>
  <c r="G129" i="60"/>
  <c r="D131" i="60"/>
  <c r="E131" i="60" s="1"/>
  <c r="F131" i="60" s="1"/>
  <c r="E130" i="60"/>
  <c r="F129" i="60"/>
  <c r="AR67" i="60" l="1"/>
  <c r="AO67" i="60"/>
  <c r="AP67" i="60" s="1"/>
  <c r="AN67" i="60"/>
  <c r="AT68" i="60" a="1"/>
  <c r="AT68" i="60" s="1"/>
  <c r="AS68" i="60" a="1"/>
  <c r="AS68" i="60" s="1"/>
  <c r="AQ68" i="60" a="1"/>
  <c r="AQ68" i="60" s="1"/>
  <c r="AB68" i="60" a="1"/>
  <c r="G131" i="60"/>
  <c r="G130" i="60"/>
  <c r="F130" i="60"/>
  <c r="AM68" i="60" l="1"/>
  <c r="AL68" i="60"/>
  <c r="AK68" i="60"/>
  <c r="AJ68" i="60"/>
  <c r="AI68" i="60"/>
  <c r="AH68" i="60"/>
  <c r="AG68" i="60"/>
  <c r="AF68" i="60"/>
  <c r="AE68" i="60"/>
  <c r="AD68" i="60"/>
  <c r="AC68" i="60"/>
  <c r="AB68" i="60"/>
  <c r="D32" i="35"/>
  <c r="AR68" i="60" l="1"/>
  <c r="AO68" i="60"/>
  <c r="AP68" i="60" s="1"/>
  <c r="AN68" i="60"/>
  <c r="AT69" i="60" a="1"/>
  <c r="AT69" i="60" s="1"/>
  <c r="AS69" i="60" a="1"/>
  <c r="AS69" i="60" s="1"/>
  <c r="AQ69" i="60" a="1"/>
  <c r="AQ69" i="60" s="1"/>
  <c r="AB69" i="60" a="1"/>
  <c r="D33" i="35"/>
  <c r="AI69" i="60" l="1"/>
  <c r="AH69" i="60"/>
  <c r="AG69" i="60"/>
  <c r="AF69" i="60"/>
  <c r="AE69" i="60"/>
  <c r="AD69" i="60"/>
  <c r="AR69" i="60" s="1"/>
  <c r="AC69" i="60"/>
  <c r="AB69" i="60"/>
  <c r="AM69" i="60"/>
  <c r="AL69" i="60"/>
  <c r="AK69" i="60"/>
  <c r="AJ69" i="60"/>
  <c r="D34" i="35"/>
  <c r="AQ70" i="60" l="1" a="1"/>
  <c r="AQ70" i="60" s="1"/>
  <c r="AB70" i="60" a="1"/>
  <c r="AO69" i="60"/>
  <c r="AP69" i="60" s="1"/>
  <c r="AN69" i="60"/>
  <c r="AT70" i="60" a="1"/>
  <c r="AT70" i="60" s="1"/>
  <c r="AS70" i="60" a="1"/>
  <c r="AS70" i="60" s="1"/>
  <c r="D35" i="35"/>
  <c r="H9" i="32"/>
  <c r="H2" i="32"/>
  <c r="H8" i="31"/>
  <c r="H2" i="31"/>
  <c r="AB70" i="60" l="1"/>
  <c r="AM70" i="60"/>
  <c r="AL70" i="60"/>
  <c r="AK70" i="60"/>
  <c r="AJ70" i="60"/>
  <c r="AI70" i="60"/>
  <c r="AH70" i="60"/>
  <c r="AG70" i="60"/>
  <c r="AF70" i="60"/>
  <c r="AE70" i="60"/>
  <c r="AD70" i="60"/>
  <c r="AC70" i="60"/>
  <c r="H7" i="31"/>
  <c r="H7" i="32"/>
  <c r="I2" i="32"/>
  <c r="I2" i="31"/>
  <c r="D36" i="35"/>
  <c r="AR70" i="60" l="1"/>
  <c r="AO70" i="60"/>
  <c r="AP70" i="60" s="1"/>
  <c r="AN70" i="60"/>
  <c r="AT71" i="60" a="1"/>
  <c r="AT71" i="60" s="1"/>
  <c r="AS71" i="60" a="1"/>
  <c r="AS71" i="60" s="1"/>
  <c r="AQ71" i="60" a="1"/>
  <c r="AQ71" i="60" s="1"/>
  <c r="AB71" i="60" a="1"/>
  <c r="J2" i="32"/>
  <c r="J2" i="31"/>
  <c r="D37" i="35"/>
  <c r="AK71" i="60" l="1"/>
  <c r="AJ71" i="60"/>
  <c r="AI71" i="60"/>
  <c r="AH71" i="60"/>
  <c r="AG71" i="60"/>
  <c r="AF71" i="60"/>
  <c r="AE71" i="60"/>
  <c r="AD71" i="60"/>
  <c r="AR71" i="60" s="1"/>
  <c r="AC71" i="60"/>
  <c r="AB71" i="60"/>
  <c r="AM71" i="60"/>
  <c r="AL71" i="60"/>
  <c r="K2" i="31"/>
  <c r="K2" i="32"/>
  <c r="D38" i="35"/>
  <c r="E1" i="56"/>
  <c r="E1" i="55"/>
  <c r="E1" i="54"/>
  <c r="E1" i="53"/>
  <c r="AT72" i="60" l="1" a="1"/>
  <c r="AT72" i="60" s="1"/>
  <c r="AS72" i="60" a="1"/>
  <c r="AS72" i="60" s="1"/>
  <c r="AQ72" i="60" a="1"/>
  <c r="AQ72" i="60" s="1"/>
  <c r="AB72" i="60" a="1"/>
  <c r="AO71" i="60"/>
  <c r="AP71" i="60" s="1"/>
  <c r="AN71" i="60"/>
  <c r="L2" i="31"/>
  <c r="M2" i="31" s="1"/>
  <c r="L2" i="32"/>
  <c r="D39" i="35"/>
  <c r="AD72" i="60" l="1"/>
  <c r="AC72" i="60"/>
  <c r="AB72" i="60"/>
  <c r="AM72" i="60"/>
  <c r="AL72" i="60"/>
  <c r="AK72" i="60"/>
  <c r="AJ72" i="60"/>
  <c r="AI72" i="60"/>
  <c r="AH72" i="60"/>
  <c r="AG72" i="60"/>
  <c r="AF72" i="60"/>
  <c r="AE72" i="60"/>
  <c r="M2" i="32"/>
  <c r="N2" i="31"/>
  <c r="D40" i="35"/>
  <c r="AS73" i="60" l="1" a="1"/>
  <c r="AS73" i="60" s="1"/>
  <c r="AQ73" i="60" a="1"/>
  <c r="AQ73" i="60" s="1"/>
  <c r="AT73" i="60" a="1"/>
  <c r="AT73" i="60" s="1"/>
  <c r="AO72" i="60"/>
  <c r="AP72" i="60" s="1"/>
  <c r="AN72" i="60"/>
  <c r="AB73" i="60" a="1"/>
  <c r="AR72" i="60"/>
  <c r="N2" i="32"/>
  <c r="O2" i="31"/>
  <c r="D41" i="35"/>
  <c r="AL73" i="60" l="1"/>
  <c r="AJ73" i="60"/>
  <c r="AG73" i="60"/>
  <c r="AE73" i="60"/>
  <c r="AC73" i="60"/>
  <c r="AM73" i="60"/>
  <c r="AK73" i="60"/>
  <c r="AI73" i="60"/>
  <c r="AH73" i="60"/>
  <c r="AF73" i="60"/>
  <c r="AD73" i="60"/>
  <c r="AB73" i="60"/>
  <c r="O2" i="32"/>
  <c r="P2" i="31"/>
  <c r="D42" i="35"/>
  <c r="AR73" i="60" l="1"/>
  <c r="AT74" i="60" a="1"/>
  <c r="AT74" i="60" s="1"/>
  <c r="AS74" i="60" a="1"/>
  <c r="AS74" i="60" s="1"/>
  <c r="AQ74" i="60" a="1"/>
  <c r="AQ74" i="60" s="1"/>
  <c r="AB74" i="60" a="1"/>
  <c r="AO73" i="60"/>
  <c r="AP73" i="60" s="1"/>
  <c r="AN73" i="60"/>
  <c r="P2" i="32"/>
  <c r="Q2" i="31"/>
  <c r="D43" i="35"/>
  <c r="AE74" i="60" l="1"/>
  <c r="AC74" i="60"/>
  <c r="AM74" i="60"/>
  <c r="AL74" i="60"/>
  <c r="AJ74" i="60"/>
  <c r="AH74" i="60"/>
  <c r="AD74" i="60"/>
  <c r="AB74" i="60"/>
  <c r="AK74" i="60"/>
  <c r="AI74" i="60"/>
  <c r="AG74" i="60"/>
  <c r="AF74" i="60"/>
  <c r="Q2" i="32"/>
  <c r="R2" i="31"/>
  <c r="D44" i="35"/>
  <c r="AR74" i="60" l="1"/>
  <c r="AN74" i="60"/>
  <c r="AT75" i="60" a="1"/>
  <c r="AT75" i="60" s="1"/>
  <c r="AS75" i="60" a="1"/>
  <c r="AS75" i="60" s="1"/>
  <c r="AQ75" i="60" a="1"/>
  <c r="AQ75" i="60" s="1"/>
  <c r="AB75" i="60" a="1"/>
  <c r="AO74" i="60"/>
  <c r="AP74" i="60" s="1"/>
  <c r="R2" i="32"/>
  <c r="S2" i="31"/>
  <c r="V2" i="31" s="1"/>
  <c r="D45" i="35"/>
  <c r="AM75" i="60" l="1"/>
  <c r="AL75" i="60"/>
  <c r="AJ75" i="60"/>
  <c r="AI75" i="60"/>
  <c r="AG75" i="60"/>
  <c r="AF75" i="60"/>
  <c r="AE75" i="60"/>
  <c r="AC75" i="60"/>
  <c r="AK75" i="60"/>
  <c r="AH75" i="60"/>
  <c r="AD75" i="60"/>
  <c r="AB75" i="60"/>
  <c r="V7" i="31"/>
  <c r="W2" i="31"/>
  <c r="S2" i="32"/>
  <c r="D46" i="35"/>
  <c r="AR75" i="60" l="1"/>
  <c r="AO75" i="60"/>
  <c r="AP75" i="60" s="1"/>
  <c r="AN75" i="60"/>
  <c r="AT76" i="60" a="1"/>
  <c r="AT76" i="60" s="1"/>
  <c r="AQ76" i="60" a="1"/>
  <c r="AQ76" i="60" s="1"/>
  <c r="AB76" i="60" a="1"/>
  <c r="AS76" i="60" a="1"/>
  <c r="AS76" i="60" s="1"/>
  <c r="X2" i="31"/>
  <c r="T2" i="32"/>
  <c r="V2" i="32" s="1"/>
  <c r="D47" i="35"/>
  <c r="N16" i="35"/>
  <c r="AH76" i="60" l="1"/>
  <c r="AG76" i="60"/>
  <c r="AF76" i="60"/>
  <c r="AE76" i="60"/>
  <c r="AC76" i="60"/>
  <c r="AB76" i="60"/>
  <c r="AM76" i="60"/>
  <c r="AL76" i="60"/>
  <c r="AJ76" i="60"/>
  <c r="AK76" i="60"/>
  <c r="AI76" i="60"/>
  <c r="AD76" i="60"/>
  <c r="AR76" i="60" s="1"/>
  <c r="Y2" i="31"/>
  <c r="V7" i="32"/>
  <c r="W2" i="32"/>
  <c r="X2" i="32" s="1"/>
  <c r="Y2" i="32" s="1"/>
  <c r="Z2" i="32" s="1"/>
  <c r="AA2" i="32" s="1"/>
  <c r="AB2" i="32" s="1"/>
  <c r="AC2" i="32" s="1"/>
  <c r="AD2" i="32" s="1"/>
  <c r="AE2" i="32" s="1"/>
  <c r="AF2" i="32" s="1"/>
  <c r="AG2" i="32" s="1"/>
  <c r="AH2" i="32" s="1"/>
  <c r="D48" i="35"/>
  <c r="N17" i="35"/>
  <c r="AQ77" i="60" l="1" a="1"/>
  <c r="AQ77" i="60" s="1"/>
  <c r="AB77" i="60" a="1"/>
  <c r="AO76" i="60"/>
  <c r="AP76" i="60" s="1"/>
  <c r="AN76" i="60"/>
  <c r="AT77" i="60" a="1"/>
  <c r="AT77" i="60" s="1"/>
  <c r="AS77" i="60" a="1"/>
  <c r="AS77" i="60" s="1"/>
  <c r="Z2" i="31"/>
  <c r="D49" i="35"/>
  <c r="N18" i="35"/>
  <c r="AL77" i="60" l="1"/>
  <c r="AK77" i="60"/>
  <c r="AJ77" i="60"/>
  <c r="AI77" i="60"/>
  <c r="AH77" i="60"/>
  <c r="AG77" i="60"/>
  <c r="AF77" i="60"/>
  <c r="AE77" i="60"/>
  <c r="AC77" i="60"/>
  <c r="AM77" i="60"/>
  <c r="AD77" i="60"/>
  <c r="AB77" i="60"/>
  <c r="AA2" i="31"/>
  <c r="D50" i="35"/>
  <c r="N19" i="35"/>
  <c r="AR77" i="60" l="1"/>
  <c r="AO77" i="60"/>
  <c r="AP77" i="60" s="1"/>
  <c r="AN77" i="60"/>
  <c r="AS78" i="60" a="1"/>
  <c r="AS78" i="60" s="1"/>
  <c r="AQ78" i="60" a="1"/>
  <c r="AQ78" i="60" s="1"/>
  <c r="AB78" i="60" a="1"/>
  <c r="AT78" i="60" a="1"/>
  <c r="AT78" i="60" s="1"/>
  <c r="AB2" i="31"/>
  <c r="D51" i="35"/>
  <c r="N20" i="35"/>
  <c r="D8" i="36"/>
  <c r="E1" i="36"/>
  <c r="E1" i="40"/>
  <c r="AJ78" i="60" l="1"/>
  <c r="AI78" i="60"/>
  <c r="AH78" i="60"/>
  <c r="AG78" i="60"/>
  <c r="AE78" i="60"/>
  <c r="AD78" i="60"/>
  <c r="AC78" i="60"/>
  <c r="AB78" i="60"/>
  <c r="AL78" i="60"/>
  <c r="AM78" i="60"/>
  <c r="AK78" i="60"/>
  <c r="AF78" i="60"/>
  <c r="AC2" i="31"/>
  <c r="D52" i="35"/>
  <c r="D9" i="36"/>
  <c r="N21" i="35"/>
  <c r="AQ79" i="60" l="1" a="1"/>
  <c r="AQ79" i="60" s="1"/>
  <c r="AB79" i="60" a="1"/>
  <c r="AO78" i="60"/>
  <c r="AP78" i="60" s="1"/>
  <c r="AN78" i="60"/>
  <c r="AT79" i="60" a="1"/>
  <c r="AT79" i="60" s="1"/>
  <c r="AS79" i="60" a="1"/>
  <c r="AS79" i="60" s="1"/>
  <c r="AR78" i="60"/>
  <c r="AD2" i="31"/>
  <c r="D53" i="35"/>
  <c r="D10" i="36"/>
  <c r="N22" i="35"/>
  <c r="AC79" i="60" l="1"/>
  <c r="AB79" i="60"/>
  <c r="AM79" i="60"/>
  <c r="AL79" i="60"/>
  <c r="AK79" i="60"/>
  <c r="AJ79" i="60"/>
  <c r="AI79" i="60"/>
  <c r="AH79" i="60"/>
  <c r="AG79" i="60"/>
  <c r="AE79" i="60"/>
  <c r="AF79" i="60"/>
  <c r="AD79" i="60"/>
  <c r="AE2" i="31"/>
  <c r="D54" i="35"/>
  <c r="D11" i="36"/>
  <c r="N23" i="35"/>
  <c r="AR79" i="60" l="1"/>
  <c r="AN79" i="60"/>
  <c r="AT80" i="60" a="1"/>
  <c r="AT80" i="60" s="1"/>
  <c r="AS80" i="60" a="1"/>
  <c r="AS80" i="60" s="1"/>
  <c r="AQ80" i="60" a="1"/>
  <c r="AQ80" i="60" s="1"/>
  <c r="AB80" i="60" a="1"/>
  <c r="AO79" i="60"/>
  <c r="AP79" i="60" s="1"/>
  <c r="AF2" i="31"/>
  <c r="AG2" i="31" s="1"/>
  <c r="D55" i="35"/>
  <c r="D12" i="36"/>
  <c r="N24" i="35"/>
  <c r="AL80" i="60" l="1"/>
  <c r="AK80" i="60"/>
  <c r="AJ80" i="60"/>
  <c r="AI80" i="60"/>
  <c r="AG80" i="60"/>
  <c r="AF80" i="60"/>
  <c r="AE80" i="60"/>
  <c r="AD80" i="60"/>
  <c r="AC80" i="60"/>
  <c r="AB80" i="60"/>
  <c r="AH80" i="60"/>
  <c r="AM80" i="60"/>
  <c r="D56" i="35"/>
  <c r="D13" i="36"/>
  <c r="N25" i="35"/>
  <c r="AR80" i="60" l="1"/>
  <c r="AS81" i="60" a="1"/>
  <c r="AS81" i="60" s="1"/>
  <c r="AN80" i="60"/>
  <c r="AT81" i="60" a="1"/>
  <c r="AT81" i="60" s="1"/>
  <c r="AQ81" i="60" a="1"/>
  <c r="AQ81" i="60" s="1"/>
  <c r="AB81" i="60" a="1"/>
  <c r="AO80" i="60"/>
  <c r="AP80" i="60" s="1"/>
  <c r="D57" i="35"/>
  <c r="D14" i="36"/>
  <c r="N26" i="35"/>
  <c r="AE81" i="60" l="1"/>
  <c r="AD81" i="60"/>
  <c r="AC81" i="60"/>
  <c r="AB81" i="60"/>
  <c r="AM81" i="60"/>
  <c r="AL81" i="60"/>
  <c r="AK81" i="60"/>
  <c r="AJ81" i="60"/>
  <c r="AI81" i="60"/>
  <c r="AG81" i="60"/>
  <c r="AH81" i="60"/>
  <c r="AF81" i="60"/>
  <c r="D58" i="35"/>
  <c r="D15" i="36"/>
  <c r="N27" i="35"/>
  <c r="AO81" i="60" l="1"/>
  <c r="AP81" i="60" s="1"/>
  <c r="AN81" i="60"/>
  <c r="AT82" i="60" a="1"/>
  <c r="AT82" i="60" s="1"/>
  <c r="AS82" i="60" a="1"/>
  <c r="AS82" i="60" s="1"/>
  <c r="AQ82" i="60" a="1"/>
  <c r="AQ82" i="60" s="1"/>
  <c r="AB82" i="60" a="1"/>
  <c r="AR81" i="60"/>
  <c r="D59" i="35"/>
  <c r="D16" i="36"/>
  <c r="N28" i="35"/>
  <c r="AM82" i="60" l="1"/>
  <c r="AL82" i="60"/>
  <c r="AK82" i="60"/>
  <c r="AI82" i="60"/>
  <c r="AH82" i="60"/>
  <c r="AG82" i="60"/>
  <c r="AF82" i="60"/>
  <c r="AE82" i="60"/>
  <c r="AD82" i="60"/>
  <c r="AC82" i="60"/>
  <c r="AB82" i="60"/>
  <c r="AJ82" i="60"/>
  <c r="D60" i="35"/>
  <c r="D17" i="36"/>
  <c r="N29" i="35"/>
  <c r="AR82" i="60" l="1"/>
  <c r="AN82" i="60"/>
  <c r="AT83" i="60" a="1"/>
  <c r="AT83" i="60" s="1"/>
  <c r="AS83" i="60" a="1"/>
  <c r="AS83" i="60" s="1"/>
  <c r="AQ83" i="60" a="1"/>
  <c r="AQ83" i="60" s="1"/>
  <c r="AB83" i="60" a="1"/>
  <c r="AO82" i="60"/>
  <c r="AP82" i="60" s="1"/>
  <c r="D61" i="35"/>
  <c r="D18" i="36"/>
  <c r="N30" i="35"/>
  <c r="AG83" i="60" l="1"/>
  <c r="AF83" i="60"/>
  <c r="AE83" i="60"/>
  <c r="AD83" i="60"/>
  <c r="AR83" i="60" s="1"/>
  <c r="AB83" i="60"/>
  <c r="AM83" i="60"/>
  <c r="AL83" i="60"/>
  <c r="AK83" i="60"/>
  <c r="AI83" i="60"/>
  <c r="AJ83" i="60"/>
  <c r="AH83" i="60"/>
  <c r="AC83" i="60"/>
  <c r="D62" i="35"/>
  <c r="D19" i="36"/>
  <c r="N31" i="35"/>
  <c r="AO83" i="60" l="1"/>
  <c r="AP83" i="60" s="1"/>
  <c r="AN83" i="60"/>
  <c r="AT84" i="60" a="1"/>
  <c r="AT84" i="60" s="1"/>
  <c r="AS84" i="60" a="1"/>
  <c r="AS84" i="60" s="1"/>
  <c r="AB84" i="60" a="1"/>
  <c r="AQ84" i="60" a="1"/>
  <c r="AQ84" i="60" s="1"/>
  <c r="D63" i="35"/>
  <c r="D20" i="36"/>
  <c r="N32" i="35"/>
  <c r="AM84" i="60" l="1"/>
  <c r="AK84" i="60"/>
  <c r="AJ84" i="60"/>
  <c r="AI84" i="60"/>
  <c r="AH84" i="60"/>
  <c r="AG84" i="60"/>
  <c r="AF84" i="60"/>
  <c r="AE84" i="60"/>
  <c r="AD84" i="60"/>
  <c r="AB84" i="60"/>
  <c r="AL84" i="60"/>
  <c r="AC84" i="60"/>
  <c r="D64" i="35"/>
  <c r="D21" i="36"/>
  <c r="N33" i="35"/>
  <c r="AR84" i="60" l="1"/>
  <c r="AO84" i="60"/>
  <c r="AP84" i="60" s="1"/>
  <c r="AN84" i="60"/>
  <c r="AT85" i="60" a="1"/>
  <c r="AT85" i="60" s="1"/>
  <c r="AS85" i="60" a="1"/>
  <c r="AS85" i="60" s="1"/>
  <c r="AQ85" i="60" a="1"/>
  <c r="AQ85" i="60" s="1"/>
  <c r="AB85" i="60" a="1"/>
  <c r="D65" i="35"/>
  <c r="D22" i="36"/>
  <c r="N34" i="35"/>
  <c r="AI85" i="60" l="1"/>
  <c r="AH85" i="60"/>
  <c r="AG85" i="60"/>
  <c r="AF85" i="60"/>
  <c r="AD85" i="60"/>
  <c r="AC85" i="60"/>
  <c r="AB85" i="60"/>
  <c r="AM85" i="60"/>
  <c r="AL85" i="60"/>
  <c r="AK85" i="60"/>
  <c r="AJ85" i="60"/>
  <c r="AE85" i="60"/>
  <c r="D66" i="35"/>
  <c r="D23" i="36"/>
  <c r="N35" i="35"/>
  <c r="AQ86" i="60" l="1" a="1"/>
  <c r="AQ86" i="60" s="1"/>
  <c r="AB86" i="60" a="1"/>
  <c r="AO85" i="60"/>
  <c r="AP85" i="60" s="1"/>
  <c r="AN85" i="60"/>
  <c r="AT86" i="60" a="1"/>
  <c r="AT86" i="60" s="1"/>
  <c r="AS86" i="60" a="1"/>
  <c r="AS86" i="60" s="1"/>
  <c r="AR85" i="60"/>
  <c r="D67" i="35"/>
  <c r="D24" i="36"/>
  <c r="N36" i="35"/>
  <c r="AB86" i="60" l="1"/>
  <c r="AM86" i="60"/>
  <c r="AL86" i="60"/>
  <c r="AK86" i="60"/>
  <c r="AJ86" i="60"/>
  <c r="AI86" i="60"/>
  <c r="AH86" i="60"/>
  <c r="AG86" i="60"/>
  <c r="AF86" i="60"/>
  <c r="AE86" i="60"/>
  <c r="AD86" i="60"/>
  <c r="AR86" i="60" s="1"/>
  <c r="AC86" i="60"/>
  <c r="D68" i="35"/>
  <c r="D25" i="36"/>
  <c r="N37" i="35"/>
  <c r="AO86" i="60" l="1"/>
  <c r="AP86" i="60" s="1"/>
  <c r="AT87" i="60" a="1"/>
  <c r="AT87" i="60" s="1"/>
  <c r="AS87" i="60" a="1"/>
  <c r="AS87" i="60" s="1"/>
  <c r="AQ87" i="60" a="1"/>
  <c r="AQ87" i="60" s="1"/>
  <c r="AB87" i="60" a="1"/>
  <c r="AN86" i="60"/>
  <c r="D69" i="35"/>
  <c r="D26" i="36"/>
  <c r="N38" i="35"/>
  <c r="AK87" i="60" l="1"/>
  <c r="AJ87" i="60"/>
  <c r="AI87" i="60"/>
  <c r="AH87" i="60"/>
  <c r="AF87" i="60"/>
  <c r="AE87" i="60"/>
  <c r="AD87" i="60"/>
  <c r="AR87" i="60" s="1"/>
  <c r="AC87" i="60"/>
  <c r="AB87" i="60"/>
  <c r="AM87" i="60"/>
  <c r="AL87" i="60"/>
  <c r="AG87" i="60"/>
  <c r="D70" i="35"/>
  <c r="N39" i="35"/>
  <c r="AS88" i="60" l="1" a="1"/>
  <c r="AS88" i="60" s="1"/>
  <c r="AQ88" i="60" a="1"/>
  <c r="AQ88" i="60" s="1"/>
  <c r="AB88" i="60" a="1"/>
  <c r="AO87" i="60"/>
  <c r="AP87" i="60" s="1"/>
  <c r="AN87" i="60"/>
  <c r="AT88" i="60" a="1"/>
  <c r="AT88" i="60" s="1"/>
  <c r="D71" i="35"/>
  <c r="N40" i="35"/>
  <c r="AD88" i="60" l="1"/>
  <c r="AC88" i="60"/>
  <c r="AB88" i="60"/>
  <c r="AM88" i="60"/>
  <c r="AL88" i="60"/>
  <c r="AK88" i="60"/>
  <c r="AJ88" i="60"/>
  <c r="AI88" i="60"/>
  <c r="AH88" i="60"/>
  <c r="AG88" i="60"/>
  <c r="AF88" i="60"/>
  <c r="AE88" i="60"/>
  <c r="D72" i="35"/>
  <c r="N41" i="35"/>
  <c r="AO88" i="60" l="1"/>
  <c r="AP88" i="60" s="1"/>
  <c r="AN88" i="60"/>
  <c r="AT89" i="60" a="1"/>
  <c r="AT89" i="60" s="1"/>
  <c r="AS89" i="60" a="1"/>
  <c r="AS89" i="60" s="1"/>
  <c r="AQ89" i="60" a="1"/>
  <c r="AQ89" i="60" s="1"/>
  <c r="AB89" i="60" a="1"/>
  <c r="AR88" i="60"/>
  <c r="D73" i="35"/>
  <c r="N42" i="35"/>
  <c r="AM89" i="60" l="1"/>
  <c r="AL89" i="60"/>
  <c r="AK89" i="60"/>
  <c r="AJ89" i="60"/>
  <c r="AH89" i="60"/>
  <c r="AG89" i="60"/>
  <c r="AF89" i="60"/>
  <c r="AE89" i="60"/>
  <c r="AD89" i="60"/>
  <c r="AC89" i="60"/>
  <c r="AB89" i="60"/>
  <c r="AI89" i="60"/>
  <c r="D74" i="35"/>
  <c r="N43" i="35"/>
  <c r="AR89" i="60" l="1"/>
  <c r="AT90" i="60" a="1"/>
  <c r="AT90" i="60" s="1"/>
  <c r="AS90" i="60" a="1"/>
  <c r="AS90" i="60" s="1"/>
  <c r="AQ90" i="60" a="1"/>
  <c r="AQ90" i="60" s="1"/>
  <c r="AB90" i="60" a="1"/>
  <c r="AO89" i="60"/>
  <c r="AP89" i="60" s="1"/>
  <c r="AN89" i="60"/>
  <c r="D75" i="35"/>
  <c r="N44" i="35"/>
  <c r="AF90" i="60" l="1"/>
  <c r="AE90" i="60"/>
  <c r="AD90" i="60"/>
  <c r="AC90" i="60"/>
  <c r="AM90" i="60"/>
  <c r="AL90" i="60"/>
  <c r="AK90" i="60"/>
  <c r="AJ90" i="60"/>
  <c r="AI90" i="60"/>
  <c r="AH90" i="60"/>
  <c r="AG90" i="60"/>
  <c r="AB90" i="60"/>
  <c r="D76" i="35"/>
  <c r="N45" i="35"/>
  <c r="AR90" i="60" l="1"/>
  <c r="AO90" i="60"/>
  <c r="AP90" i="60" s="1"/>
  <c r="AN90" i="60"/>
  <c r="AT91" i="60" a="1"/>
  <c r="AT91" i="60" s="1"/>
  <c r="AS91" i="60" a="1"/>
  <c r="AS91" i="60" s="1"/>
  <c r="AQ91" i="60" a="1"/>
  <c r="AQ91" i="60" s="1"/>
  <c r="AB91" i="60" a="1"/>
  <c r="D77" i="35"/>
  <c r="N46" i="35"/>
  <c r="AM91" i="60" l="1"/>
  <c r="AL91" i="60"/>
  <c r="AJ91" i="60"/>
  <c r="AI91" i="60"/>
  <c r="AH91" i="60"/>
  <c r="AG91" i="60"/>
  <c r="AF91" i="60"/>
  <c r="AE91" i="60"/>
  <c r="AD91" i="60"/>
  <c r="AC91" i="60"/>
  <c r="AB91" i="60"/>
  <c r="AK91" i="60"/>
  <c r="D78" i="35"/>
  <c r="N47" i="35"/>
  <c r="AR91" i="60" l="1"/>
  <c r="AO91" i="60"/>
  <c r="AP91" i="60" s="1"/>
  <c r="AN91" i="60"/>
  <c r="AT92" i="60" a="1"/>
  <c r="AT92" i="60" s="1"/>
  <c r="AQ92" i="60" a="1"/>
  <c r="AQ92" i="60" s="1"/>
  <c r="AB92" i="60" a="1"/>
  <c r="AS92" i="60" a="1"/>
  <c r="AS92" i="60" s="1"/>
  <c r="D79" i="35"/>
  <c r="N48" i="35"/>
  <c r="AH92" i="60" l="1"/>
  <c r="AG92" i="60"/>
  <c r="AF92" i="60"/>
  <c r="AE92" i="60"/>
  <c r="AC92" i="60"/>
  <c r="AB92" i="60"/>
  <c r="AM92" i="60"/>
  <c r="AL92" i="60"/>
  <c r="AK92" i="60"/>
  <c r="AJ92" i="60"/>
  <c r="AI92" i="60"/>
  <c r="AD92" i="60"/>
  <c r="AR92" i="60" s="1"/>
  <c r="D80" i="35"/>
  <c r="N49" i="35"/>
  <c r="AQ93" i="60" l="1" a="1"/>
  <c r="AQ93" i="60" s="1"/>
  <c r="AB93" i="60" a="1"/>
  <c r="AO92" i="60"/>
  <c r="AP92" i="60" s="1"/>
  <c r="AN92" i="60"/>
  <c r="AT93" i="60" a="1"/>
  <c r="AT93" i="60" s="1"/>
  <c r="AS93" i="60" a="1"/>
  <c r="AS93" i="60" s="1"/>
  <c r="D81" i="35"/>
  <c r="N50" i="35"/>
  <c r="AL93" i="60" l="1"/>
  <c r="AK93" i="60"/>
  <c r="AJ93" i="60"/>
  <c r="AI93" i="60"/>
  <c r="AH93" i="60"/>
  <c r="AG93" i="60"/>
  <c r="AF93" i="60"/>
  <c r="AE93" i="60"/>
  <c r="AD93" i="60"/>
  <c r="AR93" i="60" s="1"/>
  <c r="AC93" i="60"/>
  <c r="AB93" i="60"/>
  <c r="AM93" i="60"/>
  <c r="D82" i="35"/>
  <c r="N51" i="35"/>
  <c r="AO93" i="60" l="1"/>
  <c r="AP93" i="60" s="1"/>
  <c r="AN93" i="60"/>
  <c r="AS94" i="60" a="1"/>
  <c r="AS94" i="60" s="1"/>
  <c r="AQ94" i="60" a="1"/>
  <c r="AQ94" i="60" s="1"/>
  <c r="AB94" i="60" a="1"/>
  <c r="AT94" i="60" a="1"/>
  <c r="AT94" i="60" s="1"/>
  <c r="D83" i="35"/>
  <c r="N52" i="35"/>
  <c r="AJ94" i="60" l="1"/>
  <c r="AI94" i="60"/>
  <c r="AH94" i="60"/>
  <c r="AG94" i="60"/>
  <c r="AE94" i="60"/>
  <c r="AD94" i="60"/>
  <c r="AR94" i="60" s="1"/>
  <c r="AC94" i="60"/>
  <c r="AB94" i="60"/>
  <c r="AM94" i="60"/>
  <c r="AL94" i="60"/>
  <c r="AK94" i="60"/>
  <c r="AF94" i="60"/>
  <c r="D84" i="35"/>
  <c r="N53" i="35"/>
  <c r="AQ95" i="60" l="1" a="1"/>
  <c r="AQ95" i="60" s="1"/>
  <c r="AB95" i="60" a="1"/>
  <c r="AO94" i="60"/>
  <c r="AP94" i="60" s="1"/>
  <c r="AN94" i="60"/>
  <c r="AT95" i="60" a="1"/>
  <c r="AT95" i="60" s="1"/>
  <c r="AS95" i="60" a="1"/>
  <c r="AS95" i="60" s="1"/>
  <c r="D85" i="35"/>
  <c r="N54" i="35"/>
  <c r="AC95" i="60" l="1"/>
  <c r="AB95" i="60"/>
  <c r="AM95" i="60"/>
  <c r="AL95" i="60"/>
  <c r="AK95" i="60"/>
  <c r="AJ95" i="60"/>
  <c r="AI95" i="60"/>
  <c r="AH95" i="60"/>
  <c r="AG95" i="60"/>
  <c r="AF95" i="60"/>
  <c r="AE95" i="60"/>
  <c r="AD95" i="60"/>
  <c r="AR95" i="60" s="1"/>
  <c r="D86" i="35"/>
  <c r="N55" i="35"/>
  <c r="AN95" i="60" l="1"/>
  <c r="AT96" i="60" a="1"/>
  <c r="AT96" i="60" s="1"/>
  <c r="AS96" i="60" a="1"/>
  <c r="AS96" i="60" s="1"/>
  <c r="AQ96" i="60" a="1"/>
  <c r="AQ96" i="60" s="1"/>
  <c r="AB96" i="60" a="1"/>
  <c r="AO95" i="60"/>
  <c r="AP95" i="60" s="1"/>
  <c r="D87" i="35"/>
  <c r="N56" i="35"/>
  <c r="AL96" i="60" l="1"/>
  <c r="AK96" i="60"/>
  <c r="AJ96" i="60"/>
  <c r="AI96" i="60"/>
  <c r="AG96" i="60"/>
  <c r="AF96" i="60"/>
  <c r="AE96" i="60"/>
  <c r="AD96" i="60"/>
  <c r="AR96" i="60" s="1"/>
  <c r="AC96" i="60"/>
  <c r="AB96" i="60"/>
  <c r="AM96" i="60"/>
  <c r="AH96" i="60"/>
  <c r="D88" i="35"/>
  <c r="N57" i="35"/>
  <c r="AS97" i="60" l="1" a="1"/>
  <c r="AS97" i="60" s="1"/>
  <c r="AO96" i="60"/>
  <c r="AP96" i="60" s="1"/>
  <c r="AN96" i="60"/>
  <c r="AT97" i="60" a="1"/>
  <c r="AT97" i="60" s="1"/>
  <c r="AQ97" i="60" a="1"/>
  <c r="AQ97" i="60" s="1"/>
  <c r="AB97" i="60" a="1"/>
  <c r="D89" i="35"/>
  <c r="N58" i="35"/>
  <c r="AE97" i="60" l="1"/>
  <c r="AD97" i="60"/>
  <c r="AR97" i="60" s="1"/>
  <c r="AC97" i="60"/>
  <c r="AB97" i="60"/>
  <c r="AM97" i="60"/>
  <c r="AL97" i="60"/>
  <c r="AK97" i="60"/>
  <c r="AJ97" i="60"/>
  <c r="AI97" i="60"/>
  <c r="AH97" i="60"/>
  <c r="AG97" i="60"/>
  <c r="AF97" i="60"/>
  <c r="D90" i="35"/>
  <c r="N59" i="35"/>
  <c r="AO97" i="60" l="1"/>
  <c r="AP97" i="60" s="1"/>
  <c r="AN97" i="60"/>
  <c r="AT98" i="60" a="1"/>
  <c r="AT98" i="60" s="1"/>
  <c r="AS98" i="60" a="1"/>
  <c r="AS98" i="60" s="1"/>
  <c r="AQ98" i="60" a="1"/>
  <c r="AQ98" i="60" s="1"/>
  <c r="AB98" i="60" a="1"/>
  <c r="D91" i="35"/>
  <c r="N60" i="35"/>
  <c r="AM98" i="60" l="1"/>
  <c r="AL98" i="60"/>
  <c r="AK98" i="60"/>
  <c r="AI98" i="60"/>
  <c r="AH98" i="60"/>
  <c r="AG98" i="60"/>
  <c r="AF98" i="60"/>
  <c r="AE98" i="60"/>
  <c r="AD98" i="60"/>
  <c r="AR98" i="60" s="1"/>
  <c r="AC98" i="60"/>
  <c r="AB98" i="60"/>
  <c r="AJ98" i="60"/>
  <c r="D92" i="35"/>
  <c r="N61" i="35"/>
  <c r="AN98" i="60" l="1"/>
  <c r="AT99" i="60" a="1"/>
  <c r="AT99" i="60" s="1"/>
  <c r="AS99" i="60" a="1"/>
  <c r="AS99" i="60" s="1"/>
  <c r="AQ99" i="60" a="1"/>
  <c r="AQ99" i="60" s="1"/>
  <c r="AB99" i="60" a="1"/>
  <c r="AO98" i="60"/>
  <c r="AP98" i="60" s="1"/>
  <c r="D93" i="35"/>
  <c r="N62" i="35"/>
  <c r="AG99" i="60" l="1"/>
  <c r="AF99" i="60"/>
  <c r="AE99" i="60"/>
  <c r="AD99" i="60"/>
  <c r="AR99" i="60" s="1"/>
  <c r="AB99" i="60"/>
  <c r="AM99" i="60"/>
  <c r="AL99" i="60"/>
  <c r="AK99" i="60"/>
  <c r="AJ99" i="60"/>
  <c r="AI99" i="60"/>
  <c r="AH99" i="60"/>
  <c r="AC99" i="60"/>
  <c r="D94" i="35"/>
  <c r="N63" i="35"/>
  <c r="AO99" i="60" l="1"/>
  <c r="AP99" i="60" s="1"/>
  <c r="AN99" i="60"/>
  <c r="AT100" i="60" a="1"/>
  <c r="AT100" i="60" s="1"/>
  <c r="AS100" i="60" a="1"/>
  <c r="AS100" i="60" s="1"/>
  <c r="AQ100" i="60" a="1"/>
  <c r="AQ100" i="60" s="1"/>
  <c r="AB100" i="60" a="1"/>
  <c r="D95" i="35"/>
  <c r="N64" i="35"/>
  <c r="AM100" i="60" l="1"/>
  <c r="AK100" i="60"/>
  <c r="AJ100" i="60"/>
  <c r="AI100" i="60"/>
  <c r="AH100" i="60"/>
  <c r="AG100" i="60"/>
  <c r="AF100" i="60"/>
  <c r="AE100" i="60"/>
  <c r="AD100" i="60"/>
  <c r="AR100" i="60" s="1"/>
  <c r="AC100" i="60"/>
  <c r="AB100" i="60"/>
  <c r="AL100" i="60"/>
  <c r="D96" i="35"/>
  <c r="N65" i="35"/>
  <c r="AO100" i="60" l="1"/>
  <c r="AP100" i="60" s="1"/>
  <c r="AN100" i="60"/>
  <c r="AT101" i="60" a="1"/>
  <c r="AT101" i="60" s="1"/>
  <c r="AS101" i="60" a="1"/>
  <c r="AS101" i="60" s="1"/>
  <c r="AQ101" i="60" a="1"/>
  <c r="AQ101" i="60" s="1"/>
  <c r="AB101" i="60" a="1"/>
  <c r="D97" i="35"/>
  <c r="N66" i="35"/>
  <c r="AI101" i="60" l="1"/>
  <c r="AH101" i="60"/>
  <c r="AG101" i="60"/>
  <c r="AF101" i="60"/>
  <c r="AD101" i="60"/>
  <c r="AR101" i="60" s="1"/>
  <c r="AC101" i="60"/>
  <c r="AB101" i="60"/>
  <c r="AM101" i="60"/>
  <c r="AL101" i="60"/>
  <c r="AK101" i="60"/>
  <c r="AJ101" i="60"/>
  <c r="AE101" i="60"/>
  <c r="D98" i="35"/>
  <c r="N67" i="35"/>
  <c r="AQ102" i="60" l="1" a="1"/>
  <c r="AQ102" i="60" s="1"/>
  <c r="AB102" i="60" a="1"/>
  <c r="AO101" i="60"/>
  <c r="AP101" i="60" s="1"/>
  <c r="AN101" i="60"/>
  <c r="AT102" i="60" a="1"/>
  <c r="AT102" i="60" s="1"/>
  <c r="AS102" i="60" a="1"/>
  <c r="AS102" i="60" s="1"/>
  <c r="D99" i="35"/>
  <c r="N68" i="35"/>
  <c r="AB102" i="60" l="1"/>
  <c r="AM102" i="60"/>
  <c r="AL102" i="60"/>
  <c r="AK102" i="60"/>
  <c r="AJ102" i="60"/>
  <c r="AI102" i="60"/>
  <c r="AH102" i="60"/>
  <c r="AG102" i="60"/>
  <c r="AF102" i="60"/>
  <c r="AE102" i="60"/>
  <c r="AD102" i="60"/>
  <c r="AR102" i="60" s="1"/>
  <c r="AC102" i="60"/>
  <c r="D100" i="35"/>
  <c r="N69" i="35"/>
  <c r="AO102" i="60" l="1"/>
  <c r="AP102" i="60" s="1"/>
  <c r="AT103" i="60" a="1"/>
  <c r="AT103" i="60" s="1"/>
  <c r="AS103" i="60" a="1"/>
  <c r="AS103" i="60" s="1"/>
  <c r="AQ103" i="60" a="1"/>
  <c r="AQ103" i="60" s="1"/>
  <c r="AB103" i="60" a="1"/>
  <c r="AN102" i="60"/>
  <c r="D101" i="35"/>
  <c r="N70" i="35"/>
  <c r="AK103" i="60" l="1"/>
  <c r="AJ103" i="60"/>
  <c r="AI103" i="60"/>
  <c r="AH103" i="60"/>
  <c r="AF103" i="60"/>
  <c r="AE103" i="60"/>
  <c r="AD103" i="60"/>
  <c r="AR103" i="60" s="1"/>
  <c r="AC103" i="60"/>
  <c r="AB103" i="60"/>
  <c r="AM103" i="60"/>
  <c r="AL103" i="60"/>
  <c r="AG103" i="60"/>
  <c r="D102" i="35"/>
  <c r="N71" i="35"/>
  <c r="AS104" i="60" l="1" a="1"/>
  <c r="AS104" i="60" s="1"/>
  <c r="AQ104" i="60" a="1"/>
  <c r="AQ104" i="60" s="1"/>
  <c r="AB104" i="60" a="1"/>
  <c r="AO103" i="60"/>
  <c r="AP103" i="60" s="1"/>
  <c r="AN103" i="60"/>
  <c r="AT104" i="60" a="1"/>
  <c r="AT104" i="60" s="1"/>
  <c r="D103" i="35"/>
  <c r="N72" i="35"/>
  <c r="AD104" i="60" l="1"/>
  <c r="AR104" i="60" s="1"/>
  <c r="AC104" i="60"/>
  <c r="AB104" i="60"/>
  <c r="AM104" i="60"/>
  <c r="AL104" i="60"/>
  <c r="AK104" i="60"/>
  <c r="AJ104" i="60"/>
  <c r="AI104" i="60"/>
  <c r="AH104" i="60"/>
  <c r="AG104" i="60"/>
  <c r="AF104" i="60"/>
  <c r="AE104" i="60"/>
  <c r="D104" i="35"/>
  <c r="N73" i="35"/>
  <c r="AO104" i="60" l="1"/>
  <c r="AP104" i="60" s="1"/>
  <c r="AN104" i="60"/>
  <c r="AT105" i="60" a="1"/>
  <c r="AT105" i="60" s="1"/>
  <c r="AS105" i="60" a="1"/>
  <c r="AS105" i="60" s="1"/>
  <c r="AQ105" i="60" a="1"/>
  <c r="AQ105" i="60" s="1"/>
  <c r="AB105" i="60" a="1"/>
  <c r="D105" i="35"/>
  <c r="N74" i="35"/>
  <c r="AM105" i="60" l="1"/>
  <c r="AL105" i="60"/>
  <c r="AK105" i="60"/>
  <c r="AJ105" i="60"/>
  <c r="AH105" i="60"/>
  <c r="AG105" i="60"/>
  <c r="AF105" i="60"/>
  <c r="AE105" i="60"/>
  <c r="AD105" i="60"/>
  <c r="AR105" i="60" s="1"/>
  <c r="AC105" i="60"/>
  <c r="AB105" i="60"/>
  <c r="AI105" i="60"/>
  <c r="D106" i="35"/>
  <c r="N75" i="35"/>
  <c r="AT106" i="60" l="1" a="1"/>
  <c r="AT106" i="60" s="1"/>
  <c r="AS106" i="60" a="1"/>
  <c r="AS106" i="60" s="1"/>
  <c r="AQ106" i="60" a="1"/>
  <c r="AQ106" i="60" s="1"/>
  <c r="AB106" i="60" a="1"/>
  <c r="AO105" i="60"/>
  <c r="AP105" i="60" s="1"/>
  <c r="AN105" i="60"/>
  <c r="D107" i="35"/>
  <c r="N76" i="35"/>
  <c r="AF106" i="60" l="1"/>
  <c r="AE106" i="60"/>
  <c r="AD106" i="60"/>
  <c r="AR106" i="60" s="1"/>
  <c r="AC106" i="60"/>
  <c r="AM106" i="60"/>
  <c r="AL106" i="60"/>
  <c r="AK106" i="60"/>
  <c r="AJ106" i="60"/>
  <c r="AI106" i="60"/>
  <c r="AH106" i="60"/>
  <c r="AG106" i="60"/>
  <c r="AB106" i="60"/>
  <c r="D108" i="35"/>
  <c r="N77" i="35"/>
  <c r="AO106" i="60" l="1"/>
  <c r="AP106" i="60" s="1"/>
  <c r="AN106" i="60"/>
  <c r="AT107" i="60" a="1"/>
  <c r="AT107" i="60" s="1"/>
  <c r="AS107" i="60" a="1"/>
  <c r="AS107" i="60" s="1"/>
  <c r="AQ107" i="60" a="1"/>
  <c r="AQ107" i="60" s="1"/>
  <c r="AB107" i="60" a="1"/>
  <c r="D109" i="35"/>
  <c r="N78" i="35"/>
  <c r="AM107" i="60" l="1"/>
  <c r="AL107" i="60"/>
  <c r="AJ107" i="60"/>
  <c r="AI107" i="60"/>
  <c r="AH107" i="60"/>
  <c r="AG107" i="60"/>
  <c r="AF107" i="60"/>
  <c r="AE107" i="60"/>
  <c r="AD107" i="60"/>
  <c r="AR107" i="60" s="1"/>
  <c r="AC107" i="60"/>
  <c r="AB107" i="60"/>
  <c r="AK107" i="60"/>
  <c r="D110" i="35"/>
  <c r="N79" i="35"/>
  <c r="AO107" i="60" l="1"/>
  <c r="AP107" i="60" s="1"/>
  <c r="AN107" i="60"/>
  <c r="AT108" i="60" a="1"/>
  <c r="AT108" i="60" s="1"/>
  <c r="AQ108" i="60" a="1"/>
  <c r="AQ108" i="60" s="1"/>
  <c r="AB108" i="60" a="1"/>
  <c r="AS108" i="60" a="1"/>
  <c r="AS108" i="60" s="1"/>
  <c r="D111" i="35"/>
  <c r="N80" i="35"/>
  <c r="AH108" i="60" l="1"/>
  <c r="AG108" i="60"/>
  <c r="AF108" i="60"/>
  <c r="AE108" i="60"/>
  <c r="AC108" i="60"/>
  <c r="AB108" i="60"/>
  <c r="AM108" i="60"/>
  <c r="AL108" i="60"/>
  <c r="AK108" i="60"/>
  <c r="AJ108" i="60"/>
  <c r="AI108" i="60"/>
  <c r="AD108" i="60"/>
  <c r="AR108" i="60" s="1"/>
  <c r="D112" i="35"/>
  <c r="N81" i="35"/>
  <c r="AQ109" i="60" l="1" a="1"/>
  <c r="AQ109" i="60" s="1"/>
  <c r="AB109" i="60" a="1"/>
  <c r="AO108" i="60"/>
  <c r="AP108" i="60" s="1"/>
  <c r="AN108" i="60"/>
  <c r="AT109" i="60" a="1"/>
  <c r="AT109" i="60" s="1"/>
  <c r="AS109" i="60" a="1"/>
  <c r="AS109" i="60" s="1"/>
  <c r="D113" i="35"/>
  <c r="N82" i="35"/>
  <c r="AL109" i="60" l="1"/>
  <c r="AK109" i="60"/>
  <c r="AJ109" i="60"/>
  <c r="AI109" i="60"/>
  <c r="AH109" i="60"/>
  <c r="AG109" i="60"/>
  <c r="AF109" i="60"/>
  <c r="AE109" i="60"/>
  <c r="AD109" i="60"/>
  <c r="AR109" i="60" s="1"/>
  <c r="AC109" i="60"/>
  <c r="AB109" i="60"/>
  <c r="AM109" i="60"/>
  <c r="D114" i="35"/>
  <c r="N83" i="35"/>
  <c r="AO109" i="60" l="1"/>
  <c r="AP109" i="60" s="1"/>
  <c r="AN109" i="60"/>
  <c r="AS110" i="60" a="1"/>
  <c r="AS110" i="60" s="1"/>
  <c r="AQ110" i="60" a="1"/>
  <c r="AQ110" i="60" s="1"/>
  <c r="AB110" i="60" a="1"/>
  <c r="AT110" i="60" a="1"/>
  <c r="AT110" i="60" s="1"/>
  <c r="D115" i="35"/>
  <c r="N84" i="35"/>
  <c r="AJ110" i="60" l="1"/>
  <c r="AI110" i="60"/>
  <c r="AH110" i="60"/>
  <c r="AG110" i="60"/>
  <c r="AE110" i="60"/>
  <c r="AD110" i="60"/>
  <c r="AR110" i="60" s="1"/>
  <c r="AC110" i="60"/>
  <c r="AB110" i="60"/>
  <c r="AM110" i="60"/>
  <c r="AL110" i="60"/>
  <c r="AK110" i="60"/>
  <c r="AF110" i="60"/>
  <c r="N85" i="35"/>
  <c r="AQ111" i="60" l="1" a="1"/>
  <c r="AQ111" i="60" s="1"/>
  <c r="AB111" i="60" a="1"/>
  <c r="AO110" i="60"/>
  <c r="AP110" i="60" s="1"/>
  <c r="AN110" i="60"/>
  <c r="AT111" i="60" a="1"/>
  <c r="AT111" i="60" s="1"/>
  <c r="AS111" i="60" a="1"/>
  <c r="AS111" i="60" s="1"/>
  <c r="N86" i="35"/>
  <c r="AC111" i="60" l="1"/>
  <c r="AB111" i="60"/>
  <c r="AM111" i="60"/>
  <c r="AL111" i="60"/>
  <c r="AK111" i="60"/>
  <c r="AJ111" i="60"/>
  <c r="AI111" i="60"/>
  <c r="AH111" i="60"/>
  <c r="AG111" i="60"/>
  <c r="AF111" i="60"/>
  <c r="AE111" i="60"/>
  <c r="AD111" i="60"/>
  <c r="AR111" i="60" s="1"/>
  <c r="N87" i="35"/>
  <c r="AN111" i="60" l="1"/>
  <c r="AT112" i="60" a="1"/>
  <c r="AT112" i="60" s="1"/>
  <c r="AS112" i="60" a="1"/>
  <c r="AS112" i="60" s="1"/>
  <c r="AQ112" i="60" a="1"/>
  <c r="AQ112" i="60" s="1"/>
  <c r="AB112" i="60" a="1"/>
  <c r="AO111" i="60"/>
  <c r="AP111" i="60" s="1"/>
  <c r="N88" i="35"/>
  <c r="AL112" i="60" l="1"/>
  <c r="AK112" i="60"/>
  <c r="AJ112" i="60"/>
  <c r="AI112" i="60"/>
  <c r="AG112" i="60"/>
  <c r="AF112" i="60"/>
  <c r="AE112" i="60"/>
  <c r="AD112" i="60"/>
  <c r="AR112" i="60" s="1"/>
  <c r="AC112" i="60"/>
  <c r="AB112" i="60"/>
  <c r="AM112" i="60"/>
  <c r="AH112" i="60"/>
  <c r="N89" i="35"/>
  <c r="AS113" i="60" l="1" a="1"/>
  <c r="AS113" i="60" s="1"/>
  <c r="AO112" i="60"/>
  <c r="AP112" i="60" s="1"/>
  <c r="AN112" i="60"/>
  <c r="AT113" i="60" a="1"/>
  <c r="AT113" i="60" s="1"/>
  <c r="AQ113" i="60" a="1"/>
  <c r="AQ113" i="60" s="1"/>
  <c r="AB113" i="60" a="1"/>
  <c r="N90" i="35"/>
  <c r="AE113" i="60" l="1"/>
  <c r="AD113" i="60"/>
  <c r="AR113" i="60" s="1"/>
  <c r="AC113" i="60"/>
  <c r="AB113" i="60"/>
  <c r="AM113" i="60"/>
  <c r="AL113" i="60"/>
  <c r="AK113" i="60"/>
  <c r="AJ113" i="60"/>
  <c r="AI113" i="60"/>
  <c r="AH113" i="60"/>
  <c r="AG113" i="60"/>
  <c r="AF113" i="60"/>
  <c r="N91" i="35"/>
  <c r="AO113" i="60" l="1"/>
  <c r="AP113" i="60" s="1"/>
  <c r="AN113" i="60"/>
  <c r="AT114" i="60" a="1"/>
  <c r="AT114" i="60" s="1"/>
  <c r="AS114" i="60" a="1"/>
  <c r="AS114" i="60" s="1"/>
  <c r="AQ114" i="60" a="1"/>
  <c r="AQ114" i="60" s="1"/>
  <c r="AB114" i="60" a="1"/>
  <c r="N92" i="35"/>
  <c r="AM114" i="60" l="1"/>
  <c r="AL114" i="60"/>
  <c r="AK114" i="60"/>
  <c r="AI114" i="60"/>
  <c r="AH114" i="60"/>
  <c r="AG114" i="60"/>
  <c r="AF114" i="60"/>
  <c r="AE114" i="60"/>
  <c r="AD114" i="60"/>
  <c r="AR114" i="60" s="1"/>
  <c r="AC114" i="60"/>
  <c r="AB114" i="60"/>
  <c r="AJ114" i="60"/>
  <c r="N93" i="35"/>
  <c r="AN114" i="60" l="1"/>
  <c r="AT115" i="60" a="1"/>
  <c r="AT115" i="60" s="1"/>
  <c r="AS115" i="60" a="1"/>
  <c r="AS115" i="60" s="1"/>
  <c r="AQ115" i="60" a="1"/>
  <c r="AQ115" i="60" s="1"/>
  <c r="AB115" i="60" a="1"/>
  <c r="AO114" i="60"/>
  <c r="AP114" i="60" s="1"/>
  <c r="N94" i="35"/>
  <c r="AG115" i="60" l="1"/>
  <c r="AF115" i="60"/>
  <c r="AE115" i="60"/>
  <c r="AD115" i="60"/>
  <c r="AR115" i="60" s="1"/>
  <c r="AB115" i="60"/>
  <c r="AM115" i="60"/>
  <c r="AL115" i="60"/>
  <c r="AK115" i="60"/>
  <c r="AJ115" i="60"/>
  <c r="AI115" i="60"/>
  <c r="AH115" i="60"/>
  <c r="AC115" i="60"/>
  <c r="N95" i="35"/>
  <c r="AO115" i="60" l="1"/>
  <c r="AP115" i="60" s="1"/>
  <c r="AN115" i="60"/>
  <c r="AT116" i="60" a="1"/>
  <c r="AT116" i="60" s="1"/>
  <c r="AS116" i="60" a="1"/>
  <c r="AS116" i="60" s="1"/>
  <c r="AQ116" i="60" a="1"/>
  <c r="AQ116" i="60" s="1"/>
  <c r="AB116" i="60" a="1"/>
  <c r="N96" i="35"/>
  <c r="AM116" i="60" l="1"/>
  <c r="AK116" i="60"/>
  <c r="AJ116" i="60"/>
  <c r="AI116" i="60"/>
  <c r="AH116" i="60"/>
  <c r="AG116" i="60"/>
  <c r="AF116" i="60"/>
  <c r="AE116" i="60"/>
  <c r="AD116" i="60"/>
  <c r="AR116" i="60" s="1"/>
  <c r="AC116" i="60"/>
  <c r="AB116" i="60"/>
  <c r="AL116" i="60"/>
  <c r="N97" i="35"/>
  <c r="AO116" i="60" l="1"/>
  <c r="AP116" i="60" s="1"/>
  <c r="AN116" i="60"/>
  <c r="AT117" i="60" a="1"/>
  <c r="AT117" i="60" s="1"/>
  <c r="AS117" i="60" a="1"/>
  <c r="AS117" i="60" s="1"/>
  <c r="AQ117" i="60" a="1"/>
  <c r="AQ117" i="60" s="1"/>
  <c r="AB117" i="60" a="1"/>
  <c r="N98" i="35"/>
  <c r="AI117" i="60" l="1"/>
  <c r="AH117" i="60"/>
  <c r="AG117" i="60"/>
  <c r="AF117" i="60"/>
  <c r="AD117" i="60"/>
  <c r="AR117" i="60" s="1"/>
  <c r="AC117" i="60"/>
  <c r="AB117" i="60"/>
  <c r="AM117" i="60"/>
  <c r="AL117" i="60"/>
  <c r="AK117" i="60"/>
  <c r="AJ117" i="60"/>
  <c r="AE117" i="60"/>
  <c r="N99" i="35"/>
  <c r="AQ118" i="60" l="1" a="1"/>
  <c r="AQ118" i="60" s="1"/>
  <c r="AB118" i="60" a="1"/>
  <c r="AO117" i="60"/>
  <c r="AP117" i="60" s="1"/>
  <c r="AN117" i="60"/>
  <c r="AT118" i="60" a="1"/>
  <c r="AT118" i="60" s="1"/>
  <c r="AS118" i="60" a="1"/>
  <c r="AS118" i="60" s="1"/>
  <c r="N100" i="35"/>
  <c r="AB118" i="60" l="1"/>
  <c r="AM118" i="60"/>
  <c r="AL118" i="60"/>
  <c r="AK118" i="60"/>
  <c r="AJ118" i="60"/>
  <c r="AI118" i="60"/>
  <c r="AH118" i="60"/>
  <c r="AG118" i="60"/>
  <c r="AF118" i="60"/>
  <c r="AE118" i="60"/>
  <c r="AD118" i="60"/>
  <c r="AR118" i="60" s="1"/>
  <c r="AC118" i="60"/>
  <c r="N101" i="35"/>
  <c r="AO118" i="60" l="1"/>
  <c r="AP118" i="60" s="1"/>
  <c r="AT119" i="60" a="1"/>
  <c r="AT119" i="60" s="1"/>
  <c r="AS119" i="60" a="1"/>
  <c r="AS119" i="60" s="1"/>
  <c r="AQ119" i="60" a="1"/>
  <c r="AQ119" i="60" s="1"/>
  <c r="AB119" i="60" a="1"/>
  <c r="AN118" i="60"/>
  <c r="N102" i="35"/>
  <c r="AK119" i="60" l="1"/>
  <c r="AJ119" i="60"/>
  <c r="AI119" i="60"/>
  <c r="AH119" i="60"/>
  <c r="AF119" i="60"/>
  <c r="AE119" i="60"/>
  <c r="AD119" i="60"/>
  <c r="AR119" i="60" s="1"/>
  <c r="AC119" i="60"/>
  <c r="AB119" i="60"/>
  <c r="AM119" i="60"/>
  <c r="AL119" i="60"/>
  <c r="AG119" i="60"/>
  <c r="N103" i="35"/>
  <c r="AS120" i="60" l="1" a="1"/>
  <c r="AS120" i="60" s="1"/>
  <c r="AQ120" i="60" a="1"/>
  <c r="AQ120" i="60" s="1"/>
  <c r="AB120" i="60" a="1"/>
  <c r="AO119" i="60"/>
  <c r="AP119" i="60" s="1"/>
  <c r="AN119" i="60"/>
  <c r="AT120" i="60" a="1"/>
  <c r="AT120" i="60" s="1"/>
  <c r="N104" i="35"/>
  <c r="AD120" i="60" l="1"/>
  <c r="AR120" i="60" s="1"/>
  <c r="AC120" i="60"/>
  <c r="AB120" i="60"/>
  <c r="AM120" i="60"/>
  <c r="AL120" i="60"/>
  <c r="AK120" i="60"/>
  <c r="AJ120" i="60"/>
  <c r="AI120" i="60"/>
  <c r="AH120" i="60"/>
  <c r="AG120" i="60"/>
  <c r="AF120" i="60"/>
  <c r="AE120" i="60"/>
  <c r="N105" i="35"/>
  <c r="AO120" i="60" l="1"/>
  <c r="AP120" i="60" s="1"/>
  <c r="AN120" i="60"/>
  <c r="AT121" i="60" a="1"/>
  <c r="AT121" i="60" s="1"/>
  <c r="AS121" i="60" a="1"/>
  <c r="AS121" i="60" s="1"/>
  <c r="AQ121" i="60" a="1"/>
  <c r="AQ121" i="60" s="1"/>
  <c r="AB121" i="60" a="1"/>
  <c r="N106" i="35"/>
  <c r="AM121" i="60" l="1"/>
  <c r="AL121" i="60"/>
  <c r="AK121" i="60"/>
  <c r="AJ121" i="60"/>
  <c r="AH121" i="60"/>
  <c r="AG121" i="60"/>
  <c r="AF121" i="60"/>
  <c r="AE121" i="60"/>
  <c r="AD121" i="60"/>
  <c r="AR121" i="60" s="1"/>
  <c r="AC121" i="60"/>
  <c r="AB121" i="60"/>
  <c r="AI121" i="60"/>
  <c r="N107" i="35"/>
  <c r="AT122" i="60" l="1" a="1"/>
  <c r="AT122" i="60" s="1"/>
  <c r="AS122" i="60" a="1"/>
  <c r="AS122" i="60" s="1"/>
  <c r="AQ122" i="60" a="1"/>
  <c r="AQ122" i="60" s="1"/>
  <c r="AB122" i="60" a="1"/>
  <c r="AO121" i="60"/>
  <c r="AP121" i="60" s="1"/>
  <c r="AN121" i="60"/>
  <c r="N108" i="35"/>
  <c r="AF122" i="60" l="1"/>
  <c r="AE122" i="60"/>
  <c r="AD122" i="60"/>
  <c r="AR122" i="60" s="1"/>
  <c r="AC122" i="60"/>
  <c r="AM122" i="60"/>
  <c r="AL122" i="60"/>
  <c r="AK122" i="60"/>
  <c r="AJ122" i="60"/>
  <c r="AI122" i="60"/>
  <c r="AH122" i="60"/>
  <c r="AG122" i="60"/>
  <c r="AB122" i="60"/>
  <c r="N109" i="35"/>
  <c r="AO122" i="60" l="1"/>
  <c r="AP122" i="60" s="1"/>
  <c r="AN122" i="60"/>
  <c r="AT123" i="60" a="1"/>
  <c r="AT123" i="60" s="1"/>
  <c r="AS123" i="60" a="1"/>
  <c r="AS123" i="60" s="1"/>
  <c r="AQ123" i="60" a="1"/>
  <c r="AQ123" i="60" s="1"/>
  <c r="AB123" i="60" a="1"/>
  <c r="N110" i="35"/>
  <c r="AM123" i="60" l="1"/>
  <c r="AL123" i="60"/>
  <c r="AJ123" i="60"/>
  <c r="AI123" i="60"/>
  <c r="AH123" i="60"/>
  <c r="AG123" i="60"/>
  <c r="AF123" i="60"/>
  <c r="AE123" i="60"/>
  <c r="AD123" i="60"/>
  <c r="AR123" i="60" s="1"/>
  <c r="AC123" i="60"/>
  <c r="AB123" i="60"/>
  <c r="AK123" i="60"/>
  <c r="N111" i="35"/>
  <c r="AO123" i="60" l="1"/>
  <c r="AP123" i="60" s="1"/>
  <c r="AN123" i="60"/>
  <c r="AT124" i="60" a="1"/>
  <c r="AT124" i="60" s="1"/>
  <c r="AQ124" i="60" a="1"/>
  <c r="AQ124" i="60" s="1"/>
  <c r="AB124" i="60" a="1"/>
  <c r="AS124" i="60" a="1"/>
  <c r="AS124" i="60" s="1"/>
  <c r="N112" i="35"/>
  <c r="AH124" i="60" l="1"/>
  <c r="AG124" i="60"/>
  <c r="AF124" i="60"/>
  <c r="AE124" i="60"/>
  <c r="AC124" i="60"/>
  <c r="AB124" i="60"/>
  <c r="AM124" i="60"/>
  <c r="AL124" i="60"/>
  <c r="AK124" i="60"/>
  <c r="AJ124" i="60"/>
  <c r="AI124" i="60"/>
  <c r="AD124" i="60"/>
  <c r="AR124" i="60" s="1"/>
  <c r="N113" i="35"/>
  <c r="AQ125" i="60" l="1" a="1"/>
  <c r="AQ125" i="60" s="1"/>
  <c r="AB125" i="60" a="1"/>
  <c r="AO124" i="60"/>
  <c r="AP124" i="60" s="1"/>
  <c r="AN124" i="60"/>
  <c r="AT125" i="60" a="1"/>
  <c r="AT125" i="60" s="1"/>
  <c r="AS125" i="60" a="1"/>
  <c r="AS125" i="60" s="1"/>
  <c r="N114" i="35"/>
  <c r="AL125" i="60" l="1"/>
  <c r="AK125" i="60"/>
  <c r="AJ125" i="60"/>
  <c r="AI125" i="60"/>
  <c r="AH125" i="60"/>
  <c r="AG125" i="60"/>
  <c r="AF125" i="60"/>
  <c r="AE125" i="60"/>
  <c r="AD125" i="60"/>
  <c r="AR125" i="60" s="1"/>
  <c r="AC125" i="60"/>
  <c r="AB125" i="60"/>
  <c r="AM125" i="60"/>
  <c r="N115" i="35"/>
  <c r="AO125" i="60" l="1"/>
  <c r="AP125" i="60" s="1"/>
  <c r="AN125" i="60"/>
  <c r="AS126" i="60" a="1"/>
  <c r="AS126" i="60" s="1"/>
  <c r="AQ126" i="60" a="1"/>
  <c r="AQ126" i="60" s="1"/>
  <c r="AB126" i="60" a="1"/>
  <c r="AT126" i="60" a="1"/>
  <c r="AT126" i="60" s="1"/>
  <c r="AJ126" i="60" l="1"/>
  <c r="AI126" i="60"/>
  <c r="AH126" i="60"/>
  <c r="AG126" i="60"/>
  <c r="AE126" i="60"/>
  <c r="AD126" i="60"/>
  <c r="AR126" i="60" s="1"/>
  <c r="AC126" i="60"/>
  <c r="AB126" i="60"/>
  <c r="AM126" i="60"/>
  <c r="AL126" i="60"/>
  <c r="AK126" i="60"/>
  <c r="AF126" i="60"/>
  <c r="D1" i="34"/>
  <c r="AQ127" i="60" l="1" a="1"/>
  <c r="AQ127" i="60" s="1"/>
  <c r="AB127" i="60" a="1"/>
  <c r="AO126" i="60"/>
  <c r="AP126" i="60" s="1"/>
  <c r="AN126" i="60"/>
  <c r="AT127" i="60" a="1"/>
  <c r="AT127" i="60" s="1"/>
  <c r="AS127" i="60" a="1"/>
  <c r="AS127" i="60" s="1"/>
  <c r="AC127" i="60" l="1"/>
  <c r="AB127" i="60"/>
  <c r="AM127" i="60"/>
  <c r="AL127" i="60"/>
  <c r="AK127" i="60"/>
  <c r="AJ127" i="60"/>
  <c r="AI127" i="60"/>
  <c r="AH127" i="60"/>
  <c r="AG127" i="60"/>
  <c r="AF127" i="60"/>
  <c r="AE127" i="60"/>
  <c r="AD127" i="60"/>
  <c r="AR127" i="60" s="1"/>
  <c r="AN127" i="60" l="1"/>
  <c r="AT128" i="60" a="1"/>
  <c r="AT128" i="60" s="1"/>
  <c r="AS128" i="60" a="1"/>
  <c r="AS128" i="60" s="1"/>
  <c r="AQ128" i="60" a="1"/>
  <c r="AQ128" i="60" s="1"/>
  <c r="AB128" i="60" a="1"/>
  <c r="AO127" i="60"/>
  <c r="AP127" i="60" s="1"/>
  <c r="D13" i="32"/>
  <c r="F12" i="32"/>
  <c r="AL128" i="60" l="1"/>
  <c r="AK128" i="60"/>
  <c r="AJ128" i="60"/>
  <c r="AI128" i="60"/>
  <c r="AG128" i="60"/>
  <c r="AF128" i="60"/>
  <c r="AE128" i="60"/>
  <c r="AD128" i="60"/>
  <c r="AR128" i="60" s="1"/>
  <c r="AC128" i="60"/>
  <c r="AB128" i="60"/>
  <c r="AM128" i="60"/>
  <c r="AH128" i="60"/>
  <c r="E13" i="32"/>
  <c r="D14" i="32"/>
  <c r="F13" i="32"/>
  <c r="AS129" i="60" l="1" a="1"/>
  <c r="AS129" i="60" s="1"/>
  <c r="AO128" i="60"/>
  <c r="AP128" i="60" s="1"/>
  <c r="AN128" i="60"/>
  <c r="AT129" i="60" a="1"/>
  <c r="AT129" i="60" s="1"/>
  <c r="AQ129" i="60" a="1"/>
  <c r="AQ129" i="60" s="1"/>
  <c r="AB129" i="60" a="1"/>
  <c r="E14" i="32"/>
  <c r="D15" i="32"/>
  <c r="F14" i="32"/>
  <c r="AE129" i="60" l="1"/>
  <c r="AD129" i="60"/>
  <c r="AR129" i="60" s="1"/>
  <c r="AC129" i="60"/>
  <c r="AB129" i="60"/>
  <c r="AM129" i="60"/>
  <c r="AL129" i="60"/>
  <c r="AK129" i="60"/>
  <c r="AJ129" i="60"/>
  <c r="AI129" i="60"/>
  <c r="AH129" i="60"/>
  <c r="AG129" i="60"/>
  <c r="AF129" i="60"/>
  <c r="E15" i="32"/>
  <c r="D16" i="32"/>
  <c r="F15" i="32"/>
  <c r="AO129" i="60" l="1"/>
  <c r="AP129" i="60" s="1"/>
  <c r="AN129" i="60"/>
  <c r="AT130" i="60" a="1"/>
  <c r="AT130" i="60" s="1"/>
  <c r="AS130" i="60" a="1"/>
  <c r="AS130" i="60" s="1"/>
  <c r="AQ130" i="60" a="1"/>
  <c r="AQ130" i="60" s="1"/>
  <c r="AB130" i="60" a="1"/>
  <c r="E16" i="32"/>
  <c r="F16" i="32"/>
  <c r="D17" i="32"/>
  <c r="AM130" i="60" l="1"/>
  <c r="AL130" i="60"/>
  <c r="AK130" i="60"/>
  <c r="AI130" i="60"/>
  <c r="AH130" i="60"/>
  <c r="AG130" i="60"/>
  <c r="AF130" i="60"/>
  <c r="AE130" i="60"/>
  <c r="AD130" i="60"/>
  <c r="AR130" i="60" s="1"/>
  <c r="AC130" i="60"/>
  <c r="AB130" i="60"/>
  <c r="AJ130" i="60"/>
  <c r="E17" i="32"/>
  <c r="D18" i="32"/>
  <c r="F17" i="32"/>
  <c r="D13" i="31"/>
  <c r="AN130" i="60" l="1"/>
  <c r="AT131" i="60" a="1"/>
  <c r="AT131" i="60" s="1"/>
  <c r="AS131" i="60" a="1"/>
  <c r="AS131" i="60" s="1"/>
  <c r="AQ131" i="60" a="1"/>
  <c r="AQ131" i="60" s="1"/>
  <c r="AB131" i="60" a="1"/>
  <c r="AO130" i="60"/>
  <c r="AP130" i="60" s="1"/>
  <c r="E18" i="32"/>
  <c r="E13" i="31"/>
  <c r="F13" i="31" s="1"/>
  <c r="G13" i="31" s="1"/>
  <c r="D14" i="31"/>
  <c r="D19" i="32"/>
  <c r="F18" i="32"/>
  <c r="AG131" i="60" l="1"/>
  <c r="AF131" i="60"/>
  <c r="AE131" i="60"/>
  <c r="AD131" i="60"/>
  <c r="AR131" i="60" s="1"/>
  <c r="AB131" i="60"/>
  <c r="AM131" i="60"/>
  <c r="AL131" i="60"/>
  <c r="AK131" i="60"/>
  <c r="AJ131" i="60"/>
  <c r="AI131" i="60"/>
  <c r="AH131" i="60"/>
  <c r="AC131" i="60"/>
  <c r="E19" i="32"/>
  <c r="E14" i="31"/>
  <c r="F14" i="31" s="1"/>
  <c r="G14" i="31" s="1"/>
  <c r="D15" i="31"/>
  <c r="D20" i="32"/>
  <c r="F19" i="32"/>
  <c r="AO131" i="60" l="1"/>
  <c r="AP131" i="60" s="1"/>
  <c r="AN131" i="60"/>
  <c r="E20" i="32"/>
  <c r="E15" i="31"/>
  <c r="F15" i="31" s="1"/>
  <c r="G15" i="31" s="1"/>
  <c r="D16" i="31"/>
  <c r="F20" i="32"/>
  <c r="D21" i="32"/>
  <c r="E21" i="32" l="1"/>
  <c r="E16" i="31"/>
  <c r="F16" i="31" s="1"/>
  <c r="G16" i="31" s="1"/>
  <c r="D17" i="31"/>
  <c r="D22" i="32"/>
  <c r="F21" i="32"/>
  <c r="E22" i="32" l="1"/>
  <c r="E17" i="31"/>
  <c r="F17" i="31" s="1"/>
  <c r="G17" i="31" s="1"/>
  <c r="D18" i="31"/>
  <c r="D23" i="32"/>
  <c r="F22" i="32"/>
  <c r="E23" i="32" l="1"/>
  <c r="E18" i="31"/>
  <c r="F18" i="31" s="1"/>
  <c r="G18" i="31" s="1"/>
  <c r="D19" i="31"/>
  <c r="D24" i="32"/>
  <c r="F23" i="32"/>
  <c r="E24" i="32" l="1"/>
  <c r="E19" i="31"/>
  <c r="F19" i="31" s="1"/>
  <c r="G19" i="31" s="1"/>
  <c r="D20" i="31"/>
  <c r="F24" i="32"/>
  <c r="D25" i="32"/>
  <c r="E25" i="32" l="1"/>
  <c r="E20" i="31"/>
  <c r="F20" i="31" s="1"/>
  <c r="G20" i="31" s="1"/>
  <c r="D21" i="31"/>
  <c r="D26" i="32"/>
  <c r="F25" i="32"/>
  <c r="E26" i="32" l="1"/>
  <c r="E21" i="31"/>
  <c r="F21" i="31" s="1"/>
  <c r="G21" i="31" s="1"/>
  <c r="D22" i="31"/>
  <c r="D27" i="32"/>
  <c r="F26" i="32"/>
  <c r="E27" i="32" l="1"/>
  <c r="E22" i="31"/>
  <c r="F22" i="31" s="1"/>
  <c r="G22" i="31" s="1"/>
  <c r="D23" i="31"/>
  <c r="D28" i="32"/>
  <c r="F27" i="32"/>
  <c r="E28" i="32" l="1"/>
  <c r="E23" i="31"/>
  <c r="F23" i="31" s="1"/>
  <c r="G23" i="31" s="1"/>
  <c r="D24" i="31"/>
  <c r="F28" i="32"/>
  <c r="D29" i="32"/>
  <c r="E29" i="32" l="1"/>
  <c r="E24" i="31"/>
  <c r="F24" i="31" s="1"/>
  <c r="G24" i="31" s="1"/>
  <c r="D25" i="31"/>
  <c r="D30" i="32"/>
  <c r="F29" i="32"/>
  <c r="E30" i="32" l="1"/>
  <c r="E25" i="31"/>
  <c r="F25" i="31" s="1"/>
  <c r="G25" i="31" s="1"/>
  <c r="D26" i="31"/>
  <c r="D31" i="32"/>
  <c r="F30" i="32"/>
  <c r="E31" i="32" l="1"/>
  <c r="E26" i="31"/>
  <c r="F26" i="31" s="1"/>
  <c r="G26" i="31" s="1"/>
  <c r="D27" i="31"/>
  <c r="D32" i="32"/>
  <c r="F31" i="32"/>
  <c r="E32" i="32" l="1"/>
  <c r="E27" i="31"/>
  <c r="F27" i="31" s="1"/>
  <c r="G27" i="31" s="1"/>
  <c r="D28" i="31"/>
  <c r="F32" i="32"/>
  <c r="D33" i="32"/>
  <c r="E33" i="32" l="1"/>
  <c r="E28" i="31"/>
  <c r="F28" i="31" s="1"/>
  <c r="G28" i="31" s="1"/>
  <c r="D29" i="31"/>
  <c r="D34" i="32"/>
  <c r="F33" i="32"/>
  <c r="E34" i="32" l="1"/>
  <c r="E29" i="31"/>
  <c r="F29" i="31" s="1"/>
  <c r="G29" i="31" s="1"/>
  <c r="D30" i="31"/>
  <c r="D35" i="32"/>
  <c r="F34" i="32"/>
  <c r="E35" i="32" l="1"/>
  <c r="E30" i="31"/>
  <c r="F30" i="31" s="1"/>
  <c r="G30" i="31" s="1"/>
  <c r="D31" i="31"/>
  <c r="D36" i="32"/>
  <c r="F35" i="32"/>
  <c r="E36" i="32" l="1"/>
  <c r="E31" i="31"/>
  <c r="F31" i="31" s="1"/>
  <c r="G31" i="31" s="1"/>
  <c r="D32" i="31"/>
  <c r="F36" i="32"/>
  <c r="D37" i="32"/>
  <c r="E37" i="32" l="1"/>
  <c r="E32" i="31"/>
  <c r="F32" i="31" s="1"/>
  <c r="G32" i="31" s="1"/>
  <c r="D33" i="31"/>
  <c r="D38" i="32"/>
  <c r="F37" i="32"/>
  <c r="E38" i="32" l="1"/>
  <c r="E33" i="31"/>
  <c r="F33" i="31" s="1"/>
  <c r="G33" i="31" s="1"/>
  <c r="D34" i="31"/>
  <c r="D39" i="32"/>
  <c r="F38" i="32"/>
  <c r="E39" i="32" l="1"/>
  <c r="E34" i="31"/>
  <c r="F34" i="31" s="1"/>
  <c r="G34" i="31" s="1"/>
  <c r="D35" i="31"/>
  <c r="D40" i="32"/>
  <c r="F39" i="32"/>
  <c r="E40" i="32" l="1"/>
  <c r="E35" i="31"/>
  <c r="F35" i="31" s="1"/>
  <c r="G35" i="31" s="1"/>
  <c r="D36" i="31"/>
  <c r="F40" i="32"/>
  <c r="D41" i="32"/>
  <c r="E41" i="32" l="1"/>
  <c r="E36" i="31"/>
  <c r="F36" i="31" s="1"/>
  <c r="G36" i="31" s="1"/>
  <c r="D37" i="31"/>
  <c r="D42" i="32"/>
  <c r="F41" i="32"/>
  <c r="E42" i="32" l="1"/>
  <c r="E37" i="31"/>
  <c r="F37" i="31" s="1"/>
  <c r="G37" i="31" s="1"/>
  <c r="D38" i="31"/>
  <c r="D43" i="32"/>
  <c r="F42" i="32"/>
  <c r="E43" i="32" l="1"/>
  <c r="E38" i="31"/>
  <c r="F38" i="31" s="1"/>
  <c r="G38" i="31" s="1"/>
  <c r="D39" i="31"/>
  <c r="D44" i="32"/>
  <c r="F43" i="32"/>
  <c r="E44" i="32" l="1"/>
  <c r="E39" i="31"/>
  <c r="F39" i="31" s="1"/>
  <c r="G39" i="31" s="1"/>
  <c r="D40" i="31"/>
  <c r="F44" i="32"/>
  <c r="D45" i="32"/>
  <c r="E45" i="32" l="1"/>
  <c r="E40" i="31"/>
  <c r="F40" i="31" s="1"/>
  <c r="G40" i="31" s="1"/>
  <c r="D41" i="31"/>
  <c r="D46" i="32"/>
  <c r="F45" i="32"/>
  <c r="E46" i="32" l="1"/>
  <c r="E41" i="31"/>
  <c r="F41" i="31" s="1"/>
  <c r="G41" i="31" s="1"/>
  <c r="D42" i="31"/>
  <c r="D47" i="32"/>
  <c r="F46" i="32"/>
  <c r="E47" i="32" l="1"/>
  <c r="E42" i="31"/>
  <c r="F42" i="31" s="1"/>
  <c r="G42" i="31" s="1"/>
  <c r="D43" i="31"/>
  <c r="D48" i="32"/>
  <c r="F47" i="32"/>
  <c r="E48" i="32" l="1"/>
  <c r="E43" i="31"/>
  <c r="F43" i="31" s="1"/>
  <c r="G43" i="31" s="1"/>
  <c r="D44" i="31"/>
  <c r="F48" i="32"/>
  <c r="D49" i="32"/>
  <c r="E49" i="32" l="1"/>
  <c r="E44" i="31"/>
  <c r="F44" i="31" s="1"/>
  <c r="G44" i="31" s="1"/>
  <c r="D45" i="31"/>
  <c r="D50" i="32"/>
  <c r="F49" i="32"/>
  <c r="E50" i="32" l="1"/>
  <c r="E45" i="31"/>
  <c r="F45" i="31" s="1"/>
  <c r="G45" i="31" s="1"/>
  <c r="D46" i="31"/>
  <c r="D51" i="32"/>
  <c r="F50" i="32"/>
  <c r="E51" i="32" l="1"/>
  <c r="E46" i="31"/>
  <c r="F46" i="31" s="1"/>
  <c r="G46" i="31" s="1"/>
  <c r="D47" i="31"/>
  <c r="D52" i="32"/>
  <c r="F51" i="32"/>
  <c r="E52" i="32" l="1"/>
  <c r="E47" i="31"/>
  <c r="F47" i="31" s="1"/>
  <c r="G47" i="31" s="1"/>
  <c r="D48" i="31"/>
  <c r="F52" i="32"/>
  <c r="D53" i="32"/>
  <c r="E53" i="32" l="1"/>
  <c r="E48" i="31"/>
  <c r="F48" i="31" s="1"/>
  <c r="G48" i="31" s="1"/>
  <c r="D49" i="31"/>
  <c r="D54" i="32"/>
  <c r="F53" i="32"/>
  <c r="E54" i="32" l="1"/>
  <c r="E49" i="31"/>
  <c r="F49" i="31" s="1"/>
  <c r="G49" i="31" s="1"/>
  <c r="D50" i="31"/>
  <c r="D55" i="32"/>
  <c r="F54" i="32"/>
  <c r="E55" i="32" l="1"/>
  <c r="E50" i="31"/>
  <c r="F50" i="31" s="1"/>
  <c r="G50" i="31" s="1"/>
  <c r="D51" i="31"/>
  <c r="D56" i="32"/>
  <c r="F55" i="32"/>
  <c r="AF5" i="31" l="1" a="1"/>
  <c r="AF5" i="31" s="1"/>
  <c r="AG5" i="31" a="1"/>
  <c r="AG5" i="31" s="1"/>
  <c r="S5" i="31" a="1"/>
  <c r="S5" i="31" s="1"/>
  <c r="R5" i="31" a="1"/>
  <c r="R5" i="31" s="1"/>
  <c r="E56" i="32"/>
  <c r="E51" i="31"/>
  <c r="F51" i="31" s="1"/>
  <c r="G51" i="31" s="1"/>
  <c r="D52" i="31"/>
  <c r="F56" i="32"/>
  <c r="D57" i="32"/>
  <c r="E57" i="32" l="1"/>
  <c r="E52" i="31"/>
  <c r="F52" i="31" s="1"/>
  <c r="G52" i="31" s="1"/>
  <c r="D53" i="31"/>
  <c r="D58" i="32"/>
  <c r="F57" i="32"/>
  <c r="E58" i="32" l="1"/>
  <c r="E53" i="31"/>
  <c r="F53" i="31" s="1"/>
  <c r="G53" i="31" s="1"/>
  <c r="D54" i="31"/>
  <c r="D59" i="32"/>
  <c r="F58" i="32"/>
  <c r="E59" i="32" l="1"/>
  <c r="E54" i="31"/>
  <c r="F54" i="31" s="1"/>
  <c r="G54" i="31" s="1"/>
  <c r="D55" i="31"/>
  <c r="D60" i="32"/>
  <c r="F59" i="32"/>
  <c r="E60" i="32" l="1"/>
  <c r="E55" i="31"/>
  <c r="F55" i="31" s="1"/>
  <c r="G55" i="31" s="1"/>
  <c r="D56" i="31"/>
  <c r="F60" i="32"/>
  <c r="D61" i="32"/>
  <c r="E61" i="32" l="1"/>
  <c r="E56" i="31"/>
  <c r="F56" i="31" s="1"/>
  <c r="G56" i="31" s="1"/>
  <c r="D57" i="31"/>
  <c r="D62" i="32"/>
  <c r="F61" i="32"/>
  <c r="E62" i="32" l="1"/>
  <c r="E57" i="31"/>
  <c r="F57" i="31" s="1"/>
  <c r="G57" i="31" s="1"/>
  <c r="D58" i="31"/>
  <c r="D63" i="32"/>
  <c r="F62" i="32"/>
  <c r="E63" i="32" l="1"/>
  <c r="E58" i="31"/>
  <c r="F58" i="31" s="1"/>
  <c r="G58" i="31" s="1"/>
  <c r="D59" i="31"/>
  <c r="D64" i="32"/>
  <c r="F63" i="32"/>
  <c r="E64" i="32" l="1"/>
  <c r="E59" i="31"/>
  <c r="F59" i="31" s="1"/>
  <c r="G59" i="31" s="1"/>
  <c r="D60" i="31"/>
  <c r="F64" i="32"/>
  <c r="D65" i="32"/>
  <c r="E65" i="32" l="1"/>
  <c r="E60" i="31"/>
  <c r="F60" i="31" s="1"/>
  <c r="G60" i="31" s="1"/>
  <c r="D61" i="31"/>
  <c r="D66" i="32"/>
  <c r="F65" i="32"/>
  <c r="E66" i="32" l="1"/>
  <c r="E61" i="31"/>
  <c r="F61" i="31" s="1"/>
  <c r="G61" i="31" s="1"/>
  <c r="D62" i="31"/>
  <c r="D67" i="32"/>
  <c r="F66" i="32"/>
  <c r="E67" i="32" l="1"/>
  <c r="E62" i="31"/>
  <c r="F62" i="31" s="1"/>
  <c r="G62" i="31" s="1"/>
  <c r="D63" i="31"/>
  <c r="D68" i="32"/>
  <c r="F67" i="32"/>
  <c r="E68" i="32" l="1"/>
  <c r="E63" i="31"/>
  <c r="F63" i="31" s="1"/>
  <c r="G63" i="31" s="1"/>
  <c r="D64" i="31"/>
  <c r="F68" i="32"/>
  <c r="D69" i="32"/>
  <c r="E69" i="32" l="1"/>
  <c r="E64" i="31"/>
  <c r="F64" i="31" s="1"/>
  <c r="G64" i="31" s="1"/>
  <c r="D65" i="31"/>
  <c r="D70" i="32"/>
  <c r="F69" i="32"/>
  <c r="E70" i="32" l="1"/>
  <c r="E65" i="31"/>
  <c r="F65" i="31" s="1"/>
  <c r="G65" i="31" s="1"/>
  <c r="D66" i="31"/>
  <c r="D71" i="32"/>
  <c r="F70" i="32"/>
  <c r="E71" i="32" l="1"/>
  <c r="E66" i="31"/>
  <c r="F66" i="31" s="1"/>
  <c r="G66" i="31" s="1"/>
  <c r="D67" i="31"/>
  <c r="D72" i="32"/>
  <c r="F71" i="32"/>
  <c r="E72" i="32" l="1"/>
  <c r="E67" i="31"/>
  <c r="F67" i="31" s="1"/>
  <c r="G67" i="31" s="1"/>
  <c r="D68" i="31"/>
  <c r="F72" i="32"/>
  <c r="D73" i="32"/>
  <c r="E73" i="32" l="1"/>
  <c r="E68" i="31"/>
  <c r="F68" i="31" s="1"/>
  <c r="G68" i="31" s="1"/>
  <c r="D69" i="31"/>
  <c r="D74" i="32"/>
  <c r="F73" i="32"/>
  <c r="E74" i="32" l="1"/>
  <c r="E69" i="31"/>
  <c r="F69" i="31" s="1"/>
  <c r="G69" i="31" s="1"/>
  <c r="D70" i="31"/>
  <c r="D75" i="32"/>
  <c r="F74" i="32"/>
  <c r="E75" i="32" l="1"/>
  <c r="E70" i="31"/>
  <c r="F70" i="31" s="1"/>
  <c r="G70" i="31" s="1"/>
  <c r="D71" i="31"/>
  <c r="D76" i="32"/>
  <c r="F75" i="32"/>
  <c r="E76" i="32" l="1"/>
  <c r="E71" i="31"/>
  <c r="F71" i="31" s="1"/>
  <c r="G71" i="31" s="1"/>
  <c r="D72" i="31"/>
  <c r="F76" i="32"/>
  <c r="D77" i="32"/>
  <c r="E77" i="32" l="1"/>
  <c r="E72" i="31"/>
  <c r="F72" i="31" s="1"/>
  <c r="G72" i="31" s="1"/>
  <c r="D73" i="31"/>
  <c r="D78" i="32"/>
  <c r="F77" i="32"/>
  <c r="E78" i="32" l="1"/>
  <c r="E73" i="31"/>
  <c r="F73" i="31" s="1"/>
  <c r="G73" i="31" s="1"/>
  <c r="D74" i="31"/>
  <c r="D79" i="32"/>
  <c r="F78" i="32"/>
  <c r="E79" i="32" l="1"/>
  <c r="E74" i="31"/>
  <c r="F74" i="31" s="1"/>
  <c r="G74" i="31" s="1"/>
  <c r="D75" i="31"/>
  <c r="D80" i="32"/>
  <c r="F79" i="32"/>
  <c r="E80" i="32" l="1"/>
  <c r="E75" i="31"/>
  <c r="F75" i="31" s="1"/>
  <c r="G75" i="31" s="1"/>
  <c r="D76" i="31"/>
  <c r="F80" i="32"/>
  <c r="D81" i="32"/>
  <c r="E81" i="32" l="1"/>
  <c r="E76" i="31"/>
  <c r="F76" i="31" s="1"/>
  <c r="G76" i="31" s="1"/>
  <c r="D77" i="31"/>
  <c r="D82" i="32"/>
  <c r="F81" i="32"/>
  <c r="E82" i="32" l="1"/>
  <c r="E77" i="31"/>
  <c r="F77" i="31" s="1"/>
  <c r="G77" i="31" s="1"/>
  <c r="D78" i="31"/>
  <c r="D83" i="32"/>
  <c r="F82" i="32"/>
  <c r="E83" i="32" l="1"/>
  <c r="E78" i="31"/>
  <c r="F78" i="31" s="1"/>
  <c r="G78" i="31" s="1"/>
  <c r="D79" i="31"/>
  <c r="D84" i="32"/>
  <c r="F83" i="32"/>
  <c r="E84" i="32" l="1"/>
  <c r="E79" i="31"/>
  <c r="F79" i="31" s="1"/>
  <c r="G79" i="31" s="1"/>
  <c r="D80" i="31"/>
  <c r="F84" i="32"/>
  <c r="D85" i="32"/>
  <c r="E85" i="32" l="1"/>
  <c r="E80" i="31"/>
  <c r="F80" i="31" s="1"/>
  <c r="G80" i="31" s="1"/>
  <c r="D81" i="31"/>
  <c r="D86" i="32"/>
  <c r="F85" i="32"/>
  <c r="E86" i="32" l="1"/>
  <c r="E81" i="31"/>
  <c r="F81" i="31" s="1"/>
  <c r="G81" i="31" s="1"/>
  <c r="D82" i="31"/>
  <c r="D87" i="32"/>
  <c r="F86" i="32"/>
  <c r="E87" i="32" l="1"/>
  <c r="E82" i="31"/>
  <c r="F82" i="31" s="1"/>
  <c r="G82" i="31" s="1"/>
  <c r="D83" i="31"/>
  <c r="D88" i="32"/>
  <c r="F87" i="32"/>
  <c r="E88" i="32" l="1"/>
  <c r="E83" i="31"/>
  <c r="F83" i="31" s="1"/>
  <c r="G83" i="31" s="1"/>
  <c r="D84" i="31"/>
  <c r="F88" i="32"/>
  <c r="D89" i="32"/>
  <c r="E89" i="32" l="1"/>
  <c r="E84" i="31"/>
  <c r="F84" i="31" s="1"/>
  <c r="G84" i="31" s="1"/>
  <c r="D85" i="31"/>
  <c r="D90" i="32"/>
  <c r="F89" i="32"/>
  <c r="E90" i="32" l="1"/>
  <c r="E85" i="31"/>
  <c r="F85" i="31" s="1"/>
  <c r="G85" i="31" s="1"/>
  <c r="D86" i="31"/>
  <c r="D91" i="32"/>
  <c r="F90" i="32"/>
  <c r="E91" i="32" l="1"/>
  <c r="E86" i="31"/>
  <c r="F86" i="31" s="1"/>
  <c r="G86" i="31" s="1"/>
  <c r="D87" i="31"/>
  <c r="D92" i="32"/>
  <c r="F91" i="32"/>
  <c r="E92" i="32" l="1"/>
  <c r="E87" i="31"/>
  <c r="F87" i="31" s="1"/>
  <c r="G87" i="31" s="1"/>
  <c r="D88" i="31"/>
  <c r="F92" i="32"/>
  <c r="E88" i="31" l="1"/>
  <c r="F88" i="31" s="1"/>
  <c r="G88" i="31" s="1"/>
  <c r="D89" i="31"/>
  <c r="E89" i="31" l="1"/>
  <c r="F89" i="31" s="1"/>
  <c r="G89" i="31" s="1"/>
  <c r="D90" i="31"/>
  <c r="E90" i="31" l="1"/>
  <c r="F90" i="31" s="1"/>
  <c r="G90" i="31" s="1"/>
  <c r="D91" i="31"/>
  <c r="E91" i="31" l="1"/>
  <c r="F91" i="31" s="1"/>
  <c r="G91" i="31" s="1"/>
  <c r="D92" i="31"/>
  <c r="E92" i="31" l="1"/>
  <c r="F92" i="31" s="1"/>
  <c r="G92" i="31" s="1"/>
  <c r="AD6" i="32" l="1" a="1"/>
  <c r="AD6" i="32" s="1"/>
  <c r="AC6" i="32" a="1"/>
  <c r="AC6" i="32" s="1"/>
  <c r="P6" i="32" a="1"/>
  <c r="P6" i="32" s="1"/>
  <c r="O6" i="32" a="1"/>
  <c r="O6" i="32" s="1"/>
  <c r="O6" i="31" a="1"/>
  <c r="O6" i="31" s="1"/>
  <c r="P6" i="31" a="1"/>
  <c r="P6" i="31" s="1"/>
  <c r="N6" i="31" l="1" a="1"/>
  <c r="N6" i="31" s="1"/>
  <c r="K6" i="31" a="1"/>
  <c r="K6" i="31" s="1"/>
  <c r="J6" i="31" a="1"/>
  <c r="J6" i="31" s="1"/>
  <c r="L6" i="31" l="1" a="1"/>
  <c r="L6" i="31" s="1"/>
  <c r="AN28" i="59" l="1"/>
  <c r="AN29" i="59"/>
  <c r="AN40" i="59"/>
  <c r="Y40" i="59"/>
  <c r="Y41" i="59"/>
  <c r="AN41" i="59"/>
  <c r="AN53" i="59"/>
  <c r="AN52" i="59"/>
  <c r="Y53" i="59"/>
  <c r="Y52" i="59"/>
  <c r="AN16" i="59"/>
  <c r="AN17" i="59"/>
  <c r="AN10" i="59"/>
  <c r="AN27" i="59" l="1"/>
  <c r="AN21" i="59"/>
  <c r="AN39" i="59"/>
  <c r="Y49" i="59"/>
  <c r="Y39" i="59"/>
  <c r="Y44" i="59"/>
  <c r="AN49" i="59"/>
  <c r="AN44" i="59"/>
  <c r="Y45" i="59"/>
  <c r="AN45" i="59"/>
  <c r="AN51" i="59"/>
  <c r="Y32" i="59"/>
  <c r="AN25" i="59"/>
  <c r="AN37" i="59"/>
  <c r="AN20" i="59"/>
  <c r="Y51" i="59"/>
  <c r="AN33" i="59"/>
  <c r="Y33" i="59"/>
  <c r="AN32" i="59"/>
  <c r="Y37" i="59"/>
  <c r="AN15" i="59"/>
  <c r="AN13" i="59"/>
  <c r="AA8" i="59"/>
  <c r="AN8" i="59" s="1"/>
  <c r="AA9" i="59"/>
  <c r="AN9" i="59" s="1"/>
  <c r="Y38" i="59"/>
  <c r="AN38" i="59"/>
  <c r="AN26" i="59"/>
  <c r="Y50" i="59"/>
  <c r="AN50" i="59"/>
  <c r="AN14" i="59"/>
  <c r="H12" i="60" l="1" a="1"/>
  <c r="Q12" i="60" s="1"/>
  <c r="Q12" i="32" l="1"/>
  <c r="Q12" i="31"/>
  <c r="H12" i="60"/>
  <c r="I12" i="60"/>
  <c r="N12" i="60"/>
  <c r="R12" i="60"/>
  <c r="L12" i="60"/>
  <c r="K12" i="60"/>
  <c r="M12" i="60"/>
  <c r="S12" i="60"/>
  <c r="J12" i="60"/>
  <c r="O12" i="60"/>
  <c r="P12" i="60"/>
  <c r="Z13" i="60" l="1" a="1"/>
  <c r="Z13" i="60" s="1"/>
  <c r="W13" i="60" a="1"/>
  <c r="W13" i="60" s="1"/>
  <c r="Y13" i="60" a="1"/>
  <c r="Y13" i="60" s="1"/>
  <c r="AC12" i="31"/>
  <c r="V12" i="31"/>
  <c r="AB12" i="31"/>
  <c r="X12" i="31"/>
  <c r="Y12" i="31"/>
  <c r="Z12" i="31"/>
  <c r="W12" i="31"/>
  <c r="AD12" i="31"/>
  <c r="AE12" i="31"/>
  <c r="AA12" i="31"/>
  <c r="AG12" i="32"/>
  <c r="AC12" i="32"/>
  <c r="AF12" i="32"/>
  <c r="AD12" i="32"/>
  <c r="AB12" i="32"/>
  <c r="AE12" i="32"/>
  <c r="R12" i="32"/>
  <c r="P12" i="32"/>
  <c r="N12" i="32"/>
  <c r="O12" i="32"/>
  <c r="S12" i="32"/>
  <c r="P12" i="31"/>
  <c r="O12" i="31"/>
  <c r="J12" i="31"/>
  <c r="H12" i="31"/>
  <c r="M12" i="31"/>
  <c r="N12" i="31"/>
  <c r="I12" i="31"/>
  <c r="K12" i="31"/>
  <c r="L12" i="31"/>
  <c r="X12" i="60"/>
  <c r="U12" i="60"/>
  <c r="H13" i="60" a="1"/>
  <c r="Q13" i="60" s="1"/>
  <c r="T12" i="60"/>
  <c r="AH12" i="31" l="1"/>
  <c r="V12" i="60"/>
  <c r="Q13" i="32"/>
  <c r="Q13" i="31"/>
  <c r="T12" i="31"/>
  <c r="N13" i="60"/>
  <c r="P13" i="60"/>
  <c r="K13" i="60"/>
  <c r="H13" i="60"/>
  <c r="L13" i="60"/>
  <c r="S13" i="60"/>
  <c r="M13" i="60"/>
  <c r="R13" i="60"/>
  <c r="I13" i="60"/>
  <c r="J13" i="60"/>
  <c r="O13" i="60"/>
  <c r="Z14" i="60" l="1" a="1"/>
  <c r="Z14" i="60" s="1"/>
  <c r="W14" i="60" a="1"/>
  <c r="W14" i="60" s="1"/>
  <c r="Y14" i="60" a="1"/>
  <c r="Y14" i="60" s="1"/>
  <c r="AA13" i="31"/>
  <c r="AE13" i="31"/>
  <c r="V13" i="31"/>
  <c r="Y13" i="31"/>
  <c r="X13" i="31"/>
  <c r="AD13" i="31"/>
  <c r="Z13" i="31"/>
  <c r="AC13" i="31"/>
  <c r="AB13" i="31"/>
  <c r="W13" i="31"/>
  <c r="AD13" i="32"/>
  <c r="AG13" i="32"/>
  <c r="AF13" i="32"/>
  <c r="AC13" i="32"/>
  <c r="AB13" i="32"/>
  <c r="AE13" i="32"/>
  <c r="O13" i="32"/>
  <c r="P13" i="32"/>
  <c r="N13" i="32"/>
  <c r="R13" i="32"/>
  <c r="S13" i="32"/>
  <c r="I13" i="31"/>
  <c r="M13" i="31"/>
  <c r="L13" i="31"/>
  <c r="K13" i="31"/>
  <c r="H13" i="31"/>
  <c r="O13" i="31"/>
  <c r="J13" i="31"/>
  <c r="P13" i="31"/>
  <c r="N13" i="31"/>
  <c r="X13" i="60"/>
  <c r="U13" i="60"/>
  <c r="H14" i="60" a="1"/>
  <c r="R14" i="60" s="1"/>
  <c r="R14" i="32" s="1"/>
  <c r="T13" i="60"/>
  <c r="AH13" i="31" l="1"/>
  <c r="V13" i="60"/>
  <c r="T13" i="31"/>
  <c r="N14" i="60"/>
  <c r="Q14" i="60"/>
  <c r="J14" i="60"/>
  <c r="L14" i="60"/>
  <c r="I14" i="60"/>
  <c r="K14" i="60"/>
  <c r="O14" i="60"/>
  <c r="H14" i="60"/>
  <c r="M14" i="60"/>
  <c r="P14" i="60"/>
  <c r="S14" i="60"/>
  <c r="Z15" i="60" l="1" a="1"/>
  <c r="Z15" i="60" s="1"/>
  <c r="Y15" i="60" a="1"/>
  <c r="Y15" i="60" s="1"/>
  <c r="W15" i="60" a="1"/>
  <c r="W15" i="60" s="1"/>
  <c r="Z14" i="31"/>
  <c r="AE14" i="31"/>
  <c r="AA14" i="31"/>
  <c r="AB14" i="31"/>
  <c r="AD14" i="31"/>
  <c r="X14" i="31"/>
  <c r="V14" i="31"/>
  <c r="Y14" i="31"/>
  <c r="W14" i="31"/>
  <c r="AC14" i="31"/>
  <c r="AG14" i="32"/>
  <c r="AF14" i="32"/>
  <c r="AC14" i="32"/>
  <c r="AB14" i="32"/>
  <c r="AD14" i="32"/>
  <c r="AE14" i="32"/>
  <c r="O14" i="32"/>
  <c r="S14" i="32"/>
  <c r="P14" i="32"/>
  <c r="Q14" i="32"/>
  <c r="N14" i="32"/>
  <c r="O14" i="31"/>
  <c r="I14" i="31"/>
  <c r="M14" i="31"/>
  <c r="N14" i="31"/>
  <c r="H14" i="31"/>
  <c r="K14" i="31"/>
  <c r="L14" i="31"/>
  <c r="J14" i="31"/>
  <c r="P14" i="31"/>
  <c r="Q14" i="31"/>
  <c r="X14" i="60"/>
  <c r="U14" i="60"/>
  <c r="H15" i="60" a="1"/>
  <c r="L15" i="60" s="1"/>
  <c r="T14" i="60"/>
  <c r="AH14" i="31" l="1"/>
  <c r="V14" i="60"/>
  <c r="L15" i="31"/>
  <c r="T14" i="31"/>
  <c r="M15" i="60"/>
  <c r="R15" i="60"/>
  <c r="O15" i="60"/>
  <c r="S15" i="60"/>
  <c r="H15" i="60"/>
  <c r="Q15" i="60"/>
  <c r="P15" i="60"/>
  <c r="I15" i="60"/>
  <c r="N15" i="60"/>
  <c r="K15" i="60"/>
  <c r="J15" i="60"/>
  <c r="Z16" i="60" l="1" a="1"/>
  <c r="Z16" i="60" s="1"/>
  <c r="W16" i="60" a="1"/>
  <c r="W16" i="60" s="1"/>
  <c r="Y16" i="60" a="1"/>
  <c r="Y16" i="60" s="1"/>
  <c r="AA15" i="31"/>
  <c r="Z15" i="31"/>
  <c r="AC15" i="31"/>
  <c r="W15" i="31"/>
  <c r="Y15" i="31"/>
  <c r="AB15" i="31"/>
  <c r="AE15" i="31"/>
  <c r="X15" i="31"/>
  <c r="AD15" i="31"/>
  <c r="V15" i="31"/>
  <c r="AD15" i="32"/>
  <c r="AF15" i="32"/>
  <c r="AB15" i="32"/>
  <c r="AE15" i="32"/>
  <c r="AG15" i="32"/>
  <c r="AC15" i="32"/>
  <c r="N15" i="32"/>
  <c r="O15" i="32"/>
  <c r="Q15" i="32"/>
  <c r="S15" i="32"/>
  <c r="R15" i="32"/>
  <c r="P15" i="32"/>
  <c r="P15" i="31"/>
  <c r="Q15" i="31"/>
  <c r="H15" i="31"/>
  <c r="J15" i="31"/>
  <c r="O15" i="31"/>
  <c r="I15" i="31"/>
  <c r="K15" i="31"/>
  <c r="N15" i="31"/>
  <c r="M15" i="31"/>
  <c r="X15" i="60"/>
  <c r="U15" i="60"/>
  <c r="H16" i="60" a="1"/>
  <c r="R16" i="60" s="1"/>
  <c r="R16" i="32" s="1"/>
  <c r="T15" i="60"/>
  <c r="AH15" i="31" l="1"/>
  <c r="V15" i="60"/>
  <c r="T15" i="31"/>
  <c r="J16" i="60"/>
  <c r="K16" i="60"/>
  <c r="L16" i="60"/>
  <c r="O16" i="60"/>
  <c r="N16" i="60"/>
  <c r="P16" i="60"/>
  <c r="Q16" i="60"/>
  <c r="I16" i="60"/>
  <c r="H16" i="60"/>
  <c r="M16" i="60"/>
  <c r="S16" i="60"/>
  <c r="W17" i="60" l="1" a="1"/>
  <c r="W17" i="60" s="1"/>
  <c r="Z17" i="60" a="1"/>
  <c r="Z17" i="60" s="1"/>
  <c r="Y17" i="60" a="1"/>
  <c r="Y17" i="60" s="1"/>
  <c r="V16" i="31"/>
  <c r="AB16" i="31"/>
  <c r="AC16" i="31"/>
  <c r="AD16" i="31"/>
  <c r="AA16" i="31"/>
  <c r="Z16" i="31"/>
  <c r="AE16" i="31"/>
  <c r="X16" i="31"/>
  <c r="Y16" i="31"/>
  <c r="W16" i="31"/>
  <c r="AE16" i="32"/>
  <c r="AD16" i="32"/>
  <c r="AG16" i="32"/>
  <c r="AC16" i="32"/>
  <c r="AB16" i="32"/>
  <c r="AF16" i="32"/>
  <c r="P16" i="32"/>
  <c r="O16" i="32"/>
  <c r="S16" i="32"/>
  <c r="Q16" i="32"/>
  <c r="N16" i="32"/>
  <c r="K16" i="31"/>
  <c r="H16" i="31"/>
  <c r="J16" i="31"/>
  <c r="I16" i="31"/>
  <c r="Q16" i="31"/>
  <c r="P16" i="31"/>
  <c r="M16" i="31"/>
  <c r="N16" i="31"/>
  <c r="O16" i="31"/>
  <c r="L16" i="31"/>
  <c r="X16" i="60"/>
  <c r="U16" i="60"/>
  <c r="H17" i="60" a="1"/>
  <c r="O17" i="60" s="1"/>
  <c r="T16" i="60"/>
  <c r="AH16" i="31" l="1"/>
  <c r="V16" i="60"/>
  <c r="O17" i="32"/>
  <c r="O17" i="31"/>
  <c r="T16" i="31"/>
  <c r="J17" i="60"/>
  <c r="M17" i="60"/>
  <c r="K17" i="60"/>
  <c r="P17" i="60"/>
  <c r="N17" i="60"/>
  <c r="Q17" i="60"/>
  <c r="L17" i="60"/>
  <c r="H17" i="60"/>
  <c r="I17" i="60"/>
  <c r="S17" i="60"/>
  <c r="R17" i="60"/>
  <c r="Z18" i="60" l="1" a="1"/>
  <c r="Z18" i="60" s="1"/>
  <c r="W18" i="60" a="1"/>
  <c r="W18" i="60" s="1"/>
  <c r="Y18" i="60" a="1"/>
  <c r="Y18" i="60" s="1"/>
  <c r="Y17" i="31"/>
  <c r="AD17" i="31"/>
  <c r="V17" i="31"/>
  <c r="W17" i="31"/>
  <c r="Z17" i="31"/>
  <c r="AC17" i="31"/>
  <c r="AB17" i="31"/>
  <c r="AA17" i="31"/>
  <c r="X17" i="31"/>
  <c r="AE17" i="31"/>
  <c r="AF17" i="32"/>
  <c r="AG17" i="32"/>
  <c r="AE17" i="32"/>
  <c r="AC17" i="32"/>
  <c r="AB17" i="32"/>
  <c r="AD17" i="32"/>
  <c r="S17" i="32"/>
  <c r="P17" i="32"/>
  <c r="R17" i="32"/>
  <c r="Q17" i="32"/>
  <c r="N17" i="32"/>
  <c r="H17" i="31"/>
  <c r="L17" i="31"/>
  <c r="Q17" i="31"/>
  <c r="N17" i="31"/>
  <c r="P17" i="31"/>
  <c r="K17" i="31"/>
  <c r="M17" i="31"/>
  <c r="I17" i="31"/>
  <c r="J17" i="31"/>
  <c r="U17" i="60"/>
  <c r="X17" i="60"/>
  <c r="H18" i="60" a="1"/>
  <c r="H18" i="60" s="1"/>
  <c r="T17" i="60"/>
  <c r="AH17" i="31" l="1"/>
  <c r="V17" i="60"/>
  <c r="H18" i="31"/>
  <c r="T17" i="31"/>
  <c r="R18" i="60"/>
  <c r="K18" i="60"/>
  <c r="L18" i="60"/>
  <c r="M18" i="60"/>
  <c r="J18" i="60"/>
  <c r="O18" i="60"/>
  <c r="Q18" i="60"/>
  <c r="P18" i="60"/>
  <c r="S18" i="60"/>
  <c r="N18" i="60"/>
  <c r="I18" i="60"/>
  <c r="Z19" i="60" l="1" a="1"/>
  <c r="Z19" i="60" s="1"/>
  <c r="Y19" i="60" a="1"/>
  <c r="Y19" i="60" s="1"/>
  <c r="W19" i="60" a="1"/>
  <c r="W19" i="60" s="1"/>
  <c r="AB18" i="31"/>
  <c r="AA18" i="31"/>
  <c r="X18" i="31"/>
  <c r="AD18" i="31"/>
  <c r="Z18" i="31"/>
  <c r="V18" i="31"/>
  <c r="Y18" i="31"/>
  <c r="AC18" i="31"/>
  <c r="W18" i="31"/>
  <c r="AE18" i="31"/>
  <c r="AD18" i="32"/>
  <c r="AG18" i="32"/>
  <c r="AB18" i="32"/>
  <c r="AF18" i="32"/>
  <c r="AE18" i="32"/>
  <c r="AC18" i="32"/>
  <c r="N18" i="32"/>
  <c r="S18" i="32"/>
  <c r="R18" i="32"/>
  <c r="Q18" i="32"/>
  <c r="O18" i="32"/>
  <c r="P18" i="32"/>
  <c r="K18" i="31"/>
  <c r="N18" i="31"/>
  <c r="O18" i="31"/>
  <c r="J18" i="31"/>
  <c r="P18" i="31"/>
  <c r="Q18" i="31"/>
  <c r="M18" i="31"/>
  <c r="I18" i="31"/>
  <c r="L18" i="31"/>
  <c r="X18" i="60"/>
  <c r="U18" i="60"/>
  <c r="H19" i="60" a="1"/>
  <c r="R19" i="60" s="1"/>
  <c r="R19" i="32" s="1"/>
  <c r="T18" i="60"/>
  <c r="AH18" i="31" l="1"/>
  <c r="V18" i="60"/>
  <c r="T18" i="31"/>
  <c r="I19" i="60"/>
  <c r="K19" i="60"/>
  <c r="N19" i="60"/>
  <c r="S19" i="60"/>
  <c r="M19" i="60"/>
  <c r="L19" i="60"/>
  <c r="O19" i="60"/>
  <c r="P19" i="60"/>
  <c r="H19" i="60"/>
  <c r="J19" i="60"/>
  <c r="Q19" i="60"/>
  <c r="W20" i="60" l="1" a="1"/>
  <c r="W20" i="60" s="1"/>
  <c r="Z20" i="60" a="1"/>
  <c r="Z20" i="60" s="1"/>
  <c r="Y20" i="60" a="1"/>
  <c r="Y20" i="60" s="1"/>
  <c r="V19" i="31"/>
  <c r="AB19" i="31"/>
  <c r="AA19" i="31"/>
  <c r="W19" i="31"/>
  <c r="AD19" i="31"/>
  <c r="AE19" i="31"/>
  <c r="X19" i="31"/>
  <c r="AC19" i="31"/>
  <c r="Y19" i="31"/>
  <c r="Z19" i="31"/>
  <c r="AG19" i="32"/>
  <c r="AE19" i="32"/>
  <c r="AC19" i="32"/>
  <c r="AF19" i="32"/>
  <c r="AB19" i="32"/>
  <c r="AD19" i="32"/>
  <c r="S19" i="32"/>
  <c r="Q19" i="32"/>
  <c r="N19" i="32"/>
  <c r="P19" i="32"/>
  <c r="O19" i="32"/>
  <c r="P19" i="31"/>
  <c r="H19" i="31"/>
  <c r="M19" i="31"/>
  <c r="I19" i="31"/>
  <c r="O19" i="31"/>
  <c r="L19" i="31"/>
  <c r="Q19" i="31"/>
  <c r="N19" i="31"/>
  <c r="J19" i="31"/>
  <c r="K19" i="31"/>
  <c r="X19" i="60"/>
  <c r="U19" i="60"/>
  <c r="T19" i="60"/>
  <c r="H20" i="60" a="1"/>
  <c r="R20" i="60" s="1"/>
  <c r="AH19" i="31" l="1"/>
  <c r="V19" i="60"/>
  <c r="R20" i="32"/>
  <c r="T19" i="31"/>
  <c r="N20" i="60"/>
  <c r="I20" i="60"/>
  <c r="Q20" i="60"/>
  <c r="P20" i="60"/>
  <c r="M20" i="60"/>
  <c r="J20" i="60"/>
  <c r="K20" i="60"/>
  <c r="H20" i="60"/>
  <c r="S20" i="60"/>
  <c r="O20" i="60"/>
  <c r="L20" i="60"/>
  <c r="W21" i="60" l="1" a="1"/>
  <c r="W21" i="60" s="1"/>
  <c r="Z21" i="60" a="1"/>
  <c r="Z21" i="60" s="1"/>
  <c r="Y21" i="60" a="1"/>
  <c r="Y21" i="60" s="1"/>
  <c r="AE20" i="31"/>
  <c r="V20" i="31"/>
  <c r="Z20" i="31"/>
  <c r="X20" i="31"/>
  <c r="Y20" i="31"/>
  <c r="AB20" i="31"/>
  <c r="W20" i="31"/>
  <c r="AC20" i="31"/>
  <c r="AA20" i="31"/>
  <c r="AD20" i="31"/>
  <c r="AD20" i="32"/>
  <c r="AE20" i="32"/>
  <c r="AF20" i="32"/>
  <c r="AG20" i="32"/>
  <c r="AB20" i="32"/>
  <c r="AC20" i="32"/>
  <c r="Q20" i="32"/>
  <c r="O20" i="32"/>
  <c r="S20" i="32"/>
  <c r="N20" i="32"/>
  <c r="P20" i="32"/>
  <c r="J20" i="31"/>
  <c r="N20" i="31"/>
  <c r="M20" i="31"/>
  <c r="P20" i="31"/>
  <c r="Q20" i="31"/>
  <c r="H20" i="31"/>
  <c r="K20" i="31"/>
  <c r="L20" i="31"/>
  <c r="O20" i="31"/>
  <c r="I20" i="31"/>
  <c r="X20" i="60"/>
  <c r="U20" i="60"/>
  <c r="H21" i="60" a="1"/>
  <c r="J21" i="60" s="1"/>
  <c r="T20" i="60"/>
  <c r="AH20" i="31" l="1"/>
  <c r="J21" i="31"/>
  <c r="V20" i="60"/>
  <c r="T20" i="31"/>
  <c r="H21" i="60"/>
  <c r="Q21" i="60"/>
  <c r="L21" i="60"/>
  <c r="K21" i="60"/>
  <c r="N21" i="60"/>
  <c r="R21" i="60"/>
  <c r="S21" i="60"/>
  <c r="M21" i="60"/>
  <c r="O21" i="60"/>
  <c r="I21" i="60"/>
  <c r="P21" i="60"/>
  <c r="Z22" i="60" l="1" a="1"/>
  <c r="Z22" i="60" s="1"/>
  <c r="W22" i="60" a="1"/>
  <c r="W22" i="60" s="1"/>
  <c r="Y22" i="60" a="1"/>
  <c r="Y22" i="60" s="1"/>
  <c r="AC21" i="31"/>
  <c r="AA21" i="31"/>
  <c r="X21" i="31"/>
  <c r="V21" i="31"/>
  <c r="Y21" i="31"/>
  <c r="AD21" i="31"/>
  <c r="AE21" i="31"/>
  <c r="W21" i="31"/>
  <c r="AB21" i="31"/>
  <c r="Z21" i="31"/>
  <c r="AC21" i="32"/>
  <c r="AD21" i="32"/>
  <c r="AE21" i="32"/>
  <c r="AB21" i="32"/>
  <c r="AG21" i="32"/>
  <c r="AF21" i="32"/>
  <c r="P21" i="32"/>
  <c r="Q21" i="32"/>
  <c r="O21" i="32"/>
  <c r="S21" i="32"/>
  <c r="R21" i="32"/>
  <c r="N21" i="32"/>
  <c r="N21" i="31"/>
  <c r="K21" i="31"/>
  <c r="P21" i="31"/>
  <c r="L21" i="31"/>
  <c r="Q21" i="31"/>
  <c r="M21" i="31"/>
  <c r="I21" i="31"/>
  <c r="O21" i="31"/>
  <c r="H21" i="31"/>
  <c r="X21" i="60"/>
  <c r="U21" i="60"/>
  <c r="T21" i="60"/>
  <c r="H22" i="60" a="1"/>
  <c r="L22" i="60" s="1"/>
  <c r="AH21" i="31" l="1"/>
  <c r="V21" i="60"/>
  <c r="L22" i="31"/>
  <c r="T21" i="31"/>
  <c r="P22" i="60"/>
  <c r="M22" i="60"/>
  <c r="N22" i="60"/>
  <c r="S22" i="60"/>
  <c r="Q22" i="60"/>
  <c r="J22" i="60"/>
  <c r="K22" i="60"/>
  <c r="H22" i="60"/>
  <c r="I22" i="60"/>
  <c r="R22" i="60"/>
  <c r="O22" i="60"/>
  <c r="Z23" i="60" l="1" a="1"/>
  <c r="Z23" i="60" s="1"/>
  <c r="W23" i="60" a="1"/>
  <c r="W23" i="60" s="1"/>
  <c r="Y23" i="60" a="1"/>
  <c r="Y23" i="60" s="1"/>
  <c r="Z22" i="31"/>
  <c r="Y22" i="31"/>
  <c r="AE22" i="31"/>
  <c r="X22" i="31"/>
  <c r="AC22" i="31"/>
  <c r="V22" i="31"/>
  <c r="AB22" i="31"/>
  <c r="AD22" i="31"/>
  <c r="W22" i="31"/>
  <c r="AA22" i="31"/>
  <c r="AB22" i="32"/>
  <c r="AG22" i="32"/>
  <c r="AE22" i="32"/>
  <c r="AC22" i="32"/>
  <c r="AD22" i="32"/>
  <c r="AF22" i="32"/>
  <c r="O22" i="32"/>
  <c r="N22" i="32"/>
  <c r="Q22" i="32"/>
  <c r="S22" i="32"/>
  <c r="P22" i="32"/>
  <c r="R22" i="32"/>
  <c r="J22" i="31"/>
  <c r="Q22" i="31"/>
  <c r="K22" i="31"/>
  <c r="O22" i="31"/>
  <c r="N22" i="31"/>
  <c r="M22" i="31"/>
  <c r="I22" i="31"/>
  <c r="P22" i="31"/>
  <c r="H22" i="31"/>
  <c r="X22" i="60"/>
  <c r="U22" i="60"/>
  <c r="T22" i="60"/>
  <c r="H23" i="60" a="1"/>
  <c r="I23" i="60" s="1"/>
  <c r="AH22" i="31" l="1"/>
  <c r="I23" i="31"/>
  <c r="T22" i="31"/>
  <c r="V22" i="60"/>
  <c r="L23" i="60"/>
  <c r="S23" i="60"/>
  <c r="M23" i="60"/>
  <c r="R23" i="60"/>
  <c r="Q23" i="60"/>
  <c r="J23" i="60"/>
  <c r="O23" i="60"/>
  <c r="H23" i="60"/>
  <c r="K23" i="60"/>
  <c r="P23" i="60"/>
  <c r="N23" i="60"/>
  <c r="Z24" i="60" l="1" a="1"/>
  <c r="Z24" i="60" s="1"/>
  <c r="Y24" i="60" a="1"/>
  <c r="Y24" i="60" s="1"/>
  <c r="W24" i="60" a="1"/>
  <c r="W24" i="60" s="1"/>
  <c r="AE23" i="31"/>
  <c r="X23" i="31"/>
  <c r="AD23" i="31"/>
  <c r="V23" i="31"/>
  <c r="AB23" i="31"/>
  <c r="Y23" i="31"/>
  <c r="AC23" i="31"/>
  <c r="Z23" i="31"/>
  <c r="AA23" i="31"/>
  <c r="W23" i="31"/>
  <c r="AE23" i="32"/>
  <c r="AF23" i="32"/>
  <c r="AD23" i="32"/>
  <c r="AG23" i="32"/>
  <c r="AB23" i="32"/>
  <c r="AC23" i="32"/>
  <c r="S23" i="32"/>
  <c r="N23" i="32"/>
  <c r="P23" i="32"/>
  <c r="O23" i="32"/>
  <c r="Q23" i="32"/>
  <c r="R23" i="32"/>
  <c r="J23" i="31"/>
  <c r="Q23" i="31"/>
  <c r="N23" i="31"/>
  <c r="M23" i="31"/>
  <c r="O23" i="31"/>
  <c r="P23" i="31"/>
  <c r="K23" i="31"/>
  <c r="H23" i="31"/>
  <c r="L23" i="31"/>
  <c r="X23" i="60"/>
  <c r="H24" i="60" a="1"/>
  <c r="O24" i="60" s="1"/>
  <c r="U23" i="60"/>
  <c r="T23" i="60"/>
  <c r="AH23" i="31" l="1"/>
  <c r="V23" i="60"/>
  <c r="O24" i="32"/>
  <c r="O24" i="31"/>
  <c r="T23" i="31"/>
  <c r="I24" i="60"/>
  <c r="M24" i="60"/>
  <c r="J24" i="60"/>
  <c r="H24" i="60"/>
  <c r="N24" i="60"/>
  <c r="P24" i="60"/>
  <c r="S24" i="60"/>
  <c r="R24" i="60"/>
  <c r="Q24" i="60"/>
  <c r="K24" i="60"/>
  <c r="L24" i="60"/>
  <c r="W25" i="60" l="1" a="1"/>
  <c r="W25" i="60" s="1"/>
  <c r="Z25" i="60" a="1"/>
  <c r="Z25" i="60" s="1"/>
  <c r="Y25" i="60" a="1"/>
  <c r="Y25" i="60" s="1"/>
  <c r="AB24" i="31"/>
  <c r="V24" i="31"/>
  <c r="Y24" i="31"/>
  <c r="X24" i="31"/>
  <c r="AE24" i="31"/>
  <c r="Z24" i="31"/>
  <c r="AD24" i="31"/>
  <c r="AC24" i="31"/>
  <c r="W24" i="31"/>
  <c r="AA24" i="31"/>
  <c r="AD24" i="32"/>
  <c r="AC24" i="32"/>
  <c r="AB24" i="32"/>
  <c r="AF24" i="32"/>
  <c r="AG24" i="32"/>
  <c r="AE24" i="32"/>
  <c r="Q24" i="32"/>
  <c r="N24" i="32"/>
  <c r="R24" i="32"/>
  <c r="S24" i="32"/>
  <c r="P24" i="32"/>
  <c r="N24" i="31"/>
  <c r="P24" i="31"/>
  <c r="H24" i="31"/>
  <c r="L24" i="31"/>
  <c r="J24" i="31"/>
  <c r="K24" i="31"/>
  <c r="M24" i="31"/>
  <c r="Q24" i="31"/>
  <c r="I24" i="31"/>
  <c r="X24" i="60"/>
  <c r="U24" i="60"/>
  <c r="T24" i="60"/>
  <c r="H25" i="60" a="1"/>
  <c r="P25" i="60" s="1"/>
  <c r="P25" i="32" s="1"/>
  <c r="AH24" i="31" l="1"/>
  <c r="V24" i="60"/>
  <c r="P25" i="31"/>
  <c r="T24" i="31"/>
  <c r="O25" i="60"/>
  <c r="L25" i="60"/>
  <c r="R25" i="60"/>
  <c r="H25" i="60"/>
  <c r="N25" i="60"/>
  <c r="J25" i="60"/>
  <c r="I25" i="60"/>
  <c r="M25" i="60"/>
  <c r="K25" i="60"/>
  <c r="S25" i="60"/>
  <c r="Q25" i="60"/>
  <c r="Z26" i="60" l="1" a="1"/>
  <c r="Z26" i="60" s="1"/>
  <c r="W26" i="60" a="1"/>
  <c r="W26" i="60" s="1"/>
  <c r="Y26" i="60" a="1"/>
  <c r="Y26" i="60" s="1"/>
  <c r="X25" i="31"/>
  <c r="V25" i="31"/>
  <c r="AE25" i="31"/>
  <c r="Z25" i="31"/>
  <c r="AC25" i="31"/>
  <c r="AD25" i="31"/>
  <c r="Y25" i="31"/>
  <c r="W25" i="31"/>
  <c r="AA25" i="31"/>
  <c r="AB25" i="31"/>
  <c r="AB25" i="32"/>
  <c r="AE25" i="32"/>
  <c r="AC25" i="32"/>
  <c r="AG25" i="32"/>
  <c r="AD25" i="32"/>
  <c r="AF25" i="32"/>
  <c r="R25" i="32"/>
  <c r="Q25" i="32"/>
  <c r="S25" i="32"/>
  <c r="O25" i="32"/>
  <c r="N25" i="32"/>
  <c r="J25" i="31"/>
  <c r="N25" i="31"/>
  <c r="H25" i="31"/>
  <c r="L25" i="31"/>
  <c r="I25" i="31"/>
  <c r="Q25" i="31"/>
  <c r="K25" i="31"/>
  <c r="O25" i="31"/>
  <c r="M25" i="31"/>
  <c r="X25" i="60"/>
  <c r="H26" i="60" a="1"/>
  <c r="M26" i="60" s="1"/>
  <c r="U25" i="60"/>
  <c r="T25" i="60"/>
  <c r="AH25" i="31" l="1"/>
  <c r="V25" i="60"/>
  <c r="M26" i="31"/>
  <c r="T25" i="31"/>
  <c r="S26" i="60"/>
  <c r="H26" i="60"/>
  <c r="N26" i="60"/>
  <c r="I26" i="60"/>
  <c r="Q26" i="60"/>
  <c r="O26" i="60"/>
  <c r="K26" i="60"/>
  <c r="R26" i="60"/>
  <c r="L26" i="60"/>
  <c r="P26" i="60"/>
  <c r="J26" i="60"/>
  <c r="Z27" i="60" l="1" a="1"/>
  <c r="Z27" i="60" s="1"/>
  <c r="W27" i="60" a="1"/>
  <c r="W27" i="60" s="1"/>
  <c r="Y27" i="60" a="1"/>
  <c r="Y27" i="60" s="1"/>
  <c r="AE26" i="31"/>
  <c r="X26" i="31"/>
  <c r="AB26" i="31"/>
  <c r="V26" i="31"/>
  <c r="Y26" i="31"/>
  <c r="W26" i="31"/>
  <c r="AD26" i="31"/>
  <c r="AA26" i="31"/>
  <c r="AC26" i="31"/>
  <c r="Z26" i="31"/>
  <c r="AE26" i="32"/>
  <c r="AF26" i="32"/>
  <c r="AB26" i="32"/>
  <c r="AG26" i="32"/>
  <c r="AC26" i="32"/>
  <c r="AD26" i="32"/>
  <c r="S26" i="32"/>
  <c r="R26" i="32"/>
  <c r="O26" i="32"/>
  <c r="Q26" i="32"/>
  <c r="P26" i="32"/>
  <c r="N26" i="32"/>
  <c r="J26" i="31"/>
  <c r="I26" i="31"/>
  <c r="Q26" i="31"/>
  <c r="P26" i="31"/>
  <c r="N26" i="31"/>
  <c r="H26" i="31"/>
  <c r="L26" i="31"/>
  <c r="K26" i="31"/>
  <c r="O26" i="31"/>
  <c r="X26" i="60"/>
  <c r="U26" i="60"/>
  <c r="T26" i="60"/>
  <c r="H27" i="60" a="1"/>
  <c r="Q27" i="60" s="1"/>
  <c r="Q27" i="32" s="1"/>
  <c r="AH26" i="31" l="1"/>
  <c r="V26" i="60"/>
  <c r="Q27" i="31"/>
  <c r="T26" i="31"/>
  <c r="M27" i="60"/>
  <c r="R27" i="60"/>
  <c r="I27" i="60"/>
  <c r="K27" i="60"/>
  <c r="L27" i="60"/>
  <c r="O27" i="60"/>
  <c r="P27" i="60"/>
  <c r="J27" i="60"/>
  <c r="H27" i="60"/>
  <c r="S27" i="60"/>
  <c r="N27" i="60"/>
  <c r="Z28" i="60" l="1" a="1"/>
  <c r="Z28" i="60" s="1"/>
  <c r="Y28" i="60" a="1"/>
  <c r="Y28" i="60" s="1"/>
  <c r="W28" i="60" a="1"/>
  <c r="W28" i="60" s="1"/>
  <c r="AD27" i="31"/>
  <c r="X27" i="31"/>
  <c r="V27" i="31"/>
  <c r="W27" i="31"/>
  <c r="AC27" i="31"/>
  <c r="Y27" i="31"/>
  <c r="AB27" i="31"/>
  <c r="Z27" i="31"/>
  <c r="AE27" i="31"/>
  <c r="AA27" i="31"/>
  <c r="AG27" i="32"/>
  <c r="AC27" i="32"/>
  <c r="AD27" i="32"/>
  <c r="AE27" i="32"/>
  <c r="AB27" i="32"/>
  <c r="AF27" i="32"/>
  <c r="S27" i="32"/>
  <c r="R27" i="32"/>
  <c r="P27" i="32"/>
  <c r="O27" i="32"/>
  <c r="N27" i="32"/>
  <c r="K27" i="31"/>
  <c r="N27" i="31"/>
  <c r="L27" i="31"/>
  <c r="H27" i="31"/>
  <c r="M27" i="31"/>
  <c r="J27" i="31"/>
  <c r="I27" i="31"/>
  <c r="P27" i="31"/>
  <c r="O27" i="31"/>
  <c r="X27" i="60"/>
  <c r="T27" i="60"/>
  <c r="H28" i="60" a="1"/>
  <c r="J28" i="60" s="1"/>
  <c r="U27" i="60"/>
  <c r="AH27" i="31" l="1"/>
  <c r="V27" i="60"/>
  <c r="J28" i="31"/>
  <c r="T27" i="31"/>
  <c r="O28" i="60"/>
  <c r="I28" i="60"/>
  <c r="R28" i="60"/>
  <c r="P28" i="60"/>
  <c r="H28" i="60"/>
  <c r="M28" i="60"/>
  <c r="N28" i="60"/>
  <c r="K28" i="60"/>
  <c r="Q28" i="60"/>
  <c r="S28" i="60"/>
  <c r="L28" i="60"/>
  <c r="Z29" i="60" l="1" a="1"/>
  <c r="Z29" i="60" s="1"/>
  <c r="W29" i="60" a="1"/>
  <c r="W29" i="60" s="1"/>
  <c r="Y29" i="60" a="1"/>
  <c r="Y29" i="60" s="1"/>
  <c r="AB28" i="31"/>
  <c r="X28" i="31"/>
  <c r="AC28" i="31"/>
  <c r="AA28" i="31"/>
  <c r="V28" i="31"/>
  <c r="AD28" i="31"/>
  <c r="AE28" i="31"/>
  <c r="Y28" i="31"/>
  <c r="W28" i="31"/>
  <c r="Z28" i="31"/>
  <c r="AG28" i="32"/>
  <c r="AB28" i="32"/>
  <c r="AC28" i="32"/>
  <c r="AD28" i="32"/>
  <c r="AE28" i="32"/>
  <c r="AF28" i="32"/>
  <c r="O28" i="32"/>
  <c r="S28" i="32"/>
  <c r="N28" i="32"/>
  <c r="Q28" i="32"/>
  <c r="P28" i="32"/>
  <c r="R28" i="32"/>
  <c r="L28" i="31"/>
  <c r="I28" i="31"/>
  <c r="Q28" i="31"/>
  <c r="O28" i="31"/>
  <c r="K28" i="31"/>
  <c r="P28" i="31"/>
  <c r="N28" i="31"/>
  <c r="M28" i="31"/>
  <c r="H28" i="31"/>
  <c r="X28" i="60"/>
  <c r="T28" i="60"/>
  <c r="U28" i="60"/>
  <c r="H29" i="60" a="1"/>
  <c r="R29" i="60" s="1"/>
  <c r="R29" i="32" s="1"/>
  <c r="AH28" i="31" l="1"/>
  <c r="V28" i="60"/>
  <c r="T28" i="31"/>
  <c r="K29" i="60"/>
  <c r="N29" i="60"/>
  <c r="H29" i="60"/>
  <c r="J29" i="60"/>
  <c r="S29" i="60"/>
  <c r="O29" i="60"/>
  <c r="L29" i="60"/>
  <c r="P29" i="60"/>
  <c r="I29" i="60"/>
  <c r="Q29" i="60"/>
  <c r="M29" i="60"/>
  <c r="Z30" i="60" l="1" a="1"/>
  <c r="Z30" i="60" s="1"/>
  <c r="W30" i="60" a="1"/>
  <c r="W30" i="60" s="1"/>
  <c r="Y30" i="60" a="1"/>
  <c r="Y30" i="60" s="1"/>
  <c r="AB29" i="31"/>
  <c r="AD29" i="31"/>
  <c r="V29" i="31"/>
  <c r="AE29" i="31"/>
  <c r="X29" i="31"/>
  <c r="AA29" i="31"/>
  <c r="Z29" i="31"/>
  <c r="Y29" i="31"/>
  <c r="W29" i="31"/>
  <c r="AC29" i="31"/>
  <c r="AC29" i="32"/>
  <c r="AB29" i="32"/>
  <c r="AG29" i="32"/>
  <c r="AD29" i="32"/>
  <c r="AE29" i="32"/>
  <c r="AF29" i="32"/>
  <c r="N29" i="32"/>
  <c r="P29" i="32"/>
  <c r="O29" i="32"/>
  <c r="Q29" i="32"/>
  <c r="S29" i="32"/>
  <c r="O29" i="31"/>
  <c r="J29" i="31"/>
  <c r="H29" i="31"/>
  <c r="I29" i="31"/>
  <c r="Q29" i="31"/>
  <c r="N29" i="31"/>
  <c r="P29" i="31"/>
  <c r="M29" i="31"/>
  <c r="K29" i="31"/>
  <c r="L29" i="31"/>
  <c r="X29" i="60"/>
  <c r="H30" i="60" a="1"/>
  <c r="O30" i="60" s="1"/>
  <c r="U29" i="60"/>
  <c r="T29" i="60"/>
  <c r="AH29" i="31" l="1"/>
  <c r="V29" i="60"/>
  <c r="O30" i="32"/>
  <c r="O30" i="31"/>
  <c r="T29" i="31"/>
  <c r="H30" i="60"/>
  <c r="Q30" i="60"/>
  <c r="L30" i="60"/>
  <c r="R30" i="60"/>
  <c r="S30" i="60"/>
  <c r="I30" i="60"/>
  <c r="N30" i="60"/>
  <c r="J30" i="60"/>
  <c r="K30" i="60"/>
  <c r="M30" i="60"/>
  <c r="P30" i="60"/>
  <c r="Z31" i="60" l="1" a="1"/>
  <c r="Z31" i="60" s="1"/>
  <c r="W31" i="60" a="1"/>
  <c r="W31" i="60" s="1"/>
  <c r="Y31" i="60" a="1"/>
  <c r="Y31" i="60" s="1"/>
  <c r="X30" i="31"/>
  <c r="AA30" i="31"/>
  <c r="V30" i="31"/>
  <c r="Y30" i="31"/>
  <c r="AB30" i="31"/>
  <c r="AC30" i="31"/>
  <c r="AD30" i="31"/>
  <c r="W30" i="31"/>
  <c r="Z30" i="31"/>
  <c r="AE30" i="31"/>
  <c r="AB30" i="32"/>
  <c r="AG30" i="32"/>
  <c r="AE30" i="32"/>
  <c r="AF30" i="32"/>
  <c r="AC30" i="32"/>
  <c r="AD30" i="32"/>
  <c r="S30" i="32"/>
  <c r="N30" i="32"/>
  <c r="R30" i="32"/>
  <c r="P30" i="32"/>
  <c r="Q30" i="32"/>
  <c r="P30" i="31"/>
  <c r="L30" i="31"/>
  <c r="M30" i="31"/>
  <c r="Q30" i="31"/>
  <c r="K30" i="31"/>
  <c r="H30" i="31"/>
  <c r="J30" i="31"/>
  <c r="N30" i="31"/>
  <c r="I30" i="31"/>
  <c r="X30" i="60"/>
  <c r="U30" i="60"/>
  <c r="H31" i="60" a="1"/>
  <c r="N31" i="60" s="1"/>
  <c r="T30" i="60"/>
  <c r="AH30" i="31" l="1"/>
  <c r="V30" i="60"/>
  <c r="N31" i="32"/>
  <c r="N31" i="31"/>
  <c r="T30" i="31"/>
  <c r="P31" i="60"/>
  <c r="I31" i="60"/>
  <c r="J31" i="60"/>
  <c r="S31" i="60"/>
  <c r="L31" i="60"/>
  <c r="R31" i="60"/>
  <c r="H31" i="60"/>
  <c r="Q31" i="60"/>
  <c r="K31" i="60"/>
  <c r="O31" i="60"/>
  <c r="M31" i="60"/>
  <c r="W32" i="60" l="1" a="1"/>
  <c r="W32" i="60" s="1"/>
  <c r="Z32" i="60" a="1"/>
  <c r="Z32" i="60" s="1"/>
  <c r="Y32" i="60" a="1"/>
  <c r="Y32" i="60" s="1"/>
  <c r="W31" i="31"/>
  <c r="X31" i="31"/>
  <c r="V31" i="31"/>
  <c r="AD31" i="31"/>
  <c r="AC31" i="31"/>
  <c r="Z31" i="31"/>
  <c r="AB31" i="31"/>
  <c r="Y31" i="31"/>
  <c r="AE31" i="31"/>
  <c r="AA31" i="31"/>
  <c r="AG31" i="32"/>
  <c r="AF31" i="32"/>
  <c r="AD31" i="32"/>
  <c r="AC31" i="32"/>
  <c r="AB31" i="32"/>
  <c r="AE31" i="32"/>
  <c r="Q31" i="32"/>
  <c r="P31" i="32"/>
  <c r="R31" i="32"/>
  <c r="S31" i="32"/>
  <c r="O31" i="32"/>
  <c r="M31" i="31"/>
  <c r="J31" i="31"/>
  <c r="O31" i="31"/>
  <c r="I31" i="31"/>
  <c r="K31" i="31"/>
  <c r="P31" i="31"/>
  <c r="Q31" i="31"/>
  <c r="H31" i="31"/>
  <c r="L31" i="31"/>
  <c r="X31" i="60"/>
  <c r="H32" i="60" a="1"/>
  <c r="N32" i="60" s="1"/>
  <c r="T31" i="60"/>
  <c r="U31" i="60"/>
  <c r="AH31" i="31" l="1"/>
  <c r="V31" i="60"/>
  <c r="N32" i="32"/>
  <c r="N32" i="31"/>
  <c r="T31" i="31"/>
  <c r="S32" i="60"/>
  <c r="R32" i="60"/>
  <c r="P32" i="60"/>
  <c r="Q32" i="60"/>
  <c r="M32" i="60"/>
  <c r="J32" i="60"/>
  <c r="L32" i="60"/>
  <c r="I32" i="60"/>
  <c r="K32" i="60"/>
  <c r="O32" i="60"/>
  <c r="H32" i="60"/>
  <c r="Z33" i="60" l="1" a="1"/>
  <c r="Z33" i="60" s="1"/>
  <c r="W33" i="60" a="1"/>
  <c r="W33" i="60" s="1"/>
  <c r="Y33" i="60" a="1"/>
  <c r="Y33" i="60" s="1"/>
  <c r="X32" i="31"/>
  <c r="AC32" i="31"/>
  <c r="W32" i="31"/>
  <c r="V32" i="31"/>
  <c r="AE32" i="31"/>
  <c r="AD32" i="31"/>
  <c r="AA32" i="31"/>
  <c r="Y32" i="31"/>
  <c r="Z32" i="31"/>
  <c r="AB32" i="31"/>
  <c r="AG32" i="32"/>
  <c r="AC32" i="32"/>
  <c r="AE32" i="32"/>
  <c r="AD32" i="32"/>
  <c r="AB32" i="32"/>
  <c r="AF32" i="32"/>
  <c r="S32" i="32"/>
  <c r="Q32" i="32"/>
  <c r="P32" i="32"/>
  <c r="O32" i="32"/>
  <c r="R32" i="32"/>
  <c r="H32" i="31"/>
  <c r="P32" i="31"/>
  <c r="Q32" i="31"/>
  <c r="O32" i="31"/>
  <c r="I32" i="31"/>
  <c r="K32" i="31"/>
  <c r="L32" i="31"/>
  <c r="J32" i="31"/>
  <c r="M32" i="31"/>
  <c r="T32" i="60"/>
  <c r="H33" i="60" a="1"/>
  <c r="R33" i="60" s="1"/>
  <c r="X32" i="60"/>
  <c r="U32" i="60"/>
  <c r="AH32" i="31" l="1"/>
  <c r="V32" i="60"/>
  <c r="R33" i="32"/>
  <c r="T32" i="31"/>
  <c r="L33" i="60"/>
  <c r="N33" i="60"/>
  <c r="I33" i="60"/>
  <c r="Q33" i="60"/>
  <c r="M33" i="60"/>
  <c r="P33" i="60"/>
  <c r="H33" i="60"/>
  <c r="S33" i="60"/>
  <c r="J33" i="60"/>
  <c r="O33" i="60"/>
  <c r="K33" i="60"/>
  <c r="W34" i="60" l="1" a="1"/>
  <c r="W34" i="60" s="1"/>
  <c r="Z34" i="60" a="1"/>
  <c r="Z34" i="60" s="1"/>
  <c r="Y34" i="60" a="1"/>
  <c r="Y34" i="60" s="1"/>
  <c r="Z33" i="31"/>
  <c r="W33" i="31"/>
  <c r="Y33" i="31"/>
  <c r="X33" i="31"/>
  <c r="AC33" i="31"/>
  <c r="AA33" i="31"/>
  <c r="AD33" i="31"/>
  <c r="AE33" i="31"/>
  <c r="AB33" i="31"/>
  <c r="V33" i="31"/>
  <c r="AF33" i="32"/>
  <c r="AB33" i="32"/>
  <c r="AG33" i="32"/>
  <c r="AE33" i="32"/>
  <c r="AC33" i="32"/>
  <c r="AD33" i="32"/>
  <c r="O33" i="32"/>
  <c r="S33" i="32"/>
  <c r="P33" i="32"/>
  <c r="N33" i="32"/>
  <c r="Q33" i="32"/>
  <c r="M33" i="31"/>
  <c r="P33" i="31"/>
  <c r="Q33" i="31"/>
  <c r="I33" i="31"/>
  <c r="N33" i="31"/>
  <c r="J33" i="31"/>
  <c r="K33" i="31"/>
  <c r="O33" i="31"/>
  <c r="L33" i="31"/>
  <c r="H33" i="31"/>
  <c r="H34" i="60" a="1"/>
  <c r="H34" i="60" s="1"/>
  <c r="T33" i="60"/>
  <c r="U33" i="60"/>
  <c r="X33" i="60"/>
  <c r="AH33" i="31" l="1"/>
  <c r="V33" i="60"/>
  <c r="H34" i="31"/>
  <c r="T33" i="31"/>
  <c r="N34" i="60"/>
  <c r="R34" i="60"/>
  <c r="M34" i="60"/>
  <c r="P34" i="60"/>
  <c r="I34" i="60"/>
  <c r="O34" i="60"/>
  <c r="S34" i="60"/>
  <c r="K34" i="60"/>
  <c r="L34" i="60"/>
  <c r="J34" i="60"/>
  <c r="Q34" i="60"/>
  <c r="Z35" i="60" l="1" a="1"/>
  <c r="Z35" i="60" s="1"/>
  <c r="W35" i="60" a="1"/>
  <c r="W35" i="60" s="1"/>
  <c r="Y35" i="60" a="1"/>
  <c r="Y35" i="60" s="1"/>
  <c r="AC34" i="31"/>
  <c r="W34" i="31"/>
  <c r="AE34" i="31"/>
  <c r="Z34" i="31"/>
  <c r="AA34" i="31"/>
  <c r="Y34" i="31"/>
  <c r="AB34" i="31"/>
  <c r="V34" i="31"/>
  <c r="X34" i="31"/>
  <c r="AD34" i="31"/>
  <c r="AE34" i="32"/>
  <c r="AF34" i="32"/>
  <c r="AG34" i="32"/>
  <c r="AD34" i="32"/>
  <c r="AC34" i="32"/>
  <c r="AB34" i="32"/>
  <c r="S34" i="32"/>
  <c r="O34" i="32"/>
  <c r="P34" i="32"/>
  <c r="N34" i="32"/>
  <c r="Q34" i="32"/>
  <c r="R34" i="32"/>
  <c r="I34" i="31"/>
  <c r="Q34" i="31"/>
  <c r="J34" i="31"/>
  <c r="P34" i="31"/>
  <c r="N34" i="31"/>
  <c r="M34" i="31"/>
  <c r="L34" i="31"/>
  <c r="K34" i="31"/>
  <c r="O34" i="31"/>
  <c r="T34" i="60"/>
  <c r="H35" i="60" a="1"/>
  <c r="S35" i="60" s="1"/>
  <c r="X34" i="60"/>
  <c r="U34" i="60"/>
  <c r="AH34" i="31" l="1"/>
  <c r="V34" i="60"/>
  <c r="S35" i="32"/>
  <c r="T34" i="31"/>
  <c r="R35" i="60"/>
  <c r="L35" i="60"/>
  <c r="P35" i="60"/>
  <c r="H35" i="60"/>
  <c r="K35" i="60"/>
  <c r="N35" i="60"/>
  <c r="M35" i="60"/>
  <c r="Q35" i="60"/>
  <c r="O35" i="60"/>
  <c r="I35" i="60"/>
  <c r="J35" i="60"/>
  <c r="Z36" i="60" l="1" a="1"/>
  <c r="Z36" i="60" s="1"/>
  <c r="W36" i="60" a="1"/>
  <c r="W36" i="60" s="1"/>
  <c r="Y36" i="60" a="1"/>
  <c r="Y36" i="60" s="1"/>
  <c r="Z35" i="31"/>
  <c r="AC35" i="31"/>
  <c r="W35" i="31"/>
  <c r="AE35" i="31"/>
  <c r="AA35" i="31"/>
  <c r="AB35" i="31"/>
  <c r="V35" i="31"/>
  <c r="AD35" i="31"/>
  <c r="Y35" i="31"/>
  <c r="X35" i="31"/>
  <c r="AG35" i="32"/>
  <c r="AB35" i="32"/>
  <c r="AE35" i="32"/>
  <c r="AF35" i="32"/>
  <c r="AD35" i="32"/>
  <c r="AC35" i="32"/>
  <c r="O35" i="32"/>
  <c r="R35" i="32"/>
  <c r="N35" i="32"/>
  <c r="Q35" i="32"/>
  <c r="P35" i="32"/>
  <c r="N35" i="31"/>
  <c r="J35" i="31"/>
  <c r="P35" i="31"/>
  <c r="L35" i="31"/>
  <c r="O35" i="31"/>
  <c r="Q35" i="31"/>
  <c r="K35" i="31"/>
  <c r="H35" i="31"/>
  <c r="I35" i="31"/>
  <c r="M35" i="31"/>
  <c r="H36" i="60" a="1"/>
  <c r="S36" i="60" s="1"/>
  <c r="T35" i="60"/>
  <c r="U35" i="60"/>
  <c r="X35" i="60"/>
  <c r="AH35" i="31" l="1"/>
  <c r="V35" i="60"/>
  <c r="S36" i="32"/>
  <c r="J36" i="60"/>
  <c r="T35" i="31"/>
  <c r="M36" i="60"/>
  <c r="O36" i="60"/>
  <c r="R36" i="60"/>
  <c r="P36" i="60"/>
  <c r="H36" i="60"/>
  <c r="K36" i="60"/>
  <c r="I36" i="60"/>
  <c r="N36" i="60"/>
  <c r="L36" i="60"/>
  <c r="Q36" i="60"/>
  <c r="Z37" i="60" l="1" a="1"/>
  <c r="Z37" i="60" s="1"/>
  <c r="W37" i="60" a="1"/>
  <c r="W37" i="60" s="1"/>
  <c r="Y37" i="60" a="1"/>
  <c r="Y37" i="60" s="1"/>
  <c r="AC36" i="31"/>
  <c r="Z36" i="31"/>
  <c r="AA36" i="31"/>
  <c r="AE36" i="31"/>
  <c r="W36" i="31"/>
  <c r="V36" i="31"/>
  <c r="X36" i="31"/>
  <c r="AB36" i="31"/>
  <c r="AD36" i="31"/>
  <c r="Y36" i="31"/>
  <c r="AG36" i="32"/>
  <c r="AF36" i="32"/>
  <c r="AE36" i="32"/>
  <c r="AC36" i="32"/>
  <c r="AB36" i="32"/>
  <c r="AD36" i="32"/>
  <c r="N36" i="32"/>
  <c r="P36" i="32"/>
  <c r="R36" i="32"/>
  <c r="Q36" i="32"/>
  <c r="O36" i="32"/>
  <c r="H36" i="31"/>
  <c r="Q36" i="31"/>
  <c r="O36" i="31"/>
  <c r="P36" i="31"/>
  <c r="M36" i="31"/>
  <c r="L36" i="31"/>
  <c r="N36" i="31"/>
  <c r="I36" i="31"/>
  <c r="K36" i="31"/>
  <c r="J36" i="31"/>
  <c r="X36" i="60"/>
  <c r="T36" i="60"/>
  <c r="U36" i="60"/>
  <c r="H37" i="60" a="1"/>
  <c r="O37" i="60" s="1"/>
  <c r="O37" i="32" s="1"/>
  <c r="AH36" i="31" l="1"/>
  <c r="V36" i="60"/>
  <c r="O37" i="31"/>
  <c r="T36" i="31"/>
  <c r="R37" i="60"/>
  <c r="P37" i="60"/>
  <c r="L37" i="60"/>
  <c r="K37" i="60"/>
  <c r="S37" i="60"/>
  <c r="I37" i="60"/>
  <c r="Q37" i="60"/>
  <c r="J37" i="60"/>
  <c r="M37" i="60"/>
  <c r="N37" i="60"/>
  <c r="H37" i="60"/>
  <c r="Z38" i="60" l="1" a="1"/>
  <c r="Z38" i="60" s="1"/>
  <c r="W38" i="60" a="1"/>
  <c r="W38" i="60" s="1"/>
  <c r="Y38" i="60" a="1"/>
  <c r="Y38" i="60" s="1"/>
  <c r="AB37" i="31"/>
  <c r="AC37" i="31"/>
  <c r="AA37" i="31"/>
  <c r="Y37" i="31"/>
  <c r="Z37" i="31"/>
  <c r="AE37" i="31"/>
  <c r="V37" i="31"/>
  <c r="X37" i="31"/>
  <c r="W37" i="31"/>
  <c r="AD37" i="31"/>
  <c r="AB37" i="32"/>
  <c r="AD37" i="32"/>
  <c r="AF37" i="32"/>
  <c r="AC37" i="32"/>
  <c r="AE37" i="32"/>
  <c r="AG37" i="32"/>
  <c r="R37" i="32"/>
  <c r="Q37" i="32"/>
  <c r="P37" i="32"/>
  <c r="S37" i="32"/>
  <c r="N37" i="32"/>
  <c r="H37" i="31"/>
  <c r="P37" i="31"/>
  <c r="N37" i="31"/>
  <c r="M37" i="31"/>
  <c r="J37" i="31"/>
  <c r="K37" i="31"/>
  <c r="L37" i="31"/>
  <c r="Q37" i="31"/>
  <c r="I37" i="31"/>
  <c r="X37" i="60"/>
  <c r="T37" i="60"/>
  <c r="H38" i="60" a="1"/>
  <c r="M38" i="60" s="1"/>
  <c r="U37" i="60"/>
  <c r="AH37" i="31" l="1"/>
  <c r="V37" i="60"/>
  <c r="M38" i="31"/>
  <c r="T37" i="31"/>
  <c r="I38" i="60"/>
  <c r="O38" i="60"/>
  <c r="N38" i="60"/>
  <c r="L38" i="60"/>
  <c r="S38" i="60"/>
  <c r="R38" i="60"/>
  <c r="K38" i="60"/>
  <c r="P38" i="60"/>
  <c r="Q38" i="60"/>
  <c r="H38" i="60"/>
  <c r="J38" i="60"/>
  <c r="Z39" i="60" l="1" a="1"/>
  <c r="Z39" i="60" s="1"/>
  <c r="W39" i="60" a="1"/>
  <c r="W39" i="60" s="1"/>
  <c r="Y39" i="60" a="1"/>
  <c r="Y39" i="60" s="1"/>
  <c r="X38" i="31"/>
  <c r="AE38" i="31"/>
  <c r="Y38" i="31"/>
  <c r="AC38" i="31"/>
  <c r="V38" i="31"/>
  <c r="AD38" i="31"/>
  <c r="AA38" i="31"/>
  <c r="AB38" i="31"/>
  <c r="Z38" i="31"/>
  <c r="W38" i="31"/>
  <c r="AF38" i="32"/>
  <c r="AG38" i="32"/>
  <c r="AB38" i="32"/>
  <c r="AE38" i="32"/>
  <c r="AC38" i="32"/>
  <c r="AD38" i="32"/>
  <c r="Q38" i="32"/>
  <c r="S38" i="32"/>
  <c r="P38" i="32"/>
  <c r="R38" i="32"/>
  <c r="N38" i="32"/>
  <c r="O38" i="32"/>
  <c r="L38" i="31"/>
  <c r="H38" i="31"/>
  <c r="J38" i="31"/>
  <c r="O38" i="31"/>
  <c r="I38" i="31"/>
  <c r="N38" i="31"/>
  <c r="Q38" i="31"/>
  <c r="P38" i="31"/>
  <c r="K38" i="31"/>
  <c r="T38" i="60"/>
  <c r="H39" i="60" a="1"/>
  <c r="L39" i="60" s="1"/>
  <c r="X38" i="60"/>
  <c r="U38" i="60"/>
  <c r="AH38" i="31" l="1"/>
  <c r="V38" i="60"/>
  <c r="L39" i="31"/>
  <c r="T38" i="31"/>
  <c r="Q39" i="60"/>
  <c r="R39" i="60"/>
  <c r="H39" i="60"/>
  <c r="P39" i="60"/>
  <c r="S39" i="60"/>
  <c r="J39" i="60"/>
  <c r="O39" i="60"/>
  <c r="I39" i="60"/>
  <c r="M39" i="60"/>
  <c r="N39" i="60"/>
  <c r="K39" i="60"/>
  <c r="Z40" i="60" l="1" a="1"/>
  <c r="Z40" i="60" s="1"/>
  <c r="W40" i="60" a="1"/>
  <c r="W40" i="60" s="1"/>
  <c r="Y40" i="60" a="1"/>
  <c r="Y40" i="60" s="1"/>
  <c r="Z39" i="31"/>
  <c r="AD39" i="31"/>
  <c r="AC39" i="31"/>
  <c r="X39" i="31"/>
  <c r="W39" i="31"/>
  <c r="AB39" i="31"/>
  <c r="V39" i="31"/>
  <c r="AA39" i="31"/>
  <c r="Y39" i="31"/>
  <c r="AE39" i="31"/>
  <c r="AE39" i="32"/>
  <c r="AD39" i="32"/>
  <c r="AC39" i="32"/>
  <c r="AF39" i="32"/>
  <c r="AG39" i="32"/>
  <c r="AB39" i="32"/>
  <c r="O39" i="32"/>
  <c r="S39" i="32"/>
  <c r="P39" i="32"/>
  <c r="Q39" i="32"/>
  <c r="N39" i="32"/>
  <c r="R39" i="32"/>
  <c r="K39" i="31"/>
  <c r="H39" i="31"/>
  <c r="N39" i="31"/>
  <c r="M39" i="31"/>
  <c r="Q39" i="31"/>
  <c r="I39" i="31"/>
  <c r="P39" i="31"/>
  <c r="O39" i="31"/>
  <c r="J39" i="31"/>
  <c r="H40" i="60" a="1"/>
  <c r="O40" i="60" s="1"/>
  <c r="T39" i="60"/>
  <c r="X39" i="60"/>
  <c r="U39" i="60"/>
  <c r="AH39" i="31" l="1"/>
  <c r="V39" i="60"/>
  <c r="O40" i="32"/>
  <c r="O40" i="31"/>
  <c r="T39" i="31"/>
  <c r="J40" i="60"/>
  <c r="H40" i="60"/>
  <c r="K40" i="60"/>
  <c r="R40" i="60"/>
  <c r="L40" i="60"/>
  <c r="N40" i="60"/>
  <c r="I40" i="60"/>
  <c r="S40" i="60"/>
  <c r="Q40" i="60"/>
  <c r="P40" i="60"/>
  <c r="M40" i="60"/>
  <c r="Z41" i="60" l="1" a="1"/>
  <c r="Z41" i="60" s="1"/>
  <c r="W41" i="60" a="1"/>
  <c r="W41" i="60" s="1"/>
  <c r="Y41" i="60" a="1"/>
  <c r="Y41" i="60" s="1"/>
  <c r="Y40" i="31"/>
  <c r="AA40" i="31"/>
  <c r="Z40" i="31"/>
  <c r="AD40" i="31"/>
  <c r="X40" i="31"/>
  <c r="W40" i="31"/>
  <c r="V40" i="31"/>
  <c r="AC40" i="31"/>
  <c r="AB40" i="31"/>
  <c r="AE40" i="31"/>
  <c r="AE40" i="32"/>
  <c r="AG40" i="32"/>
  <c r="AC40" i="32"/>
  <c r="AF40" i="32"/>
  <c r="AB40" i="32"/>
  <c r="AD40" i="32"/>
  <c r="Q40" i="32"/>
  <c r="S40" i="32"/>
  <c r="N40" i="32"/>
  <c r="R40" i="32"/>
  <c r="P40" i="32"/>
  <c r="M40" i="31"/>
  <c r="K40" i="31"/>
  <c r="P40" i="31"/>
  <c r="H40" i="31"/>
  <c r="Q40" i="31"/>
  <c r="J40" i="31"/>
  <c r="I40" i="31"/>
  <c r="N40" i="31"/>
  <c r="L40" i="31"/>
  <c r="H41" i="60" a="1"/>
  <c r="L41" i="60" s="1"/>
  <c r="T40" i="60"/>
  <c r="X40" i="60"/>
  <c r="U40" i="60"/>
  <c r="AH40" i="31" l="1"/>
  <c r="V40" i="60"/>
  <c r="L41" i="31"/>
  <c r="T40" i="31"/>
  <c r="Q41" i="60"/>
  <c r="M41" i="60"/>
  <c r="S41" i="60"/>
  <c r="O41" i="60"/>
  <c r="H41" i="60"/>
  <c r="J41" i="60"/>
  <c r="K41" i="60"/>
  <c r="I41" i="60"/>
  <c r="P41" i="60"/>
  <c r="N41" i="60"/>
  <c r="R41" i="60"/>
  <c r="Z42" i="60" l="1" a="1"/>
  <c r="Z42" i="60" s="1"/>
  <c r="W42" i="60" a="1"/>
  <c r="W42" i="60" s="1"/>
  <c r="Y42" i="60" a="1"/>
  <c r="Y42" i="60" s="1"/>
  <c r="AA41" i="31"/>
  <c r="AE41" i="31"/>
  <c r="X41" i="31"/>
  <c r="AC41" i="31"/>
  <c r="V41" i="31"/>
  <c r="Y41" i="31"/>
  <c r="AD41" i="31"/>
  <c r="W41" i="31"/>
  <c r="Z41" i="31"/>
  <c r="AB41" i="31"/>
  <c r="AF41" i="32"/>
  <c r="AE41" i="32"/>
  <c r="AC41" i="32"/>
  <c r="AG41" i="32"/>
  <c r="AD41" i="32"/>
  <c r="AB41" i="32"/>
  <c r="O41" i="32"/>
  <c r="P41" i="32"/>
  <c r="Q41" i="32"/>
  <c r="R41" i="32"/>
  <c r="S41" i="32"/>
  <c r="N41" i="32"/>
  <c r="H41" i="31"/>
  <c r="O41" i="31"/>
  <c r="N41" i="31"/>
  <c r="M41" i="31"/>
  <c r="P41" i="31"/>
  <c r="Q41" i="31"/>
  <c r="I41" i="31"/>
  <c r="K41" i="31"/>
  <c r="J41" i="31"/>
  <c r="T41" i="60"/>
  <c r="H42" i="60" a="1"/>
  <c r="M42" i="60" s="1"/>
  <c r="X41" i="60"/>
  <c r="U41" i="60"/>
  <c r="AH41" i="31" l="1"/>
  <c r="V41" i="60"/>
  <c r="M42" i="31"/>
  <c r="T41" i="31"/>
  <c r="J42" i="60"/>
  <c r="R42" i="60"/>
  <c r="K42" i="60"/>
  <c r="Q42" i="60"/>
  <c r="P42" i="60"/>
  <c r="S42" i="60"/>
  <c r="N42" i="60"/>
  <c r="I42" i="60"/>
  <c r="H42" i="60"/>
  <c r="L42" i="60"/>
  <c r="O42" i="60"/>
  <c r="W43" i="60" l="1" a="1"/>
  <c r="W43" i="60" s="1"/>
  <c r="Z43" i="60" a="1"/>
  <c r="Z43" i="60" s="1"/>
  <c r="Y43" i="60" a="1"/>
  <c r="Y43" i="60" s="1"/>
  <c r="AB42" i="31"/>
  <c r="AA42" i="31"/>
  <c r="Y42" i="31"/>
  <c r="AC42" i="31"/>
  <c r="AD42" i="31"/>
  <c r="Z42" i="31"/>
  <c r="V42" i="31"/>
  <c r="X42" i="31"/>
  <c r="AE42" i="31"/>
  <c r="W42" i="31"/>
  <c r="AB42" i="32"/>
  <c r="AC42" i="32"/>
  <c r="AD42" i="32"/>
  <c r="AG42" i="32"/>
  <c r="AF42" i="32"/>
  <c r="AE42" i="32"/>
  <c r="S42" i="32"/>
  <c r="P42" i="32"/>
  <c r="N42" i="32"/>
  <c r="Q42" i="32"/>
  <c r="O42" i="32"/>
  <c r="R42" i="32"/>
  <c r="Q42" i="31"/>
  <c r="L42" i="31"/>
  <c r="O42" i="31"/>
  <c r="J42" i="31"/>
  <c r="K42" i="31"/>
  <c r="H42" i="31"/>
  <c r="I42" i="31"/>
  <c r="N42" i="31"/>
  <c r="P42" i="31"/>
  <c r="X42" i="60"/>
  <c r="T42" i="60"/>
  <c r="H43" i="60" a="1"/>
  <c r="N43" i="60" s="1"/>
  <c r="U42" i="60"/>
  <c r="AH42" i="31" l="1"/>
  <c r="V42" i="60"/>
  <c r="N43" i="32"/>
  <c r="N43" i="31"/>
  <c r="T42" i="31"/>
  <c r="I43" i="60"/>
  <c r="H43" i="60"/>
  <c r="P43" i="60"/>
  <c r="K43" i="60"/>
  <c r="R43" i="60"/>
  <c r="S43" i="60"/>
  <c r="L43" i="60"/>
  <c r="O43" i="60"/>
  <c r="M43" i="60"/>
  <c r="Q43" i="60"/>
  <c r="J43" i="60"/>
  <c r="W44" i="60" l="1" a="1"/>
  <c r="W44" i="60" s="1"/>
  <c r="Z44" i="60" a="1"/>
  <c r="Z44" i="60" s="1"/>
  <c r="Y44" i="60" a="1"/>
  <c r="Y44" i="60" s="1"/>
  <c r="AB43" i="31"/>
  <c r="AD43" i="31"/>
  <c r="Y43" i="31"/>
  <c r="X43" i="31"/>
  <c r="V43" i="31"/>
  <c r="AA43" i="31"/>
  <c r="AC43" i="31"/>
  <c r="W43" i="31"/>
  <c r="Z43" i="31"/>
  <c r="AE43" i="31"/>
  <c r="AE43" i="32"/>
  <c r="AG43" i="32"/>
  <c r="AB43" i="32"/>
  <c r="AD43" i="32"/>
  <c r="AF43" i="32"/>
  <c r="AC43" i="32"/>
  <c r="O43" i="32"/>
  <c r="R43" i="32"/>
  <c r="S43" i="32"/>
  <c r="P43" i="32"/>
  <c r="Q43" i="32"/>
  <c r="K43" i="31"/>
  <c r="M43" i="31"/>
  <c r="I43" i="31"/>
  <c r="P43" i="31"/>
  <c r="J43" i="31"/>
  <c r="Q43" i="31"/>
  <c r="H43" i="31"/>
  <c r="O43" i="31"/>
  <c r="L43" i="31"/>
  <c r="T43" i="60"/>
  <c r="H44" i="60" a="1"/>
  <c r="M44" i="60" s="1"/>
  <c r="X43" i="60"/>
  <c r="U43" i="60"/>
  <c r="AH43" i="31" l="1"/>
  <c r="V43" i="60"/>
  <c r="M44" i="31"/>
  <c r="T43" i="31"/>
  <c r="S44" i="60"/>
  <c r="L44" i="60"/>
  <c r="N44" i="60"/>
  <c r="Q44" i="60"/>
  <c r="P44" i="60"/>
  <c r="I44" i="60"/>
  <c r="R44" i="60"/>
  <c r="H44" i="60"/>
  <c r="K44" i="60"/>
  <c r="O44" i="60"/>
  <c r="J44" i="60"/>
  <c r="Z45" i="60" l="1" a="1"/>
  <c r="Z45" i="60" s="1"/>
  <c r="W45" i="60" a="1"/>
  <c r="W45" i="60" s="1"/>
  <c r="Y45" i="60" a="1"/>
  <c r="Y45" i="60" s="1"/>
  <c r="AD44" i="31"/>
  <c r="X44" i="31"/>
  <c r="AA44" i="31"/>
  <c r="Z44" i="31"/>
  <c r="Y44" i="31"/>
  <c r="V44" i="31"/>
  <c r="W44" i="31"/>
  <c r="AB44" i="31"/>
  <c r="AC44" i="31"/>
  <c r="AE44" i="31"/>
  <c r="AE44" i="32"/>
  <c r="AF44" i="32"/>
  <c r="AB44" i="32"/>
  <c r="AC44" i="32"/>
  <c r="AD44" i="32"/>
  <c r="AG44" i="32"/>
  <c r="S44" i="32"/>
  <c r="R44" i="32"/>
  <c r="P44" i="32"/>
  <c r="Q44" i="32"/>
  <c r="N44" i="32"/>
  <c r="O44" i="32"/>
  <c r="I44" i="31"/>
  <c r="Q44" i="31"/>
  <c r="N44" i="31"/>
  <c r="O44" i="31"/>
  <c r="L44" i="31"/>
  <c r="K44" i="31"/>
  <c r="H44" i="31"/>
  <c r="J44" i="31"/>
  <c r="P44" i="31"/>
  <c r="T44" i="60"/>
  <c r="H45" i="60" a="1"/>
  <c r="N45" i="60" s="1"/>
  <c r="U44" i="60"/>
  <c r="X44" i="60"/>
  <c r="AH44" i="31" l="1"/>
  <c r="V44" i="60"/>
  <c r="N45" i="32"/>
  <c r="N45" i="31"/>
  <c r="T44" i="31"/>
  <c r="K45" i="60"/>
  <c r="H45" i="60"/>
  <c r="P45" i="60"/>
  <c r="S45" i="60"/>
  <c r="L45" i="60"/>
  <c r="J45" i="60"/>
  <c r="M45" i="60"/>
  <c r="O45" i="60"/>
  <c r="Q45" i="60"/>
  <c r="R45" i="60"/>
  <c r="I45" i="60"/>
  <c r="W46" i="60" l="1" a="1"/>
  <c r="W46" i="60" s="1"/>
  <c r="Z46" i="60" a="1"/>
  <c r="Z46" i="60" s="1"/>
  <c r="Y46" i="60" a="1"/>
  <c r="Y46" i="60" s="1"/>
  <c r="AC45" i="31"/>
  <c r="Z45" i="31"/>
  <c r="AE45" i="31"/>
  <c r="AD45" i="31"/>
  <c r="W45" i="31"/>
  <c r="AB45" i="31"/>
  <c r="AA45" i="31"/>
  <c r="Y45" i="31"/>
  <c r="V45" i="31"/>
  <c r="X45" i="31"/>
  <c r="AC45" i="32"/>
  <c r="AD45" i="32"/>
  <c r="AB45" i="32"/>
  <c r="AE45" i="32"/>
  <c r="AF45" i="32"/>
  <c r="AG45" i="32"/>
  <c r="O45" i="32"/>
  <c r="S45" i="32"/>
  <c r="Q45" i="32"/>
  <c r="P45" i="32"/>
  <c r="R45" i="32"/>
  <c r="L45" i="31"/>
  <c r="I45" i="31"/>
  <c r="H45" i="31"/>
  <c r="P45" i="31"/>
  <c r="K45" i="31"/>
  <c r="O45" i="31"/>
  <c r="Q45" i="31"/>
  <c r="M45" i="31"/>
  <c r="J45" i="31"/>
  <c r="T45" i="60"/>
  <c r="H46" i="60" a="1"/>
  <c r="J46" i="60" s="1"/>
  <c r="X45" i="60"/>
  <c r="U45" i="60"/>
  <c r="AH45" i="31" l="1"/>
  <c r="V45" i="60"/>
  <c r="J46" i="31"/>
  <c r="T45" i="31"/>
  <c r="P46" i="60"/>
  <c r="N46" i="60"/>
  <c r="K46" i="60"/>
  <c r="Q46" i="60"/>
  <c r="I46" i="60"/>
  <c r="O46" i="60"/>
  <c r="M46" i="60"/>
  <c r="S46" i="60"/>
  <c r="L46" i="60"/>
  <c r="H46" i="60"/>
  <c r="R46" i="60"/>
  <c r="Z47" i="60" l="1" a="1"/>
  <c r="Z47" i="60" s="1"/>
  <c r="W47" i="60" a="1"/>
  <c r="W47" i="60" s="1"/>
  <c r="Y47" i="60" a="1"/>
  <c r="Y47" i="60" s="1"/>
  <c r="AB46" i="31"/>
  <c r="AD46" i="31"/>
  <c r="AC46" i="31"/>
  <c r="Y46" i="31"/>
  <c r="W46" i="31"/>
  <c r="X46" i="31"/>
  <c r="AE46" i="31"/>
  <c r="V46" i="31"/>
  <c r="AA46" i="31"/>
  <c r="Z46" i="31"/>
  <c r="AF46" i="32"/>
  <c r="AB46" i="32"/>
  <c r="AD46" i="32"/>
  <c r="AC46" i="32"/>
  <c r="AG46" i="32"/>
  <c r="AE46" i="32"/>
  <c r="S46" i="32"/>
  <c r="O46" i="32"/>
  <c r="Q46" i="32"/>
  <c r="P46" i="32"/>
  <c r="R46" i="32"/>
  <c r="N46" i="32"/>
  <c r="I46" i="31"/>
  <c r="H46" i="31"/>
  <c r="N46" i="31"/>
  <c r="L46" i="31"/>
  <c r="P46" i="31"/>
  <c r="K46" i="31"/>
  <c r="M46" i="31"/>
  <c r="Q46" i="31"/>
  <c r="O46" i="31"/>
  <c r="X46" i="60"/>
  <c r="U46" i="60"/>
  <c r="H47" i="60" a="1"/>
  <c r="S47" i="60" s="1"/>
  <c r="T46" i="60"/>
  <c r="AH46" i="31" l="1"/>
  <c r="V46" i="60"/>
  <c r="S47" i="32"/>
  <c r="T46" i="31"/>
  <c r="J47" i="60"/>
  <c r="M47" i="60"/>
  <c r="R47" i="60"/>
  <c r="L47" i="60"/>
  <c r="N47" i="60"/>
  <c r="O47" i="60"/>
  <c r="K47" i="60"/>
  <c r="Q47" i="60"/>
  <c r="P47" i="60"/>
  <c r="I47" i="60"/>
  <c r="H47" i="60"/>
  <c r="Z48" i="60" l="1" a="1"/>
  <c r="Z48" i="60" s="1"/>
  <c r="W48" i="60" a="1"/>
  <c r="W48" i="60" s="1"/>
  <c r="Y48" i="60" a="1"/>
  <c r="Y48" i="60" s="1"/>
  <c r="V47" i="31"/>
  <c r="W47" i="31"/>
  <c r="Z47" i="31"/>
  <c r="AB47" i="31"/>
  <c r="AA47" i="31"/>
  <c r="AC47" i="31"/>
  <c r="AD47" i="31"/>
  <c r="Y47" i="31"/>
  <c r="AE47" i="31"/>
  <c r="X47" i="31"/>
  <c r="AD47" i="32"/>
  <c r="AB47" i="32"/>
  <c r="AF47" i="32"/>
  <c r="AE47" i="32"/>
  <c r="AC47" i="32"/>
  <c r="AG47" i="32"/>
  <c r="P47" i="32"/>
  <c r="Q47" i="32"/>
  <c r="O47" i="32"/>
  <c r="N47" i="32"/>
  <c r="R47" i="32"/>
  <c r="O47" i="31"/>
  <c r="N47" i="31"/>
  <c r="I47" i="31"/>
  <c r="M47" i="31"/>
  <c r="P47" i="31"/>
  <c r="J47" i="31"/>
  <c r="L47" i="31"/>
  <c r="Q47" i="31"/>
  <c r="H47" i="31"/>
  <c r="K47" i="31"/>
  <c r="X47" i="60"/>
  <c r="H48" i="60" a="1"/>
  <c r="L48" i="60" s="1"/>
  <c r="T47" i="60"/>
  <c r="U47" i="60"/>
  <c r="AH47" i="31" l="1"/>
  <c r="V47" i="60"/>
  <c r="L48" i="31"/>
  <c r="O48" i="60"/>
  <c r="K48" i="60"/>
  <c r="H48" i="60"/>
  <c r="N48" i="60"/>
  <c r="Q48" i="60"/>
  <c r="P48" i="60"/>
  <c r="I48" i="60"/>
  <c r="J48" i="60"/>
  <c r="T47" i="31"/>
  <c r="M48" i="60"/>
  <c r="R48" i="60"/>
  <c r="S48" i="60"/>
  <c r="Z49" i="60" l="1" a="1"/>
  <c r="Z49" i="60" s="1"/>
  <c r="W49" i="60" a="1"/>
  <c r="W49" i="60" s="1"/>
  <c r="Y49" i="60" a="1"/>
  <c r="Y49" i="60" s="1"/>
  <c r="AA48" i="31"/>
  <c r="W48" i="31"/>
  <c r="V48" i="31"/>
  <c r="AE48" i="31"/>
  <c r="AD48" i="31"/>
  <c r="Z48" i="31"/>
  <c r="Y48" i="31"/>
  <c r="X48" i="31"/>
  <c r="AC48" i="31"/>
  <c r="AB48" i="31"/>
  <c r="AF48" i="32"/>
  <c r="AE48" i="32"/>
  <c r="AC48" i="32"/>
  <c r="AG48" i="32"/>
  <c r="AD48" i="32"/>
  <c r="AB48" i="32"/>
  <c r="P48" i="32"/>
  <c r="O48" i="32"/>
  <c r="Q48" i="32"/>
  <c r="S48" i="32"/>
  <c r="N48" i="32"/>
  <c r="R48" i="32"/>
  <c r="Q48" i="31"/>
  <c r="H48" i="31"/>
  <c r="M48" i="31"/>
  <c r="K48" i="31"/>
  <c r="O48" i="31"/>
  <c r="N48" i="31"/>
  <c r="J48" i="31"/>
  <c r="I48" i="31"/>
  <c r="P48" i="31"/>
  <c r="X48" i="60"/>
  <c r="T48" i="60"/>
  <c r="U48" i="60"/>
  <c r="H49" i="60" a="1"/>
  <c r="R49" i="60" s="1"/>
  <c r="R49" i="32" s="1"/>
  <c r="AH48" i="31" l="1"/>
  <c r="V48" i="60"/>
  <c r="T48" i="31"/>
  <c r="I49" i="60"/>
  <c r="H49" i="60"/>
  <c r="K49" i="60"/>
  <c r="S49" i="60"/>
  <c r="P49" i="60"/>
  <c r="Q49" i="60"/>
  <c r="O49" i="60"/>
  <c r="L49" i="60"/>
  <c r="M49" i="60"/>
  <c r="J49" i="60"/>
  <c r="N49" i="60"/>
  <c r="AI22" i="65" l="1"/>
  <c r="W50" i="60" a="1"/>
  <c r="W50" i="60" s="1"/>
  <c r="W4" i="60" s="1"/>
  <c r="Z50" i="60" a="1"/>
  <c r="Z50" i="60" s="1"/>
  <c r="Z4" i="60" s="1"/>
  <c r="AI21" i="65" s="1"/>
  <c r="Y50" i="60" a="1"/>
  <c r="Y50" i="60" s="1"/>
  <c r="AB49" i="31"/>
  <c r="AD49" i="31"/>
  <c r="AE49" i="31"/>
  <c r="W49" i="31"/>
  <c r="Y49" i="31"/>
  <c r="AC49" i="31"/>
  <c r="Z49" i="31"/>
  <c r="AA49" i="31"/>
  <c r="X49" i="31"/>
  <c r="V49" i="31"/>
  <c r="AF49" i="32"/>
  <c r="AB49" i="32"/>
  <c r="AD49" i="32"/>
  <c r="AG49" i="32"/>
  <c r="AE49" i="32"/>
  <c r="AC49" i="32"/>
  <c r="O49" i="32"/>
  <c r="Q49" i="32"/>
  <c r="P49" i="32"/>
  <c r="N49" i="32"/>
  <c r="S49" i="32"/>
  <c r="Q49" i="31"/>
  <c r="N49" i="31"/>
  <c r="K49" i="31"/>
  <c r="P49" i="31"/>
  <c r="H49" i="31"/>
  <c r="M49" i="31"/>
  <c r="I49" i="31"/>
  <c r="L49" i="31"/>
  <c r="J49" i="31"/>
  <c r="O49" i="31"/>
  <c r="T49" i="60"/>
  <c r="H50" i="60" a="1"/>
  <c r="I50" i="60" s="1"/>
  <c r="U49" i="60"/>
  <c r="X49" i="60"/>
  <c r="O1191" i="79" l="1" a="1"/>
  <c r="O1191" i="79" s="1"/>
  <c r="AH49" i="31"/>
  <c r="V49" i="60"/>
  <c r="I50" i="31"/>
  <c r="T49" i="31"/>
  <c r="O50" i="60"/>
  <c r="P50" i="60"/>
  <c r="R50" i="60"/>
  <c r="K50" i="60"/>
  <c r="H50" i="60"/>
  <c r="S50" i="60"/>
  <c r="M50" i="60"/>
  <c r="J50" i="60"/>
  <c r="L50" i="60"/>
  <c r="N50" i="60"/>
  <c r="Q50" i="60"/>
  <c r="W51" i="60" l="1" a="1"/>
  <c r="W51" i="60" s="1"/>
  <c r="Z51" i="60" a="1"/>
  <c r="Z51" i="60" s="1"/>
  <c r="Y51" i="60" a="1"/>
  <c r="Y51" i="60" s="1"/>
  <c r="AD50" i="31"/>
  <c r="X50" i="31"/>
  <c r="AA50" i="31"/>
  <c r="AE50" i="31"/>
  <c r="AB50" i="31"/>
  <c r="Z50" i="31"/>
  <c r="W50" i="31"/>
  <c r="Y50" i="31"/>
  <c r="V50" i="31"/>
  <c r="AC50" i="31"/>
  <c r="AG50" i="32"/>
  <c r="AF50" i="32"/>
  <c r="AD50" i="32"/>
  <c r="AE50" i="32"/>
  <c r="AB50" i="32"/>
  <c r="AC50" i="32"/>
  <c r="O50" i="32"/>
  <c r="S50" i="32"/>
  <c r="Q50" i="32"/>
  <c r="R50" i="32"/>
  <c r="N50" i="32"/>
  <c r="P50" i="32"/>
  <c r="H50" i="31"/>
  <c r="K50" i="31"/>
  <c r="Q50" i="31"/>
  <c r="P50" i="31"/>
  <c r="O50" i="31"/>
  <c r="L50" i="31"/>
  <c r="J50" i="31"/>
  <c r="N50" i="31"/>
  <c r="M50" i="31"/>
  <c r="T50" i="60"/>
  <c r="X50" i="60"/>
  <c r="H51" i="60" a="1"/>
  <c r="Q51" i="60" s="1"/>
  <c r="U50" i="60"/>
  <c r="AH50" i="31" l="1"/>
  <c r="Q51" i="32"/>
  <c r="Q51" i="31"/>
  <c r="T50" i="31"/>
  <c r="I51" i="60"/>
  <c r="K51" i="60"/>
  <c r="L51" i="60"/>
  <c r="J51" i="60"/>
  <c r="P51" i="60"/>
  <c r="N51" i="60"/>
  <c r="R51" i="60"/>
  <c r="O51" i="60"/>
  <c r="H51" i="60"/>
  <c r="M51" i="60"/>
  <c r="S51" i="60"/>
  <c r="V50" i="60"/>
  <c r="W52" i="60" l="1" a="1"/>
  <c r="W52" i="60" s="1"/>
  <c r="Z52" i="60" a="1"/>
  <c r="Z52" i="60" s="1"/>
  <c r="Y52" i="60" a="1"/>
  <c r="Y52" i="60" s="1"/>
  <c r="Y51" i="31"/>
  <c r="Z51" i="31"/>
  <c r="AE51" i="31"/>
  <c r="AD51" i="31"/>
  <c r="AA51" i="31"/>
  <c r="AB51" i="31"/>
  <c r="W51" i="31"/>
  <c r="AC51" i="31"/>
  <c r="V51" i="31"/>
  <c r="X51" i="31"/>
  <c r="AE51" i="32"/>
  <c r="AB51" i="32"/>
  <c r="AF51" i="32"/>
  <c r="AG51" i="32"/>
  <c r="AD51" i="32"/>
  <c r="AC51" i="32"/>
  <c r="R51" i="32"/>
  <c r="N51" i="32"/>
  <c r="P51" i="32"/>
  <c r="O51" i="32"/>
  <c r="S51" i="32"/>
  <c r="P51" i="31"/>
  <c r="J51" i="31"/>
  <c r="L51" i="31"/>
  <c r="M51" i="31"/>
  <c r="K51" i="31"/>
  <c r="H51" i="31"/>
  <c r="I51" i="31"/>
  <c r="O51" i="31"/>
  <c r="N51" i="31"/>
  <c r="X51" i="60"/>
  <c r="H52" i="60" a="1"/>
  <c r="J52" i="60" s="1"/>
  <c r="U51" i="60"/>
  <c r="T51" i="60"/>
  <c r="AH51" i="31" l="1"/>
  <c r="V51" i="60"/>
  <c r="J52" i="31"/>
  <c r="O52" i="60"/>
  <c r="M52" i="60"/>
  <c r="K52" i="60"/>
  <c r="P52" i="60"/>
  <c r="L52" i="60"/>
  <c r="H52" i="60"/>
  <c r="R52" i="60"/>
  <c r="I52" i="60"/>
  <c r="Q52" i="60"/>
  <c r="N52" i="60"/>
  <c r="S52" i="60"/>
  <c r="T51" i="31"/>
  <c r="W53" i="60" l="1" a="1"/>
  <c r="W53" i="60" s="1"/>
  <c r="Z53" i="60" a="1"/>
  <c r="Z53" i="60" s="1"/>
  <c r="Y53" i="60" a="1"/>
  <c r="Y53" i="60" s="1"/>
  <c r="AA52" i="31"/>
  <c r="Z52" i="31"/>
  <c r="AD52" i="31"/>
  <c r="AB52" i="31"/>
  <c r="AC52" i="31"/>
  <c r="V52" i="31"/>
  <c r="W52" i="31"/>
  <c r="X52" i="31"/>
  <c r="AE52" i="31"/>
  <c r="Y52" i="31"/>
  <c r="AB52" i="32"/>
  <c r="AC52" i="32"/>
  <c r="AG52" i="32"/>
  <c r="AF52" i="32"/>
  <c r="AE52" i="32"/>
  <c r="AD52" i="32"/>
  <c r="Q52" i="32"/>
  <c r="P52" i="32"/>
  <c r="O52" i="32"/>
  <c r="R52" i="32"/>
  <c r="S52" i="32"/>
  <c r="N52" i="32"/>
  <c r="H52" i="31"/>
  <c r="L52" i="31"/>
  <c r="P52" i="31"/>
  <c r="K52" i="31"/>
  <c r="N52" i="31"/>
  <c r="M52" i="31"/>
  <c r="Q52" i="31"/>
  <c r="I52" i="31"/>
  <c r="O52" i="31"/>
  <c r="X52" i="60"/>
  <c r="T52" i="60"/>
  <c r="H53" i="60" a="1"/>
  <c r="M53" i="60" s="1"/>
  <c r="U52" i="60"/>
  <c r="AH52" i="31" l="1"/>
  <c r="V52" i="60"/>
  <c r="M53" i="31"/>
  <c r="T52" i="31"/>
  <c r="J53" i="60"/>
  <c r="P53" i="60"/>
  <c r="K53" i="60"/>
  <c r="Q53" i="60"/>
  <c r="N53" i="60"/>
  <c r="H53" i="60"/>
  <c r="S53" i="60"/>
  <c r="R53" i="60"/>
  <c r="O53" i="60"/>
  <c r="I53" i="60"/>
  <c r="L53" i="60"/>
  <c r="Z54" i="60" l="1" a="1"/>
  <c r="Z54" i="60" s="1"/>
  <c r="Y54" i="60" a="1"/>
  <c r="Y54" i="60" s="1"/>
  <c r="W54" i="60" a="1"/>
  <c r="W54" i="60" s="1"/>
  <c r="AB53" i="31"/>
  <c r="X53" i="31"/>
  <c r="W53" i="31"/>
  <c r="V53" i="31"/>
  <c r="AC53" i="31"/>
  <c r="AD53" i="31"/>
  <c r="AE53" i="31"/>
  <c r="Y53" i="31"/>
  <c r="AA53" i="31"/>
  <c r="Z53" i="31"/>
  <c r="AC53" i="32"/>
  <c r="AB53" i="32"/>
  <c r="AG53" i="32"/>
  <c r="AF53" i="32"/>
  <c r="AD53" i="32"/>
  <c r="AE53" i="32"/>
  <c r="N53" i="32"/>
  <c r="Q53" i="32"/>
  <c r="S53" i="32"/>
  <c r="O53" i="32"/>
  <c r="P53" i="32"/>
  <c r="R53" i="32"/>
  <c r="I53" i="31"/>
  <c r="O53" i="31"/>
  <c r="K53" i="31"/>
  <c r="P53" i="31"/>
  <c r="J53" i="31"/>
  <c r="H53" i="31"/>
  <c r="N53" i="31"/>
  <c r="Q53" i="31"/>
  <c r="L53" i="31"/>
  <c r="X53" i="60"/>
  <c r="U53" i="60"/>
  <c r="T53" i="60"/>
  <c r="H54" i="60" a="1"/>
  <c r="I54" i="60" s="1"/>
  <c r="AH53" i="31" l="1"/>
  <c r="V53" i="60"/>
  <c r="I54" i="31"/>
  <c r="T53" i="31"/>
  <c r="N54" i="60"/>
  <c r="O54" i="60"/>
  <c r="P54" i="60"/>
  <c r="R54" i="60"/>
  <c r="S54" i="60"/>
  <c r="M54" i="60"/>
  <c r="H54" i="60"/>
  <c r="L54" i="60"/>
  <c r="K54" i="60"/>
  <c r="J54" i="60"/>
  <c r="Q54" i="60"/>
  <c r="W55" i="60" l="1" a="1"/>
  <c r="W55" i="60" s="1"/>
  <c r="Z55" i="60" a="1"/>
  <c r="Z55" i="60" s="1"/>
  <c r="Y55" i="60" a="1"/>
  <c r="Y55" i="60" s="1"/>
  <c r="X54" i="31"/>
  <c r="W54" i="31"/>
  <c r="AA54" i="31"/>
  <c r="AE54" i="31"/>
  <c r="V54" i="31"/>
  <c r="AB54" i="31"/>
  <c r="AD54" i="31"/>
  <c r="AC54" i="31"/>
  <c r="Y54" i="31"/>
  <c r="Z54" i="31"/>
  <c r="AC54" i="32"/>
  <c r="AF54" i="32"/>
  <c r="AB54" i="32"/>
  <c r="AE54" i="32"/>
  <c r="AD54" i="32"/>
  <c r="AG54" i="32"/>
  <c r="R54" i="32"/>
  <c r="S54" i="32"/>
  <c r="Q54" i="32"/>
  <c r="P54" i="32"/>
  <c r="O54" i="32"/>
  <c r="N54" i="32"/>
  <c r="M54" i="31"/>
  <c r="J54" i="31"/>
  <c r="P54" i="31"/>
  <c r="K54" i="31"/>
  <c r="O54" i="31"/>
  <c r="L54" i="31"/>
  <c r="N54" i="31"/>
  <c r="H54" i="31"/>
  <c r="Q54" i="31"/>
  <c r="U54" i="60"/>
  <c r="T54" i="60"/>
  <c r="X54" i="60"/>
  <c r="H55" i="60" a="1"/>
  <c r="H55" i="60" s="1"/>
  <c r="AH54" i="31" l="1"/>
  <c r="V54" i="60"/>
  <c r="H55" i="31"/>
  <c r="T54" i="31"/>
  <c r="Q55" i="60"/>
  <c r="R55" i="60"/>
  <c r="O55" i="60"/>
  <c r="N55" i="60"/>
  <c r="K55" i="60"/>
  <c r="L55" i="60"/>
  <c r="P55" i="60"/>
  <c r="I55" i="60"/>
  <c r="J55" i="60"/>
  <c r="M55" i="60"/>
  <c r="S55" i="60"/>
  <c r="Z56" i="60" l="1" a="1"/>
  <c r="Z56" i="60" s="1"/>
  <c r="W56" i="60" a="1"/>
  <c r="W56" i="60" s="1"/>
  <c r="Y56" i="60" a="1"/>
  <c r="Y56" i="60" s="1"/>
  <c r="W55" i="31"/>
  <c r="AE55" i="31"/>
  <c r="AA55" i="31"/>
  <c r="Y55" i="31"/>
  <c r="V55" i="31"/>
  <c r="AC55" i="31"/>
  <c r="Z55" i="31"/>
  <c r="AB55" i="31"/>
  <c r="AD55" i="31"/>
  <c r="X55" i="31"/>
  <c r="AE55" i="32"/>
  <c r="AG55" i="32"/>
  <c r="AB55" i="32"/>
  <c r="AC55" i="32"/>
  <c r="AD55" i="32"/>
  <c r="AF55" i="32"/>
  <c r="N55" i="32"/>
  <c r="S55" i="32"/>
  <c r="O55" i="32"/>
  <c r="R55" i="32"/>
  <c r="Q55" i="32"/>
  <c r="P55" i="32"/>
  <c r="I55" i="31"/>
  <c r="P55" i="31"/>
  <c r="L55" i="31"/>
  <c r="K55" i="31"/>
  <c r="N55" i="31"/>
  <c r="O55" i="31"/>
  <c r="M55" i="31"/>
  <c r="J55" i="31"/>
  <c r="Q55" i="31"/>
  <c r="T55" i="60"/>
  <c r="H56" i="60" a="1"/>
  <c r="J56" i="60" s="1"/>
  <c r="U55" i="60"/>
  <c r="X55" i="60"/>
  <c r="AH55" i="31" l="1"/>
  <c r="V55" i="60"/>
  <c r="J56" i="31"/>
  <c r="T55" i="31"/>
  <c r="R56" i="60"/>
  <c r="L56" i="60"/>
  <c r="M56" i="60"/>
  <c r="N56" i="60"/>
  <c r="Q56" i="60"/>
  <c r="O56" i="60"/>
  <c r="P56" i="60"/>
  <c r="K56" i="60"/>
  <c r="H56" i="60"/>
  <c r="S56" i="60"/>
  <c r="I56" i="60"/>
  <c r="Z57" i="60" l="1" a="1"/>
  <c r="Z57" i="60" s="1"/>
  <c r="W57" i="60" a="1"/>
  <c r="W57" i="60" s="1"/>
  <c r="Y57" i="60" a="1"/>
  <c r="Y57" i="60" s="1"/>
  <c r="X56" i="31"/>
  <c r="AA56" i="31"/>
  <c r="AC56" i="31"/>
  <c r="Z56" i="31"/>
  <c r="Y56" i="31"/>
  <c r="AD56" i="31"/>
  <c r="AB56" i="31"/>
  <c r="AE56" i="31"/>
  <c r="V56" i="31"/>
  <c r="W56" i="31"/>
  <c r="AG56" i="32"/>
  <c r="AD56" i="32"/>
  <c r="AC56" i="32"/>
  <c r="AE56" i="32"/>
  <c r="AF56" i="32"/>
  <c r="AB56" i="32"/>
  <c r="N56" i="32"/>
  <c r="P56" i="32"/>
  <c r="O56" i="32"/>
  <c r="Q56" i="32"/>
  <c r="S56" i="32"/>
  <c r="R56" i="32"/>
  <c r="N56" i="31"/>
  <c r="I56" i="31"/>
  <c r="M56" i="31"/>
  <c r="L56" i="31"/>
  <c r="H56" i="31"/>
  <c r="K56" i="31"/>
  <c r="P56" i="31"/>
  <c r="O56" i="31"/>
  <c r="Q56" i="31"/>
  <c r="X56" i="60"/>
  <c r="U56" i="60"/>
  <c r="H57" i="60" a="1"/>
  <c r="M57" i="60" s="1"/>
  <c r="T56" i="60"/>
  <c r="AH56" i="31" l="1"/>
  <c r="V56" i="60"/>
  <c r="M57" i="31"/>
  <c r="T56" i="31"/>
  <c r="I57" i="60"/>
  <c r="S57" i="60"/>
  <c r="P57" i="60"/>
  <c r="L57" i="60"/>
  <c r="Q57" i="60"/>
  <c r="O57" i="60"/>
  <c r="N57" i="60"/>
  <c r="H57" i="60"/>
  <c r="R57" i="60"/>
  <c r="K57" i="60"/>
  <c r="J57" i="60"/>
  <c r="Z58" i="60" l="1" a="1"/>
  <c r="Z58" i="60" s="1"/>
  <c r="Y58" i="60" a="1"/>
  <c r="Y58" i="60" s="1"/>
  <c r="W58" i="60" a="1"/>
  <c r="W58" i="60" s="1"/>
  <c r="AE57" i="31"/>
  <c r="V57" i="31"/>
  <c r="X57" i="31"/>
  <c r="AA57" i="31"/>
  <c r="AD57" i="31"/>
  <c r="W57" i="31"/>
  <c r="Z57" i="31"/>
  <c r="AC57" i="31"/>
  <c r="AB57" i="31"/>
  <c r="Y57" i="31"/>
  <c r="AE57" i="32"/>
  <c r="AF57" i="32"/>
  <c r="AD57" i="32"/>
  <c r="AC57" i="32"/>
  <c r="AB57" i="32"/>
  <c r="AG57" i="32"/>
  <c r="N57" i="32"/>
  <c r="O57" i="32"/>
  <c r="P57" i="32"/>
  <c r="Q57" i="32"/>
  <c r="S57" i="32"/>
  <c r="R57" i="32"/>
  <c r="Q57" i="31"/>
  <c r="L57" i="31"/>
  <c r="J57" i="31"/>
  <c r="P57" i="31"/>
  <c r="K57" i="31"/>
  <c r="I57" i="31"/>
  <c r="H57" i="31"/>
  <c r="N57" i="31"/>
  <c r="O57" i="31"/>
  <c r="U57" i="60"/>
  <c r="T57" i="60"/>
  <c r="H58" i="60" a="1"/>
  <c r="R58" i="60" s="1"/>
  <c r="X57" i="60"/>
  <c r="AH57" i="31" l="1"/>
  <c r="R58" i="32"/>
  <c r="V57" i="60"/>
  <c r="T57" i="31"/>
  <c r="P58" i="60"/>
  <c r="L58" i="60"/>
  <c r="O58" i="60"/>
  <c r="I58" i="60"/>
  <c r="N58" i="60"/>
  <c r="Q58" i="60"/>
  <c r="K58" i="60"/>
  <c r="J58" i="60"/>
  <c r="S58" i="60"/>
  <c r="M58" i="60"/>
  <c r="H58" i="60"/>
  <c r="Z59" i="60" l="1" a="1"/>
  <c r="Z59" i="60" s="1"/>
  <c r="W59" i="60" a="1"/>
  <c r="W59" i="60" s="1"/>
  <c r="Y59" i="60" a="1"/>
  <c r="Y59" i="60" s="1"/>
  <c r="AB58" i="31"/>
  <c r="W58" i="31"/>
  <c r="AA58" i="31"/>
  <c r="X58" i="31"/>
  <c r="Y58" i="31"/>
  <c r="AE58" i="31"/>
  <c r="AC58" i="31"/>
  <c r="Z58" i="31"/>
  <c r="AD58" i="31"/>
  <c r="V58" i="31"/>
  <c r="AG58" i="32"/>
  <c r="AB58" i="32"/>
  <c r="AF58" i="32"/>
  <c r="AE58" i="32"/>
  <c r="AC58" i="32"/>
  <c r="AD58" i="32"/>
  <c r="Q58" i="32"/>
  <c r="N58" i="32"/>
  <c r="O58" i="32"/>
  <c r="S58" i="32"/>
  <c r="P58" i="32"/>
  <c r="Q58" i="31"/>
  <c r="N58" i="31"/>
  <c r="I58" i="31"/>
  <c r="H58" i="31"/>
  <c r="O58" i="31"/>
  <c r="M58" i="31"/>
  <c r="L58" i="31"/>
  <c r="P58" i="31"/>
  <c r="J58" i="31"/>
  <c r="K58" i="31"/>
  <c r="X58" i="60"/>
  <c r="U58" i="60"/>
  <c r="H59" i="60" a="1"/>
  <c r="H59" i="60" s="1"/>
  <c r="T58" i="60"/>
  <c r="AH58" i="31" l="1"/>
  <c r="V58" i="60"/>
  <c r="H59" i="31"/>
  <c r="T58" i="31"/>
  <c r="Q59" i="60"/>
  <c r="I59" i="60"/>
  <c r="O59" i="60"/>
  <c r="K59" i="60"/>
  <c r="P59" i="60"/>
  <c r="M59" i="60"/>
  <c r="S59" i="60"/>
  <c r="L59" i="60"/>
  <c r="J59" i="60"/>
  <c r="N59" i="60"/>
  <c r="R59" i="60"/>
  <c r="Z60" i="60" l="1" a="1"/>
  <c r="Z60" i="60" s="1"/>
  <c r="W60" i="60" a="1"/>
  <c r="W60" i="60" s="1"/>
  <c r="Y60" i="60" a="1"/>
  <c r="Y60" i="60" s="1"/>
  <c r="AB59" i="31"/>
  <c r="X59" i="31"/>
  <c r="AA59" i="31"/>
  <c r="Z59" i="31"/>
  <c r="Y59" i="31"/>
  <c r="V59" i="31"/>
  <c r="W59" i="31"/>
  <c r="AE59" i="31"/>
  <c r="AD59" i="31"/>
  <c r="AC59" i="31"/>
  <c r="AB59" i="32"/>
  <c r="AF59" i="32"/>
  <c r="AE59" i="32"/>
  <c r="AD59" i="32"/>
  <c r="AG59" i="32"/>
  <c r="AC59" i="32"/>
  <c r="P59" i="32"/>
  <c r="R59" i="32"/>
  <c r="O59" i="32"/>
  <c r="S59" i="32"/>
  <c r="N59" i="32"/>
  <c r="Q59" i="32"/>
  <c r="K59" i="31"/>
  <c r="O59" i="31"/>
  <c r="N59" i="31"/>
  <c r="I59" i="31"/>
  <c r="J59" i="31"/>
  <c r="Q59" i="31"/>
  <c r="L59" i="31"/>
  <c r="M59" i="31"/>
  <c r="P59" i="31"/>
  <c r="T59" i="60"/>
  <c r="U59" i="60"/>
  <c r="H60" i="60" a="1"/>
  <c r="J60" i="60" s="1"/>
  <c r="X59" i="60"/>
  <c r="AH59" i="31" l="1"/>
  <c r="V59" i="60"/>
  <c r="J60" i="31"/>
  <c r="T59" i="31"/>
  <c r="S60" i="60"/>
  <c r="K60" i="60"/>
  <c r="H60" i="60"/>
  <c r="O60" i="60"/>
  <c r="R60" i="60"/>
  <c r="N60" i="60"/>
  <c r="Q60" i="60"/>
  <c r="I60" i="60"/>
  <c r="L60" i="60"/>
  <c r="M60" i="60"/>
  <c r="P60" i="60"/>
  <c r="Z61" i="60" l="1" a="1"/>
  <c r="Z61" i="60" s="1"/>
  <c r="W61" i="60" a="1"/>
  <c r="W61" i="60" s="1"/>
  <c r="Y61" i="60" a="1"/>
  <c r="Y61" i="60" s="1"/>
  <c r="V60" i="31"/>
  <c r="AE60" i="31"/>
  <c r="W60" i="31"/>
  <c r="X60" i="31"/>
  <c r="Y60" i="31"/>
  <c r="AA60" i="31"/>
  <c r="AC60" i="31"/>
  <c r="AD60" i="31"/>
  <c r="AB60" i="31"/>
  <c r="Z60" i="31"/>
  <c r="AE60" i="32"/>
  <c r="AC60" i="32"/>
  <c r="AG60" i="32"/>
  <c r="AD60" i="32"/>
  <c r="AF60" i="32"/>
  <c r="AB60" i="32"/>
  <c r="N60" i="32"/>
  <c r="P60" i="32"/>
  <c r="R60" i="32"/>
  <c r="O60" i="32"/>
  <c r="Q60" i="32"/>
  <c r="S60" i="32"/>
  <c r="O60" i="31"/>
  <c r="P60" i="31"/>
  <c r="H60" i="31"/>
  <c r="M60" i="31"/>
  <c r="K60" i="31"/>
  <c r="L60" i="31"/>
  <c r="I60" i="31"/>
  <c r="Q60" i="31"/>
  <c r="N60" i="31"/>
  <c r="X60" i="60"/>
  <c r="U60" i="60"/>
  <c r="T60" i="60"/>
  <c r="H61" i="60" a="1"/>
  <c r="I61" i="60" s="1"/>
  <c r="AH60" i="31" l="1"/>
  <c r="V60" i="60"/>
  <c r="I61" i="31"/>
  <c r="T60" i="31"/>
  <c r="N61" i="60"/>
  <c r="L61" i="60"/>
  <c r="H61" i="60"/>
  <c r="M61" i="60"/>
  <c r="O61" i="60"/>
  <c r="K61" i="60"/>
  <c r="S61" i="60"/>
  <c r="R61" i="60"/>
  <c r="P61" i="60"/>
  <c r="Q61" i="60"/>
  <c r="J61" i="60"/>
  <c r="W62" i="60" l="1" a="1"/>
  <c r="W62" i="60" s="1"/>
  <c r="Z62" i="60" a="1"/>
  <c r="Z62" i="60" s="1"/>
  <c r="Y62" i="60" a="1"/>
  <c r="Y62" i="60" s="1"/>
  <c r="AA61" i="31"/>
  <c r="Y61" i="31"/>
  <c r="AB61" i="31"/>
  <c r="AD61" i="31"/>
  <c r="Z61" i="31"/>
  <c r="W61" i="31"/>
  <c r="V61" i="31"/>
  <c r="AC61" i="31"/>
  <c r="AE61" i="31"/>
  <c r="X61" i="31"/>
  <c r="AF61" i="32"/>
  <c r="AD61" i="32"/>
  <c r="AC61" i="32"/>
  <c r="AE61" i="32"/>
  <c r="AG61" i="32"/>
  <c r="AB61" i="32"/>
  <c r="S61" i="32"/>
  <c r="R61" i="32"/>
  <c r="O61" i="32"/>
  <c r="Q61" i="32"/>
  <c r="P61" i="32"/>
  <c r="N61" i="32"/>
  <c r="M61" i="31"/>
  <c r="J61" i="31"/>
  <c r="H61" i="31"/>
  <c r="Q61" i="31"/>
  <c r="L61" i="31"/>
  <c r="P61" i="31"/>
  <c r="N61" i="31"/>
  <c r="K61" i="31"/>
  <c r="O61" i="31"/>
  <c r="U61" i="60"/>
  <c r="X61" i="60"/>
  <c r="T61" i="60"/>
  <c r="H62" i="60" a="1"/>
  <c r="Q62" i="60" s="1"/>
  <c r="Q62" i="32" s="1"/>
  <c r="AH61" i="31" l="1"/>
  <c r="V61" i="60"/>
  <c r="Q62" i="31"/>
  <c r="T61" i="31"/>
  <c r="K62" i="60"/>
  <c r="S62" i="60"/>
  <c r="P62" i="60"/>
  <c r="O62" i="60"/>
  <c r="L62" i="60"/>
  <c r="J62" i="60"/>
  <c r="I62" i="60"/>
  <c r="N62" i="60"/>
  <c r="H62" i="60"/>
  <c r="M62" i="60"/>
  <c r="R62" i="60"/>
  <c r="W63" i="60" l="1" a="1"/>
  <c r="W63" i="60" s="1"/>
  <c r="Z63" i="60" a="1"/>
  <c r="Z63" i="60" s="1"/>
  <c r="Y63" i="60" a="1"/>
  <c r="Y63" i="60" s="1"/>
  <c r="AB62" i="31"/>
  <c r="V62" i="31"/>
  <c r="W62" i="31"/>
  <c r="AA62" i="31"/>
  <c r="Y62" i="31"/>
  <c r="Z62" i="31"/>
  <c r="AC62" i="31"/>
  <c r="AD62" i="31"/>
  <c r="X62" i="31"/>
  <c r="AE62" i="31"/>
  <c r="AB62" i="32"/>
  <c r="AD62" i="32"/>
  <c r="AF62" i="32"/>
  <c r="AG62" i="32"/>
  <c r="AC62" i="32"/>
  <c r="AE62" i="32"/>
  <c r="N62" i="32"/>
  <c r="O62" i="32"/>
  <c r="P62" i="32"/>
  <c r="R62" i="32"/>
  <c r="S62" i="32"/>
  <c r="O62" i="31"/>
  <c r="P62" i="31"/>
  <c r="M62" i="31"/>
  <c r="H62" i="31"/>
  <c r="K62" i="31"/>
  <c r="N62" i="31"/>
  <c r="I62" i="31"/>
  <c r="J62" i="31"/>
  <c r="L62" i="31"/>
  <c r="X62" i="60"/>
  <c r="U62" i="60"/>
  <c r="H63" i="60" a="1"/>
  <c r="H63" i="60" s="1"/>
  <c r="T62" i="60"/>
  <c r="AH62" i="31" l="1"/>
  <c r="V62" i="60"/>
  <c r="H63" i="31"/>
  <c r="T62" i="31"/>
  <c r="I63" i="60"/>
  <c r="R63" i="60"/>
  <c r="P63" i="60"/>
  <c r="S63" i="60"/>
  <c r="Q63" i="60"/>
  <c r="J63" i="60"/>
  <c r="K63" i="60"/>
  <c r="M63" i="60"/>
  <c r="L63" i="60"/>
  <c r="O63" i="60"/>
  <c r="N63" i="60"/>
  <c r="Z64" i="60" l="1" a="1"/>
  <c r="Z64" i="60" s="1"/>
  <c r="W64" i="60" a="1"/>
  <c r="W64" i="60" s="1"/>
  <c r="Y64" i="60" a="1"/>
  <c r="Y64" i="60" s="1"/>
  <c r="X63" i="31"/>
  <c r="Y63" i="31"/>
  <c r="AB63" i="31"/>
  <c r="V63" i="31"/>
  <c r="Z63" i="31"/>
  <c r="AD63" i="31"/>
  <c r="AC63" i="31"/>
  <c r="W63" i="31"/>
  <c r="AA63" i="31"/>
  <c r="AE63" i="31"/>
  <c r="AG63" i="32"/>
  <c r="AF63" i="32"/>
  <c r="AB63" i="32"/>
  <c r="AD63" i="32"/>
  <c r="AC63" i="32"/>
  <c r="AE63" i="32"/>
  <c r="P63" i="32"/>
  <c r="Q63" i="32"/>
  <c r="S63" i="32"/>
  <c r="N63" i="32"/>
  <c r="O63" i="32"/>
  <c r="R63" i="32"/>
  <c r="Q63" i="31"/>
  <c r="N63" i="31"/>
  <c r="P63" i="31"/>
  <c r="O63" i="31"/>
  <c r="L63" i="31"/>
  <c r="I63" i="31"/>
  <c r="M63" i="31"/>
  <c r="K63" i="31"/>
  <c r="J63" i="31"/>
  <c r="X63" i="60"/>
  <c r="U63" i="60"/>
  <c r="T63" i="60"/>
  <c r="H64" i="60" a="1"/>
  <c r="L64" i="60" s="1"/>
  <c r="AH63" i="31" l="1"/>
  <c r="V63" i="60"/>
  <c r="L64" i="31"/>
  <c r="T63" i="31"/>
  <c r="J64" i="60"/>
  <c r="I64" i="60"/>
  <c r="O64" i="60"/>
  <c r="S64" i="60"/>
  <c r="P64" i="60"/>
  <c r="N64" i="60"/>
  <c r="M64" i="60"/>
  <c r="K64" i="60"/>
  <c r="H64" i="60"/>
  <c r="R64" i="60"/>
  <c r="Q64" i="60"/>
  <c r="Z65" i="60" l="1" a="1"/>
  <c r="Z65" i="60" s="1"/>
  <c r="W65" i="60" a="1"/>
  <c r="W65" i="60" s="1"/>
  <c r="Y65" i="60" a="1"/>
  <c r="Y65" i="60" s="1"/>
  <c r="V64" i="31"/>
  <c r="AD64" i="31"/>
  <c r="W64" i="31"/>
  <c r="Y64" i="31"/>
  <c r="X64" i="31"/>
  <c r="AB64" i="31"/>
  <c r="AC64" i="31"/>
  <c r="AA64" i="31"/>
  <c r="Z64" i="31"/>
  <c r="AE64" i="31"/>
  <c r="AD64" i="32"/>
  <c r="AG64" i="32"/>
  <c r="AF64" i="32"/>
  <c r="AB64" i="32"/>
  <c r="AC64" i="32"/>
  <c r="AE64" i="32"/>
  <c r="O64" i="32"/>
  <c r="N64" i="32"/>
  <c r="P64" i="32"/>
  <c r="S64" i="32"/>
  <c r="Q64" i="32"/>
  <c r="R64" i="32"/>
  <c r="Q64" i="31"/>
  <c r="O64" i="31"/>
  <c r="I64" i="31"/>
  <c r="H64" i="31"/>
  <c r="J64" i="31"/>
  <c r="K64" i="31"/>
  <c r="M64" i="31"/>
  <c r="N64" i="31"/>
  <c r="P64" i="31"/>
  <c r="X64" i="60"/>
  <c r="U64" i="60"/>
  <c r="T64" i="60"/>
  <c r="H65" i="60" a="1"/>
  <c r="N65" i="60" s="1"/>
  <c r="N65" i="32" s="1"/>
  <c r="AH64" i="31" l="1"/>
  <c r="V64" i="60"/>
  <c r="N65" i="31"/>
  <c r="T64" i="31"/>
  <c r="L65" i="60"/>
  <c r="K65" i="60"/>
  <c r="O65" i="60"/>
  <c r="P65" i="60"/>
  <c r="S65" i="60"/>
  <c r="R65" i="60"/>
  <c r="I65" i="60"/>
  <c r="M65" i="60"/>
  <c r="Q65" i="60"/>
  <c r="J65" i="60"/>
  <c r="H65" i="60"/>
  <c r="Z66" i="60" l="1" a="1"/>
  <c r="Z66" i="60" s="1"/>
  <c r="W66" i="60" a="1"/>
  <c r="W66" i="60" s="1"/>
  <c r="Y66" i="60" a="1"/>
  <c r="Y66" i="60" s="1"/>
  <c r="V65" i="31"/>
  <c r="AD65" i="31"/>
  <c r="AE65" i="31"/>
  <c r="Y65" i="31"/>
  <c r="Z65" i="31"/>
  <c r="AC65" i="31"/>
  <c r="W65" i="31"/>
  <c r="AA65" i="31"/>
  <c r="AB65" i="31"/>
  <c r="X65" i="31"/>
  <c r="AF65" i="32"/>
  <c r="AD65" i="32"/>
  <c r="AC65" i="32"/>
  <c r="AG65" i="32"/>
  <c r="AE65" i="32"/>
  <c r="AB65" i="32"/>
  <c r="R65" i="32"/>
  <c r="P65" i="32"/>
  <c r="O65" i="32"/>
  <c r="S65" i="32"/>
  <c r="Q65" i="32"/>
  <c r="P65" i="31"/>
  <c r="J65" i="31"/>
  <c r="K65" i="31"/>
  <c r="H65" i="31"/>
  <c r="O65" i="31"/>
  <c r="Q65" i="31"/>
  <c r="L65" i="31"/>
  <c r="M65" i="31"/>
  <c r="I65" i="31"/>
  <c r="X65" i="60"/>
  <c r="U65" i="60"/>
  <c r="H66" i="60" a="1"/>
  <c r="L66" i="60" s="1"/>
  <c r="T65" i="60"/>
  <c r="AH65" i="31" l="1"/>
  <c r="V65" i="60"/>
  <c r="L66" i="31"/>
  <c r="T65" i="31"/>
  <c r="N66" i="60"/>
  <c r="S66" i="60"/>
  <c r="K66" i="60"/>
  <c r="I66" i="60"/>
  <c r="J66" i="60"/>
  <c r="Q66" i="60"/>
  <c r="O66" i="60"/>
  <c r="M66" i="60"/>
  <c r="P66" i="60"/>
  <c r="R66" i="60"/>
  <c r="H66" i="60"/>
  <c r="Z67" i="60" l="1" a="1"/>
  <c r="Z67" i="60" s="1"/>
  <c r="W67" i="60" a="1"/>
  <c r="W67" i="60" s="1"/>
  <c r="Y67" i="60" a="1"/>
  <c r="Y67" i="60" s="1"/>
  <c r="AB66" i="31"/>
  <c r="AA66" i="31"/>
  <c r="V66" i="31"/>
  <c r="AE66" i="31"/>
  <c r="X66" i="31"/>
  <c r="Y66" i="31"/>
  <c r="Z66" i="31"/>
  <c r="W66" i="31"/>
  <c r="AD66" i="31"/>
  <c r="AC66" i="31"/>
  <c r="AG66" i="32"/>
  <c r="AB66" i="32"/>
  <c r="AE66" i="32"/>
  <c r="AF66" i="32"/>
  <c r="AD66" i="32"/>
  <c r="AC66" i="32"/>
  <c r="O66" i="32"/>
  <c r="Q66" i="32"/>
  <c r="R66" i="32"/>
  <c r="S66" i="32"/>
  <c r="N66" i="32"/>
  <c r="P66" i="32"/>
  <c r="I66" i="31"/>
  <c r="H66" i="31"/>
  <c r="K66" i="31"/>
  <c r="P66" i="31"/>
  <c r="N66" i="31"/>
  <c r="M66" i="31"/>
  <c r="O66" i="31"/>
  <c r="Q66" i="31"/>
  <c r="J66" i="31"/>
  <c r="X66" i="60"/>
  <c r="U66" i="60"/>
  <c r="T66" i="60"/>
  <c r="H67" i="60" a="1"/>
  <c r="Q67" i="60" s="1"/>
  <c r="Q67" i="32" s="1"/>
  <c r="AH66" i="31" l="1"/>
  <c r="V66" i="60"/>
  <c r="Q67" i="31"/>
  <c r="T66" i="31"/>
  <c r="O67" i="60"/>
  <c r="L67" i="60"/>
  <c r="P67" i="60"/>
  <c r="R67" i="60"/>
  <c r="J67" i="60"/>
  <c r="S67" i="60"/>
  <c r="I67" i="60"/>
  <c r="H67" i="60"/>
  <c r="M67" i="60"/>
  <c r="N67" i="60"/>
  <c r="K67" i="60"/>
  <c r="W68" i="60" l="1" a="1"/>
  <c r="W68" i="60" s="1"/>
  <c r="Z68" i="60" a="1"/>
  <c r="Z68" i="60" s="1"/>
  <c r="Y68" i="60" a="1"/>
  <c r="Y68" i="60" s="1"/>
  <c r="AD67" i="31"/>
  <c r="W67" i="31"/>
  <c r="X67" i="31"/>
  <c r="AA67" i="31"/>
  <c r="Z67" i="31"/>
  <c r="AB67" i="31"/>
  <c r="Y67" i="31"/>
  <c r="V67" i="31"/>
  <c r="AC67" i="31"/>
  <c r="AE67" i="31"/>
  <c r="AD67" i="32"/>
  <c r="AF67" i="32"/>
  <c r="AB67" i="32"/>
  <c r="AC67" i="32"/>
  <c r="AG67" i="32"/>
  <c r="AE67" i="32"/>
  <c r="S67" i="32"/>
  <c r="R67" i="32"/>
  <c r="P67" i="32"/>
  <c r="N67" i="32"/>
  <c r="O67" i="32"/>
  <c r="K67" i="31"/>
  <c r="P67" i="31"/>
  <c r="N67" i="31"/>
  <c r="L67" i="31"/>
  <c r="M67" i="31"/>
  <c r="O67" i="31"/>
  <c r="H67" i="31"/>
  <c r="I67" i="31"/>
  <c r="J67" i="31"/>
  <c r="X67" i="60"/>
  <c r="U67" i="60"/>
  <c r="T67" i="60"/>
  <c r="H68" i="60" a="1"/>
  <c r="H68" i="60" s="1"/>
  <c r="AH67" i="31" l="1"/>
  <c r="V67" i="60"/>
  <c r="H68" i="31"/>
  <c r="T67" i="31"/>
  <c r="O68" i="60"/>
  <c r="R68" i="60"/>
  <c r="I68" i="60"/>
  <c r="S68" i="60"/>
  <c r="M68" i="60"/>
  <c r="P68" i="60"/>
  <c r="L68" i="60"/>
  <c r="K68" i="60"/>
  <c r="Q68" i="60"/>
  <c r="J68" i="60"/>
  <c r="N68" i="60"/>
  <c r="Z69" i="60" l="1" a="1"/>
  <c r="Z69" i="60" s="1"/>
  <c r="W69" i="60" a="1"/>
  <c r="W69" i="60" s="1"/>
  <c r="Y69" i="60" a="1"/>
  <c r="Y69" i="60" s="1"/>
  <c r="Y68" i="31"/>
  <c r="AA68" i="31"/>
  <c r="Z68" i="31"/>
  <c r="AD68" i="31"/>
  <c r="V68" i="31"/>
  <c r="W68" i="31"/>
  <c r="AE68" i="31"/>
  <c r="AC68" i="31"/>
  <c r="AB68" i="31"/>
  <c r="X68" i="31"/>
  <c r="AE68" i="32"/>
  <c r="AG68" i="32"/>
  <c r="AD68" i="32"/>
  <c r="AF68" i="32"/>
  <c r="AC68" i="32"/>
  <c r="AB68" i="32"/>
  <c r="O68" i="32"/>
  <c r="P68" i="32"/>
  <c r="Q68" i="32"/>
  <c r="S68" i="32"/>
  <c r="N68" i="32"/>
  <c r="R68" i="32"/>
  <c r="M68" i="31"/>
  <c r="N68" i="31"/>
  <c r="I68" i="31"/>
  <c r="J68" i="31"/>
  <c r="Q68" i="31"/>
  <c r="O68" i="31"/>
  <c r="K68" i="31"/>
  <c r="L68" i="31"/>
  <c r="P68" i="31"/>
  <c r="X68" i="60"/>
  <c r="H69" i="60" a="1"/>
  <c r="J69" i="60" s="1"/>
  <c r="U68" i="60"/>
  <c r="T68" i="60"/>
  <c r="AH68" i="31" l="1"/>
  <c r="V68" i="60"/>
  <c r="J69" i="31"/>
  <c r="T68" i="31"/>
  <c r="N69" i="60"/>
  <c r="R69" i="60"/>
  <c r="S69" i="60"/>
  <c r="Q69" i="60"/>
  <c r="M69" i="60"/>
  <c r="I69" i="60"/>
  <c r="H69" i="60"/>
  <c r="P69" i="60"/>
  <c r="L69" i="60"/>
  <c r="O69" i="60"/>
  <c r="K69" i="60"/>
  <c r="Z70" i="60" l="1" a="1"/>
  <c r="Z70" i="60" s="1"/>
  <c r="W70" i="60" a="1"/>
  <c r="W70" i="60" s="1"/>
  <c r="Y70" i="60" a="1"/>
  <c r="Y70" i="60" s="1"/>
  <c r="Y69" i="31"/>
  <c r="AE69" i="31"/>
  <c r="AD69" i="31"/>
  <c r="AA69" i="31"/>
  <c r="W69" i="31"/>
  <c r="AB69" i="31"/>
  <c r="Z69" i="31"/>
  <c r="AC69" i="31"/>
  <c r="X69" i="31"/>
  <c r="V69" i="31"/>
  <c r="AB69" i="32"/>
  <c r="AE69" i="32"/>
  <c r="AD69" i="32"/>
  <c r="AC69" i="32"/>
  <c r="AG69" i="32"/>
  <c r="AF69" i="32"/>
  <c r="P69" i="32"/>
  <c r="Q69" i="32"/>
  <c r="S69" i="32"/>
  <c r="R69" i="32"/>
  <c r="O69" i="32"/>
  <c r="N69" i="32"/>
  <c r="M69" i="31"/>
  <c r="Q69" i="31"/>
  <c r="K69" i="31"/>
  <c r="O69" i="31"/>
  <c r="L69" i="31"/>
  <c r="N69" i="31"/>
  <c r="P69" i="31"/>
  <c r="H69" i="31"/>
  <c r="I69" i="31"/>
  <c r="X69" i="60"/>
  <c r="T69" i="60"/>
  <c r="H70" i="60" a="1"/>
  <c r="O70" i="60" s="1"/>
  <c r="U69" i="60"/>
  <c r="AH69" i="31" l="1"/>
  <c r="O70" i="32"/>
  <c r="V69" i="60"/>
  <c r="O70" i="31"/>
  <c r="T69" i="31"/>
  <c r="M70" i="60"/>
  <c r="K70" i="60"/>
  <c r="S70" i="60"/>
  <c r="J70" i="60"/>
  <c r="L70" i="60"/>
  <c r="H70" i="60"/>
  <c r="N70" i="60"/>
  <c r="Q70" i="60"/>
  <c r="I70" i="60"/>
  <c r="R70" i="60"/>
  <c r="P70" i="60"/>
  <c r="Z71" i="60" l="1" a="1"/>
  <c r="Z71" i="60" s="1"/>
  <c r="Y71" i="60" a="1"/>
  <c r="Y71" i="60" s="1"/>
  <c r="W71" i="60" a="1"/>
  <c r="W71" i="60" s="1"/>
  <c r="AC70" i="31"/>
  <c r="X70" i="31"/>
  <c r="W70" i="31"/>
  <c r="Z70" i="31"/>
  <c r="AD70" i="31"/>
  <c r="AE70" i="31"/>
  <c r="Y70" i="31"/>
  <c r="V70" i="31"/>
  <c r="AB70" i="31"/>
  <c r="AA70" i="31"/>
  <c r="AG70" i="32"/>
  <c r="AD70" i="32"/>
  <c r="AC70" i="32"/>
  <c r="AE70" i="32"/>
  <c r="AF70" i="32"/>
  <c r="AB70" i="32"/>
  <c r="N70" i="32"/>
  <c r="P70" i="32"/>
  <c r="S70" i="32"/>
  <c r="R70" i="32"/>
  <c r="Q70" i="32"/>
  <c r="J70" i="31"/>
  <c r="P70" i="31"/>
  <c r="K70" i="31"/>
  <c r="I70" i="31"/>
  <c r="M70" i="31"/>
  <c r="Q70" i="31"/>
  <c r="N70" i="31"/>
  <c r="H70" i="31"/>
  <c r="L70" i="31"/>
  <c r="X70" i="60"/>
  <c r="T70" i="60"/>
  <c r="U70" i="60"/>
  <c r="H71" i="60" a="1"/>
  <c r="O71" i="60" s="1"/>
  <c r="AH70" i="31" l="1"/>
  <c r="O71" i="32"/>
  <c r="V70" i="60"/>
  <c r="O71" i="31"/>
  <c r="T70" i="31"/>
  <c r="S71" i="60"/>
  <c r="Q71" i="60"/>
  <c r="L71" i="60"/>
  <c r="R71" i="60"/>
  <c r="P71" i="60"/>
  <c r="N71" i="60"/>
  <c r="H71" i="60"/>
  <c r="M71" i="60"/>
  <c r="J71" i="60"/>
  <c r="K71" i="60"/>
  <c r="I71" i="60"/>
  <c r="W72" i="60" l="1" a="1"/>
  <c r="W72" i="60" s="1"/>
  <c r="Z72" i="60" a="1"/>
  <c r="Z72" i="60" s="1"/>
  <c r="Y72" i="60" a="1"/>
  <c r="Y72" i="60" s="1"/>
  <c r="Z71" i="31"/>
  <c r="W71" i="31"/>
  <c r="AD71" i="31"/>
  <c r="AE71" i="31"/>
  <c r="X71" i="31"/>
  <c r="AC71" i="31"/>
  <c r="Y71" i="31"/>
  <c r="AB71" i="31"/>
  <c r="AA71" i="31"/>
  <c r="V71" i="31"/>
  <c r="AD71" i="32"/>
  <c r="AC71" i="32"/>
  <c r="AF71" i="32"/>
  <c r="AE71" i="32"/>
  <c r="AB71" i="32"/>
  <c r="AG71" i="32"/>
  <c r="P71" i="32"/>
  <c r="N71" i="32"/>
  <c r="R71" i="32"/>
  <c r="Q71" i="32"/>
  <c r="S71" i="32"/>
  <c r="I71" i="31"/>
  <c r="L71" i="31"/>
  <c r="K71" i="31"/>
  <c r="Q71" i="31"/>
  <c r="J71" i="31"/>
  <c r="M71" i="31"/>
  <c r="H71" i="31"/>
  <c r="N71" i="31"/>
  <c r="P71" i="31"/>
  <c r="X71" i="60"/>
  <c r="U71" i="60"/>
  <c r="T71" i="60"/>
  <c r="H72" i="60" a="1"/>
  <c r="M72" i="60" s="1"/>
  <c r="AH71" i="31" l="1"/>
  <c r="V71" i="60"/>
  <c r="M72" i="31"/>
  <c r="T71" i="31"/>
  <c r="J72" i="60"/>
  <c r="S72" i="60"/>
  <c r="I72" i="60"/>
  <c r="R72" i="60"/>
  <c r="Q72" i="60"/>
  <c r="O72" i="60"/>
  <c r="P72" i="60"/>
  <c r="H72" i="60"/>
  <c r="K72" i="60"/>
  <c r="N72" i="60"/>
  <c r="L72" i="60"/>
  <c r="Z73" i="60" l="1" a="1"/>
  <c r="Z73" i="60" s="1"/>
  <c r="Y73" i="60" a="1"/>
  <c r="Y73" i="60" s="1"/>
  <c r="W73" i="60" a="1"/>
  <c r="W73" i="60" s="1"/>
  <c r="AD72" i="31"/>
  <c r="X72" i="31"/>
  <c r="V72" i="31"/>
  <c r="AA72" i="31"/>
  <c r="W72" i="31"/>
  <c r="Y72" i="31"/>
  <c r="AE72" i="31"/>
  <c r="Z72" i="31"/>
  <c r="AC72" i="31"/>
  <c r="AB72" i="31"/>
  <c r="AD72" i="32"/>
  <c r="AF72" i="32"/>
  <c r="AB72" i="32"/>
  <c r="AG72" i="32"/>
  <c r="AC72" i="32"/>
  <c r="AE72" i="32"/>
  <c r="P72" i="32"/>
  <c r="Q72" i="32"/>
  <c r="O72" i="32"/>
  <c r="R72" i="32"/>
  <c r="N72" i="32"/>
  <c r="S72" i="32"/>
  <c r="L72" i="31"/>
  <c r="I72" i="31"/>
  <c r="N72" i="31"/>
  <c r="K72" i="31"/>
  <c r="J72" i="31"/>
  <c r="H72" i="31"/>
  <c r="P72" i="31"/>
  <c r="O72" i="31"/>
  <c r="Q72" i="31"/>
  <c r="U72" i="60"/>
  <c r="H73" i="60" a="1"/>
  <c r="L73" i="60" s="1"/>
  <c r="T72" i="60"/>
  <c r="X72" i="60"/>
  <c r="AH72" i="31" l="1"/>
  <c r="V72" i="60"/>
  <c r="L73" i="31"/>
  <c r="T72" i="31"/>
  <c r="Q73" i="60"/>
  <c r="M73" i="60"/>
  <c r="R73" i="60"/>
  <c r="H73" i="60"/>
  <c r="S73" i="60"/>
  <c r="J73" i="60"/>
  <c r="O73" i="60"/>
  <c r="I73" i="60"/>
  <c r="K73" i="60"/>
  <c r="P73" i="60"/>
  <c r="N73" i="60"/>
  <c r="Z74" i="60" l="1" a="1"/>
  <c r="Z74" i="60" s="1"/>
  <c r="W74" i="60" a="1"/>
  <c r="W74" i="60" s="1"/>
  <c r="Y74" i="60" a="1"/>
  <c r="Y74" i="60" s="1"/>
  <c r="X73" i="31"/>
  <c r="V73" i="31"/>
  <c r="AC73" i="31"/>
  <c r="W73" i="31"/>
  <c r="Y73" i="31"/>
  <c r="AD73" i="31"/>
  <c r="Z73" i="31"/>
  <c r="AA73" i="31"/>
  <c r="AE73" i="31"/>
  <c r="AB73" i="31"/>
  <c r="AF73" i="32"/>
  <c r="AC73" i="32"/>
  <c r="AE73" i="32"/>
  <c r="AD73" i="32"/>
  <c r="AG73" i="32"/>
  <c r="AB73" i="32"/>
  <c r="O73" i="32"/>
  <c r="S73" i="32"/>
  <c r="N73" i="32"/>
  <c r="R73" i="32"/>
  <c r="P73" i="32"/>
  <c r="Q73" i="32"/>
  <c r="H73" i="31"/>
  <c r="P73" i="31"/>
  <c r="M73" i="31"/>
  <c r="N73" i="31"/>
  <c r="K73" i="31"/>
  <c r="Q73" i="31"/>
  <c r="I73" i="31"/>
  <c r="O73" i="31"/>
  <c r="J73" i="31"/>
  <c r="X73" i="60"/>
  <c r="U73" i="60"/>
  <c r="T73" i="60"/>
  <c r="H74" i="60" a="1"/>
  <c r="I74" i="60" s="1"/>
  <c r="AH73" i="31" l="1"/>
  <c r="V73" i="60"/>
  <c r="I74" i="31"/>
  <c r="T73" i="31"/>
  <c r="P74" i="60"/>
  <c r="R74" i="60"/>
  <c r="N74" i="60"/>
  <c r="L74" i="60"/>
  <c r="K74" i="60"/>
  <c r="J74" i="60"/>
  <c r="O74" i="60"/>
  <c r="Q74" i="60"/>
  <c r="H74" i="60"/>
  <c r="M74" i="60"/>
  <c r="S74" i="60"/>
  <c r="Z75" i="60" l="1" a="1"/>
  <c r="Z75" i="60" s="1"/>
  <c r="Y75" i="60" a="1"/>
  <c r="Y75" i="60" s="1"/>
  <c r="W75" i="60" a="1"/>
  <c r="W75" i="60" s="1"/>
  <c r="AE74" i="31"/>
  <c r="W74" i="31"/>
  <c r="AA74" i="31"/>
  <c r="AD74" i="31"/>
  <c r="X74" i="31"/>
  <c r="AB74" i="31"/>
  <c r="V74" i="31"/>
  <c r="Y74" i="31"/>
  <c r="Z74" i="31"/>
  <c r="AC74" i="31"/>
  <c r="AE74" i="32"/>
  <c r="AB74" i="32"/>
  <c r="AD74" i="32"/>
  <c r="AC74" i="32"/>
  <c r="AG74" i="32"/>
  <c r="AF74" i="32"/>
  <c r="O74" i="32"/>
  <c r="Q74" i="32"/>
  <c r="S74" i="32"/>
  <c r="N74" i="32"/>
  <c r="R74" i="32"/>
  <c r="P74" i="32"/>
  <c r="L74" i="31"/>
  <c r="N74" i="31"/>
  <c r="M74" i="31"/>
  <c r="K74" i="31"/>
  <c r="H74" i="31"/>
  <c r="P74" i="31"/>
  <c r="Q74" i="31"/>
  <c r="O74" i="31"/>
  <c r="J74" i="31"/>
  <c r="X74" i="60"/>
  <c r="H75" i="60" a="1"/>
  <c r="J75" i="60" s="1"/>
  <c r="U74" i="60"/>
  <c r="T74" i="60"/>
  <c r="AH74" i="31" l="1"/>
  <c r="V74" i="60"/>
  <c r="J75" i="31"/>
  <c r="T74" i="31"/>
  <c r="M75" i="60"/>
  <c r="H75" i="60"/>
  <c r="S75" i="60"/>
  <c r="N75" i="60"/>
  <c r="L75" i="60"/>
  <c r="I75" i="60"/>
  <c r="R75" i="60"/>
  <c r="O75" i="60"/>
  <c r="P75" i="60"/>
  <c r="Q75" i="60"/>
  <c r="K75" i="60"/>
  <c r="Z76" i="60" l="1" a="1"/>
  <c r="Z76" i="60" s="1"/>
  <c r="W76" i="60" a="1"/>
  <c r="W76" i="60" s="1"/>
  <c r="Y76" i="60" a="1"/>
  <c r="Y76" i="60" s="1"/>
  <c r="AA75" i="31"/>
  <c r="W75" i="31"/>
  <c r="AD75" i="31"/>
  <c r="V75" i="31"/>
  <c r="AB75" i="31"/>
  <c r="AC75" i="31"/>
  <c r="Y75" i="31"/>
  <c r="Z75" i="31"/>
  <c r="X75" i="31"/>
  <c r="AE75" i="31"/>
  <c r="AB75" i="32"/>
  <c r="AD75" i="32"/>
  <c r="AG75" i="32"/>
  <c r="AC75" i="32"/>
  <c r="AE75" i="32"/>
  <c r="AF75" i="32"/>
  <c r="R75" i="32"/>
  <c r="N75" i="32"/>
  <c r="S75" i="32"/>
  <c r="Q75" i="32"/>
  <c r="P75" i="32"/>
  <c r="O75" i="32"/>
  <c r="N75" i="31"/>
  <c r="Q75" i="31"/>
  <c r="H75" i="31"/>
  <c r="P75" i="31"/>
  <c r="M75" i="31"/>
  <c r="L75" i="31"/>
  <c r="K75" i="31"/>
  <c r="O75" i="31"/>
  <c r="I75" i="31"/>
  <c r="X75" i="60"/>
  <c r="T75" i="60"/>
  <c r="H76" i="60" a="1"/>
  <c r="R76" i="60" s="1"/>
  <c r="U75" i="60"/>
  <c r="AH75" i="31" l="1"/>
  <c r="R76" i="32"/>
  <c r="V75" i="60"/>
  <c r="T75" i="31"/>
  <c r="J76" i="60"/>
  <c r="H76" i="60"/>
  <c r="N76" i="60"/>
  <c r="P76" i="60"/>
  <c r="K76" i="60"/>
  <c r="L76" i="60"/>
  <c r="M76" i="60"/>
  <c r="S76" i="60"/>
  <c r="O76" i="60"/>
  <c r="Q76" i="60"/>
  <c r="I76" i="60"/>
  <c r="W77" i="60" l="1" a="1"/>
  <c r="W77" i="60" s="1"/>
  <c r="Z77" i="60" a="1"/>
  <c r="Z77" i="60" s="1"/>
  <c r="Y77" i="60" a="1"/>
  <c r="Y77" i="60" s="1"/>
  <c r="Z76" i="31"/>
  <c r="W76" i="31"/>
  <c r="AB76" i="31"/>
  <c r="AE76" i="31"/>
  <c r="AC76" i="31"/>
  <c r="Y76" i="31"/>
  <c r="X76" i="31"/>
  <c r="V76" i="31"/>
  <c r="AA76" i="31"/>
  <c r="AD76" i="31"/>
  <c r="AB76" i="32"/>
  <c r="AF76" i="32"/>
  <c r="AE76" i="32"/>
  <c r="AC76" i="32"/>
  <c r="AG76" i="32"/>
  <c r="AD76" i="32"/>
  <c r="S76" i="32"/>
  <c r="P76" i="32"/>
  <c r="N76" i="32"/>
  <c r="Q76" i="32"/>
  <c r="O76" i="32"/>
  <c r="K76" i="31"/>
  <c r="L76" i="31"/>
  <c r="P76" i="31"/>
  <c r="I76" i="31"/>
  <c r="N76" i="31"/>
  <c r="Q76" i="31"/>
  <c r="H76" i="31"/>
  <c r="O76" i="31"/>
  <c r="J76" i="31"/>
  <c r="M76" i="31"/>
  <c r="X76" i="60"/>
  <c r="U76" i="60"/>
  <c r="T76" i="60"/>
  <c r="H77" i="60" a="1"/>
  <c r="P77" i="60" s="1"/>
  <c r="AH76" i="31" l="1"/>
  <c r="P77" i="32"/>
  <c r="V76" i="60"/>
  <c r="P77" i="31"/>
  <c r="T76" i="31"/>
  <c r="J77" i="60"/>
  <c r="K77" i="60"/>
  <c r="O77" i="60"/>
  <c r="R77" i="60"/>
  <c r="S77" i="60"/>
  <c r="L77" i="60"/>
  <c r="Q77" i="60"/>
  <c r="N77" i="60"/>
  <c r="H77" i="60"/>
  <c r="M77" i="60"/>
  <c r="I77" i="60"/>
  <c r="Z78" i="60" l="1" a="1"/>
  <c r="Z78" i="60" s="1"/>
  <c r="W78" i="60" a="1"/>
  <c r="W78" i="60" s="1"/>
  <c r="Y78" i="60" a="1"/>
  <c r="Y78" i="60" s="1"/>
  <c r="AB77" i="31"/>
  <c r="AD77" i="31"/>
  <c r="Y77" i="31"/>
  <c r="AE77" i="31"/>
  <c r="AA77" i="31"/>
  <c r="W77" i="31"/>
  <c r="Z77" i="31"/>
  <c r="AC77" i="31"/>
  <c r="X77" i="31"/>
  <c r="V77" i="31"/>
  <c r="AB77" i="32"/>
  <c r="AG77" i="32"/>
  <c r="AE77" i="32"/>
  <c r="AD77" i="32"/>
  <c r="AF77" i="32"/>
  <c r="AC77" i="32"/>
  <c r="S77" i="32"/>
  <c r="R77" i="32"/>
  <c r="Q77" i="32"/>
  <c r="O77" i="32"/>
  <c r="N77" i="32"/>
  <c r="I77" i="31"/>
  <c r="O77" i="31"/>
  <c r="M77" i="31"/>
  <c r="K77" i="31"/>
  <c r="H77" i="31"/>
  <c r="J77" i="31"/>
  <c r="N77" i="31"/>
  <c r="Q77" i="31"/>
  <c r="L77" i="31"/>
  <c r="X77" i="60"/>
  <c r="U77" i="60"/>
  <c r="T77" i="60"/>
  <c r="H78" i="60" a="1"/>
  <c r="N78" i="60" s="1"/>
  <c r="N78" i="32" s="1"/>
  <c r="AH77" i="31" l="1"/>
  <c r="V77" i="60"/>
  <c r="N78" i="31"/>
  <c r="T77" i="31"/>
  <c r="Q78" i="60"/>
  <c r="O78" i="60"/>
  <c r="P78" i="60"/>
  <c r="M78" i="60"/>
  <c r="H78" i="60"/>
  <c r="R78" i="60"/>
  <c r="J78" i="60"/>
  <c r="S78" i="60"/>
  <c r="L78" i="60"/>
  <c r="I78" i="60"/>
  <c r="K78" i="60"/>
  <c r="W79" i="60" l="1" a="1"/>
  <c r="W79" i="60" s="1"/>
  <c r="Z79" i="60" a="1"/>
  <c r="Z79" i="60" s="1"/>
  <c r="Y79" i="60" a="1"/>
  <c r="Y79" i="60" s="1"/>
  <c r="AC78" i="31"/>
  <c r="Z78" i="31"/>
  <c r="AE78" i="31"/>
  <c r="AA78" i="31"/>
  <c r="AB78" i="31"/>
  <c r="W78" i="31"/>
  <c r="Y78" i="31"/>
  <c r="X78" i="31"/>
  <c r="V78" i="31"/>
  <c r="AD78" i="31"/>
  <c r="AB78" i="32"/>
  <c r="AC78" i="32"/>
  <c r="AE78" i="32"/>
  <c r="AF78" i="32"/>
  <c r="AG78" i="32"/>
  <c r="AD78" i="32"/>
  <c r="R78" i="32"/>
  <c r="S78" i="32"/>
  <c r="P78" i="32"/>
  <c r="O78" i="32"/>
  <c r="Q78" i="32"/>
  <c r="M78" i="31"/>
  <c r="K78" i="31"/>
  <c r="P78" i="31"/>
  <c r="I78" i="31"/>
  <c r="O78" i="31"/>
  <c r="L78" i="31"/>
  <c r="Q78" i="31"/>
  <c r="J78" i="31"/>
  <c r="H78" i="31"/>
  <c r="H79" i="60" a="1"/>
  <c r="I79" i="60" s="1"/>
  <c r="X78" i="60"/>
  <c r="T78" i="60"/>
  <c r="U78" i="60"/>
  <c r="AH78" i="31" l="1"/>
  <c r="V78" i="60"/>
  <c r="I79" i="31"/>
  <c r="T78" i="31"/>
  <c r="J79" i="60"/>
  <c r="N79" i="60"/>
  <c r="R79" i="60"/>
  <c r="O79" i="60"/>
  <c r="P79" i="60"/>
  <c r="H79" i="60"/>
  <c r="Q79" i="60"/>
  <c r="L79" i="60"/>
  <c r="K79" i="60"/>
  <c r="M79" i="60"/>
  <c r="S79" i="60"/>
  <c r="W80" i="60" l="1" a="1"/>
  <c r="W80" i="60" s="1"/>
  <c r="Z80" i="60" a="1"/>
  <c r="Z80" i="60" s="1"/>
  <c r="Y80" i="60" a="1"/>
  <c r="Y80" i="60" s="1"/>
  <c r="AB79" i="31"/>
  <c r="AD79" i="31"/>
  <c r="Z79" i="31"/>
  <c r="W79" i="31"/>
  <c r="Y79" i="31"/>
  <c r="V79" i="31"/>
  <c r="AA79" i="31"/>
  <c r="AE79" i="31"/>
  <c r="X79" i="31"/>
  <c r="AC79" i="31"/>
  <c r="AB79" i="32"/>
  <c r="AD79" i="32"/>
  <c r="AE79" i="32"/>
  <c r="AG79" i="32"/>
  <c r="AF79" i="32"/>
  <c r="AC79" i="32"/>
  <c r="Q79" i="32"/>
  <c r="P79" i="32"/>
  <c r="O79" i="32"/>
  <c r="S79" i="32"/>
  <c r="R79" i="32"/>
  <c r="N79" i="32"/>
  <c r="P79" i="31"/>
  <c r="O79" i="31"/>
  <c r="M79" i="31"/>
  <c r="N79" i="31"/>
  <c r="K79" i="31"/>
  <c r="J79" i="31"/>
  <c r="L79" i="31"/>
  <c r="Q79" i="31"/>
  <c r="H79" i="31"/>
  <c r="X79" i="60"/>
  <c r="H80" i="60" a="1"/>
  <c r="S80" i="60" s="1"/>
  <c r="U79" i="60"/>
  <c r="T79" i="60"/>
  <c r="AH79" i="31" l="1"/>
  <c r="S80" i="32"/>
  <c r="V79" i="60"/>
  <c r="T79" i="31"/>
  <c r="O80" i="60"/>
  <c r="R80" i="60"/>
  <c r="H80" i="60"/>
  <c r="P80" i="60"/>
  <c r="M80" i="60"/>
  <c r="I80" i="60"/>
  <c r="L80" i="60"/>
  <c r="Q80" i="60"/>
  <c r="N80" i="60"/>
  <c r="K80" i="60"/>
  <c r="J80" i="60"/>
  <c r="Z81" i="60" l="1" a="1"/>
  <c r="Z81" i="60" s="1"/>
  <c r="W81" i="60" a="1"/>
  <c r="W81" i="60" s="1"/>
  <c r="Y81" i="60" a="1"/>
  <c r="Y81" i="60" s="1"/>
  <c r="X80" i="31"/>
  <c r="AC80" i="31"/>
  <c r="AB80" i="31"/>
  <c r="AD80" i="31"/>
  <c r="Z80" i="31"/>
  <c r="AA80" i="31"/>
  <c r="V80" i="31"/>
  <c r="AE80" i="31"/>
  <c r="Y80" i="31"/>
  <c r="W80" i="31"/>
  <c r="AB80" i="32"/>
  <c r="AD80" i="32"/>
  <c r="AC80" i="32"/>
  <c r="AG80" i="32"/>
  <c r="AF80" i="32"/>
  <c r="AE80" i="32"/>
  <c r="Q80" i="32"/>
  <c r="P80" i="32"/>
  <c r="R80" i="32"/>
  <c r="N80" i="32"/>
  <c r="O80" i="32"/>
  <c r="I80" i="31"/>
  <c r="M80" i="31"/>
  <c r="P80" i="31"/>
  <c r="J80" i="31"/>
  <c r="H80" i="31"/>
  <c r="K80" i="31"/>
  <c r="N80" i="31"/>
  <c r="O80" i="31"/>
  <c r="Q80" i="31"/>
  <c r="L80" i="31"/>
  <c r="H81" i="60" a="1"/>
  <c r="N81" i="60" s="1"/>
  <c r="T80" i="60"/>
  <c r="X80" i="60"/>
  <c r="U80" i="60"/>
  <c r="AH80" i="31" l="1"/>
  <c r="N81" i="32"/>
  <c r="V80" i="60"/>
  <c r="N81" i="31"/>
  <c r="T80" i="31"/>
  <c r="K81" i="60"/>
  <c r="P81" i="60"/>
  <c r="R81" i="60"/>
  <c r="O81" i="60"/>
  <c r="I81" i="60"/>
  <c r="L81" i="60"/>
  <c r="M81" i="60"/>
  <c r="H81" i="60"/>
  <c r="J81" i="60"/>
  <c r="S81" i="60"/>
  <c r="Q81" i="60"/>
  <c r="W82" i="60" l="1" a="1"/>
  <c r="W82" i="60" s="1"/>
  <c r="Z82" i="60" a="1"/>
  <c r="Z82" i="60" s="1"/>
  <c r="Y82" i="60" a="1"/>
  <c r="Y82" i="60" s="1"/>
  <c r="AA81" i="31"/>
  <c r="AB81" i="31"/>
  <c r="AD81" i="31"/>
  <c r="Z81" i="31"/>
  <c r="AE81" i="31"/>
  <c r="V81" i="31"/>
  <c r="X81" i="31"/>
  <c r="AC81" i="31"/>
  <c r="W81" i="31"/>
  <c r="Y81" i="31"/>
  <c r="AE81" i="32"/>
  <c r="AF81" i="32"/>
  <c r="AD81" i="32"/>
  <c r="AB81" i="32"/>
  <c r="AG81" i="32"/>
  <c r="AC81" i="32"/>
  <c r="O81" i="32"/>
  <c r="Q81" i="32"/>
  <c r="R81" i="32"/>
  <c r="S81" i="32"/>
  <c r="P81" i="32"/>
  <c r="O81" i="31"/>
  <c r="P81" i="31"/>
  <c r="J81" i="31"/>
  <c r="K81" i="31"/>
  <c r="H81" i="31"/>
  <c r="M81" i="31"/>
  <c r="Q81" i="31"/>
  <c r="L81" i="31"/>
  <c r="I81" i="31"/>
  <c r="X81" i="60"/>
  <c r="U81" i="60"/>
  <c r="T81" i="60"/>
  <c r="H82" i="60" a="1"/>
  <c r="R82" i="60" s="1"/>
  <c r="R82" i="32" s="1"/>
  <c r="AH81" i="31" l="1"/>
  <c r="V81" i="60"/>
  <c r="T81" i="31"/>
  <c r="O82" i="60"/>
  <c r="H82" i="60"/>
  <c r="K82" i="60"/>
  <c r="J82" i="60"/>
  <c r="S82" i="60"/>
  <c r="Q82" i="60"/>
  <c r="I82" i="60"/>
  <c r="N82" i="60"/>
  <c r="L82" i="60"/>
  <c r="M82" i="60"/>
  <c r="P82" i="60"/>
  <c r="Z83" i="60" l="1" a="1"/>
  <c r="Z83" i="60" s="1"/>
  <c r="W83" i="60" a="1"/>
  <c r="W83" i="60" s="1"/>
  <c r="Y83" i="60" a="1"/>
  <c r="Y83" i="60" s="1"/>
  <c r="AD82" i="31"/>
  <c r="X82" i="31"/>
  <c r="AA82" i="31"/>
  <c r="AC82" i="31"/>
  <c r="Z82" i="31"/>
  <c r="V82" i="31"/>
  <c r="W82" i="31"/>
  <c r="AE82" i="31"/>
  <c r="Y82" i="31"/>
  <c r="AB82" i="31"/>
  <c r="AD82" i="32"/>
  <c r="AG82" i="32"/>
  <c r="AC82" i="32"/>
  <c r="AE82" i="32"/>
  <c r="AB82" i="32"/>
  <c r="AF82" i="32"/>
  <c r="Q82" i="32"/>
  <c r="O82" i="32"/>
  <c r="N82" i="32"/>
  <c r="S82" i="32"/>
  <c r="P82" i="32"/>
  <c r="Q82" i="31"/>
  <c r="J82" i="31"/>
  <c r="P82" i="31"/>
  <c r="K82" i="31"/>
  <c r="M82" i="31"/>
  <c r="H82" i="31"/>
  <c r="L82" i="31"/>
  <c r="O82" i="31"/>
  <c r="N82" i="31"/>
  <c r="I82" i="31"/>
  <c r="X82" i="60"/>
  <c r="U82" i="60"/>
  <c r="T82" i="60"/>
  <c r="H83" i="60" a="1"/>
  <c r="K83" i="60" s="1"/>
  <c r="AH82" i="31" l="1"/>
  <c r="V82" i="60"/>
  <c r="K83" i="31"/>
  <c r="T82" i="31"/>
  <c r="S83" i="60"/>
  <c r="Q83" i="60"/>
  <c r="H83" i="60"/>
  <c r="I83" i="60"/>
  <c r="M83" i="60"/>
  <c r="J83" i="60"/>
  <c r="R83" i="60"/>
  <c r="N83" i="60"/>
  <c r="P83" i="60"/>
  <c r="L83" i="60"/>
  <c r="O83" i="60"/>
  <c r="Z84" i="60" l="1" a="1"/>
  <c r="Z84" i="60" s="1"/>
  <c r="W84" i="60" a="1"/>
  <c r="W84" i="60" s="1"/>
  <c r="Y84" i="60" a="1"/>
  <c r="Y84" i="60" s="1"/>
  <c r="AB83" i="31"/>
  <c r="Z83" i="31"/>
  <c r="AA83" i="31"/>
  <c r="X83" i="31"/>
  <c r="V83" i="31"/>
  <c r="AD83" i="31"/>
  <c r="AE83" i="31"/>
  <c r="Y83" i="31"/>
  <c r="W83" i="31"/>
  <c r="AC83" i="31"/>
  <c r="AD83" i="32"/>
  <c r="AF83" i="32"/>
  <c r="AB83" i="32"/>
  <c r="AE83" i="32"/>
  <c r="AG83" i="32"/>
  <c r="AC83" i="32"/>
  <c r="R83" i="32"/>
  <c r="N83" i="32"/>
  <c r="O83" i="32"/>
  <c r="Q83" i="32"/>
  <c r="P83" i="32"/>
  <c r="S83" i="32"/>
  <c r="M83" i="31"/>
  <c r="I83" i="31"/>
  <c r="O83" i="31"/>
  <c r="H83" i="31"/>
  <c r="L83" i="31"/>
  <c r="Q83" i="31"/>
  <c r="P83" i="31"/>
  <c r="N83" i="31"/>
  <c r="J83" i="31"/>
  <c r="X83" i="60"/>
  <c r="U83" i="60"/>
  <c r="T83" i="60"/>
  <c r="H84" i="60" a="1"/>
  <c r="H84" i="60" s="1"/>
  <c r="AH83" i="31" l="1"/>
  <c r="V83" i="60"/>
  <c r="H84" i="31"/>
  <c r="T83" i="31"/>
  <c r="S84" i="60"/>
  <c r="R84" i="60"/>
  <c r="Q84" i="60"/>
  <c r="J84" i="60"/>
  <c r="I84" i="60"/>
  <c r="O84" i="60"/>
  <c r="L84" i="60"/>
  <c r="K84" i="60"/>
  <c r="P84" i="60"/>
  <c r="M84" i="60"/>
  <c r="N84" i="60"/>
  <c r="Z85" i="60" l="1" a="1"/>
  <c r="Z85" i="60" s="1"/>
  <c r="W85" i="60" a="1"/>
  <c r="W85" i="60" s="1"/>
  <c r="Y85" i="60" a="1"/>
  <c r="Y85" i="60" s="1"/>
  <c r="AD84" i="31"/>
  <c r="Z84" i="31"/>
  <c r="W84" i="31"/>
  <c r="AE84" i="31"/>
  <c r="X84" i="31"/>
  <c r="Y84" i="31"/>
  <c r="AC84" i="31"/>
  <c r="AA84" i="31"/>
  <c r="V84" i="31"/>
  <c r="AB84" i="31"/>
  <c r="AE84" i="32"/>
  <c r="AD84" i="32"/>
  <c r="AF84" i="32"/>
  <c r="AG84" i="32"/>
  <c r="AC84" i="32"/>
  <c r="AB84" i="32"/>
  <c r="O84" i="32"/>
  <c r="N84" i="32"/>
  <c r="Q84" i="32"/>
  <c r="R84" i="32"/>
  <c r="P84" i="32"/>
  <c r="S84" i="32"/>
  <c r="J84" i="31"/>
  <c r="N84" i="31"/>
  <c r="Q84" i="31"/>
  <c r="M84" i="31"/>
  <c r="P84" i="31"/>
  <c r="K84" i="31"/>
  <c r="L84" i="31"/>
  <c r="O84" i="31"/>
  <c r="I84" i="31"/>
  <c r="X84" i="60"/>
  <c r="U84" i="60"/>
  <c r="H85" i="60" a="1"/>
  <c r="N85" i="60" s="1"/>
  <c r="T84" i="60"/>
  <c r="AH84" i="31" l="1"/>
  <c r="N85" i="32"/>
  <c r="V84" i="60"/>
  <c r="N85" i="31"/>
  <c r="T84" i="31"/>
  <c r="K85" i="60"/>
  <c r="Q85" i="60"/>
  <c r="R85" i="60"/>
  <c r="J85" i="60"/>
  <c r="L85" i="60"/>
  <c r="S85" i="60"/>
  <c r="O85" i="60"/>
  <c r="H85" i="60"/>
  <c r="M85" i="60"/>
  <c r="I85" i="60"/>
  <c r="P85" i="60"/>
  <c r="Z86" i="60" l="1" a="1"/>
  <c r="Z86" i="60" s="1"/>
  <c r="Y86" i="60" a="1"/>
  <c r="Y86" i="60" s="1"/>
  <c r="W86" i="60" a="1"/>
  <c r="W86" i="60" s="1"/>
  <c r="AD85" i="31"/>
  <c r="W85" i="31"/>
  <c r="AE85" i="31"/>
  <c r="AA85" i="31"/>
  <c r="X85" i="31"/>
  <c r="Y85" i="31"/>
  <c r="Z85" i="31"/>
  <c r="V85" i="31"/>
  <c r="AC85" i="31"/>
  <c r="AB85" i="31"/>
  <c r="AD85" i="32"/>
  <c r="AF85" i="32"/>
  <c r="AE85" i="32"/>
  <c r="AG85" i="32"/>
  <c r="AC85" i="32"/>
  <c r="AB85" i="32"/>
  <c r="S85" i="32"/>
  <c r="O85" i="32"/>
  <c r="P85" i="32"/>
  <c r="R85" i="32"/>
  <c r="Q85" i="32"/>
  <c r="J85" i="31"/>
  <c r="I85" i="31"/>
  <c r="Q85" i="31"/>
  <c r="M85" i="31"/>
  <c r="K85" i="31"/>
  <c r="H85" i="31"/>
  <c r="P85" i="31"/>
  <c r="O85" i="31"/>
  <c r="L85" i="31"/>
  <c r="X85" i="60"/>
  <c r="U85" i="60"/>
  <c r="H86" i="60" a="1"/>
  <c r="K86" i="60" s="1"/>
  <c r="T85" i="60"/>
  <c r="AH85" i="31" l="1"/>
  <c r="V85" i="60"/>
  <c r="K86" i="31"/>
  <c r="T85" i="31"/>
  <c r="H86" i="60"/>
  <c r="O86" i="60"/>
  <c r="Q86" i="60"/>
  <c r="P86" i="60"/>
  <c r="J86" i="60"/>
  <c r="R86" i="60"/>
  <c r="M86" i="60"/>
  <c r="N86" i="60"/>
  <c r="I86" i="60"/>
  <c r="L86" i="60"/>
  <c r="S86" i="60"/>
  <c r="Z87" i="60" l="1" a="1"/>
  <c r="Z87" i="60" s="1"/>
  <c r="W87" i="60" a="1"/>
  <c r="W87" i="60" s="1"/>
  <c r="Y87" i="60" a="1"/>
  <c r="Y87" i="60" s="1"/>
  <c r="AD86" i="31"/>
  <c r="AB86" i="31"/>
  <c r="Y86" i="31"/>
  <c r="W86" i="31"/>
  <c r="AE86" i="31"/>
  <c r="X86" i="31"/>
  <c r="AA86" i="31"/>
  <c r="Z86" i="31"/>
  <c r="V86" i="31"/>
  <c r="AC86" i="31"/>
  <c r="AD86" i="32"/>
  <c r="AB86" i="32"/>
  <c r="AF86" i="32"/>
  <c r="AG86" i="32"/>
  <c r="AE86" i="32"/>
  <c r="AC86" i="32"/>
  <c r="R86" i="32"/>
  <c r="S86" i="32"/>
  <c r="Q86" i="32"/>
  <c r="P86" i="32"/>
  <c r="O86" i="32"/>
  <c r="N86" i="32"/>
  <c r="P86" i="31"/>
  <c r="Q86" i="31"/>
  <c r="L86" i="31"/>
  <c r="O86" i="31"/>
  <c r="I86" i="31"/>
  <c r="H86" i="31"/>
  <c r="N86" i="31"/>
  <c r="M86" i="31"/>
  <c r="J86" i="31"/>
  <c r="X86" i="60"/>
  <c r="U86" i="60"/>
  <c r="T86" i="60"/>
  <c r="H87" i="60" a="1"/>
  <c r="J87" i="60" s="1"/>
  <c r="AH86" i="31" l="1"/>
  <c r="V86" i="60"/>
  <c r="J87" i="31"/>
  <c r="T86" i="31"/>
  <c r="S87" i="60"/>
  <c r="I87" i="60"/>
  <c r="Q87" i="60"/>
  <c r="P87" i="60"/>
  <c r="N87" i="60"/>
  <c r="H87" i="60"/>
  <c r="R87" i="60"/>
  <c r="O87" i="60"/>
  <c r="M87" i="60"/>
  <c r="L87" i="60"/>
  <c r="K87" i="60"/>
  <c r="Z88" i="60" l="1" a="1"/>
  <c r="Z88" i="60" s="1"/>
  <c r="Y88" i="60" a="1"/>
  <c r="Y88" i="60" s="1"/>
  <c r="W88" i="60" a="1"/>
  <c r="W88" i="60" s="1"/>
  <c r="AE87" i="31"/>
  <c r="AD87" i="31"/>
  <c r="W87" i="31"/>
  <c r="V87" i="31"/>
  <c r="X87" i="31"/>
  <c r="AB87" i="31"/>
  <c r="Y87" i="31"/>
  <c r="AA87" i="31"/>
  <c r="AC87" i="31"/>
  <c r="Z87" i="31"/>
  <c r="AE87" i="32"/>
  <c r="AD87" i="32"/>
  <c r="AB87" i="32"/>
  <c r="AC87" i="32"/>
  <c r="AF87" i="32"/>
  <c r="AG87" i="32"/>
  <c r="R87" i="32"/>
  <c r="P87" i="32"/>
  <c r="N87" i="32"/>
  <c r="Q87" i="32"/>
  <c r="S87" i="32"/>
  <c r="O87" i="32"/>
  <c r="P87" i="31"/>
  <c r="K87" i="31"/>
  <c r="Q87" i="31"/>
  <c r="L87" i="31"/>
  <c r="I87" i="31"/>
  <c r="M87" i="31"/>
  <c r="O87" i="31"/>
  <c r="H87" i="31"/>
  <c r="N87" i="31"/>
  <c r="X87" i="60"/>
  <c r="U87" i="60"/>
  <c r="T87" i="60"/>
  <c r="H88" i="60" a="1"/>
  <c r="O88" i="60" s="1"/>
  <c r="O88" i="32" s="1"/>
  <c r="AH87" i="31" l="1"/>
  <c r="V87" i="60"/>
  <c r="O88" i="31"/>
  <c r="T87" i="31"/>
  <c r="P88" i="60"/>
  <c r="Q88" i="60"/>
  <c r="R88" i="60"/>
  <c r="N88" i="60"/>
  <c r="I88" i="60"/>
  <c r="M88" i="60"/>
  <c r="J88" i="60"/>
  <c r="K88" i="60"/>
  <c r="S88" i="60"/>
  <c r="L88" i="60"/>
  <c r="H88" i="60"/>
  <c r="Z89" i="60" l="1" a="1"/>
  <c r="Z89" i="60" s="1"/>
  <c r="W89" i="60" a="1"/>
  <c r="W89" i="60" s="1"/>
  <c r="Y89" i="60" a="1"/>
  <c r="Y89" i="60" s="1"/>
  <c r="V88" i="31"/>
  <c r="Y88" i="31"/>
  <c r="AB88" i="31"/>
  <c r="AA88" i="31"/>
  <c r="W88" i="31"/>
  <c r="AE88" i="31"/>
  <c r="AC88" i="31"/>
  <c r="X88" i="31"/>
  <c r="Z88" i="31"/>
  <c r="AD88" i="31"/>
  <c r="AC88" i="32"/>
  <c r="AG88" i="32"/>
  <c r="AF88" i="32"/>
  <c r="AB88" i="32"/>
  <c r="AE88" i="32"/>
  <c r="AD88" i="32"/>
  <c r="R88" i="32"/>
  <c r="N88" i="32"/>
  <c r="Q88" i="32"/>
  <c r="S88" i="32"/>
  <c r="P88" i="32"/>
  <c r="N88" i="31"/>
  <c r="H88" i="31"/>
  <c r="L88" i="31"/>
  <c r="Q88" i="31"/>
  <c r="P88" i="31"/>
  <c r="K88" i="31"/>
  <c r="J88" i="31"/>
  <c r="M88" i="31"/>
  <c r="I88" i="31"/>
  <c r="X88" i="60"/>
  <c r="U88" i="60"/>
  <c r="T88" i="60"/>
  <c r="H89" i="60" a="1"/>
  <c r="J89" i="60" s="1"/>
  <c r="AH88" i="31" l="1"/>
  <c r="V88" i="60"/>
  <c r="J89" i="31"/>
  <c r="T88" i="31"/>
  <c r="Q89" i="60"/>
  <c r="N89" i="60"/>
  <c r="I89" i="60"/>
  <c r="S89" i="60"/>
  <c r="M89" i="60"/>
  <c r="L89" i="60"/>
  <c r="H89" i="60"/>
  <c r="P89" i="60"/>
  <c r="O89" i="60"/>
  <c r="K89" i="60"/>
  <c r="R89" i="60"/>
  <c r="W90" i="60" l="1" a="1"/>
  <c r="W90" i="60" s="1"/>
  <c r="Z90" i="60" a="1"/>
  <c r="Z90" i="60" s="1"/>
  <c r="Y90" i="60" a="1"/>
  <c r="Y90" i="60" s="1"/>
  <c r="Y4" i="60"/>
  <c r="X89" i="31"/>
  <c r="Z89" i="31"/>
  <c r="AB89" i="31"/>
  <c r="AC89" i="31"/>
  <c r="W89" i="31"/>
  <c r="AA89" i="31"/>
  <c r="V89" i="31"/>
  <c r="AE89" i="31"/>
  <c r="AD89" i="31"/>
  <c r="Y89" i="31"/>
  <c r="AF89" i="32"/>
  <c r="AB89" i="32"/>
  <c r="AC89" i="32"/>
  <c r="AE89" i="32"/>
  <c r="AD89" i="32"/>
  <c r="AG89" i="32"/>
  <c r="S89" i="32"/>
  <c r="R89" i="32"/>
  <c r="N89" i="32"/>
  <c r="O89" i="32"/>
  <c r="Q89" i="32"/>
  <c r="P89" i="32"/>
  <c r="M89" i="31"/>
  <c r="I89" i="31"/>
  <c r="K89" i="31"/>
  <c r="N89" i="31"/>
  <c r="O89" i="31"/>
  <c r="Q89" i="31"/>
  <c r="P89" i="31"/>
  <c r="H89" i="31"/>
  <c r="L89" i="31"/>
  <c r="T89" i="60"/>
  <c r="H90" i="60" a="1"/>
  <c r="O90" i="60" s="1"/>
  <c r="O4" i="60" s="1"/>
  <c r="U89" i="60"/>
  <c r="X89" i="60"/>
  <c r="AH89" i="31" l="1"/>
  <c r="O5" i="60" a="1"/>
  <c r="O5" i="60" s="1"/>
  <c r="O90" i="32"/>
  <c r="V89" i="60"/>
  <c r="O90" i="31"/>
  <c r="T89" i="31"/>
  <c r="J90" i="60"/>
  <c r="P90" i="60"/>
  <c r="R90" i="60"/>
  <c r="M90" i="60"/>
  <c r="S90" i="60"/>
  <c r="I90" i="60"/>
  <c r="H90" i="60"/>
  <c r="Q90" i="60"/>
  <c r="N90" i="60"/>
  <c r="K90" i="60"/>
  <c r="L90" i="60"/>
  <c r="Z91" i="60" l="1" a="1"/>
  <c r="Z91" i="60" s="1"/>
  <c r="I4" i="60"/>
  <c r="W91" i="60" a="1"/>
  <c r="W91" i="60" s="1"/>
  <c r="Y91" i="60" a="1"/>
  <c r="Y91" i="60" s="1"/>
  <c r="Y90" i="31"/>
  <c r="AC90" i="31"/>
  <c r="Z90" i="31"/>
  <c r="AB90" i="31"/>
  <c r="AD90" i="31"/>
  <c r="V90" i="31"/>
  <c r="X90" i="31"/>
  <c r="AA90" i="31"/>
  <c r="W90" i="31"/>
  <c r="AE90" i="31"/>
  <c r="M4" i="60"/>
  <c r="M5" i="60" a="1"/>
  <c r="M5" i="60" s="1"/>
  <c r="L4" i="60"/>
  <c r="L5" i="60" a="1"/>
  <c r="L5" i="60" s="1"/>
  <c r="R4" i="60"/>
  <c r="R5" i="60" a="1"/>
  <c r="R5" i="60" s="1"/>
  <c r="I5" i="60" a="1"/>
  <c r="I5" i="60" s="1"/>
  <c r="S4" i="60"/>
  <c r="S5" i="60" a="1"/>
  <c r="S5" i="60" s="1"/>
  <c r="K4" i="60"/>
  <c r="K5" i="60" a="1"/>
  <c r="K5" i="60" s="1"/>
  <c r="P4" i="60"/>
  <c r="P5" i="60" a="1"/>
  <c r="P5" i="60" s="1"/>
  <c r="N4" i="60"/>
  <c r="N5" i="60" a="1"/>
  <c r="N5" i="60" s="1"/>
  <c r="J4" i="60"/>
  <c r="J5" i="60" a="1"/>
  <c r="J5" i="60" s="1"/>
  <c r="Q4" i="60"/>
  <c r="Q5" i="60" a="1"/>
  <c r="Q5" i="60" s="1"/>
  <c r="H4" i="60"/>
  <c r="H5" i="60" a="1"/>
  <c r="H5" i="60" s="1"/>
  <c r="AD90" i="32"/>
  <c r="AG90" i="32"/>
  <c r="AC90" i="32"/>
  <c r="AF90" i="32"/>
  <c r="AE90" i="32"/>
  <c r="AB90" i="32"/>
  <c r="S90" i="32"/>
  <c r="P90" i="32"/>
  <c r="R90" i="32"/>
  <c r="N90" i="32"/>
  <c r="Q90" i="32"/>
  <c r="M90" i="31"/>
  <c r="L90" i="31"/>
  <c r="K90" i="31"/>
  <c r="P90" i="31"/>
  <c r="N90" i="31"/>
  <c r="J90" i="31"/>
  <c r="Q90" i="31"/>
  <c r="H90" i="31"/>
  <c r="I90" i="31"/>
  <c r="H91" i="60" a="1"/>
  <c r="S91" i="60" s="1"/>
  <c r="U90" i="60"/>
  <c r="X90" i="60"/>
  <c r="X4" i="60" s="1"/>
  <c r="T90" i="60"/>
  <c r="AH22" i="65" l="1"/>
  <c r="AH21" i="65"/>
  <c r="AH90" i="31"/>
  <c r="U4" i="60"/>
  <c r="U5" i="60" a="1"/>
  <c r="U5" i="60" s="1"/>
  <c r="S91" i="32"/>
  <c r="S4" i="32" s="1"/>
  <c r="V90" i="60"/>
  <c r="T90" i="31"/>
  <c r="K91" i="60"/>
  <c r="J91" i="60"/>
  <c r="N91" i="60"/>
  <c r="O91" i="60"/>
  <c r="L91" i="60"/>
  <c r="M91" i="60"/>
  <c r="Q91" i="60"/>
  <c r="H91" i="60"/>
  <c r="I91" i="60"/>
  <c r="R91" i="60"/>
  <c r="P91" i="60"/>
  <c r="O1184" i="79" l="1" a="1"/>
  <c r="O1184" i="79" s="1"/>
  <c r="M1184" i="79" s="1"/>
  <c r="M1191" i="79"/>
  <c r="O1192" i="79" s="1"/>
  <c r="M1192" i="79" s="1"/>
  <c r="Z92" i="60" a="1"/>
  <c r="Z92" i="60" s="1"/>
  <c r="W92" i="60" a="1"/>
  <c r="W92" i="60" s="1"/>
  <c r="Y92" i="60" a="1"/>
  <c r="Y92" i="60" s="1"/>
  <c r="V4" i="60"/>
  <c r="AB21" i="65" s="1"/>
  <c r="L18" i="67" s="1"/>
  <c r="AB22" i="65"/>
  <c r="M18" i="67" s="1"/>
  <c r="AA91" i="31"/>
  <c r="V91" i="31"/>
  <c r="AB91" i="31"/>
  <c r="Y91" i="31"/>
  <c r="AD91" i="31"/>
  <c r="Z91" i="31"/>
  <c r="X91" i="31"/>
  <c r="AE91" i="31"/>
  <c r="W91" i="31"/>
  <c r="AC91" i="31"/>
  <c r="AA21" i="65"/>
  <c r="AA22" i="65"/>
  <c r="S5" i="32" a="1"/>
  <c r="S5" i="32" s="1"/>
  <c r="AG91" i="32"/>
  <c r="AC91" i="32"/>
  <c r="AB91" i="32"/>
  <c r="AD91" i="32"/>
  <c r="AF91" i="32"/>
  <c r="AE91" i="32"/>
  <c r="O91" i="32"/>
  <c r="P91" i="32"/>
  <c r="N91" i="32"/>
  <c r="R91" i="32"/>
  <c r="Q91" i="32"/>
  <c r="M91" i="31"/>
  <c r="L91" i="31"/>
  <c r="O91" i="31"/>
  <c r="P91" i="31"/>
  <c r="N91" i="31"/>
  <c r="J91" i="31"/>
  <c r="I91" i="31"/>
  <c r="K91" i="31"/>
  <c r="H91" i="31"/>
  <c r="Q91" i="31"/>
  <c r="X91" i="60"/>
  <c r="U91" i="60"/>
  <c r="V91" i="60" s="1"/>
  <c r="T91" i="60"/>
  <c r="H92" i="60" a="1"/>
  <c r="S92" i="60" s="1"/>
  <c r="S92" i="32" s="1"/>
  <c r="O1185" i="79" l="1"/>
  <c r="M1185" i="79" s="1"/>
  <c r="K22" i="135" s="1" a="1"/>
  <c r="K22" i="135" s="1"/>
  <c r="M1149" i="79"/>
  <c r="O1142" i="79" a="1"/>
  <c r="O1142" i="79" s="1"/>
  <c r="AC4" i="31"/>
  <c r="AC5" i="31" a="1"/>
  <c r="AC5" i="31" s="1"/>
  <c r="W4" i="31"/>
  <c r="W5" i="31" a="1"/>
  <c r="W5" i="31" s="1"/>
  <c r="AE4" i="31"/>
  <c r="AE5" i="31" a="1"/>
  <c r="AE5" i="31" s="1"/>
  <c r="X4" i="31"/>
  <c r="X5" i="31" a="1"/>
  <c r="X5" i="31" s="1"/>
  <c r="Z4" i="31"/>
  <c r="Z5" i="31" a="1"/>
  <c r="Z5" i="31" s="1"/>
  <c r="AD4" i="31"/>
  <c r="AD5" i="31" a="1"/>
  <c r="AD5" i="31" s="1"/>
  <c r="Y4" i="31"/>
  <c r="Y5" i="31" a="1"/>
  <c r="Y5" i="31" s="1"/>
  <c r="AB4" i="31"/>
  <c r="AB5" i="31" a="1"/>
  <c r="AB5" i="31" s="1"/>
  <c r="V4" i="31"/>
  <c r="V5" i="31" a="1"/>
  <c r="V5" i="31" s="1"/>
  <c r="AA4" i="31"/>
  <c r="AA5" i="31" a="1"/>
  <c r="AA5" i="31" s="1"/>
  <c r="AH91" i="31"/>
  <c r="Q4" i="32"/>
  <c r="Q5" i="32" a="1"/>
  <c r="Q5" i="32" s="1"/>
  <c r="Q4" i="31"/>
  <c r="Q5" i="31" a="1"/>
  <c r="Q5" i="31" s="1"/>
  <c r="L4" i="31"/>
  <c r="L5" i="31" a="1"/>
  <c r="L5" i="31" s="1"/>
  <c r="AE4" i="32"/>
  <c r="AE5" i="32" a="1"/>
  <c r="AE5" i="32" s="1"/>
  <c r="H4" i="31"/>
  <c r="H5" i="31" a="1"/>
  <c r="H5" i="31" s="1"/>
  <c r="M4" i="31"/>
  <c r="M5" i="31" a="1"/>
  <c r="M5" i="31" s="1"/>
  <c r="R4" i="32"/>
  <c r="R5" i="32" a="1"/>
  <c r="R5" i="32" s="1"/>
  <c r="AF4" i="32"/>
  <c r="AF5" i="32" a="1"/>
  <c r="AF5" i="32" s="1"/>
  <c r="AG4" i="32"/>
  <c r="AG5" i="32" a="1"/>
  <c r="AG5" i="32" s="1"/>
  <c r="I4" i="31"/>
  <c r="I5" i="31" a="1"/>
  <c r="I5" i="31" s="1"/>
  <c r="N4" i="31"/>
  <c r="N5" i="31" a="1"/>
  <c r="N5" i="31" s="1"/>
  <c r="AC4" i="32"/>
  <c r="AC5" i="32" a="1"/>
  <c r="AC5" i="32" s="1"/>
  <c r="K4" i="31"/>
  <c r="K5" i="31" a="1"/>
  <c r="K5" i="31" s="1"/>
  <c r="N4" i="32"/>
  <c r="N5" i="32" a="1"/>
  <c r="N5" i="32" s="1"/>
  <c r="P4" i="32"/>
  <c r="P5" i="32" a="1"/>
  <c r="P5" i="32" s="1"/>
  <c r="AD4" i="32"/>
  <c r="AD5" i="32" a="1"/>
  <c r="AD5" i="32" s="1"/>
  <c r="J4" i="31"/>
  <c r="J5" i="31" a="1"/>
  <c r="J5" i="31" s="1"/>
  <c r="O4" i="32"/>
  <c r="O5" i="32" a="1"/>
  <c r="O5" i="32" s="1"/>
  <c r="AB4" i="32"/>
  <c r="AB5" i="32" a="1"/>
  <c r="AB5" i="32" s="1"/>
  <c r="P4" i="31"/>
  <c r="P5" i="31" a="1"/>
  <c r="P5" i="31" s="1"/>
  <c r="O4" i="31"/>
  <c r="O5" i="31" a="1"/>
  <c r="O5" i="31" s="1"/>
  <c r="T91" i="31"/>
  <c r="O92" i="60"/>
  <c r="O92" i="32" s="1"/>
  <c r="Q92" i="60"/>
  <c r="Q92" i="32" s="1"/>
  <c r="J92" i="60"/>
  <c r="L92" i="60"/>
  <c r="R92" i="60"/>
  <c r="R92" i="32" s="1"/>
  <c r="P92" i="60"/>
  <c r="P92" i="32" s="1"/>
  <c r="M92" i="60"/>
  <c r="H92" i="60"/>
  <c r="Z93" i="60" s="1" a="1"/>
  <c r="Z93" i="60" s="1"/>
  <c r="N92" i="60"/>
  <c r="N92" i="32" s="1"/>
  <c r="K92" i="60"/>
  <c r="I92" i="60"/>
  <c r="AG92" i="32"/>
  <c r="AF92" i="32"/>
  <c r="N18" i="67" l="1"/>
  <c r="O1150" i="79"/>
  <c r="M1150" i="79" s="1"/>
  <c r="Y93" i="60" a="1"/>
  <c r="Y93" i="60" s="1"/>
  <c r="W93" i="60" a="1"/>
  <c r="W93" i="60" s="1"/>
  <c r="AH4" i="31"/>
  <c r="AH5" i="31" a="1"/>
  <c r="AH5" i="31" s="1"/>
  <c r="W92" i="31"/>
  <c r="X92" i="31"/>
  <c r="AC92" i="32"/>
  <c r="AC92" i="31"/>
  <c r="AE92" i="32"/>
  <c r="AE92" i="31"/>
  <c r="Z92" i="31"/>
  <c r="AB92" i="32"/>
  <c r="AB92" i="31"/>
  <c r="Y92" i="31"/>
  <c r="AD92" i="32"/>
  <c r="AD92" i="31"/>
  <c r="V92" i="31"/>
  <c r="AA92" i="31"/>
  <c r="T4" i="31"/>
  <c r="T5" i="31" a="1"/>
  <c r="T5" i="31" s="1"/>
  <c r="L92" i="31"/>
  <c r="N92" i="31"/>
  <c r="O92" i="31"/>
  <c r="P92" i="31"/>
  <c r="I92" i="31"/>
  <c r="X92" i="60"/>
  <c r="J92" i="31"/>
  <c r="K92" i="31"/>
  <c r="Q92" i="31"/>
  <c r="U92" i="60"/>
  <c r="V92" i="60" s="1"/>
  <c r="H92" i="31"/>
  <c r="M92" i="31"/>
  <c r="H93" i="60" a="1"/>
  <c r="I93" i="60" s="1"/>
  <c r="T92" i="60"/>
  <c r="AH92" i="31" l="1"/>
  <c r="Z22" i="65"/>
  <c r="I18" i="67" s="1"/>
  <c r="Z21" i="65"/>
  <c r="H18" i="67" s="1"/>
  <c r="D2" i="65" a="1"/>
  <c r="D2" i="65" s="1"/>
  <c r="T92" i="31"/>
  <c r="Q93" i="60"/>
  <c r="S93" i="60"/>
  <c r="R93" i="60"/>
  <c r="H93" i="60"/>
  <c r="Z94" i="60" s="1" a="1"/>
  <c r="Z94" i="60" s="1"/>
  <c r="N93" i="60"/>
  <c r="K93" i="60"/>
  <c r="M93" i="60"/>
  <c r="P93" i="60"/>
  <c r="L93" i="60"/>
  <c r="J93" i="60"/>
  <c r="X93" i="60" s="1"/>
  <c r="O93" i="60"/>
  <c r="J49" i="67" l="1"/>
  <c r="Y94" i="60" a="1"/>
  <c r="Y94" i="60" s="1"/>
  <c r="W94" i="60" a="1"/>
  <c r="W94" i="60" s="1"/>
  <c r="U93" i="60"/>
  <c r="V93" i="60" s="1"/>
  <c r="M1142" i="79"/>
  <c r="O1135" i="79" a="1"/>
  <c r="O1135" i="79" s="1"/>
  <c r="M1135" i="79" s="1"/>
  <c r="Z36" i="65" s="1" a="1"/>
  <c r="Z36" i="65" s="1"/>
  <c r="K33" i="67" s="1"/>
  <c r="K6" i="67"/>
  <c r="K45" i="67" s="1"/>
  <c r="T93" i="60"/>
  <c r="H94" i="60" a="1"/>
  <c r="P94" i="60" s="1"/>
  <c r="I49" i="67" l="1"/>
  <c r="K18" i="67"/>
  <c r="K49" i="67" s="1"/>
  <c r="M15" i="35"/>
  <c r="K94" i="60"/>
  <c r="J94" i="60"/>
  <c r="X94" i="60" s="1"/>
  <c r="R94" i="60"/>
  <c r="Q94" i="60"/>
  <c r="H94" i="60"/>
  <c r="Z95" i="60" s="1" a="1"/>
  <c r="Z95" i="60" s="1"/>
  <c r="O94" i="60"/>
  <c r="S94" i="60"/>
  <c r="N94" i="60"/>
  <c r="L94" i="60"/>
  <c r="M94" i="60"/>
  <c r="I94" i="60"/>
  <c r="Y95" i="60" l="1" a="1"/>
  <c r="Y95" i="60" s="1"/>
  <c r="W95" i="60" a="1"/>
  <c r="W95" i="60" s="1"/>
  <c r="U94" i="60"/>
  <c r="V94" i="60" s="1"/>
  <c r="M14" i="35"/>
  <c r="M10" i="35"/>
  <c r="M12" i="35"/>
  <c r="M9" i="35"/>
  <c r="M13" i="35"/>
  <c r="M11" i="35"/>
  <c r="M8" i="35"/>
  <c r="P26" i="35"/>
  <c r="P80" i="35"/>
  <c r="P104" i="35"/>
  <c r="P98" i="35"/>
  <c r="P60" i="35"/>
  <c r="P105" i="35"/>
  <c r="P41" i="35"/>
  <c r="P92" i="35"/>
  <c r="P103" i="35"/>
  <c r="P99" i="35"/>
  <c r="P106" i="35"/>
  <c r="P68" i="35"/>
  <c r="P74" i="35"/>
  <c r="P50" i="35"/>
  <c r="P51" i="35"/>
  <c r="P109" i="35"/>
  <c r="P82" i="35"/>
  <c r="P33" i="35"/>
  <c r="P89" i="35"/>
  <c r="P42" i="35"/>
  <c r="P115" i="35"/>
  <c r="P37" i="35"/>
  <c r="P35" i="35"/>
  <c r="P49" i="35"/>
  <c r="P44" i="35"/>
  <c r="P25" i="35"/>
  <c r="P18" i="35"/>
  <c r="P52" i="35"/>
  <c r="P24" i="35"/>
  <c r="P59" i="35"/>
  <c r="P114" i="35"/>
  <c r="P23" i="35"/>
  <c r="P76" i="35"/>
  <c r="P61" i="35"/>
  <c r="P34" i="35"/>
  <c r="P81" i="35"/>
  <c r="P27" i="35"/>
  <c r="P15" i="35"/>
  <c r="P65" i="35"/>
  <c r="P47" i="35"/>
  <c r="P56" i="35"/>
  <c r="P69" i="35"/>
  <c r="P46" i="35"/>
  <c r="P75" i="35"/>
  <c r="P77" i="35"/>
  <c r="P88" i="35"/>
  <c r="P79" i="35"/>
  <c r="P107" i="35"/>
  <c r="P30" i="35"/>
  <c r="P85" i="35"/>
  <c r="P83" i="35"/>
  <c r="P108" i="35"/>
  <c r="P84" i="35"/>
  <c r="P113" i="35"/>
  <c r="P48" i="35"/>
  <c r="P45" i="35"/>
  <c r="P17" i="35"/>
  <c r="P111" i="35"/>
  <c r="P54" i="35"/>
  <c r="P31" i="35"/>
  <c r="P43" i="35"/>
  <c r="P29" i="35"/>
  <c r="P64" i="35"/>
  <c r="P38" i="35"/>
  <c r="P57" i="35"/>
  <c r="P86" i="35"/>
  <c r="P72" i="35"/>
  <c r="P16" i="35"/>
  <c r="P93" i="35"/>
  <c r="P36" i="35"/>
  <c r="P39" i="35"/>
  <c r="P110" i="35"/>
  <c r="P94" i="35"/>
  <c r="P53" i="35"/>
  <c r="P66" i="35"/>
  <c r="P95" i="35"/>
  <c r="P102" i="35"/>
  <c r="P19" i="35"/>
  <c r="P112" i="35"/>
  <c r="P62" i="35"/>
  <c r="P70" i="35"/>
  <c r="P73" i="35"/>
  <c r="P58" i="35"/>
  <c r="P63" i="35"/>
  <c r="P97" i="35"/>
  <c r="P100" i="35"/>
  <c r="P40" i="35"/>
  <c r="P78" i="35"/>
  <c r="P101" i="35"/>
  <c r="P90" i="35"/>
  <c r="P55" i="35"/>
  <c r="P22" i="35"/>
  <c r="P87" i="35"/>
  <c r="P67" i="35"/>
  <c r="P20" i="35"/>
  <c r="P71" i="35"/>
  <c r="P28" i="35"/>
  <c r="P21" i="35"/>
  <c r="P96" i="35"/>
  <c r="P91" i="35"/>
  <c r="P32" i="35"/>
  <c r="O95" i="35"/>
  <c r="O29" i="35"/>
  <c r="O62" i="35"/>
  <c r="O103" i="35"/>
  <c r="O73" i="35"/>
  <c r="O25" i="35"/>
  <c r="O83" i="35"/>
  <c r="O77" i="35"/>
  <c r="O46" i="35"/>
  <c r="O105" i="35"/>
  <c r="O85" i="35"/>
  <c r="O54" i="35"/>
  <c r="O69" i="35"/>
  <c r="O66" i="35"/>
  <c r="O74" i="35"/>
  <c r="O81" i="35"/>
  <c r="O114" i="35"/>
  <c r="O100" i="35"/>
  <c r="O80" i="35"/>
  <c r="O70" i="35"/>
  <c r="O48" i="35"/>
  <c r="O42" i="35"/>
  <c r="O113" i="35"/>
  <c r="O34" i="35"/>
  <c r="O65" i="35"/>
  <c r="O41" i="35"/>
  <c r="O35" i="35"/>
  <c r="O28" i="35"/>
  <c r="O115" i="35"/>
  <c r="O44" i="35"/>
  <c r="O15" i="35"/>
  <c r="O47" i="35"/>
  <c r="O110" i="35"/>
  <c r="O112" i="35"/>
  <c r="O98" i="35"/>
  <c r="O37" i="35"/>
  <c r="O67" i="35"/>
  <c r="O106" i="35"/>
  <c r="O76" i="35"/>
  <c r="O111" i="35"/>
  <c r="O19" i="35"/>
  <c r="O86" i="35"/>
  <c r="O27" i="35"/>
  <c r="O18" i="35"/>
  <c r="O71" i="35"/>
  <c r="O55" i="35"/>
  <c r="O30" i="35"/>
  <c r="O43" i="35"/>
  <c r="O64" i="35"/>
  <c r="O91" i="35"/>
  <c r="O102" i="35"/>
  <c r="O109" i="35"/>
  <c r="O26" i="35"/>
  <c r="O33" i="35"/>
  <c r="O16" i="35"/>
  <c r="O45" i="35"/>
  <c r="O40" i="35"/>
  <c r="O59" i="35"/>
  <c r="O23" i="35"/>
  <c r="O17" i="35"/>
  <c r="O93" i="35"/>
  <c r="O68" i="35"/>
  <c r="O21" i="35"/>
  <c r="O60" i="35"/>
  <c r="O99" i="35"/>
  <c r="O32" i="35"/>
  <c r="O63" i="35"/>
  <c r="O24" i="35"/>
  <c r="O82" i="35"/>
  <c r="O108" i="35"/>
  <c r="O22" i="35"/>
  <c r="O61" i="35"/>
  <c r="O89" i="35"/>
  <c r="O92" i="35"/>
  <c r="O88" i="35"/>
  <c r="O107" i="35"/>
  <c r="O31" i="35"/>
  <c r="O57" i="35"/>
  <c r="O79" i="35"/>
  <c r="O96" i="35"/>
  <c r="O39" i="35"/>
  <c r="O52" i="35"/>
  <c r="O94" i="35"/>
  <c r="O20" i="35"/>
  <c r="O56" i="35"/>
  <c r="O36" i="35"/>
  <c r="O101" i="35"/>
  <c r="O58" i="35"/>
  <c r="O53" i="35"/>
  <c r="O97" i="35"/>
  <c r="O90" i="35"/>
  <c r="O50" i="35"/>
  <c r="O75" i="35"/>
  <c r="O87" i="35"/>
  <c r="O51" i="35"/>
  <c r="O49" i="35"/>
  <c r="O104" i="35"/>
  <c r="O84" i="35"/>
  <c r="O78" i="35"/>
  <c r="O38" i="35"/>
  <c r="O72" i="35"/>
  <c r="T94" i="60"/>
  <c r="H95" i="60" a="1"/>
  <c r="M95" i="60" s="1"/>
  <c r="J95" i="60" l="1"/>
  <c r="X95" i="60" s="1"/>
  <c r="N95" i="60"/>
  <c r="O95" i="60"/>
  <c r="R95" i="60"/>
  <c r="P95" i="60"/>
  <c r="Q95" i="60"/>
  <c r="H95" i="60"/>
  <c r="Z96" i="60" s="1" a="1"/>
  <c r="Z96" i="60" s="1"/>
  <c r="L95" i="60"/>
  <c r="S95" i="60"/>
  <c r="I95" i="60"/>
  <c r="K95" i="60"/>
  <c r="Y96" i="60" l="1" a="1"/>
  <c r="Y96" i="60" s="1"/>
  <c r="W96" i="60" a="1"/>
  <c r="W96" i="60" s="1"/>
  <c r="U95" i="60"/>
  <c r="V95" i="60" s="1"/>
  <c r="T95" i="60"/>
  <c r="H96" i="60" a="1"/>
  <c r="L96" i="60" s="1"/>
  <c r="R96" i="60" l="1"/>
  <c r="M96" i="60"/>
  <c r="H96" i="60"/>
  <c r="Z97" i="60" s="1" a="1"/>
  <c r="Z97" i="60" s="1"/>
  <c r="K96" i="60"/>
  <c r="J96" i="60"/>
  <c r="X96" i="60" s="1"/>
  <c r="P96" i="60"/>
  <c r="I96" i="60"/>
  <c r="O96" i="60"/>
  <c r="Q96" i="60"/>
  <c r="N96" i="60"/>
  <c r="S96" i="60"/>
  <c r="Y97" i="60" l="1" a="1"/>
  <c r="Y97" i="60" s="1"/>
  <c r="W97" i="60" a="1"/>
  <c r="W97" i="60" s="1"/>
  <c r="U96" i="60"/>
  <c r="V96" i="60" s="1"/>
  <c r="H97" i="60" a="1"/>
  <c r="P97" i="60" s="1"/>
  <c r="T96" i="60"/>
  <c r="N97" i="60" l="1"/>
  <c r="H97" i="60"/>
  <c r="Z98" i="60" s="1" a="1"/>
  <c r="Z98" i="60" s="1"/>
  <c r="O97" i="60"/>
  <c r="M97" i="60"/>
  <c r="K97" i="60"/>
  <c r="J97" i="60"/>
  <c r="X97" i="60" s="1"/>
  <c r="Q97" i="60"/>
  <c r="I97" i="60"/>
  <c r="R97" i="60"/>
  <c r="S97" i="60"/>
  <c r="L97" i="60"/>
  <c r="Y98" i="60" l="1" a="1"/>
  <c r="Y98" i="60" s="1"/>
  <c r="W98" i="60" a="1"/>
  <c r="W98" i="60" s="1"/>
  <c r="U97" i="60"/>
  <c r="V97" i="60" s="1"/>
  <c r="T97" i="60"/>
  <c r="H98" i="60" a="1"/>
  <c r="O98" i="60" s="1"/>
  <c r="Q98" i="60" l="1"/>
  <c r="N98" i="60"/>
  <c r="L98" i="60"/>
  <c r="K98" i="60"/>
  <c r="P98" i="60"/>
  <c r="R98" i="60"/>
  <c r="H98" i="60"/>
  <c r="Z99" i="60" s="1" a="1"/>
  <c r="Z99" i="60" s="1"/>
  <c r="I98" i="60"/>
  <c r="J98" i="60"/>
  <c r="X98" i="60" s="1"/>
  <c r="S98" i="60"/>
  <c r="M98" i="60"/>
  <c r="Y99" i="60" l="1" a="1"/>
  <c r="Y99" i="60" s="1"/>
  <c r="W99" i="60" a="1"/>
  <c r="W99" i="60" s="1"/>
  <c r="U98" i="60"/>
  <c r="V98" i="60" s="1"/>
  <c r="T98" i="60"/>
  <c r="H99" i="60" a="1"/>
  <c r="P99" i="60" s="1"/>
  <c r="H99" i="60" l="1"/>
  <c r="Z100" i="60" s="1" a="1"/>
  <c r="Z100" i="60" s="1"/>
  <c r="O99" i="60"/>
  <c r="Q99" i="60"/>
  <c r="M99" i="60"/>
  <c r="K99" i="60"/>
  <c r="S99" i="60"/>
  <c r="J99" i="60"/>
  <c r="X99" i="60" s="1"/>
  <c r="N99" i="60"/>
  <c r="R99" i="60"/>
  <c r="L99" i="60"/>
  <c r="I99" i="60"/>
  <c r="Y100" i="60" l="1" a="1"/>
  <c r="Y100" i="60" s="1"/>
  <c r="W100" i="60" a="1"/>
  <c r="W100" i="60" s="1"/>
  <c r="U99" i="60"/>
  <c r="V99" i="60" s="1"/>
  <c r="T99" i="60"/>
  <c r="H100" i="60" a="1"/>
  <c r="H100" i="60" s="1"/>
  <c r="Z101" i="60" s="1" a="1"/>
  <c r="Z101" i="60" s="1"/>
  <c r="Y101" i="60" l="1" a="1"/>
  <c r="Y101" i="60" s="1"/>
  <c r="W101" i="60" a="1"/>
  <c r="W101" i="60" s="1"/>
  <c r="U100" i="60"/>
  <c r="V100" i="60" s="1"/>
  <c r="S100" i="60"/>
  <c r="O100" i="60"/>
  <c r="P100" i="60"/>
  <c r="K100" i="60"/>
  <c r="L100" i="60"/>
  <c r="Q100" i="60"/>
  <c r="J100" i="60"/>
  <c r="X100" i="60" s="1"/>
  <c r="M100" i="60"/>
  <c r="R100" i="60"/>
  <c r="N100" i="60"/>
  <c r="I100" i="60"/>
  <c r="H101" i="60" a="1"/>
  <c r="T100" i="60"/>
  <c r="I101" i="60" l="1"/>
  <c r="Q101" i="60"/>
  <c r="H101" i="60"/>
  <c r="Z102" i="60" s="1" a="1"/>
  <c r="Z102" i="60" s="1"/>
  <c r="R101" i="60"/>
  <c r="K101" i="60"/>
  <c r="N101" i="60"/>
  <c r="M101" i="60"/>
  <c r="O101" i="60"/>
  <c r="J101" i="60"/>
  <c r="X101" i="60" s="1"/>
  <c r="L101" i="60"/>
  <c r="P101" i="60"/>
  <c r="S101" i="60"/>
  <c r="Y102" i="60" l="1" a="1"/>
  <c r="Y102" i="60" s="1"/>
  <c r="W102" i="60" a="1"/>
  <c r="W102" i="60" s="1"/>
  <c r="U101" i="60"/>
  <c r="V101" i="60" s="1"/>
  <c r="H102" i="60" a="1"/>
  <c r="T101" i="60"/>
  <c r="O102" i="60" l="1"/>
  <c r="N102" i="60"/>
  <c r="S102" i="60"/>
  <c r="R102" i="60"/>
  <c r="M102" i="60"/>
  <c r="Q102" i="60"/>
  <c r="H102" i="60"/>
  <c r="Z103" i="60" s="1" a="1"/>
  <c r="Z103" i="60" s="1"/>
  <c r="P102" i="60"/>
  <c r="J102" i="60"/>
  <c r="X102" i="60" s="1"/>
  <c r="K102" i="60"/>
  <c r="I102" i="60"/>
  <c r="L102" i="60"/>
  <c r="Y103" i="60" l="1" a="1"/>
  <c r="Y103" i="60" s="1"/>
  <c r="W103" i="60" a="1"/>
  <c r="W103" i="60" s="1"/>
  <c r="U102" i="60"/>
  <c r="V102" i="60" s="1"/>
  <c r="H103" i="60" a="1"/>
  <c r="T102" i="60"/>
  <c r="I103" i="60" l="1"/>
  <c r="J103" i="60"/>
  <c r="X103" i="60" s="1"/>
  <c r="N103" i="60"/>
  <c r="L103" i="60"/>
  <c r="S103" i="60"/>
  <c r="P103" i="60"/>
  <c r="R103" i="60"/>
  <c r="K103" i="60"/>
  <c r="H103" i="60"/>
  <c r="Z104" i="60" s="1" a="1"/>
  <c r="Z104" i="60" s="1"/>
  <c r="O103" i="60"/>
  <c r="M103" i="60"/>
  <c r="Q103" i="60"/>
  <c r="Y104" i="60" l="1" a="1"/>
  <c r="Y104" i="60" s="1"/>
  <c r="W104" i="60" a="1"/>
  <c r="W104" i="60" s="1"/>
  <c r="U103" i="60"/>
  <c r="V103" i="60" s="1"/>
  <c r="H104" i="60" a="1"/>
  <c r="T103" i="60"/>
  <c r="K104" i="60" l="1"/>
  <c r="L104" i="60"/>
  <c r="O104" i="60"/>
  <c r="Q104" i="60"/>
  <c r="N104" i="60"/>
  <c r="M104" i="60"/>
  <c r="J104" i="60"/>
  <c r="X104" i="60" s="1"/>
  <c r="H104" i="60"/>
  <c r="Z105" i="60" s="1" a="1"/>
  <c r="Z105" i="60" s="1"/>
  <c r="P104" i="60"/>
  <c r="S104" i="60"/>
  <c r="I104" i="60"/>
  <c r="R104" i="60"/>
  <c r="Y105" i="60" l="1" a="1"/>
  <c r="Y105" i="60" s="1"/>
  <c r="W105" i="60" a="1"/>
  <c r="W105" i="60" s="1"/>
  <c r="U104" i="60"/>
  <c r="V104" i="60" s="1"/>
  <c r="H105" i="60" a="1"/>
  <c r="T104" i="60"/>
  <c r="O105" i="60" l="1"/>
  <c r="P105" i="60"/>
  <c r="N105" i="60"/>
  <c r="L105" i="60"/>
  <c r="Q105" i="60"/>
  <c r="M105" i="60"/>
  <c r="K105" i="60"/>
  <c r="I105" i="60"/>
  <c r="H105" i="60"/>
  <c r="Z106" i="60" s="1" a="1"/>
  <c r="Z106" i="60" s="1"/>
  <c r="J105" i="60"/>
  <c r="X105" i="60" s="1"/>
  <c r="R105" i="60"/>
  <c r="S105" i="60"/>
  <c r="Y106" i="60" l="1" a="1"/>
  <c r="Y106" i="60" s="1"/>
  <c r="W106" i="60" a="1"/>
  <c r="W106" i="60" s="1"/>
  <c r="U105" i="60"/>
  <c r="V105" i="60" s="1"/>
  <c r="H106" i="60" a="1"/>
  <c r="T105" i="60"/>
  <c r="H106" i="60" l="1"/>
  <c r="Z107" i="60" s="1" a="1"/>
  <c r="Z107" i="60" s="1"/>
  <c r="K106" i="60"/>
  <c r="P106" i="60"/>
  <c r="Q106" i="60"/>
  <c r="M106" i="60"/>
  <c r="S106" i="60"/>
  <c r="O106" i="60"/>
  <c r="N106" i="60"/>
  <c r="I106" i="60"/>
  <c r="R106" i="60"/>
  <c r="L106" i="60"/>
  <c r="J106" i="60"/>
  <c r="X106" i="60" s="1"/>
  <c r="Y107" i="60" l="1" a="1"/>
  <c r="Y107" i="60" s="1"/>
  <c r="W107" i="60" a="1"/>
  <c r="W107" i="60" s="1"/>
  <c r="U106" i="60"/>
  <c r="V106" i="60" s="1"/>
  <c r="H107" i="60" a="1"/>
  <c r="T106" i="60"/>
  <c r="Q107" i="60" l="1"/>
  <c r="P107" i="60"/>
  <c r="H107" i="60"/>
  <c r="Z108" i="60" s="1" a="1"/>
  <c r="Z108" i="60" s="1"/>
  <c r="O107" i="60"/>
  <c r="K107" i="60"/>
  <c r="M107" i="60"/>
  <c r="L107" i="60"/>
  <c r="S107" i="60"/>
  <c r="R107" i="60"/>
  <c r="N107" i="60"/>
  <c r="I107" i="60"/>
  <c r="J107" i="60"/>
  <c r="X107" i="60" s="1"/>
  <c r="Y108" i="60" l="1" a="1"/>
  <c r="Y108" i="60" s="1"/>
  <c r="W108" i="60" a="1"/>
  <c r="W108" i="60" s="1"/>
  <c r="U107" i="60"/>
  <c r="H108" i="60" a="1"/>
  <c r="T107" i="60"/>
  <c r="V107" i="60" l="1"/>
  <c r="H108" i="60"/>
  <c r="Z109" i="60" s="1" a="1"/>
  <c r="Z109" i="60" s="1"/>
  <c r="S108" i="60"/>
  <c r="M108" i="60"/>
  <c r="K108" i="60"/>
  <c r="R108" i="60"/>
  <c r="N108" i="60"/>
  <c r="J108" i="60"/>
  <c r="X108" i="60" s="1"/>
  <c r="Q108" i="60"/>
  <c r="O108" i="60"/>
  <c r="L108" i="60"/>
  <c r="I108" i="60"/>
  <c r="P108" i="60"/>
  <c r="Y109" i="60" l="1" a="1"/>
  <c r="Y109" i="60" s="1"/>
  <c r="W109" i="60" a="1"/>
  <c r="W109" i="60" s="1"/>
  <c r="U108" i="60"/>
  <c r="V108" i="60" s="1"/>
  <c r="H109" i="60" a="1"/>
  <c r="T108" i="60"/>
  <c r="R109" i="60" l="1"/>
  <c r="L109" i="60"/>
  <c r="S109" i="60"/>
  <c r="Q109" i="60"/>
  <c r="J109" i="60"/>
  <c r="X109" i="60" s="1"/>
  <c r="N109" i="60"/>
  <c r="O109" i="60"/>
  <c r="M109" i="60"/>
  <c r="K109" i="60"/>
  <c r="P109" i="60"/>
  <c r="H109" i="60"/>
  <c r="Z110" i="60" s="1" a="1"/>
  <c r="Z110" i="60" s="1"/>
  <c r="I109" i="60"/>
  <c r="Y110" i="60" l="1" a="1"/>
  <c r="Y110" i="60" s="1"/>
  <c r="W110" i="60" a="1"/>
  <c r="W110" i="60" s="1"/>
  <c r="U109" i="60"/>
  <c r="H110" i="60" a="1"/>
  <c r="T109" i="60"/>
  <c r="V109" i="60" l="1"/>
  <c r="P110" i="60"/>
  <c r="S110" i="60"/>
  <c r="I110" i="60"/>
  <c r="Q110" i="60"/>
  <c r="M110" i="60"/>
  <c r="N110" i="60"/>
  <c r="K110" i="60"/>
  <c r="L110" i="60"/>
  <c r="R110" i="60"/>
  <c r="J110" i="60"/>
  <c r="X110" i="60" s="1"/>
  <c r="O110" i="60"/>
  <c r="H110" i="60"/>
  <c r="Z111" i="60" s="1" a="1"/>
  <c r="Z111" i="60" s="1"/>
  <c r="Y111" i="60" l="1" a="1"/>
  <c r="Y111" i="60" s="1"/>
  <c r="W111" i="60" a="1"/>
  <c r="W111" i="60" s="1"/>
  <c r="U110" i="60"/>
  <c r="V110" i="60" s="1"/>
  <c r="H111" i="60" a="1"/>
  <c r="T110" i="60"/>
  <c r="Q111" i="60" l="1"/>
  <c r="M111" i="60"/>
  <c r="K111" i="60"/>
  <c r="P111" i="60"/>
  <c r="R111" i="60"/>
  <c r="H111" i="60"/>
  <c r="Z112" i="60" s="1" a="1"/>
  <c r="Z112" i="60" s="1"/>
  <c r="O111" i="60"/>
  <c r="I111" i="60"/>
  <c r="J111" i="60"/>
  <c r="X111" i="60" s="1"/>
  <c r="L111" i="60"/>
  <c r="S111" i="60"/>
  <c r="N111" i="60"/>
  <c r="Y112" i="60" l="1" a="1"/>
  <c r="Y112" i="60" s="1"/>
  <c r="W112" i="60" a="1"/>
  <c r="W112" i="60" s="1"/>
  <c r="U111" i="60"/>
  <c r="V111" i="60" s="1"/>
  <c r="H112" i="60" a="1"/>
  <c r="T111" i="60"/>
  <c r="L112" i="60" l="1"/>
  <c r="P112" i="60"/>
  <c r="R112" i="60"/>
  <c r="J112" i="60"/>
  <c r="X112" i="60" s="1"/>
  <c r="N112" i="60"/>
  <c r="K112" i="60"/>
  <c r="O112" i="60"/>
  <c r="M112" i="60"/>
  <c r="Q112" i="60"/>
  <c r="S112" i="60"/>
  <c r="H112" i="60"/>
  <c r="Z113" i="60" s="1" a="1"/>
  <c r="Z113" i="60" s="1"/>
  <c r="I112" i="60"/>
  <c r="Y113" i="60" l="1" a="1"/>
  <c r="Y113" i="60" s="1"/>
  <c r="W113" i="60" a="1"/>
  <c r="W113" i="60" s="1"/>
  <c r="U112" i="60"/>
  <c r="V112" i="60" s="1"/>
  <c r="H113" i="60" a="1"/>
  <c r="T112" i="60"/>
  <c r="L113" i="60" l="1"/>
  <c r="M113" i="60"/>
  <c r="S113" i="60"/>
  <c r="K113" i="60"/>
  <c r="N113" i="60"/>
  <c r="R113" i="60"/>
  <c r="Q113" i="60"/>
  <c r="P113" i="60"/>
  <c r="J113" i="60"/>
  <c r="X113" i="60" s="1"/>
  <c r="H113" i="60"/>
  <c r="Z114" i="60" s="1" a="1"/>
  <c r="Z114" i="60" s="1"/>
  <c r="O113" i="60"/>
  <c r="I113" i="60"/>
  <c r="Y114" i="60" l="1" a="1"/>
  <c r="Y114" i="60" s="1"/>
  <c r="W114" i="60" a="1"/>
  <c r="W114" i="60" s="1"/>
  <c r="U113" i="60"/>
  <c r="V113" i="60" s="1"/>
  <c r="H114" i="60" a="1"/>
  <c r="T113" i="60"/>
  <c r="P114" i="60" l="1"/>
  <c r="Q114" i="60"/>
  <c r="H114" i="60"/>
  <c r="Z115" i="60" s="1" a="1"/>
  <c r="Z115" i="60" s="1"/>
  <c r="M114" i="60"/>
  <c r="S114" i="60"/>
  <c r="K114" i="60"/>
  <c r="R114" i="60"/>
  <c r="N114" i="60"/>
  <c r="O114" i="60"/>
  <c r="J114" i="60"/>
  <c r="X114" i="60" s="1"/>
  <c r="I114" i="60"/>
  <c r="L114" i="60"/>
  <c r="Y115" i="60" l="1" a="1"/>
  <c r="Y115" i="60" s="1"/>
  <c r="W115" i="60" a="1"/>
  <c r="W115" i="60" s="1"/>
  <c r="U114" i="60"/>
  <c r="H115" i="60" a="1"/>
  <c r="T114" i="60"/>
  <c r="V114" i="60" l="1"/>
  <c r="M115" i="60"/>
  <c r="K115" i="60"/>
  <c r="L115" i="60"/>
  <c r="P115" i="60"/>
  <c r="I115" i="60"/>
  <c r="Q115" i="60"/>
  <c r="O115" i="60"/>
  <c r="N115" i="60"/>
  <c r="R115" i="60"/>
  <c r="H115" i="60"/>
  <c r="Z116" i="60" s="1" a="1"/>
  <c r="Z116" i="60" s="1"/>
  <c r="J115" i="60"/>
  <c r="X115" i="60" s="1"/>
  <c r="S115" i="60"/>
  <c r="Y116" i="60" l="1" a="1"/>
  <c r="Y116" i="60" s="1"/>
  <c r="W116" i="60" a="1"/>
  <c r="W116" i="60" s="1"/>
  <c r="U115" i="60"/>
  <c r="H116" i="60" a="1"/>
  <c r="T115" i="60"/>
  <c r="V115" i="60" l="1"/>
  <c r="O116" i="60"/>
  <c r="I116" i="60"/>
  <c r="K116" i="60"/>
  <c r="P116" i="60"/>
  <c r="R116" i="60"/>
  <c r="S116" i="60"/>
  <c r="N116" i="60"/>
  <c r="H116" i="60"/>
  <c r="Z117" i="60" s="1" a="1"/>
  <c r="Z117" i="60" s="1"/>
  <c r="Q116" i="60"/>
  <c r="L116" i="60"/>
  <c r="J116" i="60"/>
  <c r="X116" i="60" s="1"/>
  <c r="M116" i="60"/>
  <c r="Y117" i="60" l="1" a="1"/>
  <c r="Y117" i="60" s="1"/>
  <c r="W117" i="60" a="1"/>
  <c r="W117" i="60" s="1"/>
  <c r="U116" i="60"/>
  <c r="V116" i="60" s="1"/>
  <c r="H117" i="60" a="1"/>
  <c r="T116" i="60"/>
  <c r="R117" i="60" l="1"/>
  <c r="I117" i="60"/>
  <c r="J117" i="60"/>
  <c r="X117" i="60" s="1"/>
  <c r="S117" i="60"/>
  <c r="L117" i="60"/>
  <c r="M117" i="60"/>
  <c r="N117" i="60"/>
  <c r="K117" i="60"/>
  <c r="Q117" i="60"/>
  <c r="O117" i="60"/>
  <c r="H117" i="60"/>
  <c r="Z118" i="60" s="1" a="1"/>
  <c r="Z118" i="60" s="1"/>
  <c r="P117" i="60"/>
  <c r="Y118" i="60" l="1" a="1"/>
  <c r="Y118" i="60" s="1"/>
  <c r="W118" i="60" a="1"/>
  <c r="W118" i="60" s="1"/>
  <c r="U117" i="60"/>
  <c r="H118" i="60" a="1"/>
  <c r="T117" i="60"/>
  <c r="V117" i="60" l="1"/>
  <c r="O118" i="60"/>
  <c r="R118" i="60"/>
  <c r="I118" i="60"/>
  <c r="L118" i="60"/>
  <c r="S118" i="60"/>
  <c r="Q118" i="60"/>
  <c r="M118" i="60"/>
  <c r="N118" i="60"/>
  <c r="P118" i="60"/>
  <c r="K118" i="60"/>
  <c r="H118" i="60"/>
  <c r="Z119" i="60" s="1" a="1"/>
  <c r="Z119" i="60" s="1"/>
  <c r="J118" i="60"/>
  <c r="X118" i="60" s="1"/>
  <c r="Y119" i="60" l="1" a="1"/>
  <c r="Y119" i="60" s="1"/>
  <c r="W119" i="60" a="1"/>
  <c r="W119" i="60" s="1"/>
  <c r="U118" i="60"/>
  <c r="V118" i="60" s="1"/>
  <c r="H119" i="60" a="1"/>
  <c r="T118" i="60"/>
  <c r="K119" i="60" l="1"/>
  <c r="I119" i="60"/>
  <c r="P119" i="60"/>
  <c r="L119" i="60"/>
  <c r="S119" i="60"/>
  <c r="N119" i="60"/>
  <c r="Q119" i="60"/>
  <c r="M119" i="60"/>
  <c r="J119" i="60"/>
  <c r="X119" i="60" s="1"/>
  <c r="O119" i="60"/>
  <c r="R119" i="60"/>
  <c r="H119" i="60"/>
  <c r="Z120" i="60" s="1" a="1"/>
  <c r="Z120" i="60" s="1"/>
  <c r="Y120" i="60" l="1" a="1"/>
  <c r="Y120" i="60" s="1"/>
  <c r="W120" i="60" a="1"/>
  <c r="W120" i="60" s="1"/>
  <c r="U119" i="60"/>
  <c r="H120" i="60" a="1"/>
  <c r="T119" i="60"/>
  <c r="V119" i="60" l="1"/>
  <c r="I120" i="60"/>
  <c r="Q120" i="60"/>
  <c r="K120" i="60"/>
  <c r="L120" i="60"/>
  <c r="P120" i="60"/>
  <c r="H120" i="60"/>
  <c r="Z121" i="60" s="1" a="1"/>
  <c r="Z121" i="60" s="1"/>
  <c r="S120" i="60"/>
  <c r="J120" i="60"/>
  <c r="X120" i="60" s="1"/>
  <c r="R120" i="60"/>
  <c r="O120" i="60"/>
  <c r="M120" i="60"/>
  <c r="N120" i="60"/>
  <c r="Y121" i="60" l="1" a="1"/>
  <c r="Y121" i="60" s="1"/>
  <c r="W121" i="60" a="1"/>
  <c r="W121" i="60" s="1"/>
  <c r="U120" i="60"/>
  <c r="H121" i="60" a="1"/>
  <c r="T120" i="60"/>
  <c r="V120" i="60" l="1"/>
  <c r="N121" i="60"/>
  <c r="O121" i="60"/>
  <c r="R121" i="60"/>
  <c r="L121" i="60"/>
  <c r="H121" i="60"/>
  <c r="Z122" i="60" s="1" a="1"/>
  <c r="Z122" i="60" s="1"/>
  <c r="S121" i="60"/>
  <c r="Q121" i="60"/>
  <c r="J121" i="60"/>
  <c r="X121" i="60" s="1"/>
  <c r="K121" i="60"/>
  <c r="P121" i="60"/>
  <c r="M121" i="60"/>
  <c r="I121" i="60"/>
  <c r="Y122" i="60" l="1" a="1"/>
  <c r="Y122" i="60" s="1"/>
  <c r="W122" i="60" a="1"/>
  <c r="W122" i="60" s="1"/>
  <c r="U121" i="60"/>
  <c r="V121" i="60" s="1"/>
  <c r="H122" i="60" a="1"/>
  <c r="T121" i="60"/>
  <c r="O122" i="60" l="1"/>
  <c r="H122" i="60"/>
  <c r="Z123" i="60" s="1" a="1"/>
  <c r="Z123" i="60" s="1"/>
  <c r="I122" i="60"/>
  <c r="S122" i="60"/>
  <c r="L122" i="60"/>
  <c r="N122" i="60"/>
  <c r="K122" i="60"/>
  <c r="R122" i="60"/>
  <c r="J122" i="60"/>
  <c r="X122" i="60" s="1"/>
  <c r="P122" i="60"/>
  <c r="Q122" i="60"/>
  <c r="M122" i="60"/>
  <c r="Y123" i="60" l="1" a="1"/>
  <c r="Y123" i="60" s="1"/>
  <c r="W123" i="60" a="1"/>
  <c r="W123" i="60" s="1"/>
  <c r="U122" i="60"/>
  <c r="V122" i="60" s="1"/>
  <c r="H123" i="60" a="1"/>
  <c r="T122" i="60"/>
  <c r="K123" i="60" l="1"/>
  <c r="J123" i="60"/>
  <c r="X123" i="60" s="1"/>
  <c r="P123" i="60"/>
  <c r="N123" i="60"/>
  <c r="S123" i="60"/>
  <c r="M123" i="60"/>
  <c r="Q123" i="60"/>
  <c r="R123" i="60"/>
  <c r="H123" i="60"/>
  <c r="Z124" i="60" s="1" a="1"/>
  <c r="Z124" i="60" s="1"/>
  <c r="O123" i="60"/>
  <c r="I123" i="60"/>
  <c r="L123" i="60"/>
  <c r="Y124" i="60" l="1" a="1"/>
  <c r="Y124" i="60" s="1"/>
  <c r="W124" i="60" a="1"/>
  <c r="W124" i="60" s="1"/>
  <c r="U123" i="60"/>
  <c r="H124" i="60" a="1"/>
  <c r="T123" i="60"/>
  <c r="V123" i="60" l="1"/>
  <c r="Q124" i="60"/>
  <c r="R124" i="60"/>
  <c r="P124" i="60"/>
  <c r="K124" i="60"/>
  <c r="I124" i="60"/>
  <c r="N124" i="60"/>
  <c r="H124" i="60"/>
  <c r="Z125" i="60" s="1" a="1"/>
  <c r="Z125" i="60" s="1"/>
  <c r="O124" i="60"/>
  <c r="M124" i="60"/>
  <c r="S124" i="60"/>
  <c r="J124" i="60"/>
  <c r="X124" i="60" s="1"/>
  <c r="L124" i="60"/>
  <c r="Y125" i="60" l="1" a="1"/>
  <c r="Y125" i="60" s="1"/>
  <c r="W125" i="60" a="1"/>
  <c r="W125" i="60" s="1"/>
  <c r="U124" i="60"/>
  <c r="V124" i="60" s="1"/>
  <c r="H125" i="60" a="1"/>
  <c r="T124" i="60"/>
  <c r="N125" i="60" l="1"/>
  <c r="R125" i="60"/>
  <c r="K125" i="60"/>
  <c r="P125" i="60"/>
  <c r="S125" i="60"/>
  <c r="I125" i="60"/>
  <c r="H125" i="60"/>
  <c r="Z126" i="60" s="1" a="1"/>
  <c r="Z126" i="60" s="1"/>
  <c r="J125" i="60"/>
  <c r="X125" i="60" s="1"/>
  <c r="L125" i="60"/>
  <c r="O125" i="60"/>
  <c r="Q125" i="60"/>
  <c r="M125" i="60"/>
  <c r="Y126" i="60" l="1" a="1"/>
  <c r="Y126" i="60" s="1"/>
  <c r="W126" i="60" a="1"/>
  <c r="W126" i="60" s="1"/>
  <c r="U125" i="60"/>
  <c r="H126" i="60" a="1"/>
  <c r="T125" i="60"/>
  <c r="V125" i="60" l="1"/>
  <c r="O126" i="60"/>
  <c r="R126" i="60"/>
  <c r="K126" i="60"/>
  <c r="L126" i="60"/>
  <c r="N126" i="60"/>
  <c r="I126" i="60"/>
  <c r="S126" i="60"/>
  <c r="P126" i="60"/>
  <c r="Q126" i="60"/>
  <c r="M126" i="60"/>
  <c r="H126" i="60"/>
  <c r="Z127" i="60" s="1" a="1"/>
  <c r="Z127" i="60" s="1"/>
  <c r="J126" i="60"/>
  <c r="X126" i="60" s="1"/>
  <c r="Y127" i="60" l="1" a="1"/>
  <c r="Y127" i="60" s="1"/>
  <c r="W127" i="60" a="1"/>
  <c r="W127" i="60" s="1"/>
  <c r="U126" i="60"/>
  <c r="V126" i="60" s="1"/>
  <c r="H127" i="60" a="1"/>
  <c r="T126" i="60"/>
  <c r="J127" i="60" l="1"/>
  <c r="X127" i="60" s="1"/>
  <c r="L127" i="60"/>
  <c r="P127" i="60"/>
  <c r="O127" i="60"/>
  <c r="K127" i="60"/>
  <c r="Q127" i="60"/>
  <c r="H127" i="60"/>
  <c r="Z128" i="60" s="1" a="1"/>
  <c r="Z128" i="60" s="1"/>
  <c r="S127" i="60"/>
  <c r="I127" i="60"/>
  <c r="N127" i="60"/>
  <c r="M127" i="60"/>
  <c r="R127" i="60"/>
  <c r="Y128" i="60" l="1" a="1"/>
  <c r="Y128" i="60" s="1"/>
  <c r="W128" i="60" a="1"/>
  <c r="W128" i="60" s="1"/>
  <c r="U127" i="60"/>
  <c r="V127" i="60" s="1"/>
  <c r="H128" i="60" a="1"/>
  <c r="T127" i="60"/>
  <c r="R128" i="60" l="1"/>
  <c r="K128" i="60"/>
  <c r="O128" i="60"/>
  <c r="Q128" i="60"/>
  <c r="N128" i="60"/>
  <c r="M128" i="60"/>
  <c r="J128" i="60"/>
  <c r="X128" i="60" s="1"/>
  <c r="S128" i="60"/>
  <c r="L128" i="60"/>
  <c r="H128" i="60"/>
  <c r="Z129" i="60" s="1" a="1"/>
  <c r="Z129" i="60" s="1"/>
  <c r="P128" i="60"/>
  <c r="I128" i="60"/>
  <c r="Y129" i="60" l="1" a="1"/>
  <c r="Y129" i="60" s="1"/>
  <c r="W129" i="60" a="1"/>
  <c r="W129" i="60" s="1"/>
  <c r="U128" i="60"/>
  <c r="H129" i="60" a="1"/>
  <c r="T128" i="60"/>
  <c r="V128" i="60" l="1"/>
  <c r="S129" i="60"/>
  <c r="M129" i="60"/>
  <c r="K129" i="60"/>
  <c r="N129" i="60"/>
  <c r="Q129" i="60"/>
  <c r="P129" i="60"/>
  <c r="J129" i="60"/>
  <c r="X129" i="60" s="1"/>
  <c r="R129" i="60"/>
  <c r="L129" i="60"/>
  <c r="H129" i="60"/>
  <c r="Z130" i="60" s="1" a="1"/>
  <c r="Z130" i="60" s="1"/>
  <c r="O129" i="60"/>
  <c r="I129" i="60"/>
  <c r="Y130" i="60" l="1" a="1"/>
  <c r="Y130" i="60" s="1"/>
  <c r="W130" i="60" a="1"/>
  <c r="W130" i="60" s="1"/>
  <c r="U129" i="60"/>
  <c r="V129" i="60" s="1"/>
  <c r="H130" i="60" a="1"/>
  <c r="T129" i="60"/>
  <c r="H130" i="60" l="1"/>
  <c r="Z131" i="60" s="1" a="1"/>
  <c r="Z131" i="60" s="1"/>
  <c r="M130" i="60"/>
  <c r="O130" i="60"/>
  <c r="K130" i="60"/>
  <c r="P130" i="60"/>
  <c r="R130" i="60"/>
  <c r="N130" i="60"/>
  <c r="L130" i="60"/>
  <c r="S130" i="60"/>
  <c r="Q130" i="60"/>
  <c r="I130" i="60"/>
  <c r="J130" i="60"/>
  <c r="X130" i="60" s="1"/>
  <c r="Y131" i="60" l="1" a="1"/>
  <c r="Y131" i="60" s="1"/>
  <c r="W131" i="60" a="1"/>
  <c r="W131" i="60" s="1"/>
  <c r="U130" i="60"/>
  <c r="V130" i="60" s="1"/>
  <c r="H131" i="60" a="1"/>
  <c r="T130" i="60"/>
  <c r="N131" i="60" l="1"/>
  <c r="I131" i="60"/>
  <c r="Q131" i="60"/>
  <c r="P131" i="60"/>
  <c r="O131" i="60"/>
  <c r="J131" i="60"/>
  <c r="X131" i="60" s="1"/>
  <c r="R131" i="60"/>
  <c r="M131" i="60"/>
  <c r="S131" i="60"/>
  <c r="L131" i="60"/>
  <c r="H131" i="60"/>
  <c r="K131" i="60"/>
  <c r="T131" i="60" l="1"/>
  <c r="U131" i="60"/>
  <c r="V131" i="60" l="1"/>
  <c r="N12" i="67" l="1"/>
  <c r="M1133" i="79"/>
  <c r="Z30" i="65" s="1" a="1"/>
  <c r="Z30" i="65" s="1"/>
  <c r="K27" i="67" s="1"/>
  <c r="J47" i="67" l="1"/>
  <c r="U16" i="34" a="1"/>
  <c r="U16" i="34" s="1"/>
  <c r="T16" i="34" a="1"/>
  <c r="T16" i="34" s="1"/>
  <c r="I47" i="67"/>
  <c r="K12" i="67" l="1"/>
  <c r="K47" i="67" s="1"/>
  <c r="AG16" i="34" l="1" a="1"/>
  <c r="AG16" i="34" s="1"/>
  <c r="AF16" i="34" l="1" a="1"/>
  <c r="AF16" i="34" s="1"/>
  <c r="BJ16" i="34" l="1" a="1"/>
  <c r="BJ16" i="34" s="1"/>
  <c r="BH16" i="34" a="1"/>
  <c r="BH16" i="34" s="1"/>
  <c r="BK16" i="34" a="1"/>
  <c r="BK16" i="34" s="1"/>
  <c r="BN16" i="34" a="1"/>
  <c r="BN16" i="34" s="1"/>
  <c r="BQ16" i="34" a="1"/>
  <c r="BQ16" i="34" s="1"/>
  <c r="AL16" i="34" l="1" a="1"/>
  <c r="AL16" i="34" s="1"/>
  <c r="AR16" i="34" a="1"/>
  <c r="AR16" i="34" s="1"/>
  <c r="AX16" i="34" a="1"/>
  <c r="AX16" i="34" s="1"/>
  <c r="AJ16" i="34" l="1" a="1"/>
  <c r="AJ16" i="34" s="1"/>
  <c r="AM16" i="34" a="1"/>
  <c r="AM16" i="34" s="1"/>
  <c r="BB16" i="34" a="1"/>
  <c r="BB16" i="34" s="1"/>
  <c r="AP16" i="34" a="1"/>
  <c r="AP16" i="34" s="1"/>
  <c r="AV16" i="34" a="1"/>
  <c r="AV16" i="34" s="1"/>
  <c r="AS16" i="34" a="1"/>
  <c r="AS16" i="34" s="1"/>
  <c r="AY16" i="34" a="1"/>
  <c r="AY16" i="34" s="1"/>
  <c r="BE16" i="34" a="1"/>
  <c r="BE16" i="34" s="1"/>
  <c r="O1175" i="79" l="1" a="1"/>
  <c r="O1175" i="79" s="1"/>
  <c r="M1175" i="79" s="1"/>
  <c r="U1006" i="79"/>
  <c r="AD1006" i="79" s="1"/>
  <c r="U630" i="79"/>
  <c r="AD630" i="79" s="1"/>
  <c r="U46" i="79"/>
  <c r="AE46" i="79" s="1"/>
  <c r="U54" i="79"/>
  <c r="AE54" i="79" s="1"/>
  <c r="U50" i="79"/>
  <c r="AD50" i="79" s="1"/>
  <c r="AE630" i="79" l="1"/>
  <c r="AB630" i="79" s="1"/>
  <c r="O630" i="79" s="1"/>
  <c r="M630" i="79" s="1"/>
  <c r="AE1006" i="79"/>
  <c r="V1006" i="79" s="1"/>
  <c r="V1007" i="79" s="1" a="1"/>
  <c r="V1007" i="79" s="1"/>
  <c r="X1006" i="79"/>
  <c r="X1007" i="79" s="1" a="1"/>
  <c r="X1007" i="79" s="1"/>
  <c r="AB1006" i="79"/>
  <c r="AE50" i="79"/>
  <c r="AB50" i="79" s="1"/>
  <c r="O50" i="79" s="1"/>
  <c r="M50" i="79" s="1"/>
  <c r="AD46" i="79"/>
  <c r="AD54" i="79"/>
  <c r="V630" i="79"/>
  <c r="X630" i="79" l="1"/>
  <c r="O949" i="79" a="1"/>
  <c r="O949" i="79" s="1"/>
  <c r="M949" i="79" s="1"/>
  <c r="O368" i="79" a="1"/>
  <c r="O368" i="79" s="1"/>
  <c r="M368" i="79" s="1"/>
  <c r="O621" i="79" a="1"/>
  <c r="O621" i="79" s="1"/>
  <c r="M621" i="79" s="1"/>
  <c r="AB54" i="79"/>
  <c r="O54" i="79" s="1"/>
  <c r="M54" i="79" s="1"/>
  <c r="V54" i="79"/>
  <c r="X54" i="79"/>
  <c r="X46" i="79"/>
  <c r="V46" i="79"/>
  <c r="AB46" i="79"/>
  <c r="O46" i="79" s="1"/>
  <c r="M46" i="79" s="1"/>
  <c r="V50" i="79"/>
  <c r="X50" i="79"/>
  <c r="O369" i="79" l="1" a="1"/>
  <c r="O369" i="79" s="1"/>
  <c r="M369" i="79" s="1"/>
  <c r="O950" i="79" a="1"/>
  <c r="O950" i="79" s="1"/>
  <c r="M950" i="79" s="1"/>
  <c r="O622" i="79" a="1"/>
  <c r="O622" i="79" s="1"/>
  <c r="M622" i="79" s="1"/>
  <c r="O620" i="79" a="1"/>
  <c r="O620" i="79" s="1"/>
  <c r="M620" i="79" s="1"/>
  <c r="O948" i="79" a="1"/>
  <c r="O948" i="79" s="1"/>
  <c r="M948" i="79" s="1"/>
  <c r="O367" i="79" a="1"/>
  <c r="O367" i="79" s="1"/>
  <c r="M367" i="79" s="1"/>
  <c r="U955" i="79"/>
  <c r="AE955" i="79" s="1"/>
  <c r="U974" i="79"/>
  <c r="U979" i="79"/>
  <c r="AD979" i="79" s="1"/>
  <c r="U690" i="79"/>
  <c r="AE690" i="79" s="1"/>
  <c r="U40" i="79"/>
  <c r="AE40" i="79" s="1"/>
  <c r="U470" i="79"/>
  <c r="AE470" i="79" s="1"/>
  <c r="AD690" i="79" l="1"/>
  <c r="X690" i="79" s="1"/>
  <c r="AD955" i="79"/>
  <c r="X955" i="79" s="1"/>
  <c r="X956" i="79" s="1" a="1"/>
  <c r="X956" i="79" s="1"/>
  <c r="AE979" i="79"/>
  <c r="X979" i="79" s="1"/>
  <c r="X980" i="79" s="1" a="1"/>
  <c r="X980" i="79" s="1"/>
  <c r="AB690" i="79"/>
  <c r="O690" i="79" s="1"/>
  <c r="M690" i="79" s="1"/>
  <c r="V470" i="79"/>
  <c r="X470" i="79"/>
  <c r="AB470" i="79"/>
  <c r="O470" i="79" s="1"/>
  <c r="M470" i="79" s="1"/>
  <c r="AD40" i="79"/>
  <c r="V979" i="79"/>
  <c r="V980" i="79" s="1" a="1"/>
  <c r="V980" i="79" s="1"/>
  <c r="AE974" i="79"/>
  <c r="AD974" i="79"/>
  <c r="V690" i="79"/>
  <c r="AB979" i="79"/>
  <c r="O979" i="79" s="1"/>
  <c r="M979" i="79" s="1"/>
  <c r="O980" i="79" s="1" a="1"/>
  <c r="O980" i="79" s="1"/>
  <c r="M980" i="79" s="1"/>
  <c r="V955" i="79"/>
  <c r="V956" i="79" s="1" a="1"/>
  <c r="V956" i="79" s="1"/>
  <c r="AB955" i="79"/>
  <c r="O955" i="79" s="1"/>
  <c r="M955" i="79" s="1"/>
  <c r="O956" i="79" s="1" a="1"/>
  <c r="O956" i="79" s="1"/>
  <c r="M956" i="79" s="1"/>
  <c r="U965" i="79"/>
  <c r="AE965" i="79" s="1"/>
  <c r="U58" i="79"/>
  <c r="AE58" i="79" s="1"/>
  <c r="U68" i="79"/>
  <c r="AE68" i="79" s="1"/>
  <c r="U222" i="79"/>
  <c r="U39" i="79"/>
  <c r="AE39" i="79" s="1"/>
  <c r="O471" i="79" a="1"/>
  <c r="AD39" i="79" l="1"/>
  <c r="V39" i="79" s="1"/>
  <c r="O471" i="79"/>
  <c r="M471" i="79" s="1"/>
  <c r="AE222" i="79"/>
  <c r="AD222" i="79"/>
  <c r="AD68" i="79"/>
  <c r="AD58" i="79"/>
  <c r="X39" i="79"/>
  <c r="AB39" i="79"/>
  <c r="O39" i="79" s="1"/>
  <c r="M39" i="79" s="1"/>
  <c r="AD965" i="79"/>
  <c r="X974" i="79"/>
  <c r="X975" i="79" s="1" a="1"/>
  <c r="X975" i="79" s="1"/>
  <c r="V974" i="79"/>
  <c r="V975" i="79" s="1" a="1"/>
  <c r="V975" i="79" s="1"/>
  <c r="AB974" i="79"/>
  <c r="O974" i="79" s="1"/>
  <c r="M974" i="79" s="1"/>
  <c r="O975" i="79" s="1" a="1"/>
  <c r="O975" i="79" s="1"/>
  <c r="M975" i="79" s="1"/>
  <c r="V40" i="79"/>
  <c r="V41" i="79" s="1" a="1"/>
  <c r="V41" i="79" s="1"/>
  <c r="X40" i="79"/>
  <c r="X41" i="79" s="1" a="1"/>
  <c r="X41" i="79" s="1"/>
  <c r="AB40" i="79"/>
  <c r="O40" i="79" s="1"/>
  <c r="M40" i="79" l="1"/>
  <c r="O41" i="79" s="1" a="1"/>
  <c r="O41" i="79" s="1"/>
  <c r="M41" i="79" s="1"/>
  <c r="S683" i="79" s="1"/>
  <c r="U683" i="79" s="1"/>
  <c r="AE683" i="79" s="1"/>
  <c r="S636" i="79"/>
  <c r="S152" i="79"/>
  <c r="S153" i="79"/>
  <c r="O1013" i="79"/>
  <c r="M1013" i="79" s="1"/>
  <c r="O1037" i="79" s="1"/>
  <c r="M1037" i="79" s="1"/>
  <c r="V965" i="79"/>
  <c r="V966" i="79" s="1" a="1"/>
  <c r="V966" i="79" s="1"/>
  <c r="X965" i="79"/>
  <c r="X966" i="79" s="1" a="1"/>
  <c r="X966" i="79" s="1"/>
  <c r="AB965" i="79"/>
  <c r="O965" i="79" s="1"/>
  <c r="M965" i="79" s="1"/>
  <c r="O966" i="79" s="1" a="1"/>
  <c r="O966" i="79" s="1"/>
  <c r="M966" i="79" s="1"/>
  <c r="V58" i="79"/>
  <c r="X58" i="79"/>
  <c r="AB58" i="79"/>
  <c r="O58" i="79" s="1"/>
  <c r="M58" i="79" s="1"/>
  <c r="X68" i="79"/>
  <c r="V68" i="79"/>
  <c r="AB68" i="79"/>
  <c r="O68" i="79" s="1"/>
  <c r="M68" i="79" s="1"/>
  <c r="X222" i="79"/>
  <c r="V222" i="79"/>
  <c r="AB222" i="79"/>
  <c r="O222" i="79" s="1"/>
  <c r="M222" i="79" s="1"/>
  <c r="O525" i="79"/>
  <c r="M525" i="79" s="1"/>
  <c r="O524" i="79"/>
  <c r="M524" i="79" s="1"/>
  <c r="O523" i="79"/>
  <c r="M523" i="79" s="1"/>
  <c r="O563" i="79" a="1"/>
  <c r="O562" i="79" a="1"/>
  <c r="O564" i="79" a="1"/>
  <c r="O224" i="79" l="1"/>
  <c r="M224" i="79" s="1"/>
  <c r="O1026" i="79"/>
  <c r="M1026" i="79" s="1"/>
  <c r="AD683" i="79"/>
  <c r="X683" i="79" s="1"/>
  <c r="O562" i="79"/>
  <c r="M562" i="79" s="1"/>
  <c r="O563" i="79"/>
  <c r="M563" i="79" s="1"/>
  <c r="O564" i="79"/>
  <c r="M564" i="79" s="1"/>
  <c r="O623" i="79" a="1"/>
  <c r="O623" i="79" s="1"/>
  <c r="M623" i="79" s="1"/>
  <c r="O624" i="79" s="1"/>
  <c r="M624" i="79" s="1"/>
  <c r="O695" i="79" s="1"/>
  <c r="M695" i="79" s="1"/>
  <c r="O370" i="79" a="1"/>
  <c r="O370" i="79" s="1"/>
  <c r="M370" i="79" s="1"/>
  <c r="O408" i="79" s="1"/>
  <c r="M408" i="79" s="1"/>
  <c r="O412" i="79" s="1"/>
  <c r="M412" i="79" s="1"/>
  <c r="O951" i="79" a="1"/>
  <c r="O951" i="79" s="1"/>
  <c r="M951" i="79" s="1"/>
  <c r="O626" i="79" a="1"/>
  <c r="O626" i="79" s="1"/>
  <c r="M626" i="79" s="1"/>
  <c r="O692" i="79" s="1"/>
  <c r="M692" i="79" s="1"/>
  <c r="O372" i="79" a="1"/>
  <c r="O372" i="79" s="1"/>
  <c r="M372" i="79" s="1"/>
  <c r="O409" i="79" s="1"/>
  <c r="M409" i="79" s="1"/>
  <c r="O411" i="79" s="1"/>
  <c r="M411" i="79" s="1"/>
  <c r="O954" i="79" a="1"/>
  <c r="O954" i="79" s="1"/>
  <c r="M954" i="79" s="1"/>
  <c r="O1035" i="79" s="1"/>
  <c r="M1035" i="79" s="1"/>
  <c r="J6" i="32" a="1"/>
  <c r="J6" i="32" s="1"/>
  <c r="X6" i="32" a="1"/>
  <c r="X6" i="32" s="1"/>
  <c r="U153" i="79"/>
  <c r="AE153" i="79" s="1"/>
  <c r="U152" i="79"/>
  <c r="AE152" i="79" s="1"/>
  <c r="U636" i="79"/>
  <c r="AE636" i="79" s="1"/>
  <c r="L13" i="109"/>
  <c r="X7" i="109"/>
  <c r="W7" i="109" s="1"/>
  <c r="AG7" i="109" s="1"/>
  <c r="O549" i="79"/>
  <c r="M549" i="79" s="1"/>
  <c r="X13" i="109"/>
  <c r="O536" i="79"/>
  <c r="M536" i="79" s="1"/>
  <c r="L7" i="109"/>
  <c r="L22" i="109"/>
  <c r="X16" i="109"/>
  <c r="W16" i="109" s="1"/>
  <c r="AG16" i="109" s="1"/>
  <c r="L16" i="109"/>
  <c r="O537" i="79"/>
  <c r="M537" i="79" s="1"/>
  <c r="O550" i="79"/>
  <c r="M550" i="79" s="1"/>
  <c r="X22" i="109"/>
  <c r="X25" i="109"/>
  <c r="W25" i="109" s="1"/>
  <c r="AG25" i="109" s="1"/>
  <c r="L25" i="109"/>
  <c r="K25" i="109" s="1"/>
  <c r="U25" i="109" s="1"/>
  <c r="O538" i="79"/>
  <c r="M538" i="79" s="1"/>
  <c r="O551" i="79"/>
  <c r="M551" i="79" s="1"/>
  <c r="L31" i="109"/>
  <c r="X31" i="109"/>
  <c r="O952" i="79" l="1"/>
  <c r="M952" i="79" s="1"/>
  <c r="O1036" i="79" s="1"/>
  <c r="M1036" i="79" s="1"/>
  <c r="V683" i="79"/>
  <c r="AB683" i="79"/>
  <c r="O683" i="79" s="1"/>
  <c r="O1029" i="79" a="1"/>
  <c r="O1029" i="79" s="1"/>
  <c r="M1029" i="79" s="1"/>
  <c r="O1030" i="79" a="1"/>
  <c r="O1030" i="79" s="1"/>
  <c r="M1030" i="79" s="1"/>
  <c r="O1031" i="79" a="1"/>
  <c r="O1031" i="79" s="1"/>
  <c r="M1031" i="79" s="1"/>
  <c r="O1028" i="79"/>
  <c r="M1028" i="79" s="1"/>
  <c r="O232" i="79"/>
  <c r="M232" i="79" s="1"/>
  <c r="O6" i="75" s="1" a="1"/>
  <c r="O6" i="75" s="1"/>
  <c r="O230" i="79"/>
  <c r="M230" i="79" s="1"/>
  <c r="Y6" i="78" s="1" a="1"/>
  <c r="Y6" i="78" s="1"/>
  <c r="G6" i="75" a="1"/>
  <c r="G6" i="75" s="1"/>
  <c r="G29" i="75" s="1"/>
  <c r="G6" i="78" a="1"/>
  <c r="G6" i="78" s="1"/>
  <c r="G17" i="78" s="1"/>
  <c r="S6" i="78" a="1"/>
  <c r="S6" i="78" s="1"/>
  <c r="S19" i="78" s="1"/>
  <c r="S6" i="75" a="1"/>
  <c r="S6" i="75" s="1"/>
  <c r="S39" i="75" s="1"/>
  <c r="AD152" i="79"/>
  <c r="X152" i="79" s="1"/>
  <c r="AD153" i="79"/>
  <c r="AC31" i="109"/>
  <c r="AG31" i="109" s="1"/>
  <c r="L27" i="109"/>
  <c r="X27" i="109"/>
  <c r="X18" i="32"/>
  <c r="X34" i="32"/>
  <c r="X50" i="32"/>
  <c r="X66" i="32"/>
  <c r="X82" i="32"/>
  <c r="X19" i="32"/>
  <c r="X35" i="32"/>
  <c r="X51" i="32"/>
  <c r="X67" i="32"/>
  <c r="X83" i="32"/>
  <c r="X20" i="32"/>
  <c r="X36" i="32"/>
  <c r="X52" i="32"/>
  <c r="X68" i="32"/>
  <c r="X84" i="32"/>
  <c r="X21" i="32"/>
  <c r="X37" i="32"/>
  <c r="X53" i="32"/>
  <c r="X69" i="32"/>
  <c r="X85" i="32"/>
  <c r="X22" i="32"/>
  <c r="X38" i="32"/>
  <c r="X54" i="32"/>
  <c r="X70" i="32"/>
  <c r="X86" i="32"/>
  <c r="X23" i="32"/>
  <c r="X39" i="32"/>
  <c r="X55" i="32"/>
  <c r="X71" i="32"/>
  <c r="X87" i="32"/>
  <c r="X24" i="32"/>
  <c r="X40" i="32"/>
  <c r="X56" i="32"/>
  <c r="X72" i="32"/>
  <c r="X88" i="32"/>
  <c r="X25" i="32"/>
  <c r="X41" i="32"/>
  <c r="X57" i="32"/>
  <c r="X73" i="32"/>
  <c r="X89" i="32"/>
  <c r="X26" i="32"/>
  <c r="X42" i="32"/>
  <c r="X58" i="32"/>
  <c r="X74" i="32"/>
  <c r="X90" i="32"/>
  <c r="X27" i="32"/>
  <c r="X43" i="32"/>
  <c r="X59" i="32"/>
  <c r="X75" i="32"/>
  <c r="X91" i="32"/>
  <c r="X28" i="32"/>
  <c r="X44" i="32"/>
  <c r="X60" i="32"/>
  <c r="X76" i="32"/>
  <c r="X92" i="32"/>
  <c r="X13" i="32"/>
  <c r="X29" i="32"/>
  <c r="X45" i="32"/>
  <c r="X61" i="32"/>
  <c r="X77" i="32"/>
  <c r="X14" i="32"/>
  <c r="X30" i="32"/>
  <c r="X46" i="32"/>
  <c r="X62" i="32"/>
  <c r="X78" i="32"/>
  <c r="X15" i="32"/>
  <c r="X31" i="32"/>
  <c r="X47" i="32"/>
  <c r="X63" i="32"/>
  <c r="X79" i="32"/>
  <c r="X16" i="32"/>
  <c r="X32" i="32"/>
  <c r="X48" i="32"/>
  <c r="X64" i="32"/>
  <c r="X80" i="32"/>
  <c r="X17" i="32"/>
  <c r="X33" i="32"/>
  <c r="X49" i="32"/>
  <c r="X65" i="32"/>
  <c r="X81" i="32"/>
  <c r="X12" i="32"/>
  <c r="J18" i="32"/>
  <c r="J34" i="32"/>
  <c r="J50" i="32"/>
  <c r="J66" i="32"/>
  <c r="J82" i="32"/>
  <c r="J19" i="32"/>
  <c r="J35" i="32"/>
  <c r="J51" i="32"/>
  <c r="J67" i="32"/>
  <c r="J83" i="32"/>
  <c r="J20" i="32"/>
  <c r="J36" i="32"/>
  <c r="J52" i="32"/>
  <c r="J68" i="32"/>
  <c r="J84" i="32"/>
  <c r="J21" i="32"/>
  <c r="J37" i="32"/>
  <c r="J53" i="32"/>
  <c r="J69" i="32"/>
  <c r="J85" i="32"/>
  <c r="J22" i="32"/>
  <c r="J38" i="32"/>
  <c r="J54" i="32"/>
  <c r="J70" i="32"/>
  <c r="J86" i="32"/>
  <c r="J23" i="32"/>
  <c r="J39" i="32"/>
  <c r="J55" i="32"/>
  <c r="J71" i="32"/>
  <c r="J87" i="32"/>
  <c r="J24" i="32"/>
  <c r="J40" i="32"/>
  <c r="J56" i="32"/>
  <c r="J72" i="32"/>
  <c r="J88" i="32"/>
  <c r="J25" i="32"/>
  <c r="J41" i="32"/>
  <c r="J57" i="32"/>
  <c r="J73" i="32"/>
  <c r="J89" i="32"/>
  <c r="J26" i="32"/>
  <c r="J42" i="32"/>
  <c r="J58" i="32"/>
  <c r="J74" i="32"/>
  <c r="J90" i="32"/>
  <c r="J27" i="32"/>
  <c r="J43" i="32"/>
  <c r="J59" i="32"/>
  <c r="J75" i="32"/>
  <c r="J91" i="32"/>
  <c r="J28" i="32"/>
  <c r="J44" i="32"/>
  <c r="J60" i="32"/>
  <c r="J76" i="32"/>
  <c r="J92" i="32"/>
  <c r="J13" i="32"/>
  <c r="J29" i="32"/>
  <c r="J45" i="32"/>
  <c r="J61" i="32"/>
  <c r="J77" i="32"/>
  <c r="J14" i="32"/>
  <c r="J30" i="32"/>
  <c r="J46" i="32"/>
  <c r="J62" i="32"/>
  <c r="J78" i="32"/>
  <c r="J15" i="32"/>
  <c r="J31" i="32"/>
  <c r="J47" i="32"/>
  <c r="J63" i="32"/>
  <c r="J79" i="32"/>
  <c r="J16" i="32"/>
  <c r="J32" i="32"/>
  <c r="J48" i="32"/>
  <c r="J64" i="32"/>
  <c r="J80" i="32"/>
  <c r="J17" i="32"/>
  <c r="J33" i="32"/>
  <c r="J49" i="32"/>
  <c r="J65" i="32"/>
  <c r="J81" i="32"/>
  <c r="J12" i="32"/>
  <c r="Q31" i="109"/>
  <c r="U31" i="109" s="1"/>
  <c r="V6" i="32" a="1"/>
  <c r="V6" i="32" s="1"/>
  <c r="O1040" i="79"/>
  <c r="M1040" i="79" s="1"/>
  <c r="H6" i="32" a="1"/>
  <c r="H6" i="32" s="1"/>
  <c r="AC22" i="109"/>
  <c r="AG22" i="109" s="1"/>
  <c r="L17" i="109"/>
  <c r="X17" i="109"/>
  <c r="O419" i="79"/>
  <c r="M419" i="79" s="1"/>
  <c r="V6" i="118" a="1"/>
  <c r="V6" i="118" s="1"/>
  <c r="G6" i="118" a="1"/>
  <c r="G6" i="118" s="1"/>
  <c r="K16" i="109"/>
  <c r="U16" i="109" s="1"/>
  <c r="O698" i="79"/>
  <c r="M698" i="79" s="1"/>
  <c r="G4" i="112"/>
  <c r="R4" i="112"/>
  <c r="Q13" i="109"/>
  <c r="U13" i="109" s="1"/>
  <c r="X18" i="109"/>
  <c r="L18" i="109"/>
  <c r="H6" i="118" a="1"/>
  <c r="H6" i="118" s="1"/>
  <c r="W6" i="118" a="1"/>
  <c r="W6" i="118" s="1"/>
  <c r="U4" i="112"/>
  <c r="O699" i="79"/>
  <c r="M699" i="79" s="1"/>
  <c r="J4" i="112"/>
  <c r="X26" i="109"/>
  <c r="L26" i="109"/>
  <c r="K7" i="109"/>
  <c r="O231" i="79"/>
  <c r="M231" i="79" s="1"/>
  <c r="L28" i="109"/>
  <c r="L32" i="109"/>
  <c r="X28" i="109"/>
  <c r="W28" i="109" s="1"/>
  <c r="AG28" i="109" s="1"/>
  <c r="Q22" i="109"/>
  <c r="U22" i="109" s="1"/>
  <c r="AC13" i="109"/>
  <c r="AG13" i="109" s="1"/>
  <c r="X19" i="109"/>
  <c r="W19" i="109" s="1"/>
  <c r="AG19" i="109" s="1"/>
  <c r="L19" i="109"/>
  <c r="L23" i="109"/>
  <c r="G39" i="75"/>
  <c r="G21" i="75"/>
  <c r="G34" i="75"/>
  <c r="G16" i="75"/>
  <c r="G12" i="75"/>
  <c r="G22" i="75"/>
  <c r="G109" i="75"/>
  <c r="G119" i="75"/>
  <c r="G122" i="75"/>
  <c r="G81" i="75"/>
  <c r="G93" i="75"/>
  <c r="G95" i="75"/>
  <c r="G100" i="75"/>
  <c r="G42" i="75"/>
  <c r="G61" i="75"/>
  <c r="G129" i="75"/>
  <c r="L8" i="109"/>
  <c r="X8" i="109"/>
  <c r="X9" i="109"/>
  <c r="L9" i="109"/>
  <c r="AD636" i="79"/>
  <c r="L14" i="109"/>
  <c r="X10" i="109"/>
  <c r="W10" i="109" s="1"/>
  <c r="AG10" i="109" s="1"/>
  <c r="L10" i="109"/>
  <c r="S69" i="78" l="1"/>
  <c r="G126" i="75"/>
  <c r="G89" i="75"/>
  <c r="G27" i="75"/>
  <c r="G77" i="75"/>
  <c r="G114" i="75"/>
  <c r="G110" i="75"/>
  <c r="G44" i="75"/>
  <c r="G38" i="75"/>
  <c r="G128" i="75"/>
  <c r="G15" i="75"/>
  <c r="G62" i="75"/>
  <c r="G99" i="75"/>
  <c r="G103" i="78"/>
  <c r="G44" i="78"/>
  <c r="G91" i="78"/>
  <c r="G81" i="78"/>
  <c r="G36" i="78"/>
  <c r="G67" i="75"/>
  <c r="G23" i="75"/>
  <c r="G126" i="78"/>
  <c r="G92" i="78"/>
  <c r="G118" i="75"/>
  <c r="G94" i="75"/>
  <c r="G37" i="75"/>
  <c r="G82" i="78"/>
  <c r="G101" i="78"/>
  <c r="G86" i="75"/>
  <c r="G33" i="75"/>
  <c r="G91" i="75"/>
  <c r="G49" i="75"/>
  <c r="G73" i="75"/>
  <c r="G53" i="75"/>
  <c r="G18" i="78"/>
  <c r="G84" i="75"/>
  <c r="G88" i="75"/>
  <c r="G130" i="75"/>
  <c r="G59" i="75"/>
  <c r="G51" i="75"/>
  <c r="G34" i="78"/>
  <c r="G111" i="75"/>
  <c r="G116" i="75"/>
  <c r="G56" i="75"/>
  <c r="G107" i="75"/>
  <c r="G112" i="75"/>
  <c r="G46" i="75"/>
  <c r="G98" i="75"/>
  <c r="G92" i="75"/>
  <c r="G30" i="75"/>
  <c r="G125" i="78"/>
  <c r="S58" i="78"/>
  <c r="S52" i="78"/>
  <c r="S104" i="78"/>
  <c r="S87" i="78"/>
  <c r="S46" i="78"/>
  <c r="S117" i="78"/>
  <c r="S115" i="78"/>
  <c r="S34" i="78"/>
  <c r="S30" i="78"/>
  <c r="G120" i="75"/>
  <c r="G102" i="75"/>
  <c r="G131" i="75"/>
  <c r="G18" i="75"/>
  <c r="G19" i="75"/>
  <c r="M6" i="78" a="1"/>
  <c r="M6" i="78" s="1"/>
  <c r="M128" i="78" s="1"/>
  <c r="G57" i="78"/>
  <c r="G16" i="78"/>
  <c r="G14" i="78"/>
  <c r="G90" i="75"/>
  <c r="G121" i="75"/>
  <c r="G78" i="75"/>
  <c r="G104" i="75"/>
  <c r="G83" i="75"/>
  <c r="G127" i="75"/>
  <c r="G76" i="75"/>
  <c r="G14" i="75"/>
  <c r="G25" i="75"/>
  <c r="G86" i="78"/>
  <c r="G55" i="78"/>
  <c r="G116" i="78"/>
  <c r="G41" i="75"/>
  <c r="G117" i="75"/>
  <c r="G75" i="75"/>
  <c r="G11" i="75"/>
  <c r="G80" i="75"/>
  <c r="G125" i="75"/>
  <c r="G70" i="75"/>
  <c r="G32" i="75"/>
  <c r="G17" i="75"/>
  <c r="G83" i="78"/>
  <c r="G43" i="78"/>
  <c r="G113" i="75"/>
  <c r="G65" i="75"/>
  <c r="G87" i="75"/>
  <c r="G74" i="75"/>
  <c r="G123" i="75"/>
  <c r="G66" i="75"/>
  <c r="G28" i="75"/>
  <c r="G13" i="75"/>
  <c r="G38" i="78"/>
  <c r="G31" i="78"/>
  <c r="G63" i="75"/>
  <c r="G25" i="78"/>
  <c r="G79" i="75"/>
  <c r="G57" i="75"/>
  <c r="G71" i="75"/>
  <c r="G68" i="75"/>
  <c r="G115" i="75"/>
  <c r="G54" i="75"/>
  <c r="G26" i="75"/>
  <c r="G43" i="75"/>
  <c r="G89" i="78"/>
  <c r="G85" i="75"/>
  <c r="G124" i="75"/>
  <c r="G64" i="75"/>
  <c r="G48" i="75"/>
  <c r="G105" i="75"/>
  <c r="G36" i="75"/>
  <c r="G24" i="75"/>
  <c r="G35" i="75"/>
  <c r="G131" i="78"/>
  <c r="G108" i="75"/>
  <c r="G71" i="78"/>
  <c r="G58" i="75"/>
  <c r="G106" i="75"/>
  <c r="G60" i="75"/>
  <c r="G40" i="75"/>
  <c r="G103" i="75"/>
  <c r="G96" i="75"/>
  <c r="G55" i="75"/>
  <c r="G31" i="75"/>
  <c r="G129" i="78"/>
  <c r="G111" i="78"/>
  <c r="G82" i="75"/>
  <c r="G20" i="75"/>
  <c r="G69" i="75"/>
  <c r="G52" i="75"/>
  <c r="G72" i="75"/>
  <c r="G50" i="75"/>
  <c r="G97" i="75"/>
  <c r="G101" i="75"/>
  <c r="G45" i="75"/>
  <c r="G47" i="75"/>
  <c r="G99" i="78"/>
  <c r="G107" i="78"/>
  <c r="S78" i="78"/>
  <c r="S12" i="78"/>
  <c r="S57" i="78"/>
  <c r="S32" i="78"/>
  <c r="S114" i="78"/>
  <c r="S13" i="78"/>
  <c r="S110" i="78"/>
  <c r="S90" i="78"/>
  <c r="S106" i="78"/>
  <c r="S31" i="78"/>
  <c r="S102" i="78"/>
  <c r="S29" i="78"/>
  <c r="S122" i="78"/>
  <c r="S97" i="78"/>
  <c r="S80" i="78"/>
  <c r="S67" i="78"/>
  <c r="S82" i="78"/>
  <c r="S54" i="78"/>
  <c r="G105" i="78"/>
  <c r="G65" i="78"/>
  <c r="G97" i="78"/>
  <c r="G47" i="78"/>
  <c r="G121" i="78"/>
  <c r="G24" i="78"/>
  <c r="G13" i="78"/>
  <c r="G130" i="78"/>
  <c r="G58" i="78"/>
  <c r="G50" i="78"/>
  <c r="G64" i="78"/>
  <c r="G119" i="78"/>
  <c r="G11" i="78"/>
  <c r="G12" i="78"/>
  <c r="G45" i="78"/>
  <c r="G115" i="78"/>
  <c r="G100" i="78"/>
  <c r="G120" i="78"/>
  <c r="G48" i="78"/>
  <c r="G109" i="78"/>
  <c r="G128" i="78"/>
  <c r="G22" i="78"/>
  <c r="G33" i="78"/>
  <c r="G90" i="78"/>
  <c r="G87" i="78"/>
  <c r="G114" i="78"/>
  <c r="G124" i="78"/>
  <c r="G80" i="78"/>
  <c r="G69" i="78"/>
  <c r="G51" i="78"/>
  <c r="G27" i="78"/>
  <c r="G88" i="78"/>
  <c r="G61" i="78"/>
  <c r="G102" i="78"/>
  <c r="G108" i="78"/>
  <c r="G76" i="78"/>
  <c r="G52" i="78"/>
  <c r="G41" i="78"/>
  <c r="G53" i="78"/>
  <c r="G72" i="78"/>
  <c r="G118" i="78"/>
  <c r="G84" i="78"/>
  <c r="G106" i="78"/>
  <c r="G67" i="78"/>
  <c r="G42" i="78"/>
  <c r="G37" i="78"/>
  <c r="G49" i="78"/>
  <c r="G66" i="78"/>
  <c r="G112" i="78"/>
  <c r="G78" i="78"/>
  <c r="G104" i="78"/>
  <c r="G63" i="78"/>
  <c r="G40" i="78"/>
  <c r="G35" i="78"/>
  <c r="G39" i="78"/>
  <c r="G62" i="78"/>
  <c r="G110" i="78"/>
  <c r="G74" i="78"/>
  <c r="G95" i="78"/>
  <c r="G54" i="78"/>
  <c r="G32" i="78"/>
  <c r="G29" i="78"/>
  <c r="G21" i="78"/>
  <c r="G94" i="78"/>
  <c r="G98" i="78"/>
  <c r="G93" i="78"/>
  <c r="G70" i="78"/>
  <c r="G46" i="78"/>
  <c r="G28" i="78"/>
  <c r="G19" i="78"/>
  <c r="G85" i="78"/>
  <c r="G96" i="78"/>
  <c r="G77" i="78"/>
  <c r="G60" i="78"/>
  <c r="G79" i="78"/>
  <c r="G20" i="78"/>
  <c r="G15" i="78"/>
  <c r="G117" i="78"/>
  <c r="G75" i="78"/>
  <c r="G56" i="78"/>
  <c r="G73" i="78"/>
  <c r="G127" i="78"/>
  <c r="G30" i="78"/>
  <c r="G23" i="78"/>
  <c r="G113" i="78"/>
  <c r="G68" i="78"/>
  <c r="G122" i="78"/>
  <c r="G59" i="78"/>
  <c r="G123" i="78"/>
  <c r="G26" i="78"/>
  <c r="S66" i="78"/>
  <c r="S84" i="78"/>
  <c r="S108" i="78"/>
  <c r="S86" i="78"/>
  <c r="S129" i="78"/>
  <c r="S24" i="78"/>
  <c r="S41" i="78"/>
  <c r="S44" i="78"/>
  <c r="S42" i="78"/>
  <c r="S71" i="78"/>
  <c r="S38" i="78"/>
  <c r="S103" i="78"/>
  <c r="S28" i="78"/>
  <c r="S21" i="78"/>
  <c r="S131" i="78"/>
  <c r="S128" i="78"/>
  <c r="S60" i="78"/>
  <c r="S113" i="78"/>
  <c r="S99" i="78"/>
  <c r="S22" i="78"/>
  <c r="S15" i="78"/>
  <c r="S127" i="78"/>
  <c r="S121" i="78"/>
  <c r="S124" i="78"/>
  <c r="S56" i="78"/>
  <c r="S59" i="78"/>
  <c r="S94" i="78"/>
  <c r="S20" i="78"/>
  <c r="S65" i="78"/>
  <c r="S125" i="78"/>
  <c r="S62" i="78"/>
  <c r="S112" i="78"/>
  <c r="S100" i="78"/>
  <c r="S36" i="78"/>
  <c r="S85" i="78"/>
  <c r="S18" i="78"/>
  <c r="S61" i="78"/>
  <c r="S123" i="78"/>
  <c r="S96" i="78"/>
  <c r="S98" i="78"/>
  <c r="S64" i="78"/>
  <c r="S130" i="78"/>
  <c r="S79" i="78"/>
  <c r="S11" i="78"/>
  <c r="S49" i="78"/>
  <c r="S119" i="78"/>
  <c r="S93" i="78"/>
  <c r="S95" i="78"/>
  <c r="S120" i="78"/>
  <c r="S101" i="78"/>
  <c r="S76" i="78"/>
  <c r="S43" i="78"/>
  <c r="S47" i="78"/>
  <c r="S111" i="78"/>
  <c r="S75" i="78"/>
  <c r="S81" i="78"/>
  <c r="S83" i="78"/>
  <c r="S92" i="78"/>
  <c r="S53" i="78"/>
  <c r="S39" i="78"/>
  <c r="S35" i="78"/>
  <c r="S109" i="78"/>
  <c r="S72" i="78"/>
  <c r="S40" i="78"/>
  <c r="S77" i="78"/>
  <c r="S88" i="78"/>
  <c r="S50" i="78"/>
  <c r="S33" i="78"/>
  <c r="S45" i="78"/>
  <c r="S107" i="78"/>
  <c r="S51" i="78"/>
  <c r="S89" i="78"/>
  <c r="S74" i="78"/>
  <c r="S73" i="78"/>
  <c r="S26" i="78"/>
  <c r="S27" i="78"/>
  <c r="S37" i="78"/>
  <c r="S105" i="78"/>
  <c r="S126" i="78"/>
  <c r="S68" i="78"/>
  <c r="S55" i="78"/>
  <c r="S70" i="78"/>
  <c r="S16" i="78"/>
  <c r="S25" i="78"/>
  <c r="S23" i="78"/>
  <c r="S91" i="78"/>
  <c r="S116" i="78"/>
  <c r="S118" i="78"/>
  <c r="S48" i="78"/>
  <c r="S63" i="78"/>
  <c r="S14" i="78"/>
  <c r="S17" i="78"/>
  <c r="Y6" i="75" a="1"/>
  <c r="Y6" i="75" s="1"/>
  <c r="Y91" i="75" s="1"/>
  <c r="M6" i="75" a="1"/>
  <c r="M6" i="75" s="1"/>
  <c r="M129" i="75" s="1"/>
  <c r="AA6" i="78" a="1"/>
  <c r="AA6" i="78" s="1"/>
  <c r="AA22" i="78" s="1"/>
  <c r="O6" i="78" a="1"/>
  <c r="O6" i="78" s="1"/>
  <c r="O117" i="78" s="1"/>
  <c r="AA6" i="75" a="1"/>
  <c r="AA6" i="75" s="1"/>
  <c r="AA22" i="75" s="1"/>
  <c r="S61" i="75"/>
  <c r="S50" i="75"/>
  <c r="O1032" i="79"/>
  <c r="M1032" i="79" s="1"/>
  <c r="O1038" i="79" s="1"/>
  <c r="M1038" i="79" s="1"/>
  <c r="K6" i="32" s="1" a="1"/>
  <c r="K6" i="32" s="1"/>
  <c r="O1033" i="79"/>
  <c r="M1033" i="79" s="1"/>
  <c r="O1039" i="79" s="1"/>
  <c r="M1039" i="79" s="1"/>
  <c r="L6" i="32" s="1" a="1"/>
  <c r="L6" i="32" s="1"/>
  <c r="S69" i="75"/>
  <c r="S66" i="75"/>
  <c r="S67" i="75"/>
  <c r="S60" i="75"/>
  <c r="S83" i="75"/>
  <c r="S70" i="75"/>
  <c r="S54" i="75"/>
  <c r="S48" i="75"/>
  <c r="S16" i="75"/>
  <c r="S12" i="75"/>
  <c r="S21" i="75"/>
  <c r="S19" i="75"/>
  <c r="S103" i="75"/>
  <c r="I6" i="32" a="1"/>
  <c r="I6" i="32" s="1"/>
  <c r="I66" i="32" s="1"/>
  <c r="W6" i="32" a="1"/>
  <c r="W6" i="32" s="1"/>
  <c r="W84" i="32" s="1"/>
  <c r="M683" i="79"/>
  <c r="O697" i="79" s="1"/>
  <c r="M697" i="79" s="1"/>
  <c r="S93" i="75"/>
  <c r="S78" i="75"/>
  <c r="S89" i="75"/>
  <c r="S129" i="75"/>
  <c r="S46" i="75"/>
  <c r="S18" i="75"/>
  <c r="S37" i="75"/>
  <c r="S87" i="75"/>
  <c r="S71" i="75"/>
  <c r="S77" i="75"/>
  <c r="S121" i="75"/>
  <c r="S91" i="75"/>
  <c r="S90" i="75"/>
  <c r="S29" i="75"/>
  <c r="S72" i="75"/>
  <c r="S65" i="75"/>
  <c r="S74" i="75"/>
  <c r="S117" i="75"/>
  <c r="S88" i="75"/>
  <c r="S30" i="75"/>
  <c r="S23" i="75"/>
  <c r="S44" i="75"/>
  <c r="S15" i="75"/>
  <c r="S76" i="75"/>
  <c r="S84" i="75"/>
  <c r="S110" i="75"/>
  <c r="S118" i="75"/>
  <c r="S85" i="75"/>
  <c r="S38" i="75"/>
  <c r="S49" i="75"/>
  <c r="S51" i="75"/>
  <c r="S56" i="75"/>
  <c r="S101" i="75"/>
  <c r="S81" i="75"/>
  <c r="S106" i="75"/>
  <c r="S112" i="75"/>
  <c r="S125" i="75"/>
  <c r="S36" i="75"/>
  <c r="S45" i="75"/>
  <c r="S47" i="75"/>
  <c r="S53" i="75"/>
  <c r="S96" i="75"/>
  <c r="S42" i="75"/>
  <c r="S68" i="75"/>
  <c r="S86" i="75"/>
  <c r="S113" i="75"/>
  <c r="S34" i="75"/>
  <c r="S31" i="75"/>
  <c r="S41" i="75"/>
  <c r="S131" i="75"/>
  <c r="S82" i="75"/>
  <c r="S128" i="75"/>
  <c r="S100" i="75"/>
  <c r="S80" i="75"/>
  <c r="S111" i="75"/>
  <c r="S24" i="75"/>
  <c r="S43" i="75"/>
  <c r="S33" i="75"/>
  <c r="S97" i="75"/>
  <c r="S75" i="75"/>
  <c r="S122" i="75"/>
  <c r="S98" i="75"/>
  <c r="S64" i="75"/>
  <c r="S107" i="75"/>
  <c r="S32" i="75"/>
  <c r="S35" i="75"/>
  <c r="S25" i="75"/>
  <c r="S127" i="75"/>
  <c r="S120" i="75"/>
  <c r="S40" i="75"/>
  <c r="S116" i="75"/>
  <c r="S105" i="75"/>
  <c r="S28" i="75"/>
  <c r="S27" i="75"/>
  <c r="S17" i="75"/>
  <c r="S52" i="75"/>
  <c r="S123" i="75"/>
  <c r="S114" i="75"/>
  <c r="S130" i="75"/>
  <c r="S99" i="75"/>
  <c r="S79" i="75"/>
  <c r="S26" i="75"/>
  <c r="S63" i="75"/>
  <c r="S13" i="75"/>
  <c r="S119" i="75"/>
  <c r="S108" i="75"/>
  <c r="S124" i="75"/>
  <c r="S92" i="75"/>
  <c r="S73" i="75"/>
  <c r="S22" i="75"/>
  <c r="S59" i="75"/>
  <c r="S115" i="75"/>
  <c r="S102" i="75"/>
  <c r="S104" i="75"/>
  <c r="S55" i="75"/>
  <c r="S62" i="75"/>
  <c r="S20" i="75"/>
  <c r="S57" i="75"/>
  <c r="S94" i="75"/>
  <c r="S109" i="75"/>
  <c r="S11" i="75"/>
  <c r="S95" i="75"/>
  <c r="S126" i="75"/>
  <c r="S58" i="75"/>
  <c r="S14" i="75"/>
  <c r="AB152" i="79"/>
  <c r="O152" i="79" s="1"/>
  <c r="M152" i="79" s="1"/>
  <c r="O413" i="79" s="1"/>
  <c r="M413" i="79" s="1"/>
  <c r="V152" i="79"/>
  <c r="AM11" i="110"/>
  <c r="N19" i="109"/>
  <c r="U19" i="109" s="1"/>
  <c r="Y21" i="78"/>
  <c r="Y37" i="78"/>
  <c r="Y53" i="78"/>
  <c r="Y69" i="78"/>
  <c r="Y22" i="78"/>
  <c r="Y38" i="78"/>
  <c r="Y54" i="78"/>
  <c r="Y70" i="78"/>
  <c r="Y86" i="78"/>
  <c r="Y23" i="78"/>
  <c r="Y39" i="78"/>
  <c r="Y55" i="78"/>
  <c r="Y71" i="78"/>
  <c r="Y12" i="78"/>
  <c r="Y13" i="78"/>
  <c r="Y29" i="78"/>
  <c r="Y45" i="78"/>
  <c r="Y14" i="78"/>
  <c r="Y30" i="78"/>
  <c r="Y20" i="78"/>
  <c r="Y15" i="78"/>
  <c r="Y40" i="78"/>
  <c r="Y60" i="78"/>
  <c r="Y79" i="78"/>
  <c r="Y94" i="78"/>
  <c r="Y110" i="78"/>
  <c r="Y126" i="78"/>
  <c r="Y16" i="78"/>
  <c r="Y41" i="78"/>
  <c r="Y61" i="78"/>
  <c r="Y80" i="78"/>
  <c r="Y95" i="78"/>
  <c r="Y111" i="78"/>
  <c r="Y127" i="78"/>
  <c r="Y17" i="78"/>
  <c r="Y42" i="78"/>
  <c r="Y62" i="78"/>
  <c r="Y81" i="78"/>
  <c r="Y96" i="78"/>
  <c r="Y112" i="78"/>
  <c r="Y128" i="78"/>
  <c r="Y18" i="78"/>
  <c r="Y43" i="78"/>
  <c r="Y63" i="78"/>
  <c r="Y82" i="78"/>
  <c r="Y97" i="78"/>
  <c r="Y113" i="78"/>
  <c r="Y129" i="78"/>
  <c r="Y19" i="78"/>
  <c r="Y44" i="78"/>
  <c r="Y64" i="78"/>
  <c r="Y83" i="78"/>
  <c r="Y98" i="78"/>
  <c r="Y114" i="78"/>
  <c r="Y130" i="78"/>
  <c r="Y24" i="78"/>
  <c r="Y46" i="78"/>
  <c r="Y65" i="78"/>
  <c r="Y84" i="78"/>
  <c r="Y99" i="78"/>
  <c r="Y115" i="78"/>
  <c r="Y25" i="78"/>
  <c r="Y47" i="78"/>
  <c r="Y66" i="78"/>
  <c r="Y85" i="78"/>
  <c r="Y100" i="78"/>
  <c r="Y116" i="78"/>
  <c r="Y26" i="78"/>
  <c r="Y48" i="78"/>
  <c r="Y67" i="78"/>
  <c r="Y87" i="78"/>
  <c r="Y101" i="78"/>
  <c r="Y117" i="78"/>
  <c r="Y131" i="78"/>
  <c r="Y27" i="78"/>
  <c r="Y49" i="78"/>
  <c r="Y68" i="78"/>
  <c r="Y88" i="78"/>
  <c r="Y102" i="78"/>
  <c r="Y118" i="78"/>
  <c r="Y28" i="78"/>
  <c r="Y50" i="78"/>
  <c r="Y72" i="78"/>
  <c r="Y89" i="78"/>
  <c r="Y103" i="78"/>
  <c r="Y119" i="78"/>
  <c r="Y31" i="78"/>
  <c r="Y51" i="78"/>
  <c r="Y73" i="78"/>
  <c r="Y90" i="78"/>
  <c r="Y104" i="78"/>
  <c r="Y120" i="78"/>
  <c r="Y32" i="78"/>
  <c r="Y52" i="78"/>
  <c r="Y74" i="78"/>
  <c r="Y11" i="78"/>
  <c r="Y105" i="78"/>
  <c r="Y121" i="78"/>
  <c r="Y33" i="78"/>
  <c r="Y56" i="78"/>
  <c r="Y75" i="78"/>
  <c r="Y106" i="78"/>
  <c r="Y122" i="78"/>
  <c r="Y34" i="78"/>
  <c r="Y57" i="78"/>
  <c r="Y76" i="78"/>
  <c r="Y91" i="78"/>
  <c r="Y107" i="78"/>
  <c r="Y123" i="78"/>
  <c r="Y35" i="78"/>
  <c r="Y58" i="78"/>
  <c r="Y77" i="78"/>
  <c r="Y92" i="78"/>
  <c r="Y108" i="78"/>
  <c r="Y124" i="78"/>
  <c r="Y36" i="78"/>
  <c r="Y59" i="78"/>
  <c r="Y78" i="78"/>
  <c r="Y93" i="78"/>
  <c r="Y109" i="78"/>
  <c r="Y125" i="78"/>
  <c r="Q18" i="109"/>
  <c r="U18" i="109" s="1"/>
  <c r="AM89" i="110"/>
  <c r="W120" i="110"/>
  <c r="W71" i="110"/>
  <c r="W102" i="110"/>
  <c r="W54" i="110"/>
  <c r="W85" i="110"/>
  <c r="W116" i="110"/>
  <c r="AM67" i="110"/>
  <c r="W98" i="110"/>
  <c r="AM129" i="110"/>
  <c r="AC18" i="109"/>
  <c r="AG18" i="109" s="1"/>
  <c r="W81" i="110"/>
  <c r="AM112" i="110"/>
  <c r="W63" i="110"/>
  <c r="W94" i="110"/>
  <c r="AM125" i="110"/>
  <c r="W77" i="110"/>
  <c r="W108" i="110"/>
  <c r="W59" i="110"/>
  <c r="W90" i="110"/>
  <c r="W121" i="110"/>
  <c r="H13" i="32"/>
  <c r="H17" i="32"/>
  <c r="H29" i="32"/>
  <c r="H41" i="32"/>
  <c r="H61" i="32"/>
  <c r="H12" i="32"/>
  <c r="H21" i="32"/>
  <c r="H25" i="32"/>
  <c r="H33" i="32"/>
  <c r="H37" i="32"/>
  <c r="H45" i="32"/>
  <c r="H49" i="32"/>
  <c r="H26" i="32"/>
  <c r="H34" i="32"/>
  <c r="H46" i="32"/>
  <c r="H54" i="32"/>
  <c r="H74" i="32"/>
  <c r="H14" i="32"/>
  <c r="H18" i="32"/>
  <c r="H22" i="32"/>
  <c r="H30" i="32"/>
  <c r="H38" i="32"/>
  <c r="H42" i="32"/>
  <c r="H50" i="32"/>
  <c r="H58" i="32"/>
  <c r="H62" i="32"/>
  <c r="H66" i="32"/>
  <c r="H70" i="32"/>
  <c r="H15" i="32"/>
  <c r="H35" i="32"/>
  <c r="H39" i="32"/>
  <c r="H43" i="32"/>
  <c r="H24" i="32"/>
  <c r="H28" i="32"/>
  <c r="H32" i="32"/>
  <c r="H36" i="32"/>
  <c r="H16" i="32"/>
  <c r="H20" i="32"/>
  <c r="H27" i="32"/>
  <c r="H67" i="32"/>
  <c r="H82" i="32"/>
  <c r="H87" i="32"/>
  <c r="H48" i="32"/>
  <c r="H68" i="32"/>
  <c r="H76" i="32"/>
  <c r="H88" i="32"/>
  <c r="H91" i="32"/>
  <c r="H59" i="32"/>
  <c r="H31" i="32"/>
  <c r="H51" i="32"/>
  <c r="H69" i="32"/>
  <c r="H60" i="32"/>
  <c r="H77" i="32"/>
  <c r="H83" i="32"/>
  <c r="H89" i="32"/>
  <c r="H71" i="32"/>
  <c r="H78" i="32"/>
  <c r="H84" i="32"/>
  <c r="H90" i="32"/>
  <c r="H52" i="32"/>
  <c r="H53" i="32"/>
  <c r="H79" i="32"/>
  <c r="H85" i="32"/>
  <c r="H55" i="32"/>
  <c r="H63" i="32"/>
  <c r="H72" i="32"/>
  <c r="H40" i="32"/>
  <c r="H64" i="32"/>
  <c r="H73" i="32"/>
  <c r="H19" i="32"/>
  <c r="H65" i="32"/>
  <c r="H80" i="32"/>
  <c r="H86" i="32"/>
  <c r="H56" i="32"/>
  <c r="H81" i="32"/>
  <c r="H23" i="32"/>
  <c r="H44" i="32"/>
  <c r="H57" i="32"/>
  <c r="H75" i="32"/>
  <c r="H92" i="32"/>
  <c r="H47" i="32"/>
  <c r="U7" i="109"/>
  <c r="W73" i="110"/>
  <c r="W104" i="110"/>
  <c r="AM55" i="110"/>
  <c r="AM86" i="110"/>
  <c r="W117" i="110"/>
  <c r="W69" i="110"/>
  <c r="W100" i="110"/>
  <c r="W130" i="110"/>
  <c r="W82" i="110"/>
  <c r="W113" i="110"/>
  <c r="M6" i="32" a="1"/>
  <c r="M6" i="32" s="1"/>
  <c r="AA6" i="32" a="1"/>
  <c r="AA6" i="32" s="1"/>
  <c r="W11" i="110"/>
  <c r="W65" i="110"/>
  <c r="W96" i="110"/>
  <c r="W127" i="110"/>
  <c r="W78" i="110"/>
  <c r="AM109" i="110"/>
  <c r="AM61" i="110"/>
  <c r="W92" i="110"/>
  <c r="W123" i="110"/>
  <c r="AM74" i="110"/>
  <c r="AM105" i="110"/>
  <c r="V21" i="32"/>
  <c r="V25" i="32"/>
  <c r="V33" i="32"/>
  <c r="V37" i="32"/>
  <c r="V45" i="32"/>
  <c r="V49" i="32"/>
  <c r="V53" i="32"/>
  <c r="V57" i="32"/>
  <c r="V65" i="32"/>
  <c r="V69" i="32"/>
  <c r="V13" i="32"/>
  <c r="V17" i="32"/>
  <c r="V29" i="32"/>
  <c r="V41" i="32"/>
  <c r="V14" i="32"/>
  <c r="V18" i="32"/>
  <c r="V22" i="32"/>
  <c r="V30" i="32"/>
  <c r="V38" i="32"/>
  <c r="V42" i="32"/>
  <c r="V50" i="32"/>
  <c r="V58" i="32"/>
  <c r="V62" i="32"/>
  <c r="V66" i="32"/>
  <c r="V70" i="32"/>
  <c r="V26" i="32"/>
  <c r="V34" i="32"/>
  <c r="V46" i="32"/>
  <c r="V54" i="32"/>
  <c r="V15" i="32"/>
  <c r="V19" i="32"/>
  <c r="V23" i="32"/>
  <c r="V27" i="32"/>
  <c r="V31" i="32"/>
  <c r="V47" i="32"/>
  <c r="V16" i="32"/>
  <c r="V20" i="32"/>
  <c r="V40" i="32"/>
  <c r="V44" i="32"/>
  <c r="V24" i="32"/>
  <c r="V59" i="32"/>
  <c r="V75" i="32"/>
  <c r="V28" i="32"/>
  <c r="V48" i="32"/>
  <c r="V68" i="32"/>
  <c r="V76" i="32"/>
  <c r="V83" i="32"/>
  <c r="V88" i="32"/>
  <c r="V92" i="32"/>
  <c r="V60" i="32"/>
  <c r="V77" i="32"/>
  <c r="V89" i="32"/>
  <c r="V32" i="32"/>
  <c r="V51" i="32"/>
  <c r="V61" i="32"/>
  <c r="V78" i="32"/>
  <c r="V84" i="32"/>
  <c r="V35" i="32"/>
  <c r="V52" i="32"/>
  <c r="V63" i="32"/>
  <c r="V71" i="32"/>
  <c r="V85" i="32"/>
  <c r="V36" i="32"/>
  <c r="V72" i="32"/>
  <c r="V90" i="32"/>
  <c r="V39" i="32"/>
  <c r="V91" i="32"/>
  <c r="V64" i="32"/>
  <c r="V73" i="32"/>
  <c r="V79" i="32"/>
  <c r="V86" i="32"/>
  <c r="V55" i="32"/>
  <c r="V80" i="32"/>
  <c r="V43" i="32"/>
  <c r="V56" i="32"/>
  <c r="V74" i="32"/>
  <c r="V12" i="32"/>
  <c r="V67" i="32"/>
  <c r="V81" i="32"/>
  <c r="V87" i="32"/>
  <c r="V82" i="32"/>
  <c r="AM57" i="110"/>
  <c r="AM88" i="110"/>
  <c r="W119" i="110"/>
  <c r="AM70" i="110"/>
  <c r="AM101" i="110"/>
  <c r="W53" i="110"/>
  <c r="W84" i="110"/>
  <c r="W115" i="110"/>
  <c r="W66" i="110"/>
  <c r="AM97" i="110"/>
  <c r="N10" i="109"/>
  <c r="U10" i="109" s="1"/>
  <c r="O22" i="75"/>
  <c r="O38" i="75"/>
  <c r="O54" i="75"/>
  <c r="O70" i="75"/>
  <c r="O86" i="75"/>
  <c r="O100" i="75"/>
  <c r="O116" i="75"/>
  <c r="O23" i="75"/>
  <c r="O39" i="75"/>
  <c r="O55" i="75"/>
  <c r="O71" i="75"/>
  <c r="O87" i="75"/>
  <c r="O101" i="75"/>
  <c r="O117" i="75"/>
  <c r="O130" i="75"/>
  <c r="O24" i="75"/>
  <c r="O40" i="75"/>
  <c r="O56" i="75"/>
  <c r="O72" i="75"/>
  <c r="O88" i="75"/>
  <c r="O102" i="75"/>
  <c r="O118" i="75"/>
  <c r="O25" i="75"/>
  <c r="O41" i="75"/>
  <c r="O57" i="75"/>
  <c r="O73" i="75"/>
  <c r="O89" i="75"/>
  <c r="O103" i="75"/>
  <c r="O119" i="75"/>
  <c r="O26" i="75"/>
  <c r="O42" i="75"/>
  <c r="O58" i="75"/>
  <c r="O74" i="75"/>
  <c r="O90" i="75"/>
  <c r="O104" i="75"/>
  <c r="O120" i="75"/>
  <c r="O27" i="75"/>
  <c r="O43" i="75"/>
  <c r="O59" i="75"/>
  <c r="O75" i="75"/>
  <c r="O11" i="75"/>
  <c r="O105" i="75"/>
  <c r="O121" i="75"/>
  <c r="O12" i="75"/>
  <c r="O28" i="75"/>
  <c r="O44" i="75"/>
  <c r="O60" i="75"/>
  <c r="O76" i="75"/>
  <c r="O106" i="75"/>
  <c r="O122" i="75"/>
  <c r="O13" i="75"/>
  <c r="O29" i="75"/>
  <c r="O45" i="75"/>
  <c r="O61" i="75"/>
  <c r="O77" i="75"/>
  <c r="O91" i="75"/>
  <c r="O107" i="75"/>
  <c r="O123" i="75"/>
  <c r="O14" i="75"/>
  <c r="O30" i="75"/>
  <c r="O46" i="75"/>
  <c r="O62" i="75"/>
  <c r="O78" i="75"/>
  <c r="O92" i="75"/>
  <c r="O108" i="75"/>
  <c r="O124" i="75"/>
  <c r="O15" i="75"/>
  <c r="O31" i="75"/>
  <c r="O47" i="75"/>
  <c r="O63" i="75"/>
  <c r="O79" i="75"/>
  <c r="O93" i="75"/>
  <c r="O109" i="75"/>
  <c r="O125" i="75"/>
  <c r="O16" i="75"/>
  <c r="O32" i="75"/>
  <c r="O48" i="75"/>
  <c r="O64" i="75"/>
  <c r="O80" i="75"/>
  <c r="O94" i="75"/>
  <c r="O110" i="75"/>
  <c r="O126" i="75"/>
  <c r="O17" i="75"/>
  <c r="O33" i="75"/>
  <c r="O49" i="75"/>
  <c r="O65" i="75"/>
  <c r="O81" i="75"/>
  <c r="O95" i="75"/>
  <c r="O111" i="75"/>
  <c r="O127" i="75"/>
  <c r="O18" i="75"/>
  <c r="O34" i="75"/>
  <c r="O50" i="75"/>
  <c r="O66" i="75"/>
  <c r="O82" i="75"/>
  <c r="O96" i="75"/>
  <c r="O112" i="75"/>
  <c r="O128" i="75"/>
  <c r="O19" i="75"/>
  <c r="O35" i="75"/>
  <c r="O51" i="75"/>
  <c r="O67" i="75"/>
  <c r="O83" i="75"/>
  <c r="O97" i="75"/>
  <c r="O113" i="75"/>
  <c r="O129" i="75"/>
  <c r="O20" i="75"/>
  <c r="O36" i="75"/>
  <c r="O52" i="75"/>
  <c r="O68" i="75"/>
  <c r="O84" i="75"/>
  <c r="O98" i="75"/>
  <c r="O114" i="75"/>
  <c r="O131" i="75"/>
  <c r="O21" i="75"/>
  <c r="O37" i="75"/>
  <c r="O53" i="75"/>
  <c r="O69" i="75"/>
  <c r="O85" i="75"/>
  <c r="O99" i="75"/>
  <c r="O115" i="75"/>
  <c r="Q26" i="109"/>
  <c r="U26" i="109" s="1"/>
  <c r="W24" i="118"/>
  <c r="W40" i="118"/>
  <c r="W56" i="118"/>
  <c r="W72" i="118"/>
  <c r="W88" i="118"/>
  <c r="W104" i="118"/>
  <c r="W120" i="118"/>
  <c r="W25" i="118"/>
  <c r="W41" i="118"/>
  <c r="W57" i="118"/>
  <c r="W73" i="118"/>
  <c r="W89" i="118"/>
  <c r="W105" i="118"/>
  <c r="W121" i="118"/>
  <c r="W27" i="118"/>
  <c r="W43" i="118"/>
  <c r="W59" i="118"/>
  <c r="W75" i="118"/>
  <c r="W91" i="118"/>
  <c r="W107" i="118"/>
  <c r="W123" i="118"/>
  <c r="W13" i="118"/>
  <c r="W29" i="118"/>
  <c r="W45" i="118"/>
  <c r="W61" i="118"/>
  <c r="W77" i="118"/>
  <c r="W93" i="118"/>
  <c r="W109" i="118"/>
  <c r="W125" i="118"/>
  <c r="W15" i="118"/>
  <c r="W31" i="118"/>
  <c r="W47" i="118"/>
  <c r="W63" i="118"/>
  <c r="W79" i="118"/>
  <c r="W95" i="118"/>
  <c r="W111" i="118"/>
  <c r="W127" i="118"/>
  <c r="W16" i="118"/>
  <c r="W32" i="118"/>
  <c r="W48" i="118"/>
  <c r="W64" i="118"/>
  <c r="W80" i="118"/>
  <c r="W96" i="118"/>
  <c r="W112" i="118"/>
  <c r="W128" i="118"/>
  <c r="W17" i="118"/>
  <c r="W33" i="118"/>
  <c r="W49" i="118"/>
  <c r="W65" i="118"/>
  <c r="W81" i="118"/>
  <c r="W97" i="118"/>
  <c r="W113" i="118"/>
  <c r="W129" i="118"/>
  <c r="W19" i="118"/>
  <c r="W35" i="118"/>
  <c r="W51" i="118"/>
  <c r="W67" i="118"/>
  <c r="W83" i="118"/>
  <c r="W99" i="118"/>
  <c r="W115" i="118"/>
  <c r="W130" i="118"/>
  <c r="W11" i="118"/>
  <c r="W21" i="118"/>
  <c r="W37" i="118"/>
  <c r="W53" i="118"/>
  <c r="W69" i="118"/>
  <c r="W85" i="118"/>
  <c r="W101" i="118"/>
  <c r="W117" i="118"/>
  <c r="W23" i="118"/>
  <c r="W39" i="118"/>
  <c r="W55" i="118"/>
  <c r="W71" i="118"/>
  <c r="W87" i="118"/>
  <c r="W103" i="118"/>
  <c r="W119" i="118"/>
  <c r="W30" i="118"/>
  <c r="W74" i="118"/>
  <c r="W116" i="118"/>
  <c r="W34" i="118"/>
  <c r="W76" i="118"/>
  <c r="W118" i="118"/>
  <c r="W36" i="118"/>
  <c r="W78" i="118"/>
  <c r="W122" i="118"/>
  <c r="W38" i="118"/>
  <c r="W82" i="118"/>
  <c r="W124" i="118"/>
  <c r="W42" i="118"/>
  <c r="W84" i="118"/>
  <c r="W126" i="118"/>
  <c r="W44" i="118"/>
  <c r="W86" i="118"/>
  <c r="W131" i="118"/>
  <c r="W46" i="118"/>
  <c r="W90" i="118"/>
  <c r="W50" i="118"/>
  <c r="W92" i="118"/>
  <c r="W52" i="118"/>
  <c r="W94" i="118"/>
  <c r="W12" i="118"/>
  <c r="W54" i="118"/>
  <c r="W98" i="118"/>
  <c r="W14" i="118"/>
  <c r="W58" i="118"/>
  <c r="W100" i="118"/>
  <c r="W18" i="118"/>
  <c r="W60" i="118"/>
  <c r="W102" i="118"/>
  <c r="W20" i="118"/>
  <c r="W62" i="118"/>
  <c r="W106" i="118"/>
  <c r="W22" i="118"/>
  <c r="W66" i="118"/>
  <c r="W108" i="118"/>
  <c r="W26" i="118"/>
  <c r="W68" i="118"/>
  <c r="W110" i="118"/>
  <c r="W28" i="118"/>
  <c r="W70" i="118"/>
  <c r="W114" i="118"/>
  <c r="W128" i="110"/>
  <c r="AM80" i="110"/>
  <c r="W111" i="110"/>
  <c r="W62" i="110"/>
  <c r="AM93" i="110"/>
  <c r="W124" i="110"/>
  <c r="W76" i="110"/>
  <c r="AM107" i="110"/>
  <c r="W58" i="110"/>
  <c r="W89" i="110"/>
  <c r="AC26" i="109"/>
  <c r="AG26" i="109" s="1"/>
  <c r="H19" i="118"/>
  <c r="H35" i="118"/>
  <c r="H51" i="118"/>
  <c r="H67" i="118"/>
  <c r="H83" i="118"/>
  <c r="H97" i="118"/>
  <c r="H113" i="118"/>
  <c r="H129" i="118"/>
  <c r="H20" i="118"/>
  <c r="H36" i="118"/>
  <c r="H52" i="118"/>
  <c r="H68" i="118"/>
  <c r="H84" i="118"/>
  <c r="H98" i="118"/>
  <c r="H114" i="118"/>
  <c r="H130" i="118"/>
  <c r="H21" i="118"/>
  <c r="H37" i="118"/>
  <c r="H53" i="118"/>
  <c r="H69" i="118"/>
  <c r="H85" i="118"/>
  <c r="H99" i="118"/>
  <c r="H22" i="118"/>
  <c r="H38" i="118"/>
  <c r="H54" i="118"/>
  <c r="H70" i="118"/>
  <c r="H86" i="118"/>
  <c r="H100" i="118"/>
  <c r="H116" i="118"/>
  <c r="H23" i="118"/>
  <c r="H39" i="118"/>
  <c r="H24" i="118"/>
  <c r="H40" i="118"/>
  <c r="H56" i="118"/>
  <c r="H72" i="118"/>
  <c r="H88" i="118"/>
  <c r="H102" i="118"/>
  <c r="H118" i="118"/>
  <c r="H26" i="118"/>
  <c r="H42" i="118"/>
  <c r="H58" i="118"/>
  <c r="H74" i="118"/>
  <c r="H90" i="118"/>
  <c r="H104" i="118"/>
  <c r="H120" i="118"/>
  <c r="H27" i="118"/>
  <c r="H43" i="118"/>
  <c r="H59" i="118"/>
  <c r="H75" i="118"/>
  <c r="H105" i="118"/>
  <c r="H121" i="118"/>
  <c r="H12" i="118"/>
  <c r="H28" i="118"/>
  <c r="H44" i="118"/>
  <c r="H60" i="118"/>
  <c r="H76" i="118"/>
  <c r="H106" i="118"/>
  <c r="H122" i="118"/>
  <c r="H13" i="118"/>
  <c r="H14" i="118"/>
  <c r="H30" i="118"/>
  <c r="H46" i="118"/>
  <c r="H62" i="118"/>
  <c r="H78" i="118"/>
  <c r="H92" i="118"/>
  <c r="H108" i="118"/>
  <c r="H124" i="118"/>
  <c r="H16" i="118"/>
  <c r="H32" i="118"/>
  <c r="H48" i="118"/>
  <c r="H64" i="118"/>
  <c r="H80" i="118"/>
  <c r="H94" i="118"/>
  <c r="H110" i="118"/>
  <c r="H126" i="118"/>
  <c r="H18" i="118"/>
  <c r="H34" i="118"/>
  <c r="H50" i="118"/>
  <c r="H66" i="118"/>
  <c r="H82" i="118"/>
  <c r="H96" i="118"/>
  <c r="H112" i="118"/>
  <c r="H128" i="118"/>
  <c r="H61" i="118"/>
  <c r="H109" i="118"/>
  <c r="H63" i="118"/>
  <c r="H111" i="118"/>
  <c r="H65" i="118"/>
  <c r="H115" i="118"/>
  <c r="H71" i="118"/>
  <c r="H117" i="118"/>
  <c r="H15" i="118"/>
  <c r="H73" i="118"/>
  <c r="H119" i="118"/>
  <c r="H17" i="118"/>
  <c r="H77" i="118"/>
  <c r="H123" i="118"/>
  <c r="H25" i="118"/>
  <c r="H79" i="118"/>
  <c r="H125" i="118"/>
  <c r="H29" i="118"/>
  <c r="H81" i="118"/>
  <c r="H127" i="118"/>
  <c r="H11" i="118"/>
  <c r="H31" i="118"/>
  <c r="H87" i="118"/>
  <c r="H131" i="118"/>
  <c r="H33" i="118"/>
  <c r="H89" i="118"/>
  <c r="H41" i="118"/>
  <c r="H91" i="118"/>
  <c r="H45" i="118"/>
  <c r="H93" i="118"/>
  <c r="H47" i="118"/>
  <c r="H95" i="118"/>
  <c r="H49" i="118"/>
  <c r="H101" i="118"/>
  <c r="H55" i="118"/>
  <c r="H103" i="118"/>
  <c r="H57" i="118"/>
  <c r="H107" i="118"/>
  <c r="AM120" i="110"/>
  <c r="AM72" i="110"/>
  <c r="W103" i="110"/>
  <c r="AM54" i="110"/>
  <c r="AM85" i="110"/>
  <c r="AM116" i="110"/>
  <c r="W68" i="110"/>
  <c r="AM99" i="110"/>
  <c r="AM130" i="110"/>
  <c r="AM81" i="110"/>
  <c r="J4" i="32"/>
  <c r="J5" i="32" a="1"/>
  <c r="J5" i="32" s="1"/>
  <c r="J53" i="112"/>
  <c r="J69" i="112"/>
  <c r="J85" i="112"/>
  <c r="J101" i="112"/>
  <c r="J117" i="112"/>
  <c r="J57" i="112"/>
  <c r="J73" i="112"/>
  <c r="J89" i="112"/>
  <c r="J105" i="112"/>
  <c r="J121" i="112"/>
  <c r="J58" i="112"/>
  <c r="J74" i="112"/>
  <c r="J90" i="112"/>
  <c r="J106" i="112"/>
  <c r="J122" i="112"/>
  <c r="J60" i="112"/>
  <c r="J76" i="112"/>
  <c r="J92" i="112"/>
  <c r="J108" i="112"/>
  <c r="J124" i="112"/>
  <c r="J63" i="112"/>
  <c r="J79" i="112"/>
  <c r="J95" i="112"/>
  <c r="J111" i="112"/>
  <c r="J127" i="112"/>
  <c r="J64" i="112"/>
  <c r="J80" i="112"/>
  <c r="J96" i="112"/>
  <c r="J112" i="112"/>
  <c r="J66" i="112"/>
  <c r="J82" i="112"/>
  <c r="J98" i="112"/>
  <c r="J67" i="112"/>
  <c r="J94" i="112"/>
  <c r="J120" i="112"/>
  <c r="J68" i="112"/>
  <c r="J97" i="112"/>
  <c r="J123" i="112"/>
  <c r="J70" i="112"/>
  <c r="J99" i="112"/>
  <c r="J125" i="112"/>
  <c r="J71" i="112"/>
  <c r="J100" i="112"/>
  <c r="J126" i="112"/>
  <c r="J72" i="112"/>
  <c r="J102" i="112"/>
  <c r="J128" i="112"/>
  <c r="J75" i="112"/>
  <c r="J103" i="112"/>
  <c r="J129" i="112"/>
  <c r="J77" i="112"/>
  <c r="J104" i="112"/>
  <c r="J131" i="112"/>
  <c r="J78" i="112"/>
  <c r="J107" i="112"/>
  <c r="J52" i="112"/>
  <c r="J81" i="112"/>
  <c r="J109" i="112"/>
  <c r="J130" i="112"/>
  <c r="J54" i="112"/>
  <c r="J83" i="112"/>
  <c r="J110" i="112"/>
  <c r="J55" i="112"/>
  <c r="J84" i="112"/>
  <c r="J113" i="112"/>
  <c r="J56" i="112"/>
  <c r="J86" i="112"/>
  <c r="J114" i="112"/>
  <c r="J59" i="112"/>
  <c r="J87" i="112"/>
  <c r="J115" i="112"/>
  <c r="J61" i="112"/>
  <c r="J88" i="112"/>
  <c r="J116" i="112"/>
  <c r="J62" i="112"/>
  <c r="J91" i="112"/>
  <c r="J118" i="112"/>
  <c r="J65" i="112"/>
  <c r="J93" i="112"/>
  <c r="J119" i="112"/>
  <c r="W112" i="110"/>
  <c r="W64" i="110"/>
  <c r="AM95" i="110"/>
  <c r="W126" i="110"/>
  <c r="AM77" i="110"/>
  <c r="AM108" i="110"/>
  <c r="AM60" i="110"/>
  <c r="W91" i="110"/>
  <c r="AM122" i="110"/>
  <c r="AM73" i="110"/>
  <c r="X4" i="32"/>
  <c r="X5" i="32" a="1"/>
  <c r="X5" i="32" s="1"/>
  <c r="N4" i="112"/>
  <c r="Y4" i="112"/>
  <c r="R72" i="112"/>
  <c r="R122" i="112"/>
  <c r="R53" i="112"/>
  <c r="R111" i="112"/>
  <c r="R116" i="112"/>
  <c r="R71" i="112"/>
  <c r="R86" i="112"/>
  <c r="R124" i="112"/>
  <c r="R109" i="112"/>
  <c r="R92" i="112"/>
  <c r="R66" i="112"/>
  <c r="R90" i="112"/>
  <c r="R57" i="112"/>
  <c r="R107" i="112"/>
  <c r="R70" i="112"/>
  <c r="R63" i="112"/>
  <c r="R78" i="112"/>
  <c r="R54" i="112"/>
  <c r="R93" i="112"/>
  <c r="R75" i="112"/>
  <c r="R58" i="112"/>
  <c r="R123" i="112"/>
  <c r="R52" i="112"/>
  <c r="R64" i="112"/>
  <c r="R106" i="112"/>
  <c r="R61" i="112"/>
  <c r="R100" i="112"/>
  <c r="R110" i="112"/>
  <c r="R121" i="112"/>
  <c r="R101" i="112"/>
  <c r="R95" i="112"/>
  <c r="R105" i="112"/>
  <c r="R85" i="112"/>
  <c r="R104" i="112"/>
  <c r="R76" i="112"/>
  <c r="R120" i="112"/>
  <c r="R59" i="112"/>
  <c r="R119" i="112"/>
  <c r="R82" i="112"/>
  <c r="R79" i="112"/>
  <c r="R89" i="112"/>
  <c r="R55" i="112"/>
  <c r="R94" i="112"/>
  <c r="R77" i="112"/>
  <c r="R99" i="112"/>
  <c r="R68" i="112"/>
  <c r="R84" i="112"/>
  <c r="R129" i="112"/>
  <c r="R114" i="112"/>
  <c r="R118" i="112"/>
  <c r="R87" i="112"/>
  <c r="R81" i="112"/>
  <c r="R62" i="112"/>
  <c r="R125" i="112"/>
  <c r="R69" i="112"/>
  <c r="R126" i="112"/>
  <c r="R80" i="112"/>
  <c r="R127" i="112"/>
  <c r="R98" i="112"/>
  <c r="R108" i="112"/>
  <c r="R97" i="112"/>
  <c r="R67" i="112"/>
  <c r="R112" i="112"/>
  <c r="R113" i="112"/>
  <c r="R102" i="112"/>
  <c r="R74" i="112"/>
  <c r="R131" i="112"/>
  <c r="R115" i="112"/>
  <c r="R73" i="112"/>
  <c r="R56" i="112"/>
  <c r="R96" i="112"/>
  <c r="R60" i="112"/>
  <c r="R130" i="112"/>
  <c r="R128" i="112"/>
  <c r="R65" i="112"/>
  <c r="R83" i="112"/>
  <c r="R88" i="112"/>
  <c r="R103" i="112"/>
  <c r="R91" i="112"/>
  <c r="R117" i="112"/>
  <c r="AM104" i="110"/>
  <c r="AM56" i="110"/>
  <c r="W87" i="110"/>
  <c r="AM118" i="110"/>
  <c r="AM69" i="110"/>
  <c r="AM100" i="110"/>
  <c r="W52" i="110"/>
  <c r="AM83" i="110"/>
  <c r="AM114" i="110"/>
  <c r="AM65" i="110"/>
  <c r="AC27" i="109"/>
  <c r="AG27" i="109" s="1"/>
  <c r="Q9" i="109"/>
  <c r="U9" i="109" s="1"/>
  <c r="U52" i="112"/>
  <c r="U54" i="112"/>
  <c r="U70" i="112"/>
  <c r="U86" i="112"/>
  <c r="U102" i="112"/>
  <c r="U118" i="112"/>
  <c r="U58" i="112"/>
  <c r="U74" i="112"/>
  <c r="U90" i="112"/>
  <c r="U106" i="112"/>
  <c r="U122" i="112"/>
  <c r="U59" i="112"/>
  <c r="U75" i="112"/>
  <c r="U91" i="112"/>
  <c r="U107" i="112"/>
  <c r="U123" i="112"/>
  <c r="U61" i="112"/>
  <c r="U77" i="112"/>
  <c r="U93" i="112"/>
  <c r="U109" i="112"/>
  <c r="U125" i="112"/>
  <c r="U62" i="112"/>
  <c r="U78" i="112"/>
  <c r="U94" i="112"/>
  <c r="U110" i="112"/>
  <c r="U64" i="112"/>
  <c r="U80" i="112"/>
  <c r="U96" i="112"/>
  <c r="U112" i="112"/>
  <c r="U128" i="112"/>
  <c r="U65" i="112"/>
  <c r="U81" i="112"/>
  <c r="U97" i="112"/>
  <c r="U113" i="112"/>
  <c r="U129" i="112"/>
  <c r="U66" i="112"/>
  <c r="U67" i="112"/>
  <c r="U83" i="112"/>
  <c r="U99" i="112"/>
  <c r="U115" i="112"/>
  <c r="U53" i="112"/>
  <c r="U87" i="112"/>
  <c r="U119" i="112"/>
  <c r="U55" i="112"/>
  <c r="U88" i="112"/>
  <c r="U120" i="112"/>
  <c r="U56" i="112"/>
  <c r="U89" i="112"/>
  <c r="U121" i="112"/>
  <c r="U57" i="112"/>
  <c r="U92" i="112"/>
  <c r="U124" i="112"/>
  <c r="U60" i="112"/>
  <c r="U95" i="112"/>
  <c r="U126" i="112"/>
  <c r="U63" i="112"/>
  <c r="U98" i="112"/>
  <c r="U127" i="112"/>
  <c r="U68" i="112"/>
  <c r="U100" i="112"/>
  <c r="U130" i="112"/>
  <c r="U69" i="112"/>
  <c r="U101" i="112"/>
  <c r="U131" i="112"/>
  <c r="U71" i="112"/>
  <c r="U103" i="112"/>
  <c r="U72" i="112"/>
  <c r="U104" i="112"/>
  <c r="U73" i="112"/>
  <c r="U105" i="112"/>
  <c r="U76" i="112"/>
  <c r="U108" i="112"/>
  <c r="U79" i="112"/>
  <c r="U111" i="112"/>
  <c r="U82" i="112"/>
  <c r="U114" i="112"/>
  <c r="U84" i="112"/>
  <c r="U116" i="112"/>
  <c r="U85" i="112"/>
  <c r="U117" i="112"/>
  <c r="G60" i="112"/>
  <c r="G76" i="112"/>
  <c r="G74" i="112"/>
  <c r="G120" i="112"/>
  <c r="G84" i="112"/>
  <c r="G70" i="112"/>
  <c r="G61" i="112"/>
  <c r="G68" i="112"/>
  <c r="G129" i="112"/>
  <c r="G125" i="112"/>
  <c r="G128" i="112"/>
  <c r="G53" i="112"/>
  <c r="G63" i="112"/>
  <c r="G111" i="112"/>
  <c r="G78" i="112"/>
  <c r="G87" i="112"/>
  <c r="G98" i="112"/>
  <c r="G103" i="112"/>
  <c r="G80" i="112"/>
  <c r="G122" i="112"/>
  <c r="G131" i="112"/>
  <c r="G97" i="112"/>
  <c r="G72" i="112"/>
  <c r="G106" i="112"/>
  <c r="G55" i="112"/>
  <c r="G89" i="112"/>
  <c r="G82" i="112"/>
  <c r="G65" i="112"/>
  <c r="G109" i="112"/>
  <c r="G115" i="112"/>
  <c r="G56" i="112"/>
  <c r="G69" i="112"/>
  <c r="G77" i="112"/>
  <c r="G107" i="112"/>
  <c r="G86" i="112"/>
  <c r="G73" i="112"/>
  <c r="G88" i="112"/>
  <c r="G83" i="112"/>
  <c r="G105" i="112"/>
  <c r="G96" i="112"/>
  <c r="G95" i="112"/>
  <c r="G92" i="112"/>
  <c r="G110" i="112"/>
  <c r="G121" i="112"/>
  <c r="G123" i="112"/>
  <c r="G58" i="112"/>
  <c r="G91" i="112"/>
  <c r="G93" i="112"/>
  <c r="G94" i="112"/>
  <c r="G75" i="112"/>
  <c r="G117" i="112"/>
  <c r="G124" i="112"/>
  <c r="G126" i="112"/>
  <c r="G67" i="112"/>
  <c r="G66" i="112"/>
  <c r="G62" i="112"/>
  <c r="G64" i="112"/>
  <c r="G130" i="112"/>
  <c r="G113" i="112"/>
  <c r="G127" i="112"/>
  <c r="G116" i="112"/>
  <c r="G54" i="112"/>
  <c r="G57" i="112"/>
  <c r="G99" i="112"/>
  <c r="G101" i="112"/>
  <c r="G112" i="112"/>
  <c r="G79" i="112"/>
  <c r="G59" i="112"/>
  <c r="G85" i="112"/>
  <c r="G52" i="112"/>
  <c r="G90" i="112"/>
  <c r="G114" i="112"/>
  <c r="G104" i="112"/>
  <c r="G100" i="112"/>
  <c r="G108" i="112"/>
  <c r="G102" i="112"/>
  <c r="G118" i="112"/>
  <c r="G119" i="112"/>
  <c r="G81" i="112"/>
  <c r="G71" i="112"/>
  <c r="AM96" i="110"/>
  <c r="AM127" i="110"/>
  <c r="AM79" i="110"/>
  <c r="W110" i="110"/>
  <c r="W61" i="110"/>
  <c r="AM92" i="110"/>
  <c r="AM123" i="110"/>
  <c r="W75" i="110"/>
  <c r="AM106" i="110"/>
  <c r="W57" i="110"/>
  <c r="Q27" i="109"/>
  <c r="U27" i="109" s="1"/>
  <c r="X4" i="112"/>
  <c r="M4" i="112"/>
  <c r="W88" i="110"/>
  <c r="AM119" i="110"/>
  <c r="AM71" i="110"/>
  <c r="AM102" i="110"/>
  <c r="AM53" i="110"/>
  <c r="AM84" i="110"/>
  <c r="AM115" i="110"/>
  <c r="W67" i="110"/>
  <c r="AM98" i="110"/>
  <c r="G59" i="118"/>
  <c r="G46" i="118"/>
  <c r="G21" i="118"/>
  <c r="G101" i="118"/>
  <c r="G25" i="118"/>
  <c r="G34" i="118"/>
  <c r="G50" i="118"/>
  <c r="G66" i="118"/>
  <c r="G112" i="118"/>
  <c r="G106" i="118"/>
  <c r="G107" i="118"/>
  <c r="G123" i="118"/>
  <c r="G116" i="118"/>
  <c r="G29" i="118"/>
  <c r="G14" i="118"/>
  <c r="G82" i="118"/>
  <c r="G60" i="118"/>
  <c r="G71" i="118"/>
  <c r="G87" i="118"/>
  <c r="G103" i="118"/>
  <c r="G64" i="118"/>
  <c r="G80" i="118"/>
  <c r="G36" i="118"/>
  <c r="G47" i="118"/>
  <c r="G121" i="118"/>
  <c r="G53" i="118"/>
  <c r="G18" i="118"/>
  <c r="G19" i="118"/>
  <c r="G35" i="118"/>
  <c r="G51" i="118"/>
  <c r="G97" i="118"/>
  <c r="G91" i="118"/>
  <c r="G84" i="118"/>
  <c r="G100" i="118"/>
  <c r="G110" i="118"/>
  <c r="G126" i="118"/>
  <c r="G15" i="118"/>
  <c r="G67" i="118"/>
  <c r="G54" i="118"/>
  <c r="G16" i="118"/>
  <c r="G32" i="118"/>
  <c r="G48" i="118"/>
  <c r="G49" i="118"/>
  <c r="G65" i="118"/>
  <c r="G30" i="118"/>
  <c r="G120" i="118"/>
  <c r="G114" i="118"/>
  <c r="G131" i="118"/>
  <c r="G125" i="118"/>
  <c r="G69" i="118"/>
  <c r="G12" i="118"/>
  <c r="G28" i="118"/>
  <c r="G90" i="118"/>
  <c r="G68" i="118"/>
  <c r="G78" i="118"/>
  <c r="G94" i="118"/>
  <c r="G111" i="118"/>
  <c r="G127" i="118"/>
  <c r="G85" i="118"/>
  <c r="G44" i="118"/>
  <c r="G55" i="118"/>
  <c r="G61" i="118"/>
  <c r="G17" i="118"/>
  <c r="G33" i="118"/>
  <c r="G42" i="118"/>
  <c r="G58" i="118"/>
  <c r="G96" i="118"/>
  <c r="G31" i="118"/>
  <c r="G105" i="118"/>
  <c r="G99" i="118"/>
  <c r="G115" i="118"/>
  <c r="G130" i="118"/>
  <c r="G124" i="118"/>
  <c r="G93" i="118"/>
  <c r="G22" i="118"/>
  <c r="G75" i="118"/>
  <c r="G62" i="118"/>
  <c r="G79" i="118"/>
  <c r="G95" i="118"/>
  <c r="G56" i="118"/>
  <c r="G72" i="118"/>
  <c r="G88" i="118"/>
  <c r="G81" i="118"/>
  <c r="G38" i="118"/>
  <c r="G128" i="118"/>
  <c r="G129" i="118"/>
  <c r="G109" i="118"/>
  <c r="G26" i="118"/>
  <c r="G27" i="118"/>
  <c r="G43" i="118"/>
  <c r="G104" i="118"/>
  <c r="G98" i="118"/>
  <c r="G76" i="118"/>
  <c r="G92" i="118"/>
  <c r="G108" i="118"/>
  <c r="G118" i="118"/>
  <c r="G45" i="118"/>
  <c r="G23" i="118"/>
  <c r="G52" i="118"/>
  <c r="G63" i="118"/>
  <c r="G24" i="118"/>
  <c r="G40" i="118"/>
  <c r="G41" i="118"/>
  <c r="G57" i="118"/>
  <c r="G73" i="118"/>
  <c r="G11" i="118"/>
  <c r="G74" i="118"/>
  <c r="G39" i="118"/>
  <c r="G113" i="118"/>
  <c r="G122" i="118"/>
  <c r="G77" i="118"/>
  <c r="G13" i="118"/>
  <c r="G117" i="118"/>
  <c r="G20" i="118"/>
  <c r="G89" i="118"/>
  <c r="G83" i="118"/>
  <c r="G70" i="118"/>
  <c r="G86" i="118"/>
  <c r="G102" i="118"/>
  <c r="G119" i="118"/>
  <c r="G37" i="118"/>
  <c r="AC9" i="109"/>
  <c r="AG9" i="109" s="1"/>
  <c r="R32" i="109"/>
  <c r="U32" i="109" s="1"/>
  <c r="W129" i="110"/>
  <c r="W80" i="110"/>
  <c r="AM111" i="110"/>
  <c r="AM63" i="110"/>
  <c r="AM94" i="110"/>
  <c r="W125" i="110"/>
  <c r="AM76" i="110"/>
  <c r="W107" i="110"/>
  <c r="AM59" i="110"/>
  <c r="AM90" i="110"/>
  <c r="V68" i="118"/>
  <c r="V19" i="118"/>
  <c r="V52" i="118"/>
  <c r="V79" i="118"/>
  <c r="V95" i="118"/>
  <c r="V89" i="118"/>
  <c r="V61" i="118"/>
  <c r="V85" i="118"/>
  <c r="V116" i="118"/>
  <c r="V55" i="118"/>
  <c r="V42" i="118"/>
  <c r="V72" i="118"/>
  <c r="V81" i="118"/>
  <c r="V127" i="118"/>
  <c r="V114" i="118"/>
  <c r="V124" i="118"/>
  <c r="V117" i="118"/>
  <c r="V131" i="118"/>
  <c r="V44" i="118"/>
  <c r="V22" i="118"/>
  <c r="V38" i="118"/>
  <c r="V97" i="118"/>
  <c r="V69" i="118"/>
  <c r="V130" i="118"/>
  <c r="V47" i="118"/>
  <c r="V54" i="118"/>
  <c r="V64" i="118"/>
  <c r="V80" i="118"/>
  <c r="V82" i="118"/>
  <c r="V28" i="118"/>
  <c r="V11" i="118"/>
  <c r="V94" i="118"/>
  <c r="V60" i="118"/>
  <c r="V40" i="118"/>
  <c r="V27" i="118"/>
  <c r="V65" i="118"/>
  <c r="V74" i="118"/>
  <c r="V112" i="118"/>
  <c r="V99" i="118"/>
  <c r="V36" i="118"/>
  <c r="V125" i="118"/>
  <c r="V109" i="118"/>
  <c r="V70" i="118"/>
  <c r="V100" i="118"/>
  <c r="V59" i="118"/>
  <c r="V90" i="118"/>
  <c r="V15" i="118"/>
  <c r="V115" i="118"/>
  <c r="V32" i="118"/>
  <c r="V63" i="118"/>
  <c r="V57" i="118"/>
  <c r="V73" i="118"/>
  <c r="V67" i="118"/>
  <c r="V120" i="118"/>
  <c r="V31" i="118"/>
  <c r="V123" i="118"/>
  <c r="V33" i="118"/>
  <c r="V84" i="118"/>
  <c r="V58" i="118"/>
  <c r="V37" i="118"/>
  <c r="V105" i="118"/>
  <c r="V129" i="118"/>
  <c r="V39" i="118"/>
  <c r="V126" i="118"/>
  <c r="V71" i="118"/>
  <c r="V30" i="118"/>
  <c r="V77" i="118"/>
  <c r="V75" i="118"/>
  <c r="V76" i="118"/>
  <c r="V93" i="118"/>
  <c r="V25" i="118"/>
  <c r="V48" i="118"/>
  <c r="V50" i="118"/>
  <c r="V66" i="118"/>
  <c r="V78" i="118"/>
  <c r="V113" i="118"/>
  <c r="V16" i="118"/>
  <c r="V101" i="118"/>
  <c r="V26" i="118"/>
  <c r="V14" i="118"/>
  <c r="V43" i="118"/>
  <c r="V111" i="118"/>
  <c r="V98" i="118"/>
  <c r="V122" i="118"/>
  <c r="V24" i="118"/>
  <c r="V20" i="118"/>
  <c r="V56" i="118"/>
  <c r="V62" i="118"/>
  <c r="V103" i="118"/>
  <c r="V53" i="118"/>
  <c r="V128" i="118"/>
  <c r="V102" i="118"/>
  <c r="V18" i="118"/>
  <c r="V41" i="118"/>
  <c r="V35" i="118"/>
  <c r="V51" i="118"/>
  <c r="V119" i="118"/>
  <c r="V106" i="118"/>
  <c r="V92" i="118"/>
  <c r="V110" i="118"/>
  <c r="V12" i="118"/>
  <c r="V46" i="118"/>
  <c r="V21" i="118"/>
  <c r="V96" i="118"/>
  <c r="V83" i="118"/>
  <c r="V107" i="118"/>
  <c r="V17" i="118"/>
  <c r="V45" i="118"/>
  <c r="V49" i="118"/>
  <c r="V87" i="118"/>
  <c r="V88" i="118"/>
  <c r="V86" i="118"/>
  <c r="V121" i="118"/>
  <c r="V23" i="118"/>
  <c r="V118" i="118"/>
  <c r="V108" i="118"/>
  <c r="V34" i="118"/>
  <c r="V13" i="118"/>
  <c r="V29" i="118"/>
  <c r="V104" i="118"/>
  <c r="V91" i="118"/>
  <c r="V636" i="79"/>
  <c r="X636" i="79"/>
  <c r="AB636" i="79"/>
  <c r="O636" i="79" s="1"/>
  <c r="M636" i="79" s="1"/>
  <c r="Q8" i="109"/>
  <c r="N28" i="109"/>
  <c r="U28" i="109" s="1"/>
  <c r="AM121" i="110"/>
  <c r="W72" i="110"/>
  <c r="AM103" i="110"/>
  <c r="W55" i="110"/>
  <c r="W86" i="110"/>
  <c r="AM117" i="110"/>
  <c r="AM68" i="110"/>
  <c r="W99" i="110"/>
  <c r="AM82" i="110"/>
  <c r="AD6" i="118" a="1"/>
  <c r="AD6" i="118" s="1"/>
  <c r="O6" i="118" a="1"/>
  <c r="O6" i="118" s="1"/>
  <c r="V153" i="79"/>
  <c r="X153" i="79"/>
  <c r="AB153" i="79"/>
  <c r="O153" i="79" s="1"/>
  <c r="M153" i="79" s="1"/>
  <c r="AM113" i="110"/>
  <c r="AM64" i="110"/>
  <c r="W95" i="110"/>
  <c r="AM126" i="110"/>
  <c r="AM78" i="110"/>
  <c r="W109" i="110"/>
  <c r="W60" i="110"/>
  <c r="AM91" i="110"/>
  <c r="W122" i="110"/>
  <c r="W74" i="110"/>
  <c r="AC17" i="109"/>
  <c r="AG17" i="109" s="1"/>
  <c r="R14" i="109"/>
  <c r="U14" i="109" s="1"/>
  <c r="AC8" i="109"/>
  <c r="AG8" i="109" s="1"/>
  <c r="W105" i="110"/>
  <c r="W56" i="110"/>
  <c r="AM87" i="110"/>
  <c r="W118" i="110"/>
  <c r="W70" i="110"/>
  <c r="W101" i="110"/>
  <c r="AM52" i="110"/>
  <c r="W83" i="110"/>
  <c r="W114" i="110"/>
  <c r="AM66" i="110"/>
  <c r="Q17" i="109"/>
  <c r="U17" i="109" s="1"/>
  <c r="R23" i="109"/>
  <c r="U23" i="109" s="1"/>
  <c r="Z6" i="78" a="1"/>
  <c r="Z6" i="78" s="1"/>
  <c r="Z6" i="75" a="1"/>
  <c r="Z6" i="75" s="1"/>
  <c r="N6" i="78" a="1"/>
  <c r="N6" i="78" s="1"/>
  <c r="N6" i="75" a="1"/>
  <c r="N6" i="75" s="1"/>
  <c r="W97" i="110"/>
  <c r="AM128" i="110"/>
  <c r="W79" i="110"/>
  <c r="AM110" i="110"/>
  <c r="AM62" i="110"/>
  <c r="W93" i="110"/>
  <c r="AM124" i="110"/>
  <c r="AM75" i="110"/>
  <c r="W106" i="110"/>
  <c r="AM58" i="110"/>
  <c r="AA84" i="75" l="1"/>
  <c r="AA115" i="75"/>
  <c r="AA52" i="75"/>
  <c r="AA14" i="75"/>
  <c r="AA107" i="75"/>
  <c r="AA60" i="75"/>
  <c r="AA28" i="75"/>
  <c r="M98" i="78"/>
  <c r="M93" i="78"/>
  <c r="M15" i="78"/>
  <c r="M124" i="78"/>
  <c r="M76" i="78"/>
  <c r="M60" i="78"/>
  <c r="M103" i="78"/>
  <c r="M89" i="78"/>
  <c r="M87" i="78"/>
  <c r="M71" i="78"/>
  <c r="M37" i="78"/>
  <c r="M21" i="78"/>
  <c r="M112" i="78"/>
  <c r="M96" i="78"/>
  <c r="M11" i="78"/>
  <c r="M108" i="78"/>
  <c r="M44" i="78"/>
  <c r="M73" i="78"/>
  <c r="M55" i="78"/>
  <c r="M84" i="78"/>
  <c r="M82" i="78"/>
  <c r="M75" i="78"/>
  <c r="M92" i="78"/>
  <c r="M28" i="78"/>
  <c r="M57" i="78"/>
  <c r="M39" i="78"/>
  <c r="M68" i="78"/>
  <c r="M66" i="78"/>
  <c r="M126" i="78"/>
  <c r="M78" i="78"/>
  <c r="M12" i="78"/>
  <c r="M41" i="78"/>
  <c r="M23" i="78"/>
  <c r="M52" i="78"/>
  <c r="M50" i="78"/>
  <c r="M110" i="78"/>
  <c r="M62" i="78"/>
  <c r="M59" i="78"/>
  <c r="M25" i="78"/>
  <c r="M116" i="78"/>
  <c r="M36" i="78"/>
  <c r="M34" i="78"/>
  <c r="M130" i="78"/>
  <c r="M94" i="78"/>
  <c r="M46" i="78"/>
  <c r="M43" i="78"/>
  <c r="M118" i="78"/>
  <c r="M100" i="78"/>
  <c r="M20" i="78"/>
  <c r="M18" i="78"/>
  <c r="M125" i="78"/>
  <c r="M80" i="78"/>
  <c r="M30" i="78"/>
  <c r="M27" i="78"/>
  <c r="M102" i="78"/>
  <c r="M86" i="78"/>
  <c r="M129" i="78"/>
  <c r="M127" i="78"/>
  <c r="M123" i="78"/>
  <c r="M64" i="78"/>
  <c r="M14" i="78"/>
  <c r="M120" i="78"/>
  <c r="M88" i="78"/>
  <c r="M70" i="78"/>
  <c r="M113" i="78"/>
  <c r="M111" i="78"/>
  <c r="M122" i="78"/>
  <c r="M48" i="78"/>
  <c r="M91" i="78"/>
  <c r="M104" i="78"/>
  <c r="M72" i="78"/>
  <c r="M54" i="78"/>
  <c r="M97" i="78"/>
  <c r="M95" i="78"/>
  <c r="M121" i="78"/>
  <c r="M32" i="78"/>
  <c r="M77" i="78"/>
  <c r="M90" i="78"/>
  <c r="M56" i="78"/>
  <c r="M38" i="78"/>
  <c r="M83" i="78"/>
  <c r="M81" i="78"/>
  <c r="M115" i="78"/>
  <c r="M16" i="78"/>
  <c r="M61" i="78"/>
  <c r="M74" i="78"/>
  <c r="M40" i="78"/>
  <c r="M22" i="78"/>
  <c r="M67" i="78"/>
  <c r="M65" i="78"/>
  <c r="M114" i="78"/>
  <c r="M79" i="78"/>
  <c r="M45" i="78"/>
  <c r="M58" i="78"/>
  <c r="M24" i="78"/>
  <c r="M99" i="78"/>
  <c r="M51" i="78"/>
  <c r="M49" i="78"/>
  <c r="M109" i="78"/>
  <c r="M63" i="78"/>
  <c r="M29" i="78"/>
  <c r="M42" i="78"/>
  <c r="M131" i="78"/>
  <c r="M85" i="78"/>
  <c r="M35" i="78"/>
  <c r="M33" i="78"/>
  <c r="M107" i="78"/>
  <c r="M47" i="78"/>
  <c r="M13" i="78"/>
  <c r="M26" i="78"/>
  <c r="M117" i="78"/>
  <c r="M69" i="78"/>
  <c r="M19" i="78"/>
  <c r="M17" i="78"/>
  <c r="M105" i="78"/>
  <c r="M31" i="78"/>
  <c r="M106" i="78"/>
  <c r="M119" i="78"/>
  <c r="M101" i="78"/>
  <c r="M53" i="78"/>
  <c r="G5" i="75" a="1"/>
  <c r="G5" i="75" s="1"/>
  <c r="Y119" i="75"/>
  <c r="Y89" i="75"/>
  <c r="M92" i="75"/>
  <c r="M40" i="75"/>
  <c r="M113" i="75"/>
  <c r="Y31" i="75"/>
  <c r="Y77" i="75"/>
  <c r="M115" i="75"/>
  <c r="G4" i="75"/>
  <c r="M94" i="75"/>
  <c r="M46" i="75"/>
  <c r="M76" i="75"/>
  <c r="M58" i="75"/>
  <c r="M24" i="75"/>
  <c r="M64" i="75"/>
  <c r="M62" i="75"/>
  <c r="M44" i="75"/>
  <c r="M26" i="75"/>
  <c r="M117" i="75"/>
  <c r="M85" i="75"/>
  <c r="M83" i="75"/>
  <c r="Y117" i="75"/>
  <c r="Y61" i="75"/>
  <c r="M42" i="75"/>
  <c r="M32" i="75"/>
  <c r="M30" i="75"/>
  <c r="M12" i="75"/>
  <c r="M119" i="75"/>
  <c r="M87" i="75"/>
  <c r="M53" i="75"/>
  <c r="M51" i="75"/>
  <c r="Y71" i="75"/>
  <c r="M130" i="75"/>
  <c r="M127" i="75"/>
  <c r="M125" i="75"/>
  <c r="M123" i="75"/>
  <c r="M105" i="75"/>
  <c r="M89" i="75"/>
  <c r="M55" i="75"/>
  <c r="M21" i="75"/>
  <c r="M19" i="75"/>
  <c r="Y69" i="75"/>
  <c r="M78" i="75"/>
  <c r="M48" i="75"/>
  <c r="M69" i="75"/>
  <c r="Y29" i="75"/>
  <c r="M14" i="75"/>
  <c r="M103" i="75"/>
  <c r="M37" i="75"/>
  <c r="M111" i="75"/>
  <c r="M107" i="75"/>
  <c r="M39" i="75"/>
  <c r="M131" i="75"/>
  <c r="M128" i="75"/>
  <c r="Y37" i="75"/>
  <c r="M95" i="75"/>
  <c r="M57" i="75"/>
  <c r="Y83" i="75"/>
  <c r="M75" i="75"/>
  <c r="M112" i="75"/>
  <c r="M81" i="75"/>
  <c r="M41" i="75"/>
  <c r="M116" i="75"/>
  <c r="M96" i="75"/>
  <c r="M60" i="75"/>
  <c r="M109" i="75"/>
  <c r="M11" i="75"/>
  <c r="M93" i="75"/>
  <c r="M114" i="75"/>
  <c r="M77" i="75"/>
  <c r="Y67" i="75"/>
  <c r="M65" i="75"/>
  <c r="M63" i="75"/>
  <c r="M61" i="75"/>
  <c r="M43" i="75"/>
  <c r="M25" i="75"/>
  <c r="M100" i="75"/>
  <c r="M84" i="75"/>
  <c r="M82" i="75"/>
  <c r="Y35" i="75"/>
  <c r="M73" i="75"/>
  <c r="M91" i="75"/>
  <c r="M23" i="75"/>
  <c r="M98" i="75"/>
  <c r="M49" i="75"/>
  <c r="M47" i="75"/>
  <c r="M45" i="75"/>
  <c r="M27" i="75"/>
  <c r="M118" i="75"/>
  <c r="M86" i="75"/>
  <c r="M68" i="75"/>
  <c r="M66" i="75"/>
  <c r="Y81" i="75"/>
  <c r="M80" i="75"/>
  <c r="M99" i="75"/>
  <c r="M28" i="75"/>
  <c r="Y101" i="75"/>
  <c r="M16" i="75"/>
  <c r="M71" i="75"/>
  <c r="Y85" i="75"/>
  <c r="M79" i="75"/>
  <c r="M33" i="75"/>
  <c r="M31" i="75"/>
  <c r="M29" i="75"/>
  <c r="M120" i="75"/>
  <c r="M102" i="75"/>
  <c r="M70" i="75"/>
  <c r="M52" i="75"/>
  <c r="M50" i="75"/>
  <c r="Y65" i="75"/>
  <c r="M97" i="75"/>
  <c r="M101" i="75"/>
  <c r="M59" i="75"/>
  <c r="M17" i="75"/>
  <c r="M15" i="75"/>
  <c r="M13" i="75"/>
  <c r="M104" i="75"/>
  <c r="M88" i="75"/>
  <c r="M54" i="75"/>
  <c r="M36" i="75"/>
  <c r="M34" i="75"/>
  <c r="Y33" i="75"/>
  <c r="M67" i="75"/>
  <c r="M121" i="75"/>
  <c r="M35" i="75"/>
  <c r="M126" i="75"/>
  <c r="M124" i="75"/>
  <c r="M122" i="75"/>
  <c r="M90" i="75"/>
  <c r="M72" i="75"/>
  <c r="M38" i="75"/>
  <c r="M20" i="75"/>
  <c r="M18" i="75"/>
  <c r="Y121" i="75"/>
  <c r="Y79" i="75"/>
  <c r="M110" i="75"/>
  <c r="M108" i="75"/>
  <c r="M106" i="75"/>
  <c r="M74" i="75"/>
  <c r="M56" i="75"/>
  <c r="M22" i="75"/>
  <c r="Y26" i="75"/>
  <c r="Y63" i="75"/>
  <c r="AA20" i="75"/>
  <c r="AA121" i="75"/>
  <c r="AA113" i="75"/>
  <c r="AA11" i="75"/>
  <c r="AA82" i="75"/>
  <c r="AA42" i="75"/>
  <c r="Y6" i="32" a="1"/>
  <c r="Y6" i="32" s="1"/>
  <c r="Y50" i="32" s="1"/>
  <c r="AA50" i="75"/>
  <c r="AA119" i="75"/>
  <c r="AA18" i="75"/>
  <c r="AA89" i="75"/>
  <c r="AA111" i="75"/>
  <c r="AA57" i="75"/>
  <c r="AA80" i="75"/>
  <c r="AA130" i="75"/>
  <c r="AA48" i="75"/>
  <c r="AA101" i="75"/>
  <c r="AA16" i="75"/>
  <c r="AA71" i="75"/>
  <c r="AA109" i="75"/>
  <c r="AA39" i="75"/>
  <c r="AA78" i="75"/>
  <c r="AA46" i="75"/>
  <c r="G4" i="78"/>
  <c r="AA98" i="75"/>
  <c r="AA96" i="75"/>
  <c r="AA94" i="75"/>
  <c r="AA92" i="75"/>
  <c r="AA76" i="75"/>
  <c r="AA58" i="75"/>
  <c r="AA24" i="75"/>
  <c r="AA68" i="75"/>
  <c r="AA66" i="75"/>
  <c r="AA64" i="75"/>
  <c r="AA62" i="75"/>
  <c r="AA44" i="75"/>
  <c r="AA26" i="75"/>
  <c r="AA117" i="75"/>
  <c r="AA36" i="75"/>
  <c r="AA34" i="75"/>
  <c r="AA32" i="75"/>
  <c r="AA30" i="75"/>
  <c r="AA12" i="75"/>
  <c r="AA103" i="75"/>
  <c r="AA87" i="75"/>
  <c r="AA129" i="75"/>
  <c r="AA127" i="75"/>
  <c r="AA125" i="75"/>
  <c r="AA123" i="75"/>
  <c r="AA105" i="75"/>
  <c r="AA73" i="75"/>
  <c r="AA55" i="75"/>
  <c r="G5" i="78" a="1"/>
  <c r="G5" i="78" s="1"/>
  <c r="AA99" i="75"/>
  <c r="AA97" i="75"/>
  <c r="AA95" i="75"/>
  <c r="AA93" i="75"/>
  <c r="AA91" i="75"/>
  <c r="AA75" i="75"/>
  <c r="AA41" i="75"/>
  <c r="AA23" i="75"/>
  <c r="AA85" i="75"/>
  <c r="AA83" i="75"/>
  <c r="AA81" i="75"/>
  <c r="AA79" i="75"/>
  <c r="AA77" i="75"/>
  <c r="AA59" i="75"/>
  <c r="AA25" i="75"/>
  <c r="AA116" i="75"/>
  <c r="AA69" i="75"/>
  <c r="AA67" i="75"/>
  <c r="AA65" i="75"/>
  <c r="AA63" i="75"/>
  <c r="AA61" i="75"/>
  <c r="AA43" i="75"/>
  <c r="AA118" i="75"/>
  <c r="AA100" i="75"/>
  <c r="AA53" i="75"/>
  <c r="AA51" i="75"/>
  <c r="AA49" i="75"/>
  <c r="AA47" i="75"/>
  <c r="AA45" i="75"/>
  <c r="AA27" i="75"/>
  <c r="AA102" i="75"/>
  <c r="AA86" i="75"/>
  <c r="AA37" i="75"/>
  <c r="AA35" i="75"/>
  <c r="AA33" i="75"/>
  <c r="AA31" i="75"/>
  <c r="AA29" i="75"/>
  <c r="AA120" i="75"/>
  <c r="AA88" i="75"/>
  <c r="AA70" i="75"/>
  <c r="AA21" i="75"/>
  <c r="AA19" i="75"/>
  <c r="AA17" i="75"/>
  <c r="AA15" i="75"/>
  <c r="AA13" i="75"/>
  <c r="AA104" i="75"/>
  <c r="AA72" i="75"/>
  <c r="AA54" i="75"/>
  <c r="AA131" i="75"/>
  <c r="AA128" i="75"/>
  <c r="AA126" i="75"/>
  <c r="AA124" i="75"/>
  <c r="AA122" i="75"/>
  <c r="AA90" i="75"/>
  <c r="AA56" i="75"/>
  <c r="AA38" i="75"/>
  <c r="AA114" i="75"/>
  <c r="AA112" i="75"/>
  <c r="AA110" i="75"/>
  <c r="AA108" i="75"/>
  <c r="AA106" i="75"/>
  <c r="AA74" i="75"/>
  <c r="AA40" i="75"/>
  <c r="S4" i="78"/>
  <c r="AA65" i="78"/>
  <c r="AA44" i="78"/>
  <c r="O50" i="78"/>
  <c r="O46" i="78"/>
  <c r="AA15" i="78"/>
  <c r="O28" i="78"/>
  <c r="AA36" i="78"/>
  <c r="S5" i="78" a="1"/>
  <c r="S5" i="78" s="1"/>
  <c r="O131" i="78"/>
  <c r="AA20" i="78"/>
  <c r="O101" i="78"/>
  <c r="AA62" i="78"/>
  <c r="AA43" i="78"/>
  <c r="AA12" i="78"/>
  <c r="AA124" i="78"/>
  <c r="AA56" i="78"/>
  <c r="AA33" i="78"/>
  <c r="AA89" i="78"/>
  <c r="AA72" i="78"/>
  <c r="AA27" i="78"/>
  <c r="AA116" i="78"/>
  <c r="O48" i="78"/>
  <c r="O52" i="78"/>
  <c r="AA83" i="78"/>
  <c r="O119" i="78"/>
  <c r="Y103" i="75"/>
  <c r="Y87" i="75"/>
  <c r="Y53" i="75"/>
  <c r="Y51" i="75"/>
  <c r="Y49" i="75"/>
  <c r="Y47" i="75"/>
  <c r="Y45" i="75"/>
  <c r="O20" i="78"/>
  <c r="O18" i="78"/>
  <c r="O16" i="78"/>
  <c r="O14" i="78"/>
  <c r="O121" i="78"/>
  <c r="O103" i="78"/>
  <c r="O71" i="78"/>
  <c r="AA14" i="78"/>
  <c r="AA108" i="78"/>
  <c r="AA121" i="78"/>
  <c r="AA51" i="78"/>
  <c r="AA100" i="78"/>
  <c r="AA46" i="78"/>
  <c r="AA42" i="78"/>
  <c r="AA18" i="78"/>
  <c r="O36" i="78"/>
  <c r="O55" i="78"/>
  <c r="AA19" i="78"/>
  <c r="Y105" i="75"/>
  <c r="Y73" i="75"/>
  <c r="Y55" i="75"/>
  <c r="Y21" i="75"/>
  <c r="Y19" i="75"/>
  <c r="Y17" i="75"/>
  <c r="Y15" i="75"/>
  <c r="Y13" i="75"/>
  <c r="O115" i="78"/>
  <c r="O113" i="78"/>
  <c r="O111" i="78"/>
  <c r="O109" i="78"/>
  <c r="O107" i="78"/>
  <c r="O11" i="78"/>
  <c r="O73" i="78"/>
  <c r="O39" i="78"/>
  <c r="AA110" i="78"/>
  <c r="AA77" i="78"/>
  <c r="AA11" i="78"/>
  <c r="AA118" i="78"/>
  <c r="AA67" i="78"/>
  <c r="AA129" i="78"/>
  <c r="AA57" i="78"/>
  <c r="AA16" i="78"/>
  <c r="Y11" i="75"/>
  <c r="Y57" i="75"/>
  <c r="Y39" i="75"/>
  <c r="Y130" i="75"/>
  <c r="Y128" i="75"/>
  <c r="Y126" i="75"/>
  <c r="Y124" i="75"/>
  <c r="Y122" i="75"/>
  <c r="O99" i="78"/>
  <c r="O97" i="78"/>
  <c r="O95" i="78"/>
  <c r="O93" i="78"/>
  <c r="O91" i="78"/>
  <c r="O75" i="78"/>
  <c r="O57" i="78"/>
  <c r="O23" i="78"/>
  <c r="AA94" i="78"/>
  <c r="AA59" i="78"/>
  <c r="AA74" i="78"/>
  <c r="AA102" i="78"/>
  <c r="AA48" i="78"/>
  <c r="AA113" i="78"/>
  <c r="AA41" i="78"/>
  <c r="O12" i="78"/>
  <c r="AA26" i="78"/>
  <c r="Y75" i="75"/>
  <c r="Y41" i="75"/>
  <c r="Y23" i="75"/>
  <c r="Y114" i="75"/>
  <c r="Y112" i="75"/>
  <c r="Y110" i="75"/>
  <c r="Y108" i="75"/>
  <c r="Y106" i="75"/>
  <c r="O85" i="78"/>
  <c r="O83" i="78"/>
  <c r="O81" i="78"/>
  <c r="O79" i="78"/>
  <c r="O77" i="78"/>
  <c r="O59" i="78"/>
  <c r="O41" i="78"/>
  <c r="O116" i="78"/>
  <c r="AA79" i="78"/>
  <c r="AA35" i="78"/>
  <c r="AA53" i="78"/>
  <c r="AA88" i="78"/>
  <c r="AA24" i="78"/>
  <c r="AA97" i="78"/>
  <c r="AA25" i="78"/>
  <c r="O127" i="78"/>
  <c r="Y59" i="75"/>
  <c r="Y25" i="75"/>
  <c r="Y116" i="75"/>
  <c r="Y98" i="75"/>
  <c r="Y96" i="75"/>
  <c r="Y94" i="75"/>
  <c r="Y92" i="75"/>
  <c r="Y76" i="75"/>
  <c r="O69" i="78"/>
  <c r="O67" i="78"/>
  <c r="O65" i="78"/>
  <c r="O63" i="78"/>
  <c r="O61" i="78"/>
  <c r="O43" i="78"/>
  <c r="O25" i="78"/>
  <c r="O100" i="78"/>
  <c r="AA61" i="78"/>
  <c r="AA123" i="78"/>
  <c r="AA31" i="78"/>
  <c r="AA69" i="78"/>
  <c r="AA115" i="78"/>
  <c r="AA82" i="78"/>
  <c r="AA87" i="78"/>
  <c r="O30" i="78"/>
  <c r="O89" i="78"/>
  <c r="Y43" i="75"/>
  <c r="Y118" i="75"/>
  <c r="Y100" i="75"/>
  <c r="Y84" i="75"/>
  <c r="Y82" i="75"/>
  <c r="Y80" i="75"/>
  <c r="Y78" i="75"/>
  <c r="Y60" i="75"/>
  <c r="O53" i="78"/>
  <c r="O51" i="78"/>
  <c r="O49" i="78"/>
  <c r="O47" i="78"/>
  <c r="O45" i="78"/>
  <c r="O27" i="78"/>
  <c r="O118" i="78"/>
  <c r="O86" i="78"/>
  <c r="AA40" i="78"/>
  <c r="AA107" i="78"/>
  <c r="AA120" i="78"/>
  <c r="AA50" i="78"/>
  <c r="AA99" i="78"/>
  <c r="AA64" i="78"/>
  <c r="AA71" i="78"/>
  <c r="O105" i="78"/>
  <c r="Y27" i="75"/>
  <c r="Y102" i="75"/>
  <c r="Y86" i="75"/>
  <c r="Y68" i="75"/>
  <c r="Y66" i="75"/>
  <c r="Y64" i="75"/>
  <c r="Y62" i="75"/>
  <c r="Y44" i="75"/>
  <c r="O37" i="78"/>
  <c r="O35" i="78"/>
  <c r="O33" i="78"/>
  <c r="O31" i="78"/>
  <c r="O29" i="78"/>
  <c r="O120" i="78"/>
  <c r="O102" i="78"/>
  <c r="O70" i="78"/>
  <c r="AA13" i="78"/>
  <c r="AA91" i="78"/>
  <c r="AA104" i="78"/>
  <c r="AA28" i="78"/>
  <c r="AA84" i="78"/>
  <c r="AA45" i="78"/>
  <c r="AA55" i="78"/>
  <c r="O32" i="78"/>
  <c r="O125" i="78"/>
  <c r="AA29" i="78"/>
  <c r="Y120" i="75"/>
  <c r="Y88" i="75"/>
  <c r="Y70" i="75"/>
  <c r="Y52" i="75"/>
  <c r="Y50" i="75"/>
  <c r="Y48" i="75"/>
  <c r="Y46" i="75"/>
  <c r="Y28" i="75"/>
  <c r="O21" i="78"/>
  <c r="O19" i="78"/>
  <c r="O17" i="78"/>
  <c r="O15" i="78"/>
  <c r="O13" i="78"/>
  <c r="O104" i="78"/>
  <c r="O88" i="78"/>
  <c r="O54" i="78"/>
  <c r="AA125" i="78"/>
  <c r="AA76" i="78"/>
  <c r="AA90" i="78"/>
  <c r="AA131" i="78"/>
  <c r="AA66" i="78"/>
  <c r="AA17" i="78"/>
  <c r="AA39" i="78"/>
  <c r="O129" i="78"/>
  <c r="AA32" i="78"/>
  <c r="Y104" i="75"/>
  <c r="Y72" i="75"/>
  <c r="Y54" i="75"/>
  <c r="Y36" i="75"/>
  <c r="Y34" i="75"/>
  <c r="Y32" i="75"/>
  <c r="Y30" i="75"/>
  <c r="Y12" i="75"/>
  <c r="O130" i="78"/>
  <c r="O128" i="78"/>
  <c r="O126" i="78"/>
  <c r="O124" i="78"/>
  <c r="O122" i="78"/>
  <c r="O90" i="78"/>
  <c r="O72" i="78"/>
  <c r="O38" i="78"/>
  <c r="AA109" i="78"/>
  <c r="AA58" i="78"/>
  <c r="AA73" i="78"/>
  <c r="AA117" i="78"/>
  <c r="AA47" i="78"/>
  <c r="AA128" i="78"/>
  <c r="AA23" i="78"/>
  <c r="O87" i="78"/>
  <c r="AA126" i="78"/>
  <c r="Y90" i="75"/>
  <c r="Y56" i="75"/>
  <c r="Y38" i="75"/>
  <c r="Y20" i="75"/>
  <c r="Y18" i="75"/>
  <c r="Y16" i="75"/>
  <c r="Y14" i="75"/>
  <c r="O114" i="78"/>
  <c r="O112" i="78"/>
  <c r="O110" i="78"/>
  <c r="O108" i="78"/>
  <c r="O106" i="78"/>
  <c r="O74" i="78"/>
  <c r="O56" i="78"/>
  <c r="O22" i="78"/>
  <c r="AA127" i="78"/>
  <c r="AA93" i="78"/>
  <c r="AA34" i="78"/>
  <c r="AA52" i="78"/>
  <c r="AA101" i="78"/>
  <c r="AA21" i="78"/>
  <c r="AA112" i="78"/>
  <c r="AA70" i="78"/>
  <c r="AA105" i="78"/>
  <c r="Y74" i="75"/>
  <c r="Y40" i="75"/>
  <c r="Y22" i="75"/>
  <c r="Y129" i="75"/>
  <c r="Y127" i="75"/>
  <c r="Y125" i="75"/>
  <c r="Y123" i="75"/>
  <c r="O98" i="78"/>
  <c r="O96" i="78"/>
  <c r="O94" i="78"/>
  <c r="O92" i="78"/>
  <c r="O76" i="78"/>
  <c r="O58" i="78"/>
  <c r="O40" i="78"/>
  <c r="AA111" i="78"/>
  <c r="AA78" i="78"/>
  <c r="AA122" i="78"/>
  <c r="AA30" i="78"/>
  <c r="AA86" i="78"/>
  <c r="AA130" i="78"/>
  <c r="AA96" i="78"/>
  <c r="AA54" i="78"/>
  <c r="O34" i="78"/>
  <c r="O123" i="78"/>
  <c r="AA85" i="78"/>
  <c r="Y58" i="75"/>
  <c r="Y24" i="75"/>
  <c r="Y115" i="75"/>
  <c r="Y113" i="75"/>
  <c r="Y111" i="75"/>
  <c r="Y109" i="75"/>
  <c r="Y107" i="75"/>
  <c r="O84" i="78"/>
  <c r="O82" i="78"/>
  <c r="O80" i="78"/>
  <c r="O78" i="78"/>
  <c r="O60" i="78"/>
  <c r="O42" i="78"/>
  <c r="O24" i="78"/>
  <c r="AA95" i="78"/>
  <c r="AA60" i="78"/>
  <c r="AA106" i="78"/>
  <c r="AA119" i="78"/>
  <c r="AA68" i="78"/>
  <c r="AA114" i="78"/>
  <c r="AA81" i="78"/>
  <c r="AA38" i="78"/>
  <c r="AA92" i="78"/>
  <c r="Y42" i="75"/>
  <c r="Y131" i="75"/>
  <c r="Y99" i="75"/>
  <c r="Y97" i="75"/>
  <c r="Y95" i="75"/>
  <c r="Y93" i="75"/>
  <c r="O68" i="78"/>
  <c r="O66" i="78"/>
  <c r="O64" i="78"/>
  <c r="O62" i="78"/>
  <c r="O44" i="78"/>
  <c r="O26" i="78"/>
  <c r="AA80" i="78"/>
  <c r="AA37" i="78"/>
  <c r="AA75" i="78"/>
  <c r="AA103" i="78"/>
  <c r="AA49" i="78"/>
  <c r="AA98" i="78"/>
  <c r="AA63" i="78"/>
  <c r="Z6" i="32" a="1"/>
  <c r="Z6" i="32" s="1"/>
  <c r="Z84" i="32" s="1"/>
  <c r="O226" i="79"/>
  <c r="M226" i="79" s="1"/>
  <c r="U6" i="78" s="1" a="1"/>
  <c r="U6" i="78" s="1"/>
  <c r="I53" i="32"/>
  <c r="I34" i="32"/>
  <c r="I15" i="32"/>
  <c r="I91" i="32"/>
  <c r="I72" i="32"/>
  <c r="I31" i="32"/>
  <c r="I28" i="32"/>
  <c r="I88" i="32"/>
  <c r="I69" i="32"/>
  <c r="I50" i="32"/>
  <c r="I12" i="32"/>
  <c r="I78" i="32"/>
  <c r="I75" i="32"/>
  <c r="I56" i="32"/>
  <c r="I37" i="32"/>
  <c r="I18" i="32"/>
  <c r="I81" i="32"/>
  <c r="I62" i="32"/>
  <c r="I59" i="32"/>
  <c r="I40" i="32"/>
  <c r="I21" i="32"/>
  <c r="I65" i="32"/>
  <c r="I46" i="32"/>
  <c r="I43" i="32"/>
  <c r="I24" i="32"/>
  <c r="I84" i="32"/>
  <c r="I49" i="32"/>
  <c r="I30" i="32"/>
  <c r="I27" i="32"/>
  <c r="I87" i="32"/>
  <c r="I68" i="32"/>
  <c r="I33" i="32"/>
  <c r="I14" i="32"/>
  <c r="I90" i="32"/>
  <c r="I71" i="32"/>
  <c r="I52" i="32"/>
  <c r="I17" i="32"/>
  <c r="I77" i="32"/>
  <c r="I74" i="32"/>
  <c r="I55" i="32"/>
  <c r="I36" i="32"/>
  <c r="I80" i="32"/>
  <c r="I61" i="32"/>
  <c r="I58" i="32"/>
  <c r="I39" i="32"/>
  <c r="I20" i="32"/>
  <c r="I64" i="32"/>
  <c r="I45" i="32"/>
  <c r="I42" i="32"/>
  <c r="I23" i="32"/>
  <c r="I83" i="32"/>
  <c r="I48" i="32"/>
  <c r="I29" i="32"/>
  <c r="I26" i="32"/>
  <c r="I86" i="32"/>
  <c r="I67" i="32"/>
  <c r="I32" i="32"/>
  <c r="I13" i="32"/>
  <c r="I89" i="32"/>
  <c r="I70" i="32"/>
  <c r="I51" i="32"/>
  <c r="I16" i="32"/>
  <c r="I92" i="32"/>
  <c r="I73" i="32"/>
  <c r="I54" i="32"/>
  <c r="I35" i="32"/>
  <c r="I79" i="32"/>
  <c r="I76" i="32"/>
  <c r="I57" i="32"/>
  <c r="I38" i="32"/>
  <c r="I19" i="32"/>
  <c r="I63" i="32"/>
  <c r="I60" i="32"/>
  <c r="I41" i="32"/>
  <c r="I22" i="32"/>
  <c r="I82" i="32"/>
  <c r="I47" i="32"/>
  <c r="I44" i="32"/>
  <c r="I25" i="32"/>
  <c r="I85" i="32"/>
  <c r="O694" i="79"/>
  <c r="M694" i="79" s="1"/>
  <c r="W33" i="32"/>
  <c r="W14" i="32"/>
  <c r="W90" i="32"/>
  <c r="W71" i="32"/>
  <c r="W52" i="32"/>
  <c r="W49" i="32"/>
  <c r="W30" i="32"/>
  <c r="W27" i="32"/>
  <c r="W87" i="32"/>
  <c r="W68" i="32"/>
  <c r="W17" i="32"/>
  <c r="W77" i="32"/>
  <c r="W74" i="32"/>
  <c r="W55" i="32"/>
  <c r="W36" i="32"/>
  <c r="W80" i="32"/>
  <c r="W61" i="32"/>
  <c r="W58" i="32"/>
  <c r="W39" i="32"/>
  <c r="W20" i="32"/>
  <c r="W64" i="32"/>
  <c r="W45" i="32"/>
  <c r="W42" i="32"/>
  <c r="W23" i="32"/>
  <c r="W83" i="32"/>
  <c r="W48" i="32"/>
  <c r="W29" i="32"/>
  <c r="W26" i="32"/>
  <c r="W86" i="32"/>
  <c r="W67" i="32"/>
  <c r="W32" i="32"/>
  <c r="W13" i="32"/>
  <c r="W89" i="32"/>
  <c r="W70" i="32"/>
  <c r="W51" i="32"/>
  <c r="W16" i="32"/>
  <c r="W92" i="32"/>
  <c r="W73" i="32"/>
  <c r="W54" i="32"/>
  <c r="W35" i="32"/>
  <c r="W79" i="32"/>
  <c r="W76" i="32"/>
  <c r="W57" i="32"/>
  <c r="W38" i="32"/>
  <c r="W19" i="32"/>
  <c r="W63" i="32"/>
  <c r="W60" i="32"/>
  <c r="W41" i="32"/>
  <c r="W22" i="32"/>
  <c r="W12" i="32"/>
  <c r="W47" i="32"/>
  <c r="W44" i="32"/>
  <c r="W25" i="32"/>
  <c r="W85" i="32"/>
  <c r="W82" i="32"/>
  <c r="W31" i="32"/>
  <c r="W28" i="32"/>
  <c r="W88" i="32"/>
  <c r="W69" i="32"/>
  <c r="W66" i="32"/>
  <c r="W15" i="32"/>
  <c r="W91" i="32"/>
  <c r="W72" i="32"/>
  <c r="W53" i="32"/>
  <c r="W50" i="32"/>
  <c r="W78" i="32"/>
  <c r="W75" i="32"/>
  <c r="W56" i="32"/>
  <c r="W37" i="32"/>
  <c r="W34" i="32"/>
  <c r="W81" i="32"/>
  <c r="W62" i="32"/>
  <c r="W59" i="32"/>
  <c r="W40" i="32"/>
  <c r="W21" i="32"/>
  <c r="W18" i="32"/>
  <c r="W65" i="32"/>
  <c r="W46" i="32"/>
  <c r="W43" i="32"/>
  <c r="W24" i="32"/>
  <c r="W4" i="112"/>
  <c r="W112" i="112" s="1"/>
  <c r="L4" i="112"/>
  <c r="L78" i="112" s="1"/>
  <c r="S5" i="75" a="1"/>
  <c r="S5" i="75" s="1"/>
  <c r="S4" i="75"/>
  <c r="Y11" i="110" a="1"/>
  <c r="AB11" i="110" s="1"/>
  <c r="I11" i="110" a="1"/>
  <c r="M11" i="110" s="1"/>
  <c r="U8" i="109"/>
  <c r="V4" i="118"/>
  <c r="V5" i="118" a="1"/>
  <c r="V5" i="118" s="1"/>
  <c r="X52" i="112"/>
  <c r="X57" i="112"/>
  <c r="X59" i="112"/>
  <c r="X75" i="112"/>
  <c r="X91" i="112"/>
  <c r="X62" i="112"/>
  <c r="X78" i="112"/>
  <c r="X63" i="112"/>
  <c r="X81" i="112"/>
  <c r="X98" i="112"/>
  <c r="X114" i="112"/>
  <c r="X131" i="112"/>
  <c r="X64" i="112"/>
  <c r="X82" i="112"/>
  <c r="X99" i="112"/>
  <c r="X115" i="112"/>
  <c r="X65" i="112"/>
  <c r="X83" i="112"/>
  <c r="X100" i="112"/>
  <c r="X116" i="112"/>
  <c r="X130" i="112"/>
  <c r="X66" i="112"/>
  <c r="X84" i="112"/>
  <c r="X101" i="112"/>
  <c r="X117" i="112"/>
  <c r="X67" i="112"/>
  <c r="X85" i="112"/>
  <c r="X102" i="112"/>
  <c r="X118" i="112"/>
  <c r="X68" i="112"/>
  <c r="X86" i="112"/>
  <c r="X103" i="112"/>
  <c r="X119" i="112"/>
  <c r="X69" i="112"/>
  <c r="X87" i="112"/>
  <c r="X104" i="112"/>
  <c r="X120" i="112"/>
  <c r="X70" i="112"/>
  <c r="X88" i="112"/>
  <c r="X105" i="112"/>
  <c r="X121" i="112"/>
  <c r="X71" i="112"/>
  <c r="X89" i="112"/>
  <c r="X106" i="112"/>
  <c r="X122" i="112"/>
  <c r="X53" i="112"/>
  <c r="X72" i="112"/>
  <c r="X90" i="112"/>
  <c r="X107" i="112"/>
  <c r="X123" i="112"/>
  <c r="X54" i="112"/>
  <c r="X73" i="112"/>
  <c r="X92" i="112"/>
  <c r="X108" i="112"/>
  <c r="X124" i="112"/>
  <c r="X55" i="112"/>
  <c r="X74" i="112"/>
  <c r="X93" i="112"/>
  <c r="X109" i="112"/>
  <c r="X125" i="112"/>
  <c r="X56" i="112"/>
  <c r="X76" i="112"/>
  <c r="X94" i="112"/>
  <c r="X110" i="112"/>
  <c r="X126" i="112"/>
  <c r="X58" i="112"/>
  <c r="X77" i="112"/>
  <c r="X95" i="112"/>
  <c r="X111" i="112"/>
  <c r="X127" i="112"/>
  <c r="X60" i="112"/>
  <c r="X79" i="112"/>
  <c r="X96" i="112"/>
  <c r="X112" i="112"/>
  <c r="X128" i="112"/>
  <c r="X61" i="112"/>
  <c r="X80" i="112"/>
  <c r="X97" i="112"/>
  <c r="X113" i="112"/>
  <c r="X129" i="112"/>
  <c r="O415" i="79"/>
  <c r="M415" i="79" s="1"/>
  <c r="O228" i="79"/>
  <c r="M228" i="79" s="1"/>
  <c r="O693" i="79"/>
  <c r="M693" i="79" s="1"/>
  <c r="O696" i="79"/>
  <c r="M696" i="79" s="1"/>
  <c r="O23" i="118"/>
  <c r="O39" i="118"/>
  <c r="O55" i="118"/>
  <c r="O71" i="118"/>
  <c r="O87" i="118"/>
  <c r="O101" i="118"/>
  <c r="O117" i="118"/>
  <c r="O131" i="118"/>
  <c r="O24" i="118"/>
  <c r="O40" i="118"/>
  <c r="O56" i="118"/>
  <c r="O72" i="118"/>
  <c r="O88" i="118"/>
  <c r="O102" i="118"/>
  <c r="O118" i="118"/>
  <c r="O25" i="118"/>
  <c r="O41" i="118"/>
  <c r="O57" i="118"/>
  <c r="O73" i="118"/>
  <c r="O89" i="118"/>
  <c r="O103" i="118"/>
  <c r="O119" i="118"/>
  <c r="O26" i="118"/>
  <c r="O42" i="118"/>
  <c r="O58" i="118"/>
  <c r="O74" i="118"/>
  <c r="O90" i="118"/>
  <c r="O104" i="118"/>
  <c r="O120" i="118"/>
  <c r="O27" i="118"/>
  <c r="O43" i="118"/>
  <c r="O59" i="118"/>
  <c r="O75" i="118"/>
  <c r="O11" i="118"/>
  <c r="O105" i="118"/>
  <c r="O121" i="118"/>
  <c r="O12" i="118"/>
  <c r="O28" i="118"/>
  <c r="O44" i="118"/>
  <c r="O60" i="118"/>
  <c r="O76" i="118"/>
  <c r="O106" i="118"/>
  <c r="O122" i="118"/>
  <c r="O13" i="118"/>
  <c r="O14" i="118"/>
  <c r="O30" i="118"/>
  <c r="O46" i="118"/>
  <c r="O62" i="118"/>
  <c r="O78" i="118"/>
  <c r="O92" i="118"/>
  <c r="O108" i="118"/>
  <c r="O124" i="118"/>
  <c r="O15" i="118"/>
  <c r="O31" i="118"/>
  <c r="O47" i="118"/>
  <c r="O63" i="118"/>
  <c r="O79" i="118"/>
  <c r="O93" i="118"/>
  <c r="O109" i="118"/>
  <c r="O125" i="118"/>
  <c r="O16" i="118"/>
  <c r="O32" i="118"/>
  <c r="O48" i="118"/>
  <c r="O64" i="118"/>
  <c r="O80" i="118"/>
  <c r="O94" i="118"/>
  <c r="O110" i="118"/>
  <c r="O126" i="118"/>
  <c r="O17" i="118"/>
  <c r="O33" i="118"/>
  <c r="O49" i="118"/>
  <c r="O65" i="118"/>
  <c r="O81" i="118"/>
  <c r="O95" i="118"/>
  <c r="O111" i="118"/>
  <c r="O127" i="118"/>
  <c r="O18" i="118"/>
  <c r="O34" i="118"/>
  <c r="O50" i="118"/>
  <c r="O66" i="118"/>
  <c r="O82" i="118"/>
  <c r="O96" i="118"/>
  <c r="O112" i="118"/>
  <c r="O128" i="118"/>
  <c r="O19" i="118"/>
  <c r="O35" i="118"/>
  <c r="O51" i="118"/>
  <c r="O67" i="118"/>
  <c r="O83" i="118"/>
  <c r="O97" i="118"/>
  <c r="O113" i="118"/>
  <c r="O129" i="118"/>
  <c r="O20" i="118"/>
  <c r="O36" i="118"/>
  <c r="O52" i="118"/>
  <c r="O68" i="118"/>
  <c r="O84" i="118"/>
  <c r="O98" i="118"/>
  <c r="O114" i="118"/>
  <c r="O130" i="118"/>
  <c r="O22" i="118"/>
  <c r="O38" i="118"/>
  <c r="O54" i="118"/>
  <c r="O70" i="118"/>
  <c r="O86" i="118"/>
  <c r="O100" i="118"/>
  <c r="O116" i="118"/>
  <c r="O99" i="118"/>
  <c r="O107" i="118"/>
  <c r="O115" i="118"/>
  <c r="O123" i="118"/>
  <c r="O21" i="118"/>
  <c r="O29" i="118"/>
  <c r="O37" i="118"/>
  <c r="O45" i="118"/>
  <c r="O53" i="118"/>
  <c r="O61" i="118"/>
  <c r="O69" i="118"/>
  <c r="O77" i="118"/>
  <c r="O85" i="118"/>
  <c r="O91" i="118"/>
  <c r="V5" i="32" a="1"/>
  <c r="V5" i="32" s="1"/>
  <c r="V4" i="32"/>
  <c r="AD27" i="118"/>
  <c r="AD43" i="118"/>
  <c r="AD59" i="118"/>
  <c r="AD75" i="118"/>
  <c r="AD91" i="118"/>
  <c r="AD107" i="118"/>
  <c r="AD123" i="118"/>
  <c r="AD12" i="118"/>
  <c r="AD28" i="118"/>
  <c r="AD44" i="118"/>
  <c r="AD60" i="118"/>
  <c r="AD76" i="118"/>
  <c r="AD92" i="118"/>
  <c r="AD108" i="118"/>
  <c r="AD124" i="118"/>
  <c r="AD13" i="118"/>
  <c r="AD29" i="118"/>
  <c r="AD45" i="118"/>
  <c r="AD61" i="118"/>
  <c r="AD77" i="118"/>
  <c r="AD93" i="118"/>
  <c r="AD109" i="118"/>
  <c r="AD125" i="118"/>
  <c r="AD14" i="118"/>
  <c r="AD30" i="118"/>
  <c r="AD46" i="118"/>
  <c r="AD62" i="118"/>
  <c r="AD78" i="118"/>
  <c r="AD94" i="118"/>
  <c r="AD110" i="118"/>
  <c r="AD126" i="118"/>
  <c r="AD15" i="118"/>
  <c r="AD31" i="118"/>
  <c r="AD47" i="118"/>
  <c r="AD63" i="118"/>
  <c r="AD79" i="118"/>
  <c r="AD95" i="118"/>
  <c r="AD111" i="118"/>
  <c r="AD127" i="118"/>
  <c r="AD16" i="118"/>
  <c r="AD32" i="118"/>
  <c r="AD48" i="118"/>
  <c r="AD64" i="118"/>
  <c r="AD80" i="118"/>
  <c r="AD96" i="118"/>
  <c r="AD112" i="118"/>
  <c r="AD128" i="118"/>
  <c r="AD18" i="118"/>
  <c r="AD34" i="118"/>
  <c r="AD50" i="118"/>
  <c r="AD66" i="118"/>
  <c r="AD82" i="118"/>
  <c r="AD98" i="118"/>
  <c r="AD114" i="118"/>
  <c r="AD131" i="118"/>
  <c r="AD19" i="118"/>
  <c r="AD35" i="118"/>
  <c r="AD51" i="118"/>
  <c r="AD67" i="118"/>
  <c r="AD83" i="118"/>
  <c r="AD99" i="118"/>
  <c r="AD115" i="118"/>
  <c r="AD130" i="118"/>
  <c r="AD20" i="118"/>
  <c r="AD36" i="118"/>
  <c r="AD52" i="118"/>
  <c r="AD68" i="118"/>
  <c r="AD84" i="118"/>
  <c r="AD100" i="118"/>
  <c r="AD116" i="118"/>
  <c r="AD11" i="118"/>
  <c r="AD21" i="118"/>
  <c r="AD37" i="118"/>
  <c r="AD53" i="118"/>
  <c r="AD69" i="118"/>
  <c r="AD85" i="118"/>
  <c r="AD101" i="118"/>
  <c r="AD117" i="118"/>
  <c r="AD22" i="118"/>
  <c r="AD38" i="118"/>
  <c r="AD54" i="118"/>
  <c r="AD70" i="118"/>
  <c r="AD86" i="118"/>
  <c r="AD102" i="118"/>
  <c r="AD118" i="118"/>
  <c r="AD23" i="118"/>
  <c r="AD39" i="118"/>
  <c r="AD55" i="118"/>
  <c r="AD71" i="118"/>
  <c r="AD87" i="118"/>
  <c r="AD103" i="118"/>
  <c r="AD119" i="118"/>
  <c r="AD24" i="118"/>
  <c r="AD40" i="118"/>
  <c r="AD56" i="118"/>
  <c r="AD72" i="118"/>
  <c r="AD88" i="118"/>
  <c r="AD104" i="118"/>
  <c r="AD120" i="118"/>
  <c r="AD26" i="118"/>
  <c r="AD42" i="118"/>
  <c r="AD58" i="118"/>
  <c r="AD74" i="118"/>
  <c r="AD90" i="118"/>
  <c r="AD106" i="118"/>
  <c r="AD122" i="118"/>
  <c r="AD105" i="118"/>
  <c r="AD113" i="118"/>
  <c r="AD121" i="118"/>
  <c r="AD129" i="118"/>
  <c r="AD17" i="118"/>
  <c r="AD25" i="118"/>
  <c r="AD33" i="118"/>
  <c r="AD41" i="118"/>
  <c r="AD49" i="118"/>
  <c r="AD57" i="118"/>
  <c r="AD65" i="118"/>
  <c r="AD73" i="118"/>
  <c r="AD81" i="118"/>
  <c r="AD89" i="118"/>
  <c r="AD97" i="118"/>
  <c r="K18" i="32"/>
  <c r="K34" i="32"/>
  <c r="K50" i="32"/>
  <c r="K66" i="32"/>
  <c r="K82" i="32"/>
  <c r="K19" i="32"/>
  <c r="K35" i="32"/>
  <c r="K51" i="32"/>
  <c r="K67" i="32"/>
  <c r="K83" i="32"/>
  <c r="K20" i="32"/>
  <c r="K36" i="32"/>
  <c r="K52" i="32"/>
  <c r="K68" i="32"/>
  <c r="K84" i="32"/>
  <c r="K21" i="32"/>
  <c r="K37" i="32"/>
  <c r="K53" i="32"/>
  <c r="K69" i="32"/>
  <c r="K85" i="32"/>
  <c r="K22" i="32"/>
  <c r="K38" i="32"/>
  <c r="K54" i="32"/>
  <c r="K70" i="32"/>
  <c r="K86" i="32"/>
  <c r="K23" i="32"/>
  <c r="K39" i="32"/>
  <c r="K55" i="32"/>
  <c r="K71" i="32"/>
  <c r="K87" i="32"/>
  <c r="K24" i="32"/>
  <c r="K40" i="32"/>
  <c r="K56" i="32"/>
  <c r="K72" i="32"/>
  <c r="K88" i="32"/>
  <c r="K25" i="32"/>
  <c r="K41" i="32"/>
  <c r="K57" i="32"/>
  <c r="K73" i="32"/>
  <c r="K89" i="32"/>
  <c r="K26" i="32"/>
  <c r="K42" i="32"/>
  <c r="K58" i="32"/>
  <c r="K74" i="32"/>
  <c r="K90" i="32"/>
  <c r="K27" i="32"/>
  <c r="K43" i="32"/>
  <c r="K59" i="32"/>
  <c r="K75" i="32"/>
  <c r="K91" i="32"/>
  <c r="K28" i="32"/>
  <c r="K44" i="32"/>
  <c r="K60" i="32"/>
  <c r="K76" i="32"/>
  <c r="K92" i="32"/>
  <c r="K13" i="32"/>
  <c r="K29" i="32"/>
  <c r="K45" i="32"/>
  <c r="K61" i="32"/>
  <c r="K77" i="32"/>
  <c r="K14" i="32"/>
  <c r="K30" i="32"/>
  <c r="K46" i="32"/>
  <c r="K62" i="32"/>
  <c r="K78" i="32"/>
  <c r="K15" i="32"/>
  <c r="K31" i="32"/>
  <c r="K47" i="32"/>
  <c r="K63" i="32"/>
  <c r="K79" i="32"/>
  <c r="K16" i="32"/>
  <c r="K32" i="32"/>
  <c r="K48" i="32"/>
  <c r="K64" i="32"/>
  <c r="K80" i="32"/>
  <c r="K17" i="32"/>
  <c r="K33" i="32"/>
  <c r="K49" i="32"/>
  <c r="K65" i="32"/>
  <c r="K81" i="32"/>
  <c r="K12" i="32"/>
  <c r="N24" i="75"/>
  <c r="N40" i="75"/>
  <c r="N56" i="75"/>
  <c r="N72" i="75"/>
  <c r="N88" i="75"/>
  <c r="N102" i="75"/>
  <c r="N118" i="75"/>
  <c r="N25" i="75"/>
  <c r="N41" i="75"/>
  <c r="N57" i="75"/>
  <c r="N73" i="75"/>
  <c r="N89" i="75"/>
  <c r="N103" i="75"/>
  <c r="N119" i="75"/>
  <c r="N26" i="75"/>
  <c r="N42" i="75"/>
  <c r="N58" i="75"/>
  <c r="N74" i="75"/>
  <c r="N90" i="75"/>
  <c r="N104" i="75"/>
  <c r="N120" i="75"/>
  <c r="N27" i="75"/>
  <c r="N43" i="75"/>
  <c r="N59" i="75"/>
  <c r="N75" i="75"/>
  <c r="N11" i="75"/>
  <c r="N105" i="75"/>
  <c r="N121" i="75"/>
  <c r="N12" i="75"/>
  <c r="N28" i="75"/>
  <c r="N44" i="75"/>
  <c r="N60" i="75"/>
  <c r="N76" i="75"/>
  <c r="N106" i="75"/>
  <c r="N122" i="75"/>
  <c r="N13" i="75"/>
  <c r="N29" i="75"/>
  <c r="N45" i="75"/>
  <c r="N61" i="75"/>
  <c r="N77" i="75"/>
  <c r="N91" i="75"/>
  <c r="N107" i="75"/>
  <c r="N123" i="75"/>
  <c r="N14" i="75"/>
  <c r="N30" i="75"/>
  <c r="N46" i="75"/>
  <c r="N62" i="75"/>
  <c r="N78" i="75"/>
  <c r="N92" i="75"/>
  <c r="N108" i="75"/>
  <c r="N124" i="75"/>
  <c r="N15" i="75"/>
  <c r="N31" i="75"/>
  <c r="N47" i="75"/>
  <c r="N63" i="75"/>
  <c r="N79" i="75"/>
  <c r="N93" i="75"/>
  <c r="N109" i="75"/>
  <c r="N125" i="75"/>
  <c r="N16" i="75"/>
  <c r="N32" i="75"/>
  <c r="N48" i="75"/>
  <c r="N64" i="75"/>
  <c r="N80" i="75"/>
  <c r="N94" i="75"/>
  <c r="N110" i="75"/>
  <c r="N126" i="75"/>
  <c r="N17" i="75"/>
  <c r="N33" i="75"/>
  <c r="N49" i="75"/>
  <c r="N65" i="75"/>
  <c r="N81" i="75"/>
  <c r="N95" i="75"/>
  <c r="N111" i="75"/>
  <c r="N127" i="75"/>
  <c r="N18" i="75"/>
  <c r="N34" i="75"/>
  <c r="N50" i="75"/>
  <c r="N66" i="75"/>
  <c r="N82" i="75"/>
  <c r="N96" i="75"/>
  <c r="N112" i="75"/>
  <c r="N128" i="75"/>
  <c r="N19" i="75"/>
  <c r="N35" i="75"/>
  <c r="N51" i="75"/>
  <c r="N67" i="75"/>
  <c r="N83" i="75"/>
  <c r="N97" i="75"/>
  <c r="N113" i="75"/>
  <c r="N129" i="75"/>
  <c r="N20" i="75"/>
  <c r="N36" i="75"/>
  <c r="N52" i="75"/>
  <c r="N68" i="75"/>
  <c r="N84" i="75"/>
  <c r="N98" i="75"/>
  <c r="N114" i="75"/>
  <c r="N131" i="75"/>
  <c r="N21" i="75"/>
  <c r="N37" i="75"/>
  <c r="N53" i="75"/>
  <c r="N69" i="75"/>
  <c r="N85" i="75"/>
  <c r="N99" i="75"/>
  <c r="N115" i="75"/>
  <c r="N22" i="75"/>
  <c r="N38" i="75"/>
  <c r="N54" i="75"/>
  <c r="N70" i="75"/>
  <c r="N86" i="75"/>
  <c r="N100" i="75"/>
  <c r="N116" i="75"/>
  <c r="N23" i="75"/>
  <c r="N39" i="75"/>
  <c r="N55" i="75"/>
  <c r="N71" i="75"/>
  <c r="N87" i="75"/>
  <c r="N101" i="75"/>
  <c r="N117" i="75"/>
  <c r="N130" i="75"/>
  <c r="N16" i="78"/>
  <c r="N32" i="78"/>
  <c r="N48" i="78"/>
  <c r="N64" i="78"/>
  <c r="N80" i="78"/>
  <c r="N94" i="78"/>
  <c r="N110" i="78"/>
  <c r="N126" i="78"/>
  <c r="N17" i="78"/>
  <c r="N33" i="78"/>
  <c r="N49" i="78"/>
  <c r="N65" i="78"/>
  <c r="N81" i="78"/>
  <c r="N95" i="78"/>
  <c r="N111" i="78"/>
  <c r="N127" i="78"/>
  <c r="N18" i="78"/>
  <c r="N34" i="78"/>
  <c r="N50" i="78"/>
  <c r="N66" i="78"/>
  <c r="N82" i="78"/>
  <c r="N96" i="78"/>
  <c r="N112" i="78"/>
  <c r="N128" i="78"/>
  <c r="N19" i="78"/>
  <c r="N35" i="78"/>
  <c r="N51" i="78"/>
  <c r="N67" i="78"/>
  <c r="N83" i="78"/>
  <c r="N97" i="78"/>
  <c r="N113" i="78"/>
  <c r="N129" i="78"/>
  <c r="N20" i="78"/>
  <c r="N36" i="78"/>
  <c r="N52" i="78"/>
  <c r="N68" i="78"/>
  <c r="N84" i="78"/>
  <c r="N98" i="78"/>
  <c r="N114" i="78"/>
  <c r="N131" i="78"/>
  <c r="N21" i="78"/>
  <c r="N37" i="78"/>
  <c r="N53" i="78"/>
  <c r="N69" i="78"/>
  <c r="N85" i="78"/>
  <c r="N99" i="78"/>
  <c r="N115" i="78"/>
  <c r="N22" i="78"/>
  <c r="N38" i="78"/>
  <c r="N54" i="78"/>
  <c r="N70" i="78"/>
  <c r="N86" i="78"/>
  <c r="N100" i="78"/>
  <c r="N116" i="78"/>
  <c r="N23" i="78"/>
  <c r="N39" i="78"/>
  <c r="N55" i="78"/>
  <c r="N71" i="78"/>
  <c r="N87" i="78"/>
  <c r="N101" i="78"/>
  <c r="N117" i="78"/>
  <c r="N24" i="78"/>
  <c r="N40" i="78"/>
  <c r="N56" i="78"/>
  <c r="N72" i="78"/>
  <c r="N88" i="78"/>
  <c r="N102" i="78"/>
  <c r="N118" i="78"/>
  <c r="N25" i="78"/>
  <c r="N41" i="78"/>
  <c r="N57" i="78"/>
  <c r="N73" i="78"/>
  <c r="N89" i="78"/>
  <c r="N103" i="78"/>
  <c r="N119" i="78"/>
  <c r="N130" i="78"/>
  <c r="N26" i="78"/>
  <c r="N42" i="78"/>
  <c r="N58" i="78"/>
  <c r="N74" i="78"/>
  <c r="N90" i="78"/>
  <c r="N104" i="78"/>
  <c r="N120" i="78"/>
  <c r="N27" i="78"/>
  <c r="N43" i="78"/>
  <c r="N59" i="78"/>
  <c r="N75" i="78"/>
  <c r="N11" i="78"/>
  <c r="N105" i="78"/>
  <c r="N121" i="78"/>
  <c r="N12" i="78"/>
  <c r="N28" i="78"/>
  <c r="N44" i="78"/>
  <c r="N60" i="78"/>
  <c r="N76" i="78"/>
  <c r="N106" i="78"/>
  <c r="N122" i="78"/>
  <c r="N13" i="78"/>
  <c r="N29" i="78"/>
  <c r="N45" i="78"/>
  <c r="N61" i="78"/>
  <c r="N77" i="78"/>
  <c r="N91" i="78"/>
  <c r="N107" i="78"/>
  <c r="N123" i="78"/>
  <c r="N14" i="78"/>
  <c r="N30" i="78"/>
  <c r="N46" i="78"/>
  <c r="N62" i="78"/>
  <c r="N78" i="78"/>
  <c r="N92" i="78"/>
  <c r="N108" i="78"/>
  <c r="N124" i="78"/>
  <c r="N15" i="78"/>
  <c r="N31" i="78"/>
  <c r="N47" i="78"/>
  <c r="N63" i="78"/>
  <c r="N79" i="78"/>
  <c r="N93" i="78"/>
  <c r="N109" i="78"/>
  <c r="N125" i="78"/>
  <c r="AA18" i="32"/>
  <c r="AA34" i="32"/>
  <c r="AA50" i="32"/>
  <c r="AA66" i="32"/>
  <c r="AA82" i="32"/>
  <c r="AA19" i="32"/>
  <c r="AA35" i="32"/>
  <c r="AA51" i="32"/>
  <c r="AA67" i="32"/>
  <c r="AA83" i="32"/>
  <c r="AA20" i="32"/>
  <c r="AA36" i="32"/>
  <c r="AA52" i="32"/>
  <c r="AA68" i="32"/>
  <c r="AA84" i="32"/>
  <c r="AA21" i="32"/>
  <c r="AA37" i="32"/>
  <c r="AA53" i="32"/>
  <c r="AA69" i="32"/>
  <c r="AA85" i="32"/>
  <c r="AA22" i="32"/>
  <c r="AA38" i="32"/>
  <c r="AA54" i="32"/>
  <c r="AA70" i="32"/>
  <c r="AA86" i="32"/>
  <c r="AA23" i="32"/>
  <c r="AA39" i="32"/>
  <c r="AA55" i="32"/>
  <c r="AA71" i="32"/>
  <c r="AA87" i="32"/>
  <c r="AA24" i="32"/>
  <c r="AA40" i="32"/>
  <c r="AA56" i="32"/>
  <c r="AA72" i="32"/>
  <c r="AA88" i="32"/>
  <c r="AA25" i="32"/>
  <c r="AA41" i="32"/>
  <c r="AA57" i="32"/>
  <c r="AA73" i="32"/>
  <c r="AA89" i="32"/>
  <c r="AA26" i="32"/>
  <c r="AA42" i="32"/>
  <c r="AA58" i="32"/>
  <c r="AA74" i="32"/>
  <c r="AA90" i="32"/>
  <c r="AA27" i="32"/>
  <c r="AA43" i="32"/>
  <c r="AA59" i="32"/>
  <c r="AA75" i="32"/>
  <c r="AA91" i="32"/>
  <c r="AA28" i="32"/>
  <c r="AA44" i="32"/>
  <c r="AA60" i="32"/>
  <c r="AA76" i="32"/>
  <c r="AA92" i="32"/>
  <c r="AA13" i="32"/>
  <c r="AA29" i="32"/>
  <c r="AA45" i="32"/>
  <c r="AA61" i="32"/>
  <c r="AA77" i="32"/>
  <c r="AA14" i="32"/>
  <c r="AA30" i="32"/>
  <c r="AA46" i="32"/>
  <c r="AA62" i="32"/>
  <c r="AA78" i="32"/>
  <c r="AA15" i="32"/>
  <c r="AA31" i="32"/>
  <c r="AA47" i="32"/>
  <c r="AA63" i="32"/>
  <c r="AA79" i="32"/>
  <c r="AA16" i="32"/>
  <c r="AA32" i="32"/>
  <c r="AA48" i="32"/>
  <c r="AA64" i="32"/>
  <c r="AA80" i="32"/>
  <c r="AA17" i="32"/>
  <c r="AA33" i="32"/>
  <c r="AA49" i="32"/>
  <c r="AA65" i="32"/>
  <c r="AA81" i="32"/>
  <c r="AA12" i="32"/>
  <c r="Z20" i="75"/>
  <c r="Z36" i="75"/>
  <c r="Z52" i="75"/>
  <c r="Z68" i="75"/>
  <c r="Z84" i="75"/>
  <c r="Z98" i="75"/>
  <c r="Z114" i="75"/>
  <c r="Z131" i="75"/>
  <c r="Z21" i="75"/>
  <c r="Z37" i="75"/>
  <c r="Z53" i="75"/>
  <c r="Z69" i="75"/>
  <c r="Z85" i="75"/>
  <c r="Z99" i="75"/>
  <c r="Z115" i="75"/>
  <c r="Z22" i="75"/>
  <c r="Z38" i="75"/>
  <c r="Z54" i="75"/>
  <c r="Z70" i="75"/>
  <c r="Z86" i="75"/>
  <c r="Z100" i="75"/>
  <c r="Z116" i="75"/>
  <c r="Z23" i="75"/>
  <c r="Z39" i="75"/>
  <c r="Z55" i="75"/>
  <c r="Z71" i="75"/>
  <c r="Z87" i="75"/>
  <c r="Z101" i="75"/>
  <c r="Z117" i="75"/>
  <c r="Z130" i="75"/>
  <c r="Z24" i="75"/>
  <c r="Z40" i="75"/>
  <c r="Z56" i="75"/>
  <c r="Z72" i="75"/>
  <c r="Z88" i="75"/>
  <c r="Z102" i="75"/>
  <c r="Z118" i="75"/>
  <c r="Z25" i="75"/>
  <c r="Z41" i="75"/>
  <c r="Z57" i="75"/>
  <c r="Z73" i="75"/>
  <c r="Z89" i="75"/>
  <c r="Z103" i="75"/>
  <c r="Z119" i="75"/>
  <c r="Z26" i="75"/>
  <c r="Z42" i="75"/>
  <c r="Z58" i="75"/>
  <c r="Z74" i="75"/>
  <c r="Z90" i="75"/>
  <c r="Z104" i="75"/>
  <c r="Z120" i="75"/>
  <c r="Z27" i="75"/>
  <c r="Z43" i="75"/>
  <c r="Z59" i="75"/>
  <c r="Z75" i="75"/>
  <c r="Z11" i="75"/>
  <c r="Z105" i="75"/>
  <c r="Z121" i="75"/>
  <c r="Z12" i="75"/>
  <c r="Z28" i="75"/>
  <c r="Z44" i="75"/>
  <c r="Z60" i="75"/>
  <c r="Z76" i="75"/>
  <c r="Z106" i="75"/>
  <c r="Z122" i="75"/>
  <c r="Z13" i="75"/>
  <c r="Z29" i="75"/>
  <c r="Z45" i="75"/>
  <c r="Z61" i="75"/>
  <c r="Z77" i="75"/>
  <c r="Z91" i="75"/>
  <c r="Z107" i="75"/>
  <c r="Z123" i="75"/>
  <c r="Z14" i="75"/>
  <c r="Z30" i="75"/>
  <c r="Z46" i="75"/>
  <c r="Z62" i="75"/>
  <c r="Z78" i="75"/>
  <c r="Z92" i="75"/>
  <c r="Z108" i="75"/>
  <c r="Z124" i="75"/>
  <c r="Z15" i="75"/>
  <c r="Z31" i="75"/>
  <c r="Z47" i="75"/>
  <c r="Z63" i="75"/>
  <c r="Z79" i="75"/>
  <c r="Z93" i="75"/>
  <c r="Z109" i="75"/>
  <c r="Z125" i="75"/>
  <c r="Z16" i="75"/>
  <c r="Z32" i="75"/>
  <c r="Z48" i="75"/>
  <c r="Z64" i="75"/>
  <c r="Z80" i="75"/>
  <c r="Z94" i="75"/>
  <c r="Z110" i="75"/>
  <c r="Z126" i="75"/>
  <c r="Z17" i="75"/>
  <c r="Z33" i="75"/>
  <c r="Z49" i="75"/>
  <c r="Z65" i="75"/>
  <c r="Z81" i="75"/>
  <c r="Z95" i="75"/>
  <c r="Z111" i="75"/>
  <c r="Z127" i="75"/>
  <c r="Z18" i="75"/>
  <c r="Z34" i="75"/>
  <c r="Z50" i="75"/>
  <c r="Z66" i="75"/>
  <c r="Z82" i="75"/>
  <c r="Z96" i="75"/>
  <c r="Z112" i="75"/>
  <c r="Z128" i="75"/>
  <c r="Z19" i="75"/>
  <c r="Z35" i="75"/>
  <c r="Z51" i="75"/>
  <c r="Z67" i="75"/>
  <c r="Z83" i="75"/>
  <c r="Z97" i="75"/>
  <c r="Z113" i="75"/>
  <c r="Z129" i="75"/>
  <c r="M18" i="32"/>
  <c r="M34" i="32"/>
  <c r="M50" i="32"/>
  <c r="M66" i="32"/>
  <c r="M82" i="32"/>
  <c r="M19" i="32"/>
  <c r="M35" i="32"/>
  <c r="M51" i="32"/>
  <c r="M67" i="32"/>
  <c r="M83" i="32"/>
  <c r="M20" i="32"/>
  <c r="M36" i="32"/>
  <c r="M52" i="32"/>
  <c r="M68" i="32"/>
  <c r="M84" i="32"/>
  <c r="M21" i="32"/>
  <c r="M37" i="32"/>
  <c r="M53" i="32"/>
  <c r="M69" i="32"/>
  <c r="M85" i="32"/>
  <c r="M22" i="32"/>
  <c r="M38" i="32"/>
  <c r="M54" i="32"/>
  <c r="M70" i="32"/>
  <c r="M86" i="32"/>
  <c r="M23" i="32"/>
  <c r="M39" i="32"/>
  <c r="M55" i="32"/>
  <c r="M71" i="32"/>
  <c r="M87" i="32"/>
  <c r="M24" i="32"/>
  <c r="M40" i="32"/>
  <c r="M56" i="32"/>
  <c r="M72" i="32"/>
  <c r="M88" i="32"/>
  <c r="M25" i="32"/>
  <c r="M41" i="32"/>
  <c r="M57" i="32"/>
  <c r="M73" i="32"/>
  <c r="M89" i="32"/>
  <c r="M26" i="32"/>
  <c r="M42" i="32"/>
  <c r="M58" i="32"/>
  <c r="M74" i="32"/>
  <c r="M90" i="32"/>
  <c r="M27" i="32"/>
  <c r="M43" i="32"/>
  <c r="M59" i="32"/>
  <c r="M75" i="32"/>
  <c r="M91" i="32"/>
  <c r="M28" i="32"/>
  <c r="M44" i="32"/>
  <c r="M60" i="32"/>
  <c r="M76" i="32"/>
  <c r="M92" i="32"/>
  <c r="M13" i="32"/>
  <c r="M29" i="32"/>
  <c r="M45" i="32"/>
  <c r="M61" i="32"/>
  <c r="M77" i="32"/>
  <c r="M14" i="32"/>
  <c r="M30" i="32"/>
  <c r="M46" i="32"/>
  <c r="M62" i="32"/>
  <c r="M78" i="32"/>
  <c r="M12" i="32"/>
  <c r="M15" i="32"/>
  <c r="M31" i="32"/>
  <c r="M47" i="32"/>
  <c r="M63" i="32"/>
  <c r="M79" i="32"/>
  <c r="M16" i="32"/>
  <c r="M32" i="32"/>
  <c r="M48" i="32"/>
  <c r="M64" i="32"/>
  <c r="M80" i="32"/>
  <c r="M17" i="32"/>
  <c r="M33" i="32"/>
  <c r="M49" i="32"/>
  <c r="M65" i="32"/>
  <c r="M81" i="32"/>
  <c r="X6" i="118" a="1"/>
  <c r="X6" i="118" s="1"/>
  <c r="O414" i="79"/>
  <c r="M414" i="79" s="1"/>
  <c r="I6" i="118" a="1"/>
  <c r="I6" i="118" s="1"/>
  <c r="Y54" i="112"/>
  <c r="Y70" i="112"/>
  <c r="Y86" i="112"/>
  <c r="Y102" i="112"/>
  <c r="Y118" i="112"/>
  <c r="Y55" i="112"/>
  <c r="Y71" i="112"/>
  <c r="Y87" i="112"/>
  <c r="Y103" i="112"/>
  <c r="Y119" i="112"/>
  <c r="Y56" i="112"/>
  <c r="Y72" i="112"/>
  <c r="Y88" i="112"/>
  <c r="Y104" i="112"/>
  <c r="Y120" i="112"/>
  <c r="Y57" i="112"/>
  <c r="Y73" i="112"/>
  <c r="Y89" i="112"/>
  <c r="Y105" i="112"/>
  <c r="Y121" i="112"/>
  <c r="Y58" i="112"/>
  <c r="Y74" i="112"/>
  <c r="Y90" i="112"/>
  <c r="Y106" i="112"/>
  <c r="Y122" i="112"/>
  <c r="Y59" i="112"/>
  <c r="Y75" i="112"/>
  <c r="Y91" i="112"/>
  <c r="Y107" i="112"/>
  <c r="Y123" i="112"/>
  <c r="Y60" i="112"/>
  <c r="Y76" i="112"/>
  <c r="Y92" i="112"/>
  <c r="Y108" i="112"/>
  <c r="Y124" i="112"/>
  <c r="Y61" i="112"/>
  <c r="Y77" i="112"/>
  <c r="Y93" i="112"/>
  <c r="Y109" i="112"/>
  <c r="Y125" i="112"/>
  <c r="Y130" i="112"/>
  <c r="Y62" i="112"/>
  <c r="Y78" i="112"/>
  <c r="Y94" i="112"/>
  <c r="Y110" i="112"/>
  <c r="Y126" i="112"/>
  <c r="Y63" i="112"/>
  <c r="Y79" i="112"/>
  <c r="Y95" i="112"/>
  <c r="Y111" i="112"/>
  <c r="Y127" i="112"/>
  <c r="Y64" i="112"/>
  <c r="Y80" i="112"/>
  <c r="Y96" i="112"/>
  <c r="Y112" i="112"/>
  <c r="Y128" i="112"/>
  <c r="Y65" i="112"/>
  <c r="Y81" i="112"/>
  <c r="Y97" i="112"/>
  <c r="Y113" i="112"/>
  <c r="Y129" i="112"/>
  <c r="Y66" i="112"/>
  <c r="Y82" i="112"/>
  <c r="Y98" i="112"/>
  <c r="Y114" i="112"/>
  <c r="Y131" i="112"/>
  <c r="Y67" i="112"/>
  <c r="Y83" i="112"/>
  <c r="Y99" i="112"/>
  <c r="Y115" i="112"/>
  <c r="Y52" i="112"/>
  <c r="Y68" i="112"/>
  <c r="Y84" i="112"/>
  <c r="Y100" i="112"/>
  <c r="Y116" i="112"/>
  <c r="Y53" i="112"/>
  <c r="Y69" i="112"/>
  <c r="Y85" i="112"/>
  <c r="Y101" i="112"/>
  <c r="Y117" i="112"/>
  <c r="Z13" i="78"/>
  <c r="Z29" i="78"/>
  <c r="Z45" i="78"/>
  <c r="Z61" i="78"/>
  <c r="Z77" i="78"/>
  <c r="Z91" i="78"/>
  <c r="Z107" i="78"/>
  <c r="Z123" i="78"/>
  <c r="Z14" i="78"/>
  <c r="Z30" i="78"/>
  <c r="Z46" i="78"/>
  <c r="Z62" i="78"/>
  <c r="Z78" i="78"/>
  <c r="Z92" i="78"/>
  <c r="Z108" i="78"/>
  <c r="Z124" i="78"/>
  <c r="Z15" i="78"/>
  <c r="Z31" i="78"/>
  <c r="Z47" i="78"/>
  <c r="Z63" i="78"/>
  <c r="Z79" i="78"/>
  <c r="Z93" i="78"/>
  <c r="Z109" i="78"/>
  <c r="Z125" i="78"/>
  <c r="Z16" i="78"/>
  <c r="Z32" i="78"/>
  <c r="Z48" i="78"/>
  <c r="Z64" i="78"/>
  <c r="Z80" i="78"/>
  <c r="Z94" i="78"/>
  <c r="Z110" i="78"/>
  <c r="Z126" i="78"/>
  <c r="Z17" i="78"/>
  <c r="Z33" i="78"/>
  <c r="Z49" i="78"/>
  <c r="Z65" i="78"/>
  <c r="Z81" i="78"/>
  <c r="Z95" i="78"/>
  <c r="Z111" i="78"/>
  <c r="Z127" i="78"/>
  <c r="Z18" i="78"/>
  <c r="Z34" i="78"/>
  <c r="Z50" i="78"/>
  <c r="Z66" i="78"/>
  <c r="Z82" i="78"/>
  <c r="Z96" i="78"/>
  <c r="Z112" i="78"/>
  <c r="Z128" i="78"/>
  <c r="Z19" i="78"/>
  <c r="Z35" i="78"/>
  <c r="Z51" i="78"/>
  <c r="Z67" i="78"/>
  <c r="Z83" i="78"/>
  <c r="Z97" i="78"/>
  <c r="Z113" i="78"/>
  <c r="Z129" i="78"/>
  <c r="Z20" i="78"/>
  <c r="Z36" i="78"/>
  <c r="Z52" i="78"/>
  <c r="Z68" i="78"/>
  <c r="Z84" i="78"/>
  <c r="Z98" i="78"/>
  <c r="Z114" i="78"/>
  <c r="Z131" i="78"/>
  <c r="Z21" i="78"/>
  <c r="Z37" i="78"/>
  <c r="Z53" i="78"/>
  <c r="Z69" i="78"/>
  <c r="Z85" i="78"/>
  <c r="Z99" i="78"/>
  <c r="Z115" i="78"/>
  <c r="Z22" i="78"/>
  <c r="Z38" i="78"/>
  <c r="Z54" i="78"/>
  <c r="Z70" i="78"/>
  <c r="Z86" i="78"/>
  <c r="Z100" i="78"/>
  <c r="Z116" i="78"/>
  <c r="Z23" i="78"/>
  <c r="Z39" i="78"/>
  <c r="Z55" i="78"/>
  <c r="Z71" i="78"/>
  <c r="Z87" i="78"/>
  <c r="Z101" i="78"/>
  <c r="Z117" i="78"/>
  <c r="Z130" i="78"/>
  <c r="Z24" i="78"/>
  <c r="Z40" i="78"/>
  <c r="Z56" i="78"/>
  <c r="Z72" i="78"/>
  <c r="Z88" i="78"/>
  <c r="Z102" i="78"/>
  <c r="Z118" i="78"/>
  <c r="Z25" i="78"/>
  <c r="Z41" i="78"/>
  <c r="Z57" i="78"/>
  <c r="Z73" i="78"/>
  <c r="Z89" i="78"/>
  <c r="Z103" i="78"/>
  <c r="Z119" i="78"/>
  <c r="Z26" i="78"/>
  <c r="Z42" i="78"/>
  <c r="Z58" i="78"/>
  <c r="Z74" i="78"/>
  <c r="Z90" i="78"/>
  <c r="Z104" i="78"/>
  <c r="Z120" i="78"/>
  <c r="Z27" i="78"/>
  <c r="Z43" i="78"/>
  <c r="Z59" i="78"/>
  <c r="Z75" i="78"/>
  <c r="Z11" i="78"/>
  <c r="Z105" i="78"/>
  <c r="Z121" i="78"/>
  <c r="Z12" i="78"/>
  <c r="Z28" i="78"/>
  <c r="Z44" i="78"/>
  <c r="Z60" i="78"/>
  <c r="Z76" i="78"/>
  <c r="Z106" i="78"/>
  <c r="Z122" i="78"/>
  <c r="G4" i="118"/>
  <c r="G5" i="118" a="1"/>
  <c r="G5" i="118" s="1"/>
  <c r="N53" i="112"/>
  <c r="N69" i="112"/>
  <c r="N85" i="112"/>
  <c r="N101" i="112"/>
  <c r="N117" i="112"/>
  <c r="N55" i="112"/>
  <c r="N71" i="112"/>
  <c r="N87" i="112"/>
  <c r="N103" i="112"/>
  <c r="N119" i="112"/>
  <c r="N59" i="112"/>
  <c r="N75" i="112"/>
  <c r="N91" i="112"/>
  <c r="N107" i="112"/>
  <c r="N123" i="112"/>
  <c r="N60" i="112"/>
  <c r="N76" i="112"/>
  <c r="N92" i="112"/>
  <c r="N108" i="112"/>
  <c r="N124" i="112"/>
  <c r="N62" i="112"/>
  <c r="N78" i="112"/>
  <c r="N94" i="112"/>
  <c r="N110" i="112"/>
  <c r="N126" i="112"/>
  <c r="N63" i="112"/>
  <c r="N79" i="112"/>
  <c r="N95" i="112"/>
  <c r="N111" i="112"/>
  <c r="N127" i="112"/>
  <c r="N65" i="112"/>
  <c r="N81" i="112"/>
  <c r="N97" i="112"/>
  <c r="N113" i="112"/>
  <c r="N129" i="112"/>
  <c r="N66" i="112"/>
  <c r="N82" i="112"/>
  <c r="N98" i="112"/>
  <c r="N114" i="112"/>
  <c r="N131" i="112"/>
  <c r="N67" i="112"/>
  <c r="N83" i="112"/>
  <c r="N99" i="112"/>
  <c r="N115" i="112"/>
  <c r="N52" i="112"/>
  <c r="N68" i="112"/>
  <c r="N84" i="112"/>
  <c r="N100" i="112"/>
  <c r="N116" i="112"/>
  <c r="N130" i="112"/>
  <c r="N89" i="112"/>
  <c r="N90" i="112"/>
  <c r="N54" i="112"/>
  <c r="N93" i="112"/>
  <c r="N56" i="112"/>
  <c r="N96" i="112"/>
  <c r="N57" i="112"/>
  <c r="N102" i="112"/>
  <c r="N58" i="112"/>
  <c r="N104" i="112"/>
  <c r="N61" i="112"/>
  <c r="N105" i="112"/>
  <c r="N64" i="112"/>
  <c r="N106" i="112"/>
  <c r="N70" i="112"/>
  <c r="N109" i="112"/>
  <c r="N72" i="112"/>
  <c r="N112" i="112"/>
  <c r="N73" i="112"/>
  <c r="N118" i="112"/>
  <c r="N74" i="112"/>
  <c r="N120" i="112"/>
  <c r="N77" i="112"/>
  <c r="N121" i="112"/>
  <c r="N80" i="112"/>
  <c r="N122" i="112"/>
  <c r="N86" i="112"/>
  <c r="N125" i="112"/>
  <c r="N88" i="112"/>
  <c r="N128" i="112"/>
  <c r="H5" i="118" a="1"/>
  <c r="H5" i="118" s="1"/>
  <c r="H4" i="118"/>
  <c r="W5" i="118" a="1"/>
  <c r="W5" i="118" s="1"/>
  <c r="W4" i="118"/>
  <c r="L18" i="32"/>
  <c r="L34" i="32"/>
  <c r="L50" i="32"/>
  <c r="L66" i="32"/>
  <c r="L82" i="32"/>
  <c r="L19" i="32"/>
  <c r="L35" i="32"/>
  <c r="L51" i="32"/>
  <c r="L67" i="32"/>
  <c r="L83" i="32"/>
  <c r="L20" i="32"/>
  <c r="L36" i="32"/>
  <c r="L52" i="32"/>
  <c r="L68" i="32"/>
  <c r="L84" i="32"/>
  <c r="L21" i="32"/>
  <c r="L37" i="32"/>
  <c r="L53" i="32"/>
  <c r="L69" i="32"/>
  <c r="L85" i="32"/>
  <c r="L22" i="32"/>
  <c r="L38" i="32"/>
  <c r="L54" i="32"/>
  <c r="L70" i="32"/>
  <c r="L86" i="32"/>
  <c r="L23" i="32"/>
  <c r="L39" i="32"/>
  <c r="L55" i="32"/>
  <c r="L71" i="32"/>
  <c r="L87" i="32"/>
  <c r="L24" i="32"/>
  <c r="L40" i="32"/>
  <c r="L56" i="32"/>
  <c r="L72" i="32"/>
  <c r="L88" i="32"/>
  <c r="L25" i="32"/>
  <c r="L41" i="32"/>
  <c r="L57" i="32"/>
  <c r="L73" i="32"/>
  <c r="L89" i="32"/>
  <c r="L26" i="32"/>
  <c r="L42" i="32"/>
  <c r="L58" i="32"/>
  <c r="L74" i="32"/>
  <c r="L90" i="32"/>
  <c r="L27" i="32"/>
  <c r="L43" i="32"/>
  <c r="L59" i="32"/>
  <c r="L75" i="32"/>
  <c r="L91" i="32"/>
  <c r="L28" i="32"/>
  <c r="L44" i="32"/>
  <c r="L60" i="32"/>
  <c r="L76" i="32"/>
  <c r="L92" i="32"/>
  <c r="L13" i="32"/>
  <c r="L29" i="32"/>
  <c r="L45" i="32"/>
  <c r="L61" i="32"/>
  <c r="L77" i="32"/>
  <c r="L14" i="32"/>
  <c r="L30" i="32"/>
  <c r="L46" i="32"/>
  <c r="L62" i="32"/>
  <c r="L78" i="32"/>
  <c r="L15" i="32"/>
  <c r="L31" i="32"/>
  <c r="L47" i="32"/>
  <c r="L63" i="32"/>
  <c r="L79" i="32"/>
  <c r="L16" i="32"/>
  <c r="L32" i="32"/>
  <c r="L48" i="32"/>
  <c r="L64" i="32"/>
  <c r="L80" i="32"/>
  <c r="L17" i="32"/>
  <c r="L33" i="32"/>
  <c r="L49" i="32"/>
  <c r="L65" i="32"/>
  <c r="L81" i="32"/>
  <c r="L12" i="32"/>
  <c r="H4" i="32"/>
  <c r="H5" i="32" a="1"/>
  <c r="H5" i="32" s="1"/>
  <c r="Y4" i="78"/>
  <c r="Y5" i="78" a="1"/>
  <c r="Y5" i="78" s="1"/>
  <c r="M65" i="112"/>
  <c r="M81" i="112"/>
  <c r="M97" i="112"/>
  <c r="M113" i="112"/>
  <c r="M129" i="112"/>
  <c r="M66" i="112"/>
  <c r="M82" i="112"/>
  <c r="M98" i="112"/>
  <c r="M114" i="112"/>
  <c r="M131" i="112"/>
  <c r="M67" i="112"/>
  <c r="M83" i="112"/>
  <c r="M99" i="112"/>
  <c r="M115" i="112"/>
  <c r="M52" i="112"/>
  <c r="M68" i="112"/>
  <c r="M84" i="112"/>
  <c r="M100" i="112"/>
  <c r="M116" i="112"/>
  <c r="M53" i="112"/>
  <c r="M69" i="112"/>
  <c r="M85" i="112"/>
  <c r="M101" i="112"/>
  <c r="M117" i="112"/>
  <c r="M54" i="112"/>
  <c r="M70" i="112"/>
  <c r="M86" i="112"/>
  <c r="M102" i="112"/>
  <c r="M118" i="112"/>
  <c r="M130" i="112"/>
  <c r="M55" i="112"/>
  <c r="M71" i="112"/>
  <c r="M87" i="112"/>
  <c r="M103" i="112"/>
  <c r="M119" i="112"/>
  <c r="M56" i="112"/>
  <c r="M72" i="112"/>
  <c r="M88" i="112"/>
  <c r="M104" i="112"/>
  <c r="M120" i="112"/>
  <c r="M57" i="112"/>
  <c r="M73" i="112"/>
  <c r="M89" i="112"/>
  <c r="M105" i="112"/>
  <c r="M121" i="112"/>
  <c r="M58" i="112"/>
  <c r="M74" i="112"/>
  <c r="M90" i="112"/>
  <c r="M106" i="112"/>
  <c r="M122" i="112"/>
  <c r="M59" i="112"/>
  <c r="M75" i="112"/>
  <c r="M91" i="112"/>
  <c r="M107" i="112"/>
  <c r="M123" i="112"/>
  <c r="M60" i="112"/>
  <c r="M76" i="112"/>
  <c r="M92" i="112"/>
  <c r="M108" i="112"/>
  <c r="M124" i="112"/>
  <c r="M61" i="112"/>
  <c r="M77" i="112"/>
  <c r="M93" i="112"/>
  <c r="M109" i="112"/>
  <c r="M125" i="112"/>
  <c r="M62" i="112"/>
  <c r="M78" i="112"/>
  <c r="M94" i="112"/>
  <c r="M110" i="112"/>
  <c r="M126" i="112"/>
  <c r="M63" i="112"/>
  <c r="M79" i="112"/>
  <c r="M95" i="112"/>
  <c r="M111" i="112"/>
  <c r="M127" i="112"/>
  <c r="M64" i="112"/>
  <c r="M80" i="112"/>
  <c r="M96" i="112"/>
  <c r="M112" i="112"/>
  <c r="M128" i="112"/>
  <c r="O4" i="75"/>
  <c r="O5" i="75" a="1"/>
  <c r="O5" i="75" s="1"/>
  <c r="Y60" i="32" l="1"/>
  <c r="Y44" i="32"/>
  <c r="Y22" i="32"/>
  <c r="Y85" i="32"/>
  <c r="Y81" i="32"/>
  <c r="Y59" i="32"/>
  <c r="Y21" i="32"/>
  <c r="Y53" i="32"/>
  <c r="Y37" i="32"/>
  <c r="Y65" i="32"/>
  <c r="Y43" i="32"/>
  <c r="Y84" i="32"/>
  <c r="AH84" i="32" s="1"/>
  <c r="Y33" i="32"/>
  <c r="Y90" i="32"/>
  <c r="Y52" i="32"/>
  <c r="Y80" i="32"/>
  <c r="Y58" i="32"/>
  <c r="Y20" i="32"/>
  <c r="Y63" i="32"/>
  <c r="Y41" i="32"/>
  <c r="Y82" i="32"/>
  <c r="Y47" i="32"/>
  <c r="Y25" i="32"/>
  <c r="Y66" i="32"/>
  <c r="Y12" i="32"/>
  <c r="Y15" i="32"/>
  <c r="Y72" i="32"/>
  <c r="Y34" i="32"/>
  <c r="Y78" i="32"/>
  <c r="Y56" i="32"/>
  <c r="Y18" i="32"/>
  <c r="Y75" i="32"/>
  <c r="Y62" i="32"/>
  <c r="Y40" i="32"/>
  <c r="Y91" i="32"/>
  <c r="Y46" i="32"/>
  <c r="Y24" i="32"/>
  <c r="Y14" i="32"/>
  <c r="Y71" i="32"/>
  <c r="Y61" i="32"/>
  <c r="Y39" i="32"/>
  <c r="Z48" i="32"/>
  <c r="M4" i="78"/>
  <c r="M5" i="78" a="1"/>
  <c r="M5" i="78" s="1"/>
  <c r="Z26" i="32"/>
  <c r="Z67" i="32"/>
  <c r="Z29" i="32"/>
  <c r="Z86" i="32"/>
  <c r="Z92" i="32"/>
  <c r="Z54" i="32"/>
  <c r="Z12" i="32"/>
  <c r="Z75" i="32"/>
  <c r="Z37" i="32"/>
  <c r="Z81" i="32"/>
  <c r="AH81" i="32" s="1"/>
  <c r="Z59" i="32"/>
  <c r="Z21" i="32"/>
  <c r="Z49" i="32"/>
  <c r="Z27" i="32"/>
  <c r="Z68" i="32"/>
  <c r="Z33" i="32"/>
  <c r="Z90" i="32"/>
  <c r="Z52" i="32"/>
  <c r="Z17" i="32"/>
  <c r="Z74" i="32"/>
  <c r="Z36" i="32"/>
  <c r="Z80" i="32"/>
  <c r="Z58" i="32"/>
  <c r="Z20" i="32"/>
  <c r="Z16" i="32"/>
  <c r="Z73" i="32"/>
  <c r="Z35" i="32"/>
  <c r="Z78" i="32"/>
  <c r="Z56" i="32"/>
  <c r="Z18" i="32"/>
  <c r="Z62" i="32"/>
  <c r="Z40" i="32"/>
  <c r="Z30" i="32"/>
  <c r="Z87" i="32"/>
  <c r="Z14" i="32"/>
  <c r="Z71" i="32"/>
  <c r="Z77" i="32"/>
  <c r="Z55" i="32"/>
  <c r="Z61" i="32"/>
  <c r="Z39" i="32"/>
  <c r="M5" i="75" a="1"/>
  <c r="M5" i="75" s="1"/>
  <c r="M4" i="75"/>
  <c r="Z64" i="32"/>
  <c r="Z45" i="32"/>
  <c r="Z42" i="32"/>
  <c r="Z23" i="32"/>
  <c r="Z83" i="32"/>
  <c r="Y49" i="32"/>
  <c r="Y30" i="32"/>
  <c r="Y27" i="32"/>
  <c r="Y87" i="32"/>
  <c r="Y68" i="32"/>
  <c r="Z32" i="32"/>
  <c r="Z13" i="32"/>
  <c r="Z89" i="32"/>
  <c r="Z70" i="32"/>
  <c r="Z51" i="32"/>
  <c r="Y17" i="32"/>
  <c r="Y77" i="32"/>
  <c r="Y74" i="32"/>
  <c r="Y55" i="32"/>
  <c r="Y36" i="32"/>
  <c r="Z79" i="32"/>
  <c r="Z76" i="32"/>
  <c r="Z57" i="32"/>
  <c r="Z38" i="32"/>
  <c r="Z19" i="32"/>
  <c r="Y64" i="32"/>
  <c r="Y45" i="32"/>
  <c r="Y42" i="32"/>
  <c r="Y23" i="32"/>
  <c r="Y83" i="32"/>
  <c r="Z63" i="32"/>
  <c r="Z60" i="32"/>
  <c r="Z41" i="32"/>
  <c r="Z22" i="32"/>
  <c r="AH22" i="32" s="1"/>
  <c r="Z82" i="32"/>
  <c r="AH82" i="32" s="1"/>
  <c r="Y48" i="32"/>
  <c r="AH48" i="32" s="1"/>
  <c r="Y29" i="32"/>
  <c r="Y26" i="32"/>
  <c r="Y86" i="32"/>
  <c r="Y67" i="32"/>
  <c r="Y70" i="32"/>
  <c r="Y51" i="32"/>
  <c r="Z47" i="32"/>
  <c r="Z44" i="32"/>
  <c r="AH44" i="32" s="1"/>
  <c r="Z25" i="32"/>
  <c r="Z85" i="32"/>
  <c r="AH85" i="32" s="1"/>
  <c r="Z66" i="32"/>
  <c r="Y32" i="32"/>
  <c r="Y13" i="32"/>
  <c r="Y89" i="32"/>
  <c r="Z31" i="32"/>
  <c r="Z28" i="32"/>
  <c r="Z88" i="32"/>
  <c r="Z69" i="32"/>
  <c r="Z50" i="32"/>
  <c r="AH50" i="32" s="1"/>
  <c r="Y16" i="32"/>
  <c r="Y92" i="32"/>
  <c r="Y73" i="32"/>
  <c r="Y54" i="32"/>
  <c r="Y35" i="32"/>
  <c r="Z15" i="32"/>
  <c r="Z91" i="32"/>
  <c r="Z72" i="32"/>
  <c r="Z53" i="32"/>
  <c r="AH53" i="32" s="1"/>
  <c r="Z34" i="32"/>
  <c r="Y79" i="32"/>
  <c r="Y76" i="32"/>
  <c r="Y57" i="32"/>
  <c r="Y38" i="32"/>
  <c r="Y19" i="32"/>
  <c r="Z65" i="32"/>
  <c r="Z46" i="32"/>
  <c r="Z43" i="32"/>
  <c r="Z24" i="32"/>
  <c r="AH24" i="32" s="1"/>
  <c r="Y31" i="32"/>
  <c r="Y28" i="32"/>
  <c r="Y88" i="32"/>
  <c r="Y69" i="32"/>
  <c r="AA4" i="75"/>
  <c r="O227" i="79"/>
  <c r="M227" i="79" s="1"/>
  <c r="J6" i="75" s="1" a="1"/>
  <c r="J6" i="75" s="1"/>
  <c r="U6" i="75" a="1"/>
  <c r="U6" i="75" s="1"/>
  <c r="U27" i="75" s="1"/>
  <c r="AA5" i="75" a="1"/>
  <c r="AA5" i="75" s="1"/>
  <c r="I6" i="75" a="1"/>
  <c r="I6" i="75" s="1"/>
  <c r="I11" i="75" s="1"/>
  <c r="I6" i="78" a="1"/>
  <c r="I6" i="78" s="1"/>
  <c r="I23" i="78" s="1"/>
  <c r="AA4" i="78"/>
  <c r="O4" i="78"/>
  <c r="Y4" i="75"/>
  <c r="AA5" i="78" a="1"/>
  <c r="AA5" i="78" s="1"/>
  <c r="Y5" i="75" a="1"/>
  <c r="Y5" i="75" s="1"/>
  <c r="O5" i="78" a="1"/>
  <c r="O5" i="78" s="1"/>
  <c r="W127" i="112"/>
  <c r="W107" i="112"/>
  <c r="W117" i="112"/>
  <c r="W88" i="112"/>
  <c r="W103" i="112"/>
  <c r="W73" i="112"/>
  <c r="W71" i="112"/>
  <c r="W90" i="112"/>
  <c r="O11" i="110"/>
  <c r="M11" i="111" s="1"/>
  <c r="W72" i="112"/>
  <c r="W68" i="112"/>
  <c r="W99" i="112"/>
  <c r="W98" i="112"/>
  <c r="W93" i="112"/>
  <c r="W129" i="112"/>
  <c r="W109" i="112"/>
  <c r="W61" i="112"/>
  <c r="W120" i="112"/>
  <c r="W74" i="112"/>
  <c r="W58" i="112"/>
  <c r="W87" i="112"/>
  <c r="W84" i="112"/>
  <c r="W52" i="112"/>
  <c r="W94" i="112"/>
  <c r="W106" i="112"/>
  <c r="W63" i="112"/>
  <c r="W67" i="112"/>
  <c r="W125" i="112"/>
  <c r="W97" i="112"/>
  <c r="W92" i="112"/>
  <c r="W121" i="112"/>
  <c r="W111" i="112"/>
  <c r="W102" i="112"/>
  <c r="W62" i="112"/>
  <c r="W91" i="112"/>
  <c r="W131" i="112"/>
  <c r="W108" i="112"/>
  <c r="W89" i="112"/>
  <c r="W76" i="112"/>
  <c r="W65" i="112"/>
  <c r="W101" i="112"/>
  <c r="W79" i="112"/>
  <c r="W64" i="112"/>
  <c r="W128" i="112"/>
  <c r="W110" i="112"/>
  <c r="W78" i="112"/>
  <c r="W83" i="112"/>
  <c r="W60" i="112"/>
  <c r="W119" i="112"/>
  <c r="W100" i="112"/>
  <c r="W54" i="112"/>
  <c r="W66" i="112"/>
  <c r="W124" i="112"/>
  <c r="W114" i="112"/>
  <c r="W86" i="112"/>
  <c r="W115" i="112"/>
  <c r="W105" i="112"/>
  <c r="W96" i="112"/>
  <c r="W85" i="112"/>
  <c r="W81" i="112"/>
  <c r="W123" i="112"/>
  <c r="W104" i="112"/>
  <c r="W80" i="112"/>
  <c r="W53" i="112"/>
  <c r="W56" i="112"/>
  <c r="W95" i="112"/>
  <c r="W70" i="112"/>
  <c r="W55" i="112"/>
  <c r="W75" i="112"/>
  <c r="W130" i="112"/>
  <c r="W116" i="112"/>
  <c r="W113" i="112"/>
  <c r="W69" i="112"/>
  <c r="W82" i="112"/>
  <c r="W59" i="112"/>
  <c r="W122" i="112"/>
  <c r="W77" i="112"/>
  <c r="W126" i="112"/>
  <c r="W57" i="112"/>
  <c r="W118" i="112"/>
  <c r="L124" i="112"/>
  <c r="L108" i="112"/>
  <c r="L100" i="112"/>
  <c r="L103" i="112"/>
  <c r="L97" i="112"/>
  <c r="L72" i="112"/>
  <c r="L84" i="112"/>
  <c r="L67" i="112"/>
  <c r="L52" i="112"/>
  <c r="L105" i="112"/>
  <c r="L60" i="112"/>
  <c r="L128" i="112"/>
  <c r="L106" i="112"/>
  <c r="L92" i="112"/>
  <c r="L73" i="112"/>
  <c r="L89" i="112"/>
  <c r="L62" i="112"/>
  <c r="L121" i="112"/>
  <c r="L123" i="112"/>
  <c r="L95" i="112"/>
  <c r="L76" i="112"/>
  <c r="L65" i="112"/>
  <c r="L131" i="112"/>
  <c r="L113" i="112"/>
  <c r="L88" i="112"/>
  <c r="L59" i="112"/>
  <c r="L116" i="112"/>
  <c r="L94" i="112"/>
  <c r="L86" i="112"/>
  <c r="L64" i="112"/>
  <c r="L118" i="112"/>
  <c r="L126" i="112"/>
  <c r="L99" i="112"/>
  <c r="L83" i="112"/>
  <c r="L122" i="112"/>
  <c r="L102" i="112"/>
  <c r="L104" i="112"/>
  <c r="L63" i="112"/>
  <c r="L66" i="112"/>
  <c r="L53" i="112"/>
  <c r="L80" i="112"/>
  <c r="L91" i="112"/>
  <c r="L77" i="112"/>
  <c r="L117" i="112"/>
  <c r="L115" i="112"/>
  <c r="L75" i="112"/>
  <c r="L56" i="112"/>
  <c r="L129" i="112"/>
  <c r="L107" i="112"/>
  <c r="L79" i="112"/>
  <c r="L58" i="112"/>
  <c r="L110" i="112"/>
  <c r="L120" i="112"/>
  <c r="L87" i="112"/>
  <c r="L55" i="112"/>
  <c r="L112" i="112"/>
  <c r="L119" i="112"/>
  <c r="L93" i="112"/>
  <c r="L82" i="112"/>
  <c r="L69" i="112"/>
  <c r="L96" i="112"/>
  <c r="L98" i="112"/>
  <c r="L54" i="112"/>
  <c r="L57" i="112"/>
  <c r="L125" i="112"/>
  <c r="L71" i="112"/>
  <c r="L81" i="112"/>
  <c r="L68" i="112"/>
  <c r="L111" i="112"/>
  <c r="L109" i="112"/>
  <c r="L90" i="112"/>
  <c r="L127" i="112"/>
  <c r="L130" i="112"/>
  <c r="L101" i="112"/>
  <c r="L70" i="112"/>
  <c r="L85" i="112"/>
  <c r="L74" i="112"/>
  <c r="L61" i="112"/>
  <c r="L114" i="112"/>
  <c r="I5" i="32" a="1"/>
  <c r="I5" i="32" s="1"/>
  <c r="I4" i="32"/>
  <c r="T4" i="112"/>
  <c r="I4" i="112"/>
  <c r="W5" i="32" a="1"/>
  <c r="W5" i="32" s="1"/>
  <c r="W4" i="32"/>
  <c r="Y11" i="110"/>
  <c r="R11" i="112" s="1"/>
  <c r="AF11" i="110"/>
  <c r="Y11" i="112" s="1"/>
  <c r="AG11" i="110"/>
  <c r="AI11" i="110" s="1"/>
  <c r="AD11" i="110"/>
  <c r="W11" i="112" s="1"/>
  <c r="Z11" i="110"/>
  <c r="S11" i="111" s="1"/>
  <c r="AE11" i="110"/>
  <c r="X11" i="112" s="1"/>
  <c r="AA11" i="110"/>
  <c r="T11" i="111" s="1"/>
  <c r="AC11" i="110"/>
  <c r="T35" i="32"/>
  <c r="T92" i="32"/>
  <c r="AH92" i="32"/>
  <c r="T12" i="32"/>
  <c r="T19" i="32"/>
  <c r="T23" i="32"/>
  <c r="T41" i="32"/>
  <c r="T22" i="32"/>
  <c r="T88" i="32"/>
  <c r="T69" i="32"/>
  <c r="T40" i="32"/>
  <c r="T84" i="32"/>
  <c r="T80" i="32"/>
  <c r="T61" i="32"/>
  <c r="T48" i="32"/>
  <c r="T29" i="32"/>
  <c r="T26" i="32"/>
  <c r="T86" i="32"/>
  <c r="T67" i="32"/>
  <c r="T32" i="32"/>
  <c r="T13" i="32"/>
  <c r="T89" i="32"/>
  <c r="T70" i="32"/>
  <c r="T51" i="32"/>
  <c r="T39" i="32"/>
  <c r="T16" i="32"/>
  <c r="T73" i="32"/>
  <c r="T54" i="32"/>
  <c r="T79" i="32"/>
  <c r="T76" i="32"/>
  <c r="T57" i="32"/>
  <c r="T38" i="32"/>
  <c r="T63" i="32"/>
  <c r="T60" i="32"/>
  <c r="T82" i="32"/>
  <c r="T47" i="32"/>
  <c r="T44" i="32"/>
  <c r="T25" i="32"/>
  <c r="T85" i="32"/>
  <c r="T66" i="32"/>
  <c r="T31" i="32"/>
  <c r="T28" i="32"/>
  <c r="T50" i="32"/>
  <c r="T15" i="32"/>
  <c r="T91" i="32"/>
  <c r="T72" i="32"/>
  <c r="T53" i="32"/>
  <c r="T34" i="32"/>
  <c r="T78" i="32"/>
  <c r="T75" i="32"/>
  <c r="T56" i="32"/>
  <c r="T37" i="32"/>
  <c r="T18" i="32"/>
  <c r="T81" i="32"/>
  <c r="T62" i="32"/>
  <c r="T59" i="32"/>
  <c r="T21" i="32"/>
  <c r="T58" i="32"/>
  <c r="T65" i="32"/>
  <c r="T46" i="32"/>
  <c r="T43" i="32"/>
  <c r="T24" i="32"/>
  <c r="T87" i="32"/>
  <c r="T49" i="32"/>
  <c r="T30" i="32"/>
  <c r="T27" i="32"/>
  <c r="T68" i="32"/>
  <c r="T33" i="32"/>
  <c r="T14" i="32"/>
  <c r="T90" i="32"/>
  <c r="T71" i="32"/>
  <c r="T52" i="32"/>
  <c r="T17" i="32"/>
  <c r="T77" i="32"/>
  <c r="T74" i="32"/>
  <c r="T55" i="32"/>
  <c r="T36" i="32"/>
  <c r="T20" i="32"/>
  <c r="T64" i="32"/>
  <c r="T45" i="32"/>
  <c r="T42" i="32"/>
  <c r="T83" i="32"/>
  <c r="Q11" i="110"/>
  <c r="O11" i="111" s="1"/>
  <c r="P11" i="110"/>
  <c r="N11" i="110"/>
  <c r="L11" i="111" s="1"/>
  <c r="L11" i="110"/>
  <c r="J11" i="111" s="1"/>
  <c r="K11" i="110"/>
  <c r="I11" i="111" s="1"/>
  <c r="I11" i="110"/>
  <c r="G11" i="111" s="1"/>
  <c r="J11" i="110"/>
  <c r="T11" i="110" s="1"/>
  <c r="K11" i="111"/>
  <c r="K4" i="112"/>
  <c r="K11" i="112" s="1"/>
  <c r="V4" i="112"/>
  <c r="H4" i="112"/>
  <c r="S4" i="112"/>
  <c r="AA4" i="32"/>
  <c r="AA5" i="32" a="1"/>
  <c r="AA5" i="32" s="1"/>
  <c r="N4" i="78"/>
  <c r="N5" i="78" a="1"/>
  <c r="N5" i="78" s="1"/>
  <c r="U11" i="111"/>
  <c r="U11" i="112"/>
  <c r="N4" i="75"/>
  <c r="N5" i="75" a="1"/>
  <c r="N5" i="75" s="1"/>
  <c r="K6" i="75" a="1"/>
  <c r="K6" i="75" s="1"/>
  <c r="K6" i="78" a="1"/>
  <c r="K6" i="78" s="1"/>
  <c r="W6" i="75" a="1"/>
  <c r="W6" i="75" s="1"/>
  <c r="W6" i="78" a="1"/>
  <c r="W6" i="78" s="1"/>
  <c r="O229" i="79"/>
  <c r="M229" i="79" s="1"/>
  <c r="K6" i="118" a="1"/>
  <c r="K6" i="118" s="1"/>
  <c r="O416" i="79"/>
  <c r="M416" i="79" s="1"/>
  <c r="Z6" i="118" a="1"/>
  <c r="Z6" i="118" s="1"/>
  <c r="L4" i="32"/>
  <c r="L5" i="32" a="1"/>
  <c r="L5" i="32" s="1"/>
  <c r="U26" i="78"/>
  <c r="U42" i="78"/>
  <c r="U58" i="78"/>
  <c r="U74" i="78"/>
  <c r="U90" i="78"/>
  <c r="U104" i="78"/>
  <c r="U120" i="78"/>
  <c r="U27" i="78"/>
  <c r="U43" i="78"/>
  <c r="U59" i="78"/>
  <c r="U75" i="78"/>
  <c r="U11" i="78"/>
  <c r="U105" i="78"/>
  <c r="U121" i="78"/>
  <c r="U12" i="78"/>
  <c r="U28" i="78"/>
  <c r="U44" i="78"/>
  <c r="U60" i="78"/>
  <c r="U76" i="78"/>
  <c r="U106" i="78"/>
  <c r="U122" i="78"/>
  <c r="U13" i="78"/>
  <c r="U29" i="78"/>
  <c r="U45" i="78"/>
  <c r="U61" i="78"/>
  <c r="U77" i="78"/>
  <c r="U91" i="78"/>
  <c r="U107" i="78"/>
  <c r="U123" i="78"/>
  <c r="U14" i="78"/>
  <c r="U30" i="78"/>
  <c r="U46" i="78"/>
  <c r="U62" i="78"/>
  <c r="U78" i="78"/>
  <c r="U92" i="78"/>
  <c r="U108" i="78"/>
  <c r="U124" i="78"/>
  <c r="U15" i="78"/>
  <c r="U31" i="78"/>
  <c r="U47" i="78"/>
  <c r="U63" i="78"/>
  <c r="U79" i="78"/>
  <c r="U93" i="78"/>
  <c r="U109" i="78"/>
  <c r="U125" i="78"/>
  <c r="U16" i="78"/>
  <c r="U32" i="78"/>
  <c r="U48" i="78"/>
  <c r="U64" i="78"/>
  <c r="U80" i="78"/>
  <c r="U94" i="78"/>
  <c r="U110" i="78"/>
  <c r="U126" i="78"/>
  <c r="U17" i="78"/>
  <c r="U33" i="78"/>
  <c r="U49" i="78"/>
  <c r="U65" i="78"/>
  <c r="U81" i="78"/>
  <c r="U95" i="78"/>
  <c r="U111" i="78"/>
  <c r="U127" i="78"/>
  <c r="U18" i="78"/>
  <c r="U34" i="78"/>
  <c r="U50" i="78"/>
  <c r="U66" i="78"/>
  <c r="U82" i="78"/>
  <c r="U96" i="78"/>
  <c r="U112" i="78"/>
  <c r="U128" i="78"/>
  <c r="U19" i="78"/>
  <c r="U35" i="78"/>
  <c r="U51" i="78"/>
  <c r="U67" i="78"/>
  <c r="U83" i="78"/>
  <c r="U97" i="78"/>
  <c r="U113" i="78"/>
  <c r="U129" i="78"/>
  <c r="U20" i="78"/>
  <c r="U36" i="78"/>
  <c r="U52" i="78"/>
  <c r="U68" i="78"/>
  <c r="U84" i="78"/>
  <c r="U98" i="78"/>
  <c r="U114" i="78"/>
  <c r="U131" i="78"/>
  <c r="U21" i="78"/>
  <c r="U37" i="78"/>
  <c r="U53" i="78"/>
  <c r="U69" i="78"/>
  <c r="U85" i="78"/>
  <c r="U99" i="78"/>
  <c r="U115" i="78"/>
  <c r="U22" i="78"/>
  <c r="U38" i="78"/>
  <c r="U54" i="78"/>
  <c r="U70" i="78"/>
  <c r="U86" i="78"/>
  <c r="U100" i="78"/>
  <c r="U116" i="78"/>
  <c r="U23" i="78"/>
  <c r="U39" i="78"/>
  <c r="U55" i="78"/>
  <c r="U71" i="78"/>
  <c r="U87" i="78"/>
  <c r="U101" i="78"/>
  <c r="U117" i="78"/>
  <c r="U130" i="78"/>
  <c r="U24" i="78"/>
  <c r="U40" i="78"/>
  <c r="U56" i="78"/>
  <c r="U72" i="78"/>
  <c r="U88" i="78"/>
  <c r="U102" i="78"/>
  <c r="U118" i="78"/>
  <c r="U25" i="78"/>
  <c r="U41" i="78"/>
  <c r="U57" i="78"/>
  <c r="U73" i="78"/>
  <c r="U89" i="78"/>
  <c r="U103" i="78"/>
  <c r="U119" i="78"/>
  <c r="Z4" i="78"/>
  <c r="Z5" i="78" a="1"/>
  <c r="Z5" i="78" s="1"/>
  <c r="K4" i="32"/>
  <c r="K5" i="32" a="1"/>
  <c r="K5" i="32" s="1"/>
  <c r="I112" i="118"/>
  <c r="I19" i="118"/>
  <c r="I119" i="118"/>
  <c r="I67" i="118"/>
  <c r="I115" i="118"/>
  <c r="I65" i="118"/>
  <c r="I53" i="118"/>
  <c r="I120" i="118"/>
  <c r="I11" i="118"/>
  <c r="I28" i="118"/>
  <c r="I75" i="118"/>
  <c r="I93" i="118"/>
  <c r="I59" i="118"/>
  <c r="I118" i="118"/>
  <c r="I91" i="118"/>
  <c r="I110" i="118"/>
  <c r="I44" i="118"/>
  <c r="I35" i="118"/>
  <c r="I123" i="118"/>
  <c r="I116" i="118"/>
  <c r="I94" i="118"/>
  <c r="I69" i="118"/>
  <c r="I32" i="118"/>
  <c r="I24" i="118"/>
  <c r="I43" i="118"/>
  <c r="I124" i="118"/>
  <c r="I52" i="118"/>
  <c r="I114" i="118"/>
  <c r="I98" i="118"/>
  <c r="I81" i="118"/>
  <c r="I60" i="118"/>
  <c r="I62" i="118"/>
  <c r="I83" i="118"/>
  <c r="I131" i="118"/>
  <c r="I68" i="118"/>
  <c r="I45" i="118"/>
  <c r="I33" i="118"/>
  <c r="I78" i="118"/>
  <c r="I22" i="118"/>
  <c r="I87" i="118"/>
  <c r="I88" i="118"/>
  <c r="I66" i="118"/>
  <c r="I50" i="118"/>
  <c r="I20" i="118"/>
  <c r="I38" i="118"/>
  <c r="I101" i="118"/>
  <c r="I63" i="118"/>
  <c r="I82" i="118"/>
  <c r="I34" i="118"/>
  <c r="I18" i="118"/>
  <c r="I39" i="118"/>
  <c r="I23" i="118"/>
  <c r="I61" i="118"/>
  <c r="I104" i="118"/>
  <c r="I111" i="118"/>
  <c r="I85" i="118"/>
  <c r="I113" i="118"/>
  <c r="I56" i="118"/>
  <c r="I129" i="118"/>
  <c r="I13" i="118"/>
  <c r="I12" i="118"/>
  <c r="I40" i="118"/>
  <c r="I97" i="118"/>
  <c r="I37" i="118"/>
  <c r="I95" i="118"/>
  <c r="I21" i="118"/>
  <c r="I100" i="118"/>
  <c r="I27" i="118"/>
  <c r="I108" i="118"/>
  <c r="I77" i="118"/>
  <c r="I29" i="118"/>
  <c r="I103" i="118"/>
  <c r="I73" i="118"/>
  <c r="I128" i="118"/>
  <c r="I99" i="118"/>
  <c r="I126" i="118"/>
  <c r="I105" i="118"/>
  <c r="I84" i="118"/>
  <c r="I55" i="118"/>
  <c r="I121" i="118"/>
  <c r="I54" i="118"/>
  <c r="I15" i="118"/>
  <c r="I51" i="118"/>
  <c r="I122" i="118"/>
  <c r="I106" i="118"/>
  <c r="I90" i="118"/>
  <c r="I71" i="118"/>
  <c r="I49" i="118"/>
  <c r="I14" i="118"/>
  <c r="I41" i="118"/>
  <c r="I72" i="118"/>
  <c r="I79" i="118"/>
  <c r="I57" i="118"/>
  <c r="I16" i="118"/>
  <c r="I17" i="118"/>
  <c r="I70" i="118"/>
  <c r="I80" i="118"/>
  <c r="I107" i="118"/>
  <c r="I48" i="118"/>
  <c r="I74" i="118"/>
  <c r="I58" i="118"/>
  <c r="I36" i="118"/>
  <c r="I46" i="118"/>
  <c r="I30" i="118"/>
  <c r="I127" i="118"/>
  <c r="I102" i="118"/>
  <c r="I96" i="118"/>
  <c r="I42" i="118"/>
  <c r="I26" i="118"/>
  <c r="I47" i="118"/>
  <c r="I31" i="118"/>
  <c r="I125" i="118"/>
  <c r="I117" i="118"/>
  <c r="I76" i="118"/>
  <c r="I25" i="118"/>
  <c r="I86" i="118"/>
  <c r="I130" i="118"/>
  <c r="I109" i="118"/>
  <c r="I92" i="118"/>
  <c r="I64" i="118"/>
  <c r="I89" i="118"/>
  <c r="Z4" i="75"/>
  <c r="Z5" i="75" a="1"/>
  <c r="Z5" i="75" s="1"/>
  <c r="Y6" i="118" a="1"/>
  <c r="Y6" i="118" s="1"/>
  <c r="J6" i="118" a="1"/>
  <c r="J6" i="118" s="1"/>
  <c r="X14" i="118"/>
  <c r="X36" i="118"/>
  <c r="X122" i="118"/>
  <c r="X87" i="118"/>
  <c r="X126" i="118"/>
  <c r="X99" i="118"/>
  <c r="X127" i="118"/>
  <c r="X60" i="118"/>
  <c r="X22" i="118"/>
  <c r="X44" i="118"/>
  <c r="X63" i="118"/>
  <c r="X97" i="118"/>
  <c r="X70" i="118"/>
  <c r="X54" i="118"/>
  <c r="X38" i="118"/>
  <c r="X13" i="118"/>
  <c r="X18" i="118"/>
  <c r="X76" i="118"/>
  <c r="X86" i="118"/>
  <c r="X61" i="118"/>
  <c r="X45" i="118"/>
  <c r="X29" i="118"/>
  <c r="X39" i="118"/>
  <c r="X117" i="118"/>
  <c r="X113" i="118"/>
  <c r="X77" i="118"/>
  <c r="X59" i="118"/>
  <c r="X43" i="118"/>
  <c r="X27" i="118"/>
  <c r="X84" i="118"/>
  <c r="X115" i="118"/>
  <c r="X102" i="118"/>
  <c r="X75" i="118"/>
  <c r="X116" i="118"/>
  <c r="X48" i="118"/>
  <c r="X104" i="118"/>
  <c r="X34" i="118"/>
  <c r="X119" i="118"/>
  <c r="X93" i="118"/>
  <c r="X79" i="118"/>
  <c r="X28" i="118"/>
  <c r="X92" i="118"/>
  <c r="X20" i="118"/>
  <c r="X25" i="118"/>
  <c r="X23" i="118"/>
  <c r="X91" i="118"/>
  <c r="X95" i="118"/>
  <c r="X88" i="118"/>
  <c r="X47" i="118"/>
  <c r="X128" i="118"/>
  <c r="X130" i="118"/>
  <c r="X129" i="118"/>
  <c r="X31" i="118"/>
  <c r="X12" i="118"/>
  <c r="X82" i="118"/>
  <c r="X66" i="118"/>
  <c r="X50" i="118"/>
  <c r="X103" i="118"/>
  <c r="X118" i="118"/>
  <c r="X55" i="118"/>
  <c r="X98" i="118"/>
  <c r="X73" i="118"/>
  <c r="X57" i="118"/>
  <c r="X41" i="118"/>
  <c r="X11" i="118"/>
  <c r="X52" i="118"/>
  <c r="X109" i="118"/>
  <c r="X114" i="118"/>
  <c r="X89" i="118"/>
  <c r="X62" i="118"/>
  <c r="X46" i="118"/>
  <c r="X30" i="118"/>
  <c r="X64" i="118"/>
  <c r="X107" i="118"/>
  <c r="X105" i="118"/>
  <c r="X78" i="118"/>
  <c r="X53" i="118"/>
  <c r="X37" i="118"/>
  <c r="X21" i="118"/>
  <c r="X26" i="118"/>
  <c r="X100" i="118"/>
  <c r="X94" i="118"/>
  <c r="X69" i="118"/>
  <c r="X51" i="118"/>
  <c r="X35" i="118"/>
  <c r="X19" i="118"/>
  <c r="X72" i="118"/>
  <c r="X17" i="118"/>
  <c r="X96" i="118"/>
  <c r="X85" i="118"/>
  <c r="X67" i="118"/>
  <c r="X80" i="118"/>
  <c r="X15" i="118"/>
  <c r="X120" i="118"/>
  <c r="X125" i="118"/>
  <c r="X131" i="118"/>
  <c r="X83" i="118"/>
  <c r="X40" i="118"/>
  <c r="X124" i="118"/>
  <c r="X56" i="118"/>
  <c r="X108" i="118"/>
  <c r="X123" i="118"/>
  <c r="X121" i="118"/>
  <c r="X112" i="118"/>
  <c r="X111" i="118"/>
  <c r="X68" i="118"/>
  <c r="X24" i="118"/>
  <c r="X42" i="118"/>
  <c r="X71" i="118"/>
  <c r="X110" i="118"/>
  <c r="X32" i="118"/>
  <c r="X90" i="118"/>
  <c r="X74" i="118"/>
  <c r="X58" i="118"/>
  <c r="X33" i="118"/>
  <c r="X16" i="118"/>
  <c r="X101" i="118"/>
  <c r="X106" i="118"/>
  <c r="X81" i="118"/>
  <c r="X65" i="118"/>
  <c r="X49" i="118"/>
  <c r="AD4" i="118"/>
  <c r="AD5" i="118" a="1"/>
  <c r="AD5" i="118" s="1"/>
  <c r="M4" i="32"/>
  <c r="M5" i="32" a="1"/>
  <c r="M5" i="32" s="1"/>
  <c r="O5" i="118" a="1"/>
  <c r="O5" i="118" s="1"/>
  <c r="O4" i="118"/>
  <c r="AH67" i="32" l="1"/>
  <c r="AH20" i="32"/>
  <c r="AH65" i="32"/>
  <c r="AH15" i="32"/>
  <c r="AH59" i="32"/>
  <c r="U19" i="75"/>
  <c r="AH91" i="32"/>
  <c r="AH60" i="32"/>
  <c r="AH58" i="32"/>
  <c r="AH14" i="32"/>
  <c r="AH47" i="32"/>
  <c r="AH21" i="32"/>
  <c r="U110" i="75"/>
  <c r="U92" i="75"/>
  <c r="U60" i="75"/>
  <c r="AH25" i="32"/>
  <c r="AH37" i="32"/>
  <c r="AH66" i="32"/>
  <c r="AH39" i="32"/>
  <c r="AH34" i="32"/>
  <c r="AH43" i="32"/>
  <c r="AH72" i="32"/>
  <c r="AH61" i="32"/>
  <c r="AH71" i="32"/>
  <c r="U62" i="75"/>
  <c r="U46" i="75"/>
  <c r="U61" i="75"/>
  <c r="U106" i="75"/>
  <c r="U55" i="75"/>
  <c r="U70" i="75"/>
  <c r="U69" i="75"/>
  <c r="U37" i="75"/>
  <c r="U21" i="75"/>
  <c r="U98" i="75"/>
  <c r="AH86" i="32"/>
  <c r="AH74" i="32"/>
  <c r="AH51" i="32"/>
  <c r="AH12" i="32"/>
  <c r="AH80" i="32"/>
  <c r="AH90" i="32"/>
  <c r="AH75" i="32"/>
  <c r="AH54" i="32"/>
  <c r="U114" i="75"/>
  <c r="U29" i="75"/>
  <c r="U84" i="75"/>
  <c r="U76" i="75"/>
  <c r="AH46" i="32"/>
  <c r="AH52" i="32"/>
  <c r="U96" i="75"/>
  <c r="U58" i="75"/>
  <c r="AH19" i="32"/>
  <c r="AH26" i="32"/>
  <c r="AH40" i="32"/>
  <c r="AH33" i="32"/>
  <c r="U66" i="75"/>
  <c r="U119" i="75"/>
  <c r="AH29" i="32"/>
  <c r="AH62" i="32"/>
  <c r="U50" i="75"/>
  <c r="AH36" i="32"/>
  <c r="AH18" i="32"/>
  <c r="U65" i="75"/>
  <c r="AH55" i="32"/>
  <c r="AH56" i="32"/>
  <c r="AH30" i="32"/>
  <c r="U118" i="75"/>
  <c r="U33" i="75"/>
  <c r="AH78" i="32"/>
  <c r="AH41" i="32"/>
  <c r="AH77" i="32"/>
  <c r="U116" i="75"/>
  <c r="U94" i="75"/>
  <c r="AH17" i="32"/>
  <c r="U86" i="75"/>
  <c r="U80" i="75"/>
  <c r="AH63" i="32"/>
  <c r="AH35" i="32"/>
  <c r="V6" i="75" a="1"/>
  <c r="V6" i="75" s="1"/>
  <c r="V113" i="75" s="1"/>
  <c r="AH16" i="32"/>
  <c r="I31" i="75"/>
  <c r="I46" i="75"/>
  <c r="I28" i="75"/>
  <c r="I81" i="78"/>
  <c r="I48" i="78"/>
  <c r="AH49" i="32"/>
  <c r="I45" i="75"/>
  <c r="I120" i="75"/>
  <c r="I103" i="75"/>
  <c r="I27" i="75"/>
  <c r="I88" i="75"/>
  <c r="I71" i="75"/>
  <c r="I54" i="75"/>
  <c r="I37" i="75"/>
  <c r="I36" i="75"/>
  <c r="I35" i="75"/>
  <c r="I34" i="75"/>
  <c r="I33" i="75"/>
  <c r="I32" i="75"/>
  <c r="I50" i="78"/>
  <c r="I79" i="78"/>
  <c r="I46" i="78"/>
  <c r="I77" i="78"/>
  <c r="I28" i="78"/>
  <c r="I59" i="78"/>
  <c r="I119" i="78"/>
  <c r="I25" i="78"/>
  <c r="I101" i="78"/>
  <c r="I116" i="78"/>
  <c r="I69" i="78"/>
  <c r="I84" i="78"/>
  <c r="I52" i="78"/>
  <c r="I83" i="78"/>
  <c r="AH79" i="32"/>
  <c r="AH27" i="32"/>
  <c r="AH57" i="32"/>
  <c r="AH76" i="32"/>
  <c r="J6" i="78" a="1"/>
  <c r="J6" i="78" s="1"/>
  <c r="J104" i="78" s="1"/>
  <c r="V6" i="78" a="1"/>
  <c r="V6" i="78" s="1"/>
  <c r="V107" i="78" s="1"/>
  <c r="AH73" i="32"/>
  <c r="AH88" i="32"/>
  <c r="AH38" i="32"/>
  <c r="AH69" i="32"/>
  <c r="AH23" i="32"/>
  <c r="AH83" i="32"/>
  <c r="AH42" i="32"/>
  <c r="AH31" i="32"/>
  <c r="AH45" i="32"/>
  <c r="AH64" i="32"/>
  <c r="AH68" i="32"/>
  <c r="AH87" i="32"/>
  <c r="I67" i="78"/>
  <c r="I65" i="78"/>
  <c r="I63" i="78"/>
  <c r="I61" i="78"/>
  <c r="I43" i="78"/>
  <c r="I118" i="78"/>
  <c r="I100" i="78"/>
  <c r="I51" i="78"/>
  <c r="I49" i="78"/>
  <c r="I47" i="78"/>
  <c r="I45" i="78"/>
  <c r="I27" i="78"/>
  <c r="I102" i="78"/>
  <c r="I86" i="78"/>
  <c r="I35" i="78"/>
  <c r="I33" i="78"/>
  <c r="I31" i="78"/>
  <c r="I29" i="78"/>
  <c r="I120" i="78"/>
  <c r="I88" i="78"/>
  <c r="I70" i="78"/>
  <c r="I19" i="78"/>
  <c r="I17" i="78"/>
  <c r="I15" i="78"/>
  <c r="I13" i="78"/>
  <c r="I104" i="78"/>
  <c r="I72" i="78"/>
  <c r="I54" i="78"/>
  <c r="I131" i="78"/>
  <c r="I128" i="78"/>
  <c r="I126" i="78"/>
  <c r="I124" i="78"/>
  <c r="I122" i="78"/>
  <c r="I90" i="78"/>
  <c r="I56" i="78"/>
  <c r="I38" i="78"/>
  <c r="I114" i="78"/>
  <c r="I112" i="78"/>
  <c r="I110" i="78"/>
  <c r="I108" i="78"/>
  <c r="I106" i="78"/>
  <c r="I74" i="78"/>
  <c r="I40" i="78"/>
  <c r="I22" i="78"/>
  <c r="I98" i="78"/>
  <c r="I96" i="78"/>
  <c r="I94" i="78"/>
  <c r="I92" i="78"/>
  <c r="I76" i="78"/>
  <c r="I58" i="78"/>
  <c r="I24" i="78"/>
  <c r="I115" i="78"/>
  <c r="I82" i="78"/>
  <c r="I80" i="78"/>
  <c r="I78" i="78"/>
  <c r="I60" i="78"/>
  <c r="I42" i="78"/>
  <c r="I130" i="78"/>
  <c r="I99" i="78"/>
  <c r="I68" i="78"/>
  <c r="I66" i="78"/>
  <c r="I64" i="78"/>
  <c r="I62" i="78"/>
  <c r="I44" i="78"/>
  <c r="I26" i="78"/>
  <c r="I117" i="78"/>
  <c r="I85" i="78"/>
  <c r="I36" i="78"/>
  <c r="I34" i="78"/>
  <c r="I32" i="78"/>
  <c r="I30" i="78"/>
  <c r="I12" i="78"/>
  <c r="I103" i="78"/>
  <c r="I87" i="78"/>
  <c r="I53" i="78"/>
  <c r="I20" i="78"/>
  <c r="I18" i="78"/>
  <c r="I16" i="78"/>
  <c r="I14" i="78"/>
  <c r="I121" i="78"/>
  <c r="I89" i="78"/>
  <c r="I71" i="78"/>
  <c r="I37" i="78"/>
  <c r="I129" i="78"/>
  <c r="I127" i="78"/>
  <c r="I125" i="78"/>
  <c r="I123" i="78"/>
  <c r="I105" i="78"/>
  <c r="I73" i="78"/>
  <c r="I55" i="78"/>
  <c r="I21" i="78"/>
  <c r="I113" i="78"/>
  <c r="I111" i="78"/>
  <c r="I109" i="78"/>
  <c r="I107" i="78"/>
  <c r="I11" i="78"/>
  <c r="I57" i="78"/>
  <c r="I39" i="78"/>
  <c r="I97" i="78"/>
  <c r="I95" i="78"/>
  <c r="I93" i="78"/>
  <c r="I91" i="78"/>
  <c r="I75" i="78"/>
  <c r="I41" i="78"/>
  <c r="AH89" i="32"/>
  <c r="AH32" i="32"/>
  <c r="U17" i="75"/>
  <c r="U13" i="75"/>
  <c r="AH70" i="32"/>
  <c r="U102" i="75"/>
  <c r="U68" i="75"/>
  <c r="U64" i="75"/>
  <c r="U44" i="75"/>
  <c r="U88" i="75"/>
  <c r="U52" i="75"/>
  <c r="U48" i="75"/>
  <c r="U28" i="75"/>
  <c r="U101" i="75"/>
  <c r="U67" i="75"/>
  <c r="U63" i="75"/>
  <c r="U43" i="75"/>
  <c r="U71" i="75"/>
  <c r="U35" i="75"/>
  <c r="U31" i="75"/>
  <c r="U120" i="75"/>
  <c r="U15" i="75"/>
  <c r="U104" i="75"/>
  <c r="U23" i="75"/>
  <c r="U112" i="75"/>
  <c r="U108" i="75"/>
  <c r="U74" i="75"/>
  <c r="U100" i="75"/>
  <c r="U82" i="75"/>
  <c r="U78" i="75"/>
  <c r="U42" i="75"/>
  <c r="U26" i="75"/>
  <c r="I42" i="75"/>
  <c r="I117" i="75"/>
  <c r="I85" i="75"/>
  <c r="I83" i="75"/>
  <c r="I81" i="75"/>
  <c r="I79" i="75"/>
  <c r="I91" i="75"/>
  <c r="I75" i="75"/>
  <c r="I26" i="75"/>
  <c r="I101" i="75"/>
  <c r="I69" i="75"/>
  <c r="I67" i="75"/>
  <c r="I65" i="75"/>
  <c r="I63" i="75"/>
  <c r="I77" i="75"/>
  <c r="I59" i="75"/>
  <c r="I119" i="75"/>
  <c r="I87" i="75"/>
  <c r="I53" i="75"/>
  <c r="I51" i="75"/>
  <c r="I49" i="75"/>
  <c r="I47" i="75"/>
  <c r="I61" i="75"/>
  <c r="I43" i="75"/>
  <c r="I89" i="75"/>
  <c r="I55" i="75"/>
  <c r="I21" i="75"/>
  <c r="I19" i="75"/>
  <c r="I17" i="75"/>
  <c r="I15" i="75"/>
  <c r="I29" i="75"/>
  <c r="I73" i="75"/>
  <c r="I39" i="75"/>
  <c r="I131" i="75"/>
  <c r="I128" i="75"/>
  <c r="I126" i="75"/>
  <c r="I130" i="75"/>
  <c r="I13" i="75"/>
  <c r="I57" i="75"/>
  <c r="I23" i="75"/>
  <c r="I114" i="75"/>
  <c r="I112" i="75"/>
  <c r="I110" i="75"/>
  <c r="I124" i="75"/>
  <c r="I122" i="75"/>
  <c r="I41" i="75"/>
  <c r="I116" i="75"/>
  <c r="I98" i="75"/>
  <c r="I96" i="75"/>
  <c r="I94" i="75"/>
  <c r="I108" i="75"/>
  <c r="I106" i="75"/>
  <c r="I25" i="75"/>
  <c r="I100" i="75"/>
  <c r="I84" i="75"/>
  <c r="I82" i="75"/>
  <c r="I80" i="75"/>
  <c r="I92" i="75"/>
  <c r="I76" i="75"/>
  <c r="I118" i="75"/>
  <c r="I86" i="75"/>
  <c r="I68" i="75"/>
  <c r="I66" i="75"/>
  <c r="I64" i="75"/>
  <c r="I78" i="75"/>
  <c r="I60" i="75"/>
  <c r="I102" i="75"/>
  <c r="I70" i="75"/>
  <c r="I52" i="75"/>
  <c r="I50" i="75"/>
  <c r="I48" i="75"/>
  <c r="I62" i="75"/>
  <c r="I44" i="75"/>
  <c r="I104" i="75"/>
  <c r="I72" i="75"/>
  <c r="I38" i="75"/>
  <c r="I20" i="75"/>
  <c r="I18" i="75"/>
  <c r="I16" i="75"/>
  <c r="I30" i="75"/>
  <c r="I12" i="75"/>
  <c r="I90" i="75"/>
  <c r="I56" i="75"/>
  <c r="I22" i="75"/>
  <c r="I129" i="75"/>
  <c r="I127" i="75"/>
  <c r="I125" i="75"/>
  <c r="I14" i="75"/>
  <c r="I121" i="75"/>
  <c r="I74" i="75"/>
  <c r="I40" i="75"/>
  <c r="I115" i="75"/>
  <c r="I113" i="75"/>
  <c r="I111" i="75"/>
  <c r="I109" i="75"/>
  <c r="I123" i="75"/>
  <c r="I105" i="75"/>
  <c r="I58" i="75"/>
  <c r="I24" i="75"/>
  <c r="I99" i="75"/>
  <c r="I97" i="75"/>
  <c r="I95" i="75"/>
  <c r="I93" i="75"/>
  <c r="I107" i="75"/>
  <c r="Y4" i="32"/>
  <c r="Z4" i="32"/>
  <c r="U39" i="75"/>
  <c r="U130" i="75"/>
  <c r="U128" i="75"/>
  <c r="U126" i="75"/>
  <c r="U124" i="75"/>
  <c r="U122" i="75"/>
  <c r="U90" i="75"/>
  <c r="U72" i="75"/>
  <c r="U54" i="75"/>
  <c r="U36" i="75"/>
  <c r="U34" i="75"/>
  <c r="U32" i="75"/>
  <c r="U30" i="75"/>
  <c r="U12" i="75"/>
  <c r="U103" i="75"/>
  <c r="U56" i="75"/>
  <c r="U38" i="75"/>
  <c r="U20" i="75"/>
  <c r="U18" i="75"/>
  <c r="U16" i="75"/>
  <c r="U14" i="75"/>
  <c r="U121" i="75"/>
  <c r="U89" i="75"/>
  <c r="U40" i="75"/>
  <c r="U22" i="75"/>
  <c r="U129" i="75"/>
  <c r="U127" i="75"/>
  <c r="U125" i="75"/>
  <c r="U123" i="75"/>
  <c r="U105" i="75"/>
  <c r="U73" i="75"/>
  <c r="AH13" i="32"/>
  <c r="U24" i="75"/>
  <c r="U115" i="75"/>
  <c r="U113" i="75"/>
  <c r="U111" i="75"/>
  <c r="U109" i="75"/>
  <c r="U107" i="75"/>
  <c r="U11" i="75"/>
  <c r="U57" i="75"/>
  <c r="AH28" i="32"/>
  <c r="Z5" i="32" a="1"/>
  <c r="Z5" i="32" s="1"/>
  <c r="U131" i="75"/>
  <c r="U99" i="75"/>
  <c r="U97" i="75"/>
  <c r="U95" i="75"/>
  <c r="U93" i="75"/>
  <c r="U91" i="75"/>
  <c r="U75" i="75"/>
  <c r="U41" i="75"/>
  <c r="Y5" i="32" a="1"/>
  <c r="Y5" i="32" s="1"/>
  <c r="U117" i="75"/>
  <c r="U85" i="75"/>
  <c r="U83" i="75"/>
  <c r="U81" i="75"/>
  <c r="U79" i="75"/>
  <c r="U77" i="75"/>
  <c r="U59" i="75"/>
  <c r="U25" i="75"/>
  <c r="U87" i="75"/>
  <c r="U53" i="75"/>
  <c r="U51" i="75"/>
  <c r="U49" i="75"/>
  <c r="U47" i="75"/>
  <c r="U45" i="75"/>
  <c r="M11" i="112"/>
  <c r="Y11" i="111"/>
  <c r="T11" i="112"/>
  <c r="W11" i="111"/>
  <c r="AK11" i="110"/>
  <c r="Z11" i="111"/>
  <c r="I63" i="112"/>
  <c r="I109" i="112"/>
  <c r="I121" i="112"/>
  <c r="I54" i="112"/>
  <c r="I118" i="112"/>
  <c r="I111" i="112"/>
  <c r="I115" i="112"/>
  <c r="I123" i="112"/>
  <c r="I57" i="112"/>
  <c r="I119" i="112"/>
  <c r="I78" i="112"/>
  <c r="I56" i="112"/>
  <c r="I91" i="112"/>
  <c r="I99" i="112"/>
  <c r="I81" i="112"/>
  <c r="I87" i="112"/>
  <c r="I69" i="112"/>
  <c r="I93" i="112"/>
  <c r="I101" i="112"/>
  <c r="I71" i="112"/>
  <c r="I98" i="112"/>
  <c r="I77" i="112"/>
  <c r="I94" i="112"/>
  <c r="I112" i="112"/>
  <c r="I74" i="112"/>
  <c r="I103" i="112"/>
  <c r="I107" i="112"/>
  <c r="I75" i="112"/>
  <c r="I79" i="112"/>
  <c r="I120" i="112"/>
  <c r="I80" i="112"/>
  <c r="I86" i="112"/>
  <c r="I117" i="112"/>
  <c r="I59" i="112"/>
  <c r="I84" i="112"/>
  <c r="I122" i="112"/>
  <c r="I73" i="112"/>
  <c r="I124" i="112"/>
  <c r="I85" i="112"/>
  <c r="I70" i="112"/>
  <c r="I131" i="112"/>
  <c r="I88" i="112"/>
  <c r="I126" i="112"/>
  <c r="I52" i="112"/>
  <c r="I61" i="112"/>
  <c r="I64" i="112"/>
  <c r="I97" i="112"/>
  <c r="I83" i="112"/>
  <c r="I67" i="112"/>
  <c r="I90" i="112"/>
  <c r="I76" i="112"/>
  <c r="I72" i="112"/>
  <c r="I105" i="112"/>
  <c r="I66" i="112"/>
  <c r="I114" i="112"/>
  <c r="I68" i="112"/>
  <c r="I106" i="112"/>
  <c r="I96" i="112"/>
  <c r="I62" i="112"/>
  <c r="I104" i="112"/>
  <c r="I129" i="112"/>
  <c r="I55" i="112"/>
  <c r="I95" i="112"/>
  <c r="I130" i="112"/>
  <c r="I100" i="112"/>
  <c r="I125" i="112"/>
  <c r="I89" i="112"/>
  <c r="I58" i="112"/>
  <c r="I113" i="112"/>
  <c r="I108" i="112"/>
  <c r="I128" i="112"/>
  <c r="I82" i="112"/>
  <c r="I92" i="112"/>
  <c r="I127" i="112"/>
  <c r="I102" i="112"/>
  <c r="I53" i="112"/>
  <c r="I65" i="112"/>
  <c r="I110" i="112"/>
  <c r="I116" i="112"/>
  <c r="I60" i="112"/>
  <c r="T75" i="112"/>
  <c r="T87" i="112"/>
  <c r="T107" i="112"/>
  <c r="T131" i="112"/>
  <c r="T116" i="112"/>
  <c r="T89" i="112"/>
  <c r="T121" i="112"/>
  <c r="T123" i="112"/>
  <c r="T77" i="112"/>
  <c r="T56" i="112"/>
  <c r="T108" i="112"/>
  <c r="T62" i="112"/>
  <c r="T66" i="112"/>
  <c r="T72" i="112"/>
  <c r="T91" i="112"/>
  <c r="T124" i="112"/>
  <c r="T122" i="112"/>
  <c r="T83" i="112"/>
  <c r="T98" i="112"/>
  <c r="T96" i="112"/>
  <c r="T126" i="112"/>
  <c r="T60" i="112"/>
  <c r="T64" i="112"/>
  <c r="T99" i="112"/>
  <c r="T120" i="112"/>
  <c r="T76" i="112"/>
  <c r="T94" i="112"/>
  <c r="T113" i="112"/>
  <c r="T106" i="112"/>
  <c r="T52" i="112"/>
  <c r="T79" i="112"/>
  <c r="T95" i="112"/>
  <c r="T129" i="112"/>
  <c r="T61" i="112"/>
  <c r="T65" i="112"/>
  <c r="T109" i="112"/>
  <c r="T111" i="112"/>
  <c r="T67" i="112"/>
  <c r="T86" i="112"/>
  <c r="T71" i="112"/>
  <c r="T125" i="112"/>
  <c r="T128" i="112"/>
  <c r="T84" i="112"/>
  <c r="T81" i="112"/>
  <c r="T103" i="112"/>
  <c r="T54" i="112"/>
  <c r="T69" i="112"/>
  <c r="T73" i="112"/>
  <c r="T105" i="112"/>
  <c r="T104" i="112"/>
  <c r="T58" i="112"/>
  <c r="T85" i="112"/>
  <c r="T92" i="112"/>
  <c r="T114" i="112"/>
  <c r="T118" i="112"/>
  <c r="T74" i="112"/>
  <c r="T88" i="112"/>
  <c r="T101" i="112"/>
  <c r="T130" i="112"/>
  <c r="T70" i="112"/>
  <c r="T80" i="112"/>
  <c r="T115" i="112"/>
  <c r="T117" i="112"/>
  <c r="T68" i="112"/>
  <c r="T127" i="112"/>
  <c r="T102" i="112"/>
  <c r="T53" i="112"/>
  <c r="T57" i="112"/>
  <c r="T63" i="112"/>
  <c r="T90" i="112"/>
  <c r="T112" i="112"/>
  <c r="T78" i="112"/>
  <c r="T82" i="112"/>
  <c r="T97" i="112"/>
  <c r="T110" i="112"/>
  <c r="T59" i="112"/>
  <c r="T55" i="112"/>
  <c r="T93" i="112"/>
  <c r="T100" i="112"/>
  <c r="T119" i="112"/>
  <c r="AL11" i="110"/>
  <c r="X11" i="111"/>
  <c r="AJ11" i="110"/>
  <c r="V11" i="112"/>
  <c r="V11" i="111"/>
  <c r="Z11" i="112"/>
  <c r="Y12" i="110" a="1"/>
  <c r="Y12" i="110" s="1"/>
  <c r="AM12" i="110"/>
  <c r="R11" i="111"/>
  <c r="AH11" i="110"/>
  <c r="L11" i="112"/>
  <c r="J11" i="112"/>
  <c r="V11" i="110"/>
  <c r="W12" i="110"/>
  <c r="G11" i="112"/>
  <c r="H11" i="111"/>
  <c r="H11" i="112"/>
  <c r="R11" i="110"/>
  <c r="I12" i="110" a="1"/>
  <c r="J12" i="110" s="1"/>
  <c r="N11" i="111"/>
  <c r="N11" i="112"/>
  <c r="T5" i="32" a="1"/>
  <c r="T5" i="32" s="1"/>
  <c r="Y21" i="65" s="1"/>
  <c r="F18" i="67" s="1"/>
  <c r="U11" i="110"/>
  <c r="O11" i="112"/>
  <c r="S11" i="110"/>
  <c r="T4" i="32"/>
  <c r="I11" i="112"/>
  <c r="S11" i="112"/>
  <c r="L6" i="78" a="1"/>
  <c r="L6" i="78" s="1"/>
  <c r="X6" i="75" a="1"/>
  <c r="X6" i="75" s="1"/>
  <c r="L6" i="75" a="1"/>
  <c r="L6" i="75" s="1"/>
  <c r="X6" i="78" a="1"/>
  <c r="X6" i="78" s="1"/>
  <c r="W24" i="78"/>
  <c r="W40" i="78"/>
  <c r="W56" i="78"/>
  <c r="W72" i="78"/>
  <c r="W88" i="78"/>
  <c r="W102" i="78"/>
  <c r="W118" i="78"/>
  <c r="W25" i="78"/>
  <c r="W41" i="78"/>
  <c r="W57" i="78"/>
  <c r="W73" i="78"/>
  <c r="W89" i="78"/>
  <c r="W103" i="78"/>
  <c r="W119" i="78"/>
  <c r="W26" i="78"/>
  <c r="W42" i="78"/>
  <c r="W58" i="78"/>
  <c r="W74" i="78"/>
  <c r="W90" i="78"/>
  <c r="W104" i="78"/>
  <c r="W120" i="78"/>
  <c r="W27" i="78"/>
  <c r="W43" i="78"/>
  <c r="W59" i="78"/>
  <c r="W75" i="78"/>
  <c r="W11" i="78"/>
  <c r="W105" i="78"/>
  <c r="W121" i="78"/>
  <c r="W12" i="78"/>
  <c r="W28" i="78"/>
  <c r="W44" i="78"/>
  <c r="W60" i="78"/>
  <c r="W76" i="78"/>
  <c r="W106" i="78"/>
  <c r="W122" i="78"/>
  <c r="W13" i="78"/>
  <c r="W29" i="78"/>
  <c r="W45" i="78"/>
  <c r="W61" i="78"/>
  <c r="W77" i="78"/>
  <c r="W91" i="78"/>
  <c r="W107" i="78"/>
  <c r="W123" i="78"/>
  <c r="W14" i="78"/>
  <c r="W30" i="78"/>
  <c r="W46" i="78"/>
  <c r="W62" i="78"/>
  <c r="W78" i="78"/>
  <c r="W92" i="78"/>
  <c r="W108" i="78"/>
  <c r="W124" i="78"/>
  <c r="W131" i="78"/>
  <c r="W15" i="78"/>
  <c r="W31" i="78"/>
  <c r="W47" i="78"/>
  <c r="W63" i="78"/>
  <c r="W79" i="78"/>
  <c r="W93" i="78"/>
  <c r="W109" i="78"/>
  <c r="W125" i="78"/>
  <c r="W16" i="78"/>
  <c r="W32" i="78"/>
  <c r="W48" i="78"/>
  <c r="W64" i="78"/>
  <c r="W80" i="78"/>
  <c r="W94" i="78"/>
  <c r="W110" i="78"/>
  <c r="W126" i="78"/>
  <c r="W17" i="78"/>
  <c r="W33" i="78"/>
  <c r="W49" i="78"/>
  <c r="W65" i="78"/>
  <c r="W81" i="78"/>
  <c r="W95" i="78"/>
  <c r="W111" i="78"/>
  <c r="W127" i="78"/>
  <c r="W18" i="78"/>
  <c r="W34" i="78"/>
  <c r="W50" i="78"/>
  <c r="W66" i="78"/>
  <c r="W82" i="78"/>
  <c r="W96" i="78"/>
  <c r="W112" i="78"/>
  <c r="W128" i="78"/>
  <c r="W19" i="78"/>
  <c r="W35" i="78"/>
  <c r="W51" i="78"/>
  <c r="W67" i="78"/>
  <c r="W83" i="78"/>
  <c r="W97" i="78"/>
  <c r="W113" i="78"/>
  <c r="W129" i="78"/>
  <c r="W20" i="78"/>
  <c r="W36" i="78"/>
  <c r="W52" i="78"/>
  <c r="W68" i="78"/>
  <c r="W84" i="78"/>
  <c r="W98" i="78"/>
  <c r="W114" i="78"/>
  <c r="W130" i="78"/>
  <c r="W21" i="78"/>
  <c r="W37" i="78"/>
  <c r="W53" i="78"/>
  <c r="W69" i="78"/>
  <c r="W85" i="78"/>
  <c r="W99" i="78"/>
  <c r="W115" i="78"/>
  <c r="W22" i="78"/>
  <c r="W38" i="78"/>
  <c r="W54" i="78"/>
  <c r="W70" i="78"/>
  <c r="W86" i="78"/>
  <c r="W100" i="78"/>
  <c r="W116" i="78"/>
  <c r="W23" i="78"/>
  <c r="W39" i="78"/>
  <c r="W55" i="78"/>
  <c r="W71" i="78"/>
  <c r="W87" i="78"/>
  <c r="W101" i="78"/>
  <c r="W117" i="78"/>
  <c r="W17" i="75"/>
  <c r="W33" i="75"/>
  <c r="W49" i="75"/>
  <c r="W65" i="75"/>
  <c r="W81" i="75"/>
  <c r="W95" i="75"/>
  <c r="W111" i="75"/>
  <c r="W127" i="75"/>
  <c r="W18" i="75"/>
  <c r="W34" i="75"/>
  <c r="W50" i="75"/>
  <c r="W66" i="75"/>
  <c r="W82" i="75"/>
  <c r="W96" i="75"/>
  <c r="W112" i="75"/>
  <c r="W128" i="75"/>
  <c r="W19" i="75"/>
  <c r="W35" i="75"/>
  <c r="W51" i="75"/>
  <c r="W67" i="75"/>
  <c r="W83" i="75"/>
  <c r="W97" i="75"/>
  <c r="W113" i="75"/>
  <c r="W129" i="75"/>
  <c r="W20" i="75"/>
  <c r="W36" i="75"/>
  <c r="W52" i="75"/>
  <c r="W68" i="75"/>
  <c r="W84" i="75"/>
  <c r="W98" i="75"/>
  <c r="W114" i="75"/>
  <c r="W131" i="75"/>
  <c r="W21" i="75"/>
  <c r="W37" i="75"/>
  <c r="W53" i="75"/>
  <c r="W69" i="75"/>
  <c r="W85" i="75"/>
  <c r="W99" i="75"/>
  <c r="W115" i="75"/>
  <c r="W22" i="75"/>
  <c r="W38" i="75"/>
  <c r="W54" i="75"/>
  <c r="W70" i="75"/>
  <c r="W86" i="75"/>
  <c r="W100" i="75"/>
  <c r="W116" i="75"/>
  <c r="W23" i="75"/>
  <c r="W39" i="75"/>
  <c r="W55" i="75"/>
  <c r="W71" i="75"/>
  <c r="W87" i="75"/>
  <c r="W101" i="75"/>
  <c r="W117" i="75"/>
  <c r="W130" i="75"/>
  <c r="W24" i="75"/>
  <c r="W40" i="75"/>
  <c r="W56" i="75"/>
  <c r="W72" i="75"/>
  <c r="W88" i="75"/>
  <c r="W102" i="75"/>
  <c r="W118" i="75"/>
  <c r="W25" i="75"/>
  <c r="W41" i="75"/>
  <c r="W57" i="75"/>
  <c r="W73" i="75"/>
  <c r="W89" i="75"/>
  <c r="W103" i="75"/>
  <c r="W119" i="75"/>
  <c r="W26" i="75"/>
  <c r="W42" i="75"/>
  <c r="W58" i="75"/>
  <c r="W74" i="75"/>
  <c r="W90" i="75"/>
  <c r="W104" i="75"/>
  <c r="W120" i="75"/>
  <c r="W27" i="75"/>
  <c r="W43" i="75"/>
  <c r="W59" i="75"/>
  <c r="W75" i="75"/>
  <c r="W11" i="75"/>
  <c r="W105" i="75"/>
  <c r="W121" i="75"/>
  <c r="W12" i="75"/>
  <c r="W28" i="75"/>
  <c r="W44" i="75"/>
  <c r="W60" i="75"/>
  <c r="W76" i="75"/>
  <c r="W106" i="75"/>
  <c r="W122" i="75"/>
  <c r="W13" i="75"/>
  <c r="W29" i="75"/>
  <c r="W45" i="75"/>
  <c r="W61" i="75"/>
  <c r="W77" i="75"/>
  <c r="W91" i="75"/>
  <c r="W107" i="75"/>
  <c r="W123" i="75"/>
  <c r="W14" i="75"/>
  <c r="W30" i="75"/>
  <c r="W46" i="75"/>
  <c r="W62" i="75"/>
  <c r="W78" i="75"/>
  <c r="W92" i="75"/>
  <c r="W108" i="75"/>
  <c r="W124" i="75"/>
  <c r="W15" i="75"/>
  <c r="W31" i="75"/>
  <c r="W47" i="75"/>
  <c r="W63" i="75"/>
  <c r="W79" i="75"/>
  <c r="W93" i="75"/>
  <c r="W109" i="75"/>
  <c r="W125" i="75"/>
  <c r="W16" i="75"/>
  <c r="W32" i="75"/>
  <c r="W48" i="75"/>
  <c r="W64" i="75"/>
  <c r="W80" i="75"/>
  <c r="W94" i="75"/>
  <c r="W110" i="75"/>
  <c r="W126" i="75"/>
  <c r="X4" i="118"/>
  <c r="X5" i="118" a="1"/>
  <c r="X5" i="118" s="1"/>
  <c r="K26" i="78"/>
  <c r="K42" i="78"/>
  <c r="K58" i="78"/>
  <c r="K74" i="78"/>
  <c r="K90" i="78"/>
  <c r="K104" i="78"/>
  <c r="K120" i="78"/>
  <c r="K27" i="78"/>
  <c r="K43" i="78"/>
  <c r="K59" i="78"/>
  <c r="K75" i="78"/>
  <c r="K11" i="78"/>
  <c r="K105" i="78"/>
  <c r="K121" i="78"/>
  <c r="K12" i="78"/>
  <c r="K28" i="78"/>
  <c r="K44" i="78"/>
  <c r="K60" i="78"/>
  <c r="K76" i="78"/>
  <c r="K106" i="78"/>
  <c r="K122" i="78"/>
  <c r="K13" i="78"/>
  <c r="K29" i="78"/>
  <c r="K45" i="78"/>
  <c r="K61" i="78"/>
  <c r="K77" i="78"/>
  <c r="K91" i="78"/>
  <c r="K107" i="78"/>
  <c r="K123" i="78"/>
  <c r="K14" i="78"/>
  <c r="K30" i="78"/>
  <c r="K46" i="78"/>
  <c r="K62" i="78"/>
  <c r="K78" i="78"/>
  <c r="K92" i="78"/>
  <c r="K108" i="78"/>
  <c r="K124" i="78"/>
  <c r="K15" i="78"/>
  <c r="K31" i="78"/>
  <c r="K47" i="78"/>
  <c r="K63" i="78"/>
  <c r="K79" i="78"/>
  <c r="K93" i="78"/>
  <c r="K109" i="78"/>
  <c r="K125" i="78"/>
  <c r="K16" i="78"/>
  <c r="K32" i="78"/>
  <c r="K48" i="78"/>
  <c r="K64" i="78"/>
  <c r="K80" i="78"/>
  <c r="K94" i="78"/>
  <c r="K110" i="78"/>
  <c r="K126" i="78"/>
  <c r="K17" i="78"/>
  <c r="K33" i="78"/>
  <c r="K49" i="78"/>
  <c r="K65" i="78"/>
  <c r="K81" i="78"/>
  <c r="K95" i="78"/>
  <c r="K111" i="78"/>
  <c r="K127" i="78"/>
  <c r="K18" i="78"/>
  <c r="K34" i="78"/>
  <c r="K50" i="78"/>
  <c r="K66" i="78"/>
  <c r="K82" i="78"/>
  <c r="K96" i="78"/>
  <c r="K112" i="78"/>
  <c r="K128" i="78"/>
  <c r="K19" i="78"/>
  <c r="K35" i="78"/>
  <c r="K51" i="78"/>
  <c r="K67" i="78"/>
  <c r="K83" i="78"/>
  <c r="K97" i="78"/>
  <c r="K113" i="78"/>
  <c r="K129" i="78"/>
  <c r="K20" i="78"/>
  <c r="K36" i="78"/>
  <c r="K52" i="78"/>
  <c r="K68" i="78"/>
  <c r="K84" i="78"/>
  <c r="K98" i="78"/>
  <c r="K114" i="78"/>
  <c r="K130" i="78"/>
  <c r="K21" i="78"/>
  <c r="K37" i="78"/>
  <c r="K53" i="78"/>
  <c r="K69" i="78"/>
  <c r="K85" i="78"/>
  <c r="K99" i="78"/>
  <c r="K115" i="78"/>
  <c r="K22" i="78"/>
  <c r="K38" i="78"/>
  <c r="K54" i="78"/>
  <c r="K70" i="78"/>
  <c r="K86" i="78"/>
  <c r="K100" i="78"/>
  <c r="K116" i="78"/>
  <c r="K23" i="78"/>
  <c r="K39" i="78"/>
  <c r="K55" i="78"/>
  <c r="K71" i="78"/>
  <c r="K87" i="78"/>
  <c r="K101" i="78"/>
  <c r="K117" i="78"/>
  <c r="K131" i="78"/>
  <c r="K24" i="78"/>
  <c r="K40" i="78"/>
  <c r="K56" i="78"/>
  <c r="K72" i="78"/>
  <c r="K88" i="78"/>
  <c r="K102" i="78"/>
  <c r="K118" i="78"/>
  <c r="K25" i="78"/>
  <c r="K41" i="78"/>
  <c r="K57" i="78"/>
  <c r="K73" i="78"/>
  <c r="K89" i="78"/>
  <c r="K103" i="78"/>
  <c r="K119" i="78"/>
  <c r="J98" i="118"/>
  <c r="J34" i="118"/>
  <c r="J100" i="118"/>
  <c r="J50" i="118"/>
  <c r="J123" i="118"/>
  <c r="J54" i="118"/>
  <c r="J24" i="118"/>
  <c r="J84" i="118"/>
  <c r="J58" i="118"/>
  <c r="J18" i="118"/>
  <c r="J111" i="118"/>
  <c r="J82" i="118"/>
  <c r="J104" i="118"/>
  <c r="J117" i="118"/>
  <c r="J95" i="118"/>
  <c r="J60" i="118"/>
  <c r="J32" i="118"/>
  <c r="J22" i="118"/>
  <c r="J125" i="118"/>
  <c r="J46" i="118"/>
  <c r="J43" i="118"/>
  <c r="J90" i="118"/>
  <c r="J19" i="118"/>
  <c r="J110" i="118"/>
  <c r="J88" i="118"/>
  <c r="J67" i="118"/>
  <c r="J25" i="118"/>
  <c r="J20" i="118"/>
  <c r="J40" i="118"/>
  <c r="J89" i="118"/>
  <c r="J73" i="118"/>
  <c r="J57" i="118"/>
  <c r="J41" i="118"/>
  <c r="J79" i="118"/>
  <c r="J28" i="118"/>
  <c r="J105" i="118"/>
  <c r="J69" i="118"/>
  <c r="J53" i="118"/>
  <c r="J37" i="118"/>
  <c r="J21" i="118"/>
  <c r="J91" i="118"/>
  <c r="J129" i="118"/>
  <c r="J85" i="118"/>
  <c r="J128" i="118"/>
  <c r="J80" i="118"/>
  <c r="J112" i="118"/>
  <c r="J87" i="118"/>
  <c r="J66" i="118"/>
  <c r="J72" i="118"/>
  <c r="J12" i="118"/>
  <c r="J44" i="118"/>
  <c r="J70" i="118"/>
  <c r="J107" i="118"/>
  <c r="J42" i="118"/>
  <c r="J39" i="118"/>
  <c r="J14" i="118"/>
  <c r="J13" i="118"/>
  <c r="J36" i="118"/>
  <c r="J126" i="118"/>
  <c r="J74" i="118"/>
  <c r="J23" i="118"/>
  <c r="J106" i="118"/>
  <c r="J94" i="118"/>
  <c r="J109" i="118"/>
  <c r="J63" i="118"/>
  <c r="J59" i="118"/>
  <c r="J38" i="118"/>
  <c r="J124" i="118"/>
  <c r="J96" i="118"/>
  <c r="J68" i="118"/>
  <c r="J35" i="118"/>
  <c r="J119" i="118"/>
  <c r="J108" i="118"/>
  <c r="J76" i="118"/>
  <c r="J47" i="118"/>
  <c r="J15" i="118"/>
  <c r="J16" i="118"/>
  <c r="J115" i="118"/>
  <c r="J17" i="118"/>
  <c r="J130" i="118"/>
  <c r="J114" i="118"/>
  <c r="J75" i="118"/>
  <c r="J120" i="118"/>
  <c r="J99" i="118"/>
  <c r="J78" i="118"/>
  <c r="J56" i="118"/>
  <c r="J127" i="118"/>
  <c r="J131" i="118"/>
  <c r="J103" i="118"/>
  <c r="J30" i="118"/>
  <c r="J81" i="118"/>
  <c r="J65" i="118"/>
  <c r="J49" i="118"/>
  <c r="J33" i="118"/>
  <c r="J55" i="118"/>
  <c r="J118" i="118"/>
  <c r="J51" i="118"/>
  <c r="J97" i="118"/>
  <c r="J61" i="118"/>
  <c r="J45" i="118"/>
  <c r="J29" i="118"/>
  <c r="J31" i="118"/>
  <c r="J113" i="118"/>
  <c r="J77" i="118"/>
  <c r="J102" i="118"/>
  <c r="J64" i="118"/>
  <c r="J52" i="118"/>
  <c r="J122" i="118"/>
  <c r="J26" i="118"/>
  <c r="J121" i="118"/>
  <c r="J93" i="118"/>
  <c r="J92" i="118"/>
  <c r="J116" i="118"/>
  <c r="J27" i="118"/>
  <c r="J71" i="118"/>
  <c r="J86" i="118"/>
  <c r="J83" i="118"/>
  <c r="J101" i="118"/>
  <c r="J48" i="118"/>
  <c r="J62" i="118"/>
  <c r="J11" i="118"/>
  <c r="Z31" i="118"/>
  <c r="Z47" i="118"/>
  <c r="Z41" i="118"/>
  <c r="Z98" i="118"/>
  <c r="Z117" i="118"/>
  <c r="Z126" i="118"/>
  <c r="Z14" i="118"/>
  <c r="Z24" i="118"/>
  <c r="Z40" i="118"/>
  <c r="Z99" i="118"/>
  <c r="Z115" i="118"/>
  <c r="Z110" i="118"/>
  <c r="Z119" i="118"/>
  <c r="Z106" i="118"/>
  <c r="Z122" i="118"/>
  <c r="Z25" i="118"/>
  <c r="Z76" i="118"/>
  <c r="Z92" i="118"/>
  <c r="Z103" i="118"/>
  <c r="Z112" i="118"/>
  <c r="Z26" i="118"/>
  <c r="Z34" i="118"/>
  <c r="Z83" i="118"/>
  <c r="Z85" i="118"/>
  <c r="Z101" i="118"/>
  <c r="Z96" i="118"/>
  <c r="Z97" i="118"/>
  <c r="Z128" i="118"/>
  <c r="Z51" i="118"/>
  <c r="Z67" i="118"/>
  <c r="Z60" i="118"/>
  <c r="Z78" i="118"/>
  <c r="Z94" i="118"/>
  <c r="Z81" i="118"/>
  <c r="Z27" i="118"/>
  <c r="Z113" i="118"/>
  <c r="Z28" i="118"/>
  <c r="Z44" i="118"/>
  <c r="Z69" i="118"/>
  <c r="Z71" i="118"/>
  <c r="Z87" i="118"/>
  <c r="Z50" i="118"/>
  <c r="Z131" i="118"/>
  <c r="Z43" i="118"/>
  <c r="Z37" i="118"/>
  <c r="Z53" i="118"/>
  <c r="Z62" i="118"/>
  <c r="Z64" i="118"/>
  <c r="Z80" i="118"/>
  <c r="Z116" i="118"/>
  <c r="Z13" i="118"/>
  <c r="Z20" i="118"/>
  <c r="Z30" i="118"/>
  <c r="Z46" i="118"/>
  <c r="Z55" i="118"/>
  <c r="Z49" i="118"/>
  <c r="Z123" i="118"/>
  <c r="Z125" i="118"/>
  <c r="Z90" i="118"/>
  <c r="Z29" i="118"/>
  <c r="Z23" i="118"/>
  <c r="Z39" i="118"/>
  <c r="Z48" i="118"/>
  <c r="Z107" i="118"/>
  <c r="Z100" i="118"/>
  <c r="Z118" i="118"/>
  <c r="Z66" i="118"/>
  <c r="Z22" i="118"/>
  <c r="Z16" i="118"/>
  <c r="Z32" i="118"/>
  <c r="Z33" i="118"/>
  <c r="Z84" i="118"/>
  <c r="Z109" i="118"/>
  <c r="Z111" i="118"/>
  <c r="Z127" i="118"/>
  <c r="Z15" i="118"/>
  <c r="Z82" i="118"/>
  <c r="Z17" i="118"/>
  <c r="Z91" i="118"/>
  <c r="Z93" i="118"/>
  <c r="Z102" i="118"/>
  <c r="Z104" i="118"/>
  <c r="Z120" i="118"/>
  <c r="Z114" i="118"/>
  <c r="Z129" i="118"/>
  <c r="Z58" i="118"/>
  <c r="Z68" i="118"/>
  <c r="Z86" i="118"/>
  <c r="Z95" i="118"/>
  <c r="Z89" i="118"/>
  <c r="Z105" i="118"/>
  <c r="Z18" i="118"/>
  <c r="Z59" i="118"/>
  <c r="Z75" i="118"/>
  <c r="Z77" i="118"/>
  <c r="Z79" i="118"/>
  <c r="Z88" i="118"/>
  <c r="Z19" i="118"/>
  <c r="Z121" i="118"/>
  <c r="Z36" i="118"/>
  <c r="Z52" i="118"/>
  <c r="Z70" i="118"/>
  <c r="Z72" i="118"/>
  <c r="Z73" i="118"/>
  <c r="Z74" i="118"/>
  <c r="Z35" i="118"/>
  <c r="Z45" i="118"/>
  <c r="Z61" i="118"/>
  <c r="Z63" i="118"/>
  <c r="Z57" i="118"/>
  <c r="Z130" i="118"/>
  <c r="Z124" i="118"/>
  <c r="Z12" i="118"/>
  <c r="Z38" i="118"/>
  <c r="Z54" i="118"/>
  <c r="Z56" i="118"/>
  <c r="Z65" i="118"/>
  <c r="Z108" i="118"/>
  <c r="Z42" i="118"/>
  <c r="Z21" i="118"/>
  <c r="Z11" i="118"/>
  <c r="K14" i="75"/>
  <c r="K30" i="75"/>
  <c r="K46" i="75"/>
  <c r="K62" i="75"/>
  <c r="K78" i="75"/>
  <c r="K92" i="75"/>
  <c r="K108" i="75"/>
  <c r="K124" i="75"/>
  <c r="K15" i="75"/>
  <c r="K31" i="75"/>
  <c r="K47" i="75"/>
  <c r="K63" i="75"/>
  <c r="K79" i="75"/>
  <c r="K93" i="75"/>
  <c r="K109" i="75"/>
  <c r="K125" i="75"/>
  <c r="K16" i="75"/>
  <c r="K32" i="75"/>
  <c r="K48" i="75"/>
  <c r="K64" i="75"/>
  <c r="K80" i="75"/>
  <c r="K94" i="75"/>
  <c r="K110" i="75"/>
  <c r="K126" i="75"/>
  <c r="K17" i="75"/>
  <c r="K33" i="75"/>
  <c r="K49" i="75"/>
  <c r="K65" i="75"/>
  <c r="K81" i="75"/>
  <c r="K95" i="75"/>
  <c r="K111" i="75"/>
  <c r="K127" i="75"/>
  <c r="K18" i="75"/>
  <c r="K34" i="75"/>
  <c r="K50" i="75"/>
  <c r="K66" i="75"/>
  <c r="K82" i="75"/>
  <c r="K96" i="75"/>
  <c r="K112" i="75"/>
  <c r="K128" i="75"/>
  <c r="K19" i="75"/>
  <c r="K35" i="75"/>
  <c r="K51" i="75"/>
  <c r="K67" i="75"/>
  <c r="K83" i="75"/>
  <c r="K97" i="75"/>
  <c r="K113" i="75"/>
  <c r="K129" i="75"/>
  <c r="K20" i="75"/>
  <c r="K36" i="75"/>
  <c r="K52" i="75"/>
  <c r="K68" i="75"/>
  <c r="K84" i="75"/>
  <c r="K98" i="75"/>
  <c r="K114" i="75"/>
  <c r="K130" i="75"/>
  <c r="K21" i="75"/>
  <c r="K37" i="75"/>
  <c r="K53" i="75"/>
  <c r="K69" i="75"/>
  <c r="K85" i="75"/>
  <c r="K99" i="75"/>
  <c r="K115" i="75"/>
  <c r="K22" i="75"/>
  <c r="K38" i="75"/>
  <c r="K54" i="75"/>
  <c r="K70" i="75"/>
  <c r="K86" i="75"/>
  <c r="K100" i="75"/>
  <c r="K116" i="75"/>
  <c r="K23" i="75"/>
  <c r="K39" i="75"/>
  <c r="K55" i="75"/>
  <c r="K71" i="75"/>
  <c r="K87" i="75"/>
  <c r="K101" i="75"/>
  <c r="K117" i="75"/>
  <c r="K131" i="75"/>
  <c r="K24" i="75"/>
  <c r="K40" i="75"/>
  <c r="K56" i="75"/>
  <c r="K72" i="75"/>
  <c r="K88" i="75"/>
  <c r="K102" i="75"/>
  <c r="K118" i="75"/>
  <c r="K25" i="75"/>
  <c r="K41" i="75"/>
  <c r="K57" i="75"/>
  <c r="K73" i="75"/>
  <c r="K89" i="75"/>
  <c r="K103" i="75"/>
  <c r="K119" i="75"/>
  <c r="K26" i="75"/>
  <c r="K42" i="75"/>
  <c r="K58" i="75"/>
  <c r="K74" i="75"/>
  <c r="K90" i="75"/>
  <c r="K104" i="75"/>
  <c r="K120" i="75"/>
  <c r="K27" i="75"/>
  <c r="K43" i="75"/>
  <c r="K59" i="75"/>
  <c r="K75" i="75"/>
  <c r="K11" i="75"/>
  <c r="K105" i="75"/>
  <c r="K121" i="75"/>
  <c r="K12" i="75"/>
  <c r="K28" i="75"/>
  <c r="K44" i="75"/>
  <c r="K60" i="75"/>
  <c r="K76" i="75"/>
  <c r="K106" i="75"/>
  <c r="K122" i="75"/>
  <c r="K13" i="75"/>
  <c r="K29" i="75"/>
  <c r="K45" i="75"/>
  <c r="K61" i="75"/>
  <c r="K77" i="75"/>
  <c r="K91" i="75"/>
  <c r="K107" i="75"/>
  <c r="K123" i="75"/>
  <c r="S57" i="112"/>
  <c r="S73" i="112"/>
  <c r="S89" i="112"/>
  <c r="S105" i="112"/>
  <c r="S121" i="112"/>
  <c r="S59" i="112"/>
  <c r="S75" i="112"/>
  <c r="S91" i="112"/>
  <c r="S107" i="112"/>
  <c r="S123" i="112"/>
  <c r="S60" i="112"/>
  <c r="S76" i="112"/>
  <c r="S92" i="112"/>
  <c r="S108" i="112"/>
  <c r="S124" i="112"/>
  <c r="S62" i="112"/>
  <c r="S78" i="112"/>
  <c r="S94" i="112"/>
  <c r="S110" i="112"/>
  <c r="S63" i="112"/>
  <c r="S79" i="112"/>
  <c r="S95" i="112"/>
  <c r="S111" i="112"/>
  <c r="S127" i="112"/>
  <c r="S64" i="112"/>
  <c r="S80" i="112"/>
  <c r="S96" i="112"/>
  <c r="S112" i="112"/>
  <c r="S128" i="112"/>
  <c r="S65" i="112"/>
  <c r="S81" i="112"/>
  <c r="S97" i="112"/>
  <c r="S113" i="112"/>
  <c r="S66" i="112"/>
  <c r="S82" i="112"/>
  <c r="S98" i="112"/>
  <c r="S114" i="112"/>
  <c r="S131" i="112"/>
  <c r="S67" i="112"/>
  <c r="S83" i="112"/>
  <c r="S99" i="112"/>
  <c r="S115" i="112"/>
  <c r="S52" i="112"/>
  <c r="S68" i="112"/>
  <c r="S84" i="112"/>
  <c r="S100" i="112"/>
  <c r="S116" i="112"/>
  <c r="S53" i="112"/>
  <c r="S69" i="112"/>
  <c r="S85" i="112"/>
  <c r="S101" i="112"/>
  <c r="S117" i="112"/>
  <c r="S54" i="112"/>
  <c r="S70" i="112"/>
  <c r="S86" i="112"/>
  <c r="S102" i="112"/>
  <c r="S118" i="112"/>
  <c r="S130" i="112"/>
  <c r="S55" i="112"/>
  <c r="S71" i="112"/>
  <c r="S87" i="112"/>
  <c r="S103" i="112"/>
  <c r="S119" i="112"/>
  <c r="S56" i="112"/>
  <c r="S72" i="112"/>
  <c r="S88" i="112"/>
  <c r="S104" i="112"/>
  <c r="S120" i="112"/>
  <c r="S90" i="112"/>
  <c r="S93" i="112"/>
  <c r="S106" i="112"/>
  <c r="S109" i="112"/>
  <c r="S122" i="112"/>
  <c r="S125" i="112"/>
  <c r="S126" i="112"/>
  <c r="S129" i="112"/>
  <c r="S58" i="112"/>
  <c r="S61" i="112"/>
  <c r="S74" i="112"/>
  <c r="S77" i="112"/>
  <c r="V62" i="112"/>
  <c r="V78" i="112"/>
  <c r="V94" i="112"/>
  <c r="V110" i="112"/>
  <c r="V126" i="112"/>
  <c r="V63" i="112"/>
  <c r="V79" i="112"/>
  <c r="V95" i="112"/>
  <c r="V111" i="112"/>
  <c r="V127" i="112"/>
  <c r="V64" i="112"/>
  <c r="V80" i="112"/>
  <c r="V96" i="112"/>
  <c r="V112" i="112"/>
  <c r="V128" i="112"/>
  <c r="V65" i="112"/>
  <c r="V81" i="112"/>
  <c r="V97" i="112"/>
  <c r="V113" i="112"/>
  <c r="V129" i="112"/>
  <c r="V66" i="112"/>
  <c r="V82" i="112"/>
  <c r="V98" i="112"/>
  <c r="V114" i="112"/>
  <c r="V131" i="112"/>
  <c r="V67" i="112"/>
  <c r="V83" i="112"/>
  <c r="V99" i="112"/>
  <c r="V115" i="112"/>
  <c r="V52" i="112"/>
  <c r="V68" i="112"/>
  <c r="V84" i="112"/>
  <c r="V100" i="112"/>
  <c r="V116" i="112"/>
  <c r="V53" i="112"/>
  <c r="V69" i="112"/>
  <c r="V85" i="112"/>
  <c r="V101" i="112"/>
  <c r="V117" i="112"/>
  <c r="V54" i="112"/>
  <c r="V70" i="112"/>
  <c r="V86" i="112"/>
  <c r="V102" i="112"/>
  <c r="V118" i="112"/>
  <c r="V55" i="112"/>
  <c r="V71" i="112"/>
  <c r="V87" i="112"/>
  <c r="V103" i="112"/>
  <c r="V119" i="112"/>
  <c r="V56" i="112"/>
  <c r="V72" i="112"/>
  <c r="V88" i="112"/>
  <c r="V104" i="112"/>
  <c r="V120" i="112"/>
  <c r="V57" i="112"/>
  <c r="V73" i="112"/>
  <c r="V89" i="112"/>
  <c r="V105" i="112"/>
  <c r="V121" i="112"/>
  <c r="V58" i="112"/>
  <c r="V74" i="112"/>
  <c r="V90" i="112"/>
  <c r="V106" i="112"/>
  <c r="V122" i="112"/>
  <c r="V59" i="112"/>
  <c r="V75" i="112"/>
  <c r="V91" i="112"/>
  <c r="V107" i="112"/>
  <c r="V123" i="112"/>
  <c r="V130" i="112"/>
  <c r="V60" i="112"/>
  <c r="V76" i="112"/>
  <c r="V92" i="112"/>
  <c r="V108" i="112"/>
  <c r="V124" i="112"/>
  <c r="V61" i="112"/>
  <c r="V77" i="112"/>
  <c r="V93" i="112"/>
  <c r="V109" i="112"/>
  <c r="V125" i="112"/>
  <c r="Y96" i="118"/>
  <c r="Y98" i="118"/>
  <c r="Y100" i="118"/>
  <c r="Y23" i="118"/>
  <c r="Y57" i="118"/>
  <c r="Y91" i="118"/>
  <c r="Y93" i="118"/>
  <c r="Y112" i="118"/>
  <c r="Y114" i="118"/>
  <c r="Y116" i="118"/>
  <c r="Y39" i="118"/>
  <c r="Y73" i="118"/>
  <c r="Y107" i="118"/>
  <c r="Y109" i="118"/>
  <c r="Y128" i="118"/>
  <c r="Y131" i="118"/>
  <c r="Y21" i="118"/>
  <c r="Y55" i="118"/>
  <c r="Y89" i="118"/>
  <c r="Y123" i="118"/>
  <c r="Y125" i="118"/>
  <c r="Y15" i="118"/>
  <c r="Y17" i="118"/>
  <c r="Y19" i="118"/>
  <c r="Y37" i="118"/>
  <c r="Y71" i="118"/>
  <c r="Y105" i="118"/>
  <c r="Y12" i="118"/>
  <c r="Y14" i="118"/>
  <c r="Y31" i="118"/>
  <c r="Y33" i="118"/>
  <c r="Y35" i="118"/>
  <c r="Y53" i="118"/>
  <c r="Y87" i="118"/>
  <c r="Y121" i="118"/>
  <c r="Y28" i="118"/>
  <c r="Y30" i="118"/>
  <c r="Y47" i="118"/>
  <c r="Y49" i="118"/>
  <c r="Y51" i="118"/>
  <c r="Y69" i="118"/>
  <c r="Y103" i="118"/>
  <c r="Y26" i="118"/>
  <c r="Y44" i="118"/>
  <c r="Y46" i="118"/>
  <c r="Y63" i="118"/>
  <c r="Y65" i="118"/>
  <c r="Y67" i="118"/>
  <c r="Y85" i="118"/>
  <c r="Y119" i="118"/>
  <c r="Y42" i="118"/>
  <c r="Y60" i="118"/>
  <c r="Y62" i="118"/>
  <c r="Y79" i="118"/>
  <c r="Y81" i="118"/>
  <c r="Y83" i="118"/>
  <c r="Y101" i="118"/>
  <c r="Y24" i="118"/>
  <c r="Y58" i="118"/>
  <c r="Y76" i="118"/>
  <c r="Y78" i="118"/>
  <c r="Y95" i="118"/>
  <c r="Y97" i="118"/>
  <c r="Y99" i="118"/>
  <c r="Y117" i="118"/>
  <c r="Y40" i="118"/>
  <c r="Y74" i="118"/>
  <c r="Y92" i="118"/>
  <c r="Y94" i="118"/>
  <c r="Y11" i="118"/>
  <c r="Y111" i="118"/>
  <c r="Y113" i="118"/>
  <c r="Y115" i="118"/>
  <c r="Y22" i="118"/>
  <c r="Y56" i="118"/>
  <c r="Y90" i="118"/>
  <c r="Y108" i="118"/>
  <c r="Y110" i="118"/>
  <c r="Y127" i="118"/>
  <c r="Y129" i="118"/>
  <c r="Y130" i="118"/>
  <c r="Y38" i="118"/>
  <c r="Y72" i="118"/>
  <c r="Y106" i="118"/>
  <c r="Y124" i="118"/>
  <c r="Y126" i="118"/>
  <c r="Y16" i="118"/>
  <c r="Y18" i="118"/>
  <c r="Y20" i="118"/>
  <c r="Y54" i="118"/>
  <c r="Y88" i="118"/>
  <c r="Y122" i="118"/>
  <c r="Y13" i="118"/>
  <c r="Y32" i="118"/>
  <c r="Y34" i="118"/>
  <c r="Y36" i="118"/>
  <c r="Y70" i="118"/>
  <c r="Y104" i="118"/>
  <c r="Y27" i="118"/>
  <c r="Y29" i="118"/>
  <c r="Y48" i="118"/>
  <c r="Y50" i="118"/>
  <c r="Y52" i="118"/>
  <c r="Y86" i="118"/>
  <c r="Y120" i="118"/>
  <c r="Y43" i="118"/>
  <c r="Y45" i="118"/>
  <c r="Y64" i="118"/>
  <c r="Y66" i="118"/>
  <c r="Y68" i="118"/>
  <c r="Y102" i="118"/>
  <c r="Y25" i="118"/>
  <c r="Y59" i="118"/>
  <c r="Y61" i="118"/>
  <c r="Y80" i="118"/>
  <c r="Y82" i="118"/>
  <c r="Y84" i="118"/>
  <c r="Y118" i="118"/>
  <c r="Y41" i="118"/>
  <c r="Y75" i="118"/>
  <c r="Y77" i="118"/>
  <c r="AA6" i="118" a="1"/>
  <c r="AA6" i="118" s="1"/>
  <c r="L6" i="118" a="1"/>
  <c r="L6" i="118" s="1"/>
  <c r="J14" i="75"/>
  <c r="J30" i="75"/>
  <c r="J46" i="75"/>
  <c r="J62" i="75"/>
  <c r="J78" i="75"/>
  <c r="J92" i="75"/>
  <c r="J108" i="75"/>
  <c r="J124" i="75"/>
  <c r="J15" i="75"/>
  <c r="J31" i="75"/>
  <c r="J47" i="75"/>
  <c r="J63" i="75"/>
  <c r="J79" i="75"/>
  <c r="J93" i="75"/>
  <c r="J109" i="75"/>
  <c r="J125" i="75"/>
  <c r="J16" i="75"/>
  <c r="J32" i="75"/>
  <c r="J48" i="75"/>
  <c r="J64" i="75"/>
  <c r="J80" i="75"/>
  <c r="J94" i="75"/>
  <c r="J110" i="75"/>
  <c r="J126" i="75"/>
  <c r="J17" i="75"/>
  <c r="J33" i="75"/>
  <c r="J49" i="75"/>
  <c r="J65" i="75"/>
  <c r="J81" i="75"/>
  <c r="J95" i="75"/>
  <c r="J111" i="75"/>
  <c r="J127" i="75"/>
  <c r="J18" i="75"/>
  <c r="J34" i="75"/>
  <c r="J50" i="75"/>
  <c r="J66" i="75"/>
  <c r="J82" i="75"/>
  <c r="J96" i="75"/>
  <c r="J112" i="75"/>
  <c r="J128" i="75"/>
  <c r="J19" i="75"/>
  <c r="J35" i="75"/>
  <c r="J51" i="75"/>
  <c r="J67" i="75"/>
  <c r="J83" i="75"/>
  <c r="J97" i="75"/>
  <c r="J113" i="75"/>
  <c r="J129" i="75"/>
  <c r="J20" i="75"/>
  <c r="J36" i="75"/>
  <c r="J52" i="75"/>
  <c r="J68" i="75"/>
  <c r="J84" i="75"/>
  <c r="J98" i="75"/>
  <c r="J114" i="75"/>
  <c r="J130" i="75"/>
  <c r="J21" i="75"/>
  <c r="J37" i="75"/>
  <c r="J53" i="75"/>
  <c r="J69" i="75"/>
  <c r="J85" i="75"/>
  <c r="J99" i="75"/>
  <c r="J115" i="75"/>
  <c r="J22" i="75"/>
  <c r="J38" i="75"/>
  <c r="J54" i="75"/>
  <c r="J70" i="75"/>
  <c r="J86" i="75"/>
  <c r="J100" i="75"/>
  <c r="J116" i="75"/>
  <c r="J23" i="75"/>
  <c r="J39" i="75"/>
  <c r="J55" i="75"/>
  <c r="J71" i="75"/>
  <c r="J87" i="75"/>
  <c r="J101" i="75"/>
  <c r="J117" i="75"/>
  <c r="J131" i="75"/>
  <c r="J24" i="75"/>
  <c r="J40" i="75"/>
  <c r="J56" i="75"/>
  <c r="J72" i="75"/>
  <c r="J88" i="75"/>
  <c r="J102" i="75"/>
  <c r="J118" i="75"/>
  <c r="J25" i="75"/>
  <c r="J41" i="75"/>
  <c r="J57" i="75"/>
  <c r="J73" i="75"/>
  <c r="J89" i="75"/>
  <c r="J103" i="75"/>
  <c r="J119" i="75"/>
  <c r="J26" i="75"/>
  <c r="J42" i="75"/>
  <c r="J58" i="75"/>
  <c r="J74" i="75"/>
  <c r="J90" i="75"/>
  <c r="J104" i="75"/>
  <c r="J120" i="75"/>
  <c r="J27" i="75"/>
  <c r="J43" i="75"/>
  <c r="J59" i="75"/>
  <c r="J75" i="75"/>
  <c r="J11" i="75"/>
  <c r="J105" i="75"/>
  <c r="J121" i="75"/>
  <c r="J12" i="75"/>
  <c r="J28" i="75"/>
  <c r="J44" i="75"/>
  <c r="J60" i="75"/>
  <c r="J76" i="75"/>
  <c r="J106" i="75"/>
  <c r="J122" i="75"/>
  <c r="J13" i="75"/>
  <c r="J29" i="75"/>
  <c r="J45" i="75"/>
  <c r="J61" i="75"/>
  <c r="J77" i="75"/>
  <c r="J91" i="75"/>
  <c r="J107" i="75"/>
  <c r="J123" i="75"/>
  <c r="H58" i="112"/>
  <c r="H74" i="112"/>
  <c r="H90" i="112"/>
  <c r="H106" i="112"/>
  <c r="H122" i="112"/>
  <c r="H59" i="112"/>
  <c r="H60" i="112"/>
  <c r="H76" i="112"/>
  <c r="H92" i="112"/>
  <c r="H108" i="112"/>
  <c r="H124" i="112"/>
  <c r="H61" i="112"/>
  <c r="H77" i="112"/>
  <c r="H93" i="112"/>
  <c r="H109" i="112"/>
  <c r="H125" i="112"/>
  <c r="H63" i="112"/>
  <c r="H79" i="112"/>
  <c r="H95" i="112"/>
  <c r="H111" i="112"/>
  <c r="H127" i="112"/>
  <c r="H64" i="112"/>
  <c r="H80" i="112"/>
  <c r="H96" i="112"/>
  <c r="H112" i="112"/>
  <c r="H128" i="112"/>
  <c r="H65" i="112"/>
  <c r="H81" i="112"/>
  <c r="H97" i="112"/>
  <c r="H113" i="112"/>
  <c r="H129" i="112"/>
  <c r="H66" i="112"/>
  <c r="H82" i="112"/>
  <c r="H98" i="112"/>
  <c r="H114" i="112"/>
  <c r="H131" i="112"/>
  <c r="H67" i="112"/>
  <c r="H83" i="112"/>
  <c r="H99" i="112"/>
  <c r="H115" i="112"/>
  <c r="H52" i="112"/>
  <c r="H68" i="112"/>
  <c r="H84" i="112"/>
  <c r="H100" i="112"/>
  <c r="H116" i="112"/>
  <c r="H130" i="112"/>
  <c r="H53" i="112"/>
  <c r="H69" i="112"/>
  <c r="H85" i="112"/>
  <c r="H101" i="112"/>
  <c r="H117" i="112"/>
  <c r="H54" i="112"/>
  <c r="H70" i="112"/>
  <c r="H86" i="112"/>
  <c r="H102" i="112"/>
  <c r="H118" i="112"/>
  <c r="H55" i="112"/>
  <c r="H71" i="112"/>
  <c r="H87" i="112"/>
  <c r="H103" i="112"/>
  <c r="H119" i="112"/>
  <c r="H56" i="112"/>
  <c r="H72" i="112"/>
  <c r="H88" i="112"/>
  <c r="H104" i="112"/>
  <c r="H120" i="112"/>
  <c r="H57" i="112"/>
  <c r="H73" i="112"/>
  <c r="H89" i="112"/>
  <c r="H105" i="112"/>
  <c r="H121" i="112"/>
  <c r="H62" i="112"/>
  <c r="H75" i="112"/>
  <c r="H78" i="112"/>
  <c r="H91" i="112"/>
  <c r="H94" i="112"/>
  <c r="H107" i="112"/>
  <c r="H110" i="112"/>
  <c r="H123" i="112"/>
  <c r="H126" i="112"/>
  <c r="K54" i="112"/>
  <c r="K70" i="112"/>
  <c r="K86" i="112"/>
  <c r="K102" i="112"/>
  <c r="K118" i="112"/>
  <c r="K56" i="112"/>
  <c r="K72" i="112"/>
  <c r="K88" i="112"/>
  <c r="K104" i="112"/>
  <c r="K120" i="112"/>
  <c r="K57" i="112"/>
  <c r="K73" i="112"/>
  <c r="K60" i="112"/>
  <c r="K76" i="112"/>
  <c r="K92" i="112"/>
  <c r="K108" i="112"/>
  <c r="K124" i="112"/>
  <c r="K61" i="112"/>
  <c r="K77" i="112"/>
  <c r="K93" i="112"/>
  <c r="K109" i="112"/>
  <c r="K125" i="112"/>
  <c r="K63" i="112"/>
  <c r="K79" i="112"/>
  <c r="K95" i="112"/>
  <c r="K111" i="112"/>
  <c r="K127" i="112"/>
  <c r="K64" i="112"/>
  <c r="K80" i="112"/>
  <c r="K96" i="112"/>
  <c r="K112" i="112"/>
  <c r="K128" i="112"/>
  <c r="K65" i="112"/>
  <c r="K81" i="112"/>
  <c r="K66" i="112"/>
  <c r="K82" i="112"/>
  <c r="K98" i="112"/>
  <c r="K114" i="112"/>
  <c r="K131" i="112"/>
  <c r="K67" i="112"/>
  <c r="K83" i="112"/>
  <c r="K99" i="112"/>
  <c r="K115" i="112"/>
  <c r="K52" i="112"/>
  <c r="K68" i="112"/>
  <c r="K84" i="112"/>
  <c r="K100" i="112"/>
  <c r="K116" i="112"/>
  <c r="K130" i="112"/>
  <c r="K53" i="112"/>
  <c r="K69" i="112"/>
  <c r="K85" i="112"/>
  <c r="K101" i="112"/>
  <c r="K117" i="112"/>
  <c r="K87" i="112"/>
  <c r="K126" i="112"/>
  <c r="K89" i="112"/>
  <c r="K129" i="112"/>
  <c r="K90" i="112"/>
  <c r="K91" i="112"/>
  <c r="K94" i="112"/>
  <c r="K97" i="112"/>
  <c r="K103" i="112"/>
  <c r="K105" i="112"/>
  <c r="K55" i="112"/>
  <c r="K106" i="112"/>
  <c r="K58" i="112"/>
  <c r="K107" i="112"/>
  <c r="K59" i="112"/>
  <c r="K110" i="112"/>
  <c r="K62" i="112"/>
  <c r="K113" i="112"/>
  <c r="K71" i="112"/>
  <c r="K119" i="112"/>
  <c r="K74" i="112"/>
  <c r="K121" i="112"/>
  <c r="K75" i="112"/>
  <c r="K122" i="112"/>
  <c r="K78" i="112"/>
  <c r="K123" i="112"/>
  <c r="U4" i="78"/>
  <c r="U5" i="78" a="1"/>
  <c r="U5" i="78" s="1"/>
  <c r="K39" i="118"/>
  <c r="K64" i="118"/>
  <c r="K23" i="118"/>
  <c r="K70" i="118"/>
  <c r="K69" i="118"/>
  <c r="K77" i="118"/>
  <c r="K81" i="118"/>
  <c r="K47" i="118"/>
  <c r="K105" i="118"/>
  <c r="K79" i="118"/>
  <c r="K126" i="118"/>
  <c r="K125" i="118"/>
  <c r="K113" i="118"/>
  <c r="K98" i="118"/>
  <c r="K128" i="118"/>
  <c r="K103" i="118"/>
  <c r="K33" i="118"/>
  <c r="K92" i="118"/>
  <c r="K28" i="118"/>
  <c r="K100" i="118"/>
  <c r="K99" i="118"/>
  <c r="K90" i="118"/>
  <c r="K112" i="118"/>
  <c r="K50" i="118"/>
  <c r="K120" i="118"/>
  <c r="K54" i="118"/>
  <c r="K53" i="118"/>
  <c r="K78" i="118"/>
  <c r="K91" i="118"/>
  <c r="K18" i="118"/>
  <c r="K57" i="118"/>
  <c r="K97" i="118"/>
  <c r="K104" i="118"/>
  <c r="K46" i="118"/>
  <c r="K45" i="118"/>
  <c r="K84" i="118"/>
  <c r="K19" i="118"/>
  <c r="K129" i="118"/>
  <c r="K51" i="118"/>
  <c r="K102" i="118"/>
  <c r="K101" i="118"/>
  <c r="K58" i="118"/>
  <c r="K20" i="118"/>
  <c r="K67" i="118"/>
  <c r="K66" i="118"/>
  <c r="K106" i="118"/>
  <c r="K94" i="118"/>
  <c r="K93" i="118"/>
  <c r="K59" i="118"/>
  <c r="K68" i="118"/>
  <c r="K124" i="118"/>
  <c r="K60" i="118"/>
  <c r="K25" i="118"/>
  <c r="K56" i="118"/>
  <c r="K22" i="118"/>
  <c r="K21" i="118"/>
  <c r="K95" i="118"/>
  <c r="K44" i="118"/>
  <c r="K107" i="118"/>
  <c r="K17" i="118"/>
  <c r="K41" i="118"/>
  <c r="K87" i="118"/>
  <c r="K24" i="118"/>
  <c r="K32" i="118"/>
  <c r="K80" i="118"/>
  <c r="K34" i="118"/>
  <c r="K119" i="118"/>
  <c r="K48" i="118"/>
  <c r="K15" i="118"/>
  <c r="K62" i="118"/>
  <c r="K61" i="118"/>
  <c r="K35" i="118"/>
  <c r="K26" i="118"/>
  <c r="K111" i="118"/>
  <c r="K13" i="118"/>
  <c r="K12" i="118"/>
  <c r="K76" i="118"/>
  <c r="K52" i="118"/>
  <c r="K27" i="118"/>
  <c r="K73" i="118"/>
  <c r="K96" i="118"/>
  <c r="K118" i="118"/>
  <c r="K117" i="118"/>
  <c r="K122" i="118"/>
  <c r="K36" i="118"/>
  <c r="K82" i="118"/>
  <c r="K65" i="118"/>
  <c r="K114" i="118"/>
  <c r="K71" i="118"/>
  <c r="K110" i="118"/>
  <c r="K109" i="118"/>
  <c r="K49" i="118"/>
  <c r="K83" i="118"/>
  <c r="K74" i="118"/>
  <c r="K121" i="118"/>
  <c r="K42" i="118"/>
  <c r="K63" i="118"/>
  <c r="K38" i="118"/>
  <c r="K37" i="118"/>
  <c r="K31" i="118"/>
  <c r="K75" i="118"/>
  <c r="K131" i="118"/>
  <c r="K115" i="118"/>
  <c r="K16" i="118"/>
  <c r="K88" i="118"/>
  <c r="K30" i="118"/>
  <c r="K29" i="118"/>
  <c r="K40" i="118"/>
  <c r="K130" i="118"/>
  <c r="K108" i="118"/>
  <c r="K43" i="118"/>
  <c r="K127" i="118"/>
  <c r="K72" i="118"/>
  <c r="K86" i="118"/>
  <c r="K85" i="118"/>
  <c r="K123" i="118"/>
  <c r="K14" i="118"/>
  <c r="K116" i="118"/>
  <c r="K89" i="118"/>
  <c r="K55" i="118"/>
  <c r="K11" i="118"/>
  <c r="V62" i="75"/>
  <c r="V48" i="75"/>
  <c r="V64" i="75"/>
  <c r="I5" i="118" a="1"/>
  <c r="I5" i="118" s="1"/>
  <c r="I4" i="118"/>
  <c r="V46" i="75" l="1"/>
  <c r="V44" i="75"/>
  <c r="V28" i="75"/>
  <c r="V26" i="75"/>
  <c r="V117" i="75"/>
  <c r="V119" i="75"/>
  <c r="V101" i="75"/>
  <c r="V85" i="75"/>
  <c r="V69" i="75"/>
  <c r="V83" i="75"/>
  <c r="V67" i="75"/>
  <c r="V61" i="75"/>
  <c r="V80" i="75"/>
  <c r="V78" i="75"/>
  <c r="V60" i="75"/>
  <c r="V42" i="75"/>
  <c r="V130" i="75"/>
  <c r="V99" i="75"/>
  <c r="V97" i="75"/>
  <c r="V32" i="75"/>
  <c r="V30" i="75"/>
  <c r="V12" i="75"/>
  <c r="V103" i="75"/>
  <c r="V87" i="75"/>
  <c r="V53" i="75"/>
  <c r="V51" i="75"/>
  <c r="V16" i="75"/>
  <c r="V14" i="75"/>
  <c r="V121" i="75"/>
  <c r="V89" i="75"/>
  <c r="V71" i="75"/>
  <c r="V37" i="75"/>
  <c r="V35" i="75"/>
  <c r="V127" i="75"/>
  <c r="V125" i="75"/>
  <c r="V123" i="75"/>
  <c r="V105" i="75"/>
  <c r="V73" i="75"/>
  <c r="V55" i="75"/>
  <c r="V21" i="75"/>
  <c r="V19" i="75"/>
  <c r="V111" i="75"/>
  <c r="V109" i="75"/>
  <c r="V107" i="75"/>
  <c r="V11" i="75"/>
  <c r="V57" i="75"/>
  <c r="V39" i="75"/>
  <c r="V131" i="75"/>
  <c r="V128" i="75"/>
  <c r="V95" i="75"/>
  <c r="V91" i="75"/>
  <c r="V41" i="75"/>
  <c r="V23" i="75"/>
  <c r="V114" i="75"/>
  <c r="V112" i="75"/>
  <c r="V93" i="75"/>
  <c r="V75" i="75"/>
  <c r="V81" i="75"/>
  <c r="V79" i="75"/>
  <c r="V77" i="75"/>
  <c r="V59" i="75"/>
  <c r="V25" i="75"/>
  <c r="V116" i="75"/>
  <c r="V98" i="75"/>
  <c r="V96" i="75"/>
  <c r="V118" i="75"/>
  <c r="V43" i="75"/>
  <c r="V49" i="75"/>
  <c r="V47" i="75"/>
  <c r="V45" i="75"/>
  <c r="V27" i="75"/>
  <c r="V102" i="75"/>
  <c r="V86" i="75"/>
  <c r="V68" i="75"/>
  <c r="V66" i="75"/>
  <c r="V84" i="75"/>
  <c r="V31" i="75"/>
  <c r="V29" i="75"/>
  <c r="V120" i="75"/>
  <c r="V88" i="75"/>
  <c r="V70" i="75"/>
  <c r="V52" i="75"/>
  <c r="V50" i="75"/>
  <c r="V100" i="75"/>
  <c r="V33" i="75"/>
  <c r="V13" i="75"/>
  <c r="V104" i="75"/>
  <c r="V72" i="75"/>
  <c r="V54" i="75"/>
  <c r="V36" i="75"/>
  <c r="V34" i="75"/>
  <c r="V65" i="75"/>
  <c r="V82" i="75"/>
  <c r="V15" i="75"/>
  <c r="V126" i="75"/>
  <c r="V124" i="75"/>
  <c r="V122" i="75"/>
  <c r="V90" i="75"/>
  <c r="V56" i="75"/>
  <c r="V38" i="75"/>
  <c r="V20" i="75"/>
  <c r="V18" i="75"/>
  <c r="V17" i="75"/>
  <c r="V110" i="75"/>
  <c r="V108" i="75"/>
  <c r="V106" i="75"/>
  <c r="V74" i="75"/>
  <c r="V40" i="75"/>
  <c r="V22" i="75"/>
  <c r="V129" i="75"/>
  <c r="V63" i="75"/>
  <c r="V94" i="75"/>
  <c r="V92" i="75"/>
  <c r="V76" i="75"/>
  <c r="V58" i="75"/>
  <c r="V24" i="75"/>
  <c r="V115" i="75"/>
  <c r="V51" i="78"/>
  <c r="V49" i="78"/>
  <c r="V47" i="78"/>
  <c r="V45" i="78"/>
  <c r="V12" i="78"/>
  <c r="V103" i="78"/>
  <c r="V87" i="78"/>
  <c r="V53" i="78"/>
  <c r="V60" i="78"/>
  <c r="V130" i="78"/>
  <c r="V97" i="78"/>
  <c r="V93" i="78"/>
  <c r="V44" i="78"/>
  <c r="V26" i="78"/>
  <c r="V117" i="78"/>
  <c r="V85" i="78"/>
  <c r="V83" i="78"/>
  <c r="V81" i="78"/>
  <c r="V79" i="78"/>
  <c r="V77" i="78"/>
  <c r="V42" i="78"/>
  <c r="V99" i="78"/>
  <c r="V95" i="78"/>
  <c r="V91" i="78"/>
  <c r="V28" i="78"/>
  <c r="V119" i="78"/>
  <c r="V101" i="78"/>
  <c r="V69" i="78"/>
  <c r="V67" i="78"/>
  <c r="V65" i="78"/>
  <c r="V63" i="78"/>
  <c r="V61" i="78"/>
  <c r="V71" i="78"/>
  <c r="V33" i="78"/>
  <c r="V105" i="78"/>
  <c r="V73" i="78"/>
  <c r="V55" i="78"/>
  <c r="V21" i="78"/>
  <c r="V19" i="78"/>
  <c r="V17" i="78"/>
  <c r="V15" i="78"/>
  <c r="V13" i="78"/>
  <c r="V89" i="78"/>
  <c r="V35" i="78"/>
  <c r="V29" i="78"/>
  <c r="V11" i="78"/>
  <c r="V57" i="78"/>
  <c r="V39" i="78"/>
  <c r="V131" i="78"/>
  <c r="V128" i="78"/>
  <c r="V126" i="78"/>
  <c r="V124" i="78"/>
  <c r="V121" i="78"/>
  <c r="V37" i="78"/>
  <c r="V31" i="78"/>
  <c r="V75" i="78"/>
  <c r="V41" i="78"/>
  <c r="V23" i="78"/>
  <c r="V114" i="78"/>
  <c r="V112" i="78"/>
  <c r="V110" i="78"/>
  <c r="V108" i="78"/>
  <c r="V43" i="78"/>
  <c r="V118" i="78"/>
  <c r="V100" i="78"/>
  <c r="V84" i="78"/>
  <c r="V82" i="78"/>
  <c r="V80" i="78"/>
  <c r="V78" i="78"/>
  <c r="V116" i="78"/>
  <c r="V92" i="78"/>
  <c r="V27" i="78"/>
  <c r="V102" i="78"/>
  <c r="V86" i="78"/>
  <c r="V68" i="78"/>
  <c r="V66" i="78"/>
  <c r="V64" i="78"/>
  <c r="V62" i="78"/>
  <c r="V25" i="78"/>
  <c r="V96" i="78"/>
  <c r="V120" i="78"/>
  <c r="V88" i="78"/>
  <c r="V70" i="78"/>
  <c r="V52" i="78"/>
  <c r="V50" i="78"/>
  <c r="V48" i="78"/>
  <c r="V46" i="78"/>
  <c r="V59" i="78"/>
  <c r="V98" i="78"/>
  <c r="V104" i="78"/>
  <c r="V72" i="78"/>
  <c r="V54" i="78"/>
  <c r="V36" i="78"/>
  <c r="V34" i="78"/>
  <c r="V32" i="78"/>
  <c r="V30" i="78"/>
  <c r="V94" i="78"/>
  <c r="V122" i="78"/>
  <c r="V90" i="78"/>
  <c r="V56" i="78"/>
  <c r="V38" i="78"/>
  <c r="V20" i="78"/>
  <c r="V18" i="78"/>
  <c r="V16" i="78"/>
  <c r="V14" i="78"/>
  <c r="V106" i="78"/>
  <c r="V74" i="78"/>
  <c r="V40" i="78"/>
  <c r="V22" i="78"/>
  <c r="V129" i="78"/>
  <c r="V127" i="78"/>
  <c r="V125" i="78"/>
  <c r="V123" i="78"/>
  <c r="V76" i="78"/>
  <c r="V58" i="78"/>
  <c r="V24" i="78"/>
  <c r="V115" i="78"/>
  <c r="V113" i="78"/>
  <c r="V111" i="78"/>
  <c r="V109" i="78"/>
  <c r="J39" i="78"/>
  <c r="J130" i="78"/>
  <c r="J128" i="78"/>
  <c r="J126" i="78"/>
  <c r="J124" i="78"/>
  <c r="J122" i="78"/>
  <c r="J90" i="78"/>
  <c r="J116" i="78"/>
  <c r="J100" i="78"/>
  <c r="J84" i="78"/>
  <c r="J82" i="78"/>
  <c r="J80" i="78"/>
  <c r="J78" i="78"/>
  <c r="J60" i="78"/>
  <c r="J42" i="78"/>
  <c r="J118" i="78"/>
  <c r="J86" i="78"/>
  <c r="J68" i="78"/>
  <c r="J66" i="78"/>
  <c r="J64" i="78"/>
  <c r="J62" i="78"/>
  <c r="J44" i="78"/>
  <c r="J26" i="78"/>
  <c r="J98" i="78"/>
  <c r="J102" i="78"/>
  <c r="J70" i="78"/>
  <c r="J52" i="78"/>
  <c r="J50" i="78"/>
  <c r="J48" i="78"/>
  <c r="J46" i="78"/>
  <c r="J28" i="78"/>
  <c r="J131" i="78"/>
  <c r="J23" i="78"/>
  <c r="J88" i="78"/>
  <c r="J54" i="78"/>
  <c r="J36" i="78"/>
  <c r="J34" i="78"/>
  <c r="J32" i="78"/>
  <c r="J30" i="78"/>
  <c r="J12" i="78"/>
  <c r="J119" i="78"/>
  <c r="J112" i="78"/>
  <c r="J92" i="78"/>
  <c r="J72" i="78"/>
  <c r="J38" i="78"/>
  <c r="J20" i="78"/>
  <c r="J18" i="78"/>
  <c r="J16" i="78"/>
  <c r="J14" i="78"/>
  <c r="J121" i="78"/>
  <c r="J103" i="78"/>
  <c r="J110" i="78"/>
  <c r="J76" i="78"/>
  <c r="J56" i="78"/>
  <c r="J22" i="78"/>
  <c r="J129" i="78"/>
  <c r="J127" i="78"/>
  <c r="J125" i="78"/>
  <c r="J123" i="78"/>
  <c r="J105" i="78"/>
  <c r="J89" i="78"/>
  <c r="J40" i="78"/>
  <c r="J115" i="78"/>
  <c r="J113" i="78"/>
  <c r="J111" i="78"/>
  <c r="J109" i="78"/>
  <c r="J107" i="78"/>
  <c r="J11" i="78"/>
  <c r="J73" i="78"/>
  <c r="J58" i="78"/>
  <c r="J24" i="78"/>
  <c r="J99" i="78"/>
  <c r="J97" i="78"/>
  <c r="J95" i="78"/>
  <c r="J93" i="78"/>
  <c r="J91" i="78"/>
  <c r="J75" i="78"/>
  <c r="J57" i="78"/>
  <c r="J74" i="78"/>
  <c r="J96" i="78"/>
  <c r="J117" i="78"/>
  <c r="J85" i="78"/>
  <c r="J83" i="78"/>
  <c r="J81" i="78"/>
  <c r="J79" i="78"/>
  <c r="J77" i="78"/>
  <c r="J59" i="78"/>
  <c r="J41" i="78"/>
  <c r="J106" i="78"/>
  <c r="J101" i="78"/>
  <c r="J69" i="78"/>
  <c r="J67" i="78"/>
  <c r="J65" i="78"/>
  <c r="J63" i="78"/>
  <c r="J61" i="78"/>
  <c r="J43" i="78"/>
  <c r="J25" i="78"/>
  <c r="J108" i="78"/>
  <c r="J94" i="78"/>
  <c r="J87" i="78"/>
  <c r="J53" i="78"/>
  <c r="J51" i="78"/>
  <c r="J49" i="78"/>
  <c r="J47" i="78"/>
  <c r="J45" i="78"/>
  <c r="J27" i="78"/>
  <c r="J114" i="78"/>
  <c r="J71" i="78"/>
  <c r="J37" i="78"/>
  <c r="J35" i="78"/>
  <c r="J33" i="78"/>
  <c r="J31" i="78"/>
  <c r="J29" i="78"/>
  <c r="J120" i="78"/>
  <c r="J55" i="78"/>
  <c r="J21" i="78"/>
  <c r="J19" i="78"/>
  <c r="J17" i="78"/>
  <c r="J15" i="78"/>
  <c r="J13" i="78"/>
  <c r="I4" i="78"/>
  <c r="I5" i="78" a="1"/>
  <c r="I5" i="78" s="1"/>
  <c r="I4" i="75"/>
  <c r="I5" i="75" a="1"/>
  <c r="I5" i="75" s="1"/>
  <c r="U4" i="75"/>
  <c r="AH4" i="32"/>
  <c r="U5" i="75" a="1"/>
  <c r="U5" i="75" s="1"/>
  <c r="AH5" i="32" a="1"/>
  <c r="AH5" i="32" s="1"/>
  <c r="Y22" i="65" s="1"/>
  <c r="G18" i="67" s="1"/>
  <c r="G49" i="67" s="1"/>
  <c r="AC16" i="34" a="1"/>
  <c r="AC16" i="34" s="1"/>
  <c r="AA11" i="112"/>
  <c r="AA11" i="111"/>
  <c r="AD12" i="110"/>
  <c r="W12" i="111" s="1"/>
  <c r="AG12" i="110"/>
  <c r="Z12" i="111" s="1"/>
  <c r="AA12" i="110"/>
  <c r="T12" i="111" s="1"/>
  <c r="AB12" i="110"/>
  <c r="AM13" i="110" s="1"/>
  <c r="AE12" i="110"/>
  <c r="X12" i="112" s="1"/>
  <c r="AC12" i="110"/>
  <c r="V12" i="112" s="1"/>
  <c r="Z12" i="110"/>
  <c r="S12" i="112" s="1"/>
  <c r="AF12" i="110"/>
  <c r="Y12" i="112" s="1"/>
  <c r="P11" i="111"/>
  <c r="Q12" i="110"/>
  <c r="O12" i="111" s="1"/>
  <c r="P12" i="110"/>
  <c r="N12" i="112" s="1"/>
  <c r="N12" i="110"/>
  <c r="L12" i="111" s="1"/>
  <c r="I12" i="110"/>
  <c r="G12" i="111" s="1"/>
  <c r="K12" i="110"/>
  <c r="L12" i="110"/>
  <c r="J12" i="111" s="1"/>
  <c r="O12" i="110"/>
  <c r="M12" i="110"/>
  <c r="K12" i="111" s="1"/>
  <c r="P11" i="112"/>
  <c r="AA64" i="112"/>
  <c r="P62" i="112"/>
  <c r="P86" i="112"/>
  <c r="P73" i="112"/>
  <c r="P54" i="112"/>
  <c r="P131" i="112"/>
  <c r="P111" i="112"/>
  <c r="AA102" i="112"/>
  <c r="AA83" i="112"/>
  <c r="P88" i="112"/>
  <c r="P130" i="112"/>
  <c r="P110" i="112"/>
  <c r="P56" i="112"/>
  <c r="P113" i="112"/>
  <c r="P93" i="112"/>
  <c r="P107" i="112"/>
  <c r="P119" i="112"/>
  <c r="P116" i="112"/>
  <c r="P77" i="112"/>
  <c r="AA56" i="112"/>
  <c r="AA97" i="112"/>
  <c r="AA62" i="112"/>
  <c r="P91" i="112"/>
  <c r="P87" i="112"/>
  <c r="AA119" i="112"/>
  <c r="AA116" i="112"/>
  <c r="AA81" i="112"/>
  <c r="AA124" i="112"/>
  <c r="P78" i="112"/>
  <c r="P55" i="112"/>
  <c r="P52" i="112"/>
  <c r="P112" i="112"/>
  <c r="P92" i="112"/>
  <c r="AA58" i="112"/>
  <c r="AA87" i="112"/>
  <c r="AA84" i="112"/>
  <c r="AA128" i="112"/>
  <c r="AA92" i="112"/>
  <c r="P118" i="112"/>
  <c r="P115" i="112"/>
  <c r="AA71" i="112"/>
  <c r="AA112" i="112"/>
  <c r="AA52" i="112"/>
  <c r="AA60" i="112"/>
  <c r="P64" i="112"/>
  <c r="AA122" i="112"/>
  <c r="AA118" i="112"/>
  <c r="AA99" i="112"/>
  <c r="AA107" i="112"/>
  <c r="AA109" i="112"/>
  <c r="AA127" i="112"/>
  <c r="AA91" i="112"/>
  <c r="P120" i="112"/>
  <c r="P101" i="112"/>
  <c r="P98" i="112"/>
  <c r="P79" i="112"/>
  <c r="P74" i="112"/>
  <c r="AA93" i="112"/>
  <c r="P63" i="112"/>
  <c r="P58" i="112"/>
  <c r="AA90" i="112"/>
  <c r="AA79" i="112"/>
  <c r="AA121" i="112"/>
  <c r="P126" i="112"/>
  <c r="P69" i="112"/>
  <c r="P66" i="112"/>
  <c r="P125" i="112"/>
  <c r="AA120" i="112"/>
  <c r="AA117" i="112"/>
  <c r="AA98" i="112"/>
  <c r="AA63" i="112"/>
  <c r="AA105" i="112"/>
  <c r="AA101" i="112"/>
  <c r="AA82" i="112"/>
  <c r="H12" i="111"/>
  <c r="P94" i="112"/>
  <c r="P103" i="112"/>
  <c r="P100" i="112"/>
  <c r="P81" i="112"/>
  <c r="P61" i="112"/>
  <c r="AA106" i="112"/>
  <c r="AA86" i="112"/>
  <c r="AA67" i="112"/>
  <c r="AA111" i="112"/>
  <c r="AA75" i="112"/>
  <c r="P97" i="112"/>
  <c r="P84" i="112"/>
  <c r="P65" i="112"/>
  <c r="P124" i="112"/>
  <c r="AA70" i="112"/>
  <c r="AA131" i="112"/>
  <c r="AA95" i="112"/>
  <c r="AA59" i="112"/>
  <c r="P71" i="112"/>
  <c r="P68" i="112"/>
  <c r="P128" i="112"/>
  <c r="P108" i="112"/>
  <c r="AA54" i="112"/>
  <c r="AA114" i="112"/>
  <c r="P75" i="112"/>
  <c r="P96" i="112"/>
  <c r="P76" i="112"/>
  <c r="AA104" i="112"/>
  <c r="AA110" i="112"/>
  <c r="AA89" i="112"/>
  <c r="P121" i="112"/>
  <c r="P102" i="112"/>
  <c r="P99" i="112"/>
  <c r="P80" i="112"/>
  <c r="P60" i="112"/>
  <c r="AA88" i="112"/>
  <c r="AA85" i="112"/>
  <c r="AA66" i="112"/>
  <c r="AA94" i="112"/>
  <c r="AA73" i="112"/>
  <c r="P105" i="112"/>
  <c r="P83" i="112"/>
  <c r="P59" i="112"/>
  <c r="AA72" i="112"/>
  <c r="AA69" i="112"/>
  <c r="AA113" i="112"/>
  <c r="AA78" i="112"/>
  <c r="AA57" i="112"/>
  <c r="R12" i="112"/>
  <c r="R12" i="111"/>
  <c r="P89" i="112"/>
  <c r="P70" i="112"/>
  <c r="P67" i="112"/>
  <c r="P127" i="112"/>
  <c r="P122" i="112"/>
  <c r="AA77" i="112"/>
  <c r="AA53" i="112"/>
  <c r="AA74" i="112"/>
  <c r="P106" i="112"/>
  <c r="P57" i="112"/>
  <c r="P117" i="112"/>
  <c r="P114" i="112"/>
  <c r="P95" i="112"/>
  <c r="P90" i="112"/>
  <c r="AA61" i="112"/>
  <c r="AA103" i="112"/>
  <c r="AA100" i="112"/>
  <c r="AA65" i="112"/>
  <c r="AA108" i="112"/>
  <c r="H12" i="112"/>
  <c r="P104" i="112"/>
  <c r="P85" i="112"/>
  <c r="P82" i="112"/>
  <c r="AA129" i="112"/>
  <c r="AA68" i="112"/>
  <c r="AA76" i="112"/>
  <c r="AA126" i="112"/>
  <c r="AA55" i="112"/>
  <c r="AA96" i="112"/>
  <c r="P123" i="112"/>
  <c r="P72" i="112"/>
  <c r="P53" i="112"/>
  <c r="P129" i="112"/>
  <c r="P109" i="112"/>
  <c r="AA125" i="112"/>
  <c r="AA130" i="112"/>
  <c r="AA115" i="112"/>
  <c r="AA80" i="112"/>
  <c r="AA123" i="112"/>
  <c r="J4" i="75"/>
  <c r="J5" i="75" a="1"/>
  <c r="J5" i="75" s="1"/>
  <c r="W4" i="75"/>
  <c r="W5" i="75" a="1"/>
  <c r="W5" i="75" s="1"/>
  <c r="Z4" i="118"/>
  <c r="Z5" i="118" a="1"/>
  <c r="Z5" i="118" s="1"/>
  <c r="Y4" i="118"/>
  <c r="Y5" i="118" a="1"/>
  <c r="Y5" i="118" s="1"/>
  <c r="K4" i="78"/>
  <c r="K5" i="78" a="1"/>
  <c r="K5" i="78" s="1"/>
  <c r="X24" i="78"/>
  <c r="X40" i="78"/>
  <c r="X56" i="78"/>
  <c r="X72" i="78"/>
  <c r="X88" i="78"/>
  <c r="X25" i="78"/>
  <c r="X41" i="78"/>
  <c r="X57" i="78"/>
  <c r="X73" i="78"/>
  <c r="X89" i="78"/>
  <c r="X103" i="78"/>
  <c r="X26" i="78"/>
  <c r="X42" i="78"/>
  <c r="X58" i="78"/>
  <c r="X74" i="78"/>
  <c r="X90" i="78"/>
  <c r="X104" i="78"/>
  <c r="X27" i="78"/>
  <c r="X43" i="78"/>
  <c r="X59" i="78"/>
  <c r="X75" i="78"/>
  <c r="X11" i="78"/>
  <c r="X105" i="78"/>
  <c r="X12" i="78"/>
  <c r="X28" i="78"/>
  <c r="X44" i="78"/>
  <c r="X60" i="78"/>
  <c r="X76" i="78"/>
  <c r="X13" i="78"/>
  <c r="X29" i="78"/>
  <c r="X45" i="78"/>
  <c r="X61" i="78"/>
  <c r="X77" i="78"/>
  <c r="X91" i="78"/>
  <c r="X14" i="78"/>
  <c r="X30" i="78"/>
  <c r="X46" i="78"/>
  <c r="X62" i="78"/>
  <c r="X78" i="78"/>
  <c r="X92" i="78"/>
  <c r="X108" i="78"/>
  <c r="X15" i="78"/>
  <c r="X31" i="78"/>
  <c r="X47" i="78"/>
  <c r="X63" i="78"/>
  <c r="X79" i="78"/>
  <c r="X93" i="78"/>
  <c r="X109" i="78"/>
  <c r="X16" i="78"/>
  <c r="X32" i="78"/>
  <c r="X48" i="78"/>
  <c r="X64" i="78"/>
  <c r="X80" i="78"/>
  <c r="X94" i="78"/>
  <c r="X17" i="78"/>
  <c r="X33" i="78"/>
  <c r="X49" i="78"/>
  <c r="X65" i="78"/>
  <c r="X81" i="78"/>
  <c r="X18" i="78"/>
  <c r="X34" i="78"/>
  <c r="X50" i="78"/>
  <c r="X66" i="78"/>
  <c r="AC66" i="78" s="1"/>
  <c r="X19" i="78"/>
  <c r="X35" i="78"/>
  <c r="X51" i="78"/>
  <c r="AC51" i="78" s="1"/>
  <c r="X20" i="78"/>
  <c r="X36" i="78"/>
  <c r="X52" i="78"/>
  <c r="X68" i="78"/>
  <c r="X84" i="78"/>
  <c r="X98" i="78"/>
  <c r="X21" i="78"/>
  <c r="X37" i="78"/>
  <c r="X53" i="78"/>
  <c r="X69" i="78"/>
  <c r="X85" i="78"/>
  <c r="X22" i="78"/>
  <c r="X38" i="78"/>
  <c r="X54" i="78"/>
  <c r="X70" i="78"/>
  <c r="X86" i="78"/>
  <c r="X23" i="78"/>
  <c r="X39" i="78"/>
  <c r="X55" i="78"/>
  <c r="X71" i="78"/>
  <c r="X87" i="78"/>
  <c r="X101" i="78"/>
  <c r="X113" i="78"/>
  <c r="X129" i="78"/>
  <c r="X67" i="78"/>
  <c r="X114" i="78"/>
  <c r="X130" i="78"/>
  <c r="X82" i="78"/>
  <c r="X115" i="78"/>
  <c r="X83" i="78"/>
  <c r="X116" i="78"/>
  <c r="X117" i="78"/>
  <c r="X131" i="78"/>
  <c r="X95" i="78"/>
  <c r="X118" i="78"/>
  <c r="X96" i="78"/>
  <c r="X119" i="78"/>
  <c r="X97" i="78"/>
  <c r="X120" i="78"/>
  <c r="X99" i="78"/>
  <c r="X121" i="78"/>
  <c r="X100" i="78"/>
  <c r="X122" i="78"/>
  <c r="X102" i="78"/>
  <c r="X123" i="78"/>
  <c r="X106" i="78"/>
  <c r="X124" i="78"/>
  <c r="X107" i="78"/>
  <c r="AC107" i="78" s="1"/>
  <c r="X125" i="78"/>
  <c r="X110" i="78"/>
  <c r="X126" i="78"/>
  <c r="X111" i="78"/>
  <c r="X127" i="78"/>
  <c r="X112" i="78"/>
  <c r="X128" i="78"/>
  <c r="L23" i="75"/>
  <c r="Q23" i="75" s="1"/>
  <c r="L39" i="75"/>
  <c r="Q39" i="75" s="1"/>
  <c r="L55" i="75"/>
  <c r="Q55" i="75" s="1"/>
  <c r="L71" i="75"/>
  <c r="Q71" i="75" s="1"/>
  <c r="L87" i="75"/>
  <c r="Q87" i="75" s="1"/>
  <c r="L101" i="75"/>
  <c r="Q101" i="75" s="1"/>
  <c r="L117" i="75"/>
  <c r="Q117" i="75" s="1"/>
  <c r="L24" i="75"/>
  <c r="Q24" i="75" s="1"/>
  <c r="L40" i="75"/>
  <c r="Q40" i="75" s="1"/>
  <c r="L56" i="75"/>
  <c r="Q56" i="75" s="1"/>
  <c r="L72" i="75"/>
  <c r="Q72" i="75" s="1"/>
  <c r="L88" i="75"/>
  <c r="Q88" i="75" s="1"/>
  <c r="L102" i="75"/>
  <c r="Q102" i="75" s="1"/>
  <c r="L118" i="75"/>
  <c r="Q118" i="75" s="1"/>
  <c r="L25" i="75"/>
  <c r="Q25" i="75" s="1"/>
  <c r="L41" i="75"/>
  <c r="Q41" i="75" s="1"/>
  <c r="L57" i="75"/>
  <c r="Q57" i="75" s="1"/>
  <c r="L73" i="75"/>
  <c r="Q73" i="75" s="1"/>
  <c r="L89" i="75"/>
  <c r="Q89" i="75" s="1"/>
  <c r="L103" i="75"/>
  <c r="Q103" i="75" s="1"/>
  <c r="L119" i="75"/>
  <c r="Q119" i="75" s="1"/>
  <c r="L130" i="75"/>
  <c r="Q130" i="75" s="1"/>
  <c r="L26" i="75"/>
  <c r="Q26" i="75" s="1"/>
  <c r="L42" i="75"/>
  <c r="Q42" i="75" s="1"/>
  <c r="L58" i="75"/>
  <c r="Q58" i="75" s="1"/>
  <c r="L74" i="75"/>
  <c r="Q74" i="75" s="1"/>
  <c r="L90" i="75"/>
  <c r="Q90" i="75" s="1"/>
  <c r="L104" i="75"/>
  <c r="Q104" i="75" s="1"/>
  <c r="L120" i="75"/>
  <c r="Q120" i="75" s="1"/>
  <c r="L27" i="75"/>
  <c r="Q27" i="75" s="1"/>
  <c r="L43" i="75"/>
  <c r="Q43" i="75" s="1"/>
  <c r="L59" i="75"/>
  <c r="Q59" i="75" s="1"/>
  <c r="L75" i="75"/>
  <c r="Q75" i="75" s="1"/>
  <c r="L11" i="75"/>
  <c r="Q11" i="75" s="1"/>
  <c r="L105" i="75"/>
  <c r="Q105" i="75" s="1"/>
  <c r="L121" i="75"/>
  <c r="Q121" i="75" s="1"/>
  <c r="L12" i="75"/>
  <c r="Q12" i="75" s="1"/>
  <c r="L28" i="75"/>
  <c r="Q28" i="75" s="1"/>
  <c r="L44" i="75"/>
  <c r="Q44" i="75" s="1"/>
  <c r="L60" i="75"/>
  <c r="Q60" i="75" s="1"/>
  <c r="L76" i="75"/>
  <c r="Q76" i="75" s="1"/>
  <c r="L106" i="75"/>
  <c r="Q106" i="75" s="1"/>
  <c r="L122" i="75"/>
  <c r="Q122" i="75" s="1"/>
  <c r="L13" i="75"/>
  <c r="Q13" i="75" s="1"/>
  <c r="L29" i="75"/>
  <c r="Q29" i="75" s="1"/>
  <c r="L45" i="75"/>
  <c r="Q45" i="75" s="1"/>
  <c r="L61" i="75"/>
  <c r="Q61" i="75" s="1"/>
  <c r="L77" i="75"/>
  <c r="Q77" i="75" s="1"/>
  <c r="L91" i="75"/>
  <c r="Q91" i="75" s="1"/>
  <c r="L107" i="75"/>
  <c r="Q107" i="75" s="1"/>
  <c r="L123" i="75"/>
  <c r="Q123" i="75" s="1"/>
  <c r="L14" i="75"/>
  <c r="Q14" i="75" s="1"/>
  <c r="L30" i="75"/>
  <c r="Q30" i="75" s="1"/>
  <c r="L46" i="75"/>
  <c r="Q46" i="75" s="1"/>
  <c r="L62" i="75"/>
  <c r="Q62" i="75" s="1"/>
  <c r="L78" i="75"/>
  <c r="Q78" i="75" s="1"/>
  <c r="L92" i="75"/>
  <c r="Q92" i="75" s="1"/>
  <c r="L108" i="75"/>
  <c r="Q108" i="75" s="1"/>
  <c r="L124" i="75"/>
  <c r="Q124" i="75" s="1"/>
  <c r="L15" i="75"/>
  <c r="Q15" i="75" s="1"/>
  <c r="L31" i="75"/>
  <c r="Q31" i="75" s="1"/>
  <c r="L47" i="75"/>
  <c r="Q47" i="75" s="1"/>
  <c r="L63" i="75"/>
  <c r="Q63" i="75" s="1"/>
  <c r="L79" i="75"/>
  <c r="Q79" i="75" s="1"/>
  <c r="L93" i="75"/>
  <c r="Q93" i="75" s="1"/>
  <c r="L109" i="75"/>
  <c r="Q109" i="75" s="1"/>
  <c r="L125" i="75"/>
  <c r="Q125" i="75" s="1"/>
  <c r="L16" i="75"/>
  <c r="Q16" i="75" s="1"/>
  <c r="L32" i="75"/>
  <c r="Q32" i="75" s="1"/>
  <c r="L48" i="75"/>
  <c r="Q48" i="75" s="1"/>
  <c r="L64" i="75"/>
  <c r="Q64" i="75" s="1"/>
  <c r="L80" i="75"/>
  <c r="Q80" i="75" s="1"/>
  <c r="L94" i="75"/>
  <c r="Q94" i="75" s="1"/>
  <c r="L110" i="75"/>
  <c r="Q110" i="75" s="1"/>
  <c r="L126" i="75"/>
  <c r="Q126" i="75" s="1"/>
  <c r="L17" i="75"/>
  <c r="Q17" i="75" s="1"/>
  <c r="L33" i="75"/>
  <c r="Q33" i="75" s="1"/>
  <c r="L49" i="75"/>
  <c r="Q49" i="75" s="1"/>
  <c r="L65" i="75"/>
  <c r="Q65" i="75" s="1"/>
  <c r="L81" i="75"/>
  <c r="Q81" i="75" s="1"/>
  <c r="L95" i="75"/>
  <c r="Q95" i="75" s="1"/>
  <c r="L111" i="75"/>
  <c r="Q111" i="75" s="1"/>
  <c r="L127" i="75"/>
  <c r="Q127" i="75" s="1"/>
  <c r="L18" i="75"/>
  <c r="Q18" i="75" s="1"/>
  <c r="L34" i="75"/>
  <c r="Q34" i="75" s="1"/>
  <c r="L50" i="75"/>
  <c r="Q50" i="75" s="1"/>
  <c r="L66" i="75"/>
  <c r="Q66" i="75" s="1"/>
  <c r="L82" i="75"/>
  <c r="Q82" i="75" s="1"/>
  <c r="L96" i="75"/>
  <c r="Q96" i="75" s="1"/>
  <c r="L112" i="75"/>
  <c r="Q112" i="75" s="1"/>
  <c r="L128" i="75"/>
  <c r="Q128" i="75" s="1"/>
  <c r="L19" i="75"/>
  <c r="Q19" i="75" s="1"/>
  <c r="L35" i="75"/>
  <c r="Q35" i="75" s="1"/>
  <c r="L51" i="75"/>
  <c r="Q51" i="75" s="1"/>
  <c r="L67" i="75"/>
  <c r="Q67" i="75" s="1"/>
  <c r="L83" i="75"/>
  <c r="Q83" i="75" s="1"/>
  <c r="L97" i="75"/>
  <c r="Q97" i="75" s="1"/>
  <c r="L113" i="75"/>
  <c r="Q113" i="75" s="1"/>
  <c r="L129" i="75"/>
  <c r="Q129" i="75" s="1"/>
  <c r="L20" i="75"/>
  <c r="Q20" i="75" s="1"/>
  <c r="L36" i="75"/>
  <c r="Q36" i="75" s="1"/>
  <c r="L52" i="75"/>
  <c r="Q52" i="75" s="1"/>
  <c r="L68" i="75"/>
  <c r="Q68" i="75" s="1"/>
  <c r="L84" i="75"/>
  <c r="Q84" i="75" s="1"/>
  <c r="L98" i="75"/>
  <c r="Q98" i="75" s="1"/>
  <c r="L114" i="75"/>
  <c r="Q114" i="75" s="1"/>
  <c r="L131" i="75"/>
  <c r="Q131" i="75" s="1"/>
  <c r="L21" i="75"/>
  <c r="Q21" i="75" s="1"/>
  <c r="L37" i="75"/>
  <c r="Q37" i="75" s="1"/>
  <c r="L53" i="75"/>
  <c r="Q53" i="75" s="1"/>
  <c r="L69" i="75"/>
  <c r="Q69" i="75" s="1"/>
  <c r="L85" i="75"/>
  <c r="Q85" i="75" s="1"/>
  <c r="L99" i="75"/>
  <c r="Q99" i="75" s="1"/>
  <c r="L115" i="75"/>
  <c r="Q115" i="75" s="1"/>
  <c r="L22" i="75"/>
  <c r="Q22" i="75" s="1"/>
  <c r="L38" i="75"/>
  <c r="Q38" i="75" s="1"/>
  <c r="L54" i="75"/>
  <c r="Q54" i="75" s="1"/>
  <c r="L70" i="75"/>
  <c r="Q70" i="75" s="1"/>
  <c r="L86" i="75"/>
  <c r="Q86" i="75" s="1"/>
  <c r="L100" i="75"/>
  <c r="Q100" i="75" s="1"/>
  <c r="L116" i="75"/>
  <c r="Q116" i="75" s="1"/>
  <c r="K4" i="75"/>
  <c r="K5" i="75" a="1"/>
  <c r="K5" i="75" s="1"/>
  <c r="W4" i="78"/>
  <c r="W5" i="78" a="1"/>
  <c r="W5" i="78" s="1"/>
  <c r="X18" i="75"/>
  <c r="AC18" i="75" s="1"/>
  <c r="X34" i="75"/>
  <c r="X50" i="75"/>
  <c r="AC50" i="75" s="1"/>
  <c r="X66" i="75"/>
  <c r="X82" i="75"/>
  <c r="X96" i="75"/>
  <c r="AC96" i="75" s="1"/>
  <c r="X112" i="75"/>
  <c r="X128" i="75"/>
  <c r="AC128" i="75" s="1"/>
  <c r="X19" i="75"/>
  <c r="X35" i="75"/>
  <c r="AC35" i="75" s="1"/>
  <c r="X51" i="75"/>
  <c r="X67" i="75"/>
  <c r="AC67" i="75" s="1"/>
  <c r="X83" i="75"/>
  <c r="AC83" i="75" s="1"/>
  <c r="X97" i="75"/>
  <c r="AC97" i="75" s="1"/>
  <c r="X113" i="75"/>
  <c r="AC113" i="75" s="1"/>
  <c r="X129" i="75"/>
  <c r="AC129" i="75" s="1"/>
  <c r="X20" i="75"/>
  <c r="AC20" i="75" s="1"/>
  <c r="X36" i="75"/>
  <c r="X52" i="75"/>
  <c r="AC52" i="75" s="1"/>
  <c r="X68" i="75"/>
  <c r="X84" i="75"/>
  <c r="X98" i="75"/>
  <c r="X114" i="75"/>
  <c r="AC114" i="75" s="1"/>
  <c r="X130" i="75"/>
  <c r="AC130" i="75" s="1"/>
  <c r="X21" i="75"/>
  <c r="X37" i="75"/>
  <c r="AC37" i="75" s="1"/>
  <c r="X53" i="75"/>
  <c r="X69" i="75"/>
  <c r="AC69" i="75" s="1"/>
  <c r="X85" i="75"/>
  <c r="AC85" i="75" s="1"/>
  <c r="X99" i="75"/>
  <c r="AC99" i="75" s="1"/>
  <c r="X115" i="75"/>
  <c r="AC115" i="75" s="1"/>
  <c r="X22" i="75"/>
  <c r="X38" i="75"/>
  <c r="AC38" i="75" s="1"/>
  <c r="X54" i="75"/>
  <c r="X70" i="75"/>
  <c r="AC70" i="75" s="1"/>
  <c r="X86" i="75"/>
  <c r="X100" i="75"/>
  <c r="AC100" i="75" s="1"/>
  <c r="X116" i="75"/>
  <c r="X23" i="75"/>
  <c r="AC23" i="75" s="1"/>
  <c r="X39" i="75"/>
  <c r="X55" i="75"/>
  <c r="X71" i="75"/>
  <c r="X87" i="75"/>
  <c r="X101" i="75"/>
  <c r="AC101" i="75" s="1"/>
  <c r="X117" i="75"/>
  <c r="AC117" i="75" s="1"/>
  <c r="X131" i="75"/>
  <c r="X24" i="75"/>
  <c r="AC24" i="75" s="1"/>
  <c r="X40" i="75"/>
  <c r="X56" i="75"/>
  <c r="AC56" i="75" s="1"/>
  <c r="X72" i="75"/>
  <c r="AC72" i="75" s="1"/>
  <c r="X88" i="75"/>
  <c r="X102" i="75"/>
  <c r="X118" i="75"/>
  <c r="AC118" i="75" s="1"/>
  <c r="X25" i="75"/>
  <c r="AC25" i="75" s="1"/>
  <c r="X41" i="75"/>
  <c r="AC41" i="75" s="1"/>
  <c r="X57" i="75"/>
  <c r="AC57" i="75" s="1"/>
  <c r="X73" i="75"/>
  <c r="AC73" i="75" s="1"/>
  <c r="X89" i="75"/>
  <c r="AC89" i="75" s="1"/>
  <c r="X103" i="75"/>
  <c r="X119" i="75"/>
  <c r="AC119" i="75" s="1"/>
  <c r="X26" i="75"/>
  <c r="AC26" i="75" s="1"/>
  <c r="X42" i="75"/>
  <c r="X58" i="75"/>
  <c r="AC58" i="75" s="1"/>
  <c r="X74" i="75"/>
  <c r="X90" i="75"/>
  <c r="AC90" i="75" s="1"/>
  <c r="X104" i="75"/>
  <c r="AC104" i="75" s="1"/>
  <c r="X120" i="75"/>
  <c r="X27" i="75"/>
  <c r="X43" i="75"/>
  <c r="AC43" i="75" s="1"/>
  <c r="X59" i="75"/>
  <c r="X75" i="75"/>
  <c r="X11" i="75"/>
  <c r="AC11" i="75" s="1"/>
  <c r="X105" i="75"/>
  <c r="AC105" i="75" s="1"/>
  <c r="X121" i="75"/>
  <c r="AC121" i="75" s="1"/>
  <c r="X12" i="75"/>
  <c r="AC12" i="75" s="1"/>
  <c r="X28" i="75"/>
  <c r="AC28" i="75" s="1"/>
  <c r="X44" i="75"/>
  <c r="AC44" i="75" s="1"/>
  <c r="X60" i="75"/>
  <c r="X76" i="75"/>
  <c r="AC76" i="75" s="1"/>
  <c r="X106" i="75"/>
  <c r="X122" i="75"/>
  <c r="AC122" i="75" s="1"/>
  <c r="X13" i="75"/>
  <c r="AC13" i="75" s="1"/>
  <c r="X29" i="75"/>
  <c r="AC29" i="75" s="1"/>
  <c r="X45" i="75"/>
  <c r="AC45" i="75" s="1"/>
  <c r="X61" i="75"/>
  <c r="AC61" i="75" s="1"/>
  <c r="X77" i="75"/>
  <c r="AC77" i="75" s="1"/>
  <c r="X91" i="75"/>
  <c r="AC91" i="75" s="1"/>
  <c r="X107" i="75"/>
  <c r="AC107" i="75" s="1"/>
  <c r="X123" i="75"/>
  <c r="AC123" i="75" s="1"/>
  <c r="X14" i="75"/>
  <c r="AC14" i="75" s="1"/>
  <c r="X30" i="75"/>
  <c r="AC30" i="75" s="1"/>
  <c r="X46" i="75"/>
  <c r="AC46" i="75" s="1"/>
  <c r="X62" i="75"/>
  <c r="AC62" i="75" s="1"/>
  <c r="X78" i="75"/>
  <c r="AC78" i="75" s="1"/>
  <c r="X92" i="75"/>
  <c r="AC92" i="75" s="1"/>
  <c r="X108" i="75"/>
  <c r="X124" i="75"/>
  <c r="X15" i="75"/>
  <c r="AC15" i="75" s="1"/>
  <c r="X31" i="75"/>
  <c r="X47" i="75"/>
  <c r="AC47" i="75" s="1"/>
  <c r="X63" i="75"/>
  <c r="X79" i="75"/>
  <c r="X93" i="75"/>
  <c r="X109" i="75"/>
  <c r="X125" i="75"/>
  <c r="AC125" i="75" s="1"/>
  <c r="X16" i="75"/>
  <c r="X32" i="75"/>
  <c r="AC32" i="75" s="1"/>
  <c r="X48" i="75"/>
  <c r="AC48" i="75" s="1"/>
  <c r="X64" i="75"/>
  <c r="AC64" i="75" s="1"/>
  <c r="X80" i="75"/>
  <c r="AC80" i="75" s="1"/>
  <c r="X94" i="75"/>
  <c r="X110" i="75"/>
  <c r="X126" i="75"/>
  <c r="X17" i="75"/>
  <c r="AC17" i="75" s="1"/>
  <c r="X33" i="75"/>
  <c r="AC33" i="75" s="1"/>
  <c r="X49" i="75"/>
  <c r="AC49" i="75" s="1"/>
  <c r="X65" i="75"/>
  <c r="X81" i="75"/>
  <c r="X95" i="75"/>
  <c r="AC95" i="75" s="1"/>
  <c r="X111" i="75"/>
  <c r="X127" i="75"/>
  <c r="AC127" i="75" s="1"/>
  <c r="J4" i="118"/>
  <c r="J5" i="118" a="1"/>
  <c r="J5" i="118" s="1"/>
  <c r="L12" i="78"/>
  <c r="L28" i="78"/>
  <c r="L44" i="78"/>
  <c r="L60" i="78"/>
  <c r="L76" i="78"/>
  <c r="L106" i="78"/>
  <c r="L122" i="78"/>
  <c r="L13" i="78"/>
  <c r="L29" i="78"/>
  <c r="L45" i="78"/>
  <c r="L61" i="78"/>
  <c r="L77" i="78"/>
  <c r="L91" i="78"/>
  <c r="L14" i="78"/>
  <c r="L30" i="78"/>
  <c r="L46" i="78"/>
  <c r="L62" i="78"/>
  <c r="L78" i="78"/>
  <c r="L92" i="78"/>
  <c r="L108" i="78"/>
  <c r="L124" i="78"/>
  <c r="L16" i="78"/>
  <c r="L32" i="78"/>
  <c r="L48" i="78"/>
  <c r="L64" i="78"/>
  <c r="L80" i="78"/>
  <c r="L94" i="78"/>
  <c r="L110" i="78"/>
  <c r="L126" i="78"/>
  <c r="L17" i="78"/>
  <c r="L33" i="78"/>
  <c r="L49" i="78"/>
  <c r="L65" i="78"/>
  <c r="L81" i="78"/>
  <c r="L95" i="78"/>
  <c r="L111" i="78"/>
  <c r="L18" i="78"/>
  <c r="L34" i="78"/>
  <c r="L50" i="78"/>
  <c r="L66" i="78"/>
  <c r="L82" i="78"/>
  <c r="L96" i="78"/>
  <c r="L112" i="78"/>
  <c r="L128" i="78"/>
  <c r="L19" i="78"/>
  <c r="L35" i="78"/>
  <c r="L51" i="78"/>
  <c r="L67" i="78"/>
  <c r="L83" i="78"/>
  <c r="L97" i="78"/>
  <c r="L113" i="78"/>
  <c r="L129" i="78"/>
  <c r="L20" i="78"/>
  <c r="L21" i="78"/>
  <c r="L37" i="78"/>
  <c r="L53" i="78"/>
  <c r="L69" i="78"/>
  <c r="L85" i="78"/>
  <c r="L99" i="78"/>
  <c r="L115" i="78"/>
  <c r="L22" i="78"/>
  <c r="L38" i="78"/>
  <c r="L54" i="78"/>
  <c r="Q54" i="78" s="1"/>
  <c r="L70" i="78"/>
  <c r="L86" i="78"/>
  <c r="L100" i="78"/>
  <c r="L116" i="78"/>
  <c r="L23" i="78"/>
  <c r="L24" i="78"/>
  <c r="L25" i="78"/>
  <c r="L41" i="78"/>
  <c r="L26" i="78"/>
  <c r="L42" i="78"/>
  <c r="L58" i="78"/>
  <c r="L74" i="78"/>
  <c r="L27" i="78"/>
  <c r="L43" i="78"/>
  <c r="L59" i="78"/>
  <c r="L75" i="78"/>
  <c r="L11" i="78"/>
  <c r="L105" i="78"/>
  <c r="L68" i="78"/>
  <c r="L107" i="78"/>
  <c r="L71" i="78"/>
  <c r="L109" i="78"/>
  <c r="L72" i="78"/>
  <c r="L114" i="78"/>
  <c r="L73" i="78"/>
  <c r="L117" i="78"/>
  <c r="L79" i="78"/>
  <c r="L118" i="78"/>
  <c r="L15" i="78"/>
  <c r="L84" i="78"/>
  <c r="L119" i="78"/>
  <c r="L31" i="78"/>
  <c r="L87" i="78"/>
  <c r="L120" i="78"/>
  <c r="L36" i="78"/>
  <c r="L88" i="78"/>
  <c r="L121" i="78"/>
  <c r="L39" i="78"/>
  <c r="L89" i="78"/>
  <c r="L123" i="78"/>
  <c r="L40" i="78"/>
  <c r="L90" i="78"/>
  <c r="L125" i="78"/>
  <c r="L47" i="78"/>
  <c r="L93" i="78"/>
  <c r="L127" i="78"/>
  <c r="L52" i="78"/>
  <c r="L98" i="78"/>
  <c r="L131" i="78"/>
  <c r="L55" i="78"/>
  <c r="L101" i="78"/>
  <c r="L130" i="78"/>
  <c r="L56" i="78"/>
  <c r="L102" i="78"/>
  <c r="L57" i="78"/>
  <c r="L103" i="78"/>
  <c r="L63" i="78"/>
  <c r="L104" i="78"/>
  <c r="Q104" i="78" s="1"/>
  <c r="L59" i="118"/>
  <c r="T59" i="118" s="1"/>
  <c r="L112" i="118"/>
  <c r="T112" i="118" s="1"/>
  <c r="L106" i="118"/>
  <c r="T106" i="118" s="1"/>
  <c r="L107" i="118"/>
  <c r="T107" i="118" s="1"/>
  <c r="L123" i="118"/>
  <c r="T123" i="118" s="1"/>
  <c r="L116" i="118"/>
  <c r="T116" i="118" s="1"/>
  <c r="L29" i="118"/>
  <c r="T29" i="118" s="1"/>
  <c r="L14" i="118"/>
  <c r="T14" i="118" s="1"/>
  <c r="L82" i="118"/>
  <c r="T82" i="118" s="1"/>
  <c r="L60" i="118"/>
  <c r="T60" i="118" s="1"/>
  <c r="L71" i="118"/>
  <c r="T71" i="118" s="1"/>
  <c r="L87" i="118"/>
  <c r="T87" i="118" s="1"/>
  <c r="L103" i="118"/>
  <c r="T103" i="118" s="1"/>
  <c r="L64" i="118"/>
  <c r="T64" i="118" s="1"/>
  <c r="L80" i="118"/>
  <c r="T80" i="118" s="1"/>
  <c r="L36" i="118"/>
  <c r="T36" i="118" s="1"/>
  <c r="L47" i="118"/>
  <c r="T47" i="118" s="1"/>
  <c r="L121" i="118"/>
  <c r="T121" i="118" s="1"/>
  <c r="L53" i="118"/>
  <c r="T53" i="118" s="1"/>
  <c r="L18" i="118"/>
  <c r="T18" i="118" s="1"/>
  <c r="L19" i="118"/>
  <c r="T19" i="118" s="1"/>
  <c r="L35" i="118"/>
  <c r="T35" i="118" s="1"/>
  <c r="L51" i="118"/>
  <c r="T51" i="118" s="1"/>
  <c r="L97" i="118"/>
  <c r="T97" i="118" s="1"/>
  <c r="L91" i="118"/>
  <c r="T91" i="118" s="1"/>
  <c r="L84" i="118"/>
  <c r="T84" i="118" s="1"/>
  <c r="L100" i="118"/>
  <c r="T100" i="118" s="1"/>
  <c r="L110" i="118"/>
  <c r="T110" i="118" s="1"/>
  <c r="L126" i="118"/>
  <c r="T126" i="118" s="1"/>
  <c r="L15" i="118"/>
  <c r="T15" i="118" s="1"/>
  <c r="L67" i="118"/>
  <c r="T67" i="118" s="1"/>
  <c r="L54" i="118"/>
  <c r="T54" i="118" s="1"/>
  <c r="L16" i="118"/>
  <c r="T16" i="118" s="1"/>
  <c r="L32" i="118"/>
  <c r="T32" i="118" s="1"/>
  <c r="L48" i="118"/>
  <c r="T48" i="118" s="1"/>
  <c r="L49" i="118"/>
  <c r="T49" i="118" s="1"/>
  <c r="L65" i="118"/>
  <c r="T65" i="118" s="1"/>
  <c r="L30" i="118"/>
  <c r="T30" i="118" s="1"/>
  <c r="L120" i="118"/>
  <c r="T120" i="118" s="1"/>
  <c r="L114" i="118"/>
  <c r="T114" i="118" s="1"/>
  <c r="L131" i="118"/>
  <c r="T131" i="118" s="1"/>
  <c r="L125" i="118"/>
  <c r="T125" i="118" s="1"/>
  <c r="L69" i="118"/>
  <c r="T69" i="118" s="1"/>
  <c r="L12" i="118"/>
  <c r="T12" i="118" s="1"/>
  <c r="L28" i="118"/>
  <c r="T28" i="118" s="1"/>
  <c r="L90" i="118"/>
  <c r="T90" i="118" s="1"/>
  <c r="L68" i="118"/>
  <c r="T68" i="118" s="1"/>
  <c r="L78" i="118"/>
  <c r="T78" i="118" s="1"/>
  <c r="L94" i="118"/>
  <c r="T94" i="118" s="1"/>
  <c r="L111" i="118"/>
  <c r="T111" i="118" s="1"/>
  <c r="L127" i="118"/>
  <c r="T127" i="118" s="1"/>
  <c r="L85" i="118"/>
  <c r="T85" i="118" s="1"/>
  <c r="L44" i="118"/>
  <c r="T44" i="118" s="1"/>
  <c r="L55" i="118"/>
  <c r="T55" i="118" s="1"/>
  <c r="L61" i="118"/>
  <c r="T61" i="118" s="1"/>
  <c r="L17" i="118"/>
  <c r="T17" i="118" s="1"/>
  <c r="L33" i="118"/>
  <c r="T33" i="118" s="1"/>
  <c r="L42" i="118"/>
  <c r="T42" i="118" s="1"/>
  <c r="L58" i="118"/>
  <c r="T58" i="118" s="1"/>
  <c r="L96" i="118"/>
  <c r="T96" i="118" s="1"/>
  <c r="L31" i="118"/>
  <c r="T31" i="118" s="1"/>
  <c r="L105" i="118"/>
  <c r="T105" i="118" s="1"/>
  <c r="L99" i="118"/>
  <c r="T99" i="118" s="1"/>
  <c r="L115" i="118"/>
  <c r="T115" i="118" s="1"/>
  <c r="L130" i="118"/>
  <c r="T130" i="118" s="1"/>
  <c r="L124" i="118"/>
  <c r="T124" i="118" s="1"/>
  <c r="L93" i="118"/>
  <c r="T93" i="118" s="1"/>
  <c r="L22" i="118"/>
  <c r="T22" i="118" s="1"/>
  <c r="L75" i="118"/>
  <c r="T75" i="118" s="1"/>
  <c r="L62" i="118"/>
  <c r="T62" i="118" s="1"/>
  <c r="L79" i="118"/>
  <c r="T79" i="118" s="1"/>
  <c r="L95" i="118"/>
  <c r="T95" i="118" s="1"/>
  <c r="L56" i="118"/>
  <c r="T56" i="118" s="1"/>
  <c r="L72" i="118"/>
  <c r="T72" i="118" s="1"/>
  <c r="L88" i="118"/>
  <c r="T88" i="118" s="1"/>
  <c r="L81" i="118"/>
  <c r="T81" i="118" s="1"/>
  <c r="L38" i="118"/>
  <c r="T38" i="118" s="1"/>
  <c r="L128" i="118"/>
  <c r="T128" i="118" s="1"/>
  <c r="L129" i="118"/>
  <c r="T129" i="118" s="1"/>
  <c r="L109" i="118"/>
  <c r="T109" i="118" s="1"/>
  <c r="L26" i="118"/>
  <c r="T26" i="118" s="1"/>
  <c r="L27" i="118"/>
  <c r="T27" i="118" s="1"/>
  <c r="L43" i="118"/>
  <c r="T43" i="118" s="1"/>
  <c r="L104" i="118"/>
  <c r="T104" i="118" s="1"/>
  <c r="L98" i="118"/>
  <c r="T98" i="118" s="1"/>
  <c r="L76" i="118"/>
  <c r="T76" i="118" s="1"/>
  <c r="L92" i="118"/>
  <c r="T92" i="118" s="1"/>
  <c r="L108" i="118"/>
  <c r="T108" i="118" s="1"/>
  <c r="L118" i="118"/>
  <c r="T118" i="118" s="1"/>
  <c r="L45" i="118"/>
  <c r="T45" i="118" s="1"/>
  <c r="L23" i="118"/>
  <c r="T23" i="118" s="1"/>
  <c r="L52" i="118"/>
  <c r="T52" i="118" s="1"/>
  <c r="L63" i="118"/>
  <c r="T63" i="118" s="1"/>
  <c r="L24" i="118"/>
  <c r="T24" i="118" s="1"/>
  <c r="L40" i="118"/>
  <c r="T40" i="118" s="1"/>
  <c r="L41" i="118"/>
  <c r="T41" i="118" s="1"/>
  <c r="L57" i="118"/>
  <c r="T57" i="118" s="1"/>
  <c r="L73" i="118"/>
  <c r="T73" i="118" s="1"/>
  <c r="L74" i="118"/>
  <c r="T74" i="118" s="1"/>
  <c r="L39" i="118"/>
  <c r="T39" i="118" s="1"/>
  <c r="L113" i="118"/>
  <c r="T113" i="118" s="1"/>
  <c r="L122" i="118"/>
  <c r="T122" i="118" s="1"/>
  <c r="L77" i="118"/>
  <c r="T77" i="118" s="1"/>
  <c r="L13" i="118"/>
  <c r="T13" i="118" s="1"/>
  <c r="L117" i="118"/>
  <c r="T117" i="118" s="1"/>
  <c r="L20" i="118"/>
  <c r="T20" i="118" s="1"/>
  <c r="L89" i="118"/>
  <c r="T89" i="118" s="1"/>
  <c r="L83" i="118"/>
  <c r="T83" i="118" s="1"/>
  <c r="L70" i="118"/>
  <c r="T70" i="118" s="1"/>
  <c r="L86" i="118"/>
  <c r="T86" i="118" s="1"/>
  <c r="L102" i="118"/>
  <c r="T102" i="118" s="1"/>
  <c r="L119" i="118"/>
  <c r="T119" i="118" s="1"/>
  <c r="L37" i="118"/>
  <c r="T37" i="118" s="1"/>
  <c r="L46" i="118"/>
  <c r="T46" i="118" s="1"/>
  <c r="L21" i="118"/>
  <c r="T21" i="118" s="1"/>
  <c r="L101" i="118"/>
  <c r="T101" i="118" s="1"/>
  <c r="L25" i="118"/>
  <c r="T25" i="118" s="1"/>
  <c r="L34" i="118"/>
  <c r="T34" i="118" s="1"/>
  <c r="L50" i="118"/>
  <c r="T50" i="118" s="1"/>
  <c r="L66" i="118"/>
  <c r="T66" i="118" s="1"/>
  <c r="L11" i="118"/>
  <c r="T11" i="118" s="1"/>
  <c r="F49" i="67"/>
  <c r="K5" i="118" a="1"/>
  <c r="K5" i="118" s="1"/>
  <c r="K4" i="118"/>
  <c r="AA85" i="118"/>
  <c r="AI85" i="118" s="1"/>
  <c r="AA116" i="118"/>
  <c r="AI116" i="118" s="1"/>
  <c r="AA55" i="118"/>
  <c r="AI55" i="118" s="1"/>
  <c r="AA42" i="118"/>
  <c r="AI42" i="118" s="1"/>
  <c r="AA72" i="118"/>
  <c r="AI72" i="118" s="1"/>
  <c r="AA81" i="118"/>
  <c r="AI81" i="118" s="1"/>
  <c r="AA127" i="118"/>
  <c r="AI127" i="118" s="1"/>
  <c r="AA114" i="118"/>
  <c r="AI114" i="118" s="1"/>
  <c r="AA124" i="118"/>
  <c r="AI124" i="118" s="1"/>
  <c r="AA117" i="118"/>
  <c r="AI117" i="118" s="1"/>
  <c r="AA131" i="118"/>
  <c r="AI131" i="118" s="1"/>
  <c r="AA44" i="118"/>
  <c r="AI44" i="118" s="1"/>
  <c r="AA22" i="118"/>
  <c r="AI22" i="118" s="1"/>
  <c r="AA38" i="118"/>
  <c r="AI38" i="118" s="1"/>
  <c r="AA97" i="118"/>
  <c r="AI97" i="118" s="1"/>
  <c r="AA69" i="118"/>
  <c r="AI69" i="118" s="1"/>
  <c r="AA130" i="118"/>
  <c r="AI130" i="118" s="1"/>
  <c r="AA47" i="118"/>
  <c r="AI47" i="118" s="1"/>
  <c r="AA54" i="118"/>
  <c r="AI54" i="118" s="1"/>
  <c r="AA64" i="118"/>
  <c r="AI64" i="118" s="1"/>
  <c r="AA80" i="118"/>
  <c r="AI80" i="118" s="1"/>
  <c r="AA82" i="118"/>
  <c r="AI82" i="118" s="1"/>
  <c r="AA28" i="118"/>
  <c r="AI28" i="118" s="1"/>
  <c r="AA94" i="118"/>
  <c r="AI94" i="118" s="1"/>
  <c r="AA60" i="118"/>
  <c r="AI60" i="118" s="1"/>
  <c r="AA40" i="118"/>
  <c r="AI40" i="118" s="1"/>
  <c r="AA27" i="118"/>
  <c r="AI27" i="118" s="1"/>
  <c r="AA65" i="118"/>
  <c r="AI65" i="118" s="1"/>
  <c r="AA74" i="118"/>
  <c r="AI74" i="118" s="1"/>
  <c r="AA112" i="118"/>
  <c r="AI112" i="118" s="1"/>
  <c r="AA99" i="118"/>
  <c r="AI99" i="118" s="1"/>
  <c r="AA36" i="118"/>
  <c r="AI36" i="118" s="1"/>
  <c r="AA125" i="118"/>
  <c r="AI125" i="118" s="1"/>
  <c r="AA109" i="118"/>
  <c r="AI109" i="118" s="1"/>
  <c r="AA70" i="118"/>
  <c r="AI70" i="118" s="1"/>
  <c r="AA100" i="118"/>
  <c r="AI100" i="118" s="1"/>
  <c r="AA59" i="118"/>
  <c r="AI59" i="118" s="1"/>
  <c r="AA90" i="118"/>
  <c r="AI90" i="118" s="1"/>
  <c r="AA15" i="118"/>
  <c r="AI15" i="118" s="1"/>
  <c r="AA115" i="118"/>
  <c r="AI115" i="118" s="1"/>
  <c r="AA32" i="118"/>
  <c r="AI32" i="118" s="1"/>
  <c r="AA63" i="118"/>
  <c r="AI63" i="118" s="1"/>
  <c r="AA57" i="118"/>
  <c r="AI57" i="118" s="1"/>
  <c r="AA73" i="118"/>
  <c r="AI73" i="118" s="1"/>
  <c r="AA67" i="118"/>
  <c r="AI67" i="118" s="1"/>
  <c r="AA120" i="118"/>
  <c r="AI120" i="118" s="1"/>
  <c r="AA31" i="118"/>
  <c r="AI31" i="118" s="1"/>
  <c r="AA123" i="118"/>
  <c r="AI123" i="118" s="1"/>
  <c r="AA33" i="118"/>
  <c r="AI33" i="118" s="1"/>
  <c r="AA84" i="118"/>
  <c r="AI84" i="118" s="1"/>
  <c r="AA58" i="118"/>
  <c r="AI58" i="118" s="1"/>
  <c r="AA37" i="118"/>
  <c r="AI37" i="118" s="1"/>
  <c r="AA105" i="118"/>
  <c r="AI105" i="118" s="1"/>
  <c r="AA129" i="118"/>
  <c r="AI129" i="118" s="1"/>
  <c r="AA39" i="118"/>
  <c r="AI39" i="118" s="1"/>
  <c r="AA126" i="118"/>
  <c r="AI126" i="118" s="1"/>
  <c r="AA71" i="118"/>
  <c r="AI71" i="118" s="1"/>
  <c r="AA30" i="118"/>
  <c r="AI30" i="118" s="1"/>
  <c r="AA77" i="118"/>
  <c r="AI77" i="118" s="1"/>
  <c r="AA75" i="118"/>
  <c r="AI75" i="118" s="1"/>
  <c r="AA76" i="118"/>
  <c r="AI76" i="118" s="1"/>
  <c r="AA93" i="118"/>
  <c r="AI93" i="118" s="1"/>
  <c r="AA25" i="118"/>
  <c r="AI25" i="118" s="1"/>
  <c r="AA48" i="118"/>
  <c r="AI48" i="118" s="1"/>
  <c r="AA50" i="118"/>
  <c r="AI50" i="118" s="1"/>
  <c r="AA66" i="118"/>
  <c r="AI66" i="118" s="1"/>
  <c r="AA78" i="118"/>
  <c r="AI78" i="118" s="1"/>
  <c r="AA113" i="118"/>
  <c r="AI113" i="118" s="1"/>
  <c r="AA16" i="118"/>
  <c r="AI16" i="118" s="1"/>
  <c r="AA101" i="118"/>
  <c r="AI101" i="118" s="1"/>
  <c r="AA26" i="118"/>
  <c r="AI26" i="118" s="1"/>
  <c r="AA14" i="118"/>
  <c r="AI14" i="118" s="1"/>
  <c r="AA43" i="118"/>
  <c r="AI43" i="118" s="1"/>
  <c r="AA111" i="118"/>
  <c r="AI111" i="118" s="1"/>
  <c r="AA98" i="118"/>
  <c r="AI98" i="118" s="1"/>
  <c r="AA122" i="118"/>
  <c r="AI122" i="118" s="1"/>
  <c r="AA24" i="118"/>
  <c r="AI24" i="118" s="1"/>
  <c r="AA20" i="118"/>
  <c r="AI20" i="118" s="1"/>
  <c r="AA56" i="118"/>
  <c r="AI56" i="118" s="1"/>
  <c r="AA62" i="118"/>
  <c r="AI62" i="118" s="1"/>
  <c r="AA103" i="118"/>
  <c r="AI103" i="118" s="1"/>
  <c r="AA53" i="118"/>
  <c r="AI53" i="118" s="1"/>
  <c r="AA128" i="118"/>
  <c r="AI128" i="118" s="1"/>
  <c r="AA102" i="118"/>
  <c r="AI102" i="118" s="1"/>
  <c r="AA18" i="118"/>
  <c r="AI18" i="118" s="1"/>
  <c r="AA41" i="118"/>
  <c r="AI41" i="118" s="1"/>
  <c r="AA35" i="118"/>
  <c r="AI35" i="118" s="1"/>
  <c r="AA51" i="118"/>
  <c r="AI51" i="118" s="1"/>
  <c r="AA119" i="118"/>
  <c r="AI119" i="118" s="1"/>
  <c r="AA106" i="118"/>
  <c r="AI106" i="118" s="1"/>
  <c r="AA92" i="118"/>
  <c r="AI92" i="118" s="1"/>
  <c r="AA110" i="118"/>
  <c r="AI110" i="118" s="1"/>
  <c r="AA12" i="118"/>
  <c r="AI12" i="118" s="1"/>
  <c r="AA46" i="118"/>
  <c r="AI46" i="118" s="1"/>
  <c r="AA21" i="118"/>
  <c r="AI21" i="118" s="1"/>
  <c r="AA96" i="118"/>
  <c r="AI96" i="118" s="1"/>
  <c r="AA83" i="118"/>
  <c r="AI83" i="118" s="1"/>
  <c r="AA107" i="118"/>
  <c r="AI107" i="118" s="1"/>
  <c r="AA17" i="118"/>
  <c r="AI17" i="118" s="1"/>
  <c r="AA45" i="118"/>
  <c r="AI45" i="118" s="1"/>
  <c r="AA49" i="118"/>
  <c r="AI49" i="118" s="1"/>
  <c r="AA87" i="118"/>
  <c r="AI87" i="118" s="1"/>
  <c r="AA88" i="118"/>
  <c r="AI88" i="118" s="1"/>
  <c r="AA86" i="118"/>
  <c r="AI86" i="118" s="1"/>
  <c r="AA121" i="118"/>
  <c r="AI121" i="118" s="1"/>
  <c r="AA11" i="118"/>
  <c r="AI11" i="118" s="1"/>
  <c r="AA23" i="118"/>
  <c r="AI23" i="118" s="1"/>
  <c r="AA118" i="118"/>
  <c r="AI118" i="118" s="1"/>
  <c r="AA108" i="118"/>
  <c r="AI108" i="118" s="1"/>
  <c r="AA34" i="118"/>
  <c r="AI34" i="118" s="1"/>
  <c r="AA13" i="118"/>
  <c r="AI13" i="118" s="1"/>
  <c r="AA29" i="118"/>
  <c r="AI29" i="118" s="1"/>
  <c r="AA104" i="118"/>
  <c r="AI104" i="118" s="1"/>
  <c r="AA91" i="118"/>
  <c r="AI91" i="118" s="1"/>
  <c r="AA68" i="118"/>
  <c r="AI68" i="118" s="1"/>
  <c r="AA19" i="118"/>
  <c r="AI19" i="118" s="1"/>
  <c r="AA52" i="118"/>
  <c r="AI52" i="118" s="1"/>
  <c r="AA79" i="118"/>
  <c r="AI79" i="118" s="1"/>
  <c r="AA95" i="118"/>
  <c r="AI95" i="118" s="1"/>
  <c r="AA89" i="118"/>
  <c r="AI89" i="118" s="1"/>
  <c r="AA61" i="118"/>
  <c r="AI61" i="118" s="1"/>
  <c r="AC71" i="75" l="1"/>
  <c r="AC106" i="78"/>
  <c r="AC74" i="78"/>
  <c r="AC39" i="75"/>
  <c r="Q128" i="78"/>
  <c r="AC130" i="78"/>
  <c r="AC13" i="78"/>
  <c r="Q94" i="78"/>
  <c r="AC116" i="75"/>
  <c r="AC98" i="75"/>
  <c r="AC114" i="78"/>
  <c r="Q85" i="78"/>
  <c r="AC63" i="75"/>
  <c r="AC89" i="78"/>
  <c r="Q66" i="78"/>
  <c r="AC120" i="75"/>
  <c r="AC88" i="75"/>
  <c r="Q103" i="78"/>
  <c r="AC97" i="78"/>
  <c r="AC101" i="78"/>
  <c r="AC126" i="75"/>
  <c r="AC124" i="75"/>
  <c r="AC119" i="78"/>
  <c r="Q109" i="78"/>
  <c r="AC68" i="78"/>
  <c r="Q121" i="78"/>
  <c r="Q108" i="78"/>
  <c r="AC94" i="75"/>
  <c r="Q130" i="78"/>
  <c r="Q88" i="78"/>
  <c r="Q107" i="78"/>
  <c r="AC60" i="75"/>
  <c r="AC42" i="75"/>
  <c r="AC131" i="75"/>
  <c r="AC72" i="78"/>
  <c r="Q68" i="78"/>
  <c r="AC23" i="78"/>
  <c r="Q55" i="78"/>
  <c r="Q120" i="78"/>
  <c r="Q83" i="78"/>
  <c r="AC86" i="78"/>
  <c r="AC104" i="78"/>
  <c r="AC82" i="75"/>
  <c r="AC31" i="75"/>
  <c r="AC22" i="75"/>
  <c r="AC91" i="78"/>
  <c r="AC27" i="78"/>
  <c r="AC59" i="75"/>
  <c r="AC36" i="75"/>
  <c r="AC12" i="78"/>
  <c r="AC86" i="75"/>
  <c r="AC54" i="75"/>
  <c r="AC108" i="75"/>
  <c r="Q71" i="78"/>
  <c r="AC53" i="75"/>
  <c r="AC19" i="75"/>
  <c r="AC75" i="75"/>
  <c r="AC65" i="75"/>
  <c r="AC84" i="75"/>
  <c r="AC87" i="78"/>
  <c r="AC40" i="75"/>
  <c r="AC103" i="78"/>
  <c r="AC27" i="75"/>
  <c r="AC102" i="75"/>
  <c r="AC49" i="78"/>
  <c r="AC110" i="75"/>
  <c r="AC88" i="78"/>
  <c r="Q92" i="78"/>
  <c r="AC105" i="78"/>
  <c r="AC126" i="78"/>
  <c r="AC103" i="75"/>
  <c r="AC87" i="75"/>
  <c r="AC70" i="78"/>
  <c r="AC90" i="78"/>
  <c r="AC55" i="75"/>
  <c r="AC21" i="75"/>
  <c r="AC82" i="78"/>
  <c r="AC79" i="78"/>
  <c r="AC58" i="78"/>
  <c r="AC93" i="75"/>
  <c r="AC112" i="75"/>
  <c r="AC47" i="78"/>
  <c r="Q57" i="78"/>
  <c r="AC74" i="75"/>
  <c r="AC16" i="75"/>
  <c r="AC109" i="75"/>
  <c r="AC79" i="75"/>
  <c r="AC66" i="75"/>
  <c r="AC34" i="75"/>
  <c r="V4" i="75"/>
  <c r="AC73" i="78"/>
  <c r="AC78" i="78"/>
  <c r="AC106" i="75"/>
  <c r="V5" i="75" a="1"/>
  <c r="V5" i="75" s="1"/>
  <c r="AC55" i="78"/>
  <c r="AC52" i="78"/>
  <c r="AC80" i="78"/>
  <c r="AC56" i="78"/>
  <c r="AC51" i="75"/>
  <c r="AC124" i="78"/>
  <c r="AC77" i="78"/>
  <c r="AC24" i="78"/>
  <c r="AC115" i="78"/>
  <c r="AC38" i="78"/>
  <c r="AC45" i="78"/>
  <c r="AC111" i="75"/>
  <c r="AC50" i="78"/>
  <c r="AC42" i="78"/>
  <c r="AC81" i="75"/>
  <c r="AC121" i="78"/>
  <c r="AC68" i="75"/>
  <c r="AC93" i="78"/>
  <c r="AC54" i="78"/>
  <c r="AC32" i="78"/>
  <c r="AC117" i="78"/>
  <c r="AC16" i="78"/>
  <c r="AC92" i="78"/>
  <c r="AC125" i="78"/>
  <c r="AC109" i="78"/>
  <c r="AC53" i="78"/>
  <c r="AC17" i="78"/>
  <c r="AC75" i="78"/>
  <c r="AC59" i="78"/>
  <c r="AC14" i="78"/>
  <c r="Q86" i="78"/>
  <c r="Q14" i="78"/>
  <c r="AC102" i="78"/>
  <c r="AC60" i="78"/>
  <c r="Q117" i="78"/>
  <c r="Q29" i="78"/>
  <c r="AC15" i="78"/>
  <c r="AC28" i="78"/>
  <c r="AC98" i="78"/>
  <c r="Q25" i="78"/>
  <c r="AC41" i="78"/>
  <c r="Q39" i="78"/>
  <c r="Q23" i="78"/>
  <c r="Q111" i="78"/>
  <c r="Q36" i="78"/>
  <c r="AC40" i="78"/>
  <c r="Q81" i="78"/>
  <c r="Q87" i="78"/>
  <c r="Q11" i="78"/>
  <c r="AC35" i="78"/>
  <c r="Q126" i="78"/>
  <c r="Q110" i="78"/>
  <c r="AC69" i="78"/>
  <c r="Q64" i="78"/>
  <c r="AC112" i="78"/>
  <c r="Q21" i="78"/>
  <c r="Q19" i="78"/>
  <c r="AC22" i="78"/>
  <c r="AC29" i="78"/>
  <c r="AC67" i="78"/>
  <c r="AC44" i="78"/>
  <c r="Q124" i="78"/>
  <c r="AC110" i="78"/>
  <c r="AC36" i="78"/>
  <c r="AC64" i="78"/>
  <c r="Q116" i="78"/>
  <c r="AC39" i="78"/>
  <c r="AC30" i="78"/>
  <c r="Q101" i="78"/>
  <c r="Q70" i="78"/>
  <c r="Q84" i="78"/>
  <c r="Q27" i="78"/>
  <c r="AC122" i="78"/>
  <c r="Q112" i="78"/>
  <c r="AC76" i="78"/>
  <c r="Q125" i="78"/>
  <c r="AC81" i="78"/>
  <c r="AC128" i="78"/>
  <c r="Q95" i="78"/>
  <c r="AC33" i="78"/>
  <c r="AC84" i="78"/>
  <c r="Q129" i="78"/>
  <c r="AC118" i="78"/>
  <c r="Q12" i="78"/>
  <c r="Q98" i="78"/>
  <c r="AC61" i="78"/>
  <c r="AC85" i="78"/>
  <c r="Q47" i="78"/>
  <c r="Q99" i="78"/>
  <c r="Q13" i="78"/>
  <c r="Q41" i="78"/>
  <c r="AC96" i="78"/>
  <c r="Q100" i="78"/>
  <c r="AC131" i="78"/>
  <c r="AC43" i="78"/>
  <c r="Q51" i="78"/>
  <c r="Q30" i="78"/>
  <c r="AC83" i="78"/>
  <c r="Q59" i="78"/>
  <c r="Q17" i="78"/>
  <c r="AC123" i="78"/>
  <c r="Q22" i="78"/>
  <c r="AC34" i="78"/>
  <c r="AC63" i="78"/>
  <c r="AC100" i="78"/>
  <c r="AC26" i="78"/>
  <c r="Q90" i="78"/>
  <c r="AC129" i="78"/>
  <c r="AC65" i="78"/>
  <c r="V4" i="78"/>
  <c r="AC120" i="78"/>
  <c r="AC108" i="78"/>
  <c r="Q122" i="78"/>
  <c r="AC57" i="78"/>
  <c r="AC127" i="78"/>
  <c r="Q102" i="78"/>
  <c r="AC71" i="78"/>
  <c r="AC94" i="78"/>
  <c r="AC62" i="78"/>
  <c r="AC11" i="78"/>
  <c r="AC25" i="78"/>
  <c r="AC113" i="78"/>
  <c r="AC21" i="78"/>
  <c r="AC111" i="78"/>
  <c r="AC46" i="78"/>
  <c r="AC95" i="78"/>
  <c r="AC20" i="78"/>
  <c r="AC48" i="78"/>
  <c r="AC116" i="78"/>
  <c r="AC19" i="78"/>
  <c r="V5" i="78" a="1"/>
  <c r="V5" i="78" s="1"/>
  <c r="AC18" i="78"/>
  <c r="AC31" i="78"/>
  <c r="AC99" i="78"/>
  <c r="AC37" i="78"/>
  <c r="Q48" i="78"/>
  <c r="Q114" i="78"/>
  <c r="Q37" i="78"/>
  <c r="Q123" i="78"/>
  <c r="Q50" i="78"/>
  <c r="Q89" i="78"/>
  <c r="Q72" i="78"/>
  <c r="Q106" i="78"/>
  <c r="Q97" i="78"/>
  <c r="Q78" i="78"/>
  <c r="Q67" i="78"/>
  <c r="Q75" i="78"/>
  <c r="Q52" i="78"/>
  <c r="Q119" i="78"/>
  <c r="Q38" i="78"/>
  <c r="Q127" i="78"/>
  <c r="Q91" i="78"/>
  <c r="Q93" i="78"/>
  <c r="Q65" i="78"/>
  <c r="Q80" i="78"/>
  <c r="Q45" i="78"/>
  <c r="Q105" i="78"/>
  <c r="Q69" i="78"/>
  <c r="Q82" i="78"/>
  <c r="Q16" i="78"/>
  <c r="Q113" i="78"/>
  <c r="Q131" i="78"/>
  <c r="Q31" i="78"/>
  <c r="Q43" i="78"/>
  <c r="Q118" i="78"/>
  <c r="Q96" i="78"/>
  <c r="J4" i="78"/>
  <c r="Q18" i="78"/>
  <c r="Q28" i="78"/>
  <c r="Q33" i="78"/>
  <c r="Q115" i="78"/>
  <c r="Q74" i="78"/>
  <c r="Q61" i="78"/>
  <c r="Q42" i="78"/>
  <c r="Q63" i="78"/>
  <c r="Q40" i="78"/>
  <c r="Q20" i="78"/>
  <c r="Q60" i="78"/>
  <c r="Q46" i="78"/>
  <c r="Q35" i="78"/>
  <c r="J5" i="78" a="1"/>
  <c r="J5" i="78" s="1"/>
  <c r="Q15" i="78"/>
  <c r="Q77" i="78"/>
  <c r="Q79" i="78"/>
  <c r="Q58" i="78"/>
  <c r="Q73" i="78"/>
  <c r="Q26" i="78"/>
  <c r="Q53" i="78"/>
  <c r="Q32" i="78"/>
  <c r="Q34" i="78"/>
  <c r="Q24" i="78"/>
  <c r="Q76" i="78"/>
  <c r="Q56" i="78"/>
  <c r="Q44" i="78"/>
  <c r="Q62" i="78"/>
  <c r="Q49" i="78"/>
  <c r="J18" i="67"/>
  <c r="H49" i="67" s="1"/>
  <c r="O1128" i="79" a="1"/>
  <c r="O1128" i="79" s="1"/>
  <c r="M1128" i="79" s="1"/>
  <c r="Y36" i="65" s="1" a="1"/>
  <c r="Y36" i="65" s="1"/>
  <c r="J33" i="67" s="1"/>
  <c r="F21" i="65"/>
  <c r="H21" i="65" s="1" a="1"/>
  <c r="H21" i="65" s="1"/>
  <c r="Q21" i="65" s="1" a="1"/>
  <c r="Q21" i="65" s="1"/>
  <c r="F22" i="65"/>
  <c r="G22" i="65" s="1" a="1"/>
  <c r="G22" i="65" s="1"/>
  <c r="AD16" i="34" a="1"/>
  <c r="AD16" i="34" s="1"/>
  <c r="Z12" i="112"/>
  <c r="AI12" i="110"/>
  <c r="AJ12" i="110"/>
  <c r="V12" i="111"/>
  <c r="AL12" i="110"/>
  <c r="U12" i="112"/>
  <c r="U12" i="111"/>
  <c r="Y13" i="110" a="1"/>
  <c r="AE13" i="110" s="1"/>
  <c r="AH12" i="110"/>
  <c r="S12" i="111"/>
  <c r="AK12" i="110"/>
  <c r="S12" i="110"/>
  <c r="W12" i="112"/>
  <c r="N12" i="111"/>
  <c r="X12" i="111"/>
  <c r="G12" i="112"/>
  <c r="T12" i="112"/>
  <c r="O12" i="112"/>
  <c r="Y12" i="111"/>
  <c r="L12" i="112"/>
  <c r="U12" i="110"/>
  <c r="I12" i="111"/>
  <c r="I12" i="112"/>
  <c r="T12" i="110"/>
  <c r="K12" i="112"/>
  <c r="W13" i="110"/>
  <c r="V12" i="110"/>
  <c r="R12" i="110"/>
  <c r="I13" i="110" a="1"/>
  <c r="M13" i="110" s="1"/>
  <c r="M12" i="111"/>
  <c r="M12" i="112"/>
  <c r="J12" i="112"/>
  <c r="T4" i="118"/>
  <c r="T5" i="118" a="1"/>
  <c r="T5" i="118" s="1"/>
  <c r="Y15" i="65" s="1"/>
  <c r="F12" i="67" s="1"/>
  <c r="AI4" i="118"/>
  <c r="AI5" i="118" a="1"/>
  <c r="AI5" i="118" s="1"/>
  <c r="Y16" i="65" s="1"/>
  <c r="G12" i="67" s="1"/>
  <c r="Q5" i="75" a="1"/>
  <c r="Q5" i="75" s="1"/>
  <c r="Y9" i="65" s="1"/>
  <c r="F6" i="67" s="1"/>
  <c r="Q4" i="75"/>
  <c r="X4" i="78"/>
  <c r="X5" i="78" a="1"/>
  <c r="X5" i="78" s="1"/>
  <c r="L4" i="75"/>
  <c r="L5" i="75" a="1"/>
  <c r="L5" i="75" s="1"/>
  <c r="L4" i="78"/>
  <c r="L5" i="78" a="1"/>
  <c r="L5" i="78" s="1"/>
  <c r="AA5" i="118" a="1"/>
  <c r="AA5" i="118" s="1"/>
  <c r="AA4" i="118"/>
  <c r="L4" i="118"/>
  <c r="L5" i="118" a="1"/>
  <c r="L5" i="118" s="1"/>
  <c r="X4" i="75"/>
  <c r="X5" i="75" a="1"/>
  <c r="X5" i="75" s="1"/>
  <c r="AC4" i="75" l="1"/>
  <c r="AC5" i="75" a="1"/>
  <c r="AC5" i="75" s="1"/>
  <c r="Y10" i="65" s="1"/>
  <c r="G6" i="67" s="1"/>
  <c r="G45" i="67" s="1"/>
  <c r="AC4" i="78"/>
  <c r="AC5" i="78" a="1"/>
  <c r="AC5" i="78" s="1"/>
  <c r="Y13" i="65" s="1"/>
  <c r="G9" i="67" s="1"/>
  <c r="G46" i="67" s="1"/>
  <c r="G21" i="65" a="1"/>
  <c r="G21" i="65" s="1"/>
  <c r="H22" i="65" a="1"/>
  <c r="H22" i="65" s="1"/>
  <c r="Q22" i="65" s="1" a="1"/>
  <c r="Q22" i="65" s="1"/>
  <c r="Q4" i="78"/>
  <c r="I21" i="65" a="1"/>
  <c r="I21" i="65" s="1"/>
  <c r="J21" i="65" s="1"/>
  <c r="Q5" i="78" a="1"/>
  <c r="Q5" i="78" s="1"/>
  <c r="Y12" i="65" s="1"/>
  <c r="F9" i="67" s="1"/>
  <c r="I22" i="65" a="1"/>
  <c r="I22" i="65" s="1"/>
  <c r="R22" i="65" s="1" a="1"/>
  <c r="R22" i="65" s="1"/>
  <c r="S22" i="65" s="1" a="1"/>
  <c r="S22" i="65" s="1"/>
  <c r="Y13" i="110"/>
  <c r="R13" i="111" s="1"/>
  <c r="AA12" i="111"/>
  <c r="AG13" i="110"/>
  <c r="Z13" i="111" s="1"/>
  <c r="AD13" i="110"/>
  <c r="W13" i="111" s="1"/>
  <c r="Z13" i="110"/>
  <c r="S13" i="112" s="1"/>
  <c r="AF13" i="110"/>
  <c r="Y13" i="111" s="1"/>
  <c r="AB13" i="110"/>
  <c r="AL13" i="110" s="1"/>
  <c r="AA12" i="112"/>
  <c r="AC13" i="110"/>
  <c r="V13" i="112" s="1"/>
  <c r="AA13" i="110"/>
  <c r="T13" i="112" s="1"/>
  <c r="BG16" i="34" a="1"/>
  <c r="BG16" i="34" s="1"/>
  <c r="R21" i="65" a="1"/>
  <c r="R21" i="65" s="1"/>
  <c r="U21" i="65" s="1"/>
  <c r="F36" i="65"/>
  <c r="G36" i="65" s="1" a="1"/>
  <c r="G36" i="65" s="1"/>
  <c r="M22" i="65"/>
  <c r="F37" i="65"/>
  <c r="G37" i="65" s="1" a="1"/>
  <c r="G37" i="65" s="1"/>
  <c r="K21" i="65"/>
  <c r="P12" i="111"/>
  <c r="P12" i="112"/>
  <c r="J13" i="110"/>
  <c r="H13" i="111" s="1"/>
  <c r="Q13" i="110"/>
  <c r="O13" i="111" s="1"/>
  <c r="K13" i="110"/>
  <c r="I13" i="112" s="1"/>
  <c r="I13" i="110"/>
  <c r="G13" i="112" s="1"/>
  <c r="O13" i="110"/>
  <c r="M13" i="111" s="1"/>
  <c r="P13" i="110"/>
  <c r="N13" i="111" s="1"/>
  <c r="N13" i="110"/>
  <c r="L13" i="110"/>
  <c r="J13" i="111" s="1"/>
  <c r="K13" i="112"/>
  <c r="K13" i="111"/>
  <c r="X13" i="111"/>
  <c r="X13" i="112"/>
  <c r="E16" i="34" a="1"/>
  <c r="E16" i="34" s="1"/>
  <c r="R16" i="34" a="1"/>
  <c r="R16" i="34" s="1"/>
  <c r="G47" i="67"/>
  <c r="Q16" i="34" a="1"/>
  <c r="Q16" i="34" s="1"/>
  <c r="F16" i="65"/>
  <c r="F15" i="65"/>
  <c r="O1126" i="79" a="1"/>
  <c r="O1126" i="79" s="1"/>
  <c r="M1126" i="79" s="1"/>
  <c r="R13" i="112" l="1"/>
  <c r="AI13" i="110"/>
  <c r="O1124" i="79" a="1"/>
  <c r="O1124" i="79" s="1"/>
  <c r="M1124" i="79" s="1"/>
  <c r="Y24" i="65" s="1" a="1"/>
  <c r="Y24" i="65" s="1"/>
  <c r="F9" i="65"/>
  <c r="H9" i="65" s="1" a="1"/>
  <c r="H9" i="65" s="1"/>
  <c r="Q9" i="65" s="1" a="1"/>
  <c r="Q9" i="65" s="1"/>
  <c r="F10" i="65"/>
  <c r="F16" i="34" a="1"/>
  <c r="F16" i="34" s="1"/>
  <c r="L16" i="34" a="1"/>
  <c r="L16" i="34" s="1"/>
  <c r="S13" i="111"/>
  <c r="J22" i="65"/>
  <c r="T22" i="65" a="1"/>
  <c r="T22" i="65" s="1"/>
  <c r="U22" i="65"/>
  <c r="N22" i="65"/>
  <c r="K16" i="34" a="1"/>
  <c r="K16" i="34" s="1"/>
  <c r="O1125" i="79" a="1"/>
  <c r="O1125" i="79" s="1"/>
  <c r="M1125" i="79" s="1"/>
  <c r="Y27" i="65" s="1" a="1"/>
  <c r="Y27" i="65" s="1"/>
  <c r="J24" i="67" s="1"/>
  <c r="F12" i="65"/>
  <c r="G12" i="65" s="1" a="1"/>
  <c r="G12" i="65" s="1"/>
  <c r="F13" i="65"/>
  <c r="G13" i="65" s="1" a="1"/>
  <c r="G13" i="65" s="1"/>
  <c r="K22" i="65"/>
  <c r="Z13" i="112"/>
  <c r="Y13" i="112"/>
  <c r="S21" i="65" a="1"/>
  <c r="S21" i="65" s="1"/>
  <c r="W13" i="112"/>
  <c r="AK13" i="110"/>
  <c r="T21" i="65" a="1"/>
  <c r="T21" i="65" s="1"/>
  <c r="U13" i="111"/>
  <c r="U13" i="112"/>
  <c r="AM14" i="110"/>
  <c r="Y14" i="110" a="1"/>
  <c r="AC14" i="110" s="1"/>
  <c r="AJ13" i="110"/>
  <c r="AH13" i="110"/>
  <c r="V13" i="111"/>
  <c r="T13" i="111"/>
  <c r="O22" i="65"/>
  <c r="I36" i="65" a="1"/>
  <c r="I36" i="65" s="1"/>
  <c r="R36" i="65" s="1" a="1"/>
  <c r="R36" i="65" s="1"/>
  <c r="H36" i="65" a="1"/>
  <c r="H36" i="65" s="1"/>
  <c r="Q36" i="65" s="1" a="1"/>
  <c r="Q36" i="65" s="1"/>
  <c r="H37" i="65" a="1"/>
  <c r="H37" i="65" s="1"/>
  <c r="Q37" i="65" s="1" a="1"/>
  <c r="Q37" i="65" s="1"/>
  <c r="I37" i="65" a="1"/>
  <c r="I37" i="65" s="1"/>
  <c r="R37" i="65" s="1" a="1"/>
  <c r="R37" i="65" s="1"/>
  <c r="T13" i="110"/>
  <c r="H13" i="112"/>
  <c r="O13" i="112"/>
  <c r="S13" i="110"/>
  <c r="I13" i="111"/>
  <c r="G13" i="111"/>
  <c r="N13" i="112"/>
  <c r="U13" i="110"/>
  <c r="M13" i="112"/>
  <c r="V13" i="110"/>
  <c r="W14" i="110"/>
  <c r="I14" i="110" a="1"/>
  <c r="N14" i="110" s="1"/>
  <c r="L13" i="112"/>
  <c r="R13" i="110"/>
  <c r="L13" i="111"/>
  <c r="J13" i="112"/>
  <c r="G15" i="65" a="1"/>
  <c r="G15" i="65" s="1"/>
  <c r="H15" i="65" a="1"/>
  <c r="H15" i="65" s="1"/>
  <c r="Q15" i="65" s="1" a="1"/>
  <c r="Q15" i="65" s="1"/>
  <c r="I15" i="65" a="1"/>
  <c r="I15" i="65" s="1"/>
  <c r="R15" i="65" s="1" a="1"/>
  <c r="R15" i="65" s="1"/>
  <c r="J6" i="67"/>
  <c r="H45" i="67" s="1"/>
  <c r="F45" i="67"/>
  <c r="I10" i="65" a="1"/>
  <c r="I10" i="65" s="1"/>
  <c r="H10" i="65" a="1"/>
  <c r="H10" i="65" s="1"/>
  <c r="G10" i="65" a="1"/>
  <c r="G10" i="65" s="1"/>
  <c r="Y30" i="65" a="1"/>
  <c r="Y30" i="65" s="1"/>
  <c r="J27" i="67" s="1"/>
  <c r="J9" i="67"/>
  <c r="H46" i="67" s="1"/>
  <c r="F46" i="67"/>
  <c r="J12" i="67"/>
  <c r="H47" i="67" s="1"/>
  <c r="F47" i="67"/>
  <c r="H16" i="65" a="1"/>
  <c r="H16" i="65" s="1"/>
  <c r="G16" i="65" a="1"/>
  <c r="G16" i="65" s="1"/>
  <c r="I16" i="65" a="1"/>
  <c r="I16" i="65" s="1"/>
  <c r="G9" i="65" l="1" a="1"/>
  <c r="G9" i="65" s="1"/>
  <c r="I12" i="65" a="1"/>
  <c r="I12" i="65" s="1"/>
  <c r="R12" i="65" s="1" a="1"/>
  <c r="R12" i="65" s="1"/>
  <c r="I9" i="65" a="1"/>
  <c r="I9" i="65" s="1"/>
  <c r="R9" i="65" s="1" a="1"/>
  <c r="R9" i="65" s="1"/>
  <c r="H13" i="65" a="1"/>
  <c r="H13" i="65" s="1"/>
  <c r="Q13" i="65" s="1" a="1"/>
  <c r="Q13" i="65" s="1"/>
  <c r="I13" i="65" a="1"/>
  <c r="I13" i="65" s="1"/>
  <c r="H12" i="65" a="1"/>
  <c r="H12" i="65" s="1"/>
  <c r="Q12" i="65" s="1" a="1"/>
  <c r="Q12" i="65" s="1"/>
  <c r="U15" i="65"/>
  <c r="AA13" i="112"/>
  <c r="J21" i="67"/>
  <c r="AA14" i="110"/>
  <c r="T14" i="111" s="1"/>
  <c r="K36" i="65"/>
  <c r="S36" i="65" a="1"/>
  <c r="S36" i="65" s="1"/>
  <c r="J37" i="65"/>
  <c r="M37" i="65"/>
  <c r="S15" i="65" a="1"/>
  <c r="S15" i="65" s="1"/>
  <c r="T15" i="65" a="1"/>
  <c r="T15" i="65" s="1"/>
  <c r="AA13" i="111"/>
  <c r="Z14" i="110"/>
  <c r="S14" i="111" s="1"/>
  <c r="AG14" i="110"/>
  <c r="Z14" i="111" s="1"/>
  <c r="AF14" i="110"/>
  <c r="Y14" i="111" s="1"/>
  <c r="AE14" i="110"/>
  <c r="X14" i="112" s="1"/>
  <c r="Y14" i="110"/>
  <c r="R14" i="112" s="1"/>
  <c r="AD14" i="110"/>
  <c r="W14" i="112" s="1"/>
  <c r="AB14" i="110"/>
  <c r="K37" i="65"/>
  <c r="N37" i="65"/>
  <c r="J36" i="65"/>
  <c r="T37" i="65" a="1"/>
  <c r="T37" i="65" s="1"/>
  <c r="U9" i="65"/>
  <c r="S37" i="65" a="1"/>
  <c r="S37" i="65" s="1"/>
  <c r="U37" i="65"/>
  <c r="U36" i="65"/>
  <c r="T36" i="65" a="1"/>
  <c r="T36" i="65" s="1"/>
  <c r="P13" i="111"/>
  <c r="I14" i="110"/>
  <c r="G14" i="111" s="1"/>
  <c r="M14" i="110"/>
  <c r="K14" i="111" s="1"/>
  <c r="P14" i="110"/>
  <c r="N14" i="112" s="1"/>
  <c r="J14" i="110"/>
  <c r="H14" i="111" s="1"/>
  <c r="Q14" i="110"/>
  <c r="O14" i="111" s="1"/>
  <c r="K14" i="110"/>
  <c r="I14" i="111" s="1"/>
  <c r="P13" i="112"/>
  <c r="O14" i="110"/>
  <c r="M14" i="112" s="1"/>
  <c r="L14" i="110"/>
  <c r="S9" i="65" a="1"/>
  <c r="S9" i="65" s="1"/>
  <c r="U12" i="65"/>
  <c r="T12" i="65" a="1"/>
  <c r="T12" i="65" s="1"/>
  <c r="T9" i="65" a="1"/>
  <c r="T9" i="65" s="1"/>
  <c r="S12" i="65" a="1"/>
  <c r="S12" i="65" s="1"/>
  <c r="M16" i="65"/>
  <c r="Q16" i="65" a="1"/>
  <c r="Q16" i="65" s="1"/>
  <c r="N16" i="65"/>
  <c r="J15" i="65"/>
  <c r="J13" i="65"/>
  <c r="J9" i="65"/>
  <c r="R16" i="65" a="1"/>
  <c r="R16" i="65" s="1"/>
  <c r="N10" i="65"/>
  <c r="K16" i="65"/>
  <c r="J12" i="65"/>
  <c r="L14" i="111"/>
  <c r="L14" i="112"/>
  <c r="J16" i="65"/>
  <c r="M10" i="65"/>
  <c r="J10" i="65"/>
  <c r="K9" i="65"/>
  <c r="Q10" i="65" a="1"/>
  <c r="Q10" i="65" s="1"/>
  <c r="R10" i="65" a="1"/>
  <c r="R10" i="65" s="1"/>
  <c r="F27" i="65"/>
  <c r="AO16" i="34" a="1"/>
  <c r="AO16" i="34" s="1"/>
  <c r="F28" i="65"/>
  <c r="AU16" i="34" a="1"/>
  <c r="AU16" i="34" s="1"/>
  <c r="F31" i="65"/>
  <c r="F30" i="65"/>
  <c r="T14" i="112"/>
  <c r="V14" i="112"/>
  <c r="V14" i="111"/>
  <c r="M13" i="65"/>
  <c r="K13" i="65"/>
  <c r="K15" i="65"/>
  <c r="AI16" i="34" a="1"/>
  <c r="AI16" i="34" s="1"/>
  <c r="F25" i="65"/>
  <c r="F24" i="65"/>
  <c r="N13" i="65"/>
  <c r="R13" i="65" a="1"/>
  <c r="R13" i="65" s="1"/>
  <c r="K12" i="65"/>
  <c r="K10" i="65"/>
  <c r="Z14" i="112" l="1"/>
  <c r="AI14" i="110"/>
  <c r="AJ14" i="110"/>
  <c r="S14" i="112"/>
  <c r="Y14" i="112"/>
  <c r="X14" i="111"/>
  <c r="O37" i="65"/>
  <c r="AK14" i="110"/>
  <c r="W14" i="111"/>
  <c r="R14" i="111"/>
  <c r="AH14" i="110"/>
  <c r="U14" i="111"/>
  <c r="U14" i="112"/>
  <c r="AL14" i="110"/>
  <c r="AM15" i="110"/>
  <c r="Y15" i="110" a="1"/>
  <c r="Z15" i="110" s="1"/>
  <c r="G14" i="112"/>
  <c r="W15" i="110"/>
  <c r="T14" i="110"/>
  <c r="N14" i="111"/>
  <c r="H14" i="112"/>
  <c r="U14" i="110"/>
  <c r="I14" i="112"/>
  <c r="K14" i="112"/>
  <c r="O14" i="112"/>
  <c r="S14" i="110"/>
  <c r="I15" i="110" a="1"/>
  <c r="Q15" i="110" s="1"/>
  <c r="O15" i="111" s="1"/>
  <c r="J14" i="112"/>
  <c r="J14" i="111"/>
  <c r="R14" i="110"/>
  <c r="V14" i="110"/>
  <c r="M14" i="111"/>
  <c r="S16" i="65" a="1"/>
  <c r="S16" i="65" s="1"/>
  <c r="O16" i="65"/>
  <c r="T16" i="65" a="1"/>
  <c r="T16" i="65" s="1"/>
  <c r="O13" i="65"/>
  <c r="O10" i="65"/>
  <c r="U10" i="65"/>
  <c r="U16" i="65"/>
  <c r="U13" i="65"/>
  <c r="S13" i="65" a="1"/>
  <c r="S13" i="65" s="1"/>
  <c r="T13" i="65" a="1"/>
  <c r="T13" i="65" s="1"/>
  <c r="I30" i="65" a="1"/>
  <c r="I30" i="65" s="1"/>
  <c r="R30" i="65" s="1" a="1"/>
  <c r="R30" i="65" s="1"/>
  <c r="H30" i="65" a="1"/>
  <c r="H30" i="65" s="1"/>
  <c r="Q30" i="65" a="1"/>
  <c r="Q30" i="65" s="1"/>
  <c r="G30" i="65" a="1"/>
  <c r="G30" i="65" s="1"/>
  <c r="G28" i="65" a="1"/>
  <c r="G28" i="65" s="1"/>
  <c r="I28" i="65" a="1"/>
  <c r="I28" i="65" s="1"/>
  <c r="R28" i="65" s="1" a="1"/>
  <c r="R28" i="65" s="1"/>
  <c r="H28" i="65" a="1"/>
  <c r="H28" i="65" s="1"/>
  <c r="Q28" i="65" s="1" a="1"/>
  <c r="Q28" i="65" s="1"/>
  <c r="H24" i="65" a="1"/>
  <c r="H24" i="65" s="1"/>
  <c r="Q24" i="65" s="1" a="1"/>
  <c r="Q24" i="65" s="1"/>
  <c r="G24" i="65" a="1"/>
  <c r="G24" i="65" s="1"/>
  <c r="I24" i="65" a="1"/>
  <c r="I24" i="65" s="1"/>
  <c r="R24" i="65" s="1" a="1"/>
  <c r="R24" i="65" s="1"/>
  <c r="I31" i="65" a="1"/>
  <c r="I31" i="65" s="1"/>
  <c r="R31" i="65" s="1" a="1"/>
  <c r="R31" i="65" s="1"/>
  <c r="H31" i="65" a="1"/>
  <c r="H31" i="65" s="1"/>
  <c r="G31" i="65" a="1"/>
  <c r="G31" i="65" s="1"/>
  <c r="H25" i="65" a="1"/>
  <c r="H25" i="65" s="1"/>
  <c r="G25" i="65" a="1"/>
  <c r="G25" i="65" s="1"/>
  <c r="I25" i="65" a="1"/>
  <c r="I25" i="65" s="1"/>
  <c r="I27" i="65" a="1"/>
  <c r="I27" i="65" s="1"/>
  <c r="R27" i="65" s="1" a="1"/>
  <c r="R27" i="65" s="1"/>
  <c r="G27" i="65" a="1"/>
  <c r="G27" i="65" s="1"/>
  <c r="H27" i="65" a="1"/>
  <c r="H27" i="65" s="1"/>
  <c r="Q27" i="65" s="1" a="1"/>
  <c r="Q27" i="65" s="1"/>
  <c r="S10" i="65" a="1"/>
  <c r="S10" i="65" s="1"/>
  <c r="T10" i="65" a="1"/>
  <c r="T10" i="65" s="1"/>
  <c r="AA14" i="112" l="1"/>
  <c r="AA14" i="111"/>
  <c r="AF15" i="110"/>
  <c r="Y15" i="112" s="1"/>
  <c r="AC15" i="110"/>
  <c r="AJ15" i="110" s="1"/>
  <c r="Y15" i="110"/>
  <c r="R15" i="111" s="1"/>
  <c r="AB15" i="110"/>
  <c r="U15" i="111" s="1"/>
  <c r="AE15" i="110"/>
  <c r="X15" i="112" s="1"/>
  <c r="AA15" i="110"/>
  <c r="T15" i="112" s="1"/>
  <c r="AD15" i="110"/>
  <c r="W15" i="112" s="1"/>
  <c r="AG15" i="110"/>
  <c r="Z15" i="111" s="1"/>
  <c r="S30" i="65" a="1"/>
  <c r="S30" i="65" s="1"/>
  <c r="T30" i="65" a="1"/>
  <c r="T30" i="65" s="1"/>
  <c r="U30" i="65"/>
  <c r="P14" i="112"/>
  <c r="P14" i="111"/>
  <c r="J15" i="110"/>
  <c r="N15" i="110"/>
  <c r="L15" i="112" s="1"/>
  <c r="P15" i="110"/>
  <c r="N15" i="112" s="1"/>
  <c r="M15" i="110"/>
  <c r="K15" i="111" s="1"/>
  <c r="I15" i="110"/>
  <c r="G15" i="111" s="1"/>
  <c r="L15" i="110"/>
  <c r="J15" i="111" s="1"/>
  <c r="O15" i="110"/>
  <c r="M15" i="112" s="1"/>
  <c r="K15" i="110"/>
  <c r="I15" i="112" s="1"/>
  <c r="U24" i="65"/>
  <c r="T24" i="65" a="1"/>
  <c r="T24" i="65" s="1"/>
  <c r="U27" i="65"/>
  <c r="T27" i="65" a="1"/>
  <c r="T27" i="65" s="1"/>
  <c r="S27" i="65" a="1"/>
  <c r="S27" i="65" s="1"/>
  <c r="S24" i="65" a="1"/>
  <c r="S24" i="65" s="1"/>
  <c r="J27" i="65"/>
  <c r="J30" i="65"/>
  <c r="J24" i="65"/>
  <c r="S28" i="65" a="1"/>
  <c r="S28" i="65" s="1"/>
  <c r="J28" i="65"/>
  <c r="K30" i="65"/>
  <c r="U28" i="65"/>
  <c r="K25" i="65"/>
  <c r="M25" i="65"/>
  <c r="N25" i="65"/>
  <c r="M31" i="65"/>
  <c r="N31" i="65"/>
  <c r="J25" i="65"/>
  <c r="K24" i="65"/>
  <c r="T28" i="65" a="1"/>
  <c r="T28" i="65" s="1"/>
  <c r="S15" i="111"/>
  <c r="S15" i="112"/>
  <c r="M28" i="65"/>
  <c r="N28" i="65"/>
  <c r="K27" i="65"/>
  <c r="K31" i="65"/>
  <c r="K28" i="65"/>
  <c r="R15" i="112"/>
  <c r="J31" i="65"/>
  <c r="U15" i="112"/>
  <c r="Q31" i="65" a="1"/>
  <c r="Q31" i="65" s="1"/>
  <c r="U31" i="65" s="1"/>
  <c r="R25" i="65" a="1"/>
  <c r="R25" i="65" s="1"/>
  <c r="Q25" i="65" a="1"/>
  <c r="Q25" i="65" s="1"/>
  <c r="S15" i="110"/>
  <c r="O15" i="112"/>
  <c r="AL15" i="110" l="1"/>
  <c r="V15" i="111"/>
  <c r="Y15" i="111"/>
  <c r="T15" i="110"/>
  <c r="K15" i="112"/>
  <c r="AM16" i="110"/>
  <c r="X15" i="111"/>
  <c r="V15" i="112"/>
  <c r="T15" i="111"/>
  <c r="AH15" i="110"/>
  <c r="W15" i="111"/>
  <c r="Z15" i="112"/>
  <c r="AI15" i="110"/>
  <c r="Y16" i="110" a="1"/>
  <c r="AC16" i="110" s="1"/>
  <c r="AK15" i="110"/>
  <c r="H15" i="111"/>
  <c r="H15" i="112"/>
  <c r="N15" i="111"/>
  <c r="L15" i="111"/>
  <c r="V15" i="110"/>
  <c r="W16" i="110"/>
  <c r="U15" i="110"/>
  <c r="I16" i="110" a="1"/>
  <c r="N16" i="110" s="1"/>
  <c r="G15" i="112"/>
  <c r="M15" i="111"/>
  <c r="I15" i="111"/>
  <c r="R15" i="110"/>
  <c r="J15" i="112"/>
  <c r="O25" i="65"/>
  <c r="O31" i="65"/>
  <c r="S25" i="65" a="1"/>
  <c r="S25" i="65" s="1"/>
  <c r="T25" i="65" a="1"/>
  <c r="T25" i="65" s="1"/>
  <c r="U25" i="65"/>
  <c r="O28" i="65"/>
  <c r="S31" i="65" a="1"/>
  <c r="S31" i="65" s="1"/>
  <c r="T31" i="65" a="1"/>
  <c r="T31" i="65" s="1"/>
  <c r="AA15" i="111" l="1"/>
  <c r="AA15" i="112"/>
  <c r="AG16" i="110"/>
  <c r="Z16" i="111" s="1"/>
  <c r="Z16" i="110"/>
  <c r="S16" i="111" s="1"/>
  <c r="AB16" i="110"/>
  <c r="AF16" i="110"/>
  <c r="Y16" i="111" s="1"/>
  <c r="Y16" i="110"/>
  <c r="R16" i="112" s="1"/>
  <c r="AA16" i="110"/>
  <c r="T16" i="111" s="1"/>
  <c r="AE16" i="110"/>
  <c r="X16" i="112" s="1"/>
  <c r="AD16" i="110"/>
  <c r="W16" i="112" s="1"/>
  <c r="P15" i="112"/>
  <c r="Q16" i="110"/>
  <c r="O16" i="111" s="1"/>
  <c r="L16" i="110"/>
  <c r="O16" i="110"/>
  <c r="M16" i="112" s="1"/>
  <c r="J16" i="110"/>
  <c r="H16" i="111" s="1"/>
  <c r="P16" i="110"/>
  <c r="N16" i="112" s="1"/>
  <c r="I16" i="110"/>
  <c r="G16" i="111" s="1"/>
  <c r="K16" i="110"/>
  <c r="I16" i="111" s="1"/>
  <c r="M16" i="110"/>
  <c r="P15" i="111"/>
  <c r="U16" i="112"/>
  <c r="U16" i="111"/>
  <c r="V16" i="112"/>
  <c r="V16" i="111"/>
  <c r="S16" i="112"/>
  <c r="L16" i="111"/>
  <c r="L16" i="112"/>
  <c r="AI16" i="110"/>
  <c r="Z16" i="112"/>
  <c r="AJ16" i="110"/>
  <c r="Y16" i="112" l="1"/>
  <c r="X16" i="111"/>
  <c r="W16" i="111"/>
  <c r="R16" i="111"/>
  <c r="AM17" i="110"/>
  <c r="AK16" i="110"/>
  <c r="AH16" i="110"/>
  <c r="AL16" i="110"/>
  <c r="Y17" i="110" a="1"/>
  <c r="AD17" i="110" s="1"/>
  <c r="S16" i="110"/>
  <c r="O16" i="112"/>
  <c r="T16" i="112"/>
  <c r="AA16" i="112" s="1"/>
  <c r="M16" i="111"/>
  <c r="H16" i="112"/>
  <c r="V16" i="110"/>
  <c r="J16" i="112"/>
  <c r="J16" i="111"/>
  <c r="N16" i="111"/>
  <c r="I17" i="110" a="1"/>
  <c r="J17" i="110" s="1"/>
  <c r="W17" i="110"/>
  <c r="K16" i="112"/>
  <c r="K16" i="111"/>
  <c r="G16" i="112"/>
  <c r="U16" i="110"/>
  <c r="I16" i="112"/>
  <c r="R16" i="110"/>
  <c r="T16" i="110"/>
  <c r="AA16" i="111" l="1"/>
  <c r="AF17" i="110"/>
  <c r="AG17" i="110"/>
  <c r="Z17" i="111" s="1"/>
  <c r="AE17" i="110"/>
  <c r="X17" i="111" s="1"/>
  <c r="AB17" i="110"/>
  <c r="Y17" i="110"/>
  <c r="AM18" i="110" s="1"/>
  <c r="AA17" i="110"/>
  <c r="T17" i="111" s="1"/>
  <c r="AC17" i="110"/>
  <c r="V17" i="112" s="1"/>
  <c r="Z17" i="110"/>
  <c r="S17" i="111" s="1"/>
  <c r="P16" i="111"/>
  <c r="P16" i="112"/>
  <c r="Q17" i="110"/>
  <c r="O17" i="111" s="1"/>
  <c r="K17" i="110"/>
  <c r="I17" i="112" s="1"/>
  <c r="P17" i="110"/>
  <c r="N17" i="111" s="1"/>
  <c r="I17" i="110"/>
  <c r="M17" i="110"/>
  <c r="T17" i="110" s="1"/>
  <c r="O17" i="110"/>
  <c r="M17" i="111" s="1"/>
  <c r="L17" i="110"/>
  <c r="N17" i="110"/>
  <c r="L17" i="111" s="1"/>
  <c r="W17" i="111"/>
  <c r="W17" i="112"/>
  <c r="H17" i="112"/>
  <c r="H17" i="111"/>
  <c r="Y17" i="111"/>
  <c r="Y17" i="112"/>
  <c r="U17" i="111"/>
  <c r="U17" i="112"/>
  <c r="J17" i="112"/>
  <c r="J17" i="111"/>
  <c r="Z17" i="112"/>
  <c r="AI17" i="110"/>
  <c r="R17" i="112" l="1"/>
  <c r="R17" i="111"/>
  <c r="AL17" i="110"/>
  <c r="X17" i="112"/>
  <c r="AK17" i="110"/>
  <c r="L17" i="112"/>
  <c r="S17" i="110"/>
  <c r="Y18" i="110" a="1"/>
  <c r="AG18" i="110" s="1"/>
  <c r="Z18" i="111" s="1"/>
  <c r="AH17" i="110"/>
  <c r="AJ17" i="110"/>
  <c r="T17" i="112"/>
  <c r="S17" i="112"/>
  <c r="I18" i="110" a="1"/>
  <c r="P18" i="110" s="1"/>
  <c r="V17" i="111"/>
  <c r="AA17" i="111" s="1"/>
  <c r="U17" i="110"/>
  <c r="W18" i="110"/>
  <c r="O17" i="112"/>
  <c r="K17" i="112"/>
  <c r="K17" i="111"/>
  <c r="R17" i="110"/>
  <c r="N17" i="112"/>
  <c r="I17" i="111"/>
  <c r="V17" i="110"/>
  <c r="G17" i="111"/>
  <c r="G17" i="112"/>
  <c r="M17" i="112"/>
  <c r="AA17" i="112" l="1"/>
  <c r="AF18" i="110"/>
  <c r="Y18" i="110"/>
  <c r="AA18" i="110"/>
  <c r="T18" i="112" s="1"/>
  <c r="Z18" i="110"/>
  <c r="S18" i="111" s="1"/>
  <c r="AD18" i="110"/>
  <c r="W18" i="112" s="1"/>
  <c r="AB18" i="110"/>
  <c r="U18" i="111" s="1"/>
  <c r="AC18" i="110"/>
  <c r="V18" i="111" s="1"/>
  <c r="AE18" i="110"/>
  <c r="X18" i="111" s="1"/>
  <c r="K18" i="110"/>
  <c r="I18" i="112" s="1"/>
  <c r="I18" i="110"/>
  <c r="G18" i="112" s="1"/>
  <c r="M18" i="110"/>
  <c r="K18" i="112" s="1"/>
  <c r="N18" i="110"/>
  <c r="L18" i="111" s="1"/>
  <c r="Q18" i="110"/>
  <c r="O18" i="111" s="1"/>
  <c r="P17" i="112"/>
  <c r="J18" i="110"/>
  <c r="H18" i="111" s="1"/>
  <c r="O18" i="110"/>
  <c r="L18" i="110"/>
  <c r="J18" i="111" s="1"/>
  <c r="P17" i="111"/>
  <c r="J18" i="112"/>
  <c r="Y18" i="112"/>
  <c r="Y18" i="111"/>
  <c r="R18" i="111"/>
  <c r="R18" i="112"/>
  <c r="N18" i="111"/>
  <c r="N18" i="112"/>
  <c r="AI18" i="110"/>
  <c r="Z18" i="112"/>
  <c r="T18" i="111" l="1"/>
  <c r="W18" i="111"/>
  <c r="S18" i="112"/>
  <c r="AM19" i="110"/>
  <c r="AK18" i="110"/>
  <c r="U18" i="112"/>
  <c r="Y19" i="110" a="1"/>
  <c r="Z19" i="110" s="1"/>
  <c r="AJ18" i="110"/>
  <c r="AL18" i="110"/>
  <c r="G18" i="111"/>
  <c r="V18" i="112"/>
  <c r="S18" i="110"/>
  <c r="K18" i="111"/>
  <c r="W19" i="110"/>
  <c r="AH18" i="110"/>
  <c r="U18" i="110"/>
  <c r="X18" i="112"/>
  <c r="I18" i="111"/>
  <c r="O18" i="112"/>
  <c r="L18" i="112"/>
  <c r="T18" i="110"/>
  <c r="V18" i="110"/>
  <c r="M18" i="111"/>
  <c r="M18" i="112"/>
  <c r="R18" i="110"/>
  <c r="I19" i="110" a="1"/>
  <c r="J19" i="110" s="1"/>
  <c r="H18" i="112"/>
  <c r="AA18" i="111" l="1"/>
  <c r="AA18" i="112"/>
  <c r="AB19" i="110"/>
  <c r="U19" i="111" s="1"/>
  <c r="AC19" i="110"/>
  <c r="AJ19" i="110" s="1"/>
  <c r="Y19" i="110"/>
  <c r="R19" i="111" s="1"/>
  <c r="AE19" i="110"/>
  <c r="X19" i="112" s="1"/>
  <c r="AG19" i="110"/>
  <c r="Z19" i="111" s="1"/>
  <c r="AA19" i="110"/>
  <c r="T19" i="112" s="1"/>
  <c r="AF19" i="110"/>
  <c r="Y19" i="111" s="1"/>
  <c r="AD19" i="110"/>
  <c r="W19" i="111" s="1"/>
  <c r="P18" i="111"/>
  <c r="P18" i="112"/>
  <c r="Q19" i="110"/>
  <c r="O19" i="111" s="1"/>
  <c r="M19" i="110"/>
  <c r="K19" i="112" s="1"/>
  <c r="O19" i="110"/>
  <c r="M19" i="112" s="1"/>
  <c r="P19" i="110"/>
  <c r="N19" i="112" s="1"/>
  <c r="I19" i="110"/>
  <c r="G19" i="111" s="1"/>
  <c r="N19" i="110"/>
  <c r="L19" i="112" s="1"/>
  <c r="K19" i="110"/>
  <c r="I19" i="111" s="1"/>
  <c r="L19" i="110"/>
  <c r="J19" i="112" s="1"/>
  <c r="S19" i="111"/>
  <c r="S19" i="112"/>
  <c r="H19" i="111"/>
  <c r="H19" i="112"/>
  <c r="X19" i="111"/>
  <c r="U19" i="112"/>
  <c r="AM20" i="110" l="1"/>
  <c r="R19" i="112"/>
  <c r="V19" i="111"/>
  <c r="J19" i="111"/>
  <c r="AL19" i="110"/>
  <c r="V19" i="112"/>
  <c r="Z19" i="112"/>
  <c r="AI19" i="110"/>
  <c r="Y19" i="112"/>
  <c r="T19" i="111"/>
  <c r="AH19" i="110"/>
  <c r="AK19" i="110"/>
  <c r="Y20" i="110" a="1"/>
  <c r="Z20" i="110" s="1"/>
  <c r="S19" i="110"/>
  <c r="U19" i="110"/>
  <c r="O19" i="112"/>
  <c r="T19" i="110"/>
  <c r="K19" i="111"/>
  <c r="V19" i="110"/>
  <c r="G19" i="112"/>
  <c r="I19" i="112"/>
  <c r="N19" i="111"/>
  <c r="I20" i="110" a="1"/>
  <c r="J20" i="110" s="1"/>
  <c r="M19" i="111"/>
  <c r="W19" i="112"/>
  <c r="W20" i="110"/>
  <c r="R19" i="110"/>
  <c r="L19" i="111"/>
  <c r="AA19" i="111" l="1"/>
  <c r="AA19" i="112"/>
  <c r="AF20" i="110"/>
  <c r="AE20" i="110"/>
  <c r="AC20" i="110"/>
  <c r="AJ20" i="110" s="1"/>
  <c r="AB20" i="110"/>
  <c r="U20" i="112" s="1"/>
  <c r="AD20" i="110"/>
  <c r="W20" i="111" s="1"/>
  <c r="AA20" i="110"/>
  <c r="T20" i="111" s="1"/>
  <c r="AG20" i="110"/>
  <c r="Z20" i="111" s="1"/>
  <c r="Y20" i="110"/>
  <c r="P19" i="112"/>
  <c r="P19" i="111"/>
  <c r="K20" i="110"/>
  <c r="I20" i="111" s="1"/>
  <c r="P20" i="110"/>
  <c r="N20" i="111" s="1"/>
  <c r="I20" i="110"/>
  <c r="L20" i="110"/>
  <c r="V20" i="110" s="1"/>
  <c r="N20" i="110"/>
  <c r="L20" i="111" s="1"/>
  <c r="Q20" i="110"/>
  <c r="O20" i="111" s="1"/>
  <c r="M20" i="110"/>
  <c r="K20" i="111" s="1"/>
  <c r="O20" i="110"/>
  <c r="M20" i="112" s="1"/>
  <c r="X20" i="111"/>
  <c r="X20" i="112"/>
  <c r="V20" i="112"/>
  <c r="V20" i="111"/>
  <c r="U20" i="111"/>
  <c r="S20" i="111"/>
  <c r="S20" i="112"/>
  <c r="Y20" i="111"/>
  <c r="Y20" i="112"/>
  <c r="H20" i="112"/>
  <c r="H20" i="111"/>
  <c r="T20" i="110" l="1"/>
  <c r="AM21" i="110"/>
  <c r="T20" i="112"/>
  <c r="AL20" i="110"/>
  <c r="Z20" i="112"/>
  <c r="AI20" i="110"/>
  <c r="W20" i="112"/>
  <c r="AK20" i="110"/>
  <c r="R20" i="111"/>
  <c r="AA20" i="111" s="1"/>
  <c r="R20" i="112"/>
  <c r="W21" i="110"/>
  <c r="Y21" i="110" a="1"/>
  <c r="AD21" i="110" s="1"/>
  <c r="AH20" i="110"/>
  <c r="G20" i="111"/>
  <c r="G20" i="112"/>
  <c r="I20" i="112"/>
  <c r="U20" i="110"/>
  <c r="N20" i="112"/>
  <c r="J20" i="111"/>
  <c r="J20" i="112"/>
  <c r="O20" i="112"/>
  <c r="S20" i="110"/>
  <c r="L20" i="112"/>
  <c r="I21" i="110" a="1"/>
  <c r="P21" i="110" s="1"/>
  <c r="R20" i="110"/>
  <c r="M20" i="111"/>
  <c r="K20" i="112"/>
  <c r="AA20" i="112" l="1"/>
  <c r="Z21" i="110"/>
  <c r="Y21" i="110"/>
  <c r="AE21" i="110"/>
  <c r="X21" i="111" s="1"/>
  <c r="AF21" i="110"/>
  <c r="Y21" i="111" s="1"/>
  <c r="AA21" i="110"/>
  <c r="AK21" i="110" s="1"/>
  <c r="AB21" i="110"/>
  <c r="U21" i="111" s="1"/>
  <c r="AC21" i="110"/>
  <c r="V21" i="111" s="1"/>
  <c r="AG21" i="110"/>
  <c r="Z21" i="111" s="1"/>
  <c r="P20" i="111"/>
  <c r="P20" i="112"/>
  <c r="I21" i="110"/>
  <c r="W22" i="110" s="1"/>
  <c r="J21" i="110"/>
  <c r="H21" i="112" s="1"/>
  <c r="M21" i="110"/>
  <c r="K21" i="111" s="1"/>
  <c r="N21" i="110"/>
  <c r="L21" i="111" s="1"/>
  <c r="K21" i="110"/>
  <c r="I21" i="112" s="1"/>
  <c r="O21" i="110"/>
  <c r="L21" i="110"/>
  <c r="Q21" i="110"/>
  <c r="O21" i="111" s="1"/>
  <c r="R21" i="111"/>
  <c r="R21" i="112"/>
  <c r="T21" i="112"/>
  <c r="W21" i="112"/>
  <c r="W21" i="111"/>
  <c r="S21" i="111"/>
  <c r="S21" i="112"/>
  <c r="N21" i="112"/>
  <c r="N21" i="111"/>
  <c r="J21" i="112"/>
  <c r="J21" i="111"/>
  <c r="S21" i="110"/>
  <c r="O21" i="112"/>
  <c r="T21" i="111" l="1"/>
  <c r="AM22" i="110"/>
  <c r="Y21" i="112"/>
  <c r="X21" i="112"/>
  <c r="V21" i="110"/>
  <c r="V21" i="112"/>
  <c r="Y22" i="110" a="1"/>
  <c r="AA22" i="110" s="1"/>
  <c r="AJ21" i="110"/>
  <c r="Z21" i="112"/>
  <c r="AH21" i="110"/>
  <c r="AI21" i="110"/>
  <c r="K21" i="112"/>
  <c r="H21" i="111"/>
  <c r="T21" i="110"/>
  <c r="G21" i="112"/>
  <c r="AL21" i="110"/>
  <c r="G21" i="111"/>
  <c r="U21" i="112"/>
  <c r="L21" i="112"/>
  <c r="U21" i="110"/>
  <c r="M21" i="112"/>
  <c r="M21" i="111"/>
  <c r="I21" i="111"/>
  <c r="I22" i="110" a="1"/>
  <c r="J22" i="110" s="1"/>
  <c r="R21" i="110"/>
  <c r="AA21" i="111"/>
  <c r="AA21" i="112" l="1"/>
  <c r="AG22" i="110"/>
  <c r="Z22" i="111" s="1"/>
  <c r="AB22" i="110"/>
  <c r="U22" i="111" s="1"/>
  <c r="Z22" i="110"/>
  <c r="S22" i="112" s="1"/>
  <c r="AF22" i="110"/>
  <c r="Y22" i="111" s="1"/>
  <c r="AE22" i="110"/>
  <c r="X22" i="112" s="1"/>
  <c r="AD22" i="110"/>
  <c r="AK22" i="110" s="1"/>
  <c r="AC22" i="110"/>
  <c r="Y22" i="110"/>
  <c r="P21" i="112"/>
  <c r="P21" i="111"/>
  <c r="M22" i="110"/>
  <c r="T22" i="110" s="1"/>
  <c r="L22" i="110"/>
  <c r="J22" i="112" s="1"/>
  <c r="P22" i="110"/>
  <c r="N22" i="111" s="1"/>
  <c r="I22" i="110"/>
  <c r="G22" i="112" s="1"/>
  <c r="Q22" i="110"/>
  <c r="O22" i="111" s="1"/>
  <c r="K22" i="110"/>
  <c r="I22" i="112" s="1"/>
  <c r="N22" i="110"/>
  <c r="L22" i="111" s="1"/>
  <c r="O22" i="110"/>
  <c r="H22" i="112"/>
  <c r="H22" i="111"/>
  <c r="T22" i="112"/>
  <c r="T22" i="111"/>
  <c r="Y22" i="112"/>
  <c r="U22" i="112"/>
  <c r="AI22" i="110"/>
  <c r="Z22" i="112"/>
  <c r="AJ22" i="110" l="1"/>
  <c r="W22" i="112"/>
  <c r="AM23" i="110"/>
  <c r="X22" i="111"/>
  <c r="W22" i="111"/>
  <c r="R22" i="112"/>
  <c r="R22" i="111"/>
  <c r="V22" i="112"/>
  <c r="V22" i="111"/>
  <c r="AH22" i="110"/>
  <c r="Y23" i="110" a="1"/>
  <c r="Y23" i="110" s="1"/>
  <c r="AL22" i="110"/>
  <c r="K22" i="111"/>
  <c r="S22" i="111"/>
  <c r="K22" i="112"/>
  <c r="N22" i="112"/>
  <c r="J22" i="111"/>
  <c r="V22" i="110"/>
  <c r="W23" i="110"/>
  <c r="L22" i="112"/>
  <c r="O22" i="112"/>
  <c r="M22" i="111"/>
  <c r="I22" i="111"/>
  <c r="I23" i="110" a="1"/>
  <c r="N23" i="110" s="1"/>
  <c r="R22" i="110"/>
  <c r="S22" i="110"/>
  <c r="U22" i="110"/>
  <c r="G22" i="111"/>
  <c r="M22" i="112"/>
  <c r="AA22" i="112" l="1"/>
  <c r="AA22" i="111"/>
  <c r="AE23" i="110"/>
  <c r="X23" i="112" s="1"/>
  <c r="AA23" i="110"/>
  <c r="T23" i="112" s="1"/>
  <c r="AG23" i="110"/>
  <c r="Z23" i="111" s="1"/>
  <c r="AD23" i="110"/>
  <c r="W23" i="112" s="1"/>
  <c r="AC23" i="110"/>
  <c r="V23" i="111" s="1"/>
  <c r="AF23" i="110"/>
  <c r="Y23" i="112" s="1"/>
  <c r="AB23" i="110"/>
  <c r="U23" i="112" s="1"/>
  <c r="Z23" i="110"/>
  <c r="S23" i="111" s="1"/>
  <c r="P22" i="112"/>
  <c r="P22" i="111"/>
  <c r="I23" i="110"/>
  <c r="P23" i="110"/>
  <c r="N23" i="111" s="1"/>
  <c r="L23" i="110"/>
  <c r="J23" i="111" s="1"/>
  <c r="M23" i="110"/>
  <c r="K23" i="112" s="1"/>
  <c r="K23" i="110"/>
  <c r="I23" i="111" s="1"/>
  <c r="J23" i="110"/>
  <c r="H23" i="112" s="1"/>
  <c r="Q23" i="110"/>
  <c r="O23" i="111" s="1"/>
  <c r="O23" i="110"/>
  <c r="M23" i="111" s="1"/>
  <c r="L23" i="111"/>
  <c r="L23" i="112"/>
  <c r="T23" i="111"/>
  <c r="R23" i="111"/>
  <c r="R23" i="112"/>
  <c r="Z23" i="112"/>
  <c r="AI23" i="110"/>
  <c r="M23" i="112" l="1"/>
  <c r="W23" i="111"/>
  <c r="X23" i="111"/>
  <c r="O23" i="112"/>
  <c r="Y23" i="111"/>
  <c r="S23" i="110"/>
  <c r="U23" i="111"/>
  <c r="AK23" i="110"/>
  <c r="V23" i="112"/>
  <c r="AH23" i="110"/>
  <c r="Y24" i="110" a="1"/>
  <c r="AF24" i="110" s="1"/>
  <c r="AM24" i="110"/>
  <c r="AL23" i="110"/>
  <c r="W24" i="110"/>
  <c r="T23" i="110"/>
  <c r="I23" i="112"/>
  <c r="K23" i="111"/>
  <c r="G23" i="112"/>
  <c r="AJ23" i="110"/>
  <c r="G23" i="111"/>
  <c r="S23" i="112"/>
  <c r="N23" i="112"/>
  <c r="H23" i="111"/>
  <c r="U23" i="110"/>
  <c r="V23" i="110"/>
  <c r="J23" i="112"/>
  <c r="I24" i="110" a="1"/>
  <c r="I24" i="110" s="1"/>
  <c r="R23" i="110"/>
  <c r="AA23" i="111" l="1"/>
  <c r="AA23" i="112"/>
  <c r="P23" i="111"/>
  <c r="AG24" i="110"/>
  <c r="Z24" i="111" s="1"/>
  <c r="Y24" i="110"/>
  <c r="R24" i="111" s="1"/>
  <c r="AB24" i="110"/>
  <c r="U24" i="111" s="1"/>
  <c r="AC24" i="110"/>
  <c r="V24" i="111" s="1"/>
  <c r="AE24" i="110"/>
  <c r="X24" i="111" s="1"/>
  <c r="Z24" i="110"/>
  <c r="S24" i="112" s="1"/>
  <c r="AD24" i="110"/>
  <c r="W24" i="111" s="1"/>
  <c r="AA24" i="110"/>
  <c r="T24" i="112" s="1"/>
  <c r="P23" i="112"/>
  <c r="P24" i="110"/>
  <c r="N24" i="111" s="1"/>
  <c r="L24" i="110"/>
  <c r="J24" i="112" s="1"/>
  <c r="N24" i="110"/>
  <c r="L24" i="111" s="1"/>
  <c r="J24" i="110"/>
  <c r="Q24" i="110"/>
  <c r="O24" i="111" s="1"/>
  <c r="O24" i="110"/>
  <c r="M24" i="111" s="1"/>
  <c r="M24" i="110"/>
  <c r="K24" i="112" s="1"/>
  <c r="K24" i="110"/>
  <c r="I24" i="111" s="1"/>
  <c r="Y24" i="112"/>
  <c r="Y24" i="111"/>
  <c r="G24" i="111"/>
  <c r="G24" i="112"/>
  <c r="AI24" i="110"/>
  <c r="Z24" i="112"/>
  <c r="R24" i="112" l="1"/>
  <c r="AM25" i="110"/>
  <c r="U24" i="112"/>
  <c r="V24" i="112"/>
  <c r="T24" i="111"/>
  <c r="X24" i="112"/>
  <c r="W24" i="112"/>
  <c r="AL24" i="110"/>
  <c r="AJ24" i="110"/>
  <c r="Y25" i="110" a="1"/>
  <c r="AA25" i="110" s="1"/>
  <c r="AK24" i="110"/>
  <c r="W25" i="110"/>
  <c r="AH24" i="110"/>
  <c r="V24" i="110"/>
  <c r="O24" i="112"/>
  <c r="R24" i="110"/>
  <c r="L24" i="112"/>
  <c r="S24" i="110"/>
  <c r="H24" i="112"/>
  <c r="H24" i="111"/>
  <c r="K24" i="111"/>
  <c r="J24" i="111"/>
  <c r="T24" i="110"/>
  <c r="S24" i="111"/>
  <c r="I25" i="110" a="1"/>
  <c r="Q25" i="110" s="1"/>
  <c r="O25" i="111" s="1"/>
  <c r="N24" i="112"/>
  <c r="U24" i="110"/>
  <c r="I24" i="112"/>
  <c r="M24" i="112"/>
  <c r="AA24" i="112" l="1"/>
  <c r="AA24" i="111"/>
  <c r="Y25" i="110"/>
  <c r="Z25" i="110"/>
  <c r="AE25" i="110"/>
  <c r="AF25" i="110"/>
  <c r="Y25" i="111" s="1"/>
  <c r="AB25" i="110"/>
  <c r="U25" i="112" s="1"/>
  <c r="AG25" i="110"/>
  <c r="Z25" i="111" s="1"/>
  <c r="AD25" i="110"/>
  <c r="AK25" i="110" s="1"/>
  <c r="AC25" i="110"/>
  <c r="V25" i="111" s="1"/>
  <c r="P24" i="111"/>
  <c r="J25" i="110"/>
  <c r="H25" i="112" s="1"/>
  <c r="K25" i="110"/>
  <c r="I25" i="111" s="1"/>
  <c r="N25" i="110"/>
  <c r="L25" i="111" s="1"/>
  <c r="I25" i="110"/>
  <c r="G25" i="111" s="1"/>
  <c r="P25" i="110"/>
  <c r="N25" i="112" s="1"/>
  <c r="O25" i="110"/>
  <c r="M25" i="112" s="1"/>
  <c r="L25" i="110"/>
  <c r="J25" i="112" s="1"/>
  <c r="M25" i="110"/>
  <c r="K25" i="111" s="1"/>
  <c r="P24" i="112"/>
  <c r="T25" i="111"/>
  <c r="T25" i="112"/>
  <c r="S25" i="111"/>
  <c r="S25" i="112"/>
  <c r="R25" i="111"/>
  <c r="R25" i="112"/>
  <c r="X25" i="112"/>
  <c r="X25" i="111"/>
  <c r="O25" i="112"/>
  <c r="S25" i="110"/>
  <c r="AM26" i="110" l="1"/>
  <c r="U25" i="111"/>
  <c r="Y25" i="112"/>
  <c r="AL25" i="110"/>
  <c r="W25" i="111"/>
  <c r="W25" i="112"/>
  <c r="Z25" i="112"/>
  <c r="AI25" i="110"/>
  <c r="Y26" i="110" a="1"/>
  <c r="AC26" i="110" s="1"/>
  <c r="AH25" i="110"/>
  <c r="AJ25" i="110"/>
  <c r="V25" i="112"/>
  <c r="I25" i="112"/>
  <c r="H25" i="111"/>
  <c r="I26" i="110" a="1"/>
  <c r="M26" i="110" s="1"/>
  <c r="N25" i="111"/>
  <c r="V25" i="110"/>
  <c r="J25" i="111"/>
  <c r="U25" i="110"/>
  <c r="L25" i="112"/>
  <c r="R25" i="110"/>
  <c r="G25" i="112"/>
  <c r="W26" i="110"/>
  <c r="K25" i="112"/>
  <c r="M25" i="111"/>
  <c r="T25" i="110"/>
  <c r="AA25" i="111" l="1"/>
  <c r="AA25" i="112"/>
  <c r="P25" i="111"/>
  <c r="AB26" i="110"/>
  <c r="U26" i="112" s="1"/>
  <c r="AA26" i="110"/>
  <c r="T26" i="112" s="1"/>
  <c r="AE26" i="110"/>
  <c r="X26" i="111" s="1"/>
  <c r="Z26" i="110"/>
  <c r="AJ26" i="110" s="1"/>
  <c r="AG26" i="110"/>
  <c r="Z26" i="111" s="1"/>
  <c r="AD26" i="110"/>
  <c r="W26" i="112" s="1"/>
  <c r="Y26" i="110"/>
  <c r="R26" i="112" s="1"/>
  <c r="AF26" i="110"/>
  <c r="Y26" i="111" s="1"/>
  <c r="O26" i="110"/>
  <c r="M26" i="112" s="1"/>
  <c r="I26" i="110"/>
  <c r="Q26" i="110"/>
  <c r="O26" i="111" s="1"/>
  <c r="N26" i="110"/>
  <c r="L26" i="112" s="1"/>
  <c r="K26" i="110"/>
  <c r="I26" i="111" s="1"/>
  <c r="P25" i="112"/>
  <c r="P26" i="110"/>
  <c r="N26" i="112" s="1"/>
  <c r="J26" i="110"/>
  <c r="H26" i="112" s="1"/>
  <c r="L26" i="110"/>
  <c r="J26" i="111" s="1"/>
  <c r="K26" i="112"/>
  <c r="K26" i="111"/>
  <c r="V26" i="112"/>
  <c r="V26" i="111"/>
  <c r="X26" i="112" l="1"/>
  <c r="T26" i="111"/>
  <c r="U26" i="111"/>
  <c r="J26" i="112"/>
  <c r="W27" i="110"/>
  <c r="S26" i="111"/>
  <c r="S26" i="112"/>
  <c r="W26" i="111"/>
  <c r="Y26" i="112"/>
  <c r="AL26" i="110"/>
  <c r="Z26" i="112"/>
  <c r="AI26" i="110"/>
  <c r="AM27" i="110"/>
  <c r="AK26" i="110"/>
  <c r="Y27" i="110" a="1"/>
  <c r="AE27" i="110" s="1"/>
  <c r="R26" i="111"/>
  <c r="V26" i="110"/>
  <c r="O26" i="112"/>
  <c r="L26" i="111"/>
  <c r="G26" i="112"/>
  <c r="S26" i="110"/>
  <c r="G26" i="111"/>
  <c r="T26" i="110"/>
  <c r="R26" i="110"/>
  <c r="U26" i="110"/>
  <c r="M26" i="111"/>
  <c r="AH26" i="110"/>
  <c r="N26" i="111"/>
  <c r="I26" i="112"/>
  <c r="I27" i="110" a="1"/>
  <c r="K27" i="110" s="1"/>
  <c r="H26" i="111"/>
  <c r="AA26" i="111" l="1"/>
  <c r="AA26" i="112"/>
  <c r="P26" i="112"/>
  <c r="AC27" i="110"/>
  <c r="AF27" i="110"/>
  <c r="Y27" i="112" s="1"/>
  <c r="AG27" i="110"/>
  <c r="Z27" i="111" s="1"/>
  <c r="AA27" i="110"/>
  <c r="T27" i="111" s="1"/>
  <c r="Y27" i="110"/>
  <c r="R27" i="111" s="1"/>
  <c r="AD27" i="110"/>
  <c r="AB27" i="110"/>
  <c r="Z27" i="110"/>
  <c r="S27" i="111" s="1"/>
  <c r="P26" i="111"/>
  <c r="P27" i="110"/>
  <c r="N27" i="111" s="1"/>
  <c r="J27" i="110"/>
  <c r="H27" i="111" s="1"/>
  <c r="I27" i="110"/>
  <c r="G27" i="111" s="1"/>
  <c r="L27" i="110"/>
  <c r="J27" i="111" s="1"/>
  <c r="M27" i="110"/>
  <c r="K27" i="111" s="1"/>
  <c r="N27" i="110"/>
  <c r="L27" i="112" s="1"/>
  <c r="Q27" i="110"/>
  <c r="O27" i="111" s="1"/>
  <c r="O27" i="110"/>
  <c r="M27" i="111" s="1"/>
  <c r="V27" i="111"/>
  <c r="V27" i="112"/>
  <c r="X27" i="111"/>
  <c r="X27" i="112"/>
  <c r="I27" i="112"/>
  <c r="I27" i="111"/>
  <c r="Z27" i="112" l="1"/>
  <c r="AI27" i="110"/>
  <c r="Y27" i="111"/>
  <c r="R27" i="112"/>
  <c r="AM28" i="110"/>
  <c r="T27" i="112"/>
  <c r="AK27" i="110"/>
  <c r="S27" i="112"/>
  <c r="H27" i="112"/>
  <c r="W27" i="111"/>
  <c r="W27" i="112"/>
  <c r="U27" i="111"/>
  <c r="U27" i="112"/>
  <c r="Y28" i="110" a="1"/>
  <c r="Z28" i="110" s="1"/>
  <c r="AH27" i="110"/>
  <c r="AL27" i="110"/>
  <c r="AJ27" i="110"/>
  <c r="V27" i="110"/>
  <c r="N27" i="112"/>
  <c r="U27" i="110"/>
  <c r="I28" i="110" a="1"/>
  <c r="K28" i="110" s="1"/>
  <c r="R27" i="110"/>
  <c r="G27" i="112"/>
  <c r="L27" i="111"/>
  <c r="P27" i="111" s="1"/>
  <c r="T27" i="110"/>
  <c r="O27" i="112"/>
  <c r="W28" i="110"/>
  <c r="S27" i="110"/>
  <c r="M27" i="112"/>
  <c r="K27" i="112"/>
  <c r="J27" i="112"/>
  <c r="AA27" i="111" l="1"/>
  <c r="AA27" i="112"/>
  <c r="AA28" i="110"/>
  <c r="T28" i="112" s="1"/>
  <c r="AD28" i="110"/>
  <c r="AG28" i="110"/>
  <c r="Z28" i="111" s="1"/>
  <c r="Y28" i="110"/>
  <c r="R28" i="111" s="1"/>
  <c r="AF28" i="110"/>
  <c r="Y28" i="111" s="1"/>
  <c r="AB28" i="110"/>
  <c r="U28" i="112" s="1"/>
  <c r="AE28" i="110"/>
  <c r="X28" i="111" s="1"/>
  <c r="AC28" i="110"/>
  <c r="V28" i="112" s="1"/>
  <c r="J28" i="110"/>
  <c r="H28" i="111" s="1"/>
  <c r="N28" i="110"/>
  <c r="L28" i="112" s="1"/>
  <c r="P28" i="110"/>
  <c r="N28" i="111" s="1"/>
  <c r="I28" i="110"/>
  <c r="P27" i="112"/>
  <c r="M28" i="110"/>
  <c r="K28" i="111" s="1"/>
  <c r="O28" i="110"/>
  <c r="M28" i="111" s="1"/>
  <c r="L28" i="110"/>
  <c r="J28" i="112" s="1"/>
  <c r="Q28" i="110"/>
  <c r="O28" i="111" s="1"/>
  <c r="S28" i="112"/>
  <c r="S28" i="111"/>
  <c r="I28" i="111"/>
  <c r="I28" i="112"/>
  <c r="W28" i="111"/>
  <c r="W28" i="112"/>
  <c r="Z28" i="112"/>
  <c r="AI28" i="110"/>
  <c r="O28" i="112"/>
  <c r="AK28" i="110" l="1"/>
  <c r="T28" i="111"/>
  <c r="R28" i="112"/>
  <c r="Y28" i="112"/>
  <c r="AM29" i="110"/>
  <c r="H28" i="112"/>
  <c r="U28" i="111"/>
  <c r="Y29" i="110" a="1"/>
  <c r="AG29" i="110" s="1"/>
  <c r="Z29" i="111" s="1"/>
  <c r="AH28" i="110"/>
  <c r="U28" i="110"/>
  <c r="AL28" i="110"/>
  <c r="V28" i="111"/>
  <c r="AJ28" i="110"/>
  <c r="K28" i="112"/>
  <c r="L28" i="111"/>
  <c r="R28" i="110"/>
  <c r="X28" i="112"/>
  <c r="T28" i="110"/>
  <c r="N28" i="112"/>
  <c r="W29" i="110"/>
  <c r="G28" i="112"/>
  <c r="G28" i="111"/>
  <c r="I29" i="110" a="1"/>
  <c r="M29" i="110" s="1"/>
  <c r="V28" i="110"/>
  <c r="S28" i="110"/>
  <c r="J28" i="111"/>
  <c r="M28" i="112"/>
  <c r="AA28" i="112" l="1"/>
  <c r="AA28" i="111"/>
  <c r="Z29" i="110"/>
  <c r="AC29" i="110"/>
  <c r="V29" i="111" s="1"/>
  <c r="AE29" i="110"/>
  <c r="X29" i="112" s="1"/>
  <c r="AB29" i="110"/>
  <c r="U29" i="111" s="1"/>
  <c r="Y29" i="110"/>
  <c r="AM30" i="110" s="1"/>
  <c r="AF29" i="110"/>
  <c r="Y29" i="111" s="1"/>
  <c r="AD29" i="110"/>
  <c r="W29" i="111" s="1"/>
  <c r="AA29" i="110"/>
  <c r="T29" i="112" s="1"/>
  <c r="P28" i="111"/>
  <c r="P28" i="112"/>
  <c r="P29" i="110"/>
  <c r="N29" i="111" s="1"/>
  <c r="K29" i="110"/>
  <c r="I29" i="111" s="1"/>
  <c r="J29" i="110"/>
  <c r="H29" i="112" s="1"/>
  <c r="N29" i="110"/>
  <c r="L29" i="110"/>
  <c r="Q29" i="110"/>
  <c r="O29" i="111" s="1"/>
  <c r="I29" i="110"/>
  <c r="G29" i="111" s="1"/>
  <c r="O29" i="110"/>
  <c r="M29" i="111" s="1"/>
  <c r="K29" i="111"/>
  <c r="K29" i="112"/>
  <c r="X29" i="111"/>
  <c r="S29" i="112"/>
  <c r="S29" i="111"/>
  <c r="V29" i="112"/>
  <c r="AI29" i="110"/>
  <c r="Z29" i="112"/>
  <c r="R29" i="112" l="1"/>
  <c r="U29" i="112"/>
  <c r="W30" i="110"/>
  <c r="M29" i="112"/>
  <c r="R29" i="111"/>
  <c r="AJ29" i="110"/>
  <c r="Y29" i="112"/>
  <c r="AL29" i="110"/>
  <c r="T29" i="111"/>
  <c r="W29" i="112"/>
  <c r="AK29" i="110"/>
  <c r="Y30" i="110" a="1"/>
  <c r="AG30" i="110" s="1"/>
  <c r="Z30" i="111" s="1"/>
  <c r="AH29" i="110"/>
  <c r="T29" i="110"/>
  <c r="U29" i="110"/>
  <c r="L29" i="112"/>
  <c r="O29" i="112"/>
  <c r="J29" i="111"/>
  <c r="J29" i="112"/>
  <c r="L29" i="111"/>
  <c r="S29" i="110"/>
  <c r="R29" i="110"/>
  <c r="V29" i="110"/>
  <c r="H29" i="111"/>
  <c r="N29" i="112"/>
  <c r="I30" i="110" a="1"/>
  <c r="J30" i="110" s="1"/>
  <c r="I29" i="112"/>
  <c r="G29" i="112"/>
  <c r="AA29" i="111" l="1"/>
  <c r="AA29" i="112"/>
  <c r="AF30" i="110"/>
  <c r="Y30" i="110"/>
  <c r="R30" i="112" s="1"/>
  <c r="AD30" i="110"/>
  <c r="W30" i="111" s="1"/>
  <c r="AB30" i="110"/>
  <c r="U30" i="112" s="1"/>
  <c r="AA30" i="110"/>
  <c r="T30" i="112" s="1"/>
  <c r="AC30" i="110"/>
  <c r="V30" i="112" s="1"/>
  <c r="AE30" i="110"/>
  <c r="Z30" i="110"/>
  <c r="P29" i="111"/>
  <c r="P29" i="112"/>
  <c r="M30" i="110"/>
  <c r="T30" i="110" s="1"/>
  <c r="K30" i="110"/>
  <c r="I30" i="112" s="1"/>
  <c r="Q30" i="110"/>
  <c r="O30" i="111" s="1"/>
  <c r="O30" i="110"/>
  <c r="M30" i="112" s="1"/>
  <c r="L30" i="110"/>
  <c r="J30" i="112" s="1"/>
  <c r="N30" i="110"/>
  <c r="I30" i="110"/>
  <c r="P30" i="110"/>
  <c r="N30" i="111"/>
  <c r="N30" i="112"/>
  <c r="H30" i="112"/>
  <c r="H30" i="111"/>
  <c r="G30" i="111"/>
  <c r="G30" i="112"/>
  <c r="Y30" i="112"/>
  <c r="Y30" i="111"/>
  <c r="AM31" i="110"/>
  <c r="Z30" i="112"/>
  <c r="AI30" i="110"/>
  <c r="R30" i="111" l="1"/>
  <c r="W30" i="112"/>
  <c r="U30" i="111"/>
  <c r="AL30" i="110"/>
  <c r="Y31" i="110" a="1"/>
  <c r="AE31" i="110" s="1"/>
  <c r="V30" i="111"/>
  <c r="AK30" i="110"/>
  <c r="X30" i="112"/>
  <c r="T30" i="111"/>
  <c r="AJ30" i="110"/>
  <c r="S30" i="111"/>
  <c r="S30" i="112"/>
  <c r="X30" i="111"/>
  <c r="AH30" i="110"/>
  <c r="W31" i="110"/>
  <c r="V30" i="110"/>
  <c r="R30" i="110"/>
  <c r="L30" i="111"/>
  <c r="L30" i="112"/>
  <c r="U30" i="110"/>
  <c r="K30" i="111"/>
  <c r="K30" i="112"/>
  <c r="J30" i="111"/>
  <c r="I30" i="111"/>
  <c r="O30" i="112"/>
  <c r="M30" i="111"/>
  <c r="S30" i="110"/>
  <c r="I31" i="110" a="1"/>
  <c r="M31" i="110" s="1"/>
  <c r="AA30" i="112" l="1"/>
  <c r="Z31" i="110"/>
  <c r="AF31" i="110"/>
  <c r="AA31" i="110"/>
  <c r="Y31" i="110"/>
  <c r="AC31" i="110"/>
  <c r="V31" i="112" s="1"/>
  <c r="AB31" i="110"/>
  <c r="U31" i="112" s="1"/>
  <c r="AD31" i="110"/>
  <c r="W31" i="112" s="1"/>
  <c r="AG31" i="110"/>
  <c r="Z31" i="111" s="1"/>
  <c r="AA30" i="111"/>
  <c r="P30" i="112"/>
  <c r="P30" i="111"/>
  <c r="O31" i="110"/>
  <c r="M31" i="111" s="1"/>
  <c r="J31" i="110"/>
  <c r="H31" i="111" s="1"/>
  <c r="L31" i="110"/>
  <c r="J31" i="111" s="1"/>
  <c r="K31" i="110"/>
  <c r="I31" i="111" s="1"/>
  <c r="I31" i="110"/>
  <c r="G31" i="111" s="1"/>
  <c r="Q31" i="110"/>
  <c r="O31" i="111" s="1"/>
  <c r="P31" i="110"/>
  <c r="N31" i="112" s="1"/>
  <c r="N31" i="110"/>
  <c r="L31" i="112" s="1"/>
  <c r="S31" i="112"/>
  <c r="S31" i="111"/>
  <c r="T31" i="111"/>
  <c r="T31" i="112"/>
  <c r="K31" i="111"/>
  <c r="K31" i="112"/>
  <c r="Y31" i="112"/>
  <c r="Y31" i="111"/>
  <c r="R31" i="111"/>
  <c r="R31" i="112"/>
  <c r="X31" i="112"/>
  <c r="X31" i="111"/>
  <c r="AM32" i="110" l="1"/>
  <c r="V31" i="111"/>
  <c r="AJ31" i="110"/>
  <c r="U31" i="111"/>
  <c r="AL31" i="110"/>
  <c r="Y32" i="110" a="1"/>
  <c r="Y32" i="110" s="1"/>
  <c r="AH31" i="110"/>
  <c r="AI31" i="110"/>
  <c r="Z31" i="112"/>
  <c r="AA31" i="112" s="1"/>
  <c r="AK31" i="110"/>
  <c r="W31" i="111"/>
  <c r="M31" i="112"/>
  <c r="T31" i="110"/>
  <c r="V31" i="110"/>
  <c r="N31" i="111"/>
  <c r="O31" i="112"/>
  <c r="S31" i="110"/>
  <c r="I32" i="110" a="1"/>
  <c r="P32" i="110" s="1"/>
  <c r="W32" i="110"/>
  <c r="R31" i="110"/>
  <c r="G31" i="112"/>
  <c r="U31" i="110"/>
  <c r="I31" i="112"/>
  <c r="J31" i="112"/>
  <c r="H31" i="112"/>
  <c r="L31" i="111"/>
  <c r="AA31" i="111" l="1"/>
  <c r="AG32" i="110"/>
  <c r="Z32" i="111" s="1"/>
  <c r="AA32" i="110"/>
  <c r="Z32" i="110"/>
  <c r="S32" i="112" s="1"/>
  <c r="AD32" i="110"/>
  <c r="W32" i="111" s="1"/>
  <c r="AC32" i="110"/>
  <c r="V32" i="111" s="1"/>
  <c r="AF32" i="110"/>
  <c r="Y32" i="112" s="1"/>
  <c r="AB32" i="110"/>
  <c r="U32" i="111" s="1"/>
  <c r="AE32" i="110"/>
  <c r="X32" i="112" s="1"/>
  <c r="P31" i="111"/>
  <c r="P31" i="112"/>
  <c r="K32" i="110"/>
  <c r="I32" i="112" s="1"/>
  <c r="J32" i="110"/>
  <c r="H32" i="112" s="1"/>
  <c r="L32" i="110"/>
  <c r="J32" i="112" s="1"/>
  <c r="N32" i="110"/>
  <c r="L32" i="111" s="1"/>
  <c r="Q32" i="110"/>
  <c r="O32" i="111" s="1"/>
  <c r="O32" i="110"/>
  <c r="M32" i="110"/>
  <c r="K32" i="112" s="1"/>
  <c r="I32" i="110"/>
  <c r="R32" i="111"/>
  <c r="R32" i="112"/>
  <c r="T32" i="111"/>
  <c r="T32" i="112"/>
  <c r="G32" i="112"/>
  <c r="N32" i="111"/>
  <c r="N32" i="112"/>
  <c r="W32" i="112"/>
  <c r="Z32" i="112"/>
  <c r="AK32" i="110"/>
  <c r="Y32" i="111" l="1"/>
  <c r="S32" i="111"/>
  <c r="U32" i="112"/>
  <c r="AJ32" i="110"/>
  <c r="AM33" i="110"/>
  <c r="AI32" i="110"/>
  <c r="AL32" i="110"/>
  <c r="Y33" i="110" a="1"/>
  <c r="Y33" i="110" s="1"/>
  <c r="AH32" i="110"/>
  <c r="I32" i="111"/>
  <c r="X32" i="111"/>
  <c r="V32" i="112"/>
  <c r="AA32" i="112" s="1"/>
  <c r="S32" i="110"/>
  <c r="H32" i="111"/>
  <c r="O32" i="112"/>
  <c r="V32" i="110"/>
  <c r="J32" i="111"/>
  <c r="U32" i="110"/>
  <c r="W33" i="110"/>
  <c r="L32" i="112"/>
  <c r="K32" i="111"/>
  <c r="T32" i="110"/>
  <c r="M32" i="111"/>
  <c r="M32" i="112"/>
  <c r="G32" i="111"/>
  <c r="I33" i="110" a="1"/>
  <c r="K33" i="110" s="1"/>
  <c r="R32" i="110"/>
  <c r="AA32" i="111" l="1"/>
  <c r="AD33" i="110"/>
  <c r="AG33" i="110"/>
  <c r="Z33" i="111" s="1"/>
  <c r="AF33" i="110"/>
  <c r="Z33" i="110"/>
  <c r="AC33" i="110"/>
  <c r="AA33" i="110"/>
  <c r="T33" i="111" s="1"/>
  <c r="AE33" i="110"/>
  <c r="X33" i="111" s="1"/>
  <c r="AB33" i="110"/>
  <c r="U33" i="112" s="1"/>
  <c r="P32" i="112"/>
  <c r="P32" i="111"/>
  <c r="L33" i="110"/>
  <c r="J33" i="112" s="1"/>
  <c r="J33" i="110"/>
  <c r="H33" i="112" s="1"/>
  <c r="N33" i="110"/>
  <c r="L33" i="111" s="1"/>
  <c r="M33" i="110"/>
  <c r="O33" i="110"/>
  <c r="Q33" i="110"/>
  <c r="O33" i="111" s="1"/>
  <c r="I33" i="110"/>
  <c r="G33" i="112" s="1"/>
  <c r="P33" i="110"/>
  <c r="N33" i="111" s="1"/>
  <c r="R33" i="112"/>
  <c r="R33" i="111"/>
  <c r="I33" i="111"/>
  <c r="I33" i="112"/>
  <c r="V33" i="112"/>
  <c r="V33" i="111"/>
  <c r="W33" i="112"/>
  <c r="W33" i="111"/>
  <c r="S33" i="111"/>
  <c r="S33" i="112"/>
  <c r="Y33" i="112"/>
  <c r="Y33" i="111"/>
  <c r="AJ33" i="110"/>
  <c r="AI33" i="110" l="1"/>
  <c r="T33" i="112"/>
  <c r="Z33" i="112"/>
  <c r="Y34" i="110" a="1"/>
  <c r="AG34" i="110" s="1"/>
  <c r="Z34" i="111" s="1"/>
  <c r="AM34" i="110"/>
  <c r="V33" i="110"/>
  <c r="AL33" i="110"/>
  <c r="N33" i="112"/>
  <c r="AH33" i="110"/>
  <c r="AK33" i="110"/>
  <c r="U33" i="111"/>
  <c r="AA33" i="111" s="1"/>
  <c r="X33" i="112"/>
  <c r="J33" i="111"/>
  <c r="U33" i="110"/>
  <c r="T33" i="110"/>
  <c r="H33" i="111"/>
  <c r="K33" i="112"/>
  <c r="K33" i="111"/>
  <c r="M33" i="111"/>
  <c r="L33" i="112"/>
  <c r="M33" i="112"/>
  <c r="I34" i="110" a="1"/>
  <c r="Q34" i="110" s="1"/>
  <c r="O34" i="111" s="1"/>
  <c r="R33" i="110"/>
  <c r="S33" i="110"/>
  <c r="O33" i="112"/>
  <c r="W34" i="110"/>
  <c r="G33" i="111"/>
  <c r="AA33" i="112" l="1"/>
  <c r="AB34" i="110"/>
  <c r="U34" i="111" s="1"/>
  <c r="AF34" i="110"/>
  <c r="Y34" i="112" s="1"/>
  <c r="AD34" i="110"/>
  <c r="AC34" i="110"/>
  <c r="Z34" i="110"/>
  <c r="AE34" i="110"/>
  <c r="Y34" i="110"/>
  <c r="AM35" i="110" s="1"/>
  <c r="AA34" i="110"/>
  <c r="P33" i="111"/>
  <c r="P33" i="112"/>
  <c r="J34" i="110"/>
  <c r="K34" i="110"/>
  <c r="I34" i="112" s="1"/>
  <c r="L34" i="110"/>
  <c r="J34" i="111" s="1"/>
  <c r="M34" i="110"/>
  <c r="K34" i="111" s="1"/>
  <c r="O34" i="110"/>
  <c r="M34" i="112" s="1"/>
  <c r="P34" i="110"/>
  <c r="N34" i="111" s="1"/>
  <c r="N34" i="110"/>
  <c r="L34" i="111" s="1"/>
  <c r="I34" i="110"/>
  <c r="W34" i="111"/>
  <c r="W34" i="112"/>
  <c r="V34" i="111"/>
  <c r="V34" i="112"/>
  <c r="S34" i="111"/>
  <c r="S34" i="112"/>
  <c r="Z34" i="112"/>
  <c r="AI34" i="110"/>
  <c r="S34" i="110"/>
  <c r="O34" i="112"/>
  <c r="Y34" i="111" l="1"/>
  <c r="U34" i="112"/>
  <c r="AL34" i="110"/>
  <c r="AJ34" i="110"/>
  <c r="AK34" i="110"/>
  <c r="R34" i="111"/>
  <c r="R34" i="112"/>
  <c r="I34" i="111"/>
  <c r="U34" i="110"/>
  <c r="V34" i="110"/>
  <c r="M34" i="111"/>
  <c r="X34" i="111"/>
  <c r="T34" i="111"/>
  <c r="T34" i="112"/>
  <c r="X34" i="112"/>
  <c r="K34" i="112"/>
  <c r="T34" i="110"/>
  <c r="H34" i="112"/>
  <c r="Y35" i="110" a="1"/>
  <c r="AB35" i="110" s="1"/>
  <c r="H34" i="111"/>
  <c r="AH34" i="110"/>
  <c r="J34" i="112"/>
  <c r="I35" i="110" a="1"/>
  <c r="J35" i="110" s="1"/>
  <c r="G34" i="112"/>
  <c r="G34" i="111"/>
  <c r="W35" i="110"/>
  <c r="R34" i="110"/>
  <c r="N34" i="112"/>
  <c r="L34" i="112"/>
  <c r="AA34" i="111" l="1"/>
  <c r="AA34" i="112"/>
  <c r="AE35" i="110"/>
  <c r="AL35" i="110" s="1"/>
  <c r="AA35" i="110"/>
  <c r="T35" i="111" s="1"/>
  <c r="AG35" i="110"/>
  <c r="Z35" i="111" s="1"/>
  <c r="AF35" i="110"/>
  <c r="Y35" i="112" s="1"/>
  <c r="AC35" i="110"/>
  <c r="V35" i="111" s="1"/>
  <c r="Z35" i="110"/>
  <c r="S35" i="112" s="1"/>
  <c r="P34" i="111"/>
  <c r="AD35" i="110"/>
  <c r="W35" i="112" s="1"/>
  <c r="Y35" i="110"/>
  <c r="AM36" i="110" s="1"/>
  <c r="L35" i="110"/>
  <c r="J35" i="112" s="1"/>
  <c r="Q35" i="110"/>
  <c r="O35" i="111" s="1"/>
  <c r="I35" i="110"/>
  <c r="G35" i="112" s="1"/>
  <c r="N35" i="110"/>
  <c r="L35" i="111" s="1"/>
  <c r="M35" i="110"/>
  <c r="K35" i="111" s="1"/>
  <c r="K35" i="110"/>
  <c r="P35" i="110"/>
  <c r="N35" i="111" s="1"/>
  <c r="O35" i="110"/>
  <c r="M35" i="112" s="1"/>
  <c r="P34" i="112"/>
  <c r="H35" i="111"/>
  <c r="H35" i="112"/>
  <c r="U35" i="111"/>
  <c r="U35" i="112"/>
  <c r="X35" i="111"/>
  <c r="X35" i="112"/>
  <c r="Z35" i="112"/>
  <c r="T35" i="112" l="1"/>
  <c r="Y35" i="111"/>
  <c r="V35" i="112"/>
  <c r="AI35" i="110"/>
  <c r="J35" i="111"/>
  <c r="R35" i="112"/>
  <c r="R35" i="111"/>
  <c r="AK35" i="110"/>
  <c r="O35" i="112"/>
  <c r="W35" i="111"/>
  <c r="U35" i="110"/>
  <c r="S35" i="110"/>
  <c r="W36" i="110"/>
  <c r="L35" i="112"/>
  <c r="AH35" i="110"/>
  <c r="T35" i="110"/>
  <c r="K35" i="112"/>
  <c r="AJ35" i="110"/>
  <c r="S35" i="111"/>
  <c r="Y36" i="110" a="1"/>
  <c r="Z36" i="110" s="1"/>
  <c r="G35" i="111"/>
  <c r="I35" i="112"/>
  <c r="I35" i="111"/>
  <c r="V35" i="110"/>
  <c r="I36" i="110" a="1"/>
  <c r="J36" i="110" s="1"/>
  <c r="R35" i="110"/>
  <c r="M35" i="111"/>
  <c r="N35" i="112"/>
  <c r="AA35" i="112" l="1"/>
  <c r="AA35" i="111"/>
  <c r="Y36" i="110"/>
  <c r="AF36" i="110"/>
  <c r="AD36" i="110"/>
  <c r="AA36" i="110"/>
  <c r="AG36" i="110"/>
  <c r="Z36" i="111" s="1"/>
  <c r="P35" i="111"/>
  <c r="AB36" i="110"/>
  <c r="U36" i="111" s="1"/>
  <c r="AE36" i="110"/>
  <c r="X36" i="112" s="1"/>
  <c r="AC36" i="110"/>
  <c r="V36" i="111" s="1"/>
  <c r="P35" i="112"/>
  <c r="P36" i="110"/>
  <c r="N36" i="111" s="1"/>
  <c r="L36" i="110"/>
  <c r="J36" i="112" s="1"/>
  <c r="I36" i="110"/>
  <c r="N36" i="110"/>
  <c r="L36" i="112" s="1"/>
  <c r="M36" i="110"/>
  <c r="T36" i="110" s="1"/>
  <c r="Q36" i="110"/>
  <c r="O36" i="111" s="1"/>
  <c r="O36" i="110"/>
  <c r="M36" i="111" s="1"/>
  <c r="K36" i="110"/>
  <c r="S36" i="112"/>
  <c r="S36" i="111"/>
  <c r="I36" i="111"/>
  <c r="I36" i="112"/>
  <c r="Y36" i="112"/>
  <c r="Y36" i="111"/>
  <c r="R36" i="111"/>
  <c r="R36" i="112"/>
  <c r="T36" i="111"/>
  <c r="T36" i="112"/>
  <c r="H36" i="112"/>
  <c r="H36" i="111"/>
  <c r="Z36" i="112" l="1"/>
  <c r="W37" i="110"/>
  <c r="AI36" i="110"/>
  <c r="N36" i="112"/>
  <c r="AM37" i="110"/>
  <c r="AK36" i="110"/>
  <c r="W36" i="111"/>
  <c r="W36" i="112"/>
  <c r="AJ36" i="110"/>
  <c r="J36" i="111"/>
  <c r="V36" i="112"/>
  <c r="G36" i="111"/>
  <c r="K36" i="111"/>
  <c r="U36" i="110"/>
  <c r="AL36" i="110"/>
  <c r="S36" i="110"/>
  <c r="U36" i="112"/>
  <c r="K36" i="112"/>
  <c r="X36" i="111"/>
  <c r="Y37" i="110" a="1"/>
  <c r="AE37" i="110" s="1"/>
  <c r="AH36" i="110"/>
  <c r="R36" i="110"/>
  <c r="L36" i="111"/>
  <c r="O36" i="112"/>
  <c r="I37" i="110" a="1"/>
  <c r="I37" i="110" s="1"/>
  <c r="G36" i="112"/>
  <c r="M36" i="112"/>
  <c r="V36" i="110"/>
  <c r="AA36" i="112" l="1"/>
  <c r="AA36" i="111"/>
  <c r="P36" i="111"/>
  <c r="AD37" i="110"/>
  <c r="AB37" i="110"/>
  <c r="AL37" i="110" s="1"/>
  <c r="AC37" i="110"/>
  <c r="V37" i="111" s="1"/>
  <c r="AA37" i="110"/>
  <c r="T37" i="111" s="1"/>
  <c r="AF37" i="110"/>
  <c r="Y37" i="111" s="1"/>
  <c r="Z37" i="110"/>
  <c r="S37" i="111" s="1"/>
  <c r="Y37" i="110"/>
  <c r="R37" i="111" s="1"/>
  <c r="AG37" i="110"/>
  <c r="Z37" i="111" s="1"/>
  <c r="M37" i="110"/>
  <c r="K37" i="112" s="1"/>
  <c r="P37" i="110"/>
  <c r="N37" i="111" s="1"/>
  <c r="N37" i="110"/>
  <c r="U37" i="110" s="1"/>
  <c r="Q37" i="110"/>
  <c r="O37" i="111" s="1"/>
  <c r="P36" i="112"/>
  <c r="O37" i="110"/>
  <c r="M37" i="111" s="1"/>
  <c r="L37" i="110"/>
  <c r="J37" i="112" s="1"/>
  <c r="J37" i="110"/>
  <c r="K37" i="110"/>
  <c r="W37" i="111"/>
  <c r="W37" i="112"/>
  <c r="U37" i="111"/>
  <c r="U37" i="112"/>
  <c r="G37" i="111"/>
  <c r="G37" i="112"/>
  <c r="I37" i="111"/>
  <c r="I37" i="112"/>
  <c r="X37" i="111"/>
  <c r="X37" i="112"/>
  <c r="V37" i="112" l="1"/>
  <c r="T37" i="112"/>
  <c r="AK37" i="110"/>
  <c r="K37" i="111"/>
  <c r="AJ37" i="110"/>
  <c r="N37" i="112"/>
  <c r="S37" i="112"/>
  <c r="Y37" i="112"/>
  <c r="T37" i="110"/>
  <c r="L37" i="111"/>
  <c r="L37" i="112"/>
  <c r="O37" i="112"/>
  <c r="S37" i="110"/>
  <c r="M37" i="112"/>
  <c r="R37" i="112"/>
  <c r="J37" i="111"/>
  <c r="AM38" i="110"/>
  <c r="AH37" i="110"/>
  <c r="AI37" i="110"/>
  <c r="Z37" i="112"/>
  <c r="Y38" i="110" a="1"/>
  <c r="Z38" i="110" s="1"/>
  <c r="I38" i="110" a="1"/>
  <c r="O38" i="110" s="1"/>
  <c r="R37" i="110"/>
  <c r="W38" i="110"/>
  <c r="V37" i="110"/>
  <c r="H37" i="112"/>
  <c r="H37" i="111"/>
  <c r="AA37" i="111"/>
  <c r="AA37" i="112" l="1"/>
  <c r="P37" i="112"/>
  <c r="P37" i="111"/>
  <c r="I38" i="110"/>
  <c r="AE38" i="110"/>
  <c r="M38" i="110"/>
  <c r="K38" i="112" s="1"/>
  <c r="Y38" i="110"/>
  <c r="R38" i="112" s="1"/>
  <c r="N38" i="110"/>
  <c r="L38" i="112" s="1"/>
  <c r="P38" i="110"/>
  <c r="N38" i="112" s="1"/>
  <c r="AA38" i="110"/>
  <c r="T38" i="111" s="1"/>
  <c r="J38" i="110"/>
  <c r="L38" i="110"/>
  <c r="W39" i="110" s="1"/>
  <c r="AC38" i="110"/>
  <c r="V38" i="112" s="1"/>
  <c r="K38" i="110"/>
  <c r="I38" i="112" s="1"/>
  <c r="AF38" i="110"/>
  <c r="Y38" i="111" s="1"/>
  <c r="AG38" i="110"/>
  <c r="Z38" i="111" s="1"/>
  <c r="Q38" i="110"/>
  <c r="O38" i="111" s="1"/>
  <c r="AD38" i="110"/>
  <c r="W38" i="112" s="1"/>
  <c r="AB38" i="110"/>
  <c r="U38" i="112" s="1"/>
  <c r="S38" i="111"/>
  <c r="S38" i="112"/>
  <c r="G38" i="111"/>
  <c r="G38" i="112"/>
  <c r="M38" i="111"/>
  <c r="M38" i="112"/>
  <c r="X38" i="111"/>
  <c r="X38" i="112"/>
  <c r="L38" i="111" l="1"/>
  <c r="N38" i="111"/>
  <c r="K38" i="111"/>
  <c r="J38" i="111"/>
  <c r="Y38" i="112"/>
  <c r="Z38" i="112"/>
  <c r="AI38" i="110"/>
  <c r="AJ38" i="110"/>
  <c r="J38" i="112"/>
  <c r="V38" i="110"/>
  <c r="U38" i="110"/>
  <c r="V38" i="111"/>
  <c r="R38" i="110"/>
  <c r="O38" i="112"/>
  <c r="I38" i="111"/>
  <c r="S38" i="110"/>
  <c r="T38" i="112"/>
  <c r="AH38" i="110"/>
  <c r="I39" i="110" a="1"/>
  <c r="K39" i="110" s="1"/>
  <c r="Y39" i="110" a="1"/>
  <c r="AD39" i="110" s="1"/>
  <c r="W38" i="111"/>
  <c r="T38" i="110"/>
  <c r="AM39" i="110"/>
  <c r="AK38" i="110"/>
  <c r="R38" i="111"/>
  <c r="AL38" i="110"/>
  <c r="U38" i="111"/>
  <c r="H38" i="112"/>
  <c r="H38" i="111"/>
  <c r="AA38" i="112" l="1"/>
  <c r="P38" i="111"/>
  <c r="P38" i="112"/>
  <c r="AA38" i="111"/>
  <c r="P39" i="110"/>
  <c r="N39" i="111" s="1"/>
  <c r="Y39" i="110"/>
  <c r="R39" i="112" s="1"/>
  <c r="I39" i="110"/>
  <c r="G39" i="112" s="1"/>
  <c r="O39" i="110"/>
  <c r="M39" i="112" s="1"/>
  <c r="AG39" i="110"/>
  <c r="Z39" i="111" s="1"/>
  <c r="L39" i="110"/>
  <c r="J39" i="111" s="1"/>
  <c r="AF39" i="110"/>
  <c r="Y39" i="112" s="1"/>
  <c r="Q39" i="110"/>
  <c r="O39" i="111" s="1"/>
  <c r="Z39" i="110"/>
  <c r="S39" i="112" s="1"/>
  <c r="AC39" i="110"/>
  <c r="V39" i="111" s="1"/>
  <c r="M39" i="110"/>
  <c r="K39" i="111" s="1"/>
  <c r="AB39" i="110"/>
  <c r="U39" i="111" s="1"/>
  <c r="J39" i="110"/>
  <c r="H39" i="112" s="1"/>
  <c r="AE39" i="110"/>
  <c r="X39" i="111" s="1"/>
  <c r="N39" i="110"/>
  <c r="AA39" i="110"/>
  <c r="T39" i="112" s="1"/>
  <c r="I39" i="111"/>
  <c r="I39" i="112"/>
  <c r="W39" i="111"/>
  <c r="W39" i="112"/>
  <c r="G39" i="111" l="1"/>
  <c r="R39" i="111"/>
  <c r="N39" i="112"/>
  <c r="W40" i="110"/>
  <c r="M39" i="111"/>
  <c r="J39" i="112"/>
  <c r="S39" i="111"/>
  <c r="AI39" i="110"/>
  <c r="Z39" i="112"/>
  <c r="V39" i="110"/>
  <c r="H39" i="111"/>
  <c r="K39" i="112"/>
  <c r="AJ39" i="110"/>
  <c r="T39" i="110"/>
  <c r="V39" i="112"/>
  <c r="U39" i="112"/>
  <c r="X39" i="112"/>
  <c r="AL39" i="110"/>
  <c r="AM40" i="110"/>
  <c r="R39" i="110"/>
  <c r="Y40" i="110" a="1"/>
  <c r="Y40" i="110" s="1"/>
  <c r="AK39" i="110"/>
  <c r="L39" i="111"/>
  <c r="O39" i="112"/>
  <c r="L39" i="112"/>
  <c r="S39" i="110"/>
  <c r="U39" i="110"/>
  <c r="Y39" i="111"/>
  <c r="I40" i="110" a="1"/>
  <c r="O40" i="110" s="1"/>
  <c r="T39" i="111"/>
  <c r="AH39" i="110"/>
  <c r="P39" i="111" l="1"/>
  <c r="AA39" i="112"/>
  <c r="AA39" i="111"/>
  <c r="P39" i="112"/>
  <c r="Z40" i="110"/>
  <c r="S40" i="112" s="1"/>
  <c r="AG40" i="110"/>
  <c r="Z40" i="111" s="1"/>
  <c r="AE40" i="110"/>
  <c r="X40" i="112" s="1"/>
  <c r="AB40" i="110"/>
  <c r="U40" i="112" s="1"/>
  <c r="AD40" i="110"/>
  <c r="W40" i="112" s="1"/>
  <c r="AA40" i="110"/>
  <c r="T40" i="112" s="1"/>
  <c r="AC40" i="110"/>
  <c r="AF40" i="110"/>
  <c r="N40" i="110"/>
  <c r="L40" i="112" s="1"/>
  <c r="Q40" i="110"/>
  <c r="O40" i="111" s="1"/>
  <c r="M40" i="110"/>
  <c r="K40" i="111" s="1"/>
  <c r="K40" i="110"/>
  <c r="I40" i="111" s="1"/>
  <c r="P40" i="110"/>
  <c r="N40" i="111" s="1"/>
  <c r="L40" i="110"/>
  <c r="J40" i="112" s="1"/>
  <c r="I40" i="110"/>
  <c r="G40" i="112" s="1"/>
  <c r="J40" i="110"/>
  <c r="H40" i="111" s="1"/>
  <c r="M40" i="111"/>
  <c r="M40" i="112"/>
  <c r="R40" i="112"/>
  <c r="R40" i="111"/>
  <c r="Z40" i="112" l="1"/>
  <c r="AI40" i="110"/>
  <c r="X40" i="111"/>
  <c r="S40" i="111"/>
  <c r="AJ40" i="110"/>
  <c r="T40" i="111"/>
  <c r="U40" i="111"/>
  <c r="AM41" i="110"/>
  <c r="V40" i="111"/>
  <c r="AL40" i="110"/>
  <c r="V40" i="112"/>
  <c r="W40" i="111"/>
  <c r="AH40" i="110"/>
  <c r="Y40" i="111"/>
  <c r="AK40" i="110"/>
  <c r="Y41" i="110" a="1"/>
  <c r="AA41" i="110" s="1"/>
  <c r="Y40" i="112"/>
  <c r="T40" i="110"/>
  <c r="N40" i="112"/>
  <c r="O40" i="112"/>
  <c r="U40" i="110"/>
  <c r="V40" i="110"/>
  <c r="K40" i="112"/>
  <c r="J40" i="111"/>
  <c r="L40" i="111"/>
  <c r="S40" i="110"/>
  <c r="R40" i="110"/>
  <c r="I40" i="112"/>
  <c r="W41" i="110"/>
  <c r="H40" i="112"/>
  <c r="G40" i="111"/>
  <c r="I41" i="110" a="1"/>
  <c r="L41" i="110" s="1"/>
  <c r="AA40" i="112" l="1"/>
  <c r="AA40" i="111"/>
  <c r="P40" i="111"/>
  <c r="Y41" i="110"/>
  <c r="Z41" i="110"/>
  <c r="AE41" i="110"/>
  <c r="X41" i="112" s="1"/>
  <c r="AD41" i="110"/>
  <c r="W41" i="111" s="1"/>
  <c r="AF41" i="110"/>
  <c r="Y41" i="111" s="1"/>
  <c r="AB41" i="110"/>
  <c r="U41" i="111" s="1"/>
  <c r="AG41" i="110"/>
  <c r="Z41" i="111" s="1"/>
  <c r="AC41" i="110"/>
  <c r="V41" i="111" s="1"/>
  <c r="P40" i="112"/>
  <c r="P41" i="110"/>
  <c r="N41" i="111" s="1"/>
  <c r="N41" i="110"/>
  <c r="L41" i="111" s="1"/>
  <c r="J41" i="110"/>
  <c r="H41" i="111" s="1"/>
  <c r="I41" i="110"/>
  <c r="G41" i="111" s="1"/>
  <c r="K41" i="110"/>
  <c r="I41" i="111" s="1"/>
  <c r="M41" i="110"/>
  <c r="K41" i="112" s="1"/>
  <c r="Q41" i="110"/>
  <c r="O41" i="111" s="1"/>
  <c r="O41" i="110"/>
  <c r="T41" i="112"/>
  <c r="T41" i="111"/>
  <c r="J41" i="112"/>
  <c r="J41" i="111"/>
  <c r="R41" i="112"/>
  <c r="R41" i="111"/>
  <c r="X41" i="111"/>
  <c r="S41" i="112"/>
  <c r="S41" i="111"/>
  <c r="W41" i="112"/>
  <c r="U41" i="112" l="1"/>
  <c r="Y41" i="112"/>
  <c r="AK41" i="110"/>
  <c r="AM42" i="110"/>
  <c r="Z41" i="112"/>
  <c r="Y42" i="110" a="1"/>
  <c r="AC42" i="110" s="1"/>
  <c r="AH41" i="110"/>
  <c r="H41" i="112"/>
  <c r="AL41" i="110"/>
  <c r="AJ41" i="110"/>
  <c r="T41" i="110"/>
  <c r="V41" i="112"/>
  <c r="S41" i="110"/>
  <c r="L41" i="112"/>
  <c r="U41" i="110"/>
  <c r="I41" i="112"/>
  <c r="O41" i="112"/>
  <c r="N41" i="112"/>
  <c r="AI41" i="110"/>
  <c r="W42" i="110"/>
  <c r="K41" i="111"/>
  <c r="R41" i="110"/>
  <c r="G41" i="112"/>
  <c r="M41" i="111"/>
  <c r="M41" i="112"/>
  <c r="V41" i="110"/>
  <c r="I42" i="110" a="1"/>
  <c r="L42" i="110" s="1"/>
  <c r="AA41" i="111"/>
  <c r="AA41" i="112" l="1"/>
  <c r="AD42" i="110"/>
  <c r="AA42" i="110"/>
  <c r="AG42" i="110"/>
  <c r="Z42" i="111" s="1"/>
  <c r="AB42" i="110"/>
  <c r="U42" i="112" s="1"/>
  <c r="Y42" i="110"/>
  <c r="Z42" i="110"/>
  <c r="AJ42" i="110" s="1"/>
  <c r="AF42" i="110"/>
  <c r="Y42" i="111" s="1"/>
  <c r="AE42" i="110"/>
  <c r="X42" i="112" s="1"/>
  <c r="P41" i="111"/>
  <c r="P41" i="112"/>
  <c r="N42" i="110"/>
  <c r="L42" i="112" s="1"/>
  <c r="J42" i="110"/>
  <c r="H42" i="112" s="1"/>
  <c r="M42" i="110"/>
  <c r="K42" i="112" s="1"/>
  <c r="I42" i="110"/>
  <c r="G42" i="112" s="1"/>
  <c r="O42" i="110"/>
  <c r="M42" i="112" s="1"/>
  <c r="K42" i="110"/>
  <c r="I42" i="111" s="1"/>
  <c r="Q42" i="110"/>
  <c r="O42" i="111" s="1"/>
  <c r="P42" i="110"/>
  <c r="N42" i="112" s="1"/>
  <c r="T42" i="112"/>
  <c r="T42" i="111"/>
  <c r="V42" i="111"/>
  <c r="V42" i="112"/>
  <c r="J42" i="112"/>
  <c r="J42" i="111"/>
  <c r="W42" i="111"/>
  <c r="W42" i="112"/>
  <c r="R42" i="111"/>
  <c r="R42" i="112"/>
  <c r="U42" i="111"/>
  <c r="S42" i="112"/>
  <c r="AK42" i="110"/>
  <c r="AM43" i="110" l="1"/>
  <c r="O42" i="112"/>
  <c r="Z42" i="112"/>
  <c r="AI42" i="110"/>
  <c r="S42" i="111"/>
  <c r="Y43" i="110" a="1"/>
  <c r="AB43" i="110" s="1"/>
  <c r="AH42" i="110"/>
  <c r="AL42" i="110"/>
  <c r="X42" i="111"/>
  <c r="Y42" i="112"/>
  <c r="K42" i="111"/>
  <c r="T42" i="110"/>
  <c r="L42" i="111"/>
  <c r="W43" i="110"/>
  <c r="H42" i="111"/>
  <c r="V42" i="110"/>
  <c r="I42" i="112"/>
  <c r="P42" i="112" s="1"/>
  <c r="S42" i="110"/>
  <c r="U42" i="110"/>
  <c r="M42" i="111"/>
  <c r="G42" i="111"/>
  <c r="I43" i="110" a="1"/>
  <c r="M43" i="110" s="1"/>
  <c r="R42" i="110"/>
  <c r="N42" i="111"/>
  <c r="AA42" i="112" l="1"/>
  <c r="AA42" i="111"/>
  <c r="AA43" i="110"/>
  <c r="AG43" i="110"/>
  <c r="Z43" i="111" s="1"/>
  <c r="AF43" i="110"/>
  <c r="Y43" i="112" s="1"/>
  <c r="AC43" i="110"/>
  <c r="AD43" i="110"/>
  <c r="W43" i="111" s="1"/>
  <c r="Y43" i="110"/>
  <c r="R43" i="111" s="1"/>
  <c r="Z43" i="110"/>
  <c r="AE43" i="110"/>
  <c r="AL43" i="110" s="1"/>
  <c r="P42" i="111"/>
  <c r="O43" i="110"/>
  <c r="M43" i="112" s="1"/>
  <c r="I43" i="110"/>
  <c r="G43" i="112" s="1"/>
  <c r="Q43" i="110"/>
  <c r="O43" i="111" s="1"/>
  <c r="J43" i="110"/>
  <c r="H43" i="111" s="1"/>
  <c r="L43" i="110"/>
  <c r="J43" i="112" s="1"/>
  <c r="N43" i="110"/>
  <c r="L43" i="111" s="1"/>
  <c r="K43" i="110"/>
  <c r="I43" i="111" s="1"/>
  <c r="P43" i="110"/>
  <c r="N43" i="112" s="1"/>
  <c r="U43" i="112"/>
  <c r="U43" i="111"/>
  <c r="V43" i="111"/>
  <c r="V43" i="112"/>
  <c r="K43" i="111"/>
  <c r="K43" i="112"/>
  <c r="T43" i="112"/>
  <c r="Z43" i="112"/>
  <c r="AI43" i="110"/>
  <c r="Y43" i="111" l="1"/>
  <c r="AJ43" i="110"/>
  <c r="W43" i="112"/>
  <c r="X43" i="111"/>
  <c r="X43" i="112"/>
  <c r="S43" i="112"/>
  <c r="S43" i="111"/>
  <c r="R43" i="112"/>
  <c r="AM44" i="110"/>
  <c r="Y44" i="110" a="1"/>
  <c r="AC44" i="110" s="1"/>
  <c r="AH43" i="110"/>
  <c r="T43" i="111"/>
  <c r="AK43" i="110"/>
  <c r="W44" i="110"/>
  <c r="M43" i="111"/>
  <c r="G43" i="111"/>
  <c r="O43" i="112"/>
  <c r="V43" i="110"/>
  <c r="S43" i="110"/>
  <c r="U43" i="110"/>
  <c r="T43" i="110"/>
  <c r="J43" i="111"/>
  <c r="I43" i="112"/>
  <c r="L43" i="112"/>
  <c r="H43" i="112"/>
  <c r="I44" i="110" a="1"/>
  <c r="K44" i="110" s="1"/>
  <c r="N43" i="111"/>
  <c r="R43" i="110"/>
  <c r="AA43" i="111" l="1"/>
  <c r="AA43" i="112"/>
  <c r="AG44" i="110"/>
  <c r="Z44" i="111" s="1"/>
  <c r="Y44" i="110"/>
  <c r="AD44" i="110"/>
  <c r="AF44" i="110"/>
  <c r="AA44" i="110"/>
  <c r="AB44" i="110"/>
  <c r="U44" i="112" s="1"/>
  <c r="Z44" i="110"/>
  <c r="S44" i="112" s="1"/>
  <c r="AE44" i="110"/>
  <c r="P43" i="111"/>
  <c r="P43" i="112"/>
  <c r="N44" i="110"/>
  <c r="U44" i="110" s="1"/>
  <c r="L44" i="110"/>
  <c r="J44" i="111" s="1"/>
  <c r="J44" i="110"/>
  <c r="H44" i="111" s="1"/>
  <c r="M44" i="110"/>
  <c r="K44" i="112" s="1"/>
  <c r="Q44" i="110"/>
  <c r="O44" i="111" s="1"/>
  <c r="P44" i="110"/>
  <c r="N44" i="111" s="1"/>
  <c r="I44" i="110"/>
  <c r="G44" i="112" s="1"/>
  <c r="O44" i="110"/>
  <c r="M44" i="112" s="1"/>
  <c r="I44" i="112"/>
  <c r="I44" i="111"/>
  <c r="W44" i="111"/>
  <c r="W44" i="112"/>
  <c r="V44" i="111"/>
  <c r="V44" i="112"/>
  <c r="T44" i="111"/>
  <c r="T44" i="112"/>
  <c r="Y44" i="112"/>
  <c r="Y44" i="111"/>
  <c r="AI44" i="110"/>
  <c r="Z44" i="112"/>
  <c r="AK44" i="110" l="1"/>
  <c r="AM45" i="110"/>
  <c r="R44" i="111"/>
  <c r="R44" i="112"/>
  <c r="U44" i="111"/>
  <c r="AH44" i="110"/>
  <c r="AJ44" i="110"/>
  <c r="X44" i="111"/>
  <c r="Y45" i="110" a="1"/>
  <c r="Z45" i="110" s="1"/>
  <c r="AL44" i="110"/>
  <c r="L44" i="112"/>
  <c r="G44" i="111"/>
  <c r="L44" i="111"/>
  <c r="X44" i="112"/>
  <c r="AA44" i="112" s="1"/>
  <c r="K44" i="111"/>
  <c r="T44" i="110"/>
  <c r="N44" i="112"/>
  <c r="S44" i="111"/>
  <c r="W45" i="110"/>
  <c r="H44" i="112"/>
  <c r="J44" i="112"/>
  <c r="S44" i="110"/>
  <c r="O44" i="112"/>
  <c r="M44" i="111"/>
  <c r="V44" i="110"/>
  <c r="I45" i="110" a="1"/>
  <c r="P45" i="110" s="1"/>
  <c r="R44" i="110"/>
  <c r="AA44" i="111" l="1"/>
  <c r="AB45" i="110"/>
  <c r="AC45" i="110"/>
  <c r="AJ45" i="110" s="1"/>
  <c r="Y45" i="110"/>
  <c r="R45" i="112" s="1"/>
  <c r="AE45" i="110"/>
  <c r="AD45" i="110"/>
  <c r="AF45" i="110"/>
  <c r="Y45" i="111" s="1"/>
  <c r="AA45" i="110"/>
  <c r="T45" i="112" s="1"/>
  <c r="AG45" i="110"/>
  <c r="Z45" i="111" s="1"/>
  <c r="P44" i="111"/>
  <c r="P44" i="112"/>
  <c r="Q45" i="110"/>
  <c r="O45" i="111" s="1"/>
  <c r="M45" i="110"/>
  <c r="K45" i="112" s="1"/>
  <c r="K45" i="110"/>
  <c r="I45" i="111" s="1"/>
  <c r="N45" i="110"/>
  <c r="L45" i="112" s="1"/>
  <c r="I45" i="110"/>
  <c r="G45" i="111" s="1"/>
  <c r="J45" i="110"/>
  <c r="H45" i="112" s="1"/>
  <c r="O45" i="110"/>
  <c r="M45" i="112" s="1"/>
  <c r="L45" i="110"/>
  <c r="J45" i="111" s="1"/>
  <c r="S45" i="112"/>
  <c r="S45" i="111"/>
  <c r="M45" i="111"/>
  <c r="N45" i="111"/>
  <c r="N45" i="112"/>
  <c r="V45" i="111"/>
  <c r="V45" i="112"/>
  <c r="U45" i="112"/>
  <c r="U45" i="111"/>
  <c r="X45" i="111"/>
  <c r="X45" i="112"/>
  <c r="W45" i="112"/>
  <c r="W45" i="111"/>
  <c r="R45" i="111"/>
  <c r="AM46" i="110" l="1"/>
  <c r="AL45" i="110"/>
  <c r="Y45" i="112"/>
  <c r="Y46" i="110" a="1"/>
  <c r="AC46" i="110" s="1"/>
  <c r="AK45" i="110"/>
  <c r="AH45" i="110"/>
  <c r="Z45" i="112"/>
  <c r="AI45" i="110"/>
  <c r="T45" i="111"/>
  <c r="AA45" i="111" s="1"/>
  <c r="S45" i="110"/>
  <c r="O45" i="112"/>
  <c r="K45" i="111"/>
  <c r="T45" i="110"/>
  <c r="G45" i="112"/>
  <c r="U45" i="110"/>
  <c r="I45" i="112"/>
  <c r="W46" i="110"/>
  <c r="L45" i="111"/>
  <c r="I46" i="110" a="1"/>
  <c r="L46" i="110" s="1"/>
  <c r="R45" i="110"/>
  <c r="V45" i="110"/>
  <c r="J45" i="112"/>
  <c r="H45" i="111"/>
  <c r="AA45" i="112" l="1"/>
  <c r="AA46" i="110"/>
  <c r="AD46" i="110"/>
  <c r="Z46" i="110"/>
  <c r="AJ46" i="110" s="1"/>
  <c r="AE46" i="110"/>
  <c r="AF46" i="110"/>
  <c r="Y46" i="112" s="1"/>
  <c r="AG46" i="110"/>
  <c r="Z46" i="111" s="1"/>
  <c r="Y46" i="110"/>
  <c r="AB46" i="110"/>
  <c r="U46" i="112" s="1"/>
  <c r="P45" i="112"/>
  <c r="P45" i="111"/>
  <c r="I46" i="110"/>
  <c r="G46" i="112" s="1"/>
  <c r="P46" i="110"/>
  <c r="N46" i="111" s="1"/>
  <c r="Q46" i="110"/>
  <c r="O46" i="111" s="1"/>
  <c r="M46" i="110"/>
  <c r="K46" i="112" s="1"/>
  <c r="O46" i="110"/>
  <c r="M46" i="111" s="1"/>
  <c r="K46" i="110"/>
  <c r="I46" i="112" s="1"/>
  <c r="J46" i="110"/>
  <c r="H46" i="111" s="1"/>
  <c r="N46" i="110"/>
  <c r="J46" i="111"/>
  <c r="J46" i="112"/>
  <c r="T46" i="112"/>
  <c r="T46" i="111"/>
  <c r="W46" i="112"/>
  <c r="W46" i="111"/>
  <c r="V46" i="111"/>
  <c r="V46" i="112"/>
  <c r="S46" i="112"/>
  <c r="S46" i="111"/>
  <c r="X46" i="112"/>
  <c r="X46" i="111"/>
  <c r="AK46" i="110"/>
  <c r="AL46" i="110" l="1"/>
  <c r="U46" i="111"/>
  <c r="Y46" i="111"/>
  <c r="AI46" i="110"/>
  <c r="Z46" i="112"/>
  <c r="AH46" i="110"/>
  <c r="Y47" i="110" a="1"/>
  <c r="AC47" i="110" s="1"/>
  <c r="AM47" i="110"/>
  <c r="R46" i="111"/>
  <c r="R46" i="112"/>
  <c r="W47" i="110"/>
  <c r="T46" i="110"/>
  <c r="R46" i="110"/>
  <c r="S46" i="110"/>
  <c r="K46" i="111"/>
  <c r="I47" i="110" a="1"/>
  <c r="K47" i="110" s="1"/>
  <c r="O46" i="112"/>
  <c r="N46" i="112"/>
  <c r="G46" i="111"/>
  <c r="V46" i="110"/>
  <c r="L46" i="112"/>
  <c r="L46" i="111"/>
  <c r="U46" i="110"/>
  <c r="I46" i="111"/>
  <c r="H46" i="112"/>
  <c r="M46" i="112"/>
  <c r="AA46" i="112" l="1"/>
  <c r="AA46" i="111"/>
  <c r="AA47" i="110"/>
  <c r="T47" i="111" s="1"/>
  <c r="AD47" i="110"/>
  <c r="W47" i="112" s="1"/>
  <c r="AF47" i="110"/>
  <c r="AG47" i="110"/>
  <c r="Z47" i="111" s="1"/>
  <c r="Z47" i="110"/>
  <c r="AJ47" i="110" s="1"/>
  <c r="AB47" i="110"/>
  <c r="Y47" i="110"/>
  <c r="R47" i="112" s="1"/>
  <c r="AE47" i="110"/>
  <c r="X47" i="112" s="1"/>
  <c r="J47" i="110"/>
  <c r="H47" i="112" s="1"/>
  <c r="N47" i="110"/>
  <c r="L47" i="112" s="1"/>
  <c r="M47" i="110"/>
  <c r="K47" i="111" s="1"/>
  <c r="P46" i="111"/>
  <c r="Q47" i="110"/>
  <c r="O47" i="111" s="1"/>
  <c r="P47" i="110"/>
  <c r="N47" i="112" s="1"/>
  <c r="I47" i="110"/>
  <c r="G47" i="111" s="1"/>
  <c r="O47" i="110"/>
  <c r="M47" i="111" s="1"/>
  <c r="L47" i="110"/>
  <c r="J47" i="111" s="1"/>
  <c r="P46" i="112"/>
  <c r="V47" i="112"/>
  <c r="V47" i="111"/>
  <c r="Y47" i="111"/>
  <c r="Y47" i="112"/>
  <c r="S47" i="111"/>
  <c r="S47" i="112"/>
  <c r="U47" i="111"/>
  <c r="U47" i="112"/>
  <c r="I47" i="112"/>
  <c r="I47" i="111"/>
  <c r="W47" i="111"/>
  <c r="Z47" i="112"/>
  <c r="AI47" i="110" l="1"/>
  <c r="J47" i="112"/>
  <c r="AK47" i="110"/>
  <c r="T47" i="112"/>
  <c r="AA47" i="112" s="1"/>
  <c r="R47" i="111"/>
  <c r="AM48" i="110"/>
  <c r="X47" i="111"/>
  <c r="Y48" i="110" a="1"/>
  <c r="AD48" i="110" s="1"/>
  <c r="AH47" i="110"/>
  <c r="H47" i="111"/>
  <c r="T47" i="110"/>
  <c r="O47" i="112"/>
  <c r="G47" i="112"/>
  <c r="U47" i="110"/>
  <c r="N47" i="111"/>
  <c r="S47" i="110"/>
  <c r="AL47" i="110"/>
  <c r="V47" i="110"/>
  <c r="W48" i="110"/>
  <c r="I48" i="110" a="1"/>
  <c r="P48" i="110" s="1"/>
  <c r="M47" i="112"/>
  <c r="L47" i="111"/>
  <c r="K47" i="112"/>
  <c r="R47" i="110"/>
  <c r="AA47" i="111" l="1"/>
  <c r="AB48" i="110"/>
  <c r="AF48" i="110"/>
  <c r="Y48" i="111" s="1"/>
  <c r="AE48" i="110"/>
  <c r="AA48" i="110"/>
  <c r="AK48" i="110" s="1"/>
  <c r="Y48" i="110"/>
  <c r="R48" i="112" s="1"/>
  <c r="AG48" i="110"/>
  <c r="Z48" i="111" s="1"/>
  <c r="AC48" i="110"/>
  <c r="V48" i="111" s="1"/>
  <c r="Z48" i="110"/>
  <c r="S48" i="111" s="1"/>
  <c r="P47" i="111"/>
  <c r="P47" i="112"/>
  <c r="I48" i="110"/>
  <c r="G48" i="111" s="1"/>
  <c r="J48" i="110"/>
  <c r="H48" i="112" s="1"/>
  <c r="O48" i="110"/>
  <c r="M48" i="112" s="1"/>
  <c r="N48" i="110"/>
  <c r="L48" i="111" s="1"/>
  <c r="Q48" i="110"/>
  <c r="O48" i="111" s="1"/>
  <c r="M48" i="110"/>
  <c r="K48" i="111" s="1"/>
  <c r="K48" i="110"/>
  <c r="I48" i="112" s="1"/>
  <c r="L48" i="110"/>
  <c r="J48" i="111" s="1"/>
  <c r="Y48" i="112"/>
  <c r="U48" i="111"/>
  <c r="U48" i="112"/>
  <c r="W48" i="111"/>
  <c r="W48" i="112"/>
  <c r="N48" i="112"/>
  <c r="N48" i="111"/>
  <c r="X48" i="112"/>
  <c r="X48" i="111"/>
  <c r="T48" i="112"/>
  <c r="T48" i="111"/>
  <c r="AM49" i="110"/>
  <c r="AM4" i="110" s="1"/>
  <c r="AL48" i="110" l="1"/>
  <c r="Z48" i="112"/>
  <c r="Y49" i="110" a="1"/>
  <c r="AA49" i="110" s="1"/>
  <c r="AI48" i="110"/>
  <c r="S48" i="112"/>
  <c r="AJ48" i="110"/>
  <c r="R48" i="111"/>
  <c r="AA48" i="111" s="1"/>
  <c r="V48" i="112"/>
  <c r="AH48" i="110"/>
  <c r="O48" i="112"/>
  <c r="G48" i="112"/>
  <c r="S48" i="110"/>
  <c r="U48" i="110"/>
  <c r="T48" i="110"/>
  <c r="M48" i="111"/>
  <c r="L48" i="112"/>
  <c r="H48" i="111"/>
  <c r="K48" i="112"/>
  <c r="I49" i="110" a="1"/>
  <c r="N49" i="110" s="1"/>
  <c r="W49" i="110"/>
  <c r="W4" i="110" s="1"/>
  <c r="V48" i="110"/>
  <c r="R48" i="110"/>
  <c r="J48" i="112"/>
  <c r="I48" i="111"/>
  <c r="AA48" i="112" l="1"/>
  <c r="AG49" i="110"/>
  <c r="Z49" i="111" s="1"/>
  <c r="AD49" i="110"/>
  <c r="AB49" i="110"/>
  <c r="AE49" i="110"/>
  <c r="AF49" i="110"/>
  <c r="Z49" i="110"/>
  <c r="Z4" i="110" s="1"/>
  <c r="AC49" i="110"/>
  <c r="Y49" i="110"/>
  <c r="AM50" i="110" s="1"/>
  <c r="P48" i="112"/>
  <c r="P48" i="111"/>
  <c r="M49" i="110"/>
  <c r="M4" i="110" s="1"/>
  <c r="O49" i="110"/>
  <c r="M49" i="112" s="1"/>
  <c r="Q49" i="110"/>
  <c r="O49" i="111" s="1"/>
  <c r="J49" i="110"/>
  <c r="H49" i="111" s="1"/>
  <c r="P49" i="110"/>
  <c r="P4" i="110" s="1"/>
  <c r="I49" i="110"/>
  <c r="G49" i="112" s="1"/>
  <c r="K49" i="110"/>
  <c r="I49" i="112" s="1"/>
  <c r="L49" i="110"/>
  <c r="J49" i="111" s="1"/>
  <c r="AD4" i="110"/>
  <c r="W49" i="111"/>
  <c r="W49" i="112"/>
  <c r="AF4" i="110"/>
  <c r="Y49" i="111"/>
  <c r="Y49" i="112"/>
  <c r="AE4" i="110"/>
  <c r="X49" i="111"/>
  <c r="X49" i="112"/>
  <c r="AB4" i="110"/>
  <c r="U49" i="112"/>
  <c r="U49" i="111"/>
  <c r="N4" i="110"/>
  <c r="L49" i="112"/>
  <c r="L49" i="111"/>
  <c r="AA4" i="110"/>
  <c r="T49" i="112"/>
  <c r="T49" i="111"/>
  <c r="Z49" i="112"/>
  <c r="AI49" i="110"/>
  <c r="AL49" i="110"/>
  <c r="AL4" i="110" s="1"/>
  <c r="AG19" i="65" s="1"/>
  <c r="AK49" i="110"/>
  <c r="AK4" i="110" s="1"/>
  <c r="R49" i="112" l="1"/>
  <c r="S49" i="112"/>
  <c r="S49" i="111"/>
  <c r="R49" i="111"/>
  <c r="Y4" i="110"/>
  <c r="K49" i="111"/>
  <c r="K49" i="112"/>
  <c r="K4" i="110"/>
  <c r="AJ49" i="110"/>
  <c r="AJ4" i="110" s="1"/>
  <c r="V49" i="111"/>
  <c r="V49" i="112"/>
  <c r="AC4" i="110"/>
  <c r="Y50" i="110" a="1"/>
  <c r="Z50" i="110" s="1"/>
  <c r="AH49" i="110"/>
  <c r="O4" i="110"/>
  <c r="M49" i="111"/>
  <c r="N49" i="112"/>
  <c r="H49" i="112"/>
  <c r="J4" i="110"/>
  <c r="N49" i="111"/>
  <c r="T49" i="110"/>
  <c r="T4" i="110" s="1"/>
  <c r="W50" i="110"/>
  <c r="G49" i="111"/>
  <c r="I4" i="110"/>
  <c r="U49" i="110"/>
  <c r="U4" i="110" s="1"/>
  <c r="V49" i="110"/>
  <c r="V4" i="110" s="1"/>
  <c r="AG18" i="65" s="1"/>
  <c r="O1176" i="79" s="1" a="1"/>
  <c r="O1176" i="79" s="1"/>
  <c r="M1176" i="79" s="1"/>
  <c r="O1178" i="79" s="1"/>
  <c r="M1178" i="79" s="1"/>
  <c r="J22" i="135" s="1" a="1"/>
  <c r="J22" i="135" s="1"/>
  <c r="J49" i="112"/>
  <c r="L4" i="110"/>
  <c r="I49" i="111"/>
  <c r="S49" i="110"/>
  <c r="S5" i="110" s="1" a="1"/>
  <c r="S5" i="110" s="1"/>
  <c r="I50" i="110" a="1"/>
  <c r="K50" i="110" s="1"/>
  <c r="R49" i="110"/>
  <c r="O49" i="112"/>
  <c r="AI4" i="110"/>
  <c r="AA19" i="65" s="1"/>
  <c r="AI5" i="110" a="1"/>
  <c r="AI5" i="110" s="1"/>
  <c r="AA49" i="112" l="1"/>
  <c r="AA49" i="111"/>
  <c r="AB50" i="110"/>
  <c r="U51" i="112" s="1"/>
  <c r="Y50" i="110"/>
  <c r="AE50" i="110"/>
  <c r="X50" i="112" s="1"/>
  <c r="AG50" i="110"/>
  <c r="Z50" i="111" s="1"/>
  <c r="AC50" i="110"/>
  <c r="AJ50" i="110" s="1"/>
  <c r="P49" i="111"/>
  <c r="AA50" i="110"/>
  <c r="T51" i="111" s="1"/>
  <c r="AF50" i="110"/>
  <c r="Y50" i="112" s="1"/>
  <c r="AD50" i="110"/>
  <c r="W51" i="112" s="1"/>
  <c r="P49" i="112"/>
  <c r="S4" i="110"/>
  <c r="AA18" i="65" s="1"/>
  <c r="P50" i="110"/>
  <c r="N50" i="111" s="1"/>
  <c r="N50" i="110"/>
  <c r="L50" i="111" s="1"/>
  <c r="J50" i="110"/>
  <c r="H51" i="112" s="1"/>
  <c r="I50" i="110"/>
  <c r="G50" i="112" s="1"/>
  <c r="O50" i="110"/>
  <c r="L50" i="110"/>
  <c r="J50" i="112" s="1"/>
  <c r="Q50" i="110"/>
  <c r="O50" i="111" s="1"/>
  <c r="M50" i="110"/>
  <c r="K50" i="111" s="1"/>
  <c r="I50" i="112"/>
  <c r="I50" i="111"/>
  <c r="S50" i="111"/>
  <c r="S50" i="112"/>
  <c r="V50" i="112"/>
  <c r="R50" i="112"/>
  <c r="R50" i="111"/>
  <c r="S51" i="111"/>
  <c r="S51" i="112"/>
  <c r="R51" i="111"/>
  <c r="R51" i="112"/>
  <c r="Q4" i="110"/>
  <c r="AB18" i="65" s="1"/>
  <c r="L15" i="67" s="1"/>
  <c r="I51" i="111"/>
  <c r="I51" i="112"/>
  <c r="Z51" i="111"/>
  <c r="Z51" i="112"/>
  <c r="V51" i="111"/>
  <c r="V51" i="112"/>
  <c r="Z50" i="112" l="1"/>
  <c r="AI50" i="110"/>
  <c r="AG4" i="110"/>
  <c r="AB19" i="65" s="1"/>
  <c r="M15" i="67" s="1"/>
  <c r="V50" i="111"/>
  <c r="O51" i="112"/>
  <c r="O51" i="111"/>
  <c r="O5" i="111" s="1"/>
  <c r="Y51" i="112"/>
  <c r="Y51" i="111"/>
  <c r="O50" i="112"/>
  <c r="K51" i="112"/>
  <c r="J51" i="111"/>
  <c r="J51" i="112"/>
  <c r="U50" i="111"/>
  <c r="U50" i="112"/>
  <c r="U5" i="112" s="1"/>
  <c r="U51" i="111"/>
  <c r="AM51" i="110"/>
  <c r="W50" i="111"/>
  <c r="S50" i="110"/>
  <c r="Z5" i="111"/>
  <c r="V50" i="110"/>
  <c r="T50" i="112"/>
  <c r="T5" i="112" s="1"/>
  <c r="T50" i="111"/>
  <c r="T5" i="111" s="1"/>
  <c r="T51" i="112"/>
  <c r="L51" i="112"/>
  <c r="L51" i="111"/>
  <c r="L6" i="111" s="1" a="1"/>
  <c r="L6" i="111" s="1"/>
  <c r="Y50" i="111"/>
  <c r="Y5" i="111" s="1"/>
  <c r="N51" i="112"/>
  <c r="W50" i="112"/>
  <c r="W5" i="112" s="1"/>
  <c r="AK50" i="110"/>
  <c r="W51" i="111"/>
  <c r="N51" i="111"/>
  <c r="N5" i="111" s="1"/>
  <c r="AL50" i="110"/>
  <c r="X51" i="111"/>
  <c r="X51" i="112"/>
  <c r="AH50" i="110"/>
  <c r="X50" i="111"/>
  <c r="H50" i="112"/>
  <c r="H5" i="112" s="1"/>
  <c r="H50" i="111"/>
  <c r="H51" i="111"/>
  <c r="M51" i="112"/>
  <c r="G51" i="112"/>
  <c r="G50" i="111"/>
  <c r="M51" i="111"/>
  <c r="G51" i="111"/>
  <c r="M50" i="112"/>
  <c r="M5" i="112" s="1"/>
  <c r="M50" i="111"/>
  <c r="W51" i="110"/>
  <c r="U50" i="110"/>
  <c r="T50" i="110"/>
  <c r="N50" i="112"/>
  <c r="K51" i="111"/>
  <c r="K5" i="111" s="1"/>
  <c r="K50" i="112"/>
  <c r="K6" i="112" s="1" a="1"/>
  <c r="K6" i="112" s="1"/>
  <c r="R50" i="110"/>
  <c r="L50" i="112"/>
  <c r="L5" i="112" s="1"/>
  <c r="J50" i="111"/>
  <c r="V5" i="111"/>
  <c r="S5" i="111"/>
  <c r="I5" i="111"/>
  <c r="R5" i="112"/>
  <c r="R6" i="112" a="1"/>
  <c r="R6" i="112" s="1"/>
  <c r="I6" i="111" a="1"/>
  <c r="I6" i="111" s="1"/>
  <c r="R5" i="111"/>
  <c r="X5" i="112"/>
  <c r="X6" i="112" a="1"/>
  <c r="X6" i="112" s="1"/>
  <c r="I5" i="112"/>
  <c r="I6" i="112" a="1"/>
  <c r="I6" i="112" s="1"/>
  <c r="V6" i="111" a="1"/>
  <c r="V6" i="111" s="1"/>
  <c r="J5" i="112"/>
  <c r="J6" i="112" a="1"/>
  <c r="J6" i="112" s="1"/>
  <c r="V5" i="112"/>
  <c r="V6" i="112" a="1"/>
  <c r="V6" i="112" s="1"/>
  <c r="Z6" i="111" a="1"/>
  <c r="Z6" i="111" s="1"/>
  <c r="U6" i="112" a="1"/>
  <c r="U6" i="112" s="1"/>
  <c r="Z5" i="112"/>
  <c r="Z6" i="112" a="1"/>
  <c r="Z6" i="112" s="1"/>
  <c r="O5" i="112"/>
  <c r="O6" i="112" a="1"/>
  <c r="O6" i="112" s="1"/>
  <c r="S5" i="112"/>
  <c r="S6" i="112" a="1"/>
  <c r="S6" i="112" s="1"/>
  <c r="O6" i="111" a="1"/>
  <c r="O6" i="111" s="1"/>
  <c r="S6" i="111" a="1"/>
  <c r="S6" i="111" s="1"/>
  <c r="Y5" i="112"/>
  <c r="Y6" i="112" a="1"/>
  <c r="Y6" i="112" s="1"/>
  <c r="Y6" i="111" a="1"/>
  <c r="Y6" i="111" s="1"/>
  <c r="T6" i="111" a="1"/>
  <c r="T6" i="111" s="1"/>
  <c r="G5" i="112"/>
  <c r="G6" i="112" a="1"/>
  <c r="G6" i="112" s="1"/>
  <c r="R6" i="111" a="1"/>
  <c r="R6" i="111" s="1"/>
  <c r="N15" i="67"/>
  <c r="O1141" i="79" a="1"/>
  <c r="O1141" i="79" s="1"/>
  <c r="M1141" i="79" s="1"/>
  <c r="U5" i="111" l="1"/>
  <c r="U6" i="111" a="1"/>
  <c r="U6" i="111" s="1"/>
  <c r="J5" i="111"/>
  <c r="T6" i="112" a="1"/>
  <c r="T6" i="112" s="1"/>
  <c r="K5" i="112"/>
  <c r="G6" i="111" a="1"/>
  <c r="G6" i="111" s="1"/>
  <c r="W5" i="111"/>
  <c r="H6" i="112" a="1"/>
  <c r="H6" i="112" s="1"/>
  <c r="H6" i="111" a="1"/>
  <c r="H6" i="111" s="1"/>
  <c r="L5" i="111"/>
  <c r="W6" i="111" a="1"/>
  <c r="W6" i="111" s="1"/>
  <c r="AA51" i="112"/>
  <c r="M6" i="112" a="1"/>
  <c r="M6" i="112" s="1"/>
  <c r="N6" i="111" a="1"/>
  <c r="N6" i="111" s="1"/>
  <c r="G5" i="111"/>
  <c r="AA50" i="112"/>
  <c r="W6" i="112" a="1"/>
  <c r="W6" i="112" s="1"/>
  <c r="M5" i="111"/>
  <c r="X6" i="111" a="1"/>
  <c r="X6" i="111" s="1"/>
  <c r="X5" i="111"/>
  <c r="AA50" i="111"/>
  <c r="AA5" i="111" s="1"/>
  <c r="AA51" i="111"/>
  <c r="M6" i="111" a="1"/>
  <c r="M6" i="111" s="1"/>
  <c r="L6" i="112" a="1"/>
  <c r="L6" i="112" s="1"/>
  <c r="H5" i="111"/>
  <c r="P51" i="112"/>
  <c r="P50" i="111"/>
  <c r="P5" i="111" s="1"/>
  <c r="P50" i="112"/>
  <c r="P5" i="112" s="1"/>
  <c r="N6" i="112" a="1"/>
  <c r="N6" i="112" s="1"/>
  <c r="N5" i="112"/>
  <c r="K6" i="111" a="1"/>
  <c r="K6" i="111" s="1"/>
  <c r="P51" i="111"/>
  <c r="J6" i="111" a="1"/>
  <c r="J6" i="111" s="1"/>
  <c r="AA5" i="112"/>
  <c r="AA6" i="112" a="1"/>
  <c r="AA6" i="112" s="1"/>
  <c r="Y19" i="65" s="1"/>
  <c r="G15" i="67" s="1"/>
  <c r="O1143" i="79"/>
  <c r="M1143" i="79" s="1"/>
  <c r="F22" i="135" s="1" a="1"/>
  <c r="F22" i="135" s="1"/>
  <c r="AA6" i="111" l="1" a="1"/>
  <c r="AA6" i="111" s="1"/>
  <c r="Z19" i="65" s="1"/>
  <c r="I15" i="67" s="1"/>
  <c r="J48" i="67" s="1"/>
  <c r="P6" i="111" a="1"/>
  <c r="P6" i="111" s="1"/>
  <c r="Z18" i="65" s="1"/>
  <c r="H15" i="67" s="1"/>
  <c r="P6" i="112" a="1"/>
  <c r="P6" i="112" s="1"/>
  <c r="Y18" i="65" s="1"/>
  <c r="F15" i="67" s="1"/>
  <c r="X16" i="34" a="1"/>
  <c r="X16" i="34" s="1"/>
  <c r="G48" i="67"/>
  <c r="AA16" i="34" l="1" a="1"/>
  <c r="AA16" i="34" s="1"/>
  <c r="O1134" i="79" a="1"/>
  <c r="O1134" i="79" s="1"/>
  <c r="M1134" i="79" s="1"/>
  <c r="O1136" i="79" s="1"/>
  <c r="M1136" i="79" s="1"/>
  <c r="D2" i="79" s="1" a="1"/>
  <c r="D2" i="79" s="1"/>
  <c r="Z16" i="34" a="1"/>
  <c r="Z16" i="34" s="1"/>
  <c r="O1127" i="79" a="1"/>
  <c r="O1127" i="79" s="1"/>
  <c r="M1127" i="79" s="1"/>
  <c r="O1129" i="79" s="1"/>
  <c r="M1129" i="79" s="1"/>
  <c r="F18" i="65"/>
  <c r="H18" i="65" s="1" a="1"/>
  <c r="H18" i="65" s="1"/>
  <c r="Q18" i="65" s="1" a="1"/>
  <c r="Q18" i="65" s="1"/>
  <c r="F19" i="65"/>
  <c r="G19" i="65" s="1" a="1"/>
  <c r="G19" i="65" s="1"/>
  <c r="W16" i="34" a="1"/>
  <c r="W16" i="34" s="1"/>
  <c r="F48" i="67"/>
  <c r="J15" i="67"/>
  <c r="H48" i="67" s="1"/>
  <c r="I48" i="67"/>
  <c r="K15" i="67"/>
  <c r="K48" i="67" s="1"/>
  <c r="Z33" i="65" l="1" a="1"/>
  <c r="Z33" i="65" s="1"/>
  <c r="K30" i="67" s="1"/>
  <c r="Y33" i="65" a="1"/>
  <c r="Y33" i="65" s="1"/>
  <c r="J30" i="67" s="1"/>
  <c r="I19" i="65" a="1"/>
  <c r="I19" i="65" s="1"/>
  <c r="R19" i="65" s="1" a="1"/>
  <c r="R19" i="65" s="1"/>
  <c r="H19" i="65" a="1"/>
  <c r="H19" i="65" s="1"/>
  <c r="Q19" i="65" s="1" a="1"/>
  <c r="Q19" i="65" s="1"/>
  <c r="I18" i="65" a="1"/>
  <c r="I18" i="65" s="1"/>
  <c r="R18" i="65" s="1" a="1"/>
  <c r="R18" i="65" s="1"/>
  <c r="T18" i="65" s="1" a="1"/>
  <c r="T18" i="65" s="1"/>
  <c r="G18" i="65" a="1"/>
  <c r="G18" i="65" s="1"/>
  <c r="BD16" i="34" a="1"/>
  <c r="BD16" i="34" s="1"/>
  <c r="Z39" i="65" a="1"/>
  <c r="Z39" i="65" s="1"/>
  <c r="K36" i="67" s="1"/>
  <c r="Y39" i="65" a="1"/>
  <c r="Y39" i="65" s="1"/>
  <c r="J36" i="67" s="1"/>
  <c r="M19" i="65"/>
  <c r="J19" i="65" l="1"/>
  <c r="F33" i="65"/>
  <c r="H33" i="65" s="1" a="1"/>
  <c r="H33" i="65" s="1"/>
  <c r="BA16" i="34" a="1"/>
  <c r="BA16" i="34" s="1"/>
  <c r="K19" i="65"/>
  <c r="F34" i="65"/>
  <c r="G34" i="65" s="1" a="1"/>
  <c r="G34" i="65" s="1"/>
  <c r="U18" i="65"/>
  <c r="K18" i="65"/>
  <c r="J18" i="65"/>
  <c r="N19" i="65"/>
  <c r="O19" i="65" s="1"/>
  <c r="S18" i="65" a="1"/>
  <c r="S18" i="65" s="1"/>
  <c r="T19" i="65" a="1"/>
  <c r="T19" i="65" s="1"/>
  <c r="S19" i="65" a="1"/>
  <c r="S19" i="65" s="1"/>
  <c r="U19" i="65"/>
  <c r="BP16" i="34" a="1"/>
  <c r="BP16" i="34" s="1"/>
  <c r="I33" i="65" a="1"/>
  <c r="I33" i="65" s="1"/>
  <c r="R33" i="65" s="1" a="1"/>
  <c r="R33" i="65" s="1"/>
  <c r="G33" i="65" a="1"/>
  <c r="G33" i="65" s="1"/>
  <c r="F39" i="65"/>
  <c r="F40" i="65"/>
  <c r="BM16" i="34" a="1"/>
  <c r="BM16" i="34" s="1"/>
  <c r="H34" i="65" l="1" a="1"/>
  <c r="H34" i="65" s="1"/>
  <c r="Q34" i="65" s="1" a="1"/>
  <c r="Q34" i="65" s="1"/>
  <c r="I34" i="65" a="1"/>
  <c r="I34" i="65" s="1"/>
  <c r="R34" i="65" s="1" a="1"/>
  <c r="R34" i="65" s="1"/>
  <c r="J33" i="65"/>
  <c r="Q33" i="65" a="1"/>
  <c r="Q33" i="65" s="1"/>
  <c r="T33" i="65" s="1" a="1"/>
  <c r="T33" i="65" s="1"/>
  <c r="K33" i="65"/>
  <c r="G39" i="65" a="1"/>
  <c r="G39" i="65" s="1"/>
  <c r="H39" i="65" a="1"/>
  <c r="H39" i="65" s="1"/>
  <c r="Q39" i="65" s="1" a="1"/>
  <c r="Q39" i="65" s="1"/>
  <c r="U39" i="65" s="1"/>
  <c r="I39" i="65" a="1"/>
  <c r="I39" i="65" s="1"/>
  <c r="R39" i="65" s="1" a="1"/>
  <c r="R39" i="65" s="1"/>
  <c r="G40" i="65" a="1"/>
  <c r="G40" i="65" s="1"/>
  <c r="I40" i="65" a="1"/>
  <c r="I40" i="65" s="1"/>
  <c r="H40" i="65" a="1"/>
  <c r="H40" i="65" s="1"/>
  <c r="M34" i="65"/>
  <c r="J34" i="65" l="1"/>
  <c r="S34" i="65" a="1"/>
  <c r="S34" i="65" s="1"/>
  <c r="K34" i="65"/>
  <c r="N34" i="65"/>
  <c r="T34" i="65" a="1"/>
  <c r="T34" i="65" s="1"/>
  <c r="U34" i="65"/>
  <c r="T39" i="65" a="1"/>
  <c r="T39" i="65" s="1"/>
  <c r="S39" i="65" a="1"/>
  <c r="S39" i="65" s="1"/>
  <c r="S33" i="65" a="1"/>
  <c r="S33" i="65" s="1"/>
  <c r="U33" i="65"/>
  <c r="O34" i="65"/>
  <c r="J39" i="65"/>
  <c r="N40" i="65"/>
  <c r="K39" i="65"/>
  <c r="J40" i="65"/>
  <c r="K40" i="65"/>
  <c r="R40" i="65" a="1"/>
  <c r="R40" i="65" s="1"/>
  <c r="M40" i="65"/>
  <c r="Q40" i="65" a="1"/>
  <c r="Q40" i="65" s="1"/>
  <c r="O40" i="65" l="1"/>
  <c r="U40" i="65"/>
  <c r="T40" i="65" a="1"/>
  <c r="T40" i="65" s="1"/>
  <c r="S40" i="65" a="1"/>
  <c r="S40" i="6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<sst xmlns="http://schemas.openxmlformats.org/spreadsheetml/2006/main" count="7428" uniqueCount="949">
  <si>
    <t>Parameter</t>
  </si>
  <si>
    <t>Active</t>
  </si>
  <si>
    <t>Name</t>
  </si>
  <si>
    <t>Default</t>
  </si>
  <si>
    <t>Extracted / assumed values</t>
  </si>
  <si>
    <t>Probabilistic sensitivity analysis</t>
  </si>
  <si>
    <t>N</t>
  </si>
  <si>
    <t>k</t>
  </si>
  <si>
    <t>mean</t>
  </si>
  <si>
    <t>SD</t>
  </si>
  <si>
    <t>SE</t>
  </si>
  <si>
    <t>Lo/Min</t>
  </si>
  <si>
    <t>Med/Mode</t>
  </si>
  <si>
    <t>Hi/Max</t>
  </si>
  <si>
    <t>Rnd</t>
  </si>
  <si>
    <t>ProbVal</t>
  </si>
  <si>
    <t>Dist</t>
  </si>
  <si>
    <t>Param1</t>
  </si>
  <si>
    <t>Param2</t>
  </si>
  <si>
    <t>Param3</t>
  </si>
  <si>
    <t>Lognormal</t>
  </si>
  <si>
    <t>swtchPSA</t>
  </si>
  <si>
    <t>PSA (1=off; 2=on)</t>
  </si>
  <si>
    <t>Normal</t>
  </si>
  <si>
    <t>Cycles per year</t>
  </si>
  <si>
    <t>Global settings</t>
  </si>
  <si>
    <t>Switches and settings</t>
  </si>
  <si>
    <t>Source</t>
  </si>
  <si>
    <t>Beta</t>
  </si>
  <si>
    <t>Baseline population:</t>
  </si>
  <si>
    <t>Age</t>
  </si>
  <si>
    <t>Cycle</t>
  </si>
  <si>
    <t>Starting age</t>
  </si>
  <si>
    <t>Sex (% male)</t>
  </si>
  <si>
    <t>Dead</t>
  </si>
  <si>
    <t>chk</t>
  </si>
  <si>
    <t>GenPopU</t>
  </si>
  <si>
    <t>Total</t>
  </si>
  <si>
    <t>Gamma</t>
  </si>
  <si>
    <t>Costs</t>
  </si>
  <si>
    <t>QALYs</t>
  </si>
  <si>
    <t>LYs</t>
  </si>
  <si>
    <t xml:space="preserve">Discounted QALYs </t>
  </si>
  <si>
    <t xml:space="preserve">QALYs </t>
  </si>
  <si>
    <t>min</t>
  </si>
  <si>
    <t>max</t>
  </si>
  <si>
    <t xml:space="preserve">Costs </t>
  </si>
  <si>
    <t xml:space="preserve">Discounted costs </t>
  </si>
  <si>
    <t>Deterministic</t>
  </si>
  <si>
    <t>Cohort
ID</t>
  </si>
  <si>
    <t>Absolute</t>
  </si>
  <si>
    <t>ICER</t>
  </si>
  <si>
    <t>Raw, unsorted results</t>
  </si>
  <si>
    <t>#</t>
  </si>
  <si>
    <t>Strategy name</t>
  </si>
  <si>
    <t>Fully incremental analysis</t>
  </si>
  <si>
    <t>Probabilistic</t>
  </si>
  <si>
    <t xml:space="preserve">LYs </t>
  </si>
  <si>
    <t>Discount rate (QALYs)</t>
  </si>
  <si>
    <t>Discount rate (Costs)</t>
  </si>
  <si>
    <t>Value</t>
  </si>
  <si>
    <t>Dirichlet</t>
  </si>
  <si>
    <t>Men</t>
  </si>
  <si>
    <t>Women</t>
  </si>
  <si>
    <t xml:space="preserve">Discounted LYs </t>
  </si>
  <si>
    <t xml:space="preserve">The model should be reviewed in conjunction with the full technical report, which can be found in
</t>
  </si>
  <si>
    <t>Please note:</t>
  </si>
  <si>
    <t>* This workbook has not been protected; care must be taken not to overtype formulae on which it relies.</t>
  </si>
  <si>
    <t xml:space="preserve">  outside the range that will work in the model.</t>
  </si>
  <si>
    <t>Alpha</t>
  </si>
  <si>
    <t>Correlation</t>
  </si>
  <si>
    <t>Mean</t>
  </si>
  <si>
    <t>Radians</t>
  </si>
  <si>
    <t>Credible ellipse</t>
  </si>
  <si>
    <t>Compared with:</t>
  </si>
  <si>
    <t>Strategy names</t>
  </si>
  <si>
    <t>Total number of strategies:</t>
  </si>
  <si>
    <t>Strategies</t>
  </si>
  <si>
    <t>Total number of states:</t>
  </si>
  <si>
    <t>StateID</t>
  </si>
  <si>
    <t>StratID</t>
  </si>
  <si>
    <t>Incremental NHB</t>
  </si>
  <si>
    <t>Rank</t>
  </si>
  <si>
    <t>To:</t>
  </si>
  <si>
    <t>From:</t>
  </si>
  <si>
    <t>State occupancy</t>
  </si>
  <si>
    <t>Health-state costs</t>
  </si>
  <si>
    <t>Time horizon (years)</t>
  </si>
  <si>
    <t>State names</t>
  </si>
  <si>
    <t/>
  </si>
  <si>
    <t xml:space="preserve">StratID </t>
  </si>
  <si>
    <t xml:space="preserve">StateID </t>
  </si>
  <si>
    <t>Years</t>
  </si>
  <si>
    <t>PSA -&gt;</t>
  </si>
  <si>
    <t>Data -&gt;</t>
  </si>
  <si>
    <t>Prob per cycle</t>
  </si>
  <si>
    <t>No HPE</t>
  </si>
  <si>
    <t>HPE</t>
  </si>
  <si>
    <t>Primary care AKI</t>
  </si>
  <si>
    <t>Secondary care AKI (no RRT)</t>
  </si>
  <si>
    <t>Secondary care AKI (with RRT)</t>
  </si>
  <si>
    <t>Post-event CKD stage 3b-4</t>
  </si>
  <si>
    <t>ESRD</t>
  </si>
  <si>
    <t>ESRD+RRT</t>
  </si>
  <si>
    <t>Dead (AKI)</t>
  </si>
  <si>
    <t>Dead (other)</t>
  </si>
  <si>
    <t>No event + NSAID</t>
  </si>
  <si>
    <t>No event no NSAID</t>
  </si>
  <si>
    <t>3b</t>
  </si>
  <si>
    <t>4</t>
  </si>
  <si>
    <t>5</t>
  </si>
  <si>
    <t>3b-4</t>
  </si>
  <si>
    <t>5D</t>
  </si>
  <si>
    <t>Per-cycle probability</t>
  </si>
  <si>
    <t>Annual rates</t>
  </si>
  <si>
    <t>Normal proteinuria</t>
  </si>
  <si>
    <t>Mild proteinuria</t>
  </si>
  <si>
    <t>Heavy proteinuria</t>
  </si>
  <si>
    <t>CKD 3B</t>
  </si>
  <si>
    <t>CKD 4</t>
  </si>
  <si>
    <t>CKD 3B-4</t>
  </si>
  <si>
    <t>Hospital AKI not requiring dialysis</t>
  </si>
  <si>
    <t>Hospital AKI requiring dialysis</t>
  </si>
  <si>
    <t>Proportion of AKIs managed in primary care alone</t>
  </si>
  <si>
    <t>Per-cycle probability of primary care AKI</t>
  </si>
  <si>
    <t>OR for AKI, NSAID -v- none</t>
  </si>
  <si>
    <t>No NSAIDs</t>
  </si>
  <si>
    <t>With NSAIDs</t>
  </si>
  <si>
    <t>Prob of CKD progression following secondary AKI</t>
  </si>
  <si>
    <t>Prob of RRT following secondary AKI</t>
  </si>
  <si>
    <t>Developing CKD5</t>
  </si>
  <si>
    <t>Developing CKD5D</t>
  </si>
  <si>
    <t>Undergoing transplantation</t>
  </si>
  <si>
    <t>Probability of death following AKI</t>
  </si>
  <si>
    <t>Probability of in-hospital death following AKI</t>
  </si>
  <si>
    <t>Probability of graft failure</t>
  </si>
  <si>
    <t>Annual</t>
  </si>
  <si>
    <t>per cycle</t>
  </si>
  <si>
    <t>Maximum duration of HPE (years)</t>
  </si>
  <si>
    <t>CC
cycle</t>
  </si>
  <si>
    <t>Cycles with no correction of HPE</t>
  </si>
  <si>
    <t>Cycle in which HPE is corrected on routine review</t>
  </si>
  <si>
    <t>Mortality</t>
  </si>
  <si>
    <t>AKI</t>
  </si>
  <si>
    <t>Prob of CKD progression but no RRT after 2º AKI</t>
  </si>
  <si>
    <t>Consequences of AKI</t>
  </si>
  <si>
    <t>General population mortality</t>
  </si>
  <si>
    <t>Age-stratified IRRs for AKI, NSAID -v- none</t>
  </si>
  <si>
    <t>Baseline prob of AKI</t>
  </si>
  <si>
    <t>Effect of NSAIDs on risk of AKI</t>
  </si>
  <si>
    <t>Age-stratified AKI-rates</t>
  </si>
  <si>
    <t>Fitted AKI probs</t>
  </si>
  <si>
    <t>Secondary care, no dialysis</t>
  </si>
  <si>
    <t>Primary care</t>
  </si>
  <si>
    <t>Utilities</t>
  </si>
  <si>
    <t>Ara &amp; Brazier (2011)</t>
  </si>
  <si>
    <t>General population utility</t>
  </si>
  <si>
    <t>Utility with CKD4 (age 64)</t>
  </si>
  <si>
    <t>Disutility for CKD3B-4</t>
  </si>
  <si>
    <t>Utility with CKD5D</t>
  </si>
  <si>
    <t>Utility post transplant</t>
  </si>
  <si>
    <t>Disutility for post transplant</t>
  </si>
  <si>
    <t>Utility transplant waiting list</t>
  </si>
  <si>
    <t>Utility increment post transplant</t>
  </si>
  <si>
    <t>Transplant</t>
  </si>
  <si>
    <t>Post-transplant</t>
  </si>
  <si>
    <t>Disutilities by state</t>
  </si>
  <si>
    <t>Hospital 1</t>
  </si>
  <si>
    <t>Hospital 2</t>
  </si>
  <si>
    <t>Average</t>
  </si>
  <si>
    <t>Disutility for AKI in secondary care</t>
  </si>
  <si>
    <t>AKI in secondary care</t>
  </si>
  <si>
    <t>Assumed duration of disutility (years)</t>
  </si>
  <si>
    <t>Assumed duration of disutility for primary care AKI (years)</t>
  </si>
  <si>
    <t>Cost per cycle (2010/11)</t>
  </si>
  <si>
    <t>Annual cost (2010/11)</t>
  </si>
  <si>
    <t>CKD3B</t>
  </si>
  <si>
    <t>CKD4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</si>
  <si>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</si>
  <si>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</si>
  <si>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</si>
  <si>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</si>
  <si>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</si>
  <si>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</si>
  <si>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</si>
  <si>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</si>
  <si>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</si>
  <si>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</si>
  <si>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</si>
  <si>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</si>
  <si>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2012/13</t>
  </si>
  <si>
    <t>2013/14</t>
  </si>
  <si>
    <t>2014/15</t>
  </si>
  <si>
    <t>2015/16</t>
  </si>
  <si>
    <t>2016/17</t>
  </si>
  <si>
    <t>2017/18</t>
  </si>
  <si>
    <t>2018/19</t>
  </si>
  <si>
    <t>Inflators</t>
  </si>
  <si>
    <t>CKD3B-4</t>
  </si>
  <si>
    <t>CKD5</t>
  </si>
  <si>
    <t>CKD5D</t>
  </si>
  <si>
    <t>Transplantation</t>
  </si>
  <si>
    <t>Post-transplantation</t>
  </si>
  <si>
    <t>Annual cost for year of Tx (2010/11)</t>
  </si>
  <si>
    <t>Cost of Tx cycle (2010/11)</t>
  </si>
  <si>
    <t>GP appointment</t>
  </si>
  <si>
    <t>Blood test</t>
  </si>
  <si>
    <t>Resource-use</t>
  </si>
  <si>
    <t>Cost per cycle</t>
  </si>
  <si>
    <t>Unit costs</t>
  </si>
  <si>
    <t>Secondary care AKI no RRT</t>
  </si>
  <si>
    <t>LA07H Acute Kidney Injury with Interventions, with CC Score 11+</t>
  </si>
  <si>
    <t>LA07J Acute Kidney Injury with Interventions, with CC Score 6-10</t>
  </si>
  <si>
    <t>LA07K Acute Kidney Injury with Interventions, with CC Score 0-5</t>
  </si>
  <si>
    <t>LA07L Acute Kidney Injury without Interventions, with CC Score 12+</t>
  </si>
  <si>
    <t>LA07M Acute Kidney Injury without Interventions, with CC Score 8-11</t>
  </si>
  <si>
    <t>LA07N Acute Kidney Injury without Interventions, with CC Score 4-7</t>
  </si>
  <si>
    <t>LA07P Acute Kidney Injury without Interventions, with CC Score 0-3</t>
  </si>
  <si>
    <t>Weighted average</t>
  </si>
  <si>
    <t>Proportion of people needing ICU</t>
  </si>
  <si>
    <t>Critical care per day</t>
  </si>
  <si>
    <t>Nonelective admission for AKI</t>
  </si>
  <si>
    <t>Cost of 1-week admission</t>
  </si>
  <si>
    <t>Cost for people…</t>
  </si>
  <si>
    <t>Dying</t>
  </si>
  <si>
    <t>Returning to CKD3B-4</t>
  </si>
  <si>
    <t>Progressing to ESRD</t>
  </si>
  <si>
    <t>Progressing to CKD5D</t>
  </si>
  <si>
    <t>Renal dialysis for acute kidney injury</t>
  </si>
  <si>
    <t>LE01A Haemodialysis for Acute Kidney Injury, 19 years and over</t>
  </si>
  <si>
    <t>LE02A Peritoneal Dialysis for Acute Kidney Injury, 19 years and over</t>
  </si>
  <si>
    <t>Cost of cycle (no RRT)</t>
  </si>
  <si>
    <t>Cost of cycle (inc RRT)</t>
  </si>
  <si>
    <t>Dialysis sessions for people needing RRT</t>
  </si>
  <si>
    <t>Cycle costs by state</t>
  </si>
  <si>
    <t>State costs</t>
  </si>
  <si>
    <t xml:space="preserve">State cost </t>
  </si>
  <si>
    <t xml:space="preserve">State disutility </t>
  </si>
  <si>
    <t>Relative IRRs compared with 70-74yos</t>
  </si>
  <si>
    <t>* Using this model requires relevant technical expertise</t>
  </si>
  <si>
    <t>Kent et al(2015)</t>
  </si>
  <si>
    <t>Hall et al(2018) citing RenalReg (derivation unclear)</t>
  </si>
  <si>
    <t>James et al(2010)</t>
  </si>
  <si>
    <t>Kohle et al(2016)</t>
  </si>
  <si>
    <t>Kohle et al(2015)</t>
  </si>
  <si>
    <t>Wonnacott et al(2014)</t>
  </si>
  <si>
    <t>Jesky et al(2016)</t>
  </si>
  <si>
    <t>Yang et al(2015)</t>
  </si>
  <si>
    <t>Li et al(2017)</t>
  </si>
  <si>
    <t>Mistry et al(2018)</t>
  </si>
  <si>
    <t>Total cost</t>
  </si>
  <si>
    <t>Unit cost, 400mg 84-pack</t>
  </si>
  <si>
    <t>Ibuprofen 400mg tid</t>
  </si>
  <si>
    <t>Unit cost, 50mg 28-pack</t>
  </si>
  <si>
    <t>Diclofenac sodium 50mg bd</t>
  </si>
  <si>
    <t>Unit cost, 100mg 60-pack</t>
  </si>
  <si>
    <t>Celecoxib 100mg bd</t>
  </si>
  <si>
    <t>XC02Z Adult Critical Care, 5 Organs Supported (CCU10 - renal adult patients predominate)</t>
  </si>
  <si>
    <t>XC03Z Adult Critical Care, 4 Organs Supported (CCU10 - renal adult patients predominate)</t>
  </si>
  <si>
    <t>XC04Z Adult Critical Care, 3 Organs Supported (CCU10 - renal adult patients predominate)</t>
  </si>
  <si>
    <t>XC05Z Adult Critical Care, 2 Organs Supported (CCU10 - renal adult patients predominate)</t>
  </si>
  <si>
    <t>XC06Z Adult Critical Care, 1 Organ Supported (CCU10 - renal adult patients predominate)</t>
  </si>
  <si>
    <t>XC07Z Adult Critical Care, 0 Organs Supported (CCU10 - renal adult patients predominate)</t>
  </si>
  <si>
    <t>NSAIDs</t>
  </si>
  <si>
    <t>BNF</t>
  </si>
  <si>
    <t>Unit cost (pack of 28)</t>
  </si>
  <si>
    <t>NSAIDs cost</t>
  </si>
  <si>
    <t>Alternative painkiller</t>
  </si>
  <si>
    <t>Paracetamol 2x500mg tid</t>
  </si>
  <si>
    <t>Unit cost (pack of 100)</t>
  </si>
  <si>
    <t>NSAIDs assumed in use</t>
  </si>
  <si>
    <t>People</t>
  </si>
  <si>
    <t>Ratio compared with 70-74yos</t>
  </si>
  <si>
    <t>Post-Tx</t>
  </si>
  <si>
    <t>3B-4</t>
  </si>
  <si>
    <t>GP</t>
  </si>
  <si>
    <t>1-3B</t>
  </si>
  <si>
    <t>Guthrie personal communication</t>
  </si>
  <si>
    <t>Secondary care, dialysis</t>
  </si>
  <si>
    <t>RR -v- 75-84</t>
  </si>
  <si>
    <t>Overall rates</t>
  </si>
  <si>
    <t>Holmes et al. (2017)</t>
  </si>
  <si>
    <t>Age-weighted ORs</t>
  </si>
  <si>
    <t>Prob of CKD progression but no RRT after 1º AKI</t>
  </si>
  <si>
    <t>Kent et al. (2015)</t>
  </si>
  <si>
    <t>Hospital costs</t>
  </si>
  <si>
    <t>Immunosuppression</t>
  </si>
  <si>
    <t>Per 3 months</t>
  </si>
  <si>
    <t>Total cost per cycle</t>
  </si>
  <si>
    <t>Duration of ICU</t>
  </si>
  <si>
    <t>No AKI</t>
  </si>
  <si>
    <t>AKIN 1</t>
  </si>
  <si>
    <t>AKIN 2</t>
  </si>
  <si>
    <t>AKIN 3</t>
  </si>
  <si>
    <t>Average ICU LoS with AKI</t>
  </si>
  <si>
    <t>Average additional ICU LoS owing to AKI</t>
  </si>
  <si>
    <t>Bedford et al. (2014)</t>
  </si>
  <si>
    <t>Utility with CKD5 (age 64)</t>
  </si>
  <si>
    <t>Stage 5, RRT (haemodialysis)</t>
  </si>
  <si>
    <t>Liem et al. 2008</t>
  </si>
  <si>
    <t>Stage 5, RRT (peritoneal dialysis)</t>
  </si>
  <si>
    <t>Liem et al. (2008)</t>
  </si>
  <si>
    <t>Yang et al. (2015)</t>
  </si>
  <si>
    <t>Proportion on PD</t>
  </si>
  <si>
    <t>Disutility CKD5D</t>
  </si>
  <si>
    <t>UKRR v22</t>
  </si>
  <si>
    <t>Proportion on dialysis</t>
  </si>
  <si>
    <t>Proportion on dialysis on PD</t>
  </si>
  <si>
    <t>Source for RRT utility values</t>
  </si>
  <si>
    <t>Alive</t>
  </si>
  <si>
    <t>90-day mortality following PC-AKI</t>
  </si>
  <si>
    <t>90-day mortality following SC-AKI</t>
  </si>
  <si>
    <t>85+</t>
  </si>
  <si>
    <t>OR -v- age &lt;65</t>
  </si>
  <si>
    <t>Age-stratified prob of death</t>
  </si>
  <si>
    <t>Pairwise comparison</t>
  </si>
  <si>
    <t>Net health benefit</t>
  </si>
  <si>
    <t>(95%CI)</t>
  </si>
  <si>
    <t>Incremental net health benefit</t>
  </si>
  <si>
    <t>Scenario switches</t>
  </si>
  <si>
    <t>Use half-cycle correction?</t>
  </si>
  <si>
    <t>Effect data</t>
  </si>
  <si>
    <t>Transplantation possible?</t>
  </si>
  <si>
    <t>RR for death, RRT -v- none</t>
  </si>
  <si>
    <t>Proportion of hospital AKIs requiring dialysis</t>
  </si>
  <si>
    <t>NICE NG203</t>
  </si>
  <si>
    <t>Disutility for CKD5</t>
  </si>
  <si>
    <t>Costs generated per patient (£)</t>
  </si>
  <si>
    <t>Net</t>
  </si>
  <si>
    <t>Cost (£)</t>
  </si>
  <si>
    <t>QALY</t>
  </si>
  <si>
    <t>no HPE</t>
  </si>
  <si>
    <t>State20</t>
  </si>
  <si>
    <t>State19</t>
  </si>
  <si>
    <t>State18</t>
  </si>
  <si>
    <t>State17</t>
  </si>
  <si>
    <t>State16</t>
  </si>
  <si>
    <t>State15</t>
  </si>
  <si>
    <t>State14</t>
  </si>
  <si>
    <t>State13</t>
  </si>
  <si>
    <t>State12</t>
  </si>
  <si>
    <t>State11</t>
  </si>
  <si>
    <t>Post-event</t>
  </si>
  <si>
    <t>Unresolved serious GI event</t>
  </si>
  <si>
    <t>Serious GI event</t>
  </si>
  <si>
    <t>Unresolved ulcer</t>
  </si>
  <si>
    <t>Symptomatic ulcer</t>
  </si>
  <si>
    <t>Unresolved GI discomfort</t>
  </si>
  <si>
    <t>GI discomfort</t>
  </si>
  <si>
    <t>Well with HPE</t>
  </si>
  <si>
    <t>Well no HPE</t>
  </si>
  <si>
    <t>2019/20</t>
  </si>
  <si>
    <t>People with bowel/colon complaints (age 70-74)</t>
  </si>
  <si>
    <t>Decrement</t>
  </si>
  <si>
    <t>Pooled</t>
  </si>
  <si>
    <t>Delaney et al. (2008)</t>
  </si>
  <si>
    <t>Arm2</t>
  </si>
  <si>
    <t>Arm1</t>
  </si>
  <si>
    <t>Decrements</t>
  </si>
  <si>
    <t>AB.rngC.ByState</t>
  </si>
  <si>
    <t>AB.cPPI.perCycle</t>
  </si>
  <si>
    <t>PPIs for 1 cycle</t>
  </si>
  <si>
    <t>Intervention costs</t>
  </si>
  <si>
    <t>Campbell et al. (2015)</t>
  </si>
  <si>
    <t>Hospital admission for GI bleed</t>
  </si>
  <si>
    <t>H pylori test</t>
  </si>
  <si>
    <t>Diagnostic endoscopy</t>
  </si>
  <si>
    <t>Gastroenterology outpatient</t>
  </si>
  <si>
    <t>NHS reference costs</t>
  </si>
  <si>
    <t>AB.rngPDeath.SeriousGI</t>
  </si>
  <si>
    <t>Crooks et al. (2012)</t>
  </si>
  <si>
    <t>Case-fatality rate for bleed events</t>
  </si>
  <si>
    <t>AB.rngPDeath.Ulcer</t>
  </si>
  <si>
    <t>Malmi et al. (2016)</t>
  </si>
  <si>
    <t>Lassen et al. (2006)</t>
  </si>
  <si>
    <t>SMR -v- general population</t>
  </si>
  <si>
    <t>Ulcer</t>
  </si>
  <si>
    <t>AB.rngPDeath.GenPop</t>
  </si>
  <si>
    <t>General population, prob per cycle</t>
  </si>
  <si>
    <t>Death</t>
  </si>
  <si>
    <t>AB.TP.unresolved</t>
  </si>
  <si>
    <t>Lau et al. (2011)</t>
  </si>
  <si>
    <t>Rate per 3mo</t>
  </si>
  <si>
    <t>Repeat GI events</t>
  </si>
  <si>
    <t>With PPI</t>
  </si>
  <si>
    <t>AB.rngTP.SeriousGI</t>
  </si>
  <si>
    <t>Without PPI</t>
  </si>
  <si>
    <t>Scally et al. (2018)</t>
  </si>
  <si>
    <t>OR for serious GI event, PPI -v- none</t>
  </si>
  <si>
    <t xml:space="preserve">NHS medication safety dashboard (Q1 2015/16 - Q3 2019/20), </t>
  </si>
  <si>
    <t>Rate per year without PPI</t>
  </si>
  <si>
    <t>AB.rngTP.Ulcer</t>
  </si>
  <si>
    <t>OR for ulcer, PPI -v- none</t>
  </si>
  <si>
    <t>Latimer et al. (2009)</t>
  </si>
  <si>
    <t>Rate per yr without PPI</t>
  </si>
  <si>
    <t>AB.rngTP.GIpain</t>
  </si>
  <si>
    <t>RR for GI pain, PPI -v- none</t>
  </si>
  <si>
    <t>Spiegel et al. (2006)</t>
  </si>
  <si>
    <t>GI pain / dyspepsia</t>
  </si>
  <si>
    <t>GI events</t>
  </si>
  <si>
    <t>Natural history</t>
  </si>
  <si>
    <t>Source for SMR associated with ulcer</t>
  </si>
  <si>
    <t>AB.maxDurHPE</t>
  </si>
  <si>
    <t>AB.cyclesPerYear</t>
  </si>
  <si>
    <t>B.cohortAge</t>
  </si>
  <si>
    <t>A.cohortAge</t>
  </si>
  <si>
    <t xml:space="preserve">Undiscounted LYs </t>
  </si>
  <si>
    <t>DCosts</t>
  </si>
  <si>
    <t>DQALYs</t>
  </si>
  <si>
    <t>1999/00</t>
  </si>
  <si>
    <t>PSSRU 2020 (HCHS)</t>
  </si>
  <si>
    <t>PSSRU 2020 (NHSCII)</t>
  </si>
  <si>
    <t>PSSRU 2012 (HCHS)</t>
  </si>
  <si>
    <t>rngU.GenPop</t>
  </si>
  <si>
    <t>Starting age (QA)</t>
  </si>
  <si>
    <t>Starting age (QB)</t>
  </si>
  <si>
    <t>timeHorizon</t>
  </si>
  <si>
    <t>swtchDurHPE</t>
  </si>
  <si>
    <t>maxDurHPE</t>
  </si>
  <si>
    <t>AB.rngU.Disutil_byState</t>
  </si>
  <si>
    <t>Indicator</t>
  </si>
  <si>
    <t>Popn</t>
  </si>
  <si>
    <t>A</t>
  </si>
  <si>
    <t>B</t>
  </si>
  <si>
    <t>C</t>
  </si>
  <si>
    <t>D</t>
  </si>
  <si>
    <t>E</t>
  </si>
  <si>
    <t>I</t>
  </si>
  <si>
    <t>HF</t>
  </si>
  <si>
    <t>K</t>
  </si>
  <si>
    <t>CKD</t>
  </si>
  <si>
    <t>Query</t>
  </si>
  <si>
    <t>INHB</t>
  </si>
  <si>
    <t>Queries</t>
  </si>
  <si>
    <t>swtchUlcerSMR</t>
  </si>
  <si>
    <t>People with AF</t>
  </si>
  <si>
    <t>Underlying QoL in people with AF</t>
  </si>
  <si>
    <t>Komen et al. (2021)</t>
  </si>
  <si>
    <t>90-day all-cause mortality</t>
  </si>
  <si>
    <t>ONS (2018)</t>
  </si>
  <si>
    <t>Tapaskar et al. (2021)</t>
  </si>
  <si>
    <t>Prob per 3mo</t>
  </si>
  <si>
    <t>RE-LY (2009)</t>
  </si>
  <si>
    <t xml:space="preserve">uDec </t>
  </si>
  <si>
    <t>swtchHalfCycle</t>
  </si>
  <si>
    <t>State utilities</t>
  </si>
  <si>
    <t>Costs by state</t>
  </si>
  <si>
    <t>Ambulance</t>
  </si>
  <si>
    <t>Inpatient costs</t>
  </si>
  <si>
    <t>Non-elective short stay</t>
  </si>
  <si>
    <t>Non-elective long stay</t>
  </si>
  <si>
    <t>Secondary care exacerbation</t>
  </si>
  <si>
    <t>Cost</t>
  </si>
  <si>
    <t>GP appt</t>
  </si>
  <si>
    <t>Primary care exacerbation</t>
  </si>
  <si>
    <t>Events</t>
  </si>
  <si>
    <t>Drugs</t>
  </si>
  <si>
    <t>All</t>
  </si>
  <si>
    <t>AgeCat</t>
  </si>
  <si>
    <t>Correct HPE following exacerbation</t>
  </si>
  <si>
    <t>HF post event w HPE</t>
  </si>
  <si>
    <t>HF post event no HPE</t>
  </si>
  <si>
    <t>SCE w HPE</t>
  </si>
  <si>
    <t>PCE w HPE</t>
  </si>
  <si>
    <t>HF w HPE</t>
  </si>
  <si>
    <t>SCE no HPE</t>
  </si>
  <si>
    <t>PCE no HPE</t>
  </si>
  <si>
    <t>HF no HPE</t>
  </si>
  <si>
    <t>Multiplier for cycle</t>
  </si>
  <si>
    <t>AUC for cycle</t>
  </si>
  <si>
    <t>Average time to discharge (d)</t>
  </si>
  <si>
    <t>Ambrosy et al. (2015)</t>
  </si>
  <si>
    <t>Days alive and out of hospital through day 30</t>
  </si>
  <si>
    <t>30 days later</t>
  </si>
  <si>
    <t>Discharge</t>
  </si>
  <si>
    <t>24 hr</t>
  </si>
  <si>
    <t>Admission</t>
  </si>
  <si>
    <t>Hospital exacerbations</t>
  </si>
  <si>
    <t>Mejia et al. (2014)</t>
  </si>
  <si>
    <t>Heart failure (NYHA II/III)</t>
  </si>
  <si>
    <t>Alternative parameters</t>
  </si>
  <si>
    <t>Secondary care event</t>
  </si>
  <si>
    <t>Primary care event</t>
  </si>
  <si>
    <t>Kularatna et al. (2017)</t>
  </si>
  <si>
    <t>NYHA IV</t>
  </si>
  <si>
    <t>NYHA III</t>
  </si>
  <si>
    <t>NYHA II</t>
  </si>
  <si>
    <t>NYHA I</t>
  </si>
  <si>
    <t>Heart failure</t>
  </si>
  <si>
    <t>Original parameters</t>
  </si>
  <si>
    <t>Source data</t>
  </si>
  <si>
    <t>Inpatient stay</t>
  </si>
  <si>
    <t>Resource use</t>
  </si>
  <si>
    <t>All NES</t>
  </si>
  <si>
    <t>GP appointments</t>
  </si>
  <si>
    <t>Community heart failure team</t>
  </si>
  <si>
    <t>Outpatient appointments</t>
  </si>
  <si>
    <t>OSCCRT Other single condition community rehabilitation teams</t>
  </si>
  <si>
    <t>Cost per outpatient appointment</t>
  </si>
  <si>
    <t>WF02D Multiprofessional Non-Admitted Non-Face-to-Face Attendance, First (Cardiology)</t>
  </si>
  <si>
    <t>WF02C Multiprofessional Non-Admitted Non-Face-to-Face Attendance, Follow-up (Cardiology)</t>
  </si>
  <si>
    <t>WF02B Multiprofessional Non-Admitted Face-to-Face Attendance, First (Cardiology)</t>
  </si>
  <si>
    <t>WF02A Multiprofessional Non-Admitted Face-to-Face Attendance, Follow-up (Cardiology)</t>
  </si>
  <si>
    <t>WF01D Non-Admitted Non-Face-to-Face Attendance, First (Cardiology)</t>
  </si>
  <si>
    <t>WF01C Non-Admitted Non-Face-to-Face Attendance, Follow-up (Cardiology)</t>
  </si>
  <si>
    <t>WF01B Non-Admitted Face-to-Face Attendance, First (Cardiology)</t>
  </si>
  <si>
    <t>WF01A Non-Admitted Face-to-Face Attendance, Follow-up (Cardiology)</t>
  </si>
  <si>
    <t>Non-consultant led</t>
  </si>
  <si>
    <t>Consultant led</t>
  </si>
  <si>
    <t>Outpatient follow-up</t>
  </si>
  <si>
    <t>EB03E Heart Failure or Shock, with CC Score 0-3</t>
  </si>
  <si>
    <t>EB03D Heart Failure or Shock, with CC Score 4-7</t>
  </si>
  <si>
    <t>EB03C Heart Failure or Shock, with CC Score 8-10</t>
  </si>
  <si>
    <t>EB03B Heart Failure or Shock, with CC Score 11-13</t>
  </si>
  <si>
    <t>EB03A Heart Failure or Shock, with CC Score 14+</t>
  </si>
  <si>
    <t>Course of furosemide</t>
  </si>
  <si>
    <t>Furosemide 40mg/day for 28 days</t>
  </si>
  <si>
    <t>Selected HR for NSAID(s) -v- none</t>
  </si>
  <si>
    <t>Open prescribing</t>
  </si>
  <si>
    <t>Naproxen</t>
  </si>
  <si>
    <t>Ibuprofen</t>
  </si>
  <si>
    <t>Diclofenac</t>
  </si>
  <si>
    <t>Celecoxib</t>
  </si>
  <si>
    <t>Prescribing frequency for each NSAID</t>
  </si>
  <si>
    <t>Gislason et al. (2009)</t>
  </si>
  <si>
    <t>Hazard ratio for each NSAID -v- none</t>
  </si>
  <si>
    <t>Girouard et al. (2017)</t>
  </si>
  <si>
    <t>Effect of exposure to NSAIDs</t>
  </si>
  <si>
    <t>Per-cycle probabilities</t>
  </si>
  <si>
    <t>Ratio of death after SCE compared with none</t>
  </si>
  <si>
    <t>Martinson et al. (2016)</t>
  </si>
  <si>
    <t>Monthly death prob in SCE (mean age 62)</t>
  </si>
  <si>
    <t>Alternative (US) data</t>
  </si>
  <si>
    <t>30-day mortality plus 2mo background mort</t>
  </si>
  <si>
    <t>30-day mortality</t>
  </si>
  <si>
    <t>Granular 2012-13 data scaled to 2018-19</t>
  </si>
  <si>
    <t>75+</t>
  </si>
  <si>
    <t>16-74</t>
  </si>
  <si>
    <t>Ratio 2018-19:2012-13</t>
  </si>
  <si>
    <t>NICOR 2018-19</t>
  </si>
  <si>
    <t>In-hospital</t>
  </si>
  <si>
    <t>2018-19</t>
  </si>
  <si>
    <t>NICOR 2012-13</t>
  </si>
  <si>
    <t>30-day for survivors to discharge</t>
  </si>
  <si>
    <t>2012-13</t>
  </si>
  <si>
    <t>Mortality following inpatient admission for HF</t>
  </si>
  <si>
    <t>Taylor et al. (2017)</t>
  </si>
  <si>
    <t>5-year death prob</t>
  </si>
  <si>
    <t>Monthly rate of hospitalistion (age 75+)</t>
  </si>
  <si>
    <t>Pufulete et al. (2017)</t>
  </si>
  <si>
    <t>HR for hospitalisation (age 75+ -v- &lt;75)</t>
  </si>
  <si>
    <t>Monthly rate of hospitalistion (age &lt;75)</t>
  </si>
  <si>
    <t>Baseline event-rates</t>
  </si>
  <si>
    <t>Source for utility values</t>
  </si>
  <si>
    <t>Include death costs</t>
  </si>
  <si>
    <t>Secondary care costs</t>
  </si>
  <si>
    <t>Source for death from SCE</t>
  </si>
  <si>
    <t>Allow consecutive exacerbations</t>
  </si>
  <si>
    <t>Excess deaths in addition to those caused by exacerbations</t>
  </si>
  <si>
    <t>SCE</t>
  </si>
  <si>
    <t>PCE</t>
  </si>
  <si>
    <t>Determ</t>
  </si>
  <si>
    <t>Prob</t>
  </si>
  <si>
    <t>NCM</t>
  </si>
  <si>
    <t>CVD</t>
  </si>
  <si>
    <t>PAD</t>
  </si>
  <si>
    <t>PostStrk</t>
  </si>
  <si>
    <t>Post-stroke</t>
  </si>
  <si>
    <t>Strk.un</t>
  </si>
  <si>
    <t>Recurrent stroke</t>
  </si>
  <si>
    <t>Strk</t>
  </si>
  <si>
    <t>Stroke</t>
  </si>
  <si>
    <t>postEv</t>
  </si>
  <si>
    <t>Post-GI event</t>
  </si>
  <si>
    <t>GIB.un</t>
  </si>
  <si>
    <t>GIB</t>
  </si>
  <si>
    <t>SU.un</t>
  </si>
  <si>
    <t>SU</t>
  </si>
  <si>
    <t>GID.un</t>
  </si>
  <si>
    <t>GID</t>
  </si>
  <si>
    <t>W.wHPE</t>
  </si>
  <si>
    <t>W.noHPE</t>
  </si>
  <si>
    <t>Abbrev</t>
  </si>
  <si>
    <t>Luengo-Fernandez et al. (2013)</t>
  </si>
  <si>
    <t>Berg et al. (2010)</t>
  </si>
  <si>
    <t>D.rngC.ByState</t>
  </si>
  <si>
    <t>Weighted avg</t>
  </si>
  <si>
    <t>Luengo-Fernandez et al. (2012)</t>
  </si>
  <si>
    <t>totally disabling</t>
  </si>
  <si>
    <t>moderately disabling</t>
  </si>
  <si>
    <t>nondisabling</t>
  </si>
  <si>
    <t>Post stroke</t>
  </si>
  <si>
    <t>Lip et al. (2014)</t>
  </si>
  <si>
    <t>fatal</t>
  </si>
  <si>
    <t>weights</t>
  </si>
  <si>
    <t>Acute stroke</t>
  </si>
  <si>
    <t>GP visits</t>
  </si>
  <si>
    <t>Easton et al. (2012)</t>
  </si>
  <si>
    <t>HR for history of stroke</t>
  </si>
  <si>
    <t>DOACs</t>
  </si>
  <si>
    <t>Warfarin</t>
  </si>
  <si>
    <t>90-day mortality</t>
  </si>
  <si>
    <t>Gómez-Outes et al. (2016)</t>
  </si>
  <si>
    <t>Mortality rate per yr</t>
  </si>
  <si>
    <t>General anticoagulated population</t>
  </si>
  <si>
    <t>Age 90+</t>
  </si>
  <si>
    <t>Age 80-89</t>
  </si>
  <si>
    <t>Age 70-79</t>
  </si>
  <si>
    <t>Warfarin (ARISTOTLE)</t>
  </si>
  <si>
    <t>Apixaban (ARISTOTLE)</t>
  </si>
  <si>
    <t>ROCKET-AF</t>
  </si>
  <si>
    <t>Warfarin (ROCKET AF)</t>
  </si>
  <si>
    <t>Rivaroxaban (ROCKET AF)</t>
  </si>
  <si>
    <t>Rate per year</t>
  </si>
  <si>
    <t>HR for risk increase per 10yr age</t>
  </si>
  <si>
    <t>Flach et al. (2020)</t>
  </si>
  <si>
    <t>With NSAID: age 90+</t>
  </si>
  <si>
    <t>With NSAID: age 80-89</t>
  </si>
  <si>
    <t>With NSAID: age 70-79</t>
  </si>
  <si>
    <t>Without NSAID: age 90+</t>
  </si>
  <si>
    <t>Without NSAID: age 80-89</t>
  </si>
  <si>
    <t>Without NSAID: age 70-79</t>
  </si>
  <si>
    <t>HR for stroke, NSAID -v- none</t>
  </si>
  <si>
    <t>Rate per yr without NSAID</t>
  </si>
  <si>
    <t>With NSAID</t>
  </si>
  <si>
    <t>Without NSAID</t>
  </si>
  <si>
    <t>HR for serious GI event, NSAID -v- none</t>
  </si>
  <si>
    <t>González-Pérez et al. (2014)</t>
  </si>
  <si>
    <t>OR for ulcer, NSAID -v- none</t>
  </si>
  <si>
    <t>Cai et al. (2009)</t>
  </si>
  <si>
    <t>Rate per yr without NSAID (women)</t>
  </si>
  <si>
    <t>Rate per yr without NSAID (men)</t>
  </si>
  <si>
    <t>Hippisley-Cox et al. (2005)</t>
  </si>
  <si>
    <t>OR for GI pain, NSAID -v- none</t>
  </si>
  <si>
    <t>D.maxDurHPE</t>
  </si>
  <si>
    <t>D.cohortSex</t>
  </si>
  <si>
    <t>D.cohortAge</t>
  </si>
  <si>
    <t>NoEventU</t>
  </si>
  <si>
    <t>DOAC/warfarin</t>
  </si>
  <si>
    <t>NSAIDs in people &gt;65</t>
  </si>
  <si>
    <t>NSAIDs in people with ulcer history</t>
  </si>
  <si>
    <t>No gastroprotection</t>
  </si>
  <si>
    <t>Strategy
name</t>
  </si>
  <si>
    <t>WHO</t>
  </si>
  <si>
    <t>Naproxen 500mg qd</t>
  </si>
  <si>
    <t>Resource-use per year</t>
  </si>
  <si>
    <t>c.NSAID.PackPerYr_Cel</t>
  </si>
  <si>
    <t>c.NSAID.Pack_Cel</t>
  </si>
  <si>
    <t>c.NSAID.Pack_Dic</t>
  </si>
  <si>
    <t>c.NSAID.PackPerYr_Dic</t>
  </si>
  <si>
    <t>c.NSAID.Pack_Ibu</t>
  </si>
  <si>
    <t>c.NSAID.PackPerYr_Ibu</t>
  </si>
  <si>
    <t>c.NSAID.Pack_Nap</t>
  </si>
  <si>
    <t>c.NSAID.PackPerYr_Nap</t>
  </si>
  <si>
    <t>c.Paracet.Pack</t>
  </si>
  <si>
    <t>c.Paracet.PackPerYr</t>
  </si>
  <si>
    <t>D.cMeds.Paracetamol</t>
  </si>
  <si>
    <t>Gastroprotection</t>
  </si>
  <si>
    <t>uDec.GIpain</t>
  </si>
  <si>
    <t>uDec.Ulcer</t>
  </si>
  <si>
    <t>uDec.SeriousGI</t>
  </si>
  <si>
    <t>uDec.PostStroke</t>
  </si>
  <si>
    <t>D.D.uDec.PostStroke</t>
  </si>
  <si>
    <t>rngU.Anticoag_NoEvent</t>
  </si>
  <si>
    <t>swtchNSAIDsWhich</t>
  </si>
  <si>
    <t>D.rngU.ByState</t>
  </si>
  <si>
    <t>Weighted (30d Lassen; remainder Malmi)</t>
  </si>
  <si>
    <t>Transition probabilities</t>
  </si>
  <si>
    <t> </t>
  </si>
  <si>
    <t>General population rate</t>
  </si>
  <si>
    <t>TP.unresolved</t>
  </si>
  <si>
    <t>Omeprazole 20mg od -- 28-day course</t>
  </si>
  <si>
    <t>Event costs (without PPIs, which vary between Qs)</t>
  </si>
  <si>
    <t>cEvent.GIpain_noPPI</t>
  </si>
  <si>
    <t>cEvent.Ulcer_noPPI</t>
  </si>
  <si>
    <t>cGP</t>
  </si>
  <si>
    <t>cGI.OP</t>
  </si>
  <si>
    <t>cEndo</t>
  </si>
  <si>
    <t>cHPylori</t>
  </si>
  <si>
    <t>cGIbleed</t>
  </si>
  <si>
    <t>Global parameters</t>
  </si>
  <si>
    <t>Rate per yr without PPI or NSAIDs</t>
  </si>
  <si>
    <t>GP emergencies</t>
  </si>
  <si>
    <t>Annual rate</t>
  </si>
  <si>
    <t>Hospital emergencies</t>
  </si>
  <si>
    <t>Ezekowitz et al. (2016)</t>
  </si>
  <si>
    <t>CKD progression</t>
  </si>
  <si>
    <t>Courses of PPIs</t>
  </si>
  <si>
    <t>Gastroenterology outpatient appts</t>
  </si>
  <si>
    <t>Diagnostic endoscopies</t>
  </si>
  <si>
    <t>H pylori tests</t>
  </si>
  <si>
    <t>Effects of exposure to NSAIDs</t>
  </si>
  <si>
    <t>Effects of exposure to PPIs</t>
  </si>
  <si>
    <t>Global maximum duration of HPE (override queries)</t>
  </si>
  <si>
    <t>Maximum duration of HPE (years) (override queries)</t>
  </si>
  <si>
    <t>2020/21</t>
  </si>
  <si>
    <t>Inflated to 2020/21</t>
  </si>
  <si>
    <t>NHS Reference Costs 2019/20</t>
  </si>
  <si>
    <t>Diagnostic endoscopy (FE21Z / OPROC / 301)</t>
  </si>
  <si>
    <t>Gastroenterology outpatient (avg of all CL/NCL activity under service code 301)</t>
  </si>
  <si>
    <t>H pylori test (DAPS07 Microbiology)</t>
  </si>
  <si>
    <t>Ambulance -- ASS02 (See and treat and convey)</t>
  </si>
  <si>
    <t>cAmb</t>
  </si>
  <si>
    <t>Blood test (DAPS08 Phlebotomy)</t>
  </si>
  <si>
    <t>Cost per cycle (2020/21)</t>
  </si>
  <si>
    <t>PSSRU 2020/21</t>
  </si>
  <si>
    <t>NHS drug tariff (March 2021)</t>
  </si>
  <si>
    <t>van Walraven et al. (2009)</t>
  </si>
  <si>
    <t>Hillen et al. (2003)</t>
  </si>
  <si>
    <t>McMurray et al. (2018)</t>
  </si>
  <si>
    <t>Prevalence of people at risk</t>
  </si>
  <si>
    <t>QALYs generated per patient</t>
  </si>
  <si>
    <t>cPPI.Omep</t>
  </si>
  <si>
    <t>cPPI.Lanso</t>
  </si>
  <si>
    <t>PPIs</t>
  </si>
  <si>
    <t>Omeprazole 20mg x 28</t>
  </si>
  <si>
    <t>Lansoprazole 30mg x 28</t>
  </si>
  <si>
    <t>Scaled up to population of England</t>
  </si>
  <si>
    <t>Population of England registered with GP</t>
  </si>
  <si>
    <t>query A</t>
  </si>
  <si>
    <t>total</t>
  </si>
  <si>
    <t>query B</t>
  </si>
  <si>
    <t>query D</t>
  </si>
  <si>
    <t>rngNSAIDsHarm.NationalCosts</t>
  </si>
  <si>
    <t>rngNSAIDsHarm.NationalQALYs</t>
  </si>
  <si>
    <t>Total cost in England</t>
  </si>
  <si>
    <t>Total QALY loss in England</t>
  </si>
  <si>
    <t>Penner et al. (2022)</t>
  </si>
  <si>
    <t>First stroke</t>
  </si>
  <si>
    <t>Repeat stroke (first cycle)</t>
  </si>
  <si>
    <t>uDec.Stroke</t>
  </si>
  <si>
    <t>People without digestive complaints</t>
  </si>
  <si>
    <t>Doble et al. (2018)</t>
  </si>
  <si>
    <t>Zhang et al. (2017)</t>
  </si>
  <si>
    <t>Number at risk in PINCER rollout</t>
  </si>
  <si>
    <t>Prevalence of HPE as proportion of whole PINCER rollout population</t>
  </si>
  <si>
    <t>NHS England</t>
  </si>
  <si>
    <t>Deaths</t>
  </si>
  <si>
    <t>Expected deaths</t>
  </si>
  <si>
    <t>Expected impact</t>
  </si>
  <si>
    <t>NSAIDs for 1 cycle</t>
  </si>
  <si>
    <t>Paracetamol for 1 cycle</t>
  </si>
  <si>
    <t>Cost per month</t>
  </si>
  <si>
    <t>c.Paracet.PerMo</t>
  </si>
  <si>
    <t>c.NSAID.PerMo_Cel</t>
  </si>
  <si>
    <t>c.NSAID.PerMo_Dic</t>
  </si>
  <si>
    <t>c.NSAID.PerMo_Ibu</t>
  </si>
  <si>
    <t>c.NSAID.PerMo_Nap</t>
  </si>
  <si>
    <t>Difference (HPE minus no HPE)</t>
  </si>
  <si>
    <t>Type of HPE</t>
  </si>
  <si>
    <t>Costs generated per person (£)</t>
  </si>
  <si>
    <t>QALYs generated per person</t>
  </si>
  <si>
    <t>X</t>
  </si>
  <si>
    <t>a</t>
  </si>
  <si>
    <t>b</t>
  </si>
  <si>
    <t>c</t>
  </si>
  <si>
    <t>d</t>
  </si>
  <si>
    <t>e</t>
  </si>
  <si>
    <t>i</t>
  </si>
  <si>
    <t>First
AKI</t>
  </si>
  <si>
    <t>RRT</t>
  </si>
  <si>
    <t>First
exac.</t>
  </si>
  <si>
    <t>All
exac.</t>
  </si>
  <si>
    <t>All GI events</t>
  </si>
  <si>
    <t>All strokes</t>
  </si>
  <si>
    <t>GI pain</t>
  </si>
  <si>
    <t>HF exacerbations</t>
  </si>
  <si>
    <t>Symptomatic ulcers</t>
  </si>
  <si>
    <t>Serious GI events</t>
  </si>
  <si>
    <t>Symptomatic
ulcers</t>
  </si>
  <si>
    <t>Strokes</t>
  </si>
  <si>
    <t>Acute
kidney
injuries</t>
  </si>
  <si>
    <t>NSAID in older people without gastroprotection</t>
  </si>
  <si>
    <t>NSAID with oral anticoagulant</t>
  </si>
  <si>
    <t>NSAID with heart failure</t>
  </si>
  <si>
    <t>NSAID with chronic kidney disease</t>
  </si>
  <si>
    <t>Serious
gastrointestinal
events</t>
  </si>
  <si>
    <t>Acute
exacerbations
of heart failure</t>
  </si>
  <si>
    <t>Assume no overlap between &gt;65s and DOAC/HF/CKD</t>
  </si>
  <si>
    <t>swtchOverlap</t>
  </si>
  <si>
    <t>swtchEnglandPop</t>
  </si>
  <si>
    <t>Assumed population at risk in England</t>
  </si>
  <si>
    <t>ONS</t>
  </si>
  <si>
    <t>Assume constant coefficient of variation for cost params</t>
  </si>
  <si>
    <t>swtchCost.SEs</t>
  </si>
  <si>
    <t>Coefficient of variation</t>
  </si>
  <si>
    <t>Cost.SEs.CoV</t>
  </si>
  <si>
    <t>query C</t>
  </si>
  <si>
    <t>query E</t>
  </si>
  <si>
    <t>GI outcomes (relevant to models A, B, &amp; C)</t>
  </si>
  <si>
    <t>Population of England</t>
  </si>
  <si>
    <t>Selected population estimate</t>
  </si>
  <si>
    <t>Prevalence of HPE among people at risk in PINCER rollout</t>
  </si>
  <si>
    <t>C.cMeds.Paracetamol</t>
  </si>
  <si>
    <t>C.cNonNSAID.perCycle</t>
  </si>
  <si>
    <t>C.cNSAID.perCycle</t>
  </si>
  <si>
    <t>C.cohortAge</t>
  </si>
  <si>
    <t>C.cohortSex</t>
  </si>
  <si>
    <t>C.cPPI</t>
  </si>
  <si>
    <t>C.cyclesPerYear</t>
  </si>
  <si>
    <t>C.maxDurHPE</t>
  </si>
  <si>
    <t>C.rngC.ByState</t>
  </si>
  <si>
    <t>C.rngPDeath.NoEvent</t>
  </si>
  <si>
    <t>C.rngPDeath.PostStroke</t>
  </si>
  <si>
    <t>C.rngPDeath.SeriousGI</t>
  </si>
  <si>
    <t>C.rngPDeath.Stroke</t>
  </si>
  <si>
    <t>C.rngPDeath.Ulcer</t>
  </si>
  <si>
    <t>C.rngTP.GIpain</t>
  </si>
  <si>
    <t>C.rngTP.SeriousGI</t>
  </si>
  <si>
    <t>C.rngTP.Stroke_noHPE</t>
  </si>
  <si>
    <t>C.rngTP.Stroke_recur</t>
  </si>
  <si>
    <t>C.rngTP.Stroke_repeat</t>
  </si>
  <si>
    <t>C.rngTP.Ulcer</t>
  </si>
  <si>
    <t>C.rngU.ByState</t>
  </si>
  <si>
    <t>D.cDeath</t>
  </si>
  <si>
    <t>D.cMeds.Furosemide</t>
  </si>
  <si>
    <t>D.cMeds.NSAIDs</t>
  </si>
  <si>
    <t>D.cPrimCareEvent</t>
  </si>
  <si>
    <t>D.cSecondCareEvent</t>
  </si>
  <si>
    <t>D.QD.cyclesPerYear</t>
  </si>
  <si>
    <t>D.swtchConsecExac</t>
  </si>
  <si>
    <t>D.swtchCorrectHPEafterExac</t>
  </si>
  <si>
    <t>D.swtchDeathCosts</t>
  </si>
  <si>
    <t>D.swtchExcessDeaths</t>
  </si>
  <si>
    <t>D.swtchSCE.DeathSource</t>
  </si>
  <si>
    <t>D.swtchSCE.RefCosts</t>
  </si>
  <si>
    <t>D.swtchUSource</t>
  </si>
  <si>
    <t>E.cMeds.NSAIDs</t>
  </si>
  <si>
    <t>E.cMeds.Paracetamol</t>
  </si>
  <si>
    <t>E.cohortAge</t>
  </si>
  <si>
    <t>E.cohortSex</t>
  </si>
  <si>
    <t>E.cyclesPerYear</t>
  </si>
  <si>
    <t>E.maxDurHPE</t>
  </si>
  <si>
    <t>E.pAKI.Primary</t>
  </si>
  <si>
    <t>E.pAKI.SecondaryNoRRT</t>
  </si>
  <si>
    <t>E.pAKI.SecondaryReqsRRT</t>
  </si>
  <si>
    <t>E.pAKI.SecondaryRRT</t>
  </si>
  <si>
    <t>E.pCKD5.from3B_4</t>
  </si>
  <si>
    <t>E.pCKD5.postPrimaryAKI</t>
  </si>
  <si>
    <t>E.pCKD5.postSecondaryAKI</t>
  </si>
  <si>
    <t>E.pCKD5.postSecondaryAKInoRRT</t>
  </si>
  <si>
    <t>E.pCKD5D.from3B_4</t>
  </si>
  <si>
    <t>E.pCKD5D.from5</t>
  </si>
  <si>
    <t>E.pCKD5D.postSecondaryAKI</t>
  </si>
  <si>
    <t>E.pDeath.SecondaryAKInoRRT</t>
  </si>
  <si>
    <t>E.pDeath.SecondaryAKIwRRT</t>
  </si>
  <si>
    <t>E.pTx.from3B_4</t>
  </si>
  <si>
    <t>E.pTx.from5</t>
  </si>
  <si>
    <t>E.pTx.from5D</t>
  </si>
  <si>
    <t>E.pTxGraftFailure</t>
  </si>
  <si>
    <t>E.rngC.byState</t>
  </si>
  <si>
    <t>E.rngP.AKI.Primary_noNSAIDs</t>
  </si>
  <si>
    <t>E.rngP.AKI.Primary_wNSAIDs</t>
  </si>
  <si>
    <t>E.rngP.AKI.Secondary.noRRT_noNSAIDs</t>
  </si>
  <si>
    <t>E.rngP.AKI.Secondary.noRRT_wNSAIDs</t>
  </si>
  <si>
    <t>E.rngP.AKI.Secondary.wRRT_noNSAIDs</t>
  </si>
  <si>
    <t>E.rngP.AKI.Secondary.wRRT_wNSAIDs</t>
  </si>
  <si>
    <t>E.rngP.AKI_PC.death</t>
  </si>
  <si>
    <t>E.rngP.AKI_SCnoRRT.death</t>
  </si>
  <si>
    <t>E.rngP.AKI_SCwRRT.death</t>
  </si>
  <si>
    <t>E.rngU.Disutil_byState</t>
  </si>
  <si>
    <t>E.swtchTx.OnOff</t>
  </si>
  <si>
    <t>E.swtchU.Source</t>
  </si>
  <si>
    <t>E.uDisutil.AKI_Secondary</t>
  </si>
  <si>
    <t>E.uDisutil.CKD</t>
  </si>
  <si>
    <t>E.uDisutil.CKD5</t>
  </si>
  <si>
    <t>E.uDisutil.CKD5D</t>
  </si>
  <si>
    <t>NSAID with previous peptic ulcer without gastroprotection</t>
  </si>
  <si>
    <t>The following worksheets contain individual Markov models simulating the harms that may arise from hazardous</t>
  </si>
  <si>
    <t>prescribing of NSAIDs.</t>
  </si>
  <si>
    <t>Each model comprises 4 worksheets:</t>
  </si>
  <si>
    <t>- Each TPM sheet has 2 sets of TPMs: those that relate to cycles in which the hazardous prescribing would be</t>
  </si>
  <si>
    <t xml:space="preserve">  identified and corrected on routine review are on the right; those relating to all other cycles (in which the</t>
  </si>
  <si>
    <t xml:space="preserve">  hazardous prescribing will remain in place unless the person experiences an associated harm) are on the left</t>
  </si>
  <si>
    <t>- The TPMs are further stratified by age (vertically) to reflect age-specific probabilities where relevant to</t>
  </si>
  <si>
    <t xml:space="preserve">  the hazardous prescribing in question</t>
  </si>
  <si>
    <t>* 'TPMs' gives the transition probability matrices defining the Markov models.</t>
  </si>
  <si>
    <t>* 'Markov' provides the state occupancy trace for each model. The block on the left simulates a cohort who start</t>
  </si>
  <si>
    <t xml:space="preserve">  the model exposed to the NSAID-related hazardous prescibing relevant to the population; the block on the</t>
  </si>
  <si>
    <t xml:space="preserve">  right shows a cohort with no such exposure</t>
  </si>
  <si>
    <t>* 'Costs' shows how costs are accrued on a cycle-by-cycle basis by each cohort</t>
  </si>
  <si>
    <t>* 'QALYs' shows how QALYs are accrued on a cycle-by-cycle basis by each cohort</t>
  </si>
  <si>
    <t>- In the case of populations A and B, a single TPM sheet is used for both populations</t>
  </si>
  <si>
    <t>The following worksheets contain sensitivity analyses</t>
  </si>
  <si>
    <t>* 'PSA.Data' contains relevant outputs from each iteration of a probabilistic (Monte-Carlo) simulation</t>
  </si>
  <si>
    <t>* 'PSA.Outputs' gives relevant probabilistic outputs -- in this case, the key output is a scatter-plot</t>
  </si>
  <si>
    <t xml:space="preserve">  showing incremental differences between people who are and are not exposed to individual hazardous</t>
  </si>
  <si>
    <t>Expected harm in England</t>
  </si>
  <si>
    <t>Expected harm in England: total</t>
  </si>
  <si>
    <t xml:space="preserve">  prescribing events (or the sum across all). Users can select the comparison of interest in the</t>
  </si>
  <si>
    <t xml:space="preserve">  dropdown box in the top-left of the screen</t>
  </si>
  <si>
    <t>* 'Thresholds' gives the results of deterministic sensitivity analyses in which selected parameters</t>
  </si>
  <si>
    <t xml:space="preserve">  from a lower to an upper bound</t>
  </si>
  <si>
    <t xml:space="preserve">  are varied across a full range of values of interest</t>
  </si>
  <si>
    <t>* 'OSA' contains the results of deterministic one-way sensitivity analysis, with all parameters varied</t>
  </si>
  <si>
    <t>The following worksheets collect model results</t>
  </si>
  <si>
    <t>* 'Results.Summ' provides all outputs in a conveniently formatted way</t>
  </si>
  <si>
    <t xml:space="preserve">  to verify the derivation of the values in 'Results.Summ'</t>
  </si>
  <si>
    <t>* The other 3 worksheets are part of the architecture of the model; users can ignore these, unless they are keen</t>
  </si>
  <si>
    <t>States (A&amp;B)</t>
  </si>
  <si>
    <t>States (C)</t>
  </si>
  <si>
    <t>States (D)</t>
  </si>
  <si>
    <t>States (E)</t>
  </si>
  <si>
    <t>* 'MasterLists' is a repository specifiying indicators and states used throughout the calculations</t>
  </si>
  <si>
    <t>* 'Parameters' contains all inputs to the analyses</t>
  </si>
  <si>
    <t>- The horizontal arrangement of the worksheet is as follows:</t>
  </si>
  <si>
    <t>o Data extracted from primary sources are given in columns Q:X, with sources noted in column Y</t>
  </si>
  <si>
    <t>o Parameters for probabilistic analysis are given in columns Z:AF</t>
  </si>
  <si>
    <t>- The vertical arrangement of the worksheet is as follows:</t>
  </si>
  <si>
    <t>o The top section (rows 4:113) contains parameters and settings that apply across all queries</t>
  </si>
  <si>
    <t>o Rows 114:166 contains parameters and settings that apply across all queries with</t>
  </si>
  <si>
    <t xml:space="preserve">  gastrointestinal outcomes</t>
  </si>
  <si>
    <t>o Rows 167:245 contains parameters and settings for queries A &amp; B</t>
  </si>
  <si>
    <t>o Rows 246:450 contains parameters and settings for query C</t>
  </si>
  <si>
    <t>o Rows 451:735 contains parameters and settings for query D</t>
  </si>
  <si>
    <t>o Rows 736:1085 contains parameters and settings for query E</t>
  </si>
  <si>
    <t>Scale-up of expected impact on population of England</t>
  </si>
  <si>
    <t>o The bottom section (rows 1086:1192) contains parameters, settings, and calculations for scaling</t>
  </si>
  <si>
    <t>The following worksheets contain all settings for the model</t>
  </si>
  <si>
    <t xml:space="preserve">  up to expected impact across the population of England</t>
  </si>
  <si>
    <t xml:space="preserve">  It is unlikely to work in earlier versions of Excel.</t>
  </si>
  <si>
    <t>* This model has been developed in Excel365, making extensive use of =LET() and =LAMBDA() functions.</t>
  </si>
  <si>
    <t>* Model inputs do not have data-entry restrictions; be aware that it may be possible to enter values</t>
  </si>
  <si>
    <t>PINCER rollout</t>
  </si>
  <si>
    <t>* The probabilistic results in this workbook do not exactly match those reported in the paper. This</t>
  </si>
  <si>
    <t xml:space="preserve">  is because we have saved it with a limited number of probabilistic iterations to reduce file-size,</t>
  </si>
  <si>
    <t xml:space="preserve">  and random number streams cannot be seeded, using the Excel =RAND() function on which this workbook</t>
  </si>
  <si>
    <t xml:space="preserve">  relies.</t>
  </si>
  <si>
    <t xml:space="preserve">This work is licensed under </t>
  </si>
  <si>
    <t>CC BY-NC-SA 4.0</t>
  </si>
  <si>
    <t xml:space="preserve">* Attribution — You must give appropriate credit, provide a link to the license, and indicate if </t>
  </si>
  <si>
    <t xml:space="preserve">  changes were made. You may do so in any reasonable manner, but not in any way that suggests the </t>
  </si>
  <si>
    <t xml:space="preserve">  licensor endorses you or your use.</t>
  </si>
  <si>
    <t>* NonCommercial — You may not use the material for commercial purposes.</t>
  </si>
  <si>
    <t>* ShareAlike — If you remix, transform, or build upon the material, you must distribute your</t>
  </si>
  <si>
    <t xml:space="preserve">  contributions under the same license as the original.</t>
  </si>
  <si>
    <t>In summary:</t>
  </si>
  <si>
    <t>You are free to:</t>
  </si>
  <si>
    <t>* Share — copy and redistribute the material in any medium or format</t>
  </si>
  <si>
    <t>* Adapt — remix, transform, and build upon the material</t>
  </si>
  <si>
    <t>The licensor cannot revoke these freedoms as long as you follow the license terms.</t>
  </si>
  <si>
    <t>* No additional restrictions — You may not apply legal terms or technological measures that</t>
  </si>
  <si>
    <t xml:space="preserve">  legally restrict others from doing anything the license permits.</t>
  </si>
  <si>
    <t>the published paper and Appendix 2 of its supplementary material.</t>
  </si>
  <si>
    <t>Camacho et al. Estimating the economic effect of harm associated with high risk prescribing of oral</t>
  </si>
  <si>
    <t>BMJ 2024;385:e077880</t>
  </si>
  <si>
    <t>non-steroidal anti-inflammatory drugs in England: population based cohort and economic modelling study.</t>
  </si>
  <si>
    <t>http://dx.doi.org/10.1136/bmj-2023-077880</t>
  </si>
  <si>
    <t xml:space="preserve">This model accompanies the publication: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</si>
</sst>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0.000"/>
    <numFmt numFmtId="169" formatCode="0.0"/>
    <numFmt numFmtId="170" formatCode="0.0000"/>
    <numFmt numFmtId="171" formatCode="&quot;£&quot;#,##0.00;[Red]&quot;£&quot;#,##0.00;\-"/>
    <numFmt numFmtId="172" formatCode="0.000;[Red]\-0.000;\-"/>
    <numFmt numFmtId="173" formatCode="0.000;\-0.000;\-"/>
    <numFmt numFmtId="174" formatCode="0.00000"/>
    <numFmt numFmtId="175" formatCode="\σ\=0.000"/>
    <numFmt numFmtId="176" formatCode="\μ\=0.000;\μ\=\-0.000"/>
    <numFmt numFmtId="177" formatCode="\β\=0"/>
    <numFmt numFmtId="178" formatCode="\α\=0"/>
    <numFmt numFmtId="179" formatCode="0.00000;[Red]\-0.00000;\-"/>
    <numFmt numFmtId="180" formatCode="&quot;£&quot;#,##0.00"/>
    <numFmt numFmtId="181" formatCode="\α\=0.000"/>
    <numFmt numFmtId="182" formatCode="\β\=0.000"/>
    <numFmt numFmtId="183" formatCode="&quot;£&quot;#,##0"/>
    <numFmt numFmtId="184" formatCode="&quot;@£&quot;0,&quot;K/QALY&quot;"/>
    <numFmt numFmtId="185" formatCode="0.0%"/>
    <numFmt numFmtId="186" formatCode="#,##0.000"/>
    <numFmt numFmtId="187" formatCode="0.0&quot; pt-yrs&quot;"/>
    <numFmt numFmtId="188" formatCode="&quot;NMB @ &quot;&quot;£&quot;#,##0&quot; / QALY&quot;"/>
    <numFmt numFmtId="189" formatCode="0.0000;[Red]\-0.0000;\-"/>
    <numFmt numFmtId="190" formatCode="0.0000;\-0.0000;\-"/>
    <numFmt numFmtId="191" formatCode="#,##0.0000"/>
    <numFmt numFmtId="192" formatCode="&quot;£&quot;#,##0;[Red]&quot;£&quot;#,##0;\-"/>
    <numFmt numFmtId="193" formatCode="##,##0&quot; pt-yrs&quot;"/>
    <numFmt numFmtId="194" formatCode="#,##0.00000000"/>
    <numFmt numFmtId="195" formatCode="0.00000000000000"/>
    <numFmt numFmtId="196" formatCode="#,##0&quot; pt-yrs&quot;"/>
    <numFmt numFmtId="197" formatCode="0.0000000;[Red]\-0.0000000;\-"/>
    <numFmt numFmtId="198" formatCode="0.00000000"/>
    <numFmt numFmtId="199" formatCode="0.000000;\-0.000000;\-"/>
    <numFmt numFmtId="200" formatCode="0.000;\−0.000"/>
    <numFmt numFmtId="201" formatCode="&quot;£&quot;#,##0;\−&quot;£&quot;#,##0"/>
    <numFmt numFmtId="202" formatCode="0.0000000"/>
    <numFmt numFmtId="203" formatCode="0.000_ ;[Red]\-0.000\ "/>
    <numFmt numFmtId="204" formatCode="\+0.0;\−0.0;0.0"/>
  </numFmts>
  <fonts count="50" x14ac:knownFonts="1">
    <font>
      <sz val="9"/>
      <color theme="1"/>
      <name val="Courier New"/>
      <family val="3"/>
    </font>
    <font>
      <sz val="9"/>
      <color theme="1"/>
      <name val="Courier New"/>
      <family val="2"/>
    </font>
    <font>
      <sz val="9"/>
      <color theme="1"/>
      <name val="Courier New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ourier New"/>
      <family val="2"/>
    </font>
    <font>
      <b/>
      <sz val="13"/>
      <color theme="3"/>
      <name val="Courier New"/>
      <family val="2"/>
    </font>
    <font>
      <b/>
      <sz val="11"/>
      <color theme="3"/>
      <name val="Courier New"/>
      <family val="2"/>
    </font>
    <font>
      <sz val="9"/>
      <color rgb="FF006100"/>
      <name val="Courier New"/>
      <family val="2"/>
    </font>
    <font>
      <sz val="9"/>
      <color rgb="FF9C0006"/>
      <name val="Courier New"/>
      <family val="2"/>
    </font>
    <font>
      <sz val="9"/>
      <color rgb="FF9C6500"/>
      <name val="Courier New"/>
      <family val="2"/>
    </font>
    <font>
      <sz val="9"/>
      <color rgb="FF3F3F76"/>
      <name val="Courier New"/>
      <family val="2"/>
    </font>
    <font>
      <b/>
      <sz val="9"/>
      <color rgb="FF3F3F3F"/>
      <name val="Courier New"/>
      <family val="2"/>
    </font>
    <font>
      <b/>
      <sz val="9"/>
      <color rgb="FFFA7D00"/>
      <name val="Courier New"/>
      <family val="2"/>
    </font>
    <font>
      <sz val="9"/>
      <color rgb="FFFA7D00"/>
      <name val="Courier New"/>
      <family val="2"/>
    </font>
    <font>
      <b/>
      <sz val="9"/>
      <color theme="0"/>
      <name val="Courier New"/>
      <family val="2"/>
    </font>
    <font>
      <sz val="9"/>
      <color rgb="FFFF0000"/>
      <name val="Courier New"/>
      <family val="2"/>
    </font>
    <font>
      <i/>
      <sz val="9"/>
      <color rgb="FF7F7F7F"/>
      <name val="Courier New"/>
      <family val="2"/>
    </font>
    <font>
      <b/>
      <sz val="9"/>
      <color theme="1"/>
      <name val="Courier New"/>
      <family val="2"/>
    </font>
    <font>
      <sz val="9"/>
      <color theme="0"/>
      <name val="Courier New"/>
      <family val="2"/>
    </font>
    <font>
      <b/>
      <sz val="10"/>
      <color theme="0"/>
      <name val="Courier New"/>
      <family val="3"/>
    </font>
    <font>
      <b/>
      <sz val="9"/>
      <color rgb="FF311D0B"/>
      <name val="Courier New"/>
      <family val="3"/>
    </font>
    <font>
      <b/>
      <sz val="9"/>
      <color rgb="FFD8C7A4"/>
      <name val="Courier New"/>
      <family val="3"/>
    </font>
    <font>
      <sz val="9"/>
      <color theme="1"/>
      <name val="Courier New"/>
      <family val="3"/>
    </font>
    <font>
      <sz val="9"/>
      <color rgb="FFAE78D6"/>
      <name val="Courier New"/>
      <family val="3"/>
    </font>
    <font>
      <b/>
      <sz val="10"/>
      <color theme="1"/>
      <name val="Courier New"/>
      <family val="3"/>
    </font>
    <font>
      <sz val="9"/>
      <color rgb="FFFF0000"/>
      <name val="Courier New"/>
      <family val="3"/>
    </font>
    <font>
      <sz val="9"/>
      <name val="Courier New"/>
      <family val="3"/>
    </font>
    <font>
      <sz val="9"/>
      <color rgb="FFABABFF"/>
      <name val="Courier New"/>
      <family val="3"/>
    </font>
    <font>
      <sz val="9"/>
      <color rgb="FF680068"/>
      <name val="Courier New"/>
      <family val="2"/>
    </font>
    <font>
      <sz val="9"/>
      <color theme="7" tint="0.59999389629810485"/>
      <name val="Courier New"/>
      <family val="3"/>
    </font>
    <font>
      <sz val="9"/>
      <color theme="0" tint="-0.24994659260841701"/>
      <name val="Courier New"/>
      <family val="3"/>
    </font>
    <font>
      <b/>
      <sz val="9"/>
      <color theme="4" tint="-0.499984740745262"/>
      <name val="Courier New"/>
      <family val="3"/>
    </font>
    <font>
      <b/>
      <sz val="9"/>
      <color rgb="FFFFFF00"/>
      <name val="Courier New"/>
      <family val="3"/>
    </font>
    <font>
      <sz val="9"/>
      <color theme="0"/>
      <name val="Courier New"/>
      <family val="3"/>
    </font>
    <font>
      <sz val="9"/>
      <color theme="9" tint="0.79998168889431442"/>
      <name val="Courier New"/>
      <family val="3"/>
    </font>
    <font>
      <b/>
      <sz val="9"/>
      <color theme="0"/>
      <name val="Courier New"/>
      <family val="3"/>
    </font>
    <font>
      <sz val="9"/>
      <color rgb="FF003300"/>
      <name val="Courier New"/>
      <family val="3"/>
    </font>
    <font>
      <sz val="9"/>
      <color rgb="FF7A0034"/>
      <name val="Courier New"/>
      <family val="3"/>
    </font>
    <font>
      <sz val="9"/>
      <color theme="7" tint="-0.499984740745262"/>
      <name val="Courier New"/>
      <family val="3"/>
    </font>
    <font>
      <sz val="9"/>
      <color rgb="FFFFFF00"/>
      <name val="Courier New"/>
      <family val="3"/>
    </font>
    <font>
      <b/>
      <sz val="9"/>
      <color theme="1"/>
      <name val="Courier New"/>
      <family val="3"/>
    </font>
    <font>
      <u/>
      <sz val="9"/>
      <color theme="10"/>
      <name val="Courier New"/>
      <family val="2"/>
    </font>
    <font>
      <sz val="9"/>
      <color rgb="FF000000"/>
      <name val="Courier New"/>
      <family val="3"/>
    </font>
    <font>
      <sz val="9"/>
      <color rgb="FFC00000"/>
      <name val="Courier New"/>
      <family val="2"/>
    </font>
    <font>
      <sz val="8"/>
      <name val="Arial"/>
      <family val="2"/>
    </font>
    <font>
      <b/>
      <sz val="9"/>
      <color theme="7" tint="-0.499984740745262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0"/>
      <color rgb="FF311D0B"/>
      <name val="Courier New"/>
      <family val="3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8C7A4"/>
        <bgColor indexed="64"/>
      </patternFill>
    </fill>
    <fill>
      <patternFill patternType="solid">
        <fgColor rgb="FFFFFFFF"/>
        <bgColor rgb="FFFFFF00"/>
      </patternFill>
    </fill>
    <fill>
      <patternFill patternType="solid">
        <fgColor rgb="FF311D0B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C4B85"/>
        <bgColor indexed="64"/>
      </patternFill>
    </fill>
    <fill>
      <gradientFill type="path" left="0.5" right="0.5" top="0.5" bottom="0.5">
        <stop position="0">
          <color rgb="FFFFFF00"/>
        </stop>
        <stop position="1">
          <color rgb="FFFFC000"/>
        </stop>
      </gradientFill>
    </fill>
    <fill>
      <patternFill patternType="solid">
        <fgColor rgb="FFFF9933"/>
        <bgColor indexed="64"/>
      </patternFill>
    </fill>
    <fill>
      <gradientFill type="path" left="0.5" right="0.5" top="0.5" bottom="0.5">
        <stop position="0">
          <color theme="0" tint="-0.1490218817712943"/>
        </stop>
        <stop position="1">
          <color theme="0" tint="-0.34900967436750391"/>
        </stop>
      </gradientFill>
    </fill>
    <fill>
      <patternFill patternType="solid">
        <fgColor rgb="FFB2F2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E5FF"/>
        <bgColor rgb="FFFFFF00"/>
      </patternFill>
    </fill>
    <fill>
      <patternFill patternType="solid">
        <fgColor rgb="FF00B050"/>
        <bgColor indexed="64"/>
      </patternFill>
    </fill>
    <fill>
      <gradientFill type="path" left="0.5" right="0.5" top="0.5" bottom="0.5">
        <stop position="0">
          <color rgb="FFDFF1CB"/>
        </stop>
        <stop position="1">
          <color rgb="FF92D050"/>
        </stop>
      </gradient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FF66"/>
        <bgColor auto="1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BB9B4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ECE1FF"/>
        <bgColor indexed="64"/>
      </patternFill>
    </fill>
    <fill>
      <patternFill patternType="solid">
        <fgColor rgb="FF53B9FF"/>
        <bgColor rgb="FFFFFF00"/>
      </patternFill>
    </fill>
    <fill>
      <patternFill patternType="solid">
        <fgColor rgb="FF00CC99"/>
        <bgColor rgb="FFFFFF00"/>
      </patternFill>
    </fill>
    <fill>
      <patternFill patternType="solid">
        <fgColor rgb="FFD0787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rgb="FFFFFF00"/>
      </patternFill>
    </fill>
    <fill>
      <patternFill patternType="solid">
        <fgColor rgb="FF81ABFF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0B200"/>
        <bgColor indexed="64"/>
      </patternFill>
    </fill>
    <fill>
      <patternFill patternType="solid">
        <fgColor rgb="FFF21ECA"/>
        <bgColor indexed="64"/>
      </patternFill>
    </fill>
    <fill>
      <patternFill patternType="solid">
        <fgColor rgb="FFFFFF00"/>
        <bgColor indexed="64"/>
      </patternFill>
    </fill>
  </fills>
  <borders count="1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3A1D00"/>
      </bottom>
      <diagonal/>
    </border>
    <border>
      <left/>
      <right style="thick">
        <color rgb="FF3A1D00"/>
      </right>
      <top/>
      <bottom/>
      <diagonal/>
    </border>
    <border>
      <left/>
      <right/>
      <top style="medium">
        <color rgb="FF311D0B"/>
      </top>
      <bottom style="medium">
        <color rgb="FF311D0B"/>
      </bottom>
      <diagonal/>
    </border>
    <border>
      <left/>
      <right/>
      <top/>
      <bottom style="medium">
        <color rgb="FF311D0B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theme="7" tint="0.59996337778862885"/>
      </left>
      <right style="thin">
        <color theme="7" tint="0.59996337778862885"/>
      </right>
      <top style="thin">
        <color theme="7" tint="0.59996337778862885"/>
      </top>
      <bottom style="thin">
        <color theme="7" tint="0.59996337778862885"/>
      </bottom>
      <diagonal/>
    </border>
    <border>
      <left style="thin">
        <color rgb="FF007000"/>
      </left>
      <right style="thin">
        <color rgb="FF007000"/>
      </right>
      <top style="thin">
        <color rgb="FF007000"/>
      </top>
      <bottom style="thin">
        <color rgb="FF007000"/>
      </bottom>
      <diagonal/>
    </border>
    <border>
      <left style="thin">
        <color rgb="FF7A0034"/>
      </left>
      <right style="thin">
        <color rgb="FF7A0034"/>
      </right>
      <top style="thin">
        <color rgb="FF7A0034"/>
      </top>
      <bottom style="thin">
        <color rgb="FF7A003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 style="medium">
        <color rgb="FF311D0B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thin">
        <color theme="0" tint="-0.14996795556505021"/>
      </right>
      <top style="medium">
        <color rgb="FF311D0B"/>
      </top>
      <bottom/>
      <diagonal/>
    </border>
    <border>
      <left/>
      <right style="thin">
        <color theme="0" tint="-0.14996795556505021"/>
      </right>
      <top/>
      <bottom style="medium">
        <color rgb="FF311D0B"/>
      </bottom>
      <diagonal/>
    </border>
    <border>
      <left style="thick">
        <color rgb="FF3A1D00"/>
      </left>
      <right/>
      <top style="medium">
        <color rgb="FF311D0B"/>
      </top>
      <bottom/>
      <diagonal/>
    </border>
    <border>
      <left style="thick">
        <color rgb="FF3A1D00"/>
      </left>
      <right/>
      <top/>
      <bottom style="medium">
        <color rgb="FF311D0B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7" tint="-0.499984740745262"/>
      </bottom>
      <diagonal/>
    </border>
    <border>
      <left style="medium">
        <color rgb="FF311D0B"/>
      </left>
      <right/>
      <top style="medium">
        <color rgb="FF311D0B"/>
      </top>
      <bottom style="medium">
        <color rgb="FF311D0B"/>
      </bottom>
      <diagonal/>
    </border>
    <border>
      <left/>
      <right style="medium">
        <color rgb="FF311D0B"/>
      </right>
      <top style="medium">
        <color rgb="FF311D0B"/>
      </top>
      <bottom style="medium">
        <color rgb="FF311D0B"/>
      </bottom>
      <diagonal/>
    </border>
    <border>
      <left style="medium">
        <color rgb="FF311D0B"/>
      </left>
      <right/>
      <top style="medium">
        <color rgb="FF311D0B"/>
      </top>
      <bottom/>
      <diagonal/>
    </border>
    <border>
      <left/>
      <right style="medium">
        <color rgb="FF311D0B"/>
      </right>
      <top style="medium">
        <color rgb="FF311D0B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rgb="FF311D0B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rgb="FF311D0B"/>
      </left>
      <right style="medium">
        <color rgb="FF311D0B"/>
      </right>
      <top style="medium">
        <color rgb="FF311D0B"/>
      </top>
      <bottom style="medium">
        <color rgb="FF311D0B"/>
      </bottom>
      <diagonal/>
    </border>
    <border>
      <left/>
      <right style="thin">
        <color theme="0" tint="-0.14996795556505021"/>
      </right>
      <top style="medium">
        <color rgb="FF311D0B"/>
      </top>
      <bottom style="medium">
        <color rgb="FF311D0B"/>
      </bottom>
      <diagonal/>
    </border>
    <border>
      <left/>
      <right style="thick">
        <color rgb="FF311D0B"/>
      </right>
      <top/>
      <bottom/>
      <diagonal/>
    </border>
    <border>
      <left style="thin">
        <color theme="0" tint="-0.14996795556505021"/>
      </left>
      <right/>
      <top style="medium">
        <color rgb="FF311D0B"/>
      </top>
      <bottom style="medium">
        <color rgb="FF311D0B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311D0B"/>
      </left>
      <right style="medium">
        <color rgb="FF311D0B"/>
      </right>
      <top style="medium">
        <color rgb="FF311D0B"/>
      </top>
      <bottom/>
      <diagonal/>
    </border>
    <border>
      <left style="medium">
        <color rgb="FF311D0B"/>
      </left>
      <right style="medium">
        <color rgb="FF311D0B"/>
      </right>
      <top/>
      <bottom style="medium">
        <color rgb="FF311D0B"/>
      </bottom>
      <diagonal/>
    </border>
    <border>
      <left style="medium">
        <color rgb="FF311D0B"/>
      </left>
      <right style="medium">
        <color rgb="FF311D0B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7" tint="-0.499984740745262"/>
      </top>
      <bottom style="medium">
        <color theme="7" tint="-0.499984740745262"/>
      </bottom>
      <diagonal/>
    </border>
    <border>
      <left style="thin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rgb="FF311D0B"/>
      </top>
      <bottom/>
      <diagonal/>
    </border>
    <border>
      <left style="medium">
        <color rgb="FF311D0B"/>
      </left>
      <right/>
      <top/>
      <bottom/>
      <diagonal/>
    </border>
    <border>
      <left style="medium">
        <color rgb="FF311D0B"/>
      </left>
      <right style="thin">
        <color theme="0" tint="-0.14996795556505021"/>
      </right>
      <top style="medium">
        <color rgb="FF311D0B"/>
      </top>
      <bottom style="thin">
        <color rgb="FFD9D9D9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rgb="FF311D0B"/>
      </top>
      <bottom style="thin">
        <color rgb="FFD9D9D9"/>
      </bottom>
      <diagonal/>
    </border>
    <border>
      <left style="thin">
        <color theme="0" tint="-0.14996795556505021"/>
      </left>
      <right style="medium">
        <color rgb="FF311D0B"/>
      </right>
      <top style="medium">
        <color rgb="FF311D0B"/>
      </top>
      <bottom style="thin">
        <color rgb="FFD9D9D9"/>
      </bottom>
      <diagonal/>
    </border>
    <border>
      <left style="medium">
        <color rgb="FF311D0B"/>
      </left>
      <right style="thin">
        <color theme="0" tint="-0.14996795556505021"/>
      </right>
      <top style="thin">
        <color rgb="FFD9D9D9"/>
      </top>
      <bottom style="medium">
        <color rgb="FF311D0B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D9D9D9"/>
      </top>
      <bottom style="medium">
        <color rgb="FF311D0B"/>
      </bottom>
      <diagonal/>
    </border>
    <border>
      <left style="thin">
        <color theme="0" tint="-0.14996795556505021"/>
      </left>
      <right style="medium">
        <color rgb="FF311D0B"/>
      </right>
      <top style="thin">
        <color rgb="FFD9D9D9"/>
      </top>
      <bottom style="medium">
        <color rgb="FF311D0B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rgb="FFD9D9D9"/>
      </top>
      <bottom style="thin">
        <color rgb="FFD9D9D9"/>
      </bottom>
      <diagonal/>
    </border>
    <border>
      <left style="medium">
        <color rgb="FF311D0B"/>
      </left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rgb="FF311D0B"/>
      </right>
      <top style="medium">
        <color theme="7" tint="-0.499984740745262"/>
      </top>
      <bottom style="medium">
        <color theme="7" tint="-0.499984740745262"/>
      </bottom>
      <diagonal/>
    </border>
    <border>
      <left/>
      <right style="thin">
        <color theme="0" tint="-0.14996795556505021"/>
      </right>
      <top/>
      <bottom/>
      <diagonal/>
    </border>
    <border diagonalDown="1">
      <left/>
      <right/>
      <top/>
      <bottom/>
      <diagonal style="medium">
        <color rgb="FF311D0B"/>
      </diagonal>
    </border>
    <border diagonalDown="1">
      <left/>
      <right style="thin">
        <color theme="0" tint="-0.14996795556505021"/>
      </right>
      <top/>
      <bottom style="medium">
        <color rgb="FF311D0B"/>
      </bottom>
      <diagonal style="medium">
        <color rgb="FF311D0B"/>
      </diagonal>
    </border>
    <border diagonalDown="1">
      <left/>
      <right/>
      <top style="medium">
        <color rgb="FF311D0B"/>
      </top>
      <bottom/>
      <diagonal style="medium">
        <color rgb="FF311D0B"/>
      </diagonal>
    </border>
    <border>
      <left style="thick">
        <color rgb="FF3A1D0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theme="7" tint="-0.499984740745262"/>
      </bottom>
      <diagonal/>
    </border>
    <border>
      <left/>
      <right/>
      <top/>
      <bottom style="thick">
        <color rgb="FF311D0B"/>
      </bottom>
      <diagonal/>
    </border>
    <border>
      <left/>
      <right/>
      <top style="thick">
        <color rgb="FF3A1D00"/>
      </top>
      <bottom style="medium">
        <color rgb="FF3A1D00"/>
      </bottom>
      <diagonal/>
    </border>
    <border>
      <left/>
      <right/>
      <top style="medium">
        <color rgb="FF3A1D00"/>
      </top>
      <bottom style="medium">
        <color rgb="FF311D0B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rgb="FF311D0B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311D0B"/>
      </bottom>
      <diagonal/>
    </border>
    <border>
      <left/>
      <right/>
      <top style="thick">
        <color rgb="FF3A1D0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311D0B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indexed="64"/>
      </top>
      <bottom style="medium">
        <color rgb="FF311D0B"/>
      </bottom>
      <diagonal/>
    </border>
    <border>
      <left/>
      <right style="medium">
        <color rgb="FF311D0B"/>
      </right>
      <top style="medium">
        <color indexed="64"/>
      </top>
      <bottom/>
      <diagonal/>
    </border>
    <border>
      <left style="thin">
        <color theme="0" tint="-0.14996795556505021"/>
      </left>
      <right/>
      <top style="medium">
        <color rgb="FF311D0B"/>
      </top>
      <bottom style="thin">
        <color rgb="FFD9D9D9"/>
      </bottom>
      <diagonal/>
    </border>
    <border>
      <left style="thin">
        <color theme="0" tint="-0.24994659260841701"/>
      </left>
      <right style="thin">
        <color theme="0" tint="-0.14996795556505021"/>
      </right>
      <top style="medium">
        <color rgb="FF311D0B"/>
      </top>
      <bottom style="thin">
        <color rgb="FFD9D9D9"/>
      </bottom>
      <diagonal/>
    </border>
    <border>
      <left style="thin">
        <color theme="0" tint="-0.14996795556505021"/>
      </left>
      <right/>
      <top style="thin">
        <color rgb="FFD9D9D9"/>
      </top>
      <bottom style="medium">
        <color rgb="FF311D0B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rgb="FFD9D9D9"/>
      </top>
      <bottom style="medium">
        <color rgb="FF311D0B"/>
      </bottom>
      <diagonal/>
    </border>
    <border>
      <left style="thin">
        <color theme="0" tint="-0.14996795556505021"/>
      </left>
      <right/>
      <top/>
      <bottom/>
      <diagonal/>
    </border>
    <border>
      <left style="medium">
        <color indexed="64"/>
      </left>
      <right style="medium">
        <color rgb="FF311D0B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rgb="FF311D0B"/>
      </top>
      <bottom/>
      <diagonal/>
    </border>
    <border>
      <left style="thin">
        <color theme="0" tint="-0.14996795556505021"/>
      </left>
      <right/>
      <top/>
      <bottom style="medium">
        <color rgb="FF311D0B"/>
      </bottom>
      <diagonal/>
    </border>
    <border>
      <left style="thin">
        <color theme="0" tint="-0.14996795556505021"/>
      </left>
      <right/>
      <top style="medium">
        <color theme="7" tint="-0.499984740745262"/>
      </top>
      <bottom/>
      <diagonal/>
    </border>
    <border>
      <left/>
      <right/>
      <top style="medium">
        <color theme="7" tint="-0.499984740745262"/>
      </top>
      <bottom/>
      <diagonal/>
    </border>
    <border>
      <left/>
      <right style="thin">
        <color theme="0" tint="-0.14996795556505021"/>
      </right>
      <top style="medium">
        <color theme="7" tint="-0.499984740745262"/>
      </top>
      <bottom/>
      <diagonal/>
    </border>
    <border>
      <left style="medium">
        <color rgb="FF311D0B"/>
      </left>
      <right style="medium">
        <color rgb="FF311D0B"/>
      </right>
      <top style="medium">
        <color indexed="64"/>
      </top>
      <bottom style="medium">
        <color rgb="FF311D0B"/>
      </bottom>
      <diagonal/>
    </border>
    <border>
      <left/>
      <right style="medium">
        <color indexed="64"/>
      </right>
      <top style="medium">
        <color rgb="FF311D0B"/>
      </top>
      <bottom style="medium">
        <color rgb="FF311D0B"/>
      </bottom>
      <diagonal/>
    </border>
    <border>
      <left/>
      <right/>
      <top style="thin">
        <color theme="0" tint="-0.14996795556505021"/>
      </top>
      <bottom/>
      <diagonal/>
    </border>
    <border>
      <left style="medium">
        <color rgb="FF311D0B"/>
      </left>
      <right style="thin">
        <color theme="0" tint="-0.14996795556505021"/>
      </right>
      <top/>
      <bottom style="thin">
        <color rgb="FFD9D9D9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rgb="FFD9D9D9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rgb="FFD9D9D9"/>
      </bottom>
      <diagonal/>
    </border>
    <border>
      <left style="thin">
        <color theme="0" tint="-0.14996795556505021"/>
      </left>
      <right/>
      <top/>
      <bottom style="thin">
        <color rgb="FFD9D9D9"/>
      </bottom>
      <diagonal/>
    </border>
    <border>
      <left style="thin">
        <color theme="0" tint="-0.14996795556505021"/>
      </left>
      <right style="medium">
        <color rgb="FF311D0B"/>
      </right>
      <top/>
      <bottom style="thin">
        <color rgb="FFD9D9D9"/>
      </bottom>
      <diagonal/>
    </border>
    <border>
      <left/>
      <right style="thick">
        <color auto="1"/>
      </right>
      <top/>
      <bottom/>
      <diagonal/>
    </border>
    <border>
      <left style="medium">
        <color rgb="FF311D0B"/>
      </left>
      <right style="medium">
        <color rgb="FF311D0B"/>
      </right>
      <top/>
      <bottom/>
      <diagonal/>
    </border>
    <border>
      <left style="thin">
        <color theme="0" tint="-0.14996795556505021"/>
      </left>
      <right/>
      <top style="medium">
        <color rgb="FF311D0B"/>
      </top>
      <bottom style="medium">
        <color indexed="64"/>
      </bottom>
      <diagonal/>
    </border>
    <border>
      <left/>
      <right/>
      <top style="medium">
        <color rgb="FF311D0B"/>
      </top>
      <bottom style="medium">
        <color indexed="64"/>
      </bottom>
      <diagonal/>
    </border>
    <border>
      <left/>
      <right style="thin">
        <color theme="0" tint="-0.14996795556505021"/>
      </right>
      <top style="medium">
        <color rgb="FF311D0B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8">
    <xf numFmtId="0" fontId="0" fillId="34" borderId="14">
      <alignment vertical="center"/>
    </xf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49" fillId="42" borderId="0" applyNumberFormat="0" applyAlignment="0">
      <alignment vertical="center"/>
    </xf>
    <xf numFmtId="0" fontId="20" fillId="33" borderId="12" applyNumberFormat="0">
      <alignment horizontal="center" vertical="center"/>
    </xf>
    <xf numFmtId="0" fontId="21" fillId="35" borderId="12" applyNumberFormat="0" applyAlignment="0">
      <alignment vertical="center"/>
    </xf>
    <xf numFmtId="168" fontId="22" fillId="36" borderId="14" applyNumberFormat="0" applyAlignment="0">
      <alignment vertical="center"/>
      <protection locked="0"/>
    </xf>
    <xf numFmtId="0" fontId="22" fillId="8" borderId="14" applyNumberFormat="0" applyAlignment="0" applyProtection="0"/>
    <xf numFmtId="0" fontId="23" fillId="37" borderId="17" applyNumberFormat="0" applyAlignment="0">
      <alignment vertical="center"/>
    </xf>
    <xf numFmtId="0" fontId="24" fillId="38" borderId="18" applyNumberFormat="0">
      <alignment horizontal="center" vertical="center"/>
    </xf>
    <xf numFmtId="0" fontId="22" fillId="39" borderId="17" applyNumberFormat="0" applyAlignment="0">
      <alignment vertical="center"/>
    </xf>
    <xf numFmtId="0" fontId="24" fillId="40" borderId="18" applyNumberFormat="0">
      <alignment horizontal="center" vertical="center"/>
    </xf>
    <xf numFmtId="0" fontId="45" fillId="70" borderId="53" applyAlignment="0">
      <alignment horizontal="center" vertical="center"/>
    </xf>
    <xf numFmtId="0" fontId="25" fillId="36" borderId="14" applyNumberFormat="0" applyAlignment="0">
      <alignment horizontal="right" vertical="center"/>
      <protection locked="0"/>
    </xf>
    <xf numFmtId="169" fontId="22" fillId="41" borderId="19" applyNumberFormat="0">
      <alignment horizontal="center" vertical="center"/>
    </xf>
    <xf numFmtId="0" fontId="26" fillId="42" borderId="14" applyNumberFormat="0" applyAlignment="0">
      <alignment horizontal="right" vertical="center"/>
    </xf>
    <xf numFmtId="168" fontId="27" fillId="43" borderId="14">
      <alignment horizontal="center" vertical="center"/>
    </xf>
    <xf numFmtId="168" fontId="22" fillId="44" borderId="14" applyAlignment="0">
      <alignment vertical="center"/>
    </xf>
    <xf numFmtId="168" fontId="28" fillId="45" borderId="14" applyNumberFormat="0" applyProtection="0">
      <alignment horizontal="center" vertical="center"/>
    </xf>
    <xf numFmtId="0" fontId="25" fillId="42" borderId="14" applyNumberFormat="0" applyAlignment="0">
      <alignment horizontal="right" vertical="center"/>
    </xf>
    <xf numFmtId="2" fontId="29" fillId="46" borderId="20">
      <alignment horizontal="right"/>
    </xf>
    <xf numFmtId="0" fontId="24" fillId="47" borderId="21">
      <alignment horizontal="center" vertical="center"/>
    </xf>
    <xf numFmtId="170" fontId="30" fillId="48" borderId="20" applyNumberFormat="0">
      <alignment horizontal="center" vertical="center"/>
    </xf>
    <xf numFmtId="0" fontId="31" fillId="49" borderId="0" applyNumberFormat="0" applyAlignment="0">
      <alignment horizontal="left" vertical="center" wrapText="1"/>
    </xf>
    <xf numFmtId="169" fontId="32" fillId="50" borderId="19" applyNumberFormat="0">
      <alignment horizontal="center" vertical="center"/>
    </xf>
    <xf numFmtId="0" fontId="26" fillId="51" borderId="18" applyNumberFormat="0" applyAlignment="0" applyProtection="0">
      <alignment horizontal="left"/>
    </xf>
    <xf numFmtId="0" fontId="33" fillId="52" borderId="22" applyNumberFormat="0" applyAlignment="0"/>
    <xf numFmtId="168" fontId="34" fillId="53" borderId="14" applyNumberFormat="0">
      <alignment horizontal="center" vertical="center"/>
    </xf>
    <xf numFmtId="0" fontId="35" fillId="54" borderId="20" applyNumberFormat="0" applyAlignment="0">
      <alignment horizontal="left" vertical="center" wrapText="1"/>
    </xf>
    <xf numFmtId="168" fontId="36" fillId="55" borderId="14">
      <alignment horizontal="center" vertical="center"/>
    </xf>
    <xf numFmtId="171" fontId="33" fillId="56" borderId="14">
      <alignment horizontal="center" vertical="center"/>
    </xf>
    <xf numFmtId="172" fontId="33" fillId="57" borderId="23">
      <alignment horizontal="center" vertical="center"/>
    </xf>
    <xf numFmtId="172" fontId="33" fillId="67" borderId="14">
      <alignment horizontal="center" vertical="center"/>
    </xf>
    <xf numFmtId="168" fontId="22" fillId="58" borderId="14">
      <alignment horizontal="center" vertical="center"/>
      <protection locked="0"/>
    </xf>
    <xf numFmtId="0" fontId="18" fillId="50" borderId="20" applyNumberFormat="0" applyFont="0" applyFill="0" applyAlignment="0"/>
    <xf numFmtId="2" fontId="26" fillId="60" borderId="14" applyNumberFormat="0">
      <alignment horizontal="center"/>
    </xf>
    <xf numFmtId="2" fontId="22" fillId="61" borderId="25" applyNumberFormat="0">
      <alignment vertical="center"/>
    </xf>
    <xf numFmtId="0" fontId="22" fillId="62" borderId="25" applyNumberFormat="0">
      <alignment vertical="center"/>
    </xf>
    <xf numFmtId="0" fontId="2" fillId="63" borderId="26"/>
    <xf numFmtId="0" fontId="38" fillId="64" borderId="27" applyNumberFormat="0" applyAlignment="0">
      <alignment vertical="center"/>
    </xf>
    <xf numFmtId="173" fontId="18" fillId="65" borderId="14">
      <alignment horizontal="center"/>
    </xf>
    <xf numFmtId="0" fontId="18" fillId="66" borderId="28" applyNumberFormat="0">
      <alignment horizontal="center" vertical="center"/>
    </xf>
    <xf numFmtId="0" fontId="39" fillId="54" borderId="20" applyNumberFormat="0" applyAlignment="0">
      <alignment horizontal="center" vertical="center"/>
    </xf>
    <xf numFmtId="0" fontId="41" fillId="34" borderId="14" applyNumberFormat="0" applyFill="0" applyBorder="0" applyAlignment="0" applyProtection="0"/>
    <xf numFmtId="180" fontId="43" fillId="34" borderId="14" applyNumberFormat="0">
      <alignment horizontal="center" vertical="center"/>
    </xf>
    <xf numFmtId="168" fontId="37" fillId="59" borderId="24" applyNumberFormat="0" applyAlignment="0">
      <alignment horizontal="center" vertical="center"/>
    </xf>
    <xf numFmtId="0" fontId="44" fillId="68" borderId="0">
      <alignment vertical="center"/>
    </xf>
    <xf numFmtId="173" fontId="18" fillId="69" borderId="14">
      <alignment horizontal="center"/>
    </xf>
    <xf numFmtId="0" fontId="19" fillId="72" borderId="0" applyNumberFormat="0" applyAlignment="0">
      <alignment vertical="center"/>
    </xf>
    <xf numFmtId="0" fontId="19" fillId="74" borderId="0"/>
    <xf numFmtId="0" fontId="19" fillId="75" borderId="0" applyNumberFormat="0" applyAlignment="0">
      <alignment vertical="center"/>
    </xf>
    <xf numFmtId="0" fontId="19" fillId="61" borderId="0" applyNumberFormat="0" applyAlignment="0">
      <alignment vertical="center"/>
    </xf>
    <xf numFmtId="0" fontId="19" fillId="76" borderId="0" applyNumberFormat="0" applyAlignment="0">
      <alignment vertical="center"/>
    </xf>
    <xf numFmtId="0" fontId="19" fillId="77" borderId="0" applyNumberFormat="0" applyAlignment="0">
      <alignment vertical="center"/>
    </xf>
    <xf numFmtId="0" fontId="19" fillId="78" borderId="0" applyNumberFormat="0" applyAlignment="0">
      <alignment vertical="center"/>
    </xf>
    <xf numFmtId="0" fontId="19" fillId="71" borderId="0" applyFont="0" applyBorder="0" applyAlignment="0">
      <alignment vertical="center"/>
    </xf>
    <xf numFmtId="0" fontId="19" fillId="50" borderId="0" applyBorder="0" applyAlignment="0"/>
    <xf numFmtId="0" fontId="19" fillId="79" borderId="0" applyFont="0" applyBorder="0" applyAlignment="0">
      <alignment vertical="center"/>
    </xf>
    <xf numFmtId="0" fontId="19" fillId="80" borderId="0" applyBorder="0" applyAlignment="0">
      <alignment vertical="center"/>
    </xf>
    <xf numFmtId="0" fontId="19" fillId="81" borderId="0" applyBorder="0" applyAlignment="0"/>
    <xf numFmtId="0" fontId="19" fillId="82" borderId="0" applyBorder="0" applyAlignment="0">
      <alignment vertical="center"/>
    </xf>
    <xf numFmtId="0" fontId="19" fillId="83" borderId="0" applyBorder="0" applyAlignment="0"/>
    <xf numFmtId="0" fontId="19" fillId="84" borderId="0" applyBorder="0" applyAlignment="0"/>
    <xf numFmtId="0" fontId="19" fillId="85" borderId="0" applyNumberFormat="0" applyFont="0" applyBorder="0" applyAlignment="0" applyProtection="0">
      <alignment vertical="center"/>
    </xf>
  </cellStyleXfs>
  <cellXfs count="540">
    <xf numFmtId="0" fontId="0" fillId="34" borderId="14" xfId="0">
      <alignment vertical="center"/>
    </xf>
    <xf numFmtId="0" fontId="21" fillId="35" borderId="37" xfId="49" applyBorder="1" applyAlignment="1"/>
    <xf numFmtId="0" fontId="49" fillId="42" borderId="0" xfId="47">
      <alignment vertical="center"/>
    </xf>
    <xf numFmtId="0" fontId="49" fillId="42" borderId="10" xfId="47" applyBorder="1">
      <alignment vertical="center"/>
    </xf>
    <xf numFmtId="0" fontId="49" fillId="42" borderId="10" xfId="47" applyBorder="1" applyAlignment="1">
      <alignment horizontal="left" vertical="center"/>
    </xf>
    <xf numFmtId="0" fontId="49" fillId="42" borderId="10" xfId="47" applyBorder="1" applyAlignment="1">
      <alignment horizontal="center" vertical="center"/>
    </xf>
    <xf numFmtId="0" fontId="49" fillId="42" borderId="0" xfId="47" applyAlignment="1"/>
    <xf numFmtId="0" fontId="49" fillId="42" borderId="11" xfId="47" applyBorder="1">
      <alignment vertical="center"/>
    </xf>
    <xf numFmtId="0" fontId="0" fillId="34" borderId="15" xfId="0" applyBorder="1">
      <alignment vertical="center"/>
    </xf>
    <xf numFmtId="0" fontId="49" fillId="42" borderId="11" xfId="47" applyBorder="1" applyAlignment="1"/>
    <xf numFmtId="0" fontId="0" fillId="34" borderId="16" xfId="0" applyBorder="1">
      <alignment vertical="center"/>
    </xf>
    <xf numFmtId="0" fontId="0" fillId="34" borderId="14" xfId="0" applyAlignment="1">
      <alignment horizontal="center"/>
    </xf>
    <xf numFmtId="0" fontId="0" fillId="34" borderId="16" xfId="0" applyBorder="1" applyAlignment="1">
      <alignment horizontal="left" indent="1"/>
    </xf>
    <xf numFmtId="0" fontId="45" fillId="70" borderId="53" xfId="56" applyAlignment="1"/>
    <xf numFmtId="0" fontId="22" fillId="41" borderId="19" xfId="58" applyNumberFormat="1">
      <alignment horizontal="center" vertical="center"/>
    </xf>
    <xf numFmtId="0" fontId="22" fillId="8" borderId="14" xfId="51"/>
    <xf numFmtId="0" fontId="26" fillId="51" borderId="18" xfId="69" applyAlignment="1">
      <alignment horizontal="center"/>
    </xf>
    <xf numFmtId="174" fontId="26" fillId="42" borderId="14" xfId="59" applyNumberFormat="1" applyAlignment="1">
      <alignment horizontal="center"/>
    </xf>
    <xf numFmtId="174" fontId="0" fillId="34" borderId="14" xfId="0" applyNumberFormat="1" applyAlignment="1">
      <alignment horizontal="center"/>
    </xf>
    <xf numFmtId="168" fontId="27" fillId="43" borderId="14" xfId="60">
      <alignment horizontal="center" vertical="center"/>
    </xf>
    <xf numFmtId="0" fontId="22" fillId="8" borderId="14" xfId="51" applyAlignment="1">
      <alignment horizontal="left"/>
    </xf>
    <xf numFmtId="170" fontId="22" fillId="44" borderId="14" xfId="61" applyNumberFormat="1" applyAlignment="1">
      <alignment horizontal="center"/>
    </xf>
    <xf numFmtId="168" fontId="26" fillId="42" borderId="14" xfId="59" applyNumberFormat="1" applyAlignment="1">
      <alignment horizontal="center"/>
    </xf>
    <xf numFmtId="0" fontId="21" fillId="35" borderId="12" xfId="49" applyAlignment="1"/>
    <xf numFmtId="0" fontId="21" fillId="35" borderId="12" xfId="49" applyAlignment="1">
      <alignment horizontal="center"/>
    </xf>
    <xf numFmtId="0" fontId="45" fillId="70" borderId="53" xfId="56" applyAlignment="1">
      <alignment horizontal="center"/>
    </xf>
    <xf numFmtId="175" fontId="28" fillId="45" borderId="14" xfId="62" applyNumberFormat="1">
      <alignment horizontal="center" vertical="center"/>
    </xf>
    <xf numFmtId="176" fontId="28" fillId="45" borderId="14" xfId="62" applyNumberFormat="1">
      <alignment horizontal="center" vertical="center"/>
    </xf>
    <xf numFmtId="168" fontId="22" fillId="41" borderId="19" xfId="58" applyNumberFormat="1">
      <alignment horizontal="center" vertical="center"/>
    </xf>
    <xf numFmtId="0" fontId="0" fillId="34" borderId="16" xfId="0" applyBorder="1" applyAlignment="1">
      <alignment horizontal="left"/>
    </xf>
    <xf numFmtId="0" fontId="21" fillId="35" borderId="12" xfId="49" applyAlignment="1">
      <alignment horizontal="left"/>
    </xf>
    <xf numFmtId="0" fontId="40" fillId="8" borderId="14" xfId="51" applyFont="1"/>
    <xf numFmtId="0" fontId="41" fillId="8" borderId="14" xfId="87" applyFill="1"/>
    <xf numFmtId="177" fontId="28" fillId="45" borderId="14" xfId="62" applyNumberFormat="1">
      <alignment horizontal="center" vertical="center"/>
    </xf>
    <xf numFmtId="178" fontId="28" fillId="45" borderId="14" xfId="62" applyNumberFormat="1">
      <alignment horizontal="center" vertical="center"/>
    </xf>
    <xf numFmtId="174" fontId="22" fillId="41" borderId="19" xfId="58" applyNumberFormat="1">
      <alignment horizontal="center" vertical="center"/>
    </xf>
    <xf numFmtId="170" fontId="25" fillId="36" borderId="14" xfId="57" applyNumberFormat="1" applyAlignment="1">
      <alignment horizontal="center"/>
      <protection locked="0"/>
    </xf>
    <xf numFmtId="174" fontId="22" fillId="44" borderId="14" xfId="61" applyNumberFormat="1" applyAlignment="1">
      <alignment horizontal="center"/>
    </xf>
    <xf numFmtId="0" fontId="0" fillId="34" borderId="14" xfId="0" applyAlignment="1">
      <alignment horizontal="left"/>
    </xf>
    <xf numFmtId="2" fontId="22" fillId="41" borderId="19" xfId="58" applyNumberFormat="1">
      <alignment horizontal="center" vertical="center"/>
    </xf>
    <xf numFmtId="0" fontId="0" fillId="34" borderId="14" xfId="0" applyAlignment="1">
      <alignment horizontal="center" vertical="center"/>
    </xf>
    <xf numFmtId="0" fontId="22" fillId="36" borderId="14" xfId="50" applyNumberFormat="1" applyAlignment="1">
      <alignment horizontal="center"/>
      <protection locked="0"/>
    </xf>
    <xf numFmtId="171" fontId="33" fillId="56" borderId="14" xfId="74">
      <alignment horizontal="center" vertical="center"/>
    </xf>
    <xf numFmtId="168" fontId="36" fillId="55" borderId="14" xfId="73">
      <alignment horizontal="center" vertical="center"/>
    </xf>
    <xf numFmtId="174" fontId="36" fillId="55" borderId="14" xfId="73" applyNumberFormat="1">
      <alignment horizontal="center" vertical="center"/>
    </xf>
    <xf numFmtId="172" fontId="33" fillId="67" borderId="14" xfId="76">
      <alignment horizontal="center" vertical="center"/>
    </xf>
    <xf numFmtId="172" fontId="38" fillId="64" borderId="27" xfId="83" applyNumberFormat="1" applyAlignment="1">
      <alignment horizontal="center"/>
    </xf>
    <xf numFmtId="180" fontId="22" fillId="44" borderId="14" xfId="61" applyNumberFormat="1" applyAlignment="1">
      <alignment horizontal="center"/>
    </xf>
    <xf numFmtId="180" fontId="25" fillId="36" borderId="14" xfId="57" applyNumberFormat="1" applyAlignment="1">
      <alignment horizontal="center"/>
      <protection locked="0"/>
    </xf>
    <xf numFmtId="180" fontId="0" fillId="34" borderId="14" xfId="0" applyNumberFormat="1">
      <alignment vertical="center"/>
    </xf>
    <xf numFmtId="180" fontId="38" fillId="64" borderId="27" xfId="83" applyNumberFormat="1" applyAlignment="1">
      <alignment horizontal="center"/>
    </xf>
    <xf numFmtId="180" fontId="26" fillId="42" borderId="14" xfId="59" applyNumberFormat="1" applyAlignment="1">
      <alignment horizontal="center"/>
    </xf>
    <xf numFmtId="180" fontId="0" fillId="34" borderId="14" xfId="0" applyNumberFormat="1" applyAlignment="1">
      <alignment horizontal="center"/>
    </xf>
    <xf numFmtId="170" fontId="0" fillId="34" borderId="14" xfId="0" applyNumberFormat="1" applyAlignment="1">
      <alignment horizontal="center"/>
    </xf>
    <xf numFmtId="181" fontId="28" fillId="45" borderId="14" xfId="62" applyNumberFormat="1">
      <alignment horizontal="center" vertical="center"/>
    </xf>
    <xf numFmtId="182" fontId="28" fillId="45" borderId="14" xfId="62" applyNumberFormat="1">
      <alignment horizontal="center" vertical="center"/>
    </xf>
    <xf numFmtId="179" fontId="0" fillId="34" borderId="14" xfId="0" applyNumberFormat="1" applyAlignment="1">
      <alignment horizontal="right"/>
    </xf>
    <xf numFmtId="0" fontId="0" fillId="34" borderId="14" xfId="0" applyAlignment="1">
      <alignment horizontal="right"/>
    </xf>
    <xf numFmtId="0" fontId="26" fillId="42" borderId="14" xfId="59" applyAlignment="1">
      <alignment horizontal="center"/>
    </xf>
    <xf numFmtId="0" fontId="0" fillId="34" borderId="44" xfId="0" applyBorder="1">
      <alignment vertical="center"/>
    </xf>
    <xf numFmtId="0" fontId="0" fillId="34" borderId="35" xfId="0" applyBorder="1">
      <alignment vertical="center"/>
    </xf>
    <xf numFmtId="172" fontId="0" fillId="34" borderId="14" xfId="0" applyNumberFormat="1" applyAlignment="1">
      <alignment horizontal="right"/>
    </xf>
    <xf numFmtId="0" fontId="36" fillId="55" borderId="14" xfId="73" applyNumberFormat="1">
      <alignment horizontal="center" vertical="center"/>
    </xf>
    <xf numFmtId="2" fontId="36" fillId="55" borderId="14" xfId="73" applyNumberFormat="1">
      <alignment horizontal="center" vertical="center"/>
    </xf>
    <xf numFmtId="168" fontId="22" fillId="44" borderId="14" xfId="61" applyAlignment="1">
      <alignment horizontal="center" vertical="center"/>
    </xf>
    <xf numFmtId="174" fontId="21" fillId="35" borderId="12" xfId="49" applyNumberFormat="1" applyAlignment="1">
      <alignment horizontal="center"/>
    </xf>
    <xf numFmtId="168" fontId="0" fillId="34" borderId="14" xfId="0" applyNumberFormat="1" applyAlignment="1">
      <alignment horizontal="center"/>
    </xf>
    <xf numFmtId="183" fontId="38" fillId="64" borderId="27" xfId="83" applyNumberFormat="1" applyAlignment="1">
      <alignment horizontal="center"/>
    </xf>
    <xf numFmtId="0" fontId="49" fillId="42" borderId="0" xfId="47" applyAlignment="1">
      <alignment horizontal="center" vertical="center"/>
    </xf>
    <xf numFmtId="0" fontId="49" fillId="42" borderId="0" xfId="47" applyAlignment="1">
      <alignment horizontal="center"/>
    </xf>
    <xf numFmtId="0" fontId="49" fillId="42" borderId="11" xfId="47" applyBorder="1" applyAlignment="1">
      <alignment horizontal="center"/>
    </xf>
    <xf numFmtId="0" fontId="0" fillId="34" borderId="30" xfId="0" applyBorder="1" applyAlignment="1">
      <alignment horizontal="center"/>
    </xf>
    <xf numFmtId="180" fontId="43" fillId="34" borderId="14" xfId="88">
      <alignment horizontal="center" vertical="center"/>
    </xf>
    <xf numFmtId="0" fontId="43" fillId="34" borderId="14" xfId="88" applyNumberFormat="1">
      <alignment horizontal="center" vertical="center"/>
    </xf>
    <xf numFmtId="168" fontId="43" fillId="34" borderId="14" xfId="88" applyNumberFormat="1">
      <alignment horizontal="center" vertical="center"/>
    </xf>
    <xf numFmtId="170" fontId="38" fillId="64" borderId="27" xfId="83" applyNumberFormat="1" applyAlignment="1">
      <alignment horizontal="center"/>
    </xf>
    <xf numFmtId="0" fontId="0" fillId="34" borderId="16" xfId="0" applyBorder="1" applyAlignment="1">
      <alignment horizontal="left" vertical="center"/>
    </xf>
    <xf numFmtId="2" fontId="0" fillId="34" borderId="14" xfId="0" applyNumberFormat="1">
      <alignment vertical="center"/>
    </xf>
    <xf numFmtId="168" fontId="0" fillId="34" borderId="14" xfId="0" applyNumberFormat="1">
      <alignment vertical="center"/>
    </xf>
    <xf numFmtId="0" fontId="0" fillId="34" borderId="14" xfId="0" applyAlignment="1">
      <alignment horizontal="left" vertical="center"/>
    </xf>
    <xf numFmtId="168" fontId="34" fillId="53" borderId="14" xfId="71">
      <alignment horizontal="center" vertical="center"/>
    </xf>
    <xf numFmtId="0" fontId="0" fillId="34" borderId="14" xfId="0" applyAlignment="1">
      <alignment horizontal="right" vertical="center"/>
    </xf>
    <xf numFmtId="180" fontId="0" fillId="34" borderId="14" xfId="0" applyNumberFormat="1" applyAlignment="1">
      <alignment horizontal="center" vertical="center"/>
    </xf>
    <xf numFmtId="185" fontId="22" fillId="36" borderId="14" xfId="50" applyNumberFormat="1" applyAlignment="1">
      <alignment horizontal="center"/>
      <protection locked="0"/>
    </xf>
    <xf numFmtId="168" fontId="26" fillId="42" borderId="14" xfId="59" applyNumberFormat="1" applyAlignment="1">
      <alignment horizontal="center" vertical="center"/>
    </xf>
    <xf numFmtId="2" fontId="25" fillId="36" borderId="14" xfId="57" applyNumberFormat="1" applyAlignment="1">
      <alignment horizontal="center"/>
      <protection locked="0"/>
    </xf>
    <xf numFmtId="174" fontId="26" fillId="42" borderId="14" xfId="59" applyNumberFormat="1" applyAlignment="1">
      <alignment horizontal="center" vertical="center"/>
    </xf>
    <xf numFmtId="186" fontId="25" fillId="36" borderId="14" xfId="57" applyNumberFormat="1" applyAlignment="1">
      <alignment horizontal="center"/>
      <protection locked="0"/>
    </xf>
    <xf numFmtId="168" fontId="25" fillId="36" borderId="14" xfId="57" applyNumberFormat="1" applyAlignment="1">
      <alignment horizontal="center"/>
      <protection locked="0"/>
    </xf>
    <xf numFmtId="168" fontId="25" fillId="42" borderId="14" xfId="63" applyNumberFormat="1" applyAlignment="1">
      <alignment horizontal="center"/>
    </xf>
    <xf numFmtId="180" fontId="34" fillId="53" borderId="14" xfId="71" applyNumberFormat="1">
      <alignment horizontal="center" vertical="center"/>
    </xf>
    <xf numFmtId="0" fontId="21" fillId="35" borderId="12" xfId="49" applyAlignment="1">
      <alignment horizontal="centerContinuous"/>
    </xf>
    <xf numFmtId="168" fontId="38" fillId="64" borderId="27" xfId="83" applyNumberFormat="1" applyAlignment="1">
      <alignment horizontal="center"/>
    </xf>
    <xf numFmtId="170" fontId="26" fillId="42" borderId="14" xfId="59" applyNumberFormat="1" applyAlignment="1">
      <alignment horizontal="center"/>
    </xf>
    <xf numFmtId="0" fontId="49" fillId="42" borderId="47" xfId="47" applyBorder="1" applyAlignment="1">
      <alignment horizontal="center"/>
    </xf>
    <xf numFmtId="0" fontId="21" fillId="35" borderId="50" xfId="49" applyBorder="1" applyAlignment="1">
      <alignment horizontal="center"/>
    </xf>
    <xf numFmtId="0" fontId="20" fillId="33" borderId="45" xfId="48" applyBorder="1">
      <alignment horizontal="center" vertical="center"/>
    </xf>
    <xf numFmtId="0" fontId="26" fillId="51" borderId="52" xfId="69" applyBorder="1" applyAlignment="1">
      <alignment horizontal="center"/>
    </xf>
    <xf numFmtId="0" fontId="20" fillId="33" borderId="51" xfId="0" applyFont="1" applyFill="1" applyBorder="1" applyAlignment="1">
      <alignment horizontal="center" vertical="center"/>
    </xf>
    <xf numFmtId="180" fontId="26" fillId="42" borderId="14" xfId="59" applyNumberFormat="1" applyAlignment="1">
      <alignment horizontal="center" vertical="center"/>
    </xf>
    <xf numFmtId="180" fontId="37" fillId="59" borderId="24" xfId="89" applyNumberFormat="1" applyAlignment="1">
      <alignment horizontal="center"/>
    </xf>
    <xf numFmtId="168" fontId="37" fillId="59" borderId="24" xfId="89" applyAlignment="1">
      <alignment horizontal="center"/>
    </xf>
    <xf numFmtId="168" fontId="22" fillId="44" borderId="14" xfId="61" applyAlignment="1">
      <alignment horizontal="center"/>
    </xf>
    <xf numFmtId="4" fontId="0" fillId="34" borderId="14" xfId="0" applyNumberFormat="1" applyAlignment="1">
      <alignment horizontal="center"/>
    </xf>
    <xf numFmtId="0" fontId="0" fillId="34" borderId="14" xfId="0" applyAlignment="1">
      <alignment horizontal="left" indent="1"/>
    </xf>
    <xf numFmtId="183" fontId="38" fillId="64" borderId="54" xfId="83" applyNumberFormat="1" applyBorder="1" applyAlignment="1">
      <alignment horizontal="center"/>
    </xf>
    <xf numFmtId="0" fontId="21" fillId="35" borderId="36" xfId="49" applyBorder="1" applyAlignment="1">
      <alignment horizontal="centerContinuous"/>
    </xf>
    <xf numFmtId="188" fontId="21" fillId="35" borderId="36" xfId="49" applyNumberFormat="1" applyBorder="1" applyAlignment="1">
      <alignment horizontal="centerContinuous" vertical="center"/>
    </xf>
    <xf numFmtId="0" fontId="20" fillId="33" borderId="12" xfId="48" applyAlignment="1">
      <alignment horizontal="centerContinuous" vertical="center"/>
    </xf>
    <xf numFmtId="183" fontId="26" fillId="42" borderId="14" xfId="59" applyNumberFormat="1" applyAlignment="1">
      <alignment horizontal="center"/>
    </xf>
    <xf numFmtId="0" fontId="20" fillId="33" borderId="12" xfId="48" applyAlignment="1">
      <alignment horizontal="left" vertical="center"/>
    </xf>
    <xf numFmtId="168" fontId="38" fillId="64" borderId="54" xfId="83" applyNumberFormat="1" applyBorder="1" applyAlignment="1">
      <alignment horizontal="center"/>
    </xf>
    <xf numFmtId="0" fontId="20" fillId="33" borderId="12" xfId="48">
      <alignment horizontal="center" vertical="center"/>
    </xf>
    <xf numFmtId="0" fontId="20" fillId="33" borderId="13" xfId="48" applyBorder="1">
      <alignment horizontal="center" vertical="center"/>
    </xf>
    <xf numFmtId="0" fontId="20" fillId="33" borderId="29" xfId="48" applyBorder="1">
      <alignment horizontal="center" vertical="center"/>
    </xf>
    <xf numFmtId="0" fontId="20" fillId="33" borderId="0" xfId="48" applyBorder="1">
      <alignment horizontal="center" vertical="center"/>
    </xf>
    <xf numFmtId="179" fontId="33" fillId="57" borderId="23" xfId="75" applyNumberFormat="1">
      <alignment horizontal="center" vertical="center"/>
    </xf>
    <xf numFmtId="0" fontId="20" fillId="33" borderId="66" xfId="48" applyBorder="1">
      <alignment horizontal="center" vertical="center"/>
    </xf>
    <xf numFmtId="0" fontId="20" fillId="33" borderId="68" xfId="48" applyBorder="1">
      <alignment horizontal="center" vertical="center"/>
    </xf>
    <xf numFmtId="0" fontId="20" fillId="33" borderId="67" xfId="48" applyBorder="1">
      <alignment horizontal="center" vertical="center"/>
    </xf>
    <xf numFmtId="0" fontId="20" fillId="33" borderId="69" xfId="48" applyBorder="1">
      <alignment horizontal="center" vertical="center"/>
    </xf>
    <xf numFmtId="0" fontId="20" fillId="33" borderId="13" xfId="48" applyBorder="1" applyAlignment="1">
      <alignment horizontal="left" vertical="center"/>
    </xf>
    <xf numFmtId="0" fontId="20" fillId="33" borderId="31" xfId="48" applyBorder="1" applyAlignment="1">
      <alignment horizontal="right" vertical="center"/>
    </xf>
    <xf numFmtId="190" fontId="18" fillId="65" borderId="14" xfId="84" applyNumberFormat="1">
      <alignment horizontal="center"/>
    </xf>
    <xf numFmtId="0" fontId="0" fillId="34" borderId="14" xfId="0" applyAlignment="1">
      <alignment horizontal="right" indent="1"/>
    </xf>
    <xf numFmtId="189" fontId="38" fillId="64" borderId="27" xfId="83" applyNumberFormat="1" applyAlignment="1">
      <alignment horizontal="center"/>
    </xf>
    <xf numFmtId="0" fontId="21" fillId="35" borderId="12" xfId="49" applyAlignment="1">
      <alignment horizontal="centerContinuous" vertical="center"/>
    </xf>
    <xf numFmtId="183" fontId="40" fillId="34" borderId="14" xfId="0" applyNumberFormat="1" applyFont="1" applyAlignment="1">
      <alignment horizontal="center"/>
    </xf>
    <xf numFmtId="179" fontId="30" fillId="48" borderId="20" xfId="66" applyNumberFormat="1">
      <alignment horizontal="center" vertical="center"/>
    </xf>
    <xf numFmtId="179" fontId="26" fillId="42" borderId="14" xfId="59" applyNumberFormat="1" applyAlignment="1">
      <alignment horizontal="center"/>
    </xf>
    <xf numFmtId="190" fontId="18" fillId="69" borderId="14" xfId="91" applyNumberFormat="1">
      <alignment horizontal="center"/>
    </xf>
    <xf numFmtId="190" fontId="0" fillId="34" borderId="14" xfId="0" applyNumberFormat="1">
      <alignment vertical="center"/>
    </xf>
    <xf numFmtId="190" fontId="30" fillId="48" borderId="20" xfId="66" applyNumberFormat="1">
      <alignment horizontal="center" vertical="center"/>
    </xf>
    <xf numFmtId="0" fontId="0" fillId="34" borderId="14" xfId="0" applyAlignment="1"/>
    <xf numFmtId="170" fontId="34" fillId="53" borderId="14" xfId="71" applyNumberFormat="1">
      <alignment horizontal="center" vertical="center"/>
    </xf>
    <xf numFmtId="0" fontId="49" fillId="42" borderId="47" xfId="47" applyBorder="1" applyAlignment="1"/>
    <xf numFmtId="0" fontId="49" fillId="42" borderId="72" xfId="47" applyBorder="1">
      <alignment vertical="center"/>
    </xf>
    <xf numFmtId="0" fontId="49" fillId="42" borderId="72" xfId="47" applyBorder="1" applyAlignment="1">
      <alignment horizontal="center" vertical="center"/>
    </xf>
    <xf numFmtId="0" fontId="49" fillId="42" borderId="72" xfId="47" applyBorder="1" applyAlignment="1">
      <alignment horizontal="right" vertical="center"/>
    </xf>
    <xf numFmtId="0" fontId="0" fillId="8" borderId="14" xfId="51" quotePrefix="1" applyFont="1"/>
    <xf numFmtId="0" fontId="20" fillId="33" borderId="74" xfId="48" applyBorder="1">
      <alignment horizontal="center" vertical="center"/>
    </xf>
    <xf numFmtId="173" fontId="36" fillId="55" borderId="14" xfId="73" applyNumberFormat="1">
      <alignment horizontal="center" vertical="center"/>
    </xf>
    <xf numFmtId="4" fontId="25" fillId="42" borderId="14" xfId="63" applyNumberFormat="1" applyAlignment="1">
      <alignment horizontal="center" vertical="center"/>
    </xf>
    <xf numFmtId="0" fontId="26" fillId="42" borderId="14" xfId="59" applyNumberFormat="1" applyAlignment="1">
      <alignment horizontal="center" vertical="center"/>
    </xf>
    <xf numFmtId="170" fontId="22" fillId="41" borderId="19" xfId="58" applyNumberFormat="1">
      <alignment horizontal="center" vertical="center"/>
    </xf>
    <xf numFmtId="186" fontId="25" fillId="42" borderId="14" xfId="63" applyNumberFormat="1" applyAlignment="1">
      <alignment horizontal="center" vertical="center"/>
    </xf>
    <xf numFmtId="186" fontId="25" fillId="36" borderId="14" xfId="57" applyNumberFormat="1" applyAlignment="1">
      <alignment horizontal="center" vertical="center"/>
      <protection locked="0"/>
    </xf>
    <xf numFmtId="0" fontId="0" fillId="34" borderId="30" xfId="0" quotePrefix="1" applyBorder="1" applyAlignment="1">
      <alignment horizontal="left" vertical="center" indent="1"/>
    </xf>
    <xf numFmtId="0" fontId="0" fillId="34" borderId="14" xfId="0" quotePrefix="1" applyAlignment="1">
      <alignment horizontal="left" vertical="center" indent="1"/>
    </xf>
    <xf numFmtId="0" fontId="0" fillId="34" borderId="14" xfId="0" applyAlignment="1">
      <alignment horizontal="left" vertical="center" indent="1"/>
    </xf>
    <xf numFmtId="168" fontId="22" fillId="58" borderId="14" xfId="77">
      <alignment horizontal="center" vertical="center"/>
      <protection locked="0"/>
    </xf>
    <xf numFmtId="0" fontId="0" fillId="34" borderId="16" xfId="0" applyBorder="1" applyAlignment="1">
      <alignment horizontal="left" vertical="center" indent="1"/>
    </xf>
    <xf numFmtId="0" fontId="0" fillId="34" borderId="14" xfId="0" quotePrefix="1" applyAlignment="1">
      <alignment horizontal="left" vertical="center" indent="2"/>
    </xf>
    <xf numFmtId="0" fontId="0" fillId="34" borderId="16" xfId="0" quotePrefix="1" applyBorder="1" applyAlignment="1">
      <alignment horizontal="left" vertical="center" indent="1"/>
    </xf>
    <xf numFmtId="0" fontId="47" fillId="34" borderId="14" xfId="0" applyFont="1">
      <alignment vertical="center"/>
    </xf>
    <xf numFmtId="174" fontId="0" fillId="34" borderId="14" xfId="0" applyNumberFormat="1">
      <alignment vertical="center"/>
    </xf>
    <xf numFmtId="170" fontId="25" fillId="42" borderId="14" xfId="63" applyNumberFormat="1" applyAlignment="1">
      <alignment horizontal="center"/>
    </xf>
    <xf numFmtId="0" fontId="0" fillId="34" borderId="14" xfId="0" applyAlignment="1">
      <alignment horizontal="left" vertical="center" indent="2"/>
    </xf>
    <xf numFmtId="0" fontId="0" fillId="34" borderId="30" xfId="0" quotePrefix="1" applyBorder="1" applyAlignment="1">
      <alignment horizontal="left" vertical="center" indent="2"/>
    </xf>
    <xf numFmtId="0" fontId="22" fillId="39" borderId="17" xfId="54" applyAlignment="1">
      <alignment horizontal="center" vertical="center"/>
    </xf>
    <xf numFmtId="168" fontId="22" fillId="36" borderId="14" xfId="50" applyAlignment="1">
      <alignment horizontal="center" vertical="center"/>
      <protection locked="0"/>
    </xf>
    <xf numFmtId="186" fontId="26" fillId="42" borderId="14" xfId="59" applyNumberFormat="1" applyAlignment="1">
      <alignment horizontal="center" vertical="center"/>
    </xf>
    <xf numFmtId="3" fontId="22" fillId="41" borderId="19" xfId="58" applyNumberFormat="1">
      <alignment horizontal="center" vertical="center"/>
    </xf>
    <xf numFmtId="3" fontId="26" fillId="42" borderId="14" xfId="59" applyNumberFormat="1" applyAlignment="1">
      <alignment horizontal="center" vertical="center"/>
    </xf>
    <xf numFmtId="189" fontId="33" fillId="57" borderId="23" xfId="75" applyNumberFormat="1">
      <alignment horizontal="center" vertical="center"/>
    </xf>
    <xf numFmtId="0" fontId="21" fillId="35" borderId="12" xfId="49">
      <alignment vertical="center"/>
    </xf>
    <xf numFmtId="170" fontId="22" fillId="36" borderId="14" xfId="50" applyNumberFormat="1" applyAlignment="1">
      <alignment horizontal="center"/>
      <protection locked="0"/>
    </xf>
    <xf numFmtId="2" fontId="0" fillId="34" borderId="14" xfId="0" applyNumberFormat="1" applyAlignment="1">
      <alignment horizontal="center"/>
    </xf>
    <xf numFmtId="191" fontId="0" fillId="34" borderId="14" xfId="0" applyNumberFormat="1" applyAlignment="1">
      <alignment horizontal="center"/>
    </xf>
    <xf numFmtId="191" fontId="25" fillId="42" borderId="14" xfId="63" applyNumberFormat="1" applyAlignment="1">
      <alignment horizontal="center" vertical="center"/>
    </xf>
    <xf numFmtId="0" fontId="0" fillId="34" borderId="14" xfId="0" applyAlignment="1">
      <alignment horizontal="left" indent="2"/>
    </xf>
    <xf numFmtId="0" fontId="0" fillId="34" borderId="16" xfId="0" applyBorder="1" applyAlignment="1">
      <alignment horizontal="left" vertical="center" indent="3"/>
    </xf>
    <xf numFmtId="186" fontId="0" fillId="34" borderId="14" xfId="0" applyNumberFormat="1" applyAlignment="1">
      <alignment horizontal="center"/>
    </xf>
    <xf numFmtId="170" fontId="22" fillId="39" borderId="17" xfId="54" applyNumberFormat="1" applyAlignment="1">
      <alignment horizontal="center" vertical="center"/>
    </xf>
    <xf numFmtId="180" fontId="25" fillId="42" borderId="14" xfId="63" applyNumberFormat="1" applyAlignment="1">
      <alignment horizontal="center"/>
    </xf>
    <xf numFmtId="169" fontId="22" fillId="36" borderId="14" xfId="50" applyNumberFormat="1" applyAlignment="1">
      <alignment horizontal="center"/>
      <protection locked="0"/>
    </xf>
    <xf numFmtId="169" fontId="0" fillId="34" borderId="14" xfId="0" applyNumberFormat="1" applyAlignment="1">
      <alignment horizontal="center"/>
    </xf>
    <xf numFmtId="2" fontId="0" fillId="34" borderId="14" xfId="0" applyNumberFormat="1" applyAlignment="1"/>
    <xf numFmtId="180" fontId="0" fillId="34" borderId="14" xfId="0" applyNumberFormat="1" applyAlignment="1"/>
    <xf numFmtId="0" fontId="45" fillId="70" borderId="53" xfId="56" applyAlignment="1">
      <alignment vertical="center"/>
    </xf>
    <xf numFmtId="180" fontId="22" fillId="41" borderId="19" xfId="58" applyNumberFormat="1">
      <alignment horizontal="center" vertical="center"/>
    </xf>
    <xf numFmtId="183" fontId="22" fillId="41" borderId="19" xfId="58" applyNumberFormat="1">
      <alignment horizontal="center" vertical="center"/>
    </xf>
    <xf numFmtId="183" fontId="0" fillId="34" borderId="14" xfId="0" applyNumberFormat="1">
      <alignment vertical="center"/>
    </xf>
    <xf numFmtId="183" fontId="0" fillId="34" borderId="14" xfId="0" applyNumberFormat="1" applyAlignment="1">
      <alignment horizontal="center"/>
    </xf>
    <xf numFmtId="180" fontId="22" fillId="36" borderId="14" xfId="50" applyNumberFormat="1" applyAlignment="1">
      <alignment horizontal="center"/>
      <protection locked="0"/>
    </xf>
    <xf numFmtId="0" fontId="0" fillId="34" borderId="16" xfId="0" applyBorder="1" applyAlignment="1">
      <alignment horizontal="left" vertical="center" indent="2"/>
    </xf>
    <xf numFmtId="0" fontId="22" fillId="39" borderId="17" xfId="54" applyNumberFormat="1" applyAlignment="1">
      <alignment horizontal="center" vertical="center"/>
    </xf>
    <xf numFmtId="192" fontId="33" fillId="56" borderId="14" xfId="74" applyNumberFormat="1">
      <alignment horizontal="center" vertical="center"/>
    </xf>
    <xf numFmtId="0" fontId="0" fillId="34" borderId="75" xfId="0" applyBorder="1">
      <alignment vertical="center"/>
    </xf>
    <xf numFmtId="190" fontId="18" fillId="65" borderId="75" xfId="84" applyNumberFormat="1" applyBorder="1">
      <alignment horizontal="center"/>
    </xf>
    <xf numFmtId="190" fontId="18" fillId="69" borderId="75" xfId="91" applyNumberFormat="1" applyBorder="1">
      <alignment horizontal="center"/>
    </xf>
    <xf numFmtId="190" fontId="0" fillId="34" borderId="75" xfId="0" applyNumberFormat="1" applyBorder="1">
      <alignment vertical="center"/>
    </xf>
    <xf numFmtId="190" fontId="30" fillId="48" borderId="76" xfId="66" applyNumberFormat="1" applyBorder="1">
      <alignment horizontal="center" vertical="center"/>
    </xf>
    <xf numFmtId="170" fontId="0" fillId="34" borderId="14" xfId="0" applyNumberFormat="1" applyAlignment="1">
      <alignment horizontal="center" vertical="center"/>
    </xf>
    <xf numFmtId="2" fontId="22" fillId="36" borderId="14" xfId="50" applyNumberFormat="1" applyAlignment="1">
      <alignment horizontal="center"/>
      <protection locked="0"/>
    </xf>
    <xf numFmtId="0" fontId="22" fillId="8" borderId="14" xfId="51" applyAlignment="1">
      <alignment vertical="center"/>
    </xf>
    <xf numFmtId="0" fontId="45" fillId="70" borderId="53" xfId="56" applyAlignment="1">
      <alignment horizontal="center" vertical="center"/>
    </xf>
    <xf numFmtId="0" fontId="45" fillId="70" borderId="53" xfId="56" applyAlignment="1">
      <alignment horizontal="left"/>
    </xf>
    <xf numFmtId="0" fontId="0" fillId="34" borderId="16" xfId="0" applyBorder="1" applyAlignment="1">
      <alignment horizontal="left" indent="2"/>
    </xf>
    <xf numFmtId="168" fontId="22" fillId="36" borderId="14" xfId="50" applyNumberFormat="1" applyAlignment="1">
      <alignment horizontal="center"/>
      <protection locked="0"/>
    </xf>
    <xf numFmtId="0" fontId="0" fillId="34" borderId="13" xfId="0" applyBorder="1">
      <alignment vertical="center"/>
    </xf>
    <xf numFmtId="0" fontId="0" fillId="34" borderId="30" xfId="0" applyBorder="1" applyAlignment="1">
      <alignment horizontal="left" vertical="center"/>
    </xf>
    <xf numFmtId="193" fontId="26" fillId="42" borderId="14" xfId="59" applyNumberFormat="1" applyAlignment="1">
      <alignment horizontal="center" vertical="center"/>
    </xf>
    <xf numFmtId="170" fontId="26" fillId="42" borderId="14" xfId="59" applyNumberFormat="1" applyAlignment="1">
      <alignment horizontal="center" vertical="center"/>
    </xf>
    <xf numFmtId="170" fontId="0" fillId="34" borderId="14" xfId="0" applyNumberFormat="1">
      <alignment vertical="center"/>
    </xf>
    <xf numFmtId="0" fontId="0" fillId="34" borderId="14" xfId="0" applyAlignment="1">
      <alignment horizontal="left" indent="3"/>
    </xf>
    <xf numFmtId="2" fontId="25" fillId="42" borderId="14" xfId="63" applyNumberFormat="1" applyAlignment="1">
      <alignment horizontal="center"/>
    </xf>
    <xf numFmtId="2" fontId="26" fillId="42" borderId="14" xfId="59" applyNumberFormat="1" applyAlignment="1">
      <alignment horizontal="center" vertical="center"/>
    </xf>
    <xf numFmtId="2" fontId="22" fillId="58" borderId="14" xfId="77" applyNumberFormat="1">
      <alignment horizontal="center" vertical="center"/>
      <protection locked="0"/>
    </xf>
    <xf numFmtId="2" fontId="0" fillId="34" borderId="14" xfId="0" applyNumberFormat="1" applyAlignment="1">
      <alignment horizontal="center" vertical="center"/>
    </xf>
    <xf numFmtId="0" fontId="0" fillId="0" borderId="0" xfId="0" applyFill="1" applyBorder="1" applyAlignment="1">
      <alignment horizontal="left" indent="2"/>
    </xf>
    <xf numFmtId="3" fontId="0" fillId="34" borderId="14" xfId="0" applyNumberFormat="1">
      <alignment vertical="center"/>
    </xf>
    <xf numFmtId="3" fontId="26" fillId="42" borderId="14" xfId="59" applyNumberFormat="1" applyAlignment="1">
      <alignment horizontal="center"/>
    </xf>
    <xf numFmtId="0" fontId="0" fillId="34" borderId="42" xfId="0" applyBorder="1">
      <alignment vertical="center"/>
    </xf>
    <xf numFmtId="0" fontId="0" fillId="34" borderId="41" xfId="0" applyBorder="1">
      <alignment vertical="center"/>
    </xf>
    <xf numFmtId="0" fontId="0" fillId="34" borderId="57" xfId="0" applyBorder="1" applyAlignment="1">
      <alignment horizontal="center"/>
    </xf>
    <xf numFmtId="0" fontId="0" fillId="34" borderId="58" xfId="0" applyBorder="1">
      <alignment vertical="center"/>
    </xf>
    <xf numFmtId="174" fontId="0" fillId="34" borderId="84" xfId="0" applyNumberFormat="1" applyBorder="1" applyAlignment="1">
      <alignment horizontal="center"/>
    </xf>
    <xf numFmtId="183" fontId="0" fillId="34" borderId="59" xfId="0" applyNumberFormat="1" applyBorder="1" applyAlignment="1">
      <alignment horizontal="center"/>
    </xf>
    <xf numFmtId="180" fontId="0" fillId="34" borderId="42" xfId="0" applyNumberFormat="1" applyBorder="1">
      <alignment vertical="center"/>
    </xf>
    <xf numFmtId="180" fontId="0" fillId="34" borderId="58" xfId="0" applyNumberFormat="1" applyBorder="1">
      <alignment vertical="center"/>
    </xf>
    <xf numFmtId="168" fontId="0" fillId="34" borderId="58" xfId="0" applyNumberFormat="1" applyBorder="1">
      <alignment vertical="center"/>
    </xf>
    <xf numFmtId="168" fontId="0" fillId="34" borderId="59" xfId="0" applyNumberFormat="1" applyBorder="1">
      <alignment vertical="center"/>
    </xf>
    <xf numFmtId="168" fontId="0" fillId="34" borderId="16" xfId="0" applyNumberFormat="1" applyBorder="1">
      <alignment vertical="center"/>
    </xf>
    <xf numFmtId="0" fontId="0" fillId="34" borderId="60" xfId="0" applyBorder="1" applyAlignment="1">
      <alignment horizontal="center"/>
    </xf>
    <xf numFmtId="0" fontId="0" fillId="34" borderId="61" xfId="0" applyBorder="1">
      <alignment vertical="center"/>
    </xf>
    <xf numFmtId="168" fontId="0" fillId="34" borderId="61" xfId="0" applyNumberFormat="1" applyBorder="1" applyAlignment="1">
      <alignment horizontal="center"/>
    </xf>
    <xf numFmtId="168" fontId="0" fillId="34" borderId="85" xfId="0" applyNumberFormat="1" applyBorder="1" applyAlignment="1">
      <alignment horizontal="center"/>
    </xf>
    <xf numFmtId="174" fontId="0" fillId="34" borderId="86" xfId="0" applyNumberFormat="1" applyBorder="1" applyAlignment="1">
      <alignment horizontal="center"/>
    </xf>
    <xf numFmtId="183" fontId="0" fillId="34" borderId="62" xfId="0" applyNumberFormat="1" applyBorder="1" applyAlignment="1">
      <alignment horizontal="center"/>
    </xf>
    <xf numFmtId="180" fontId="0" fillId="34" borderId="61" xfId="0" applyNumberFormat="1" applyBorder="1">
      <alignment vertical="center"/>
    </xf>
    <xf numFmtId="168" fontId="0" fillId="34" borderId="61" xfId="0" applyNumberFormat="1" applyBorder="1">
      <alignment vertical="center"/>
    </xf>
    <xf numFmtId="168" fontId="0" fillId="34" borderId="62" xfId="0" applyNumberFormat="1" applyBorder="1">
      <alignment vertical="center"/>
    </xf>
    <xf numFmtId="180" fontId="20" fillId="33" borderId="13" xfId="48" applyNumberFormat="1" applyBorder="1" applyAlignment="1">
      <alignment horizontal="left" vertical="center"/>
    </xf>
    <xf numFmtId="183" fontId="0" fillId="34" borderId="58" xfId="0" applyNumberFormat="1" applyBorder="1" applyAlignment="1">
      <alignment horizontal="right"/>
    </xf>
    <xf numFmtId="183" fontId="0" fillId="34" borderId="58" xfId="0" applyNumberFormat="1" applyBorder="1" applyAlignment="1">
      <alignment horizontal="left"/>
    </xf>
    <xf numFmtId="168" fontId="0" fillId="34" borderId="58" xfId="0" applyNumberFormat="1" applyBorder="1" applyAlignment="1">
      <alignment horizontal="right"/>
    </xf>
    <xf numFmtId="174" fontId="0" fillId="34" borderId="58" xfId="0" applyNumberFormat="1" applyBorder="1" applyAlignment="1">
      <alignment horizontal="left"/>
    </xf>
    <xf numFmtId="183" fontId="0" fillId="34" borderId="63" xfId="0" applyNumberFormat="1" applyBorder="1" applyAlignment="1">
      <alignment horizontal="left"/>
    </xf>
    <xf numFmtId="168" fontId="0" fillId="34" borderId="63" xfId="0" applyNumberFormat="1" applyBorder="1" applyAlignment="1">
      <alignment horizontal="right"/>
    </xf>
    <xf numFmtId="183" fontId="0" fillId="34" borderId="61" xfId="0" applyNumberFormat="1" applyBorder="1" applyAlignment="1">
      <alignment horizontal="right"/>
    </xf>
    <xf numFmtId="183" fontId="0" fillId="34" borderId="61" xfId="0" applyNumberFormat="1" applyBorder="1" applyAlignment="1">
      <alignment horizontal="left"/>
    </xf>
    <xf numFmtId="174" fontId="0" fillId="34" borderId="61" xfId="0" applyNumberFormat="1" applyBorder="1" applyAlignment="1">
      <alignment horizontal="left"/>
    </xf>
    <xf numFmtId="168" fontId="0" fillId="34" borderId="61" xfId="0" applyNumberFormat="1" applyBorder="1" applyAlignment="1">
      <alignment horizontal="right"/>
    </xf>
    <xf numFmtId="168" fontId="0" fillId="34" borderId="85" xfId="0" applyNumberFormat="1" applyBorder="1" applyAlignment="1">
      <alignment horizontal="left"/>
    </xf>
    <xf numFmtId="168" fontId="0" fillId="34" borderId="85" xfId="0" applyNumberFormat="1" applyBorder="1" applyAlignment="1">
      <alignment horizontal="right"/>
    </xf>
    <xf numFmtId="0" fontId="26" fillId="42" borderId="14" xfId="59" applyAlignment="1">
      <alignment horizontal="center" vertical="center"/>
    </xf>
    <xf numFmtId="1" fontId="0" fillId="34" borderId="14" xfId="0" applyNumberFormat="1" applyAlignment="1">
      <alignment horizontal="center"/>
    </xf>
    <xf numFmtId="0" fontId="20" fillId="33" borderId="43" xfId="48" applyBorder="1">
      <alignment horizontal="center" vertical="center"/>
    </xf>
    <xf numFmtId="0" fontId="20" fillId="33" borderId="56" xfId="48" applyBorder="1">
      <alignment horizontal="center" vertical="center"/>
    </xf>
    <xf numFmtId="0" fontId="22" fillId="8" borderId="14" xfId="51" applyAlignment="1">
      <alignment horizontal="left" vertical="center"/>
    </xf>
    <xf numFmtId="194" fontId="0" fillId="34" borderId="14" xfId="0" applyNumberFormat="1" applyAlignment="1">
      <alignment horizontal="center"/>
    </xf>
    <xf numFmtId="0" fontId="48" fillId="34" borderId="14" xfId="0" applyFont="1" applyAlignment="1">
      <alignment horizontal="justify" vertical="center"/>
    </xf>
    <xf numFmtId="186" fontId="25" fillId="42" borderId="14" xfId="63" applyNumberFormat="1" applyAlignment="1">
      <alignment horizontal="center"/>
    </xf>
    <xf numFmtId="191" fontId="26" fillId="42" borderId="14" xfId="59" applyNumberFormat="1" applyAlignment="1">
      <alignment horizontal="center" vertical="center"/>
    </xf>
    <xf numFmtId="0" fontId="21" fillId="35" borderId="38" xfId="49" applyBorder="1" applyAlignment="1"/>
    <xf numFmtId="0" fontId="21" fillId="35" borderId="38" xfId="49" applyBorder="1" applyAlignment="1">
      <alignment horizontal="center"/>
    </xf>
    <xf numFmtId="0" fontId="21" fillId="35" borderId="12" xfId="49" applyAlignment="1">
      <alignment horizontal="right"/>
    </xf>
    <xf numFmtId="0" fontId="41" fillId="8" borderId="14" xfId="87" applyFill="1" applyAlignment="1">
      <alignment vertical="center"/>
    </xf>
    <xf numFmtId="0" fontId="19" fillId="72" borderId="11" xfId="92" applyBorder="1" applyAlignment="1"/>
    <xf numFmtId="0" fontId="19" fillId="72" borderId="0" xfId="92" applyAlignment="1"/>
    <xf numFmtId="0" fontId="19" fillId="72" borderId="10" xfId="92" applyBorder="1">
      <alignment vertical="center"/>
    </xf>
    <xf numFmtId="0" fontId="19" fillId="72" borderId="0" xfId="92">
      <alignment vertical="center"/>
    </xf>
    <xf numFmtId="0" fontId="19" fillId="72" borderId="11" xfId="92" applyBorder="1">
      <alignment vertical="center"/>
    </xf>
    <xf numFmtId="0" fontId="22" fillId="39" borderId="17" xfId="54" applyAlignment="1">
      <alignment horizontal="center"/>
    </xf>
    <xf numFmtId="1" fontId="26" fillId="42" borderId="14" xfId="59" applyNumberFormat="1" applyAlignment="1">
      <alignment horizontal="center"/>
    </xf>
    <xf numFmtId="180" fontId="22" fillId="39" borderId="17" xfId="54" applyNumberFormat="1" applyAlignment="1">
      <alignment horizontal="center"/>
    </xf>
    <xf numFmtId="183" fontId="22" fillId="44" borderId="14" xfId="61" applyNumberFormat="1" applyAlignment="1">
      <alignment horizontal="center"/>
    </xf>
    <xf numFmtId="195" fontId="0" fillId="34" borderId="14" xfId="0" applyNumberFormat="1">
      <alignment vertical="center"/>
    </xf>
    <xf numFmtId="174" fontId="25" fillId="42" borderId="14" xfId="63" applyNumberFormat="1" applyAlignment="1">
      <alignment horizontal="center"/>
    </xf>
    <xf numFmtId="196" fontId="22" fillId="41" borderId="19" xfId="58" applyNumberFormat="1">
      <alignment horizontal="center" vertical="center"/>
    </xf>
    <xf numFmtId="0" fontId="19" fillId="72" borderId="10" xfId="92" applyBorder="1" applyAlignment="1">
      <alignment horizontal="center" vertical="center"/>
    </xf>
    <xf numFmtId="174" fontId="0" fillId="34" borderId="61" xfId="0" applyNumberFormat="1" applyBorder="1" applyAlignment="1">
      <alignment horizontal="center"/>
    </xf>
    <xf numFmtId="183" fontId="0" fillId="34" borderId="61" xfId="0" applyNumberFormat="1" applyBorder="1" applyAlignment="1">
      <alignment horizontal="center"/>
    </xf>
    <xf numFmtId="174" fontId="0" fillId="34" borderId="58" xfId="0" applyNumberFormat="1" applyBorder="1" applyAlignment="1">
      <alignment horizontal="center"/>
    </xf>
    <xf numFmtId="183" fontId="0" fillId="34" borderId="58" xfId="0" applyNumberFormat="1" applyBorder="1" applyAlignment="1">
      <alignment horizontal="center"/>
    </xf>
    <xf numFmtId="0" fontId="19" fillId="72" borderId="10" xfId="92" applyBorder="1" applyAlignment="1">
      <alignment horizontal="left" vertical="center"/>
    </xf>
    <xf numFmtId="173" fontId="18" fillId="69" borderId="75" xfId="91" applyBorder="1">
      <alignment horizontal="center"/>
    </xf>
    <xf numFmtId="173" fontId="18" fillId="65" borderId="75" xfId="84" applyBorder="1">
      <alignment horizontal="center"/>
    </xf>
    <xf numFmtId="173" fontId="18" fillId="65" borderId="14" xfId="84">
      <alignment horizontal="center"/>
    </xf>
    <xf numFmtId="173" fontId="18" fillId="69" borderId="14" xfId="91">
      <alignment horizontal="center"/>
    </xf>
    <xf numFmtId="190" fontId="30" fillId="48" borderId="89" xfId="66" applyNumberFormat="1" applyBorder="1">
      <alignment horizontal="center" vertical="center"/>
    </xf>
    <xf numFmtId="190" fontId="0" fillId="34" borderId="15" xfId="0" applyNumberFormat="1" applyBorder="1">
      <alignment vertical="center"/>
    </xf>
    <xf numFmtId="172" fontId="30" fillId="48" borderId="20" xfId="66" applyNumberFormat="1">
      <alignment horizontal="center" vertical="center"/>
    </xf>
    <xf numFmtId="197" fontId="33" fillId="57" borderId="23" xfId="75" applyNumberFormat="1">
      <alignment horizontal="center" vertical="center"/>
    </xf>
    <xf numFmtId="172" fontId="33" fillId="57" borderId="23" xfId="75">
      <alignment horizontal="center" vertical="center"/>
    </xf>
    <xf numFmtId="0" fontId="38" fillId="64" borderId="54" xfId="83" applyNumberFormat="1" applyBorder="1" applyAlignment="1">
      <alignment horizontal="center"/>
    </xf>
    <xf numFmtId="0" fontId="35" fillId="73" borderId="90" xfId="0" applyFont="1" applyFill="1" applyBorder="1">
      <alignment vertical="center"/>
    </xf>
    <xf numFmtId="0" fontId="35" fillId="73" borderId="15" xfId="0" applyFont="1" applyFill="1" applyBorder="1">
      <alignment vertical="center"/>
    </xf>
    <xf numFmtId="0" fontId="35" fillId="73" borderId="91" xfId="0" applyFont="1" applyFill="1" applyBorder="1">
      <alignment vertical="center"/>
    </xf>
    <xf numFmtId="0" fontId="21" fillId="35" borderId="45" xfId="49" applyBorder="1" applyAlignment="1">
      <alignment horizontal="center"/>
    </xf>
    <xf numFmtId="0" fontId="26" fillId="51" borderId="97" xfId="69" applyBorder="1" applyAlignment="1">
      <alignment horizontal="center"/>
    </xf>
    <xf numFmtId="168" fontId="0" fillId="34" borderId="83" xfId="0" applyNumberFormat="1" applyBorder="1">
      <alignment vertical="center"/>
    </xf>
    <xf numFmtId="168" fontId="0" fillId="34" borderId="85" xfId="0" applyNumberFormat="1" applyBorder="1">
      <alignment vertical="center"/>
    </xf>
    <xf numFmtId="198" fontId="0" fillId="34" borderId="14" xfId="0" applyNumberFormat="1">
      <alignment vertical="center"/>
    </xf>
    <xf numFmtId="184" fontId="20" fillId="33" borderId="29" xfId="48" applyNumberFormat="1" applyBorder="1">
      <alignment horizontal="center" vertical="center"/>
    </xf>
    <xf numFmtId="184" fontId="20" fillId="33" borderId="29" xfId="48" applyNumberFormat="1" applyBorder="1" applyAlignment="1">
      <alignment horizontal="right" vertical="center"/>
    </xf>
    <xf numFmtId="2" fontId="22" fillId="39" borderId="17" xfId="54" applyNumberFormat="1" applyAlignment="1">
      <alignment horizontal="center" vertical="center"/>
    </xf>
    <xf numFmtId="0" fontId="0" fillId="34" borderId="0" xfId="0" applyBorder="1">
      <alignment vertical="center"/>
    </xf>
    <xf numFmtId="0" fontId="39" fillId="54" borderId="20" xfId="86" applyAlignment="1">
      <alignment horizontal="center"/>
    </xf>
    <xf numFmtId="174" fontId="22" fillId="39" borderId="17" xfId="54" applyNumberFormat="1" applyAlignment="1">
      <alignment horizontal="center" vertical="center"/>
    </xf>
    <xf numFmtId="1" fontId="36" fillId="55" borderId="14" xfId="73" applyNumberFormat="1">
      <alignment horizontal="center" vertical="center"/>
    </xf>
    <xf numFmtId="172" fontId="26" fillId="42" borderId="14" xfId="59" applyNumberFormat="1" applyAlignment="1">
      <alignment horizontal="center"/>
    </xf>
    <xf numFmtId="0" fontId="21" fillId="35" borderId="12" xfId="49" applyAlignment="1">
      <alignment horizontal="center" vertical="center"/>
    </xf>
    <xf numFmtId="199" fontId="18" fillId="69" borderId="75" xfId="91" applyNumberFormat="1" applyBorder="1">
      <alignment horizontal="center"/>
    </xf>
    <xf numFmtId="199" fontId="18" fillId="65" borderId="75" xfId="84" applyNumberFormat="1" applyBorder="1">
      <alignment horizontal="center"/>
    </xf>
    <xf numFmtId="199" fontId="18" fillId="65" borderId="14" xfId="84" applyNumberFormat="1">
      <alignment horizontal="center"/>
    </xf>
    <xf numFmtId="199" fontId="18" fillId="69" borderId="14" xfId="91" applyNumberFormat="1">
      <alignment horizontal="center"/>
    </xf>
    <xf numFmtId="197" fontId="0" fillId="34" borderId="14" xfId="0" applyNumberFormat="1">
      <alignment vertical="center"/>
    </xf>
    <xf numFmtId="0" fontId="19" fillId="76" borderId="11" xfId="96" applyBorder="1" applyAlignment="1"/>
    <xf numFmtId="0" fontId="19" fillId="76" borderId="0" xfId="96" applyAlignment="1"/>
    <xf numFmtId="0" fontId="19" fillId="76" borderId="10" xfId="96" applyBorder="1">
      <alignment vertical="center"/>
    </xf>
    <xf numFmtId="0" fontId="19" fillId="76" borderId="0" xfId="96">
      <alignment vertical="center"/>
    </xf>
    <xf numFmtId="0" fontId="19" fillId="76" borderId="0" xfId="96" applyAlignment="1">
      <alignment horizontal="center"/>
    </xf>
    <xf numFmtId="0" fontId="19" fillId="76" borderId="11" xfId="96" applyBorder="1">
      <alignment vertical="center"/>
    </xf>
    <xf numFmtId="168" fontId="22" fillId="39" borderId="17" xfId="54" applyNumberFormat="1" applyAlignment="1">
      <alignment horizontal="center" vertical="center"/>
    </xf>
    <xf numFmtId="0" fontId="0" fillId="34" borderId="14" xfId="0" applyAlignment="1">
      <alignment horizontal="left" indent="4"/>
    </xf>
    <xf numFmtId="0" fontId="26" fillId="42" borderId="14" xfId="59" applyNumberFormat="1" applyAlignment="1">
      <alignment horizontal="center"/>
    </xf>
    <xf numFmtId="0" fontId="19" fillId="76" borderId="10" xfId="96" applyBorder="1" applyAlignment="1">
      <alignment horizontal="center" vertical="center"/>
    </xf>
    <xf numFmtId="0" fontId="19" fillId="76" borderId="10" xfId="96" applyBorder="1" applyAlignment="1">
      <alignment horizontal="left" vertical="center"/>
    </xf>
    <xf numFmtId="168" fontId="26" fillId="55" borderId="14" xfId="73" applyFont="1">
      <alignment horizontal="center" vertical="center"/>
    </xf>
    <xf numFmtId="168" fontId="19" fillId="76" borderId="0" xfId="96" applyNumberFormat="1" applyAlignment="1">
      <alignment horizontal="center"/>
    </xf>
    <xf numFmtId="180" fontId="19" fillId="76" borderId="10" xfId="96" applyNumberFormat="1" applyBorder="1">
      <alignment vertical="center"/>
    </xf>
    <xf numFmtId="0" fontId="0" fillId="34" borderId="99" xfId="0" applyBorder="1">
      <alignment vertical="center"/>
    </xf>
    <xf numFmtId="0" fontId="0" fillId="34" borderId="90" xfId="0" applyBorder="1">
      <alignment vertical="center"/>
    </xf>
    <xf numFmtId="0" fontId="19" fillId="78" borderId="11" xfId="98" applyBorder="1" applyAlignment="1"/>
    <xf numFmtId="0" fontId="19" fillId="78" borderId="0" xfId="98" applyAlignment="1"/>
    <xf numFmtId="0" fontId="19" fillId="78" borderId="11" xfId="98" applyBorder="1">
      <alignment vertical="center"/>
    </xf>
    <xf numFmtId="0" fontId="19" fillId="78" borderId="0" xfId="98">
      <alignment vertical="center"/>
    </xf>
    <xf numFmtId="168" fontId="0" fillId="34" borderId="14" xfId="0" applyNumberFormat="1" applyAlignment="1">
      <alignment horizontal="center" vertical="center"/>
    </xf>
    <xf numFmtId="183" fontId="22" fillId="44" borderId="14" xfId="61" applyNumberFormat="1" applyAlignment="1">
      <alignment horizontal="center" vertical="center"/>
    </xf>
    <xf numFmtId="180" fontId="22" fillId="58" borderId="14" xfId="77" applyNumberFormat="1">
      <alignment horizontal="center" vertical="center"/>
      <protection locked="0"/>
    </xf>
    <xf numFmtId="183" fontId="26" fillId="42" borderId="14" xfId="59" applyNumberFormat="1" applyAlignment="1">
      <alignment horizontal="center" vertical="center"/>
    </xf>
    <xf numFmtId="10" fontId="0" fillId="34" borderId="14" xfId="0" applyNumberFormat="1" applyAlignment="1">
      <alignment horizontal="center"/>
    </xf>
    <xf numFmtId="187" fontId="26" fillId="42" borderId="14" xfId="59" applyNumberFormat="1" applyAlignment="1">
      <alignment horizontal="center" vertical="center"/>
    </xf>
    <xf numFmtId="0" fontId="1" fillId="34" borderId="14" xfId="0" applyFont="1" applyAlignment="1">
      <alignment horizontal="left" indent="2"/>
    </xf>
    <xf numFmtId="0" fontId="1" fillId="34" borderId="14" xfId="0" applyFont="1">
      <alignment vertical="center"/>
    </xf>
    <xf numFmtId="0" fontId="19" fillId="78" borderId="10" xfId="98" applyBorder="1">
      <alignment vertical="center"/>
    </xf>
    <xf numFmtId="0" fontId="19" fillId="78" borderId="10" xfId="98" applyBorder="1" applyAlignment="1">
      <alignment horizontal="center" vertical="center"/>
    </xf>
    <xf numFmtId="0" fontId="19" fillId="78" borderId="10" xfId="98" applyBorder="1" applyAlignment="1">
      <alignment horizontal="left" vertical="center"/>
    </xf>
    <xf numFmtId="0" fontId="19" fillId="78" borderId="47" xfId="98" applyBorder="1" applyAlignment="1"/>
    <xf numFmtId="0" fontId="36" fillId="55" borderId="16" xfId="73" applyNumberFormat="1" applyBorder="1">
      <alignment horizontal="center" vertical="center"/>
    </xf>
    <xf numFmtId="0" fontId="19" fillId="78" borderId="72" xfId="98" applyBorder="1" applyAlignment="1"/>
    <xf numFmtId="0" fontId="19" fillId="78" borderId="72" xfId="98" applyBorder="1" applyAlignment="1">
      <alignment vertical="center"/>
    </xf>
    <xf numFmtId="168" fontId="0" fillId="34" borderId="15" xfId="0" applyNumberFormat="1" applyBorder="1">
      <alignment vertical="center"/>
    </xf>
    <xf numFmtId="0" fontId="19" fillId="78" borderId="47" xfId="98" applyBorder="1" applyAlignment="1">
      <alignment vertical="center"/>
    </xf>
    <xf numFmtId="0" fontId="19" fillId="78" borderId="0" xfId="98" applyAlignment="1">
      <alignment vertical="center"/>
    </xf>
    <xf numFmtId="168" fontId="36" fillId="55" borderId="16" xfId="73" applyBorder="1">
      <alignment horizontal="center" vertical="center"/>
    </xf>
    <xf numFmtId="0" fontId="0" fillId="34" borderId="100" xfId="0" applyBorder="1" applyAlignment="1">
      <alignment horizontal="center"/>
    </xf>
    <xf numFmtId="0" fontId="0" fillId="34" borderId="101" xfId="0" applyBorder="1">
      <alignment vertical="center"/>
    </xf>
    <xf numFmtId="183" fontId="0" fillId="34" borderId="101" xfId="0" applyNumberFormat="1" applyBorder="1" applyAlignment="1">
      <alignment horizontal="center"/>
    </xf>
    <xf numFmtId="168" fontId="0" fillId="34" borderId="101" xfId="0" applyNumberFormat="1" applyBorder="1" applyAlignment="1">
      <alignment horizontal="center"/>
    </xf>
    <xf numFmtId="174" fontId="0" fillId="34" borderId="102" xfId="0" applyNumberFormat="1" applyBorder="1" applyAlignment="1">
      <alignment horizontal="center"/>
    </xf>
    <xf numFmtId="174" fontId="0" fillId="34" borderId="101" xfId="0" applyNumberFormat="1" applyBorder="1" applyAlignment="1">
      <alignment horizontal="center"/>
    </xf>
    <xf numFmtId="180" fontId="0" fillId="34" borderId="101" xfId="0" applyNumberFormat="1" applyBorder="1" applyAlignment="1">
      <alignment horizontal="center"/>
    </xf>
    <xf numFmtId="168" fontId="0" fillId="34" borderId="103" xfId="0" applyNumberFormat="1" applyBorder="1" applyAlignment="1">
      <alignment horizontal="center"/>
    </xf>
    <xf numFmtId="183" fontId="0" fillId="34" borderId="104" xfId="0" applyNumberFormat="1" applyBorder="1" applyAlignment="1">
      <alignment horizontal="center"/>
    </xf>
    <xf numFmtId="180" fontId="0" fillId="34" borderId="41" xfId="0" applyNumberFormat="1" applyBorder="1">
      <alignment vertical="center"/>
    </xf>
    <xf numFmtId="180" fontId="0" fillId="34" borderId="101" xfId="0" applyNumberFormat="1" applyBorder="1">
      <alignment vertical="center"/>
    </xf>
    <xf numFmtId="168" fontId="0" fillId="34" borderId="101" xfId="0" applyNumberFormat="1" applyBorder="1">
      <alignment vertical="center"/>
    </xf>
    <xf numFmtId="168" fontId="0" fillId="34" borderId="104" xfId="0" applyNumberFormat="1" applyBorder="1">
      <alignment vertical="center"/>
    </xf>
    <xf numFmtId="184" fontId="20" fillId="33" borderId="29" xfId="48" applyNumberFormat="1" applyBorder="1" applyAlignment="1">
      <alignment horizontal="left" vertical="center"/>
    </xf>
    <xf numFmtId="183" fontId="0" fillId="34" borderId="101" xfId="0" applyNumberFormat="1" applyBorder="1" applyAlignment="1">
      <alignment horizontal="right"/>
    </xf>
    <xf numFmtId="183" fontId="0" fillId="34" borderId="101" xfId="0" applyNumberFormat="1" applyBorder="1" applyAlignment="1">
      <alignment horizontal="left"/>
    </xf>
    <xf numFmtId="168" fontId="0" fillId="34" borderId="101" xfId="0" applyNumberFormat="1" applyBorder="1" applyAlignment="1">
      <alignment horizontal="right"/>
    </xf>
    <xf numFmtId="174" fontId="0" fillId="34" borderId="101" xfId="0" applyNumberFormat="1" applyBorder="1" applyAlignment="1">
      <alignment horizontal="left"/>
    </xf>
    <xf numFmtId="168" fontId="0" fillId="34" borderId="103" xfId="0" applyNumberFormat="1" applyBorder="1">
      <alignment vertical="center"/>
    </xf>
    <xf numFmtId="0" fontId="19" fillId="78" borderId="43" xfId="98" applyBorder="1">
      <alignment vertical="center"/>
    </xf>
    <xf numFmtId="0" fontId="21" fillId="35" borderId="12" xfId="49" applyAlignment="1">
      <alignment horizontal="left" vertical="center"/>
    </xf>
    <xf numFmtId="2" fontId="21" fillId="35" borderId="12" xfId="49" applyNumberFormat="1" applyAlignment="1">
      <alignment horizontal="center"/>
    </xf>
    <xf numFmtId="174" fontId="0" fillId="34" borderId="103" xfId="0" applyNumberFormat="1" applyBorder="1" applyAlignment="1">
      <alignment horizontal="center"/>
    </xf>
    <xf numFmtId="174" fontId="0" fillId="34" borderId="85" xfId="0" applyNumberFormat="1" applyBorder="1" applyAlignment="1">
      <alignment horizontal="center"/>
    </xf>
    <xf numFmtId="2" fontId="21" fillId="35" borderId="12" xfId="49" applyNumberFormat="1" applyAlignment="1">
      <alignment horizontal="center" vertical="center"/>
    </xf>
    <xf numFmtId="0" fontId="19" fillId="71" borderId="0" xfId="99">
      <alignment vertical="center"/>
    </xf>
    <xf numFmtId="0" fontId="19" fillId="71" borderId="0" xfId="99" applyAlignment="1"/>
    <xf numFmtId="0" fontId="19" fillId="71" borderId="10" xfId="99" applyBorder="1">
      <alignment vertical="center"/>
    </xf>
    <xf numFmtId="0" fontId="19" fillId="71" borderId="11" xfId="99" applyBorder="1">
      <alignment vertical="center"/>
    </xf>
    <xf numFmtId="0" fontId="19" fillId="71" borderId="11" xfId="99" applyBorder="1" applyAlignment="1"/>
    <xf numFmtId="0" fontId="0" fillId="70" borderId="53" xfId="0" applyFill="1" applyBorder="1" applyAlignment="1"/>
    <xf numFmtId="0" fontId="0" fillId="33" borderId="12" xfId="0" applyFill="1" applyBorder="1" applyAlignment="1">
      <alignment horizontal="left" vertical="center"/>
    </xf>
    <xf numFmtId="0" fontId="0" fillId="70" borderId="53" xfId="0" applyFill="1" applyBorder="1" applyAlignment="1">
      <alignment horizontal="center"/>
    </xf>
    <xf numFmtId="0" fontId="45" fillId="70" borderId="53" xfId="56" applyAlignment="1">
      <alignment horizontal="left" vertical="center"/>
    </xf>
    <xf numFmtId="169" fontId="0" fillId="34" borderId="14" xfId="0" applyNumberFormat="1">
      <alignment vertical="center"/>
    </xf>
    <xf numFmtId="0" fontId="19" fillId="72" borderId="0" xfId="92" applyAlignment="1">
      <alignment horizontal="center"/>
    </xf>
    <xf numFmtId="0" fontId="19" fillId="78" borderId="0" xfId="98" applyAlignment="1">
      <alignment horizontal="center"/>
    </xf>
    <xf numFmtId="0" fontId="19" fillId="71" borderId="0" xfId="99" applyAlignment="1">
      <alignment horizontal="center"/>
    </xf>
    <xf numFmtId="198" fontId="26" fillId="42" borderId="14" xfId="59" applyNumberFormat="1" applyAlignment="1">
      <alignment horizontal="center"/>
    </xf>
    <xf numFmtId="168" fontId="22" fillId="8" borderId="14" xfId="51" applyNumberFormat="1"/>
    <xf numFmtId="168" fontId="26" fillId="42" borderId="30" xfId="59" applyNumberFormat="1" applyBorder="1" applyAlignment="1">
      <alignment horizontal="center"/>
    </xf>
    <xf numFmtId="174" fontId="26" fillId="42" borderId="30" xfId="59" applyNumberFormat="1" applyBorder="1" applyAlignment="1">
      <alignment horizontal="center"/>
    </xf>
    <xf numFmtId="170" fontId="19" fillId="71" borderId="0" xfId="99" applyNumberFormat="1" applyAlignment="1">
      <alignment horizontal="center"/>
    </xf>
    <xf numFmtId="3" fontId="0" fillId="34" borderId="14" xfId="0" applyNumberFormat="1" applyAlignment="1">
      <alignment horizontal="center"/>
    </xf>
    <xf numFmtId="3" fontId="22" fillId="36" borderId="14" xfId="50" applyNumberFormat="1" applyAlignment="1">
      <alignment horizontal="center"/>
      <protection locked="0"/>
    </xf>
    <xf numFmtId="0" fontId="45" fillId="70" borderId="53" xfId="56">
      <alignment horizontal="center" vertical="center"/>
    </xf>
    <xf numFmtId="168" fontId="0" fillId="34" borderId="14" xfId="0" applyNumberFormat="1" applyAlignment="1"/>
    <xf numFmtId="0" fontId="0" fillId="34" borderId="30" xfId="0" applyBorder="1" applyAlignment="1">
      <alignment horizontal="left"/>
    </xf>
    <xf numFmtId="0" fontId="0" fillId="34" borderId="30" xfId="0" applyBorder="1">
      <alignment vertical="center"/>
    </xf>
    <xf numFmtId="0" fontId="0" fillId="34" borderId="30" xfId="0" applyBorder="1" applyAlignment="1">
      <alignment horizontal="right"/>
    </xf>
    <xf numFmtId="0" fontId="49" fillId="42" borderId="105" xfId="47" applyBorder="1" applyAlignment="1"/>
    <xf numFmtId="0" fontId="49" fillId="42" borderId="72" xfId="47" applyBorder="1" applyAlignment="1">
      <alignment horizontal="left" vertical="center"/>
    </xf>
    <xf numFmtId="180" fontId="33" fillId="42" borderId="0" xfId="47" applyNumberFormat="1" applyFont="1" applyAlignment="1">
      <alignment horizontal="center" vertical="center"/>
    </xf>
    <xf numFmtId="1" fontId="25" fillId="42" borderId="14" xfId="63" applyNumberFormat="1" applyAlignment="1">
      <alignment horizontal="center"/>
    </xf>
    <xf numFmtId="3" fontId="25" fillId="42" borderId="14" xfId="63" applyNumberFormat="1" applyAlignment="1">
      <alignment horizontal="center"/>
    </xf>
    <xf numFmtId="183" fontId="25" fillId="42" borderId="14" xfId="63" applyNumberFormat="1" applyAlignment="1">
      <alignment horizontal="center"/>
    </xf>
    <xf numFmtId="0" fontId="19" fillId="82" borderId="0" xfId="104" applyAlignment="1">
      <alignment vertical="center"/>
    </xf>
    <xf numFmtId="0" fontId="19" fillId="82" borderId="0" xfId="104" applyAlignment="1">
      <alignment horizontal="center"/>
    </xf>
    <xf numFmtId="0" fontId="19" fillId="82" borderId="11" xfId="104" applyBorder="1" applyAlignment="1">
      <alignment vertical="center"/>
    </xf>
    <xf numFmtId="0" fontId="22" fillId="8" borderId="14" xfId="51" applyAlignment="1">
      <alignment horizontal="left" vertical="center" indent="1"/>
    </xf>
    <xf numFmtId="176" fontId="28" fillId="45" borderId="14" xfId="62" applyNumberFormat="1" applyAlignment="1">
      <alignment horizontal="left" vertical="center" indent="1"/>
    </xf>
    <xf numFmtId="175" fontId="28" fillId="45" borderId="14" xfId="62" applyNumberFormat="1" applyAlignment="1">
      <alignment horizontal="left" vertical="center" indent="1"/>
    </xf>
    <xf numFmtId="202" fontId="0" fillId="34" borderId="14" xfId="0" applyNumberFormat="1">
      <alignment vertical="center"/>
    </xf>
    <xf numFmtId="169" fontId="0" fillId="34" borderId="14" xfId="0" applyNumberFormat="1" applyAlignment="1"/>
    <xf numFmtId="0" fontId="0" fillId="34" borderId="16" xfId="0" applyBorder="1" applyAlignment="1">
      <alignment horizontal="center" vertical="center"/>
    </xf>
    <xf numFmtId="0" fontId="45" fillId="70" borderId="0" xfId="56" applyBorder="1" applyAlignment="1">
      <alignment horizontal="center"/>
    </xf>
    <xf numFmtId="0" fontId="45" fillId="70" borderId="0" xfId="56" applyBorder="1" applyAlignment="1">
      <alignment horizontal="left" vertical="center" wrapText="1"/>
    </xf>
    <xf numFmtId="180" fontId="19" fillId="78" borderId="72" xfId="98" applyNumberFormat="1" applyBorder="1" applyAlignment="1">
      <alignment vertical="center"/>
    </xf>
    <xf numFmtId="183" fontId="19" fillId="71" borderId="10" xfId="99" applyNumberFormat="1" applyBorder="1">
      <alignment vertical="center"/>
    </xf>
    <xf numFmtId="203" fontId="19" fillId="71" borderId="10" xfId="99" applyNumberFormat="1" applyBorder="1">
      <alignment vertical="center"/>
    </xf>
    <xf numFmtId="173" fontId="26" fillId="55" borderId="14" xfId="73" applyNumberFormat="1" applyFont="1">
      <alignment horizontal="center" vertical="center"/>
    </xf>
    <xf numFmtId="0" fontId="45" fillId="70" borderId="53" xfId="56" applyAlignment="1">
      <alignment horizontal="left" vertical="center" wrapText="1"/>
    </xf>
    <xf numFmtId="3" fontId="0" fillId="34" borderId="14" xfId="0" applyNumberFormat="1" applyAlignment="1">
      <alignment horizontal="center" vertical="center"/>
    </xf>
    <xf numFmtId="204" fontId="34" fillId="53" borderId="14" xfId="71" applyNumberFormat="1">
      <alignment horizontal="center" vertical="center"/>
    </xf>
    <xf numFmtId="183" fontId="0" fillId="34" borderId="14" xfId="0" applyNumberFormat="1" applyAlignment="1">
      <alignment horizontal="center" vertical="center"/>
    </xf>
    <xf numFmtId="201" fontId="0" fillId="34" borderId="14" xfId="0" applyNumberFormat="1" applyAlignment="1">
      <alignment horizontal="center" vertical="center"/>
    </xf>
    <xf numFmtId="200" fontId="0" fillId="34" borderId="14" xfId="0" applyNumberFormat="1" applyAlignment="1">
      <alignment horizontal="center" vertical="center"/>
    </xf>
    <xf numFmtId="0" fontId="0" fillId="34" borderId="16" xfId="0" applyBorder="1" applyAlignment="1"/>
    <xf numFmtId="0" fontId="22" fillId="8" borderId="14" xfId="51" quotePrefix="1"/>
    <xf numFmtId="185" fontId="22" fillId="36" borderId="14" xfId="50" applyNumberFormat="1" applyAlignment="1" applyProtection="1">
      <alignment horizontal="center"/>
    </xf>
    <xf numFmtId="0" fontId="22" fillId="86" borderId="0" xfId="51" applyFill="1" applyBorder="1"/>
    <xf numFmtId="0" fontId="22" fillId="8" borderId="44" xfId="51" applyBorder="1"/>
    <xf numFmtId="0" fontId="22" fillId="8" borderId="16" xfId="51" applyBorder="1"/>
    <xf numFmtId="0" fontId="22" fillId="86" borderId="0" xfId="51" applyFill="1" applyBorder="1" applyAlignment="1"/>
    <xf numFmtId="0" fontId="22" fillId="8" borderId="35" xfId="51" applyBorder="1"/>
    <xf numFmtId="0" fontId="22" fillId="8" borderId="15" xfId="51" applyBorder="1"/>
    <xf numFmtId="0" fontId="41" fillId="86" borderId="0" xfId="87" applyFill="1" applyBorder="1"/>
    <xf numFmtId="0" fontId="22" fillId="54" borderId="0" xfId="51" applyFill="1" applyBorder="1"/>
    <xf numFmtId="0" fontId="41" fillId="86" borderId="0" xfId="87" applyFill="1" applyBorder="1" applyAlignment="1">
      <alignment horizontal="left"/>
    </xf>
    <xf numFmtId="0" fontId="21" fillId="35" borderId="48" xfId="49" applyBorder="1" applyAlignment="1">
      <alignment horizontal="center" vertical="center"/>
    </xf>
    <xf numFmtId="0" fontId="21" fillId="35" borderId="12" xfId="49" applyAlignment="1">
      <alignment horizontal="center" vertical="center"/>
    </xf>
    <xf numFmtId="0" fontId="21" fillId="35" borderId="46" xfId="49" applyBorder="1" applyAlignment="1">
      <alignment horizontal="center" vertical="center"/>
    </xf>
    <xf numFmtId="0" fontId="20" fillId="33" borderId="73" xfId="48" applyBorder="1">
      <alignment horizontal="center" vertical="center"/>
    </xf>
    <xf numFmtId="0" fontId="22" fillId="8" borderId="14" xfId="51" applyAlignment="1">
      <alignment horizontal="left" vertical="center"/>
    </xf>
    <xf numFmtId="0" fontId="22" fillId="8" borderId="35" xfId="51" applyBorder="1" applyAlignment="1">
      <alignment vertical="center"/>
    </xf>
    <xf numFmtId="0" fontId="22" fillId="8" borderId="30" xfId="51" applyBorder="1" applyAlignment="1">
      <alignment vertical="center"/>
    </xf>
    <xf numFmtId="0" fontId="22" fillId="8" borderId="15" xfId="51" applyBorder="1" applyAlignment="1">
      <alignment vertical="center"/>
    </xf>
    <xf numFmtId="0" fontId="22" fillId="8" borderId="14" xfId="51" applyAlignment="1">
      <alignment vertical="center"/>
    </xf>
    <xf numFmtId="0" fontId="20" fillId="33" borderId="29" xfId="48" applyBorder="1">
      <alignment horizontal="center" vertical="center"/>
    </xf>
    <xf numFmtId="0" fontId="20" fillId="33" borderId="13" xfId="48" applyBorder="1">
      <alignment horizontal="center" vertical="center"/>
    </xf>
    <xf numFmtId="0" fontId="20" fillId="33" borderId="77" xfId="48" applyBorder="1">
      <alignment horizontal="center" vertical="center"/>
    </xf>
    <xf numFmtId="0" fontId="22" fillId="8" borderId="55" xfId="51" applyBorder="1" applyAlignment="1">
      <alignment horizontal="left" vertical="center"/>
    </xf>
    <xf numFmtId="0" fontId="22" fillId="8" borderId="30" xfId="51" applyBorder="1" applyAlignment="1">
      <alignment horizontal="left" vertical="center"/>
    </xf>
    <xf numFmtId="0" fontId="22" fillId="8" borderId="71" xfId="51" applyBorder="1" applyAlignment="1">
      <alignment horizontal="left" vertical="center"/>
    </xf>
    <xf numFmtId="0" fontId="20" fillId="33" borderId="12" xfId="48">
      <alignment horizontal="center" vertical="center"/>
    </xf>
    <xf numFmtId="0" fontId="20" fillId="33" borderId="92" xfId="48" applyBorder="1" applyAlignment="1">
      <alignment horizontal="center" vertical="center" wrapText="1"/>
    </xf>
    <xf numFmtId="0" fontId="20" fillId="33" borderId="87" xfId="48" applyBorder="1" applyAlignment="1">
      <alignment horizontal="center" vertical="center" wrapText="1"/>
    </xf>
    <xf numFmtId="0" fontId="20" fillId="33" borderId="93" xfId="48" applyBorder="1" applyAlignment="1">
      <alignment horizontal="center" vertical="center" wrapText="1"/>
    </xf>
    <xf numFmtId="0" fontId="20" fillId="33" borderId="12" xfId="48" applyAlignment="1">
      <alignment horizontal="center" vertical="center" wrapText="1"/>
    </xf>
    <xf numFmtId="0" fontId="20" fillId="33" borderId="46" xfId="48" applyBorder="1">
      <alignment horizontal="center" vertical="center"/>
    </xf>
    <xf numFmtId="0" fontId="20" fillId="33" borderId="92" xfId="48" applyBorder="1">
      <alignment horizontal="center" vertical="center"/>
    </xf>
    <xf numFmtId="0" fontId="20" fillId="33" borderId="93" xfId="48" applyBorder="1">
      <alignment horizontal="center" vertical="center"/>
    </xf>
    <xf numFmtId="0" fontId="20" fillId="33" borderId="50" xfId="48" applyBorder="1" applyAlignment="1">
      <alignment horizontal="center" vertical="center" wrapText="1"/>
    </xf>
    <xf numFmtId="0" fontId="20" fillId="33" borderId="106" xfId="48" applyBorder="1" applyAlignment="1">
      <alignment horizontal="center" vertical="center" wrapText="1"/>
    </xf>
    <xf numFmtId="0" fontId="20" fillId="33" borderId="50" xfId="48" applyBorder="1">
      <alignment horizontal="center" vertical="center"/>
    </xf>
    <xf numFmtId="0" fontId="20" fillId="33" borderId="106" xfId="48" applyBorder="1">
      <alignment horizontal="center" vertical="center"/>
    </xf>
    <xf numFmtId="0" fontId="20" fillId="33" borderId="39" xfId="48" applyBorder="1" applyAlignment="1">
      <alignment horizontal="center" vertical="center" wrapText="1"/>
    </xf>
    <xf numFmtId="0" fontId="20" fillId="33" borderId="56" xfId="48" applyBorder="1" applyAlignment="1">
      <alignment horizontal="center" vertical="center" wrapText="1"/>
    </xf>
    <xf numFmtId="0" fontId="20" fillId="33" borderId="0" xfId="48" applyBorder="1">
      <alignment horizontal="center" vertical="center"/>
    </xf>
    <xf numFmtId="180" fontId="20" fillId="33" borderId="12" xfId="48" applyNumberFormat="1">
      <alignment horizontal="center" vertical="center"/>
    </xf>
    <xf numFmtId="180" fontId="20" fillId="33" borderId="29" xfId="48" applyNumberFormat="1" applyBorder="1">
      <alignment horizontal="center" vertical="center"/>
    </xf>
    <xf numFmtId="180" fontId="20" fillId="33" borderId="0" xfId="48" applyNumberFormat="1" applyBorder="1">
      <alignment horizontal="center" vertical="center"/>
    </xf>
    <xf numFmtId="168" fontId="20" fillId="33" borderId="29" xfId="48" applyNumberFormat="1" applyBorder="1">
      <alignment horizontal="center" vertical="center"/>
    </xf>
    <xf numFmtId="168" fontId="20" fillId="33" borderId="0" xfId="48" applyNumberFormat="1" applyBorder="1">
      <alignment horizontal="center" vertical="center"/>
    </xf>
    <xf numFmtId="184" fontId="20" fillId="33" borderId="29" xfId="48" applyNumberFormat="1" applyBorder="1">
      <alignment horizontal="center" vertical="center"/>
    </xf>
    <xf numFmtId="184" fontId="20" fillId="33" borderId="0" xfId="48" applyNumberFormat="1" applyBorder="1">
      <alignment horizontal="center" vertical="center"/>
    </xf>
    <xf numFmtId="0" fontId="20" fillId="33" borderId="80" xfId="48" applyBorder="1">
      <alignment horizontal="center" vertical="center"/>
    </xf>
    <xf numFmtId="0" fontId="20" fillId="33" borderId="81" xfId="48" applyBorder="1">
      <alignment horizontal="center" vertical="center"/>
    </xf>
    <xf numFmtId="0" fontId="20" fillId="33" borderId="82" xfId="48" applyBorder="1">
      <alignment horizontal="center" vertical="center"/>
    </xf>
    <xf numFmtId="0" fontId="20" fillId="33" borderId="43" xfId="48" applyBorder="1">
      <alignment horizontal="center" vertical="center"/>
    </xf>
    <xf numFmtId="0" fontId="20" fillId="33" borderId="40" xfId="48" applyBorder="1">
      <alignment horizontal="center" vertical="center"/>
    </xf>
    <xf numFmtId="0" fontId="20" fillId="33" borderId="39" xfId="48" applyBorder="1">
      <alignment horizontal="center" vertical="center"/>
    </xf>
    <xf numFmtId="0" fontId="20" fillId="33" borderId="56" xfId="48" applyBorder="1">
      <alignment horizontal="center" vertical="center"/>
    </xf>
    <xf numFmtId="0" fontId="45" fillId="70" borderId="37" xfId="56" applyBorder="1" applyAlignment="1">
      <alignment horizontal="left" vertical="center" wrapText="1"/>
    </xf>
    <xf numFmtId="0" fontId="45" fillId="70" borderId="12" xfId="56" applyBorder="1" applyAlignment="1">
      <alignment horizontal="left" vertical="center" wrapText="1"/>
    </xf>
    <xf numFmtId="0" fontId="45" fillId="70" borderId="38" xfId="56" applyBorder="1" applyAlignment="1">
      <alignment horizontal="left" vertical="center" wrapText="1"/>
    </xf>
    <xf numFmtId="0" fontId="45" fillId="70" borderId="37" xfId="56" applyBorder="1" applyAlignment="1">
      <alignment horizontal="center"/>
    </xf>
    <xf numFmtId="0" fontId="45" fillId="70" borderId="12" xfId="56" applyBorder="1" applyAlignment="1">
      <alignment horizontal="center"/>
    </xf>
    <xf numFmtId="0" fontId="45" fillId="70" borderId="38" xfId="56" applyBorder="1" applyAlignment="1">
      <alignment horizontal="center"/>
    </xf>
    <xf numFmtId="0" fontId="26" fillId="51" borderId="49" xfId="69" applyBorder="1" applyAlignment="1">
      <alignment horizontal="center" vertical="center"/>
    </xf>
    <xf numFmtId="0" fontId="26" fillId="51" borderId="78" xfId="69" applyBorder="1" applyAlignment="1">
      <alignment horizontal="center" vertical="center"/>
    </xf>
    <xf numFmtId="0" fontId="26" fillId="51" borderId="79" xfId="69" applyBorder="1" applyAlignment="1">
      <alignment horizontal="center" vertical="center"/>
    </xf>
    <xf numFmtId="0" fontId="45" fillId="70" borderId="64" xfId="56" applyBorder="1" applyAlignment="1">
      <alignment horizontal="center"/>
    </xf>
    <xf numFmtId="0" fontId="45" fillId="70" borderId="53" xfId="56" applyAlignment="1">
      <alignment horizontal="center"/>
    </xf>
    <xf numFmtId="0" fontId="45" fillId="70" borderId="65" xfId="56" applyBorder="1" applyAlignment="1">
      <alignment horizontal="center"/>
    </xf>
    <xf numFmtId="0" fontId="26" fillId="51" borderId="18" xfId="69" applyAlignment="1">
      <alignment horizontal="center" vertical="center" wrapText="1"/>
    </xf>
    <xf numFmtId="0" fontId="26" fillId="51" borderId="88" xfId="69" applyBorder="1" applyAlignment="1">
      <alignment horizontal="center" vertical="center" wrapText="1"/>
    </xf>
    <xf numFmtId="0" fontId="20" fillId="33" borderId="29" xfId="48" applyBorder="1" applyAlignment="1">
      <alignment horizontal="right" vertical="center" wrapText="1"/>
    </xf>
    <xf numFmtId="0" fontId="20" fillId="33" borderId="0" xfId="48" applyBorder="1" applyAlignment="1">
      <alignment horizontal="right" vertical="center" wrapText="1"/>
    </xf>
    <xf numFmtId="0" fontId="20" fillId="33" borderId="29" xfId="48" applyBorder="1" applyAlignment="1">
      <alignment horizontal="left" vertical="center" wrapText="1"/>
    </xf>
    <xf numFmtId="0" fontId="20" fillId="33" borderId="0" xfId="48" applyBorder="1" applyAlignment="1">
      <alignment horizontal="left" vertical="center" wrapText="1"/>
    </xf>
    <xf numFmtId="0" fontId="20" fillId="33" borderId="12" xfId="48" applyAlignment="1">
      <alignment horizontal="right" vertical="center"/>
    </xf>
    <xf numFmtId="0" fontId="20" fillId="33" borderId="98" xfId="48" applyBorder="1" applyAlignment="1">
      <alignment horizontal="right" vertical="center"/>
    </xf>
    <xf numFmtId="0" fontId="20" fillId="33" borderId="29" xfId="48" applyBorder="1" applyAlignment="1">
      <alignment horizontal="center" vertical="center" wrapText="1"/>
    </xf>
    <xf numFmtId="0" fontId="20" fillId="33" borderId="0" xfId="48" applyBorder="1" applyAlignment="1">
      <alignment horizontal="center" vertical="center" wrapText="1"/>
    </xf>
    <xf numFmtId="0" fontId="20" fillId="33" borderId="38" xfId="48" applyBorder="1">
      <alignment horizontal="center" vertical="center"/>
    </xf>
    <xf numFmtId="184" fontId="20" fillId="33" borderId="29" xfId="48" applyNumberFormat="1" applyBorder="1" applyAlignment="1">
      <alignment horizontal="right" vertical="center"/>
    </xf>
    <xf numFmtId="184" fontId="20" fillId="33" borderId="0" xfId="48" applyNumberFormat="1" applyBorder="1" applyAlignment="1">
      <alignment horizontal="right" vertical="center"/>
    </xf>
    <xf numFmtId="0" fontId="20" fillId="33" borderId="29" xfId="48" applyBorder="1" applyAlignment="1">
      <alignment horizontal="right" vertical="center"/>
    </xf>
    <xf numFmtId="180" fontId="20" fillId="33" borderId="29" xfId="48" applyNumberFormat="1" applyBorder="1" applyAlignment="1">
      <alignment horizontal="right" vertical="center"/>
    </xf>
    <xf numFmtId="180" fontId="20" fillId="33" borderId="0" xfId="48" applyNumberFormat="1" applyBorder="1" applyAlignment="1">
      <alignment horizontal="right" vertical="center"/>
    </xf>
    <xf numFmtId="168" fontId="20" fillId="33" borderId="29" xfId="48" applyNumberFormat="1" applyBorder="1" applyAlignment="1">
      <alignment horizontal="right" vertical="center"/>
    </xf>
    <xf numFmtId="168" fontId="20" fillId="33" borderId="0" xfId="48" applyNumberFormat="1" applyBorder="1" applyAlignment="1">
      <alignment horizontal="right" vertical="center"/>
    </xf>
    <xf numFmtId="0" fontId="45" fillId="70" borderId="94" xfId="56" applyBorder="1" applyAlignment="1">
      <alignment horizontal="center"/>
    </xf>
    <xf numFmtId="0" fontId="45" fillId="70" borderId="95" xfId="56" applyBorder="1" applyAlignment="1">
      <alignment horizontal="center"/>
    </xf>
    <xf numFmtId="0" fontId="45" fillId="70" borderId="96" xfId="56" applyBorder="1" applyAlignment="1">
      <alignment horizontal="center"/>
    </xf>
    <xf numFmtId="0" fontId="20" fillId="33" borderId="31" xfId="48" applyBorder="1" applyAlignment="1">
      <alignment horizontal="center" vertical="center" wrapText="1"/>
    </xf>
    <xf numFmtId="0" fontId="20" fillId="33" borderId="66" xfId="48" applyBorder="1" applyAlignment="1">
      <alignment horizontal="center" vertical="center" wrapText="1"/>
    </xf>
    <xf numFmtId="0" fontId="20" fillId="33" borderId="32" xfId="48" applyBorder="1" applyAlignment="1">
      <alignment horizontal="center" vertical="center" wrapText="1"/>
    </xf>
    <xf numFmtId="0" fontId="45" fillId="70" borderId="53" xfId="56">
      <alignment horizontal="center" vertical="center"/>
    </xf>
    <xf numFmtId="0" fontId="20" fillId="33" borderId="31" xfId="48" applyBorder="1">
      <alignment horizontal="center" vertical="center"/>
    </xf>
    <xf numFmtId="0" fontId="20" fillId="33" borderId="66" xfId="48" applyBorder="1">
      <alignment horizontal="center" vertical="center"/>
    </xf>
    <xf numFmtId="0" fontId="20" fillId="33" borderId="32" xfId="48" applyBorder="1">
      <alignment horizontal="center" vertical="center"/>
    </xf>
    <xf numFmtId="0" fontId="26" fillId="51" borderId="49" xfId="69" applyBorder="1" applyAlignment="1">
      <alignment vertical="center"/>
    </xf>
    <xf numFmtId="0" fontId="26" fillId="51" borderId="78" xfId="69" applyBorder="1" applyAlignment="1">
      <alignment vertical="center"/>
    </xf>
    <xf numFmtId="0" fontId="26" fillId="51" borderId="110" xfId="69" applyBorder="1" applyAlignment="1">
      <alignment vertical="center"/>
    </xf>
    <xf numFmtId="0" fontId="20" fillId="33" borderId="107" xfId="48" applyBorder="1">
      <alignment horizontal="center" vertical="center"/>
    </xf>
    <xf numFmtId="0" fontId="20" fillId="33" borderId="108" xfId="48" applyBorder="1">
      <alignment horizontal="center" vertical="center"/>
    </xf>
    <xf numFmtId="0" fontId="20" fillId="33" borderId="109" xfId="48" applyBorder="1">
      <alignment horizontal="center" vertical="center"/>
    </xf>
    <xf numFmtId="0" fontId="20" fillId="33" borderId="13" xfId="48" applyBorder="1" applyAlignment="1">
      <alignment horizontal="center" vertical="center" wrapText="1"/>
    </xf>
    <xf numFmtId="168" fontId="20" fillId="33" borderId="31" xfId="48" applyNumberFormat="1" applyBorder="1">
      <alignment horizontal="center" vertical="center"/>
    </xf>
    <xf numFmtId="168" fontId="20" fillId="33" borderId="66" xfId="48" applyNumberFormat="1" applyBorder="1">
      <alignment horizontal="center" vertical="center"/>
    </xf>
    <xf numFmtId="168" fontId="20" fillId="33" borderId="32" xfId="48" applyNumberFormat="1" applyBorder="1">
      <alignment horizontal="center" vertical="center"/>
    </xf>
    <xf numFmtId="0" fontId="20" fillId="33" borderId="33" xfId="48" applyBorder="1">
      <alignment horizontal="center" vertical="center"/>
    </xf>
    <xf numFmtId="0" fontId="20" fillId="33" borderId="70" xfId="48" applyBorder="1">
      <alignment horizontal="center" vertical="center"/>
    </xf>
    <xf numFmtId="0" fontId="20" fillId="33" borderId="34" xfId="48" applyBorder="1">
      <alignment horizontal="center" vertical="center"/>
    </xf>
    <xf numFmtId="0" fontId="0" fillId="34" borderId="14" xfId="0">
      <alignment vertical="center"/>
    </xf>
    <xf numFmtId="0" fontId="21" fillId="35" borderId="13" xfId="49" applyBorder="1" applyAlignment="1">
      <alignment horizontal="center" vertical="center"/>
    </xf>
    <xf numFmtId="0" fontId="21" fillId="35" borderId="32" xfId="49" applyBorder="1" applyAlignment="1">
      <alignment horizontal="center" vertical="center"/>
    </xf>
    <xf numFmtId="0" fontId="22" fillId="8" borderId="14" xfId="51" applyAlignment="1"/>
    <xf numFmtId="0" fontId="41" fillId="8" borderId="14" xfId="87" applyFill="1" applyAlignment="1"/>
    <xf numFmtId="0" fontId="40" fillId="8" borderId="14" xfId="51" applyFont="1" applyAlignment="1"/>
  </cellXfs>
  <cellStyles count="108">
    <cellStyle name="~ButtonNav" xfId="55" xr:uid="{00000000-0005-0000-0000-000000000000}"/>
    <cellStyle name="~ButtonNavCurrent" xfId="53" xr:uid="{00000000-0005-0000-0000-000001000000}"/>
    <cellStyle name="~ButtonSwtch1" xfId="65" xr:uid="{00000000-0005-0000-0000-000002000000}"/>
    <cellStyle name="~CalculatedParameter" xfId="59" xr:uid="{00000000-0005-0000-0000-000003000000}"/>
    <cellStyle name="~CalculatedParameter(probabilistic)" xfId="63" xr:uid="{00000000-0005-0000-0000-000004000000}"/>
    <cellStyle name="~check" xfId="66" xr:uid="{00000000-0005-0000-0000-000005000000}"/>
    <cellStyle name="~Citation" xfId="67" xr:uid="{00000000-0005-0000-0000-000006000000}"/>
    <cellStyle name="~CONFIDENTIALExtractedData" xfId="68" xr:uid="{00000000-0005-0000-0000-000007000000}"/>
    <cellStyle name="~DevelopersAssumption" xfId="54" xr:uid="{00000000-0005-0000-0000-000008000000}"/>
    <cellStyle name="~Dropdowns" xfId="69" xr:uid="{00000000-0005-0000-0000-000009000000}"/>
    <cellStyle name="~ExternalOutput" xfId="70" xr:uid="{00000000-0005-0000-0000-00000A000000}"/>
    <cellStyle name="~ExtractedData" xfId="58" xr:uid="{00000000-0005-0000-0000-00000B000000}"/>
    <cellStyle name="~GraphCalcs" xfId="71" xr:uid="{00000000-0005-0000-0000-00000C000000}"/>
    <cellStyle name="~Header1" xfId="48" xr:uid="{00000000-0005-0000-0000-00000D000000}"/>
    <cellStyle name="~Header2" xfId="49" xr:uid="{00000000-0005-0000-0000-00000E000000}"/>
    <cellStyle name="~Header3" xfId="56" xr:uid="{00000000-0005-0000-0000-00000F000000}"/>
    <cellStyle name="~ICERs_etc" xfId="72" xr:uid="{00000000-0005-0000-0000-000010000000}"/>
    <cellStyle name="~Input Not Used" xfId="64" xr:uid="{00000000-0005-0000-0000-000011000000}"/>
    <cellStyle name="~InputParameter" xfId="57" xr:uid="{00000000-0005-0000-0000-000012000000}"/>
    <cellStyle name="~InputParameterFixed" xfId="50" xr:uid="{00000000-0005-0000-0000-000013000000}"/>
    <cellStyle name="~MarkovHelper" xfId="73" xr:uid="{00000000-0005-0000-0000-000014000000}"/>
    <cellStyle name="~MarkovResourceUse&amp;Costs" xfId="74" xr:uid="{00000000-0005-0000-0000-000015000000}"/>
    <cellStyle name="~MarkovState" xfId="75" xr:uid="{00000000-0005-0000-0000-000016000000}"/>
    <cellStyle name="~MarkovUtility" xfId="76" xr:uid="{00000000-0005-0000-0000-000017000000}"/>
    <cellStyle name="~NotUsed" xfId="77" xr:uid="{00000000-0005-0000-0000-000018000000}"/>
    <cellStyle name="~PivotSummary" xfId="78" xr:uid="{00000000-0005-0000-0000-000019000000}"/>
    <cellStyle name="~ProbabilisticDraw" xfId="61" xr:uid="{00000000-0005-0000-0000-00001A000000}"/>
    <cellStyle name="~ProbParams" xfId="62" xr:uid="{00000000-0005-0000-0000-00001B000000}"/>
    <cellStyle name="~PSA_Active" xfId="89" xr:uid="{00000000-0005-0000-0000-00001C000000}"/>
    <cellStyle name="~PSA_samples" xfId="88" xr:uid="{00000000-0005-0000-0000-00001D000000}"/>
    <cellStyle name="~RandomDraw" xfId="60" xr:uid="{00000000-0005-0000-0000-00001E000000}"/>
    <cellStyle name="~Regression" xfId="79" xr:uid="{00000000-0005-0000-0000-00001F000000}"/>
    <cellStyle name="~SimulationDerived" xfId="85" xr:uid="{00000000-0005-0000-0000-000026000000}"/>
    <cellStyle name="~SolverDerived" xfId="80" xr:uid="{00000000-0005-0000-0000-000020000000}"/>
    <cellStyle name="~SolverTarget" xfId="81" xr:uid="{00000000-0005-0000-0000-000021000000}"/>
    <cellStyle name="~Sparklines" xfId="82" xr:uid="{00000000-0005-0000-0000-000022000000}"/>
    <cellStyle name="~Subtotal" xfId="83" xr:uid="{00000000-0005-0000-0000-000023000000}"/>
    <cellStyle name="~TPM" xfId="84" xr:uid="{00000000-0005-0000-0000-000024000000}"/>
    <cellStyle name="~TPM.Remainder" xfId="91" xr:uid="{00000000-0005-0000-0000-000025000000}"/>
    <cellStyle name="~WorkbookHeader" xfId="92" xr:uid="{59AF460E-166D-4EFB-96C3-D09710397479}"/>
    <cellStyle name="~WorkbookHeader 2" xfId="94" xr:uid="{3EB3D7EB-9FDA-4BD7-8AAD-0F91F1886501}"/>
    <cellStyle name="~WorkbookHeader 2 2" xfId="98" xr:uid="{9C6B8097-16BF-4892-8384-09A44623C17B}"/>
    <cellStyle name="~WorkbookHeader 3" xfId="95" xr:uid="{93659C03-7C23-44B8-9249-454CB376C095}"/>
    <cellStyle name="~WorkbookHeader 4" xfId="96" xr:uid="{F46C70E4-7430-476C-BA35-8F0709EB9964}"/>
    <cellStyle name="~WorkbookHeader 5" xfId="97" xr:uid="{0EFD515F-C722-42B0-BA19-BF08CDF61BDF}"/>
    <cellStyle name="~WorkbookHeader.CostPerQALY" xfId="100" xr:uid="{318C0B57-2E2F-493C-8407-8F4D439A6206}"/>
    <cellStyle name="~WorkbookHeader.K" xfId="99" xr:uid="{59924624-4FD9-4F1A-A792-F3E41ECE5D0E}"/>
    <cellStyle name="~WorkbookHeader.NSAIDsHarm" xfId="104" xr:uid="{5C3DB3BA-6313-4E96-A448-5DF6B8ABABE8}"/>
    <cellStyle name="~WorkbookHeader.PINCERcosts" xfId="101" xr:uid="{2A3762B4-29AF-4518-BB97-DB9A61EA44DD}"/>
    <cellStyle name="~WorkbookHeader.PINCEReffects" xfId="102" xr:uid="{2114822E-B8CF-4F99-AED9-355CFA215D07}"/>
    <cellStyle name="~WorkbookHeader_WP2" xfId="107" xr:uid="{3FC59FE4-770A-4229-A17D-0D3182A36B6E}"/>
    <cellStyle name="~WorkbookHeaderC" xfId="103" xr:uid="{ED2ABD44-4E7F-4D1F-866D-2C6E0AF847BE}"/>
    <cellStyle name="~WorkbookHeaderF" xfId="105" xr:uid="{FB244A1A-C659-4809-987C-0AE7BFE7416F}"/>
    <cellStyle name="~WorkbookHeaderJ" xfId="106" xr:uid="{0AB46F61-659C-40FE-9CAC-40927E721FBD}"/>
    <cellStyle name="~WorkbookHeaderK" xfId="47" xr:uid="{00000000-0005-0000-0000-000027000000}"/>
    <cellStyle name="~WorkbookHeaderQE" xfId="93" xr:uid="{E19DD873-C5EA-4786-935F-65C4DC20FF72}"/>
    <cellStyle name="~zDashboardBackground" xfId="90" xr:uid="{00000000-0005-0000-0000-000028000000}"/>
    <cellStyle name="~zFlag" xfId="86" xr:uid="{00000000-0005-0000-0000-000029000000}"/>
    <cellStyle name="~zForWord" xfId="52" xr:uid="{00000000-0005-0000-0000-00002A000000}"/>
    <cellStyle name="~zNote" xfId="51" xr:uid="{00000000-0005-0000-0000-00002B000000}"/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hidden="1"/>
    <cellStyle name="Comma [0]" xfId="2" builtinId="6" hidden="1"/>
    <cellStyle name="Currency" xfId="3" builtinId="4" hidde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Hyperlink" xfId="87" builtinId="8"/>
    <cellStyle name="Input" xfId="14" builtinId="20" hidden="1"/>
    <cellStyle name="Linked Cell" xfId="17" builtinId="24" hidden="1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hidden="1"/>
    <cellStyle name="Title" xfId="6" builtinId="15" hidden="1"/>
    <cellStyle name="Total" xfId="22" builtinId="25" hidden="1"/>
    <cellStyle name="Warning Text" xfId="19" builtinId="11" hidden="1"/>
  </cellStyles>
  <dxfs count="97">
    <dxf>
      <font>
        <color rgb="FFFF0000"/>
      </font>
    </dxf>
    <dxf>
      <font>
        <color rgb="FFFF0000"/>
      </font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FF0000"/>
      </font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 patternType="lightUp">
          <fgColor rgb="FFFF66CC"/>
        </patternFill>
      </fill>
      <border>
        <left style="thin">
          <color rgb="FFFF66CC"/>
        </left>
        <right style="thin">
          <color rgb="FFFF66CC"/>
        </right>
        <top style="thin">
          <color rgb="FFFF66CC"/>
        </top>
        <bottom style="thin">
          <color rgb="FFFF66CC"/>
        </bottom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font>
        <color theme="0" tint="-0.34998626667073579"/>
      </font>
      <fill>
        <patternFill>
          <bgColor theme="0" tint="-0.34998626667073579"/>
        </patternFill>
      </fill>
      <border>
        <left/>
        <right/>
        <top/>
        <bottom/>
      </border>
    </dxf>
    <dxf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urier New"/>
        <family val="3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311D0B"/>
        </left>
        <right style="medium">
          <color rgb="FF311D0B"/>
        </right>
        <top style="medium">
          <color rgb="FF311D0B"/>
        </top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311D0B"/>
        </left>
        <right style="medium">
          <color rgb="FF311D0B"/>
        </right>
        <top style="medium">
          <color rgb="FF311D0B"/>
        </top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311D0B"/>
        </left>
        <right style="medium">
          <color rgb="FF311D0B"/>
        </right>
        <top style="medium">
          <color rgb="FF311D0B"/>
        </top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311D0B"/>
        </left>
        <right style="medium">
          <color rgb="FF311D0B"/>
        </right>
        <top style="medium">
          <color rgb="FF311D0B"/>
        </top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311D0B"/>
        </left>
        <right style="medium">
          <color rgb="FF311D0B"/>
        </right>
        <top style="medium">
          <color rgb="FF311D0B"/>
        </top>
        <bottom style="medium">
          <color rgb="FF311D0B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311D0B"/>
        </bottom>
      </border>
    </dxf>
  </dxfs>
  <tableStyles count="0" defaultTableStyle="TableStyleMedium2" defaultPivotStyle="PivotStyleLight16"/>
  <colors>
    <mruColors>
      <color rgb="FFF21ECA"/>
      <color rgb="FF0000FF"/>
      <color rgb="FFA6D854"/>
      <color rgb="FFE78AC3"/>
      <color rgb="FF8DA0CB"/>
      <color rgb="FFFC8D62"/>
      <color rgb="FF66C2A5"/>
      <color rgb="FF01665E"/>
      <color rgb="FF5AB4AC"/>
      <color rgb="FFC7EA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49394586894588"/>
          <c:y val="4.0094769455075632E-2"/>
          <c:w val="0.81963069800569799"/>
          <c:h val="0.6317885223341067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'Results.Summ'!$E$26</c:f>
              <c:strCache>
                <c:ptCount val="1"/>
                <c:pt idx="0">
                  <c:v>NSAID with chronic kidney disease</c:v>
                </c:pt>
              </c:strCache>
            </c:strRef>
          </c:tx>
          <c:spPr>
            <a:solidFill>
              <a:srgbClr val="66C2A5"/>
            </a:solidFill>
            <a:ln>
              <a:noFill/>
            </a:ln>
            <a:effectLst/>
          </c:spPr>
          <c:invertIfNegative val="0"/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'Results.Summ'!$F$26:$K$26</c:f>
              <c:numCache>
                <c:formatCode>#,##0</c:formatCode>
                <c:ptCount val="6"/>
                <c:pt idx="0">
                  <c:v>405.0380485751233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3270.8659867144952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E8-41B8-94DE-B680E53FB9E3}"/>
            </c:ext>
          </c:extLst>
        </c:ser>
        <c:ser>
          <c:idx val="3"/>
          <c:order val="1"/>
          <c:tx>
            <c:strRef>
              <c:f>'Results.Summ'!$E$25</c:f>
              <c:strCache>
                <c:ptCount val="1"/>
                <c:pt idx="0">
                  <c:v>NSAID with heart failure</c:v>
                </c:pt>
              </c:strCache>
            </c:strRef>
          </c:tx>
          <c:spPr>
            <a:solidFill>
              <a:srgbClr val="FC8D62"/>
            </a:solidFill>
            <a:ln>
              <a:noFill/>
            </a:ln>
            <a:effectLst/>
          </c:spPr>
          <c:invertIfNegative val="0"/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'Results.Summ'!$F$25:$K$25</c:f>
              <c:numCache>
                <c:formatCode>#,##0</c:formatCode>
                <c:ptCount val="6"/>
                <c:pt idx="0">
                  <c:v>24.257399083331102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6748.277620347485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E8-41B8-94DE-B680E53FB9E3}"/>
            </c:ext>
          </c:extLst>
        </c:ser>
        <c:ser>
          <c:idx val="2"/>
          <c:order val="2"/>
          <c:tx>
            <c:strRef>
              <c:f>'Results.Summ'!$E$24</c:f>
              <c:strCache>
                <c:ptCount val="1"/>
                <c:pt idx="0">
                  <c:v>NSAID with oral anticoagulant</c:v>
                </c:pt>
              </c:strCache>
            </c:strRef>
          </c:tx>
          <c:spPr>
            <a:solidFill>
              <a:srgbClr val="8DA0CB"/>
            </a:solidFill>
            <a:ln>
              <a:noFill/>
            </a:ln>
            <a:effectLst/>
          </c:spPr>
          <c:invertIfNegative val="0"/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'Results.Summ'!$F$24:$K$24</c:f>
              <c:numCache>
                <c:formatCode>#,##0</c:formatCode>
                <c:ptCount val="6"/>
                <c:pt idx="0">
                  <c:v>240.04500766692973</c:v>
                </c:pt>
                <c:pt idx="1">
                  <c:v>91.352916874992616</c:v>
                </c:pt>
                <c:pt idx="2">
                  <c:v>1541.0604893370014</c:v>
                </c:pt>
                <c:pt idx="3">
                  <c:v>1717.1145385730867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E8-41B8-94DE-B680E53FB9E3}"/>
            </c:ext>
          </c:extLst>
        </c:ser>
        <c:ser>
          <c:idx val="1"/>
          <c:order val="3"/>
          <c:tx>
            <c:strRef>
              <c:f>'Results.Summ'!$E$23</c:f>
              <c:strCache>
                <c:ptCount val="1"/>
                <c:pt idx="0">
                  <c:v>NSAID with previous peptic ulcer without gastroprotection</c:v>
                </c:pt>
              </c:strCache>
            </c:strRef>
          </c:tx>
          <c:spPr>
            <a:solidFill>
              <a:srgbClr val="E78AC3"/>
            </a:solidFill>
            <a:ln>
              <a:noFill/>
            </a:ln>
            <a:effectLst/>
          </c:spPr>
          <c:invertIfNegative val="0"/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'Results.Summ'!$F$23:$K$23</c:f>
              <c:numCache>
                <c:formatCode>#,##0</c:formatCode>
                <c:ptCount val="6"/>
                <c:pt idx="0">
                  <c:v>1.3069802201145679</c:v>
                </c:pt>
                <c:pt idx="1">
                  <c:v>85.463241069353785</c:v>
                </c:pt>
                <c:pt idx="2">
                  <c:v>23.306350737886419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E8-41B8-94DE-B680E53FB9E3}"/>
            </c:ext>
          </c:extLst>
        </c:ser>
        <c:ser>
          <c:idx val="0"/>
          <c:order val="4"/>
          <c:tx>
            <c:strRef>
              <c:f>'Results.Summ'!$E$22</c:f>
              <c:strCache>
                <c:ptCount val="1"/>
                <c:pt idx="0">
                  <c:v>NSAID in older people without gastroprotection</c:v>
                </c:pt>
              </c:strCache>
            </c:strRef>
          </c:tx>
          <c:spPr>
            <a:solidFill>
              <a:srgbClr val="A6D854"/>
            </a:solidFill>
            <a:ln>
              <a:noFill/>
            </a:ln>
            <a:effectLst/>
          </c:spPr>
          <c:invertIfNegative val="0"/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'Results.Summ'!$F$22:$K$22</c:f>
              <c:numCache>
                <c:formatCode>#,##0</c:formatCode>
                <c:ptCount val="6"/>
                <c:pt idx="0">
                  <c:v>65.320217492919511</c:v>
                </c:pt>
                <c:pt idx="1">
                  <c:v>1306.3775576397052</c:v>
                </c:pt>
                <c:pt idx="2">
                  <c:v>356.11867553309389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E8-41B8-94DE-B680E53FB9E3}"/>
            </c:ext>
          </c:extLst>
        </c:ser>
        <c:ser>
          <c:idx val="5"/>
          <c:order val="5"/>
          <c:tx>
            <c:strRef>
              <c:f>'Results.Summ'!$E$27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'Results.Summ'!$F$19:$K$19</c:f>
              <c:strCache>
                <c:ptCount val="6"/>
                <c:pt idx="0">
                  <c:v>Deaths</c:v>
                </c:pt>
                <c:pt idx="1">
                  <c:v>Symptomatic
ulcers</c:v>
                </c:pt>
                <c:pt idx="2">
                  <c:v>Serious
gastrointestinal
events</c:v>
                </c:pt>
                <c:pt idx="3">
                  <c:v>Strokes</c:v>
                </c:pt>
                <c:pt idx="4">
                  <c:v>Acute
exacerbations
of heart failure</c:v>
                </c:pt>
                <c:pt idx="5">
                  <c:v>Acute
kidney
injuries</c:v>
                </c:pt>
              </c:strCache>
            </c:strRef>
          </c:cat>
          <c:val>
            <c:numRef>
              <c:f>'Results.Summ'!$F$27:$K$27</c:f>
              <c:numCache>
                <c:formatCode>#,##0</c:formatCode>
                <c:ptCount val="6"/>
                <c:pt idx="0">
                  <c:v>735.96765303841823</c:v>
                </c:pt>
                <c:pt idx="1">
                  <c:v>1483.1937155840517</c:v>
                </c:pt>
                <c:pt idx="2">
                  <c:v>1920.4855156079816</c:v>
                </c:pt>
                <c:pt idx="3">
                  <c:v>1717.1145385730867</c:v>
                </c:pt>
                <c:pt idx="4">
                  <c:v>6748.277620347485</c:v>
                </c:pt>
                <c:pt idx="5">
                  <c:v>3270.8659867144952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E8-41B8-94DE-B680E53FB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730144159"/>
        <c:axId val="1545722127"/>
      </c:barChart>
      <c:catAx>
        <c:axId val="1730144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545722127"/>
        <c:crosses val="autoZero"/>
        <c:auto val="1"/>
        <c:lblAlgn val="ctr"/>
        <c:lblOffset val="100"/>
        <c:tickLblSkip val="1"/>
        <c:noMultiLvlLbl val="0"/>
      </c:catAx>
      <c:valAx>
        <c:axId val="1545722127"/>
        <c:scaling>
          <c:orientation val="minMax"/>
          <c:max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1"/>
                  <a:t>Expected number of excess events</a:t>
                </a:r>
              </a:p>
              <a:p>
                <a:pPr>
                  <a:defRPr b="1"/>
                </a:pPr>
                <a:r>
                  <a:rPr lang="en-US" b="1"/>
                  <a:t>over 10 years in English population</a:t>
                </a:r>
              </a:p>
            </c:rich>
          </c:tx>
          <c:layout>
            <c:manualLayout>
              <c:xMode val="edge"/>
              <c:yMode val="edge"/>
              <c:x val="0"/>
              <c:y val="2.186987424822307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30144159"/>
        <c:crosses val="autoZero"/>
        <c:crossBetween val="between"/>
        <c:minorUnit val="500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>
        <c:manualLayout>
          <c:xMode val="edge"/>
          <c:yMode val="edge"/>
          <c:x val="0"/>
          <c:y val="0.845640303709986"/>
          <c:w val="1"/>
          <c:h val="0.154359696290014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83375700084735"/>
          <c:y val="1.9907947798047304E-2"/>
          <c:w val="0.75735846405026142"/>
          <c:h val="0.74630288219426211"/>
        </c:manualLayout>
      </c:layout>
      <c:scatterChart>
        <c:scatterStyle val="lineMarker"/>
        <c:varyColors val="0"/>
        <c:ser>
          <c:idx val="0"/>
          <c:order val="0"/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>
                  <a:alpha val="5000"/>
                </a:srgbClr>
              </a:solidFill>
              <a:ln w="3175">
                <a:solidFill>
                  <a:srgbClr val="002060">
                    <a:alpha val="10000"/>
                  </a:srgbClr>
                </a:solidFill>
                <a:prstDash val="solid"/>
              </a:ln>
              <a:effectLst/>
            </c:spPr>
          </c:marker>
          <c:xVal>
            <c:numRef>
              <c:f>[0]!rngPSA.ScatterPair.QALYs</c:f>
              <c:numCache>
                <c:formatCode>\+0.0;\−0.0;0.0</c:formatCode>
                <c:ptCount val="1000"/>
                <c:pt idx="0">
                  <c:v>-6879.0715947478493</c:v>
                </c:pt>
                <c:pt idx="1">
                  <c:v>-5693.8424392899287</c:v>
                </c:pt>
                <c:pt idx="2">
                  <c:v>-5577.7627633588672</c:v>
                </c:pt>
                <c:pt idx="3">
                  <c:v>-5573.5834266291931</c:v>
                </c:pt>
                <c:pt idx="4">
                  <c:v>-7528.7824254827237</c:v>
                </c:pt>
                <c:pt idx="5">
                  <c:v>-5649.513184297668</c:v>
                </c:pt>
                <c:pt idx="6">
                  <c:v>-6274.3060663523265</c:v>
                </c:pt>
                <c:pt idx="7">
                  <c:v>-8325.9433765336089</c:v>
                </c:pt>
                <c:pt idx="8">
                  <c:v>-7095.1528393598473</c:v>
                </c:pt>
                <c:pt idx="9">
                  <c:v>-5715.385338351949</c:v>
                </c:pt>
                <c:pt idx="10">
                  <c:v>-6354.4768646739185</c:v>
                </c:pt>
                <c:pt idx="11">
                  <c:v>-4120.5097219774107</c:v>
                </c:pt>
                <c:pt idx="12">
                  <c:v>-7882.5097405315155</c:v>
                </c:pt>
                <c:pt idx="13">
                  <c:v>-6735.5202995349809</c:v>
                </c:pt>
                <c:pt idx="14">
                  <c:v>-6189.2268139212792</c:v>
                </c:pt>
                <c:pt idx="15">
                  <c:v>-5787.7698541812706</c:v>
                </c:pt>
                <c:pt idx="16">
                  <c:v>-5209.6654063881533</c:v>
                </c:pt>
                <c:pt idx="17">
                  <c:v>-4826.4435467784933</c:v>
                </c:pt>
                <c:pt idx="18">
                  <c:v>-5182.9102769730234</c:v>
                </c:pt>
                <c:pt idx="19">
                  <c:v>-6797.3901266840185</c:v>
                </c:pt>
                <c:pt idx="20">
                  <c:v>-6550.7665543893681</c:v>
                </c:pt>
                <c:pt idx="21">
                  <c:v>-6573.9201871590385</c:v>
                </c:pt>
                <c:pt idx="22">
                  <c:v>-5525.8350781909658</c:v>
                </c:pt>
                <c:pt idx="23">
                  <c:v>-4837.0243390468277</c:v>
                </c:pt>
                <c:pt idx="24">
                  <c:v>-7120.661713655114</c:v>
                </c:pt>
                <c:pt idx="25">
                  <c:v>-5321.4833249135681</c:v>
                </c:pt>
                <c:pt idx="26">
                  <c:v>-7026.5695820902038</c:v>
                </c:pt>
                <c:pt idx="27">
                  <c:v>-5893.3889897889812</c:v>
                </c:pt>
                <c:pt idx="28">
                  <c:v>-6496.3978834934387</c:v>
                </c:pt>
                <c:pt idx="29">
                  <c:v>-6391.5603052532897</c:v>
                </c:pt>
                <c:pt idx="30">
                  <c:v>-3740.9108139326659</c:v>
                </c:pt>
                <c:pt idx="31">
                  <c:v>-6658.8637352556079</c:v>
                </c:pt>
                <c:pt idx="32">
                  <c:v>-4863.6223470327523</c:v>
                </c:pt>
                <c:pt idx="33">
                  <c:v>-5567.4281568401311</c:v>
                </c:pt>
                <c:pt idx="34">
                  <c:v>-9319.1035425284535</c:v>
                </c:pt>
                <c:pt idx="35">
                  <c:v>-8078.2428519391669</c:v>
                </c:pt>
                <c:pt idx="36">
                  <c:v>-6343.3397144715382</c:v>
                </c:pt>
                <c:pt idx="37">
                  <c:v>-5934.7158329161157</c:v>
                </c:pt>
                <c:pt idx="38">
                  <c:v>-5791.0223827052032</c:v>
                </c:pt>
                <c:pt idx="39">
                  <c:v>-7778.3991658543819</c:v>
                </c:pt>
                <c:pt idx="40">
                  <c:v>-3863.6849219208707</c:v>
                </c:pt>
                <c:pt idx="41">
                  <c:v>-5693.0190174287854</c:v>
                </c:pt>
                <c:pt idx="42">
                  <c:v>-6179.6249363416118</c:v>
                </c:pt>
                <c:pt idx="43">
                  <c:v>-6786.5995277423499</c:v>
                </c:pt>
                <c:pt idx="44">
                  <c:v>-6502.9276506343967</c:v>
                </c:pt>
                <c:pt idx="45">
                  <c:v>-7479.8524283456327</c:v>
                </c:pt>
                <c:pt idx="46">
                  <c:v>-8966.9328036959341</c:v>
                </c:pt>
                <c:pt idx="47">
                  <c:v>-5958.1055636084802</c:v>
                </c:pt>
                <c:pt idx="48">
                  <c:v>-5056.4860770468131</c:v>
                </c:pt>
                <c:pt idx="49">
                  <c:v>-6130.3530156324869</c:v>
                </c:pt>
                <c:pt idx="50">
                  <c:v>-6260.3311565110607</c:v>
                </c:pt>
                <c:pt idx="51">
                  <c:v>-6437.5794901570389</c:v>
                </c:pt>
                <c:pt idx="52">
                  <c:v>-7961.8556706992886</c:v>
                </c:pt>
                <c:pt idx="53">
                  <c:v>-8577.5115735241161</c:v>
                </c:pt>
                <c:pt idx="54">
                  <c:v>-5633.3427537388279</c:v>
                </c:pt>
                <c:pt idx="55">
                  <c:v>-5778.0991514999769</c:v>
                </c:pt>
                <c:pt idx="56">
                  <c:v>-4230.6937992656012</c:v>
                </c:pt>
                <c:pt idx="57">
                  <c:v>-6872.909294660667</c:v>
                </c:pt>
                <c:pt idx="58">
                  <c:v>-6332.268857048397</c:v>
                </c:pt>
                <c:pt idx="59">
                  <c:v>-5035.6709452686191</c:v>
                </c:pt>
                <c:pt idx="60">
                  <c:v>-4769.6192794823983</c:v>
                </c:pt>
                <c:pt idx="61">
                  <c:v>-5298.9091878002891</c:v>
                </c:pt>
                <c:pt idx="62">
                  <c:v>-8629.4631774431327</c:v>
                </c:pt>
                <c:pt idx="63">
                  <c:v>-7881.5484439296897</c:v>
                </c:pt>
                <c:pt idx="64">
                  <c:v>-5919.9608447169921</c:v>
                </c:pt>
                <c:pt idx="65">
                  <c:v>-5939.4903793926023</c:v>
                </c:pt>
                <c:pt idx="66">
                  <c:v>-5141.0518961202961</c:v>
                </c:pt>
                <c:pt idx="67">
                  <c:v>-5548.1955095843077</c:v>
                </c:pt>
                <c:pt idx="68">
                  <c:v>-6670.1003717477297</c:v>
                </c:pt>
                <c:pt idx="69">
                  <c:v>-6759.4989302021095</c:v>
                </c:pt>
                <c:pt idx="70">
                  <c:v>-4074.4316377170871</c:v>
                </c:pt>
                <c:pt idx="71">
                  <c:v>-4228.4944911699959</c:v>
                </c:pt>
                <c:pt idx="72">
                  <c:v>-10048.022585417601</c:v>
                </c:pt>
                <c:pt idx="73">
                  <c:v>-6659.8561507971444</c:v>
                </c:pt>
                <c:pt idx="74">
                  <c:v>-7592.9837915219223</c:v>
                </c:pt>
                <c:pt idx="75">
                  <c:v>-6240.5266501025653</c:v>
                </c:pt>
                <c:pt idx="76">
                  <c:v>-6693.8045174231875</c:v>
                </c:pt>
                <c:pt idx="77">
                  <c:v>-4578.9711386764584</c:v>
                </c:pt>
                <c:pt idx="78">
                  <c:v>-5988.6495980791506</c:v>
                </c:pt>
                <c:pt idx="79">
                  <c:v>-7282.558359997307</c:v>
                </c:pt>
                <c:pt idx="80">
                  <c:v>-8633.9687615406292</c:v>
                </c:pt>
                <c:pt idx="81">
                  <c:v>-4332.6815267694838</c:v>
                </c:pt>
                <c:pt idx="82">
                  <c:v>-6356.5357397871376</c:v>
                </c:pt>
                <c:pt idx="83">
                  <c:v>-6319.4022845468689</c:v>
                </c:pt>
                <c:pt idx="84">
                  <c:v>-4288.5704680253684</c:v>
                </c:pt>
                <c:pt idx="85">
                  <c:v>-7645.0189446584727</c:v>
                </c:pt>
                <c:pt idx="86">
                  <c:v>-6174.864353028318</c:v>
                </c:pt>
                <c:pt idx="87">
                  <c:v>-5885.1434304992563</c:v>
                </c:pt>
                <c:pt idx="88">
                  <c:v>-6301.7069380883477</c:v>
                </c:pt>
                <c:pt idx="89">
                  <c:v>-5686.2945215611498</c:v>
                </c:pt>
                <c:pt idx="90">
                  <c:v>-6818.2235075680001</c:v>
                </c:pt>
                <c:pt idx="91">
                  <c:v>-7096.2189412365997</c:v>
                </c:pt>
                <c:pt idx="92">
                  <c:v>-4188.8933161981895</c:v>
                </c:pt>
                <c:pt idx="93">
                  <c:v>-5873.6872082576601</c:v>
                </c:pt>
                <c:pt idx="94">
                  <c:v>-4451.6699776779369</c:v>
                </c:pt>
                <c:pt idx="95">
                  <c:v>-5663.1808410786853</c:v>
                </c:pt>
                <c:pt idx="96">
                  <c:v>-5923.7636557100404</c:v>
                </c:pt>
                <c:pt idx="97">
                  <c:v>-4870.7012641172969</c:v>
                </c:pt>
                <c:pt idx="98">
                  <c:v>-4846.2903056872919</c:v>
                </c:pt>
                <c:pt idx="99">
                  <c:v>-7622.6974403005024</c:v>
                </c:pt>
                <c:pt idx="100">
                  <c:v>-5594.5693180245889</c:v>
                </c:pt>
                <c:pt idx="101">
                  <c:v>-6450.5972266367644</c:v>
                </c:pt>
                <c:pt idx="102">
                  <c:v>-6520.6056536988826</c:v>
                </c:pt>
                <c:pt idx="103">
                  <c:v>-5469.909078487136</c:v>
                </c:pt>
                <c:pt idx="104">
                  <c:v>-5331.2813132225401</c:v>
                </c:pt>
                <c:pt idx="105">
                  <c:v>-7340.743647439187</c:v>
                </c:pt>
                <c:pt idx="106">
                  <c:v>-6725.1657475796555</c:v>
                </c:pt>
                <c:pt idx="107">
                  <c:v>-5558.7123287755303</c:v>
                </c:pt>
                <c:pt idx="108">
                  <c:v>-5918.1076466997874</c:v>
                </c:pt>
                <c:pt idx="109">
                  <c:v>-4442.0053844135646</c:v>
                </c:pt>
                <c:pt idx="110">
                  <c:v>-4988.6227193235809</c:v>
                </c:pt>
                <c:pt idx="111">
                  <c:v>-5196.2390565725982</c:v>
                </c:pt>
                <c:pt idx="112">
                  <c:v>-5382.7966076764933</c:v>
                </c:pt>
                <c:pt idx="113">
                  <c:v>-5831.2037463269589</c:v>
                </c:pt>
                <c:pt idx="114">
                  <c:v>-8210.4793443004637</c:v>
                </c:pt>
                <c:pt idx="115">
                  <c:v>-7944.6185411854476</c:v>
                </c:pt>
                <c:pt idx="116">
                  <c:v>-6102.3211850132811</c:v>
                </c:pt>
                <c:pt idx="117">
                  <c:v>-6480.4520478893337</c:v>
                </c:pt>
                <c:pt idx="118">
                  <c:v>-5356.8810254986238</c:v>
                </c:pt>
                <c:pt idx="119">
                  <c:v>-8988.8784731675696</c:v>
                </c:pt>
                <c:pt idx="120">
                  <c:v>-5547.9923303081068</c:v>
                </c:pt>
                <c:pt idx="121">
                  <c:v>-4734.2794146136748</c:v>
                </c:pt>
                <c:pt idx="122">
                  <c:v>-5712.3183481925307</c:v>
                </c:pt>
                <c:pt idx="123">
                  <c:v>-4199.9692772129838</c:v>
                </c:pt>
                <c:pt idx="124">
                  <c:v>-7374.6497786924174</c:v>
                </c:pt>
                <c:pt idx="125">
                  <c:v>-5556.983840211612</c:v>
                </c:pt>
                <c:pt idx="126">
                  <c:v>-6726.648949078648</c:v>
                </c:pt>
                <c:pt idx="127">
                  <c:v>-5479.6817392258572</c:v>
                </c:pt>
                <c:pt idx="128">
                  <c:v>-6367.3651103505017</c:v>
                </c:pt>
                <c:pt idx="129">
                  <c:v>-5917.575493768185</c:v>
                </c:pt>
                <c:pt idx="130">
                  <c:v>-7628.3267233686902</c:v>
                </c:pt>
                <c:pt idx="131">
                  <c:v>-7036.9527750103261</c:v>
                </c:pt>
                <c:pt idx="132">
                  <c:v>-4536.2333225588027</c:v>
                </c:pt>
                <c:pt idx="133">
                  <c:v>-5828.8556650858227</c:v>
                </c:pt>
                <c:pt idx="134">
                  <c:v>-6251.243625454139</c:v>
                </c:pt>
                <c:pt idx="135">
                  <c:v>-7593.3344378934162</c:v>
                </c:pt>
                <c:pt idx="136">
                  <c:v>-7525.5262624481693</c:v>
                </c:pt>
                <c:pt idx="137">
                  <c:v>-5643.7983132416439</c:v>
                </c:pt>
                <c:pt idx="138">
                  <c:v>-7930.8086456311812</c:v>
                </c:pt>
                <c:pt idx="139">
                  <c:v>-5748.4684987379114</c:v>
                </c:pt>
                <c:pt idx="140">
                  <c:v>-5297.4375739871712</c:v>
                </c:pt>
                <c:pt idx="141">
                  <c:v>-6121.6007553948857</c:v>
                </c:pt>
                <c:pt idx="142">
                  <c:v>-6064.2318058061282</c:v>
                </c:pt>
                <c:pt idx="143">
                  <c:v>-5434.8285893117209</c:v>
                </c:pt>
                <c:pt idx="144">
                  <c:v>-6505.6994487514785</c:v>
                </c:pt>
                <c:pt idx="145">
                  <c:v>-6906.5728600290804</c:v>
                </c:pt>
                <c:pt idx="146">
                  <c:v>-5306.6148688099693</c:v>
                </c:pt>
                <c:pt idx="147">
                  <c:v>-7087.0768837672895</c:v>
                </c:pt>
                <c:pt idx="148">
                  <c:v>-5413.0081350700484</c:v>
                </c:pt>
                <c:pt idx="149">
                  <c:v>-5878.3897080346915</c:v>
                </c:pt>
                <c:pt idx="150">
                  <c:v>-4905.9176461170509</c:v>
                </c:pt>
                <c:pt idx="151">
                  <c:v>-5378.7901831535401</c:v>
                </c:pt>
                <c:pt idx="152">
                  <c:v>-5734.4193825439543</c:v>
                </c:pt>
                <c:pt idx="153">
                  <c:v>-8851.7461435701134</c:v>
                </c:pt>
                <c:pt idx="154">
                  <c:v>-6968.7541819369999</c:v>
                </c:pt>
                <c:pt idx="155">
                  <c:v>-4717.4668481063436</c:v>
                </c:pt>
                <c:pt idx="156">
                  <c:v>-7537.4392691590028</c:v>
                </c:pt>
                <c:pt idx="157">
                  <c:v>-6518.662201976661</c:v>
                </c:pt>
                <c:pt idx="158">
                  <c:v>-5540.3496634945805</c:v>
                </c:pt>
                <c:pt idx="159">
                  <c:v>-4774.2517045672721</c:v>
                </c:pt>
                <c:pt idx="160">
                  <c:v>-7240.970843208127</c:v>
                </c:pt>
                <c:pt idx="161">
                  <c:v>-8280.6275704519285</c:v>
                </c:pt>
                <c:pt idx="162">
                  <c:v>-5323.0090537143369</c:v>
                </c:pt>
                <c:pt idx="163">
                  <c:v>-4756.5497384842365</c:v>
                </c:pt>
                <c:pt idx="164">
                  <c:v>-3953.7835283318063</c:v>
                </c:pt>
                <c:pt idx="165">
                  <c:v>-6310.6603138470055</c:v>
                </c:pt>
                <c:pt idx="166">
                  <c:v>-5383.8530912804617</c:v>
                </c:pt>
                <c:pt idx="167">
                  <c:v>-6350.9565107393255</c:v>
                </c:pt>
                <c:pt idx="168">
                  <c:v>-4775.9678497616014</c:v>
                </c:pt>
                <c:pt idx="169">
                  <c:v>-5533.450371197755</c:v>
                </c:pt>
                <c:pt idx="170">
                  <c:v>-7017.5230903694246</c:v>
                </c:pt>
                <c:pt idx="171">
                  <c:v>-6813.0858102659076</c:v>
                </c:pt>
                <c:pt idx="172">
                  <c:v>-6332.9946367544808</c:v>
                </c:pt>
                <c:pt idx="173">
                  <c:v>-6058.7107592250977</c:v>
                </c:pt>
                <c:pt idx="174">
                  <c:v>-5141.6400826292975</c:v>
                </c:pt>
                <c:pt idx="175">
                  <c:v>-7090.1083160904082</c:v>
                </c:pt>
                <c:pt idx="176">
                  <c:v>-5333.6644386745802</c:v>
                </c:pt>
                <c:pt idx="177">
                  <c:v>-6502.0597028417133</c:v>
                </c:pt>
                <c:pt idx="178">
                  <c:v>-5810.5087152971164</c:v>
                </c:pt>
                <c:pt idx="179">
                  <c:v>-5565.5849222458737</c:v>
                </c:pt>
                <c:pt idx="180">
                  <c:v>-6250.4148131436659</c:v>
                </c:pt>
                <c:pt idx="181">
                  <c:v>-5199.4426751155415</c:v>
                </c:pt>
                <c:pt idx="182">
                  <c:v>-3986.4305934533795</c:v>
                </c:pt>
                <c:pt idx="183">
                  <c:v>-6833.2456014761956</c:v>
                </c:pt>
                <c:pt idx="184">
                  <c:v>-7682.1616061169907</c:v>
                </c:pt>
                <c:pt idx="185">
                  <c:v>-6905.460813913819</c:v>
                </c:pt>
                <c:pt idx="186">
                  <c:v>-6853.1796071955141</c:v>
                </c:pt>
                <c:pt idx="187">
                  <c:v>-5400.2028329500899</c:v>
                </c:pt>
                <c:pt idx="188">
                  <c:v>-7853.1542704730582</c:v>
                </c:pt>
                <c:pt idx="189">
                  <c:v>-5446.4512555603824</c:v>
                </c:pt>
                <c:pt idx="190">
                  <c:v>-5532.4302774535054</c:v>
                </c:pt>
                <c:pt idx="191">
                  <c:v>-5523.306179394669</c:v>
                </c:pt>
                <c:pt idx="192">
                  <c:v>-4544.8703787754339</c:v>
                </c:pt>
                <c:pt idx="193">
                  <c:v>-4693.6062028680544</c:v>
                </c:pt>
                <c:pt idx="194">
                  <c:v>-4641.7730211175103</c:v>
                </c:pt>
                <c:pt idx="195">
                  <c:v>-5995.4068979502035</c:v>
                </c:pt>
                <c:pt idx="196">
                  <c:v>-5122.7856512433782</c:v>
                </c:pt>
                <c:pt idx="197">
                  <c:v>-6612.0207349088641</c:v>
                </c:pt>
                <c:pt idx="198">
                  <c:v>-6914.6654281576557</c:v>
                </c:pt>
                <c:pt idx="199">
                  <c:v>-7557.7560348825509</c:v>
                </c:pt>
                <c:pt idx="200">
                  <c:v>-8902.2021777887148</c:v>
                </c:pt>
                <c:pt idx="201">
                  <c:v>-5794.4735418145046</c:v>
                </c:pt>
                <c:pt idx="202">
                  <c:v>-5575.7734886920452</c:v>
                </c:pt>
                <c:pt idx="203">
                  <c:v>-6679.4767862585231</c:v>
                </c:pt>
                <c:pt idx="204">
                  <c:v>-6842.5726447556735</c:v>
                </c:pt>
                <c:pt idx="205">
                  <c:v>-6564.5728746368532</c:v>
                </c:pt>
                <c:pt idx="206">
                  <c:v>-4744.9044290645552</c:v>
                </c:pt>
                <c:pt idx="207">
                  <c:v>-8134.0887794267583</c:v>
                </c:pt>
                <c:pt idx="208">
                  <c:v>-5554.7186786714219</c:v>
                </c:pt>
                <c:pt idx="209">
                  <c:v>-6008.2213107847929</c:v>
                </c:pt>
                <c:pt idx="210">
                  <c:v>-5696.1166780083313</c:v>
                </c:pt>
                <c:pt idx="211">
                  <c:v>-5849.881122509204</c:v>
                </c:pt>
                <c:pt idx="212">
                  <c:v>-6700.5646594347063</c:v>
                </c:pt>
                <c:pt idx="213">
                  <c:v>-6134.9057882525758</c:v>
                </c:pt>
                <c:pt idx="214">
                  <c:v>-6524.6524048921883</c:v>
                </c:pt>
                <c:pt idx="215">
                  <c:v>-5947.1587564135389</c:v>
                </c:pt>
                <c:pt idx="216">
                  <c:v>-6513.4331376572118</c:v>
                </c:pt>
                <c:pt idx="217">
                  <c:v>-5757.346940587403</c:v>
                </c:pt>
                <c:pt idx="218">
                  <c:v>-5153.4868325680964</c:v>
                </c:pt>
                <c:pt idx="219">
                  <c:v>-8097.2117704493503</c:v>
                </c:pt>
                <c:pt idx="220">
                  <c:v>-6126.4867293194284</c:v>
                </c:pt>
                <c:pt idx="221">
                  <c:v>-6461.2838398665044</c:v>
                </c:pt>
                <c:pt idx="222">
                  <c:v>-5342.1208756970882</c:v>
                </c:pt>
                <c:pt idx="223">
                  <c:v>-6981.871273591938</c:v>
                </c:pt>
                <c:pt idx="224">
                  <c:v>-5269.5639917113394</c:v>
                </c:pt>
                <c:pt idx="225">
                  <c:v>-7490.6144124606717</c:v>
                </c:pt>
                <c:pt idx="226">
                  <c:v>-7764.3096109701128</c:v>
                </c:pt>
                <c:pt idx="227">
                  <c:v>-6878.5566248773021</c:v>
                </c:pt>
                <c:pt idx="228">
                  <c:v>-4875.0631383731416</c:v>
                </c:pt>
                <c:pt idx="229">
                  <c:v>-5092.993049667255</c:v>
                </c:pt>
                <c:pt idx="230">
                  <c:v>-4321.0917378372378</c:v>
                </c:pt>
                <c:pt idx="231">
                  <c:v>-6349.7889858236922</c:v>
                </c:pt>
                <c:pt idx="232">
                  <c:v>-6732.5708436831073</c:v>
                </c:pt>
                <c:pt idx="233">
                  <c:v>-7035.42530628434</c:v>
                </c:pt>
                <c:pt idx="234">
                  <c:v>-6180.1016533970151</c:v>
                </c:pt>
                <c:pt idx="235">
                  <c:v>-6834.9294377881888</c:v>
                </c:pt>
                <c:pt idx="236">
                  <c:v>-7271.0284336472469</c:v>
                </c:pt>
                <c:pt idx="237">
                  <c:v>-6514.8174977333383</c:v>
                </c:pt>
                <c:pt idx="238">
                  <c:v>-5193.8204010914778</c:v>
                </c:pt>
                <c:pt idx="239">
                  <c:v>-5120.6019603673576</c:v>
                </c:pt>
                <c:pt idx="240">
                  <c:v>-6537.1822176314836</c:v>
                </c:pt>
                <c:pt idx="241">
                  <c:v>-7782.8148234012715</c:v>
                </c:pt>
                <c:pt idx="242">
                  <c:v>-7613.7203312659622</c:v>
                </c:pt>
                <c:pt idx="243">
                  <c:v>-5483.5991937078088</c:v>
                </c:pt>
                <c:pt idx="244">
                  <c:v>-5985.0636023136731</c:v>
                </c:pt>
                <c:pt idx="245">
                  <c:v>-6050.7949150674376</c:v>
                </c:pt>
                <c:pt idx="246">
                  <c:v>-5297.5759712273657</c:v>
                </c:pt>
                <c:pt idx="247">
                  <c:v>-5708.3216745442878</c:v>
                </c:pt>
                <c:pt idx="248">
                  <c:v>-5657.4877610037756</c:v>
                </c:pt>
                <c:pt idx="249">
                  <c:v>-7143.2017965499836</c:v>
                </c:pt>
                <c:pt idx="250">
                  <c:v>-6004.2252386246473</c:v>
                </c:pt>
                <c:pt idx="251">
                  <c:v>-4851.3388431055064</c:v>
                </c:pt>
                <c:pt idx="252">
                  <c:v>-6338.2627063808895</c:v>
                </c:pt>
                <c:pt idx="253">
                  <c:v>-6437.3896195240486</c:v>
                </c:pt>
                <c:pt idx="254">
                  <c:v>-6953.3010019048334</c:v>
                </c:pt>
                <c:pt idx="255">
                  <c:v>-6822.7723311510836</c:v>
                </c:pt>
                <c:pt idx="256">
                  <c:v>-6137.6643779546048</c:v>
                </c:pt>
                <c:pt idx="257">
                  <c:v>-5517.0138145247847</c:v>
                </c:pt>
                <c:pt idx="258">
                  <c:v>-6593.9004536450138</c:v>
                </c:pt>
                <c:pt idx="259">
                  <c:v>-6761.9104336986202</c:v>
                </c:pt>
                <c:pt idx="260">
                  <c:v>-5068.4538716095794</c:v>
                </c:pt>
                <c:pt idx="261">
                  <c:v>-9104.2354457859692</c:v>
                </c:pt>
                <c:pt idx="262">
                  <c:v>-4567.3101001714203</c:v>
                </c:pt>
                <c:pt idx="263">
                  <c:v>-6583.4449838136761</c:v>
                </c:pt>
                <c:pt idx="264">
                  <c:v>-8074.9134975582092</c:v>
                </c:pt>
                <c:pt idx="265">
                  <c:v>-6948.902163817037</c:v>
                </c:pt>
                <c:pt idx="266">
                  <c:v>-6231.9694946049312</c:v>
                </c:pt>
                <c:pt idx="267">
                  <c:v>-6211.5215030943991</c:v>
                </c:pt>
                <c:pt idx="268">
                  <c:v>-6040.4266552662757</c:v>
                </c:pt>
                <c:pt idx="269">
                  <c:v>-5379.2820519331817</c:v>
                </c:pt>
                <c:pt idx="270">
                  <c:v>-5598.4790756779867</c:v>
                </c:pt>
                <c:pt idx="271">
                  <c:v>-7219.0388352333994</c:v>
                </c:pt>
                <c:pt idx="272">
                  <c:v>-6005.6146296909246</c:v>
                </c:pt>
                <c:pt idx="273">
                  <c:v>-5388.8221015288482</c:v>
                </c:pt>
                <c:pt idx="274">
                  <c:v>-6196.3439689502211</c:v>
                </c:pt>
                <c:pt idx="275">
                  <c:v>-5231.5596787139502</c:v>
                </c:pt>
                <c:pt idx="276">
                  <c:v>-5148.3841229096406</c:v>
                </c:pt>
                <c:pt idx="277">
                  <c:v>-7942.0671101853131</c:v>
                </c:pt>
                <c:pt idx="278">
                  <c:v>-7423.427394628101</c:v>
                </c:pt>
                <c:pt idx="279">
                  <c:v>-5356.8090115727191</c:v>
                </c:pt>
                <c:pt idx="280">
                  <c:v>-7176.161004201268</c:v>
                </c:pt>
                <c:pt idx="281">
                  <c:v>-8674.5636097129354</c:v>
                </c:pt>
                <c:pt idx="282">
                  <c:v>-6307.4331885064057</c:v>
                </c:pt>
                <c:pt idx="283">
                  <c:v>-8005.081514710997</c:v>
                </c:pt>
                <c:pt idx="284">
                  <c:v>-6287.7081054996952</c:v>
                </c:pt>
                <c:pt idx="285">
                  <c:v>-6622.8679558328413</c:v>
                </c:pt>
                <c:pt idx="286">
                  <c:v>-4803.2149897773543</c:v>
                </c:pt>
                <c:pt idx="287">
                  <c:v>-4878.0832596216505</c:v>
                </c:pt>
                <c:pt idx="288">
                  <c:v>-5409.763968915202</c:v>
                </c:pt>
                <c:pt idx="289">
                  <c:v>-4877.4850157718365</c:v>
                </c:pt>
                <c:pt idx="290">
                  <c:v>-6748.536790811072</c:v>
                </c:pt>
                <c:pt idx="291">
                  <c:v>-5376.6049704151019</c:v>
                </c:pt>
                <c:pt idx="292">
                  <c:v>-6350.5555142438579</c:v>
                </c:pt>
                <c:pt idx="293">
                  <c:v>-5653.1202729852312</c:v>
                </c:pt>
                <c:pt idx="294">
                  <c:v>-8460.0276944129764</c:v>
                </c:pt>
                <c:pt idx="295">
                  <c:v>-6658.0594738591954</c:v>
                </c:pt>
                <c:pt idx="296">
                  <c:v>-6248.0174207958617</c:v>
                </c:pt>
                <c:pt idx="297">
                  <c:v>-5540.124689497472</c:v>
                </c:pt>
                <c:pt idx="298">
                  <c:v>-7338.9344956640789</c:v>
                </c:pt>
                <c:pt idx="299">
                  <c:v>-7361.3456648423326</c:v>
                </c:pt>
                <c:pt idx="300">
                  <c:v>-4707.1144383375113</c:v>
                </c:pt>
                <c:pt idx="301">
                  <c:v>-6843.3575484718785</c:v>
                </c:pt>
                <c:pt idx="302">
                  <c:v>-4090.508430485077</c:v>
                </c:pt>
                <c:pt idx="303">
                  <c:v>-7271.791654049699</c:v>
                </c:pt>
                <c:pt idx="304">
                  <c:v>-5439.9946954063316</c:v>
                </c:pt>
                <c:pt idx="305">
                  <c:v>-6006.0624873513416</c:v>
                </c:pt>
                <c:pt idx="306">
                  <c:v>-4093.4172384212552</c:v>
                </c:pt>
                <c:pt idx="307">
                  <c:v>-6101.8032833120697</c:v>
                </c:pt>
                <c:pt idx="308">
                  <c:v>-5492.0575850714995</c:v>
                </c:pt>
                <c:pt idx="309">
                  <c:v>-4617.2799822168172</c:v>
                </c:pt>
                <c:pt idx="310">
                  <c:v>-5700.1427525432855</c:v>
                </c:pt>
                <c:pt idx="311">
                  <c:v>-5673.0164299008857</c:v>
                </c:pt>
                <c:pt idx="312">
                  <c:v>-5620.6371715870637</c:v>
                </c:pt>
                <c:pt idx="313">
                  <c:v>-5900.4100776596897</c:v>
                </c:pt>
                <c:pt idx="314">
                  <c:v>-5499.2314787207461</c:v>
                </c:pt>
                <c:pt idx="315">
                  <c:v>-4630.223067958892</c:v>
                </c:pt>
                <c:pt idx="316">
                  <c:v>-4159.6624496705417</c:v>
                </c:pt>
                <c:pt idx="317">
                  <c:v>-4794.7564344462317</c:v>
                </c:pt>
                <c:pt idx="318">
                  <c:v>-5566.7975043347624</c:v>
                </c:pt>
                <c:pt idx="319">
                  <c:v>-5621.9880099381335</c:v>
                </c:pt>
                <c:pt idx="320">
                  <c:v>-5342.3593933967377</c:v>
                </c:pt>
                <c:pt idx="321">
                  <c:v>-5812.7892434421501</c:v>
                </c:pt>
                <c:pt idx="322">
                  <c:v>-7169.0992394788082</c:v>
                </c:pt>
                <c:pt idx="323">
                  <c:v>-5631.8805828606964</c:v>
                </c:pt>
                <c:pt idx="324">
                  <c:v>-6739.0293504222864</c:v>
                </c:pt>
                <c:pt idx="325">
                  <c:v>-7951.4351610221911</c:v>
                </c:pt>
                <c:pt idx="326">
                  <c:v>-5470.8273921062546</c:v>
                </c:pt>
                <c:pt idx="327">
                  <c:v>-6376.2324225200264</c:v>
                </c:pt>
                <c:pt idx="328">
                  <c:v>-5462.4602868927595</c:v>
                </c:pt>
                <c:pt idx="329">
                  <c:v>-6080.5969810778788</c:v>
                </c:pt>
                <c:pt idx="330">
                  <c:v>-4656.7714870247191</c:v>
                </c:pt>
                <c:pt idx="331">
                  <c:v>-6158.101760969651</c:v>
                </c:pt>
                <c:pt idx="332">
                  <c:v>-6469.1435554453692</c:v>
                </c:pt>
                <c:pt idx="333">
                  <c:v>-4762.3764025013515</c:v>
                </c:pt>
                <c:pt idx="334">
                  <c:v>-5576.4731978896652</c:v>
                </c:pt>
                <c:pt idx="335">
                  <c:v>-6429.7323184075185</c:v>
                </c:pt>
                <c:pt idx="336">
                  <c:v>-6442.3624879930539</c:v>
                </c:pt>
                <c:pt idx="337">
                  <c:v>-6002.4706193190523</c:v>
                </c:pt>
                <c:pt idx="338">
                  <c:v>-5433.5792820785</c:v>
                </c:pt>
                <c:pt idx="339">
                  <c:v>-6766.8129091977562</c:v>
                </c:pt>
                <c:pt idx="340">
                  <c:v>-9061.1942284524157</c:v>
                </c:pt>
                <c:pt idx="341">
                  <c:v>-5418.759224732531</c:v>
                </c:pt>
                <c:pt idx="342">
                  <c:v>-5881.0200092006562</c:v>
                </c:pt>
                <c:pt idx="343">
                  <c:v>-5589.8812802990942</c:v>
                </c:pt>
                <c:pt idx="344">
                  <c:v>-6224.7598668297833</c:v>
                </c:pt>
                <c:pt idx="345">
                  <c:v>-6600.2044639010919</c:v>
                </c:pt>
                <c:pt idx="346">
                  <c:v>-6004.7850800550541</c:v>
                </c:pt>
                <c:pt idx="347">
                  <c:v>-7026.3298992521995</c:v>
                </c:pt>
                <c:pt idx="348">
                  <c:v>-6672.7906689892079</c:v>
                </c:pt>
                <c:pt idx="349">
                  <c:v>-5433.2700834100369</c:v>
                </c:pt>
                <c:pt idx="350">
                  <c:v>-5633.219983613777</c:v>
                </c:pt>
                <c:pt idx="351">
                  <c:v>-6847.3506520194205</c:v>
                </c:pt>
                <c:pt idx="352">
                  <c:v>-5677.6239805397345</c:v>
                </c:pt>
                <c:pt idx="353">
                  <c:v>-7770.8703487349285</c:v>
                </c:pt>
                <c:pt idx="354">
                  <c:v>-6314.9979280952412</c:v>
                </c:pt>
                <c:pt idx="355">
                  <c:v>-5949.3375798501675</c:v>
                </c:pt>
                <c:pt idx="356">
                  <c:v>-5173.8696327560865</c:v>
                </c:pt>
                <c:pt idx="357">
                  <c:v>-6199.3208703234304</c:v>
                </c:pt>
                <c:pt idx="358">
                  <c:v>-7427.6061018726559</c:v>
                </c:pt>
                <c:pt idx="359">
                  <c:v>-5514.3046442488485</c:v>
                </c:pt>
                <c:pt idx="360">
                  <c:v>-6865.1668917345669</c:v>
                </c:pt>
                <c:pt idx="361">
                  <c:v>-7390.2666340112692</c:v>
                </c:pt>
                <c:pt idx="362">
                  <c:v>-5477.1827666862155</c:v>
                </c:pt>
                <c:pt idx="363">
                  <c:v>-5071.6922538749368</c:v>
                </c:pt>
                <c:pt idx="364">
                  <c:v>-7169.8530344462706</c:v>
                </c:pt>
                <c:pt idx="365">
                  <c:v>-8500.6238690774462</c:v>
                </c:pt>
                <c:pt idx="366">
                  <c:v>-4995.7403198280717</c:v>
                </c:pt>
                <c:pt idx="367">
                  <c:v>-6360.952909263895</c:v>
                </c:pt>
                <c:pt idx="368">
                  <c:v>-4410.1759349489676</c:v>
                </c:pt>
                <c:pt idx="369">
                  <c:v>-6426.8332604244106</c:v>
                </c:pt>
                <c:pt idx="370">
                  <c:v>-7314.5182307005471</c:v>
                </c:pt>
                <c:pt idx="371">
                  <c:v>-5644.5284735052501</c:v>
                </c:pt>
                <c:pt idx="372">
                  <c:v>-4382.6961662804333</c:v>
                </c:pt>
                <c:pt idx="373">
                  <c:v>-6002.8596618911952</c:v>
                </c:pt>
                <c:pt idx="374">
                  <c:v>-6880.1601667796667</c:v>
                </c:pt>
                <c:pt idx="375">
                  <c:v>-5930.0603388401451</c:v>
                </c:pt>
                <c:pt idx="376">
                  <c:v>-7082.2601791380821</c:v>
                </c:pt>
                <c:pt idx="377">
                  <c:v>-5200.6775327584719</c:v>
                </c:pt>
                <c:pt idx="378">
                  <c:v>-6415.5978654232076</c:v>
                </c:pt>
                <c:pt idx="379">
                  <c:v>-7139.3435986248332</c:v>
                </c:pt>
                <c:pt idx="380">
                  <c:v>-6533.7801067258406</c:v>
                </c:pt>
                <c:pt idx="381">
                  <c:v>-6451.4919777432078</c:v>
                </c:pt>
                <c:pt idx="382">
                  <c:v>-10604.481929986221</c:v>
                </c:pt>
                <c:pt idx="383">
                  <c:v>-7638.1665089370208</c:v>
                </c:pt>
                <c:pt idx="384">
                  <c:v>-5919.7686929940755</c:v>
                </c:pt>
                <c:pt idx="385">
                  <c:v>-5867.5040229116839</c:v>
                </c:pt>
                <c:pt idx="386">
                  <c:v>-7084.6083265805082</c:v>
                </c:pt>
                <c:pt idx="387">
                  <c:v>-5548.182677434188</c:v>
                </c:pt>
                <c:pt idx="388">
                  <c:v>-5219.6816760986048</c:v>
                </c:pt>
                <c:pt idx="389">
                  <c:v>-6499.8196745206942</c:v>
                </c:pt>
                <c:pt idx="390">
                  <c:v>-6034.989638441466</c:v>
                </c:pt>
                <c:pt idx="391">
                  <c:v>-6710.1273580360912</c:v>
                </c:pt>
                <c:pt idx="392">
                  <c:v>-4441.5973242918353</c:v>
                </c:pt>
                <c:pt idx="393">
                  <c:v>-5741.6836452621355</c:v>
                </c:pt>
                <c:pt idx="394">
                  <c:v>-4859.5518504192432</c:v>
                </c:pt>
                <c:pt idx="395">
                  <c:v>-5689.3524838339581</c:v>
                </c:pt>
                <c:pt idx="396">
                  <c:v>-5808.2409022702632</c:v>
                </c:pt>
                <c:pt idx="397">
                  <c:v>-5703.896362872807</c:v>
                </c:pt>
                <c:pt idx="398">
                  <c:v>-6176.9110302066292</c:v>
                </c:pt>
                <c:pt idx="399">
                  <c:v>-7449.9105212742197</c:v>
                </c:pt>
                <c:pt idx="400">
                  <c:v>-5825.4808518791333</c:v>
                </c:pt>
                <c:pt idx="401">
                  <c:v>-4902.8571515468166</c:v>
                </c:pt>
                <c:pt idx="402">
                  <c:v>-7162.5324702686194</c:v>
                </c:pt>
                <c:pt idx="403">
                  <c:v>-6133.560370203566</c:v>
                </c:pt>
                <c:pt idx="404">
                  <c:v>-4455.6320473891328</c:v>
                </c:pt>
                <c:pt idx="405">
                  <c:v>-5114.1704532913254</c:v>
                </c:pt>
                <c:pt idx="406">
                  <c:v>-7247.9624749286559</c:v>
                </c:pt>
                <c:pt idx="407">
                  <c:v>-5317.3969830563346</c:v>
                </c:pt>
                <c:pt idx="408">
                  <c:v>-7511.2448979364144</c:v>
                </c:pt>
                <c:pt idx="409">
                  <c:v>-5651.6676165349145</c:v>
                </c:pt>
                <c:pt idx="410">
                  <c:v>-5395.8574523043235</c:v>
                </c:pt>
                <c:pt idx="411">
                  <c:v>-4895.5570313357221</c:v>
                </c:pt>
                <c:pt idx="412">
                  <c:v>-5442.3790837471588</c:v>
                </c:pt>
                <c:pt idx="413">
                  <c:v>-6288.887686119273</c:v>
                </c:pt>
                <c:pt idx="414">
                  <c:v>-5258.4113507635675</c:v>
                </c:pt>
                <c:pt idx="415">
                  <c:v>-5759.6890939222149</c:v>
                </c:pt>
                <c:pt idx="416">
                  <c:v>-5873.7221258439222</c:v>
                </c:pt>
                <c:pt idx="417">
                  <c:v>-5385.8299813191779</c:v>
                </c:pt>
                <c:pt idx="418">
                  <c:v>-7284.3170425846447</c:v>
                </c:pt>
                <c:pt idx="419">
                  <c:v>-5985.271098275417</c:v>
                </c:pt>
                <c:pt idx="420">
                  <c:v>-6754.1629970012764</c:v>
                </c:pt>
                <c:pt idx="421">
                  <c:v>-5357.6807329492212</c:v>
                </c:pt>
                <c:pt idx="422">
                  <c:v>-6323.7489411429569</c:v>
                </c:pt>
                <c:pt idx="423">
                  <c:v>-5013.5415003941671</c:v>
                </c:pt>
                <c:pt idx="424">
                  <c:v>-4521.6318514401855</c:v>
                </c:pt>
                <c:pt idx="425">
                  <c:v>-5554.8036131544313</c:v>
                </c:pt>
                <c:pt idx="426">
                  <c:v>-5316.321601218393</c:v>
                </c:pt>
                <c:pt idx="427">
                  <c:v>-6572.2036843608839</c:v>
                </c:pt>
                <c:pt idx="428">
                  <c:v>-5878.6809943745466</c:v>
                </c:pt>
                <c:pt idx="429">
                  <c:v>-6566.7389080510775</c:v>
                </c:pt>
                <c:pt idx="430">
                  <c:v>-6105.4425698342648</c:v>
                </c:pt>
                <c:pt idx="431">
                  <c:v>-6542.4551475390144</c:v>
                </c:pt>
                <c:pt idx="432">
                  <c:v>-6229.162436244731</c:v>
                </c:pt>
                <c:pt idx="433">
                  <c:v>-6076.3129749766395</c:v>
                </c:pt>
                <c:pt idx="434">
                  <c:v>-4613.9187482767693</c:v>
                </c:pt>
                <c:pt idx="435">
                  <c:v>-6164.9991557215644</c:v>
                </c:pt>
                <c:pt idx="436">
                  <c:v>-4922.7696516941269</c:v>
                </c:pt>
                <c:pt idx="437">
                  <c:v>-5683.9457224740618</c:v>
                </c:pt>
                <c:pt idx="438">
                  <c:v>-5652.0300076367084</c:v>
                </c:pt>
                <c:pt idx="439">
                  <c:v>-6104.660906476136</c:v>
                </c:pt>
                <c:pt idx="440">
                  <c:v>-4860.4441890396711</c:v>
                </c:pt>
                <c:pt idx="441">
                  <c:v>-5399.6268022968452</c:v>
                </c:pt>
                <c:pt idx="442">
                  <c:v>-6857.376276354993</c:v>
                </c:pt>
                <c:pt idx="443">
                  <c:v>-7059.3554031456024</c:v>
                </c:pt>
                <c:pt idx="444">
                  <c:v>-9792.7302403624144</c:v>
                </c:pt>
                <c:pt idx="445">
                  <c:v>-4983.7554466117926</c:v>
                </c:pt>
                <c:pt idx="446">
                  <c:v>-6397.3299579511031</c:v>
                </c:pt>
                <c:pt idx="447">
                  <c:v>-7243.3109186659767</c:v>
                </c:pt>
                <c:pt idx="448">
                  <c:v>-6369.3938836529878</c:v>
                </c:pt>
                <c:pt idx="449">
                  <c:v>-5492.4964892256621</c:v>
                </c:pt>
                <c:pt idx="450">
                  <c:v>-5040.2934980978916</c:v>
                </c:pt>
                <c:pt idx="451">
                  <c:v>-6296.0687474449078</c:v>
                </c:pt>
                <c:pt idx="452">
                  <c:v>-5158.9983476086427</c:v>
                </c:pt>
                <c:pt idx="453">
                  <c:v>-5904.258970289764</c:v>
                </c:pt>
                <c:pt idx="454">
                  <c:v>-4844.2556818616395</c:v>
                </c:pt>
                <c:pt idx="455">
                  <c:v>-6261.0106107891761</c:v>
                </c:pt>
                <c:pt idx="456">
                  <c:v>-4902.6634392013311</c:v>
                </c:pt>
                <c:pt idx="457">
                  <c:v>-7148.8064059560193</c:v>
                </c:pt>
                <c:pt idx="458">
                  <c:v>-4952.1701769174915</c:v>
                </c:pt>
                <c:pt idx="459">
                  <c:v>-8279.3712063462226</c:v>
                </c:pt>
                <c:pt idx="460">
                  <c:v>-6090.3422410999592</c:v>
                </c:pt>
                <c:pt idx="461">
                  <c:v>-6421.3667346997445</c:v>
                </c:pt>
                <c:pt idx="462">
                  <c:v>-7129.5219285552521</c:v>
                </c:pt>
                <c:pt idx="463">
                  <c:v>-7040.8497939315976</c:v>
                </c:pt>
                <c:pt idx="464">
                  <c:v>-6232.3387087739902</c:v>
                </c:pt>
                <c:pt idx="465">
                  <c:v>-5048.6912745680838</c:v>
                </c:pt>
                <c:pt idx="466">
                  <c:v>-5952.8618855592904</c:v>
                </c:pt>
                <c:pt idx="467">
                  <c:v>-5563.8390832881969</c:v>
                </c:pt>
                <c:pt idx="468">
                  <c:v>-6803.1293308321865</c:v>
                </c:pt>
                <c:pt idx="469">
                  <c:v>-5795.8764046934239</c:v>
                </c:pt>
                <c:pt idx="470">
                  <c:v>-8539.133061870838</c:v>
                </c:pt>
                <c:pt idx="471">
                  <c:v>-5704.7468491115069</c:v>
                </c:pt>
                <c:pt idx="472">
                  <c:v>-5484.2586777583956</c:v>
                </c:pt>
                <c:pt idx="473">
                  <c:v>-6159.7483439316347</c:v>
                </c:pt>
                <c:pt idx="474">
                  <c:v>-5700.2920042805636</c:v>
                </c:pt>
                <c:pt idx="475">
                  <c:v>-6099.2019501206423</c:v>
                </c:pt>
                <c:pt idx="476">
                  <c:v>-7509.2539163729816</c:v>
                </c:pt>
                <c:pt idx="477">
                  <c:v>-6210.3749710441707</c:v>
                </c:pt>
                <c:pt idx="478">
                  <c:v>-5684.6712894221009</c:v>
                </c:pt>
                <c:pt idx="479">
                  <c:v>-4984.9014543892026</c:v>
                </c:pt>
                <c:pt idx="480">
                  <c:v>-5142.4953195764301</c:v>
                </c:pt>
                <c:pt idx="481">
                  <c:v>-6848.1208485588086</c:v>
                </c:pt>
                <c:pt idx="482">
                  <c:v>-5454.9677963613476</c:v>
                </c:pt>
                <c:pt idx="483">
                  <c:v>-6777.0735878725245</c:v>
                </c:pt>
                <c:pt idx="484">
                  <c:v>-5294.0177336020279</c:v>
                </c:pt>
                <c:pt idx="485">
                  <c:v>-7009.3324163994293</c:v>
                </c:pt>
                <c:pt idx="486">
                  <c:v>-4976.9016792959046</c:v>
                </c:pt>
                <c:pt idx="487">
                  <c:v>-6930.7869660856359</c:v>
                </c:pt>
                <c:pt idx="488">
                  <c:v>-6699.3749411280005</c:v>
                </c:pt>
                <c:pt idx="489">
                  <c:v>-5034.3360531908511</c:v>
                </c:pt>
                <c:pt idx="490">
                  <c:v>-9688.6867134537897</c:v>
                </c:pt>
                <c:pt idx="491">
                  <c:v>-4824.4252234427404</c:v>
                </c:pt>
                <c:pt idx="492">
                  <c:v>-5735.5731544910523</c:v>
                </c:pt>
                <c:pt idx="493">
                  <c:v>-7442.1790809745698</c:v>
                </c:pt>
                <c:pt idx="494">
                  <c:v>-7745.8454890075882</c:v>
                </c:pt>
                <c:pt idx="495">
                  <c:v>-6234.3393701217155</c:v>
                </c:pt>
                <c:pt idx="496">
                  <c:v>-6722.5252735073482</c:v>
                </c:pt>
                <c:pt idx="497">
                  <c:v>-5230.6839693663242</c:v>
                </c:pt>
                <c:pt idx="498">
                  <c:v>-5577.7603319263435</c:v>
                </c:pt>
                <c:pt idx="499">
                  <c:v>-7065.613460860337</c:v>
                </c:pt>
                <c:pt idx="500">
                  <c:v>-6438.2876709327638</c:v>
                </c:pt>
                <c:pt idx="501">
                  <c:v>-4934.3378340410381</c:v>
                </c:pt>
                <c:pt idx="502">
                  <c:v>-6624.8958251685717</c:v>
                </c:pt>
                <c:pt idx="503">
                  <c:v>-5962.5707858457836</c:v>
                </c:pt>
                <c:pt idx="504">
                  <c:v>-6272.1034491226746</c:v>
                </c:pt>
                <c:pt idx="505">
                  <c:v>-7602.9924374855982</c:v>
                </c:pt>
                <c:pt idx="506">
                  <c:v>-7263.137273855039</c:v>
                </c:pt>
                <c:pt idx="507">
                  <c:v>-6749.7842075261915</c:v>
                </c:pt>
                <c:pt idx="508">
                  <c:v>-7120.5560124053836</c:v>
                </c:pt>
                <c:pt idx="509">
                  <c:v>-5380.1743728059109</c:v>
                </c:pt>
                <c:pt idx="510">
                  <c:v>-5103.8505202401475</c:v>
                </c:pt>
                <c:pt idx="511">
                  <c:v>-6197.1973139162892</c:v>
                </c:pt>
                <c:pt idx="512">
                  <c:v>-5946.707073246389</c:v>
                </c:pt>
                <c:pt idx="513">
                  <c:v>-5913.8558701995034</c:v>
                </c:pt>
                <c:pt idx="514">
                  <c:v>-7401.7407944711304</c:v>
                </c:pt>
                <c:pt idx="515">
                  <c:v>-4013.943964016396</c:v>
                </c:pt>
                <c:pt idx="516">
                  <c:v>-5340.3626681905498</c:v>
                </c:pt>
                <c:pt idx="517">
                  <c:v>-7683.9743824763091</c:v>
                </c:pt>
                <c:pt idx="518">
                  <c:v>-7102.0537806400553</c:v>
                </c:pt>
                <c:pt idx="519">
                  <c:v>-6936.5067134457749</c:v>
                </c:pt>
                <c:pt idx="520">
                  <c:v>-7436.6128381802537</c:v>
                </c:pt>
                <c:pt idx="521">
                  <c:v>-4659.3658121686667</c:v>
                </c:pt>
                <c:pt idx="522">
                  <c:v>-4997.6211064338022</c:v>
                </c:pt>
                <c:pt idx="523">
                  <c:v>-5274.8415319957294</c:v>
                </c:pt>
                <c:pt idx="524">
                  <c:v>-6463.9611808011377</c:v>
                </c:pt>
                <c:pt idx="525">
                  <c:v>-6116.2834281193755</c:v>
                </c:pt>
                <c:pt idx="526">
                  <c:v>-6470.7681029942105</c:v>
                </c:pt>
                <c:pt idx="527">
                  <c:v>-5276.9771021803472</c:v>
                </c:pt>
                <c:pt idx="528">
                  <c:v>-7123.3867774768751</c:v>
                </c:pt>
                <c:pt idx="529">
                  <c:v>-4992.085811200488</c:v>
                </c:pt>
                <c:pt idx="530">
                  <c:v>-5633.2424622369017</c:v>
                </c:pt>
                <c:pt idx="531">
                  <c:v>-5727.8145009150849</c:v>
                </c:pt>
                <c:pt idx="532">
                  <c:v>-5054.3473586240952</c:v>
                </c:pt>
                <c:pt idx="533">
                  <c:v>-7944.7252464668563</c:v>
                </c:pt>
                <c:pt idx="534">
                  <c:v>-6405.1208009971469</c:v>
                </c:pt>
                <c:pt idx="535">
                  <c:v>-6120.2772115051812</c:v>
                </c:pt>
                <c:pt idx="536">
                  <c:v>-5218.2858192444</c:v>
                </c:pt>
                <c:pt idx="537">
                  <c:v>-6038.3216401761711</c:v>
                </c:pt>
                <c:pt idx="538">
                  <c:v>-6893.6934736696294</c:v>
                </c:pt>
                <c:pt idx="539">
                  <c:v>-5921.4760667335868</c:v>
                </c:pt>
                <c:pt idx="540">
                  <c:v>-6678.2712433227225</c:v>
                </c:pt>
                <c:pt idx="541">
                  <c:v>-5329.4099045191451</c:v>
                </c:pt>
                <c:pt idx="542">
                  <c:v>-7201.7061461559642</c:v>
                </c:pt>
                <c:pt idx="543">
                  <c:v>-6590.0515576978023</c:v>
                </c:pt>
                <c:pt idx="544">
                  <c:v>-5526.3001834480683</c:v>
                </c:pt>
                <c:pt idx="545">
                  <c:v>-6402.0982304643085</c:v>
                </c:pt>
                <c:pt idx="546">
                  <c:v>-5999.2413486024234</c:v>
                </c:pt>
                <c:pt idx="547">
                  <c:v>-5008.7533867891279</c:v>
                </c:pt>
                <c:pt idx="548">
                  <c:v>-6038.7561937574674</c:v>
                </c:pt>
                <c:pt idx="549">
                  <c:v>-5533.7449328178745</c:v>
                </c:pt>
                <c:pt idx="550">
                  <c:v>-6477.5325641179079</c:v>
                </c:pt>
                <c:pt idx="551">
                  <c:v>-7028.8668685716202</c:v>
                </c:pt>
                <c:pt idx="552">
                  <c:v>-6733.3603285647869</c:v>
                </c:pt>
                <c:pt idx="553">
                  <c:v>-5800.2798167439205</c:v>
                </c:pt>
                <c:pt idx="554">
                  <c:v>-7447.7126033895265</c:v>
                </c:pt>
                <c:pt idx="555">
                  <c:v>-4112.3039114407784</c:v>
                </c:pt>
                <c:pt idx="556">
                  <c:v>-4705.4816371401339</c:v>
                </c:pt>
                <c:pt idx="557">
                  <c:v>-6811.4135078299969</c:v>
                </c:pt>
                <c:pt idx="558">
                  <c:v>-9043.0721719134781</c:v>
                </c:pt>
                <c:pt idx="559">
                  <c:v>-5388.3209395481526</c:v>
                </c:pt>
                <c:pt idx="560">
                  <c:v>-6583.2681941504743</c:v>
                </c:pt>
                <c:pt idx="561">
                  <c:v>-6902.068100333624</c:v>
                </c:pt>
                <c:pt idx="562">
                  <c:v>-6941.5822683689203</c:v>
                </c:pt>
                <c:pt idx="563">
                  <c:v>-4220.5281659231432</c:v>
                </c:pt>
                <c:pt idx="564">
                  <c:v>-5719.9034114735223</c:v>
                </c:pt>
                <c:pt idx="565">
                  <c:v>-6952.9908026520989</c:v>
                </c:pt>
                <c:pt idx="566">
                  <c:v>-5543.1188041441455</c:v>
                </c:pt>
                <c:pt idx="567">
                  <c:v>-5634.2250725038284</c:v>
                </c:pt>
                <c:pt idx="568">
                  <c:v>-4686.2893215286585</c:v>
                </c:pt>
                <c:pt idx="569">
                  <c:v>-5437.4439854596476</c:v>
                </c:pt>
                <c:pt idx="570">
                  <c:v>-4590.5823398854754</c:v>
                </c:pt>
                <c:pt idx="571">
                  <c:v>-5204.0915897366913</c:v>
                </c:pt>
                <c:pt idx="572">
                  <c:v>-4790.3944128849598</c:v>
                </c:pt>
                <c:pt idx="573">
                  <c:v>-7050.0242781681463</c:v>
                </c:pt>
                <c:pt idx="574">
                  <c:v>-6610.4424562634886</c:v>
                </c:pt>
                <c:pt idx="575">
                  <c:v>-3516.3623256803953</c:v>
                </c:pt>
                <c:pt idx="576">
                  <c:v>-6796.0944590467698</c:v>
                </c:pt>
                <c:pt idx="577">
                  <c:v>-6192.559337605524</c:v>
                </c:pt>
                <c:pt idx="578">
                  <c:v>-5942.8119064428411</c:v>
                </c:pt>
                <c:pt idx="579">
                  <c:v>-4596.3831185799118</c:v>
                </c:pt>
                <c:pt idx="580">
                  <c:v>-6379.1978138954091</c:v>
                </c:pt>
                <c:pt idx="581">
                  <c:v>-6672.0360031719629</c:v>
                </c:pt>
                <c:pt idx="582">
                  <c:v>-7810.7574602544082</c:v>
                </c:pt>
                <c:pt idx="583">
                  <c:v>-7627.1493532262102</c:v>
                </c:pt>
                <c:pt idx="584">
                  <c:v>-5247.4523878507616</c:v>
                </c:pt>
                <c:pt idx="585">
                  <c:v>-5482.5794616100184</c:v>
                </c:pt>
                <c:pt idx="586">
                  <c:v>-5746.7622733840444</c:v>
                </c:pt>
                <c:pt idx="587">
                  <c:v>-4891.963917382368</c:v>
                </c:pt>
                <c:pt idx="588">
                  <c:v>-4352.7881412378065</c:v>
                </c:pt>
                <c:pt idx="589">
                  <c:v>-4531.5774864381301</c:v>
                </c:pt>
                <c:pt idx="590">
                  <c:v>-5129.73153845655</c:v>
                </c:pt>
                <c:pt idx="591">
                  <c:v>-8377.7500369323807</c:v>
                </c:pt>
                <c:pt idx="592">
                  <c:v>-8267.8559841623464</c:v>
                </c:pt>
                <c:pt idx="593">
                  <c:v>-5173.5122483619098</c:v>
                </c:pt>
                <c:pt idx="594">
                  <c:v>-6925.2299318896457</c:v>
                </c:pt>
                <c:pt idx="595">
                  <c:v>-7340.5010568689922</c:v>
                </c:pt>
                <c:pt idx="596">
                  <c:v>-6211.4938953768824</c:v>
                </c:pt>
                <c:pt idx="597">
                  <c:v>-6745.4237451190929</c:v>
                </c:pt>
                <c:pt idx="598">
                  <c:v>-6581.1280376733157</c:v>
                </c:pt>
                <c:pt idx="599">
                  <c:v>-8058.59141770112</c:v>
                </c:pt>
                <c:pt idx="600">
                  <c:v>-5577.3635209741205</c:v>
                </c:pt>
                <c:pt idx="601">
                  <c:v>-5412.4340433802008</c:v>
                </c:pt>
                <c:pt idx="602">
                  <c:v>-6834.2135262484389</c:v>
                </c:pt>
                <c:pt idx="603">
                  <c:v>-3743.6991913721035</c:v>
                </c:pt>
                <c:pt idx="604">
                  <c:v>-5843.8813707290328</c:v>
                </c:pt>
                <c:pt idx="605">
                  <c:v>-7129.5227666466662</c:v>
                </c:pt>
                <c:pt idx="606">
                  <c:v>-6268.2003605383525</c:v>
                </c:pt>
                <c:pt idx="607">
                  <c:v>-6772.6820129477001</c:v>
                </c:pt>
                <c:pt idx="608">
                  <c:v>-5320.0739428860416</c:v>
                </c:pt>
                <c:pt idx="609">
                  <c:v>-8191.9724223470275</c:v>
                </c:pt>
                <c:pt idx="610">
                  <c:v>-5980.8058141702386</c:v>
                </c:pt>
                <c:pt idx="611">
                  <c:v>-4975.7654919824527</c:v>
                </c:pt>
                <c:pt idx="612">
                  <c:v>-4655.2542111371076</c:v>
                </c:pt>
                <c:pt idx="613">
                  <c:v>-5649.3605651106946</c:v>
                </c:pt>
                <c:pt idx="614">
                  <c:v>-4395.134832750533</c:v>
                </c:pt>
                <c:pt idx="615">
                  <c:v>-5234.6345655747555</c:v>
                </c:pt>
                <c:pt idx="616">
                  <c:v>-6966.3872714904282</c:v>
                </c:pt>
                <c:pt idx="617">
                  <c:v>-5924.0221437625169</c:v>
                </c:pt>
                <c:pt idx="618">
                  <c:v>-5005.2627101797007</c:v>
                </c:pt>
                <c:pt idx="619">
                  <c:v>-5892.472547532243</c:v>
                </c:pt>
                <c:pt idx="620">
                  <c:v>-6091.1274554183547</c:v>
                </c:pt>
                <c:pt idx="621">
                  <c:v>-7010.2100159653892</c:v>
                </c:pt>
                <c:pt idx="622">
                  <c:v>-6354.457636573663</c:v>
                </c:pt>
                <c:pt idx="623">
                  <c:v>-4299.210805881029</c:v>
                </c:pt>
                <c:pt idx="624">
                  <c:v>-7472.0768881066242</c:v>
                </c:pt>
                <c:pt idx="625">
                  <c:v>-8284.1576614291353</c:v>
                </c:pt>
                <c:pt idx="626">
                  <c:v>-6954.4764112448893</c:v>
                </c:pt>
                <c:pt idx="627">
                  <c:v>-4849.3254580950797</c:v>
                </c:pt>
                <c:pt idx="628">
                  <c:v>-6316.9040017727475</c:v>
                </c:pt>
                <c:pt idx="629">
                  <c:v>-6099.9433086442077</c:v>
                </c:pt>
                <c:pt idx="630">
                  <c:v>-5419.6739905725553</c:v>
                </c:pt>
                <c:pt idx="631">
                  <c:v>-6489.3118937758009</c:v>
                </c:pt>
                <c:pt idx="632">
                  <c:v>-7895.033217185648</c:v>
                </c:pt>
                <c:pt idx="633">
                  <c:v>-5596.9767887281359</c:v>
                </c:pt>
                <c:pt idx="634">
                  <c:v>-5804.6385747614786</c:v>
                </c:pt>
                <c:pt idx="635">
                  <c:v>-5471.9895658924797</c:v>
                </c:pt>
                <c:pt idx="636">
                  <c:v>-6740.338209912632</c:v>
                </c:pt>
                <c:pt idx="637">
                  <c:v>-5518.1461214607525</c:v>
                </c:pt>
                <c:pt idx="638">
                  <c:v>-7120.0845762672507</c:v>
                </c:pt>
                <c:pt idx="639">
                  <c:v>-4812.2897932652395</c:v>
                </c:pt>
                <c:pt idx="640">
                  <c:v>-6898.7599017467119</c:v>
                </c:pt>
                <c:pt idx="641">
                  <c:v>-6475.9977505645347</c:v>
                </c:pt>
                <c:pt idx="642">
                  <c:v>-4689.1428166945443</c:v>
                </c:pt>
                <c:pt idx="643">
                  <c:v>-6947.1377284284326</c:v>
                </c:pt>
                <c:pt idx="644">
                  <c:v>-8232.8725083278678</c:v>
                </c:pt>
                <c:pt idx="645">
                  <c:v>-6717.3162659764239</c:v>
                </c:pt>
                <c:pt idx="646">
                  <c:v>-8076.2256241487357</c:v>
                </c:pt>
                <c:pt idx="647">
                  <c:v>-7643.4541710908334</c:v>
                </c:pt>
                <c:pt idx="648">
                  <c:v>-6057.6860710746241</c:v>
                </c:pt>
                <c:pt idx="649">
                  <c:v>-7067.40226246764</c:v>
                </c:pt>
                <c:pt idx="650">
                  <c:v>-5436.8665343703296</c:v>
                </c:pt>
                <c:pt idx="651">
                  <c:v>-7032.2666604077604</c:v>
                </c:pt>
                <c:pt idx="652">
                  <c:v>-5562.676986115267</c:v>
                </c:pt>
                <c:pt idx="653">
                  <c:v>-5281.72113961784</c:v>
                </c:pt>
                <c:pt idx="654">
                  <c:v>-8362.6632523983753</c:v>
                </c:pt>
                <c:pt idx="655">
                  <c:v>-6134.0085345496673</c:v>
                </c:pt>
                <c:pt idx="656">
                  <c:v>-7357.2062741845684</c:v>
                </c:pt>
                <c:pt idx="657">
                  <c:v>-5569.9188773157875</c:v>
                </c:pt>
                <c:pt idx="658">
                  <c:v>-5443.8431699610301</c:v>
                </c:pt>
                <c:pt idx="659">
                  <c:v>-7751.350712156629</c:v>
                </c:pt>
                <c:pt idx="660">
                  <c:v>-4323.3874767065136</c:v>
                </c:pt>
                <c:pt idx="661">
                  <c:v>-5771.8324291212466</c:v>
                </c:pt>
                <c:pt idx="662">
                  <c:v>-9484.7084026361335</c:v>
                </c:pt>
                <c:pt idx="663">
                  <c:v>-6756.2028824143417</c:v>
                </c:pt>
                <c:pt idx="664">
                  <c:v>-3164.7032224278291</c:v>
                </c:pt>
                <c:pt idx="665">
                  <c:v>-7013.4329276193566</c:v>
                </c:pt>
                <c:pt idx="666">
                  <c:v>-8356.9980562894616</c:v>
                </c:pt>
                <c:pt idx="667">
                  <c:v>-7052.376652911772</c:v>
                </c:pt>
                <c:pt idx="668">
                  <c:v>-7171.2948703192005</c:v>
                </c:pt>
                <c:pt idx="669">
                  <c:v>-7347.9886187153606</c:v>
                </c:pt>
                <c:pt idx="670">
                  <c:v>-7229.8820291434404</c:v>
                </c:pt>
                <c:pt idx="671">
                  <c:v>-6140.6449108324905</c:v>
                </c:pt>
                <c:pt idx="672">
                  <c:v>-5033.9837006594635</c:v>
                </c:pt>
                <c:pt idx="673">
                  <c:v>-5667.0418959135532</c:v>
                </c:pt>
                <c:pt idx="674">
                  <c:v>-5607.8929855198567</c:v>
                </c:pt>
                <c:pt idx="675">
                  <c:v>-8562.4296012313989</c:v>
                </c:pt>
                <c:pt idx="676">
                  <c:v>-6029.8217126914569</c:v>
                </c:pt>
                <c:pt idx="677">
                  <c:v>-5214.7124635336731</c:v>
                </c:pt>
                <c:pt idx="678">
                  <c:v>-6300.3975270389992</c:v>
                </c:pt>
                <c:pt idx="679">
                  <c:v>-4511.5476560164698</c:v>
                </c:pt>
                <c:pt idx="680">
                  <c:v>-5635.2452139282068</c:v>
                </c:pt>
                <c:pt idx="681">
                  <c:v>-4672.5380646670919</c:v>
                </c:pt>
                <c:pt idx="682">
                  <c:v>-5877.837585459506</c:v>
                </c:pt>
                <c:pt idx="683">
                  <c:v>-6659.9641347327379</c:v>
                </c:pt>
                <c:pt idx="684">
                  <c:v>-6677.2251220948292</c:v>
                </c:pt>
                <c:pt idx="685">
                  <c:v>-6980.573475320678</c:v>
                </c:pt>
                <c:pt idx="686">
                  <c:v>-7150.3110301353518</c:v>
                </c:pt>
                <c:pt idx="687">
                  <c:v>-6489.0038277413159</c:v>
                </c:pt>
                <c:pt idx="688">
                  <c:v>-5402.5693474213258</c:v>
                </c:pt>
                <c:pt idx="689">
                  <c:v>-7366.8087867055347</c:v>
                </c:pt>
                <c:pt idx="690">
                  <c:v>-6435.8665498934042</c:v>
                </c:pt>
                <c:pt idx="691">
                  <c:v>-5758.6683436059584</c:v>
                </c:pt>
                <c:pt idx="692">
                  <c:v>-7853.6661897422655</c:v>
                </c:pt>
                <c:pt idx="693">
                  <c:v>-4201.1666127324352</c:v>
                </c:pt>
                <c:pt idx="694">
                  <c:v>-5210.6849415487268</c:v>
                </c:pt>
                <c:pt idx="695">
                  <c:v>-5414.8121716238757</c:v>
                </c:pt>
                <c:pt idx="696">
                  <c:v>-6038.157597891055</c:v>
                </c:pt>
                <c:pt idx="697">
                  <c:v>-6394.5936237663536</c:v>
                </c:pt>
                <c:pt idx="698">
                  <c:v>-5692.1546323675939</c:v>
                </c:pt>
                <c:pt idx="699">
                  <c:v>-7664.3171176932465</c:v>
                </c:pt>
                <c:pt idx="700">
                  <c:v>-6093.3393893471757</c:v>
                </c:pt>
                <c:pt idx="701">
                  <c:v>-5385.3982474176692</c:v>
                </c:pt>
                <c:pt idx="702">
                  <c:v>-8216.5301052094583</c:v>
                </c:pt>
                <c:pt idx="703">
                  <c:v>-6242.9354165488248</c:v>
                </c:pt>
                <c:pt idx="704">
                  <c:v>-6655.3213484257876</c:v>
                </c:pt>
                <c:pt idx="705">
                  <c:v>-5054.8559386051857</c:v>
                </c:pt>
                <c:pt idx="706">
                  <c:v>-6353.5309999804949</c:v>
                </c:pt>
                <c:pt idx="707">
                  <c:v>-8272.6210555183243</c:v>
                </c:pt>
                <c:pt idx="708">
                  <c:v>-5049.9603795814073</c:v>
                </c:pt>
                <c:pt idx="709">
                  <c:v>-6252.7039616301927</c:v>
                </c:pt>
                <c:pt idx="710">
                  <c:v>-5522.0821576778235</c:v>
                </c:pt>
                <c:pt idx="711">
                  <c:v>-8072.6403599376426</c:v>
                </c:pt>
                <c:pt idx="712">
                  <c:v>-5777.044890602484</c:v>
                </c:pt>
                <c:pt idx="713">
                  <c:v>-7085.6321250579495</c:v>
                </c:pt>
                <c:pt idx="714">
                  <c:v>-5961.911803488947</c:v>
                </c:pt>
                <c:pt idx="715">
                  <c:v>-7076.9416147709817</c:v>
                </c:pt>
                <c:pt idx="716">
                  <c:v>-6222.5040414700479</c:v>
                </c:pt>
                <c:pt idx="717">
                  <c:v>-5432.5932252582861</c:v>
                </c:pt>
                <c:pt idx="718">
                  <c:v>-6864.3332796974973</c:v>
                </c:pt>
                <c:pt idx="719">
                  <c:v>-6198.7351802932935</c:v>
                </c:pt>
                <c:pt idx="720">
                  <c:v>-4648.4137373096946</c:v>
                </c:pt>
                <c:pt idx="721">
                  <c:v>-6904.9421058463849</c:v>
                </c:pt>
                <c:pt idx="722">
                  <c:v>-7054.2310963979098</c:v>
                </c:pt>
                <c:pt idx="723">
                  <c:v>-7271.5222733224655</c:v>
                </c:pt>
                <c:pt idx="724">
                  <c:v>-6160.1215402577709</c:v>
                </c:pt>
                <c:pt idx="725">
                  <c:v>-6451.7230269108786</c:v>
                </c:pt>
                <c:pt idx="726">
                  <c:v>-5187.3078387442429</c:v>
                </c:pt>
                <c:pt idx="727">
                  <c:v>-7924.0758768587039</c:v>
                </c:pt>
                <c:pt idx="728">
                  <c:v>-6055.382496332606</c:v>
                </c:pt>
                <c:pt idx="729">
                  <c:v>-6764.4206892415132</c:v>
                </c:pt>
                <c:pt idx="730">
                  <c:v>-6908.4730792758746</c:v>
                </c:pt>
                <c:pt idx="731">
                  <c:v>-5589.3194631344331</c:v>
                </c:pt>
                <c:pt idx="732">
                  <c:v>-5119.7998114064339</c:v>
                </c:pt>
                <c:pt idx="733">
                  <c:v>-7707.4179157225353</c:v>
                </c:pt>
                <c:pt idx="734">
                  <c:v>-8700.5249112104357</c:v>
                </c:pt>
                <c:pt idx="735">
                  <c:v>-6639.820132929045</c:v>
                </c:pt>
                <c:pt idx="736">
                  <c:v>-4983.5785042019716</c:v>
                </c:pt>
                <c:pt idx="737">
                  <c:v>-6350.7668821338584</c:v>
                </c:pt>
                <c:pt idx="738">
                  <c:v>-8119.0609226084143</c:v>
                </c:pt>
                <c:pt idx="739">
                  <c:v>-5092.5797888992502</c:v>
                </c:pt>
                <c:pt idx="740">
                  <c:v>-5740.6259207778367</c:v>
                </c:pt>
                <c:pt idx="741">
                  <c:v>-5399.3382737526854</c:v>
                </c:pt>
                <c:pt idx="742">
                  <c:v>-4663.211228674425</c:v>
                </c:pt>
                <c:pt idx="743">
                  <c:v>-7880.0349949032552</c:v>
                </c:pt>
                <c:pt idx="744">
                  <c:v>-4807.6498615620067</c:v>
                </c:pt>
                <c:pt idx="745">
                  <c:v>-5277.9007573219797</c:v>
                </c:pt>
                <c:pt idx="746">
                  <c:v>-7420.3923860025416</c:v>
                </c:pt>
                <c:pt idx="747">
                  <c:v>-8152.3250544407128</c:v>
                </c:pt>
                <c:pt idx="748">
                  <c:v>-7061.563129162977</c:v>
                </c:pt>
                <c:pt idx="749">
                  <c:v>-7742.5561869848352</c:v>
                </c:pt>
                <c:pt idx="750">
                  <c:v>-6594.1803010056956</c:v>
                </c:pt>
                <c:pt idx="751">
                  <c:v>-7960.9536465956007</c:v>
                </c:pt>
                <c:pt idx="752">
                  <c:v>-5905.9710730129646</c:v>
                </c:pt>
                <c:pt idx="753">
                  <c:v>-6868.2340715569044</c:v>
                </c:pt>
                <c:pt idx="754">
                  <c:v>-7021.0788143708778</c:v>
                </c:pt>
                <c:pt idx="755">
                  <c:v>-6463.2392599290224</c:v>
                </c:pt>
                <c:pt idx="756">
                  <c:v>-7810.0179482275398</c:v>
                </c:pt>
                <c:pt idx="757">
                  <c:v>-7238.4911131923272</c:v>
                </c:pt>
                <c:pt idx="758">
                  <c:v>-5239.0916964666449</c:v>
                </c:pt>
                <c:pt idx="759">
                  <c:v>-4785.2745900098134</c:v>
                </c:pt>
                <c:pt idx="760">
                  <c:v>-5876.1101537304003</c:v>
                </c:pt>
                <c:pt idx="761">
                  <c:v>-5542.1265469163427</c:v>
                </c:pt>
                <c:pt idx="762">
                  <c:v>-6169.3892303566518</c:v>
                </c:pt>
                <c:pt idx="763">
                  <c:v>-4868.8537475410058</c:v>
                </c:pt>
                <c:pt idx="764">
                  <c:v>-5904.3087142861987</c:v>
                </c:pt>
                <c:pt idx="765">
                  <c:v>-6407.500625565367</c:v>
                </c:pt>
                <c:pt idx="766">
                  <c:v>-8806.9296122859269</c:v>
                </c:pt>
                <c:pt idx="767">
                  <c:v>-9644.9515340974849</c:v>
                </c:pt>
                <c:pt idx="768">
                  <c:v>-5924.2603695209464</c:v>
                </c:pt>
                <c:pt idx="769">
                  <c:v>-5652.3287510941263</c:v>
                </c:pt>
                <c:pt idx="770">
                  <c:v>-5656.9892370786965</c:v>
                </c:pt>
                <c:pt idx="771">
                  <c:v>-7140.5150067508639</c:v>
                </c:pt>
                <c:pt idx="772">
                  <c:v>-5940.9975907169537</c:v>
                </c:pt>
                <c:pt idx="773">
                  <c:v>-6787.9387894745123</c:v>
                </c:pt>
                <c:pt idx="774">
                  <c:v>-6467.207523793174</c:v>
                </c:pt>
                <c:pt idx="775">
                  <c:v>-5494.6747389622778</c:v>
                </c:pt>
                <c:pt idx="776">
                  <c:v>-4623.7717580576864</c:v>
                </c:pt>
                <c:pt idx="777">
                  <c:v>-5336.9695676821921</c:v>
                </c:pt>
                <c:pt idx="778">
                  <c:v>-5657.6857556172872</c:v>
                </c:pt>
                <c:pt idx="779">
                  <c:v>-6340.8483412700716</c:v>
                </c:pt>
                <c:pt idx="780">
                  <c:v>-5920.962060401409</c:v>
                </c:pt>
                <c:pt idx="781">
                  <c:v>-8186.2262541234704</c:v>
                </c:pt>
                <c:pt idx="782">
                  <c:v>-5831.8591119413632</c:v>
                </c:pt>
                <c:pt idx="783">
                  <c:v>-7938.2707934702994</c:v>
                </c:pt>
                <c:pt idx="784">
                  <c:v>-5245.1270620968226</c:v>
                </c:pt>
                <c:pt idx="785">
                  <c:v>-6877.8745464482372</c:v>
                </c:pt>
                <c:pt idx="786">
                  <c:v>-6664.4691258611747</c:v>
                </c:pt>
                <c:pt idx="787">
                  <c:v>-5601.1066639714381</c:v>
                </c:pt>
                <c:pt idx="788">
                  <c:v>-5447.7270958557283</c:v>
                </c:pt>
                <c:pt idx="789">
                  <c:v>-8189.3890414831385</c:v>
                </c:pt>
                <c:pt idx="790">
                  <c:v>-5291.2858260459707</c:v>
                </c:pt>
                <c:pt idx="791">
                  <c:v>-5246.8286156842569</c:v>
                </c:pt>
                <c:pt idx="792">
                  <c:v>-5931.6569344000391</c:v>
                </c:pt>
                <c:pt idx="793">
                  <c:v>-8406.723163494813</c:v>
                </c:pt>
                <c:pt idx="794">
                  <c:v>-7527.9669532099269</c:v>
                </c:pt>
                <c:pt idx="795">
                  <c:v>-5012.476406683958</c:v>
                </c:pt>
                <c:pt idx="796">
                  <c:v>-7660.3292057515555</c:v>
                </c:pt>
                <c:pt idx="797">
                  <c:v>-6357.6910910158185</c:v>
                </c:pt>
                <c:pt idx="798">
                  <c:v>-5886.4318342067545</c:v>
                </c:pt>
                <c:pt idx="799">
                  <c:v>-7556.483902329147</c:v>
                </c:pt>
                <c:pt idx="800">
                  <c:v>-6661.2674369002143</c:v>
                </c:pt>
                <c:pt idx="801">
                  <c:v>-7700.1606544630122</c:v>
                </c:pt>
                <c:pt idx="802">
                  <c:v>-5299.1755020641867</c:v>
                </c:pt>
                <c:pt idx="803">
                  <c:v>-5721.5400137505821</c:v>
                </c:pt>
                <c:pt idx="804">
                  <c:v>-8661.385023909148</c:v>
                </c:pt>
                <c:pt idx="805">
                  <c:v>-5925.4529212323778</c:v>
                </c:pt>
                <c:pt idx="806">
                  <c:v>-6699.8155934403785</c:v>
                </c:pt>
                <c:pt idx="807">
                  <c:v>-6054.7837209373229</c:v>
                </c:pt>
                <c:pt idx="808">
                  <c:v>-6549.9218994628127</c:v>
                </c:pt>
                <c:pt idx="809">
                  <c:v>-5773.496964780792</c:v>
                </c:pt>
                <c:pt idx="810">
                  <c:v>-5045.2263854376924</c:v>
                </c:pt>
                <c:pt idx="811">
                  <c:v>-4372.5083342879525</c:v>
                </c:pt>
                <c:pt idx="812">
                  <c:v>-8351.3258850495658</c:v>
                </c:pt>
                <c:pt idx="813">
                  <c:v>-5617.1351772476946</c:v>
                </c:pt>
                <c:pt idx="814">
                  <c:v>-8255.5086420551288</c:v>
                </c:pt>
                <c:pt idx="815">
                  <c:v>-4999.9175019386021</c:v>
                </c:pt>
                <c:pt idx="816">
                  <c:v>-7391.2426733593138</c:v>
                </c:pt>
                <c:pt idx="817">
                  <c:v>-4857.0679598196048</c:v>
                </c:pt>
                <c:pt idx="818">
                  <c:v>-6061.5399657253101</c:v>
                </c:pt>
                <c:pt idx="819">
                  <c:v>-5887.2494205983849</c:v>
                </c:pt>
                <c:pt idx="820">
                  <c:v>-5720.1282946799693</c:v>
                </c:pt>
                <c:pt idx="821">
                  <c:v>-6980.9116896103624</c:v>
                </c:pt>
                <c:pt idx="822">
                  <c:v>-6423.3917126533061</c:v>
                </c:pt>
                <c:pt idx="823">
                  <c:v>-6501.3550030644374</c:v>
                </c:pt>
                <c:pt idx="824">
                  <c:v>-7282.4067211824349</c:v>
                </c:pt>
                <c:pt idx="825">
                  <c:v>-6094.2643544593775</c:v>
                </c:pt>
                <c:pt idx="826">
                  <c:v>-6226.1007438350007</c:v>
                </c:pt>
                <c:pt idx="827">
                  <c:v>-5509.8882737207796</c:v>
                </c:pt>
                <c:pt idx="828">
                  <c:v>-6426.83219620819</c:v>
                </c:pt>
                <c:pt idx="829">
                  <c:v>-7540.6406241157929</c:v>
                </c:pt>
                <c:pt idx="830">
                  <c:v>-6776.2241978535403</c:v>
                </c:pt>
                <c:pt idx="831">
                  <c:v>-4821.6971941090196</c:v>
                </c:pt>
                <c:pt idx="832">
                  <c:v>-3985.5996952884343</c:v>
                </c:pt>
                <c:pt idx="833">
                  <c:v>-6922.7894105537662</c:v>
                </c:pt>
                <c:pt idx="834">
                  <c:v>-5672.2819288643732</c:v>
                </c:pt>
                <c:pt idx="835">
                  <c:v>-6172.4922262612527</c:v>
                </c:pt>
                <c:pt idx="836">
                  <c:v>-4792.3692747948307</c:v>
                </c:pt>
                <c:pt idx="837">
                  <c:v>-7510.7112515434037</c:v>
                </c:pt>
                <c:pt idx="838">
                  <c:v>-6331.4987662094127</c:v>
                </c:pt>
                <c:pt idx="839">
                  <c:v>-5831.3154073174401</c:v>
                </c:pt>
                <c:pt idx="840">
                  <c:v>-6350.9765270763692</c:v>
                </c:pt>
                <c:pt idx="841">
                  <c:v>-6590.6163916419555</c:v>
                </c:pt>
                <c:pt idx="842">
                  <c:v>-6154.2945177675465</c:v>
                </c:pt>
                <c:pt idx="843">
                  <c:v>-6874.0005936939906</c:v>
                </c:pt>
                <c:pt idx="844">
                  <c:v>-6560.7850686499723</c:v>
                </c:pt>
                <c:pt idx="845">
                  <c:v>-6616.5806192323089</c:v>
                </c:pt>
                <c:pt idx="846">
                  <c:v>-5960.266315861104</c:v>
                </c:pt>
                <c:pt idx="847">
                  <c:v>-5546.1863859557334</c:v>
                </c:pt>
                <c:pt idx="848">
                  <c:v>-5195.5836897903782</c:v>
                </c:pt>
                <c:pt idx="849">
                  <c:v>-4426.8110741122109</c:v>
                </c:pt>
                <c:pt idx="850">
                  <c:v>-6272.5766481324035</c:v>
                </c:pt>
                <c:pt idx="851">
                  <c:v>-6541.3929416850697</c:v>
                </c:pt>
                <c:pt idx="852">
                  <c:v>-5696.3759551297917</c:v>
                </c:pt>
                <c:pt idx="853">
                  <c:v>-5808.1737799493549</c:v>
                </c:pt>
                <c:pt idx="854">
                  <c:v>-5725.559408635303</c:v>
                </c:pt>
                <c:pt idx="855">
                  <c:v>-4782.144293110623</c:v>
                </c:pt>
                <c:pt idx="856">
                  <c:v>-7407.1502771322539</c:v>
                </c:pt>
                <c:pt idx="857">
                  <c:v>-6988.8662969885318</c:v>
                </c:pt>
                <c:pt idx="858">
                  <c:v>-5413.1077032548183</c:v>
                </c:pt>
                <c:pt idx="859">
                  <c:v>-7352.1622611657422</c:v>
                </c:pt>
                <c:pt idx="860">
                  <c:v>-6945.8451901002454</c:v>
                </c:pt>
                <c:pt idx="861">
                  <c:v>-6052.7348201585355</c:v>
                </c:pt>
                <c:pt idx="862">
                  <c:v>-7057.3167981608512</c:v>
                </c:pt>
                <c:pt idx="863">
                  <c:v>-6174.6891446289101</c:v>
                </c:pt>
                <c:pt idx="864">
                  <c:v>-6068.8182016379005</c:v>
                </c:pt>
                <c:pt idx="865">
                  <c:v>-6942.0058357274793</c:v>
                </c:pt>
                <c:pt idx="866">
                  <c:v>-6341.760309164727</c:v>
                </c:pt>
                <c:pt idx="867">
                  <c:v>-5693.8664727230116</c:v>
                </c:pt>
                <c:pt idx="868">
                  <c:v>-6942.4690662910107</c:v>
                </c:pt>
                <c:pt idx="869">
                  <c:v>-5669.9315502280133</c:v>
                </c:pt>
                <c:pt idx="870">
                  <c:v>-7458.9250530768259</c:v>
                </c:pt>
                <c:pt idx="871">
                  <c:v>-5944.6397613451772</c:v>
                </c:pt>
                <c:pt idx="872">
                  <c:v>-6374.4753473017281</c:v>
                </c:pt>
                <c:pt idx="873">
                  <c:v>-5795.8477879652073</c:v>
                </c:pt>
                <c:pt idx="874">
                  <c:v>-4400.4221965248107</c:v>
                </c:pt>
                <c:pt idx="875">
                  <c:v>-5498.4850168251241</c:v>
                </c:pt>
                <c:pt idx="876">
                  <c:v>-6635.9467283586855</c:v>
                </c:pt>
                <c:pt idx="877">
                  <c:v>-6713.4839020204054</c:v>
                </c:pt>
                <c:pt idx="878">
                  <c:v>-7420.1596150906134</c:v>
                </c:pt>
                <c:pt idx="879">
                  <c:v>-5665.8929880644982</c:v>
                </c:pt>
                <c:pt idx="880">
                  <c:v>-7030.7392106495699</c:v>
                </c:pt>
                <c:pt idx="881">
                  <c:v>-7394.8995543632045</c:v>
                </c:pt>
                <c:pt idx="882">
                  <c:v>-6228.415597070376</c:v>
                </c:pt>
                <c:pt idx="883">
                  <c:v>-5803.0990060374761</c:v>
                </c:pt>
                <c:pt idx="884">
                  <c:v>-5086.8333052679818</c:v>
                </c:pt>
                <c:pt idx="885">
                  <c:v>-6412.5270358603757</c:v>
                </c:pt>
                <c:pt idx="886">
                  <c:v>-5970.2752445141105</c:v>
                </c:pt>
                <c:pt idx="887">
                  <c:v>-5213.7665905573576</c:v>
                </c:pt>
                <c:pt idx="888">
                  <c:v>-6147.384571835013</c:v>
                </c:pt>
                <c:pt idx="889">
                  <c:v>-7461.8943510692225</c:v>
                </c:pt>
                <c:pt idx="890">
                  <c:v>-4077.756048054333</c:v>
                </c:pt>
                <c:pt idx="891">
                  <c:v>-6679.4343934724802</c:v>
                </c:pt>
                <c:pt idx="892">
                  <c:v>-5655.2874068200799</c:v>
                </c:pt>
                <c:pt idx="893">
                  <c:v>-7752.8478836435115</c:v>
                </c:pt>
                <c:pt idx="894">
                  <c:v>-5440.6800995054791</c:v>
                </c:pt>
                <c:pt idx="895">
                  <c:v>-5260.1210626478614</c:v>
                </c:pt>
                <c:pt idx="896">
                  <c:v>-4750.0825221480027</c:v>
                </c:pt>
                <c:pt idx="897">
                  <c:v>-6610.4071624311946</c:v>
                </c:pt>
                <c:pt idx="898">
                  <c:v>-4528.4965467327747</c:v>
                </c:pt>
                <c:pt idx="899">
                  <c:v>-6605.5850097723733</c:v>
                </c:pt>
                <c:pt idx="900">
                  <c:v>-6579.699324958784</c:v>
                </c:pt>
                <c:pt idx="901">
                  <c:v>-6536.9250412427355</c:v>
                </c:pt>
                <c:pt idx="902">
                  <c:v>-6792.480412458789</c:v>
                </c:pt>
                <c:pt idx="903">
                  <c:v>-6037.0506718132492</c:v>
                </c:pt>
                <c:pt idx="904">
                  <c:v>-5262.0340743274301</c:v>
                </c:pt>
                <c:pt idx="905">
                  <c:v>-4891.8287068918635</c:v>
                </c:pt>
                <c:pt idx="906">
                  <c:v>-6452.5052141926881</c:v>
                </c:pt>
                <c:pt idx="907">
                  <c:v>-6897.7000378054745</c:v>
                </c:pt>
                <c:pt idx="908">
                  <c:v>-5452.7764827608034</c:v>
                </c:pt>
                <c:pt idx="909">
                  <c:v>-6989.043631683252</c:v>
                </c:pt>
                <c:pt idx="910">
                  <c:v>-6553.3710510322653</c:v>
                </c:pt>
                <c:pt idx="911">
                  <c:v>-6570.3127868866386</c:v>
                </c:pt>
                <c:pt idx="912">
                  <c:v>-7609.786597591793</c:v>
                </c:pt>
                <c:pt idx="913">
                  <c:v>-7801.3267898740742</c:v>
                </c:pt>
                <c:pt idx="914">
                  <c:v>-5662.0071980541916</c:v>
                </c:pt>
                <c:pt idx="915">
                  <c:v>-7195.0604855837992</c:v>
                </c:pt>
                <c:pt idx="916">
                  <c:v>-7282.9666057342238</c:v>
                </c:pt>
                <c:pt idx="917">
                  <c:v>-5408.5739308332959</c:v>
                </c:pt>
                <c:pt idx="918">
                  <c:v>-6837.8922636388779</c:v>
                </c:pt>
                <c:pt idx="919">
                  <c:v>-5450.1076647388645</c:v>
                </c:pt>
                <c:pt idx="920">
                  <c:v>-6229.9519013746485</c:v>
                </c:pt>
                <c:pt idx="921">
                  <c:v>-5236.7315035024185</c:v>
                </c:pt>
                <c:pt idx="922">
                  <c:v>-6585.8530176028598</c:v>
                </c:pt>
                <c:pt idx="923">
                  <c:v>-5264.9651962573498</c:v>
                </c:pt>
                <c:pt idx="924">
                  <c:v>-4547.6722371712513</c:v>
                </c:pt>
                <c:pt idx="925">
                  <c:v>-6868.3743788872061</c:v>
                </c:pt>
                <c:pt idx="926">
                  <c:v>-4825.8657422609513</c:v>
                </c:pt>
                <c:pt idx="927">
                  <c:v>-5501.852074089893</c:v>
                </c:pt>
                <c:pt idx="928">
                  <c:v>-5709.857832864961</c:v>
                </c:pt>
                <c:pt idx="929">
                  <c:v>-5483.2492545759342</c:v>
                </c:pt>
                <c:pt idx="930">
                  <c:v>-4951.5990449923902</c:v>
                </c:pt>
                <c:pt idx="931">
                  <c:v>-6344.5004239399595</c:v>
                </c:pt>
                <c:pt idx="932">
                  <c:v>-6265.6387115718162</c:v>
                </c:pt>
                <c:pt idx="933">
                  <c:v>-3854.1183832254274</c:v>
                </c:pt>
                <c:pt idx="934">
                  <c:v>-6706.6783088261927</c:v>
                </c:pt>
                <c:pt idx="935">
                  <c:v>-6417.7579641003776</c:v>
                </c:pt>
                <c:pt idx="936">
                  <c:v>-5177.4297353859256</c:v>
                </c:pt>
                <c:pt idx="937">
                  <c:v>-6541.4483309062789</c:v>
                </c:pt>
                <c:pt idx="938">
                  <c:v>-6263.43671424069</c:v>
                </c:pt>
                <c:pt idx="939">
                  <c:v>-4523.2586098945239</c:v>
                </c:pt>
                <c:pt idx="940">
                  <c:v>-5841.9896211292607</c:v>
                </c:pt>
                <c:pt idx="941">
                  <c:v>-5965.5264930285175</c:v>
                </c:pt>
                <c:pt idx="942">
                  <c:v>-6391.6463854716039</c:v>
                </c:pt>
                <c:pt idx="943">
                  <c:v>-7031.4550207935918</c:v>
                </c:pt>
                <c:pt idx="944">
                  <c:v>-5985.0282869136154</c:v>
                </c:pt>
                <c:pt idx="945">
                  <c:v>-4298.6013930039062</c:v>
                </c:pt>
                <c:pt idx="946">
                  <c:v>-6329.8539124496046</c:v>
                </c:pt>
                <c:pt idx="947">
                  <c:v>-6560.9594254864805</c:v>
                </c:pt>
                <c:pt idx="948">
                  <c:v>-7133.9828261046023</c:v>
                </c:pt>
                <c:pt idx="949">
                  <c:v>-5876.3131024345284</c:v>
                </c:pt>
                <c:pt idx="950">
                  <c:v>-5811.4640384905306</c:v>
                </c:pt>
                <c:pt idx="951">
                  <c:v>-5361.0285429580908</c:v>
                </c:pt>
                <c:pt idx="952">
                  <c:v>-6584.6921577059675</c:v>
                </c:pt>
                <c:pt idx="953">
                  <c:v>-6859.3690978702061</c:v>
                </c:pt>
                <c:pt idx="954">
                  <c:v>-5622.0600386756423</c:v>
                </c:pt>
                <c:pt idx="955">
                  <c:v>-6599.1712189434529</c:v>
                </c:pt>
                <c:pt idx="956">
                  <c:v>-5213.758330885853</c:v>
                </c:pt>
                <c:pt idx="957">
                  <c:v>-5585.112407210705</c:v>
                </c:pt>
                <c:pt idx="958">
                  <c:v>-7213.6180815691987</c:v>
                </c:pt>
                <c:pt idx="959">
                  <c:v>-6328.3439190086428</c:v>
                </c:pt>
                <c:pt idx="960">
                  <c:v>-7807.5546034033487</c:v>
                </c:pt>
                <c:pt idx="961">
                  <c:v>-5019.6356079475618</c:v>
                </c:pt>
                <c:pt idx="962">
                  <c:v>-9532.7211734795656</c:v>
                </c:pt>
                <c:pt idx="963">
                  <c:v>-5656.1695692504545</c:v>
                </c:pt>
                <c:pt idx="964">
                  <c:v>-7431.6571362926534</c:v>
                </c:pt>
                <c:pt idx="965">
                  <c:v>-5707.1856922480256</c:v>
                </c:pt>
                <c:pt idx="966">
                  <c:v>-5484.2545359684864</c:v>
                </c:pt>
                <c:pt idx="967">
                  <c:v>-4940.2114011573476</c:v>
                </c:pt>
                <c:pt idx="968">
                  <c:v>-5920.5233088561754</c:v>
                </c:pt>
                <c:pt idx="969">
                  <c:v>-5958.4201455565135</c:v>
                </c:pt>
                <c:pt idx="970">
                  <c:v>-5195.1568112560799</c:v>
                </c:pt>
                <c:pt idx="971">
                  <c:v>-5402.3257935253469</c:v>
                </c:pt>
                <c:pt idx="972">
                  <c:v>-5479.7071000871974</c:v>
                </c:pt>
                <c:pt idx="973">
                  <c:v>-7119.9754933849208</c:v>
                </c:pt>
                <c:pt idx="974">
                  <c:v>-5168.4984003033669</c:v>
                </c:pt>
                <c:pt idx="975">
                  <c:v>-5270.9256139122417</c:v>
                </c:pt>
                <c:pt idx="976">
                  <c:v>-7138.01224540573</c:v>
                </c:pt>
                <c:pt idx="977">
                  <c:v>-7157.321396405514</c:v>
                </c:pt>
                <c:pt idx="978">
                  <c:v>-6257.5271542371765</c:v>
                </c:pt>
                <c:pt idx="979">
                  <c:v>-5776.9087385882358</c:v>
                </c:pt>
                <c:pt idx="980">
                  <c:v>-6793.1202381415669</c:v>
                </c:pt>
                <c:pt idx="981">
                  <c:v>-4630.6499899760129</c:v>
                </c:pt>
                <c:pt idx="982">
                  <c:v>-6034.6360677841258</c:v>
                </c:pt>
                <c:pt idx="983">
                  <c:v>-4675.7497683103447</c:v>
                </c:pt>
                <c:pt idx="984">
                  <c:v>-7086.7295695155235</c:v>
                </c:pt>
                <c:pt idx="985">
                  <c:v>-6603.7789643109409</c:v>
                </c:pt>
                <c:pt idx="986">
                  <c:v>-6775.2253497303627</c:v>
                </c:pt>
                <c:pt idx="987">
                  <c:v>-5073.4911634479649</c:v>
                </c:pt>
                <c:pt idx="988">
                  <c:v>-6238.6140318573498</c:v>
                </c:pt>
                <c:pt idx="989">
                  <c:v>-5412.9784068432828</c:v>
                </c:pt>
                <c:pt idx="990">
                  <c:v>-4967.5580858777812</c:v>
                </c:pt>
                <c:pt idx="991">
                  <c:v>-5591.3966787188756</c:v>
                </c:pt>
                <c:pt idx="992">
                  <c:v>-4604.0239153152552</c:v>
                </c:pt>
                <c:pt idx="993">
                  <c:v>-8094.6197104043113</c:v>
                </c:pt>
                <c:pt idx="994">
                  <c:v>-5479.7713423809064</c:v>
                </c:pt>
                <c:pt idx="995">
                  <c:v>-8755.7962168518607</c:v>
                </c:pt>
                <c:pt idx="996">
                  <c:v>-6316.6967065639719</c:v>
                </c:pt>
                <c:pt idx="997">
                  <c:v>-7003.1329659097573</c:v>
                </c:pt>
                <c:pt idx="998">
                  <c:v>-5510.1162492669482</c:v>
                </c:pt>
                <c:pt idx="999">
                  <c:v>-6135.4986847350665</c:v>
                </c:pt>
              </c:numCache>
            </c:numRef>
          </c:xVal>
          <c:yVal>
            <c:numRef>
              <c:f>[0]!rngPSA.ScatterPair.Costs</c:f>
              <c:numCache>
                <c:formatCode>"£"#,##0.00</c:formatCode>
                <c:ptCount val="1000"/>
                <c:pt idx="0">
                  <c:v>45142105.452131391</c:v>
                </c:pt>
                <c:pt idx="1">
                  <c:v>27810082.317612607</c:v>
                </c:pt>
                <c:pt idx="2">
                  <c:v>16211638.612541543</c:v>
                </c:pt>
                <c:pt idx="3">
                  <c:v>34220027.503995091</c:v>
                </c:pt>
                <c:pt idx="4">
                  <c:v>23993878.769540519</c:v>
                </c:pt>
                <c:pt idx="5">
                  <c:v>28892445.987412669</c:v>
                </c:pt>
                <c:pt idx="6">
                  <c:v>19206139.323500611</c:v>
                </c:pt>
                <c:pt idx="7">
                  <c:v>48295089.529413015</c:v>
                </c:pt>
                <c:pt idx="8">
                  <c:v>30176936.510240927</c:v>
                </c:pt>
                <c:pt idx="9">
                  <c:v>20973570.984158065</c:v>
                </c:pt>
                <c:pt idx="10">
                  <c:v>27248019.229219001</c:v>
                </c:pt>
                <c:pt idx="11">
                  <c:v>14869962.401851116</c:v>
                </c:pt>
                <c:pt idx="12">
                  <c:v>50827572.785095014</c:v>
                </c:pt>
                <c:pt idx="13">
                  <c:v>28690036.879044533</c:v>
                </c:pt>
                <c:pt idx="14">
                  <c:v>25456474.530610643</c:v>
                </c:pt>
                <c:pt idx="15">
                  <c:v>31645897.576933682</c:v>
                </c:pt>
                <c:pt idx="16">
                  <c:v>31291623.097820435</c:v>
                </c:pt>
                <c:pt idx="17">
                  <c:v>17675634.460154928</c:v>
                </c:pt>
                <c:pt idx="18">
                  <c:v>24562286.385111462</c:v>
                </c:pt>
                <c:pt idx="19">
                  <c:v>17836972.129455023</c:v>
                </c:pt>
                <c:pt idx="20">
                  <c:v>36373206.601690352</c:v>
                </c:pt>
                <c:pt idx="21">
                  <c:v>27550943.486803524</c:v>
                </c:pt>
                <c:pt idx="22">
                  <c:v>32410395.686533943</c:v>
                </c:pt>
                <c:pt idx="23">
                  <c:v>12234471.580737375</c:v>
                </c:pt>
                <c:pt idx="24">
                  <c:v>33014466.881378364</c:v>
                </c:pt>
                <c:pt idx="25">
                  <c:v>27516729.102734424</c:v>
                </c:pt>
                <c:pt idx="26">
                  <c:v>23518476.658055961</c:v>
                </c:pt>
                <c:pt idx="27">
                  <c:v>32477963.191213075</c:v>
                </c:pt>
                <c:pt idx="28">
                  <c:v>18596181.050279565</c:v>
                </c:pt>
                <c:pt idx="29">
                  <c:v>12869832.281258747</c:v>
                </c:pt>
                <c:pt idx="30">
                  <c:v>18397303.437306851</c:v>
                </c:pt>
                <c:pt idx="31">
                  <c:v>39497011.10931626</c:v>
                </c:pt>
                <c:pt idx="32">
                  <c:v>22391178.086840127</c:v>
                </c:pt>
                <c:pt idx="33">
                  <c:v>12698111.709124709</c:v>
                </c:pt>
                <c:pt idx="34">
                  <c:v>39122956.59117382</c:v>
                </c:pt>
                <c:pt idx="35">
                  <c:v>24108351.206123892</c:v>
                </c:pt>
                <c:pt idx="36">
                  <c:v>41668110.672002837</c:v>
                </c:pt>
                <c:pt idx="37">
                  <c:v>21037438.583100788</c:v>
                </c:pt>
                <c:pt idx="38">
                  <c:v>20277174.291485146</c:v>
                </c:pt>
                <c:pt idx="39">
                  <c:v>54810881.654334873</c:v>
                </c:pt>
                <c:pt idx="40">
                  <c:v>7284339.0986038558</c:v>
                </c:pt>
                <c:pt idx="41">
                  <c:v>33692770.559824109</c:v>
                </c:pt>
                <c:pt idx="42">
                  <c:v>27198777.246285409</c:v>
                </c:pt>
                <c:pt idx="43">
                  <c:v>38803915.939791262</c:v>
                </c:pt>
                <c:pt idx="44">
                  <c:v>46011637.535516582</c:v>
                </c:pt>
                <c:pt idx="45">
                  <c:v>46060092.960532807</c:v>
                </c:pt>
                <c:pt idx="46">
                  <c:v>45196369.457354866</c:v>
                </c:pt>
                <c:pt idx="47">
                  <c:v>23549623.051165696</c:v>
                </c:pt>
                <c:pt idx="48">
                  <c:v>12553916.026810121</c:v>
                </c:pt>
                <c:pt idx="49">
                  <c:v>48405190.36717812</c:v>
                </c:pt>
                <c:pt idx="50">
                  <c:v>30218988.675304256</c:v>
                </c:pt>
                <c:pt idx="51">
                  <c:v>24903049.550171513</c:v>
                </c:pt>
                <c:pt idx="52">
                  <c:v>95385413.415144339</c:v>
                </c:pt>
                <c:pt idx="53">
                  <c:v>60388190.684132971</c:v>
                </c:pt>
                <c:pt idx="54">
                  <c:v>32174041.53478016</c:v>
                </c:pt>
                <c:pt idx="55">
                  <c:v>20013435.194246717</c:v>
                </c:pt>
                <c:pt idx="56">
                  <c:v>7514333.3100612089</c:v>
                </c:pt>
                <c:pt idx="57">
                  <c:v>42589386.789905936</c:v>
                </c:pt>
                <c:pt idx="58">
                  <c:v>41644355.107339621</c:v>
                </c:pt>
                <c:pt idx="59">
                  <c:v>13210697.382591303</c:v>
                </c:pt>
                <c:pt idx="60">
                  <c:v>25036230.520664465</c:v>
                </c:pt>
                <c:pt idx="61">
                  <c:v>11812457.759732584</c:v>
                </c:pt>
                <c:pt idx="62">
                  <c:v>60036885.600216538</c:v>
                </c:pt>
                <c:pt idx="63">
                  <c:v>22586005.698339734</c:v>
                </c:pt>
                <c:pt idx="64">
                  <c:v>32850146.8398057</c:v>
                </c:pt>
                <c:pt idx="65">
                  <c:v>33988898.262231842</c:v>
                </c:pt>
                <c:pt idx="66">
                  <c:v>21821647.069148216</c:v>
                </c:pt>
                <c:pt idx="67">
                  <c:v>11323785.459308723</c:v>
                </c:pt>
                <c:pt idx="68">
                  <c:v>69636748.117221102</c:v>
                </c:pt>
                <c:pt idx="69">
                  <c:v>29187498.655613139</c:v>
                </c:pt>
                <c:pt idx="70">
                  <c:v>9546224.3911100607</c:v>
                </c:pt>
                <c:pt idx="71">
                  <c:v>14821359.888396934</c:v>
                </c:pt>
                <c:pt idx="72">
                  <c:v>73914653.763471678</c:v>
                </c:pt>
                <c:pt idx="73">
                  <c:v>36030698.535674147</c:v>
                </c:pt>
                <c:pt idx="74">
                  <c:v>20212203.527637683</c:v>
                </c:pt>
                <c:pt idx="75">
                  <c:v>15565841.725039627</c:v>
                </c:pt>
                <c:pt idx="76">
                  <c:v>15214281.368600544</c:v>
                </c:pt>
                <c:pt idx="77">
                  <c:v>24355213.516274214</c:v>
                </c:pt>
                <c:pt idx="78">
                  <c:v>43340741.447304152</c:v>
                </c:pt>
                <c:pt idx="79">
                  <c:v>52541080.646002874</c:v>
                </c:pt>
                <c:pt idx="80">
                  <c:v>58977693.1210908</c:v>
                </c:pt>
                <c:pt idx="81">
                  <c:v>17223799.432740916</c:v>
                </c:pt>
                <c:pt idx="82">
                  <c:v>30668533.25309151</c:v>
                </c:pt>
                <c:pt idx="83">
                  <c:v>40605548.350582689</c:v>
                </c:pt>
                <c:pt idx="84">
                  <c:v>12538499.536425535</c:v>
                </c:pt>
                <c:pt idx="85">
                  <c:v>58546614.365197919</c:v>
                </c:pt>
                <c:pt idx="86">
                  <c:v>17471978.432532504</c:v>
                </c:pt>
                <c:pt idx="87">
                  <c:v>13179934.812362252</c:v>
                </c:pt>
                <c:pt idx="88">
                  <c:v>32798766.359500501</c:v>
                </c:pt>
                <c:pt idx="89">
                  <c:v>20122359.009501155</c:v>
                </c:pt>
                <c:pt idx="90">
                  <c:v>28370227.421948943</c:v>
                </c:pt>
                <c:pt idx="91">
                  <c:v>51122907.573910445</c:v>
                </c:pt>
                <c:pt idx="92">
                  <c:v>12125738.292345472</c:v>
                </c:pt>
                <c:pt idx="93">
                  <c:v>40406573.120785356</c:v>
                </c:pt>
                <c:pt idx="94">
                  <c:v>22579032.828975502</c:v>
                </c:pt>
                <c:pt idx="95">
                  <c:v>42380344.590053864</c:v>
                </c:pt>
                <c:pt idx="96">
                  <c:v>23382448.933545794</c:v>
                </c:pt>
                <c:pt idx="97">
                  <c:v>19459681.877249382</c:v>
                </c:pt>
                <c:pt idx="98">
                  <c:v>29410359.645372201</c:v>
                </c:pt>
                <c:pt idx="99">
                  <c:v>52238535.868664406</c:v>
                </c:pt>
                <c:pt idx="100">
                  <c:v>24281293.513807707</c:v>
                </c:pt>
                <c:pt idx="101">
                  <c:v>46338129.40059685</c:v>
                </c:pt>
                <c:pt idx="102">
                  <c:v>31169967.165620551</c:v>
                </c:pt>
                <c:pt idx="103">
                  <c:v>37164437.924918167</c:v>
                </c:pt>
                <c:pt idx="104">
                  <c:v>4465635.2343028188</c:v>
                </c:pt>
                <c:pt idx="105">
                  <c:v>37022017.281865612</c:v>
                </c:pt>
                <c:pt idx="106">
                  <c:v>40256187.892397605</c:v>
                </c:pt>
                <c:pt idx="107">
                  <c:v>22769678.778211851</c:v>
                </c:pt>
                <c:pt idx="108">
                  <c:v>28236480.204711907</c:v>
                </c:pt>
                <c:pt idx="109">
                  <c:v>27448021.870428693</c:v>
                </c:pt>
                <c:pt idx="110">
                  <c:v>18182790.734172784</c:v>
                </c:pt>
                <c:pt idx="111">
                  <c:v>21841449.043732367</c:v>
                </c:pt>
                <c:pt idx="112">
                  <c:v>17971784.770288933</c:v>
                </c:pt>
                <c:pt idx="113">
                  <c:v>35930673.52756121</c:v>
                </c:pt>
                <c:pt idx="114">
                  <c:v>55575434.173598416</c:v>
                </c:pt>
                <c:pt idx="115">
                  <c:v>36251756.99565576</c:v>
                </c:pt>
                <c:pt idx="116">
                  <c:v>13611561.080429073</c:v>
                </c:pt>
                <c:pt idx="117">
                  <c:v>29395318.296144187</c:v>
                </c:pt>
                <c:pt idx="118">
                  <c:v>18347557.16311368</c:v>
                </c:pt>
                <c:pt idx="119">
                  <c:v>63198838.809088685</c:v>
                </c:pt>
                <c:pt idx="120">
                  <c:v>10045916.887185004</c:v>
                </c:pt>
                <c:pt idx="121">
                  <c:v>38200808.636596896</c:v>
                </c:pt>
                <c:pt idx="122">
                  <c:v>25660070.940430667</c:v>
                </c:pt>
                <c:pt idx="123">
                  <c:v>9694428.7284041047</c:v>
                </c:pt>
                <c:pt idx="124">
                  <c:v>22667178.870731015</c:v>
                </c:pt>
                <c:pt idx="125">
                  <c:v>30679570.725676347</c:v>
                </c:pt>
                <c:pt idx="126">
                  <c:v>53900678.681561299</c:v>
                </c:pt>
                <c:pt idx="127">
                  <c:v>31516144.507099278</c:v>
                </c:pt>
                <c:pt idx="128">
                  <c:v>17425285.041586626</c:v>
                </c:pt>
                <c:pt idx="129">
                  <c:v>46944528.550196849</c:v>
                </c:pt>
                <c:pt idx="130">
                  <c:v>68745744.681716666</c:v>
                </c:pt>
                <c:pt idx="131">
                  <c:v>37752287.725392178</c:v>
                </c:pt>
                <c:pt idx="132">
                  <c:v>13813120.270695532</c:v>
                </c:pt>
                <c:pt idx="133">
                  <c:v>9684474.0489998572</c:v>
                </c:pt>
                <c:pt idx="134">
                  <c:v>39787354.347625852</c:v>
                </c:pt>
                <c:pt idx="135">
                  <c:v>38801982.749848492</c:v>
                </c:pt>
                <c:pt idx="136">
                  <c:v>28375937.373726118</c:v>
                </c:pt>
                <c:pt idx="137">
                  <c:v>16188391.562938927</c:v>
                </c:pt>
                <c:pt idx="138">
                  <c:v>47282715.374330051</c:v>
                </c:pt>
                <c:pt idx="139">
                  <c:v>22478042.706328209</c:v>
                </c:pt>
                <c:pt idx="140">
                  <c:v>23521505.670159802</c:v>
                </c:pt>
                <c:pt idx="141">
                  <c:v>21485638.791970652</c:v>
                </c:pt>
                <c:pt idx="142">
                  <c:v>37564472.981426828</c:v>
                </c:pt>
                <c:pt idx="143">
                  <c:v>16738622.65025948</c:v>
                </c:pt>
                <c:pt idx="144">
                  <c:v>11548681.670877133</c:v>
                </c:pt>
                <c:pt idx="145">
                  <c:v>37139735.830991834</c:v>
                </c:pt>
                <c:pt idx="146">
                  <c:v>21033418.8994755</c:v>
                </c:pt>
                <c:pt idx="147">
                  <c:v>15472140.255755242</c:v>
                </c:pt>
                <c:pt idx="148">
                  <c:v>25053298.713239215</c:v>
                </c:pt>
                <c:pt idx="149">
                  <c:v>23660718.975819767</c:v>
                </c:pt>
                <c:pt idx="150">
                  <c:v>13104816.264699042</c:v>
                </c:pt>
                <c:pt idx="151">
                  <c:v>33215073.278772727</c:v>
                </c:pt>
                <c:pt idx="152">
                  <c:v>12509030.756998394</c:v>
                </c:pt>
                <c:pt idx="153">
                  <c:v>46250305.363024637</c:v>
                </c:pt>
                <c:pt idx="154">
                  <c:v>15065404.797705052</c:v>
                </c:pt>
                <c:pt idx="155">
                  <c:v>20259655.208929453</c:v>
                </c:pt>
                <c:pt idx="156">
                  <c:v>44534744.873932108</c:v>
                </c:pt>
                <c:pt idx="157">
                  <c:v>17043582.023942605</c:v>
                </c:pt>
                <c:pt idx="158">
                  <c:v>20829392.840074554</c:v>
                </c:pt>
                <c:pt idx="159">
                  <c:v>28478416.005759068</c:v>
                </c:pt>
                <c:pt idx="160">
                  <c:v>62448155.981321461</c:v>
                </c:pt>
                <c:pt idx="161">
                  <c:v>46097333.816435635</c:v>
                </c:pt>
                <c:pt idx="162">
                  <c:v>19631655.197126508</c:v>
                </c:pt>
                <c:pt idx="163">
                  <c:v>26635039.931635551</c:v>
                </c:pt>
                <c:pt idx="164">
                  <c:v>18328573.212768953</c:v>
                </c:pt>
                <c:pt idx="165">
                  <c:v>42193929.090570375</c:v>
                </c:pt>
                <c:pt idx="166">
                  <c:v>20089969.60518413</c:v>
                </c:pt>
                <c:pt idx="167">
                  <c:v>41103653.688199744</c:v>
                </c:pt>
                <c:pt idx="168">
                  <c:v>22954534.911121029</c:v>
                </c:pt>
                <c:pt idx="169">
                  <c:v>27888806.527406368</c:v>
                </c:pt>
                <c:pt idx="170">
                  <c:v>26381379.436653145</c:v>
                </c:pt>
                <c:pt idx="171">
                  <c:v>40044369.163237527</c:v>
                </c:pt>
                <c:pt idx="172">
                  <c:v>28316001.455713853</c:v>
                </c:pt>
                <c:pt idx="173">
                  <c:v>34295781.429298691</c:v>
                </c:pt>
                <c:pt idx="174">
                  <c:v>15309435.754083084</c:v>
                </c:pt>
                <c:pt idx="175">
                  <c:v>31762629.54478934</c:v>
                </c:pt>
                <c:pt idx="176">
                  <c:v>19428962.858092196</c:v>
                </c:pt>
                <c:pt idx="177">
                  <c:v>53519030.652915888</c:v>
                </c:pt>
                <c:pt idx="178">
                  <c:v>27746798.569420494</c:v>
                </c:pt>
                <c:pt idx="179">
                  <c:v>20510039.402738515</c:v>
                </c:pt>
                <c:pt idx="180">
                  <c:v>39801923.768879913</c:v>
                </c:pt>
                <c:pt idx="181">
                  <c:v>36906939.869771414</c:v>
                </c:pt>
                <c:pt idx="182">
                  <c:v>21511165.854659189</c:v>
                </c:pt>
                <c:pt idx="183">
                  <c:v>17706294.895348817</c:v>
                </c:pt>
                <c:pt idx="184">
                  <c:v>45886527.534326226</c:v>
                </c:pt>
                <c:pt idx="185">
                  <c:v>41331178.582724072</c:v>
                </c:pt>
                <c:pt idx="186">
                  <c:v>24094419.88632521</c:v>
                </c:pt>
                <c:pt idx="187">
                  <c:v>35889343.638713509</c:v>
                </c:pt>
                <c:pt idx="188">
                  <c:v>31922857.111842647</c:v>
                </c:pt>
                <c:pt idx="189">
                  <c:v>31966616.71193767</c:v>
                </c:pt>
                <c:pt idx="190">
                  <c:v>32820641.11160126</c:v>
                </c:pt>
                <c:pt idx="191">
                  <c:v>22529263.35295127</c:v>
                </c:pt>
                <c:pt idx="192">
                  <c:v>23828473.612736665</c:v>
                </c:pt>
                <c:pt idx="193">
                  <c:v>18623548.82643564</c:v>
                </c:pt>
                <c:pt idx="194">
                  <c:v>20687801.832622305</c:v>
                </c:pt>
                <c:pt idx="195">
                  <c:v>30616579.006680895</c:v>
                </c:pt>
                <c:pt idx="196">
                  <c:v>11618136.543371493</c:v>
                </c:pt>
                <c:pt idx="197">
                  <c:v>47184753.14260076</c:v>
                </c:pt>
                <c:pt idx="198">
                  <c:v>36466885.138250276</c:v>
                </c:pt>
                <c:pt idx="199">
                  <c:v>46408894.376357786</c:v>
                </c:pt>
                <c:pt idx="200">
                  <c:v>63345429.400544278</c:v>
                </c:pt>
                <c:pt idx="201">
                  <c:v>32857000.648811173</c:v>
                </c:pt>
                <c:pt idx="202">
                  <c:v>28329511.732283123</c:v>
                </c:pt>
                <c:pt idx="203">
                  <c:v>33326174.963394813</c:v>
                </c:pt>
                <c:pt idx="204">
                  <c:v>50323196.575642601</c:v>
                </c:pt>
                <c:pt idx="205">
                  <c:v>26452875.856017094</c:v>
                </c:pt>
                <c:pt idx="206">
                  <c:v>18106329.090756133</c:v>
                </c:pt>
                <c:pt idx="207">
                  <c:v>58705720.611287318</c:v>
                </c:pt>
                <c:pt idx="208">
                  <c:v>10204347.340956027</c:v>
                </c:pt>
                <c:pt idx="209">
                  <c:v>26573499.811195876</c:v>
                </c:pt>
                <c:pt idx="210">
                  <c:v>32906967.007069439</c:v>
                </c:pt>
                <c:pt idx="211">
                  <c:v>44405230.020533241</c:v>
                </c:pt>
                <c:pt idx="212">
                  <c:v>40942853.723867916</c:v>
                </c:pt>
                <c:pt idx="213">
                  <c:v>26924838.848983094</c:v>
                </c:pt>
                <c:pt idx="214">
                  <c:v>19399134.53698916</c:v>
                </c:pt>
                <c:pt idx="215">
                  <c:v>20859726.101182438</c:v>
                </c:pt>
                <c:pt idx="216">
                  <c:v>49058174.397474609</c:v>
                </c:pt>
                <c:pt idx="217">
                  <c:v>40732268.191446275</c:v>
                </c:pt>
                <c:pt idx="218">
                  <c:v>16177882.550599627</c:v>
                </c:pt>
                <c:pt idx="219">
                  <c:v>37511007.167659983</c:v>
                </c:pt>
                <c:pt idx="220">
                  <c:v>26888703.888905033</c:v>
                </c:pt>
                <c:pt idx="221">
                  <c:v>29920228.023429502</c:v>
                </c:pt>
                <c:pt idx="222">
                  <c:v>18556619.711635429</c:v>
                </c:pt>
                <c:pt idx="223">
                  <c:v>44107046.007748388</c:v>
                </c:pt>
                <c:pt idx="224">
                  <c:v>22251388.190524079</c:v>
                </c:pt>
                <c:pt idx="225">
                  <c:v>38597493.08765652</c:v>
                </c:pt>
                <c:pt idx="226">
                  <c:v>25704287.063759021</c:v>
                </c:pt>
                <c:pt idx="227">
                  <c:v>46077381.123244919</c:v>
                </c:pt>
                <c:pt idx="228">
                  <c:v>24747017.29740053</c:v>
                </c:pt>
                <c:pt idx="229">
                  <c:v>22765316.582993872</c:v>
                </c:pt>
                <c:pt idx="230">
                  <c:v>14714787.215391235</c:v>
                </c:pt>
                <c:pt idx="231">
                  <c:v>30281771.473104235</c:v>
                </c:pt>
                <c:pt idx="232">
                  <c:v>52313195.154190943</c:v>
                </c:pt>
                <c:pt idx="233">
                  <c:v>46176444.052227512</c:v>
                </c:pt>
                <c:pt idx="234">
                  <c:v>27282440.655486763</c:v>
                </c:pt>
                <c:pt idx="235">
                  <c:v>48772254.793270931</c:v>
                </c:pt>
                <c:pt idx="236">
                  <c:v>43572916.819762394</c:v>
                </c:pt>
                <c:pt idx="237">
                  <c:v>14801626.286264632</c:v>
                </c:pt>
                <c:pt idx="238">
                  <c:v>18729768.19885141</c:v>
                </c:pt>
                <c:pt idx="239">
                  <c:v>24530209.248521596</c:v>
                </c:pt>
                <c:pt idx="240">
                  <c:v>36019085.449764304</c:v>
                </c:pt>
                <c:pt idx="241">
                  <c:v>40062822.634011902</c:v>
                </c:pt>
                <c:pt idx="242">
                  <c:v>30837863.279850751</c:v>
                </c:pt>
                <c:pt idx="243">
                  <c:v>16490644.015561622</c:v>
                </c:pt>
                <c:pt idx="244">
                  <c:v>16528738.476052452</c:v>
                </c:pt>
                <c:pt idx="245">
                  <c:v>31628910.874777615</c:v>
                </c:pt>
                <c:pt idx="246">
                  <c:v>25390975.309299175</c:v>
                </c:pt>
                <c:pt idx="247">
                  <c:v>24247351.987138525</c:v>
                </c:pt>
                <c:pt idx="248">
                  <c:v>41724129.859078407</c:v>
                </c:pt>
                <c:pt idx="249">
                  <c:v>46766768.802860223</c:v>
                </c:pt>
                <c:pt idx="250">
                  <c:v>32433217.75835757</c:v>
                </c:pt>
                <c:pt idx="251">
                  <c:v>19461375.804206215</c:v>
                </c:pt>
                <c:pt idx="252">
                  <c:v>29433631.485769682</c:v>
                </c:pt>
                <c:pt idx="253">
                  <c:v>12786521.908523165</c:v>
                </c:pt>
                <c:pt idx="254">
                  <c:v>29528529.192432061</c:v>
                </c:pt>
                <c:pt idx="255">
                  <c:v>32614097.066900387</c:v>
                </c:pt>
                <c:pt idx="256">
                  <c:v>29779124.124251861</c:v>
                </c:pt>
                <c:pt idx="257">
                  <c:v>23968764.31782791</c:v>
                </c:pt>
                <c:pt idx="258">
                  <c:v>54127868.302149452</c:v>
                </c:pt>
                <c:pt idx="259">
                  <c:v>27318262.863689739</c:v>
                </c:pt>
                <c:pt idx="260">
                  <c:v>42569385.892571598</c:v>
                </c:pt>
                <c:pt idx="261">
                  <c:v>72994182.384024829</c:v>
                </c:pt>
                <c:pt idx="262">
                  <c:v>25799505.898304407</c:v>
                </c:pt>
                <c:pt idx="263">
                  <c:v>47651227.434119217</c:v>
                </c:pt>
                <c:pt idx="264">
                  <c:v>54779328.99552723</c:v>
                </c:pt>
                <c:pt idx="265">
                  <c:v>49391244.069729209</c:v>
                </c:pt>
                <c:pt idx="266">
                  <c:v>52438932.175910912</c:v>
                </c:pt>
                <c:pt idx="267">
                  <c:v>24634426.447758347</c:v>
                </c:pt>
                <c:pt idx="268">
                  <c:v>29917082.728367165</c:v>
                </c:pt>
                <c:pt idx="269">
                  <c:v>27062672.419992372</c:v>
                </c:pt>
                <c:pt idx="270">
                  <c:v>19983217.377036437</c:v>
                </c:pt>
                <c:pt idx="271">
                  <c:v>30703446.831497882</c:v>
                </c:pt>
                <c:pt idx="272">
                  <c:v>32102995.278090324</c:v>
                </c:pt>
                <c:pt idx="273">
                  <c:v>26825650.486150831</c:v>
                </c:pt>
                <c:pt idx="274">
                  <c:v>23267592.024872232</c:v>
                </c:pt>
                <c:pt idx="275">
                  <c:v>17516551.9094407</c:v>
                </c:pt>
                <c:pt idx="276">
                  <c:v>22928349.073849645</c:v>
                </c:pt>
                <c:pt idx="277">
                  <c:v>59920256.718705319</c:v>
                </c:pt>
                <c:pt idx="278">
                  <c:v>42549438.549155496</c:v>
                </c:pt>
                <c:pt idx="279">
                  <c:v>31258882.153154552</c:v>
                </c:pt>
                <c:pt idx="280">
                  <c:v>39394314.219836675</c:v>
                </c:pt>
                <c:pt idx="281">
                  <c:v>45322666.416763142</c:v>
                </c:pt>
                <c:pt idx="282">
                  <c:v>38572885.962486215</c:v>
                </c:pt>
                <c:pt idx="283">
                  <c:v>54370129.902643234</c:v>
                </c:pt>
                <c:pt idx="284">
                  <c:v>24929480.473547418</c:v>
                </c:pt>
                <c:pt idx="285">
                  <c:v>61951170.014938794</c:v>
                </c:pt>
                <c:pt idx="286">
                  <c:v>8259131.6335168649</c:v>
                </c:pt>
                <c:pt idx="287">
                  <c:v>11397615.539898403</c:v>
                </c:pt>
                <c:pt idx="288">
                  <c:v>39087288.914004229</c:v>
                </c:pt>
                <c:pt idx="289">
                  <c:v>21015004.481437977</c:v>
                </c:pt>
                <c:pt idx="290">
                  <c:v>28807893.873053245</c:v>
                </c:pt>
                <c:pt idx="291">
                  <c:v>30424008.311463013</c:v>
                </c:pt>
                <c:pt idx="292">
                  <c:v>29167891.284692954</c:v>
                </c:pt>
                <c:pt idx="293">
                  <c:v>33458393.289601211</c:v>
                </c:pt>
                <c:pt idx="294">
                  <c:v>69599652.109610021</c:v>
                </c:pt>
                <c:pt idx="295">
                  <c:v>37638904.515908562</c:v>
                </c:pt>
                <c:pt idx="296">
                  <c:v>16100524.006609617</c:v>
                </c:pt>
                <c:pt idx="297">
                  <c:v>14700081.960121863</c:v>
                </c:pt>
                <c:pt idx="298">
                  <c:v>40169823.093613461</c:v>
                </c:pt>
                <c:pt idx="299">
                  <c:v>24636664.102233108</c:v>
                </c:pt>
                <c:pt idx="300">
                  <c:v>18476392.038908377</c:v>
                </c:pt>
                <c:pt idx="301">
                  <c:v>16856099.565317214</c:v>
                </c:pt>
                <c:pt idx="302">
                  <c:v>11304010.197447693</c:v>
                </c:pt>
                <c:pt idx="303">
                  <c:v>18634379.220767252</c:v>
                </c:pt>
                <c:pt idx="304">
                  <c:v>47435155.581177726</c:v>
                </c:pt>
                <c:pt idx="305">
                  <c:v>22575955.930084456</c:v>
                </c:pt>
                <c:pt idx="306">
                  <c:v>11210796.317380516</c:v>
                </c:pt>
                <c:pt idx="307">
                  <c:v>22743971.149305001</c:v>
                </c:pt>
                <c:pt idx="308">
                  <c:v>16366530.125823939</c:v>
                </c:pt>
                <c:pt idx="309">
                  <c:v>18098119.993158072</c:v>
                </c:pt>
                <c:pt idx="310">
                  <c:v>25510863.624863636</c:v>
                </c:pt>
                <c:pt idx="311">
                  <c:v>23517829.149725873</c:v>
                </c:pt>
                <c:pt idx="312">
                  <c:v>40090596.517418191</c:v>
                </c:pt>
                <c:pt idx="313">
                  <c:v>19051796.366905969</c:v>
                </c:pt>
                <c:pt idx="314">
                  <c:v>23407319.498325899</c:v>
                </c:pt>
                <c:pt idx="315">
                  <c:v>21956312.906613093</c:v>
                </c:pt>
                <c:pt idx="316">
                  <c:v>12921422.116047166</c:v>
                </c:pt>
                <c:pt idx="317">
                  <c:v>21248946.629625358</c:v>
                </c:pt>
                <c:pt idx="318">
                  <c:v>34919572.418198973</c:v>
                </c:pt>
                <c:pt idx="319">
                  <c:v>38167463.304511651</c:v>
                </c:pt>
                <c:pt idx="320">
                  <c:v>29876095.587776892</c:v>
                </c:pt>
                <c:pt idx="321">
                  <c:v>37646941.37532334</c:v>
                </c:pt>
                <c:pt idx="322">
                  <c:v>72555620.437312961</c:v>
                </c:pt>
                <c:pt idx="323">
                  <c:v>45185498.547851533</c:v>
                </c:pt>
                <c:pt idx="324">
                  <c:v>24802320.033646837</c:v>
                </c:pt>
                <c:pt idx="325">
                  <c:v>32125611.636617761</c:v>
                </c:pt>
                <c:pt idx="326">
                  <c:v>12609091.50612174</c:v>
                </c:pt>
                <c:pt idx="327">
                  <c:v>24841781.451405648</c:v>
                </c:pt>
                <c:pt idx="328">
                  <c:v>21404837.94258479</c:v>
                </c:pt>
                <c:pt idx="329">
                  <c:v>8101558.2144165896</c:v>
                </c:pt>
                <c:pt idx="330">
                  <c:v>16737983.209058357</c:v>
                </c:pt>
                <c:pt idx="331">
                  <c:v>27981153.973453037</c:v>
                </c:pt>
                <c:pt idx="332">
                  <c:v>45791291.328950979</c:v>
                </c:pt>
                <c:pt idx="333">
                  <c:v>14243386.667488143</c:v>
                </c:pt>
                <c:pt idx="334">
                  <c:v>20692462.279188052</c:v>
                </c:pt>
                <c:pt idx="335">
                  <c:v>19594912.255594857</c:v>
                </c:pt>
                <c:pt idx="336">
                  <c:v>46210292.480061047</c:v>
                </c:pt>
                <c:pt idx="337">
                  <c:v>29685454.215930637</c:v>
                </c:pt>
                <c:pt idx="338">
                  <c:v>24843175.399789698</c:v>
                </c:pt>
                <c:pt idx="339">
                  <c:v>31957980.169159103</c:v>
                </c:pt>
                <c:pt idx="340">
                  <c:v>93852790.869853675</c:v>
                </c:pt>
                <c:pt idx="341">
                  <c:v>10896021.407404717</c:v>
                </c:pt>
                <c:pt idx="342">
                  <c:v>30161601.940970019</c:v>
                </c:pt>
                <c:pt idx="343">
                  <c:v>23098251.843570486</c:v>
                </c:pt>
                <c:pt idx="344">
                  <c:v>32873167.292512912</c:v>
                </c:pt>
                <c:pt idx="345">
                  <c:v>28029644.076004252</c:v>
                </c:pt>
                <c:pt idx="346">
                  <c:v>24668711.273751337</c:v>
                </c:pt>
                <c:pt idx="347">
                  <c:v>38889993.702113822</c:v>
                </c:pt>
                <c:pt idx="348">
                  <c:v>20169095.867927469</c:v>
                </c:pt>
                <c:pt idx="349">
                  <c:v>20756442.534446191</c:v>
                </c:pt>
                <c:pt idx="350">
                  <c:v>19143115.538222875</c:v>
                </c:pt>
                <c:pt idx="351">
                  <c:v>28672818.656779289</c:v>
                </c:pt>
                <c:pt idx="352">
                  <c:v>37049494.631054461</c:v>
                </c:pt>
                <c:pt idx="353">
                  <c:v>21826970.205599837</c:v>
                </c:pt>
                <c:pt idx="354">
                  <c:v>16595485.926016955</c:v>
                </c:pt>
                <c:pt idx="355">
                  <c:v>32741880.254938126</c:v>
                </c:pt>
                <c:pt idx="356">
                  <c:v>4293904.4755816311</c:v>
                </c:pt>
                <c:pt idx="357">
                  <c:v>51640161.10056071</c:v>
                </c:pt>
                <c:pt idx="358">
                  <c:v>45541420.007547051</c:v>
                </c:pt>
                <c:pt idx="359">
                  <c:v>26818418.338225916</c:v>
                </c:pt>
                <c:pt idx="360">
                  <c:v>13194460.749481903</c:v>
                </c:pt>
                <c:pt idx="361">
                  <c:v>37826649.748881601</c:v>
                </c:pt>
                <c:pt idx="362">
                  <c:v>37104136.213497378</c:v>
                </c:pt>
                <c:pt idx="363">
                  <c:v>22380943.257214788</c:v>
                </c:pt>
                <c:pt idx="364">
                  <c:v>17804987.273146942</c:v>
                </c:pt>
                <c:pt idx="365">
                  <c:v>69461963.561399564</c:v>
                </c:pt>
                <c:pt idx="366">
                  <c:v>21655733.47467209</c:v>
                </c:pt>
                <c:pt idx="367">
                  <c:v>20114389.805798229</c:v>
                </c:pt>
                <c:pt idx="368">
                  <c:v>7397568.789886971</c:v>
                </c:pt>
                <c:pt idx="369">
                  <c:v>32971178.996475298</c:v>
                </c:pt>
                <c:pt idx="370">
                  <c:v>68036841.85767296</c:v>
                </c:pt>
                <c:pt idx="371">
                  <c:v>23038098.796949252</c:v>
                </c:pt>
                <c:pt idx="372">
                  <c:v>18001479.299980525</c:v>
                </c:pt>
                <c:pt idx="373">
                  <c:v>21567171.736310709</c:v>
                </c:pt>
                <c:pt idx="374">
                  <c:v>30872007.969175484</c:v>
                </c:pt>
                <c:pt idx="375">
                  <c:v>26760738.08524923</c:v>
                </c:pt>
                <c:pt idx="376">
                  <c:v>35717939.90186245</c:v>
                </c:pt>
                <c:pt idx="377">
                  <c:v>12930614.296304209</c:v>
                </c:pt>
                <c:pt idx="378">
                  <c:v>27075245.904553875</c:v>
                </c:pt>
                <c:pt idx="379">
                  <c:v>36012262.649859227</c:v>
                </c:pt>
                <c:pt idx="380">
                  <c:v>33779537.023327298</c:v>
                </c:pt>
                <c:pt idx="381">
                  <c:v>28969893.7448465</c:v>
                </c:pt>
                <c:pt idx="382">
                  <c:v>155106920.45974052</c:v>
                </c:pt>
                <c:pt idx="383">
                  <c:v>46525199.542725861</c:v>
                </c:pt>
                <c:pt idx="384">
                  <c:v>28705712.483109571</c:v>
                </c:pt>
                <c:pt idx="385">
                  <c:v>34274135.966839105</c:v>
                </c:pt>
                <c:pt idx="386">
                  <c:v>48374003.388744876</c:v>
                </c:pt>
                <c:pt idx="387">
                  <c:v>27778322.946763985</c:v>
                </c:pt>
                <c:pt idx="388">
                  <c:v>45933611.367406704</c:v>
                </c:pt>
                <c:pt idx="389">
                  <c:v>30648991.278557263</c:v>
                </c:pt>
                <c:pt idx="390">
                  <c:v>41936449.495457202</c:v>
                </c:pt>
                <c:pt idx="391">
                  <c:v>25573300.688530821</c:v>
                </c:pt>
                <c:pt idx="392">
                  <c:v>14401316.67990534</c:v>
                </c:pt>
                <c:pt idx="393">
                  <c:v>11386865.350737866</c:v>
                </c:pt>
                <c:pt idx="394">
                  <c:v>13901377.155394938</c:v>
                </c:pt>
                <c:pt idx="395">
                  <c:v>20500455.46801411</c:v>
                </c:pt>
                <c:pt idx="396">
                  <c:v>32887642.050225876</c:v>
                </c:pt>
                <c:pt idx="397">
                  <c:v>22155204.754143756</c:v>
                </c:pt>
                <c:pt idx="398">
                  <c:v>25640657.572692413</c:v>
                </c:pt>
                <c:pt idx="399">
                  <c:v>28224731.11495892</c:v>
                </c:pt>
                <c:pt idx="400">
                  <c:v>27256148.30631306</c:v>
                </c:pt>
                <c:pt idx="401">
                  <c:v>21208876.528761566</c:v>
                </c:pt>
                <c:pt idx="402">
                  <c:v>73049682.532287806</c:v>
                </c:pt>
                <c:pt idx="403">
                  <c:v>34301579.679675303</c:v>
                </c:pt>
                <c:pt idx="404">
                  <c:v>7560339.1560065793</c:v>
                </c:pt>
                <c:pt idx="405">
                  <c:v>30026652.477779839</c:v>
                </c:pt>
                <c:pt idx="406">
                  <c:v>23363993.730351549</c:v>
                </c:pt>
                <c:pt idx="407">
                  <c:v>31025422.190837398</c:v>
                </c:pt>
                <c:pt idx="408">
                  <c:v>47721019.740309596</c:v>
                </c:pt>
                <c:pt idx="409">
                  <c:v>20792907.099957459</c:v>
                </c:pt>
                <c:pt idx="410">
                  <c:v>33393546.070869267</c:v>
                </c:pt>
                <c:pt idx="411">
                  <c:v>9261758.1550598629</c:v>
                </c:pt>
                <c:pt idx="412">
                  <c:v>28905262.205153339</c:v>
                </c:pt>
                <c:pt idx="413">
                  <c:v>33285484.179314751</c:v>
                </c:pt>
                <c:pt idx="414">
                  <c:v>24140762.225336235</c:v>
                </c:pt>
                <c:pt idx="415">
                  <c:v>23584851.600160774</c:v>
                </c:pt>
                <c:pt idx="416">
                  <c:v>59672229.138278402</c:v>
                </c:pt>
                <c:pt idx="417">
                  <c:v>23979018.812700763</c:v>
                </c:pt>
                <c:pt idx="418">
                  <c:v>92680954.928836346</c:v>
                </c:pt>
                <c:pt idx="419">
                  <c:v>26880099.647851013</c:v>
                </c:pt>
                <c:pt idx="420">
                  <c:v>25890460.092164256</c:v>
                </c:pt>
                <c:pt idx="421">
                  <c:v>10624812.103775164</c:v>
                </c:pt>
                <c:pt idx="422">
                  <c:v>33415193.115706299</c:v>
                </c:pt>
                <c:pt idx="423">
                  <c:v>13638333.638519291</c:v>
                </c:pt>
                <c:pt idx="424">
                  <c:v>17375797.551986866</c:v>
                </c:pt>
                <c:pt idx="425">
                  <c:v>36805208.830888361</c:v>
                </c:pt>
                <c:pt idx="426">
                  <c:v>19848704.055118255</c:v>
                </c:pt>
                <c:pt idx="427">
                  <c:v>42112369.14786052</c:v>
                </c:pt>
                <c:pt idx="428">
                  <c:v>36579210.6107843</c:v>
                </c:pt>
                <c:pt idx="429">
                  <c:v>58788692.236923419</c:v>
                </c:pt>
                <c:pt idx="430">
                  <c:v>17922162.862978853</c:v>
                </c:pt>
                <c:pt idx="431">
                  <c:v>26364368.468016203</c:v>
                </c:pt>
                <c:pt idx="432">
                  <c:v>16540078.582589826</c:v>
                </c:pt>
                <c:pt idx="433">
                  <c:v>32915420.974740393</c:v>
                </c:pt>
                <c:pt idx="434">
                  <c:v>18119922.912404619</c:v>
                </c:pt>
                <c:pt idx="435">
                  <c:v>14626179.114315452</c:v>
                </c:pt>
                <c:pt idx="436">
                  <c:v>23811202.923618585</c:v>
                </c:pt>
                <c:pt idx="437">
                  <c:v>20760098.422851779</c:v>
                </c:pt>
                <c:pt idx="438">
                  <c:v>23291792.108887669</c:v>
                </c:pt>
                <c:pt idx="439">
                  <c:v>35042849.987397119</c:v>
                </c:pt>
                <c:pt idx="440">
                  <c:v>21465582.016208924</c:v>
                </c:pt>
                <c:pt idx="441">
                  <c:v>8930725.651723817</c:v>
                </c:pt>
                <c:pt idx="442">
                  <c:v>35677100.879445463</c:v>
                </c:pt>
                <c:pt idx="443">
                  <c:v>44833877.938809663</c:v>
                </c:pt>
                <c:pt idx="444">
                  <c:v>59165239.261813879</c:v>
                </c:pt>
                <c:pt idx="445">
                  <c:v>12783317.768961538</c:v>
                </c:pt>
                <c:pt idx="446">
                  <c:v>42131357.207800142</c:v>
                </c:pt>
                <c:pt idx="447">
                  <c:v>37600512.391199879</c:v>
                </c:pt>
                <c:pt idx="448">
                  <c:v>40799680.772691116</c:v>
                </c:pt>
                <c:pt idx="449">
                  <c:v>17444410.493890416</c:v>
                </c:pt>
                <c:pt idx="450">
                  <c:v>12390935.052463025</c:v>
                </c:pt>
                <c:pt idx="451">
                  <c:v>32442180.840533577</c:v>
                </c:pt>
                <c:pt idx="452">
                  <c:v>38143611.277800158</c:v>
                </c:pt>
                <c:pt idx="453">
                  <c:v>60452352.32970047</c:v>
                </c:pt>
                <c:pt idx="454">
                  <c:v>17454504.451163679</c:v>
                </c:pt>
                <c:pt idx="455">
                  <c:v>50296398.00408829</c:v>
                </c:pt>
                <c:pt idx="456">
                  <c:v>16185225.313599123</c:v>
                </c:pt>
                <c:pt idx="457">
                  <c:v>38934738.520396195</c:v>
                </c:pt>
                <c:pt idx="458">
                  <c:v>26815237.538275488</c:v>
                </c:pt>
                <c:pt idx="459">
                  <c:v>49818500.020170733</c:v>
                </c:pt>
                <c:pt idx="460">
                  <c:v>36347092.666435279</c:v>
                </c:pt>
                <c:pt idx="461">
                  <c:v>24083782.429811116</c:v>
                </c:pt>
                <c:pt idx="462">
                  <c:v>36407035.066933818</c:v>
                </c:pt>
                <c:pt idx="463">
                  <c:v>45558341.405068092</c:v>
                </c:pt>
                <c:pt idx="464">
                  <c:v>52552846.322433189</c:v>
                </c:pt>
                <c:pt idx="465">
                  <c:v>27704911.253755033</c:v>
                </c:pt>
                <c:pt idx="466">
                  <c:v>54830121.570247464</c:v>
                </c:pt>
                <c:pt idx="467">
                  <c:v>20311672.40050767</c:v>
                </c:pt>
                <c:pt idx="468">
                  <c:v>36105896.464022011</c:v>
                </c:pt>
                <c:pt idx="469">
                  <c:v>41015279.693386436</c:v>
                </c:pt>
                <c:pt idx="470">
                  <c:v>40474247.85700573</c:v>
                </c:pt>
                <c:pt idx="471">
                  <c:v>21359001.286678642</c:v>
                </c:pt>
                <c:pt idx="472">
                  <c:v>27012331.972993426</c:v>
                </c:pt>
                <c:pt idx="473">
                  <c:v>56451015.753285855</c:v>
                </c:pt>
                <c:pt idx="474">
                  <c:v>32948039.342755146</c:v>
                </c:pt>
                <c:pt idx="475">
                  <c:v>38107436.261297785</c:v>
                </c:pt>
                <c:pt idx="476">
                  <c:v>48400144.972376503</c:v>
                </c:pt>
                <c:pt idx="477">
                  <c:v>25086428.602072444</c:v>
                </c:pt>
                <c:pt idx="478">
                  <c:v>56942743.576393224</c:v>
                </c:pt>
                <c:pt idx="479">
                  <c:v>19171282.710700288</c:v>
                </c:pt>
                <c:pt idx="480">
                  <c:v>34682339.905342147</c:v>
                </c:pt>
                <c:pt idx="481">
                  <c:v>27223321.76352926</c:v>
                </c:pt>
                <c:pt idx="482">
                  <c:v>17008280.829967178</c:v>
                </c:pt>
                <c:pt idx="483">
                  <c:v>43074432.494887844</c:v>
                </c:pt>
                <c:pt idx="484">
                  <c:v>22160494.379131638</c:v>
                </c:pt>
                <c:pt idx="485">
                  <c:v>52872463.716351688</c:v>
                </c:pt>
                <c:pt idx="486">
                  <c:v>15217437.609847141</c:v>
                </c:pt>
                <c:pt idx="487">
                  <c:v>34268104.663779296</c:v>
                </c:pt>
                <c:pt idx="488">
                  <c:v>34613373.378822654</c:v>
                </c:pt>
                <c:pt idx="489">
                  <c:v>24608783.984328929</c:v>
                </c:pt>
                <c:pt idx="490">
                  <c:v>59395163.878010504</c:v>
                </c:pt>
                <c:pt idx="491">
                  <c:v>28268418.152694061</c:v>
                </c:pt>
                <c:pt idx="492">
                  <c:v>31772353.864808667</c:v>
                </c:pt>
                <c:pt idx="493">
                  <c:v>63111798.60091982</c:v>
                </c:pt>
                <c:pt idx="494">
                  <c:v>35643988.483385533</c:v>
                </c:pt>
                <c:pt idx="495">
                  <c:v>15312751.655994851</c:v>
                </c:pt>
                <c:pt idx="496">
                  <c:v>32389620.852524012</c:v>
                </c:pt>
                <c:pt idx="497">
                  <c:v>41912629.874448165</c:v>
                </c:pt>
                <c:pt idx="498">
                  <c:v>35082659.096506648</c:v>
                </c:pt>
                <c:pt idx="499">
                  <c:v>42309053.551885366</c:v>
                </c:pt>
                <c:pt idx="500">
                  <c:v>36054130.150290355</c:v>
                </c:pt>
                <c:pt idx="501">
                  <c:v>29682940.201658327</c:v>
                </c:pt>
                <c:pt idx="502">
                  <c:v>21461820.292583231</c:v>
                </c:pt>
                <c:pt idx="503">
                  <c:v>25618507.681153886</c:v>
                </c:pt>
                <c:pt idx="504">
                  <c:v>26012218.604904424</c:v>
                </c:pt>
                <c:pt idx="505">
                  <c:v>41689485.936256737</c:v>
                </c:pt>
                <c:pt idx="506">
                  <c:v>27978591.787224729</c:v>
                </c:pt>
                <c:pt idx="507">
                  <c:v>45714006.684799835</c:v>
                </c:pt>
                <c:pt idx="508">
                  <c:v>43783936.039716288</c:v>
                </c:pt>
                <c:pt idx="509">
                  <c:v>30657054.503153827</c:v>
                </c:pt>
                <c:pt idx="510">
                  <c:v>17793844.95456019</c:v>
                </c:pt>
                <c:pt idx="511">
                  <c:v>32266211.166888919</c:v>
                </c:pt>
                <c:pt idx="512">
                  <c:v>42072851.448763154</c:v>
                </c:pt>
                <c:pt idx="513">
                  <c:v>37237820.222067855</c:v>
                </c:pt>
                <c:pt idx="514">
                  <c:v>60000302.279261611</c:v>
                </c:pt>
                <c:pt idx="515">
                  <c:v>16644306.171855561</c:v>
                </c:pt>
                <c:pt idx="516">
                  <c:v>11618330.772620603</c:v>
                </c:pt>
                <c:pt idx="517">
                  <c:v>49148964.645106077</c:v>
                </c:pt>
                <c:pt idx="518">
                  <c:v>42935258.511945575</c:v>
                </c:pt>
                <c:pt idx="519">
                  <c:v>24556752.955450229</c:v>
                </c:pt>
                <c:pt idx="520">
                  <c:v>21892136.511507291</c:v>
                </c:pt>
                <c:pt idx="521">
                  <c:v>7145360.20794769</c:v>
                </c:pt>
                <c:pt idx="522">
                  <c:v>15347099.400758797</c:v>
                </c:pt>
                <c:pt idx="523">
                  <c:v>23522204.52135608</c:v>
                </c:pt>
                <c:pt idx="524">
                  <c:v>35453506.770525098</c:v>
                </c:pt>
                <c:pt idx="525">
                  <c:v>21358298.773186531</c:v>
                </c:pt>
                <c:pt idx="526">
                  <c:v>24672962.846200045</c:v>
                </c:pt>
                <c:pt idx="527">
                  <c:v>20264287.272489574</c:v>
                </c:pt>
                <c:pt idx="528">
                  <c:v>38042657.083895355</c:v>
                </c:pt>
                <c:pt idx="529">
                  <c:v>11301893.805310763</c:v>
                </c:pt>
                <c:pt idx="530">
                  <c:v>20134286.039865237</c:v>
                </c:pt>
                <c:pt idx="531">
                  <c:v>20924690.541868657</c:v>
                </c:pt>
                <c:pt idx="532">
                  <c:v>16330394.743292846</c:v>
                </c:pt>
                <c:pt idx="533">
                  <c:v>40069361.556218967</c:v>
                </c:pt>
                <c:pt idx="534">
                  <c:v>38451093.969487183</c:v>
                </c:pt>
                <c:pt idx="535">
                  <c:v>44262823.14637392</c:v>
                </c:pt>
                <c:pt idx="536">
                  <c:v>12690059.282662876</c:v>
                </c:pt>
                <c:pt idx="537">
                  <c:v>21371366.057387102</c:v>
                </c:pt>
                <c:pt idx="538">
                  <c:v>39781260.03630431</c:v>
                </c:pt>
                <c:pt idx="539">
                  <c:v>37261642.498567022</c:v>
                </c:pt>
                <c:pt idx="540">
                  <c:v>28648848.702203378</c:v>
                </c:pt>
                <c:pt idx="541">
                  <c:v>15151313.933583122</c:v>
                </c:pt>
                <c:pt idx="542">
                  <c:v>55699603.32011354</c:v>
                </c:pt>
                <c:pt idx="543">
                  <c:v>52024330.002477653</c:v>
                </c:pt>
                <c:pt idx="544">
                  <c:v>25407394.601782039</c:v>
                </c:pt>
                <c:pt idx="545">
                  <c:v>30603389.456576325</c:v>
                </c:pt>
                <c:pt idx="546">
                  <c:v>19718182.934826382</c:v>
                </c:pt>
                <c:pt idx="547">
                  <c:v>17768852.664697118</c:v>
                </c:pt>
                <c:pt idx="548">
                  <c:v>32177502.505358785</c:v>
                </c:pt>
                <c:pt idx="549">
                  <c:v>22000438.080471568</c:v>
                </c:pt>
                <c:pt idx="550">
                  <c:v>33816156.782732569</c:v>
                </c:pt>
                <c:pt idx="551">
                  <c:v>50139360.4323356</c:v>
                </c:pt>
                <c:pt idx="552">
                  <c:v>27957282.489279054</c:v>
                </c:pt>
                <c:pt idx="553">
                  <c:v>24236268.677055623</c:v>
                </c:pt>
                <c:pt idx="554">
                  <c:v>54112736.793552175</c:v>
                </c:pt>
                <c:pt idx="555">
                  <c:v>16190373.861026278</c:v>
                </c:pt>
                <c:pt idx="556">
                  <c:v>24342870.573741429</c:v>
                </c:pt>
                <c:pt idx="557">
                  <c:v>25691382.427061893</c:v>
                </c:pt>
                <c:pt idx="558">
                  <c:v>56495464.37840353</c:v>
                </c:pt>
                <c:pt idx="559">
                  <c:v>20635610.027314965</c:v>
                </c:pt>
                <c:pt idx="560">
                  <c:v>20849497.940578904</c:v>
                </c:pt>
                <c:pt idx="561">
                  <c:v>51756521.298805013</c:v>
                </c:pt>
                <c:pt idx="562">
                  <c:v>27916487.294650659</c:v>
                </c:pt>
                <c:pt idx="563">
                  <c:v>11167054.313392285</c:v>
                </c:pt>
                <c:pt idx="564">
                  <c:v>20650297.88889521</c:v>
                </c:pt>
                <c:pt idx="565">
                  <c:v>14118884.456601866</c:v>
                </c:pt>
                <c:pt idx="566">
                  <c:v>28158517.004936621</c:v>
                </c:pt>
                <c:pt idx="567">
                  <c:v>21153459.910155017</c:v>
                </c:pt>
                <c:pt idx="568">
                  <c:v>9430127.9645508919</c:v>
                </c:pt>
                <c:pt idx="569">
                  <c:v>22046269.251491845</c:v>
                </c:pt>
                <c:pt idx="570">
                  <c:v>21822069.069622111</c:v>
                </c:pt>
                <c:pt idx="571">
                  <c:v>26200336.82224993</c:v>
                </c:pt>
                <c:pt idx="572">
                  <c:v>13852858.406834267</c:v>
                </c:pt>
                <c:pt idx="573">
                  <c:v>48262538.486115247</c:v>
                </c:pt>
                <c:pt idx="574">
                  <c:v>43857988.090864509</c:v>
                </c:pt>
                <c:pt idx="575">
                  <c:v>7263617.5985061144</c:v>
                </c:pt>
                <c:pt idx="576">
                  <c:v>31033870.240457848</c:v>
                </c:pt>
                <c:pt idx="577">
                  <c:v>18859700.282510273</c:v>
                </c:pt>
                <c:pt idx="578">
                  <c:v>34101161.764840737</c:v>
                </c:pt>
                <c:pt idx="579">
                  <c:v>11645687.820165658</c:v>
                </c:pt>
                <c:pt idx="580">
                  <c:v>37724648.389015935</c:v>
                </c:pt>
                <c:pt idx="581">
                  <c:v>27798188.31168817</c:v>
                </c:pt>
                <c:pt idx="582">
                  <c:v>25658905.520890933</c:v>
                </c:pt>
                <c:pt idx="583">
                  <c:v>29324488.137152258</c:v>
                </c:pt>
                <c:pt idx="584">
                  <c:v>26838581.599275783</c:v>
                </c:pt>
                <c:pt idx="585">
                  <c:v>18009377.238256816</c:v>
                </c:pt>
                <c:pt idx="586">
                  <c:v>35546372.129741251</c:v>
                </c:pt>
                <c:pt idx="587">
                  <c:v>22111673.023488369</c:v>
                </c:pt>
                <c:pt idx="588">
                  <c:v>8978882.8729353454</c:v>
                </c:pt>
                <c:pt idx="589">
                  <c:v>9719102.9107925631</c:v>
                </c:pt>
                <c:pt idx="590">
                  <c:v>34977795.980052285</c:v>
                </c:pt>
                <c:pt idx="591">
                  <c:v>74315459.202216744</c:v>
                </c:pt>
                <c:pt idx="592">
                  <c:v>29046851.629701369</c:v>
                </c:pt>
                <c:pt idx="593">
                  <c:v>30718244.360340588</c:v>
                </c:pt>
                <c:pt idx="594">
                  <c:v>36638668.254712105</c:v>
                </c:pt>
                <c:pt idx="595">
                  <c:v>20012339.414881125</c:v>
                </c:pt>
                <c:pt idx="596">
                  <c:v>22342002.521733448</c:v>
                </c:pt>
                <c:pt idx="597">
                  <c:v>9616591.2084337268</c:v>
                </c:pt>
                <c:pt idx="598">
                  <c:v>39859993.793389827</c:v>
                </c:pt>
                <c:pt idx="599">
                  <c:v>33388421.649304636</c:v>
                </c:pt>
                <c:pt idx="600">
                  <c:v>15755383.164429465</c:v>
                </c:pt>
                <c:pt idx="601">
                  <c:v>34120881.870060138</c:v>
                </c:pt>
                <c:pt idx="602">
                  <c:v>45668172.743827879</c:v>
                </c:pt>
                <c:pt idx="603">
                  <c:v>4535230.9490264356</c:v>
                </c:pt>
                <c:pt idx="604">
                  <c:v>37779310.88565772</c:v>
                </c:pt>
                <c:pt idx="605">
                  <c:v>28885272.945974413</c:v>
                </c:pt>
                <c:pt idx="606">
                  <c:v>56985028.924653456</c:v>
                </c:pt>
                <c:pt idx="607">
                  <c:v>26021256.476137366</c:v>
                </c:pt>
                <c:pt idx="608">
                  <c:v>31781278.359726746</c:v>
                </c:pt>
                <c:pt idx="609">
                  <c:v>73776383.616014004</c:v>
                </c:pt>
                <c:pt idx="610">
                  <c:v>28325270.365305535</c:v>
                </c:pt>
                <c:pt idx="611">
                  <c:v>32136672.614822034</c:v>
                </c:pt>
                <c:pt idx="612">
                  <c:v>15207684.645588027</c:v>
                </c:pt>
                <c:pt idx="613">
                  <c:v>29853828.649822954</c:v>
                </c:pt>
                <c:pt idx="614">
                  <c:v>13470910.118196482</c:v>
                </c:pt>
                <c:pt idx="615">
                  <c:v>22621003.709977351</c:v>
                </c:pt>
                <c:pt idx="616">
                  <c:v>24544228.683489971</c:v>
                </c:pt>
                <c:pt idx="617">
                  <c:v>26851964.280830253</c:v>
                </c:pt>
                <c:pt idx="618">
                  <c:v>12508771.521732885</c:v>
                </c:pt>
                <c:pt idx="619">
                  <c:v>24931528.286860444</c:v>
                </c:pt>
                <c:pt idx="620">
                  <c:v>21094623.913182925</c:v>
                </c:pt>
                <c:pt idx="621">
                  <c:v>36977971.150888219</c:v>
                </c:pt>
                <c:pt idx="622">
                  <c:v>30800343.949735668</c:v>
                </c:pt>
                <c:pt idx="623">
                  <c:v>19810557.671458393</c:v>
                </c:pt>
                <c:pt idx="624">
                  <c:v>40120576.196406774</c:v>
                </c:pt>
                <c:pt idx="625">
                  <c:v>41731337.87496601</c:v>
                </c:pt>
                <c:pt idx="626">
                  <c:v>33004950.962903108</c:v>
                </c:pt>
                <c:pt idx="627">
                  <c:v>12709500.472504754</c:v>
                </c:pt>
                <c:pt idx="628">
                  <c:v>31355192.41790539</c:v>
                </c:pt>
                <c:pt idx="629">
                  <c:v>27861877.59043901</c:v>
                </c:pt>
                <c:pt idx="630">
                  <c:v>16726066.59965843</c:v>
                </c:pt>
                <c:pt idx="631">
                  <c:v>48254194.801860437</c:v>
                </c:pt>
                <c:pt idx="632">
                  <c:v>37097818.598243117</c:v>
                </c:pt>
                <c:pt idx="633">
                  <c:v>23495966.329370562</c:v>
                </c:pt>
                <c:pt idx="634">
                  <c:v>40057633.452678882</c:v>
                </c:pt>
                <c:pt idx="635">
                  <c:v>30963112.654251046</c:v>
                </c:pt>
                <c:pt idx="636">
                  <c:v>29008745.876360904</c:v>
                </c:pt>
                <c:pt idx="637">
                  <c:v>16266572.302116416</c:v>
                </c:pt>
                <c:pt idx="638">
                  <c:v>26868931.578859538</c:v>
                </c:pt>
                <c:pt idx="639">
                  <c:v>21895533.894132897</c:v>
                </c:pt>
                <c:pt idx="640">
                  <c:v>26071071.790451959</c:v>
                </c:pt>
                <c:pt idx="641">
                  <c:v>40352157.251503855</c:v>
                </c:pt>
                <c:pt idx="642">
                  <c:v>28989710.331685074</c:v>
                </c:pt>
                <c:pt idx="643">
                  <c:v>34115029.335331462</c:v>
                </c:pt>
                <c:pt idx="644">
                  <c:v>52722540.965792038</c:v>
                </c:pt>
                <c:pt idx="645">
                  <c:v>31525483.37715333</c:v>
                </c:pt>
                <c:pt idx="646">
                  <c:v>43517565.470401473</c:v>
                </c:pt>
                <c:pt idx="647">
                  <c:v>29028288.724730574</c:v>
                </c:pt>
                <c:pt idx="648">
                  <c:v>50852467.027077802</c:v>
                </c:pt>
                <c:pt idx="649">
                  <c:v>33856985.075041324</c:v>
                </c:pt>
                <c:pt idx="650">
                  <c:v>22867553.038332354</c:v>
                </c:pt>
                <c:pt idx="651">
                  <c:v>40057256.673504539</c:v>
                </c:pt>
                <c:pt idx="652">
                  <c:v>31606993.226961628</c:v>
                </c:pt>
                <c:pt idx="653">
                  <c:v>17980329.757619202</c:v>
                </c:pt>
                <c:pt idx="654">
                  <c:v>57435685.906386659</c:v>
                </c:pt>
                <c:pt idx="655">
                  <c:v>40376259.716072462</c:v>
                </c:pt>
                <c:pt idx="656">
                  <c:v>19952222.881888308</c:v>
                </c:pt>
                <c:pt idx="657">
                  <c:v>32019760.247751452</c:v>
                </c:pt>
                <c:pt idx="658">
                  <c:v>11203637.74202154</c:v>
                </c:pt>
                <c:pt idx="659">
                  <c:v>46792652.504172854</c:v>
                </c:pt>
                <c:pt idx="660">
                  <c:v>8328885.1060445243</c:v>
                </c:pt>
                <c:pt idx="661">
                  <c:v>33683469.962441891</c:v>
                </c:pt>
                <c:pt idx="662">
                  <c:v>55627642.592870496</c:v>
                </c:pt>
                <c:pt idx="663">
                  <c:v>35893123.439146586</c:v>
                </c:pt>
                <c:pt idx="664">
                  <c:v>2948222.5973036462</c:v>
                </c:pt>
                <c:pt idx="665">
                  <c:v>44622660.836197346</c:v>
                </c:pt>
                <c:pt idx="666">
                  <c:v>70514027.972278282</c:v>
                </c:pt>
                <c:pt idx="667">
                  <c:v>46044705.958731025</c:v>
                </c:pt>
                <c:pt idx="668">
                  <c:v>38517225.456829958</c:v>
                </c:pt>
                <c:pt idx="669">
                  <c:v>47090286.239938259</c:v>
                </c:pt>
                <c:pt idx="670">
                  <c:v>38223335.435098916</c:v>
                </c:pt>
                <c:pt idx="671">
                  <c:v>28796390.369547609</c:v>
                </c:pt>
                <c:pt idx="672">
                  <c:v>35814840.889350474</c:v>
                </c:pt>
                <c:pt idx="673">
                  <c:v>36366484.359953091</c:v>
                </c:pt>
                <c:pt idx="674">
                  <c:v>20703836.980243929</c:v>
                </c:pt>
                <c:pt idx="675">
                  <c:v>32455569.337664586</c:v>
                </c:pt>
                <c:pt idx="676">
                  <c:v>29093027.084255878</c:v>
                </c:pt>
                <c:pt idx="677">
                  <c:v>15981262.308106534</c:v>
                </c:pt>
                <c:pt idx="678">
                  <c:v>27767288.295725062</c:v>
                </c:pt>
                <c:pt idx="679">
                  <c:v>13443018.364616508</c:v>
                </c:pt>
                <c:pt idx="680">
                  <c:v>22717322.067375645</c:v>
                </c:pt>
                <c:pt idx="681">
                  <c:v>24369135.487779073</c:v>
                </c:pt>
                <c:pt idx="682">
                  <c:v>35732783.942692108</c:v>
                </c:pt>
                <c:pt idx="683">
                  <c:v>44716923.829111665</c:v>
                </c:pt>
                <c:pt idx="684">
                  <c:v>32230055.818515167</c:v>
                </c:pt>
                <c:pt idx="685">
                  <c:v>50167788.517617695</c:v>
                </c:pt>
                <c:pt idx="686">
                  <c:v>75740193.415879667</c:v>
                </c:pt>
                <c:pt idx="687">
                  <c:v>36152624.407284088</c:v>
                </c:pt>
                <c:pt idx="688">
                  <c:v>20317335.287829258</c:v>
                </c:pt>
                <c:pt idx="689">
                  <c:v>27014648.197364766</c:v>
                </c:pt>
                <c:pt idx="690">
                  <c:v>20790179.017042428</c:v>
                </c:pt>
                <c:pt idx="691">
                  <c:v>28928902.153682485</c:v>
                </c:pt>
                <c:pt idx="692">
                  <c:v>39273232.831182875</c:v>
                </c:pt>
                <c:pt idx="693">
                  <c:v>19263577.362649299</c:v>
                </c:pt>
                <c:pt idx="694">
                  <c:v>24180561.761675656</c:v>
                </c:pt>
                <c:pt idx="695">
                  <c:v>24442104.520593151</c:v>
                </c:pt>
                <c:pt idx="696">
                  <c:v>16719551.936599378</c:v>
                </c:pt>
                <c:pt idx="697">
                  <c:v>34820066.70668254</c:v>
                </c:pt>
                <c:pt idx="698">
                  <c:v>33545181.372783698</c:v>
                </c:pt>
                <c:pt idx="699">
                  <c:v>10529817.778147498</c:v>
                </c:pt>
                <c:pt idx="700">
                  <c:v>34168003.587672167</c:v>
                </c:pt>
                <c:pt idx="701">
                  <c:v>28553383.694008473</c:v>
                </c:pt>
                <c:pt idx="702">
                  <c:v>50928478.682261348</c:v>
                </c:pt>
                <c:pt idx="703">
                  <c:v>24661997.151613738</c:v>
                </c:pt>
                <c:pt idx="704">
                  <c:v>42060251.591152668</c:v>
                </c:pt>
                <c:pt idx="705">
                  <c:v>37112015.76173874</c:v>
                </c:pt>
                <c:pt idx="706">
                  <c:v>18078697.519819092</c:v>
                </c:pt>
                <c:pt idx="707">
                  <c:v>55118335.774694048</c:v>
                </c:pt>
                <c:pt idx="708">
                  <c:v>16968237.223298851</c:v>
                </c:pt>
                <c:pt idx="709">
                  <c:v>28501584.311257996</c:v>
                </c:pt>
                <c:pt idx="710">
                  <c:v>19181505.954414584</c:v>
                </c:pt>
                <c:pt idx="711">
                  <c:v>48001264.800591558</c:v>
                </c:pt>
                <c:pt idx="712">
                  <c:v>20800863.218659095</c:v>
                </c:pt>
                <c:pt idx="713">
                  <c:v>51445403.982540734</c:v>
                </c:pt>
                <c:pt idx="714">
                  <c:v>33195106.19585108</c:v>
                </c:pt>
                <c:pt idx="715">
                  <c:v>46912640.139789686</c:v>
                </c:pt>
                <c:pt idx="716">
                  <c:v>48212336.321114264</c:v>
                </c:pt>
                <c:pt idx="717">
                  <c:v>29561131.091072183</c:v>
                </c:pt>
                <c:pt idx="718">
                  <c:v>12703986.322275233</c:v>
                </c:pt>
                <c:pt idx="719">
                  <c:v>43694852.111509696</c:v>
                </c:pt>
                <c:pt idx="720">
                  <c:v>13467445.879502457</c:v>
                </c:pt>
                <c:pt idx="721">
                  <c:v>30834013.086301763</c:v>
                </c:pt>
                <c:pt idx="722">
                  <c:v>27651461.991615344</c:v>
                </c:pt>
                <c:pt idx="723">
                  <c:v>32510857.283999387</c:v>
                </c:pt>
                <c:pt idx="724">
                  <c:v>18830336.015934139</c:v>
                </c:pt>
                <c:pt idx="725">
                  <c:v>24259979.119824585</c:v>
                </c:pt>
                <c:pt idx="726">
                  <c:v>20952626.172633473</c:v>
                </c:pt>
                <c:pt idx="727">
                  <c:v>68975933.200364932</c:v>
                </c:pt>
                <c:pt idx="728">
                  <c:v>26952278.610816244</c:v>
                </c:pt>
                <c:pt idx="729">
                  <c:v>48639065.325798862</c:v>
                </c:pt>
                <c:pt idx="730">
                  <c:v>43714132.265260905</c:v>
                </c:pt>
                <c:pt idx="731">
                  <c:v>21674147.214430019</c:v>
                </c:pt>
                <c:pt idx="732">
                  <c:v>12625515.435937231</c:v>
                </c:pt>
                <c:pt idx="733">
                  <c:v>44578406.924472965</c:v>
                </c:pt>
                <c:pt idx="734">
                  <c:v>69105421.415780589</c:v>
                </c:pt>
                <c:pt idx="735">
                  <c:v>56018451.92873919</c:v>
                </c:pt>
                <c:pt idx="736">
                  <c:v>12980707.473549291</c:v>
                </c:pt>
                <c:pt idx="737">
                  <c:v>29730801.026276473</c:v>
                </c:pt>
                <c:pt idx="738">
                  <c:v>14767719.169640524</c:v>
                </c:pt>
                <c:pt idx="739">
                  <c:v>31319830.935407478</c:v>
                </c:pt>
                <c:pt idx="740">
                  <c:v>22599325.43893604</c:v>
                </c:pt>
                <c:pt idx="741">
                  <c:v>22978435.633471761</c:v>
                </c:pt>
                <c:pt idx="742">
                  <c:v>24717680.337675076</c:v>
                </c:pt>
                <c:pt idx="743">
                  <c:v>48131874.257723495</c:v>
                </c:pt>
                <c:pt idx="744">
                  <c:v>30067845.482977599</c:v>
                </c:pt>
                <c:pt idx="745">
                  <c:v>35270368.749039046</c:v>
                </c:pt>
                <c:pt idx="746">
                  <c:v>43968411.425401233</c:v>
                </c:pt>
                <c:pt idx="747">
                  <c:v>71085744.283351302</c:v>
                </c:pt>
                <c:pt idx="748">
                  <c:v>17064722.882938433</c:v>
                </c:pt>
                <c:pt idx="749">
                  <c:v>72389906.462523118</c:v>
                </c:pt>
                <c:pt idx="750">
                  <c:v>26305810.158129029</c:v>
                </c:pt>
                <c:pt idx="751">
                  <c:v>47133446.05170241</c:v>
                </c:pt>
                <c:pt idx="752">
                  <c:v>16319840.377202893</c:v>
                </c:pt>
                <c:pt idx="753">
                  <c:v>36714757.278390422</c:v>
                </c:pt>
                <c:pt idx="754">
                  <c:v>37163435.337174334</c:v>
                </c:pt>
                <c:pt idx="755">
                  <c:v>31852941.618839912</c:v>
                </c:pt>
                <c:pt idx="756">
                  <c:v>32988743.59603158</c:v>
                </c:pt>
                <c:pt idx="757">
                  <c:v>26808659.667413883</c:v>
                </c:pt>
                <c:pt idx="758">
                  <c:v>29145896.074576873</c:v>
                </c:pt>
                <c:pt idx="759">
                  <c:v>11488550.041262686</c:v>
                </c:pt>
                <c:pt idx="760">
                  <c:v>17413128.228787988</c:v>
                </c:pt>
                <c:pt idx="761">
                  <c:v>33418463.971530948</c:v>
                </c:pt>
                <c:pt idx="762">
                  <c:v>24491544.979373716</c:v>
                </c:pt>
                <c:pt idx="763">
                  <c:v>31896825.103424296</c:v>
                </c:pt>
                <c:pt idx="764">
                  <c:v>33999509.867355257</c:v>
                </c:pt>
                <c:pt idx="765">
                  <c:v>32935842.490274779</c:v>
                </c:pt>
                <c:pt idx="766">
                  <c:v>44307934.32561662</c:v>
                </c:pt>
                <c:pt idx="767">
                  <c:v>98445380.259232014</c:v>
                </c:pt>
                <c:pt idx="768">
                  <c:v>30629108.028449021</c:v>
                </c:pt>
                <c:pt idx="769">
                  <c:v>50962714.768471263</c:v>
                </c:pt>
                <c:pt idx="770">
                  <c:v>34597935.492998473</c:v>
                </c:pt>
                <c:pt idx="771">
                  <c:v>39014923.180298992</c:v>
                </c:pt>
                <c:pt idx="772">
                  <c:v>23741129.38550856</c:v>
                </c:pt>
                <c:pt idx="773">
                  <c:v>33459873.911236234</c:v>
                </c:pt>
                <c:pt idx="774">
                  <c:v>19246600.39260022</c:v>
                </c:pt>
                <c:pt idx="775">
                  <c:v>21453738.051234659</c:v>
                </c:pt>
                <c:pt idx="776">
                  <c:v>15506352.771299118</c:v>
                </c:pt>
                <c:pt idx="777">
                  <c:v>14135368.446825368</c:v>
                </c:pt>
                <c:pt idx="778">
                  <c:v>28555608.206913978</c:v>
                </c:pt>
                <c:pt idx="779">
                  <c:v>36640556.171152815</c:v>
                </c:pt>
                <c:pt idx="780">
                  <c:v>17370106.177359372</c:v>
                </c:pt>
                <c:pt idx="781">
                  <c:v>21196147.121543977</c:v>
                </c:pt>
                <c:pt idx="782">
                  <c:v>44191471.016697623</c:v>
                </c:pt>
                <c:pt idx="783">
                  <c:v>40938899.475476928</c:v>
                </c:pt>
                <c:pt idx="784">
                  <c:v>11131189.08656301</c:v>
                </c:pt>
                <c:pt idx="785">
                  <c:v>16024203.892641008</c:v>
                </c:pt>
                <c:pt idx="786">
                  <c:v>40419924.327422768</c:v>
                </c:pt>
                <c:pt idx="787">
                  <c:v>19546865.761199553</c:v>
                </c:pt>
                <c:pt idx="788">
                  <c:v>38265820.731291398</c:v>
                </c:pt>
                <c:pt idx="789">
                  <c:v>58603309.79317084</c:v>
                </c:pt>
                <c:pt idx="790">
                  <c:v>11444137.116234835</c:v>
                </c:pt>
                <c:pt idx="791">
                  <c:v>28728818.09052274</c:v>
                </c:pt>
                <c:pt idx="792">
                  <c:v>40303950.078419</c:v>
                </c:pt>
                <c:pt idx="793">
                  <c:v>68550049.466942236</c:v>
                </c:pt>
                <c:pt idx="794">
                  <c:v>62187622.221496567</c:v>
                </c:pt>
                <c:pt idx="795">
                  <c:v>42000842.855087787</c:v>
                </c:pt>
                <c:pt idx="796">
                  <c:v>28764216.884952769</c:v>
                </c:pt>
                <c:pt idx="797">
                  <c:v>28302062.014344927</c:v>
                </c:pt>
                <c:pt idx="798">
                  <c:v>18769502.650271583</c:v>
                </c:pt>
                <c:pt idx="799">
                  <c:v>55649881.129906528</c:v>
                </c:pt>
                <c:pt idx="800">
                  <c:v>27248407.73634528</c:v>
                </c:pt>
                <c:pt idx="801">
                  <c:v>51866398.814639531</c:v>
                </c:pt>
                <c:pt idx="802">
                  <c:v>29236074.307404999</c:v>
                </c:pt>
                <c:pt idx="803">
                  <c:v>33265126.546795532</c:v>
                </c:pt>
                <c:pt idx="804">
                  <c:v>52857879.608329728</c:v>
                </c:pt>
                <c:pt idx="805">
                  <c:v>26655317.374354683</c:v>
                </c:pt>
                <c:pt idx="806">
                  <c:v>52276236.194107197</c:v>
                </c:pt>
                <c:pt idx="807">
                  <c:v>20936078.051299475</c:v>
                </c:pt>
                <c:pt idx="808">
                  <c:v>30668354.570080891</c:v>
                </c:pt>
                <c:pt idx="809">
                  <c:v>18197487.47490767</c:v>
                </c:pt>
                <c:pt idx="810">
                  <c:v>32194638.656242028</c:v>
                </c:pt>
                <c:pt idx="811">
                  <c:v>22223126.049976122</c:v>
                </c:pt>
                <c:pt idx="812">
                  <c:v>78407376.951085508</c:v>
                </c:pt>
                <c:pt idx="813">
                  <c:v>14434911.757787047</c:v>
                </c:pt>
                <c:pt idx="814">
                  <c:v>32035779.963276289</c:v>
                </c:pt>
                <c:pt idx="815">
                  <c:v>29518624.667899624</c:v>
                </c:pt>
                <c:pt idx="816">
                  <c:v>35835694.739970304</c:v>
                </c:pt>
                <c:pt idx="817">
                  <c:v>22061587.68905434</c:v>
                </c:pt>
                <c:pt idx="818">
                  <c:v>32385865.27730694</c:v>
                </c:pt>
                <c:pt idx="819">
                  <c:v>33316592.439268082</c:v>
                </c:pt>
                <c:pt idx="820">
                  <c:v>32421907.131650072</c:v>
                </c:pt>
                <c:pt idx="821">
                  <c:v>32048883.885881335</c:v>
                </c:pt>
                <c:pt idx="822">
                  <c:v>44837818.905457892</c:v>
                </c:pt>
                <c:pt idx="823">
                  <c:v>15494154.517687671</c:v>
                </c:pt>
                <c:pt idx="824">
                  <c:v>33365705.571810074</c:v>
                </c:pt>
                <c:pt idx="825">
                  <c:v>38416653.482378818</c:v>
                </c:pt>
                <c:pt idx="826">
                  <c:v>35618117.253090352</c:v>
                </c:pt>
                <c:pt idx="827">
                  <c:v>3199853.9837622847</c:v>
                </c:pt>
                <c:pt idx="828">
                  <c:v>31458373.738513384</c:v>
                </c:pt>
                <c:pt idx="829">
                  <c:v>38771180.668514937</c:v>
                </c:pt>
                <c:pt idx="830">
                  <c:v>36754115.647020213</c:v>
                </c:pt>
                <c:pt idx="831">
                  <c:v>14491548.25143878</c:v>
                </c:pt>
                <c:pt idx="832">
                  <c:v>9141740.7403966635</c:v>
                </c:pt>
                <c:pt idx="833">
                  <c:v>38537061.891064562</c:v>
                </c:pt>
                <c:pt idx="834">
                  <c:v>29544791.248161238</c:v>
                </c:pt>
                <c:pt idx="835">
                  <c:v>30177412.094893921</c:v>
                </c:pt>
                <c:pt idx="836">
                  <c:v>16376684.883923436</c:v>
                </c:pt>
                <c:pt idx="837">
                  <c:v>29353125.685155325</c:v>
                </c:pt>
                <c:pt idx="838">
                  <c:v>44624354.271603756</c:v>
                </c:pt>
                <c:pt idx="839">
                  <c:v>37776875.803974345</c:v>
                </c:pt>
                <c:pt idx="840">
                  <c:v>28485831.631748766</c:v>
                </c:pt>
                <c:pt idx="841">
                  <c:v>33525238.175114907</c:v>
                </c:pt>
                <c:pt idx="842">
                  <c:v>43574783.744499609</c:v>
                </c:pt>
                <c:pt idx="843">
                  <c:v>32483011.858452842</c:v>
                </c:pt>
                <c:pt idx="844">
                  <c:v>21248709.432453327</c:v>
                </c:pt>
                <c:pt idx="845">
                  <c:v>49875428.356816649</c:v>
                </c:pt>
                <c:pt idx="846">
                  <c:v>36949929.373637721</c:v>
                </c:pt>
                <c:pt idx="847">
                  <c:v>32905266.156002246</c:v>
                </c:pt>
                <c:pt idx="848">
                  <c:v>25272279.667349499</c:v>
                </c:pt>
                <c:pt idx="849">
                  <c:v>23433706.233461197</c:v>
                </c:pt>
                <c:pt idx="850">
                  <c:v>41065773.23959212</c:v>
                </c:pt>
                <c:pt idx="851">
                  <c:v>28658136.585025847</c:v>
                </c:pt>
                <c:pt idx="852">
                  <c:v>16249110.09280142</c:v>
                </c:pt>
                <c:pt idx="853">
                  <c:v>24658843.192310125</c:v>
                </c:pt>
                <c:pt idx="854">
                  <c:v>20988588.860193439</c:v>
                </c:pt>
                <c:pt idx="855">
                  <c:v>22523759.60054053</c:v>
                </c:pt>
                <c:pt idx="856">
                  <c:v>35467149.170565896</c:v>
                </c:pt>
                <c:pt idx="857">
                  <c:v>30481492.444929026</c:v>
                </c:pt>
                <c:pt idx="858">
                  <c:v>16203754.48699663</c:v>
                </c:pt>
                <c:pt idx="859">
                  <c:v>69123835.882533491</c:v>
                </c:pt>
                <c:pt idx="860">
                  <c:v>38863668.969336741</c:v>
                </c:pt>
                <c:pt idx="861">
                  <c:v>38771442.297666535</c:v>
                </c:pt>
                <c:pt idx="862">
                  <c:v>24425847.026948817</c:v>
                </c:pt>
                <c:pt idx="863">
                  <c:v>19735299.342685506</c:v>
                </c:pt>
                <c:pt idx="864">
                  <c:v>13418896.154368907</c:v>
                </c:pt>
                <c:pt idx="865">
                  <c:v>37037770.807667106</c:v>
                </c:pt>
                <c:pt idx="866">
                  <c:v>34308170.854048483</c:v>
                </c:pt>
                <c:pt idx="867">
                  <c:v>39785449.278817795</c:v>
                </c:pt>
                <c:pt idx="868">
                  <c:v>55424128.9931091</c:v>
                </c:pt>
                <c:pt idx="869">
                  <c:v>16238631.458906632</c:v>
                </c:pt>
                <c:pt idx="870">
                  <c:v>46003474.327218875</c:v>
                </c:pt>
                <c:pt idx="871">
                  <c:v>28303572.768189359</c:v>
                </c:pt>
                <c:pt idx="872">
                  <c:v>26447800.97056257</c:v>
                </c:pt>
                <c:pt idx="873">
                  <c:v>21626396.364271265</c:v>
                </c:pt>
                <c:pt idx="874">
                  <c:v>16740345.468594426</c:v>
                </c:pt>
                <c:pt idx="875">
                  <c:v>15365131.170756688</c:v>
                </c:pt>
                <c:pt idx="876">
                  <c:v>32228730.58164873</c:v>
                </c:pt>
                <c:pt idx="877">
                  <c:v>44614145.737282023</c:v>
                </c:pt>
                <c:pt idx="878">
                  <c:v>27955250.196833305</c:v>
                </c:pt>
                <c:pt idx="879">
                  <c:v>32857316.723837357</c:v>
                </c:pt>
                <c:pt idx="880">
                  <c:v>37708929.8381427</c:v>
                </c:pt>
                <c:pt idx="881">
                  <c:v>28567117.821235418</c:v>
                </c:pt>
                <c:pt idx="882">
                  <c:v>41722483.156687558</c:v>
                </c:pt>
                <c:pt idx="883">
                  <c:v>23234366.189880475</c:v>
                </c:pt>
                <c:pt idx="884">
                  <c:v>27934028.546411872</c:v>
                </c:pt>
                <c:pt idx="885">
                  <c:v>32861024.955107555</c:v>
                </c:pt>
                <c:pt idx="886">
                  <c:v>32679914.169878416</c:v>
                </c:pt>
                <c:pt idx="887">
                  <c:v>24402775.635074217</c:v>
                </c:pt>
                <c:pt idx="888">
                  <c:v>36062396.697138324</c:v>
                </c:pt>
                <c:pt idx="889">
                  <c:v>25967608.074673302</c:v>
                </c:pt>
                <c:pt idx="890">
                  <c:v>31210587.939271025</c:v>
                </c:pt>
                <c:pt idx="891">
                  <c:v>33936663.867491223</c:v>
                </c:pt>
                <c:pt idx="892">
                  <c:v>17513494.304498836</c:v>
                </c:pt>
                <c:pt idx="893">
                  <c:v>39204367.38818644</c:v>
                </c:pt>
                <c:pt idx="894">
                  <c:v>27648936.941767775</c:v>
                </c:pt>
                <c:pt idx="895">
                  <c:v>24218707.067398634</c:v>
                </c:pt>
                <c:pt idx="896">
                  <c:v>24131324.562770955</c:v>
                </c:pt>
                <c:pt idx="897">
                  <c:v>37213645.698219791</c:v>
                </c:pt>
                <c:pt idx="898">
                  <c:v>23623779.301305179</c:v>
                </c:pt>
                <c:pt idx="899">
                  <c:v>56392342.48001425</c:v>
                </c:pt>
                <c:pt idx="900">
                  <c:v>37825209.614857562</c:v>
                </c:pt>
                <c:pt idx="901">
                  <c:v>27948641.882733651</c:v>
                </c:pt>
                <c:pt idx="902">
                  <c:v>24421061.543131046</c:v>
                </c:pt>
                <c:pt idx="903">
                  <c:v>29508070.644837197</c:v>
                </c:pt>
                <c:pt idx="904">
                  <c:v>34372448.395859778</c:v>
                </c:pt>
                <c:pt idx="905">
                  <c:v>22290160.571499266</c:v>
                </c:pt>
                <c:pt idx="906">
                  <c:v>35299552.443002999</c:v>
                </c:pt>
                <c:pt idx="907">
                  <c:v>39456286.396648847</c:v>
                </c:pt>
                <c:pt idx="908">
                  <c:v>17315426.316523168</c:v>
                </c:pt>
                <c:pt idx="909">
                  <c:v>53043880.015499979</c:v>
                </c:pt>
                <c:pt idx="910">
                  <c:v>35558402.872909732</c:v>
                </c:pt>
                <c:pt idx="911">
                  <c:v>45805907.548099861</c:v>
                </c:pt>
                <c:pt idx="912">
                  <c:v>44010064.060657427</c:v>
                </c:pt>
                <c:pt idx="913">
                  <c:v>43696252.961049773</c:v>
                </c:pt>
                <c:pt idx="914">
                  <c:v>42612467.397825085</c:v>
                </c:pt>
                <c:pt idx="915">
                  <c:v>26534898.647185791</c:v>
                </c:pt>
                <c:pt idx="916">
                  <c:v>50197100.618600063</c:v>
                </c:pt>
                <c:pt idx="917">
                  <c:v>17180187.111777488</c:v>
                </c:pt>
                <c:pt idx="918">
                  <c:v>47170753.369702868</c:v>
                </c:pt>
                <c:pt idx="919">
                  <c:v>20182202.962253064</c:v>
                </c:pt>
                <c:pt idx="920">
                  <c:v>29301192.926818792</c:v>
                </c:pt>
                <c:pt idx="921">
                  <c:v>20921911.069772109</c:v>
                </c:pt>
                <c:pt idx="922">
                  <c:v>47552324.276679061</c:v>
                </c:pt>
                <c:pt idx="923">
                  <c:v>36912293.927488141</c:v>
                </c:pt>
                <c:pt idx="924">
                  <c:v>13120408.056294903</c:v>
                </c:pt>
                <c:pt idx="925">
                  <c:v>27813393.349544972</c:v>
                </c:pt>
                <c:pt idx="926">
                  <c:v>20159942.623583272</c:v>
                </c:pt>
                <c:pt idx="927">
                  <c:v>13749673.386412259</c:v>
                </c:pt>
                <c:pt idx="928">
                  <c:v>25308215.493309628</c:v>
                </c:pt>
                <c:pt idx="929">
                  <c:v>11818872.672283437</c:v>
                </c:pt>
                <c:pt idx="930">
                  <c:v>16180558.69436409</c:v>
                </c:pt>
                <c:pt idx="931">
                  <c:v>53294720.623223037</c:v>
                </c:pt>
                <c:pt idx="932">
                  <c:v>38495384.987057365</c:v>
                </c:pt>
                <c:pt idx="933">
                  <c:v>14916110.94291715</c:v>
                </c:pt>
                <c:pt idx="934">
                  <c:v>45119185.4287057</c:v>
                </c:pt>
                <c:pt idx="935">
                  <c:v>30800902.690337658</c:v>
                </c:pt>
                <c:pt idx="936">
                  <c:v>28174968.569183648</c:v>
                </c:pt>
                <c:pt idx="937">
                  <c:v>32231987.774320096</c:v>
                </c:pt>
                <c:pt idx="938">
                  <c:v>35183545.534939125</c:v>
                </c:pt>
                <c:pt idx="939">
                  <c:v>13275483.649203185</c:v>
                </c:pt>
                <c:pt idx="940">
                  <c:v>19452588.407624353</c:v>
                </c:pt>
                <c:pt idx="941">
                  <c:v>25713074.550113749</c:v>
                </c:pt>
                <c:pt idx="942">
                  <c:v>26159754.919263422</c:v>
                </c:pt>
                <c:pt idx="943">
                  <c:v>40097209.657121696</c:v>
                </c:pt>
                <c:pt idx="944">
                  <c:v>30112907.023604099</c:v>
                </c:pt>
                <c:pt idx="945">
                  <c:v>15381743.368272012</c:v>
                </c:pt>
                <c:pt idx="946">
                  <c:v>53986848.378544711</c:v>
                </c:pt>
                <c:pt idx="947">
                  <c:v>13736590.336586274</c:v>
                </c:pt>
                <c:pt idx="948">
                  <c:v>43243181.593458712</c:v>
                </c:pt>
                <c:pt idx="949">
                  <c:v>20078448.888440561</c:v>
                </c:pt>
                <c:pt idx="950">
                  <c:v>32144444.265203148</c:v>
                </c:pt>
                <c:pt idx="951">
                  <c:v>29408629.838238314</c:v>
                </c:pt>
                <c:pt idx="952">
                  <c:v>43676876.018574975</c:v>
                </c:pt>
                <c:pt idx="953">
                  <c:v>39537502.9368091</c:v>
                </c:pt>
                <c:pt idx="954">
                  <c:v>23189932.60951319</c:v>
                </c:pt>
                <c:pt idx="955">
                  <c:v>16684037.602731172</c:v>
                </c:pt>
                <c:pt idx="956">
                  <c:v>26245159.130466435</c:v>
                </c:pt>
                <c:pt idx="957">
                  <c:v>12578468.562906973</c:v>
                </c:pt>
                <c:pt idx="958">
                  <c:v>32960774.334307909</c:v>
                </c:pt>
                <c:pt idx="959">
                  <c:v>44276155.125987127</c:v>
                </c:pt>
                <c:pt idx="960">
                  <c:v>22284885.697230846</c:v>
                </c:pt>
                <c:pt idx="961">
                  <c:v>23730687.088375617</c:v>
                </c:pt>
                <c:pt idx="962">
                  <c:v>65059327.594693989</c:v>
                </c:pt>
                <c:pt idx="963">
                  <c:v>22743520.493127525</c:v>
                </c:pt>
                <c:pt idx="964">
                  <c:v>31829300.022045963</c:v>
                </c:pt>
                <c:pt idx="965">
                  <c:v>34500355.59981636</c:v>
                </c:pt>
                <c:pt idx="966">
                  <c:v>33566536.711278655</c:v>
                </c:pt>
                <c:pt idx="967">
                  <c:v>16761689.368165104</c:v>
                </c:pt>
                <c:pt idx="968">
                  <c:v>19564157.653535943</c:v>
                </c:pt>
                <c:pt idx="969">
                  <c:v>24267490.442883682</c:v>
                </c:pt>
                <c:pt idx="970">
                  <c:v>20232529.926446427</c:v>
                </c:pt>
                <c:pt idx="971">
                  <c:v>31209296.916257173</c:v>
                </c:pt>
                <c:pt idx="972">
                  <c:v>35769588.55577492</c:v>
                </c:pt>
                <c:pt idx="973">
                  <c:v>15574744.742249494</c:v>
                </c:pt>
                <c:pt idx="974">
                  <c:v>31258964.696577787</c:v>
                </c:pt>
                <c:pt idx="975">
                  <c:v>14643973.52501606</c:v>
                </c:pt>
                <c:pt idx="976">
                  <c:v>23696785.351384681</c:v>
                </c:pt>
                <c:pt idx="977">
                  <c:v>70507543.946825027</c:v>
                </c:pt>
                <c:pt idx="978">
                  <c:v>33965707.21992714</c:v>
                </c:pt>
                <c:pt idx="979">
                  <c:v>43683596.83658272</c:v>
                </c:pt>
                <c:pt idx="980">
                  <c:v>62801715.872646712</c:v>
                </c:pt>
                <c:pt idx="981">
                  <c:v>19515547.482530866</c:v>
                </c:pt>
                <c:pt idx="982">
                  <c:v>31267784.803250547</c:v>
                </c:pt>
                <c:pt idx="983">
                  <c:v>17821505.833950639</c:v>
                </c:pt>
                <c:pt idx="984">
                  <c:v>25825495.43930234</c:v>
                </c:pt>
                <c:pt idx="985">
                  <c:v>37941457.939543515</c:v>
                </c:pt>
                <c:pt idx="986">
                  <c:v>44124851.907495759</c:v>
                </c:pt>
                <c:pt idx="987">
                  <c:v>18545249.624591697</c:v>
                </c:pt>
                <c:pt idx="988">
                  <c:v>42479148.560731947</c:v>
                </c:pt>
                <c:pt idx="989">
                  <c:v>15213429.591330649</c:v>
                </c:pt>
                <c:pt idx="990">
                  <c:v>21907311.196721494</c:v>
                </c:pt>
                <c:pt idx="991">
                  <c:v>19302747.547790211</c:v>
                </c:pt>
                <c:pt idx="992">
                  <c:v>13972018.902655283</c:v>
                </c:pt>
                <c:pt idx="993">
                  <c:v>38699127.742293738</c:v>
                </c:pt>
                <c:pt idx="994">
                  <c:v>19793790.794165254</c:v>
                </c:pt>
                <c:pt idx="995">
                  <c:v>82486277.897198811</c:v>
                </c:pt>
                <c:pt idx="996">
                  <c:v>27392449.0483981</c:v>
                </c:pt>
                <c:pt idx="997">
                  <c:v>57042264.553415202</c:v>
                </c:pt>
                <c:pt idx="998">
                  <c:v>19701956.884302083</c:v>
                </c:pt>
                <c:pt idx="999">
                  <c:v>45201593.054566495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A9-46E0-9C84-34023DADDD86}"/>
            </c:ext>
          </c:extLst>
        </c:ser>
        <c:ser>
          <c:idx val="1"/>
          <c:order val="1"/>
          <c:tx>
            <c:v>Mean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FF00"/>
              </a:solidFill>
              <a:ln w="12700">
                <a:solidFill>
                  <a:srgbClr val="FF6600"/>
                </a:solidFill>
                <a:miter lim="800000"/>
              </a:ln>
            </c:spPr>
          </c:marker>
          <c:xVal>
            <c:numRef>
              <c:f>PSA.Outputs!$L$8</c:f>
              <c:numCache>
                <c:formatCode>0.000</c:formatCode>
                <c:ptCount val="1"/>
                <c:pt idx="0">
                  <c:v>-6174.5594430818865</c:v>
                </c:pt>
              </c:numCache>
            </c:numRef>
          </c:xVal>
          <c:yVal>
            <c:numRef>
              <c:f>PSA.Outputs!$K$8</c:f>
              <c:numCache>
                <c:formatCode>"£"#,##0</c:formatCode>
                <c:ptCount val="1"/>
                <c:pt idx="0">
                  <c:v>31197502.332743172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A9-46E0-9C84-34023DADDD86}"/>
            </c:ext>
          </c:extLst>
        </c:ser>
        <c:ser>
          <c:idx val="2"/>
          <c:order val="2"/>
          <c:tx>
            <c:v>95%CI</c:v>
          </c:tx>
          <c:spPr>
            <a:ln w="38100" cap="rnd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PSA.Outputs!$P$15:$P$115</c:f>
              <c:numCache>
                <c:formatCode>0.000</c:formatCode>
                <c:ptCount val="101"/>
                <c:pt idx="0">
                  <c:v>-5076.8739232256612</c:v>
                </c:pt>
                <c:pt idx="1">
                  <c:v>-5228.7437615968038</c:v>
                </c:pt>
                <c:pt idx="2">
                  <c:v>-5384.3463023606855</c:v>
                </c:pt>
                <c:pt idx="3">
                  <c:v>-5543.0674533769497</c:v>
                </c:pt>
                <c:pt idx="4">
                  <c:v>-5704.2808147753312</c:v>
                </c:pt>
                <c:pt idx="5">
                  <c:v>-5867.3501510697715</c:v>
                </c:pt>
                <c:pt idx="6">
                  <c:v>-6031.6319020892079</c:v>
                </c:pt>
                <c:pt idx="7">
                  <c:v>-6196.477722815559</c:v>
                </c:pt>
                <c:pt idx="8">
                  <c:v>-6361.237042105312</c:v>
                </c:pt>
                <c:pt idx="9">
                  <c:v>-6525.2596301966023</c:v>
                </c:pt>
                <c:pt idx="10">
                  <c:v>-6687.898164869026</c:v>
                </c:pt>
                <c:pt idx="11">
                  <c:v>-6848.5107861287088</c:v>
                </c:pt>
                <c:pt idx="12">
                  <c:v>-7006.4636293364665</c:v>
                </c:pt>
                <c:pt idx="13">
                  <c:v>-7161.1333267819491</c:v>
                </c:pt>
                <c:pt idx="14">
                  <c:v>-7311.9094678312013</c:v>
                </c:pt>
                <c:pt idx="15">
                  <c:v>-7458.1970079385683</c:v>
                </c:pt>
                <c:pt idx="16">
                  <c:v>-7599.4186170156681</c:v>
                </c:pt>
                <c:pt idx="17">
                  <c:v>-7735.0169578894856</c:v>
                </c:pt>
                <c:pt idx="18">
                  <c:v>-7864.4568858575849</c:v>
                </c:pt>
                <c:pt idx="19">
                  <c:v>-7987.2275606597514</c:v>
                </c:pt>
                <c:pt idx="20">
                  <c:v>-8102.8444625311295</c:v>
                </c:pt>
                <c:pt idx="21">
                  <c:v>-8210.8513043803687</c:v>
                </c:pt>
                <c:pt idx="22">
                  <c:v>-8310.821832546324</c:v>
                </c:pt>
                <c:pt idx="23">
                  <c:v>-8402.3615090265121</c:v>
                </c:pt>
                <c:pt idx="24">
                  <c:v>-8485.1090685383679</c:v>
                </c:pt>
                <c:pt idx="25">
                  <c:v>-8558.7379442682613</c:v>
                </c:pt>
                <c:pt idx="26">
                  <c:v>-8622.957556681522</c:v>
                </c:pt>
                <c:pt idx="27">
                  <c:v>-8677.5144603071021</c:v>
                </c:pt>
                <c:pt idx="28">
                  <c:v>-8722.193343971072</c:v>
                </c:pt>
                <c:pt idx="29">
                  <c:v>-8756.8178805314474</c:v>
                </c:pt>
                <c:pt idx="30">
                  <c:v>-8781.2514227608735</c:v>
                </c:pt>
                <c:pt idx="31">
                  <c:v>-8795.3975426307934</c:v>
                </c:pt>
                <c:pt idx="32">
                  <c:v>-8799.2004118688274</c:v>
                </c:pt>
                <c:pt idx="33">
                  <c:v>-8792.645022287461</c:v>
                </c:pt>
                <c:pt idx="34">
                  <c:v>-8775.7572450144962</c:v>
                </c:pt>
                <c:pt idx="35">
                  <c:v>-8748.6037283915393</c:v>
                </c:pt>
                <c:pt idx="36">
                  <c:v>-8711.2916349434399</c:v>
                </c:pt>
                <c:pt idx="37">
                  <c:v>-8663.9682184567628</c:v>
                </c:pt>
                <c:pt idx="38">
                  <c:v>-8606.8202428363675</c:v>
                </c:pt>
                <c:pt idx="39">
                  <c:v>-8540.0732450336036</c:v>
                </c:pt>
                <c:pt idx="40">
                  <c:v>-8463.9906449549926</c:v>
                </c:pt>
                <c:pt idx="41">
                  <c:v>-8378.8727058642144</c:v>
                </c:pt>
                <c:pt idx="42">
                  <c:v>-8285.0553493801708</c:v>
                </c:pt>
                <c:pt idx="43">
                  <c:v>-8182.9088297478329</c:v>
                </c:pt>
                <c:pt idx="44">
                  <c:v>-8072.8362726138821</c:v>
                </c:pt>
                <c:pt idx="45">
                  <c:v>-7955.2720840739585</c:v>
                </c:pt>
                <c:pt idx="46">
                  <c:v>-7830.6802362702601</c:v>
                </c:pt>
                <c:pt idx="47">
                  <c:v>-7699.5524363054701</c:v>
                </c:pt>
                <c:pt idx="48">
                  <c:v>-7562.4061856994531</c:v>
                </c:pt>
                <c:pt idx="49">
                  <c:v>-7419.7827380471881</c:v>
                </c:pt>
                <c:pt idx="50">
                  <c:v>-7272.2449629381044</c:v>
                </c:pt>
                <c:pt idx="51">
                  <c:v>-7120.3751245669628</c:v>
                </c:pt>
                <c:pt idx="52">
                  <c:v>-6964.7725838030819</c:v>
                </c:pt>
                <c:pt idx="53">
                  <c:v>-6806.0514327868168</c:v>
                </c:pt>
                <c:pt idx="54">
                  <c:v>-6644.8380713884326</c:v>
                </c:pt>
                <c:pt idx="55">
                  <c:v>-6481.7687350939941</c:v>
                </c:pt>
                <c:pt idx="56">
                  <c:v>-6317.4869840745587</c:v>
                </c:pt>
                <c:pt idx="57">
                  <c:v>-6152.6411633482048</c:v>
                </c:pt>
                <c:pt idx="58">
                  <c:v>-5987.881844058451</c:v>
                </c:pt>
                <c:pt idx="59">
                  <c:v>-5823.8592559671615</c:v>
                </c:pt>
                <c:pt idx="60">
                  <c:v>-5661.2207212947396</c:v>
                </c:pt>
                <c:pt idx="61">
                  <c:v>-5500.608100035055</c:v>
                </c:pt>
                <c:pt idx="62">
                  <c:v>-5342.6552568272955</c:v>
                </c:pt>
                <c:pt idx="63">
                  <c:v>-5187.9855593818147</c:v>
                </c:pt>
                <c:pt idx="64">
                  <c:v>-5037.2094183325635</c:v>
                </c:pt>
                <c:pt idx="65">
                  <c:v>-4890.9218782251974</c:v>
                </c:pt>
                <c:pt idx="66">
                  <c:v>-4749.7002691480993</c:v>
                </c:pt>
                <c:pt idx="67">
                  <c:v>-4614.1019282742818</c:v>
                </c:pt>
                <c:pt idx="68">
                  <c:v>-4484.6620003061844</c:v>
                </c:pt>
                <c:pt idx="69">
                  <c:v>-4361.8913255040188</c:v>
                </c:pt>
                <c:pt idx="70">
                  <c:v>-4246.2744236326416</c:v>
                </c:pt>
                <c:pt idx="71">
                  <c:v>-4138.2675817834033</c:v>
                </c:pt>
                <c:pt idx="72">
                  <c:v>-4038.2970536174498</c:v>
                </c:pt>
                <c:pt idx="73">
                  <c:v>-3946.7573771372613</c:v>
                </c:pt>
                <c:pt idx="74">
                  <c:v>-3864.0098176254055</c:v>
                </c:pt>
                <c:pt idx="75">
                  <c:v>-3790.380941895512</c:v>
                </c:pt>
                <c:pt idx="76">
                  <c:v>-3726.1613294822523</c:v>
                </c:pt>
                <c:pt idx="77">
                  <c:v>-3671.6044258566726</c:v>
                </c:pt>
                <c:pt idx="78">
                  <c:v>-3626.9255421927037</c:v>
                </c:pt>
                <c:pt idx="79">
                  <c:v>-3592.3010056323269</c:v>
                </c:pt>
                <c:pt idx="80">
                  <c:v>-3567.8674634029003</c:v>
                </c:pt>
                <c:pt idx="81">
                  <c:v>-3553.7213435329795</c:v>
                </c:pt>
                <c:pt idx="82">
                  <c:v>-3549.9184742949442</c:v>
                </c:pt>
                <c:pt idx="83">
                  <c:v>-3556.473863876311</c:v>
                </c:pt>
                <c:pt idx="84">
                  <c:v>-3573.3616411492749</c:v>
                </c:pt>
                <c:pt idx="85">
                  <c:v>-3600.5151577722304</c:v>
                </c:pt>
                <c:pt idx="86">
                  <c:v>-3637.8272512203289</c:v>
                </c:pt>
                <c:pt idx="87">
                  <c:v>-3685.1506677070051</c:v>
                </c:pt>
                <c:pt idx="88">
                  <c:v>-3742.2986433273986</c:v>
                </c:pt>
                <c:pt idx="89">
                  <c:v>-3809.0456411301616</c:v>
                </c:pt>
                <c:pt idx="90">
                  <c:v>-3885.1282412087699</c:v>
                </c:pt>
                <c:pt idx="91">
                  <c:v>-3970.2461802995467</c:v>
                </c:pt>
                <c:pt idx="92">
                  <c:v>-4064.063536783588</c:v>
                </c:pt>
                <c:pt idx="93">
                  <c:v>-4166.2100564159246</c:v>
                </c:pt>
                <c:pt idx="94">
                  <c:v>-4276.2826135498735</c:v>
                </c:pt>
                <c:pt idx="95">
                  <c:v>-4393.8468020897944</c:v>
                </c:pt>
                <c:pt idx="96">
                  <c:v>-4518.43864989349</c:v>
                </c:pt>
                <c:pt idx="97">
                  <c:v>-4649.5664498582801</c:v>
                </c:pt>
                <c:pt idx="98">
                  <c:v>-4786.7127004642953</c:v>
                </c:pt>
                <c:pt idx="99">
                  <c:v>-4929.3361481165584</c:v>
                </c:pt>
                <c:pt idx="100">
                  <c:v>-5076.8739232256385</c:v>
                </c:pt>
              </c:numCache>
            </c:numRef>
          </c:xVal>
          <c:yVal>
            <c:numRef>
              <c:f>PSA.Outputs!$O$15:$O$115</c:f>
              <c:numCache>
                <c:formatCode>"£"#,##0.00</c:formatCode>
                <c:ptCount val="101"/>
                <c:pt idx="0">
                  <c:v>46253865.541996375</c:v>
                </c:pt>
                <c:pt idx="1">
                  <c:v>48277562.027870052</c:v>
                </c:pt>
                <c:pt idx="2">
                  <c:v>50233851.321264073</c:v>
                </c:pt>
                <c:pt idx="3">
                  <c:v>52115012.842081018</c:v>
                </c:pt>
                <c:pt idx="4">
                  <c:v>53913622.505219132</c:v>
                </c:pt>
                <c:pt idx="5">
                  <c:v>55622582.020044625</c:v>
                </c:pt>
                <c:pt idx="6">
                  <c:v>57235146.904101811</c:v>
                </c:pt>
                <c:pt idx="7">
                  <c:v>58744953.10050413</c:v>
                </c:pt>
                <c:pt idx="8">
                  <c:v>60146042.093959227</c:v>
                </c:pt>
                <c:pt idx="9">
                  <c:v>61432884.426306613</c:v>
                </c:pt>
                <c:pt idx="10">
                  <c:v>62600401.518762842</c:v>
                </c:pt>
                <c:pt idx="11">
                  <c:v>63643985.714751817</c:v>
                </c:pt>
                <c:pt idx="12">
                  <c:v>64559518.464220241</c:v>
                </c:pt>
                <c:pt idx="13">
                  <c:v>65343386.577673092</c:v>
                </c:pt>
                <c:pt idx="14">
                  <c:v>65992496.485781834</c:v>
                </c:pt>
                <c:pt idx="15">
                  <c:v>66504286.448289275</c:v>
                </c:pt>
                <c:pt idx="16">
                  <c:v>66876736.664028019</c:v>
                </c:pt>
                <c:pt idx="17">
                  <c:v>67108377.24215281</c:v>
                </c:pt>
                <c:pt idx="18">
                  <c:v>67198294.00312835</c:v>
                </c:pt>
                <c:pt idx="19">
                  <c:v>67146132.086578101</c:v>
                </c:pt>
                <c:pt idx="20">
                  <c:v>66952097.3517562</c:v>
                </c:pt>
                <c:pt idx="21">
                  <c:v>66616955.56511493</c:v>
                </c:pt>
                <c:pt idx="22">
                  <c:v>66142029.378174439</c:v>
                </c:pt>
                <c:pt idx="23">
                  <c:v>65529193.107621476</c:v>
                </c:pt>
                <c:pt idx="24">
                  <c:v>64780865.338237628</c:v>
                </c:pt>
                <c:pt idx="25">
                  <c:v>63899999.377850212</c:v>
                </c:pt>
                <c:pt idx="26">
                  <c:v>62890071.601975515</c:v>
                </c:pt>
                <c:pt idx="27">
                  <c:v>61755067.734152801</c:v>
                </c:pt>
                <c:pt idx="28">
                  <c:v>60499467.116114423</c:v>
                </c:pt>
                <c:pt idx="29">
                  <c:v>59128225.029870406</c:v>
                </c:pt>
                <c:pt idx="30">
                  <c:v>57646753.141474247</c:v>
                </c:pt>
                <c:pt idx="31">
                  <c:v>56060898.143649325</c:v>
                </c:pt>
                <c:pt idx="32">
                  <c:v>54376918.681563817</c:v>
                </c:pt>
                <c:pt idx="33">
                  <c:v>52601460.652817532</c:v>
                </c:pt>
                <c:pt idx="34">
                  <c:v>50741530.979120329</c:v>
                </c:pt>
                <c:pt idx="35">
                  <c:v>48804469.953173235</c:v>
                </c:pt>
                <c:pt idx="36">
                  <c:v>46797922.269886658</c:v>
                </c:pt>
                <c:pt idx="37">
                  <c:v>44729806.85626211</c:v>
                </c:pt>
                <c:pt idx="38">
                  <c:v>42608285.619005099</c:v>
                </c:pt>
                <c:pt idx="39">
                  <c:v>40441731.233208209</c:v>
                </c:pt>
                <c:pt idx="40">
                  <c:v>38238694.099227652</c:v>
                </c:pt>
                <c:pt idx="41">
                  <c:v>36007868.598159306</c:v>
                </c:pt>
                <c:pt idx="42">
                  <c:v>33758058.779088661</c:v>
                </c:pt>
                <c:pt idx="43">
                  <c:v>31498143.613531265</c:v>
                </c:pt>
                <c:pt idx="44">
                  <c:v>29237041.954188533</c:v>
                </c:pt>
                <c:pt idx="45">
                  <c:v>26983677.336310804</c:v>
                </c:pt>
                <c:pt idx="46">
                  <c:v>24746942.760580469</c:v>
                </c:pt>
                <c:pt idx="47">
                  <c:v>22535665.596501116</c:v>
                </c:pt>
                <c:pt idx="48">
                  <c:v>20358572.744802922</c:v>
                </c:pt>
                <c:pt idx="49">
                  <c:v>18224256.196352426</c:v>
                </c:pt>
                <c:pt idx="50">
                  <c:v>16141139.123489881</c:v>
                </c:pt>
                <c:pt idx="51">
                  <c:v>14117442.63761621</c:v>
                </c:pt>
                <c:pt idx="52">
                  <c:v>12161153.344222177</c:v>
                </c:pt>
                <c:pt idx="53">
                  <c:v>10279991.823405247</c:v>
                </c:pt>
                <c:pt idx="54">
                  <c:v>8481382.1602671258</c:v>
                </c:pt>
                <c:pt idx="55">
                  <c:v>6772422.6454416402</c:v>
                </c:pt>
                <c:pt idx="56">
                  <c:v>5159857.7613844573</c:v>
                </c:pt>
                <c:pt idx="57">
                  <c:v>3650051.5649821386</c:v>
                </c:pt>
                <c:pt idx="58">
                  <c:v>2248962.5715270415</c:v>
                </c:pt>
                <c:pt idx="59">
                  <c:v>962120.23917966709</c:v>
                </c:pt>
                <c:pt idx="60">
                  <c:v>-205396.85327656195</c:v>
                </c:pt>
                <c:pt idx="61">
                  <c:v>-1248981.0492655337</c:v>
                </c:pt>
                <c:pt idx="62">
                  <c:v>-2164513.7987339497</c:v>
                </c:pt>
                <c:pt idx="63">
                  <c:v>-2948381.9121867903</c:v>
                </c:pt>
                <c:pt idx="64">
                  <c:v>-3597491.8202955313</c:v>
                </c:pt>
                <c:pt idx="65">
                  <c:v>-4109281.7828029655</c:v>
                </c:pt>
                <c:pt idx="66">
                  <c:v>-4481731.9985416792</c:v>
                </c:pt>
                <c:pt idx="67">
                  <c:v>-4713372.5766664781</c:v>
                </c:pt>
                <c:pt idx="68">
                  <c:v>-4803289.3376420103</c:v>
                </c:pt>
                <c:pt idx="69">
                  <c:v>-4751127.4210917614</c:v>
                </c:pt>
                <c:pt idx="70">
                  <c:v>-4557092.6862698533</c:v>
                </c:pt>
                <c:pt idx="71">
                  <c:v>-4221950.8996285759</c:v>
                </c:pt>
                <c:pt idx="72">
                  <c:v>-3747024.7126880996</c:v>
                </c:pt>
                <c:pt idx="73">
                  <c:v>-3134188.4421351291</c:v>
                </c:pt>
                <c:pt idx="74">
                  <c:v>-2385860.6727512814</c:v>
                </c:pt>
                <c:pt idx="75">
                  <c:v>-1504994.7123638801</c:v>
                </c:pt>
                <c:pt idx="76">
                  <c:v>-495066.93648919463</c:v>
                </c:pt>
                <c:pt idx="77">
                  <c:v>639936.93133350834</c:v>
                </c:pt>
                <c:pt idx="78">
                  <c:v>1895537.5493718795</c:v>
                </c:pt>
                <c:pt idx="79">
                  <c:v>3266779.6356158815</c:v>
                </c:pt>
                <c:pt idx="80">
                  <c:v>4748251.5240120217</c:v>
                </c:pt>
                <c:pt idx="81">
                  <c:v>6334106.5218369327</c:v>
                </c:pt>
                <c:pt idx="82">
                  <c:v>8018085.9839224406</c:v>
                </c:pt>
                <c:pt idx="83">
                  <c:v>9793544.0126687065</c:v>
                </c:pt>
                <c:pt idx="84">
                  <c:v>11653473.686365895</c:v>
                </c:pt>
                <c:pt idx="85">
                  <c:v>13590534.712312967</c:v>
                </c:pt>
                <c:pt idx="86">
                  <c:v>15597082.39559952</c:v>
                </c:pt>
                <c:pt idx="87">
                  <c:v>17665197.80922405</c:v>
                </c:pt>
                <c:pt idx="88">
                  <c:v>19786719.046481047</c:v>
                </c:pt>
                <c:pt idx="89">
                  <c:v>21953273.43227791</c:v>
                </c:pt>
                <c:pt idx="90">
                  <c:v>24156310.566258453</c:v>
                </c:pt>
                <c:pt idx="91">
                  <c:v>26387136.06732678</c:v>
                </c:pt>
                <c:pt idx="92">
                  <c:v>28636945.886397403</c:v>
                </c:pt>
                <c:pt idx="93">
                  <c:v>30896861.051954787</c:v>
                </c:pt>
                <c:pt idx="94">
                  <c:v>33157962.711297505</c:v>
                </c:pt>
                <c:pt idx="95">
                  <c:v>35411327.329175219</c:v>
                </c:pt>
                <c:pt idx="96">
                  <c:v>37648061.904905543</c:v>
                </c:pt>
                <c:pt idx="97">
                  <c:v>39859339.068984881</c:v>
                </c:pt>
                <c:pt idx="98">
                  <c:v>42036431.920683071</c:v>
                </c:pt>
                <c:pt idx="99">
                  <c:v>44170748.469133556</c:v>
                </c:pt>
                <c:pt idx="100">
                  <c:v>46253865.541996092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A9-46E0-9C84-34023DADDD86}"/>
            </c:ext>
          </c:extLst>
        </c:ser>
        <c:ser>
          <c:idx val="3"/>
          <c:order val="3"/>
          <c:tx>
            <c:v>£20K/QALY</c:v>
          </c:tx>
          <c:spPr>
            <a:ln w="19050" cap="sq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PSA.Outputs!#REF!</c:f>
            </c:numRef>
          </c:xVal>
          <c:yVal>
            <c:numRef>
              <c:f>PSA.Outputs!#REF!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0A9-46E0-9C84-34023DADDD86}"/>
            </c:ext>
          </c:extLst>
        </c:ser>
        <c:ser>
          <c:idx val="4"/>
          <c:order val="4"/>
          <c:tx>
            <c:v>£30K/QALY</c:v>
          </c:tx>
          <c:spPr>
            <a:ln w="19050" cap="sq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PSA.Outputs!#REF!</c:f>
            </c:numRef>
          </c:xVal>
          <c:yVal>
            <c:numRef>
              <c:f>PSA.Outputs!#REF!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0A9-46E0-9C84-34023DADD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51936"/>
        <c:axId val="148562688"/>
        <c:extLst/>
      </c:scatterChart>
      <c:valAx>
        <c:axId val="148551936"/>
        <c:scaling>
          <c:orientation val="minMax"/>
          <c:max val="2000"/>
          <c:min val="-1200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strRef>
              <c:f>PSA.Outputs!$H$2</c:f>
              <c:strCache>
                <c:ptCount val="1"/>
                <c:pt idx="0">
                  <c:v>QALY impact of hazardous prescribing</c:v>
                </c:pt>
              </c:strCache>
            </c:strRef>
          </c:tx>
          <c:layout>
            <c:manualLayout>
              <c:xMode val="edge"/>
              <c:yMode val="edge"/>
              <c:x val="0.38477510805525456"/>
              <c:y val="0.83495771506499217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solidFill>
            <a:srgbClr val="FFFFFF"/>
          </a:solidFill>
          <a:ln w="19050" cap="sq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8562688"/>
        <c:crosses val="autoZero"/>
        <c:crossBetween val="midCat"/>
        <c:majorUnit val="2000"/>
      </c:valAx>
      <c:valAx>
        <c:axId val="148562688"/>
        <c:scaling>
          <c:orientation val="minMax"/>
          <c:max val="180000000"/>
          <c:min val="-4000000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strRef>
              <c:f>PSA.Outputs!$H$3</c:f>
              <c:strCache>
                <c:ptCount val="1"/>
                <c:pt idx="0">
                  <c:v>Cost impact of hazardous prescribing</c:v>
                </c:pt>
              </c:strCache>
            </c:strRef>
          </c:tx>
          <c:layout>
            <c:manualLayout>
              <c:xMode val="edge"/>
              <c:yMode val="edge"/>
              <c:x val="1.3263793615798398E-3"/>
              <c:y val="0.1370039701903895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&quot;£&quot;#,##0" sourceLinked="0"/>
        <c:majorTickMark val="none"/>
        <c:minorTickMark val="none"/>
        <c:tickLblPos val="low"/>
        <c:spPr>
          <a:solidFill>
            <a:srgbClr val="FFFFFF"/>
          </a:solidFill>
          <a:ln w="19050" cap="sq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8551936"/>
        <c:crosses val="autoZero"/>
        <c:crossBetween val="midCat"/>
        <c:majorUnit val="200000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"/>
          <c:y val="0.93458275531935675"/>
          <c:w val="1"/>
          <c:h val="6.4991044853884572E-2"/>
        </c:manualLayout>
      </c:layout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6702742034499"/>
          <c:y val="2.6518326238189182E-2"/>
          <c:w val="0.8176069091750986"/>
          <c:h val="0.75952378161166567"/>
        </c:manualLayout>
      </c:layout>
      <c:scatterChart>
        <c:scatterStyle val="lineMarker"/>
        <c:varyColors val="0"/>
        <c:ser>
          <c:idx val="0"/>
          <c:order val="0"/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>
                  <a:alpha val="5000"/>
                </a:srgbClr>
              </a:solidFill>
              <a:ln w="3175">
                <a:solidFill>
                  <a:srgbClr val="002060">
                    <a:alpha val="10000"/>
                  </a:srgbClr>
                </a:solidFill>
                <a:prstDash val="solid"/>
              </a:ln>
              <a:effectLst/>
            </c:spPr>
          </c:marker>
          <c:xVal>
            <c:numRef>
              <c:f>[0]!rngPSA.ScatterPair.QALYs</c:f>
              <c:numCache>
                <c:formatCode>\+0.0;\−0.0;0.0</c:formatCode>
                <c:ptCount val="1000"/>
                <c:pt idx="0">
                  <c:v>-6879.0715947478493</c:v>
                </c:pt>
                <c:pt idx="1">
                  <c:v>-5693.8424392899287</c:v>
                </c:pt>
                <c:pt idx="2">
                  <c:v>-5577.7627633588672</c:v>
                </c:pt>
                <c:pt idx="3">
                  <c:v>-5573.5834266291931</c:v>
                </c:pt>
                <c:pt idx="4">
                  <c:v>-7528.7824254827237</c:v>
                </c:pt>
                <c:pt idx="5">
                  <c:v>-5649.513184297668</c:v>
                </c:pt>
                <c:pt idx="6">
                  <c:v>-6274.3060663523265</c:v>
                </c:pt>
                <c:pt idx="7">
                  <c:v>-8325.9433765336089</c:v>
                </c:pt>
                <c:pt idx="8">
                  <c:v>-7095.1528393598473</c:v>
                </c:pt>
                <c:pt idx="9">
                  <c:v>-5715.385338351949</c:v>
                </c:pt>
                <c:pt idx="10">
                  <c:v>-6354.4768646739185</c:v>
                </c:pt>
                <c:pt idx="11">
                  <c:v>-4120.5097219774107</c:v>
                </c:pt>
                <c:pt idx="12">
                  <c:v>-7882.5097405315155</c:v>
                </c:pt>
                <c:pt idx="13">
                  <c:v>-6735.5202995349809</c:v>
                </c:pt>
                <c:pt idx="14">
                  <c:v>-6189.2268139212792</c:v>
                </c:pt>
                <c:pt idx="15">
                  <c:v>-5787.7698541812706</c:v>
                </c:pt>
                <c:pt idx="16">
                  <c:v>-5209.6654063881533</c:v>
                </c:pt>
                <c:pt idx="17">
                  <c:v>-4826.4435467784933</c:v>
                </c:pt>
                <c:pt idx="18">
                  <c:v>-5182.9102769730234</c:v>
                </c:pt>
                <c:pt idx="19">
                  <c:v>-6797.3901266840185</c:v>
                </c:pt>
                <c:pt idx="20">
                  <c:v>-6550.7665543893681</c:v>
                </c:pt>
                <c:pt idx="21">
                  <c:v>-6573.9201871590385</c:v>
                </c:pt>
                <c:pt idx="22">
                  <c:v>-5525.8350781909658</c:v>
                </c:pt>
                <c:pt idx="23">
                  <c:v>-4837.0243390468277</c:v>
                </c:pt>
                <c:pt idx="24">
                  <c:v>-7120.661713655114</c:v>
                </c:pt>
                <c:pt idx="25">
                  <c:v>-5321.4833249135681</c:v>
                </c:pt>
                <c:pt idx="26">
                  <c:v>-7026.5695820902038</c:v>
                </c:pt>
                <c:pt idx="27">
                  <c:v>-5893.3889897889812</c:v>
                </c:pt>
                <c:pt idx="28">
                  <c:v>-6496.3978834934387</c:v>
                </c:pt>
                <c:pt idx="29">
                  <c:v>-6391.5603052532897</c:v>
                </c:pt>
                <c:pt idx="30">
                  <c:v>-3740.9108139326659</c:v>
                </c:pt>
                <c:pt idx="31">
                  <c:v>-6658.8637352556079</c:v>
                </c:pt>
                <c:pt idx="32">
                  <c:v>-4863.6223470327523</c:v>
                </c:pt>
                <c:pt idx="33">
                  <c:v>-5567.4281568401311</c:v>
                </c:pt>
                <c:pt idx="34">
                  <c:v>-9319.1035425284535</c:v>
                </c:pt>
                <c:pt idx="35">
                  <c:v>-8078.2428519391669</c:v>
                </c:pt>
                <c:pt idx="36">
                  <c:v>-6343.3397144715382</c:v>
                </c:pt>
                <c:pt idx="37">
                  <c:v>-5934.7158329161157</c:v>
                </c:pt>
                <c:pt idx="38">
                  <c:v>-5791.0223827052032</c:v>
                </c:pt>
                <c:pt idx="39">
                  <c:v>-7778.3991658543819</c:v>
                </c:pt>
                <c:pt idx="40">
                  <c:v>-3863.6849219208707</c:v>
                </c:pt>
                <c:pt idx="41">
                  <c:v>-5693.0190174287854</c:v>
                </c:pt>
                <c:pt idx="42">
                  <c:v>-6179.6249363416118</c:v>
                </c:pt>
                <c:pt idx="43">
                  <c:v>-6786.5995277423499</c:v>
                </c:pt>
                <c:pt idx="44">
                  <c:v>-6502.9276506343967</c:v>
                </c:pt>
                <c:pt idx="45">
                  <c:v>-7479.8524283456327</c:v>
                </c:pt>
                <c:pt idx="46">
                  <c:v>-8966.9328036959341</c:v>
                </c:pt>
                <c:pt idx="47">
                  <c:v>-5958.1055636084802</c:v>
                </c:pt>
                <c:pt idx="48">
                  <c:v>-5056.4860770468131</c:v>
                </c:pt>
                <c:pt idx="49">
                  <c:v>-6130.3530156324869</c:v>
                </c:pt>
                <c:pt idx="50">
                  <c:v>-6260.3311565110607</c:v>
                </c:pt>
                <c:pt idx="51">
                  <c:v>-6437.5794901570389</c:v>
                </c:pt>
                <c:pt idx="52">
                  <c:v>-7961.8556706992886</c:v>
                </c:pt>
                <c:pt idx="53">
                  <c:v>-8577.5115735241161</c:v>
                </c:pt>
                <c:pt idx="54">
                  <c:v>-5633.3427537388279</c:v>
                </c:pt>
                <c:pt idx="55">
                  <c:v>-5778.0991514999769</c:v>
                </c:pt>
                <c:pt idx="56">
                  <c:v>-4230.6937992656012</c:v>
                </c:pt>
                <c:pt idx="57">
                  <c:v>-6872.909294660667</c:v>
                </c:pt>
                <c:pt idx="58">
                  <c:v>-6332.268857048397</c:v>
                </c:pt>
                <c:pt idx="59">
                  <c:v>-5035.6709452686191</c:v>
                </c:pt>
                <c:pt idx="60">
                  <c:v>-4769.6192794823983</c:v>
                </c:pt>
                <c:pt idx="61">
                  <c:v>-5298.9091878002891</c:v>
                </c:pt>
                <c:pt idx="62">
                  <c:v>-8629.4631774431327</c:v>
                </c:pt>
                <c:pt idx="63">
                  <c:v>-7881.5484439296897</c:v>
                </c:pt>
                <c:pt idx="64">
                  <c:v>-5919.9608447169921</c:v>
                </c:pt>
                <c:pt idx="65">
                  <c:v>-5939.4903793926023</c:v>
                </c:pt>
                <c:pt idx="66">
                  <c:v>-5141.0518961202961</c:v>
                </c:pt>
                <c:pt idx="67">
                  <c:v>-5548.1955095843077</c:v>
                </c:pt>
                <c:pt idx="68">
                  <c:v>-6670.1003717477297</c:v>
                </c:pt>
                <c:pt idx="69">
                  <c:v>-6759.4989302021095</c:v>
                </c:pt>
                <c:pt idx="70">
                  <c:v>-4074.4316377170871</c:v>
                </c:pt>
                <c:pt idx="71">
                  <c:v>-4228.4944911699959</c:v>
                </c:pt>
                <c:pt idx="72">
                  <c:v>-10048.022585417601</c:v>
                </c:pt>
                <c:pt idx="73">
                  <c:v>-6659.8561507971444</c:v>
                </c:pt>
                <c:pt idx="74">
                  <c:v>-7592.9837915219223</c:v>
                </c:pt>
                <c:pt idx="75">
                  <c:v>-6240.5266501025653</c:v>
                </c:pt>
                <c:pt idx="76">
                  <c:v>-6693.8045174231875</c:v>
                </c:pt>
                <c:pt idx="77">
                  <c:v>-4578.9711386764584</c:v>
                </c:pt>
                <c:pt idx="78">
                  <c:v>-5988.6495980791506</c:v>
                </c:pt>
                <c:pt idx="79">
                  <c:v>-7282.558359997307</c:v>
                </c:pt>
                <c:pt idx="80">
                  <c:v>-8633.9687615406292</c:v>
                </c:pt>
                <c:pt idx="81">
                  <c:v>-4332.6815267694838</c:v>
                </c:pt>
                <c:pt idx="82">
                  <c:v>-6356.5357397871376</c:v>
                </c:pt>
                <c:pt idx="83">
                  <c:v>-6319.4022845468689</c:v>
                </c:pt>
                <c:pt idx="84">
                  <c:v>-4288.5704680253684</c:v>
                </c:pt>
                <c:pt idx="85">
                  <c:v>-7645.0189446584727</c:v>
                </c:pt>
                <c:pt idx="86">
                  <c:v>-6174.864353028318</c:v>
                </c:pt>
                <c:pt idx="87">
                  <c:v>-5885.1434304992563</c:v>
                </c:pt>
                <c:pt idx="88">
                  <c:v>-6301.7069380883477</c:v>
                </c:pt>
                <c:pt idx="89">
                  <c:v>-5686.2945215611498</c:v>
                </c:pt>
                <c:pt idx="90">
                  <c:v>-6818.2235075680001</c:v>
                </c:pt>
                <c:pt idx="91">
                  <c:v>-7096.2189412365997</c:v>
                </c:pt>
                <c:pt idx="92">
                  <c:v>-4188.8933161981895</c:v>
                </c:pt>
                <c:pt idx="93">
                  <c:v>-5873.6872082576601</c:v>
                </c:pt>
                <c:pt idx="94">
                  <c:v>-4451.6699776779369</c:v>
                </c:pt>
                <c:pt idx="95">
                  <c:v>-5663.1808410786853</c:v>
                </c:pt>
                <c:pt idx="96">
                  <c:v>-5923.7636557100404</c:v>
                </c:pt>
                <c:pt idx="97">
                  <c:v>-4870.7012641172969</c:v>
                </c:pt>
                <c:pt idx="98">
                  <c:v>-4846.2903056872919</c:v>
                </c:pt>
                <c:pt idx="99">
                  <c:v>-7622.6974403005024</c:v>
                </c:pt>
                <c:pt idx="100">
                  <c:v>-5594.5693180245889</c:v>
                </c:pt>
                <c:pt idx="101">
                  <c:v>-6450.5972266367644</c:v>
                </c:pt>
                <c:pt idx="102">
                  <c:v>-6520.6056536988826</c:v>
                </c:pt>
                <c:pt idx="103">
                  <c:v>-5469.909078487136</c:v>
                </c:pt>
                <c:pt idx="104">
                  <c:v>-5331.2813132225401</c:v>
                </c:pt>
                <c:pt idx="105">
                  <c:v>-7340.743647439187</c:v>
                </c:pt>
                <c:pt idx="106">
                  <c:v>-6725.1657475796555</c:v>
                </c:pt>
                <c:pt idx="107">
                  <c:v>-5558.7123287755303</c:v>
                </c:pt>
                <c:pt idx="108">
                  <c:v>-5918.1076466997874</c:v>
                </c:pt>
                <c:pt idx="109">
                  <c:v>-4442.0053844135646</c:v>
                </c:pt>
                <c:pt idx="110">
                  <c:v>-4988.6227193235809</c:v>
                </c:pt>
                <c:pt idx="111">
                  <c:v>-5196.2390565725982</c:v>
                </c:pt>
                <c:pt idx="112">
                  <c:v>-5382.7966076764933</c:v>
                </c:pt>
                <c:pt idx="113">
                  <c:v>-5831.2037463269589</c:v>
                </c:pt>
                <c:pt idx="114">
                  <c:v>-8210.4793443004637</c:v>
                </c:pt>
                <c:pt idx="115">
                  <c:v>-7944.6185411854476</c:v>
                </c:pt>
                <c:pt idx="116">
                  <c:v>-6102.3211850132811</c:v>
                </c:pt>
                <c:pt idx="117">
                  <c:v>-6480.4520478893337</c:v>
                </c:pt>
                <c:pt idx="118">
                  <c:v>-5356.8810254986238</c:v>
                </c:pt>
                <c:pt idx="119">
                  <c:v>-8988.8784731675696</c:v>
                </c:pt>
                <c:pt idx="120">
                  <c:v>-5547.9923303081068</c:v>
                </c:pt>
                <c:pt idx="121">
                  <c:v>-4734.2794146136748</c:v>
                </c:pt>
                <c:pt idx="122">
                  <c:v>-5712.3183481925307</c:v>
                </c:pt>
                <c:pt idx="123">
                  <c:v>-4199.9692772129838</c:v>
                </c:pt>
                <c:pt idx="124">
                  <c:v>-7374.6497786924174</c:v>
                </c:pt>
                <c:pt idx="125">
                  <c:v>-5556.983840211612</c:v>
                </c:pt>
                <c:pt idx="126">
                  <c:v>-6726.648949078648</c:v>
                </c:pt>
                <c:pt idx="127">
                  <c:v>-5479.6817392258572</c:v>
                </c:pt>
                <c:pt idx="128">
                  <c:v>-6367.3651103505017</c:v>
                </c:pt>
                <c:pt idx="129">
                  <c:v>-5917.575493768185</c:v>
                </c:pt>
                <c:pt idx="130">
                  <c:v>-7628.3267233686902</c:v>
                </c:pt>
                <c:pt idx="131">
                  <c:v>-7036.9527750103261</c:v>
                </c:pt>
                <c:pt idx="132">
                  <c:v>-4536.2333225588027</c:v>
                </c:pt>
                <c:pt idx="133">
                  <c:v>-5828.8556650858227</c:v>
                </c:pt>
                <c:pt idx="134">
                  <c:v>-6251.243625454139</c:v>
                </c:pt>
                <c:pt idx="135">
                  <c:v>-7593.3344378934162</c:v>
                </c:pt>
                <c:pt idx="136">
                  <c:v>-7525.5262624481693</c:v>
                </c:pt>
                <c:pt idx="137">
                  <c:v>-5643.7983132416439</c:v>
                </c:pt>
                <c:pt idx="138">
                  <c:v>-7930.8086456311812</c:v>
                </c:pt>
                <c:pt idx="139">
                  <c:v>-5748.4684987379114</c:v>
                </c:pt>
                <c:pt idx="140">
                  <c:v>-5297.4375739871712</c:v>
                </c:pt>
                <c:pt idx="141">
                  <c:v>-6121.6007553948857</c:v>
                </c:pt>
                <c:pt idx="142">
                  <c:v>-6064.2318058061282</c:v>
                </c:pt>
                <c:pt idx="143">
                  <c:v>-5434.8285893117209</c:v>
                </c:pt>
                <c:pt idx="144">
                  <c:v>-6505.6994487514785</c:v>
                </c:pt>
                <c:pt idx="145">
                  <c:v>-6906.5728600290804</c:v>
                </c:pt>
                <c:pt idx="146">
                  <c:v>-5306.6148688099693</c:v>
                </c:pt>
                <c:pt idx="147">
                  <c:v>-7087.0768837672895</c:v>
                </c:pt>
                <c:pt idx="148">
                  <c:v>-5413.0081350700484</c:v>
                </c:pt>
                <c:pt idx="149">
                  <c:v>-5878.3897080346915</c:v>
                </c:pt>
                <c:pt idx="150">
                  <c:v>-4905.9176461170509</c:v>
                </c:pt>
                <c:pt idx="151">
                  <c:v>-5378.7901831535401</c:v>
                </c:pt>
                <c:pt idx="152">
                  <c:v>-5734.4193825439543</c:v>
                </c:pt>
                <c:pt idx="153">
                  <c:v>-8851.7461435701134</c:v>
                </c:pt>
                <c:pt idx="154">
                  <c:v>-6968.7541819369999</c:v>
                </c:pt>
                <c:pt idx="155">
                  <c:v>-4717.4668481063436</c:v>
                </c:pt>
                <c:pt idx="156">
                  <c:v>-7537.4392691590028</c:v>
                </c:pt>
                <c:pt idx="157">
                  <c:v>-6518.662201976661</c:v>
                </c:pt>
                <c:pt idx="158">
                  <c:v>-5540.3496634945805</c:v>
                </c:pt>
                <c:pt idx="159">
                  <c:v>-4774.2517045672721</c:v>
                </c:pt>
                <c:pt idx="160">
                  <c:v>-7240.970843208127</c:v>
                </c:pt>
                <c:pt idx="161">
                  <c:v>-8280.6275704519285</c:v>
                </c:pt>
                <c:pt idx="162">
                  <c:v>-5323.0090537143369</c:v>
                </c:pt>
                <c:pt idx="163">
                  <c:v>-4756.5497384842365</c:v>
                </c:pt>
                <c:pt idx="164">
                  <c:v>-3953.7835283318063</c:v>
                </c:pt>
                <c:pt idx="165">
                  <c:v>-6310.6603138470055</c:v>
                </c:pt>
                <c:pt idx="166">
                  <c:v>-5383.8530912804617</c:v>
                </c:pt>
                <c:pt idx="167">
                  <c:v>-6350.9565107393255</c:v>
                </c:pt>
                <c:pt idx="168">
                  <c:v>-4775.9678497616014</c:v>
                </c:pt>
                <c:pt idx="169">
                  <c:v>-5533.450371197755</c:v>
                </c:pt>
                <c:pt idx="170">
                  <c:v>-7017.5230903694246</c:v>
                </c:pt>
                <c:pt idx="171">
                  <c:v>-6813.0858102659076</c:v>
                </c:pt>
                <c:pt idx="172">
                  <c:v>-6332.9946367544808</c:v>
                </c:pt>
                <c:pt idx="173">
                  <c:v>-6058.7107592250977</c:v>
                </c:pt>
                <c:pt idx="174">
                  <c:v>-5141.6400826292975</c:v>
                </c:pt>
                <c:pt idx="175">
                  <c:v>-7090.1083160904082</c:v>
                </c:pt>
                <c:pt idx="176">
                  <c:v>-5333.6644386745802</c:v>
                </c:pt>
                <c:pt idx="177">
                  <c:v>-6502.0597028417133</c:v>
                </c:pt>
                <c:pt idx="178">
                  <c:v>-5810.5087152971164</c:v>
                </c:pt>
                <c:pt idx="179">
                  <c:v>-5565.5849222458737</c:v>
                </c:pt>
                <c:pt idx="180">
                  <c:v>-6250.4148131436659</c:v>
                </c:pt>
                <c:pt idx="181">
                  <c:v>-5199.4426751155415</c:v>
                </c:pt>
                <c:pt idx="182">
                  <c:v>-3986.4305934533795</c:v>
                </c:pt>
                <c:pt idx="183">
                  <c:v>-6833.2456014761956</c:v>
                </c:pt>
                <c:pt idx="184">
                  <c:v>-7682.1616061169907</c:v>
                </c:pt>
                <c:pt idx="185">
                  <c:v>-6905.460813913819</c:v>
                </c:pt>
                <c:pt idx="186">
                  <c:v>-6853.1796071955141</c:v>
                </c:pt>
                <c:pt idx="187">
                  <c:v>-5400.2028329500899</c:v>
                </c:pt>
                <c:pt idx="188">
                  <c:v>-7853.1542704730582</c:v>
                </c:pt>
                <c:pt idx="189">
                  <c:v>-5446.4512555603824</c:v>
                </c:pt>
                <c:pt idx="190">
                  <c:v>-5532.4302774535054</c:v>
                </c:pt>
                <c:pt idx="191">
                  <c:v>-5523.306179394669</c:v>
                </c:pt>
                <c:pt idx="192">
                  <c:v>-4544.8703787754339</c:v>
                </c:pt>
                <c:pt idx="193">
                  <c:v>-4693.6062028680544</c:v>
                </c:pt>
                <c:pt idx="194">
                  <c:v>-4641.7730211175103</c:v>
                </c:pt>
                <c:pt idx="195">
                  <c:v>-5995.4068979502035</c:v>
                </c:pt>
                <c:pt idx="196">
                  <c:v>-5122.7856512433782</c:v>
                </c:pt>
                <c:pt idx="197">
                  <c:v>-6612.0207349088641</c:v>
                </c:pt>
                <c:pt idx="198">
                  <c:v>-6914.6654281576557</c:v>
                </c:pt>
                <c:pt idx="199">
                  <c:v>-7557.7560348825509</c:v>
                </c:pt>
                <c:pt idx="200">
                  <c:v>-8902.2021777887148</c:v>
                </c:pt>
                <c:pt idx="201">
                  <c:v>-5794.4735418145046</c:v>
                </c:pt>
                <c:pt idx="202">
                  <c:v>-5575.7734886920452</c:v>
                </c:pt>
                <c:pt idx="203">
                  <c:v>-6679.4767862585231</c:v>
                </c:pt>
                <c:pt idx="204">
                  <c:v>-6842.5726447556735</c:v>
                </c:pt>
                <c:pt idx="205">
                  <c:v>-6564.5728746368532</c:v>
                </c:pt>
                <c:pt idx="206">
                  <c:v>-4744.9044290645552</c:v>
                </c:pt>
                <c:pt idx="207">
                  <c:v>-8134.0887794267583</c:v>
                </c:pt>
                <c:pt idx="208">
                  <c:v>-5554.7186786714219</c:v>
                </c:pt>
                <c:pt idx="209">
                  <c:v>-6008.2213107847929</c:v>
                </c:pt>
                <c:pt idx="210">
                  <c:v>-5696.1166780083313</c:v>
                </c:pt>
                <c:pt idx="211">
                  <c:v>-5849.881122509204</c:v>
                </c:pt>
                <c:pt idx="212">
                  <c:v>-6700.5646594347063</c:v>
                </c:pt>
                <c:pt idx="213">
                  <c:v>-6134.9057882525758</c:v>
                </c:pt>
                <c:pt idx="214">
                  <c:v>-6524.6524048921883</c:v>
                </c:pt>
                <c:pt idx="215">
                  <c:v>-5947.1587564135389</c:v>
                </c:pt>
                <c:pt idx="216">
                  <c:v>-6513.4331376572118</c:v>
                </c:pt>
                <c:pt idx="217">
                  <c:v>-5757.346940587403</c:v>
                </c:pt>
                <c:pt idx="218">
                  <c:v>-5153.4868325680964</c:v>
                </c:pt>
                <c:pt idx="219">
                  <c:v>-8097.2117704493503</c:v>
                </c:pt>
                <c:pt idx="220">
                  <c:v>-6126.4867293194284</c:v>
                </c:pt>
                <c:pt idx="221">
                  <c:v>-6461.2838398665044</c:v>
                </c:pt>
                <c:pt idx="222">
                  <c:v>-5342.1208756970882</c:v>
                </c:pt>
                <c:pt idx="223">
                  <c:v>-6981.871273591938</c:v>
                </c:pt>
                <c:pt idx="224">
                  <c:v>-5269.5639917113394</c:v>
                </c:pt>
                <c:pt idx="225">
                  <c:v>-7490.6144124606717</c:v>
                </c:pt>
                <c:pt idx="226">
                  <c:v>-7764.3096109701128</c:v>
                </c:pt>
                <c:pt idx="227">
                  <c:v>-6878.5566248773021</c:v>
                </c:pt>
                <c:pt idx="228">
                  <c:v>-4875.0631383731416</c:v>
                </c:pt>
                <c:pt idx="229">
                  <c:v>-5092.993049667255</c:v>
                </c:pt>
                <c:pt idx="230">
                  <c:v>-4321.0917378372378</c:v>
                </c:pt>
                <c:pt idx="231">
                  <c:v>-6349.7889858236922</c:v>
                </c:pt>
                <c:pt idx="232">
                  <c:v>-6732.5708436831073</c:v>
                </c:pt>
                <c:pt idx="233">
                  <c:v>-7035.42530628434</c:v>
                </c:pt>
                <c:pt idx="234">
                  <c:v>-6180.1016533970151</c:v>
                </c:pt>
                <c:pt idx="235">
                  <c:v>-6834.9294377881888</c:v>
                </c:pt>
                <c:pt idx="236">
                  <c:v>-7271.0284336472469</c:v>
                </c:pt>
                <c:pt idx="237">
                  <c:v>-6514.8174977333383</c:v>
                </c:pt>
                <c:pt idx="238">
                  <c:v>-5193.8204010914778</c:v>
                </c:pt>
                <c:pt idx="239">
                  <c:v>-5120.6019603673576</c:v>
                </c:pt>
                <c:pt idx="240">
                  <c:v>-6537.1822176314836</c:v>
                </c:pt>
                <c:pt idx="241">
                  <c:v>-7782.8148234012715</c:v>
                </c:pt>
                <c:pt idx="242">
                  <c:v>-7613.7203312659622</c:v>
                </c:pt>
                <c:pt idx="243">
                  <c:v>-5483.5991937078088</c:v>
                </c:pt>
                <c:pt idx="244">
                  <c:v>-5985.0636023136731</c:v>
                </c:pt>
                <c:pt idx="245">
                  <c:v>-6050.7949150674376</c:v>
                </c:pt>
                <c:pt idx="246">
                  <c:v>-5297.5759712273657</c:v>
                </c:pt>
                <c:pt idx="247">
                  <c:v>-5708.3216745442878</c:v>
                </c:pt>
                <c:pt idx="248">
                  <c:v>-5657.4877610037756</c:v>
                </c:pt>
                <c:pt idx="249">
                  <c:v>-7143.2017965499836</c:v>
                </c:pt>
                <c:pt idx="250">
                  <c:v>-6004.2252386246473</c:v>
                </c:pt>
                <c:pt idx="251">
                  <c:v>-4851.3388431055064</c:v>
                </c:pt>
                <c:pt idx="252">
                  <c:v>-6338.2627063808895</c:v>
                </c:pt>
                <c:pt idx="253">
                  <c:v>-6437.3896195240486</c:v>
                </c:pt>
                <c:pt idx="254">
                  <c:v>-6953.3010019048334</c:v>
                </c:pt>
                <c:pt idx="255">
                  <c:v>-6822.7723311510836</c:v>
                </c:pt>
                <c:pt idx="256">
                  <c:v>-6137.6643779546048</c:v>
                </c:pt>
                <c:pt idx="257">
                  <c:v>-5517.0138145247847</c:v>
                </c:pt>
                <c:pt idx="258">
                  <c:v>-6593.9004536450138</c:v>
                </c:pt>
                <c:pt idx="259">
                  <c:v>-6761.9104336986202</c:v>
                </c:pt>
                <c:pt idx="260">
                  <c:v>-5068.4538716095794</c:v>
                </c:pt>
                <c:pt idx="261">
                  <c:v>-9104.2354457859692</c:v>
                </c:pt>
                <c:pt idx="262">
                  <c:v>-4567.3101001714203</c:v>
                </c:pt>
                <c:pt idx="263">
                  <c:v>-6583.4449838136761</c:v>
                </c:pt>
                <c:pt idx="264">
                  <c:v>-8074.9134975582092</c:v>
                </c:pt>
                <c:pt idx="265">
                  <c:v>-6948.902163817037</c:v>
                </c:pt>
                <c:pt idx="266">
                  <c:v>-6231.9694946049312</c:v>
                </c:pt>
                <c:pt idx="267">
                  <c:v>-6211.5215030943991</c:v>
                </c:pt>
                <c:pt idx="268">
                  <c:v>-6040.4266552662757</c:v>
                </c:pt>
                <c:pt idx="269">
                  <c:v>-5379.2820519331817</c:v>
                </c:pt>
                <c:pt idx="270">
                  <c:v>-5598.4790756779867</c:v>
                </c:pt>
                <c:pt idx="271">
                  <c:v>-7219.0388352333994</c:v>
                </c:pt>
                <c:pt idx="272">
                  <c:v>-6005.6146296909246</c:v>
                </c:pt>
                <c:pt idx="273">
                  <c:v>-5388.8221015288482</c:v>
                </c:pt>
                <c:pt idx="274">
                  <c:v>-6196.3439689502211</c:v>
                </c:pt>
                <c:pt idx="275">
                  <c:v>-5231.5596787139502</c:v>
                </c:pt>
                <c:pt idx="276">
                  <c:v>-5148.3841229096406</c:v>
                </c:pt>
                <c:pt idx="277">
                  <c:v>-7942.0671101853131</c:v>
                </c:pt>
                <c:pt idx="278">
                  <c:v>-7423.427394628101</c:v>
                </c:pt>
                <c:pt idx="279">
                  <c:v>-5356.8090115727191</c:v>
                </c:pt>
                <c:pt idx="280">
                  <c:v>-7176.161004201268</c:v>
                </c:pt>
                <c:pt idx="281">
                  <c:v>-8674.5636097129354</c:v>
                </c:pt>
                <c:pt idx="282">
                  <c:v>-6307.4331885064057</c:v>
                </c:pt>
                <c:pt idx="283">
                  <c:v>-8005.081514710997</c:v>
                </c:pt>
                <c:pt idx="284">
                  <c:v>-6287.7081054996952</c:v>
                </c:pt>
                <c:pt idx="285">
                  <c:v>-6622.8679558328413</c:v>
                </c:pt>
                <c:pt idx="286">
                  <c:v>-4803.2149897773543</c:v>
                </c:pt>
                <c:pt idx="287">
                  <c:v>-4878.0832596216505</c:v>
                </c:pt>
                <c:pt idx="288">
                  <c:v>-5409.763968915202</c:v>
                </c:pt>
                <c:pt idx="289">
                  <c:v>-4877.4850157718365</c:v>
                </c:pt>
                <c:pt idx="290">
                  <c:v>-6748.536790811072</c:v>
                </c:pt>
                <c:pt idx="291">
                  <c:v>-5376.6049704151019</c:v>
                </c:pt>
                <c:pt idx="292">
                  <c:v>-6350.5555142438579</c:v>
                </c:pt>
                <c:pt idx="293">
                  <c:v>-5653.1202729852312</c:v>
                </c:pt>
                <c:pt idx="294">
                  <c:v>-8460.0276944129764</c:v>
                </c:pt>
                <c:pt idx="295">
                  <c:v>-6658.0594738591954</c:v>
                </c:pt>
                <c:pt idx="296">
                  <c:v>-6248.0174207958617</c:v>
                </c:pt>
                <c:pt idx="297">
                  <c:v>-5540.124689497472</c:v>
                </c:pt>
                <c:pt idx="298">
                  <c:v>-7338.9344956640789</c:v>
                </c:pt>
                <c:pt idx="299">
                  <c:v>-7361.3456648423326</c:v>
                </c:pt>
                <c:pt idx="300">
                  <c:v>-4707.1144383375113</c:v>
                </c:pt>
                <c:pt idx="301">
                  <c:v>-6843.3575484718785</c:v>
                </c:pt>
                <c:pt idx="302">
                  <c:v>-4090.508430485077</c:v>
                </c:pt>
                <c:pt idx="303">
                  <c:v>-7271.791654049699</c:v>
                </c:pt>
                <c:pt idx="304">
                  <c:v>-5439.9946954063316</c:v>
                </c:pt>
                <c:pt idx="305">
                  <c:v>-6006.0624873513416</c:v>
                </c:pt>
                <c:pt idx="306">
                  <c:v>-4093.4172384212552</c:v>
                </c:pt>
                <c:pt idx="307">
                  <c:v>-6101.8032833120697</c:v>
                </c:pt>
                <c:pt idx="308">
                  <c:v>-5492.0575850714995</c:v>
                </c:pt>
                <c:pt idx="309">
                  <c:v>-4617.2799822168172</c:v>
                </c:pt>
                <c:pt idx="310">
                  <c:v>-5700.1427525432855</c:v>
                </c:pt>
                <c:pt idx="311">
                  <c:v>-5673.0164299008857</c:v>
                </c:pt>
                <c:pt idx="312">
                  <c:v>-5620.6371715870637</c:v>
                </c:pt>
                <c:pt idx="313">
                  <c:v>-5900.4100776596897</c:v>
                </c:pt>
                <c:pt idx="314">
                  <c:v>-5499.2314787207461</c:v>
                </c:pt>
                <c:pt idx="315">
                  <c:v>-4630.223067958892</c:v>
                </c:pt>
                <c:pt idx="316">
                  <c:v>-4159.6624496705417</c:v>
                </c:pt>
                <c:pt idx="317">
                  <c:v>-4794.7564344462317</c:v>
                </c:pt>
                <c:pt idx="318">
                  <c:v>-5566.7975043347624</c:v>
                </c:pt>
                <c:pt idx="319">
                  <c:v>-5621.9880099381335</c:v>
                </c:pt>
                <c:pt idx="320">
                  <c:v>-5342.3593933967377</c:v>
                </c:pt>
                <c:pt idx="321">
                  <c:v>-5812.7892434421501</c:v>
                </c:pt>
                <c:pt idx="322">
                  <c:v>-7169.0992394788082</c:v>
                </c:pt>
                <c:pt idx="323">
                  <c:v>-5631.8805828606964</c:v>
                </c:pt>
                <c:pt idx="324">
                  <c:v>-6739.0293504222864</c:v>
                </c:pt>
                <c:pt idx="325">
                  <c:v>-7951.4351610221911</c:v>
                </c:pt>
                <c:pt idx="326">
                  <c:v>-5470.8273921062546</c:v>
                </c:pt>
                <c:pt idx="327">
                  <c:v>-6376.2324225200264</c:v>
                </c:pt>
                <c:pt idx="328">
                  <c:v>-5462.4602868927595</c:v>
                </c:pt>
                <c:pt idx="329">
                  <c:v>-6080.5969810778788</c:v>
                </c:pt>
                <c:pt idx="330">
                  <c:v>-4656.7714870247191</c:v>
                </c:pt>
                <c:pt idx="331">
                  <c:v>-6158.101760969651</c:v>
                </c:pt>
                <c:pt idx="332">
                  <c:v>-6469.1435554453692</c:v>
                </c:pt>
                <c:pt idx="333">
                  <c:v>-4762.3764025013515</c:v>
                </c:pt>
                <c:pt idx="334">
                  <c:v>-5576.4731978896652</c:v>
                </c:pt>
                <c:pt idx="335">
                  <c:v>-6429.7323184075185</c:v>
                </c:pt>
                <c:pt idx="336">
                  <c:v>-6442.3624879930539</c:v>
                </c:pt>
                <c:pt idx="337">
                  <c:v>-6002.4706193190523</c:v>
                </c:pt>
                <c:pt idx="338">
                  <c:v>-5433.5792820785</c:v>
                </c:pt>
                <c:pt idx="339">
                  <c:v>-6766.8129091977562</c:v>
                </c:pt>
                <c:pt idx="340">
                  <c:v>-9061.1942284524157</c:v>
                </c:pt>
                <c:pt idx="341">
                  <c:v>-5418.759224732531</c:v>
                </c:pt>
                <c:pt idx="342">
                  <c:v>-5881.0200092006562</c:v>
                </c:pt>
                <c:pt idx="343">
                  <c:v>-5589.8812802990942</c:v>
                </c:pt>
                <c:pt idx="344">
                  <c:v>-6224.7598668297833</c:v>
                </c:pt>
                <c:pt idx="345">
                  <c:v>-6600.2044639010919</c:v>
                </c:pt>
                <c:pt idx="346">
                  <c:v>-6004.7850800550541</c:v>
                </c:pt>
                <c:pt idx="347">
                  <c:v>-7026.3298992521995</c:v>
                </c:pt>
                <c:pt idx="348">
                  <c:v>-6672.7906689892079</c:v>
                </c:pt>
                <c:pt idx="349">
                  <c:v>-5433.2700834100369</c:v>
                </c:pt>
                <c:pt idx="350">
                  <c:v>-5633.219983613777</c:v>
                </c:pt>
                <c:pt idx="351">
                  <c:v>-6847.3506520194205</c:v>
                </c:pt>
                <c:pt idx="352">
                  <c:v>-5677.6239805397345</c:v>
                </c:pt>
                <c:pt idx="353">
                  <c:v>-7770.8703487349285</c:v>
                </c:pt>
                <c:pt idx="354">
                  <c:v>-6314.9979280952412</c:v>
                </c:pt>
                <c:pt idx="355">
                  <c:v>-5949.3375798501675</c:v>
                </c:pt>
                <c:pt idx="356">
                  <c:v>-5173.8696327560865</c:v>
                </c:pt>
                <c:pt idx="357">
                  <c:v>-6199.3208703234304</c:v>
                </c:pt>
                <c:pt idx="358">
                  <c:v>-7427.6061018726559</c:v>
                </c:pt>
                <c:pt idx="359">
                  <c:v>-5514.3046442488485</c:v>
                </c:pt>
                <c:pt idx="360">
                  <c:v>-6865.1668917345669</c:v>
                </c:pt>
                <c:pt idx="361">
                  <c:v>-7390.2666340112692</c:v>
                </c:pt>
                <c:pt idx="362">
                  <c:v>-5477.1827666862155</c:v>
                </c:pt>
                <c:pt idx="363">
                  <c:v>-5071.6922538749368</c:v>
                </c:pt>
                <c:pt idx="364">
                  <c:v>-7169.8530344462706</c:v>
                </c:pt>
                <c:pt idx="365">
                  <c:v>-8500.6238690774462</c:v>
                </c:pt>
                <c:pt idx="366">
                  <c:v>-4995.7403198280717</c:v>
                </c:pt>
                <c:pt idx="367">
                  <c:v>-6360.952909263895</c:v>
                </c:pt>
                <c:pt idx="368">
                  <c:v>-4410.1759349489676</c:v>
                </c:pt>
                <c:pt idx="369">
                  <c:v>-6426.8332604244106</c:v>
                </c:pt>
                <c:pt idx="370">
                  <c:v>-7314.5182307005471</c:v>
                </c:pt>
                <c:pt idx="371">
                  <c:v>-5644.5284735052501</c:v>
                </c:pt>
                <c:pt idx="372">
                  <c:v>-4382.6961662804333</c:v>
                </c:pt>
                <c:pt idx="373">
                  <c:v>-6002.8596618911952</c:v>
                </c:pt>
                <c:pt idx="374">
                  <c:v>-6880.1601667796667</c:v>
                </c:pt>
                <c:pt idx="375">
                  <c:v>-5930.0603388401451</c:v>
                </c:pt>
                <c:pt idx="376">
                  <c:v>-7082.2601791380821</c:v>
                </c:pt>
                <c:pt idx="377">
                  <c:v>-5200.6775327584719</c:v>
                </c:pt>
                <c:pt idx="378">
                  <c:v>-6415.5978654232076</c:v>
                </c:pt>
                <c:pt idx="379">
                  <c:v>-7139.3435986248332</c:v>
                </c:pt>
                <c:pt idx="380">
                  <c:v>-6533.7801067258406</c:v>
                </c:pt>
                <c:pt idx="381">
                  <c:v>-6451.4919777432078</c:v>
                </c:pt>
                <c:pt idx="382">
                  <c:v>-10604.481929986221</c:v>
                </c:pt>
                <c:pt idx="383">
                  <c:v>-7638.1665089370208</c:v>
                </c:pt>
                <c:pt idx="384">
                  <c:v>-5919.7686929940755</c:v>
                </c:pt>
                <c:pt idx="385">
                  <c:v>-5867.5040229116839</c:v>
                </c:pt>
                <c:pt idx="386">
                  <c:v>-7084.6083265805082</c:v>
                </c:pt>
                <c:pt idx="387">
                  <c:v>-5548.182677434188</c:v>
                </c:pt>
                <c:pt idx="388">
                  <c:v>-5219.6816760986048</c:v>
                </c:pt>
                <c:pt idx="389">
                  <c:v>-6499.8196745206942</c:v>
                </c:pt>
                <c:pt idx="390">
                  <c:v>-6034.989638441466</c:v>
                </c:pt>
                <c:pt idx="391">
                  <c:v>-6710.1273580360912</c:v>
                </c:pt>
                <c:pt idx="392">
                  <c:v>-4441.5973242918353</c:v>
                </c:pt>
                <c:pt idx="393">
                  <c:v>-5741.6836452621355</c:v>
                </c:pt>
                <c:pt idx="394">
                  <c:v>-4859.5518504192432</c:v>
                </c:pt>
                <c:pt idx="395">
                  <c:v>-5689.3524838339581</c:v>
                </c:pt>
                <c:pt idx="396">
                  <c:v>-5808.2409022702632</c:v>
                </c:pt>
                <c:pt idx="397">
                  <c:v>-5703.896362872807</c:v>
                </c:pt>
                <c:pt idx="398">
                  <c:v>-6176.9110302066292</c:v>
                </c:pt>
                <c:pt idx="399">
                  <c:v>-7449.9105212742197</c:v>
                </c:pt>
                <c:pt idx="400">
                  <c:v>-5825.4808518791333</c:v>
                </c:pt>
                <c:pt idx="401">
                  <c:v>-4902.8571515468166</c:v>
                </c:pt>
                <c:pt idx="402">
                  <c:v>-7162.5324702686194</c:v>
                </c:pt>
                <c:pt idx="403">
                  <c:v>-6133.560370203566</c:v>
                </c:pt>
                <c:pt idx="404">
                  <c:v>-4455.6320473891328</c:v>
                </c:pt>
                <c:pt idx="405">
                  <c:v>-5114.1704532913254</c:v>
                </c:pt>
                <c:pt idx="406">
                  <c:v>-7247.9624749286559</c:v>
                </c:pt>
                <c:pt idx="407">
                  <c:v>-5317.3969830563346</c:v>
                </c:pt>
                <c:pt idx="408">
                  <c:v>-7511.2448979364144</c:v>
                </c:pt>
                <c:pt idx="409">
                  <c:v>-5651.6676165349145</c:v>
                </c:pt>
                <c:pt idx="410">
                  <c:v>-5395.8574523043235</c:v>
                </c:pt>
                <c:pt idx="411">
                  <c:v>-4895.5570313357221</c:v>
                </c:pt>
                <c:pt idx="412">
                  <c:v>-5442.3790837471588</c:v>
                </c:pt>
                <c:pt idx="413">
                  <c:v>-6288.887686119273</c:v>
                </c:pt>
                <c:pt idx="414">
                  <c:v>-5258.4113507635675</c:v>
                </c:pt>
                <c:pt idx="415">
                  <c:v>-5759.6890939222149</c:v>
                </c:pt>
                <c:pt idx="416">
                  <c:v>-5873.7221258439222</c:v>
                </c:pt>
                <c:pt idx="417">
                  <c:v>-5385.8299813191779</c:v>
                </c:pt>
                <c:pt idx="418">
                  <c:v>-7284.3170425846447</c:v>
                </c:pt>
                <c:pt idx="419">
                  <c:v>-5985.271098275417</c:v>
                </c:pt>
                <c:pt idx="420">
                  <c:v>-6754.1629970012764</c:v>
                </c:pt>
                <c:pt idx="421">
                  <c:v>-5357.6807329492212</c:v>
                </c:pt>
                <c:pt idx="422">
                  <c:v>-6323.7489411429569</c:v>
                </c:pt>
                <c:pt idx="423">
                  <c:v>-5013.5415003941671</c:v>
                </c:pt>
                <c:pt idx="424">
                  <c:v>-4521.6318514401855</c:v>
                </c:pt>
                <c:pt idx="425">
                  <c:v>-5554.8036131544313</c:v>
                </c:pt>
                <c:pt idx="426">
                  <c:v>-5316.321601218393</c:v>
                </c:pt>
                <c:pt idx="427">
                  <c:v>-6572.2036843608839</c:v>
                </c:pt>
                <c:pt idx="428">
                  <c:v>-5878.6809943745466</c:v>
                </c:pt>
                <c:pt idx="429">
                  <c:v>-6566.7389080510775</c:v>
                </c:pt>
                <c:pt idx="430">
                  <c:v>-6105.4425698342648</c:v>
                </c:pt>
                <c:pt idx="431">
                  <c:v>-6542.4551475390144</c:v>
                </c:pt>
                <c:pt idx="432">
                  <c:v>-6229.162436244731</c:v>
                </c:pt>
                <c:pt idx="433">
                  <c:v>-6076.3129749766395</c:v>
                </c:pt>
                <c:pt idx="434">
                  <c:v>-4613.9187482767693</c:v>
                </c:pt>
                <c:pt idx="435">
                  <c:v>-6164.9991557215644</c:v>
                </c:pt>
                <c:pt idx="436">
                  <c:v>-4922.7696516941269</c:v>
                </c:pt>
                <c:pt idx="437">
                  <c:v>-5683.9457224740618</c:v>
                </c:pt>
                <c:pt idx="438">
                  <c:v>-5652.0300076367084</c:v>
                </c:pt>
                <c:pt idx="439">
                  <c:v>-6104.660906476136</c:v>
                </c:pt>
                <c:pt idx="440">
                  <c:v>-4860.4441890396711</c:v>
                </c:pt>
                <c:pt idx="441">
                  <c:v>-5399.6268022968452</c:v>
                </c:pt>
                <c:pt idx="442">
                  <c:v>-6857.376276354993</c:v>
                </c:pt>
                <c:pt idx="443">
                  <c:v>-7059.3554031456024</c:v>
                </c:pt>
                <c:pt idx="444">
                  <c:v>-9792.7302403624144</c:v>
                </c:pt>
                <c:pt idx="445">
                  <c:v>-4983.7554466117926</c:v>
                </c:pt>
                <c:pt idx="446">
                  <c:v>-6397.3299579511031</c:v>
                </c:pt>
                <c:pt idx="447">
                  <c:v>-7243.3109186659767</c:v>
                </c:pt>
                <c:pt idx="448">
                  <c:v>-6369.3938836529878</c:v>
                </c:pt>
                <c:pt idx="449">
                  <c:v>-5492.4964892256621</c:v>
                </c:pt>
                <c:pt idx="450">
                  <c:v>-5040.2934980978916</c:v>
                </c:pt>
                <c:pt idx="451">
                  <c:v>-6296.0687474449078</c:v>
                </c:pt>
                <c:pt idx="452">
                  <c:v>-5158.9983476086427</c:v>
                </c:pt>
                <c:pt idx="453">
                  <c:v>-5904.258970289764</c:v>
                </c:pt>
                <c:pt idx="454">
                  <c:v>-4844.2556818616395</c:v>
                </c:pt>
                <c:pt idx="455">
                  <c:v>-6261.0106107891761</c:v>
                </c:pt>
                <c:pt idx="456">
                  <c:v>-4902.6634392013311</c:v>
                </c:pt>
                <c:pt idx="457">
                  <c:v>-7148.8064059560193</c:v>
                </c:pt>
                <c:pt idx="458">
                  <c:v>-4952.1701769174915</c:v>
                </c:pt>
                <c:pt idx="459">
                  <c:v>-8279.3712063462226</c:v>
                </c:pt>
                <c:pt idx="460">
                  <c:v>-6090.3422410999592</c:v>
                </c:pt>
                <c:pt idx="461">
                  <c:v>-6421.3667346997445</c:v>
                </c:pt>
                <c:pt idx="462">
                  <c:v>-7129.5219285552521</c:v>
                </c:pt>
                <c:pt idx="463">
                  <c:v>-7040.8497939315976</c:v>
                </c:pt>
                <c:pt idx="464">
                  <c:v>-6232.3387087739902</c:v>
                </c:pt>
                <c:pt idx="465">
                  <c:v>-5048.6912745680838</c:v>
                </c:pt>
                <c:pt idx="466">
                  <c:v>-5952.8618855592904</c:v>
                </c:pt>
                <c:pt idx="467">
                  <c:v>-5563.8390832881969</c:v>
                </c:pt>
                <c:pt idx="468">
                  <c:v>-6803.1293308321865</c:v>
                </c:pt>
                <c:pt idx="469">
                  <c:v>-5795.8764046934239</c:v>
                </c:pt>
                <c:pt idx="470">
                  <c:v>-8539.133061870838</c:v>
                </c:pt>
                <c:pt idx="471">
                  <c:v>-5704.7468491115069</c:v>
                </c:pt>
                <c:pt idx="472">
                  <c:v>-5484.2586777583956</c:v>
                </c:pt>
                <c:pt idx="473">
                  <c:v>-6159.7483439316347</c:v>
                </c:pt>
                <c:pt idx="474">
                  <c:v>-5700.2920042805636</c:v>
                </c:pt>
                <c:pt idx="475">
                  <c:v>-6099.2019501206423</c:v>
                </c:pt>
                <c:pt idx="476">
                  <c:v>-7509.2539163729816</c:v>
                </c:pt>
                <c:pt idx="477">
                  <c:v>-6210.3749710441707</c:v>
                </c:pt>
                <c:pt idx="478">
                  <c:v>-5684.6712894221009</c:v>
                </c:pt>
                <c:pt idx="479">
                  <c:v>-4984.9014543892026</c:v>
                </c:pt>
                <c:pt idx="480">
                  <c:v>-5142.4953195764301</c:v>
                </c:pt>
                <c:pt idx="481">
                  <c:v>-6848.1208485588086</c:v>
                </c:pt>
                <c:pt idx="482">
                  <c:v>-5454.9677963613476</c:v>
                </c:pt>
                <c:pt idx="483">
                  <c:v>-6777.0735878725245</c:v>
                </c:pt>
                <c:pt idx="484">
                  <c:v>-5294.0177336020279</c:v>
                </c:pt>
                <c:pt idx="485">
                  <c:v>-7009.3324163994293</c:v>
                </c:pt>
                <c:pt idx="486">
                  <c:v>-4976.9016792959046</c:v>
                </c:pt>
                <c:pt idx="487">
                  <c:v>-6930.7869660856359</c:v>
                </c:pt>
                <c:pt idx="488">
                  <c:v>-6699.3749411280005</c:v>
                </c:pt>
                <c:pt idx="489">
                  <c:v>-5034.3360531908511</c:v>
                </c:pt>
                <c:pt idx="490">
                  <c:v>-9688.6867134537897</c:v>
                </c:pt>
                <c:pt idx="491">
                  <c:v>-4824.4252234427404</c:v>
                </c:pt>
                <c:pt idx="492">
                  <c:v>-5735.5731544910523</c:v>
                </c:pt>
                <c:pt idx="493">
                  <c:v>-7442.1790809745698</c:v>
                </c:pt>
                <c:pt idx="494">
                  <c:v>-7745.8454890075882</c:v>
                </c:pt>
                <c:pt idx="495">
                  <c:v>-6234.3393701217155</c:v>
                </c:pt>
                <c:pt idx="496">
                  <c:v>-6722.5252735073482</c:v>
                </c:pt>
                <c:pt idx="497">
                  <c:v>-5230.6839693663242</c:v>
                </c:pt>
                <c:pt idx="498">
                  <c:v>-5577.7603319263435</c:v>
                </c:pt>
                <c:pt idx="499">
                  <c:v>-7065.613460860337</c:v>
                </c:pt>
                <c:pt idx="500">
                  <c:v>-6438.2876709327638</c:v>
                </c:pt>
                <c:pt idx="501">
                  <c:v>-4934.3378340410381</c:v>
                </c:pt>
                <c:pt idx="502">
                  <c:v>-6624.8958251685717</c:v>
                </c:pt>
                <c:pt idx="503">
                  <c:v>-5962.5707858457836</c:v>
                </c:pt>
                <c:pt idx="504">
                  <c:v>-6272.1034491226746</c:v>
                </c:pt>
                <c:pt idx="505">
                  <c:v>-7602.9924374855982</c:v>
                </c:pt>
                <c:pt idx="506">
                  <c:v>-7263.137273855039</c:v>
                </c:pt>
                <c:pt idx="507">
                  <c:v>-6749.7842075261915</c:v>
                </c:pt>
                <c:pt idx="508">
                  <c:v>-7120.5560124053836</c:v>
                </c:pt>
                <c:pt idx="509">
                  <c:v>-5380.1743728059109</c:v>
                </c:pt>
                <c:pt idx="510">
                  <c:v>-5103.8505202401475</c:v>
                </c:pt>
                <c:pt idx="511">
                  <c:v>-6197.1973139162892</c:v>
                </c:pt>
                <c:pt idx="512">
                  <c:v>-5946.707073246389</c:v>
                </c:pt>
                <c:pt idx="513">
                  <c:v>-5913.8558701995034</c:v>
                </c:pt>
                <c:pt idx="514">
                  <c:v>-7401.7407944711304</c:v>
                </c:pt>
                <c:pt idx="515">
                  <c:v>-4013.943964016396</c:v>
                </c:pt>
                <c:pt idx="516">
                  <c:v>-5340.3626681905498</c:v>
                </c:pt>
                <c:pt idx="517">
                  <c:v>-7683.9743824763091</c:v>
                </c:pt>
                <c:pt idx="518">
                  <c:v>-7102.0537806400553</c:v>
                </c:pt>
                <c:pt idx="519">
                  <c:v>-6936.5067134457749</c:v>
                </c:pt>
                <c:pt idx="520">
                  <c:v>-7436.6128381802537</c:v>
                </c:pt>
                <c:pt idx="521">
                  <c:v>-4659.3658121686667</c:v>
                </c:pt>
                <c:pt idx="522">
                  <c:v>-4997.6211064338022</c:v>
                </c:pt>
                <c:pt idx="523">
                  <c:v>-5274.8415319957294</c:v>
                </c:pt>
                <c:pt idx="524">
                  <c:v>-6463.9611808011377</c:v>
                </c:pt>
                <c:pt idx="525">
                  <c:v>-6116.2834281193755</c:v>
                </c:pt>
                <c:pt idx="526">
                  <c:v>-6470.7681029942105</c:v>
                </c:pt>
                <c:pt idx="527">
                  <c:v>-5276.9771021803472</c:v>
                </c:pt>
                <c:pt idx="528">
                  <c:v>-7123.3867774768751</c:v>
                </c:pt>
                <c:pt idx="529">
                  <c:v>-4992.085811200488</c:v>
                </c:pt>
                <c:pt idx="530">
                  <c:v>-5633.2424622369017</c:v>
                </c:pt>
                <c:pt idx="531">
                  <c:v>-5727.8145009150849</c:v>
                </c:pt>
                <c:pt idx="532">
                  <c:v>-5054.3473586240952</c:v>
                </c:pt>
                <c:pt idx="533">
                  <c:v>-7944.7252464668563</c:v>
                </c:pt>
                <c:pt idx="534">
                  <c:v>-6405.1208009971469</c:v>
                </c:pt>
                <c:pt idx="535">
                  <c:v>-6120.2772115051812</c:v>
                </c:pt>
                <c:pt idx="536">
                  <c:v>-5218.2858192444</c:v>
                </c:pt>
                <c:pt idx="537">
                  <c:v>-6038.3216401761711</c:v>
                </c:pt>
                <c:pt idx="538">
                  <c:v>-6893.6934736696294</c:v>
                </c:pt>
                <c:pt idx="539">
                  <c:v>-5921.4760667335868</c:v>
                </c:pt>
                <c:pt idx="540">
                  <c:v>-6678.2712433227225</c:v>
                </c:pt>
                <c:pt idx="541">
                  <c:v>-5329.4099045191451</c:v>
                </c:pt>
                <c:pt idx="542">
                  <c:v>-7201.7061461559642</c:v>
                </c:pt>
                <c:pt idx="543">
                  <c:v>-6590.0515576978023</c:v>
                </c:pt>
                <c:pt idx="544">
                  <c:v>-5526.3001834480683</c:v>
                </c:pt>
                <c:pt idx="545">
                  <c:v>-6402.0982304643085</c:v>
                </c:pt>
                <c:pt idx="546">
                  <c:v>-5999.2413486024234</c:v>
                </c:pt>
                <c:pt idx="547">
                  <c:v>-5008.7533867891279</c:v>
                </c:pt>
                <c:pt idx="548">
                  <c:v>-6038.7561937574674</c:v>
                </c:pt>
                <c:pt idx="549">
                  <c:v>-5533.7449328178745</c:v>
                </c:pt>
                <c:pt idx="550">
                  <c:v>-6477.5325641179079</c:v>
                </c:pt>
                <c:pt idx="551">
                  <c:v>-7028.8668685716202</c:v>
                </c:pt>
                <c:pt idx="552">
                  <c:v>-6733.3603285647869</c:v>
                </c:pt>
                <c:pt idx="553">
                  <c:v>-5800.2798167439205</c:v>
                </c:pt>
                <c:pt idx="554">
                  <c:v>-7447.7126033895265</c:v>
                </c:pt>
                <c:pt idx="555">
                  <c:v>-4112.3039114407784</c:v>
                </c:pt>
                <c:pt idx="556">
                  <c:v>-4705.4816371401339</c:v>
                </c:pt>
                <c:pt idx="557">
                  <c:v>-6811.4135078299969</c:v>
                </c:pt>
                <c:pt idx="558">
                  <c:v>-9043.0721719134781</c:v>
                </c:pt>
                <c:pt idx="559">
                  <c:v>-5388.3209395481526</c:v>
                </c:pt>
                <c:pt idx="560">
                  <c:v>-6583.2681941504743</c:v>
                </c:pt>
                <c:pt idx="561">
                  <c:v>-6902.068100333624</c:v>
                </c:pt>
                <c:pt idx="562">
                  <c:v>-6941.5822683689203</c:v>
                </c:pt>
                <c:pt idx="563">
                  <c:v>-4220.5281659231432</c:v>
                </c:pt>
                <c:pt idx="564">
                  <c:v>-5719.9034114735223</c:v>
                </c:pt>
                <c:pt idx="565">
                  <c:v>-6952.9908026520989</c:v>
                </c:pt>
                <c:pt idx="566">
                  <c:v>-5543.1188041441455</c:v>
                </c:pt>
                <c:pt idx="567">
                  <c:v>-5634.2250725038284</c:v>
                </c:pt>
                <c:pt idx="568">
                  <c:v>-4686.2893215286585</c:v>
                </c:pt>
                <c:pt idx="569">
                  <c:v>-5437.4439854596476</c:v>
                </c:pt>
                <c:pt idx="570">
                  <c:v>-4590.5823398854754</c:v>
                </c:pt>
                <c:pt idx="571">
                  <c:v>-5204.0915897366913</c:v>
                </c:pt>
                <c:pt idx="572">
                  <c:v>-4790.3944128849598</c:v>
                </c:pt>
                <c:pt idx="573">
                  <c:v>-7050.0242781681463</c:v>
                </c:pt>
                <c:pt idx="574">
                  <c:v>-6610.4424562634886</c:v>
                </c:pt>
                <c:pt idx="575">
                  <c:v>-3516.3623256803953</c:v>
                </c:pt>
                <c:pt idx="576">
                  <c:v>-6796.0944590467698</c:v>
                </c:pt>
                <c:pt idx="577">
                  <c:v>-6192.559337605524</c:v>
                </c:pt>
                <c:pt idx="578">
                  <c:v>-5942.8119064428411</c:v>
                </c:pt>
                <c:pt idx="579">
                  <c:v>-4596.3831185799118</c:v>
                </c:pt>
                <c:pt idx="580">
                  <c:v>-6379.1978138954091</c:v>
                </c:pt>
                <c:pt idx="581">
                  <c:v>-6672.0360031719629</c:v>
                </c:pt>
                <c:pt idx="582">
                  <c:v>-7810.7574602544082</c:v>
                </c:pt>
                <c:pt idx="583">
                  <c:v>-7627.1493532262102</c:v>
                </c:pt>
                <c:pt idx="584">
                  <c:v>-5247.4523878507616</c:v>
                </c:pt>
                <c:pt idx="585">
                  <c:v>-5482.5794616100184</c:v>
                </c:pt>
                <c:pt idx="586">
                  <c:v>-5746.7622733840444</c:v>
                </c:pt>
                <c:pt idx="587">
                  <c:v>-4891.963917382368</c:v>
                </c:pt>
                <c:pt idx="588">
                  <c:v>-4352.7881412378065</c:v>
                </c:pt>
                <c:pt idx="589">
                  <c:v>-4531.5774864381301</c:v>
                </c:pt>
                <c:pt idx="590">
                  <c:v>-5129.73153845655</c:v>
                </c:pt>
                <c:pt idx="591">
                  <c:v>-8377.7500369323807</c:v>
                </c:pt>
                <c:pt idx="592">
                  <c:v>-8267.8559841623464</c:v>
                </c:pt>
                <c:pt idx="593">
                  <c:v>-5173.5122483619098</c:v>
                </c:pt>
                <c:pt idx="594">
                  <c:v>-6925.2299318896457</c:v>
                </c:pt>
                <c:pt idx="595">
                  <c:v>-7340.5010568689922</c:v>
                </c:pt>
                <c:pt idx="596">
                  <c:v>-6211.4938953768824</c:v>
                </c:pt>
                <c:pt idx="597">
                  <c:v>-6745.4237451190929</c:v>
                </c:pt>
                <c:pt idx="598">
                  <c:v>-6581.1280376733157</c:v>
                </c:pt>
                <c:pt idx="599">
                  <c:v>-8058.59141770112</c:v>
                </c:pt>
                <c:pt idx="600">
                  <c:v>-5577.3635209741205</c:v>
                </c:pt>
                <c:pt idx="601">
                  <c:v>-5412.4340433802008</c:v>
                </c:pt>
                <c:pt idx="602">
                  <c:v>-6834.2135262484389</c:v>
                </c:pt>
                <c:pt idx="603">
                  <c:v>-3743.6991913721035</c:v>
                </c:pt>
                <c:pt idx="604">
                  <c:v>-5843.8813707290328</c:v>
                </c:pt>
                <c:pt idx="605">
                  <c:v>-7129.5227666466662</c:v>
                </c:pt>
                <c:pt idx="606">
                  <c:v>-6268.2003605383525</c:v>
                </c:pt>
                <c:pt idx="607">
                  <c:v>-6772.6820129477001</c:v>
                </c:pt>
                <c:pt idx="608">
                  <c:v>-5320.0739428860416</c:v>
                </c:pt>
                <c:pt idx="609">
                  <c:v>-8191.9724223470275</c:v>
                </c:pt>
                <c:pt idx="610">
                  <c:v>-5980.8058141702386</c:v>
                </c:pt>
                <c:pt idx="611">
                  <c:v>-4975.7654919824527</c:v>
                </c:pt>
                <c:pt idx="612">
                  <c:v>-4655.2542111371076</c:v>
                </c:pt>
                <c:pt idx="613">
                  <c:v>-5649.3605651106946</c:v>
                </c:pt>
                <c:pt idx="614">
                  <c:v>-4395.134832750533</c:v>
                </c:pt>
                <c:pt idx="615">
                  <c:v>-5234.6345655747555</c:v>
                </c:pt>
                <c:pt idx="616">
                  <c:v>-6966.3872714904282</c:v>
                </c:pt>
                <c:pt idx="617">
                  <c:v>-5924.0221437625169</c:v>
                </c:pt>
                <c:pt idx="618">
                  <c:v>-5005.2627101797007</c:v>
                </c:pt>
                <c:pt idx="619">
                  <c:v>-5892.472547532243</c:v>
                </c:pt>
                <c:pt idx="620">
                  <c:v>-6091.1274554183547</c:v>
                </c:pt>
                <c:pt idx="621">
                  <c:v>-7010.2100159653892</c:v>
                </c:pt>
                <c:pt idx="622">
                  <c:v>-6354.457636573663</c:v>
                </c:pt>
                <c:pt idx="623">
                  <c:v>-4299.210805881029</c:v>
                </c:pt>
                <c:pt idx="624">
                  <c:v>-7472.0768881066242</c:v>
                </c:pt>
                <c:pt idx="625">
                  <c:v>-8284.1576614291353</c:v>
                </c:pt>
                <c:pt idx="626">
                  <c:v>-6954.4764112448893</c:v>
                </c:pt>
                <c:pt idx="627">
                  <c:v>-4849.3254580950797</c:v>
                </c:pt>
                <c:pt idx="628">
                  <c:v>-6316.9040017727475</c:v>
                </c:pt>
                <c:pt idx="629">
                  <c:v>-6099.9433086442077</c:v>
                </c:pt>
                <c:pt idx="630">
                  <c:v>-5419.6739905725553</c:v>
                </c:pt>
                <c:pt idx="631">
                  <c:v>-6489.3118937758009</c:v>
                </c:pt>
                <c:pt idx="632">
                  <c:v>-7895.033217185648</c:v>
                </c:pt>
                <c:pt idx="633">
                  <c:v>-5596.9767887281359</c:v>
                </c:pt>
                <c:pt idx="634">
                  <c:v>-5804.6385747614786</c:v>
                </c:pt>
                <c:pt idx="635">
                  <c:v>-5471.9895658924797</c:v>
                </c:pt>
                <c:pt idx="636">
                  <c:v>-6740.338209912632</c:v>
                </c:pt>
                <c:pt idx="637">
                  <c:v>-5518.1461214607525</c:v>
                </c:pt>
                <c:pt idx="638">
                  <c:v>-7120.0845762672507</c:v>
                </c:pt>
                <c:pt idx="639">
                  <c:v>-4812.2897932652395</c:v>
                </c:pt>
                <c:pt idx="640">
                  <c:v>-6898.7599017467119</c:v>
                </c:pt>
                <c:pt idx="641">
                  <c:v>-6475.9977505645347</c:v>
                </c:pt>
                <c:pt idx="642">
                  <c:v>-4689.1428166945443</c:v>
                </c:pt>
                <c:pt idx="643">
                  <c:v>-6947.1377284284326</c:v>
                </c:pt>
                <c:pt idx="644">
                  <c:v>-8232.8725083278678</c:v>
                </c:pt>
                <c:pt idx="645">
                  <c:v>-6717.3162659764239</c:v>
                </c:pt>
                <c:pt idx="646">
                  <c:v>-8076.2256241487357</c:v>
                </c:pt>
                <c:pt idx="647">
                  <c:v>-7643.4541710908334</c:v>
                </c:pt>
                <c:pt idx="648">
                  <c:v>-6057.6860710746241</c:v>
                </c:pt>
                <c:pt idx="649">
                  <c:v>-7067.40226246764</c:v>
                </c:pt>
                <c:pt idx="650">
                  <c:v>-5436.8665343703296</c:v>
                </c:pt>
                <c:pt idx="651">
                  <c:v>-7032.2666604077604</c:v>
                </c:pt>
                <c:pt idx="652">
                  <c:v>-5562.676986115267</c:v>
                </c:pt>
                <c:pt idx="653">
                  <c:v>-5281.72113961784</c:v>
                </c:pt>
                <c:pt idx="654">
                  <c:v>-8362.6632523983753</c:v>
                </c:pt>
                <c:pt idx="655">
                  <c:v>-6134.0085345496673</c:v>
                </c:pt>
                <c:pt idx="656">
                  <c:v>-7357.2062741845684</c:v>
                </c:pt>
                <c:pt idx="657">
                  <c:v>-5569.9188773157875</c:v>
                </c:pt>
                <c:pt idx="658">
                  <c:v>-5443.8431699610301</c:v>
                </c:pt>
                <c:pt idx="659">
                  <c:v>-7751.350712156629</c:v>
                </c:pt>
                <c:pt idx="660">
                  <c:v>-4323.3874767065136</c:v>
                </c:pt>
                <c:pt idx="661">
                  <c:v>-5771.8324291212466</c:v>
                </c:pt>
                <c:pt idx="662">
                  <c:v>-9484.7084026361335</c:v>
                </c:pt>
                <c:pt idx="663">
                  <c:v>-6756.2028824143417</c:v>
                </c:pt>
                <c:pt idx="664">
                  <c:v>-3164.7032224278291</c:v>
                </c:pt>
                <c:pt idx="665">
                  <c:v>-7013.4329276193566</c:v>
                </c:pt>
                <c:pt idx="666">
                  <c:v>-8356.9980562894616</c:v>
                </c:pt>
                <c:pt idx="667">
                  <c:v>-7052.376652911772</c:v>
                </c:pt>
                <c:pt idx="668">
                  <c:v>-7171.2948703192005</c:v>
                </c:pt>
                <c:pt idx="669">
                  <c:v>-7347.9886187153606</c:v>
                </c:pt>
                <c:pt idx="670">
                  <c:v>-7229.8820291434404</c:v>
                </c:pt>
                <c:pt idx="671">
                  <c:v>-6140.6449108324905</c:v>
                </c:pt>
                <c:pt idx="672">
                  <c:v>-5033.9837006594635</c:v>
                </c:pt>
                <c:pt idx="673">
                  <c:v>-5667.0418959135532</c:v>
                </c:pt>
                <c:pt idx="674">
                  <c:v>-5607.8929855198567</c:v>
                </c:pt>
                <c:pt idx="675">
                  <c:v>-8562.4296012313989</c:v>
                </c:pt>
                <c:pt idx="676">
                  <c:v>-6029.8217126914569</c:v>
                </c:pt>
                <c:pt idx="677">
                  <c:v>-5214.7124635336731</c:v>
                </c:pt>
                <c:pt idx="678">
                  <c:v>-6300.3975270389992</c:v>
                </c:pt>
                <c:pt idx="679">
                  <c:v>-4511.5476560164698</c:v>
                </c:pt>
                <c:pt idx="680">
                  <c:v>-5635.2452139282068</c:v>
                </c:pt>
                <c:pt idx="681">
                  <c:v>-4672.5380646670919</c:v>
                </c:pt>
                <c:pt idx="682">
                  <c:v>-5877.837585459506</c:v>
                </c:pt>
                <c:pt idx="683">
                  <c:v>-6659.9641347327379</c:v>
                </c:pt>
                <c:pt idx="684">
                  <c:v>-6677.2251220948292</c:v>
                </c:pt>
                <c:pt idx="685">
                  <c:v>-6980.573475320678</c:v>
                </c:pt>
                <c:pt idx="686">
                  <c:v>-7150.3110301353518</c:v>
                </c:pt>
                <c:pt idx="687">
                  <c:v>-6489.0038277413159</c:v>
                </c:pt>
                <c:pt idx="688">
                  <c:v>-5402.5693474213258</c:v>
                </c:pt>
                <c:pt idx="689">
                  <c:v>-7366.8087867055347</c:v>
                </c:pt>
                <c:pt idx="690">
                  <c:v>-6435.8665498934042</c:v>
                </c:pt>
                <c:pt idx="691">
                  <c:v>-5758.6683436059584</c:v>
                </c:pt>
                <c:pt idx="692">
                  <c:v>-7853.6661897422655</c:v>
                </c:pt>
                <c:pt idx="693">
                  <c:v>-4201.1666127324352</c:v>
                </c:pt>
                <c:pt idx="694">
                  <c:v>-5210.6849415487268</c:v>
                </c:pt>
                <c:pt idx="695">
                  <c:v>-5414.8121716238757</c:v>
                </c:pt>
                <c:pt idx="696">
                  <c:v>-6038.157597891055</c:v>
                </c:pt>
                <c:pt idx="697">
                  <c:v>-6394.5936237663536</c:v>
                </c:pt>
                <c:pt idx="698">
                  <c:v>-5692.1546323675939</c:v>
                </c:pt>
                <c:pt idx="699">
                  <c:v>-7664.3171176932465</c:v>
                </c:pt>
                <c:pt idx="700">
                  <c:v>-6093.3393893471757</c:v>
                </c:pt>
                <c:pt idx="701">
                  <c:v>-5385.3982474176692</c:v>
                </c:pt>
                <c:pt idx="702">
                  <c:v>-8216.5301052094583</c:v>
                </c:pt>
                <c:pt idx="703">
                  <c:v>-6242.9354165488248</c:v>
                </c:pt>
                <c:pt idx="704">
                  <c:v>-6655.3213484257876</c:v>
                </c:pt>
                <c:pt idx="705">
                  <c:v>-5054.8559386051857</c:v>
                </c:pt>
                <c:pt idx="706">
                  <c:v>-6353.5309999804949</c:v>
                </c:pt>
                <c:pt idx="707">
                  <c:v>-8272.6210555183243</c:v>
                </c:pt>
                <c:pt idx="708">
                  <c:v>-5049.9603795814073</c:v>
                </c:pt>
                <c:pt idx="709">
                  <c:v>-6252.7039616301927</c:v>
                </c:pt>
                <c:pt idx="710">
                  <c:v>-5522.0821576778235</c:v>
                </c:pt>
                <c:pt idx="711">
                  <c:v>-8072.6403599376426</c:v>
                </c:pt>
                <c:pt idx="712">
                  <c:v>-5777.044890602484</c:v>
                </c:pt>
                <c:pt idx="713">
                  <c:v>-7085.6321250579495</c:v>
                </c:pt>
                <c:pt idx="714">
                  <c:v>-5961.911803488947</c:v>
                </c:pt>
                <c:pt idx="715">
                  <c:v>-7076.9416147709817</c:v>
                </c:pt>
                <c:pt idx="716">
                  <c:v>-6222.5040414700479</c:v>
                </c:pt>
                <c:pt idx="717">
                  <c:v>-5432.5932252582861</c:v>
                </c:pt>
                <c:pt idx="718">
                  <c:v>-6864.3332796974973</c:v>
                </c:pt>
                <c:pt idx="719">
                  <c:v>-6198.7351802932935</c:v>
                </c:pt>
                <c:pt idx="720">
                  <c:v>-4648.4137373096946</c:v>
                </c:pt>
                <c:pt idx="721">
                  <c:v>-6904.9421058463849</c:v>
                </c:pt>
                <c:pt idx="722">
                  <c:v>-7054.2310963979098</c:v>
                </c:pt>
                <c:pt idx="723">
                  <c:v>-7271.5222733224655</c:v>
                </c:pt>
                <c:pt idx="724">
                  <c:v>-6160.1215402577709</c:v>
                </c:pt>
                <c:pt idx="725">
                  <c:v>-6451.7230269108786</c:v>
                </c:pt>
                <c:pt idx="726">
                  <c:v>-5187.3078387442429</c:v>
                </c:pt>
                <c:pt idx="727">
                  <c:v>-7924.0758768587039</c:v>
                </c:pt>
                <c:pt idx="728">
                  <c:v>-6055.382496332606</c:v>
                </c:pt>
                <c:pt idx="729">
                  <c:v>-6764.4206892415132</c:v>
                </c:pt>
                <c:pt idx="730">
                  <c:v>-6908.4730792758746</c:v>
                </c:pt>
                <c:pt idx="731">
                  <c:v>-5589.3194631344331</c:v>
                </c:pt>
                <c:pt idx="732">
                  <c:v>-5119.7998114064339</c:v>
                </c:pt>
                <c:pt idx="733">
                  <c:v>-7707.4179157225353</c:v>
                </c:pt>
                <c:pt idx="734">
                  <c:v>-8700.5249112104357</c:v>
                </c:pt>
                <c:pt idx="735">
                  <c:v>-6639.820132929045</c:v>
                </c:pt>
                <c:pt idx="736">
                  <c:v>-4983.5785042019716</c:v>
                </c:pt>
                <c:pt idx="737">
                  <c:v>-6350.7668821338584</c:v>
                </c:pt>
                <c:pt idx="738">
                  <c:v>-8119.0609226084143</c:v>
                </c:pt>
                <c:pt idx="739">
                  <c:v>-5092.5797888992502</c:v>
                </c:pt>
                <c:pt idx="740">
                  <c:v>-5740.6259207778367</c:v>
                </c:pt>
                <c:pt idx="741">
                  <c:v>-5399.3382737526854</c:v>
                </c:pt>
                <c:pt idx="742">
                  <c:v>-4663.211228674425</c:v>
                </c:pt>
                <c:pt idx="743">
                  <c:v>-7880.0349949032552</c:v>
                </c:pt>
                <c:pt idx="744">
                  <c:v>-4807.6498615620067</c:v>
                </c:pt>
                <c:pt idx="745">
                  <c:v>-5277.9007573219797</c:v>
                </c:pt>
                <c:pt idx="746">
                  <c:v>-7420.3923860025416</c:v>
                </c:pt>
                <c:pt idx="747">
                  <c:v>-8152.3250544407128</c:v>
                </c:pt>
                <c:pt idx="748">
                  <c:v>-7061.563129162977</c:v>
                </c:pt>
                <c:pt idx="749">
                  <c:v>-7742.5561869848352</c:v>
                </c:pt>
                <c:pt idx="750">
                  <c:v>-6594.1803010056956</c:v>
                </c:pt>
                <c:pt idx="751">
                  <c:v>-7960.9536465956007</c:v>
                </c:pt>
                <c:pt idx="752">
                  <c:v>-5905.9710730129646</c:v>
                </c:pt>
                <c:pt idx="753">
                  <c:v>-6868.2340715569044</c:v>
                </c:pt>
                <c:pt idx="754">
                  <c:v>-7021.0788143708778</c:v>
                </c:pt>
                <c:pt idx="755">
                  <c:v>-6463.2392599290224</c:v>
                </c:pt>
                <c:pt idx="756">
                  <c:v>-7810.0179482275398</c:v>
                </c:pt>
                <c:pt idx="757">
                  <c:v>-7238.4911131923272</c:v>
                </c:pt>
                <c:pt idx="758">
                  <c:v>-5239.0916964666449</c:v>
                </c:pt>
                <c:pt idx="759">
                  <c:v>-4785.2745900098134</c:v>
                </c:pt>
                <c:pt idx="760">
                  <c:v>-5876.1101537304003</c:v>
                </c:pt>
                <c:pt idx="761">
                  <c:v>-5542.1265469163427</c:v>
                </c:pt>
                <c:pt idx="762">
                  <c:v>-6169.3892303566518</c:v>
                </c:pt>
                <c:pt idx="763">
                  <c:v>-4868.8537475410058</c:v>
                </c:pt>
                <c:pt idx="764">
                  <c:v>-5904.3087142861987</c:v>
                </c:pt>
                <c:pt idx="765">
                  <c:v>-6407.500625565367</c:v>
                </c:pt>
                <c:pt idx="766">
                  <c:v>-8806.9296122859269</c:v>
                </c:pt>
                <c:pt idx="767">
                  <c:v>-9644.9515340974849</c:v>
                </c:pt>
                <c:pt idx="768">
                  <c:v>-5924.2603695209464</c:v>
                </c:pt>
                <c:pt idx="769">
                  <c:v>-5652.3287510941263</c:v>
                </c:pt>
                <c:pt idx="770">
                  <c:v>-5656.9892370786965</c:v>
                </c:pt>
                <c:pt idx="771">
                  <c:v>-7140.5150067508639</c:v>
                </c:pt>
                <c:pt idx="772">
                  <c:v>-5940.9975907169537</c:v>
                </c:pt>
                <c:pt idx="773">
                  <c:v>-6787.9387894745123</c:v>
                </c:pt>
                <c:pt idx="774">
                  <c:v>-6467.207523793174</c:v>
                </c:pt>
                <c:pt idx="775">
                  <c:v>-5494.6747389622778</c:v>
                </c:pt>
                <c:pt idx="776">
                  <c:v>-4623.7717580576864</c:v>
                </c:pt>
                <c:pt idx="777">
                  <c:v>-5336.9695676821921</c:v>
                </c:pt>
                <c:pt idx="778">
                  <c:v>-5657.6857556172872</c:v>
                </c:pt>
                <c:pt idx="779">
                  <c:v>-6340.8483412700716</c:v>
                </c:pt>
                <c:pt idx="780">
                  <c:v>-5920.962060401409</c:v>
                </c:pt>
                <c:pt idx="781">
                  <c:v>-8186.2262541234704</c:v>
                </c:pt>
                <c:pt idx="782">
                  <c:v>-5831.8591119413632</c:v>
                </c:pt>
                <c:pt idx="783">
                  <c:v>-7938.2707934702994</c:v>
                </c:pt>
                <c:pt idx="784">
                  <c:v>-5245.1270620968226</c:v>
                </c:pt>
                <c:pt idx="785">
                  <c:v>-6877.8745464482372</c:v>
                </c:pt>
                <c:pt idx="786">
                  <c:v>-6664.4691258611747</c:v>
                </c:pt>
                <c:pt idx="787">
                  <c:v>-5601.1066639714381</c:v>
                </c:pt>
                <c:pt idx="788">
                  <c:v>-5447.7270958557283</c:v>
                </c:pt>
                <c:pt idx="789">
                  <c:v>-8189.3890414831385</c:v>
                </c:pt>
                <c:pt idx="790">
                  <c:v>-5291.2858260459707</c:v>
                </c:pt>
                <c:pt idx="791">
                  <c:v>-5246.8286156842569</c:v>
                </c:pt>
                <c:pt idx="792">
                  <c:v>-5931.6569344000391</c:v>
                </c:pt>
                <c:pt idx="793">
                  <c:v>-8406.723163494813</c:v>
                </c:pt>
                <c:pt idx="794">
                  <c:v>-7527.9669532099269</c:v>
                </c:pt>
                <c:pt idx="795">
                  <c:v>-5012.476406683958</c:v>
                </c:pt>
                <c:pt idx="796">
                  <c:v>-7660.3292057515555</c:v>
                </c:pt>
                <c:pt idx="797">
                  <c:v>-6357.6910910158185</c:v>
                </c:pt>
                <c:pt idx="798">
                  <c:v>-5886.4318342067545</c:v>
                </c:pt>
                <c:pt idx="799">
                  <c:v>-7556.483902329147</c:v>
                </c:pt>
                <c:pt idx="800">
                  <c:v>-6661.2674369002143</c:v>
                </c:pt>
                <c:pt idx="801">
                  <c:v>-7700.1606544630122</c:v>
                </c:pt>
                <c:pt idx="802">
                  <c:v>-5299.1755020641867</c:v>
                </c:pt>
                <c:pt idx="803">
                  <c:v>-5721.5400137505821</c:v>
                </c:pt>
                <c:pt idx="804">
                  <c:v>-8661.385023909148</c:v>
                </c:pt>
                <c:pt idx="805">
                  <c:v>-5925.4529212323778</c:v>
                </c:pt>
                <c:pt idx="806">
                  <c:v>-6699.8155934403785</c:v>
                </c:pt>
                <c:pt idx="807">
                  <c:v>-6054.7837209373229</c:v>
                </c:pt>
                <c:pt idx="808">
                  <c:v>-6549.9218994628127</c:v>
                </c:pt>
                <c:pt idx="809">
                  <c:v>-5773.496964780792</c:v>
                </c:pt>
                <c:pt idx="810">
                  <c:v>-5045.2263854376924</c:v>
                </c:pt>
                <c:pt idx="811">
                  <c:v>-4372.5083342879525</c:v>
                </c:pt>
                <c:pt idx="812">
                  <c:v>-8351.3258850495658</c:v>
                </c:pt>
                <c:pt idx="813">
                  <c:v>-5617.1351772476946</c:v>
                </c:pt>
                <c:pt idx="814">
                  <c:v>-8255.5086420551288</c:v>
                </c:pt>
                <c:pt idx="815">
                  <c:v>-4999.9175019386021</c:v>
                </c:pt>
                <c:pt idx="816">
                  <c:v>-7391.2426733593138</c:v>
                </c:pt>
                <c:pt idx="817">
                  <c:v>-4857.0679598196048</c:v>
                </c:pt>
                <c:pt idx="818">
                  <c:v>-6061.5399657253101</c:v>
                </c:pt>
                <c:pt idx="819">
                  <c:v>-5887.2494205983849</c:v>
                </c:pt>
                <c:pt idx="820">
                  <c:v>-5720.1282946799693</c:v>
                </c:pt>
                <c:pt idx="821">
                  <c:v>-6980.9116896103624</c:v>
                </c:pt>
                <c:pt idx="822">
                  <c:v>-6423.3917126533061</c:v>
                </c:pt>
                <c:pt idx="823">
                  <c:v>-6501.3550030644374</c:v>
                </c:pt>
                <c:pt idx="824">
                  <c:v>-7282.4067211824349</c:v>
                </c:pt>
                <c:pt idx="825">
                  <c:v>-6094.2643544593775</c:v>
                </c:pt>
                <c:pt idx="826">
                  <c:v>-6226.1007438350007</c:v>
                </c:pt>
                <c:pt idx="827">
                  <c:v>-5509.8882737207796</c:v>
                </c:pt>
                <c:pt idx="828">
                  <c:v>-6426.83219620819</c:v>
                </c:pt>
                <c:pt idx="829">
                  <c:v>-7540.6406241157929</c:v>
                </c:pt>
                <c:pt idx="830">
                  <c:v>-6776.2241978535403</c:v>
                </c:pt>
                <c:pt idx="831">
                  <c:v>-4821.6971941090196</c:v>
                </c:pt>
                <c:pt idx="832">
                  <c:v>-3985.5996952884343</c:v>
                </c:pt>
                <c:pt idx="833">
                  <c:v>-6922.7894105537662</c:v>
                </c:pt>
                <c:pt idx="834">
                  <c:v>-5672.2819288643732</c:v>
                </c:pt>
                <c:pt idx="835">
                  <c:v>-6172.4922262612527</c:v>
                </c:pt>
                <c:pt idx="836">
                  <c:v>-4792.3692747948307</c:v>
                </c:pt>
                <c:pt idx="837">
                  <c:v>-7510.7112515434037</c:v>
                </c:pt>
                <c:pt idx="838">
                  <c:v>-6331.4987662094127</c:v>
                </c:pt>
                <c:pt idx="839">
                  <c:v>-5831.3154073174401</c:v>
                </c:pt>
                <c:pt idx="840">
                  <c:v>-6350.9765270763692</c:v>
                </c:pt>
                <c:pt idx="841">
                  <c:v>-6590.6163916419555</c:v>
                </c:pt>
                <c:pt idx="842">
                  <c:v>-6154.2945177675465</c:v>
                </c:pt>
                <c:pt idx="843">
                  <c:v>-6874.0005936939906</c:v>
                </c:pt>
                <c:pt idx="844">
                  <c:v>-6560.7850686499723</c:v>
                </c:pt>
                <c:pt idx="845">
                  <c:v>-6616.5806192323089</c:v>
                </c:pt>
                <c:pt idx="846">
                  <c:v>-5960.266315861104</c:v>
                </c:pt>
                <c:pt idx="847">
                  <c:v>-5546.1863859557334</c:v>
                </c:pt>
                <c:pt idx="848">
                  <c:v>-5195.5836897903782</c:v>
                </c:pt>
                <c:pt idx="849">
                  <c:v>-4426.8110741122109</c:v>
                </c:pt>
                <c:pt idx="850">
                  <c:v>-6272.5766481324035</c:v>
                </c:pt>
                <c:pt idx="851">
                  <c:v>-6541.3929416850697</c:v>
                </c:pt>
                <c:pt idx="852">
                  <c:v>-5696.3759551297917</c:v>
                </c:pt>
                <c:pt idx="853">
                  <c:v>-5808.1737799493549</c:v>
                </c:pt>
                <c:pt idx="854">
                  <c:v>-5725.559408635303</c:v>
                </c:pt>
                <c:pt idx="855">
                  <c:v>-4782.144293110623</c:v>
                </c:pt>
                <c:pt idx="856">
                  <c:v>-7407.1502771322539</c:v>
                </c:pt>
                <c:pt idx="857">
                  <c:v>-6988.8662969885318</c:v>
                </c:pt>
                <c:pt idx="858">
                  <c:v>-5413.1077032548183</c:v>
                </c:pt>
                <c:pt idx="859">
                  <c:v>-7352.1622611657422</c:v>
                </c:pt>
                <c:pt idx="860">
                  <c:v>-6945.8451901002454</c:v>
                </c:pt>
                <c:pt idx="861">
                  <c:v>-6052.7348201585355</c:v>
                </c:pt>
                <c:pt idx="862">
                  <c:v>-7057.3167981608512</c:v>
                </c:pt>
                <c:pt idx="863">
                  <c:v>-6174.6891446289101</c:v>
                </c:pt>
                <c:pt idx="864">
                  <c:v>-6068.8182016379005</c:v>
                </c:pt>
                <c:pt idx="865">
                  <c:v>-6942.0058357274793</c:v>
                </c:pt>
                <c:pt idx="866">
                  <c:v>-6341.760309164727</c:v>
                </c:pt>
                <c:pt idx="867">
                  <c:v>-5693.8664727230116</c:v>
                </c:pt>
                <c:pt idx="868">
                  <c:v>-6942.4690662910107</c:v>
                </c:pt>
                <c:pt idx="869">
                  <c:v>-5669.9315502280133</c:v>
                </c:pt>
                <c:pt idx="870">
                  <c:v>-7458.9250530768259</c:v>
                </c:pt>
                <c:pt idx="871">
                  <c:v>-5944.6397613451772</c:v>
                </c:pt>
                <c:pt idx="872">
                  <c:v>-6374.4753473017281</c:v>
                </c:pt>
                <c:pt idx="873">
                  <c:v>-5795.8477879652073</c:v>
                </c:pt>
                <c:pt idx="874">
                  <c:v>-4400.4221965248107</c:v>
                </c:pt>
                <c:pt idx="875">
                  <c:v>-5498.4850168251241</c:v>
                </c:pt>
                <c:pt idx="876">
                  <c:v>-6635.9467283586855</c:v>
                </c:pt>
                <c:pt idx="877">
                  <c:v>-6713.4839020204054</c:v>
                </c:pt>
                <c:pt idx="878">
                  <c:v>-7420.1596150906134</c:v>
                </c:pt>
                <c:pt idx="879">
                  <c:v>-5665.8929880644982</c:v>
                </c:pt>
                <c:pt idx="880">
                  <c:v>-7030.7392106495699</c:v>
                </c:pt>
                <c:pt idx="881">
                  <c:v>-7394.8995543632045</c:v>
                </c:pt>
                <c:pt idx="882">
                  <c:v>-6228.415597070376</c:v>
                </c:pt>
                <c:pt idx="883">
                  <c:v>-5803.0990060374761</c:v>
                </c:pt>
                <c:pt idx="884">
                  <c:v>-5086.8333052679818</c:v>
                </c:pt>
                <c:pt idx="885">
                  <c:v>-6412.5270358603757</c:v>
                </c:pt>
                <c:pt idx="886">
                  <c:v>-5970.2752445141105</c:v>
                </c:pt>
                <c:pt idx="887">
                  <c:v>-5213.7665905573576</c:v>
                </c:pt>
                <c:pt idx="888">
                  <c:v>-6147.384571835013</c:v>
                </c:pt>
                <c:pt idx="889">
                  <c:v>-7461.8943510692225</c:v>
                </c:pt>
                <c:pt idx="890">
                  <c:v>-4077.756048054333</c:v>
                </c:pt>
                <c:pt idx="891">
                  <c:v>-6679.4343934724802</c:v>
                </c:pt>
                <c:pt idx="892">
                  <c:v>-5655.2874068200799</c:v>
                </c:pt>
                <c:pt idx="893">
                  <c:v>-7752.8478836435115</c:v>
                </c:pt>
                <c:pt idx="894">
                  <c:v>-5440.6800995054791</c:v>
                </c:pt>
                <c:pt idx="895">
                  <c:v>-5260.1210626478614</c:v>
                </c:pt>
                <c:pt idx="896">
                  <c:v>-4750.0825221480027</c:v>
                </c:pt>
                <c:pt idx="897">
                  <c:v>-6610.4071624311946</c:v>
                </c:pt>
                <c:pt idx="898">
                  <c:v>-4528.4965467327747</c:v>
                </c:pt>
                <c:pt idx="899">
                  <c:v>-6605.5850097723733</c:v>
                </c:pt>
                <c:pt idx="900">
                  <c:v>-6579.699324958784</c:v>
                </c:pt>
                <c:pt idx="901">
                  <c:v>-6536.9250412427355</c:v>
                </c:pt>
                <c:pt idx="902">
                  <c:v>-6792.480412458789</c:v>
                </c:pt>
                <c:pt idx="903">
                  <c:v>-6037.0506718132492</c:v>
                </c:pt>
                <c:pt idx="904">
                  <c:v>-5262.0340743274301</c:v>
                </c:pt>
                <c:pt idx="905">
                  <c:v>-4891.8287068918635</c:v>
                </c:pt>
                <c:pt idx="906">
                  <c:v>-6452.5052141926881</c:v>
                </c:pt>
                <c:pt idx="907">
                  <c:v>-6897.7000378054745</c:v>
                </c:pt>
                <c:pt idx="908">
                  <c:v>-5452.7764827608034</c:v>
                </c:pt>
                <c:pt idx="909">
                  <c:v>-6989.043631683252</c:v>
                </c:pt>
                <c:pt idx="910">
                  <c:v>-6553.3710510322653</c:v>
                </c:pt>
                <c:pt idx="911">
                  <c:v>-6570.3127868866386</c:v>
                </c:pt>
                <c:pt idx="912">
                  <c:v>-7609.786597591793</c:v>
                </c:pt>
                <c:pt idx="913">
                  <c:v>-7801.3267898740742</c:v>
                </c:pt>
                <c:pt idx="914">
                  <c:v>-5662.0071980541916</c:v>
                </c:pt>
                <c:pt idx="915">
                  <c:v>-7195.0604855837992</c:v>
                </c:pt>
                <c:pt idx="916">
                  <c:v>-7282.9666057342238</c:v>
                </c:pt>
                <c:pt idx="917">
                  <c:v>-5408.5739308332959</c:v>
                </c:pt>
                <c:pt idx="918">
                  <c:v>-6837.8922636388779</c:v>
                </c:pt>
                <c:pt idx="919">
                  <c:v>-5450.1076647388645</c:v>
                </c:pt>
                <c:pt idx="920">
                  <c:v>-6229.9519013746485</c:v>
                </c:pt>
                <c:pt idx="921">
                  <c:v>-5236.7315035024185</c:v>
                </c:pt>
                <c:pt idx="922">
                  <c:v>-6585.8530176028598</c:v>
                </c:pt>
                <c:pt idx="923">
                  <c:v>-5264.9651962573498</c:v>
                </c:pt>
                <c:pt idx="924">
                  <c:v>-4547.6722371712513</c:v>
                </c:pt>
                <c:pt idx="925">
                  <c:v>-6868.3743788872061</c:v>
                </c:pt>
                <c:pt idx="926">
                  <c:v>-4825.8657422609513</c:v>
                </c:pt>
                <c:pt idx="927">
                  <c:v>-5501.852074089893</c:v>
                </c:pt>
                <c:pt idx="928">
                  <c:v>-5709.857832864961</c:v>
                </c:pt>
                <c:pt idx="929">
                  <c:v>-5483.2492545759342</c:v>
                </c:pt>
                <c:pt idx="930">
                  <c:v>-4951.5990449923902</c:v>
                </c:pt>
                <c:pt idx="931">
                  <c:v>-6344.5004239399595</c:v>
                </c:pt>
                <c:pt idx="932">
                  <c:v>-6265.6387115718162</c:v>
                </c:pt>
                <c:pt idx="933">
                  <c:v>-3854.1183832254274</c:v>
                </c:pt>
                <c:pt idx="934">
                  <c:v>-6706.6783088261927</c:v>
                </c:pt>
                <c:pt idx="935">
                  <c:v>-6417.7579641003776</c:v>
                </c:pt>
                <c:pt idx="936">
                  <c:v>-5177.4297353859256</c:v>
                </c:pt>
                <c:pt idx="937">
                  <c:v>-6541.4483309062789</c:v>
                </c:pt>
                <c:pt idx="938">
                  <c:v>-6263.43671424069</c:v>
                </c:pt>
                <c:pt idx="939">
                  <c:v>-4523.2586098945239</c:v>
                </c:pt>
                <c:pt idx="940">
                  <c:v>-5841.9896211292607</c:v>
                </c:pt>
                <c:pt idx="941">
                  <c:v>-5965.5264930285175</c:v>
                </c:pt>
                <c:pt idx="942">
                  <c:v>-6391.6463854716039</c:v>
                </c:pt>
                <c:pt idx="943">
                  <c:v>-7031.4550207935918</c:v>
                </c:pt>
                <c:pt idx="944">
                  <c:v>-5985.0282869136154</c:v>
                </c:pt>
                <c:pt idx="945">
                  <c:v>-4298.6013930039062</c:v>
                </c:pt>
                <c:pt idx="946">
                  <c:v>-6329.8539124496046</c:v>
                </c:pt>
                <c:pt idx="947">
                  <c:v>-6560.9594254864805</c:v>
                </c:pt>
                <c:pt idx="948">
                  <c:v>-7133.9828261046023</c:v>
                </c:pt>
                <c:pt idx="949">
                  <c:v>-5876.3131024345284</c:v>
                </c:pt>
                <c:pt idx="950">
                  <c:v>-5811.4640384905306</c:v>
                </c:pt>
                <c:pt idx="951">
                  <c:v>-5361.0285429580908</c:v>
                </c:pt>
                <c:pt idx="952">
                  <c:v>-6584.6921577059675</c:v>
                </c:pt>
                <c:pt idx="953">
                  <c:v>-6859.3690978702061</c:v>
                </c:pt>
                <c:pt idx="954">
                  <c:v>-5622.0600386756423</c:v>
                </c:pt>
                <c:pt idx="955">
                  <c:v>-6599.1712189434529</c:v>
                </c:pt>
                <c:pt idx="956">
                  <c:v>-5213.758330885853</c:v>
                </c:pt>
                <c:pt idx="957">
                  <c:v>-5585.112407210705</c:v>
                </c:pt>
                <c:pt idx="958">
                  <c:v>-7213.6180815691987</c:v>
                </c:pt>
                <c:pt idx="959">
                  <c:v>-6328.3439190086428</c:v>
                </c:pt>
                <c:pt idx="960">
                  <c:v>-7807.5546034033487</c:v>
                </c:pt>
                <c:pt idx="961">
                  <c:v>-5019.6356079475618</c:v>
                </c:pt>
                <c:pt idx="962">
                  <c:v>-9532.7211734795656</c:v>
                </c:pt>
                <c:pt idx="963">
                  <c:v>-5656.1695692504545</c:v>
                </c:pt>
                <c:pt idx="964">
                  <c:v>-7431.6571362926534</c:v>
                </c:pt>
                <c:pt idx="965">
                  <c:v>-5707.1856922480256</c:v>
                </c:pt>
                <c:pt idx="966">
                  <c:v>-5484.2545359684864</c:v>
                </c:pt>
                <c:pt idx="967">
                  <c:v>-4940.2114011573476</c:v>
                </c:pt>
                <c:pt idx="968">
                  <c:v>-5920.5233088561754</c:v>
                </c:pt>
                <c:pt idx="969">
                  <c:v>-5958.4201455565135</c:v>
                </c:pt>
                <c:pt idx="970">
                  <c:v>-5195.1568112560799</c:v>
                </c:pt>
                <c:pt idx="971">
                  <c:v>-5402.3257935253469</c:v>
                </c:pt>
                <c:pt idx="972">
                  <c:v>-5479.7071000871974</c:v>
                </c:pt>
                <c:pt idx="973">
                  <c:v>-7119.9754933849208</c:v>
                </c:pt>
                <c:pt idx="974">
                  <c:v>-5168.4984003033669</c:v>
                </c:pt>
                <c:pt idx="975">
                  <c:v>-5270.9256139122417</c:v>
                </c:pt>
                <c:pt idx="976">
                  <c:v>-7138.01224540573</c:v>
                </c:pt>
                <c:pt idx="977">
                  <c:v>-7157.321396405514</c:v>
                </c:pt>
                <c:pt idx="978">
                  <c:v>-6257.5271542371765</c:v>
                </c:pt>
                <c:pt idx="979">
                  <c:v>-5776.9087385882358</c:v>
                </c:pt>
                <c:pt idx="980">
                  <c:v>-6793.1202381415669</c:v>
                </c:pt>
                <c:pt idx="981">
                  <c:v>-4630.6499899760129</c:v>
                </c:pt>
                <c:pt idx="982">
                  <c:v>-6034.6360677841258</c:v>
                </c:pt>
                <c:pt idx="983">
                  <c:v>-4675.7497683103447</c:v>
                </c:pt>
                <c:pt idx="984">
                  <c:v>-7086.7295695155235</c:v>
                </c:pt>
                <c:pt idx="985">
                  <c:v>-6603.7789643109409</c:v>
                </c:pt>
                <c:pt idx="986">
                  <c:v>-6775.2253497303627</c:v>
                </c:pt>
                <c:pt idx="987">
                  <c:v>-5073.4911634479649</c:v>
                </c:pt>
                <c:pt idx="988">
                  <c:v>-6238.6140318573498</c:v>
                </c:pt>
                <c:pt idx="989">
                  <c:v>-5412.9784068432828</c:v>
                </c:pt>
                <c:pt idx="990">
                  <c:v>-4967.5580858777812</c:v>
                </c:pt>
                <c:pt idx="991">
                  <c:v>-5591.3966787188756</c:v>
                </c:pt>
                <c:pt idx="992">
                  <c:v>-4604.0239153152552</c:v>
                </c:pt>
                <c:pt idx="993">
                  <c:v>-8094.6197104043113</c:v>
                </c:pt>
                <c:pt idx="994">
                  <c:v>-5479.7713423809064</c:v>
                </c:pt>
                <c:pt idx="995">
                  <c:v>-8755.7962168518607</c:v>
                </c:pt>
                <c:pt idx="996">
                  <c:v>-6316.6967065639719</c:v>
                </c:pt>
                <c:pt idx="997">
                  <c:v>-7003.1329659097573</c:v>
                </c:pt>
                <c:pt idx="998">
                  <c:v>-5510.1162492669482</c:v>
                </c:pt>
                <c:pt idx="999">
                  <c:v>-6135.4986847350665</c:v>
                </c:pt>
              </c:numCache>
            </c:numRef>
          </c:xVal>
          <c:yVal>
            <c:numRef>
              <c:f>[0]!rngPSA.ScatterPair.Costs</c:f>
              <c:numCache>
                <c:formatCode>"£"#,##0.00</c:formatCode>
                <c:ptCount val="1000"/>
                <c:pt idx="0">
                  <c:v>45142105.452131391</c:v>
                </c:pt>
                <c:pt idx="1">
                  <c:v>27810082.317612607</c:v>
                </c:pt>
                <c:pt idx="2">
                  <c:v>16211638.612541543</c:v>
                </c:pt>
                <c:pt idx="3">
                  <c:v>34220027.503995091</c:v>
                </c:pt>
                <c:pt idx="4">
                  <c:v>23993878.769540519</c:v>
                </c:pt>
                <c:pt idx="5">
                  <c:v>28892445.987412669</c:v>
                </c:pt>
                <c:pt idx="6">
                  <c:v>19206139.323500611</c:v>
                </c:pt>
                <c:pt idx="7">
                  <c:v>48295089.529413015</c:v>
                </c:pt>
                <c:pt idx="8">
                  <c:v>30176936.510240927</c:v>
                </c:pt>
                <c:pt idx="9">
                  <c:v>20973570.984158065</c:v>
                </c:pt>
                <c:pt idx="10">
                  <c:v>27248019.229219001</c:v>
                </c:pt>
                <c:pt idx="11">
                  <c:v>14869962.401851116</c:v>
                </c:pt>
                <c:pt idx="12">
                  <c:v>50827572.785095014</c:v>
                </c:pt>
                <c:pt idx="13">
                  <c:v>28690036.879044533</c:v>
                </c:pt>
                <c:pt idx="14">
                  <c:v>25456474.530610643</c:v>
                </c:pt>
                <c:pt idx="15">
                  <c:v>31645897.576933682</c:v>
                </c:pt>
                <c:pt idx="16">
                  <c:v>31291623.097820435</c:v>
                </c:pt>
                <c:pt idx="17">
                  <c:v>17675634.460154928</c:v>
                </c:pt>
                <c:pt idx="18">
                  <c:v>24562286.385111462</c:v>
                </c:pt>
                <c:pt idx="19">
                  <c:v>17836972.129455023</c:v>
                </c:pt>
                <c:pt idx="20">
                  <c:v>36373206.601690352</c:v>
                </c:pt>
                <c:pt idx="21">
                  <c:v>27550943.486803524</c:v>
                </c:pt>
                <c:pt idx="22">
                  <c:v>32410395.686533943</c:v>
                </c:pt>
                <c:pt idx="23">
                  <c:v>12234471.580737375</c:v>
                </c:pt>
                <c:pt idx="24">
                  <c:v>33014466.881378364</c:v>
                </c:pt>
                <c:pt idx="25">
                  <c:v>27516729.102734424</c:v>
                </c:pt>
                <c:pt idx="26">
                  <c:v>23518476.658055961</c:v>
                </c:pt>
                <c:pt idx="27">
                  <c:v>32477963.191213075</c:v>
                </c:pt>
                <c:pt idx="28">
                  <c:v>18596181.050279565</c:v>
                </c:pt>
                <c:pt idx="29">
                  <c:v>12869832.281258747</c:v>
                </c:pt>
                <c:pt idx="30">
                  <c:v>18397303.437306851</c:v>
                </c:pt>
                <c:pt idx="31">
                  <c:v>39497011.10931626</c:v>
                </c:pt>
                <c:pt idx="32">
                  <c:v>22391178.086840127</c:v>
                </c:pt>
                <c:pt idx="33">
                  <c:v>12698111.709124709</c:v>
                </c:pt>
                <c:pt idx="34">
                  <c:v>39122956.59117382</c:v>
                </c:pt>
                <c:pt idx="35">
                  <c:v>24108351.206123892</c:v>
                </c:pt>
                <c:pt idx="36">
                  <c:v>41668110.672002837</c:v>
                </c:pt>
                <c:pt idx="37">
                  <c:v>21037438.583100788</c:v>
                </c:pt>
                <c:pt idx="38">
                  <c:v>20277174.291485146</c:v>
                </c:pt>
                <c:pt idx="39">
                  <c:v>54810881.654334873</c:v>
                </c:pt>
                <c:pt idx="40">
                  <c:v>7284339.0986038558</c:v>
                </c:pt>
                <c:pt idx="41">
                  <c:v>33692770.559824109</c:v>
                </c:pt>
                <c:pt idx="42">
                  <c:v>27198777.246285409</c:v>
                </c:pt>
                <c:pt idx="43">
                  <c:v>38803915.939791262</c:v>
                </c:pt>
                <c:pt idx="44">
                  <c:v>46011637.535516582</c:v>
                </c:pt>
                <c:pt idx="45">
                  <c:v>46060092.960532807</c:v>
                </c:pt>
                <c:pt idx="46">
                  <c:v>45196369.457354866</c:v>
                </c:pt>
                <c:pt idx="47">
                  <c:v>23549623.051165696</c:v>
                </c:pt>
                <c:pt idx="48">
                  <c:v>12553916.026810121</c:v>
                </c:pt>
                <c:pt idx="49">
                  <c:v>48405190.36717812</c:v>
                </c:pt>
                <c:pt idx="50">
                  <c:v>30218988.675304256</c:v>
                </c:pt>
                <c:pt idx="51">
                  <c:v>24903049.550171513</c:v>
                </c:pt>
                <c:pt idx="52">
                  <c:v>95385413.415144339</c:v>
                </c:pt>
                <c:pt idx="53">
                  <c:v>60388190.684132971</c:v>
                </c:pt>
                <c:pt idx="54">
                  <c:v>32174041.53478016</c:v>
                </c:pt>
                <c:pt idx="55">
                  <c:v>20013435.194246717</c:v>
                </c:pt>
                <c:pt idx="56">
                  <c:v>7514333.3100612089</c:v>
                </c:pt>
                <c:pt idx="57">
                  <c:v>42589386.789905936</c:v>
                </c:pt>
                <c:pt idx="58">
                  <c:v>41644355.107339621</c:v>
                </c:pt>
                <c:pt idx="59">
                  <c:v>13210697.382591303</c:v>
                </c:pt>
                <c:pt idx="60">
                  <c:v>25036230.520664465</c:v>
                </c:pt>
                <c:pt idx="61">
                  <c:v>11812457.759732584</c:v>
                </c:pt>
                <c:pt idx="62">
                  <c:v>60036885.600216538</c:v>
                </c:pt>
                <c:pt idx="63">
                  <c:v>22586005.698339734</c:v>
                </c:pt>
                <c:pt idx="64">
                  <c:v>32850146.8398057</c:v>
                </c:pt>
                <c:pt idx="65">
                  <c:v>33988898.262231842</c:v>
                </c:pt>
                <c:pt idx="66">
                  <c:v>21821647.069148216</c:v>
                </c:pt>
                <c:pt idx="67">
                  <c:v>11323785.459308723</c:v>
                </c:pt>
                <c:pt idx="68">
                  <c:v>69636748.117221102</c:v>
                </c:pt>
                <c:pt idx="69">
                  <c:v>29187498.655613139</c:v>
                </c:pt>
                <c:pt idx="70">
                  <c:v>9546224.3911100607</c:v>
                </c:pt>
                <c:pt idx="71">
                  <c:v>14821359.888396934</c:v>
                </c:pt>
                <c:pt idx="72">
                  <c:v>73914653.763471678</c:v>
                </c:pt>
                <c:pt idx="73">
                  <c:v>36030698.535674147</c:v>
                </c:pt>
                <c:pt idx="74">
                  <c:v>20212203.527637683</c:v>
                </c:pt>
                <c:pt idx="75">
                  <c:v>15565841.725039627</c:v>
                </c:pt>
                <c:pt idx="76">
                  <c:v>15214281.368600544</c:v>
                </c:pt>
                <c:pt idx="77">
                  <c:v>24355213.516274214</c:v>
                </c:pt>
                <c:pt idx="78">
                  <c:v>43340741.447304152</c:v>
                </c:pt>
                <c:pt idx="79">
                  <c:v>52541080.646002874</c:v>
                </c:pt>
                <c:pt idx="80">
                  <c:v>58977693.1210908</c:v>
                </c:pt>
                <c:pt idx="81">
                  <c:v>17223799.432740916</c:v>
                </c:pt>
                <c:pt idx="82">
                  <c:v>30668533.25309151</c:v>
                </c:pt>
                <c:pt idx="83">
                  <c:v>40605548.350582689</c:v>
                </c:pt>
                <c:pt idx="84">
                  <c:v>12538499.536425535</c:v>
                </c:pt>
                <c:pt idx="85">
                  <c:v>58546614.365197919</c:v>
                </c:pt>
                <c:pt idx="86">
                  <c:v>17471978.432532504</c:v>
                </c:pt>
                <c:pt idx="87">
                  <c:v>13179934.812362252</c:v>
                </c:pt>
                <c:pt idx="88">
                  <c:v>32798766.359500501</c:v>
                </c:pt>
                <c:pt idx="89">
                  <c:v>20122359.009501155</c:v>
                </c:pt>
                <c:pt idx="90">
                  <c:v>28370227.421948943</c:v>
                </c:pt>
                <c:pt idx="91">
                  <c:v>51122907.573910445</c:v>
                </c:pt>
                <c:pt idx="92">
                  <c:v>12125738.292345472</c:v>
                </c:pt>
                <c:pt idx="93">
                  <c:v>40406573.120785356</c:v>
                </c:pt>
                <c:pt idx="94">
                  <c:v>22579032.828975502</c:v>
                </c:pt>
                <c:pt idx="95">
                  <c:v>42380344.590053864</c:v>
                </c:pt>
                <c:pt idx="96">
                  <c:v>23382448.933545794</c:v>
                </c:pt>
                <c:pt idx="97">
                  <c:v>19459681.877249382</c:v>
                </c:pt>
                <c:pt idx="98">
                  <c:v>29410359.645372201</c:v>
                </c:pt>
                <c:pt idx="99">
                  <c:v>52238535.868664406</c:v>
                </c:pt>
                <c:pt idx="100">
                  <c:v>24281293.513807707</c:v>
                </c:pt>
                <c:pt idx="101">
                  <c:v>46338129.40059685</c:v>
                </c:pt>
                <c:pt idx="102">
                  <c:v>31169967.165620551</c:v>
                </c:pt>
                <c:pt idx="103">
                  <c:v>37164437.924918167</c:v>
                </c:pt>
                <c:pt idx="104">
                  <c:v>4465635.2343028188</c:v>
                </c:pt>
                <c:pt idx="105">
                  <c:v>37022017.281865612</c:v>
                </c:pt>
                <c:pt idx="106">
                  <c:v>40256187.892397605</c:v>
                </c:pt>
                <c:pt idx="107">
                  <c:v>22769678.778211851</c:v>
                </c:pt>
                <c:pt idx="108">
                  <c:v>28236480.204711907</c:v>
                </c:pt>
                <c:pt idx="109">
                  <c:v>27448021.870428693</c:v>
                </c:pt>
                <c:pt idx="110">
                  <c:v>18182790.734172784</c:v>
                </c:pt>
                <c:pt idx="111">
                  <c:v>21841449.043732367</c:v>
                </c:pt>
                <c:pt idx="112">
                  <c:v>17971784.770288933</c:v>
                </c:pt>
                <c:pt idx="113">
                  <c:v>35930673.52756121</c:v>
                </c:pt>
                <c:pt idx="114">
                  <c:v>55575434.173598416</c:v>
                </c:pt>
                <c:pt idx="115">
                  <c:v>36251756.99565576</c:v>
                </c:pt>
                <c:pt idx="116">
                  <c:v>13611561.080429073</c:v>
                </c:pt>
                <c:pt idx="117">
                  <c:v>29395318.296144187</c:v>
                </c:pt>
                <c:pt idx="118">
                  <c:v>18347557.16311368</c:v>
                </c:pt>
                <c:pt idx="119">
                  <c:v>63198838.809088685</c:v>
                </c:pt>
                <c:pt idx="120">
                  <c:v>10045916.887185004</c:v>
                </c:pt>
                <c:pt idx="121">
                  <c:v>38200808.636596896</c:v>
                </c:pt>
                <c:pt idx="122">
                  <c:v>25660070.940430667</c:v>
                </c:pt>
                <c:pt idx="123">
                  <c:v>9694428.7284041047</c:v>
                </c:pt>
                <c:pt idx="124">
                  <c:v>22667178.870731015</c:v>
                </c:pt>
                <c:pt idx="125">
                  <c:v>30679570.725676347</c:v>
                </c:pt>
                <c:pt idx="126">
                  <c:v>53900678.681561299</c:v>
                </c:pt>
                <c:pt idx="127">
                  <c:v>31516144.507099278</c:v>
                </c:pt>
                <c:pt idx="128">
                  <c:v>17425285.041586626</c:v>
                </c:pt>
                <c:pt idx="129">
                  <c:v>46944528.550196849</c:v>
                </c:pt>
                <c:pt idx="130">
                  <c:v>68745744.681716666</c:v>
                </c:pt>
                <c:pt idx="131">
                  <c:v>37752287.725392178</c:v>
                </c:pt>
                <c:pt idx="132">
                  <c:v>13813120.270695532</c:v>
                </c:pt>
                <c:pt idx="133">
                  <c:v>9684474.0489998572</c:v>
                </c:pt>
                <c:pt idx="134">
                  <c:v>39787354.347625852</c:v>
                </c:pt>
                <c:pt idx="135">
                  <c:v>38801982.749848492</c:v>
                </c:pt>
                <c:pt idx="136">
                  <c:v>28375937.373726118</c:v>
                </c:pt>
                <c:pt idx="137">
                  <c:v>16188391.562938927</c:v>
                </c:pt>
                <c:pt idx="138">
                  <c:v>47282715.374330051</c:v>
                </c:pt>
                <c:pt idx="139">
                  <c:v>22478042.706328209</c:v>
                </c:pt>
                <c:pt idx="140">
                  <c:v>23521505.670159802</c:v>
                </c:pt>
                <c:pt idx="141">
                  <c:v>21485638.791970652</c:v>
                </c:pt>
                <c:pt idx="142">
                  <c:v>37564472.981426828</c:v>
                </c:pt>
                <c:pt idx="143">
                  <c:v>16738622.65025948</c:v>
                </c:pt>
                <c:pt idx="144">
                  <c:v>11548681.670877133</c:v>
                </c:pt>
                <c:pt idx="145">
                  <c:v>37139735.830991834</c:v>
                </c:pt>
                <c:pt idx="146">
                  <c:v>21033418.8994755</c:v>
                </c:pt>
                <c:pt idx="147">
                  <c:v>15472140.255755242</c:v>
                </c:pt>
                <c:pt idx="148">
                  <c:v>25053298.713239215</c:v>
                </c:pt>
                <c:pt idx="149">
                  <c:v>23660718.975819767</c:v>
                </c:pt>
                <c:pt idx="150">
                  <c:v>13104816.264699042</c:v>
                </c:pt>
                <c:pt idx="151">
                  <c:v>33215073.278772727</c:v>
                </c:pt>
                <c:pt idx="152">
                  <c:v>12509030.756998394</c:v>
                </c:pt>
                <c:pt idx="153">
                  <c:v>46250305.363024637</c:v>
                </c:pt>
                <c:pt idx="154">
                  <c:v>15065404.797705052</c:v>
                </c:pt>
                <c:pt idx="155">
                  <c:v>20259655.208929453</c:v>
                </c:pt>
                <c:pt idx="156">
                  <c:v>44534744.873932108</c:v>
                </c:pt>
                <c:pt idx="157">
                  <c:v>17043582.023942605</c:v>
                </c:pt>
                <c:pt idx="158">
                  <c:v>20829392.840074554</c:v>
                </c:pt>
                <c:pt idx="159">
                  <c:v>28478416.005759068</c:v>
                </c:pt>
                <c:pt idx="160">
                  <c:v>62448155.981321461</c:v>
                </c:pt>
                <c:pt idx="161">
                  <c:v>46097333.816435635</c:v>
                </c:pt>
                <c:pt idx="162">
                  <c:v>19631655.197126508</c:v>
                </c:pt>
                <c:pt idx="163">
                  <c:v>26635039.931635551</c:v>
                </c:pt>
                <c:pt idx="164">
                  <c:v>18328573.212768953</c:v>
                </c:pt>
                <c:pt idx="165">
                  <c:v>42193929.090570375</c:v>
                </c:pt>
                <c:pt idx="166">
                  <c:v>20089969.60518413</c:v>
                </c:pt>
                <c:pt idx="167">
                  <c:v>41103653.688199744</c:v>
                </c:pt>
                <c:pt idx="168">
                  <c:v>22954534.911121029</c:v>
                </c:pt>
                <c:pt idx="169">
                  <c:v>27888806.527406368</c:v>
                </c:pt>
                <c:pt idx="170">
                  <c:v>26381379.436653145</c:v>
                </c:pt>
                <c:pt idx="171">
                  <c:v>40044369.163237527</c:v>
                </c:pt>
                <c:pt idx="172">
                  <c:v>28316001.455713853</c:v>
                </c:pt>
                <c:pt idx="173">
                  <c:v>34295781.429298691</c:v>
                </c:pt>
                <c:pt idx="174">
                  <c:v>15309435.754083084</c:v>
                </c:pt>
                <c:pt idx="175">
                  <c:v>31762629.54478934</c:v>
                </c:pt>
                <c:pt idx="176">
                  <c:v>19428962.858092196</c:v>
                </c:pt>
                <c:pt idx="177">
                  <c:v>53519030.652915888</c:v>
                </c:pt>
                <c:pt idx="178">
                  <c:v>27746798.569420494</c:v>
                </c:pt>
                <c:pt idx="179">
                  <c:v>20510039.402738515</c:v>
                </c:pt>
                <c:pt idx="180">
                  <c:v>39801923.768879913</c:v>
                </c:pt>
                <c:pt idx="181">
                  <c:v>36906939.869771414</c:v>
                </c:pt>
                <c:pt idx="182">
                  <c:v>21511165.854659189</c:v>
                </c:pt>
                <c:pt idx="183">
                  <c:v>17706294.895348817</c:v>
                </c:pt>
                <c:pt idx="184">
                  <c:v>45886527.534326226</c:v>
                </c:pt>
                <c:pt idx="185">
                  <c:v>41331178.582724072</c:v>
                </c:pt>
                <c:pt idx="186">
                  <c:v>24094419.88632521</c:v>
                </c:pt>
                <c:pt idx="187">
                  <c:v>35889343.638713509</c:v>
                </c:pt>
                <c:pt idx="188">
                  <c:v>31922857.111842647</c:v>
                </c:pt>
                <c:pt idx="189">
                  <c:v>31966616.71193767</c:v>
                </c:pt>
                <c:pt idx="190">
                  <c:v>32820641.11160126</c:v>
                </c:pt>
                <c:pt idx="191">
                  <c:v>22529263.35295127</c:v>
                </c:pt>
                <c:pt idx="192">
                  <c:v>23828473.612736665</c:v>
                </c:pt>
                <c:pt idx="193">
                  <c:v>18623548.82643564</c:v>
                </c:pt>
                <c:pt idx="194">
                  <c:v>20687801.832622305</c:v>
                </c:pt>
                <c:pt idx="195">
                  <c:v>30616579.006680895</c:v>
                </c:pt>
                <c:pt idx="196">
                  <c:v>11618136.543371493</c:v>
                </c:pt>
                <c:pt idx="197">
                  <c:v>47184753.14260076</c:v>
                </c:pt>
                <c:pt idx="198">
                  <c:v>36466885.138250276</c:v>
                </c:pt>
                <c:pt idx="199">
                  <c:v>46408894.376357786</c:v>
                </c:pt>
                <c:pt idx="200">
                  <c:v>63345429.400544278</c:v>
                </c:pt>
                <c:pt idx="201">
                  <c:v>32857000.648811173</c:v>
                </c:pt>
                <c:pt idx="202">
                  <c:v>28329511.732283123</c:v>
                </c:pt>
                <c:pt idx="203">
                  <c:v>33326174.963394813</c:v>
                </c:pt>
                <c:pt idx="204">
                  <c:v>50323196.575642601</c:v>
                </c:pt>
                <c:pt idx="205">
                  <c:v>26452875.856017094</c:v>
                </c:pt>
                <c:pt idx="206">
                  <c:v>18106329.090756133</c:v>
                </c:pt>
                <c:pt idx="207">
                  <c:v>58705720.611287318</c:v>
                </c:pt>
                <c:pt idx="208">
                  <c:v>10204347.340956027</c:v>
                </c:pt>
                <c:pt idx="209">
                  <c:v>26573499.811195876</c:v>
                </c:pt>
                <c:pt idx="210">
                  <c:v>32906967.007069439</c:v>
                </c:pt>
                <c:pt idx="211">
                  <c:v>44405230.020533241</c:v>
                </c:pt>
                <c:pt idx="212">
                  <c:v>40942853.723867916</c:v>
                </c:pt>
                <c:pt idx="213">
                  <c:v>26924838.848983094</c:v>
                </c:pt>
                <c:pt idx="214">
                  <c:v>19399134.53698916</c:v>
                </c:pt>
                <c:pt idx="215">
                  <c:v>20859726.101182438</c:v>
                </c:pt>
                <c:pt idx="216">
                  <c:v>49058174.397474609</c:v>
                </c:pt>
                <c:pt idx="217">
                  <c:v>40732268.191446275</c:v>
                </c:pt>
                <c:pt idx="218">
                  <c:v>16177882.550599627</c:v>
                </c:pt>
                <c:pt idx="219">
                  <c:v>37511007.167659983</c:v>
                </c:pt>
                <c:pt idx="220">
                  <c:v>26888703.888905033</c:v>
                </c:pt>
                <c:pt idx="221">
                  <c:v>29920228.023429502</c:v>
                </c:pt>
                <c:pt idx="222">
                  <c:v>18556619.711635429</c:v>
                </c:pt>
                <c:pt idx="223">
                  <c:v>44107046.007748388</c:v>
                </c:pt>
                <c:pt idx="224">
                  <c:v>22251388.190524079</c:v>
                </c:pt>
                <c:pt idx="225">
                  <c:v>38597493.08765652</c:v>
                </c:pt>
                <c:pt idx="226">
                  <c:v>25704287.063759021</c:v>
                </c:pt>
                <c:pt idx="227">
                  <c:v>46077381.123244919</c:v>
                </c:pt>
                <c:pt idx="228">
                  <c:v>24747017.29740053</c:v>
                </c:pt>
                <c:pt idx="229">
                  <c:v>22765316.582993872</c:v>
                </c:pt>
                <c:pt idx="230">
                  <c:v>14714787.215391235</c:v>
                </c:pt>
                <c:pt idx="231">
                  <c:v>30281771.473104235</c:v>
                </c:pt>
                <c:pt idx="232">
                  <c:v>52313195.154190943</c:v>
                </c:pt>
                <c:pt idx="233">
                  <c:v>46176444.052227512</c:v>
                </c:pt>
                <c:pt idx="234">
                  <c:v>27282440.655486763</c:v>
                </c:pt>
                <c:pt idx="235">
                  <c:v>48772254.793270931</c:v>
                </c:pt>
                <c:pt idx="236">
                  <c:v>43572916.819762394</c:v>
                </c:pt>
                <c:pt idx="237">
                  <c:v>14801626.286264632</c:v>
                </c:pt>
                <c:pt idx="238">
                  <c:v>18729768.19885141</c:v>
                </c:pt>
                <c:pt idx="239">
                  <c:v>24530209.248521596</c:v>
                </c:pt>
                <c:pt idx="240">
                  <c:v>36019085.449764304</c:v>
                </c:pt>
                <c:pt idx="241">
                  <c:v>40062822.634011902</c:v>
                </c:pt>
                <c:pt idx="242">
                  <c:v>30837863.279850751</c:v>
                </c:pt>
                <c:pt idx="243">
                  <c:v>16490644.015561622</c:v>
                </c:pt>
                <c:pt idx="244">
                  <c:v>16528738.476052452</c:v>
                </c:pt>
                <c:pt idx="245">
                  <c:v>31628910.874777615</c:v>
                </c:pt>
                <c:pt idx="246">
                  <c:v>25390975.309299175</c:v>
                </c:pt>
                <c:pt idx="247">
                  <c:v>24247351.987138525</c:v>
                </c:pt>
                <c:pt idx="248">
                  <c:v>41724129.859078407</c:v>
                </c:pt>
                <c:pt idx="249">
                  <c:v>46766768.802860223</c:v>
                </c:pt>
                <c:pt idx="250">
                  <c:v>32433217.75835757</c:v>
                </c:pt>
                <c:pt idx="251">
                  <c:v>19461375.804206215</c:v>
                </c:pt>
                <c:pt idx="252">
                  <c:v>29433631.485769682</c:v>
                </c:pt>
                <c:pt idx="253">
                  <c:v>12786521.908523165</c:v>
                </c:pt>
                <c:pt idx="254">
                  <c:v>29528529.192432061</c:v>
                </c:pt>
                <c:pt idx="255">
                  <c:v>32614097.066900387</c:v>
                </c:pt>
                <c:pt idx="256">
                  <c:v>29779124.124251861</c:v>
                </c:pt>
                <c:pt idx="257">
                  <c:v>23968764.31782791</c:v>
                </c:pt>
                <c:pt idx="258">
                  <c:v>54127868.302149452</c:v>
                </c:pt>
                <c:pt idx="259">
                  <c:v>27318262.863689739</c:v>
                </c:pt>
                <c:pt idx="260">
                  <c:v>42569385.892571598</c:v>
                </c:pt>
                <c:pt idx="261">
                  <c:v>72994182.384024829</c:v>
                </c:pt>
                <c:pt idx="262">
                  <c:v>25799505.898304407</c:v>
                </c:pt>
                <c:pt idx="263">
                  <c:v>47651227.434119217</c:v>
                </c:pt>
                <c:pt idx="264">
                  <c:v>54779328.99552723</c:v>
                </c:pt>
                <c:pt idx="265">
                  <c:v>49391244.069729209</c:v>
                </c:pt>
                <c:pt idx="266">
                  <c:v>52438932.175910912</c:v>
                </c:pt>
                <c:pt idx="267">
                  <c:v>24634426.447758347</c:v>
                </c:pt>
                <c:pt idx="268">
                  <c:v>29917082.728367165</c:v>
                </c:pt>
                <c:pt idx="269">
                  <c:v>27062672.419992372</c:v>
                </c:pt>
                <c:pt idx="270">
                  <c:v>19983217.377036437</c:v>
                </c:pt>
                <c:pt idx="271">
                  <c:v>30703446.831497882</c:v>
                </c:pt>
                <c:pt idx="272">
                  <c:v>32102995.278090324</c:v>
                </c:pt>
                <c:pt idx="273">
                  <c:v>26825650.486150831</c:v>
                </c:pt>
                <c:pt idx="274">
                  <c:v>23267592.024872232</c:v>
                </c:pt>
                <c:pt idx="275">
                  <c:v>17516551.9094407</c:v>
                </c:pt>
                <c:pt idx="276">
                  <c:v>22928349.073849645</c:v>
                </c:pt>
                <c:pt idx="277">
                  <c:v>59920256.718705319</c:v>
                </c:pt>
                <c:pt idx="278">
                  <c:v>42549438.549155496</c:v>
                </c:pt>
                <c:pt idx="279">
                  <c:v>31258882.153154552</c:v>
                </c:pt>
                <c:pt idx="280">
                  <c:v>39394314.219836675</c:v>
                </c:pt>
                <c:pt idx="281">
                  <c:v>45322666.416763142</c:v>
                </c:pt>
                <c:pt idx="282">
                  <c:v>38572885.962486215</c:v>
                </c:pt>
                <c:pt idx="283">
                  <c:v>54370129.902643234</c:v>
                </c:pt>
                <c:pt idx="284">
                  <c:v>24929480.473547418</c:v>
                </c:pt>
                <c:pt idx="285">
                  <c:v>61951170.014938794</c:v>
                </c:pt>
                <c:pt idx="286">
                  <c:v>8259131.6335168649</c:v>
                </c:pt>
                <c:pt idx="287">
                  <c:v>11397615.539898403</c:v>
                </c:pt>
                <c:pt idx="288">
                  <c:v>39087288.914004229</c:v>
                </c:pt>
                <c:pt idx="289">
                  <c:v>21015004.481437977</c:v>
                </c:pt>
                <c:pt idx="290">
                  <c:v>28807893.873053245</c:v>
                </c:pt>
                <c:pt idx="291">
                  <c:v>30424008.311463013</c:v>
                </c:pt>
                <c:pt idx="292">
                  <c:v>29167891.284692954</c:v>
                </c:pt>
                <c:pt idx="293">
                  <c:v>33458393.289601211</c:v>
                </c:pt>
                <c:pt idx="294">
                  <c:v>69599652.109610021</c:v>
                </c:pt>
                <c:pt idx="295">
                  <c:v>37638904.515908562</c:v>
                </c:pt>
                <c:pt idx="296">
                  <c:v>16100524.006609617</c:v>
                </c:pt>
                <c:pt idx="297">
                  <c:v>14700081.960121863</c:v>
                </c:pt>
                <c:pt idx="298">
                  <c:v>40169823.093613461</c:v>
                </c:pt>
                <c:pt idx="299">
                  <c:v>24636664.102233108</c:v>
                </c:pt>
                <c:pt idx="300">
                  <c:v>18476392.038908377</c:v>
                </c:pt>
                <c:pt idx="301">
                  <c:v>16856099.565317214</c:v>
                </c:pt>
                <c:pt idx="302">
                  <c:v>11304010.197447693</c:v>
                </c:pt>
                <c:pt idx="303">
                  <c:v>18634379.220767252</c:v>
                </c:pt>
                <c:pt idx="304">
                  <c:v>47435155.581177726</c:v>
                </c:pt>
                <c:pt idx="305">
                  <c:v>22575955.930084456</c:v>
                </c:pt>
                <c:pt idx="306">
                  <c:v>11210796.317380516</c:v>
                </c:pt>
                <c:pt idx="307">
                  <c:v>22743971.149305001</c:v>
                </c:pt>
                <c:pt idx="308">
                  <c:v>16366530.125823939</c:v>
                </c:pt>
                <c:pt idx="309">
                  <c:v>18098119.993158072</c:v>
                </c:pt>
                <c:pt idx="310">
                  <c:v>25510863.624863636</c:v>
                </c:pt>
                <c:pt idx="311">
                  <c:v>23517829.149725873</c:v>
                </c:pt>
                <c:pt idx="312">
                  <c:v>40090596.517418191</c:v>
                </c:pt>
                <c:pt idx="313">
                  <c:v>19051796.366905969</c:v>
                </c:pt>
                <c:pt idx="314">
                  <c:v>23407319.498325899</c:v>
                </c:pt>
                <c:pt idx="315">
                  <c:v>21956312.906613093</c:v>
                </c:pt>
                <c:pt idx="316">
                  <c:v>12921422.116047166</c:v>
                </c:pt>
                <c:pt idx="317">
                  <c:v>21248946.629625358</c:v>
                </c:pt>
                <c:pt idx="318">
                  <c:v>34919572.418198973</c:v>
                </c:pt>
                <c:pt idx="319">
                  <c:v>38167463.304511651</c:v>
                </c:pt>
                <c:pt idx="320">
                  <c:v>29876095.587776892</c:v>
                </c:pt>
                <c:pt idx="321">
                  <c:v>37646941.37532334</c:v>
                </c:pt>
                <c:pt idx="322">
                  <c:v>72555620.437312961</c:v>
                </c:pt>
                <c:pt idx="323">
                  <c:v>45185498.547851533</c:v>
                </c:pt>
                <c:pt idx="324">
                  <c:v>24802320.033646837</c:v>
                </c:pt>
                <c:pt idx="325">
                  <c:v>32125611.636617761</c:v>
                </c:pt>
                <c:pt idx="326">
                  <c:v>12609091.50612174</c:v>
                </c:pt>
                <c:pt idx="327">
                  <c:v>24841781.451405648</c:v>
                </c:pt>
                <c:pt idx="328">
                  <c:v>21404837.94258479</c:v>
                </c:pt>
                <c:pt idx="329">
                  <c:v>8101558.2144165896</c:v>
                </c:pt>
                <c:pt idx="330">
                  <c:v>16737983.209058357</c:v>
                </c:pt>
                <c:pt idx="331">
                  <c:v>27981153.973453037</c:v>
                </c:pt>
                <c:pt idx="332">
                  <c:v>45791291.328950979</c:v>
                </c:pt>
                <c:pt idx="333">
                  <c:v>14243386.667488143</c:v>
                </c:pt>
                <c:pt idx="334">
                  <c:v>20692462.279188052</c:v>
                </c:pt>
                <c:pt idx="335">
                  <c:v>19594912.255594857</c:v>
                </c:pt>
                <c:pt idx="336">
                  <c:v>46210292.480061047</c:v>
                </c:pt>
                <c:pt idx="337">
                  <c:v>29685454.215930637</c:v>
                </c:pt>
                <c:pt idx="338">
                  <c:v>24843175.399789698</c:v>
                </c:pt>
                <c:pt idx="339">
                  <c:v>31957980.169159103</c:v>
                </c:pt>
                <c:pt idx="340">
                  <c:v>93852790.869853675</c:v>
                </c:pt>
                <c:pt idx="341">
                  <c:v>10896021.407404717</c:v>
                </c:pt>
                <c:pt idx="342">
                  <c:v>30161601.940970019</c:v>
                </c:pt>
                <c:pt idx="343">
                  <c:v>23098251.843570486</c:v>
                </c:pt>
                <c:pt idx="344">
                  <c:v>32873167.292512912</c:v>
                </c:pt>
                <c:pt idx="345">
                  <c:v>28029644.076004252</c:v>
                </c:pt>
                <c:pt idx="346">
                  <c:v>24668711.273751337</c:v>
                </c:pt>
                <c:pt idx="347">
                  <c:v>38889993.702113822</c:v>
                </c:pt>
                <c:pt idx="348">
                  <c:v>20169095.867927469</c:v>
                </c:pt>
                <c:pt idx="349">
                  <c:v>20756442.534446191</c:v>
                </c:pt>
                <c:pt idx="350">
                  <c:v>19143115.538222875</c:v>
                </c:pt>
                <c:pt idx="351">
                  <c:v>28672818.656779289</c:v>
                </c:pt>
                <c:pt idx="352">
                  <c:v>37049494.631054461</c:v>
                </c:pt>
                <c:pt idx="353">
                  <c:v>21826970.205599837</c:v>
                </c:pt>
                <c:pt idx="354">
                  <c:v>16595485.926016955</c:v>
                </c:pt>
                <c:pt idx="355">
                  <c:v>32741880.254938126</c:v>
                </c:pt>
                <c:pt idx="356">
                  <c:v>4293904.4755816311</c:v>
                </c:pt>
                <c:pt idx="357">
                  <c:v>51640161.10056071</c:v>
                </c:pt>
                <c:pt idx="358">
                  <c:v>45541420.007547051</c:v>
                </c:pt>
                <c:pt idx="359">
                  <c:v>26818418.338225916</c:v>
                </c:pt>
                <c:pt idx="360">
                  <c:v>13194460.749481903</c:v>
                </c:pt>
                <c:pt idx="361">
                  <c:v>37826649.748881601</c:v>
                </c:pt>
                <c:pt idx="362">
                  <c:v>37104136.213497378</c:v>
                </c:pt>
                <c:pt idx="363">
                  <c:v>22380943.257214788</c:v>
                </c:pt>
                <c:pt idx="364">
                  <c:v>17804987.273146942</c:v>
                </c:pt>
                <c:pt idx="365">
                  <c:v>69461963.561399564</c:v>
                </c:pt>
                <c:pt idx="366">
                  <c:v>21655733.47467209</c:v>
                </c:pt>
                <c:pt idx="367">
                  <c:v>20114389.805798229</c:v>
                </c:pt>
                <c:pt idx="368">
                  <c:v>7397568.789886971</c:v>
                </c:pt>
                <c:pt idx="369">
                  <c:v>32971178.996475298</c:v>
                </c:pt>
                <c:pt idx="370">
                  <c:v>68036841.85767296</c:v>
                </c:pt>
                <c:pt idx="371">
                  <c:v>23038098.796949252</c:v>
                </c:pt>
                <c:pt idx="372">
                  <c:v>18001479.299980525</c:v>
                </c:pt>
                <c:pt idx="373">
                  <c:v>21567171.736310709</c:v>
                </c:pt>
                <c:pt idx="374">
                  <c:v>30872007.969175484</c:v>
                </c:pt>
                <c:pt idx="375">
                  <c:v>26760738.08524923</c:v>
                </c:pt>
                <c:pt idx="376">
                  <c:v>35717939.90186245</c:v>
                </c:pt>
                <c:pt idx="377">
                  <c:v>12930614.296304209</c:v>
                </c:pt>
                <c:pt idx="378">
                  <c:v>27075245.904553875</c:v>
                </c:pt>
                <c:pt idx="379">
                  <c:v>36012262.649859227</c:v>
                </c:pt>
                <c:pt idx="380">
                  <c:v>33779537.023327298</c:v>
                </c:pt>
                <c:pt idx="381">
                  <c:v>28969893.7448465</c:v>
                </c:pt>
                <c:pt idx="382">
                  <c:v>155106920.45974052</c:v>
                </c:pt>
                <c:pt idx="383">
                  <c:v>46525199.542725861</c:v>
                </c:pt>
                <c:pt idx="384">
                  <c:v>28705712.483109571</c:v>
                </c:pt>
                <c:pt idx="385">
                  <c:v>34274135.966839105</c:v>
                </c:pt>
                <c:pt idx="386">
                  <c:v>48374003.388744876</c:v>
                </c:pt>
                <c:pt idx="387">
                  <c:v>27778322.946763985</c:v>
                </c:pt>
                <c:pt idx="388">
                  <c:v>45933611.367406704</c:v>
                </c:pt>
                <c:pt idx="389">
                  <c:v>30648991.278557263</c:v>
                </c:pt>
                <c:pt idx="390">
                  <c:v>41936449.495457202</c:v>
                </c:pt>
                <c:pt idx="391">
                  <c:v>25573300.688530821</c:v>
                </c:pt>
                <c:pt idx="392">
                  <c:v>14401316.67990534</c:v>
                </c:pt>
                <c:pt idx="393">
                  <c:v>11386865.350737866</c:v>
                </c:pt>
                <c:pt idx="394">
                  <c:v>13901377.155394938</c:v>
                </c:pt>
                <c:pt idx="395">
                  <c:v>20500455.46801411</c:v>
                </c:pt>
                <c:pt idx="396">
                  <c:v>32887642.050225876</c:v>
                </c:pt>
                <c:pt idx="397">
                  <c:v>22155204.754143756</c:v>
                </c:pt>
                <c:pt idx="398">
                  <c:v>25640657.572692413</c:v>
                </c:pt>
                <c:pt idx="399">
                  <c:v>28224731.11495892</c:v>
                </c:pt>
                <c:pt idx="400">
                  <c:v>27256148.30631306</c:v>
                </c:pt>
                <c:pt idx="401">
                  <c:v>21208876.528761566</c:v>
                </c:pt>
                <c:pt idx="402">
                  <c:v>73049682.532287806</c:v>
                </c:pt>
                <c:pt idx="403">
                  <c:v>34301579.679675303</c:v>
                </c:pt>
                <c:pt idx="404">
                  <c:v>7560339.1560065793</c:v>
                </c:pt>
                <c:pt idx="405">
                  <c:v>30026652.477779839</c:v>
                </c:pt>
                <c:pt idx="406">
                  <c:v>23363993.730351549</c:v>
                </c:pt>
                <c:pt idx="407">
                  <c:v>31025422.190837398</c:v>
                </c:pt>
                <c:pt idx="408">
                  <c:v>47721019.740309596</c:v>
                </c:pt>
                <c:pt idx="409">
                  <c:v>20792907.099957459</c:v>
                </c:pt>
                <c:pt idx="410">
                  <c:v>33393546.070869267</c:v>
                </c:pt>
                <c:pt idx="411">
                  <c:v>9261758.1550598629</c:v>
                </c:pt>
                <c:pt idx="412">
                  <c:v>28905262.205153339</c:v>
                </c:pt>
                <c:pt idx="413">
                  <c:v>33285484.179314751</c:v>
                </c:pt>
                <c:pt idx="414">
                  <c:v>24140762.225336235</c:v>
                </c:pt>
                <c:pt idx="415">
                  <c:v>23584851.600160774</c:v>
                </c:pt>
                <c:pt idx="416">
                  <c:v>59672229.138278402</c:v>
                </c:pt>
                <c:pt idx="417">
                  <c:v>23979018.812700763</c:v>
                </c:pt>
                <c:pt idx="418">
                  <c:v>92680954.928836346</c:v>
                </c:pt>
                <c:pt idx="419">
                  <c:v>26880099.647851013</c:v>
                </c:pt>
                <c:pt idx="420">
                  <c:v>25890460.092164256</c:v>
                </c:pt>
                <c:pt idx="421">
                  <c:v>10624812.103775164</c:v>
                </c:pt>
                <c:pt idx="422">
                  <c:v>33415193.115706299</c:v>
                </c:pt>
                <c:pt idx="423">
                  <c:v>13638333.638519291</c:v>
                </c:pt>
                <c:pt idx="424">
                  <c:v>17375797.551986866</c:v>
                </c:pt>
                <c:pt idx="425">
                  <c:v>36805208.830888361</c:v>
                </c:pt>
                <c:pt idx="426">
                  <c:v>19848704.055118255</c:v>
                </c:pt>
                <c:pt idx="427">
                  <c:v>42112369.14786052</c:v>
                </c:pt>
                <c:pt idx="428">
                  <c:v>36579210.6107843</c:v>
                </c:pt>
                <c:pt idx="429">
                  <c:v>58788692.236923419</c:v>
                </c:pt>
                <c:pt idx="430">
                  <c:v>17922162.862978853</c:v>
                </c:pt>
                <c:pt idx="431">
                  <c:v>26364368.468016203</c:v>
                </c:pt>
                <c:pt idx="432">
                  <c:v>16540078.582589826</c:v>
                </c:pt>
                <c:pt idx="433">
                  <c:v>32915420.974740393</c:v>
                </c:pt>
                <c:pt idx="434">
                  <c:v>18119922.912404619</c:v>
                </c:pt>
                <c:pt idx="435">
                  <c:v>14626179.114315452</c:v>
                </c:pt>
                <c:pt idx="436">
                  <c:v>23811202.923618585</c:v>
                </c:pt>
                <c:pt idx="437">
                  <c:v>20760098.422851779</c:v>
                </c:pt>
                <c:pt idx="438">
                  <c:v>23291792.108887669</c:v>
                </c:pt>
                <c:pt idx="439">
                  <c:v>35042849.987397119</c:v>
                </c:pt>
                <c:pt idx="440">
                  <c:v>21465582.016208924</c:v>
                </c:pt>
                <c:pt idx="441">
                  <c:v>8930725.651723817</c:v>
                </c:pt>
                <c:pt idx="442">
                  <c:v>35677100.879445463</c:v>
                </c:pt>
                <c:pt idx="443">
                  <c:v>44833877.938809663</c:v>
                </c:pt>
                <c:pt idx="444">
                  <c:v>59165239.261813879</c:v>
                </c:pt>
                <c:pt idx="445">
                  <c:v>12783317.768961538</c:v>
                </c:pt>
                <c:pt idx="446">
                  <c:v>42131357.207800142</c:v>
                </c:pt>
                <c:pt idx="447">
                  <c:v>37600512.391199879</c:v>
                </c:pt>
                <c:pt idx="448">
                  <c:v>40799680.772691116</c:v>
                </c:pt>
                <c:pt idx="449">
                  <c:v>17444410.493890416</c:v>
                </c:pt>
                <c:pt idx="450">
                  <c:v>12390935.052463025</c:v>
                </c:pt>
                <c:pt idx="451">
                  <c:v>32442180.840533577</c:v>
                </c:pt>
                <c:pt idx="452">
                  <c:v>38143611.277800158</c:v>
                </c:pt>
                <c:pt idx="453">
                  <c:v>60452352.32970047</c:v>
                </c:pt>
                <c:pt idx="454">
                  <c:v>17454504.451163679</c:v>
                </c:pt>
                <c:pt idx="455">
                  <c:v>50296398.00408829</c:v>
                </c:pt>
                <c:pt idx="456">
                  <c:v>16185225.313599123</c:v>
                </c:pt>
                <c:pt idx="457">
                  <c:v>38934738.520396195</c:v>
                </c:pt>
                <c:pt idx="458">
                  <c:v>26815237.538275488</c:v>
                </c:pt>
                <c:pt idx="459">
                  <c:v>49818500.020170733</c:v>
                </c:pt>
                <c:pt idx="460">
                  <c:v>36347092.666435279</c:v>
                </c:pt>
                <c:pt idx="461">
                  <c:v>24083782.429811116</c:v>
                </c:pt>
                <c:pt idx="462">
                  <c:v>36407035.066933818</c:v>
                </c:pt>
                <c:pt idx="463">
                  <c:v>45558341.405068092</c:v>
                </c:pt>
                <c:pt idx="464">
                  <c:v>52552846.322433189</c:v>
                </c:pt>
                <c:pt idx="465">
                  <c:v>27704911.253755033</c:v>
                </c:pt>
                <c:pt idx="466">
                  <c:v>54830121.570247464</c:v>
                </c:pt>
                <c:pt idx="467">
                  <c:v>20311672.40050767</c:v>
                </c:pt>
                <c:pt idx="468">
                  <c:v>36105896.464022011</c:v>
                </c:pt>
                <c:pt idx="469">
                  <c:v>41015279.693386436</c:v>
                </c:pt>
                <c:pt idx="470">
                  <c:v>40474247.85700573</c:v>
                </c:pt>
                <c:pt idx="471">
                  <c:v>21359001.286678642</c:v>
                </c:pt>
                <c:pt idx="472">
                  <c:v>27012331.972993426</c:v>
                </c:pt>
                <c:pt idx="473">
                  <c:v>56451015.753285855</c:v>
                </c:pt>
                <c:pt idx="474">
                  <c:v>32948039.342755146</c:v>
                </c:pt>
                <c:pt idx="475">
                  <c:v>38107436.261297785</c:v>
                </c:pt>
                <c:pt idx="476">
                  <c:v>48400144.972376503</c:v>
                </c:pt>
                <c:pt idx="477">
                  <c:v>25086428.602072444</c:v>
                </c:pt>
                <c:pt idx="478">
                  <c:v>56942743.576393224</c:v>
                </c:pt>
                <c:pt idx="479">
                  <c:v>19171282.710700288</c:v>
                </c:pt>
                <c:pt idx="480">
                  <c:v>34682339.905342147</c:v>
                </c:pt>
                <c:pt idx="481">
                  <c:v>27223321.76352926</c:v>
                </c:pt>
                <c:pt idx="482">
                  <c:v>17008280.829967178</c:v>
                </c:pt>
                <c:pt idx="483">
                  <c:v>43074432.494887844</c:v>
                </c:pt>
                <c:pt idx="484">
                  <c:v>22160494.379131638</c:v>
                </c:pt>
                <c:pt idx="485">
                  <c:v>52872463.716351688</c:v>
                </c:pt>
                <c:pt idx="486">
                  <c:v>15217437.609847141</c:v>
                </c:pt>
                <c:pt idx="487">
                  <c:v>34268104.663779296</c:v>
                </c:pt>
                <c:pt idx="488">
                  <c:v>34613373.378822654</c:v>
                </c:pt>
                <c:pt idx="489">
                  <c:v>24608783.984328929</c:v>
                </c:pt>
                <c:pt idx="490">
                  <c:v>59395163.878010504</c:v>
                </c:pt>
                <c:pt idx="491">
                  <c:v>28268418.152694061</c:v>
                </c:pt>
                <c:pt idx="492">
                  <c:v>31772353.864808667</c:v>
                </c:pt>
                <c:pt idx="493">
                  <c:v>63111798.60091982</c:v>
                </c:pt>
                <c:pt idx="494">
                  <c:v>35643988.483385533</c:v>
                </c:pt>
                <c:pt idx="495">
                  <c:v>15312751.655994851</c:v>
                </c:pt>
                <c:pt idx="496">
                  <c:v>32389620.852524012</c:v>
                </c:pt>
                <c:pt idx="497">
                  <c:v>41912629.874448165</c:v>
                </c:pt>
                <c:pt idx="498">
                  <c:v>35082659.096506648</c:v>
                </c:pt>
                <c:pt idx="499">
                  <c:v>42309053.551885366</c:v>
                </c:pt>
                <c:pt idx="500">
                  <c:v>36054130.150290355</c:v>
                </c:pt>
                <c:pt idx="501">
                  <c:v>29682940.201658327</c:v>
                </c:pt>
                <c:pt idx="502">
                  <c:v>21461820.292583231</c:v>
                </c:pt>
                <c:pt idx="503">
                  <c:v>25618507.681153886</c:v>
                </c:pt>
                <c:pt idx="504">
                  <c:v>26012218.604904424</c:v>
                </c:pt>
                <c:pt idx="505">
                  <c:v>41689485.936256737</c:v>
                </c:pt>
                <c:pt idx="506">
                  <c:v>27978591.787224729</c:v>
                </c:pt>
                <c:pt idx="507">
                  <c:v>45714006.684799835</c:v>
                </c:pt>
                <c:pt idx="508">
                  <c:v>43783936.039716288</c:v>
                </c:pt>
                <c:pt idx="509">
                  <c:v>30657054.503153827</c:v>
                </c:pt>
                <c:pt idx="510">
                  <c:v>17793844.95456019</c:v>
                </c:pt>
                <c:pt idx="511">
                  <c:v>32266211.166888919</c:v>
                </c:pt>
                <c:pt idx="512">
                  <c:v>42072851.448763154</c:v>
                </c:pt>
                <c:pt idx="513">
                  <c:v>37237820.222067855</c:v>
                </c:pt>
                <c:pt idx="514">
                  <c:v>60000302.279261611</c:v>
                </c:pt>
                <c:pt idx="515">
                  <c:v>16644306.171855561</c:v>
                </c:pt>
                <c:pt idx="516">
                  <c:v>11618330.772620603</c:v>
                </c:pt>
                <c:pt idx="517">
                  <c:v>49148964.645106077</c:v>
                </c:pt>
                <c:pt idx="518">
                  <c:v>42935258.511945575</c:v>
                </c:pt>
                <c:pt idx="519">
                  <c:v>24556752.955450229</c:v>
                </c:pt>
                <c:pt idx="520">
                  <c:v>21892136.511507291</c:v>
                </c:pt>
                <c:pt idx="521">
                  <c:v>7145360.20794769</c:v>
                </c:pt>
                <c:pt idx="522">
                  <c:v>15347099.400758797</c:v>
                </c:pt>
                <c:pt idx="523">
                  <c:v>23522204.52135608</c:v>
                </c:pt>
                <c:pt idx="524">
                  <c:v>35453506.770525098</c:v>
                </c:pt>
                <c:pt idx="525">
                  <c:v>21358298.773186531</c:v>
                </c:pt>
                <c:pt idx="526">
                  <c:v>24672962.846200045</c:v>
                </c:pt>
                <c:pt idx="527">
                  <c:v>20264287.272489574</c:v>
                </c:pt>
                <c:pt idx="528">
                  <c:v>38042657.083895355</c:v>
                </c:pt>
                <c:pt idx="529">
                  <c:v>11301893.805310763</c:v>
                </c:pt>
                <c:pt idx="530">
                  <c:v>20134286.039865237</c:v>
                </c:pt>
                <c:pt idx="531">
                  <c:v>20924690.541868657</c:v>
                </c:pt>
                <c:pt idx="532">
                  <c:v>16330394.743292846</c:v>
                </c:pt>
                <c:pt idx="533">
                  <c:v>40069361.556218967</c:v>
                </c:pt>
                <c:pt idx="534">
                  <c:v>38451093.969487183</c:v>
                </c:pt>
                <c:pt idx="535">
                  <c:v>44262823.14637392</c:v>
                </c:pt>
                <c:pt idx="536">
                  <c:v>12690059.282662876</c:v>
                </c:pt>
                <c:pt idx="537">
                  <c:v>21371366.057387102</c:v>
                </c:pt>
                <c:pt idx="538">
                  <c:v>39781260.03630431</c:v>
                </c:pt>
                <c:pt idx="539">
                  <c:v>37261642.498567022</c:v>
                </c:pt>
                <c:pt idx="540">
                  <c:v>28648848.702203378</c:v>
                </c:pt>
                <c:pt idx="541">
                  <c:v>15151313.933583122</c:v>
                </c:pt>
                <c:pt idx="542">
                  <c:v>55699603.32011354</c:v>
                </c:pt>
                <c:pt idx="543">
                  <c:v>52024330.002477653</c:v>
                </c:pt>
                <c:pt idx="544">
                  <c:v>25407394.601782039</c:v>
                </c:pt>
                <c:pt idx="545">
                  <c:v>30603389.456576325</c:v>
                </c:pt>
                <c:pt idx="546">
                  <c:v>19718182.934826382</c:v>
                </c:pt>
                <c:pt idx="547">
                  <c:v>17768852.664697118</c:v>
                </c:pt>
                <c:pt idx="548">
                  <c:v>32177502.505358785</c:v>
                </c:pt>
                <c:pt idx="549">
                  <c:v>22000438.080471568</c:v>
                </c:pt>
                <c:pt idx="550">
                  <c:v>33816156.782732569</c:v>
                </c:pt>
                <c:pt idx="551">
                  <c:v>50139360.4323356</c:v>
                </c:pt>
                <c:pt idx="552">
                  <c:v>27957282.489279054</c:v>
                </c:pt>
                <c:pt idx="553">
                  <c:v>24236268.677055623</c:v>
                </c:pt>
                <c:pt idx="554">
                  <c:v>54112736.793552175</c:v>
                </c:pt>
                <c:pt idx="555">
                  <c:v>16190373.861026278</c:v>
                </c:pt>
                <c:pt idx="556">
                  <c:v>24342870.573741429</c:v>
                </c:pt>
                <c:pt idx="557">
                  <c:v>25691382.427061893</c:v>
                </c:pt>
                <c:pt idx="558">
                  <c:v>56495464.37840353</c:v>
                </c:pt>
                <c:pt idx="559">
                  <c:v>20635610.027314965</c:v>
                </c:pt>
                <c:pt idx="560">
                  <c:v>20849497.940578904</c:v>
                </c:pt>
                <c:pt idx="561">
                  <c:v>51756521.298805013</c:v>
                </c:pt>
                <c:pt idx="562">
                  <c:v>27916487.294650659</c:v>
                </c:pt>
                <c:pt idx="563">
                  <c:v>11167054.313392285</c:v>
                </c:pt>
                <c:pt idx="564">
                  <c:v>20650297.88889521</c:v>
                </c:pt>
                <c:pt idx="565">
                  <c:v>14118884.456601866</c:v>
                </c:pt>
                <c:pt idx="566">
                  <c:v>28158517.004936621</c:v>
                </c:pt>
                <c:pt idx="567">
                  <c:v>21153459.910155017</c:v>
                </c:pt>
                <c:pt idx="568">
                  <c:v>9430127.9645508919</c:v>
                </c:pt>
                <c:pt idx="569">
                  <c:v>22046269.251491845</c:v>
                </c:pt>
                <c:pt idx="570">
                  <c:v>21822069.069622111</c:v>
                </c:pt>
                <c:pt idx="571">
                  <c:v>26200336.82224993</c:v>
                </c:pt>
                <c:pt idx="572">
                  <c:v>13852858.406834267</c:v>
                </c:pt>
                <c:pt idx="573">
                  <c:v>48262538.486115247</c:v>
                </c:pt>
                <c:pt idx="574">
                  <c:v>43857988.090864509</c:v>
                </c:pt>
                <c:pt idx="575">
                  <c:v>7263617.5985061144</c:v>
                </c:pt>
                <c:pt idx="576">
                  <c:v>31033870.240457848</c:v>
                </c:pt>
                <c:pt idx="577">
                  <c:v>18859700.282510273</c:v>
                </c:pt>
                <c:pt idx="578">
                  <c:v>34101161.764840737</c:v>
                </c:pt>
                <c:pt idx="579">
                  <c:v>11645687.820165658</c:v>
                </c:pt>
                <c:pt idx="580">
                  <c:v>37724648.389015935</c:v>
                </c:pt>
                <c:pt idx="581">
                  <c:v>27798188.31168817</c:v>
                </c:pt>
                <c:pt idx="582">
                  <c:v>25658905.520890933</c:v>
                </c:pt>
                <c:pt idx="583">
                  <c:v>29324488.137152258</c:v>
                </c:pt>
                <c:pt idx="584">
                  <c:v>26838581.599275783</c:v>
                </c:pt>
                <c:pt idx="585">
                  <c:v>18009377.238256816</c:v>
                </c:pt>
                <c:pt idx="586">
                  <c:v>35546372.129741251</c:v>
                </c:pt>
                <c:pt idx="587">
                  <c:v>22111673.023488369</c:v>
                </c:pt>
                <c:pt idx="588">
                  <c:v>8978882.8729353454</c:v>
                </c:pt>
                <c:pt idx="589">
                  <c:v>9719102.9107925631</c:v>
                </c:pt>
                <c:pt idx="590">
                  <c:v>34977795.980052285</c:v>
                </c:pt>
                <c:pt idx="591">
                  <c:v>74315459.202216744</c:v>
                </c:pt>
                <c:pt idx="592">
                  <c:v>29046851.629701369</c:v>
                </c:pt>
                <c:pt idx="593">
                  <c:v>30718244.360340588</c:v>
                </c:pt>
                <c:pt idx="594">
                  <c:v>36638668.254712105</c:v>
                </c:pt>
                <c:pt idx="595">
                  <c:v>20012339.414881125</c:v>
                </c:pt>
                <c:pt idx="596">
                  <c:v>22342002.521733448</c:v>
                </c:pt>
                <c:pt idx="597">
                  <c:v>9616591.2084337268</c:v>
                </c:pt>
                <c:pt idx="598">
                  <c:v>39859993.793389827</c:v>
                </c:pt>
                <c:pt idx="599">
                  <c:v>33388421.649304636</c:v>
                </c:pt>
                <c:pt idx="600">
                  <c:v>15755383.164429465</c:v>
                </c:pt>
                <c:pt idx="601">
                  <c:v>34120881.870060138</c:v>
                </c:pt>
                <c:pt idx="602">
                  <c:v>45668172.743827879</c:v>
                </c:pt>
                <c:pt idx="603">
                  <c:v>4535230.9490264356</c:v>
                </c:pt>
                <c:pt idx="604">
                  <c:v>37779310.88565772</c:v>
                </c:pt>
                <c:pt idx="605">
                  <c:v>28885272.945974413</c:v>
                </c:pt>
                <c:pt idx="606">
                  <c:v>56985028.924653456</c:v>
                </c:pt>
                <c:pt idx="607">
                  <c:v>26021256.476137366</c:v>
                </c:pt>
                <c:pt idx="608">
                  <c:v>31781278.359726746</c:v>
                </c:pt>
                <c:pt idx="609">
                  <c:v>73776383.616014004</c:v>
                </c:pt>
                <c:pt idx="610">
                  <c:v>28325270.365305535</c:v>
                </c:pt>
                <c:pt idx="611">
                  <c:v>32136672.614822034</c:v>
                </c:pt>
                <c:pt idx="612">
                  <c:v>15207684.645588027</c:v>
                </c:pt>
                <c:pt idx="613">
                  <c:v>29853828.649822954</c:v>
                </c:pt>
                <c:pt idx="614">
                  <c:v>13470910.118196482</c:v>
                </c:pt>
                <c:pt idx="615">
                  <c:v>22621003.709977351</c:v>
                </c:pt>
                <c:pt idx="616">
                  <c:v>24544228.683489971</c:v>
                </c:pt>
                <c:pt idx="617">
                  <c:v>26851964.280830253</c:v>
                </c:pt>
                <c:pt idx="618">
                  <c:v>12508771.521732885</c:v>
                </c:pt>
                <c:pt idx="619">
                  <c:v>24931528.286860444</c:v>
                </c:pt>
                <c:pt idx="620">
                  <c:v>21094623.913182925</c:v>
                </c:pt>
                <c:pt idx="621">
                  <c:v>36977971.150888219</c:v>
                </c:pt>
                <c:pt idx="622">
                  <c:v>30800343.949735668</c:v>
                </c:pt>
                <c:pt idx="623">
                  <c:v>19810557.671458393</c:v>
                </c:pt>
                <c:pt idx="624">
                  <c:v>40120576.196406774</c:v>
                </c:pt>
                <c:pt idx="625">
                  <c:v>41731337.87496601</c:v>
                </c:pt>
                <c:pt idx="626">
                  <c:v>33004950.962903108</c:v>
                </c:pt>
                <c:pt idx="627">
                  <c:v>12709500.472504754</c:v>
                </c:pt>
                <c:pt idx="628">
                  <c:v>31355192.41790539</c:v>
                </c:pt>
                <c:pt idx="629">
                  <c:v>27861877.59043901</c:v>
                </c:pt>
                <c:pt idx="630">
                  <c:v>16726066.59965843</c:v>
                </c:pt>
                <c:pt idx="631">
                  <c:v>48254194.801860437</c:v>
                </c:pt>
                <c:pt idx="632">
                  <c:v>37097818.598243117</c:v>
                </c:pt>
                <c:pt idx="633">
                  <c:v>23495966.329370562</c:v>
                </c:pt>
                <c:pt idx="634">
                  <c:v>40057633.452678882</c:v>
                </c:pt>
                <c:pt idx="635">
                  <c:v>30963112.654251046</c:v>
                </c:pt>
                <c:pt idx="636">
                  <c:v>29008745.876360904</c:v>
                </c:pt>
                <c:pt idx="637">
                  <c:v>16266572.302116416</c:v>
                </c:pt>
                <c:pt idx="638">
                  <c:v>26868931.578859538</c:v>
                </c:pt>
                <c:pt idx="639">
                  <c:v>21895533.894132897</c:v>
                </c:pt>
                <c:pt idx="640">
                  <c:v>26071071.790451959</c:v>
                </c:pt>
                <c:pt idx="641">
                  <c:v>40352157.251503855</c:v>
                </c:pt>
                <c:pt idx="642">
                  <c:v>28989710.331685074</c:v>
                </c:pt>
                <c:pt idx="643">
                  <c:v>34115029.335331462</c:v>
                </c:pt>
                <c:pt idx="644">
                  <c:v>52722540.965792038</c:v>
                </c:pt>
                <c:pt idx="645">
                  <c:v>31525483.37715333</c:v>
                </c:pt>
                <c:pt idx="646">
                  <c:v>43517565.470401473</c:v>
                </c:pt>
                <c:pt idx="647">
                  <c:v>29028288.724730574</c:v>
                </c:pt>
                <c:pt idx="648">
                  <c:v>50852467.027077802</c:v>
                </c:pt>
                <c:pt idx="649">
                  <c:v>33856985.075041324</c:v>
                </c:pt>
                <c:pt idx="650">
                  <c:v>22867553.038332354</c:v>
                </c:pt>
                <c:pt idx="651">
                  <c:v>40057256.673504539</c:v>
                </c:pt>
                <c:pt idx="652">
                  <c:v>31606993.226961628</c:v>
                </c:pt>
                <c:pt idx="653">
                  <c:v>17980329.757619202</c:v>
                </c:pt>
                <c:pt idx="654">
                  <c:v>57435685.906386659</c:v>
                </c:pt>
                <c:pt idx="655">
                  <c:v>40376259.716072462</c:v>
                </c:pt>
                <c:pt idx="656">
                  <c:v>19952222.881888308</c:v>
                </c:pt>
                <c:pt idx="657">
                  <c:v>32019760.247751452</c:v>
                </c:pt>
                <c:pt idx="658">
                  <c:v>11203637.74202154</c:v>
                </c:pt>
                <c:pt idx="659">
                  <c:v>46792652.504172854</c:v>
                </c:pt>
                <c:pt idx="660">
                  <c:v>8328885.1060445243</c:v>
                </c:pt>
                <c:pt idx="661">
                  <c:v>33683469.962441891</c:v>
                </c:pt>
                <c:pt idx="662">
                  <c:v>55627642.592870496</c:v>
                </c:pt>
                <c:pt idx="663">
                  <c:v>35893123.439146586</c:v>
                </c:pt>
                <c:pt idx="664">
                  <c:v>2948222.5973036462</c:v>
                </c:pt>
                <c:pt idx="665">
                  <c:v>44622660.836197346</c:v>
                </c:pt>
                <c:pt idx="666">
                  <c:v>70514027.972278282</c:v>
                </c:pt>
                <c:pt idx="667">
                  <c:v>46044705.958731025</c:v>
                </c:pt>
                <c:pt idx="668">
                  <c:v>38517225.456829958</c:v>
                </c:pt>
                <c:pt idx="669">
                  <c:v>47090286.239938259</c:v>
                </c:pt>
                <c:pt idx="670">
                  <c:v>38223335.435098916</c:v>
                </c:pt>
                <c:pt idx="671">
                  <c:v>28796390.369547609</c:v>
                </c:pt>
                <c:pt idx="672">
                  <c:v>35814840.889350474</c:v>
                </c:pt>
                <c:pt idx="673">
                  <c:v>36366484.359953091</c:v>
                </c:pt>
                <c:pt idx="674">
                  <c:v>20703836.980243929</c:v>
                </c:pt>
                <c:pt idx="675">
                  <c:v>32455569.337664586</c:v>
                </c:pt>
                <c:pt idx="676">
                  <c:v>29093027.084255878</c:v>
                </c:pt>
                <c:pt idx="677">
                  <c:v>15981262.308106534</c:v>
                </c:pt>
                <c:pt idx="678">
                  <c:v>27767288.295725062</c:v>
                </c:pt>
                <c:pt idx="679">
                  <c:v>13443018.364616508</c:v>
                </c:pt>
                <c:pt idx="680">
                  <c:v>22717322.067375645</c:v>
                </c:pt>
                <c:pt idx="681">
                  <c:v>24369135.487779073</c:v>
                </c:pt>
                <c:pt idx="682">
                  <c:v>35732783.942692108</c:v>
                </c:pt>
                <c:pt idx="683">
                  <c:v>44716923.829111665</c:v>
                </c:pt>
                <c:pt idx="684">
                  <c:v>32230055.818515167</c:v>
                </c:pt>
                <c:pt idx="685">
                  <c:v>50167788.517617695</c:v>
                </c:pt>
                <c:pt idx="686">
                  <c:v>75740193.415879667</c:v>
                </c:pt>
                <c:pt idx="687">
                  <c:v>36152624.407284088</c:v>
                </c:pt>
                <c:pt idx="688">
                  <c:v>20317335.287829258</c:v>
                </c:pt>
                <c:pt idx="689">
                  <c:v>27014648.197364766</c:v>
                </c:pt>
                <c:pt idx="690">
                  <c:v>20790179.017042428</c:v>
                </c:pt>
                <c:pt idx="691">
                  <c:v>28928902.153682485</c:v>
                </c:pt>
                <c:pt idx="692">
                  <c:v>39273232.831182875</c:v>
                </c:pt>
                <c:pt idx="693">
                  <c:v>19263577.362649299</c:v>
                </c:pt>
                <c:pt idx="694">
                  <c:v>24180561.761675656</c:v>
                </c:pt>
                <c:pt idx="695">
                  <c:v>24442104.520593151</c:v>
                </c:pt>
                <c:pt idx="696">
                  <c:v>16719551.936599378</c:v>
                </c:pt>
                <c:pt idx="697">
                  <c:v>34820066.70668254</c:v>
                </c:pt>
                <c:pt idx="698">
                  <c:v>33545181.372783698</c:v>
                </c:pt>
                <c:pt idx="699">
                  <c:v>10529817.778147498</c:v>
                </c:pt>
                <c:pt idx="700">
                  <c:v>34168003.587672167</c:v>
                </c:pt>
                <c:pt idx="701">
                  <c:v>28553383.694008473</c:v>
                </c:pt>
                <c:pt idx="702">
                  <c:v>50928478.682261348</c:v>
                </c:pt>
                <c:pt idx="703">
                  <c:v>24661997.151613738</c:v>
                </c:pt>
                <c:pt idx="704">
                  <c:v>42060251.591152668</c:v>
                </c:pt>
                <c:pt idx="705">
                  <c:v>37112015.76173874</c:v>
                </c:pt>
                <c:pt idx="706">
                  <c:v>18078697.519819092</c:v>
                </c:pt>
                <c:pt idx="707">
                  <c:v>55118335.774694048</c:v>
                </c:pt>
                <c:pt idx="708">
                  <c:v>16968237.223298851</c:v>
                </c:pt>
                <c:pt idx="709">
                  <c:v>28501584.311257996</c:v>
                </c:pt>
                <c:pt idx="710">
                  <c:v>19181505.954414584</c:v>
                </c:pt>
                <c:pt idx="711">
                  <c:v>48001264.800591558</c:v>
                </c:pt>
                <c:pt idx="712">
                  <c:v>20800863.218659095</c:v>
                </c:pt>
                <c:pt idx="713">
                  <c:v>51445403.982540734</c:v>
                </c:pt>
                <c:pt idx="714">
                  <c:v>33195106.19585108</c:v>
                </c:pt>
                <c:pt idx="715">
                  <c:v>46912640.139789686</c:v>
                </c:pt>
                <c:pt idx="716">
                  <c:v>48212336.321114264</c:v>
                </c:pt>
                <c:pt idx="717">
                  <c:v>29561131.091072183</c:v>
                </c:pt>
                <c:pt idx="718">
                  <c:v>12703986.322275233</c:v>
                </c:pt>
                <c:pt idx="719">
                  <c:v>43694852.111509696</c:v>
                </c:pt>
                <c:pt idx="720">
                  <c:v>13467445.879502457</c:v>
                </c:pt>
                <c:pt idx="721">
                  <c:v>30834013.086301763</c:v>
                </c:pt>
                <c:pt idx="722">
                  <c:v>27651461.991615344</c:v>
                </c:pt>
                <c:pt idx="723">
                  <c:v>32510857.283999387</c:v>
                </c:pt>
                <c:pt idx="724">
                  <c:v>18830336.015934139</c:v>
                </c:pt>
                <c:pt idx="725">
                  <c:v>24259979.119824585</c:v>
                </c:pt>
                <c:pt idx="726">
                  <c:v>20952626.172633473</c:v>
                </c:pt>
                <c:pt idx="727">
                  <c:v>68975933.200364932</c:v>
                </c:pt>
                <c:pt idx="728">
                  <c:v>26952278.610816244</c:v>
                </c:pt>
                <c:pt idx="729">
                  <c:v>48639065.325798862</c:v>
                </c:pt>
                <c:pt idx="730">
                  <c:v>43714132.265260905</c:v>
                </c:pt>
                <c:pt idx="731">
                  <c:v>21674147.214430019</c:v>
                </c:pt>
                <c:pt idx="732">
                  <c:v>12625515.435937231</c:v>
                </c:pt>
                <c:pt idx="733">
                  <c:v>44578406.924472965</c:v>
                </c:pt>
                <c:pt idx="734">
                  <c:v>69105421.415780589</c:v>
                </c:pt>
                <c:pt idx="735">
                  <c:v>56018451.92873919</c:v>
                </c:pt>
                <c:pt idx="736">
                  <c:v>12980707.473549291</c:v>
                </c:pt>
                <c:pt idx="737">
                  <c:v>29730801.026276473</c:v>
                </c:pt>
                <c:pt idx="738">
                  <c:v>14767719.169640524</c:v>
                </c:pt>
                <c:pt idx="739">
                  <c:v>31319830.935407478</c:v>
                </c:pt>
                <c:pt idx="740">
                  <c:v>22599325.43893604</c:v>
                </c:pt>
                <c:pt idx="741">
                  <c:v>22978435.633471761</c:v>
                </c:pt>
                <c:pt idx="742">
                  <c:v>24717680.337675076</c:v>
                </c:pt>
                <c:pt idx="743">
                  <c:v>48131874.257723495</c:v>
                </c:pt>
                <c:pt idx="744">
                  <c:v>30067845.482977599</c:v>
                </c:pt>
                <c:pt idx="745">
                  <c:v>35270368.749039046</c:v>
                </c:pt>
                <c:pt idx="746">
                  <c:v>43968411.425401233</c:v>
                </c:pt>
                <c:pt idx="747">
                  <c:v>71085744.283351302</c:v>
                </c:pt>
                <c:pt idx="748">
                  <c:v>17064722.882938433</c:v>
                </c:pt>
                <c:pt idx="749">
                  <c:v>72389906.462523118</c:v>
                </c:pt>
                <c:pt idx="750">
                  <c:v>26305810.158129029</c:v>
                </c:pt>
                <c:pt idx="751">
                  <c:v>47133446.05170241</c:v>
                </c:pt>
                <c:pt idx="752">
                  <c:v>16319840.377202893</c:v>
                </c:pt>
                <c:pt idx="753">
                  <c:v>36714757.278390422</c:v>
                </c:pt>
                <c:pt idx="754">
                  <c:v>37163435.337174334</c:v>
                </c:pt>
                <c:pt idx="755">
                  <c:v>31852941.618839912</c:v>
                </c:pt>
                <c:pt idx="756">
                  <c:v>32988743.59603158</c:v>
                </c:pt>
                <c:pt idx="757">
                  <c:v>26808659.667413883</c:v>
                </c:pt>
                <c:pt idx="758">
                  <c:v>29145896.074576873</c:v>
                </c:pt>
                <c:pt idx="759">
                  <c:v>11488550.041262686</c:v>
                </c:pt>
                <c:pt idx="760">
                  <c:v>17413128.228787988</c:v>
                </c:pt>
                <c:pt idx="761">
                  <c:v>33418463.971530948</c:v>
                </c:pt>
                <c:pt idx="762">
                  <c:v>24491544.979373716</c:v>
                </c:pt>
                <c:pt idx="763">
                  <c:v>31896825.103424296</c:v>
                </c:pt>
                <c:pt idx="764">
                  <c:v>33999509.867355257</c:v>
                </c:pt>
                <c:pt idx="765">
                  <c:v>32935842.490274779</c:v>
                </c:pt>
                <c:pt idx="766">
                  <c:v>44307934.32561662</c:v>
                </c:pt>
                <c:pt idx="767">
                  <c:v>98445380.259232014</c:v>
                </c:pt>
                <c:pt idx="768">
                  <c:v>30629108.028449021</c:v>
                </c:pt>
                <c:pt idx="769">
                  <c:v>50962714.768471263</c:v>
                </c:pt>
                <c:pt idx="770">
                  <c:v>34597935.492998473</c:v>
                </c:pt>
                <c:pt idx="771">
                  <c:v>39014923.180298992</c:v>
                </c:pt>
                <c:pt idx="772">
                  <c:v>23741129.38550856</c:v>
                </c:pt>
                <c:pt idx="773">
                  <c:v>33459873.911236234</c:v>
                </c:pt>
                <c:pt idx="774">
                  <c:v>19246600.39260022</c:v>
                </c:pt>
                <c:pt idx="775">
                  <c:v>21453738.051234659</c:v>
                </c:pt>
                <c:pt idx="776">
                  <c:v>15506352.771299118</c:v>
                </c:pt>
                <c:pt idx="777">
                  <c:v>14135368.446825368</c:v>
                </c:pt>
                <c:pt idx="778">
                  <c:v>28555608.206913978</c:v>
                </c:pt>
                <c:pt idx="779">
                  <c:v>36640556.171152815</c:v>
                </c:pt>
                <c:pt idx="780">
                  <c:v>17370106.177359372</c:v>
                </c:pt>
                <c:pt idx="781">
                  <c:v>21196147.121543977</c:v>
                </c:pt>
                <c:pt idx="782">
                  <c:v>44191471.016697623</c:v>
                </c:pt>
                <c:pt idx="783">
                  <c:v>40938899.475476928</c:v>
                </c:pt>
                <c:pt idx="784">
                  <c:v>11131189.08656301</c:v>
                </c:pt>
                <c:pt idx="785">
                  <c:v>16024203.892641008</c:v>
                </c:pt>
                <c:pt idx="786">
                  <c:v>40419924.327422768</c:v>
                </c:pt>
                <c:pt idx="787">
                  <c:v>19546865.761199553</c:v>
                </c:pt>
                <c:pt idx="788">
                  <c:v>38265820.731291398</c:v>
                </c:pt>
                <c:pt idx="789">
                  <c:v>58603309.79317084</c:v>
                </c:pt>
                <c:pt idx="790">
                  <c:v>11444137.116234835</c:v>
                </c:pt>
                <c:pt idx="791">
                  <c:v>28728818.09052274</c:v>
                </c:pt>
                <c:pt idx="792">
                  <c:v>40303950.078419</c:v>
                </c:pt>
                <c:pt idx="793">
                  <c:v>68550049.466942236</c:v>
                </c:pt>
                <c:pt idx="794">
                  <c:v>62187622.221496567</c:v>
                </c:pt>
                <c:pt idx="795">
                  <c:v>42000842.855087787</c:v>
                </c:pt>
                <c:pt idx="796">
                  <c:v>28764216.884952769</c:v>
                </c:pt>
                <c:pt idx="797">
                  <c:v>28302062.014344927</c:v>
                </c:pt>
                <c:pt idx="798">
                  <c:v>18769502.650271583</c:v>
                </c:pt>
                <c:pt idx="799">
                  <c:v>55649881.129906528</c:v>
                </c:pt>
                <c:pt idx="800">
                  <c:v>27248407.73634528</c:v>
                </c:pt>
                <c:pt idx="801">
                  <c:v>51866398.814639531</c:v>
                </c:pt>
                <c:pt idx="802">
                  <c:v>29236074.307404999</c:v>
                </c:pt>
                <c:pt idx="803">
                  <c:v>33265126.546795532</c:v>
                </c:pt>
                <c:pt idx="804">
                  <c:v>52857879.608329728</c:v>
                </c:pt>
                <c:pt idx="805">
                  <c:v>26655317.374354683</c:v>
                </c:pt>
                <c:pt idx="806">
                  <c:v>52276236.194107197</c:v>
                </c:pt>
                <c:pt idx="807">
                  <c:v>20936078.051299475</c:v>
                </c:pt>
                <c:pt idx="808">
                  <c:v>30668354.570080891</c:v>
                </c:pt>
                <c:pt idx="809">
                  <c:v>18197487.47490767</c:v>
                </c:pt>
                <c:pt idx="810">
                  <c:v>32194638.656242028</c:v>
                </c:pt>
                <c:pt idx="811">
                  <c:v>22223126.049976122</c:v>
                </c:pt>
                <c:pt idx="812">
                  <c:v>78407376.951085508</c:v>
                </c:pt>
                <c:pt idx="813">
                  <c:v>14434911.757787047</c:v>
                </c:pt>
                <c:pt idx="814">
                  <c:v>32035779.963276289</c:v>
                </c:pt>
                <c:pt idx="815">
                  <c:v>29518624.667899624</c:v>
                </c:pt>
                <c:pt idx="816">
                  <c:v>35835694.739970304</c:v>
                </c:pt>
                <c:pt idx="817">
                  <c:v>22061587.68905434</c:v>
                </c:pt>
                <c:pt idx="818">
                  <c:v>32385865.27730694</c:v>
                </c:pt>
                <c:pt idx="819">
                  <c:v>33316592.439268082</c:v>
                </c:pt>
                <c:pt idx="820">
                  <c:v>32421907.131650072</c:v>
                </c:pt>
                <c:pt idx="821">
                  <c:v>32048883.885881335</c:v>
                </c:pt>
                <c:pt idx="822">
                  <c:v>44837818.905457892</c:v>
                </c:pt>
                <c:pt idx="823">
                  <c:v>15494154.517687671</c:v>
                </c:pt>
                <c:pt idx="824">
                  <c:v>33365705.571810074</c:v>
                </c:pt>
                <c:pt idx="825">
                  <c:v>38416653.482378818</c:v>
                </c:pt>
                <c:pt idx="826">
                  <c:v>35618117.253090352</c:v>
                </c:pt>
                <c:pt idx="827">
                  <c:v>3199853.9837622847</c:v>
                </c:pt>
                <c:pt idx="828">
                  <c:v>31458373.738513384</c:v>
                </c:pt>
                <c:pt idx="829">
                  <c:v>38771180.668514937</c:v>
                </c:pt>
                <c:pt idx="830">
                  <c:v>36754115.647020213</c:v>
                </c:pt>
                <c:pt idx="831">
                  <c:v>14491548.25143878</c:v>
                </c:pt>
                <c:pt idx="832">
                  <c:v>9141740.7403966635</c:v>
                </c:pt>
                <c:pt idx="833">
                  <c:v>38537061.891064562</c:v>
                </c:pt>
                <c:pt idx="834">
                  <c:v>29544791.248161238</c:v>
                </c:pt>
                <c:pt idx="835">
                  <c:v>30177412.094893921</c:v>
                </c:pt>
                <c:pt idx="836">
                  <c:v>16376684.883923436</c:v>
                </c:pt>
                <c:pt idx="837">
                  <c:v>29353125.685155325</c:v>
                </c:pt>
                <c:pt idx="838">
                  <c:v>44624354.271603756</c:v>
                </c:pt>
                <c:pt idx="839">
                  <c:v>37776875.803974345</c:v>
                </c:pt>
                <c:pt idx="840">
                  <c:v>28485831.631748766</c:v>
                </c:pt>
                <c:pt idx="841">
                  <c:v>33525238.175114907</c:v>
                </c:pt>
                <c:pt idx="842">
                  <c:v>43574783.744499609</c:v>
                </c:pt>
                <c:pt idx="843">
                  <c:v>32483011.858452842</c:v>
                </c:pt>
                <c:pt idx="844">
                  <c:v>21248709.432453327</c:v>
                </c:pt>
                <c:pt idx="845">
                  <c:v>49875428.356816649</c:v>
                </c:pt>
                <c:pt idx="846">
                  <c:v>36949929.373637721</c:v>
                </c:pt>
                <c:pt idx="847">
                  <c:v>32905266.156002246</c:v>
                </c:pt>
                <c:pt idx="848">
                  <c:v>25272279.667349499</c:v>
                </c:pt>
                <c:pt idx="849">
                  <c:v>23433706.233461197</c:v>
                </c:pt>
                <c:pt idx="850">
                  <c:v>41065773.23959212</c:v>
                </c:pt>
                <c:pt idx="851">
                  <c:v>28658136.585025847</c:v>
                </c:pt>
                <c:pt idx="852">
                  <c:v>16249110.09280142</c:v>
                </c:pt>
                <c:pt idx="853">
                  <c:v>24658843.192310125</c:v>
                </c:pt>
                <c:pt idx="854">
                  <c:v>20988588.860193439</c:v>
                </c:pt>
                <c:pt idx="855">
                  <c:v>22523759.60054053</c:v>
                </c:pt>
                <c:pt idx="856">
                  <c:v>35467149.170565896</c:v>
                </c:pt>
                <c:pt idx="857">
                  <c:v>30481492.444929026</c:v>
                </c:pt>
                <c:pt idx="858">
                  <c:v>16203754.48699663</c:v>
                </c:pt>
                <c:pt idx="859">
                  <c:v>69123835.882533491</c:v>
                </c:pt>
                <c:pt idx="860">
                  <c:v>38863668.969336741</c:v>
                </c:pt>
                <c:pt idx="861">
                  <c:v>38771442.297666535</c:v>
                </c:pt>
                <c:pt idx="862">
                  <c:v>24425847.026948817</c:v>
                </c:pt>
                <c:pt idx="863">
                  <c:v>19735299.342685506</c:v>
                </c:pt>
                <c:pt idx="864">
                  <c:v>13418896.154368907</c:v>
                </c:pt>
                <c:pt idx="865">
                  <c:v>37037770.807667106</c:v>
                </c:pt>
                <c:pt idx="866">
                  <c:v>34308170.854048483</c:v>
                </c:pt>
                <c:pt idx="867">
                  <c:v>39785449.278817795</c:v>
                </c:pt>
                <c:pt idx="868">
                  <c:v>55424128.9931091</c:v>
                </c:pt>
                <c:pt idx="869">
                  <c:v>16238631.458906632</c:v>
                </c:pt>
                <c:pt idx="870">
                  <c:v>46003474.327218875</c:v>
                </c:pt>
                <c:pt idx="871">
                  <c:v>28303572.768189359</c:v>
                </c:pt>
                <c:pt idx="872">
                  <c:v>26447800.97056257</c:v>
                </c:pt>
                <c:pt idx="873">
                  <c:v>21626396.364271265</c:v>
                </c:pt>
                <c:pt idx="874">
                  <c:v>16740345.468594426</c:v>
                </c:pt>
                <c:pt idx="875">
                  <c:v>15365131.170756688</c:v>
                </c:pt>
                <c:pt idx="876">
                  <c:v>32228730.58164873</c:v>
                </c:pt>
                <c:pt idx="877">
                  <c:v>44614145.737282023</c:v>
                </c:pt>
                <c:pt idx="878">
                  <c:v>27955250.196833305</c:v>
                </c:pt>
                <c:pt idx="879">
                  <c:v>32857316.723837357</c:v>
                </c:pt>
                <c:pt idx="880">
                  <c:v>37708929.8381427</c:v>
                </c:pt>
                <c:pt idx="881">
                  <c:v>28567117.821235418</c:v>
                </c:pt>
                <c:pt idx="882">
                  <c:v>41722483.156687558</c:v>
                </c:pt>
                <c:pt idx="883">
                  <c:v>23234366.189880475</c:v>
                </c:pt>
                <c:pt idx="884">
                  <c:v>27934028.546411872</c:v>
                </c:pt>
                <c:pt idx="885">
                  <c:v>32861024.955107555</c:v>
                </c:pt>
                <c:pt idx="886">
                  <c:v>32679914.169878416</c:v>
                </c:pt>
                <c:pt idx="887">
                  <c:v>24402775.635074217</c:v>
                </c:pt>
                <c:pt idx="888">
                  <c:v>36062396.697138324</c:v>
                </c:pt>
                <c:pt idx="889">
                  <c:v>25967608.074673302</c:v>
                </c:pt>
                <c:pt idx="890">
                  <c:v>31210587.939271025</c:v>
                </c:pt>
                <c:pt idx="891">
                  <c:v>33936663.867491223</c:v>
                </c:pt>
                <c:pt idx="892">
                  <c:v>17513494.304498836</c:v>
                </c:pt>
                <c:pt idx="893">
                  <c:v>39204367.38818644</c:v>
                </c:pt>
                <c:pt idx="894">
                  <c:v>27648936.941767775</c:v>
                </c:pt>
                <c:pt idx="895">
                  <c:v>24218707.067398634</c:v>
                </c:pt>
                <c:pt idx="896">
                  <c:v>24131324.562770955</c:v>
                </c:pt>
                <c:pt idx="897">
                  <c:v>37213645.698219791</c:v>
                </c:pt>
                <c:pt idx="898">
                  <c:v>23623779.301305179</c:v>
                </c:pt>
                <c:pt idx="899">
                  <c:v>56392342.48001425</c:v>
                </c:pt>
                <c:pt idx="900">
                  <c:v>37825209.614857562</c:v>
                </c:pt>
                <c:pt idx="901">
                  <c:v>27948641.882733651</c:v>
                </c:pt>
                <c:pt idx="902">
                  <c:v>24421061.543131046</c:v>
                </c:pt>
                <c:pt idx="903">
                  <c:v>29508070.644837197</c:v>
                </c:pt>
                <c:pt idx="904">
                  <c:v>34372448.395859778</c:v>
                </c:pt>
                <c:pt idx="905">
                  <c:v>22290160.571499266</c:v>
                </c:pt>
                <c:pt idx="906">
                  <c:v>35299552.443002999</c:v>
                </c:pt>
                <c:pt idx="907">
                  <c:v>39456286.396648847</c:v>
                </c:pt>
                <c:pt idx="908">
                  <c:v>17315426.316523168</c:v>
                </c:pt>
                <c:pt idx="909">
                  <c:v>53043880.015499979</c:v>
                </c:pt>
                <c:pt idx="910">
                  <c:v>35558402.872909732</c:v>
                </c:pt>
                <c:pt idx="911">
                  <c:v>45805907.548099861</c:v>
                </c:pt>
                <c:pt idx="912">
                  <c:v>44010064.060657427</c:v>
                </c:pt>
                <c:pt idx="913">
                  <c:v>43696252.961049773</c:v>
                </c:pt>
                <c:pt idx="914">
                  <c:v>42612467.397825085</c:v>
                </c:pt>
                <c:pt idx="915">
                  <c:v>26534898.647185791</c:v>
                </c:pt>
                <c:pt idx="916">
                  <c:v>50197100.618600063</c:v>
                </c:pt>
                <c:pt idx="917">
                  <c:v>17180187.111777488</c:v>
                </c:pt>
                <c:pt idx="918">
                  <c:v>47170753.369702868</c:v>
                </c:pt>
                <c:pt idx="919">
                  <c:v>20182202.962253064</c:v>
                </c:pt>
                <c:pt idx="920">
                  <c:v>29301192.926818792</c:v>
                </c:pt>
                <c:pt idx="921">
                  <c:v>20921911.069772109</c:v>
                </c:pt>
                <c:pt idx="922">
                  <c:v>47552324.276679061</c:v>
                </c:pt>
                <c:pt idx="923">
                  <c:v>36912293.927488141</c:v>
                </c:pt>
                <c:pt idx="924">
                  <c:v>13120408.056294903</c:v>
                </c:pt>
                <c:pt idx="925">
                  <c:v>27813393.349544972</c:v>
                </c:pt>
                <c:pt idx="926">
                  <c:v>20159942.623583272</c:v>
                </c:pt>
                <c:pt idx="927">
                  <c:v>13749673.386412259</c:v>
                </c:pt>
                <c:pt idx="928">
                  <c:v>25308215.493309628</c:v>
                </c:pt>
                <c:pt idx="929">
                  <c:v>11818872.672283437</c:v>
                </c:pt>
                <c:pt idx="930">
                  <c:v>16180558.69436409</c:v>
                </c:pt>
                <c:pt idx="931">
                  <c:v>53294720.623223037</c:v>
                </c:pt>
                <c:pt idx="932">
                  <c:v>38495384.987057365</c:v>
                </c:pt>
                <c:pt idx="933">
                  <c:v>14916110.94291715</c:v>
                </c:pt>
                <c:pt idx="934">
                  <c:v>45119185.4287057</c:v>
                </c:pt>
                <c:pt idx="935">
                  <c:v>30800902.690337658</c:v>
                </c:pt>
                <c:pt idx="936">
                  <c:v>28174968.569183648</c:v>
                </c:pt>
                <c:pt idx="937">
                  <c:v>32231987.774320096</c:v>
                </c:pt>
                <c:pt idx="938">
                  <c:v>35183545.534939125</c:v>
                </c:pt>
                <c:pt idx="939">
                  <c:v>13275483.649203185</c:v>
                </c:pt>
                <c:pt idx="940">
                  <c:v>19452588.407624353</c:v>
                </c:pt>
                <c:pt idx="941">
                  <c:v>25713074.550113749</c:v>
                </c:pt>
                <c:pt idx="942">
                  <c:v>26159754.919263422</c:v>
                </c:pt>
                <c:pt idx="943">
                  <c:v>40097209.657121696</c:v>
                </c:pt>
                <c:pt idx="944">
                  <c:v>30112907.023604099</c:v>
                </c:pt>
                <c:pt idx="945">
                  <c:v>15381743.368272012</c:v>
                </c:pt>
                <c:pt idx="946">
                  <c:v>53986848.378544711</c:v>
                </c:pt>
                <c:pt idx="947">
                  <c:v>13736590.336586274</c:v>
                </c:pt>
                <c:pt idx="948">
                  <c:v>43243181.593458712</c:v>
                </c:pt>
                <c:pt idx="949">
                  <c:v>20078448.888440561</c:v>
                </c:pt>
                <c:pt idx="950">
                  <c:v>32144444.265203148</c:v>
                </c:pt>
                <c:pt idx="951">
                  <c:v>29408629.838238314</c:v>
                </c:pt>
                <c:pt idx="952">
                  <c:v>43676876.018574975</c:v>
                </c:pt>
                <c:pt idx="953">
                  <c:v>39537502.9368091</c:v>
                </c:pt>
                <c:pt idx="954">
                  <c:v>23189932.60951319</c:v>
                </c:pt>
                <c:pt idx="955">
                  <c:v>16684037.602731172</c:v>
                </c:pt>
                <c:pt idx="956">
                  <c:v>26245159.130466435</c:v>
                </c:pt>
                <c:pt idx="957">
                  <c:v>12578468.562906973</c:v>
                </c:pt>
                <c:pt idx="958">
                  <c:v>32960774.334307909</c:v>
                </c:pt>
                <c:pt idx="959">
                  <c:v>44276155.125987127</c:v>
                </c:pt>
                <c:pt idx="960">
                  <c:v>22284885.697230846</c:v>
                </c:pt>
                <c:pt idx="961">
                  <c:v>23730687.088375617</c:v>
                </c:pt>
                <c:pt idx="962">
                  <c:v>65059327.594693989</c:v>
                </c:pt>
                <c:pt idx="963">
                  <c:v>22743520.493127525</c:v>
                </c:pt>
                <c:pt idx="964">
                  <c:v>31829300.022045963</c:v>
                </c:pt>
                <c:pt idx="965">
                  <c:v>34500355.59981636</c:v>
                </c:pt>
                <c:pt idx="966">
                  <c:v>33566536.711278655</c:v>
                </c:pt>
                <c:pt idx="967">
                  <c:v>16761689.368165104</c:v>
                </c:pt>
                <c:pt idx="968">
                  <c:v>19564157.653535943</c:v>
                </c:pt>
                <c:pt idx="969">
                  <c:v>24267490.442883682</c:v>
                </c:pt>
                <c:pt idx="970">
                  <c:v>20232529.926446427</c:v>
                </c:pt>
                <c:pt idx="971">
                  <c:v>31209296.916257173</c:v>
                </c:pt>
                <c:pt idx="972">
                  <c:v>35769588.55577492</c:v>
                </c:pt>
                <c:pt idx="973">
                  <c:v>15574744.742249494</c:v>
                </c:pt>
                <c:pt idx="974">
                  <c:v>31258964.696577787</c:v>
                </c:pt>
                <c:pt idx="975">
                  <c:v>14643973.52501606</c:v>
                </c:pt>
                <c:pt idx="976">
                  <c:v>23696785.351384681</c:v>
                </c:pt>
                <c:pt idx="977">
                  <c:v>70507543.946825027</c:v>
                </c:pt>
                <c:pt idx="978">
                  <c:v>33965707.21992714</c:v>
                </c:pt>
                <c:pt idx="979">
                  <c:v>43683596.83658272</c:v>
                </c:pt>
                <c:pt idx="980">
                  <c:v>62801715.872646712</c:v>
                </c:pt>
                <c:pt idx="981">
                  <c:v>19515547.482530866</c:v>
                </c:pt>
                <c:pt idx="982">
                  <c:v>31267784.803250547</c:v>
                </c:pt>
                <c:pt idx="983">
                  <c:v>17821505.833950639</c:v>
                </c:pt>
                <c:pt idx="984">
                  <c:v>25825495.43930234</c:v>
                </c:pt>
                <c:pt idx="985">
                  <c:v>37941457.939543515</c:v>
                </c:pt>
                <c:pt idx="986">
                  <c:v>44124851.907495759</c:v>
                </c:pt>
                <c:pt idx="987">
                  <c:v>18545249.624591697</c:v>
                </c:pt>
                <c:pt idx="988">
                  <c:v>42479148.560731947</c:v>
                </c:pt>
                <c:pt idx="989">
                  <c:v>15213429.591330649</c:v>
                </c:pt>
                <c:pt idx="990">
                  <c:v>21907311.196721494</c:v>
                </c:pt>
                <c:pt idx="991">
                  <c:v>19302747.547790211</c:v>
                </c:pt>
                <c:pt idx="992">
                  <c:v>13972018.902655283</c:v>
                </c:pt>
                <c:pt idx="993">
                  <c:v>38699127.742293738</c:v>
                </c:pt>
                <c:pt idx="994">
                  <c:v>19793790.794165254</c:v>
                </c:pt>
                <c:pt idx="995">
                  <c:v>82486277.897198811</c:v>
                </c:pt>
                <c:pt idx="996">
                  <c:v>27392449.0483981</c:v>
                </c:pt>
                <c:pt idx="997">
                  <c:v>57042264.553415202</c:v>
                </c:pt>
                <c:pt idx="998">
                  <c:v>19701956.884302083</c:v>
                </c:pt>
                <c:pt idx="999">
                  <c:v>45201593.054566495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1-40F9-BA9B-CA25E58C6F78}"/>
            </c:ext>
          </c:extLst>
        </c:ser>
        <c:ser>
          <c:idx val="1"/>
          <c:order val="1"/>
          <c:tx>
            <c:v>Mean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FF00"/>
              </a:solidFill>
              <a:ln w="12700">
                <a:solidFill>
                  <a:srgbClr val="FF6600"/>
                </a:solidFill>
                <a:miter lim="800000"/>
              </a:ln>
            </c:spPr>
          </c:marker>
          <c:xVal>
            <c:numRef>
              <c:f>PSA.Outputs!$L$8</c:f>
              <c:numCache>
                <c:formatCode>0.000</c:formatCode>
                <c:ptCount val="1"/>
                <c:pt idx="0">
                  <c:v>-6174.5594430818865</c:v>
                </c:pt>
              </c:numCache>
            </c:numRef>
          </c:xVal>
          <c:yVal>
            <c:numRef>
              <c:f>PSA.Outputs!$K$8</c:f>
              <c:numCache>
                <c:formatCode>"£"#,##0</c:formatCode>
                <c:ptCount val="1"/>
                <c:pt idx="0">
                  <c:v>31197502.332743172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1-40F9-BA9B-CA25E58C6F78}"/>
            </c:ext>
          </c:extLst>
        </c:ser>
        <c:ser>
          <c:idx val="2"/>
          <c:order val="2"/>
          <c:tx>
            <c:v>95%CI</c:v>
          </c:tx>
          <c:spPr>
            <a:ln w="38100" cap="rnd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PSA.Outputs!$P$15:$P$115</c:f>
              <c:numCache>
                <c:formatCode>0.000</c:formatCode>
                <c:ptCount val="101"/>
                <c:pt idx="0">
                  <c:v>-5076.8739232256612</c:v>
                </c:pt>
                <c:pt idx="1">
                  <c:v>-5228.7437615968038</c:v>
                </c:pt>
                <c:pt idx="2">
                  <c:v>-5384.3463023606855</c:v>
                </c:pt>
                <c:pt idx="3">
                  <c:v>-5543.0674533769497</c:v>
                </c:pt>
                <c:pt idx="4">
                  <c:v>-5704.2808147753312</c:v>
                </c:pt>
                <c:pt idx="5">
                  <c:v>-5867.3501510697715</c:v>
                </c:pt>
                <c:pt idx="6">
                  <c:v>-6031.6319020892079</c:v>
                </c:pt>
                <c:pt idx="7">
                  <c:v>-6196.477722815559</c:v>
                </c:pt>
                <c:pt idx="8">
                  <c:v>-6361.237042105312</c:v>
                </c:pt>
                <c:pt idx="9">
                  <c:v>-6525.2596301966023</c:v>
                </c:pt>
                <c:pt idx="10">
                  <c:v>-6687.898164869026</c:v>
                </c:pt>
                <c:pt idx="11">
                  <c:v>-6848.5107861287088</c:v>
                </c:pt>
                <c:pt idx="12">
                  <c:v>-7006.4636293364665</c:v>
                </c:pt>
                <c:pt idx="13">
                  <c:v>-7161.1333267819491</c:v>
                </c:pt>
                <c:pt idx="14">
                  <c:v>-7311.9094678312013</c:v>
                </c:pt>
                <c:pt idx="15">
                  <c:v>-7458.1970079385683</c:v>
                </c:pt>
                <c:pt idx="16">
                  <c:v>-7599.4186170156681</c:v>
                </c:pt>
                <c:pt idx="17">
                  <c:v>-7735.0169578894856</c:v>
                </c:pt>
                <c:pt idx="18">
                  <c:v>-7864.4568858575849</c:v>
                </c:pt>
                <c:pt idx="19">
                  <c:v>-7987.2275606597514</c:v>
                </c:pt>
                <c:pt idx="20">
                  <c:v>-8102.8444625311295</c:v>
                </c:pt>
                <c:pt idx="21">
                  <c:v>-8210.8513043803687</c:v>
                </c:pt>
                <c:pt idx="22">
                  <c:v>-8310.821832546324</c:v>
                </c:pt>
                <c:pt idx="23">
                  <c:v>-8402.3615090265121</c:v>
                </c:pt>
                <c:pt idx="24">
                  <c:v>-8485.1090685383679</c:v>
                </c:pt>
                <c:pt idx="25">
                  <c:v>-8558.7379442682613</c:v>
                </c:pt>
                <c:pt idx="26">
                  <c:v>-8622.957556681522</c:v>
                </c:pt>
                <c:pt idx="27">
                  <c:v>-8677.5144603071021</c:v>
                </c:pt>
                <c:pt idx="28">
                  <c:v>-8722.193343971072</c:v>
                </c:pt>
                <c:pt idx="29">
                  <c:v>-8756.8178805314474</c:v>
                </c:pt>
                <c:pt idx="30">
                  <c:v>-8781.2514227608735</c:v>
                </c:pt>
                <c:pt idx="31">
                  <c:v>-8795.3975426307934</c:v>
                </c:pt>
                <c:pt idx="32">
                  <c:v>-8799.2004118688274</c:v>
                </c:pt>
                <c:pt idx="33">
                  <c:v>-8792.645022287461</c:v>
                </c:pt>
                <c:pt idx="34">
                  <c:v>-8775.7572450144962</c:v>
                </c:pt>
                <c:pt idx="35">
                  <c:v>-8748.6037283915393</c:v>
                </c:pt>
                <c:pt idx="36">
                  <c:v>-8711.2916349434399</c:v>
                </c:pt>
                <c:pt idx="37">
                  <c:v>-8663.9682184567628</c:v>
                </c:pt>
                <c:pt idx="38">
                  <c:v>-8606.8202428363675</c:v>
                </c:pt>
                <c:pt idx="39">
                  <c:v>-8540.0732450336036</c:v>
                </c:pt>
                <c:pt idx="40">
                  <c:v>-8463.9906449549926</c:v>
                </c:pt>
                <c:pt idx="41">
                  <c:v>-8378.8727058642144</c:v>
                </c:pt>
                <c:pt idx="42">
                  <c:v>-8285.0553493801708</c:v>
                </c:pt>
                <c:pt idx="43">
                  <c:v>-8182.9088297478329</c:v>
                </c:pt>
                <c:pt idx="44">
                  <c:v>-8072.8362726138821</c:v>
                </c:pt>
                <c:pt idx="45">
                  <c:v>-7955.2720840739585</c:v>
                </c:pt>
                <c:pt idx="46">
                  <c:v>-7830.6802362702601</c:v>
                </c:pt>
                <c:pt idx="47">
                  <c:v>-7699.5524363054701</c:v>
                </c:pt>
                <c:pt idx="48">
                  <c:v>-7562.4061856994531</c:v>
                </c:pt>
                <c:pt idx="49">
                  <c:v>-7419.7827380471881</c:v>
                </c:pt>
                <c:pt idx="50">
                  <c:v>-7272.2449629381044</c:v>
                </c:pt>
                <c:pt idx="51">
                  <c:v>-7120.3751245669628</c:v>
                </c:pt>
                <c:pt idx="52">
                  <c:v>-6964.7725838030819</c:v>
                </c:pt>
                <c:pt idx="53">
                  <c:v>-6806.0514327868168</c:v>
                </c:pt>
                <c:pt idx="54">
                  <c:v>-6644.8380713884326</c:v>
                </c:pt>
                <c:pt idx="55">
                  <c:v>-6481.7687350939941</c:v>
                </c:pt>
                <c:pt idx="56">
                  <c:v>-6317.4869840745587</c:v>
                </c:pt>
                <c:pt idx="57">
                  <c:v>-6152.6411633482048</c:v>
                </c:pt>
                <c:pt idx="58">
                  <c:v>-5987.881844058451</c:v>
                </c:pt>
                <c:pt idx="59">
                  <c:v>-5823.8592559671615</c:v>
                </c:pt>
                <c:pt idx="60">
                  <c:v>-5661.2207212947396</c:v>
                </c:pt>
                <c:pt idx="61">
                  <c:v>-5500.608100035055</c:v>
                </c:pt>
                <c:pt idx="62">
                  <c:v>-5342.6552568272955</c:v>
                </c:pt>
                <c:pt idx="63">
                  <c:v>-5187.9855593818147</c:v>
                </c:pt>
                <c:pt idx="64">
                  <c:v>-5037.2094183325635</c:v>
                </c:pt>
                <c:pt idx="65">
                  <c:v>-4890.9218782251974</c:v>
                </c:pt>
                <c:pt idx="66">
                  <c:v>-4749.7002691480993</c:v>
                </c:pt>
                <c:pt idx="67">
                  <c:v>-4614.1019282742818</c:v>
                </c:pt>
                <c:pt idx="68">
                  <c:v>-4484.6620003061844</c:v>
                </c:pt>
                <c:pt idx="69">
                  <c:v>-4361.8913255040188</c:v>
                </c:pt>
                <c:pt idx="70">
                  <c:v>-4246.2744236326416</c:v>
                </c:pt>
                <c:pt idx="71">
                  <c:v>-4138.2675817834033</c:v>
                </c:pt>
                <c:pt idx="72">
                  <c:v>-4038.2970536174498</c:v>
                </c:pt>
                <c:pt idx="73">
                  <c:v>-3946.7573771372613</c:v>
                </c:pt>
                <c:pt idx="74">
                  <c:v>-3864.0098176254055</c:v>
                </c:pt>
                <c:pt idx="75">
                  <c:v>-3790.380941895512</c:v>
                </c:pt>
                <c:pt idx="76">
                  <c:v>-3726.1613294822523</c:v>
                </c:pt>
                <c:pt idx="77">
                  <c:v>-3671.6044258566726</c:v>
                </c:pt>
                <c:pt idx="78">
                  <c:v>-3626.9255421927037</c:v>
                </c:pt>
                <c:pt idx="79">
                  <c:v>-3592.3010056323269</c:v>
                </c:pt>
                <c:pt idx="80">
                  <c:v>-3567.8674634029003</c:v>
                </c:pt>
                <c:pt idx="81">
                  <c:v>-3553.7213435329795</c:v>
                </c:pt>
                <c:pt idx="82">
                  <c:v>-3549.9184742949442</c:v>
                </c:pt>
                <c:pt idx="83">
                  <c:v>-3556.473863876311</c:v>
                </c:pt>
                <c:pt idx="84">
                  <c:v>-3573.3616411492749</c:v>
                </c:pt>
                <c:pt idx="85">
                  <c:v>-3600.5151577722304</c:v>
                </c:pt>
                <c:pt idx="86">
                  <c:v>-3637.8272512203289</c:v>
                </c:pt>
                <c:pt idx="87">
                  <c:v>-3685.1506677070051</c:v>
                </c:pt>
                <c:pt idx="88">
                  <c:v>-3742.2986433273986</c:v>
                </c:pt>
                <c:pt idx="89">
                  <c:v>-3809.0456411301616</c:v>
                </c:pt>
                <c:pt idx="90">
                  <c:v>-3885.1282412087699</c:v>
                </c:pt>
                <c:pt idx="91">
                  <c:v>-3970.2461802995467</c:v>
                </c:pt>
                <c:pt idx="92">
                  <c:v>-4064.063536783588</c:v>
                </c:pt>
                <c:pt idx="93">
                  <c:v>-4166.2100564159246</c:v>
                </c:pt>
                <c:pt idx="94">
                  <c:v>-4276.2826135498735</c:v>
                </c:pt>
                <c:pt idx="95">
                  <c:v>-4393.8468020897944</c:v>
                </c:pt>
                <c:pt idx="96">
                  <c:v>-4518.43864989349</c:v>
                </c:pt>
                <c:pt idx="97">
                  <c:v>-4649.5664498582801</c:v>
                </c:pt>
                <c:pt idx="98">
                  <c:v>-4786.7127004642953</c:v>
                </c:pt>
                <c:pt idx="99">
                  <c:v>-4929.3361481165584</c:v>
                </c:pt>
                <c:pt idx="100">
                  <c:v>-5076.8739232256385</c:v>
                </c:pt>
              </c:numCache>
            </c:numRef>
          </c:xVal>
          <c:yVal>
            <c:numRef>
              <c:f>PSA.Outputs!$O$15:$O$115</c:f>
              <c:numCache>
                <c:formatCode>"£"#,##0.00</c:formatCode>
                <c:ptCount val="101"/>
                <c:pt idx="0">
                  <c:v>46253865.541996375</c:v>
                </c:pt>
                <c:pt idx="1">
                  <c:v>48277562.027870052</c:v>
                </c:pt>
                <c:pt idx="2">
                  <c:v>50233851.321264073</c:v>
                </c:pt>
                <c:pt idx="3">
                  <c:v>52115012.842081018</c:v>
                </c:pt>
                <c:pt idx="4">
                  <c:v>53913622.505219132</c:v>
                </c:pt>
                <c:pt idx="5">
                  <c:v>55622582.020044625</c:v>
                </c:pt>
                <c:pt idx="6">
                  <c:v>57235146.904101811</c:v>
                </c:pt>
                <c:pt idx="7">
                  <c:v>58744953.10050413</c:v>
                </c:pt>
                <c:pt idx="8">
                  <c:v>60146042.093959227</c:v>
                </c:pt>
                <c:pt idx="9">
                  <c:v>61432884.426306613</c:v>
                </c:pt>
                <c:pt idx="10">
                  <c:v>62600401.518762842</c:v>
                </c:pt>
                <c:pt idx="11">
                  <c:v>63643985.714751817</c:v>
                </c:pt>
                <c:pt idx="12">
                  <c:v>64559518.464220241</c:v>
                </c:pt>
                <c:pt idx="13">
                  <c:v>65343386.577673092</c:v>
                </c:pt>
                <c:pt idx="14">
                  <c:v>65992496.485781834</c:v>
                </c:pt>
                <c:pt idx="15">
                  <c:v>66504286.448289275</c:v>
                </c:pt>
                <c:pt idx="16">
                  <c:v>66876736.664028019</c:v>
                </c:pt>
                <c:pt idx="17">
                  <c:v>67108377.24215281</c:v>
                </c:pt>
                <c:pt idx="18">
                  <c:v>67198294.00312835</c:v>
                </c:pt>
                <c:pt idx="19">
                  <c:v>67146132.086578101</c:v>
                </c:pt>
                <c:pt idx="20">
                  <c:v>66952097.3517562</c:v>
                </c:pt>
                <c:pt idx="21">
                  <c:v>66616955.56511493</c:v>
                </c:pt>
                <c:pt idx="22">
                  <c:v>66142029.378174439</c:v>
                </c:pt>
                <c:pt idx="23">
                  <c:v>65529193.107621476</c:v>
                </c:pt>
                <c:pt idx="24">
                  <c:v>64780865.338237628</c:v>
                </c:pt>
                <c:pt idx="25">
                  <c:v>63899999.377850212</c:v>
                </c:pt>
                <c:pt idx="26">
                  <c:v>62890071.601975515</c:v>
                </c:pt>
                <c:pt idx="27">
                  <c:v>61755067.734152801</c:v>
                </c:pt>
                <c:pt idx="28">
                  <c:v>60499467.116114423</c:v>
                </c:pt>
                <c:pt idx="29">
                  <c:v>59128225.029870406</c:v>
                </c:pt>
                <c:pt idx="30">
                  <c:v>57646753.141474247</c:v>
                </c:pt>
                <c:pt idx="31">
                  <c:v>56060898.143649325</c:v>
                </c:pt>
                <c:pt idx="32">
                  <c:v>54376918.681563817</c:v>
                </c:pt>
                <c:pt idx="33">
                  <c:v>52601460.652817532</c:v>
                </c:pt>
                <c:pt idx="34">
                  <c:v>50741530.979120329</c:v>
                </c:pt>
                <c:pt idx="35">
                  <c:v>48804469.953173235</c:v>
                </c:pt>
                <c:pt idx="36">
                  <c:v>46797922.269886658</c:v>
                </c:pt>
                <c:pt idx="37">
                  <c:v>44729806.85626211</c:v>
                </c:pt>
                <c:pt idx="38">
                  <c:v>42608285.619005099</c:v>
                </c:pt>
                <c:pt idx="39">
                  <c:v>40441731.233208209</c:v>
                </c:pt>
                <c:pt idx="40">
                  <c:v>38238694.099227652</c:v>
                </c:pt>
                <c:pt idx="41">
                  <c:v>36007868.598159306</c:v>
                </c:pt>
                <c:pt idx="42">
                  <c:v>33758058.779088661</c:v>
                </c:pt>
                <c:pt idx="43">
                  <c:v>31498143.613531265</c:v>
                </c:pt>
                <c:pt idx="44">
                  <c:v>29237041.954188533</c:v>
                </c:pt>
                <c:pt idx="45">
                  <c:v>26983677.336310804</c:v>
                </c:pt>
                <c:pt idx="46">
                  <c:v>24746942.760580469</c:v>
                </c:pt>
                <c:pt idx="47">
                  <c:v>22535665.596501116</c:v>
                </c:pt>
                <c:pt idx="48">
                  <c:v>20358572.744802922</c:v>
                </c:pt>
                <c:pt idx="49">
                  <c:v>18224256.196352426</c:v>
                </c:pt>
                <c:pt idx="50">
                  <c:v>16141139.123489881</c:v>
                </c:pt>
                <c:pt idx="51">
                  <c:v>14117442.63761621</c:v>
                </c:pt>
                <c:pt idx="52">
                  <c:v>12161153.344222177</c:v>
                </c:pt>
                <c:pt idx="53">
                  <c:v>10279991.823405247</c:v>
                </c:pt>
                <c:pt idx="54">
                  <c:v>8481382.1602671258</c:v>
                </c:pt>
                <c:pt idx="55">
                  <c:v>6772422.6454416402</c:v>
                </c:pt>
                <c:pt idx="56">
                  <c:v>5159857.7613844573</c:v>
                </c:pt>
                <c:pt idx="57">
                  <c:v>3650051.5649821386</c:v>
                </c:pt>
                <c:pt idx="58">
                  <c:v>2248962.5715270415</c:v>
                </c:pt>
                <c:pt idx="59">
                  <c:v>962120.23917966709</c:v>
                </c:pt>
                <c:pt idx="60">
                  <c:v>-205396.85327656195</c:v>
                </c:pt>
                <c:pt idx="61">
                  <c:v>-1248981.0492655337</c:v>
                </c:pt>
                <c:pt idx="62">
                  <c:v>-2164513.7987339497</c:v>
                </c:pt>
                <c:pt idx="63">
                  <c:v>-2948381.9121867903</c:v>
                </c:pt>
                <c:pt idx="64">
                  <c:v>-3597491.8202955313</c:v>
                </c:pt>
                <c:pt idx="65">
                  <c:v>-4109281.7828029655</c:v>
                </c:pt>
                <c:pt idx="66">
                  <c:v>-4481731.9985416792</c:v>
                </c:pt>
                <c:pt idx="67">
                  <c:v>-4713372.5766664781</c:v>
                </c:pt>
                <c:pt idx="68">
                  <c:v>-4803289.3376420103</c:v>
                </c:pt>
                <c:pt idx="69">
                  <c:v>-4751127.4210917614</c:v>
                </c:pt>
                <c:pt idx="70">
                  <c:v>-4557092.6862698533</c:v>
                </c:pt>
                <c:pt idx="71">
                  <c:v>-4221950.8996285759</c:v>
                </c:pt>
                <c:pt idx="72">
                  <c:v>-3747024.7126880996</c:v>
                </c:pt>
                <c:pt idx="73">
                  <c:v>-3134188.4421351291</c:v>
                </c:pt>
                <c:pt idx="74">
                  <c:v>-2385860.6727512814</c:v>
                </c:pt>
                <c:pt idx="75">
                  <c:v>-1504994.7123638801</c:v>
                </c:pt>
                <c:pt idx="76">
                  <c:v>-495066.93648919463</c:v>
                </c:pt>
                <c:pt idx="77">
                  <c:v>639936.93133350834</c:v>
                </c:pt>
                <c:pt idx="78">
                  <c:v>1895537.5493718795</c:v>
                </c:pt>
                <c:pt idx="79">
                  <c:v>3266779.6356158815</c:v>
                </c:pt>
                <c:pt idx="80">
                  <c:v>4748251.5240120217</c:v>
                </c:pt>
                <c:pt idx="81">
                  <c:v>6334106.5218369327</c:v>
                </c:pt>
                <c:pt idx="82">
                  <c:v>8018085.9839224406</c:v>
                </c:pt>
                <c:pt idx="83">
                  <c:v>9793544.0126687065</c:v>
                </c:pt>
                <c:pt idx="84">
                  <c:v>11653473.686365895</c:v>
                </c:pt>
                <c:pt idx="85">
                  <c:v>13590534.712312967</c:v>
                </c:pt>
                <c:pt idx="86">
                  <c:v>15597082.39559952</c:v>
                </c:pt>
                <c:pt idx="87">
                  <c:v>17665197.80922405</c:v>
                </c:pt>
                <c:pt idx="88">
                  <c:v>19786719.046481047</c:v>
                </c:pt>
                <c:pt idx="89">
                  <c:v>21953273.43227791</c:v>
                </c:pt>
                <c:pt idx="90">
                  <c:v>24156310.566258453</c:v>
                </c:pt>
                <c:pt idx="91">
                  <c:v>26387136.06732678</c:v>
                </c:pt>
                <c:pt idx="92">
                  <c:v>28636945.886397403</c:v>
                </c:pt>
                <c:pt idx="93">
                  <c:v>30896861.051954787</c:v>
                </c:pt>
                <c:pt idx="94">
                  <c:v>33157962.711297505</c:v>
                </c:pt>
                <c:pt idx="95">
                  <c:v>35411327.329175219</c:v>
                </c:pt>
                <c:pt idx="96">
                  <c:v>37648061.904905543</c:v>
                </c:pt>
                <c:pt idx="97">
                  <c:v>39859339.068984881</c:v>
                </c:pt>
                <c:pt idx="98">
                  <c:v>42036431.920683071</c:v>
                </c:pt>
                <c:pt idx="99">
                  <c:v>44170748.469133556</c:v>
                </c:pt>
                <c:pt idx="100">
                  <c:v>46253865.541996092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81-40F9-BA9B-CA25E58C6F78}"/>
            </c:ext>
          </c:extLst>
        </c:ser>
        <c:ser>
          <c:idx val="3"/>
          <c:order val="3"/>
          <c:tx>
            <c:v>£20K/QALY</c:v>
          </c:tx>
          <c:spPr>
            <a:ln w="19050" cap="sq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PSA.Outputs!#REF!</c:f>
            </c:numRef>
          </c:xVal>
          <c:yVal>
            <c:numRef>
              <c:f>PSA.Outputs!#REF!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381-40F9-BA9B-CA25E58C6F78}"/>
            </c:ext>
          </c:extLst>
        </c:ser>
        <c:ser>
          <c:idx val="4"/>
          <c:order val="4"/>
          <c:tx>
            <c:v>£30K/QALY</c:v>
          </c:tx>
          <c:spPr>
            <a:ln w="19050" cap="sq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PSA.Outputs!#REF!</c:f>
            </c:numRef>
          </c:xVal>
          <c:yVal>
            <c:numRef>
              <c:f>PSA.Outputs!#REF!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381-40F9-BA9B-CA25E58C6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51936"/>
        <c:axId val="148562688"/>
        <c:extLst/>
      </c:scatterChart>
      <c:valAx>
        <c:axId val="148551936"/>
        <c:scaling>
          <c:orientation val="minMax"/>
          <c:max val="2000"/>
          <c:min val="-1200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strRef>
              <c:f>PSA.Outputs!$H$2</c:f>
              <c:strCache>
                <c:ptCount val="1"/>
                <c:pt idx="0">
                  <c:v>QALY impact of hazardous prescribing</c:v>
                </c:pt>
              </c:strCache>
            </c:strRef>
          </c:tx>
          <c:layout>
            <c:manualLayout>
              <c:xMode val="edge"/>
              <c:yMode val="edge"/>
              <c:x val="0.34105807634070573"/>
              <c:y val="0.86139962549302074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\+#,##0;\−#,##0;0" sourceLinked="0"/>
        <c:majorTickMark val="none"/>
        <c:minorTickMark val="none"/>
        <c:tickLblPos val="low"/>
        <c:spPr>
          <a:solidFill>
            <a:srgbClr val="FFFFFF"/>
          </a:solidFill>
          <a:ln w="19050" cap="sq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8562688"/>
        <c:crosses val="autoZero"/>
        <c:crossBetween val="midCat"/>
        <c:majorUnit val="2000"/>
        <c:minorUnit val="500"/>
      </c:valAx>
      <c:valAx>
        <c:axId val="148562688"/>
        <c:scaling>
          <c:orientation val="minMax"/>
          <c:max val="120000000"/>
          <c:min val="-2000000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Cost impact of hazardous prescribing</a:t>
                </a:r>
              </a:p>
            </c:rich>
          </c:tx>
          <c:layout>
            <c:manualLayout>
              <c:xMode val="edge"/>
              <c:yMode val="edge"/>
              <c:x val="1.7481064868706475E-3"/>
              <c:y val="0.10064634335185048"/>
            </c:manualLayout>
          </c:layout>
          <c:overlay val="0"/>
        </c:title>
        <c:numFmt formatCode="\+&quot;£&quot;#,,&quot;m&quot;;\−&quot;£&quot;#,,&quot;m&quot;;&quot;£&quot;0" sourceLinked="0"/>
        <c:majorTickMark val="none"/>
        <c:minorTickMark val="none"/>
        <c:tickLblPos val="low"/>
        <c:spPr>
          <a:solidFill>
            <a:srgbClr val="FFFFFF"/>
          </a:solidFill>
          <a:ln w="19050" cap="sq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48551936"/>
        <c:crosses val="autoZero"/>
        <c:crossBetween val="midCat"/>
        <c:majorUnit val="20000000"/>
        <c:minorUnit val="500000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"/>
          <c:y val="0.93458275531935675"/>
          <c:w val="1"/>
          <c:h val="6.4991044853884572E-2"/>
        </c:manualLayout>
      </c:layout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95250</xdr:rowOff>
        </xdr:from>
        <xdr:to>
          <xdr:col>1</xdr:col>
          <xdr:colOff>1009650</xdr:colOff>
          <xdr:row>2</xdr:row>
          <xdr:rowOff>9525</xdr:rowOff>
        </xdr:to>
        <xdr:sp macro="" textlink="">
          <xdr:nvSpPr>
            <xdr:cNvPr id="188417" name="Button 1" hidden="1">
              <a:extLst>
                <a:ext uri="{63B3BB69-23CF-44E3-9099-C40C66FF867C}">
                  <a14:compatExt spid="_x0000_s188417"/>
                </a:ext>
                <a:ext uri="{FF2B5EF4-FFF2-40B4-BE49-F238E27FC236}">
                  <a16:creationId xmlns:a16="http://schemas.microsoft.com/office/drawing/2014/main" id="{00000000-0008-0000-0300-000001E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Reset defaults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28</xdr:row>
      <xdr:rowOff>0</xdr:rowOff>
    </xdr:from>
    <xdr:to>
      <xdr:col>6</xdr:col>
      <xdr:colOff>262950</xdr:colOff>
      <xdr:row>50</xdr:row>
      <xdr:rowOff>131445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6</xdr:row>
          <xdr:rowOff>95250</xdr:rowOff>
        </xdr:from>
        <xdr:to>
          <xdr:col>1</xdr:col>
          <xdr:colOff>1057275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A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14</xdr:row>
      <xdr:rowOff>0</xdr:rowOff>
    </xdr:from>
    <xdr:to>
      <xdr:col>9</xdr:col>
      <xdr:colOff>0</xdr:colOff>
      <xdr:row>39</xdr:row>
      <xdr:rowOff>38100</xdr:rowOff>
    </xdr:to>
    <xdr:graphicFrame macro="">
      <xdr:nvGraphicFramePr>
        <xdr:cNvPr id="5" name="chrtScatterPairWd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41</xdr:row>
      <xdr:rowOff>0</xdr:rowOff>
    </xdr:from>
    <xdr:to>
      <xdr:col>8</xdr:col>
      <xdr:colOff>401220</xdr:colOff>
      <xdr:row>66</xdr:row>
      <xdr:rowOff>36195</xdr:rowOff>
    </xdr:to>
    <xdr:graphicFrame macro="">
      <xdr:nvGraphicFramePr>
        <xdr:cNvPr id="7" name="chrtScatterPairWd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13" displayName="Table13" ref="T6:T26" totalsRowShown="0" dataDxfId="95" headerRowBorderDxfId="96" tableBorderDxfId="94" dataCellStyle="~Dropdowns">
  <autoFilter ref="T6:T26" xr:uid="{00000000-0009-0000-0100-000002000000}"/>
  <tableColumns count="1">
    <tableColumn id="1" xr3:uid="{00000000-0010-0000-0200-000001000000}" name="State names" dataDxfId="93" dataCellStyle="~Dropdowns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33EDB7-5A48-4CE8-86CD-69780C861480}" name="Table136" displayName="Table136" ref="M6:M26" totalsRowShown="0" dataDxfId="91" headerRowBorderDxfId="92" tableBorderDxfId="90" dataCellStyle="~Dropdowns">
  <autoFilter ref="M6:M26" xr:uid="{00000000-0009-0000-0100-000002000000}"/>
  <tableColumns count="1">
    <tableColumn id="1" xr3:uid="{00000000-0010-0000-0200-000001000000}" name="Strategy names" dataDxfId="89" dataCellStyle="~Dropdowns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90201C-C18D-468B-8409-9BC7EB2C45F1}" name="Table1313" displayName="Table1313" ref="R6:R26" totalsRowShown="0" dataDxfId="87" headerRowBorderDxfId="88" tableBorderDxfId="86" dataCellStyle="~Dropdowns">
  <autoFilter ref="R6:R26" xr:uid="{00000000-0009-0000-0100-000002000000}"/>
  <tableColumns count="1">
    <tableColumn id="1" xr3:uid="{00000000-0010-0000-0200-000001000000}" name="Strategy names" dataDxfId="85" dataCellStyle="~Dropdowns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B85C29-31D3-4708-BD49-DA68C320B8E9}" name="Table1310" displayName="Table1310" ref="O6:P26" totalsRowShown="0" dataDxfId="83" headerRowBorderDxfId="84" tableBorderDxfId="82" dataCellStyle="~Dropdowns">
  <autoFilter ref="O6:P26" xr:uid="{00000000-0009-0000-0100-000002000000}"/>
  <tableColumns count="2">
    <tableColumn id="1" xr3:uid="{00000000-0010-0000-0200-000001000000}" name="Strategy names" dataDxfId="81" dataCellStyle="~Dropdowns"/>
    <tableColumn id="2" xr3:uid="{00000000-0010-0000-0200-000002000000}" name="Abbrev" dataDxfId="80" dataCellStyle="~Dropdowns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6B5D376-29EC-4651-BD89-4477C033A8B6}" name="Table18" displayName="Table18" ref="K6:K8" totalsRowShown="0" dataDxfId="78" headerRowBorderDxfId="79" tableBorderDxfId="77" dataCellStyle="~Dropdowns">
  <autoFilter ref="K6:K8" xr:uid="{F6B5D376-29EC-4651-BD89-4477C033A8B6}"/>
  <tableColumns count="1">
    <tableColumn id="1" xr3:uid="{84D43BA9-0EC8-4431-8FF3-AB83BA1DC069}" name="Strategy names" dataDxfId="76" dataCellStyle="~Dropdowns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249892-7C8F-4B03-B768-7BC5457E5252}" name="tblQs" displayName="tblQs" ref="F4:I15" totalsRowShown="0" headerRowDxfId="75" headerRowBorderDxfId="74" tableBorderDxfId="73" totalsRowBorderDxfId="72">
  <autoFilter ref="F4:I15" xr:uid="{A2249892-7C8F-4B03-B768-7BC5457E5252}"/>
  <tableColumns count="4">
    <tableColumn id="1" xr3:uid="{7AEC0231-229E-4C9B-BF05-C297C7137583}" name="Indicator" totalsRowDxfId="71"/>
    <tableColumn id="2" xr3:uid="{02AC7F32-D3E8-4388-9923-729B3FDB517C}" name="HPE" totalsRowDxfId="70"/>
    <tableColumn id="3" xr3:uid="{926FF851-E612-4F63-93C5-1A35C4AE531D}" name="Popn" totalsRowDxfId="69"/>
    <tableColumn id="4" xr3:uid="{79E15D0F-57BF-42EE-87EE-4349F9673099}" name="Query" totalsRowDxfId="68">
      <calculatedColumnFormula>tblQs[[#This Row],[Indicator]]&amp;": "&amp;tblQs[[#This Row],[HPE]]&amp;" - " &amp; tblQs[[#This Row],[Popn]]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x.doi.org/10.1136/bmj-2023-077880" TargetMode="External"/><Relationship Id="rId1" Type="http://schemas.openxmlformats.org/officeDocument/2006/relationships/hyperlink" Target="https://creativecommons.org/licenses/by-nc-sa/4.0/?ref=chooser-v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i.org/10.2215/CJN.07920713" TargetMode="External"/><Relationship Id="rId21" Type="http://schemas.openxmlformats.org/officeDocument/2006/relationships/hyperlink" Target="https://www.whocc.no/atc_ddd_index/?code=N02BE01" TargetMode="External"/><Relationship Id="rId42" Type="http://schemas.openxmlformats.org/officeDocument/2006/relationships/hyperlink" Target="https://doi.org/10.1016/s2468-1253(18)30037-2" TargetMode="External"/><Relationship Id="rId63" Type="http://schemas.openxmlformats.org/officeDocument/2006/relationships/hyperlink" Target="https://doi.org/10.1016/j.clinthera.2013.12.011" TargetMode="External"/><Relationship Id="rId84" Type="http://schemas.openxmlformats.org/officeDocument/2006/relationships/hyperlink" Target="https://web.archive.org/web/20140830195601/https:/www.ucl.ac.uk/nicor/audits/heartfailure/documents/annualreports/hfannual12-13.pdf" TargetMode="External"/><Relationship Id="rId138" Type="http://schemas.openxmlformats.org/officeDocument/2006/relationships/hyperlink" Target="https://doi.org/10.1093/qjmed/hcx080" TargetMode="External"/><Relationship Id="rId159" Type="http://schemas.openxmlformats.org/officeDocument/2006/relationships/hyperlink" Target="https://www.england.nhs.uk/costing-in-the-nhs/national-cost-collection/" TargetMode="External"/><Relationship Id="rId170" Type="http://schemas.openxmlformats.org/officeDocument/2006/relationships/hyperlink" Target="https://digital.nhs.uk/data-and-information/publications/statistical/patients-registered-at-a-gp-practice/december-2023" TargetMode="External"/><Relationship Id="rId107" Type="http://schemas.openxmlformats.org/officeDocument/2006/relationships/hyperlink" Target="https://doi.org/10.1111/ijcp.12774" TargetMode="External"/><Relationship Id="rId11" Type="http://schemas.openxmlformats.org/officeDocument/2006/relationships/hyperlink" Target="https://doi.org/10.1016/j.jval.2010.10.029" TargetMode="External"/><Relationship Id="rId32" Type="http://schemas.openxmlformats.org/officeDocument/2006/relationships/hyperlink" Target="https://www.ons.gov.uk/peoplepopulationandcommunity/birthsdeathsandmarriages/deaths/datasets/deathsregisteredinenglandandwalesseriesdrreferencetables" TargetMode="External"/><Relationship Id="rId53" Type="http://schemas.openxmlformats.org/officeDocument/2006/relationships/hyperlink" Target="https://doi.org/10.1093/ehjcvp/pvz063" TargetMode="External"/><Relationship Id="rId74" Type="http://schemas.openxmlformats.org/officeDocument/2006/relationships/hyperlink" Target="http://dx.doi.org/10.1136/heartjnl-2016-310661" TargetMode="External"/><Relationship Id="rId128" Type="http://schemas.openxmlformats.org/officeDocument/2006/relationships/hyperlink" Target="https://doi.org/10.1186/s12882-015-0054-0" TargetMode="External"/><Relationship Id="rId149" Type="http://schemas.openxmlformats.org/officeDocument/2006/relationships/hyperlink" Target="https://www.england.nhs.uk/costing-in-the-nhs/national-cost-collection/" TargetMode="External"/><Relationship Id="rId5" Type="http://schemas.openxmlformats.org/officeDocument/2006/relationships/hyperlink" Target="https://www.pssru.ac.uk/pub/uc/uc2012/sources-of-information.pdf" TargetMode="External"/><Relationship Id="rId95" Type="http://schemas.openxmlformats.org/officeDocument/2006/relationships/hyperlink" Target="http://dx.doi.org/10.1136/bmjopen-2015-010201" TargetMode="External"/><Relationship Id="rId160" Type="http://schemas.openxmlformats.org/officeDocument/2006/relationships/hyperlink" Target="https://www.england.nhs.uk/costing-in-the-nhs/national-cost-collection/" TargetMode="External"/><Relationship Id="rId22" Type="http://schemas.openxmlformats.org/officeDocument/2006/relationships/hyperlink" Target="https://doi.org/10.1136/bmj.39479.640486.AE" TargetMode="External"/><Relationship Id="rId43" Type="http://schemas.openxmlformats.org/officeDocument/2006/relationships/hyperlink" Target="https://catalyst.services.nhsbsa.nhs.uk/analytics/saw.dll?Dashboard&amp;PortalPath=%2Fshared%2F%20ePACT2%2F_portal%2FMedication%20Safety%20Indicators&amp;P1=dashboard&amp;Action=Navigate&amp;ViewState=g9lql052j2ku8bf7irn9cdcmo6&amp;P16=NavRuleDefault&amp;NavFromViewID=d%3Adashboard~p%3A8qvj24gcsk0tmf86" TargetMode="External"/><Relationship Id="rId64" Type="http://schemas.openxmlformats.org/officeDocument/2006/relationships/hyperlink" Target="https://doi.org/10.1016/S1474-4422(12)70042-X" TargetMode="External"/><Relationship Id="rId118" Type="http://schemas.openxmlformats.org/officeDocument/2006/relationships/hyperlink" Target="https://doi.org/10.1186/s12882-015-0054-0" TargetMode="External"/><Relationship Id="rId139" Type="http://schemas.openxmlformats.org/officeDocument/2006/relationships/hyperlink" Target="https://www.pssru.ac.uk/pub/uc/uc2020/5-sourcesofinfo.pdf" TargetMode="External"/><Relationship Id="rId85" Type="http://schemas.openxmlformats.org/officeDocument/2006/relationships/hyperlink" Target="https://web.archive.org/web/20140830195601/https:/www.ucl.ac.uk/nicor/audits/heartfailure/documents/annualreports/hfannual12-13.pdf" TargetMode="External"/><Relationship Id="rId150" Type="http://schemas.openxmlformats.org/officeDocument/2006/relationships/hyperlink" Target="https://kar.kent.ac.uk/92342/19/Unit%20Costs%20Report%202021%20-%20Final%20version%20for%20publication.pdf" TargetMode="External"/><Relationship Id="rId171" Type="http://schemas.openxmlformats.org/officeDocument/2006/relationships/hyperlink" Target="https://www.nice.org.uk/guidance/ng203/evidence/f-the-best-combination-of-measures-to-identify-increased-risk-of-progression-in-adults-children-and-youngpeople-pdf-9204445987" TargetMode="External"/><Relationship Id="rId12" Type="http://schemas.openxmlformats.org/officeDocument/2006/relationships/hyperlink" Target="https://doi.org/10.1016/j.jval.2010.10.029" TargetMode="External"/><Relationship Id="rId33" Type="http://schemas.openxmlformats.org/officeDocument/2006/relationships/hyperlink" Target="https://www.ons.gov.uk/peoplepopulationandcommunity/birthsdeathsandmarriages/deaths/datasets/deathsregisteredinenglandandwalesseriesdrreferencetables" TargetMode="External"/><Relationship Id="rId108" Type="http://schemas.openxmlformats.org/officeDocument/2006/relationships/hyperlink" Target="https://doi.org/10.1038/ki.2015.234" TargetMode="External"/><Relationship Id="rId129" Type="http://schemas.openxmlformats.org/officeDocument/2006/relationships/hyperlink" Target="https://doi.org/10.1186/s12882-015-0054-0" TargetMode="External"/><Relationship Id="rId54" Type="http://schemas.openxmlformats.org/officeDocument/2006/relationships/hyperlink" Target="https://doi.org/10.1016/S1474-4422(12)70092-3" TargetMode="External"/><Relationship Id="rId75" Type="http://schemas.openxmlformats.org/officeDocument/2006/relationships/hyperlink" Target="https://doi.org/10.1007/s11136-017-1666-6" TargetMode="External"/><Relationship Id="rId96" Type="http://schemas.openxmlformats.org/officeDocument/2006/relationships/hyperlink" Target="https://doi.org/10.1016/S0140-6736(10)61271-8" TargetMode="External"/><Relationship Id="rId140" Type="http://schemas.openxmlformats.org/officeDocument/2006/relationships/hyperlink" Target="https://www.england.nhs.uk/costing-in-the-nhs/national-cost-collection/" TargetMode="External"/><Relationship Id="rId161" Type="http://schemas.openxmlformats.org/officeDocument/2006/relationships/hyperlink" Target="https://www.england.nhs.uk/costing-in-the-nhs/national-cost-collection/" TargetMode="External"/><Relationship Id="rId1" Type="http://schemas.openxmlformats.org/officeDocument/2006/relationships/hyperlink" Target="https://www.pssru.ac.uk/pub/uc/uc2020/5-sourcesofinfo.pdf" TargetMode="External"/><Relationship Id="rId6" Type="http://schemas.openxmlformats.org/officeDocument/2006/relationships/hyperlink" Target="https://www.pssru.ac.uk/pub/uc/uc2012/sources-of-information.pdf" TargetMode="External"/><Relationship Id="rId23" Type="http://schemas.openxmlformats.org/officeDocument/2006/relationships/hyperlink" Target="https://doi.org/10.1136/bmj.39479.640486.AE" TargetMode="External"/><Relationship Id="rId28" Type="http://schemas.openxmlformats.org/officeDocument/2006/relationships/hyperlink" Target="https://doi.org/10.1111/apt.13682" TargetMode="External"/><Relationship Id="rId49" Type="http://schemas.openxmlformats.org/officeDocument/2006/relationships/hyperlink" Target="https://doi.org/10.1161/STROKEAHA.120.028992" TargetMode="External"/><Relationship Id="rId114" Type="http://schemas.openxmlformats.org/officeDocument/2006/relationships/hyperlink" Target="https://doi.org/10.1016/j.jval.2017.01.011" TargetMode="External"/><Relationship Id="rId119" Type="http://schemas.openxmlformats.org/officeDocument/2006/relationships/hyperlink" Target="https://doi.org/10.1186/s12882-015-0054-0" TargetMode="External"/><Relationship Id="rId44" Type="http://schemas.openxmlformats.org/officeDocument/2006/relationships/hyperlink" Target="https://doi.org/10.1159/000323958" TargetMode="External"/><Relationship Id="rId60" Type="http://schemas.openxmlformats.org/officeDocument/2006/relationships/hyperlink" Target="https://doi.org/10.1111%2Fj.1747-4949.2012.00812.x" TargetMode="External"/><Relationship Id="rId65" Type="http://schemas.openxmlformats.org/officeDocument/2006/relationships/hyperlink" Target="https://doi.org/10.1016/S1474-4422(12)70042-X" TargetMode="External"/><Relationship Id="rId81" Type="http://schemas.openxmlformats.org/officeDocument/2006/relationships/hyperlink" Target="https://doi.org/10.1093/fampra/cmw145" TargetMode="External"/><Relationship Id="rId86" Type="http://schemas.openxmlformats.org/officeDocument/2006/relationships/hyperlink" Target="https://web.archive.org/web/20140830195601/https:/www.ucl.ac.uk/nicor/audits/heartfailure/documents/annualreports/hfannual12-13.pdf" TargetMode="External"/><Relationship Id="rId130" Type="http://schemas.openxmlformats.org/officeDocument/2006/relationships/hyperlink" Target="https://doi.org/10.1186/1471-2369-15-95" TargetMode="External"/><Relationship Id="rId135" Type="http://schemas.openxmlformats.org/officeDocument/2006/relationships/hyperlink" Target="https://doi.org/10.1093/qjmed/hcx080" TargetMode="External"/><Relationship Id="rId151" Type="http://schemas.openxmlformats.org/officeDocument/2006/relationships/hyperlink" Target="https://www.drugtariff.nhsbsa.nhs.uk/" TargetMode="External"/><Relationship Id="rId156" Type="http://schemas.openxmlformats.org/officeDocument/2006/relationships/hyperlink" Target="https://www.drugtariff.nhsbsa.nhs.uk/" TargetMode="External"/><Relationship Id="rId172" Type="http://schemas.openxmlformats.org/officeDocument/2006/relationships/hyperlink" Target="https://digital.nhs.uk/data-and-information/publications/statistical/patients-registered-at-a-gp-practice/december-2023" TargetMode="External"/><Relationship Id="rId13" Type="http://schemas.openxmlformats.org/officeDocument/2006/relationships/hyperlink" Target="https://doi.org/10.1016/j.jval.2010.10.029" TargetMode="External"/><Relationship Id="rId18" Type="http://schemas.openxmlformats.org/officeDocument/2006/relationships/hyperlink" Target="https://www.whocc.no/atc_ddd_index/?code=M01AH01" TargetMode="External"/><Relationship Id="rId39" Type="http://schemas.openxmlformats.org/officeDocument/2006/relationships/hyperlink" Target="https://doi.org/10.1016/j.amjmed.2005.11.020" TargetMode="External"/><Relationship Id="rId109" Type="http://schemas.openxmlformats.org/officeDocument/2006/relationships/hyperlink" Target="https://doi.org/10.3310/hta22320" TargetMode="External"/><Relationship Id="rId34" Type="http://schemas.openxmlformats.org/officeDocument/2006/relationships/hyperlink" Target="https://doi.org/10.1007/s10620-020-06248-9" TargetMode="External"/><Relationship Id="rId50" Type="http://schemas.openxmlformats.org/officeDocument/2006/relationships/hyperlink" Target="https://doi.org/10.1016/j.jacc.2016.09.944" TargetMode="External"/><Relationship Id="rId55" Type="http://schemas.openxmlformats.org/officeDocument/2006/relationships/hyperlink" Target="https://doi.org/10.1212/WNL.0b013e3182a9f45f" TargetMode="External"/><Relationship Id="rId76" Type="http://schemas.openxmlformats.org/officeDocument/2006/relationships/hyperlink" Target="https://doi.org/10.1007/s11136-017-1666-6" TargetMode="External"/><Relationship Id="rId97" Type="http://schemas.openxmlformats.org/officeDocument/2006/relationships/hyperlink" Target="https://doi.org/10.1016/S0140-6736(10)61271-8" TargetMode="External"/><Relationship Id="rId104" Type="http://schemas.openxmlformats.org/officeDocument/2006/relationships/hyperlink" Target="https://doi.org/10.2215/CJN.07920713" TargetMode="External"/><Relationship Id="rId120" Type="http://schemas.openxmlformats.org/officeDocument/2006/relationships/hyperlink" Target="https://doi.org/10.1186/s12882-015-0054-0" TargetMode="External"/><Relationship Id="rId125" Type="http://schemas.openxmlformats.org/officeDocument/2006/relationships/hyperlink" Target="https://doi.org/10.1186/s12882-015-0054-0" TargetMode="External"/><Relationship Id="rId141" Type="http://schemas.openxmlformats.org/officeDocument/2006/relationships/hyperlink" Target="https://www.england.nhs.uk/costing-in-the-nhs/national-cost-collection/" TargetMode="External"/><Relationship Id="rId146" Type="http://schemas.openxmlformats.org/officeDocument/2006/relationships/hyperlink" Target="https://www.england.nhs.uk/costing-in-the-nhs/national-cost-collection/" TargetMode="External"/><Relationship Id="rId167" Type="http://schemas.openxmlformats.org/officeDocument/2006/relationships/hyperlink" Target="https://doi.org/10.1111/bcp.15371" TargetMode="External"/><Relationship Id="rId7" Type="http://schemas.openxmlformats.org/officeDocument/2006/relationships/hyperlink" Target="https://www.pssru.ac.uk/pub/uc/uc2012/sources-of-information.pdf" TargetMode="External"/><Relationship Id="rId71" Type="http://schemas.openxmlformats.org/officeDocument/2006/relationships/hyperlink" Target="http://dx.doi.org/10.1097/MD.0000000000006239" TargetMode="External"/><Relationship Id="rId92" Type="http://schemas.openxmlformats.org/officeDocument/2006/relationships/hyperlink" Target="https://doi.org/10.1002/ejhf.420" TargetMode="External"/><Relationship Id="rId162" Type="http://schemas.openxmlformats.org/officeDocument/2006/relationships/hyperlink" Target="https://doi.org/10.1161/STROKEAHA.108.526988" TargetMode="External"/><Relationship Id="rId2" Type="http://schemas.openxmlformats.org/officeDocument/2006/relationships/hyperlink" Target="https://www.pssru.ac.uk/pub/uc/uc2020/5-sourcesofinfo.pdf" TargetMode="External"/><Relationship Id="rId29" Type="http://schemas.openxmlformats.org/officeDocument/2006/relationships/hyperlink" Target="https://doi.org/10.1093/ehjcvp/pvz063" TargetMode="External"/><Relationship Id="rId24" Type="http://schemas.openxmlformats.org/officeDocument/2006/relationships/hyperlink" Target="https://doi.org/10.1016/j.jval.2010.10.029" TargetMode="External"/><Relationship Id="rId40" Type="http://schemas.openxmlformats.org/officeDocument/2006/relationships/hyperlink" Target="https://doi.org/10.1136/bmj.b2538" TargetMode="External"/><Relationship Id="rId45" Type="http://schemas.openxmlformats.org/officeDocument/2006/relationships/hyperlink" Target="https://doi.org/10.1136/bmj.331.7528.1310" TargetMode="External"/><Relationship Id="rId66" Type="http://schemas.openxmlformats.org/officeDocument/2006/relationships/hyperlink" Target="https://doi.org/10.1111%2Fj.1747-4949.2012.00812.x" TargetMode="External"/><Relationship Id="rId87" Type="http://schemas.openxmlformats.org/officeDocument/2006/relationships/hyperlink" Target="https://web.archive.org/web/20140830195601/https:/www.ucl.ac.uk/nicor/audits/heartfailure/documents/annualreports/hfannual12-13.pdf" TargetMode="External"/><Relationship Id="rId110" Type="http://schemas.openxmlformats.org/officeDocument/2006/relationships/hyperlink" Target="https://doi.org/10.1186/s12882-017-0673-8" TargetMode="External"/><Relationship Id="rId115" Type="http://schemas.openxmlformats.org/officeDocument/2006/relationships/hyperlink" Target="https://doi.org/10.1016/j.ekir.2018.06.006" TargetMode="External"/><Relationship Id="rId131" Type="http://schemas.openxmlformats.org/officeDocument/2006/relationships/hyperlink" Target="https://doi.org/10.1186/1471-2369-15-95" TargetMode="External"/><Relationship Id="rId136" Type="http://schemas.openxmlformats.org/officeDocument/2006/relationships/hyperlink" Target="https://doi.org/10.1093/qjmed/hcx080" TargetMode="External"/><Relationship Id="rId157" Type="http://schemas.openxmlformats.org/officeDocument/2006/relationships/hyperlink" Target="https://www.drugtariff.nhsbsa.nhs.uk/" TargetMode="External"/><Relationship Id="rId61" Type="http://schemas.openxmlformats.org/officeDocument/2006/relationships/hyperlink" Target="https://doi.org/10.1111%2Fj.1747-4949.2012.00812.x" TargetMode="External"/><Relationship Id="rId82" Type="http://schemas.openxmlformats.org/officeDocument/2006/relationships/hyperlink" Target="https://doi.org/10.1093/fampra/cmw145" TargetMode="External"/><Relationship Id="rId152" Type="http://schemas.openxmlformats.org/officeDocument/2006/relationships/hyperlink" Target="https://www.drugtariff.nhsbsa.nhs.uk/" TargetMode="External"/><Relationship Id="rId173" Type="http://schemas.openxmlformats.org/officeDocument/2006/relationships/printerSettings" Target="../printerSettings/printerSettings4.bin"/><Relationship Id="rId19" Type="http://schemas.openxmlformats.org/officeDocument/2006/relationships/hyperlink" Target="https://www.whocc.no/atc_ddd_index/?code=M01AE01" TargetMode="External"/><Relationship Id="rId14" Type="http://schemas.openxmlformats.org/officeDocument/2006/relationships/hyperlink" Target="https://doi.org/10.1016/j.jval.2010.10.029" TargetMode="External"/><Relationship Id="rId30" Type="http://schemas.openxmlformats.org/officeDocument/2006/relationships/hyperlink" Target="https://www.ons.gov.uk/peoplepopulationandcommunity/birthsdeathsandmarriages/deaths/datasets/deathsregisteredinenglandandwalesseriesdrreferencetables" TargetMode="External"/><Relationship Id="rId35" Type="http://schemas.openxmlformats.org/officeDocument/2006/relationships/hyperlink" Target="http://dx.doi.org/10.1136/bmjopen-2014-007230" TargetMode="External"/><Relationship Id="rId56" Type="http://schemas.openxmlformats.org/officeDocument/2006/relationships/hyperlink" Target="https://doi.org/10.1212/WNL.0b013e3182a9f45f" TargetMode="External"/><Relationship Id="rId77" Type="http://schemas.openxmlformats.org/officeDocument/2006/relationships/hyperlink" Target="https://doi.org/10.1001/archinternmed.2008.525" TargetMode="External"/><Relationship Id="rId100" Type="http://schemas.openxmlformats.org/officeDocument/2006/relationships/hyperlink" Target="https://doi.org/10.1016/S0140-6736(10)61271-8" TargetMode="External"/><Relationship Id="rId105" Type="http://schemas.openxmlformats.org/officeDocument/2006/relationships/hyperlink" Target="https://doi.org/10.2215/CJN.07920713" TargetMode="External"/><Relationship Id="rId126" Type="http://schemas.openxmlformats.org/officeDocument/2006/relationships/hyperlink" Target="https://doi.org/10.1186/s12882-015-0054-0" TargetMode="External"/><Relationship Id="rId147" Type="http://schemas.openxmlformats.org/officeDocument/2006/relationships/hyperlink" Target="https://www.england.nhs.uk/costing-in-the-nhs/national-cost-collection/" TargetMode="External"/><Relationship Id="rId168" Type="http://schemas.openxmlformats.org/officeDocument/2006/relationships/hyperlink" Target="https://doi.org/10.1111/bcp.15371" TargetMode="External"/><Relationship Id="rId8" Type="http://schemas.openxmlformats.org/officeDocument/2006/relationships/hyperlink" Target="https://www.pssru.ac.uk/pub/uc/uc2012/sources-of-information.pdf" TargetMode="External"/><Relationship Id="rId51" Type="http://schemas.openxmlformats.org/officeDocument/2006/relationships/hyperlink" Target="https://doi.org/10.1093/ehjcvp/pvz063" TargetMode="External"/><Relationship Id="rId72" Type="http://schemas.openxmlformats.org/officeDocument/2006/relationships/hyperlink" Target="https://doi.org/10.3310/hta21400" TargetMode="External"/><Relationship Id="rId93" Type="http://schemas.openxmlformats.org/officeDocument/2006/relationships/hyperlink" Target="https://doi.org/10.1002/ejhf.420" TargetMode="External"/><Relationship Id="rId98" Type="http://schemas.openxmlformats.org/officeDocument/2006/relationships/hyperlink" Target="https://doi.org/10.1016/S0140-6736(10)61271-8" TargetMode="External"/><Relationship Id="rId121" Type="http://schemas.openxmlformats.org/officeDocument/2006/relationships/hyperlink" Target="https://doi.org/10.1186/s12882-015-0054-0" TargetMode="External"/><Relationship Id="rId142" Type="http://schemas.openxmlformats.org/officeDocument/2006/relationships/hyperlink" Target="https://www.england.nhs.uk/costing-in-the-nhs/national-cost-collection/" TargetMode="External"/><Relationship Id="rId163" Type="http://schemas.openxmlformats.org/officeDocument/2006/relationships/hyperlink" Target="https://doi.org/10.1161/01.STR.0000072985.24967.7F" TargetMode="External"/><Relationship Id="rId3" Type="http://schemas.openxmlformats.org/officeDocument/2006/relationships/hyperlink" Target="https://www.pssru.ac.uk/pub/uc/uc2012/sources-of-information.pdf" TargetMode="External"/><Relationship Id="rId25" Type="http://schemas.openxmlformats.org/officeDocument/2006/relationships/hyperlink" Target="https://doi.org/10.1016/j.jval.2010.10.029" TargetMode="External"/><Relationship Id="rId46" Type="http://schemas.openxmlformats.org/officeDocument/2006/relationships/hyperlink" Target="https://doi.org/10.1111/j.1365-2036.2009.04131.x" TargetMode="External"/><Relationship Id="rId67" Type="http://schemas.openxmlformats.org/officeDocument/2006/relationships/hyperlink" Target="https://doi.org/10.1111%2Fj.1747-4949.2012.00812.x" TargetMode="External"/><Relationship Id="rId116" Type="http://schemas.openxmlformats.org/officeDocument/2006/relationships/hyperlink" Target="https://doi.org/10.1016/j.ekir.2018.06.006" TargetMode="External"/><Relationship Id="rId137" Type="http://schemas.openxmlformats.org/officeDocument/2006/relationships/hyperlink" Target="https://doi.org/10.1111/ijcp.12774" TargetMode="External"/><Relationship Id="rId158" Type="http://schemas.openxmlformats.org/officeDocument/2006/relationships/hyperlink" Target="https://www.drugtariff.nhsbsa.nhs.uk/" TargetMode="External"/><Relationship Id="rId20" Type="http://schemas.openxmlformats.org/officeDocument/2006/relationships/hyperlink" Target="https://www.whocc.no/atc_ddd_index/?code=M01AE02" TargetMode="External"/><Relationship Id="rId41" Type="http://schemas.openxmlformats.org/officeDocument/2006/relationships/hyperlink" Target="https://doi.org/10.1016/s2468-1253(18)30037-2" TargetMode="External"/><Relationship Id="rId62" Type="http://schemas.openxmlformats.org/officeDocument/2006/relationships/hyperlink" Target="https://doi.org/10.1016/j.clinthera.2013.12.011" TargetMode="External"/><Relationship Id="rId83" Type="http://schemas.openxmlformats.org/officeDocument/2006/relationships/hyperlink" Target="https://doi.org/10.1093/fampra/cmw145" TargetMode="External"/><Relationship Id="rId88" Type="http://schemas.openxmlformats.org/officeDocument/2006/relationships/hyperlink" Target="https://www.nicor.org.uk/wp-content/uploads/2020/12/National-Heart-Failure-Audit-2020-FINAL.pdf" TargetMode="External"/><Relationship Id="rId111" Type="http://schemas.openxmlformats.org/officeDocument/2006/relationships/hyperlink" Target="https://doi.org/10.1371/journal.pone.0165675" TargetMode="External"/><Relationship Id="rId132" Type="http://schemas.openxmlformats.org/officeDocument/2006/relationships/hyperlink" Target="https://doi.org/10.1371/journal.pone.0165675" TargetMode="External"/><Relationship Id="rId153" Type="http://schemas.openxmlformats.org/officeDocument/2006/relationships/hyperlink" Target="https://www.drugtariff.nhsbsa.nhs.uk/" TargetMode="External"/><Relationship Id="rId174" Type="http://schemas.openxmlformats.org/officeDocument/2006/relationships/drawing" Target="../drawings/drawing1.xml"/><Relationship Id="rId15" Type="http://schemas.openxmlformats.org/officeDocument/2006/relationships/hyperlink" Target="https://doi.org/10.1016/j.jval.2010.10.029" TargetMode="External"/><Relationship Id="rId36" Type="http://schemas.openxmlformats.org/officeDocument/2006/relationships/hyperlink" Target="https://doi.org/10.1056/nejmoa0905561" TargetMode="External"/><Relationship Id="rId57" Type="http://schemas.openxmlformats.org/officeDocument/2006/relationships/hyperlink" Target="https://doi.org/10.1111%2Fj.1747-4949.2012.00812.x" TargetMode="External"/><Relationship Id="rId106" Type="http://schemas.openxmlformats.org/officeDocument/2006/relationships/hyperlink" Target="https://doi.org/10.1186/s12882-015-0054-0" TargetMode="External"/><Relationship Id="rId127" Type="http://schemas.openxmlformats.org/officeDocument/2006/relationships/hyperlink" Target="https://doi.org/10.1186/s12882-015-0054-0" TargetMode="External"/><Relationship Id="rId10" Type="http://schemas.openxmlformats.org/officeDocument/2006/relationships/hyperlink" Target="https://www.pssru.ac.uk/pub/uc/uc2012/sources-of-information.pdf" TargetMode="External"/><Relationship Id="rId31" Type="http://schemas.openxmlformats.org/officeDocument/2006/relationships/hyperlink" Target="https://www.ons.gov.uk/peoplepopulationandcommunity/birthsdeathsandmarriages/deaths/datasets/deathsregisteredinenglandandwalesseriesdrreferencetables" TargetMode="External"/><Relationship Id="rId52" Type="http://schemas.openxmlformats.org/officeDocument/2006/relationships/hyperlink" Target="https://doi.org/10.1093/ehjcvp/pvz063" TargetMode="External"/><Relationship Id="rId73" Type="http://schemas.openxmlformats.org/officeDocument/2006/relationships/hyperlink" Target="https://doi.org/10.1002/ejhf.642" TargetMode="External"/><Relationship Id="rId78" Type="http://schemas.openxmlformats.org/officeDocument/2006/relationships/hyperlink" Target="https://doi.org/10.1001/archinternmed.2008.525" TargetMode="External"/><Relationship Id="rId94" Type="http://schemas.openxmlformats.org/officeDocument/2006/relationships/hyperlink" Target="https://doi.org/10.1016/j.ijnurstu.2014.01.009" TargetMode="External"/><Relationship Id="rId99" Type="http://schemas.openxmlformats.org/officeDocument/2006/relationships/hyperlink" Target="https://doi.org/10.1016/S0140-6736(10)61271-8" TargetMode="External"/><Relationship Id="rId101" Type="http://schemas.openxmlformats.org/officeDocument/2006/relationships/hyperlink" Target="https://doi.org/10.1016/S0140-6736(10)61271-8" TargetMode="External"/><Relationship Id="rId122" Type="http://schemas.openxmlformats.org/officeDocument/2006/relationships/hyperlink" Target="https://doi.org/10.1186/s12882-015-0054-0" TargetMode="External"/><Relationship Id="rId143" Type="http://schemas.openxmlformats.org/officeDocument/2006/relationships/hyperlink" Target="https://www.england.nhs.uk/costing-in-the-nhs/national-cost-collection/" TargetMode="External"/><Relationship Id="rId148" Type="http://schemas.openxmlformats.org/officeDocument/2006/relationships/hyperlink" Target="https://www.england.nhs.uk/costing-in-the-nhs/national-cost-collection/" TargetMode="External"/><Relationship Id="rId164" Type="http://schemas.openxmlformats.org/officeDocument/2006/relationships/hyperlink" Target="https://www.england.nhs.uk/costing-in-the-nhs/national-cost-collection/" TargetMode="External"/><Relationship Id="rId169" Type="http://schemas.openxmlformats.org/officeDocument/2006/relationships/hyperlink" Target="https://doi.org/10.1186/s12955-018-1019-3" TargetMode="External"/><Relationship Id="rId4" Type="http://schemas.openxmlformats.org/officeDocument/2006/relationships/hyperlink" Target="https://www.pssru.ac.uk/pub/uc/uc2012/sources-of-information.pdf" TargetMode="External"/><Relationship Id="rId9" Type="http://schemas.openxmlformats.org/officeDocument/2006/relationships/hyperlink" Target="https://www.pssru.ac.uk/pub/uc/uc2012/sources-of-information.pdf" TargetMode="External"/><Relationship Id="rId26" Type="http://schemas.openxmlformats.org/officeDocument/2006/relationships/hyperlink" Target="https://doi.org/10.1007/s11136-010-9591-y" TargetMode="External"/><Relationship Id="rId47" Type="http://schemas.openxmlformats.org/officeDocument/2006/relationships/hyperlink" Target="https://doi.org/10.1111/j.1365-2036.2009.04131.x" TargetMode="External"/><Relationship Id="rId68" Type="http://schemas.openxmlformats.org/officeDocument/2006/relationships/hyperlink" Target="https://doi.org/10.1111%2Fj.1747-4949.2012.00812.x" TargetMode="External"/><Relationship Id="rId89" Type="http://schemas.openxmlformats.org/officeDocument/2006/relationships/hyperlink" Target="https://www.nicor.org.uk/wp-content/uploads/2020/12/National-Heart-Failure-Audit-2020-FINAL.pdf" TargetMode="External"/><Relationship Id="rId112" Type="http://schemas.openxmlformats.org/officeDocument/2006/relationships/hyperlink" Target="https://doi.org/10.1007/s10198-014-0664-7" TargetMode="External"/><Relationship Id="rId133" Type="http://schemas.openxmlformats.org/officeDocument/2006/relationships/hyperlink" Target="https://doi.org/10.1111/j.1524-4733.2007.00308.x" TargetMode="External"/><Relationship Id="rId154" Type="http://schemas.openxmlformats.org/officeDocument/2006/relationships/hyperlink" Target="https://www.drugtariff.nhsbsa.nhs.uk/" TargetMode="External"/><Relationship Id="rId175" Type="http://schemas.openxmlformats.org/officeDocument/2006/relationships/vmlDrawing" Target="../drawings/vmlDrawing1.vml"/><Relationship Id="rId16" Type="http://schemas.openxmlformats.org/officeDocument/2006/relationships/hyperlink" Target="https://doi.org/10.1016/j.jval.2010.10.029" TargetMode="External"/><Relationship Id="rId37" Type="http://schemas.openxmlformats.org/officeDocument/2006/relationships/hyperlink" Target="https://bmchealthservres.biomedcentral.com/articles/10.1186/1472-6963-12-392" TargetMode="External"/><Relationship Id="rId58" Type="http://schemas.openxmlformats.org/officeDocument/2006/relationships/hyperlink" Target="https://doi.org/10.1111%2Fj.1747-4949.2012.00812.x" TargetMode="External"/><Relationship Id="rId79" Type="http://schemas.openxmlformats.org/officeDocument/2006/relationships/hyperlink" Target="https://doi.org/10.1001/archinternmed.2008.525" TargetMode="External"/><Relationship Id="rId102" Type="http://schemas.openxmlformats.org/officeDocument/2006/relationships/hyperlink" Target="https://doi.org/10.1016/S0140-6736(10)61271-8" TargetMode="External"/><Relationship Id="rId123" Type="http://schemas.openxmlformats.org/officeDocument/2006/relationships/hyperlink" Target="https://doi.org/10.1093/qjmed/hcx080" TargetMode="External"/><Relationship Id="rId144" Type="http://schemas.openxmlformats.org/officeDocument/2006/relationships/hyperlink" Target="https://www.england.nhs.uk/costing-in-the-nhs/national-cost-collection/" TargetMode="External"/><Relationship Id="rId90" Type="http://schemas.openxmlformats.org/officeDocument/2006/relationships/hyperlink" Target="https://doi.org/10.3310/hta21400" TargetMode="External"/><Relationship Id="rId165" Type="http://schemas.openxmlformats.org/officeDocument/2006/relationships/hyperlink" Target="https://doi.org/10.1111/bcp.15371" TargetMode="External"/><Relationship Id="rId27" Type="http://schemas.openxmlformats.org/officeDocument/2006/relationships/hyperlink" Target="https://doi.org/10.1111/j.1572-0241.2006.00518.x" TargetMode="External"/><Relationship Id="rId48" Type="http://schemas.openxmlformats.org/officeDocument/2006/relationships/hyperlink" Target="https://doi.org/10.1371/journal.pone.0101768" TargetMode="External"/><Relationship Id="rId69" Type="http://schemas.openxmlformats.org/officeDocument/2006/relationships/hyperlink" Target="https://doi.org/10.1111%2Fj.1747-4949.2012.00812.x" TargetMode="External"/><Relationship Id="rId113" Type="http://schemas.openxmlformats.org/officeDocument/2006/relationships/hyperlink" Target="https://doi.org/10.1016/j.jval.2017.01.011" TargetMode="External"/><Relationship Id="rId134" Type="http://schemas.openxmlformats.org/officeDocument/2006/relationships/hyperlink" Target="https://doi.org/10.1111/j.1524-4733.2007.00308.x" TargetMode="External"/><Relationship Id="rId80" Type="http://schemas.openxmlformats.org/officeDocument/2006/relationships/hyperlink" Target="https://doi.org/10.1001/archinternmed.2008.525" TargetMode="External"/><Relationship Id="rId155" Type="http://schemas.openxmlformats.org/officeDocument/2006/relationships/hyperlink" Target="https://www.drugtariff.nhsbsa.nhs.uk/" TargetMode="External"/><Relationship Id="rId176" Type="http://schemas.openxmlformats.org/officeDocument/2006/relationships/ctrlProp" Target="../ctrlProps/ctrlProp1.xml"/><Relationship Id="rId17" Type="http://schemas.openxmlformats.org/officeDocument/2006/relationships/hyperlink" Target="https://www.whocc.no/atc_ddd_index/?code=M01AB05" TargetMode="External"/><Relationship Id="rId38" Type="http://schemas.openxmlformats.org/officeDocument/2006/relationships/hyperlink" Target="https://doi.org/10.1136/bmj.b2538" TargetMode="External"/><Relationship Id="rId59" Type="http://schemas.openxmlformats.org/officeDocument/2006/relationships/hyperlink" Target="https://doi.org/10.1111%2Fj.1747-4949.2012.00812.x" TargetMode="External"/><Relationship Id="rId103" Type="http://schemas.openxmlformats.org/officeDocument/2006/relationships/hyperlink" Target="https://doi.org/10.1016/S0140-6736(10)61271-8" TargetMode="External"/><Relationship Id="rId124" Type="http://schemas.openxmlformats.org/officeDocument/2006/relationships/hyperlink" Target="https://doi.org/10.1186/s12882-015-0054-0" TargetMode="External"/><Relationship Id="rId70" Type="http://schemas.openxmlformats.org/officeDocument/2006/relationships/hyperlink" Target="https://doi.org/10.1007/s11136-017-1666-6" TargetMode="External"/><Relationship Id="rId91" Type="http://schemas.openxmlformats.org/officeDocument/2006/relationships/hyperlink" Target="https://doi.org/10.1002/ejhf.420" TargetMode="External"/><Relationship Id="rId145" Type="http://schemas.openxmlformats.org/officeDocument/2006/relationships/hyperlink" Target="https://www.england.nhs.uk/costing-in-the-nhs/national-cost-collection/" TargetMode="External"/><Relationship Id="rId166" Type="http://schemas.openxmlformats.org/officeDocument/2006/relationships/hyperlink" Target="https://doi.org/10.1111/bcp.15371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tro">
    <tabColor theme="1"/>
  </sheetPr>
  <dimension ref="A1:AS339"/>
  <sheetViews>
    <sheetView tabSelected="1" workbookViewId="0">
      <pane xSplit="4" ySplit="1" topLeftCell="E2" activePane="bottomRight" state="frozen"/>
      <selection activeCell="R42" sqref="R42"/>
      <selection pane="topRight" activeCell="R42" sqref="R42"/>
      <selection pane="bottomLeft" activeCell="R42" sqref="R42"/>
      <selection pane="bottomRight" activeCell="E2" sqref="E2"/>
    </sheetView>
  </sheetViews>
  <sheetFormatPr defaultColWidth="2.710937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0" style="15" hidden="1" customWidth="1"/>
    <col min="5" max="7" width="2.7109375" style="15"/>
    <col min="8" max="8" width="2.7109375" style="15" customWidth="1"/>
    <col min="9" max="42" width="2.7109375" style="15"/>
    <col min="43" max="43" width="2.7109375" style="15" customWidth="1"/>
    <col min="44" max="16384" width="2.7109375" style="15"/>
  </cols>
  <sheetData>
    <row r="1" spans="1:45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I1" s="4"/>
      <c r="J1" s="5"/>
      <c r="K1" s="5"/>
      <c r="L1" s="5"/>
      <c r="M1" s="5"/>
      <c r="N1" s="5"/>
      <c r="O1" s="5"/>
      <c r="P1" s="5"/>
      <c r="Q1" s="5"/>
      <c r="R1" s="5"/>
      <c r="S1" s="5"/>
      <c r="U1" s="5"/>
    </row>
    <row r="2" spans="1:45" ht="12" customHeight="1" thickTop="1" x14ac:dyDescent="0.25">
      <c r="A2" s="2"/>
      <c r="C2" s="7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432"/>
      <c r="R2" s="432"/>
      <c r="S2" s="432"/>
      <c r="T2" s="432"/>
      <c r="U2" s="432"/>
      <c r="V2" s="432"/>
      <c r="W2" s="432"/>
      <c r="X2" s="432"/>
      <c r="Y2" s="432"/>
      <c r="Z2" s="432"/>
      <c r="AA2" s="432"/>
      <c r="AB2" s="432"/>
      <c r="AC2" s="432"/>
      <c r="AD2" s="432"/>
      <c r="AE2" s="432"/>
      <c r="AF2" s="432"/>
      <c r="AG2" s="432"/>
      <c r="AH2" s="432"/>
      <c r="AI2" s="432"/>
      <c r="AJ2" s="432"/>
      <c r="AK2" s="432"/>
      <c r="AL2" s="432"/>
      <c r="AM2" s="432"/>
      <c r="AN2" s="432"/>
      <c r="AO2" s="432"/>
      <c r="AP2" s="432"/>
      <c r="AQ2" s="432"/>
      <c r="AR2" s="432"/>
    </row>
    <row r="3" spans="1:45" ht="12" customHeight="1" x14ac:dyDescent="0.25">
      <c r="A3" s="2"/>
      <c r="C3" s="7"/>
      <c r="F3" s="537" t="s">
        <v>948</v>
      </c>
    </row>
    <row r="4" spans="1:45" ht="12" customHeight="1" x14ac:dyDescent="0.25">
      <c r="A4" s="2"/>
      <c r="C4" s="7"/>
      <c r="F4" s="537"/>
    </row>
    <row r="5" spans="1:45" ht="12" customHeight="1" x14ac:dyDescent="0.25">
      <c r="A5" s="2"/>
      <c r="C5" s="7"/>
      <c r="F5" s="539" t="s">
        <v>944</v>
      </c>
    </row>
    <row r="6" spans="1:45" ht="12" customHeight="1" x14ac:dyDescent="0.25">
      <c r="A6" s="2"/>
      <c r="C6" s="7"/>
      <c r="F6" s="539" t="s">
        <v>946</v>
      </c>
    </row>
    <row r="7" spans="1:45" ht="12" customHeight="1" x14ac:dyDescent="0.25">
      <c r="A7" s="2"/>
      <c r="C7" s="7"/>
      <c r="F7" s="539" t="s">
        <v>945</v>
      </c>
    </row>
    <row r="8" spans="1:45" ht="12" customHeight="1" x14ac:dyDescent="0.25">
      <c r="A8" s="2"/>
      <c r="C8" s="7"/>
      <c r="F8" s="538" t="s">
        <v>947</v>
      </c>
    </row>
    <row r="9" spans="1:45" ht="12" customHeight="1" x14ac:dyDescent="0.25">
      <c r="A9" s="2"/>
      <c r="C9" s="7"/>
    </row>
    <row r="10" spans="1:45" ht="12" customHeight="1" x14ac:dyDescent="0.25">
      <c r="A10" s="2"/>
      <c r="C10" s="7"/>
      <c r="E10" s="429"/>
      <c r="F10" s="435"/>
      <c r="G10" s="435"/>
      <c r="H10" s="435"/>
      <c r="I10" s="435"/>
      <c r="J10" s="435"/>
      <c r="K10" s="435"/>
      <c r="L10" s="435"/>
      <c r="M10" s="435"/>
      <c r="N10" s="435"/>
      <c r="O10" s="435"/>
      <c r="P10" s="435"/>
      <c r="Q10" s="435"/>
      <c r="R10" s="435"/>
      <c r="S10" s="435"/>
      <c r="T10" s="435"/>
      <c r="U10" s="435"/>
      <c r="V10" s="435"/>
      <c r="W10" s="435"/>
      <c r="X10" s="435"/>
      <c r="Y10" s="435"/>
      <c r="Z10" s="435"/>
      <c r="AA10" s="435"/>
      <c r="AB10" s="435"/>
      <c r="AC10" s="435"/>
      <c r="AD10" s="435"/>
      <c r="AE10" s="435"/>
      <c r="AF10" s="435"/>
      <c r="AG10" s="435"/>
      <c r="AH10" s="435"/>
      <c r="AI10" s="435"/>
      <c r="AJ10" s="435"/>
      <c r="AK10" s="435"/>
      <c r="AL10" s="435"/>
      <c r="AM10" s="435"/>
      <c r="AN10" s="435"/>
      <c r="AO10" s="435"/>
      <c r="AP10" s="435"/>
      <c r="AQ10" s="435"/>
      <c r="AR10" s="435"/>
      <c r="AS10" s="430"/>
    </row>
    <row r="11" spans="1:45" ht="12" customHeight="1" x14ac:dyDescent="0.25">
      <c r="A11" s="2"/>
      <c r="C11" s="7"/>
      <c r="E11" s="429"/>
      <c r="F11" s="435"/>
      <c r="G11" s="428"/>
      <c r="H11" s="428"/>
      <c r="I11" s="428"/>
      <c r="J11" s="428"/>
      <c r="K11" s="428"/>
      <c r="L11" s="428"/>
      <c r="M11" s="428"/>
      <c r="N11" s="428"/>
      <c r="O11" s="428"/>
      <c r="P11" s="428"/>
      <c r="Q11" s="428"/>
      <c r="R11" s="434"/>
      <c r="S11" s="428"/>
      <c r="T11" s="428"/>
      <c r="U11" s="428"/>
      <c r="V11" s="428"/>
      <c r="W11" s="428"/>
      <c r="X11" s="428"/>
      <c r="Y11" s="428"/>
      <c r="Z11" s="428"/>
      <c r="AA11" s="428"/>
      <c r="AB11" s="428"/>
      <c r="AC11" s="428"/>
      <c r="AD11" s="428"/>
      <c r="AE11" s="428"/>
      <c r="AF11" s="428"/>
      <c r="AG11" s="428"/>
      <c r="AH11" s="428"/>
      <c r="AI11" s="428"/>
      <c r="AJ11" s="428"/>
      <c r="AK11" s="428"/>
      <c r="AL11" s="428"/>
      <c r="AM11" s="428"/>
      <c r="AN11" s="428"/>
      <c r="AO11" s="428"/>
      <c r="AP11" s="428"/>
      <c r="AQ11" s="428"/>
      <c r="AR11" s="435"/>
      <c r="AS11" s="430"/>
    </row>
    <row r="12" spans="1:45" ht="12" customHeight="1" x14ac:dyDescent="0.25">
      <c r="A12" s="2"/>
      <c r="C12" s="7"/>
      <c r="E12" s="429"/>
      <c r="F12" s="435"/>
      <c r="G12" s="428"/>
      <c r="H12" s="428" t="s">
        <v>928</v>
      </c>
      <c r="I12" s="428"/>
      <c r="J12" s="428"/>
      <c r="K12" s="428"/>
      <c r="L12" s="428"/>
      <c r="M12" s="428"/>
      <c r="N12" s="428"/>
      <c r="O12" s="428"/>
      <c r="P12" s="428"/>
      <c r="Q12" s="428"/>
      <c r="R12" s="436" t="s">
        <v>929</v>
      </c>
      <c r="S12" s="436"/>
      <c r="T12" s="436"/>
      <c r="U12" s="436"/>
      <c r="V12" s="436"/>
      <c r="W12" s="436"/>
      <c r="X12" s="428" t="s">
        <v>936</v>
      </c>
      <c r="Y12" s="428"/>
      <c r="Z12" s="428"/>
      <c r="AA12" s="428"/>
      <c r="AB12" s="428"/>
      <c r="AC12" s="428"/>
      <c r="AD12" s="428"/>
      <c r="AE12" s="428"/>
      <c r="AF12" s="428"/>
      <c r="AG12" s="428"/>
      <c r="AH12" s="428"/>
      <c r="AI12" s="428"/>
      <c r="AJ12" s="428"/>
      <c r="AK12" s="428"/>
      <c r="AL12" s="428"/>
      <c r="AM12" s="428"/>
      <c r="AN12" s="428"/>
      <c r="AO12" s="428"/>
      <c r="AP12" s="428"/>
      <c r="AQ12" s="428"/>
      <c r="AR12" s="435"/>
      <c r="AS12" s="430"/>
    </row>
    <row r="13" spans="1:45" ht="12" customHeight="1" x14ac:dyDescent="0.25">
      <c r="A13" s="2"/>
      <c r="C13" s="7"/>
      <c r="E13" s="429"/>
      <c r="F13" s="435"/>
      <c r="G13" s="428"/>
      <c r="H13" s="428"/>
      <c r="I13" s="428"/>
      <c r="J13" s="428"/>
      <c r="K13" s="428"/>
      <c r="L13" s="428"/>
      <c r="M13" s="428"/>
      <c r="N13" s="428"/>
      <c r="O13" s="428"/>
      <c r="P13" s="428"/>
      <c r="Q13" s="428"/>
      <c r="R13" s="434"/>
      <c r="S13" s="428"/>
      <c r="T13" s="428"/>
      <c r="U13" s="428"/>
      <c r="V13" s="428"/>
      <c r="W13" s="428"/>
      <c r="X13" s="428"/>
      <c r="Y13" s="428"/>
      <c r="Z13" s="428"/>
      <c r="AA13" s="428"/>
      <c r="AB13" s="428"/>
      <c r="AC13" s="428"/>
      <c r="AD13" s="428"/>
      <c r="AE13" s="428"/>
      <c r="AF13" s="428"/>
      <c r="AG13" s="428"/>
      <c r="AH13" s="428"/>
      <c r="AI13" s="428"/>
      <c r="AJ13" s="428"/>
      <c r="AK13" s="428"/>
      <c r="AL13" s="428"/>
      <c r="AM13" s="428"/>
      <c r="AN13" s="428"/>
      <c r="AO13" s="428"/>
      <c r="AP13" s="428"/>
      <c r="AQ13" s="428"/>
      <c r="AR13" s="435"/>
      <c r="AS13" s="430"/>
    </row>
    <row r="14" spans="1:45" ht="12" customHeight="1" x14ac:dyDescent="0.25">
      <c r="A14" s="2"/>
      <c r="C14" s="7"/>
      <c r="E14" s="429"/>
      <c r="F14" s="435"/>
      <c r="G14" s="428"/>
      <c r="H14" s="428" t="s">
        <v>937</v>
      </c>
      <c r="I14" s="428"/>
      <c r="J14" s="428"/>
      <c r="K14" s="428"/>
      <c r="L14" s="428"/>
      <c r="M14" s="428"/>
      <c r="N14" s="428"/>
      <c r="O14" s="428"/>
      <c r="P14" s="428"/>
      <c r="Q14" s="428"/>
      <c r="R14" s="434"/>
      <c r="S14" s="428"/>
      <c r="T14" s="428"/>
      <c r="U14" s="428"/>
      <c r="V14" s="428"/>
      <c r="W14" s="428"/>
      <c r="X14" s="428"/>
      <c r="Y14" s="428"/>
      <c r="Z14" s="428"/>
      <c r="AA14" s="428"/>
      <c r="AB14" s="428"/>
      <c r="AC14" s="428"/>
      <c r="AD14" s="428"/>
      <c r="AE14" s="428"/>
      <c r="AF14" s="428"/>
      <c r="AG14" s="428"/>
      <c r="AH14" s="428"/>
      <c r="AI14" s="428"/>
      <c r="AJ14" s="428"/>
      <c r="AK14" s="428"/>
      <c r="AL14" s="428"/>
      <c r="AM14" s="428"/>
      <c r="AN14" s="428"/>
      <c r="AO14" s="428"/>
      <c r="AP14" s="428"/>
      <c r="AQ14" s="428"/>
      <c r="AR14" s="435"/>
      <c r="AS14" s="430"/>
    </row>
    <row r="15" spans="1:45" ht="12" customHeight="1" x14ac:dyDescent="0.25">
      <c r="A15" s="2"/>
      <c r="C15" s="7"/>
      <c r="E15" s="429"/>
      <c r="F15" s="435"/>
      <c r="G15" s="428"/>
      <c r="H15" s="428" t="s">
        <v>938</v>
      </c>
      <c r="I15" s="428"/>
      <c r="J15" s="428"/>
      <c r="K15" s="428"/>
      <c r="L15" s="428"/>
      <c r="M15" s="428"/>
      <c r="N15" s="428"/>
      <c r="O15" s="428"/>
      <c r="P15" s="428"/>
      <c r="Q15" s="428"/>
      <c r="R15" s="434"/>
      <c r="S15" s="428"/>
      <c r="T15" s="428"/>
      <c r="U15" s="428"/>
      <c r="V15" s="428"/>
      <c r="W15" s="428"/>
      <c r="X15" s="428"/>
      <c r="Y15" s="428"/>
      <c r="Z15" s="428"/>
      <c r="AA15" s="428"/>
      <c r="AB15" s="428"/>
      <c r="AC15" s="428"/>
      <c r="AD15" s="428"/>
      <c r="AE15" s="428"/>
      <c r="AF15" s="428"/>
      <c r="AG15" s="428"/>
      <c r="AH15" s="428"/>
      <c r="AI15" s="428"/>
      <c r="AJ15" s="428"/>
      <c r="AK15" s="428"/>
      <c r="AL15" s="428"/>
      <c r="AM15" s="428"/>
      <c r="AN15" s="428"/>
      <c r="AO15" s="428"/>
      <c r="AP15" s="428"/>
      <c r="AQ15" s="428"/>
      <c r="AR15" s="435"/>
      <c r="AS15" s="430"/>
    </row>
    <row r="16" spans="1:45" ht="12" customHeight="1" x14ac:dyDescent="0.25">
      <c r="A16" s="2"/>
      <c r="C16" s="7"/>
      <c r="E16" s="429"/>
      <c r="F16" s="435"/>
      <c r="G16" s="428"/>
      <c r="H16" s="431" t="s">
        <v>939</v>
      </c>
      <c r="I16" s="428"/>
      <c r="J16" s="428"/>
      <c r="K16" s="428"/>
      <c r="L16" s="428"/>
      <c r="M16" s="428"/>
      <c r="N16" s="428"/>
      <c r="O16" s="428"/>
      <c r="P16" s="428"/>
      <c r="Q16" s="428"/>
      <c r="R16" s="434"/>
      <c r="S16" s="428"/>
      <c r="T16" s="428"/>
      <c r="U16" s="428"/>
      <c r="V16" s="428"/>
      <c r="W16" s="428"/>
      <c r="X16" s="428"/>
      <c r="Y16" s="428"/>
      <c r="Z16" s="428"/>
      <c r="AA16" s="428"/>
      <c r="AB16" s="428"/>
      <c r="AC16" s="428"/>
      <c r="AD16" s="428"/>
      <c r="AE16" s="428"/>
      <c r="AF16" s="428"/>
      <c r="AG16" s="428"/>
      <c r="AH16" s="428"/>
      <c r="AI16" s="428"/>
      <c r="AJ16" s="428"/>
      <c r="AK16" s="428"/>
      <c r="AL16" s="428"/>
      <c r="AM16" s="428"/>
      <c r="AN16" s="428"/>
      <c r="AO16" s="428"/>
      <c r="AP16" s="428"/>
      <c r="AQ16" s="428"/>
      <c r="AR16" s="435"/>
      <c r="AS16" s="430"/>
    </row>
    <row r="17" spans="1:45" ht="12" customHeight="1" x14ac:dyDescent="0.25">
      <c r="A17" s="2"/>
      <c r="C17" s="7"/>
      <c r="E17" s="429"/>
      <c r="F17" s="435"/>
      <c r="G17" s="428"/>
      <c r="H17" s="428" t="s">
        <v>940</v>
      </c>
      <c r="I17" s="428"/>
      <c r="J17" s="428"/>
      <c r="K17" s="428"/>
      <c r="L17" s="428"/>
      <c r="M17" s="428"/>
      <c r="N17" s="428"/>
      <c r="O17" s="428"/>
      <c r="P17" s="428"/>
      <c r="Q17" s="428"/>
      <c r="R17" s="434"/>
      <c r="S17" s="428"/>
      <c r="T17" s="428"/>
      <c r="U17" s="428"/>
      <c r="V17" s="428"/>
      <c r="W17" s="428"/>
      <c r="X17" s="428"/>
      <c r="Y17" s="428"/>
      <c r="Z17" s="428"/>
      <c r="AA17" s="428"/>
      <c r="AB17" s="428"/>
      <c r="AC17" s="428"/>
      <c r="AD17" s="428"/>
      <c r="AE17" s="428"/>
      <c r="AF17" s="428"/>
      <c r="AG17" s="428"/>
      <c r="AH17" s="428"/>
      <c r="AI17" s="428"/>
      <c r="AJ17" s="428"/>
      <c r="AK17" s="428"/>
      <c r="AL17" s="428"/>
      <c r="AM17" s="428"/>
      <c r="AN17" s="428"/>
      <c r="AO17" s="428"/>
      <c r="AP17" s="428"/>
      <c r="AQ17" s="428"/>
      <c r="AR17" s="435"/>
      <c r="AS17" s="430"/>
    </row>
    <row r="18" spans="1:45" ht="12" customHeight="1" x14ac:dyDescent="0.25">
      <c r="A18" s="2"/>
      <c r="C18" s="7"/>
      <c r="E18" s="429"/>
      <c r="F18" s="435"/>
      <c r="G18" s="428"/>
      <c r="H18" s="431"/>
      <c r="I18" s="428"/>
      <c r="J18" s="428"/>
      <c r="K18" s="428"/>
      <c r="L18" s="428"/>
      <c r="M18" s="428"/>
      <c r="N18" s="428"/>
      <c r="O18" s="428"/>
      <c r="P18" s="428"/>
      <c r="Q18" s="428"/>
      <c r="R18" s="434"/>
      <c r="S18" s="428"/>
      <c r="T18" s="428"/>
      <c r="U18" s="428"/>
      <c r="V18" s="428"/>
      <c r="W18" s="428"/>
      <c r="X18" s="428"/>
      <c r="Y18" s="428"/>
      <c r="Z18" s="428"/>
      <c r="AA18" s="428"/>
      <c r="AB18" s="428"/>
      <c r="AC18" s="428"/>
      <c r="AD18" s="428"/>
      <c r="AE18" s="428"/>
      <c r="AF18" s="428"/>
      <c r="AG18" s="428"/>
      <c r="AH18" s="428"/>
      <c r="AI18" s="428"/>
      <c r="AJ18" s="428"/>
      <c r="AK18" s="428"/>
      <c r="AL18" s="428"/>
      <c r="AM18" s="428"/>
      <c r="AN18" s="428"/>
      <c r="AO18" s="428"/>
      <c r="AP18" s="428"/>
      <c r="AQ18" s="428"/>
      <c r="AR18" s="435"/>
      <c r="AS18" s="430"/>
    </row>
    <row r="19" spans="1:45" ht="12" customHeight="1" x14ac:dyDescent="0.25">
      <c r="A19" s="2"/>
      <c r="C19" s="7"/>
      <c r="E19" s="429"/>
      <c r="F19" s="435"/>
      <c r="G19" s="428"/>
      <c r="H19" s="431" t="s">
        <v>930</v>
      </c>
      <c r="I19" s="428"/>
      <c r="J19" s="428"/>
      <c r="K19" s="428"/>
      <c r="L19" s="428"/>
      <c r="M19" s="428"/>
      <c r="N19" s="428"/>
      <c r="O19" s="428"/>
      <c r="P19" s="428"/>
      <c r="Q19" s="428"/>
      <c r="R19" s="428"/>
      <c r="S19" s="428"/>
      <c r="T19" s="428"/>
      <c r="U19" s="428"/>
      <c r="V19" s="428"/>
      <c r="W19" s="428"/>
      <c r="X19" s="428"/>
      <c r="Y19" s="428"/>
      <c r="Z19" s="428"/>
      <c r="AA19" s="428"/>
      <c r="AB19" s="428"/>
      <c r="AC19" s="428"/>
      <c r="AD19" s="428"/>
      <c r="AE19" s="428"/>
      <c r="AF19" s="428"/>
      <c r="AG19" s="428"/>
      <c r="AH19" s="428"/>
      <c r="AI19" s="428"/>
      <c r="AJ19" s="428"/>
      <c r="AK19" s="428"/>
      <c r="AL19" s="428"/>
      <c r="AM19" s="428"/>
      <c r="AN19" s="428"/>
      <c r="AO19" s="428"/>
      <c r="AP19" s="428"/>
      <c r="AQ19" s="428"/>
      <c r="AR19" s="435"/>
      <c r="AS19" s="430"/>
    </row>
    <row r="20" spans="1:45" ht="12" customHeight="1" x14ac:dyDescent="0.25">
      <c r="A20" s="2"/>
      <c r="C20" s="7"/>
      <c r="E20" s="429"/>
      <c r="F20" s="435"/>
      <c r="G20" s="428"/>
      <c r="H20" s="428" t="s">
        <v>931</v>
      </c>
      <c r="I20" s="428"/>
      <c r="J20" s="428"/>
      <c r="K20" s="428"/>
      <c r="L20" s="428"/>
      <c r="M20" s="428"/>
      <c r="N20" s="428"/>
      <c r="O20" s="428"/>
      <c r="P20" s="428"/>
      <c r="Q20" s="428"/>
      <c r="R20" s="428"/>
      <c r="S20" s="428"/>
      <c r="T20" s="428"/>
      <c r="U20" s="428"/>
      <c r="V20" s="428"/>
      <c r="W20" s="428"/>
      <c r="X20" s="428"/>
      <c r="Y20" s="428"/>
      <c r="Z20" s="428"/>
      <c r="AA20" s="428"/>
      <c r="AB20" s="428"/>
      <c r="AC20" s="428"/>
      <c r="AD20" s="428"/>
      <c r="AE20" s="428"/>
      <c r="AF20" s="428"/>
      <c r="AG20" s="428"/>
      <c r="AH20" s="428"/>
      <c r="AI20" s="428"/>
      <c r="AJ20" s="428"/>
      <c r="AK20" s="428"/>
      <c r="AL20" s="428"/>
      <c r="AM20" s="428"/>
      <c r="AN20" s="428"/>
      <c r="AO20" s="428"/>
      <c r="AP20" s="428"/>
      <c r="AQ20" s="428"/>
      <c r="AR20" s="435"/>
      <c r="AS20" s="430"/>
    </row>
    <row r="21" spans="1:45" ht="12" customHeight="1" x14ac:dyDescent="0.25">
      <c r="A21" s="2"/>
      <c r="C21" s="7"/>
      <c r="E21" s="429"/>
      <c r="F21" s="435"/>
      <c r="G21" s="428"/>
      <c r="H21" s="428" t="s">
        <v>932</v>
      </c>
      <c r="I21" s="428"/>
      <c r="J21" s="428"/>
      <c r="K21" s="428"/>
      <c r="L21" s="428"/>
      <c r="M21" s="428"/>
      <c r="N21" s="428"/>
      <c r="O21" s="428"/>
      <c r="P21" s="428"/>
      <c r="Q21" s="428"/>
      <c r="R21" s="428"/>
      <c r="S21" s="428"/>
      <c r="T21" s="428"/>
      <c r="U21" s="428"/>
      <c r="V21" s="428"/>
      <c r="W21" s="428"/>
      <c r="X21" s="428"/>
      <c r="Y21" s="428"/>
      <c r="Z21" s="428"/>
      <c r="AA21" s="428"/>
      <c r="AB21" s="428"/>
      <c r="AC21" s="428"/>
      <c r="AD21" s="428"/>
      <c r="AE21" s="428"/>
      <c r="AF21" s="428"/>
      <c r="AG21" s="428"/>
      <c r="AH21" s="428"/>
      <c r="AI21" s="428"/>
      <c r="AJ21" s="428"/>
      <c r="AK21" s="428"/>
      <c r="AL21" s="428"/>
      <c r="AM21" s="428"/>
      <c r="AN21" s="428"/>
      <c r="AO21" s="428"/>
      <c r="AP21" s="428"/>
      <c r="AQ21" s="428"/>
      <c r="AR21" s="435"/>
      <c r="AS21" s="430"/>
    </row>
    <row r="22" spans="1:45" ht="12" customHeight="1" x14ac:dyDescent="0.25">
      <c r="A22" s="2"/>
      <c r="C22" s="7"/>
      <c r="E22" s="429"/>
      <c r="F22" s="435"/>
      <c r="G22" s="428"/>
      <c r="H22" s="428" t="s">
        <v>933</v>
      </c>
      <c r="I22" s="428"/>
      <c r="J22" s="428"/>
      <c r="K22" s="428"/>
      <c r="L22" s="428"/>
      <c r="M22" s="428"/>
      <c r="N22" s="428"/>
      <c r="O22" s="428"/>
      <c r="P22" s="428"/>
      <c r="Q22" s="428"/>
      <c r="R22" s="428"/>
      <c r="S22" s="428"/>
      <c r="T22" s="428"/>
      <c r="U22" s="428"/>
      <c r="V22" s="428"/>
      <c r="W22" s="428"/>
      <c r="X22" s="428"/>
      <c r="Y22" s="428"/>
      <c r="Z22" s="428"/>
      <c r="AA22" s="428"/>
      <c r="AB22" s="428"/>
      <c r="AC22" s="428"/>
      <c r="AD22" s="428"/>
      <c r="AE22" s="428"/>
      <c r="AF22" s="428"/>
      <c r="AG22" s="428"/>
      <c r="AH22" s="428"/>
      <c r="AI22" s="428"/>
      <c r="AJ22" s="428"/>
      <c r="AK22" s="428"/>
      <c r="AL22" s="428"/>
      <c r="AM22" s="428"/>
      <c r="AN22" s="428"/>
      <c r="AO22" s="428"/>
      <c r="AP22" s="428"/>
      <c r="AQ22" s="428"/>
      <c r="AR22" s="435"/>
      <c r="AS22" s="430"/>
    </row>
    <row r="23" spans="1:45" ht="12" customHeight="1" x14ac:dyDescent="0.25">
      <c r="A23" s="2"/>
      <c r="C23" s="7"/>
      <c r="E23" s="429"/>
      <c r="F23" s="435"/>
      <c r="G23" s="428"/>
      <c r="H23" s="428" t="s">
        <v>934</v>
      </c>
      <c r="I23" s="428"/>
      <c r="J23" s="428"/>
      <c r="K23" s="428"/>
      <c r="L23" s="428"/>
      <c r="M23" s="428"/>
      <c r="N23" s="428"/>
      <c r="O23" s="428"/>
      <c r="P23" s="428"/>
      <c r="Q23" s="428"/>
      <c r="R23" s="428"/>
      <c r="S23" s="428"/>
      <c r="T23" s="428"/>
      <c r="U23" s="428"/>
      <c r="V23" s="428"/>
      <c r="W23" s="428"/>
      <c r="X23" s="428"/>
      <c r="Y23" s="428"/>
      <c r="Z23" s="428"/>
      <c r="AA23" s="428"/>
      <c r="AB23" s="428"/>
      <c r="AC23" s="428"/>
      <c r="AD23" s="428"/>
      <c r="AE23" s="428"/>
      <c r="AF23" s="428"/>
      <c r="AG23" s="428"/>
      <c r="AH23" s="428"/>
      <c r="AI23" s="428"/>
      <c r="AJ23" s="428"/>
      <c r="AK23" s="428"/>
      <c r="AL23" s="428"/>
      <c r="AM23" s="428"/>
      <c r="AN23" s="428"/>
      <c r="AO23" s="428"/>
      <c r="AP23" s="428"/>
      <c r="AQ23" s="428"/>
      <c r="AR23" s="435"/>
      <c r="AS23" s="430"/>
    </row>
    <row r="24" spans="1:45" ht="12" customHeight="1" x14ac:dyDescent="0.25">
      <c r="A24" s="2"/>
      <c r="C24" s="7"/>
      <c r="E24" s="429"/>
      <c r="F24" s="435"/>
      <c r="G24" s="428"/>
      <c r="H24" s="428" t="s">
        <v>935</v>
      </c>
      <c r="I24" s="428"/>
      <c r="J24" s="428"/>
      <c r="K24" s="428"/>
      <c r="L24" s="428"/>
      <c r="M24" s="428"/>
      <c r="N24" s="428"/>
      <c r="O24" s="428"/>
      <c r="P24" s="428"/>
      <c r="Q24" s="428"/>
      <c r="R24" s="428"/>
      <c r="S24" s="428"/>
      <c r="T24" s="428"/>
      <c r="U24" s="428"/>
      <c r="V24" s="428"/>
      <c r="W24" s="428"/>
      <c r="X24" s="428"/>
      <c r="Y24" s="428"/>
      <c r="Z24" s="428"/>
      <c r="AA24" s="428"/>
      <c r="AB24" s="428"/>
      <c r="AC24" s="428"/>
      <c r="AD24" s="428"/>
      <c r="AE24" s="428"/>
      <c r="AF24" s="428"/>
      <c r="AG24" s="428"/>
      <c r="AH24" s="428"/>
      <c r="AI24" s="428"/>
      <c r="AJ24" s="428"/>
      <c r="AK24" s="428"/>
      <c r="AL24" s="428"/>
      <c r="AM24" s="428"/>
      <c r="AN24" s="428"/>
      <c r="AO24" s="428"/>
      <c r="AP24" s="428"/>
      <c r="AQ24" s="428"/>
      <c r="AR24" s="435"/>
      <c r="AS24" s="430"/>
    </row>
    <row r="25" spans="1:45" ht="12" customHeight="1" x14ac:dyDescent="0.25">
      <c r="A25" s="2"/>
      <c r="C25" s="7"/>
      <c r="E25" s="429"/>
      <c r="F25" s="435"/>
      <c r="G25" s="428"/>
      <c r="H25" s="428" t="s">
        <v>941</v>
      </c>
      <c r="I25" s="428"/>
      <c r="J25" s="428"/>
      <c r="K25" s="428"/>
      <c r="L25" s="428"/>
      <c r="M25" s="428"/>
      <c r="N25" s="428"/>
      <c r="O25" s="428"/>
      <c r="P25" s="428"/>
      <c r="Q25" s="428"/>
      <c r="R25" s="428"/>
      <c r="S25" s="428"/>
      <c r="T25" s="428"/>
      <c r="U25" s="428"/>
      <c r="V25" s="428"/>
      <c r="W25" s="428"/>
      <c r="X25" s="428"/>
      <c r="Y25" s="428"/>
      <c r="Z25" s="428"/>
      <c r="AA25" s="428"/>
      <c r="AB25" s="428"/>
      <c r="AC25" s="428"/>
      <c r="AD25" s="428"/>
      <c r="AE25" s="428"/>
      <c r="AF25" s="428"/>
      <c r="AG25" s="428"/>
      <c r="AH25" s="428"/>
      <c r="AI25" s="428"/>
      <c r="AJ25" s="428"/>
      <c r="AK25" s="428"/>
      <c r="AL25" s="428"/>
      <c r="AM25" s="428"/>
      <c r="AN25" s="428"/>
      <c r="AO25" s="428"/>
      <c r="AP25" s="428"/>
      <c r="AQ25" s="428"/>
      <c r="AR25" s="435"/>
      <c r="AS25" s="430"/>
    </row>
    <row r="26" spans="1:45" ht="12" customHeight="1" x14ac:dyDescent="0.25">
      <c r="A26" s="2"/>
      <c r="C26" s="7"/>
      <c r="E26" s="429"/>
      <c r="F26" s="435"/>
      <c r="G26" s="428"/>
      <c r="H26" s="428" t="s">
        <v>942</v>
      </c>
      <c r="I26" s="428"/>
      <c r="J26" s="428"/>
      <c r="K26" s="428"/>
      <c r="L26" s="428"/>
      <c r="M26" s="428"/>
      <c r="N26" s="428"/>
      <c r="O26" s="428"/>
      <c r="P26" s="428"/>
      <c r="Q26" s="428"/>
      <c r="R26" s="428"/>
      <c r="S26" s="428"/>
      <c r="T26" s="428"/>
      <c r="U26" s="428"/>
      <c r="V26" s="428"/>
      <c r="W26" s="428"/>
      <c r="X26" s="428"/>
      <c r="Y26" s="428"/>
      <c r="Z26" s="428"/>
      <c r="AA26" s="428"/>
      <c r="AB26" s="428"/>
      <c r="AC26" s="428"/>
      <c r="AD26" s="428"/>
      <c r="AE26" s="428"/>
      <c r="AF26" s="428"/>
      <c r="AG26" s="428"/>
      <c r="AH26" s="428"/>
      <c r="AI26" s="428"/>
      <c r="AJ26" s="428"/>
      <c r="AK26" s="428"/>
      <c r="AL26" s="428"/>
      <c r="AM26" s="428"/>
      <c r="AN26" s="428"/>
      <c r="AO26" s="428"/>
      <c r="AP26" s="428"/>
      <c r="AQ26" s="428"/>
      <c r="AR26" s="435"/>
      <c r="AS26" s="430"/>
    </row>
    <row r="27" spans="1:45" ht="12" customHeight="1" x14ac:dyDescent="0.25">
      <c r="A27" s="2"/>
      <c r="C27" s="7"/>
      <c r="E27" s="429"/>
      <c r="F27" s="435"/>
      <c r="G27" s="428"/>
      <c r="H27" s="428"/>
      <c r="I27" s="428"/>
      <c r="J27" s="428"/>
      <c r="K27" s="428"/>
      <c r="L27" s="428"/>
      <c r="M27" s="428"/>
      <c r="N27" s="428"/>
      <c r="O27" s="428"/>
      <c r="P27" s="428"/>
      <c r="Q27" s="428"/>
      <c r="R27" s="428"/>
      <c r="S27" s="428"/>
      <c r="T27" s="428"/>
      <c r="U27" s="428"/>
      <c r="V27" s="428"/>
      <c r="W27" s="428"/>
      <c r="X27" s="428"/>
      <c r="Y27" s="428"/>
      <c r="Z27" s="428"/>
      <c r="AA27" s="428"/>
      <c r="AB27" s="428"/>
      <c r="AC27" s="428"/>
      <c r="AD27" s="428"/>
      <c r="AE27" s="428"/>
      <c r="AF27" s="428"/>
      <c r="AG27" s="428"/>
      <c r="AH27" s="428"/>
      <c r="AI27" s="428"/>
      <c r="AJ27" s="428"/>
      <c r="AK27" s="428"/>
      <c r="AL27" s="428"/>
      <c r="AM27" s="428"/>
      <c r="AN27" s="428"/>
      <c r="AO27" s="428"/>
      <c r="AP27" s="428"/>
      <c r="AQ27" s="428"/>
      <c r="AR27" s="435"/>
      <c r="AS27" s="430"/>
    </row>
    <row r="28" spans="1:45" ht="12" customHeight="1" x14ac:dyDescent="0.25">
      <c r="A28" s="2"/>
      <c r="C28" s="7"/>
      <c r="E28" s="429"/>
      <c r="F28" s="435"/>
      <c r="G28" s="435"/>
      <c r="H28" s="435"/>
      <c r="I28" s="435"/>
      <c r="J28" s="435"/>
      <c r="K28" s="435"/>
      <c r="L28" s="435"/>
      <c r="M28" s="435"/>
      <c r="N28" s="435"/>
      <c r="O28" s="435"/>
      <c r="P28" s="435"/>
      <c r="Q28" s="435"/>
      <c r="R28" s="435"/>
      <c r="S28" s="435"/>
      <c r="T28" s="435"/>
      <c r="U28" s="435"/>
      <c r="V28" s="435"/>
      <c r="W28" s="435"/>
      <c r="X28" s="435"/>
      <c r="Y28" s="435"/>
      <c r="Z28" s="435"/>
      <c r="AA28" s="435"/>
      <c r="AB28" s="435"/>
      <c r="AC28" s="435"/>
      <c r="AD28" s="435"/>
      <c r="AE28" s="435"/>
      <c r="AF28" s="435"/>
      <c r="AG28" s="435"/>
      <c r="AH28" s="435"/>
      <c r="AI28" s="435"/>
      <c r="AJ28" s="435"/>
      <c r="AK28" s="435"/>
      <c r="AL28" s="435"/>
      <c r="AM28" s="435"/>
      <c r="AN28" s="435"/>
      <c r="AO28" s="435"/>
      <c r="AP28" s="435"/>
      <c r="AQ28" s="435"/>
      <c r="AR28" s="435"/>
      <c r="AS28" s="430"/>
    </row>
    <row r="29" spans="1:45" ht="12" customHeight="1" x14ac:dyDescent="0.25">
      <c r="A29" s="2"/>
      <c r="C29" s="7"/>
      <c r="F29" s="433"/>
      <c r="G29" s="433"/>
      <c r="H29" s="433"/>
      <c r="I29" s="433"/>
      <c r="J29" s="433"/>
      <c r="K29" s="433"/>
      <c r="L29" s="433"/>
      <c r="M29" s="433"/>
      <c r="N29" s="433"/>
      <c r="O29" s="433"/>
      <c r="P29" s="433"/>
      <c r="Q29" s="433"/>
      <c r="R29" s="433"/>
      <c r="S29" s="433"/>
      <c r="T29" s="433"/>
      <c r="U29" s="433"/>
      <c r="V29" s="433"/>
      <c r="W29" s="433"/>
      <c r="X29" s="433"/>
      <c r="Y29" s="433"/>
      <c r="Z29" s="433"/>
      <c r="AA29" s="433"/>
      <c r="AB29" s="433"/>
      <c r="AC29" s="433"/>
      <c r="AD29" s="433"/>
      <c r="AE29" s="433"/>
      <c r="AF29" s="433"/>
      <c r="AG29" s="433"/>
      <c r="AH29" s="433"/>
      <c r="AI29" s="433"/>
      <c r="AJ29" s="433"/>
      <c r="AK29" s="433"/>
      <c r="AL29" s="433"/>
      <c r="AM29" s="433"/>
      <c r="AN29" s="433"/>
      <c r="AO29" s="433"/>
      <c r="AP29" s="433"/>
      <c r="AQ29" s="433"/>
      <c r="AR29" s="433"/>
    </row>
    <row r="30" spans="1:45" ht="12" customHeight="1" x14ac:dyDescent="0.25">
      <c r="A30" s="2"/>
      <c r="C30" s="7"/>
      <c r="F30" s="15" t="s">
        <v>65</v>
      </c>
    </row>
    <row r="31" spans="1:45" ht="12" customHeight="1" x14ac:dyDescent="0.25">
      <c r="A31" s="2"/>
      <c r="C31" s="7"/>
      <c r="F31" s="139" t="s">
        <v>943</v>
      </c>
    </row>
    <row r="32" spans="1:45" ht="12" customHeight="1" x14ac:dyDescent="0.25">
      <c r="A32" s="2"/>
      <c r="C32" s="7"/>
    </row>
    <row r="33" spans="1:8" ht="12" customHeight="1" x14ac:dyDescent="0.25">
      <c r="A33" s="2"/>
      <c r="C33" s="7"/>
      <c r="F33" s="15" t="s">
        <v>66</v>
      </c>
    </row>
    <row r="34" spans="1:8" ht="12" customHeight="1" x14ac:dyDescent="0.25">
      <c r="A34" s="2"/>
      <c r="C34" s="7"/>
      <c r="F34" s="15" t="s">
        <v>239</v>
      </c>
    </row>
    <row r="35" spans="1:8" ht="12" customHeight="1" x14ac:dyDescent="0.25">
      <c r="A35" s="2"/>
      <c r="C35" s="7"/>
      <c r="F35" s="15" t="s">
        <v>67</v>
      </c>
    </row>
    <row r="36" spans="1:8" ht="12" customHeight="1" x14ac:dyDescent="0.25">
      <c r="A36" s="2"/>
      <c r="C36" s="7"/>
      <c r="F36" s="15" t="s">
        <v>922</v>
      </c>
    </row>
    <row r="37" spans="1:8" ht="12" customHeight="1" x14ac:dyDescent="0.25">
      <c r="A37" s="2"/>
      <c r="C37" s="7"/>
      <c r="F37" s="15" t="s">
        <v>68</v>
      </c>
    </row>
    <row r="38" spans="1:8" ht="12" customHeight="1" x14ac:dyDescent="0.25">
      <c r="A38" s="2"/>
      <c r="C38" s="7"/>
      <c r="F38" s="15" t="s">
        <v>921</v>
      </c>
    </row>
    <row r="39" spans="1:8" ht="12" customHeight="1" x14ac:dyDescent="0.25">
      <c r="A39" s="2"/>
      <c r="C39" s="7"/>
      <c r="F39" s="15" t="s">
        <v>920</v>
      </c>
    </row>
    <row r="40" spans="1:8" ht="12" customHeight="1" x14ac:dyDescent="0.25">
      <c r="A40" s="2"/>
      <c r="C40" s="7"/>
      <c r="F40" s="15" t="s">
        <v>924</v>
      </c>
    </row>
    <row r="41" spans="1:8" ht="12" customHeight="1" x14ac:dyDescent="0.25">
      <c r="A41" s="2"/>
      <c r="C41" s="7"/>
      <c r="F41" s="15" t="s">
        <v>925</v>
      </c>
    </row>
    <row r="42" spans="1:8" ht="12" customHeight="1" x14ac:dyDescent="0.25">
      <c r="A42" s="2"/>
      <c r="C42" s="7"/>
      <c r="F42" s="15" t="s">
        <v>926</v>
      </c>
    </row>
    <row r="43" spans="1:8" ht="12" customHeight="1" x14ac:dyDescent="0.25">
      <c r="A43" s="2"/>
      <c r="C43" s="7"/>
      <c r="F43" s="15" t="s">
        <v>927</v>
      </c>
    </row>
    <row r="44" spans="1:8" ht="12" customHeight="1" x14ac:dyDescent="0.25">
      <c r="A44" s="2"/>
      <c r="C44" s="7"/>
    </row>
    <row r="45" spans="1:8" ht="12" customHeight="1" x14ac:dyDescent="0.25">
      <c r="A45" s="2"/>
      <c r="C45" s="7"/>
      <c r="H45" s="31"/>
    </row>
    <row r="46" spans="1:8" ht="12" customHeight="1" x14ac:dyDescent="0.25">
      <c r="A46" s="2"/>
      <c r="C46" s="7"/>
    </row>
    <row r="47" spans="1:8" ht="12" customHeight="1" x14ac:dyDescent="0.25">
      <c r="A47" s="2"/>
      <c r="C47" s="7"/>
    </row>
    <row r="48" spans="1:8" ht="12" customHeight="1" x14ac:dyDescent="0.25">
      <c r="A48" s="2"/>
      <c r="C48" s="7"/>
    </row>
    <row r="49" spans="1:3" ht="12" customHeight="1" x14ac:dyDescent="0.25">
      <c r="A49" s="2"/>
      <c r="C49" s="7"/>
    </row>
    <row r="50" spans="1:3" ht="12" customHeight="1" x14ac:dyDescent="0.25">
      <c r="A50" s="2"/>
      <c r="C50" s="7"/>
    </row>
    <row r="51" spans="1:3" ht="12" customHeight="1" x14ac:dyDescent="0.25">
      <c r="A51" s="2"/>
      <c r="C51" s="7"/>
    </row>
    <row r="52" spans="1:3" ht="12" customHeight="1" x14ac:dyDescent="0.25">
      <c r="A52" s="2"/>
      <c r="C52" s="7"/>
    </row>
    <row r="53" spans="1:3" ht="12" customHeight="1" x14ac:dyDescent="0.25">
      <c r="A53" s="2"/>
      <c r="C53" s="7"/>
    </row>
    <row r="54" spans="1:3" ht="12" customHeight="1" x14ac:dyDescent="0.25">
      <c r="A54" s="2"/>
      <c r="C54" s="7"/>
    </row>
    <row r="55" spans="1:3" ht="12" customHeight="1" x14ac:dyDescent="0.25">
      <c r="A55" s="2"/>
      <c r="C55" s="7"/>
    </row>
    <row r="56" spans="1:3" ht="12" customHeight="1" x14ac:dyDescent="0.25">
      <c r="A56" s="2"/>
      <c r="C56" s="7"/>
    </row>
    <row r="57" spans="1:3" ht="12" customHeight="1" x14ac:dyDescent="0.25">
      <c r="A57" s="2"/>
      <c r="C57" s="7"/>
    </row>
    <row r="58" spans="1:3" ht="12" customHeight="1" x14ac:dyDescent="0.25">
      <c r="A58" s="2"/>
      <c r="C58" s="7"/>
    </row>
    <row r="59" spans="1:3" ht="12" customHeight="1" x14ac:dyDescent="0.25">
      <c r="A59" s="2"/>
      <c r="C59" s="7"/>
    </row>
    <row r="60" spans="1:3" ht="12" customHeight="1" x14ac:dyDescent="0.25">
      <c r="A60" s="2"/>
      <c r="C60" s="7"/>
    </row>
    <row r="61" spans="1:3" ht="12" customHeight="1" x14ac:dyDescent="0.25">
      <c r="A61" s="2"/>
      <c r="C61" s="7"/>
    </row>
    <row r="62" spans="1:3" ht="12" customHeight="1" x14ac:dyDescent="0.25">
      <c r="A62" s="2"/>
      <c r="C62" s="7"/>
    </row>
    <row r="63" spans="1:3" ht="12" customHeight="1" x14ac:dyDescent="0.25">
      <c r="A63" s="2"/>
      <c r="C63" s="7"/>
    </row>
    <row r="64" spans="1:3" ht="12" customHeight="1" x14ac:dyDescent="0.25">
      <c r="A64" s="2"/>
      <c r="C64" s="7"/>
    </row>
    <row r="65" spans="1:3" ht="12" customHeight="1" x14ac:dyDescent="0.25">
      <c r="A65" s="2"/>
      <c r="C65" s="7"/>
    </row>
    <row r="66" spans="1:3" ht="12" customHeight="1" x14ac:dyDescent="0.25">
      <c r="A66" s="2"/>
      <c r="C66" s="7"/>
    </row>
    <row r="67" spans="1:3" ht="12" customHeight="1" x14ac:dyDescent="0.25">
      <c r="A67" s="2"/>
      <c r="C67" s="7"/>
    </row>
    <row r="68" spans="1:3" ht="12" customHeight="1" x14ac:dyDescent="0.25">
      <c r="A68" s="2"/>
      <c r="C68" s="7"/>
    </row>
    <row r="69" spans="1:3" ht="12" customHeight="1" x14ac:dyDescent="0.25">
      <c r="A69" s="2"/>
      <c r="C69" s="7"/>
    </row>
    <row r="70" spans="1:3" ht="12" customHeight="1" x14ac:dyDescent="0.25">
      <c r="A70" s="2"/>
      <c r="C70" s="7"/>
    </row>
    <row r="71" spans="1:3" ht="12" customHeight="1" x14ac:dyDescent="0.25">
      <c r="A71" s="2"/>
      <c r="C71" s="7"/>
    </row>
    <row r="72" spans="1:3" ht="12" customHeight="1" x14ac:dyDescent="0.25">
      <c r="A72" s="2"/>
      <c r="C72" s="7"/>
    </row>
    <row r="73" spans="1:3" ht="12" customHeight="1" x14ac:dyDescent="0.25">
      <c r="A73" s="2"/>
      <c r="C73" s="7"/>
    </row>
    <row r="74" spans="1:3" ht="12" customHeight="1" x14ac:dyDescent="0.25">
      <c r="A74" s="2"/>
      <c r="C74" s="7"/>
    </row>
    <row r="75" spans="1:3" ht="12" customHeight="1" x14ac:dyDescent="0.25">
      <c r="A75" s="2"/>
      <c r="C75" s="7"/>
    </row>
    <row r="76" spans="1:3" ht="12" customHeight="1" x14ac:dyDescent="0.25">
      <c r="A76" s="2"/>
      <c r="C76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285" spans="1:3" ht="12" customHeight="1" x14ac:dyDescent="0.25">
      <c r="A285" s="2"/>
      <c r="C285" s="7"/>
    </row>
    <row r="286" spans="1:3" ht="12" customHeight="1" x14ac:dyDescent="0.25">
      <c r="A286" s="2"/>
      <c r="C286" s="7"/>
    </row>
    <row r="287" spans="1:3" ht="12" customHeight="1" x14ac:dyDescent="0.25">
      <c r="A287" s="2"/>
      <c r="C287" s="7"/>
    </row>
    <row r="288" spans="1:3" ht="12" customHeight="1" x14ac:dyDescent="0.25">
      <c r="A288" s="2"/>
      <c r="C288" s="7"/>
    </row>
    <row r="289" spans="1:3" ht="12" customHeight="1" x14ac:dyDescent="0.25">
      <c r="A289" s="2"/>
      <c r="C289" s="7"/>
    </row>
    <row r="290" spans="1:3" ht="12" customHeight="1" x14ac:dyDescent="0.25">
      <c r="A290" s="2"/>
      <c r="C290" s="7"/>
    </row>
    <row r="291" spans="1:3" ht="12" customHeight="1" x14ac:dyDescent="0.25">
      <c r="A291" s="2"/>
      <c r="C291" s="7"/>
    </row>
    <row r="292" spans="1:3" ht="12" customHeight="1" x14ac:dyDescent="0.25">
      <c r="A292" s="2"/>
      <c r="C292" s="7"/>
    </row>
    <row r="293" spans="1:3" ht="12" customHeight="1" x14ac:dyDescent="0.25">
      <c r="A293" s="2"/>
      <c r="C293" s="7"/>
    </row>
    <row r="294" spans="1:3" ht="12" customHeight="1" x14ac:dyDescent="0.25">
      <c r="A294" s="2"/>
      <c r="C294" s="7"/>
    </row>
    <row r="295" spans="1:3" ht="12" customHeight="1" x14ac:dyDescent="0.25">
      <c r="A295" s="2"/>
      <c r="C295" s="7"/>
    </row>
    <row r="296" spans="1:3" ht="12" customHeight="1" x14ac:dyDescent="0.25">
      <c r="A296" s="2"/>
      <c r="C296" s="7"/>
    </row>
    <row r="297" spans="1:3" ht="12" customHeight="1" x14ac:dyDescent="0.25">
      <c r="A297" s="2"/>
      <c r="C297" s="7"/>
    </row>
    <row r="298" spans="1:3" ht="12" customHeight="1" x14ac:dyDescent="0.25">
      <c r="A298" s="2"/>
      <c r="C298" s="7"/>
    </row>
    <row r="299" spans="1:3" ht="12" customHeight="1" x14ac:dyDescent="0.25">
      <c r="A299" s="2"/>
      <c r="C299" s="7"/>
    </row>
    <row r="300" spans="1:3" ht="12" customHeight="1" x14ac:dyDescent="0.25">
      <c r="A300" s="2"/>
      <c r="C300" s="7"/>
    </row>
    <row r="301" spans="1:3" ht="12" customHeight="1" x14ac:dyDescent="0.25">
      <c r="A301" s="2"/>
      <c r="C301" s="7"/>
    </row>
    <row r="319" spans="1:3" ht="12" customHeight="1" x14ac:dyDescent="0.25">
      <c r="A319" s="2"/>
      <c r="C319" s="7"/>
    </row>
    <row r="320" spans="1:3" ht="12" customHeight="1" x14ac:dyDescent="0.25">
      <c r="A320" s="2"/>
      <c r="C320" s="7"/>
    </row>
    <row r="321" spans="1:3" ht="12" customHeight="1" x14ac:dyDescent="0.25">
      <c r="A321" s="2"/>
      <c r="C321" s="7"/>
    </row>
    <row r="322" spans="1:3" ht="12" customHeight="1" x14ac:dyDescent="0.25">
      <c r="A322" s="2"/>
      <c r="C322" s="7"/>
    </row>
    <row r="323" spans="1:3" ht="12" customHeight="1" x14ac:dyDescent="0.25">
      <c r="A323" s="2"/>
      <c r="C323" s="7"/>
    </row>
    <row r="324" spans="1:3" ht="12" customHeight="1" x14ac:dyDescent="0.25">
      <c r="A324" s="2"/>
      <c r="C324" s="7"/>
    </row>
    <row r="325" spans="1:3" ht="12" customHeight="1" x14ac:dyDescent="0.25">
      <c r="A325" s="2"/>
      <c r="C325" s="7"/>
    </row>
    <row r="326" spans="1:3" ht="12" customHeight="1" x14ac:dyDescent="0.25">
      <c r="A326" s="2"/>
      <c r="C326" s="7"/>
    </row>
    <row r="327" spans="1:3" ht="12" customHeight="1" x14ac:dyDescent="0.25">
      <c r="A327" s="2"/>
      <c r="C327" s="7"/>
    </row>
    <row r="328" spans="1:3" ht="12" customHeight="1" x14ac:dyDescent="0.25">
      <c r="A328" s="2"/>
      <c r="C328" s="7"/>
    </row>
    <row r="329" spans="1:3" ht="12" customHeight="1" x14ac:dyDescent="0.25">
      <c r="A329" s="2"/>
      <c r="C329" s="7"/>
    </row>
    <row r="330" spans="1:3" ht="12" customHeight="1" x14ac:dyDescent="0.25">
      <c r="A330" s="2"/>
      <c r="C330" s="7"/>
    </row>
    <row r="331" spans="1:3" ht="12" customHeight="1" x14ac:dyDescent="0.25">
      <c r="A331" s="2"/>
      <c r="C331" s="7"/>
    </row>
    <row r="332" spans="1:3" ht="12" customHeight="1" x14ac:dyDescent="0.25">
      <c r="A332" s="2"/>
      <c r="C332" s="7"/>
    </row>
    <row r="333" spans="1:3" ht="12" customHeight="1" x14ac:dyDescent="0.25">
      <c r="A333" s="2"/>
      <c r="C333" s="7"/>
    </row>
    <row r="334" spans="1:3" ht="12" customHeight="1" x14ac:dyDescent="0.25">
      <c r="A334" s="2"/>
      <c r="C334" s="7"/>
    </row>
    <row r="335" spans="1:3" ht="12" customHeight="1" x14ac:dyDescent="0.25">
      <c r="A335" s="2"/>
      <c r="C335" s="7"/>
    </row>
    <row r="336" spans="1:3" ht="12" customHeight="1" x14ac:dyDescent="0.25">
      <c r="A336" s="2"/>
      <c r="C336" s="7"/>
    </row>
    <row r="337" spans="1:3" ht="12" customHeight="1" x14ac:dyDescent="0.25">
      <c r="A337" s="2"/>
      <c r="C337" s="7"/>
    </row>
    <row r="338" spans="1:3" ht="12" customHeight="1" x14ac:dyDescent="0.25">
      <c r="A338" s="2"/>
      <c r="C338" s="7"/>
    </row>
    <row r="339" spans="1:3" ht="12" customHeight="1" x14ac:dyDescent="0.25">
      <c r="A339" s="2"/>
      <c r="C339" s="7"/>
    </row>
  </sheetData>
  <mergeCells count="1">
    <mergeCell ref="R12:W12"/>
  </mergeCells>
  <hyperlinks>
    <hyperlink ref="R12" r:id="rId1" xr:uid="{A2201799-C39A-45E2-B0DA-0779E216B13F}"/>
    <hyperlink ref="F8" r:id="rId2" xr:uid="{B9D7B070-E9C7-4BB6-A22F-C19544FC4FC2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tabColor theme="1"/>
  </sheetPr>
  <dimension ref="A1:S349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ColWidth="2.710937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0" style="15" hidden="1" customWidth="1"/>
    <col min="5" max="16384" width="2.7109375" style="15"/>
  </cols>
  <sheetData>
    <row r="1" spans="1:19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  <c r="M1" s="5"/>
      <c r="N1" s="5"/>
      <c r="O1" s="5"/>
      <c r="P1" s="5"/>
      <c r="Q1" s="5"/>
      <c r="S1" s="5"/>
    </row>
    <row r="2" spans="1:19" ht="12" customHeight="1" thickTop="1" x14ac:dyDescent="0.25">
      <c r="A2" s="2"/>
      <c r="C2" s="7"/>
    </row>
    <row r="3" spans="1:19" ht="12" customHeight="1" x14ac:dyDescent="0.25">
      <c r="A3" s="2"/>
      <c r="C3" s="7"/>
      <c r="F3" s="15" t="s">
        <v>918</v>
      </c>
    </row>
    <row r="4" spans="1:19" ht="12" customHeight="1" x14ac:dyDescent="0.25">
      <c r="A4" s="2"/>
      <c r="C4" s="7"/>
    </row>
    <row r="5" spans="1:19" ht="12" customHeight="1" x14ac:dyDescent="0.25">
      <c r="A5" s="2"/>
      <c r="C5" s="7"/>
      <c r="F5" s="15" t="s">
        <v>903</v>
      </c>
    </row>
    <row r="6" spans="1:19" ht="12" customHeight="1" x14ac:dyDescent="0.25">
      <c r="A6" s="2"/>
      <c r="C6" s="7"/>
      <c r="F6" s="15" t="s">
        <v>904</v>
      </c>
    </row>
    <row r="7" spans="1:19" ht="12" customHeight="1" x14ac:dyDescent="0.25">
      <c r="A7" s="2"/>
      <c r="C7" s="7"/>
      <c r="G7" s="426" t="s">
        <v>905</v>
      </c>
    </row>
    <row r="8" spans="1:19" ht="12" customHeight="1" x14ac:dyDescent="0.25">
      <c r="A8" s="2"/>
      <c r="C8" s="7"/>
      <c r="H8" s="426" t="s">
        <v>906</v>
      </c>
    </row>
    <row r="9" spans="1:19" ht="12" customHeight="1" x14ac:dyDescent="0.25">
      <c r="A9" s="2"/>
      <c r="C9" s="7"/>
      <c r="H9" s="426" t="s">
        <v>907</v>
      </c>
    </row>
    <row r="10" spans="1:19" ht="12" customHeight="1" x14ac:dyDescent="0.25">
      <c r="A10" s="2"/>
      <c r="C10" s="7"/>
      <c r="G10" s="426" t="s">
        <v>908</v>
      </c>
    </row>
    <row r="11" spans="1:19" ht="12" customHeight="1" x14ac:dyDescent="0.25">
      <c r="A11" s="2"/>
      <c r="C11" s="7"/>
      <c r="H11" s="426" t="s">
        <v>909</v>
      </c>
    </row>
    <row r="12" spans="1:19" ht="12" customHeight="1" x14ac:dyDescent="0.25">
      <c r="A12" s="2"/>
      <c r="C12" s="7"/>
      <c r="H12" s="426" t="s">
        <v>910</v>
      </c>
    </row>
    <row r="13" spans="1:19" ht="12" customHeight="1" x14ac:dyDescent="0.25">
      <c r="A13" s="2"/>
      <c r="C13" s="7"/>
      <c r="H13" s="426" t="s">
        <v>911</v>
      </c>
    </row>
    <row r="14" spans="1:19" ht="12" customHeight="1" x14ac:dyDescent="0.25">
      <c r="A14" s="2"/>
      <c r="C14" s="7"/>
      <c r="H14" s="426" t="s">
        <v>912</v>
      </c>
    </row>
    <row r="15" spans="1:19" ht="12" customHeight="1" x14ac:dyDescent="0.25">
      <c r="A15" s="2"/>
      <c r="C15" s="7"/>
      <c r="H15" s="426" t="s">
        <v>913</v>
      </c>
    </row>
    <row r="16" spans="1:19" ht="12" customHeight="1" x14ac:dyDescent="0.25">
      <c r="A16" s="2"/>
      <c r="C16" s="7"/>
      <c r="H16" s="426" t="s">
        <v>914</v>
      </c>
    </row>
    <row r="17" spans="1:8" ht="12" customHeight="1" x14ac:dyDescent="0.25">
      <c r="A17" s="2"/>
      <c r="C17" s="7"/>
      <c r="H17" s="426" t="s">
        <v>915</v>
      </c>
    </row>
    <row r="18" spans="1:8" ht="12" customHeight="1" x14ac:dyDescent="0.25">
      <c r="A18" s="2"/>
      <c r="C18" s="7"/>
      <c r="H18" s="426" t="s">
        <v>917</v>
      </c>
    </row>
    <row r="19" spans="1:8" ht="12" customHeight="1" x14ac:dyDescent="0.25">
      <c r="A19" s="2"/>
      <c r="C19" s="7"/>
      <c r="H19" s="426" t="s">
        <v>919</v>
      </c>
    </row>
    <row r="20" spans="1:8" ht="12" customHeight="1" x14ac:dyDescent="0.25">
      <c r="A20" s="2"/>
      <c r="C20" s="7"/>
    </row>
    <row r="21" spans="1:8" ht="12" customHeight="1" x14ac:dyDescent="0.25">
      <c r="A21" s="2"/>
      <c r="C21" s="7"/>
    </row>
    <row r="22" spans="1:8" ht="12" customHeight="1" x14ac:dyDescent="0.25">
      <c r="A22" s="2"/>
      <c r="C22" s="7"/>
    </row>
    <row r="23" spans="1:8" ht="12" customHeight="1" x14ac:dyDescent="0.25">
      <c r="A23" s="2"/>
      <c r="C23" s="7"/>
    </row>
    <row r="24" spans="1:8" ht="12" customHeight="1" x14ac:dyDescent="0.25">
      <c r="A24" s="2"/>
      <c r="C24" s="7"/>
    </row>
    <row r="25" spans="1:8" ht="12" customHeight="1" x14ac:dyDescent="0.25">
      <c r="A25" s="2"/>
      <c r="C25" s="7"/>
    </row>
    <row r="26" spans="1:8" ht="12" customHeight="1" x14ac:dyDescent="0.25">
      <c r="A26" s="2"/>
      <c r="C26" s="7"/>
    </row>
    <row r="27" spans="1:8" ht="12" customHeight="1" x14ac:dyDescent="0.25">
      <c r="A27" s="2"/>
      <c r="C27" s="7"/>
    </row>
    <row r="28" spans="1:8" ht="12" customHeight="1" x14ac:dyDescent="0.25">
      <c r="A28" s="2"/>
      <c r="C28" s="7"/>
    </row>
    <row r="29" spans="1:8" ht="12" customHeight="1" x14ac:dyDescent="0.25">
      <c r="A29" s="2"/>
      <c r="C29" s="7"/>
    </row>
    <row r="30" spans="1:8" ht="12" customHeight="1" x14ac:dyDescent="0.25">
      <c r="A30" s="2"/>
      <c r="C30" s="7"/>
    </row>
    <row r="31" spans="1:8" ht="12" customHeight="1" x14ac:dyDescent="0.25">
      <c r="A31" s="2"/>
      <c r="C31" s="7"/>
    </row>
    <row r="32" spans="1:8" ht="12" customHeight="1" x14ac:dyDescent="0.25">
      <c r="A32" s="2"/>
      <c r="C32" s="7"/>
    </row>
    <row r="33" spans="1:3" ht="12" customHeight="1" x14ac:dyDescent="0.25">
      <c r="A33" s="2"/>
      <c r="C33" s="7"/>
    </row>
    <row r="34" spans="1:3" ht="12" customHeight="1" x14ac:dyDescent="0.25">
      <c r="A34" s="2"/>
      <c r="C34" s="7"/>
    </row>
    <row r="35" spans="1:3" ht="12" customHeight="1" x14ac:dyDescent="0.25">
      <c r="A35" s="2"/>
      <c r="C35" s="7"/>
    </row>
    <row r="36" spans="1:3" ht="12" customHeight="1" x14ac:dyDescent="0.25">
      <c r="A36" s="2"/>
      <c r="C36" s="7"/>
    </row>
    <row r="37" spans="1:3" ht="12" customHeight="1" x14ac:dyDescent="0.25">
      <c r="A37" s="2"/>
      <c r="C37" s="7"/>
    </row>
    <row r="38" spans="1:3" ht="12" customHeight="1" x14ac:dyDescent="0.25">
      <c r="A38" s="2"/>
      <c r="C38" s="7"/>
    </row>
    <row r="39" spans="1:3" ht="12" customHeight="1" x14ac:dyDescent="0.25">
      <c r="A39" s="2"/>
      <c r="C39" s="7"/>
    </row>
    <row r="40" spans="1:3" ht="12" customHeight="1" x14ac:dyDescent="0.25">
      <c r="A40" s="2"/>
      <c r="C40" s="7"/>
    </row>
    <row r="41" spans="1:3" ht="12" customHeight="1" x14ac:dyDescent="0.25">
      <c r="A41" s="2"/>
      <c r="C41" s="7"/>
    </row>
    <row r="42" spans="1:3" ht="12" customHeight="1" x14ac:dyDescent="0.25">
      <c r="A42" s="2"/>
      <c r="C42" s="7"/>
    </row>
    <row r="43" spans="1:3" ht="12" customHeight="1" x14ac:dyDescent="0.25">
      <c r="A43" s="2"/>
      <c r="C43" s="7"/>
    </row>
    <row r="44" spans="1:3" ht="12" customHeight="1" x14ac:dyDescent="0.25">
      <c r="A44" s="2"/>
      <c r="C44" s="7"/>
    </row>
    <row r="45" spans="1:3" ht="12" customHeight="1" x14ac:dyDescent="0.25">
      <c r="A45" s="2"/>
      <c r="C45" s="7"/>
    </row>
    <row r="46" spans="1:3" ht="12" customHeight="1" x14ac:dyDescent="0.25">
      <c r="A46" s="2"/>
      <c r="C46" s="7"/>
    </row>
    <row r="47" spans="1:3" ht="12" customHeight="1" x14ac:dyDescent="0.25">
      <c r="A47" s="2"/>
      <c r="C47" s="7"/>
    </row>
    <row r="48" spans="1:3" ht="12" customHeight="1" x14ac:dyDescent="0.25">
      <c r="A48" s="2"/>
      <c r="C48" s="7"/>
    </row>
    <row r="49" spans="1:6" ht="12" customHeight="1" x14ac:dyDescent="0.25">
      <c r="A49" s="2"/>
      <c r="C49" s="7"/>
    </row>
    <row r="50" spans="1:6" ht="12" customHeight="1" x14ac:dyDescent="0.25">
      <c r="A50" s="2"/>
      <c r="C50" s="7"/>
    </row>
    <row r="51" spans="1:6" ht="12" customHeight="1" x14ac:dyDescent="0.25">
      <c r="A51" s="2"/>
      <c r="C51" s="7"/>
    </row>
    <row r="52" spans="1:6" ht="12" customHeight="1" x14ac:dyDescent="0.25">
      <c r="A52" s="2"/>
      <c r="C52" s="7"/>
    </row>
    <row r="53" spans="1:6" ht="12" customHeight="1" x14ac:dyDescent="0.25">
      <c r="A53" s="2"/>
      <c r="C53" s="7"/>
    </row>
    <row r="54" spans="1:6" ht="12" customHeight="1" x14ac:dyDescent="0.25">
      <c r="A54" s="2"/>
      <c r="C54" s="7"/>
    </row>
    <row r="55" spans="1:6" ht="12" customHeight="1" x14ac:dyDescent="0.25">
      <c r="A55" s="2"/>
      <c r="C55" s="7"/>
      <c r="F55" s="31"/>
    </row>
    <row r="56" spans="1:6" ht="12" customHeight="1" x14ac:dyDescent="0.25">
      <c r="A56" s="2"/>
      <c r="C56" s="7"/>
    </row>
    <row r="57" spans="1:6" ht="12" customHeight="1" x14ac:dyDescent="0.25">
      <c r="A57" s="2"/>
      <c r="C57" s="7"/>
    </row>
    <row r="58" spans="1:6" ht="12" customHeight="1" x14ac:dyDescent="0.25">
      <c r="A58" s="2"/>
      <c r="C58" s="7"/>
    </row>
    <row r="59" spans="1:6" ht="12" customHeight="1" x14ac:dyDescent="0.25">
      <c r="A59" s="2"/>
      <c r="C59" s="7"/>
    </row>
    <row r="60" spans="1:6" ht="12" customHeight="1" x14ac:dyDescent="0.25">
      <c r="A60" s="2"/>
      <c r="C60" s="7"/>
    </row>
    <row r="61" spans="1:6" ht="12" customHeight="1" x14ac:dyDescent="0.25">
      <c r="A61" s="2"/>
      <c r="C61" s="7"/>
    </row>
    <row r="62" spans="1:6" ht="12" customHeight="1" x14ac:dyDescent="0.25">
      <c r="A62" s="2"/>
      <c r="C62" s="7"/>
    </row>
    <row r="63" spans="1:6" ht="12" customHeight="1" x14ac:dyDescent="0.25">
      <c r="A63" s="2"/>
      <c r="C63" s="7"/>
    </row>
    <row r="64" spans="1:6" ht="12" customHeight="1" x14ac:dyDescent="0.25">
      <c r="A64" s="2"/>
      <c r="C64" s="7"/>
    </row>
    <row r="65" spans="1:3" ht="12" customHeight="1" x14ac:dyDescent="0.25">
      <c r="A65" s="2"/>
      <c r="C65" s="7"/>
    </row>
    <row r="66" spans="1:3" ht="12" customHeight="1" x14ac:dyDescent="0.25">
      <c r="A66" s="2"/>
      <c r="C66" s="7"/>
    </row>
    <row r="67" spans="1:3" ht="12" customHeight="1" x14ac:dyDescent="0.25">
      <c r="A67" s="2"/>
      <c r="C67" s="7"/>
    </row>
    <row r="68" spans="1:3" ht="12" customHeight="1" x14ac:dyDescent="0.25">
      <c r="A68" s="2"/>
      <c r="C68" s="7"/>
    </row>
    <row r="69" spans="1:3" ht="12" customHeight="1" x14ac:dyDescent="0.25">
      <c r="A69" s="2"/>
      <c r="C69" s="7"/>
    </row>
    <row r="70" spans="1:3" ht="12" customHeight="1" x14ac:dyDescent="0.25">
      <c r="A70" s="2"/>
      <c r="C70" s="7"/>
    </row>
    <row r="71" spans="1:3" ht="12" customHeight="1" x14ac:dyDescent="0.25">
      <c r="A71" s="2"/>
      <c r="C71" s="7"/>
    </row>
    <row r="72" spans="1:3" ht="12" customHeight="1" x14ac:dyDescent="0.25">
      <c r="A72" s="2"/>
      <c r="C72" s="7"/>
    </row>
    <row r="73" spans="1:3" ht="12" customHeight="1" x14ac:dyDescent="0.25">
      <c r="A73" s="2"/>
      <c r="C73" s="7"/>
    </row>
    <row r="74" spans="1:3" ht="12" customHeight="1" x14ac:dyDescent="0.25">
      <c r="A74" s="2"/>
      <c r="C74" s="7"/>
    </row>
    <row r="75" spans="1:3" ht="12" customHeight="1" x14ac:dyDescent="0.25">
      <c r="A75" s="2"/>
      <c r="C75" s="7"/>
    </row>
    <row r="76" spans="1:3" ht="12" customHeight="1" x14ac:dyDescent="0.25">
      <c r="A76" s="2"/>
      <c r="C76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285" spans="1:3" ht="12" customHeight="1" x14ac:dyDescent="0.25">
      <c r="A285" s="2"/>
      <c r="C285" s="7"/>
    </row>
    <row r="286" spans="1:3" ht="12" customHeight="1" x14ac:dyDescent="0.25">
      <c r="A286" s="2"/>
      <c r="C286" s="7"/>
    </row>
    <row r="287" spans="1:3" ht="12" customHeight="1" x14ac:dyDescent="0.25">
      <c r="A287" s="2"/>
      <c r="C287" s="7"/>
    </row>
    <row r="288" spans="1:3" ht="12" customHeight="1" x14ac:dyDescent="0.25">
      <c r="A288" s="2"/>
      <c r="C288" s="7"/>
    </row>
    <row r="289" spans="1:3" ht="12" customHeight="1" x14ac:dyDescent="0.25">
      <c r="A289" s="2"/>
      <c r="C289" s="7"/>
    </row>
    <row r="290" spans="1:3" ht="12" customHeight="1" x14ac:dyDescent="0.25">
      <c r="A290" s="2"/>
      <c r="C290" s="7"/>
    </row>
    <row r="291" spans="1:3" ht="12" customHeight="1" x14ac:dyDescent="0.25">
      <c r="A291" s="2"/>
      <c r="C291" s="7"/>
    </row>
    <row r="292" spans="1:3" ht="12" customHeight="1" x14ac:dyDescent="0.25">
      <c r="A292" s="2"/>
      <c r="C292" s="7"/>
    </row>
    <row r="293" spans="1:3" ht="12" customHeight="1" x14ac:dyDescent="0.25">
      <c r="A293" s="2"/>
      <c r="C293" s="7"/>
    </row>
    <row r="294" spans="1:3" ht="12" customHeight="1" x14ac:dyDescent="0.25">
      <c r="A294" s="2"/>
      <c r="C294" s="7"/>
    </row>
    <row r="295" spans="1:3" ht="12" customHeight="1" x14ac:dyDescent="0.25">
      <c r="A295" s="2"/>
      <c r="C295" s="7"/>
    </row>
    <row r="296" spans="1:3" ht="12" customHeight="1" x14ac:dyDescent="0.25">
      <c r="A296" s="2"/>
      <c r="C296" s="7"/>
    </row>
    <row r="297" spans="1:3" ht="12" customHeight="1" x14ac:dyDescent="0.25">
      <c r="A297" s="2"/>
      <c r="C297" s="7"/>
    </row>
    <row r="298" spans="1:3" ht="12" customHeight="1" x14ac:dyDescent="0.25">
      <c r="A298" s="2"/>
      <c r="C298" s="7"/>
    </row>
    <row r="299" spans="1:3" ht="12" customHeight="1" x14ac:dyDescent="0.25">
      <c r="A299" s="2"/>
      <c r="C299" s="7"/>
    </row>
    <row r="300" spans="1:3" ht="12" customHeight="1" x14ac:dyDescent="0.25">
      <c r="A300" s="2"/>
      <c r="C300" s="7"/>
    </row>
    <row r="301" spans="1:3" ht="12" customHeight="1" x14ac:dyDescent="0.25">
      <c r="A301" s="2"/>
      <c r="C301" s="7"/>
    </row>
    <row r="302" spans="1:3" ht="12" customHeight="1" x14ac:dyDescent="0.25">
      <c r="A302" s="2"/>
      <c r="C302" s="7"/>
    </row>
    <row r="303" spans="1:3" ht="12" customHeight="1" x14ac:dyDescent="0.25">
      <c r="A303" s="2"/>
      <c r="C303" s="7"/>
    </row>
    <row r="304" spans="1:3" ht="12" customHeight="1" x14ac:dyDescent="0.25">
      <c r="A304" s="2"/>
      <c r="C304" s="7"/>
    </row>
    <row r="305" spans="1:3" ht="12" customHeight="1" x14ac:dyDescent="0.25">
      <c r="A305" s="2"/>
      <c r="C305" s="7"/>
    </row>
    <row r="306" spans="1:3" ht="12" customHeight="1" x14ac:dyDescent="0.25">
      <c r="A306" s="2"/>
      <c r="C306" s="7"/>
    </row>
    <row r="307" spans="1:3" ht="12" customHeight="1" x14ac:dyDescent="0.25">
      <c r="A307" s="2"/>
      <c r="C307" s="7"/>
    </row>
    <row r="308" spans="1:3" ht="12" customHeight="1" x14ac:dyDescent="0.25">
      <c r="A308" s="2"/>
      <c r="C308" s="7"/>
    </row>
    <row r="309" spans="1:3" ht="12" customHeight="1" x14ac:dyDescent="0.25">
      <c r="A309" s="2"/>
      <c r="C309" s="7"/>
    </row>
    <row r="310" spans="1:3" ht="12" customHeight="1" x14ac:dyDescent="0.25">
      <c r="A310" s="2"/>
      <c r="C310" s="7"/>
    </row>
    <row r="311" spans="1:3" ht="12" customHeight="1" x14ac:dyDescent="0.25">
      <c r="A311" s="2"/>
      <c r="C311" s="7"/>
    </row>
    <row r="329" spans="1:3" ht="12" customHeight="1" x14ac:dyDescent="0.25">
      <c r="A329" s="2"/>
      <c r="C329" s="7"/>
    </row>
    <row r="330" spans="1:3" ht="12" customHeight="1" x14ac:dyDescent="0.25">
      <c r="A330" s="2"/>
      <c r="C330" s="7"/>
    </row>
    <row r="331" spans="1:3" ht="12" customHeight="1" x14ac:dyDescent="0.25">
      <c r="A331" s="2"/>
      <c r="C331" s="7"/>
    </row>
    <row r="332" spans="1:3" ht="12" customHeight="1" x14ac:dyDescent="0.25">
      <c r="A332" s="2"/>
      <c r="C332" s="7"/>
    </row>
    <row r="333" spans="1:3" ht="12" customHeight="1" x14ac:dyDescent="0.25">
      <c r="A333" s="2"/>
      <c r="C333" s="7"/>
    </row>
    <row r="334" spans="1:3" ht="12" customHeight="1" x14ac:dyDescent="0.25">
      <c r="A334" s="2"/>
      <c r="C334" s="7"/>
    </row>
    <row r="335" spans="1:3" ht="12" customHeight="1" x14ac:dyDescent="0.25">
      <c r="A335" s="2"/>
      <c r="C335" s="7"/>
    </row>
    <row r="336" spans="1:3" ht="12" customHeight="1" x14ac:dyDescent="0.25">
      <c r="A336" s="2"/>
      <c r="C336" s="7"/>
    </row>
    <row r="337" spans="1:3" ht="12" customHeight="1" x14ac:dyDescent="0.25">
      <c r="A337" s="2"/>
      <c r="C337" s="7"/>
    </row>
    <row r="338" spans="1:3" ht="12" customHeight="1" x14ac:dyDescent="0.25">
      <c r="A338" s="2"/>
      <c r="C338" s="7"/>
    </row>
    <row r="339" spans="1:3" ht="12" customHeight="1" x14ac:dyDescent="0.25">
      <c r="A339" s="2"/>
      <c r="C339" s="7"/>
    </row>
    <row r="340" spans="1:3" ht="12" customHeight="1" x14ac:dyDescent="0.25">
      <c r="A340" s="2"/>
      <c r="C340" s="7"/>
    </row>
    <row r="341" spans="1:3" ht="12" customHeight="1" x14ac:dyDescent="0.25">
      <c r="A341" s="2"/>
      <c r="C341" s="7"/>
    </row>
    <row r="342" spans="1:3" ht="12" customHeight="1" x14ac:dyDescent="0.25">
      <c r="A342" s="2"/>
      <c r="C342" s="7"/>
    </row>
    <row r="343" spans="1:3" ht="12" customHeight="1" x14ac:dyDescent="0.25">
      <c r="A343" s="2"/>
      <c r="C343" s="7"/>
    </row>
    <row r="344" spans="1:3" ht="12" customHeight="1" x14ac:dyDescent="0.25">
      <c r="A344" s="2"/>
      <c r="C344" s="7"/>
    </row>
    <row r="345" spans="1:3" ht="12" customHeight="1" x14ac:dyDescent="0.25">
      <c r="A345" s="2"/>
      <c r="C345" s="7"/>
    </row>
    <row r="346" spans="1:3" ht="12" customHeight="1" x14ac:dyDescent="0.25">
      <c r="A346" s="2"/>
      <c r="C346" s="7"/>
    </row>
    <row r="347" spans="1:3" ht="12" customHeight="1" x14ac:dyDescent="0.25">
      <c r="A347" s="2"/>
      <c r="C347" s="7"/>
    </row>
    <row r="348" spans="1:3" ht="12" customHeight="1" x14ac:dyDescent="0.25">
      <c r="A348" s="2"/>
      <c r="C348" s="7"/>
    </row>
    <row r="349" spans="1:3" ht="12" customHeight="1" x14ac:dyDescent="0.25">
      <c r="A349" s="2"/>
      <c r="C349" s="7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Strategies">
    <tabColor theme="0" tint="-0.499984740745262"/>
  </sheetPr>
  <dimension ref="A1:AJ3489"/>
  <sheetViews>
    <sheetView workbookViewId="0">
      <pane xSplit="3" ySplit="1" topLeftCell="E2" activePane="bottomRight" state="frozen"/>
      <selection activeCell="T7" sqref="T7"/>
      <selection pane="topRight" activeCell="T7" sqref="T7"/>
      <selection pane="bottomLeft" activeCell="T7" sqref="T7"/>
      <selection pane="bottomRight" activeCell="E2" sqref="E2"/>
    </sheetView>
  </sheetViews>
  <sheetFormatPr defaultColWidth="9.2851562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2.7109375" hidden="1" customWidth="1"/>
    <col min="5" max="5" width="2.7109375" customWidth="1"/>
    <col min="6" max="6" width="12" customWidth="1"/>
    <col min="7" max="7" width="23.28515625" customWidth="1"/>
    <col min="8" max="8" width="44.28515625" customWidth="1"/>
    <col min="9" max="9" width="70" customWidth="1"/>
    <col min="10" max="10" width="9.140625"/>
    <col min="11" max="11" width="31" customWidth="1"/>
    <col min="12" max="12" width="9.140625"/>
    <col min="13" max="13" width="31" customWidth="1"/>
    <col min="15" max="15" width="31" customWidth="1"/>
    <col min="18" max="18" width="31" customWidth="1"/>
    <col min="20" max="20" width="31" customWidth="1"/>
  </cols>
  <sheetData>
    <row r="1" spans="1:36" s="3" customFormat="1" ht="24.95" customHeight="1" thickBot="1" x14ac:dyDescent="0.3">
      <c r="A1" s="2"/>
      <c r="B1" s="6"/>
      <c r="C1" s="2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</row>
    <row r="2" spans="1:36" ht="12" customHeight="1" thickTop="1" thickBot="1" x14ac:dyDescent="0.3">
      <c r="M2" s="60"/>
      <c r="O2" s="60"/>
      <c r="R2" s="60"/>
      <c r="T2" s="60"/>
    </row>
    <row r="3" spans="1:36" ht="12" customHeight="1" thickBot="1" x14ac:dyDescent="0.3">
      <c r="E3" s="59"/>
      <c r="F3" s="437" t="s">
        <v>433</v>
      </c>
      <c r="G3" s="438"/>
      <c r="H3" s="438"/>
      <c r="I3" s="439"/>
      <c r="K3" s="290" t="s">
        <v>77</v>
      </c>
      <c r="M3" s="290" t="s">
        <v>899</v>
      </c>
      <c r="N3" s="10"/>
      <c r="O3" s="95" t="s">
        <v>900</v>
      </c>
      <c r="R3" s="24" t="s">
        <v>901</v>
      </c>
      <c r="T3" s="95" t="s">
        <v>902</v>
      </c>
    </row>
    <row r="4" spans="1:36" ht="12" customHeight="1" thickBot="1" x14ac:dyDescent="0.3">
      <c r="E4" s="59"/>
      <c r="F4" s="287" t="s">
        <v>420</v>
      </c>
      <c r="G4" s="288" t="s">
        <v>97</v>
      </c>
      <c r="H4" s="289" t="s">
        <v>421</v>
      </c>
      <c r="I4" s="288" t="s">
        <v>431</v>
      </c>
      <c r="K4" s="96" t="s">
        <v>76</v>
      </c>
      <c r="M4" s="96" t="s">
        <v>78</v>
      </c>
      <c r="N4" s="10"/>
      <c r="O4" s="96" t="s">
        <v>78</v>
      </c>
      <c r="R4" s="96" t="s">
        <v>78</v>
      </c>
      <c r="T4" s="96" t="s">
        <v>78</v>
      </c>
    </row>
    <row r="5" spans="1:36" ht="12" customHeight="1" thickBot="1" x14ac:dyDescent="0.3">
      <c r="E5" s="59"/>
      <c r="F5" t="s">
        <v>422</v>
      </c>
      <c r="G5" t="s">
        <v>641</v>
      </c>
      <c r="H5" t="s">
        <v>639</v>
      </c>
      <c r="I5" t="str">
        <f>tblQs[[#This Row],[Indicator]]&amp;": "&amp;tblQs[[#This Row],[HPE]]&amp;" - " &amp; tblQs[[#This Row],[Popn]]</f>
        <v>A: No gastroprotection - NSAIDs in people &gt;65</v>
      </c>
      <c r="K5" s="97">
        <v>2</v>
      </c>
      <c r="M5" s="97">
        <v>10</v>
      </c>
      <c r="N5" s="10"/>
      <c r="O5" s="97">
        <v>13</v>
      </c>
      <c r="R5" s="97">
        <v>9</v>
      </c>
      <c r="T5" s="97">
        <v>12</v>
      </c>
    </row>
    <row r="6" spans="1:36" ht="12" customHeight="1" thickBot="1" x14ac:dyDescent="0.3">
      <c r="E6" s="59"/>
      <c r="F6" t="s">
        <v>423</v>
      </c>
      <c r="G6" t="s">
        <v>641</v>
      </c>
      <c r="H6" t="s">
        <v>640</v>
      </c>
      <c r="I6" t="str">
        <f>tblQs[[#This Row],[Indicator]]&amp;": "&amp;tblQs[[#This Row],[HPE]]&amp;" - " &amp; tblQs[[#This Row],[Popn]]</f>
        <v>B: No gastroprotection - NSAIDs in people with ulcer history</v>
      </c>
      <c r="K6" s="98" t="s">
        <v>75</v>
      </c>
      <c r="M6" s="98" t="s">
        <v>75</v>
      </c>
      <c r="N6" s="10"/>
      <c r="O6" s="98" t="s">
        <v>75</v>
      </c>
      <c r="P6" s="112" t="s">
        <v>582</v>
      </c>
      <c r="R6" s="98" t="s">
        <v>75</v>
      </c>
      <c r="T6" s="98" t="s">
        <v>88</v>
      </c>
    </row>
    <row r="7" spans="1:36" ht="12" customHeight="1" thickBot="1" x14ac:dyDescent="0.3">
      <c r="D7">
        <v>1</v>
      </c>
      <c r="E7" s="59"/>
      <c r="F7" t="s">
        <v>424</v>
      </c>
      <c r="G7" t="s">
        <v>263</v>
      </c>
      <c r="H7" t="s">
        <v>638</v>
      </c>
      <c r="I7" t="str">
        <f>tblQs[[#This Row],[Indicator]]&amp;": "&amp;tblQs[[#This Row],[HPE]]&amp;" - " &amp; tblQs[[#This Row],[Popn]]</f>
        <v>C: NSAIDs - DOAC/warfarin</v>
      </c>
      <c r="K7" s="97" t="s">
        <v>97</v>
      </c>
      <c r="M7" s="97" t="s">
        <v>350</v>
      </c>
      <c r="N7" s="10"/>
      <c r="O7" s="16" t="s">
        <v>350</v>
      </c>
      <c r="P7" s="16" t="s">
        <v>581</v>
      </c>
      <c r="R7" s="16" t="s">
        <v>467</v>
      </c>
      <c r="T7" s="97" t="s">
        <v>107</v>
      </c>
      <c r="AJ7" t="str">
        <f>IF(AI7="", "", AI7&amp;"["&amp;#REF!&amp;"]")</f>
        <v/>
      </c>
    </row>
    <row r="8" spans="1:36" ht="12" customHeight="1" thickBot="1" x14ac:dyDescent="0.3">
      <c r="D8">
        <f>D7+1</f>
        <v>2</v>
      </c>
      <c r="E8" s="59"/>
      <c r="F8" t="s">
        <v>425</v>
      </c>
      <c r="G8" t="s">
        <v>263</v>
      </c>
      <c r="H8" t="s">
        <v>428</v>
      </c>
      <c r="I8" t="str">
        <f>tblQs[[#This Row],[Indicator]]&amp;": "&amp;tblQs[[#This Row],[HPE]]&amp;" - " &amp; tblQs[[#This Row],[Popn]]</f>
        <v>D: NSAIDs - HF</v>
      </c>
      <c r="K8" s="97" t="s">
        <v>96</v>
      </c>
      <c r="M8" s="97" t="s">
        <v>349</v>
      </c>
      <c r="N8" s="10"/>
      <c r="O8" s="16" t="s">
        <v>349</v>
      </c>
      <c r="P8" s="16" t="s">
        <v>580</v>
      </c>
      <c r="R8" s="16" t="s">
        <v>466</v>
      </c>
      <c r="T8" s="16" t="s">
        <v>106</v>
      </c>
      <c r="AJ8" t="str">
        <f>IF(AI8="", "", AI8&amp;"["&amp;#REF!&amp;"]")</f>
        <v/>
      </c>
    </row>
    <row r="9" spans="1:36" ht="12" customHeight="1" thickBot="1" x14ac:dyDescent="0.3">
      <c r="D9">
        <f t="shared" ref="D9:D26" si="0">D8+1</f>
        <v>3</v>
      </c>
      <c r="E9" s="59"/>
      <c r="F9" t="s">
        <v>426</v>
      </c>
      <c r="G9" t="s">
        <v>263</v>
      </c>
      <c r="H9" t="s">
        <v>430</v>
      </c>
      <c r="I9" t="str">
        <f>tblQs[[#This Row],[Indicator]]&amp;": "&amp;tblQs[[#This Row],[HPE]]&amp;" - " &amp; tblQs[[#This Row],[Popn]]</f>
        <v>E: NSAIDs - CKD</v>
      </c>
      <c r="M9" s="97" t="s">
        <v>348</v>
      </c>
      <c r="N9" s="10"/>
      <c r="O9" s="16" t="s">
        <v>348</v>
      </c>
      <c r="P9" s="16" t="s">
        <v>579</v>
      </c>
      <c r="R9" s="16" t="s">
        <v>465</v>
      </c>
      <c r="T9" s="16" t="s">
        <v>98</v>
      </c>
      <c r="AJ9" t="str">
        <f>IF(AI9="", "", AI9&amp;"["&amp;#REF!&amp;"]")</f>
        <v/>
      </c>
    </row>
    <row r="10" spans="1:36" ht="12" customHeight="1" thickBot="1" x14ac:dyDescent="0.3">
      <c r="D10">
        <f t="shared" si="0"/>
        <v>4</v>
      </c>
      <c r="E10" s="59"/>
      <c r="F10" t="s">
        <v>887</v>
      </c>
      <c r="G10" t="s">
        <v>719</v>
      </c>
      <c r="H10" t="str">
        <f>H5</f>
        <v>NSAIDs in people &gt;65</v>
      </c>
      <c r="I10" s="60" t="str">
        <f>tblQs[[#This Row],[Indicator]]&amp;": "&amp;tblQs[[#This Row],[HPE]]</f>
        <v>Expected harm in England: query A</v>
      </c>
      <c r="M10" s="97" t="s">
        <v>347</v>
      </c>
      <c r="N10" s="10"/>
      <c r="O10" s="16" t="s">
        <v>347</v>
      </c>
      <c r="P10" s="16" t="s">
        <v>578</v>
      </c>
      <c r="R10" s="16" t="s">
        <v>464</v>
      </c>
      <c r="T10" s="16" t="s">
        <v>99</v>
      </c>
      <c r="AJ10" t="str">
        <f>IF(AI10="", "", AI10&amp;"["&amp;#REF!&amp;"]")</f>
        <v/>
      </c>
    </row>
    <row r="11" spans="1:36" ht="12" customHeight="1" thickBot="1" x14ac:dyDescent="0.3">
      <c r="D11">
        <f t="shared" si="0"/>
        <v>5</v>
      </c>
      <c r="E11" s="59"/>
      <c r="F11" t="s">
        <v>887</v>
      </c>
      <c r="G11" t="s">
        <v>721</v>
      </c>
      <c r="H11" t="str">
        <f>H6</f>
        <v>NSAIDs in people with ulcer history</v>
      </c>
      <c r="I11" s="60" t="str">
        <f>tblQs[[#This Row],[Indicator]]&amp;": "&amp;tblQs[[#This Row],[HPE]]</f>
        <v>Expected harm in England: query B</v>
      </c>
      <c r="M11" s="97" t="s">
        <v>346</v>
      </c>
      <c r="N11" s="10"/>
      <c r="O11" s="16" t="s">
        <v>346</v>
      </c>
      <c r="P11" s="16" t="s">
        <v>577</v>
      </c>
      <c r="R11" s="16" t="s">
        <v>463</v>
      </c>
      <c r="T11" s="16" t="s">
        <v>100</v>
      </c>
      <c r="AJ11" t="str">
        <f>IF(AI11="", "", AI11&amp;"["&amp;#REF!&amp;"]")</f>
        <v/>
      </c>
    </row>
    <row r="12" spans="1:36" ht="12" customHeight="1" thickBot="1" x14ac:dyDescent="0.3">
      <c r="D12">
        <f t="shared" si="0"/>
        <v>6</v>
      </c>
      <c r="E12" s="59"/>
      <c r="F12" t="s">
        <v>887</v>
      </c>
      <c r="G12" t="s">
        <v>787</v>
      </c>
      <c r="H12" t="str">
        <f>H7</f>
        <v>DOAC/warfarin</v>
      </c>
      <c r="I12" s="60" t="str">
        <f>tblQs[[#This Row],[Indicator]]&amp;": "&amp;tblQs[[#This Row],[HPE]]</f>
        <v>Expected harm in England: query C</v>
      </c>
      <c r="M12" s="97" t="s">
        <v>345</v>
      </c>
      <c r="N12" s="10"/>
      <c r="O12" s="16" t="s">
        <v>345</v>
      </c>
      <c r="P12" s="16" t="s">
        <v>576</v>
      </c>
      <c r="R12" s="16" t="s">
        <v>462</v>
      </c>
      <c r="T12" s="16" t="s">
        <v>101</v>
      </c>
      <c r="AJ12" t="str">
        <f>IF(AI12="", "", AI12&amp;"["&amp;#REF!&amp;"]")</f>
        <v/>
      </c>
    </row>
    <row r="13" spans="1:36" ht="12" customHeight="1" thickBot="1" x14ac:dyDescent="0.3">
      <c r="D13">
        <f t="shared" si="0"/>
        <v>7</v>
      </c>
      <c r="E13" s="59"/>
      <c r="F13" t="s">
        <v>887</v>
      </c>
      <c r="G13" t="s">
        <v>722</v>
      </c>
      <c r="H13" t="str">
        <f>H8</f>
        <v>HF</v>
      </c>
      <c r="I13" s="60" t="str">
        <f>tblQs[[#This Row],[Indicator]]&amp;": "&amp;tblQs[[#This Row],[HPE]]</f>
        <v>Expected harm in England: query D</v>
      </c>
      <c r="M13" s="97" t="s">
        <v>344</v>
      </c>
      <c r="N13" s="10"/>
      <c r="O13" s="16" t="s">
        <v>344</v>
      </c>
      <c r="P13" s="16" t="s">
        <v>575</v>
      </c>
      <c r="R13" s="16" t="s">
        <v>461</v>
      </c>
      <c r="T13" s="16" t="s">
        <v>102</v>
      </c>
      <c r="AJ13" t="str">
        <f>IF(AI13="", "", AI13&amp;"["&amp;#REF!&amp;"]")</f>
        <v/>
      </c>
    </row>
    <row r="14" spans="1:36" ht="12" customHeight="1" thickBot="1" x14ac:dyDescent="0.3">
      <c r="D14">
        <f t="shared" si="0"/>
        <v>8</v>
      </c>
      <c r="E14" s="59"/>
      <c r="F14" t="s">
        <v>887</v>
      </c>
      <c r="G14" t="s">
        <v>788</v>
      </c>
      <c r="H14" t="str">
        <f>H9</f>
        <v>CKD</v>
      </c>
      <c r="I14" s="60" t="str">
        <f>tblQs[[#This Row],[Indicator]]&amp;": "&amp;tblQs[[#This Row],[HPE]]</f>
        <v>Expected harm in England: query E</v>
      </c>
      <c r="M14" s="97" t="s">
        <v>343</v>
      </c>
      <c r="N14" s="10"/>
      <c r="O14" s="16" t="s">
        <v>343</v>
      </c>
      <c r="P14" s="16" t="s">
        <v>574</v>
      </c>
      <c r="R14" s="16" t="s">
        <v>460</v>
      </c>
      <c r="T14" s="16" t="s">
        <v>103</v>
      </c>
      <c r="AJ14" t="str">
        <f>IF(AI14="", "", AI14&amp;"["&amp;#REF!&amp;"]")</f>
        <v/>
      </c>
    </row>
    <row r="15" spans="1:36" ht="12" customHeight="1" thickBot="1" x14ac:dyDescent="0.3">
      <c r="D15">
        <f t="shared" si="0"/>
        <v>9</v>
      </c>
      <c r="E15" s="59"/>
      <c r="F15" t="s">
        <v>887</v>
      </c>
      <c r="G15" t="s">
        <v>720</v>
      </c>
      <c r="H15" t="s">
        <v>720</v>
      </c>
      <c r="I15" s="60" t="str">
        <f>tblQs[[#This Row],[Indicator]]&amp;": "&amp;tblQs[[#This Row],[HPE]]</f>
        <v>Expected harm in England: total</v>
      </c>
      <c r="M15" s="97" t="s">
        <v>342</v>
      </c>
      <c r="N15" s="10"/>
      <c r="O15" s="16" t="s">
        <v>573</v>
      </c>
      <c r="P15" s="16" t="s">
        <v>572</v>
      </c>
      <c r="R15" s="16" t="s">
        <v>34</v>
      </c>
      <c r="T15" s="16" t="s">
        <v>164</v>
      </c>
      <c r="AJ15" t="str">
        <f>IF(AI15="", "", AI15&amp;"["&amp;#REF!&amp;"]")</f>
        <v/>
      </c>
    </row>
    <row r="16" spans="1:36" ht="12" customHeight="1" thickBot="1" x14ac:dyDescent="0.3">
      <c r="D16">
        <f t="shared" si="0"/>
        <v>10</v>
      </c>
      <c r="E16" s="59"/>
      <c r="M16" s="97" t="s">
        <v>34</v>
      </c>
      <c r="N16" s="10"/>
      <c r="O16" s="16" t="s">
        <v>571</v>
      </c>
      <c r="P16" s="16" t="s">
        <v>570</v>
      </c>
      <c r="R16" s="16"/>
      <c r="T16" s="16" t="s">
        <v>165</v>
      </c>
      <c r="AJ16" t="str">
        <f>IF(AI16="", "", AI16&amp;"["&amp;#REF!&amp;"]")</f>
        <v/>
      </c>
    </row>
    <row r="17" spans="4:36" ht="12" customHeight="1" thickBot="1" x14ac:dyDescent="0.3">
      <c r="D17" s="59">
        <f t="shared" si="0"/>
        <v>11</v>
      </c>
      <c r="E17" s="59"/>
      <c r="M17" s="97" t="s">
        <v>341</v>
      </c>
      <c r="N17" s="10"/>
      <c r="O17" s="16" t="s">
        <v>569</v>
      </c>
      <c r="P17" s="16" t="s">
        <v>568</v>
      </c>
      <c r="R17" s="16"/>
      <c r="T17" s="16" t="s">
        <v>104</v>
      </c>
      <c r="AJ17" t="str">
        <f>IF(AI17="", "", AI17&amp;"["&amp;#REF!&amp;"]")</f>
        <v/>
      </c>
    </row>
    <row r="18" spans="4:36" ht="12" customHeight="1" thickBot="1" x14ac:dyDescent="0.3">
      <c r="D18" s="59">
        <f t="shared" si="0"/>
        <v>12</v>
      </c>
      <c r="E18" s="59"/>
      <c r="M18" s="97" t="s">
        <v>340</v>
      </c>
      <c r="N18" s="10"/>
      <c r="O18" s="16" t="s">
        <v>567</v>
      </c>
      <c r="P18" s="16" t="s">
        <v>566</v>
      </c>
      <c r="R18" s="16"/>
      <c r="T18" s="16" t="s">
        <v>105</v>
      </c>
      <c r="AJ18" t="str">
        <f>IF(AI18="", "", AI18&amp;"["&amp;#REF!&amp;"]")</f>
        <v/>
      </c>
    </row>
    <row r="19" spans="4:36" ht="12" customHeight="1" thickBot="1" x14ac:dyDescent="0.3">
      <c r="D19" s="59">
        <f t="shared" si="0"/>
        <v>13</v>
      </c>
      <c r="E19" s="59"/>
      <c r="M19" s="97" t="s">
        <v>339</v>
      </c>
      <c r="N19" s="10"/>
      <c r="O19" s="16" t="s">
        <v>34</v>
      </c>
      <c r="P19" s="16" t="s">
        <v>34</v>
      </c>
      <c r="R19" s="16"/>
      <c r="T19" s="16"/>
      <c r="AJ19" t="str">
        <f>IF(AI19="", "", AI19&amp;"["&amp;#REF!&amp;"]")</f>
        <v/>
      </c>
    </row>
    <row r="20" spans="4:36" ht="12" customHeight="1" thickBot="1" x14ac:dyDescent="0.3">
      <c r="D20" s="59">
        <f t="shared" si="0"/>
        <v>14</v>
      </c>
      <c r="E20" s="59"/>
      <c r="M20" s="97" t="s">
        <v>338</v>
      </c>
      <c r="N20" s="10"/>
      <c r="O20" s="16"/>
      <c r="P20" s="16" t="s">
        <v>428</v>
      </c>
      <c r="R20" s="16"/>
      <c r="T20" s="16"/>
      <c r="AJ20" t="str">
        <f>IF(AI20="", "", AI20&amp;"["&amp;#REF!&amp;"]")</f>
        <v/>
      </c>
    </row>
    <row r="21" spans="4:36" ht="12" customHeight="1" thickBot="1" x14ac:dyDescent="0.3">
      <c r="D21" s="59">
        <f t="shared" si="0"/>
        <v>15</v>
      </c>
      <c r="E21" s="59"/>
      <c r="M21" s="97" t="s">
        <v>337</v>
      </c>
      <c r="N21" s="10"/>
      <c r="O21" s="16"/>
      <c r="P21" s="16" t="str">
        <f>"P."&amp;P20</f>
        <v>P.HF</v>
      </c>
      <c r="R21" s="16"/>
      <c r="T21" s="16"/>
      <c r="AJ21" t="str">
        <f>IF(AI21="", "", AI21&amp;"["&amp;#REF!&amp;"]")</f>
        <v/>
      </c>
    </row>
    <row r="22" spans="4:36" ht="12" customHeight="1" thickBot="1" x14ac:dyDescent="0.3">
      <c r="D22" s="59">
        <f t="shared" si="0"/>
        <v>16</v>
      </c>
      <c r="E22" s="59"/>
      <c r="M22" s="97" t="s">
        <v>336</v>
      </c>
      <c r="N22" s="10"/>
      <c r="O22" s="16"/>
      <c r="P22" s="16" t="s">
        <v>565</v>
      </c>
      <c r="R22" s="16"/>
      <c r="T22" s="16"/>
      <c r="AJ22" t="str">
        <f>IF(AI22="", "", AI22&amp;"["&amp;#REF!&amp;"]")</f>
        <v/>
      </c>
    </row>
    <row r="23" spans="4:36" ht="12" customHeight="1" thickBot="1" x14ac:dyDescent="0.3">
      <c r="D23" s="59">
        <f t="shared" si="0"/>
        <v>17</v>
      </c>
      <c r="E23" s="59"/>
      <c r="M23" s="97" t="s">
        <v>335</v>
      </c>
      <c r="N23" s="10"/>
      <c r="O23" s="16"/>
      <c r="P23" s="16" t="str">
        <f>"P."&amp;P22</f>
        <v>P.PAD</v>
      </c>
      <c r="R23" s="16"/>
      <c r="T23" s="16"/>
      <c r="AJ23" t="str">
        <f>IF(AI23="", "", AI23&amp;"["&amp;#REF!&amp;"]")</f>
        <v/>
      </c>
    </row>
    <row r="24" spans="4:36" ht="12" customHeight="1" thickBot="1" x14ac:dyDescent="0.3">
      <c r="D24" s="59">
        <f t="shared" si="0"/>
        <v>18</v>
      </c>
      <c r="E24" s="59"/>
      <c r="M24" s="97" t="s">
        <v>334</v>
      </c>
      <c r="N24" s="10"/>
      <c r="O24" s="16"/>
      <c r="P24" s="16" t="s">
        <v>564</v>
      </c>
      <c r="R24" s="16"/>
      <c r="T24" s="16"/>
      <c r="AJ24" t="str">
        <f>IF(AI24="", "", AI24&amp;"["&amp;#REF!&amp;"]")</f>
        <v/>
      </c>
    </row>
    <row r="25" spans="4:36" ht="12" customHeight="1" thickBot="1" x14ac:dyDescent="0.3">
      <c r="D25" s="59">
        <f t="shared" si="0"/>
        <v>19</v>
      </c>
      <c r="E25" s="59"/>
      <c r="M25" s="97" t="s">
        <v>333</v>
      </c>
      <c r="N25" s="10"/>
      <c r="O25" s="16"/>
      <c r="P25" s="16" t="s">
        <v>563</v>
      </c>
      <c r="R25" s="16"/>
      <c r="T25" s="16"/>
      <c r="AJ25" t="str">
        <f>IF(AI25="", "", AI25&amp;"["&amp;#REF!&amp;"]")</f>
        <v/>
      </c>
    </row>
    <row r="26" spans="4:36" ht="12" customHeight="1" thickBot="1" x14ac:dyDescent="0.3">
      <c r="D26" s="59">
        <f t="shared" si="0"/>
        <v>20</v>
      </c>
      <c r="E26" s="59"/>
      <c r="M26" s="291" t="s">
        <v>332</v>
      </c>
      <c r="N26" s="10"/>
      <c r="O26" s="16"/>
      <c r="P26" s="16"/>
      <c r="R26" s="16"/>
      <c r="T26" s="16"/>
      <c r="AJ26" t="str">
        <f>IF(AI26="", "", AI26&amp;"["&amp;#REF!&amp;"]")</f>
        <v/>
      </c>
    </row>
    <row r="27" spans="4:36" ht="12" customHeight="1" x14ac:dyDescent="0.25">
      <c r="M27" s="8"/>
      <c r="O27" s="8"/>
      <c r="R27" s="8"/>
      <c r="T27" s="8"/>
      <c r="AJ27" t="str">
        <f>IF(AI27="", "", AI27&amp;"["&amp;#REF!&amp;"]")</f>
        <v/>
      </c>
    </row>
    <row r="28" spans="4:36" ht="12" customHeight="1" x14ac:dyDescent="0.25">
      <c r="M28" s="59"/>
      <c r="O28" s="59"/>
      <c r="R28" s="59"/>
      <c r="T28" s="59"/>
      <c r="AJ28" t="str">
        <f>IF(AI28="", "", AI28&amp;"["&amp;#REF!&amp;"]")</f>
        <v/>
      </c>
    </row>
    <row r="29" spans="4:36" ht="12" customHeight="1" x14ac:dyDescent="0.25">
      <c r="M29" s="59"/>
      <c r="O29" s="59"/>
      <c r="R29" s="59"/>
      <c r="T29" s="59"/>
      <c r="AJ29" t="str">
        <f>IF(AI29="", "", AI29&amp;"["&amp;#REF!&amp;"]")</f>
        <v/>
      </c>
    </row>
    <row r="30" spans="4:36" ht="12" customHeight="1" x14ac:dyDescent="0.25">
      <c r="M30" s="59"/>
      <c r="O30" s="59"/>
      <c r="R30" s="59"/>
      <c r="T30" s="59"/>
      <c r="AJ30" t="str">
        <f>IF(AI30="", "", AI30&amp;"["&amp;#REF!&amp;"]")</f>
        <v/>
      </c>
    </row>
    <row r="31" spans="4:36" ht="12" customHeight="1" x14ac:dyDescent="0.25">
      <c r="M31" s="59"/>
      <c r="O31" s="59"/>
      <c r="R31" s="59"/>
      <c r="T31" s="59"/>
      <c r="AJ31" t="str">
        <f>IF(AI31="", "", AI31&amp;"["&amp;#REF!&amp;"]")</f>
        <v/>
      </c>
    </row>
    <row r="32" spans="4:36" ht="12" customHeight="1" x14ac:dyDescent="0.25">
      <c r="M32" s="59"/>
      <c r="O32" s="59"/>
      <c r="R32" s="59"/>
      <c r="T32" s="59"/>
      <c r="AJ32" t="str">
        <f>IF(AI32="", "", AI32&amp;"["&amp;#REF!&amp;"]")</f>
        <v/>
      </c>
    </row>
    <row r="33" spans="13:36" ht="12" customHeight="1" x14ac:dyDescent="0.25">
      <c r="M33" s="59"/>
      <c r="O33" s="59"/>
      <c r="R33" s="59"/>
      <c r="T33" s="59"/>
      <c r="AJ33" t="str">
        <f>IF(AI33="", "", AI33&amp;"["&amp;#REF!&amp;"]")</f>
        <v/>
      </c>
    </row>
    <row r="34" spans="13:36" ht="12" customHeight="1" x14ac:dyDescent="0.25">
      <c r="M34" s="59"/>
      <c r="O34" s="59"/>
      <c r="R34" s="59"/>
      <c r="T34" s="59"/>
      <c r="AJ34" t="str">
        <f>IF(AI34="", "", AI34&amp;"["&amp;#REF!&amp;"]")</f>
        <v/>
      </c>
    </row>
    <row r="35" spans="13:36" ht="12" customHeight="1" x14ac:dyDescent="0.25">
      <c r="M35" s="59"/>
      <c r="O35" s="59"/>
      <c r="R35" s="59"/>
      <c r="T35" s="59"/>
      <c r="AJ35" t="str">
        <f>IF(AI35="", "", AI35&amp;"["&amp;#REF!&amp;"]")</f>
        <v/>
      </c>
    </row>
    <row r="36" spans="13:36" ht="12" customHeight="1" x14ac:dyDescent="0.25">
      <c r="AJ36" t="str">
        <f>IF(AI36="", "", AI36&amp;"["&amp;#REF!&amp;"]")</f>
        <v/>
      </c>
    </row>
    <row r="37" spans="13:36" ht="12" customHeight="1" x14ac:dyDescent="0.25">
      <c r="AJ37" t="str">
        <f>IF(AI37="", "", AI37&amp;"["&amp;#REF!&amp;"]")</f>
        <v/>
      </c>
    </row>
    <row r="38" spans="13:36" ht="12" customHeight="1" x14ac:dyDescent="0.25">
      <c r="AJ38" t="str">
        <f>IF(AI38="", "", AI38&amp;"["&amp;#REF!&amp;"]")</f>
        <v/>
      </c>
    </row>
    <row r="39" spans="13:36" ht="12" customHeight="1" x14ac:dyDescent="0.25">
      <c r="AJ39" t="str">
        <f>IF(AI39="", "", AI39&amp;"["&amp;#REF!&amp;"]")</f>
        <v/>
      </c>
    </row>
    <row r="40" spans="13:36" ht="12" customHeight="1" x14ac:dyDescent="0.25">
      <c r="AJ40" t="str">
        <f>IF(AI40="", "", AI40&amp;"["&amp;#REF!&amp;"]")</f>
        <v/>
      </c>
    </row>
    <row r="41" spans="13:36" ht="12" customHeight="1" x14ac:dyDescent="0.25">
      <c r="AJ41" t="str">
        <f>IF(AI41="", "", AI41&amp;"["&amp;#REF!&amp;"]")</f>
        <v/>
      </c>
    </row>
    <row r="42" spans="13:36" ht="12" customHeight="1" x14ac:dyDescent="0.25">
      <c r="AJ42" t="str">
        <f>IF(AI42="", "", AI42&amp;"["&amp;#REF!&amp;"]")</f>
        <v/>
      </c>
    </row>
    <row r="43" spans="13:36" ht="12" customHeight="1" x14ac:dyDescent="0.25">
      <c r="AJ43" t="str">
        <f>IF(AI43="", "", AI43&amp;"["&amp;#REF!&amp;"]")</f>
        <v/>
      </c>
    </row>
    <row r="44" spans="13:36" ht="12" customHeight="1" x14ac:dyDescent="0.25">
      <c r="AJ44" t="str">
        <f>IF(AI44="", "", AI44&amp;"["&amp;#REF!&amp;"]")</f>
        <v/>
      </c>
    </row>
    <row r="45" spans="13:36" ht="12" customHeight="1" x14ac:dyDescent="0.25">
      <c r="AJ45" t="str">
        <f>IF(AI45="", "", AI45&amp;"["&amp;#REF!&amp;"]")</f>
        <v/>
      </c>
    </row>
    <row r="46" spans="13:36" ht="12" customHeight="1" x14ac:dyDescent="0.25">
      <c r="AJ46" t="str">
        <f>IF(AI46="", "", AI46&amp;"["&amp;#REF!&amp;"]")</f>
        <v/>
      </c>
    </row>
    <row r="47" spans="13:36" ht="12" customHeight="1" x14ac:dyDescent="0.25">
      <c r="AJ47" t="str">
        <f>IF(AI47="", "", AI47&amp;"["&amp;#REF!&amp;"]")</f>
        <v/>
      </c>
    </row>
    <row r="48" spans="13:36" ht="12" customHeight="1" x14ac:dyDescent="0.25">
      <c r="AJ48" t="str">
        <f>IF(AI48="", "", AI48&amp;"["&amp;#REF!&amp;"]")</f>
        <v/>
      </c>
    </row>
    <row r="49" spans="36:36" ht="12" customHeight="1" x14ac:dyDescent="0.25">
      <c r="AJ49" t="str">
        <f>IF(AI49="", "", AI49&amp;"["&amp;#REF!&amp;"]")</f>
        <v/>
      </c>
    </row>
    <row r="50" spans="36:36" ht="12" customHeight="1" x14ac:dyDescent="0.25">
      <c r="AJ50" t="str">
        <f>IF(AI50="", "", AI50&amp;"["&amp;#REF!&amp;"]")</f>
        <v/>
      </c>
    </row>
    <row r="51" spans="36:36" ht="12" customHeight="1" x14ac:dyDescent="0.25">
      <c r="AJ51" t="str">
        <f>IF(AI51="", "", AI51&amp;"["&amp;#REF!&amp;"]")</f>
        <v/>
      </c>
    </row>
    <row r="52" spans="36:36" ht="12" customHeight="1" x14ac:dyDescent="0.25">
      <c r="AJ52" t="str">
        <f>IF(AI52="", "", AI52&amp;"["&amp;#REF!&amp;"]")</f>
        <v/>
      </c>
    </row>
    <row r="53" spans="36:36" ht="12" customHeight="1" x14ac:dyDescent="0.25">
      <c r="AJ53" t="str">
        <f>IF(AI53="", "", AI53&amp;"["&amp;#REF!&amp;"]")</f>
        <v/>
      </c>
    </row>
    <row r="54" spans="36:36" ht="12" customHeight="1" x14ac:dyDescent="0.25">
      <c r="AJ54" t="str">
        <f>IF(AI54="", "", AI54&amp;"["&amp;#REF!&amp;"]")</f>
        <v/>
      </c>
    </row>
    <row r="55" spans="36:36" ht="12" customHeight="1" x14ac:dyDescent="0.25">
      <c r="AJ55" t="str">
        <f>IF(AI55="", "", AI55&amp;"["&amp;#REF!&amp;"]")</f>
        <v/>
      </c>
    </row>
    <row r="56" spans="36:36" ht="12" customHeight="1" x14ac:dyDescent="0.25">
      <c r="AJ56" t="str">
        <f>IF(AI56="", "", AI56&amp;"["&amp;#REF!&amp;"]")</f>
        <v/>
      </c>
    </row>
    <row r="57" spans="36:36" ht="12" customHeight="1" x14ac:dyDescent="0.25">
      <c r="AJ57" t="str">
        <f>IF(AI57="", "", AI57&amp;"["&amp;#REF!&amp;"]")</f>
        <v/>
      </c>
    </row>
    <row r="58" spans="36:36" ht="12" customHeight="1" x14ac:dyDescent="0.25">
      <c r="AJ58" t="str">
        <f>IF(AI58="", "", AI58&amp;"["&amp;#REF!&amp;"]")</f>
        <v/>
      </c>
    </row>
    <row r="59" spans="36:36" ht="12" customHeight="1" x14ac:dyDescent="0.25">
      <c r="AJ59" t="str">
        <f>IF(AI59="", "", AI59&amp;"["&amp;#REF!&amp;"]")</f>
        <v/>
      </c>
    </row>
    <row r="60" spans="36:36" ht="12" customHeight="1" x14ac:dyDescent="0.25">
      <c r="AJ60" t="str">
        <f>IF(AI60="", "", AI60&amp;"["&amp;#REF!&amp;"]")</f>
        <v/>
      </c>
    </row>
    <row r="61" spans="36:36" ht="12" customHeight="1" x14ac:dyDescent="0.25">
      <c r="AJ61" t="str">
        <f>IF(AI61="", "", AI61&amp;"["&amp;#REF!&amp;"]")</f>
        <v/>
      </c>
    </row>
    <row r="62" spans="36:36" ht="12" customHeight="1" x14ac:dyDescent="0.25">
      <c r="AJ62" t="str">
        <f>IF(AI62="", "", AI62&amp;"["&amp;#REF!&amp;"]")</f>
        <v/>
      </c>
    </row>
    <row r="63" spans="36:36" ht="12" customHeight="1" x14ac:dyDescent="0.25">
      <c r="AJ63" t="str">
        <f>IF(AI63="", "", AI63&amp;"["&amp;#REF!&amp;"]")</f>
        <v/>
      </c>
    </row>
    <row r="64" spans="36:36" ht="12" customHeight="1" x14ac:dyDescent="0.25">
      <c r="AJ64" t="str">
        <f>IF(AI64="", "", AI64&amp;"["&amp;#REF!&amp;"]")</f>
        <v/>
      </c>
    </row>
    <row r="65" spans="36:36" ht="12" customHeight="1" x14ac:dyDescent="0.25">
      <c r="AJ65" t="str">
        <f>IF(AI65="", "", AI65&amp;"["&amp;#REF!&amp;"]")</f>
        <v/>
      </c>
    </row>
    <row r="66" spans="36:36" ht="12" customHeight="1" x14ac:dyDescent="0.25">
      <c r="AJ66" t="str">
        <f>IF(AI66="", "", AI66&amp;"["&amp;#REF!&amp;"]")</f>
        <v/>
      </c>
    </row>
    <row r="67" spans="36:36" ht="12" customHeight="1" x14ac:dyDescent="0.25">
      <c r="AJ67" t="str">
        <f>IF(AI67="", "", AI67&amp;"["&amp;#REF!&amp;"]")</f>
        <v/>
      </c>
    </row>
    <row r="68" spans="36:36" ht="12" customHeight="1" x14ac:dyDescent="0.25">
      <c r="AJ68" t="str">
        <f>IF(AI68="", "", AI68&amp;"["&amp;#REF!&amp;"]")</f>
        <v/>
      </c>
    </row>
    <row r="69" spans="36:36" ht="12" customHeight="1" x14ac:dyDescent="0.25">
      <c r="AJ69" t="str">
        <f>IF(AI69="", "", AI69&amp;"["&amp;#REF!&amp;"]")</f>
        <v/>
      </c>
    </row>
    <row r="70" spans="36:36" ht="12" customHeight="1" x14ac:dyDescent="0.25">
      <c r="AJ70" t="str">
        <f>IF(AI70="", "", AI70&amp;"["&amp;#REF!&amp;"]")</f>
        <v/>
      </c>
    </row>
    <row r="71" spans="36:36" ht="12" customHeight="1" x14ac:dyDescent="0.25">
      <c r="AJ71" t="str">
        <f>IF(AI71="", "", AI71&amp;"["&amp;#REF!&amp;"]")</f>
        <v/>
      </c>
    </row>
    <row r="72" spans="36:36" ht="12" customHeight="1" x14ac:dyDescent="0.25">
      <c r="AJ72" t="str">
        <f>IF(AI72="", "", AI72&amp;"["&amp;#REF!&amp;"]")</f>
        <v/>
      </c>
    </row>
    <row r="73" spans="36:36" ht="12" customHeight="1" x14ac:dyDescent="0.25">
      <c r="AJ73" t="str">
        <f>IF(AI73="", "", AI73&amp;"["&amp;#REF!&amp;"]")</f>
        <v/>
      </c>
    </row>
    <row r="74" spans="36:36" ht="12" customHeight="1" x14ac:dyDescent="0.25">
      <c r="AJ74" t="str">
        <f>IF(AI74="", "", AI74&amp;"["&amp;#REF!&amp;"]")</f>
        <v/>
      </c>
    </row>
    <row r="75" spans="36:36" ht="12" customHeight="1" x14ac:dyDescent="0.25">
      <c r="AJ75" t="str">
        <f>IF(AI75="", "", AI75&amp;"["&amp;#REF!&amp;"]")</f>
        <v/>
      </c>
    </row>
    <row r="76" spans="36:36" ht="12" customHeight="1" x14ac:dyDescent="0.25">
      <c r="AJ76" t="str">
        <f>IF(AI76="", "", AI76&amp;"["&amp;#REF!&amp;"]")</f>
        <v/>
      </c>
    </row>
    <row r="77" spans="36:36" ht="12" customHeight="1" x14ac:dyDescent="0.25">
      <c r="AJ77" t="str">
        <f>IF(AI77="", "", AI77&amp;"["&amp;#REF!&amp;"]")</f>
        <v/>
      </c>
    </row>
    <row r="78" spans="36:36" ht="12" customHeight="1" x14ac:dyDescent="0.25">
      <c r="AJ78" t="str">
        <f>IF(AI78="", "", AI78&amp;"["&amp;#REF!&amp;"]")</f>
        <v/>
      </c>
    </row>
    <row r="79" spans="36:36" ht="12" customHeight="1" x14ac:dyDescent="0.25">
      <c r="AJ79" t="str">
        <f>IF(AI79="", "", AI79&amp;"["&amp;#REF!&amp;"]")</f>
        <v/>
      </c>
    </row>
    <row r="80" spans="36:36" ht="12" customHeight="1" x14ac:dyDescent="0.25">
      <c r="AJ80" t="str">
        <f>IF(AI80="", "", AI80&amp;"["&amp;#REF!&amp;"]")</f>
        <v/>
      </c>
    </row>
    <row r="81" spans="36:36" ht="12" customHeight="1" x14ac:dyDescent="0.25">
      <c r="AJ81" t="str">
        <f>IF(AI81="", "", AI81&amp;"["&amp;#REF!&amp;"]")</f>
        <v/>
      </c>
    </row>
    <row r="82" spans="36:36" ht="12" customHeight="1" x14ac:dyDescent="0.25">
      <c r="AJ82" t="str">
        <f>IF(AI82="", "", AI82&amp;"["&amp;#REF!&amp;"]")</f>
        <v/>
      </c>
    </row>
    <row r="83" spans="36:36" ht="12" customHeight="1" x14ac:dyDescent="0.25">
      <c r="AJ83" t="str">
        <f>IF(AI83="", "", AI83&amp;"["&amp;#REF!&amp;"]")</f>
        <v/>
      </c>
    </row>
    <row r="84" spans="36:36" ht="12" customHeight="1" x14ac:dyDescent="0.25">
      <c r="AJ84" t="str">
        <f>IF(AI84="", "", AI84&amp;"["&amp;#REF!&amp;"]")</f>
        <v/>
      </c>
    </row>
    <row r="85" spans="36:36" ht="12" customHeight="1" x14ac:dyDescent="0.25">
      <c r="AJ85" t="str">
        <f>IF(AI85="", "", AI85&amp;"["&amp;#REF!&amp;"]")</f>
        <v/>
      </c>
    </row>
    <row r="86" spans="36:36" ht="12" customHeight="1" x14ac:dyDescent="0.25">
      <c r="AJ86" t="str">
        <f>IF(AI86="", "", AI86&amp;"["&amp;#REF!&amp;"]")</f>
        <v/>
      </c>
    </row>
    <row r="87" spans="36:36" ht="12" customHeight="1" x14ac:dyDescent="0.25">
      <c r="AJ87" t="str">
        <f>IF(AI87="", "", AI87&amp;"["&amp;#REF!&amp;"]")</f>
        <v/>
      </c>
    </row>
    <row r="88" spans="36:36" ht="12" customHeight="1" x14ac:dyDescent="0.25">
      <c r="AJ88" t="str">
        <f>IF(AI88="", "", AI88&amp;"["&amp;#REF!&amp;"]")</f>
        <v/>
      </c>
    </row>
    <row r="89" spans="36:36" ht="12" customHeight="1" x14ac:dyDescent="0.25">
      <c r="AJ89" t="str">
        <f>IF(AI89="", "", AI89&amp;"["&amp;#REF!&amp;"]")</f>
        <v/>
      </c>
    </row>
    <row r="90" spans="36:36" ht="12" customHeight="1" x14ac:dyDescent="0.25">
      <c r="AJ90" t="str">
        <f>IF(AI90="", "", AI90&amp;"["&amp;#REF!&amp;"]")</f>
        <v/>
      </c>
    </row>
    <row r="91" spans="36:36" ht="12" customHeight="1" x14ac:dyDescent="0.25">
      <c r="AJ91" t="str">
        <f>IF(AI91="", "", AI91&amp;"["&amp;#REF!&amp;"]")</f>
        <v/>
      </c>
    </row>
    <row r="92" spans="36:36" ht="12" customHeight="1" x14ac:dyDescent="0.25">
      <c r="AJ92" t="str">
        <f>IF(AI92="", "", AI92&amp;"["&amp;#REF!&amp;"]")</f>
        <v/>
      </c>
    </row>
    <row r="93" spans="36:36" ht="12" customHeight="1" x14ac:dyDescent="0.25">
      <c r="AJ93" t="str">
        <f>IF(AI93="", "", AI93&amp;"["&amp;#REF!&amp;"]")</f>
        <v/>
      </c>
    </row>
    <row r="94" spans="36:36" ht="12" customHeight="1" x14ac:dyDescent="0.25">
      <c r="AJ94" t="str">
        <f>IF(AI94="", "", AI94&amp;"["&amp;#REF!&amp;"]")</f>
        <v/>
      </c>
    </row>
    <row r="95" spans="36:36" ht="12" customHeight="1" x14ac:dyDescent="0.25">
      <c r="AJ95" t="str">
        <f>IF(AI95="", "", AI95&amp;"["&amp;#REF!&amp;"]")</f>
        <v/>
      </c>
    </row>
    <row r="96" spans="36:36" ht="12" customHeight="1" x14ac:dyDescent="0.25">
      <c r="AJ96" t="str">
        <f>IF(AI96="", "", AI96&amp;"["&amp;#REF!&amp;"]")</f>
        <v/>
      </c>
    </row>
    <row r="97" spans="36:36" ht="12" customHeight="1" x14ac:dyDescent="0.25">
      <c r="AJ97" t="str">
        <f>IF(AI97="", "", AI97&amp;"["&amp;#REF!&amp;"]")</f>
        <v/>
      </c>
    </row>
    <row r="98" spans="36:36" ht="12" customHeight="1" x14ac:dyDescent="0.25">
      <c r="AJ98" t="str">
        <f>IF(AI98="", "", AI98&amp;"["&amp;#REF!&amp;"]")</f>
        <v/>
      </c>
    </row>
    <row r="99" spans="36:36" ht="12" customHeight="1" x14ac:dyDescent="0.25">
      <c r="AJ99" t="str">
        <f>IF(AI99="", "", AI99&amp;"["&amp;#REF!&amp;"]")</f>
        <v/>
      </c>
    </row>
    <row r="100" spans="36:36" ht="12" customHeight="1" x14ac:dyDescent="0.25">
      <c r="AJ100" t="str">
        <f>IF(AI100="", "", AI100&amp;"["&amp;#REF!&amp;"]")</f>
        <v/>
      </c>
    </row>
    <row r="101" spans="36:36" ht="12" customHeight="1" x14ac:dyDescent="0.25">
      <c r="AJ101" t="str">
        <f>IF(AI101="", "", AI101&amp;"["&amp;#REF!&amp;"]")</f>
        <v/>
      </c>
    </row>
    <row r="102" spans="36:36" ht="12" customHeight="1" x14ac:dyDescent="0.25">
      <c r="AJ102" t="str">
        <f>IF(AI102="", "", AI102&amp;"["&amp;#REF!&amp;"]")</f>
        <v/>
      </c>
    </row>
    <row r="103" spans="36:36" ht="12" customHeight="1" x14ac:dyDescent="0.25">
      <c r="AJ103" t="str">
        <f>IF(AI103="", "", AI103&amp;"["&amp;#REF!&amp;"]")</f>
        <v/>
      </c>
    </row>
    <row r="104" spans="36:36" ht="12" customHeight="1" x14ac:dyDescent="0.25">
      <c r="AJ104" t="str">
        <f>IF(AI104="", "", AI104&amp;"["&amp;#REF!&amp;"]")</f>
        <v/>
      </c>
    </row>
    <row r="105" spans="36:36" ht="12" customHeight="1" x14ac:dyDescent="0.25">
      <c r="AJ105" t="str">
        <f>IF(AI105="", "", AI105&amp;"["&amp;#REF!&amp;"]")</f>
        <v/>
      </c>
    </row>
    <row r="106" spans="36:36" ht="12" customHeight="1" x14ac:dyDescent="0.25">
      <c r="AJ106" t="str">
        <f>IF(AI106="", "", AI106&amp;"["&amp;#REF!&amp;"]")</f>
        <v/>
      </c>
    </row>
    <row r="107" spans="36:36" ht="12" customHeight="1" x14ac:dyDescent="0.25">
      <c r="AJ107" t="str">
        <f>IF(AI107="", "", AI107&amp;"["&amp;#REF!&amp;"]")</f>
        <v/>
      </c>
    </row>
    <row r="108" spans="36:36" ht="12" customHeight="1" x14ac:dyDescent="0.25">
      <c r="AJ108" t="str">
        <f>IF(AI108="", "", AI108&amp;"["&amp;#REF!&amp;"]")</f>
        <v/>
      </c>
    </row>
    <row r="109" spans="36:36" ht="12" customHeight="1" x14ac:dyDescent="0.25">
      <c r="AJ109" t="str">
        <f>IF(AI109="", "", AI109&amp;"["&amp;#REF!&amp;"]")</f>
        <v/>
      </c>
    </row>
    <row r="110" spans="36:36" ht="12" customHeight="1" x14ac:dyDescent="0.25">
      <c r="AJ110" t="str">
        <f>IF(AI110="", "", AI110&amp;"["&amp;#REF!&amp;"]")</f>
        <v/>
      </c>
    </row>
    <row r="111" spans="36:36" ht="12" customHeight="1" x14ac:dyDescent="0.25">
      <c r="AJ111" t="str">
        <f>IF(AI111="", "", AI111&amp;"["&amp;#REF!&amp;"]")</f>
        <v/>
      </c>
    </row>
    <row r="112" spans="36:36" ht="12" customHeight="1" x14ac:dyDescent="0.25">
      <c r="AJ112" t="str">
        <f>IF(AI112="", "", AI112&amp;"["&amp;#REF!&amp;"]")</f>
        <v/>
      </c>
    </row>
    <row r="113" spans="36:36" ht="12" customHeight="1" x14ac:dyDescent="0.25">
      <c r="AJ113" t="str">
        <f>IF(AI113="", "", AI113&amp;"["&amp;#REF!&amp;"]")</f>
        <v/>
      </c>
    </row>
    <row r="114" spans="36:36" ht="12" customHeight="1" x14ac:dyDescent="0.25">
      <c r="AJ114" t="str">
        <f>IF(AI114="", "", AI114&amp;"["&amp;#REF!&amp;"]")</f>
        <v/>
      </c>
    </row>
    <row r="115" spans="36:36" ht="12" customHeight="1" x14ac:dyDescent="0.25">
      <c r="AJ115" t="str">
        <f>IF(AI115="", "", AI115&amp;"["&amp;#REF!&amp;"]")</f>
        <v/>
      </c>
    </row>
    <row r="116" spans="36:36" ht="12" customHeight="1" x14ac:dyDescent="0.25">
      <c r="AJ116" t="str">
        <f>IF(AI116="", "", AI116&amp;"["&amp;#REF!&amp;"]")</f>
        <v/>
      </c>
    </row>
    <row r="117" spans="36:36" ht="12" customHeight="1" x14ac:dyDescent="0.25">
      <c r="AJ117" t="str">
        <f>IF(AI117="", "", AI117&amp;"["&amp;#REF!&amp;"]")</f>
        <v/>
      </c>
    </row>
    <row r="118" spans="36:36" ht="12" customHeight="1" x14ac:dyDescent="0.25">
      <c r="AJ118" t="str">
        <f>IF(AI118="", "", AI118&amp;"["&amp;#REF!&amp;"]")</f>
        <v/>
      </c>
    </row>
    <row r="119" spans="36:36" ht="12" customHeight="1" x14ac:dyDescent="0.25">
      <c r="AJ119" t="str">
        <f>IF(AI119="", "", AI119&amp;"["&amp;#REF!&amp;"]")</f>
        <v/>
      </c>
    </row>
    <row r="120" spans="36:36" ht="12" customHeight="1" x14ac:dyDescent="0.25">
      <c r="AJ120" t="str">
        <f>IF(AI120="", "", AI120&amp;"["&amp;#REF!&amp;"]")</f>
        <v/>
      </c>
    </row>
    <row r="121" spans="36:36" ht="12" customHeight="1" x14ac:dyDescent="0.25">
      <c r="AJ121" t="str">
        <f>IF(AI121="", "", AI121&amp;"["&amp;#REF!&amp;"]")</f>
        <v/>
      </c>
    </row>
    <row r="122" spans="36:36" ht="12" customHeight="1" x14ac:dyDescent="0.25">
      <c r="AJ122" t="str">
        <f>IF(AI122="", "", AI122&amp;"["&amp;#REF!&amp;"]")</f>
        <v/>
      </c>
    </row>
    <row r="123" spans="36:36" ht="12" customHeight="1" x14ac:dyDescent="0.25">
      <c r="AJ123" t="str">
        <f>IF(AI123="", "", AI123&amp;"["&amp;#REF!&amp;"]")</f>
        <v/>
      </c>
    </row>
    <row r="124" spans="36:36" ht="12" customHeight="1" x14ac:dyDescent="0.25">
      <c r="AJ124" t="str">
        <f>IF(AI124="", "", AI124&amp;"["&amp;#REF!&amp;"]")</f>
        <v/>
      </c>
    </row>
    <row r="125" spans="36:36" ht="12" customHeight="1" x14ac:dyDescent="0.25">
      <c r="AJ125" t="str">
        <f>IF(AI125="", "", AI125&amp;"["&amp;#REF!&amp;"]")</f>
        <v/>
      </c>
    </row>
    <row r="126" spans="36:36" ht="12" customHeight="1" x14ac:dyDescent="0.25">
      <c r="AJ126" t="str">
        <f>IF(AI126="", "", AI126&amp;"["&amp;#REF!&amp;"]")</f>
        <v/>
      </c>
    </row>
    <row r="127" spans="36:36" ht="12" customHeight="1" x14ac:dyDescent="0.25">
      <c r="AJ127" t="str">
        <f>IF(AI127="", "", AI127&amp;"["&amp;#REF!&amp;"]")</f>
        <v/>
      </c>
    </row>
    <row r="128" spans="36:36" ht="12" customHeight="1" x14ac:dyDescent="0.25">
      <c r="AJ128" t="str">
        <f>IF(AI128="", "", AI128&amp;"["&amp;#REF!&amp;"]")</f>
        <v/>
      </c>
    </row>
    <row r="129" spans="36:36" ht="12" customHeight="1" x14ac:dyDescent="0.25">
      <c r="AJ129" t="str">
        <f>IF(AI129="", "", AI129&amp;"["&amp;#REF!&amp;"]")</f>
        <v/>
      </c>
    </row>
    <row r="130" spans="36:36" ht="12" customHeight="1" x14ac:dyDescent="0.25">
      <c r="AJ130" t="str">
        <f>IF(AI130="", "", AI130&amp;"["&amp;#REF!&amp;"]")</f>
        <v/>
      </c>
    </row>
    <row r="131" spans="36:36" ht="12" customHeight="1" x14ac:dyDescent="0.25">
      <c r="AJ131" t="str">
        <f>IF(AI131="", "", AI131&amp;"["&amp;#REF!&amp;"]")</f>
        <v/>
      </c>
    </row>
    <row r="132" spans="36:36" ht="12" customHeight="1" x14ac:dyDescent="0.25">
      <c r="AJ132" t="str">
        <f>IF(AI132="", "", AI132&amp;"["&amp;#REF!&amp;"]")</f>
        <v/>
      </c>
    </row>
    <row r="133" spans="36:36" ht="12" customHeight="1" x14ac:dyDescent="0.25">
      <c r="AJ133" t="str">
        <f>IF(AI133="", "", AI133&amp;"["&amp;#REF!&amp;"]")</f>
        <v/>
      </c>
    </row>
    <row r="134" spans="36:36" ht="12" customHeight="1" x14ac:dyDescent="0.25">
      <c r="AJ134" t="str">
        <f>IF(AI134="", "", AI134&amp;"["&amp;#REF!&amp;"]")</f>
        <v/>
      </c>
    </row>
    <row r="135" spans="36:36" ht="12" customHeight="1" x14ac:dyDescent="0.25">
      <c r="AJ135" t="str">
        <f>IF(AI135="", "", AI135&amp;"["&amp;#REF!&amp;"]")</f>
        <v/>
      </c>
    </row>
    <row r="136" spans="36:36" ht="12" customHeight="1" x14ac:dyDescent="0.25">
      <c r="AJ136" t="str">
        <f>IF(AI136="", "", AI136&amp;"["&amp;#REF!&amp;"]")</f>
        <v/>
      </c>
    </row>
    <row r="137" spans="36:36" ht="12" customHeight="1" x14ac:dyDescent="0.25">
      <c r="AJ137" t="str">
        <f>IF(AI137="", "", AI137&amp;"["&amp;#REF!&amp;"]")</f>
        <v/>
      </c>
    </row>
    <row r="138" spans="36:36" ht="12" customHeight="1" x14ac:dyDescent="0.25">
      <c r="AJ138" t="str">
        <f>IF(AI138="", "", AI138&amp;"["&amp;#REF!&amp;"]")</f>
        <v/>
      </c>
    </row>
    <row r="139" spans="36:36" ht="12" customHeight="1" x14ac:dyDescent="0.25">
      <c r="AJ139" t="str">
        <f>IF(AI139="", "", AI139&amp;"["&amp;#REF!&amp;"]")</f>
        <v/>
      </c>
    </row>
    <row r="140" spans="36:36" ht="12" customHeight="1" x14ac:dyDescent="0.25">
      <c r="AJ140" t="str">
        <f>IF(AI140="", "", AI140&amp;"["&amp;#REF!&amp;"]")</f>
        <v/>
      </c>
    </row>
    <row r="141" spans="36:36" ht="12" customHeight="1" x14ac:dyDescent="0.25">
      <c r="AJ141" t="str">
        <f>IF(AI141="", "", AI141&amp;"["&amp;#REF!&amp;"]")</f>
        <v/>
      </c>
    </row>
    <row r="142" spans="36:36" ht="12" customHeight="1" x14ac:dyDescent="0.25">
      <c r="AJ142" t="str">
        <f>IF(AI142="", "", AI142&amp;"["&amp;#REF!&amp;"]")</f>
        <v/>
      </c>
    </row>
    <row r="143" spans="36:36" ht="12" customHeight="1" x14ac:dyDescent="0.25">
      <c r="AJ143" t="str">
        <f>IF(AI143="", "", AI143&amp;"["&amp;#REF!&amp;"]")</f>
        <v/>
      </c>
    </row>
    <row r="144" spans="36:36" ht="12" customHeight="1" x14ac:dyDescent="0.25">
      <c r="AJ144" t="str">
        <f>IF(AI144="", "", AI144&amp;"["&amp;#REF!&amp;"]")</f>
        <v/>
      </c>
    </row>
    <row r="145" spans="36:36" ht="12" customHeight="1" x14ac:dyDescent="0.25">
      <c r="AJ145" t="str">
        <f>IF(AI145="", "", AI145&amp;"["&amp;#REF!&amp;"]")</f>
        <v/>
      </c>
    </row>
    <row r="146" spans="36:36" ht="12" customHeight="1" x14ac:dyDescent="0.25">
      <c r="AJ146" t="str">
        <f>IF(AI146="", "", AI146&amp;"["&amp;#REF!&amp;"]")</f>
        <v/>
      </c>
    </row>
    <row r="147" spans="36:36" ht="12" customHeight="1" x14ac:dyDescent="0.25">
      <c r="AJ147" t="str">
        <f>IF(AI147="", "", AI147&amp;"["&amp;#REF!&amp;"]")</f>
        <v/>
      </c>
    </row>
    <row r="148" spans="36:36" ht="12" customHeight="1" x14ac:dyDescent="0.25">
      <c r="AJ148" t="str">
        <f>IF(AI148="", "", AI148&amp;"["&amp;#REF!&amp;"]")</f>
        <v/>
      </c>
    </row>
    <row r="149" spans="36:36" ht="12" customHeight="1" x14ac:dyDescent="0.25">
      <c r="AJ149" t="str">
        <f>IF(AI149="", "", AI149&amp;"["&amp;#REF!&amp;"]")</f>
        <v/>
      </c>
    </row>
    <row r="150" spans="36:36" ht="12" customHeight="1" x14ac:dyDescent="0.25">
      <c r="AJ150" t="str">
        <f>IF(AI150="", "", AI150&amp;"["&amp;#REF!&amp;"]")</f>
        <v/>
      </c>
    </row>
    <row r="151" spans="36:36" ht="12" customHeight="1" x14ac:dyDescent="0.25">
      <c r="AJ151" t="str">
        <f>IF(AI151="", "", AI151&amp;"["&amp;#REF!&amp;"]")</f>
        <v/>
      </c>
    </row>
    <row r="152" spans="36:36" ht="12" customHeight="1" x14ac:dyDescent="0.25">
      <c r="AJ152" t="str">
        <f>IF(AI152="", "", AI152&amp;"["&amp;#REF!&amp;"]")</f>
        <v/>
      </c>
    </row>
    <row r="153" spans="36:36" ht="12" customHeight="1" x14ac:dyDescent="0.25">
      <c r="AJ153" t="str">
        <f>IF(AI153="", "", AI153&amp;"["&amp;#REF!&amp;"]")</f>
        <v/>
      </c>
    </row>
    <row r="154" spans="36:36" ht="12" customHeight="1" x14ac:dyDescent="0.25">
      <c r="AJ154" t="str">
        <f>IF(AI154="", "", AI154&amp;"["&amp;#REF!&amp;"]")</f>
        <v/>
      </c>
    </row>
    <row r="155" spans="36:36" ht="12" customHeight="1" x14ac:dyDescent="0.25">
      <c r="AJ155" t="str">
        <f>IF(AI155="", "", AI155&amp;"["&amp;#REF!&amp;"]")</f>
        <v/>
      </c>
    </row>
    <row r="156" spans="36:36" ht="12" customHeight="1" x14ac:dyDescent="0.25">
      <c r="AJ156" t="str">
        <f>IF(AI156="", "", AI156&amp;"["&amp;#REF!&amp;"]")</f>
        <v/>
      </c>
    </row>
    <row r="157" spans="36:36" ht="12" customHeight="1" x14ac:dyDescent="0.25">
      <c r="AJ157" t="str">
        <f>IF(AI157="", "", AI157&amp;"["&amp;#REF!&amp;"]")</f>
        <v/>
      </c>
    </row>
    <row r="158" spans="36:36" ht="12" customHeight="1" x14ac:dyDescent="0.25">
      <c r="AJ158" t="str">
        <f>IF(AI158="", "", AI158&amp;"["&amp;#REF!&amp;"]")</f>
        <v/>
      </c>
    </row>
    <row r="159" spans="36:36" ht="12" customHeight="1" x14ac:dyDescent="0.25">
      <c r="AJ159" t="str">
        <f>IF(AI159="", "", AI159&amp;"["&amp;#REF!&amp;"]")</f>
        <v/>
      </c>
    </row>
    <row r="160" spans="36:36" ht="12" customHeight="1" x14ac:dyDescent="0.25">
      <c r="AJ160" t="str">
        <f>IF(AI160="", "", AI160&amp;"["&amp;#REF!&amp;"]")</f>
        <v/>
      </c>
    </row>
    <row r="161" spans="36:36" ht="12" customHeight="1" x14ac:dyDescent="0.25">
      <c r="AJ161" t="str">
        <f>IF(AI161="", "", AI161&amp;"["&amp;#REF!&amp;"]")</f>
        <v/>
      </c>
    </row>
    <row r="162" spans="36:36" ht="12" customHeight="1" x14ac:dyDescent="0.25">
      <c r="AJ162" t="str">
        <f>IF(AI162="", "", AI162&amp;"["&amp;#REF!&amp;"]")</f>
        <v/>
      </c>
    </row>
    <row r="163" spans="36:36" ht="12" customHeight="1" x14ac:dyDescent="0.25">
      <c r="AJ163" t="str">
        <f>IF(AI163="", "", AI163&amp;"["&amp;#REF!&amp;"]")</f>
        <v/>
      </c>
    </row>
    <row r="164" spans="36:36" ht="12" customHeight="1" x14ac:dyDescent="0.25">
      <c r="AJ164" t="str">
        <f>IF(AI164="", "", AI164&amp;"["&amp;#REF!&amp;"]")</f>
        <v/>
      </c>
    </row>
    <row r="165" spans="36:36" ht="12" customHeight="1" x14ac:dyDescent="0.25">
      <c r="AJ165" t="str">
        <f>IF(AI165="", "", AI165&amp;"["&amp;#REF!&amp;"]")</f>
        <v/>
      </c>
    </row>
    <row r="166" spans="36:36" ht="12" customHeight="1" x14ac:dyDescent="0.25">
      <c r="AJ166" t="str">
        <f>IF(AI166="", "", AI166&amp;"["&amp;#REF!&amp;"]")</f>
        <v/>
      </c>
    </row>
    <row r="167" spans="36:36" ht="12" customHeight="1" x14ac:dyDescent="0.25">
      <c r="AJ167" t="str">
        <f>IF(AI167="", "", AI167&amp;"["&amp;#REF!&amp;"]")</f>
        <v/>
      </c>
    </row>
    <row r="168" spans="36:36" ht="12" customHeight="1" x14ac:dyDescent="0.25">
      <c r="AJ168" t="str">
        <f>IF(AI168="", "", AI168&amp;"["&amp;#REF!&amp;"]")</f>
        <v/>
      </c>
    </row>
    <row r="169" spans="36:36" ht="12" customHeight="1" x14ac:dyDescent="0.25">
      <c r="AJ169" t="str">
        <f>IF(AI169="", "", AI169&amp;"["&amp;#REF!&amp;"]")</f>
        <v/>
      </c>
    </row>
    <row r="170" spans="36:36" ht="12" customHeight="1" x14ac:dyDescent="0.25">
      <c r="AJ170" t="str">
        <f>IF(AI170="", "", AI170&amp;"["&amp;#REF!&amp;"]")</f>
        <v/>
      </c>
    </row>
    <row r="171" spans="36:36" ht="12" customHeight="1" x14ac:dyDescent="0.25">
      <c r="AJ171" t="str">
        <f>IF(AI171="", "", AI171&amp;"["&amp;#REF!&amp;"]")</f>
        <v/>
      </c>
    </row>
    <row r="172" spans="36:36" ht="12" customHeight="1" x14ac:dyDescent="0.25">
      <c r="AJ172" t="str">
        <f>IF(AI172="", "", AI172&amp;"["&amp;#REF!&amp;"]")</f>
        <v/>
      </c>
    </row>
    <row r="173" spans="36:36" ht="12" customHeight="1" x14ac:dyDescent="0.25">
      <c r="AJ173" t="str">
        <f>IF(AI173="", "", AI173&amp;"["&amp;#REF!&amp;"]")</f>
        <v/>
      </c>
    </row>
    <row r="174" spans="36:36" ht="12" customHeight="1" x14ac:dyDescent="0.25">
      <c r="AJ174" t="str">
        <f>IF(AI174="", "", AI174&amp;"["&amp;#REF!&amp;"]")</f>
        <v/>
      </c>
    </row>
    <row r="175" spans="36:36" ht="12" customHeight="1" x14ac:dyDescent="0.25">
      <c r="AJ175" t="str">
        <f>IF(AI175="", "", AI175&amp;"["&amp;#REF!&amp;"]")</f>
        <v/>
      </c>
    </row>
    <row r="176" spans="36:36" ht="12" customHeight="1" x14ac:dyDescent="0.25">
      <c r="AJ176" t="str">
        <f>IF(AI176="", "", AI176&amp;"["&amp;#REF!&amp;"]")</f>
        <v/>
      </c>
    </row>
    <row r="177" spans="36:36" ht="12" customHeight="1" x14ac:dyDescent="0.25">
      <c r="AJ177" t="str">
        <f>IF(AI177="", "", AI177&amp;"["&amp;#REF!&amp;"]")</f>
        <v/>
      </c>
    </row>
    <row r="178" spans="36:36" ht="12" customHeight="1" x14ac:dyDescent="0.25">
      <c r="AJ178" t="str">
        <f>IF(AI178="", "", AI178&amp;"["&amp;#REF!&amp;"]")</f>
        <v/>
      </c>
    </row>
    <row r="179" spans="36:36" ht="12" customHeight="1" x14ac:dyDescent="0.25">
      <c r="AJ179" t="str">
        <f>IF(AI179="", "", AI179&amp;"["&amp;#REF!&amp;"]")</f>
        <v/>
      </c>
    </row>
    <row r="180" spans="36:36" ht="12" customHeight="1" x14ac:dyDescent="0.25">
      <c r="AJ180" t="str">
        <f>IF(AI180="", "", AI180&amp;"["&amp;#REF!&amp;"]")</f>
        <v/>
      </c>
    </row>
    <row r="181" spans="36:36" ht="12" customHeight="1" x14ac:dyDescent="0.25">
      <c r="AJ181" t="str">
        <f>IF(AI181="", "", AI181&amp;"["&amp;#REF!&amp;"]")</f>
        <v/>
      </c>
    </row>
    <row r="182" spans="36:36" ht="12" customHeight="1" x14ac:dyDescent="0.25">
      <c r="AJ182" t="str">
        <f>IF(AI182="", "", AI182&amp;"["&amp;#REF!&amp;"]")</f>
        <v/>
      </c>
    </row>
    <row r="183" spans="36:36" ht="12" customHeight="1" x14ac:dyDescent="0.25">
      <c r="AJ183" t="str">
        <f>IF(AI183="", "", AI183&amp;"["&amp;#REF!&amp;"]")</f>
        <v/>
      </c>
    </row>
    <row r="184" spans="36:36" ht="12" customHeight="1" x14ac:dyDescent="0.25">
      <c r="AJ184" t="str">
        <f>IF(AI184="", "", AI184&amp;"["&amp;#REF!&amp;"]")</f>
        <v/>
      </c>
    </row>
    <row r="185" spans="36:36" ht="12" customHeight="1" x14ac:dyDescent="0.25">
      <c r="AJ185" t="str">
        <f>IF(AI185="", "", AI185&amp;"["&amp;#REF!&amp;"]")</f>
        <v/>
      </c>
    </row>
    <row r="186" spans="36:36" ht="12" customHeight="1" x14ac:dyDescent="0.25">
      <c r="AJ186" t="str">
        <f>IF(AI186="", "", AI186&amp;"["&amp;#REF!&amp;"]")</f>
        <v/>
      </c>
    </row>
    <row r="187" spans="36:36" ht="12" customHeight="1" x14ac:dyDescent="0.25">
      <c r="AJ187" t="str">
        <f>IF(AI187="", "", AI187&amp;"["&amp;#REF!&amp;"]")</f>
        <v/>
      </c>
    </row>
    <row r="188" spans="36:36" ht="12" customHeight="1" x14ac:dyDescent="0.25">
      <c r="AJ188" t="str">
        <f>IF(AI188="", "", AI188&amp;"["&amp;#REF!&amp;"]")</f>
        <v/>
      </c>
    </row>
    <row r="189" spans="36:36" ht="12" customHeight="1" x14ac:dyDescent="0.25">
      <c r="AJ189" t="str">
        <f>IF(AI189="", "", AI189&amp;"["&amp;#REF!&amp;"]")</f>
        <v/>
      </c>
    </row>
    <row r="190" spans="36:36" ht="12" customHeight="1" x14ac:dyDescent="0.25">
      <c r="AJ190" t="str">
        <f>IF(AI190="", "", AI190&amp;"["&amp;#REF!&amp;"]")</f>
        <v/>
      </c>
    </row>
    <row r="191" spans="36:36" ht="12" customHeight="1" x14ac:dyDescent="0.25">
      <c r="AJ191" t="str">
        <f>IF(AI191="", "", AI191&amp;"["&amp;#REF!&amp;"]")</f>
        <v/>
      </c>
    </row>
    <row r="192" spans="36:36" ht="12" customHeight="1" x14ac:dyDescent="0.25">
      <c r="AJ192" t="str">
        <f>IF(AI192="", "", AI192&amp;"["&amp;#REF!&amp;"]")</f>
        <v/>
      </c>
    </row>
    <row r="193" spans="36:36" ht="12" customHeight="1" x14ac:dyDescent="0.25">
      <c r="AJ193" t="str">
        <f>IF(AI193="", "", AI193&amp;"["&amp;#REF!&amp;"]")</f>
        <v/>
      </c>
    </row>
    <row r="194" spans="36:36" ht="12" customHeight="1" x14ac:dyDescent="0.25">
      <c r="AJ194" t="str">
        <f>IF(AI194="", "", AI194&amp;"["&amp;#REF!&amp;"]")</f>
        <v/>
      </c>
    </row>
    <row r="195" spans="36:36" ht="12" customHeight="1" x14ac:dyDescent="0.25">
      <c r="AJ195" t="str">
        <f>IF(AI195="", "", AI195&amp;"["&amp;#REF!&amp;"]")</f>
        <v/>
      </c>
    </row>
    <row r="196" spans="36:36" ht="12" customHeight="1" x14ac:dyDescent="0.25">
      <c r="AJ196" t="str">
        <f>IF(AI196="", "", AI196&amp;"["&amp;#REF!&amp;"]")</f>
        <v/>
      </c>
    </row>
    <row r="197" spans="36:36" ht="12" customHeight="1" x14ac:dyDescent="0.25">
      <c r="AJ197" t="str">
        <f>IF(AI197="", "", AI197&amp;"["&amp;#REF!&amp;"]")</f>
        <v/>
      </c>
    </row>
    <row r="198" spans="36:36" ht="12" customHeight="1" x14ac:dyDescent="0.25">
      <c r="AJ198" t="str">
        <f>IF(AI198="", "", AI198&amp;"["&amp;#REF!&amp;"]")</f>
        <v/>
      </c>
    </row>
    <row r="199" spans="36:36" ht="12" customHeight="1" x14ac:dyDescent="0.25">
      <c r="AJ199" t="str">
        <f>IF(AI199="", "", AI199&amp;"["&amp;#REF!&amp;"]")</f>
        <v/>
      </c>
    </row>
    <row r="200" spans="36:36" ht="12" customHeight="1" x14ac:dyDescent="0.25">
      <c r="AJ200" t="str">
        <f>IF(AI200="", "", AI200&amp;"["&amp;#REF!&amp;"]")</f>
        <v/>
      </c>
    </row>
    <row r="201" spans="36:36" ht="12" customHeight="1" x14ac:dyDescent="0.25">
      <c r="AJ201" t="str">
        <f>IF(AI201="", "", AI201&amp;"["&amp;#REF!&amp;"]")</f>
        <v/>
      </c>
    </row>
    <row r="202" spans="36:36" ht="12" customHeight="1" x14ac:dyDescent="0.25">
      <c r="AJ202" t="str">
        <f>IF(AI202="", "", AI202&amp;"["&amp;#REF!&amp;"]")</f>
        <v/>
      </c>
    </row>
    <row r="203" spans="36:36" ht="12" customHeight="1" x14ac:dyDescent="0.25">
      <c r="AJ203" t="str">
        <f>IF(AI203="", "", AI203&amp;"["&amp;#REF!&amp;"]")</f>
        <v/>
      </c>
    </row>
    <row r="204" spans="36:36" ht="12" customHeight="1" x14ac:dyDescent="0.25">
      <c r="AJ204" t="str">
        <f>IF(AI204="", "", AI204&amp;"["&amp;#REF!&amp;"]")</f>
        <v/>
      </c>
    </row>
    <row r="205" spans="36:36" ht="12" customHeight="1" x14ac:dyDescent="0.25">
      <c r="AJ205" t="str">
        <f>IF(AI205="", "", AI205&amp;"["&amp;#REF!&amp;"]")</f>
        <v/>
      </c>
    </row>
    <row r="206" spans="36:36" ht="12" customHeight="1" x14ac:dyDescent="0.25">
      <c r="AJ206" t="str">
        <f>IF(AI206="", "", AI206&amp;"["&amp;#REF!&amp;"]")</f>
        <v/>
      </c>
    </row>
    <row r="207" spans="36:36" ht="12" customHeight="1" x14ac:dyDescent="0.25">
      <c r="AJ207" t="str">
        <f>IF(AI207="", "", AI207&amp;"["&amp;#REF!&amp;"]")</f>
        <v/>
      </c>
    </row>
    <row r="208" spans="36:36" ht="12" customHeight="1" x14ac:dyDescent="0.25">
      <c r="AJ208" t="str">
        <f>IF(AI208="", "", AI208&amp;"["&amp;#REF!&amp;"]")</f>
        <v/>
      </c>
    </row>
    <row r="209" spans="36:36" ht="12" customHeight="1" x14ac:dyDescent="0.25">
      <c r="AJ209" t="str">
        <f>IF(AI209="", "", AI209&amp;"["&amp;#REF!&amp;"]")</f>
        <v/>
      </c>
    </row>
    <row r="210" spans="36:36" ht="12" customHeight="1" x14ac:dyDescent="0.25">
      <c r="AJ210" t="str">
        <f>IF(AI210="", "", AI210&amp;"["&amp;#REF!&amp;"]")</f>
        <v/>
      </c>
    </row>
    <row r="211" spans="36:36" ht="12" customHeight="1" x14ac:dyDescent="0.25">
      <c r="AJ211" t="str">
        <f>IF(AI211="", "", AI211&amp;"["&amp;#REF!&amp;"]")</f>
        <v/>
      </c>
    </row>
    <row r="212" spans="36:36" ht="12" customHeight="1" x14ac:dyDescent="0.25">
      <c r="AJ212" t="str">
        <f>IF(AI212="", "", AI212&amp;"["&amp;#REF!&amp;"]")</f>
        <v/>
      </c>
    </row>
    <row r="213" spans="36:36" ht="12" customHeight="1" x14ac:dyDescent="0.25">
      <c r="AJ213" t="str">
        <f>IF(AI213="", "", AI213&amp;"["&amp;#REF!&amp;"]")</f>
        <v/>
      </c>
    </row>
    <row r="214" spans="36:36" ht="12" customHeight="1" x14ac:dyDescent="0.25">
      <c r="AJ214" t="str">
        <f>IF(AI214="", "", AI214&amp;"["&amp;#REF!&amp;"]")</f>
        <v/>
      </c>
    </row>
    <row r="215" spans="36:36" ht="12" customHeight="1" x14ac:dyDescent="0.25">
      <c r="AJ215" t="str">
        <f>IF(AI215="", "", AI215&amp;"["&amp;#REF!&amp;"]")</f>
        <v/>
      </c>
    </row>
    <row r="216" spans="36:36" ht="12" customHeight="1" x14ac:dyDescent="0.25">
      <c r="AJ216" t="str">
        <f>IF(AI216="", "", AI216&amp;"["&amp;#REF!&amp;"]")</f>
        <v/>
      </c>
    </row>
    <row r="217" spans="36:36" ht="12" customHeight="1" x14ac:dyDescent="0.25">
      <c r="AJ217" t="str">
        <f>IF(AI217="", "", AI217&amp;"["&amp;#REF!&amp;"]")</f>
        <v/>
      </c>
    </row>
    <row r="218" spans="36:36" ht="12" customHeight="1" x14ac:dyDescent="0.25">
      <c r="AJ218" t="str">
        <f>IF(AI218="", "", AI218&amp;"["&amp;#REF!&amp;"]")</f>
        <v/>
      </c>
    </row>
    <row r="219" spans="36:36" ht="12" customHeight="1" x14ac:dyDescent="0.25">
      <c r="AJ219" t="str">
        <f>IF(AI219="", "", AI219&amp;"["&amp;#REF!&amp;"]")</f>
        <v/>
      </c>
    </row>
    <row r="220" spans="36:36" ht="12" customHeight="1" x14ac:dyDescent="0.25">
      <c r="AJ220" t="str">
        <f>IF(AI220="", "", AI220&amp;"["&amp;#REF!&amp;"]")</f>
        <v/>
      </c>
    </row>
    <row r="221" spans="36:36" ht="12" customHeight="1" x14ac:dyDescent="0.25">
      <c r="AJ221" t="str">
        <f>IF(AI221="", "", AI221&amp;"["&amp;#REF!&amp;"]")</f>
        <v/>
      </c>
    </row>
    <row r="222" spans="36:36" ht="12" customHeight="1" x14ac:dyDescent="0.25">
      <c r="AJ222" t="str">
        <f>IF(AI222="", "", AI222&amp;"["&amp;#REF!&amp;"]")</f>
        <v/>
      </c>
    </row>
    <row r="223" spans="36:36" ht="12" customHeight="1" x14ac:dyDescent="0.25">
      <c r="AJ223" t="str">
        <f>IF(AI223="", "", AI223&amp;"["&amp;#REF!&amp;"]")</f>
        <v/>
      </c>
    </row>
    <row r="224" spans="36:36" ht="12" customHeight="1" x14ac:dyDescent="0.25">
      <c r="AJ224" t="str">
        <f>IF(AI224="", "", AI224&amp;"["&amp;#REF!&amp;"]")</f>
        <v/>
      </c>
    </row>
    <row r="225" spans="36:36" ht="12" customHeight="1" x14ac:dyDescent="0.25">
      <c r="AJ225" t="str">
        <f>IF(AI225="", "", AI225&amp;"["&amp;#REF!&amp;"]")</f>
        <v/>
      </c>
    </row>
    <row r="226" spans="36:36" ht="12" customHeight="1" x14ac:dyDescent="0.25">
      <c r="AJ226" t="str">
        <f>IF(AI226="", "", AI226&amp;"["&amp;#REF!&amp;"]")</f>
        <v/>
      </c>
    </row>
    <row r="227" spans="36:36" ht="12" customHeight="1" x14ac:dyDescent="0.25">
      <c r="AJ227" t="str">
        <f>IF(AI227="", "", AI227&amp;"["&amp;#REF!&amp;"]")</f>
        <v/>
      </c>
    </row>
    <row r="228" spans="36:36" ht="12" customHeight="1" x14ac:dyDescent="0.25">
      <c r="AJ228" t="str">
        <f>IF(AI228="", "", AI228&amp;"["&amp;#REF!&amp;"]")</f>
        <v/>
      </c>
    </row>
    <row r="229" spans="36:36" ht="12" customHeight="1" x14ac:dyDescent="0.25">
      <c r="AJ229" t="str">
        <f>IF(AI229="", "", AI229&amp;"["&amp;#REF!&amp;"]")</f>
        <v/>
      </c>
    </row>
    <row r="230" spans="36:36" ht="12" customHeight="1" x14ac:dyDescent="0.25">
      <c r="AJ230" t="str">
        <f>IF(AI230="", "", AI230&amp;"["&amp;#REF!&amp;"]")</f>
        <v/>
      </c>
    </row>
    <row r="231" spans="36:36" ht="12" customHeight="1" x14ac:dyDescent="0.25">
      <c r="AJ231" t="str">
        <f>IF(AI231="", "", AI231&amp;"["&amp;#REF!&amp;"]")</f>
        <v/>
      </c>
    </row>
    <row r="232" spans="36:36" ht="12" customHeight="1" x14ac:dyDescent="0.25">
      <c r="AJ232" t="str">
        <f>IF(AI232="", "", AI232&amp;"["&amp;#REF!&amp;"]")</f>
        <v/>
      </c>
    </row>
    <row r="233" spans="36:36" ht="12" customHeight="1" x14ac:dyDescent="0.25">
      <c r="AJ233" t="str">
        <f>IF(AI233="", "", AI233&amp;"["&amp;#REF!&amp;"]")</f>
        <v/>
      </c>
    </row>
    <row r="234" spans="36:36" ht="12" customHeight="1" x14ac:dyDescent="0.25">
      <c r="AJ234" t="str">
        <f>IF(AI234="", "", AI234&amp;"["&amp;#REF!&amp;"]")</f>
        <v/>
      </c>
    </row>
    <row r="235" spans="36:36" ht="12" customHeight="1" x14ac:dyDescent="0.25">
      <c r="AJ235" t="str">
        <f>IF(AI235="", "", AI235&amp;"["&amp;#REF!&amp;"]")</f>
        <v/>
      </c>
    </row>
    <row r="236" spans="36:36" ht="12" customHeight="1" x14ac:dyDescent="0.25">
      <c r="AJ236" t="str">
        <f>IF(AI236="", "", AI236&amp;"["&amp;#REF!&amp;"]")</f>
        <v/>
      </c>
    </row>
    <row r="237" spans="36:36" ht="12" customHeight="1" x14ac:dyDescent="0.25">
      <c r="AJ237" t="str">
        <f>IF(AI237="", "", AI237&amp;"["&amp;#REF!&amp;"]")</f>
        <v/>
      </c>
    </row>
    <row r="238" spans="36:36" ht="12" customHeight="1" x14ac:dyDescent="0.25">
      <c r="AJ238" t="str">
        <f>IF(AI238="", "", AI238&amp;"["&amp;#REF!&amp;"]")</f>
        <v/>
      </c>
    </row>
    <row r="239" spans="36:36" ht="12" customHeight="1" x14ac:dyDescent="0.25">
      <c r="AJ239" t="str">
        <f>IF(AI239="", "", AI239&amp;"["&amp;#REF!&amp;"]")</f>
        <v/>
      </c>
    </row>
    <row r="240" spans="36:36" ht="12" customHeight="1" x14ac:dyDescent="0.25">
      <c r="AJ240" t="str">
        <f>IF(AI240="", "", AI240&amp;"["&amp;#REF!&amp;"]")</f>
        <v/>
      </c>
    </row>
    <row r="241" spans="36:36" ht="12" customHeight="1" x14ac:dyDescent="0.25">
      <c r="AJ241" t="str">
        <f>IF(AI241="", "", AI241&amp;"["&amp;#REF!&amp;"]")</f>
        <v/>
      </c>
    </row>
    <row r="242" spans="36:36" ht="12" customHeight="1" x14ac:dyDescent="0.25">
      <c r="AJ242" t="str">
        <f>IF(AI242="", "", AI242&amp;"["&amp;#REF!&amp;"]")</f>
        <v/>
      </c>
    </row>
    <row r="243" spans="36:36" ht="12" customHeight="1" x14ac:dyDescent="0.25">
      <c r="AJ243" t="str">
        <f>IF(AI243="", "", AI243&amp;"["&amp;#REF!&amp;"]")</f>
        <v/>
      </c>
    </row>
    <row r="244" spans="36:36" ht="12" customHeight="1" x14ac:dyDescent="0.25">
      <c r="AJ244" t="str">
        <f>IF(AI244="", "", AI244&amp;"["&amp;#REF!&amp;"]")</f>
        <v/>
      </c>
    </row>
    <row r="245" spans="36:36" ht="12" customHeight="1" x14ac:dyDescent="0.25">
      <c r="AJ245" t="str">
        <f>IF(AI245="", "", AI245&amp;"["&amp;#REF!&amp;"]")</f>
        <v/>
      </c>
    </row>
    <row r="246" spans="36:36" ht="12" customHeight="1" x14ac:dyDescent="0.25">
      <c r="AJ246" t="str">
        <f>IF(AI246="", "", AI246&amp;"["&amp;#REF!&amp;"]")</f>
        <v/>
      </c>
    </row>
    <row r="247" spans="36:36" ht="12" customHeight="1" x14ac:dyDescent="0.25">
      <c r="AJ247" t="str">
        <f>IF(AI247="", "", AI247&amp;"["&amp;#REF!&amp;"]")</f>
        <v/>
      </c>
    </row>
    <row r="248" spans="36:36" ht="12" customHeight="1" x14ac:dyDescent="0.25">
      <c r="AJ248" t="str">
        <f>IF(AI248="", "", AI248&amp;"["&amp;#REF!&amp;"]")</f>
        <v/>
      </c>
    </row>
    <row r="249" spans="36:36" ht="12" customHeight="1" x14ac:dyDescent="0.25">
      <c r="AJ249" t="str">
        <f>IF(AI249="", "", AI249&amp;"["&amp;#REF!&amp;"]")</f>
        <v/>
      </c>
    </row>
    <row r="250" spans="36:36" ht="12" customHeight="1" x14ac:dyDescent="0.25">
      <c r="AJ250" t="str">
        <f>IF(AI250="", "", AI250&amp;"["&amp;#REF!&amp;"]")</f>
        <v/>
      </c>
    </row>
    <row r="251" spans="36:36" ht="12" customHeight="1" x14ac:dyDescent="0.25">
      <c r="AJ251" t="str">
        <f>IF(AI251="", "", AI251&amp;"["&amp;#REF!&amp;"]")</f>
        <v/>
      </c>
    </row>
    <row r="252" spans="36:36" ht="12" customHeight="1" x14ac:dyDescent="0.25">
      <c r="AJ252" t="str">
        <f>IF(AI252="", "", AI252&amp;"["&amp;#REF!&amp;"]")</f>
        <v/>
      </c>
    </row>
    <row r="253" spans="36:36" ht="12" customHeight="1" x14ac:dyDescent="0.25">
      <c r="AJ253" t="str">
        <f>IF(AI253="", "", AI253&amp;"["&amp;#REF!&amp;"]")</f>
        <v/>
      </c>
    </row>
    <row r="254" spans="36:36" ht="12" customHeight="1" x14ac:dyDescent="0.25">
      <c r="AJ254" t="str">
        <f>IF(AI254="", "", AI254&amp;"["&amp;#REF!&amp;"]")</f>
        <v/>
      </c>
    </row>
    <row r="255" spans="36:36" ht="12" customHeight="1" x14ac:dyDescent="0.25">
      <c r="AJ255" t="str">
        <f>IF(AI255="", "", AI255&amp;"["&amp;#REF!&amp;"]")</f>
        <v/>
      </c>
    </row>
    <row r="256" spans="36:36" ht="12" customHeight="1" x14ac:dyDescent="0.25">
      <c r="AJ256" t="str">
        <f>IF(AI256="", "", AI256&amp;"["&amp;#REF!&amp;"]")</f>
        <v/>
      </c>
    </row>
    <row r="257" spans="36:36" ht="12" customHeight="1" x14ac:dyDescent="0.25">
      <c r="AJ257" t="str">
        <f>IF(AI257="", "", AI257&amp;"["&amp;#REF!&amp;"]")</f>
        <v/>
      </c>
    </row>
    <row r="258" spans="36:36" ht="12" customHeight="1" x14ac:dyDescent="0.25">
      <c r="AJ258" t="str">
        <f>IF(AI258="", "", AI258&amp;"["&amp;#REF!&amp;"]")</f>
        <v/>
      </c>
    </row>
    <row r="259" spans="36:36" ht="12" customHeight="1" x14ac:dyDescent="0.25">
      <c r="AJ259" t="str">
        <f>IF(AI259="", "", AI259&amp;"["&amp;#REF!&amp;"]")</f>
        <v/>
      </c>
    </row>
    <row r="260" spans="36:36" ht="12" customHeight="1" x14ac:dyDescent="0.25">
      <c r="AJ260" t="str">
        <f>IF(AI260="", "", AI260&amp;"["&amp;#REF!&amp;"]")</f>
        <v/>
      </c>
    </row>
    <row r="261" spans="36:36" ht="12" customHeight="1" x14ac:dyDescent="0.25">
      <c r="AJ261" t="str">
        <f>IF(AI261="", "", AI261&amp;"["&amp;#REF!&amp;"]")</f>
        <v/>
      </c>
    </row>
    <row r="262" spans="36:36" ht="12" customHeight="1" x14ac:dyDescent="0.25">
      <c r="AJ262" t="str">
        <f>IF(AI262="", "", AI262&amp;"["&amp;#REF!&amp;"]")</f>
        <v/>
      </c>
    </row>
    <row r="263" spans="36:36" ht="12" customHeight="1" x14ac:dyDescent="0.25">
      <c r="AJ263" t="str">
        <f>IF(AI263="", "", AI263&amp;"["&amp;#REF!&amp;"]")</f>
        <v/>
      </c>
    </row>
    <row r="264" spans="36:36" ht="12" customHeight="1" x14ac:dyDescent="0.25">
      <c r="AJ264" t="str">
        <f>IF(AI264="", "", AI264&amp;"["&amp;#REF!&amp;"]")</f>
        <v/>
      </c>
    </row>
    <row r="265" spans="36:36" ht="12" customHeight="1" x14ac:dyDescent="0.25">
      <c r="AJ265" t="str">
        <f>IF(AI265="", "", AI265&amp;"["&amp;#REF!&amp;"]")</f>
        <v/>
      </c>
    </row>
    <row r="266" spans="36:36" ht="12" customHeight="1" x14ac:dyDescent="0.25">
      <c r="AJ266" t="str">
        <f>IF(AI266="", "", AI266&amp;"["&amp;#REF!&amp;"]")</f>
        <v/>
      </c>
    </row>
    <row r="267" spans="36:36" ht="12" customHeight="1" x14ac:dyDescent="0.25">
      <c r="AJ267" t="str">
        <f>IF(AI267="", "", AI267&amp;"["&amp;#REF!&amp;"]")</f>
        <v/>
      </c>
    </row>
    <row r="268" spans="36:36" ht="12" customHeight="1" x14ac:dyDescent="0.25">
      <c r="AJ268" t="str">
        <f>IF(AI268="", "", AI268&amp;"["&amp;#REF!&amp;"]")</f>
        <v/>
      </c>
    </row>
    <row r="269" spans="36:36" ht="12" customHeight="1" x14ac:dyDescent="0.25">
      <c r="AJ269" t="str">
        <f>IF(AI269="", "", AI269&amp;"["&amp;#REF!&amp;"]")</f>
        <v/>
      </c>
    </row>
    <row r="270" spans="36:36" ht="12" customHeight="1" x14ac:dyDescent="0.25">
      <c r="AJ270" t="str">
        <f>IF(AI270="", "", AI270&amp;"["&amp;#REF!&amp;"]")</f>
        <v/>
      </c>
    </row>
    <row r="271" spans="36:36" ht="12" customHeight="1" x14ac:dyDescent="0.25">
      <c r="AJ271" t="str">
        <f>IF(AI271="", "", AI271&amp;"["&amp;#REF!&amp;"]")</f>
        <v/>
      </c>
    </row>
    <row r="272" spans="36:36" ht="12" customHeight="1" x14ac:dyDescent="0.25">
      <c r="AJ272" t="str">
        <f>IF(AI272="", "", AI272&amp;"["&amp;#REF!&amp;"]")</f>
        <v/>
      </c>
    </row>
    <row r="273" spans="36:36" ht="12" customHeight="1" x14ac:dyDescent="0.25">
      <c r="AJ273" t="str">
        <f>IF(AI273="", "", AI273&amp;"["&amp;#REF!&amp;"]")</f>
        <v/>
      </c>
    </row>
    <row r="274" spans="36:36" ht="12" customHeight="1" x14ac:dyDescent="0.25">
      <c r="AJ274" t="str">
        <f>IF(AI274="", "", AI274&amp;"["&amp;#REF!&amp;"]")</f>
        <v/>
      </c>
    </row>
    <row r="275" spans="36:36" ht="12" customHeight="1" x14ac:dyDescent="0.25">
      <c r="AJ275" t="str">
        <f>IF(AI275="", "", AI275&amp;"["&amp;#REF!&amp;"]")</f>
        <v/>
      </c>
    </row>
    <row r="276" spans="36:36" ht="12" customHeight="1" x14ac:dyDescent="0.25">
      <c r="AJ276" t="str">
        <f>IF(AI276="", "", AI276&amp;"["&amp;#REF!&amp;"]")</f>
        <v/>
      </c>
    </row>
    <row r="277" spans="36:36" ht="12" customHeight="1" x14ac:dyDescent="0.25">
      <c r="AJ277" t="str">
        <f>IF(AI277="", "", AI277&amp;"["&amp;#REF!&amp;"]")</f>
        <v/>
      </c>
    </row>
    <row r="278" spans="36:36" ht="12" customHeight="1" x14ac:dyDescent="0.25">
      <c r="AJ278" t="str">
        <f>IF(AI278="", "", AI278&amp;"["&amp;#REF!&amp;"]")</f>
        <v/>
      </c>
    </row>
    <row r="279" spans="36:36" ht="12" customHeight="1" x14ac:dyDescent="0.25">
      <c r="AJ279" t="str">
        <f>IF(AI279="", "", AI279&amp;"["&amp;#REF!&amp;"]")</f>
        <v/>
      </c>
    </row>
    <row r="280" spans="36:36" ht="12" customHeight="1" x14ac:dyDescent="0.25">
      <c r="AJ280" t="str">
        <f>IF(AI280="", "", AI280&amp;"["&amp;#REF!&amp;"]")</f>
        <v/>
      </c>
    </row>
    <row r="281" spans="36:36" ht="12" customHeight="1" x14ac:dyDescent="0.25">
      <c r="AJ281" t="str">
        <f>IF(AI281="", "", AI281&amp;"["&amp;#REF!&amp;"]")</f>
        <v/>
      </c>
    </row>
    <row r="282" spans="36:36" ht="12" customHeight="1" x14ac:dyDescent="0.25">
      <c r="AJ282" t="str">
        <f>IF(AI282="", "", AI282&amp;"["&amp;#REF!&amp;"]")</f>
        <v/>
      </c>
    </row>
    <row r="283" spans="36:36" ht="12" customHeight="1" x14ac:dyDescent="0.25">
      <c r="AJ283" t="str">
        <f>IF(AI283="", "", AI283&amp;"["&amp;#REF!&amp;"]")</f>
        <v/>
      </c>
    </row>
    <row r="284" spans="36:36" ht="12" customHeight="1" x14ac:dyDescent="0.25">
      <c r="AJ284" t="str">
        <f>IF(AI284="", "", AI284&amp;"["&amp;#REF!&amp;"]")</f>
        <v/>
      </c>
    </row>
    <row r="285" spans="36:36" ht="12" customHeight="1" x14ac:dyDescent="0.25">
      <c r="AJ285" t="str">
        <f>IF(AI285="", "", AI285&amp;"["&amp;#REF!&amp;"]")</f>
        <v/>
      </c>
    </row>
    <row r="286" spans="36:36" ht="12" customHeight="1" x14ac:dyDescent="0.25">
      <c r="AJ286" t="str">
        <f>IF(AI286="", "", AI286&amp;"["&amp;#REF!&amp;"]")</f>
        <v/>
      </c>
    </row>
    <row r="287" spans="36:36" ht="12" customHeight="1" x14ac:dyDescent="0.25">
      <c r="AJ287" t="str">
        <f>IF(AI287="", "", AI287&amp;"["&amp;#REF!&amp;"]")</f>
        <v/>
      </c>
    </row>
    <row r="288" spans="36:36" ht="12" customHeight="1" x14ac:dyDescent="0.25">
      <c r="AJ288" t="str">
        <f>IF(AI288="", "", AI288&amp;"["&amp;#REF!&amp;"]")</f>
        <v/>
      </c>
    </row>
    <row r="289" spans="36:36" ht="12" customHeight="1" x14ac:dyDescent="0.25">
      <c r="AJ289" t="str">
        <f>IF(AI289="", "", AI289&amp;"["&amp;#REF!&amp;"]")</f>
        <v/>
      </c>
    </row>
    <row r="290" spans="36:36" ht="12" customHeight="1" x14ac:dyDescent="0.25">
      <c r="AJ290" t="str">
        <f>IF(AI290="", "", AI290&amp;"["&amp;#REF!&amp;"]")</f>
        <v/>
      </c>
    </row>
    <row r="291" spans="36:36" ht="12" customHeight="1" x14ac:dyDescent="0.25">
      <c r="AJ291" t="str">
        <f>IF(AI291="", "", AI291&amp;"["&amp;#REF!&amp;"]")</f>
        <v/>
      </c>
    </row>
    <row r="292" spans="36:36" ht="12" customHeight="1" x14ac:dyDescent="0.25">
      <c r="AJ292" t="str">
        <f>IF(AI292="", "", AI292&amp;"["&amp;#REF!&amp;"]")</f>
        <v/>
      </c>
    </row>
    <row r="293" spans="36:36" ht="12" customHeight="1" x14ac:dyDescent="0.25">
      <c r="AJ293" t="str">
        <f>IF(AI293="", "", AI293&amp;"["&amp;#REF!&amp;"]")</f>
        <v/>
      </c>
    </row>
    <row r="294" spans="36:36" ht="12" customHeight="1" x14ac:dyDescent="0.25">
      <c r="AJ294" t="str">
        <f>IF(AI294="", "", AI294&amp;"["&amp;#REF!&amp;"]")</f>
        <v/>
      </c>
    </row>
    <row r="295" spans="36:36" ht="12" customHeight="1" x14ac:dyDescent="0.25">
      <c r="AJ295" t="str">
        <f>IF(AI295="", "", AI295&amp;"["&amp;#REF!&amp;"]")</f>
        <v/>
      </c>
    </row>
    <row r="296" spans="36:36" ht="12" customHeight="1" x14ac:dyDescent="0.25">
      <c r="AJ296" t="str">
        <f>IF(AI296="", "", AI296&amp;"["&amp;#REF!&amp;"]")</f>
        <v/>
      </c>
    </row>
    <row r="297" spans="36:36" ht="12" customHeight="1" x14ac:dyDescent="0.25">
      <c r="AJ297" t="str">
        <f>IF(AI297="", "", AI297&amp;"["&amp;#REF!&amp;"]")</f>
        <v/>
      </c>
    </row>
    <row r="298" spans="36:36" ht="12" customHeight="1" x14ac:dyDescent="0.25">
      <c r="AJ298" t="str">
        <f>IF(AI298="", "", AI298&amp;"["&amp;#REF!&amp;"]")</f>
        <v/>
      </c>
    </row>
    <row r="299" spans="36:36" ht="12" customHeight="1" x14ac:dyDescent="0.25">
      <c r="AJ299" t="str">
        <f>IF(AI299="", "", AI299&amp;"["&amp;#REF!&amp;"]")</f>
        <v/>
      </c>
    </row>
    <row r="300" spans="36:36" ht="12" customHeight="1" x14ac:dyDescent="0.25">
      <c r="AJ300" t="str">
        <f>IF(AI300="", "", AI300&amp;"["&amp;#REF!&amp;"]")</f>
        <v/>
      </c>
    </row>
    <row r="301" spans="36:36" ht="12" customHeight="1" x14ac:dyDescent="0.25">
      <c r="AJ301" t="str">
        <f>IF(AI301="", "", AI301&amp;"["&amp;#REF!&amp;"]")</f>
        <v/>
      </c>
    </row>
    <row r="302" spans="36:36" ht="12" customHeight="1" x14ac:dyDescent="0.25">
      <c r="AJ302" t="str">
        <f>IF(AI302="", "", AI302&amp;"["&amp;#REF!&amp;"]")</f>
        <v/>
      </c>
    </row>
    <row r="303" spans="36:36" ht="12" customHeight="1" x14ac:dyDescent="0.25">
      <c r="AJ303" t="str">
        <f>IF(AI303="", "", AI303&amp;"["&amp;#REF!&amp;"]")</f>
        <v/>
      </c>
    </row>
    <row r="304" spans="36:36" ht="12" customHeight="1" x14ac:dyDescent="0.25">
      <c r="AJ304" t="str">
        <f>IF(AI304="", "", AI304&amp;"["&amp;#REF!&amp;"]")</f>
        <v/>
      </c>
    </row>
    <row r="305" spans="36:36" ht="12" customHeight="1" x14ac:dyDescent="0.25">
      <c r="AJ305" t="str">
        <f>IF(AI305="", "", AI305&amp;"["&amp;#REF!&amp;"]")</f>
        <v/>
      </c>
    </row>
    <row r="306" spans="36:36" ht="12" customHeight="1" x14ac:dyDescent="0.25">
      <c r="AJ306" t="str">
        <f>IF(AI306="", "", AI306&amp;"["&amp;#REF!&amp;"]")</f>
        <v/>
      </c>
    </row>
    <row r="307" spans="36:36" ht="12" customHeight="1" x14ac:dyDescent="0.25">
      <c r="AJ307" t="str">
        <f>IF(AI307="", "", AI307&amp;"["&amp;#REF!&amp;"]")</f>
        <v/>
      </c>
    </row>
    <row r="308" spans="36:36" ht="12" customHeight="1" x14ac:dyDescent="0.25">
      <c r="AJ308" t="str">
        <f>IF(AI308="", "", AI308&amp;"["&amp;#REF!&amp;"]")</f>
        <v/>
      </c>
    </row>
    <row r="309" spans="36:36" ht="12" customHeight="1" x14ac:dyDescent="0.25">
      <c r="AJ309" t="str">
        <f>IF(AI309="", "", AI309&amp;"["&amp;#REF!&amp;"]")</f>
        <v/>
      </c>
    </row>
    <row r="310" spans="36:36" ht="12" customHeight="1" x14ac:dyDescent="0.25">
      <c r="AJ310" t="str">
        <f>IF(AI310="", "", AI310&amp;"["&amp;#REF!&amp;"]")</f>
        <v/>
      </c>
    </row>
    <row r="311" spans="36:36" ht="12" customHeight="1" x14ac:dyDescent="0.25">
      <c r="AJ311" t="str">
        <f>IF(AI311="", "", AI311&amp;"["&amp;#REF!&amp;"]")</f>
        <v/>
      </c>
    </row>
    <row r="312" spans="36:36" ht="12" customHeight="1" x14ac:dyDescent="0.25">
      <c r="AJ312" t="str">
        <f>IF(AI312="", "", AI312&amp;"["&amp;#REF!&amp;"]")</f>
        <v/>
      </c>
    </row>
    <row r="313" spans="36:36" ht="12" customHeight="1" x14ac:dyDescent="0.25">
      <c r="AJ313" t="str">
        <f>IF(AI313="", "", AI313&amp;"["&amp;#REF!&amp;"]")</f>
        <v/>
      </c>
    </row>
    <row r="314" spans="36:36" ht="12" customHeight="1" x14ac:dyDescent="0.25">
      <c r="AJ314" t="str">
        <f>IF(AI314="", "", AI314&amp;"["&amp;#REF!&amp;"]")</f>
        <v/>
      </c>
    </row>
    <row r="315" spans="36:36" ht="12" customHeight="1" x14ac:dyDescent="0.25">
      <c r="AJ315" t="str">
        <f>IF(AI315="", "", AI315&amp;"["&amp;#REF!&amp;"]")</f>
        <v/>
      </c>
    </row>
    <row r="316" spans="36:36" ht="12" customHeight="1" x14ac:dyDescent="0.25">
      <c r="AJ316" t="str">
        <f>IF(AI316="", "", AI316&amp;"["&amp;#REF!&amp;"]")</f>
        <v/>
      </c>
    </row>
    <row r="317" spans="36:36" ht="12" customHeight="1" x14ac:dyDescent="0.25">
      <c r="AJ317" t="str">
        <f>IF(AI317="", "", AI317&amp;"["&amp;#REF!&amp;"]")</f>
        <v/>
      </c>
    </row>
    <row r="318" spans="36:36" ht="12" customHeight="1" x14ac:dyDescent="0.25">
      <c r="AJ318" t="str">
        <f>IF(AI318="", "", AI318&amp;"["&amp;#REF!&amp;"]")</f>
        <v/>
      </c>
    </row>
    <row r="319" spans="36:36" ht="12" customHeight="1" x14ac:dyDescent="0.25">
      <c r="AJ319" t="str">
        <f>IF(AI319="", "", AI319&amp;"["&amp;#REF!&amp;"]")</f>
        <v/>
      </c>
    </row>
    <row r="320" spans="36:36" ht="12" customHeight="1" x14ac:dyDescent="0.25">
      <c r="AJ320" t="str">
        <f>IF(AI320="", "", AI320&amp;"["&amp;#REF!&amp;"]")</f>
        <v/>
      </c>
    </row>
    <row r="321" spans="36:36" ht="12" customHeight="1" x14ac:dyDescent="0.25">
      <c r="AJ321" t="str">
        <f>IF(AI321="", "", AI321&amp;"["&amp;#REF!&amp;"]")</f>
        <v/>
      </c>
    </row>
    <row r="322" spans="36:36" ht="12" customHeight="1" x14ac:dyDescent="0.25">
      <c r="AJ322" t="str">
        <f>IF(AI322="", "", AI322&amp;"["&amp;#REF!&amp;"]")</f>
        <v/>
      </c>
    </row>
    <row r="323" spans="36:36" ht="12" customHeight="1" x14ac:dyDescent="0.25">
      <c r="AJ323" t="str">
        <f>IF(AI323="", "", AI323&amp;"["&amp;#REF!&amp;"]")</f>
        <v/>
      </c>
    </row>
    <row r="324" spans="36:36" ht="12" customHeight="1" x14ac:dyDescent="0.25">
      <c r="AJ324" t="str">
        <f>IF(AI324="", "", AI324&amp;"["&amp;#REF!&amp;"]")</f>
        <v/>
      </c>
    </row>
    <row r="325" spans="36:36" ht="12" customHeight="1" x14ac:dyDescent="0.25">
      <c r="AJ325" t="str">
        <f>IF(AI325="", "", AI325&amp;"["&amp;#REF!&amp;"]")</f>
        <v/>
      </c>
    </row>
    <row r="326" spans="36:36" ht="12" customHeight="1" x14ac:dyDescent="0.25">
      <c r="AJ326" t="str">
        <f>IF(AI326="", "", AI326&amp;"["&amp;#REF!&amp;"]")</f>
        <v/>
      </c>
    </row>
    <row r="327" spans="36:36" ht="12" customHeight="1" x14ac:dyDescent="0.25">
      <c r="AJ327" t="str">
        <f>IF(AI327="", "", AI327&amp;"["&amp;#REF!&amp;"]")</f>
        <v/>
      </c>
    </row>
    <row r="328" spans="36:36" ht="12" customHeight="1" x14ac:dyDescent="0.25">
      <c r="AJ328" t="str">
        <f>IF(AI328="", "", AI328&amp;"["&amp;#REF!&amp;"]")</f>
        <v/>
      </c>
    </row>
    <row r="329" spans="36:36" ht="12" customHeight="1" x14ac:dyDescent="0.25">
      <c r="AJ329" t="str">
        <f>IF(AI329="", "", AI329&amp;"["&amp;#REF!&amp;"]")</f>
        <v/>
      </c>
    </row>
    <row r="330" spans="36:36" ht="12" customHeight="1" x14ac:dyDescent="0.25">
      <c r="AJ330" t="str">
        <f>IF(AI330="", "", AI330&amp;"["&amp;#REF!&amp;"]")</f>
        <v/>
      </c>
    </row>
    <row r="331" spans="36:36" ht="12" customHeight="1" x14ac:dyDescent="0.25">
      <c r="AJ331" t="str">
        <f>IF(AI331="", "", AI331&amp;"["&amp;#REF!&amp;"]")</f>
        <v/>
      </c>
    </row>
    <row r="332" spans="36:36" ht="12" customHeight="1" x14ac:dyDescent="0.25">
      <c r="AJ332" t="str">
        <f>IF(AI332="", "", AI332&amp;"["&amp;#REF!&amp;"]")</f>
        <v/>
      </c>
    </row>
    <row r="333" spans="36:36" ht="12" customHeight="1" x14ac:dyDescent="0.25">
      <c r="AJ333" t="str">
        <f>IF(AI333="", "", AI333&amp;"["&amp;#REF!&amp;"]")</f>
        <v/>
      </c>
    </row>
    <row r="334" spans="36:36" ht="12" customHeight="1" x14ac:dyDescent="0.25">
      <c r="AJ334" t="str">
        <f>IF(AI334="", "", AI334&amp;"["&amp;#REF!&amp;"]")</f>
        <v/>
      </c>
    </row>
    <row r="335" spans="36:36" ht="12" customHeight="1" x14ac:dyDescent="0.25">
      <c r="AJ335" t="str">
        <f>IF(AI335="", "", AI335&amp;"["&amp;#REF!&amp;"]")</f>
        <v/>
      </c>
    </row>
    <row r="336" spans="36:36" ht="12" customHeight="1" x14ac:dyDescent="0.25">
      <c r="AJ336" t="str">
        <f>IF(AI336="", "", AI336&amp;"["&amp;#REF!&amp;"]")</f>
        <v/>
      </c>
    </row>
    <row r="337" spans="36:36" ht="12" customHeight="1" x14ac:dyDescent="0.25">
      <c r="AJ337" t="str">
        <f>IF(AI337="", "", AI337&amp;"["&amp;#REF!&amp;"]")</f>
        <v/>
      </c>
    </row>
    <row r="338" spans="36:36" ht="12" customHeight="1" x14ac:dyDescent="0.25">
      <c r="AJ338" t="str">
        <f>IF(AI338="", "", AI338&amp;"["&amp;#REF!&amp;"]")</f>
        <v/>
      </c>
    </row>
    <row r="339" spans="36:36" ht="12" customHeight="1" x14ac:dyDescent="0.25">
      <c r="AJ339" t="str">
        <f>IF(AI339="", "", AI339&amp;"["&amp;#REF!&amp;"]")</f>
        <v/>
      </c>
    </row>
    <row r="340" spans="36:36" ht="12" customHeight="1" x14ac:dyDescent="0.25">
      <c r="AJ340" t="str">
        <f>IF(AI340="", "", AI340&amp;"["&amp;#REF!&amp;"]")</f>
        <v/>
      </c>
    </row>
    <row r="341" spans="36:36" ht="12" customHeight="1" x14ac:dyDescent="0.25">
      <c r="AJ341" t="str">
        <f>IF(AI341="", "", AI341&amp;"["&amp;#REF!&amp;"]")</f>
        <v/>
      </c>
    </row>
    <row r="342" spans="36:36" ht="12" customHeight="1" x14ac:dyDescent="0.25">
      <c r="AJ342" t="str">
        <f>IF(AI342="", "", AI342&amp;"["&amp;#REF!&amp;"]")</f>
        <v/>
      </c>
    </row>
    <row r="343" spans="36:36" ht="12" customHeight="1" x14ac:dyDescent="0.25">
      <c r="AJ343" t="str">
        <f>IF(AI343="", "", AI343&amp;"["&amp;#REF!&amp;"]")</f>
        <v/>
      </c>
    </row>
    <row r="344" spans="36:36" ht="12" customHeight="1" x14ac:dyDescent="0.25">
      <c r="AJ344" t="str">
        <f>IF(AI344="", "", AI344&amp;"["&amp;#REF!&amp;"]")</f>
        <v/>
      </c>
    </row>
    <row r="345" spans="36:36" ht="12" customHeight="1" x14ac:dyDescent="0.25">
      <c r="AJ345" t="str">
        <f>IF(AI345="", "", AI345&amp;"["&amp;#REF!&amp;"]")</f>
        <v/>
      </c>
    </row>
    <row r="346" spans="36:36" ht="12" customHeight="1" x14ac:dyDescent="0.25">
      <c r="AJ346" t="str">
        <f>IF(AI346="", "", AI346&amp;"["&amp;#REF!&amp;"]")</f>
        <v/>
      </c>
    </row>
    <row r="347" spans="36:36" ht="12" customHeight="1" x14ac:dyDescent="0.25">
      <c r="AJ347" t="str">
        <f>IF(AI347="", "", AI347&amp;"["&amp;#REF!&amp;"]")</f>
        <v/>
      </c>
    </row>
    <row r="348" spans="36:36" ht="12" customHeight="1" x14ac:dyDescent="0.25">
      <c r="AJ348" t="str">
        <f>IF(AI348="", "", AI348&amp;"["&amp;#REF!&amp;"]")</f>
        <v/>
      </c>
    </row>
    <row r="349" spans="36:36" ht="12" customHeight="1" x14ac:dyDescent="0.25">
      <c r="AJ349" t="str">
        <f>IF(AI349="", "", AI349&amp;"["&amp;#REF!&amp;"]")</f>
        <v/>
      </c>
    </row>
    <row r="350" spans="36:36" ht="12" customHeight="1" x14ac:dyDescent="0.25">
      <c r="AJ350" t="str">
        <f>IF(AI350="", "", AI350&amp;"["&amp;#REF!&amp;"]")</f>
        <v/>
      </c>
    </row>
    <row r="351" spans="36:36" ht="12" customHeight="1" x14ac:dyDescent="0.25">
      <c r="AJ351" t="str">
        <f>IF(AI351="", "", AI351&amp;"["&amp;#REF!&amp;"]")</f>
        <v/>
      </c>
    </row>
    <row r="352" spans="36:36" ht="12" customHeight="1" x14ac:dyDescent="0.25">
      <c r="AJ352" t="str">
        <f>IF(AI352="", "", AI352&amp;"["&amp;#REF!&amp;"]")</f>
        <v/>
      </c>
    </row>
    <row r="353" spans="36:36" ht="12" customHeight="1" x14ac:dyDescent="0.25">
      <c r="AJ353" t="str">
        <f>IF(AI353="", "", AI353&amp;"["&amp;#REF!&amp;"]")</f>
        <v/>
      </c>
    </row>
    <row r="354" spans="36:36" ht="12" customHeight="1" x14ac:dyDescent="0.25">
      <c r="AJ354" t="str">
        <f>IF(AI354="", "", AI354&amp;"["&amp;#REF!&amp;"]")</f>
        <v/>
      </c>
    </row>
    <row r="355" spans="36:36" ht="12" customHeight="1" x14ac:dyDescent="0.25">
      <c r="AJ355" t="str">
        <f>IF(AI355="", "", AI355&amp;"["&amp;#REF!&amp;"]")</f>
        <v/>
      </c>
    </row>
    <row r="356" spans="36:36" ht="12" customHeight="1" x14ac:dyDescent="0.25">
      <c r="AJ356" t="str">
        <f>IF(AI356="", "", AI356&amp;"["&amp;#REF!&amp;"]")</f>
        <v/>
      </c>
    </row>
    <row r="357" spans="36:36" ht="12" customHeight="1" x14ac:dyDescent="0.25">
      <c r="AJ357" t="str">
        <f>IF(AI357="", "", AI357&amp;"["&amp;#REF!&amp;"]")</f>
        <v/>
      </c>
    </row>
    <row r="358" spans="36:36" ht="12" customHeight="1" x14ac:dyDescent="0.25">
      <c r="AJ358" t="str">
        <f>IF(AI358="", "", AI358&amp;"["&amp;#REF!&amp;"]")</f>
        <v/>
      </c>
    </row>
    <row r="359" spans="36:36" ht="12" customHeight="1" x14ac:dyDescent="0.25">
      <c r="AJ359" t="str">
        <f>IF(AI359="", "", AI359&amp;"["&amp;#REF!&amp;"]")</f>
        <v/>
      </c>
    </row>
    <row r="360" spans="36:36" ht="12" customHeight="1" x14ac:dyDescent="0.25">
      <c r="AJ360" t="str">
        <f>IF(AI360="", "", AI360&amp;"["&amp;#REF!&amp;"]")</f>
        <v/>
      </c>
    </row>
    <row r="361" spans="36:36" ht="12" customHeight="1" x14ac:dyDescent="0.25">
      <c r="AJ361" t="str">
        <f>IF(AI361="", "", AI361&amp;"["&amp;#REF!&amp;"]")</f>
        <v/>
      </c>
    </row>
    <row r="362" spans="36:36" ht="12" customHeight="1" x14ac:dyDescent="0.25">
      <c r="AJ362" t="str">
        <f>IF(AI362="", "", AI362&amp;"["&amp;#REF!&amp;"]")</f>
        <v/>
      </c>
    </row>
    <row r="363" spans="36:36" ht="12" customHeight="1" x14ac:dyDescent="0.25">
      <c r="AJ363" t="str">
        <f>IF(AI363="", "", AI363&amp;"["&amp;#REF!&amp;"]")</f>
        <v/>
      </c>
    </row>
    <row r="364" spans="36:36" ht="12" customHeight="1" x14ac:dyDescent="0.25">
      <c r="AJ364" t="str">
        <f>IF(AI364="", "", AI364&amp;"["&amp;#REF!&amp;"]")</f>
        <v/>
      </c>
    </row>
    <row r="365" spans="36:36" ht="12" customHeight="1" x14ac:dyDescent="0.25">
      <c r="AJ365" t="str">
        <f>IF(AI365="", "", AI365&amp;"["&amp;#REF!&amp;"]")</f>
        <v/>
      </c>
    </row>
    <row r="366" spans="36:36" ht="12" customHeight="1" x14ac:dyDescent="0.25">
      <c r="AJ366" t="str">
        <f>IF(AI366="", "", AI366&amp;"["&amp;#REF!&amp;"]")</f>
        <v/>
      </c>
    </row>
    <row r="367" spans="36:36" ht="12" customHeight="1" x14ac:dyDescent="0.25">
      <c r="AJ367" t="str">
        <f>IF(AI367="", "", AI367&amp;"["&amp;#REF!&amp;"]")</f>
        <v/>
      </c>
    </row>
    <row r="368" spans="36:36" ht="12" customHeight="1" x14ac:dyDescent="0.25">
      <c r="AJ368" t="str">
        <f>IF(AI368="", "", AI368&amp;"["&amp;#REF!&amp;"]")</f>
        <v/>
      </c>
    </row>
    <row r="369" spans="36:36" ht="12" customHeight="1" x14ac:dyDescent="0.25">
      <c r="AJ369" t="str">
        <f>IF(AI369="", "", AI369&amp;"["&amp;#REF!&amp;"]")</f>
        <v/>
      </c>
    </row>
    <row r="370" spans="36:36" ht="12" customHeight="1" x14ac:dyDescent="0.25">
      <c r="AJ370" t="str">
        <f>IF(AI370="", "", AI370&amp;"["&amp;#REF!&amp;"]")</f>
        <v/>
      </c>
    </row>
    <row r="371" spans="36:36" ht="12" customHeight="1" x14ac:dyDescent="0.25">
      <c r="AJ371" t="str">
        <f>IF(AI371="", "", AI371&amp;"["&amp;#REF!&amp;"]")</f>
        <v/>
      </c>
    </row>
    <row r="372" spans="36:36" ht="12" customHeight="1" x14ac:dyDescent="0.25">
      <c r="AJ372" t="str">
        <f>IF(AI372="", "", AI372&amp;"["&amp;#REF!&amp;"]")</f>
        <v/>
      </c>
    </row>
    <row r="373" spans="36:36" ht="12" customHeight="1" x14ac:dyDescent="0.25">
      <c r="AJ373" t="str">
        <f>IF(AI373="", "", AI373&amp;"["&amp;#REF!&amp;"]")</f>
        <v/>
      </c>
    </row>
    <row r="374" spans="36:36" ht="12" customHeight="1" x14ac:dyDescent="0.25">
      <c r="AJ374" t="str">
        <f>IF(AI374="", "", AI374&amp;"["&amp;#REF!&amp;"]")</f>
        <v/>
      </c>
    </row>
    <row r="375" spans="36:36" ht="12" customHeight="1" x14ac:dyDescent="0.25">
      <c r="AJ375" t="str">
        <f>IF(AI375="", "", AI375&amp;"["&amp;#REF!&amp;"]")</f>
        <v/>
      </c>
    </row>
    <row r="376" spans="36:36" ht="12" customHeight="1" x14ac:dyDescent="0.25">
      <c r="AJ376" t="str">
        <f>IF(AI376="", "", AI376&amp;"["&amp;#REF!&amp;"]")</f>
        <v/>
      </c>
    </row>
    <row r="377" spans="36:36" ht="12" customHeight="1" x14ac:dyDescent="0.25">
      <c r="AJ377" t="str">
        <f>IF(AI377="", "", AI377&amp;"["&amp;#REF!&amp;"]")</f>
        <v/>
      </c>
    </row>
    <row r="378" spans="36:36" ht="12" customHeight="1" x14ac:dyDescent="0.25">
      <c r="AJ378" t="str">
        <f>IF(AI378="", "", AI378&amp;"["&amp;#REF!&amp;"]")</f>
        <v/>
      </c>
    </row>
    <row r="379" spans="36:36" ht="12" customHeight="1" x14ac:dyDescent="0.25">
      <c r="AJ379" t="str">
        <f>IF(AI379="", "", AI379&amp;"["&amp;#REF!&amp;"]")</f>
        <v/>
      </c>
    </row>
    <row r="380" spans="36:36" ht="12" customHeight="1" x14ac:dyDescent="0.25">
      <c r="AJ380" t="str">
        <f>IF(AI380="", "", AI380&amp;"["&amp;#REF!&amp;"]")</f>
        <v/>
      </c>
    </row>
    <row r="381" spans="36:36" ht="12" customHeight="1" x14ac:dyDescent="0.25">
      <c r="AJ381" t="str">
        <f>IF(AI381="", "", AI381&amp;"["&amp;#REF!&amp;"]")</f>
        <v/>
      </c>
    </row>
    <row r="382" spans="36:36" ht="12" customHeight="1" x14ac:dyDescent="0.25">
      <c r="AJ382" t="str">
        <f>IF(AI382="", "", AI382&amp;"["&amp;#REF!&amp;"]")</f>
        <v/>
      </c>
    </row>
    <row r="383" spans="36:36" ht="12" customHeight="1" x14ac:dyDescent="0.25">
      <c r="AJ383" t="str">
        <f>IF(AI383="", "", AI383&amp;"["&amp;#REF!&amp;"]")</f>
        <v/>
      </c>
    </row>
    <row r="384" spans="36:36" ht="12" customHeight="1" x14ac:dyDescent="0.25">
      <c r="AJ384" t="str">
        <f>IF(AI384="", "", AI384&amp;"["&amp;#REF!&amp;"]")</f>
        <v/>
      </c>
    </row>
    <row r="385" spans="36:36" ht="12" customHeight="1" x14ac:dyDescent="0.25">
      <c r="AJ385" t="str">
        <f>IF(AI385="", "", AI385&amp;"["&amp;#REF!&amp;"]")</f>
        <v/>
      </c>
    </row>
    <row r="386" spans="36:36" ht="12" customHeight="1" x14ac:dyDescent="0.25">
      <c r="AJ386" t="str">
        <f>IF(AI386="", "", AI386&amp;"["&amp;#REF!&amp;"]")</f>
        <v/>
      </c>
    </row>
    <row r="387" spans="36:36" ht="12" customHeight="1" x14ac:dyDescent="0.25">
      <c r="AJ387" t="str">
        <f>IF(AI387="", "", AI387&amp;"["&amp;#REF!&amp;"]")</f>
        <v/>
      </c>
    </row>
    <row r="388" spans="36:36" ht="12" customHeight="1" x14ac:dyDescent="0.25">
      <c r="AJ388" t="str">
        <f>IF(AI388="", "", AI388&amp;"["&amp;#REF!&amp;"]")</f>
        <v/>
      </c>
    </row>
    <row r="389" spans="36:36" ht="12" customHeight="1" x14ac:dyDescent="0.25">
      <c r="AJ389" t="str">
        <f>IF(AI389="", "", AI389&amp;"["&amp;#REF!&amp;"]")</f>
        <v/>
      </c>
    </row>
    <row r="390" spans="36:36" ht="12" customHeight="1" x14ac:dyDescent="0.25">
      <c r="AJ390" t="str">
        <f>IF(AI390="", "", AI390&amp;"["&amp;#REF!&amp;"]")</f>
        <v/>
      </c>
    </row>
    <row r="391" spans="36:36" ht="12" customHeight="1" x14ac:dyDescent="0.25">
      <c r="AJ391" t="str">
        <f>IF(AI391="", "", AI391&amp;"["&amp;#REF!&amp;"]")</f>
        <v/>
      </c>
    </row>
    <row r="392" spans="36:36" ht="12" customHeight="1" x14ac:dyDescent="0.25">
      <c r="AJ392" t="str">
        <f>IF(AI392="", "", AI392&amp;"["&amp;#REF!&amp;"]")</f>
        <v/>
      </c>
    </row>
    <row r="393" spans="36:36" ht="12" customHeight="1" x14ac:dyDescent="0.25">
      <c r="AJ393" t="str">
        <f>IF(AI393="", "", AI393&amp;"["&amp;#REF!&amp;"]")</f>
        <v/>
      </c>
    </row>
    <row r="394" spans="36:36" ht="12" customHeight="1" x14ac:dyDescent="0.25">
      <c r="AJ394" t="str">
        <f>IF(AI394="", "", AI394&amp;"["&amp;#REF!&amp;"]")</f>
        <v/>
      </c>
    </row>
    <row r="395" spans="36:36" ht="12" customHeight="1" x14ac:dyDescent="0.25">
      <c r="AJ395" t="str">
        <f>IF(AI395="", "", AI395&amp;"["&amp;#REF!&amp;"]")</f>
        <v/>
      </c>
    </row>
    <row r="396" spans="36:36" ht="12" customHeight="1" x14ac:dyDescent="0.25">
      <c r="AJ396" t="str">
        <f>IF(AI396="", "", AI396&amp;"["&amp;#REF!&amp;"]")</f>
        <v/>
      </c>
    </row>
    <row r="397" spans="36:36" ht="12" customHeight="1" x14ac:dyDescent="0.25">
      <c r="AJ397" t="str">
        <f>IF(AI397="", "", AI397&amp;"["&amp;#REF!&amp;"]")</f>
        <v/>
      </c>
    </row>
    <row r="398" spans="36:36" ht="12" customHeight="1" x14ac:dyDescent="0.25">
      <c r="AJ398" t="str">
        <f>IF(AI398="", "", AI398&amp;"["&amp;#REF!&amp;"]")</f>
        <v/>
      </c>
    </row>
    <row r="399" spans="36:36" ht="12" customHeight="1" x14ac:dyDescent="0.25">
      <c r="AJ399" t="str">
        <f>IF(AI399="", "", AI399&amp;"["&amp;#REF!&amp;"]")</f>
        <v/>
      </c>
    </row>
    <row r="400" spans="36:36" ht="12" customHeight="1" x14ac:dyDescent="0.25">
      <c r="AJ400" t="str">
        <f>IF(AI400="", "", AI400&amp;"["&amp;#REF!&amp;"]")</f>
        <v/>
      </c>
    </row>
    <row r="401" spans="36:36" ht="12" customHeight="1" x14ac:dyDescent="0.25">
      <c r="AJ401" t="str">
        <f>IF(AI401="", "", AI401&amp;"["&amp;#REF!&amp;"]")</f>
        <v/>
      </c>
    </row>
    <row r="402" spans="36:36" ht="12" customHeight="1" x14ac:dyDescent="0.25">
      <c r="AJ402" t="str">
        <f>IF(AI402="", "", AI402&amp;"["&amp;#REF!&amp;"]")</f>
        <v/>
      </c>
    </row>
    <row r="403" spans="36:36" ht="12" customHeight="1" x14ac:dyDescent="0.25">
      <c r="AJ403" t="str">
        <f>IF(AI403="", "", AI403&amp;"["&amp;#REF!&amp;"]")</f>
        <v/>
      </c>
    </row>
    <row r="404" spans="36:36" ht="12" customHeight="1" x14ac:dyDescent="0.25">
      <c r="AJ404" t="str">
        <f>IF(AI404="", "", AI404&amp;"["&amp;#REF!&amp;"]")</f>
        <v/>
      </c>
    </row>
    <row r="405" spans="36:36" ht="12" customHeight="1" x14ac:dyDescent="0.25">
      <c r="AJ405" t="str">
        <f>IF(AI405="", "", AI405&amp;"["&amp;#REF!&amp;"]")</f>
        <v/>
      </c>
    </row>
    <row r="406" spans="36:36" ht="12" customHeight="1" x14ac:dyDescent="0.25">
      <c r="AJ406" t="str">
        <f>IF(AI406="", "", AI406&amp;"["&amp;#REF!&amp;"]")</f>
        <v/>
      </c>
    </row>
    <row r="407" spans="36:36" ht="12" customHeight="1" x14ac:dyDescent="0.25">
      <c r="AJ407" t="str">
        <f>IF(AI407="", "", AI407&amp;"["&amp;#REF!&amp;"]")</f>
        <v/>
      </c>
    </row>
    <row r="408" spans="36:36" ht="12" customHeight="1" x14ac:dyDescent="0.25">
      <c r="AJ408" t="str">
        <f>IF(AI408="", "", AI408&amp;"["&amp;#REF!&amp;"]")</f>
        <v/>
      </c>
    </row>
    <row r="409" spans="36:36" ht="12" customHeight="1" x14ac:dyDescent="0.25">
      <c r="AJ409" t="str">
        <f>IF(AI409="", "", AI409&amp;"["&amp;#REF!&amp;"]")</f>
        <v/>
      </c>
    </row>
    <row r="410" spans="36:36" ht="12" customHeight="1" x14ac:dyDescent="0.25">
      <c r="AJ410" t="str">
        <f>IF(AI410="", "", AI410&amp;"["&amp;#REF!&amp;"]")</f>
        <v/>
      </c>
    </row>
    <row r="411" spans="36:36" ht="12" customHeight="1" x14ac:dyDescent="0.25">
      <c r="AJ411" t="str">
        <f>IF(AI411="", "", AI411&amp;"["&amp;#REF!&amp;"]")</f>
        <v/>
      </c>
    </row>
    <row r="412" spans="36:36" ht="12" customHeight="1" x14ac:dyDescent="0.25">
      <c r="AJ412" t="str">
        <f>IF(AI412="", "", AI412&amp;"["&amp;#REF!&amp;"]")</f>
        <v/>
      </c>
    </row>
    <row r="413" spans="36:36" ht="12" customHeight="1" x14ac:dyDescent="0.25">
      <c r="AJ413" t="str">
        <f>IF(AI413="", "", AI413&amp;"["&amp;#REF!&amp;"]")</f>
        <v/>
      </c>
    </row>
    <row r="414" spans="36:36" ht="12" customHeight="1" x14ac:dyDescent="0.25">
      <c r="AJ414" t="str">
        <f>IF(AI414="", "", AI414&amp;"["&amp;#REF!&amp;"]")</f>
        <v/>
      </c>
    </row>
    <row r="415" spans="36:36" ht="12" customHeight="1" x14ac:dyDescent="0.25">
      <c r="AJ415" t="str">
        <f>IF(AI415="", "", AI415&amp;"["&amp;#REF!&amp;"]")</f>
        <v/>
      </c>
    </row>
    <row r="416" spans="36:36" ht="12" customHeight="1" x14ac:dyDescent="0.25">
      <c r="AJ416" t="str">
        <f>IF(AI416="", "", AI416&amp;"["&amp;#REF!&amp;"]")</f>
        <v/>
      </c>
    </row>
    <row r="417" spans="36:36" ht="12" customHeight="1" x14ac:dyDescent="0.25">
      <c r="AJ417" t="str">
        <f>IF(AI417="", "", AI417&amp;"["&amp;#REF!&amp;"]")</f>
        <v/>
      </c>
    </row>
    <row r="418" spans="36:36" ht="12" customHeight="1" x14ac:dyDescent="0.25">
      <c r="AJ418" t="str">
        <f>IF(AI418="", "", AI418&amp;"["&amp;#REF!&amp;"]")</f>
        <v/>
      </c>
    </row>
    <row r="419" spans="36:36" ht="12" customHeight="1" x14ac:dyDescent="0.25">
      <c r="AJ419" t="str">
        <f>IF(AI419="", "", AI419&amp;"["&amp;#REF!&amp;"]")</f>
        <v/>
      </c>
    </row>
    <row r="420" spans="36:36" ht="12" customHeight="1" x14ac:dyDescent="0.25">
      <c r="AJ420" t="str">
        <f>IF(AI420="", "", AI420&amp;"["&amp;#REF!&amp;"]")</f>
        <v/>
      </c>
    </row>
    <row r="421" spans="36:36" ht="12" customHeight="1" x14ac:dyDescent="0.25">
      <c r="AJ421" t="str">
        <f>IF(AI421="", "", AI421&amp;"["&amp;#REF!&amp;"]")</f>
        <v/>
      </c>
    </row>
    <row r="422" spans="36:36" ht="12" customHeight="1" x14ac:dyDescent="0.25">
      <c r="AJ422" t="str">
        <f>IF(AI422="", "", AI422&amp;"["&amp;#REF!&amp;"]")</f>
        <v/>
      </c>
    </row>
    <row r="423" spans="36:36" ht="12" customHeight="1" x14ac:dyDescent="0.25">
      <c r="AJ423" t="str">
        <f>IF(AI423="", "", AI423&amp;"["&amp;#REF!&amp;"]")</f>
        <v/>
      </c>
    </row>
    <row r="424" spans="36:36" ht="12" customHeight="1" x14ac:dyDescent="0.25">
      <c r="AJ424" t="str">
        <f>IF(AI424="", "", AI424&amp;"["&amp;#REF!&amp;"]")</f>
        <v/>
      </c>
    </row>
    <row r="425" spans="36:36" ht="12" customHeight="1" x14ac:dyDescent="0.25">
      <c r="AJ425" t="str">
        <f>IF(AI425="", "", AI425&amp;"["&amp;#REF!&amp;"]")</f>
        <v/>
      </c>
    </row>
    <row r="426" spans="36:36" ht="12" customHeight="1" x14ac:dyDescent="0.25">
      <c r="AJ426" t="str">
        <f>IF(AI426="", "", AI426&amp;"["&amp;#REF!&amp;"]")</f>
        <v/>
      </c>
    </row>
    <row r="427" spans="36:36" ht="12" customHeight="1" x14ac:dyDescent="0.25">
      <c r="AJ427" t="str">
        <f>IF(AI427="", "", AI427&amp;"["&amp;#REF!&amp;"]")</f>
        <v/>
      </c>
    </row>
    <row r="428" spans="36:36" ht="12" customHeight="1" x14ac:dyDescent="0.25">
      <c r="AJ428" t="str">
        <f>IF(AI428="", "", AI428&amp;"["&amp;#REF!&amp;"]")</f>
        <v/>
      </c>
    </row>
    <row r="429" spans="36:36" ht="12" customHeight="1" x14ac:dyDescent="0.25">
      <c r="AJ429" t="str">
        <f>IF(AI429="", "", AI429&amp;"["&amp;#REF!&amp;"]")</f>
        <v/>
      </c>
    </row>
    <row r="430" spans="36:36" ht="12" customHeight="1" x14ac:dyDescent="0.25">
      <c r="AJ430" t="str">
        <f>IF(AI430="", "", AI430&amp;"["&amp;#REF!&amp;"]")</f>
        <v/>
      </c>
    </row>
    <row r="431" spans="36:36" ht="12" customHeight="1" x14ac:dyDescent="0.25">
      <c r="AJ431" t="str">
        <f>IF(AI431="", "", AI431&amp;"["&amp;#REF!&amp;"]")</f>
        <v/>
      </c>
    </row>
    <row r="432" spans="36:36" ht="12" customHeight="1" x14ac:dyDescent="0.25">
      <c r="AJ432" t="str">
        <f>IF(AI432="", "", AI432&amp;"["&amp;#REF!&amp;"]")</f>
        <v/>
      </c>
    </row>
    <row r="433" spans="36:36" ht="12" customHeight="1" x14ac:dyDescent="0.25">
      <c r="AJ433" t="str">
        <f>IF(AI433="", "", AI433&amp;"["&amp;#REF!&amp;"]")</f>
        <v/>
      </c>
    </row>
    <row r="434" spans="36:36" ht="12" customHeight="1" x14ac:dyDescent="0.25">
      <c r="AJ434" t="str">
        <f>IF(AI434="", "", AI434&amp;"["&amp;#REF!&amp;"]")</f>
        <v/>
      </c>
    </row>
    <row r="435" spans="36:36" ht="12" customHeight="1" x14ac:dyDescent="0.25">
      <c r="AJ435" t="str">
        <f>IF(AI435="", "", AI435&amp;"["&amp;#REF!&amp;"]")</f>
        <v/>
      </c>
    </row>
    <row r="436" spans="36:36" ht="12" customHeight="1" x14ac:dyDescent="0.25">
      <c r="AJ436" t="str">
        <f>IF(AI436="", "", AI436&amp;"["&amp;#REF!&amp;"]")</f>
        <v/>
      </c>
    </row>
    <row r="437" spans="36:36" ht="12" customHeight="1" x14ac:dyDescent="0.25">
      <c r="AJ437" t="str">
        <f>IF(AI437="", "", AI437&amp;"["&amp;#REF!&amp;"]")</f>
        <v/>
      </c>
    </row>
    <row r="438" spans="36:36" ht="12" customHeight="1" x14ac:dyDescent="0.25">
      <c r="AJ438" t="str">
        <f>IF(AI438="", "", AI438&amp;"["&amp;#REF!&amp;"]")</f>
        <v/>
      </c>
    </row>
    <row r="439" spans="36:36" ht="12" customHeight="1" x14ac:dyDescent="0.25">
      <c r="AJ439" t="str">
        <f>IF(AI439="", "", AI439&amp;"["&amp;#REF!&amp;"]")</f>
        <v/>
      </c>
    </row>
    <row r="440" spans="36:36" ht="12" customHeight="1" x14ac:dyDescent="0.25">
      <c r="AJ440" t="str">
        <f>IF(AI440="", "", AI440&amp;"["&amp;#REF!&amp;"]")</f>
        <v/>
      </c>
    </row>
    <row r="441" spans="36:36" ht="12" customHeight="1" x14ac:dyDescent="0.25">
      <c r="AJ441" t="str">
        <f>IF(AI441="", "", AI441&amp;"["&amp;#REF!&amp;"]")</f>
        <v/>
      </c>
    </row>
    <row r="442" spans="36:36" ht="12" customHeight="1" x14ac:dyDescent="0.25">
      <c r="AJ442" t="str">
        <f>IF(AI442="", "", AI442&amp;"["&amp;#REF!&amp;"]")</f>
        <v/>
      </c>
    </row>
    <row r="443" spans="36:36" ht="12" customHeight="1" x14ac:dyDescent="0.25">
      <c r="AJ443" t="str">
        <f>IF(AI443="", "", AI443&amp;"["&amp;#REF!&amp;"]")</f>
        <v/>
      </c>
    </row>
    <row r="444" spans="36:36" ht="12" customHeight="1" x14ac:dyDescent="0.25">
      <c r="AJ444" t="str">
        <f>IF(AI444="", "", AI444&amp;"["&amp;#REF!&amp;"]")</f>
        <v/>
      </c>
    </row>
    <row r="445" spans="36:36" ht="12" customHeight="1" x14ac:dyDescent="0.25">
      <c r="AJ445" t="str">
        <f>IF(AI445="", "", AI445&amp;"["&amp;#REF!&amp;"]")</f>
        <v/>
      </c>
    </row>
    <row r="446" spans="36:36" ht="12" customHeight="1" x14ac:dyDescent="0.25">
      <c r="AJ446" t="str">
        <f>IF(AI446="", "", AI446&amp;"["&amp;#REF!&amp;"]")</f>
        <v/>
      </c>
    </row>
    <row r="447" spans="36:36" ht="12" customHeight="1" x14ac:dyDescent="0.25">
      <c r="AJ447" t="str">
        <f>IF(AI447="", "", AI447&amp;"["&amp;#REF!&amp;"]")</f>
        <v/>
      </c>
    </row>
    <row r="448" spans="36:36" ht="12" customHeight="1" x14ac:dyDescent="0.25">
      <c r="AJ448" t="str">
        <f>IF(AI448="", "", AI448&amp;"["&amp;#REF!&amp;"]")</f>
        <v/>
      </c>
    </row>
    <row r="449" spans="36:36" ht="12" customHeight="1" x14ac:dyDescent="0.25">
      <c r="AJ449" t="str">
        <f>IF(AI449="", "", AI449&amp;"["&amp;#REF!&amp;"]")</f>
        <v/>
      </c>
    </row>
    <row r="450" spans="36:36" ht="12" customHeight="1" x14ac:dyDescent="0.25">
      <c r="AJ450" t="str">
        <f>IF(AI450="", "", AI450&amp;"["&amp;#REF!&amp;"]")</f>
        <v/>
      </c>
    </row>
    <row r="451" spans="36:36" ht="12" customHeight="1" x14ac:dyDescent="0.25">
      <c r="AJ451" t="str">
        <f>IF(AI451="", "", AI451&amp;"["&amp;#REF!&amp;"]")</f>
        <v/>
      </c>
    </row>
    <row r="452" spans="36:36" ht="12" customHeight="1" x14ac:dyDescent="0.25">
      <c r="AJ452" t="str">
        <f>IF(AI452="", "", AI452&amp;"["&amp;#REF!&amp;"]")</f>
        <v/>
      </c>
    </row>
    <row r="453" spans="36:36" ht="12" customHeight="1" x14ac:dyDescent="0.25">
      <c r="AJ453" t="str">
        <f>IF(AI453="", "", AI453&amp;"["&amp;#REF!&amp;"]")</f>
        <v/>
      </c>
    </row>
    <row r="454" spans="36:36" ht="12" customHeight="1" x14ac:dyDescent="0.25">
      <c r="AJ454" t="str">
        <f>IF(AI454="", "", AI454&amp;"["&amp;#REF!&amp;"]")</f>
        <v/>
      </c>
    </row>
    <row r="455" spans="36:36" ht="12" customHeight="1" x14ac:dyDescent="0.25">
      <c r="AJ455" t="str">
        <f>IF(AI455="", "", AI455&amp;"["&amp;#REF!&amp;"]")</f>
        <v/>
      </c>
    </row>
    <row r="456" spans="36:36" ht="12" customHeight="1" x14ac:dyDescent="0.25">
      <c r="AJ456" t="str">
        <f>IF(AI456="", "", AI456&amp;"["&amp;#REF!&amp;"]")</f>
        <v/>
      </c>
    </row>
    <row r="457" spans="36:36" ht="12" customHeight="1" x14ac:dyDescent="0.25">
      <c r="AJ457" t="str">
        <f>IF(AI457="", "", AI457&amp;"["&amp;#REF!&amp;"]")</f>
        <v/>
      </c>
    </row>
    <row r="458" spans="36:36" ht="12" customHeight="1" x14ac:dyDescent="0.25">
      <c r="AJ458" t="str">
        <f>IF(AI458="", "", AI458&amp;"["&amp;#REF!&amp;"]")</f>
        <v/>
      </c>
    </row>
    <row r="459" spans="36:36" ht="12" customHeight="1" x14ac:dyDescent="0.25">
      <c r="AJ459" t="str">
        <f>IF(AI459="", "", AI459&amp;"["&amp;#REF!&amp;"]")</f>
        <v/>
      </c>
    </row>
    <row r="460" spans="36:36" ht="12" customHeight="1" x14ac:dyDescent="0.25">
      <c r="AJ460" t="str">
        <f>IF(AI460="", "", AI460&amp;"["&amp;#REF!&amp;"]")</f>
        <v/>
      </c>
    </row>
    <row r="461" spans="36:36" ht="12" customHeight="1" x14ac:dyDescent="0.25">
      <c r="AJ461" t="str">
        <f>IF(AI461="", "", AI461&amp;"["&amp;#REF!&amp;"]")</f>
        <v/>
      </c>
    </row>
    <row r="462" spans="36:36" ht="12" customHeight="1" x14ac:dyDescent="0.25">
      <c r="AJ462" t="str">
        <f>IF(AI462="", "", AI462&amp;"["&amp;#REF!&amp;"]")</f>
        <v/>
      </c>
    </row>
    <row r="463" spans="36:36" ht="12" customHeight="1" x14ac:dyDescent="0.25">
      <c r="AJ463" t="str">
        <f>IF(AI463="", "", AI463&amp;"["&amp;#REF!&amp;"]")</f>
        <v/>
      </c>
    </row>
    <row r="464" spans="36:36" ht="12" customHeight="1" x14ac:dyDescent="0.25">
      <c r="AJ464" t="str">
        <f>IF(AI464="", "", AI464&amp;"["&amp;#REF!&amp;"]")</f>
        <v/>
      </c>
    </row>
    <row r="465" spans="36:36" ht="12" customHeight="1" x14ac:dyDescent="0.25">
      <c r="AJ465" t="str">
        <f>IF(AI465="", "", AI465&amp;"["&amp;#REF!&amp;"]")</f>
        <v/>
      </c>
    </row>
    <row r="466" spans="36:36" ht="12" customHeight="1" x14ac:dyDescent="0.25">
      <c r="AJ466" t="str">
        <f>IF(AI466="", "", AI466&amp;"["&amp;#REF!&amp;"]")</f>
        <v/>
      </c>
    </row>
    <row r="467" spans="36:36" ht="12" customHeight="1" x14ac:dyDescent="0.25">
      <c r="AJ467" t="str">
        <f>IF(AI467="", "", AI467&amp;"["&amp;#REF!&amp;"]")</f>
        <v/>
      </c>
    </row>
    <row r="468" spans="36:36" ht="12" customHeight="1" x14ac:dyDescent="0.25">
      <c r="AJ468" t="str">
        <f>IF(AI468="", "", AI468&amp;"["&amp;#REF!&amp;"]")</f>
        <v/>
      </c>
    </row>
    <row r="469" spans="36:36" ht="12" customHeight="1" x14ac:dyDescent="0.25">
      <c r="AJ469" t="str">
        <f>IF(AI469="", "", AI469&amp;"["&amp;#REF!&amp;"]")</f>
        <v/>
      </c>
    </row>
    <row r="470" spans="36:36" ht="12" customHeight="1" x14ac:dyDescent="0.25">
      <c r="AJ470" t="str">
        <f>IF(AI470="", "", AI470&amp;"["&amp;#REF!&amp;"]")</f>
        <v/>
      </c>
    </row>
    <row r="471" spans="36:36" ht="12" customHeight="1" x14ac:dyDescent="0.25">
      <c r="AJ471" t="str">
        <f>IF(AI471="", "", AI471&amp;"["&amp;#REF!&amp;"]")</f>
        <v/>
      </c>
    </row>
    <row r="472" spans="36:36" ht="12" customHeight="1" x14ac:dyDescent="0.25">
      <c r="AJ472" t="str">
        <f>IF(AI472="", "", AI472&amp;"["&amp;#REF!&amp;"]")</f>
        <v/>
      </c>
    </row>
    <row r="473" spans="36:36" ht="12" customHeight="1" x14ac:dyDescent="0.25">
      <c r="AJ473" t="str">
        <f>IF(AI473="", "", AI473&amp;"["&amp;#REF!&amp;"]")</f>
        <v/>
      </c>
    </row>
    <row r="474" spans="36:36" ht="12" customHeight="1" x14ac:dyDescent="0.25">
      <c r="AJ474" t="str">
        <f>IF(AI474="", "", AI474&amp;"["&amp;#REF!&amp;"]")</f>
        <v/>
      </c>
    </row>
    <row r="475" spans="36:36" ht="12" customHeight="1" x14ac:dyDescent="0.25">
      <c r="AJ475" t="str">
        <f>IF(AI475="", "", AI475&amp;"["&amp;#REF!&amp;"]")</f>
        <v/>
      </c>
    </row>
    <row r="476" spans="36:36" ht="12" customHeight="1" x14ac:dyDescent="0.25">
      <c r="AJ476" t="str">
        <f>IF(AI476="", "", AI476&amp;"["&amp;#REF!&amp;"]")</f>
        <v/>
      </c>
    </row>
    <row r="477" spans="36:36" ht="12" customHeight="1" x14ac:dyDescent="0.25">
      <c r="AJ477" t="str">
        <f>IF(AI477="", "", AI477&amp;"["&amp;#REF!&amp;"]")</f>
        <v/>
      </c>
    </row>
    <row r="478" spans="36:36" ht="12" customHeight="1" x14ac:dyDescent="0.25">
      <c r="AJ478" t="str">
        <f>IF(AI478="", "", AI478&amp;"["&amp;#REF!&amp;"]")</f>
        <v/>
      </c>
    </row>
    <row r="479" spans="36:36" ht="12" customHeight="1" x14ac:dyDescent="0.25">
      <c r="AJ479" t="str">
        <f>IF(AI479="", "", AI479&amp;"["&amp;#REF!&amp;"]")</f>
        <v/>
      </c>
    </row>
    <row r="480" spans="36:36" ht="12" customHeight="1" x14ac:dyDescent="0.25">
      <c r="AJ480" t="str">
        <f>IF(AI480="", "", AI480&amp;"["&amp;#REF!&amp;"]")</f>
        <v/>
      </c>
    </row>
    <row r="481" spans="36:36" ht="12" customHeight="1" x14ac:dyDescent="0.25">
      <c r="AJ481" t="str">
        <f>IF(AI481="", "", AI481&amp;"["&amp;#REF!&amp;"]")</f>
        <v/>
      </c>
    </row>
    <row r="482" spans="36:36" ht="12" customHeight="1" x14ac:dyDescent="0.25">
      <c r="AJ482" t="str">
        <f>IF(AI482="", "", AI482&amp;"["&amp;#REF!&amp;"]")</f>
        <v/>
      </c>
    </row>
    <row r="483" spans="36:36" ht="12" customHeight="1" x14ac:dyDescent="0.25">
      <c r="AJ483" t="str">
        <f>IF(AI483="", "", AI483&amp;"["&amp;#REF!&amp;"]")</f>
        <v/>
      </c>
    </row>
    <row r="484" spans="36:36" ht="12" customHeight="1" x14ac:dyDescent="0.25">
      <c r="AJ484" t="str">
        <f>IF(AI484="", "", AI484&amp;"["&amp;#REF!&amp;"]")</f>
        <v/>
      </c>
    </row>
    <row r="485" spans="36:36" ht="12" customHeight="1" x14ac:dyDescent="0.25">
      <c r="AJ485" t="str">
        <f>IF(AI485="", "", AI485&amp;"["&amp;#REF!&amp;"]")</f>
        <v/>
      </c>
    </row>
    <row r="486" spans="36:36" ht="12" customHeight="1" x14ac:dyDescent="0.25">
      <c r="AJ486" t="str">
        <f>IF(AI486="", "", AI486&amp;"["&amp;#REF!&amp;"]")</f>
        <v/>
      </c>
    </row>
    <row r="487" spans="36:36" ht="12" customHeight="1" x14ac:dyDescent="0.25">
      <c r="AJ487" t="str">
        <f>IF(AI487="", "", AI487&amp;"["&amp;#REF!&amp;"]")</f>
        <v/>
      </c>
    </row>
    <row r="488" spans="36:36" ht="12" customHeight="1" x14ac:dyDescent="0.25">
      <c r="AJ488" t="str">
        <f>IF(AI488="", "", AI488&amp;"["&amp;#REF!&amp;"]")</f>
        <v/>
      </c>
    </row>
    <row r="489" spans="36:36" ht="12" customHeight="1" x14ac:dyDescent="0.25">
      <c r="AJ489" t="str">
        <f>IF(AI489="", "", AI489&amp;"["&amp;#REF!&amp;"]")</f>
        <v/>
      </c>
    </row>
    <row r="490" spans="36:36" ht="12" customHeight="1" x14ac:dyDescent="0.25">
      <c r="AJ490" t="str">
        <f>IF(AI490="", "", AI490&amp;"["&amp;#REF!&amp;"]")</f>
        <v/>
      </c>
    </row>
    <row r="491" spans="36:36" ht="12" customHeight="1" x14ac:dyDescent="0.25">
      <c r="AJ491" t="str">
        <f>IF(AI491="", "", AI491&amp;"["&amp;#REF!&amp;"]")</f>
        <v/>
      </c>
    </row>
    <row r="492" spans="36:36" ht="12" customHeight="1" x14ac:dyDescent="0.25">
      <c r="AJ492" t="str">
        <f>IF(AI492="", "", AI492&amp;"["&amp;#REF!&amp;"]")</f>
        <v/>
      </c>
    </row>
    <row r="493" spans="36:36" ht="12" customHeight="1" x14ac:dyDescent="0.25">
      <c r="AJ493" t="str">
        <f>IF(AI493="", "", AI493&amp;"["&amp;#REF!&amp;"]")</f>
        <v/>
      </c>
    </row>
    <row r="494" spans="36:36" ht="12" customHeight="1" x14ac:dyDescent="0.25">
      <c r="AJ494" t="str">
        <f>IF(AI494="", "", AI494&amp;"["&amp;#REF!&amp;"]")</f>
        <v/>
      </c>
    </row>
    <row r="495" spans="36:36" ht="12" customHeight="1" x14ac:dyDescent="0.25">
      <c r="AJ495" t="str">
        <f>IF(AI495="", "", AI495&amp;"["&amp;#REF!&amp;"]")</f>
        <v/>
      </c>
    </row>
    <row r="496" spans="36:36" ht="12" customHeight="1" x14ac:dyDescent="0.25">
      <c r="AJ496" t="str">
        <f>IF(AI496="", "", AI496&amp;"["&amp;#REF!&amp;"]")</f>
        <v/>
      </c>
    </row>
    <row r="497" spans="36:36" ht="12" customHeight="1" x14ac:dyDescent="0.25">
      <c r="AJ497" t="str">
        <f>IF(AI497="", "", AI497&amp;"["&amp;#REF!&amp;"]")</f>
        <v/>
      </c>
    </row>
    <row r="498" spans="36:36" ht="12" customHeight="1" x14ac:dyDescent="0.25">
      <c r="AJ498" t="str">
        <f>IF(AI498="", "", AI498&amp;"["&amp;#REF!&amp;"]")</f>
        <v/>
      </c>
    </row>
    <row r="499" spans="36:36" ht="12" customHeight="1" x14ac:dyDescent="0.25">
      <c r="AJ499" t="str">
        <f>IF(AI499="", "", AI499&amp;"["&amp;#REF!&amp;"]")</f>
        <v/>
      </c>
    </row>
    <row r="500" spans="36:36" ht="12" customHeight="1" x14ac:dyDescent="0.25">
      <c r="AJ500" t="str">
        <f>IF(AI500="", "", AI500&amp;"["&amp;#REF!&amp;"]")</f>
        <v/>
      </c>
    </row>
    <row r="501" spans="36:36" ht="12" customHeight="1" x14ac:dyDescent="0.25">
      <c r="AJ501" t="str">
        <f>IF(AI501="", "", AI501&amp;"["&amp;#REF!&amp;"]")</f>
        <v/>
      </c>
    </row>
    <row r="502" spans="36:36" ht="12" customHeight="1" x14ac:dyDescent="0.25">
      <c r="AJ502" t="str">
        <f>IF(AI502="", "", AI502&amp;"["&amp;#REF!&amp;"]")</f>
        <v/>
      </c>
    </row>
    <row r="503" spans="36:36" ht="12" customHeight="1" x14ac:dyDescent="0.25">
      <c r="AJ503" t="str">
        <f>IF(AI503="", "", AI503&amp;"["&amp;#REF!&amp;"]")</f>
        <v/>
      </c>
    </row>
    <row r="504" spans="36:36" ht="12" customHeight="1" x14ac:dyDescent="0.25">
      <c r="AJ504" t="str">
        <f>IF(AI504="", "", AI504&amp;"["&amp;#REF!&amp;"]")</f>
        <v/>
      </c>
    </row>
    <row r="505" spans="36:36" ht="12" customHeight="1" x14ac:dyDescent="0.25">
      <c r="AJ505" t="str">
        <f>IF(AI505="", "", AI505&amp;"["&amp;#REF!&amp;"]")</f>
        <v/>
      </c>
    </row>
    <row r="506" spans="36:36" ht="12" customHeight="1" x14ac:dyDescent="0.25">
      <c r="AJ506" t="str">
        <f>IF(AI506="", "", AI506&amp;"["&amp;#REF!&amp;"]")</f>
        <v/>
      </c>
    </row>
    <row r="507" spans="36:36" ht="12" customHeight="1" x14ac:dyDescent="0.25">
      <c r="AJ507" t="str">
        <f>IF(AI507="", "", AI507&amp;"["&amp;#REF!&amp;"]")</f>
        <v/>
      </c>
    </row>
    <row r="508" spans="36:36" ht="12" customHeight="1" x14ac:dyDescent="0.25">
      <c r="AJ508" t="str">
        <f>IF(AI508="", "", AI508&amp;"["&amp;#REF!&amp;"]")</f>
        <v/>
      </c>
    </row>
    <row r="509" spans="36:36" ht="12" customHeight="1" x14ac:dyDescent="0.25">
      <c r="AJ509" t="str">
        <f>IF(AI509="", "", AI509&amp;"["&amp;#REF!&amp;"]")</f>
        <v/>
      </c>
    </row>
    <row r="510" spans="36:36" ht="12" customHeight="1" x14ac:dyDescent="0.25">
      <c r="AJ510" t="str">
        <f>IF(AI510="", "", AI510&amp;"["&amp;#REF!&amp;"]")</f>
        <v/>
      </c>
    </row>
    <row r="511" spans="36:36" ht="12" customHeight="1" x14ac:dyDescent="0.25">
      <c r="AJ511" t="str">
        <f>IF(AI511="", "", AI511&amp;"["&amp;#REF!&amp;"]")</f>
        <v/>
      </c>
    </row>
    <row r="512" spans="36:36" ht="12" customHeight="1" x14ac:dyDescent="0.25">
      <c r="AJ512" t="str">
        <f>IF(AI512="", "", AI512&amp;"["&amp;#REF!&amp;"]")</f>
        <v/>
      </c>
    </row>
    <row r="513" spans="36:36" ht="12" customHeight="1" x14ac:dyDescent="0.25">
      <c r="AJ513" t="str">
        <f>IF(AI513="", "", AI513&amp;"["&amp;#REF!&amp;"]")</f>
        <v/>
      </c>
    </row>
    <row r="514" spans="36:36" ht="12" customHeight="1" x14ac:dyDescent="0.25">
      <c r="AJ514" t="str">
        <f>IF(AI514="", "", AI514&amp;"["&amp;#REF!&amp;"]")</f>
        <v/>
      </c>
    </row>
    <row r="515" spans="36:36" ht="12" customHeight="1" x14ac:dyDescent="0.25">
      <c r="AJ515" t="str">
        <f>IF(AI515="", "", AI515&amp;"["&amp;#REF!&amp;"]")</f>
        <v/>
      </c>
    </row>
    <row r="516" spans="36:36" ht="12" customHeight="1" x14ac:dyDescent="0.25">
      <c r="AJ516" t="str">
        <f>IF(AI516="", "", AI516&amp;"["&amp;#REF!&amp;"]")</f>
        <v/>
      </c>
    </row>
    <row r="517" spans="36:36" ht="12" customHeight="1" x14ac:dyDescent="0.25">
      <c r="AJ517" t="str">
        <f>IF(AI517="", "", AI517&amp;"["&amp;#REF!&amp;"]")</f>
        <v/>
      </c>
    </row>
    <row r="518" spans="36:36" ht="12" customHeight="1" x14ac:dyDescent="0.25">
      <c r="AJ518" t="str">
        <f>IF(AI518="", "", AI518&amp;"["&amp;#REF!&amp;"]")</f>
        <v/>
      </c>
    </row>
    <row r="519" spans="36:36" ht="12" customHeight="1" x14ac:dyDescent="0.25">
      <c r="AJ519" t="str">
        <f>IF(AI519="", "", AI519&amp;"["&amp;#REF!&amp;"]")</f>
        <v/>
      </c>
    </row>
    <row r="520" spans="36:36" ht="12" customHeight="1" x14ac:dyDescent="0.25">
      <c r="AJ520" t="str">
        <f>IF(AI520="", "", AI520&amp;"["&amp;#REF!&amp;"]")</f>
        <v/>
      </c>
    </row>
    <row r="521" spans="36:36" ht="12" customHeight="1" x14ac:dyDescent="0.25">
      <c r="AJ521" t="str">
        <f>IF(AI521="", "", AI521&amp;"["&amp;#REF!&amp;"]")</f>
        <v/>
      </c>
    </row>
    <row r="522" spans="36:36" ht="12" customHeight="1" x14ac:dyDescent="0.25">
      <c r="AJ522" t="str">
        <f>IF(AI522="", "", AI522&amp;"["&amp;#REF!&amp;"]")</f>
        <v/>
      </c>
    </row>
    <row r="523" spans="36:36" ht="12" customHeight="1" x14ac:dyDescent="0.25">
      <c r="AJ523" t="str">
        <f>IF(AI523="", "", AI523&amp;"["&amp;#REF!&amp;"]")</f>
        <v/>
      </c>
    </row>
    <row r="524" spans="36:36" ht="12" customHeight="1" x14ac:dyDescent="0.25">
      <c r="AJ524" t="str">
        <f>IF(AI524="", "", AI524&amp;"["&amp;#REF!&amp;"]")</f>
        <v/>
      </c>
    </row>
    <row r="525" spans="36:36" ht="12" customHeight="1" x14ac:dyDescent="0.25">
      <c r="AJ525" t="str">
        <f>IF(AI525="", "", AI525&amp;"["&amp;#REF!&amp;"]")</f>
        <v/>
      </c>
    </row>
    <row r="526" spans="36:36" ht="12" customHeight="1" x14ac:dyDescent="0.25">
      <c r="AJ526" t="str">
        <f>IF(AI526="", "", AI526&amp;"["&amp;#REF!&amp;"]")</f>
        <v/>
      </c>
    </row>
    <row r="527" spans="36:36" ht="12" customHeight="1" x14ac:dyDescent="0.25">
      <c r="AJ527" t="str">
        <f>IF(AI527="", "", AI527&amp;"["&amp;#REF!&amp;"]")</f>
        <v/>
      </c>
    </row>
    <row r="528" spans="36:36" ht="12" customHeight="1" x14ac:dyDescent="0.25">
      <c r="AJ528" t="str">
        <f>IF(AI528="", "", AI528&amp;"["&amp;#REF!&amp;"]")</f>
        <v/>
      </c>
    </row>
    <row r="529" spans="36:36" ht="12" customHeight="1" x14ac:dyDescent="0.25">
      <c r="AJ529" t="str">
        <f>IF(AI529="", "", AI529&amp;"["&amp;#REF!&amp;"]")</f>
        <v/>
      </c>
    </row>
    <row r="530" spans="36:36" ht="12" customHeight="1" x14ac:dyDescent="0.25">
      <c r="AJ530" t="str">
        <f>IF(AI530="", "", AI530&amp;"["&amp;#REF!&amp;"]")</f>
        <v/>
      </c>
    </row>
    <row r="531" spans="36:36" ht="12" customHeight="1" x14ac:dyDescent="0.25">
      <c r="AJ531" t="str">
        <f>IF(AI531="", "", AI531&amp;"["&amp;#REF!&amp;"]")</f>
        <v/>
      </c>
    </row>
    <row r="532" spans="36:36" ht="12" customHeight="1" x14ac:dyDescent="0.25">
      <c r="AJ532" t="str">
        <f>IF(AI532="", "", AI532&amp;"["&amp;#REF!&amp;"]")</f>
        <v/>
      </c>
    </row>
    <row r="533" spans="36:36" ht="12" customHeight="1" x14ac:dyDescent="0.25">
      <c r="AJ533" t="str">
        <f>IF(AI533="", "", AI533&amp;"["&amp;#REF!&amp;"]")</f>
        <v/>
      </c>
    </row>
    <row r="534" spans="36:36" ht="12" customHeight="1" x14ac:dyDescent="0.25">
      <c r="AJ534" t="str">
        <f>IF(AI534="", "", AI534&amp;"["&amp;#REF!&amp;"]")</f>
        <v/>
      </c>
    </row>
    <row r="535" spans="36:36" ht="12" customHeight="1" x14ac:dyDescent="0.25">
      <c r="AJ535" t="str">
        <f>IF(AI535="", "", AI535&amp;"["&amp;#REF!&amp;"]")</f>
        <v/>
      </c>
    </row>
    <row r="536" spans="36:36" ht="12" customHeight="1" x14ac:dyDescent="0.25">
      <c r="AJ536" t="str">
        <f>IF(AI536="", "", AI536&amp;"["&amp;#REF!&amp;"]")</f>
        <v/>
      </c>
    </row>
    <row r="537" spans="36:36" ht="12" customHeight="1" x14ac:dyDescent="0.25">
      <c r="AJ537" t="str">
        <f>IF(AI537="", "", AI537&amp;"["&amp;#REF!&amp;"]")</f>
        <v/>
      </c>
    </row>
    <row r="538" spans="36:36" ht="12" customHeight="1" x14ac:dyDescent="0.25">
      <c r="AJ538" t="str">
        <f>IF(AI538="", "", AI538&amp;"["&amp;#REF!&amp;"]")</f>
        <v/>
      </c>
    </row>
    <row r="539" spans="36:36" ht="12" customHeight="1" x14ac:dyDescent="0.25">
      <c r="AJ539" t="str">
        <f>IF(AI539="", "", AI539&amp;"["&amp;#REF!&amp;"]")</f>
        <v/>
      </c>
    </row>
    <row r="540" spans="36:36" ht="12" customHeight="1" x14ac:dyDescent="0.25">
      <c r="AJ540" t="str">
        <f>IF(AI540="", "", AI540&amp;"["&amp;#REF!&amp;"]")</f>
        <v/>
      </c>
    </row>
    <row r="541" spans="36:36" ht="12" customHeight="1" x14ac:dyDescent="0.25">
      <c r="AJ541" t="str">
        <f>IF(AI541="", "", AI541&amp;"["&amp;#REF!&amp;"]")</f>
        <v/>
      </c>
    </row>
    <row r="542" spans="36:36" ht="12" customHeight="1" x14ac:dyDescent="0.25">
      <c r="AJ542" t="str">
        <f>IF(AI542="", "", AI542&amp;"["&amp;#REF!&amp;"]")</f>
        <v/>
      </c>
    </row>
    <row r="543" spans="36:36" ht="12" customHeight="1" x14ac:dyDescent="0.25">
      <c r="AJ543" t="str">
        <f>IF(AI543="", "", AI543&amp;"["&amp;#REF!&amp;"]")</f>
        <v/>
      </c>
    </row>
    <row r="544" spans="36:36" ht="12" customHeight="1" x14ac:dyDescent="0.25">
      <c r="AJ544" t="str">
        <f>IF(AI544="", "", AI544&amp;"["&amp;#REF!&amp;"]")</f>
        <v/>
      </c>
    </row>
    <row r="545" spans="36:36" ht="12" customHeight="1" x14ac:dyDescent="0.25">
      <c r="AJ545" t="str">
        <f>IF(AI545="", "", AI545&amp;"["&amp;#REF!&amp;"]")</f>
        <v/>
      </c>
    </row>
    <row r="546" spans="36:36" ht="12" customHeight="1" x14ac:dyDescent="0.25">
      <c r="AJ546" t="str">
        <f>IF(AI546="", "", AI546&amp;"["&amp;#REF!&amp;"]")</f>
        <v/>
      </c>
    </row>
    <row r="547" spans="36:36" ht="12" customHeight="1" x14ac:dyDescent="0.25">
      <c r="AJ547" t="str">
        <f>IF(AI547="", "", AI547&amp;"["&amp;#REF!&amp;"]")</f>
        <v/>
      </c>
    </row>
    <row r="548" spans="36:36" ht="12" customHeight="1" x14ac:dyDescent="0.25">
      <c r="AJ548" t="str">
        <f>IF(AI548="", "", AI548&amp;"["&amp;#REF!&amp;"]")</f>
        <v/>
      </c>
    </row>
    <row r="549" spans="36:36" ht="12" customHeight="1" x14ac:dyDescent="0.25">
      <c r="AJ549" t="str">
        <f>IF(AI549="", "", AI549&amp;"["&amp;#REF!&amp;"]")</f>
        <v/>
      </c>
    </row>
    <row r="550" spans="36:36" ht="12" customHeight="1" x14ac:dyDescent="0.25">
      <c r="AJ550" t="str">
        <f>IF(AI550="", "", AI550&amp;"["&amp;#REF!&amp;"]")</f>
        <v/>
      </c>
    </row>
    <row r="551" spans="36:36" ht="12" customHeight="1" x14ac:dyDescent="0.25">
      <c r="AJ551" t="str">
        <f>IF(AI551="", "", AI551&amp;"["&amp;#REF!&amp;"]")</f>
        <v/>
      </c>
    </row>
    <row r="552" spans="36:36" ht="12" customHeight="1" x14ac:dyDescent="0.25">
      <c r="AJ552" t="str">
        <f>IF(AI552="", "", AI552&amp;"["&amp;#REF!&amp;"]")</f>
        <v/>
      </c>
    </row>
    <row r="553" spans="36:36" ht="12" customHeight="1" x14ac:dyDescent="0.25">
      <c r="AJ553" t="str">
        <f>IF(AI553="", "", AI553&amp;"["&amp;#REF!&amp;"]")</f>
        <v/>
      </c>
    </row>
    <row r="554" spans="36:36" ht="12" customHeight="1" x14ac:dyDescent="0.25">
      <c r="AJ554" t="str">
        <f>IF(AI554="", "", AI554&amp;"["&amp;#REF!&amp;"]")</f>
        <v/>
      </c>
    </row>
    <row r="555" spans="36:36" ht="12" customHeight="1" x14ac:dyDescent="0.25">
      <c r="AJ555" t="str">
        <f>IF(AI555="", "", AI555&amp;"["&amp;#REF!&amp;"]")</f>
        <v/>
      </c>
    </row>
    <row r="556" spans="36:36" ht="12" customHeight="1" x14ac:dyDescent="0.25">
      <c r="AJ556" t="str">
        <f>IF(AI556="", "", AI556&amp;"["&amp;#REF!&amp;"]")</f>
        <v/>
      </c>
    </row>
    <row r="557" spans="36:36" ht="12" customHeight="1" x14ac:dyDescent="0.25">
      <c r="AJ557" t="str">
        <f>IF(AI557="", "", AI557&amp;"["&amp;#REF!&amp;"]")</f>
        <v/>
      </c>
    </row>
    <row r="558" spans="36:36" ht="12" customHeight="1" x14ac:dyDescent="0.25">
      <c r="AJ558" t="str">
        <f>IF(AI558="", "", AI558&amp;"["&amp;#REF!&amp;"]")</f>
        <v/>
      </c>
    </row>
    <row r="559" spans="36:36" ht="12" customHeight="1" x14ac:dyDescent="0.25">
      <c r="AJ559" t="str">
        <f>IF(AI559="", "", AI559&amp;"["&amp;#REF!&amp;"]")</f>
        <v/>
      </c>
    </row>
    <row r="560" spans="36:36" ht="12" customHeight="1" x14ac:dyDescent="0.25">
      <c r="AJ560" t="str">
        <f>IF(AI560="", "", AI560&amp;"["&amp;#REF!&amp;"]")</f>
        <v/>
      </c>
    </row>
    <row r="561" spans="36:36" ht="12" customHeight="1" x14ac:dyDescent="0.25">
      <c r="AJ561" t="str">
        <f>IF(AI561="", "", AI561&amp;"["&amp;#REF!&amp;"]")</f>
        <v/>
      </c>
    </row>
    <row r="562" spans="36:36" ht="12" customHeight="1" x14ac:dyDescent="0.25">
      <c r="AJ562" t="str">
        <f>IF(AI562="", "", AI562&amp;"["&amp;#REF!&amp;"]")</f>
        <v/>
      </c>
    </row>
    <row r="563" spans="36:36" ht="12" customHeight="1" x14ac:dyDescent="0.25">
      <c r="AJ563" t="str">
        <f>IF(AI563="", "", AI563&amp;"["&amp;#REF!&amp;"]")</f>
        <v/>
      </c>
    </row>
    <row r="564" spans="36:36" ht="12" customHeight="1" x14ac:dyDescent="0.25">
      <c r="AJ564" t="str">
        <f>IF(AI564="", "", AI564&amp;"["&amp;#REF!&amp;"]")</f>
        <v/>
      </c>
    </row>
    <row r="565" spans="36:36" ht="12" customHeight="1" x14ac:dyDescent="0.25">
      <c r="AJ565" t="str">
        <f>IF(AI565="", "", AI565&amp;"["&amp;#REF!&amp;"]")</f>
        <v/>
      </c>
    </row>
    <row r="566" spans="36:36" ht="12" customHeight="1" x14ac:dyDescent="0.25">
      <c r="AJ566" t="str">
        <f>IF(AI566="", "", AI566&amp;"["&amp;#REF!&amp;"]")</f>
        <v/>
      </c>
    </row>
    <row r="567" spans="36:36" ht="12" customHeight="1" x14ac:dyDescent="0.25">
      <c r="AJ567" t="str">
        <f>IF(AI567="", "", AI567&amp;"["&amp;#REF!&amp;"]")</f>
        <v/>
      </c>
    </row>
    <row r="568" spans="36:36" ht="12" customHeight="1" x14ac:dyDescent="0.25">
      <c r="AJ568" t="str">
        <f>IF(AI568="", "", AI568&amp;"["&amp;#REF!&amp;"]")</f>
        <v/>
      </c>
    </row>
    <row r="569" spans="36:36" ht="12" customHeight="1" x14ac:dyDescent="0.25">
      <c r="AJ569" t="str">
        <f>IF(AI569="", "", AI569&amp;"["&amp;#REF!&amp;"]")</f>
        <v/>
      </c>
    </row>
    <row r="570" spans="36:36" ht="12" customHeight="1" x14ac:dyDescent="0.25">
      <c r="AJ570" t="str">
        <f>IF(AI570="", "", AI570&amp;"["&amp;#REF!&amp;"]")</f>
        <v/>
      </c>
    </row>
    <row r="571" spans="36:36" ht="12" customHeight="1" x14ac:dyDescent="0.25">
      <c r="AJ571" t="str">
        <f>IF(AI571="", "", AI571&amp;"["&amp;#REF!&amp;"]")</f>
        <v/>
      </c>
    </row>
    <row r="572" spans="36:36" ht="12" customHeight="1" x14ac:dyDescent="0.25">
      <c r="AJ572" t="str">
        <f>IF(AI572="", "", AI572&amp;"["&amp;#REF!&amp;"]")</f>
        <v/>
      </c>
    </row>
    <row r="573" spans="36:36" ht="12" customHeight="1" x14ac:dyDescent="0.25">
      <c r="AJ573" t="str">
        <f>IF(AI573="", "", AI573&amp;"["&amp;#REF!&amp;"]")</f>
        <v/>
      </c>
    </row>
    <row r="574" spans="36:36" ht="12" customHeight="1" x14ac:dyDescent="0.25">
      <c r="AJ574" t="str">
        <f>IF(AI574="", "", AI574&amp;"["&amp;#REF!&amp;"]")</f>
        <v/>
      </c>
    </row>
    <row r="575" spans="36:36" ht="12" customHeight="1" x14ac:dyDescent="0.25">
      <c r="AJ575" t="str">
        <f>IF(AI575="", "", AI575&amp;"["&amp;#REF!&amp;"]")</f>
        <v/>
      </c>
    </row>
    <row r="576" spans="36:36" ht="12" customHeight="1" x14ac:dyDescent="0.25">
      <c r="AJ576" t="str">
        <f>IF(AI576="", "", AI576&amp;"["&amp;#REF!&amp;"]")</f>
        <v/>
      </c>
    </row>
    <row r="577" spans="36:36" ht="12" customHeight="1" x14ac:dyDescent="0.25">
      <c r="AJ577" t="str">
        <f>IF(AI577="", "", AI577&amp;"["&amp;#REF!&amp;"]")</f>
        <v/>
      </c>
    </row>
    <row r="578" spans="36:36" ht="12" customHeight="1" x14ac:dyDescent="0.25">
      <c r="AJ578" t="str">
        <f>IF(AI578="", "", AI578&amp;"["&amp;#REF!&amp;"]")</f>
        <v/>
      </c>
    </row>
    <row r="579" spans="36:36" ht="12" customHeight="1" x14ac:dyDescent="0.25">
      <c r="AJ579" t="str">
        <f>IF(AI579="", "", AI579&amp;"["&amp;#REF!&amp;"]")</f>
        <v/>
      </c>
    </row>
    <row r="580" spans="36:36" ht="12" customHeight="1" x14ac:dyDescent="0.25">
      <c r="AJ580" t="str">
        <f>IF(AI580="", "", AI580&amp;"["&amp;#REF!&amp;"]")</f>
        <v/>
      </c>
    </row>
    <row r="581" spans="36:36" ht="12" customHeight="1" x14ac:dyDescent="0.25">
      <c r="AJ581" t="str">
        <f>IF(AI581="", "", AI581&amp;"["&amp;#REF!&amp;"]")</f>
        <v/>
      </c>
    </row>
    <row r="582" spans="36:36" ht="12" customHeight="1" x14ac:dyDescent="0.25">
      <c r="AJ582" t="str">
        <f>IF(AI582="", "", AI582&amp;"["&amp;#REF!&amp;"]")</f>
        <v/>
      </c>
    </row>
    <row r="583" spans="36:36" ht="12" customHeight="1" x14ac:dyDescent="0.25">
      <c r="AJ583" t="str">
        <f>IF(AI583="", "", AI583&amp;"["&amp;#REF!&amp;"]")</f>
        <v/>
      </c>
    </row>
    <row r="584" spans="36:36" ht="12" customHeight="1" x14ac:dyDescent="0.25">
      <c r="AJ584" t="str">
        <f>IF(AI584="", "", AI584&amp;"["&amp;#REF!&amp;"]")</f>
        <v/>
      </c>
    </row>
    <row r="585" spans="36:36" ht="12" customHeight="1" x14ac:dyDescent="0.25">
      <c r="AJ585" t="str">
        <f>IF(AI585="", "", AI585&amp;"["&amp;#REF!&amp;"]")</f>
        <v/>
      </c>
    </row>
    <row r="586" spans="36:36" ht="12" customHeight="1" x14ac:dyDescent="0.25">
      <c r="AJ586" t="str">
        <f>IF(AI586="", "", AI586&amp;"["&amp;#REF!&amp;"]")</f>
        <v/>
      </c>
    </row>
    <row r="587" spans="36:36" ht="12" customHeight="1" x14ac:dyDescent="0.25">
      <c r="AJ587" t="str">
        <f>IF(AI587="", "", AI587&amp;"["&amp;#REF!&amp;"]")</f>
        <v/>
      </c>
    </row>
    <row r="588" spans="36:36" ht="12" customHeight="1" x14ac:dyDescent="0.25">
      <c r="AJ588" t="str">
        <f>IF(AI588="", "", AI588&amp;"["&amp;#REF!&amp;"]")</f>
        <v/>
      </c>
    </row>
    <row r="589" spans="36:36" ht="12" customHeight="1" x14ac:dyDescent="0.25">
      <c r="AJ589" t="str">
        <f>IF(AI589="", "", AI589&amp;"["&amp;#REF!&amp;"]")</f>
        <v/>
      </c>
    </row>
    <row r="590" spans="36:36" ht="12" customHeight="1" x14ac:dyDescent="0.25">
      <c r="AJ590" t="str">
        <f>IF(AI590="", "", AI590&amp;"["&amp;#REF!&amp;"]")</f>
        <v/>
      </c>
    </row>
    <row r="591" spans="36:36" ht="12" customHeight="1" x14ac:dyDescent="0.25">
      <c r="AJ591" t="str">
        <f>IF(AI591="", "", AI591&amp;"["&amp;#REF!&amp;"]")</f>
        <v/>
      </c>
    </row>
    <row r="592" spans="36:36" ht="12" customHeight="1" x14ac:dyDescent="0.25">
      <c r="AJ592" t="str">
        <f>IF(AI592="", "", AI592&amp;"["&amp;#REF!&amp;"]")</f>
        <v/>
      </c>
    </row>
    <row r="593" spans="36:36" ht="12" customHeight="1" x14ac:dyDescent="0.25">
      <c r="AJ593" t="str">
        <f>IF(AI593="", "", AI593&amp;"["&amp;#REF!&amp;"]")</f>
        <v/>
      </c>
    </row>
    <row r="594" spans="36:36" ht="12" customHeight="1" x14ac:dyDescent="0.25">
      <c r="AJ594" t="str">
        <f>IF(AI594="", "", AI594&amp;"["&amp;#REF!&amp;"]")</f>
        <v/>
      </c>
    </row>
    <row r="595" spans="36:36" ht="12" customHeight="1" x14ac:dyDescent="0.25">
      <c r="AJ595" t="str">
        <f>IF(AI595="", "", AI595&amp;"["&amp;#REF!&amp;"]")</f>
        <v/>
      </c>
    </row>
    <row r="596" spans="36:36" ht="12" customHeight="1" x14ac:dyDescent="0.25">
      <c r="AJ596" t="str">
        <f>IF(AI596="", "", AI596&amp;"["&amp;#REF!&amp;"]")</f>
        <v/>
      </c>
    </row>
    <row r="597" spans="36:36" ht="12" customHeight="1" x14ac:dyDescent="0.25">
      <c r="AJ597" t="str">
        <f>IF(AI597="", "", AI597&amp;"["&amp;#REF!&amp;"]")</f>
        <v/>
      </c>
    </row>
    <row r="598" spans="36:36" ht="12" customHeight="1" x14ac:dyDescent="0.25">
      <c r="AJ598" t="str">
        <f>IF(AI598="", "", AI598&amp;"["&amp;#REF!&amp;"]")</f>
        <v/>
      </c>
    </row>
    <row r="599" spans="36:36" ht="12" customHeight="1" x14ac:dyDescent="0.25">
      <c r="AJ599" t="str">
        <f>IF(AI599="", "", AI599&amp;"["&amp;#REF!&amp;"]")</f>
        <v/>
      </c>
    </row>
    <row r="600" spans="36:36" ht="12" customHeight="1" x14ac:dyDescent="0.25">
      <c r="AJ600" t="str">
        <f>IF(AI600="", "", AI600&amp;"["&amp;#REF!&amp;"]")</f>
        <v/>
      </c>
    </row>
    <row r="601" spans="36:36" ht="12" customHeight="1" x14ac:dyDescent="0.25">
      <c r="AJ601" t="str">
        <f>IF(AI601="", "", AI601&amp;"["&amp;#REF!&amp;"]")</f>
        <v/>
      </c>
    </row>
    <row r="602" spans="36:36" ht="12" customHeight="1" x14ac:dyDescent="0.25">
      <c r="AJ602" t="str">
        <f>IF(AI602="", "", AI602&amp;"["&amp;#REF!&amp;"]")</f>
        <v/>
      </c>
    </row>
    <row r="603" spans="36:36" ht="12" customHeight="1" x14ac:dyDescent="0.25">
      <c r="AJ603" t="str">
        <f>IF(AI603="", "", AI603&amp;"["&amp;#REF!&amp;"]")</f>
        <v/>
      </c>
    </row>
    <row r="604" spans="36:36" ht="12" customHeight="1" x14ac:dyDescent="0.25">
      <c r="AJ604" t="str">
        <f>IF(AI604="", "", AI604&amp;"["&amp;#REF!&amp;"]")</f>
        <v/>
      </c>
    </row>
    <row r="605" spans="36:36" ht="12" customHeight="1" x14ac:dyDescent="0.25">
      <c r="AJ605" t="str">
        <f>IF(AI605="", "", AI605&amp;"["&amp;#REF!&amp;"]")</f>
        <v/>
      </c>
    </row>
    <row r="606" spans="36:36" ht="12" customHeight="1" x14ac:dyDescent="0.25">
      <c r="AJ606" t="str">
        <f>IF(AI606="", "", AI606&amp;"["&amp;#REF!&amp;"]")</f>
        <v/>
      </c>
    </row>
    <row r="607" spans="36:36" ht="12" customHeight="1" x14ac:dyDescent="0.25">
      <c r="AJ607" t="str">
        <f>IF(AI607="", "", AI607&amp;"["&amp;#REF!&amp;"]")</f>
        <v/>
      </c>
    </row>
    <row r="608" spans="36:36" ht="12" customHeight="1" x14ac:dyDescent="0.25">
      <c r="AJ608" t="str">
        <f>IF(AI608="", "", AI608&amp;"["&amp;#REF!&amp;"]")</f>
        <v/>
      </c>
    </row>
    <row r="609" spans="36:36" ht="12" customHeight="1" x14ac:dyDescent="0.25">
      <c r="AJ609" t="str">
        <f>IF(AI609="", "", AI609&amp;"["&amp;#REF!&amp;"]")</f>
        <v/>
      </c>
    </row>
    <row r="610" spans="36:36" ht="12" customHeight="1" x14ac:dyDescent="0.25">
      <c r="AJ610" t="str">
        <f>IF(AI610="", "", AI610&amp;"["&amp;#REF!&amp;"]")</f>
        <v/>
      </c>
    </row>
    <row r="611" spans="36:36" ht="12" customHeight="1" x14ac:dyDescent="0.25">
      <c r="AJ611" t="str">
        <f>IF(AI611="", "", AI611&amp;"["&amp;#REF!&amp;"]")</f>
        <v/>
      </c>
    </row>
    <row r="612" spans="36:36" ht="12" customHeight="1" x14ac:dyDescent="0.25">
      <c r="AJ612" t="str">
        <f>IF(AI612="", "", AI612&amp;"["&amp;#REF!&amp;"]")</f>
        <v/>
      </c>
    </row>
    <row r="613" spans="36:36" ht="12" customHeight="1" x14ac:dyDescent="0.25">
      <c r="AJ613" t="str">
        <f>IF(AI613="", "", AI613&amp;"["&amp;#REF!&amp;"]")</f>
        <v/>
      </c>
    </row>
    <row r="614" spans="36:36" ht="12" customHeight="1" x14ac:dyDescent="0.25">
      <c r="AJ614" t="str">
        <f>IF(AI614="", "", AI614&amp;"["&amp;#REF!&amp;"]")</f>
        <v/>
      </c>
    </row>
    <row r="615" spans="36:36" ht="12" customHeight="1" x14ac:dyDescent="0.25">
      <c r="AJ615" t="str">
        <f>IF(AI615="", "", AI615&amp;"["&amp;#REF!&amp;"]")</f>
        <v/>
      </c>
    </row>
    <row r="616" spans="36:36" ht="12" customHeight="1" x14ac:dyDescent="0.25">
      <c r="AJ616" t="str">
        <f>IF(AI616="", "", AI616&amp;"["&amp;#REF!&amp;"]")</f>
        <v/>
      </c>
    </row>
    <row r="617" spans="36:36" ht="12" customHeight="1" x14ac:dyDescent="0.25">
      <c r="AJ617" t="str">
        <f>IF(AI617="", "", AI617&amp;"["&amp;#REF!&amp;"]")</f>
        <v/>
      </c>
    </row>
    <row r="618" spans="36:36" ht="12" customHeight="1" x14ac:dyDescent="0.25">
      <c r="AJ618" t="str">
        <f>IF(AI618="", "", AI618&amp;"["&amp;#REF!&amp;"]")</f>
        <v/>
      </c>
    </row>
    <row r="619" spans="36:36" ht="12" customHeight="1" x14ac:dyDescent="0.25">
      <c r="AJ619" t="str">
        <f>IF(AI619="", "", AI619&amp;"["&amp;#REF!&amp;"]")</f>
        <v/>
      </c>
    </row>
    <row r="620" spans="36:36" ht="12" customHeight="1" x14ac:dyDescent="0.25">
      <c r="AJ620" t="str">
        <f>IF(AI620="", "", AI620&amp;"["&amp;#REF!&amp;"]")</f>
        <v/>
      </c>
    </row>
    <row r="621" spans="36:36" ht="12" customHeight="1" x14ac:dyDescent="0.25">
      <c r="AJ621" t="str">
        <f>IF(AI621="", "", AI621&amp;"["&amp;#REF!&amp;"]")</f>
        <v/>
      </c>
    </row>
    <row r="622" spans="36:36" ht="12" customHeight="1" x14ac:dyDescent="0.25">
      <c r="AJ622" t="str">
        <f>IF(AI622="", "", AI622&amp;"["&amp;#REF!&amp;"]")</f>
        <v/>
      </c>
    </row>
    <row r="623" spans="36:36" ht="12" customHeight="1" x14ac:dyDescent="0.25">
      <c r="AJ623" t="str">
        <f>IF(AI623="", "", AI623&amp;"["&amp;#REF!&amp;"]")</f>
        <v/>
      </c>
    </row>
    <row r="624" spans="36:36" ht="12" customHeight="1" x14ac:dyDescent="0.25">
      <c r="AJ624" t="str">
        <f>IF(AI624="", "", AI624&amp;"["&amp;#REF!&amp;"]")</f>
        <v/>
      </c>
    </row>
    <row r="625" spans="36:36" ht="12" customHeight="1" x14ac:dyDescent="0.25">
      <c r="AJ625" t="str">
        <f>IF(AI625="", "", AI625&amp;"["&amp;#REF!&amp;"]")</f>
        <v/>
      </c>
    </row>
    <row r="626" spans="36:36" ht="12" customHeight="1" x14ac:dyDescent="0.25">
      <c r="AJ626" t="str">
        <f>IF(AI626="", "", AI626&amp;"["&amp;#REF!&amp;"]")</f>
        <v/>
      </c>
    </row>
    <row r="627" spans="36:36" ht="12" customHeight="1" x14ac:dyDescent="0.25">
      <c r="AJ627" t="str">
        <f>IF(AI627="", "", AI627&amp;"["&amp;#REF!&amp;"]")</f>
        <v/>
      </c>
    </row>
    <row r="628" spans="36:36" ht="12" customHeight="1" x14ac:dyDescent="0.25">
      <c r="AJ628" t="str">
        <f>IF(AI628="", "", AI628&amp;"["&amp;#REF!&amp;"]")</f>
        <v/>
      </c>
    </row>
    <row r="629" spans="36:36" ht="12" customHeight="1" x14ac:dyDescent="0.25">
      <c r="AJ629" t="str">
        <f>IF(AI629="", "", AI629&amp;"["&amp;#REF!&amp;"]")</f>
        <v/>
      </c>
    </row>
    <row r="630" spans="36:36" ht="12" customHeight="1" x14ac:dyDescent="0.25">
      <c r="AJ630" t="str">
        <f>IF(AI630="", "", AI630&amp;"["&amp;#REF!&amp;"]")</f>
        <v/>
      </c>
    </row>
    <row r="631" spans="36:36" ht="12" customHeight="1" x14ac:dyDescent="0.25">
      <c r="AJ631" t="str">
        <f>IF(AI631="", "", AI631&amp;"["&amp;#REF!&amp;"]")</f>
        <v/>
      </c>
    </row>
    <row r="632" spans="36:36" ht="12" customHeight="1" x14ac:dyDescent="0.25">
      <c r="AJ632" t="str">
        <f>IF(AI632="", "", AI632&amp;"["&amp;#REF!&amp;"]")</f>
        <v/>
      </c>
    </row>
    <row r="633" spans="36:36" ht="12" customHeight="1" x14ac:dyDescent="0.25">
      <c r="AJ633" t="str">
        <f>IF(AI633="", "", AI633&amp;"["&amp;#REF!&amp;"]")</f>
        <v/>
      </c>
    </row>
    <row r="634" spans="36:36" ht="12" customHeight="1" x14ac:dyDescent="0.25">
      <c r="AJ634" t="str">
        <f>IF(AI634="", "", AI634&amp;"["&amp;#REF!&amp;"]")</f>
        <v/>
      </c>
    </row>
    <row r="635" spans="36:36" ht="12" customHeight="1" x14ac:dyDescent="0.25">
      <c r="AJ635" t="str">
        <f>IF(AI635="", "", AI635&amp;"["&amp;#REF!&amp;"]")</f>
        <v/>
      </c>
    </row>
    <row r="636" spans="36:36" ht="12" customHeight="1" x14ac:dyDescent="0.25">
      <c r="AJ636" t="str">
        <f>IF(AI636="", "", AI636&amp;"["&amp;#REF!&amp;"]")</f>
        <v/>
      </c>
    </row>
    <row r="637" spans="36:36" ht="12" customHeight="1" x14ac:dyDescent="0.25">
      <c r="AJ637" t="str">
        <f>IF(AI637="", "", AI637&amp;"["&amp;#REF!&amp;"]")</f>
        <v/>
      </c>
    </row>
    <row r="638" spans="36:36" ht="12" customHeight="1" x14ac:dyDescent="0.25">
      <c r="AJ638" t="str">
        <f>IF(AI638="", "", AI638&amp;"["&amp;#REF!&amp;"]")</f>
        <v/>
      </c>
    </row>
    <row r="639" spans="36:36" ht="12" customHeight="1" x14ac:dyDescent="0.25">
      <c r="AJ639" t="str">
        <f>IF(AI639="", "", AI639&amp;"["&amp;#REF!&amp;"]")</f>
        <v/>
      </c>
    </row>
    <row r="640" spans="36:36" ht="12" customHeight="1" x14ac:dyDescent="0.25">
      <c r="AJ640" t="str">
        <f>IF(AI640="", "", AI640&amp;"["&amp;#REF!&amp;"]")</f>
        <v/>
      </c>
    </row>
    <row r="641" spans="36:36" ht="12" customHeight="1" x14ac:dyDescent="0.25">
      <c r="AJ641" t="str">
        <f>IF(AI641="", "", AI641&amp;"["&amp;#REF!&amp;"]")</f>
        <v/>
      </c>
    </row>
    <row r="642" spans="36:36" ht="12" customHeight="1" x14ac:dyDescent="0.25">
      <c r="AJ642" t="str">
        <f>IF(AI642="", "", AI642&amp;"["&amp;#REF!&amp;"]")</f>
        <v/>
      </c>
    </row>
    <row r="643" spans="36:36" ht="12" customHeight="1" x14ac:dyDescent="0.25">
      <c r="AJ643" t="str">
        <f>IF(AI643="", "", AI643&amp;"["&amp;#REF!&amp;"]")</f>
        <v/>
      </c>
    </row>
    <row r="644" spans="36:36" ht="12" customHeight="1" x14ac:dyDescent="0.25">
      <c r="AJ644" t="str">
        <f>IF(AI644="", "", AI644&amp;"["&amp;#REF!&amp;"]")</f>
        <v/>
      </c>
    </row>
    <row r="645" spans="36:36" ht="12" customHeight="1" x14ac:dyDescent="0.25">
      <c r="AJ645" t="str">
        <f>IF(AI645="", "", AI645&amp;"["&amp;#REF!&amp;"]")</f>
        <v/>
      </c>
    </row>
    <row r="646" spans="36:36" ht="12" customHeight="1" x14ac:dyDescent="0.25">
      <c r="AJ646" t="str">
        <f>IF(AI646="", "", AI646&amp;"["&amp;#REF!&amp;"]")</f>
        <v/>
      </c>
    </row>
    <row r="647" spans="36:36" ht="12" customHeight="1" x14ac:dyDescent="0.25">
      <c r="AJ647" t="str">
        <f>IF(AI647="", "", AI647&amp;"["&amp;#REF!&amp;"]")</f>
        <v/>
      </c>
    </row>
    <row r="648" spans="36:36" ht="12" customHeight="1" x14ac:dyDescent="0.25">
      <c r="AJ648" t="str">
        <f>IF(AI648="", "", AI648&amp;"["&amp;#REF!&amp;"]")</f>
        <v/>
      </c>
    </row>
    <row r="649" spans="36:36" ht="12" customHeight="1" x14ac:dyDescent="0.25">
      <c r="AJ649" t="str">
        <f>IF(AI649="", "", AI649&amp;"["&amp;#REF!&amp;"]")</f>
        <v/>
      </c>
    </row>
    <row r="650" spans="36:36" ht="12" customHeight="1" x14ac:dyDescent="0.25">
      <c r="AJ650" t="str">
        <f>IF(AI650="", "", AI650&amp;"["&amp;#REF!&amp;"]")</f>
        <v/>
      </c>
    </row>
    <row r="651" spans="36:36" ht="12" customHeight="1" x14ac:dyDescent="0.25">
      <c r="AJ651" t="str">
        <f>IF(AI651="", "", AI651&amp;"["&amp;#REF!&amp;"]")</f>
        <v/>
      </c>
    </row>
    <row r="652" spans="36:36" ht="12" customHeight="1" x14ac:dyDescent="0.25">
      <c r="AJ652" t="str">
        <f>IF(AI652="", "", AI652&amp;"["&amp;#REF!&amp;"]")</f>
        <v/>
      </c>
    </row>
    <row r="653" spans="36:36" ht="12" customHeight="1" x14ac:dyDescent="0.25">
      <c r="AJ653" t="str">
        <f>IF(AI653="", "", AI653&amp;"["&amp;#REF!&amp;"]")</f>
        <v/>
      </c>
    </row>
    <row r="654" spans="36:36" ht="12" customHeight="1" x14ac:dyDescent="0.25">
      <c r="AJ654" t="str">
        <f>IF(AI654="", "", AI654&amp;"["&amp;#REF!&amp;"]")</f>
        <v/>
      </c>
    </row>
    <row r="655" spans="36:36" ht="12" customHeight="1" x14ac:dyDescent="0.25">
      <c r="AJ655" t="str">
        <f>IF(AI655="", "", AI655&amp;"["&amp;#REF!&amp;"]")</f>
        <v/>
      </c>
    </row>
    <row r="656" spans="36:36" ht="12" customHeight="1" x14ac:dyDescent="0.25">
      <c r="AJ656" t="str">
        <f>IF(AI656="", "", AI656&amp;"["&amp;#REF!&amp;"]")</f>
        <v/>
      </c>
    </row>
    <row r="657" spans="36:36" ht="12" customHeight="1" x14ac:dyDescent="0.25">
      <c r="AJ657" t="str">
        <f>IF(AI657="", "", AI657&amp;"["&amp;#REF!&amp;"]")</f>
        <v/>
      </c>
    </row>
    <row r="658" spans="36:36" ht="12" customHeight="1" x14ac:dyDescent="0.25">
      <c r="AJ658" t="str">
        <f>IF(AI658="", "", AI658&amp;"["&amp;#REF!&amp;"]")</f>
        <v/>
      </c>
    </row>
    <row r="659" spans="36:36" ht="12" customHeight="1" x14ac:dyDescent="0.25">
      <c r="AJ659" t="str">
        <f>IF(AI659="", "", AI659&amp;"["&amp;#REF!&amp;"]")</f>
        <v/>
      </c>
    </row>
    <row r="660" spans="36:36" ht="12" customHeight="1" x14ac:dyDescent="0.25">
      <c r="AJ660" t="str">
        <f>IF(AI660="", "", AI660&amp;"["&amp;#REF!&amp;"]")</f>
        <v/>
      </c>
    </row>
    <row r="661" spans="36:36" ht="12" customHeight="1" x14ac:dyDescent="0.25">
      <c r="AJ661" t="str">
        <f>IF(AI661="", "", AI661&amp;"["&amp;#REF!&amp;"]")</f>
        <v/>
      </c>
    </row>
    <row r="662" spans="36:36" ht="12" customHeight="1" x14ac:dyDescent="0.25">
      <c r="AJ662" t="str">
        <f>IF(AI662="", "", AI662&amp;"["&amp;#REF!&amp;"]")</f>
        <v/>
      </c>
    </row>
    <row r="663" spans="36:36" ht="12" customHeight="1" x14ac:dyDescent="0.25">
      <c r="AJ663" t="str">
        <f>IF(AI663="", "", AI663&amp;"["&amp;#REF!&amp;"]")</f>
        <v/>
      </c>
    </row>
    <row r="664" spans="36:36" ht="12" customHeight="1" x14ac:dyDescent="0.25">
      <c r="AJ664" t="str">
        <f>IF(AI664="", "", AI664&amp;"["&amp;#REF!&amp;"]")</f>
        <v/>
      </c>
    </row>
    <row r="665" spans="36:36" ht="12" customHeight="1" x14ac:dyDescent="0.25">
      <c r="AJ665" t="str">
        <f>IF(AI665="", "", AI665&amp;"["&amp;#REF!&amp;"]")</f>
        <v/>
      </c>
    </row>
    <row r="666" spans="36:36" ht="12" customHeight="1" x14ac:dyDescent="0.25">
      <c r="AJ666" t="str">
        <f>IF(AI666="", "", AI666&amp;"["&amp;#REF!&amp;"]")</f>
        <v/>
      </c>
    </row>
    <row r="667" spans="36:36" ht="12" customHeight="1" x14ac:dyDescent="0.25">
      <c r="AJ667" t="str">
        <f>IF(AI667="", "", AI667&amp;"["&amp;#REF!&amp;"]")</f>
        <v/>
      </c>
    </row>
    <row r="668" spans="36:36" ht="12" customHeight="1" x14ac:dyDescent="0.25">
      <c r="AJ668" t="str">
        <f>IF(AI668="", "", AI668&amp;"["&amp;#REF!&amp;"]")</f>
        <v/>
      </c>
    </row>
    <row r="669" spans="36:36" ht="12" customHeight="1" x14ac:dyDescent="0.25">
      <c r="AJ669" t="str">
        <f>IF(AI669="", "", AI669&amp;"["&amp;#REF!&amp;"]")</f>
        <v/>
      </c>
    </row>
    <row r="670" spans="36:36" ht="12" customHeight="1" x14ac:dyDescent="0.25">
      <c r="AJ670" t="str">
        <f>IF(AI670="", "", AI670&amp;"["&amp;#REF!&amp;"]")</f>
        <v/>
      </c>
    </row>
    <row r="671" spans="36:36" ht="12" customHeight="1" x14ac:dyDescent="0.25">
      <c r="AJ671" t="str">
        <f>IF(AI671="", "", AI671&amp;"["&amp;#REF!&amp;"]")</f>
        <v/>
      </c>
    </row>
    <row r="672" spans="36:36" ht="12" customHeight="1" x14ac:dyDescent="0.25">
      <c r="AJ672" t="str">
        <f>IF(AI672="", "", AI672&amp;"["&amp;#REF!&amp;"]")</f>
        <v/>
      </c>
    </row>
    <row r="673" spans="36:36" ht="12" customHeight="1" x14ac:dyDescent="0.25">
      <c r="AJ673" t="str">
        <f>IF(AI673="", "", AI673&amp;"["&amp;#REF!&amp;"]")</f>
        <v/>
      </c>
    </row>
    <row r="674" spans="36:36" ht="12" customHeight="1" x14ac:dyDescent="0.25">
      <c r="AJ674" t="str">
        <f>IF(AI674="", "", AI674&amp;"["&amp;#REF!&amp;"]")</f>
        <v/>
      </c>
    </row>
    <row r="675" spans="36:36" ht="12" customHeight="1" x14ac:dyDescent="0.25">
      <c r="AJ675" t="str">
        <f>IF(AI675="", "", AI675&amp;"["&amp;#REF!&amp;"]")</f>
        <v/>
      </c>
    </row>
    <row r="676" spans="36:36" ht="12" customHeight="1" x14ac:dyDescent="0.25">
      <c r="AJ676" t="str">
        <f>IF(AI676="", "", AI676&amp;"["&amp;#REF!&amp;"]")</f>
        <v/>
      </c>
    </row>
    <row r="677" spans="36:36" ht="12" customHeight="1" x14ac:dyDescent="0.25">
      <c r="AJ677" t="str">
        <f>IF(AI677="", "", AI677&amp;"["&amp;#REF!&amp;"]")</f>
        <v/>
      </c>
    </row>
    <row r="678" spans="36:36" ht="12" customHeight="1" x14ac:dyDescent="0.25">
      <c r="AJ678" t="str">
        <f>IF(AI678="", "", AI678&amp;"["&amp;#REF!&amp;"]")</f>
        <v/>
      </c>
    </row>
    <row r="679" spans="36:36" ht="12" customHeight="1" x14ac:dyDescent="0.25">
      <c r="AJ679" t="str">
        <f>IF(AI679="", "", AI679&amp;"["&amp;#REF!&amp;"]")</f>
        <v/>
      </c>
    </row>
    <row r="680" spans="36:36" ht="12" customHeight="1" x14ac:dyDescent="0.25">
      <c r="AJ680" t="str">
        <f>IF(AI680="", "", AI680&amp;"["&amp;#REF!&amp;"]")</f>
        <v/>
      </c>
    </row>
    <row r="681" spans="36:36" ht="12" customHeight="1" x14ac:dyDescent="0.25">
      <c r="AJ681" t="str">
        <f>IF(AI681="", "", AI681&amp;"["&amp;#REF!&amp;"]")</f>
        <v/>
      </c>
    </row>
    <row r="682" spans="36:36" ht="12" customHeight="1" x14ac:dyDescent="0.25">
      <c r="AJ682" t="str">
        <f>IF(AI682="", "", AI682&amp;"["&amp;#REF!&amp;"]")</f>
        <v/>
      </c>
    </row>
    <row r="683" spans="36:36" ht="12" customHeight="1" x14ac:dyDescent="0.25">
      <c r="AJ683" t="str">
        <f>IF(AI683="", "", AI683&amp;"["&amp;#REF!&amp;"]")</f>
        <v/>
      </c>
    </row>
    <row r="684" spans="36:36" ht="12" customHeight="1" x14ac:dyDescent="0.25">
      <c r="AJ684" t="str">
        <f>IF(AI684="", "", AI684&amp;"["&amp;#REF!&amp;"]")</f>
        <v/>
      </c>
    </row>
    <row r="685" spans="36:36" ht="12" customHeight="1" x14ac:dyDescent="0.25">
      <c r="AJ685" t="str">
        <f>IF(AI685="", "", AI685&amp;"["&amp;#REF!&amp;"]")</f>
        <v/>
      </c>
    </row>
    <row r="686" spans="36:36" ht="12" customHeight="1" x14ac:dyDescent="0.25">
      <c r="AJ686" t="str">
        <f>IF(AI686="", "", AI686&amp;"["&amp;#REF!&amp;"]")</f>
        <v/>
      </c>
    </row>
    <row r="687" spans="36:36" ht="12" customHeight="1" x14ac:dyDescent="0.25">
      <c r="AJ687" t="str">
        <f>IF(AI687="", "", AI687&amp;"["&amp;#REF!&amp;"]")</f>
        <v/>
      </c>
    </row>
    <row r="688" spans="36:36" ht="12" customHeight="1" x14ac:dyDescent="0.25">
      <c r="AJ688" t="str">
        <f>IF(AI688="", "", AI688&amp;"["&amp;#REF!&amp;"]")</f>
        <v/>
      </c>
    </row>
    <row r="689" spans="36:36" ht="12" customHeight="1" x14ac:dyDescent="0.25">
      <c r="AJ689" t="str">
        <f>IF(AI689="", "", AI689&amp;"["&amp;#REF!&amp;"]")</f>
        <v/>
      </c>
    </row>
    <row r="690" spans="36:36" ht="12" customHeight="1" x14ac:dyDescent="0.25">
      <c r="AJ690" t="str">
        <f>IF(AI690="", "", AI690&amp;"["&amp;#REF!&amp;"]")</f>
        <v/>
      </c>
    </row>
    <row r="691" spans="36:36" ht="12" customHeight="1" x14ac:dyDescent="0.25">
      <c r="AJ691" t="str">
        <f>IF(AI691="", "", AI691&amp;"["&amp;#REF!&amp;"]")</f>
        <v/>
      </c>
    </row>
    <row r="692" spans="36:36" ht="12" customHeight="1" x14ac:dyDescent="0.25">
      <c r="AJ692" t="str">
        <f>IF(AI692="", "", AI692&amp;"["&amp;#REF!&amp;"]")</f>
        <v/>
      </c>
    </row>
    <row r="693" spans="36:36" ht="12" customHeight="1" x14ac:dyDescent="0.25">
      <c r="AJ693" t="str">
        <f>IF(AI693="", "", AI693&amp;"["&amp;#REF!&amp;"]")</f>
        <v/>
      </c>
    </row>
    <row r="694" spans="36:36" ht="12" customHeight="1" x14ac:dyDescent="0.25">
      <c r="AJ694" t="str">
        <f>IF(AI694="", "", AI694&amp;"["&amp;#REF!&amp;"]")</f>
        <v/>
      </c>
    </row>
    <row r="695" spans="36:36" ht="12" customHeight="1" x14ac:dyDescent="0.25">
      <c r="AJ695" t="str">
        <f>IF(AI695="", "", AI695&amp;"["&amp;#REF!&amp;"]")</f>
        <v/>
      </c>
    </row>
    <row r="696" spans="36:36" ht="12" customHeight="1" x14ac:dyDescent="0.25">
      <c r="AJ696" t="str">
        <f>IF(AI696="", "", AI696&amp;"["&amp;#REF!&amp;"]")</f>
        <v/>
      </c>
    </row>
    <row r="697" spans="36:36" ht="12" customHeight="1" x14ac:dyDescent="0.25">
      <c r="AJ697" t="str">
        <f>IF(AI697="", "", AI697&amp;"["&amp;#REF!&amp;"]")</f>
        <v/>
      </c>
    </row>
    <row r="698" spans="36:36" ht="12" customHeight="1" x14ac:dyDescent="0.25">
      <c r="AJ698" t="str">
        <f>IF(AI698="", "", AI698&amp;"["&amp;#REF!&amp;"]")</f>
        <v/>
      </c>
    </row>
    <row r="699" spans="36:36" ht="12" customHeight="1" x14ac:dyDescent="0.25">
      <c r="AJ699" t="str">
        <f>IF(AI699="", "", AI699&amp;"["&amp;#REF!&amp;"]")</f>
        <v/>
      </c>
    </row>
    <row r="700" spans="36:36" ht="12" customHeight="1" x14ac:dyDescent="0.25">
      <c r="AJ700" t="str">
        <f>IF(AI700="", "", AI700&amp;"["&amp;#REF!&amp;"]")</f>
        <v/>
      </c>
    </row>
    <row r="701" spans="36:36" ht="12" customHeight="1" x14ac:dyDescent="0.25">
      <c r="AJ701" t="str">
        <f>IF(AI701="", "", AI701&amp;"["&amp;#REF!&amp;"]")</f>
        <v/>
      </c>
    </row>
    <row r="702" spans="36:36" ht="12" customHeight="1" x14ac:dyDescent="0.25">
      <c r="AJ702" t="str">
        <f>IF(AI702="", "", AI702&amp;"["&amp;#REF!&amp;"]")</f>
        <v/>
      </c>
    </row>
    <row r="703" spans="36:36" ht="12" customHeight="1" x14ac:dyDescent="0.25">
      <c r="AJ703" t="str">
        <f>IF(AI703="", "", AI703&amp;"["&amp;#REF!&amp;"]")</f>
        <v/>
      </c>
    </row>
    <row r="704" spans="36:36" ht="12" customHeight="1" x14ac:dyDescent="0.25">
      <c r="AJ704" t="str">
        <f>IF(AI704="", "", AI704&amp;"["&amp;#REF!&amp;"]")</f>
        <v/>
      </c>
    </row>
    <row r="705" spans="36:36" ht="12" customHeight="1" x14ac:dyDescent="0.25">
      <c r="AJ705" t="str">
        <f>IF(AI705="", "", AI705&amp;"["&amp;#REF!&amp;"]")</f>
        <v/>
      </c>
    </row>
    <row r="706" spans="36:36" ht="12" customHeight="1" x14ac:dyDescent="0.25">
      <c r="AJ706" t="str">
        <f>IF(AI706="", "", AI706&amp;"["&amp;#REF!&amp;"]")</f>
        <v/>
      </c>
    </row>
    <row r="707" spans="36:36" ht="12" customHeight="1" x14ac:dyDescent="0.25">
      <c r="AJ707" t="str">
        <f>IF(AI707="", "", AI707&amp;"["&amp;#REF!&amp;"]")</f>
        <v/>
      </c>
    </row>
    <row r="708" spans="36:36" ht="12" customHeight="1" x14ac:dyDescent="0.25">
      <c r="AJ708" t="str">
        <f>IF(AI708="", "", AI708&amp;"["&amp;#REF!&amp;"]")</f>
        <v/>
      </c>
    </row>
    <row r="709" spans="36:36" ht="12" customHeight="1" x14ac:dyDescent="0.25">
      <c r="AJ709" t="str">
        <f>IF(AI709="", "", AI709&amp;"["&amp;#REF!&amp;"]")</f>
        <v/>
      </c>
    </row>
    <row r="710" spans="36:36" ht="12" customHeight="1" x14ac:dyDescent="0.25">
      <c r="AJ710" t="str">
        <f>IF(AI710="", "", AI710&amp;"["&amp;#REF!&amp;"]")</f>
        <v/>
      </c>
    </row>
    <row r="711" spans="36:36" ht="12" customHeight="1" x14ac:dyDescent="0.25">
      <c r="AJ711" t="str">
        <f>IF(AI711="", "", AI711&amp;"["&amp;#REF!&amp;"]")</f>
        <v/>
      </c>
    </row>
    <row r="712" spans="36:36" ht="12" customHeight="1" x14ac:dyDescent="0.25">
      <c r="AJ712" t="str">
        <f>IF(AI712="", "", AI712&amp;"["&amp;#REF!&amp;"]")</f>
        <v/>
      </c>
    </row>
    <row r="713" spans="36:36" ht="12" customHeight="1" x14ac:dyDescent="0.25">
      <c r="AJ713" t="str">
        <f>IF(AI713="", "", AI713&amp;"["&amp;#REF!&amp;"]")</f>
        <v/>
      </c>
    </row>
    <row r="714" spans="36:36" ht="12" customHeight="1" x14ac:dyDescent="0.25">
      <c r="AJ714" t="str">
        <f>IF(AI714="", "", AI714&amp;"["&amp;#REF!&amp;"]")</f>
        <v/>
      </c>
    </row>
    <row r="715" spans="36:36" ht="12" customHeight="1" x14ac:dyDescent="0.25">
      <c r="AJ715" t="str">
        <f>IF(AI715="", "", AI715&amp;"["&amp;#REF!&amp;"]")</f>
        <v/>
      </c>
    </row>
    <row r="716" spans="36:36" ht="12" customHeight="1" x14ac:dyDescent="0.25">
      <c r="AJ716" t="str">
        <f>IF(AI716="", "", AI716&amp;"["&amp;#REF!&amp;"]")</f>
        <v/>
      </c>
    </row>
    <row r="717" spans="36:36" ht="12" customHeight="1" x14ac:dyDescent="0.25">
      <c r="AJ717" t="str">
        <f>IF(AI717="", "", AI717&amp;"["&amp;#REF!&amp;"]")</f>
        <v/>
      </c>
    </row>
    <row r="718" spans="36:36" ht="12" customHeight="1" x14ac:dyDescent="0.25">
      <c r="AJ718" t="str">
        <f>IF(AI718="", "", AI718&amp;"["&amp;#REF!&amp;"]")</f>
        <v/>
      </c>
    </row>
    <row r="719" spans="36:36" ht="12" customHeight="1" x14ac:dyDescent="0.25">
      <c r="AJ719" t="str">
        <f>IF(AI719="", "", AI719&amp;"["&amp;#REF!&amp;"]")</f>
        <v/>
      </c>
    </row>
    <row r="720" spans="36:36" ht="12" customHeight="1" x14ac:dyDescent="0.25">
      <c r="AJ720" t="str">
        <f>IF(AI720="", "", AI720&amp;"["&amp;#REF!&amp;"]")</f>
        <v/>
      </c>
    </row>
    <row r="721" spans="36:36" ht="12" customHeight="1" x14ac:dyDescent="0.25">
      <c r="AJ721" t="str">
        <f>IF(AI721="", "", AI721&amp;"["&amp;#REF!&amp;"]")</f>
        <v/>
      </c>
    </row>
    <row r="722" spans="36:36" ht="12" customHeight="1" x14ac:dyDescent="0.25">
      <c r="AJ722" t="str">
        <f>IF(AI722="", "", AI722&amp;"["&amp;#REF!&amp;"]")</f>
        <v/>
      </c>
    </row>
    <row r="723" spans="36:36" ht="12" customHeight="1" x14ac:dyDescent="0.25">
      <c r="AJ723" t="str">
        <f>IF(AI723="", "", AI723&amp;"["&amp;#REF!&amp;"]")</f>
        <v/>
      </c>
    </row>
    <row r="724" spans="36:36" ht="12" customHeight="1" x14ac:dyDescent="0.25">
      <c r="AJ724" t="str">
        <f>IF(AI724="", "", AI724&amp;"["&amp;#REF!&amp;"]")</f>
        <v/>
      </c>
    </row>
    <row r="725" spans="36:36" ht="12" customHeight="1" x14ac:dyDescent="0.25">
      <c r="AJ725" t="str">
        <f>IF(AI725="", "", AI725&amp;"["&amp;#REF!&amp;"]")</f>
        <v/>
      </c>
    </row>
    <row r="726" spans="36:36" ht="12" customHeight="1" x14ac:dyDescent="0.25">
      <c r="AJ726" t="str">
        <f>IF(AI726="", "", AI726&amp;"["&amp;#REF!&amp;"]")</f>
        <v/>
      </c>
    </row>
    <row r="727" spans="36:36" ht="12" customHeight="1" x14ac:dyDescent="0.25">
      <c r="AJ727" t="str">
        <f>IF(AI727="", "", AI727&amp;"["&amp;#REF!&amp;"]")</f>
        <v/>
      </c>
    </row>
    <row r="728" spans="36:36" ht="12" customHeight="1" x14ac:dyDescent="0.25">
      <c r="AJ728" t="str">
        <f>IF(AI728="", "", AI728&amp;"["&amp;#REF!&amp;"]")</f>
        <v/>
      </c>
    </row>
    <row r="729" spans="36:36" ht="12" customHeight="1" x14ac:dyDescent="0.25">
      <c r="AJ729" t="str">
        <f>IF(AI729="", "", AI729&amp;"["&amp;#REF!&amp;"]")</f>
        <v/>
      </c>
    </row>
    <row r="730" spans="36:36" ht="12" customHeight="1" x14ac:dyDescent="0.25">
      <c r="AJ730" t="str">
        <f>IF(AI730="", "", AI730&amp;"["&amp;#REF!&amp;"]")</f>
        <v/>
      </c>
    </row>
    <row r="731" spans="36:36" ht="12" customHeight="1" x14ac:dyDescent="0.25">
      <c r="AJ731" t="str">
        <f>IF(AI731="", "", AI731&amp;"["&amp;#REF!&amp;"]")</f>
        <v/>
      </c>
    </row>
    <row r="732" spans="36:36" ht="12" customHeight="1" x14ac:dyDescent="0.25">
      <c r="AJ732" t="str">
        <f>IF(AI732="", "", AI732&amp;"["&amp;#REF!&amp;"]")</f>
        <v/>
      </c>
    </row>
    <row r="733" spans="36:36" ht="12" customHeight="1" x14ac:dyDescent="0.25">
      <c r="AJ733" t="str">
        <f>IF(AI733="", "", AI733&amp;"["&amp;#REF!&amp;"]")</f>
        <v/>
      </c>
    </row>
    <row r="734" spans="36:36" ht="12" customHeight="1" x14ac:dyDescent="0.25">
      <c r="AJ734" t="str">
        <f>IF(AI734="", "", AI734&amp;"["&amp;#REF!&amp;"]")</f>
        <v/>
      </c>
    </row>
    <row r="735" spans="36:36" ht="12" customHeight="1" x14ac:dyDescent="0.25">
      <c r="AJ735" t="str">
        <f>IF(AI735="", "", AI735&amp;"["&amp;#REF!&amp;"]")</f>
        <v/>
      </c>
    </row>
    <row r="736" spans="36:36" ht="12" customHeight="1" x14ac:dyDescent="0.25">
      <c r="AJ736" t="str">
        <f>IF(AI736="", "", AI736&amp;"["&amp;#REF!&amp;"]")</f>
        <v/>
      </c>
    </row>
    <row r="737" spans="36:36" ht="12" customHeight="1" x14ac:dyDescent="0.25">
      <c r="AJ737" t="str">
        <f>IF(AI737="", "", AI737&amp;"["&amp;#REF!&amp;"]")</f>
        <v/>
      </c>
    </row>
    <row r="738" spans="36:36" ht="12" customHeight="1" x14ac:dyDescent="0.25">
      <c r="AJ738" t="str">
        <f>IF(AI738="", "", AI738&amp;"["&amp;#REF!&amp;"]")</f>
        <v/>
      </c>
    </row>
    <row r="739" spans="36:36" ht="12" customHeight="1" x14ac:dyDescent="0.25">
      <c r="AJ739" t="str">
        <f>IF(AI739="", "", AI739&amp;"["&amp;#REF!&amp;"]")</f>
        <v/>
      </c>
    </row>
    <row r="740" spans="36:36" ht="12" customHeight="1" x14ac:dyDescent="0.25">
      <c r="AJ740" t="str">
        <f>IF(AI740="", "", AI740&amp;"["&amp;#REF!&amp;"]")</f>
        <v/>
      </c>
    </row>
    <row r="741" spans="36:36" ht="12" customHeight="1" x14ac:dyDescent="0.25">
      <c r="AJ741" t="str">
        <f>IF(AI741="", "", AI741&amp;"["&amp;#REF!&amp;"]")</f>
        <v/>
      </c>
    </row>
    <row r="742" spans="36:36" ht="12" customHeight="1" x14ac:dyDescent="0.25">
      <c r="AJ742" t="str">
        <f>IF(AI742="", "", AI742&amp;"["&amp;#REF!&amp;"]")</f>
        <v/>
      </c>
    </row>
    <row r="743" spans="36:36" ht="12" customHeight="1" x14ac:dyDescent="0.25">
      <c r="AJ743" t="str">
        <f>IF(AI743="", "", AI743&amp;"["&amp;#REF!&amp;"]")</f>
        <v/>
      </c>
    </row>
    <row r="744" spans="36:36" ht="12" customHeight="1" x14ac:dyDescent="0.25">
      <c r="AJ744" t="str">
        <f>IF(AI744="", "", AI744&amp;"["&amp;#REF!&amp;"]")</f>
        <v/>
      </c>
    </row>
    <row r="745" spans="36:36" ht="12" customHeight="1" x14ac:dyDescent="0.25">
      <c r="AJ745" t="str">
        <f>IF(AI745="", "", AI745&amp;"["&amp;#REF!&amp;"]")</f>
        <v/>
      </c>
    </row>
    <row r="746" spans="36:36" ht="12" customHeight="1" x14ac:dyDescent="0.25">
      <c r="AJ746" t="str">
        <f>IF(AI746="", "", AI746&amp;"["&amp;#REF!&amp;"]")</f>
        <v/>
      </c>
    </row>
    <row r="747" spans="36:36" ht="12" customHeight="1" x14ac:dyDescent="0.25">
      <c r="AJ747" t="str">
        <f>IF(AI747="", "", AI747&amp;"["&amp;#REF!&amp;"]")</f>
        <v/>
      </c>
    </row>
    <row r="748" spans="36:36" ht="12" customHeight="1" x14ac:dyDescent="0.25">
      <c r="AJ748" t="str">
        <f>IF(AI748="", "", AI748&amp;"["&amp;#REF!&amp;"]")</f>
        <v/>
      </c>
    </row>
    <row r="749" spans="36:36" ht="12" customHeight="1" x14ac:dyDescent="0.25">
      <c r="AJ749" t="str">
        <f>IF(AI749="", "", AI749&amp;"["&amp;#REF!&amp;"]")</f>
        <v/>
      </c>
    </row>
    <row r="750" spans="36:36" ht="12" customHeight="1" x14ac:dyDescent="0.25">
      <c r="AJ750" t="str">
        <f>IF(AI750="", "", AI750&amp;"["&amp;#REF!&amp;"]")</f>
        <v/>
      </c>
    </row>
    <row r="751" spans="36:36" ht="12" customHeight="1" x14ac:dyDescent="0.25">
      <c r="AJ751" t="str">
        <f>IF(AI751="", "", AI751&amp;"["&amp;#REF!&amp;"]")</f>
        <v/>
      </c>
    </row>
    <row r="752" spans="36:36" ht="12" customHeight="1" x14ac:dyDescent="0.25">
      <c r="AJ752" t="str">
        <f>IF(AI752="", "", AI752&amp;"["&amp;#REF!&amp;"]")</f>
        <v/>
      </c>
    </row>
    <row r="753" spans="36:36" ht="12" customHeight="1" x14ac:dyDescent="0.25">
      <c r="AJ753" t="str">
        <f>IF(AI753="", "", AI753&amp;"["&amp;#REF!&amp;"]")</f>
        <v/>
      </c>
    </row>
    <row r="754" spans="36:36" ht="12" customHeight="1" x14ac:dyDescent="0.25">
      <c r="AJ754" t="str">
        <f>IF(AI754="", "", AI754&amp;"["&amp;#REF!&amp;"]")</f>
        <v/>
      </c>
    </row>
    <row r="755" spans="36:36" ht="12" customHeight="1" x14ac:dyDescent="0.25">
      <c r="AJ755" t="str">
        <f>IF(AI755="", "", AI755&amp;"["&amp;#REF!&amp;"]")</f>
        <v/>
      </c>
    </row>
    <row r="756" spans="36:36" ht="12" customHeight="1" x14ac:dyDescent="0.25">
      <c r="AJ756" t="str">
        <f>IF(AI756="", "", AI756&amp;"["&amp;#REF!&amp;"]")</f>
        <v/>
      </c>
    </row>
    <row r="757" spans="36:36" ht="12" customHeight="1" x14ac:dyDescent="0.25">
      <c r="AJ757" t="str">
        <f>IF(AI757="", "", AI757&amp;"["&amp;#REF!&amp;"]")</f>
        <v/>
      </c>
    </row>
    <row r="758" spans="36:36" ht="12" customHeight="1" x14ac:dyDescent="0.25">
      <c r="AJ758" t="str">
        <f>IF(AI758="", "", AI758&amp;"["&amp;#REF!&amp;"]")</f>
        <v/>
      </c>
    </row>
    <row r="759" spans="36:36" ht="12" customHeight="1" x14ac:dyDescent="0.25">
      <c r="AJ759" t="str">
        <f>IF(AI759="", "", AI759&amp;"["&amp;#REF!&amp;"]")</f>
        <v/>
      </c>
    </row>
    <row r="760" spans="36:36" ht="12" customHeight="1" x14ac:dyDescent="0.25">
      <c r="AJ760" t="str">
        <f>IF(AI760="", "", AI760&amp;"["&amp;#REF!&amp;"]")</f>
        <v/>
      </c>
    </row>
    <row r="761" spans="36:36" ht="12" customHeight="1" x14ac:dyDescent="0.25">
      <c r="AJ761" t="str">
        <f>IF(AI761="", "", AI761&amp;"["&amp;#REF!&amp;"]")</f>
        <v/>
      </c>
    </row>
    <row r="762" spans="36:36" ht="12" customHeight="1" x14ac:dyDescent="0.25">
      <c r="AJ762" t="str">
        <f>IF(AI762="", "", AI762&amp;"["&amp;#REF!&amp;"]")</f>
        <v/>
      </c>
    </row>
    <row r="763" spans="36:36" ht="12" customHeight="1" x14ac:dyDescent="0.25">
      <c r="AJ763" t="str">
        <f>IF(AI763="", "", AI763&amp;"["&amp;#REF!&amp;"]")</f>
        <v/>
      </c>
    </row>
    <row r="764" spans="36:36" ht="12" customHeight="1" x14ac:dyDescent="0.25">
      <c r="AJ764" t="str">
        <f>IF(AI764="", "", AI764&amp;"["&amp;#REF!&amp;"]")</f>
        <v/>
      </c>
    </row>
    <row r="765" spans="36:36" ht="12" customHeight="1" x14ac:dyDescent="0.25">
      <c r="AJ765" t="str">
        <f>IF(AI765="", "", AI765&amp;"["&amp;#REF!&amp;"]")</f>
        <v/>
      </c>
    </row>
    <row r="766" spans="36:36" ht="12" customHeight="1" x14ac:dyDescent="0.25">
      <c r="AJ766" t="str">
        <f>IF(AI766="", "", AI766&amp;"["&amp;#REF!&amp;"]")</f>
        <v/>
      </c>
    </row>
    <row r="767" spans="36:36" ht="12" customHeight="1" x14ac:dyDescent="0.25">
      <c r="AJ767" t="str">
        <f>IF(AI767="", "", AI767&amp;"["&amp;#REF!&amp;"]")</f>
        <v/>
      </c>
    </row>
    <row r="768" spans="36:36" ht="12" customHeight="1" x14ac:dyDescent="0.25">
      <c r="AJ768" t="str">
        <f>IF(AI768="", "", AI768&amp;"["&amp;#REF!&amp;"]")</f>
        <v/>
      </c>
    </row>
    <row r="769" spans="36:36" ht="12" customHeight="1" x14ac:dyDescent="0.25">
      <c r="AJ769" t="str">
        <f>IF(AI769="", "", AI769&amp;"["&amp;#REF!&amp;"]")</f>
        <v/>
      </c>
    </row>
    <row r="770" spans="36:36" ht="12" customHeight="1" x14ac:dyDescent="0.25">
      <c r="AJ770" t="str">
        <f>IF(AI770="", "", AI770&amp;"["&amp;#REF!&amp;"]")</f>
        <v/>
      </c>
    </row>
    <row r="771" spans="36:36" ht="12" customHeight="1" x14ac:dyDescent="0.25">
      <c r="AJ771" t="str">
        <f>IF(AI771="", "", AI771&amp;"["&amp;#REF!&amp;"]")</f>
        <v/>
      </c>
    </row>
    <row r="772" spans="36:36" ht="12" customHeight="1" x14ac:dyDescent="0.25">
      <c r="AJ772" t="str">
        <f>IF(AI772="", "", AI772&amp;"["&amp;#REF!&amp;"]")</f>
        <v/>
      </c>
    </row>
    <row r="773" spans="36:36" ht="12" customHeight="1" x14ac:dyDescent="0.25">
      <c r="AJ773" t="str">
        <f>IF(AI773="", "", AI773&amp;"["&amp;#REF!&amp;"]")</f>
        <v/>
      </c>
    </row>
    <row r="774" spans="36:36" ht="12" customHeight="1" x14ac:dyDescent="0.25">
      <c r="AJ774" t="str">
        <f>IF(AI774="", "", AI774&amp;"["&amp;#REF!&amp;"]")</f>
        <v/>
      </c>
    </row>
    <row r="775" spans="36:36" ht="12" customHeight="1" x14ac:dyDescent="0.25">
      <c r="AJ775" t="str">
        <f>IF(AI775="", "", AI775&amp;"["&amp;#REF!&amp;"]")</f>
        <v/>
      </c>
    </row>
    <row r="776" spans="36:36" ht="12" customHeight="1" x14ac:dyDescent="0.25">
      <c r="AJ776" t="str">
        <f>IF(AI776="", "", AI776&amp;"["&amp;#REF!&amp;"]")</f>
        <v/>
      </c>
    </row>
    <row r="777" spans="36:36" ht="12" customHeight="1" x14ac:dyDescent="0.25">
      <c r="AJ777" t="str">
        <f>IF(AI777="", "", AI777&amp;"["&amp;#REF!&amp;"]")</f>
        <v/>
      </c>
    </row>
    <row r="778" spans="36:36" ht="12" customHeight="1" x14ac:dyDescent="0.25">
      <c r="AJ778" t="str">
        <f>IF(AI778="", "", AI778&amp;"["&amp;#REF!&amp;"]")</f>
        <v/>
      </c>
    </row>
    <row r="779" spans="36:36" ht="12" customHeight="1" x14ac:dyDescent="0.25">
      <c r="AJ779" t="str">
        <f>IF(AI779="", "", AI779&amp;"["&amp;#REF!&amp;"]")</f>
        <v/>
      </c>
    </row>
    <row r="780" spans="36:36" ht="12" customHeight="1" x14ac:dyDescent="0.25">
      <c r="AJ780" t="str">
        <f>IF(AI780="", "", AI780&amp;"["&amp;#REF!&amp;"]")</f>
        <v/>
      </c>
    </row>
    <row r="781" spans="36:36" ht="12" customHeight="1" x14ac:dyDescent="0.25">
      <c r="AJ781" t="str">
        <f>IF(AI781="", "", AI781&amp;"["&amp;#REF!&amp;"]")</f>
        <v/>
      </c>
    </row>
    <row r="782" spans="36:36" ht="12" customHeight="1" x14ac:dyDescent="0.25">
      <c r="AJ782" t="str">
        <f>IF(AI782="", "", AI782&amp;"["&amp;#REF!&amp;"]")</f>
        <v/>
      </c>
    </row>
    <row r="783" spans="36:36" ht="12" customHeight="1" x14ac:dyDescent="0.25">
      <c r="AJ783" t="str">
        <f>IF(AI783="", "", AI783&amp;"["&amp;#REF!&amp;"]")</f>
        <v/>
      </c>
    </row>
    <row r="784" spans="36:36" ht="12" customHeight="1" x14ac:dyDescent="0.25">
      <c r="AJ784" t="str">
        <f>IF(AI784="", "", AI784&amp;"["&amp;#REF!&amp;"]")</f>
        <v/>
      </c>
    </row>
    <row r="785" spans="36:36" ht="12" customHeight="1" x14ac:dyDescent="0.25">
      <c r="AJ785" t="str">
        <f>IF(AI785="", "", AI785&amp;"["&amp;#REF!&amp;"]")</f>
        <v/>
      </c>
    </row>
    <row r="786" spans="36:36" ht="12" customHeight="1" x14ac:dyDescent="0.25">
      <c r="AJ786" t="str">
        <f>IF(AI786="", "", AI786&amp;"["&amp;#REF!&amp;"]")</f>
        <v/>
      </c>
    </row>
    <row r="787" spans="36:36" ht="12" customHeight="1" x14ac:dyDescent="0.25">
      <c r="AJ787" t="str">
        <f>IF(AI787="", "", AI787&amp;"["&amp;#REF!&amp;"]")</f>
        <v/>
      </c>
    </row>
    <row r="788" spans="36:36" ht="12" customHeight="1" x14ac:dyDescent="0.25">
      <c r="AJ788" t="str">
        <f>IF(AI788="", "", AI788&amp;"["&amp;#REF!&amp;"]")</f>
        <v/>
      </c>
    </row>
    <row r="789" spans="36:36" ht="12" customHeight="1" x14ac:dyDescent="0.25">
      <c r="AJ789" t="str">
        <f>IF(AI789="", "", AI789&amp;"["&amp;#REF!&amp;"]")</f>
        <v/>
      </c>
    </row>
    <row r="790" spans="36:36" ht="12" customHeight="1" x14ac:dyDescent="0.25">
      <c r="AJ790" t="str">
        <f>IF(AI790="", "", AI790&amp;"["&amp;#REF!&amp;"]")</f>
        <v/>
      </c>
    </row>
    <row r="791" spans="36:36" ht="12" customHeight="1" x14ac:dyDescent="0.25">
      <c r="AJ791" t="str">
        <f>IF(AI791="", "", AI791&amp;"["&amp;#REF!&amp;"]")</f>
        <v/>
      </c>
    </row>
    <row r="792" spans="36:36" ht="12" customHeight="1" x14ac:dyDescent="0.25">
      <c r="AJ792" t="str">
        <f>IF(AI792="", "", AI792&amp;"["&amp;#REF!&amp;"]")</f>
        <v/>
      </c>
    </row>
    <row r="793" spans="36:36" ht="12" customHeight="1" x14ac:dyDescent="0.25">
      <c r="AJ793" t="str">
        <f>IF(AI793="", "", AI793&amp;"["&amp;#REF!&amp;"]")</f>
        <v/>
      </c>
    </row>
    <row r="794" spans="36:36" ht="12" customHeight="1" x14ac:dyDescent="0.25">
      <c r="AJ794" t="str">
        <f>IF(AI794="", "", AI794&amp;"["&amp;#REF!&amp;"]")</f>
        <v/>
      </c>
    </row>
    <row r="795" spans="36:36" ht="12" customHeight="1" x14ac:dyDescent="0.25">
      <c r="AJ795" t="str">
        <f>IF(AI795="", "", AI795&amp;"["&amp;#REF!&amp;"]")</f>
        <v/>
      </c>
    </row>
    <row r="796" spans="36:36" ht="12" customHeight="1" x14ac:dyDescent="0.25">
      <c r="AJ796" t="str">
        <f>IF(AI796="", "", AI796&amp;"["&amp;#REF!&amp;"]")</f>
        <v/>
      </c>
    </row>
    <row r="797" spans="36:36" ht="12" customHeight="1" x14ac:dyDescent="0.25">
      <c r="AJ797" t="str">
        <f>IF(AI797="", "", AI797&amp;"["&amp;#REF!&amp;"]")</f>
        <v/>
      </c>
    </row>
    <row r="798" spans="36:36" ht="12" customHeight="1" x14ac:dyDescent="0.25">
      <c r="AJ798" t="str">
        <f>IF(AI798="", "", AI798&amp;"["&amp;#REF!&amp;"]")</f>
        <v/>
      </c>
    </row>
    <row r="799" spans="36:36" ht="12" customHeight="1" x14ac:dyDescent="0.25">
      <c r="AJ799" t="str">
        <f>IF(AI799="", "", AI799&amp;"["&amp;#REF!&amp;"]")</f>
        <v/>
      </c>
    </row>
    <row r="800" spans="36:36" ht="12" customHeight="1" x14ac:dyDescent="0.25">
      <c r="AJ800" t="str">
        <f>IF(AI800="", "", AI800&amp;"["&amp;#REF!&amp;"]")</f>
        <v/>
      </c>
    </row>
    <row r="801" spans="36:36" ht="12" customHeight="1" x14ac:dyDescent="0.25">
      <c r="AJ801" t="str">
        <f>IF(AI801="", "", AI801&amp;"["&amp;#REF!&amp;"]")</f>
        <v/>
      </c>
    </row>
    <row r="802" spans="36:36" ht="12" customHeight="1" x14ac:dyDescent="0.25">
      <c r="AJ802" t="str">
        <f>IF(AI802="", "", AI802&amp;"["&amp;#REF!&amp;"]")</f>
        <v/>
      </c>
    </row>
    <row r="803" spans="36:36" ht="12" customHeight="1" x14ac:dyDescent="0.25">
      <c r="AJ803" t="str">
        <f>IF(AI803="", "", AI803&amp;"["&amp;#REF!&amp;"]")</f>
        <v/>
      </c>
    </row>
    <row r="804" spans="36:36" ht="12" customHeight="1" x14ac:dyDescent="0.25">
      <c r="AJ804" t="str">
        <f>IF(AI804="", "", AI804&amp;"["&amp;#REF!&amp;"]")</f>
        <v/>
      </c>
    </row>
    <row r="805" spans="36:36" ht="12" customHeight="1" x14ac:dyDescent="0.25">
      <c r="AJ805" t="str">
        <f>IF(AI805="", "", AI805&amp;"["&amp;#REF!&amp;"]")</f>
        <v/>
      </c>
    </row>
    <row r="806" spans="36:36" ht="12" customHeight="1" x14ac:dyDescent="0.25">
      <c r="AJ806" t="str">
        <f>IF(AI806="", "", AI806&amp;"["&amp;#REF!&amp;"]")</f>
        <v/>
      </c>
    </row>
    <row r="807" spans="36:36" ht="12" customHeight="1" x14ac:dyDescent="0.25">
      <c r="AJ807" t="str">
        <f>IF(AI807="", "", AI807&amp;"["&amp;#REF!&amp;"]")</f>
        <v/>
      </c>
    </row>
    <row r="808" spans="36:36" ht="12" customHeight="1" x14ac:dyDescent="0.25">
      <c r="AJ808" t="str">
        <f>IF(AI808="", "", AI808&amp;"["&amp;#REF!&amp;"]")</f>
        <v/>
      </c>
    </row>
    <row r="809" spans="36:36" ht="12" customHeight="1" x14ac:dyDescent="0.25">
      <c r="AJ809" t="str">
        <f>IF(AI809="", "", AI809&amp;"["&amp;#REF!&amp;"]")</f>
        <v/>
      </c>
    </row>
    <row r="810" spans="36:36" ht="12" customHeight="1" x14ac:dyDescent="0.25">
      <c r="AJ810" t="str">
        <f>IF(AI810="", "", AI810&amp;"["&amp;#REF!&amp;"]")</f>
        <v/>
      </c>
    </row>
    <row r="811" spans="36:36" ht="12" customHeight="1" x14ac:dyDescent="0.25">
      <c r="AJ811" t="str">
        <f>IF(AI811="", "", AI811&amp;"["&amp;#REF!&amp;"]")</f>
        <v/>
      </c>
    </row>
    <row r="812" spans="36:36" ht="12" customHeight="1" x14ac:dyDescent="0.25">
      <c r="AJ812" t="str">
        <f>IF(AI812="", "", AI812&amp;"["&amp;#REF!&amp;"]")</f>
        <v/>
      </c>
    </row>
    <row r="813" spans="36:36" ht="12" customHeight="1" x14ac:dyDescent="0.25">
      <c r="AJ813" t="str">
        <f>IF(AI813="", "", AI813&amp;"["&amp;#REF!&amp;"]")</f>
        <v/>
      </c>
    </row>
    <row r="814" spans="36:36" ht="12" customHeight="1" x14ac:dyDescent="0.25">
      <c r="AJ814" t="str">
        <f>IF(AI814="", "", AI814&amp;"["&amp;#REF!&amp;"]")</f>
        <v/>
      </c>
    </row>
    <row r="815" spans="36:36" ht="12" customHeight="1" x14ac:dyDescent="0.25">
      <c r="AJ815" t="str">
        <f>IF(AI815="", "", AI815&amp;"["&amp;#REF!&amp;"]")</f>
        <v/>
      </c>
    </row>
    <row r="816" spans="36:36" ht="12" customHeight="1" x14ac:dyDescent="0.25">
      <c r="AJ816" t="str">
        <f>IF(AI816="", "", AI816&amp;"["&amp;#REF!&amp;"]")</f>
        <v/>
      </c>
    </row>
    <row r="817" spans="36:36" ht="12" customHeight="1" x14ac:dyDescent="0.25">
      <c r="AJ817" t="str">
        <f>IF(AI817="", "", AI817&amp;"["&amp;#REF!&amp;"]")</f>
        <v/>
      </c>
    </row>
    <row r="818" spans="36:36" ht="12" customHeight="1" x14ac:dyDescent="0.25">
      <c r="AJ818" t="str">
        <f>IF(AI818="", "", AI818&amp;"["&amp;#REF!&amp;"]")</f>
        <v/>
      </c>
    </row>
    <row r="819" spans="36:36" ht="12" customHeight="1" x14ac:dyDescent="0.25">
      <c r="AJ819" t="str">
        <f>IF(AI819="", "", AI819&amp;"["&amp;#REF!&amp;"]")</f>
        <v/>
      </c>
    </row>
    <row r="820" spans="36:36" ht="12" customHeight="1" x14ac:dyDescent="0.25">
      <c r="AJ820" t="str">
        <f>IF(AI820="", "", AI820&amp;"["&amp;#REF!&amp;"]")</f>
        <v/>
      </c>
    </row>
    <row r="821" spans="36:36" ht="12" customHeight="1" x14ac:dyDescent="0.25">
      <c r="AJ821" t="str">
        <f>IF(AI821="", "", AI821&amp;"["&amp;#REF!&amp;"]")</f>
        <v/>
      </c>
    </row>
    <row r="822" spans="36:36" ht="12" customHeight="1" x14ac:dyDescent="0.25">
      <c r="AJ822" t="str">
        <f>IF(AI822="", "", AI822&amp;"["&amp;#REF!&amp;"]")</f>
        <v/>
      </c>
    </row>
    <row r="823" spans="36:36" ht="12" customHeight="1" x14ac:dyDescent="0.25">
      <c r="AJ823" t="str">
        <f>IF(AI823="", "", AI823&amp;"["&amp;#REF!&amp;"]")</f>
        <v/>
      </c>
    </row>
    <row r="824" spans="36:36" ht="12" customHeight="1" x14ac:dyDescent="0.25">
      <c r="AJ824" t="str">
        <f>IF(AI824="", "", AI824&amp;"["&amp;#REF!&amp;"]")</f>
        <v/>
      </c>
    </row>
    <row r="825" spans="36:36" ht="12" customHeight="1" x14ac:dyDescent="0.25">
      <c r="AJ825" t="str">
        <f>IF(AI825="", "", AI825&amp;"["&amp;#REF!&amp;"]")</f>
        <v/>
      </c>
    </row>
    <row r="826" spans="36:36" ht="12" customHeight="1" x14ac:dyDescent="0.25">
      <c r="AJ826" t="str">
        <f>IF(AI826="", "", AI826&amp;"["&amp;#REF!&amp;"]")</f>
        <v/>
      </c>
    </row>
    <row r="827" spans="36:36" ht="12" customHeight="1" x14ac:dyDescent="0.25">
      <c r="AJ827" t="str">
        <f>IF(AI827="", "", AI827&amp;"["&amp;#REF!&amp;"]")</f>
        <v/>
      </c>
    </row>
    <row r="828" spans="36:36" ht="12" customHeight="1" x14ac:dyDescent="0.25">
      <c r="AJ828" t="str">
        <f>IF(AI828="", "", AI828&amp;"["&amp;#REF!&amp;"]")</f>
        <v/>
      </c>
    </row>
    <row r="829" spans="36:36" ht="12" customHeight="1" x14ac:dyDescent="0.25">
      <c r="AJ829" t="str">
        <f>IF(AI829="", "", AI829&amp;"["&amp;#REF!&amp;"]")</f>
        <v/>
      </c>
    </row>
    <row r="830" spans="36:36" ht="12" customHeight="1" x14ac:dyDescent="0.25">
      <c r="AJ830" t="str">
        <f>IF(AI830="", "", AI830&amp;"["&amp;#REF!&amp;"]")</f>
        <v/>
      </c>
    </row>
    <row r="831" spans="36:36" ht="12" customHeight="1" x14ac:dyDescent="0.25">
      <c r="AJ831" t="str">
        <f>IF(AI831="", "", AI831&amp;"["&amp;#REF!&amp;"]")</f>
        <v/>
      </c>
    </row>
    <row r="832" spans="36:36" ht="12" customHeight="1" x14ac:dyDescent="0.25">
      <c r="AJ832" t="str">
        <f>IF(AI832="", "", AI832&amp;"["&amp;#REF!&amp;"]")</f>
        <v/>
      </c>
    </row>
    <row r="833" spans="36:36" ht="12" customHeight="1" x14ac:dyDescent="0.25">
      <c r="AJ833" t="str">
        <f>IF(AI833="", "", AI833&amp;"["&amp;#REF!&amp;"]")</f>
        <v/>
      </c>
    </row>
    <row r="834" spans="36:36" ht="12" customHeight="1" x14ac:dyDescent="0.25">
      <c r="AJ834" t="str">
        <f>IF(AI834="", "", AI834&amp;"["&amp;#REF!&amp;"]")</f>
        <v/>
      </c>
    </row>
    <row r="835" spans="36:36" ht="12" customHeight="1" x14ac:dyDescent="0.25">
      <c r="AJ835" t="str">
        <f>IF(AI835="", "", AI835&amp;"["&amp;#REF!&amp;"]")</f>
        <v/>
      </c>
    </row>
    <row r="836" spans="36:36" ht="12" customHeight="1" x14ac:dyDescent="0.25">
      <c r="AJ836" t="str">
        <f>IF(AI836="", "", AI836&amp;"["&amp;#REF!&amp;"]")</f>
        <v/>
      </c>
    </row>
    <row r="837" spans="36:36" ht="12" customHeight="1" x14ac:dyDescent="0.25">
      <c r="AJ837" t="str">
        <f>IF(AI837="", "", AI837&amp;"["&amp;#REF!&amp;"]")</f>
        <v/>
      </c>
    </row>
    <row r="838" spans="36:36" ht="12" customHeight="1" x14ac:dyDescent="0.25">
      <c r="AJ838" t="str">
        <f>IF(AI838="", "", AI838&amp;"["&amp;#REF!&amp;"]")</f>
        <v/>
      </c>
    </row>
    <row r="839" spans="36:36" ht="12" customHeight="1" x14ac:dyDescent="0.25">
      <c r="AJ839" t="str">
        <f>IF(AI839="", "", AI839&amp;"["&amp;#REF!&amp;"]")</f>
        <v/>
      </c>
    </row>
    <row r="840" spans="36:36" ht="12" customHeight="1" x14ac:dyDescent="0.25">
      <c r="AJ840" t="str">
        <f>IF(AI840="", "", AI840&amp;"["&amp;#REF!&amp;"]")</f>
        <v/>
      </c>
    </row>
    <row r="841" spans="36:36" ht="12" customHeight="1" x14ac:dyDescent="0.25">
      <c r="AJ841" t="str">
        <f>IF(AI841="", "", AI841&amp;"["&amp;#REF!&amp;"]")</f>
        <v/>
      </c>
    </row>
    <row r="842" spans="36:36" ht="12" customHeight="1" x14ac:dyDescent="0.25">
      <c r="AJ842" t="str">
        <f>IF(AI842="", "", AI842&amp;"["&amp;#REF!&amp;"]")</f>
        <v/>
      </c>
    </row>
    <row r="843" spans="36:36" ht="12" customHeight="1" x14ac:dyDescent="0.25">
      <c r="AJ843" t="str">
        <f>IF(AI843="", "", AI843&amp;"["&amp;#REF!&amp;"]")</f>
        <v/>
      </c>
    </row>
    <row r="844" spans="36:36" ht="12" customHeight="1" x14ac:dyDescent="0.25">
      <c r="AJ844" t="str">
        <f>IF(AI844="", "", AI844&amp;"["&amp;#REF!&amp;"]")</f>
        <v/>
      </c>
    </row>
    <row r="845" spans="36:36" ht="12" customHeight="1" x14ac:dyDescent="0.25">
      <c r="AJ845" t="str">
        <f>IF(AI845="", "", AI845&amp;"["&amp;#REF!&amp;"]")</f>
        <v/>
      </c>
    </row>
    <row r="846" spans="36:36" ht="12" customHeight="1" x14ac:dyDescent="0.25">
      <c r="AJ846" t="str">
        <f>IF(AI846="", "", AI846&amp;"["&amp;#REF!&amp;"]")</f>
        <v/>
      </c>
    </row>
    <row r="847" spans="36:36" ht="12" customHeight="1" x14ac:dyDescent="0.25">
      <c r="AJ847" t="str">
        <f>IF(AI847="", "", AI847&amp;"["&amp;#REF!&amp;"]")</f>
        <v/>
      </c>
    </row>
    <row r="848" spans="36:36" ht="12" customHeight="1" x14ac:dyDescent="0.25">
      <c r="AJ848" t="str">
        <f>IF(AI848="", "", AI848&amp;"["&amp;#REF!&amp;"]")</f>
        <v/>
      </c>
    </row>
    <row r="849" spans="36:36" ht="12" customHeight="1" x14ac:dyDescent="0.25">
      <c r="AJ849" t="str">
        <f>IF(AI849="", "", AI849&amp;"["&amp;#REF!&amp;"]")</f>
        <v/>
      </c>
    </row>
    <row r="850" spans="36:36" ht="12" customHeight="1" x14ac:dyDescent="0.25">
      <c r="AJ850" t="str">
        <f>IF(AI850="", "", AI850&amp;"["&amp;#REF!&amp;"]")</f>
        <v/>
      </c>
    </row>
    <row r="851" spans="36:36" ht="12" customHeight="1" x14ac:dyDescent="0.25">
      <c r="AJ851" t="str">
        <f>IF(AI851="", "", AI851&amp;"["&amp;#REF!&amp;"]")</f>
        <v/>
      </c>
    </row>
    <row r="852" spans="36:36" ht="12" customHeight="1" x14ac:dyDescent="0.25">
      <c r="AJ852" t="str">
        <f>IF(AI852="", "", AI852&amp;"["&amp;#REF!&amp;"]")</f>
        <v/>
      </c>
    </row>
    <row r="853" spans="36:36" ht="12" customHeight="1" x14ac:dyDescent="0.25">
      <c r="AJ853" t="str">
        <f>IF(AI853="", "", AI853&amp;"["&amp;#REF!&amp;"]")</f>
        <v/>
      </c>
    </row>
    <row r="854" spans="36:36" ht="12" customHeight="1" x14ac:dyDescent="0.25">
      <c r="AJ854" t="str">
        <f>IF(AI854="", "", AI854&amp;"["&amp;#REF!&amp;"]")</f>
        <v/>
      </c>
    </row>
    <row r="855" spans="36:36" ht="12" customHeight="1" x14ac:dyDescent="0.25">
      <c r="AJ855" t="str">
        <f>IF(AI855="", "", AI855&amp;"["&amp;#REF!&amp;"]")</f>
        <v/>
      </c>
    </row>
    <row r="856" spans="36:36" ht="12" customHeight="1" x14ac:dyDescent="0.25">
      <c r="AJ856" t="str">
        <f>IF(AI856="", "", AI856&amp;"["&amp;#REF!&amp;"]")</f>
        <v/>
      </c>
    </row>
    <row r="857" spans="36:36" ht="12" customHeight="1" x14ac:dyDescent="0.25">
      <c r="AJ857" t="str">
        <f>IF(AI857="", "", AI857&amp;"["&amp;#REF!&amp;"]")</f>
        <v/>
      </c>
    </row>
    <row r="858" spans="36:36" ht="12" customHeight="1" x14ac:dyDescent="0.25">
      <c r="AJ858" t="str">
        <f>IF(AI858="", "", AI858&amp;"["&amp;#REF!&amp;"]")</f>
        <v/>
      </c>
    </row>
    <row r="859" spans="36:36" ht="12" customHeight="1" x14ac:dyDescent="0.25">
      <c r="AJ859" t="str">
        <f>IF(AI859="", "", AI859&amp;"["&amp;#REF!&amp;"]")</f>
        <v/>
      </c>
    </row>
    <row r="860" spans="36:36" ht="12" customHeight="1" x14ac:dyDescent="0.25">
      <c r="AJ860" t="str">
        <f>IF(AI860="", "", AI860&amp;"["&amp;#REF!&amp;"]")</f>
        <v/>
      </c>
    </row>
    <row r="861" spans="36:36" ht="12" customHeight="1" x14ac:dyDescent="0.25">
      <c r="AJ861" t="str">
        <f>IF(AI861="", "", AI861&amp;"["&amp;#REF!&amp;"]")</f>
        <v/>
      </c>
    </row>
    <row r="862" spans="36:36" ht="12" customHeight="1" x14ac:dyDescent="0.25">
      <c r="AJ862" t="str">
        <f>IF(AI862="", "", AI862&amp;"["&amp;#REF!&amp;"]")</f>
        <v/>
      </c>
    </row>
    <row r="863" spans="36:36" ht="12" customHeight="1" x14ac:dyDescent="0.25">
      <c r="AJ863" t="str">
        <f>IF(AI863="", "", AI863&amp;"["&amp;#REF!&amp;"]")</f>
        <v/>
      </c>
    </row>
    <row r="864" spans="36:36" ht="12" customHeight="1" x14ac:dyDescent="0.25">
      <c r="AJ864" t="str">
        <f>IF(AI864="", "", AI864&amp;"["&amp;#REF!&amp;"]")</f>
        <v/>
      </c>
    </row>
    <row r="865" spans="36:36" ht="12" customHeight="1" x14ac:dyDescent="0.25">
      <c r="AJ865" t="str">
        <f>IF(AI865="", "", AI865&amp;"["&amp;#REF!&amp;"]")</f>
        <v/>
      </c>
    </row>
    <row r="866" spans="36:36" ht="12" customHeight="1" x14ac:dyDescent="0.25">
      <c r="AJ866" t="str">
        <f>IF(AI866="", "", AI866&amp;"["&amp;#REF!&amp;"]")</f>
        <v/>
      </c>
    </row>
    <row r="867" spans="36:36" ht="12" customHeight="1" x14ac:dyDescent="0.25">
      <c r="AJ867" t="str">
        <f>IF(AI867="", "", AI867&amp;"["&amp;#REF!&amp;"]")</f>
        <v/>
      </c>
    </row>
    <row r="868" spans="36:36" ht="12" customHeight="1" x14ac:dyDescent="0.25">
      <c r="AJ868" t="str">
        <f>IF(AI868="", "", AI868&amp;"["&amp;#REF!&amp;"]")</f>
        <v/>
      </c>
    </row>
    <row r="869" spans="36:36" ht="12" customHeight="1" x14ac:dyDescent="0.25">
      <c r="AJ869" t="str">
        <f>IF(AI869="", "", AI869&amp;"["&amp;#REF!&amp;"]")</f>
        <v/>
      </c>
    </row>
    <row r="870" spans="36:36" ht="12" customHeight="1" x14ac:dyDescent="0.25">
      <c r="AJ870" t="str">
        <f>IF(AI870="", "", AI870&amp;"["&amp;#REF!&amp;"]")</f>
        <v/>
      </c>
    </row>
    <row r="871" spans="36:36" ht="12" customHeight="1" x14ac:dyDescent="0.25">
      <c r="AJ871" t="str">
        <f>IF(AI871="", "", AI871&amp;"["&amp;#REF!&amp;"]")</f>
        <v/>
      </c>
    </row>
    <row r="872" spans="36:36" ht="12" customHeight="1" x14ac:dyDescent="0.25">
      <c r="AJ872" t="str">
        <f>IF(AI872="", "", AI872&amp;"["&amp;#REF!&amp;"]")</f>
        <v/>
      </c>
    </row>
    <row r="873" spans="36:36" ht="12" customHeight="1" x14ac:dyDescent="0.25">
      <c r="AJ873" t="str">
        <f>IF(AI873="", "", AI873&amp;"["&amp;#REF!&amp;"]")</f>
        <v/>
      </c>
    </row>
    <row r="874" spans="36:36" ht="12" customHeight="1" x14ac:dyDescent="0.25">
      <c r="AJ874" t="str">
        <f>IF(AI874="", "", AI874&amp;"["&amp;#REF!&amp;"]")</f>
        <v/>
      </c>
    </row>
    <row r="875" spans="36:36" ht="12" customHeight="1" x14ac:dyDescent="0.25">
      <c r="AJ875" t="str">
        <f>IF(AI875="", "", AI875&amp;"["&amp;#REF!&amp;"]")</f>
        <v/>
      </c>
    </row>
    <row r="876" spans="36:36" ht="12" customHeight="1" x14ac:dyDescent="0.25">
      <c r="AJ876" t="str">
        <f>IF(AI876="", "", AI876&amp;"["&amp;#REF!&amp;"]")</f>
        <v/>
      </c>
    </row>
    <row r="877" spans="36:36" ht="12" customHeight="1" x14ac:dyDescent="0.25">
      <c r="AJ877" t="str">
        <f>IF(AI877="", "", AI877&amp;"["&amp;#REF!&amp;"]")</f>
        <v/>
      </c>
    </row>
    <row r="878" spans="36:36" ht="12" customHeight="1" x14ac:dyDescent="0.25">
      <c r="AJ878" t="str">
        <f>IF(AI878="", "", AI878&amp;"["&amp;#REF!&amp;"]")</f>
        <v/>
      </c>
    </row>
    <row r="879" spans="36:36" ht="12" customHeight="1" x14ac:dyDescent="0.25">
      <c r="AJ879" t="str">
        <f>IF(AI879="", "", AI879&amp;"["&amp;#REF!&amp;"]")</f>
        <v/>
      </c>
    </row>
    <row r="880" spans="36:36" ht="12" customHeight="1" x14ac:dyDescent="0.25">
      <c r="AJ880" t="str">
        <f>IF(AI880="", "", AI880&amp;"["&amp;#REF!&amp;"]")</f>
        <v/>
      </c>
    </row>
    <row r="881" spans="36:36" ht="12" customHeight="1" x14ac:dyDescent="0.25">
      <c r="AJ881" t="str">
        <f>IF(AI881="", "", AI881&amp;"["&amp;#REF!&amp;"]")</f>
        <v/>
      </c>
    </row>
    <row r="882" spans="36:36" ht="12" customHeight="1" x14ac:dyDescent="0.25">
      <c r="AJ882" t="str">
        <f>IF(AI882="", "", AI882&amp;"["&amp;#REF!&amp;"]")</f>
        <v/>
      </c>
    </row>
    <row r="883" spans="36:36" ht="12" customHeight="1" x14ac:dyDescent="0.25">
      <c r="AJ883" t="str">
        <f>IF(AI883="", "", AI883&amp;"["&amp;#REF!&amp;"]")</f>
        <v/>
      </c>
    </row>
    <row r="884" spans="36:36" ht="12" customHeight="1" x14ac:dyDescent="0.25">
      <c r="AJ884" t="str">
        <f>IF(AI884="", "", AI884&amp;"["&amp;#REF!&amp;"]")</f>
        <v/>
      </c>
    </row>
    <row r="885" spans="36:36" ht="12" customHeight="1" x14ac:dyDescent="0.25">
      <c r="AJ885" t="str">
        <f>IF(AI885="", "", AI885&amp;"["&amp;#REF!&amp;"]")</f>
        <v/>
      </c>
    </row>
    <row r="886" spans="36:36" ht="12" customHeight="1" x14ac:dyDescent="0.25">
      <c r="AJ886" t="str">
        <f>IF(AI886="", "", AI886&amp;"["&amp;#REF!&amp;"]")</f>
        <v/>
      </c>
    </row>
    <row r="887" spans="36:36" ht="12" customHeight="1" x14ac:dyDescent="0.25">
      <c r="AJ887" t="str">
        <f>IF(AI887="", "", AI887&amp;"["&amp;#REF!&amp;"]")</f>
        <v/>
      </c>
    </row>
    <row r="888" spans="36:36" ht="12" customHeight="1" x14ac:dyDescent="0.25">
      <c r="AJ888" t="str">
        <f>IF(AI888="", "", AI888&amp;"["&amp;#REF!&amp;"]")</f>
        <v/>
      </c>
    </row>
    <row r="889" spans="36:36" ht="12" customHeight="1" x14ac:dyDescent="0.25">
      <c r="AJ889" t="str">
        <f>IF(AI889="", "", AI889&amp;"["&amp;#REF!&amp;"]")</f>
        <v/>
      </c>
    </row>
    <row r="890" spans="36:36" ht="12" customHeight="1" x14ac:dyDescent="0.25">
      <c r="AJ890" t="str">
        <f>IF(AI890="", "", AI890&amp;"["&amp;#REF!&amp;"]")</f>
        <v/>
      </c>
    </row>
    <row r="891" spans="36:36" ht="12" customHeight="1" x14ac:dyDescent="0.25">
      <c r="AJ891" t="str">
        <f>IF(AI891="", "", AI891&amp;"["&amp;#REF!&amp;"]")</f>
        <v/>
      </c>
    </row>
    <row r="892" spans="36:36" ht="12" customHeight="1" x14ac:dyDescent="0.25">
      <c r="AJ892" t="str">
        <f>IF(AI892="", "", AI892&amp;"["&amp;#REF!&amp;"]")</f>
        <v/>
      </c>
    </row>
    <row r="893" spans="36:36" ht="12" customHeight="1" x14ac:dyDescent="0.25">
      <c r="AJ893" t="str">
        <f>IF(AI893="", "", AI893&amp;"["&amp;#REF!&amp;"]")</f>
        <v/>
      </c>
    </row>
    <row r="894" spans="36:36" ht="12" customHeight="1" x14ac:dyDescent="0.25">
      <c r="AJ894" t="str">
        <f>IF(AI894="", "", AI894&amp;"["&amp;#REF!&amp;"]")</f>
        <v/>
      </c>
    </row>
    <row r="895" spans="36:36" ht="12" customHeight="1" x14ac:dyDescent="0.25">
      <c r="AJ895" t="str">
        <f>IF(AI895="", "", AI895&amp;"["&amp;#REF!&amp;"]")</f>
        <v/>
      </c>
    </row>
    <row r="896" spans="36:36" ht="12" customHeight="1" x14ac:dyDescent="0.25">
      <c r="AJ896" t="str">
        <f>IF(AI896="", "", AI896&amp;"["&amp;#REF!&amp;"]")</f>
        <v/>
      </c>
    </row>
    <row r="897" spans="36:36" ht="12" customHeight="1" x14ac:dyDescent="0.25">
      <c r="AJ897" t="str">
        <f>IF(AI897="", "", AI897&amp;"["&amp;#REF!&amp;"]")</f>
        <v/>
      </c>
    </row>
    <row r="898" spans="36:36" ht="12" customHeight="1" x14ac:dyDescent="0.25">
      <c r="AJ898" t="str">
        <f>IF(AI898="", "", AI898&amp;"["&amp;#REF!&amp;"]")</f>
        <v/>
      </c>
    </row>
    <row r="899" spans="36:36" ht="12" customHeight="1" x14ac:dyDescent="0.25">
      <c r="AJ899" t="str">
        <f>IF(AI899="", "", AI899&amp;"["&amp;#REF!&amp;"]")</f>
        <v/>
      </c>
    </row>
    <row r="900" spans="36:36" ht="12" customHeight="1" x14ac:dyDescent="0.25">
      <c r="AJ900" t="str">
        <f>IF(AI900="", "", AI900&amp;"["&amp;#REF!&amp;"]")</f>
        <v/>
      </c>
    </row>
    <row r="901" spans="36:36" ht="12" customHeight="1" x14ac:dyDescent="0.25">
      <c r="AJ901" t="str">
        <f>IF(AI901="", "", AI901&amp;"["&amp;#REF!&amp;"]")</f>
        <v/>
      </c>
    </row>
    <row r="902" spans="36:36" ht="12" customHeight="1" x14ac:dyDescent="0.25">
      <c r="AJ902" t="str">
        <f>IF(AI902="", "", AI902&amp;"["&amp;#REF!&amp;"]")</f>
        <v/>
      </c>
    </row>
    <row r="903" spans="36:36" ht="12" customHeight="1" x14ac:dyDescent="0.25">
      <c r="AJ903" t="str">
        <f>IF(AI903="", "", AI903&amp;"["&amp;#REF!&amp;"]")</f>
        <v/>
      </c>
    </row>
    <row r="904" spans="36:36" ht="12" customHeight="1" x14ac:dyDescent="0.25">
      <c r="AJ904" t="str">
        <f>IF(AI904="", "", AI904&amp;"["&amp;#REF!&amp;"]")</f>
        <v/>
      </c>
    </row>
    <row r="905" spans="36:36" ht="12" customHeight="1" x14ac:dyDescent="0.25">
      <c r="AJ905" t="str">
        <f>IF(AI905="", "", AI905&amp;"["&amp;#REF!&amp;"]")</f>
        <v/>
      </c>
    </row>
    <row r="906" spans="36:36" ht="12" customHeight="1" x14ac:dyDescent="0.25">
      <c r="AJ906" t="str">
        <f>IF(AI906="", "", AI906&amp;"["&amp;#REF!&amp;"]")</f>
        <v/>
      </c>
    </row>
    <row r="907" spans="36:36" ht="12" customHeight="1" x14ac:dyDescent="0.25">
      <c r="AJ907" t="str">
        <f>IF(AI907="", "", AI907&amp;"["&amp;#REF!&amp;"]")</f>
        <v/>
      </c>
    </row>
    <row r="908" spans="36:36" ht="12" customHeight="1" x14ac:dyDescent="0.25">
      <c r="AJ908" t="str">
        <f>IF(AI908="", "", AI908&amp;"["&amp;#REF!&amp;"]")</f>
        <v/>
      </c>
    </row>
    <row r="909" spans="36:36" ht="12" customHeight="1" x14ac:dyDescent="0.25">
      <c r="AJ909" t="str">
        <f>IF(AI909="", "", AI909&amp;"["&amp;#REF!&amp;"]")</f>
        <v/>
      </c>
    </row>
    <row r="910" spans="36:36" ht="12" customHeight="1" x14ac:dyDescent="0.25">
      <c r="AJ910" t="str">
        <f>IF(AI910="", "", AI910&amp;"["&amp;#REF!&amp;"]")</f>
        <v/>
      </c>
    </row>
    <row r="911" spans="36:36" ht="12" customHeight="1" x14ac:dyDescent="0.25">
      <c r="AJ911" t="str">
        <f>IF(AI911="", "", AI911&amp;"["&amp;#REF!&amp;"]")</f>
        <v/>
      </c>
    </row>
    <row r="912" spans="36:36" ht="12" customHeight="1" x14ac:dyDescent="0.25">
      <c r="AJ912" t="str">
        <f>IF(AI912="", "", AI912&amp;"["&amp;#REF!&amp;"]")</f>
        <v/>
      </c>
    </row>
    <row r="913" spans="36:36" ht="12" customHeight="1" x14ac:dyDescent="0.25">
      <c r="AJ913" t="str">
        <f>IF(AI913="", "", AI913&amp;"["&amp;#REF!&amp;"]")</f>
        <v/>
      </c>
    </row>
    <row r="914" spans="36:36" ht="12" customHeight="1" x14ac:dyDescent="0.25">
      <c r="AJ914" t="str">
        <f>IF(AI914="", "", AI914&amp;"["&amp;#REF!&amp;"]")</f>
        <v/>
      </c>
    </row>
    <row r="915" spans="36:36" ht="12" customHeight="1" x14ac:dyDescent="0.25">
      <c r="AJ915" t="str">
        <f>IF(AI915="", "", AI915&amp;"["&amp;#REF!&amp;"]")</f>
        <v/>
      </c>
    </row>
    <row r="916" spans="36:36" ht="12" customHeight="1" x14ac:dyDescent="0.25">
      <c r="AJ916" t="str">
        <f>IF(AI916="", "", AI916&amp;"["&amp;#REF!&amp;"]")</f>
        <v/>
      </c>
    </row>
    <row r="917" spans="36:36" ht="12" customHeight="1" x14ac:dyDescent="0.25">
      <c r="AJ917" t="str">
        <f>IF(AI917="", "", AI917&amp;"["&amp;#REF!&amp;"]")</f>
        <v/>
      </c>
    </row>
    <row r="918" spans="36:36" ht="12" customHeight="1" x14ac:dyDescent="0.25">
      <c r="AJ918" t="str">
        <f>IF(AI918="", "", AI918&amp;"["&amp;#REF!&amp;"]")</f>
        <v/>
      </c>
    </row>
    <row r="919" spans="36:36" ht="12" customHeight="1" x14ac:dyDescent="0.25">
      <c r="AJ919" t="str">
        <f>IF(AI919="", "", AI919&amp;"["&amp;#REF!&amp;"]")</f>
        <v/>
      </c>
    </row>
    <row r="920" spans="36:36" ht="12" customHeight="1" x14ac:dyDescent="0.25">
      <c r="AJ920" t="str">
        <f>IF(AI920="", "", AI920&amp;"["&amp;#REF!&amp;"]")</f>
        <v/>
      </c>
    </row>
    <row r="921" spans="36:36" ht="12" customHeight="1" x14ac:dyDescent="0.25">
      <c r="AJ921" t="str">
        <f>IF(AI921="", "", AI921&amp;"["&amp;#REF!&amp;"]")</f>
        <v/>
      </c>
    </row>
    <row r="922" spans="36:36" ht="12" customHeight="1" x14ac:dyDescent="0.25">
      <c r="AJ922" t="str">
        <f>IF(AI922="", "", AI922&amp;"["&amp;#REF!&amp;"]")</f>
        <v/>
      </c>
    </row>
    <row r="923" spans="36:36" ht="12" customHeight="1" x14ac:dyDescent="0.25">
      <c r="AJ923" t="str">
        <f>IF(AI923="", "", AI923&amp;"["&amp;#REF!&amp;"]")</f>
        <v/>
      </c>
    </row>
    <row r="924" spans="36:36" ht="12" customHeight="1" x14ac:dyDescent="0.25">
      <c r="AJ924" t="str">
        <f>IF(AI924="", "", AI924&amp;"["&amp;#REF!&amp;"]")</f>
        <v/>
      </c>
    </row>
    <row r="925" spans="36:36" ht="12" customHeight="1" x14ac:dyDescent="0.25">
      <c r="AJ925" t="str">
        <f>IF(AI925="", "", AI925&amp;"["&amp;#REF!&amp;"]")</f>
        <v/>
      </c>
    </row>
    <row r="926" spans="36:36" ht="12" customHeight="1" x14ac:dyDescent="0.25">
      <c r="AJ926" t="str">
        <f>IF(AI926="", "", AI926&amp;"["&amp;#REF!&amp;"]")</f>
        <v/>
      </c>
    </row>
    <row r="927" spans="36:36" ht="12" customHeight="1" x14ac:dyDescent="0.25">
      <c r="AJ927" t="str">
        <f>IF(AI927="", "", AI927&amp;"["&amp;#REF!&amp;"]")</f>
        <v/>
      </c>
    </row>
    <row r="928" spans="36:36" ht="12" customHeight="1" x14ac:dyDescent="0.25">
      <c r="AJ928" t="str">
        <f>IF(AI928="", "", AI928&amp;"["&amp;#REF!&amp;"]")</f>
        <v/>
      </c>
    </row>
    <row r="929" spans="36:36" ht="12" customHeight="1" x14ac:dyDescent="0.25">
      <c r="AJ929" t="str">
        <f>IF(AI929="", "", AI929&amp;"["&amp;#REF!&amp;"]")</f>
        <v/>
      </c>
    </row>
    <row r="930" spans="36:36" ht="12" customHeight="1" x14ac:dyDescent="0.25">
      <c r="AJ930" t="str">
        <f>IF(AI930="", "", AI930&amp;"["&amp;#REF!&amp;"]")</f>
        <v/>
      </c>
    </row>
    <row r="931" spans="36:36" ht="12" customHeight="1" x14ac:dyDescent="0.25">
      <c r="AJ931" t="str">
        <f>IF(AI931="", "", AI931&amp;"["&amp;#REF!&amp;"]")</f>
        <v/>
      </c>
    </row>
    <row r="932" spans="36:36" ht="12" customHeight="1" x14ac:dyDescent="0.25">
      <c r="AJ932" t="str">
        <f>IF(AI932="", "", AI932&amp;"["&amp;#REF!&amp;"]")</f>
        <v/>
      </c>
    </row>
    <row r="933" spans="36:36" ht="12" customHeight="1" x14ac:dyDescent="0.25">
      <c r="AJ933" t="str">
        <f>IF(AI933="", "", AI933&amp;"["&amp;#REF!&amp;"]")</f>
        <v/>
      </c>
    </row>
    <row r="934" spans="36:36" ht="12" customHeight="1" x14ac:dyDescent="0.25">
      <c r="AJ934" t="str">
        <f>IF(AI934="", "", AI934&amp;"["&amp;#REF!&amp;"]")</f>
        <v/>
      </c>
    </row>
    <row r="935" spans="36:36" ht="12" customHeight="1" x14ac:dyDescent="0.25">
      <c r="AJ935" t="str">
        <f>IF(AI935="", "", AI935&amp;"["&amp;#REF!&amp;"]")</f>
        <v/>
      </c>
    </row>
    <row r="936" spans="36:36" ht="12" customHeight="1" x14ac:dyDescent="0.25">
      <c r="AJ936" t="str">
        <f>IF(AI936="", "", AI936&amp;"["&amp;#REF!&amp;"]")</f>
        <v/>
      </c>
    </row>
    <row r="937" spans="36:36" ht="12" customHeight="1" x14ac:dyDescent="0.25">
      <c r="AJ937" t="str">
        <f>IF(AI937="", "", AI937&amp;"["&amp;#REF!&amp;"]")</f>
        <v/>
      </c>
    </row>
    <row r="938" spans="36:36" ht="12" customHeight="1" x14ac:dyDescent="0.25">
      <c r="AJ938" t="str">
        <f>IF(AI938="", "", AI938&amp;"["&amp;#REF!&amp;"]")</f>
        <v/>
      </c>
    </row>
    <row r="939" spans="36:36" ht="12" customHeight="1" x14ac:dyDescent="0.25">
      <c r="AJ939" t="str">
        <f>IF(AI939="", "", AI939&amp;"["&amp;#REF!&amp;"]")</f>
        <v/>
      </c>
    </row>
    <row r="940" spans="36:36" ht="12" customHeight="1" x14ac:dyDescent="0.25">
      <c r="AJ940" t="str">
        <f>IF(AI940="", "", AI940&amp;"["&amp;#REF!&amp;"]")</f>
        <v/>
      </c>
    </row>
    <row r="941" spans="36:36" ht="12" customHeight="1" x14ac:dyDescent="0.25">
      <c r="AJ941" t="str">
        <f>IF(AI941="", "", AI941&amp;"["&amp;#REF!&amp;"]")</f>
        <v/>
      </c>
    </row>
    <row r="942" spans="36:36" ht="12" customHeight="1" x14ac:dyDescent="0.25">
      <c r="AJ942" t="str">
        <f>IF(AI942="", "", AI942&amp;"["&amp;#REF!&amp;"]")</f>
        <v/>
      </c>
    </row>
    <row r="943" spans="36:36" ht="12" customHeight="1" x14ac:dyDescent="0.25">
      <c r="AJ943" t="str">
        <f>IF(AI943="", "", AI943&amp;"["&amp;#REF!&amp;"]")</f>
        <v/>
      </c>
    </row>
    <row r="944" spans="36:36" ht="12" customHeight="1" x14ac:dyDescent="0.25">
      <c r="AJ944" t="str">
        <f>IF(AI944="", "", AI944&amp;"["&amp;#REF!&amp;"]")</f>
        <v/>
      </c>
    </row>
    <row r="945" spans="36:36" ht="12" customHeight="1" x14ac:dyDescent="0.25">
      <c r="AJ945" t="str">
        <f>IF(AI945="", "", AI945&amp;"["&amp;#REF!&amp;"]")</f>
        <v/>
      </c>
    </row>
    <row r="946" spans="36:36" ht="12" customHeight="1" x14ac:dyDescent="0.25">
      <c r="AJ946" t="str">
        <f>IF(AI946="", "", AI946&amp;"["&amp;#REF!&amp;"]")</f>
        <v/>
      </c>
    </row>
    <row r="947" spans="36:36" ht="12" customHeight="1" x14ac:dyDescent="0.25">
      <c r="AJ947" t="str">
        <f>IF(AI947="", "", AI947&amp;"["&amp;#REF!&amp;"]")</f>
        <v/>
      </c>
    </row>
    <row r="948" spans="36:36" ht="12" customHeight="1" x14ac:dyDescent="0.25">
      <c r="AJ948" t="str">
        <f>IF(AI948="", "", AI948&amp;"["&amp;#REF!&amp;"]")</f>
        <v/>
      </c>
    </row>
    <row r="949" spans="36:36" ht="12" customHeight="1" x14ac:dyDescent="0.25">
      <c r="AJ949" t="str">
        <f>IF(AI949="", "", AI949&amp;"["&amp;#REF!&amp;"]")</f>
        <v/>
      </c>
    </row>
    <row r="950" spans="36:36" ht="12" customHeight="1" x14ac:dyDescent="0.25">
      <c r="AJ950" t="str">
        <f>IF(AI950="", "", AI950&amp;"["&amp;#REF!&amp;"]")</f>
        <v/>
      </c>
    </row>
    <row r="951" spans="36:36" ht="12" customHeight="1" x14ac:dyDescent="0.25">
      <c r="AJ951" t="str">
        <f>IF(AI951="", "", AI951&amp;"["&amp;#REF!&amp;"]")</f>
        <v/>
      </c>
    </row>
    <row r="952" spans="36:36" ht="12" customHeight="1" x14ac:dyDescent="0.25">
      <c r="AJ952" t="str">
        <f>IF(AI952="", "", AI952&amp;"["&amp;#REF!&amp;"]")</f>
        <v/>
      </c>
    </row>
    <row r="953" spans="36:36" ht="12" customHeight="1" x14ac:dyDescent="0.25">
      <c r="AJ953" t="str">
        <f>IF(AI953="", "", AI953&amp;"["&amp;#REF!&amp;"]")</f>
        <v/>
      </c>
    </row>
    <row r="954" spans="36:36" ht="12" customHeight="1" x14ac:dyDescent="0.25">
      <c r="AJ954" t="str">
        <f>IF(AI954="", "", AI954&amp;"["&amp;#REF!&amp;"]")</f>
        <v/>
      </c>
    </row>
    <row r="955" spans="36:36" ht="12" customHeight="1" x14ac:dyDescent="0.25">
      <c r="AJ955" t="str">
        <f>IF(AI955="", "", AI955&amp;"["&amp;#REF!&amp;"]")</f>
        <v/>
      </c>
    </row>
    <row r="956" spans="36:36" ht="12" customHeight="1" x14ac:dyDescent="0.25">
      <c r="AJ956" t="str">
        <f>IF(AI956="", "", AI956&amp;"["&amp;#REF!&amp;"]")</f>
        <v/>
      </c>
    </row>
    <row r="957" spans="36:36" ht="12" customHeight="1" x14ac:dyDescent="0.25">
      <c r="AJ957" t="str">
        <f>IF(AI957="", "", AI957&amp;"["&amp;#REF!&amp;"]")</f>
        <v/>
      </c>
    </row>
    <row r="958" spans="36:36" ht="12" customHeight="1" x14ac:dyDescent="0.25">
      <c r="AJ958" t="str">
        <f>IF(AI958="", "", AI958&amp;"["&amp;#REF!&amp;"]")</f>
        <v/>
      </c>
    </row>
    <row r="959" spans="36:36" ht="12" customHeight="1" x14ac:dyDescent="0.25">
      <c r="AJ959" t="str">
        <f>IF(AI959="", "", AI959&amp;"["&amp;#REF!&amp;"]")</f>
        <v/>
      </c>
    </row>
    <row r="960" spans="36:36" ht="12" customHeight="1" x14ac:dyDescent="0.25">
      <c r="AJ960" t="str">
        <f>IF(AI960="", "", AI960&amp;"["&amp;#REF!&amp;"]")</f>
        <v/>
      </c>
    </row>
    <row r="961" spans="36:36" ht="12" customHeight="1" x14ac:dyDescent="0.25">
      <c r="AJ961" t="str">
        <f>IF(AI961="", "", AI961&amp;"["&amp;#REF!&amp;"]")</f>
        <v/>
      </c>
    </row>
    <row r="962" spans="36:36" ht="12" customHeight="1" x14ac:dyDescent="0.25">
      <c r="AJ962" t="str">
        <f>IF(AI962="", "", AI962&amp;"["&amp;#REF!&amp;"]")</f>
        <v/>
      </c>
    </row>
    <row r="963" spans="36:36" ht="12" customHeight="1" x14ac:dyDescent="0.25">
      <c r="AJ963" t="str">
        <f>IF(AI963="", "", AI963&amp;"["&amp;#REF!&amp;"]")</f>
        <v/>
      </c>
    </row>
    <row r="964" spans="36:36" ht="12" customHeight="1" x14ac:dyDescent="0.25">
      <c r="AJ964" t="str">
        <f>IF(AI964="", "", AI964&amp;"["&amp;#REF!&amp;"]")</f>
        <v/>
      </c>
    </row>
    <row r="965" spans="36:36" ht="12" customHeight="1" x14ac:dyDescent="0.25">
      <c r="AJ965" t="str">
        <f>IF(AI965="", "", AI965&amp;"["&amp;#REF!&amp;"]")</f>
        <v/>
      </c>
    </row>
    <row r="966" spans="36:36" ht="12" customHeight="1" x14ac:dyDescent="0.25">
      <c r="AJ966" t="str">
        <f>IF(AI966="", "", AI966&amp;"["&amp;#REF!&amp;"]")</f>
        <v/>
      </c>
    </row>
    <row r="967" spans="36:36" ht="12" customHeight="1" x14ac:dyDescent="0.25">
      <c r="AJ967" t="str">
        <f>IF(AI967="", "", AI967&amp;"["&amp;#REF!&amp;"]")</f>
        <v/>
      </c>
    </row>
    <row r="968" spans="36:36" ht="12" customHeight="1" x14ac:dyDescent="0.25">
      <c r="AJ968" t="str">
        <f>IF(AI968="", "", AI968&amp;"["&amp;#REF!&amp;"]")</f>
        <v/>
      </c>
    </row>
    <row r="969" spans="36:36" ht="12" customHeight="1" x14ac:dyDescent="0.25">
      <c r="AJ969" t="str">
        <f>IF(AI969="", "", AI969&amp;"["&amp;#REF!&amp;"]")</f>
        <v/>
      </c>
    </row>
    <row r="970" spans="36:36" ht="12" customHeight="1" x14ac:dyDescent="0.25">
      <c r="AJ970" t="str">
        <f>IF(AI970="", "", AI970&amp;"["&amp;#REF!&amp;"]")</f>
        <v/>
      </c>
    </row>
    <row r="971" spans="36:36" ht="12" customHeight="1" x14ac:dyDescent="0.25">
      <c r="AJ971" t="str">
        <f>IF(AI971="", "", AI971&amp;"["&amp;#REF!&amp;"]")</f>
        <v/>
      </c>
    </row>
    <row r="972" spans="36:36" ht="12" customHeight="1" x14ac:dyDescent="0.25">
      <c r="AJ972" t="str">
        <f>IF(AI972="", "", AI972&amp;"["&amp;#REF!&amp;"]")</f>
        <v/>
      </c>
    </row>
    <row r="973" spans="36:36" ht="12" customHeight="1" x14ac:dyDescent="0.25">
      <c r="AJ973" t="str">
        <f>IF(AI973="", "", AI973&amp;"["&amp;#REF!&amp;"]")</f>
        <v/>
      </c>
    </row>
    <row r="974" spans="36:36" ht="12" customHeight="1" x14ac:dyDescent="0.25">
      <c r="AJ974" t="str">
        <f>IF(AI974="", "", AI974&amp;"["&amp;#REF!&amp;"]")</f>
        <v/>
      </c>
    </row>
    <row r="975" spans="36:36" ht="12" customHeight="1" x14ac:dyDescent="0.25">
      <c r="AJ975" t="str">
        <f>IF(AI975="", "", AI975&amp;"["&amp;#REF!&amp;"]")</f>
        <v/>
      </c>
    </row>
    <row r="976" spans="36:36" ht="12" customHeight="1" x14ac:dyDescent="0.25">
      <c r="AJ976" t="str">
        <f>IF(AI976="", "", AI976&amp;"["&amp;#REF!&amp;"]")</f>
        <v/>
      </c>
    </row>
    <row r="977" spans="36:36" ht="12" customHeight="1" x14ac:dyDescent="0.25">
      <c r="AJ977" t="str">
        <f>IF(AI977="", "", AI977&amp;"["&amp;#REF!&amp;"]")</f>
        <v/>
      </c>
    </row>
    <row r="978" spans="36:36" ht="12" customHeight="1" x14ac:dyDescent="0.25">
      <c r="AJ978" t="str">
        <f>IF(AI978="", "", AI978&amp;"["&amp;#REF!&amp;"]")</f>
        <v/>
      </c>
    </row>
    <row r="979" spans="36:36" ht="12" customHeight="1" x14ac:dyDescent="0.25">
      <c r="AJ979" t="str">
        <f>IF(AI979="", "", AI979&amp;"["&amp;#REF!&amp;"]")</f>
        <v/>
      </c>
    </row>
    <row r="980" spans="36:36" ht="12" customHeight="1" x14ac:dyDescent="0.25">
      <c r="AJ980" t="str">
        <f>IF(AI980="", "", AI980&amp;"["&amp;#REF!&amp;"]")</f>
        <v/>
      </c>
    </row>
    <row r="981" spans="36:36" ht="12" customHeight="1" x14ac:dyDescent="0.25">
      <c r="AJ981" t="str">
        <f>IF(AI981="", "", AI981&amp;"["&amp;#REF!&amp;"]")</f>
        <v/>
      </c>
    </row>
    <row r="982" spans="36:36" ht="12" customHeight="1" x14ac:dyDescent="0.25">
      <c r="AJ982" t="str">
        <f>IF(AI982="", "", AI982&amp;"["&amp;#REF!&amp;"]")</f>
        <v/>
      </c>
    </row>
    <row r="983" spans="36:36" ht="12" customHeight="1" x14ac:dyDescent="0.25">
      <c r="AJ983" t="str">
        <f>IF(AI983="", "", AI983&amp;"["&amp;#REF!&amp;"]")</f>
        <v/>
      </c>
    </row>
    <row r="984" spans="36:36" ht="12" customHeight="1" x14ac:dyDescent="0.25">
      <c r="AJ984" t="str">
        <f>IF(AI984="", "", AI984&amp;"["&amp;#REF!&amp;"]")</f>
        <v/>
      </c>
    </row>
    <row r="985" spans="36:36" ht="12" customHeight="1" x14ac:dyDescent="0.25">
      <c r="AJ985" t="str">
        <f>IF(AI985="", "", AI985&amp;"["&amp;#REF!&amp;"]")</f>
        <v/>
      </c>
    </row>
    <row r="986" spans="36:36" ht="12" customHeight="1" x14ac:dyDescent="0.25">
      <c r="AJ986" t="str">
        <f>IF(AI986="", "", AI986&amp;"["&amp;#REF!&amp;"]")</f>
        <v/>
      </c>
    </row>
    <row r="987" spans="36:36" ht="12" customHeight="1" x14ac:dyDescent="0.25">
      <c r="AJ987" t="str">
        <f>IF(AI987="", "", AI987&amp;"["&amp;#REF!&amp;"]")</f>
        <v/>
      </c>
    </row>
    <row r="988" spans="36:36" ht="12" customHeight="1" x14ac:dyDescent="0.25">
      <c r="AJ988" t="str">
        <f>IF(AI988="", "", AI988&amp;"["&amp;#REF!&amp;"]")</f>
        <v/>
      </c>
    </row>
    <row r="989" spans="36:36" ht="12" customHeight="1" x14ac:dyDescent="0.25">
      <c r="AJ989" t="str">
        <f>IF(AI989="", "", AI989&amp;"["&amp;#REF!&amp;"]")</f>
        <v/>
      </c>
    </row>
    <row r="990" spans="36:36" ht="12" customHeight="1" x14ac:dyDescent="0.25">
      <c r="AJ990" t="str">
        <f>IF(AI990="", "", AI990&amp;"["&amp;#REF!&amp;"]")</f>
        <v/>
      </c>
    </row>
    <row r="991" spans="36:36" ht="12" customHeight="1" x14ac:dyDescent="0.25">
      <c r="AJ991" t="str">
        <f>IF(AI991="", "", AI991&amp;"["&amp;#REF!&amp;"]")</f>
        <v/>
      </c>
    </row>
    <row r="992" spans="36:36" ht="12" customHeight="1" x14ac:dyDescent="0.25">
      <c r="AJ992" t="str">
        <f>IF(AI992="", "", AI992&amp;"["&amp;#REF!&amp;"]")</f>
        <v/>
      </c>
    </row>
    <row r="993" spans="36:36" ht="12" customHeight="1" x14ac:dyDescent="0.25">
      <c r="AJ993" t="str">
        <f>IF(AI993="", "", AI993&amp;"["&amp;#REF!&amp;"]")</f>
        <v/>
      </c>
    </row>
    <row r="994" spans="36:36" ht="12" customHeight="1" x14ac:dyDescent="0.25">
      <c r="AJ994" t="str">
        <f>IF(AI994="", "", AI994&amp;"["&amp;#REF!&amp;"]")</f>
        <v/>
      </c>
    </row>
    <row r="995" spans="36:36" ht="12" customHeight="1" x14ac:dyDescent="0.25">
      <c r="AJ995" t="str">
        <f>IF(AI995="", "", AI995&amp;"["&amp;#REF!&amp;"]")</f>
        <v/>
      </c>
    </row>
    <row r="996" spans="36:36" ht="12" customHeight="1" x14ac:dyDescent="0.25">
      <c r="AJ996" t="str">
        <f>IF(AI996="", "", AI996&amp;"["&amp;#REF!&amp;"]")</f>
        <v/>
      </c>
    </row>
    <row r="997" spans="36:36" ht="12" customHeight="1" x14ac:dyDescent="0.25">
      <c r="AJ997" t="str">
        <f>IF(AI997="", "", AI997&amp;"["&amp;#REF!&amp;"]")</f>
        <v/>
      </c>
    </row>
    <row r="998" spans="36:36" ht="12" customHeight="1" x14ac:dyDescent="0.25">
      <c r="AJ998" t="str">
        <f>IF(AI998="", "", AI998&amp;"["&amp;#REF!&amp;"]")</f>
        <v/>
      </c>
    </row>
    <row r="999" spans="36:36" ht="12" customHeight="1" x14ac:dyDescent="0.25">
      <c r="AJ999" t="str">
        <f>IF(AI999="", "", AI999&amp;"["&amp;#REF!&amp;"]")</f>
        <v/>
      </c>
    </row>
    <row r="1000" spans="36:36" ht="12" customHeight="1" x14ac:dyDescent="0.25">
      <c r="AJ1000" t="str">
        <f>IF(AI1000="", "", AI1000&amp;"["&amp;#REF!&amp;"]")</f>
        <v/>
      </c>
    </row>
    <row r="1001" spans="36:36" ht="12" customHeight="1" x14ac:dyDescent="0.25">
      <c r="AJ1001" t="str">
        <f>IF(AI1001="", "", AI1001&amp;"["&amp;#REF!&amp;"]")</f>
        <v/>
      </c>
    </row>
    <row r="1002" spans="36:36" ht="12" customHeight="1" x14ac:dyDescent="0.25">
      <c r="AJ1002" t="str">
        <f>IF(AI1002="", "", AI1002&amp;"["&amp;#REF!&amp;"]")</f>
        <v/>
      </c>
    </row>
    <row r="1003" spans="36:36" ht="12" customHeight="1" x14ac:dyDescent="0.25">
      <c r="AJ1003" t="str">
        <f>IF(AI1003="", "", AI1003&amp;"["&amp;#REF!&amp;"]")</f>
        <v/>
      </c>
    </row>
    <row r="1004" spans="36:36" ht="12" customHeight="1" x14ac:dyDescent="0.25">
      <c r="AJ1004" t="str">
        <f>IF(AI1004="", "", AI1004&amp;"["&amp;#REF!&amp;"]")</f>
        <v/>
      </c>
    </row>
    <row r="1005" spans="36:36" ht="12" customHeight="1" x14ac:dyDescent="0.25">
      <c r="AJ1005" t="str">
        <f>IF(AI1005="", "", AI1005&amp;"["&amp;#REF!&amp;"]")</f>
        <v/>
      </c>
    </row>
    <row r="1006" spans="36:36" ht="12" customHeight="1" x14ac:dyDescent="0.25">
      <c r="AJ1006" t="str">
        <f>IF(AI1006="", "", AI1006&amp;"["&amp;#REF!&amp;"]")</f>
        <v/>
      </c>
    </row>
    <row r="1007" spans="36:36" ht="12" customHeight="1" x14ac:dyDescent="0.25">
      <c r="AJ1007" t="str">
        <f>IF(AI1007="", "", AI1007&amp;"["&amp;#REF!&amp;"]")</f>
        <v/>
      </c>
    </row>
    <row r="1008" spans="36:36" ht="12" customHeight="1" x14ac:dyDescent="0.25">
      <c r="AJ1008" t="str">
        <f>IF(AI1008="", "", AI1008&amp;"["&amp;#REF!&amp;"]")</f>
        <v/>
      </c>
    </row>
    <row r="1009" spans="36:36" ht="12" customHeight="1" x14ac:dyDescent="0.25">
      <c r="AJ1009" t="str">
        <f>IF(AI1009="", "", AI1009&amp;"["&amp;#REF!&amp;"]")</f>
        <v/>
      </c>
    </row>
    <row r="1010" spans="36:36" ht="12" customHeight="1" x14ac:dyDescent="0.25">
      <c r="AJ1010" t="str">
        <f>IF(AI1010="", "", AI1010&amp;"["&amp;#REF!&amp;"]")</f>
        <v/>
      </c>
    </row>
    <row r="1011" spans="36:36" ht="12" customHeight="1" x14ac:dyDescent="0.25">
      <c r="AJ1011" t="str">
        <f>IF(AI1011="", "", AI1011&amp;"["&amp;#REF!&amp;"]")</f>
        <v/>
      </c>
    </row>
    <row r="1012" spans="36:36" ht="12" customHeight="1" x14ac:dyDescent="0.25">
      <c r="AJ1012" t="str">
        <f>IF(AI1012="", "", AI1012&amp;"["&amp;#REF!&amp;"]")</f>
        <v/>
      </c>
    </row>
    <row r="1013" spans="36:36" ht="12" customHeight="1" x14ac:dyDescent="0.25">
      <c r="AJ1013" t="str">
        <f>IF(AI1013="", "", AI1013&amp;"["&amp;#REF!&amp;"]")</f>
        <v/>
      </c>
    </row>
    <row r="1014" spans="36:36" ht="12" customHeight="1" x14ac:dyDescent="0.25">
      <c r="AJ1014" t="str">
        <f>IF(AI1014="", "", AI1014&amp;"["&amp;#REF!&amp;"]")</f>
        <v/>
      </c>
    </row>
    <row r="1015" spans="36:36" ht="12" customHeight="1" x14ac:dyDescent="0.25">
      <c r="AJ1015" t="str">
        <f>IF(AI1015="", "", AI1015&amp;"["&amp;#REF!&amp;"]")</f>
        <v/>
      </c>
    </row>
    <row r="1016" spans="36:36" ht="12" customHeight="1" x14ac:dyDescent="0.25">
      <c r="AJ1016" t="str">
        <f>IF(AI1016="", "", AI1016&amp;"["&amp;#REF!&amp;"]")</f>
        <v/>
      </c>
    </row>
    <row r="1017" spans="36:36" ht="12" customHeight="1" x14ac:dyDescent="0.25">
      <c r="AJ1017" t="str">
        <f>IF(AI1017="", "", AI1017&amp;"["&amp;#REF!&amp;"]")</f>
        <v/>
      </c>
    </row>
    <row r="1018" spans="36:36" ht="12" customHeight="1" x14ac:dyDescent="0.25">
      <c r="AJ1018" t="str">
        <f>IF(AI1018="", "", AI1018&amp;"["&amp;#REF!&amp;"]")</f>
        <v/>
      </c>
    </row>
    <row r="1019" spans="36:36" ht="12" customHeight="1" x14ac:dyDescent="0.25">
      <c r="AJ1019" t="str">
        <f>IF(AI1019="", "", AI1019&amp;"["&amp;#REF!&amp;"]")</f>
        <v/>
      </c>
    </row>
    <row r="1020" spans="36:36" ht="12" customHeight="1" x14ac:dyDescent="0.25">
      <c r="AJ1020" t="str">
        <f>IF(AI1020="", "", AI1020&amp;"["&amp;#REF!&amp;"]")</f>
        <v/>
      </c>
    </row>
    <row r="1021" spans="36:36" ht="12" customHeight="1" x14ac:dyDescent="0.25">
      <c r="AJ1021" t="str">
        <f>IF(AI1021="", "", AI1021&amp;"["&amp;#REF!&amp;"]")</f>
        <v/>
      </c>
    </row>
    <row r="1022" spans="36:36" ht="12" customHeight="1" x14ac:dyDescent="0.25">
      <c r="AJ1022" t="str">
        <f>IF(AI1022="", "", AI1022&amp;"["&amp;#REF!&amp;"]")</f>
        <v/>
      </c>
    </row>
    <row r="1023" spans="36:36" ht="12" customHeight="1" x14ac:dyDescent="0.25">
      <c r="AJ1023" t="str">
        <f>IF(AI1023="", "", AI1023&amp;"["&amp;#REF!&amp;"]")</f>
        <v/>
      </c>
    </row>
    <row r="1024" spans="36:36" ht="12" customHeight="1" x14ac:dyDescent="0.25">
      <c r="AJ1024" t="str">
        <f>IF(AI1024="", "", AI1024&amp;"["&amp;#REF!&amp;"]")</f>
        <v/>
      </c>
    </row>
    <row r="1025" spans="36:36" ht="12" customHeight="1" x14ac:dyDescent="0.25">
      <c r="AJ1025" t="str">
        <f>IF(AI1025="", "", AI1025&amp;"["&amp;#REF!&amp;"]")</f>
        <v/>
      </c>
    </row>
    <row r="1026" spans="36:36" ht="12" customHeight="1" x14ac:dyDescent="0.25">
      <c r="AJ1026" t="str">
        <f>IF(AI1026="", "", AI1026&amp;"["&amp;#REF!&amp;"]")</f>
        <v/>
      </c>
    </row>
    <row r="1027" spans="36:36" ht="12" customHeight="1" x14ac:dyDescent="0.25">
      <c r="AJ1027" t="str">
        <f>IF(AI1027="", "", AI1027&amp;"["&amp;#REF!&amp;"]")</f>
        <v/>
      </c>
    </row>
    <row r="1028" spans="36:36" ht="12" customHeight="1" x14ac:dyDescent="0.25">
      <c r="AJ1028" t="str">
        <f>IF(AI1028="", "", AI1028&amp;"["&amp;#REF!&amp;"]")</f>
        <v/>
      </c>
    </row>
    <row r="1029" spans="36:36" ht="12" customHeight="1" x14ac:dyDescent="0.25">
      <c r="AJ1029" t="str">
        <f>IF(AI1029="", "", AI1029&amp;"["&amp;#REF!&amp;"]")</f>
        <v/>
      </c>
    </row>
    <row r="1030" spans="36:36" ht="12" customHeight="1" x14ac:dyDescent="0.25">
      <c r="AJ1030" t="str">
        <f>IF(AI1030="", "", AI1030&amp;"["&amp;#REF!&amp;"]")</f>
        <v/>
      </c>
    </row>
    <row r="1031" spans="36:36" ht="12" customHeight="1" x14ac:dyDescent="0.25">
      <c r="AJ1031" t="str">
        <f>IF(AI1031="", "", AI1031&amp;"["&amp;#REF!&amp;"]")</f>
        <v/>
      </c>
    </row>
    <row r="1032" spans="36:36" ht="12" customHeight="1" x14ac:dyDescent="0.25">
      <c r="AJ1032" t="str">
        <f>IF(AI1032="", "", AI1032&amp;"["&amp;#REF!&amp;"]")</f>
        <v/>
      </c>
    </row>
    <row r="1033" spans="36:36" ht="12" customHeight="1" x14ac:dyDescent="0.25">
      <c r="AJ1033" t="str">
        <f>IF(AI1033="", "", AI1033&amp;"["&amp;#REF!&amp;"]")</f>
        <v/>
      </c>
    </row>
    <row r="1034" spans="36:36" ht="12" customHeight="1" x14ac:dyDescent="0.25">
      <c r="AJ1034" t="str">
        <f>IF(AI1034="", "", AI1034&amp;"["&amp;#REF!&amp;"]")</f>
        <v/>
      </c>
    </row>
    <row r="1035" spans="36:36" ht="12" customHeight="1" x14ac:dyDescent="0.25">
      <c r="AJ1035" t="str">
        <f>IF(AI1035="", "", AI1035&amp;"["&amp;#REF!&amp;"]")</f>
        <v/>
      </c>
    </row>
    <row r="1036" spans="36:36" ht="12" customHeight="1" x14ac:dyDescent="0.25">
      <c r="AJ1036" t="str">
        <f>IF(AI1036="", "", AI1036&amp;"["&amp;#REF!&amp;"]")</f>
        <v/>
      </c>
    </row>
    <row r="1037" spans="36:36" ht="12" customHeight="1" x14ac:dyDescent="0.25">
      <c r="AJ1037" t="str">
        <f>IF(AI1037="", "", AI1037&amp;"["&amp;#REF!&amp;"]")</f>
        <v/>
      </c>
    </row>
    <row r="1038" spans="36:36" ht="12" customHeight="1" x14ac:dyDescent="0.25">
      <c r="AJ1038" t="str">
        <f>IF(AI1038="", "", AI1038&amp;"["&amp;#REF!&amp;"]")</f>
        <v/>
      </c>
    </row>
    <row r="1039" spans="36:36" ht="12" customHeight="1" x14ac:dyDescent="0.25">
      <c r="AJ1039" t="str">
        <f>IF(AI1039="", "", AI1039&amp;"["&amp;#REF!&amp;"]")</f>
        <v/>
      </c>
    </row>
    <row r="1040" spans="36:36" ht="12" customHeight="1" x14ac:dyDescent="0.25">
      <c r="AJ1040" t="str">
        <f>IF(AI1040="", "", AI1040&amp;"["&amp;#REF!&amp;"]")</f>
        <v/>
      </c>
    </row>
    <row r="1041" spans="36:36" ht="12" customHeight="1" x14ac:dyDescent="0.25">
      <c r="AJ1041" t="str">
        <f>IF(AI1041="", "", AI1041&amp;"["&amp;#REF!&amp;"]")</f>
        <v/>
      </c>
    </row>
    <row r="1042" spans="36:36" ht="12" customHeight="1" x14ac:dyDescent="0.25">
      <c r="AJ1042" t="str">
        <f>IF(AI1042="", "", AI1042&amp;"["&amp;#REF!&amp;"]")</f>
        <v/>
      </c>
    </row>
    <row r="1043" spans="36:36" ht="12" customHeight="1" x14ac:dyDescent="0.25">
      <c r="AJ1043" t="str">
        <f>IF(AI1043="", "", AI1043&amp;"["&amp;#REF!&amp;"]")</f>
        <v/>
      </c>
    </row>
    <row r="1044" spans="36:36" ht="12" customHeight="1" x14ac:dyDescent="0.25">
      <c r="AJ1044" t="str">
        <f>IF(AI1044="", "", AI1044&amp;"["&amp;#REF!&amp;"]")</f>
        <v/>
      </c>
    </row>
    <row r="1045" spans="36:36" ht="12" customHeight="1" x14ac:dyDescent="0.25">
      <c r="AJ1045" t="str">
        <f>IF(AI1045="", "", AI1045&amp;"["&amp;#REF!&amp;"]")</f>
        <v/>
      </c>
    </row>
    <row r="1046" spans="36:36" ht="12" customHeight="1" x14ac:dyDescent="0.25">
      <c r="AJ1046" t="str">
        <f>IF(AI1046="", "", AI1046&amp;"["&amp;#REF!&amp;"]")</f>
        <v/>
      </c>
    </row>
    <row r="1047" spans="36:36" ht="12" customHeight="1" x14ac:dyDescent="0.25">
      <c r="AJ1047" t="str">
        <f>IF(AI1047="", "", AI1047&amp;"["&amp;#REF!&amp;"]")</f>
        <v/>
      </c>
    </row>
    <row r="1048" spans="36:36" ht="12" customHeight="1" x14ac:dyDescent="0.25">
      <c r="AJ1048" t="str">
        <f>IF(AI1048="", "", AI1048&amp;"["&amp;#REF!&amp;"]")</f>
        <v/>
      </c>
    </row>
    <row r="1049" spans="36:36" ht="12" customHeight="1" x14ac:dyDescent="0.25">
      <c r="AJ1049" t="str">
        <f>IF(AI1049="", "", AI1049&amp;"["&amp;#REF!&amp;"]")</f>
        <v/>
      </c>
    </row>
    <row r="1050" spans="36:36" ht="12" customHeight="1" x14ac:dyDescent="0.25">
      <c r="AJ1050" t="str">
        <f>IF(AI1050="", "", AI1050&amp;"["&amp;#REF!&amp;"]")</f>
        <v/>
      </c>
    </row>
    <row r="1051" spans="36:36" ht="12" customHeight="1" x14ac:dyDescent="0.25">
      <c r="AJ1051" t="str">
        <f>IF(AI1051="", "", AI1051&amp;"["&amp;#REF!&amp;"]")</f>
        <v/>
      </c>
    </row>
    <row r="1052" spans="36:36" ht="12" customHeight="1" x14ac:dyDescent="0.25">
      <c r="AJ1052" t="str">
        <f>IF(AI1052="", "", AI1052&amp;"["&amp;#REF!&amp;"]")</f>
        <v/>
      </c>
    </row>
    <row r="1053" spans="36:36" ht="12" customHeight="1" x14ac:dyDescent="0.25">
      <c r="AJ1053" t="str">
        <f>IF(AI1053="", "", AI1053&amp;"["&amp;#REF!&amp;"]")</f>
        <v/>
      </c>
    </row>
    <row r="1054" spans="36:36" ht="12" customHeight="1" x14ac:dyDescent="0.25">
      <c r="AJ1054" t="str">
        <f>IF(AI1054="", "", AI1054&amp;"["&amp;#REF!&amp;"]")</f>
        <v/>
      </c>
    </row>
    <row r="1055" spans="36:36" ht="12" customHeight="1" x14ac:dyDescent="0.25">
      <c r="AJ1055" t="str">
        <f>IF(AI1055="", "", AI1055&amp;"["&amp;#REF!&amp;"]")</f>
        <v/>
      </c>
    </row>
    <row r="1056" spans="36:36" ht="12" customHeight="1" x14ac:dyDescent="0.25">
      <c r="AJ1056" t="str">
        <f>IF(AI1056="", "", AI1056&amp;"["&amp;#REF!&amp;"]")</f>
        <v/>
      </c>
    </row>
    <row r="1057" spans="36:36" ht="12" customHeight="1" x14ac:dyDescent="0.25">
      <c r="AJ1057" t="str">
        <f>IF(AI1057="", "", AI1057&amp;"["&amp;#REF!&amp;"]")</f>
        <v/>
      </c>
    </row>
    <row r="1058" spans="36:36" ht="12" customHeight="1" x14ac:dyDescent="0.25">
      <c r="AJ1058" t="str">
        <f>IF(AI1058="", "", AI1058&amp;"["&amp;#REF!&amp;"]")</f>
        <v/>
      </c>
    </row>
    <row r="1059" spans="36:36" ht="12" customHeight="1" x14ac:dyDescent="0.25">
      <c r="AJ1059" t="str">
        <f>IF(AI1059="", "", AI1059&amp;"["&amp;#REF!&amp;"]")</f>
        <v/>
      </c>
    </row>
    <row r="1060" spans="36:36" ht="12" customHeight="1" x14ac:dyDescent="0.25">
      <c r="AJ1060" t="str">
        <f>IF(AI1060="", "", AI1060&amp;"["&amp;#REF!&amp;"]")</f>
        <v/>
      </c>
    </row>
    <row r="1061" spans="36:36" ht="12" customHeight="1" x14ac:dyDescent="0.25">
      <c r="AJ1061" t="str">
        <f>IF(AI1061="", "", AI1061&amp;"["&amp;#REF!&amp;"]")</f>
        <v/>
      </c>
    </row>
    <row r="1062" spans="36:36" ht="12" customHeight="1" x14ac:dyDescent="0.25">
      <c r="AJ1062" t="str">
        <f>IF(AI1062="", "", AI1062&amp;"["&amp;#REF!&amp;"]")</f>
        <v/>
      </c>
    </row>
    <row r="1063" spans="36:36" ht="12" customHeight="1" x14ac:dyDescent="0.25">
      <c r="AJ1063" t="str">
        <f>IF(AI1063="", "", AI1063&amp;"["&amp;#REF!&amp;"]")</f>
        <v/>
      </c>
    </row>
    <row r="1064" spans="36:36" ht="12" customHeight="1" x14ac:dyDescent="0.25">
      <c r="AJ1064" t="str">
        <f>IF(AI1064="", "", AI1064&amp;"["&amp;#REF!&amp;"]")</f>
        <v/>
      </c>
    </row>
    <row r="1065" spans="36:36" ht="12" customHeight="1" x14ac:dyDescent="0.25">
      <c r="AJ1065" t="str">
        <f>IF(AI1065="", "", AI1065&amp;"["&amp;#REF!&amp;"]")</f>
        <v/>
      </c>
    </row>
    <row r="1066" spans="36:36" ht="12" customHeight="1" x14ac:dyDescent="0.25">
      <c r="AJ1066" t="str">
        <f>IF(AI1066="", "", AI1066&amp;"["&amp;#REF!&amp;"]")</f>
        <v/>
      </c>
    </row>
    <row r="1067" spans="36:36" ht="12" customHeight="1" x14ac:dyDescent="0.25">
      <c r="AJ1067" t="str">
        <f>IF(AI1067="", "", AI1067&amp;"["&amp;#REF!&amp;"]")</f>
        <v/>
      </c>
    </row>
    <row r="1068" spans="36:36" ht="12" customHeight="1" x14ac:dyDescent="0.25">
      <c r="AJ1068" t="str">
        <f>IF(AI1068="", "", AI1068&amp;"["&amp;#REF!&amp;"]")</f>
        <v/>
      </c>
    </row>
    <row r="1069" spans="36:36" ht="12" customHeight="1" x14ac:dyDescent="0.25">
      <c r="AJ1069" t="str">
        <f>IF(AI1069="", "", AI1069&amp;"["&amp;#REF!&amp;"]")</f>
        <v/>
      </c>
    </row>
    <row r="1070" spans="36:36" ht="12" customHeight="1" x14ac:dyDescent="0.25">
      <c r="AJ1070" t="str">
        <f>IF(AI1070="", "", AI1070&amp;"["&amp;#REF!&amp;"]")</f>
        <v/>
      </c>
    </row>
    <row r="1071" spans="36:36" ht="12" customHeight="1" x14ac:dyDescent="0.25">
      <c r="AJ1071" t="str">
        <f>IF(AI1071="", "", AI1071&amp;"["&amp;#REF!&amp;"]")</f>
        <v/>
      </c>
    </row>
    <row r="1072" spans="36:36" ht="12" customHeight="1" x14ac:dyDescent="0.25">
      <c r="AJ1072" t="str">
        <f>IF(AI1072="", "", AI1072&amp;"["&amp;#REF!&amp;"]")</f>
        <v/>
      </c>
    </row>
    <row r="1073" spans="36:36" ht="12" customHeight="1" x14ac:dyDescent="0.25">
      <c r="AJ1073" t="str">
        <f>IF(AI1073="", "", AI1073&amp;"["&amp;#REF!&amp;"]")</f>
        <v/>
      </c>
    </row>
    <row r="1074" spans="36:36" ht="12" customHeight="1" x14ac:dyDescent="0.25">
      <c r="AJ1074" t="str">
        <f>IF(AI1074="", "", AI1074&amp;"["&amp;#REF!&amp;"]")</f>
        <v/>
      </c>
    </row>
    <row r="1075" spans="36:36" ht="12" customHeight="1" x14ac:dyDescent="0.25">
      <c r="AJ1075" t="str">
        <f>IF(AI1075="", "", AI1075&amp;"["&amp;#REF!&amp;"]")</f>
        <v/>
      </c>
    </row>
    <row r="1076" spans="36:36" ht="12" customHeight="1" x14ac:dyDescent="0.25">
      <c r="AJ1076" t="str">
        <f>IF(AI1076="", "", AI1076&amp;"["&amp;#REF!&amp;"]")</f>
        <v/>
      </c>
    </row>
    <row r="1077" spans="36:36" ht="12" customHeight="1" x14ac:dyDescent="0.25">
      <c r="AJ1077" t="str">
        <f>IF(AI1077="", "", AI1077&amp;"["&amp;#REF!&amp;"]")</f>
        <v/>
      </c>
    </row>
    <row r="1078" spans="36:36" ht="12" customHeight="1" x14ac:dyDescent="0.25">
      <c r="AJ1078" t="str">
        <f>IF(AI1078="", "", AI1078&amp;"["&amp;#REF!&amp;"]")</f>
        <v/>
      </c>
    </row>
    <row r="1079" spans="36:36" ht="12" customHeight="1" x14ac:dyDescent="0.25">
      <c r="AJ1079" t="str">
        <f>IF(AI1079="", "", AI1079&amp;"["&amp;#REF!&amp;"]")</f>
        <v/>
      </c>
    </row>
    <row r="1080" spans="36:36" ht="12" customHeight="1" x14ac:dyDescent="0.25">
      <c r="AJ1080" t="str">
        <f>IF(AI1080="", "", AI1080&amp;"["&amp;#REF!&amp;"]")</f>
        <v/>
      </c>
    </row>
    <row r="1081" spans="36:36" ht="12" customHeight="1" x14ac:dyDescent="0.25">
      <c r="AJ1081" t="str">
        <f>IF(AI1081="", "", AI1081&amp;"["&amp;#REF!&amp;"]")</f>
        <v/>
      </c>
    </row>
    <row r="1082" spans="36:36" ht="12" customHeight="1" x14ac:dyDescent="0.25">
      <c r="AJ1082" t="str">
        <f>IF(AI1082="", "", AI1082&amp;"["&amp;#REF!&amp;"]")</f>
        <v/>
      </c>
    </row>
    <row r="1083" spans="36:36" ht="12" customHeight="1" x14ac:dyDescent="0.25">
      <c r="AJ1083" t="str">
        <f>IF(AI1083="", "", AI1083&amp;"["&amp;#REF!&amp;"]")</f>
        <v/>
      </c>
    </row>
    <row r="1084" spans="36:36" ht="12" customHeight="1" x14ac:dyDescent="0.25">
      <c r="AJ1084" t="str">
        <f>IF(AI1084="", "", AI1084&amp;"["&amp;#REF!&amp;"]")</f>
        <v/>
      </c>
    </row>
    <row r="1085" spans="36:36" ht="12" customHeight="1" x14ac:dyDescent="0.25">
      <c r="AJ1085" t="str">
        <f>IF(AI1085="", "", AI1085&amp;"["&amp;#REF!&amp;"]")</f>
        <v/>
      </c>
    </row>
    <row r="1086" spans="36:36" ht="12" customHeight="1" x14ac:dyDescent="0.25">
      <c r="AJ1086" t="str">
        <f>IF(AI1086="", "", AI1086&amp;"["&amp;#REF!&amp;"]")</f>
        <v/>
      </c>
    </row>
    <row r="1087" spans="36:36" ht="12" customHeight="1" x14ac:dyDescent="0.25">
      <c r="AJ1087" t="str">
        <f>IF(AI1087="", "", AI1087&amp;"["&amp;#REF!&amp;"]")</f>
        <v/>
      </c>
    </row>
    <row r="1088" spans="36:36" ht="12" customHeight="1" x14ac:dyDescent="0.25">
      <c r="AJ1088" t="str">
        <f>IF(AI1088="", "", AI1088&amp;"["&amp;#REF!&amp;"]")</f>
        <v/>
      </c>
    </row>
    <row r="1089" spans="36:36" ht="12" customHeight="1" x14ac:dyDescent="0.25">
      <c r="AJ1089" t="str">
        <f>IF(AI1089="", "", AI1089&amp;"["&amp;#REF!&amp;"]")</f>
        <v/>
      </c>
    </row>
    <row r="1090" spans="36:36" ht="12" customHeight="1" x14ac:dyDescent="0.25">
      <c r="AJ1090" t="str">
        <f>IF(AI1090="", "", AI1090&amp;"["&amp;#REF!&amp;"]")</f>
        <v/>
      </c>
    </row>
    <row r="1091" spans="36:36" ht="12" customHeight="1" x14ac:dyDescent="0.25">
      <c r="AJ1091" t="str">
        <f>IF(AI1091="", "", AI1091&amp;"["&amp;#REF!&amp;"]")</f>
        <v/>
      </c>
    </row>
    <row r="1092" spans="36:36" ht="12" customHeight="1" x14ac:dyDescent="0.25">
      <c r="AJ1092" t="str">
        <f>IF(AI1092="", "", AI1092&amp;"["&amp;#REF!&amp;"]")</f>
        <v/>
      </c>
    </row>
    <row r="1093" spans="36:36" ht="12" customHeight="1" x14ac:dyDescent="0.25">
      <c r="AJ1093" t="str">
        <f>IF(AI1093="", "", AI1093&amp;"["&amp;#REF!&amp;"]")</f>
        <v/>
      </c>
    </row>
    <row r="1094" spans="36:36" ht="12" customHeight="1" x14ac:dyDescent="0.25">
      <c r="AJ1094" t="str">
        <f>IF(AI1094="", "", AI1094&amp;"["&amp;#REF!&amp;"]")</f>
        <v/>
      </c>
    </row>
    <row r="1095" spans="36:36" ht="12" customHeight="1" x14ac:dyDescent="0.25">
      <c r="AJ1095" t="str">
        <f>IF(AI1095="", "", AI1095&amp;"["&amp;#REF!&amp;"]")</f>
        <v/>
      </c>
    </row>
    <row r="1096" spans="36:36" ht="12" customHeight="1" x14ac:dyDescent="0.25">
      <c r="AJ1096" t="str">
        <f>IF(AI1096="", "", AI1096&amp;"["&amp;#REF!&amp;"]")</f>
        <v/>
      </c>
    </row>
    <row r="1097" spans="36:36" ht="12" customHeight="1" x14ac:dyDescent="0.25">
      <c r="AJ1097" t="str">
        <f>IF(AI1097="", "", AI1097&amp;"["&amp;#REF!&amp;"]")</f>
        <v/>
      </c>
    </row>
    <row r="1098" spans="36:36" ht="12" customHeight="1" x14ac:dyDescent="0.25">
      <c r="AJ1098" t="str">
        <f>IF(AI1098="", "", AI1098&amp;"["&amp;#REF!&amp;"]")</f>
        <v/>
      </c>
    </row>
    <row r="1099" spans="36:36" ht="12" customHeight="1" x14ac:dyDescent="0.25">
      <c r="AJ1099" t="str">
        <f>IF(AI1099="", "", AI1099&amp;"["&amp;#REF!&amp;"]")</f>
        <v/>
      </c>
    </row>
    <row r="1100" spans="36:36" ht="12" customHeight="1" x14ac:dyDescent="0.25">
      <c r="AJ1100" t="str">
        <f>IF(AI1100="", "", AI1100&amp;"["&amp;#REF!&amp;"]")</f>
        <v/>
      </c>
    </row>
    <row r="1101" spans="36:36" ht="12" customHeight="1" x14ac:dyDescent="0.25">
      <c r="AJ1101" t="str">
        <f>IF(AI1101="", "", AI1101&amp;"["&amp;#REF!&amp;"]")</f>
        <v/>
      </c>
    </row>
    <row r="1102" spans="36:36" ht="12" customHeight="1" x14ac:dyDescent="0.25">
      <c r="AJ1102" t="str">
        <f>IF(AI1102="", "", AI1102&amp;"["&amp;#REF!&amp;"]")</f>
        <v/>
      </c>
    </row>
    <row r="1103" spans="36:36" ht="12" customHeight="1" x14ac:dyDescent="0.25">
      <c r="AJ1103" t="str">
        <f>IF(AI1103="", "", AI1103&amp;"["&amp;#REF!&amp;"]")</f>
        <v/>
      </c>
    </row>
    <row r="1104" spans="36:36" ht="12" customHeight="1" x14ac:dyDescent="0.25">
      <c r="AJ1104" t="str">
        <f>IF(AI1104="", "", AI1104&amp;"["&amp;#REF!&amp;"]")</f>
        <v/>
      </c>
    </row>
    <row r="1105" spans="36:36" ht="12" customHeight="1" x14ac:dyDescent="0.25">
      <c r="AJ1105" t="str">
        <f>IF(AI1105="", "", AI1105&amp;"["&amp;#REF!&amp;"]")</f>
        <v/>
      </c>
    </row>
    <row r="1106" spans="36:36" ht="12" customHeight="1" x14ac:dyDescent="0.25">
      <c r="AJ1106" t="str">
        <f>IF(AI1106="", "", AI1106&amp;"["&amp;#REF!&amp;"]")</f>
        <v/>
      </c>
    </row>
    <row r="1107" spans="36:36" ht="12" customHeight="1" x14ac:dyDescent="0.25">
      <c r="AJ1107" t="str">
        <f>IF(AI1107="", "", AI1107&amp;"["&amp;#REF!&amp;"]")</f>
        <v/>
      </c>
    </row>
    <row r="1108" spans="36:36" ht="12" customHeight="1" x14ac:dyDescent="0.25">
      <c r="AJ1108" t="str">
        <f>IF(AI1108="", "", AI1108&amp;"["&amp;#REF!&amp;"]")</f>
        <v/>
      </c>
    </row>
    <row r="1109" spans="36:36" ht="12" customHeight="1" x14ac:dyDescent="0.25">
      <c r="AJ1109" t="str">
        <f>IF(AI1109="", "", AI1109&amp;"["&amp;#REF!&amp;"]")</f>
        <v/>
      </c>
    </row>
    <row r="1110" spans="36:36" ht="12" customHeight="1" x14ac:dyDescent="0.25">
      <c r="AJ1110" t="str">
        <f>IF(AI1110="", "", AI1110&amp;"["&amp;#REF!&amp;"]")</f>
        <v/>
      </c>
    </row>
    <row r="1111" spans="36:36" ht="12" customHeight="1" x14ac:dyDescent="0.25">
      <c r="AJ1111" t="str">
        <f>IF(AI1111="", "", AI1111&amp;"["&amp;#REF!&amp;"]")</f>
        <v/>
      </c>
    </row>
    <row r="1112" spans="36:36" ht="12" customHeight="1" x14ac:dyDescent="0.25">
      <c r="AJ1112" t="str">
        <f>IF(AI1112="", "", AI1112&amp;"["&amp;#REF!&amp;"]")</f>
        <v/>
      </c>
    </row>
    <row r="1113" spans="36:36" ht="12" customHeight="1" x14ac:dyDescent="0.25">
      <c r="AJ1113" t="str">
        <f>IF(AI1113="", "", AI1113&amp;"["&amp;#REF!&amp;"]")</f>
        <v/>
      </c>
    </row>
    <row r="1114" spans="36:36" ht="12" customHeight="1" x14ac:dyDescent="0.25">
      <c r="AJ1114" t="str">
        <f>IF(AI1114="", "", AI1114&amp;"["&amp;#REF!&amp;"]")</f>
        <v/>
      </c>
    </row>
    <row r="1115" spans="36:36" ht="12" customHeight="1" x14ac:dyDescent="0.25">
      <c r="AJ1115" t="str">
        <f>IF(AI1115="", "", AI1115&amp;"["&amp;#REF!&amp;"]")</f>
        <v/>
      </c>
    </row>
    <row r="1116" spans="36:36" ht="12" customHeight="1" x14ac:dyDescent="0.25">
      <c r="AJ1116" t="str">
        <f>IF(AI1116="", "", AI1116&amp;"["&amp;#REF!&amp;"]")</f>
        <v/>
      </c>
    </row>
    <row r="1117" spans="36:36" ht="12" customHeight="1" x14ac:dyDescent="0.25">
      <c r="AJ1117" t="str">
        <f>IF(AI1117="", "", AI1117&amp;"["&amp;#REF!&amp;"]")</f>
        <v/>
      </c>
    </row>
    <row r="1118" spans="36:36" ht="12" customHeight="1" x14ac:dyDescent="0.25">
      <c r="AJ1118" t="str">
        <f>IF(AI1118="", "", AI1118&amp;"["&amp;#REF!&amp;"]")</f>
        <v/>
      </c>
    </row>
    <row r="1119" spans="36:36" ht="12" customHeight="1" x14ac:dyDescent="0.25">
      <c r="AJ1119" t="str">
        <f>IF(AI1119="", "", AI1119&amp;"["&amp;#REF!&amp;"]")</f>
        <v/>
      </c>
    </row>
    <row r="1120" spans="36:36" ht="12" customHeight="1" x14ac:dyDescent="0.25">
      <c r="AJ1120" t="str">
        <f>IF(AI1120="", "", AI1120&amp;"["&amp;#REF!&amp;"]")</f>
        <v/>
      </c>
    </row>
    <row r="1121" spans="36:36" ht="12" customHeight="1" x14ac:dyDescent="0.25">
      <c r="AJ1121" t="str">
        <f>IF(AI1121="", "", AI1121&amp;"["&amp;#REF!&amp;"]")</f>
        <v/>
      </c>
    </row>
    <row r="1122" spans="36:36" ht="12" customHeight="1" x14ac:dyDescent="0.25">
      <c r="AJ1122" t="str">
        <f>IF(AI1122="", "", AI1122&amp;"["&amp;#REF!&amp;"]")</f>
        <v/>
      </c>
    </row>
    <row r="1123" spans="36:36" ht="12" customHeight="1" x14ac:dyDescent="0.25">
      <c r="AJ1123" t="str">
        <f>IF(AI1123="", "", AI1123&amp;"["&amp;#REF!&amp;"]")</f>
        <v/>
      </c>
    </row>
    <row r="1124" spans="36:36" ht="12" customHeight="1" x14ac:dyDescent="0.25">
      <c r="AJ1124" t="str">
        <f>IF(AI1124="", "", AI1124&amp;"["&amp;#REF!&amp;"]")</f>
        <v/>
      </c>
    </row>
    <row r="1125" spans="36:36" ht="12" customHeight="1" x14ac:dyDescent="0.25">
      <c r="AJ1125" t="str">
        <f>IF(AI1125="", "", AI1125&amp;"["&amp;#REF!&amp;"]")</f>
        <v/>
      </c>
    </row>
    <row r="1126" spans="36:36" ht="12" customHeight="1" x14ac:dyDescent="0.25">
      <c r="AJ1126" t="str">
        <f>IF(AI1126="", "", AI1126&amp;"["&amp;#REF!&amp;"]")</f>
        <v/>
      </c>
    </row>
    <row r="1127" spans="36:36" ht="12" customHeight="1" x14ac:dyDescent="0.25">
      <c r="AJ1127" t="str">
        <f>IF(AI1127="", "", AI1127&amp;"["&amp;#REF!&amp;"]")</f>
        <v/>
      </c>
    </row>
    <row r="1128" spans="36:36" ht="12" customHeight="1" x14ac:dyDescent="0.25">
      <c r="AJ1128" t="str">
        <f>IF(AI1128="", "", AI1128&amp;"["&amp;#REF!&amp;"]")</f>
        <v/>
      </c>
    </row>
    <row r="1129" spans="36:36" ht="12" customHeight="1" x14ac:dyDescent="0.25">
      <c r="AJ1129" t="str">
        <f>IF(AI1129="", "", AI1129&amp;"["&amp;#REF!&amp;"]")</f>
        <v/>
      </c>
    </row>
    <row r="1130" spans="36:36" ht="12" customHeight="1" x14ac:dyDescent="0.25">
      <c r="AJ1130" t="str">
        <f>IF(AI1130="", "", AI1130&amp;"["&amp;#REF!&amp;"]")</f>
        <v/>
      </c>
    </row>
    <row r="1131" spans="36:36" ht="12" customHeight="1" x14ac:dyDescent="0.25">
      <c r="AJ1131" t="str">
        <f>IF(AI1131="", "", AI1131&amp;"["&amp;#REF!&amp;"]")</f>
        <v/>
      </c>
    </row>
    <row r="1132" spans="36:36" ht="12" customHeight="1" x14ac:dyDescent="0.25">
      <c r="AJ1132" t="str">
        <f>IF(AI1132="", "", AI1132&amp;"["&amp;#REF!&amp;"]")</f>
        <v/>
      </c>
    </row>
    <row r="1133" spans="36:36" ht="12" customHeight="1" x14ac:dyDescent="0.25">
      <c r="AJ1133" t="str">
        <f>IF(AI1133="", "", AI1133&amp;"["&amp;#REF!&amp;"]")</f>
        <v/>
      </c>
    </row>
    <row r="1134" spans="36:36" ht="12" customHeight="1" x14ac:dyDescent="0.25">
      <c r="AJ1134" t="str">
        <f>IF(AI1134="", "", AI1134&amp;"["&amp;#REF!&amp;"]")</f>
        <v/>
      </c>
    </row>
    <row r="1135" spans="36:36" ht="12" customHeight="1" x14ac:dyDescent="0.25">
      <c r="AJ1135" t="str">
        <f>IF(AI1135="", "", AI1135&amp;"["&amp;#REF!&amp;"]")</f>
        <v/>
      </c>
    </row>
    <row r="1136" spans="36:36" ht="12" customHeight="1" x14ac:dyDescent="0.25">
      <c r="AJ1136" t="str">
        <f>IF(AI1136="", "", AI1136&amp;"["&amp;#REF!&amp;"]")</f>
        <v/>
      </c>
    </row>
    <row r="1137" spans="36:36" ht="12" customHeight="1" x14ac:dyDescent="0.25">
      <c r="AJ1137" t="str">
        <f>IF(AI1137="", "", AI1137&amp;"["&amp;#REF!&amp;"]")</f>
        <v/>
      </c>
    </row>
    <row r="1138" spans="36:36" ht="12" customHeight="1" x14ac:dyDescent="0.25">
      <c r="AJ1138" t="str">
        <f>IF(AI1138="", "", AI1138&amp;"["&amp;#REF!&amp;"]")</f>
        <v/>
      </c>
    </row>
    <row r="1139" spans="36:36" ht="12" customHeight="1" x14ac:dyDescent="0.25">
      <c r="AJ1139" t="str">
        <f>IF(AI1139="", "", AI1139&amp;"["&amp;#REF!&amp;"]")</f>
        <v/>
      </c>
    </row>
    <row r="1140" spans="36:36" ht="12" customHeight="1" x14ac:dyDescent="0.25">
      <c r="AJ1140" t="str">
        <f>IF(AI1140="", "", AI1140&amp;"["&amp;#REF!&amp;"]")</f>
        <v/>
      </c>
    </row>
    <row r="1141" spans="36:36" ht="12" customHeight="1" x14ac:dyDescent="0.25">
      <c r="AJ1141" t="str">
        <f>IF(AI1141="", "", AI1141&amp;"["&amp;#REF!&amp;"]")</f>
        <v/>
      </c>
    </row>
    <row r="1142" spans="36:36" ht="12" customHeight="1" x14ac:dyDescent="0.25">
      <c r="AJ1142" t="str">
        <f>IF(AI1142="", "", AI1142&amp;"["&amp;#REF!&amp;"]")</f>
        <v/>
      </c>
    </row>
    <row r="1143" spans="36:36" ht="12" customHeight="1" x14ac:dyDescent="0.25">
      <c r="AJ1143" t="str">
        <f>IF(AI1143="", "", AI1143&amp;"["&amp;#REF!&amp;"]")</f>
        <v/>
      </c>
    </row>
    <row r="1144" spans="36:36" ht="12" customHeight="1" x14ac:dyDescent="0.25">
      <c r="AJ1144" t="str">
        <f>IF(AI1144="", "", AI1144&amp;"["&amp;#REF!&amp;"]")</f>
        <v/>
      </c>
    </row>
    <row r="1145" spans="36:36" ht="12" customHeight="1" x14ac:dyDescent="0.25">
      <c r="AJ1145" t="str">
        <f>IF(AI1145="", "", AI1145&amp;"["&amp;#REF!&amp;"]")</f>
        <v/>
      </c>
    </row>
    <row r="1146" spans="36:36" ht="12" customHeight="1" x14ac:dyDescent="0.25">
      <c r="AJ1146" t="str">
        <f>IF(AI1146="", "", AI1146&amp;"["&amp;#REF!&amp;"]")</f>
        <v/>
      </c>
    </row>
    <row r="1147" spans="36:36" ht="12" customHeight="1" x14ac:dyDescent="0.25">
      <c r="AJ1147" t="str">
        <f>IF(AI1147="", "", AI1147&amp;"["&amp;#REF!&amp;"]")</f>
        <v/>
      </c>
    </row>
    <row r="1148" spans="36:36" ht="12" customHeight="1" x14ac:dyDescent="0.25">
      <c r="AJ1148" t="str">
        <f>IF(AI1148="", "", AI1148&amp;"["&amp;#REF!&amp;"]")</f>
        <v/>
      </c>
    </row>
    <row r="1149" spans="36:36" ht="12" customHeight="1" x14ac:dyDescent="0.25">
      <c r="AJ1149" t="str">
        <f>IF(AI1149="", "", AI1149&amp;"["&amp;#REF!&amp;"]")</f>
        <v/>
      </c>
    </row>
    <row r="1150" spans="36:36" ht="12" customHeight="1" x14ac:dyDescent="0.25">
      <c r="AJ1150" t="str">
        <f>IF(AI1150="", "", AI1150&amp;"["&amp;#REF!&amp;"]")</f>
        <v/>
      </c>
    </row>
    <row r="1151" spans="36:36" ht="12" customHeight="1" x14ac:dyDescent="0.25">
      <c r="AJ1151" t="str">
        <f>IF(AI1151="", "", AI1151&amp;"["&amp;#REF!&amp;"]")</f>
        <v/>
      </c>
    </row>
    <row r="1152" spans="36:36" ht="12" customHeight="1" x14ac:dyDescent="0.25">
      <c r="AJ1152" t="str">
        <f>IF(AI1152="", "", AI1152&amp;"["&amp;#REF!&amp;"]")</f>
        <v/>
      </c>
    </row>
    <row r="1153" spans="36:36" ht="12" customHeight="1" x14ac:dyDescent="0.25">
      <c r="AJ1153" t="str">
        <f>IF(AI1153="", "", AI1153&amp;"["&amp;#REF!&amp;"]")</f>
        <v/>
      </c>
    </row>
    <row r="1154" spans="36:36" ht="12" customHeight="1" x14ac:dyDescent="0.25">
      <c r="AJ1154" t="str">
        <f>IF(AI1154="", "", AI1154&amp;"["&amp;#REF!&amp;"]")</f>
        <v/>
      </c>
    </row>
    <row r="1155" spans="36:36" ht="12" customHeight="1" x14ac:dyDescent="0.25">
      <c r="AJ1155" t="str">
        <f>IF(AI1155="", "", AI1155&amp;"["&amp;#REF!&amp;"]")</f>
        <v/>
      </c>
    </row>
    <row r="1156" spans="36:36" ht="12" customHeight="1" x14ac:dyDescent="0.25">
      <c r="AJ1156" t="str">
        <f>IF(AI1156="", "", AI1156&amp;"["&amp;#REF!&amp;"]")</f>
        <v/>
      </c>
    </row>
    <row r="1157" spans="36:36" ht="12" customHeight="1" x14ac:dyDescent="0.25">
      <c r="AJ1157" t="str">
        <f>IF(AI1157="", "", AI1157&amp;"["&amp;#REF!&amp;"]")</f>
        <v/>
      </c>
    </row>
    <row r="1158" spans="36:36" ht="12" customHeight="1" x14ac:dyDescent="0.25">
      <c r="AJ1158" t="str">
        <f>IF(AI1158="", "", AI1158&amp;"["&amp;#REF!&amp;"]")</f>
        <v/>
      </c>
    </row>
    <row r="1159" spans="36:36" ht="12" customHeight="1" x14ac:dyDescent="0.25">
      <c r="AJ1159" t="str">
        <f>IF(AI1159="", "", AI1159&amp;"["&amp;#REF!&amp;"]")</f>
        <v/>
      </c>
    </row>
    <row r="1160" spans="36:36" ht="12" customHeight="1" x14ac:dyDescent="0.25">
      <c r="AJ1160" t="str">
        <f>IF(AI1160="", "", AI1160&amp;"["&amp;#REF!&amp;"]")</f>
        <v/>
      </c>
    </row>
    <row r="1161" spans="36:36" ht="12" customHeight="1" x14ac:dyDescent="0.25">
      <c r="AJ1161" t="str">
        <f>IF(AI1161="", "", AI1161&amp;"["&amp;#REF!&amp;"]")</f>
        <v/>
      </c>
    </row>
    <row r="1162" spans="36:36" ht="12" customHeight="1" x14ac:dyDescent="0.25">
      <c r="AJ1162" t="str">
        <f>IF(AI1162="", "", AI1162&amp;"["&amp;#REF!&amp;"]")</f>
        <v/>
      </c>
    </row>
    <row r="1163" spans="36:36" ht="12" customHeight="1" x14ac:dyDescent="0.25">
      <c r="AJ1163" t="str">
        <f>IF(AI1163="", "", AI1163&amp;"["&amp;#REF!&amp;"]")</f>
        <v/>
      </c>
    </row>
    <row r="1164" spans="36:36" ht="12" customHeight="1" x14ac:dyDescent="0.25">
      <c r="AJ1164" t="str">
        <f>IF(AI1164="", "", AI1164&amp;"["&amp;#REF!&amp;"]")</f>
        <v/>
      </c>
    </row>
    <row r="1165" spans="36:36" ht="12" customHeight="1" x14ac:dyDescent="0.25">
      <c r="AJ1165" t="str">
        <f>IF(AI1165="", "", AI1165&amp;"["&amp;#REF!&amp;"]")</f>
        <v/>
      </c>
    </row>
    <row r="1166" spans="36:36" ht="12" customHeight="1" x14ac:dyDescent="0.25">
      <c r="AJ1166" t="str">
        <f>IF(AI1166="", "", AI1166&amp;"["&amp;#REF!&amp;"]")</f>
        <v/>
      </c>
    </row>
    <row r="1167" spans="36:36" ht="12" customHeight="1" x14ac:dyDescent="0.25">
      <c r="AJ1167" t="str">
        <f>IF(AI1167="", "", AI1167&amp;"["&amp;#REF!&amp;"]")</f>
        <v/>
      </c>
    </row>
    <row r="1168" spans="36:36" ht="12" customHeight="1" x14ac:dyDescent="0.25">
      <c r="AJ1168" t="str">
        <f>IF(AI1168="", "", AI1168&amp;"["&amp;#REF!&amp;"]")</f>
        <v/>
      </c>
    </row>
    <row r="1169" spans="36:36" ht="12" customHeight="1" x14ac:dyDescent="0.25">
      <c r="AJ1169" t="str">
        <f>IF(AI1169="", "", AI1169&amp;"["&amp;#REF!&amp;"]")</f>
        <v/>
      </c>
    </row>
    <row r="1170" spans="36:36" ht="12" customHeight="1" x14ac:dyDescent="0.25">
      <c r="AJ1170" t="str">
        <f>IF(AI1170="", "", AI1170&amp;"["&amp;#REF!&amp;"]")</f>
        <v/>
      </c>
    </row>
    <row r="1171" spans="36:36" ht="12" customHeight="1" x14ac:dyDescent="0.25">
      <c r="AJ1171" t="str">
        <f>IF(AI1171="", "", AI1171&amp;"["&amp;#REF!&amp;"]")</f>
        <v/>
      </c>
    </row>
    <row r="1172" spans="36:36" ht="12" customHeight="1" x14ac:dyDescent="0.25">
      <c r="AJ1172" t="str">
        <f>IF(AI1172="", "", AI1172&amp;"["&amp;#REF!&amp;"]")</f>
        <v/>
      </c>
    </row>
    <row r="1173" spans="36:36" ht="12" customHeight="1" x14ac:dyDescent="0.25">
      <c r="AJ1173" t="str">
        <f>IF(AI1173="", "", AI1173&amp;"["&amp;#REF!&amp;"]")</f>
        <v/>
      </c>
    </row>
    <row r="1174" spans="36:36" ht="12" customHeight="1" x14ac:dyDescent="0.25">
      <c r="AJ1174" t="str">
        <f>IF(AI1174="", "", AI1174&amp;"["&amp;#REF!&amp;"]")</f>
        <v/>
      </c>
    </row>
    <row r="1175" spans="36:36" ht="12" customHeight="1" x14ac:dyDescent="0.25">
      <c r="AJ1175" t="str">
        <f>IF(AI1175="", "", AI1175&amp;"["&amp;#REF!&amp;"]")</f>
        <v/>
      </c>
    </row>
    <row r="1176" spans="36:36" ht="12" customHeight="1" x14ac:dyDescent="0.25">
      <c r="AJ1176" t="str">
        <f>IF(AI1176="", "", AI1176&amp;"["&amp;#REF!&amp;"]")</f>
        <v/>
      </c>
    </row>
    <row r="1177" spans="36:36" ht="12" customHeight="1" x14ac:dyDescent="0.25">
      <c r="AJ1177" t="str">
        <f>IF(AI1177="", "", AI1177&amp;"["&amp;#REF!&amp;"]")</f>
        <v/>
      </c>
    </row>
    <row r="1178" spans="36:36" ht="12" customHeight="1" x14ac:dyDescent="0.25">
      <c r="AJ1178" t="str">
        <f>IF(AI1178="", "", AI1178&amp;"["&amp;#REF!&amp;"]")</f>
        <v/>
      </c>
    </row>
    <row r="1179" spans="36:36" ht="12" customHeight="1" x14ac:dyDescent="0.25">
      <c r="AJ1179" t="str">
        <f>IF(AI1179="", "", AI1179&amp;"["&amp;#REF!&amp;"]")</f>
        <v/>
      </c>
    </row>
    <row r="1180" spans="36:36" ht="12" customHeight="1" x14ac:dyDescent="0.25">
      <c r="AJ1180" t="str">
        <f>IF(AI1180="", "", AI1180&amp;"["&amp;#REF!&amp;"]")</f>
        <v/>
      </c>
    </row>
    <row r="1181" spans="36:36" ht="12" customHeight="1" x14ac:dyDescent="0.25">
      <c r="AJ1181" t="str">
        <f>IF(AI1181="", "", AI1181&amp;"["&amp;#REF!&amp;"]")</f>
        <v/>
      </c>
    </row>
    <row r="1182" spans="36:36" ht="12" customHeight="1" x14ac:dyDescent="0.25">
      <c r="AJ1182" t="str">
        <f>IF(AI1182="", "", AI1182&amp;"["&amp;#REF!&amp;"]")</f>
        <v/>
      </c>
    </row>
    <row r="1183" spans="36:36" ht="12" customHeight="1" x14ac:dyDescent="0.25">
      <c r="AJ1183" t="str">
        <f>IF(AI1183="", "", AI1183&amp;"["&amp;#REF!&amp;"]")</f>
        <v/>
      </c>
    </row>
    <row r="1184" spans="36:36" ht="12" customHeight="1" x14ac:dyDescent="0.25">
      <c r="AJ1184" t="str">
        <f>IF(AI1184="", "", AI1184&amp;"["&amp;#REF!&amp;"]")</f>
        <v/>
      </c>
    </row>
    <row r="1185" spans="36:36" ht="12" customHeight="1" x14ac:dyDescent="0.25">
      <c r="AJ1185" t="str">
        <f>IF(AI1185="", "", AI1185&amp;"["&amp;#REF!&amp;"]")</f>
        <v/>
      </c>
    </row>
    <row r="1186" spans="36:36" ht="12" customHeight="1" x14ac:dyDescent="0.25">
      <c r="AJ1186" t="str">
        <f>IF(AI1186="", "", AI1186&amp;"["&amp;#REF!&amp;"]")</f>
        <v/>
      </c>
    </row>
    <row r="1187" spans="36:36" ht="12" customHeight="1" x14ac:dyDescent="0.25">
      <c r="AJ1187" t="str">
        <f>IF(AI1187="", "", AI1187&amp;"["&amp;#REF!&amp;"]")</f>
        <v/>
      </c>
    </row>
    <row r="1188" spans="36:36" ht="12" customHeight="1" x14ac:dyDescent="0.25">
      <c r="AJ1188" t="str">
        <f>IF(AI1188="", "", AI1188&amp;"["&amp;#REF!&amp;"]")</f>
        <v/>
      </c>
    </row>
    <row r="1189" spans="36:36" ht="12" customHeight="1" x14ac:dyDescent="0.25">
      <c r="AJ1189" t="str">
        <f>IF(AI1189="", "", AI1189&amp;"["&amp;#REF!&amp;"]")</f>
        <v/>
      </c>
    </row>
    <row r="1190" spans="36:36" ht="12" customHeight="1" x14ac:dyDescent="0.25">
      <c r="AJ1190" t="str">
        <f>IF(AI1190="", "", AI1190&amp;"["&amp;#REF!&amp;"]")</f>
        <v/>
      </c>
    </row>
    <row r="1191" spans="36:36" ht="12" customHeight="1" x14ac:dyDescent="0.25">
      <c r="AJ1191" t="str">
        <f>IF(AI1191="", "", AI1191&amp;"["&amp;#REF!&amp;"]")</f>
        <v/>
      </c>
    </row>
    <row r="1192" spans="36:36" ht="12" customHeight="1" x14ac:dyDescent="0.25">
      <c r="AJ1192" t="str">
        <f>IF(AI1192="", "", AI1192&amp;"["&amp;#REF!&amp;"]")</f>
        <v/>
      </c>
    </row>
    <row r="1193" spans="36:36" ht="12" customHeight="1" x14ac:dyDescent="0.25">
      <c r="AJ1193" t="str">
        <f>IF(AI1193="", "", AI1193&amp;"["&amp;#REF!&amp;"]")</f>
        <v/>
      </c>
    </row>
    <row r="1194" spans="36:36" ht="12" customHeight="1" x14ac:dyDescent="0.25">
      <c r="AJ1194" t="str">
        <f>IF(AI1194="", "", AI1194&amp;"["&amp;#REF!&amp;"]")</f>
        <v/>
      </c>
    </row>
    <row r="1195" spans="36:36" ht="12" customHeight="1" x14ac:dyDescent="0.25">
      <c r="AJ1195" t="str">
        <f>IF(AI1195="", "", AI1195&amp;"["&amp;#REF!&amp;"]")</f>
        <v/>
      </c>
    </row>
    <row r="1196" spans="36:36" ht="12" customHeight="1" x14ac:dyDescent="0.25">
      <c r="AJ1196" t="str">
        <f>IF(AI1196="", "", AI1196&amp;"["&amp;#REF!&amp;"]")</f>
        <v/>
      </c>
    </row>
    <row r="1197" spans="36:36" ht="12" customHeight="1" x14ac:dyDescent="0.25">
      <c r="AJ1197" t="str">
        <f>IF(AI1197="", "", AI1197&amp;"["&amp;#REF!&amp;"]")</f>
        <v/>
      </c>
    </row>
    <row r="1198" spans="36:36" ht="12" customHeight="1" x14ac:dyDescent="0.25">
      <c r="AJ1198" t="str">
        <f>IF(AI1198="", "", AI1198&amp;"["&amp;#REF!&amp;"]")</f>
        <v/>
      </c>
    </row>
    <row r="1199" spans="36:36" ht="12" customHeight="1" x14ac:dyDescent="0.25">
      <c r="AJ1199" t="str">
        <f>IF(AI1199="", "", AI1199&amp;"["&amp;#REF!&amp;"]")</f>
        <v/>
      </c>
    </row>
    <row r="1200" spans="36:36" ht="12" customHeight="1" x14ac:dyDescent="0.25">
      <c r="AJ1200" t="str">
        <f>IF(AI1200="", "", AI1200&amp;"["&amp;#REF!&amp;"]")</f>
        <v/>
      </c>
    </row>
    <row r="1201" spans="36:36" ht="12" customHeight="1" x14ac:dyDescent="0.25">
      <c r="AJ1201" t="str">
        <f>IF(AI1201="", "", AI1201&amp;"["&amp;#REF!&amp;"]")</f>
        <v/>
      </c>
    </row>
    <row r="1202" spans="36:36" ht="12" customHeight="1" x14ac:dyDescent="0.25">
      <c r="AJ1202" t="str">
        <f>IF(AI1202="", "", AI1202&amp;"["&amp;#REF!&amp;"]")</f>
        <v/>
      </c>
    </row>
    <row r="1203" spans="36:36" ht="12" customHeight="1" x14ac:dyDescent="0.25">
      <c r="AJ1203" t="str">
        <f>IF(AI1203="", "", AI1203&amp;"["&amp;#REF!&amp;"]")</f>
        <v/>
      </c>
    </row>
    <row r="1204" spans="36:36" ht="12" customHeight="1" x14ac:dyDescent="0.25">
      <c r="AJ1204" t="str">
        <f>IF(AI1204="", "", AI1204&amp;"["&amp;#REF!&amp;"]")</f>
        <v/>
      </c>
    </row>
    <row r="1205" spans="36:36" ht="12" customHeight="1" x14ac:dyDescent="0.25">
      <c r="AJ1205" t="str">
        <f>IF(AI1205="", "", AI1205&amp;"["&amp;#REF!&amp;"]")</f>
        <v/>
      </c>
    </row>
    <row r="1206" spans="36:36" ht="12" customHeight="1" x14ac:dyDescent="0.25">
      <c r="AJ1206" t="str">
        <f>IF(AI1206="", "", AI1206&amp;"["&amp;#REF!&amp;"]")</f>
        <v/>
      </c>
    </row>
    <row r="1207" spans="36:36" ht="12" customHeight="1" x14ac:dyDescent="0.25">
      <c r="AJ1207" t="str">
        <f>IF(AI1207="", "", AI1207&amp;"["&amp;#REF!&amp;"]")</f>
        <v/>
      </c>
    </row>
    <row r="1208" spans="36:36" ht="12" customHeight="1" x14ac:dyDescent="0.25">
      <c r="AJ1208" t="str">
        <f>IF(AI1208="", "", AI1208&amp;"["&amp;#REF!&amp;"]")</f>
        <v/>
      </c>
    </row>
    <row r="1209" spans="36:36" ht="12" customHeight="1" x14ac:dyDescent="0.25">
      <c r="AJ1209" t="str">
        <f>IF(AI1209="", "", AI1209&amp;"["&amp;#REF!&amp;"]")</f>
        <v/>
      </c>
    </row>
    <row r="1210" spans="36:36" ht="12" customHeight="1" x14ac:dyDescent="0.25">
      <c r="AJ1210" t="str">
        <f>IF(AI1210="", "", AI1210&amp;"["&amp;#REF!&amp;"]")</f>
        <v/>
      </c>
    </row>
    <row r="1211" spans="36:36" ht="12" customHeight="1" x14ac:dyDescent="0.25">
      <c r="AJ1211" t="str">
        <f>IF(AI1211="", "", AI1211&amp;"["&amp;#REF!&amp;"]")</f>
        <v/>
      </c>
    </row>
    <row r="1212" spans="36:36" ht="12" customHeight="1" x14ac:dyDescent="0.25">
      <c r="AJ1212" t="str">
        <f>IF(AI1212="", "", AI1212&amp;"["&amp;#REF!&amp;"]")</f>
        <v/>
      </c>
    </row>
    <row r="1213" spans="36:36" ht="12" customHeight="1" x14ac:dyDescent="0.25">
      <c r="AJ1213" t="str">
        <f>IF(AI1213="", "", AI1213&amp;"["&amp;#REF!&amp;"]")</f>
        <v/>
      </c>
    </row>
    <row r="1214" spans="36:36" ht="12" customHeight="1" x14ac:dyDescent="0.25">
      <c r="AJ1214" t="str">
        <f>IF(AI1214="", "", AI1214&amp;"["&amp;#REF!&amp;"]")</f>
        <v/>
      </c>
    </row>
    <row r="1215" spans="36:36" ht="12" customHeight="1" x14ac:dyDescent="0.25">
      <c r="AJ1215" t="str">
        <f>IF(AI1215="", "", AI1215&amp;"["&amp;#REF!&amp;"]")</f>
        <v/>
      </c>
    </row>
    <row r="1216" spans="36:36" ht="12" customHeight="1" x14ac:dyDescent="0.25">
      <c r="AJ1216" t="str">
        <f>IF(AI1216="", "", AI1216&amp;"["&amp;#REF!&amp;"]")</f>
        <v/>
      </c>
    </row>
    <row r="1217" spans="36:36" ht="12" customHeight="1" x14ac:dyDescent="0.25">
      <c r="AJ1217" t="str">
        <f>IF(AI1217="", "", AI1217&amp;"["&amp;#REF!&amp;"]")</f>
        <v/>
      </c>
    </row>
    <row r="1218" spans="36:36" ht="12" customHeight="1" x14ac:dyDescent="0.25">
      <c r="AJ1218" t="str">
        <f>IF(AI1218="", "", AI1218&amp;"["&amp;#REF!&amp;"]")</f>
        <v/>
      </c>
    </row>
    <row r="1219" spans="36:36" ht="12" customHeight="1" x14ac:dyDescent="0.25">
      <c r="AJ1219" t="str">
        <f>IF(AI1219="", "", AI1219&amp;"["&amp;#REF!&amp;"]")</f>
        <v/>
      </c>
    </row>
    <row r="1220" spans="36:36" ht="12" customHeight="1" x14ac:dyDescent="0.25">
      <c r="AJ1220" t="str">
        <f>IF(AI1220="", "", AI1220&amp;"["&amp;#REF!&amp;"]")</f>
        <v/>
      </c>
    </row>
    <row r="1221" spans="36:36" ht="12" customHeight="1" x14ac:dyDescent="0.25">
      <c r="AJ1221" t="str">
        <f>IF(AI1221="", "", AI1221&amp;"["&amp;#REF!&amp;"]")</f>
        <v/>
      </c>
    </row>
    <row r="1222" spans="36:36" ht="12" customHeight="1" x14ac:dyDescent="0.25">
      <c r="AJ1222" t="str">
        <f>IF(AI1222="", "", AI1222&amp;"["&amp;#REF!&amp;"]")</f>
        <v/>
      </c>
    </row>
    <row r="1223" spans="36:36" ht="12" customHeight="1" x14ac:dyDescent="0.25">
      <c r="AJ1223" t="str">
        <f>IF(AI1223="", "", AI1223&amp;"["&amp;#REF!&amp;"]")</f>
        <v/>
      </c>
    </row>
    <row r="1224" spans="36:36" ht="12" customHeight="1" x14ac:dyDescent="0.25">
      <c r="AJ1224" t="str">
        <f>IF(AI1224="", "", AI1224&amp;"["&amp;#REF!&amp;"]")</f>
        <v/>
      </c>
    </row>
    <row r="1225" spans="36:36" ht="12" customHeight="1" x14ac:dyDescent="0.25">
      <c r="AJ1225" t="str">
        <f>IF(AI1225="", "", AI1225&amp;"["&amp;#REF!&amp;"]")</f>
        <v/>
      </c>
    </row>
    <row r="1226" spans="36:36" ht="12" customHeight="1" x14ac:dyDescent="0.25">
      <c r="AJ1226" t="str">
        <f>IF(AI1226="", "", AI1226&amp;"["&amp;#REF!&amp;"]")</f>
        <v/>
      </c>
    </row>
    <row r="1227" spans="36:36" ht="12" customHeight="1" x14ac:dyDescent="0.25">
      <c r="AJ1227" t="str">
        <f>IF(AI1227="", "", AI1227&amp;"["&amp;#REF!&amp;"]")</f>
        <v/>
      </c>
    </row>
    <row r="1228" spans="36:36" ht="12" customHeight="1" x14ac:dyDescent="0.25">
      <c r="AJ1228" t="str">
        <f>IF(AI1228="", "", AI1228&amp;"["&amp;#REF!&amp;"]")</f>
        <v/>
      </c>
    </row>
    <row r="1229" spans="36:36" ht="12" customHeight="1" x14ac:dyDescent="0.25">
      <c r="AJ1229" t="str">
        <f>IF(AI1229="", "", AI1229&amp;"["&amp;#REF!&amp;"]")</f>
        <v/>
      </c>
    </row>
    <row r="1230" spans="36:36" ht="12" customHeight="1" x14ac:dyDescent="0.25">
      <c r="AJ1230" t="str">
        <f>IF(AI1230="", "", AI1230&amp;"["&amp;#REF!&amp;"]")</f>
        <v/>
      </c>
    </row>
    <row r="1231" spans="36:36" ht="12" customHeight="1" x14ac:dyDescent="0.25">
      <c r="AJ1231" t="str">
        <f>IF(AI1231="", "", AI1231&amp;"["&amp;#REF!&amp;"]")</f>
        <v/>
      </c>
    </row>
    <row r="1232" spans="36:36" ht="12" customHeight="1" x14ac:dyDescent="0.25">
      <c r="AJ1232" t="str">
        <f>IF(AI1232="", "", AI1232&amp;"["&amp;#REF!&amp;"]")</f>
        <v/>
      </c>
    </row>
    <row r="1233" spans="36:36" ht="12" customHeight="1" x14ac:dyDescent="0.25">
      <c r="AJ1233" t="str">
        <f>IF(AI1233="", "", AI1233&amp;"["&amp;#REF!&amp;"]")</f>
        <v/>
      </c>
    </row>
    <row r="1234" spans="36:36" ht="12" customHeight="1" x14ac:dyDescent="0.25">
      <c r="AJ1234" t="str">
        <f>IF(AI1234="", "", AI1234&amp;"["&amp;#REF!&amp;"]")</f>
        <v/>
      </c>
    </row>
    <row r="1235" spans="36:36" ht="12" customHeight="1" x14ac:dyDescent="0.25">
      <c r="AJ1235" t="str">
        <f>IF(AI1235="", "", AI1235&amp;"["&amp;#REF!&amp;"]")</f>
        <v/>
      </c>
    </row>
    <row r="1236" spans="36:36" ht="12" customHeight="1" x14ac:dyDescent="0.25">
      <c r="AJ1236" t="str">
        <f>IF(AI1236="", "", AI1236&amp;"["&amp;#REF!&amp;"]")</f>
        <v/>
      </c>
    </row>
    <row r="1237" spans="36:36" ht="12" customHeight="1" x14ac:dyDescent="0.25">
      <c r="AJ1237" t="str">
        <f>IF(AI1237="", "", AI1237&amp;"["&amp;#REF!&amp;"]")</f>
        <v/>
      </c>
    </row>
    <row r="1238" spans="36:36" ht="12" customHeight="1" x14ac:dyDescent="0.25">
      <c r="AJ1238" t="str">
        <f>IF(AI1238="", "", AI1238&amp;"["&amp;#REF!&amp;"]")</f>
        <v/>
      </c>
    </row>
    <row r="1239" spans="36:36" ht="12" customHeight="1" x14ac:dyDescent="0.25">
      <c r="AJ1239" t="str">
        <f>IF(AI1239="", "", AI1239&amp;"["&amp;#REF!&amp;"]")</f>
        <v/>
      </c>
    </row>
    <row r="1240" spans="36:36" ht="12" customHeight="1" x14ac:dyDescent="0.25">
      <c r="AJ1240" t="str">
        <f>IF(AI1240="", "", AI1240&amp;"["&amp;#REF!&amp;"]")</f>
        <v/>
      </c>
    </row>
    <row r="1241" spans="36:36" ht="12" customHeight="1" x14ac:dyDescent="0.25">
      <c r="AJ1241" t="str">
        <f>IF(AI1241="", "", AI1241&amp;"["&amp;#REF!&amp;"]")</f>
        <v/>
      </c>
    </row>
    <row r="1242" spans="36:36" ht="12" customHeight="1" x14ac:dyDescent="0.25">
      <c r="AJ1242" t="str">
        <f>IF(AI1242="", "", AI1242&amp;"["&amp;#REF!&amp;"]")</f>
        <v/>
      </c>
    </row>
    <row r="1243" spans="36:36" ht="12" customHeight="1" x14ac:dyDescent="0.25">
      <c r="AJ1243" t="str">
        <f>IF(AI1243="", "", AI1243&amp;"["&amp;#REF!&amp;"]")</f>
        <v/>
      </c>
    </row>
    <row r="1244" spans="36:36" ht="12" customHeight="1" x14ac:dyDescent="0.25">
      <c r="AJ1244" t="str">
        <f>IF(AI1244="", "", AI1244&amp;"["&amp;#REF!&amp;"]")</f>
        <v/>
      </c>
    </row>
    <row r="1245" spans="36:36" ht="12" customHeight="1" x14ac:dyDescent="0.25">
      <c r="AJ1245" t="str">
        <f>IF(AI1245="", "", AI1245&amp;"["&amp;#REF!&amp;"]")</f>
        <v/>
      </c>
    </row>
    <row r="1246" spans="36:36" ht="12" customHeight="1" x14ac:dyDescent="0.25">
      <c r="AJ1246" t="str">
        <f>IF(AI1246="", "", AI1246&amp;"["&amp;#REF!&amp;"]")</f>
        <v/>
      </c>
    </row>
    <row r="1247" spans="36:36" ht="12" customHeight="1" x14ac:dyDescent="0.25">
      <c r="AJ1247" t="str">
        <f>IF(AI1247="", "", AI1247&amp;"["&amp;#REF!&amp;"]")</f>
        <v/>
      </c>
    </row>
    <row r="1248" spans="36:36" ht="12" customHeight="1" x14ac:dyDescent="0.25">
      <c r="AJ1248" t="str">
        <f>IF(AI1248="", "", AI1248&amp;"["&amp;#REF!&amp;"]")</f>
        <v/>
      </c>
    </row>
    <row r="1249" spans="36:36" ht="12" customHeight="1" x14ac:dyDescent="0.25">
      <c r="AJ1249" t="str">
        <f>IF(AI1249="", "", AI1249&amp;"["&amp;#REF!&amp;"]")</f>
        <v/>
      </c>
    </row>
    <row r="1250" spans="36:36" ht="12" customHeight="1" x14ac:dyDescent="0.25">
      <c r="AJ1250" t="str">
        <f>IF(AI1250="", "", AI1250&amp;"["&amp;#REF!&amp;"]")</f>
        <v/>
      </c>
    </row>
    <row r="1251" spans="36:36" ht="12" customHeight="1" x14ac:dyDescent="0.25">
      <c r="AJ1251" t="str">
        <f>IF(AI1251="", "", AI1251&amp;"["&amp;#REF!&amp;"]")</f>
        <v/>
      </c>
    </row>
    <row r="1252" spans="36:36" ht="12" customHeight="1" x14ac:dyDescent="0.25">
      <c r="AJ1252" t="str">
        <f>IF(AI1252="", "", AI1252&amp;"["&amp;#REF!&amp;"]")</f>
        <v/>
      </c>
    </row>
    <row r="1253" spans="36:36" ht="12" customHeight="1" x14ac:dyDescent="0.25">
      <c r="AJ1253" t="str">
        <f>IF(AI1253="", "", AI1253&amp;"["&amp;#REF!&amp;"]")</f>
        <v/>
      </c>
    </row>
    <row r="1254" spans="36:36" ht="12" customHeight="1" x14ac:dyDescent="0.25">
      <c r="AJ1254" t="str">
        <f>IF(AI1254="", "", AI1254&amp;"["&amp;#REF!&amp;"]")</f>
        <v/>
      </c>
    </row>
    <row r="1255" spans="36:36" ht="12" customHeight="1" x14ac:dyDescent="0.25">
      <c r="AJ1255" t="str">
        <f>IF(AI1255="", "", AI1255&amp;"["&amp;#REF!&amp;"]")</f>
        <v/>
      </c>
    </row>
    <row r="1256" spans="36:36" ht="12" customHeight="1" x14ac:dyDescent="0.25">
      <c r="AJ1256" t="str">
        <f>IF(AI1256="", "", AI1256&amp;"["&amp;#REF!&amp;"]")</f>
        <v/>
      </c>
    </row>
    <row r="1257" spans="36:36" ht="12" customHeight="1" x14ac:dyDescent="0.25">
      <c r="AJ1257" t="str">
        <f>IF(AI1257="", "", AI1257&amp;"["&amp;#REF!&amp;"]")</f>
        <v/>
      </c>
    </row>
    <row r="1258" spans="36:36" ht="12" customHeight="1" x14ac:dyDescent="0.25">
      <c r="AJ1258" t="str">
        <f>IF(AI1258="", "", AI1258&amp;"["&amp;#REF!&amp;"]")</f>
        <v/>
      </c>
    </row>
    <row r="1259" spans="36:36" ht="12" customHeight="1" x14ac:dyDescent="0.25">
      <c r="AJ1259" t="str">
        <f>IF(AI1259="", "", AI1259&amp;"["&amp;#REF!&amp;"]")</f>
        <v/>
      </c>
    </row>
    <row r="1260" spans="36:36" ht="12" customHeight="1" x14ac:dyDescent="0.25">
      <c r="AJ1260" t="str">
        <f>IF(AI1260="", "", AI1260&amp;"["&amp;#REF!&amp;"]")</f>
        <v/>
      </c>
    </row>
    <row r="1261" spans="36:36" ht="12" customHeight="1" x14ac:dyDescent="0.25">
      <c r="AJ1261" t="str">
        <f>IF(AI1261="", "", AI1261&amp;"["&amp;#REF!&amp;"]")</f>
        <v/>
      </c>
    </row>
    <row r="1262" spans="36:36" ht="12" customHeight="1" x14ac:dyDescent="0.25">
      <c r="AJ1262" t="str">
        <f>IF(AI1262="", "", AI1262&amp;"["&amp;#REF!&amp;"]")</f>
        <v/>
      </c>
    </row>
    <row r="1263" spans="36:36" ht="12" customHeight="1" x14ac:dyDescent="0.25">
      <c r="AJ1263" t="str">
        <f>IF(AI1263="", "", AI1263&amp;"["&amp;#REF!&amp;"]")</f>
        <v/>
      </c>
    </row>
    <row r="1264" spans="36:36" ht="12" customHeight="1" x14ac:dyDescent="0.25">
      <c r="AJ1264" t="str">
        <f>IF(AI1264="", "", AI1264&amp;"["&amp;#REF!&amp;"]")</f>
        <v/>
      </c>
    </row>
    <row r="1265" spans="36:36" ht="12" customHeight="1" x14ac:dyDescent="0.25">
      <c r="AJ1265" t="str">
        <f>IF(AI1265="", "", AI1265&amp;"["&amp;#REF!&amp;"]")</f>
        <v/>
      </c>
    </row>
    <row r="1266" spans="36:36" ht="12" customHeight="1" x14ac:dyDescent="0.25">
      <c r="AJ1266" t="str">
        <f>IF(AI1266="", "", AI1266&amp;"["&amp;#REF!&amp;"]")</f>
        <v/>
      </c>
    </row>
    <row r="1267" spans="36:36" ht="12" customHeight="1" x14ac:dyDescent="0.25">
      <c r="AJ1267" t="str">
        <f>IF(AI1267="", "", AI1267&amp;"["&amp;#REF!&amp;"]")</f>
        <v/>
      </c>
    </row>
    <row r="1268" spans="36:36" ht="12" customHeight="1" x14ac:dyDescent="0.25">
      <c r="AJ1268" t="str">
        <f>IF(AI1268="", "", AI1268&amp;"["&amp;#REF!&amp;"]")</f>
        <v/>
      </c>
    </row>
    <row r="1269" spans="36:36" ht="12" customHeight="1" x14ac:dyDescent="0.25">
      <c r="AJ1269" t="str">
        <f>IF(AI1269="", "", AI1269&amp;"["&amp;#REF!&amp;"]")</f>
        <v/>
      </c>
    </row>
    <row r="1270" spans="36:36" ht="12" customHeight="1" x14ac:dyDescent="0.25">
      <c r="AJ1270" t="str">
        <f>IF(AI1270="", "", AI1270&amp;"["&amp;#REF!&amp;"]")</f>
        <v/>
      </c>
    </row>
    <row r="1271" spans="36:36" ht="12" customHeight="1" x14ac:dyDescent="0.25">
      <c r="AJ1271" t="str">
        <f>IF(AI1271="", "", AI1271&amp;"["&amp;#REF!&amp;"]")</f>
        <v/>
      </c>
    </row>
    <row r="1272" spans="36:36" ht="12" customHeight="1" x14ac:dyDescent="0.25">
      <c r="AJ1272" t="str">
        <f>IF(AI1272="", "", AI1272&amp;"["&amp;#REF!&amp;"]")</f>
        <v/>
      </c>
    </row>
    <row r="1273" spans="36:36" ht="12" customHeight="1" x14ac:dyDescent="0.25">
      <c r="AJ1273" t="str">
        <f>IF(AI1273="", "", AI1273&amp;"["&amp;#REF!&amp;"]")</f>
        <v/>
      </c>
    </row>
    <row r="1274" spans="36:36" ht="12" customHeight="1" x14ac:dyDescent="0.25">
      <c r="AJ1274" t="str">
        <f>IF(AI1274="", "", AI1274&amp;"["&amp;#REF!&amp;"]")</f>
        <v/>
      </c>
    </row>
    <row r="1275" spans="36:36" ht="12" customHeight="1" x14ac:dyDescent="0.25">
      <c r="AJ1275" t="str">
        <f>IF(AI1275="", "", AI1275&amp;"["&amp;#REF!&amp;"]")</f>
        <v/>
      </c>
    </row>
    <row r="1276" spans="36:36" ht="12" customHeight="1" x14ac:dyDescent="0.25">
      <c r="AJ1276" t="str">
        <f>IF(AI1276="", "", AI1276&amp;"["&amp;#REF!&amp;"]")</f>
        <v/>
      </c>
    </row>
    <row r="1277" spans="36:36" ht="12" customHeight="1" x14ac:dyDescent="0.25">
      <c r="AJ1277" t="str">
        <f>IF(AI1277="", "", AI1277&amp;"["&amp;#REF!&amp;"]")</f>
        <v/>
      </c>
    </row>
    <row r="1278" spans="36:36" ht="12" customHeight="1" x14ac:dyDescent="0.25">
      <c r="AJ1278" t="str">
        <f>IF(AI1278="", "", AI1278&amp;"["&amp;#REF!&amp;"]")</f>
        <v/>
      </c>
    </row>
    <row r="1279" spans="36:36" ht="12" customHeight="1" x14ac:dyDescent="0.25">
      <c r="AJ1279" t="str">
        <f>IF(AI1279="", "", AI1279&amp;"["&amp;#REF!&amp;"]")</f>
        <v/>
      </c>
    </row>
    <row r="1280" spans="36:36" ht="12" customHeight="1" x14ac:dyDescent="0.25">
      <c r="AJ1280" t="str">
        <f>IF(AI1280="", "", AI1280&amp;"["&amp;#REF!&amp;"]")</f>
        <v/>
      </c>
    </row>
    <row r="1281" spans="36:36" ht="12" customHeight="1" x14ac:dyDescent="0.25">
      <c r="AJ1281" t="str">
        <f>IF(AI1281="", "", AI1281&amp;"["&amp;#REF!&amp;"]")</f>
        <v/>
      </c>
    </row>
    <row r="1282" spans="36:36" ht="12" customHeight="1" x14ac:dyDescent="0.25">
      <c r="AJ1282" t="str">
        <f>IF(AI1282="", "", AI1282&amp;"["&amp;#REF!&amp;"]")</f>
        <v/>
      </c>
    </row>
    <row r="1283" spans="36:36" ht="12" customHeight="1" x14ac:dyDescent="0.25">
      <c r="AJ1283" t="str">
        <f>IF(AI1283="", "", AI1283&amp;"["&amp;#REF!&amp;"]")</f>
        <v/>
      </c>
    </row>
    <row r="1284" spans="36:36" ht="12" customHeight="1" x14ac:dyDescent="0.25">
      <c r="AJ1284" t="str">
        <f>IF(AI1284="", "", AI1284&amp;"["&amp;#REF!&amp;"]")</f>
        <v/>
      </c>
    </row>
    <row r="1285" spans="36:36" ht="12" customHeight="1" x14ac:dyDescent="0.25">
      <c r="AJ1285" t="str">
        <f>IF(AI1285="", "", AI1285&amp;"["&amp;#REF!&amp;"]")</f>
        <v/>
      </c>
    </row>
    <row r="1286" spans="36:36" ht="12" customHeight="1" x14ac:dyDescent="0.25">
      <c r="AJ1286" t="str">
        <f>IF(AI1286="", "", AI1286&amp;"["&amp;#REF!&amp;"]")</f>
        <v/>
      </c>
    </row>
    <row r="1287" spans="36:36" ht="12" customHeight="1" x14ac:dyDescent="0.25">
      <c r="AJ1287" t="str">
        <f>IF(AI1287="", "", AI1287&amp;"["&amp;#REF!&amp;"]")</f>
        <v/>
      </c>
    </row>
    <row r="1288" spans="36:36" ht="12" customHeight="1" x14ac:dyDescent="0.25">
      <c r="AJ1288" t="str">
        <f>IF(AI1288="", "", AI1288&amp;"["&amp;#REF!&amp;"]")</f>
        <v/>
      </c>
    </row>
    <row r="1289" spans="36:36" ht="12" customHeight="1" x14ac:dyDescent="0.25">
      <c r="AJ1289" t="str">
        <f>IF(AI1289="", "", AI1289&amp;"["&amp;#REF!&amp;"]")</f>
        <v/>
      </c>
    </row>
    <row r="1290" spans="36:36" ht="12" customHeight="1" x14ac:dyDescent="0.25">
      <c r="AJ1290" t="str">
        <f>IF(AI1290="", "", AI1290&amp;"["&amp;#REF!&amp;"]")</f>
        <v/>
      </c>
    </row>
    <row r="1291" spans="36:36" ht="12" customHeight="1" x14ac:dyDescent="0.25">
      <c r="AJ1291" t="str">
        <f>IF(AI1291="", "", AI1291&amp;"["&amp;#REF!&amp;"]")</f>
        <v/>
      </c>
    </row>
    <row r="1292" spans="36:36" ht="12" customHeight="1" x14ac:dyDescent="0.25">
      <c r="AJ1292" t="str">
        <f>IF(AI1292="", "", AI1292&amp;"["&amp;#REF!&amp;"]")</f>
        <v/>
      </c>
    </row>
    <row r="1293" spans="36:36" ht="12" customHeight="1" x14ac:dyDescent="0.25">
      <c r="AJ1293" t="str">
        <f>IF(AI1293="", "", AI1293&amp;"["&amp;#REF!&amp;"]")</f>
        <v/>
      </c>
    </row>
    <row r="1294" spans="36:36" ht="12" customHeight="1" x14ac:dyDescent="0.25">
      <c r="AJ1294" t="str">
        <f>IF(AI1294="", "", AI1294&amp;"["&amp;#REF!&amp;"]")</f>
        <v/>
      </c>
    </row>
    <row r="1295" spans="36:36" ht="12" customHeight="1" x14ac:dyDescent="0.25">
      <c r="AJ1295" t="str">
        <f>IF(AI1295="", "", AI1295&amp;"["&amp;#REF!&amp;"]")</f>
        <v/>
      </c>
    </row>
    <row r="1296" spans="36:36" ht="12" customHeight="1" x14ac:dyDescent="0.25">
      <c r="AJ1296" t="str">
        <f>IF(AI1296="", "", AI1296&amp;"["&amp;#REF!&amp;"]")</f>
        <v/>
      </c>
    </row>
    <row r="1297" spans="36:36" ht="12" customHeight="1" x14ac:dyDescent="0.25">
      <c r="AJ1297" t="str">
        <f>IF(AI1297="", "", AI1297&amp;"["&amp;#REF!&amp;"]")</f>
        <v/>
      </c>
    </row>
    <row r="1298" spans="36:36" ht="12" customHeight="1" x14ac:dyDescent="0.25">
      <c r="AJ1298" t="str">
        <f>IF(AI1298="", "", AI1298&amp;"["&amp;#REF!&amp;"]")</f>
        <v/>
      </c>
    </row>
    <row r="1299" spans="36:36" ht="12" customHeight="1" x14ac:dyDescent="0.25">
      <c r="AJ1299" t="str">
        <f>IF(AI1299="", "", AI1299&amp;"["&amp;#REF!&amp;"]")</f>
        <v/>
      </c>
    </row>
    <row r="1300" spans="36:36" ht="12" customHeight="1" x14ac:dyDescent="0.25">
      <c r="AJ1300" t="str">
        <f>IF(AI1300="", "", AI1300&amp;"["&amp;#REF!&amp;"]")</f>
        <v/>
      </c>
    </row>
    <row r="1301" spans="36:36" ht="12" customHeight="1" x14ac:dyDescent="0.25">
      <c r="AJ1301" t="str">
        <f>IF(AI1301="", "", AI1301&amp;"["&amp;#REF!&amp;"]")</f>
        <v/>
      </c>
    </row>
    <row r="1302" spans="36:36" ht="12" customHeight="1" x14ac:dyDescent="0.25">
      <c r="AJ1302" t="str">
        <f>IF(AI1302="", "", AI1302&amp;"["&amp;#REF!&amp;"]")</f>
        <v/>
      </c>
    </row>
    <row r="1303" spans="36:36" ht="12" customHeight="1" x14ac:dyDescent="0.25">
      <c r="AJ1303" t="str">
        <f>IF(AI1303="", "", AI1303&amp;"["&amp;#REF!&amp;"]")</f>
        <v/>
      </c>
    </row>
    <row r="1304" spans="36:36" ht="12" customHeight="1" x14ac:dyDescent="0.25">
      <c r="AJ1304" t="str">
        <f>IF(AI1304="", "", AI1304&amp;"["&amp;#REF!&amp;"]")</f>
        <v/>
      </c>
    </row>
    <row r="1305" spans="36:36" ht="12" customHeight="1" x14ac:dyDescent="0.25">
      <c r="AJ1305" t="str">
        <f>IF(AI1305="", "", AI1305&amp;"["&amp;#REF!&amp;"]")</f>
        <v/>
      </c>
    </row>
    <row r="1306" spans="36:36" ht="12" customHeight="1" x14ac:dyDescent="0.25">
      <c r="AJ1306" t="str">
        <f>IF(AI1306="", "", AI1306&amp;"["&amp;#REF!&amp;"]")</f>
        <v/>
      </c>
    </row>
    <row r="1307" spans="36:36" ht="12" customHeight="1" x14ac:dyDescent="0.25">
      <c r="AJ1307" t="str">
        <f>IF(AI1307="", "", AI1307&amp;"["&amp;#REF!&amp;"]")</f>
        <v/>
      </c>
    </row>
    <row r="1308" spans="36:36" ht="12" customHeight="1" x14ac:dyDescent="0.25">
      <c r="AJ1308" t="str">
        <f>IF(AI1308="", "", AI1308&amp;"["&amp;#REF!&amp;"]")</f>
        <v/>
      </c>
    </row>
    <row r="1309" spans="36:36" ht="12" customHeight="1" x14ac:dyDescent="0.25">
      <c r="AJ1309" t="str">
        <f>IF(AI1309="", "", AI1309&amp;"["&amp;#REF!&amp;"]")</f>
        <v/>
      </c>
    </row>
    <row r="1310" spans="36:36" ht="12" customHeight="1" x14ac:dyDescent="0.25">
      <c r="AJ1310" t="str">
        <f>IF(AI1310="", "", AI1310&amp;"["&amp;#REF!&amp;"]")</f>
        <v/>
      </c>
    </row>
    <row r="1311" spans="36:36" ht="12" customHeight="1" x14ac:dyDescent="0.25">
      <c r="AJ1311" t="str">
        <f>IF(AI1311="", "", AI1311&amp;"["&amp;#REF!&amp;"]")</f>
        <v/>
      </c>
    </row>
    <row r="1312" spans="36:36" ht="12" customHeight="1" x14ac:dyDescent="0.25">
      <c r="AJ1312" t="str">
        <f>IF(AI1312="", "", AI1312&amp;"["&amp;#REF!&amp;"]")</f>
        <v/>
      </c>
    </row>
    <row r="1313" spans="36:36" ht="12" customHeight="1" x14ac:dyDescent="0.25">
      <c r="AJ1313" t="str">
        <f>IF(AI1313="", "", AI1313&amp;"["&amp;#REF!&amp;"]")</f>
        <v/>
      </c>
    </row>
    <row r="1314" spans="36:36" ht="12" customHeight="1" x14ac:dyDescent="0.25">
      <c r="AJ1314" t="str">
        <f>IF(AI1314="", "", AI1314&amp;"["&amp;#REF!&amp;"]")</f>
        <v/>
      </c>
    </row>
    <row r="1315" spans="36:36" ht="12" customHeight="1" x14ac:dyDescent="0.25">
      <c r="AJ1315" t="str">
        <f>IF(AI1315="", "", AI1315&amp;"["&amp;#REF!&amp;"]")</f>
        <v/>
      </c>
    </row>
    <row r="1316" spans="36:36" ht="12" customHeight="1" x14ac:dyDescent="0.25">
      <c r="AJ1316" t="str">
        <f>IF(AI1316="", "", AI1316&amp;"["&amp;#REF!&amp;"]")</f>
        <v/>
      </c>
    </row>
    <row r="1317" spans="36:36" ht="12" customHeight="1" x14ac:dyDescent="0.25">
      <c r="AJ1317" t="str">
        <f>IF(AI1317="", "", AI1317&amp;"["&amp;#REF!&amp;"]")</f>
        <v/>
      </c>
    </row>
    <row r="1318" spans="36:36" ht="12" customHeight="1" x14ac:dyDescent="0.25">
      <c r="AJ1318" t="str">
        <f>IF(AI1318="", "", AI1318&amp;"["&amp;#REF!&amp;"]")</f>
        <v/>
      </c>
    </row>
    <row r="1319" spans="36:36" ht="12" customHeight="1" x14ac:dyDescent="0.25">
      <c r="AJ1319" t="str">
        <f>IF(AI1319="", "", AI1319&amp;"["&amp;#REF!&amp;"]")</f>
        <v/>
      </c>
    </row>
    <row r="1320" spans="36:36" ht="12" customHeight="1" x14ac:dyDescent="0.25">
      <c r="AJ1320" t="str">
        <f>IF(AI1320="", "", AI1320&amp;"["&amp;#REF!&amp;"]")</f>
        <v/>
      </c>
    </row>
    <row r="1321" spans="36:36" ht="12" customHeight="1" x14ac:dyDescent="0.25">
      <c r="AJ1321" t="str">
        <f>IF(AI1321="", "", AI1321&amp;"["&amp;#REF!&amp;"]")</f>
        <v/>
      </c>
    </row>
    <row r="1322" spans="36:36" ht="12" customHeight="1" x14ac:dyDescent="0.25">
      <c r="AJ1322" t="str">
        <f>IF(AI1322="", "", AI1322&amp;"["&amp;#REF!&amp;"]")</f>
        <v/>
      </c>
    </row>
    <row r="1323" spans="36:36" ht="12" customHeight="1" x14ac:dyDescent="0.25">
      <c r="AJ1323" t="str">
        <f>IF(AI1323="", "", AI1323&amp;"["&amp;#REF!&amp;"]")</f>
        <v/>
      </c>
    </row>
    <row r="1324" spans="36:36" ht="12" customHeight="1" x14ac:dyDescent="0.25">
      <c r="AJ1324" t="str">
        <f>IF(AI1324="", "", AI1324&amp;"["&amp;#REF!&amp;"]")</f>
        <v/>
      </c>
    </row>
    <row r="1325" spans="36:36" ht="12" customHeight="1" x14ac:dyDescent="0.25">
      <c r="AJ1325" t="str">
        <f>IF(AI1325="", "", AI1325&amp;"["&amp;#REF!&amp;"]")</f>
        <v/>
      </c>
    </row>
    <row r="1326" spans="36:36" ht="12" customHeight="1" x14ac:dyDescent="0.25">
      <c r="AJ1326" t="str">
        <f>IF(AI1326="", "", AI1326&amp;"["&amp;#REF!&amp;"]")</f>
        <v/>
      </c>
    </row>
    <row r="1327" spans="36:36" ht="12" customHeight="1" x14ac:dyDescent="0.25">
      <c r="AJ1327" t="str">
        <f>IF(AI1327="", "", AI1327&amp;"["&amp;#REF!&amp;"]")</f>
        <v/>
      </c>
    </row>
    <row r="1328" spans="36:36" ht="12" customHeight="1" x14ac:dyDescent="0.25">
      <c r="AJ1328" t="str">
        <f>IF(AI1328="", "", AI1328&amp;"["&amp;#REF!&amp;"]")</f>
        <v/>
      </c>
    </row>
    <row r="1329" spans="36:36" ht="12" customHeight="1" x14ac:dyDescent="0.25">
      <c r="AJ1329" t="str">
        <f>IF(AI1329="", "", AI1329&amp;"["&amp;#REF!&amp;"]")</f>
        <v/>
      </c>
    </row>
    <row r="1330" spans="36:36" ht="12" customHeight="1" x14ac:dyDescent="0.25">
      <c r="AJ1330" t="str">
        <f>IF(AI1330="", "", AI1330&amp;"["&amp;#REF!&amp;"]")</f>
        <v/>
      </c>
    </row>
    <row r="1331" spans="36:36" ht="12" customHeight="1" x14ac:dyDescent="0.25">
      <c r="AJ1331" t="str">
        <f>IF(AI1331="", "", AI1331&amp;"["&amp;#REF!&amp;"]")</f>
        <v/>
      </c>
    </row>
    <row r="1332" spans="36:36" ht="12" customHeight="1" x14ac:dyDescent="0.25">
      <c r="AJ1332" t="str">
        <f>IF(AI1332="", "", AI1332&amp;"["&amp;#REF!&amp;"]")</f>
        <v/>
      </c>
    </row>
    <row r="1333" spans="36:36" ht="12" customHeight="1" x14ac:dyDescent="0.25">
      <c r="AJ1333" t="str">
        <f>IF(AI1333="", "", AI1333&amp;"["&amp;#REF!&amp;"]")</f>
        <v/>
      </c>
    </row>
    <row r="1334" spans="36:36" ht="12" customHeight="1" x14ac:dyDescent="0.25">
      <c r="AJ1334" t="str">
        <f>IF(AI1334="", "", AI1334&amp;"["&amp;#REF!&amp;"]")</f>
        <v/>
      </c>
    </row>
    <row r="1335" spans="36:36" ht="12" customHeight="1" x14ac:dyDescent="0.25">
      <c r="AJ1335" t="str">
        <f>IF(AI1335="", "", AI1335&amp;"["&amp;#REF!&amp;"]")</f>
        <v/>
      </c>
    </row>
    <row r="1336" spans="36:36" ht="12" customHeight="1" x14ac:dyDescent="0.25">
      <c r="AJ1336" t="str">
        <f>IF(AI1336="", "", AI1336&amp;"["&amp;#REF!&amp;"]")</f>
        <v/>
      </c>
    </row>
    <row r="1337" spans="36:36" ht="12" customHeight="1" x14ac:dyDescent="0.25">
      <c r="AJ1337" t="str">
        <f>IF(AI1337="", "", AI1337&amp;"["&amp;#REF!&amp;"]")</f>
        <v/>
      </c>
    </row>
    <row r="1338" spans="36:36" ht="12" customHeight="1" x14ac:dyDescent="0.25">
      <c r="AJ1338" t="str">
        <f>IF(AI1338="", "", AI1338&amp;"["&amp;#REF!&amp;"]")</f>
        <v/>
      </c>
    </row>
    <row r="1339" spans="36:36" ht="12" customHeight="1" x14ac:dyDescent="0.25">
      <c r="AJ1339" t="str">
        <f>IF(AI1339="", "", AI1339&amp;"["&amp;#REF!&amp;"]")</f>
        <v/>
      </c>
    </row>
    <row r="1340" spans="36:36" ht="12" customHeight="1" x14ac:dyDescent="0.25">
      <c r="AJ1340" t="str">
        <f>IF(AI1340="", "", AI1340&amp;"["&amp;#REF!&amp;"]")</f>
        <v/>
      </c>
    </row>
    <row r="1341" spans="36:36" ht="12" customHeight="1" x14ac:dyDescent="0.25">
      <c r="AJ1341" t="str">
        <f>IF(AI1341="", "", AI1341&amp;"["&amp;#REF!&amp;"]")</f>
        <v/>
      </c>
    </row>
    <row r="1342" spans="36:36" ht="12" customHeight="1" x14ac:dyDescent="0.25">
      <c r="AJ1342" t="str">
        <f>IF(AI1342="", "", AI1342&amp;"["&amp;#REF!&amp;"]")</f>
        <v/>
      </c>
    </row>
    <row r="1343" spans="36:36" ht="12" customHeight="1" x14ac:dyDescent="0.25">
      <c r="AJ1343" t="str">
        <f>IF(AI1343="", "", AI1343&amp;"["&amp;#REF!&amp;"]")</f>
        <v/>
      </c>
    </row>
    <row r="1344" spans="36:36" ht="12" customHeight="1" x14ac:dyDescent="0.25">
      <c r="AJ1344" t="str">
        <f>IF(AI1344="", "", AI1344&amp;"["&amp;#REF!&amp;"]")</f>
        <v/>
      </c>
    </row>
    <row r="1345" spans="36:36" ht="12" customHeight="1" x14ac:dyDescent="0.25">
      <c r="AJ1345" t="str">
        <f>IF(AI1345="", "", AI1345&amp;"["&amp;#REF!&amp;"]")</f>
        <v/>
      </c>
    </row>
    <row r="1346" spans="36:36" ht="12" customHeight="1" x14ac:dyDescent="0.25">
      <c r="AJ1346" t="str">
        <f>IF(AI1346="", "", AI1346&amp;"["&amp;#REF!&amp;"]")</f>
        <v/>
      </c>
    </row>
    <row r="1347" spans="36:36" ht="12" customHeight="1" x14ac:dyDescent="0.25">
      <c r="AJ1347" t="str">
        <f>IF(AI1347="", "", AI1347&amp;"["&amp;#REF!&amp;"]")</f>
        <v/>
      </c>
    </row>
    <row r="1348" spans="36:36" ht="12" customHeight="1" x14ac:dyDescent="0.25">
      <c r="AJ1348" t="str">
        <f>IF(AI1348="", "", AI1348&amp;"["&amp;#REF!&amp;"]")</f>
        <v/>
      </c>
    </row>
    <row r="1349" spans="36:36" ht="12" customHeight="1" x14ac:dyDescent="0.25">
      <c r="AJ1349" t="str">
        <f>IF(AI1349="", "", AI1349&amp;"["&amp;#REF!&amp;"]")</f>
        <v/>
      </c>
    </row>
    <row r="1350" spans="36:36" ht="12" customHeight="1" x14ac:dyDescent="0.25">
      <c r="AJ1350" t="str">
        <f>IF(AI1350="", "", AI1350&amp;"["&amp;#REF!&amp;"]")</f>
        <v/>
      </c>
    </row>
    <row r="1351" spans="36:36" ht="12" customHeight="1" x14ac:dyDescent="0.25">
      <c r="AJ1351" t="str">
        <f>IF(AI1351="", "", AI1351&amp;"["&amp;#REF!&amp;"]")</f>
        <v/>
      </c>
    </row>
    <row r="1352" spans="36:36" ht="12" customHeight="1" x14ac:dyDescent="0.25">
      <c r="AJ1352" t="str">
        <f>IF(AI1352="", "", AI1352&amp;"["&amp;#REF!&amp;"]")</f>
        <v/>
      </c>
    </row>
    <row r="1353" spans="36:36" ht="12" customHeight="1" x14ac:dyDescent="0.25">
      <c r="AJ1353" t="str">
        <f>IF(AI1353="", "", AI1353&amp;"["&amp;#REF!&amp;"]")</f>
        <v/>
      </c>
    </row>
    <row r="1354" spans="36:36" ht="12" customHeight="1" x14ac:dyDescent="0.25">
      <c r="AJ1354" t="str">
        <f>IF(AI1354="", "", AI1354&amp;"["&amp;#REF!&amp;"]")</f>
        <v/>
      </c>
    </row>
    <row r="1355" spans="36:36" ht="12" customHeight="1" x14ac:dyDescent="0.25">
      <c r="AJ1355" t="str">
        <f>IF(AI1355="", "", AI1355&amp;"["&amp;#REF!&amp;"]")</f>
        <v/>
      </c>
    </row>
    <row r="1356" spans="36:36" ht="12" customHeight="1" x14ac:dyDescent="0.25">
      <c r="AJ1356" t="str">
        <f>IF(AI1356="", "", AI1356&amp;"["&amp;#REF!&amp;"]")</f>
        <v/>
      </c>
    </row>
    <row r="1357" spans="36:36" ht="12" customHeight="1" x14ac:dyDescent="0.25">
      <c r="AJ1357" t="str">
        <f>IF(AI1357="", "", AI1357&amp;"["&amp;#REF!&amp;"]")</f>
        <v/>
      </c>
    </row>
    <row r="1358" spans="36:36" ht="12" customHeight="1" x14ac:dyDescent="0.25">
      <c r="AJ1358" t="str">
        <f>IF(AI1358="", "", AI1358&amp;"["&amp;#REF!&amp;"]")</f>
        <v/>
      </c>
    </row>
    <row r="1359" spans="36:36" ht="12" customHeight="1" x14ac:dyDescent="0.25">
      <c r="AJ1359" t="str">
        <f>IF(AI1359="", "", AI1359&amp;"["&amp;#REF!&amp;"]")</f>
        <v/>
      </c>
    </row>
    <row r="1360" spans="36:36" ht="12" customHeight="1" x14ac:dyDescent="0.25">
      <c r="AJ1360" t="str">
        <f>IF(AI1360="", "", AI1360&amp;"["&amp;#REF!&amp;"]")</f>
        <v/>
      </c>
    </row>
    <row r="1361" spans="36:36" ht="12" customHeight="1" x14ac:dyDescent="0.25">
      <c r="AJ1361" t="str">
        <f>IF(AI1361="", "", AI1361&amp;"["&amp;#REF!&amp;"]")</f>
        <v/>
      </c>
    </row>
    <row r="1362" spans="36:36" ht="12" customHeight="1" x14ac:dyDescent="0.25">
      <c r="AJ1362" t="str">
        <f>IF(AI1362="", "", AI1362&amp;"["&amp;#REF!&amp;"]")</f>
        <v/>
      </c>
    </row>
    <row r="1363" spans="36:36" ht="12" customHeight="1" x14ac:dyDescent="0.25">
      <c r="AJ1363" t="str">
        <f>IF(AI1363="", "", AI1363&amp;"["&amp;#REF!&amp;"]")</f>
        <v/>
      </c>
    </row>
    <row r="1364" spans="36:36" ht="12" customHeight="1" x14ac:dyDescent="0.25">
      <c r="AJ1364" t="str">
        <f>IF(AI1364="", "", AI1364&amp;"["&amp;#REF!&amp;"]")</f>
        <v/>
      </c>
    </row>
    <row r="1365" spans="36:36" ht="12" customHeight="1" x14ac:dyDescent="0.25">
      <c r="AJ1365" t="str">
        <f>IF(AI1365="", "", AI1365&amp;"["&amp;#REF!&amp;"]")</f>
        <v/>
      </c>
    </row>
    <row r="1366" spans="36:36" ht="12" customHeight="1" x14ac:dyDescent="0.25">
      <c r="AJ1366" t="str">
        <f>IF(AI1366="", "", AI1366&amp;"["&amp;#REF!&amp;"]")</f>
        <v/>
      </c>
    </row>
    <row r="1367" spans="36:36" ht="12" customHeight="1" x14ac:dyDescent="0.25">
      <c r="AJ1367" t="str">
        <f>IF(AI1367="", "", AI1367&amp;"["&amp;#REF!&amp;"]")</f>
        <v/>
      </c>
    </row>
    <row r="1368" spans="36:36" ht="12" customHeight="1" x14ac:dyDescent="0.25">
      <c r="AJ1368" t="str">
        <f>IF(AI1368="", "", AI1368&amp;"["&amp;#REF!&amp;"]")</f>
        <v/>
      </c>
    </row>
    <row r="1369" spans="36:36" ht="12" customHeight="1" x14ac:dyDescent="0.25">
      <c r="AJ1369" t="str">
        <f>IF(AI1369="", "", AI1369&amp;"["&amp;#REF!&amp;"]")</f>
        <v/>
      </c>
    </row>
    <row r="1370" spans="36:36" ht="12" customHeight="1" x14ac:dyDescent="0.25">
      <c r="AJ1370" t="str">
        <f>IF(AI1370="", "", AI1370&amp;"["&amp;#REF!&amp;"]")</f>
        <v/>
      </c>
    </row>
    <row r="1371" spans="36:36" ht="12" customHeight="1" x14ac:dyDescent="0.25">
      <c r="AJ1371" t="str">
        <f>IF(AI1371="", "", AI1371&amp;"["&amp;#REF!&amp;"]")</f>
        <v/>
      </c>
    </row>
    <row r="1372" spans="36:36" ht="12" customHeight="1" x14ac:dyDescent="0.25">
      <c r="AJ1372" t="str">
        <f>IF(AI1372="", "", AI1372&amp;"["&amp;#REF!&amp;"]")</f>
        <v/>
      </c>
    </row>
    <row r="1373" spans="36:36" ht="12" customHeight="1" x14ac:dyDescent="0.25">
      <c r="AJ1373" t="str">
        <f>IF(AI1373="", "", AI1373&amp;"["&amp;#REF!&amp;"]")</f>
        <v/>
      </c>
    </row>
    <row r="1374" spans="36:36" ht="12" customHeight="1" x14ac:dyDescent="0.25">
      <c r="AJ1374" t="str">
        <f>IF(AI1374="", "", AI1374&amp;"["&amp;#REF!&amp;"]")</f>
        <v/>
      </c>
    </row>
    <row r="1375" spans="36:36" ht="12" customHeight="1" x14ac:dyDescent="0.25">
      <c r="AJ1375" t="str">
        <f>IF(AI1375="", "", AI1375&amp;"["&amp;#REF!&amp;"]")</f>
        <v/>
      </c>
    </row>
    <row r="1376" spans="36:36" ht="12" customHeight="1" x14ac:dyDescent="0.25">
      <c r="AJ1376" t="str">
        <f>IF(AI1376="", "", AI1376&amp;"["&amp;#REF!&amp;"]")</f>
        <v/>
      </c>
    </row>
    <row r="1377" spans="36:36" ht="12" customHeight="1" x14ac:dyDescent="0.25">
      <c r="AJ1377" t="str">
        <f>IF(AI1377="", "", AI1377&amp;"["&amp;#REF!&amp;"]")</f>
        <v/>
      </c>
    </row>
    <row r="1378" spans="36:36" ht="12" customHeight="1" x14ac:dyDescent="0.25">
      <c r="AJ1378" t="str">
        <f>IF(AI1378="", "", AI1378&amp;"["&amp;#REF!&amp;"]")</f>
        <v/>
      </c>
    </row>
    <row r="1379" spans="36:36" ht="12" customHeight="1" x14ac:dyDescent="0.25">
      <c r="AJ1379" t="str">
        <f>IF(AI1379="", "", AI1379&amp;"["&amp;#REF!&amp;"]")</f>
        <v/>
      </c>
    </row>
    <row r="1380" spans="36:36" ht="12" customHeight="1" x14ac:dyDescent="0.25">
      <c r="AJ1380" t="str">
        <f>IF(AI1380="", "", AI1380&amp;"["&amp;#REF!&amp;"]")</f>
        <v/>
      </c>
    </row>
    <row r="1381" spans="36:36" ht="12" customHeight="1" x14ac:dyDescent="0.25">
      <c r="AJ1381" t="str">
        <f>IF(AI1381="", "", AI1381&amp;"["&amp;#REF!&amp;"]")</f>
        <v/>
      </c>
    </row>
    <row r="1382" spans="36:36" ht="12" customHeight="1" x14ac:dyDescent="0.25">
      <c r="AJ1382" t="str">
        <f>IF(AI1382="", "", AI1382&amp;"["&amp;#REF!&amp;"]")</f>
        <v/>
      </c>
    </row>
    <row r="1383" spans="36:36" ht="12" customHeight="1" x14ac:dyDescent="0.25">
      <c r="AJ1383" t="str">
        <f>IF(AI1383="", "", AI1383&amp;"["&amp;#REF!&amp;"]")</f>
        <v/>
      </c>
    </row>
    <row r="1384" spans="36:36" ht="12" customHeight="1" x14ac:dyDescent="0.25">
      <c r="AJ1384" t="str">
        <f>IF(AI1384="", "", AI1384&amp;"["&amp;#REF!&amp;"]")</f>
        <v/>
      </c>
    </row>
    <row r="1385" spans="36:36" ht="12" customHeight="1" x14ac:dyDescent="0.25">
      <c r="AJ1385" t="str">
        <f>IF(AI1385="", "", AI1385&amp;"["&amp;#REF!&amp;"]")</f>
        <v/>
      </c>
    </row>
    <row r="1386" spans="36:36" ht="12" customHeight="1" x14ac:dyDescent="0.25">
      <c r="AJ1386" t="str">
        <f>IF(AI1386="", "", AI1386&amp;"["&amp;#REF!&amp;"]")</f>
        <v/>
      </c>
    </row>
    <row r="1387" spans="36:36" ht="12" customHeight="1" x14ac:dyDescent="0.25">
      <c r="AJ1387" t="str">
        <f>IF(AI1387="", "", AI1387&amp;"["&amp;#REF!&amp;"]")</f>
        <v/>
      </c>
    </row>
    <row r="1388" spans="36:36" ht="12" customHeight="1" x14ac:dyDescent="0.25">
      <c r="AJ1388" t="str">
        <f>IF(AI1388="", "", AI1388&amp;"["&amp;#REF!&amp;"]")</f>
        <v/>
      </c>
    </row>
    <row r="1389" spans="36:36" ht="12" customHeight="1" x14ac:dyDescent="0.25">
      <c r="AJ1389" t="str">
        <f>IF(AI1389="", "", AI1389&amp;"["&amp;#REF!&amp;"]")</f>
        <v/>
      </c>
    </row>
    <row r="1390" spans="36:36" ht="12" customHeight="1" x14ac:dyDescent="0.25">
      <c r="AJ1390" t="str">
        <f>IF(AI1390="", "", AI1390&amp;"["&amp;#REF!&amp;"]")</f>
        <v/>
      </c>
    </row>
    <row r="1391" spans="36:36" ht="12" customHeight="1" x14ac:dyDescent="0.25">
      <c r="AJ1391" t="str">
        <f>IF(AI1391="", "", AI1391&amp;"["&amp;#REF!&amp;"]")</f>
        <v/>
      </c>
    </row>
    <row r="1392" spans="36:36" ht="12" customHeight="1" x14ac:dyDescent="0.25">
      <c r="AJ1392" t="str">
        <f>IF(AI1392="", "", AI1392&amp;"["&amp;#REF!&amp;"]")</f>
        <v/>
      </c>
    </row>
    <row r="1393" spans="36:36" ht="12" customHeight="1" x14ac:dyDescent="0.25">
      <c r="AJ1393" t="str">
        <f>IF(AI1393="", "", AI1393&amp;"["&amp;#REF!&amp;"]")</f>
        <v/>
      </c>
    </row>
    <row r="1394" spans="36:36" ht="12" customHeight="1" x14ac:dyDescent="0.25">
      <c r="AJ1394" t="str">
        <f>IF(AI1394="", "", AI1394&amp;"["&amp;#REF!&amp;"]")</f>
        <v/>
      </c>
    </row>
    <row r="1395" spans="36:36" ht="12" customHeight="1" x14ac:dyDescent="0.25">
      <c r="AJ1395" t="str">
        <f>IF(AI1395="", "", AI1395&amp;"["&amp;#REF!&amp;"]")</f>
        <v/>
      </c>
    </row>
    <row r="1396" spans="36:36" ht="12" customHeight="1" x14ac:dyDescent="0.25">
      <c r="AJ1396" t="str">
        <f>IF(AI1396="", "", AI1396&amp;"["&amp;#REF!&amp;"]")</f>
        <v/>
      </c>
    </row>
    <row r="1397" spans="36:36" ht="12" customHeight="1" x14ac:dyDescent="0.25">
      <c r="AJ1397" t="str">
        <f>IF(AI1397="", "", AI1397&amp;"["&amp;#REF!&amp;"]")</f>
        <v/>
      </c>
    </row>
    <row r="1398" spans="36:36" ht="12" customHeight="1" x14ac:dyDescent="0.25">
      <c r="AJ1398" t="str">
        <f>IF(AI1398="", "", AI1398&amp;"["&amp;#REF!&amp;"]")</f>
        <v/>
      </c>
    </row>
    <row r="1399" spans="36:36" ht="12" customHeight="1" x14ac:dyDescent="0.25">
      <c r="AJ1399" t="str">
        <f>IF(AI1399="", "", AI1399&amp;"["&amp;#REF!&amp;"]")</f>
        <v/>
      </c>
    </row>
    <row r="1400" spans="36:36" ht="12" customHeight="1" x14ac:dyDescent="0.25">
      <c r="AJ1400" t="str">
        <f>IF(AI1400="", "", AI1400&amp;"["&amp;#REF!&amp;"]")</f>
        <v/>
      </c>
    </row>
    <row r="1401" spans="36:36" ht="12" customHeight="1" x14ac:dyDescent="0.25">
      <c r="AJ1401" t="str">
        <f>IF(AI1401="", "", AI1401&amp;"["&amp;#REF!&amp;"]")</f>
        <v/>
      </c>
    </row>
    <row r="1402" spans="36:36" ht="12" customHeight="1" x14ac:dyDescent="0.25">
      <c r="AJ1402" t="str">
        <f>IF(AI1402="", "", AI1402&amp;"["&amp;#REF!&amp;"]")</f>
        <v/>
      </c>
    </row>
    <row r="1403" spans="36:36" ht="12" customHeight="1" x14ac:dyDescent="0.25">
      <c r="AJ1403" t="str">
        <f>IF(AI1403="", "", AI1403&amp;"["&amp;#REF!&amp;"]")</f>
        <v/>
      </c>
    </row>
    <row r="1404" spans="36:36" ht="12" customHeight="1" x14ac:dyDescent="0.25">
      <c r="AJ1404" t="str">
        <f>IF(AI1404="", "", AI1404&amp;"["&amp;#REF!&amp;"]")</f>
        <v/>
      </c>
    </row>
    <row r="1405" spans="36:36" ht="12" customHeight="1" x14ac:dyDescent="0.25">
      <c r="AJ1405" t="str">
        <f>IF(AI1405="", "", AI1405&amp;"["&amp;#REF!&amp;"]")</f>
        <v/>
      </c>
    </row>
    <row r="1406" spans="36:36" ht="12" customHeight="1" x14ac:dyDescent="0.25">
      <c r="AJ1406" t="str">
        <f>IF(AI1406="", "", AI1406&amp;"["&amp;#REF!&amp;"]")</f>
        <v/>
      </c>
    </row>
    <row r="1407" spans="36:36" ht="12" customHeight="1" x14ac:dyDescent="0.25">
      <c r="AJ1407" t="str">
        <f>IF(AI1407="", "", AI1407&amp;"["&amp;#REF!&amp;"]")</f>
        <v/>
      </c>
    </row>
    <row r="1408" spans="36:36" ht="12" customHeight="1" x14ac:dyDescent="0.25">
      <c r="AJ1408" t="str">
        <f>IF(AI1408="", "", AI1408&amp;"["&amp;#REF!&amp;"]")</f>
        <v/>
      </c>
    </row>
    <row r="1409" spans="36:36" ht="12" customHeight="1" x14ac:dyDescent="0.25">
      <c r="AJ1409" t="str">
        <f>IF(AI1409="", "", AI1409&amp;"["&amp;#REF!&amp;"]")</f>
        <v/>
      </c>
    </row>
    <row r="1410" spans="36:36" ht="12" customHeight="1" x14ac:dyDescent="0.25">
      <c r="AJ1410" t="str">
        <f>IF(AI1410="", "", AI1410&amp;"["&amp;#REF!&amp;"]")</f>
        <v/>
      </c>
    </row>
    <row r="1411" spans="36:36" ht="12" customHeight="1" x14ac:dyDescent="0.25">
      <c r="AJ1411" t="str">
        <f>IF(AI1411="", "", AI1411&amp;"["&amp;#REF!&amp;"]")</f>
        <v/>
      </c>
    </row>
    <row r="1412" spans="36:36" ht="12" customHeight="1" x14ac:dyDescent="0.25">
      <c r="AJ1412" t="str">
        <f>IF(AI1412="", "", AI1412&amp;"["&amp;#REF!&amp;"]")</f>
        <v/>
      </c>
    </row>
    <row r="1413" spans="36:36" ht="12" customHeight="1" x14ac:dyDescent="0.25">
      <c r="AJ1413" t="str">
        <f>IF(AI1413="", "", AI1413&amp;"["&amp;#REF!&amp;"]")</f>
        <v/>
      </c>
    </row>
    <row r="1414" spans="36:36" ht="12" customHeight="1" x14ac:dyDescent="0.25">
      <c r="AJ1414" t="str">
        <f>IF(AI1414="", "", AI1414&amp;"["&amp;#REF!&amp;"]")</f>
        <v/>
      </c>
    </row>
    <row r="1415" spans="36:36" ht="12" customHeight="1" x14ac:dyDescent="0.25">
      <c r="AJ1415" t="str">
        <f>IF(AI1415="", "", AI1415&amp;"["&amp;#REF!&amp;"]")</f>
        <v/>
      </c>
    </row>
    <row r="1416" spans="36:36" ht="12" customHeight="1" x14ac:dyDescent="0.25">
      <c r="AJ1416" t="str">
        <f>IF(AI1416="", "", AI1416&amp;"["&amp;#REF!&amp;"]")</f>
        <v/>
      </c>
    </row>
    <row r="1417" spans="36:36" ht="12" customHeight="1" x14ac:dyDescent="0.25">
      <c r="AJ1417" t="str">
        <f>IF(AI1417="", "", AI1417&amp;"["&amp;#REF!&amp;"]")</f>
        <v/>
      </c>
    </row>
    <row r="1418" spans="36:36" ht="12" customHeight="1" x14ac:dyDescent="0.25">
      <c r="AJ1418" t="str">
        <f>IF(AI1418="", "", AI1418&amp;"["&amp;#REF!&amp;"]")</f>
        <v/>
      </c>
    </row>
    <row r="1419" spans="36:36" ht="12" customHeight="1" x14ac:dyDescent="0.25">
      <c r="AJ1419" t="str">
        <f>IF(AI1419="", "", AI1419&amp;"["&amp;#REF!&amp;"]")</f>
        <v/>
      </c>
    </row>
    <row r="1420" spans="36:36" ht="12" customHeight="1" x14ac:dyDescent="0.25">
      <c r="AJ1420" t="str">
        <f>IF(AI1420="", "", AI1420&amp;"["&amp;#REF!&amp;"]")</f>
        <v/>
      </c>
    </row>
    <row r="1421" spans="36:36" ht="12" customHeight="1" x14ac:dyDescent="0.25">
      <c r="AJ1421" t="str">
        <f>IF(AI1421="", "", AI1421&amp;"["&amp;#REF!&amp;"]")</f>
        <v/>
      </c>
    </row>
    <row r="1422" spans="36:36" ht="12" customHeight="1" x14ac:dyDescent="0.25">
      <c r="AJ1422" t="str">
        <f>IF(AI1422="", "", AI1422&amp;"["&amp;#REF!&amp;"]")</f>
        <v/>
      </c>
    </row>
    <row r="1423" spans="36:36" ht="12" customHeight="1" x14ac:dyDescent="0.25">
      <c r="AJ1423" t="str">
        <f>IF(AI1423="", "", AI1423&amp;"["&amp;#REF!&amp;"]")</f>
        <v/>
      </c>
    </row>
    <row r="1424" spans="36:36" ht="12" customHeight="1" x14ac:dyDescent="0.25">
      <c r="AJ1424" t="str">
        <f>IF(AI1424="", "", AI1424&amp;"["&amp;#REF!&amp;"]")</f>
        <v/>
      </c>
    </row>
    <row r="1425" spans="36:36" ht="12" customHeight="1" x14ac:dyDescent="0.25">
      <c r="AJ1425" t="str">
        <f>IF(AI1425="", "", AI1425&amp;"["&amp;#REF!&amp;"]")</f>
        <v/>
      </c>
    </row>
    <row r="1426" spans="36:36" ht="12" customHeight="1" x14ac:dyDescent="0.25">
      <c r="AJ1426" t="str">
        <f>IF(AI1426="", "", AI1426&amp;"["&amp;#REF!&amp;"]")</f>
        <v/>
      </c>
    </row>
    <row r="1427" spans="36:36" ht="12" customHeight="1" x14ac:dyDescent="0.25">
      <c r="AJ1427" t="str">
        <f>IF(AI1427="", "", AI1427&amp;"["&amp;#REF!&amp;"]")</f>
        <v/>
      </c>
    </row>
    <row r="1428" spans="36:36" ht="12" customHeight="1" x14ac:dyDescent="0.25">
      <c r="AJ1428" t="str">
        <f>IF(AI1428="", "", AI1428&amp;"["&amp;#REF!&amp;"]")</f>
        <v/>
      </c>
    </row>
    <row r="1429" spans="36:36" ht="12" customHeight="1" x14ac:dyDescent="0.25">
      <c r="AJ1429" t="str">
        <f>IF(AI1429="", "", AI1429&amp;"["&amp;#REF!&amp;"]")</f>
        <v/>
      </c>
    </row>
    <row r="1430" spans="36:36" ht="12" customHeight="1" x14ac:dyDescent="0.25">
      <c r="AJ1430" t="str">
        <f>IF(AI1430="", "", AI1430&amp;"["&amp;#REF!&amp;"]")</f>
        <v/>
      </c>
    </row>
    <row r="1431" spans="36:36" ht="12" customHeight="1" x14ac:dyDescent="0.25">
      <c r="AJ1431" t="str">
        <f>IF(AI1431="", "", AI1431&amp;"["&amp;#REF!&amp;"]")</f>
        <v/>
      </c>
    </row>
    <row r="1432" spans="36:36" ht="12" customHeight="1" x14ac:dyDescent="0.25">
      <c r="AJ1432" t="str">
        <f>IF(AI1432="", "", AI1432&amp;"["&amp;#REF!&amp;"]")</f>
        <v/>
      </c>
    </row>
    <row r="1433" spans="36:36" ht="12" customHeight="1" x14ac:dyDescent="0.25">
      <c r="AJ1433" t="str">
        <f>IF(AI1433="", "", AI1433&amp;"["&amp;#REF!&amp;"]")</f>
        <v/>
      </c>
    </row>
    <row r="1434" spans="36:36" ht="12" customHeight="1" x14ac:dyDescent="0.25">
      <c r="AJ1434" t="str">
        <f>IF(AI1434="", "", AI1434&amp;"["&amp;#REF!&amp;"]")</f>
        <v/>
      </c>
    </row>
    <row r="1435" spans="36:36" ht="12" customHeight="1" x14ac:dyDescent="0.25">
      <c r="AJ1435" t="str">
        <f>IF(AI1435="", "", AI1435&amp;"["&amp;#REF!&amp;"]")</f>
        <v/>
      </c>
    </row>
    <row r="1436" spans="36:36" ht="12" customHeight="1" x14ac:dyDescent="0.25">
      <c r="AJ1436" t="str">
        <f>IF(AI1436="", "", AI1436&amp;"["&amp;#REF!&amp;"]")</f>
        <v/>
      </c>
    </row>
    <row r="1437" spans="36:36" ht="12" customHeight="1" x14ac:dyDescent="0.25">
      <c r="AJ1437" t="str">
        <f>IF(AI1437="", "", AI1437&amp;"["&amp;#REF!&amp;"]")</f>
        <v/>
      </c>
    </row>
    <row r="1438" spans="36:36" ht="12" customHeight="1" x14ac:dyDescent="0.25">
      <c r="AJ1438" t="str">
        <f>IF(AI1438="", "", AI1438&amp;"["&amp;#REF!&amp;"]")</f>
        <v/>
      </c>
    </row>
    <row r="1439" spans="36:36" ht="12" customHeight="1" x14ac:dyDescent="0.25">
      <c r="AJ1439" t="str">
        <f>IF(AI1439="", "", AI1439&amp;"["&amp;#REF!&amp;"]")</f>
        <v/>
      </c>
    </row>
    <row r="1440" spans="36:36" ht="12" customHeight="1" x14ac:dyDescent="0.25">
      <c r="AJ1440" t="str">
        <f>IF(AI1440="", "", AI1440&amp;"["&amp;#REF!&amp;"]")</f>
        <v/>
      </c>
    </row>
    <row r="1441" spans="36:36" ht="12" customHeight="1" x14ac:dyDescent="0.25">
      <c r="AJ1441" t="str">
        <f>IF(AI1441="", "", AI1441&amp;"["&amp;#REF!&amp;"]")</f>
        <v/>
      </c>
    </row>
    <row r="1442" spans="36:36" ht="12" customHeight="1" x14ac:dyDescent="0.25">
      <c r="AJ1442" t="str">
        <f>IF(AI1442="", "", AI1442&amp;"["&amp;#REF!&amp;"]")</f>
        <v/>
      </c>
    </row>
    <row r="1443" spans="36:36" ht="12" customHeight="1" x14ac:dyDescent="0.25">
      <c r="AJ1443" t="str">
        <f>IF(AI1443="", "", AI1443&amp;"["&amp;#REF!&amp;"]")</f>
        <v/>
      </c>
    </row>
    <row r="1444" spans="36:36" ht="12" customHeight="1" x14ac:dyDescent="0.25">
      <c r="AJ1444" t="str">
        <f>IF(AI1444="", "", AI1444&amp;"["&amp;#REF!&amp;"]")</f>
        <v/>
      </c>
    </row>
    <row r="1445" spans="36:36" ht="12" customHeight="1" x14ac:dyDescent="0.25">
      <c r="AJ1445" t="str">
        <f>IF(AI1445="", "", AI1445&amp;"["&amp;#REF!&amp;"]")</f>
        <v/>
      </c>
    </row>
    <row r="1446" spans="36:36" ht="12" customHeight="1" x14ac:dyDescent="0.25">
      <c r="AJ1446" t="str">
        <f>IF(AI1446="", "", AI1446&amp;"["&amp;#REF!&amp;"]")</f>
        <v/>
      </c>
    </row>
    <row r="1447" spans="36:36" ht="12" customHeight="1" x14ac:dyDescent="0.25">
      <c r="AJ1447" t="str">
        <f>IF(AI1447="", "", AI1447&amp;"["&amp;#REF!&amp;"]")</f>
        <v/>
      </c>
    </row>
    <row r="1448" spans="36:36" ht="12" customHeight="1" x14ac:dyDescent="0.25">
      <c r="AJ1448" t="str">
        <f>IF(AI1448="", "", AI1448&amp;"["&amp;#REF!&amp;"]")</f>
        <v/>
      </c>
    </row>
    <row r="1449" spans="36:36" ht="12" customHeight="1" x14ac:dyDescent="0.25">
      <c r="AJ1449" t="str">
        <f>IF(AI1449="", "", AI1449&amp;"["&amp;#REF!&amp;"]")</f>
        <v/>
      </c>
    </row>
    <row r="1450" spans="36:36" ht="12" customHeight="1" x14ac:dyDescent="0.25">
      <c r="AJ1450" t="str">
        <f>IF(AI1450="", "", AI1450&amp;"["&amp;#REF!&amp;"]")</f>
        <v/>
      </c>
    </row>
    <row r="1451" spans="36:36" ht="12" customHeight="1" x14ac:dyDescent="0.25">
      <c r="AJ1451" t="str">
        <f>IF(AI1451="", "", AI1451&amp;"["&amp;#REF!&amp;"]")</f>
        <v/>
      </c>
    </row>
    <row r="1452" spans="36:36" ht="12" customHeight="1" x14ac:dyDescent="0.25">
      <c r="AJ1452" t="str">
        <f>IF(AI1452="", "", AI1452&amp;"["&amp;#REF!&amp;"]")</f>
        <v/>
      </c>
    </row>
    <row r="1453" spans="36:36" ht="12" customHeight="1" x14ac:dyDescent="0.25">
      <c r="AJ1453" t="str">
        <f>IF(AI1453="", "", AI1453&amp;"["&amp;#REF!&amp;"]")</f>
        <v/>
      </c>
    </row>
    <row r="1454" spans="36:36" ht="12" customHeight="1" x14ac:dyDescent="0.25">
      <c r="AJ1454" t="str">
        <f>IF(AI1454="", "", AI1454&amp;"["&amp;#REF!&amp;"]")</f>
        <v/>
      </c>
    </row>
    <row r="1455" spans="36:36" ht="12" customHeight="1" x14ac:dyDescent="0.25">
      <c r="AJ1455" t="str">
        <f>IF(AI1455="", "", AI1455&amp;"["&amp;#REF!&amp;"]")</f>
        <v/>
      </c>
    </row>
    <row r="1456" spans="36:36" ht="12" customHeight="1" x14ac:dyDescent="0.25">
      <c r="AJ1456" t="str">
        <f>IF(AI1456="", "", AI1456&amp;"["&amp;#REF!&amp;"]")</f>
        <v/>
      </c>
    </row>
    <row r="1457" spans="36:36" ht="12" customHeight="1" x14ac:dyDescent="0.25">
      <c r="AJ1457" t="str">
        <f>IF(AI1457="", "", AI1457&amp;"["&amp;#REF!&amp;"]")</f>
        <v/>
      </c>
    </row>
    <row r="1458" spans="36:36" ht="12" customHeight="1" x14ac:dyDescent="0.25">
      <c r="AJ1458" t="str">
        <f>IF(AI1458="", "", AI1458&amp;"["&amp;#REF!&amp;"]")</f>
        <v/>
      </c>
    </row>
    <row r="1459" spans="36:36" ht="12" customHeight="1" x14ac:dyDescent="0.25">
      <c r="AJ1459" t="str">
        <f>IF(AI1459="", "", AI1459&amp;"["&amp;#REF!&amp;"]")</f>
        <v/>
      </c>
    </row>
    <row r="1460" spans="36:36" ht="12" customHeight="1" x14ac:dyDescent="0.25">
      <c r="AJ1460" t="str">
        <f>IF(AI1460="", "", AI1460&amp;"["&amp;#REF!&amp;"]")</f>
        <v/>
      </c>
    </row>
    <row r="1461" spans="36:36" ht="12" customHeight="1" x14ac:dyDescent="0.25">
      <c r="AJ1461" t="str">
        <f>IF(AI1461="", "", AI1461&amp;"["&amp;#REF!&amp;"]")</f>
        <v/>
      </c>
    </row>
    <row r="1462" spans="36:36" ht="12" customHeight="1" x14ac:dyDescent="0.25">
      <c r="AJ1462" t="str">
        <f>IF(AI1462="", "", AI1462&amp;"["&amp;#REF!&amp;"]")</f>
        <v/>
      </c>
    </row>
    <row r="1463" spans="36:36" ht="12" customHeight="1" x14ac:dyDescent="0.25">
      <c r="AJ1463" t="str">
        <f>IF(AI1463="", "", AI1463&amp;"["&amp;#REF!&amp;"]")</f>
        <v/>
      </c>
    </row>
    <row r="1464" spans="36:36" ht="12" customHeight="1" x14ac:dyDescent="0.25">
      <c r="AJ1464" t="str">
        <f>IF(AI1464="", "", AI1464&amp;"["&amp;#REF!&amp;"]")</f>
        <v/>
      </c>
    </row>
    <row r="1465" spans="36:36" ht="12" customHeight="1" x14ac:dyDescent="0.25">
      <c r="AJ1465" t="str">
        <f>IF(AI1465="", "", AI1465&amp;"["&amp;#REF!&amp;"]")</f>
        <v/>
      </c>
    </row>
    <row r="1466" spans="36:36" ht="12" customHeight="1" x14ac:dyDescent="0.25">
      <c r="AJ1466" t="str">
        <f>IF(AI1466="", "", AI1466&amp;"["&amp;#REF!&amp;"]")</f>
        <v/>
      </c>
    </row>
    <row r="1467" spans="36:36" ht="12" customHeight="1" x14ac:dyDescent="0.25">
      <c r="AJ1467" t="str">
        <f>IF(AI1467="", "", AI1467&amp;"["&amp;#REF!&amp;"]")</f>
        <v/>
      </c>
    </row>
    <row r="1468" spans="36:36" ht="12" customHeight="1" x14ac:dyDescent="0.25">
      <c r="AJ1468" t="str">
        <f>IF(AI1468="", "", AI1468&amp;"["&amp;#REF!&amp;"]")</f>
        <v/>
      </c>
    </row>
    <row r="1469" spans="36:36" ht="12" customHeight="1" x14ac:dyDescent="0.25">
      <c r="AJ1469" t="str">
        <f>IF(AI1469="", "", AI1469&amp;"["&amp;#REF!&amp;"]")</f>
        <v/>
      </c>
    </row>
    <row r="1470" spans="36:36" ht="12" customHeight="1" x14ac:dyDescent="0.25">
      <c r="AJ1470" t="str">
        <f>IF(AI1470="", "", AI1470&amp;"["&amp;#REF!&amp;"]")</f>
        <v/>
      </c>
    </row>
    <row r="1471" spans="36:36" ht="12" customHeight="1" x14ac:dyDescent="0.25">
      <c r="AJ1471" t="str">
        <f>IF(AI1471="", "", AI1471&amp;"["&amp;#REF!&amp;"]")</f>
        <v/>
      </c>
    </row>
    <row r="1472" spans="36:36" ht="12" customHeight="1" x14ac:dyDescent="0.25">
      <c r="AJ1472" t="str">
        <f>IF(AI1472="", "", AI1472&amp;"["&amp;#REF!&amp;"]")</f>
        <v/>
      </c>
    </row>
    <row r="1473" spans="36:36" ht="12" customHeight="1" x14ac:dyDescent="0.25">
      <c r="AJ1473" t="str">
        <f>IF(AI1473="", "", AI1473&amp;"["&amp;#REF!&amp;"]")</f>
        <v/>
      </c>
    </row>
    <row r="1474" spans="36:36" ht="12" customHeight="1" x14ac:dyDescent="0.25">
      <c r="AJ1474" t="str">
        <f>IF(AI1474="", "", AI1474&amp;"["&amp;#REF!&amp;"]")</f>
        <v/>
      </c>
    </row>
    <row r="1475" spans="36:36" ht="12" customHeight="1" x14ac:dyDescent="0.25">
      <c r="AJ1475" t="str">
        <f>IF(AI1475="", "", AI1475&amp;"["&amp;#REF!&amp;"]")</f>
        <v/>
      </c>
    </row>
    <row r="1476" spans="36:36" ht="12" customHeight="1" x14ac:dyDescent="0.25">
      <c r="AJ1476" t="str">
        <f>IF(AI1476="", "", AI1476&amp;"["&amp;#REF!&amp;"]")</f>
        <v/>
      </c>
    </row>
    <row r="1477" spans="36:36" ht="12" customHeight="1" x14ac:dyDescent="0.25">
      <c r="AJ1477" t="str">
        <f>IF(AI1477="", "", AI1477&amp;"["&amp;#REF!&amp;"]")</f>
        <v/>
      </c>
    </row>
    <row r="1478" spans="36:36" ht="12" customHeight="1" x14ac:dyDescent="0.25">
      <c r="AJ1478" t="str">
        <f>IF(AI1478="", "", AI1478&amp;"["&amp;#REF!&amp;"]")</f>
        <v/>
      </c>
    </row>
    <row r="1479" spans="36:36" ht="12" customHeight="1" x14ac:dyDescent="0.25">
      <c r="AJ1479" t="str">
        <f>IF(AI1479="", "", AI1479&amp;"["&amp;#REF!&amp;"]")</f>
        <v/>
      </c>
    </row>
    <row r="1480" spans="36:36" ht="12" customHeight="1" x14ac:dyDescent="0.25">
      <c r="AJ1480" t="str">
        <f>IF(AI1480="", "", AI1480&amp;"["&amp;#REF!&amp;"]")</f>
        <v/>
      </c>
    </row>
    <row r="1481" spans="36:36" ht="12" customHeight="1" x14ac:dyDescent="0.25">
      <c r="AJ1481" t="str">
        <f>IF(AI1481="", "", AI1481&amp;"["&amp;#REF!&amp;"]")</f>
        <v/>
      </c>
    </row>
    <row r="1482" spans="36:36" ht="12" customHeight="1" x14ac:dyDescent="0.25">
      <c r="AJ1482" t="str">
        <f>IF(AI1482="", "", AI1482&amp;"["&amp;#REF!&amp;"]")</f>
        <v/>
      </c>
    </row>
    <row r="1483" spans="36:36" ht="12" customHeight="1" x14ac:dyDescent="0.25">
      <c r="AJ1483" t="str">
        <f>IF(AI1483="", "", AI1483&amp;"["&amp;#REF!&amp;"]")</f>
        <v/>
      </c>
    </row>
    <row r="1484" spans="36:36" ht="12" customHeight="1" x14ac:dyDescent="0.25">
      <c r="AJ1484" t="str">
        <f>IF(AI1484="", "", AI1484&amp;"["&amp;#REF!&amp;"]")</f>
        <v/>
      </c>
    </row>
    <row r="1485" spans="36:36" ht="12" customHeight="1" x14ac:dyDescent="0.25">
      <c r="AJ1485" t="str">
        <f>IF(AI1485="", "", AI1485&amp;"["&amp;#REF!&amp;"]")</f>
        <v/>
      </c>
    </row>
    <row r="1486" spans="36:36" ht="12" customHeight="1" x14ac:dyDescent="0.25">
      <c r="AJ1486" t="str">
        <f>IF(AI1486="", "", AI1486&amp;"["&amp;#REF!&amp;"]")</f>
        <v/>
      </c>
    </row>
    <row r="1487" spans="36:36" ht="12" customHeight="1" x14ac:dyDescent="0.25">
      <c r="AJ1487" t="str">
        <f>IF(AI1487="", "", AI1487&amp;"["&amp;#REF!&amp;"]")</f>
        <v/>
      </c>
    </row>
    <row r="1488" spans="36:36" ht="12" customHeight="1" x14ac:dyDescent="0.25">
      <c r="AJ1488" t="str">
        <f>IF(AI1488="", "", AI1488&amp;"["&amp;#REF!&amp;"]")</f>
        <v/>
      </c>
    </row>
    <row r="1489" spans="36:36" ht="12" customHeight="1" x14ac:dyDescent="0.25">
      <c r="AJ1489" t="str">
        <f>IF(AI1489="", "", AI1489&amp;"["&amp;#REF!&amp;"]")</f>
        <v/>
      </c>
    </row>
    <row r="1490" spans="36:36" ht="12" customHeight="1" x14ac:dyDescent="0.25">
      <c r="AJ1490" t="str">
        <f>IF(AI1490="", "", AI1490&amp;"["&amp;#REF!&amp;"]")</f>
        <v/>
      </c>
    </row>
    <row r="1491" spans="36:36" ht="12" customHeight="1" x14ac:dyDescent="0.25">
      <c r="AJ1491" t="str">
        <f>IF(AI1491="", "", AI1491&amp;"["&amp;#REF!&amp;"]")</f>
        <v/>
      </c>
    </row>
    <row r="1492" spans="36:36" ht="12" customHeight="1" x14ac:dyDescent="0.25">
      <c r="AJ1492" t="str">
        <f>IF(AI1492="", "", AI1492&amp;"["&amp;#REF!&amp;"]")</f>
        <v/>
      </c>
    </row>
    <row r="1493" spans="36:36" ht="12" customHeight="1" x14ac:dyDescent="0.25">
      <c r="AJ1493" t="str">
        <f>IF(AI1493="", "", AI1493&amp;"["&amp;#REF!&amp;"]")</f>
        <v/>
      </c>
    </row>
    <row r="1494" spans="36:36" ht="12" customHeight="1" x14ac:dyDescent="0.25">
      <c r="AJ1494" t="str">
        <f>IF(AI1494="", "", AI1494&amp;"["&amp;#REF!&amp;"]")</f>
        <v/>
      </c>
    </row>
    <row r="1495" spans="36:36" ht="12" customHeight="1" x14ac:dyDescent="0.25">
      <c r="AJ1495" t="str">
        <f>IF(AI1495="", "", AI1495&amp;"["&amp;#REF!&amp;"]")</f>
        <v/>
      </c>
    </row>
    <row r="1496" spans="36:36" ht="12" customHeight="1" x14ac:dyDescent="0.25">
      <c r="AJ1496" t="str">
        <f>IF(AI1496="", "", AI1496&amp;"["&amp;#REF!&amp;"]")</f>
        <v/>
      </c>
    </row>
    <row r="1497" spans="36:36" ht="12" customHeight="1" x14ac:dyDescent="0.25">
      <c r="AJ1497" t="str">
        <f>IF(AI1497="", "", AI1497&amp;"["&amp;#REF!&amp;"]")</f>
        <v/>
      </c>
    </row>
    <row r="1498" spans="36:36" ht="12" customHeight="1" x14ac:dyDescent="0.25">
      <c r="AJ1498" t="str">
        <f>IF(AI1498="", "", AI1498&amp;"["&amp;#REF!&amp;"]")</f>
        <v/>
      </c>
    </row>
    <row r="1499" spans="36:36" ht="12" customHeight="1" x14ac:dyDescent="0.25">
      <c r="AJ1499" t="str">
        <f>IF(AI1499="", "", AI1499&amp;"["&amp;#REF!&amp;"]")</f>
        <v/>
      </c>
    </row>
    <row r="1500" spans="36:36" ht="12" customHeight="1" x14ac:dyDescent="0.25">
      <c r="AJ1500" t="str">
        <f>IF(AI1500="", "", AI1500&amp;"["&amp;#REF!&amp;"]")</f>
        <v/>
      </c>
    </row>
    <row r="1501" spans="36:36" ht="12" customHeight="1" x14ac:dyDescent="0.25">
      <c r="AJ1501" t="str">
        <f>IF(AI1501="", "", AI1501&amp;"["&amp;#REF!&amp;"]")</f>
        <v/>
      </c>
    </row>
    <row r="1502" spans="36:36" ht="12" customHeight="1" x14ac:dyDescent="0.25">
      <c r="AJ1502" t="str">
        <f>IF(AI1502="", "", AI1502&amp;"["&amp;#REF!&amp;"]")</f>
        <v/>
      </c>
    </row>
    <row r="1503" spans="36:36" ht="12" customHeight="1" x14ac:dyDescent="0.25">
      <c r="AJ1503" t="str">
        <f>IF(AI1503="", "", AI1503&amp;"["&amp;#REF!&amp;"]")</f>
        <v/>
      </c>
    </row>
    <row r="1504" spans="36:36" ht="12" customHeight="1" x14ac:dyDescent="0.25">
      <c r="AJ1504" t="str">
        <f>IF(AI1504="", "", AI1504&amp;"["&amp;#REF!&amp;"]")</f>
        <v/>
      </c>
    </row>
    <row r="1505" spans="36:36" ht="12" customHeight="1" x14ac:dyDescent="0.25">
      <c r="AJ1505" t="str">
        <f>IF(AI1505="", "", AI1505&amp;"["&amp;#REF!&amp;"]")</f>
        <v/>
      </c>
    </row>
    <row r="1506" spans="36:36" ht="12" customHeight="1" x14ac:dyDescent="0.25">
      <c r="AJ1506" t="str">
        <f>IF(AI1506="", "", AI1506&amp;"["&amp;#REF!&amp;"]")</f>
        <v/>
      </c>
    </row>
    <row r="1507" spans="36:36" ht="12" customHeight="1" x14ac:dyDescent="0.25">
      <c r="AJ1507" t="str">
        <f>IF(AI1507="", "", AI1507&amp;"["&amp;#REF!&amp;"]")</f>
        <v/>
      </c>
    </row>
    <row r="1508" spans="36:36" ht="12" customHeight="1" x14ac:dyDescent="0.25">
      <c r="AJ1508" t="str">
        <f>IF(AI1508="", "", AI1508&amp;"["&amp;#REF!&amp;"]")</f>
        <v/>
      </c>
    </row>
    <row r="1509" spans="36:36" ht="12" customHeight="1" x14ac:dyDescent="0.25">
      <c r="AJ1509" t="str">
        <f>IF(AI1509="", "", AI1509&amp;"["&amp;#REF!&amp;"]")</f>
        <v/>
      </c>
    </row>
    <row r="1510" spans="36:36" ht="12" customHeight="1" x14ac:dyDescent="0.25">
      <c r="AJ1510" t="str">
        <f>IF(AI1510="", "", AI1510&amp;"["&amp;#REF!&amp;"]")</f>
        <v/>
      </c>
    </row>
    <row r="1511" spans="36:36" ht="12" customHeight="1" x14ac:dyDescent="0.25">
      <c r="AJ1511" t="str">
        <f>IF(AI1511="", "", AI1511&amp;"["&amp;#REF!&amp;"]")</f>
        <v/>
      </c>
    </row>
    <row r="1512" spans="36:36" ht="12" customHeight="1" x14ac:dyDescent="0.25">
      <c r="AJ1512" t="str">
        <f>IF(AI1512="", "", AI1512&amp;"["&amp;#REF!&amp;"]")</f>
        <v/>
      </c>
    </row>
    <row r="1513" spans="36:36" ht="12" customHeight="1" x14ac:dyDescent="0.25">
      <c r="AJ1513" t="str">
        <f>IF(AI1513="", "", AI1513&amp;"["&amp;#REF!&amp;"]")</f>
        <v/>
      </c>
    </row>
    <row r="1514" spans="36:36" ht="12" customHeight="1" x14ac:dyDescent="0.25">
      <c r="AJ1514" t="str">
        <f>IF(AI1514="", "", AI1514&amp;"["&amp;#REF!&amp;"]")</f>
        <v/>
      </c>
    </row>
    <row r="1515" spans="36:36" ht="12" customHeight="1" x14ac:dyDescent="0.25">
      <c r="AJ1515" t="str">
        <f>IF(AI1515="", "", AI1515&amp;"["&amp;#REF!&amp;"]")</f>
        <v/>
      </c>
    </row>
    <row r="1516" spans="36:36" ht="12" customHeight="1" x14ac:dyDescent="0.25">
      <c r="AJ1516" t="str">
        <f>IF(AI1516="", "", AI1516&amp;"["&amp;#REF!&amp;"]")</f>
        <v/>
      </c>
    </row>
    <row r="1517" spans="36:36" ht="12" customHeight="1" x14ac:dyDescent="0.25">
      <c r="AJ1517" t="str">
        <f>IF(AI1517="", "", AI1517&amp;"["&amp;#REF!&amp;"]")</f>
        <v/>
      </c>
    </row>
    <row r="1518" spans="36:36" ht="12" customHeight="1" x14ac:dyDescent="0.25">
      <c r="AJ1518" t="str">
        <f>IF(AI1518="", "", AI1518&amp;"["&amp;#REF!&amp;"]")</f>
        <v/>
      </c>
    </row>
    <row r="1519" spans="36:36" ht="12" customHeight="1" x14ac:dyDescent="0.25">
      <c r="AJ1519" t="str">
        <f>IF(AI1519="", "", AI1519&amp;"["&amp;#REF!&amp;"]")</f>
        <v/>
      </c>
    </row>
    <row r="1520" spans="36:36" ht="12" customHeight="1" x14ac:dyDescent="0.25">
      <c r="AJ1520" t="str">
        <f>IF(AI1520="", "", AI1520&amp;"["&amp;#REF!&amp;"]")</f>
        <v/>
      </c>
    </row>
    <row r="1521" spans="36:36" ht="12" customHeight="1" x14ac:dyDescent="0.25">
      <c r="AJ1521" t="str">
        <f>IF(AI1521="", "", AI1521&amp;"["&amp;#REF!&amp;"]")</f>
        <v/>
      </c>
    </row>
    <row r="1522" spans="36:36" ht="12" customHeight="1" x14ac:dyDescent="0.25">
      <c r="AJ1522" t="str">
        <f>IF(AI1522="", "", AI1522&amp;"["&amp;#REF!&amp;"]")</f>
        <v/>
      </c>
    </row>
    <row r="1523" spans="36:36" ht="12" customHeight="1" x14ac:dyDescent="0.25">
      <c r="AJ1523" t="str">
        <f>IF(AI1523="", "", AI1523&amp;"["&amp;#REF!&amp;"]")</f>
        <v/>
      </c>
    </row>
    <row r="1524" spans="36:36" ht="12" customHeight="1" x14ac:dyDescent="0.25">
      <c r="AJ1524" t="str">
        <f>IF(AI1524="", "", AI1524&amp;"["&amp;#REF!&amp;"]")</f>
        <v/>
      </c>
    </row>
    <row r="1525" spans="36:36" ht="12" customHeight="1" x14ac:dyDescent="0.25">
      <c r="AJ1525" t="str">
        <f>IF(AI1525="", "", AI1525&amp;"["&amp;#REF!&amp;"]")</f>
        <v/>
      </c>
    </row>
    <row r="1526" spans="36:36" ht="12" customHeight="1" x14ac:dyDescent="0.25">
      <c r="AJ1526" t="str">
        <f>IF(AI1526="", "", AI1526&amp;"["&amp;#REF!&amp;"]")</f>
        <v/>
      </c>
    </row>
    <row r="1527" spans="36:36" ht="12" customHeight="1" x14ac:dyDescent="0.25">
      <c r="AJ1527" t="str">
        <f>IF(AI1527="", "", AI1527&amp;"["&amp;#REF!&amp;"]")</f>
        <v/>
      </c>
    </row>
    <row r="1528" spans="36:36" ht="12" customHeight="1" x14ac:dyDescent="0.25">
      <c r="AJ1528" t="str">
        <f>IF(AI1528="", "", AI1528&amp;"["&amp;#REF!&amp;"]")</f>
        <v/>
      </c>
    </row>
    <row r="1529" spans="36:36" ht="12" customHeight="1" x14ac:dyDescent="0.25">
      <c r="AJ1529" t="str">
        <f>IF(AI1529="", "", AI1529&amp;"["&amp;#REF!&amp;"]")</f>
        <v/>
      </c>
    </row>
    <row r="1530" spans="36:36" ht="12" customHeight="1" x14ac:dyDescent="0.25">
      <c r="AJ1530" t="str">
        <f>IF(AI1530="", "", AI1530&amp;"["&amp;#REF!&amp;"]")</f>
        <v/>
      </c>
    </row>
    <row r="1531" spans="36:36" ht="12" customHeight="1" x14ac:dyDescent="0.25">
      <c r="AJ1531" t="str">
        <f>IF(AI1531="", "", AI1531&amp;"["&amp;#REF!&amp;"]")</f>
        <v/>
      </c>
    </row>
    <row r="1532" spans="36:36" ht="12" customHeight="1" x14ac:dyDescent="0.25">
      <c r="AJ1532" t="str">
        <f>IF(AI1532="", "", AI1532&amp;"["&amp;#REF!&amp;"]")</f>
        <v/>
      </c>
    </row>
    <row r="1533" spans="36:36" ht="12" customHeight="1" x14ac:dyDescent="0.25">
      <c r="AJ1533" t="str">
        <f>IF(AI1533="", "", AI1533&amp;"["&amp;#REF!&amp;"]")</f>
        <v/>
      </c>
    </row>
    <row r="1534" spans="36:36" ht="12" customHeight="1" x14ac:dyDescent="0.25">
      <c r="AJ1534" t="str">
        <f>IF(AI1534="", "", AI1534&amp;"["&amp;#REF!&amp;"]")</f>
        <v/>
      </c>
    </row>
    <row r="1535" spans="36:36" ht="12" customHeight="1" x14ac:dyDescent="0.25">
      <c r="AJ1535" t="str">
        <f>IF(AI1535="", "", AI1535&amp;"["&amp;#REF!&amp;"]")</f>
        <v/>
      </c>
    </row>
    <row r="1536" spans="36:36" ht="12" customHeight="1" x14ac:dyDescent="0.25">
      <c r="AJ1536" t="str">
        <f>IF(AI1536="", "", AI1536&amp;"["&amp;#REF!&amp;"]")</f>
        <v/>
      </c>
    </row>
    <row r="1537" spans="36:36" ht="12" customHeight="1" x14ac:dyDescent="0.25">
      <c r="AJ1537" t="str">
        <f>IF(AI1537="", "", AI1537&amp;"["&amp;#REF!&amp;"]")</f>
        <v/>
      </c>
    </row>
    <row r="1538" spans="36:36" ht="12" customHeight="1" x14ac:dyDescent="0.25">
      <c r="AJ1538" t="str">
        <f>IF(AI1538="", "", AI1538&amp;"["&amp;#REF!&amp;"]")</f>
        <v/>
      </c>
    </row>
    <row r="1539" spans="36:36" ht="12" customHeight="1" x14ac:dyDescent="0.25">
      <c r="AJ1539" t="str">
        <f>IF(AI1539="", "", AI1539&amp;"["&amp;#REF!&amp;"]")</f>
        <v/>
      </c>
    </row>
    <row r="1540" spans="36:36" ht="12" customHeight="1" x14ac:dyDescent="0.25">
      <c r="AJ1540" t="str">
        <f>IF(AI1540="", "", AI1540&amp;"["&amp;#REF!&amp;"]")</f>
        <v/>
      </c>
    </row>
    <row r="1541" spans="36:36" ht="12" customHeight="1" x14ac:dyDescent="0.25">
      <c r="AJ1541" t="str">
        <f>IF(AI1541="", "", AI1541&amp;"["&amp;#REF!&amp;"]")</f>
        <v/>
      </c>
    </row>
    <row r="1542" spans="36:36" ht="12" customHeight="1" x14ac:dyDescent="0.25">
      <c r="AJ1542" t="str">
        <f>IF(AI1542="", "", AI1542&amp;"["&amp;#REF!&amp;"]")</f>
        <v/>
      </c>
    </row>
    <row r="1543" spans="36:36" ht="12" customHeight="1" x14ac:dyDescent="0.25">
      <c r="AJ1543" t="str">
        <f>IF(AI1543="", "", AI1543&amp;"["&amp;#REF!&amp;"]")</f>
        <v/>
      </c>
    </row>
    <row r="1544" spans="36:36" ht="12" customHeight="1" x14ac:dyDescent="0.25">
      <c r="AJ1544" t="str">
        <f>IF(AI1544="", "", AI1544&amp;"["&amp;#REF!&amp;"]")</f>
        <v/>
      </c>
    </row>
    <row r="1545" spans="36:36" ht="12" customHeight="1" x14ac:dyDescent="0.25">
      <c r="AJ1545" t="str">
        <f>IF(AI1545="", "", AI1545&amp;"["&amp;#REF!&amp;"]")</f>
        <v/>
      </c>
    </row>
    <row r="1546" spans="36:36" ht="12" customHeight="1" x14ac:dyDescent="0.25">
      <c r="AJ1546" t="str">
        <f>IF(AI1546="", "", AI1546&amp;"["&amp;#REF!&amp;"]")</f>
        <v/>
      </c>
    </row>
    <row r="1547" spans="36:36" ht="12" customHeight="1" x14ac:dyDescent="0.25">
      <c r="AJ1547" t="str">
        <f>IF(AI1547="", "", AI1547&amp;"["&amp;#REF!&amp;"]")</f>
        <v/>
      </c>
    </row>
    <row r="1548" spans="36:36" ht="12" customHeight="1" x14ac:dyDescent="0.25">
      <c r="AJ1548" t="str">
        <f>IF(AI1548="", "", AI1548&amp;"["&amp;#REF!&amp;"]")</f>
        <v/>
      </c>
    </row>
    <row r="1549" spans="36:36" ht="12" customHeight="1" x14ac:dyDescent="0.25">
      <c r="AJ1549" t="str">
        <f>IF(AI1549="", "", AI1549&amp;"["&amp;#REF!&amp;"]")</f>
        <v/>
      </c>
    </row>
    <row r="1550" spans="36:36" ht="12" customHeight="1" x14ac:dyDescent="0.25">
      <c r="AJ1550" t="str">
        <f>IF(AI1550="", "", AI1550&amp;"["&amp;#REF!&amp;"]")</f>
        <v/>
      </c>
    </row>
    <row r="1551" spans="36:36" ht="12" customHeight="1" x14ac:dyDescent="0.25">
      <c r="AJ1551" t="str">
        <f>IF(AI1551="", "", AI1551&amp;"["&amp;#REF!&amp;"]")</f>
        <v/>
      </c>
    </row>
    <row r="1552" spans="36:36" ht="12" customHeight="1" x14ac:dyDescent="0.25">
      <c r="AJ1552" t="str">
        <f>IF(AI1552="", "", AI1552&amp;"["&amp;#REF!&amp;"]")</f>
        <v/>
      </c>
    </row>
    <row r="1553" spans="36:36" ht="12" customHeight="1" x14ac:dyDescent="0.25">
      <c r="AJ1553" t="str">
        <f>IF(AI1553="", "", AI1553&amp;"["&amp;#REF!&amp;"]")</f>
        <v/>
      </c>
    </row>
    <row r="1554" spans="36:36" ht="12" customHeight="1" x14ac:dyDescent="0.25">
      <c r="AJ1554" t="str">
        <f>IF(AI1554="", "", AI1554&amp;"["&amp;#REF!&amp;"]")</f>
        <v/>
      </c>
    </row>
    <row r="1555" spans="36:36" ht="12" customHeight="1" x14ac:dyDescent="0.25">
      <c r="AJ1555" t="str">
        <f>IF(AI1555="", "", AI1555&amp;"["&amp;#REF!&amp;"]")</f>
        <v/>
      </c>
    </row>
    <row r="1556" spans="36:36" ht="12" customHeight="1" x14ac:dyDescent="0.25">
      <c r="AJ1556" t="str">
        <f>IF(AI1556="", "", AI1556&amp;"["&amp;#REF!&amp;"]")</f>
        <v/>
      </c>
    </row>
    <row r="1557" spans="36:36" ht="12" customHeight="1" x14ac:dyDescent="0.25">
      <c r="AJ1557" t="str">
        <f>IF(AI1557="", "", AI1557&amp;"["&amp;#REF!&amp;"]")</f>
        <v/>
      </c>
    </row>
    <row r="1558" spans="36:36" ht="12" customHeight="1" x14ac:dyDescent="0.25">
      <c r="AJ1558" t="str">
        <f>IF(AI1558="", "", AI1558&amp;"["&amp;#REF!&amp;"]")</f>
        <v/>
      </c>
    </row>
    <row r="1559" spans="36:36" ht="12" customHeight="1" x14ac:dyDescent="0.25">
      <c r="AJ1559" t="str">
        <f>IF(AI1559="", "", AI1559&amp;"["&amp;#REF!&amp;"]")</f>
        <v/>
      </c>
    </row>
    <row r="1560" spans="36:36" ht="12" customHeight="1" x14ac:dyDescent="0.25">
      <c r="AJ1560" t="str">
        <f>IF(AI1560="", "", AI1560&amp;"["&amp;#REF!&amp;"]")</f>
        <v/>
      </c>
    </row>
    <row r="1561" spans="36:36" ht="12" customHeight="1" x14ac:dyDescent="0.25">
      <c r="AJ1561" t="str">
        <f>IF(AI1561="", "", AI1561&amp;"["&amp;#REF!&amp;"]")</f>
        <v/>
      </c>
    </row>
    <row r="1562" spans="36:36" ht="12" customHeight="1" x14ac:dyDescent="0.25">
      <c r="AJ1562" t="str">
        <f>IF(AI1562="", "", AI1562&amp;"["&amp;#REF!&amp;"]")</f>
        <v/>
      </c>
    </row>
    <row r="1563" spans="36:36" ht="12" customHeight="1" x14ac:dyDescent="0.25">
      <c r="AJ1563" t="str">
        <f>IF(AI1563="", "", AI1563&amp;"["&amp;#REF!&amp;"]")</f>
        <v/>
      </c>
    </row>
    <row r="1564" spans="36:36" ht="12" customHeight="1" x14ac:dyDescent="0.25">
      <c r="AJ1564" t="str">
        <f>IF(AI1564="", "", AI1564&amp;"["&amp;#REF!&amp;"]")</f>
        <v/>
      </c>
    </row>
    <row r="1565" spans="36:36" ht="12" customHeight="1" x14ac:dyDescent="0.25">
      <c r="AJ1565" t="str">
        <f>IF(AI1565="", "", AI1565&amp;"["&amp;#REF!&amp;"]")</f>
        <v/>
      </c>
    </row>
    <row r="1566" spans="36:36" ht="12" customHeight="1" x14ac:dyDescent="0.25">
      <c r="AJ1566" t="str">
        <f>IF(AI1566="", "", AI1566&amp;"["&amp;#REF!&amp;"]")</f>
        <v/>
      </c>
    </row>
    <row r="1567" spans="36:36" ht="12" customHeight="1" x14ac:dyDescent="0.25">
      <c r="AJ1567" t="str">
        <f>IF(AI1567="", "", AI1567&amp;"["&amp;#REF!&amp;"]")</f>
        <v/>
      </c>
    </row>
    <row r="1568" spans="36:36" ht="12" customHeight="1" x14ac:dyDescent="0.25">
      <c r="AJ1568" t="str">
        <f>IF(AI1568="", "", AI1568&amp;"["&amp;#REF!&amp;"]")</f>
        <v/>
      </c>
    </row>
    <row r="1569" spans="36:36" ht="12" customHeight="1" x14ac:dyDescent="0.25">
      <c r="AJ1569" t="str">
        <f>IF(AI1569="", "", AI1569&amp;"["&amp;#REF!&amp;"]")</f>
        <v/>
      </c>
    </row>
    <row r="1570" spans="36:36" ht="12" customHeight="1" x14ac:dyDescent="0.25">
      <c r="AJ1570" t="str">
        <f>IF(AI1570="", "", AI1570&amp;"["&amp;#REF!&amp;"]")</f>
        <v/>
      </c>
    </row>
    <row r="1571" spans="36:36" ht="12" customHeight="1" x14ac:dyDescent="0.25">
      <c r="AJ1571" t="str">
        <f>IF(AI1571="", "", AI1571&amp;"["&amp;#REF!&amp;"]")</f>
        <v/>
      </c>
    </row>
    <row r="1572" spans="36:36" ht="12" customHeight="1" x14ac:dyDescent="0.25">
      <c r="AJ1572" t="str">
        <f>IF(AI1572="", "", AI1572&amp;"["&amp;#REF!&amp;"]")</f>
        <v/>
      </c>
    </row>
    <row r="1573" spans="36:36" ht="12" customHeight="1" x14ac:dyDescent="0.25">
      <c r="AJ1573" t="str">
        <f>IF(AI1573="", "", AI1573&amp;"["&amp;#REF!&amp;"]")</f>
        <v/>
      </c>
    </row>
    <row r="1574" spans="36:36" ht="12" customHeight="1" x14ac:dyDescent="0.25">
      <c r="AJ1574" t="str">
        <f>IF(AI1574="", "", AI1574&amp;"["&amp;#REF!&amp;"]")</f>
        <v/>
      </c>
    </row>
    <row r="1575" spans="36:36" ht="12" customHeight="1" x14ac:dyDescent="0.25">
      <c r="AJ1575" t="str">
        <f>IF(AI1575="", "", AI1575&amp;"["&amp;#REF!&amp;"]")</f>
        <v/>
      </c>
    </row>
    <row r="1576" spans="36:36" ht="12" customHeight="1" x14ac:dyDescent="0.25">
      <c r="AJ1576" t="str">
        <f>IF(AI1576="", "", AI1576&amp;"["&amp;#REF!&amp;"]")</f>
        <v/>
      </c>
    </row>
    <row r="1577" spans="36:36" ht="12" customHeight="1" x14ac:dyDescent="0.25">
      <c r="AJ1577" t="str">
        <f>IF(AI1577="", "", AI1577&amp;"["&amp;#REF!&amp;"]")</f>
        <v/>
      </c>
    </row>
    <row r="1578" spans="36:36" ht="12" customHeight="1" x14ac:dyDescent="0.25">
      <c r="AJ1578" t="str">
        <f>IF(AI1578="", "", AI1578&amp;"["&amp;#REF!&amp;"]")</f>
        <v/>
      </c>
    </row>
    <row r="1579" spans="36:36" ht="12" customHeight="1" x14ac:dyDescent="0.25">
      <c r="AJ1579" t="str">
        <f>IF(AI1579="", "", AI1579&amp;"["&amp;#REF!&amp;"]")</f>
        <v/>
      </c>
    </row>
    <row r="1580" spans="36:36" ht="12" customHeight="1" x14ac:dyDescent="0.25">
      <c r="AJ1580" t="str">
        <f>IF(AI1580="", "", AI1580&amp;"["&amp;#REF!&amp;"]")</f>
        <v/>
      </c>
    </row>
    <row r="1581" spans="36:36" ht="12" customHeight="1" x14ac:dyDescent="0.25">
      <c r="AJ1581" t="str">
        <f>IF(AI1581="", "", AI1581&amp;"["&amp;#REF!&amp;"]")</f>
        <v/>
      </c>
    </row>
    <row r="1582" spans="36:36" ht="12" customHeight="1" x14ac:dyDescent="0.25">
      <c r="AJ1582" t="str">
        <f>IF(AI1582="", "", AI1582&amp;"["&amp;#REF!&amp;"]")</f>
        <v/>
      </c>
    </row>
    <row r="1583" spans="36:36" ht="12" customHeight="1" x14ac:dyDescent="0.25">
      <c r="AJ1583" t="str">
        <f>IF(AI1583="", "", AI1583&amp;"["&amp;#REF!&amp;"]")</f>
        <v/>
      </c>
    </row>
    <row r="1584" spans="36:36" ht="12" customHeight="1" x14ac:dyDescent="0.25">
      <c r="AJ1584" t="str">
        <f>IF(AI1584="", "", AI1584&amp;"["&amp;#REF!&amp;"]")</f>
        <v/>
      </c>
    </row>
    <row r="1585" spans="36:36" ht="12" customHeight="1" x14ac:dyDescent="0.25">
      <c r="AJ1585" t="str">
        <f>IF(AI1585="", "", AI1585&amp;"["&amp;#REF!&amp;"]")</f>
        <v/>
      </c>
    </row>
    <row r="1586" spans="36:36" ht="12" customHeight="1" x14ac:dyDescent="0.25">
      <c r="AJ1586" t="str">
        <f>IF(AI1586="", "", AI1586&amp;"["&amp;#REF!&amp;"]")</f>
        <v/>
      </c>
    </row>
    <row r="1587" spans="36:36" ht="12" customHeight="1" x14ac:dyDescent="0.25">
      <c r="AJ1587" t="str">
        <f>IF(AI1587="", "", AI1587&amp;"["&amp;#REF!&amp;"]")</f>
        <v/>
      </c>
    </row>
    <row r="1588" spans="36:36" ht="12" customHeight="1" x14ac:dyDescent="0.25">
      <c r="AJ1588" t="str">
        <f>IF(AI1588="", "", AI1588&amp;"["&amp;#REF!&amp;"]")</f>
        <v/>
      </c>
    </row>
    <row r="1589" spans="36:36" ht="12" customHeight="1" x14ac:dyDescent="0.25">
      <c r="AJ1589" t="str">
        <f>IF(AI1589="", "", AI1589&amp;"["&amp;#REF!&amp;"]")</f>
        <v/>
      </c>
    </row>
    <row r="1590" spans="36:36" ht="12" customHeight="1" x14ac:dyDescent="0.25">
      <c r="AJ1590" t="str">
        <f>IF(AI1590="", "", AI1590&amp;"["&amp;#REF!&amp;"]")</f>
        <v/>
      </c>
    </row>
    <row r="1591" spans="36:36" ht="12" customHeight="1" x14ac:dyDescent="0.25">
      <c r="AJ1591" t="str">
        <f>IF(AI1591="", "", AI1591&amp;"["&amp;#REF!&amp;"]")</f>
        <v/>
      </c>
    </row>
    <row r="1592" spans="36:36" ht="12" customHeight="1" x14ac:dyDescent="0.25">
      <c r="AJ1592" t="str">
        <f>IF(AI1592="", "", AI1592&amp;"["&amp;#REF!&amp;"]")</f>
        <v/>
      </c>
    </row>
    <row r="1593" spans="36:36" ht="12" customHeight="1" x14ac:dyDescent="0.25">
      <c r="AJ1593" t="str">
        <f>IF(AI1593="", "", AI1593&amp;"["&amp;#REF!&amp;"]")</f>
        <v/>
      </c>
    </row>
    <row r="1594" spans="36:36" ht="12" customHeight="1" x14ac:dyDescent="0.25">
      <c r="AJ1594" t="str">
        <f>IF(AI1594="", "", AI1594&amp;"["&amp;#REF!&amp;"]")</f>
        <v/>
      </c>
    </row>
    <row r="1595" spans="36:36" ht="12" customHeight="1" x14ac:dyDescent="0.25">
      <c r="AJ1595" t="str">
        <f>IF(AI1595="", "", AI1595&amp;"["&amp;#REF!&amp;"]")</f>
        <v/>
      </c>
    </row>
    <row r="1596" spans="36:36" ht="12" customHeight="1" x14ac:dyDescent="0.25">
      <c r="AJ1596" t="str">
        <f>IF(AI1596="", "", AI1596&amp;"["&amp;#REF!&amp;"]")</f>
        <v/>
      </c>
    </row>
    <row r="1597" spans="36:36" ht="12" customHeight="1" x14ac:dyDescent="0.25">
      <c r="AJ1597" t="str">
        <f>IF(AI1597="", "", AI1597&amp;"["&amp;#REF!&amp;"]")</f>
        <v/>
      </c>
    </row>
    <row r="1598" spans="36:36" ht="12" customHeight="1" x14ac:dyDescent="0.25">
      <c r="AJ1598" t="str">
        <f>IF(AI1598="", "", AI1598&amp;"["&amp;#REF!&amp;"]")</f>
        <v/>
      </c>
    </row>
    <row r="1599" spans="36:36" ht="12" customHeight="1" x14ac:dyDescent="0.25">
      <c r="AJ1599" t="str">
        <f>IF(AI1599="", "", AI1599&amp;"["&amp;#REF!&amp;"]")</f>
        <v/>
      </c>
    </row>
    <row r="1600" spans="36:36" ht="12" customHeight="1" x14ac:dyDescent="0.25">
      <c r="AJ1600" t="str">
        <f>IF(AI1600="", "", AI1600&amp;"["&amp;#REF!&amp;"]")</f>
        <v/>
      </c>
    </row>
    <row r="1601" spans="36:36" ht="12" customHeight="1" x14ac:dyDescent="0.25">
      <c r="AJ1601" t="str">
        <f>IF(AI1601="", "", AI1601&amp;"["&amp;#REF!&amp;"]")</f>
        <v/>
      </c>
    </row>
    <row r="1602" spans="36:36" ht="12" customHeight="1" x14ac:dyDescent="0.25">
      <c r="AJ1602" t="str">
        <f>IF(AI1602="", "", AI1602&amp;"["&amp;#REF!&amp;"]")</f>
        <v/>
      </c>
    </row>
    <row r="1603" spans="36:36" ht="12" customHeight="1" x14ac:dyDescent="0.25">
      <c r="AJ1603" t="str">
        <f>IF(AI1603="", "", AI1603&amp;"["&amp;#REF!&amp;"]")</f>
        <v/>
      </c>
    </row>
    <row r="1604" spans="36:36" ht="12" customHeight="1" x14ac:dyDescent="0.25">
      <c r="AJ1604" t="str">
        <f>IF(AI1604="", "", AI1604&amp;"["&amp;#REF!&amp;"]")</f>
        <v/>
      </c>
    </row>
    <row r="1605" spans="36:36" ht="12" customHeight="1" x14ac:dyDescent="0.25">
      <c r="AJ1605" t="str">
        <f>IF(AI1605="", "", AI1605&amp;"["&amp;#REF!&amp;"]")</f>
        <v/>
      </c>
    </row>
    <row r="1606" spans="36:36" ht="12" customHeight="1" x14ac:dyDescent="0.25">
      <c r="AJ1606" t="str">
        <f>IF(AI1606="", "", AI1606&amp;"["&amp;#REF!&amp;"]")</f>
        <v/>
      </c>
    </row>
    <row r="1607" spans="36:36" ht="12" customHeight="1" x14ac:dyDescent="0.25">
      <c r="AJ1607" t="str">
        <f>IF(AI1607="", "", AI1607&amp;"["&amp;#REF!&amp;"]")</f>
        <v/>
      </c>
    </row>
    <row r="1608" spans="36:36" ht="12" customHeight="1" x14ac:dyDescent="0.25">
      <c r="AJ1608" t="str">
        <f>IF(AI1608="", "", AI1608&amp;"["&amp;#REF!&amp;"]")</f>
        <v/>
      </c>
    </row>
    <row r="1609" spans="36:36" ht="12" customHeight="1" x14ac:dyDescent="0.25">
      <c r="AJ1609" t="str">
        <f>IF(AI1609="", "", AI1609&amp;"["&amp;#REF!&amp;"]")</f>
        <v/>
      </c>
    </row>
    <row r="1610" spans="36:36" ht="12" customHeight="1" x14ac:dyDescent="0.25">
      <c r="AJ1610" t="str">
        <f>IF(AI1610="", "", AI1610&amp;"["&amp;#REF!&amp;"]")</f>
        <v/>
      </c>
    </row>
    <row r="1611" spans="36:36" ht="12" customHeight="1" x14ac:dyDescent="0.25">
      <c r="AJ1611" t="str">
        <f>IF(AI1611="", "", AI1611&amp;"["&amp;#REF!&amp;"]")</f>
        <v/>
      </c>
    </row>
    <row r="1612" spans="36:36" ht="12" customHeight="1" x14ac:dyDescent="0.25">
      <c r="AJ1612" t="str">
        <f>IF(AI1612="", "", AI1612&amp;"["&amp;#REF!&amp;"]")</f>
        <v/>
      </c>
    </row>
    <row r="1613" spans="36:36" ht="12" customHeight="1" x14ac:dyDescent="0.25">
      <c r="AJ1613" t="str">
        <f>IF(AI1613="", "", AI1613&amp;"["&amp;#REF!&amp;"]")</f>
        <v/>
      </c>
    </row>
    <row r="1614" spans="36:36" ht="12" customHeight="1" x14ac:dyDescent="0.25">
      <c r="AJ1614" t="str">
        <f>IF(AI1614="", "", AI1614&amp;"["&amp;#REF!&amp;"]")</f>
        <v/>
      </c>
    </row>
    <row r="1615" spans="36:36" ht="12" customHeight="1" x14ac:dyDescent="0.25">
      <c r="AJ1615" t="str">
        <f>IF(AI1615="", "", AI1615&amp;"["&amp;#REF!&amp;"]")</f>
        <v/>
      </c>
    </row>
    <row r="1616" spans="36:36" ht="12" customHeight="1" x14ac:dyDescent="0.25">
      <c r="AJ1616" t="str">
        <f>IF(AI1616="", "", AI1616&amp;"["&amp;#REF!&amp;"]")</f>
        <v/>
      </c>
    </row>
    <row r="1617" spans="36:36" ht="12" customHeight="1" x14ac:dyDescent="0.25">
      <c r="AJ1617" t="str">
        <f>IF(AI1617="", "", AI1617&amp;"["&amp;#REF!&amp;"]")</f>
        <v/>
      </c>
    </row>
    <row r="1618" spans="36:36" ht="12" customHeight="1" x14ac:dyDescent="0.25">
      <c r="AJ1618" t="str">
        <f>IF(AI1618="", "", AI1618&amp;"["&amp;#REF!&amp;"]")</f>
        <v/>
      </c>
    </row>
    <row r="1619" spans="36:36" ht="12" customHeight="1" x14ac:dyDescent="0.25">
      <c r="AJ1619" t="str">
        <f>IF(AI1619="", "", AI1619&amp;"["&amp;#REF!&amp;"]")</f>
        <v/>
      </c>
    </row>
    <row r="1620" spans="36:36" ht="12" customHeight="1" x14ac:dyDescent="0.25">
      <c r="AJ1620" t="str">
        <f>IF(AI1620="", "", AI1620&amp;"["&amp;#REF!&amp;"]")</f>
        <v/>
      </c>
    </row>
    <row r="1621" spans="36:36" ht="12" customHeight="1" x14ac:dyDescent="0.25">
      <c r="AJ1621" t="str">
        <f>IF(AI1621="", "", AI1621&amp;"["&amp;#REF!&amp;"]")</f>
        <v/>
      </c>
    </row>
    <row r="1622" spans="36:36" ht="12" customHeight="1" x14ac:dyDescent="0.25">
      <c r="AJ1622" t="str">
        <f>IF(AI1622="", "", AI1622&amp;"["&amp;#REF!&amp;"]")</f>
        <v/>
      </c>
    </row>
    <row r="1623" spans="36:36" ht="12" customHeight="1" x14ac:dyDescent="0.25">
      <c r="AJ1623" t="str">
        <f>IF(AI1623="", "", AI1623&amp;"["&amp;#REF!&amp;"]")</f>
        <v/>
      </c>
    </row>
    <row r="1624" spans="36:36" ht="12" customHeight="1" x14ac:dyDescent="0.25">
      <c r="AJ1624" t="str">
        <f>IF(AI1624="", "", AI1624&amp;"["&amp;#REF!&amp;"]")</f>
        <v/>
      </c>
    </row>
    <row r="1625" spans="36:36" ht="12" customHeight="1" x14ac:dyDescent="0.25">
      <c r="AJ1625" t="str">
        <f>IF(AI1625="", "", AI1625&amp;"["&amp;#REF!&amp;"]")</f>
        <v/>
      </c>
    </row>
    <row r="1626" spans="36:36" ht="12" customHeight="1" x14ac:dyDescent="0.25">
      <c r="AJ1626" t="str">
        <f>IF(AI1626="", "", AI1626&amp;"["&amp;#REF!&amp;"]")</f>
        <v/>
      </c>
    </row>
    <row r="1627" spans="36:36" ht="12" customHeight="1" x14ac:dyDescent="0.25">
      <c r="AJ1627" t="str">
        <f>IF(AI1627="", "", AI1627&amp;"["&amp;#REF!&amp;"]")</f>
        <v/>
      </c>
    </row>
    <row r="1628" spans="36:36" ht="12" customHeight="1" x14ac:dyDescent="0.25">
      <c r="AJ1628" t="str">
        <f>IF(AI1628="", "", AI1628&amp;"["&amp;#REF!&amp;"]")</f>
        <v/>
      </c>
    </row>
    <row r="1629" spans="36:36" ht="12" customHeight="1" x14ac:dyDescent="0.25">
      <c r="AJ1629" t="str">
        <f>IF(AI1629="", "", AI1629&amp;"["&amp;#REF!&amp;"]")</f>
        <v/>
      </c>
    </row>
    <row r="1630" spans="36:36" ht="12" customHeight="1" x14ac:dyDescent="0.25">
      <c r="AJ1630" t="str">
        <f>IF(AI1630="", "", AI1630&amp;"["&amp;#REF!&amp;"]")</f>
        <v/>
      </c>
    </row>
    <row r="1631" spans="36:36" ht="12" customHeight="1" x14ac:dyDescent="0.25">
      <c r="AJ1631" t="str">
        <f>IF(AI1631="", "", AI1631&amp;"["&amp;#REF!&amp;"]")</f>
        <v/>
      </c>
    </row>
    <row r="1632" spans="36:36" ht="12" customHeight="1" x14ac:dyDescent="0.25">
      <c r="AJ1632" t="str">
        <f>IF(AI1632="", "", AI1632&amp;"["&amp;#REF!&amp;"]")</f>
        <v/>
      </c>
    </row>
    <row r="1633" spans="36:36" ht="12" customHeight="1" x14ac:dyDescent="0.25">
      <c r="AJ1633" t="str">
        <f>IF(AI1633="", "", AI1633&amp;"["&amp;#REF!&amp;"]")</f>
        <v/>
      </c>
    </row>
    <row r="1634" spans="36:36" ht="12" customHeight="1" x14ac:dyDescent="0.25">
      <c r="AJ1634" t="str">
        <f>IF(AI1634="", "", AI1634&amp;"["&amp;#REF!&amp;"]")</f>
        <v/>
      </c>
    </row>
    <row r="1635" spans="36:36" ht="12" customHeight="1" x14ac:dyDescent="0.25">
      <c r="AJ1635" t="str">
        <f>IF(AI1635="", "", AI1635&amp;"["&amp;#REF!&amp;"]")</f>
        <v/>
      </c>
    </row>
    <row r="1636" spans="36:36" ht="12" customHeight="1" x14ac:dyDescent="0.25">
      <c r="AJ1636" t="str">
        <f>IF(AI1636="", "", AI1636&amp;"["&amp;#REF!&amp;"]")</f>
        <v/>
      </c>
    </row>
    <row r="1637" spans="36:36" ht="12" customHeight="1" x14ac:dyDescent="0.25">
      <c r="AJ1637" t="str">
        <f>IF(AI1637="", "", AI1637&amp;"["&amp;#REF!&amp;"]")</f>
        <v/>
      </c>
    </row>
    <row r="1638" spans="36:36" ht="12" customHeight="1" x14ac:dyDescent="0.25">
      <c r="AJ1638" t="str">
        <f>IF(AI1638="", "", AI1638&amp;"["&amp;#REF!&amp;"]")</f>
        <v/>
      </c>
    </row>
    <row r="1639" spans="36:36" ht="12" customHeight="1" x14ac:dyDescent="0.25">
      <c r="AJ1639" t="str">
        <f>IF(AI1639="", "", AI1639&amp;"["&amp;#REF!&amp;"]")</f>
        <v/>
      </c>
    </row>
    <row r="1640" spans="36:36" ht="12" customHeight="1" x14ac:dyDescent="0.25">
      <c r="AJ1640" t="str">
        <f>IF(AI1640="", "", AI1640&amp;"["&amp;#REF!&amp;"]")</f>
        <v/>
      </c>
    </row>
    <row r="1641" spans="36:36" ht="12" customHeight="1" x14ac:dyDescent="0.25">
      <c r="AJ1641" t="str">
        <f>IF(AI1641="", "", AI1641&amp;"["&amp;#REF!&amp;"]")</f>
        <v/>
      </c>
    </row>
    <row r="1642" spans="36:36" ht="12" customHeight="1" x14ac:dyDescent="0.25">
      <c r="AJ1642" t="str">
        <f>IF(AI1642="", "", AI1642&amp;"["&amp;#REF!&amp;"]")</f>
        <v/>
      </c>
    </row>
    <row r="1643" spans="36:36" ht="12" customHeight="1" x14ac:dyDescent="0.25">
      <c r="AJ1643" t="str">
        <f>IF(AI1643="", "", AI1643&amp;"["&amp;#REF!&amp;"]")</f>
        <v/>
      </c>
    </row>
    <row r="1644" spans="36:36" ht="12" customHeight="1" x14ac:dyDescent="0.25">
      <c r="AJ1644" t="str">
        <f>IF(AI1644="", "", AI1644&amp;"["&amp;#REF!&amp;"]")</f>
        <v/>
      </c>
    </row>
    <row r="1645" spans="36:36" ht="12" customHeight="1" x14ac:dyDescent="0.25">
      <c r="AJ1645" t="str">
        <f>IF(AI1645="", "", AI1645&amp;"["&amp;#REF!&amp;"]")</f>
        <v/>
      </c>
    </row>
    <row r="1646" spans="36:36" ht="12" customHeight="1" x14ac:dyDescent="0.25">
      <c r="AJ1646" t="str">
        <f>IF(AI1646="", "", AI1646&amp;"["&amp;#REF!&amp;"]")</f>
        <v/>
      </c>
    </row>
    <row r="1647" spans="36:36" ht="12" customHeight="1" x14ac:dyDescent="0.25">
      <c r="AJ1647" t="str">
        <f>IF(AI1647="", "", AI1647&amp;"["&amp;#REF!&amp;"]")</f>
        <v/>
      </c>
    </row>
    <row r="1648" spans="36:36" ht="12" customHeight="1" x14ac:dyDescent="0.25">
      <c r="AJ1648" t="str">
        <f>IF(AI1648="", "", AI1648&amp;"["&amp;#REF!&amp;"]")</f>
        <v/>
      </c>
    </row>
    <row r="1649" spans="36:36" ht="12" customHeight="1" x14ac:dyDescent="0.25">
      <c r="AJ1649" t="str">
        <f>IF(AI1649="", "", AI1649&amp;"["&amp;#REF!&amp;"]")</f>
        <v/>
      </c>
    </row>
    <row r="1650" spans="36:36" ht="12" customHeight="1" x14ac:dyDescent="0.25">
      <c r="AJ1650" t="str">
        <f>IF(AI1650="", "", AI1650&amp;"["&amp;#REF!&amp;"]")</f>
        <v/>
      </c>
    </row>
    <row r="1651" spans="36:36" ht="12" customHeight="1" x14ac:dyDescent="0.25">
      <c r="AJ1651" t="str">
        <f>IF(AI1651="", "", AI1651&amp;"["&amp;#REF!&amp;"]")</f>
        <v/>
      </c>
    </row>
    <row r="1652" spans="36:36" ht="12" customHeight="1" x14ac:dyDescent="0.25">
      <c r="AJ1652" t="str">
        <f>IF(AI1652="", "", AI1652&amp;"["&amp;#REF!&amp;"]")</f>
        <v/>
      </c>
    </row>
    <row r="1653" spans="36:36" ht="12" customHeight="1" x14ac:dyDescent="0.25">
      <c r="AJ1653" t="str">
        <f>IF(AI1653="", "", AI1653&amp;"["&amp;#REF!&amp;"]")</f>
        <v/>
      </c>
    </row>
    <row r="1654" spans="36:36" ht="12" customHeight="1" x14ac:dyDescent="0.25">
      <c r="AJ1654" t="str">
        <f>IF(AI1654="", "", AI1654&amp;"["&amp;#REF!&amp;"]")</f>
        <v/>
      </c>
    </row>
    <row r="1655" spans="36:36" ht="12" customHeight="1" x14ac:dyDescent="0.25">
      <c r="AJ1655" t="str">
        <f>IF(AI1655="", "", AI1655&amp;"["&amp;#REF!&amp;"]")</f>
        <v/>
      </c>
    </row>
    <row r="1656" spans="36:36" ht="12" customHeight="1" x14ac:dyDescent="0.25">
      <c r="AJ1656" t="str">
        <f>IF(AI1656="", "", AI1656&amp;"["&amp;#REF!&amp;"]")</f>
        <v/>
      </c>
    </row>
    <row r="1657" spans="36:36" ht="12" customHeight="1" x14ac:dyDescent="0.25">
      <c r="AJ1657" t="str">
        <f>IF(AI1657="", "", AI1657&amp;"["&amp;#REF!&amp;"]")</f>
        <v/>
      </c>
    </row>
    <row r="1658" spans="36:36" ht="12" customHeight="1" x14ac:dyDescent="0.25">
      <c r="AJ1658" t="str">
        <f>IF(AI1658="", "", AI1658&amp;"["&amp;#REF!&amp;"]")</f>
        <v/>
      </c>
    </row>
    <row r="1659" spans="36:36" ht="12" customHeight="1" x14ac:dyDescent="0.25">
      <c r="AJ1659" t="str">
        <f>IF(AI1659="", "", AI1659&amp;"["&amp;#REF!&amp;"]")</f>
        <v/>
      </c>
    </row>
    <row r="1660" spans="36:36" ht="12" customHeight="1" x14ac:dyDescent="0.25">
      <c r="AJ1660" t="str">
        <f>IF(AI1660="", "", AI1660&amp;"["&amp;#REF!&amp;"]")</f>
        <v/>
      </c>
    </row>
    <row r="1661" spans="36:36" ht="12" customHeight="1" x14ac:dyDescent="0.25">
      <c r="AJ1661" t="str">
        <f>IF(AI1661="", "", AI1661&amp;"["&amp;#REF!&amp;"]")</f>
        <v/>
      </c>
    </row>
    <row r="1662" spans="36:36" ht="12" customHeight="1" x14ac:dyDescent="0.25">
      <c r="AJ1662" t="str">
        <f>IF(AI1662="", "", AI1662&amp;"["&amp;#REF!&amp;"]")</f>
        <v/>
      </c>
    </row>
    <row r="1663" spans="36:36" ht="12" customHeight="1" x14ac:dyDescent="0.25">
      <c r="AJ1663" t="str">
        <f>IF(AI1663="", "", AI1663&amp;"["&amp;#REF!&amp;"]")</f>
        <v/>
      </c>
    </row>
    <row r="1664" spans="36:36" ht="12" customHeight="1" x14ac:dyDescent="0.25">
      <c r="AJ1664" t="str">
        <f>IF(AI1664="", "", AI1664&amp;"["&amp;#REF!&amp;"]")</f>
        <v/>
      </c>
    </row>
    <row r="1665" spans="36:36" ht="12" customHeight="1" x14ac:dyDescent="0.25">
      <c r="AJ1665" t="str">
        <f>IF(AI1665="", "", AI1665&amp;"["&amp;#REF!&amp;"]")</f>
        <v/>
      </c>
    </row>
    <row r="1666" spans="36:36" ht="12" customHeight="1" x14ac:dyDescent="0.25">
      <c r="AJ1666" t="str">
        <f>IF(AI1666="", "", AI1666&amp;"["&amp;#REF!&amp;"]")</f>
        <v/>
      </c>
    </row>
    <row r="1667" spans="36:36" ht="12" customHeight="1" x14ac:dyDescent="0.25">
      <c r="AJ1667" t="str">
        <f>IF(AI1667="", "", AI1667&amp;"["&amp;#REF!&amp;"]")</f>
        <v/>
      </c>
    </row>
    <row r="1668" spans="36:36" ht="12" customHeight="1" x14ac:dyDescent="0.25">
      <c r="AJ1668" t="str">
        <f>IF(AI1668="", "", AI1668&amp;"["&amp;#REF!&amp;"]")</f>
        <v/>
      </c>
    </row>
    <row r="1669" spans="36:36" ht="12" customHeight="1" x14ac:dyDescent="0.25">
      <c r="AJ1669" t="str">
        <f>IF(AI1669="", "", AI1669&amp;"["&amp;#REF!&amp;"]")</f>
        <v/>
      </c>
    </row>
    <row r="1670" spans="36:36" ht="12" customHeight="1" x14ac:dyDescent="0.25">
      <c r="AJ1670" t="str">
        <f>IF(AI1670="", "", AI1670&amp;"["&amp;#REF!&amp;"]")</f>
        <v/>
      </c>
    </row>
    <row r="1671" spans="36:36" ht="12" customHeight="1" x14ac:dyDescent="0.25">
      <c r="AJ1671" t="str">
        <f>IF(AI1671="", "", AI1671&amp;"["&amp;#REF!&amp;"]")</f>
        <v/>
      </c>
    </row>
    <row r="1672" spans="36:36" ht="12" customHeight="1" x14ac:dyDescent="0.25">
      <c r="AJ1672" t="str">
        <f>IF(AI1672="", "", AI1672&amp;"["&amp;#REF!&amp;"]")</f>
        <v/>
      </c>
    </row>
    <row r="1673" spans="36:36" ht="12" customHeight="1" x14ac:dyDescent="0.25">
      <c r="AJ1673" t="str">
        <f>IF(AI1673="", "", AI1673&amp;"["&amp;#REF!&amp;"]")</f>
        <v/>
      </c>
    </row>
    <row r="1674" spans="36:36" ht="12" customHeight="1" x14ac:dyDescent="0.25">
      <c r="AJ1674" t="str">
        <f>IF(AI1674="", "", AI1674&amp;"["&amp;#REF!&amp;"]")</f>
        <v/>
      </c>
    </row>
    <row r="1675" spans="36:36" ht="12" customHeight="1" x14ac:dyDescent="0.25">
      <c r="AJ1675" t="str">
        <f>IF(AI1675="", "", AI1675&amp;"["&amp;#REF!&amp;"]")</f>
        <v/>
      </c>
    </row>
    <row r="1676" spans="36:36" ht="12" customHeight="1" x14ac:dyDescent="0.25">
      <c r="AJ1676" t="str">
        <f>IF(AI1676="", "", AI1676&amp;"["&amp;#REF!&amp;"]")</f>
        <v/>
      </c>
    </row>
    <row r="1677" spans="36:36" ht="12" customHeight="1" x14ac:dyDescent="0.25">
      <c r="AJ1677" t="str">
        <f>IF(AI1677="", "", AI1677&amp;"["&amp;#REF!&amp;"]")</f>
        <v/>
      </c>
    </row>
    <row r="1678" spans="36:36" ht="12" customHeight="1" x14ac:dyDescent="0.25">
      <c r="AJ1678" t="str">
        <f>IF(AI1678="", "", AI1678&amp;"["&amp;#REF!&amp;"]")</f>
        <v/>
      </c>
    </row>
    <row r="1679" spans="36:36" ht="12" customHeight="1" x14ac:dyDescent="0.25">
      <c r="AJ1679" t="str">
        <f>IF(AI1679="", "", AI1679&amp;"["&amp;#REF!&amp;"]")</f>
        <v/>
      </c>
    </row>
    <row r="1680" spans="36:36" ht="12" customHeight="1" x14ac:dyDescent="0.25">
      <c r="AJ1680" t="str">
        <f>IF(AI1680="", "", AI1680&amp;"["&amp;#REF!&amp;"]")</f>
        <v/>
      </c>
    </row>
    <row r="1681" spans="36:36" ht="12" customHeight="1" x14ac:dyDescent="0.25">
      <c r="AJ1681" t="str">
        <f>IF(AI1681="", "", AI1681&amp;"["&amp;#REF!&amp;"]")</f>
        <v/>
      </c>
    </row>
    <row r="1682" spans="36:36" ht="12" customHeight="1" x14ac:dyDescent="0.25">
      <c r="AJ1682" t="str">
        <f>IF(AI1682="", "", AI1682&amp;"["&amp;#REF!&amp;"]")</f>
        <v/>
      </c>
    </row>
    <row r="1683" spans="36:36" ht="12" customHeight="1" x14ac:dyDescent="0.25">
      <c r="AJ1683" t="str">
        <f>IF(AI1683="", "", AI1683&amp;"["&amp;#REF!&amp;"]")</f>
        <v/>
      </c>
    </row>
    <row r="1684" spans="36:36" ht="12" customHeight="1" x14ac:dyDescent="0.25">
      <c r="AJ1684" t="str">
        <f>IF(AI1684="", "", AI1684&amp;"["&amp;#REF!&amp;"]")</f>
        <v/>
      </c>
    </row>
    <row r="1685" spans="36:36" ht="12" customHeight="1" x14ac:dyDescent="0.25">
      <c r="AJ1685" t="str">
        <f>IF(AI1685="", "", AI1685&amp;"["&amp;#REF!&amp;"]")</f>
        <v/>
      </c>
    </row>
    <row r="1686" spans="36:36" ht="12" customHeight="1" x14ac:dyDescent="0.25">
      <c r="AJ1686" t="str">
        <f>IF(AI1686="", "", AI1686&amp;"["&amp;#REF!&amp;"]")</f>
        <v/>
      </c>
    </row>
    <row r="1687" spans="36:36" ht="12" customHeight="1" x14ac:dyDescent="0.25">
      <c r="AJ1687" t="str">
        <f>IF(AI1687="", "", AI1687&amp;"["&amp;#REF!&amp;"]")</f>
        <v/>
      </c>
    </row>
    <row r="1688" spans="36:36" ht="12" customHeight="1" x14ac:dyDescent="0.25">
      <c r="AJ1688" t="str">
        <f>IF(AI1688="", "", AI1688&amp;"["&amp;#REF!&amp;"]")</f>
        <v/>
      </c>
    </row>
    <row r="1689" spans="36:36" ht="12" customHeight="1" x14ac:dyDescent="0.25">
      <c r="AJ1689" t="str">
        <f>IF(AI1689="", "", AI1689&amp;"["&amp;#REF!&amp;"]")</f>
        <v/>
      </c>
    </row>
    <row r="1690" spans="36:36" ht="12" customHeight="1" x14ac:dyDescent="0.25">
      <c r="AJ1690" t="str">
        <f>IF(AI1690="", "", AI1690&amp;"["&amp;#REF!&amp;"]")</f>
        <v/>
      </c>
    </row>
    <row r="1691" spans="36:36" ht="12" customHeight="1" x14ac:dyDescent="0.25">
      <c r="AJ1691" t="str">
        <f>IF(AI1691="", "", AI1691&amp;"["&amp;#REF!&amp;"]")</f>
        <v/>
      </c>
    </row>
    <row r="1692" spans="36:36" ht="12" customHeight="1" x14ac:dyDescent="0.25">
      <c r="AJ1692" t="str">
        <f>IF(AI1692="", "", AI1692&amp;"["&amp;#REF!&amp;"]")</f>
        <v/>
      </c>
    </row>
    <row r="1693" spans="36:36" ht="12" customHeight="1" x14ac:dyDescent="0.25">
      <c r="AJ1693" t="str">
        <f>IF(AI1693="", "", AI1693&amp;"["&amp;#REF!&amp;"]")</f>
        <v/>
      </c>
    </row>
    <row r="1694" spans="36:36" ht="12" customHeight="1" x14ac:dyDescent="0.25">
      <c r="AJ1694" t="str">
        <f>IF(AI1694="", "", AI1694&amp;"["&amp;#REF!&amp;"]")</f>
        <v/>
      </c>
    </row>
    <row r="1695" spans="36:36" ht="12" customHeight="1" x14ac:dyDescent="0.25">
      <c r="AJ1695" t="str">
        <f>IF(AI1695="", "", AI1695&amp;"["&amp;#REF!&amp;"]")</f>
        <v/>
      </c>
    </row>
    <row r="1696" spans="36:36" ht="12" customHeight="1" x14ac:dyDescent="0.25">
      <c r="AJ1696" t="str">
        <f>IF(AI1696="", "", AI1696&amp;"["&amp;#REF!&amp;"]")</f>
        <v/>
      </c>
    </row>
    <row r="1697" spans="36:36" ht="12" customHeight="1" x14ac:dyDescent="0.25">
      <c r="AJ1697" t="str">
        <f>IF(AI1697="", "", AI1697&amp;"["&amp;#REF!&amp;"]")</f>
        <v/>
      </c>
    </row>
    <row r="1698" spans="36:36" ht="12" customHeight="1" x14ac:dyDescent="0.25">
      <c r="AJ1698" t="str">
        <f>IF(AI1698="", "", AI1698&amp;"["&amp;#REF!&amp;"]")</f>
        <v/>
      </c>
    </row>
    <row r="1699" spans="36:36" ht="12" customHeight="1" x14ac:dyDescent="0.25">
      <c r="AJ1699" t="str">
        <f>IF(AI1699="", "", AI1699&amp;"["&amp;#REF!&amp;"]")</f>
        <v/>
      </c>
    </row>
    <row r="1700" spans="36:36" ht="12" customHeight="1" x14ac:dyDescent="0.25">
      <c r="AJ1700" t="str">
        <f>IF(AI1700="", "", AI1700&amp;"["&amp;#REF!&amp;"]")</f>
        <v/>
      </c>
    </row>
    <row r="1701" spans="36:36" ht="12" customHeight="1" x14ac:dyDescent="0.25">
      <c r="AJ1701" t="str">
        <f>IF(AI1701="", "", AI1701&amp;"["&amp;#REF!&amp;"]")</f>
        <v/>
      </c>
    </row>
    <row r="1702" spans="36:36" ht="12" customHeight="1" x14ac:dyDescent="0.25">
      <c r="AJ1702" t="str">
        <f>IF(AI1702="", "", AI1702&amp;"["&amp;#REF!&amp;"]")</f>
        <v/>
      </c>
    </row>
    <row r="1703" spans="36:36" ht="12" customHeight="1" x14ac:dyDescent="0.25">
      <c r="AJ1703" t="str">
        <f>IF(AI1703="", "", AI1703&amp;"["&amp;#REF!&amp;"]")</f>
        <v/>
      </c>
    </row>
    <row r="1704" spans="36:36" ht="12" customHeight="1" x14ac:dyDescent="0.25">
      <c r="AJ1704" t="str">
        <f>IF(AI1704="", "", AI1704&amp;"["&amp;#REF!&amp;"]")</f>
        <v/>
      </c>
    </row>
    <row r="1705" spans="36:36" ht="12" customHeight="1" x14ac:dyDescent="0.25">
      <c r="AJ1705" t="str">
        <f>IF(AI1705="", "", AI1705&amp;"["&amp;#REF!&amp;"]")</f>
        <v/>
      </c>
    </row>
    <row r="1706" spans="36:36" ht="12" customHeight="1" x14ac:dyDescent="0.25">
      <c r="AJ1706" t="str">
        <f>IF(AI1706="", "", AI1706&amp;"["&amp;#REF!&amp;"]")</f>
        <v/>
      </c>
    </row>
    <row r="1707" spans="36:36" ht="12" customHeight="1" x14ac:dyDescent="0.25">
      <c r="AJ1707" t="str">
        <f>IF(AI1707="", "", AI1707&amp;"["&amp;#REF!&amp;"]")</f>
        <v/>
      </c>
    </row>
    <row r="1708" spans="36:36" ht="12" customHeight="1" x14ac:dyDescent="0.25">
      <c r="AJ1708" t="str">
        <f>IF(AI1708="", "", AI1708&amp;"["&amp;#REF!&amp;"]")</f>
        <v/>
      </c>
    </row>
    <row r="1709" spans="36:36" ht="12" customHeight="1" x14ac:dyDescent="0.25">
      <c r="AJ1709" t="str">
        <f>IF(AI1709="", "", AI1709&amp;"["&amp;#REF!&amp;"]")</f>
        <v/>
      </c>
    </row>
    <row r="1710" spans="36:36" ht="12" customHeight="1" x14ac:dyDescent="0.25">
      <c r="AJ1710" t="str">
        <f>IF(AI1710="", "", AI1710&amp;"["&amp;#REF!&amp;"]")</f>
        <v/>
      </c>
    </row>
    <row r="1711" spans="36:36" ht="12" customHeight="1" x14ac:dyDescent="0.25">
      <c r="AJ1711" t="str">
        <f>IF(AI1711="", "", AI1711&amp;"["&amp;#REF!&amp;"]")</f>
        <v/>
      </c>
    </row>
    <row r="1712" spans="36:36" ht="12" customHeight="1" x14ac:dyDescent="0.25">
      <c r="AJ1712" t="str">
        <f>IF(AI1712="", "", AI1712&amp;"["&amp;#REF!&amp;"]")</f>
        <v/>
      </c>
    </row>
    <row r="1713" spans="36:36" ht="12" customHeight="1" x14ac:dyDescent="0.25">
      <c r="AJ1713" t="str">
        <f>IF(AI1713="", "", AI1713&amp;"["&amp;#REF!&amp;"]")</f>
        <v/>
      </c>
    </row>
    <row r="1714" spans="36:36" ht="12" customHeight="1" x14ac:dyDescent="0.25">
      <c r="AJ1714" t="str">
        <f>IF(AI1714="", "", AI1714&amp;"["&amp;#REF!&amp;"]")</f>
        <v/>
      </c>
    </row>
    <row r="1715" spans="36:36" ht="12" customHeight="1" x14ac:dyDescent="0.25">
      <c r="AJ1715" t="str">
        <f>IF(AI1715="", "", AI1715&amp;"["&amp;#REF!&amp;"]")</f>
        <v/>
      </c>
    </row>
    <row r="1716" spans="36:36" ht="12" customHeight="1" x14ac:dyDescent="0.25">
      <c r="AJ1716" t="str">
        <f>IF(AI1716="", "", AI1716&amp;"["&amp;#REF!&amp;"]")</f>
        <v/>
      </c>
    </row>
    <row r="1717" spans="36:36" ht="12" customHeight="1" x14ac:dyDescent="0.25">
      <c r="AJ1717" t="str">
        <f>IF(AI1717="", "", AI1717&amp;"["&amp;#REF!&amp;"]")</f>
        <v/>
      </c>
    </row>
    <row r="1718" spans="36:36" ht="12" customHeight="1" x14ac:dyDescent="0.25">
      <c r="AJ1718" t="str">
        <f>IF(AI1718="", "", AI1718&amp;"["&amp;#REF!&amp;"]")</f>
        <v/>
      </c>
    </row>
    <row r="1719" spans="36:36" ht="12" customHeight="1" x14ac:dyDescent="0.25">
      <c r="AJ1719" t="str">
        <f>IF(AI1719="", "", AI1719&amp;"["&amp;#REF!&amp;"]")</f>
        <v/>
      </c>
    </row>
    <row r="1720" spans="36:36" ht="12" customHeight="1" x14ac:dyDescent="0.25">
      <c r="AJ1720" t="str">
        <f>IF(AI1720="", "", AI1720&amp;"["&amp;#REF!&amp;"]")</f>
        <v/>
      </c>
    </row>
    <row r="1721" spans="36:36" ht="12" customHeight="1" x14ac:dyDescent="0.25">
      <c r="AJ1721" t="str">
        <f>IF(AI1721="", "", AI1721&amp;"["&amp;#REF!&amp;"]")</f>
        <v/>
      </c>
    </row>
    <row r="1722" spans="36:36" ht="12" customHeight="1" x14ac:dyDescent="0.25">
      <c r="AJ1722" t="str">
        <f>IF(AI1722="", "", AI1722&amp;"["&amp;#REF!&amp;"]")</f>
        <v/>
      </c>
    </row>
    <row r="1723" spans="36:36" ht="12" customHeight="1" x14ac:dyDescent="0.25">
      <c r="AJ1723" t="str">
        <f>IF(AI1723="", "", AI1723&amp;"["&amp;#REF!&amp;"]")</f>
        <v/>
      </c>
    </row>
    <row r="1724" spans="36:36" ht="12" customHeight="1" x14ac:dyDescent="0.25">
      <c r="AJ1724" t="str">
        <f>IF(AI1724="", "", AI1724&amp;"["&amp;#REF!&amp;"]")</f>
        <v/>
      </c>
    </row>
    <row r="1725" spans="36:36" ht="12" customHeight="1" x14ac:dyDescent="0.25">
      <c r="AJ1725" t="str">
        <f>IF(AI1725="", "", AI1725&amp;"["&amp;#REF!&amp;"]")</f>
        <v/>
      </c>
    </row>
    <row r="1726" spans="36:36" ht="12" customHeight="1" x14ac:dyDescent="0.25">
      <c r="AJ1726" t="str">
        <f>IF(AI1726="", "", AI1726&amp;"["&amp;#REF!&amp;"]")</f>
        <v/>
      </c>
    </row>
    <row r="1727" spans="36:36" ht="12" customHeight="1" x14ac:dyDescent="0.25">
      <c r="AJ1727" t="str">
        <f>IF(AI1727="", "", AI1727&amp;"["&amp;#REF!&amp;"]")</f>
        <v/>
      </c>
    </row>
    <row r="1728" spans="36:36" ht="12" customHeight="1" x14ac:dyDescent="0.25">
      <c r="AJ1728" t="str">
        <f>IF(AI1728="", "", AI1728&amp;"["&amp;#REF!&amp;"]")</f>
        <v/>
      </c>
    </row>
    <row r="1729" spans="36:36" ht="12" customHeight="1" x14ac:dyDescent="0.25">
      <c r="AJ1729" t="str">
        <f>IF(AI1729="", "", AI1729&amp;"["&amp;#REF!&amp;"]")</f>
        <v/>
      </c>
    </row>
    <row r="1730" spans="36:36" ht="12" customHeight="1" x14ac:dyDescent="0.25">
      <c r="AJ1730" t="str">
        <f>IF(AI1730="", "", AI1730&amp;"["&amp;#REF!&amp;"]")</f>
        <v/>
      </c>
    </row>
    <row r="1731" spans="36:36" ht="12" customHeight="1" x14ac:dyDescent="0.25">
      <c r="AJ1731" t="str">
        <f>IF(AI1731="", "", AI1731&amp;"["&amp;#REF!&amp;"]")</f>
        <v/>
      </c>
    </row>
    <row r="1732" spans="36:36" ht="12" customHeight="1" x14ac:dyDescent="0.25">
      <c r="AJ1732" t="str">
        <f>IF(AI1732="", "", AI1732&amp;"["&amp;#REF!&amp;"]")</f>
        <v/>
      </c>
    </row>
    <row r="1733" spans="36:36" ht="12" customHeight="1" x14ac:dyDescent="0.25">
      <c r="AJ1733" t="str">
        <f>IF(AI1733="", "", AI1733&amp;"["&amp;#REF!&amp;"]")</f>
        <v/>
      </c>
    </row>
    <row r="1734" spans="36:36" ht="12" customHeight="1" x14ac:dyDescent="0.25">
      <c r="AJ1734" t="str">
        <f>IF(AI1734="", "", AI1734&amp;"["&amp;#REF!&amp;"]")</f>
        <v/>
      </c>
    </row>
    <row r="1735" spans="36:36" ht="12" customHeight="1" x14ac:dyDescent="0.25">
      <c r="AJ1735" t="str">
        <f>IF(AI1735="", "", AI1735&amp;"["&amp;#REF!&amp;"]")</f>
        <v/>
      </c>
    </row>
    <row r="1736" spans="36:36" ht="12" customHeight="1" x14ac:dyDescent="0.25">
      <c r="AJ1736" t="str">
        <f>IF(AI1736="", "", AI1736&amp;"["&amp;#REF!&amp;"]")</f>
        <v/>
      </c>
    </row>
    <row r="1737" spans="36:36" ht="12" customHeight="1" x14ac:dyDescent="0.25">
      <c r="AJ1737" t="str">
        <f>IF(AI1737="", "", AI1737&amp;"["&amp;#REF!&amp;"]")</f>
        <v/>
      </c>
    </row>
    <row r="1738" spans="36:36" ht="12" customHeight="1" x14ac:dyDescent="0.25">
      <c r="AJ1738" t="str">
        <f>IF(AI1738="", "", AI1738&amp;"["&amp;#REF!&amp;"]")</f>
        <v/>
      </c>
    </row>
    <row r="1739" spans="36:36" ht="12" customHeight="1" x14ac:dyDescent="0.25">
      <c r="AJ1739" t="str">
        <f>IF(AI1739="", "", AI1739&amp;"["&amp;#REF!&amp;"]")</f>
        <v/>
      </c>
    </row>
    <row r="1740" spans="36:36" ht="12" customHeight="1" x14ac:dyDescent="0.25">
      <c r="AJ1740" t="str">
        <f>IF(AI1740="", "", AI1740&amp;"["&amp;#REF!&amp;"]")</f>
        <v/>
      </c>
    </row>
    <row r="1741" spans="36:36" ht="12" customHeight="1" x14ac:dyDescent="0.25">
      <c r="AJ1741" t="str">
        <f>IF(AI1741="", "", AI1741&amp;"["&amp;#REF!&amp;"]")</f>
        <v/>
      </c>
    </row>
    <row r="1742" spans="36:36" ht="12" customHeight="1" x14ac:dyDescent="0.25">
      <c r="AJ1742" t="str">
        <f>IF(AI1742="", "", AI1742&amp;"["&amp;#REF!&amp;"]")</f>
        <v/>
      </c>
    </row>
    <row r="1743" spans="36:36" ht="12" customHeight="1" x14ac:dyDescent="0.25">
      <c r="AJ1743" t="str">
        <f>IF(AI1743="", "", AI1743&amp;"["&amp;#REF!&amp;"]")</f>
        <v/>
      </c>
    </row>
    <row r="1744" spans="36:36" ht="12" customHeight="1" x14ac:dyDescent="0.25">
      <c r="AJ1744" t="str">
        <f>IF(AI1744="", "", AI1744&amp;"["&amp;#REF!&amp;"]")</f>
        <v/>
      </c>
    </row>
    <row r="1745" spans="36:36" ht="12" customHeight="1" x14ac:dyDescent="0.25">
      <c r="AJ1745" t="str">
        <f>IF(AI1745="", "", AI1745&amp;"["&amp;#REF!&amp;"]")</f>
        <v/>
      </c>
    </row>
    <row r="1746" spans="36:36" ht="12" customHeight="1" x14ac:dyDescent="0.25">
      <c r="AJ1746" t="str">
        <f>IF(AI1746="", "", AI1746&amp;"["&amp;#REF!&amp;"]")</f>
        <v/>
      </c>
    </row>
    <row r="1747" spans="36:36" ht="12" customHeight="1" x14ac:dyDescent="0.25">
      <c r="AJ1747" t="str">
        <f>IF(AI1747="", "", AI1747&amp;"["&amp;#REF!&amp;"]")</f>
        <v/>
      </c>
    </row>
    <row r="1748" spans="36:36" ht="12" customHeight="1" x14ac:dyDescent="0.25">
      <c r="AJ1748" t="str">
        <f>IF(AI1748="", "", AI1748&amp;"["&amp;#REF!&amp;"]")</f>
        <v/>
      </c>
    </row>
    <row r="1749" spans="36:36" ht="12" customHeight="1" x14ac:dyDescent="0.25">
      <c r="AJ1749" t="str">
        <f>IF(AI1749="", "", AI1749&amp;"["&amp;#REF!&amp;"]")</f>
        <v/>
      </c>
    </row>
    <row r="1750" spans="36:36" ht="12" customHeight="1" x14ac:dyDescent="0.25">
      <c r="AJ1750" t="str">
        <f>IF(AI1750="", "", AI1750&amp;"["&amp;#REF!&amp;"]")</f>
        <v/>
      </c>
    </row>
    <row r="1751" spans="36:36" ht="12" customHeight="1" x14ac:dyDescent="0.25">
      <c r="AJ1751" t="str">
        <f>IF(AI1751="", "", AI1751&amp;"["&amp;#REF!&amp;"]")</f>
        <v/>
      </c>
    </row>
    <row r="1752" spans="36:36" ht="12" customHeight="1" x14ac:dyDescent="0.25">
      <c r="AJ1752" t="str">
        <f>IF(AI1752="", "", AI1752&amp;"["&amp;#REF!&amp;"]")</f>
        <v/>
      </c>
    </row>
    <row r="1753" spans="36:36" ht="12" customHeight="1" x14ac:dyDescent="0.25">
      <c r="AJ1753" t="str">
        <f>IF(AI1753="", "", AI1753&amp;"["&amp;#REF!&amp;"]")</f>
        <v/>
      </c>
    </row>
    <row r="1754" spans="36:36" ht="12" customHeight="1" x14ac:dyDescent="0.25">
      <c r="AJ1754" t="str">
        <f>IF(AI1754="", "", AI1754&amp;"["&amp;#REF!&amp;"]")</f>
        <v/>
      </c>
    </row>
    <row r="1755" spans="36:36" ht="12" customHeight="1" x14ac:dyDescent="0.25">
      <c r="AJ1755" t="str">
        <f>IF(AI1755="", "", AI1755&amp;"["&amp;#REF!&amp;"]")</f>
        <v/>
      </c>
    </row>
    <row r="1756" spans="36:36" ht="12" customHeight="1" x14ac:dyDescent="0.25">
      <c r="AJ1756" t="str">
        <f>IF(AI1756="", "", AI1756&amp;"["&amp;#REF!&amp;"]")</f>
        <v/>
      </c>
    </row>
    <row r="1757" spans="36:36" ht="12" customHeight="1" x14ac:dyDescent="0.25">
      <c r="AJ1757" t="str">
        <f>IF(AI1757="", "", AI1757&amp;"["&amp;#REF!&amp;"]")</f>
        <v/>
      </c>
    </row>
    <row r="1758" spans="36:36" ht="12" customHeight="1" x14ac:dyDescent="0.25">
      <c r="AJ1758" t="str">
        <f>IF(AI1758="", "", AI1758&amp;"["&amp;#REF!&amp;"]")</f>
        <v/>
      </c>
    </row>
    <row r="1759" spans="36:36" ht="12" customHeight="1" x14ac:dyDescent="0.25">
      <c r="AJ1759" t="str">
        <f>IF(AI1759="", "", AI1759&amp;"["&amp;#REF!&amp;"]")</f>
        <v/>
      </c>
    </row>
    <row r="1760" spans="36:36" ht="12" customHeight="1" x14ac:dyDescent="0.25">
      <c r="AJ1760" t="str">
        <f>IF(AI1760="", "", AI1760&amp;"["&amp;#REF!&amp;"]")</f>
        <v/>
      </c>
    </row>
    <row r="1761" spans="36:36" ht="12" customHeight="1" x14ac:dyDescent="0.25">
      <c r="AJ1761" t="str">
        <f>IF(AI1761="", "", AI1761&amp;"["&amp;#REF!&amp;"]")</f>
        <v/>
      </c>
    </row>
    <row r="1762" spans="36:36" ht="12" customHeight="1" x14ac:dyDescent="0.25">
      <c r="AJ1762" t="str">
        <f>IF(AI1762="", "", AI1762&amp;"["&amp;#REF!&amp;"]")</f>
        <v/>
      </c>
    </row>
    <row r="1763" spans="36:36" ht="12" customHeight="1" x14ac:dyDescent="0.25">
      <c r="AJ1763" t="str">
        <f>IF(AI1763="", "", AI1763&amp;"["&amp;#REF!&amp;"]")</f>
        <v/>
      </c>
    </row>
    <row r="1764" spans="36:36" ht="12" customHeight="1" x14ac:dyDescent="0.25">
      <c r="AJ1764" t="str">
        <f>IF(AI1764="", "", AI1764&amp;"["&amp;#REF!&amp;"]")</f>
        <v/>
      </c>
    </row>
    <row r="1765" spans="36:36" ht="12" customHeight="1" x14ac:dyDescent="0.25">
      <c r="AJ1765" t="str">
        <f>IF(AI1765="", "", AI1765&amp;"["&amp;#REF!&amp;"]")</f>
        <v/>
      </c>
    </row>
    <row r="1766" spans="36:36" ht="12" customHeight="1" x14ac:dyDescent="0.25">
      <c r="AJ1766" t="str">
        <f>IF(AI1766="", "", AI1766&amp;"["&amp;#REF!&amp;"]")</f>
        <v/>
      </c>
    </row>
    <row r="1767" spans="36:36" ht="12" customHeight="1" x14ac:dyDescent="0.25">
      <c r="AJ1767" t="str">
        <f>IF(AI1767="", "", AI1767&amp;"["&amp;#REF!&amp;"]")</f>
        <v/>
      </c>
    </row>
    <row r="1768" spans="36:36" ht="12" customHeight="1" x14ac:dyDescent="0.25">
      <c r="AJ1768" t="str">
        <f>IF(AI1768="", "", AI1768&amp;"["&amp;#REF!&amp;"]")</f>
        <v/>
      </c>
    </row>
    <row r="1769" spans="36:36" ht="12" customHeight="1" x14ac:dyDescent="0.25">
      <c r="AJ1769" t="str">
        <f>IF(AI1769="", "", AI1769&amp;"["&amp;#REF!&amp;"]")</f>
        <v/>
      </c>
    </row>
    <row r="1770" spans="36:36" ht="12" customHeight="1" x14ac:dyDescent="0.25">
      <c r="AJ1770" t="str">
        <f>IF(AI1770="", "", AI1770&amp;"["&amp;#REF!&amp;"]")</f>
        <v/>
      </c>
    </row>
    <row r="1771" spans="36:36" ht="12" customHeight="1" x14ac:dyDescent="0.25">
      <c r="AJ1771" t="str">
        <f>IF(AI1771="", "", AI1771&amp;"["&amp;#REF!&amp;"]")</f>
        <v/>
      </c>
    </row>
    <row r="1772" spans="36:36" ht="12" customHeight="1" x14ac:dyDescent="0.25">
      <c r="AJ1772" t="str">
        <f>IF(AI1772="", "", AI1772&amp;"["&amp;#REF!&amp;"]")</f>
        <v/>
      </c>
    </row>
    <row r="1773" spans="36:36" ht="12" customHeight="1" x14ac:dyDescent="0.25">
      <c r="AJ1773" t="str">
        <f>IF(AI1773="", "", AI1773&amp;"["&amp;#REF!&amp;"]")</f>
        <v/>
      </c>
    </row>
    <row r="1774" spans="36:36" ht="12" customHeight="1" x14ac:dyDescent="0.25">
      <c r="AJ1774" t="str">
        <f>IF(AI1774="", "", AI1774&amp;"["&amp;#REF!&amp;"]")</f>
        <v/>
      </c>
    </row>
    <row r="1775" spans="36:36" ht="12" customHeight="1" x14ac:dyDescent="0.25">
      <c r="AJ1775" t="str">
        <f>IF(AI1775="", "", AI1775&amp;"["&amp;#REF!&amp;"]")</f>
        <v/>
      </c>
    </row>
    <row r="1776" spans="36:36" ht="12" customHeight="1" x14ac:dyDescent="0.25">
      <c r="AJ1776" t="str">
        <f>IF(AI1776="", "", AI1776&amp;"["&amp;#REF!&amp;"]")</f>
        <v/>
      </c>
    </row>
    <row r="1777" spans="36:36" ht="12" customHeight="1" x14ac:dyDescent="0.25">
      <c r="AJ1777" t="str">
        <f>IF(AI1777="", "", AI1777&amp;"["&amp;#REF!&amp;"]")</f>
        <v/>
      </c>
    </row>
    <row r="1778" spans="36:36" ht="12" customHeight="1" x14ac:dyDescent="0.25">
      <c r="AJ1778" t="str">
        <f>IF(AI1778="", "", AI1778&amp;"["&amp;#REF!&amp;"]")</f>
        <v/>
      </c>
    </row>
    <row r="1779" spans="36:36" ht="12" customHeight="1" x14ac:dyDescent="0.25">
      <c r="AJ1779" t="str">
        <f>IF(AI1779="", "", AI1779&amp;"["&amp;#REF!&amp;"]")</f>
        <v/>
      </c>
    </row>
    <row r="1780" spans="36:36" ht="12" customHeight="1" x14ac:dyDescent="0.25">
      <c r="AJ1780" t="str">
        <f>IF(AI1780="", "", AI1780&amp;"["&amp;#REF!&amp;"]")</f>
        <v/>
      </c>
    </row>
    <row r="1781" spans="36:36" ht="12" customHeight="1" x14ac:dyDescent="0.25">
      <c r="AJ1781" t="str">
        <f>IF(AI1781="", "", AI1781&amp;"["&amp;#REF!&amp;"]")</f>
        <v/>
      </c>
    </row>
    <row r="1782" spans="36:36" ht="12" customHeight="1" x14ac:dyDescent="0.25">
      <c r="AJ1782" t="str">
        <f>IF(AI1782="", "", AI1782&amp;"["&amp;#REF!&amp;"]")</f>
        <v/>
      </c>
    </row>
    <row r="1783" spans="36:36" ht="12" customHeight="1" x14ac:dyDescent="0.25">
      <c r="AJ1783" t="str">
        <f>IF(AI1783="", "", AI1783&amp;"["&amp;#REF!&amp;"]")</f>
        <v/>
      </c>
    </row>
    <row r="1784" spans="36:36" ht="12" customHeight="1" x14ac:dyDescent="0.25">
      <c r="AJ1784" t="str">
        <f>IF(AI1784="", "", AI1784&amp;"["&amp;#REF!&amp;"]")</f>
        <v/>
      </c>
    </row>
    <row r="1785" spans="36:36" ht="12" customHeight="1" x14ac:dyDescent="0.25">
      <c r="AJ1785" t="str">
        <f>IF(AI1785="", "", AI1785&amp;"["&amp;#REF!&amp;"]")</f>
        <v/>
      </c>
    </row>
    <row r="1786" spans="36:36" ht="12" customHeight="1" x14ac:dyDescent="0.25">
      <c r="AJ1786" t="str">
        <f>IF(AI1786="", "", AI1786&amp;"["&amp;#REF!&amp;"]")</f>
        <v/>
      </c>
    </row>
    <row r="1787" spans="36:36" ht="12" customHeight="1" x14ac:dyDescent="0.25">
      <c r="AJ1787" t="str">
        <f>IF(AI1787="", "", AI1787&amp;"["&amp;#REF!&amp;"]")</f>
        <v/>
      </c>
    </row>
    <row r="1788" spans="36:36" ht="12" customHeight="1" x14ac:dyDescent="0.25">
      <c r="AJ1788" t="str">
        <f>IF(AI1788="", "", AI1788&amp;"["&amp;#REF!&amp;"]")</f>
        <v/>
      </c>
    </row>
    <row r="1789" spans="36:36" ht="12" customHeight="1" x14ac:dyDescent="0.25">
      <c r="AJ1789" t="str">
        <f>IF(AI1789="", "", AI1789&amp;"["&amp;#REF!&amp;"]")</f>
        <v/>
      </c>
    </row>
    <row r="1790" spans="36:36" ht="12" customHeight="1" x14ac:dyDescent="0.25">
      <c r="AJ1790" t="str">
        <f>IF(AI1790="", "", AI1790&amp;"["&amp;#REF!&amp;"]")</f>
        <v/>
      </c>
    </row>
    <row r="1791" spans="36:36" ht="12" customHeight="1" x14ac:dyDescent="0.25">
      <c r="AJ1791" t="str">
        <f>IF(AI1791="", "", AI1791&amp;"["&amp;#REF!&amp;"]")</f>
        <v/>
      </c>
    </row>
    <row r="1792" spans="36:36" ht="12" customHeight="1" x14ac:dyDescent="0.25">
      <c r="AJ1792" t="str">
        <f>IF(AI1792="", "", AI1792&amp;"["&amp;#REF!&amp;"]")</f>
        <v/>
      </c>
    </row>
    <row r="1793" spans="36:36" ht="12" customHeight="1" x14ac:dyDescent="0.25">
      <c r="AJ1793" t="str">
        <f>IF(AI1793="", "", AI1793&amp;"["&amp;#REF!&amp;"]")</f>
        <v/>
      </c>
    </row>
    <row r="1794" spans="36:36" ht="12" customHeight="1" x14ac:dyDescent="0.25">
      <c r="AJ1794" t="str">
        <f>IF(AI1794="", "", AI1794&amp;"["&amp;#REF!&amp;"]")</f>
        <v/>
      </c>
    </row>
    <row r="1795" spans="36:36" ht="12" customHeight="1" x14ac:dyDescent="0.25">
      <c r="AJ1795" t="str">
        <f>IF(AI1795="", "", AI1795&amp;"["&amp;#REF!&amp;"]")</f>
        <v/>
      </c>
    </row>
    <row r="1796" spans="36:36" ht="12" customHeight="1" x14ac:dyDescent="0.25">
      <c r="AJ1796" t="str">
        <f>IF(AI1796="", "", AI1796&amp;"["&amp;#REF!&amp;"]")</f>
        <v/>
      </c>
    </row>
    <row r="1797" spans="36:36" ht="12" customHeight="1" x14ac:dyDescent="0.25">
      <c r="AJ1797" t="str">
        <f>IF(AI1797="", "", AI1797&amp;"["&amp;#REF!&amp;"]")</f>
        <v/>
      </c>
    </row>
    <row r="1798" spans="36:36" ht="12" customHeight="1" x14ac:dyDescent="0.25">
      <c r="AJ1798" t="str">
        <f>IF(AI1798="", "", AI1798&amp;"["&amp;#REF!&amp;"]")</f>
        <v/>
      </c>
    </row>
    <row r="1799" spans="36:36" ht="12" customHeight="1" x14ac:dyDescent="0.25">
      <c r="AJ1799" t="str">
        <f>IF(AI1799="", "", AI1799&amp;"["&amp;#REF!&amp;"]")</f>
        <v/>
      </c>
    </row>
    <row r="1800" spans="36:36" ht="12" customHeight="1" x14ac:dyDescent="0.25">
      <c r="AJ1800" t="str">
        <f>IF(AI1800="", "", AI1800&amp;"["&amp;#REF!&amp;"]")</f>
        <v/>
      </c>
    </row>
    <row r="1801" spans="36:36" ht="12" customHeight="1" x14ac:dyDescent="0.25">
      <c r="AJ1801" t="str">
        <f>IF(AI1801="", "", AI1801&amp;"["&amp;#REF!&amp;"]")</f>
        <v/>
      </c>
    </row>
    <row r="1802" spans="36:36" ht="12" customHeight="1" x14ac:dyDescent="0.25">
      <c r="AJ1802" t="str">
        <f>IF(AI1802="", "", AI1802&amp;"["&amp;#REF!&amp;"]")</f>
        <v/>
      </c>
    </row>
    <row r="1803" spans="36:36" ht="12" customHeight="1" x14ac:dyDescent="0.25">
      <c r="AJ1803" t="str">
        <f>IF(AI1803="", "", AI1803&amp;"["&amp;#REF!&amp;"]")</f>
        <v/>
      </c>
    </row>
    <row r="1804" spans="36:36" ht="12" customHeight="1" x14ac:dyDescent="0.25">
      <c r="AJ1804" t="str">
        <f>IF(AI1804="", "", AI1804&amp;"["&amp;#REF!&amp;"]")</f>
        <v/>
      </c>
    </row>
    <row r="1805" spans="36:36" ht="12" customHeight="1" x14ac:dyDescent="0.25">
      <c r="AJ1805" t="str">
        <f>IF(AI1805="", "", AI1805&amp;"["&amp;#REF!&amp;"]")</f>
        <v/>
      </c>
    </row>
    <row r="1806" spans="36:36" ht="12" customHeight="1" x14ac:dyDescent="0.25">
      <c r="AJ1806" t="str">
        <f>IF(AI1806="", "", AI1806&amp;"["&amp;#REF!&amp;"]")</f>
        <v/>
      </c>
    </row>
    <row r="1807" spans="36:36" ht="12" customHeight="1" x14ac:dyDescent="0.25">
      <c r="AJ1807" t="str">
        <f>IF(AI1807="", "", AI1807&amp;"["&amp;#REF!&amp;"]")</f>
        <v/>
      </c>
    </row>
    <row r="1808" spans="36:36" ht="12" customHeight="1" x14ac:dyDescent="0.25">
      <c r="AJ1808" t="str">
        <f>IF(AI1808="", "", AI1808&amp;"["&amp;#REF!&amp;"]")</f>
        <v/>
      </c>
    </row>
    <row r="1809" spans="36:36" ht="12" customHeight="1" x14ac:dyDescent="0.25">
      <c r="AJ1809" t="str">
        <f>IF(AI1809="", "", AI1809&amp;"["&amp;#REF!&amp;"]")</f>
        <v/>
      </c>
    </row>
    <row r="1810" spans="36:36" ht="12" customHeight="1" x14ac:dyDescent="0.25">
      <c r="AJ1810" t="str">
        <f>IF(AI1810="", "", AI1810&amp;"["&amp;#REF!&amp;"]")</f>
        <v/>
      </c>
    </row>
    <row r="1811" spans="36:36" ht="12" customHeight="1" x14ac:dyDescent="0.25">
      <c r="AJ1811" t="str">
        <f>IF(AI1811="", "", AI1811&amp;"["&amp;#REF!&amp;"]")</f>
        <v/>
      </c>
    </row>
    <row r="1812" spans="36:36" ht="12" customHeight="1" x14ac:dyDescent="0.25">
      <c r="AJ1812" t="str">
        <f>IF(AI1812="", "", AI1812&amp;"["&amp;#REF!&amp;"]")</f>
        <v/>
      </c>
    </row>
    <row r="1813" spans="36:36" ht="12" customHeight="1" x14ac:dyDescent="0.25">
      <c r="AJ1813" t="str">
        <f>IF(AI1813="", "", AI1813&amp;"["&amp;#REF!&amp;"]")</f>
        <v/>
      </c>
    </row>
    <row r="1814" spans="36:36" ht="12" customHeight="1" x14ac:dyDescent="0.25">
      <c r="AJ1814" t="str">
        <f>IF(AI1814="", "", AI1814&amp;"["&amp;#REF!&amp;"]")</f>
        <v/>
      </c>
    </row>
    <row r="1815" spans="36:36" ht="12" customHeight="1" x14ac:dyDescent="0.25">
      <c r="AJ1815" t="str">
        <f>IF(AI1815="", "", AI1815&amp;"["&amp;#REF!&amp;"]")</f>
        <v/>
      </c>
    </row>
    <row r="1816" spans="36:36" ht="12" customHeight="1" x14ac:dyDescent="0.25">
      <c r="AJ1816" t="str">
        <f>IF(AI1816="", "", AI1816&amp;"["&amp;#REF!&amp;"]")</f>
        <v/>
      </c>
    </row>
    <row r="1817" spans="36:36" ht="12" customHeight="1" x14ac:dyDescent="0.25">
      <c r="AJ1817" t="str">
        <f>IF(AI1817="", "", AI1817&amp;"["&amp;#REF!&amp;"]")</f>
        <v/>
      </c>
    </row>
    <row r="1818" spans="36:36" ht="12" customHeight="1" x14ac:dyDescent="0.25">
      <c r="AJ1818" t="str">
        <f>IF(AI1818="", "", AI1818&amp;"["&amp;#REF!&amp;"]")</f>
        <v/>
      </c>
    </row>
    <row r="1819" spans="36:36" ht="12" customHeight="1" x14ac:dyDescent="0.25">
      <c r="AJ1819" t="str">
        <f>IF(AI1819="", "", AI1819&amp;"["&amp;#REF!&amp;"]")</f>
        <v/>
      </c>
    </row>
    <row r="1820" spans="36:36" ht="12" customHeight="1" x14ac:dyDescent="0.25">
      <c r="AJ1820" t="str">
        <f>IF(AI1820="", "", AI1820&amp;"["&amp;#REF!&amp;"]")</f>
        <v/>
      </c>
    </row>
    <row r="1821" spans="36:36" ht="12" customHeight="1" x14ac:dyDescent="0.25">
      <c r="AJ1821" t="str">
        <f>IF(AI1821="", "", AI1821&amp;"["&amp;#REF!&amp;"]")</f>
        <v/>
      </c>
    </row>
    <row r="1822" spans="36:36" ht="12" customHeight="1" x14ac:dyDescent="0.25">
      <c r="AJ1822" t="str">
        <f>IF(AI1822="", "", AI1822&amp;"["&amp;#REF!&amp;"]")</f>
        <v/>
      </c>
    </row>
    <row r="1823" spans="36:36" ht="12" customHeight="1" x14ac:dyDescent="0.25">
      <c r="AJ1823" t="str">
        <f>IF(AI1823="", "", AI1823&amp;"["&amp;#REF!&amp;"]")</f>
        <v/>
      </c>
    </row>
    <row r="1824" spans="36:36" ht="12" customHeight="1" x14ac:dyDescent="0.25">
      <c r="AJ1824" t="str">
        <f>IF(AI1824="", "", AI1824&amp;"["&amp;#REF!&amp;"]")</f>
        <v/>
      </c>
    </row>
    <row r="1825" spans="36:36" ht="12" customHeight="1" x14ac:dyDescent="0.25">
      <c r="AJ1825" t="str">
        <f>IF(AI1825="", "", AI1825&amp;"["&amp;#REF!&amp;"]")</f>
        <v/>
      </c>
    </row>
    <row r="1826" spans="36:36" ht="12" customHeight="1" x14ac:dyDescent="0.25">
      <c r="AJ1826" t="str">
        <f>IF(AI1826="", "", AI1826&amp;"["&amp;#REF!&amp;"]")</f>
        <v/>
      </c>
    </row>
    <row r="1827" spans="36:36" ht="12" customHeight="1" x14ac:dyDescent="0.25">
      <c r="AJ1827" t="str">
        <f>IF(AI1827="", "", AI1827&amp;"["&amp;#REF!&amp;"]")</f>
        <v/>
      </c>
    </row>
    <row r="1828" spans="36:36" ht="12" customHeight="1" x14ac:dyDescent="0.25">
      <c r="AJ1828" t="str">
        <f>IF(AI1828="", "", AI1828&amp;"["&amp;#REF!&amp;"]")</f>
        <v/>
      </c>
    </row>
    <row r="1829" spans="36:36" ht="12" customHeight="1" x14ac:dyDescent="0.25">
      <c r="AJ1829" t="str">
        <f>IF(AI1829="", "", AI1829&amp;"["&amp;#REF!&amp;"]")</f>
        <v/>
      </c>
    </row>
    <row r="1830" spans="36:36" ht="12" customHeight="1" x14ac:dyDescent="0.25">
      <c r="AJ1830" t="str">
        <f>IF(AI1830="", "", AI1830&amp;"["&amp;#REF!&amp;"]")</f>
        <v/>
      </c>
    </row>
    <row r="1831" spans="36:36" ht="12" customHeight="1" x14ac:dyDescent="0.25">
      <c r="AJ1831" t="str">
        <f>IF(AI1831="", "", AI1831&amp;"["&amp;#REF!&amp;"]")</f>
        <v/>
      </c>
    </row>
    <row r="1832" spans="36:36" ht="12" customHeight="1" x14ac:dyDescent="0.25">
      <c r="AJ1832" t="str">
        <f>IF(AI1832="", "", AI1832&amp;"["&amp;#REF!&amp;"]")</f>
        <v/>
      </c>
    </row>
    <row r="1833" spans="36:36" ht="12" customHeight="1" x14ac:dyDescent="0.25">
      <c r="AJ1833" t="str">
        <f>IF(AI1833="", "", AI1833&amp;"["&amp;#REF!&amp;"]")</f>
        <v/>
      </c>
    </row>
    <row r="1834" spans="36:36" ht="12" customHeight="1" x14ac:dyDescent="0.25">
      <c r="AJ1834" t="str">
        <f>IF(AI1834="", "", AI1834&amp;"["&amp;#REF!&amp;"]")</f>
        <v/>
      </c>
    </row>
    <row r="1835" spans="36:36" ht="12" customHeight="1" x14ac:dyDescent="0.25">
      <c r="AJ1835" t="str">
        <f>IF(AI1835="", "", AI1835&amp;"["&amp;#REF!&amp;"]")</f>
        <v/>
      </c>
    </row>
    <row r="1836" spans="36:36" ht="12" customHeight="1" x14ac:dyDescent="0.25">
      <c r="AJ1836" t="str">
        <f>IF(AI1836="", "", AI1836&amp;"["&amp;#REF!&amp;"]")</f>
        <v/>
      </c>
    </row>
    <row r="1837" spans="36:36" ht="12" customHeight="1" x14ac:dyDescent="0.25">
      <c r="AJ1837" t="str">
        <f>IF(AI1837="", "", AI1837&amp;"["&amp;#REF!&amp;"]")</f>
        <v/>
      </c>
    </row>
    <row r="1838" spans="36:36" ht="12" customHeight="1" x14ac:dyDescent="0.25">
      <c r="AJ1838" t="str">
        <f>IF(AI1838="", "", AI1838&amp;"["&amp;#REF!&amp;"]")</f>
        <v/>
      </c>
    </row>
    <row r="1839" spans="36:36" ht="12" customHeight="1" x14ac:dyDescent="0.25">
      <c r="AJ1839" t="str">
        <f>IF(AI1839="", "", AI1839&amp;"["&amp;#REF!&amp;"]")</f>
        <v/>
      </c>
    </row>
    <row r="1840" spans="36:36" ht="12" customHeight="1" x14ac:dyDescent="0.25">
      <c r="AJ1840" t="str">
        <f>IF(AI1840="", "", AI1840&amp;"["&amp;#REF!&amp;"]")</f>
        <v/>
      </c>
    </row>
    <row r="1841" spans="36:36" ht="12" customHeight="1" x14ac:dyDescent="0.25">
      <c r="AJ1841" t="str">
        <f>IF(AI1841="", "", AI1841&amp;"["&amp;#REF!&amp;"]")</f>
        <v/>
      </c>
    </row>
    <row r="1842" spans="36:36" ht="12" customHeight="1" x14ac:dyDescent="0.25">
      <c r="AJ1842" t="str">
        <f>IF(AI1842="", "", AI1842&amp;"["&amp;#REF!&amp;"]")</f>
        <v/>
      </c>
    </row>
    <row r="1843" spans="36:36" ht="12" customHeight="1" x14ac:dyDescent="0.25">
      <c r="AJ1843" t="str">
        <f>IF(AI1843="", "", AI1843&amp;"["&amp;#REF!&amp;"]")</f>
        <v/>
      </c>
    </row>
    <row r="1844" spans="36:36" ht="12" customHeight="1" x14ac:dyDescent="0.25">
      <c r="AJ1844" t="str">
        <f>IF(AI1844="", "", AI1844&amp;"["&amp;#REF!&amp;"]")</f>
        <v/>
      </c>
    </row>
    <row r="1845" spans="36:36" ht="12" customHeight="1" x14ac:dyDescent="0.25">
      <c r="AJ1845" t="str">
        <f>IF(AI1845="", "", AI1845&amp;"["&amp;#REF!&amp;"]")</f>
        <v/>
      </c>
    </row>
    <row r="1846" spans="36:36" ht="12" customHeight="1" x14ac:dyDescent="0.25">
      <c r="AJ1846" t="str">
        <f>IF(AI1846="", "", AI1846&amp;"["&amp;#REF!&amp;"]")</f>
        <v/>
      </c>
    </row>
    <row r="1847" spans="36:36" ht="12" customHeight="1" x14ac:dyDescent="0.25">
      <c r="AJ1847" t="str">
        <f>IF(AI1847="", "", AI1847&amp;"["&amp;#REF!&amp;"]")</f>
        <v/>
      </c>
    </row>
    <row r="1848" spans="36:36" ht="12" customHeight="1" x14ac:dyDescent="0.25">
      <c r="AJ1848" t="str">
        <f>IF(AI1848="", "", AI1848&amp;"["&amp;#REF!&amp;"]")</f>
        <v/>
      </c>
    </row>
    <row r="1849" spans="36:36" ht="12" customHeight="1" x14ac:dyDescent="0.25">
      <c r="AJ1849" t="str">
        <f>IF(AI1849="", "", AI1849&amp;"["&amp;#REF!&amp;"]")</f>
        <v/>
      </c>
    </row>
    <row r="1850" spans="36:36" ht="12" customHeight="1" x14ac:dyDescent="0.25">
      <c r="AJ1850" t="str">
        <f>IF(AI1850="", "", AI1850&amp;"["&amp;#REF!&amp;"]")</f>
        <v/>
      </c>
    </row>
    <row r="1851" spans="36:36" ht="12" customHeight="1" x14ac:dyDescent="0.25">
      <c r="AJ1851" t="str">
        <f>IF(AI1851="", "", AI1851&amp;"["&amp;#REF!&amp;"]")</f>
        <v/>
      </c>
    </row>
    <row r="1852" spans="36:36" ht="12" customHeight="1" x14ac:dyDescent="0.25">
      <c r="AJ1852" t="str">
        <f>IF(AI1852="", "", AI1852&amp;"["&amp;#REF!&amp;"]")</f>
        <v/>
      </c>
    </row>
    <row r="1853" spans="36:36" ht="12" customHeight="1" x14ac:dyDescent="0.25">
      <c r="AJ1853" t="str">
        <f>IF(AI1853="", "", AI1853&amp;"["&amp;#REF!&amp;"]")</f>
        <v/>
      </c>
    </row>
    <row r="1854" spans="36:36" ht="12" customHeight="1" x14ac:dyDescent="0.25">
      <c r="AJ1854" t="str">
        <f>IF(AI1854="", "", AI1854&amp;"["&amp;#REF!&amp;"]")</f>
        <v/>
      </c>
    </row>
    <row r="1855" spans="36:36" ht="12" customHeight="1" x14ac:dyDescent="0.25">
      <c r="AJ1855" t="str">
        <f>IF(AI1855="", "", AI1855&amp;"["&amp;#REF!&amp;"]")</f>
        <v/>
      </c>
    </row>
    <row r="1856" spans="36:36" ht="12" customHeight="1" x14ac:dyDescent="0.25">
      <c r="AJ1856" t="str">
        <f>IF(AI1856="", "", AI1856&amp;"["&amp;#REF!&amp;"]")</f>
        <v/>
      </c>
    </row>
    <row r="1857" spans="36:36" ht="12" customHeight="1" x14ac:dyDescent="0.25">
      <c r="AJ1857" t="str">
        <f>IF(AI1857="", "", AI1857&amp;"["&amp;#REF!&amp;"]")</f>
        <v/>
      </c>
    </row>
    <row r="1858" spans="36:36" ht="12" customHeight="1" x14ac:dyDescent="0.25">
      <c r="AJ1858" t="str">
        <f>IF(AI1858="", "", AI1858&amp;"["&amp;#REF!&amp;"]")</f>
        <v/>
      </c>
    </row>
    <row r="1859" spans="36:36" ht="12" customHeight="1" x14ac:dyDescent="0.25">
      <c r="AJ1859" t="str">
        <f>IF(AI1859="", "", AI1859&amp;"["&amp;#REF!&amp;"]")</f>
        <v/>
      </c>
    </row>
    <row r="1860" spans="36:36" ht="12" customHeight="1" x14ac:dyDescent="0.25">
      <c r="AJ1860" t="str">
        <f>IF(AI1860="", "", AI1860&amp;"["&amp;#REF!&amp;"]")</f>
        <v/>
      </c>
    </row>
    <row r="1861" spans="36:36" ht="12" customHeight="1" x14ac:dyDescent="0.25">
      <c r="AJ1861" t="str">
        <f>IF(AI1861="", "", AI1861&amp;"["&amp;#REF!&amp;"]")</f>
        <v/>
      </c>
    </row>
    <row r="1862" spans="36:36" ht="12" customHeight="1" x14ac:dyDescent="0.25">
      <c r="AJ1862" t="str">
        <f>IF(AI1862="", "", AI1862&amp;"["&amp;#REF!&amp;"]")</f>
        <v/>
      </c>
    </row>
    <row r="1863" spans="36:36" ht="12" customHeight="1" x14ac:dyDescent="0.25">
      <c r="AJ1863" t="str">
        <f>IF(AI1863="", "", AI1863&amp;"["&amp;#REF!&amp;"]")</f>
        <v/>
      </c>
    </row>
    <row r="1864" spans="36:36" ht="12" customHeight="1" x14ac:dyDescent="0.25">
      <c r="AJ1864" t="str">
        <f>IF(AI1864="", "", AI1864&amp;"["&amp;#REF!&amp;"]")</f>
        <v/>
      </c>
    </row>
    <row r="1865" spans="36:36" ht="12" customHeight="1" x14ac:dyDescent="0.25">
      <c r="AJ1865" t="str">
        <f>IF(AI1865="", "", AI1865&amp;"["&amp;#REF!&amp;"]")</f>
        <v/>
      </c>
    </row>
    <row r="1866" spans="36:36" ht="12" customHeight="1" x14ac:dyDescent="0.25">
      <c r="AJ1866" t="str">
        <f>IF(AI1866="", "", AI1866&amp;"["&amp;#REF!&amp;"]")</f>
        <v/>
      </c>
    </row>
    <row r="1867" spans="36:36" ht="12" customHeight="1" x14ac:dyDescent="0.25">
      <c r="AJ1867" t="str">
        <f>IF(AI1867="", "", AI1867&amp;"["&amp;#REF!&amp;"]")</f>
        <v/>
      </c>
    </row>
    <row r="1868" spans="36:36" ht="12" customHeight="1" x14ac:dyDescent="0.25">
      <c r="AJ1868" t="str">
        <f>IF(AI1868="", "", AI1868&amp;"["&amp;#REF!&amp;"]")</f>
        <v/>
      </c>
    </row>
    <row r="1869" spans="36:36" ht="12" customHeight="1" x14ac:dyDescent="0.25">
      <c r="AJ1869" t="str">
        <f>IF(AI1869="", "", AI1869&amp;"["&amp;#REF!&amp;"]")</f>
        <v/>
      </c>
    </row>
    <row r="1870" spans="36:36" ht="12" customHeight="1" x14ac:dyDescent="0.25">
      <c r="AJ1870" t="str">
        <f>IF(AI1870="", "", AI1870&amp;"["&amp;#REF!&amp;"]")</f>
        <v/>
      </c>
    </row>
    <row r="1871" spans="36:36" ht="12" customHeight="1" x14ac:dyDescent="0.25">
      <c r="AJ1871" t="str">
        <f>IF(AI1871="", "", AI1871&amp;"["&amp;#REF!&amp;"]")</f>
        <v/>
      </c>
    </row>
    <row r="1872" spans="36:36" ht="12" customHeight="1" x14ac:dyDescent="0.25">
      <c r="AJ1872" t="str">
        <f>IF(AI1872="", "", AI1872&amp;"["&amp;#REF!&amp;"]")</f>
        <v/>
      </c>
    </row>
    <row r="1873" spans="36:36" ht="12" customHeight="1" x14ac:dyDescent="0.25">
      <c r="AJ1873" t="str">
        <f>IF(AI1873="", "", AI1873&amp;"["&amp;#REF!&amp;"]")</f>
        <v/>
      </c>
    </row>
    <row r="1874" spans="36:36" ht="12" customHeight="1" x14ac:dyDescent="0.25">
      <c r="AJ1874" t="str">
        <f>IF(AI1874="", "", AI1874&amp;"["&amp;#REF!&amp;"]")</f>
        <v/>
      </c>
    </row>
    <row r="1875" spans="36:36" ht="12" customHeight="1" x14ac:dyDescent="0.25">
      <c r="AJ1875" t="str">
        <f>IF(AI1875="", "", AI1875&amp;"["&amp;#REF!&amp;"]")</f>
        <v/>
      </c>
    </row>
    <row r="1876" spans="36:36" ht="12" customHeight="1" x14ac:dyDescent="0.25">
      <c r="AJ1876" t="str">
        <f>IF(AI1876="", "", AI1876&amp;"["&amp;#REF!&amp;"]")</f>
        <v/>
      </c>
    </row>
    <row r="1877" spans="36:36" ht="12" customHeight="1" x14ac:dyDescent="0.25">
      <c r="AJ1877" t="str">
        <f>IF(AI1877="", "", AI1877&amp;"["&amp;#REF!&amp;"]")</f>
        <v/>
      </c>
    </row>
    <row r="1878" spans="36:36" ht="12" customHeight="1" x14ac:dyDescent="0.25">
      <c r="AJ1878" t="str">
        <f>IF(AI1878="", "", AI1878&amp;"["&amp;#REF!&amp;"]")</f>
        <v/>
      </c>
    </row>
    <row r="1879" spans="36:36" ht="12" customHeight="1" x14ac:dyDescent="0.25">
      <c r="AJ1879" t="str">
        <f>IF(AI1879="", "", AI1879&amp;"["&amp;#REF!&amp;"]")</f>
        <v/>
      </c>
    </row>
    <row r="1880" spans="36:36" ht="12" customHeight="1" x14ac:dyDescent="0.25">
      <c r="AJ1880" t="str">
        <f>IF(AI1880="", "", AI1880&amp;"["&amp;#REF!&amp;"]")</f>
        <v/>
      </c>
    </row>
    <row r="1881" spans="36:36" ht="12" customHeight="1" x14ac:dyDescent="0.25">
      <c r="AJ1881" t="str">
        <f>IF(AI1881="", "", AI1881&amp;"["&amp;#REF!&amp;"]")</f>
        <v/>
      </c>
    </row>
    <row r="1882" spans="36:36" ht="12" customHeight="1" x14ac:dyDescent="0.25">
      <c r="AJ1882" t="str">
        <f>IF(AI1882="", "", AI1882&amp;"["&amp;#REF!&amp;"]")</f>
        <v/>
      </c>
    </row>
    <row r="1883" spans="36:36" ht="12" customHeight="1" x14ac:dyDescent="0.25">
      <c r="AJ1883" t="str">
        <f>IF(AI1883="", "", AI1883&amp;"["&amp;#REF!&amp;"]")</f>
        <v/>
      </c>
    </row>
    <row r="1884" spans="36:36" ht="12" customHeight="1" x14ac:dyDescent="0.25">
      <c r="AJ1884" t="str">
        <f>IF(AI1884="", "", AI1884&amp;"["&amp;#REF!&amp;"]")</f>
        <v/>
      </c>
    </row>
    <row r="1885" spans="36:36" ht="12" customHeight="1" x14ac:dyDescent="0.25">
      <c r="AJ1885" t="str">
        <f>IF(AI1885="", "", AI1885&amp;"["&amp;#REF!&amp;"]")</f>
        <v/>
      </c>
    </row>
    <row r="1886" spans="36:36" ht="12" customHeight="1" x14ac:dyDescent="0.25">
      <c r="AJ1886" t="str">
        <f>IF(AI1886="", "", AI1886&amp;"["&amp;#REF!&amp;"]")</f>
        <v/>
      </c>
    </row>
    <row r="1887" spans="36:36" ht="12" customHeight="1" x14ac:dyDescent="0.25">
      <c r="AJ1887" t="str">
        <f>IF(AI1887="", "", AI1887&amp;"["&amp;#REF!&amp;"]")</f>
        <v/>
      </c>
    </row>
    <row r="1888" spans="36:36" ht="12" customHeight="1" x14ac:dyDescent="0.25">
      <c r="AJ1888" t="str">
        <f>IF(AI1888="", "", AI1888&amp;"["&amp;#REF!&amp;"]")</f>
        <v/>
      </c>
    </row>
    <row r="1889" spans="36:36" ht="12" customHeight="1" x14ac:dyDescent="0.25">
      <c r="AJ1889" t="str">
        <f>IF(AI1889="", "", AI1889&amp;"["&amp;#REF!&amp;"]")</f>
        <v/>
      </c>
    </row>
    <row r="1890" spans="36:36" ht="12" customHeight="1" x14ac:dyDescent="0.25">
      <c r="AJ1890" t="str">
        <f>IF(AI1890="", "", AI1890&amp;"["&amp;#REF!&amp;"]")</f>
        <v/>
      </c>
    </row>
    <row r="1891" spans="36:36" ht="12" customHeight="1" x14ac:dyDescent="0.25">
      <c r="AJ1891" t="str">
        <f>IF(AI1891="", "", AI1891&amp;"["&amp;#REF!&amp;"]")</f>
        <v/>
      </c>
    </row>
    <row r="1892" spans="36:36" ht="12" customHeight="1" x14ac:dyDescent="0.25">
      <c r="AJ1892" t="str">
        <f>IF(AI1892="", "", AI1892&amp;"["&amp;#REF!&amp;"]")</f>
        <v/>
      </c>
    </row>
    <row r="1893" spans="36:36" ht="12" customHeight="1" x14ac:dyDescent="0.25">
      <c r="AJ1893" t="str">
        <f>IF(AI1893="", "", AI1893&amp;"["&amp;#REF!&amp;"]")</f>
        <v/>
      </c>
    </row>
    <row r="1894" spans="36:36" ht="12" customHeight="1" x14ac:dyDescent="0.25">
      <c r="AJ1894" t="str">
        <f>IF(AI1894="", "", AI1894&amp;"["&amp;#REF!&amp;"]")</f>
        <v/>
      </c>
    </row>
    <row r="1895" spans="36:36" ht="12" customHeight="1" x14ac:dyDescent="0.25">
      <c r="AJ1895" t="str">
        <f>IF(AI1895="", "", AI1895&amp;"["&amp;#REF!&amp;"]")</f>
        <v/>
      </c>
    </row>
    <row r="1896" spans="36:36" ht="12" customHeight="1" x14ac:dyDescent="0.25">
      <c r="AJ1896" t="str">
        <f>IF(AI1896="", "", AI1896&amp;"["&amp;#REF!&amp;"]")</f>
        <v/>
      </c>
    </row>
    <row r="1897" spans="36:36" ht="12" customHeight="1" x14ac:dyDescent="0.25">
      <c r="AJ1897" t="str">
        <f>IF(AI1897="", "", AI1897&amp;"["&amp;#REF!&amp;"]")</f>
        <v/>
      </c>
    </row>
    <row r="1898" spans="36:36" ht="12" customHeight="1" x14ac:dyDescent="0.25">
      <c r="AJ1898" t="str">
        <f>IF(AI1898="", "", AI1898&amp;"["&amp;#REF!&amp;"]")</f>
        <v/>
      </c>
    </row>
    <row r="1899" spans="36:36" ht="12" customHeight="1" x14ac:dyDescent="0.25">
      <c r="AJ1899" t="str">
        <f>IF(AI1899="", "", AI1899&amp;"["&amp;#REF!&amp;"]")</f>
        <v/>
      </c>
    </row>
    <row r="1900" spans="36:36" ht="12" customHeight="1" x14ac:dyDescent="0.25">
      <c r="AJ1900" t="str">
        <f>IF(AI1900="", "", AI1900&amp;"["&amp;#REF!&amp;"]")</f>
        <v/>
      </c>
    </row>
    <row r="1901" spans="36:36" ht="12" customHeight="1" x14ac:dyDescent="0.25">
      <c r="AJ1901" t="str">
        <f>IF(AI1901="", "", AI1901&amp;"["&amp;#REF!&amp;"]")</f>
        <v/>
      </c>
    </row>
    <row r="1902" spans="36:36" ht="12" customHeight="1" x14ac:dyDescent="0.25">
      <c r="AJ1902" t="str">
        <f>IF(AI1902="", "", AI1902&amp;"["&amp;#REF!&amp;"]")</f>
        <v/>
      </c>
    </row>
    <row r="1903" spans="36:36" ht="12" customHeight="1" x14ac:dyDescent="0.25">
      <c r="AJ1903" t="str">
        <f>IF(AI1903="", "", AI1903&amp;"["&amp;#REF!&amp;"]")</f>
        <v/>
      </c>
    </row>
    <row r="1904" spans="36:36" ht="12" customHeight="1" x14ac:dyDescent="0.25">
      <c r="AJ1904" t="str">
        <f>IF(AI1904="", "", AI1904&amp;"["&amp;#REF!&amp;"]")</f>
        <v/>
      </c>
    </row>
    <row r="1905" spans="36:36" ht="12" customHeight="1" x14ac:dyDescent="0.25">
      <c r="AJ1905" t="str">
        <f>IF(AI1905="", "", AI1905&amp;"["&amp;#REF!&amp;"]")</f>
        <v/>
      </c>
    </row>
    <row r="1906" spans="36:36" ht="12" customHeight="1" x14ac:dyDescent="0.25">
      <c r="AJ1906" t="str">
        <f>IF(AI1906="", "", AI1906&amp;"["&amp;#REF!&amp;"]")</f>
        <v/>
      </c>
    </row>
    <row r="1907" spans="36:36" ht="12" customHeight="1" x14ac:dyDescent="0.25">
      <c r="AJ1907" t="str">
        <f>IF(AI1907="", "", AI1907&amp;"["&amp;#REF!&amp;"]")</f>
        <v/>
      </c>
    </row>
    <row r="1908" spans="36:36" ht="12" customHeight="1" x14ac:dyDescent="0.25">
      <c r="AJ1908" t="str">
        <f>IF(AI1908="", "", AI1908&amp;"["&amp;#REF!&amp;"]")</f>
        <v/>
      </c>
    </row>
    <row r="1909" spans="36:36" ht="12" customHeight="1" x14ac:dyDescent="0.25">
      <c r="AJ1909" t="str">
        <f>IF(AI1909="", "", AI1909&amp;"["&amp;#REF!&amp;"]")</f>
        <v/>
      </c>
    </row>
    <row r="1910" spans="36:36" ht="12" customHeight="1" x14ac:dyDescent="0.25">
      <c r="AJ1910" t="str">
        <f>IF(AI1910="", "", AI1910&amp;"["&amp;#REF!&amp;"]")</f>
        <v/>
      </c>
    </row>
    <row r="1911" spans="36:36" ht="12" customHeight="1" x14ac:dyDescent="0.25">
      <c r="AJ1911" t="str">
        <f>IF(AI1911="", "", AI1911&amp;"["&amp;#REF!&amp;"]")</f>
        <v/>
      </c>
    </row>
    <row r="1912" spans="36:36" ht="12" customHeight="1" x14ac:dyDescent="0.25">
      <c r="AJ1912" t="str">
        <f>IF(AI1912="", "", AI1912&amp;"["&amp;#REF!&amp;"]")</f>
        <v/>
      </c>
    </row>
    <row r="1913" spans="36:36" ht="12" customHeight="1" x14ac:dyDescent="0.25">
      <c r="AJ1913" t="str">
        <f>IF(AI1913="", "", AI1913&amp;"["&amp;#REF!&amp;"]")</f>
        <v/>
      </c>
    </row>
    <row r="1914" spans="36:36" ht="12" customHeight="1" x14ac:dyDescent="0.25">
      <c r="AJ1914" t="str">
        <f>IF(AI1914="", "", AI1914&amp;"["&amp;#REF!&amp;"]")</f>
        <v/>
      </c>
    </row>
    <row r="1915" spans="36:36" ht="12" customHeight="1" x14ac:dyDescent="0.25">
      <c r="AJ1915" t="str">
        <f>IF(AI1915="", "", AI1915&amp;"["&amp;#REF!&amp;"]")</f>
        <v/>
      </c>
    </row>
    <row r="1916" spans="36:36" ht="12" customHeight="1" x14ac:dyDescent="0.25">
      <c r="AJ1916" t="str">
        <f>IF(AI1916="", "", AI1916&amp;"["&amp;#REF!&amp;"]")</f>
        <v/>
      </c>
    </row>
    <row r="1917" spans="36:36" ht="12" customHeight="1" x14ac:dyDescent="0.25">
      <c r="AJ1917" t="str">
        <f>IF(AI1917="", "", AI1917&amp;"["&amp;#REF!&amp;"]")</f>
        <v/>
      </c>
    </row>
    <row r="1918" spans="36:36" ht="12" customHeight="1" x14ac:dyDescent="0.25">
      <c r="AJ1918" t="str">
        <f>IF(AI1918="", "", AI1918&amp;"["&amp;#REF!&amp;"]")</f>
        <v/>
      </c>
    </row>
    <row r="1919" spans="36:36" ht="12" customHeight="1" x14ac:dyDescent="0.25">
      <c r="AJ1919" t="str">
        <f>IF(AI1919="", "", AI1919&amp;"["&amp;#REF!&amp;"]")</f>
        <v/>
      </c>
    </row>
    <row r="1920" spans="36:36" ht="12" customHeight="1" x14ac:dyDescent="0.25">
      <c r="AJ1920" t="str">
        <f>IF(AI1920="", "", AI1920&amp;"["&amp;#REF!&amp;"]")</f>
        <v/>
      </c>
    </row>
    <row r="1921" spans="36:36" ht="12" customHeight="1" x14ac:dyDescent="0.25">
      <c r="AJ1921" t="str">
        <f>IF(AI1921="", "", AI1921&amp;"["&amp;#REF!&amp;"]")</f>
        <v/>
      </c>
    </row>
    <row r="1922" spans="36:36" ht="12" customHeight="1" x14ac:dyDescent="0.25">
      <c r="AJ1922" t="str">
        <f>IF(AI1922="", "", AI1922&amp;"["&amp;#REF!&amp;"]")</f>
        <v/>
      </c>
    </row>
    <row r="1923" spans="36:36" ht="12" customHeight="1" x14ac:dyDescent="0.25">
      <c r="AJ1923" t="str">
        <f>IF(AI1923="", "", AI1923&amp;"["&amp;#REF!&amp;"]")</f>
        <v/>
      </c>
    </row>
    <row r="1924" spans="36:36" ht="12" customHeight="1" x14ac:dyDescent="0.25">
      <c r="AJ1924" t="str">
        <f>IF(AI1924="", "", AI1924&amp;"["&amp;#REF!&amp;"]")</f>
        <v/>
      </c>
    </row>
    <row r="1925" spans="36:36" ht="12" customHeight="1" x14ac:dyDescent="0.25">
      <c r="AJ1925" t="str">
        <f>IF(AI1925="", "", AI1925&amp;"["&amp;#REF!&amp;"]")</f>
        <v/>
      </c>
    </row>
    <row r="1926" spans="36:36" ht="12" customHeight="1" x14ac:dyDescent="0.25">
      <c r="AJ1926" t="str">
        <f>IF(AI1926="", "", AI1926&amp;"["&amp;#REF!&amp;"]")</f>
        <v/>
      </c>
    </row>
    <row r="1927" spans="36:36" ht="12" customHeight="1" x14ac:dyDescent="0.25">
      <c r="AJ1927" t="str">
        <f>IF(AI1927="", "", AI1927&amp;"["&amp;#REF!&amp;"]")</f>
        <v/>
      </c>
    </row>
    <row r="1928" spans="36:36" ht="12" customHeight="1" x14ac:dyDescent="0.25">
      <c r="AJ1928" t="str">
        <f>IF(AI1928="", "", AI1928&amp;"["&amp;#REF!&amp;"]")</f>
        <v/>
      </c>
    </row>
    <row r="1929" spans="36:36" ht="12" customHeight="1" x14ac:dyDescent="0.25">
      <c r="AJ1929" t="str">
        <f>IF(AI1929="", "", AI1929&amp;"["&amp;#REF!&amp;"]")</f>
        <v/>
      </c>
    </row>
    <row r="1930" spans="36:36" ht="12" customHeight="1" x14ac:dyDescent="0.25">
      <c r="AJ1930" t="str">
        <f>IF(AI1930="", "", AI1930&amp;"["&amp;#REF!&amp;"]")</f>
        <v/>
      </c>
    </row>
    <row r="1931" spans="36:36" ht="12" customHeight="1" x14ac:dyDescent="0.25">
      <c r="AJ1931" t="str">
        <f>IF(AI1931="", "", AI1931&amp;"["&amp;#REF!&amp;"]")</f>
        <v/>
      </c>
    </row>
    <row r="1932" spans="36:36" ht="12" customHeight="1" x14ac:dyDescent="0.25">
      <c r="AJ1932" t="str">
        <f>IF(AI1932="", "", AI1932&amp;"["&amp;#REF!&amp;"]")</f>
        <v/>
      </c>
    </row>
    <row r="1933" spans="36:36" ht="12" customHeight="1" x14ac:dyDescent="0.25">
      <c r="AJ1933" t="str">
        <f>IF(AI1933="", "", AI1933&amp;"["&amp;#REF!&amp;"]")</f>
        <v/>
      </c>
    </row>
    <row r="1934" spans="36:36" ht="12" customHeight="1" x14ac:dyDescent="0.25">
      <c r="AJ1934" t="str">
        <f>IF(AI1934="", "", AI1934&amp;"["&amp;#REF!&amp;"]")</f>
        <v/>
      </c>
    </row>
    <row r="1935" spans="36:36" ht="12" customHeight="1" x14ac:dyDescent="0.25">
      <c r="AJ1935" t="str">
        <f>IF(AI1935="", "", AI1935&amp;"["&amp;#REF!&amp;"]")</f>
        <v/>
      </c>
    </row>
    <row r="1936" spans="36:36" ht="12" customHeight="1" x14ac:dyDescent="0.25">
      <c r="AJ1936" t="str">
        <f>IF(AI1936="", "", AI1936&amp;"["&amp;#REF!&amp;"]")</f>
        <v/>
      </c>
    </row>
    <row r="1937" spans="36:36" ht="12" customHeight="1" x14ac:dyDescent="0.25">
      <c r="AJ1937" t="str">
        <f>IF(AI1937="", "", AI1937&amp;"["&amp;#REF!&amp;"]")</f>
        <v/>
      </c>
    </row>
    <row r="1938" spans="36:36" ht="12" customHeight="1" x14ac:dyDescent="0.25">
      <c r="AJ1938" t="str">
        <f>IF(AI1938="", "", AI1938&amp;"["&amp;#REF!&amp;"]")</f>
        <v/>
      </c>
    </row>
    <row r="1939" spans="36:36" ht="12" customHeight="1" x14ac:dyDescent="0.25">
      <c r="AJ1939" t="str">
        <f>IF(AI1939="", "", AI1939&amp;"["&amp;#REF!&amp;"]")</f>
        <v/>
      </c>
    </row>
    <row r="1940" spans="36:36" ht="12" customHeight="1" x14ac:dyDescent="0.25">
      <c r="AJ1940" t="str">
        <f>IF(AI1940="", "", AI1940&amp;"["&amp;#REF!&amp;"]")</f>
        <v/>
      </c>
    </row>
    <row r="1941" spans="36:36" ht="12" customHeight="1" x14ac:dyDescent="0.25">
      <c r="AJ1941" t="str">
        <f>IF(AI1941="", "", AI1941&amp;"["&amp;#REF!&amp;"]")</f>
        <v/>
      </c>
    </row>
    <row r="1942" spans="36:36" ht="12" customHeight="1" x14ac:dyDescent="0.25">
      <c r="AJ1942" t="str">
        <f>IF(AI1942="", "", AI1942&amp;"["&amp;#REF!&amp;"]")</f>
        <v/>
      </c>
    </row>
    <row r="1943" spans="36:36" ht="12" customHeight="1" x14ac:dyDescent="0.25">
      <c r="AJ1943" t="str">
        <f>IF(AI1943="", "", AI1943&amp;"["&amp;#REF!&amp;"]")</f>
        <v/>
      </c>
    </row>
    <row r="1944" spans="36:36" ht="12" customHeight="1" x14ac:dyDescent="0.25">
      <c r="AJ1944" t="str">
        <f>IF(AI1944="", "", AI1944&amp;"["&amp;#REF!&amp;"]")</f>
        <v/>
      </c>
    </row>
    <row r="1945" spans="36:36" ht="12" customHeight="1" x14ac:dyDescent="0.25">
      <c r="AJ1945" t="str">
        <f>IF(AI1945="", "", AI1945&amp;"["&amp;#REF!&amp;"]")</f>
        <v/>
      </c>
    </row>
    <row r="1946" spans="36:36" ht="12" customHeight="1" x14ac:dyDescent="0.25">
      <c r="AJ1946" t="str">
        <f>IF(AI1946="", "", AI1946&amp;"["&amp;#REF!&amp;"]")</f>
        <v/>
      </c>
    </row>
    <row r="1947" spans="36:36" ht="12" customHeight="1" x14ac:dyDescent="0.25">
      <c r="AJ1947" t="str">
        <f>IF(AI1947="", "", AI1947&amp;"["&amp;#REF!&amp;"]")</f>
        <v/>
      </c>
    </row>
    <row r="1948" spans="36:36" ht="12" customHeight="1" x14ac:dyDescent="0.25">
      <c r="AJ1948" t="str">
        <f>IF(AI1948="", "", AI1948&amp;"["&amp;#REF!&amp;"]")</f>
        <v/>
      </c>
    </row>
    <row r="1949" spans="36:36" ht="12" customHeight="1" x14ac:dyDescent="0.25">
      <c r="AJ1949" t="str">
        <f>IF(AI1949="", "", AI1949&amp;"["&amp;#REF!&amp;"]")</f>
        <v/>
      </c>
    </row>
    <row r="1950" spans="36:36" ht="12" customHeight="1" x14ac:dyDescent="0.25">
      <c r="AJ1950" t="str">
        <f>IF(AI1950="", "", AI1950&amp;"["&amp;#REF!&amp;"]")</f>
        <v/>
      </c>
    </row>
    <row r="1951" spans="36:36" ht="12" customHeight="1" x14ac:dyDescent="0.25">
      <c r="AJ1951" t="str">
        <f>IF(AI1951="", "", AI1951&amp;"["&amp;#REF!&amp;"]")</f>
        <v/>
      </c>
    </row>
    <row r="1952" spans="36:36" ht="12" customHeight="1" x14ac:dyDescent="0.25">
      <c r="AJ1952" t="str">
        <f>IF(AI1952="", "", AI1952&amp;"["&amp;#REF!&amp;"]")</f>
        <v/>
      </c>
    </row>
    <row r="1953" spans="36:36" ht="12" customHeight="1" x14ac:dyDescent="0.25">
      <c r="AJ1953" t="str">
        <f>IF(AI1953="", "", AI1953&amp;"["&amp;#REF!&amp;"]")</f>
        <v/>
      </c>
    </row>
    <row r="1954" spans="36:36" ht="12" customHeight="1" x14ac:dyDescent="0.25">
      <c r="AJ1954" t="str">
        <f>IF(AI1954="", "", AI1954&amp;"["&amp;#REF!&amp;"]")</f>
        <v/>
      </c>
    </row>
    <row r="1955" spans="36:36" ht="12" customHeight="1" x14ac:dyDescent="0.25">
      <c r="AJ1955" t="str">
        <f>IF(AI1955="", "", AI1955&amp;"["&amp;#REF!&amp;"]")</f>
        <v/>
      </c>
    </row>
    <row r="1956" spans="36:36" ht="12" customHeight="1" x14ac:dyDescent="0.25">
      <c r="AJ1956" t="str">
        <f>IF(AI1956="", "", AI1956&amp;"["&amp;#REF!&amp;"]")</f>
        <v/>
      </c>
    </row>
    <row r="1957" spans="36:36" ht="12" customHeight="1" x14ac:dyDescent="0.25">
      <c r="AJ1957" t="str">
        <f>IF(AI1957="", "", AI1957&amp;"["&amp;#REF!&amp;"]")</f>
        <v/>
      </c>
    </row>
    <row r="1958" spans="36:36" ht="12" customHeight="1" x14ac:dyDescent="0.25">
      <c r="AJ1958" t="str">
        <f>IF(AI1958="", "", AI1958&amp;"["&amp;#REF!&amp;"]")</f>
        <v/>
      </c>
    </row>
    <row r="1959" spans="36:36" ht="12" customHeight="1" x14ac:dyDescent="0.25">
      <c r="AJ1959" t="str">
        <f>IF(AI1959="", "", AI1959&amp;"["&amp;#REF!&amp;"]")</f>
        <v/>
      </c>
    </row>
    <row r="1960" spans="36:36" ht="12" customHeight="1" x14ac:dyDescent="0.25">
      <c r="AJ1960" t="str">
        <f>IF(AI1960="", "", AI1960&amp;"["&amp;#REF!&amp;"]")</f>
        <v/>
      </c>
    </row>
    <row r="1961" spans="36:36" ht="12" customHeight="1" x14ac:dyDescent="0.25">
      <c r="AJ1961" t="str">
        <f>IF(AI1961="", "", AI1961&amp;"["&amp;#REF!&amp;"]")</f>
        <v/>
      </c>
    </row>
    <row r="1962" spans="36:36" ht="12" customHeight="1" x14ac:dyDescent="0.25">
      <c r="AJ1962" t="str">
        <f>IF(AI1962="", "", AI1962&amp;"["&amp;#REF!&amp;"]")</f>
        <v/>
      </c>
    </row>
    <row r="1963" spans="36:36" ht="12" customHeight="1" x14ac:dyDescent="0.25">
      <c r="AJ1963" t="str">
        <f>IF(AI1963="", "", AI1963&amp;"["&amp;#REF!&amp;"]")</f>
        <v/>
      </c>
    </row>
    <row r="1964" spans="36:36" ht="12" customHeight="1" x14ac:dyDescent="0.25">
      <c r="AJ1964" t="str">
        <f>IF(AI1964="", "", AI1964&amp;"["&amp;#REF!&amp;"]")</f>
        <v/>
      </c>
    </row>
    <row r="1965" spans="36:36" ht="12" customHeight="1" x14ac:dyDescent="0.25">
      <c r="AJ1965" t="str">
        <f>IF(AI1965="", "", AI1965&amp;"["&amp;#REF!&amp;"]")</f>
        <v/>
      </c>
    </row>
    <row r="1966" spans="36:36" ht="12" customHeight="1" x14ac:dyDescent="0.25">
      <c r="AJ1966" t="str">
        <f>IF(AI1966="", "", AI1966&amp;"["&amp;#REF!&amp;"]")</f>
        <v/>
      </c>
    </row>
    <row r="1967" spans="36:36" ht="12" customHeight="1" x14ac:dyDescent="0.25">
      <c r="AJ1967" t="str">
        <f>IF(AI1967="", "", AI1967&amp;"["&amp;#REF!&amp;"]")</f>
        <v/>
      </c>
    </row>
    <row r="1968" spans="36:36" ht="12" customHeight="1" x14ac:dyDescent="0.25">
      <c r="AJ1968" t="str">
        <f>IF(AI1968="", "", AI1968&amp;"["&amp;#REF!&amp;"]")</f>
        <v/>
      </c>
    </row>
    <row r="1969" spans="36:36" ht="12" customHeight="1" x14ac:dyDescent="0.25">
      <c r="AJ1969" t="str">
        <f>IF(AI1969="", "", AI1969&amp;"["&amp;#REF!&amp;"]")</f>
        <v/>
      </c>
    </row>
    <row r="1970" spans="36:36" ht="12" customHeight="1" x14ac:dyDescent="0.25">
      <c r="AJ1970" t="str">
        <f>IF(AI1970="", "", AI1970&amp;"["&amp;#REF!&amp;"]")</f>
        <v/>
      </c>
    </row>
    <row r="1971" spans="36:36" ht="12" customHeight="1" x14ac:dyDescent="0.25">
      <c r="AJ1971" t="str">
        <f>IF(AI1971="", "", AI1971&amp;"["&amp;#REF!&amp;"]")</f>
        <v/>
      </c>
    </row>
    <row r="1972" spans="36:36" ht="12" customHeight="1" x14ac:dyDescent="0.25">
      <c r="AJ1972" t="str">
        <f>IF(AI1972="", "", AI1972&amp;"["&amp;#REF!&amp;"]")</f>
        <v/>
      </c>
    </row>
    <row r="1973" spans="36:36" ht="12" customHeight="1" x14ac:dyDescent="0.25">
      <c r="AJ1973" t="str">
        <f>IF(AI1973="", "", AI1973&amp;"["&amp;#REF!&amp;"]")</f>
        <v/>
      </c>
    </row>
    <row r="1974" spans="36:36" ht="12" customHeight="1" x14ac:dyDescent="0.25">
      <c r="AJ1974" t="str">
        <f>IF(AI1974="", "", AI1974&amp;"["&amp;#REF!&amp;"]")</f>
        <v/>
      </c>
    </row>
    <row r="1975" spans="36:36" ht="12" customHeight="1" x14ac:dyDescent="0.25">
      <c r="AJ1975" t="str">
        <f>IF(AI1975="", "", AI1975&amp;"["&amp;#REF!&amp;"]")</f>
        <v/>
      </c>
    </row>
    <row r="1976" spans="36:36" ht="12" customHeight="1" x14ac:dyDescent="0.25">
      <c r="AJ1976" t="str">
        <f>IF(AI1976="", "", AI1976&amp;"["&amp;#REF!&amp;"]")</f>
        <v/>
      </c>
    </row>
    <row r="1977" spans="36:36" ht="12" customHeight="1" x14ac:dyDescent="0.25">
      <c r="AJ1977" t="str">
        <f>IF(AI1977="", "", AI1977&amp;"["&amp;#REF!&amp;"]")</f>
        <v/>
      </c>
    </row>
    <row r="1978" spans="36:36" ht="12" customHeight="1" x14ac:dyDescent="0.25">
      <c r="AJ1978" t="str">
        <f>IF(AI1978="", "", AI1978&amp;"["&amp;#REF!&amp;"]")</f>
        <v/>
      </c>
    </row>
    <row r="1979" spans="36:36" ht="12" customHeight="1" x14ac:dyDescent="0.25">
      <c r="AJ1979" t="str">
        <f>IF(AI1979="", "", AI1979&amp;"["&amp;#REF!&amp;"]")</f>
        <v/>
      </c>
    </row>
    <row r="1980" spans="36:36" ht="12" customHeight="1" x14ac:dyDescent="0.25">
      <c r="AJ1980" t="str">
        <f>IF(AI1980="", "", AI1980&amp;"["&amp;#REF!&amp;"]")</f>
        <v/>
      </c>
    </row>
    <row r="1981" spans="36:36" ht="12" customHeight="1" x14ac:dyDescent="0.25">
      <c r="AJ1981" t="str">
        <f>IF(AI1981="", "", AI1981&amp;"["&amp;#REF!&amp;"]")</f>
        <v/>
      </c>
    </row>
    <row r="1982" spans="36:36" ht="12" customHeight="1" x14ac:dyDescent="0.25">
      <c r="AJ1982" t="str">
        <f>IF(AI1982="", "", AI1982&amp;"["&amp;#REF!&amp;"]")</f>
        <v/>
      </c>
    </row>
    <row r="1983" spans="36:36" ht="12" customHeight="1" x14ac:dyDescent="0.25">
      <c r="AJ1983" t="str">
        <f>IF(AI1983="", "", AI1983&amp;"["&amp;#REF!&amp;"]")</f>
        <v/>
      </c>
    </row>
    <row r="1984" spans="36:36" ht="12" customHeight="1" x14ac:dyDescent="0.25">
      <c r="AJ1984" t="str">
        <f>IF(AI1984="", "", AI1984&amp;"["&amp;#REF!&amp;"]")</f>
        <v/>
      </c>
    </row>
    <row r="1985" spans="36:36" ht="12" customHeight="1" x14ac:dyDescent="0.25">
      <c r="AJ1985" t="str">
        <f>IF(AI1985="", "", AI1985&amp;"["&amp;#REF!&amp;"]")</f>
        <v/>
      </c>
    </row>
    <row r="1986" spans="36:36" ht="12" customHeight="1" x14ac:dyDescent="0.25">
      <c r="AJ1986" t="str">
        <f>IF(AI1986="", "", AI1986&amp;"["&amp;#REF!&amp;"]")</f>
        <v/>
      </c>
    </row>
    <row r="1987" spans="36:36" ht="12" customHeight="1" x14ac:dyDescent="0.25">
      <c r="AJ1987" t="str">
        <f>IF(AI1987="", "", AI1987&amp;"["&amp;#REF!&amp;"]")</f>
        <v/>
      </c>
    </row>
    <row r="1988" spans="36:36" ht="12" customHeight="1" x14ac:dyDescent="0.25">
      <c r="AJ1988" t="str">
        <f>IF(AI1988="", "", AI1988&amp;"["&amp;#REF!&amp;"]")</f>
        <v/>
      </c>
    </row>
    <row r="1989" spans="36:36" ht="12" customHeight="1" x14ac:dyDescent="0.25">
      <c r="AJ1989" t="str">
        <f>IF(AI1989="", "", AI1989&amp;"["&amp;#REF!&amp;"]")</f>
        <v/>
      </c>
    </row>
    <row r="1990" spans="36:36" ht="12" customHeight="1" x14ac:dyDescent="0.25">
      <c r="AJ1990" t="str">
        <f>IF(AI1990="", "", AI1990&amp;"["&amp;#REF!&amp;"]")</f>
        <v/>
      </c>
    </row>
    <row r="1991" spans="36:36" ht="12" customHeight="1" x14ac:dyDescent="0.25">
      <c r="AJ1991" t="str">
        <f>IF(AI1991="", "", AI1991&amp;"["&amp;#REF!&amp;"]")</f>
        <v/>
      </c>
    </row>
    <row r="1992" spans="36:36" ht="12" customHeight="1" x14ac:dyDescent="0.25">
      <c r="AJ1992" t="str">
        <f>IF(AI1992="", "", AI1992&amp;"["&amp;#REF!&amp;"]")</f>
        <v/>
      </c>
    </row>
    <row r="1993" spans="36:36" ht="12" customHeight="1" x14ac:dyDescent="0.25">
      <c r="AJ1993" t="str">
        <f>IF(AI1993="", "", AI1993&amp;"["&amp;#REF!&amp;"]")</f>
        <v/>
      </c>
    </row>
    <row r="1994" spans="36:36" ht="12" customHeight="1" x14ac:dyDescent="0.25">
      <c r="AJ1994" t="str">
        <f>IF(AI1994="", "", AI1994&amp;"["&amp;#REF!&amp;"]")</f>
        <v/>
      </c>
    </row>
    <row r="1995" spans="36:36" ht="12" customHeight="1" x14ac:dyDescent="0.25">
      <c r="AJ1995" t="str">
        <f>IF(AI1995="", "", AI1995&amp;"["&amp;#REF!&amp;"]")</f>
        <v/>
      </c>
    </row>
    <row r="1996" spans="36:36" ht="12" customHeight="1" x14ac:dyDescent="0.25">
      <c r="AJ1996" t="str">
        <f>IF(AI1996="", "", AI1996&amp;"["&amp;#REF!&amp;"]")</f>
        <v/>
      </c>
    </row>
    <row r="1997" spans="36:36" ht="12" customHeight="1" x14ac:dyDescent="0.25">
      <c r="AJ1997" t="str">
        <f>IF(AI1997="", "", AI1997&amp;"["&amp;#REF!&amp;"]")</f>
        <v/>
      </c>
    </row>
    <row r="1998" spans="36:36" ht="12" customHeight="1" x14ac:dyDescent="0.25">
      <c r="AJ1998" t="str">
        <f>IF(AI1998="", "", AI1998&amp;"["&amp;#REF!&amp;"]")</f>
        <v/>
      </c>
    </row>
    <row r="1999" spans="36:36" ht="12" customHeight="1" x14ac:dyDescent="0.25">
      <c r="AJ1999" t="str">
        <f>IF(AI1999="", "", AI1999&amp;"["&amp;#REF!&amp;"]")</f>
        <v/>
      </c>
    </row>
    <row r="2000" spans="36:36" ht="12" customHeight="1" x14ac:dyDescent="0.25">
      <c r="AJ2000" t="str">
        <f>IF(AI2000="", "", AI2000&amp;"["&amp;#REF!&amp;"]")</f>
        <v/>
      </c>
    </row>
    <row r="2001" spans="36:36" ht="12" customHeight="1" x14ac:dyDescent="0.25">
      <c r="AJ2001" t="str">
        <f>IF(AI2001="", "", AI2001&amp;"["&amp;#REF!&amp;"]")</f>
        <v/>
      </c>
    </row>
    <row r="2002" spans="36:36" ht="12" customHeight="1" x14ac:dyDescent="0.25">
      <c r="AJ2002" t="str">
        <f>IF(AI2002="", "", AI2002&amp;"["&amp;#REF!&amp;"]")</f>
        <v/>
      </c>
    </row>
    <row r="2003" spans="36:36" ht="12" customHeight="1" x14ac:dyDescent="0.25">
      <c r="AJ2003" t="str">
        <f>IF(AI2003="", "", AI2003&amp;"["&amp;#REF!&amp;"]")</f>
        <v/>
      </c>
    </row>
    <row r="2004" spans="36:36" ht="12" customHeight="1" x14ac:dyDescent="0.25">
      <c r="AJ2004" t="str">
        <f>IF(AI2004="", "", AI2004&amp;"["&amp;#REF!&amp;"]")</f>
        <v/>
      </c>
    </row>
    <row r="2005" spans="36:36" ht="12" customHeight="1" x14ac:dyDescent="0.25">
      <c r="AJ2005" t="str">
        <f>IF(AI2005="", "", AI2005&amp;"["&amp;#REF!&amp;"]")</f>
        <v/>
      </c>
    </row>
    <row r="2006" spans="36:36" ht="12" customHeight="1" x14ac:dyDescent="0.25">
      <c r="AJ2006" t="str">
        <f>IF(AI2006="", "", AI2006&amp;"["&amp;#REF!&amp;"]")</f>
        <v/>
      </c>
    </row>
    <row r="2007" spans="36:36" ht="12" customHeight="1" x14ac:dyDescent="0.25">
      <c r="AJ2007" t="str">
        <f>IF(AI2007="", "", AI2007&amp;"["&amp;#REF!&amp;"]")</f>
        <v/>
      </c>
    </row>
    <row r="2008" spans="36:36" ht="12" customHeight="1" x14ac:dyDescent="0.25">
      <c r="AJ2008" t="str">
        <f>IF(AI2008="", "", AI2008&amp;"["&amp;#REF!&amp;"]")</f>
        <v/>
      </c>
    </row>
    <row r="2009" spans="36:36" ht="12" customHeight="1" x14ac:dyDescent="0.25">
      <c r="AJ2009" t="str">
        <f>IF(AI2009="", "", AI2009&amp;"["&amp;#REF!&amp;"]")</f>
        <v/>
      </c>
    </row>
    <row r="2010" spans="36:36" ht="12" customHeight="1" x14ac:dyDescent="0.25">
      <c r="AJ2010" t="str">
        <f>IF(AI2010="", "", AI2010&amp;"["&amp;#REF!&amp;"]")</f>
        <v/>
      </c>
    </row>
    <row r="2011" spans="36:36" ht="12" customHeight="1" x14ac:dyDescent="0.25">
      <c r="AJ2011" t="str">
        <f>IF(AI2011="", "", AI2011&amp;"["&amp;#REF!&amp;"]")</f>
        <v/>
      </c>
    </row>
    <row r="2012" spans="36:36" ht="12" customHeight="1" x14ac:dyDescent="0.25">
      <c r="AJ2012" t="str">
        <f>IF(AI2012="", "", AI2012&amp;"["&amp;#REF!&amp;"]")</f>
        <v/>
      </c>
    </row>
    <row r="2013" spans="36:36" ht="12" customHeight="1" x14ac:dyDescent="0.25">
      <c r="AJ2013" t="str">
        <f>IF(AI2013="", "", AI2013&amp;"["&amp;#REF!&amp;"]")</f>
        <v/>
      </c>
    </row>
    <row r="2014" spans="36:36" ht="12" customHeight="1" x14ac:dyDescent="0.25">
      <c r="AJ2014" t="str">
        <f>IF(AI2014="", "", AI2014&amp;"["&amp;#REF!&amp;"]")</f>
        <v/>
      </c>
    </row>
    <row r="2015" spans="36:36" ht="12" customHeight="1" x14ac:dyDescent="0.25">
      <c r="AJ2015" t="str">
        <f>IF(AI2015="", "", AI2015&amp;"["&amp;#REF!&amp;"]")</f>
        <v/>
      </c>
    </row>
    <row r="2016" spans="36:36" ht="12" customHeight="1" x14ac:dyDescent="0.25">
      <c r="AJ2016" t="str">
        <f>IF(AI2016="", "", AI2016&amp;"["&amp;#REF!&amp;"]")</f>
        <v/>
      </c>
    </row>
    <row r="2017" spans="36:36" ht="12" customHeight="1" x14ac:dyDescent="0.25">
      <c r="AJ2017" t="str">
        <f>IF(AI2017="", "", AI2017&amp;"["&amp;#REF!&amp;"]")</f>
        <v/>
      </c>
    </row>
    <row r="2018" spans="36:36" ht="12" customHeight="1" x14ac:dyDescent="0.25">
      <c r="AJ2018" t="str">
        <f>IF(AI2018="", "", AI2018&amp;"["&amp;#REF!&amp;"]")</f>
        <v/>
      </c>
    </row>
    <row r="2019" spans="36:36" ht="12" customHeight="1" x14ac:dyDescent="0.25">
      <c r="AJ2019" t="str">
        <f>IF(AI2019="", "", AI2019&amp;"["&amp;#REF!&amp;"]")</f>
        <v/>
      </c>
    </row>
    <row r="2020" spans="36:36" ht="12" customHeight="1" x14ac:dyDescent="0.25">
      <c r="AJ2020" t="str">
        <f>IF(AI2020="", "", AI2020&amp;"["&amp;#REF!&amp;"]")</f>
        <v/>
      </c>
    </row>
    <row r="2021" spans="36:36" ht="12" customHeight="1" x14ac:dyDescent="0.25">
      <c r="AJ2021" t="str">
        <f>IF(AI2021="", "", AI2021&amp;"["&amp;#REF!&amp;"]")</f>
        <v/>
      </c>
    </row>
    <row r="2022" spans="36:36" ht="12" customHeight="1" x14ac:dyDescent="0.25">
      <c r="AJ2022" t="str">
        <f>IF(AI2022="", "", AI2022&amp;"["&amp;#REF!&amp;"]")</f>
        <v/>
      </c>
    </row>
    <row r="2023" spans="36:36" ht="12" customHeight="1" x14ac:dyDescent="0.25">
      <c r="AJ2023" t="str">
        <f>IF(AI2023="", "", AI2023&amp;"["&amp;#REF!&amp;"]")</f>
        <v/>
      </c>
    </row>
    <row r="2024" spans="36:36" ht="12" customHeight="1" x14ac:dyDescent="0.25">
      <c r="AJ2024" t="str">
        <f>IF(AI2024="", "", AI2024&amp;"["&amp;#REF!&amp;"]")</f>
        <v/>
      </c>
    </row>
    <row r="2025" spans="36:36" ht="12" customHeight="1" x14ac:dyDescent="0.25">
      <c r="AJ2025" t="str">
        <f>IF(AI2025="", "", AI2025&amp;"["&amp;#REF!&amp;"]")</f>
        <v/>
      </c>
    </row>
    <row r="2026" spans="36:36" ht="12" customHeight="1" x14ac:dyDescent="0.25">
      <c r="AJ2026" t="str">
        <f>IF(AI2026="", "", AI2026&amp;"["&amp;#REF!&amp;"]")</f>
        <v/>
      </c>
    </row>
    <row r="2027" spans="36:36" ht="12" customHeight="1" x14ac:dyDescent="0.25">
      <c r="AJ2027" t="str">
        <f>IF(AI2027="", "", AI2027&amp;"["&amp;#REF!&amp;"]")</f>
        <v/>
      </c>
    </row>
    <row r="2028" spans="36:36" ht="12" customHeight="1" x14ac:dyDescent="0.25">
      <c r="AJ2028" t="str">
        <f>IF(AI2028="", "", AI2028&amp;"["&amp;#REF!&amp;"]")</f>
        <v/>
      </c>
    </row>
    <row r="2029" spans="36:36" ht="12" customHeight="1" x14ac:dyDescent="0.25">
      <c r="AJ2029" t="str">
        <f>IF(AI2029="", "", AI2029&amp;"["&amp;#REF!&amp;"]")</f>
        <v/>
      </c>
    </row>
    <row r="2030" spans="36:36" ht="12" customHeight="1" x14ac:dyDescent="0.25">
      <c r="AJ2030" t="str">
        <f>IF(AI2030="", "", AI2030&amp;"["&amp;#REF!&amp;"]")</f>
        <v/>
      </c>
    </row>
    <row r="2031" spans="36:36" ht="12" customHeight="1" x14ac:dyDescent="0.25">
      <c r="AJ2031" t="str">
        <f>IF(AI2031="", "", AI2031&amp;"["&amp;#REF!&amp;"]")</f>
        <v/>
      </c>
    </row>
    <row r="2032" spans="36:36" ht="12" customHeight="1" x14ac:dyDescent="0.25">
      <c r="AJ2032" t="str">
        <f>IF(AI2032="", "", AI2032&amp;"["&amp;#REF!&amp;"]")</f>
        <v/>
      </c>
    </row>
    <row r="2033" spans="36:36" ht="12" customHeight="1" x14ac:dyDescent="0.25">
      <c r="AJ2033" t="str">
        <f>IF(AI2033="", "", AI2033&amp;"["&amp;#REF!&amp;"]")</f>
        <v/>
      </c>
    </row>
    <row r="2034" spans="36:36" ht="12" customHeight="1" x14ac:dyDescent="0.25">
      <c r="AJ2034" t="str">
        <f>IF(AI2034="", "", AI2034&amp;"["&amp;#REF!&amp;"]")</f>
        <v/>
      </c>
    </row>
    <row r="2035" spans="36:36" ht="12" customHeight="1" x14ac:dyDescent="0.25">
      <c r="AJ2035" t="str">
        <f>IF(AI2035="", "", AI2035&amp;"["&amp;#REF!&amp;"]")</f>
        <v/>
      </c>
    </row>
    <row r="2036" spans="36:36" ht="12" customHeight="1" x14ac:dyDescent="0.25">
      <c r="AJ2036" t="str">
        <f>IF(AI2036="", "", AI2036&amp;"["&amp;#REF!&amp;"]")</f>
        <v/>
      </c>
    </row>
    <row r="2037" spans="36:36" ht="12" customHeight="1" x14ac:dyDescent="0.25">
      <c r="AJ2037" t="str">
        <f>IF(AI2037="", "", AI2037&amp;"["&amp;#REF!&amp;"]")</f>
        <v/>
      </c>
    </row>
    <row r="2038" spans="36:36" ht="12" customHeight="1" x14ac:dyDescent="0.25">
      <c r="AJ2038" t="str">
        <f>IF(AI2038="", "", AI2038&amp;"["&amp;#REF!&amp;"]")</f>
        <v/>
      </c>
    </row>
    <row r="2039" spans="36:36" ht="12" customHeight="1" x14ac:dyDescent="0.25">
      <c r="AJ2039" t="str">
        <f>IF(AI2039="", "", AI2039&amp;"["&amp;#REF!&amp;"]")</f>
        <v/>
      </c>
    </row>
    <row r="2040" spans="36:36" ht="12" customHeight="1" x14ac:dyDescent="0.25">
      <c r="AJ2040" t="str">
        <f>IF(AI2040="", "", AI2040&amp;"["&amp;#REF!&amp;"]")</f>
        <v/>
      </c>
    </row>
    <row r="2041" spans="36:36" ht="12" customHeight="1" x14ac:dyDescent="0.25">
      <c r="AJ2041" t="str">
        <f>IF(AI2041="", "", AI2041&amp;"["&amp;#REF!&amp;"]")</f>
        <v/>
      </c>
    </row>
    <row r="2042" spans="36:36" ht="12" customHeight="1" x14ac:dyDescent="0.25">
      <c r="AJ2042" t="str">
        <f>IF(AI2042="", "", AI2042&amp;"["&amp;#REF!&amp;"]")</f>
        <v/>
      </c>
    </row>
    <row r="2043" spans="36:36" ht="12" customHeight="1" x14ac:dyDescent="0.25">
      <c r="AJ2043" t="str">
        <f>IF(AI2043="", "", AI2043&amp;"["&amp;#REF!&amp;"]")</f>
        <v/>
      </c>
    </row>
    <row r="2044" spans="36:36" ht="12" customHeight="1" x14ac:dyDescent="0.25">
      <c r="AJ2044" t="str">
        <f>IF(AI2044="", "", AI2044&amp;"["&amp;#REF!&amp;"]")</f>
        <v/>
      </c>
    </row>
    <row r="2045" spans="36:36" ht="12" customHeight="1" x14ac:dyDescent="0.25">
      <c r="AJ2045" t="str">
        <f>IF(AI2045="", "", AI2045&amp;"["&amp;#REF!&amp;"]")</f>
        <v/>
      </c>
    </row>
    <row r="2046" spans="36:36" ht="12" customHeight="1" x14ac:dyDescent="0.25">
      <c r="AJ2046" t="str">
        <f>IF(AI2046="", "", AI2046&amp;"["&amp;#REF!&amp;"]")</f>
        <v/>
      </c>
    </row>
    <row r="2047" spans="36:36" ht="12" customHeight="1" x14ac:dyDescent="0.25">
      <c r="AJ2047" t="str">
        <f>IF(AI2047="", "", AI2047&amp;"["&amp;#REF!&amp;"]")</f>
        <v/>
      </c>
    </row>
    <row r="2048" spans="36:36" ht="12" customHeight="1" x14ac:dyDescent="0.25">
      <c r="AJ2048" t="str">
        <f>IF(AI2048="", "", AI2048&amp;"["&amp;#REF!&amp;"]")</f>
        <v/>
      </c>
    </row>
    <row r="2049" spans="36:36" ht="12" customHeight="1" x14ac:dyDescent="0.25">
      <c r="AJ2049" t="str">
        <f>IF(AI2049="", "", AI2049&amp;"["&amp;#REF!&amp;"]")</f>
        <v/>
      </c>
    </row>
    <row r="2050" spans="36:36" ht="12" customHeight="1" x14ac:dyDescent="0.25">
      <c r="AJ2050" t="str">
        <f>IF(AI2050="", "", AI2050&amp;"["&amp;#REF!&amp;"]")</f>
        <v/>
      </c>
    </row>
    <row r="2051" spans="36:36" ht="12" customHeight="1" x14ac:dyDescent="0.25">
      <c r="AJ2051" t="str">
        <f>IF(AI2051="", "", AI2051&amp;"["&amp;#REF!&amp;"]")</f>
        <v/>
      </c>
    </row>
    <row r="2052" spans="36:36" ht="12" customHeight="1" x14ac:dyDescent="0.25">
      <c r="AJ2052" t="str">
        <f>IF(AI2052="", "", AI2052&amp;"["&amp;#REF!&amp;"]")</f>
        <v/>
      </c>
    </row>
    <row r="2053" spans="36:36" ht="12" customHeight="1" x14ac:dyDescent="0.25">
      <c r="AJ2053" t="str">
        <f>IF(AI2053="", "", AI2053&amp;"["&amp;#REF!&amp;"]")</f>
        <v/>
      </c>
    </row>
    <row r="2054" spans="36:36" ht="12" customHeight="1" x14ac:dyDescent="0.25">
      <c r="AJ2054" t="str">
        <f>IF(AI2054="", "", AI2054&amp;"["&amp;#REF!&amp;"]")</f>
        <v/>
      </c>
    </row>
    <row r="2055" spans="36:36" ht="12" customHeight="1" x14ac:dyDescent="0.25">
      <c r="AJ2055" t="str">
        <f>IF(AI2055="", "", AI2055&amp;"["&amp;#REF!&amp;"]")</f>
        <v/>
      </c>
    </row>
    <row r="2056" spans="36:36" ht="12" customHeight="1" x14ac:dyDescent="0.25">
      <c r="AJ2056" t="str">
        <f>IF(AI2056="", "", AI2056&amp;"["&amp;#REF!&amp;"]")</f>
        <v/>
      </c>
    </row>
    <row r="2057" spans="36:36" ht="12" customHeight="1" x14ac:dyDescent="0.25">
      <c r="AJ2057" t="str">
        <f>IF(AI2057="", "", AI2057&amp;"["&amp;#REF!&amp;"]")</f>
        <v/>
      </c>
    </row>
    <row r="2058" spans="36:36" ht="12" customHeight="1" x14ac:dyDescent="0.25">
      <c r="AJ2058" t="str">
        <f>IF(AI2058="", "", AI2058&amp;"["&amp;#REF!&amp;"]")</f>
        <v/>
      </c>
    </row>
    <row r="2059" spans="36:36" ht="12" customHeight="1" x14ac:dyDescent="0.25">
      <c r="AJ2059" t="str">
        <f>IF(AI2059="", "", AI2059&amp;"["&amp;#REF!&amp;"]")</f>
        <v/>
      </c>
    </row>
    <row r="2060" spans="36:36" ht="12" customHeight="1" x14ac:dyDescent="0.25">
      <c r="AJ2060" t="str">
        <f>IF(AI2060="", "", AI2060&amp;"["&amp;#REF!&amp;"]")</f>
        <v/>
      </c>
    </row>
    <row r="2061" spans="36:36" ht="12" customHeight="1" x14ac:dyDescent="0.25">
      <c r="AJ2061" t="str">
        <f>IF(AI2061="", "", AI2061&amp;"["&amp;#REF!&amp;"]")</f>
        <v/>
      </c>
    </row>
    <row r="2062" spans="36:36" ht="12" customHeight="1" x14ac:dyDescent="0.25">
      <c r="AJ2062" t="str">
        <f>IF(AI2062="", "", AI2062&amp;"["&amp;#REF!&amp;"]")</f>
        <v/>
      </c>
    </row>
    <row r="2063" spans="36:36" ht="12" customHeight="1" x14ac:dyDescent="0.25">
      <c r="AJ2063" t="str">
        <f>IF(AI2063="", "", AI2063&amp;"["&amp;#REF!&amp;"]")</f>
        <v/>
      </c>
    </row>
    <row r="2064" spans="36:36" ht="12" customHeight="1" x14ac:dyDescent="0.25">
      <c r="AJ2064" t="str">
        <f>IF(AI2064="", "", AI2064&amp;"["&amp;#REF!&amp;"]")</f>
        <v/>
      </c>
    </row>
    <row r="2065" spans="36:36" ht="12" customHeight="1" x14ac:dyDescent="0.25">
      <c r="AJ2065" t="str">
        <f>IF(AI2065="", "", AI2065&amp;"["&amp;#REF!&amp;"]")</f>
        <v/>
      </c>
    </row>
    <row r="2066" spans="36:36" ht="12" customHeight="1" x14ac:dyDescent="0.25">
      <c r="AJ2066" t="str">
        <f>IF(AI2066="", "", AI2066&amp;"["&amp;#REF!&amp;"]")</f>
        <v/>
      </c>
    </row>
    <row r="2067" spans="36:36" ht="12" customHeight="1" x14ac:dyDescent="0.25">
      <c r="AJ2067" t="str">
        <f>IF(AI2067="", "", AI2067&amp;"["&amp;#REF!&amp;"]")</f>
        <v/>
      </c>
    </row>
    <row r="2068" spans="36:36" ht="12" customHeight="1" x14ac:dyDescent="0.25">
      <c r="AJ2068" t="str">
        <f>IF(AI2068="", "", AI2068&amp;"["&amp;#REF!&amp;"]")</f>
        <v/>
      </c>
    </row>
    <row r="2069" spans="36:36" ht="12" customHeight="1" x14ac:dyDescent="0.25">
      <c r="AJ2069" t="str">
        <f>IF(AI2069="", "", AI2069&amp;"["&amp;#REF!&amp;"]")</f>
        <v/>
      </c>
    </row>
    <row r="2070" spans="36:36" ht="12" customHeight="1" x14ac:dyDescent="0.25">
      <c r="AJ2070" t="str">
        <f>IF(AI2070="", "", AI2070&amp;"["&amp;#REF!&amp;"]")</f>
        <v/>
      </c>
    </row>
    <row r="2071" spans="36:36" ht="12" customHeight="1" x14ac:dyDescent="0.25">
      <c r="AJ2071" t="str">
        <f>IF(AI2071="", "", AI2071&amp;"["&amp;#REF!&amp;"]")</f>
        <v/>
      </c>
    </row>
    <row r="2072" spans="36:36" ht="12" customHeight="1" x14ac:dyDescent="0.25">
      <c r="AJ2072" t="str">
        <f>IF(AI2072="", "", AI2072&amp;"["&amp;#REF!&amp;"]")</f>
        <v/>
      </c>
    </row>
    <row r="2073" spans="36:36" ht="12" customHeight="1" x14ac:dyDescent="0.25">
      <c r="AJ2073" t="str">
        <f>IF(AI2073="", "", AI2073&amp;"["&amp;#REF!&amp;"]")</f>
        <v/>
      </c>
    </row>
    <row r="2074" spans="36:36" ht="12" customHeight="1" x14ac:dyDescent="0.25">
      <c r="AJ2074" t="str">
        <f>IF(AI2074="", "", AI2074&amp;"["&amp;#REF!&amp;"]")</f>
        <v/>
      </c>
    </row>
    <row r="2075" spans="36:36" ht="12" customHeight="1" x14ac:dyDescent="0.25">
      <c r="AJ2075" t="str">
        <f>IF(AI2075="", "", AI2075&amp;"["&amp;#REF!&amp;"]")</f>
        <v/>
      </c>
    </row>
    <row r="2076" spans="36:36" ht="12" customHeight="1" x14ac:dyDescent="0.25">
      <c r="AJ2076" t="str">
        <f>IF(AI2076="", "", AI2076&amp;"["&amp;#REF!&amp;"]")</f>
        <v/>
      </c>
    </row>
    <row r="2077" spans="36:36" ht="12" customHeight="1" x14ac:dyDescent="0.25">
      <c r="AJ2077" t="str">
        <f>IF(AI2077="", "", AI2077&amp;"["&amp;#REF!&amp;"]")</f>
        <v/>
      </c>
    </row>
    <row r="2078" spans="36:36" ht="12" customHeight="1" x14ac:dyDescent="0.25">
      <c r="AJ2078" t="str">
        <f>IF(AI2078="", "", AI2078&amp;"["&amp;#REF!&amp;"]")</f>
        <v/>
      </c>
    </row>
    <row r="2079" spans="36:36" ht="12" customHeight="1" x14ac:dyDescent="0.25">
      <c r="AJ2079" t="str">
        <f>IF(AI2079="", "", AI2079&amp;"["&amp;#REF!&amp;"]")</f>
        <v/>
      </c>
    </row>
    <row r="2080" spans="36:36" ht="12" customHeight="1" x14ac:dyDescent="0.25">
      <c r="AJ2080" t="str">
        <f>IF(AI2080="", "", AI2080&amp;"["&amp;#REF!&amp;"]")</f>
        <v/>
      </c>
    </row>
    <row r="2081" spans="36:36" ht="12" customHeight="1" x14ac:dyDescent="0.25">
      <c r="AJ2081" t="str">
        <f>IF(AI2081="", "", AI2081&amp;"["&amp;#REF!&amp;"]")</f>
        <v/>
      </c>
    </row>
    <row r="2082" spans="36:36" ht="12" customHeight="1" x14ac:dyDescent="0.25">
      <c r="AJ2082" t="str">
        <f>IF(AI2082="", "", AI2082&amp;"["&amp;#REF!&amp;"]")</f>
        <v/>
      </c>
    </row>
    <row r="2083" spans="36:36" ht="12" customHeight="1" x14ac:dyDescent="0.25">
      <c r="AJ2083" t="str">
        <f>IF(AI2083="", "", AI2083&amp;"["&amp;#REF!&amp;"]")</f>
        <v/>
      </c>
    </row>
    <row r="2084" spans="36:36" ht="12" customHeight="1" x14ac:dyDescent="0.25">
      <c r="AJ2084" t="str">
        <f>IF(AI2084="", "", AI2084&amp;"["&amp;#REF!&amp;"]")</f>
        <v/>
      </c>
    </row>
    <row r="2085" spans="36:36" ht="12" customHeight="1" x14ac:dyDescent="0.25">
      <c r="AJ2085" t="str">
        <f>IF(AI2085="", "", AI2085&amp;"["&amp;#REF!&amp;"]")</f>
        <v/>
      </c>
    </row>
    <row r="2086" spans="36:36" ht="12" customHeight="1" x14ac:dyDescent="0.25">
      <c r="AJ2086" t="str">
        <f>IF(AI2086="", "", AI2086&amp;"["&amp;#REF!&amp;"]")</f>
        <v/>
      </c>
    </row>
    <row r="2087" spans="36:36" ht="12" customHeight="1" x14ac:dyDescent="0.25">
      <c r="AJ2087" t="str">
        <f>IF(AI2087="", "", AI2087&amp;"["&amp;#REF!&amp;"]")</f>
        <v/>
      </c>
    </row>
    <row r="2088" spans="36:36" ht="12" customHeight="1" x14ac:dyDescent="0.25">
      <c r="AJ2088" t="str">
        <f>IF(AI2088="", "", AI2088&amp;"["&amp;#REF!&amp;"]")</f>
        <v/>
      </c>
    </row>
    <row r="2089" spans="36:36" ht="12" customHeight="1" x14ac:dyDescent="0.25">
      <c r="AJ2089" t="str">
        <f>IF(AI2089="", "", AI2089&amp;"["&amp;#REF!&amp;"]")</f>
        <v/>
      </c>
    </row>
    <row r="2090" spans="36:36" ht="12" customHeight="1" x14ac:dyDescent="0.25">
      <c r="AJ2090" t="str">
        <f>IF(AI2090="", "", AI2090&amp;"["&amp;#REF!&amp;"]")</f>
        <v/>
      </c>
    </row>
    <row r="2091" spans="36:36" ht="12" customHeight="1" x14ac:dyDescent="0.25">
      <c r="AJ2091" t="str">
        <f>IF(AI2091="", "", AI2091&amp;"["&amp;#REF!&amp;"]")</f>
        <v/>
      </c>
    </row>
    <row r="2092" spans="36:36" ht="12" customHeight="1" x14ac:dyDescent="0.25">
      <c r="AJ2092" t="str">
        <f>IF(AI2092="", "", AI2092&amp;"["&amp;#REF!&amp;"]")</f>
        <v/>
      </c>
    </row>
    <row r="2093" spans="36:36" ht="12" customHeight="1" x14ac:dyDescent="0.25">
      <c r="AJ2093" t="str">
        <f>IF(AI2093="", "", AI2093&amp;"["&amp;#REF!&amp;"]")</f>
        <v/>
      </c>
    </row>
    <row r="2094" spans="36:36" ht="12" customHeight="1" x14ac:dyDescent="0.25">
      <c r="AJ2094" t="str">
        <f>IF(AI2094="", "", AI2094&amp;"["&amp;#REF!&amp;"]")</f>
        <v/>
      </c>
    </row>
    <row r="2095" spans="36:36" ht="12" customHeight="1" x14ac:dyDescent="0.25">
      <c r="AJ2095" t="str">
        <f>IF(AI2095="", "", AI2095&amp;"["&amp;#REF!&amp;"]")</f>
        <v/>
      </c>
    </row>
    <row r="2096" spans="36:36" ht="12" customHeight="1" x14ac:dyDescent="0.25">
      <c r="AJ2096" t="str">
        <f>IF(AI2096="", "", AI2096&amp;"["&amp;#REF!&amp;"]")</f>
        <v/>
      </c>
    </row>
    <row r="2097" spans="36:36" ht="12" customHeight="1" x14ac:dyDescent="0.25">
      <c r="AJ2097" t="str">
        <f>IF(AI2097="", "", AI2097&amp;"["&amp;#REF!&amp;"]")</f>
        <v/>
      </c>
    </row>
    <row r="2098" spans="36:36" ht="12" customHeight="1" x14ac:dyDescent="0.25">
      <c r="AJ2098" t="str">
        <f>IF(AI2098="", "", AI2098&amp;"["&amp;#REF!&amp;"]")</f>
        <v/>
      </c>
    </row>
    <row r="2099" spans="36:36" ht="12" customHeight="1" x14ac:dyDescent="0.25">
      <c r="AJ2099" t="str">
        <f>IF(AI2099="", "", AI2099&amp;"["&amp;#REF!&amp;"]")</f>
        <v/>
      </c>
    </row>
    <row r="2100" spans="36:36" ht="12" customHeight="1" x14ac:dyDescent="0.25">
      <c r="AJ2100" t="str">
        <f>IF(AI2100="", "", AI2100&amp;"["&amp;#REF!&amp;"]")</f>
        <v/>
      </c>
    </row>
    <row r="2101" spans="36:36" ht="12" customHeight="1" x14ac:dyDescent="0.25">
      <c r="AJ2101" t="str">
        <f>IF(AI2101="", "", AI2101&amp;"["&amp;#REF!&amp;"]")</f>
        <v/>
      </c>
    </row>
    <row r="2102" spans="36:36" ht="12" customHeight="1" x14ac:dyDescent="0.25">
      <c r="AJ2102" t="str">
        <f>IF(AI2102="", "", AI2102&amp;"["&amp;#REF!&amp;"]")</f>
        <v/>
      </c>
    </row>
    <row r="2103" spans="36:36" ht="12" customHeight="1" x14ac:dyDescent="0.25">
      <c r="AJ2103" t="str">
        <f>IF(AI2103="", "", AI2103&amp;"["&amp;#REF!&amp;"]")</f>
        <v/>
      </c>
    </row>
    <row r="2104" spans="36:36" ht="12" customHeight="1" x14ac:dyDescent="0.25">
      <c r="AJ2104" t="str">
        <f>IF(AI2104="", "", AI2104&amp;"["&amp;#REF!&amp;"]")</f>
        <v/>
      </c>
    </row>
    <row r="2105" spans="36:36" ht="12" customHeight="1" x14ac:dyDescent="0.25">
      <c r="AJ2105" t="str">
        <f>IF(AI2105="", "", AI2105&amp;"["&amp;#REF!&amp;"]")</f>
        <v/>
      </c>
    </row>
    <row r="2106" spans="36:36" ht="12" customHeight="1" x14ac:dyDescent="0.25">
      <c r="AJ2106" t="str">
        <f>IF(AI2106="", "", AI2106&amp;"["&amp;#REF!&amp;"]")</f>
        <v/>
      </c>
    </row>
    <row r="2107" spans="36:36" ht="12" customHeight="1" x14ac:dyDescent="0.25">
      <c r="AJ2107" t="str">
        <f>IF(AI2107="", "", AI2107&amp;"["&amp;#REF!&amp;"]")</f>
        <v/>
      </c>
    </row>
    <row r="2108" spans="36:36" ht="12" customHeight="1" x14ac:dyDescent="0.25">
      <c r="AJ2108" t="str">
        <f>IF(AI2108="", "", AI2108&amp;"["&amp;#REF!&amp;"]")</f>
        <v/>
      </c>
    </row>
    <row r="2109" spans="36:36" ht="12" customHeight="1" x14ac:dyDescent="0.25">
      <c r="AJ2109" t="str">
        <f>IF(AI2109="", "", AI2109&amp;"["&amp;#REF!&amp;"]")</f>
        <v/>
      </c>
    </row>
    <row r="2110" spans="36:36" ht="12" customHeight="1" x14ac:dyDescent="0.25">
      <c r="AJ2110" t="str">
        <f>IF(AI2110="", "", AI2110&amp;"["&amp;#REF!&amp;"]")</f>
        <v/>
      </c>
    </row>
    <row r="2111" spans="36:36" ht="12" customHeight="1" x14ac:dyDescent="0.25">
      <c r="AJ2111" t="str">
        <f>IF(AI2111="", "", AI2111&amp;"["&amp;#REF!&amp;"]")</f>
        <v/>
      </c>
    </row>
    <row r="2112" spans="36:36" ht="12" customHeight="1" x14ac:dyDescent="0.25">
      <c r="AJ2112" t="str">
        <f>IF(AI2112="", "", AI2112&amp;"["&amp;#REF!&amp;"]")</f>
        <v/>
      </c>
    </row>
    <row r="2113" spans="36:36" ht="12" customHeight="1" x14ac:dyDescent="0.25">
      <c r="AJ2113" t="str">
        <f>IF(AI2113="", "", AI2113&amp;"["&amp;#REF!&amp;"]")</f>
        <v/>
      </c>
    </row>
    <row r="2114" spans="36:36" ht="12" customHeight="1" x14ac:dyDescent="0.25">
      <c r="AJ2114" t="str">
        <f>IF(AI2114="", "", AI2114&amp;"["&amp;#REF!&amp;"]")</f>
        <v/>
      </c>
    </row>
    <row r="2115" spans="36:36" ht="12" customHeight="1" x14ac:dyDescent="0.25">
      <c r="AJ2115" t="str">
        <f>IF(AI2115="", "", AI2115&amp;"["&amp;#REF!&amp;"]")</f>
        <v/>
      </c>
    </row>
    <row r="2116" spans="36:36" ht="12" customHeight="1" x14ac:dyDescent="0.25">
      <c r="AJ2116" t="str">
        <f>IF(AI2116="", "", AI2116&amp;"["&amp;#REF!&amp;"]")</f>
        <v/>
      </c>
    </row>
    <row r="2117" spans="36:36" ht="12" customHeight="1" x14ac:dyDescent="0.25">
      <c r="AJ2117" t="str">
        <f>IF(AI2117="", "", AI2117&amp;"["&amp;#REF!&amp;"]")</f>
        <v/>
      </c>
    </row>
    <row r="2118" spans="36:36" ht="12" customHeight="1" x14ac:dyDescent="0.25">
      <c r="AJ2118" t="str">
        <f>IF(AI2118="", "", AI2118&amp;"["&amp;#REF!&amp;"]")</f>
        <v/>
      </c>
    </row>
    <row r="2119" spans="36:36" ht="12" customHeight="1" x14ac:dyDescent="0.25">
      <c r="AJ2119" t="str">
        <f>IF(AI2119="", "", AI2119&amp;"["&amp;#REF!&amp;"]")</f>
        <v/>
      </c>
    </row>
    <row r="2120" spans="36:36" ht="12" customHeight="1" x14ac:dyDescent="0.25">
      <c r="AJ2120" t="str">
        <f>IF(AI2120="", "", AI2120&amp;"["&amp;#REF!&amp;"]")</f>
        <v/>
      </c>
    </row>
    <row r="2121" spans="36:36" ht="12" customHeight="1" x14ac:dyDescent="0.25">
      <c r="AJ2121" t="str">
        <f>IF(AI2121="", "", AI2121&amp;"["&amp;#REF!&amp;"]")</f>
        <v/>
      </c>
    </row>
    <row r="2122" spans="36:36" ht="12" customHeight="1" x14ac:dyDescent="0.25">
      <c r="AJ2122" t="str">
        <f>IF(AI2122="", "", AI2122&amp;"["&amp;#REF!&amp;"]")</f>
        <v/>
      </c>
    </row>
    <row r="2123" spans="36:36" ht="12" customHeight="1" x14ac:dyDescent="0.25">
      <c r="AJ2123" t="str">
        <f>IF(AI2123="", "", AI2123&amp;"["&amp;#REF!&amp;"]")</f>
        <v/>
      </c>
    </row>
    <row r="2124" spans="36:36" ht="12" customHeight="1" x14ac:dyDescent="0.25">
      <c r="AJ2124" t="str">
        <f>IF(AI2124="", "", AI2124&amp;"["&amp;#REF!&amp;"]")</f>
        <v/>
      </c>
    </row>
    <row r="2125" spans="36:36" ht="12" customHeight="1" x14ac:dyDescent="0.25">
      <c r="AJ2125" t="str">
        <f>IF(AI2125="", "", AI2125&amp;"["&amp;#REF!&amp;"]")</f>
        <v/>
      </c>
    </row>
    <row r="2126" spans="36:36" ht="12" customHeight="1" x14ac:dyDescent="0.25">
      <c r="AJ2126" t="str">
        <f>IF(AI2126="", "", AI2126&amp;"["&amp;#REF!&amp;"]")</f>
        <v/>
      </c>
    </row>
    <row r="2127" spans="36:36" ht="12" customHeight="1" x14ac:dyDescent="0.25">
      <c r="AJ2127" t="str">
        <f>IF(AI2127="", "", AI2127&amp;"["&amp;#REF!&amp;"]")</f>
        <v/>
      </c>
    </row>
    <row r="2128" spans="36:36" ht="12" customHeight="1" x14ac:dyDescent="0.25">
      <c r="AJ2128" t="str">
        <f>IF(AI2128="", "", AI2128&amp;"["&amp;#REF!&amp;"]")</f>
        <v/>
      </c>
    </row>
    <row r="2129" spans="36:36" ht="12" customHeight="1" x14ac:dyDescent="0.25">
      <c r="AJ2129" t="str">
        <f>IF(AI2129="", "", AI2129&amp;"["&amp;#REF!&amp;"]")</f>
        <v/>
      </c>
    </row>
    <row r="2130" spans="36:36" ht="12" customHeight="1" x14ac:dyDescent="0.25">
      <c r="AJ2130" t="str">
        <f>IF(AI2130="", "", AI2130&amp;"["&amp;#REF!&amp;"]")</f>
        <v/>
      </c>
    </row>
    <row r="2131" spans="36:36" ht="12" customHeight="1" x14ac:dyDescent="0.25">
      <c r="AJ2131" t="str">
        <f>IF(AI2131="", "", AI2131&amp;"["&amp;#REF!&amp;"]")</f>
        <v/>
      </c>
    </row>
    <row r="2132" spans="36:36" ht="12" customHeight="1" x14ac:dyDescent="0.25">
      <c r="AJ2132" t="str">
        <f>IF(AI2132="", "", AI2132&amp;"["&amp;#REF!&amp;"]")</f>
        <v/>
      </c>
    </row>
    <row r="2133" spans="36:36" ht="12" customHeight="1" x14ac:dyDescent="0.25">
      <c r="AJ2133" t="str">
        <f>IF(AI2133="", "", AI2133&amp;"["&amp;#REF!&amp;"]")</f>
        <v/>
      </c>
    </row>
    <row r="2134" spans="36:36" ht="12" customHeight="1" x14ac:dyDescent="0.25">
      <c r="AJ2134" t="str">
        <f>IF(AI2134="", "", AI2134&amp;"["&amp;#REF!&amp;"]")</f>
        <v/>
      </c>
    </row>
    <row r="2135" spans="36:36" ht="12" customHeight="1" x14ac:dyDescent="0.25">
      <c r="AJ2135" t="str">
        <f>IF(AI2135="", "", AI2135&amp;"["&amp;#REF!&amp;"]")</f>
        <v/>
      </c>
    </row>
    <row r="2136" spans="36:36" ht="12" customHeight="1" x14ac:dyDescent="0.25">
      <c r="AJ2136" t="str">
        <f>IF(AI2136="", "", AI2136&amp;"["&amp;#REF!&amp;"]")</f>
        <v/>
      </c>
    </row>
    <row r="2137" spans="36:36" ht="12" customHeight="1" x14ac:dyDescent="0.25">
      <c r="AJ2137" t="str">
        <f>IF(AI2137="", "", AI2137&amp;"["&amp;#REF!&amp;"]")</f>
        <v/>
      </c>
    </row>
    <row r="2138" spans="36:36" ht="12" customHeight="1" x14ac:dyDescent="0.25">
      <c r="AJ2138" t="str">
        <f>IF(AI2138="", "", AI2138&amp;"["&amp;#REF!&amp;"]")</f>
        <v/>
      </c>
    </row>
    <row r="2139" spans="36:36" ht="12" customHeight="1" x14ac:dyDescent="0.25">
      <c r="AJ2139" t="str">
        <f>IF(AI2139="", "", AI2139&amp;"["&amp;#REF!&amp;"]")</f>
        <v/>
      </c>
    </row>
    <row r="2140" spans="36:36" ht="12" customHeight="1" x14ac:dyDescent="0.25">
      <c r="AJ2140" t="str">
        <f>IF(AI2140="", "", AI2140&amp;"["&amp;#REF!&amp;"]")</f>
        <v/>
      </c>
    </row>
    <row r="2141" spans="36:36" ht="12" customHeight="1" x14ac:dyDescent="0.25">
      <c r="AJ2141" t="str">
        <f>IF(AI2141="", "", AI2141&amp;"["&amp;#REF!&amp;"]")</f>
        <v/>
      </c>
    </row>
    <row r="2142" spans="36:36" ht="12" customHeight="1" x14ac:dyDescent="0.25">
      <c r="AJ2142" t="str">
        <f>IF(AI2142="", "", AI2142&amp;"["&amp;#REF!&amp;"]")</f>
        <v/>
      </c>
    </row>
    <row r="2143" spans="36:36" ht="12" customHeight="1" x14ac:dyDescent="0.25">
      <c r="AJ2143" t="str">
        <f>IF(AI2143="", "", AI2143&amp;"["&amp;#REF!&amp;"]")</f>
        <v/>
      </c>
    </row>
    <row r="2144" spans="36:36" ht="12" customHeight="1" x14ac:dyDescent="0.25">
      <c r="AJ2144" t="str">
        <f>IF(AI2144="", "", AI2144&amp;"["&amp;#REF!&amp;"]")</f>
        <v/>
      </c>
    </row>
    <row r="2145" spans="36:36" ht="12" customHeight="1" x14ac:dyDescent="0.25">
      <c r="AJ2145" t="str">
        <f>IF(AI2145="", "", AI2145&amp;"["&amp;#REF!&amp;"]")</f>
        <v/>
      </c>
    </row>
    <row r="2146" spans="36:36" ht="12" customHeight="1" x14ac:dyDescent="0.25">
      <c r="AJ2146" t="str">
        <f>IF(AI2146="", "", AI2146&amp;"["&amp;#REF!&amp;"]")</f>
        <v/>
      </c>
    </row>
    <row r="2147" spans="36:36" ht="12" customHeight="1" x14ac:dyDescent="0.25">
      <c r="AJ2147" t="str">
        <f>IF(AI2147="", "", AI2147&amp;"["&amp;#REF!&amp;"]")</f>
        <v/>
      </c>
    </row>
    <row r="2148" spans="36:36" ht="12" customHeight="1" x14ac:dyDescent="0.25">
      <c r="AJ2148" t="str">
        <f>IF(AI2148="", "", AI2148&amp;"["&amp;#REF!&amp;"]")</f>
        <v/>
      </c>
    </row>
    <row r="2149" spans="36:36" ht="12" customHeight="1" x14ac:dyDescent="0.25">
      <c r="AJ2149" t="str">
        <f>IF(AI2149="", "", AI2149&amp;"["&amp;#REF!&amp;"]")</f>
        <v/>
      </c>
    </row>
    <row r="2150" spans="36:36" ht="12" customHeight="1" x14ac:dyDescent="0.25">
      <c r="AJ2150" t="str">
        <f>IF(AI2150="", "", AI2150&amp;"["&amp;#REF!&amp;"]")</f>
        <v/>
      </c>
    </row>
    <row r="2151" spans="36:36" ht="12" customHeight="1" x14ac:dyDescent="0.25">
      <c r="AJ2151" t="str">
        <f>IF(AI2151="", "", AI2151&amp;"["&amp;#REF!&amp;"]")</f>
        <v/>
      </c>
    </row>
    <row r="2152" spans="36:36" ht="12" customHeight="1" x14ac:dyDescent="0.25">
      <c r="AJ2152" t="str">
        <f>IF(AI2152="", "", AI2152&amp;"["&amp;#REF!&amp;"]")</f>
        <v/>
      </c>
    </row>
    <row r="2153" spans="36:36" ht="12" customHeight="1" x14ac:dyDescent="0.25">
      <c r="AJ2153" t="str">
        <f>IF(AI2153="", "", AI2153&amp;"["&amp;#REF!&amp;"]")</f>
        <v/>
      </c>
    </row>
    <row r="2154" spans="36:36" ht="12" customHeight="1" x14ac:dyDescent="0.25">
      <c r="AJ2154" t="str">
        <f>IF(AI2154="", "", AI2154&amp;"["&amp;#REF!&amp;"]")</f>
        <v/>
      </c>
    </row>
    <row r="2155" spans="36:36" ht="12" customHeight="1" x14ac:dyDescent="0.25">
      <c r="AJ2155" t="str">
        <f>IF(AI2155="", "", AI2155&amp;"["&amp;#REF!&amp;"]")</f>
        <v/>
      </c>
    </row>
    <row r="2156" spans="36:36" ht="12" customHeight="1" x14ac:dyDescent="0.25">
      <c r="AJ2156" t="str">
        <f>IF(AI2156="", "", AI2156&amp;"["&amp;#REF!&amp;"]")</f>
        <v/>
      </c>
    </row>
    <row r="2157" spans="36:36" ht="12" customHeight="1" x14ac:dyDescent="0.25">
      <c r="AJ2157" t="str">
        <f>IF(AI2157="", "", AI2157&amp;"["&amp;#REF!&amp;"]")</f>
        <v/>
      </c>
    </row>
    <row r="2158" spans="36:36" ht="12" customHeight="1" x14ac:dyDescent="0.25">
      <c r="AJ2158" t="str">
        <f>IF(AI2158="", "", AI2158&amp;"["&amp;#REF!&amp;"]")</f>
        <v/>
      </c>
    </row>
    <row r="2159" spans="36:36" ht="12" customHeight="1" x14ac:dyDescent="0.25">
      <c r="AJ2159" t="str">
        <f>IF(AI2159="", "", AI2159&amp;"["&amp;#REF!&amp;"]")</f>
        <v/>
      </c>
    </row>
    <row r="2160" spans="36:36" ht="12" customHeight="1" x14ac:dyDescent="0.25">
      <c r="AJ2160" t="str">
        <f>IF(AI2160="", "", AI2160&amp;"["&amp;#REF!&amp;"]")</f>
        <v/>
      </c>
    </row>
    <row r="2161" spans="36:36" ht="12" customHeight="1" x14ac:dyDescent="0.25">
      <c r="AJ2161" t="str">
        <f>IF(AI2161="", "", AI2161&amp;"["&amp;#REF!&amp;"]")</f>
        <v/>
      </c>
    </row>
    <row r="2162" spans="36:36" ht="12" customHeight="1" x14ac:dyDescent="0.25">
      <c r="AJ2162" t="str">
        <f>IF(AI2162="", "", AI2162&amp;"["&amp;#REF!&amp;"]")</f>
        <v/>
      </c>
    </row>
    <row r="2163" spans="36:36" ht="12" customHeight="1" x14ac:dyDescent="0.25">
      <c r="AJ2163" t="str">
        <f>IF(AI2163="", "", AI2163&amp;"["&amp;#REF!&amp;"]")</f>
        <v/>
      </c>
    </row>
    <row r="2164" spans="36:36" ht="12" customHeight="1" x14ac:dyDescent="0.25">
      <c r="AJ2164" t="str">
        <f>IF(AI2164="", "", AI2164&amp;"["&amp;#REF!&amp;"]")</f>
        <v/>
      </c>
    </row>
    <row r="2165" spans="36:36" ht="12" customHeight="1" x14ac:dyDescent="0.25">
      <c r="AJ2165" t="str">
        <f>IF(AI2165="", "", AI2165&amp;"["&amp;#REF!&amp;"]")</f>
        <v/>
      </c>
    </row>
    <row r="2166" spans="36:36" ht="12" customHeight="1" x14ac:dyDescent="0.25">
      <c r="AJ2166" t="str">
        <f>IF(AI2166="", "", AI2166&amp;"["&amp;#REF!&amp;"]")</f>
        <v/>
      </c>
    </row>
    <row r="2167" spans="36:36" ht="12" customHeight="1" x14ac:dyDescent="0.25">
      <c r="AJ2167" t="str">
        <f>IF(AI2167="", "", AI2167&amp;"["&amp;#REF!&amp;"]")</f>
        <v/>
      </c>
    </row>
    <row r="2168" spans="36:36" ht="12" customHeight="1" x14ac:dyDescent="0.25">
      <c r="AJ2168" t="str">
        <f>IF(AI2168="", "", AI2168&amp;"["&amp;#REF!&amp;"]")</f>
        <v/>
      </c>
    </row>
    <row r="2169" spans="36:36" ht="12" customHeight="1" x14ac:dyDescent="0.25">
      <c r="AJ2169" t="str">
        <f>IF(AI2169="", "", AI2169&amp;"["&amp;#REF!&amp;"]")</f>
        <v/>
      </c>
    </row>
    <row r="2170" spans="36:36" ht="12" customHeight="1" x14ac:dyDescent="0.25">
      <c r="AJ2170" t="str">
        <f>IF(AI2170="", "", AI2170&amp;"["&amp;#REF!&amp;"]")</f>
        <v/>
      </c>
    </row>
    <row r="2171" spans="36:36" ht="12" customHeight="1" x14ac:dyDescent="0.25">
      <c r="AJ2171" t="str">
        <f>IF(AI2171="", "", AI2171&amp;"["&amp;#REF!&amp;"]")</f>
        <v/>
      </c>
    </row>
    <row r="2172" spans="36:36" ht="12" customHeight="1" x14ac:dyDescent="0.25">
      <c r="AJ2172" t="str">
        <f>IF(AI2172="", "", AI2172&amp;"["&amp;#REF!&amp;"]")</f>
        <v/>
      </c>
    </row>
    <row r="2173" spans="36:36" ht="12" customHeight="1" x14ac:dyDescent="0.25">
      <c r="AJ2173" t="str">
        <f>IF(AI2173="", "", AI2173&amp;"["&amp;#REF!&amp;"]")</f>
        <v/>
      </c>
    </row>
    <row r="2174" spans="36:36" ht="12" customHeight="1" x14ac:dyDescent="0.25">
      <c r="AJ2174" t="str">
        <f>IF(AI2174="", "", AI2174&amp;"["&amp;#REF!&amp;"]")</f>
        <v/>
      </c>
    </row>
    <row r="2175" spans="36:36" ht="12" customHeight="1" x14ac:dyDescent="0.25">
      <c r="AJ2175" t="str">
        <f>IF(AI2175="", "", AI2175&amp;"["&amp;#REF!&amp;"]")</f>
        <v/>
      </c>
    </row>
    <row r="2176" spans="36:36" ht="12" customHeight="1" x14ac:dyDescent="0.25">
      <c r="AJ2176" t="str">
        <f>IF(AI2176="", "", AI2176&amp;"["&amp;#REF!&amp;"]")</f>
        <v/>
      </c>
    </row>
    <row r="2177" spans="36:36" ht="12" customHeight="1" x14ac:dyDescent="0.25">
      <c r="AJ2177" t="str">
        <f>IF(AI2177="", "", AI2177&amp;"["&amp;#REF!&amp;"]")</f>
        <v/>
      </c>
    </row>
    <row r="2178" spans="36:36" ht="12" customHeight="1" x14ac:dyDescent="0.25">
      <c r="AJ2178" t="str">
        <f>IF(AI2178="", "", AI2178&amp;"["&amp;#REF!&amp;"]")</f>
        <v/>
      </c>
    </row>
    <row r="2179" spans="36:36" ht="12" customHeight="1" x14ac:dyDescent="0.25">
      <c r="AJ2179" t="str">
        <f>IF(AI2179="", "", AI2179&amp;"["&amp;#REF!&amp;"]")</f>
        <v/>
      </c>
    </row>
    <row r="2180" spans="36:36" ht="12" customHeight="1" x14ac:dyDescent="0.25">
      <c r="AJ2180" t="str">
        <f>IF(AI2180="", "", AI2180&amp;"["&amp;#REF!&amp;"]")</f>
        <v/>
      </c>
    </row>
    <row r="2181" spans="36:36" ht="12" customHeight="1" x14ac:dyDescent="0.25">
      <c r="AJ2181" t="str">
        <f>IF(AI2181="", "", AI2181&amp;"["&amp;#REF!&amp;"]")</f>
        <v/>
      </c>
    </row>
    <row r="2182" spans="36:36" ht="12" customHeight="1" x14ac:dyDescent="0.25">
      <c r="AJ2182" t="str">
        <f>IF(AI2182="", "", AI2182&amp;"["&amp;#REF!&amp;"]")</f>
        <v/>
      </c>
    </row>
    <row r="2183" spans="36:36" ht="12" customHeight="1" x14ac:dyDescent="0.25">
      <c r="AJ2183" t="str">
        <f>IF(AI2183="", "", AI2183&amp;"["&amp;#REF!&amp;"]")</f>
        <v/>
      </c>
    </row>
    <row r="2184" spans="36:36" ht="12" customHeight="1" x14ac:dyDescent="0.25">
      <c r="AJ2184" t="str">
        <f>IF(AI2184="", "", AI2184&amp;"["&amp;#REF!&amp;"]")</f>
        <v/>
      </c>
    </row>
    <row r="2185" spans="36:36" ht="12" customHeight="1" x14ac:dyDescent="0.25">
      <c r="AJ2185" t="str">
        <f>IF(AI2185="", "", AI2185&amp;"["&amp;#REF!&amp;"]")</f>
        <v/>
      </c>
    </row>
    <row r="2186" spans="36:36" ht="12" customHeight="1" x14ac:dyDescent="0.25">
      <c r="AJ2186" t="str">
        <f>IF(AI2186="", "", AI2186&amp;"["&amp;#REF!&amp;"]")</f>
        <v/>
      </c>
    </row>
    <row r="2187" spans="36:36" ht="12" customHeight="1" x14ac:dyDescent="0.25">
      <c r="AJ2187" t="str">
        <f>IF(AI2187="", "", AI2187&amp;"["&amp;#REF!&amp;"]")</f>
        <v/>
      </c>
    </row>
    <row r="2188" spans="36:36" ht="12" customHeight="1" x14ac:dyDescent="0.25">
      <c r="AJ2188" t="str">
        <f>IF(AI2188="", "", AI2188&amp;"["&amp;#REF!&amp;"]")</f>
        <v/>
      </c>
    </row>
    <row r="2189" spans="36:36" ht="12" customHeight="1" x14ac:dyDescent="0.25">
      <c r="AJ2189" t="str">
        <f>IF(AI2189="", "", AI2189&amp;"["&amp;#REF!&amp;"]")</f>
        <v/>
      </c>
    </row>
    <row r="2190" spans="36:36" ht="12" customHeight="1" x14ac:dyDescent="0.25">
      <c r="AJ2190" t="str">
        <f>IF(AI2190="", "", AI2190&amp;"["&amp;#REF!&amp;"]")</f>
        <v/>
      </c>
    </row>
    <row r="2191" spans="36:36" ht="12" customHeight="1" x14ac:dyDescent="0.25">
      <c r="AJ2191" t="str">
        <f>IF(AI2191="", "", AI2191&amp;"["&amp;#REF!&amp;"]")</f>
        <v/>
      </c>
    </row>
    <row r="2192" spans="36:36" ht="12" customHeight="1" x14ac:dyDescent="0.25">
      <c r="AJ2192" t="str">
        <f>IF(AI2192="", "", AI2192&amp;"["&amp;#REF!&amp;"]")</f>
        <v/>
      </c>
    </row>
    <row r="2193" spans="36:36" ht="12" customHeight="1" x14ac:dyDescent="0.25">
      <c r="AJ2193" t="str">
        <f>IF(AI2193="", "", AI2193&amp;"["&amp;#REF!&amp;"]")</f>
        <v/>
      </c>
    </row>
    <row r="2194" spans="36:36" ht="12" customHeight="1" x14ac:dyDescent="0.25">
      <c r="AJ2194" t="str">
        <f>IF(AI2194="", "", AI2194&amp;"["&amp;#REF!&amp;"]")</f>
        <v/>
      </c>
    </row>
    <row r="2195" spans="36:36" ht="12" customHeight="1" x14ac:dyDescent="0.25">
      <c r="AJ2195" t="str">
        <f>IF(AI2195="", "", AI2195&amp;"["&amp;#REF!&amp;"]")</f>
        <v/>
      </c>
    </row>
    <row r="2196" spans="36:36" ht="12" customHeight="1" x14ac:dyDescent="0.25">
      <c r="AJ2196" t="str">
        <f>IF(AI2196="", "", AI2196&amp;"["&amp;#REF!&amp;"]")</f>
        <v/>
      </c>
    </row>
    <row r="2197" spans="36:36" ht="12" customHeight="1" x14ac:dyDescent="0.25">
      <c r="AJ2197" t="str">
        <f>IF(AI2197="", "", AI2197&amp;"["&amp;#REF!&amp;"]")</f>
        <v/>
      </c>
    </row>
    <row r="2198" spans="36:36" ht="12" customHeight="1" x14ac:dyDescent="0.25">
      <c r="AJ2198" t="str">
        <f>IF(AI2198="", "", AI2198&amp;"["&amp;#REF!&amp;"]")</f>
        <v/>
      </c>
    </row>
    <row r="2199" spans="36:36" ht="12" customHeight="1" x14ac:dyDescent="0.25">
      <c r="AJ2199" t="str">
        <f>IF(AI2199="", "", AI2199&amp;"["&amp;#REF!&amp;"]")</f>
        <v/>
      </c>
    </row>
    <row r="2200" spans="36:36" ht="12" customHeight="1" x14ac:dyDescent="0.25">
      <c r="AJ2200" t="str">
        <f>IF(AI2200="", "", AI2200&amp;"["&amp;#REF!&amp;"]")</f>
        <v/>
      </c>
    </row>
    <row r="2201" spans="36:36" ht="12" customHeight="1" x14ac:dyDescent="0.25">
      <c r="AJ2201" t="str">
        <f>IF(AI2201="", "", AI2201&amp;"["&amp;#REF!&amp;"]")</f>
        <v/>
      </c>
    </row>
    <row r="2202" spans="36:36" ht="12" customHeight="1" x14ac:dyDescent="0.25">
      <c r="AJ2202" t="str">
        <f>IF(AI2202="", "", AI2202&amp;"["&amp;#REF!&amp;"]")</f>
        <v/>
      </c>
    </row>
    <row r="2203" spans="36:36" ht="12" customHeight="1" x14ac:dyDescent="0.25">
      <c r="AJ2203" t="str">
        <f>IF(AI2203="", "", AI2203&amp;"["&amp;#REF!&amp;"]")</f>
        <v/>
      </c>
    </row>
    <row r="2204" spans="36:36" ht="12" customHeight="1" x14ac:dyDescent="0.25">
      <c r="AJ2204" t="str">
        <f>IF(AI2204="", "", AI2204&amp;"["&amp;#REF!&amp;"]")</f>
        <v/>
      </c>
    </row>
    <row r="2205" spans="36:36" ht="12" customHeight="1" x14ac:dyDescent="0.25">
      <c r="AJ2205" t="str">
        <f>IF(AI2205="", "", AI2205&amp;"["&amp;#REF!&amp;"]")</f>
        <v/>
      </c>
    </row>
    <row r="2206" spans="36:36" ht="12" customHeight="1" x14ac:dyDescent="0.25">
      <c r="AJ2206" t="str">
        <f>IF(AI2206="", "", AI2206&amp;"["&amp;#REF!&amp;"]")</f>
        <v/>
      </c>
    </row>
    <row r="2207" spans="36:36" ht="12" customHeight="1" x14ac:dyDescent="0.25">
      <c r="AJ2207" t="str">
        <f>IF(AI2207="", "", AI2207&amp;"["&amp;#REF!&amp;"]")</f>
        <v/>
      </c>
    </row>
    <row r="2208" spans="36:36" ht="12" customHeight="1" x14ac:dyDescent="0.25">
      <c r="AJ2208" t="str">
        <f>IF(AI2208="", "", AI2208&amp;"["&amp;#REF!&amp;"]")</f>
        <v/>
      </c>
    </row>
    <row r="2209" spans="36:36" ht="12" customHeight="1" x14ac:dyDescent="0.25">
      <c r="AJ2209" t="str">
        <f>IF(AI2209="", "", AI2209&amp;"["&amp;#REF!&amp;"]")</f>
        <v/>
      </c>
    </row>
    <row r="2210" spans="36:36" ht="12" customHeight="1" x14ac:dyDescent="0.25">
      <c r="AJ2210" t="str">
        <f>IF(AI2210="", "", AI2210&amp;"["&amp;#REF!&amp;"]")</f>
        <v/>
      </c>
    </row>
    <row r="2211" spans="36:36" ht="12" customHeight="1" x14ac:dyDescent="0.25">
      <c r="AJ2211" t="str">
        <f>IF(AI2211="", "", AI2211&amp;"["&amp;#REF!&amp;"]")</f>
        <v/>
      </c>
    </row>
    <row r="2212" spans="36:36" ht="12" customHeight="1" x14ac:dyDescent="0.25">
      <c r="AJ2212" t="str">
        <f>IF(AI2212="", "", AI2212&amp;"["&amp;#REF!&amp;"]")</f>
        <v/>
      </c>
    </row>
    <row r="2213" spans="36:36" ht="12" customHeight="1" x14ac:dyDescent="0.25">
      <c r="AJ2213" t="str">
        <f>IF(AI2213="", "", AI2213&amp;"["&amp;#REF!&amp;"]")</f>
        <v/>
      </c>
    </row>
    <row r="2214" spans="36:36" ht="12" customHeight="1" x14ac:dyDescent="0.25">
      <c r="AJ2214" t="str">
        <f>IF(AI2214="", "", AI2214&amp;"["&amp;#REF!&amp;"]")</f>
        <v/>
      </c>
    </row>
    <row r="2215" spans="36:36" ht="12" customHeight="1" x14ac:dyDescent="0.25">
      <c r="AJ2215" t="str">
        <f>IF(AI2215="", "", AI2215&amp;"["&amp;#REF!&amp;"]")</f>
        <v/>
      </c>
    </row>
    <row r="2216" spans="36:36" ht="12" customHeight="1" x14ac:dyDescent="0.25">
      <c r="AJ2216" t="str">
        <f>IF(AI2216="", "", AI2216&amp;"["&amp;#REF!&amp;"]")</f>
        <v/>
      </c>
    </row>
    <row r="2217" spans="36:36" ht="12" customHeight="1" x14ac:dyDescent="0.25">
      <c r="AJ2217" t="str">
        <f>IF(AI2217="", "", AI2217&amp;"["&amp;#REF!&amp;"]")</f>
        <v/>
      </c>
    </row>
    <row r="2218" spans="36:36" ht="12" customHeight="1" x14ac:dyDescent="0.25">
      <c r="AJ2218" t="str">
        <f>IF(AI2218="", "", AI2218&amp;"["&amp;#REF!&amp;"]")</f>
        <v/>
      </c>
    </row>
    <row r="2219" spans="36:36" ht="12" customHeight="1" x14ac:dyDescent="0.25">
      <c r="AJ2219" t="str">
        <f>IF(AI2219="", "", AI2219&amp;"["&amp;#REF!&amp;"]")</f>
        <v/>
      </c>
    </row>
    <row r="2220" spans="36:36" ht="12" customHeight="1" x14ac:dyDescent="0.25">
      <c r="AJ2220" t="str">
        <f>IF(AI2220="", "", AI2220&amp;"["&amp;#REF!&amp;"]")</f>
        <v/>
      </c>
    </row>
    <row r="2221" spans="36:36" ht="12" customHeight="1" x14ac:dyDescent="0.25">
      <c r="AJ2221" t="str">
        <f>IF(AI2221="", "", AI2221&amp;"["&amp;#REF!&amp;"]")</f>
        <v/>
      </c>
    </row>
    <row r="2222" spans="36:36" ht="12" customHeight="1" x14ac:dyDescent="0.25">
      <c r="AJ2222" t="str">
        <f>IF(AI2222="", "", AI2222&amp;"["&amp;#REF!&amp;"]")</f>
        <v/>
      </c>
    </row>
    <row r="2223" spans="36:36" ht="12" customHeight="1" x14ac:dyDescent="0.25">
      <c r="AJ2223" t="str">
        <f>IF(AI2223="", "", AI2223&amp;"["&amp;#REF!&amp;"]")</f>
        <v/>
      </c>
    </row>
    <row r="2224" spans="36:36" ht="12" customHeight="1" x14ac:dyDescent="0.25">
      <c r="AJ2224" t="str">
        <f>IF(AI2224="", "", AI2224&amp;"["&amp;#REF!&amp;"]")</f>
        <v/>
      </c>
    </row>
    <row r="2225" spans="36:36" ht="12" customHeight="1" x14ac:dyDescent="0.25">
      <c r="AJ2225" t="str">
        <f>IF(AI2225="", "", AI2225&amp;"["&amp;#REF!&amp;"]")</f>
        <v/>
      </c>
    </row>
    <row r="2226" spans="36:36" ht="12" customHeight="1" x14ac:dyDescent="0.25">
      <c r="AJ2226" t="str">
        <f>IF(AI2226="", "", AI2226&amp;"["&amp;#REF!&amp;"]")</f>
        <v/>
      </c>
    </row>
    <row r="2227" spans="36:36" ht="12" customHeight="1" x14ac:dyDescent="0.25">
      <c r="AJ2227" t="str">
        <f>IF(AI2227="", "", AI2227&amp;"["&amp;#REF!&amp;"]")</f>
        <v/>
      </c>
    </row>
    <row r="2228" spans="36:36" ht="12" customHeight="1" x14ac:dyDescent="0.25">
      <c r="AJ2228" t="str">
        <f>IF(AI2228="", "", AI2228&amp;"["&amp;#REF!&amp;"]")</f>
        <v/>
      </c>
    </row>
    <row r="2229" spans="36:36" ht="12" customHeight="1" x14ac:dyDescent="0.25">
      <c r="AJ2229" t="str">
        <f>IF(AI2229="", "", AI2229&amp;"["&amp;#REF!&amp;"]")</f>
        <v/>
      </c>
    </row>
    <row r="2230" spans="36:36" ht="12" customHeight="1" x14ac:dyDescent="0.25">
      <c r="AJ2230" t="str">
        <f>IF(AI2230="", "", AI2230&amp;"["&amp;#REF!&amp;"]")</f>
        <v/>
      </c>
    </row>
    <row r="2231" spans="36:36" ht="12" customHeight="1" x14ac:dyDescent="0.25">
      <c r="AJ2231" t="str">
        <f>IF(AI2231="", "", AI2231&amp;"["&amp;#REF!&amp;"]")</f>
        <v/>
      </c>
    </row>
    <row r="2232" spans="36:36" ht="12" customHeight="1" x14ac:dyDescent="0.25">
      <c r="AJ2232" t="str">
        <f>IF(AI2232="", "", AI2232&amp;"["&amp;#REF!&amp;"]")</f>
        <v/>
      </c>
    </row>
    <row r="2233" spans="36:36" ht="12" customHeight="1" x14ac:dyDescent="0.25">
      <c r="AJ2233" t="str">
        <f>IF(AI2233="", "", AI2233&amp;"["&amp;#REF!&amp;"]")</f>
        <v/>
      </c>
    </row>
    <row r="2234" spans="36:36" ht="12" customHeight="1" x14ac:dyDescent="0.25">
      <c r="AJ2234" t="str">
        <f>IF(AI2234="", "", AI2234&amp;"["&amp;#REF!&amp;"]")</f>
        <v/>
      </c>
    </row>
    <row r="2235" spans="36:36" ht="12" customHeight="1" x14ac:dyDescent="0.25">
      <c r="AJ2235" t="str">
        <f>IF(AI2235="", "", AI2235&amp;"["&amp;#REF!&amp;"]")</f>
        <v/>
      </c>
    </row>
    <row r="2236" spans="36:36" ht="12" customHeight="1" x14ac:dyDescent="0.25">
      <c r="AJ2236" t="str">
        <f>IF(AI2236="", "", AI2236&amp;"["&amp;#REF!&amp;"]")</f>
        <v/>
      </c>
    </row>
    <row r="2237" spans="36:36" ht="12" customHeight="1" x14ac:dyDescent="0.25">
      <c r="AJ2237" t="str">
        <f>IF(AI2237="", "", AI2237&amp;"["&amp;#REF!&amp;"]")</f>
        <v/>
      </c>
    </row>
    <row r="2238" spans="36:36" ht="12" customHeight="1" x14ac:dyDescent="0.25">
      <c r="AJ2238" t="str">
        <f>IF(AI2238="", "", AI2238&amp;"["&amp;#REF!&amp;"]")</f>
        <v/>
      </c>
    </row>
    <row r="2239" spans="36:36" ht="12" customHeight="1" x14ac:dyDescent="0.25">
      <c r="AJ2239" t="str">
        <f>IF(AI2239="", "", AI2239&amp;"["&amp;#REF!&amp;"]")</f>
        <v/>
      </c>
    </row>
    <row r="2240" spans="36:36" ht="12" customHeight="1" x14ac:dyDescent="0.25">
      <c r="AJ2240" t="str">
        <f>IF(AI2240="", "", AI2240&amp;"["&amp;#REF!&amp;"]")</f>
        <v/>
      </c>
    </row>
    <row r="2241" spans="36:36" ht="12" customHeight="1" x14ac:dyDescent="0.25">
      <c r="AJ2241" t="str">
        <f>IF(AI2241="", "", AI2241&amp;"["&amp;#REF!&amp;"]")</f>
        <v/>
      </c>
    </row>
    <row r="2242" spans="36:36" ht="12" customHeight="1" x14ac:dyDescent="0.25">
      <c r="AJ2242" t="str">
        <f>IF(AI2242="", "", AI2242&amp;"["&amp;#REF!&amp;"]")</f>
        <v/>
      </c>
    </row>
    <row r="2243" spans="36:36" ht="12" customHeight="1" x14ac:dyDescent="0.25">
      <c r="AJ2243" t="str">
        <f>IF(AI2243="", "", AI2243&amp;"["&amp;#REF!&amp;"]")</f>
        <v/>
      </c>
    </row>
    <row r="2244" spans="36:36" ht="12" customHeight="1" x14ac:dyDescent="0.25">
      <c r="AJ2244" t="str">
        <f>IF(AI2244="", "", AI2244&amp;"["&amp;#REF!&amp;"]")</f>
        <v/>
      </c>
    </row>
    <row r="2245" spans="36:36" ht="12" customHeight="1" x14ac:dyDescent="0.25">
      <c r="AJ2245" t="str">
        <f>IF(AI2245="", "", AI2245&amp;"["&amp;#REF!&amp;"]")</f>
        <v/>
      </c>
    </row>
    <row r="2246" spans="36:36" ht="12" customHeight="1" x14ac:dyDescent="0.25">
      <c r="AJ2246" t="str">
        <f>IF(AI2246="", "", AI2246&amp;"["&amp;#REF!&amp;"]")</f>
        <v/>
      </c>
    </row>
    <row r="2247" spans="36:36" ht="12" customHeight="1" x14ac:dyDescent="0.25">
      <c r="AJ2247" t="str">
        <f>IF(AI2247="", "", AI2247&amp;"["&amp;#REF!&amp;"]")</f>
        <v/>
      </c>
    </row>
    <row r="2248" spans="36:36" ht="12" customHeight="1" x14ac:dyDescent="0.25">
      <c r="AJ2248" t="str">
        <f>IF(AI2248="", "", AI2248&amp;"["&amp;#REF!&amp;"]")</f>
        <v/>
      </c>
    </row>
    <row r="2249" spans="36:36" ht="12" customHeight="1" x14ac:dyDescent="0.25">
      <c r="AJ2249" t="str">
        <f>IF(AI2249="", "", AI2249&amp;"["&amp;#REF!&amp;"]")</f>
        <v/>
      </c>
    </row>
    <row r="2250" spans="36:36" ht="12" customHeight="1" x14ac:dyDescent="0.25">
      <c r="AJ2250" t="str">
        <f>IF(AI2250="", "", AI2250&amp;"["&amp;#REF!&amp;"]")</f>
        <v/>
      </c>
    </row>
    <row r="2251" spans="36:36" ht="12" customHeight="1" x14ac:dyDescent="0.25">
      <c r="AJ2251" t="str">
        <f>IF(AI2251="", "", AI2251&amp;"["&amp;#REF!&amp;"]")</f>
        <v/>
      </c>
    </row>
    <row r="2252" spans="36:36" ht="12" customHeight="1" x14ac:dyDescent="0.25">
      <c r="AJ2252" t="str">
        <f>IF(AI2252="", "", AI2252&amp;"["&amp;#REF!&amp;"]")</f>
        <v/>
      </c>
    </row>
    <row r="2253" spans="36:36" ht="12" customHeight="1" x14ac:dyDescent="0.25">
      <c r="AJ2253" t="str">
        <f>IF(AI2253="", "", AI2253&amp;"["&amp;#REF!&amp;"]")</f>
        <v/>
      </c>
    </row>
    <row r="2254" spans="36:36" ht="12" customHeight="1" x14ac:dyDescent="0.25">
      <c r="AJ2254" t="str">
        <f>IF(AI2254="", "", AI2254&amp;"["&amp;#REF!&amp;"]")</f>
        <v/>
      </c>
    </row>
    <row r="2255" spans="36:36" ht="12" customHeight="1" x14ac:dyDescent="0.25">
      <c r="AJ2255" t="str">
        <f>IF(AI2255="", "", AI2255&amp;"["&amp;#REF!&amp;"]")</f>
        <v/>
      </c>
    </row>
    <row r="2256" spans="36:36" ht="12" customHeight="1" x14ac:dyDescent="0.25">
      <c r="AJ2256" t="str">
        <f>IF(AI2256="", "", AI2256&amp;"["&amp;#REF!&amp;"]")</f>
        <v/>
      </c>
    </row>
    <row r="2257" spans="36:36" ht="12" customHeight="1" x14ac:dyDescent="0.25">
      <c r="AJ2257" t="str">
        <f>IF(AI2257="", "", AI2257&amp;"["&amp;#REF!&amp;"]")</f>
        <v/>
      </c>
    </row>
    <row r="2258" spans="36:36" ht="12" customHeight="1" x14ac:dyDescent="0.25">
      <c r="AJ2258" t="str">
        <f>IF(AI2258="", "", AI2258&amp;"["&amp;#REF!&amp;"]")</f>
        <v/>
      </c>
    </row>
    <row r="2259" spans="36:36" ht="12" customHeight="1" x14ac:dyDescent="0.25">
      <c r="AJ2259" t="str">
        <f>IF(AI2259="", "", AI2259&amp;"["&amp;#REF!&amp;"]")</f>
        <v/>
      </c>
    </row>
    <row r="2260" spans="36:36" ht="12" customHeight="1" x14ac:dyDescent="0.25">
      <c r="AJ2260" t="str">
        <f>IF(AI2260="", "", AI2260&amp;"["&amp;#REF!&amp;"]")</f>
        <v/>
      </c>
    </row>
    <row r="2261" spans="36:36" ht="12" customHeight="1" x14ac:dyDescent="0.25">
      <c r="AJ2261" t="str">
        <f>IF(AI2261="", "", AI2261&amp;"["&amp;#REF!&amp;"]")</f>
        <v/>
      </c>
    </row>
    <row r="2262" spans="36:36" ht="12" customHeight="1" x14ac:dyDescent="0.25">
      <c r="AJ2262" t="str">
        <f>IF(AI2262="", "", AI2262&amp;"["&amp;#REF!&amp;"]")</f>
        <v/>
      </c>
    </row>
    <row r="2263" spans="36:36" ht="12" customHeight="1" x14ac:dyDescent="0.25">
      <c r="AJ2263" t="str">
        <f>IF(AI2263="", "", AI2263&amp;"["&amp;#REF!&amp;"]")</f>
        <v/>
      </c>
    </row>
    <row r="2264" spans="36:36" ht="12" customHeight="1" x14ac:dyDescent="0.25">
      <c r="AJ2264" t="str">
        <f>IF(AI2264="", "", AI2264&amp;"["&amp;#REF!&amp;"]")</f>
        <v/>
      </c>
    </row>
    <row r="2265" spans="36:36" ht="12" customHeight="1" x14ac:dyDescent="0.25">
      <c r="AJ2265" t="str">
        <f>IF(AI2265="", "", AI2265&amp;"["&amp;#REF!&amp;"]")</f>
        <v/>
      </c>
    </row>
    <row r="2266" spans="36:36" ht="12" customHeight="1" x14ac:dyDescent="0.25">
      <c r="AJ2266" t="str">
        <f>IF(AI2266="", "", AI2266&amp;"["&amp;#REF!&amp;"]")</f>
        <v/>
      </c>
    </row>
    <row r="2267" spans="36:36" ht="12" customHeight="1" x14ac:dyDescent="0.25">
      <c r="AJ2267" t="str">
        <f>IF(AI2267="", "", AI2267&amp;"["&amp;#REF!&amp;"]")</f>
        <v/>
      </c>
    </row>
    <row r="2268" spans="36:36" ht="12" customHeight="1" x14ac:dyDescent="0.25">
      <c r="AJ2268" t="str">
        <f>IF(AI2268="", "", AI2268&amp;"["&amp;#REF!&amp;"]")</f>
        <v/>
      </c>
    </row>
    <row r="2269" spans="36:36" ht="12" customHeight="1" x14ac:dyDescent="0.25">
      <c r="AJ2269" t="str">
        <f>IF(AI2269="", "", AI2269&amp;"["&amp;#REF!&amp;"]")</f>
        <v/>
      </c>
    </row>
    <row r="2270" spans="36:36" ht="12" customHeight="1" x14ac:dyDescent="0.25">
      <c r="AJ2270" t="str">
        <f>IF(AI2270="", "", AI2270&amp;"["&amp;#REF!&amp;"]")</f>
        <v/>
      </c>
    </row>
    <row r="2271" spans="36:36" ht="12" customHeight="1" x14ac:dyDescent="0.25">
      <c r="AJ2271" t="str">
        <f>IF(AI2271="", "", AI2271&amp;"["&amp;#REF!&amp;"]")</f>
        <v/>
      </c>
    </row>
    <row r="2272" spans="36:36" ht="12" customHeight="1" x14ac:dyDescent="0.25">
      <c r="AJ2272" t="str">
        <f>IF(AI2272="", "", AI2272&amp;"["&amp;#REF!&amp;"]")</f>
        <v/>
      </c>
    </row>
    <row r="2273" spans="36:36" ht="12" customHeight="1" x14ac:dyDescent="0.25">
      <c r="AJ2273" t="str">
        <f>IF(AI2273="", "", AI2273&amp;"["&amp;#REF!&amp;"]")</f>
        <v/>
      </c>
    </row>
    <row r="2274" spans="36:36" ht="12" customHeight="1" x14ac:dyDescent="0.25">
      <c r="AJ2274" t="str">
        <f>IF(AI2274="", "", AI2274&amp;"["&amp;#REF!&amp;"]")</f>
        <v/>
      </c>
    </row>
    <row r="2275" spans="36:36" ht="12" customHeight="1" x14ac:dyDescent="0.25">
      <c r="AJ2275" t="str">
        <f>IF(AI2275="", "", AI2275&amp;"["&amp;#REF!&amp;"]")</f>
        <v/>
      </c>
    </row>
    <row r="2276" spans="36:36" ht="12" customHeight="1" x14ac:dyDescent="0.25">
      <c r="AJ2276" t="str">
        <f>IF(AI2276="", "", AI2276&amp;"["&amp;#REF!&amp;"]")</f>
        <v/>
      </c>
    </row>
    <row r="2277" spans="36:36" ht="12" customHeight="1" x14ac:dyDescent="0.25">
      <c r="AJ2277" t="str">
        <f>IF(AI2277="", "", AI2277&amp;"["&amp;#REF!&amp;"]")</f>
        <v/>
      </c>
    </row>
    <row r="2278" spans="36:36" ht="12" customHeight="1" x14ac:dyDescent="0.25">
      <c r="AJ2278" t="str">
        <f>IF(AI2278="", "", AI2278&amp;"["&amp;#REF!&amp;"]")</f>
        <v/>
      </c>
    </row>
    <row r="2279" spans="36:36" ht="12" customHeight="1" x14ac:dyDescent="0.25">
      <c r="AJ2279" t="str">
        <f>IF(AI2279="", "", AI2279&amp;"["&amp;#REF!&amp;"]")</f>
        <v/>
      </c>
    </row>
    <row r="2280" spans="36:36" ht="12" customHeight="1" x14ac:dyDescent="0.25">
      <c r="AJ2280" t="str">
        <f>IF(AI2280="", "", AI2280&amp;"["&amp;#REF!&amp;"]")</f>
        <v/>
      </c>
    </row>
    <row r="2281" spans="36:36" ht="12" customHeight="1" x14ac:dyDescent="0.25">
      <c r="AJ2281" t="str">
        <f>IF(AI2281="", "", AI2281&amp;"["&amp;#REF!&amp;"]")</f>
        <v/>
      </c>
    </row>
    <row r="2282" spans="36:36" ht="12" customHeight="1" x14ac:dyDescent="0.25">
      <c r="AJ2282" t="str">
        <f>IF(AI2282="", "", AI2282&amp;"["&amp;#REF!&amp;"]")</f>
        <v/>
      </c>
    </row>
    <row r="2283" spans="36:36" ht="12" customHeight="1" x14ac:dyDescent="0.25">
      <c r="AJ2283" t="str">
        <f>IF(AI2283="", "", AI2283&amp;"["&amp;#REF!&amp;"]")</f>
        <v/>
      </c>
    </row>
    <row r="2284" spans="36:36" ht="12" customHeight="1" x14ac:dyDescent="0.25">
      <c r="AJ2284" t="str">
        <f>IF(AI2284="", "", AI2284&amp;"["&amp;#REF!&amp;"]")</f>
        <v/>
      </c>
    </row>
    <row r="2285" spans="36:36" ht="12" customHeight="1" x14ac:dyDescent="0.25">
      <c r="AJ2285" t="str">
        <f>IF(AI2285="", "", AI2285&amp;"["&amp;#REF!&amp;"]")</f>
        <v/>
      </c>
    </row>
    <row r="2286" spans="36:36" ht="12" customHeight="1" x14ac:dyDescent="0.25">
      <c r="AJ2286" t="str">
        <f>IF(AI2286="", "", AI2286&amp;"["&amp;#REF!&amp;"]")</f>
        <v/>
      </c>
    </row>
    <row r="2287" spans="36:36" ht="12" customHeight="1" x14ac:dyDescent="0.25">
      <c r="AJ2287" t="str">
        <f>IF(AI2287="", "", AI2287&amp;"["&amp;#REF!&amp;"]")</f>
        <v/>
      </c>
    </row>
    <row r="2288" spans="36:36" ht="12" customHeight="1" x14ac:dyDescent="0.25">
      <c r="AJ2288" t="str">
        <f>IF(AI2288="", "", AI2288&amp;"["&amp;#REF!&amp;"]")</f>
        <v/>
      </c>
    </row>
    <row r="2289" spans="36:36" ht="12" customHeight="1" x14ac:dyDescent="0.25">
      <c r="AJ2289" t="str">
        <f>IF(AI2289="", "", AI2289&amp;"["&amp;#REF!&amp;"]")</f>
        <v/>
      </c>
    </row>
    <row r="2290" spans="36:36" ht="12" customHeight="1" x14ac:dyDescent="0.25">
      <c r="AJ2290" t="str">
        <f>IF(AI2290="", "", AI2290&amp;"["&amp;#REF!&amp;"]")</f>
        <v/>
      </c>
    </row>
    <row r="2291" spans="36:36" ht="12" customHeight="1" x14ac:dyDescent="0.25">
      <c r="AJ2291" t="str">
        <f>IF(AI2291="", "", AI2291&amp;"["&amp;#REF!&amp;"]")</f>
        <v/>
      </c>
    </row>
    <row r="2292" spans="36:36" ht="12" customHeight="1" x14ac:dyDescent="0.25">
      <c r="AJ2292" t="str">
        <f>IF(AI2292="", "", AI2292&amp;"["&amp;#REF!&amp;"]")</f>
        <v/>
      </c>
    </row>
    <row r="2293" spans="36:36" ht="12" customHeight="1" x14ac:dyDescent="0.25">
      <c r="AJ2293" t="str">
        <f>IF(AI2293="", "", AI2293&amp;"["&amp;#REF!&amp;"]")</f>
        <v/>
      </c>
    </row>
    <row r="2294" spans="36:36" ht="12" customHeight="1" x14ac:dyDescent="0.25">
      <c r="AJ2294" t="str">
        <f>IF(AI2294="", "", AI2294&amp;"["&amp;#REF!&amp;"]")</f>
        <v/>
      </c>
    </row>
    <row r="2295" spans="36:36" ht="12" customHeight="1" x14ac:dyDescent="0.25">
      <c r="AJ2295" t="str">
        <f>IF(AI2295="", "", AI2295&amp;"["&amp;#REF!&amp;"]")</f>
        <v/>
      </c>
    </row>
    <row r="2296" spans="36:36" ht="12" customHeight="1" x14ac:dyDescent="0.25">
      <c r="AJ2296" t="str">
        <f>IF(AI2296="", "", AI2296&amp;"["&amp;#REF!&amp;"]")</f>
        <v/>
      </c>
    </row>
    <row r="2297" spans="36:36" ht="12" customHeight="1" x14ac:dyDescent="0.25">
      <c r="AJ2297" t="str">
        <f>IF(AI2297="", "", AI2297&amp;"["&amp;#REF!&amp;"]")</f>
        <v/>
      </c>
    </row>
    <row r="2298" spans="36:36" ht="12" customHeight="1" x14ac:dyDescent="0.25">
      <c r="AJ2298" t="str">
        <f>IF(AI2298="", "", AI2298&amp;"["&amp;#REF!&amp;"]")</f>
        <v/>
      </c>
    </row>
    <row r="2299" spans="36:36" ht="12" customHeight="1" x14ac:dyDescent="0.25">
      <c r="AJ2299" t="str">
        <f>IF(AI2299="", "", AI2299&amp;"["&amp;#REF!&amp;"]")</f>
        <v/>
      </c>
    </row>
    <row r="2300" spans="36:36" ht="12" customHeight="1" x14ac:dyDescent="0.25">
      <c r="AJ2300" t="str">
        <f>IF(AI2300="", "", AI2300&amp;"["&amp;#REF!&amp;"]")</f>
        <v/>
      </c>
    </row>
    <row r="2301" spans="36:36" ht="12" customHeight="1" x14ac:dyDescent="0.25">
      <c r="AJ2301" t="str">
        <f>IF(AI2301="", "", AI2301&amp;"["&amp;#REF!&amp;"]")</f>
        <v/>
      </c>
    </row>
    <row r="2302" spans="36:36" ht="12" customHeight="1" x14ac:dyDescent="0.25">
      <c r="AJ2302" t="str">
        <f>IF(AI2302="", "", AI2302&amp;"["&amp;#REF!&amp;"]")</f>
        <v/>
      </c>
    </row>
    <row r="2303" spans="36:36" ht="12" customHeight="1" x14ac:dyDescent="0.25">
      <c r="AJ2303" t="str">
        <f>IF(AI2303="", "", AI2303&amp;"["&amp;#REF!&amp;"]")</f>
        <v/>
      </c>
    </row>
    <row r="2304" spans="36:36" ht="12" customHeight="1" x14ac:dyDescent="0.25">
      <c r="AJ2304" t="str">
        <f>IF(AI2304="", "", AI2304&amp;"["&amp;#REF!&amp;"]")</f>
        <v/>
      </c>
    </row>
    <row r="2305" spans="36:36" ht="12" customHeight="1" x14ac:dyDescent="0.25">
      <c r="AJ2305" t="str">
        <f>IF(AI2305="", "", AI2305&amp;"["&amp;#REF!&amp;"]")</f>
        <v/>
      </c>
    </row>
    <row r="2306" spans="36:36" ht="12" customHeight="1" x14ac:dyDescent="0.25">
      <c r="AJ2306" t="str">
        <f>IF(AI2306="", "", AI2306&amp;"["&amp;#REF!&amp;"]")</f>
        <v/>
      </c>
    </row>
    <row r="2307" spans="36:36" ht="12" customHeight="1" x14ac:dyDescent="0.25">
      <c r="AJ2307" t="str">
        <f>IF(AI2307="", "", AI2307&amp;"["&amp;#REF!&amp;"]")</f>
        <v/>
      </c>
    </row>
    <row r="2308" spans="36:36" ht="12" customHeight="1" x14ac:dyDescent="0.25">
      <c r="AJ2308" t="str">
        <f>IF(AI2308="", "", AI2308&amp;"["&amp;#REF!&amp;"]")</f>
        <v/>
      </c>
    </row>
    <row r="2309" spans="36:36" ht="12" customHeight="1" x14ac:dyDescent="0.25">
      <c r="AJ2309" t="str">
        <f>IF(AI2309="", "", AI2309&amp;"["&amp;#REF!&amp;"]")</f>
        <v/>
      </c>
    </row>
    <row r="2310" spans="36:36" ht="12" customHeight="1" x14ac:dyDescent="0.25">
      <c r="AJ2310" t="str">
        <f>IF(AI2310="", "", AI2310&amp;"["&amp;#REF!&amp;"]")</f>
        <v/>
      </c>
    </row>
    <row r="2311" spans="36:36" ht="12" customHeight="1" x14ac:dyDescent="0.25">
      <c r="AJ2311" t="str">
        <f>IF(AI2311="", "", AI2311&amp;"["&amp;#REF!&amp;"]")</f>
        <v/>
      </c>
    </row>
    <row r="2312" spans="36:36" ht="12" customHeight="1" x14ac:dyDescent="0.25">
      <c r="AJ2312" t="str">
        <f>IF(AI2312="", "", AI2312&amp;"["&amp;#REF!&amp;"]")</f>
        <v/>
      </c>
    </row>
    <row r="2313" spans="36:36" ht="12" customHeight="1" x14ac:dyDescent="0.25">
      <c r="AJ2313" t="str">
        <f>IF(AI2313="", "", AI2313&amp;"["&amp;#REF!&amp;"]")</f>
        <v/>
      </c>
    </row>
    <row r="2314" spans="36:36" ht="12" customHeight="1" x14ac:dyDescent="0.25">
      <c r="AJ2314" t="str">
        <f>IF(AI2314="", "", AI2314&amp;"["&amp;#REF!&amp;"]")</f>
        <v/>
      </c>
    </row>
    <row r="2315" spans="36:36" ht="12" customHeight="1" x14ac:dyDescent="0.25">
      <c r="AJ2315" t="str">
        <f>IF(AI2315="", "", AI2315&amp;"["&amp;#REF!&amp;"]")</f>
        <v/>
      </c>
    </row>
    <row r="2316" spans="36:36" ht="12" customHeight="1" x14ac:dyDescent="0.25">
      <c r="AJ2316" t="str">
        <f>IF(AI2316="", "", AI2316&amp;"["&amp;#REF!&amp;"]")</f>
        <v/>
      </c>
    </row>
    <row r="2317" spans="36:36" ht="12" customHeight="1" x14ac:dyDescent="0.25">
      <c r="AJ2317" t="str">
        <f>IF(AI2317="", "", AI2317&amp;"["&amp;#REF!&amp;"]")</f>
        <v/>
      </c>
    </row>
    <row r="2318" spans="36:36" ht="12" customHeight="1" x14ac:dyDescent="0.25">
      <c r="AJ2318" t="str">
        <f>IF(AI2318="", "", AI2318&amp;"["&amp;#REF!&amp;"]")</f>
        <v/>
      </c>
    </row>
    <row r="2319" spans="36:36" ht="12" customHeight="1" x14ac:dyDescent="0.25">
      <c r="AJ2319" t="str">
        <f>IF(AI2319="", "", AI2319&amp;"["&amp;#REF!&amp;"]")</f>
        <v/>
      </c>
    </row>
    <row r="2320" spans="36:36" ht="12" customHeight="1" x14ac:dyDescent="0.25">
      <c r="AJ2320" t="str">
        <f>IF(AI2320="", "", AI2320&amp;"["&amp;#REF!&amp;"]")</f>
        <v/>
      </c>
    </row>
    <row r="2321" spans="36:36" ht="12" customHeight="1" x14ac:dyDescent="0.25">
      <c r="AJ2321" t="str">
        <f>IF(AI2321="", "", AI2321&amp;"["&amp;#REF!&amp;"]")</f>
        <v/>
      </c>
    </row>
    <row r="2322" spans="36:36" ht="12" customHeight="1" x14ac:dyDescent="0.25">
      <c r="AJ2322" t="str">
        <f>IF(AI2322="", "", AI2322&amp;"["&amp;#REF!&amp;"]")</f>
        <v/>
      </c>
    </row>
    <row r="2323" spans="36:36" ht="12" customHeight="1" x14ac:dyDescent="0.25">
      <c r="AJ2323" t="str">
        <f>IF(AI2323="", "", AI2323&amp;"["&amp;#REF!&amp;"]")</f>
        <v/>
      </c>
    </row>
    <row r="2324" spans="36:36" ht="12" customHeight="1" x14ac:dyDescent="0.25">
      <c r="AJ2324" t="str">
        <f>IF(AI2324="", "", AI2324&amp;"["&amp;#REF!&amp;"]")</f>
        <v/>
      </c>
    </row>
    <row r="2325" spans="36:36" ht="12" customHeight="1" x14ac:dyDescent="0.25">
      <c r="AJ2325" t="str">
        <f>IF(AI2325="", "", AI2325&amp;"["&amp;#REF!&amp;"]")</f>
        <v/>
      </c>
    </row>
    <row r="2326" spans="36:36" ht="12" customHeight="1" x14ac:dyDescent="0.25">
      <c r="AJ2326" t="str">
        <f>IF(AI2326="", "", AI2326&amp;"["&amp;#REF!&amp;"]")</f>
        <v/>
      </c>
    </row>
    <row r="2327" spans="36:36" ht="12" customHeight="1" x14ac:dyDescent="0.25">
      <c r="AJ2327" t="str">
        <f>IF(AI2327="", "", AI2327&amp;"["&amp;#REF!&amp;"]")</f>
        <v/>
      </c>
    </row>
    <row r="2328" spans="36:36" ht="12" customHeight="1" x14ac:dyDescent="0.25">
      <c r="AJ2328" t="str">
        <f>IF(AI2328="", "", AI2328&amp;"["&amp;#REF!&amp;"]")</f>
        <v/>
      </c>
    </row>
    <row r="2329" spans="36:36" ht="12" customHeight="1" x14ac:dyDescent="0.25">
      <c r="AJ2329" t="str">
        <f>IF(AI2329="", "", AI2329&amp;"["&amp;#REF!&amp;"]")</f>
        <v/>
      </c>
    </row>
    <row r="2330" spans="36:36" ht="12" customHeight="1" x14ac:dyDescent="0.25">
      <c r="AJ2330" t="str">
        <f>IF(AI2330="", "", AI2330&amp;"["&amp;#REF!&amp;"]")</f>
        <v/>
      </c>
    </row>
    <row r="2331" spans="36:36" ht="12" customHeight="1" x14ac:dyDescent="0.25">
      <c r="AJ2331" t="str">
        <f>IF(AI2331="", "", AI2331&amp;"["&amp;#REF!&amp;"]")</f>
        <v/>
      </c>
    </row>
    <row r="2332" spans="36:36" ht="12" customHeight="1" x14ac:dyDescent="0.25">
      <c r="AJ2332" t="str">
        <f>IF(AI2332="", "", AI2332&amp;"["&amp;#REF!&amp;"]")</f>
        <v/>
      </c>
    </row>
    <row r="2333" spans="36:36" ht="12" customHeight="1" x14ac:dyDescent="0.25">
      <c r="AJ2333" t="str">
        <f>IF(AI2333="", "", AI2333&amp;"["&amp;#REF!&amp;"]")</f>
        <v/>
      </c>
    </row>
    <row r="2334" spans="36:36" ht="12" customHeight="1" x14ac:dyDescent="0.25">
      <c r="AJ2334" t="str">
        <f>IF(AI2334="", "", AI2334&amp;"["&amp;#REF!&amp;"]")</f>
        <v/>
      </c>
    </row>
    <row r="2335" spans="36:36" ht="12" customHeight="1" x14ac:dyDescent="0.25">
      <c r="AJ2335" t="str">
        <f>IF(AI2335="", "", AI2335&amp;"["&amp;#REF!&amp;"]")</f>
        <v/>
      </c>
    </row>
    <row r="2336" spans="36:36" ht="12" customHeight="1" x14ac:dyDescent="0.25">
      <c r="AJ2336" t="str">
        <f>IF(AI2336="", "", AI2336&amp;"["&amp;#REF!&amp;"]")</f>
        <v/>
      </c>
    </row>
    <row r="2337" spans="36:36" ht="12" customHeight="1" x14ac:dyDescent="0.25">
      <c r="AJ2337" t="str">
        <f>IF(AI2337="", "", AI2337&amp;"["&amp;#REF!&amp;"]")</f>
        <v/>
      </c>
    </row>
    <row r="2338" spans="36:36" ht="12" customHeight="1" x14ac:dyDescent="0.25">
      <c r="AJ2338" t="str">
        <f>IF(AI2338="", "", AI2338&amp;"["&amp;#REF!&amp;"]")</f>
        <v/>
      </c>
    </row>
    <row r="2339" spans="36:36" ht="12" customHeight="1" x14ac:dyDescent="0.25">
      <c r="AJ2339" t="str">
        <f>IF(AI2339="", "", AI2339&amp;"["&amp;#REF!&amp;"]")</f>
        <v/>
      </c>
    </row>
    <row r="2340" spans="36:36" ht="12" customHeight="1" x14ac:dyDescent="0.25">
      <c r="AJ2340" t="str">
        <f>IF(AI2340="", "", AI2340&amp;"["&amp;#REF!&amp;"]")</f>
        <v/>
      </c>
    </row>
    <row r="2341" spans="36:36" ht="12" customHeight="1" x14ac:dyDescent="0.25">
      <c r="AJ2341" t="str">
        <f>IF(AI2341="", "", AI2341&amp;"["&amp;#REF!&amp;"]")</f>
        <v/>
      </c>
    </row>
    <row r="2342" spans="36:36" ht="12" customHeight="1" x14ac:dyDescent="0.25">
      <c r="AJ2342" t="str">
        <f>IF(AI2342="", "", AI2342&amp;"["&amp;#REF!&amp;"]")</f>
        <v/>
      </c>
    </row>
    <row r="2343" spans="36:36" ht="12" customHeight="1" x14ac:dyDescent="0.25">
      <c r="AJ2343" t="str">
        <f>IF(AI2343="", "", AI2343&amp;"["&amp;#REF!&amp;"]")</f>
        <v/>
      </c>
    </row>
    <row r="2344" spans="36:36" ht="12" customHeight="1" x14ac:dyDescent="0.25">
      <c r="AJ2344" t="str">
        <f>IF(AI2344="", "", AI2344&amp;"["&amp;#REF!&amp;"]")</f>
        <v/>
      </c>
    </row>
    <row r="2345" spans="36:36" ht="12" customHeight="1" x14ac:dyDescent="0.25">
      <c r="AJ2345" t="str">
        <f>IF(AI2345="", "", AI2345&amp;"["&amp;#REF!&amp;"]")</f>
        <v/>
      </c>
    </row>
    <row r="2346" spans="36:36" ht="12" customHeight="1" x14ac:dyDescent="0.25">
      <c r="AJ2346" t="str">
        <f>IF(AI2346="", "", AI2346&amp;"["&amp;#REF!&amp;"]")</f>
        <v/>
      </c>
    </row>
    <row r="2347" spans="36:36" ht="12" customHeight="1" x14ac:dyDescent="0.25">
      <c r="AJ2347" t="str">
        <f>IF(AI2347="", "", AI2347&amp;"["&amp;#REF!&amp;"]")</f>
        <v/>
      </c>
    </row>
    <row r="2348" spans="36:36" ht="12" customHeight="1" x14ac:dyDescent="0.25">
      <c r="AJ2348" t="str">
        <f>IF(AI2348="", "", AI2348&amp;"["&amp;#REF!&amp;"]")</f>
        <v/>
      </c>
    </row>
    <row r="2349" spans="36:36" ht="12" customHeight="1" x14ac:dyDescent="0.25">
      <c r="AJ2349" t="str">
        <f>IF(AI2349="", "", AI2349&amp;"["&amp;#REF!&amp;"]")</f>
        <v/>
      </c>
    </row>
    <row r="2350" spans="36:36" ht="12" customHeight="1" x14ac:dyDescent="0.25">
      <c r="AJ2350" t="str">
        <f>IF(AI2350="", "", AI2350&amp;"["&amp;#REF!&amp;"]")</f>
        <v/>
      </c>
    </row>
    <row r="2351" spans="36:36" ht="12" customHeight="1" x14ac:dyDescent="0.25">
      <c r="AJ2351" t="str">
        <f>IF(AI2351="", "", AI2351&amp;"["&amp;#REF!&amp;"]")</f>
        <v/>
      </c>
    </row>
    <row r="2352" spans="36:36" ht="12" customHeight="1" x14ac:dyDescent="0.25">
      <c r="AJ2352" t="str">
        <f>IF(AI2352="", "", AI2352&amp;"["&amp;#REF!&amp;"]")</f>
        <v/>
      </c>
    </row>
    <row r="2353" spans="36:36" ht="12" customHeight="1" x14ac:dyDescent="0.25">
      <c r="AJ2353" t="str">
        <f>IF(AI2353="", "", AI2353&amp;"["&amp;#REF!&amp;"]")</f>
        <v/>
      </c>
    </row>
    <row r="2354" spans="36:36" ht="12" customHeight="1" x14ac:dyDescent="0.25">
      <c r="AJ2354" t="str">
        <f>IF(AI2354="", "", AI2354&amp;"["&amp;#REF!&amp;"]")</f>
        <v/>
      </c>
    </row>
    <row r="2355" spans="36:36" ht="12" customHeight="1" x14ac:dyDescent="0.25">
      <c r="AJ2355" t="str">
        <f>IF(AI2355="", "", AI2355&amp;"["&amp;#REF!&amp;"]")</f>
        <v/>
      </c>
    </row>
    <row r="2356" spans="36:36" ht="12" customHeight="1" x14ac:dyDescent="0.25">
      <c r="AJ2356" t="str">
        <f>IF(AI2356="", "", AI2356&amp;"["&amp;#REF!&amp;"]")</f>
        <v/>
      </c>
    </row>
    <row r="2357" spans="36:36" ht="12" customHeight="1" x14ac:dyDescent="0.25">
      <c r="AJ2357" t="str">
        <f>IF(AI2357="", "", AI2357&amp;"["&amp;#REF!&amp;"]")</f>
        <v/>
      </c>
    </row>
    <row r="2358" spans="36:36" ht="12" customHeight="1" x14ac:dyDescent="0.25">
      <c r="AJ2358" t="str">
        <f>IF(AI2358="", "", AI2358&amp;"["&amp;#REF!&amp;"]")</f>
        <v/>
      </c>
    </row>
    <row r="2359" spans="36:36" ht="12" customHeight="1" x14ac:dyDescent="0.25">
      <c r="AJ2359" t="str">
        <f>IF(AI2359="", "", AI2359&amp;"["&amp;#REF!&amp;"]")</f>
        <v/>
      </c>
    </row>
    <row r="2360" spans="36:36" ht="12" customHeight="1" x14ac:dyDescent="0.25">
      <c r="AJ2360" t="str">
        <f>IF(AI2360="", "", AI2360&amp;"["&amp;#REF!&amp;"]")</f>
        <v/>
      </c>
    </row>
    <row r="2361" spans="36:36" ht="12" customHeight="1" x14ac:dyDescent="0.25">
      <c r="AJ2361" t="str">
        <f>IF(AI2361="", "", AI2361&amp;"["&amp;#REF!&amp;"]")</f>
        <v/>
      </c>
    </row>
    <row r="2362" spans="36:36" ht="12" customHeight="1" x14ac:dyDescent="0.25">
      <c r="AJ2362" t="str">
        <f>IF(AI2362="", "", AI2362&amp;"["&amp;#REF!&amp;"]")</f>
        <v/>
      </c>
    </row>
    <row r="2363" spans="36:36" ht="12" customHeight="1" x14ac:dyDescent="0.25">
      <c r="AJ2363" t="str">
        <f>IF(AI2363="", "", AI2363&amp;"["&amp;#REF!&amp;"]")</f>
        <v/>
      </c>
    </row>
    <row r="2364" spans="36:36" ht="12" customHeight="1" x14ac:dyDescent="0.25">
      <c r="AJ2364" t="str">
        <f>IF(AI2364="", "", AI2364&amp;"["&amp;#REF!&amp;"]")</f>
        <v/>
      </c>
    </row>
    <row r="2365" spans="36:36" ht="12" customHeight="1" x14ac:dyDescent="0.25">
      <c r="AJ2365" t="str">
        <f>IF(AI2365="", "", AI2365&amp;"["&amp;#REF!&amp;"]")</f>
        <v/>
      </c>
    </row>
    <row r="2366" spans="36:36" ht="12" customHeight="1" x14ac:dyDescent="0.25">
      <c r="AJ2366" t="str">
        <f>IF(AI2366="", "", AI2366&amp;"["&amp;#REF!&amp;"]")</f>
        <v/>
      </c>
    </row>
    <row r="2367" spans="36:36" ht="12" customHeight="1" x14ac:dyDescent="0.25">
      <c r="AJ2367" t="str">
        <f>IF(AI2367="", "", AI2367&amp;"["&amp;#REF!&amp;"]")</f>
        <v/>
      </c>
    </row>
    <row r="2368" spans="36:36" ht="12" customHeight="1" x14ac:dyDescent="0.25">
      <c r="AJ2368" t="str">
        <f>IF(AI2368="", "", AI2368&amp;"["&amp;#REF!&amp;"]")</f>
        <v/>
      </c>
    </row>
    <row r="2369" spans="36:36" ht="12" customHeight="1" x14ac:dyDescent="0.25">
      <c r="AJ2369" t="str">
        <f>IF(AI2369="", "", AI2369&amp;"["&amp;#REF!&amp;"]")</f>
        <v/>
      </c>
    </row>
    <row r="2370" spans="36:36" ht="12" customHeight="1" x14ac:dyDescent="0.25">
      <c r="AJ2370" t="str">
        <f>IF(AI2370="", "", AI2370&amp;"["&amp;#REF!&amp;"]")</f>
        <v/>
      </c>
    </row>
    <row r="2371" spans="36:36" ht="12" customHeight="1" x14ac:dyDescent="0.25">
      <c r="AJ2371" t="str">
        <f>IF(AI2371="", "", AI2371&amp;"["&amp;#REF!&amp;"]")</f>
        <v/>
      </c>
    </row>
    <row r="2372" spans="36:36" ht="12" customHeight="1" x14ac:dyDescent="0.25">
      <c r="AJ2372" t="str">
        <f>IF(AI2372="", "", AI2372&amp;"["&amp;#REF!&amp;"]")</f>
        <v/>
      </c>
    </row>
    <row r="2373" spans="36:36" ht="12" customHeight="1" x14ac:dyDescent="0.25">
      <c r="AJ2373" t="str">
        <f>IF(AI2373="", "", AI2373&amp;"["&amp;#REF!&amp;"]")</f>
        <v/>
      </c>
    </row>
    <row r="2374" spans="36:36" ht="12" customHeight="1" x14ac:dyDescent="0.25">
      <c r="AJ2374" t="str">
        <f>IF(AI2374="", "", AI2374&amp;"["&amp;#REF!&amp;"]")</f>
        <v/>
      </c>
    </row>
    <row r="2375" spans="36:36" ht="12" customHeight="1" x14ac:dyDescent="0.25">
      <c r="AJ2375" t="str">
        <f>IF(AI2375="", "", AI2375&amp;"["&amp;#REF!&amp;"]")</f>
        <v/>
      </c>
    </row>
    <row r="2376" spans="36:36" ht="12" customHeight="1" x14ac:dyDescent="0.25">
      <c r="AJ2376" t="str">
        <f>IF(AI2376="", "", AI2376&amp;"["&amp;#REF!&amp;"]")</f>
        <v/>
      </c>
    </row>
    <row r="2377" spans="36:36" ht="12" customHeight="1" x14ac:dyDescent="0.25">
      <c r="AJ2377" t="str">
        <f>IF(AI2377="", "", AI2377&amp;"["&amp;#REF!&amp;"]")</f>
        <v/>
      </c>
    </row>
    <row r="2378" spans="36:36" ht="12" customHeight="1" x14ac:dyDescent="0.25">
      <c r="AJ2378" t="str">
        <f>IF(AI2378="", "", AI2378&amp;"["&amp;#REF!&amp;"]")</f>
        <v/>
      </c>
    </row>
    <row r="2379" spans="36:36" ht="12" customHeight="1" x14ac:dyDescent="0.25">
      <c r="AJ2379" t="str">
        <f>IF(AI2379="", "", AI2379&amp;"["&amp;#REF!&amp;"]")</f>
        <v/>
      </c>
    </row>
    <row r="2380" spans="36:36" ht="12" customHeight="1" x14ac:dyDescent="0.25">
      <c r="AJ2380" t="str">
        <f>IF(AI2380="", "", AI2380&amp;"["&amp;#REF!&amp;"]")</f>
        <v/>
      </c>
    </row>
    <row r="2381" spans="36:36" ht="12" customHeight="1" x14ac:dyDescent="0.25">
      <c r="AJ2381" t="str">
        <f>IF(AI2381="", "", AI2381&amp;"["&amp;#REF!&amp;"]")</f>
        <v/>
      </c>
    </row>
    <row r="2382" spans="36:36" ht="12" customHeight="1" x14ac:dyDescent="0.25">
      <c r="AJ2382" t="str">
        <f>IF(AI2382="", "", AI2382&amp;"["&amp;#REF!&amp;"]")</f>
        <v/>
      </c>
    </row>
    <row r="2383" spans="36:36" ht="12" customHeight="1" x14ac:dyDescent="0.25">
      <c r="AJ2383" t="str">
        <f>IF(AI2383="", "", AI2383&amp;"["&amp;#REF!&amp;"]")</f>
        <v/>
      </c>
    </row>
    <row r="2384" spans="36:36" ht="12" customHeight="1" x14ac:dyDescent="0.25">
      <c r="AJ2384" t="str">
        <f>IF(AI2384="", "", AI2384&amp;"["&amp;#REF!&amp;"]")</f>
        <v/>
      </c>
    </row>
    <row r="2385" spans="36:36" ht="12" customHeight="1" x14ac:dyDescent="0.25">
      <c r="AJ2385" t="str">
        <f>IF(AI2385="", "", AI2385&amp;"["&amp;#REF!&amp;"]")</f>
        <v/>
      </c>
    </row>
    <row r="2386" spans="36:36" ht="12" customHeight="1" x14ac:dyDescent="0.25">
      <c r="AJ2386" t="str">
        <f>IF(AI2386="", "", AI2386&amp;"["&amp;#REF!&amp;"]")</f>
        <v/>
      </c>
    </row>
    <row r="2387" spans="36:36" ht="12" customHeight="1" x14ac:dyDescent="0.25">
      <c r="AJ2387" t="str">
        <f>IF(AI2387="", "", AI2387&amp;"["&amp;#REF!&amp;"]")</f>
        <v/>
      </c>
    </row>
    <row r="2388" spans="36:36" ht="12" customHeight="1" x14ac:dyDescent="0.25">
      <c r="AJ2388" t="str">
        <f>IF(AI2388="", "", AI2388&amp;"["&amp;#REF!&amp;"]")</f>
        <v/>
      </c>
    </row>
    <row r="2389" spans="36:36" ht="12" customHeight="1" x14ac:dyDescent="0.25">
      <c r="AJ2389" t="str">
        <f>IF(AI2389="", "", AI2389&amp;"["&amp;#REF!&amp;"]")</f>
        <v/>
      </c>
    </row>
    <row r="2390" spans="36:36" ht="12" customHeight="1" x14ac:dyDescent="0.25">
      <c r="AJ2390" t="str">
        <f>IF(AI2390="", "", AI2390&amp;"["&amp;#REF!&amp;"]")</f>
        <v/>
      </c>
    </row>
    <row r="2391" spans="36:36" ht="12" customHeight="1" x14ac:dyDescent="0.25">
      <c r="AJ2391" t="str">
        <f>IF(AI2391="", "", AI2391&amp;"["&amp;#REF!&amp;"]")</f>
        <v/>
      </c>
    </row>
    <row r="2392" spans="36:36" ht="12" customHeight="1" x14ac:dyDescent="0.25">
      <c r="AJ2392" t="str">
        <f>IF(AI2392="", "", AI2392&amp;"["&amp;#REF!&amp;"]")</f>
        <v/>
      </c>
    </row>
    <row r="2393" spans="36:36" ht="12" customHeight="1" x14ac:dyDescent="0.25">
      <c r="AJ2393" t="str">
        <f>IF(AI2393="", "", AI2393&amp;"["&amp;#REF!&amp;"]")</f>
        <v/>
      </c>
    </row>
    <row r="2394" spans="36:36" ht="12" customHeight="1" x14ac:dyDescent="0.25">
      <c r="AJ2394" t="str">
        <f>IF(AI2394="", "", AI2394&amp;"["&amp;#REF!&amp;"]")</f>
        <v/>
      </c>
    </row>
    <row r="2395" spans="36:36" ht="12" customHeight="1" x14ac:dyDescent="0.25">
      <c r="AJ2395" t="str">
        <f>IF(AI2395="", "", AI2395&amp;"["&amp;#REF!&amp;"]")</f>
        <v/>
      </c>
    </row>
    <row r="2396" spans="36:36" ht="12" customHeight="1" x14ac:dyDescent="0.25">
      <c r="AJ2396" t="str">
        <f>IF(AI2396="", "", AI2396&amp;"["&amp;#REF!&amp;"]")</f>
        <v/>
      </c>
    </row>
    <row r="2397" spans="36:36" ht="12" customHeight="1" x14ac:dyDescent="0.25">
      <c r="AJ2397" t="str">
        <f>IF(AI2397="", "", AI2397&amp;"["&amp;#REF!&amp;"]")</f>
        <v/>
      </c>
    </row>
    <row r="2398" spans="36:36" ht="12" customHeight="1" x14ac:dyDescent="0.25">
      <c r="AJ2398" t="str">
        <f>IF(AI2398="", "", AI2398&amp;"["&amp;#REF!&amp;"]")</f>
        <v/>
      </c>
    </row>
    <row r="2399" spans="36:36" ht="12" customHeight="1" x14ac:dyDescent="0.25">
      <c r="AJ2399" t="str">
        <f>IF(AI2399="", "", AI2399&amp;"["&amp;#REF!&amp;"]")</f>
        <v/>
      </c>
    </row>
    <row r="2400" spans="36:36" ht="12" customHeight="1" x14ac:dyDescent="0.25">
      <c r="AJ2400" t="str">
        <f>IF(AI2400="", "", AI2400&amp;"["&amp;#REF!&amp;"]")</f>
        <v/>
      </c>
    </row>
    <row r="2401" spans="36:36" ht="12" customHeight="1" x14ac:dyDescent="0.25">
      <c r="AJ2401" t="str">
        <f>IF(AI2401="", "", AI2401&amp;"["&amp;#REF!&amp;"]")</f>
        <v/>
      </c>
    </row>
    <row r="2402" spans="36:36" ht="12" customHeight="1" x14ac:dyDescent="0.25">
      <c r="AJ2402" t="str">
        <f>IF(AI2402="", "", AI2402&amp;"["&amp;#REF!&amp;"]")</f>
        <v/>
      </c>
    </row>
    <row r="2403" spans="36:36" ht="12" customHeight="1" x14ac:dyDescent="0.25">
      <c r="AJ2403" t="str">
        <f>IF(AI2403="", "", AI2403&amp;"["&amp;#REF!&amp;"]")</f>
        <v/>
      </c>
    </row>
    <row r="2404" spans="36:36" ht="12" customHeight="1" x14ac:dyDescent="0.25">
      <c r="AJ2404" t="str">
        <f>IF(AI2404="", "", AI2404&amp;"["&amp;#REF!&amp;"]")</f>
        <v/>
      </c>
    </row>
    <row r="2405" spans="36:36" ht="12" customHeight="1" x14ac:dyDescent="0.25">
      <c r="AJ2405" t="str">
        <f>IF(AI2405="", "", AI2405&amp;"["&amp;#REF!&amp;"]")</f>
        <v/>
      </c>
    </row>
    <row r="2406" spans="36:36" ht="12" customHeight="1" x14ac:dyDescent="0.25">
      <c r="AJ2406" t="str">
        <f>IF(AI2406="", "", AI2406&amp;"["&amp;#REF!&amp;"]")</f>
        <v/>
      </c>
    </row>
    <row r="2407" spans="36:36" ht="12" customHeight="1" x14ac:dyDescent="0.25">
      <c r="AJ2407" t="str">
        <f>IF(AI2407="", "", AI2407&amp;"["&amp;#REF!&amp;"]")</f>
        <v/>
      </c>
    </row>
    <row r="2408" spans="36:36" ht="12" customHeight="1" x14ac:dyDescent="0.25">
      <c r="AJ2408" t="str">
        <f>IF(AI2408="", "", AI2408&amp;"["&amp;#REF!&amp;"]")</f>
        <v/>
      </c>
    </row>
    <row r="2409" spans="36:36" ht="12" customHeight="1" x14ac:dyDescent="0.25">
      <c r="AJ2409" t="str">
        <f>IF(AI2409="", "", AI2409&amp;"["&amp;#REF!&amp;"]")</f>
        <v/>
      </c>
    </row>
    <row r="2410" spans="36:36" ht="12" customHeight="1" x14ac:dyDescent="0.25">
      <c r="AJ2410" t="str">
        <f>IF(AI2410="", "", AI2410&amp;"["&amp;#REF!&amp;"]")</f>
        <v/>
      </c>
    </row>
    <row r="2411" spans="36:36" ht="12" customHeight="1" x14ac:dyDescent="0.25">
      <c r="AJ2411" t="str">
        <f>IF(AI2411="", "", AI2411&amp;"["&amp;#REF!&amp;"]")</f>
        <v/>
      </c>
    </row>
    <row r="2412" spans="36:36" ht="12" customHeight="1" x14ac:dyDescent="0.25">
      <c r="AJ2412" t="str">
        <f>IF(AI2412="", "", AI2412&amp;"["&amp;#REF!&amp;"]")</f>
        <v/>
      </c>
    </row>
    <row r="2413" spans="36:36" ht="12" customHeight="1" x14ac:dyDescent="0.25">
      <c r="AJ2413" t="str">
        <f>IF(AI2413="", "", AI2413&amp;"["&amp;#REF!&amp;"]")</f>
        <v/>
      </c>
    </row>
    <row r="2414" spans="36:36" ht="12" customHeight="1" x14ac:dyDescent="0.25">
      <c r="AJ2414" t="str">
        <f>IF(AI2414="", "", AI2414&amp;"["&amp;#REF!&amp;"]")</f>
        <v/>
      </c>
    </row>
    <row r="2415" spans="36:36" ht="12" customHeight="1" x14ac:dyDescent="0.25">
      <c r="AJ2415" t="str">
        <f>IF(AI2415="", "", AI2415&amp;"["&amp;#REF!&amp;"]")</f>
        <v/>
      </c>
    </row>
    <row r="2416" spans="36:36" ht="12" customHeight="1" x14ac:dyDescent="0.25">
      <c r="AJ2416" t="str">
        <f>IF(AI2416="", "", AI2416&amp;"["&amp;#REF!&amp;"]")</f>
        <v/>
      </c>
    </row>
    <row r="2417" spans="36:36" ht="12" customHeight="1" x14ac:dyDescent="0.25">
      <c r="AJ2417" t="str">
        <f>IF(AI2417="", "", AI2417&amp;"["&amp;#REF!&amp;"]")</f>
        <v/>
      </c>
    </row>
    <row r="2418" spans="36:36" ht="12" customHeight="1" x14ac:dyDescent="0.25">
      <c r="AJ2418" t="str">
        <f>IF(AI2418="", "", AI2418&amp;"["&amp;#REF!&amp;"]")</f>
        <v/>
      </c>
    </row>
    <row r="2419" spans="36:36" ht="12" customHeight="1" x14ac:dyDescent="0.25">
      <c r="AJ2419" t="str">
        <f>IF(AI2419="", "", AI2419&amp;"["&amp;#REF!&amp;"]")</f>
        <v/>
      </c>
    </row>
    <row r="2420" spans="36:36" ht="12" customHeight="1" x14ac:dyDescent="0.25">
      <c r="AJ2420" t="str">
        <f>IF(AI2420="", "", AI2420&amp;"["&amp;#REF!&amp;"]")</f>
        <v/>
      </c>
    </row>
    <row r="2421" spans="36:36" ht="12" customHeight="1" x14ac:dyDescent="0.25">
      <c r="AJ2421" t="str">
        <f>IF(AI2421="", "", AI2421&amp;"["&amp;#REF!&amp;"]")</f>
        <v/>
      </c>
    </row>
    <row r="2422" spans="36:36" ht="12" customHeight="1" x14ac:dyDescent="0.25">
      <c r="AJ2422" t="str">
        <f>IF(AI2422="", "", AI2422&amp;"["&amp;#REF!&amp;"]")</f>
        <v/>
      </c>
    </row>
    <row r="2423" spans="36:36" ht="12" customHeight="1" x14ac:dyDescent="0.25">
      <c r="AJ2423" t="str">
        <f>IF(AI2423="", "", AI2423&amp;"["&amp;#REF!&amp;"]")</f>
        <v/>
      </c>
    </row>
    <row r="2424" spans="36:36" ht="12" customHeight="1" x14ac:dyDescent="0.25">
      <c r="AJ2424" t="str">
        <f>IF(AI2424="", "", AI2424&amp;"["&amp;#REF!&amp;"]")</f>
        <v/>
      </c>
    </row>
    <row r="2425" spans="36:36" ht="12" customHeight="1" x14ac:dyDescent="0.25">
      <c r="AJ2425" t="str">
        <f>IF(AI2425="", "", AI2425&amp;"["&amp;#REF!&amp;"]")</f>
        <v/>
      </c>
    </row>
    <row r="2426" spans="36:36" ht="12" customHeight="1" x14ac:dyDescent="0.25">
      <c r="AJ2426" t="str">
        <f>IF(AI2426="", "", AI2426&amp;"["&amp;#REF!&amp;"]")</f>
        <v/>
      </c>
    </row>
    <row r="2427" spans="36:36" ht="12" customHeight="1" x14ac:dyDescent="0.25">
      <c r="AJ2427" t="str">
        <f>IF(AI2427="", "", AI2427&amp;"["&amp;#REF!&amp;"]")</f>
        <v/>
      </c>
    </row>
    <row r="2428" spans="36:36" ht="12" customHeight="1" x14ac:dyDescent="0.25">
      <c r="AJ2428" t="str">
        <f>IF(AI2428="", "", AI2428&amp;"["&amp;#REF!&amp;"]")</f>
        <v/>
      </c>
    </row>
    <row r="2429" spans="36:36" ht="12" customHeight="1" x14ac:dyDescent="0.25">
      <c r="AJ2429" t="str">
        <f>IF(AI2429="", "", AI2429&amp;"["&amp;#REF!&amp;"]")</f>
        <v/>
      </c>
    </row>
    <row r="2430" spans="36:36" ht="12" customHeight="1" x14ac:dyDescent="0.25">
      <c r="AJ2430" t="str">
        <f>IF(AI2430="", "", AI2430&amp;"["&amp;#REF!&amp;"]")</f>
        <v/>
      </c>
    </row>
    <row r="2431" spans="36:36" ht="12" customHeight="1" x14ac:dyDescent="0.25">
      <c r="AJ2431" t="str">
        <f>IF(AI2431="", "", AI2431&amp;"["&amp;#REF!&amp;"]")</f>
        <v/>
      </c>
    </row>
    <row r="2432" spans="36:36" ht="12" customHeight="1" x14ac:dyDescent="0.25">
      <c r="AJ2432" t="str">
        <f>IF(AI2432="", "", AI2432&amp;"["&amp;#REF!&amp;"]")</f>
        <v/>
      </c>
    </row>
    <row r="2433" spans="36:36" ht="12" customHeight="1" x14ac:dyDescent="0.25">
      <c r="AJ2433" t="str">
        <f>IF(AI2433="", "", AI2433&amp;"["&amp;#REF!&amp;"]")</f>
        <v/>
      </c>
    </row>
    <row r="2434" spans="36:36" ht="12" customHeight="1" x14ac:dyDescent="0.25">
      <c r="AJ2434" t="str">
        <f>IF(AI2434="", "", AI2434&amp;"["&amp;#REF!&amp;"]")</f>
        <v/>
      </c>
    </row>
    <row r="2435" spans="36:36" ht="12" customHeight="1" x14ac:dyDescent="0.25">
      <c r="AJ2435" t="str">
        <f>IF(AI2435="", "", AI2435&amp;"["&amp;#REF!&amp;"]")</f>
        <v/>
      </c>
    </row>
    <row r="2436" spans="36:36" ht="12" customHeight="1" x14ac:dyDescent="0.25">
      <c r="AJ2436" t="str">
        <f>IF(AI2436="", "", AI2436&amp;"["&amp;#REF!&amp;"]")</f>
        <v/>
      </c>
    </row>
    <row r="2437" spans="36:36" ht="12" customHeight="1" x14ac:dyDescent="0.25">
      <c r="AJ2437" t="str">
        <f>IF(AI2437="", "", AI2437&amp;"["&amp;#REF!&amp;"]")</f>
        <v/>
      </c>
    </row>
    <row r="2438" spans="36:36" ht="12" customHeight="1" x14ac:dyDescent="0.25">
      <c r="AJ2438" t="str">
        <f>IF(AI2438="", "", AI2438&amp;"["&amp;#REF!&amp;"]")</f>
        <v/>
      </c>
    </row>
    <row r="2439" spans="36:36" ht="12" customHeight="1" x14ac:dyDescent="0.25">
      <c r="AJ2439" t="str">
        <f>IF(AI2439="", "", AI2439&amp;"["&amp;#REF!&amp;"]")</f>
        <v/>
      </c>
    </row>
    <row r="2440" spans="36:36" ht="12" customHeight="1" x14ac:dyDescent="0.25">
      <c r="AJ2440" t="str">
        <f>IF(AI2440="", "", AI2440&amp;"["&amp;#REF!&amp;"]")</f>
        <v/>
      </c>
    </row>
    <row r="2441" spans="36:36" ht="12" customHeight="1" x14ac:dyDescent="0.25">
      <c r="AJ2441" t="str">
        <f>IF(AI2441="", "", AI2441&amp;"["&amp;#REF!&amp;"]")</f>
        <v/>
      </c>
    </row>
    <row r="2442" spans="36:36" ht="12" customHeight="1" x14ac:dyDescent="0.25">
      <c r="AJ2442" t="str">
        <f>IF(AI2442="", "", AI2442&amp;"["&amp;#REF!&amp;"]")</f>
        <v/>
      </c>
    </row>
    <row r="2443" spans="36:36" ht="12" customHeight="1" x14ac:dyDescent="0.25">
      <c r="AJ2443" t="str">
        <f>IF(AI2443="", "", AI2443&amp;"["&amp;#REF!&amp;"]")</f>
        <v/>
      </c>
    </row>
    <row r="2444" spans="36:36" ht="12" customHeight="1" x14ac:dyDescent="0.25">
      <c r="AJ2444" t="str">
        <f>IF(AI2444="", "", AI2444&amp;"["&amp;#REF!&amp;"]")</f>
        <v/>
      </c>
    </row>
    <row r="2445" spans="36:36" ht="12" customHeight="1" x14ac:dyDescent="0.25">
      <c r="AJ2445" t="str">
        <f>IF(AI2445="", "", AI2445&amp;"["&amp;#REF!&amp;"]")</f>
        <v/>
      </c>
    </row>
    <row r="2446" spans="36:36" ht="12" customHeight="1" x14ac:dyDescent="0.25">
      <c r="AJ2446" t="str">
        <f>IF(AI2446="", "", AI2446&amp;"["&amp;#REF!&amp;"]")</f>
        <v/>
      </c>
    </row>
    <row r="2447" spans="36:36" ht="12" customHeight="1" x14ac:dyDescent="0.25">
      <c r="AJ2447" t="str">
        <f>IF(AI2447="", "", AI2447&amp;"["&amp;#REF!&amp;"]")</f>
        <v/>
      </c>
    </row>
    <row r="2448" spans="36:36" ht="12" customHeight="1" x14ac:dyDescent="0.25">
      <c r="AJ2448" t="str">
        <f>IF(AI2448="", "", AI2448&amp;"["&amp;#REF!&amp;"]")</f>
        <v/>
      </c>
    </row>
    <row r="2449" spans="36:36" ht="12" customHeight="1" x14ac:dyDescent="0.25">
      <c r="AJ2449" t="str">
        <f>IF(AI2449="", "", AI2449&amp;"["&amp;#REF!&amp;"]")</f>
        <v/>
      </c>
    </row>
    <row r="2450" spans="36:36" ht="12" customHeight="1" x14ac:dyDescent="0.25">
      <c r="AJ2450" t="str">
        <f>IF(AI2450="", "", AI2450&amp;"["&amp;#REF!&amp;"]")</f>
        <v/>
      </c>
    </row>
    <row r="2451" spans="36:36" ht="12" customHeight="1" x14ac:dyDescent="0.25">
      <c r="AJ2451" t="str">
        <f>IF(AI2451="", "", AI2451&amp;"["&amp;#REF!&amp;"]")</f>
        <v/>
      </c>
    </row>
    <row r="2452" spans="36:36" ht="12" customHeight="1" x14ac:dyDescent="0.25">
      <c r="AJ2452" t="str">
        <f>IF(AI2452="", "", AI2452&amp;"["&amp;#REF!&amp;"]")</f>
        <v/>
      </c>
    </row>
    <row r="2453" spans="36:36" ht="12" customHeight="1" x14ac:dyDescent="0.25">
      <c r="AJ2453" t="str">
        <f>IF(AI2453="", "", AI2453&amp;"["&amp;#REF!&amp;"]")</f>
        <v/>
      </c>
    </row>
    <row r="2454" spans="36:36" ht="12" customHeight="1" x14ac:dyDescent="0.25">
      <c r="AJ2454" t="str">
        <f>IF(AI2454="", "", AI2454&amp;"["&amp;#REF!&amp;"]")</f>
        <v/>
      </c>
    </row>
    <row r="2455" spans="36:36" ht="12" customHeight="1" x14ac:dyDescent="0.25">
      <c r="AJ2455" t="str">
        <f>IF(AI2455="", "", AI2455&amp;"["&amp;#REF!&amp;"]")</f>
        <v/>
      </c>
    </row>
    <row r="2456" spans="36:36" ht="12" customHeight="1" x14ac:dyDescent="0.25">
      <c r="AJ2456" t="str">
        <f>IF(AI2456="", "", AI2456&amp;"["&amp;#REF!&amp;"]")</f>
        <v/>
      </c>
    </row>
    <row r="2457" spans="36:36" ht="12" customHeight="1" x14ac:dyDescent="0.25">
      <c r="AJ2457" t="str">
        <f>IF(AI2457="", "", AI2457&amp;"["&amp;#REF!&amp;"]")</f>
        <v/>
      </c>
    </row>
    <row r="2458" spans="36:36" ht="12" customHeight="1" x14ac:dyDescent="0.25">
      <c r="AJ2458" t="str">
        <f>IF(AI2458="", "", AI2458&amp;"["&amp;#REF!&amp;"]")</f>
        <v/>
      </c>
    </row>
    <row r="2459" spans="36:36" ht="12" customHeight="1" x14ac:dyDescent="0.25">
      <c r="AJ2459" t="str">
        <f>IF(AI2459="", "", AI2459&amp;"["&amp;#REF!&amp;"]")</f>
        <v/>
      </c>
    </row>
    <row r="2460" spans="36:36" ht="12" customHeight="1" x14ac:dyDescent="0.25">
      <c r="AJ2460" t="str">
        <f>IF(AI2460="", "", AI2460&amp;"["&amp;#REF!&amp;"]")</f>
        <v/>
      </c>
    </row>
    <row r="2461" spans="36:36" ht="12" customHeight="1" x14ac:dyDescent="0.25">
      <c r="AJ2461" t="str">
        <f>IF(AI2461="", "", AI2461&amp;"["&amp;#REF!&amp;"]")</f>
        <v/>
      </c>
    </row>
    <row r="2462" spans="36:36" ht="12" customHeight="1" x14ac:dyDescent="0.25">
      <c r="AJ2462" t="str">
        <f>IF(AI2462="", "", AI2462&amp;"["&amp;#REF!&amp;"]")</f>
        <v/>
      </c>
    </row>
    <row r="2463" spans="36:36" ht="12" customHeight="1" x14ac:dyDescent="0.25">
      <c r="AJ2463" t="str">
        <f>IF(AI2463="", "", AI2463&amp;"["&amp;#REF!&amp;"]")</f>
        <v/>
      </c>
    </row>
    <row r="2464" spans="36:36" ht="12" customHeight="1" x14ac:dyDescent="0.25">
      <c r="AJ2464" t="str">
        <f>IF(AI2464="", "", AI2464&amp;"["&amp;#REF!&amp;"]")</f>
        <v/>
      </c>
    </row>
    <row r="2465" spans="36:36" ht="12" customHeight="1" x14ac:dyDescent="0.25">
      <c r="AJ2465" t="str">
        <f>IF(AI2465="", "", AI2465&amp;"["&amp;#REF!&amp;"]")</f>
        <v/>
      </c>
    </row>
    <row r="2466" spans="36:36" ht="12" customHeight="1" x14ac:dyDescent="0.25">
      <c r="AJ2466" t="str">
        <f>IF(AI2466="", "", AI2466&amp;"["&amp;#REF!&amp;"]")</f>
        <v/>
      </c>
    </row>
    <row r="2467" spans="36:36" ht="12" customHeight="1" x14ac:dyDescent="0.25">
      <c r="AJ2467" t="str">
        <f>IF(AI2467="", "", AI2467&amp;"["&amp;#REF!&amp;"]")</f>
        <v/>
      </c>
    </row>
    <row r="2468" spans="36:36" ht="12" customHeight="1" x14ac:dyDescent="0.25">
      <c r="AJ2468" t="str">
        <f>IF(AI2468="", "", AI2468&amp;"["&amp;#REF!&amp;"]")</f>
        <v/>
      </c>
    </row>
    <row r="2469" spans="36:36" ht="12" customHeight="1" x14ac:dyDescent="0.25">
      <c r="AJ2469" t="str">
        <f>IF(AI2469="", "", AI2469&amp;"["&amp;#REF!&amp;"]")</f>
        <v/>
      </c>
    </row>
    <row r="2470" spans="36:36" ht="12" customHeight="1" x14ac:dyDescent="0.25">
      <c r="AJ2470" t="str">
        <f>IF(AI2470="", "", AI2470&amp;"["&amp;#REF!&amp;"]")</f>
        <v/>
      </c>
    </row>
    <row r="2471" spans="36:36" ht="12" customHeight="1" x14ac:dyDescent="0.25">
      <c r="AJ2471" t="str">
        <f>IF(AI2471="", "", AI2471&amp;"["&amp;#REF!&amp;"]")</f>
        <v/>
      </c>
    </row>
    <row r="2472" spans="36:36" ht="12" customHeight="1" x14ac:dyDescent="0.25">
      <c r="AJ2472" t="str">
        <f>IF(AI2472="", "", AI2472&amp;"["&amp;#REF!&amp;"]")</f>
        <v/>
      </c>
    </row>
    <row r="2473" spans="36:36" ht="12" customHeight="1" x14ac:dyDescent="0.25">
      <c r="AJ2473" t="str">
        <f>IF(AI2473="", "", AI2473&amp;"["&amp;#REF!&amp;"]")</f>
        <v/>
      </c>
    </row>
    <row r="2474" spans="36:36" ht="12" customHeight="1" x14ac:dyDescent="0.25">
      <c r="AJ2474" t="str">
        <f>IF(AI2474="", "", AI2474&amp;"["&amp;#REF!&amp;"]")</f>
        <v/>
      </c>
    </row>
    <row r="2475" spans="36:36" ht="12" customHeight="1" x14ac:dyDescent="0.25">
      <c r="AJ2475" t="str">
        <f>IF(AI2475="", "", AI2475&amp;"["&amp;#REF!&amp;"]")</f>
        <v/>
      </c>
    </row>
    <row r="2476" spans="36:36" ht="12" customHeight="1" x14ac:dyDescent="0.25">
      <c r="AJ2476" t="str">
        <f>IF(AI2476="", "", AI2476&amp;"["&amp;#REF!&amp;"]")</f>
        <v/>
      </c>
    </row>
    <row r="2477" spans="36:36" ht="12" customHeight="1" x14ac:dyDescent="0.25">
      <c r="AJ2477" t="str">
        <f>IF(AI2477="", "", AI2477&amp;"["&amp;#REF!&amp;"]")</f>
        <v/>
      </c>
    </row>
    <row r="2478" spans="36:36" ht="12" customHeight="1" x14ac:dyDescent="0.25">
      <c r="AJ2478" t="str">
        <f>IF(AI2478="", "", AI2478&amp;"["&amp;#REF!&amp;"]")</f>
        <v/>
      </c>
    </row>
    <row r="2479" spans="36:36" ht="12" customHeight="1" x14ac:dyDescent="0.25">
      <c r="AJ2479" t="str">
        <f>IF(AI2479="", "", AI2479&amp;"["&amp;#REF!&amp;"]")</f>
        <v/>
      </c>
    </row>
    <row r="2480" spans="36:36" ht="12" customHeight="1" x14ac:dyDescent="0.25">
      <c r="AJ2480" t="str">
        <f>IF(AI2480="", "", AI2480&amp;"["&amp;#REF!&amp;"]")</f>
        <v/>
      </c>
    </row>
    <row r="2481" spans="36:36" ht="12" customHeight="1" x14ac:dyDescent="0.25">
      <c r="AJ2481" t="str">
        <f>IF(AI2481="", "", AI2481&amp;"["&amp;#REF!&amp;"]")</f>
        <v/>
      </c>
    </row>
    <row r="2482" spans="36:36" ht="12" customHeight="1" x14ac:dyDescent="0.25">
      <c r="AJ2482" t="str">
        <f>IF(AI2482="", "", AI2482&amp;"["&amp;#REF!&amp;"]")</f>
        <v/>
      </c>
    </row>
    <row r="2483" spans="36:36" ht="12" customHeight="1" x14ac:dyDescent="0.25">
      <c r="AJ2483" t="str">
        <f>IF(AI2483="", "", AI2483&amp;"["&amp;#REF!&amp;"]")</f>
        <v/>
      </c>
    </row>
    <row r="2484" spans="36:36" ht="12" customHeight="1" x14ac:dyDescent="0.25">
      <c r="AJ2484" t="str">
        <f>IF(AI2484="", "", AI2484&amp;"["&amp;#REF!&amp;"]")</f>
        <v/>
      </c>
    </row>
    <row r="2485" spans="36:36" ht="12" customHeight="1" x14ac:dyDescent="0.25">
      <c r="AJ2485" t="str">
        <f>IF(AI2485="", "", AI2485&amp;"["&amp;#REF!&amp;"]")</f>
        <v/>
      </c>
    </row>
    <row r="2486" spans="36:36" ht="12" customHeight="1" x14ac:dyDescent="0.25">
      <c r="AJ2486" t="str">
        <f>IF(AI2486="", "", AI2486&amp;"["&amp;#REF!&amp;"]")</f>
        <v/>
      </c>
    </row>
    <row r="2487" spans="36:36" ht="12" customHeight="1" x14ac:dyDescent="0.25">
      <c r="AJ2487" t="str">
        <f>IF(AI2487="", "", AI2487&amp;"["&amp;#REF!&amp;"]")</f>
        <v/>
      </c>
    </row>
    <row r="2488" spans="36:36" ht="12" customHeight="1" x14ac:dyDescent="0.25">
      <c r="AJ2488" t="str">
        <f>IF(AI2488="", "", AI2488&amp;"["&amp;#REF!&amp;"]")</f>
        <v/>
      </c>
    </row>
    <row r="2489" spans="36:36" ht="12" customHeight="1" x14ac:dyDescent="0.25">
      <c r="AJ2489" t="str">
        <f>IF(AI2489="", "", AI2489&amp;"["&amp;#REF!&amp;"]")</f>
        <v/>
      </c>
    </row>
    <row r="2490" spans="36:36" ht="12" customHeight="1" x14ac:dyDescent="0.25">
      <c r="AJ2490" t="str">
        <f>IF(AI2490="", "", AI2490&amp;"["&amp;#REF!&amp;"]")</f>
        <v/>
      </c>
    </row>
    <row r="2491" spans="36:36" ht="12" customHeight="1" x14ac:dyDescent="0.25">
      <c r="AJ2491" t="str">
        <f>IF(AI2491="", "", AI2491&amp;"["&amp;#REF!&amp;"]")</f>
        <v/>
      </c>
    </row>
    <row r="2492" spans="36:36" ht="12" customHeight="1" x14ac:dyDescent="0.25">
      <c r="AJ2492" t="str">
        <f>IF(AI2492="", "", AI2492&amp;"["&amp;#REF!&amp;"]")</f>
        <v/>
      </c>
    </row>
    <row r="2493" spans="36:36" ht="12" customHeight="1" x14ac:dyDescent="0.25">
      <c r="AJ2493" t="str">
        <f>IF(AI2493="", "", AI2493&amp;"["&amp;#REF!&amp;"]")</f>
        <v/>
      </c>
    </row>
    <row r="2494" spans="36:36" ht="12" customHeight="1" x14ac:dyDescent="0.25">
      <c r="AJ2494" t="str">
        <f>IF(AI2494="", "", AI2494&amp;"["&amp;#REF!&amp;"]")</f>
        <v/>
      </c>
    </row>
    <row r="2495" spans="36:36" ht="12" customHeight="1" x14ac:dyDescent="0.25">
      <c r="AJ2495" t="str">
        <f>IF(AI2495="", "", AI2495&amp;"["&amp;#REF!&amp;"]")</f>
        <v/>
      </c>
    </row>
    <row r="2496" spans="36:36" ht="12" customHeight="1" x14ac:dyDescent="0.25">
      <c r="AJ2496" t="str">
        <f>IF(AI2496="", "", AI2496&amp;"["&amp;#REF!&amp;"]")</f>
        <v/>
      </c>
    </row>
    <row r="2497" spans="36:36" ht="12" customHeight="1" x14ac:dyDescent="0.25">
      <c r="AJ2497" t="str">
        <f>IF(AI2497="", "", AI2497&amp;"["&amp;#REF!&amp;"]")</f>
        <v/>
      </c>
    </row>
    <row r="2498" spans="36:36" ht="12" customHeight="1" x14ac:dyDescent="0.25">
      <c r="AJ2498" t="str">
        <f>IF(AI2498="", "", AI2498&amp;"["&amp;#REF!&amp;"]")</f>
        <v/>
      </c>
    </row>
    <row r="2499" spans="36:36" ht="12" customHeight="1" x14ac:dyDescent="0.25">
      <c r="AJ2499" t="str">
        <f>IF(AI2499="", "", AI2499&amp;"["&amp;#REF!&amp;"]")</f>
        <v/>
      </c>
    </row>
    <row r="2500" spans="36:36" ht="12" customHeight="1" x14ac:dyDescent="0.25">
      <c r="AJ2500" t="str">
        <f>IF(AI2500="", "", AI2500&amp;"["&amp;#REF!&amp;"]")</f>
        <v/>
      </c>
    </row>
    <row r="2501" spans="36:36" ht="12" customHeight="1" x14ac:dyDescent="0.25">
      <c r="AJ2501" t="str">
        <f>IF(AI2501="", "", AI2501&amp;"["&amp;#REF!&amp;"]")</f>
        <v/>
      </c>
    </row>
    <row r="2502" spans="36:36" ht="12" customHeight="1" x14ac:dyDescent="0.25">
      <c r="AJ2502" t="str">
        <f>IF(AI2502="", "", AI2502&amp;"["&amp;#REF!&amp;"]")</f>
        <v/>
      </c>
    </row>
    <row r="2503" spans="36:36" ht="12" customHeight="1" x14ac:dyDescent="0.25">
      <c r="AJ2503" t="str">
        <f>IF(AI2503="", "", AI2503&amp;"["&amp;#REF!&amp;"]")</f>
        <v/>
      </c>
    </row>
    <row r="2504" spans="36:36" ht="12" customHeight="1" x14ac:dyDescent="0.25">
      <c r="AJ2504" t="str">
        <f>IF(AI2504="", "", AI2504&amp;"["&amp;#REF!&amp;"]")</f>
        <v/>
      </c>
    </row>
    <row r="2505" spans="36:36" ht="12" customHeight="1" x14ac:dyDescent="0.25">
      <c r="AJ2505" t="str">
        <f>IF(AI2505="", "", AI2505&amp;"["&amp;#REF!&amp;"]")</f>
        <v/>
      </c>
    </row>
    <row r="2506" spans="36:36" ht="12" customHeight="1" x14ac:dyDescent="0.25">
      <c r="AJ2506" t="str">
        <f>IF(AI2506="", "", AI2506&amp;"["&amp;#REF!&amp;"]")</f>
        <v/>
      </c>
    </row>
    <row r="2507" spans="36:36" ht="12" customHeight="1" x14ac:dyDescent="0.25">
      <c r="AJ2507" t="str">
        <f>IF(AI2507="", "", AI2507&amp;"["&amp;#REF!&amp;"]")</f>
        <v/>
      </c>
    </row>
    <row r="2508" spans="36:36" ht="12" customHeight="1" x14ac:dyDescent="0.25">
      <c r="AJ2508" t="str">
        <f>IF(AI2508="", "", AI2508&amp;"["&amp;#REF!&amp;"]")</f>
        <v/>
      </c>
    </row>
    <row r="2509" spans="36:36" ht="12" customHeight="1" x14ac:dyDescent="0.25">
      <c r="AJ2509" t="str">
        <f>IF(AI2509="", "", AI2509&amp;"["&amp;#REF!&amp;"]")</f>
        <v/>
      </c>
    </row>
    <row r="2510" spans="36:36" ht="12" customHeight="1" x14ac:dyDescent="0.25">
      <c r="AJ2510" t="str">
        <f>IF(AI2510="", "", AI2510&amp;"["&amp;#REF!&amp;"]")</f>
        <v/>
      </c>
    </row>
    <row r="2511" spans="36:36" ht="12" customHeight="1" x14ac:dyDescent="0.25">
      <c r="AJ2511" t="str">
        <f>IF(AI2511="", "", AI2511&amp;"["&amp;#REF!&amp;"]")</f>
        <v/>
      </c>
    </row>
    <row r="2512" spans="36:36" ht="12" customHeight="1" x14ac:dyDescent="0.25">
      <c r="AJ2512" t="str">
        <f>IF(AI2512="", "", AI2512&amp;"["&amp;#REF!&amp;"]")</f>
        <v/>
      </c>
    </row>
    <row r="2513" spans="36:36" ht="12" customHeight="1" x14ac:dyDescent="0.25">
      <c r="AJ2513" t="str">
        <f>IF(AI2513="", "", AI2513&amp;"["&amp;#REF!&amp;"]")</f>
        <v/>
      </c>
    </row>
    <row r="2514" spans="36:36" ht="12" customHeight="1" x14ac:dyDescent="0.25">
      <c r="AJ2514" t="str">
        <f>IF(AI2514="", "", AI2514&amp;"["&amp;#REF!&amp;"]")</f>
        <v/>
      </c>
    </row>
    <row r="2515" spans="36:36" ht="12" customHeight="1" x14ac:dyDescent="0.25">
      <c r="AJ2515" t="str">
        <f>IF(AI2515="", "", AI2515&amp;"["&amp;#REF!&amp;"]")</f>
        <v/>
      </c>
    </row>
    <row r="2516" spans="36:36" ht="12" customHeight="1" x14ac:dyDescent="0.25">
      <c r="AJ2516" t="str">
        <f>IF(AI2516="", "", AI2516&amp;"["&amp;#REF!&amp;"]")</f>
        <v/>
      </c>
    </row>
    <row r="2517" spans="36:36" ht="12" customHeight="1" x14ac:dyDescent="0.25">
      <c r="AJ2517" t="str">
        <f>IF(AI2517="", "", AI2517&amp;"["&amp;#REF!&amp;"]")</f>
        <v/>
      </c>
    </row>
    <row r="2518" spans="36:36" ht="12" customHeight="1" x14ac:dyDescent="0.25">
      <c r="AJ2518" t="str">
        <f>IF(AI2518="", "", AI2518&amp;"["&amp;#REF!&amp;"]")</f>
        <v/>
      </c>
    </row>
    <row r="2519" spans="36:36" ht="12" customHeight="1" x14ac:dyDescent="0.25">
      <c r="AJ2519" t="str">
        <f>IF(AI2519="", "", AI2519&amp;"["&amp;#REF!&amp;"]")</f>
        <v/>
      </c>
    </row>
    <row r="2520" spans="36:36" ht="12" customHeight="1" x14ac:dyDescent="0.25">
      <c r="AJ2520" t="str">
        <f>IF(AI2520="", "", AI2520&amp;"["&amp;#REF!&amp;"]")</f>
        <v/>
      </c>
    </row>
    <row r="2521" spans="36:36" ht="12" customHeight="1" x14ac:dyDescent="0.25">
      <c r="AJ2521" t="str">
        <f>IF(AI2521="", "", AI2521&amp;"["&amp;#REF!&amp;"]")</f>
        <v/>
      </c>
    </row>
    <row r="2522" spans="36:36" ht="12" customHeight="1" x14ac:dyDescent="0.25">
      <c r="AJ2522" t="str">
        <f>IF(AI2522="", "", AI2522&amp;"["&amp;#REF!&amp;"]")</f>
        <v/>
      </c>
    </row>
    <row r="2523" spans="36:36" ht="12" customHeight="1" x14ac:dyDescent="0.25">
      <c r="AJ2523" t="str">
        <f>IF(AI2523="", "", AI2523&amp;"["&amp;#REF!&amp;"]")</f>
        <v/>
      </c>
    </row>
    <row r="2524" spans="36:36" ht="12" customHeight="1" x14ac:dyDescent="0.25">
      <c r="AJ2524" t="str">
        <f>IF(AI2524="", "", AI2524&amp;"["&amp;#REF!&amp;"]")</f>
        <v/>
      </c>
    </row>
    <row r="2525" spans="36:36" ht="12" customHeight="1" x14ac:dyDescent="0.25">
      <c r="AJ2525" t="str">
        <f>IF(AI2525="", "", AI2525&amp;"["&amp;#REF!&amp;"]")</f>
        <v/>
      </c>
    </row>
    <row r="2526" spans="36:36" ht="12" customHeight="1" x14ac:dyDescent="0.25">
      <c r="AJ2526" t="str">
        <f>IF(AI2526="", "", AI2526&amp;"["&amp;#REF!&amp;"]")</f>
        <v/>
      </c>
    </row>
    <row r="2527" spans="36:36" ht="12" customHeight="1" x14ac:dyDescent="0.25">
      <c r="AJ2527" t="str">
        <f>IF(AI2527="", "", AI2527&amp;"["&amp;#REF!&amp;"]")</f>
        <v/>
      </c>
    </row>
    <row r="2528" spans="36:36" ht="12" customHeight="1" x14ac:dyDescent="0.25">
      <c r="AJ2528" t="str">
        <f>IF(AI2528="", "", AI2528&amp;"["&amp;#REF!&amp;"]")</f>
        <v/>
      </c>
    </row>
    <row r="2529" spans="36:36" ht="12" customHeight="1" x14ac:dyDescent="0.25">
      <c r="AJ2529" t="str">
        <f>IF(AI2529="", "", AI2529&amp;"["&amp;#REF!&amp;"]")</f>
        <v/>
      </c>
    </row>
    <row r="2530" spans="36:36" ht="12" customHeight="1" x14ac:dyDescent="0.25">
      <c r="AJ2530" t="str">
        <f>IF(AI2530="", "", AI2530&amp;"["&amp;#REF!&amp;"]")</f>
        <v/>
      </c>
    </row>
    <row r="2531" spans="36:36" ht="12" customHeight="1" x14ac:dyDescent="0.25">
      <c r="AJ2531" t="str">
        <f>IF(AI2531="", "", AI2531&amp;"["&amp;#REF!&amp;"]")</f>
        <v/>
      </c>
    </row>
    <row r="2532" spans="36:36" ht="12" customHeight="1" x14ac:dyDescent="0.25">
      <c r="AJ2532" t="str">
        <f>IF(AI2532="", "", AI2532&amp;"["&amp;#REF!&amp;"]")</f>
        <v/>
      </c>
    </row>
    <row r="2533" spans="36:36" ht="12" customHeight="1" x14ac:dyDescent="0.25">
      <c r="AJ2533" t="str">
        <f>IF(AI2533="", "", AI2533&amp;"["&amp;#REF!&amp;"]")</f>
        <v/>
      </c>
    </row>
    <row r="2534" spans="36:36" ht="12" customHeight="1" x14ac:dyDescent="0.25">
      <c r="AJ2534" t="str">
        <f>IF(AI2534="", "", AI2534&amp;"["&amp;#REF!&amp;"]")</f>
        <v/>
      </c>
    </row>
    <row r="2535" spans="36:36" ht="12" customHeight="1" x14ac:dyDescent="0.25">
      <c r="AJ2535" t="str">
        <f>IF(AI2535="", "", AI2535&amp;"["&amp;#REF!&amp;"]")</f>
        <v/>
      </c>
    </row>
    <row r="2536" spans="36:36" ht="12" customHeight="1" x14ac:dyDescent="0.25">
      <c r="AJ2536" t="str">
        <f>IF(AI2536="", "", AI2536&amp;"["&amp;#REF!&amp;"]")</f>
        <v/>
      </c>
    </row>
    <row r="2537" spans="36:36" ht="12" customHeight="1" x14ac:dyDescent="0.25">
      <c r="AJ2537" t="str">
        <f>IF(AI2537="", "", AI2537&amp;"["&amp;#REF!&amp;"]")</f>
        <v/>
      </c>
    </row>
    <row r="2538" spans="36:36" ht="12" customHeight="1" x14ac:dyDescent="0.25">
      <c r="AJ2538" t="str">
        <f>IF(AI2538="", "", AI2538&amp;"["&amp;#REF!&amp;"]")</f>
        <v/>
      </c>
    </row>
    <row r="2539" spans="36:36" ht="12" customHeight="1" x14ac:dyDescent="0.25">
      <c r="AJ2539" t="str">
        <f>IF(AI2539="", "", AI2539&amp;"["&amp;#REF!&amp;"]")</f>
        <v/>
      </c>
    </row>
    <row r="2540" spans="36:36" ht="12" customHeight="1" x14ac:dyDescent="0.25">
      <c r="AJ2540" t="str">
        <f>IF(AI2540="", "", AI2540&amp;"["&amp;#REF!&amp;"]")</f>
        <v/>
      </c>
    </row>
    <row r="2541" spans="36:36" ht="12" customHeight="1" x14ac:dyDescent="0.25">
      <c r="AJ2541" t="str">
        <f>IF(AI2541="", "", AI2541&amp;"["&amp;#REF!&amp;"]")</f>
        <v/>
      </c>
    </row>
    <row r="2542" spans="36:36" ht="12" customHeight="1" x14ac:dyDescent="0.25">
      <c r="AJ2542" t="str">
        <f>IF(AI2542="", "", AI2542&amp;"["&amp;#REF!&amp;"]")</f>
        <v/>
      </c>
    </row>
    <row r="2543" spans="36:36" ht="12" customHeight="1" x14ac:dyDescent="0.25">
      <c r="AJ2543" t="str">
        <f>IF(AI2543="", "", AI2543&amp;"["&amp;#REF!&amp;"]")</f>
        <v/>
      </c>
    </row>
    <row r="2544" spans="36:36" ht="12" customHeight="1" x14ac:dyDescent="0.25">
      <c r="AJ2544" t="str">
        <f>IF(AI2544="", "", AI2544&amp;"["&amp;#REF!&amp;"]")</f>
        <v/>
      </c>
    </row>
    <row r="2545" spans="36:36" ht="12" customHeight="1" x14ac:dyDescent="0.25">
      <c r="AJ2545" t="str">
        <f>IF(AI2545="", "", AI2545&amp;"["&amp;#REF!&amp;"]")</f>
        <v/>
      </c>
    </row>
    <row r="2546" spans="36:36" ht="12" customHeight="1" x14ac:dyDescent="0.25">
      <c r="AJ2546" t="str">
        <f>IF(AI2546="", "", AI2546&amp;"["&amp;#REF!&amp;"]")</f>
        <v/>
      </c>
    </row>
    <row r="2547" spans="36:36" ht="12" customHeight="1" x14ac:dyDescent="0.25">
      <c r="AJ2547" t="str">
        <f>IF(AI2547="", "", AI2547&amp;"["&amp;#REF!&amp;"]")</f>
        <v/>
      </c>
    </row>
    <row r="2548" spans="36:36" ht="12" customHeight="1" x14ac:dyDescent="0.25">
      <c r="AJ2548" t="str">
        <f>IF(AI2548="", "", AI2548&amp;"["&amp;#REF!&amp;"]")</f>
        <v/>
      </c>
    </row>
    <row r="2549" spans="36:36" ht="12" customHeight="1" x14ac:dyDescent="0.25">
      <c r="AJ2549" t="str">
        <f>IF(AI2549="", "", AI2549&amp;"["&amp;#REF!&amp;"]")</f>
        <v/>
      </c>
    </row>
    <row r="2550" spans="36:36" ht="12" customHeight="1" x14ac:dyDescent="0.25">
      <c r="AJ2550" t="str">
        <f>IF(AI2550="", "", AI2550&amp;"["&amp;#REF!&amp;"]")</f>
        <v/>
      </c>
    </row>
    <row r="2551" spans="36:36" ht="12" customHeight="1" x14ac:dyDescent="0.25">
      <c r="AJ2551" t="str">
        <f>IF(AI2551="", "", AI2551&amp;"["&amp;#REF!&amp;"]")</f>
        <v/>
      </c>
    </row>
    <row r="2552" spans="36:36" ht="12" customHeight="1" x14ac:dyDescent="0.25">
      <c r="AJ2552" t="str">
        <f>IF(AI2552="", "", AI2552&amp;"["&amp;#REF!&amp;"]")</f>
        <v/>
      </c>
    </row>
    <row r="2553" spans="36:36" ht="12" customHeight="1" x14ac:dyDescent="0.25">
      <c r="AJ2553" t="str">
        <f>IF(AI2553="", "", AI2553&amp;"["&amp;#REF!&amp;"]")</f>
        <v/>
      </c>
    </row>
    <row r="2554" spans="36:36" ht="12" customHeight="1" x14ac:dyDescent="0.25">
      <c r="AJ2554" t="str">
        <f>IF(AI2554="", "", AI2554&amp;"["&amp;#REF!&amp;"]")</f>
        <v/>
      </c>
    </row>
    <row r="2555" spans="36:36" ht="12" customHeight="1" x14ac:dyDescent="0.25">
      <c r="AJ2555" t="str">
        <f>IF(AI2555="", "", AI2555&amp;"["&amp;#REF!&amp;"]")</f>
        <v/>
      </c>
    </row>
    <row r="2556" spans="36:36" ht="12" customHeight="1" x14ac:dyDescent="0.25">
      <c r="AJ2556" t="str">
        <f>IF(AI2556="", "", AI2556&amp;"["&amp;#REF!&amp;"]")</f>
        <v/>
      </c>
    </row>
    <row r="2557" spans="36:36" ht="12" customHeight="1" x14ac:dyDescent="0.25">
      <c r="AJ2557" t="str">
        <f>IF(AI2557="", "", AI2557&amp;"["&amp;#REF!&amp;"]")</f>
        <v/>
      </c>
    </row>
    <row r="2558" spans="36:36" ht="12" customHeight="1" x14ac:dyDescent="0.25">
      <c r="AJ2558" t="str">
        <f>IF(AI2558="", "", AI2558&amp;"["&amp;#REF!&amp;"]")</f>
        <v/>
      </c>
    </row>
    <row r="2559" spans="36:36" ht="12" customHeight="1" x14ac:dyDescent="0.25">
      <c r="AJ2559" t="str">
        <f>IF(AI2559="", "", AI2559&amp;"["&amp;#REF!&amp;"]")</f>
        <v/>
      </c>
    </row>
    <row r="2560" spans="36:36" ht="12" customHeight="1" x14ac:dyDescent="0.25">
      <c r="AJ2560" t="str">
        <f>IF(AI2560="", "", AI2560&amp;"["&amp;#REF!&amp;"]")</f>
        <v/>
      </c>
    </row>
    <row r="2561" spans="36:36" ht="12" customHeight="1" x14ac:dyDescent="0.25">
      <c r="AJ2561" t="str">
        <f>IF(AI2561="", "", AI2561&amp;"["&amp;#REF!&amp;"]")</f>
        <v/>
      </c>
    </row>
    <row r="2562" spans="36:36" ht="12" customHeight="1" x14ac:dyDescent="0.25">
      <c r="AJ2562" t="str">
        <f>IF(AI2562="", "", AI2562&amp;"["&amp;#REF!&amp;"]")</f>
        <v/>
      </c>
    </row>
    <row r="2563" spans="36:36" ht="12" customHeight="1" x14ac:dyDescent="0.25">
      <c r="AJ2563" t="str">
        <f>IF(AI2563="", "", AI2563&amp;"["&amp;#REF!&amp;"]")</f>
        <v/>
      </c>
    </row>
    <row r="2564" spans="36:36" ht="12" customHeight="1" x14ac:dyDescent="0.25">
      <c r="AJ2564" t="str">
        <f>IF(AI2564="", "", AI2564&amp;"["&amp;#REF!&amp;"]")</f>
        <v/>
      </c>
    </row>
    <row r="2565" spans="36:36" ht="12" customHeight="1" x14ac:dyDescent="0.25">
      <c r="AJ2565" t="str">
        <f>IF(AI2565="", "", AI2565&amp;"["&amp;#REF!&amp;"]")</f>
        <v/>
      </c>
    </row>
    <row r="2566" spans="36:36" ht="12" customHeight="1" x14ac:dyDescent="0.25">
      <c r="AJ2566" t="str">
        <f>IF(AI2566="", "", AI2566&amp;"["&amp;#REF!&amp;"]")</f>
        <v/>
      </c>
    </row>
    <row r="2567" spans="36:36" ht="12" customHeight="1" x14ac:dyDescent="0.25">
      <c r="AJ2567" t="str">
        <f>IF(AI2567="", "", AI2567&amp;"["&amp;#REF!&amp;"]")</f>
        <v/>
      </c>
    </row>
    <row r="2568" spans="36:36" ht="12" customHeight="1" x14ac:dyDescent="0.25">
      <c r="AJ2568" t="str">
        <f>IF(AI2568="", "", AI2568&amp;"["&amp;#REF!&amp;"]")</f>
        <v/>
      </c>
    </row>
    <row r="2569" spans="36:36" ht="12" customHeight="1" x14ac:dyDescent="0.25">
      <c r="AJ2569" t="str">
        <f>IF(AI2569="", "", AI2569&amp;"["&amp;#REF!&amp;"]")</f>
        <v/>
      </c>
    </row>
    <row r="2570" spans="36:36" ht="12" customHeight="1" x14ac:dyDescent="0.25">
      <c r="AJ2570" t="str">
        <f>IF(AI2570="", "", AI2570&amp;"["&amp;#REF!&amp;"]")</f>
        <v/>
      </c>
    </row>
    <row r="2571" spans="36:36" ht="12" customHeight="1" x14ac:dyDescent="0.25">
      <c r="AJ2571" t="str">
        <f>IF(AI2571="", "", AI2571&amp;"["&amp;#REF!&amp;"]")</f>
        <v/>
      </c>
    </row>
    <row r="2572" spans="36:36" ht="12" customHeight="1" x14ac:dyDescent="0.25">
      <c r="AJ2572" t="str">
        <f>IF(AI2572="", "", AI2572&amp;"["&amp;#REF!&amp;"]")</f>
        <v/>
      </c>
    </row>
    <row r="2573" spans="36:36" ht="12" customHeight="1" x14ac:dyDescent="0.25">
      <c r="AJ2573" t="str">
        <f>IF(AI2573="", "", AI2573&amp;"["&amp;#REF!&amp;"]")</f>
        <v/>
      </c>
    </row>
    <row r="2574" spans="36:36" ht="12" customHeight="1" x14ac:dyDescent="0.25">
      <c r="AJ2574" t="str">
        <f>IF(AI2574="", "", AI2574&amp;"["&amp;#REF!&amp;"]")</f>
        <v/>
      </c>
    </row>
    <row r="2575" spans="36:36" ht="12" customHeight="1" x14ac:dyDescent="0.25">
      <c r="AJ2575" t="str">
        <f>IF(AI2575="", "", AI2575&amp;"["&amp;#REF!&amp;"]")</f>
        <v/>
      </c>
    </row>
    <row r="2576" spans="36:36" ht="12" customHeight="1" x14ac:dyDescent="0.25">
      <c r="AJ2576" t="str">
        <f>IF(AI2576="", "", AI2576&amp;"["&amp;#REF!&amp;"]")</f>
        <v/>
      </c>
    </row>
    <row r="2577" spans="36:36" ht="12" customHeight="1" x14ac:dyDescent="0.25">
      <c r="AJ2577" t="str">
        <f>IF(AI2577="", "", AI2577&amp;"["&amp;#REF!&amp;"]")</f>
        <v/>
      </c>
    </row>
    <row r="2578" spans="36:36" ht="12" customHeight="1" x14ac:dyDescent="0.25">
      <c r="AJ2578" t="str">
        <f>IF(AI2578="", "", AI2578&amp;"["&amp;#REF!&amp;"]")</f>
        <v/>
      </c>
    </row>
    <row r="2579" spans="36:36" ht="12" customHeight="1" x14ac:dyDescent="0.25">
      <c r="AJ2579" t="str">
        <f>IF(AI2579="", "", AI2579&amp;"["&amp;#REF!&amp;"]")</f>
        <v/>
      </c>
    </row>
    <row r="2580" spans="36:36" ht="12" customHeight="1" x14ac:dyDescent="0.25">
      <c r="AJ2580" t="str">
        <f>IF(AI2580="", "", AI2580&amp;"["&amp;#REF!&amp;"]")</f>
        <v/>
      </c>
    </row>
    <row r="2581" spans="36:36" ht="12" customHeight="1" x14ac:dyDescent="0.25">
      <c r="AJ2581" t="str">
        <f>IF(AI2581="", "", AI2581&amp;"["&amp;#REF!&amp;"]")</f>
        <v/>
      </c>
    </row>
    <row r="2582" spans="36:36" ht="12" customHeight="1" x14ac:dyDescent="0.25">
      <c r="AJ2582" t="str">
        <f>IF(AI2582="", "", AI2582&amp;"["&amp;#REF!&amp;"]")</f>
        <v/>
      </c>
    </row>
    <row r="2583" spans="36:36" ht="12" customHeight="1" x14ac:dyDescent="0.25">
      <c r="AJ2583" t="str">
        <f>IF(AI2583="", "", AI2583&amp;"["&amp;#REF!&amp;"]")</f>
        <v/>
      </c>
    </row>
    <row r="2584" spans="36:36" ht="12" customHeight="1" x14ac:dyDescent="0.25">
      <c r="AJ2584" t="str">
        <f>IF(AI2584="", "", AI2584&amp;"["&amp;#REF!&amp;"]")</f>
        <v/>
      </c>
    </row>
    <row r="2585" spans="36:36" ht="12" customHeight="1" x14ac:dyDescent="0.25">
      <c r="AJ2585" t="str">
        <f>IF(AI2585="", "", AI2585&amp;"["&amp;#REF!&amp;"]")</f>
        <v/>
      </c>
    </row>
    <row r="2586" spans="36:36" ht="12" customHeight="1" x14ac:dyDescent="0.25">
      <c r="AJ2586" t="str">
        <f>IF(AI2586="", "", AI2586&amp;"["&amp;#REF!&amp;"]")</f>
        <v/>
      </c>
    </row>
    <row r="2587" spans="36:36" ht="12" customHeight="1" x14ac:dyDescent="0.25">
      <c r="AJ2587" t="str">
        <f>IF(AI2587="", "", AI2587&amp;"["&amp;#REF!&amp;"]")</f>
        <v/>
      </c>
    </row>
    <row r="2588" spans="36:36" ht="12" customHeight="1" x14ac:dyDescent="0.25">
      <c r="AJ2588" t="str">
        <f>IF(AI2588="", "", AI2588&amp;"["&amp;#REF!&amp;"]")</f>
        <v/>
      </c>
    </row>
    <row r="2589" spans="36:36" ht="12" customHeight="1" x14ac:dyDescent="0.25">
      <c r="AJ2589" t="str">
        <f>IF(AI2589="", "", AI2589&amp;"["&amp;#REF!&amp;"]")</f>
        <v/>
      </c>
    </row>
    <row r="2590" spans="36:36" ht="12" customHeight="1" x14ac:dyDescent="0.25">
      <c r="AJ2590" t="str">
        <f>IF(AI2590="", "", AI2590&amp;"["&amp;#REF!&amp;"]")</f>
        <v/>
      </c>
    </row>
    <row r="2591" spans="36:36" ht="12" customHeight="1" x14ac:dyDescent="0.25">
      <c r="AJ2591" t="str">
        <f>IF(AI2591="", "", AI2591&amp;"["&amp;#REF!&amp;"]")</f>
        <v/>
      </c>
    </row>
    <row r="2592" spans="36:36" ht="12" customHeight="1" x14ac:dyDescent="0.25">
      <c r="AJ2592" t="str">
        <f>IF(AI2592="", "", AI2592&amp;"["&amp;#REF!&amp;"]")</f>
        <v/>
      </c>
    </row>
    <row r="2593" spans="36:36" ht="12" customHeight="1" x14ac:dyDescent="0.25">
      <c r="AJ2593" t="str">
        <f>IF(AI2593="", "", AI2593&amp;"["&amp;#REF!&amp;"]")</f>
        <v/>
      </c>
    </row>
    <row r="2594" spans="36:36" ht="12" customHeight="1" x14ac:dyDescent="0.25">
      <c r="AJ2594" t="str">
        <f>IF(AI2594="", "", AI2594&amp;"["&amp;#REF!&amp;"]")</f>
        <v/>
      </c>
    </row>
    <row r="2595" spans="36:36" ht="12" customHeight="1" x14ac:dyDescent="0.25">
      <c r="AJ2595" t="str">
        <f>IF(AI2595="", "", AI2595&amp;"["&amp;#REF!&amp;"]")</f>
        <v/>
      </c>
    </row>
    <row r="2596" spans="36:36" ht="12" customHeight="1" x14ac:dyDescent="0.25">
      <c r="AJ2596" t="str">
        <f>IF(AI2596="", "", AI2596&amp;"["&amp;#REF!&amp;"]")</f>
        <v/>
      </c>
    </row>
    <row r="2597" spans="36:36" ht="12" customHeight="1" x14ac:dyDescent="0.25">
      <c r="AJ2597" t="str">
        <f>IF(AI2597="", "", AI2597&amp;"["&amp;#REF!&amp;"]")</f>
        <v/>
      </c>
    </row>
    <row r="2598" spans="36:36" ht="12" customHeight="1" x14ac:dyDescent="0.25">
      <c r="AJ2598" t="str">
        <f>IF(AI2598="", "", AI2598&amp;"["&amp;#REF!&amp;"]")</f>
        <v/>
      </c>
    </row>
    <row r="2599" spans="36:36" ht="12" customHeight="1" x14ac:dyDescent="0.25">
      <c r="AJ2599" t="str">
        <f>IF(AI2599="", "", AI2599&amp;"["&amp;#REF!&amp;"]")</f>
        <v/>
      </c>
    </row>
    <row r="2600" spans="36:36" ht="12" customHeight="1" x14ac:dyDescent="0.25">
      <c r="AJ2600" t="str">
        <f>IF(AI2600="", "", AI2600&amp;"["&amp;#REF!&amp;"]")</f>
        <v/>
      </c>
    </row>
    <row r="2601" spans="36:36" ht="12" customHeight="1" x14ac:dyDescent="0.25">
      <c r="AJ2601" t="str">
        <f>IF(AI2601="", "", AI2601&amp;"["&amp;#REF!&amp;"]")</f>
        <v/>
      </c>
    </row>
    <row r="2602" spans="36:36" ht="12" customHeight="1" x14ac:dyDescent="0.25">
      <c r="AJ2602" t="str">
        <f>IF(AI2602="", "", AI2602&amp;"["&amp;#REF!&amp;"]")</f>
        <v/>
      </c>
    </row>
    <row r="2603" spans="36:36" ht="12" customHeight="1" x14ac:dyDescent="0.25">
      <c r="AJ2603" t="str">
        <f>IF(AI2603="", "", AI2603&amp;"["&amp;#REF!&amp;"]")</f>
        <v/>
      </c>
    </row>
    <row r="2604" spans="36:36" ht="12" customHeight="1" x14ac:dyDescent="0.25">
      <c r="AJ2604" t="str">
        <f>IF(AI2604="", "", AI2604&amp;"["&amp;#REF!&amp;"]")</f>
        <v/>
      </c>
    </row>
    <row r="2605" spans="36:36" ht="12" customHeight="1" x14ac:dyDescent="0.25">
      <c r="AJ2605" t="str">
        <f>IF(AI2605="", "", AI2605&amp;"["&amp;#REF!&amp;"]")</f>
        <v/>
      </c>
    </row>
    <row r="2606" spans="36:36" ht="12" customHeight="1" x14ac:dyDescent="0.25">
      <c r="AJ2606" t="str">
        <f>IF(AI2606="", "", AI2606&amp;"["&amp;#REF!&amp;"]")</f>
        <v/>
      </c>
    </row>
    <row r="2607" spans="36:36" ht="12" customHeight="1" x14ac:dyDescent="0.25">
      <c r="AJ2607" t="str">
        <f>IF(AI2607="", "", AI2607&amp;"["&amp;#REF!&amp;"]")</f>
        <v/>
      </c>
    </row>
    <row r="2608" spans="36:36" ht="12" customHeight="1" x14ac:dyDescent="0.25">
      <c r="AJ2608" t="str">
        <f>IF(AI2608="", "", AI2608&amp;"["&amp;#REF!&amp;"]")</f>
        <v/>
      </c>
    </row>
    <row r="2609" spans="36:36" ht="12" customHeight="1" x14ac:dyDescent="0.25">
      <c r="AJ2609" t="str">
        <f>IF(AI2609="", "", AI2609&amp;"["&amp;#REF!&amp;"]")</f>
        <v/>
      </c>
    </row>
    <row r="2610" spans="36:36" ht="12" customHeight="1" x14ac:dyDescent="0.25">
      <c r="AJ2610" t="str">
        <f>IF(AI2610="", "", AI2610&amp;"["&amp;#REF!&amp;"]")</f>
        <v/>
      </c>
    </row>
    <row r="2611" spans="36:36" ht="12" customHeight="1" x14ac:dyDescent="0.25">
      <c r="AJ2611" t="str">
        <f>IF(AI2611="", "", AI2611&amp;"["&amp;#REF!&amp;"]")</f>
        <v/>
      </c>
    </row>
    <row r="2612" spans="36:36" ht="12" customHeight="1" x14ac:dyDescent="0.25">
      <c r="AJ2612" t="str">
        <f>IF(AI2612="", "", AI2612&amp;"["&amp;#REF!&amp;"]")</f>
        <v/>
      </c>
    </row>
    <row r="2613" spans="36:36" ht="12" customHeight="1" x14ac:dyDescent="0.25">
      <c r="AJ2613" t="str">
        <f>IF(AI2613="", "", AI2613&amp;"["&amp;#REF!&amp;"]")</f>
        <v/>
      </c>
    </row>
    <row r="2614" spans="36:36" ht="12" customHeight="1" x14ac:dyDescent="0.25">
      <c r="AJ2614" t="str">
        <f>IF(AI2614="", "", AI2614&amp;"["&amp;#REF!&amp;"]")</f>
        <v/>
      </c>
    </row>
    <row r="2615" spans="36:36" ht="12" customHeight="1" x14ac:dyDescent="0.25">
      <c r="AJ2615" t="str">
        <f>IF(AI2615="", "", AI2615&amp;"["&amp;#REF!&amp;"]")</f>
        <v/>
      </c>
    </row>
    <row r="2616" spans="36:36" ht="12" customHeight="1" x14ac:dyDescent="0.25">
      <c r="AJ2616" t="str">
        <f>IF(AI2616="", "", AI2616&amp;"["&amp;#REF!&amp;"]")</f>
        <v/>
      </c>
    </row>
    <row r="2617" spans="36:36" ht="12" customHeight="1" x14ac:dyDescent="0.25">
      <c r="AJ2617" t="str">
        <f>IF(AI2617="", "", AI2617&amp;"["&amp;#REF!&amp;"]")</f>
        <v/>
      </c>
    </row>
    <row r="2618" spans="36:36" ht="12" customHeight="1" x14ac:dyDescent="0.25">
      <c r="AJ2618" t="str">
        <f>IF(AI2618="", "", AI2618&amp;"["&amp;#REF!&amp;"]")</f>
        <v/>
      </c>
    </row>
    <row r="2619" spans="36:36" ht="12" customHeight="1" x14ac:dyDescent="0.25">
      <c r="AJ2619" t="str">
        <f>IF(AI2619="", "", AI2619&amp;"["&amp;#REF!&amp;"]")</f>
        <v/>
      </c>
    </row>
    <row r="2620" spans="36:36" ht="12" customHeight="1" x14ac:dyDescent="0.25">
      <c r="AJ2620" t="str">
        <f>IF(AI2620="", "", AI2620&amp;"["&amp;#REF!&amp;"]")</f>
        <v/>
      </c>
    </row>
    <row r="2621" spans="36:36" ht="12" customHeight="1" x14ac:dyDescent="0.25">
      <c r="AJ2621" t="str">
        <f>IF(AI2621="", "", AI2621&amp;"["&amp;#REF!&amp;"]")</f>
        <v/>
      </c>
    </row>
    <row r="2622" spans="36:36" ht="12" customHeight="1" x14ac:dyDescent="0.25">
      <c r="AJ2622" t="str">
        <f>IF(AI2622="", "", AI2622&amp;"["&amp;#REF!&amp;"]")</f>
        <v/>
      </c>
    </row>
    <row r="2623" spans="36:36" ht="12" customHeight="1" x14ac:dyDescent="0.25">
      <c r="AJ2623" t="str">
        <f>IF(AI2623="", "", AI2623&amp;"["&amp;#REF!&amp;"]")</f>
        <v/>
      </c>
    </row>
    <row r="2624" spans="36:36" ht="12" customHeight="1" x14ac:dyDescent="0.25">
      <c r="AJ2624" t="str">
        <f>IF(AI2624="", "", AI2624&amp;"["&amp;#REF!&amp;"]")</f>
        <v/>
      </c>
    </row>
    <row r="2625" spans="36:36" ht="12" customHeight="1" x14ac:dyDescent="0.25">
      <c r="AJ2625" t="str">
        <f>IF(AI2625="", "", AI2625&amp;"["&amp;#REF!&amp;"]")</f>
        <v/>
      </c>
    </row>
    <row r="2626" spans="36:36" ht="12" customHeight="1" x14ac:dyDescent="0.25">
      <c r="AJ2626" t="str">
        <f>IF(AI2626="", "", AI2626&amp;"["&amp;#REF!&amp;"]")</f>
        <v/>
      </c>
    </row>
    <row r="2627" spans="36:36" ht="12" customHeight="1" x14ac:dyDescent="0.25">
      <c r="AJ2627" t="str">
        <f>IF(AI2627="", "", AI2627&amp;"["&amp;#REF!&amp;"]")</f>
        <v/>
      </c>
    </row>
    <row r="2628" spans="36:36" ht="12" customHeight="1" x14ac:dyDescent="0.25">
      <c r="AJ2628" t="str">
        <f>IF(AI2628="", "", AI2628&amp;"["&amp;#REF!&amp;"]")</f>
        <v/>
      </c>
    </row>
    <row r="2629" spans="36:36" ht="12" customHeight="1" x14ac:dyDescent="0.25">
      <c r="AJ2629" t="str">
        <f>IF(AI2629="", "", AI2629&amp;"["&amp;#REF!&amp;"]")</f>
        <v/>
      </c>
    </row>
    <row r="2630" spans="36:36" ht="12" customHeight="1" x14ac:dyDescent="0.25">
      <c r="AJ2630" t="str">
        <f>IF(AI2630="", "", AI2630&amp;"["&amp;#REF!&amp;"]")</f>
        <v/>
      </c>
    </row>
    <row r="2631" spans="36:36" ht="12" customHeight="1" x14ac:dyDescent="0.25">
      <c r="AJ2631" t="str">
        <f>IF(AI2631="", "", AI2631&amp;"["&amp;#REF!&amp;"]")</f>
        <v/>
      </c>
    </row>
    <row r="2632" spans="36:36" ht="12" customHeight="1" x14ac:dyDescent="0.25">
      <c r="AJ2632" t="str">
        <f>IF(AI2632="", "", AI2632&amp;"["&amp;#REF!&amp;"]")</f>
        <v/>
      </c>
    </row>
    <row r="2633" spans="36:36" ht="12" customHeight="1" x14ac:dyDescent="0.25">
      <c r="AJ2633" t="str">
        <f>IF(AI2633="", "", AI2633&amp;"["&amp;#REF!&amp;"]")</f>
        <v/>
      </c>
    </row>
    <row r="2634" spans="36:36" ht="12" customHeight="1" x14ac:dyDescent="0.25">
      <c r="AJ2634" t="str">
        <f>IF(AI2634="", "", AI2634&amp;"["&amp;#REF!&amp;"]")</f>
        <v/>
      </c>
    </row>
    <row r="2635" spans="36:36" ht="12" customHeight="1" x14ac:dyDescent="0.25">
      <c r="AJ2635" t="str">
        <f>IF(AI2635="", "", AI2635&amp;"["&amp;#REF!&amp;"]")</f>
        <v/>
      </c>
    </row>
    <row r="2636" spans="36:36" ht="12" customHeight="1" x14ac:dyDescent="0.25">
      <c r="AJ2636" t="str">
        <f>IF(AI2636="", "", AI2636&amp;"["&amp;#REF!&amp;"]")</f>
        <v/>
      </c>
    </row>
    <row r="2637" spans="36:36" ht="12" customHeight="1" x14ac:dyDescent="0.25">
      <c r="AJ2637" t="str">
        <f>IF(AI2637="", "", AI2637&amp;"["&amp;#REF!&amp;"]")</f>
        <v/>
      </c>
    </row>
    <row r="2638" spans="36:36" ht="12" customHeight="1" x14ac:dyDescent="0.25">
      <c r="AJ2638" t="str">
        <f>IF(AI2638="", "", AI2638&amp;"["&amp;#REF!&amp;"]")</f>
        <v/>
      </c>
    </row>
    <row r="2639" spans="36:36" ht="12" customHeight="1" x14ac:dyDescent="0.25">
      <c r="AJ2639" t="str">
        <f>IF(AI2639="", "", AI2639&amp;"["&amp;#REF!&amp;"]")</f>
        <v/>
      </c>
    </row>
    <row r="2640" spans="36:36" ht="12" customHeight="1" x14ac:dyDescent="0.25">
      <c r="AJ2640" t="str">
        <f>IF(AI2640="", "", AI2640&amp;"["&amp;#REF!&amp;"]")</f>
        <v/>
      </c>
    </row>
    <row r="2641" spans="36:36" ht="12" customHeight="1" x14ac:dyDescent="0.25">
      <c r="AJ2641" t="str">
        <f>IF(AI2641="", "", AI2641&amp;"["&amp;#REF!&amp;"]")</f>
        <v/>
      </c>
    </row>
    <row r="2642" spans="36:36" ht="12" customHeight="1" x14ac:dyDescent="0.25">
      <c r="AJ2642" t="str">
        <f>IF(AI2642="", "", AI2642&amp;"["&amp;#REF!&amp;"]")</f>
        <v/>
      </c>
    </row>
    <row r="2643" spans="36:36" ht="12" customHeight="1" x14ac:dyDescent="0.25">
      <c r="AJ2643" t="str">
        <f>IF(AI2643="", "", AI2643&amp;"["&amp;#REF!&amp;"]")</f>
        <v/>
      </c>
    </row>
    <row r="2644" spans="36:36" ht="12" customHeight="1" x14ac:dyDescent="0.25">
      <c r="AJ2644" t="str">
        <f>IF(AI2644="", "", AI2644&amp;"["&amp;#REF!&amp;"]")</f>
        <v/>
      </c>
    </row>
    <row r="2645" spans="36:36" ht="12" customHeight="1" x14ac:dyDescent="0.25">
      <c r="AJ2645" t="str">
        <f>IF(AI2645="", "", AI2645&amp;"["&amp;#REF!&amp;"]")</f>
        <v/>
      </c>
    </row>
    <row r="2646" spans="36:36" ht="12" customHeight="1" x14ac:dyDescent="0.25">
      <c r="AJ2646" t="str">
        <f>IF(AI2646="", "", AI2646&amp;"["&amp;#REF!&amp;"]")</f>
        <v/>
      </c>
    </row>
    <row r="2647" spans="36:36" ht="12" customHeight="1" x14ac:dyDescent="0.25">
      <c r="AJ2647" t="str">
        <f>IF(AI2647="", "", AI2647&amp;"["&amp;#REF!&amp;"]")</f>
        <v/>
      </c>
    </row>
    <row r="2648" spans="36:36" ht="12" customHeight="1" x14ac:dyDescent="0.25">
      <c r="AJ2648" t="str">
        <f>IF(AI2648="", "", AI2648&amp;"["&amp;#REF!&amp;"]")</f>
        <v/>
      </c>
    </row>
    <row r="2649" spans="36:36" ht="12" customHeight="1" x14ac:dyDescent="0.25">
      <c r="AJ2649" t="str">
        <f>IF(AI2649="", "", AI2649&amp;"["&amp;#REF!&amp;"]")</f>
        <v/>
      </c>
    </row>
    <row r="2650" spans="36:36" ht="12" customHeight="1" x14ac:dyDescent="0.25">
      <c r="AJ2650" t="str">
        <f>IF(AI2650="", "", AI2650&amp;"["&amp;#REF!&amp;"]")</f>
        <v/>
      </c>
    </row>
    <row r="2651" spans="36:36" ht="12" customHeight="1" x14ac:dyDescent="0.25">
      <c r="AJ2651" t="str">
        <f>IF(AI2651="", "", AI2651&amp;"["&amp;#REF!&amp;"]")</f>
        <v/>
      </c>
    </row>
    <row r="2652" spans="36:36" ht="12" customHeight="1" x14ac:dyDescent="0.25">
      <c r="AJ2652" t="str">
        <f>IF(AI2652="", "", AI2652&amp;"["&amp;#REF!&amp;"]")</f>
        <v/>
      </c>
    </row>
    <row r="2653" spans="36:36" ht="12" customHeight="1" x14ac:dyDescent="0.25">
      <c r="AJ2653" t="str">
        <f>IF(AI2653="", "", AI2653&amp;"["&amp;#REF!&amp;"]")</f>
        <v/>
      </c>
    </row>
    <row r="2654" spans="36:36" ht="12" customHeight="1" x14ac:dyDescent="0.25">
      <c r="AJ2654" t="str">
        <f>IF(AI2654="", "", AI2654&amp;"["&amp;#REF!&amp;"]")</f>
        <v/>
      </c>
    </row>
    <row r="2655" spans="36:36" ht="12" customHeight="1" x14ac:dyDescent="0.25">
      <c r="AJ2655" t="str">
        <f>IF(AI2655="", "", AI2655&amp;"["&amp;#REF!&amp;"]")</f>
        <v/>
      </c>
    </row>
    <row r="2656" spans="36:36" ht="12" customHeight="1" x14ac:dyDescent="0.25">
      <c r="AJ2656" t="str">
        <f>IF(AI2656="", "", AI2656&amp;"["&amp;#REF!&amp;"]")</f>
        <v/>
      </c>
    </row>
    <row r="2657" spans="36:36" ht="12" customHeight="1" x14ac:dyDescent="0.25">
      <c r="AJ2657" t="str">
        <f>IF(AI2657="", "", AI2657&amp;"["&amp;#REF!&amp;"]")</f>
        <v/>
      </c>
    </row>
    <row r="2658" spans="36:36" ht="12" customHeight="1" x14ac:dyDescent="0.25">
      <c r="AJ2658" t="str">
        <f>IF(AI2658="", "", AI2658&amp;"["&amp;#REF!&amp;"]")</f>
        <v/>
      </c>
    </row>
    <row r="2659" spans="36:36" ht="12" customHeight="1" x14ac:dyDescent="0.25">
      <c r="AJ2659" t="str">
        <f>IF(AI2659="", "", AI2659&amp;"["&amp;#REF!&amp;"]")</f>
        <v/>
      </c>
    </row>
    <row r="2660" spans="36:36" ht="12" customHeight="1" x14ac:dyDescent="0.25">
      <c r="AJ2660" t="str">
        <f>IF(AI2660="", "", AI2660&amp;"["&amp;#REF!&amp;"]")</f>
        <v/>
      </c>
    </row>
    <row r="2661" spans="36:36" ht="12" customHeight="1" x14ac:dyDescent="0.25">
      <c r="AJ2661" t="str">
        <f>IF(AI2661="", "", AI2661&amp;"["&amp;#REF!&amp;"]")</f>
        <v/>
      </c>
    </row>
    <row r="2662" spans="36:36" ht="12" customHeight="1" x14ac:dyDescent="0.25">
      <c r="AJ2662" t="str">
        <f>IF(AI2662="", "", AI2662&amp;"["&amp;#REF!&amp;"]")</f>
        <v/>
      </c>
    </row>
    <row r="2663" spans="36:36" ht="12" customHeight="1" x14ac:dyDescent="0.25">
      <c r="AJ2663" t="str">
        <f>IF(AI2663="", "", AI2663&amp;"["&amp;#REF!&amp;"]")</f>
        <v/>
      </c>
    </row>
    <row r="2664" spans="36:36" ht="12" customHeight="1" x14ac:dyDescent="0.25">
      <c r="AJ2664" t="str">
        <f>IF(AI2664="", "", AI2664&amp;"["&amp;#REF!&amp;"]")</f>
        <v/>
      </c>
    </row>
    <row r="2665" spans="36:36" ht="12" customHeight="1" x14ac:dyDescent="0.25">
      <c r="AJ2665" t="str">
        <f>IF(AI2665="", "", AI2665&amp;"["&amp;#REF!&amp;"]")</f>
        <v/>
      </c>
    </row>
    <row r="2666" spans="36:36" ht="12" customHeight="1" x14ac:dyDescent="0.25">
      <c r="AJ2666" t="str">
        <f>IF(AI2666="", "", AI2666&amp;"["&amp;#REF!&amp;"]")</f>
        <v/>
      </c>
    </row>
    <row r="2667" spans="36:36" ht="12" customHeight="1" x14ac:dyDescent="0.25">
      <c r="AJ2667" t="str">
        <f>IF(AI2667="", "", AI2667&amp;"["&amp;#REF!&amp;"]")</f>
        <v/>
      </c>
    </row>
    <row r="2668" spans="36:36" ht="12" customHeight="1" x14ac:dyDescent="0.25">
      <c r="AJ2668" t="str">
        <f>IF(AI2668="", "", AI2668&amp;"["&amp;#REF!&amp;"]")</f>
        <v/>
      </c>
    </row>
    <row r="2669" spans="36:36" ht="12" customHeight="1" x14ac:dyDescent="0.25">
      <c r="AJ2669" t="str">
        <f>IF(AI2669="", "", AI2669&amp;"["&amp;#REF!&amp;"]")</f>
        <v/>
      </c>
    </row>
    <row r="2670" spans="36:36" ht="12" customHeight="1" x14ac:dyDescent="0.25">
      <c r="AJ2670" t="str">
        <f>IF(AI2670="", "", AI2670&amp;"["&amp;#REF!&amp;"]")</f>
        <v/>
      </c>
    </row>
    <row r="2671" spans="36:36" ht="12" customHeight="1" x14ac:dyDescent="0.25">
      <c r="AJ2671" t="str">
        <f>IF(AI2671="", "", AI2671&amp;"["&amp;#REF!&amp;"]")</f>
        <v/>
      </c>
    </row>
    <row r="2672" spans="36:36" ht="12" customHeight="1" x14ac:dyDescent="0.25">
      <c r="AJ2672" t="str">
        <f>IF(AI2672="", "", AI2672&amp;"["&amp;#REF!&amp;"]")</f>
        <v/>
      </c>
    </row>
    <row r="2673" spans="36:36" ht="12" customHeight="1" x14ac:dyDescent="0.25">
      <c r="AJ2673" t="str">
        <f>IF(AI2673="", "", AI2673&amp;"["&amp;#REF!&amp;"]")</f>
        <v/>
      </c>
    </row>
    <row r="2674" spans="36:36" ht="12" customHeight="1" x14ac:dyDescent="0.25">
      <c r="AJ2674" t="str">
        <f>IF(AI2674="", "", AI2674&amp;"["&amp;#REF!&amp;"]")</f>
        <v/>
      </c>
    </row>
    <row r="2675" spans="36:36" ht="12" customHeight="1" x14ac:dyDescent="0.25">
      <c r="AJ2675" t="str">
        <f>IF(AI2675="", "", AI2675&amp;"["&amp;#REF!&amp;"]")</f>
        <v/>
      </c>
    </row>
    <row r="2676" spans="36:36" ht="12" customHeight="1" x14ac:dyDescent="0.25">
      <c r="AJ2676" t="str">
        <f>IF(AI2676="", "", AI2676&amp;"["&amp;#REF!&amp;"]")</f>
        <v/>
      </c>
    </row>
    <row r="2677" spans="36:36" ht="12" customHeight="1" x14ac:dyDescent="0.25">
      <c r="AJ2677" t="str">
        <f>IF(AI2677="", "", AI2677&amp;"["&amp;#REF!&amp;"]")</f>
        <v/>
      </c>
    </row>
    <row r="2678" spans="36:36" ht="12" customHeight="1" x14ac:dyDescent="0.25">
      <c r="AJ2678" t="str">
        <f>IF(AI2678="", "", AI2678&amp;"["&amp;#REF!&amp;"]")</f>
        <v/>
      </c>
    </row>
    <row r="2679" spans="36:36" ht="12" customHeight="1" x14ac:dyDescent="0.25">
      <c r="AJ2679" t="str">
        <f>IF(AI2679="", "", AI2679&amp;"["&amp;#REF!&amp;"]")</f>
        <v/>
      </c>
    </row>
    <row r="2680" spans="36:36" ht="12" customHeight="1" x14ac:dyDescent="0.25">
      <c r="AJ2680" t="str">
        <f>IF(AI2680="", "", AI2680&amp;"["&amp;#REF!&amp;"]")</f>
        <v/>
      </c>
    </row>
    <row r="2681" spans="36:36" ht="12" customHeight="1" x14ac:dyDescent="0.25">
      <c r="AJ2681" t="str">
        <f>IF(AI2681="", "", AI2681&amp;"["&amp;#REF!&amp;"]")</f>
        <v/>
      </c>
    </row>
    <row r="2682" spans="36:36" ht="12" customHeight="1" x14ac:dyDescent="0.25">
      <c r="AJ2682" t="str">
        <f>IF(AI2682="", "", AI2682&amp;"["&amp;#REF!&amp;"]")</f>
        <v/>
      </c>
    </row>
    <row r="2683" spans="36:36" ht="12" customHeight="1" x14ac:dyDescent="0.25">
      <c r="AJ2683" t="str">
        <f>IF(AI2683="", "", AI2683&amp;"["&amp;#REF!&amp;"]")</f>
        <v/>
      </c>
    </row>
    <row r="2684" spans="36:36" ht="12" customHeight="1" x14ac:dyDescent="0.25">
      <c r="AJ2684" t="str">
        <f>IF(AI2684="", "", AI2684&amp;"["&amp;#REF!&amp;"]")</f>
        <v/>
      </c>
    </row>
    <row r="2685" spans="36:36" ht="12" customHeight="1" x14ac:dyDescent="0.25">
      <c r="AJ2685" t="str">
        <f>IF(AI2685="", "", AI2685&amp;"["&amp;#REF!&amp;"]")</f>
        <v/>
      </c>
    </row>
    <row r="2686" spans="36:36" ht="12" customHeight="1" x14ac:dyDescent="0.25">
      <c r="AJ2686" t="str">
        <f>IF(AI2686="", "", AI2686&amp;"["&amp;#REF!&amp;"]")</f>
        <v/>
      </c>
    </row>
    <row r="2687" spans="36:36" ht="12" customHeight="1" x14ac:dyDescent="0.25">
      <c r="AJ2687" t="str">
        <f>IF(AI2687="", "", AI2687&amp;"["&amp;#REF!&amp;"]")</f>
        <v/>
      </c>
    </row>
    <row r="2688" spans="36:36" ht="12" customHeight="1" x14ac:dyDescent="0.25">
      <c r="AJ2688" t="str">
        <f>IF(AI2688="", "", AI2688&amp;"["&amp;#REF!&amp;"]")</f>
        <v/>
      </c>
    </row>
    <row r="2689" spans="36:36" ht="12" customHeight="1" x14ac:dyDescent="0.25">
      <c r="AJ2689" t="str">
        <f>IF(AI2689="", "", AI2689&amp;"["&amp;#REF!&amp;"]")</f>
        <v/>
      </c>
    </row>
    <row r="2690" spans="36:36" ht="12" customHeight="1" x14ac:dyDescent="0.25">
      <c r="AJ2690" t="str">
        <f>IF(AI2690="", "", AI2690&amp;"["&amp;#REF!&amp;"]")</f>
        <v/>
      </c>
    </row>
    <row r="2691" spans="36:36" ht="12" customHeight="1" x14ac:dyDescent="0.25">
      <c r="AJ2691" t="str">
        <f>IF(AI2691="", "", AI2691&amp;"["&amp;#REF!&amp;"]")</f>
        <v/>
      </c>
    </row>
    <row r="2692" spans="36:36" ht="12" customHeight="1" x14ac:dyDescent="0.25">
      <c r="AJ2692" t="str">
        <f>IF(AI2692="", "", AI2692&amp;"["&amp;#REF!&amp;"]")</f>
        <v/>
      </c>
    </row>
    <row r="2693" spans="36:36" ht="12" customHeight="1" x14ac:dyDescent="0.25">
      <c r="AJ2693" t="str">
        <f>IF(AI2693="", "", AI2693&amp;"["&amp;#REF!&amp;"]")</f>
        <v/>
      </c>
    </row>
    <row r="2694" spans="36:36" ht="12" customHeight="1" x14ac:dyDescent="0.25">
      <c r="AJ2694" t="str">
        <f>IF(AI2694="", "", AI2694&amp;"["&amp;#REF!&amp;"]")</f>
        <v/>
      </c>
    </row>
    <row r="2695" spans="36:36" ht="12" customHeight="1" x14ac:dyDescent="0.25">
      <c r="AJ2695" t="str">
        <f>IF(AI2695="", "", AI2695&amp;"["&amp;#REF!&amp;"]")</f>
        <v/>
      </c>
    </row>
    <row r="2696" spans="36:36" ht="12" customHeight="1" x14ac:dyDescent="0.25">
      <c r="AJ2696" t="str">
        <f>IF(AI2696="", "", AI2696&amp;"["&amp;#REF!&amp;"]")</f>
        <v/>
      </c>
    </row>
    <row r="2697" spans="36:36" ht="12" customHeight="1" x14ac:dyDescent="0.25">
      <c r="AJ2697" t="str">
        <f>IF(AI2697="", "", AI2697&amp;"["&amp;#REF!&amp;"]")</f>
        <v/>
      </c>
    </row>
    <row r="2698" spans="36:36" ht="12" customHeight="1" x14ac:dyDescent="0.25">
      <c r="AJ2698" t="str">
        <f>IF(AI2698="", "", AI2698&amp;"["&amp;#REF!&amp;"]")</f>
        <v/>
      </c>
    </row>
    <row r="2699" spans="36:36" ht="12" customHeight="1" x14ac:dyDescent="0.25">
      <c r="AJ2699" t="str">
        <f>IF(AI2699="", "", AI2699&amp;"["&amp;#REF!&amp;"]")</f>
        <v/>
      </c>
    </row>
    <row r="2700" spans="36:36" ht="12" customHeight="1" x14ac:dyDescent="0.25">
      <c r="AJ2700" t="str">
        <f>IF(AI2700="", "", AI2700&amp;"["&amp;#REF!&amp;"]")</f>
        <v/>
      </c>
    </row>
    <row r="2701" spans="36:36" ht="12" customHeight="1" x14ac:dyDescent="0.25">
      <c r="AJ2701" t="str">
        <f>IF(AI2701="", "", AI2701&amp;"["&amp;#REF!&amp;"]")</f>
        <v/>
      </c>
    </row>
    <row r="2702" spans="36:36" ht="12" customHeight="1" x14ac:dyDescent="0.25">
      <c r="AJ2702" t="str">
        <f>IF(AI2702="", "", AI2702&amp;"["&amp;#REF!&amp;"]")</f>
        <v/>
      </c>
    </row>
    <row r="2703" spans="36:36" ht="12" customHeight="1" x14ac:dyDescent="0.25">
      <c r="AJ2703" t="str">
        <f>IF(AI2703="", "", AI2703&amp;"["&amp;#REF!&amp;"]")</f>
        <v/>
      </c>
    </row>
    <row r="2704" spans="36:36" ht="12" customHeight="1" x14ac:dyDescent="0.25">
      <c r="AJ2704" t="str">
        <f>IF(AI2704="", "", AI2704&amp;"["&amp;#REF!&amp;"]")</f>
        <v/>
      </c>
    </row>
    <row r="2705" spans="36:36" ht="12" customHeight="1" x14ac:dyDescent="0.25">
      <c r="AJ2705" t="str">
        <f>IF(AI2705="", "", AI2705&amp;"["&amp;#REF!&amp;"]")</f>
        <v/>
      </c>
    </row>
    <row r="2706" spans="36:36" ht="12" customHeight="1" x14ac:dyDescent="0.25">
      <c r="AJ2706" t="str">
        <f>IF(AI2706="", "", AI2706&amp;"["&amp;#REF!&amp;"]")</f>
        <v/>
      </c>
    </row>
    <row r="2707" spans="36:36" ht="12" customHeight="1" x14ac:dyDescent="0.25">
      <c r="AJ2707" t="str">
        <f>IF(AI2707="", "", AI2707&amp;"["&amp;#REF!&amp;"]")</f>
        <v/>
      </c>
    </row>
    <row r="2708" spans="36:36" ht="12" customHeight="1" x14ac:dyDescent="0.25">
      <c r="AJ2708" t="str">
        <f>IF(AI2708="", "", AI2708&amp;"["&amp;#REF!&amp;"]")</f>
        <v/>
      </c>
    </row>
    <row r="2709" spans="36:36" ht="12" customHeight="1" x14ac:dyDescent="0.25">
      <c r="AJ2709" t="str">
        <f>IF(AI2709="", "", AI2709&amp;"["&amp;#REF!&amp;"]")</f>
        <v/>
      </c>
    </row>
    <row r="2710" spans="36:36" ht="12" customHeight="1" x14ac:dyDescent="0.25">
      <c r="AJ2710" t="str">
        <f>IF(AI2710="", "", AI2710&amp;"["&amp;#REF!&amp;"]")</f>
        <v/>
      </c>
    </row>
    <row r="2711" spans="36:36" ht="12" customHeight="1" x14ac:dyDescent="0.25">
      <c r="AJ2711" t="str">
        <f>IF(AI2711="", "", AI2711&amp;"["&amp;#REF!&amp;"]")</f>
        <v/>
      </c>
    </row>
    <row r="2712" spans="36:36" ht="12" customHeight="1" x14ac:dyDescent="0.25">
      <c r="AJ2712" t="str">
        <f>IF(AI2712="", "", AI2712&amp;"["&amp;#REF!&amp;"]")</f>
        <v/>
      </c>
    </row>
    <row r="2713" spans="36:36" ht="12" customHeight="1" x14ac:dyDescent="0.25">
      <c r="AJ2713" t="str">
        <f>IF(AI2713="", "", AI2713&amp;"["&amp;#REF!&amp;"]")</f>
        <v/>
      </c>
    </row>
    <row r="2714" spans="36:36" ht="12" customHeight="1" x14ac:dyDescent="0.25">
      <c r="AJ2714" t="str">
        <f>IF(AI2714="", "", AI2714&amp;"["&amp;#REF!&amp;"]")</f>
        <v/>
      </c>
    </row>
    <row r="2715" spans="36:36" ht="12" customHeight="1" x14ac:dyDescent="0.25">
      <c r="AJ2715" t="str">
        <f>IF(AI2715="", "", AI2715&amp;"["&amp;#REF!&amp;"]")</f>
        <v/>
      </c>
    </row>
    <row r="2716" spans="36:36" ht="12" customHeight="1" x14ac:dyDescent="0.25">
      <c r="AJ2716" t="str">
        <f>IF(AI2716="", "", AI2716&amp;"["&amp;#REF!&amp;"]")</f>
        <v/>
      </c>
    </row>
    <row r="2717" spans="36:36" ht="12" customHeight="1" x14ac:dyDescent="0.25">
      <c r="AJ2717" t="str">
        <f>IF(AI2717="", "", AI2717&amp;"["&amp;#REF!&amp;"]")</f>
        <v/>
      </c>
    </row>
    <row r="2718" spans="36:36" ht="12" customHeight="1" x14ac:dyDescent="0.25">
      <c r="AJ2718" t="str">
        <f>IF(AI2718="", "", AI2718&amp;"["&amp;#REF!&amp;"]")</f>
        <v/>
      </c>
    </row>
    <row r="2719" spans="36:36" ht="12" customHeight="1" x14ac:dyDescent="0.25">
      <c r="AJ2719" t="str">
        <f>IF(AI2719="", "", AI2719&amp;"["&amp;#REF!&amp;"]")</f>
        <v/>
      </c>
    </row>
    <row r="2720" spans="36:36" ht="12" customHeight="1" x14ac:dyDescent="0.25">
      <c r="AJ2720" t="str">
        <f>IF(AI2720="", "", AI2720&amp;"["&amp;#REF!&amp;"]")</f>
        <v/>
      </c>
    </row>
    <row r="2721" spans="36:36" ht="12" customHeight="1" x14ac:dyDescent="0.25">
      <c r="AJ2721" t="str">
        <f>IF(AI2721="", "", AI2721&amp;"["&amp;#REF!&amp;"]")</f>
        <v/>
      </c>
    </row>
    <row r="2722" spans="36:36" ht="12" customHeight="1" x14ac:dyDescent="0.25">
      <c r="AJ2722" t="str">
        <f>IF(AI2722="", "", AI2722&amp;"["&amp;#REF!&amp;"]")</f>
        <v/>
      </c>
    </row>
    <row r="2723" spans="36:36" ht="12" customHeight="1" x14ac:dyDescent="0.25">
      <c r="AJ2723" t="str">
        <f>IF(AI2723="", "", AI2723&amp;"["&amp;#REF!&amp;"]")</f>
        <v/>
      </c>
    </row>
    <row r="2724" spans="36:36" ht="12" customHeight="1" x14ac:dyDescent="0.25">
      <c r="AJ2724" t="str">
        <f>IF(AI2724="", "", AI2724&amp;"["&amp;#REF!&amp;"]")</f>
        <v/>
      </c>
    </row>
    <row r="2725" spans="36:36" ht="12" customHeight="1" x14ac:dyDescent="0.25">
      <c r="AJ2725" t="str">
        <f>IF(AI2725="", "", AI2725&amp;"["&amp;#REF!&amp;"]")</f>
        <v/>
      </c>
    </row>
    <row r="2726" spans="36:36" ht="12" customHeight="1" x14ac:dyDescent="0.25">
      <c r="AJ2726" t="str">
        <f>IF(AI2726="", "", AI2726&amp;"["&amp;#REF!&amp;"]")</f>
        <v/>
      </c>
    </row>
    <row r="2727" spans="36:36" ht="12" customHeight="1" x14ac:dyDescent="0.25">
      <c r="AJ2727" t="str">
        <f>IF(AI2727="", "", AI2727&amp;"["&amp;#REF!&amp;"]")</f>
        <v/>
      </c>
    </row>
    <row r="2728" spans="36:36" ht="12" customHeight="1" x14ac:dyDescent="0.25">
      <c r="AJ2728" t="str">
        <f>IF(AI2728="", "", AI2728&amp;"["&amp;#REF!&amp;"]")</f>
        <v/>
      </c>
    </row>
    <row r="2729" spans="36:36" ht="12" customHeight="1" x14ac:dyDescent="0.25">
      <c r="AJ2729" t="str">
        <f>IF(AI2729="", "", AI2729&amp;"["&amp;#REF!&amp;"]")</f>
        <v/>
      </c>
    </row>
    <row r="2730" spans="36:36" ht="12" customHeight="1" x14ac:dyDescent="0.25">
      <c r="AJ2730" t="str">
        <f>IF(AI2730="", "", AI2730&amp;"["&amp;#REF!&amp;"]")</f>
        <v/>
      </c>
    </row>
    <row r="2731" spans="36:36" ht="12" customHeight="1" x14ac:dyDescent="0.25">
      <c r="AJ2731" t="str">
        <f>IF(AI2731="", "", AI2731&amp;"["&amp;#REF!&amp;"]")</f>
        <v/>
      </c>
    </row>
    <row r="2732" spans="36:36" ht="12" customHeight="1" x14ac:dyDescent="0.25">
      <c r="AJ2732" t="str">
        <f>IF(AI2732="", "", AI2732&amp;"["&amp;#REF!&amp;"]")</f>
        <v/>
      </c>
    </row>
    <row r="2733" spans="36:36" ht="12" customHeight="1" x14ac:dyDescent="0.25">
      <c r="AJ2733" t="str">
        <f>IF(AI2733="", "", AI2733&amp;"["&amp;#REF!&amp;"]")</f>
        <v/>
      </c>
    </row>
    <row r="2734" spans="36:36" ht="12" customHeight="1" x14ac:dyDescent="0.25">
      <c r="AJ2734" t="str">
        <f>IF(AI2734="", "", AI2734&amp;"["&amp;#REF!&amp;"]")</f>
        <v/>
      </c>
    </row>
    <row r="2735" spans="36:36" ht="12" customHeight="1" x14ac:dyDescent="0.25">
      <c r="AJ2735" t="str">
        <f>IF(AI2735="", "", AI2735&amp;"["&amp;#REF!&amp;"]")</f>
        <v/>
      </c>
    </row>
    <row r="2736" spans="36:36" ht="12" customHeight="1" x14ac:dyDescent="0.25">
      <c r="AJ2736" t="str">
        <f>IF(AI2736="", "", AI2736&amp;"["&amp;#REF!&amp;"]")</f>
        <v/>
      </c>
    </row>
    <row r="2737" spans="36:36" ht="12" customHeight="1" x14ac:dyDescent="0.25">
      <c r="AJ2737" t="str">
        <f>IF(AI2737="", "", AI2737&amp;"["&amp;#REF!&amp;"]")</f>
        <v/>
      </c>
    </row>
    <row r="2738" spans="36:36" ht="12" customHeight="1" x14ac:dyDescent="0.25">
      <c r="AJ2738" t="str">
        <f>IF(AI2738="", "", AI2738&amp;"["&amp;#REF!&amp;"]")</f>
        <v/>
      </c>
    </row>
    <row r="2739" spans="36:36" ht="12" customHeight="1" x14ac:dyDescent="0.25">
      <c r="AJ2739" t="str">
        <f>IF(AI2739="", "", AI2739&amp;"["&amp;#REF!&amp;"]")</f>
        <v/>
      </c>
    </row>
    <row r="2740" spans="36:36" ht="12" customHeight="1" x14ac:dyDescent="0.25">
      <c r="AJ2740" t="str">
        <f>IF(AI2740="", "", AI2740&amp;"["&amp;#REF!&amp;"]")</f>
        <v/>
      </c>
    </row>
    <row r="2741" spans="36:36" ht="12" customHeight="1" x14ac:dyDescent="0.25">
      <c r="AJ2741" t="str">
        <f>IF(AI2741="", "", AI2741&amp;"["&amp;#REF!&amp;"]")</f>
        <v/>
      </c>
    </row>
    <row r="2742" spans="36:36" ht="12" customHeight="1" x14ac:dyDescent="0.25">
      <c r="AJ2742" t="str">
        <f>IF(AI2742="", "", AI2742&amp;"["&amp;#REF!&amp;"]")</f>
        <v/>
      </c>
    </row>
    <row r="2743" spans="36:36" ht="12" customHeight="1" x14ac:dyDescent="0.25">
      <c r="AJ2743" t="str">
        <f>IF(AI2743="", "", AI2743&amp;"["&amp;#REF!&amp;"]")</f>
        <v/>
      </c>
    </row>
    <row r="2744" spans="36:36" ht="12" customHeight="1" x14ac:dyDescent="0.25">
      <c r="AJ2744" t="str">
        <f>IF(AI2744="", "", AI2744&amp;"["&amp;#REF!&amp;"]")</f>
        <v/>
      </c>
    </row>
    <row r="2745" spans="36:36" ht="12" customHeight="1" x14ac:dyDescent="0.25">
      <c r="AJ2745" t="str">
        <f>IF(AI2745="", "", AI2745&amp;"["&amp;#REF!&amp;"]")</f>
        <v/>
      </c>
    </row>
    <row r="2746" spans="36:36" ht="12" customHeight="1" x14ac:dyDescent="0.25">
      <c r="AJ2746" t="str">
        <f>IF(AI2746="", "", AI2746&amp;"["&amp;#REF!&amp;"]")</f>
        <v/>
      </c>
    </row>
    <row r="2747" spans="36:36" ht="12" customHeight="1" x14ac:dyDescent="0.25">
      <c r="AJ2747" t="str">
        <f>IF(AI2747="", "", AI2747&amp;"["&amp;#REF!&amp;"]")</f>
        <v/>
      </c>
    </row>
    <row r="2748" spans="36:36" ht="12" customHeight="1" x14ac:dyDescent="0.25">
      <c r="AJ2748" t="str">
        <f>IF(AI2748="", "", AI2748&amp;"["&amp;#REF!&amp;"]")</f>
        <v/>
      </c>
    </row>
    <row r="2749" spans="36:36" ht="12" customHeight="1" x14ac:dyDescent="0.25">
      <c r="AJ2749" t="str">
        <f>IF(AI2749="", "", AI2749&amp;"["&amp;#REF!&amp;"]")</f>
        <v/>
      </c>
    </row>
    <row r="2750" spans="36:36" ht="12" customHeight="1" x14ac:dyDescent="0.25">
      <c r="AJ2750" t="str">
        <f>IF(AI2750="", "", AI2750&amp;"["&amp;#REF!&amp;"]")</f>
        <v/>
      </c>
    </row>
    <row r="2751" spans="36:36" ht="12" customHeight="1" x14ac:dyDescent="0.25">
      <c r="AJ2751" t="str">
        <f>IF(AI2751="", "", AI2751&amp;"["&amp;#REF!&amp;"]")</f>
        <v/>
      </c>
    </row>
    <row r="2752" spans="36:36" ht="12" customHeight="1" x14ac:dyDescent="0.25">
      <c r="AJ2752" t="str">
        <f>IF(AI2752="", "", AI2752&amp;"["&amp;#REF!&amp;"]")</f>
        <v/>
      </c>
    </row>
    <row r="2753" spans="36:36" ht="12" customHeight="1" x14ac:dyDescent="0.25">
      <c r="AJ2753" t="str">
        <f>IF(AI2753="", "", AI2753&amp;"["&amp;#REF!&amp;"]")</f>
        <v/>
      </c>
    </row>
    <row r="2754" spans="36:36" ht="12" customHeight="1" x14ac:dyDescent="0.25">
      <c r="AJ2754" t="str">
        <f>IF(AI2754="", "", AI2754&amp;"["&amp;#REF!&amp;"]")</f>
        <v/>
      </c>
    </row>
    <row r="2755" spans="36:36" ht="12" customHeight="1" x14ac:dyDescent="0.25">
      <c r="AJ2755" t="str">
        <f>IF(AI2755="", "", AI2755&amp;"["&amp;#REF!&amp;"]")</f>
        <v/>
      </c>
    </row>
    <row r="2756" spans="36:36" ht="12" customHeight="1" x14ac:dyDescent="0.25">
      <c r="AJ2756" t="str">
        <f>IF(AI2756="", "", AI2756&amp;"["&amp;#REF!&amp;"]")</f>
        <v/>
      </c>
    </row>
    <row r="2757" spans="36:36" ht="12" customHeight="1" x14ac:dyDescent="0.25">
      <c r="AJ2757" t="str">
        <f>IF(AI2757="", "", AI2757&amp;"["&amp;#REF!&amp;"]")</f>
        <v/>
      </c>
    </row>
    <row r="2758" spans="36:36" ht="12" customHeight="1" x14ac:dyDescent="0.25">
      <c r="AJ2758" t="str">
        <f>IF(AI2758="", "", AI2758&amp;"["&amp;#REF!&amp;"]")</f>
        <v/>
      </c>
    </row>
    <row r="2759" spans="36:36" ht="12" customHeight="1" x14ac:dyDescent="0.25">
      <c r="AJ2759" t="str">
        <f>IF(AI2759="", "", AI2759&amp;"["&amp;#REF!&amp;"]")</f>
        <v/>
      </c>
    </row>
    <row r="2760" spans="36:36" ht="12" customHeight="1" x14ac:dyDescent="0.25">
      <c r="AJ2760" t="str">
        <f>IF(AI2760="", "", AI2760&amp;"["&amp;#REF!&amp;"]")</f>
        <v/>
      </c>
    </row>
    <row r="2761" spans="36:36" ht="12" customHeight="1" x14ac:dyDescent="0.25">
      <c r="AJ2761" t="str">
        <f>IF(AI2761="", "", AI2761&amp;"["&amp;#REF!&amp;"]")</f>
        <v/>
      </c>
    </row>
    <row r="2762" spans="36:36" ht="12" customHeight="1" x14ac:dyDescent="0.25">
      <c r="AJ2762" t="str">
        <f>IF(AI2762="", "", AI2762&amp;"["&amp;#REF!&amp;"]")</f>
        <v/>
      </c>
    </row>
    <row r="2763" spans="36:36" ht="12" customHeight="1" x14ac:dyDescent="0.25">
      <c r="AJ2763" t="str">
        <f>IF(AI2763="", "", AI2763&amp;"["&amp;#REF!&amp;"]")</f>
        <v/>
      </c>
    </row>
    <row r="2764" spans="36:36" ht="12" customHeight="1" x14ac:dyDescent="0.25">
      <c r="AJ2764" t="str">
        <f>IF(AI2764="", "", AI2764&amp;"["&amp;#REF!&amp;"]")</f>
        <v/>
      </c>
    </row>
    <row r="2765" spans="36:36" ht="12" customHeight="1" x14ac:dyDescent="0.25">
      <c r="AJ2765" t="str">
        <f>IF(AI2765="", "", AI2765&amp;"["&amp;#REF!&amp;"]")</f>
        <v/>
      </c>
    </row>
    <row r="2766" spans="36:36" ht="12" customHeight="1" x14ac:dyDescent="0.25">
      <c r="AJ2766" t="str">
        <f>IF(AI2766="", "", AI2766&amp;"["&amp;#REF!&amp;"]")</f>
        <v/>
      </c>
    </row>
    <row r="2767" spans="36:36" ht="12" customHeight="1" x14ac:dyDescent="0.25">
      <c r="AJ2767" t="str">
        <f>IF(AI2767="", "", AI2767&amp;"["&amp;#REF!&amp;"]")</f>
        <v/>
      </c>
    </row>
    <row r="2768" spans="36:36" ht="12" customHeight="1" x14ac:dyDescent="0.25">
      <c r="AJ2768" t="str">
        <f>IF(AI2768="", "", AI2768&amp;"["&amp;#REF!&amp;"]")</f>
        <v/>
      </c>
    </row>
    <row r="2769" spans="36:36" ht="12" customHeight="1" x14ac:dyDescent="0.25">
      <c r="AJ2769" t="str">
        <f>IF(AI2769="", "", AI2769&amp;"["&amp;#REF!&amp;"]")</f>
        <v/>
      </c>
    </row>
    <row r="2770" spans="36:36" ht="12" customHeight="1" x14ac:dyDescent="0.25">
      <c r="AJ2770" t="str">
        <f>IF(AI2770="", "", AI2770&amp;"["&amp;#REF!&amp;"]")</f>
        <v/>
      </c>
    </row>
    <row r="2771" spans="36:36" ht="12" customHeight="1" x14ac:dyDescent="0.25">
      <c r="AJ2771" t="str">
        <f>IF(AI2771="", "", AI2771&amp;"["&amp;#REF!&amp;"]")</f>
        <v/>
      </c>
    </row>
    <row r="2772" spans="36:36" ht="12" customHeight="1" x14ac:dyDescent="0.25">
      <c r="AJ2772" t="str">
        <f>IF(AI2772="", "", AI2772&amp;"["&amp;#REF!&amp;"]")</f>
        <v/>
      </c>
    </row>
    <row r="2773" spans="36:36" ht="12" customHeight="1" x14ac:dyDescent="0.25">
      <c r="AJ2773" t="str">
        <f>IF(AI2773="", "", AI2773&amp;"["&amp;#REF!&amp;"]")</f>
        <v/>
      </c>
    </row>
    <row r="2774" spans="36:36" ht="12" customHeight="1" x14ac:dyDescent="0.25">
      <c r="AJ2774" t="str">
        <f>IF(AI2774="", "", AI2774&amp;"["&amp;#REF!&amp;"]")</f>
        <v/>
      </c>
    </row>
    <row r="2775" spans="36:36" ht="12" customHeight="1" x14ac:dyDescent="0.25">
      <c r="AJ2775" t="str">
        <f>IF(AI2775="", "", AI2775&amp;"["&amp;#REF!&amp;"]")</f>
        <v/>
      </c>
    </row>
    <row r="2776" spans="36:36" ht="12" customHeight="1" x14ac:dyDescent="0.25">
      <c r="AJ2776" t="str">
        <f>IF(AI2776="", "", AI2776&amp;"["&amp;#REF!&amp;"]")</f>
        <v/>
      </c>
    </row>
    <row r="2777" spans="36:36" ht="12" customHeight="1" x14ac:dyDescent="0.25">
      <c r="AJ2777" t="str">
        <f>IF(AI2777="", "", AI2777&amp;"["&amp;#REF!&amp;"]")</f>
        <v/>
      </c>
    </row>
    <row r="2778" spans="36:36" ht="12" customHeight="1" x14ac:dyDescent="0.25">
      <c r="AJ2778" t="str">
        <f>IF(AI2778="", "", AI2778&amp;"["&amp;#REF!&amp;"]")</f>
        <v/>
      </c>
    </row>
    <row r="2779" spans="36:36" ht="12" customHeight="1" x14ac:dyDescent="0.25">
      <c r="AJ2779" t="str">
        <f>IF(AI2779="", "", AI2779&amp;"["&amp;#REF!&amp;"]")</f>
        <v/>
      </c>
    </row>
    <row r="2780" spans="36:36" ht="12" customHeight="1" x14ac:dyDescent="0.25">
      <c r="AJ2780" t="str">
        <f>IF(AI2780="", "", AI2780&amp;"["&amp;#REF!&amp;"]")</f>
        <v/>
      </c>
    </row>
    <row r="2781" spans="36:36" ht="12" customHeight="1" x14ac:dyDescent="0.25">
      <c r="AJ2781" t="str">
        <f>IF(AI2781="", "", AI2781&amp;"["&amp;#REF!&amp;"]")</f>
        <v/>
      </c>
    </row>
    <row r="2782" spans="36:36" ht="12" customHeight="1" x14ac:dyDescent="0.25">
      <c r="AJ2782" t="str">
        <f>IF(AI2782="", "", AI2782&amp;"["&amp;#REF!&amp;"]")</f>
        <v/>
      </c>
    </row>
    <row r="2783" spans="36:36" ht="12" customHeight="1" x14ac:dyDescent="0.25">
      <c r="AJ2783" t="str">
        <f>IF(AI2783="", "", AI2783&amp;"["&amp;#REF!&amp;"]")</f>
        <v/>
      </c>
    </row>
    <row r="2784" spans="36:36" ht="12" customHeight="1" x14ac:dyDescent="0.25">
      <c r="AJ2784" t="str">
        <f>IF(AI2784="", "", AI2784&amp;"["&amp;#REF!&amp;"]")</f>
        <v/>
      </c>
    </row>
    <row r="2785" spans="36:36" ht="12" customHeight="1" x14ac:dyDescent="0.25">
      <c r="AJ2785" t="str">
        <f>IF(AI2785="", "", AI2785&amp;"["&amp;#REF!&amp;"]")</f>
        <v/>
      </c>
    </row>
    <row r="2786" spans="36:36" ht="12" customHeight="1" x14ac:dyDescent="0.25">
      <c r="AJ2786" t="str">
        <f>IF(AI2786="", "", AI2786&amp;"["&amp;#REF!&amp;"]")</f>
        <v/>
      </c>
    </row>
    <row r="2787" spans="36:36" ht="12" customHeight="1" x14ac:dyDescent="0.25">
      <c r="AJ2787" t="str">
        <f>IF(AI2787="", "", AI2787&amp;"["&amp;#REF!&amp;"]")</f>
        <v/>
      </c>
    </row>
    <row r="2788" spans="36:36" ht="12" customHeight="1" x14ac:dyDescent="0.25">
      <c r="AJ2788" t="str">
        <f>IF(AI2788="", "", AI2788&amp;"["&amp;#REF!&amp;"]")</f>
        <v/>
      </c>
    </row>
    <row r="2789" spans="36:36" ht="12" customHeight="1" x14ac:dyDescent="0.25">
      <c r="AJ2789" t="str">
        <f>IF(AI2789="", "", AI2789&amp;"["&amp;#REF!&amp;"]")</f>
        <v/>
      </c>
    </row>
    <row r="2790" spans="36:36" ht="12" customHeight="1" x14ac:dyDescent="0.25">
      <c r="AJ2790" t="str">
        <f>IF(AI2790="", "", AI2790&amp;"["&amp;#REF!&amp;"]")</f>
        <v/>
      </c>
    </row>
    <row r="2791" spans="36:36" ht="12" customHeight="1" x14ac:dyDescent="0.25">
      <c r="AJ2791" t="str">
        <f>IF(AI2791="", "", AI2791&amp;"["&amp;#REF!&amp;"]")</f>
        <v/>
      </c>
    </row>
    <row r="2792" spans="36:36" ht="12" customHeight="1" x14ac:dyDescent="0.25">
      <c r="AJ2792" t="str">
        <f>IF(AI2792="", "", AI2792&amp;"["&amp;#REF!&amp;"]")</f>
        <v/>
      </c>
    </row>
    <row r="2793" spans="36:36" ht="12" customHeight="1" x14ac:dyDescent="0.25">
      <c r="AJ2793" t="str">
        <f>IF(AI2793="", "", AI2793&amp;"["&amp;#REF!&amp;"]")</f>
        <v/>
      </c>
    </row>
    <row r="2794" spans="36:36" ht="12" customHeight="1" x14ac:dyDescent="0.25">
      <c r="AJ2794" t="str">
        <f>IF(AI2794="", "", AI2794&amp;"["&amp;#REF!&amp;"]")</f>
        <v/>
      </c>
    </row>
    <row r="2795" spans="36:36" ht="12" customHeight="1" x14ac:dyDescent="0.25">
      <c r="AJ2795" t="str">
        <f>IF(AI2795="", "", AI2795&amp;"["&amp;#REF!&amp;"]")</f>
        <v/>
      </c>
    </row>
    <row r="2796" spans="36:36" ht="12" customHeight="1" x14ac:dyDescent="0.25">
      <c r="AJ2796" t="str">
        <f>IF(AI2796="", "", AI2796&amp;"["&amp;#REF!&amp;"]")</f>
        <v/>
      </c>
    </row>
    <row r="2797" spans="36:36" ht="12" customHeight="1" x14ac:dyDescent="0.25">
      <c r="AJ2797" t="str">
        <f>IF(AI2797="", "", AI2797&amp;"["&amp;#REF!&amp;"]")</f>
        <v/>
      </c>
    </row>
    <row r="2798" spans="36:36" ht="12" customHeight="1" x14ac:dyDescent="0.25">
      <c r="AJ2798" t="str">
        <f>IF(AI2798="", "", AI2798&amp;"["&amp;#REF!&amp;"]")</f>
        <v/>
      </c>
    </row>
    <row r="2799" spans="36:36" ht="12" customHeight="1" x14ac:dyDescent="0.25">
      <c r="AJ2799" t="str">
        <f>IF(AI2799="", "", AI2799&amp;"["&amp;#REF!&amp;"]")</f>
        <v/>
      </c>
    </row>
    <row r="2800" spans="36:36" ht="12" customHeight="1" x14ac:dyDescent="0.25">
      <c r="AJ2800" t="str">
        <f>IF(AI2800="", "", AI2800&amp;"["&amp;#REF!&amp;"]")</f>
        <v/>
      </c>
    </row>
    <row r="2801" spans="36:36" ht="12" customHeight="1" x14ac:dyDescent="0.25">
      <c r="AJ2801" t="str">
        <f>IF(AI2801="", "", AI2801&amp;"["&amp;#REF!&amp;"]")</f>
        <v/>
      </c>
    </row>
    <row r="2802" spans="36:36" ht="12" customHeight="1" x14ac:dyDescent="0.25">
      <c r="AJ2802" t="str">
        <f>IF(AI2802="", "", AI2802&amp;"["&amp;#REF!&amp;"]")</f>
        <v/>
      </c>
    </row>
    <row r="2803" spans="36:36" ht="12" customHeight="1" x14ac:dyDescent="0.25">
      <c r="AJ2803" t="str">
        <f>IF(AI2803="", "", AI2803&amp;"["&amp;#REF!&amp;"]")</f>
        <v/>
      </c>
    </row>
    <row r="2804" spans="36:36" ht="12" customHeight="1" x14ac:dyDescent="0.25">
      <c r="AJ2804" t="str">
        <f>IF(AI2804="", "", AI2804&amp;"["&amp;#REF!&amp;"]")</f>
        <v/>
      </c>
    </row>
    <row r="2805" spans="36:36" ht="12" customHeight="1" x14ac:dyDescent="0.25">
      <c r="AJ2805" t="str">
        <f>IF(AI2805="", "", AI2805&amp;"["&amp;#REF!&amp;"]")</f>
        <v/>
      </c>
    </row>
    <row r="2806" spans="36:36" ht="12" customHeight="1" x14ac:dyDescent="0.25">
      <c r="AJ2806" t="str">
        <f>IF(AI2806="", "", AI2806&amp;"["&amp;#REF!&amp;"]")</f>
        <v/>
      </c>
    </row>
    <row r="2807" spans="36:36" ht="12" customHeight="1" x14ac:dyDescent="0.25">
      <c r="AJ2807" t="str">
        <f>IF(AI2807="", "", AI2807&amp;"["&amp;#REF!&amp;"]")</f>
        <v/>
      </c>
    </row>
    <row r="2808" spans="36:36" ht="12" customHeight="1" x14ac:dyDescent="0.25">
      <c r="AJ2808" t="str">
        <f>IF(AI2808="", "", AI2808&amp;"["&amp;#REF!&amp;"]")</f>
        <v/>
      </c>
    </row>
    <row r="2809" spans="36:36" ht="12" customHeight="1" x14ac:dyDescent="0.25">
      <c r="AJ2809" t="str">
        <f>IF(AI2809="", "", AI2809&amp;"["&amp;#REF!&amp;"]")</f>
        <v/>
      </c>
    </row>
    <row r="2810" spans="36:36" ht="12" customHeight="1" x14ac:dyDescent="0.25">
      <c r="AJ2810" t="str">
        <f>IF(AI2810="", "", AI2810&amp;"["&amp;#REF!&amp;"]")</f>
        <v/>
      </c>
    </row>
    <row r="2811" spans="36:36" ht="12" customHeight="1" x14ac:dyDescent="0.25">
      <c r="AJ2811" t="str">
        <f>IF(AI2811="", "", AI2811&amp;"["&amp;#REF!&amp;"]")</f>
        <v/>
      </c>
    </row>
    <row r="2812" spans="36:36" ht="12" customHeight="1" x14ac:dyDescent="0.25">
      <c r="AJ2812" t="str">
        <f>IF(AI2812="", "", AI2812&amp;"["&amp;#REF!&amp;"]")</f>
        <v/>
      </c>
    </row>
    <row r="2813" spans="36:36" ht="12" customHeight="1" x14ac:dyDescent="0.25">
      <c r="AJ2813" t="str">
        <f>IF(AI2813="", "", AI2813&amp;"["&amp;#REF!&amp;"]")</f>
        <v/>
      </c>
    </row>
    <row r="2814" spans="36:36" ht="12" customHeight="1" x14ac:dyDescent="0.25">
      <c r="AJ2814" t="str">
        <f>IF(AI2814="", "", AI2814&amp;"["&amp;#REF!&amp;"]")</f>
        <v/>
      </c>
    </row>
    <row r="2815" spans="36:36" ht="12" customHeight="1" x14ac:dyDescent="0.25">
      <c r="AJ2815" t="str">
        <f>IF(AI2815="", "", AI2815&amp;"["&amp;#REF!&amp;"]")</f>
        <v/>
      </c>
    </row>
    <row r="2816" spans="36:36" ht="12" customHeight="1" x14ac:dyDescent="0.25">
      <c r="AJ2816" t="str">
        <f>IF(AI2816="", "", AI2816&amp;"["&amp;#REF!&amp;"]")</f>
        <v/>
      </c>
    </row>
    <row r="2817" spans="36:36" ht="12" customHeight="1" x14ac:dyDescent="0.25">
      <c r="AJ2817" t="str">
        <f>IF(AI2817="", "", AI2817&amp;"["&amp;#REF!&amp;"]")</f>
        <v/>
      </c>
    </row>
    <row r="2818" spans="36:36" ht="12" customHeight="1" x14ac:dyDescent="0.25">
      <c r="AJ2818" t="str">
        <f>IF(AI2818="", "", AI2818&amp;"["&amp;#REF!&amp;"]")</f>
        <v/>
      </c>
    </row>
    <row r="2819" spans="36:36" ht="12" customHeight="1" x14ac:dyDescent="0.25">
      <c r="AJ2819" t="str">
        <f>IF(AI2819="", "", AI2819&amp;"["&amp;#REF!&amp;"]")</f>
        <v/>
      </c>
    </row>
    <row r="2820" spans="36:36" ht="12" customHeight="1" x14ac:dyDescent="0.25">
      <c r="AJ2820" t="str">
        <f>IF(AI2820="", "", AI2820&amp;"["&amp;#REF!&amp;"]")</f>
        <v/>
      </c>
    </row>
    <row r="2821" spans="36:36" ht="12" customHeight="1" x14ac:dyDescent="0.25">
      <c r="AJ2821" t="str">
        <f>IF(AI2821="", "", AI2821&amp;"["&amp;#REF!&amp;"]")</f>
        <v/>
      </c>
    </row>
    <row r="2822" spans="36:36" ht="12" customHeight="1" x14ac:dyDescent="0.25">
      <c r="AJ2822" t="str">
        <f>IF(AI2822="", "", AI2822&amp;"["&amp;#REF!&amp;"]")</f>
        <v/>
      </c>
    </row>
    <row r="2823" spans="36:36" ht="12" customHeight="1" x14ac:dyDescent="0.25">
      <c r="AJ2823" t="str">
        <f>IF(AI2823="", "", AI2823&amp;"["&amp;#REF!&amp;"]")</f>
        <v/>
      </c>
    </row>
    <row r="2824" spans="36:36" ht="12" customHeight="1" x14ac:dyDescent="0.25">
      <c r="AJ2824" t="str">
        <f>IF(AI2824="", "", AI2824&amp;"["&amp;#REF!&amp;"]")</f>
        <v/>
      </c>
    </row>
    <row r="2825" spans="36:36" ht="12" customHeight="1" x14ac:dyDescent="0.25">
      <c r="AJ2825" t="str">
        <f>IF(AI2825="", "", AI2825&amp;"["&amp;#REF!&amp;"]")</f>
        <v/>
      </c>
    </row>
    <row r="2826" spans="36:36" ht="12" customHeight="1" x14ac:dyDescent="0.25">
      <c r="AJ2826" t="str">
        <f>IF(AI2826="", "", AI2826&amp;"["&amp;#REF!&amp;"]")</f>
        <v/>
      </c>
    </row>
    <row r="2827" spans="36:36" ht="12" customHeight="1" x14ac:dyDescent="0.25">
      <c r="AJ2827" t="str">
        <f>IF(AI2827="", "", AI2827&amp;"["&amp;#REF!&amp;"]")</f>
        <v/>
      </c>
    </row>
    <row r="2828" spans="36:36" ht="12" customHeight="1" x14ac:dyDescent="0.25">
      <c r="AJ2828" t="str">
        <f>IF(AI2828="", "", AI2828&amp;"["&amp;#REF!&amp;"]")</f>
        <v/>
      </c>
    </row>
    <row r="2829" spans="36:36" ht="12" customHeight="1" x14ac:dyDescent="0.25">
      <c r="AJ2829" t="str">
        <f>IF(AI2829="", "", AI2829&amp;"["&amp;#REF!&amp;"]")</f>
        <v/>
      </c>
    </row>
    <row r="2830" spans="36:36" ht="12" customHeight="1" x14ac:dyDescent="0.25">
      <c r="AJ2830" t="str">
        <f>IF(AI2830="", "", AI2830&amp;"["&amp;#REF!&amp;"]")</f>
        <v/>
      </c>
    </row>
    <row r="2831" spans="36:36" ht="12" customHeight="1" x14ac:dyDescent="0.25">
      <c r="AJ2831" t="str">
        <f>IF(AI2831="", "", AI2831&amp;"["&amp;#REF!&amp;"]")</f>
        <v/>
      </c>
    </row>
    <row r="2832" spans="36:36" ht="12" customHeight="1" x14ac:dyDescent="0.25">
      <c r="AJ2832" t="str">
        <f>IF(AI2832="", "", AI2832&amp;"["&amp;#REF!&amp;"]")</f>
        <v/>
      </c>
    </row>
    <row r="2833" spans="36:36" ht="12" customHeight="1" x14ac:dyDescent="0.25">
      <c r="AJ2833" t="str">
        <f>IF(AI2833="", "", AI2833&amp;"["&amp;#REF!&amp;"]")</f>
        <v/>
      </c>
    </row>
    <row r="2834" spans="36:36" ht="12" customHeight="1" x14ac:dyDescent="0.25">
      <c r="AJ2834" t="str">
        <f>IF(AI2834="", "", AI2834&amp;"["&amp;#REF!&amp;"]")</f>
        <v/>
      </c>
    </row>
    <row r="2835" spans="36:36" ht="12" customHeight="1" x14ac:dyDescent="0.25">
      <c r="AJ2835" t="str">
        <f>IF(AI2835="", "", AI2835&amp;"["&amp;#REF!&amp;"]")</f>
        <v/>
      </c>
    </row>
    <row r="2836" spans="36:36" ht="12" customHeight="1" x14ac:dyDescent="0.25">
      <c r="AJ2836" t="str">
        <f>IF(AI2836="", "", AI2836&amp;"["&amp;#REF!&amp;"]")</f>
        <v/>
      </c>
    </row>
    <row r="2837" spans="36:36" ht="12" customHeight="1" x14ac:dyDescent="0.25">
      <c r="AJ2837" t="str">
        <f>IF(AI2837="", "", AI2837&amp;"["&amp;#REF!&amp;"]")</f>
        <v/>
      </c>
    </row>
    <row r="2838" spans="36:36" ht="12" customHeight="1" x14ac:dyDescent="0.25">
      <c r="AJ2838" t="str">
        <f>IF(AI2838="", "", AI2838&amp;"["&amp;#REF!&amp;"]")</f>
        <v/>
      </c>
    </row>
    <row r="2839" spans="36:36" ht="12" customHeight="1" x14ac:dyDescent="0.25">
      <c r="AJ2839" t="str">
        <f>IF(AI2839="", "", AI2839&amp;"["&amp;#REF!&amp;"]")</f>
        <v/>
      </c>
    </row>
    <row r="2840" spans="36:36" ht="12" customHeight="1" x14ac:dyDescent="0.25">
      <c r="AJ2840" t="str">
        <f>IF(AI2840="", "", AI2840&amp;"["&amp;#REF!&amp;"]")</f>
        <v/>
      </c>
    </row>
    <row r="2841" spans="36:36" ht="12" customHeight="1" x14ac:dyDescent="0.25">
      <c r="AJ2841" t="str">
        <f>IF(AI2841="", "", AI2841&amp;"["&amp;#REF!&amp;"]")</f>
        <v/>
      </c>
    </row>
    <row r="2842" spans="36:36" ht="12" customHeight="1" x14ac:dyDescent="0.25">
      <c r="AJ2842" t="str">
        <f>IF(AI2842="", "", AI2842&amp;"["&amp;#REF!&amp;"]")</f>
        <v/>
      </c>
    </row>
    <row r="2843" spans="36:36" ht="12" customHeight="1" x14ac:dyDescent="0.25">
      <c r="AJ2843" t="str">
        <f>IF(AI2843="", "", AI2843&amp;"["&amp;#REF!&amp;"]")</f>
        <v/>
      </c>
    </row>
    <row r="2844" spans="36:36" ht="12" customHeight="1" x14ac:dyDescent="0.25">
      <c r="AJ2844" t="str">
        <f>IF(AI2844="", "", AI2844&amp;"["&amp;#REF!&amp;"]")</f>
        <v/>
      </c>
    </row>
    <row r="2845" spans="36:36" ht="12" customHeight="1" x14ac:dyDescent="0.25">
      <c r="AJ2845" t="str">
        <f>IF(AI2845="", "", AI2845&amp;"["&amp;#REF!&amp;"]")</f>
        <v/>
      </c>
    </row>
    <row r="2846" spans="36:36" ht="12" customHeight="1" x14ac:dyDescent="0.25">
      <c r="AJ2846" t="str">
        <f>IF(AI2846="", "", AI2846&amp;"["&amp;#REF!&amp;"]")</f>
        <v/>
      </c>
    </row>
    <row r="2847" spans="36:36" ht="12" customHeight="1" x14ac:dyDescent="0.25">
      <c r="AJ2847" t="str">
        <f>IF(AI2847="", "", AI2847&amp;"["&amp;#REF!&amp;"]")</f>
        <v/>
      </c>
    </row>
    <row r="2848" spans="36:36" ht="12" customHeight="1" x14ac:dyDescent="0.25">
      <c r="AJ2848" t="str">
        <f>IF(AI2848="", "", AI2848&amp;"["&amp;#REF!&amp;"]")</f>
        <v/>
      </c>
    </row>
    <row r="2849" spans="36:36" ht="12" customHeight="1" x14ac:dyDescent="0.25">
      <c r="AJ2849" t="str">
        <f>IF(AI2849="", "", AI2849&amp;"["&amp;#REF!&amp;"]")</f>
        <v/>
      </c>
    </row>
    <row r="2850" spans="36:36" ht="12" customHeight="1" x14ac:dyDescent="0.25">
      <c r="AJ2850" t="str">
        <f>IF(AI2850="", "", AI2850&amp;"["&amp;#REF!&amp;"]")</f>
        <v/>
      </c>
    </row>
    <row r="2851" spans="36:36" ht="12" customHeight="1" x14ac:dyDescent="0.25">
      <c r="AJ2851" t="str">
        <f>IF(AI2851="", "", AI2851&amp;"["&amp;#REF!&amp;"]")</f>
        <v/>
      </c>
    </row>
    <row r="2852" spans="36:36" ht="12" customHeight="1" x14ac:dyDescent="0.25">
      <c r="AJ2852" t="str">
        <f>IF(AI2852="", "", AI2852&amp;"["&amp;#REF!&amp;"]")</f>
        <v/>
      </c>
    </row>
    <row r="2853" spans="36:36" ht="12" customHeight="1" x14ac:dyDescent="0.25">
      <c r="AJ2853" t="str">
        <f>IF(AI2853="", "", AI2853&amp;"["&amp;#REF!&amp;"]")</f>
        <v/>
      </c>
    </row>
    <row r="2854" spans="36:36" ht="12" customHeight="1" x14ac:dyDescent="0.25">
      <c r="AJ2854" t="str">
        <f>IF(AI2854="", "", AI2854&amp;"["&amp;#REF!&amp;"]")</f>
        <v/>
      </c>
    </row>
    <row r="2855" spans="36:36" ht="12" customHeight="1" x14ac:dyDescent="0.25">
      <c r="AJ2855" t="str">
        <f>IF(AI2855="", "", AI2855&amp;"["&amp;#REF!&amp;"]")</f>
        <v/>
      </c>
    </row>
    <row r="2856" spans="36:36" ht="12" customHeight="1" x14ac:dyDescent="0.25">
      <c r="AJ2856" t="str">
        <f>IF(AI2856="", "", AI2856&amp;"["&amp;#REF!&amp;"]")</f>
        <v/>
      </c>
    </row>
    <row r="2857" spans="36:36" ht="12" customHeight="1" x14ac:dyDescent="0.25">
      <c r="AJ2857" t="str">
        <f>IF(AI2857="", "", AI2857&amp;"["&amp;#REF!&amp;"]")</f>
        <v/>
      </c>
    </row>
    <row r="2858" spans="36:36" ht="12" customHeight="1" x14ac:dyDescent="0.25">
      <c r="AJ2858" t="str">
        <f>IF(AI2858="", "", AI2858&amp;"["&amp;#REF!&amp;"]")</f>
        <v/>
      </c>
    </row>
    <row r="2859" spans="36:36" ht="12" customHeight="1" x14ac:dyDescent="0.25">
      <c r="AJ2859" t="str">
        <f>IF(AI2859="", "", AI2859&amp;"["&amp;#REF!&amp;"]")</f>
        <v/>
      </c>
    </row>
    <row r="2860" spans="36:36" ht="12" customHeight="1" x14ac:dyDescent="0.25">
      <c r="AJ2860" t="str">
        <f>IF(AI2860="", "", AI2860&amp;"["&amp;#REF!&amp;"]")</f>
        <v/>
      </c>
    </row>
    <row r="2861" spans="36:36" ht="12" customHeight="1" x14ac:dyDescent="0.25">
      <c r="AJ2861" t="str">
        <f>IF(AI2861="", "", AI2861&amp;"["&amp;#REF!&amp;"]")</f>
        <v/>
      </c>
    </row>
    <row r="2862" spans="36:36" ht="12" customHeight="1" x14ac:dyDescent="0.25">
      <c r="AJ2862" t="str">
        <f>IF(AI2862="", "", AI2862&amp;"["&amp;#REF!&amp;"]")</f>
        <v/>
      </c>
    </row>
    <row r="2863" spans="36:36" ht="12" customHeight="1" x14ac:dyDescent="0.25">
      <c r="AJ2863" t="str">
        <f>IF(AI2863="", "", AI2863&amp;"["&amp;#REF!&amp;"]")</f>
        <v/>
      </c>
    </row>
    <row r="2864" spans="36:36" ht="12" customHeight="1" x14ac:dyDescent="0.25">
      <c r="AJ2864" t="str">
        <f>IF(AI2864="", "", AI2864&amp;"["&amp;#REF!&amp;"]")</f>
        <v/>
      </c>
    </row>
    <row r="2865" spans="36:36" ht="12" customHeight="1" x14ac:dyDescent="0.25">
      <c r="AJ2865" t="str">
        <f>IF(AI2865="", "", AI2865&amp;"["&amp;#REF!&amp;"]")</f>
        <v/>
      </c>
    </row>
    <row r="2866" spans="36:36" ht="12" customHeight="1" x14ac:dyDescent="0.25">
      <c r="AJ2866" t="str">
        <f>IF(AI2866="", "", AI2866&amp;"["&amp;#REF!&amp;"]")</f>
        <v/>
      </c>
    </row>
    <row r="2867" spans="36:36" ht="12" customHeight="1" x14ac:dyDescent="0.25">
      <c r="AJ2867" t="str">
        <f>IF(AI2867="", "", AI2867&amp;"["&amp;#REF!&amp;"]")</f>
        <v/>
      </c>
    </row>
    <row r="2868" spans="36:36" ht="12" customHeight="1" x14ac:dyDescent="0.25">
      <c r="AJ2868" t="str">
        <f>IF(AI2868="", "", AI2868&amp;"["&amp;#REF!&amp;"]")</f>
        <v/>
      </c>
    </row>
    <row r="2869" spans="36:36" ht="12" customHeight="1" x14ac:dyDescent="0.25">
      <c r="AJ2869" t="str">
        <f>IF(AI2869="", "", AI2869&amp;"["&amp;#REF!&amp;"]")</f>
        <v/>
      </c>
    </row>
    <row r="2870" spans="36:36" ht="12" customHeight="1" x14ac:dyDescent="0.25">
      <c r="AJ2870" t="str">
        <f>IF(AI2870="", "", AI2870&amp;"["&amp;#REF!&amp;"]")</f>
        <v/>
      </c>
    </row>
    <row r="2871" spans="36:36" ht="12" customHeight="1" x14ac:dyDescent="0.25">
      <c r="AJ2871" t="str">
        <f>IF(AI2871="", "", AI2871&amp;"["&amp;#REF!&amp;"]")</f>
        <v/>
      </c>
    </row>
    <row r="2872" spans="36:36" ht="12" customHeight="1" x14ac:dyDescent="0.25">
      <c r="AJ2872" t="str">
        <f>IF(AI2872="", "", AI2872&amp;"["&amp;#REF!&amp;"]")</f>
        <v/>
      </c>
    </row>
    <row r="2873" spans="36:36" ht="12" customHeight="1" x14ac:dyDescent="0.25">
      <c r="AJ2873" t="str">
        <f>IF(AI2873="", "", AI2873&amp;"["&amp;#REF!&amp;"]")</f>
        <v/>
      </c>
    </row>
    <row r="2874" spans="36:36" ht="12" customHeight="1" x14ac:dyDescent="0.25">
      <c r="AJ2874" t="str">
        <f>IF(AI2874="", "", AI2874&amp;"["&amp;#REF!&amp;"]")</f>
        <v/>
      </c>
    </row>
    <row r="2875" spans="36:36" ht="12" customHeight="1" x14ac:dyDescent="0.25">
      <c r="AJ2875" t="str">
        <f>IF(AI2875="", "", AI2875&amp;"["&amp;#REF!&amp;"]")</f>
        <v/>
      </c>
    </row>
    <row r="2876" spans="36:36" ht="12" customHeight="1" x14ac:dyDescent="0.25">
      <c r="AJ2876" t="str">
        <f>IF(AI2876="", "", AI2876&amp;"["&amp;#REF!&amp;"]")</f>
        <v/>
      </c>
    </row>
    <row r="2877" spans="36:36" ht="12" customHeight="1" x14ac:dyDescent="0.25">
      <c r="AJ2877" t="str">
        <f>IF(AI2877="", "", AI2877&amp;"["&amp;#REF!&amp;"]")</f>
        <v/>
      </c>
    </row>
    <row r="2878" spans="36:36" ht="12" customHeight="1" x14ac:dyDescent="0.25">
      <c r="AJ2878" t="str">
        <f>IF(AI2878="", "", AI2878&amp;"["&amp;#REF!&amp;"]")</f>
        <v/>
      </c>
    </row>
    <row r="2879" spans="36:36" ht="12" customHeight="1" x14ac:dyDescent="0.25">
      <c r="AJ2879" t="str">
        <f>IF(AI2879="", "", AI2879&amp;"["&amp;#REF!&amp;"]")</f>
        <v/>
      </c>
    </row>
    <row r="2880" spans="36:36" ht="12" customHeight="1" x14ac:dyDescent="0.25">
      <c r="AJ2880" t="str">
        <f>IF(AI2880="", "", AI2880&amp;"["&amp;#REF!&amp;"]")</f>
        <v/>
      </c>
    </row>
    <row r="2881" spans="36:36" ht="12" customHeight="1" x14ac:dyDescent="0.25">
      <c r="AJ2881" t="str">
        <f>IF(AI2881="", "", AI2881&amp;"["&amp;#REF!&amp;"]")</f>
        <v/>
      </c>
    </row>
    <row r="2882" spans="36:36" ht="12" customHeight="1" x14ac:dyDescent="0.25">
      <c r="AJ2882" t="str">
        <f>IF(AI2882="", "", AI2882&amp;"["&amp;#REF!&amp;"]")</f>
        <v/>
      </c>
    </row>
    <row r="2883" spans="36:36" ht="12" customHeight="1" x14ac:dyDescent="0.25">
      <c r="AJ2883" t="str">
        <f>IF(AI2883="", "", AI2883&amp;"["&amp;#REF!&amp;"]")</f>
        <v/>
      </c>
    </row>
    <row r="2884" spans="36:36" ht="12" customHeight="1" x14ac:dyDescent="0.25">
      <c r="AJ2884" t="str">
        <f>IF(AI2884="", "", AI2884&amp;"["&amp;#REF!&amp;"]")</f>
        <v/>
      </c>
    </row>
    <row r="2885" spans="36:36" ht="12" customHeight="1" x14ac:dyDescent="0.25">
      <c r="AJ2885" t="str">
        <f>IF(AI2885="", "", AI2885&amp;"["&amp;#REF!&amp;"]")</f>
        <v/>
      </c>
    </row>
    <row r="2886" spans="36:36" ht="12" customHeight="1" x14ac:dyDescent="0.25">
      <c r="AJ2886" t="str">
        <f>IF(AI2886="", "", AI2886&amp;"["&amp;#REF!&amp;"]")</f>
        <v/>
      </c>
    </row>
    <row r="2887" spans="36:36" ht="12" customHeight="1" x14ac:dyDescent="0.25">
      <c r="AJ2887" t="str">
        <f>IF(AI2887="", "", AI2887&amp;"["&amp;#REF!&amp;"]")</f>
        <v/>
      </c>
    </row>
    <row r="2888" spans="36:36" ht="12" customHeight="1" x14ac:dyDescent="0.25">
      <c r="AJ2888" t="str">
        <f>IF(AI2888="", "", AI2888&amp;"["&amp;#REF!&amp;"]")</f>
        <v/>
      </c>
    </row>
    <row r="2889" spans="36:36" ht="12" customHeight="1" x14ac:dyDescent="0.25">
      <c r="AJ2889" t="str">
        <f>IF(AI2889="", "", AI2889&amp;"["&amp;#REF!&amp;"]")</f>
        <v/>
      </c>
    </row>
    <row r="2890" spans="36:36" ht="12" customHeight="1" x14ac:dyDescent="0.25">
      <c r="AJ2890" t="str">
        <f>IF(AI2890="", "", AI2890&amp;"["&amp;#REF!&amp;"]")</f>
        <v/>
      </c>
    </row>
    <row r="2891" spans="36:36" ht="12" customHeight="1" x14ac:dyDescent="0.25">
      <c r="AJ2891" t="str">
        <f>IF(AI2891="", "", AI2891&amp;"["&amp;#REF!&amp;"]")</f>
        <v/>
      </c>
    </row>
    <row r="2892" spans="36:36" ht="12" customHeight="1" x14ac:dyDescent="0.25">
      <c r="AJ2892" t="str">
        <f>IF(AI2892="", "", AI2892&amp;"["&amp;#REF!&amp;"]")</f>
        <v/>
      </c>
    </row>
    <row r="2893" spans="36:36" ht="12" customHeight="1" x14ac:dyDescent="0.25">
      <c r="AJ2893" t="str">
        <f>IF(AI2893="", "", AI2893&amp;"["&amp;#REF!&amp;"]")</f>
        <v/>
      </c>
    </row>
    <row r="2894" spans="36:36" ht="12" customHeight="1" x14ac:dyDescent="0.25">
      <c r="AJ2894" t="str">
        <f>IF(AI2894="", "", AI2894&amp;"["&amp;#REF!&amp;"]")</f>
        <v/>
      </c>
    </row>
    <row r="2895" spans="36:36" ht="12" customHeight="1" x14ac:dyDescent="0.25">
      <c r="AJ2895" t="str">
        <f>IF(AI2895="", "", AI2895&amp;"["&amp;#REF!&amp;"]")</f>
        <v/>
      </c>
    </row>
    <row r="2896" spans="36:36" ht="12" customHeight="1" x14ac:dyDescent="0.25">
      <c r="AJ2896" t="str">
        <f>IF(AI2896="", "", AI2896&amp;"["&amp;#REF!&amp;"]")</f>
        <v/>
      </c>
    </row>
    <row r="2897" spans="36:36" ht="12" customHeight="1" x14ac:dyDescent="0.25">
      <c r="AJ2897" t="str">
        <f>IF(AI2897="", "", AI2897&amp;"["&amp;#REF!&amp;"]")</f>
        <v/>
      </c>
    </row>
    <row r="2898" spans="36:36" ht="12" customHeight="1" x14ac:dyDescent="0.25">
      <c r="AJ2898" t="str">
        <f>IF(AI2898="", "", AI2898&amp;"["&amp;#REF!&amp;"]")</f>
        <v/>
      </c>
    </row>
    <row r="2899" spans="36:36" ht="12" customHeight="1" x14ac:dyDescent="0.25">
      <c r="AJ2899" t="str">
        <f>IF(AI2899="", "", AI2899&amp;"["&amp;#REF!&amp;"]")</f>
        <v/>
      </c>
    </row>
    <row r="2900" spans="36:36" ht="12" customHeight="1" x14ac:dyDescent="0.25">
      <c r="AJ2900" t="str">
        <f>IF(AI2900="", "", AI2900&amp;"["&amp;#REF!&amp;"]")</f>
        <v/>
      </c>
    </row>
    <row r="2901" spans="36:36" ht="12" customHeight="1" x14ac:dyDescent="0.25">
      <c r="AJ2901" t="str">
        <f>IF(AI2901="", "", AI2901&amp;"["&amp;#REF!&amp;"]")</f>
        <v/>
      </c>
    </row>
    <row r="2902" spans="36:36" ht="12" customHeight="1" x14ac:dyDescent="0.25">
      <c r="AJ2902" t="str">
        <f>IF(AI2902="", "", AI2902&amp;"["&amp;#REF!&amp;"]")</f>
        <v/>
      </c>
    </row>
    <row r="2903" spans="36:36" ht="12" customHeight="1" x14ac:dyDescent="0.25">
      <c r="AJ2903" t="str">
        <f>IF(AI2903="", "", AI2903&amp;"["&amp;#REF!&amp;"]")</f>
        <v/>
      </c>
    </row>
    <row r="2904" spans="36:36" ht="12" customHeight="1" x14ac:dyDescent="0.25">
      <c r="AJ2904" t="str">
        <f>IF(AI2904="", "", AI2904&amp;"["&amp;#REF!&amp;"]")</f>
        <v/>
      </c>
    </row>
    <row r="2905" spans="36:36" ht="12" customHeight="1" x14ac:dyDescent="0.25">
      <c r="AJ2905" t="str">
        <f>IF(AI2905="", "", AI2905&amp;"["&amp;#REF!&amp;"]")</f>
        <v/>
      </c>
    </row>
    <row r="2906" spans="36:36" ht="12" customHeight="1" x14ac:dyDescent="0.25">
      <c r="AJ2906" t="str">
        <f>IF(AI2906="", "", AI2906&amp;"["&amp;#REF!&amp;"]")</f>
        <v/>
      </c>
    </row>
    <row r="2907" spans="36:36" ht="12" customHeight="1" x14ac:dyDescent="0.25">
      <c r="AJ2907" t="str">
        <f>IF(AI2907="", "", AI2907&amp;"["&amp;#REF!&amp;"]")</f>
        <v/>
      </c>
    </row>
    <row r="2908" spans="36:36" ht="12" customHeight="1" x14ac:dyDescent="0.25">
      <c r="AJ2908" t="str">
        <f>IF(AI2908="", "", AI2908&amp;"["&amp;#REF!&amp;"]")</f>
        <v/>
      </c>
    </row>
    <row r="2909" spans="36:36" ht="12" customHeight="1" x14ac:dyDescent="0.25">
      <c r="AJ2909" t="str">
        <f>IF(AI2909="", "", AI2909&amp;"["&amp;#REF!&amp;"]")</f>
        <v/>
      </c>
    </row>
    <row r="2910" spans="36:36" ht="12" customHeight="1" x14ac:dyDescent="0.25">
      <c r="AJ2910" t="str">
        <f>IF(AI2910="", "", AI2910&amp;"["&amp;#REF!&amp;"]")</f>
        <v/>
      </c>
    </row>
    <row r="2911" spans="36:36" ht="12" customHeight="1" x14ac:dyDescent="0.25">
      <c r="AJ2911" t="str">
        <f>IF(AI2911="", "", AI2911&amp;"["&amp;#REF!&amp;"]")</f>
        <v/>
      </c>
    </row>
    <row r="2912" spans="36:36" ht="12" customHeight="1" x14ac:dyDescent="0.25">
      <c r="AJ2912" t="str">
        <f>IF(AI2912="", "", AI2912&amp;"["&amp;#REF!&amp;"]")</f>
        <v/>
      </c>
    </row>
    <row r="2913" spans="36:36" ht="12" customHeight="1" x14ac:dyDescent="0.25">
      <c r="AJ2913" t="str">
        <f>IF(AI2913="", "", AI2913&amp;"["&amp;#REF!&amp;"]")</f>
        <v/>
      </c>
    </row>
    <row r="2914" spans="36:36" ht="12" customHeight="1" x14ac:dyDescent="0.25">
      <c r="AJ2914" t="str">
        <f>IF(AI2914="", "", AI2914&amp;"["&amp;#REF!&amp;"]")</f>
        <v/>
      </c>
    </row>
    <row r="2915" spans="36:36" ht="12" customHeight="1" x14ac:dyDescent="0.25">
      <c r="AJ2915" t="str">
        <f>IF(AI2915="", "", AI2915&amp;"["&amp;#REF!&amp;"]")</f>
        <v/>
      </c>
    </row>
    <row r="2916" spans="36:36" ht="12" customHeight="1" x14ac:dyDescent="0.25">
      <c r="AJ2916" t="str">
        <f>IF(AI2916="", "", AI2916&amp;"["&amp;#REF!&amp;"]")</f>
        <v/>
      </c>
    </row>
    <row r="2917" spans="36:36" ht="12" customHeight="1" x14ac:dyDescent="0.25">
      <c r="AJ2917" t="str">
        <f>IF(AI2917="", "", AI2917&amp;"["&amp;#REF!&amp;"]")</f>
        <v/>
      </c>
    </row>
    <row r="2918" spans="36:36" ht="12" customHeight="1" x14ac:dyDescent="0.25">
      <c r="AJ2918" t="str">
        <f>IF(AI2918="", "", AI2918&amp;"["&amp;#REF!&amp;"]")</f>
        <v/>
      </c>
    </row>
    <row r="2919" spans="36:36" ht="12" customHeight="1" x14ac:dyDescent="0.25">
      <c r="AJ2919" t="str">
        <f>IF(AI2919="", "", AI2919&amp;"["&amp;#REF!&amp;"]")</f>
        <v/>
      </c>
    </row>
    <row r="2920" spans="36:36" ht="12" customHeight="1" x14ac:dyDescent="0.25">
      <c r="AJ2920" t="str">
        <f>IF(AI2920="", "", AI2920&amp;"["&amp;#REF!&amp;"]")</f>
        <v/>
      </c>
    </row>
    <row r="2921" spans="36:36" ht="12" customHeight="1" x14ac:dyDescent="0.25">
      <c r="AJ2921" t="str">
        <f>IF(AI2921="", "", AI2921&amp;"["&amp;#REF!&amp;"]")</f>
        <v/>
      </c>
    </row>
    <row r="2922" spans="36:36" ht="12" customHeight="1" x14ac:dyDescent="0.25">
      <c r="AJ2922" t="str">
        <f>IF(AI2922="", "", AI2922&amp;"["&amp;#REF!&amp;"]")</f>
        <v/>
      </c>
    </row>
    <row r="2923" spans="36:36" ht="12" customHeight="1" x14ac:dyDescent="0.25">
      <c r="AJ2923" t="str">
        <f>IF(AI2923="", "", AI2923&amp;"["&amp;#REF!&amp;"]")</f>
        <v/>
      </c>
    </row>
    <row r="2924" spans="36:36" ht="12" customHeight="1" x14ac:dyDescent="0.25">
      <c r="AJ2924" t="str">
        <f>IF(AI2924="", "", AI2924&amp;"["&amp;#REF!&amp;"]")</f>
        <v/>
      </c>
    </row>
    <row r="2925" spans="36:36" ht="12" customHeight="1" x14ac:dyDescent="0.25">
      <c r="AJ2925" t="str">
        <f>IF(AI2925="", "", AI2925&amp;"["&amp;#REF!&amp;"]")</f>
        <v/>
      </c>
    </row>
    <row r="2926" spans="36:36" ht="12" customHeight="1" x14ac:dyDescent="0.25">
      <c r="AJ2926" t="str">
        <f>IF(AI2926="", "", AI2926&amp;"["&amp;#REF!&amp;"]")</f>
        <v/>
      </c>
    </row>
    <row r="2927" spans="36:36" ht="12" customHeight="1" x14ac:dyDescent="0.25">
      <c r="AJ2927" t="str">
        <f>IF(AI2927="", "", AI2927&amp;"["&amp;#REF!&amp;"]")</f>
        <v/>
      </c>
    </row>
    <row r="2928" spans="36:36" ht="12" customHeight="1" x14ac:dyDescent="0.25">
      <c r="AJ2928" t="str">
        <f>IF(AI2928="", "", AI2928&amp;"["&amp;#REF!&amp;"]")</f>
        <v/>
      </c>
    </row>
    <row r="2929" spans="36:36" ht="12" customHeight="1" x14ac:dyDescent="0.25">
      <c r="AJ2929" t="str">
        <f>IF(AI2929="", "", AI2929&amp;"["&amp;#REF!&amp;"]")</f>
        <v/>
      </c>
    </row>
    <row r="2930" spans="36:36" ht="12" customHeight="1" x14ac:dyDescent="0.25">
      <c r="AJ2930" t="str">
        <f>IF(AI2930="", "", AI2930&amp;"["&amp;#REF!&amp;"]")</f>
        <v/>
      </c>
    </row>
    <row r="2931" spans="36:36" ht="12" customHeight="1" x14ac:dyDescent="0.25">
      <c r="AJ2931" t="str">
        <f>IF(AI2931="", "", AI2931&amp;"["&amp;#REF!&amp;"]")</f>
        <v/>
      </c>
    </row>
    <row r="2932" spans="36:36" ht="12" customHeight="1" x14ac:dyDescent="0.25">
      <c r="AJ2932" t="str">
        <f>IF(AI2932="", "", AI2932&amp;"["&amp;#REF!&amp;"]")</f>
        <v/>
      </c>
    </row>
    <row r="2933" spans="36:36" ht="12" customHeight="1" x14ac:dyDescent="0.25">
      <c r="AJ2933" t="str">
        <f>IF(AI2933="", "", AI2933&amp;"["&amp;#REF!&amp;"]")</f>
        <v/>
      </c>
    </row>
    <row r="2934" spans="36:36" ht="12" customHeight="1" x14ac:dyDescent="0.25">
      <c r="AJ2934" t="str">
        <f>IF(AI2934="", "", AI2934&amp;"["&amp;#REF!&amp;"]")</f>
        <v/>
      </c>
    </row>
    <row r="2935" spans="36:36" ht="12" customHeight="1" x14ac:dyDescent="0.25">
      <c r="AJ2935" t="str">
        <f>IF(AI2935="", "", AI2935&amp;"["&amp;#REF!&amp;"]")</f>
        <v/>
      </c>
    </row>
    <row r="2936" spans="36:36" ht="12" customHeight="1" x14ac:dyDescent="0.25">
      <c r="AJ2936" t="str">
        <f>IF(AI2936="", "", AI2936&amp;"["&amp;#REF!&amp;"]")</f>
        <v/>
      </c>
    </row>
    <row r="2937" spans="36:36" ht="12" customHeight="1" x14ac:dyDescent="0.25">
      <c r="AJ2937" t="str">
        <f>IF(AI2937="", "", AI2937&amp;"["&amp;#REF!&amp;"]")</f>
        <v/>
      </c>
    </row>
    <row r="2938" spans="36:36" ht="12" customHeight="1" x14ac:dyDescent="0.25">
      <c r="AJ2938" t="str">
        <f>IF(AI2938="", "", AI2938&amp;"["&amp;#REF!&amp;"]")</f>
        <v/>
      </c>
    </row>
    <row r="2939" spans="36:36" ht="12" customHeight="1" x14ac:dyDescent="0.25">
      <c r="AJ2939" t="str">
        <f>IF(AI2939="", "", AI2939&amp;"["&amp;#REF!&amp;"]")</f>
        <v/>
      </c>
    </row>
    <row r="2940" spans="36:36" ht="12" customHeight="1" x14ac:dyDescent="0.25">
      <c r="AJ2940" t="str">
        <f>IF(AI2940="", "", AI2940&amp;"["&amp;#REF!&amp;"]")</f>
        <v/>
      </c>
    </row>
    <row r="2941" spans="36:36" ht="12" customHeight="1" x14ac:dyDescent="0.25">
      <c r="AJ2941" t="str">
        <f>IF(AI2941="", "", AI2941&amp;"["&amp;#REF!&amp;"]")</f>
        <v/>
      </c>
    </row>
    <row r="2942" spans="36:36" ht="12" customHeight="1" x14ac:dyDescent="0.25">
      <c r="AJ2942" t="str">
        <f>IF(AI2942="", "", AI2942&amp;"["&amp;#REF!&amp;"]")</f>
        <v/>
      </c>
    </row>
    <row r="2943" spans="36:36" ht="12" customHeight="1" x14ac:dyDescent="0.25">
      <c r="AJ2943" t="str">
        <f>IF(AI2943="", "", AI2943&amp;"["&amp;#REF!&amp;"]")</f>
        <v/>
      </c>
    </row>
    <row r="2944" spans="36:36" ht="12" customHeight="1" x14ac:dyDescent="0.25">
      <c r="AJ2944" t="str">
        <f>IF(AI2944="", "", AI2944&amp;"["&amp;#REF!&amp;"]")</f>
        <v/>
      </c>
    </row>
    <row r="2945" spans="36:36" ht="12" customHeight="1" x14ac:dyDescent="0.25">
      <c r="AJ2945" t="str">
        <f>IF(AI2945="", "", AI2945&amp;"["&amp;#REF!&amp;"]")</f>
        <v/>
      </c>
    </row>
    <row r="2946" spans="36:36" ht="12" customHeight="1" x14ac:dyDescent="0.25">
      <c r="AJ2946" t="str">
        <f>IF(AI2946="", "", AI2946&amp;"["&amp;#REF!&amp;"]")</f>
        <v/>
      </c>
    </row>
    <row r="2947" spans="36:36" ht="12" customHeight="1" x14ac:dyDescent="0.25">
      <c r="AJ2947" t="str">
        <f>IF(AI2947="", "", AI2947&amp;"["&amp;#REF!&amp;"]")</f>
        <v/>
      </c>
    </row>
    <row r="2948" spans="36:36" ht="12" customHeight="1" x14ac:dyDescent="0.25">
      <c r="AJ2948" t="str">
        <f>IF(AI2948="", "", AI2948&amp;"["&amp;#REF!&amp;"]")</f>
        <v/>
      </c>
    </row>
    <row r="2949" spans="36:36" ht="12" customHeight="1" x14ac:dyDescent="0.25">
      <c r="AJ2949" t="str">
        <f>IF(AI2949="", "", AI2949&amp;"["&amp;#REF!&amp;"]")</f>
        <v/>
      </c>
    </row>
    <row r="2950" spans="36:36" ht="12" customHeight="1" x14ac:dyDescent="0.25">
      <c r="AJ2950" t="str">
        <f>IF(AI2950="", "", AI2950&amp;"["&amp;#REF!&amp;"]")</f>
        <v/>
      </c>
    </row>
    <row r="2951" spans="36:36" ht="12" customHeight="1" x14ac:dyDescent="0.25">
      <c r="AJ2951" t="str">
        <f>IF(AI2951="", "", AI2951&amp;"["&amp;#REF!&amp;"]")</f>
        <v/>
      </c>
    </row>
    <row r="2952" spans="36:36" ht="12" customHeight="1" x14ac:dyDescent="0.25">
      <c r="AJ2952" t="str">
        <f>IF(AI2952="", "", AI2952&amp;"["&amp;#REF!&amp;"]")</f>
        <v/>
      </c>
    </row>
    <row r="2953" spans="36:36" ht="12" customHeight="1" x14ac:dyDescent="0.25">
      <c r="AJ2953" t="str">
        <f>IF(AI2953="", "", AI2953&amp;"["&amp;#REF!&amp;"]")</f>
        <v/>
      </c>
    </row>
    <row r="2954" spans="36:36" ht="12" customHeight="1" x14ac:dyDescent="0.25">
      <c r="AJ2954" t="str">
        <f>IF(AI2954="", "", AI2954&amp;"["&amp;#REF!&amp;"]")</f>
        <v/>
      </c>
    </row>
    <row r="2955" spans="36:36" ht="12" customHeight="1" x14ac:dyDescent="0.25">
      <c r="AJ2955" t="str">
        <f>IF(AI2955="", "", AI2955&amp;"["&amp;#REF!&amp;"]")</f>
        <v/>
      </c>
    </row>
    <row r="2956" spans="36:36" ht="12" customHeight="1" x14ac:dyDescent="0.25">
      <c r="AJ2956" t="str">
        <f>IF(AI2956="", "", AI2956&amp;"["&amp;#REF!&amp;"]")</f>
        <v/>
      </c>
    </row>
    <row r="2957" spans="36:36" ht="12" customHeight="1" x14ac:dyDescent="0.25">
      <c r="AJ2957" t="str">
        <f>IF(AI2957="", "", AI2957&amp;"["&amp;#REF!&amp;"]")</f>
        <v/>
      </c>
    </row>
    <row r="2958" spans="36:36" ht="12" customHeight="1" x14ac:dyDescent="0.25">
      <c r="AJ2958" t="str">
        <f>IF(AI2958="", "", AI2958&amp;"["&amp;#REF!&amp;"]")</f>
        <v/>
      </c>
    </row>
    <row r="2959" spans="36:36" ht="12" customHeight="1" x14ac:dyDescent="0.25">
      <c r="AJ2959" t="str">
        <f>IF(AI2959="", "", AI2959&amp;"["&amp;#REF!&amp;"]")</f>
        <v/>
      </c>
    </row>
    <row r="2960" spans="36:36" ht="12" customHeight="1" x14ac:dyDescent="0.25">
      <c r="AJ2960" t="str">
        <f>IF(AI2960="", "", AI2960&amp;"["&amp;#REF!&amp;"]")</f>
        <v/>
      </c>
    </row>
    <row r="2961" spans="36:36" ht="12" customHeight="1" x14ac:dyDescent="0.25">
      <c r="AJ2961" t="str">
        <f>IF(AI2961="", "", AI2961&amp;"["&amp;#REF!&amp;"]")</f>
        <v/>
      </c>
    </row>
    <row r="2962" spans="36:36" ht="12" customHeight="1" x14ac:dyDescent="0.25">
      <c r="AJ2962" t="str">
        <f>IF(AI2962="", "", AI2962&amp;"["&amp;#REF!&amp;"]")</f>
        <v/>
      </c>
    </row>
    <row r="2963" spans="36:36" ht="12" customHeight="1" x14ac:dyDescent="0.25">
      <c r="AJ2963" t="str">
        <f>IF(AI2963="", "", AI2963&amp;"["&amp;#REF!&amp;"]")</f>
        <v/>
      </c>
    </row>
    <row r="2964" spans="36:36" ht="12" customHeight="1" x14ac:dyDescent="0.25">
      <c r="AJ2964" t="str">
        <f>IF(AI2964="", "", AI2964&amp;"["&amp;#REF!&amp;"]")</f>
        <v/>
      </c>
    </row>
    <row r="2965" spans="36:36" ht="12" customHeight="1" x14ac:dyDescent="0.25">
      <c r="AJ2965" t="str">
        <f>IF(AI2965="", "", AI2965&amp;"["&amp;#REF!&amp;"]")</f>
        <v/>
      </c>
    </row>
    <row r="2966" spans="36:36" ht="12" customHeight="1" x14ac:dyDescent="0.25">
      <c r="AJ2966" t="str">
        <f>IF(AI2966="", "", AI2966&amp;"["&amp;#REF!&amp;"]")</f>
        <v/>
      </c>
    </row>
    <row r="2967" spans="36:36" ht="12" customHeight="1" x14ac:dyDescent="0.25">
      <c r="AJ2967" t="str">
        <f>IF(AI2967="", "", AI2967&amp;"["&amp;#REF!&amp;"]")</f>
        <v/>
      </c>
    </row>
    <row r="2968" spans="36:36" ht="12" customHeight="1" x14ac:dyDescent="0.25">
      <c r="AJ2968" t="str">
        <f>IF(AI2968="", "", AI2968&amp;"["&amp;#REF!&amp;"]")</f>
        <v/>
      </c>
    </row>
    <row r="2969" spans="36:36" ht="12" customHeight="1" x14ac:dyDescent="0.25">
      <c r="AJ2969" t="str">
        <f>IF(AI2969="", "", AI2969&amp;"["&amp;#REF!&amp;"]")</f>
        <v/>
      </c>
    </row>
    <row r="2970" spans="36:36" ht="12" customHeight="1" x14ac:dyDescent="0.25">
      <c r="AJ2970" t="str">
        <f>IF(AI2970="", "", AI2970&amp;"["&amp;#REF!&amp;"]")</f>
        <v/>
      </c>
    </row>
    <row r="2971" spans="36:36" ht="12" customHeight="1" x14ac:dyDescent="0.25">
      <c r="AJ2971" t="str">
        <f>IF(AI2971="", "", AI2971&amp;"["&amp;#REF!&amp;"]")</f>
        <v/>
      </c>
    </row>
    <row r="2972" spans="36:36" ht="12" customHeight="1" x14ac:dyDescent="0.25">
      <c r="AJ2972" t="str">
        <f>IF(AI2972="", "", AI2972&amp;"["&amp;#REF!&amp;"]")</f>
        <v/>
      </c>
    </row>
    <row r="2973" spans="36:36" ht="12" customHeight="1" x14ac:dyDescent="0.25">
      <c r="AJ2973" t="str">
        <f>IF(AI2973="", "", AI2973&amp;"["&amp;#REF!&amp;"]")</f>
        <v/>
      </c>
    </row>
    <row r="2974" spans="36:36" ht="12" customHeight="1" x14ac:dyDescent="0.25">
      <c r="AJ2974" t="str">
        <f>IF(AI2974="", "", AI2974&amp;"["&amp;#REF!&amp;"]")</f>
        <v/>
      </c>
    </row>
    <row r="2975" spans="36:36" ht="12" customHeight="1" x14ac:dyDescent="0.25">
      <c r="AJ2975" t="str">
        <f>IF(AI2975="", "", AI2975&amp;"["&amp;#REF!&amp;"]")</f>
        <v/>
      </c>
    </row>
    <row r="2976" spans="36:36" ht="12" customHeight="1" x14ac:dyDescent="0.25">
      <c r="AJ2976" t="str">
        <f>IF(AI2976="", "", AI2976&amp;"["&amp;#REF!&amp;"]")</f>
        <v/>
      </c>
    </row>
    <row r="2977" spans="36:36" ht="12" customHeight="1" x14ac:dyDescent="0.25">
      <c r="AJ2977" t="str">
        <f>IF(AI2977="", "", AI2977&amp;"["&amp;#REF!&amp;"]")</f>
        <v/>
      </c>
    </row>
    <row r="2978" spans="36:36" ht="12" customHeight="1" x14ac:dyDescent="0.25">
      <c r="AJ2978" t="str">
        <f>IF(AI2978="", "", AI2978&amp;"["&amp;#REF!&amp;"]")</f>
        <v/>
      </c>
    </row>
    <row r="2979" spans="36:36" ht="12" customHeight="1" x14ac:dyDescent="0.25">
      <c r="AJ2979" t="str">
        <f>IF(AI2979="", "", AI2979&amp;"["&amp;#REF!&amp;"]")</f>
        <v/>
      </c>
    </row>
    <row r="2980" spans="36:36" ht="12" customHeight="1" x14ac:dyDescent="0.25">
      <c r="AJ2980" t="str">
        <f>IF(AI2980="", "", AI2980&amp;"["&amp;#REF!&amp;"]")</f>
        <v/>
      </c>
    </row>
    <row r="2981" spans="36:36" ht="12" customHeight="1" x14ac:dyDescent="0.25">
      <c r="AJ2981" t="str">
        <f>IF(AI2981="", "", AI2981&amp;"["&amp;#REF!&amp;"]")</f>
        <v/>
      </c>
    </row>
    <row r="2982" spans="36:36" ht="12" customHeight="1" x14ac:dyDescent="0.25">
      <c r="AJ2982" t="str">
        <f>IF(AI2982="", "", AI2982&amp;"["&amp;#REF!&amp;"]")</f>
        <v/>
      </c>
    </row>
    <row r="2983" spans="36:36" ht="12" customHeight="1" x14ac:dyDescent="0.25">
      <c r="AJ2983" t="str">
        <f>IF(AI2983="", "", AI2983&amp;"["&amp;#REF!&amp;"]")</f>
        <v/>
      </c>
    </row>
    <row r="2984" spans="36:36" ht="12" customHeight="1" x14ac:dyDescent="0.25">
      <c r="AJ2984" t="str">
        <f>IF(AI2984="", "", AI2984&amp;"["&amp;#REF!&amp;"]")</f>
        <v/>
      </c>
    </row>
    <row r="2985" spans="36:36" ht="12" customHeight="1" x14ac:dyDescent="0.25">
      <c r="AJ2985" t="str">
        <f>IF(AI2985="", "", AI2985&amp;"["&amp;#REF!&amp;"]")</f>
        <v/>
      </c>
    </row>
    <row r="2986" spans="36:36" ht="12" customHeight="1" x14ac:dyDescent="0.25">
      <c r="AJ2986" t="str">
        <f>IF(AI2986="", "", AI2986&amp;"["&amp;#REF!&amp;"]")</f>
        <v/>
      </c>
    </row>
    <row r="2987" spans="36:36" ht="12" customHeight="1" x14ac:dyDescent="0.25">
      <c r="AJ2987" t="str">
        <f>IF(AI2987="", "", AI2987&amp;"["&amp;#REF!&amp;"]")</f>
        <v/>
      </c>
    </row>
    <row r="2988" spans="36:36" ht="12" customHeight="1" x14ac:dyDescent="0.25">
      <c r="AJ2988" t="str">
        <f>IF(AI2988="", "", AI2988&amp;"["&amp;#REF!&amp;"]")</f>
        <v/>
      </c>
    </row>
    <row r="2989" spans="36:36" ht="12" customHeight="1" x14ac:dyDescent="0.25">
      <c r="AJ2989" t="str">
        <f>IF(AI2989="", "", AI2989&amp;"["&amp;#REF!&amp;"]")</f>
        <v/>
      </c>
    </row>
    <row r="2990" spans="36:36" ht="12" customHeight="1" x14ac:dyDescent="0.25">
      <c r="AJ2990" t="str">
        <f>IF(AI2990="", "", AI2990&amp;"["&amp;#REF!&amp;"]")</f>
        <v/>
      </c>
    </row>
    <row r="2991" spans="36:36" ht="12" customHeight="1" x14ac:dyDescent="0.25">
      <c r="AJ2991" t="str">
        <f>IF(AI2991="", "", AI2991&amp;"["&amp;#REF!&amp;"]")</f>
        <v/>
      </c>
    </row>
    <row r="2992" spans="36:36" ht="12" customHeight="1" x14ac:dyDescent="0.25">
      <c r="AJ2992" t="str">
        <f>IF(AI2992="", "", AI2992&amp;"["&amp;#REF!&amp;"]")</f>
        <v/>
      </c>
    </row>
    <row r="2993" spans="36:36" ht="12" customHeight="1" x14ac:dyDescent="0.25">
      <c r="AJ2993" t="str">
        <f>IF(AI2993="", "", AI2993&amp;"["&amp;#REF!&amp;"]")</f>
        <v/>
      </c>
    </row>
    <row r="2994" spans="36:36" ht="12" customHeight="1" x14ac:dyDescent="0.25">
      <c r="AJ2994" t="str">
        <f>IF(AI2994="", "", AI2994&amp;"["&amp;#REF!&amp;"]")</f>
        <v/>
      </c>
    </row>
    <row r="2995" spans="36:36" ht="12" customHeight="1" x14ac:dyDescent="0.25">
      <c r="AJ2995" t="str">
        <f>IF(AI2995="", "", AI2995&amp;"["&amp;#REF!&amp;"]")</f>
        <v/>
      </c>
    </row>
    <row r="2996" spans="36:36" ht="12" customHeight="1" x14ac:dyDescent="0.25">
      <c r="AJ2996" t="str">
        <f>IF(AI2996="", "", AI2996&amp;"["&amp;#REF!&amp;"]")</f>
        <v/>
      </c>
    </row>
    <row r="2997" spans="36:36" ht="12" customHeight="1" x14ac:dyDescent="0.25">
      <c r="AJ2997" t="str">
        <f>IF(AI2997="", "", AI2997&amp;"["&amp;#REF!&amp;"]")</f>
        <v/>
      </c>
    </row>
    <row r="2998" spans="36:36" ht="12" customHeight="1" x14ac:dyDescent="0.25">
      <c r="AJ2998" t="str">
        <f>IF(AI2998="", "", AI2998&amp;"["&amp;#REF!&amp;"]")</f>
        <v/>
      </c>
    </row>
    <row r="2999" spans="36:36" ht="12" customHeight="1" x14ac:dyDescent="0.25">
      <c r="AJ2999" t="str">
        <f>IF(AI2999="", "", AI2999&amp;"["&amp;#REF!&amp;"]")</f>
        <v/>
      </c>
    </row>
    <row r="3000" spans="36:36" ht="12" customHeight="1" x14ac:dyDescent="0.25">
      <c r="AJ3000" t="str">
        <f>IF(AI3000="", "", AI3000&amp;"["&amp;#REF!&amp;"]")</f>
        <v/>
      </c>
    </row>
    <row r="3001" spans="36:36" ht="12" customHeight="1" x14ac:dyDescent="0.25">
      <c r="AJ3001" t="str">
        <f>IF(AI3001="", "", AI3001&amp;"["&amp;#REF!&amp;"]")</f>
        <v/>
      </c>
    </row>
    <row r="3002" spans="36:36" ht="12" customHeight="1" x14ac:dyDescent="0.25">
      <c r="AJ3002" t="str">
        <f>IF(AI3002="", "", AI3002&amp;"["&amp;#REF!&amp;"]")</f>
        <v/>
      </c>
    </row>
    <row r="3003" spans="36:36" ht="12" customHeight="1" x14ac:dyDescent="0.25">
      <c r="AJ3003" t="str">
        <f>IF(AI3003="", "", AI3003&amp;"["&amp;#REF!&amp;"]")</f>
        <v/>
      </c>
    </row>
    <row r="3004" spans="36:36" ht="12" customHeight="1" x14ac:dyDescent="0.25">
      <c r="AJ3004" t="str">
        <f>IF(AI3004="", "", AI3004&amp;"["&amp;#REF!&amp;"]")</f>
        <v/>
      </c>
    </row>
    <row r="3005" spans="36:36" ht="12" customHeight="1" x14ac:dyDescent="0.25">
      <c r="AJ3005" t="str">
        <f>IF(AI3005="", "", AI3005&amp;"["&amp;#REF!&amp;"]")</f>
        <v/>
      </c>
    </row>
    <row r="3006" spans="36:36" ht="12" customHeight="1" x14ac:dyDescent="0.25">
      <c r="AJ3006" t="str">
        <f>IF(AI3006="", "", AI3006&amp;"["&amp;#REF!&amp;"]")</f>
        <v/>
      </c>
    </row>
    <row r="3007" spans="36:36" ht="12" customHeight="1" x14ac:dyDescent="0.25">
      <c r="AJ3007" t="str">
        <f>IF(AI3007="", "", AI3007&amp;"["&amp;#REF!&amp;"]")</f>
        <v/>
      </c>
    </row>
    <row r="3008" spans="36:36" ht="12" customHeight="1" x14ac:dyDescent="0.25">
      <c r="AJ3008" t="str">
        <f>IF(AI3008="", "", AI3008&amp;"["&amp;#REF!&amp;"]")</f>
        <v/>
      </c>
    </row>
    <row r="3009" spans="36:36" ht="12" customHeight="1" x14ac:dyDescent="0.25">
      <c r="AJ3009" t="str">
        <f>IF(AI3009="", "", AI3009&amp;"["&amp;#REF!&amp;"]")</f>
        <v/>
      </c>
    </row>
    <row r="3010" spans="36:36" ht="12" customHeight="1" x14ac:dyDescent="0.25">
      <c r="AJ3010" t="str">
        <f>IF(AI3010="", "", AI3010&amp;"["&amp;#REF!&amp;"]")</f>
        <v/>
      </c>
    </row>
    <row r="3011" spans="36:36" ht="12" customHeight="1" x14ac:dyDescent="0.25">
      <c r="AJ3011" t="str">
        <f>IF(AI3011="", "", AI3011&amp;"["&amp;#REF!&amp;"]")</f>
        <v/>
      </c>
    </row>
    <row r="3012" spans="36:36" ht="12" customHeight="1" x14ac:dyDescent="0.25">
      <c r="AJ3012" t="str">
        <f>IF(AI3012="", "", AI3012&amp;"["&amp;#REF!&amp;"]")</f>
        <v/>
      </c>
    </row>
    <row r="3013" spans="36:36" ht="12" customHeight="1" x14ac:dyDescent="0.25">
      <c r="AJ3013" t="str">
        <f>IF(AI3013="", "", AI3013&amp;"["&amp;#REF!&amp;"]")</f>
        <v/>
      </c>
    </row>
    <row r="3014" spans="36:36" ht="12" customHeight="1" x14ac:dyDescent="0.25">
      <c r="AJ3014" t="str">
        <f>IF(AI3014="", "", AI3014&amp;"["&amp;#REF!&amp;"]")</f>
        <v/>
      </c>
    </row>
    <row r="3015" spans="36:36" ht="12" customHeight="1" x14ac:dyDescent="0.25">
      <c r="AJ3015" t="str">
        <f>IF(AI3015="", "", AI3015&amp;"["&amp;#REF!&amp;"]")</f>
        <v/>
      </c>
    </row>
    <row r="3016" spans="36:36" ht="12" customHeight="1" x14ac:dyDescent="0.25">
      <c r="AJ3016" t="str">
        <f>IF(AI3016="", "", AI3016&amp;"["&amp;#REF!&amp;"]")</f>
        <v/>
      </c>
    </row>
    <row r="3017" spans="36:36" ht="12" customHeight="1" x14ac:dyDescent="0.25">
      <c r="AJ3017" t="str">
        <f>IF(AI3017="", "", AI3017&amp;"["&amp;#REF!&amp;"]")</f>
        <v/>
      </c>
    </row>
    <row r="3018" spans="36:36" ht="12" customHeight="1" x14ac:dyDescent="0.25">
      <c r="AJ3018" t="str">
        <f>IF(AI3018="", "", AI3018&amp;"["&amp;#REF!&amp;"]")</f>
        <v/>
      </c>
    </row>
    <row r="3019" spans="36:36" ht="12" customHeight="1" x14ac:dyDescent="0.25">
      <c r="AJ3019" t="str">
        <f>IF(AI3019="", "", AI3019&amp;"["&amp;#REF!&amp;"]")</f>
        <v/>
      </c>
    </row>
    <row r="3020" spans="36:36" ht="12" customHeight="1" x14ac:dyDescent="0.25">
      <c r="AJ3020" t="str">
        <f>IF(AI3020="", "", AI3020&amp;"["&amp;#REF!&amp;"]")</f>
        <v/>
      </c>
    </row>
    <row r="3021" spans="36:36" ht="12" customHeight="1" x14ac:dyDescent="0.25">
      <c r="AJ3021" t="str">
        <f>IF(AI3021="", "", AI3021&amp;"["&amp;#REF!&amp;"]")</f>
        <v/>
      </c>
    </row>
    <row r="3022" spans="36:36" ht="12" customHeight="1" x14ac:dyDescent="0.25">
      <c r="AJ3022" t="str">
        <f>IF(AI3022="", "", AI3022&amp;"["&amp;#REF!&amp;"]")</f>
        <v/>
      </c>
    </row>
    <row r="3023" spans="36:36" ht="12" customHeight="1" x14ac:dyDescent="0.25">
      <c r="AJ3023" t="str">
        <f>IF(AI3023="", "", AI3023&amp;"["&amp;#REF!&amp;"]")</f>
        <v/>
      </c>
    </row>
    <row r="3024" spans="36:36" ht="12" customHeight="1" x14ac:dyDescent="0.25">
      <c r="AJ3024" t="str">
        <f>IF(AI3024="", "", AI3024&amp;"["&amp;#REF!&amp;"]")</f>
        <v/>
      </c>
    </row>
    <row r="3025" spans="36:36" ht="12" customHeight="1" x14ac:dyDescent="0.25">
      <c r="AJ3025" t="str">
        <f>IF(AI3025="", "", AI3025&amp;"["&amp;#REF!&amp;"]")</f>
        <v/>
      </c>
    </row>
    <row r="3026" spans="36:36" ht="12" customHeight="1" x14ac:dyDescent="0.25">
      <c r="AJ3026" t="str">
        <f>IF(AI3026="", "", AI3026&amp;"["&amp;#REF!&amp;"]")</f>
        <v/>
      </c>
    </row>
    <row r="3027" spans="36:36" ht="12" customHeight="1" x14ac:dyDescent="0.25">
      <c r="AJ3027" t="str">
        <f>IF(AI3027="", "", AI3027&amp;"["&amp;#REF!&amp;"]")</f>
        <v/>
      </c>
    </row>
    <row r="3028" spans="36:36" ht="12" customHeight="1" x14ac:dyDescent="0.25">
      <c r="AJ3028" t="str">
        <f>IF(AI3028="", "", AI3028&amp;"["&amp;#REF!&amp;"]")</f>
        <v/>
      </c>
    </row>
    <row r="3029" spans="36:36" ht="12" customHeight="1" x14ac:dyDescent="0.25">
      <c r="AJ3029" t="str">
        <f>IF(AI3029="", "", AI3029&amp;"["&amp;#REF!&amp;"]")</f>
        <v/>
      </c>
    </row>
    <row r="3030" spans="36:36" ht="12" customHeight="1" x14ac:dyDescent="0.25">
      <c r="AJ3030" t="str">
        <f>IF(AI3030="", "", AI3030&amp;"["&amp;#REF!&amp;"]")</f>
        <v/>
      </c>
    </row>
    <row r="3031" spans="36:36" ht="12" customHeight="1" x14ac:dyDescent="0.25">
      <c r="AJ3031" t="str">
        <f>IF(AI3031="", "", AI3031&amp;"["&amp;#REF!&amp;"]")</f>
        <v/>
      </c>
    </row>
    <row r="3032" spans="36:36" ht="12" customHeight="1" x14ac:dyDescent="0.25">
      <c r="AJ3032" t="str">
        <f>IF(AI3032="", "", AI3032&amp;"["&amp;#REF!&amp;"]")</f>
        <v/>
      </c>
    </row>
    <row r="3033" spans="36:36" ht="12" customHeight="1" x14ac:dyDescent="0.25">
      <c r="AJ3033" t="str">
        <f>IF(AI3033="", "", AI3033&amp;"["&amp;#REF!&amp;"]")</f>
        <v/>
      </c>
    </row>
    <row r="3034" spans="36:36" ht="12" customHeight="1" x14ac:dyDescent="0.25">
      <c r="AJ3034" t="str">
        <f>IF(AI3034="", "", AI3034&amp;"["&amp;#REF!&amp;"]")</f>
        <v/>
      </c>
    </row>
    <row r="3035" spans="36:36" ht="12" customHeight="1" x14ac:dyDescent="0.25">
      <c r="AJ3035" t="str">
        <f>IF(AI3035="", "", AI3035&amp;"["&amp;#REF!&amp;"]")</f>
        <v/>
      </c>
    </row>
    <row r="3036" spans="36:36" ht="12" customHeight="1" x14ac:dyDescent="0.25">
      <c r="AJ3036" t="str">
        <f>IF(AI3036="", "", AI3036&amp;"["&amp;#REF!&amp;"]")</f>
        <v/>
      </c>
    </row>
    <row r="3037" spans="36:36" ht="12" customHeight="1" x14ac:dyDescent="0.25">
      <c r="AJ3037" t="str">
        <f>IF(AI3037="", "", AI3037&amp;"["&amp;#REF!&amp;"]")</f>
        <v/>
      </c>
    </row>
    <row r="3038" spans="36:36" ht="12" customHeight="1" x14ac:dyDescent="0.25">
      <c r="AJ3038" t="str">
        <f>IF(AI3038="", "", AI3038&amp;"["&amp;#REF!&amp;"]")</f>
        <v/>
      </c>
    </row>
    <row r="3039" spans="36:36" ht="12" customHeight="1" x14ac:dyDescent="0.25">
      <c r="AJ3039" t="str">
        <f>IF(AI3039="", "", AI3039&amp;"["&amp;#REF!&amp;"]")</f>
        <v/>
      </c>
    </row>
    <row r="3040" spans="36:36" ht="12" customHeight="1" x14ac:dyDescent="0.25">
      <c r="AJ3040" t="str">
        <f>IF(AI3040="", "", AI3040&amp;"["&amp;#REF!&amp;"]")</f>
        <v/>
      </c>
    </row>
    <row r="3041" spans="36:36" ht="12" customHeight="1" x14ac:dyDescent="0.25">
      <c r="AJ3041" t="str">
        <f>IF(AI3041="", "", AI3041&amp;"["&amp;#REF!&amp;"]")</f>
        <v/>
      </c>
    </row>
    <row r="3042" spans="36:36" ht="12" customHeight="1" x14ac:dyDescent="0.25">
      <c r="AJ3042" t="str">
        <f>IF(AI3042="", "", AI3042&amp;"["&amp;#REF!&amp;"]")</f>
        <v/>
      </c>
    </row>
    <row r="3043" spans="36:36" ht="12" customHeight="1" x14ac:dyDescent="0.25">
      <c r="AJ3043" t="str">
        <f>IF(AI3043="", "", AI3043&amp;"["&amp;#REF!&amp;"]")</f>
        <v/>
      </c>
    </row>
    <row r="3044" spans="36:36" ht="12" customHeight="1" x14ac:dyDescent="0.25">
      <c r="AJ3044" t="str">
        <f>IF(AI3044="", "", AI3044&amp;"["&amp;#REF!&amp;"]")</f>
        <v/>
      </c>
    </row>
    <row r="3045" spans="36:36" ht="12" customHeight="1" x14ac:dyDescent="0.25">
      <c r="AJ3045" t="str">
        <f>IF(AI3045="", "", AI3045&amp;"["&amp;#REF!&amp;"]")</f>
        <v/>
      </c>
    </row>
    <row r="3046" spans="36:36" ht="12" customHeight="1" x14ac:dyDescent="0.25">
      <c r="AJ3046" t="str">
        <f>IF(AI3046="", "", AI3046&amp;"["&amp;#REF!&amp;"]")</f>
        <v/>
      </c>
    </row>
    <row r="3047" spans="36:36" ht="12" customHeight="1" x14ac:dyDescent="0.25">
      <c r="AJ3047" t="str">
        <f>IF(AI3047="", "", AI3047&amp;"["&amp;#REF!&amp;"]")</f>
        <v/>
      </c>
    </row>
    <row r="3048" spans="36:36" ht="12" customHeight="1" x14ac:dyDescent="0.25">
      <c r="AJ3048" t="str">
        <f>IF(AI3048="", "", AI3048&amp;"["&amp;#REF!&amp;"]")</f>
        <v/>
      </c>
    </row>
    <row r="3049" spans="36:36" ht="12" customHeight="1" x14ac:dyDescent="0.25">
      <c r="AJ3049" t="str">
        <f>IF(AI3049="", "", AI3049&amp;"["&amp;#REF!&amp;"]")</f>
        <v/>
      </c>
    </row>
    <row r="3050" spans="36:36" ht="12" customHeight="1" x14ac:dyDescent="0.25">
      <c r="AJ3050" t="str">
        <f>IF(AI3050="", "", AI3050&amp;"["&amp;#REF!&amp;"]")</f>
        <v/>
      </c>
    </row>
    <row r="3051" spans="36:36" ht="12" customHeight="1" x14ac:dyDescent="0.25">
      <c r="AJ3051" t="str">
        <f>IF(AI3051="", "", AI3051&amp;"["&amp;#REF!&amp;"]")</f>
        <v/>
      </c>
    </row>
    <row r="3052" spans="36:36" ht="12" customHeight="1" x14ac:dyDescent="0.25">
      <c r="AJ3052" t="str">
        <f>IF(AI3052="", "", AI3052&amp;"["&amp;#REF!&amp;"]")</f>
        <v/>
      </c>
    </row>
    <row r="3053" spans="36:36" ht="12" customHeight="1" x14ac:dyDescent="0.25">
      <c r="AJ3053" t="str">
        <f>IF(AI3053="", "", AI3053&amp;"["&amp;#REF!&amp;"]")</f>
        <v/>
      </c>
    </row>
    <row r="3054" spans="36:36" ht="12" customHeight="1" x14ac:dyDescent="0.25">
      <c r="AJ3054" t="str">
        <f>IF(AI3054="", "", AI3054&amp;"["&amp;#REF!&amp;"]")</f>
        <v/>
      </c>
    </row>
    <row r="3055" spans="36:36" ht="12" customHeight="1" x14ac:dyDescent="0.25">
      <c r="AJ3055" t="str">
        <f>IF(AI3055="", "", AI3055&amp;"["&amp;#REF!&amp;"]")</f>
        <v/>
      </c>
    </row>
    <row r="3056" spans="36:36" ht="12" customHeight="1" x14ac:dyDescent="0.25">
      <c r="AJ3056" t="str">
        <f>IF(AI3056="", "", AI3056&amp;"["&amp;#REF!&amp;"]")</f>
        <v/>
      </c>
    </row>
    <row r="3057" spans="36:36" ht="12" customHeight="1" x14ac:dyDescent="0.25">
      <c r="AJ3057" t="str">
        <f>IF(AI3057="", "", AI3057&amp;"["&amp;#REF!&amp;"]")</f>
        <v/>
      </c>
    </row>
    <row r="3058" spans="36:36" ht="12" customHeight="1" x14ac:dyDescent="0.25">
      <c r="AJ3058" t="str">
        <f>IF(AI3058="", "", AI3058&amp;"["&amp;#REF!&amp;"]")</f>
        <v/>
      </c>
    </row>
    <row r="3059" spans="36:36" ht="12" customHeight="1" x14ac:dyDescent="0.25">
      <c r="AJ3059" t="str">
        <f>IF(AI3059="", "", AI3059&amp;"["&amp;#REF!&amp;"]")</f>
        <v/>
      </c>
    </row>
    <row r="3060" spans="36:36" ht="12" customHeight="1" x14ac:dyDescent="0.25">
      <c r="AJ3060" t="str">
        <f>IF(AI3060="", "", AI3060&amp;"["&amp;#REF!&amp;"]")</f>
        <v/>
      </c>
    </row>
    <row r="3061" spans="36:36" ht="12" customHeight="1" x14ac:dyDescent="0.25">
      <c r="AJ3061" t="str">
        <f>IF(AI3061="", "", AI3061&amp;"["&amp;#REF!&amp;"]")</f>
        <v/>
      </c>
    </row>
    <row r="3062" spans="36:36" ht="12" customHeight="1" x14ac:dyDescent="0.25">
      <c r="AJ3062" t="str">
        <f>IF(AI3062="", "", AI3062&amp;"["&amp;#REF!&amp;"]")</f>
        <v/>
      </c>
    </row>
    <row r="3063" spans="36:36" ht="12" customHeight="1" x14ac:dyDescent="0.25">
      <c r="AJ3063" t="str">
        <f>IF(AI3063="", "", AI3063&amp;"["&amp;#REF!&amp;"]")</f>
        <v/>
      </c>
    </row>
    <row r="3064" spans="36:36" ht="12" customHeight="1" x14ac:dyDescent="0.25">
      <c r="AJ3064" t="str">
        <f>IF(AI3064="", "", AI3064&amp;"["&amp;#REF!&amp;"]")</f>
        <v/>
      </c>
    </row>
    <row r="3065" spans="36:36" ht="12" customHeight="1" x14ac:dyDescent="0.25">
      <c r="AJ3065" t="str">
        <f>IF(AI3065="", "", AI3065&amp;"["&amp;#REF!&amp;"]")</f>
        <v/>
      </c>
    </row>
    <row r="3066" spans="36:36" ht="12" customHeight="1" x14ac:dyDescent="0.25">
      <c r="AJ3066" t="str">
        <f>IF(AI3066="", "", AI3066&amp;"["&amp;#REF!&amp;"]")</f>
        <v/>
      </c>
    </row>
    <row r="3067" spans="36:36" ht="12" customHeight="1" x14ac:dyDescent="0.25">
      <c r="AJ3067" t="str">
        <f>IF(AI3067="", "", AI3067&amp;"["&amp;#REF!&amp;"]")</f>
        <v/>
      </c>
    </row>
    <row r="3068" spans="36:36" ht="12" customHeight="1" x14ac:dyDescent="0.25">
      <c r="AJ3068" t="str">
        <f>IF(AI3068="", "", AI3068&amp;"["&amp;#REF!&amp;"]")</f>
        <v/>
      </c>
    </row>
    <row r="3069" spans="36:36" ht="12" customHeight="1" x14ac:dyDescent="0.25">
      <c r="AJ3069" t="str">
        <f>IF(AI3069="", "", AI3069&amp;"["&amp;#REF!&amp;"]")</f>
        <v/>
      </c>
    </row>
    <row r="3070" spans="36:36" ht="12" customHeight="1" x14ac:dyDescent="0.25">
      <c r="AJ3070" t="str">
        <f>IF(AI3070="", "", AI3070&amp;"["&amp;#REF!&amp;"]")</f>
        <v/>
      </c>
    </row>
    <row r="3071" spans="36:36" ht="12" customHeight="1" x14ac:dyDescent="0.25">
      <c r="AJ3071" t="str">
        <f>IF(AI3071="", "", AI3071&amp;"["&amp;#REF!&amp;"]")</f>
        <v/>
      </c>
    </row>
    <row r="3072" spans="36:36" ht="12" customHeight="1" x14ac:dyDescent="0.25">
      <c r="AJ3072" t="str">
        <f>IF(AI3072="", "", AI3072&amp;"["&amp;#REF!&amp;"]")</f>
        <v/>
      </c>
    </row>
    <row r="3073" spans="36:36" ht="12" customHeight="1" x14ac:dyDescent="0.25">
      <c r="AJ3073" t="str">
        <f>IF(AI3073="", "", AI3073&amp;"["&amp;#REF!&amp;"]")</f>
        <v/>
      </c>
    </row>
    <row r="3074" spans="36:36" ht="12" customHeight="1" x14ac:dyDescent="0.25">
      <c r="AJ3074" t="str">
        <f>IF(AI3074="", "", AI3074&amp;"["&amp;#REF!&amp;"]")</f>
        <v/>
      </c>
    </row>
    <row r="3075" spans="36:36" ht="12" customHeight="1" x14ac:dyDescent="0.25">
      <c r="AJ3075" t="str">
        <f>IF(AI3075="", "", AI3075&amp;"["&amp;#REF!&amp;"]")</f>
        <v/>
      </c>
    </row>
    <row r="3076" spans="36:36" ht="12" customHeight="1" x14ac:dyDescent="0.25">
      <c r="AJ3076" t="str">
        <f>IF(AI3076="", "", AI3076&amp;"["&amp;#REF!&amp;"]")</f>
        <v/>
      </c>
    </row>
    <row r="3077" spans="36:36" ht="12" customHeight="1" x14ac:dyDescent="0.25">
      <c r="AJ3077" t="str">
        <f>IF(AI3077="", "", AI3077&amp;"["&amp;#REF!&amp;"]")</f>
        <v/>
      </c>
    </row>
    <row r="3078" spans="36:36" ht="12" customHeight="1" x14ac:dyDescent="0.25">
      <c r="AJ3078" t="str">
        <f>IF(AI3078="", "", AI3078&amp;"["&amp;#REF!&amp;"]")</f>
        <v/>
      </c>
    </row>
    <row r="3079" spans="36:36" ht="12" customHeight="1" x14ac:dyDescent="0.25">
      <c r="AJ3079" t="str">
        <f>IF(AI3079="", "", AI3079&amp;"["&amp;#REF!&amp;"]")</f>
        <v/>
      </c>
    </row>
    <row r="3080" spans="36:36" ht="12" customHeight="1" x14ac:dyDescent="0.25">
      <c r="AJ3080" t="str">
        <f>IF(AI3080="", "", AI3080&amp;"["&amp;#REF!&amp;"]")</f>
        <v/>
      </c>
    </row>
    <row r="3081" spans="36:36" ht="12" customHeight="1" x14ac:dyDescent="0.25">
      <c r="AJ3081" t="str">
        <f>IF(AI3081="", "", AI3081&amp;"["&amp;#REF!&amp;"]")</f>
        <v/>
      </c>
    </row>
    <row r="3082" spans="36:36" ht="12" customHeight="1" x14ac:dyDescent="0.25">
      <c r="AJ3082" t="str">
        <f>IF(AI3082="", "", AI3082&amp;"["&amp;#REF!&amp;"]")</f>
        <v/>
      </c>
    </row>
    <row r="3083" spans="36:36" ht="12" customHeight="1" x14ac:dyDescent="0.25">
      <c r="AJ3083" t="str">
        <f>IF(AI3083="", "", AI3083&amp;"["&amp;#REF!&amp;"]")</f>
        <v/>
      </c>
    </row>
    <row r="3084" spans="36:36" ht="12" customHeight="1" x14ac:dyDescent="0.25">
      <c r="AJ3084" t="str">
        <f>IF(AI3084="", "", AI3084&amp;"["&amp;#REF!&amp;"]")</f>
        <v/>
      </c>
    </row>
    <row r="3085" spans="36:36" ht="12" customHeight="1" x14ac:dyDescent="0.25">
      <c r="AJ3085" t="str">
        <f>IF(AI3085="", "", AI3085&amp;"["&amp;#REF!&amp;"]")</f>
        <v/>
      </c>
    </row>
    <row r="3086" spans="36:36" ht="12" customHeight="1" x14ac:dyDescent="0.25">
      <c r="AJ3086" t="str">
        <f>IF(AI3086="", "", AI3086&amp;"["&amp;#REF!&amp;"]")</f>
        <v/>
      </c>
    </row>
    <row r="3087" spans="36:36" ht="12" customHeight="1" x14ac:dyDescent="0.25">
      <c r="AJ3087" t="str">
        <f>IF(AI3087="", "", AI3087&amp;"["&amp;#REF!&amp;"]")</f>
        <v/>
      </c>
    </row>
    <row r="3088" spans="36:36" ht="12" customHeight="1" x14ac:dyDescent="0.25">
      <c r="AJ3088" t="str">
        <f>IF(AI3088="", "", AI3088&amp;"["&amp;#REF!&amp;"]")</f>
        <v/>
      </c>
    </row>
    <row r="3089" spans="36:36" ht="12" customHeight="1" x14ac:dyDescent="0.25">
      <c r="AJ3089" t="str">
        <f>IF(AI3089="", "", AI3089&amp;"["&amp;#REF!&amp;"]")</f>
        <v/>
      </c>
    </row>
    <row r="3090" spans="36:36" ht="12" customHeight="1" x14ac:dyDescent="0.25">
      <c r="AJ3090" t="str">
        <f>IF(AI3090="", "", AI3090&amp;"["&amp;#REF!&amp;"]")</f>
        <v/>
      </c>
    </row>
    <row r="3091" spans="36:36" ht="12" customHeight="1" x14ac:dyDescent="0.25">
      <c r="AJ3091" t="str">
        <f>IF(AI3091="", "", AI3091&amp;"["&amp;#REF!&amp;"]")</f>
        <v/>
      </c>
    </row>
    <row r="3092" spans="36:36" ht="12" customHeight="1" x14ac:dyDescent="0.25">
      <c r="AJ3092" t="str">
        <f>IF(AI3092="", "", AI3092&amp;"["&amp;#REF!&amp;"]")</f>
        <v/>
      </c>
    </row>
    <row r="3093" spans="36:36" ht="12" customHeight="1" x14ac:dyDescent="0.25">
      <c r="AJ3093" t="str">
        <f>IF(AI3093="", "", AI3093&amp;"["&amp;#REF!&amp;"]")</f>
        <v/>
      </c>
    </row>
    <row r="3094" spans="36:36" ht="12" customHeight="1" x14ac:dyDescent="0.25">
      <c r="AJ3094" t="str">
        <f>IF(AI3094="", "", AI3094&amp;"["&amp;#REF!&amp;"]")</f>
        <v/>
      </c>
    </row>
    <row r="3095" spans="36:36" ht="12" customHeight="1" x14ac:dyDescent="0.25">
      <c r="AJ3095" t="str">
        <f>IF(AI3095="", "", AI3095&amp;"["&amp;#REF!&amp;"]")</f>
        <v/>
      </c>
    </row>
    <row r="3096" spans="36:36" ht="12" customHeight="1" x14ac:dyDescent="0.25">
      <c r="AJ3096" t="str">
        <f>IF(AI3096="", "", AI3096&amp;"["&amp;#REF!&amp;"]")</f>
        <v/>
      </c>
    </row>
    <row r="3097" spans="36:36" ht="12" customHeight="1" x14ac:dyDescent="0.25">
      <c r="AJ3097" t="str">
        <f>IF(AI3097="", "", AI3097&amp;"["&amp;#REF!&amp;"]")</f>
        <v/>
      </c>
    </row>
    <row r="3098" spans="36:36" ht="12" customHeight="1" x14ac:dyDescent="0.25">
      <c r="AJ3098" t="str">
        <f>IF(AI3098="", "", AI3098&amp;"["&amp;#REF!&amp;"]")</f>
        <v/>
      </c>
    </row>
    <row r="3099" spans="36:36" ht="12" customHeight="1" x14ac:dyDescent="0.25">
      <c r="AJ3099" t="str">
        <f>IF(AI3099="", "", AI3099&amp;"["&amp;#REF!&amp;"]")</f>
        <v/>
      </c>
    </row>
    <row r="3100" spans="36:36" ht="12" customHeight="1" x14ac:dyDescent="0.25">
      <c r="AJ3100" t="str">
        <f>IF(AI3100="", "", AI3100&amp;"["&amp;#REF!&amp;"]")</f>
        <v/>
      </c>
    </row>
    <row r="3101" spans="36:36" ht="12" customHeight="1" x14ac:dyDescent="0.25">
      <c r="AJ3101" t="str">
        <f>IF(AI3101="", "", AI3101&amp;"["&amp;#REF!&amp;"]")</f>
        <v/>
      </c>
    </row>
    <row r="3102" spans="36:36" ht="12" customHeight="1" x14ac:dyDescent="0.25">
      <c r="AJ3102" t="str">
        <f>IF(AI3102="", "", AI3102&amp;"["&amp;#REF!&amp;"]")</f>
        <v/>
      </c>
    </row>
    <row r="3103" spans="36:36" ht="12" customHeight="1" x14ac:dyDescent="0.25">
      <c r="AJ3103" t="str">
        <f>IF(AI3103="", "", AI3103&amp;"["&amp;#REF!&amp;"]")</f>
        <v/>
      </c>
    </row>
    <row r="3104" spans="36:36" ht="12" customHeight="1" x14ac:dyDescent="0.25">
      <c r="AJ3104" t="str">
        <f>IF(AI3104="", "", AI3104&amp;"["&amp;#REF!&amp;"]")</f>
        <v/>
      </c>
    </row>
    <row r="3105" spans="36:36" ht="12" customHeight="1" x14ac:dyDescent="0.25">
      <c r="AJ3105" t="str">
        <f>IF(AI3105="", "", AI3105&amp;"["&amp;#REF!&amp;"]")</f>
        <v/>
      </c>
    </row>
    <row r="3106" spans="36:36" ht="12" customHeight="1" x14ac:dyDescent="0.25">
      <c r="AJ3106" t="str">
        <f>IF(AI3106="", "", AI3106&amp;"["&amp;#REF!&amp;"]")</f>
        <v/>
      </c>
    </row>
    <row r="3107" spans="36:36" ht="12" customHeight="1" x14ac:dyDescent="0.25">
      <c r="AJ3107" t="str">
        <f>IF(AI3107="", "", AI3107&amp;"["&amp;#REF!&amp;"]")</f>
        <v/>
      </c>
    </row>
    <row r="3108" spans="36:36" ht="12" customHeight="1" x14ac:dyDescent="0.25">
      <c r="AJ3108" t="str">
        <f>IF(AI3108="", "", AI3108&amp;"["&amp;#REF!&amp;"]")</f>
        <v/>
      </c>
    </row>
    <row r="3109" spans="36:36" ht="12" customHeight="1" x14ac:dyDescent="0.25">
      <c r="AJ3109" t="str">
        <f>IF(AI3109="", "", AI3109&amp;"["&amp;#REF!&amp;"]")</f>
        <v/>
      </c>
    </row>
    <row r="3110" spans="36:36" ht="12" customHeight="1" x14ac:dyDescent="0.25">
      <c r="AJ3110" t="str">
        <f>IF(AI3110="", "", AI3110&amp;"["&amp;#REF!&amp;"]")</f>
        <v/>
      </c>
    </row>
    <row r="3111" spans="36:36" ht="12" customHeight="1" x14ac:dyDescent="0.25">
      <c r="AJ3111" t="str">
        <f>IF(AI3111="", "", AI3111&amp;"["&amp;#REF!&amp;"]")</f>
        <v/>
      </c>
    </row>
    <row r="3112" spans="36:36" ht="12" customHeight="1" x14ac:dyDescent="0.25">
      <c r="AJ3112" t="str">
        <f>IF(AI3112="", "", AI3112&amp;"["&amp;#REF!&amp;"]")</f>
        <v/>
      </c>
    </row>
    <row r="3113" spans="36:36" ht="12" customHeight="1" x14ac:dyDescent="0.25">
      <c r="AJ3113" t="str">
        <f>IF(AI3113="", "", AI3113&amp;"["&amp;#REF!&amp;"]")</f>
        <v/>
      </c>
    </row>
    <row r="3114" spans="36:36" ht="12" customHeight="1" x14ac:dyDescent="0.25">
      <c r="AJ3114" t="str">
        <f>IF(AI3114="", "", AI3114&amp;"["&amp;#REF!&amp;"]")</f>
        <v/>
      </c>
    </row>
    <row r="3115" spans="36:36" ht="12" customHeight="1" x14ac:dyDescent="0.25">
      <c r="AJ3115" t="str">
        <f>IF(AI3115="", "", AI3115&amp;"["&amp;#REF!&amp;"]")</f>
        <v/>
      </c>
    </row>
    <row r="3116" spans="36:36" ht="12" customHeight="1" x14ac:dyDescent="0.25">
      <c r="AJ3116" t="str">
        <f>IF(AI3116="", "", AI3116&amp;"["&amp;#REF!&amp;"]")</f>
        <v/>
      </c>
    </row>
    <row r="3117" spans="36:36" ht="12" customHeight="1" x14ac:dyDescent="0.25">
      <c r="AJ3117" t="str">
        <f>IF(AI3117="", "", AI3117&amp;"["&amp;#REF!&amp;"]")</f>
        <v/>
      </c>
    </row>
    <row r="3118" spans="36:36" ht="12" customHeight="1" x14ac:dyDescent="0.25">
      <c r="AJ3118" t="str">
        <f>IF(AI3118="", "", AI3118&amp;"["&amp;#REF!&amp;"]")</f>
        <v/>
      </c>
    </row>
    <row r="3119" spans="36:36" ht="12" customHeight="1" x14ac:dyDescent="0.25">
      <c r="AJ3119" t="str">
        <f>IF(AI3119="", "", AI3119&amp;"["&amp;#REF!&amp;"]")</f>
        <v/>
      </c>
    </row>
    <row r="3120" spans="36:36" ht="12" customHeight="1" x14ac:dyDescent="0.25">
      <c r="AJ3120" t="str">
        <f>IF(AI3120="", "", AI3120&amp;"["&amp;#REF!&amp;"]")</f>
        <v/>
      </c>
    </row>
    <row r="3121" spans="36:36" ht="12" customHeight="1" x14ac:dyDescent="0.25">
      <c r="AJ3121" t="str">
        <f>IF(AI3121="", "", AI3121&amp;"["&amp;#REF!&amp;"]")</f>
        <v/>
      </c>
    </row>
    <row r="3122" spans="36:36" ht="12" customHeight="1" x14ac:dyDescent="0.25">
      <c r="AJ3122" t="str">
        <f>IF(AI3122="", "", AI3122&amp;"["&amp;#REF!&amp;"]")</f>
        <v/>
      </c>
    </row>
    <row r="3123" spans="36:36" ht="12" customHeight="1" x14ac:dyDescent="0.25">
      <c r="AJ3123" t="str">
        <f>IF(AI3123="", "", AI3123&amp;"["&amp;#REF!&amp;"]")</f>
        <v/>
      </c>
    </row>
    <row r="3124" spans="36:36" ht="12" customHeight="1" x14ac:dyDescent="0.25">
      <c r="AJ3124" t="str">
        <f>IF(AI3124="", "", AI3124&amp;"["&amp;#REF!&amp;"]")</f>
        <v/>
      </c>
    </row>
    <row r="3125" spans="36:36" ht="12" customHeight="1" x14ac:dyDescent="0.25">
      <c r="AJ3125" t="str">
        <f>IF(AI3125="", "", AI3125&amp;"["&amp;#REF!&amp;"]")</f>
        <v/>
      </c>
    </row>
    <row r="3126" spans="36:36" ht="12" customHeight="1" x14ac:dyDescent="0.25">
      <c r="AJ3126" t="str">
        <f>IF(AI3126="", "", AI3126&amp;"["&amp;#REF!&amp;"]")</f>
        <v/>
      </c>
    </row>
    <row r="3127" spans="36:36" ht="12" customHeight="1" x14ac:dyDescent="0.25">
      <c r="AJ3127" t="str">
        <f>IF(AI3127="", "", AI3127&amp;"["&amp;#REF!&amp;"]")</f>
        <v/>
      </c>
    </row>
    <row r="3128" spans="36:36" ht="12" customHeight="1" x14ac:dyDescent="0.25">
      <c r="AJ3128" t="str">
        <f>IF(AI3128="", "", AI3128&amp;"["&amp;#REF!&amp;"]")</f>
        <v/>
      </c>
    </row>
    <row r="3129" spans="36:36" ht="12" customHeight="1" x14ac:dyDescent="0.25">
      <c r="AJ3129" t="str">
        <f>IF(AI3129="", "", AI3129&amp;"["&amp;#REF!&amp;"]")</f>
        <v/>
      </c>
    </row>
    <row r="3130" spans="36:36" ht="12" customHeight="1" x14ac:dyDescent="0.25">
      <c r="AJ3130" t="str">
        <f>IF(AI3130="", "", AI3130&amp;"["&amp;#REF!&amp;"]")</f>
        <v/>
      </c>
    </row>
    <row r="3131" spans="36:36" ht="12" customHeight="1" x14ac:dyDescent="0.25">
      <c r="AJ3131" t="str">
        <f>IF(AI3131="", "", AI3131&amp;"["&amp;#REF!&amp;"]")</f>
        <v/>
      </c>
    </row>
    <row r="3132" spans="36:36" ht="12" customHeight="1" x14ac:dyDescent="0.25">
      <c r="AJ3132" t="str">
        <f>IF(AI3132="", "", AI3132&amp;"["&amp;#REF!&amp;"]")</f>
        <v/>
      </c>
    </row>
    <row r="3133" spans="36:36" ht="12" customHeight="1" x14ac:dyDescent="0.25">
      <c r="AJ3133" t="str">
        <f>IF(AI3133="", "", AI3133&amp;"["&amp;#REF!&amp;"]")</f>
        <v/>
      </c>
    </row>
    <row r="3134" spans="36:36" ht="12" customHeight="1" x14ac:dyDescent="0.25">
      <c r="AJ3134" t="str">
        <f>IF(AI3134="", "", AI3134&amp;"["&amp;#REF!&amp;"]")</f>
        <v/>
      </c>
    </row>
    <row r="3135" spans="36:36" ht="12" customHeight="1" x14ac:dyDescent="0.25">
      <c r="AJ3135" t="str">
        <f>IF(AI3135="", "", AI3135&amp;"["&amp;#REF!&amp;"]")</f>
        <v/>
      </c>
    </row>
    <row r="3136" spans="36:36" ht="12" customHeight="1" x14ac:dyDescent="0.25">
      <c r="AJ3136" t="str">
        <f>IF(AI3136="", "", AI3136&amp;"["&amp;#REF!&amp;"]")</f>
        <v/>
      </c>
    </row>
    <row r="3137" spans="36:36" ht="12" customHeight="1" x14ac:dyDescent="0.25">
      <c r="AJ3137" t="str">
        <f>IF(AI3137="", "", AI3137&amp;"["&amp;#REF!&amp;"]")</f>
        <v/>
      </c>
    </row>
    <row r="3138" spans="36:36" ht="12" customHeight="1" x14ac:dyDescent="0.25">
      <c r="AJ3138" t="str">
        <f>IF(AI3138="", "", AI3138&amp;"["&amp;#REF!&amp;"]")</f>
        <v/>
      </c>
    </row>
    <row r="3139" spans="36:36" ht="12" customHeight="1" x14ac:dyDescent="0.25">
      <c r="AJ3139" t="str">
        <f>IF(AI3139="", "", AI3139&amp;"["&amp;#REF!&amp;"]")</f>
        <v/>
      </c>
    </row>
    <row r="3140" spans="36:36" ht="12" customHeight="1" x14ac:dyDescent="0.25">
      <c r="AJ3140" t="str">
        <f>IF(AI3140="", "", AI3140&amp;"["&amp;#REF!&amp;"]")</f>
        <v/>
      </c>
    </row>
    <row r="3141" spans="36:36" ht="12" customHeight="1" x14ac:dyDescent="0.25">
      <c r="AJ3141" t="str">
        <f>IF(AI3141="", "", AI3141&amp;"["&amp;#REF!&amp;"]")</f>
        <v/>
      </c>
    </row>
    <row r="3142" spans="36:36" ht="12" customHeight="1" x14ac:dyDescent="0.25">
      <c r="AJ3142" t="str">
        <f>IF(AI3142="", "", AI3142&amp;"["&amp;#REF!&amp;"]")</f>
        <v/>
      </c>
    </row>
    <row r="3143" spans="36:36" ht="12" customHeight="1" x14ac:dyDescent="0.25">
      <c r="AJ3143" t="str">
        <f>IF(AI3143="", "", AI3143&amp;"["&amp;#REF!&amp;"]")</f>
        <v/>
      </c>
    </row>
    <row r="3144" spans="36:36" ht="12" customHeight="1" x14ac:dyDescent="0.25">
      <c r="AJ3144" t="str">
        <f>IF(AI3144="", "", AI3144&amp;"["&amp;#REF!&amp;"]")</f>
        <v/>
      </c>
    </row>
    <row r="3145" spans="36:36" ht="12" customHeight="1" x14ac:dyDescent="0.25">
      <c r="AJ3145" t="str">
        <f>IF(AI3145="", "", AI3145&amp;"["&amp;#REF!&amp;"]")</f>
        <v/>
      </c>
    </row>
    <row r="3146" spans="36:36" ht="12" customHeight="1" x14ac:dyDescent="0.25">
      <c r="AJ3146" t="str">
        <f>IF(AI3146="", "", AI3146&amp;"["&amp;#REF!&amp;"]")</f>
        <v/>
      </c>
    </row>
    <row r="3147" spans="36:36" ht="12" customHeight="1" x14ac:dyDescent="0.25">
      <c r="AJ3147" t="str">
        <f>IF(AI3147="", "", AI3147&amp;"["&amp;#REF!&amp;"]")</f>
        <v/>
      </c>
    </row>
    <row r="3148" spans="36:36" ht="12" customHeight="1" x14ac:dyDescent="0.25">
      <c r="AJ3148" t="str">
        <f>IF(AI3148="", "", AI3148&amp;"["&amp;#REF!&amp;"]")</f>
        <v/>
      </c>
    </row>
    <row r="3149" spans="36:36" ht="12" customHeight="1" x14ac:dyDescent="0.25">
      <c r="AJ3149" t="str">
        <f>IF(AI3149="", "", AI3149&amp;"["&amp;#REF!&amp;"]")</f>
        <v/>
      </c>
    </row>
    <row r="3150" spans="36:36" ht="12" customHeight="1" x14ac:dyDescent="0.25">
      <c r="AJ3150" t="str">
        <f>IF(AI3150="", "", AI3150&amp;"["&amp;#REF!&amp;"]")</f>
        <v/>
      </c>
    </row>
    <row r="3151" spans="36:36" ht="12" customHeight="1" x14ac:dyDescent="0.25">
      <c r="AJ3151" t="str">
        <f>IF(AI3151="", "", AI3151&amp;"["&amp;#REF!&amp;"]")</f>
        <v/>
      </c>
    </row>
    <row r="3152" spans="36:36" ht="12" customHeight="1" x14ac:dyDescent="0.25">
      <c r="AJ3152" t="str">
        <f>IF(AI3152="", "", AI3152&amp;"["&amp;#REF!&amp;"]")</f>
        <v/>
      </c>
    </row>
    <row r="3153" spans="36:36" ht="12" customHeight="1" x14ac:dyDescent="0.25">
      <c r="AJ3153" t="str">
        <f>IF(AI3153="", "", AI3153&amp;"["&amp;#REF!&amp;"]")</f>
        <v/>
      </c>
    </row>
    <row r="3154" spans="36:36" ht="12" customHeight="1" x14ac:dyDescent="0.25">
      <c r="AJ3154" t="str">
        <f>IF(AI3154="", "", AI3154&amp;"["&amp;#REF!&amp;"]")</f>
        <v/>
      </c>
    </row>
    <row r="3155" spans="36:36" ht="12" customHeight="1" x14ac:dyDescent="0.25">
      <c r="AJ3155" t="str">
        <f>IF(AI3155="", "", AI3155&amp;"["&amp;#REF!&amp;"]")</f>
        <v/>
      </c>
    </row>
    <row r="3156" spans="36:36" ht="12" customHeight="1" x14ac:dyDescent="0.25">
      <c r="AJ3156" t="str">
        <f>IF(AI3156="", "", AI3156&amp;"["&amp;#REF!&amp;"]")</f>
        <v/>
      </c>
    </row>
    <row r="3157" spans="36:36" ht="12" customHeight="1" x14ac:dyDescent="0.25">
      <c r="AJ3157" t="str">
        <f>IF(AI3157="", "", AI3157&amp;"["&amp;#REF!&amp;"]")</f>
        <v/>
      </c>
    </row>
    <row r="3158" spans="36:36" ht="12" customHeight="1" x14ac:dyDescent="0.25">
      <c r="AJ3158" t="str">
        <f>IF(AI3158="", "", AI3158&amp;"["&amp;#REF!&amp;"]")</f>
        <v/>
      </c>
    </row>
    <row r="3159" spans="36:36" ht="12" customHeight="1" x14ac:dyDescent="0.25">
      <c r="AJ3159" t="str">
        <f>IF(AI3159="", "", AI3159&amp;"["&amp;#REF!&amp;"]")</f>
        <v/>
      </c>
    </row>
    <row r="3160" spans="36:36" ht="12" customHeight="1" x14ac:dyDescent="0.25">
      <c r="AJ3160" t="str">
        <f>IF(AI3160="", "", AI3160&amp;"["&amp;#REF!&amp;"]")</f>
        <v/>
      </c>
    </row>
    <row r="3161" spans="36:36" ht="12" customHeight="1" x14ac:dyDescent="0.25">
      <c r="AJ3161" t="str">
        <f>IF(AI3161="", "", AI3161&amp;"["&amp;#REF!&amp;"]")</f>
        <v/>
      </c>
    </row>
    <row r="3162" spans="36:36" ht="12" customHeight="1" x14ac:dyDescent="0.25">
      <c r="AJ3162" t="str">
        <f>IF(AI3162="", "", AI3162&amp;"["&amp;#REF!&amp;"]")</f>
        <v/>
      </c>
    </row>
    <row r="3163" spans="36:36" ht="12" customHeight="1" x14ac:dyDescent="0.25">
      <c r="AJ3163" t="str">
        <f>IF(AI3163="", "", AI3163&amp;"["&amp;#REF!&amp;"]")</f>
        <v/>
      </c>
    </row>
    <row r="3164" spans="36:36" ht="12" customHeight="1" x14ac:dyDescent="0.25">
      <c r="AJ3164" t="str">
        <f>IF(AI3164="", "", AI3164&amp;"["&amp;#REF!&amp;"]")</f>
        <v/>
      </c>
    </row>
    <row r="3165" spans="36:36" ht="12" customHeight="1" x14ac:dyDescent="0.25">
      <c r="AJ3165" t="str">
        <f>IF(AI3165="", "", AI3165&amp;"["&amp;#REF!&amp;"]")</f>
        <v/>
      </c>
    </row>
    <row r="3166" spans="36:36" ht="12" customHeight="1" x14ac:dyDescent="0.25">
      <c r="AJ3166" t="str">
        <f>IF(AI3166="", "", AI3166&amp;"["&amp;#REF!&amp;"]")</f>
        <v/>
      </c>
    </row>
    <row r="3167" spans="36:36" ht="12" customHeight="1" x14ac:dyDescent="0.25">
      <c r="AJ3167" t="str">
        <f>IF(AI3167="", "", AI3167&amp;"["&amp;#REF!&amp;"]")</f>
        <v/>
      </c>
    </row>
    <row r="3168" spans="36:36" ht="12" customHeight="1" x14ac:dyDescent="0.25">
      <c r="AJ3168" t="str">
        <f>IF(AI3168="", "", AI3168&amp;"["&amp;#REF!&amp;"]")</f>
        <v/>
      </c>
    </row>
    <row r="3169" spans="36:36" ht="12" customHeight="1" x14ac:dyDescent="0.25">
      <c r="AJ3169" t="str">
        <f>IF(AI3169="", "", AI3169&amp;"["&amp;#REF!&amp;"]")</f>
        <v/>
      </c>
    </row>
    <row r="3170" spans="36:36" ht="12" customHeight="1" x14ac:dyDescent="0.25">
      <c r="AJ3170" t="str">
        <f>IF(AI3170="", "", AI3170&amp;"["&amp;#REF!&amp;"]")</f>
        <v/>
      </c>
    </row>
    <row r="3171" spans="36:36" ht="12" customHeight="1" x14ac:dyDescent="0.25">
      <c r="AJ3171" t="str">
        <f>IF(AI3171="", "", AI3171&amp;"["&amp;#REF!&amp;"]")</f>
        <v/>
      </c>
    </row>
    <row r="3172" spans="36:36" ht="12" customHeight="1" x14ac:dyDescent="0.25">
      <c r="AJ3172" t="str">
        <f>IF(AI3172="", "", AI3172&amp;"["&amp;#REF!&amp;"]")</f>
        <v/>
      </c>
    </row>
    <row r="3173" spans="36:36" ht="12" customHeight="1" x14ac:dyDescent="0.25">
      <c r="AJ3173" t="str">
        <f>IF(AI3173="", "", AI3173&amp;"["&amp;#REF!&amp;"]")</f>
        <v/>
      </c>
    </row>
    <row r="3174" spans="36:36" ht="12" customHeight="1" x14ac:dyDescent="0.25">
      <c r="AJ3174" t="str">
        <f>IF(AI3174="", "", AI3174&amp;"["&amp;#REF!&amp;"]")</f>
        <v/>
      </c>
    </row>
    <row r="3175" spans="36:36" ht="12" customHeight="1" x14ac:dyDescent="0.25">
      <c r="AJ3175" t="str">
        <f>IF(AI3175="", "", AI3175&amp;"["&amp;#REF!&amp;"]")</f>
        <v/>
      </c>
    </row>
    <row r="3176" spans="36:36" ht="12" customHeight="1" x14ac:dyDescent="0.25">
      <c r="AJ3176" t="str">
        <f>IF(AI3176="", "", AI3176&amp;"["&amp;#REF!&amp;"]")</f>
        <v/>
      </c>
    </row>
    <row r="3177" spans="36:36" ht="12" customHeight="1" x14ac:dyDescent="0.25">
      <c r="AJ3177" t="str">
        <f>IF(AI3177="", "", AI3177&amp;"["&amp;#REF!&amp;"]")</f>
        <v/>
      </c>
    </row>
    <row r="3178" spans="36:36" ht="12" customHeight="1" x14ac:dyDescent="0.25">
      <c r="AJ3178" t="str">
        <f>IF(AI3178="", "", AI3178&amp;"["&amp;#REF!&amp;"]")</f>
        <v/>
      </c>
    </row>
    <row r="3179" spans="36:36" ht="12" customHeight="1" x14ac:dyDescent="0.25">
      <c r="AJ3179" t="str">
        <f>IF(AI3179="", "", AI3179&amp;"["&amp;#REF!&amp;"]")</f>
        <v/>
      </c>
    </row>
    <row r="3180" spans="36:36" ht="12" customHeight="1" x14ac:dyDescent="0.25">
      <c r="AJ3180" t="str">
        <f>IF(AI3180="", "", AI3180&amp;"["&amp;#REF!&amp;"]")</f>
        <v/>
      </c>
    </row>
    <row r="3181" spans="36:36" ht="12" customHeight="1" x14ac:dyDescent="0.25">
      <c r="AJ3181" t="str">
        <f>IF(AI3181="", "", AI3181&amp;"["&amp;#REF!&amp;"]")</f>
        <v/>
      </c>
    </row>
    <row r="3182" spans="36:36" ht="12" customHeight="1" x14ac:dyDescent="0.25">
      <c r="AJ3182" t="str">
        <f>IF(AI3182="", "", AI3182&amp;"["&amp;#REF!&amp;"]")</f>
        <v/>
      </c>
    </row>
    <row r="3183" spans="36:36" ht="12" customHeight="1" x14ac:dyDescent="0.25">
      <c r="AJ3183" t="str">
        <f>IF(AI3183="", "", AI3183&amp;"["&amp;#REF!&amp;"]")</f>
        <v/>
      </c>
    </row>
    <row r="3184" spans="36:36" ht="12" customHeight="1" x14ac:dyDescent="0.25">
      <c r="AJ3184" t="str">
        <f>IF(AI3184="", "", AI3184&amp;"["&amp;#REF!&amp;"]")</f>
        <v/>
      </c>
    </row>
    <row r="3185" spans="36:36" ht="12" customHeight="1" x14ac:dyDescent="0.25">
      <c r="AJ3185" t="str">
        <f>IF(AI3185="", "", AI3185&amp;"["&amp;#REF!&amp;"]")</f>
        <v/>
      </c>
    </row>
    <row r="3186" spans="36:36" ht="12" customHeight="1" x14ac:dyDescent="0.25">
      <c r="AJ3186" t="str">
        <f>IF(AI3186="", "", AI3186&amp;"["&amp;#REF!&amp;"]")</f>
        <v/>
      </c>
    </row>
    <row r="3187" spans="36:36" ht="12" customHeight="1" x14ac:dyDescent="0.25">
      <c r="AJ3187" t="str">
        <f>IF(AI3187="", "", AI3187&amp;"["&amp;#REF!&amp;"]")</f>
        <v/>
      </c>
    </row>
    <row r="3188" spans="36:36" ht="12" customHeight="1" x14ac:dyDescent="0.25">
      <c r="AJ3188" t="str">
        <f>IF(AI3188="", "", AI3188&amp;"["&amp;#REF!&amp;"]")</f>
        <v/>
      </c>
    </row>
    <row r="3189" spans="36:36" ht="12" customHeight="1" x14ac:dyDescent="0.25">
      <c r="AJ3189" t="str">
        <f>IF(AI3189="", "", AI3189&amp;"["&amp;#REF!&amp;"]")</f>
        <v/>
      </c>
    </row>
    <row r="3190" spans="36:36" ht="12" customHeight="1" x14ac:dyDescent="0.25">
      <c r="AJ3190" t="str">
        <f>IF(AI3190="", "", AI3190&amp;"["&amp;#REF!&amp;"]")</f>
        <v/>
      </c>
    </row>
    <row r="3191" spans="36:36" ht="12" customHeight="1" x14ac:dyDescent="0.25">
      <c r="AJ3191" t="str">
        <f>IF(AI3191="", "", AI3191&amp;"["&amp;#REF!&amp;"]")</f>
        <v/>
      </c>
    </row>
    <row r="3192" spans="36:36" ht="12" customHeight="1" x14ac:dyDescent="0.25">
      <c r="AJ3192" t="str">
        <f>IF(AI3192="", "", AI3192&amp;"["&amp;#REF!&amp;"]")</f>
        <v/>
      </c>
    </row>
    <row r="3193" spans="36:36" ht="12" customHeight="1" x14ac:dyDescent="0.25">
      <c r="AJ3193" t="str">
        <f>IF(AI3193="", "", AI3193&amp;"["&amp;#REF!&amp;"]")</f>
        <v/>
      </c>
    </row>
    <row r="3194" spans="36:36" ht="12" customHeight="1" x14ac:dyDescent="0.25">
      <c r="AJ3194" t="str">
        <f>IF(AI3194="", "", AI3194&amp;"["&amp;#REF!&amp;"]")</f>
        <v/>
      </c>
    </row>
    <row r="3195" spans="36:36" ht="12" customHeight="1" x14ac:dyDescent="0.25">
      <c r="AJ3195" t="str">
        <f>IF(AI3195="", "", AI3195&amp;"["&amp;#REF!&amp;"]")</f>
        <v/>
      </c>
    </row>
    <row r="3196" spans="36:36" ht="12" customHeight="1" x14ac:dyDescent="0.25">
      <c r="AJ3196" t="str">
        <f>IF(AI3196="", "", AI3196&amp;"["&amp;#REF!&amp;"]")</f>
        <v/>
      </c>
    </row>
    <row r="3197" spans="36:36" ht="12" customHeight="1" x14ac:dyDescent="0.25">
      <c r="AJ3197" t="str">
        <f>IF(AI3197="", "", AI3197&amp;"["&amp;#REF!&amp;"]")</f>
        <v/>
      </c>
    </row>
    <row r="3198" spans="36:36" ht="12" customHeight="1" x14ac:dyDescent="0.25">
      <c r="AJ3198" t="str">
        <f>IF(AI3198="", "", AI3198&amp;"["&amp;#REF!&amp;"]")</f>
        <v/>
      </c>
    </row>
    <row r="3199" spans="36:36" ht="12" customHeight="1" x14ac:dyDescent="0.25">
      <c r="AJ3199" t="str">
        <f>IF(AI3199="", "", AI3199&amp;"["&amp;#REF!&amp;"]")</f>
        <v/>
      </c>
    </row>
    <row r="3200" spans="36:36" ht="12" customHeight="1" x14ac:dyDescent="0.25">
      <c r="AJ3200" t="str">
        <f>IF(AI3200="", "", AI3200&amp;"["&amp;#REF!&amp;"]")</f>
        <v/>
      </c>
    </row>
    <row r="3201" spans="36:36" ht="12" customHeight="1" x14ac:dyDescent="0.25">
      <c r="AJ3201" t="str">
        <f>IF(AI3201="", "", AI3201&amp;"["&amp;#REF!&amp;"]")</f>
        <v/>
      </c>
    </row>
    <row r="3202" spans="36:36" ht="12" customHeight="1" x14ac:dyDescent="0.25">
      <c r="AJ3202" t="str">
        <f>IF(AI3202="", "", AI3202&amp;"["&amp;#REF!&amp;"]")</f>
        <v/>
      </c>
    </row>
    <row r="3203" spans="36:36" ht="12" customHeight="1" x14ac:dyDescent="0.25">
      <c r="AJ3203" t="str">
        <f>IF(AI3203="", "", AI3203&amp;"["&amp;#REF!&amp;"]")</f>
        <v/>
      </c>
    </row>
    <row r="3204" spans="36:36" ht="12" customHeight="1" x14ac:dyDescent="0.25">
      <c r="AJ3204" t="str">
        <f>IF(AI3204="", "", AI3204&amp;"["&amp;#REF!&amp;"]")</f>
        <v/>
      </c>
    </row>
    <row r="3205" spans="36:36" ht="12" customHeight="1" x14ac:dyDescent="0.25">
      <c r="AJ3205" t="str">
        <f>IF(AI3205="", "", AI3205&amp;"["&amp;#REF!&amp;"]")</f>
        <v/>
      </c>
    </row>
    <row r="3206" spans="36:36" ht="12" customHeight="1" x14ac:dyDescent="0.25">
      <c r="AJ3206" t="str">
        <f>IF(AI3206="", "", AI3206&amp;"["&amp;#REF!&amp;"]")</f>
        <v/>
      </c>
    </row>
    <row r="3207" spans="36:36" ht="12" customHeight="1" x14ac:dyDescent="0.25">
      <c r="AJ3207" t="str">
        <f>IF(AI3207="", "", AI3207&amp;"["&amp;#REF!&amp;"]")</f>
        <v/>
      </c>
    </row>
    <row r="3208" spans="36:36" ht="12" customHeight="1" x14ac:dyDescent="0.25">
      <c r="AJ3208" t="str">
        <f>IF(AI3208="", "", AI3208&amp;"["&amp;#REF!&amp;"]")</f>
        <v/>
      </c>
    </row>
    <row r="3209" spans="36:36" ht="12" customHeight="1" x14ac:dyDescent="0.25">
      <c r="AJ3209" t="str">
        <f>IF(AI3209="", "", AI3209&amp;"["&amp;#REF!&amp;"]")</f>
        <v/>
      </c>
    </row>
    <row r="3210" spans="36:36" ht="12" customHeight="1" x14ac:dyDescent="0.25">
      <c r="AJ3210" t="str">
        <f>IF(AI3210="", "", AI3210&amp;"["&amp;#REF!&amp;"]")</f>
        <v/>
      </c>
    </row>
    <row r="3211" spans="36:36" ht="12" customHeight="1" x14ac:dyDescent="0.25">
      <c r="AJ3211" t="str">
        <f>IF(AI3211="", "", AI3211&amp;"["&amp;#REF!&amp;"]")</f>
        <v/>
      </c>
    </row>
    <row r="3212" spans="36:36" ht="12" customHeight="1" x14ac:dyDescent="0.25">
      <c r="AJ3212" t="str">
        <f>IF(AI3212="", "", AI3212&amp;"["&amp;#REF!&amp;"]")</f>
        <v/>
      </c>
    </row>
    <row r="3213" spans="36:36" ht="12" customHeight="1" x14ac:dyDescent="0.25">
      <c r="AJ3213" t="str">
        <f>IF(AI3213="", "", AI3213&amp;"["&amp;#REF!&amp;"]")</f>
        <v/>
      </c>
    </row>
    <row r="3214" spans="36:36" ht="12" customHeight="1" x14ac:dyDescent="0.25">
      <c r="AJ3214" t="str">
        <f>IF(AI3214="", "", AI3214&amp;"["&amp;#REF!&amp;"]")</f>
        <v/>
      </c>
    </row>
    <row r="3215" spans="36:36" ht="12" customHeight="1" x14ac:dyDescent="0.25">
      <c r="AJ3215" t="str">
        <f>IF(AI3215="", "", AI3215&amp;"["&amp;#REF!&amp;"]")</f>
        <v/>
      </c>
    </row>
    <row r="3216" spans="36:36" ht="12" customHeight="1" x14ac:dyDescent="0.25">
      <c r="AJ3216" t="str">
        <f>IF(AI3216="", "", AI3216&amp;"["&amp;#REF!&amp;"]")</f>
        <v/>
      </c>
    </row>
    <row r="3217" spans="36:36" ht="12" customHeight="1" x14ac:dyDescent="0.25">
      <c r="AJ3217" t="str">
        <f>IF(AI3217="", "", AI3217&amp;"["&amp;#REF!&amp;"]")</f>
        <v/>
      </c>
    </row>
    <row r="3218" spans="36:36" ht="12" customHeight="1" x14ac:dyDescent="0.25">
      <c r="AJ3218" t="str">
        <f>IF(AI3218="", "", AI3218&amp;"["&amp;#REF!&amp;"]")</f>
        <v/>
      </c>
    </row>
    <row r="3219" spans="36:36" ht="12" customHeight="1" x14ac:dyDescent="0.25">
      <c r="AJ3219" t="str">
        <f>IF(AI3219="", "", AI3219&amp;"["&amp;#REF!&amp;"]")</f>
        <v/>
      </c>
    </row>
    <row r="3220" spans="36:36" ht="12" customHeight="1" x14ac:dyDescent="0.25">
      <c r="AJ3220" t="str">
        <f>IF(AI3220="", "", AI3220&amp;"["&amp;#REF!&amp;"]")</f>
        <v/>
      </c>
    </row>
    <row r="3221" spans="36:36" ht="12" customHeight="1" x14ac:dyDescent="0.25">
      <c r="AJ3221" t="str">
        <f>IF(AI3221="", "", AI3221&amp;"["&amp;#REF!&amp;"]")</f>
        <v/>
      </c>
    </row>
    <row r="3222" spans="36:36" ht="12" customHeight="1" x14ac:dyDescent="0.25">
      <c r="AJ3222" t="str">
        <f>IF(AI3222="", "", AI3222&amp;"["&amp;#REF!&amp;"]")</f>
        <v/>
      </c>
    </row>
    <row r="3223" spans="36:36" ht="12" customHeight="1" x14ac:dyDescent="0.25">
      <c r="AJ3223" t="str">
        <f>IF(AI3223="", "", AI3223&amp;"["&amp;#REF!&amp;"]")</f>
        <v/>
      </c>
    </row>
    <row r="3224" spans="36:36" ht="12" customHeight="1" x14ac:dyDescent="0.25">
      <c r="AJ3224" t="str">
        <f>IF(AI3224="", "", AI3224&amp;"["&amp;#REF!&amp;"]")</f>
        <v/>
      </c>
    </row>
    <row r="3225" spans="36:36" ht="12" customHeight="1" x14ac:dyDescent="0.25">
      <c r="AJ3225" t="str">
        <f>IF(AI3225="", "", AI3225&amp;"["&amp;#REF!&amp;"]")</f>
        <v/>
      </c>
    </row>
    <row r="3226" spans="36:36" ht="12" customHeight="1" x14ac:dyDescent="0.25">
      <c r="AJ3226" t="str">
        <f>IF(AI3226="", "", AI3226&amp;"["&amp;#REF!&amp;"]")</f>
        <v/>
      </c>
    </row>
    <row r="3227" spans="36:36" ht="12" customHeight="1" x14ac:dyDescent="0.25">
      <c r="AJ3227" t="str">
        <f>IF(AI3227="", "", AI3227&amp;"["&amp;#REF!&amp;"]")</f>
        <v/>
      </c>
    </row>
    <row r="3228" spans="36:36" ht="12" customHeight="1" x14ac:dyDescent="0.25">
      <c r="AJ3228" t="str">
        <f>IF(AI3228="", "", AI3228&amp;"["&amp;#REF!&amp;"]")</f>
        <v/>
      </c>
    </row>
    <row r="3229" spans="36:36" ht="12" customHeight="1" x14ac:dyDescent="0.25">
      <c r="AJ3229" t="str">
        <f>IF(AI3229="", "", AI3229&amp;"["&amp;#REF!&amp;"]")</f>
        <v/>
      </c>
    </row>
    <row r="3230" spans="36:36" ht="12" customHeight="1" x14ac:dyDescent="0.25">
      <c r="AJ3230" t="str">
        <f>IF(AI3230="", "", AI3230&amp;"["&amp;#REF!&amp;"]")</f>
        <v/>
      </c>
    </row>
    <row r="3231" spans="36:36" ht="12" customHeight="1" x14ac:dyDescent="0.25">
      <c r="AJ3231" t="str">
        <f>IF(AI3231="", "", AI3231&amp;"["&amp;#REF!&amp;"]")</f>
        <v/>
      </c>
    </row>
    <row r="3232" spans="36:36" ht="12" customHeight="1" x14ac:dyDescent="0.25">
      <c r="AJ3232" t="str">
        <f>IF(AI3232="", "", AI3232&amp;"["&amp;#REF!&amp;"]")</f>
        <v/>
      </c>
    </row>
    <row r="3233" spans="36:36" ht="12" customHeight="1" x14ac:dyDescent="0.25">
      <c r="AJ3233" t="str">
        <f>IF(AI3233="", "", AI3233&amp;"["&amp;#REF!&amp;"]")</f>
        <v/>
      </c>
    </row>
    <row r="3234" spans="36:36" ht="12" customHeight="1" x14ac:dyDescent="0.25">
      <c r="AJ3234" t="str">
        <f>IF(AI3234="", "", AI3234&amp;"["&amp;#REF!&amp;"]")</f>
        <v/>
      </c>
    </row>
    <row r="3235" spans="36:36" ht="12" customHeight="1" x14ac:dyDescent="0.25">
      <c r="AJ3235" t="str">
        <f>IF(AI3235="", "", AI3235&amp;"["&amp;#REF!&amp;"]")</f>
        <v/>
      </c>
    </row>
    <row r="3236" spans="36:36" ht="12" customHeight="1" x14ac:dyDescent="0.25">
      <c r="AJ3236" t="str">
        <f>IF(AI3236="", "", AI3236&amp;"["&amp;#REF!&amp;"]")</f>
        <v/>
      </c>
    </row>
    <row r="3237" spans="36:36" ht="12" customHeight="1" x14ac:dyDescent="0.25">
      <c r="AJ3237" t="str">
        <f>IF(AI3237="", "", AI3237&amp;"["&amp;#REF!&amp;"]")</f>
        <v/>
      </c>
    </row>
    <row r="3238" spans="36:36" ht="12" customHeight="1" x14ac:dyDescent="0.25">
      <c r="AJ3238" t="str">
        <f>IF(AI3238="", "", AI3238&amp;"["&amp;#REF!&amp;"]")</f>
        <v/>
      </c>
    </row>
    <row r="3239" spans="36:36" ht="12" customHeight="1" x14ac:dyDescent="0.25">
      <c r="AJ3239" t="str">
        <f>IF(AI3239="", "", AI3239&amp;"["&amp;#REF!&amp;"]")</f>
        <v/>
      </c>
    </row>
    <row r="3240" spans="36:36" ht="12" customHeight="1" x14ac:dyDescent="0.25">
      <c r="AJ3240" t="str">
        <f>IF(AI3240="", "", AI3240&amp;"["&amp;#REF!&amp;"]")</f>
        <v/>
      </c>
    </row>
    <row r="3241" spans="36:36" ht="12" customHeight="1" x14ac:dyDescent="0.25">
      <c r="AJ3241" t="str">
        <f>IF(AI3241="", "", AI3241&amp;"["&amp;#REF!&amp;"]")</f>
        <v/>
      </c>
    </row>
    <row r="3242" spans="36:36" ht="12" customHeight="1" x14ac:dyDescent="0.25">
      <c r="AJ3242" t="str">
        <f>IF(AI3242="", "", AI3242&amp;"["&amp;#REF!&amp;"]")</f>
        <v/>
      </c>
    </row>
    <row r="3243" spans="36:36" ht="12" customHeight="1" x14ac:dyDescent="0.25">
      <c r="AJ3243" t="str">
        <f>IF(AI3243="", "", AI3243&amp;"["&amp;#REF!&amp;"]")</f>
        <v/>
      </c>
    </row>
    <row r="3244" spans="36:36" ht="12" customHeight="1" x14ac:dyDescent="0.25">
      <c r="AJ3244" t="str">
        <f>IF(AI3244="", "", AI3244&amp;"["&amp;#REF!&amp;"]")</f>
        <v/>
      </c>
    </row>
    <row r="3245" spans="36:36" ht="12" customHeight="1" x14ac:dyDescent="0.25">
      <c r="AJ3245" t="str">
        <f>IF(AI3245="", "", AI3245&amp;"["&amp;#REF!&amp;"]")</f>
        <v/>
      </c>
    </row>
    <row r="3246" spans="36:36" ht="12" customHeight="1" x14ac:dyDescent="0.25">
      <c r="AJ3246" t="str">
        <f>IF(AI3246="", "", AI3246&amp;"["&amp;#REF!&amp;"]")</f>
        <v/>
      </c>
    </row>
    <row r="3247" spans="36:36" ht="12" customHeight="1" x14ac:dyDescent="0.25">
      <c r="AJ3247" t="str">
        <f>IF(AI3247="", "", AI3247&amp;"["&amp;#REF!&amp;"]")</f>
        <v/>
      </c>
    </row>
    <row r="3248" spans="36:36" ht="12" customHeight="1" x14ac:dyDescent="0.25">
      <c r="AJ3248" t="str">
        <f>IF(AI3248="", "", AI3248&amp;"["&amp;#REF!&amp;"]")</f>
        <v/>
      </c>
    </row>
    <row r="3249" spans="36:36" ht="12" customHeight="1" x14ac:dyDescent="0.25">
      <c r="AJ3249" t="str">
        <f>IF(AI3249="", "", AI3249&amp;"["&amp;#REF!&amp;"]")</f>
        <v/>
      </c>
    </row>
    <row r="3250" spans="36:36" ht="12" customHeight="1" x14ac:dyDescent="0.25">
      <c r="AJ3250" t="str">
        <f>IF(AI3250="", "", AI3250&amp;"["&amp;#REF!&amp;"]")</f>
        <v/>
      </c>
    </row>
    <row r="3251" spans="36:36" ht="12" customHeight="1" x14ac:dyDescent="0.25">
      <c r="AJ3251" t="str">
        <f>IF(AI3251="", "", AI3251&amp;"["&amp;#REF!&amp;"]")</f>
        <v/>
      </c>
    </row>
    <row r="3252" spans="36:36" ht="12" customHeight="1" x14ac:dyDescent="0.25">
      <c r="AJ3252" t="str">
        <f>IF(AI3252="", "", AI3252&amp;"["&amp;#REF!&amp;"]")</f>
        <v/>
      </c>
    </row>
    <row r="3253" spans="36:36" ht="12" customHeight="1" x14ac:dyDescent="0.25">
      <c r="AJ3253" t="str">
        <f>IF(AI3253="", "", AI3253&amp;"["&amp;#REF!&amp;"]")</f>
        <v/>
      </c>
    </row>
    <row r="3254" spans="36:36" ht="12" customHeight="1" x14ac:dyDescent="0.25">
      <c r="AJ3254" t="str">
        <f>IF(AI3254="", "", AI3254&amp;"["&amp;#REF!&amp;"]")</f>
        <v/>
      </c>
    </row>
    <row r="3255" spans="36:36" ht="12" customHeight="1" x14ac:dyDescent="0.25">
      <c r="AJ3255" t="str">
        <f>IF(AI3255="", "", AI3255&amp;"["&amp;#REF!&amp;"]")</f>
        <v/>
      </c>
    </row>
    <row r="3256" spans="36:36" ht="12" customHeight="1" x14ac:dyDescent="0.25">
      <c r="AJ3256" t="str">
        <f>IF(AI3256="", "", AI3256&amp;"["&amp;#REF!&amp;"]")</f>
        <v/>
      </c>
    </row>
    <row r="3257" spans="36:36" ht="12" customHeight="1" x14ac:dyDescent="0.25">
      <c r="AJ3257" t="str">
        <f>IF(AI3257="", "", AI3257&amp;"["&amp;#REF!&amp;"]")</f>
        <v/>
      </c>
    </row>
    <row r="3258" spans="36:36" ht="12" customHeight="1" x14ac:dyDescent="0.25">
      <c r="AJ3258" t="str">
        <f>IF(AI3258="", "", AI3258&amp;"["&amp;#REF!&amp;"]")</f>
        <v/>
      </c>
    </row>
    <row r="3259" spans="36:36" ht="12" customHeight="1" x14ac:dyDescent="0.25">
      <c r="AJ3259" t="str">
        <f>IF(AI3259="", "", AI3259&amp;"["&amp;#REF!&amp;"]")</f>
        <v/>
      </c>
    </row>
    <row r="3260" spans="36:36" ht="12" customHeight="1" x14ac:dyDescent="0.25">
      <c r="AJ3260" t="str">
        <f>IF(AI3260="", "", AI3260&amp;"["&amp;#REF!&amp;"]")</f>
        <v/>
      </c>
    </row>
    <row r="3261" spans="36:36" ht="12" customHeight="1" x14ac:dyDescent="0.25">
      <c r="AJ3261" t="str">
        <f>IF(AI3261="", "", AI3261&amp;"["&amp;#REF!&amp;"]")</f>
        <v/>
      </c>
    </row>
    <row r="3262" spans="36:36" ht="12" customHeight="1" x14ac:dyDescent="0.25">
      <c r="AJ3262" t="str">
        <f>IF(AI3262="", "", AI3262&amp;"["&amp;#REF!&amp;"]")</f>
        <v/>
      </c>
    </row>
    <row r="3263" spans="36:36" ht="12" customHeight="1" x14ac:dyDescent="0.25">
      <c r="AJ3263" t="str">
        <f>IF(AI3263="", "", AI3263&amp;"["&amp;#REF!&amp;"]")</f>
        <v/>
      </c>
    </row>
    <row r="3264" spans="36:36" ht="12" customHeight="1" x14ac:dyDescent="0.25">
      <c r="AJ3264" t="str">
        <f>IF(AI3264="", "", AI3264&amp;"["&amp;#REF!&amp;"]")</f>
        <v/>
      </c>
    </row>
    <row r="3265" spans="36:36" ht="12" customHeight="1" x14ac:dyDescent="0.25">
      <c r="AJ3265" t="str">
        <f>IF(AI3265="", "", AI3265&amp;"["&amp;#REF!&amp;"]")</f>
        <v/>
      </c>
    </row>
    <row r="3266" spans="36:36" ht="12" customHeight="1" x14ac:dyDescent="0.25">
      <c r="AJ3266" t="str">
        <f>IF(AI3266="", "", AI3266&amp;"["&amp;#REF!&amp;"]")</f>
        <v/>
      </c>
    </row>
    <row r="3267" spans="36:36" ht="12" customHeight="1" x14ac:dyDescent="0.25">
      <c r="AJ3267" t="str">
        <f>IF(AI3267="", "", AI3267&amp;"["&amp;#REF!&amp;"]")</f>
        <v/>
      </c>
    </row>
    <row r="3268" spans="36:36" ht="12" customHeight="1" x14ac:dyDescent="0.25">
      <c r="AJ3268" t="str">
        <f>IF(AI3268="", "", AI3268&amp;"["&amp;#REF!&amp;"]")</f>
        <v/>
      </c>
    </row>
    <row r="3269" spans="36:36" ht="12" customHeight="1" x14ac:dyDescent="0.25">
      <c r="AJ3269" t="str">
        <f>IF(AI3269="", "", AI3269&amp;"["&amp;#REF!&amp;"]")</f>
        <v/>
      </c>
    </row>
    <row r="3270" spans="36:36" ht="12" customHeight="1" x14ac:dyDescent="0.25">
      <c r="AJ3270" t="str">
        <f>IF(AI3270="", "", AI3270&amp;"["&amp;#REF!&amp;"]")</f>
        <v/>
      </c>
    </row>
    <row r="3271" spans="36:36" ht="12" customHeight="1" x14ac:dyDescent="0.25">
      <c r="AJ3271" t="str">
        <f>IF(AI3271="", "", AI3271&amp;"["&amp;#REF!&amp;"]")</f>
        <v/>
      </c>
    </row>
    <row r="3272" spans="36:36" ht="12" customHeight="1" x14ac:dyDescent="0.25">
      <c r="AJ3272" t="str">
        <f>IF(AI3272="", "", AI3272&amp;"["&amp;#REF!&amp;"]")</f>
        <v/>
      </c>
    </row>
    <row r="3273" spans="36:36" ht="12" customHeight="1" x14ac:dyDescent="0.25">
      <c r="AJ3273" t="str">
        <f>IF(AI3273="", "", AI3273&amp;"["&amp;#REF!&amp;"]")</f>
        <v/>
      </c>
    </row>
    <row r="3274" spans="36:36" ht="12" customHeight="1" x14ac:dyDescent="0.25">
      <c r="AJ3274" t="str">
        <f>IF(AI3274="", "", AI3274&amp;"["&amp;#REF!&amp;"]")</f>
        <v/>
      </c>
    </row>
    <row r="3275" spans="36:36" ht="12" customHeight="1" x14ac:dyDescent="0.25">
      <c r="AJ3275" t="str">
        <f>IF(AI3275="", "", AI3275&amp;"["&amp;#REF!&amp;"]")</f>
        <v/>
      </c>
    </row>
    <row r="3276" spans="36:36" ht="12" customHeight="1" x14ac:dyDescent="0.25">
      <c r="AJ3276" t="str">
        <f>IF(AI3276="", "", AI3276&amp;"["&amp;#REF!&amp;"]")</f>
        <v/>
      </c>
    </row>
    <row r="3277" spans="36:36" ht="12" customHeight="1" x14ac:dyDescent="0.25">
      <c r="AJ3277" t="str">
        <f>IF(AI3277="", "", AI3277&amp;"["&amp;#REF!&amp;"]")</f>
        <v/>
      </c>
    </row>
    <row r="3278" spans="36:36" ht="12" customHeight="1" x14ac:dyDescent="0.25">
      <c r="AJ3278" t="str">
        <f>IF(AI3278="", "", AI3278&amp;"["&amp;#REF!&amp;"]")</f>
        <v/>
      </c>
    </row>
    <row r="3279" spans="36:36" ht="12" customHeight="1" x14ac:dyDescent="0.25">
      <c r="AJ3279" t="str">
        <f>IF(AI3279="", "", AI3279&amp;"["&amp;#REF!&amp;"]")</f>
        <v/>
      </c>
    </row>
    <row r="3280" spans="36:36" ht="12" customHeight="1" x14ac:dyDescent="0.25">
      <c r="AJ3280" t="str">
        <f>IF(AI3280="", "", AI3280&amp;"["&amp;#REF!&amp;"]")</f>
        <v/>
      </c>
    </row>
    <row r="3281" spans="36:36" ht="12" customHeight="1" x14ac:dyDescent="0.25">
      <c r="AJ3281" t="str">
        <f>IF(AI3281="", "", AI3281&amp;"["&amp;#REF!&amp;"]")</f>
        <v/>
      </c>
    </row>
    <row r="3282" spans="36:36" ht="12" customHeight="1" x14ac:dyDescent="0.25">
      <c r="AJ3282" t="str">
        <f>IF(AI3282="", "", AI3282&amp;"["&amp;#REF!&amp;"]")</f>
        <v/>
      </c>
    </row>
    <row r="3283" spans="36:36" ht="12" customHeight="1" x14ac:dyDescent="0.25">
      <c r="AJ3283" t="str">
        <f>IF(AI3283="", "", AI3283&amp;"["&amp;#REF!&amp;"]")</f>
        <v/>
      </c>
    </row>
    <row r="3284" spans="36:36" ht="12" customHeight="1" x14ac:dyDescent="0.25">
      <c r="AJ3284" t="str">
        <f>IF(AI3284="", "", AI3284&amp;"["&amp;#REF!&amp;"]")</f>
        <v/>
      </c>
    </row>
    <row r="3285" spans="36:36" ht="12" customHeight="1" x14ac:dyDescent="0.25">
      <c r="AJ3285" t="str">
        <f>IF(AI3285="", "", AI3285&amp;"["&amp;#REF!&amp;"]")</f>
        <v/>
      </c>
    </row>
    <row r="3286" spans="36:36" ht="12" customHeight="1" x14ac:dyDescent="0.25">
      <c r="AJ3286" t="str">
        <f>IF(AI3286="", "", AI3286&amp;"["&amp;#REF!&amp;"]")</f>
        <v/>
      </c>
    </row>
    <row r="3287" spans="36:36" ht="12" customHeight="1" x14ac:dyDescent="0.25">
      <c r="AJ3287" t="str">
        <f>IF(AI3287="", "", AI3287&amp;"["&amp;#REF!&amp;"]")</f>
        <v/>
      </c>
    </row>
    <row r="3288" spans="36:36" ht="12" customHeight="1" x14ac:dyDescent="0.25">
      <c r="AJ3288" t="str">
        <f>IF(AI3288="", "", AI3288&amp;"["&amp;#REF!&amp;"]")</f>
        <v/>
      </c>
    </row>
    <row r="3289" spans="36:36" ht="12" customHeight="1" x14ac:dyDescent="0.25">
      <c r="AJ3289" t="str">
        <f>IF(AI3289="", "", AI3289&amp;"["&amp;#REF!&amp;"]")</f>
        <v/>
      </c>
    </row>
    <row r="3290" spans="36:36" ht="12" customHeight="1" x14ac:dyDescent="0.25">
      <c r="AJ3290" t="str">
        <f>IF(AI3290="", "", AI3290&amp;"["&amp;#REF!&amp;"]")</f>
        <v/>
      </c>
    </row>
    <row r="3291" spans="36:36" ht="12" customHeight="1" x14ac:dyDescent="0.25">
      <c r="AJ3291" t="str">
        <f>IF(AI3291="", "", AI3291&amp;"["&amp;#REF!&amp;"]")</f>
        <v/>
      </c>
    </row>
    <row r="3292" spans="36:36" ht="12" customHeight="1" x14ac:dyDescent="0.25">
      <c r="AJ3292" t="str">
        <f>IF(AI3292="", "", AI3292&amp;"["&amp;#REF!&amp;"]")</f>
        <v/>
      </c>
    </row>
    <row r="3293" spans="36:36" ht="12" customHeight="1" x14ac:dyDescent="0.25">
      <c r="AJ3293" t="str">
        <f>IF(AI3293="", "", AI3293&amp;"["&amp;#REF!&amp;"]")</f>
        <v/>
      </c>
    </row>
    <row r="3294" spans="36:36" ht="12" customHeight="1" x14ac:dyDescent="0.25">
      <c r="AJ3294" t="str">
        <f>IF(AI3294="", "", AI3294&amp;"["&amp;#REF!&amp;"]")</f>
        <v/>
      </c>
    </row>
    <row r="3295" spans="36:36" ht="12" customHeight="1" x14ac:dyDescent="0.25">
      <c r="AJ3295" t="str">
        <f>IF(AI3295="", "", AI3295&amp;"["&amp;#REF!&amp;"]")</f>
        <v/>
      </c>
    </row>
    <row r="3296" spans="36:36" ht="12" customHeight="1" x14ac:dyDescent="0.25">
      <c r="AJ3296" t="str">
        <f>IF(AI3296="", "", AI3296&amp;"["&amp;#REF!&amp;"]")</f>
        <v/>
      </c>
    </row>
    <row r="3297" spans="36:36" ht="12" customHeight="1" x14ac:dyDescent="0.25">
      <c r="AJ3297" t="str">
        <f>IF(AI3297="", "", AI3297&amp;"["&amp;#REF!&amp;"]")</f>
        <v/>
      </c>
    </row>
    <row r="3298" spans="36:36" ht="12" customHeight="1" x14ac:dyDescent="0.25">
      <c r="AJ3298" t="str">
        <f>IF(AI3298="", "", AI3298&amp;"["&amp;#REF!&amp;"]")</f>
        <v/>
      </c>
    </row>
    <row r="3299" spans="36:36" ht="12" customHeight="1" x14ac:dyDescent="0.25">
      <c r="AJ3299" t="str">
        <f>IF(AI3299="", "", AI3299&amp;"["&amp;#REF!&amp;"]")</f>
        <v/>
      </c>
    </row>
    <row r="3300" spans="36:36" ht="12" customHeight="1" x14ac:dyDescent="0.25">
      <c r="AJ3300" t="str">
        <f>IF(AI3300="", "", AI3300&amp;"["&amp;#REF!&amp;"]")</f>
        <v/>
      </c>
    </row>
    <row r="3301" spans="36:36" ht="12" customHeight="1" x14ac:dyDescent="0.25">
      <c r="AJ3301" t="str">
        <f>IF(AI3301="", "", AI3301&amp;"["&amp;#REF!&amp;"]")</f>
        <v/>
      </c>
    </row>
    <row r="3302" spans="36:36" ht="12" customHeight="1" x14ac:dyDescent="0.25">
      <c r="AJ3302" t="str">
        <f>IF(AI3302="", "", AI3302&amp;"["&amp;#REF!&amp;"]")</f>
        <v/>
      </c>
    </row>
    <row r="3303" spans="36:36" ht="12" customHeight="1" x14ac:dyDescent="0.25">
      <c r="AJ3303" t="str">
        <f>IF(AI3303="", "", AI3303&amp;"["&amp;#REF!&amp;"]")</f>
        <v/>
      </c>
    </row>
    <row r="3304" spans="36:36" ht="12" customHeight="1" x14ac:dyDescent="0.25">
      <c r="AJ3304" t="str">
        <f>IF(AI3304="", "", AI3304&amp;"["&amp;#REF!&amp;"]")</f>
        <v/>
      </c>
    </row>
    <row r="3305" spans="36:36" ht="12" customHeight="1" x14ac:dyDescent="0.25">
      <c r="AJ3305" t="str">
        <f>IF(AI3305="", "", AI3305&amp;"["&amp;#REF!&amp;"]")</f>
        <v/>
      </c>
    </row>
    <row r="3306" spans="36:36" ht="12" customHeight="1" x14ac:dyDescent="0.25">
      <c r="AJ3306" t="str">
        <f>IF(AI3306="", "", AI3306&amp;"["&amp;#REF!&amp;"]")</f>
        <v/>
      </c>
    </row>
    <row r="3307" spans="36:36" ht="12" customHeight="1" x14ac:dyDescent="0.25">
      <c r="AJ3307" t="str">
        <f>IF(AI3307="", "", AI3307&amp;"["&amp;#REF!&amp;"]")</f>
        <v/>
      </c>
    </row>
    <row r="3308" spans="36:36" ht="12" customHeight="1" x14ac:dyDescent="0.25">
      <c r="AJ3308" t="str">
        <f>IF(AI3308="", "", AI3308&amp;"["&amp;#REF!&amp;"]")</f>
        <v/>
      </c>
    </row>
    <row r="3309" spans="36:36" ht="12" customHeight="1" x14ac:dyDescent="0.25">
      <c r="AJ3309" t="str">
        <f>IF(AI3309="", "", AI3309&amp;"["&amp;#REF!&amp;"]")</f>
        <v/>
      </c>
    </row>
    <row r="3310" spans="36:36" ht="12" customHeight="1" x14ac:dyDescent="0.25">
      <c r="AJ3310" t="str">
        <f>IF(AI3310="", "", AI3310&amp;"["&amp;#REF!&amp;"]")</f>
        <v/>
      </c>
    </row>
    <row r="3311" spans="36:36" ht="12" customHeight="1" x14ac:dyDescent="0.25">
      <c r="AJ3311" t="str">
        <f>IF(AI3311="", "", AI3311&amp;"["&amp;#REF!&amp;"]")</f>
        <v/>
      </c>
    </row>
    <row r="3312" spans="36:36" ht="12" customHeight="1" x14ac:dyDescent="0.25">
      <c r="AJ3312" t="str">
        <f>IF(AI3312="", "", AI3312&amp;"["&amp;#REF!&amp;"]")</f>
        <v/>
      </c>
    </row>
    <row r="3313" spans="36:36" ht="12" customHeight="1" x14ac:dyDescent="0.25">
      <c r="AJ3313" t="str">
        <f>IF(AI3313="", "", AI3313&amp;"["&amp;#REF!&amp;"]")</f>
        <v/>
      </c>
    </row>
    <row r="3314" spans="36:36" ht="12" customHeight="1" x14ac:dyDescent="0.25">
      <c r="AJ3314" t="str">
        <f>IF(AI3314="", "", AI3314&amp;"["&amp;#REF!&amp;"]")</f>
        <v/>
      </c>
    </row>
    <row r="3315" spans="36:36" ht="12" customHeight="1" x14ac:dyDescent="0.25">
      <c r="AJ3315" t="str">
        <f>IF(AI3315="", "", AI3315&amp;"["&amp;#REF!&amp;"]")</f>
        <v/>
      </c>
    </row>
    <row r="3316" spans="36:36" ht="12" customHeight="1" x14ac:dyDescent="0.25">
      <c r="AJ3316" t="str">
        <f>IF(AI3316="", "", AI3316&amp;"["&amp;#REF!&amp;"]")</f>
        <v/>
      </c>
    </row>
    <row r="3317" spans="36:36" ht="12" customHeight="1" x14ac:dyDescent="0.25">
      <c r="AJ3317" t="str">
        <f>IF(AI3317="", "", AI3317&amp;"["&amp;#REF!&amp;"]")</f>
        <v/>
      </c>
    </row>
    <row r="3318" spans="36:36" ht="12" customHeight="1" x14ac:dyDescent="0.25">
      <c r="AJ3318" t="str">
        <f>IF(AI3318="", "", AI3318&amp;"["&amp;#REF!&amp;"]")</f>
        <v/>
      </c>
    </row>
    <row r="3319" spans="36:36" ht="12" customHeight="1" x14ac:dyDescent="0.25">
      <c r="AJ3319" t="str">
        <f>IF(AI3319="", "", AI3319&amp;"["&amp;#REF!&amp;"]")</f>
        <v/>
      </c>
    </row>
    <row r="3320" spans="36:36" ht="12" customHeight="1" x14ac:dyDescent="0.25">
      <c r="AJ3320" t="str">
        <f>IF(AI3320="", "", AI3320&amp;"["&amp;#REF!&amp;"]")</f>
        <v/>
      </c>
    </row>
    <row r="3321" spans="36:36" ht="12" customHeight="1" x14ac:dyDescent="0.25">
      <c r="AJ3321" t="str">
        <f>IF(AI3321="", "", AI3321&amp;"["&amp;#REF!&amp;"]")</f>
        <v/>
      </c>
    </row>
    <row r="3322" spans="36:36" ht="12" customHeight="1" x14ac:dyDescent="0.25">
      <c r="AJ3322" t="str">
        <f>IF(AI3322="", "", AI3322&amp;"["&amp;#REF!&amp;"]")</f>
        <v/>
      </c>
    </row>
    <row r="3323" spans="36:36" ht="12" customHeight="1" x14ac:dyDescent="0.25">
      <c r="AJ3323" t="str">
        <f>IF(AI3323="", "", AI3323&amp;"["&amp;#REF!&amp;"]")</f>
        <v/>
      </c>
    </row>
    <row r="3324" spans="36:36" ht="12" customHeight="1" x14ac:dyDescent="0.25">
      <c r="AJ3324" t="str">
        <f>IF(AI3324="", "", AI3324&amp;"["&amp;#REF!&amp;"]")</f>
        <v/>
      </c>
    </row>
    <row r="3325" spans="36:36" ht="12" customHeight="1" x14ac:dyDescent="0.25">
      <c r="AJ3325" t="str">
        <f>IF(AI3325="", "", AI3325&amp;"["&amp;#REF!&amp;"]")</f>
        <v/>
      </c>
    </row>
    <row r="3326" spans="36:36" ht="12" customHeight="1" x14ac:dyDescent="0.25">
      <c r="AJ3326" t="str">
        <f>IF(AI3326="", "", AI3326&amp;"["&amp;#REF!&amp;"]")</f>
        <v/>
      </c>
    </row>
    <row r="3327" spans="36:36" ht="12" customHeight="1" x14ac:dyDescent="0.25">
      <c r="AJ3327" t="str">
        <f>IF(AI3327="", "", AI3327&amp;"["&amp;#REF!&amp;"]")</f>
        <v/>
      </c>
    </row>
    <row r="3328" spans="36:36" ht="12" customHeight="1" x14ac:dyDescent="0.25">
      <c r="AJ3328" t="str">
        <f>IF(AI3328="", "", AI3328&amp;"["&amp;#REF!&amp;"]")</f>
        <v/>
      </c>
    </row>
    <row r="3329" spans="36:36" ht="12" customHeight="1" x14ac:dyDescent="0.25">
      <c r="AJ3329" t="str">
        <f>IF(AI3329="", "", AI3329&amp;"["&amp;#REF!&amp;"]")</f>
        <v/>
      </c>
    </row>
    <row r="3330" spans="36:36" ht="12" customHeight="1" x14ac:dyDescent="0.25">
      <c r="AJ3330" t="str">
        <f>IF(AI3330="", "", AI3330&amp;"["&amp;#REF!&amp;"]")</f>
        <v/>
      </c>
    </row>
    <row r="3331" spans="36:36" ht="12" customHeight="1" x14ac:dyDescent="0.25">
      <c r="AJ3331" t="str">
        <f>IF(AI3331="", "", AI3331&amp;"["&amp;#REF!&amp;"]")</f>
        <v/>
      </c>
    </row>
    <row r="3332" spans="36:36" ht="12" customHeight="1" x14ac:dyDescent="0.25">
      <c r="AJ3332" t="str">
        <f>IF(AI3332="", "", AI3332&amp;"["&amp;#REF!&amp;"]")</f>
        <v/>
      </c>
    </row>
    <row r="3333" spans="36:36" ht="12" customHeight="1" x14ac:dyDescent="0.25">
      <c r="AJ3333" t="str">
        <f>IF(AI3333="", "", AI3333&amp;"["&amp;#REF!&amp;"]")</f>
        <v/>
      </c>
    </row>
    <row r="3334" spans="36:36" ht="12" customHeight="1" x14ac:dyDescent="0.25">
      <c r="AJ3334" t="str">
        <f>IF(AI3334="", "", AI3334&amp;"["&amp;#REF!&amp;"]")</f>
        <v/>
      </c>
    </row>
    <row r="3335" spans="36:36" ht="12" customHeight="1" x14ac:dyDescent="0.25">
      <c r="AJ3335" t="str">
        <f>IF(AI3335="", "", AI3335&amp;"["&amp;#REF!&amp;"]")</f>
        <v/>
      </c>
    </row>
    <row r="3336" spans="36:36" ht="12" customHeight="1" x14ac:dyDescent="0.25">
      <c r="AJ3336" t="str">
        <f>IF(AI3336="", "", AI3336&amp;"["&amp;#REF!&amp;"]")</f>
        <v/>
      </c>
    </row>
    <row r="3337" spans="36:36" ht="12" customHeight="1" x14ac:dyDescent="0.25">
      <c r="AJ3337" t="str">
        <f>IF(AI3337="", "", AI3337&amp;"["&amp;#REF!&amp;"]")</f>
        <v/>
      </c>
    </row>
    <row r="3338" spans="36:36" ht="12" customHeight="1" x14ac:dyDescent="0.25">
      <c r="AJ3338" t="str">
        <f>IF(AI3338="", "", AI3338&amp;"["&amp;#REF!&amp;"]")</f>
        <v/>
      </c>
    </row>
    <row r="3339" spans="36:36" ht="12" customHeight="1" x14ac:dyDescent="0.25">
      <c r="AJ3339" t="str">
        <f>IF(AI3339="", "", AI3339&amp;"["&amp;#REF!&amp;"]")</f>
        <v/>
      </c>
    </row>
    <row r="3340" spans="36:36" ht="12" customHeight="1" x14ac:dyDescent="0.25">
      <c r="AJ3340" t="str">
        <f>IF(AI3340="", "", AI3340&amp;"["&amp;#REF!&amp;"]")</f>
        <v/>
      </c>
    </row>
    <row r="3341" spans="36:36" ht="12" customHeight="1" x14ac:dyDescent="0.25">
      <c r="AJ3341" t="str">
        <f>IF(AI3341="", "", AI3341&amp;"["&amp;#REF!&amp;"]")</f>
        <v/>
      </c>
    </row>
    <row r="3342" spans="36:36" ht="12" customHeight="1" x14ac:dyDescent="0.25">
      <c r="AJ3342" t="str">
        <f>IF(AI3342="", "", AI3342&amp;"["&amp;#REF!&amp;"]")</f>
        <v/>
      </c>
    </row>
    <row r="3343" spans="36:36" ht="12" customHeight="1" x14ac:dyDescent="0.25">
      <c r="AJ3343" t="str">
        <f>IF(AI3343="", "", AI3343&amp;"["&amp;#REF!&amp;"]")</f>
        <v/>
      </c>
    </row>
    <row r="3344" spans="36:36" ht="12" customHeight="1" x14ac:dyDescent="0.25">
      <c r="AJ3344" t="str">
        <f>IF(AI3344="", "", AI3344&amp;"["&amp;#REF!&amp;"]")</f>
        <v/>
      </c>
    </row>
    <row r="3345" spans="36:36" ht="12" customHeight="1" x14ac:dyDescent="0.25">
      <c r="AJ3345" t="str">
        <f>IF(AI3345="", "", AI3345&amp;"["&amp;#REF!&amp;"]")</f>
        <v/>
      </c>
    </row>
    <row r="3346" spans="36:36" ht="12" customHeight="1" x14ac:dyDescent="0.25">
      <c r="AJ3346" t="str">
        <f>IF(AI3346="", "", AI3346&amp;"["&amp;#REF!&amp;"]")</f>
        <v/>
      </c>
    </row>
    <row r="3347" spans="36:36" ht="12" customHeight="1" x14ac:dyDescent="0.25">
      <c r="AJ3347" t="str">
        <f>IF(AI3347="", "", AI3347&amp;"["&amp;#REF!&amp;"]")</f>
        <v/>
      </c>
    </row>
    <row r="3348" spans="36:36" ht="12" customHeight="1" x14ac:dyDescent="0.25">
      <c r="AJ3348" t="str">
        <f>IF(AI3348="", "", AI3348&amp;"["&amp;#REF!&amp;"]")</f>
        <v/>
      </c>
    </row>
    <row r="3349" spans="36:36" ht="12" customHeight="1" x14ac:dyDescent="0.25">
      <c r="AJ3349" t="str">
        <f>IF(AI3349="", "", AI3349&amp;"["&amp;#REF!&amp;"]")</f>
        <v/>
      </c>
    </row>
    <row r="3350" spans="36:36" ht="12" customHeight="1" x14ac:dyDescent="0.25">
      <c r="AJ3350" t="str">
        <f>IF(AI3350="", "", AI3350&amp;"["&amp;#REF!&amp;"]")</f>
        <v/>
      </c>
    </row>
    <row r="3351" spans="36:36" ht="12" customHeight="1" x14ac:dyDescent="0.25">
      <c r="AJ3351" t="str">
        <f>IF(AI3351="", "", AI3351&amp;"["&amp;#REF!&amp;"]")</f>
        <v/>
      </c>
    </row>
    <row r="3352" spans="36:36" ht="12" customHeight="1" x14ac:dyDescent="0.25">
      <c r="AJ3352" t="str">
        <f>IF(AI3352="", "", AI3352&amp;"["&amp;#REF!&amp;"]")</f>
        <v/>
      </c>
    </row>
    <row r="3353" spans="36:36" ht="12" customHeight="1" x14ac:dyDescent="0.25">
      <c r="AJ3353" t="str">
        <f>IF(AI3353="", "", AI3353&amp;"["&amp;#REF!&amp;"]")</f>
        <v/>
      </c>
    </row>
    <row r="3354" spans="36:36" ht="12" customHeight="1" x14ac:dyDescent="0.25">
      <c r="AJ3354" t="str">
        <f>IF(AI3354="", "", AI3354&amp;"["&amp;#REF!&amp;"]")</f>
        <v/>
      </c>
    </row>
    <row r="3355" spans="36:36" ht="12" customHeight="1" x14ac:dyDescent="0.25">
      <c r="AJ3355" t="str">
        <f>IF(AI3355="", "", AI3355&amp;"["&amp;#REF!&amp;"]")</f>
        <v/>
      </c>
    </row>
    <row r="3356" spans="36:36" ht="12" customHeight="1" x14ac:dyDescent="0.25">
      <c r="AJ3356" t="str">
        <f>IF(AI3356="", "", AI3356&amp;"["&amp;#REF!&amp;"]")</f>
        <v/>
      </c>
    </row>
    <row r="3357" spans="36:36" ht="12" customHeight="1" x14ac:dyDescent="0.25">
      <c r="AJ3357" t="str">
        <f>IF(AI3357="", "", AI3357&amp;"["&amp;#REF!&amp;"]")</f>
        <v/>
      </c>
    </row>
    <row r="3358" spans="36:36" ht="12" customHeight="1" x14ac:dyDescent="0.25">
      <c r="AJ3358" t="str">
        <f>IF(AI3358="", "", AI3358&amp;"["&amp;#REF!&amp;"]")</f>
        <v/>
      </c>
    </row>
    <row r="3359" spans="36:36" ht="12" customHeight="1" x14ac:dyDescent="0.25">
      <c r="AJ3359" t="str">
        <f>IF(AI3359="", "", AI3359&amp;"["&amp;#REF!&amp;"]")</f>
        <v/>
      </c>
    </row>
    <row r="3360" spans="36:36" ht="12" customHeight="1" x14ac:dyDescent="0.25">
      <c r="AJ3360" t="str">
        <f>IF(AI3360="", "", AI3360&amp;"["&amp;#REF!&amp;"]")</f>
        <v/>
      </c>
    </row>
    <row r="3361" spans="36:36" ht="12" customHeight="1" x14ac:dyDescent="0.25">
      <c r="AJ3361" t="str">
        <f>IF(AI3361="", "", AI3361&amp;"["&amp;#REF!&amp;"]")</f>
        <v/>
      </c>
    </row>
    <row r="3362" spans="36:36" ht="12" customHeight="1" x14ac:dyDescent="0.25">
      <c r="AJ3362" t="str">
        <f>IF(AI3362="", "", AI3362&amp;"["&amp;#REF!&amp;"]")</f>
        <v/>
      </c>
    </row>
    <row r="3363" spans="36:36" ht="12" customHeight="1" x14ac:dyDescent="0.25">
      <c r="AJ3363" t="str">
        <f>IF(AI3363="", "", AI3363&amp;"["&amp;#REF!&amp;"]")</f>
        <v/>
      </c>
    </row>
    <row r="3364" spans="36:36" ht="12" customHeight="1" x14ac:dyDescent="0.25">
      <c r="AJ3364" t="str">
        <f>IF(AI3364="", "", AI3364&amp;"["&amp;#REF!&amp;"]")</f>
        <v/>
      </c>
    </row>
    <row r="3365" spans="36:36" ht="12" customHeight="1" x14ac:dyDescent="0.25">
      <c r="AJ3365" t="str">
        <f>IF(AI3365="", "", AI3365&amp;"["&amp;#REF!&amp;"]")</f>
        <v/>
      </c>
    </row>
    <row r="3366" spans="36:36" ht="12" customHeight="1" x14ac:dyDescent="0.25">
      <c r="AJ3366" t="str">
        <f>IF(AI3366="", "", AI3366&amp;"["&amp;#REF!&amp;"]")</f>
        <v/>
      </c>
    </row>
    <row r="3367" spans="36:36" ht="12" customHeight="1" x14ac:dyDescent="0.25">
      <c r="AJ3367" t="str">
        <f>IF(AI3367="", "", AI3367&amp;"["&amp;#REF!&amp;"]")</f>
        <v/>
      </c>
    </row>
    <row r="3368" spans="36:36" ht="12" customHeight="1" x14ac:dyDescent="0.25">
      <c r="AJ3368" t="str">
        <f>IF(AI3368="", "", AI3368&amp;"["&amp;#REF!&amp;"]")</f>
        <v/>
      </c>
    </row>
    <row r="3369" spans="36:36" ht="12" customHeight="1" x14ac:dyDescent="0.25">
      <c r="AJ3369" t="str">
        <f>IF(AI3369="", "", AI3369&amp;"["&amp;#REF!&amp;"]")</f>
        <v/>
      </c>
    </row>
    <row r="3370" spans="36:36" ht="12" customHeight="1" x14ac:dyDescent="0.25">
      <c r="AJ3370" t="str">
        <f>IF(AI3370="", "", AI3370&amp;"["&amp;#REF!&amp;"]")</f>
        <v/>
      </c>
    </row>
    <row r="3371" spans="36:36" ht="12" customHeight="1" x14ac:dyDescent="0.25">
      <c r="AJ3371" t="str">
        <f>IF(AI3371="", "", AI3371&amp;"["&amp;#REF!&amp;"]")</f>
        <v/>
      </c>
    </row>
    <row r="3372" spans="36:36" ht="12" customHeight="1" x14ac:dyDescent="0.25">
      <c r="AJ3372" t="str">
        <f>IF(AI3372="", "", AI3372&amp;"["&amp;#REF!&amp;"]")</f>
        <v/>
      </c>
    </row>
    <row r="3373" spans="36:36" ht="12" customHeight="1" x14ac:dyDescent="0.25">
      <c r="AJ3373" t="str">
        <f>IF(AI3373="", "", AI3373&amp;"["&amp;#REF!&amp;"]")</f>
        <v/>
      </c>
    </row>
    <row r="3374" spans="36:36" ht="12" customHeight="1" x14ac:dyDescent="0.25">
      <c r="AJ3374" t="str">
        <f>IF(AI3374="", "", AI3374&amp;"["&amp;#REF!&amp;"]")</f>
        <v/>
      </c>
    </row>
    <row r="3375" spans="36:36" ht="12" customHeight="1" x14ac:dyDescent="0.25">
      <c r="AJ3375" t="str">
        <f>IF(AI3375="", "", AI3375&amp;"["&amp;#REF!&amp;"]")</f>
        <v/>
      </c>
    </row>
    <row r="3376" spans="36:36" ht="12" customHeight="1" x14ac:dyDescent="0.25">
      <c r="AJ3376" t="str">
        <f>IF(AI3376="", "", AI3376&amp;"["&amp;#REF!&amp;"]")</f>
        <v/>
      </c>
    </row>
    <row r="3377" spans="36:36" ht="12" customHeight="1" x14ac:dyDescent="0.25">
      <c r="AJ3377" t="str">
        <f>IF(AI3377="", "", AI3377&amp;"["&amp;#REF!&amp;"]")</f>
        <v/>
      </c>
    </row>
    <row r="3378" spans="36:36" ht="12" customHeight="1" x14ac:dyDescent="0.25">
      <c r="AJ3378" t="str">
        <f>IF(AI3378="", "", AI3378&amp;"["&amp;#REF!&amp;"]")</f>
        <v/>
      </c>
    </row>
    <row r="3379" spans="36:36" ht="12" customHeight="1" x14ac:dyDescent="0.25">
      <c r="AJ3379" t="str">
        <f>IF(AI3379="", "", AI3379&amp;"["&amp;#REF!&amp;"]")</f>
        <v/>
      </c>
    </row>
    <row r="3380" spans="36:36" ht="12" customHeight="1" x14ac:dyDescent="0.25">
      <c r="AJ3380" t="str">
        <f>IF(AI3380="", "", AI3380&amp;"["&amp;#REF!&amp;"]")</f>
        <v/>
      </c>
    </row>
    <row r="3381" spans="36:36" ht="12" customHeight="1" x14ac:dyDescent="0.25">
      <c r="AJ3381" t="str">
        <f>IF(AI3381="", "", AI3381&amp;"["&amp;#REF!&amp;"]")</f>
        <v/>
      </c>
    </row>
    <row r="3382" spans="36:36" ht="12" customHeight="1" x14ac:dyDescent="0.25">
      <c r="AJ3382" t="str">
        <f>IF(AI3382="", "", AI3382&amp;"["&amp;#REF!&amp;"]")</f>
        <v/>
      </c>
    </row>
    <row r="3383" spans="36:36" ht="12" customHeight="1" x14ac:dyDescent="0.25">
      <c r="AJ3383" t="str">
        <f>IF(AI3383="", "", AI3383&amp;"["&amp;#REF!&amp;"]")</f>
        <v/>
      </c>
    </row>
    <row r="3384" spans="36:36" ht="12" customHeight="1" x14ac:dyDescent="0.25">
      <c r="AJ3384" t="str">
        <f>IF(AI3384="", "", AI3384&amp;"["&amp;#REF!&amp;"]")</f>
        <v/>
      </c>
    </row>
    <row r="3385" spans="36:36" ht="12" customHeight="1" x14ac:dyDescent="0.25">
      <c r="AJ3385" t="str">
        <f>IF(AI3385="", "", AI3385&amp;"["&amp;#REF!&amp;"]")</f>
        <v/>
      </c>
    </row>
    <row r="3386" spans="36:36" ht="12" customHeight="1" x14ac:dyDescent="0.25">
      <c r="AJ3386" t="str">
        <f>IF(AI3386="", "", AI3386&amp;"["&amp;#REF!&amp;"]")</f>
        <v/>
      </c>
    </row>
    <row r="3387" spans="36:36" ht="12" customHeight="1" x14ac:dyDescent="0.25">
      <c r="AJ3387" t="str">
        <f>IF(AI3387="", "", AI3387&amp;"["&amp;#REF!&amp;"]")</f>
        <v/>
      </c>
    </row>
    <row r="3388" spans="36:36" ht="12" customHeight="1" x14ac:dyDescent="0.25">
      <c r="AJ3388" t="str">
        <f>IF(AI3388="", "", AI3388&amp;"["&amp;#REF!&amp;"]")</f>
        <v/>
      </c>
    </row>
    <row r="3389" spans="36:36" ht="12" customHeight="1" x14ac:dyDescent="0.25">
      <c r="AJ3389" t="str">
        <f>IF(AI3389="", "", AI3389&amp;"["&amp;#REF!&amp;"]")</f>
        <v/>
      </c>
    </row>
    <row r="3390" spans="36:36" ht="12" customHeight="1" x14ac:dyDescent="0.25">
      <c r="AJ3390" t="str">
        <f>IF(AI3390="", "", AI3390&amp;"["&amp;#REF!&amp;"]")</f>
        <v/>
      </c>
    </row>
    <row r="3391" spans="36:36" ht="12" customHeight="1" x14ac:dyDescent="0.25">
      <c r="AJ3391" t="str">
        <f>IF(AI3391="", "", AI3391&amp;"["&amp;#REF!&amp;"]")</f>
        <v/>
      </c>
    </row>
    <row r="3392" spans="36:36" ht="12" customHeight="1" x14ac:dyDescent="0.25">
      <c r="AJ3392" t="str">
        <f>IF(AI3392="", "", AI3392&amp;"["&amp;#REF!&amp;"]")</f>
        <v/>
      </c>
    </row>
    <row r="3393" spans="36:36" ht="12" customHeight="1" x14ac:dyDescent="0.25">
      <c r="AJ3393" t="str">
        <f>IF(AI3393="", "", AI3393&amp;"["&amp;#REF!&amp;"]")</f>
        <v/>
      </c>
    </row>
    <row r="3394" spans="36:36" ht="12" customHeight="1" x14ac:dyDescent="0.25">
      <c r="AJ3394" t="str">
        <f>IF(AI3394="", "", AI3394&amp;"["&amp;#REF!&amp;"]")</f>
        <v/>
      </c>
    </row>
    <row r="3395" spans="36:36" ht="12" customHeight="1" x14ac:dyDescent="0.25">
      <c r="AJ3395" t="str">
        <f>IF(AI3395="", "", AI3395&amp;"["&amp;#REF!&amp;"]")</f>
        <v/>
      </c>
    </row>
    <row r="3396" spans="36:36" ht="12" customHeight="1" x14ac:dyDescent="0.25">
      <c r="AJ3396" t="str">
        <f>IF(AI3396="", "", AI3396&amp;"["&amp;#REF!&amp;"]")</f>
        <v/>
      </c>
    </row>
    <row r="3397" spans="36:36" ht="12" customHeight="1" x14ac:dyDescent="0.25">
      <c r="AJ3397" t="str">
        <f>IF(AI3397="", "", AI3397&amp;"["&amp;#REF!&amp;"]")</f>
        <v/>
      </c>
    </row>
    <row r="3398" spans="36:36" ht="12" customHeight="1" x14ac:dyDescent="0.25">
      <c r="AJ3398" t="str">
        <f>IF(AI3398="", "", AI3398&amp;"["&amp;#REF!&amp;"]")</f>
        <v/>
      </c>
    </row>
    <row r="3399" spans="36:36" ht="12" customHeight="1" x14ac:dyDescent="0.25">
      <c r="AJ3399" t="str">
        <f>IF(AI3399="", "", AI3399&amp;"["&amp;#REF!&amp;"]")</f>
        <v/>
      </c>
    </row>
    <row r="3400" spans="36:36" ht="12" customHeight="1" x14ac:dyDescent="0.25">
      <c r="AJ3400" t="str">
        <f>IF(AI3400="", "", AI3400&amp;"["&amp;#REF!&amp;"]")</f>
        <v/>
      </c>
    </row>
    <row r="3401" spans="36:36" ht="12" customHeight="1" x14ac:dyDescent="0.25">
      <c r="AJ3401" t="str">
        <f>IF(AI3401="", "", AI3401&amp;"["&amp;#REF!&amp;"]")</f>
        <v/>
      </c>
    </row>
    <row r="3402" spans="36:36" ht="12" customHeight="1" x14ac:dyDescent="0.25">
      <c r="AJ3402" t="str">
        <f>IF(AI3402="", "", AI3402&amp;"["&amp;#REF!&amp;"]")</f>
        <v/>
      </c>
    </row>
    <row r="3403" spans="36:36" ht="12" customHeight="1" x14ac:dyDescent="0.25">
      <c r="AJ3403" t="str">
        <f>IF(AI3403="", "", AI3403&amp;"["&amp;#REF!&amp;"]")</f>
        <v/>
      </c>
    </row>
    <row r="3404" spans="36:36" ht="12" customHeight="1" x14ac:dyDescent="0.25">
      <c r="AJ3404" t="str">
        <f>IF(AI3404="", "", AI3404&amp;"["&amp;#REF!&amp;"]")</f>
        <v/>
      </c>
    </row>
    <row r="3405" spans="36:36" ht="12" customHeight="1" x14ac:dyDescent="0.25">
      <c r="AJ3405" t="str">
        <f>IF(AI3405="", "", AI3405&amp;"["&amp;#REF!&amp;"]")</f>
        <v/>
      </c>
    </row>
    <row r="3406" spans="36:36" ht="12" customHeight="1" x14ac:dyDescent="0.25">
      <c r="AJ3406" t="str">
        <f>IF(AI3406="", "", AI3406&amp;"["&amp;#REF!&amp;"]")</f>
        <v/>
      </c>
    </row>
    <row r="3407" spans="36:36" ht="12" customHeight="1" x14ac:dyDescent="0.25">
      <c r="AJ3407" t="str">
        <f>IF(AI3407="", "", AI3407&amp;"["&amp;#REF!&amp;"]")</f>
        <v/>
      </c>
    </row>
    <row r="3408" spans="36:36" ht="12" customHeight="1" x14ac:dyDescent="0.25">
      <c r="AJ3408" t="str">
        <f>IF(AI3408="", "", AI3408&amp;"["&amp;#REF!&amp;"]")</f>
        <v/>
      </c>
    </row>
    <row r="3409" spans="36:36" ht="12" customHeight="1" x14ac:dyDescent="0.25">
      <c r="AJ3409" t="str">
        <f>IF(AI3409="", "", AI3409&amp;"["&amp;#REF!&amp;"]")</f>
        <v/>
      </c>
    </row>
    <row r="3410" spans="36:36" ht="12" customHeight="1" x14ac:dyDescent="0.25">
      <c r="AJ3410" t="str">
        <f>IF(AI3410="", "", AI3410&amp;"["&amp;#REF!&amp;"]")</f>
        <v/>
      </c>
    </row>
    <row r="3411" spans="36:36" ht="12" customHeight="1" x14ac:dyDescent="0.25">
      <c r="AJ3411" t="str">
        <f>IF(AI3411="", "", AI3411&amp;"["&amp;#REF!&amp;"]")</f>
        <v/>
      </c>
    </row>
    <row r="3412" spans="36:36" ht="12" customHeight="1" x14ac:dyDescent="0.25">
      <c r="AJ3412" t="str">
        <f>IF(AI3412="", "", AI3412&amp;"["&amp;#REF!&amp;"]")</f>
        <v/>
      </c>
    </row>
    <row r="3413" spans="36:36" ht="12" customHeight="1" x14ac:dyDescent="0.25">
      <c r="AJ3413" t="str">
        <f>IF(AI3413="", "", AI3413&amp;"["&amp;#REF!&amp;"]")</f>
        <v/>
      </c>
    </row>
    <row r="3414" spans="36:36" ht="12" customHeight="1" x14ac:dyDescent="0.25">
      <c r="AJ3414" t="str">
        <f>IF(AI3414="", "", AI3414&amp;"["&amp;#REF!&amp;"]")</f>
        <v/>
      </c>
    </row>
    <row r="3415" spans="36:36" ht="12" customHeight="1" x14ac:dyDescent="0.25">
      <c r="AJ3415" t="str">
        <f>IF(AI3415="", "", AI3415&amp;"["&amp;#REF!&amp;"]")</f>
        <v/>
      </c>
    </row>
    <row r="3416" spans="36:36" ht="12" customHeight="1" x14ac:dyDescent="0.25">
      <c r="AJ3416" t="str">
        <f>IF(AI3416="", "", AI3416&amp;"["&amp;#REF!&amp;"]")</f>
        <v/>
      </c>
    </row>
    <row r="3417" spans="36:36" ht="12" customHeight="1" x14ac:dyDescent="0.25">
      <c r="AJ3417" t="str">
        <f>IF(AI3417="", "", AI3417&amp;"["&amp;#REF!&amp;"]")</f>
        <v/>
      </c>
    </row>
    <row r="3418" spans="36:36" ht="12" customHeight="1" x14ac:dyDescent="0.25">
      <c r="AJ3418" t="str">
        <f>IF(AI3418="", "", AI3418&amp;"["&amp;#REF!&amp;"]")</f>
        <v/>
      </c>
    </row>
    <row r="3419" spans="36:36" ht="12" customHeight="1" x14ac:dyDescent="0.25">
      <c r="AJ3419" t="str">
        <f>IF(AI3419="", "", AI3419&amp;"["&amp;#REF!&amp;"]")</f>
        <v/>
      </c>
    </row>
    <row r="3420" spans="36:36" ht="12" customHeight="1" x14ac:dyDescent="0.25">
      <c r="AJ3420" t="str">
        <f>IF(AI3420="", "", AI3420&amp;"["&amp;#REF!&amp;"]")</f>
        <v/>
      </c>
    </row>
    <row r="3421" spans="36:36" ht="12" customHeight="1" x14ac:dyDescent="0.25">
      <c r="AJ3421" t="str">
        <f>IF(AI3421="", "", AI3421&amp;"["&amp;#REF!&amp;"]")</f>
        <v/>
      </c>
    </row>
    <row r="3422" spans="36:36" ht="12" customHeight="1" x14ac:dyDescent="0.25">
      <c r="AJ3422" t="str">
        <f>IF(AI3422="", "", AI3422&amp;"["&amp;#REF!&amp;"]")</f>
        <v/>
      </c>
    </row>
    <row r="3423" spans="36:36" ht="12" customHeight="1" x14ac:dyDescent="0.25">
      <c r="AJ3423" t="str">
        <f>IF(AI3423="", "", AI3423&amp;"["&amp;#REF!&amp;"]")</f>
        <v/>
      </c>
    </row>
    <row r="3424" spans="36:36" ht="12" customHeight="1" x14ac:dyDescent="0.25">
      <c r="AJ3424" t="str">
        <f>IF(AI3424="", "", AI3424&amp;"["&amp;#REF!&amp;"]")</f>
        <v/>
      </c>
    </row>
    <row r="3425" spans="36:36" ht="12" customHeight="1" x14ac:dyDescent="0.25">
      <c r="AJ3425" t="str">
        <f>IF(AI3425="", "", AI3425&amp;"["&amp;#REF!&amp;"]")</f>
        <v/>
      </c>
    </row>
    <row r="3426" spans="36:36" ht="12" customHeight="1" x14ac:dyDescent="0.25">
      <c r="AJ3426" t="str">
        <f>IF(AI3426="", "", AI3426&amp;"["&amp;#REF!&amp;"]")</f>
        <v/>
      </c>
    </row>
    <row r="3427" spans="36:36" ht="12" customHeight="1" x14ac:dyDescent="0.25">
      <c r="AJ3427" t="str">
        <f>IF(AI3427="", "", AI3427&amp;"["&amp;#REF!&amp;"]")</f>
        <v/>
      </c>
    </row>
    <row r="3428" spans="36:36" ht="12" customHeight="1" x14ac:dyDescent="0.25">
      <c r="AJ3428" t="str">
        <f>IF(AI3428="", "", AI3428&amp;"["&amp;#REF!&amp;"]")</f>
        <v/>
      </c>
    </row>
    <row r="3429" spans="36:36" ht="12" customHeight="1" x14ac:dyDescent="0.25">
      <c r="AJ3429" t="str">
        <f>IF(AI3429="", "", AI3429&amp;"["&amp;#REF!&amp;"]")</f>
        <v/>
      </c>
    </row>
    <row r="3430" spans="36:36" ht="12" customHeight="1" x14ac:dyDescent="0.25">
      <c r="AJ3430" t="str">
        <f>IF(AI3430="", "", AI3430&amp;"["&amp;#REF!&amp;"]")</f>
        <v/>
      </c>
    </row>
    <row r="3431" spans="36:36" ht="12" customHeight="1" x14ac:dyDescent="0.25">
      <c r="AJ3431" t="str">
        <f>IF(AI3431="", "", AI3431&amp;"["&amp;#REF!&amp;"]")</f>
        <v/>
      </c>
    </row>
    <row r="3432" spans="36:36" ht="12" customHeight="1" x14ac:dyDescent="0.25">
      <c r="AJ3432" t="str">
        <f>IF(AI3432="", "", AI3432&amp;"["&amp;#REF!&amp;"]")</f>
        <v/>
      </c>
    </row>
    <row r="3433" spans="36:36" ht="12" customHeight="1" x14ac:dyDescent="0.25">
      <c r="AJ3433" t="str">
        <f>IF(AI3433="", "", AI3433&amp;"["&amp;#REF!&amp;"]")</f>
        <v/>
      </c>
    </row>
    <row r="3434" spans="36:36" ht="12" customHeight="1" x14ac:dyDescent="0.25">
      <c r="AJ3434" t="str">
        <f>IF(AI3434="", "", AI3434&amp;"["&amp;#REF!&amp;"]")</f>
        <v/>
      </c>
    </row>
    <row r="3435" spans="36:36" ht="12" customHeight="1" x14ac:dyDescent="0.25">
      <c r="AJ3435" t="str">
        <f>IF(AI3435="", "", AI3435&amp;"["&amp;#REF!&amp;"]")</f>
        <v/>
      </c>
    </row>
    <row r="3436" spans="36:36" ht="12" customHeight="1" x14ac:dyDescent="0.25">
      <c r="AJ3436" t="str">
        <f>IF(AI3436="", "", AI3436&amp;"["&amp;#REF!&amp;"]")</f>
        <v/>
      </c>
    </row>
    <row r="3437" spans="36:36" ht="12" customHeight="1" x14ac:dyDescent="0.25">
      <c r="AJ3437" t="str">
        <f>IF(AI3437="", "", AI3437&amp;"["&amp;#REF!&amp;"]")</f>
        <v/>
      </c>
    </row>
    <row r="3438" spans="36:36" ht="12" customHeight="1" x14ac:dyDescent="0.25">
      <c r="AJ3438" t="str">
        <f>IF(AI3438="", "", AI3438&amp;"["&amp;#REF!&amp;"]")</f>
        <v/>
      </c>
    </row>
    <row r="3439" spans="36:36" ht="12" customHeight="1" x14ac:dyDescent="0.25">
      <c r="AJ3439" t="str">
        <f>IF(AI3439="", "", AI3439&amp;"["&amp;#REF!&amp;"]")</f>
        <v/>
      </c>
    </row>
    <row r="3440" spans="36:36" ht="12" customHeight="1" x14ac:dyDescent="0.25">
      <c r="AJ3440" t="str">
        <f>IF(AI3440="", "", AI3440&amp;"["&amp;#REF!&amp;"]")</f>
        <v/>
      </c>
    </row>
    <row r="3441" spans="36:36" ht="12" customHeight="1" x14ac:dyDescent="0.25">
      <c r="AJ3441" t="str">
        <f>IF(AI3441="", "", AI3441&amp;"["&amp;#REF!&amp;"]")</f>
        <v/>
      </c>
    </row>
    <row r="3442" spans="36:36" ht="12" customHeight="1" x14ac:dyDescent="0.25">
      <c r="AJ3442" t="str">
        <f>IF(AI3442="", "", AI3442&amp;"["&amp;#REF!&amp;"]")</f>
        <v/>
      </c>
    </row>
    <row r="3443" spans="36:36" ht="12" customHeight="1" x14ac:dyDescent="0.25">
      <c r="AJ3443" t="str">
        <f>IF(AI3443="", "", AI3443&amp;"["&amp;#REF!&amp;"]")</f>
        <v/>
      </c>
    </row>
    <row r="3444" spans="36:36" ht="12" customHeight="1" x14ac:dyDescent="0.25">
      <c r="AJ3444" t="str">
        <f>IF(AI3444="", "", AI3444&amp;"["&amp;#REF!&amp;"]")</f>
        <v/>
      </c>
    </row>
    <row r="3445" spans="36:36" ht="12" customHeight="1" x14ac:dyDescent="0.25">
      <c r="AJ3445" t="str">
        <f>IF(AI3445="", "", AI3445&amp;"["&amp;#REF!&amp;"]")</f>
        <v/>
      </c>
    </row>
    <row r="3446" spans="36:36" ht="12" customHeight="1" x14ac:dyDescent="0.25">
      <c r="AJ3446" t="str">
        <f>IF(AI3446="", "", AI3446&amp;"["&amp;#REF!&amp;"]")</f>
        <v/>
      </c>
    </row>
    <row r="3447" spans="36:36" ht="12" customHeight="1" x14ac:dyDescent="0.25">
      <c r="AJ3447" t="str">
        <f>IF(AI3447="", "", AI3447&amp;"["&amp;#REF!&amp;"]")</f>
        <v/>
      </c>
    </row>
    <row r="3448" spans="36:36" ht="12" customHeight="1" x14ac:dyDescent="0.25">
      <c r="AJ3448" t="str">
        <f>IF(AI3448="", "", AI3448&amp;"["&amp;#REF!&amp;"]")</f>
        <v/>
      </c>
    </row>
    <row r="3449" spans="36:36" ht="12" customHeight="1" x14ac:dyDescent="0.25">
      <c r="AJ3449" t="str">
        <f>IF(AI3449="", "", AI3449&amp;"["&amp;#REF!&amp;"]")</f>
        <v/>
      </c>
    </row>
    <row r="3450" spans="36:36" ht="12" customHeight="1" x14ac:dyDescent="0.25">
      <c r="AJ3450" t="str">
        <f>IF(AI3450="", "", AI3450&amp;"["&amp;#REF!&amp;"]")</f>
        <v/>
      </c>
    </row>
    <row r="3451" spans="36:36" ht="12" customHeight="1" x14ac:dyDescent="0.25">
      <c r="AJ3451" t="str">
        <f>IF(AI3451="", "", AI3451&amp;"["&amp;#REF!&amp;"]")</f>
        <v/>
      </c>
    </row>
    <row r="3452" spans="36:36" ht="12" customHeight="1" x14ac:dyDescent="0.25">
      <c r="AJ3452" t="str">
        <f>IF(AI3452="", "", AI3452&amp;"["&amp;#REF!&amp;"]")</f>
        <v/>
      </c>
    </row>
    <row r="3453" spans="36:36" ht="12" customHeight="1" x14ac:dyDescent="0.25">
      <c r="AJ3453" t="str">
        <f>IF(AI3453="", "", AI3453&amp;"["&amp;#REF!&amp;"]")</f>
        <v/>
      </c>
    </row>
    <row r="3454" spans="36:36" ht="12" customHeight="1" x14ac:dyDescent="0.25">
      <c r="AJ3454" t="str">
        <f>IF(AI3454="", "", AI3454&amp;"["&amp;#REF!&amp;"]")</f>
        <v/>
      </c>
    </row>
    <row r="3455" spans="36:36" ht="12" customHeight="1" x14ac:dyDescent="0.25">
      <c r="AJ3455" t="str">
        <f>IF(AI3455="", "", AI3455&amp;"["&amp;#REF!&amp;"]")</f>
        <v/>
      </c>
    </row>
    <row r="3456" spans="36:36" ht="12" customHeight="1" x14ac:dyDescent="0.25">
      <c r="AJ3456" t="str">
        <f>IF(AI3456="", "", AI3456&amp;"["&amp;#REF!&amp;"]")</f>
        <v/>
      </c>
    </row>
    <row r="3457" spans="36:36" ht="12" customHeight="1" x14ac:dyDescent="0.25">
      <c r="AJ3457" t="str">
        <f>IF(AI3457="", "", AI3457&amp;"["&amp;#REF!&amp;"]")</f>
        <v/>
      </c>
    </row>
    <row r="3458" spans="36:36" ht="12" customHeight="1" x14ac:dyDescent="0.25">
      <c r="AJ3458" t="str">
        <f>IF(AI3458="", "", AI3458&amp;"["&amp;#REF!&amp;"]")</f>
        <v/>
      </c>
    </row>
    <row r="3459" spans="36:36" ht="12" customHeight="1" x14ac:dyDescent="0.25">
      <c r="AJ3459" t="str">
        <f>IF(AI3459="", "", AI3459&amp;"["&amp;#REF!&amp;"]")</f>
        <v/>
      </c>
    </row>
    <row r="3460" spans="36:36" ht="12" customHeight="1" x14ac:dyDescent="0.25">
      <c r="AJ3460" t="str">
        <f>IF(AI3460="", "", AI3460&amp;"["&amp;#REF!&amp;"]")</f>
        <v/>
      </c>
    </row>
    <row r="3461" spans="36:36" ht="12" customHeight="1" x14ac:dyDescent="0.25">
      <c r="AJ3461" t="str">
        <f>IF(AI3461="", "", AI3461&amp;"["&amp;#REF!&amp;"]")</f>
        <v/>
      </c>
    </row>
    <row r="3462" spans="36:36" ht="12" customHeight="1" x14ac:dyDescent="0.25">
      <c r="AJ3462" t="str">
        <f>IF(AI3462="", "", AI3462&amp;"["&amp;#REF!&amp;"]")</f>
        <v/>
      </c>
    </row>
    <row r="3463" spans="36:36" ht="12" customHeight="1" x14ac:dyDescent="0.25">
      <c r="AJ3463" t="str">
        <f>IF(AI3463="", "", AI3463&amp;"["&amp;#REF!&amp;"]")</f>
        <v/>
      </c>
    </row>
    <row r="3464" spans="36:36" ht="12" customHeight="1" x14ac:dyDescent="0.25">
      <c r="AJ3464" t="str">
        <f>IF(AI3464="", "", AI3464&amp;"["&amp;#REF!&amp;"]")</f>
        <v/>
      </c>
    </row>
    <row r="3465" spans="36:36" ht="12" customHeight="1" x14ac:dyDescent="0.25">
      <c r="AJ3465" t="str">
        <f>IF(AI3465="", "", AI3465&amp;"["&amp;#REF!&amp;"]")</f>
        <v/>
      </c>
    </row>
    <row r="3466" spans="36:36" ht="12" customHeight="1" x14ac:dyDescent="0.25">
      <c r="AJ3466" t="str">
        <f>IF(AI3466="", "", AI3466&amp;"["&amp;#REF!&amp;"]")</f>
        <v/>
      </c>
    </row>
    <row r="3467" spans="36:36" ht="12" customHeight="1" x14ac:dyDescent="0.25">
      <c r="AJ3467" t="str">
        <f>IF(AI3467="", "", AI3467&amp;"["&amp;#REF!&amp;"]")</f>
        <v/>
      </c>
    </row>
    <row r="3468" spans="36:36" ht="12" customHeight="1" x14ac:dyDescent="0.25">
      <c r="AJ3468" t="str">
        <f>IF(AI3468="", "", AI3468&amp;"["&amp;#REF!&amp;"]")</f>
        <v/>
      </c>
    </row>
    <row r="3469" spans="36:36" ht="12" customHeight="1" x14ac:dyDescent="0.25">
      <c r="AJ3469" t="str">
        <f>IF(AI3469="", "", AI3469&amp;"["&amp;#REF!&amp;"]")</f>
        <v/>
      </c>
    </row>
    <row r="3470" spans="36:36" ht="12" customHeight="1" x14ac:dyDescent="0.25">
      <c r="AJ3470" t="str">
        <f>IF(AI3470="", "", AI3470&amp;"["&amp;#REF!&amp;"]")</f>
        <v/>
      </c>
    </row>
    <row r="3471" spans="36:36" ht="12" customHeight="1" x14ac:dyDescent="0.25">
      <c r="AJ3471" t="str">
        <f>IF(AI3471="", "", AI3471&amp;"["&amp;#REF!&amp;"]")</f>
        <v/>
      </c>
    </row>
    <row r="3472" spans="36:36" ht="12" customHeight="1" x14ac:dyDescent="0.25">
      <c r="AJ3472" t="str">
        <f>IF(AI3472="", "", AI3472&amp;"["&amp;#REF!&amp;"]")</f>
        <v/>
      </c>
    </row>
    <row r="3473" spans="36:36" ht="12" customHeight="1" x14ac:dyDescent="0.25">
      <c r="AJ3473" t="str">
        <f>IF(AI3473="", "", AI3473&amp;"["&amp;#REF!&amp;"]")</f>
        <v/>
      </c>
    </row>
    <row r="3474" spans="36:36" ht="12" customHeight="1" x14ac:dyDescent="0.25">
      <c r="AJ3474" t="str">
        <f>IF(AI3474="", "", AI3474&amp;"["&amp;#REF!&amp;"]")</f>
        <v/>
      </c>
    </row>
    <row r="3475" spans="36:36" ht="12" customHeight="1" x14ac:dyDescent="0.25">
      <c r="AJ3475" t="str">
        <f>IF(AI3475="", "", AI3475&amp;"["&amp;#REF!&amp;"]")</f>
        <v/>
      </c>
    </row>
    <row r="3476" spans="36:36" ht="12" customHeight="1" x14ac:dyDescent="0.25">
      <c r="AJ3476" t="str">
        <f>IF(AI3476="", "", AI3476&amp;"["&amp;#REF!&amp;"]")</f>
        <v/>
      </c>
    </row>
    <row r="3477" spans="36:36" ht="12" customHeight="1" x14ac:dyDescent="0.25">
      <c r="AJ3477" t="str">
        <f>IF(AI3477="", "", AI3477&amp;"["&amp;#REF!&amp;"]")</f>
        <v/>
      </c>
    </row>
    <row r="3478" spans="36:36" ht="12" customHeight="1" x14ac:dyDescent="0.25">
      <c r="AJ3478" t="str">
        <f>IF(AI3478="", "", AI3478&amp;"["&amp;#REF!&amp;"]")</f>
        <v/>
      </c>
    </row>
    <row r="3479" spans="36:36" ht="12" customHeight="1" x14ac:dyDescent="0.25">
      <c r="AJ3479" t="str">
        <f>IF(AI3479="", "", AI3479&amp;"["&amp;#REF!&amp;"]")</f>
        <v/>
      </c>
    </row>
    <row r="3480" spans="36:36" ht="12" customHeight="1" x14ac:dyDescent="0.25">
      <c r="AJ3480" t="str">
        <f>IF(AI3480="", "", AI3480&amp;"["&amp;#REF!&amp;"]")</f>
        <v/>
      </c>
    </row>
    <row r="3481" spans="36:36" ht="12" customHeight="1" x14ac:dyDescent="0.25">
      <c r="AJ3481" t="str">
        <f>IF(AI3481="", "", AI3481&amp;"["&amp;#REF!&amp;"]")</f>
        <v/>
      </c>
    </row>
    <row r="3482" spans="36:36" ht="12" customHeight="1" x14ac:dyDescent="0.25">
      <c r="AJ3482" t="str">
        <f>IF(AI3482="", "", AI3482&amp;"["&amp;#REF!&amp;"]")</f>
        <v/>
      </c>
    </row>
    <row r="3483" spans="36:36" ht="12" customHeight="1" x14ac:dyDescent="0.25">
      <c r="AJ3483" t="str">
        <f>IF(AI3483="", "", AI3483&amp;"["&amp;#REF!&amp;"]")</f>
        <v/>
      </c>
    </row>
    <row r="3484" spans="36:36" ht="12" customHeight="1" x14ac:dyDescent="0.25">
      <c r="AJ3484" t="str">
        <f>IF(AI3484="", "", AI3484&amp;"["&amp;#REF!&amp;"]")</f>
        <v/>
      </c>
    </row>
    <row r="3485" spans="36:36" ht="12" customHeight="1" x14ac:dyDescent="0.25">
      <c r="AJ3485" t="str">
        <f>IF(AI3485="", "", AI3485&amp;"["&amp;#REF!&amp;"]")</f>
        <v/>
      </c>
    </row>
    <row r="3486" spans="36:36" ht="12" customHeight="1" x14ac:dyDescent="0.25">
      <c r="AJ3486" t="str">
        <f>IF(AI3486="", "", AI3486&amp;"["&amp;#REF!&amp;"]")</f>
        <v/>
      </c>
    </row>
    <row r="3487" spans="36:36" ht="12" customHeight="1" x14ac:dyDescent="0.25">
      <c r="AJ3487" t="str">
        <f>IF(AI3487="", "", AI3487&amp;"["&amp;#REF!&amp;"]")</f>
        <v/>
      </c>
    </row>
    <row r="3488" spans="36:36" ht="12" customHeight="1" x14ac:dyDescent="0.25">
      <c r="AJ3488" t="str">
        <f>IF(AI3488="", "", AI3488&amp;"["&amp;#REF!&amp;"]")</f>
        <v/>
      </c>
    </row>
    <row r="3489" spans="36:36" ht="12" customHeight="1" x14ac:dyDescent="0.25">
      <c r="AJ3489" t="str">
        <f>IF(AI3489="", "", AI3489&amp;"["&amp;#REF!&amp;"]")</f>
        <v/>
      </c>
    </row>
  </sheetData>
  <mergeCells count="1">
    <mergeCell ref="F3:I3"/>
  </mergeCells>
  <conditionalFormatting sqref="T8:T26">
    <cfRule type="expression" dxfId="67" priority="26">
      <formula>$D8&gt;K.numStates</formula>
    </cfRule>
  </conditionalFormatting>
  <conditionalFormatting sqref="T7">
    <cfRule type="expression" dxfId="66" priority="17">
      <formula>$D7&gt;K.numStates</formula>
    </cfRule>
  </conditionalFormatting>
  <conditionalFormatting sqref="M7:M26">
    <cfRule type="expression" dxfId="65" priority="14">
      <formula>$D7&gt;AB.numStates</formula>
    </cfRule>
  </conditionalFormatting>
  <conditionalFormatting sqref="R7:R26">
    <cfRule type="expression" dxfId="64" priority="11">
      <formula>$D7&gt;D.numStates</formula>
    </cfRule>
  </conditionalFormatting>
  <conditionalFormatting sqref="O20:P26 P7:P19">
    <cfRule type="expression" dxfId="63" priority="10">
      <formula>$D7&gt;C.numStates</formula>
    </cfRule>
  </conditionalFormatting>
  <conditionalFormatting sqref="O7:O14">
    <cfRule type="expression" dxfId="62" priority="6">
      <formula>$D7&gt;C.numStates</formula>
    </cfRule>
  </conditionalFormatting>
  <conditionalFormatting sqref="O19">
    <cfRule type="expression" dxfId="61" priority="7">
      <formula>$D19&gt;C.numStates</formula>
    </cfRule>
  </conditionalFormatting>
  <conditionalFormatting sqref="O16:O18">
    <cfRule type="expression" dxfId="60" priority="8">
      <formula>$D15&gt;C.numStates</formula>
    </cfRule>
  </conditionalFormatting>
  <conditionalFormatting sqref="O15">
    <cfRule type="expression" dxfId="59" priority="9">
      <formula>$D18&gt;C.numStates</formula>
    </cfRule>
  </conditionalFormatting>
  <conditionalFormatting sqref="K7:K8">
    <cfRule type="expression" dxfId="58" priority="1">
      <formula>$D7&gt;AB.numStrats</formula>
    </cfRule>
  </conditionalFormatting>
  <dataValidations count="2">
    <dataValidation type="whole" allowBlank="1" showInputMessage="1" showErrorMessage="1" sqref="M5 R5 T5 O5" xr:uid="{00000000-0002-0000-0400-000000000000}">
      <formula1>2</formula1>
      <formula2>20</formula2>
    </dataValidation>
    <dataValidation type="whole" operator="greaterThan" allowBlank="1" showInputMessage="1" showErrorMessage="1" sqref="K5" xr:uid="{D682B19C-6E32-43CB-8A6A-7025F96F2248}">
      <formula1>0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28F7B-F6B7-45E4-809C-23CEE6540E8D}">
  <sheetPr codeName="shtParameters">
    <tabColor theme="0" tint="-0.499984740745262"/>
    <outlinePr summaryBelow="0" summaryRight="0"/>
  </sheetPr>
  <dimension ref="A1:AF1192"/>
  <sheetViews>
    <sheetView zoomScaleNormal="100" workbookViewId="0">
      <pane xSplit="13" ySplit="6" topLeftCell="N7" activePane="bottomRight" state="frozen"/>
      <selection activeCell="T7" sqref="T7"/>
      <selection pane="topRight" activeCell="T7" sqref="T7"/>
      <selection pane="bottomLeft" activeCell="T7" sqref="T7"/>
      <selection pane="bottomRight" activeCell="N7" sqref="N7"/>
    </sheetView>
  </sheetViews>
  <sheetFormatPr defaultRowHeight="12" customHeight="1" outlineLevelRow="3" outlineLevelCol="1" x14ac:dyDescent="0.25"/>
  <cols>
    <col min="1" max="1" width="1.7109375" style="6" customWidth="1" outlineLevel="1"/>
    <col min="2" max="2" width="19.7109375" style="69" customWidth="1" outlineLevel="1"/>
    <col min="3" max="3" width="1.7109375" style="9" customWidth="1" outlineLevel="1"/>
    <col min="4" max="4" width="5.5703125" style="40" hidden="1" customWidth="1" outlineLevel="1"/>
    <col min="5" max="6" width="5.5703125" hidden="1" customWidth="1" outlineLevel="1"/>
    <col min="7" max="11" width="2.85546875" style="40" hidden="1" customWidth="1" outlineLevel="1"/>
    <col min="12" max="12" width="46.85546875" style="10" customWidth="1" outlineLevel="1"/>
    <col min="13" max="13" width="15.28515625" style="11" customWidth="1"/>
    <col min="14" max="14" width="21.28515625" customWidth="1"/>
    <col min="15" max="15" width="14.7109375" style="11" customWidth="1"/>
    <col min="16" max="16" width="11.7109375" customWidth="1"/>
    <col min="17" max="17" width="16.28515625" customWidth="1" outlineLevel="1"/>
    <col min="18" max="24" width="13.28515625" customWidth="1" outlineLevel="1"/>
    <col min="25" max="25" width="54" customWidth="1" outlineLevel="1"/>
    <col min="26" max="26" width="10.7109375" customWidth="1"/>
    <col min="27" max="27" width="10.42578125" customWidth="1" outlineLevel="1"/>
    <col min="28" max="28" width="10.42578125" style="11" customWidth="1" outlineLevel="1"/>
    <col min="29" max="29" width="12.85546875" customWidth="1" outlineLevel="1"/>
    <col min="30" max="32" width="10.42578125" customWidth="1" outlineLevel="1"/>
    <col min="33" max="33" width="13.28515625" bestFit="1" customWidth="1"/>
    <col min="34" max="34" width="11" bestFit="1" customWidth="1"/>
    <col min="35" max="46" width="12" bestFit="1" customWidth="1"/>
    <col min="47" max="47" width="13.28515625" bestFit="1" customWidth="1"/>
    <col min="48" max="48" width="11" bestFit="1" customWidth="1"/>
    <col min="49" max="52" width="12" bestFit="1" customWidth="1"/>
    <col min="54" max="54" width="9.28515625" bestFit="1" customWidth="1"/>
    <col min="55" max="55" width="13.140625" bestFit="1" customWidth="1"/>
    <col min="56" max="68" width="9.28515625" bestFit="1" customWidth="1"/>
    <col min="69" max="69" width="13.140625" bestFit="1" customWidth="1"/>
    <col min="70" max="73" width="9.28515625" bestFit="1" customWidth="1"/>
  </cols>
  <sheetData>
    <row r="1" spans="1:32" s="3" customFormat="1" ht="24.95" customHeight="1" thickBot="1" x14ac:dyDescent="0.3">
      <c r="A1" s="2"/>
      <c r="B1" s="69"/>
      <c r="C1" s="2"/>
      <c r="D1" s="40"/>
      <c r="E1"/>
      <c r="F1"/>
      <c r="G1" s="40"/>
      <c r="H1" s="40"/>
      <c r="I1" s="40"/>
      <c r="J1" s="40"/>
      <c r="K1" s="40"/>
      <c r="L1" s="3" t="str">
        <f>zWorkbookTitle</f>
        <v>Camacho et al. (2024) Harms of hazardous prescribing of NSAIDs</v>
      </c>
      <c r="M1" s="5"/>
      <c r="O1" s="5"/>
      <c r="Q1" s="5"/>
      <c r="R1" s="5"/>
      <c r="S1" s="5"/>
      <c r="T1" s="5"/>
      <c r="U1" s="5"/>
      <c r="V1" s="5"/>
      <c r="W1" s="5"/>
      <c r="X1" s="5"/>
      <c r="Y1" s="5"/>
      <c r="AB1" s="5"/>
    </row>
    <row r="2" spans="1:32" s="114" customFormat="1" ht="12" customHeight="1" thickTop="1" thickBot="1" x14ac:dyDescent="0.3">
      <c r="A2" s="2"/>
      <c r="B2" s="69"/>
      <c r="C2" s="7"/>
      <c r="D2" s="40" cm="1">
        <f t="array" aca="1" ref="D2" ca="1">intLastParamRow</f>
        <v>1192</v>
      </c>
      <c r="E2"/>
      <c r="F2"/>
      <c r="G2" s="112" t="s">
        <v>753</v>
      </c>
      <c r="H2" s="112" t="s">
        <v>754</v>
      </c>
      <c r="I2" s="112" t="s">
        <v>755</v>
      </c>
      <c r="J2" s="112" t="s">
        <v>756</v>
      </c>
      <c r="K2" s="112" t="s">
        <v>757</v>
      </c>
      <c r="L2" s="446" t="s">
        <v>0</v>
      </c>
      <c r="M2" s="446" t="s">
        <v>1</v>
      </c>
      <c r="N2" s="448" t="s">
        <v>2</v>
      </c>
      <c r="O2" s="446" t="s">
        <v>3</v>
      </c>
      <c r="P2" s="446" t="s">
        <v>94</v>
      </c>
      <c r="Q2" s="440" t="s">
        <v>4</v>
      </c>
      <c r="R2" s="440"/>
      <c r="S2" s="440"/>
      <c r="T2" s="440"/>
      <c r="U2" s="440"/>
      <c r="V2" s="440"/>
      <c r="W2" s="440"/>
      <c r="X2" s="440"/>
      <c r="Y2" s="446" t="s">
        <v>27</v>
      </c>
      <c r="Z2" s="446" t="s">
        <v>93</v>
      </c>
      <c r="AA2" s="440" t="s">
        <v>5</v>
      </c>
      <c r="AB2" s="440"/>
      <c r="AC2" s="440"/>
      <c r="AD2" s="440"/>
      <c r="AE2" s="440"/>
      <c r="AF2" s="440"/>
    </row>
    <row r="3" spans="1:32" s="113" customFormat="1" ht="12" customHeight="1" thickBot="1" x14ac:dyDescent="0.3">
      <c r="A3" s="2"/>
      <c r="B3" s="69"/>
      <c r="C3" s="7"/>
      <c r="D3" s="40"/>
      <c r="E3"/>
      <c r="F3"/>
      <c r="G3" s="112" t="s">
        <v>753</v>
      </c>
      <c r="H3" s="112" t="s">
        <v>754</v>
      </c>
      <c r="I3" s="112" t="s">
        <v>756</v>
      </c>
      <c r="J3" s="112" t="s">
        <v>758</v>
      </c>
      <c r="K3" s="112" t="s">
        <v>7</v>
      </c>
      <c r="L3" s="447"/>
      <c r="M3" s="447"/>
      <c r="N3" s="447"/>
      <c r="O3" s="447"/>
      <c r="P3" s="447"/>
      <c r="Q3" s="140" t="s">
        <v>6</v>
      </c>
      <c r="R3" s="140" t="s">
        <v>7</v>
      </c>
      <c r="S3" s="140" t="s">
        <v>8</v>
      </c>
      <c r="T3" s="140" t="s">
        <v>9</v>
      </c>
      <c r="U3" s="140" t="s">
        <v>10</v>
      </c>
      <c r="V3" s="140" t="s">
        <v>11</v>
      </c>
      <c r="W3" s="140" t="s">
        <v>12</v>
      </c>
      <c r="X3" s="140" t="s">
        <v>13</v>
      </c>
      <c r="Y3" s="447"/>
      <c r="Z3" s="447"/>
      <c r="AA3" s="140" t="s">
        <v>14</v>
      </c>
      <c r="AB3" s="140" t="s">
        <v>15</v>
      </c>
      <c r="AC3" s="140" t="s">
        <v>16</v>
      </c>
      <c r="AD3" s="140" t="s">
        <v>17</v>
      </c>
      <c r="AE3" s="140" t="s">
        <v>18</v>
      </c>
      <c r="AF3" s="140" t="s">
        <v>19</v>
      </c>
    </row>
    <row r="4" spans="1:32" s="303" customFormat="1" ht="12" customHeight="1" thickBot="1" x14ac:dyDescent="0.3">
      <c r="A4" s="2"/>
      <c r="B4" s="69"/>
      <c r="C4" s="7"/>
      <c r="E4" s="165"/>
      <c r="F4" s="165"/>
      <c r="L4" s="368" t="s">
        <v>680</v>
      </c>
    </row>
    <row r="5" spans="1:32" s="13" customFormat="1" ht="12" customHeight="1" outlineLevel="1" thickBot="1" x14ac:dyDescent="0.3">
      <c r="A5" s="2"/>
      <c r="B5" s="69"/>
      <c r="C5" s="7"/>
      <c r="D5" s="196"/>
      <c r="E5" s="179"/>
      <c r="F5" s="179"/>
      <c r="G5" s="196"/>
      <c r="H5" s="196"/>
      <c r="I5" s="196"/>
      <c r="J5" s="196"/>
      <c r="K5" s="196"/>
      <c r="L5" s="13" t="s">
        <v>26</v>
      </c>
      <c r="M5" s="25"/>
      <c r="O5" s="25"/>
      <c r="AB5" s="25"/>
    </row>
    <row r="6" spans="1:32" ht="12" customHeight="1" outlineLevel="3" thickBot="1" x14ac:dyDescent="0.3">
      <c r="A6" s="2"/>
      <c r="C6" s="7"/>
      <c r="G6" s="40" t="s">
        <v>752</v>
      </c>
      <c r="H6" s="40" t="s">
        <v>752</v>
      </c>
      <c r="I6" s="40" t="s">
        <v>752</v>
      </c>
      <c r="J6" s="40" t="s">
        <v>752</v>
      </c>
      <c r="K6" s="40" t="s">
        <v>752</v>
      </c>
      <c r="L6" s="10" t="s">
        <v>22</v>
      </c>
      <c r="M6" s="16">
        <v>1</v>
      </c>
      <c r="N6" s="15" t="s">
        <v>21</v>
      </c>
    </row>
    <row r="7" spans="1:32" ht="12" customHeight="1" outlineLevel="3" x14ac:dyDescent="0.25">
      <c r="A7" s="2"/>
      <c r="C7" s="7"/>
      <c r="G7" s="40" t="s">
        <v>752</v>
      </c>
      <c r="H7" s="40" t="s">
        <v>752</v>
      </c>
      <c r="I7" s="40" t="s">
        <v>752</v>
      </c>
      <c r="J7" s="40" t="s">
        <v>752</v>
      </c>
      <c r="K7" s="40" t="s">
        <v>752</v>
      </c>
      <c r="L7" s="29" t="s">
        <v>58</v>
      </c>
      <c r="M7" s="83">
        <f t="shared" ref="M7:M8" si="0">O7</f>
        <v>3.5000000000000003E-2</v>
      </c>
      <c r="N7" s="15" t="s">
        <v>408</v>
      </c>
      <c r="O7" s="11">
        <v>3.5000000000000003E-2</v>
      </c>
      <c r="AB7"/>
    </row>
    <row r="8" spans="1:32" ht="12" customHeight="1" outlineLevel="3" x14ac:dyDescent="0.25">
      <c r="A8" s="2"/>
      <c r="C8" s="7"/>
      <c r="G8" s="40" t="s">
        <v>752</v>
      </c>
      <c r="H8" s="40" t="s">
        <v>752</v>
      </c>
      <c r="I8" s="40" t="s">
        <v>752</v>
      </c>
      <c r="J8" s="40" t="s">
        <v>752</v>
      </c>
      <c r="K8" s="40" t="s">
        <v>752</v>
      </c>
      <c r="L8" s="29" t="s">
        <v>59</v>
      </c>
      <c r="M8" s="427">
        <f t="shared" si="0"/>
        <v>3.5000000000000003E-2</v>
      </c>
      <c r="N8" s="15" t="s">
        <v>407</v>
      </c>
      <c r="O8" s="11">
        <v>3.5000000000000003E-2</v>
      </c>
      <c r="AB8"/>
    </row>
    <row r="9" spans="1:32" ht="12" customHeight="1" outlineLevel="3" thickBot="1" x14ac:dyDescent="0.3">
      <c r="A9" s="2"/>
      <c r="C9" s="7"/>
      <c r="G9" s="40" t="s">
        <v>752</v>
      </c>
      <c r="H9" s="40" t="s">
        <v>752</v>
      </c>
      <c r="I9" s="40" t="s">
        <v>752</v>
      </c>
      <c r="J9" s="40" t="s">
        <v>752</v>
      </c>
      <c r="K9" s="40" t="s">
        <v>752</v>
      </c>
      <c r="L9" s="10" t="s">
        <v>87</v>
      </c>
      <c r="M9" s="41">
        <v>10</v>
      </c>
      <c r="N9" s="15" t="s">
        <v>416</v>
      </c>
      <c r="O9" s="11">
        <v>10</v>
      </c>
      <c r="P9" s="11"/>
      <c r="Q9" s="77"/>
    </row>
    <row r="10" spans="1:32" s="133" customFormat="1" ht="12" customHeight="1" outlineLevel="3" thickBot="1" x14ac:dyDescent="0.3">
      <c r="A10" s="2"/>
      <c r="B10" s="69"/>
      <c r="C10" s="7"/>
      <c r="D10" s="11"/>
      <c r="G10" s="11" t="s">
        <v>752</v>
      </c>
      <c r="H10" s="11" t="s">
        <v>752</v>
      </c>
      <c r="I10" s="11" t="s">
        <v>752</v>
      </c>
      <c r="J10" s="11" t="s">
        <v>752</v>
      </c>
      <c r="K10" s="11" t="s">
        <v>752</v>
      </c>
      <c r="L10" s="29" t="s">
        <v>320</v>
      </c>
      <c r="M10" s="16">
        <f>O10</f>
        <v>1</v>
      </c>
      <c r="N10" s="15" t="s">
        <v>444</v>
      </c>
      <c r="O10" s="11">
        <v>1</v>
      </c>
      <c r="P10" s="11"/>
      <c r="AB10" s="11"/>
    </row>
    <row r="11" spans="1:32" ht="12" customHeight="1" outlineLevel="3" thickBot="1" x14ac:dyDescent="0.3">
      <c r="A11" s="2"/>
      <c r="C11" s="7"/>
      <c r="G11" s="40" t="s">
        <v>752</v>
      </c>
      <c r="H11" s="40" t="s">
        <v>752</v>
      </c>
      <c r="I11" s="40" t="s">
        <v>752</v>
      </c>
      <c r="J11" s="40" t="s">
        <v>752</v>
      </c>
      <c r="K11" s="40" t="s">
        <v>752</v>
      </c>
      <c r="L11" s="29" t="s">
        <v>693</v>
      </c>
      <c r="M11" s="16">
        <f t="shared" ref="M11" si="1">O11</f>
        <v>1</v>
      </c>
      <c r="N11" s="15" t="s">
        <v>417</v>
      </c>
      <c r="O11" s="11">
        <v>1</v>
      </c>
      <c r="P11" s="11"/>
    </row>
    <row r="12" spans="1:32" ht="12" customHeight="1" outlineLevel="3" thickBot="1" x14ac:dyDescent="0.3">
      <c r="A12" s="2"/>
      <c r="C12" s="7"/>
      <c r="G12" s="40" t="s">
        <v>752</v>
      </c>
      <c r="H12" s="40" t="s">
        <v>752</v>
      </c>
      <c r="I12" s="40" t="s">
        <v>752</v>
      </c>
      <c r="J12" s="40" t="s">
        <v>752</v>
      </c>
      <c r="K12" s="40" t="s">
        <v>752</v>
      </c>
      <c r="L12" s="29" t="s">
        <v>694</v>
      </c>
      <c r="M12" s="41">
        <f>O12</f>
        <v>10</v>
      </c>
      <c r="N12" s="15" t="s">
        <v>418</v>
      </c>
      <c r="O12" s="11">
        <f>timeHorizon</f>
        <v>10</v>
      </c>
      <c r="P12" s="11"/>
    </row>
    <row r="13" spans="1:32" s="133" customFormat="1" ht="12" customHeight="1" outlineLevel="3" thickBot="1" x14ac:dyDescent="0.3">
      <c r="A13" s="2"/>
      <c r="B13" s="69"/>
      <c r="C13" s="7"/>
      <c r="D13" s="11"/>
      <c r="G13" s="11"/>
      <c r="H13" s="11"/>
      <c r="I13" s="11"/>
      <c r="J13" s="11"/>
      <c r="K13" s="11"/>
      <c r="L13" s="425" t="s">
        <v>783</v>
      </c>
      <c r="M13" s="16">
        <v>1</v>
      </c>
      <c r="N13" s="15" t="s">
        <v>784</v>
      </c>
      <c r="O13" s="11">
        <v>1</v>
      </c>
      <c r="P13" s="11"/>
      <c r="AB13" s="11"/>
    </row>
    <row r="14" spans="1:32" s="133" customFormat="1" ht="12" customHeight="1" outlineLevel="3" thickBot="1" x14ac:dyDescent="0.3">
      <c r="A14" s="2"/>
      <c r="B14" s="69"/>
      <c r="C14" s="7"/>
      <c r="D14" s="11"/>
      <c r="G14" s="11"/>
      <c r="H14" s="11"/>
      <c r="I14" s="11"/>
      <c r="J14" s="11"/>
      <c r="K14" s="11"/>
      <c r="L14" s="12" t="s">
        <v>785</v>
      </c>
      <c r="M14" s="41">
        <f>O14</f>
        <v>0.2</v>
      </c>
      <c r="N14" s="15" t="s">
        <v>786</v>
      </c>
      <c r="O14" s="11">
        <f>S14</f>
        <v>0.2</v>
      </c>
      <c r="P14" s="11"/>
      <c r="S14" s="264">
        <v>0.2</v>
      </c>
      <c r="AB14" s="11"/>
    </row>
    <row r="15" spans="1:32" s="133" customFormat="1" ht="12" customHeight="1" outlineLevel="3" thickBot="1" x14ac:dyDescent="0.3">
      <c r="A15" s="2"/>
      <c r="B15" s="69"/>
      <c r="C15" s="7"/>
      <c r="D15" s="11"/>
      <c r="G15" s="11" t="s">
        <v>89</v>
      </c>
      <c r="H15" s="11" t="s">
        <v>89</v>
      </c>
      <c r="I15" s="11" t="s">
        <v>752</v>
      </c>
      <c r="J15" s="11" t="s">
        <v>752</v>
      </c>
      <c r="K15" s="11" t="s">
        <v>752</v>
      </c>
      <c r="L15" s="29" t="s">
        <v>270</v>
      </c>
      <c r="M15" s="16">
        <f>O15</f>
        <v>1</v>
      </c>
      <c r="N15" s="15" t="s">
        <v>664</v>
      </c>
      <c r="O15" s="11">
        <v>1</v>
      </c>
      <c r="P15" s="11"/>
      <c r="AB15" s="11"/>
    </row>
    <row r="16" spans="1:32" s="13" customFormat="1" ht="12" customHeight="1" outlineLevel="1" thickBot="1" x14ac:dyDescent="0.3">
      <c r="A16" s="2"/>
      <c r="B16" s="69"/>
      <c r="C16" s="7"/>
      <c r="D16" s="196"/>
      <c r="E16" s="179"/>
      <c r="F16" s="179"/>
      <c r="G16" s="196" t="s">
        <v>89</v>
      </c>
      <c r="H16" s="196" t="s">
        <v>89</v>
      </c>
      <c r="I16" s="196" t="s">
        <v>89</v>
      </c>
      <c r="J16" s="196" t="s">
        <v>89</v>
      </c>
      <c r="K16" s="196" t="s">
        <v>89</v>
      </c>
      <c r="L16" s="13" t="s">
        <v>667</v>
      </c>
      <c r="M16" s="25"/>
      <c r="O16" s="25"/>
      <c r="AB16" s="25"/>
    </row>
    <row r="17" spans="1:28" s="110" customFormat="1" ht="12" customHeight="1" outlineLevel="2" thickBot="1" x14ac:dyDescent="0.3">
      <c r="A17" s="2"/>
      <c r="B17" s="69"/>
      <c r="C17" s="7"/>
      <c r="D17" s="112"/>
      <c r="G17" s="112" t="s">
        <v>89</v>
      </c>
      <c r="H17" s="112" t="s">
        <v>89</v>
      </c>
      <c r="I17" s="112" t="s">
        <v>89</v>
      </c>
      <c r="J17" s="112" t="s">
        <v>89</v>
      </c>
      <c r="K17" s="112" t="s">
        <v>89</v>
      </c>
      <c r="L17" s="110" t="s">
        <v>379</v>
      </c>
    </row>
    <row r="18" spans="1:28" ht="12" customHeight="1" outlineLevel="3" x14ac:dyDescent="0.25">
      <c r="A18" s="2"/>
      <c r="C18" s="7"/>
      <c r="G18" s="40" t="s">
        <v>89</v>
      </c>
      <c r="H18" s="40" t="s">
        <v>89</v>
      </c>
      <c r="I18" s="40" t="s">
        <v>89</v>
      </c>
      <c r="J18" s="40" t="s">
        <v>89</v>
      </c>
      <c r="K18" s="40" t="s">
        <v>89</v>
      </c>
      <c r="L18" t="s">
        <v>669</v>
      </c>
      <c r="M18"/>
      <c r="O18"/>
      <c r="AB18"/>
    </row>
    <row r="19" spans="1:28" ht="12" customHeight="1" outlineLevel="3" x14ac:dyDescent="0.25">
      <c r="A19" s="2"/>
      <c r="C19" s="7"/>
      <c r="G19" s="40" t="s">
        <v>89</v>
      </c>
      <c r="H19" s="40" t="s">
        <v>89</v>
      </c>
      <c r="I19" s="40" t="s">
        <v>89</v>
      </c>
      <c r="J19" s="40" t="s">
        <v>89</v>
      </c>
      <c r="K19" s="40" t="s">
        <v>89</v>
      </c>
      <c r="L19" s="104" t="s">
        <v>62</v>
      </c>
      <c r="M19"/>
      <c r="O19"/>
      <c r="AB19"/>
    </row>
    <row r="20" spans="1:28" ht="12" customHeight="1" outlineLevel="3" x14ac:dyDescent="0.25">
      <c r="A20" s="2"/>
      <c r="C20" s="7"/>
      <c r="D20" s="40">
        <v>55</v>
      </c>
      <c r="G20" s="40" t="s">
        <v>752</v>
      </c>
      <c r="H20" s="40" t="s">
        <v>752</v>
      </c>
      <c r="I20" s="40" t="s">
        <v>752</v>
      </c>
      <c r="J20" s="40" t="s">
        <v>89</v>
      </c>
      <c r="K20" s="40" t="s">
        <v>752</v>
      </c>
      <c r="L20" s="198" t="str">
        <f t="shared" ref="L20:L26" si="2">D20&amp;"-"&amp;D20+4</f>
        <v>55-59</v>
      </c>
      <c r="M20" s="41">
        <f t="shared" ref="M20:M27" si="3">O20</f>
        <v>5.7999999999999996E-3</v>
      </c>
      <c r="O20" s="11">
        <f t="shared" ref="O20:O27" si="4">S20</f>
        <v>5.7999999999999996E-3</v>
      </c>
      <c r="P20" s="11"/>
      <c r="S20" s="14">
        <f>5.8/1000</f>
        <v>5.7999999999999996E-3</v>
      </c>
      <c r="Y20" s="32" t="s">
        <v>439</v>
      </c>
      <c r="Z20" s="11"/>
    </row>
    <row r="21" spans="1:28" ht="12" customHeight="1" outlineLevel="3" x14ac:dyDescent="0.25">
      <c r="A21" s="2"/>
      <c r="C21" s="7"/>
      <c r="D21" s="40">
        <f t="shared" ref="D21:D27" si="5">D20+5</f>
        <v>60</v>
      </c>
      <c r="G21" s="40" t="s">
        <v>752</v>
      </c>
      <c r="H21" s="40" t="s">
        <v>752</v>
      </c>
      <c r="I21" s="40" t="s">
        <v>752</v>
      </c>
      <c r="J21" s="40" t="s">
        <v>89</v>
      </c>
      <c r="K21" s="40" t="s">
        <v>752</v>
      </c>
      <c r="L21" s="198" t="str">
        <f t="shared" si="2"/>
        <v>60-64</v>
      </c>
      <c r="M21" s="41">
        <f t="shared" si="3"/>
        <v>9.1000000000000004E-3</v>
      </c>
      <c r="O21" s="11">
        <f t="shared" si="4"/>
        <v>9.1000000000000004E-3</v>
      </c>
      <c r="P21" s="11"/>
      <c r="S21" s="14">
        <f>9.1/1000</f>
        <v>9.1000000000000004E-3</v>
      </c>
      <c r="Y21" s="32" t="s">
        <v>439</v>
      </c>
      <c r="Z21" s="11"/>
    </row>
    <row r="22" spans="1:28" ht="12" customHeight="1" outlineLevel="3" x14ac:dyDescent="0.25">
      <c r="A22" s="2"/>
      <c r="C22" s="7"/>
      <c r="D22" s="40">
        <f t="shared" si="5"/>
        <v>65</v>
      </c>
      <c r="G22" s="40" t="s">
        <v>752</v>
      </c>
      <c r="H22" s="40" t="s">
        <v>752</v>
      </c>
      <c r="I22" s="40" t="s">
        <v>752</v>
      </c>
      <c r="J22" s="40" t="s">
        <v>89</v>
      </c>
      <c r="K22" s="40" t="s">
        <v>752</v>
      </c>
      <c r="L22" s="198" t="str">
        <f t="shared" si="2"/>
        <v>65-69</v>
      </c>
      <c r="M22" s="41">
        <f t="shared" si="3"/>
        <v>1.46E-2</v>
      </c>
      <c r="O22" s="11">
        <f t="shared" si="4"/>
        <v>1.46E-2</v>
      </c>
      <c r="P22" s="11"/>
      <c r="S22" s="14">
        <f>14.6/1000</f>
        <v>1.46E-2</v>
      </c>
      <c r="Y22" s="32" t="s">
        <v>439</v>
      </c>
      <c r="Z22" s="11"/>
    </row>
    <row r="23" spans="1:28" ht="12" customHeight="1" outlineLevel="3" x14ac:dyDescent="0.25">
      <c r="A23" s="2"/>
      <c r="C23" s="7"/>
      <c r="D23" s="40">
        <f t="shared" si="5"/>
        <v>70</v>
      </c>
      <c r="G23" s="40" t="s">
        <v>752</v>
      </c>
      <c r="H23" s="40" t="s">
        <v>752</v>
      </c>
      <c r="I23" s="40" t="s">
        <v>752</v>
      </c>
      <c r="J23" s="40" t="s">
        <v>89</v>
      </c>
      <c r="K23" s="40" t="s">
        <v>752</v>
      </c>
      <c r="L23" s="198" t="str">
        <f t="shared" si="2"/>
        <v>70-74</v>
      </c>
      <c r="M23" s="41">
        <f t="shared" si="3"/>
        <v>2.2499999999999999E-2</v>
      </c>
      <c r="O23" s="11">
        <f t="shared" si="4"/>
        <v>2.2499999999999999E-2</v>
      </c>
      <c r="P23" s="11"/>
      <c r="S23" s="14">
        <f>22.5/1000</f>
        <v>2.2499999999999999E-2</v>
      </c>
      <c r="Y23" s="32" t="s">
        <v>439</v>
      </c>
      <c r="Z23" s="11"/>
    </row>
    <row r="24" spans="1:28" ht="12" customHeight="1" outlineLevel="3" x14ac:dyDescent="0.25">
      <c r="A24" s="2"/>
      <c r="C24" s="7"/>
      <c r="D24" s="40">
        <f t="shared" si="5"/>
        <v>75</v>
      </c>
      <c r="G24" s="40" t="s">
        <v>752</v>
      </c>
      <c r="H24" s="40" t="s">
        <v>752</v>
      </c>
      <c r="I24" s="40" t="s">
        <v>752</v>
      </c>
      <c r="J24" s="40" t="s">
        <v>89</v>
      </c>
      <c r="K24" s="40" t="s">
        <v>752</v>
      </c>
      <c r="L24" s="198" t="str">
        <f t="shared" si="2"/>
        <v>75-79</v>
      </c>
      <c r="M24" s="41">
        <f t="shared" si="3"/>
        <v>3.9200000000000006E-2</v>
      </c>
      <c r="O24" s="11">
        <f t="shared" si="4"/>
        <v>3.9200000000000006E-2</v>
      </c>
      <c r="P24" s="11"/>
      <c r="S24" s="14">
        <f>39.2/1000</f>
        <v>3.9200000000000006E-2</v>
      </c>
      <c r="Y24" s="32" t="s">
        <v>439</v>
      </c>
      <c r="Z24" s="11"/>
    </row>
    <row r="25" spans="1:28" ht="12" customHeight="1" outlineLevel="3" x14ac:dyDescent="0.25">
      <c r="A25" s="2"/>
      <c r="C25" s="7"/>
      <c r="D25" s="40">
        <f t="shared" si="5"/>
        <v>80</v>
      </c>
      <c r="G25" s="40" t="s">
        <v>752</v>
      </c>
      <c r="H25" s="40" t="s">
        <v>752</v>
      </c>
      <c r="I25" s="40" t="s">
        <v>752</v>
      </c>
      <c r="J25" s="40" t="s">
        <v>89</v>
      </c>
      <c r="K25" s="40" t="s">
        <v>752</v>
      </c>
      <c r="L25" s="198" t="str">
        <f t="shared" si="2"/>
        <v>80-84</v>
      </c>
      <c r="M25" s="41">
        <f t="shared" si="3"/>
        <v>6.8199999999999997E-2</v>
      </c>
      <c r="O25" s="11">
        <f t="shared" si="4"/>
        <v>6.8199999999999997E-2</v>
      </c>
      <c r="P25" s="11"/>
      <c r="S25" s="14">
        <f>68.2/1000</f>
        <v>6.8199999999999997E-2</v>
      </c>
      <c r="Y25" s="32" t="s">
        <v>439</v>
      </c>
      <c r="Z25" s="11"/>
    </row>
    <row r="26" spans="1:28" ht="12" customHeight="1" outlineLevel="3" x14ac:dyDescent="0.25">
      <c r="A26" s="2"/>
      <c r="C26" s="7"/>
      <c r="D26" s="40">
        <f t="shared" si="5"/>
        <v>85</v>
      </c>
      <c r="G26" s="40" t="s">
        <v>752</v>
      </c>
      <c r="H26" s="40" t="s">
        <v>752</v>
      </c>
      <c r="I26" s="40" t="s">
        <v>752</v>
      </c>
      <c r="J26" s="40" t="s">
        <v>89</v>
      </c>
      <c r="K26" s="40" t="s">
        <v>752</v>
      </c>
      <c r="L26" s="198" t="str">
        <f t="shared" si="2"/>
        <v>85-89</v>
      </c>
      <c r="M26" s="41">
        <f t="shared" si="3"/>
        <v>0.12509999999999999</v>
      </c>
      <c r="O26" s="11">
        <f t="shared" si="4"/>
        <v>0.12509999999999999</v>
      </c>
      <c r="P26" s="11"/>
      <c r="S26" s="14">
        <f>125.1/1000</f>
        <v>0.12509999999999999</v>
      </c>
      <c r="Y26" s="32" t="s">
        <v>439</v>
      </c>
      <c r="Z26" s="11"/>
    </row>
    <row r="27" spans="1:28" ht="12" customHeight="1" outlineLevel="3" x14ac:dyDescent="0.25">
      <c r="A27" s="2"/>
      <c r="C27" s="7"/>
      <c r="D27" s="40">
        <f t="shared" si="5"/>
        <v>90</v>
      </c>
      <c r="G27" s="40" t="s">
        <v>752</v>
      </c>
      <c r="H27" s="40" t="s">
        <v>752</v>
      </c>
      <c r="I27" s="40" t="s">
        <v>752</v>
      </c>
      <c r="J27" s="40" t="s">
        <v>89</v>
      </c>
      <c r="K27" s="40" t="s">
        <v>752</v>
      </c>
      <c r="L27" s="198" t="str">
        <f>D27&amp;"+"</f>
        <v>90+</v>
      </c>
      <c r="M27" s="41">
        <f t="shared" si="3"/>
        <v>0.2351</v>
      </c>
      <c r="O27" s="11">
        <f t="shared" si="4"/>
        <v>0.2351</v>
      </c>
      <c r="P27" s="11"/>
      <c r="S27" s="14">
        <f>235.1/1000</f>
        <v>0.2351</v>
      </c>
      <c r="Y27" s="32" t="s">
        <v>439</v>
      </c>
      <c r="Z27" s="11"/>
    </row>
    <row r="28" spans="1:28" ht="12" customHeight="1" outlineLevel="3" x14ac:dyDescent="0.25">
      <c r="A28" s="2"/>
      <c r="C28" s="7"/>
      <c r="G28" s="40" t="s">
        <v>89</v>
      </c>
      <c r="H28" s="40" t="s">
        <v>89</v>
      </c>
      <c r="I28" s="40" t="s">
        <v>89</v>
      </c>
      <c r="J28" s="40" t="s">
        <v>89</v>
      </c>
      <c r="K28" s="40" t="s">
        <v>89</v>
      </c>
      <c r="L28" s="104" t="s">
        <v>63</v>
      </c>
      <c r="M28"/>
      <c r="O28"/>
      <c r="AB28"/>
    </row>
    <row r="29" spans="1:28" ht="12" customHeight="1" outlineLevel="3" x14ac:dyDescent="0.25">
      <c r="A29" s="2"/>
      <c r="C29" s="7"/>
      <c r="D29" s="40">
        <v>55</v>
      </c>
      <c r="G29" s="40" t="s">
        <v>752</v>
      </c>
      <c r="H29" s="40" t="s">
        <v>752</v>
      </c>
      <c r="I29" s="40" t="s">
        <v>752</v>
      </c>
      <c r="J29" s="40" t="s">
        <v>89</v>
      </c>
      <c r="K29" s="40" t="s">
        <v>752</v>
      </c>
      <c r="L29" s="198" t="str">
        <f t="shared" ref="L29:L35" si="6">D29&amp;"-"&amp;D29+4</f>
        <v>55-59</v>
      </c>
      <c r="M29" s="41">
        <f t="shared" ref="M29:M36" si="7">O29</f>
        <v>3.8999999999999998E-3</v>
      </c>
      <c r="O29" s="11">
        <f t="shared" ref="O29:O36" si="8">S29</f>
        <v>3.8999999999999998E-3</v>
      </c>
      <c r="P29" s="11"/>
      <c r="S29" s="14">
        <f>3.9/1000</f>
        <v>3.8999999999999998E-3</v>
      </c>
      <c r="Y29" s="32" t="s">
        <v>439</v>
      </c>
      <c r="Z29" s="11"/>
    </row>
    <row r="30" spans="1:28" ht="12" customHeight="1" outlineLevel="3" x14ac:dyDescent="0.25">
      <c r="A30" s="2"/>
      <c r="C30" s="7"/>
      <c r="D30" s="40">
        <f t="shared" ref="D30:D36" si="9">D29+5</f>
        <v>60</v>
      </c>
      <c r="G30" s="40" t="s">
        <v>752</v>
      </c>
      <c r="H30" s="40" t="s">
        <v>752</v>
      </c>
      <c r="I30" s="40" t="s">
        <v>752</v>
      </c>
      <c r="J30" s="40" t="s">
        <v>89</v>
      </c>
      <c r="K30" s="40" t="s">
        <v>752</v>
      </c>
      <c r="L30" s="198" t="str">
        <f t="shared" si="6"/>
        <v>60-64</v>
      </c>
      <c r="M30" s="41">
        <f t="shared" si="7"/>
        <v>6.0000000000000001E-3</v>
      </c>
      <c r="O30" s="11">
        <f t="shared" si="8"/>
        <v>6.0000000000000001E-3</v>
      </c>
      <c r="P30" s="11"/>
      <c r="S30" s="14">
        <f>6/1000</f>
        <v>6.0000000000000001E-3</v>
      </c>
      <c r="Y30" s="32" t="s">
        <v>439</v>
      </c>
      <c r="Z30" s="11"/>
    </row>
    <row r="31" spans="1:28" ht="12" customHeight="1" outlineLevel="3" x14ac:dyDescent="0.25">
      <c r="A31" s="2"/>
      <c r="C31" s="7"/>
      <c r="D31" s="40">
        <f t="shared" si="9"/>
        <v>65</v>
      </c>
      <c r="G31" s="40" t="s">
        <v>752</v>
      </c>
      <c r="H31" s="40" t="s">
        <v>752</v>
      </c>
      <c r="I31" s="40" t="s">
        <v>752</v>
      </c>
      <c r="J31" s="40" t="s">
        <v>89</v>
      </c>
      <c r="K31" s="40" t="s">
        <v>752</v>
      </c>
      <c r="L31" s="198" t="str">
        <f t="shared" si="6"/>
        <v>65-69</v>
      </c>
      <c r="M31" s="41">
        <f t="shared" si="7"/>
        <v>9.4000000000000004E-3</v>
      </c>
      <c r="O31" s="11">
        <f t="shared" si="8"/>
        <v>9.4000000000000004E-3</v>
      </c>
      <c r="P31" s="11"/>
      <c r="S31" s="14">
        <f>9.4/1000</f>
        <v>9.4000000000000004E-3</v>
      </c>
      <c r="Y31" s="32" t="s">
        <v>439</v>
      </c>
      <c r="Z31" s="11"/>
    </row>
    <row r="32" spans="1:28" ht="12" customHeight="1" outlineLevel="3" x14ac:dyDescent="0.25">
      <c r="A32" s="2"/>
      <c r="C32" s="7"/>
      <c r="D32" s="40">
        <f t="shared" si="9"/>
        <v>70</v>
      </c>
      <c r="G32" s="40" t="s">
        <v>752</v>
      </c>
      <c r="H32" s="40" t="s">
        <v>752</v>
      </c>
      <c r="I32" s="40" t="s">
        <v>752</v>
      </c>
      <c r="J32" s="40" t="s">
        <v>89</v>
      </c>
      <c r="K32" s="40" t="s">
        <v>752</v>
      </c>
      <c r="L32" s="198" t="str">
        <f t="shared" si="6"/>
        <v>70-74</v>
      </c>
      <c r="M32" s="41">
        <f t="shared" si="7"/>
        <v>1.5099999999999999E-2</v>
      </c>
      <c r="O32" s="11">
        <f t="shared" si="8"/>
        <v>1.5099999999999999E-2</v>
      </c>
      <c r="P32" s="11"/>
      <c r="S32" s="14">
        <f>15.1/1000</f>
        <v>1.5099999999999999E-2</v>
      </c>
      <c r="Y32" s="32" t="s">
        <v>439</v>
      </c>
      <c r="Z32" s="11"/>
    </row>
    <row r="33" spans="1:31" ht="12" customHeight="1" outlineLevel="3" x14ac:dyDescent="0.25">
      <c r="A33" s="2"/>
      <c r="C33" s="7"/>
      <c r="D33" s="40">
        <f t="shared" si="9"/>
        <v>75</v>
      </c>
      <c r="G33" s="40" t="s">
        <v>752</v>
      </c>
      <c r="H33" s="40" t="s">
        <v>752</v>
      </c>
      <c r="I33" s="40" t="s">
        <v>752</v>
      </c>
      <c r="J33" s="40" t="s">
        <v>89</v>
      </c>
      <c r="K33" s="40" t="s">
        <v>752</v>
      </c>
      <c r="L33" s="198" t="str">
        <f t="shared" si="6"/>
        <v>75-79</v>
      </c>
      <c r="M33" s="41">
        <f t="shared" si="7"/>
        <v>2.7399999999999997E-2</v>
      </c>
      <c r="O33" s="11">
        <f t="shared" si="8"/>
        <v>2.7399999999999997E-2</v>
      </c>
      <c r="P33" s="11"/>
      <c r="S33" s="14">
        <f>27.4/1000</f>
        <v>2.7399999999999997E-2</v>
      </c>
      <c r="Y33" s="32" t="s">
        <v>439</v>
      </c>
      <c r="Z33" s="11"/>
    </row>
    <row r="34" spans="1:31" ht="12" customHeight="1" outlineLevel="3" x14ac:dyDescent="0.25">
      <c r="A34" s="2"/>
      <c r="C34" s="7"/>
      <c r="D34" s="40">
        <f t="shared" si="9"/>
        <v>80</v>
      </c>
      <c r="G34" s="40" t="s">
        <v>752</v>
      </c>
      <c r="H34" s="40" t="s">
        <v>752</v>
      </c>
      <c r="I34" s="40" t="s">
        <v>752</v>
      </c>
      <c r="J34" s="40" t="s">
        <v>89</v>
      </c>
      <c r="K34" s="40" t="s">
        <v>752</v>
      </c>
      <c r="L34" s="198" t="str">
        <f t="shared" si="6"/>
        <v>80-84</v>
      </c>
      <c r="M34" s="41">
        <f t="shared" si="7"/>
        <v>5.0200000000000002E-2</v>
      </c>
      <c r="O34" s="11">
        <f t="shared" si="8"/>
        <v>5.0200000000000002E-2</v>
      </c>
      <c r="P34" s="11"/>
      <c r="S34" s="14">
        <f>50.2/1000</f>
        <v>5.0200000000000002E-2</v>
      </c>
      <c r="Y34" s="32" t="s">
        <v>439</v>
      </c>
      <c r="Z34" s="11"/>
    </row>
    <row r="35" spans="1:31" ht="12" customHeight="1" outlineLevel="3" x14ac:dyDescent="0.25">
      <c r="A35" s="2"/>
      <c r="C35" s="7"/>
      <c r="D35" s="40">
        <f t="shared" si="9"/>
        <v>85</v>
      </c>
      <c r="G35" s="40" t="s">
        <v>752</v>
      </c>
      <c r="H35" s="40" t="s">
        <v>752</v>
      </c>
      <c r="I35" s="40" t="s">
        <v>752</v>
      </c>
      <c r="J35" s="40" t="s">
        <v>89</v>
      </c>
      <c r="K35" s="40" t="s">
        <v>752</v>
      </c>
      <c r="L35" s="198" t="str">
        <f t="shared" si="6"/>
        <v>85-89</v>
      </c>
      <c r="M35" s="41">
        <f t="shared" si="7"/>
        <v>9.7700000000000009E-2</v>
      </c>
      <c r="O35" s="11">
        <f t="shared" si="8"/>
        <v>9.7700000000000009E-2</v>
      </c>
      <c r="P35" s="11"/>
      <c r="S35" s="14">
        <f>97.7/1000</f>
        <v>9.7700000000000009E-2</v>
      </c>
      <c r="Y35" s="32" t="s">
        <v>439</v>
      </c>
      <c r="Z35" s="11"/>
    </row>
    <row r="36" spans="1:31" ht="12" customHeight="1" outlineLevel="3" thickBot="1" x14ac:dyDescent="0.3">
      <c r="A36" s="2"/>
      <c r="C36" s="7"/>
      <c r="D36" s="40">
        <f t="shared" si="9"/>
        <v>90</v>
      </c>
      <c r="G36" s="40" t="s">
        <v>752</v>
      </c>
      <c r="H36" s="40" t="s">
        <v>752</v>
      </c>
      <c r="I36" s="40" t="s">
        <v>752</v>
      </c>
      <c r="J36" s="40" t="s">
        <v>89</v>
      </c>
      <c r="K36" s="40" t="s">
        <v>752</v>
      </c>
      <c r="L36" s="198" t="str">
        <f>D36&amp;"+"</f>
        <v>90+</v>
      </c>
      <c r="M36" s="41">
        <f t="shared" si="7"/>
        <v>0.2152</v>
      </c>
      <c r="O36" s="11">
        <f t="shared" si="8"/>
        <v>0.2152</v>
      </c>
      <c r="P36" s="11"/>
      <c r="S36" s="14">
        <f>215.2/1000</f>
        <v>0.2152</v>
      </c>
      <c r="Y36" s="32" t="s">
        <v>439</v>
      </c>
      <c r="Z36" s="11"/>
    </row>
    <row r="37" spans="1:31" s="13" customFormat="1" ht="12" customHeight="1" outlineLevel="1" thickBot="1" x14ac:dyDescent="0.3">
      <c r="A37" s="2"/>
      <c r="B37" s="69"/>
      <c r="C37" s="7"/>
      <c r="D37" s="196"/>
      <c r="E37" s="179"/>
      <c r="F37" s="179"/>
      <c r="G37" s="196" t="s">
        <v>89</v>
      </c>
      <c r="H37" s="196" t="s">
        <v>89</v>
      </c>
      <c r="I37" s="196" t="s">
        <v>89</v>
      </c>
      <c r="J37" s="196" t="s">
        <v>89</v>
      </c>
      <c r="K37" s="196" t="s">
        <v>89</v>
      </c>
      <c r="L37" s="13" t="s">
        <v>39</v>
      </c>
      <c r="M37" s="25"/>
      <c r="O37" s="25"/>
      <c r="AB37" s="25"/>
    </row>
    <row r="38" spans="1:31" s="110" customFormat="1" ht="12" customHeight="1" outlineLevel="2" thickBot="1" x14ac:dyDescent="0.3">
      <c r="A38" s="2"/>
      <c r="B38" s="69"/>
      <c r="C38" s="7"/>
      <c r="D38" s="112"/>
      <c r="G38" s="112" t="s">
        <v>89</v>
      </c>
      <c r="H38" s="112" t="s">
        <v>89</v>
      </c>
      <c r="I38" s="112" t="s">
        <v>89</v>
      </c>
      <c r="J38" s="112" t="s">
        <v>89</v>
      </c>
      <c r="K38" s="112" t="s">
        <v>89</v>
      </c>
      <c r="L38" s="110" t="s">
        <v>209</v>
      </c>
    </row>
    <row r="39" spans="1:31" ht="12" customHeight="1" outlineLevel="3" x14ac:dyDescent="0.25">
      <c r="A39" s="2"/>
      <c r="C39" s="7"/>
      <c r="D39" s="412"/>
      <c r="G39" s="40" t="s">
        <v>752</v>
      </c>
      <c r="H39" s="40" t="s">
        <v>752</v>
      </c>
      <c r="I39" s="40" t="s">
        <v>752</v>
      </c>
      <c r="J39" s="40" t="s">
        <v>752</v>
      </c>
      <c r="K39" s="40" t="s">
        <v>752</v>
      </c>
      <c r="L39" t="s">
        <v>205</v>
      </c>
      <c r="M39" s="48">
        <f>O39</f>
        <v>39.229999999999997</v>
      </c>
      <c r="N39" s="15" t="s">
        <v>675</v>
      </c>
      <c r="O39" s="52">
        <f>CHOOSE(swtchPSA, S39, AB39)</f>
        <v>39.229999999999997</v>
      </c>
      <c r="P39" s="52"/>
      <c r="S39" s="180">
        <v>39.229999999999997</v>
      </c>
      <c r="U39" s="266">
        <f>S39*Cost.SEs.CoV</f>
        <v>7.8460000000000001</v>
      </c>
      <c r="V39" s="51">
        <f>_xlfn.GAMMA.INV(0.025, AD39, AE39)</f>
        <v>25.387587555613774</v>
      </c>
      <c r="X39" s="51">
        <f>_xlfn.GAMMA.INV(0.975, AD39, AE39)</f>
        <v>56.036285144117535</v>
      </c>
      <c r="Y39" s="258" t="s">
        <v>705</v>
      </c>
      <c r="AA39" s="19">
        <f ca="1">RAND()</f>
        <v>0.8364595394051102</v>
      </c>
      <c r="AB39" s="47">
        <f ca="1">_xlfn.GAMMA.INV(AA39,AD39,AE39)</f>
        <v>46.847314965185255</v>
      </c>
      <c r="AC39" s="15" t="s">
        <v>38</v>
      </c>
      <c r="AD39" s="54">
        <f>S39^2/U39^2</f>
        <v>24.999999999999996</v>
      </c>
      <c r="AE39" s="55">
        <f>U39^2/S39</f>
        <v>1.5692000000000002</v>
      </c>
    </row>
    <row r="40" spans="1:31" ht="12" customHeight="1" outlineLevel="3" x14ac:dyDescent="0.25">
      <c r="A40" s="2"/>
      <c r="C40" s="7"/>
      <c r="G40" s="40" t="s">
        <v>89</v>
      </c>
      <c r="H40" s="40" t="s">
        <v>89</v>
      </c>
      <c r="I40" s="40" t="s">
        <v>89</v>
      </c>
      <c r="J40" s="40" t="s">
        <v>752</v>
      </c>
      <c r="K40" s="40" t="s">
        <v>89</v>
      </c>
      <c r="L40" s="38" t="s">
        <v>701</v>
      </c>
      <c r="M40" s="48">
        <f>O40</f>
        <v>292.09229931535901</v>
      </c>
      <c r="O40" s="52">
        <f>CHOOSE(swtchPSA, S40, AB40)</f>
        <v>292.09229931535901</v>
      </c>
      <c r="P40" s="52"/>
      <c r="S40" s="180">
        <v>292.09229931535901</v>
      </c>
      <c r="T40" s="18"/>
      <c r="U40" s="266">
        <f>S40*Cost.SEs.CoV</f>
        <v>58.418459863071803</v>
      </c>
      <c r="V40" s="51">
        <f>_xlfn.GAMMA.INV(0.025, AD40, AE40)</f>
        <v>189.02673523296514</v>
      </c>
      <c r="X40" s="51">
        <f>_xlfn.GAMMA.INV(0.975, AD40, AE40)</f>
        <v>417.22578059740977</v>
      </c>
      <c r="Y40" s="258" t="s">
        <v>697</v>
      </c>
      <c r="AA40" s="19">
        <f ca="1">RAND()</f>
        <v>0.99067847266403175</v>
      </c>
      <c r="AB40" s="47">
        <f ca="1">_xlfn.GAMMA.INV(AA40,AD40,AE40)</f>
        <v>446.90423080372852</v>
      </c>
      <c r="AC40" s="15" t="s">
        <v>38</v>
      </c>
      <c r="AD40" s="54">
        <f>S40^2/U40^2</f>
        <v>25</v>
      </c>
      <c r="AE40" s="55">
        <f>U40^2/S40</f>
        <v>11.68369197261436</v>
      </c>
    </row>
    <row r="41" spans="1:31" ht="12" customHeight="1" outlineLevel="3" x14ac:dyDescent="0.25">
      <c r="A41" s="2"/>
      <c r="C41" s="7"/>
      <c r="G41" s="40" t="s">
        <v>89</v>
      </c>
      <c r="H41" s="40" t="s">
        <v>89</v>
      </c>
      <c r="I41" s="40" t="s">
        <v>89</v>
      </c>
      <c r="J41" s="40" t="s">
        <v>752</v>
      </c>
      <c r="K41" s="40" t="s">
        <v>89</v>
      </c>
      <c r="L41" s="104" t="s">
        <v>696</v>
      </c>
      <c r="M41" s="51">
        <f>O41</f>
        <v>301.08874213427208</v>
      </c>
      <c r="N41" s="195" t="s">
        <v>702</v>
      </c>
      <c r="O41" s="52" cm="1">
        <f t="array" ref="O41">_fnINFLATE(M40, 2019, 2020)</f>
        <v>301.08874213427208</v>
      </c>
      <c r="P41" s="52"/>
      <c r="T41" s="18"/>
      <c r="V41" s="51" cm="1">
        <f t="array" ref="V41">_fnINFLATE(V40, 2019, 2020)</f>
        <v>194.84875867814046</v>
      </c>
      <c r="X41" s="51" cm="1">
        <f t="array" ref="X41">_fnINFLATE(X40, 2019, 2020)</f>
        <v>430.07633463980994</v>
      </c>
      <c r="AB41"/>
    </row>
    <row r="42" spans="1:31" ht="12" customHeight="1" outlineLevel="3" x14ac:dyDescent="0.25">
      <c r="A42" s="2"/>
      <c r="C42" s="7"/>
      <c r="G42" s="40" t="s">
        <v>89</v>
      </c>
      <c r="H42" s="40" t="s">
        <v>89</v>
      </c>
      <c r="I42" s="40" t="s">
        <v>89</v>
      </c>
      <c r="J42" s="40" t="s">
        <v>89</v>
      </c>
      <c r="K42" s="40" t="s">
        <v>89</v>
      </c>
      <c r="L42" s="38" t="s">
        <v>263</v>
      </c>
      <c r="M42"/>
      <c r="O42"/>
      <c r="AB42"/>
    </row>
    <row r="43" spans="1:31" ht="12" customHeight="1" outlineLevel="3" x14ac:dyDescent="0.25">
      <c r="A43" s="2"/>
      <c r="C43" s="7"/>
      <c r="G43" s="40" t="s">
        <v>89</v>
      </c>
      <c r="H43" s="40" t="s">
        <v>89</v>
      </c>
      <c r="I43" s="11" t="s">
        <v>89</v>
      </c>
      <c r="J43" s="11" t="s">
        <v>89</v>
      </c>
      <c r="K43" s="11" t="s">
        <v>89</v>
      </c>
      <c r="L43" s="104" t="s">
        <v>256</v>
      </c>
      <c r="M43"/>
      <c r="O43"/>
      <c r="AB43"/>
    </row>
    <row r="44" spans="1:31" ht="12" customHeight="1" outlineLevel="3" x14ac:dyDescent="0.25">
      <c r="A44" s="2"/>
      <c r="C44" s="7"/>
      <c r="G44" s="40" t="s">
        <v>89</v>
      </c>
      <c r="H44" s="40" t="s">
        <v>89</v>
      </c>
      <c r="I44" s="11" t="s">
        <v>752</v>
      </c>
      <c r="J44" s="11" t="s">
        <v>752</v>
      </c>
      <c r="K44" s="11" t="s">
        <v>752</v>
      </c>
      <c r="L44" s="170" t="s">
        <v>255</v>
      </c>
      <c r="M44" s="184">
        <f>O44</f>
        <v>2.08</v>
      </c>
      <c r="N44" s="195" t="s">
        <v>647</v>
      </c>
      <c r="O44" s="52">
        <f>S44</f>
        <v>2.08</v>
      </c>
      <c r="P44" s="52"/>
      <c r="S44" s="180">
        <v>2.08</v>
      </c>
      <c r="Y44" s="32" t="s">
        <v>706</v>
      </c>
      <c r="AB44"/>
    </row>
    <row r="45" spans="1:31" ht="12" customHeight="1" outlineLevel="3" x14ac:dyDescent="0.25">
      <c r="A45" s="2"/>
      <c r="C45" s="7"/>
      <c r="G45" s="40" t="s">
        <v>89</v>
      </c>
      <c r="H45" s="40" t="s">
        <v>89</v>
      </c>
      <c r="I45" s="11" t="s">
        <v>752</v>
      </c>
      <c r="J45" s="11" t="s">
        <v>752</v>
      </c>
      <c r="K45" s="11" t="s">
        <v>752</v>
      </c>
      <c r="L45" s="170" t="s">
        <v>645</v>
      </c>
      <c r="M45" s="194">
        <f>O45</f>
        <v>12.174666666666667</v>
      </c>
      <c r="N45" s="195" t="s">
        <v>646</v>
      </c>
      <c r="O45" s="167">
        <f>S45</f>
        <v>12.174666666666667</v>
      </c>
      <c r="P45" s="167"/>
      <c r="S45" s="39">
        <f>365.24/60*2</f>
        <v>12.174666666666667</v>
      </c>
      <c r="T45" s="18"/>
      <c r="Y45" s="32" t="s">
        <v>643</v>
      </c>
      <c r="AB45"/>
    </row>
    <row r="46" spans="1:31" ht="12" customHeight="1" outlineLevel="3" x14ac:dyDescent="0.25">
      <c r="A46" s="2"/>
      <c r="C46" s="7"/>
      <c r="G46" s="40" t="s">
        <v>89</v>
      </c>
      <c r="H46" s="40" t="s">
        <v>89</v>
      </c>
      <c r="I46" s="11" t="s">
        <v>752</v>
      </c>
      <c r="J46" s="11" t="s">
        <v>752</v>
      </c>
      <c r="K46" s="11" t="s">
        <v>752</v>
      </c>
      <c r="L46" s="170" t="s">
        <v>742</v>
      </c>
      <c r="M46" s="174">
        <f>O46</f>
        <v>2.1102755555555555</v>
      </c>
      <c r="N46" s="195" t="s">
        <v>744</v>
      </c>
      <c r="O46" s="52">
        <f>CHOOSE(swtchPSA, S46, AB46)</f>
        <v>2.1102755555555555</v>
      </c>
      <c r="P46" s="167"/>
      <c r="S46" s="99">
        <f>c.NSAID.Pack_Cel*c.NSAID.PackPerYr_Cel/12</f>
        <v>2.1102755555555555</v>
      </c>
      <c r="T46" s="18"/>
      <c r="U46" s="266">
        <f>S46*Cost.SEs.CoV</f>
        <v>0.4220551111111111</v>
      </c>
      <c r="V46" s="51">
        <f>_xlfn.GAMMA.INV(0.025, AD46, AE46)</f>
        <v>1.3656590729833842</v>
      </c>
      <c r="X46" s="51">
        <f>_xlfn.GAMMA.INV(0.975, AD46, AE46)</f>
        <v>3.0143258415440264</v>
      </c>
      <c r="AA46" s="19">
        <f ca="1">RAND()</f>
        <v>0.89061605518707398</v>
      </c>
      <c r="AB46" s="47">
        <f ca="1">_xlfn.GAMMA.INV(AA46,AD46,AE46)</f>
        <v>2.6405704515792672</v>
      </c>
      <c r="AC46" s="15" t="s">
        <v>38</v>
      </c>
      <c r="AD46" s="54">
        <f>S46^2/U46^2</f>
        <v>24.999999999999996</v>
      </c>
      <c r="AE46" s="55">
        <f>U46^2/S46</f>
        <v>8.4411022222222229E-2</v>
      </c>
    </row>
    <row r="47" spans="1:31" ht="12" customHeight="1" outlineLevel="3" x14ac:dyDescent="0.25">
      <c r="A47" s="2"/>
      <c r="C47" s="7"/>
      <c r="G47" s="40" t="s">
        <v>89</v>
      </c>
      <c r="H47" s="40" t="s">
        <v>89</v>
      </c>
      <c r="I47" s="11" t="s">
        <v>89</v>
      </c>
      <c r="J47" s="11" t="s">
        <v>89</v>
      </c>
      <c r="K47" s="11" t="s">
        <v>89</v>
      </c>
      <c r="L47" s="104" t="s">
        <v>254</v>
      </c>
      <c r="M47"/>
      <c r="O47"/>
      <c r="AB47"/>
    </row>
    <row r="48" spans="1:31" ht="12" customHeight="1" outlineLevel="3" x14ac:dyDescent="0.25">
      <c r="A48" s="2"/>
      <c r="C48" s="7"/>
      <c r="G48" s="40" t="s">
        <v>89</v>
      </c>
      <c r="H48" s="40" t="s">
        <v>89</v>
      </c>
      <c r="I48" s="11" t="s">
        <v>752</v>
      </c>
      <c r="J48" s="11" t="s">
        <v>752</v>
      </c>
      <c r="K48" s="11" t="s">
        <v>752</v>
      </c>
      <c r="L48" s="170" t="s">
        <v>253</v>
      </c>
      <c r="M48" s="184">
        <f>O48</f>
        <v>1.44</v>
      </c>
      <c r="N48" s="195" t="s">
        <v>648</v>
      </c>
      <c r="O48" s="52">
        <f>S48</f>
        <v>1.44</v>
      </c>
      <c r="P48" s="52"/>
      <c r="S48" s="180">
        <v>1.44</v>
      </c>
      <c r="Y48" s="32" t="s">
        <v>706</v>
      </c>
      <c r="AB48"/>
    </row>
    <row r="49" spans="1:31" ht="12" customHeight="1" outlineLevel="3" x14ac:dyDescent="0.25">
      <c r="A49" s="2"/>
      <c r="C49" s="7"/>
      <c r="G49" s="40" t="s">
        <v>89</v>
      </c>
      <c r="H49" s="40" t="s">
        <v>89</v>
      </c>
      <c r="I49" s="11" t="s">
        <v>752</v>
      </c>
      <c r="J49" s="11" t="s">
        <v>752</v>
      </c>
      <c r="K49" s="11" t="s">
        <v>752</v>
      </c>
      <c r="L49" s="170" t="s">
        <v>645</v>
      </c>
      <c r="M49" s="194">
        <f>O49</f>
        <v>26.088571428571431</v>
      </c>
      <c r="N49" s="195" t="s">
        <v>649</v>
      </c>
      <c r="O49" s="167">
        <f>S49</f>
        <v>26.088571428571431</v>
      </c>
      <c r="P49" s="167"/>
      <c r="S49" s="39">
        <f>365.24/28*2</f>
        <v>26.088571428571431</v>
      </c>
      <c r="T49" s="18"/>
      <c r="Y49" s="32" t="s">
        <v>643</v>
      </c>
      <c r="AB49"/>
    </row>
    <row r="50" spans="1:31" ht="12" customHeight="1" outlineLevel="3" x14ac:dyDescent="0.25">
      <c r="A50" s="2"/>
      <c r="C50" s="7"/>
      <c r="G50" s="40" t="s">
        <v>89</v>
      </c>
      <c r="H50" s="40" t="s">
        <v>89</v>
      </c>
      <c r="I50" s="11" t="s">
        <v>752</v>
      </c>
      <c r="J50" s="11" t="s">
        <v>752</v>
      </c>
      <c r="K50" s="11" t="s">
        <v>752</v>
      </c>
      <c r="L50" s="170" t="s">
        <v>742</v>
      </c>
      <c r="M50" s="174">
        <f>O50</f>
        <v>3.1306285714285718</v>
      </c>
      <c r="N50" s="195" t="s">
        <v>745</v>
      </c>
      <c r="O50" s="52">
        <f>CHOOSE(swtchPSA, S50, AB50)</f>
        <v>3.1306285714285718</v>
      </c>
      <c r="P50" s="167"/>
      <c r="S50" s="99">
        <f>c.NSAID.Pack_Dic*c.NSAID.PackPerYr_Dic/12</f>
        <v>3.1306285714285718</v>
      </c>
      <c r="T50" s="18"/>
      <c r="U50" s="266">
        <f>S50*Cost.SEs.CoV</f>
        <v>0.6261257142857144</v>
      </c>
      <c r="V50" s="51">
        <f>_xlfn.GAMMA.INV(0.025, AD50, AE50)</f>
        <v>2.025977745634691</v>
      </c>
      <c r="X50" s="51">
        <f>_xlfn.GAMMA.INV(0.975, AD50, AE50)</f>
        <v>4.4718020726202585</v>
      </c>
      <c r="AA50" s="19">
        <f ca="1">RAND()</f>
        <v>0.99127158373588375</v>
      </c>
      <c r="AB50" s="47">
        <f ca="1">_xlfn.GAMMA.INV(AA50,AD50,AE50)</f>
        <v>4.8100867075940021</v>
      </c>
      <c r="AC50" s="15" t="s">
        <v>38</v>
      </c>
      <c r="AD50" s="54">
        <f>S50^2/U50^2</f>
        <v>24.999999999999996</v>
      </c>
      <c r="AE50" s="55">
        <f>U50^2/S50</f>
        <v>0.12522514285714287</v>
      </c>
    </row>
    <row r="51" spans="1:31" ht="12" customHeight="1" outlineLevel="3" x14ac:dyDescent="0.25">
      <c r="A51" s="2"/>
      <c r="C51" s="7"/>
      <c r="G51" s="40" t="s">
        <v>89</v>
      </c>
      <c r="H51" s="40" t="s">
        <v>89</v>
      </c>
      <c r="I51" s="11" t="s">
        <v>89</v>
      </c>
      <c r="J51" s="11" t="s">
        <v>89</v>
      </c>
      <c r="K51" s="11" t="s">
        <v>89</v>
      </c>
      <c r="L51" s="104" t="s">
        <v>252</v>
      </c>
      <c r="M51"/>
      <c r="O51"/>
      <c r="AB51"/>
    </row>
    <row r="52" spans="1:31" ht="12" customHeight="1" outlineLevel="3" x14ac:dyDescent="0.25">
      <c r="A52" s="2"/>
      <c r="C52" s="7"/>
      <c r="G52" s="40" t="s">
        <v>89</v>
      </c>
      <c r="H52" s="40" t="s">
        <v>89</v>
      </c>
      <c r="I52" s="11" t="s">
        <v>752</v>
      </c>
      <c r="J52" s="11" t="s">
        <v>752</v>
      </c>
      <c r="K52" s="11" t="s">
        <v>752</v>
      </c>
      <c r="L52" s="170" t="s">
        <v>251</v>
      </c>
      <c r="M52" s="184">
        <f>O52</f>
        <v>7.67</v>
      </c>
      <c r="N52" s="195" t="s">
        <v>650</v>
      </c>
      <c r="O52" s="52">
        <f>S52</f>
        <v>7.67</v>
      </c>
      <c r="P52" s="52"/>
      <c r="S52" s="180">
        <v>7.67</v>
      </c>
      <c r="Y52" s="32" t="s">
        <v>706</v>
      </c>
      <c r="AB52"/>
    </row>
    <row r="53" spans="1:31" ht="12" customHeight="1" outlineLevel="3" x14ac:dyDescent="0.25">
      <c r="A53" s="2"/>
      <c r="C53" s="7"/>
      <c r="G53" s="40" t="s">
        <v>89</v>
      </c>
      <c r="H53" s="40" t="s">
        <v>89</v>
      </c>
      <c r="I53" s="11" t="s">
        <v>752</v>
      </c>
      <c r="J53" s="11" t="s">
        <v>752</v>
      </c>
      <c r="K53" s="11" t="s">
        <v>752</v>
      </c>
      <c r="L53" s="170" t="s">
        <v>645</v>
      </c>
      <c r="M53" s="194">
        <f>O53</f>
        <v>13.044285714285715</v>
      </c>
      <c r="N53" s="195" t="s">
        <v>651</v>
      </c>
      <c r="O53" s="167">
        <f>S53</f>
        <v>13.044285714285715</v>
      </c>
      <c r="P53" s="167"/>
      <c r="S53" s="39">
        <f>365.24/84*3</f>
        <v>13.044285714285715</v>
      </c>
      <c r="T53" s="18"/>
      <c r="Y53" s="32" t="s">
        <v>643</v>
      </c>
      <c r="AB53"/>
    </row>
    <row r="54" spans="1:31" ht="12" customHeight="1" outlineLevel="3" x14ac:dyDescent="0.25">
      <c r="A54" s="2"/>
      <c r="C54" s="7"/>
      <c r="G54" s="40" t="s">
        <v>89</v>
      </c>
      <c r="H54" s="40" t="s">
        <v>89</v>
      </c>
      <c r="I54" s="11" t="s">
        <v>752</v>
      </c>
      <c r="J54" s="11" t="s">
        <v>752</v>
      </c>
      <c r="K54" s="11" t="s">
        <v>752</v>
      </c>
      <c r="L54" s="170" t="s">
        <v>742</v>
      </c>
      <c r="M54" s="174">
        <f>O54</f>
        <v>8.3374726190476185</v>
      </c>
      <c r="N54" s="195" t="s">
        <v>746</v>
      </c>
      <c r="O54" s="52">
        <f>CHOOSE(swtchPSA, S54, AB54)</f>
        <v>8.3374726190476185</v>
      </c>
      <c r="P54" s="167"/>
      <c r="S54" s="99">
        <f>c.NSAID.Pack_Ibu*c.NSAID.PackPerYr_Ibu/12</f>
        <v>8.3374726190476185</v>
      </c>
      <c r="T54" s="18"/>
      <c r="U54" s="266">
        <f>S54*Cost.SEs.CoV</f>
        <v>1.6674945238095238</v>
      </c>
      <c r="V54" s="51">
        <f>_xlfn.GAMMA.INV(0.025, AD54, AE54)</f>
        <v>5.3955726767423888</v>
      </c>
      <c r="X54" s="51">
        <f>_xlfn.GAMMA.INV(0.975, AD54, AE54)</f>
        <v>11.909278436457425</v>
      </c>
      <c r="AA54" s="19">
        <f ca="1">RAND()</f>
        <v>0.77354090423948063</v>
      </c>
      <c r="AB54" s="47">
        <f ca="1">_xlfn.GAMMA.INV(AA54,AD54,AE54)</f>
        <v>9.5317031409456874</v>
      </c>
      <c r="AC54" s="15" t="s">
        <v>38</v>
      </c>
      <c r="AD54" s="54">
        <f>S54^2/U54^2</f>
        <v>24.999999999999996</v>
      </c>
      <c r="AE54" s="55">
        <f>U54^2/S54</f>
        <v>0.3334989047619048</v>
      </c>
    </row>
    <row r="55" spans="1:31" ht="12" customHeight="1" outlineLevel="3" x14ac:dyDescent="0.25">
      <c r="A55" s="2"/>
      <c r="C55" s="7"/>
      <c r="G55" s="40" t="s">
        <v>89</v>
      </c>
      <c r="H55" s="40" t="s">
        <v>89</v>
      </c>
      <c r="I55" s="11" t="s">
        <v>89</v>
      </c>
      <c r="J55" s="11" t="s">
        <v>89</v>
      </c>
      <c r="K55" s="11" t="s">
        <v>89</v>
      </c>
      <c r="L55" s="104" t="s">
        <v>644</v>
      </c>
      <c r="M55"/>
      <c r="O55"/>
      <c r="AB55"/>
    </row>
    <row r="56" spans="1:31" ht="12" customHeight="1" outlineLevel="3" x14ac:dyDescent="0.25">
      <c r="A56" s="2"/>
      <c r="C56" s="7"/>
      <c r="G56" s="40" t="s">
        <v>89</v>
      </c>
      <c r="H56" s="40" t="s">
        <v>89</v>
      </c>
      <c r="I56" s="11" t="s">
        <v>752</v>
      </c>
      <c r="J56" s="11" t="s">
        <v>752</v>
      </c>
      <c r="K56" s="11" t="s">
        <v>752</v>
      </c>
      <c r="L56" s="170" t="s">
        <v>265</v>
      </c>
      <c r="M56" s="184">
        <f>O56</f>
        <v>2.35</v>
      </c>
      <c r="N56" s="195" t="s">
        <v>652</v>
      </c>
      <c r="O56" s="52">
        <f>S56</f>
        <v>2.35</v>
      </c>
      <c r="S56" s="180">
        <v>2.35</v>
      </c>
      <c r="Y56" s="32" t="s">
        <v>706</v>
      </c>
      <c r="AB56"/>
    </row>
    <row r="57" spans="1:31" ht="12" customHeight="1" outlineLevel="3" x14ac:dyDescent="0.25">
      <c r="A57" s="2"/>
      <c r="C57" s="7"/>
      <c r="G57" s="40" t="s">
        <v>89</v>
      </c>
      <c r="H57" s="40" t="s">
        <v>89</v>
      </c>
      <c r="I57" s="11" t="s">
        <v>752</v>
      </c>
      <c r="J57" s="11" t="s">
        <v>752</v>
      </c>
      <c r="K57" s="11" t="s">
        <v>752</v>
      </c>
      <c r="L57" s="170" t="s">
        <v>645</v>
      </c>
      <c r="M57" s="194">
        <f>O57</f>
        <v>13.044285714285715</v>
      </c>
      <c r="N57" s="195" t="s">
        <v>653</v>
      </c>
      <c r="O57" s="167">
        <f>S57</f>
        <v>13.044285714285715</v>
      </c>
      <c r="S57" s="39">
        <f>365.24/28*1</f>
        <v>13.044285714285715</v>
      </c>
      <c r="T57" s="18"/>
      <c r="Y57" s="32" t="s">
        <v>643</v>
      </c>
      <c r="AB57"/>
    </row>
    <row r="58" spans="1:31" ht="12" customHeight="1" outlineLevel="3" x14ac:dyDescent="0.25">
      <c r="A58" s="2"/>
      <c r="C58" s="7"/>
      <c r="G58" s="40" t="s">
        <v>89</v>
      </c>
      <c r="H58" s="40" t="s">
        <v>89</v>
      </c>
      <c r="I58" s="11" t="s">
        <v>752</v>
      </c>
      <c r="J58" s="11" t="s">
        <v>752</v>
      </c>
      <c r="K58" s="11" t="s">
        <v>752</v>
      </c>
      <c r="L58" s="170" t="s">
        <v>742</v>
      </c>
      <c r="M58" s="174">
        <f>O58</f>
        <v>2.5545059523809526</v>
      </c>
      <c r="N58" s="195" t="s">
        <v>747</v>
      </c>
      <c r="O58" s="52">
        <f>CHOOSE(swtchPSA, S58, AB58)</f>
        <v>2.5545059523809526</v>
      </c>
      <c r="P58" s="167"/>
      <c r="S58" s="99">
        <f>c.NSAID.Pack_Nap*c.NSAID.PackPerYr_Nap/12</f>
        <v>2.5545059523809526</v>
      </c>
      <c r="T58" s="18"/>
      <c r="U58" s="266">
        <f>S58*Cost.SEs.CoV</f>
        <v>0.51090119047619054</v>
      </c>
      <c r="V58" s="51">
        <f>_xlfn.GAMMA.INV(0.025, AD58, AE58)</f>
        <v>1.6531415632783069</v>
      </c>
      <c r="X58" s="51">
        <f>_xlfn.GAMMA.INV(0.975, AD58, AE58)</f>
        <v>3.648866274533892</v>
      </c>
      <c r="AA58" s="19">
        <f ca="1">RAND()</f>
        <v>0.54709781150894654</v>
      </c>
      <c r="AB58" s="47">
        <f ca="1">_xlfn.GAMMA.INV(AA58,AD58,AE58)</f>
        <v>2.5809899817379609</v>
      </c>
      <c r="AC58" s="15" t="s">
        <v>38</v>
      </c>
      <c r="AD58" s="54">
        <f>S58^2/U58^2</f>
        <v>24.999999999999996</v>
      </c>
      <c r="AE58" s="55">
        <f>U58^2/S58</f>
        <v>0.10218023809523812</v>
      </c>
    </row>
    <row r="59" spans="1:31" ht="12" customHeight="1" outlineLevel="3" x14ac:dyDescent="0.25">
      <c r="A59" s="2"/>
      <c r="C59" s="7"/>
      <c r="G59" s="40" t="s">
        <v>89</v>
      </c>
      <c r="H59" s="40" t="s">
        <v>89</v>
      </c>
      <c r="I59" s="40" t="s">
        <v>89</v>
      </c>
      <c r="J59" s="40" t="s">
        <v>89</v>
      </c>
      <c r="K59" s="40" t="s">
        <v>89</v>
      </c>
      <c r="L59" s="104" t="s">
        <v>523</v>
      </c>
      <c r="M59"/>
      <c r="O59"/>
      <c r="AB59"/>
    </row>
    <row r="60" spans="1:31" ht="12" customHeight="1" outlineLevel="3" x14ac:dyDescent="0.25">
      <c r="A60" s="2"/>
      <c r="C60" s="7"/>
      <c r="F60">
        <v>8</v>
      </c>
      <c r="G60" s="40" t="s">
        <v>89</v>
      </c>
      <c r="H60" s="40" t="s">
        <v>89</v>
      </c>
      <c r="I60" s="40" t="s">
        <v>89</v>
      </c>
      <c r="J60" s="40" t="s">
        <v>752</v>
      </c>
      <c r="K60" s="40" t="s">
        <v>89</v>
      </c>
      <c r="L60" s="170" t="s">
        <v>522</v>
      </c>
      <c r="M60" s="36">
        <f>O60</f>
        <v>3.2802592261540496E-2</v>
      </c>
      <c r="O60" s="11">
        <f>CHOOSE(swtchPSA, S60, AB60)</f>
        <v>3.2802592261540496E-2</v>
      </c>
      <c r="P60" s="11"/>
      <c r="Q60" s="162">
        <f>SUM(R60:R63)</f>
        <v>808869</v>
      </c>
      <c r="R60" s="162">
        <v>26533</v>
      </c>
      <c r="S60" s="17">
        <f>R60/Q60</f>
        <v>3.2802592261540496E-2</v>
      </c>
      <c r="T60" s="18"/>
      <c r="U60" s="22">
        <f>SQRT((S60*(1-S60))/Q60)</f>
        <v>1.9804895221560559E-4</v>
      </c>
      <c r="V60" s="17">
        <f>_xlfn.BETA.INV(0.025, R60, Q60-R60)</f>
        <v>3.2415519083594475E-2</v>
      </c>
      <c r="W60" s="18"/>
      <c r="X60" s="17">
        <f>_xlfn.BETA.INV(0.975, R60, Q60-R60)</f>
        <v>3.3191853711496355E-2</v>
      </c>
      <c r="Y60" s="15" t="s">
        <v>518</v>
      </c>
      <c r="AA60" s="19">
        <f ca="1">_xlfn.GAMMA.INV(RAND(), R60, 1)</f>
        <v>26330.185796533729</v>
      </c>
      <c r="AB60" s="64">
        <f ca="1">AA60/SUM($AA$60:$AA$63)</f>
        <v>3.2570395173356137E-2</v>
      </c>
      <c r="AC60" s="442" t="s">
        <v>61</v>
      </c>
      <c r="AD60" s="27">
        <f>LN(S60)</f>
        <v>-3.4172477343508922</v>
      </c>
      <c r="AE60" s="26">
        <f>U60</f>
        <v>1.9804895221560559E-4</v>
      </c>
    </row>
    <row r="61" spans="1:31" ht="12" customHeight="1" outlineLevel="3" x14ac:dyDescent="0.25">
      <c r="A61" s="2"/>
      <c r="C61" s="7"/>
      <c r="F61">
        <v>8</v>
      </c>
      <c r="G61" s="40" t="s">
        <v>89</v>
      </c>
      <c r="H61" s="40" t="s">
        <v>89</v>
      </c>
      <c r="I61" s="40" t="s">
        <v>89</v>
      </c>
      <c r="J61" s="40" t="s">
        <v>752</v>
      </c>
      <c r="K61" s="40" t="s">
        <v>89</v>
      </c>
      <c r="L61" s="170" t="s">
        <v>521</v>
      </c>
      <c r="M61" s="36">
        <f>O61</f>
        <v>7.8989304819445424E-2</v>
      </c>
      <c r="O61" s="11">
        <f>CHOOSE(swtchPSA, S61, AB61)</f>
        <v>7.8989304819445424E-2</v>
      </c>
      <c r="P61" s="11"/>
      <c r="Q61" s="163">
        <f>$Q$60</f>
        <v>808869</v>
      </c>
      <c r="R61" s="162">
        <v>63892</v>
      </c>
      <c r="S61" s="17">
        <f>R61/Q61</f>
        <v>7.8989304819445424E-2</v>
      </c>
      <c r="T61" s="18"/>
      <c r="U61" s="22">
        <f>SQRT((S61*(1-S61))/Q61)</f>
        <v>2.9990063606811498E-4</v>
      </c>
      <c r="V61" s="17">
        <f>_xlfn.BETA.INV(0.025, R61, Q61-R61)</f>
        <v>7.8402497483650774E-2</v>
      </c>
      <c r="W61" s="18"/>
      <c r="X61" s="17">
        <f>_xlfn.BETA.INV(0.975, R61, Q61-R61)</f>
        <v>7.9578084099776514E-2</v>
      </c>
      <c r="Y61" s="15" t="s">
        <v>518</v>
      </c>
      <c r="AA61" s="19">
        <f ca="1">_xlfn.GAMMA.INV(RAND(), R61, 1)</f>
        <v>63715.935269042595</v>
      </c>
      <c r="AB61" s="64">
        <f ca="1">AA61/SUM($AA$60:$AA$63)</f>
        <v>7.881650386325402E-2</v>
      </c>
      <c r="AC61" s="443"/>
      <c r="AD61" s="27">
        <f>LN(S61)</f>
        <v>-2.5384428177124265</v>
      </c>
      <c r="AE61" s="26">
        <f>U61</f>
        <v>2.9990063606811498E-4</v>
      </c>
    </row>
    <row r="62" spans="1:31" ht="12" customHeight="1" outlineLevel="3" x14ac:dyDescent="0.25">
      <c r="A62" s="2"/>
      <c r="C62" s="7"/>
      <c r="F62">
        <v>8</v>
      </c>
      <c r="G62" s="40" t="s">
        <v>89</v>
      </c>
      <c r="H62" s="40" t="s">
        <v>89</v>
      </c>
      <c r="I62" s="40" t="s">
        <v>89</v>
      </c>
      <c r="J62" s="40" t="s">
        <v>752</v>
      </c>
      <c r="K62" s="40" t="s">
        <v>89</v>
      </c>
      <c r="L62" s="170" t="s">
        <v>520</v>
      </c>
      <c r="M62" s="36">
        <f>O62</f>
        <v>0.22824833193013949</v>
      </c>
      <c r="O62" s="11">
        <f>CHOOSE(swtchPSA, S62, AB62)</f>
        <v>0.22824833193013949</v>
      </c>
      <c r="P62" s="11"/>
      <c r="Q62" s="163">
        <f>$Q$60</f>
        <v>808869</v>
      </c>
      <c r="R62" s="162">
        <v>184623</v>
      </c>
      <c r="S62" s="17">
        <f>R62/Q62</f>
        <v>0.22824833193013949</v>
      </c>
      <c r="T62" s="18"/>
      <c r="U62" s="22">
        <f>SQRT((S62*(1-S62))/Q62)</f>
        <v>4.666631399935167E-4</v>
      </c>
      <c r="V62" s="17">
        <f>_xlfn.BETA.INV(0.025, R62, Q62-R62)</f>
        <v>0.2273343263728809</v>
      </c>
      <c r="W62" s="18"/>
      <c r="X62" s="17">
        <f>_xlfn.BETA.INV(0.975, R62, Q62-R62)</f>
        <v>0.22916361032822519</v>
      </c>
      <c r="Y62" s="15" t="s">
        <v>518</v>
      </c>
      <c r="AA62" s="19">
        <f ca="1">_xlfn.GAMMA.INV(RAND(), R62, 1)</f>
        <v>184786.19577116726</v>
      </c>
      <c r="AB62" s="64">
        <f ca="1">AA62/SUM($AA$60:$AA$63)</f>
        <v>0.2285802107648017</v>
      </c>
      <c r="AC62" s="443"/>
      <c r="AD62" s="27">
        <f>LN(S62)</f>
        <v>-1.4773210676163944</v>
      </c>
      <c r="AE62" s="26">
        <f>U62</f>
        <v>4.666631399935167E-4</v>
      </c>
    </row>
    <row r="63" spans="1:31" ht="12" customHeight="1" outlineLevel="3" x14ac:dyDescent="0.25">
      <c r="A63" s="2"/>
      <c r="C63" s="7"/>
      <c r="F63">
        <v>8</v>
      </c>
      <c r="G63" s="40" t="s">
        <v>89</v>
      </c>
      <c r="H63" s="40" t="s">
        <v>89</v>
      </c>
      <c r="I63" s="40" t="s">
        <v>89</v>
      </c>
      <c r="J63" s="40" t="s">
        <v>752</v>
      </c>
      <c r="K63" s="40" t="s">
        <v>89</v>
      </c>
      <c r="L63" s="170" t="s">
        <v>519</v>
      </c>
      <c r="M63" s="36">
        <f>O63</f>
        <v>0.65995977098887459</v>
      </c>
      <c r="O63" s="11">
        <f>CHOOSE(swtchPSA, S63, AB63)</f>
        <v>0.65995977098887459</v>
      </c>
      <c r="P63" s="11"/>
      <c r="Q63" s="163">
        <f>$Q$60</f>
        <v>808869</v>
      </c>
      <c r="R63" s="162">
        <v>533821</v>
      </c>
      <c r="S63" s="17">
        <f>R63/Q63</f>
        <v>0.65995977098887459</v>
      </c>
      <c r="T63" s="18"/>
      <c r="U63" s="22">
        <f>SQRT((S63*(1-S63))/Q63)</f>
        <v>5.2672603587500678E-4</v>
      </c>
      <c r="V63" s="17">
        <f>_xlfn.BETA.INV(0.025, R63, Q63-R63)</f>
        <v>0.65892703327367452</v>
      </c>
      <c r="W63" s="18"/>
      <c r="X63" s="17">
        <f>_xlfn.BETA.INV(0.975, R63, Q63-R63)</f>
        <v>0.66099175947831745</v>
      </c>
      <c r="Y63" s="15" t="s">
        <v>518</v>
      </c>
      <c r="AA63" s="19">
        <f ca="1">_xlfn.GAMMA.INV(RAND(), R63, 1)</f>
        <v>533576.22891135514</v>
      </c>
      <c r="AB63" s="64">
        <f ca="1">AA63/SUM($AA$60:$AA$63)</f>
        <v>0.66003289019858813</v>
      </c>
      <c r="AC63" s="444"/>
      <c r="AD63" s="27">
        <f>LN(S63)</f>
        <v>-0.41557639886653802</v>
      </c>
      <c r="AE63" s="26">
        <f>U63</f>
        <v>5.2672603587500678E-4</v>
      </c>
    </row>
    <row r="64" spans="1:31" ht="12" customHeight="1" outlineLevel="3" x14ac:dyDescent="0.25">
      <c r="A64" s="2"/>
      <c r="C64" s="7"/>
      <c r="G64" s="40" t="s">
        <v>89</v>
      </c>
      <c r="H64" s="40" t="s">
        <v>89</v>
      </c>
      <c r="I64" s="11" t="s">
        <v>89</v>
      </c>
      <c r="J64" s="11" t="s">
        <v>89</v>
      </c>
      <c r="K64" s="11" t="s">
        <v>89</v>
      </c>
      <c r="L64" s="38" t="s">
        <v>267</v>
      </c>
      <c r="M64"/>
      <c r="O64"/>
      <c r="AB64"/>
    </row>
    <row r="65" spans="1:31" ht="12" customHeight="1" outlineLevel="3" x14ac:dyDescent="0.25">
      <c r="A65" s="2"/>
      <c r="C65" s="7"/>
      <c r="G65" s="40" t="s">
        <v>89</v>
      </c>
      <c r="H65" s="40" t="s">
        <v>89</v>
      </c>
      <c r="I65" s="11" t="s">
        <v>89</v>
      </c>
      <c r="J65" s="11" t="s">
        <v>89</v>
      </c>
      <c r="K65" s="11" t="s">
        <v>89</v>
      </c>
      <c r="L65" s="104" t="s">
        <v>268</v>
      </c>
      <c r="M65"/>
      <c r="O65"/>
      <c r="AB65"/>
    </row>
    <row r="66" spans="1:31" ht="12" customHeight="1" outlineLevel="3" x14ac:dyDescent="0.25">
      <c r="A66" s="2"/>
      <c r="C66" s="7"/>
      <c r="G66" s="40" t="s">
        <v>89</v>
      </c>
      <c r="H66" s="40" t="s">
        <v>89</v>
      </c>
      <c r="I66" s="11" t="s">
        <v>752</v>
      </c>
      <c r="J66" s="11" t="s">
        <v>752</v>
      </c>
      <c r="K66" s="11" t="s">
        <v>752</v>
      </c>
      <c r="L66" s="170" t="s">
        <v>269</v>
      </c>
      <c r="M66" s="184">
        <f>O66</f>
        <v>3.06</v>
      </c>
      <c r="N66" s="195" t="s">
        <v>654</v>
      </c>
      <c r="O66" s="52">
        <f>S66</f>
        <v>3.06</v>
      </c>
      <c r="S66" s="180">
        <v>3.06</v>
      </c>
      <c r="Y66" s="32" t="s">
        <v>706</v>
      </c>
      <c r="AB66"/>
    </row>
    <row r="67" spans="1:31" ht="12" customHeight="1" outlineLevel="3" x14ac:dyDescent="0.25">
      <c r="A67" s="2"/>
      <c r="C67" s="7"/>
      <c r="G67" s="40" t="s">
        <v>89</v>
      </c>
      <c r="H67" s="40" t="s">
        <v>89</v>
      </c>
      <c r="I67" s="11" t="s">
        <v>752</v>
      </c>
      <c r="J67" s="11" t="s">
        <v>752</v>
      </c>
      <c r="K67" s="11" t="s">
        <v>752</v>
      </c>
      <c r="L67" s="170" t="s">
        <v>645</v>
      </c>
      <c r="M67" s="194">
        <f>O67</f>
        <v>21.914400000000001</v>
      </c>
      <c r="N67" s="195" t="s">
        <v>655</v>
      </c>
      <c r="O67" s="11">
        <f>S67</f>
        <v>21.914400000000001</v>
      </c>
      <c r="S67" s="39">
        <f>365.24/100*6</f>
        <v>21.914400000000001</v>
      </c>
      <c r="Y67" s="32" t="s">
        <v>643</v>
      </c>
      <c r="AB67"/>
    </row>
    <row r="68" spans="1:31" ht="12" customHeight="1" outlineLevel="3" thickBot="1" x14ac:dyDescent="0.3">
      <c r="A68" s="2"/>
      <c r="C68" s="7"/>
      <c r="G68" s="40" t="s">
        <v>89</v>
      </c>
      <c r="H68" s="40" t="s">
        <v>89</v>
      </c>
      <c r="I68" s="11" t="s">
        <v>752</v>
      </c>
      <c r="J68" s="11" t="s">
        <v>752</v>
      </c>
      <c r="K68" s="11" t="s">
        <v>752</v>
      </c>
      <c r="L68" s="170" t="s">
        <v>742</v>
      </c>
      <c r="M68" s="174">
        <f>O68</f>
        <v>5.5881720000000001</v>
      </c>
      <c r="N68" s="195" t="s">
        <v>743</v>
      </c>
      <c r="O68" s="52">
        <f>CHOOSE(swtchPSA, S68, AB68)</f>
        <v>5.5881720000000001</v>
      </c>
      <c r="P68" s="167"/>
      <c r="S68" s="99">
        <f>c.Paracet.Pack*c.Paracet.PackPerYr/12</f>
        <v>5.5881720000000001</v>
      </c>
      <c r="T68" s="18"/>
      <c r="U68" s="266">
        <f>S68*Cost.SEs.CoV</f>
        <v>1.1176344</v>
      </c>
      <c r="V68" s="51">
        <f>_xlfn.GAMMA.INV(0.025, AD68, AE68)</f>
        <v>3.6163702759579239</v>
      </c>
      <c r="X68" s="51">
        <f>_xlfn.GAMMA.INV(0.975, AD68, AE68)</f>
        <v>7.9821666996271636</v>
      </c>
      <c r="AA68" s="19">
        <f ca="1">RAND()</f>
        <v>0.27451243243519086</v>
      </c>
      <c r="AB68" s="47">
        <f ca="1">_xlfn.GAMMA.INV(AA68,AD68,AE68)</f>
        <v>4.8758031126430268</v>
      </c>
      <c r="AC68" s="15" t="s">
        <v>38</v>
      </c>
      <c r="AD68" s="54">
        <f>S68^2/U68^2</f>
        <v>25</v>
      </c>
      <c r="AE68" s="55">
        <f>U68^2/S68</f>
        <v>0.22352688000000001</v>
      </c>
    </row>
    <row r="69" spans="1:31" s="13" customFormat="1" ht="12" customHeight="1" outlineLevel="1" thickBot="1" x14ac:dyDescent="0.3">
      <c r="A69" s="2"/>
      <c r="B69" s="69"/>
      <c r="C69" s="7"/>
      <c r="D69" s="196"/>
      <c r="E69" s="179"/>
      <c r="F69" s="179"/>
      <c r="G69" s="196" t="s">
        <v>89</v>
      </c>
      <c r="H69" s="196" t="s">
        <v>89</v>
      </c>
      <c r="I69" s="196" t="s">
        <v>89</v>
      </c>
      <c r="J69" s="196" t="s">
        <v>89</v>
      </c>
      <c r="K69" s="196" t="s">
        <v>89</v>
      </c>
      <c r="L69" s="13" t="s">
        <v>154</v>
      </c>
      <c r="M69" s="25"/>
      <c r="O69" s="25"/>
      <c r="AB69" s="25"/>
    </row>
    <row r="70" spans="1:31" s="110" customFormat="1" ht="12" customHeight="1" outlineLevel="2" thickBot="1" x14ac:dyDescent="0.3">
      <c r="A70" s="2"/>
      <c r="B70" s="69"/>
      <c r="C70" s="7"/>
      <c r="D70" s="112"/>
      <c r="G70" s="112" t="s">
        <v>89</v>
      </c>
      <c r="H70" s="112" t="s">
        <v>89</v>
      </c>
      <c r="I70" s="112" t="s">
        <v>89</v>
      </c>
      <c r="J70" s="112" t="s">
        <v>89</v>
      </c>
      <c r="K70" s="112" t="s">
        <v>89</v>
      </c>
      <c r="L70" s="110" t="s">
        <v>156</v>
      </c>
    </row>
    <row r="71" spans="1:31" ht="12" customHeight="1" outlineLevel="3" x14ac:dyDescent="0.25">
      <c r="A71" s="2"/>
      <c r="C71" s="7"/>
      <c r="D71" s="40">
        <v>50</v>
      </c>
      <c r="E71">
        <f t="shared" ref="E71:E78" si="10">D71+4</f>
        <v>54</v>
      </c>
      <c r="G71" s="40" t="s">
        <v>752</v>
      </c>
      <c r="H71" s="40" t="s">
        <v>752</v>
      </c>
      <c r="I71" s="40" t="s">
        <v>752</v>
      </c>
      <c r="J71" s="40" t="s">
        <v>89</v>
      </c>
      <c r="K71" s="40" t="s">
        <v>752</v>
      </c>
      <c r="L71" s="76" t="str">
        <f t="shared" ref="L71:L78" si="11">D71&amp;"-"&amp;E71</f>
        <v>50-54</v>
      </c>
      <c r="M71" s="87">
        <f t="shared" ref="M71:M78" si="12">O71</f>
        <v>0.83440000000000003</v>
      </c>
      <c r="N71" s="441" t="s">
        <v>413</v>
      </c>
      <c r="O71" s="11">
        <f t="shared" ref="O71:O78" si="13">CHOOSE(swtchPSA, S71, AB71)</f>
        <v>0.83440000000000003</v>
      </c>
      <c r="S71" s="35">
        <v>0.83440000000000003</v>
      </c>
      <c r="T71" s="18"/>
      <c r="U71" s="22">
        <f t="shared" ref="U71:U78" si="14">(X71-V71)/2/_xlfn.NORM.S.INV(0.975)</f>
        <v>4.8470278407842177E-3</v>
      </c>
      <c r="V71" s="35">
        <v>0.82399999999999995</v>
      </c>
      <c r="W71" s="18"/>
      <c r="X71" s="35">
        <v>0.84299999999999997</v>
      </c>
      <c r="Y71" s="32" t="s">
        <v>155</v>
      </c>
      <c r="AA71" s="19">
        <f t="shared" ref="AA71:AA78" ca="1" si="15">RAND()</f>
        <v>0.1357603575356473</v>
      </c>
      <c r="AB71" s="21">
        <f t="shared" ref="AB71:AB78" ca="1" si="16">_xlfn.BETA.INV(AA71, AD71, AE71)</f>
        <v>0.8290625029823121</v>
      </c>
      <c r="AC71" s="20" t="s">
        <v>28</v>
      </c>
      <c r="AD71" s="54">
        <f t="shared" ref="AD71:AD78" si="17">(S71^2*(1-S71))/U71^2-S71</f>
        <v>4906.6383274120881</v>
      </c>
      <c r="AE71" s="55">
        <f t="shared" ref="AE71:AE78" si="18">AD71*((1-S71)/S71)</f>
        <v>973.80070352282064</v>
      </c>
    </row>
    <row r="72" spans="1:31" ht="12" customHeight="1" outlineLevel="3" x14ac:dyDescent="0.25">
      <c r="A72" s="2"/>
      <c r="C72" s="7"/>
      <c r="D72" s="40">
        <f t="shared" ref="D72:D78" si="19">D71+5</f>
        <v>55</v>
      </c>
      <c r="E72">
        <f t="shared" si="10"/>
        <v>59</v>
      </c>
      <c r="G72" s="40" t="s">
        <v>752</v>
      </c>
      <c r="H72" s="40" t="s">
        <v>752</v>
      </c>
      <c r="I72" s="40" t="s">
        <v>752</v>
      </c>
      <c r="J72" s="40" t="s">
        <v>89</v>
      </c>
      <c r="K72" s="40" t="s">
        <v>752</v>
      </c>
      <c r="L72" s="76" t="str">
        <f t="shared" si="11"/>
        <v>55-59</v>
      </c>
      <c r="M72" s="87">
        <f t="shared" si="12"/>
        <v>0.82220000000000004</v>
      </c>
      <c r="N72" s="441"/>
      <c r="O72" s="11">
        <f t="shared" si="13"/>
        <v>0.82220000000000004</v>
      </c>
      <c r="S72" s="35">
        <v>0.82220000000000004</v>
      </c>
      <c r="T72" s="18"/>
      <c r="U72" s="22">
        <f t="shared" si="14"/>
        <v>5.6123480261711716E-3</v>
      </c>
      <c r="V72" s="35">
        <v>0.81100000000000005</v>
      </c>
      <c r="W72" s="18"/>
      <c r="X72" s="35">
        <v>0.83299999999999996</v>
      </c>
      <c r="Y72" s="32" t="s">
        <v>155</v>
      </c>
      <c r="AA72" s="19">
        <f t="shared" ca="1" si="15"/>
        <v>0.48579150317831621</v>
      </c>
      <c r="AB72" s="21">
        <f t="shared" ca="1" si="16"/>
        <v>0.8220462988432965</v>
      </c>
      <c r="AC72" s="20" t="s">
        <v>28</v>
      </c>
      <c r="AD72" s="54">
        <f t="shared" si="17"/>
        <v>3815.082441405174</v>
      </c>
      <c r="AE72" s="55">
        <f t="shared" si="18"/>
        <v>825.00809788596416</v>
      </c>
    </row>
    <row r="73" spans="1:31" ht="12" customHeight="1" outlineLevel="3" x14ac:dyDescent="0.25">
      <c r="A73" s="2"/>
      <c r="C73" s="7"/>
      <c r="D73" s="40">
        <f t="shared" si="19"/>
        <v>60</v>
      </c>
      <c r="E73">
        <f t="shared" si="10"/>
        <v>64</v>
      </c>
      <c r="G73" s="40" t="s">
        <v>752</v>
      </c>
      <c r="H73" s="40" t="s">
        <v>752</v>
      </c>
      <c r="I73" s="40" t="s">
        <v>752</v>
      </c>
      <c r="J73" s="40" t="s">
        <v>89</v>
      </c>
      <c r="K73" s="40" t="s">
        <v>752</v>
      </c>
      <c r="L73" s="76" t="str">
        <f t="shared" si="11"/>
        <v>60-64</v>
      </c>
      <c r="M73" s="87">
        <f t="shared" si="12"/>
        <v>0.80720000000000003</v>
      </c>
      <c r="N73" s="441"/>
      <c r="O73" s="11">
        <f t="shared" si="13"/>
        <v>0.80720000000000003</v>
      </c>
      <c r="S73" s="35">
        <v>0.80720000000000003</v>
      </c>
      <c r="T73" s="18"/>
      <c r="U73" s="22">
        <f t="shared" si="14"/>
        <v>7.142988396945135E-3</v>
      </c>
      <c r="V73" s="35">
        <v>0.79300000000000004</v>
      </c>
      <c r="W73" s="18"/>
      <c r="X73" s="35">
        <v>0.82099999999999995</v>
      </c>
      <c r="Y73" s="32" t="s">
        <v>155</v>
      </c>
      <c r="AA73" s="19">
        <f t="shared" ca="1" si="15"/>
        <v>0.54907160310675829</v>
      </c>
      <c r="AB73" s="21">
        <f t="shared" ca="1" si="16"/>
        <v>0.80814707400128871</v>
      </c>
      <c r="AC73" s="20" t="s">
        <v>28</v>
      </c>
      <c r="AD73" s="54">
        <f t="shared" si="17"/>
        <v>2461.3141081315243</v>
      </c>
      <c r="AE73" s="55">
        <f t="shared" si="18"/>
        <v>587.88572850316871</v>
      </c>
    </row>
    <row r="74" spans="1:31" ht="12" customHeight="1" outlineLevel="3" x14ac:dyDescent="0.25">
      <c r="A74" s="2"/>
      <c r="C74" s="7"/>
      <c r="D74" s="40">
        <f t="shared" si="19"/>
        <v>65</v>
      </c>
      <c r="E74">
        <f t="shared" si="10"/>
        <v>69</v>
      </c>
      <c r="G74" s="40" t="s">
        <v>752</v>
      </c>
      <c r="H74" s="40" t="s">
        <v>752</v>
      </c>
      <c r="I74" s="40" t="s">
        <v>752</v>
      </c>
      <c r="J74" s="40" t="s">
        <v>89</v>
      </c>
      <c r="K74" s="40" t="s">
        <v>752</v>
      </c>
      <c r="L74" s="76" t="str">
        <f t="shared" si="11"/>
        <v>65-69</v>
      </c>
      <c r="M74" s="87">
        <f t="shared" si="12"/>
        <v>0.80410000000000004</v>
      </c>
      <c r="N74" s="441"/>
      <c r="O74" s="11">
        <f t="shared" si="13"/>
        <v>0.80410000000000004</v>
      </c>
      <c r="S74" s="35">
        <v>0.80410000000000004</v>
      </c>
      <c r="T74" s="18"/>
      <c r="U74" s="22">
        <f t="shared" si="14"/>
        <v>6.8878816684828075E-3</v>
      </c>
      <c r="V74" s="35">
        <v>0.79</v>
      </c>
      <c r="W74" s="18"/>
      <c r="X74" s="35">
        <v>0.81699999999999995</v>
      </c>
      <c r="Y74" s="32" t="s">
        <v>155</v>
      </c>
      <c r="AA74" s="19">
        <f t="shared" ca="1" si="15"/>
        <v>0.72207997445344019</v>
      </c>
      <c r="AB74" s="21">
        <f t="shared" ca="1" si="16"/>
        <v>0.80819734407779931</v>
      </c>
      <c r="AC74" s="20" t="s">
        <v>28</v>
      </c>
      <c r="AD74" s="54">
        <f t="shared" si="17"/>
        <v>2669.0234194898799</v>
      </c>
      <c r="AE74" s="55">
        <f t="shared" si="18"/>
        <v>650.24460624060112</v>
      </c>
    </row>
    <row r="75" spans="1:31" ht="12" customHeight="1" outlineLevel="3" x14ac:dyDescent="0.25">
      <c r="A75" s="2"/>
      <c r="C75" s="7"/>
      <c r="D75" s="40">
        <f t="shared" si="19"/>
        <v>70</v>
      </c>
      <c r="E75">
        <f t="shared" si="10"/>
        <v>74</v>
      </c>
      <c r="G75" s="40" t="s">
        <v>752</v>
      </c>
      <c r="H75" s="40" t="s">
        <v>752</v>
      </c>
      <c r="I75" s="40" t="s">
        <v>752</v>
      </c>
      <c r="J75" s="40" t="s">
        <v>89</v>
      </c>
      <c r="K75" s="40" t="s">
        <v>752</v>
      </c>
      <c r="L75" s="76" t="str">
        <f t="shared" si="11"/>
        <v>70-74</v>
      </c>
      <c r="M75" s="87">
        <f t="shared" si="12"/>
        <v>0.77900000000000003</v>
      </c>
      <c r="N75" s="441"/>
      <c r="O75" s="11">
        <f t="shared" si="13"/>
        <v>0.77900000000000003</v>
      </c>
      <c r="S75" s="35">
        <v>0.77900000000000003</v>
      </c>
      <c r="T75" s="18"/>
      <c r="U75" s="22">
        <f t="shared" si="14"/>
        <v>6.377668211558182E-3</v>
      </c>
      <c r="V75" s="35">
        <v>0.76600000000000001</v>
      </c>
      <c r="W75" s="18"/>
      <c r="X75" s="35">
        <v>0.79100000000000004</v>
      </c>
      <c r="Y75" s="32" t="s">
        <v>155</v>
      </c>
      <c r="AA75" s="19">
        <f t="shared" ca="1" si="15"/>
        <v>0.62597717879698578</v>
      </c>
      <c r="AB75" s="21">
        <f t="shared" ca="1" si="16"/>
        <v>0.78108822238506725</v>
      </c>
      <c r="AC75" s="20" t="s">
        <v>28</v>
      </c>
      <c r="AD75" s="54">
        <f t="shared" si="17"/>
        <v>3296.4062249481808</v>
      </c>
      <c r="AE75" s="55">
        <f t="shared" si="18"/>
        <v>935.18071336784055</v>
      </c>
    </row>
    <row r="76" spans="1:31" ht="12" customHeight="1" outlineLevel="3" x14ac:dyDescent="0.25">
      <c r="A76" s="2"/>
      <c r="C76" s="7"/>
      <c r="D76" s="40">
        <f t="shared" si="19"/>
        <v>75</v>
      </c>
      <c r="E76">
        <f t="shared" si="10"/>
        <v>79</v>
      </c>
      <c r="G76" s="40" t="s">
        <v>752</v>
      </c>
      <c r="H76" s="40" t="s">
        <v>752</v>
      </c>
      <c r="I76" s="40" t="s">
        <v>752</v>
      </c>
      <c r="J76" s="40" t="s">
        <v>89</v>
      </c>
      <c r="K76" s="40" t="s">
        <v>752</v>
      </c>
      <c r="L76" s="76" t="str">
        <f t="shared" si="11"/>
        <v>75-79</v>
      </c>
      <c r="M76" s="87">
        <f t="shared" si="12"/>
        <v>0.75329999999999997</v>
      </c>
      <c r="N76" s="441"/>
      <c r="O76" s="11">
        <f t="shared" si="13"/>
        <v>0.75329999999999997</v>
      </c>
      <c r="S76" s="35">
        <v>0.75329999999999997</v>
      </c>
      <c r="T76" s="18"/>
      <c r="U76" s="22">
        <f t="shared" si="14"/>
        <v>7.1429883969451637E-3</v>
      </c>
      <c r="V76" s="35">
        <v>0.73899999999999999</v>
      </c>
      <c r="W76" s="18"/>
      <c r="X76" s="35">
        <v>0.76700000000000002</v>
      </c>
      <c r="Y76" s="32" t="s">
        <v>155</v>
      </c>
      <c r="AA76" s="19">
        <f t="shared" ca="1" si="15"/>
        <v>0.31257583977218006</v>
      </c>
      <c r="AB76" s="21">
        <f t="shared" ca="1" si="16"/>
        <v>0.74984509918973907</v>
      </c>
      <c r="AC76" s="20" t="s">
        <v>28</v>
      </c>
      <c r="AD76" s="54">
        <f t="shared" si="17"/>
        <v>2743.0008536025684</v>
      </c>
      <c r="AE76" s="55">
        <f t="shared" si="18"/>
        <v>898.31184200684163</v>
      </c>
    </row>
    <row r="77" spans="1:31" ht="12" customHeight="1" outlineLevel="3" x14ac:dyDescent="0.25">
      <c r="A77" s="2"/>
      <c r="C77" s="7"/>
      <c r="D77" s="40">
        <f t="shared" si="19"/>
        <v>80</v>
      </c>
      <c r="E77">
        <f t="shared" si="10"/>
        <v>84</v>
      </c>
      <c r="G77" s="40" t="s">
        <v>752</v>
      </c>
      <c r="H77" s="40" t="s">
        <v>752</v>
      </c>
      <c r="I77" s="40" t="s">
        <v>752</v>
      </c>
      <c r="J77" s="40" t="s">
        <v>89</v>
      </c>
      <c r="K77" s="40" t="s">
        <v>752</v>
      </c>
      <c r="L77" s="76" t="str">
        <f t="shared" si="11"/>
        <v>80-84</v>
      </c>
      <c r="M77" s="87">
        <f t="shared" si="12"/>
        <v>0.69850000000000001</v>
      </c>
      <c r="N77" s="441"/>
      <c r="O77" s="11">
        <f t="shared" si="13"/>
        <v>0.69850000000000001</v>
      </c>
      <c r="S77" s="35">
        <v>0.69850000000000001</v>
      </c>
      <c r="T77" s="18"/>
      <c r="U77" s="22">
        <f t="shared" si="14"/>
        <v>1.0714482595417716E-2</v>
      </c>
      <c r="V77" s="35">
        <v>0.67700000000000005</v>
      </c>
      <c r="W77" s="18"/>
      <c r="X77" s="35">
        <v>0.71899999999999997</v>
      </c>
      <c r="Y77" s="32" t="s">
        <v>155</v>
      </c>
      <c r="AA77" s="19">
        <f t="shared" ca="1" si="15"/>
        <v>0.34980095290870428</v>
      </c>
      <c r="AB77" s="21">
        <f t="shared" ca="1" si="16"/>
        <v>0.6944258834180761</v>
      </c>
      <c r="AC77" s="20" t="s">
        <v>28</v>
      </c>
      <c r="AD77" s="54">
        <f t="shared" si="17"/>
        <v>1280.6808768085111</v>
      </c>
      <c r="AE77" s="55">
        <f t="shared" si="18"/>
        <v>552.79210359021624</v>
      </c>
    </row>
    <row r="78" spans="1:31" ht="12" customHeight="1" outlineLevel="3" thickBot="1" x14ac:dyDescent="0.3">
      <c r="A78" s="2"/>
      <c r="C78" s="7"/>
      <c r="D78" s="40">
        <f t="shared" si="19"/>
        <v>85</v>
      </c>
      <c r="E78">
        <f t="shared" si="10"/>
        <v>89</v>
      </c>
      <c r="G78" s="40" t="s">
        <v>752</v>
      </c>
      <c r="H78" s="40" t="s">
        <v>752</v>
      </c>
      <c r="I78" s="40" t="s">
        <v>752</v>
      </c>
      <c r="J78" s="40" t="s">
        <v>89</v>
      </c>
      <c r="K78" s="40" t="s">
        <v>752</v>
      </c>
      <c r="L78" s="76" t="str">
        <f t="shared" si="11"/>
        <v>85-89</v>
      </c>
      <c r="M78" s="87">
        <f t="shared" si="12"/>
        <v>0.64970000000000006</v>
      </c>
      <c r="N78" s="441"/>
      <c r="O78" s="11">
        <f t="shared" si="13"/>
        <v>0.64970000000000006</v>
      </c>
      <c r="S78" s="35">
        <v>0.64970000000000006</v>
      </c>
      <c r="T78" s="18"/>
      <c r="U78" s="22">
        <f t="shared" si="14"/>
        <v>1.3010443151578691E-2</v>
      </c>
      <c r="V78" s="35">
        <v>0.624</v>
      </c>
      <c r="W78" s="18"/>
      <c r="X78" s="35">
        <v>0.67500000000000004</v>
      </c>
      <c r="Y78" s="32" t="s">
        <v>155</v>
      </c>
      <c r="AA78" s="19">
        <f t="shared" ca="1" si="15"/>
        <v>0.80394909283347915</v>
      </c>
      <c r="AB78" s="21">
        <f t="shared" ca="1" si="16"/>
        <v>0.66085847511027573</v>
      </c>
      <c r="AC78" s="20" t="s">
        <v>28</v>
      </c>
      <c r="AD78" s="54">
        <f t="shared" si="17"/>
        <v>872.88807861688724</v>
      </c>
      <c r="AE78" s="55">
        <f t="shared" si="18"/>
        <v>470.6367460974227</v>
      </c>
    </row>
    <row r="79" spans="1:31" s="381" customFormat="1" ht="12" customHeight="1" outlineLevel="1" thickBot="1" x14ac:dyDescent="0.3">
      <c r="A79" s="2"/>
      <c r="B79" s="69"/>
      <c r="C79" s="7"/>
      <c r="D79" s="196"/>
      <c r="G79" s="196" t="s">
        <v>89</v>
      </c>
      <c r="H79" s="196" t="s">
        <v>89</v>
      </c>
      <c r="I79" s="196" t="s">
        <v>89</v>
      </c>
      <c r="J79" s="196" t="s">
        <v>89</v>
      </c>
      <c r="K79" s="196" t="s">
        <v>89</v>
      </c>
      <c r="L79" s="381" t="s">
        <v>197</v>
      </c>
    </row>
    <row r="80" spans="1:31" ht="12" customHeight="1" outlineLevel="3" x14ac:dyDescent="0.25">
      <c r="A80" s="2"/>
      <c r="C80" s="7"/>
      <c r="G80" s="40" t="s">
        <v>89</v>
      </c>
      <c r="H80" s="40" t="s">
        <v>89</v>
      </c>
      <c r="I80" s="40" t="s">
        <v>89</v>
      </c>
      <c r="J80" s="40" t="s">
        <v>89</v>
      </c>
      <c r="K80" s="40" t="s">
        <v>89</v>
      </c>
      <c r="L80" s="38" t="s">
        <v>409</v>
      </c>
      <c r="M80" s="175">
        <f t="shared" ref="M80:M112" si="20">O80</f>
        <v>188.6</v>
      </c>
      <c r="N80" s="133"/>
      <c r="O80" s="176">
        <f t="shared" ref="O80:O91" si="21">S80</f>
        <v>188.6</v>
      </c>
      <c r="P80" s="133"/>
      <c r="Q80" s="133"/>
      <c r="S80" s="39">
        <v>188.6</v>
      </c>
      <c r="T80" s="133"/>
      <c r="U80" s="133"/>
      <c r="V80" s="133"/>
      <c r="W80" s="133"/>
      <c r="Y80" s="32" t="s">
        <v>412</v>
      </c>
    </row>
    <row r="81" spans="1:25" ht="12" customHeight="1" outlineLevel="3" x14ac:dyDescent="0.25">
      <c r="A81" s="2"/>
      <c r="C81" s="7"/>
      <c r="G81" s="40" t="s">
        <v>89</v>
      </c>
      <c r="H81" s="40" t="s">
        <v>89</v>
      </c>
      <c r="I81" s="40" t="s">
        <v>89</v>
      </c>
      <c r="J81" s="40" t="s">
        <v>89</v>
      </c>
      <c r="K81" s="40" t="s">
        <v>89</v>
      </c>
      <c r="L81" s="38" t="s">
        <v>178</v>
      </c>
      <c r="M81" s="175">
        <f t="shared" si="20"/>
        <v>196.5</v>
      </c>
      <c r="N81" s="133"/>
      <c r="O81" s="176">
        <f t="shared" si="21"/>
        <v>196.5</v>
      </c>
      <c r="P81" s="133"/>
      <c r="Q81" s="133"/>
      <c r="S81" s="39">
        <v>196.5</v>
      </c>
      <c r="T81" s="133"/>
      <c r="U81" s="133"/>
      <c r="V81" s="133"/>
      <c r="W81" s="133"/>
      <c r="Y81" s="32" t="s">
        <v>412</v>
      </c>
    </row>
    <row r="82" spans="1:25" ht="12" customHeight="1" outlineLevel="3" x14ac:dyDescent="0.25">
      <c r="A82" s="2"/>
      <c r="C82" s="7"/>
      <c r="G82" s="40" t="s">
        <v>89</v>
      </c>
      <c r="H82" s="40" t="s">
        <v>89</v>
      </c>
      <c r="I82" s="40" t="s">
        <v>89</v>
      </c>
      <c r="J82" s="40" t="s">
        <v>89</v>
      </c>
      <c r="K82" s="40" t="s">
        <v>89</v>
      </c>
      <c r="L82" s="38" t="s">
        <v>179</v>
      </c>
      <c r="M82" s="175">
        <f t="shared" si="20"/>
        <v>206.5</v>
      </c>
      <c r="N82" s="133"/>
      <c r="O82" s="176">
        <f t="shared" si="21"/>
        <v>206.5</v>
      </c>
      <c r="P82" s="133"/>
      <c r="Q82" s="133"/>
      <c r="S82" s="39">
        <v>206.5</v>
      </c>
      <c r="T82" s="133"/>
      <c r="U82" s="133"/>
      <c r="V82" s="133"/>
      <c r="W82" s="133"/>
      <c r="Y82" s="32" t="s">
        <v>412</v>
      </c>
    </row>
    <row r="83" spans="1:25" ht="12" customHeight="1" outlineLevel="3" x14ac:dyDescent="0.25">
      <c r="A83" s="2"/>
      <c r="C83" s="7"/>
      <c r="G83" s="40" t="s">
        <v>89</v>
      </c>
      <c r="H83" s="40" t="s">
        <v>89</v>
      </c>
      <c r="I83" s="40" t="s">
        <v>89</v>
      </c>
      <c r="J83" s="40" t="s">
        <v>89</v>
      </c>
      <c r="K83" s="40" t="s">
        <v>89</v>
      </c>
      <c r="L83" s="38" t="s">
        <v>180</v>
      </c>
      <c r="M83" s="175">
        <f t="shared" si="20"/>
        <v>213.7</v>
      </c>
      <c r="N83" s="133"/>
      <c r="O83" s="176">
        <f t="shared" si="21"/>
        <v>213.7</v>
      </c>
      <c r="P83" s="133"/>
      <c r="Q83" s="133"/>
      <c r="S83" s="39">
        <v>213.7</v>
      </c>
      <c r="T83" s="133"/>
      <c r="U83" s="133"/>
      <c r="V83" s="133"/>
      <c r="W83" s="133"/>
      <c r="Y83" s="32" t="s">
        <v>412</v>
      </c>
    </row>
    <row r="84" spans="1:25" ht="12" customHeight="1" outlineLevel="3" x14ac:dyDescent="0.25">
      <c r="A84" s="2"/>
      <c r="C84" s="7"/>
      <c r="G84" s="40" t="s">
        <v>89</v>
      </c>
      <c r="H84" s="40" t="s">
        <v>89</v>
      </c>
      <c r="I84" s="40" t="s">
        <v>89</v>
      </c>
      <c r="J84" s="40" t="s">
        <v>89</v>
      </c>
      <c r="K84" s="40" t="s">
        <v>89</v>
      </c>
      <c r="L84" s="38" t="s">
        <v>181</v>
      </c>
      <c r="M84" s="175">
        <f t="shared" si="20"/>
        <v>224.8</v>
      </c>
      <c r="N84" s="133"/>
      <c r="O84" s="176">
        <f t="shared" si="21"/>
        <v>224.8</v>
      </c>
      <c r="P84" s="133"/>
      <c r="Q84" s="133"/>
      <c r="S84" s="39">
        <v>224.8</v>
      </c>
      <c r="T84" s="133"/>
      <c r="U84" s="133"/>
      <c r="V84" s="133"/>
      <c r="W84" s="133"/>
      <c r="Y84" s="32" t="s">
        <v>412</v>
      </c>
    </row>
    <row r="85" spans="1:25" ht="12" customHeight="1" outlineLevel="3" x14ac:dyDescent="0.25">
      <c r="A85" s="2"/>
      <c r="C85" s="7"/>
      <c r="G85" s="40" t="s">
        <v>89</v>
      </c>
      <c r="H85" s="40" t="s">
        <v>89</v>
      </c>
      <c r="I85" s="40" t="s">
        <v>89</v>
      </c>
      <c r="J85" s="40" t="s">
        <v>89</v>
      </c>
      <c r="K85" s="40" t="s">
        <v>89</v>
      </c>
      <c r="L85" s="38" t="s">
        <v>182</v>
      </c>
      <c r="M85" s="175">
        <f t="shared" si="20"/>
        <v>232.3</v>
      </c>
      <c r="N85" s="133"/>
      <c r="O85" s="176">
        <f t="shared" si="21"/>
        <v>232.3</v>
      </c>
      <c r="P85" s="133"/>
      <c r="Q85" s="133"/>
      <c r="S85" s="39">
        <v>232.3</v>
      </c>
      <c r="T85" s="133"/>
      <c r="U85" s="133"/>
      <c r="V85" s="133"/>
      <c r="W85" s="133"/>
      <c r="Y85" s="32" t="s">
        <v>412</v>
      </c>
    </row>
    <row r="86" spans="1:25" ht="12" customHeight="1" outlineLevel="3" x14ac:dyDescent="0.25">
      <c r="A86" s="2"/>
      <c r="C86" s="7"/>
      <c r="G86" s="40" t="s">
        <v>89</v>
      </c>
      <c r="H86" s="40" t="s">
        <v>89</v>
      </c>
      <c r="I86" s="40" t="s">
        <v>89</v>
      </c>
      <c r="J86" s="40" t="s">
        <v>89</v>
      </c>
      <c r="K86" s="40" t="s">
        <v>89</v>
      </c>
      <c r="L86" s="38" t="s">
        <v>183</v>
      </c>
      <c r="M86" s="175">
        <f t="shared" si="20"/>
        <v>240.9</v>
      </c>
      <c r="N86" s="133"/>
      <c r="O86" s="176">
        <f t="shared" si="21"/>
        <v>240.9</v>
      </c>
      <c r="P86" s="133"/>
      <c r="Q86" s="133"/>
      <c r="S86" s="39">
        <v>240.9</v>
      </c>
      <c r="T86" s="133"/>
      <c r="U86" s="133"/>
      <c r="V86" s="133"/>
      <c r="W86" s="133"/>
      <c r="Y86" s="32" t="s">
        <v>412</v>
      </c>
    </row>
    <row r="87" spans="1:25" ht="12" customHeight="1" outlineLevel="3" x14ac:dyDescent="0.25">
      <c r="A87" s="2"/>
      <c r="C87" s="7"/>
      <c r="G87" s="40" t="s">
        <v>89</v>
      </c>
      <c r="H87" s="40" t="s">
        <v>89</v>
      </c>
      <c r="I87" s="40" t="s">
        <v>89</v>
      </c>
      <c r="J87" s="40" t="s">
        <v>89</v>
      </c>
      <c r="K87" s="40" t="s">
        <v>89</v>
      </c>
      <c r="L87" s="38" t="s">
        <v>184</v>
      </c>
      <c r="M87" s="175">
        <f t="shared" si="20"/>
        <v>249.8</v>
      </c>
      <c r="N87" s="133"/>
      <c r="O87" s="176">
        <f t="shared" si="21"/>
        <v>249.8</v>
      </c>
      <c r="P87" s="133"/>
      <c r="Q87" s="133"/>
      <c r="S87" s="39">
        <v>249.8</v>
      </c>
      <c r="T87" s="133"/>
      <c r="U87" s="133"/>
      <c r="V87" s="133"/>
      <c r="W87" s="133"/>
      <c r="Y87" s="32" t="s">
        <v>412</v>
      </c>
    </row>
    <row r="88" spans="1:25" ht="12" customHeight="1" outlineLevel="3" x14ac:dyDescent="0.25">
      <c r="A88" s="2"/>
      <c r="C88" s="7"/>
      <c r="G88" s="40" t="s">
        <v>89</v>
      </c>
      <c r="H88" s="40" t="s">
        <v>89</v>
      </c>
      <c r="I88" s="40" t="s">
        <v>89</v>
      </c>
      <c r="J88" s="40" t="s">
        <v>89</v>
      </c>
      <c r="K88" s="40" t="s">
        <v>89</v>
      </c>
      <c r="L88" s="38" t="s">
        <v>185</v>
      </c>
      <c r="M88" s="175">
        <f t="shared" si="20"/>
        <v>257</v>
      </c>
      <c r="N88" s="133"/>
      <c r="O88" s="176">
        <f t="shared" si="21"/>
        <v>257</v>
      </c>
      <c r="P88" s="133"/>
      <c r="Q88" s="133"/>
      <c r="S88" s="39">
        <v>257</v>
      </c>
      <c r="T88" s="133"/>
      <c r="U88" s="133"/>
      <c r="V88" s="133"/>
      <c r="W88" s="133"/>
      <c r="Y88" s="32" t="s">
        <v>412</v>
      </c>
    </row>
    <row r="89" spans="1:25" ht="12" customHeight="1" outlineLevel="3" x14ac:dyDescent="0.25">
      <c r="A89" s="2"/>
      <c r="C89" s="7"/>
      <c r="G89" s="40" t="s">
        <v>89</v>
      </c>
      <c r="H89" s="40" t="s">
        <v>89</v>
      </c>
      <c r="I89" s="40" t="s">
        <v>89</v>
      </c>
      <c r="J89" s="40" t="s">
        <v>89</v>
      </c>
      <c r="K89" s="40" t="s">
        <v>89</v>
      </c>
      <c r="L89" s="38" t="s">
        <v>186</v>
      </c>
      <c r="M89" s="175">
        <f>O89</f>
        <v>267</v>
      </c>
      <c r="N89" s="133"/>
      <c r="O89" s="176">
        <f t="shared" si="21"/>
        <v>267</v>
      </c>
      <c r="P89" s="133"/>
      <c r="Q89" s="133"/>
      <c r="S89" s="39">
        <v>267</v>
      </c>
      <c r="T89" s="133"/>
      <c r="U89" s="133"/>
      <c r="V89" s="133"/>
      <c r="W89" s="133"/>
      <c r="Y89" s="32" t="s">
        <v>412</v>
      </c>
    </row>
    <row r="90" spans="1:25" ht="12" customHeight="1" outlineLevel="3" x14ac:dyDescent="0.25">
      <c r="A90" s="2"/>
      <c r="C90" s="7"/>
      <c r="G90" s="40" t="s">
        <v>89</v>
      </c>
      <c r="H90" s="40" t="s">
        <v>89</v>
      </c>
      <c r="I90" s="40" t="s">
        <v>89</v>
      </c>
      <c r="J90" s="40" t="s">
        <v>89</v>
      </c>
      <c r="K90" s="40" t="s">
        <v>89</v>
      </c>
      <c r="L90" s="38" t="s">
        <v>187</v>
      </c>
      <c r="M90" s="175">
        <f t="shared" si="20"/>
        <v>268.60000000000002</v>
      </c>
      <c r="N90" s="133"/>
      <c r="O90" s="176">
        <f t="shared" si="21"/>
        <v>268.60000000000002</v>
      </c>
      <c r="P90" s="133"/>
      <c r="Q90" s="133"/>
      <c r="S90" s="39">
        <v>268.60000000000002</v>
      </c>
      <c r="T90" s="133"/>
      <c r="U90" s="133"/>
      <c r="V90" s="133"/>
      <c r="W90" s="133"/>
      <c r="Y90" s="32" t="s">
        <v>412</v>
      </c>
    </row>
    <row r="91" spans="1:25" ht="12" customHeight="1" outlineLevel="3" x14ac:dyDescent="0.25">
      <c r="A91" s="2"/>
      <c r="C91" s="7"/>
      <c r="G91" s="40" t="s">
        <v>89</v>
      </c>
      <c r="H91" s="40" t="s">
        <v>89</v>
      </c>
      <c r="I91" s="40" t="s">
        <v>89</v>
      </c>
      <c r="J91" s="40" t="s">
        <v>89</v>
      </c>
      <c r="K91" s="40" t="s">
        <v>89</v>
      </c>
      <c r="L91" s="38" t="s">
        <v>188</v>
      </c>
      <c r="M91" s="175">
        <f t="shared" si="20"/>
        <v>276.7</v>
      </c>
      <c r="N91" s="133"/>
      <c r="O91" s="176">
        <f t="shared" si="21"/>
        <v>276.7</v>
      </c>
      <c r="P91" s="133"/>
      <c r="Q91" s="133"/>
      <c r="S91" s="39">
        <v>276.7</v>
      </c>
      <c r="T91" s="133"/>
      <c r="U91" s="133"/>
      <c r="V91" s="133"/>
      <c r="W91" s="133"/>
      <c r="Y91" s="32" t="s">
        <v>412</v>
      </c>
    </row>
    <row r="92" spans="1:25" ht="12" customHeight="1" outlineLevel="3" x14ac:dyDescent="0.25">
      <c r="A92" s="2"/>
      <c r="C92" s="7"/>
      <c r="D92" s="40">
        <v>1999</v>
      </c>
      <c r="G92" s="40" t="s">
        <v>89</v>
      </c>
      <c r="H92" s="40" t="s">
        <v>89</v>
      </c>
      <c r="I92" s="40" t="s">
        <v>89</v>
      </c>
      <c r="J92" s="40" t="s">
        <v>89</v>
      </c>
      <c r="K92" s="40" t="s">
        <v>89</v>
      </c>
      <c r="L92" s="38" t="str">
        <f>D92 &amp; "/" &amp; RIGHT(D92+1, 2)</f>
        <v>1999/00</v>
      </c>
      <c r="M92" s="206">
        <f t="shared" si="20"/>
        <v>0</v>
      </c>
      <c r="N92" s="177"/>
      <c r="O92" s="176">
        <f>(M80/M80-1)*100</f>
        <v>0</v>
      </c>
      <c r="P92" s="133"/>
      <c r="Q92" s="178"/>
      <c r="S92" s="133"/>
      <c r="T92" s="133"/>
      <c r="U92" s="133"/>
      <c r="V92" s="133"/>
      <c r="W92" s="133"/>
    </row>
    <row r="93" spans="1:25" ht="12" customHeight="1" outlineLevel="3" x14ac:dyDescent="0.25">
      <c r="A93" s="2"/>
      <c r="C93" s="7"/>
      <c r="D93" s="40">
        <v>2000</v>
      </c>
      <c r="G93" s="40" t="s">
        <v>89</v>
      </c>
      <c r="H93" s="40" t="s">
        <v>89</v>
      </c>
      <c r="I93" s="40" t="s">
        <v>89</v>
      </c>
      <c r="J93" s="40" t="s">
        <v>89</v>
      </c>
      <c r="K93" s="40" t="s">
        <v>89</v>
      </c>
      <c r="L93" s="38" t="str">
        <f>D93 &amp; "/" &amp; RIGHT(D93+1, 2)</f>
        <v>2000/01</v>
      </c>
      <c r="M93" s="206">
        <f t="shared" si="20"/>
        <v>4.1887592788971473</v>
      </c>
      <c r="N93" s="177"/>
      <c r="O93" s="176">
        <f t="shared" ref="O93:O103" si="22">(M81/M80-1)*100</f>
        <v>4.1887592788971473</v>
      </c>
      <c r="P93" s="133"/>
      <c r="Q93" s="178"/>
      <c r="S93" s="133"/>
      <c r="T93" s="133"/>
      <c r="U93" s="133"/>
      <c r="V93" s="133"/>
      <c r="W93" s="133"/>
    </row>
    <row r="94" spans="1:25" ht="12" customHeight="1" outlineLevel="3" x14ac:dyDescent="0.25">
      <c r="A94" s="2"/>
      <c r="C94" s="7"/>
      <c r="D94" s="40">
        <f t="shared" ref="D94:D113" si="23">D93+1</f>
        <v>2001</v>
      </c>
      <c r="G94" s="40" t="s">
        <v>89</v>
      </c>
      <c r="H94" s="40" t="s">
        <v>89</v>
      </c>
      <c r="I94" s="40" t="s">
        <v>89</v>
      </c>
      <c r="J94" s="40" t="s">
        <v>89</v>
      </c>
      <c r="K94" s="40" t="s">
        <v>89</v>
      </c>
      <c r="L94" s="38" t="s">
        <v>179</v>
      </c>
      <c r="M94" s="206">
        <f t="shared" si="20"/>
        <v>5.0890585241730291</v>
      </c>
      <c r="N94" s="177"/>
      <c r="O94" s="176">
        <f t="shared" si="22"/>
        <v>5.0890585241730291</v>
      </c>
      <c r="P94" s="133"/>
      <c r="Q94" s="178"/>
      <c r="S94" s="133"/>
      <c r="T94" s="133"/>
      <c r="U94" s="133"/>
      <c r="V94" s="133"/>
      <c r="W94" s="133"/>
    </row>
    <row r="95" spans="1:25" ht="12" customHeight="1" outlineLevel="3" x14ac:dyDescent="0.25">
      <c r="A95" s="2"/>
      <c r="C95" s="7"/>
      <c r="D95" s="40">
        <f t="shared" si="23"/>
        <v>2002</v>
      </c>
      <c r="G95" s="40" t="s">
        <v>89</v>
      </c>
      <c r="H95" s="40" t="s">
        <v>89</v>
      </c>
      <c r="I95" s="40" t="s">
        <v>89</v>
      </c>
      <c r="J95" s="40" t="s">
        <v>89</v>
      </c>
      <c r="K95" s="40" t="s">
        <v>89</v>
      </c>
      <c r="L95" s="38" t="s">
        <v>180</v>
      </c>
      <c r="M95" s="206">
        <f t="shared" si="20"/>
        <v>3.4866828087167123</v>
      </c>
      <c r="N95" s="177"/>
      <c r="O95" s="176">
        <f t="shared" si="22"/>
        <v>3.4866828087167123</v>
      </c>
      <c r="P95" s="133"/>
      <c r="Q95" s="178"/>
      <c r="S95" s="133"/>
      <c r="T95" s="133"/>
      <c r="U95" s="133"/>
      <c r="V95" s="133"/>
      <c r="W95" s="133"/>
    </row>
    <row r="96" spans="1:25" ht="12" customHeight="1" outlineLevel="3" x14ac:dyDescent="0.25">
      <c r="A96" s="2"/>
      <c r="C96" s="7"/>
      <c r="D96" s="40">
        <f t="shared" si="23"/>
        <v>2003</v>
      </c>
      <c r="G96" s="40" t="s">
        <v>89</v>
      </c>
      <c r="H96" s="40" t="s">
        <v>89</v>
      </c>
      <c r="I96" s="40" t="s">
        <v>89</v>
      </c>
      <c r="J96" s="40" t="s">
        <v>89</v>
      </c>
      <c r="K96" s="40" t="s">
        <v>89</v>
      </c>
      <c r="L96" s="38" t="s">
        <v>181</v>
      </c>
      <c r="M96" s="206">
        <f t="shared" si="20"/>
        <v>5.1941974730931317</v>
      </c>
      <c r="N96" s="177"/>
      <c r="O96" s="176">
        <f t="shared" si="22"/>
        <v>5.1941974730931317</v>
      </c>
      <c r="P96" s="133"/>
      <c r="Q96" s="178"/>
      <c r="S96" s="133"/>
      <c r="T96" s="133"/>
      <c r="U96" s="133"/>
      <c r="V96" s="133"/>
      <c r="W96" s="133"/>
    </row>
    <row r="97" spans="1:25" ht="12" customHeight="1" outlineLevel="3" x14ac:dyDescent="0.25">
      <c r="A97" s="2"/>
      <c r="C97" s="7"/>
      <c r="D97" s="40">
        <f t="shared" si="23"/>
        <v>2004</v>
      </c>
      <c r="G97" s="40" t="s">
        <v>89</v>
      </c>
      <c r="H97" s="40" t="s">
        <v>89</v>
      </c>
      <c r="I97" s="40" t="s">
        <v>89</v>
      </c>
      <c r="J97" s="40" t="s">
        <v>89</v>
      </c>
      <c r="K97" s="40" t="s">
        <v>89</v>
      </c>
      <c r="L97" s="38" t="s">
        <v>182</v>
      </c>
      <c r="M97" s="206">
        <f t="shared" si="20"/>
        <v>3.3362989323843406</v>
      </c>
      <c r="N97" s="177"/>
      <c r="O97" s="176">
        <f t="shared" si="22"/>
        <v>3.3362989323843406</v>
      </c>
      <c r="P97" s="133"/>
      <c r="Q97" s="178"/>
      <c r="S97" s="133"/>
      <c r="T97" s="133"/>
      <c r="U97" s="133"/>
      <c r="V97" s="133"/>
      <c r="W97" s="133"/>
    </row>
    <row r="98" spans="1:25" ht="12" customHeight="1" outlineLevel="3" x14ac:dyDescent="0.25">
      <c r="A98" s="2"/>
      <c r="C98" s="7"/>
      <c r="D98" s="40">
        <f t="shared" si="23"/>
        <v>2005</v>
      </c>
      <c r="G98" s="40" t="s">
        <v>89</v>
      </c>
      <c r="H98" s="40" t="s">
        <v>89</v>
      </c>
      <c r="I98" s="40" t="s">
        <v>89</v>
      </c>
      <c r="J98" s="40" t="s">
        <v>89</v>
      </c>
      <c r="K98" s="40" t="s">
        <v>89</v>
      </c>
      <c r="L98" s="38" t="s">
        <v>183</v>
      </c>
      <c r="M98" s="206">
        <f t="shared" si="20"/>
        <v>3.7021093413689199</v>
      </c>
      <c r="N98" s="177"/>
      <c r="O98" s="176">
        <f t="shared" si="22"/>
        <v>3.7021093413689199</v>
      </c>
      <c r="P98" s="133"/>
      <c r="Q98" s="178"/>
      <c r="S98" s="133"/>
      <c r="T98" s="133"/>
      <c r="U98" s="133"/>
      <c r="V98" s="133"/>
      <c r="W98" s="133"/>
    </row>
    <row r="99" spans="1:25" ht="12" customHeight="1" outlineLevel="3" x14ac:dyDescent="0.25">
      <c r="A99" s="2"/>
      <c r="C99" s="7"/>
      <c r="D99" s="40">
        <f t="shared" si="23"/>
        <v>2006</v>
      </c>
      <c r="G99" s="40" t="s">
        <v>89</v>
      </c>
      <c r="H99" s="40" t="s">
        <v>89</v>
      </c>
      <c r="I99" s="40" t="s">
        <v>89</v>
      </c>
      <c r="J99" s="40" t="s">
        <v>89</v>
      </c>
      <c r="K99" s="40" t="s">
        <v>89</v>
      </c>
      <c r="L99" s="38" t="s">
        <v>184</v>
      </c>
      <c r="M99" s="206">
        <f t="shared" si="20"/>
        <v>3.6944790369447977</v>
      </c>
      <c r="N99" s="177"/>
      <c r="O99" s="176">
        <f t="shared" si="22"/>
        <v>3.6944790369447977</v>
      </c>
      <c r="P99" s="133"/>
      <c r="Q99" s="178"/>
      <c r="S99" s="133"/>
      <c r="T99" s="133"/>
      <c r="U99" s="133"/>
      <c r="V99" s="133"/>
      <c r="W99" s="133"/>
    </row>
    <row r="100" spans="1:25" ht="12" customHeight="1" outlineLevel="3" x14ac:dyDescent="0.25">
      <c r="A100" s="2"/>
      <c r="C100" s="7"/>
      <c r="D100" s="40">
        <f t="shared" si="23"/>
        <v>2007</v>
      </c>
      <c r="G100" s="40" t="s">
        <v>89</v>
      </c>
      <c r="H100" s="40" t="s">
        <v>89</v>
      </c>
      <c r="I100" s="40" t="s">
        <v>89</v>
      </c>
      <c r="J100" s="40" t="s">
        <v>89</v>
      </c>
      <c r="K100" s="40" t="s">
        <v>89</v>
      </c>
      <c r="L100" s="38" t="s">
        <v>185</v>
      </c>
      <c r="M100" s="206">
        <f>O100</f>
        <v>2.8823058446757255</v>
      </c>
      <c r="N100" s="177"/>
      <c r="O100" s="176">
        <f t="shared" si="22"/>
        <v>2.8823058446757255</v>
      </c>
      <c r="P100" s="133"/>
      <c r="Q100" s="178"/>
      <c r="S100" s="133"/>
      <c r="T100" s="133"/>
      <c r="U100" s="133"/>
      <c r="V100" s="133"/>
      <c r="W100" s="133"/>
    </row>
    <row r="101" spans="1:25" ht="12" customHeight="1" outlineLevel="3" x14ac:dyDescent="0.25">
      <c r="A101" s="2"/>
      <c r="C101" s="7"/>
      <c r="D101" s="40">
        <f t="shared" si="23"/>
        <v>2008</v>
      </c>
      <c r="G101" s="40" t="s">
        <v>89</v>
      </c>
      <c r="H101" s="40" t="s">
        <v>89</v>
      </c>
      <c r="I101" s="40" t="s">
        <v>89</v>
      </c>
      <c r="J101" s="40" t="s">
        <v>89</v>
      </c>
      <c r="K101" s="40" t="s">
        <v>89</v>
      </c>
      <c r="L101" s="38" t="s">
        <v>186</v>
      </c>
      <c r="M101" s="206">
        <f t="shared" si="20"/>
        <v>3.8910505836575959</v>
      </c>
      <c r="N101" s="411"/>
      <c r="O101" s="176">
        <f t="shared" si="22"/>
        <v>3.8910505836575959</v>
      </c>
      <c r="P101" s="133"/>
      <c r="Q101" s="394"/>
      <c r="R101" s="382"/>
      <c r="S101" s="133"/>
      <c r="T101" s="133"/>
      <c r="U101" s="133"/>
      <c r="V101" s="133"/>
      <c r="W101" s="133"/>
    </row>
    <row r="102" spans="1:25" ht="12" customHeight="1" outlineLevel="3" x14ac:dyDescent="0.25">
      <c r="A102" s="2"/>
      <c r="C102" s="7"/>
      <c r="D102" s="40">
        <f t="shared" si="23"/>
        <v>2009</v>
      </c>
      <c r="G102" s="40" t="s">
        <v>89</v>
      </c>
      <c r="H102" s="40" t="s">
        <v>89</v>
      </c>
      <c r="I102" s="40" t="s">
        <v>89</v>
      </c>
      <c r="J102" s="40" t="s">
        <v>89</v>
      </c>
      <c r="K102" s="40" t="s">
        <v>89</v>
      </c>
      <c r="L102" s="38" t="s">
        <v>187</v>
      </c>
      <c r="M102" s="206">
        <f>O102</f>
        <v>0.59925093632959836</v>
      </c>
      <c r="N102" s="411"/>
      <c r="O102" s="176">
        <f t="shared" si="22"/>
        <v>0.59925093632959836</v>
      </c>
      <c r="P102" s="133"/>
      <c r="Q102" s="394"/>
      <c r="R102" s="382"/>
      <c r="S102" s="133"/>
      <c r="T102" s="133"/>
      <c r="U102" s="133"/>
      <c r="V102" s="133"/>
      <c r="W102" s="133"/>
    </row>
    <row r="103" spans="1:25" ht="12" customHeight="1" outlineLevel="3" x14ac:dyDescent="0.25">
      <c r="A103" s="2"/>
      <c r="C103" s="7"/>
      <c r="D103" s="40">
        <f t="shared" si="23"/>
        <v>2010</v>
      </c>
      <c r="G103" s="40" t="s">
        <v>89</v>
      </c>
      <c r="H103" s="40" t="s">
        <v>89</v>
      </c>
      <c r="I103" s="40" t="s">
        <v>89</v>
      </c>
      <c r="J103" s="40" t="s">
        <v>89</v>
      </c>
      <c r="K103" s="40" t="s">
        <v>89</v>
      </c>
      <c r="L103" s="38" t="s">
        <v>188</v>
      </c>
      <c r="M103" s="206">
        <f t="shared" si="20"/>
        <v>3.0156366344005869</v>
      </c>
      <c r="N103" s="411"/>
      <c r="O103" s="176">
        <f t="shared" si="22"/>
        <v>3.0156366344005869</v>
      </c>
      <c r="P103" s="133"/>
      <c r="Q103" s="394"/>
      <c r="R103" s="382"/>
      <c r="S103" s="133"/>
      <c r="T103" s="133"/>
      <c r="U103" s="133"/>
      <c r="V103" s="133"/>
      <c r="W103" s="133"/>
    </row>
    <row r="104" spans="1:25" ht="12" customHeight="1" outlineLevel="3" x14ac:dyDescent="0.25">
      <c r="A104" s="2"/>
      <c r="C104" s="7"/>
      <c r="D104" s="40">
        <f t="shared" si="23"/>
        <v>2011</v>
      </c>
      <c r="G104" s="40" t="s">
        <v>89</v>
      </c>
      <c r="H104" s="40" t="s">
        <v>89</v>
      </c>
      <c r="I104" s="40" t="s">
        <v>89</v>
      </c>
      <c r="J104" s="40" t="s">
        <v>89</v>
      </c>
      <c r="K104" s="40" t="s">
        <v>89</v>
      </c>
      <c r="L104" s="38" t="s">
        <v>189</v>
      </c>
      <c r="M104" s="194">
        <f>O104</f>
        <v>2.1</v>
      </c>
      <c r="N104" s="411"/>
      <c r="O104" s="176">
        <f t="shared" ref="O104:O112" si="24">S104</f>
        <v>2.1</v>
      </c>
      <c r="P104" s="133"/>
      <c r="Q104" s="394"/>
      <c r="R104" s="382"/>
      <c r="S104" s="39">
        <v>2.1</v>
      </c>
      <c r="T104" s="133"/>
      <c r="U104" s="133"/>
      <c r="V104" s="133"/>
      <c r="W104" s="133"/>
      <c r="Y104" s="32" t="s">
        <v>410</v>
      </c>
    </row>
    <row r="105" spans="1:25" ht="12" customHeight="1" outlineLevel="3" x14ac:dyDescent="0.25">
      <c r="A105" s="2"/>
      <c r="C105" s="7"/>
      <c r="D105" s="40">
        <f t="shared" si="23"/>
        <v>2012</v>
      </c>
      <c r="G105" s="40" t="s">
        <v>89</v>
      </c>
      <c r="H105" s="40" t="s">
        <v>89</v>
      </c>
      <c r="I105" s="40" t="s">
        <v>89</v>
      </c>
      <c r="J105" s="40" t="s">
        <v>89</v>
      </c>
      <c r="K105" s="40" t="s">
        <v>89</v>
      </c>
      <c r="L105" s="38" t="s">
        <v>190</v>
      </c>
      <c r="M105" s="194">
        <f t="shared" si="20"/>
        <v>1.7</v>
      </c>
      <c r="N105" s="411"/>
      <c r="O105" s="176">
        <f t="shared" si="24"/>
        <v>1.7</v>
      </c>
      <c r="P105" s="133"/>
      <c r="Q105" s="394"/>
      <c r="R105" s="382"/>
      <c r="S105" s="39">
        <v>1.7</v>
      </c>
      <c r="T105" s="133"/>
      <c r="U105" s="133"/>
      <c r="V105" s="133"/>
      <c r="W105" s="133"/>
      <c r="Y105" s="32" t="s">
        <v>410</v>
      </c>
    </row>
    <row r="106" spans="1:25" ht="12" customHeight="1" outlineLevel="3" x14ac:dyDescent="0.25">
      <c r="A106" s="2"/>
      <c r="C106" s="7"/>
      <c r="D106" s="40">
        <f t="shared" si="23"/>
        <v>2013</v>
      </c>
      <c r="G106" s="40" t="s">
        <v>89</v>
      </c>
      <c r="H106" s="40" t="s">
        <v>89</v>
      </c>
      <c r="I106" s="40" t="s">
        <v>89</v>
      </c>
      <c r="J106" s="40" t="s">
        <v>89</v>
      </c>
      <c r="K106" s="40" t="s">
        <v>89</v>
      </c>
      <c r="L106" s="38" t="s">
        <v>191</v>
      </c>
      <c r="M106" s="194">
        <f t="shared" si="20"/>
        <v>1.1000000000000001</v>
      </c>
      <c r="N106" s="411"/>
      <c r="O106" s="176">
        <f t="shared" si="24"/>
        <v>1.1000000000000001</v>
      </c>
      <c r="P106" s="133"/>
      <c r="Q106" s="394"/>
      <c r="R106" s="382"/>
      <c r="S106" s="39">
        <v>1.1000000000000001</v>
      </c>
      <c r="T106" s="133"/>
      <c r="U106" s="133"/>
      <c r="V106" s="133"/>
      <c r="W106" s="133"/>
      <c r="Y106" s="32" t="s">
        <v>410</v>
      </c>
    </row>
    <row r="107" spans="1:25" ht="12" customHeight="1" outlineLevel="3" x14ac:dyDescent="0.25">
      <c r="A107" s="2"/>
      <c r="C107" s="7"/>
      <c r="D107" s="40">
        <f t="shared" si="23"/>
        <v>2014</v>
      </c>
      <c r="G107" s="40" t="s">
        <v>89</v>
      </c>
      <c r="H107" s="40" t="s">
        <v>89</v>
      </c>
      <c r="I107" s="40" t="s">
        <v>89</v>
      </c>
      <c r="J107" s="40" t="s">
        <v>89</v>
      </c>
      <c r="K107" s="40" t="s">
        <v>89</v>
      </c>
      <c r="L107" s="38" t="s">
        <v>192</v>
      </c>
      <c r="M107" s="194">
        <f t="shared" si="20"/>
        <v>0.9</v>
      </c>
      <c r="N107" s="411"/>
      <c r="O107" s="176">
        <f t="shared" si="24"/>
        <v>0.9</v>
      </c>
      <c r="P107" s="133"/>
      <c r="Q107" s="394"/>
      <c r="R107" s="382"/>
      <c r="S107" s="39">
        <v>0.9</v>
      </c>
      <c r="T107" s="133"/>
      <c r="U107" s="133"/>
      <c r="V107" s="133"/>
      <c r="W107" s="133"/>
      <c r="Y107" s="32" t="s">
        <v>410</v>
      </c>
    </row>
    <row r="108" spans="1:25" ht="12" customHeight="1" outlineLevel="3" x14ac:dyDescent="0.25">
      <c r="A108" s="2"/>
      <c r="C108" s="7"/>
      <c r="D108" s="40">
        <f t="shared" si="23"/>
        <v>2015</v>
      </c>
      <c r="G108" s="40" t="s">
        <v>89</v>
      </c>
      <c r="H108" s="40" t="s">
        <v>89</v>
      </c>
      <c r="I108" s="40" t="s">
        <v>89</v>
      </c>
      <c r="J108" s="40" t="s">
        <v>89</v>
      </c>
      <c r="K108" s="40" t="s">
        <v>89</v>
      </c>
      <c r="L108" s="38" t="s">
        <v>193</v>
      </c>
      <c r="M108" s="194">
        <f>O108</f>
        <v>1.3</v>
      </c>
      <c r="N108" s="411"/>
      <c r="O108" s="176">
        <f t="shared" si="24"/>
        <v>1.3</v>
      </c>
      <c r="P108" s="133"/>
      <c r="Q108" s="394"/>
      <c r="R108" s="382"/>
      <c r="S108" s="39">
        <v>1.3</v>
      </c>
      <c r="T108" s="133"/>
      <c r="U108" s="133"/>
      <c r="V108" s="133"/>
      <c r="W108" s="133"/>
      <c r="Y108" s="32" t="s">
        <v>410</v>
      </c>
    </row>
    <row r="109" spans="1:25" ht="12" customHeight="1" outlineLevel="3" x14ac:dyDescent="0.25">
      <c r="A109" s="2"/>
      <c r="C109" s="7"/>
      <c r="D109" s="40">
        <f t="shared" si="23"/>
        <v>2016</v>
      </c>
      <c r="G109" s="40" t="s">
        <v>89</v>
      </c>
      <c r="H109" s="40" t="s">
        <v>89</v>
      </c>
      <c r="I109" s="40" t="s">
        <v>89</v>
      </c>
      <c r="J109" s="40" t="s">
        <v>89</v>
      </c>
      <c r="K109" s="40" t="s">
        <v>89</v>
      </c>
      <c r="L109" s="38" t="s">
        <v>194</v>
      </c>
      <c r="M109" s="194">
        <f>O109</f>
        <v>2.12</v>
      </c>
      <c r="N109" s="411"/>
      <c r="O109" s="176">
        <f t="shared" si="24"/>
        <v>2.12</v>
      </c>
      <c r="P109" s="133"/>
      <c r="Q109" s="394"/>
      <c r="R109" s="382"/>
      <c r="S109" s="39">
        <v>2.12</v>
      </c>
      <c r="T109" s="133"/>
      <c r="U109" s="133"/>
      <c r="V109" s="133"/>
      <c r="W109" s="133"/>
      <c r="Y109" s="32" t="s">
        <v>411</v>
      </c>
    </row>
    <row r="110" spans="1:25" ht="12" customHeight="1" outlineLevel="3" x14ac:dyDescent="0.25">
      <c r="A110" s="2"/>
      <c r="C110" s="7"/>
      <c r="D110" s="40">
        <f t="shared" si="23"/>
        <v>2017</v>
      </c>
      <c r="G110" s="40" t="s">
        <v>89</v>
      </c>
      <c r="H110" s="40" t="s">
        <v>89</v>
      </c>
      <c r="I110" s="40" t="s">
        <v>89</v>
      </c>
      <c r="J110" s="40" t="s">
        <v>89</v>
      </c>
      <c r="K110" s="40" t="s">
        <v>89</v>
      </c>
      <c r="L110" s="38" t="s">
        <v>195</v>
      </c>
      <c r="M110" s="194">
        <f>O110</f>
        <v>1.1599999999999999</v>
      </c>
      <c r="N110" s="411"/>
      <c r="O110" s="176">
        <f t="shared" si="24"/>
        <v>1.1599999999999999</v>
      </c>
      <c r="P110" s="133"/>
      <c r="Q110" s="394"/>
      <c r="R110" s="382"/>
      <c r="S110" s="39">
        <v>1.1599999999999999</v>
      </c>
      <c r="T110" s="133"/>
      <c r="U110" s="133"/>
      <c r="V110" s="133"/>
      <c r="W110" s="133"/>
      <c r="Y110" s="32" t="s">
        <v>411</v>
      </c>
    </row>
    <row r="111" spans="1:25" ht="12" customHeight="1" outlineLevel="3" x14ac:dyDescent="0.25">
      <c r="A111" s="2"/>
      <c r="C111" s="7"/>
      <c r="D111" s="40">
        <f t="shared" si="23"/>
        <v>2018</v>
      </c>
      <c r="G111" s="40" t="s">
        <v>89</v>
      </c>
      <c r="H111" s="40" t="s">
        <v>89</v>
      </c>
      <c r="I111" s="40" t="s">
        <v>89</v>
      </c>
      <c r="J111" s="40" t="s">
        <v>89</v>
      </c>
      <c r="K111" s="40" t="s">
        <v>89</v>
      </c>
      <c r="L111" s="38" t="s">
        <v>196</v>
      </c>
      <c r="M111" s="194">
        <f t="shared" si="20"/>
        <v>2.31</v>
      </c>
      <c r="N111" s="411"/>
      <c r="O111" s="176">
        <f t="shared" si="24"/>
        <v>2.31</v>
      </c>
      <c r="P111" s="133"/>
      <c r="Q111" s="394"/>
      <c r="R111" s="382"/>
      <c r="S111" s="39">
        <v>2.31</v>
      </c>
      <c r="Y111" s="32" t="s">
        <v>411</v>
      </c>
    </row>
    <row r="112" spans="1:25" ht="12" customHeight="1" outlineLevel="3" x14ac:dyDescent="0.25">
      <c r="A112" s="2"/>
      <c r="C112" s="7"/>
      <c r="D112" s="40">
        <f t="shared" si="23"/>
        <v>2019</v>
      </c>
      <c r="G112" s="40" t="s">
        <v>89</v>
      </c>
      <c r="H112" s="40" t="s">
        <v>89</v>
      </c>
      <c r="I112" s="40" t="s">
        <v>89</v>
      </c>
      <c r="J112" s="40" t="s">
        <v>89</v>
      </c>
      <c r="K112" s="40" t="s">
        <v>89</v>
      </c>
      <c r="L112" t="s">
        <v>351</v>
      </c>
      <c r="M112" s="194">
        <f t="shared" si="20"/>
        <v>2.21</v>
      </c>
      <c r="N112" s="411"/>
      <c r="O112" s="176">
        <f t="shared" si="24"/>
        <v>2.21</v>
      </c>
      <c r="P112" s="133"/>
      <c r="Q112" s="394"/>
      <c r="R112" s="382"/>
      <c r="S112" s="39">
        <v>2.21</v>
      </c>
      <c r="Y112" s="32" t="s">
        <v>411</v>
      </c>
    </row>
    <row r="113" spans="1:31" ht="12" customHeight="1" outlineLevel="3" thickBot="1" x14ac:dyDescent="0.3">
      <c r="A113" s="2"/>
      <c r="C113" s="7"/>
      <c r="D113" s="40">
        <f t="shared" si="23"/>
        <v>2020</v>
      </c>
      <c r="G113" s="40" t="s">
        <v>89</v>
      </c>
      <c r="H113" s="40" t="s">
        <v>89</v>
      </c>
      <c r="I113" s="40" t="s">
        <v>89</v>
      </c>
      <c r="J113" s="40" t="s">
        <v>89</v>
      </c>
      <c r="K113" s="40" t="s">
        <v>89</v>
      </c>
      <c r="L113" t="s">
        <v>695</v>
      </c>
      <c r="M113" s="194">
        <f>O113</f>
        <v>3.08</v>
      </c>
      <c r="N113" s="411"/>
      <c r="O113" s="176">
        <f>S113</f>
        <v>3.08</v>
      </c>
      <c r="P113" s="133"/>
      <c r="Q113" s="394"/>
      <c r="R113" s="382"/>
      <c r="S113" s="39">
        <v>3.08</v>
      </c>
      <c r="Y113" s="32" t="s">
        <v>411</v>
      </c>
    </row>
    <row r="114" spans="1:31" s="303" customFormat="1" ht="12" customHeight="1" thickBot="1" x14ac:dyDescent="0.3">
      <c r="A114" s="2"/>
      <c r="B114" s="69"/>
      <c r="C114" s="7"/>
      <c r="G114" s="303" t="s">
        <v>89</v>
      </c>
      <c r="H114" s="303" t="s">
        <v>89</v>
      </c>
      <c r="I114" s="303" t="s">
        <v>89</v>
      </c>
      <c r="J114" s="303" t="s">
        <v>89</v>
      </c>
      <c r="K114" s="303" t="s">
        <v>89</v>
      </c>
      <c r="L114" s="368" t="s">
        <v>789</v>
      </c>
    </row>
    <row r="115" spans="1:31" s="13" customFormat="1" ht="12" customHeight="1" outlineLevel="1" thickBot="1" x14ac:dyDescent="0.3">
      <c r="A115" s="2"/>
      <c r="B115" s="69"/>
      <c r="C115" s="7"/>
      <c r="D115" s="196"/>
      <c r="E115" s="179"/>
      <c r="F115" s="179"/>
      <c r="G115" s="196" t="s">
        <v>89</v>
      </c>
      <c r="H115" s="196" t="s">
        <v>89</v>
      </c>
      <c r="I115" s="196" t="s">
        <v>89</v>
      </c>
      <c r="J115" s="196" t="s">
        <v>89</v>
      </c>
      <c r="K115" s="196" t="s">
        <v>89</v>
      </c>
      <c r="L115" s="13" t="s">
        <v>26</v>
      </c>
      <c r="M115" s="25"/>
      <c r="O115" s="25"/>
      <c r="AB115" s="25"/>
    </row>
    <row r="116" spans="1:31" ht="12" customHeight="1" outlineLevel="3" thickBot="1" x14ac:dyDescent="0.3">
      <c r="A116" s="2"/>
      <c r="C116" s="7"/>
      <c r="G116" s="40" t="s">
        <v>752</v>
      </c>
      <c r="H116" s="40" t="s">
        <v>752</v>
      </c>
      <c r="I116" s="40" t="s">
        <v>752</v>
      </c>
      <c r="J116" s="40" t="s">
        <v>89</v>
      </c>
      <c r="K116" s="40" t="s">
        <v>89</v>
      </c>
      <c r="L116" s="29" t="s">
        <v>401</v>
      </c>
      <c r="M116" s="16">
        <v>3</v>
      </c>
      <c r="N116" s="15" t="s">
        <v>434</v>
      </c>
      <c r="O116" s="11">
        <v>3</v>
      </c>
      <c r="P116" s="11"/>
      <c r="S116" s="14"/>
    </row>
    <row r="117" spans="1:31" s="13" customFormat="1" ht="12" customHeight="1" outlineLevel="1" thickBot="1" x14ac:dyDescent="0.3">
      <c r="A117" s="2"/>
      <c r="B117" s="69"/>
      <c r="C117" s="7"/>
      <c r="D117" s="196"/>
      <c r="E117" s="179"/>
      <c r="F117" s="179"/>
      <c r="G117" s="196" t="s">
        <v>89</v>
      </c>
      <c r="H117" s="196" t="s">
        <v>89</v>
      </c>
      <c r="I117" s="196" t="s">
        <v>89</v>
      </c>
      <c r="J117" s="196" t="s">
        <v>89</v>
      </c>
      <c r="K117" s="196" t="s">
        <v>89</v>
      </c>
      <c r="L117" s="13" t="s">
        <v>667</v>
      </c>
      <c r="M117" s="25"/>
      <c r="O117" s="25"/>
      <c r="AB117" s="25"/>
    </row>
    <row r="118" spans="1:31" s="110" customFormat="1" ht="12" customHeight="1" outlineLevel="2" thickBot="1" x14ac:dyDescent="0.3">
      <c r="A118" s="2"/>
      <c r="B118" s="69"/>
      <c r="C118" s="7"/>
      <c r="D118" s="112"/>
      <c r="G118" s="112" t="s">
        <v>89</v>
      </c>
      <c r="H118" s="112" t="s">
        <v>89</v>
      </c>
      <c r="I118" s="112" t="s">
        <v>89</v>
      </c>
      <c r="J118" s="112" t="s">
        <v>89</v>
      </c>
      <c r="K118" s="112" t="s">
        <v>89</v>
      </c>
      <c r="L118" s="110" t="s">
        <v>379</v>
      </c>
    </row>
    <row r="119" spans="1:31" ht="12" customHeight="1" outlineLevel="3" x14ac:dyDescent="0.25">
      <c r="A119" s="2"/>
      <c r="C119" s="7"/>
      <c r="G119" s="40" t="s">
        <v>89</v>
      </c>
      <c r="H119" s="40" t="s">
        <v>89</v>
      </c>
      <c r="I119" s="40" t="s">
        <v>89</v>
      </c>
      <c r="J119" s="40" t="s">
        <v>89</v>
      </c>
      <c r="K119" s="40" t="s">
        <v>89</v>
      </c>
      <c r="L119" t="s">
        <v>376</v>
      </c>
      <c r="M119"/>
      <c r="O119"/>
      <c r="AB119"/>
    </row>
    <row r="120" spans="1:31" ht="12" customHeight="1" outlineLevel="3" x14ac:dyDescent="0.25">
      <c r="A120" s="2"/>
      <c r="C120" s="7"/>
      <c r="G120" s="40" t="s">
        <v>89</v>
      </c>
      <c r="H120" s="40" t="s">
        <v>89</v>
      </c>
      <c r="I120" s="40" t="s">
        <v>89</v>
      </c>
      <c r="J120" s="40" t="s">
        <v>89</v>
      </c>
      <c r="K120" s="40" t="s">
        <v>89</v>
      </c>
      <c r="L120" s="104" t="s">
        <v>375</v>
      </c>
      <c r="M120"/>
      <c r="O120"/>
      <c r="AB120"/>
    </row>
    <row r="121" spans="1:31" ht="12" customHeight="1" outlineLevel="3" x14ac:dyDescent="0.25">
      <c r="A121" s="2"/>
      <c r="C121" s="7"/>
      <c r="G121" s="40" t="s">
        <v>752</v>
      </c>
      <c r="H121" s="40" t="s">
        <v>752</v>
      </c>
      <c r="I121" s="40" t="s">
        <v>752</v>
      </c>
      <c r="J121" s="40" t="s">
        <v>89</v>
      </c>
      <c r="K121" s="40" t="s">
        <v>89</v>
      </c>
      <c r="L121" s="170" t="str">
        <f>Y121</f>
        <v>Lassen et al. (2006)</v>
      </c>
      <c r="M121" s="88">
        <f>O121</f>
        <v>11.6</v>
      </c>
      <c r="O121" s="11">
        <f>CHOOSE(swtchPSA, S121, AB121)</f>
        <v>11.6</v>
      </c>
      <c r="P121" s="11"/>
      <c r="S121" s="35">
        <v>11.6</v>
      </c>
      <c r="T121" s="18"/>
      <c r="U121" s="22">
        <f>(LN(X121)-LN(V121)) / 2/ _xlfn.NORM.S.INV(0.975)</f>
        <v>9.4421567075303456E-2</v>
      </c>
      <c r="V121" s="35">
        <v>9.6</v>
      </c>
      <c r="W121" s="18"/>
      <c r="X121" s="35">
        <v>13.9</v>
      </c>
      <c r="Y121" s="32" t="s">
        <v>374</v>
      </c>
      <c r="AA121" s="19">
        <f ca="1">RAND()</f>
        <v>0.75249314546641322</v>
      </c>
      <c r="AB121" s="37">
        <f ca="1">_xlfn.LOGNORM.INV(AA121, AD121, AE121)</f>
        <v>12.371980084513945</v>
      </c>
      <c r="AC121" s="20" t="s">
        <v>20</v>
      </c>
      <c r="AD121" s="27">
        <f>LN(S121)</f>
        <v>2.451005098112319</v>
      </c>
      <c r="AE121" s="26">
        <f>U121</f>
        <v>9.4421567075303456E-2</v>
      </c>
    </row>
    <row r="122" spans="1:31" ht="12" customHeight="1" outlineLevel="3" x14ac:dyDescent="0.25">
      <c r="A122" s="2"/>
      <c r="C122" s="7"/>
      <c r="G122" s="40" t="s">
        <v>752</v>
      </c>
      <c r="H122" s="40" t="s">
        <v>752</v>
      </c>
      <c r="I122" s="40" t="s">
        <v>752</v>
      </c>
      <c r="J122" s="40" t="s">
        <v>89</v>
      </c>
      <c r="K122" s="40" t="s">
        <v>89</v>
      </c>
      <c r="L122" s="170" t="s">
        <v>373</v>
      </c>
      <c r="M122" s="36">
        <f>O122</f>
        <v>2.16</v>
      </c>
      <c r="O122" s="11">
        <f>CHOOSE(swtchPSA, S122, AB122)</f>
        <v>2.16</v>
      </c>
      <c r="P122" s="11"/>
      <c r="S122" s="35">
        <v>2.16</v>
      </c>
      <c r="T122" s="18"/>
      <c r="U122" s="22">
        <f>(LN(X122)-LN(V122)) / 2/ _xlfn.NORM.S.INV(0.975)</f>
        <v>2.8243382350164048E-2</v>
      </c>
      <c r="V122" s="35">
        <v>2.0499999999999998</v>
      </c>
      <c r="W122" s="18"/>
      <c r="X122" s="35">
        <v>2.29</v>
      </c>
      <c r="Y122" s="32" t="s">
        <v>373</v>
      </c>
      <c r="Z122" s="11"/>
      <c r="AA122" s="19">
        <f ca="1">RAND()</f>
        <v>0.41670921120839899</v>
      </c>
      <c r="AB122" s="37">
        <f ca="1">_xlfn.LOGNORM.INV(AA122, AD122, AE122)</f>
        <v>2.1472073513108811</v>
      </c>
      <c r="AC122" s="20" t="s">
        <v>20</v>
      </c>
      <c r="AD122" s="27">
        <f>LN(S122)</f>
        <v>0.77010822169607374</v>
      </c>
      <c r="AE122" s="26">
        <f>U122</f>
        <v>2.8243382350164048E-2</v>
      </c>
    </row>
    <row r="123" spans="1:31" ht="12" customHeight="1" outlineLevel="3" thickBot="1" x14ac:dyDescent="0.3">
      <c r="A123" s="2"/>
      <c r="C123" s="7"/>
      <c r="G123" s="40" t="s">
        <v>752</v>
      </c>
      <c r="H123" s="40" t="s">
        <v>752</v>
      </c>
      <c r="I123" s="40" t="s">
        <v>752</v>
      </c>
      <c r="J123" s="40" t="s">
        <v>89</v>
      </c>
      <c r="K123" s="40" t="s">
        <v>89</v>
      </c>
      <c r="L123" s="170" t="s">
        <v>666</v>
      </c>
      <c r="M123" s="156">
        <f>O123</f>
        <v>5.261522286715584</v>
      </c>
      <c r="O123" s="209" cm="1">
        <f t="array" ref="O123">_xlfn.LET(_xlpm.cycDays, AB.cycleLength*365.24, O121*(30/_xlpm.cycDays) + O122*(1-30/_xlpm.cycDays))</f>
        <v>5.261522286715584</v>
      </c>
      <c r="AB123"/>
    </row>
    <row r="124" spans="1:31" s="13" customFormat="1" ht="12" customHeight="1" outlineLevel="1" thickBot="1" x14ac:dyDescent="0.3">
      <c r="A124" s="2"/>
      <c r="B124" s="69"/>
      <c r="C124" s="7"/>
      <c r="D124" s="196"/>
      <c r="E124" s="179"/>
      <c r="F124" s="179"/>
      <c r="G124" s="196" t="s">
        <v>89</v>
      </c>
      <c r="H124" s="196" t="s">
        <v>89</v>
      </c>
      <c r="I124" s="196" t="s">
        <v>89</v>
      </c>
      <c r="J124" s="196" t="s">
        <v>89</v>
      </c>
      <c r="K124" s="196" t="s">
        <v>89</v>
      </c>
      <c r="L124" s="13" t="s">
        <v>39</v>
      </c>
      <c r="M124" s="25"/>
      <c r="O124" s="25"/>
      <c r="AB124" s="25"/>
    </row>
    <row r="125" spans="1:31" s="110" customFormat="1" ht="12" customHeight="1" outlineLevel="2" thickBot="1" x14ac:dyDescent="0.3">
      <c r="A125" s="2"/>
      <c r="B125" s="69"/>
      <c r="C125" s="7"/>
      <c r="D125" s="112"/>
      <c r="G125" s="112" t="s">
        <v>89</v>
      </c>
      <c r="H125" s="112" t="s">
        <v>89</v>
      </c>
      <c r="I125" s="112" t="s">
        <v>89</v>
      </c>
      <c r="J125" s="112" t="s">
        <v>89</v>
      </c>
      <c r="K125" s="112" t="s">
        <v>89</v>
      </c>
      <c r="L125" s="110" t="s">
        <v>209</v>
      </c>
    </row>
    <row r="126" spans="1:31" ht="12" customHeight="1" outlineLevel="3" x14ac:dyDescent="0.25">
      <c r="A126" s="2"/>
      <c r="C126" s="7"/>
      <c r="D126" s="412"/>
      <c r="G126" s="40" t="s">
        <v>89</v>
      </c>
      <c r="H126" s="40" t="s">
        <v>89</v>
      </c>
      <c r="I126" s="40" t="s">
        <v>89</v>
      </c>
      <c r="J126" s="40" t="s">
        <v>89</v>
      </c>
      <c r="K126" s="40" t="s">
        <v>89</v>
      </c>
      <c r="L126" t="s">
        <v>714</v>
      </c>
      <c r="M126"/>
      <c r="O126"/>
      <c r="AB126"/>
    </row>
    <row r="127" spans="1:31" ht="12" customHeight="1" outlineLevel="3" x14ac:dyDescent="0.25">
      <c r="A127" s="2"/>
      <c r="C127" s="7"/>
      <c r="G127" s="40" t="s">
        <v>752</v>
      </c>
      <c r="H127" s="40" t="s">
        <v>752</v>
      </c>
      <c r="I127" s="40" t="s">
        <v>752</v>
      </c>
      <c r="J127" s="40" t="s">
        <v>89</v>
      </c>
      <c r="K127" s="40" t="s">
        <v>89</v>
      </c>
      <c r="L127" s="149" t="s">
        <v>715</v>
      </c>
      <c r="M127" s="184">
        <f>O127</f>
        <v>1.18</v>
      </c>
      <c r="N127" s="15" t="s">
        <v>712</v>
      </c>
      <c r="O127" s="52">
        <f>S127</f>
        <v>1.18</v>
      </c>
      <c r="P127" s="52"/>
      <c r="S127" s="180">
        <v>1.18</v>
      </c>
      <c r="Y127" s="32" t="s">
        <v>706</v>
      </c>
      <c r="Z127" s="52"/>
      <c r="AB127"/>
    </row>
    <row r="128" spans="1:31" ht="12" customHeight="1" outlineLevel="3" x14ac:dyDescent="0.25">
      <c r="A128" s="2"/>
      <c r="C128" s="7"/>
      <c r="G128" s="40" t="s">
        <v>752</v>
      </c>
      <c r="H128" s="40" t="s">
        <v>752</v>
      </c>
      <c r="I128" s="40" t="s">
        <v>752</v>
      </c>
      <c r="J128" s="40" t="s">
        <v>89</v>
      </c>
      <c r="K128" s="40" t="s">
        <v>89</v>
      </c>
      <c r="L128" s="149" t="s">
        <v>716</v>
      </c>
      <c r="M128" s="184">
        <f>O128</f>
        <v>1.43</v>
      </c>
      <c r="N128" s="15" t="s">
        <v>713</v>
      </c>
      <c r="O128" s="52">
        <f>S128</f>
        <v>1.43</v>
      </c>
      <c r="P128" s="52"/>
      <c r="S128" s="180">
        <v>1.43</v>
      </c>
      <c r="Y128" s="32" t="s">
        <v>706</v>
      </c>
      <c r="Z128" s="52"/>
      <c r="AB128"/>
    </row>
    <row r="129" spans="1:31" ht="12" customHeight="1" outlineLevel="3" x14ac:dyDescent="0.25">
      <c r="A129" s="2"/>
      <c r="C129" s="7"/>
      <c r="D129" s="412"/>
      <c r="G129" s="40" t="s">
        <v>89</v>
      </c>
      <c r="H129" s="40" t="s">
        <v>89</v>
      </c>
      <c r="I129" s="40" t="s">
        <v>89</v>
      </c>
      <c r="J129" s="40" t="s">
        <v>89</v>
      </c>
      <c r="K129" s="40" t="s">
        <v>89</v>
      </c>
      <c r="L129" t="s">
        <v>368</v>
      </c>
      <c r="M129"/>
      <c r="O129"/>
      <c r="AB129"/>
    </row>
    <row r="130" spans="1:31" ht="12" customHeight="1" outlineLevel="3" x14ac:dyDescent="0.25">
      <c r="A130" s="2"/>
      <c r="C130" s="7"/>
      <c r="D130" s="412"/>
      <c r="G130" s="40" t="s">
        <v>89</v>
      </c>
      <c r="H130" s="40" t="s">
        <v>89</v>
      </c>
      <c r="I130" s="40" t="s">
        <v>89</v>
      </c>
      <c r="J130" s="40" t="s">
        <v>89</v>
      </c>
      <c r="K130" s="40" t="s">
        <v>89</v>
      </c>
      <c r="L130" s="149" t="s">
        <v>351</v>
      </c>
      <c r="M130"/>
      <c r="O130"/>
      <c r="AB130"/>
    </row>
    <row r="131" spans="1:31" ht="12" customHeight="1" outlineLevel="3" x14ac:dyDescent="0.25">
      <c r="A131" s="2"/>
      <c r="C131" s="7"/>
      <c r="D131" s="412"/>
      <c r="G131" s="40" t="s">
        <v>752</v>
      </c>
      <c r="H131" s="40" t="s">
        <v>752</v>
      </c>
      <c r="I131" s="40" t="s">
        <v>752</v>
      </c>
      <c r="J131" s="40" t="s">
        <v>89</v>
      </c>
      <c r="K131" s="40" t="s">
        <v>89</v>
      </c>
      <c r="L131" s="170" t="s">
        <v>699</v>
      </c>
      <c r="M131" s="184">
        <f>O131</f>
        <v>145.334094649631</v>
      </c>
      <c r="N131" s="15" t="s">
        <v>676</v>
      </c>
      <c r="O131" s="52">
        <f>S131</f>
        <v>145.334094649631</v>
      </c>
      <c r="P131" s="52"/>
      <c r="S131" s="180">
        <v>145.334094649631</v>
      </c>
      <c r="Y131" s="258" t="s">
        <v>697</v>
      </c>
      <c r="AB131"/>
    </row>
    <row r="132" spans="1:31" ht="12" customHeight="1" outlineLevel="3" x14ac:dyDescent="0.25">
      <c r="A132" s="2"/>
      <c r="C132" s="7"/>
      <c r="D132" s="412"/>
      <c r="G132" s="40" t="s">
        <v>752</v>
      </c>
      <c r="H132" s="40" t="s">
        <v>752</v>
      </c>
      <c r="I132" s="40" t="s">
        <v>752</v>
      </c>
      <c r="J132" s="40" t="s">
        <v>89</v>
      </c>
      <c r="K132" s="40" t="s">
        <v>89</v>
      </c>
      <c r="L132" s="170" t="s">
        <v>698</v>
      </c>
      <c r="M132" s="184">
        <f>O132</f>
        <v>376.14444256105497</v>
      </c>
      <c r="N132" s="15" t="s">
        <v>677</v>
      </c>
      <c r="O132" s="52">
        <f>S132</f>
        <v>376.14444256105497</v>
      </c>
      <c r="P132" s="52"/>
      <c r="S132" s="180">
        <v>376.14444256105497</v>
      </c>
      <c r="Y132" s="258" t="s">
        <v>697</v>
      </c>
      <c r="AB132"/>
    </row>
    <row r="133" spans="1:31" ht="12" customHeight="1" outlineLevel="3" x14ac:dyDescent="0.25">
      <c r="A133" s="2"/>
      <c r="C133" s="7"/>
      <c r="D133" s="412"/>
      <c r="G133" s="40" t="s">
        <v>752</v>
      </c>
      <c r="H133" s="40" t="s">
        <v>752</v>
      </c>
      <c r="I133" s="40" t="s">
        <v>752</v>
      </c>
      <c r="J133" s="40" t="s">
        <v>89</v>
      </c>
      <c r="K133" s="40" t="s">
        <v>89</v>
      </c>
      <c r="L133" s="157" t="s">
        <v>700</v>
      </c>
      <c r="M133" s="184">
        <f>O133</f>
        <v>8.14997425966361</v>
      </c>
      <c r="N133" s="15" t="s">
        <v>678</v>
      </c>
      <c r="O133" s="52">
        <f>S133</f>
        <v>8.14997425966361</v>
      </c>
      <c r="P133" s="52"/>
      <c r="S133" s="180">
        <v>8.14997425966361</v>
      </c>
      <c r="Y133" s="258" t="s">
        <v>697</v>
      </c>
      <c r="AB133"/>
    </row>
    <row r="134" spans="1:31" ht="12" customHeight="1" outlineLevel="3" x14ac:dyDescent="0.25">
      <c r="A134" s="2"/>
      <c r="C134" s="7"/>
      <c r="D134" s="412"/>
      <c r="G134" s="40" t="s">
        <v>89</v>
      </c>
      <c r="H134" s="40" t="s">
        <v>89</v>
      </c>
      <c r="I134" s="40" t="s">
        <v>89</v>
      </c>
      <c r="J134" s="40" t="s">
        <v>89</v>
      </c>
      <c r="K134" s="40" t="s">
        <v>89</v>
      </c>
      <c r="L134" s="149" t="s">
        <v>696</v>
      </c>
      <c r="M134"/>
      <c r="O134"/>
      <c r="AB134"/>
    </row>
    <row r="135" spans="1:31" ht="12" customHeight="1" outlineLevel="3" x14ac:dyDescent="0.25">
      <c r="A135" s="2"/>
      <c r="C135" s="7"/>
      <c r="D135" s="412"/>
      <c r="G135" s="40" t="s">
        <v>752</v>
      </c>
      <c r="H135" s="40" t="s">
        <v>752</v>
      </c>
      <c r="I135" s="40" t="s">
        <v>752</v>
      </c>
      <c r="J135" s="40" t="s">
        <v>89</v>
      </c>
      <c r="K135" s="40" t="s">
        <v>89</v>
      </c>
      <c r="L135" s="170" t="s">
        <v>367</v>
      </c>
      <c r="M135" s="51">
        <f>O135</f>
        <v>149.81038476483963</v>
      </c>
      <c r="N135" s="15" t="s">
        <v>676</v>
      </c>
      <c r="O135" s="52" cm="1">
        <f t="array" ref="O135">_fnINFLATE(M131, 2019, 2020)</f>
        <v>149.81038476483963</v>
      </c>
      <c r="AB135"/>
    </row>
    <row r="136" spans="1:31" ht="12" customHeight="1" outlineLevel="3" x14ac:dyDescent="0.25">
      <c r="A136" s="2"/>
      <c r="C136" s="7"/>
      <c r="D136" s="412"/>
      <c r="G136" s="40" t="s">
        <v>752</v>
      </c>
      <c r="H136" s="40" t="s">
        <v>752</v>
      </c>
      <c r="I136" s="40" t="s">
        <v>752</v>
      </c>
      <c r="J136" s="40" t="s">
        <v>89</v>
      </c>
      <c r="K136" s="40" t="s">
        <v>89</v>
      </c>
      <c r="L136" s="170" t="s">
        <v>366</v>
      </c>
      <c r="M136" s="51">
        <f>O136</f>
        <v>387.72969139193543</v>
      </c>
      <c r="N136" s="15" t="s">
        <v>677</v>
      </c>
      <c r="O136" s="52" cm="1">
        <f t="array" ref="O136">_fnINFLATE(M132, 2019, 2020)</f>
        <v>387.72969139193543</v>
      </c>
      <c r="AB136"/>
    </row>
    <row r="137" spans="1:31" ht="12" customHeight="1" outlineLevel="3" x14ac:dyDescent="0.25">
      <c r="A137" s="2"/>
      <c r="C137" s="7"/>
      <c r="D137" s="412"/>
      <c r="G137" s="40" t="s">
        <v>752</v>
      </c>
      <c r="H137" s="40" t="s">
        <v>752</v>
      </c>
      <c r="I137" s="40" t="s">
        <v>752</v>
      </c>
      <c r="J137" s="40" t="s">
        <v>89</v>
      </c>
      <c r="K137" s="40" t="s">
        <v>89</v>
      </c>
      <c r="L137" s="157" t="s">
        <v>365</v>
      </c>
      <c r="M137" s="51">
        <f>O137</f>
        <v>8.400993466861248</v>
      </c>
      <c r="N137" s="15" t="s">
        <v>678</v>
      </c>
      <c r="O137" s="52" cm="1">
        <f t="array" ref="O137">_fnINFLATE(M133, 2019, 2020)</f>
        <v>8.400993466861248</v>
      </c>
      <c r="AB137"/>
    </row>
    <row r="138" spans="1:31" ht="12" customHeight="1" outlineLevel="3" x14ac:dyDescent="0.25">
      <c r="A138" s="2"/>
      <c r="C138" s="7"/>
      <c r="D138" s="412"/>
      <c r="G138" s="40" t="s">
        <v>89</v>
      </c>
      <c r="H138" s="40" t="s">
        <v>89</v>
      </c>
      <c r="I138" s="40" t="s">
        <v>89</v>
      </c>
      <c r="J138" s="40" t="s">
        <v>89</v>
      </c>
      <c r="K138" s="40" t="s">
        <v>89</v>
      </c>
      <c r="L138" t="s">
        <v>364</v>
      </c>
      <c r="M138"/>
      <c r="O138"/>
      <c r="AB138"/>
    </row>
    <row r="139" spans="1:31" ht="12" customHeight="1" outlineLevel="3" x14ac:dyDescent="0.25">
      <c r="A139" s="2"/>
      <c r="C139" s="7"/>
      <c r="D139" s="412"/>
      <c r="G139" s="40" t="s">
        <v>752</v>
      </c>
      <c r="H139" s="40" t="s">
        <v>752</v>
      </c>
      <c r="I139" s="40" t="s">
        <v>752</v>
      </c>
      <c r="J139" s="40" t="s">
        <v>89</v>
      </c>
      <c r="K139" s="40" t="s">
        <v>89</v>
      </c>
      <c r="L139" s="104" t="s">
        <v>190</v>
      </c>
      <c r="M139" s="48">
        <f>O139</f>
        <v>2850.85</v>
      </c>
      <c r="O139" s="52">
        <f>CHOOSE(swtchPSA, S139, AB139)</f>
        <v>2850.85</v>
      </c>
      <c r="P139" s="52"/>
      <c r="S139" s="180">
        <v>2850.85</v>
      </c>
      <c r="U139" s="180">
        <v>225.15</v>
      </c>
      <c r="V139" s="99">
        <f>_xlfn.GAMMA.INV(0.025, AD139, AE139)</f>
        <v>2426.6395710005595</v>
      </c>
      <c r="X139" s="99">
        <f>_xlfn.GAMMA.INV(0.975, AD139, AE139)</f>
        <v>3308.7289781260624</v>
      </c>
      <c r="Y139" s="32" t="s">
        <v>363</v>
      </c>
      <c r="Z139" s="32"/>
      <c r="AA139" s="19">
        <f ca="1">RAND()</f>
        <v>0.54860106697494837</v>
      </c>
      <c r="AB139" s="267">
        <f ca="1">_xlfn.GAMMA.INV(AA139,AD139,AE139)</f>
        <v>2872.4771717508947</v>
      </c>
      <c r="AC139" s="15" t="s">
        <v>38</v>
      </c>
      <c r="AD139" s="54">
        <f>S139^2/U139^2</f>
        <v>160.32632273329858</v>
      </c>
      <c r="AE139" s="55">
        <f>U139^2/S139</f>
        <v>17.781546731676517</v>
      </c>
    </row>
    <row r="140" spans="1:31" ht="12" customHeight="1" outlineLevel="3" thickBot="1" x14ac:dyDescent="0.3">
      <c r="A140" s="2"/>
      <c r="C140" s="7"/>
      <c r="D140" s="412"/>
      <c r="G140" s="40" t="s">
        <v>752</v>
      </c>
      <c r="H140" s="40" t="s">
        <v>752</v>
      </c>
      <c r="I140" s="40" t="s">
        <v>752</v>
      </c>
      <c r="J140" s="40" t="s">
        <v>89</v>
      </c>
      <c r="K140" s="40" t="s">
        <v>89</v>
      </c>
      <c r="L140" s="12" t="s">
        <v>696</v>
      </c>
      <c r="M140" s="174">
        <f>O140</f>
        <v>3280.4365641163554</v>
      </c>
      <c r="N140" s="15" t="s">
        <v>679</v>
      </c>
      <c r="O140" s="52" cm="1">
        <f t="array" ref="O140">_fnINFLATE(M139, 2012, 2020)</f>
        <v>3280.4365641163554</v>
      </c>
      <c r="P140" s="52"/>
      <c r="U140" s="99" cm="1">
        <f t="array" ref="U140">_fnINFLATE(U139, 2012, 2021)</f>
        <v>259.07721992065433</v>
      </c>
      <c r="V140" s="99" cm="1">
        <f t="array" ref="V140">_fnINFLATE(V139, 2012, 2021)</f>
        <v>2792.3030593127878</v>
      </c>
      <c r="X140" s="99" cm="1">
        <f t="array" ref="X140">_fnINFLATE(X139, 2012, 2021)</f>
        <v>3807.3120369700546</v>
      </c>
    </row>
    <row r="141" spans="1:31" s="110" customFormat="1" ht="12" customHeight="1" outlineLevel="2" thickBot="1" x14ac:dyDescent="0.3">
      <c r="A141" s="2"/>
      <c r="B141" s="69"/>
      <c r="C141" s="7"/>
      <c r="D141" s="112"/>
      <c r="G141" s="112" t="s">
        <v>89</v>
      </c>
      <c r="H141" s="112" t="s">
        <v>89</v>
      </c>
      <c r="I141" s="112" t="s">
        <v>89</v>
      </c>
      <c r="J141" s="112" t="s">
        <v>89</v>
      </c>
      <c r="K141" s="112" t="s">
        <v>89</v>
      </c>
      <c r="L141" s="110" t="s">
        <v>492</v>
      </c>
    </row>
    <row r="142" spans="1:31" ht="12" customHeight="1" outlineLevel="3" x14ac:dyDescent="0.25">
      <c r="A142" s="2"/>
      <c r="C142" s="7"/>
      <c r="D142" s="412"/>
      <c r="G142" s="40" t="s">
        <v>89</v>
      </c>
      <c r="H142" s="40" t="s">
        <v>89</v>
      </c>
      <c r="I142" s="40" t="s">
        <v>89</v>
      </c>
      <c r="J142" s="40" t="s">
        <v>89</v>
      </c>
      <c r="K142" s="40" t="s">
        <v>89</v>
      </c>
      <c r="L142" t="s">
        <v>348</v>
      </c>
      <c r="M142"/>
      <c r="O142"/>
      <c r="AB142"/>
    </row>
    <row r="143" spans="1:31" ht="12" customHeight="1" outlineLevel="3" x14ac:dyDescent="0.25">
      <c r="A143" s="2"/>
      <c r="C143" s="7"/>
      <c r="D143" s="412"/>
      <c r="G143" s="40" t="s">
        <v>752</v>
      </c>
      <c r="H143" s="40" t="s">
        <v>752</v>
      </c>
      <c r="I143" s="40" t="s">
        <v>752</v>
      </c>
      <c r="J143" s="40" t="s">
        <v>89</v>
      </c>
      <c r="K143" s="40" t="s">
        <v>89</v>
      </c>
      <c r="L143" s="104" t="s">
        <v>596</v>
      </c>
      <c r="M143" s="41">
        <f>O143</f>
        <v>1</v>
      </c>
      <c r="O143" s="11">
        <f>S143</f>
        <v>1</v>
      </c>
      <c r="P143" s="11"/>
      <c r="S143" s="186">
        <v>1</v>
      </c>
      <c r="AB143"/>
    </row>
    <row r="144" spans="1:31" ht="12" customHeight="1" outlineLevel="3" x14ac:dyDescent="0.25">
      <c r="A144" s="2"/>
      <c r="C144" s="7"/>
      <c r="D144" s="412"/>
      <c r="G144" s="40" t="s">
        <v>752</v>
      </c>
      <c r="H144" s="40" t="s">
        <v>752</v>
      </c>
      <c r="I144" s="40" t="s">
        <v>752</v>
      </c>
      <c r="J144" s="40" t="s">
        <v>89</v>
      </c>
      <c r="K144" s="40" t="s">
        <v>89</v>
      </c>
      <c r="L144" s="104" t="s">
        <v>687</v>
      </c>
      <c r="M144" s="41">
        <f>O144</f>
        <v>1</v>
      </c>
      <c r="O144" s="11">
        <f>S144</f>
        <v>1</v>
      </c>
      <c r="P144" s="11"/>
      <c r="S144" s="186">
        <v>1</v>
      </c>
      <c r="AB144"/>
    </row>
    <row r="145" spans="1:31" ht="12" customHeight="1" outlineLevel="3" x14ac:dyDescent="0.25">
      <c r="A145" s="2"/>
      <c r="C145" s="7"/>
      <c r="D145" s="412"/>
      <c r="G145" s="40" t="s">
        <v>89</v>
      </c>
      <c r="H145" s="40" t="s">
        <v>89</v>
      </c>
      <c r="I145" s="40" t="s">
        <v>89</v>
      </c>
      <c r="J145" s="40" t="s">
        <v>89</v>
      </c>
      <c r="K145" s="40" t="s">
        <v>89</v>
      </c>
      <c r="L145" t="s">
        <v>376</v>
      </c>
      <c r="M145"/>
      <c r="O145"/>
      <c r="AB145"/>
    </row>
    <row r="146" spans="1:31" ht="12" customHeight="1" outlineLevel="3" x14ac:dyDescent="0.25">
      <c r="A146" s="2"/>
      <c r="C146" s="7"/>
      <c r="D146" s="412"/>
      <c r="G146" s="40" t="s">
        <v>752</v>
      </c>
      <c r="H146" s="40" t="s">
        <v>752</v>
      </c>
      <c r="I146" s="40" t="s">
        <v>752</v>
      </c>
      <c r="J146" s="40" t="s">
        <v>89</v>
      </c>
      <c r="K146" s="40" t="s">
        <v>89</v>
      </c>
      <c r="L146" s="104" t="s">
        <v>596</v>
      </c>
      <c r="M146" s="41">
        <f>O146</f>
        <v>2</v>
      </c>
      <c r="O146" s="11">
        <f>S146</f>
        <v>2</v>
      </c>
      <c r="P146" s="11"/>
      <c r="S146" s="186">
        <v>2</v>
      </c>
      <c r="AB146"/>
    </row>
    <row r="147" spans="1:31" ht="12" customHeight="1" outlineLevel="3" x14ac:dyDescent="0.25">
      <c r="A147" s="2"/>
      <c r="C147" s="7"/>
      <c r="D147" s="412"/>
      <c r="G147" s="40" t="s">
        <v>752</v>
      </c>
      <c r="H147" s="40" t="s">
        <v>752</v>
      </c>
      <c r="I147" s="40" t="s">
        <v>752</v>
      </c>
      <c r="J147" s="40" t="s">
        <v>89</v>
      </c>
      <c r="K147" s="40" t="s">
        <v>89</v>
      </c>
      <c r="L147" s="104" t="s">
        <v>687</v>
      </c>
      <c r="M147" s="41">
        <f>O147</f>
        <v>2</v>
      </c>
      <c r="O147" s="11">
        <f>S147</f>
        <v>2</v>
      </c>
      <c r="P147" s="11"/>
      <c r="S147" s="186">
        <v>2</v>
      </c>
      <c r="AB147"/>
    </row>
    <row r="148" spans="1:31" ht="12" customHeight="1" outlineLevel="3" x14ac:dyDescent="0.25">
      <c r="A148" s="2"/>
      <c r="C148" s="7"/>
      <c r="D148" s="412"/>
      <c r="G148" s="40" t="s">
        <v>752</v>
      </c>
      <c r="H148" s="40" t="s">
        <v>752</v>
      </c>
      <c r="I148" s="40" t="s">
        <v>752</v>
      </c>
      <c r="J148" s="40" t="s">
        <v>89</v>
      </c>
      <c r="K148" s="40" t="s">
        <v>89</v>
      </c>
      <c r="L148" s="104" t="s">
        <v>688</v>
      </c>
      <c r="M148" s="41">
        <f>O148</f>
        <v>1</v>
      </c>
      <c r="O148" s="11">
        <f>S148</f>
        <v>1</v>
      </c>
      <c r="P148" s="11"/>
      <c r="S148" s="186">
        <v>1</v>
      </c>
      <c r="AB148"/>
    </row>
    <row r="149" spans="1:31" ht="12" customHeight="1" outlineLevel="3" x14ac:dyDescent="0.25">
      <c r="A149" s="2"/>
      <c r="C149" s="7"/>
      <c r="D149" s="412"/>
      <c r="G149" s="40" t="s">
        <v>752</v>
      </c>
      <c r="H149" s="40" t="s">
        <v>752</v>
      </c>
      <c r="I149" s="40" t="s">
        <v>752</v>
      </c>
      <c r="J149" s="40" t="s">
        <v>89</v>
      </c>
      <c r="K149" s="40" t="s">
        <v>89</v>
      </c>
      <c r="L149" s="104" t="s">
        <v>689</v>
      </c>
      <c r="M149" s="41">
        <f>O149</f>
        <v>1</v>
      </c>
      <c r="O149" s="11">
        <f>S149</f>
        <v>1</v>
      </c>
      <c r="P149" s="11"/>
      <c r="S149" s="186">
        <v>1</v>
      </c>
      <c r="AB149"/>
    </row>
    <row r="150" spans="1:31" ht="12" customHeight="1" outlineLevel="3" thickBot="1" x14ac:dyDescent="0.3">
      <c r="A150" s="2"/>
      <c r="C150" s="7"/>
      <c r="D150" s="412"/>
      <c r="G150" s="40" t="s">
        <v>752</v>
      </c>
      <c r="H150" s="40" t="s">
        <v>752</v>
      </c>
      <c r="I150" s="40" t="s">
        <v>752</v>
      </c>
      <c r="J150" s="40" t="s">
        <v>89</v>
      </c>
      <c r="K150" s="40" t="s">
        <v>89</v>
      </c>
      <c r="L150" s="104" t="s">
        <v>690</v>
      </c>
      <c r="M150" s="41">
        <f>O150</f>
        <v>1</v>
      </c>
      <c r="O150" s="11">
        <f>S150</f>
        <v>1</v>
      </c>
      <c r="P150" s="11"/>
      <c r="S150" s="186">
        <v>1</v>
      </c>
      <c r="AB150"/>
    </row>
    <row r="151" spans="1:31" s="110" customFormat="1" ht="12" customHeight="1" outlineLevel="2" thickBot="1" x14ac:dyDescent="0.3">
      <c r="A151" s="2"/>
      <c r="B151" s="69"/>
      <c r="C151" s="7"/>
      <c r="D151" s="112"/>
      <c r="G151" s="112" t="s">
        <v>89</v>
      </c>
      <c r="H151" s="112" t="s">
        <v>89</v>
      </c>
      <c r="I151" s="112" t="s">
        <v>89</v>
      </c>
      <c r="J151" s="112" t="s">
        <v>89</v>
      </c>
      <c r="K151" s="112" t="s">
        <v>89</v>
      </c>
      <c r="L151" s="110" t="s">
        <v>672</v>
      </c>
    </row>
    <row r="152" spans="1:31" ht="12" customHeight="1" outlineLevel="3" x14ac:dyDescent="0.25">
      <c r="A152" s="2"/>
      <c r="C152" s="7"/>
      <c r="D152" s="412"/>
      <c r="G152" s="40" t="s">
        <v>752</v>
      </c>
      <c r="H152" s="40" t="s">
        <v>752</v>
      </c>
      <c r="I152" s="40" t="s">
        <v>752</v>
      </c>
      <c r="J152" s="40" t="s">
        <v>89</v>
      </c>
      <c r="K152" s="40" t="s">
        <v>89</v>
      </c>
      <c r="L152" t="s">
        <v>348</v>
      </c>
      <c r="M152" s="174">
        <f>O152</f>
        <v>39.229999999999997</v>
      </c>
      <c r="N152" s="195" t="s">
        <v>673</v>
      </c>
      <c r="O152" s="52">
        <f>CHOOSE(swtchPSA, S152, AB152)</f>
        <v>39.229999999999997</v>
      </c>
      <c r="P152" s="52"/>
      <c r="S152" s="51">
        <f>SUM(M143*cGP)</f>
        <v>39.229999999999997</v>
      </c>
      <c r="U152" s="266">
        <f>S152*Cost.SEs.CoV</f>
        <v>7.8460000000000001</v>
      </c>
      <c r="V152" s="51">
        <f>_xlfn.GAMMA.INV(0.025, AD152, AE152)</f>
        <v>25.387587555613774</v>
      </c>
      <c r="X152" s="51">
        <f>_xlfn.GAMMA.INV(0.975, AD152, AE152)</f>
        <v>56.036285144117535</v>
      </c>
      <c r="AA152" s="19">
        <f ca="1">RAND()</f>
        <v>0.57998932463236919</v>
      </c>
      <c r="AB152" s="47">
        <f ca="1">_xlfn.GAMMA.INV(AA152,AD152,AE152)</f>
        <v>40.301050914510299</v>
      </c>
      <c r="AC152" s="15" t="s">
        <v>38</v>
      </c>
      <c r="AD152" s="54">
        <f>S152^2/U152^2</f>
        <v>24.999999999999996</v>
      </c>
      <c r="AE152" s="55">
        <f>U152^2/S152</f>
        <v>1.5692000000000002</v>
      </c>
    </row>
    <row r="153" spans="1:31" ht="12" customHeight="1" outlineLevel="3" thickBot="1" x14ac:dyDescent="0.3">
      <c r="A153" s="2"/>
      <c r="C153" s="7"/>
      <c r="D153" s="412"/>
      <c r="G153" s="40" t="s">
        <v>752</v>
      </c>
      <c r="H153" s="40" t="s">
        <v>752</v>
      </c>
      <c r="I153" s="40" t="s">
        <v>752</v>
      </c>
      <c r="J153" s="40" t="s">
        <v>89</v>
      </c>
      <c r="K153" s="40" t="s">
        <v>89</v>
      </c>
      <c r="L153" t="s">
        <v>376</v>
      </c>
      <c r="M153" s="174">
        <f>O153</f>
        <v>624.40106962363632</v>
      </c>
      <c r="N153" s="195" t="s">
        <v>674</v>
      </c>
      <c r="O153" s="52">
        <f>CHOOSE(swtchPSA, S153, AB153)</f>
        <v>624.40106962363632</v>
      </c>
      <c r="P153" s="52"/>
      <c r="S153" s="51">
        <f>SUM(M146*cGP, M148*cGI.OP, M149*cEndo, M150*cHPylori)</f>
        <v>624.40106962363632</v>
      </c>
      <c r="U153" s="266">
        <f>S153*Cost.SEs.CoV</f>
        <v>124.88021392472727</v>
      </c>
      <c r="V153" s="51">
        <f>_xlfn.GAMMA.INV(0.025, AD153, AE153)</f>
        <v>404.0794500354055</v>
      </c>
      <c r="X153" s="51">
        <f>_xlfn.GAMMA.INV(0.975, AD153, AE153)</f>
        <v>891.89692535615779</v>
      </c>
      <c r="AA153" s="19">
        <f ca="1">RAND()</f>
        <v>7.1267303683980709E-2</v>
      </c>
      <c r="AB153" s="47">
        <f ca="1">_xlfn.GAMMA.INV(AA153,AD153,AE153)</f>
        <v>451.8211229615801</v>
      </c>
      <c r="AC153" s="15" t="s">
        <v>38</v>
      </c>
      <c r="AD153" s="54">
        <f>S153^2/U153^2</f>
        <v>24.999999999999996</v>
      </c>
      <c r="AE153" s="55">
        <f>U153^2/S153</f>
        <v>24.976042784945456</v>
      </c>
    </row>
    <row r="154" spans="1:31" s="13" customFormat="1" ht="12" customHeight="1" outlineLevel="1" thickBot="1" x14ac:dyDescent="0.3">
      <c r="A154" s="2"/>
      <c r="B154" s="69"/>
      <c r="C154" s="7"/>
      <c r="D154" s="196"/>
      <c r="E154" s="179"/>
      <c r="F154" s="179"/>
      <c r="G154" s="196" t="s">
        <v>89</v>
      </c>
      <c r="H154" s="196" t="s">
        <v>89</v>
      </c>
      <c r="I154" s="196" t="s">
        <v>89</v>
      </c>
      <c r="J154" s="196" t="s">
        <v>89</v>
      </c>
      <c r="K154" s="196" t="s">
        <v>89</v>
      </c>
      <c r="L154" s="13" t="s">
        <v>154</v>
      </c>
      <c r="M154" s="25"/>
      <c r="O154" s="25"/>
      <c r="AB154" s="25"/>
    </row>
    <row r="155" spans="1:31" s="110" customFormat="1" ht="12" customHeight="1" outlineLevel="2" thickBot="1" x14ac:dyDescent="0.3">
      <c r="A155" s="2"/>
      <c r="B155" s="69"/>
      <c r="C155" s="7"/>
      <c r="D155" s="112"/>
      <c r="G155" s="112" t="s">
        <v>89</v>
      </c>
      <c r="H155" s="112" t="s">
        <v>89</v>
      </c>
      <c r="I155" s="112" t="s">
        <v>89</v>
      </c>
      <c r="J155" s="112" t="s">
        <v>89</v>
      </c>
      <c r="K155" s="112" t="s">
        <v>89</v>
      </c>
      <c r="L155" s="110" t="s">
        <v>358</v>
      </c>
    </row>
    <row r="156" spans="1:31" ht="12" customHeight="1" outlineLevel="3" x14ac:dyDescent="0.25">
      <c r="A156" s="2"/>
      <c r="C156" s="7"/>
      <c r="G156" s="40" t="s">
        <v>89</v>
      </c>
      <c r="H156" s="40" t="s">
        <v>89</v>
      </c>
      <c r="I156" s="40" t="s">
        <v>89</v>
      </c>
      <c r="J156" s="40" t="s">
        <v>89</v>
      </c>
      <c r="K156" s="40" t="s">
        <v>89</v>
      </c>
      <c r="L156" s="29" t="s">
        <v>348</v>
      </c>
      <c r="M156"/>
      <c r="O156"/>
      <c r="AB156"/>
    </row>
    <row r="157" spans="1:31" ht="12" customHeight="1" outlineLevel="3" x14ac:dyDescent="0.25">
      <c r="A157" s="2"/>
      <c r="C157" s="7"/>
      <c r="G157" s="40" t="s">
        <v>752</v>
      </c>
      <c r="H157" s="40" t="s">
        <v>752</v>
      </c>
      <c r="I157" s="40" t="s">
        <v>752</v>
      </c>
      <c r="J157" s="40" t="s">
        <v>89</v>
      </c>
      <c r="K157" s="40" t="s">
        <v>89</v>
      </c>
      <c r="L157" s="12" t="s">
        <v>357</v>
      </c>
      <c r="M157" s="150">
        <f>O157</f>
        <v>0.74299999999999999</v>
      </c>
      <c r="O157" s="18">
        <f>S157</f>
        <v>0.74299999999999999</v>
      </c>
      <c r="P157" s="11"/>
      <c r="Q157" s="14">
        <v>343</v>
      </c>
      <c r="S157" s="35">
        <v>0.74299999999999999</v>
      </c>
      <c r="T157" s="14">
        <v>0.22900000000000001</v>
      </c>
      <c r="U157" s="84">
        <f>T157/SQRT(Q157)</f>
        <v>1.2364837759873289E-2</v>
      </c>
      <c r="V157" s="84">
        <f>S157-U157*_xlfn.NORM.S.INV(0.975)</f>
        <v>0.71876536331596741</v>
      </c>
      <c r="X157" s="84">
        <f>S157+U157*_xlfn.NORM.S.INV(0.975)</f>
        <v>0.76723463668403258</v>
      </c>
      <c r="Y157" s="32" t="s">
        <v>355</v>
      </c>
      <c r="AB157"/>
    </row>
    <row r="158" spans="1:31" ht="12" customHeight="1" outlineLevel="3" x14ac:dyDescent="0.25">
      <c r="A158" s="2"/>
      <c r="C158" s="7"/>
      <c r="G158" s="40" t="s">
        <v>752</v>
      </c>
      <c r="H158" s="40" t="s">
        <v>752</v>
      </c>
      <c r="I158" s="40" t="s">
        <v>752</v>
      </c>
      <c r="J158" s="40" t="s">
        <v>89</v>
      </c>
      <c r="K158" s="40" t="s">
        <v>89</v>
      </c>
      <c r="L158" s="12" t="s">
        <v>356</v>
      </c>
      <c r="M158" s="150">
        <f>O158</f>
        <v>0.74399999999999999</v>
      </c>
      <c r="O158" s="18">
        <f>S158</f>
        <v>0.74399999999999999</v>
      </c>
      <c r="P158" s="11"/>
      <c r="Q158" s="14">
        <v>356</v>
      </c>
      <c r="S158" s="35">
        <v>0.74399999999999999</v>
      </c>
      <c r="T158" s="14">
        <v>0.23899999999999999</v>
      </c>
      <c r="U158" s="84">
        <f>T158/SQRT(Q158)</f>
        <v>1.2666974666076003E-2</v>
      </c>
      <c r="V158" s="84">
        <f>S158-U158*_xlfn.NORM.S.INV(0.975)</f>
        <v>0.71917318586140977</v>
      </c>
      <c r="X158" s="84">
        <f>S158+U158*_xlfn.NORM.S.INV(0.975)</f>
        <v>0.76882681413859022</v>
      </c>
      <c r="Y158" s="32" t="s">
        <v>355</v>
      </c>
      <c r="AB158"/>
    </row>
    <row r="159" spans="1:31" ht="12" customHeight="1" outlineLevel="3" x14ac:dyDescent="0.25">
      <c r="A159" s="2"/>
      <c r="C159" s="7"/>
      <c r="G159" s="40" t="s">
        <v>752</v>
      </c>
      <c r="H159" s="40" t="s">
        <v>752</v>
      </c>
      <c r="I159" s="40" t="s">
        <v>752</v>
      </c>
      <c r="J159" s="40" t="s">
        <v>89</v>
      </c>
      <c r="K159" s="40" t="s">
        <v>89</v>
      </c>
      <c r="L159" s="12" t="s">
        <v>354</v>
      </c>
      <c r="M159" s="89">
        <f>O159</f>
        <v>0.74350929899856932</v>
      </c>
      <c r="O159" s="18">
        <f>CHOOSE(swtchPSA, S159, AB159)</f>
        <v>0.74350929899856932</v>
      </c>
      <c r="P159" s="53"/>
      <c r="Q159" s="265">
        <f>Q157+Q158</f>
        <v>699</v>
      </c>
      <c r="S159" s="17">
        <f>SUMPRODUCT(S157:S158, Q157:Q158) / SUM(Q157:Q158)</f>
        <v>0.74350929899856932</v>
      </c>
      <c r="T159" s="22">
        <f>SQRT((T157^2*(Q157-1)+T158^2*(Q158-1))/(Q157+Q158-2))</f>
        <v>0.23414662967760838</v>
      </c>
      <c r="U159" s="22">
        <f>T159/SQRT(Q159)</f>
        <v>8.8562388950832582E-3</v>
      </c>
      <c r="V159" s="84">
        <f>S159-U159*_xlfn.NORM.S.INV(0.975)</f>
        <v>0.72615138972572335</v>
      </c>
      <c r="X159" s="84">
        <f>S159+U159*_xlfn.NORM.S.INV(0.975)</f>
        <v>0.7608672082714153</v>
      </c>
      <c r="AA159" s="19">
        <f ca="1">RAND()</f>
        <v>0.10531611482637759</v>
      </c>
      <c r="AB159" s="21">
        <f ca="1">_xlfn.BETA.INV(AA159, AD159, AE159)</f>
        <v>0.7323841243606487</v>
      </c>
      <c r="AC159" s="20" t="s">
        <v>28</v>
      </c>
      <c r="AD159" s="54">
        <f>(S159^2*(1-S159))/U159^2-S159</f>
        <v>1807.0373658446799</v>
      </c>
      <c r="AE159" s="55">
        <f>AD159*((1-S159)/S159)</f>
        <v>623.37926549883343</v>
      </c>
    </row>
    <row r="160" spans="1:31" ht="12" customHeight="1" outlineLevel="3" x14ac:dyDescent="0.25">
      <c r="A160" s="2"/>
      <c r="C160" s="7"/>
      <c r="D160" s="40">
        <v>55</v>
      </c>
      <c r="G160" s="40" t="s">
        <v>752</v>
      </c>
      <c r="H160" s="40" t="s">
        <v>752</v>
      </c>
      <c r="I160" s="40" t="s">
        <v>752</v>
      </c>
      <c r="J160" s="40" t="s">
        <v>89</v>
      </c>
      <c r="K160" s="40" t="s">
        <v>89</v>
      </c>
      <c r="L160" s="12" t="s">
        <v>353</v>
      </c>
      <c r="M160" s="89">
        <f>O160</f>
        <v>-7.8690701001430718E-2</v>
      </c>
      <c r="N160" s="387" t="s">
        <v>658</v>
      </c>
      <c r="O160" s="66" cm="1">
        <f t="array" ref="O160">M159-_fnGENPOP.U(55)</f>
        <v>-7.8690701001430718E-2</v>
      </c>
      <c r="P160" s="53"/>
      <c r="Q160" s="78"/>
      <c r="R160" s="78"/>
      <c r="S160" s="78"/>
      <c r="T160" s="78"/>
      <c r="U160" s="78"/>
      <c r="V160" s="22" cm="1">
        <f t="array" ref="V160">V159-_fnGENPOP.U(55)</f>
        <v>-9.6048610274276691E-2</v>
      </c>
      <c r="W160" s="78"/>
      <c r="X160" s="22" cm="1">
        <f t="array" ref="X160">X159-_fnGENPOP.U(55)</f>
        <v>-6.1332791728584746E-2</v>
      </c>
    </row>
    <row r="161" spans="1:31" ht="12" customHeight="1" outlineLevel="3" x14ac:dyDescent="0.25">
      <c r="A161" s="2"/>
      <c r="C161" s="7"/>
      <c r="G161" s="40" t="s">
        <v>89</v>
      </c>
      <c r="H161" s="40" t="s">
        <v>89</v>
      </c>
      <c r="I161" s="40" t="s">
        <v>89</v>
      </c>
      <c r="J161" s="40" t="s">
        <v>89</v>
      </c>
      <c r="K161" s="40" t="s">
        <v>89</v>
      </c>
      <c r="L161" s="29" t="s">
        <v>346</v>
      </c>
      <c r="M161"/>
      <c r="O161"/>
      <c r="P161" s="155"/>
      <c r="AB161"/>
    </row>
    <row r="162" spans="1:31" ht="12" customHeight="1" outlineLevel="3" x14ac:dyDescent="0.25">
      <c r="A162" s="2"/>
      <c r="C162" s="7"/>
      <c r="G162" s="40" t="s">
        <v>752</v>
      </c>
      <c r="H162" s="40" t="s">
        <v>752</v>
      </c>
      <c r="I162" s="40" t="s">
        <v>752</v>
      </c>
      <c r="J162" s="40" t="s">
        <v>89</v>
      </c>
      <c r="K162" s="40" t="s">
        <v>89</v>
      </c>
      <c r="L162" s="12" t="s">
        <v>731</v>
      </c>
      <c r="M162" s="87">
        <f>O162</f>
        <v>0.83599999999999997</v>
      </c>
      <c r="O162" s="11">
        <f>CHOOSE(swtchPSA, S162, AB162)</f>
        <v>0.83599999999999997</v>
      </c>
      <c r="P162" s="11"/>
      <c r="Q162" s="14">
        <v>620</v>
      </c>
      <c r="S162" s="35">
        <v>0.83599999999999997</v>
      </c>
      <c r="T162" s="18"/>
      <c r="U162" s="22">
        <f>(X162-V162) / 2 / _xlfn.NORM.S.INV(0.975)</f>
        <v>1.0459375866955417E-2</v>
      </c>
      <c r="V162" s="35">
        <v>0.81499999999999995</v>
      </c>
      <c r="W162" s="18"/>
      <c r="X162" s="35">
        <v>0.85599999999999998</v>
      </c>
      <c r="Y162" s="32" t="s">
        <v>155</v>
      </c>
      <c r="AA162" s="19">
        <f ca="1">RAND()</f>
        <v>0.62574769828316767</v>
      </c>
      <c r="AB162" s="21">
        <f ca="1">_xlfn.BETA.INV(AA162, AD162, AE162)</f>
        <v>0.83951414864724538</v>
      </c>
      <c r="AC162" s="20" t="s">
        <v>28</v>
      </c>
      <c r="AD162" s="54">
        <f>(S162^2*(1-S162))/U162^2-S162</f>
        <v>1046.8831039796432</v>
      </c>
      <c r="AE162" s="55">
        <f>AD162*((1-S162)/S162)</f>
        <v>205.36941274241809</v>
      </c>
    </row>
    <row r="163" spans="1:31" ht="12" customHeight="1" outlineLevel="3" x14ac:dyDescent="0.25">
      <c r="A163" s="2"/>
      <c r="C163" s="7"/>
      <c r="G163" s="40" t="s">
        <v>752</v>
      </c>
      <c r="H163" s="40" t="s">
        <v>752</v>
      </c>
      <c r="I163" s="40" t="s">
        <v>752</v>
      </c>
      <c r="J163" s="40" t="s">
        <v>89</v>
      </c>
      <c r="K163" s="40" t="s">
        <v>89</v>
      </c>
      <c r="L163" s="12" t="s">
        <v>352</v>
      </c>
      <c r="M163" s="87">
        <f>O163</f>
        <v>0.73399999999999999</v>
      </c>
      <c r="O163" s="11">
        <f>CHOOSE(swtchPSA, S163, AB163)</f>
        <v>0.73399999999999999</v>
      </c>
      <c r="P163" s="11"/>
      <c r="Q163" s="14">
        <v>666</v>
      </c>
      <c r="S163" s="35">
        <v>0.73399999999999999</v>
      </c>
      <c r="T163" s="18"/>
      <c r="U163" s="22">
        <f>(X163-V163) / 2 / _xlfn.NORM.S.INV(0.975)</f>
        <v>1.3520656608503346E-2</v>
      </c>
      <c r="V163" s="35">
        <v>0.70699999999999996</v>
      </c>
      <c r="W163" s="18"/>
      <c r="X163" s="35">
        <v>0.76</v>
      </c>
      <c r="Y163" s="32" t="s">
        <v>155</v>
      </c>
      <c r="AA163" s="19">
        <f ca="1">RAND()</f>
        <v>0.76142416691842785</v>
      </c>
      <c r="AB163" s="21">
        <f ca="1">_xlfn.BETA.INV(AA163, AD163, AE163)</f>
        <v>0.74368779113917327</v>
      </c>
      <c r="AC163" s="20" t="s">
        <v>28</v>
      </c>
      <c r="AD163" s="54">
        <f>(S163^2*(1-S163))/U163^2-S163</f>
        <v>783.19763533627622</v>
      </c>
      <c r="AE163" s="55">
        <f>AD163*((1-S163)/S163)</f>
        <v>283.82911580306472</v>
      </c>
    </row>
    <row r="164" spans="1:31" ht="12" customHeight="1" outlineLevel="3" x14ac:dyDescent="0.25">
      <c r="A164" s="2"/>
      <c r="C164" s="7"/>
      <c r="G164" s="40" t="s">
        <v>752</v>
      </c>
      <c r="H164" s="40" t="s">
        <v>752</v>
      </c>
      <c r="I164" s="40" t="s">
        <v>752</v>
      </c>
      <c r="J164" s="40" t="s">
        <v>89</v>
      </c>
      <c r="K164" s="40" t="s">
        <v>89</v>
      </c>
      <c r="L164" s="12" t="s">
        <v>346</v>
      </c>
      <c r="M164" s="253">
        <f>O164</f>
        <v>-0.10199999999999998</v>
      </c>
      <c r="N164" s="15" t="s">
        <v>659</v>
      </c>
      <c r="O164" s="172">
        <f>M163-M162</f>
        <v>-0.10199999999999998</v>
      </c>
      <c r="P164" s="172"/>
      <c r="S164" s="84">
        <f>S163-S162</f>
        <v>-0.10199999999999998</v>
      </c>
      <c r="U164" s="84">
        <f>SQRT(U162^2+U163^2)</f>
        <v>1.7094054482518609E-2</v>
      </c>
      <c r="V164" s="84">
        <f>S164-U164*_xlfn.NORM.S.INV(0.975)</f>
        <v>-0.1355037311355019</v>
      </c>
      <c r="X164" s="84">
        <f>S164+U164*_xlfn.NORM.S.INV(0.975)</f>
        <v>-6.8496268864498042E-2</v>
      </c>
    </row>
    <row r="165" spans="1:31" ht="12" customHeight="1" outlineLevel="3" x14ac:dyDescent="0.25">
      <c r="A165" s="2"/>
      <c r="C165" s="7"/>
      <c r="G165" s="40" t="s">
        <v>89</v>
      </c>
      <c r="H165" s="40" t="s">
        <v>89</v>
      </c>
      <c r="I165" s="40" t="s">
        <v>89</v>
      </c>
      <c r="J165" s="40" t="s">
        <v>89</v>
      </c>
      <c r="K165" s="40" t="s">
        <v>89</v>
      </c>
      <c r="L165" s="29" t="s">
        <v>344</v>
      </c>
      <c r="M165"/>
      <c r="O165"/>
      <c r="AB165"/>
    </row>
    <row r="166" spans="1:31" ht="12" customHeight="1" outlineLevel="3" thickBot="1" x14ac:dyDescent="0.3">
      <c r="A166" s="2"/>
      <c r="C166" s="7"/>
      <c r="G166" s="40" t="s">
        <v>752</v>
      </c>
      <c r="H166" s="40" t="s">
        <v>752</v>
      </c>
      <c r="I166" s="40" t="s">
        <v>752</v>
      </c>
      <c r="J166" s="40" t="s">
        <v>89</v>
      </c>
      <c r="K166" s="40" t="s">
        <v>89</v>
      </c>
      <c r="L166" s="12" t="s">
        <v>344</v>
      </c>
      <c r="M166" s="87">
        <f>O166</f>
        <v>-0.23899999999999999</v>
      </c>
      <c r="N166" s="15" t="s">
        <v>660</v>
      </c>
      <c r="O166" s="11">
        <f>CHOOSE(swtchPSA, S166, AB166)</f>
        <v>-0.23899999999999999</v>
      </c>
      <c r="P166" s="11"/>
      <c r="Q166" s="14">
        <v>620</v>
      </c>
      <c r="S166" s="35">
        <v>-0.23899999999999999</v>
      </c>
      <c r="T166" s="18"/>
      <c r="U166" s="22">
        <f>(X166-V166) / 2 / _xlfn.NORM.S.INV(0.975)</f>
        <v>7.4159525963998468E-2</v>
      </c>
      <c r="V166" s="35">
        <v>-0.38400000000000001</v>
      </c>
      <c r="W166" s="18"/>
      <c r="X166" s="35">
        <v>-9.3299999999999994E-2</v>
      </c>
      <c r="Y166" s="32" t="s">
        <v>732</v>
      </c>
      <c r="AA166" s="19">
        <f ca="1">RAND()</f>
        <v>0.13883560779676796</v>
      </c>
      <c r="AB166" s="64">
        <f ca="1">_xlfn.NORM.INV(AA166, AD166, AE166)</f>
        <v>-0.31950503204781627</v>
      </c>
      <c r="AC166" s="407" t="s">
        <v>23</v>
      </c>
      <c r="AD166" s="408">
        <f>S166</f>
        <v>-0.23899999999999999</v>
      </c>
      <c r="AE166" s="409">
        <f>U166</f>
        <v>7.4159525963998468E-2</v>
      </c>
    </row>
    <row r="167" spans="1:31" s="165" customFormat="1" ht="12" customHeight="1" thickBot="1" x14ac:dyDescent="0.3">
      <c r="A167" s="260"/>
      <c r="B167" s="383"/>
      <c r="C167" s="259"/>
      <c r="D167" s="303"/>
      <c r="G167" s="303" t="s">
        <v>89</v>
      </c>
      <c r="H167" s="303" t="s">
        <v>89</v>
      </c>
      <c r="I167" s="303" t="s">
        <v>89</v>
      </c>
      <c r="J167" s="303" t="s">
        <v>89</v>
      </c>
      <c r="K167" s="303" t="s">
        <v>89</v>
      </c>
      <c r="L167" s="30" t="str" cm="1">
        <f t="array" ref="L167">INDEX(lstQs, 1) &amp; " &amp; " &amp; INDEX(lstQs, 2)</f>
        <v>A: No gastroprotection - NSAIDs in people &gt;65 &amp; B: No gastroprotection - NSAIDs in people with ulcer history</v>
      </c>
      <c r="M167" s="369"/>
      <c r="O167" s="369"/>
      <c r="P167" s="369"/>
      <c r="S167" s="372"/>
      <c r="T167" s="65"/>
      <c r="Y167" s="23"/>
    </row>
    <row r="168" spans="1:31" s="13" customFormat="1" ht="12" customHeight="1" outlineLevel="1" thickBot="1" x14ac:dyDescent="0.3">
      <c r="A168" s="260"/>
      <c r="B168" s="383"/>
      <c r="C168" s="259"/>
      <c r="D168" s="25"/>
      <c r="G168" s="25" t="s">
        <v>89</v>
      </c>
      <c r="H168" s="25" t="s">
        <v>89</v>
      </c>
      <c r="I168" s="25" t="s">
        <v>89</v>
      </c>
      <c r="J168" s="25" t="s">
        <v>89</v>
      </c>
      <c r="K168" s="25" t="s">
        <v>89</v>
      </c>
      <c r="L168" s="13" t="s">
        <v>26</v>
      </c>
      <c r="M168" s="25"/>
      <c r="O168" s="25"/>
      <c r="P168" s="380"/>
      <c r="Z168" s="378"/>
      <c r="AB168" s="25"/>
    </row>
    <row r="169" spans="1:31" ht="12" customHeight="1" outlineLevel="3" x14ac:dyDescent="0.25">
      <c r="A169" s="260"/>
      <c r="B169" s="383"/>
      <c r="C169" s="259"/>
      <c r="G169" s="40" t="s">
        <v>89</v>
      </c>
      <c r="H169" s="40" t="s">
        <v>89</v>
      </c>
      <c r="I169" s="40" t="s">
        <v>89</v>
      </c>
      <c r="J169" s="40" t="s">
        <v>89</v>
      </c>
      <c r="K169" s="40" t="s">
        <v>89</v>
      </c>
      <c r="L169" s="10" t="s">
        <v>29</v>
      </c>
      <c r="P169" s="11"/>
    </row>
    <row r="170" spans="1:31" ht="12" customHeight="1" outlineLevel="3" x14ac:dyDescent="0.25">
      <c r="A170" s="260"/>
      <c r="B170" s="383"/>
      <c r="C170" s="259"/>
      <c r="G170" s="40" t="s">
        <v>752</v>
      </c>
      <c r="H170" s="40" t="s">
        <v>89</v>
      </c>
      <c r="I170" s="40" t="s">
        <v>89</v>
      </c>
      <c r="J170" s="40" t="s">
        <v>89</v>
      </c>
      <c r="K170" s="40" t="s">
        <v>89</v>
      </c>
      <c r="L170" s="12" t="s">
        <v>414</v>
      </c>
      <c r="M170" s="41">
        <f>O170</f>
        <v>70</v>
      </c>
      <c r="N170" s="15" t="s">
        <v>405</v>
      </c>
      <c r="O170" s="11">
        <f>S170</f>
        <v>70</v>
      </c>
      <c r="P170" s="11"/>
      <c r="S170" s="14">
        <v>70</v>
      </c>
    </row>
    <row r="171" spans="1:31" ht="12" customHeight="1" outlineLevel="3" thickBot="1" x14ac:dyDescent="0.3">
      <c r="A171" s="260"/>
      <c r="B171" s="383"/>
      <c r="C171" s="259"/>
      <c r="G171" s="40" t="s">
        <v>89</v>
      </c>
      <c r="H171" s="40" t="s">
        <v>752</v>
      </c>
      <c r="I171" s="40" t="s">
        <v>89</v>
      </c>
      <c r="J171" s="40" t="s">
        <v>89</v>
      </c>
      <c r="K171" s="40" t="s">
        <v>89</v>
      </c>
      <c r="L171" s="12" t="s">
        <v>415</v>
      </c>
      <c r="M171" s="41">
        <f>O171</f>
        <v>55</v>
      </c>
      <c r="N171" s="15" t="s">
        <v>404</v>
      </c>
      <c r="O171" s="11">
        <f>S171</f>
        <v>55</v>
      </c>
      <c r="P171" s="11"/>
      <c r="S171" s="14">
        <v>55</v>
      </c>
    </row>
    <row r="172" spans="1:31" ht="12" customHeight="1" outlineLevel="3" thickBot="1" x14ac:dyDescent="0.3">
      <c r="A172" s="260"/>
      <c r="B172" s="383"/>
      <c r="C172" s="259"/>
      <c r="G172" s="40" t="s">
        <v>752</v>
      </c>
      <c r="H172" s="40" t="s">
        <v>752</v>
      </c>
      <c r="I172" s="40" t="s">
        <v>89</v>
      </c>
      <c r="J172" s="40" t="s">
        <v>89</v>
      </c>
      <c r="K172" s="40" t="s">
        <v>89</v>
      </c>
      <c r="L172" s="10" t="s">
        <v>24</v>
      </c>
      <c r="M172" s="16">
        <v>4</v>
      </c>
      <c r="N172" s="15" t="s">
        <v>403</v>
      </c>
      <c r="P172" s="11"/>
    </row>
    <row r="173" spans="1:31" ht="12" customHeight="1" outlineLevel="3" thickBot="1" x14ac:dyDescent="0.3">
      <c r="A173" s="260"/>
      <c r="B173" s="383"/>
      <c r="C173" s="259"/>
      <c r="G173" s="40" t="s">
        <v>752</v>
      </c>
      <c r="H173" s="40" t="s">
        <v>752</v>
      </c>
      <c r="I173" s="40" t="s">
        <v>89</v>
      </c>
      <c r="J173" s="40" t="s">
        <v>89</v>
      </c>
      <c r="K173" s="40" t="s">
        <v>89</v>
      </c>
      <c r="L173" s="29" t="s">
        <v>138</v>
      </c>
      <c r="M173" s="41">
        <f>O173</f>
        <v>10</v>
      </c>
      <c r="N173" s="15" t="s">
        <v>402</v>
      </c>
      <c r="O173" s="11">
        <f>CHOOSE(swtchDurHPE, maxDurHPE, S173, maxDurHPE)</f>
        <v>10</v>
      </c>
      <c r="P173" s="11"/>
      <c r="S173" s="159">
        <v>10</v>
      </c>
    </row>
    <row r="174" spans="1:31" s="13" customFormat="1" ht="12" customHeight="1" outlineLevel="1" thickBot="1" x14ac:dyDescent="0.3">
      <c r="A174" s="260"/>
      <c r="B174" s="383"/>
      <c r="C174" s="259"/>
      <c r="D174" s="25"/>
      <c r="G174" s="25" t="s">
        <v>89</v>
      </c>
      <c r="H174" s="25" t="s">
        <v>89</v>
      </c>
      <c r="I174" s="25" t="s">
        <v>89</v>
      </c>
      <c r="J174" s="25" t="s">
        <v>89</v>
      </c>
      <c r="K174" s="25" t="s">
        <v>89</v>
      </c>
      <c r="L174" s="197" t="s">
        <v>692</v>
      </c>
      <c r="M174" s="25"/>
      <c r="O174" s="25"/>
      <c r="P174" s="380"/>
      <c r="Z174" s="378"/>
      <c r="AB174" s="25"/>
    </row>
    <row r="175" spans="1:31" ht="12" customHeight="1" outlineLevel="3" x14ac:dyDescent="0.25">
      <c r="A175" s="260"/>
      <c r="B175" s="383"/>
      <c r="C175" s="259"/>
      <c r="G175" s="40" t="s">
        <v>752</v>
      </c>
      <c r="H175" s="40" t="s">
        <v>752</v>
      </c>
      <c r="I175" s="40" t="s">
        <v>89</v>
      </c>
      <c r="J175" s="40" t="s">
        <v>89</v>
      </c>
      <c r="K175" s="40" t="s">
        <v>89</v>
      </c>
      <c r="L175" s="38" t="s">
        <v>396</v>
      </c>
      <c r="M175" s="36">
        <f>O175</f>
        <v>0.34</v>
      </c>
      <c r="O175" s="11">
        <f>CHOOSE(swtchPSA, S175, AB175)</f>
        <v>0.34</v>
      </c>
      <c r="P175" s="11"/>
      <c r="S175" s="35">
        <v>0.34</v>
      </c>
      <c r="T175" s="18"/>
      <c r="U175" s="22">
        <f>(LN(X175)-LN(V175)) / 2/ _xlfn.NORM.S.INV(0.975)</f>
        <v>0.22907094219302179</v>
      </c>
      <c r="V175" s="35">
        <v>0.22</v>
      </c>
      <c r="W175" s="18"/>
      <c r="X175" s="35">
        <v>0.54</v>
      </c>
      <c r="Y175" s="32" t="s">
        <v>397</v>
      </c>
      <c r="AA175" s="19">
        <f ca="1">RAND()</f>
        <v>0.17659566048710584</v>
      </c>
      <c r="AB175" s="37">
        <f ca="1">_xlfn.LOGNORM.INV(AA175, AD175, AE175)</f>
        <v>0.2748628561494762</v>
      </c>
      <c r="AC175" s="20" t="s">
        <v>20</v>
      </c>
      <c r="AD175" s="27">
        <f>LN(S175)</f>
        <v>-1.0788096613719298</v>
      </c>
      <c r="AE175" s="26">
        <f>U175</f>
        <v>0.22907094219302179</v>
      </c>
    </row>
    <row r="176" spans="1:31" ht="12" customHeight="1" outlineLevel="3" x14ac:dyDescent="0.25">
      <c r="A176" s="260"/>
      <c r="B176" s="383"/>
      <c r="C176" s="259"/>
      <c r="G176" s="40" t="s">
        <v>752</v>
      </c>
      <c r="H176" s="40" t="s">
        <v>752</v>
      </c>
      <c r="I176" s="40" t="s">
        <v>89</v>
      </c>
      <c r="J176" s="40" t="s">
        <v>89</v>
      </c>
      <c r="K176" s="40" t="s">
        <v>89</v>
      </c>
      <c r="L176" s="38" t="s">
        <v>392</v>
      </c>
      <c r="M176" s="36">
        <f>O176</f>
        <v>0.28000000000000003</v>
      </c>
      <c r="O176" s="11">
        <f>CHOOSE(swtchPSA, S176, AB176)</f>
        <v>0.28000000000000003</v>
      </c>
      <c r="P176" s="11"/>
      <c r="S176" s="35">
        <v>0.28000000000000003</v>
      </c>
      <c r="T176" s="18"/>
      <c r="U176" s="22">
        <f>(LN(X176)-LN(V176)) / 2/ _xlfn.NORM.S.INV(0.975)</f>
        <v>0.25394039387577749</v>
      </c>
      <c r="V176" s="35">
        <v>0.17</v>
      </c>
      <c r="W176" s="18"/>
      <c r="X176" s="35">
        <v>0.46</v>
      </c>
      <c r="Y176" s="32" t="s">
        <v>387</v>
      </c>
      <c r="AA176" s="19">
        <f ca="1">RAND()</f>
        <v>0.47594820556785333</v>
      </c>
      <c r="AB176" s="37">
        <f ca="1">_xlfn.LOGNORM.INV(AA176, AD176, AE176)</f>
        <v>0.27574334613101387</v>
      </c>
      <c r="AC176" s="20" t="s">
        <v>20</v>
      </c>
      <c r="AD176" s="27">
        <f>LN(S176)</f>
        <v>-1.2729656758128873</v>
      </c>
      <c r="AE176" s="26">
        <f>U176</f>
        <v>0.25394039387577749</v>
      </c>
    </row>
    <row r="177" spans="1:31" ht="12" customHeight="1" outlineLevel="3" thickBot="1" x14ac:dyDescent="0.3">
      <c r="A177" s="260"/>
      <c r="B177" s="383"/>
      <c r="C177" s="259"/>
      <c r="G177" s="40" t="s">
        <v>752</v>
      </c>
      <c r="H177" s="40" t="s">
        <v>752</v>
      </c>
      <c r="I177" s="40" t="s">
        <v>89</v>
      </c>
      <c r="J177" s="40" t="s">
        <v>89</v>
      </c>
      <c r="K177" s="40" t="s">
        <v>89</v>
      </c>
      <c r="L177" s="38" t="s">
        <v>388</v>
      </c>
      <c r="M177" s="36">
        <f>O177</f>
        <v>0.35</v>
      </c>
      <c r="O177" s="11">
        <f>CHOOSE(swtchPSA, S177, AB177)</f>
        <v>0.35</v>
      </c>
      <c r="P177" s="11"/>
      <c r="S177" s="35">
        <v>0.35</v>
      </c>
      <c r="T177" s="18"/>
      <c r="U177" s="22">
        <f>(LN(X177)-LN(V177)) / 2/ _xlfn.NORM.S.INV(0.975)</f>
        <v>0.19724594286739586</v>
      </c>
      <c r="V177" s="35">
        <v>0.24</v>
      </c>
      <c r="W177" s="18"/>
      <c r="X177" s="35">
        <v>0.52</v>
      </c>
      <c r="Y177" s="32" t="s">
        <v>387</v>
      </c>
      <c r="AA177" s="19">
        <f ca="1">RAND()</f>
        <v>0.35560945067828553</v>
      </c>
      <c r="AB177" s="37">
        <f ca="1">_xlfn.LOGNORM.INV(AA177, AD177, AE177)</f>
        <v>0.32535238214373652</v>
      </c>
      <c r="AC177" s="20" t="s">
        <v>20</v>
      </c>
      <c r="AD177" s="27">
        <f>LN(S177)</f>
        <v>-1.0498221244986778</v>
      </c>
      <c r="AE177" s="26">
        <f>U177</f>
        <v>0.19724594286739586</v>
      </c>
    </row>
    <row r="178" spans="1:31" s="13" customFormat="1" ht="12" customHeight="1" outlineLevel="1" thickBot="1" x14ac:dyDescent="0.3">
      <c r="A178" s="260"/>
      <c r="B178" s="383"/>
      <c r="C178" s="259"/>
      <c r="D178" s="25"/>
      <c r="G178" s="25" t="s">
        <v>89</v>
      </c>
      <c r="H178" s="25" t="s">
        <v>89</v>
      </c>
      <c r="I178" s="25" t="s">
        <v>89</v>
      </c>
      <c r="J178" s="25" t="s">
        <v>89</v>
      </c>
      <c r="K178" s="25" t="s">
        <v>89</v>
      </c>
      <c r="L178" s="197" t="s">
        <v>400</v>
      </c>
      <c r="M178" s="25"/>
      <c r="O178" s="25"/>
      <c r="P178" s="380"/>
      <c r="Z178" s="378"/>
      <c r="AB178" s="25"/>
    </row>
    <row r="179" spans="1:31" s="110" customFormat="1" ht="12" customHeight="1" outlineLevel="2" thickBot="1" x14ac:dyDescent="0.3">
      <c r="A179" s="260"/>
      <c r="B179" s="383"/>
      <c r="C179" s="259"/>
      <c r="D179" s="112"/>
      <c r="G179" s="112" t="s">
        <v>89</v>
      </c>
      <c r="H179" s="112" t="s">
        <v>89</v>
      </c>
      <c r="I179" s="112" t="s">
        <v>89</v>
      </c>
      <c r="J179" s="112" t="s">
        <v>89</v>
      </c>
      <c r="K179" s="112" t="s">
        <v>89</v>
      </c>
      <c r="L179" s="110" t="s">
        <v>399</v>
      </c>
      <c r="P179" s="379"/>
      <c r="Z179" s="379"/>
    </row>
    <row r="180" spans="1:31" ht="12" customHeight="1" outlineLevel="3" x14ac:dyDescent="0.25">
      <c r="A180" s="260"/>
      <c r="B180" s="383"/>
      <c r="C180" s="259"/>
      <c r="G180" s="40" t="s">
        <v>89</v>
      </c>
      <c r="H180" s="40" t="s">
        <v>89</v>
      </c>
      <c r="I180" s="40" t="s">
        <v>89</v>
      </c>
      <c r="J180" s="40" t="s">
        <v>89</v>
      </c>
      <c r="K180" s="40" t="s">
        <v>89</v>
      </c>
      <c r="L180" t="s">
        <v>398</v>
      </c>
      <c r="M180"/>
      <c r="O180"/>
      <c r="AB180"/>
    </row>
    <row r="181" spans="1:31" ht="12" customHeight="1" outlineLevel="3" x14ac:dyDescent="0.25">
      <c r="A181" s="260"/>
      <c r="B181" s="383"/>
      <c r="C181" s="259"/>
      <c r="G181" s="40" t="s">
        <v>752</v>
      </c>
      <c r="H181" s="40" t="s">
        <v>752</v>
      </c>
      <c r="I181" s="40" t="s">
        <v>89</v>
      </c>
      <c r="J181" s="40" t="s">
        <v>89</v>
      </c>
      <c r="K181" s="40" t="s">
        <v>89</v>
      </c>
      <c r="L181" s="104" t="s">
        <v>394</v>
      </c>
      <c r="M181" s="36">
        <f>O181</f>
        <v>0.64810000000000001</v>
      </c>
      <c r="O181" s="11">
        <f>CHOOSE(swtchPSA, S181, AB181)</f>
        <v>0.64810000000000001</v>
      </c>
      <c r="P181" s="11"/>
      <c r="S181" s="28">
        <f>6481/10000</f>
        <v>0.64810000000000001</v>
      </c>
      <c r="T181" s="66"/>
      <c r="U181" s="22">
        <f>(LN(X181)-LN(V181)) / 2/ _xlfn.NORM.S.INV(0.975)</f>
        <v>3.1184841284358177E-2</v>
      </c>
      <c r="V181" s="28">
        <f>6091/10000</f>
        <v>0.60909999999999997</v>
      </c>
      <c r="W181" s="66"/>
      <c r="X181" s="28">
        <f>6883/10000</f>
        <v>0.68830000000000002</v>
      </c>
      <c r="Y181" s="32" t="s">
        <v>393</v>
      </c>
      <c r="AA181" s="19">
        <f ca="1">RAND()</f>
        <v>0.60731963355972762</v>
      </c>
      <c r="AB181" s="37">
        <f ca="1">_xlfn.LOGNORM.INV(AA181, AD181, AE181)</f>
        <v>0.65362767157664392</v>
      </c>
      <c r="AC181" s="20" t="s">
        <v>20</v>
      </c>
      <c r="AD181" s="27">
        <f>LN(S181)</f>
        <v>-0.43371027354846675</v>
      </c>
      <c r="AE181" s="26">
        <f>U181</f>
        <v>3.1184841284358177E-2</v>
      </c>
    </row>
    <row r="182" spans="1:31" ht="12" customHeight="1" outlineLevel="3" x14ac:dyDescent="0.25">
      <c r="A182" s="260"/>
      <c r="B182" s="383"/>
      <c r="C182" s="259"/>
      <c r="G182" s="40" t="s">
        <v>89</v>
      </c>
      <c r="H182" s="40" t="s">
        <v>89</v>
      </c>
      <c r="I182" s="40" t="s">
        <v>89</v>
      </c>
      <c r="J182" s="40" t="s">
        <v>89</v>
      </c>
      <c r="K182" s="40" t="s">
        <v>89</v>
      </c>
      <c r="L182" s="104" t="s">
        <v>95</v>
      </c>
      <c r="M182"/>
      <c r="O182"/>
      <c r="AB182"/>
    </row>
    <row r="183" spans="1:31" ht="12" customHeight="1" outlineLevel="3" x14ac:dyDescent="0.25">
      <c r="A183" s="260"/>
      <c r="B183" s="383"/>
      <c r="C183" s="259"/>
      <c r="G183" s="40" t="s">
        <v>752</v>
      </c>
      <c r="H183" s="40" t="s">
        <v>752</v>
      </c>
      <c r="I183" s="40" t="s">
        <v>89</v>
      </c>
      <c r="J183" s="40" t="s">
        <v>89</v>
      </c>
      <c r="K183" s="40" t="s">
        <v>89</v>
      </c>
      <c r="L183" s="170" t="s">
        <v>386</v>
      </c>
      <c r="M183" s="156">
        <f>O183</f>
        <v>0.14958005622411985</v>
      </c>
      <c r="N183" s="441" t="s">
        <v>395</v>
      </c>
      <c r="O183">
        <f>vbratetoprob(M181, AB.cycleLength)</f>
        <v>0.14958005622411985</v>
      </c>
      <c r="AB183"/>
    </row>
    <row r="184" spans="1:31" ht="12" customHeight="1" outlineLevel="3" x14ac:dyDescent="0.25">
      <c r="A184" s="260"/>
      <c r="B184" s="383"/>
      <c r="C184" s="259"/>
      <c r="G184" s="40" t="s">
        <v>752</v>
      </c>
      <c r="H184" s="40" t="s">
        <v>752</v>
      </c>
      <c r="I184" s="40" t="s">
        <v>89</v>
      </c>
      <c r="J184" s="40" t="s">
        <v>89</v>
      </c>
      <c r="K184" s="40" t="s">
        <v>89</v>
      </c>
      <c r="L184" s="170" t="s">
        <v>384</v>
      </c>
      <c r="M184" s="156">
        <f>O184</f>
        <v>5.0857219116200753E-2</v>
      </c>
      <c r="N184" s="441"/>
      <c r="O184">
        <f>M183*M175</f>
        <v>5.0857219116200753E-2</v>
      </c>
      <c r="AB184"/>
    </row>
    <row r="185" spans="1:31" ht="12" customHeight="1" outlineLevel="3" x14ac:dyDescent="0.25">
      <c r="A185" s="260"/>
      <c r="B185" s="383"/>
      <c r="C185" s="259"/>
      <c r="G185" s="40" t="s">
        <v>89</v>
      </c>
      <c r="H185" s="40" t="s">
        <v>89</v>
      </c>
      <c r="I185" s="40" t="s">
        <v>89</v>
      </c>
      <c r="J185" s="40" t="s">
        <v>89</v>
      </c>
      <c r="K185" s="40" t="s">
        <v>89</v>
      </c>
      <c r="L185" t="s">
        <v>376</v>
      </c>
      <c r="M185"/>
      <c r="O185"/>
      <c r="AB185"/>
    </row>
    <row r="186" spans="1:31" ht="12" customHeight="1" outlineLevel="3" x14ac:dyDescent="0.25">
      <c r="A186" s="260"/>
      <c r="B186" s="383"/>
      <c r="C186" s="259"/>
      <c r="G186" s="40" t="s">
        <v>752</v>
      </c>
      <c r="H186" s="40" t="s">
        <v>752</v>
      </c>
      <c r="I186" s="40" t="s">
        <v>89</v>
      </c>
      <c r="J186" s="40" t="s">
        <v>89</v>
      </c>
      <c r="K186" s="40" t="s">
        <v>89</v>
      </c>
      <c r="L186" s="104" t="s">
        <v>394</v>
      </c>
      <c r="M186" s="36">
        <f>O186</f>
        <v>1.12E-2</v>
      </c>
      <c r="O186" s="11">
        <f>CHOOSE(swtchPSA, S186, AB186)</f>
        <v>1.12E-2</v>
      </c>
      <c r="P186" s="11"/>
      <c r="S186" s="144">
        <f>112/10000</f>
        <v>1.12E-2</v>
      </c>
      <c r="T186" s="53"/>
      <c r="U186" s="93">
        <f>(LN(X186)-LN(V186)) / 2/ _xlfn.NORM.S.INV(0.975)</f>
        <v>0.23986256388208485</v>
      </c>
      <c r="V186" s="144">
        <f>66/10000</f>
        <v>6.6E-3</v>
      </c>
      <c r="W186" s="53"/>
      <c r="X186" s="144">
        <f>169/10000</f>
        <v>1.6899999999999998E-2</v>
      </c>
      <c r="Y186" s="32" t="s">
        <v>393</v>
      </c>
      <c r="AA186" s="19">
        <f ca="1">RAND()</f>
        <v>0.41884210082880935</v>
      </c>
      <c r="AB186" s="37">
        <f ca="1">_xlfn.LOGNORM.INV(AA186, AD186, AE186)</f>
        <v>1.066296327086814E-2</v>
      </c>
      <c r="AC186" s="20" t="s">
        <v>20</v>
      </c>
      <c r="AD186" s="27">
        <f>LN(S186)</f>
        <v>-4.4918415006810886</v>
      </c>
      <c r="AE186" s="26">
        <f>U186</f>
        <v>0.23986256388208485</v>
      </c>
    </row>
    <row r="187" spans="1:31" ht="12" customHeight="1" outlineLevel="3" x14ac:dyDescent="0.25">
      <c r="A187" s="260"/>
      <c r="B187" s="383"/>
      <c r="C187" s="259"/>
      <c r="G187" s="40" t="s">
        <v>89</v>
      </c>
      <c r="H187" s="40" t="s">
        <v>89</v>
      </c>
      <c r="I187" s="40" t="s">
        <v>89</v>
      </c>
      <c r="J187" s="40" t="s">
        <v>89</v>
      </c>
      <c r="K187" s="40" t="s">
        <v>89</v>
      </c>
      <c r="L187" s="104" t="s">
        <v>95</v>
      </c>
      <c r="M187" s="204"/>
      <c r="O187"/>
      <c r="AB187"/>
    </row>
    <row r="188" spans="1:31" ht="12" customHeight="1" outlineLevel="3" x14ac:dyDescent="0.25">
      <c r="A188" s="260"/>
      <c r="B188" s="383"/>
      <c r="C188" s="259"/>
      <c r="G188" s="40" t="s">
        <v>752</v>
      </c>
      <c r="H188" s="40" t="s">
        <v>752</v>
      </c>
      <c r="I188" s="40" t="s">
        <v>89</v>
      </c>
      <c r="J188" s="40" t="s">
        <v>89</v>
      </c>
      <c r="K188" s="40" t="s">
        <v>89</v>
      </c>
      <c r="L188" s="170" t="s">
        <v>386</v>
      </c>
      <c r="M188" s="156">
        <f>O188</f>
        <v>2.7960836561070623E-3</v>
      </c>
      <c r="N188" s="441" t="s">
        <v>391</v>
      </c>
      <c r="O188">
        <f>vbratetoprob(M186, AB.cycleLength)</f>
        <v>2.7960836561070623E-3</v>
      </c>
      <c r="AB188"/>
    </row>
    <row r="189" spans="1:31" ht="12" customHeight="1" outlineLevel="3" x14ac:dyDescent="0.25">
      <c r="A189" s="260"/>
      <c r="B189" s="383"/>
      <c r="C189" s="259"/>
      <c r="G189" s="40" t="s">
        <v>752</v>
      </c>
      <c r="H189" s="40" t="s">
        <v>752</v>
      </c>
      <c r="I189" s="40" t="s">
        <v>89</v>
      </c>
      <c r="J189" s="40" t="s">
        <v>89</v>
      </c>
      <c r="K189" s="40" t="s">
        <v>89</v>
      </c>
      <c r="L189" s="170" t="s">
        <v>384</v>
      </c>
      <c r="M189" s="156">
        <f>O189</f>
        <v>7.8448272883231967E-4</v>
      </c>
      <c r="N189" s="441"/>
      <c r="O189">
        <f>vbOddsToProb(vbProbToOdds(M188)*M176)</f>
        <v>7.8448272883231967E-4</v>
      </c>
      <c r="S189" s="268"/>
      <c r="AB189"/>
    </row>
    <row r="190" spans="1:31" ht="12" customHeight="1" outlineLevel="3" x14ac:dyDescent="0.25">
      <c r="A190" s="260"/>
      <c r="B190" s="383"/>
      <c r="C190" s="259"/>
      <c r="G190" s="40" t="s">
        <v>89</v>
      </c>
      <c r="H190" s="40" t="s">
        <v>89</v>
      </c>
      <c r="I190" s="40" t="s">
        <v>89</v>
      </c>
      <c r="J190" s="40" t="s">
        <v>89</v>
      </c>
      <c r="K190" s="40" t="s">
        <v>89</v>
      </c>
      <c r="L190" t="s">
        <v>344</v>
      </c>
      <c r="M190"/>
      <c r="O190"/>
      <c r="AB190"/>
    </row>
    <row r="191" spans="1:31" ht="12" customHeight="1" outlineLevel="3" x14ac:dyDescent="0.25">
      <c r="A191" s="260"/>
      <c r="B191" s="383"/>
      <c r="C191" s="259"/>
      <c r="G191" s="40" t="s">
        <v>752</v>
      </c>
      <c r="H191" s="40" t="s">
        <v>752</v>
      </c>
      <c r="I191" s="40" t="s">
        <v>89</v>
      </c>
      <c r="J191" s="40" t="s">
        <v>89</v>
      </c>
      <c r="K191" s="40" t="s">
        <v>89</v>
      </c>
      <c r="L191" s="104" t="s">
        <v>390</v>
      </c>
      <c r="M191" s="36">
        <f>O191</f>
        <v>3.4374047435974512E-3</v>
      </c>
      <c r="O191" s="103">
        <f>CHOOSE(swtchPSA, S191, AB191)</f>
        <v>3.4374047435974512E-3</v>
      </c>
      <c r="P191" s="103"/>
      <c r="Q191" s="270">
        <f>3792396/4</f>
        <v>948099</v>
      </c>
      <c r="R191" s="14">
        <v>3259</v>
      </c>
      <c r="S191" s="386">
        <f>R191/Q191</f>
        <v>3.4374047435974512E-3</v>
      </c>
      <c r="T191" s="294"/>
      <c r="U191" s="386">
        <f>1/SQRT(R191)</f>
        <v>1.7516922953288844E-2</v>
      </c>
      <c r="V191" s="386">
        <f>vbRateCILo(Q191, R191, 0)</f>
        <v>3.3203920712966601E-3</v>
      </c>
      <c r="W191" s="294"/>
      <c r="X191" s="386">
        <f>vbRateCIhi(Q191, R191, 0)</f>
        <v>3.557488223382452E-3</v>
      </c>
      <c r="Y191" s="32" t="s">
        <v>389</v>
      </c>
      <c r="AA191" s="19">
        <f ca="1">RAND()</f>
        <v>0.29229004536608583</v>
      </c>
      <c r="AB191" s="102">
        <f ca="1">_xlfn.LOGNORM.INV(AA191, AD191, AE191)</f>
        <v>3.404643136702776E-3</v>
      </c>
      <c r="AC191" s="15" t="s">
        <v>20</v>
      </c>
      <c r="AD191" s="27">
        <f>LN(S191)</f>
        <v>-5.673038527326872</v>
      </c>
      <c r="AE191" s="26">
        <f>U191</f>
        <v>1.7516922953288844E-2</v>
      </c>
    </row>
    <row r="192" spans="1:31" ht="12" customHeight="1" outlineLevel="3" x14ac:dyDescent="0.25">
      <c r="A192" s="260"/>
      <c r="B192" s="383"/>
      <c r="C192" s="259"/>
      <c r="G192" s="40" t="s">
        <v>89</v>
      </c>
      <c r="H192" s="40" t="s">
        <v>89</v>
      </c>
      <c r="I192" s="40" t="s">
        <v>89</v>
      </c>
      <c r="J192" s="40" t="s">
        <v>89</v>
      </c>
      <c r="K192" s="40" t="s">
        <v>89</v>
      </c>
      <c r="L192" s="104" t="s">
        <v>95</v>
      </c>
      <c r="M192" s="204"/>
      <c r="O192"/>
      <c r="AB192"/>
    </row>
    <row r="193" spans="1:31" ht="12" customHeight="1" outlineLevel="3" x14ac:dyDescent="0.25">
      <c r="A193" s="260"/>
      <c r="B193" s="383"/>
      <c r="C193" s="259"/>
      <c r="G193" s="40" t="s">
        <v>752</v>
      </c>
      <c r="H193" s="40" t="s">
        <v>752</v>
      </c>
      <c r="I193" s="40" t="s">
        <v>89</v>
      </c>
      <c r="J193" s="40" t="s">
        <v>89</v>
      </c>
      <c r="K193" s="40" t="s">
        <v>89</v>
      </c>
      <c r="L193" s="170" t="s">
        <v>386</v>
      </c>
      <c r="M193" s="269">
        <f>O193</f>
        <v>8.5898204941592393E-4</v>
      </c>
      <c r="N193" s="441" t="s">
        <v>385</v>
      </c>
      <c r="O193">
        <f>vbratetoprob(M191, AB.cycleLength)</f>
        <v>8.5898204941592393E-4</v>
      </c>
      <c r="AB193"/>
    </row>
    <row r="194" spans="1:31" ht="12" customHeight="1" outlineLevel="3" x14ac:dyDescent="0.25">
      <c r="A194" s="260"/>
      <c r="B194" s="383"/>
      <c r="C194" s="259"/>
      <c r="G194" s="40" t="s">
        <v>752</v>
      </c>
      <c r="H194" s="40" t="s">
        <v>752</v>
      </c>
      <c r="I194" s="40" t="s">
        <v>89</v>
      </c>
      <c r="J194" s="40" t="s">
        <v>89</v>
      </c>
      <c r="K194" s="40" t="s">
        <v>89</v>
      </c>
      <c r="L194" s="170" t="s">
        <v>384</v>
      </c>
      <c r="M194" s="156">
        <f>O194</f>
        <v>3.0081167198279054E-4</v>
      </c>
      <c r="N194" s="441"/>
      <c r="O194">
        <f>vbOddsToProb(vbProbToOdds(M193)*M177)</f>
        <v>3.0081167198279054E-4</v>
      </c>
      <c r="S194" s="268"/>
      <c r="AB194"/>
    </row>
    <row r="195" spans="1:31" ht="12" customHeight="1" outlineLevel="3" x14ac:dyDescent="0.25">
      <c r="A195" s="260"/>
      <c r="B195" s="383"/>
      <c r="C195" s="259"/>
      <c r="G195" s="40" t="s">
        <v>89</v>
      </c>
      <c r="H195" s="40" t="s">
        <v>89</v>
      </c>
      <c r="I195" s="40" t="s">
        <v>89</v>
      </c>
      <c r="J195" s="40" t="s">
        <v>89</v>
      </c>
      <c r="K195" s="40" t="s">
        <v>89</v>
      </c>
      <c r="L195" t="s">
        <v>383</v>
      </c>
      <c r="M195"/>
      <c r="O195"/>
      <c r="AB195"/>
    </row>
    <row r="196" spans="1:31" ht="12" customHeight="1" outlineLevel="3" x14ac:dyDescent="0.25">
      <c r="A196" s="260"/>
      <c r="B196" s="383"/>
      <c r="C196" s="259"/>
      <c r="G196" s="40" t="s">
        <v>752</v>
      </c>
      <c r="H196" s="40" t="s">
        <v>752</v>
      </c>
      <c r="I196" s="40" t="s">
        <v>89</v>
      </c>
      <c r="J196" s="40" t="s">
        <v>89</v>
      </c>
      <c r="K196" s="40" t="s">
        <v>89</v>
      </c>
      <c r="L196" s="104" t="s">
        <v>382</v>
      </c>
      <c r="M196" s="36">
        <f>O196</f>
        <v>0.158</v>
      </c>
      <c r="O196" s="11">
        <f>CHOOSE(swtchPSA, S196, AB196)</f>
        <v>0.158</v>
      </c>
      <c r="P196" s="11"/>
      <c r="S196" s="28">
        <v>0.158</v>
      </c>
      <c r="T196" s="66"/>
      <c r="U196" s="22">
        <f>(LN(X196)-LN(V196)) / 2/ _xlfn.NORM.S.INV(0.975)</f>
        <v>0.15881149303161335</v>
      </c>
      <c r="V196" s="28">
        <v>0.11</v>
      </c>
      <c r="W196" s="66"/>
      <c r="X196" s="28">
        <v>0.20499999999999999</v>
      </c>
      <c r="Y196" s="32" t="s">
        <v>381</v>
      </c>
      <c r="AA196" s="19">
        <f ca="1">RAND()</f>
        <v>0.6257786666367765</v>
      </c>
      <c r="AB196" s="37">
        <f ca="1">_xlfn.LOGNORM.INV(AA196, AD196, AE196)</f>
        <v>0.16625534809393358</v>
      </c>
      <c r="AC196" s="20" t="s">
        <v>20</v>
      </c>
      <c r="AD196" s="27">
        <f>LN(S196)</f>
        <v>-1.8451602459551701</v>
      </c>
      <c r="AE196" s="26">
        <f>U196</f>
        <v>0.15881149303161335</v>
      </c>
    </row>
    <row r="197" spans="1:31" ht="12" customHeight="1" outlineLevel="3" thickBot="1" x14ac:dyDescent="0.3">
      <c r="A197" s="260"/>
      <c r="B197" s="383"/>
      <c r="C197" s="259"/>
      <c r="G197" s="40" t="s">
        <v>752</v>
      </c>
      <c r="H197" s="40" t="s">
        <v>752</v>
      </c>
      <c r="I197" s="40" t="s">
        <v>89</v>
      </c>
      <c r="J197" s="40" t="s">
        <v>89</v>
      </c>
      <c r="K197" s="40" t="s">
        <v>89</v>
      </c>
      <c r="L197" s="104" t="s">
        <v>95</v>
      </c>
      <c r="M197" s="156">
        <f>O197</f>
        <v>0.14615021803151829</v>
      </c>
      <c r="N197" s="15" t="s">
        <v>380</v>
      </c>
      <c r="O197">
        <f>vbratetoprob(M196, AB.cycleLength/(3/12))</f>
        <v>0.14615021803151829</v>
      </c>
      <c r="V197" s="84">
        <f>vbratetoprob(V196, AB.cycleLength/(3/12))</f>
        <v>0.10416586470347178</v>
      </c>
      <c r="X197" s="84">
        <f>vbratetoprob(X196, AB.cycleLength/(3/12))</f>
        <v>0.18535268358858548</v>
      </c>
      <c r="AB197"/>
    </row>
    <row r="198" spans="1:31" s="110" customFormat="1" ht="12" customHeight="1" outlineLevel="2" thickBot="1" x14ac:dyDescent="0.3">
      <c r="A198" s="260"/>
      <c r="B198" s="383"/>
      <c r="C198" s="259"/>
      <c r="D198" s="112"/>
      <c r="G198" s="112" t="s">
        <v>89</v>
      </c>
      <c r="H198" s="112" t="s">
        <v>89</v>
      </c>
      <c r="I198" s="112" t="s">
        <v>89</v>
      </c>
      <c r="J198" s="112" t="s">
        <v>89</v>
      </c>
      <c r="K198" s="112" t="s">
        <v>89</v>
      </c>
      <c r="L198" s="110" t="s">
        <v>379</v>
      </c>
      <c r="P198" s="379"/>
      <c r="Z198" s="379"/>
    </row>
    <row r="199" spans="1:31" ht="12" customHeight="1" outlineLevel="3" x14ac:dyDescent="0.25">
      <c r="A199" s="260"/>
      <c r="B199" s="383"/>
      <c r="C199" s="259"/>
      <c r="G199" s="40" t="s">
        <v>89</v>
      </c>
      <c r="H199" s="40" t="s">
        <v>89</v>
      </c>
      <c r="I199" s="40" t="s">
        <v>89</v>
      </c>
      <c r="J199" s="40" t="s">
        <v>89</v>
      </c>
      <c r="K199" s="40" t="s">
        <v>89</v>
      </c>
      <c r="L199" t="s">
        <v>378</v>
      </c>
      <c r="M199"/>
      <c r="O199"/>
      <c r="AB199"/>
    </row>
    <row r="200" spans="1:31" ht="12" customHeight="1" outlineLevel="3" x14ac:dyDescent="0.25">
      <c r="A200" s="260"/>
      <c r="B200" s="383"/>
      <c r="C200" s="259"/>
      <c r="D200" s="40">
        <v>55</v>
      </c>
      <c r="G200" s="40" t="s">
        <v>752</v>
      </c>
      <c r="H200" s="40" t="s">
        <v>752</v>
      </c>
      <c r="I200" s="40" t="s">
        <v>89</v>
      </c>
      <c r="J200" s="40" t="s">
        <v>89</v>
      </c>
      <c r="K200" s="40" t="s">
        <v>89</v>
      </c>
      <c r="L200" s="12" t="str">
        <f>D200&amp;"-"&amp;D200+4</f>
        <v>55-59</v>
      </c>
      <c r="M200" s="93">
        <f>O200</f>
        <v>1.2117652188790018E-3</v>
      </c>
      <c r="N200" s="445" t="s">
        <v>377</v>
      </c>
      <c r="O200" s="53" cm="1">
        <f t="array" ref="O200">vbratetoprob(Parameters!M20*0.5 + Parameters!M29*0.5, AB.cycleLength)</f>
        <v>1.2117652188790018E-3</v>
      </c>
      <c r="P200" s="53"/>
      <c r="AB200"/>
    </row>
    <row r="201" spans="1:31" ht="12" customHeight="1" outlineLevel="3" x14ac:dyDescent="0.25">
      <c r="A201" s="260"/>
      <c r="B201" s="383"/>
      <c r="C201" s="259"/>
      <c r="D201" s="40">
        <f>D200+5</f>
        <v>60</v>
      </c>
      <c r="G201" s="40" t="s">
        <v>752</v>
      </c>
      <c r="H201" s="40" t="s">
        <v>752</v>
      </c>
      <c r="I201" s="40" t="s">
        <v>89</v>
      </c>
      <c r="J201" s="40" t="s">
        <v>89</v>
      </c>
      <c r="K201" s="40" t="s">
        <v>89</v>
      </c>
      <c r="L201" s="12" t="str">
        <f>D201&amp;"-"&amp;D201+4</f>
        <v>60-64</v>
      </c>
      <c r="M201" s="93">
        <f>O201</f>
        <v>1.8857197920986168E-3</v>
      </c>
      <c r="N201" s="445"/>
      <c r="O201" s="53" cm="1">
        <f t="array" ref="O201">vbratetoprob(Parameters!M21*0.5 + Parameters!M30*0.5, AB.cycleLength)</f>
        <v>1.8857197920986168E-3</v>
      </c>
      <c r="P201" s="53"/>
      <c r="AB201"/>
    </row>
    <row r="202" spans="1:31" ht="12" customHeight="1" outlineLevel="3" x14ac:dyDescent="0.25">
      <c r="A202" s="260"/>
      <c r="B202" s="383"/>
      <c r="C202" s="259"/>
      <c r="D202" s="40">
        <f>D201+5</f>
        <v>65</v>
      </c>
      <c r="G202" s="40" t="s">
        <v>752</v>
      </c>
      <c r="H202" s="40" t="s">
        <v>752</v>
      </c>
      <c r="I202" s="40" t="s">
        <v>89</v>
      </c>
      <c r="J202" s="40" t="s">
        <v>89</v>
      </c>
      <c r="K202" s="40" t="s">
        <v>89</v>
      </c>
      <c r="L202" s="12" t="str">
        <f>D202&amp;"-"&amp;D202+4</f>
        <v>65-69</v>
      </c>
      <c r="M202" s="93">
        <f>O202</f>
        <v>2.9955044966269995E-3</v>
      </c>
      <c r="N202" s="445"/>
      <c r="O202" s="53" cm="1">
        <f t="array" ref="O202">vbratetoprob(Parameters!M22*0.5 + Parameters!M31*0.5, AB.cycleLength)</f>
        <v>2.9955044966269995E-3</v>
      </c>
      <c r="P202" s="53"/>
      <c r="AB202"/>
    </row>
    <row r="203" spans="1:31" ht="12" customHeight="1" outlineLevel="3" x14ac:dyDescent="0.25">
      <c r="A203" s="260"/>
      <c r="B203" s="383"/>
      <c r="C203" s="259"/>
      <c r="D203" s="40">
        <f>D202+5</f>
        <v>70</v>
      </c>
      <c r="G203" s="40" t="s">
        <v>752</v>
      </c>
      <c r="H203" s="40" t="s">
        <v>752</v>
      </c>
      <c r="I203" s="40" t="s">
        <v>89</v>
      </c>
      <c r="J203" s="40" t="s">
        <v>89</v>
      </c>
      <c r="K203" s="40" t="s">
        <v>89</v>
      </c>
      <c r="L203" s="12" t="str">
        <f>D203&amp;"-"&amp;D203+4</f>
        <v>70-74</v>
      </c>
      <c r="M203" s="93">
        <f>O203</f>
        <v>4.6889722835203873E-3</v>
      </c>
      <c r="N203" s="445"/>
      <c r="O203" s="53" cm="1">
        <f t="array" ref="O203">vbratetoprob(Parameters!M23*0.5 + Parameters!M32*0.5, AB.cycleLength)</f>
        <v>4.6889722835203873E-3</v>
      </c>
      <c r="P203" s="53"/>
      <c r="AB203"/>
    </row>
    <row r="204" spans="1:31" ht="12" customHeight="1" outlineLevel="3" x14ac:dyDescent="0.25">
      <c r="A204" s="260"/>
      <c r="B204" s="383"/>
      <c r="C204" s="259"/>
      <c r="D204" s="40">
        <f>D203+5</f>
        <v>75</v>
      </c>
      <c r="G204" s="40" t="s">
        <v>752</v>
      </c>
      <c r="H204" s="40" t="s">
        <v>752</v>
      </c>
      <c r="I204" s="40" t="s">
        <v>89</v>
      </c>
      <c r="J204" s="40" t="s">
        <v>89</v>
      </c>
      <c r="K204" s="40" t="s">
        <v>89</v>
      </c>
      <c r="L204" s="12" t="str">
        <f>D204&amp;"-"&amp;D204+4</f>
        <v>75-79</v>
      </c>
      <c r="M204" s="93">
        <f>O204</f>
        <v>8.2904431492512032E-3</v>
      </c>
      <c r="N204" s="445"/>
      <c r="O204" s="53" cm="1">
        <f t="array" ref="O204">vbratetoprob(Parameters!M24*0.5 + Parameters!M33*0.5, AB.cycleLength)</f>
        <v>8.2904431492512032E-3</v>
      </c>
      <c r="P204" s="53"/>
      <c r="AB204"/>
    </row>
    <row r="205" spans="1:31" ht="12" customHeight="1" outlineLevel="3" x14ac:dyDescent="0.25">
      <c r="A205" s="260"/>
      <c r="B205" s="383"/>
      <c r="C205" s="259"/>
      <c r="G205" s="40" t="s">
        <v>89</v>
      </c>
      <c r="H205" s="40" t="s">
        <v>89</v>
      </c>
      <c r="I205" s="40" t="s">
        <v>89</v>
      </c>
      <c r="J205" s="40" t="s">
        <v>89</v>
      </c>
      <c r="K205" s="40" t="s">
        <v>89</v>
      </c>
      <c r="L205" t="s">
        <v>376</v>
      </c>
      <c r="M205"/>
      <c r="O205"/>
      <c r="AB205"/>
    </row>
    <row r="206" spans="1:31" ht="12" customHeight="1" outlineLevel="3" x14ac:dyDescent="0.25">
      <c r="A206" s="260"/>
      <c r="B206" s="383"/>
      <c r="C206" s="259"/>
      <c r="G206" s="40" t="s">
        <v>89</v>
      </c>
      <c r="H206" s="40" t="s">
        <v>89</v>
      </c>
      <c r="I206" s="40" t="s">
        <v>89</v>
      </c>
      <c r="J206" s="40" t="s">
        <v>89</v>
      </c>
      <c r="K206" s="40" t="s">
        <v>89</v>
      </c>
      <c r="L206" s="104" t="s">
        <v>95</v>
      </c>
      <c r="M206"/>
      <c r="O206"/>
      <c r="AB206"/>
    </row>
    <row r="207" spans="1:31" ht="12" customHeight="1" outlineLevel="3" x14ac:dyDescent="0.25">
      <c r="A207" s="260"/>
      <c r="B207" s="383"/>
      <c r="C207" s="259"/>
      <c r="D207" s="40">
        <v>55</v>
      </c>
      <c r="G207" s="40" t="s">
        <v>752</v>
      </c>
      <c r="H207" s="40" t="s">
        <v>752</v>
      </c>
      <c r="I207" s="40" t="s">
        <v>89</v>
      </c>
      <c r="J207" s="40" t="s">
        <v>89</v>
      </c>
      <c r="K207" s="40" t="s">
        <v>89</v>
      </c>
      <c r="L207" s="198" t="str">
        <f>D207&amp;"-"&amp;D207+4</f>
        <v>55-59</v>
      </c>
      <c r="M207" s="156">
        <f>O207</f>
        <v>6.3592893567203657E-3</v>
      </c>
      <c r="N207" s="445" t="s">
        <v>372</v>
      </c>
      <c r="O207" s="53" cm="1">
        <f t="array" ref="O207">vbprobToProb(M200, 1/CHOOSE(swtchUlcerSMR, Parameters!$M$121, Parameters!$M$122, Parameters!$M$123))</f>
        <v>6.3592893567203657E-3</v>
      </c>
      <c r="P207" s="204"/>
    </row>
    <row r="208" spans="1:31" ht="12" customHeight="1" outlineLevel="3" x14ac:dyDescent="0.25">
      <c r="A208" s="260"/>
      <c r="B208" s="383"/>
      <c r="C208" s="259"/>
      <c r="D208" s="40">
        <f>D207+5</f>
        <v>60</v>
      </c>
      <c r="G208" s="40" t="s">
        <v>752</v>
      </c>
      <c r="H208" s="40" t="s">
        <v>752</v>
      </c>
      <c r="I208" s="40" t="s">
        <v>89</v>
      </c>
      <c r="J208" s="40" t="s">
        <v>89</v>
      </c>
      <c r="K208" s="40" t="s">
        <v>89</v>
      </c>
      <c r="L208" s="198" t="str">
        <f>D208&amp;"-"&amp;D208+4</f>
        <v>60-64</v>
      </c>
      <c r="M208" s="156">
        <f>O208</f>
        <v>9.8819725530114866E-3</v>
      </c>
      <c r="N208" s="445"/>
      <c r="O208" s="53" cm="1">
        <f t="array" ref="O208">vbprobToProb(M201, 1/CHOOSE(swtchUlcerSMR, Parameters!$M$121, Parameters!$M$122, Parameters!$M$123))</f>
        <v>9.8819725530114866E-3</v>
      </c>
      <c r="P208" s="204"/>
    </row>
    <row r="209" spans="1:32" ht="12" customHeight="1" outlineLevel="3" x14ac:dyDescent="0.25">
      <c r="A209" s="260"/>
      <c r="B209" s="383"/>
      <c r="C209" s="259"/>
      <c r="D209" s="40">
        <f>D208+5</f>
        <v>65</v>
      </c>
      <c r="G209" s="40" t="s">
        <v>752</v>
      </c>
      <c r="H209" s="40" t="s">
        <v>752</v>
      </c>
      <c r="I209" s="40" t="s">
        <v>89</v>
      </c>
      <c r="J209" s="40" t="s">
        <v>89</v>
      </c>
      <c r="K209" s="40" t="s">
        <v>89</v>
      </c>
      <c r="L209" s="198" t="str">
        <f>D209&amp;"-"&amp;D209+4</f>
        <v>65-69</v>
      </c>
      <c r="M209" s="156">
        <f>O209</f>
        <v>1.566064346711793E-2</v>
      </c>
      <c r="N209" s="445"/>
      <c r="O209" s="53" cm="1">
        <f t="array" ref="O209">vbprobToProb(M202, 1/CHOOSE(swtchUlcerSMR, Parameters!$M$121, Parameters!$M$122, Parameters!$M$123))</f>
        <v>1.566064346711793E-2</v>
      </c>
      <c r="P209" s="204"/>
    </row>
    <row r="210" spans="1:32" ht="12" customHeight="1" outlineLevel="3" x14ac:dyDescent="0.25">
      <c r="A210" s="260"/>
      <c r="B210" s="383"/>
      <c r="C210" s="259"/>
      <c r="D210" s="40">
        <f>D209+5</f>
        <v>70</v>
      </c>
      <c r="G210" s="40" t="s">
        <v>752</v>
      </c>
      <c r="H210" s="40" t="s">
        <v>752</v>
      </c>
      <c r="I210" s="40" t="s">
        <v>89</v>
      </c>
      <c r="J210" s="40" t="s">
        <v>89</v>
      </c>
      <c r="K210" s="40" t="s">
        <v>89</v>
      </c>
      <c r="L210" s="198" t="str">
        <f>D210&amp;"-"&amp;D210+4</f>
        <v>70-74</v>
      </c>
      <c r="M210" s="156">
        <f>O210</f>
        <v>2.4425894136131721E-2</v>
      </c>
      <c r="N210" s="445"/>
      <c r="O210" s="53" cm="1">
        <f t="array" ref="O210">vbprobToProb(M203, 1/CHOOSE(swtchUlcerSMR, Parameters!$M$121, Parameters!$M$122, Parameters!$M$123))</f>
        <v>2.4425894136131721E-2</v>
      </c>
      <c r="P210" s="204"/>
    </row>
    <row r="211" spans="1:32" ht="12" customHeight="1" outlineLevel="3" x14ac:dyDescent="0.25">
      <c r="A211" s="260"/>
      <c r="B211" s="383"/>
      <c r="C211" s="259"/>
      <c r="D211" s="40">
        <f>D210+5</f>
        <v>75</v>
      </c>
      <c r="G211" s="40" t="s">
        <v>752</v>
      </c>
      <c r="H211" s="40" t="s">
        <v>752</v>
      </c>
      <c r="I211" s="40" t="s">
        <v>89</v>
      </c>
      <c r="J211" s="40" t="s">
        <v>89</v>
      </c>
      <c r="K211" s="40" t="s">
        <v>89</v>
      </c>
      <c r="L211" s="198" t="str">
        <f>D211&amp;"-"&amp;D211+4</f>
        <v>75-79</v>
      </c>
      <c r="M211" s="156">
        <f>O211</f>
        <v>4.285671250505263E-2</v>
      </c>
      <c r="N211" s="445"/>
      <c r="O211" s="53" cm="1">
        <f t="array" ref="O211">vbprobToProb(M204, 1/CHOOSE(swtchUlcerSMR, Parameters!$M$121, Parameters!$M$122, Parameters!$M$123))</f>
        <v>4.285671250505263E-2</v>
      </c>
      <c r="P211" s="204"/>
    </row>
    <row r="212" spans="1:32" ht="12" customHeight="1" outlineLevel="3" x14ac:dyDescent="0.25">
      <c r="A212" s="260"/>
      <c r="B212" s="383"/>
      <c r="C212" s="259"/>
      <c r="G212" s="40" t="s">
        <v>89</v>
      </c>
      <c r="H212" s="40" t="s">
        <v>89</v>
      </c>
      <c r="I212" s="40" t="s">
        <v>89</v>
      </c>
      <c r="J212" s="40" t="s">
        <v>89</v>
      </c>
      <c r="K212" s="40" t="s">
        <v>89</v>
      </c>
      <c r="L212" t="s">
        <v>344</v>
      </c>
      <c r="M212" s="204"/>
      <c r="O212" s="66"/>
      <c r="P212" s="66"/>
      <c r="AB212"/>
    </row>
    <row r="213" spans="1:32" ht="12" customHeight="1" outlineLevel="3" x14ac:dyDescent="0.25">
      <c r="A213" s="260"/>
      <c r="B213" s="383"/>
      <c r="C213" s="259"/>
      <c r="G213" s="40" t="s">
        <v>752</v>
      </c>
      <c r="H213" s="40" t="s">
        <v>752</v>
      </c>
      <c r="I213" s="40" t="s">
        <v>89</v>
      </c>
      <c r="J213" s="40" t="s">
        <v>89</v>
      </c>
      <c r="K213" s="40" t="s">
        <v>89</v>
      </c>
      <c r="L213" s="104" t="s">
        <v>371</v>
      </c>
      <c r="M213" s="36">
        <f>O213</f>
        <v>8.1000000000000003E-2</v>
      </c>
      <c r="O213" s="11">
        <f>CHOOSE(swtchPSA, S213, AB213)</f>
        <v>8.1000000000000003E-2</v>
      </c>
      <c r="P213" s="11"/>
      <c r="Q213" s="162">
        <v>45472</v>
      </c>
      <c r="R213" s="265">
        <f>ROUND(Q213*S213, 0)</f>
        <v>3683</v>
      </c>
      <c r="S213" s="144">
        <v>8.1000000000000003E-2</v>
      </c>
      <c r="T213" s="53"/>
      <c r="U213" s="93">
        <f>SQRT((S213*(1-S213))/Q213)</f>
        <v>1.279464489822912E-3</v>
      </c>
      <c r="V213" s="93">
        <f>_xlfn.BETA.INV(0.025, AD213, AE213)</f>
        <v>7.8504805459923652E-2</v>
      </c>
      <c r="W213" s="53"/>
      <c r="X213" s="93">
        <f>_xlfn.BETA.INV(0.975, AD213, AE213)</f>
        <v>8.3519900425503391E-2</v>
      </c>
      <c r="Y213" s="32" t="s">
        <v>370</v>
      </c>
      <c r="AA213" s="19">
        <f ca="1">RAND()</f>
        <v>0.95648076841478402</v>
      </c>
      <c r="AB213" s="21">
        <f ca="1">_xlfn.BETA.INV(AA213, AD213, AE213)</f>
        <v>8.3196065580072531E-2</v>
      </c>
      <c r="AC213" s="20" t="s">
        <v>28</v>
      </c>
      <c r="AD213" s="34">
        <f>R213</f>
        <v>3683</v>
      </c>
      <c r="AE213" s="33">
        <f>Q213-R213</f>
        <v>41789</v>
      </c>
    </row>
    <row r="214" spans="1:32" ht="12" customHeight="1" outlineLevel="3" x14ac:dyDescent="0.25">
      <c r="A214" s="260"/>
      <c r="B214" s="383"/>
      <c r="C214" s="259"/>
      <c r="G214" s="40" t="s">
        <v>89</v>
      </c>
      <c r="H214" s="40" t="s">
        <v>89</v>
      </c>
      <c r="I214" s="40" t="s">
        <v>89</v>
      </c>
      <c r="J214" s="40" t="s">
        <v>89</v>
      </c>
      <c r="K214" s="40" t="s">
        <v>89</v>
      </c>
      <c r="L214" s="104" t="s">
        <v>95</v>
      </c>
      <c r="M214" s="204"/>
      <c r="O214" s="66"/>
      <c r="P214" s="66"/>
      <c r="AB214"/>
    </row>
    <row r="215" spans="1:32" ht="12" customHeight="1" outlineLevel="3" x14ac:dyDescent="0.25">
      <c r="A215" s="260"/>
      <c r="B215" s="383"/>
      <c r="C215" s="259"/>
      <c r="D215" s="40">
        <v>55</v>
      </c>
      <c r="G215" s="40" t="s">
        <v>752</v>
      </c>
      <c r="H215" s="40" t="s">
        <v>752</v>
      </c>
      <c r="I215" s="40" t="s">
        <v>89</v>
      </c>
      <c r="J215" s="40" t="s">
        <v>89</v>
      </c>
      <c r="K215" s="40" t="s">
        <v>89</v>
      </c>
      <c r="L215" s="198" t="str">
        <f>D215&amp;"-"&amp;D215+4</f>
        <v>55-59</v>
      </c>
      <c r="M215" s="156">
        <f>O215</f>
        <v>3.2766761939339917E-2</v>
      </c>
      <c r="N215" s="445" t="s">
        <v>369</v>
      </c>
      <c r="O215" s="66">
        <f>$M$213*M200/$M$202</f>
        <v>3.2766761939339917E-2</v>
      </c>
      <c r="P215" s="66"/>
    </row>
    <row r="216" spans="1:32" ht="12" customHeight="1" outlineLevel="3" x14ac:dyDescent="0.25">
      <c r="A216" s="260"/>
      <c r="B216" s="383"/>
      <c r="C216" s="259"/>
      <c r="D216" s="40">
        <f>D215+5</f>
        <v>60</v>
      </c>
      <c r="G216" s="40" t="s">
        <v>752</v>
      </c>
      <c r="H216" s="40" t="s">
        <v>752</v>
      </c>
      <c r="I216" s="40" t="s">
        <v>89</v>
      </c>
      <c r="J216" s="40" t="s">
        <v>89</v>
      </c>
      <c r="K216" s="40" t="s">
        <v>89</v>
      </c>
      <c r="L216" s="198" t="str">
        <f>D216&amp;"-"&amp;D216+4</f>
        <v>60-64</v>
      </c>
      <c r="M216" s="156">
        <f>O216</f>
        <v>5.099084422406313E-2</v>
      </c>
      <c r="N216" s="445"/>
      <c r="O216" s="66">
        <f>$M$213*M201/$M$202</f>
        <v>5.099084422406313E-2</v>
      </c>
      <c r="P216" s="66"/>
    </row>
    <row r="217" spans="1:32" ht="12" customHeight="1" outlineLevel="3" x14ac:dyDescent="0.25">
      <c r="A217" s="260"/>
      <c r="B217" s="383"/>
      <c r="C217" s="259"/>
      <c r="D217" s="40">
        <f>D216+5</f>
        <v>65</v>
      </c>
      <c r="G217" s="40" t="s">
        <v>752</v>
      </c>
      <c r="H217" s="40" t="s">
        <v>752</v>
      </c>
      <c r="I217" s="40" t="s">
        <v>89</v>
      </c>
      <c r="J217" s="40" t="s">
        <v>89</v>
      </c>
      <c r="K217" s="40" t="s">
        <v>89</v>
      </c>
      <c r="L217" s="198" t="str">
        <f>D217&amp;"-"&amp;D217+4</f>
        <v>65-69</v>
      </c>
      <c r="M217" s="156">
        <f>O217</f>
        <v>8.1000000000000003E-2</v>
      </c>
      <c r="N217" s="445"/>
      <c r="O217" s="66">
        <f>$M$213*M202/$M$202</f>
        <v>8.1000000000000003E-2</v>
      </c>
      <c r="P217" s="66"/>
    </row>
    <row r="218" spans="1:32" ht="12" customHeight="1" outlineLevel="3" x14ac:dyDescent="0.25">
      <c r="A218" s="260"/>
      <c r="B218" s="383"/>
      <c r="C218" s="259"/>
      <c r="D218" s="40">
        <f>D217+5</f>
        <v>70</v>
      </c>
      <c r="G218" s="40" t="s">
        <v>752</v>
      </c>
      <c r="H218" s="40" t="s">
        <v>752</v>
      </c>
      <c r="I218" s="40" t="s">
        <v>89</v>
      </c>
      <c r="J218" s="40" t="s">
        <v>89</v>
      </c>
      <c r="K218" s="40" t="s">
        <v>89</v>
      </c>
      <c r="L218" s="198" t="str">
        <f>D218&amp;"-"&amp;D218+4</f>
        <v>70-74</v>
      </c>
      <c r="M218" s="156">
        <f>O218</f>
        <v>0.12679224998420857</v>
      </c>
      <c r="N218" s="445"/>
      <c r="O218" s="66">
        <f>$M$213*M203/$M$202</f>
        <v>0.12679224998420857</v>
      </c>
      <c r="P218" s="66"/>
    </row>
    <row r="219" spans="1:32" ht="12" customHeight="1" outlineLevel="3" thickBot="1" x14ac:dyDescent="0.3">
      <c r="A219" s="260"/>
      <c r="B219" s="383"/>
      <c r="C219" s="259"/>
      <c r="D219" s="40">
        <f>D218+5</f>
        <v>75</v>
      </c>
      <c r="G219" s="40" t="s">
        <v>752</v>
      </c>
      <c r="H219" s="40" t="s">
        <v>752</v>
      </c>
      <c r="I219" s="40" t="s">
        <v>89</v>
      </c>
      <c r="J219" s="40" t="s">
        <v>89</v>
      </c>
      <c r="K219" s="40" t="s">
        <v>89</v>
      </c>
      <c r="L219" s="198" t="str">
        <f>D219&amp;"-"&amp;D219+4</f>
        <v>75-79</v>
      </c>
      <c r="M219" s="156">
        <f>O219</f>
        <v>0.22417789585877759</v>
      </c>
      <c r="N219" s="445"/>
      <c r="O219" s="66">
        <f>$M$213*M204/$M$202</f>
        <v>0.22417789585877759</v>
      </c>
      <c r="P219" s="66"/>
    </row>
    <row r="220" spans="1:32" s="13" customFormat="1" ht="12" customHeight="1" outlineLevel="1" thickBot="1" x14ac:dyDescent="0.3">
      <c r="A220" s="260"/>
      <c r="B220" s="383"/>
      <c r="C220" s="259"/>
      <c r="D220" s="25"/>
      <c r="G220" s="25" t="s">
        <v>89</v>
      </c>
      <c r="H220" s="25" t="s">
        <v>89</v>
      </c>
      <c r="I220" s="25" t="s">
        <v>89</v>
      </c>
      <c r="J220" s="25" t="s">
        <v>89</v>
      </c>
      <c r="K220" s="25" t="s">
        <v>89</v>
      </c>
      <c r="L220" s="13" t="s">
        <v>39</v>
      </c>
      <c r="M220" s="25"/>
      <c r="O220" s="25"/>
      <c r="P220" s="380"/>
      <c r="Q220" s="25"/>
      <c r="R220" s="25"/>
      <c r="S220" s="25"/>
      <c r="T220" s="25"/>
      <c r="U220" s="25"/>
      <c r="V220" s="25"/>
      <c r="W220" s="25"/>
      <c r="X220" s="25"/>
      <c r="Y220" s="25"/>
      <c r="Z220" s="380"/>
      <c r="AA220" s="25"/>
      <c r="AB220" s="25"/>
      <c r="AC220" s="25"/>
      <c r="AD220" s="25"/>
      <c r="AE220" s="25"/>
      <c r="AF220" s="25"/>
    </row>
    <row r="221" spans="1:32" s="110" customFormat="1" ht="12" customHeight="1" outlineLevel="2" thickBot="1" x14ac:dyDescent="0.3">
      <c r="A221" s="260"/>
      <c r="B221" s="383"/>
      <c r="C221" s="259"/>
      <c r="D221" s="112"/>
      <c r="G221" s="112" t="s">
        <v>89</v>
      </c>
      <c r="H221" s="112" t="s">
        <v>89</v>
      </c>
      <c r="I221" s="112" t="s">
        <v>89</v>
      </c>
      <c r="J221" s="112" t="s">
        <v>89</v>
      </c>
      <c r="K221" s="112" t="s">
        <v>89</v>
      </c>
      <c r="L221" s="110" t="s">
        <v>362</v>
      </c>
      <c r="P221" s="379"/>
      <c r="Z221" s="379"/>
    </row>
    <row r="222" spans="1:32" ht="12" customHeight="1" outlineLevel="3" thickBot="1" x14ac:dyDescent="0.3">
      <c r="A222" s="260"/>
      <c r="B222" s="383"/>
      <c r="C222" s="259"/>
      <c r="G222" s="40" t="s">
        <v>752</v>
      </c>
      <c r="H222" s="40" t="s">
        <v>752</v>
      </c>
      <c r="I222" s="40" t="s">
        <v>89</v>
      </c>
      <c r="J222" s="40" t="s">
        <v>89</v>
      </c>
      <c r="K222" s="40" t="s">
        <v>89</v>
      </c>
      <c r="L222" s="29" t="s">
        <v>361</v>
      </c>
      <c r="M222" s="174">
        <f>O222</f>
        <v>3.8480642857142855</v>
      </c>
      <c r="N222" s="15" t="s">
        <v>360</v>
      </c>
      <c r="O222" s="52">
        <f>CHOOSE(swtchPSA, S222, AB222)</f>
        <v>3.8480642857142855</v>
      </c>
      <c r="P222" s="52"/>
      <c r="S222" s="51">
        <f>AB.cycleLength*365.24*(cPPI.Omep/28)</f>
        <v>3.8480642857142855</v>
      </c>
      <c r="U222" s="266">
        <f>S222*Cost.SEs.CoV</f>
        <v>0.7696128571428571</v>
      </c>
      <c r="V222" s="51">
        <f>_xlfn.GAMMA.INV(0.025, AD222, AE222)</f>
        <v>2.4902643123426413</v>
      </c>
      <c r="X222" s="51">
        <f>_xlfn.GAMMA.INV(0.975, AD222, AE222)</f>
        <v>5.4965900475957357</v>
      </c>
      <c r="AA222" s="19">
        <f ca="1">RAND()</f>
        <v>0.96175842753892349</v>
      </c>
      <c r="AB222" s="47">
        <f ca="1">_xlfn.GAMMA.INV(AA222,AD222,AE222)</f>
        <v>5.3150101903450695</v>
      </c>
      <c r="AC222" s="15" t="s">
        <v>38</v>
      </c>
      <c r="AD222" s="54">
        <f>S222^2/U222^2</f>
        <v>25</v>
      </c>
      <c r="AE222" s="55">
        <f>U222^2/S222</f>
        <v>0.15392257142857144</v>
      </c>
    </row>
    <row r="223" spans="1:32" s="110" customFormat="1" ht="12" customHeight="1" outlineLevel="2" thickBot="1" x14ac:dyDescent="0.3">
      <c r="A223" s="260"/>
      <c r="B223" s="383"/>
      <c r="C223" s="259"/>
      <c r="D223" s="112"/>
      <c r="G223" s="112" t="s">
        <v>89</v>
      </c>
      <c r="H223" s="112" t="s">
        <v>89</v>
      </c>
      <c r="I223" s="112" t="s">
        <v>89</v>
      </c>
      <c r="J223" s="112" t="s">
        <v>89</v>
      </c>
      <c r="K223" s="112" t="s">
        <v>89</v>
      </c>
      <c r="L223" s="110" t="s">
        <v>235</v>
      </c>
      <c r="P223" s="379"/>
      <c r="Z223" s="379"/>
    </row>
    <row r="224" spans="1:32" ht="12" customHeight="1" outlineLevel="3" x14ac:dyDescent="0.25">
      <c r="A224" s="260"/>
      <c r="B224" s="383"/>
      <c r="C224" s="259"/>
      <c r="D224" s="40">
        <v>1</v>
      </c>
      <c r="G224" s="40" t="s">
        <v>752</v>
      </c>
      <c r="H224" s="40" t="s">
        <v>752</v>
      </c>
      <c r="I224" s="40" t="s">
        <v>89</v>
      </c>
      <c r="J224" s="40" t="s">
        <v>89</v>
      </c>
      <c r="K224" s="40" t="s">
        <v>89</v>
      </c>
      <c r="L224" s="29" t="str">
        <f t="shared" ref="L224:L233" ca="1" si="25">INDEX(AB.rngStates, $D224)</f>
        <v>Well no HPE</v>
      </c>
      <c r="M224" s="174">
        <f>O224</f>
        <v>3.8480642857142855</v>
      </c>
      <c r="N224" s="445" t="s">
        <v>359</v>
      </c>
      <c r="O224" s="52">
        <f>AB.cPPI.perCycle</f>
        <v>3.8480642857142855</v>
      </c>
      <c r="AB224"/>
    </row>
    <row r="225" spans="1:31" ht="12" customHeight="1" outlineLevel="3" x14ac:dyDescent="0.25">
      <c r="A225" s="260"/>
      <c r="B225" s="383"/>
      <c r="C225" s="259"/>
      <c r="D225" s="40">
        <f t="shared" ref="D225:D233" si="26">D224+1</f>
        <v>2</v>
      </c>
      <c r="G225" s="40" t="s">
        <v>752</v>
      </c>
      <c r="H225" s="40" t="s">
        <v>752</v>
      </c>
      <c r="I225" s="40" t="s">
        <v>89</v>
      </c>
      <c r="J225" s="40" t="s">
        <v>89</v>
      </c>
      <c r="K225" s="40" t="s">
        <v>89</v>
      </c>
      <c r="L225" s="29" t="str">
        <f t="shared" ca="1" si="25"/>
        <v>Well with HPE</v>
      </c>
      <c r="M225" s="184">
        <f t="shared" ref="M225:M233" si="27">O225</f>
        <v>0</v>
      </c>
      <c r="N225" s="445"/>
      <c r="O225" s="52">
        <f>S225</f>
        <v>0</v>
      </c>
      <c r="P225" s="52"/>
      <c r="S225" s="266">
        <f>W225</f>
        <v>0</v>
      </c>
    </row>
    <row r="226" spans="1:31" ht="12" customHeight="1" outlineLevel="3" x14ac:dyDescent="0.25">
      <c r="A226" s="260"/>
      <c r="B226" s="383"/>
      <c r="C226" s="259"/>
      <c r="D226" s="40">
        <f t="shared" si="26"/>
        <v>3</v>
      </c>
      <c r="G226" s="40" t="s">
        <v>752</v>
      </c>
      <c r="H226" s="40" t="s">
        <v>752</v>
      </c>
      <c r="I226" s="40" t="s">
        <v>89</v>
      </c>
      <c r="J226" s="40" t="s">
        <v>89</v>
      </c>
      <c r="K226" s="40" t="s">
        <v>89</v>
      </c>
      <c r="L226" s="29" t="str">
        <f t="shared" ca="1" si="25"/>
        <v>GI discomfort</v>
      </c>
      <c r="M226" s="174">
        <f t="shared" ref="M226:M232" si="28">O226</f>
        <v>43.078064285714284</v>
      </c>
      <c r="N226" s="445"/>
      <c r="O226" s="52">
        <f>SUM(cEvent.GIpain_noPPI, AB.cPPI.perCycle)</f>
        <v>43.078064285714284</v>
      </c>
      <c r="AB226"/>
    </row>
    <row r="227" spans="1:31" ht="12" customHeight="1" outlineLevel="3" x14ac:dyDescent="0.25">
      <c r="A227" s="260"/>
      <c r="B227" s="383"/>
      <c r="C227" s="259"/>
      <c r="D227" s="40">
        <f t="shared" si="26"/>
        <v>4</v>
      </c>
      <c r="G227" s="40" t="s">
        <v>752</v>
      </c>
      <c r="H227" s="40" t="s">
        <v>752</v>
      </c>
      <c r="I227" s="40" t="s">
        <v>89</v>
      </c>
      <c r="J227" s="40" t="s">
        <v>89</v>
      </c>
      <c r="K227" s="40" t="s">
        <v>89</v>
      </c>
      <c r="L227" s="29" t="str">
        <f t="shared" ca="1" si="25"/>
        <v>Unresolved GI discomfort</v>
      </c>
      <c r="M227" s="174">
        <f t="shared" si="28"/>
        <v>43.078064285714284</v>
      </c>
      <c r="N227" s="445"/>
      <c r="O227" s="52">
        <f>M226</f>
        <v>43.078064285714284</v>
      </c>
      <c r="AB227"/>
    </row>
    <row r="228" spans="1:31" ht="12" customHeight="1" outlineLevel="3" x14ac:dyDescent="0.25">
      <c r="A228" s="260"/>
      <c r="B228" s="383"/>
      <c r="C228" s="259"/>
      <c r="D228" s="40">
        <f t="shared" si="26"/>
        <v>5</v>
      </c>
      <c r="G228" s="40" t="s">
        <v>752</v>
      </c>
      <c r="H228" s="40" t="s">
        <v>752</v>
      </c>
      <c r="I228" s="40" t="s">
        <v>89</v>
      </c>
      <c r="J228" s="40" t="s">
        <v>89</v>
      </c>
      <c r="K228" s="40" t="s">
        <v>89</v>
      </c>
      <c r="L228" s="29" t="str">
        <f t="shared" ca="1" si="25"/>
        <v>Symptomatic ulcer</v>
      </c>
      <c r="M228" s="174">
        <f t="shared" si="28"/>
        <v>628.24913390935058</v>
      </c>
      <c r="N228" s="445"/>
      <c r="O228" s="52">
        <f>SUM(cEvent.Ulcer_noPPI, AB.cPPI.perCycle)</f>
        <v>628.24913390935058</v>
      </c>
      <c r="AB228"/>
    </row>
    <row r="229" spans="1:31" ht="12" customHeight="1" outlineLevel="3" x14ac:dyDescent="0.25">
      <c r="A229" s="260"/>
      <c r="B229" s="383"/>
      <c r="C229" s="259"/>
      <c r="D229" s="40">
        <f t="shared" si="26"/>
        <v>6</v>
      </c>
      <c r="G229" s="40" t="s">
        <v>752</v>
      </c>
      <c r="H229" s="40" t="s">
        <v>752</v>
      </c>
      <c r="I229" s="40" t="s">
        <v>89</v>
      </c>
      <c r="J229" s="40" t="s">
        <v>89</v>
      </c>
      <c r="K229" s="40" t="s">
        <v>89</v>
      </c>
      <c r="L229" s="29" t="str">
        <f t="shared" ca="1" si="25"/>
        <v>Unresolved ulcer</v>
      </c>
      <c r="M229" s="174">
        <f t="shared" si="28"/>
        <v>628.24913390935058</v>
      </c>
      <c r="N229" s="445"/>
      <c r="O229" s="52">
        <f>M228</f>
        <v>628.24913390935058</v>
      </c>
      <c r="AB229"/>
    </row>
    <row r="230" spans="1:31" ht="12" customHeight="1" outlineLevel="3" x14ac:dyDescent="0.25">
      <c r="A230" s="260"/>
      <c r="B230" s="383"/>
      <c r="C230" s="259"/>
      <c r="D230" s="40">
        <f t="shared" si="26"/>
        <v>7</v>
      </c>
      <c r="G230" s="40" t="s">
        <v>752</v>
      </c>
      <c r="H230" s="40" t="s">
        <v>752</v>
      </c>
      <c r="I230" s="40" t="s">
        <v>89</v>
      </c>
      <c r="J230" s="40" t="s">
        <v>89</v>
      </c>
      <c r="K230" s="40" t="s">
        <v>89</v>
      </c>
      <c r="L230" s="29" t="str">
        <f t="shared" ca="1" si="25"/>
        <v>Serious GI event</v>
      </c>
      <c r="M230" s="174">
        <f t="shared" si="28"/>
        <v>3284.2846284020698</v>
      </c>
      <c r="N230" s="445"/>
      <c r="O230" s="52">
        <f>cGIbleed + M224</f>
        <v>3284.2846284020698</v>
      </c>
      <c r="AB230"/>
    </row>
    <row r="231" spans="1:31" ht="12" customHeight="1" outlineLevel="3" x14ac:dyDescent="0.25">
      <c r="A231" s="260"/>
      <c r="B231" s="383"/>
      <c r="C231" s="259"/>
      <c r="D231" s="40">
        <f t="shared" si="26"/>
        <v>8</v>
      </c>
      <c r="G231" s="40" t="s">
        <v>752</v>
      </c>
      <c r="H231" s="40" t="s">
        <v>752</v>
      </c>
      <c r="I231" s="40" t="s">
        <v>89</v>
      </c>
      <c r="J231" s="40" t="s">
        <v>89</v>
      </c>
      <c r="K231" s="40" t="s">
        <v>89</v>
      </c>
      <c r="L231" s="29" t="str">
        <f t="shared" ca="1" si="25"/>
        <v>Unresolved serious GI event</v>
      </c>
      <c r="M231" s="174">
        <f t="shared" si="28"/>
        <v>3284.2846284020698</v>
      </c>
      <c r="N231" s="445"/>
      <c r="O231" s="52">
        <f>M230</f>
        <v>3284.2846284020698</v>
      </c>
      <c r="AB231"/>
    </row>
    <row r="232" spans="1:31" ht="12" customHeight="1" outlineLevel="3" x14ac:dyDescent="0.25">
      <c r="A232" s="260"/>
      <c r="B232" s="383"/>
      <c r="C232" s="259"/>
      <c r="D232" s="40">
        <f t="shared" si="26"/>
        <v>9</v>
      </c>
      <c r="G232" s="40" t="s">
        <v>752</v>
      </c>
      <c r="H232" s="40" t="s">
        <v>752</v>
      </c>
      <c r="I232" s="40" t="s">
        <v>89</v>
      </c>
      <c r="J232" s="40" t="s">
        <v>89</v>
      </c>
      <c r="K232" s="40" t="s">
        <v>89</v>
      </c>
      <c r="L232" s="29" t="str">
        <f t="shared" ca="1" si="25"/>
        <v>Post-event</v>
      </c>
      <c r="M232" s="174">
        <f t="shared" si="28"/>
        <v>3.8480642857142855</v>
      </c>
      <c r="N232" s="445"/>
      <c r="O232" s="52">
        <f>M224</f>
        <v>3.8480642857142855</v>
      </c>
      <c r="AB232"/>
    </row>
    <row r="233" spans="1:31" ht="12" customHeight="1" outlineLevel="3" thickBot="1" x14ac:dyDescent="0.3">
      <c r="A233" s="260"/>
      <c r="B233" s="383"/>
      <c r="C233" s="259"/>
      <c r="D233" s="40">
        <f t="shared" si="26"/>
        <v>10</v>
      </c>
      <c r="G233" s="40" t="s">
        <v>752</v>
      </c>
      <c r="H233" s="40" t="s">
        <v>752</v>
      </c>
      <c r="I233" s="40" t="s">
        <v>89</v>
      </c>
      <c r="J233" s="40" t="s">
        <v>89</v>
      </c>
      <c r="K233" s="40" t="s">
        <v>89</v>
      </c>
      <c r="L233" s="29" t="str">
        <f t="shared" ca="1" si="25"/>
        <v>Dead</v>
      </c>
      <c r="M233" s="184">
        <f t="shared" si="27"/>
        <v>0</v>
      </c>
      <c r="N233" s="445"/>
      <c r="O233" s="52">
        <f>S233</f>
        <v>0</v>
      </c>
      <c r="P233" s="52"/>
      <c r="S233" s="266">
        <f>W233</f>
        <v>0</v>
      </c>
    </row>
    <row r="234" spans="1:31" s="13" customFormat="1" ht="12" customHeight="1" outlineLevel="1" thickBot="1" x14ac:dyDescent="0.3">
      <c r="A234" s="260"/>
      <c r="B234" s="383"/>
      <c r="C234" s="259"/>
      <c r="D234" s="25"/>
      <c r="G234" s="25" t="s">
        <v>89</v>
      </c>
      <c r="H234" s="25" t="s">
        <v>89</v>
      </c>
      <c r="I234" s="25" t="s">
        <v>89</v>
      </c>
      <c r="J234" s="25" t="s">
        <v>89</v>
      </c>
      <c r="K234" s="25" t="s">
        <v>89</v>
      </c>
      <c r="L234" s="197" t="s">
        <v>154</v>
      </c>
      <c r="M234" s="25"/>
      <c r="O234" s="25"/>
      <c r="P234" s="380"/>
      <c r="Q234" s="196"/>
      <c r="R234" s="196"/>
      <c r="S234" s="25"/>
      <c r="T234" s="25"/>
      <c r="V234" s="25"/>
      <c r="W234" s="25"/>
      <c r="X234" s="25"/>
      <c r="Y234" s="25"/>
      <c r="Z234" s="380"/>
      <c r="AA234" s="196"/>
      <c r="AB234" s="25"/>
      <c r="AC234" s="197"/>
      <c r="AD234" s="196"/>
      <c r="AE234" s="196"/>
    </row>
    <row r="235" spans="1:31" s="110" customFormat="1" ht="12" customHeight="1" outlineLevel="2" thickBot="1" x14ac:dyDescent="0.3">
      <c r="A235" s="260"/>
      <c r="B235" s="383"/>
      <c r="C235" s="259"/>
      <c r="D235" s="112"/>
      <c r="G235" s="112" t="s">
        <v>89</v>
      </c>
      <c r="H235" s="112" t="s">
        <v>89</v>
      </c>
      <c r="I235" s="112" t="s">
        <v>89</v>
      </c>
      <c r="J235" s="112" t="s">
        <v>89</v>
      </c>
      <c r="K235" s="112" t="s">
        <v>89</v>
      </c>
      <c r="L235" s="110" t="s">
        <v>166</v>
      </c>
      <c r="P235" s="379"/>
      <c r="Z235" s="379"/>
    </row>
    <row r="236" spans="1:31" ht="12" customHeight="1" outlineLevel="3" x14ac:dyDescent="0.25">
      <c r="A236" s="260"/>
      <c r="B236" s="383"/>
      <c r="C236" s="259"/>
      <c r="D236" s="40">
        <v>1</v>
      </c>
      <c r="G236" s="40" t="s">
        <v>752</v>
      </c>
      <c r="H236" s="40" t="s">
        <v>752</v>
      </c>
      <c r="I236" s="40" t="s">
        <v>89</v>
      </c>
      <c r="J236" s="40" t="s">
        <v>89</v>
      </c>
      <c r="K236" s="40" t="s">
        <v>89</v>
      </c>
      <c r="L236" s="10" t="str" cm="1">
        <f t="array" aca="1" ref="L236" ca="1">INDEX(AB.rngStates, D236)</f>
        <v>Well no HPE</v>
      </c>
      <c r="M236" s="22">
        <f t="shared" ref="M236:M245" si="29">O236</f>
        <v>0</v>
      </c>
      <c r="N236" s="445" t="s">
        <v>419</v>
      </c>
      <c r="O236" s="11">
        <f>S236</f>
        <v>0</v>
      </c>
      <c r="P236" s="11"/>
      <c r="S236" s="159">
        <v>0</v>
      </c>
    </row>
    <row r="237" spans="1:31" ht="12" customHeight="1" outlineLevel="3" x14ac:dyDescent="0.25">
      <c r="A237" s="260"/>
      <c r="B237" s="383"/>
      <c r="C237" s="259"/>
      <c r="D237" s="40">
        <f t="shared" ref="D237:D245" si="30">D236+1</f>
        <v>2</v>
      </c>
      <c r="G237" s="40" t="s">
        <v>752</v>
      </c>
      <c r="H237" s="40" t="s">
        <v>752</v>
      </c>
      <c r="I237" s="40" t="s">
        <v>89</v>
      </c>
      <c r="J237" s="40" t="s">
        <v>89</v>
      </c>
      <c r="K237" s="40" t="s">
        <v>89</v>
      </c>
      <c r="L237" s="10" t="str" cm="1">
        <f t="array" aca="1" ref="L237" ca="1">INDEX(AB.rngStates, D237)</f>
        <v>Well with HPE</v>
      </c>
      <c r="M237" s="22">
        <f t="shared" si="29"/>
        <v>0</v>
      </c>
      <c r="N237" s="445"/>
      <c r="O237" s="11">
        <f>S237</f>
        <v>0</v>
      </c>
      <c r="P237" s="11"/>
      <c r="S237" s="159">
        <v>0</v>
      </c>
    </row>
    <row r="238" spans="1:31" ht="12" customHeight="1" outlineLevel="3" x14ac:dyDescent="0.25">
      <c r="A238" s="260"/>
      <c r="B238" s="383"/>
      <c r="C238" s="259"/>
      <c r="D238" s="40">
        <f t="shared" si="30"/>
        <v>3</v>
      </c>
      <c r="G238" s="40" t="s">
        <v>752</v>
      </c>
      <c r="H238" s="40" t="s">
        <v>752</v>
      </c>
      <c r="I238" s="40" t="s">
        <v>89</v>
      </c>
      <c r="J238" s="40" t="s">
        <v>89</v>
      </c>
      <c r="K238" s="40" t="s">
        <v>89</v>
      </c>
      <c r="L238" s="10" t="str" cm="1">
        <f t="array" aca="1" ref="L238" ca="1">INDEX(AB.rngStates, D238)</f>
        <v>GI discomfort</v>
      </c>
      <c r="M238" s="89">
        <f t="shared" si="29"/>
        <v>-7.8690701001430718E-2</v>
      </c>
      <c r="N238" s="445"/>
      <c r="O238" s="11">
        <f>uDec.GIpain</f>
        <v>-7.8690701001430718E-2</v>
      </c>
      <c r="P238" s="11"/>
    </row>
    <row r="239" spans="1:31" ht="12" customHeight="1" outlineLevel="3" x14ac:dyDescent="0.25">
      <c r="A239" s="260"/>
      <c r="B239" s="383"/>
      <c r="C239" s="259"/>
      <c r="D239" s="40">
        <f t="shared" si="30"/>
        <v>4</v>
      </c>
      <c r="G239" s="40" t="s">
        <v>752</v>
      </c>
      <c r="H239" s="40" t="s">
        <v>752</v>
      </c>
      <c r="I239" s="40" t="s">
        <v>89</v>
      </c>
      <c r="J239" s="40" t="s">
        <v>89</v>
      </c>
      <c r="K239" s="40" t="s">
        <v>89</v>
      </c>
      <c r="L239" s="10" t="str" cm="1">
        <f t="array" aca="1" ref="L239" ca="1">INDEX(AB.rngStates, D239)</f>
        <v>Unresolved GI discomfort</v>
      </c>
      <c r="M239" s="89">
        <f t="shared" si="29"/>
        <v>-7.8690701001430718E-2</v>
      </c>
      <c r="N239" s="445"/>
      <c r="O239" s="11">
        <f>uDec.GIpain</f>
        <v>-7.8690701001430718E-2</v>
      </c>
      <c r="P239" s="11"/>
    </row>
    <row r="240" spans="1:31" ht="12" customHeight="1" outlineLevel="3" x14ac:dyDescent="0.25">
      <c r="A240" s="260"/>
      <c r="B240" s="383"/>
      <c r="C240" s="259"/>
      <c r="D240" s="40">
        <f t="shared" si="30"/>
        <v>5</v>
      </c>
      <c r="G240" s="40" t="s">
        <v>752</v>
      </c>
      <c r="H240" s="40" t="s">
        <v>752</v>
      </c>
      <c r="I240" s="40" t="s">
        <v>89</v>
      </c>
      <c r="J240" s="40" t="s">
        <v>89</v>
      </c>
      <c r="K240" s="40" t="s">
        <v>89</v>
      </c>
      <c r="L240" s="10" t="str" cm="1">
        <f t="array" aca="1" ref="L240" ca="1">INDEX(AB.rngStates, D240)</f>
        <v>Symptomatic ulcer</v>
      </c>
      <c r="M240" s="89">
        <f t="shared" si="29"/>
        <v>-0.10199999999999998</v>
      </c>
      <c r="N240" s="445"/>
      <c r="O240" s="11">
        <f>uDec.Ulcer</f>
        <v>-0.10199999999999998</v>
      </c>
      <c r="P240" s="11"/>
    </row>
    <row r="241" spans="1:31" ht="12" customHeight="1" outlineLevel="3" x14ac:dyDescent="0.25">
      <c r="A241" s="260"/>
      <c r="B241" s="383"/>
      <c r="C241" s="259"/>
      <c r="D241" s="40">
        <f t="shared" si="30"/>
        <v>6</v>
      </c>
      <c r="G241" s="40" t="s">
        <v>752</v>
      </c>
      <c r="H241" s="40" t="s">
        <v>752</v>
      </c>
      <c r="I241" s="40" t="s">
        <v>89</v>
      </c>
      <c r="J241" s="40" t="s">
        <v>89</v>
      </c>
      <c r="K241" s="40" t="s">
        <v>89</v>
      </c>
      <c r="L241" s="10" t="str" cm="1">
        <f t="array" aca="1" ref="L241" ca="1">INDEX(AB.rngStates, D241)</f>
        <v>Unresolved ulcer</v>
      </c>
      <c r="M241" s="89">
        <f t="shared" si="29"/>
        <v>-0.10199999999999998</v>
      </c>
      <c r="N241" s="445"/>
      <c r="O241" s="11">
        <f>uDec.Ulcer</f>
        <v>-0.10199999999999998</v>
      </c>
      <c r="P241" s="11"/>
    </row>
    <row r="242" spans="1:31" ht="12" customHeight="1" outlineLevel="3" x14ac:dyDescent="0.25">
      <c r="A242" s="260"/>
      <c r="B242" s="383"/>
      <c r="C242" s="259"/>
      <c r="D242" s="40">
        <f t="shared" si="30"/>
        <v>7</v>
      </c>
      <c r="G242" s="40" t="s">
        <v>752</v>
      </c>
      <c r="H242" s="40" t="s">
        <v>752</v>
      </c>
      <c r="I242" s="40" t="s">
        <v>89</v>
      </c>
      <c r="J242" s="40" t="s">
        <v>89</v>
      </c>
      <c r="K242" s="40" t="s">
        <v>89</v>
      </c>
      <c r="L242" s="10" t="str" cm="1">
        <f t="array" aca="1" ref="L242" ca="1">INDEX(AB.rngStates, D242)</f>
        <v>Serious GI event</v>
      </c>
      <c r="M242" s="89">
        <f t="shared" si="29"/>
        <v>-0.23899999999999999</v>
      </c>
      <c r="N242" s="445"/>
      <c r="O242" s="11">
        <f>uDec.SeriousGI</f>
        <v>-0.23899999999999999</v>
      </c>
      <c r="P242" s="11"/>
    </row>
    <row r="243" spans="1:31" ht="12" customHeight="1" outlineLevel="3" x14ac:dyDescent="0.25">
      <c r="A243" s="260"/>
      <c r="B243" s="383"/>
      <c r="C243" s="259"/>
      <c r="D243" s="40">
        <f t="shared" si="30"/>
        <v>8</v>
      </c>
      <c r="G243" s="40" t="s">
        <v>752</v>
      </c>
      <c r="H243" s="40" t="s">
        <v>752</v>
      </c>
      <c r="I243" s="40" t="s">
        <v>89</v>
      </c>
      <c r="J243" s="40" t="s">
        <v>89</v>
      </c>
      <c r="K243" s="40" t="s">
        <v>89</v>
      </c>
      <c r="L243" s="10" t="str" cm="1">
        <f t="array" aca="1" ref="L243" ca="1">INDEX(AB.rngStates, D243)</f>
        <v>Unresolved serious GI event</v>
      </c>
      <c r="M243" s="89">
        <f t="shared" si="29"/>
        <v>-0.23899999999999999</v>
      </c>
      <c r="N243" s="445"/>
      <c r="O243" s="11">
        <f>uDec.SeriousGI</f>
        <v>-0.23899999999999999</v>
      </c>
      <c r="P243" s="11"/>
    </row>
    <row r="244" spans="1:31" ht="12" customHeight="1" outlineLevel="3" x14ac:dyDescent="0.25">
      <c r="A244" s="260"/>
      <c r="B244" s="383"/>
      <c r="C244" s="259"/>
      <c r="D244" s="40">
        <f t="shared" si="30"/>
        <v>9</v>
      </c>
      <c r="G244" s="40" t="s">
        <v>752</v>
      </c>
      <c r="H244" s="40" t="s">
        <v>752</v>
      </c>
      <c r="I244" s="40" t="s">
        <v>89</v>
      </c>
      <c r="J244" s="40" t="s">
        <v>89</v>
      </c>
      <c r="K244" s="40" t="s">
        <v>89</v>
      </c>
      <c r="L244" s="10" t="str" cm="1">
        <f t="array" aca="1" ref="L244" ca="1">INDEX(AB.rngStates, D244)</f>
        <v>Post-event</v>
      </c>
      <c r="M244" s="22">
        <f t="shared" si="29"/>
        <v>0</v>
      </c>
      <c r="N244" s="445"/>
      <c r="O244" s="11">
        <f>S244</f>
        <v>0</v>
      </c>
      <c r="P244" s="11"/>
      <c r="S244" s="159">
        <v>0</v>
      </c>
    </row>
    <row r="245" spans="1:31" ht="12" customHeight="1" outlineLevel="3" thickBot="1" x14ac:dyDescent="0.3">
      <c r="A245" s="260"/>
      <c r="B245" s="383"/>
      <c r="C245" s="259"/>
      <c r="D245" s="40">
        <f t="shared" si="30"/>
        <v>10</v>
      </c>
      <c r="G245" s="40" t="s">
        <v>752</v>
      </c>
      <c r="H245" s="40" t="s">
        <v>752</v>
      </c>
      <c r="I245" s="40" t="s">
        <v>89</v>
      </c>
      <c r="J245" s="40" t="s">
        <v>89</v>
      </c>
      <c r="K245" s="40" t="s">
        <v>89</v>
      </c>
      <c r="L245" s="10" t="str" cm="1">
        <f t="array" aca="1" ref="L245" ca="1">INDEX(AB.rngStates, D245)</f>
        <v>Dead</v>
      </c>
      <c r="M245" s="22">
        <f t="shared" si="29"/>
        <v>0</v>
      </c>
      <c r="N245" s="445"/>
      <c r="O245" s="11">
        <f>S245</f>
        <v>0</v>
      </c>
      <c r="P245" s="11"/>
      <c r="S245" s="159">
        <v>0</v>
      </c>
    </row>
    <row r="246" spans="1:31" s="165" customFormat="1" ht="12" customHeight="1" thickBot="1" x14ac:dyDescent="0.3">
      <c r="A246" s="328"/>
      <c r="B246" s="384"/>
      <c r="C246" s="367"/>
      <c r="D246" s="303">
        <v>3</v>
      </c>
      <c r="G246" s="303" t="s">
        <v>89</v>
      </c>
      <c r="H246" s="303" t="s">
        <v>89</v>
      </c>
      <c r="I246" s="303" t="s">
        <v>89</v>
      </c>
      <c r="J246" s="303" t="s">
        <v>89</v>
      </c>
      <c r="K246" s="303" t="s">
        <v>89</v>
      </c>
      <c r="L246" s="30" t="str" cm="1">
        <f t="array" ref="L246">INDEX(lstQs, $D246)</f>
        <v>C: NSAIDs - DOAC/warfarin</v>
      </c>
      <c r="M246" s="369"/>
      <c r="O246" s="369"/>
      <c r="P246" s="369"/>
      <c r="S246" s="372"/>
      <c r="T246" s="65"/>
      <c r="Y246" s="23"/>
    </row>
    <row r="247" spans="1:31" s="13" customFormat="1" ht="12" customHeight="1" outlineLevel="1" thickBot="1" x14ac:dyDescent="0.3">
      <c r="A247" s="328"/>
      <c r="B247" s="384"/>
      <c r="C247" s="367"/>
      <c r="D247" s="196"/>
      <c r="E247" s="179"/>
      <c r="F247" s="179"/>
      <c r="G247" s="196" t="s">
        <v>89</v>
      </c>
      <c r="H247" s="196" t="s">
        <v>89</v>
      </c>
      <c r="I247" s="196" t="s">
        <v>89</v>
      </c>
      <c r="J247" s="196" t="s">
        <v>89</v>
      </c>
      <c r="K247" s="196" t="s">
        <v>89</v>
      </c>
      <c r="L247" s="13" t="s">
        <v>26</v>
      </c>
      <c r="M247" s="25"/>
      <c r="O247" s="25"/>
      <c r="AB247" s="25"/>
    </row>
    <row r="248" spans="1:31" ht="12" customHeight="1" outlineLevel="3" x14ac:dyDescent="0.25">
      <c r="A248" s="328"/>
      <c r="B248" s="384"/>
      <c r="C248" s="367"/>
      <c r="D248" s="412"/>
      <c r="G248" s="40" t="s">
        <v>89</v>
      </c>
      <c r="H248" s="40" t="s">
        <v>89</v>
      </c>
      <c r="I248" s="40" t="s">
        <v>89</v>
      </c>
      <c r="J248" s="40" t="s">
        <v>89</v>
      </c>
      <c r="K248" s="40" t="s">
        <v>89</v>
      </c>
      <c r="L248" s="10" t="s">
        <v>29</v>
      </c>
    </row>
    <row r="249" spans="1:31" ht="12" customHeight="1" outlineLevel="3" x14ac:dyDescent="0.25">
      <c r="A249" s="328"/>
      <c r="B249" s="384"/>
      <c r="C249" s="367"/>
      <c r="D249" s="412"/>
      <c r="G249" s="40" t="s">
        <v>89</v>
      </c>
      <c r="H249" s="40" t="s">
        <v>89</v>
      </c>
      <c r="I249" s="40" t="s">
        <v>752</v>
      </c>
      <c r="J249" s="40" t="s">
        <v>89</v>
      </c>
      <c r="K249" s="40" t="s">
        <v>89</v>
      </c>
      <c r="L249" s="12" t="s">
        <v>32</v>
      </c>
      <c r="M249" s="41">
        <f>O249</f>
        <v>70</v>
      </c>
      <c r="N249" s="15" t="s">
        <v>796</v>
      </c>
      <c r="O249" s="11">
        <f>S249</f>
        <v>70</v>
      </c>
      <c r="S249" s="14">
        <v>70</v>
      </c>
    </row>
    <row r="250" spans="1:31" ht="12" customHeight="1" outlineLevel="3" thickBot="1" x14ac:dyDescent="0.3">
      <c r="A250" s="328"/>
      <c r="B250" s="384"/>
      <c r="C250" s="367"/>
      <c r="D250" s="412"/>
      <c r="G250" s="40" t="s">
        <v>89</v>
      </c>
      <c r="H250" s="40" t="s">
        <v>89</v>
      </c>
      <c r="I250" s="40" t="s">
        <v>752</v>
      </c>
      <c r="J250" s="40" t="s">
        <v>89</v>
      </c>
      <c r="K250" s="40" t="s">
        <v>89</v>
      </c>
      <c r="L250" s="12" t="s">
        <v>33</v>
      </c>
      <c r="M250" s="83">
        <f>O250</f>
        <v>0.55105294934492544</v>
      </c>
      <c r="N250" s="15" t="s">
        <v>797</v>
      </c>
      <c r="O250" s="11">
        <f>S250</f>
        <v>0.55105294934492544</v>
      </c>
      <c r="P250" s="11"/>
      <c r="Q250" s="133"/>
      <c r="R250" s="133"/>
      <c r="S250" s="299">
        <v>0.55105294934492544</v>
      </c>
    </row>
    <row r="251" spans="1:31" ht="12" customHeight="1" outlineLevel="3" thickBot="1" x14ac:dyDescent="0.3">
      <c r="A251" s="328"/>
      <c r="B251" s="384"/>
      <c r="C251" s="367"/>
      <c r="D251" s="412"/>
      <c r="G251" s="40" t="s">
        <v>89</v>
      </c>
      <c r="H251" s="40" t="s">
        <v>89</v>
      </c>
      <c r="I251" s="40" t="s">
        <v>752</v>
      </c>
      <c r="J251" s="40" t="s">
        <v>89</v>
      </c>
      <c r="K251" s="40" t="s">
        <v>89</v>
      </c>
      <c r="L251" s="10" t="s">
        <v>24</v>
      </c>
      <c r="M251" s="16">
        <v>4</v>
      </c>
      <c r="N251" s="15" t="s">
        <v>799</v>
      </c>
    </row>
    <row r="252" spans="1:31" ht="12" customHeight="1" outlineLevel="3" thickBot="1" x14ac:dyDescent="0.3">
      <c r="A252" s="328"/>
      <c r="B252" s="384"/>
      <c r="C252" s="367"/>
      <c r="D252" s="412"/>
      <c r="G252" s="40" t="s">
        <v>89</v>
      </c>
      <c r="H252" s="40" t="s">
        <v>89</v>
      </c>
      <c r="I252" s="40" t="s">
        <v>752</v>
      </c>
      <c r="J252" s="40" t="s">
        <v>89</v>
      </c>
      <c r="K252" s="40" t="s">
        <v>89</v>
      </c>
      <c r="L252" s="29" t="s">
        <v>138</v>
      </c>
      <c r="M252" s="41">
        <f>O252</f>
        <v>10</v>
      </c>
      <c r="N252" s="15" t="s">
        <v>800</v>
      </c>
      <c r="O252" s="11">
        <f>CHOOSE(swtchDurHPE, maxDurHPE, S252, maxDurHPE)</f>
        <v>10</v>
      </c>
      <c r="P252" s="11"/>
      <c r="S252" s="159">
        <v>10</v>
      </c>
    </row>
    <row r="253" spans="1:31" s="13" customFormat="1" ht="12" customHeight="1" outlineLevel="1" thickBot="1" x14ac:dyDescent="0.3">
      <c r="A253" s="328"/>
      <c r="B253" s="384"/>
      <c r="C253" s="367"/>
      <c r="D253" s="25"/>
      <c r="G253" s="25" t="s">
        <v>89</v>
      </c>
      <c r="H253" s="25" t="s">
        <v>89</v>
      </c>
      <c r="I253" s="25" t="s">
        <v>89</v>
      </c>
      <c r="J253" s="25" t="s">
        <v>89</v>
      </c>
      <c r="K253" s="25" t="s">
        <v>89</v>
      </c>
      <c r="L253" s="197" t="s">
        <v>691</v>
      </c>
      <c r="M253" s="25"/>
      <c r="O253" s="25"/>
      <c r="P253" s="25"/>
      <c r="AB253" s="25"/>
    </row>
    <row r="254" spans="1:31" ht="12" customHeight="1" outlineLevel="3" x14ac:dyDescent="0.25">
      <c r="A254" s="328"/>
      <c r="B254" s="384"/>
      <c r="C254" s="367"/>
      <c r="D254" s="412"/>
      <c r="G254" s="40" t="s">
        <v>89</v>
      </c>
      <c r="H254" s="40" t="s">
        <v>89</v>
      </c>
      <c r="I254" s="40" t="s">
        <v>752</v>
      </c>
      <c r="J254" s="40" t="s">
        <v>89</v>
      </c>
      <c r="K254" s="40" t="s">
        <v>89</v>
      </c>
      <c r="L254" s="38" t="s">
        <v>633</v>
      </c>
      <c r="M254" s="36">
        <f>O254</f>
        <v>2.12</v>
      </c>
      <c r="O254" s="11">
        <f>CHOOSE(swtchPSA, S254, AB254)</f>
        <v>2.12</v>
      </c>
      <c r="P254" s="11"/>
      <c r="S254" s="35">
        <v>2.12</v>
      </c>
      <c r="T254" s="18"/>
      <c r="U254" s="22">
        <f>(LN(X254)-LN(V254)) / 2/ _xlfn.NORM.S.INV(0.975)</f>
        <v>0.10195799350813808</v>
      </c>
      <c r="V254" s="35">
        <v>1.73</v>
      </c>
      <c r="W254" s="18"/>
      <c r="X254" s="35">
        <v>2.58</v>
      </c>
      <c r="Y254" s="32" t="s">
        <v>632</v>
      </c>
      <c r="Z254" s="32"/>
      <c r="AA254" s="19">
        <f ca="1">RAND()</f>
        <v>0.66192939706318199</v>
      </c>
      <c r="AB254" s="37">
        <f ca="1">_xlfn.LOGNORM.INV(AA254, AD254, AE254)</f>
        <v>2.2122441783035649</v>
      </c>
      <c r="AC254" s="20" t="s">
        <v>20</v>
      </c>
      <c r="AD254" s="27">
        <f>LN(S254)</f>
        <v>0.75141608868392118</v>
      </c>
      <c r="AE254" s="26">
        <f>U254</f>
        <v>0.10195799350813808</v>
      </c>
    </row>
    <row r="255" spans="1:31" ht="12" customHeight="1" outlineLevel="3" x14ac:dyDescent="0.25">
      <c r="A255" s="328"/>
      <c r="B255" s="384"/>
      <c r="C255" s="367"/>
      <c r="D255" s="412"/>
      <c r="G255" s="40" t="s">
        <v>89</v>
      </c>
      <c r="H255" s="40" t="s">
        <v>89</v>
      </c>
      <c r="I255" s="40" t="s">
        <v>752</v>
      </c>
      <c r="J255" s="40" t="s">
        <v>89</v>
      </c>
      <c r="K255" s="40" t="s">
        <v>89</v>
      </c>
      <c r="L255" s="38" t="s">
        <v>628</v>
      </c>
      <c r="M255" s="36">
        <f>O255</f>
        <v>1.7</v>
      </c>
      <c r="O255" s="11">
        <f>CHOOSE(swtchPSA, S255, AB255)</f>
        <v>1.7</v>
      </c>
      <c r="P255" s="11"/>
      <c r="S255" s="35">
        <v>1.7</v>
      </c>
      <c r="T255" s="18"/>
      <c r="U255" s="22">
        <f>(LN(X255)-LN(V255)) / 2/ _xlfn.NORM.S.INV(0.975)</f>
        <v>6.7325689451329732E-2</v>
      </c>
      <c r="V255" s="35">
        <v>1.49</v>
      </c>
      <c r="W255" s="18"/>
      <c r="X255" s="35">
        <v>1.94</v>
      </c>
      <c r="Y255" s="32" t="s">
        <v>627</v>
      </c>
      <c r="Z255" s="32"/>
      <c r="AA255" s="19">
        <f ca="1">RAND()</f>
        <v>0.53132849822611017</v>
      </c>
      <c r="AB255" s="37">
        <f ca="1">_xlfn.LOGNORM.INV(AA255, AD255, AE255)</f>
        <v>1.7090210293180128</v>
      </c>
      <c r="AC255" s="20" t="s">
        <v>20</v>
      </c>
      <c r="AD255" s="27">
        <f>LN(S255)</f>
        <v>0.53062825106217038</v>
      </c>
      <c r="AE255" s="26">
        <f>U255</f>
        <v>6.7325689451329732E-2</v>
      </c>
    </row>
    <row r="256" spans="1:31" ht="12" customHeight="1" outlineLevel="3" x14ac:dyDescent="0.25">
      <c r="A256" s="328"/>
      <c r="B256" s="384"/>
      <c r="C256" s="367"/>
      <c r="D256" s="412"/>
      <c r="G256" s="40" t="s">
        <v>89</v>
      </c>
      <c r="H256" s="40" t="s">
        <v>89</v>
      </c>
      <c r="I256" s="40" t="s">
        <v>752</v>
      </c>
      <c r="J256" s="40" t="s">
        <v>89</v>
      </c>
      <c r="K256" s="40" t="s">
        <v>89</v>
      </c>
      <c r="L256" s="38" t="s">
        <v>626</v>
      </c>
      <c r="M256" s="36">
        <f>O256</f>
        <v>3.01</v>
      </c>
      <c r="O256" s="11">
        <f>CHOOSE(swtchPSA, S256, AB256)</f>
        <v>3.01</v>
      </c>
      <c r="P256" s="11"/>
      <c r="S256" s="35">
        <v>3.01</v>
      </c>
      <c r="T256" s="18"/>
      <c r="U256" s="22">
        <f>(LN(X256)-LN(V256)) / 2/ _xlfn.NORM.S.INV(0.975)</f>
        <v>0.31256133342347997</v>
      </c>
      <c r="V256" s="35">
        <v>1.63</v>
      </c>
      <c r="W256" s="18"/>
      <c r="X256" s="35">
        <v>5.55</v>
      </c>
      <c r="Y256" s="32" t="s">
        <v>727</v>
      </c>
      <c r="Z256" s="15"/>
      <c r="AA256" s="19">
        <f ca="1">RAND()</f>
        <v>0.61858387485219291</v>
      </c>
      <c r="AB256" s="37">
        <f ca="1">_xlfn.LOGNORM.INV(AA256, AD256, AE256)</f>
        <v>3.3077219656544967</v>
      </c>
      <c r="AC256" s="20" t="s">
        <v>20</v>
      </c>
      <c r="AD256" s="27">
        <f>LN(S256)</f>
        <v>1.1019400787607843</v>
      </c>
      <c r="AE256" s="26">
        <f>U256</f>
        <v>0.31256133342347997</v>
      </c>
    </row>
    <row r="257" spans="1:31" ht="12" customHeight="1" outlineLevel="3" thickBot="1" x14ac:dyDescent="0.3">
      <c r="A257" s="328"/>
      <c r="B257" s="384"/>
      <c r="C257" s="367"/>
      <c r="D257" s="412"/>
      <c r="G257" s="40" t="s">
        <v>89</v>
      </c>
      <c r="H257" s="40" t="s">
        <v>89</v>
      </c>
      <c r="I257" s="40" t="s">
        <v>752</v>
      </c>
      <c r="J257" s="40" t="s">
        <v>89</v>
      </c>
      <c r="K257" s="40" t="s">
        <v>89</v>
      </c>
      <c r="L257" s="38" t="s">
        <v>622</v>
      </c>
      <c r="M257" s="36">
        <f>O257</f>
        <v>2.71</v>
      </c>
      <c r="O257" s="11">
        <f>CHOOSE(swtchPSA, S257, AB257)</f>
        <v>2.71</v>
      </c>
      <c r="P257" s="11"/>
      <c r="S257" s="35">
        <v>2.71</v>
      </c>
      <c r="T257" s="18"/>
      <c r="U257" s="22">
        <f>(LN(X257)-LN(V257)) / 2/ _xlfn.NORM.S.INV(0.975)</f>
        <v>0.30851680502808182</v>
      </c>
      <c r="V257" s="35">
        <v>1.48</v>
      </c>
      <c r="W257" s="18"/>
      <c r="X257" s="35">
        <v>4.96</v>
      </c>
      <c r="Y257" s="32" t="s">
        <v>727</v>
      </c>
      <c r="Z257" s="15"/>
      <c r="AA257" s="19">
        <f ca="1">RAND()</f>
        <v>0.1270953211285849</v>
      </c>
      <c r="AB257" s="37">
        <f ca="1">_xlfn.LOGNORM.INV(AA257, AD257, AE257)</f>
        <v>1.9063084620440365</v>
      </c>
      <c r="AC257" s="20" t="s">
        <v>20</v>
      </c>
      <c r="AD257" s="27">
        <f>LN(S257)</f>
        <v>0.99694863489160956</v>
      </c>
      <c r="AE257" s="26">
        <f>U257</f>
        <v>0.30851680502808182</v>
      </c>
    </row>
    <row r="258" spans="1:31" s="13" customFormat="1" ht="12" customHeight="1" outlineLevel="1" thickBot="1" x14ac:dyDescent="0.3">
      <c r="A258" s="328"/>
      <c r="B258" s="384"/>
      <c r="C258" s="367"/>
      <c r="D258" s="25"/>
      <c r="G258" s="25" t="s">
        <v>89</v>
      </c>
      <c r="H258" s="25" t="s">
        <v>89</v>
      </c>
      <c r="I258" s="25" t="s">
        <v>89</v>
      </c>
      <c r="J258" s="25" t="s">
        <v>89</v>
      </c>
      <c r="K258" s="25" t="s">
        <v>89</v>
      </c>
      <c r="L258" s="197" t="s">
        <v>400</v>
      </c>
      <c r="M258" s="25"/>
      <c r="O258" s="25"/>
      <c r="P258" s="25"/>
      <c r="AB258" s="25"/>
    </row>
    <row r="259" spans="1:31" s="110" customFormat="1" ht="12" customHeight="1" outlineLevel="2" thickBot="1" x14ac:dyDescent="0.3">
      <c r="A259" s="328"/>
      <c r="B259" s="384"/>
      <c r="C259" s="367"/>
      <c r="D259" s="112"/>
      <c r="G259" s="112" t="s">
        <v>89</v>
      </c>
      <c r="H259" s="112" t="s">
        <v>89</v>
      </c>
      <c r="I259" s="112" t="s">
        <v>89</v>
      </c>
      <c r="J259" s="112" t="s">
        <v>89</v>
      </c>
      <c r="K259" s="112" t="s">
        <v>89</v>
      </c>
      <c r="L259" s="110" t="s">
        <v>399</v>
      </c>
    </row>
    <row r="260" spans="1:31" ht="12" customHeight="1" outlineLevel="3" x14ac:dyDescent="0.25">
      <c r="A260" s="328"/>
      <c r="B260" s="384"/>
      <c r="C260" s="367"/>
      <c r="D260" s="412"/>
      <c r="G260" s="40" t="s">
        <v>89</v>
      </c>
      <c r="H260" s="40" t="s">
        <v>89</v>
      </c>
      <c r="I260" s="40" t="s">
        <v>89</v>
      </c>
      <c r="J260" s="40" t="s">
        <v>89</v>
      </c>
      <c r="K260" s="40" t="s">
        <v>89</v>
      </c>
      <c r="L260" t="s">
        <v>398</v>
      </c>
      <c r="M260"/>
      <c r="O260"/>
      <c r="S260" s="204"/>
      <c r="V260" s="204"/>
      <c r="X260" s="204"/>
      <c r="AB260"/>
    </row>
    <row r="261" spans="1:31" ht="12" customHeight="1" outlineLevel="3" x14ac:dyDescent="0.25">
      <c r="A261" s="328"/>
      <c r="B261" s="384"/>
      <c r="C261" s="367"/>
      <c r="G261" s="40" t="s">
        <v>89</v>
      </c>
      <c r="H261" s="40" t="s">
        <v>89</v>
      </c>
      <c r="I261" s="40" t="s">
        <v>752</v>
      </c>
      <c r="J261" s="40" t="s">
        <v>89</v>
      </c>
      <c r="K261" s="40" t="s">
        <v>89</v>
      </c>
      <c r="L261" s="104" t="s">
        <v>681</v>
      </c>
      <c r="M261" s="36">
        <f>O261</f>
        <v>2.8894055131185651E-2</v>
      </c>
      <c r="O261" s="11">
        <f>CHOOSE(swtchPSA, S261, AB261)</f>
        <v>2.8894055131185651E-2</v>
      </c>
      <c r="P261" s="11"/>
      <c r="Q261" s="270">
        <v>12044</v>
      </c>
      <c r="R261" s="14">
        <v>348</v>
      </c>
      <c r="S261" s="93">
        <f>R261/Q261</f>
        <v>2.8894055131185651E-2</v>
      </c>
      <c r="T261" s="204"/>
      <c r="U261" s="93">
        <f>1/SQRT(R261)</f>
        <v>5.3605626741889741E-2</v>
      </c>
      <c r="V261" s="93">
        <f>vbRateCILo(Q261, R261, 0)</f>
        <v>2.5937688129626282E-2</v>
      </c>
      <c r="W261" s="204"/>
      <c r="X261" s="93">
        <f>vbRateCIhi(Q261, R261, 0)</f>
        <v>3.2095060352594074E-2</v>
      </c>
      <c r="Y261" s="32" t="s">
        <v>442</v>
      </c>
      <c r="Z261" s="11"/>
      <c r="AA261" s="19">
        <f ca="1">RAND()</f>
        <v>0.21719242306518227</v>
      </c>
      <c r="AB261" s="102">
        <f ca="1">_xlfn.LOGNORM.INV(AA261, AD261, AE261)</f>
        <v>2.7708294214731078E-2</v>
      </c>
      <c r="AC261" s="15" t="s">
        <v>20</v>
      </c>
      <c r="AD261" s="27">
        <f>LN(S261)</f>
        <v>-3.5441194098271502</v>
      </c>
      <c r="AE261" s="26">
        <f>U261</f>
        <v>5.3605626741889741E-2</v>
      </c>
    </row>
    <row r="262" spans="1:31" ht="12" customHeight="1" outlineLevel="3" x14ac:dyDescent="0.25">
      <c r="A262" s="328"/>
      <c r="B262" s="384"/>
      <c r="C262" s="367"/>
      <c r="D262" s="412"/>
      <c r="G262" s="40" t="s">
        <v>89</v>
      </c>
      <c r="H262" s="40" t="s">
        <v>89</v>
      </c>
      <c r="I262" s="40" t="s">
        <v>89</v>
      </c>
      <c r="J262" s="40" t="s">
        <v>89</v>
      </c>
      <c r="K262" s="40" t="s">
        <v>89</v>
      </c>
      <c r="L262" s="104" t="s">
        <v>95</v>
      </c>
      <c r="M262"/>
      <c r="O262"/>
      <c r="Q262" s="211"/>
      <c r="AB262"/>
    </row>
    <row r="263" spans="1:31" ht="12" customHeight="1" outlineLevel="3" x14ac:dyDescent="0.25">
      <c r="A263" s="328"/>
      <c r="B263" s="384"/>
      <c r="C263" s="367"/>
      <c r="D263" s="412"/>
      <c r="G263" s="40" t="s">
        <v>89</v>
      </c>
      <c r="H263" s="40" t="s">
        <v>89</v>
      </c>
      <c r="I263" s="40" t="s">
        <v>752</v>
      </c>
      <c r="J263" s="40" t="s">
        <v>89</v>
      </c>
      <c r="K263" s="40" t="s">
        <v>89</v>
      </c>
      <c r="L263" s="170" t="s">
        <v>625</v>
      </c>
      <c r="M263" s="156">
        <f>O263</f>
        <v>7.197486913300466E-3</v>
      </c>
      <c r="N263" s="441" t="s">
        <v>807</v>
      </c>
      <c r="O263" cm="1">
        <f t="array" ref="O263">vbratetoprob(Parameters!M261, C.cycleLength)</f>
        <v>7.197486913300466E-3</v>
      </c>
      <c r="AB263"/>
    </row>
    <row r="264" spans="1:31" ht="12" customHeight="1" outlineLevel="3" x14ac:dyDescent="0.25">
      <c r="A264" s="328"/>
      <c r="B264" s="384"/>
      <c r="C264" s="367"/>
      <c r="D264" s="412"/>
      <c r="G264" s="40" t="s">
        <v>89</v>
      </c>
      <c r="H264" s="40" t="s">
        <v>89</v>
      </c>
      <c r="I264" s="40" t="s">
        <v>752</v>
      </c>
      <c r="J264" s="40" t="s">
        <v>89</v>
      </c>
      <c r="K264" s="40" t="s">
        <v>89</v>
      </c>
      <c r="L264" s="170" t="s">
        <v>624</v>
      </c>
      <c r="M264" s="156">
        <f>O264</f>
        <v>1.5136652891765377E-2</v>
      </c>
      <c r="N264" s="441"/>
      <c r="O264" cm="1">
        <f t="array" ref="O264">vbOddsToProb(vbProbToOdds(M263)*M254)</f>
        <v>1.5136652891765377E-2</v>
      </c>
      <c r="AB264"/>
    </row>
    <row r="265" spans="1:31" ht="12" customHeight="1" outlineLevel="3" x14ac:dyDescent="0.25">
      <c r="A265" s="328"/>
      <c r="B265" s="384"/>
      <c r="C265" s="367"/>
      <c r="D265" s="412"/>
      <c r="G265" s="40" t="s">
        <v>89</v>
      </c>
      <c r="H265" s="40" t="s">
        <v>89</v>
      </c>
      <c r="I265" s="40" t="s">
        <v>89</v>
      </c>
      <c r="J265" s="40" t="s">
        <v>89</v>
      </c>
      <c r="K265" s="40" t="s">
        <v>89</v>
      </c>
      <c r="L265" t="s">
        <v>376</v>
      </c>
      <c r="M265"/>
      <c r="O265"/>
      <c r="AB265"/>
    </row>
    <row r="266" spans="1:31" ht="12" customHeight="1" outlineLevel="3" x14ac:dyDescent="0.25">
      <c r="A266" s="328"/>
      <c r="B266" s="384"/>
      <c r="C266" s="367"/>
      <c r="D266" s="412"/>
      <c r="G266" s="40" t="s">
        <v>89</v>
      </c>
      <c r="H266" s="40" t="s">
        <v>89</v>
      </c>
      <c r="I266" s="40" t="s">
        <v>752</v>
      </c>
      <c r="J266" s="40" t="s">
        <v>89</v>
      </c>
      <c r="K266" s="40" t="s">
        <v>89</v>
      </c>
      <c r="L266" s="104" t="s">
        <v>631</v>
      </c>
      <c r="M266" s="36">
        <f>O266</f>
        <v>1.4E-3</v>
      </c>
      <c r="O266" s="11">
        <f>CHOOSE(swtchPSA, S266, AB266)</f>
        <v>1.4E-3</v>
      </c>
      <c r="P266" s="11"/>
      <c r="S266" s="144">
        <f>1.4/1000</f>
        <v>1.4E-3</v>
      </c>
      <c r="T266" s="53"/>
      <c r="U266" s="93">
        <f>(LN(X266)-LN(V266)) / 2/ _xlfn.NORM.S.INV(0.975)</f>
        <v>3.6505988061371397E-2</v>
      </c>
      <c r="V266" s="144">
        <f>1.3/1000</f>
        <v>1.2999999999999999E-3</v>
      </c>
      <c r="W266" s="53"/>
      <c r="X266" s="144">
        <f>1.5/1000</f>
        <v>1.5E-3</v>
      </c>
      <c r="Y266" s="32" t="s">
        <v>629</v>
      </c>
      <c r="Z266" s="32"/>
      <c r="AA266" s="19">
        <f ca="1">RAND()</f>
        <v>0.71469397322891559</v>
      </c>
      <c r="AB266" s="37">
        <f ca="1">_xlfn.LOGNORM.INV(AA266, AD266, AE266)</f>
        <v>1.4292882879599058E-3</v>
      </c>
      <c r="AC266" s="20" t="s">
        <v>20</v>
      </c>
      <c r="AD266" s="27">
        <f>LN(S266)</f>
        <v>-6.5712830423609239</v>
      </c>
      <c r="AE266" s="26">
        <f>U266</f>
        <v>3.6505988061371397E-2</v>
      </c>
    </row>
    <row r="267" spans="1:31" ht="12" customHeight="1" outlineLevel="3" x14ac:dyDescent="0.25">
      <c r="A267" s="328"/>
      <c r="B267" s="384"/>
      <c r="C267" s="367"/>
      <c r="D267" s="412"/>
      <c r="G267" s="40" t="s">
        <v>89</v>
      </c>
      <c r="H267" s="40" t="s">
        <v>89</v>
      </c>
      <c r="I267" s="40" t="s">
        <v>752</v>
      </c>
      <c r="J267" s="40" t="s">
        <v>89</v>
      </c>
      <c r="K267" s="40" t="s">
        <v>89</v>
      </c>
      <c r="L267" s="104" t="s">
        <v>630</v>
      </c>
      <c r="M267" s="36">
        <f>O267</f>
        <v>1.1000000000000001E-3</v>
      </c>
      <c r="O267" s="11">
        <f>CHOOSE(swtchPSA, S267, AB267)</f>
        <v>1.1000000000000001E-3</v>
      </c>
      <c r="P267" s="11"/>
      <c r="S267" s="144">
        <f>1.1/1000</f>
        <v>1.1000000000000001E-3</v>
      </c>
      <c r="T267" s="53"/>
      <c r="U267" s="93">
        <f>(LN(X267)-LN(V267)) / 2/ _xlfn.NORM.S.INV(0.975)</f>
        <v>4.6511455881863964E-2</v>
      </c>
      <c r="V267" s="144">
        <f>1/1000</f>
        <v>1E-3</v>
      </c>
      <c r="W267" s="53"/>
      <c r="X267" s="144">
        <f>1.2/1000</f>
        <v>1.1999999999999999E-3</v>
      </c>
      <c r="Y267" s="32" t="s">
        <v>629</v>
      </c>
      <c r="Z267" s="32"/>
      <c r="AA267" s="19">
        <f ca="1">RAND()</f>
        <v>0.4473435291867236</v>
      </c>
      <c r="AB267" s="37">
        <f ca="1">_xlfn.LOGNORM.INV(AA267, AD267, AE267)</f>
        <v>1.09324811688884E-3</v>
      </c>
      <c r="AC267" s="20" t="s">
        <v>20</v>
      </c>
      <c r="AD267" s="27">
        <f>LN(S267)</f>
        <v>-6.812445099177812</v>
      </c>
      <c r="AE267" s="26">
        <f>U267</f>
        <v>4.6511455881863964E-2</v>
      </c>
    </row>
    <row r="268" spans="1:31" ht="12" customHeight="1" outlineLevel="3" x14ac:dyDescent="0.25">
      <c r="A268" s="328"/>
      <c r="B268" s="384"/>
      <c r="C268" s="367"/>
      <c r="D268" s="412"/>
      <c r="G268" s="40" t="s">
        <v>89</v>
      </c>
      <c r="H268" s="40" t="s">
        <v>89</v>
      </c>
      <c r="I268" s="40" t="s">
        <v>89</v>
      </c>
      <c r="J268" s="40" t="s">
        <v>89</v>
      </c>
      <c r="K268" s="40" t="s">
        <v>89</v>
      </c>
      <c r="L268" s="104" t="s">
        <v>95</v>
      </c>
      <c r="M268" s="204"/>
      <c r="O268"/>
      <c r="AB268"/>
    </row>
    <row r="269" spans="1:31" ht="12" customHeight="1" outlineLevel="3" x14ac:dyDescent="0.25">
      <c r="A269" s="328"/>
      <c r="B269" s="384"/>
      <c r="C269" s="367"/>
      <c r="D269" s="412"/>
      <c r="G269" s="40" t="s">
        <v>89</v>
      </c>
      <c r="H269" s="40" t="s">
        <v>89</v>
      </c>
      <c r="I269" s="40" t="s">
        <v>752</v>
      </c>
      <c r="J269" s="40" t="s">
        <v>89</v>
      </c>
      <c r="K269" s="40" t="s">
        <v>89</v>
      </c>
      <c r="L269" s="170" t="s">
        <v>625</v>
      </c>
      <c r="M269" s="156">
        <f>O269</f>
        <v>3.1627894446695226E-4</v>
      </c>
      <c r="N269" s="441" t="s">
        <v>812</v>
      </c>
      <c r="O269" cm="1">
        <f t="array" ref="O269">vbratetoprob(M266*C.cohortSex + M267*(1-C.cohortSex), C.cycleLength)</f>
        <v>3.1627894446695226E-4</v>
      </c>
      <c r="AB269"/>
    </row>
    <row r="270" spans="1:31" ht="12" customHeight="1" outlineLevel="3" x14ac:dyDescent="0.25">
      <c r="A270" s="328"/>
      <c r="B270" s="384"/>
      <c r="C270" s="367"/>
      <c r="D270" s="412"/>
      <c r="G270" s="40" t="s">
        <v>89</v>
      </c>
      <c r="H270" s="40" t="s">
        <v>89</v>
      </c>
      <c r="I270" s="40" t="s">
        <v>752</v>
      </c>
      <c r="J270" s="40" t="s">
        <v>89</v>
      </c>
      <c r="K270" s="40" t="s">
        <v>89</v>
      </c>
      <c r="L270" s="170" t="s">
        <v>624</v>
      </c>
      <c r="M270" s="156">
        <f>O270</f>
        <v>5.3755519342140107E-4</v>
      </c>
      <c r="N270" s="441"/>
      <c r="O270">
        <f>vbOddsToProb(vbProbToOdds(M269)*M255)</f>
        <v>5.3755519342140107E-4</v>
      </c>
      <c r="AB270"/>
    </row>
    <row r="271" spans="1:31" ht="12" customHeight="1" outlineLevel="3" x14ac:dyDescent="0.25">
      <c r="A271" s="328"/>
      <c r="B271" s="384"/>
      <c r="C271" s="367"/>
      <c r="D271" s="412"/>
      <c r="G271" s="40" t="s">
        <v>89</v>
      </c>
      <c r="H271" s="40" t="s">
        <v>89</v>
      </c>
      <c r="I271" s="40" t="s">
        <v>89</v>
      </c>
      <c r="J271" s="40" t="s">
        <v>89</v>
      </c>
      <c r="K271" s="40" t="s">
        <v>89</v>
      </c>
      <c r="L271" t="s">
        <v>344</v>
      </c>
      <c r="M271"/>
      <c r="O271"/>
      <c r="AB271"/>
    </row>
    <row r="272" spans="1:31" ht="12" customHeight="1" outlineLevel="3" x14ac:dyDescent="0.25">
      <c r="A272" s="328"/>
      <c r="B272" s="384"/>
      <c r="C272" s="367"/>
      <c r="D272" s="412"/>
      <c r="G272" s="40" t="s">
        <v>89</v>
      </c>
      <c r="H272" s="40" t="s">
        <v>89</v>
      </c>
      <c r="I272" s="40" t="s">
        <v>752</v>
      </c>
      <c r="J272" s="40" t="s">
        <v>89</v>
      </c>
      <c r="K272" s="40" t="s">
        <v>89</v>
      </c>
      <c r="L272" s="104" t="s">
        <v>623</v>
      </c>
      <c r="M272" s="36">
        <f>O272</f>
        <v>6.8700000000000002E-3</v>
      </c>
      <c r="O272" s="11">
        <f>CHOOSE(swtchPSA, S272, AB272)</f>
        <v>6.8700000000000002E-3</v>
      </c>
      <c r="P272" s="11"/>
      <c r="S272" s="144">
        <f>6.87/1000</f>
        <v>6.8700000000000002E-3</v>
      </c>
      <c r="T272" s="53"/>
      <c r="U272" s="93">
        <f>(LN(X272)-LN(V272)) / 2/ _xlfn.NORM.S.INV(0.975)</f>
        <v>0.13750163395455814</v>
      </c>
      <c r="V272" s="144">
        <f>5.25/1000</f>
        <v>5.2500000000000003E-3</v>
      </c>
      <c r="W272" s="53"/>
      <c r="X272" s="144">
        <f>9/1000</f>
        <v>8.9999999999999993E-3</v>
      </c>
      <c r="Y272" s="32" t="s">
        <v>727</v>
      </c>
      <c r="Z272" s="15"/>
      <c r="AA272" s="19">
        <f ca="1">RAND()</f>
        <v>0.87201628736772829</v>
      </c>
      <c r="AB272" s="37">
        <f ca="1">_xlfn.LOGNORM.INV(AA272, AD272, AE272)</f>
        <v>8.0314283924620006E-3</v>
      </c>
      <c r="AC272" s="20" t="s">
        <v>20</v>
      </c>
      <c r="AD272" s="27">
        <f>LN(S272)</f>
        <v>-4.9805911727478787</v>
      </c>
      <c r="AE272" s="26">
        <f>U272</f>
        <v>0.13750163395455814</v>
      </c>
    </row>
    <row r="273" spans="1:31" ht="12" customHeight="1" outlineLevel="3" x14ac:dyDescent="0.25">
      <c r="A273" s="328"/>
      <c r="B273" s="384"/>
      <c r="C273" s="367"/>
      <c r="D273" s="412"/>
      <c r="G273" s="40" t="s">
        <v>89</v>
      </c>
      <c r="H273" s="40" t="s">
        <v>89</v>
      </c>
      <c r="I273" s="40" t="s">
        <v>89</v>
      </c>
      <c r="J273" s="40" t="s">
        <v>89</v>
      </c>
      <c r="K273" s="40" t="s">
        <v>89</v>
      </c>
      <c r="L273" s="104" t="s">
        <v>95</v>
      </c>
      <c r="M273" s="204"/>
      <c r="O273"/>
      <c r="AB273"/>
    </row>
    <row r="274" spans="1:31" ht="12" customHeight="1" outlineLevel="3" x14ac:dyDescent="0.25">
      <c r="A274" s="328"/>
      <c r="B274" s="384"/>
      <c r="C274" s="367"/>
      <c r="D274" s="412"/>
      <c r="G274" s="40" t="s">
        <v>89</v>
      </c>
      <c r="H274" s="40" t="s">
        <v>89</v>
      </c>
      <c r="I274" s="40" t="s">
        <v>752</v>
      </c>
      <c r="J274" s="40" t="s">
        <v>89</v>
      </c>
      <c r="K274" s="40" t="s">
        <v>89</v>
      </c>
      <c r="L274" s="170" t="s">
        <v>625</v>
      </c>
      <c r="M274" s="156">
        <f>O274</f>
        <v>1.7160259408945944E-3</v>
      </c>
      <c r="N274" s="441" t="s">
        <v>808</v>
      </c>
      <c r="O274" cm="1">
        <f t="array" ref="O274">vbratetoprob(M272, C.cycleLength)</f>
        <v>1.7160259408945944E-3</v>
      </c>
      <c r="AB274"/>
    </row>
    <row r="275" spans="1:31" ht="12" customHeight="1" outlineLevel="3" x14ac:dyDescent="0.25">
      <c r="A275" s="328"/>
      <c r="B275" s="384"/>
      <c r="C275" s="367"/>
      <c r="D275" s="412"/>
      <c r="G275" s="40" t="s">
        <v>89</v>
      </c>
      <c r="H275" s="40" t="s">
        <v>89</v>
      </c>
      <c r="I275" s="40" t="s">
        <v>752</v>
      </c>
      <c r="J275" s="40" t="s">
        <v>89</v>
      </c>
      <c r="K275" s="40" t="s">
        <v>89</v>
      </c>
      <c r="L275" s="170" t="s">
        <v>624</v>
      </c>
      <c r="M275" s="156">
        <f>O275</f>
        <v>5.156335227526343E-3</v>
      </c>
      <c r="N275" s="441"/>
      <c r="O275" cm="1">
        <f t="array" ref="O275">vbratetoprob(M272*M256, C.cycleLength)</f>
        <v>5.156335227526343E-3</v>
      </c>
      <c r="AB275"/>
    </row>
    <row r="276" spans="1:31" ht="12" customHeight="1" outlineLevel="3" x14ac:dyDescent="0.25">
      <c r="A276" s="328"/>
      <c r="B276" s="384"/>
      <c r="C276" s="367"/>
      <c r="G276" s="40" t="s">
        <v>89</v>
      </c>
      <c r="H276" s="40" t="s">
        <v>89</v>
      </c>
      <c r="I276" s="40" t="s">
        <v>89</v>
      </c>
      <c r="J276" s="40" t="s">
        <v>89</v>
      </c>
      <c r="K276" s="40" t="s">
        <v>89</v>
      </c>
      <c r="L276" t="s">
        <v>383</v>
      </c>
      <c r="M276"/>
      <c r="O276"/>
      <c r="AB276"/>
    </row>
    <row r="277" spans="1:31" ht="12" customHeight="1" outlineLevel="3" x14ac:dyDescent="0.25">
      <c r="A277" s="328"/>
      <c r="B277" s="384"/>
      <c r="C277" s="367"/>
      <c r="G277" s="40" t="s">
        <v>89</v>
      </c>
      <c r="H277" s="40" t="s">
        <v>89</v>
      </c>
      <c r="I277" s="40" t="s">
        <v>752</v>
      </c>
      <c r="J277" s="40" t="s">
        <v>89</v>
      </c>
      <c r="K277" s="40" t="s">
        <v>89</v>
      </c>
      <c r="L277" s="104" t="s">
        <v>441</v>
      </c>
      <c r="M277" s="36">
        <f>O277</f>
        <v>0.10094637223974763</v>
      </c>
      <c r="O277" s="11">
        <f>CHOOSE(swtchPSA, S277, AB277)</f>
        <v>0.10094637223974763</v>
      </c>
      <c r="P277" s="11"/>
      <c r="Q277" s="14">
        <f>653+260+65+121+22+22+121+586+52</f>
        <v>1902</v>
      </c>
      <c r="R277" s="14">
        <f>61+26+12+22+6+4+39+21+1</f>
        <v>192</v>
      </c>
      <c r="S277" s="93">
        <f>R277/Q277</f>
        <v>0.10094637223974763</v>
      </c>
      <c r="T277" s="53"/>
      <c r="U277" s="93">
        <f>SQRT((S277*(1-S277))/Q277)</f>
        <v>6.9076909761640083E-3</v>
      </c>
      <c r="V277" s="93">
        <f>_xlfn.BETA.INV(0.025, AD277, AE277)</f>
        <v>8.781432342737519E-2</v>
      </c>
      <c r="W277" s="53"/>
      <c r="X277" s="93">
        <f>_xlfn.BETA.INV(0.975, AD277, AE277)</f>
        <v>0.11487311254256083</v>
      </c>
      <c r="Y277" s="32" t="s">
        <v>440</v>
      </c>
      <c r="Z277" s="11"/>
      <c r="AA277" s="19">
        <f ca="1">RAND()</f>
        <v>0.50871944660617541</v>
      </c>
      <c r="AB277" s="21">
        <f ca="1">_xlfn.BETA.INV(AA277, AD277, AE277)</f>
        <v>0.10095746956719343</v>
      </c>
      <c r="AC277" s="20" t="s">
        <v>28</v>
      </c>
      <c r="AD277" s="34">
        <f>R277</f>
        <v>192</v>
      </c>
      <c r="AE277" s="33">
        <f>Q277-R277</f>
        <v>1710</v>
      </c>
    </row>
    <row r="278" spans="1:31" ht="12" customHeight="1" outlineLevel="3" thickBot="1" x14ac:dyDescent="0.3">
      <c r="A278" s="328"/>
      <c r="B278" s="384"/>
      <c r="C278" s="367"/>
      <c r="G278" s="40" t="s">
        <v>89</v>
      </c>
      <c r="H278" s="40" t="s">
        <v>89</v>
      </c>
      <c r="I278" s="40" t="s">
        <v>752</v>
      </c>
      <c r="J278" s="40" t="s">
        <v>89</v>
      </c>
      <c r="K278" s="40" t="s">
        <v>89</v>
      </c>
      <c r="L278" s="104" t="s">
        <v>95</v>
      </c>
      <c r="M278" s="156">
        <f>O278</f>
        <v>0.10094637223974767</v>
      </c>
      <c r="N278" s="15" t="s">
        <v>670</v>
      </c>
      <c r="O278" cm="1">
        <f t="array" ref="O278">_xlfn.SINGLE(vbprobToProb(M277, C.cycleLength/(3/12)))</f>
        <v>0.10094637223974767</v>
      </c>
      <c r="AB278"/>
    </row>
    <row r="279" spans="1:31" s="112" customFormat="1" ht="12" customHeight="1" outlineLevel="2" thickBot="1" x14ac:dyDescent="0.3">
      <c r="A279" s="328"/>
      <c r="B279" s="384"/>
      <c r="C279" s="367"/>
      <c r="G279" s="112" t="s">
        <v>89</v>
      </c>
      <c r="H279" s="112" t="s">
        <v>89</v>
      </c>
      <c r="I279" s="112" t="s">
        <v>89</v>
      </c>
      <c r="J279" s="112" t="s">
        <v>89</v>
      </c>
      <c r="K279" s="112" t="s">
        <v>89</v>
      </c>
      <c r="L279" s="110" t="s">
        <v>571</v>
      </c>
    </row>
    <row r="280" spans="1:31" ht="12" customHeight="1" outlineLevel="3" x14ac:dyDescent="0.25">
      <c r="A280" s="328"/>
      <c r="B280" s="384"/>
      <c r="C280" s="367"/>
      <c r="D280" s="412"/>
      <c r="G280" s="40" t="s">
        <v>89</v>
      </c>
      <c r="H280" s="40" t="s">
        <v>89</v>
      </c>
      <c r="I280" s="40" t="s">
        <v>89</v>
      </c>
      <c r="J280" s="40" t="s">
        <v>89</v>
      </c>
      <c r="K280" s="40" t="s">
        <v>89</v>
      </c>
      <c r="L280" t="s">
        <v>728</v>
      </c>
      <c r="M280"/>
      <c r="O280"/>
      <c r="AB280"/>
    </row>
    <row r="281" spans="1:31" ht="12" customHeight="1" outlineLevel="3" x14ac:dyDescent="0.25">
      <c r="A281" s="328"/>
      <c r="B281" s="384"/>
      <c r="C281" s="367"/>
      <c r="D281" s="412"/>
      <c r="G281" s="40" t="s">
        <v>89</v>
      </c>
      <c r="H281" s="40" t="s">
        <v>89</v>
      </c>
      <c r="I281" s="40" t="s">
        <v>752</v>
      </c>
      <c r="J281" s="40" t="s">
        <v>89</v>
      </c>
      <c r="K281" s="40" t="s">
        <v>89</v>
      </c>
      <c r="L281" s="104" t="s">
        <v>623</v>
      </c>
      <c r="M281" s="36">
        <f>O281</f>
        <v>7.9699999999999997E-3</v>
      </c>
      <c r="O281" s="11">
        <f>CHOOSE(swtchPSA, S281, AB281)</f>
        <v>7.9699999999999997E-3</v>
      </c>
      <c r="P281" s="11"/>
      <c r="S281" s="144">
        <f>7.97/1000</f>
        <v>7.9699999999999997E-3</v>
      </c>
      <c r="T281" s="53"/>
      <c r="U281" s="93">
        <f>(LN(X281)-LN(V281)) / 2/ _xlfn.NORM.S.INV(0.975)</f>
        <v>0.1270905212442158</v>
      </c>
      <c r="V281" s="144">
        <f>6.21/1000</f>
        <v>6.2100000000000002E-3</v>
      </c>
      <c r="W281" s="53"/>
      <c r="X281" s="144">
        <f>10.22/1000</f>
        <v>1.022E-2</v>
      </c>
      <c r="Y281" s="32" t="s">
        <v>727</v>
      </c>
      <c r="Z281" s="15"/>
      <c r="AA281" s="19">
        <f ca="1">RAND()</f>
        <v>0.45985363830958803</v>
      </c>
      <c r="AB281" s="37">
        <f ca="1">_xlfn.LOGNORM.INV(AA281, AD281, AE281)</f>
        <v>7.8685472817992212E-3</v>
      </c>
      <c r="AC281" s="20" t="s">
        <v>20</v>
      </c>
      <c r="AD281" s="27">
        <f>LN(S281)</f>
        <v>-4.8320707861800134</v>
      </c>
      <c r="AE281" s="26">
        <f>U281</f>
        <v>0.1270905212442158</v>
      </c>
    </row>
    <row r="282" spans="1:31" ht="12" customHeight="1" outlineLevel="3" x14ac:dyDescent="0.25">
      <c r="A282" s="328"/>
      <c r="B282" s="384"/>
      <c r="C282" s="367"/>
      <c r="D282" s="412"/>
      <c r="G282" s="40" t="s">
        <v>89</v>
      </c>
      <c r="H282" s="40" t="s">
        <v>89</v>
      </c>
      <c r="I282" s="40" t="s">
        <v>752</v>
      </c>
      <c r="J282" s="40" t="s">
        <v>89</v>
      </c>
      <c r="K282" s="40" t="s">
        <v>89</v>
      </c>
      <c r="L282" s="104" t="s">
        <v>614</v>
      </c>
      <c r="M282" s="36">
        <f>O282</f>
        <v>1.45</v>
      </c>
      <c r="O282" s="11">
        <f>CHOOSE(swtchPSA, S282, AB282)</f>
        <v>1.45</v>
      </c>
      <c r="P282" s="11"/>
      <c r="S282" s="35">
        <v>1.45</v>
      </c>
      <c r="T282" s="18"/>
      <c r="U282" s="22">
        <f>(LN(X282)-LN(V282)) / 2/ _xlfn.NORM.S.INV(0.975)</f>
        <v>7.0334425423068517E-2</v>
      </c>
      <c r="V282" s="35">
        <v>1.26</v>
      </c>
      <c r="W282" s="18"/>
      <c r="X282" s="35">
        <v>1.66</v>
      </c>
      <c r="Y282" s="32" t="s">
        <v>707</v>
      </c>
      <c r="Z282" s="15"/>
      <c r="AA282" s="19">
        <f ca="1">RAND()</f>
        <v>0.86029484318102722</v>
      </c>
      <c r="AB282" s="37">
        <f ca="1">_xlfn.LOGNORM.INV(AA282, AD282, AE282)</f>
        <v>1.5646160117631884</v>
      </c>
      <c r="AC282" s="20" t="s">
        <v>20</v>
      </c>
      <c r="AD282" s="27">
        <f>LN(S282)</f>
        <v>0.37156355643248301</v>
      </c>
      <c r="AE282" s="26">
        <f>U282</f>
        <v>7.0334425423068517E-2</v>
      </c>
    </row>
    <row r="283" spans="1:31" ht="12" customHeight="1" outlineLevel="3" x14ac:dyDescent="0.25">
      <c r="A283" s="328"/>
      <c r="B283" s="384"/>
      <c r="C283" s="367"/>
      <c r="D283" s="412"/>
      <c r="G283" s="40" t="s">
        <v>89</v>
      </c>
      <c r="H283" s="40" t="s">
        <v>89</v>
      </c>
      <c r="I283" s="40" t="s">
        <v>89</v>
      </c>
      <c r="J283" s="40" t="s">
        <v>89</v>
      </c>
      <c r="K283" s="40" t="s">
        <v>89</v>
      </c>
      <c r="L283" s="104" t="s">
        <v>95</v>
      </c>
      <c r="M283" s="204"/>
      <c r="O283"/>
      <c r="AB283"/>
    </row>
    <row r="284" spans="1:31" ht="12" customHeight="1" outlineLevel="3" x14ac:dyDescent="0.25">
      <c r="A284" s="328"/>
      <c r="B284" s="384"/>
      <c r="C284" s="367"/>
      <c r="D284" s="412">
        <v>70</v>
      </c>
      <c r="G284" s="40" t="s">
        <v>89</v>
      </c>
      <c r="H284" s="40" t="s">
        <v>89</v>
      </c>
      <c r="I284" s="40" t="s">
        <v>752</v>
      </c>
      <c r="J284" s="40" t="s">
        <v>89</v>
      </c>
      <c r="K284" s="40" t="s">
        <v>89</v>
      </c>
      <c r="L284" s="170" t="s">
        <v>621</v>
      </c>
      <c r="M284" s="156">
        <f t="shared" ref="M284:M289" si="31">O284</f>
        <v>1.990516289608002E-3</v>
      </c>
      <c r="N284" s="441" t="s">
        <v>809</v>
      </c>
      <c r="O284" s="193" cm="1">
        <f t="array" ref="O284">vbratetoprob(M281, C.cycleLength)</f>
        <v>1.990516289608002E-3</v>
      </c>
      <c r="S284" s="203" cm="1">
        <f t="array" ref="S284">vbratetoprob(M281, C.cycleLength)</f>
        <v>1.990516289608002E-3</v>
      </c>
      <c r="T284" s="410"/>
      <c r="U284" s="203" cm="1">
        <f t="array" ref="U284">_xlfn.LET(_xlpm.r, M281, _xlpm.t, C.cycleLength, _xlpm.deriv, _xlpm.t*EXP(-_xlpm.t*_xlpm.r), _xlpm.var, ((X281-V281)/2/_xlfn.NORM.S.INV(0.975))^2, SQRT(_xlpm.deriv^2*_xlpm.var))</f>
        <v>2.5523543169964346E-4</v>
      </c>
      <c r="V284" s="203" cm="1">
        <f t="array" ref="V284">vbratetoprob(V281, C.cycleLength)</f>
        <v>1.5512954952868752E-3</v>
      </c>
      <c r="X284" s="203" cm="1">
        <f t="array" ref="X284">vbratetoprob(X281, C.cycleLength)</f>
        <v>2.5517387655759061E-3</v>
      </c>
      <c r="AB284"/>
      <c r="AC284" s="20" t="s">
        <v>28</v>
      </c>
      <c r="AD284" s="54">
        <f>(S284^2*(1-S284))/U284^2-S284</f>
        <v>60.697383823964479</v>
      </c>
      <c r="AE284" s="33">
        <f>AD284*((1-S284)/S284)</f>
        <v>30432.589277958534</v>
      </c>
    </row>
    <row r="285" spans="1:31" ht="12" customHeight="1" outlineLevel="3" x14ac:dyDescent="0.25">
      <c r="A285" s="328"/>
      <c r="B285" s="384"/>
      <c r="C285" s="367"/>
      <c r="D285" s="412">
        <f>D284+10</f>
        <v>80</v>
      </c>
      <c r="G285" s="40" t="s">
        <v>89</v>
      </c>
      <c r="H285" s="40" t="s">
        <v>89</v>
      </c>
      <c r="I285" s="40" t="s">
        <v>752</v>
      </c>
      <c r="J285" s="40" t="s">
        <v>89</v>
      </c>
      <c r="K285" s="40" t="s">
        <v>89</v>
      </c>
      <c r="L285" s="170" t="s">
        <v>620</v>
      </c>
      <c r="M285" s="156">
        <f>O285</f>
        <v>2.8849554947409928E-3</v>
      </c>
      <c r="N285" s="441"/>
      <c r="O285" s="193" cm="1">
        <f t="array" ref="O285">vbratetoprob(M281*$M$282, C.cycleLength)</f>
        <v>2.8849554947409928E-3</v>
      </c>
      <c r="S285" s="203" cm="1">
        <f t="array" ref="S285">vbratetoprob(M281*$M$282, C.cycleLength)</f>
        <v>2.8849554947409928E-3</v>
      </c>
      <c r="T285" s="410"/>
      <c r="U285" s="203" cm="1">
        <f t="array" ref="U285">_xlfn.LET(_xlpm.r, M281*$M$283, _xlpm.t, C.cycleLength, _xlpm.deriv, _xlpm.t*EXP(-_xlpm.t*_xlpm.r), _xlpm.var, ((X281-V281)/2/_xlfn.NORM.S.INV(0.975))^2, SQRT(_xlpm.deriv^2*_xlpm.var))</f>
        <v>2.5574449528348282E-4</v>
      </c>
      <c r="V285" s="203">
        <f>_xlfn.BETA.INV(0.025, AD285, AE285)</f>
        <v>2.4054503150006314E-3</v>
      </c>
      <c r="X285" s="203">
        <f>_xlfn.BETA.INV(0.975, AD285, AE285)</f>
        <v>3.4072594087530828E-3</v>
      </c>
      <c r="AB285"/>
      <c r="AC285" s="20" t="s">
        <v>28</v>
      </c>
      <c r="AD285" s="54">
        <f t="shared" ref="AD285:AD286" si="32">(S285^2*(1-S285))/U285^2-S285</f>
        <v>126.88229950913623</v>
      </c>
      <c r="AE285" s="33">
        <f t="shared" ref="AE285:AE286" si="33">AD285*((1-S285)/S285)</f>
        <v>43853.795995331442</v>
      </c>
    </row>
    <row r="286" spans="1:31" ht="12" customHeight="1" outlineLevel="3" x14ac:dyDescent="0.25">
      <c r="A286" s="328"/>
      <c r="B286" s="384"/>
      <c r="C286" s="367"/>
      <c r="D286" s="412">
        <f>D285+10</f>
        <v>90</v>
      </c>
      <c r="G286" s="40" t="s">
        <v>89</v>
      </c>
      <c r="H286" s="40" t="s">
        <v>89</v>
      </c>
      <c r="I286" s="40" t="s">
        <v>752</v>
      </c>
      <c r="J286" s="40" t="s">
        <v>89</v>
      </c>
      <c r="K286" s="40" t="s">
        <v>89</v>
      </c>
      <c r="L286" s="170" t="s">
        <v>619</v>
      </c>
      <c r="M286" s="156">
        <f>O286</f>
        <v>4.1804686612078035E-3</v>
      </c>
      <c r="N286" s="441"/>
      <c r="O286" s="193" cm="1">
        <f t="array" ref="O286">vbratetoprob(M281*$M$282^2, C.cycleLength)</f>
        <v>4.1804686612078035E-3</v>
      </c>
      <c r="S286" s="203" cm="1">
        <f t="array" ref="S286">vbratetoprob(M281*$M$282^2, C.cycleLength)</f>
        <v>4.1804686612078035E-3</v>
      </c>
      <c r="T286" s="410"/>
      <c r="U286" s="203" cm="1">
        <f t="array" ref="U286">_xlfn.LET(_xlpm.r, M281*$M$283^2, _xlpm.t, C.cycleLength, _xlpm.deriv, _xlpm.t*EXP(-_xlpm.t*_xlpm.r), _xlpm.var, ((X281-V281)/2/_xlfn.NORM.S.INV(0.975))^2, SQRT(_xlpm.deriv^2*_xlpm.var))</f>
        <v>2.5574449528348282E-4</v>
      </c>
      <c r="V286" s="203">
        <f>_xlfn.BETA.INV(0.025, AD286, AE286)</f>
        <v>3.6941361166691342E-3</v>
      </c>
      <c r="X286" s="203">
        <f>_xlfn.BETA.INV(0.975, AD286, AE286)</f>
        <v>4.6963066307510459E-3</v>
      </c>
      <c r="AB286"/>
      <c r="AC286" s="20" t="s">
        <v>28</v>
      </c>
      <c r="AD286" s="54">
        <f t="shared" si="32"/>
        <v>266.07935044214196</v>
      </c>
      <c r="AE286" s="33">
        <f t="shared" si="33"/>
        <v>63382.13141386662</v>
      </c>
    </row>
    <row r="287" spans="1:31" ht="12" customHeight="1" outlineLevel="3" x14ac:dyDescent="0.25">
      <c r="A287" s="328"/>
      <c r="B287" s="384"/>
      <c r="C287" s="367"/>
      <c r="D287" s="412">
        <v>70</v>
      </c>
      <c r="G287" s="40" t="s">
        <v>89</v>
      </c>
      <c r="H287" s="40" t="s">
        <v>89</v>
      </c>
      <c r="I287" s="40" t="s">
        <v>752</v>
      </c>
      <c r="J287" s="40" t="s">
        <v>89</v>
      </c>
      <c r="K287" s="40" t="s">
        <v>89</v>
      </c>
      <c r="L287" s="170" t="s">
        <v>618</v>
      </c>
      <c r="M287" s="156">
        <f t="shared" si="31"/>
        <v>5.3851229588263161E-3</v>
      </c>
      <c r="N287" s="441"/>
      <c r="O287" s="193" cm="1">
        <f t="array" ref="O287">vbratetoprob(M281*M257, C.cycleLength)</f>
        <v>5.3851229588263161E-3</v>
      </c>
      <c r="AB287"/>
    </row>
    <row r="288" spans="1:31" ht="12" customHeight="1" outlineLevel="3" x14ac:dyDescent="0.25">
      <c r="A288" s="328"/>
      <c r="B288" s="384"/>
      <c r="C288" s="367"/>
      <c r="D288" s="412">
        <f>D287+10</f>
        <v>80</v>
      </c>
      <c r="G288" s="40" t="s">
        <v>89</v>
      </c>
      <c r="H288" s="40" t="s">
        <v>89</v>
      </c>
      <c r="I288" s="40" t="s">
        <v>752</v>
      </c>
      <c r="J288" s="40" t="s">
        <v>89</v>
      </c>
      <c r="K288" s="40" t="s">
        <v>89</v>
      </c>
      <c r="L288" s="170" t="s">
        <v>617</v>
      </c>
      <c r="M288" s="156">
        <f t="shared" si="31"/>
        <v>7.7989578271125959E-3</v>
      </c>
      <c r="N288" s="441"/>
      <c r="O288" s="193" cm="1">
        <f t="array" ref="O288">vbratetoprob(M281*M257*M282, C.cycleLength)</f>
        <v>7.7989578271125959E-3</v>
      </c>
      <c r="AB288"/>
    </row>
    <row r="289" spans="1:31" ht="12" customHeight="1" outlineLevel="3" x14ac:dyDescent="0.25">
      <c r="A289" s="328"/>
      <c r="B289" s="384"/>
      <c r="C289" s="367"/>
      <c r="D289" s="412">
        <f>D288+10</f>
        <v>90</v>
      </c>
      <c r="G289" s="40" t="s">
        <v>89</v>
      </c>
      <c r="H289" s="40" t="s">
        <v>89</v>
      </c>
      <c r="I289" s="40" t="s">
        <v>752</v>
      </c>
      <c r="J289" s="40" t="s">
        <v>89</v>
      </c>
      <c r="K289" s="40" t="s">
        <v>89</v>
      </c>
      <c r="L289" s="170" t="s">
        <v>616</v>
      </c>
      <c r="M289" s="156">
        <f t="shared" si="31"/>
        <v>1.1288616644244298E-2</v>
      </c>
      <c r="N289" s="441"/>
      <c r="O289" s="193" cm="1">
        <f t="array" ref="O289">vbratetoprob(M281*M257*M282^2, C.cycleLength)</f>
        <v>1.1288616644244298E-2</v>
      </c>
      <c r="AB289"/>
    </row>
    <row r="290" spans="1:31" ht="12" customHeight="1" outlineLevel="3" x14ac:dyDescent="0.25">
      <c r="A290" s="328"/>
      <c r="B290" s="384"/>
      <c r="C290" s="367"/>
      <c r="D290" s="412"/>
      <c r="G290" s="40" t="s">
        <v>89</v>
      </c>
      <c r="H290" s="40" t="s">
        <v>89</v>
      </c>
      <c r="I290" s="40" t="s">
        <v>89</v>
      </c>
      <c r="J290" s="40" t="s">
        <v>89</v>
      </c>
      <c r="K290" s="40" t="s">
        <v>89</v>
      </c>
      <c r="L290" t="s">
        <v>729</v>
      </c>
      <c r="M290"/>
      <c r="O290"/>
      <c r="AB290"/>
    </row>
    <row r="291" spans="1:31" ht="12" customHeight="1" outlineLevel="3" x14ac:dyDescent="0.25">
      <c r="A291" s="328"/>
      <c r="B291" s="384"/>
      <c r="C291" s="367"/>
      <c r="D291" s="412"/>
      <c r="G291" s="40" t="s">
        <v>89</v>
      </c>
      <c r="H291" s="40" t="s">
        <v>89</v>
      </c>
      <c r="I291" s="40" t="s">
        <v>752</v>
      </c>
      <c r="J291" s="40" t="s">
        <v>89</v>
      </c>
      <c r="K291" s="40" t="s">
        <v>89</v>
      </c>
      <c r="L291" s="104" t="s">
        <v>441</v>
      </c>
      <c r="M291" s="36">
        <f>O291</f>
        <v>2.1000000000000001E-2</v>
      </c>
      <c r="O291" s="193">
        <f>CHOOSE(swtchPSA, S291, AB291)</f>
        <v>2.1000000000000001E-2</v>
      </c>
      <c r="P291" s="11"/>
      <c r="S291" s="35">
        <v>2.1000000000000001E-2</v>
      </c>
      <c r="T291" s="18"/>
      <c r="U291" s="22">
        <f>(X291-V291) / 2 / _xlfn.NORM.S.INV(0.975)</f>
        <v>5.3572412977088693E-3</v>
      </c>
      <c r="V291" s="35">
        <v>1.2999999999999999E-2</v>
      </c>
      <c r="W291" s="18"/>
      <c r="X291" s="35">
        <v>3.4000000000000002E-2</v>
      </c>
      <c r="Y291" s="32" t="s">
        <v>615</v>
      </c>
      <c r="Z291" s="32"/>
      <c r="AA291" s="19">
        <f ca="1">RAND()</f>
        <v>0.33720549550666756</v>
      </c>
      <c r="AB291" s="21">
        <f ca="1">_xlfn.BETA.INV(AA291, AD291, AE291)</f>
        <v>1.8407780429893269E-2</v>
      </c>
      <c r="AC291" s="20" t="s">
        <v>28</v>
      </c>
      <c r="AD291" s="54">
        <f>(S291^2*(1-S291))/U291^2-S291</f>
        <v>15.02215274183818</v>
      </c>
      <c r="AE291" s="55">
        <f>AD291*((1-S291)/S291)</f>
        <v>700.3184540123608</v>
      </c>
    </row>
    <row r="292" spans="1:31" ht="12" customHeight="1" outlineLevel="3" x14ac:dyDescent="0.25">
      <c r="A292" s="328"/>
      <c r="B292" s="384"/>
      <c r="C292" s="367"/>
      <c r="D292" s="412"/>
      <c r="G292" s="40" t="s">
        <v>89</v>
      </c>
      <c r="H292" s="40" t="s">
        <v>89</v>
      </c>
      <c r="I292" s="40" t="s">
        <v>752</v>
      </c>
      <c r="J292" s="40" t="s">
        <v>89</v>
      </c>
      <c r="K292" s="40" t="s">
        <v>89</v>
      </c>
      <c r="L292" s="104" t="s">
        <v>614</v>
      </c>
      <c r="M292" s="36">
        <f>O292</f>
        <v>1.1599999999999999</v>
      </c>
      <c r="O292" s="193">
        <f>CHOOSE(swtchPSA, S292, AB292)</f>
        <v>1.1599999999999999</v>
      </c>
      <c r="P292" s="11"/>
      <c r="S292" s="35">
        <v>1.1599999999999999</v>
      </c>
      <c r="T292" s="18"/>
      <c r="U292" s="22">
        <f>(LN(X292)-LN(V292)) / 2/ _xlfn.NORM.S.INV(0.975)</f>
        <v>0.67286913457508413</v>
      </c>
      <c r="V292" s="35">
        <v>9.8000000000000004E-2</v>
      </c>
      <c r="W292" s="18"/>
      <c r="X292" s="35">
        <v>1.37</v>
      </c>
      <c r="Y292" s="32" t="s">
        <v>708</v>
      </c>
      <c r="Z292" s="15"/>
      <c r="AA292" s="19">
        <f ca="1">RAND()</f>
        <v>0.15522374955462459</v>
      </c>
      <c r="AB292" s="37">
        <f ca="1">_xlfn.LOGNORM.INV(AA292, AD292, AE292)</f>
        <v>0.58622004884954637</v>
      </c>
      <c r="AC292" s="20" t="s">
        <v>20</v>
      </c>
      <c r="AD292" s="27">
        <f>LN(S292)</f>
        <v>0.14842000511827322</v>
      </c>
      <c r="AE292" s="26">
        <f>U292</f>
        <v>0.67286913457508413</v>
      </c>
    </row>
    <row r="293" spans="1:31" ht="12" customHeight="1" outlineLevel="3" x14ac:dyDescent="0.25">
      <c r="A293" s="328"/>
      <c r="B293" s="384"/>
      <c r="C293" s="367"/>
      <c r="D293" s="412"/>
      <c r="G293" s="40" t="s">
        <v>89</v>
      </c>
      <c r="H293" s="40" t="s">
        <v>89</v>
      </c>
      <c r="I293" s="40" t="s">
        <v>89</v>
      </c>
      <c r="J293" s="40" t="s">
        <v>89</v>
      </c>
      <c r="K293" s="40" t="s">
        <v>89</v>
      </c>
      <c r="L293" s="104" t="s">
        <v>95</v>
      </c>
      <c r="M293"/>
      <c r="O293"/>
      <c r="AB293"/>
    </row>
    <row r="294" spans="1:31" ht="12" customHeight="1" outlineLevel="3" x14ac:dyDescent="0.25">
      <c r="A294" s="328"/>
      <c r="B294" s="384"/>
      <c r="C294" s="367"/>
      <c r="D294" s="412">
        <v>70</v>
      </c>
      <c r="G294" s="40" t="s">
        <v>89</v>
      </c>
      <c r="H294" s="40" t="s">
        <v>89</v>
      </c>
      <c r="I294" s="40" t="s">
        <v>752</v>
      </c>
      <c r="J294" s="40" t="s">
        <v>89</v>
      </c>
      <c r="K294" s="40" t="s">
        <v>89</v>
      </c>
      <c r="L294" s="170" t="s">
        <v>607</v>
      </c>
      <c r="M294" s="156">
        <f>O294</f>
        <v>2.1000000000000019E-2</v>
      </c>
      <c r="N294" s="445" t="s">
        <v>811</v>
      </c>
      <c r="O294" s="193" cm="1">
        <f t="array" ref="O294">vbratetoprob(vbProbToRate($M$291, (3/12)/C.cycleLength)*$M$292^0, 1)</f>
        <v>2.1000000000000019E-2</v>
      </c>
      <c r="P294" s="11"/>
      <c r="Q294" s="11"/>
      <c r="AB294"/>
    </row>
    <row r="295" spans="1:31" ht="12" customHeight="1" outlineLevel="3" x14ac:dyDescent="0.25">
      <c r="A295" s="328"/>
      <c r="B295" s="384"/>
      <c r="C295" s="367"/>
      <c r="D295" s="412">
        <f>D294+10</f>
        <v>80</v>
      </c>
      <c r="G295" s="40" t="s">
        <v>89</v>
      </c>
      <c r="H295" s="40" t="s">
        <v>89</v>
      </c>
      <c r="I295" s="40" t="s">
        <v>752</v>
      </c>
      <c r="J295" s="40" t="s">
        <v>89</v>
      </c>
      <c r="K295" s="40" t="s">
        <v>89</v>
      </c>
      <c r="L295" s="170" t="s">
        <v>606</v>
      </c>
      <c r="M295" s="156">
        <f>O295</f>
        <v>2.4318832209509145E-2</v>
      </c>
      <c r="N295" s="445"/>
      <c r="O295" s="193" cm="1">
        <f t="array" ref="O295">vbratetoprob(vbProbToRate($M$291, (3/12)/C.cycleLength)*$M$292^1, 1)</f>
        <v>2.4318832209509145E-2</v>
      </c>
      <c r="P295" s="11"/>
      <c r="Q295" s="11"/>
      <c r="AB295"/>
    </row>
    <row r="296" spans="1:31" ht="12" customHeight="1" outlineLevel="3" x14ac:dyDescent="0.25">
      <c r="A296" s="328"/>
      <c r="B296" s="384"/>
      <c r="C296" s="367"/>
      <c r="D296" s="412">
        <f>D295+10</f>
        <v>90</v>
      </c>
      <c r="G296" s="40" t="s">
        <v>89</v>
      </c>
      <c r="H296" s="40" t="s">
        <v>89</v>
      </c>
      <c r="I296" s="40" t="s">
        <v>752</v>
      </c>
      <c r="J296" s="40" t="s">
        <v>89</v>
      </c>
      <c r="K296" s="40" t="s">
        <v>89</v>
      </c>
      <c r="L296" s="170" t="s">
        <v>605</v>
      </c>
      <c r="M296" s="156">
        <f>O296</f>
        <v>2.8154584974608654E-2</v>
      </c>
      <c r="N296" s="445"/>
      <c r="O296" s="193" cm="1">
        <f t="array" ref="O296">vbratetoprob(vbProbToRate($M$291, (3/12)/C.cycleLength)*$M$292^2, 1)</f>
        <v>2.8154584974608654E-2</v>
      </c>
      <c r="P296" s="11"/>
      <c r="Q296" s="11"/>
      <c r="AB296"/>
    </row>
    <row r="297" spans="1:31" ht="12" customHeight="1" outlineLevel="3" x14ac:dyDescent="0.25">
      <c r="A297" s="328"/>
      <c r="B297" s="384"/>
      <c r="C297" s="367"/>
      <c r="D297" s="412"/>
      <c r="G297" s="40" t="s">
        <v>89</v>
      </c>
      <c r="H297" s="40" t="s">
        <v>89</v>
      </c>
      <c r="I297" s="40" t="s">
        <v>89</v>
      </c>
      <c r="J297" s="40" t="s">
        <v>89</v>
      </c>
      <c r="K297" s="40" t="s">
        <v>89</v>
      </c>
      <c r="L297" s="336" t="s">
        <v>569</v>
      </c>
      <c r="M297"/>
      <c r="O297"/>
      <c r="AB297"/>
    </row>
    <row r="298" spans="1:31" ht="12" customHeight="1" outlineLevel="3" x14ac:dyDescent="0.25">
      <c r="A298" s="328"/>
      <c r="B298" s="384"/>
      <c r="C298" s="367"/>
      <c r="D298" s="412"/>
      <c r="G298" s="40" t="s">
        <v>89</v>
      </c>
      <c r="H298" s="40" t="s">
        <v>89</v>
      </c>
      <c r="I298" s="40" t="s">
        <v>89</v>
      </c>
      <c r="J298" s="40" t="s">
        <v>89</v>
      </c>
      <c r="K298" s="40" t="s">
        <v>89</v>
      </c>
      <c r="L298" s="104" t="s">
        <v>613</v>
      </c>
      <c r="M298"/>
      <c r="O298"/>
      <c r="AB298"/>
    </row>
    <row r="299" spans="1:31" ht="12" customHeight="1" outlineLevel="3" x14ac:dyDescent="0.25">
      <c r="A299" s="328"/>
      <c r="B299" s="384"/>
      <c r="C299" s="367"/>
      <c r="D299" s="412"/>
      <c r="G299" s="40" t="s">
        <v>89</v>
      </c>
      <c r="H299" s="40" t="s">
        <v>89</v>
      </c>
      <c r="I299" s="40" t="s">
        <v>752</v>
      </c>
      <c r="J299" s="40" t="s">
        <v>89</v>
      </c>
      <c r="K299" s="40" t="s">
        <v>89</v>
      </c>
      <c r="L299" s="170" t="s">
        <v>612</v>
      </c>
      <c r="M299" s="150">
        <f>O299</f>
        <v>2.6600000000000002E-2</v>
      </c>
      <c r="O299" s="53">
        <f t="shared" ref="O299:O302" si="34">S299</f>
        <v>2.6600000000000002E-2</v>
      </c>
      <c r="P299" s="11"/>
      <c r="Q299" s="334">
        <f>R299/S299</f>
        <v>6428.5714285714284</v>
      </c>
      <c r="R299" s="14">
        <v>171</v>
      </c>
      <c r="S299" s="144">
        <f>2.66/100</f>
        <v>2.6600000000000002E-2</v>
      </c>
      <c r="T299" s="204"/>
      <c r="U299" s="93">
        <f>1/SQRT(R299)</f>
        <v>7.6471911290187253E-2</v>
      </c>
      <c r="V299" s="93">
        <f>vbRateCILo(Q299, R299, 0)</f>
        <v>2.2762449709685575E-2</v>
      </c>
      <c r="W299" s="204"/>
      <c r="X299" s="93">
        <f>vbRateCIhi(Q299, R299, 0)</f>
        <v>3.0899298298165956E-2</v>
      </c>
      <c r="Y299" s="32" t="s">
        <v>610</v>
      </c>
      <c r="Z299" s="15"/>
      <c r="AB299"/>
    </row>
    <row r="300" spans="1:31" ht="12" customHeight="1" outlineLevel="3" x14ac:dyDescent="0.25">
      <c r="A300" s="328"/>
      <c r="B300" s="384"/>
      <c r="C300" s="367"/>
      <c r="D300" s="412"/>
      <c r="G300" s="40" t="s">
        <v>89</v>
      </c>
      <c r="H300" s="40" t="s">
        <v>89</v>
      </c>
      <c r="I300" s="40" t="s">
        <v>752</v>
      </c>
      <c r="J300" s="40" t="s">
        <v>89</v>
      </c>
      <c r="K300" s="40" t="s">
        <v>89</v>
      </c>
      <c r="L300" s="170" t="s">
        <v>611</v>
      </c>
      <c r="M300" s="150">
        <f>O300</f>
        <v>2.7099999999999999E-2</v>
      </c>
      <c r="O300" s="53">
        <f t="shared" si="34"/>
        <v>2.7099999999999999E-2</v>
      </c>
      <c r="P300" s="11"/>
      <c r="Q300" s="334">
        <f>R300/S300</f>
        <v>6346.8634686346868</v>
      </c>
      <c r="R300" s="14">
        <v>172</v>
      </c>
      <c r="S300" s="144">
        <f>2.71/100</f>
        <v>2.7099999999999999E-2</v>
      </c>
      <c r="T300" s="204"/>
      <c r="U300" s="93">
        <f>1/SQRT(R300)</f>
        <v>7.6249285166302333E-2</v>
      </c>
      <c r="V300" s="93">
        <f>vbRateCILo(Q300, R300, 0)</f>
        <v>2.3201250019016541E-2</v>
      </c>
      <c r="W300" s="204"/>
      <c r="X300" s="93">
        <f>vbRateCIhi(Q300, R300, 0)</f>
        <v>3.1466408870722253E-2</v>
      </c>
      <c r="Y300" s="32" t="s">
        <v>610</v>
      </c>
      <c r="Z300" s="15"/>
      <c r="AB300"/>
    </row>
    <row r="301" spans="1:31" ht="12" customHeight="1" outlineLevel="3" x14ac:dyDescent="0.25">
      <c r="A301" s="328"/>
      <c r="B301" s="384"/>
      <c r="C301" s="367"/>
      <c r="D301" s="412"/>
      <c r="G301" s="40" t="s">
        <v>89</v>
      </c>
      <c r="H301" s="40" t="s">
        <v>89</v>
      </c>
      <c r="I301" s="40" t="s">
        <v>752</v>
      </c>
      <c r="J301" s="40" t="s">
        <v>89</v>
      </c>
      <c r="K301" s="40" t="s">
        <v>89</v>
      </c>
      <c r="L301" s="335" t="s">
        <v>609</v>
      </c>
      <c r="M301" s="150">
        <f>O301</f>
        <v>2.2599999999999999E-2</v>
      </c>
      <c r="O301" s="53">
        <f t="shared" si="34"/>
        <v>2.2599999999999999E-2</v>
      </c>
      <c r="P301" s="11"/>
      <c r="Q301" s="334">
        <f>R301/S301</f>
        <v>2964.6017699115046</v>
      </c>
      <c r="R301" s="14">
        <v>67</v>
      </c>
      <c r="S301" s="144">
        <f>2.26/100</f>
        <v>2.2599999999999999E-2</v>
      </c>
      <c r="T301" s="204"/>
      <c r="U301" s="93">
        <f>1/SQRT(R301)</f>
        <v>0.12216944435630522</v>
      </c>
      <c r="V301" s="93">
        <f>vbRateCILo(Q301, R301, 0)</f>
        <v>1.751468957894824E-2</v>
      </c>
      <c r="W301" s="204"/>
      <c r="X301" s="93">
        <f>vbRateCIhi(Q301, R301, 0)</f>
        <v>2.8701201116241748E-2</v>
      </c>
      <c r="Y301" s="32"/>
      <c r="Z301" s="15"/>
      <c r="AB301"/>
    </row>
    <row r="302" spans="1:31" ht="12" customHeight="1" outlineLevel="3" x14ac:dyDescent="0.25">
      <c r="A302" s="328"/>
      <c r="B302" s="384"/>
      <c r="C302" s="367"/>
      <c r="D302" s="412"/>
      <c r="G302" s="40" t="s">
        <v>89</v>
      </c>
      <c r="H302" s="40" t="s">
        <v>89</v>
      </c>
      <c r="I302" s="40" t="s">
        <v>752</v>
      </c>
      <c r="J302" s="40" t="s">
        <v>89</v>
      </c>
      <c r="K302" s="40" t="s">
        <v>89</v>
      </c>
      <c r="L302" s="335" t="s">
        <v>608</v>
      </c>
      <c r="M302" s="150">
        <f>O302</f>
        <v>3.1699999999999999E-2</v>
      </c>
      <c r="O302" s="53">
        <f t="shared" si="34"/>
        <v>3.1699999999999999E-2</v>
      </c>
      <c r="P302" s="11"/>
      <c r="Q302" s="334">
        <f>R302/S302</f>
        <v>3028.3911671924293</v>
      </c>
      <c r="R302" s="14">
        <v>96</v>
      </c>
      <c r="S302" s="144">
        <f>3.17/100</f>
        <v>3.1699999999999999E-2</v>
      </c>
      <c r="T302" s="204"/>
      <c r="U302" s="93">
        <f>1/SQRT(R302)</f>
        <v>0.10206207261596577</v>
      </c>
      <c r="V302" s="93">
        <f>vbRateCILo(Q302, R302, 0)</f>
        <v>2.5677101775159625E-2</v>
      </c>
      <c r="W302" s="204"/>
      <c r="X302" s="93">
        <f>vbRateCIhi(Q302, R302, 0)</f>
        <v>3.8711125652903258E-2</v>
      </c>
      <c r="Y302" s="32"/>
      <c r="Z302" s="15"/>
      <c r="AB302"/>
    </row>
    <row r="303" spans="1:31" ht="12" customHeight="1" outlineLevel="3" x14ac:dyDescent="0.25">
      <c r="A303" s="328"/>
      <c r="B303" s="384"/>
      <c r="C303" s="367"/>
      <c r="D303" s="412"/>
      <c r="G303" s="40" t="s">
        <v>89</v>
      </c>
      <c r="H303" s="40" t="s">
        <v>89</v>
      </c>
      <c r="I303" s="40" t="s">
        <v>752</v>
      </c>
      <c r="J303" s="40" t="s">
        <v>89</v>
      </c>
      <c r="K303" s="40" t="s">
        <v>89</v>
      </c>
      <c r="L303" s="170" t="s">
        <v>586</v>
      </c>
      <c r="M303" s="156">
        <f>O303</f>
        <v>2.7083969569805719E-2</v>
      </c>
      <c r="O303" s="193">
        <f>CHOOSE(swtchPSA, S303, AB303)</f>
        <v>2.7083969569805719E-2</v>
      </c>
      <c r="S303" s="93" cm="1">
        <f t="array" ref="S303:X303">_fnMETA.EM(S299:S302, U299:U302, TRUE, TRUE, FALSE)</f>
        <v>2.7083969569805719E-2</v>
      </c>
      <c r="T303" t="str">
        <v/>
      </c>
      <c r="U303" s="93">
        <v>4.4455422447438706E-2</v>
      </c>
      <c r="V303" s="93">
        <v>2.4824001738013891E-2</v>
      </c>
      <c r="W303" t="str">
        <v/>
      </c>
      <c r="X303" s="93">
        <v>2.954968402757013E-2</v>
      </c>
      <c r="AA303" s="19">
        <f ca="1">RAND()</f>
        <v>0.6931110188391737</v>
      </c>
      <c r="AB303" s="102">
        <f ca="1">_xlfn.LOGNORM.INV(AA303, AD303, AE303)</f>
        <v>2.7698496787342951E-2</v>
      </c>
      <c r="AC303" s="15" t="s">
        <v>20</v>
      </c>
      <c r="AD303" s="27">
        <f>LN(S303)</f>
        <v>-3.6088132549081169</v>
      </c>
      <c r="AE303" s="26">
        <f>U303</f>
        <v>4.4455422447438706E-2</v>
      </c>
    </row>
    <row r="304" spans="1:31" ht="12" customHeight="1" outlineLevel="3" x14ac:dyDescent="0.25">
      <c r="A304" s="328"/>
      <c r="B304" s="384"/>
      <c r="C304" s="367"/>
      <c r="D304" s="412"/>
      <c r="G304" s="40" t="s">
        <v>89</v>
      </c>
      <c r="H304" s="40" t="s">
        <v>89</v>
      </c>
      <c r="I304" s="40" t="s">
        <v>89</v>
      </c>
      <c r="J304" s="40" t="s">
        <v>89</v>
      </c>
      <c r="K304" s="40" t="s">
        <v>89</v>
      </c>
      <c r="L304" s="104" t="s">
        <v>95</v>
      </c>
      <c r="M304"/>
      <c r="O304"/>
      <c r="AB304"/>
    </row>
    <row r="305" spans="1:28" ht="12" customHeight="1" outlineLevel="3" x14ac:dyDescent="0.25">
      <c r="A305" s="328"/>
      <c r="B305" s="384"/>
      <c r="C305" s="367"/>
      <c r="D305" s="412">
        <v>70</v>
      </c>
      <c r="G305" s="40" t="s">
        <v>89</v>
      </c>
      <c r="H305" s="40" t="s">
        <v>89</v>
      </c>
      <c r="I305" s="40" t="s">
        <v>752</v>
      </c>
      <c r="J305" s="40" t="s">
        <v>89</v>
      </c>
      <c r="K305" s="40" t="s">
        <v>89</v>
      </c>
      <c r="L305" s="170" t="s">
        <v>607</v>
      </c>
      <c r="M305" s="156">
        <f>O305</f>
        <v>6.7481208735362674E-3</v>
      </c>
      <c r="N305" s="445" t="s">
        <v>810</v>
      </c>
      <c r="O305" s="193">
        <f>_xlfn.SINGLE(vbratetoprob($M$303*$M$282^0,_xlfn.SINGLE( C.cycleLength)))</f>
        <v>6.7481208735362674E-3</v>
      </c>
      <c r="AB305"/>
    </row>
    <row r="306" spans="1:28" ht="12" customHeight="1" outlineLevel="3" x14ac:dyDescent="0.25">
      <c r="A306" s="328"/>
      <c r="B306" s="384"/>
      <c r="C306" s="367"/>
      <c r="D306" s="412">
        <f>D305+10</f>
        <v>80</v>
      </c>
      <c r="G306" s="40" t="s">
        <v>89</v>
      </c>
      <c r="H306" s="40" t="s">
        <v>89</v>
      </c>
      <c r="I306" s="40" t="s">
        <v>752</v>
      </c>
      <c r="J306" s="40" t="s">
        <v>89</v>
      </c>
      <c r="K306" s="40" t="s">
        <v>89</v>
      </c>
      <c r="L306" s="170" t="s">
        <v>606</v>
      </c>
      <c r="M306" s="156">
        <f>O306</f>
        <v>9.7699003482121238E-3</v>
      </c>
      <c r="N306" s="445"/>
      <c r="O306" s="193">
        <f>_xlfn.SINGLE(vbratetoprob($M$303*$M$282^1,_xlfn.SINGLE( C.cycleLength)))</f>
        <v>9.7699003482121238E-3</v>
      </c>
      <c r="AB306"/>
    </row>
    <row r="307" spans="1:28" ht="12" customHeight="1" outlineLevel="3" thickBot="1" x14ac:dyDescent="0.3">
      <c r="A307" s="328"/>
      <c r="B307" s="384"/>
      <c r="C307" s="367"/>
      <c r="D307" s="412">
        <f>D306+10</f>
        <v>90</v>
      </c>
      <c r="G307" s="40" t="s">
        <v>89</v>
      </c>
      <c r="H307" s="40" t="s">
        <v>89</v>
      </c>
      <c r="I307" s="40" t="s">
        <v>752</v>
      </c>
      <c r="J307" s="40" t="s">
        <v>89</v>
      </c>
      <c r="K307" s="40" t="s">
        <v>89</v>
      </c>
      <c r="L307" s="170" t="s">
        <v>605</v>
      </c>
      <c r="M307" s="156">
        <f>O307</f>
        <v>1.4135158641402246E-2</v>
      </c>
      <c r="N307" s="445"/>
      <c r="O307" s="193">
        <f>_xlfn.SINGLE(vbratetoprob($M$303*$M$282^2,_xlfn.SINGLE( C.cycleLength)))</f>
        <v>1.4135158641402246E-2</v>
      </c>
      <c r="AB307"/>
    </row>
    <row r="308" spans="1:28" s="110" customFormat="1" ht="12" customHeight="1" outlineLevel="2" thickBot="1" x14ac:dyDescent="0.3">
      <c r="A308" s="328"/>
      <c r="B308" s="384"/>
      <c r="C308" s="367"/>
      <c r="D308" s="112"/>
      <c r="G308" s="112" t="s">
        <v>89</v>
      </c>
      <c r="H308" s="112" t="s">
        <v>89</v>
      </c>
      <c r="I308" s="112" t="s">
        <v>89</v>
      </c>
      <c r="J308" s="112" t="s">
        <v>89</v>
      </c>
      <c r="K308" s="112" t="s">
        <v>89</v>
      </c>
      <c r="L308" s="110" t="s">
        <v>379</v>
      </c>
    </row>
    <row r="309" spans="1:28" ht="12" customHeight="1" outlineLevel="3" x14ac:dyDescent="0.25">
      <c r="A309" s="328"/>
      <c r="B309" s="384"/>
      <c r="C309" s="367"/>
      <c r="D309" s="412"/>
      <c r="G309" s="40" t="s">
        <v>89</v>
      </c>
      <c r="H309" s="40" t="s">
        <v>89</v>
      </c>
      <c r="I309" s="40" t="s">
        <v>89</v>
      </c>
      <c r="J309" s="40" t="s">
        <v>89</v>
      </c>
      <c r="K309" s="40" t="s">
        <v>89</v>
      </c>
      <c r="L309" t="s">
        <v>146</v>
      </c>
      <c r="M309"/>
      <c r="O309"/>
      <c r="AB309"/>
    </row>
    <row r="310" spans="1:28" ht="12" customHeight="1" outlineLevel="3" x14ac:dyDescent="0.25">
      <c r="A310" s="328"/>
      <c r="B310" s="384"/>
      <c r="C310" s="367"/>
      <c r="D310" s="412"/>
      <c r="G310" s="40" t="s">
        <v>89</v>
      </c>
      <c r="H310" s="40" t="s">
        <v>89</v>
      </c>
      <c r="I310" s="40" t="s">
        <v>89</v>
      </c>
      <c r="J310" s="40" t="s">
        <v>89</v>
      </c>
      <c r="K310" s="40" t="s">
        <v>89</v>
      </c>
      <c r="L310" s="104" t="s">
        <v>271</v>
      </c>
      <c r="M310" s="77"/>
      <c r="O310"/>
      <c r="AB310"/>
    </row>
    <row r="311" spans="1:28" ht="12" customHeight="1" outlineLevel="3" x14ac:dyDescent="0.25">
      <c r="A311" s="328"/>
      <c r="B311" s="384"/>
      <c r="C311" s="367"/>
      <c r="D311" s="412">
        <v>70</v>
      </c>
      <c r="G311" s="40" t="s">
        <v>89</v>
      </c>
      <c r="H311" s="40" t="s">
        <v>89</v>
      </c>
      <c r="I311" s="40" t="s">
        <v>752</v>
      </c>
      <c r="J311" s="40" t="s">
        <v>89</v>
      </c>
      <c r="K311" s="40" t="s">
        <v>89</v>
      </c>
      <c r="L311" s="198" t="str">
        <f>D311&amp;"-"&amp;D311+4</f>
        <v>70-74</v>
      </c>
      <c r="M311" s="22">
        <f>O311</f>
        <v>1.9177791825152446E-2</v>
      </c>
      <c r="O311" s="11">
        <f>SUM(Parameters!M23*C.cohortSex, Parameters!M32*(1-C.cohortSex))</f>
        <v>1.9177791825152446E-2</v>
      </c>
      <c r="P311" s="11"/>
    </row>
    <row r="312" spans="1:28" ht="12" customHeight="1" outlineLevel="3" x14ac:dyDescent="0.25">
      <c r="A312" s="328"/>
      <c r="B312" s="384"/>
      <c r="C312" s="367"/>
      <c r="D312" s="412">
        <f>D311+5</f>
        <v>75</v>
      </c>
      <c r="G312" s="40" t="s">
        <v>89</v>
      </c>
      <c r="H312" s="40" t="s">
        <v>89</v>
      </c>
      <c r="I312" s="40" t="s">
        <v>752</v>
      </c>
      <c r="J312" s="40" t="s">
        <v>89</v>
      </c>
      <c r="K312" s="40" t="s">
        <v>89</v>
      </c>
      <c r="L312" s="198" t="str">
        <f>D312&amp;"-"&amp;D312+4</f>
        <v>75-79</v>
      </c>
      <c r="M312" s="22">
        <f>O312</f>
        <v>3.3902424802270126E-2</v>
      </c>
      <c r="O312" s="11">
        <f>SUM(Parameters!M24*C.cohortSex, Parameters!M33*(1-C.cohortSex))</f>
        <v>3.3902424802270126E-2</v>
      </c>
      <c r="P312" s="11"/>
    </row>
    <row r="313" spans="1:28" ht="12" customHeight="1" outlineLevel="3" x14ac:dyDescent="0.25">
      <c r="A313" s="328"/>
      <c r="B313" s="384"/>
      <c r="C313" s="367"/>
      <c r="D313" s="412">
        <f>D312+5</f>
        <v>80</v>
      </c>
      <c r="G313" s="40" t="s">
        <v>89</v>
      </c>
      <c r="H313" s="40" t="s">
        <v>89</v>
      </c>
      <c r="I313" s="40" t="s">
        <v>752</v>
      </c>
      <c r="J313" s="40" t="s">
        <v>89</v>
      </c>
      <c r="K313" s="40" t="s">
        <v>89</v>
      </c>
      <c r="L313" s="198" t="str">
        <f>D313&amp;"-"&amp;D313+4</f>
        <v>80-84</v>
      </c>
      <c r="M313" s="22">
        <f>O313</f>
        <v>6.0118953088208651E-2</v>
      </c>
      <c r="O313" s="11">
        <f>SUM(Parameters!M25*C.cohortSex, Parameters!M34*(1-C.cohortSex))</f>
        <v>6.0118953088208651E-2</v>
      </c>
      <c r="P313" s="11"/>
    </row>
    <row r="314" spans="1:28" ht="12" customHeight="1" outlineLevel="3" x14ac:dyDescent="0.25">
      <c r="A314" s="328"/>
      <c r="B314" s="384"/>
      <c r="C314" s="367"/>
      <c r="D314" s="412">
        <f>D313+5</f>
        <v>85</v>
      </c>
      <c r="G314" s="40" t="s">
        <v>89</v>
      </c>
      <c r="H314" s="40" t="s">
        <v>89</v>
      </c>
      <c r="I314" s="40" t="s">
        <v>752</v>
      </c>
      <c r="J314" s="40" t="s">
        <v>89</v>
      </c>
      <c r="K314" s="40" t="s">
        <v>89</v>
      </c>
      <c r="L314" s="198" t="str">
        <f>D314&amp;"-"&amp;D314+4</f>
        <v>85-89</v>
      </c>
      <c r="M314" s="22">
        <f>O314</f>
        <v>0.11279885081205096</v>
      </c>
      <c r="O314" s="11">
        <f>SUM(Parameters!M26*C.cohortSex, Parameters!M35*(1-C.cohortSex))</f>
        <v>0.11279885081205096</v>
      </c>
      <c r="P314" s="11"/>
    </row>
    <row r="315" spans="1:28" ht="12" customHeight="1" outlineLevel="3" x14ac:dyDescent="0.25">
      <c r="A315" s="328"/>
      <c r="B315" s="384"/>
      <c r="C315" s="367"/>
      <c r="D315" s="412">
        <f>D314+5</f>
        <v>90</v>
      </c>
      <c r="G315" s="40" t="s">
        <v>89</v>
      </c>
      <c r="H315" s="40" t="s">
        <v>89</v>
      </c>
      <c r="I315" s="40" t="s">
        <v>752</v>
      </c>
      <c r="J315" s="40" t="s">
        <v>89</v>
      </c>
      <c r="K315" s="40" t="s">
        <v>89</v>
      </c>
      <c r="L315" s="198" t="str">
        <f>D315&amp;"+"</f>
        <v>90+</v>
      </c>
      <c r="M315" s="22">
        <f>O315</f>
        <v>0.22616595369196402</v>
      </c>
      <c r="O315" s="11">
        <f>SUM(Parameters!M27*C.cohortSex, Parameters!M36*(1-C.cohortSex))</f>
        <v>0.22616595369196402</v>
      </c>
      <c r="P315" s="11"/>
    </row>
    <row r="316" spans="1:28" ht="12" customHeight="1" outlineLevel="3" x14ac:dyDescent="0.25">
      <c r="A316" s="328"/>
      <c r="B316" s="384"/>
      <c r="C316" s="367"/>
      <c r="D316" s="412"/>
      <c r="G316" s="40" t="s">
        <v>89</v>
      </c>
      <c r="H316" s="40" t="s">
        <v>89</v>
      </c>
      <c r="I316" s="40" t="s">
        <v>89</v>
      </c>
      <c r="J316" s="40" t="s">
        <v>89</v>
      </c>
      <c r="K316" s="40" t="s">
        <v>89</v>
      </c>
      <c r="L316" s="104" t="s">
        <v>95</v>
      </c>
      <c r="M316" s="77"/>
      <c r="O316"/>
      <c r="AB316"/>
    </row>
    <row r="317" spans="1:28" ht="12" customHeight="1" outlineLevel="3" x14ac:dyDescent="0.25">
      <c r="A317" s="328"/>
      <c r="B317" s="384"/>
      <c r="C317" s="367"/>
      <c r="D317" s="412">
        <v>70</v>
      </c>
      <c r="G317" s="40" t="s">
        <v>89</v>
      </c>
      <c r="H317" s="40" t="s">
        <v>89</v>
      </c>
      <c r="I317" s="40" t="s">
        <v>752</v>
      </c>
      <c r="J317" s="40" t="s">
        <v>89</v>
      </c>
      <c r="K317" s="40" t="s">
        <v>89</v>
      </c>
      <c r="L317" s="198" t="str">
        <f>D317&amp;"-"&amp;D317+4</f>
        <v>70-74</v>
      </c>
      <c r="M317" s="22">
        <f>O317</f>
        <v>4.7829729368046303E-3</v>
      </c>
      <c r="O317" s="11" cm="1">
        <f t="array" ref="O317">vbratetoprob(M311, C.cycleLength)</f>
        <v>4.7829729368046303E-3</v>
      </c>
      <c r="P317" s="11"/>
    </row>
    <row r="318" spans="1:28" ht="12" customHeight="1" outlineLevel="3" x14ac:dyDescent="0.25">
      <c r="A318" s="328"/>
      <c r="B318" s="384"/>
      <c r="C318" s="367"/>
      <c r="D318" s="412">
        <f>D317+5</f>
        <v>75</v>
      </c>
      <c r="G318" s="40" t="s">
        <v>89</v>
      </c>
      <c r="H318" s="40" t="s">
        <v>89</v>
      </c>
      <c r="I318" s="40" t="s">
        <v>752</v>
      </c>
      <c r="J318" s="40" t="s">
        <v>89</v>
      </c>
      <c r="K318" s="40" t="s">
        <v>89</v>
      </c>
      <c r="L318" s="198" t="str">
        <f>D318&amp;"-"&amp;D318+4</f>
        <v>75-79</v>
      </c>
      <c r="M318" s="22">
        <f>O318</f>
        <v>8.4397895111486543E-3</v>
      </c>
      <c r="O318" s="11" cm="1">
        <f t="array" ref="O318">vbratetoprob(M312, C.cycleLength)</f>
        <v>8.4397895111486543E-3</v>
      </c>
      <c r="P318" s="11"/>
    </row>
    <row r="319" spans="1:28" ht="12" customHeight="1" outlineLevel="3" x14ac:dyDescent="0.25">
      <c r="A319" s="328"/>
      <c r="B319" s="384"/>
      <c r="C319" s="367"/>
      <c r="D319" s="412">
        <f>D318+5</f>
        <v>80</v>
      </c>
      <c r="G319" s="40" t="s">
        <v>89</v>
      </c>
      <c r="H319" s="40" t="s">
        <v>89</v>
      </c>
      <c r="I319" s="40" t="s">
        <v>752</v>
      </c>
      <c r="J319" s="40" t="s">
        <v>89</v>
      </c>
      <c r="K319" s="40" t="s">
        <v>89</v>
      </c>
      <c r="L319" s="198" t="str">
        <f>D319&amp;"-"&amp;D319+4</f>
        <v>80-84</v>
      </c>
      <c r="M319" s="22">
        <f>O319</f>
        <v>1.4917355488204276E-2</v>
      </c>
      <c r="O319" s="11" cm="1">
        <f t="array" ref="O319">vbratetoprob(M313, C.cycleLength)</f>
        <v>1.4917355488204276E-2</v>
      </c>
      <c r="P319" s="11"/>
    </row>
    <row r="320" spans="1:28" ht="12" customHeight="1" outlineLevel="3" x14ac:dyDescent="0.25">
      <c r="A320" s="328"/>
      <c r="B320" s="384"/>
      <c r="C320" s="367"/>
      <c r="D320" s="412">
        <f>D319+5</f>
        <v>85</v>
      </c>
      <c r="G320" s="40" t="s">
        <v>89</v>
      </c>
      <c r="H320" s="40" t="s">
        <v>89</v>
      </c>
      <c r="I320" s="40" t="s">
        <v>752</v>
      </c>
      <c r="J320" s="40" t="s">
        <v>89</v>
      </c>
      <c r="K320" s="40" t="s">
        <v>89</v>
      </c>
      <c r="L320" s="198" t="str">
        <f>D320&amp;"-"&amp;D320+4</f>
        <v>85-89</v>
      </c>
      <c r="M320" s="22">
        <f>O320</f>
        <v>2.780581211722144E-2</v>
      </c>
      <c r="O320" s="11" cm="1">
        <f t="array" ref="O320">vbratetoprob(M314, C.cycleLength)</f>
        <v>2.780581211722144E-2</v>
      </c>
      <c r="P320" s="11"/>
    </row>
    <row r="321" spans="1:31" ht="12" customHeight="1" outlineLevel="3" x14ac:dyDescent="0.25">
      <c r="A321" s="328"/>
      <c r="B321" s="384"/>
      <c r="C321" s="367"/>
      <c r="D321" s="412">
        <f>D320+5</f>
        <v>90</v>
      </c>
      <c r="G321" s="40" t="s">
        <v>89</v>
      </c>
      <c r="H321" s="40" t="s">
        <v>89</v>
      </c>
      <c r="I321" s="40" t="s">
        <v>752</v>
      </c>
      <c r="J321" s="40" t="s">
        <v>89</v>
      </c>
      <c r="K321" s="40" t="s">
        <v>89</v>
      </c>
      <c r="L321" s="198" t="str">
        <f>D321&amp;"+"</f>
        <v>90+</v>
      </c>
      <c r="M321" s="22">
        <f>O321</f>
        <v>5.4972724009561436E-2</v>
      </c>
      <c r="O321" s="11" cm="1">
        <f t="array" ref="O321">vbratetoprob(M315, C.cycleLength)</f>
        <v>5.4972724009561436E-2</v>
      </c>
      <c r="P321" s="11"/>
    </row>
    <row r="322" spans="1:31" ht="12" customHeight="1" outlineLevel="3" x14ac:dyDescent="0.25">
      <c r="A322" s="328"/>
      <c r="B322" s="384"/>
      <c r="C322" s="367"/>
      <c r="D322" s="412" t="s">
        <v>668</v>
      </c>
      <c r="G322" s="40" t="s">
        <v>89</v>
      </c>
      <c r="H322" s="40" t="s">
        <v>89</v>
      </c>
      <c r="I322" s="40" t="s">
        <v>89</v>
      </c>
      <c r="J322" s="40" t="s">
        <v>89</v>
      </c>
      <c r="K322" s="40" t="s">
        <v>89</v>
      </c>
      <c r="L322" t="s">
        <v>604</v>
      </c>
      <c r="M322"/>
      <c r="O322"/>
      <c r="AB322"/>
    </row>
    <row r="323" spans="1:31" ht="12" customHeight="1" outlineLevel="3" x14ac:dyDescent="0.25">
      <c r="A323" s="328"/>
      <c r="B323" s="384"/>
      <c r="C323" s="367"/>
      <c r="D323" s="412"/>
      <c r="G323" s="40" t="s">
        <v>89</v>
      </c>
      <c r="H323" s="40" t="s">
        <v>89</v>
      </c>
      <c r="I323" s="40" t="s">
        <v>752</v>
      </c>
      <c r="J323" s="40" t="s">
        <v>89</v>
      </c>
      <c r="K323" s="40" t="s">
        <v>89</v>
      </c>
      <c r="L323" s="104" t="s">
        <v>603</v>
      </c>
      <c r="M323" s="36">
        <f>O323</f>
        <v>4.6300000000000001E-2</v>
      </c>
      <c r="O323" s="11">
        <f>CHOOSE(swtchPSA, S323, AB323)</f>
        <v>4.6300000000000001E-2</v>
      </c>
      <c r="P323" s="11"/>
      <c r="S323" s="35">
        <v>4.6300000000000001E-2</v>
      </c>
      <c r="T323" s="18"/>
      <c r="U323" s="22">
        <f>(LN(X323)-LN(V323)) / 2/ _xlfn.NORM.S.INV(0.975)</f>
        <v>7.3389632340436051E-2</v>
      </c>
      <c r="V323" s="35">
        <v>3.9899999999999998E-2</v>
      </c>
      <c r="W323" s="18"/>
      <c r="X323" s="35">
        <v>5.3199999999999997E-2</v>
      </c>
      <c r="Y323" s="32" t="s">
        <v>602</v>
      </c>
      <c r="Z323" s="32"/>
      <c r="AA323" s="19">
        <f ca="1">RAND()</f>
        <v>0.79980666360860575</v>
      </c>
      <c r="AB323" s="37">
        <f ca="1">_xlfn.LOGNORM.INV(AA323, AD323, AE323)</f>
        <v>4.9247448896695453E-2</v>
      </c>
      <c r="AC323" s="20" t="s">
        <v>20</v>
      </c>
      <c r="AD323" s="27">
        <f>LN(S323)</f>
        <v>-3.0726133178899486</v>
      </c>
      <c r="AE323" s="26">
        <f>U323</f>
        <v>7.3389632340436051E-2</v>
      </c>
    </row>
    <row r="324" spans="1:31" ht="12" customHeight="1" outlineLevel="3" x14ac:dyDescent="0.25">
      <c r="A324" s="328"/>
      <c r="B324" s="384"/>
      <c r="C324" s="367"/>
      <c r="D324" s="412"/>
      <c r="G324" s="40" t="s">
        <v>89</v>
      </c>
      <c r="H324" s="40" t="s">
        <v>89</v>
      </c>
      <c r="I324" s="40" t="s">
        <v>89</v>
      </c>
      <c r="J324" s="40" t="s">
        <v>89</v>
      </c>
      <c r="K324" s="40" t="s">
        <v>89</v>
      </c>
      <c r="L324" s="104" t="s">
        <v>95</v>
      </c>
      <c r="M324"/>
      <c r="O324"/>
      <c r="AB324"/>
    </row>
    <row r="325" spans="1:31" ht="12" customHeight="1" outlineLevel="3" x14ac:dyDescent="0.25">
      <c r="A325" s="328"/>
      <c r="B325" s="384"/>
      <c r="C325" s="367"/>
      <c r="D325" s="412">
        <v>70</v>
      </c>
      <c r="G325" s="40" t="s">
        <v>89</v>
      </c>
      <c r="H325" s="40" t="s">
        <v>89</v>
      </c>
      <c r="I325" s="40" t="s">
        <v>752</v>
      </c>
      <c r="J325" s="40" t="s">
        <v>89</v>
      </c>
      <c r="K325" s="40" t="s">
        <v>89</v>
      </c>
      <c r="L325" s="198" t="str">
        <f>D325&amp;"-"&amp;D325+4</f>
        <v>70-74</v>
      </c>
      <c r="M325" s="156">
        <f>O325</f>
        <v>1.1508267412233542E-2</v>
      </c>
      <c r="N325" s="445" t="s">
        <v>802</v>
      </c>
      <c r="O325" s="11" cm="1">
        <f t="array" ref="O325">vbratetoprob($M$323*M317/$M$317, C.cycleLength)</f>
        <v>1.1508267412233542E-2</v>
      </c>
      <c r="P325" s="11"/>
      <c r="AB325"/>
    </row>
    <row r="326" spans="1:31" ht="12" customHeight="1" outlineLevel="3" x14ac:dyDescent="0.25">
      <c r="A326" s="328"/>
      <c r="B326" s="384"/>
      <c r="C326" s="367"/>
      <c r="D326" s="412">
        <f>D325+5</f>
        <v>75</v>
      </c>
      <c r="G326" s="40" t="s">
        <v>89</v>
      </c>
      <c r="H326" s="40" t="s">
        <v>89</v>
      </c>
      <c r="I326" s="40" t="s">
        <v>752</v>
      </c>
      <c r="J326" s="40" t="s">
        <v>89</v>
      </c>
      <c r="K326" s="40" t="s">
        <v>89</v>
      </c>
      <c r="L326" s="198" t="str">
        <f>D326&amp;"-"&amp;D326+4</f>
        <v>75-79</v>
      </c>
      <c r="M326" s="156">
        <f>O326</f>
        <v>2.0217482848141621E-2</v>
      </c>
      <c r="N326" s="445"/>
      <c r="O326" s="11" cm="1">
        <f t="array" ref="O326">vbratetoprob($M$323*M318/$M$317, C.cycleLength)</f>
        <v>2.0217482848141621E-2</v>
      </c>
      <c r="P326" s="11"/>
      <c r="AB326"/>
    </row>
    <row r="327" spans="1:31" ht="12" customHeight="1" outlineLevel="3" x14ac:dyDescent="0.25">
      <c r="A327" s="328"/>
      <c r="B327" s="384"/>
      <c r="C327" s="367"/>
      <c r="D327" s="412">
        <f>D326+5</f>
        <v>80</v>
      </c>
      <c r="G327" s="40" t="s">
        <v>89</v>
      </c>
      <c r="H327" s="40" t="s">
        <v>89</v>
      </c>
      <c r="I327" s="40" t="s">
        <v>752</v>
      </c>
      <c r="J327" s="40" t="s">
        <v>89</v>
      </c>
      <c r="K327" s="40" t="s">
        <v>89</v>
      </c>
      <c r="L327" s="198" t="str">
        <f>D327&amp;"-"&amp;D327+4</f>
        <v>80-84</v>
      </c>
      <c r="M327" s="156">
        <f>O327</f>
        <v>3.5456784171365774E-2</v>
      </c>
      <c r="N327" s="445"/>
      <c r="O327" s="11" cm="1">
        <f t="array" ref="O327">vbratetoprob($M$323*M319/$M$317, C.cycleLength)</f>
        <v>3.5456784171365774E-2</v>
      </c>
      <c r="P327" s="11"/>
      <c r="AB327"/>
    </row>
    <row r="328" spans="1:31" ht="12" customHeight="1" outlineLevel="3" x14ac:dyDescent="0.25">
      <c r="A328" s="328"/>
      <c r="B328" s="384"/>
      <c r="C328" s="367"/>
      <c r="D328" s="412">
        <f>D327+5</f>
        <v>85</v>
      </c>
      <c r="G328" s="40" t="s">
        <v>89</v>
      </c>
      <c r="H328" s="40" t="s">
        <v>89</v>
      </c>
      <c r="I328" s="40" t="s">
        <v>752</v>
      </c>
      <c r="J328" s="40" t="s">
        <v>89</v>
      </c>
      <c r="K328" s="40" t="s">
        <v>89</v>
      </c>
      <c r="L328" s="198" t="str">
        <f>D328&amp;"-"&amp;D328+4</f>
        <v>85-89</v>
      </c>
      <c r="M328" s="156">
        <f>O328</f>
        <v>6.5077143913601976E-2</v>
      </c>
      <c r="N328" s="445"/>
      <c r="O328" s="11" cm="1">
        <f t="array" ref="O328">vbratetoprob($M$323*M320/$M$317, C.cycleLength)</f>
        <v>6.5077143913601976E-2</v>
      </c>
      <c r="P328" s="11"/>
      <c r="AB328"/>
    </row>
    <row r="329" spans="1:31" ht="12" customHeight="1" outlineLevel="3" x14ac:dyDescent="0.25">
      <c r="A329" s="328"/>
      <c r="B329" s="384"/>
      <c r="C329" s="367"/>
      <c r="D329" s="412">
        <f>D328+5</f>
        <v>90</v>
      </c>
      <c r="G329" s="40" t="s">
        <v>89</v>
      </c>
      <c r="H329" s="40" t="s">
        <v>89</v>
      </c>
      <c r="I329" s="40" t="s">
        <v>752</v>
      </c>
      <c r="J329" s="40" t="s">
        <v>89</v>
      </c>
      <c r="K329" s="40" t="s">
        <v>89</v>
      </c>
      <c r="L329" s="198" t="str">
        <f>D329&amp;"+"</f>
        <v>90+</v>
      </c>
      <c r="M329" s="156">
        <f>O329</f>
        <v>0.12456673390067419</v>
      </c>
      <c r="N329" s="445"/>
      <c r="O329" s="11" cm="1">
        <f t="array" ref="O329">vbratetoprob($M$323*M321/$M$317, C.cycleLength)</f>
        <v>0.12456673390067419</v>
      </c>
      <c r="P329" s="11"/>
      <c r="AB329"/>
    </row>
    <row r="330" spans="1:31" ht="12" customHeight="1" outlineLevel="3" x14ac:dyDescent="0.25">
      <c r="A330" s="328"/>
      <c r="B330" s="384"/>
      <c r="C330" s="367"/>
      <c r="G330" s="40" t="s">
        <v>89</v>
      </c>
      <c r="H330" s="40" t="s">
        <v>89</v>
      </c>
      <c r="I330" s="40" t="s">
        <v>89</v>
      </c>
      <c r="J330" s="40" t="s">
        <v>89</v>
      </c>
      <c r="K330" s="40" t="s">
        <v>89</v>
      </c>
      <c r="L330" t="s">
        <v>344</v>
      </c>
      <c r="M330" s="204"/>
      <c r="O330"/>
      <c r="AB330"/>
    </row>
    <row r="331" spans="1:31" ht="12" customHeight="1" outlineLevel="3" x14ac:dyDescent="0.25">
      <c r="A331" s="328"/>
      <c r="B331" s="384"/>
      <c r="C331" s="367"/>
      <c r="G331" s="40" t="s">
        <v>89</v>
      </c>
      <c r="H331" s="40" t="s">
        <v>89</v>
      </c>
      <c r="I331" s="40" t="s">
        <v>752</v>
      </c>
      <c r="J331" s="40" t="s">
        <v>89</v>
      </c>
      <c r="K331" s="40" t="s">
        <v>89</v>
      </c>
      <c r="L331" s="104" t="s">
        <v>438</v>
      </c>
      <c r="M331" s="36">
        <f>O331</f>
        <v>0.11208226221079691</v>
      </c>
      <c r="O331" s="11">
        <f>CHOOSE(swtchPSA, S331, AB331)</f>
        <v>0.11208226221079691</v>
      </c>
      <c r="Q331" s="14">
        <f>1293+652</f>
        <v>1945</v>
      </c>
      <c r="R331" s="14">
        <f>147+71</f>
        <v>218</v>
      </c>
      <c r="S331" s="17">
        <f>R331/Q331</f>
        <v>0.11208226221079691</v>
      </c>
      <c r="T331" s="18"/>
      <c r="U331" s="22">
        <f>SQRT((S331*(1-S331))/Q331)</f>
        <v>7.1531117038723512E-3</v>
      </c>
      <c r="V331" s="93">
        <f>_xlfn.BETA.INV(0.025, AD331, AE331)</f>
        <v>9.8449092922300835E-2</v>
      </c>
      <c r="W331" s="53"/>
      <c r="X331" s="93">
        <f>_xlfn.BETA.INV(0.975, AD331, AE331)</f>
        <v>0.1264708989578871</v>
      </c>
      <c r="Y331" s="32" t="s">
        <v>437</v>
      </c>
      <c r="Z331" s="11"/>
      <c r="AA331" s="19">
        <f ca="1">RAND()</f>
        <v>0.3774580288200674</v>
      </c>
      <c r="AB331" s="21">
        <f ca="1">_xlfn.BETA.INV(AA331, AD331, AE331)</f>
        <v>0.10973039211701195</v>
      </c>
      <c r="AC331" s="20" t="s">
        <v>28</v>
      </c>
      <c r="AD331" s="34">
        <f>R331</f>
        <v>218</v>
      </c>
      <c r="AE331" s="33">
        <f>Q331-R331</f>
        <v>1727</v>
      </c>
    </row>
    <row r="332" spans="1:31" ht="12" customHeight="1" outlineLevel="3" x14ac:dyDescent="0.25">
      <c r="A332" s="328"/>
      <c r="B332" s="384"/>
      <c r="C332" s="367"/>
      <c r="D332" s="412"/>
      <c r="G332" s="40" t="s">
        <v>89</v>
      </c>
      <c r="H332" s="40" t="s">
        <v>89</v>
      </c>
      <c r="I332" s="40" t="s">
        <v>89</v>
      </c>
      <c r="J332" s="40" t="s">
        <v>89</v>
      </c>
      <c r="K332" s="40" t="s">
        <v>89</v>
      </c>
      <c r="L332" s="104" t="s">
        <v>441</v>
      </c>
      <c r="M332"/>
      <c r="O332"/>
      <c r="AB332"/>
    </row>
    <row r="333" spans="1:31" ht="12" customHeight="1" outlineLevel="3" x14ac:dyDescent="0.25">
      <c r="A333" s="328"/>
      <c r="B333" s="384"/>
      <c r="C333" s="367"/>
      <c r="D333" s="412">
        <v>70</v>
      </c>
      <c r="G333" s="40" t="s">
        <v>89</v>
      </c>
      <c r="H333" s="40" t="s">
        <v>89</v>
      </c>
      <c r="I333" s="40" t="s">
        <v>752</v>
      </c>
      <c r="J333" s="40" t="s">
        <v>89</v>
      </c>
      <c r="K333" s="40" t="s">
        <v>89</v>
      </c>
      <c r="L333" s="198" t="str">
        <f>D333&amp;"-"&amp;D333+4</f>
        <v>70-74</v>
      </c>
      <c r="M333" s="156">
        <f>O333</f>
        <v>6.351893327931124E-2</v>
      </c>
      <c r="N333" s="445" t="s">
        <v>804</v>
      </c>
      <c r="O333" s="11" cm="1">
        <f t="array" ref="O333">vbprobToProb($M$331*M317/$M$318, (3/12)/C.cycleLength)</f>
        <v>6.351893327931124E-2</v>
      </c>
      <c r="P333" s="333"/>
    </row>
    <row r="334" spans="1:31" ht="12" customHeight="1" outlineLevel="3" x14ac:dyDescent="0.25">
      <c r="A334" s="328"/>
      <c r="B334" s="384"/>
      <c r="C334" s="367"/>
      <c r="D334" s="412">
        <f>D333+5</f>
        <v>75</v>
      </c>
      <c r="G334" s="40" t="s">
        <v>89</v>
      </c>
      <c r="H334" s="40" t="s">
        <v>89</v>
      </c>
      <c r="I334" s="40" t="s">
        <v>752</v>
      </c>
      <c r="J334" s="40" t="s">
        <v>89</v>
      </c>
      <c r="K334" s="40" t="s">
        <v>89</v>
      </c>
      <c r="L334" s="198" t="str">
        <f>D334&amp;"-"&amp;D334+4</f>
        <v>75-79</v>
      </c>
      <c r="M334" s="156">
        <f>O334</f>
        <v>0.11208226221079687</v>
      </c>
      <c r="N334" s="445"/>
      <c r="O334" s="11" cm="1">
        <f t="array" ref="O334">vbprobToProb($M$331*M318/$M$318, (3/12)/C.cycleLength)</f>
        <v>0.11208226221079687</v>
      </c>
      <c r="P334" s="333"/>
    </row>
    <row r="335" spans="1:31" ht="12" customHeight="1" outlineLevel="3" x14ac:dyDescent="0.25">
      <c r="A335" s="328"/>
      <c r="B335" s="384"/>
      <c r="C335" s="367"/>
      <c r="D335" s="412">
        <f>D334+5</f>
        <v>80</v>
      </c>
      <c r="G335" s="40" t="s">
        <v>89</v>
      </c>
      <c r="H335" s="40" t="s">
        <v>89</v>
      </c>
      <c r="I335" s="40" t="s">
        <v>752</v>
      </c>
      <c r="J335" s="40" t="s">
        <v>89</v>
      </c>
      <c r="K335" s="40" t="s">
        <v>89</v>
      </c>
      <c r="L335" s="198" t="str">
        <f>D335&amp;"-"&amp;D335+4</f>
        <v>80-84</v>
      </c>
      <c r="M335" s="156">
        <f>O335</f>
        <v>0.19810576402550906</v>
      </c>
      <c r="N335" s="445"/>
      <c r="O335" s="11" cm="1">
        <f t="array" ref="O335">vbprobToProb($M$331*M319/$M$318, (3/12)/C.cycleLength)</f>
        <v>0.19810576402550906</v>
      </c>
      <c r="P335" s="333"/>
    </row>
    <row r="336" spans="1:31" ht="12" customHeight="1" outlineLevel="3" x14ac:dyDescent="0.25">
      <c r="A336" s="328"/>
      <c r="B336" s="384"/>
      <c r="C336" s="367"/>
      <c r="D336" s="412">
        <f>D335+5</f>
        <v>85</v>
      </c>
      <c r="G336" s="40" t="s">
        <v>89</v>
      </c>
      <c r="H336" s="40" t="s">
        <v>89</v>
      </c>
      <c r="I336" s="40" t="s">
        <v>752</v>
      </c>
      <c r="J336" s="40" t="s">
        <v>89</v>
      </c>
      <c r="K336" s="40" t="s">
        <v>89</v>
      </c>
      <c r="L336" s="198" t="str">
        <f>D336&amp;"-"&amp;D336+4</f>
        <v>85-89</v>
      </c>
      <c r="M336" s="156">
        <f>O336</f>
        <v>0.36926730466319491</v>
      </c>
      <c r="N336" s="445"/>
      <c r="O336" s="11" cm="1">
        <f t="array" ref="O336">vbprobToProb($M$331*M320/$M$318, (3/12)/C.cycleLength)</f>
        <v>0.36926730466319491</v>
      </c>
      <c r="P336" s="333"/>
    </row>
    <row r="337" spans="1:31" ht="12" customHeight="1" outlineLevel="3" x14ac:dyDescent="0.25">
      <c r="A337" s="328"/>
      <c r="B337" s="384"/>
      <c r="C337" s="367"/>
      <c r="D337" s="412">
        <f>D336+5</f>
        <v>90</v>
      </c>
      <c r="G337" s="40" t="s">
        <v>89</v>
      </c>
      <c r="H337" s="40" t="s">
        <v>89</v>
      </c>
      <c r="I337" s="40" t="s">
        <v>752</v>
      </c>
      <c r="J337" s="40" t="s">
        <v>89</v>
      </c>
      <c r="K337" s="40" t="s">
        <v>89</v>
      </c>
      <c r="L337" s="198" t="str">
        <f>D337&amp;"+"</f>
        <v>90+</v>
      </c>
      <c r="M337" s="156">
        <f>O337</f>
        <v>0.73004987372521102</v>
      </c>
      <c r="N337" s="445"/>
      <c r="O337" s="11" cm="1">
        <f t="array" ref="O337">vbprobToProb($M$331*M321/$M$318, (3/12)/C.cycleLength)</f>
        <v>0.73004987372521102</v>
      </c>
      <c r="P337" s="11"/>
    </row>
    <row r="338" spans="1:31" ht="12" customHeight="1" outlineLevel="3" x14ac:dyDescent="0.25">
      <c r="A338" s="328"/>
      <c r="B338" s="384"/>
      <c r="C338" s="367"/>
      <c r="D338" s="412"/>
      <c r="G338" s="40" t="s">
        <v>89</v>
      </c>
      <c r="H338" s="40" t="s">
        <v>89</v>
      </c>
      <c r="I338" s="40" t="s">
        <v>89</v>
      </c>
      <c r="J338" s="40" t="s">
        <v>89</v>
      </c>
      <c r="K338" s="40" t="s">
        <v>89</v>
      </c>
      <c r="L338" t="s">
        <v>376</v>
      </c>
      <c r="M338"/>
      <c r="O338"/>
      <c r="AB338"/>
    </row>
    <row r="339" spans="1:31" ht="12" customHeight="1" outlineLevel="3" x14ac:dyDescent="0.25">
      <c r="A339" s="328"/>
      <c r="B339" s="384"/>
      <c r="C339" s="367"/>
      <c r="D339" s="412"/>
      <c r="G339" s="40" t="s">
        <v>89</v>
      </c>
      <c r="H339" s="40" t="s">
        <v>89</v>
      </c>
      <c r="I339" s="40" t="s">
        <v>89</v>
      </c>
      <c r="J339" s="40" t="s">
        <v>89</v>
      </c>
      <c r="K339" s="40" t="s">
        <v>89</v>
      </c>
      <c r="L339" s="104" t="s">
        <v>441</v>
      </c>
      <c r="M339"/>
      <c r="O339"/>
      <c r="AB339"/>
    </row>
    <row r="340" spans="1:31" ht="12" customHeight="1" outlineLevel="3" x14ac:dyDescent="0.25">
      <c r="A340" s="328"/>
      <c r="B340" s="384"/>
      <c r="C340" s="367"/>
      <c r="D340" s="412">
        <v>70</v>
      </c>
      <c r="G340" s="40" t="s">
        <v>89</v>
      </c>
      <c r="H340" s="40" t="s">
        <v>89</v>
      </c>
      <c r="I340" s="40" t="s">
        <v>752</v>
      </c>
      <c r="J340" s="40" t="s">
        <v>89</v>
      </c>
      <c r="K340" s="40" t="s">
        <v>89</v>
      </c>
      <c r="L340" s="198" t="str">
        <f>D340&amp;"-"&amp;D340+4</f>
        <v>70-74</v>
      </c>
      <c r="M340" s="156">
        <f>O340</f>
        <v>5.9084668379395855E-2</v>
      </c>
      <c r="N340" s="445" t="s">
        <v>806</v>
      </c>
      <c r="O340" s="11" cm="1">
        <f t="array" ref="O340">vbprobToProb(M325, 1/CHOOSE(swtchUlcerSMR, Parameters!$M$121, Parameters!$M$122, Parameters!$M$123))</f>
        <v>5.9084668379395855E-2</v>
      </c>
      <c r="P340" s="333"/>
    </row>
    <row r="341" spans="1:31" ht="12" customHeight="1" outlineLevel="3" x14ac:dyDescent="0.25">
      <c r="A341" s="328"/>
      <c r="B341" s="384"/>
      <c r="C341" s="367"/>
      <c r="D341" s="412">
        <f>D340+5</f>
        <v>75</v>
      </c>
      <c r="G341" s="40" t="s">
        <v>89</v>
      </c>
      <c r="H341" s="40" t="s">
        <v>89</v>
      </c>
      <c r="I341" s="40" t="s">
        <v>752</v>
      </c>
      <c r="J341" s="40" t="s">
        <v>89</v>
      </c>
      <c r="K341" s="40" t="s">
        <v>89</v>
      </c>
      <c r="L341" s="198" t="str">
        <f>D341&amp;"-"&amp;D341+4</f>
        <v>75-79</v>
      </c>
      <c r="M341" s="156">
        <f>O341</f>
        <v>0.1018918360601716</v>
      </c>
      <c r="N341" s="445"/>
      <c r="O341" s="11" cm="1">
        <f t="array" ref="O341">vbprobToProb(M326, 1/CHOOSE(swtchUlcerSMR, Parameters!$M$121, Parameters!$M$122, Parameters!$M$123))</f>
        <v>0.1018918360601716</v>
      </c>
      <c r="P341" s="333"/>
    </row>
    <row r="342" spans="1:31" ht="12" customHeight="1" outlineLevel="3" x14ac:dyDescent="0.25">
      <c r="A342" s="328"/>
      <c r="B342" s="384"/>
      <c r="C342" s="367"/>
      <c r="D342" s="412">
        <f>D341+5</f>
        <v>80</v>
      </c>
      <c r="G342" s="40" t="s">
        <v>89</v>
      </c>
      <c r="H342" s="40" t="s">
        <v>89</v>
      </c>
      <c r="I342" s="40" t="s">
        <v>752</v>
      </c>
      <c r="J342" s="40" t="s">
        <v>89</v>
      </c>
      <c r="K342" s="40" t="s">
        <v>89</v>
      </c>
      <c r="L342" s="198" t="str">
        <f>D342&amp;"-"&amp;D342+4</f>
        <v>80-84</v>
      </c>
      <c r="M342" s="156">
        <f>O342</f>
        <v>0.17299482642617714</v>
      </c>
      <c r="N342" s="445"/>
      <c r="O342" s="11" cm="1">
        <f t="array" ref="O342">vbprobToProb(M327, 1/CHOOSE(swtchUlcerSMR, Parameters!$M$121, Parameters!$M$122, Parameters!$M$123))</f>
        <v>0.17299482642617714</v>
      </c>
      <c r="P342" s="333"/>
    </row>
    <row r="343" spans="1:31" ht="12" customHeight="1" outlineLevel="3" x14ac:dyDescent="0.25">
      <c r="A343" s="328"/>
      <c r="B343" s="384"/>
      <c r="C343" s="367"/>
      <c r="D343" s="412">
        <f>D342+5</f>
        <v>85</v>
      </c>
      <c r="G343" s="40" t="s">
        <v>89</v>
      </c>
      <c r="H343" s="40" t="s">
        <v>89</v>
      </c>
      <c r="I343" s="40" t="s">
        <v>752</v>
      </c>
      <c r="J343" s="40" t="s">
        <v>89</v>
      </c>
      <c r="K343" s="40" t="s">
        <v>89</v>
      </c>
      <c r="L343" s="198" t="str">
        <f>D343&amp;"-"&amp;D343+4</f>
        <v>85-89</v>
      </c>
      <c r="M343" s="156">
        <f>O343</f>
        <v>0.2981632584964814</v>
      </c>
      <c r="N343" s="445"/>
      <c r="O343" s="11" cm="1">
        <f t="array" ref="O343">vbprobToProb(M328, 1/CHOOSE(swtchUlcerSMR, Parameters!$M$121, Parameters!$M$122, Parameters!$M$123))</f>
        <v>0.2981632584964814</v>
      </c>
      <c r="P343" s="333"/>
    </row>
    <row r="344" spans="1:31" ht="12" customHeight="1" outlineLevel="3" x14ac:dyDescent="0.25">
      <c r="A344" s="328"/>
      <c r="B344" s="384"/>
      <c r="C344" s="367"/>
      <c r="D344" s="412">
        <f>D343+5</f>
        <v>90</v>
      </c>
      <c r="G344" s="40" t="s">
        <v>89</v>
      </c>
      <c r="H344" s="40" t="s">
        <v>89</v>
      </c>
      <c r="I344" s="40" t="s">
        <v>752</v>
      </c>
      <c r="J344" s="40" t="s">
        <v>89</v>
      </c>
      <c r="K344" s="40" t="s">
        <v>89</v>
      </c>
      <c r="L344" s="198" t="str">
        <f>D344&amp;"+"</f>
        <v>90+</v>
      </c>
      <c r="M344" s="156">
        <f>O344</f>
        <v>0.5034016562503858</v>
      </c>
      <c r="N344" s="445"/>
      <c r="O344" s="11" cm="1">
        <f t="array" ref="O344">vbprobToProb(M329, 1/CHOOSE(swtchUlcerSMR, Parameters!$M$121, Parameters!$M$122, Parameters!$M$123))</f>
        <v>0.5034016562503858</v>
      </c>
      <c r="P344" s="333"/>
    </row>
    <row r="345" spans="1:31" ht="12" customHeight="1" outlineLevel="3" x14ac:dyDescent="0.25">
      <c r="A345" s="328"/>
      <c r="B345" s="384"/>
      <c r="C345" s="367"/>
      <c r="D345" s="412"/>
      <c r="G345" s="40" t="s">
        <v>89</v>
      </c>
      <c r="H345" s="40" t="s">
        <v>89</v>
      </c>
      <c r="I345" s="40" t="s">
        <v>89</v>
      </c>
      <c r="J345" s="40" t="s">
        <v>89</v>
      </c>
      <c r="K345" s="40" t="s">
        <v>89</v>
      </c>
      <c r="L345" t="s">
        <v>571</v>
      </c>
      <c r="M345"/>
      <c r="O345"/>
      <c r="AB345"/>
    </row>
    <row r="346" spans="1:31" ht="12" customHeight="1" outlineLevel="3" x14ac:dyDescent="0.25">
      <c r="A346" s="328"/>
      <c r="B346" s="384"/>
      <c r="C346" s="367"/>
      <c r="D346" s="412"/>
      <c r="G346" s="40" t="s">
        <v>89</v>
      </c>
      <c r="H346" s="40" t="s">
        <v>89</v>
      </c>
      <c r="I346" s="40" t="s">
        <v>89</v>
      </c>
      <c r="J346" s="40" t="s">
        <v>89</v>
      </c>
      <c r="K346" s="40" t="s">
        <v>89</v>
      </c>
      <c r="L346" s="104" t="s">
        <v>601</v>
      </c>
      <c r="M346"/>
      <c r="O346"/>
      <c r="AB346"/>
    </row>
    <row r="347" spans="1:31" ht="12" customHeight="1" outlineLevel="3" x14ac:dyDescent="0.25">
      <c r="A347" s="328"/>
      <c r="B347" s="384"/>
      <c r="C347" s="367"/>
      <c r="D347" s="412"/>
      <c r="G347" s="40" t="s">
        <v>89</v>
      </c>
      <c r="H347" s="40" t="s">
        <v>89</v>
      </c>
      <c r="I347" s="40" t="s">
        <v>752</v>
      </c>
      <c r="J347" s="40" t="s">
        <v>89</v>
      </c>
      <c r="K347" s="40" t="s">
        <v>89</v>
      </c>
      <c r="L347" s="170" t="s">
        <v>600</v>
      </c>
      <c r="M347" s="150">
        <f>O347</f>
        <v>0.1757526444263629</v>
      </c>
      <c r="O347" s="11">
        <f>CHOOSE(swtchPSA, S347, AB347)</f>
        <v>0.1757526444263629</v>
      </c>
      <c r="P347" s="11"/>
      <c r="Q347" s="14">
        <v>1229</v>
      </c>
      <c r="R347" s="14">
        <v>216</v>
      </c>
      <c r="S347" s="17">
        <f>R347/Q347</f>
        <v>0.1757526444263629</v>
      </c>
      <c r="T347" s="18"/>
      <c r="U347" s="22">
        <f>SQRT((S347*(1-S347))/Q347)</f>
        <v>1.0856848408565024E-2</v>
      </c>
      <c r="V347" s="17">
        <f>_xlfn.BETA.INV(0.025, AD347, AE347)</f>
        <v>0.15499002464025943</v>
      </c>
      <c r="W347" s="18"/>
      <c r="X347" s="17">
        <f>_xlfn.BETA.INV(0.975, AD347, AE347)</f>
        <v>0.19751469135378286</v>
      </c>
      <c r="Y347" s="32" t="s">
        <v>437</v>
      </c>
      <c r="Z347" s="32"/>
      <c r="AA347" s="19">
        <f ca="1">RAND()</f>
        <v>0.18735967584938573</v>
      </c>
      <c r="AB347" s="21">
        <f ca="1">_xlfn.BETA.INV(AA347, AD347, AE347)</f>
        <v>0.16608166339123434</v>
      </c>
      <c r="AC347" s="20" t="s">
        <v>28</v>
      </c>
      <c r="AD347" s="34">
        <f>R347</f>
        <v>216</v>
      </c>
      <c r="AE347" s="33">
        <f>Q347-R347</f>
        <v>1013</v>
      </c>
    </row>
    <row r="348" spans="1:31" ht="12" customHeight="1" outlineLevel="3" x14ac:dyDescent="0.25">
      <c r="A348" s="328"/>
      <c r="B348" s="384"/>
      <c r="C348" s="367"/>
      <c r="D348" s="412"/>
      <c r="G348" s="40" t="s">
        <v>89</v>
      </c>
      <c r="H348" s="40" t="s">
        <v>89</v>
      </c>
      <c r="I348" s="40" t="s">
        <v>752</v>
      </c>
      <c r="J348" s="40" t="s">
        <v>89</v>
      </c>
      <c r="K348" s="40" t="s">
        <v>89</v>
      </c>
      <c r="L348" s="170" t="s">
        <v>599</v>
      </c>
      <c r="M348" s="150">
        <f>O348</f>
        <v>0.1762114537444934</v>
      </c>
      <c r="O348" s="11">
        <f>CHOOSE(swtchPSA, S348, AB348)</f>
        <v>0.1762114537444934</v>
      </c>
      <c r="P348" s="11"/>
      <c r="Q348" s="14">
        <v>454</v>
      </c>
      <c r="R348" s="14">
        <v>80</v>
      </c>
      <c r="S348" s="17">
        <f>R348/Q348</f>
        <v>0.1762114537444934</v>
      </c>
      <c r="T348" s="18"/>
      <c r="U348" s="22">
        <f>SQRT((S348*(1-S348))/Q348)</f>
        <v>1.7881214597807161E-2</v>
      </c>
      <c r="V348" s="17">
        <f>_xlfn.BETA.INV(0.025, AD348, AE348)</f>
        <v>0.14258973594562263</v>
      </c>
      <c r="W348" s="18"/>
      <c r="X348" s="17">
        <f>_xlfn.BETA.INV(0.975, AD348, AE348)</f>
        <v>0.21253426389908348</v>
      </c>
      <c r="Y348" s="32" t="s">
        <v>437</v>
      </c>
      <c r="Z348" s="32"/>
      <c r="AA348" s="19">
        <f ca="1">RAND()</f>
        <v>0.80906634887285978</v>
      </c>
      <c r="AB348" s="21">
        <f ca="1">_xlfn.BETA.INV(AA348, AD348, AE348)</f>
        <v>0.19172128174389713</v>
      </c>
      <c r="AC348" s="20" t="s">
        <v>28</v>
      </c>
      <c r="AD348" s="34">
        <f>R348</f>
        <v>80</v>
      </c>
      <c r="AE348" s="33">
        <f>Q348-R348</f>
        <v>374</v>
      </c>
    </row>
    <row r="349" spans="1:31" ht="12" customHeight="1" outlineLevel="3" x14ac:dyDescent="0.25">
      <c r="A349" s="328"/>
      <c r="B349" s="384"/>
      <c r="C349" s="367"/>
      <c r="D349" s="412"/>
      <c r="G349" s="40" t="s">
        <v>89</v>
      </c>
      <c r="H349" s="40" t="s">
        <v>89</v>
      </c>
      <c r="I349" s="40" t="s">
        <v>752</v>
      </c>
      <c r="J349" s="40" t="s">
        <v>89</v>
      </c>
      <c r="K349" s="40" t="s">
        <v>89</v>
      </c>
      <c r="L349" s="170" t="s">
        <v>354</v>
      </c>
      <c r="M349" s="36">
        <f>O349</f>
        <v>0.17587641117052882</v>
      </c>
      <c r="O349" s="11">
        <f>CHOOSE(swtchPSA, S349, AB349)</f>
        <v>0.17587641117052882</v>
      </c>
      <c r="P349" s="11"/>
      <c r="Q349" s="143">
        <f>Q347+Q348</f>
        <v>1683</v>
      </c>
      <c r="R349" s="143">
        <f>R347+R348</f>
        <v>296</v>
      </c>
      <c r="S349" s="17">
        <f>R349/Q349</f>
        <v>0.17587641117052882</v>
      </c>
      <c r="T349" s="18"/>
      <c r="U349" s="22">
        <f>SQRT((S349*(1-S349))/Q349)</f>
        <v>9.2802123122848711E-3</v>
      </c>
      <c r="V349" s="17">
        <f>_xlfn.BETA.INV(0.025, AD349, AE349)</f>
        <v>0.15806273626787373</v>
      </c>
      <c r="W349" s="18"/>
      <c r="X349" s="17">
        <f>_xlfn.BETA.INV(0.975, AD349, AE349)</f>
        <v>0.1944196573266711</v>
      </c>
      <c r="Y349" s="32" t="s">
        <v>437</v>
      </c>
      <c r="Z349" s="32"/>
      <c r="AA349" s="19">
        <f ca="1">RAND()</f>
        <v>0.24427624888146415</v>
      </c>
      <c r="AB349" s="21">
        <f ca="1">_xlfn.BETA.INV(AA349, AD349, AE349)</f>
        <v>0.16938354767032626</v>
      </c>
      <c r="AC349" s="20" t="s">
        <v>28</v>
      </c>
      <c r="AD349" s="34">
        <f>R349</f>
        <v>296</v>
      </c>
      <c r="AE349" s="33">
        <f>Q349-R349</f>
        <v>1387</v>
      </c>
    </row>
    <row r="350" spans="1:31" ht="12" customHeight="1" outlineLevel="3" x14ac:dyDescent="0.25">
      <c r="A350" s="328"/>
      <c r="B350" s="384"/>
      <c r="C350" s="367"/>
      <c r="D350" s="412"/>
      <c r="G350" s="40" t="s">
        <v>89</v>
      </c>
      <c r="H350" s="40" t="s">
        <v>89</v>
      </c>
      <c r="I350" s="40" t="s">
        <v>89</v>
      </c>
      <c r="J350" s="40" t="s">
        <v>89</v>
      </c>
      <c r="K350" s="40" t="s">
        <v>89</v>
      </c>
      <c r="L350" s="104" t="s">
        <v>441</v>
      </c>
      <c r="M350"/>
      <c r="O350"/>
      <c r="AB350"/>
    </row>
    <row r="351" spans="1:31" ht="12" customHeight="1" outlineLevel="3" x14ac:dyDescent="0.25">
      <c r="A351" s="328"/>
      <c r="B351" s="384"/>
      <c r="C351" s="367"/>
      <c r="D351" s="412">
        <v>70</v>
      </c>
      <c r="G351" s="40" t="s">
        <v>89</v>
      </c>
      <c r="H351" s="40" t="s">
        <v>89</v>
      </c>
      <c r="I351" s="40" t="s">
        <v>752</v>
      </c>
      <c r="J351" s="40" t="s">
        <v>89</v>
      </c>
      <c r="K351" s="40" t="s">
        <v>89</v>
      </c>
      <c r="L351" s="198" t="str">
        <f>D351&amp;"-"&amp;D351+4</f>
        <v>70-74</v>
      </c>
      <c r="M351" s="156">
        <f>O351</f>
        <v>5.6391504212401578E-2</v>
      </c>
      <c r="N351" s="445" t="s">
        <v>805</v>
      </c>
      <c r="O351" s="11" cm="1">
        <f t="array" ref="O351">vbprobToProb($M$349*M317/$M$319, (3/12)/C.cycleLength)</f>
        <v>5.6391504212401578E-2</v>
      </c>
      <c r="P351" s="333"/>
    </row>
    <row r="352" spans="1:31" ht="12" customHeight="1" outlineLevel="3" x14ac:dyDescent="0.25">
      <c r="A352" s="328"/>
      <c r="B352" s="384"/>
      <c r="C352" s="367"/>
      <c r="D352" s="412">
        <f>D351+5</f>
        <v>75</v>
      </c>
      <c r="G352" s="40" t="s">
        <v>89</v>
      </c>
      <c r="H352" s="40" t="s">
        <v>89</v>
      </c>
      <c r="I352" s="40" t="s">
        <v>752</v>
      </c>
      <c r="J352" s="40" t="s">
        <v>89</v>
      </c>
      <c r="K352" s="40" t="s">
        <v>89</v>
      </c>
      <c r="L352" s="198" t="str">
        <f>D352&amp;"-"&amp;D352+4</f>
        <v>75-79</v>
      </c>
      <c r="M352" s="156">
        <f>O352</f>
        <v>9.9505565274571439E-2</v>
      </c>
      <c r="N352" s="445"/>
      <c r="O352" s="11" cm="1">
        <f t="array" ref="O352">vbprobToProb($M$349*M318/$M$319, (3/12)/C.cycleLength)</f>
        <v>9.9505565274571439E-2</v>
      </c>
      <c r="P352" s="333"/>
    </row>
    <row r="353" spans="1:31" ht="12" customHeight="1" outlineLevel="3" x14ac:dyDescent="0.25">
      <c r="A353" s="328"/>
      <c r="B353" s="384"/>
      <c r="C353" s="367"/>
      <c r="D353" s="412">
        <f>D352+5</f>
        <v>80</v>
      </c>
      <c r="G353" s="40" t="s">
        <v>89</v>
      </c>
      <c r="H353" s="40" t="s">
        <v>89</v>
      </c>
      <c r="I353" s="40" t="s">
        <v>752</v>
      </c>
      <c r="J353" s="40" t="s">
        <v>89</v>
      </c>
      <c r="K353" s="40" t="s">
        <v>89</v>
      </c>
      <c r="L353" s="198" t="str">
        <f>D353&amp;"-"&amp;D353+4</f>
        <v>80-84</v>
      </c>
      <c r="M353" s="156">
        <f>O353</f>
        <v>0.17587641117052888</v>
      </c>
      <c r="N353" s="445"/>
      <c r="O353" s="11" cm="1">
        <f t="array" ref="O353">vbprobToProb($M$349*M319/$M$319, (3/12)/C.cycleLength)</f>
        <v>0.17587641117052888</v>
      </c>
      <c r="P353" s="333"/>
    </row>
    <row r="354" spans="1:31" ht="12" customHeight="1" outlineLevel="3" x14ac:dyDescent="0.25">
      <c r="A354" s="328"/>
      <c r="B354" s="384"/>
      <c r="C354" s="367"/>
      <c r="D354" s="412">
        <f>D353+5</f>
        <v>85</v>
      </c>
      <c r="G354" s="40" t="s">
        <v>89</v>
      </c>
      <c r="H354" s="40" t="s">
        <v>89</v>
      </c>
      <c r="I354" s="40" t="s">
        <v>752</v>
      </c>
      <c r="J354" s="40" t="s">
        <v>89</v>
      </c>
      <c r="K354" s="40" t="s">
        <v>89</v>
      </c>
      <c r="L354" s="198" t="str">
        <f>D354&amp;"-"&amp;D354+4</f>
        <v>85-89</v>
      </c>
      <c r="M354" s="156">
        <f>O354</f>
        <v>0.32783199734872093</v>
      </c>
      <c r="N354" s="445"/>
      <c r="O354" s="11" cm="1">
        <f t="array" ref="O354">vbprobToProb($M$349*M320/$M$319, (3/12)/C.cycleLength)</f>
        <v>0.32783199734872093</v>
      </c>
      <c r="P354" s="333"/>
    </row>
    <row r="355" spans="1:31" ht="12" customHeight="1" outlineLevel="3" x14ac:dyDescent="0.25">
      <c r="A355" s="328"/>
      <c r="B355" s="384"/>
      <c r="C355" s="367"/>
      <c r="D355" s="412">
        <f>D354+5</f>
        <v>90</v>
      </c>
      <c r="G355" s="40" t="s">
        <v>89</v>
      </c>
      <c r="H355" s="40" t="s">
        <v>89</v>
      </c>
      <c r="I355" s="40" t="s">
        <v>752</v>
      </c>
      <c r="J355" s="40" t="s">
        <v>89</v>
      </c>
      <c r="K355" s="40" t="s">
        <v>89</v>
      </c>
      <c r="L355" s="198" t="str">
        <f>D355&amp;"+"</f>
        <v>90+</v>
      </c>
      <c r="M355" s="156">
        <f>O355</f>
        <v>0.64813132721244104</v>
      </c>
      <c r="N355" s="445"/>
      <c r="O355" s="11" cm="1">
        <f t="array" ref="O355">vbprobToProb($M$349*M321/$M$319, (3/12)/C.cycleLength)</f>
        <v>0.64813132721244104</v>
      </c>
      <c r="P355" s="11"/>
    </row>
    <row r="356" spans="1:31" ht="12" customHeight="1" outlineLevel="3" x14ac:dyDescent="0.25">
      <c r="A356" s="328"/>
      <c r="B356" s="384"/>
      <c r="C356" s="367"/>
      <c r="D356" s="412"/>
      <c r="G356" s="40" t="s">
        <v>89</v>
      </c>
      <c r="H356" s="40" t="s">
        <v>89</v>
      </c>
      <c r="I356" s="40" t="s">
        <v>89</v>
      </c>
      <c r="J356" s="40" t="s">
        <v>89</v>
      </c>
      <c r="K356" s="40" t="s">
        <v>89</v>
      </c>
      <c r="L356" t="s">
        <v>567</v>
      </c>
      <c r="M356"/>
      <c r="O356"/>
      <c r="AB356"/>
    </row>
    <row r="357" spans="1:31" ht="12" customHeight="1" outlineLevel="3" x14ac:dyDescent="0.25">
      <c r="A357" s="328"/>
      <c r="B357" s="384"/>
      <c r="C357" s="367"/>
      <c r="D357" s="412"/>
      <c r="G357" s="40" t="s">
        <v>89</v>
      </c>
      <c r="H357" s="40" t="s">
        <v>89</v>
      </c>
      <c r="I357" s="40" t="s">
        <v>752</v>
      </c>
      <c r="J357" s="40" t="s">
        <v>89</v>
      </c>
      <c r="K357" s="40" t="s">
        <v>89</v>
      </c>
      <c r="L357" s="104" t="s">
        <v>598</v>
      </c>
      <c r="M357" s="36">
        <f>O357</f>
        <v>1.2689999999999999</v>
      </c>
      <c r="O357" s="11">
        <f>CHOOSE(swtchPSA, S357, AB357)</f>
        <v>1.2689999999999999</v>
      </c>
      <c r="P357" s="11"/>
      <c r="S357" s="35">
        <v>1.2689999999999999</v>
      </c>
      <c r="T357" s="18"/>
      <c r="U357" s="22">
        <f>(LN(X357)-LN(V357)) / 2/ _xlfn.NORM.S.INV(0.975)</f>
        <v>6.7759702417027862E-2</v>
      </c>
      <c r="V357" s="35">
        <v>1.111</v>
      </c>
      <c r="W357" s="18"/>
      <c r="X357" s="35">
        <v>1.4490000000000001</v>
      </c>
      <c r="Y357" s="32" t="s">
        <v>597</v>
      </c>
      <c r="Z357" s="32"/>
      <c r="AA357" s="19">
        <f ca="1">RAND()</f>
        <v>0.90802377294849135</v>
      </c>
      <c r="AB357" s="37">
        <f ca="1">_xlfn.LOGNORM.INV(AA357, AD357, AE357)</f>
        <v>1.3885504737899508</v>
      </c>
      <c r="AC357" s="20" t="s">
        <v>20</v>
      </c>
      <c r="AD357" s="27">
        <f>LN(S357)</f>
        <v>0.23822918873225055</v>
      </c>
      <c r="AE357" s="26">
        <f>U357</f>
        <v>6.7759702417027862E-2</v>
      </c>
    </row>
    <row r="358" spans="1:31" ht="12" customHeight="1" outlineLevel="3" x14ac:dyDescent="0.25">
      <c r="A358" s="328"/>
      <c r="B358" s="384"/>
      <c r="C358" s="367"/>
      <c r="D358" s="412"/>
      <c r="G358" s="40" t="s">
        <v>89</v>
      </c>
      <c r="H358" s="40" t="s">
        <v>89</v>
      </c>
      <c r="I358" s="40" t="s">
        <v>89</v>
      </c>
      <c r="J358" s="40" t="s">
        <v>89</v>
      </c>
      <c r="K358" s="40" t="s">
        <v>89</v>
      </c>
      <c r="L358" s="104" t="s">
        <v>441</v>
      </c>
      <c r="M358"/>
      <c r="O358"/>
      <c r="AB358"/>
    </row>
    <row r="359" spans="1:31" ht="12" customHeight="1" outlineLevel="3" x14ac:dyDescent="0.25">
      <c r="A359" s="328"/>
      <c r="B359" s="384"/>
      <c r="C359" s="367"/>
      <c r="D359" s="412">
        <v>70</v>
      </c>
      <c r="G359" s="40" t="s">
        <v>89</v>
      </c>
      <c r="H359" s="40" t="s">
        <v>89</v>
      </c>
      <c r="I359" s="40" t="s">
        <v>752</v>
      </c>
      <c r="J359" s="40" t="s">
        <v>89</v>
      </c>
      <c r="K359" s="40" t="s">
        <v>89</v>
      </c>
      <c r="L359" s="198" t="str">
        <f>D359&amp;"-"&amp;D359+4</f>
        <v>70-74</v>
      </c>
      <c r="M359" s="156">
        <f>O359</f>
        <v>1.4581322677257536E-2</v>
      </c>
      <c r="N359" s="445" t="s">
        <v>803</v>
      </c>
      <c r="O359" s="11" cm="1">
        <f t="array" ref="O359">vbprobToProb(M325, 1/$M$357)</f>
        <v>1.4581322677257536E-2</v>
      </c>
      <c r="P359" s="11"/>
    </row>
    <row r="360" spans="1:31" ht="12" customHeight="1" outlineLevel="3" x14ac:dyDescent="0.25">
      <c r="A360" s="328"/>
      <c r="B360" s="384"/>
      <c r="C360" s="367"/>
      <c r="D360" s="412">
        <f>D359+5</f>
        <v>75</v>
      </c>
      <c r="G360" s="40" t="s">
        <v>89</v>
      </c>
      <c r="H360" s="40" t="s">
        <v>89</v>
      </c>
      <c r="I360" s="40" t="s">
        <v>752</v>
      </c>
      <c r="J360" s="40" t="s">
        <v>89</v>
      </c>
      <c r="K360" s="40" t="s">
        <v>89</v>
      </c>
      <c r="L360" s="198" t="str">
        <f>D360&amp;"-"&amp;D360+4</f>
        <v>75-79</v>
      </c>
      <c r="M360" s="156">
        <f>O360</f>
        <v>2.5585873931932679E-2</v>
      </c>
      <c r="N360" s="445"/>
      <c r="O360" s="11" cm="1">
        <f t="array" ref="O360">vbprobToProb(M326, 1/$M$357)</f>
        <v>2.5585873931932679E-2</v>
      </c>
      <c r="P360" s="333"/>
    </row>
    <row r="361" spans="1:31" ht="12" customHeight="1" outlineLevel="3" x14ac:dyDescent="0.25">
      <c r="A361" s="328"/>
      <c r="B361" s="384"/>
      <c r="C361" s="367"/>
      <c r="D361" s="412">
        <f>D360+5</f>
        <v>80</v>
      </c>
      <c r="G361" s="40" t="s">
        <v>89</v>
      </c>
      <c r="H361" s="40" t="s">
        <v>89</v>
      </c>
      <c r="I361" s="40" t="s">
        <v>752</v>
      </c>
      <c r="J361" s="40" t="s">
        <v>89</v>
      </c>
      <c r="K361" s="40" t="s">
        <v>89</v>
      </c>
      <c r="L361" s="198" t="str">
        <f>D361&amp;"-"&amp;D361+4</f>
        <v>80-84</v>
      </c>
      <c r="M361" s="156">
        <f>O361</f>
        <v>4.4778199523917928E-2</v>
      </c>
      <c r="N361" s="445"/>
      <c r="O361" s="11" cm="1">
        <f t="array" ref="O361">vbprobToProb(M327, 1/$M$357)</f>
        <v>4.4778199523917928E-2</v>
      </c>
      <c r="P361" s="333"/>
    </row>
    <row r="362" spans="1:31" ht="12" customHeight="1" outlineLevel="3" x14ac:dyDescent="0.25">
      <c r="A362" s="328"/>
      <c r="B362" s="384"/>
      <c r="C362" s="367"/>
      <c r="D362" s="412">
        <f>D361+5</f>
        <v>85</v>
      </c>
      <c r="G362" s="40" t="s">
        <v>89</v>
      </c>
      <c r="H362" s="40" t="s">
        <v>89</v>
      </c>
      <c r="I362" s="40" t="s">
        <v>752</v>
      </c>
      <c r="J362" s="40" t="s">
        <v>89</v>
      </c>
      <c r="K362" s="40" t="s">
        <v>89</v>
      </c>
      <c r="L362" s="198" t="str">
        <f>D362&amp;"-"&amp;D362+4</f>
        <v>85-89</v>
      </c>
      <c r="M362" s="156">
        <f>O362</f>
        <v>8.1848260901263847E-2</v>
      </c>
      <c r="N362" s="445"/>
      <c r="O362" s="11" cm="1">
        <f t="array" ref="O362">vbprobToProb(M328, 1/$M$357)</f>
        <v>8.1848260901263847E-2</v>
      </c>
      <c r="P362" s="333"/>
    </row>
    <row r="363" spans="1:31" ht="12" customHeight="1" outlineLevel="3" thickBot="1" x14ac:dyDescent="0.3">
      <c r="A363" s="328"/>
      <c r="B363" s="384"/>
      <c r="C363" s="367"/>
      <c r="D363" s="412">
        <f>D362+5</f>
        <v>90</v>
      </c>
      <c r="G363" s="40" t="s">
        <v>89</v>
      </c>
      <c r="H363" s="40" t="s">
        <v>89</v>
      </c>
      <c r="I363" s="40" t="s">
        <v>752</v>
      </c>
      <c r="J363" s="40" t="s">
        <v>89</v>
      </c>
      <c r="K363" s="40" t="s">
        <v>89</v>
      </c>
      <c r="L363" s="198" t="str">
        <f>D363&amp;"+"</f>
        <v>90+</v>
      </c>
      <c r="M363" s="156">
        <f>O363</f>
        <v>0.15534171775321193</v>
      </c>
      <c r="N363" s="445"/>
      <c r="O363" s="11" cm="1">
        <f t="array" ref="O363">vbprobToProb(M329, 1/$M$357)</f>
        <v>0.15534171775321193</v>
      </c>
      <c r="P363" s="11"/>
    </row>
    <row r="364" spans="1:31" s="13" customFormat="1" ht="12" customHeight="1" outlineLevel="1" thickBot="1" x14ac:dyDescent="0.3">
      <c r="A364" s="328"/>
      <c r="B364" s="384"/>
      <c r="C364" s="367"/>
      <c r="D364" s="25"/>
      <c r="G364" s="25" t="s">
        <v>89</v>
      </c>
      <c r="H364" s="25" t="s">
        <v>89</v>
      </c>
      <c r="I364" s="25" t="s">
        <v>89</v>
      </c>
      <c r="J364" s="25" t="s">
        <v>89</v>
      </c>
      <c r="K364" s="25" t="s">
        <v>89</v>
      </c>
      <c r="L364" s="13" t="s">
        <v>39</v>
      </c>
      <c r="M364" s="25"/>
      <c r="O364" s="25"/>
      <c r="P364" s="25"/>
      <c r="AB364" s="25"/>
    </row>
    <row r="365" spans="1:31" s="110" customFormat="1" ht="12" customHeight="1" outlineLevel="2" thickBot="1" x14ac:dyDescent="0.3">
      <c r="A365" s="328"/>
      <c r="B365" s="384"/>
      <c r="C365" s="367"/>
      <c r="D365" s="112"/>
      <c r="G365" s="112" t="s">
        <v>89</v>
      </c>
      <c r="H365" s="112" t="s">
        <v>89</v>
      </c>
      <c r="I365" s="112" t="s">
        <v>89</v>
      </c>
      <c r="J365" s="112" t="s">
        <v>89</v>
      </c>
      <c r="K365" s="112" t="s">
        <v>89</v>
      </c>
      <c r="L365" s="110" t="s">
        <v>456</v>
      </c>
    </row>
    <row r="366" spans="1:31" ht="12" customHeight="1" outlineLevel="3" x14ac:dyDescent="0.25">
      <c r="A366" s="328"/>
      <c r="B366" s="384"/>
      <c r="C366" s="367"/>
      <c r="D366" s="412"/>
      <c r="G366" s="40" t="s">
        <v>89</v>
      </c>
      <c r="H366" s="40" t="s">
        <v>89</v>
      </c>
      <c r="I366" s="40" t="s">
        <v>89</v>
      </c>
      <c r="J366" s="40" t="s">
        <v>89</v>
      </c>
      <c r="K366" s="40" t="s">
        <v>89</v>
      </c>
      <c r="L366" s="38" t="s">
        <v>263</v>
      </c>
      <c r="M366"/>
      <c r="O366"/>
      <c r="AB366"/>
    </row>
    <row r="367" spans="1:31" ht="12" customHeight="1" outlineLevel="3" x14ac:dyDescent="0.25">
      <c r="A367" s="328"/>
      <c r="B367" s="384"/>
      <c r="C367" s="367"/>
      <c r="D367" s="412"/>
      <c r="G367" s="40" t="s">
        <v>89</v>
      </c>
      <c r="H367" s="40" t="s">
        <v>89</v>
      </c>
      <c r="I367" s="40" t="s">
        <v>752</v>
      </c>
      <c r="J367" s="40" t="s">
        <v>89</v>
      </c>
      <c r="K367" s="40" t="s">
        <v>89</v>
      </c>
      <c r="L367" s="104" t="s">
        <v>256</v>
      </c>
      <c r="M367" s="174">
        <f>O367</f>
        <v>6.3308266666666668</v>
      </c>
      <c r="O367" s="52" cm="1">
        <f t="array" ref="O367">c.NSAID.PerMo_Cel*12*C.cycleLength</f>
        <v>6.3308266666666668</v>
      </c>
      <c r="AB367"/>
    </row>
    <row r="368" spans="1:31" ht="12" customHeight="1" outlineLevel="3" x14ac:dyDescent="0.25">
      <c r="A368" s="328"/>
      <c r="B368" s="384"/>
      <c r="C368" s="367"/>
      <c r="D368" s="412"/>
      <c r="G368" s="40" t="s">
        <v>89</v>
      </c>
      <c r="H368" s="40" t="s">
        <v>89</v>
      </c>
      <c r="I368" s="40" t="s">
        <v>752</v>
      </c>
      <c r="J368" s="40" t="s">
        <v>89</v>
      </c>
      <c r="K368" s="40" t="s">
        <v>89</v>
      </c>
      <c r="L368" s="104" t="s">
        <v>254</v>
      </c>
      <c r="M368" s="174">
        <f>O368</f>
        <v>9.3918857142857153</v>
      </c>
      <c r="O368" s="52" cm="1">
        <f t="array" ref="O368">c.NSAID.PerMo_Dic*12*C.cycleLength</f>
        <v>9.3918857142857153</v>
      </c>
      <c r="AB368"/>
    </row>
    <row r="369" spans="1:31" ht="12" customHeight="1" outlineLevel="3" x14ac:dyDescent="0.25">
      <c r="A369" s="328"/>
      <c r="B369" s="384"/>
      <c r="C369" s="367"/>
      <c r="D369" s="412"/>
      <c r="G369" s="40" t="s">
        <v>89</v>
      </c>
      <c r="H369" s="40" t="s">
        <v>89</v>
      </c>
      <c r="I369" s="40" t="s">
        <v>752</v>
      </c>
      <c r="J369" s="40" t="s">
        <v>89</v>
      </c>
      <c r="K369" s="40" t="s">
        <v>89</v>
      </c>
      <c r="L369" s="104" t="s">
        <v>252</v>
      </c>
      <c r="M369" s="174">
        <f>O369</f>
        <v>25.012417857142857</v>
      </c>
      <c r="O369" s="52" cm="1">
        <f t="array" ref="O369">c.NSAID.PerMo_Ibu*12*C.cycleLength</f>
        <v>25.012417857142857</v>
      </c>
      <c r="AB369"/>
    </row>
    <row r="370" spans="1:31" ht="12" customHeight="1" outlineLevel="3" x14ac:dyDescent="0.25">
      <c r="A370" s="328"/>
      <c r="B370" s="384"/>
      <c r="C370" s="367"/>
      <c r="D370" s="412"/>
      <c r="G370" s="40" t="s">
        <v>89</v>
      </c>
      <c r="H370" s="40" t="s">
        <v>89</v>
      </c>
      <c r="I370" s="40" t="s">
        <v>752</v>
      </c>
      <c r="J370" s="40" t="s">
        <v>89</v>
      </c>
      <c r="K370" s="40" t="s">
        <v>89</v>
      </c>
      <c r="L370" s="104" t="s">
        <v>644</v>
      </c>
      <c r="M370" s="174">
        <f>O370</f>
        <v>7.6635178571428577</v>
      </c>
      <c r="O370" s="52" cm="1">
        <f t="array" ref="O370">c.NSAID.PerMo_Nap*12*C.cycleLength</f>
        <v>7.6635178571428577</v>
      </c>
      <c r="AB370"/>
    </row>
    <row r="371" spans="1:31" ht="12" customHeight="1" outlineLevel="3" x14ac:dyDescent="0.25">
      <c r="A371" s="328"/>
      <c r="B371" s="384"/>
      <c r="C371" s="367"/>
      <c r="D371" s="412"/>
      <c r="G371" s="40" t="s">
        <v>89</v>
      </c>
      <c r="H371" s="40" t="s">
        <v>89</v>
      </c>
      <c r="I371" s="40" t="s">
        <v>89</v>
      </c>
      <c r="J371" s="40" t="s">
        <v>89</v>
      </c>
      <c r="K371" s="40" t="s">
        <v>89</v>
      </c>
      <c r="L371" s="38" t="s">
        <v>267</v>
      </c>
      <c r="M371"/>
      <c r="O371"/>
      <c r="AB371"/>
    </row>
    <row r="372" spans="1:31" ht="12" customHeight="1" outlineLevel="3" x14ac:dyDescent="0.25">
      <c r="A372" s="328"/>
      <c r="B372" s="384"/>
      <c r="C372" s="367"/>
      <c r="D372" s="412"/>
      <c r="G372" s="40" t="s">
        <v>89</v>
      </c>
      <c r="H372" s="40" t="s">
        <v>89</v>
      </c>
      <c r="I372" s="40" t="s">
        <v>752</v>
      </c>
      <c r="J372" s="40" t="s">
        <v>89</v>
      </c>
      <c r="K372" s="40" t="s">
        <v>89</v>
      </c>
      <c r="L372" s="104" t="s">
        <v>268</v>
      </c>
      <c r="M372" s="174">
        <f>O372</f>
        <v>16.764516</v>
      </c>
      <c r="N372" s="15" t="s">
        <v>793</v>
      </c>
      <c r="O372" s="52" cm="1">
        <f t="array" ref="O372">c.Paracet.PerMo*12*C.cycleLength</f>
        <v>16.764516</v>
      </c>
      <c r="AB372"/>
    </row>
    <row r="373" spans="1:31" ht="12" customHeight="1" outlineLevel="3" x14ac:dyDescent="0.25">
      <c r="A373" s="328"/>
      <c r="B373" s="384"/>
      <c r="C373" s="367"/>
      <c r="D373" s="412"/>
      <c r="G373" s="40" t="s">
        <v>89</v>
      </c>
      <c r="H373" s="40" t="s">
        <v>89</v>
      </c>
      <c r="I373" s="40" t="s">
        <v>89</v>
      </c>
      <c r="J373" s="40" t="s">
        <v>89</v>
      </c>
      <c r="K373" s="40" t="s">
        <v>89</v>
      </c>
      <c r="L373" s="38" t="s">
        <v>657</v>
      </c>
      <c r="M373"/>
      <c r="O373"/>
      <c r="AB373"/>
    </row>
    <row r="374" spans="1:31" ht="12" customHeight="1" outlineLevel="3" thickBot="1" x14ac:dyDescent="0.3">
      <c r="A374" s="328"/>
      <c r="B374" s="384"/>
      <c r="C374" s="367"/>
      <c r="D374" s="412"/>
      <c r="G374" s="40" t="s">
        <v>89</v>
      </c>
      <c r="H374" s="40" t="s">
        <v>89</v>
      </c>
      <c r="I374" s="40" t="s">
        <v>752</v>
      </c>
      <c r="J374" s="40" t="s">
        <v>89</v>
      </c>
      <c r="K374" s="40" t="s">
        <v>89</v>
      </c>
      <c r="L374" s="149" t="s">
        <v>671</v>
      </c>
      <c r="M374" s="51">
        <f>O374</f>
        <v>1.18</v>
      </c>
      <c r="N374" s="15" t="s">
        <v>798</v>
      </c>
      <c r="O374" s="52">
        <f>cPPI.Omep</f>
        <v>1.18</v>
      </c>
      <c r="AB374"/>
    </row>
    <row r="375" spans="1:31" s="110" customFormat="1" ht="12" customHeight="1" outlineLevel="2" thickBot="1" x14ac:dyDescent="0.3">
      <c r="A375" s="328"/>
      <c r="B375" s="384"/>
      <c r="C375" s="367"/>
      <c r="D375" s="112"/>
      <c r="G375" s="112" t="s">
        <v>89</v>
      </c>
      <c r="H375" s="112" t="s">
        <v>89</v>
      </c>
      <c r="I375" s="112" t="s">
        <v>89</v>
      </c>
      <c r="J375" s="112" t="s">
        <v>89</v>
      </c>
      <c r="K375" s="112" t="s">
        <v>89</v>
      </c>
      <c r="L375" s="110" t="s">
        <v>209</v>
      </c>
    </row>
    <row r="376" spans="1:31" ht="12" customHeight="1" outlineLevel="3" x14ac:dyDescent="0.25">
      <c r="A376" s="328"/>
      <c r="B376" s="384"/>
      <c r="C376" s="367"/>
      <c r="D376" s="412"/>
      <c r="G376" s="40" t="s">
        <v>89</v>
      </c>
      <c r="H376" s="40" t="s">
        <v>89</v>
      </c>
      <c r="I376" s="40" t="s">
        <v>89</v>
      </c>
      <c r="J376" s="40" t="s">
        <v>89</v>
      </c>
      <c r="K376" s="40" t="s">
        <v>89</v>
      </c>
      <c r="L376" t="s">
        <v>595</v>
      </c>
      <c r="M376"/>
      <c r="O376"/>
      <c r="AB376"/>
    </row>
    <row r="377" spans="1:31" ht="12" customHeight="1" outlineLevel="3" x14ac:dyDescent="0.25">
      <c r="A377" s="328"/>
      <c r="B377" s="384"/>
      <c r="C377" s="367"/>
      <c r="D377" s="412"/>
      <c r="G377" s="40" t="s">
        <v>89</v>
      </c>
      <c r="H377" s="40" t="s">
        <v>89</v>
      </c>
      <c r="I377" s="40" t="s">
        <v>89</v>
      </c>
      <c r="J377" s="40" t="s">
        <v>89</v>
      </c>
      <c r="K377" s="40" t="s">
        <v>89</v>
      </c>
      <c r="L377" s="104" t="s">
        <v>186</v>
      </c>
      <c r="M377"/>
      <c r="O377"/>
      <c r="AB377"/>
    </row>
    <row r="378" spans="1:31" ht="12" customHeight="1" outlineLevel="3" x14ac:dyDescent="0.25">
      <c r="A378" s="328"/>
      <c r="B378" s="384"/>
      <c r="C378" s="367"/>
      <c r="D378" s="412"/>
      <c r="G378" s="40" t="s">
        <v>89</v>
      </c>
      <c r="H378" s="40" t="s">
        <v>89</v>
      </c>
      <c r="I378" s="40" t="s">
        <v>752</v>
      </c>
      <c r="J378" s="40" t="s">
        <v>89</v>
      </c>
      <c r="K378" s="40" t="s">
        <v>89</v>
      </c>
      <c r="L378" s="170" t="s">
        <v>457</v>
      </c>
      <c r="M378" s="331">
        <f>O378</f>
        <v>10413</v>
      </c>
      <c r="O378" s="52">
        <f>CHOOSE(swtchPSA, S378, AB378)</f>
        <v>10413</v>
      </c>
      <c r="P378" s="52"/>
      <c r="Q378" s="14">
        <v>191</v>
      </c>
      <c r="R378" s="49"/>
      <c r="S378" s="181">
        <v>10413</v>
      </c>
      <c r="T378" s="181">
        <v>15105</v>
      </c>
      <c r="U378" s="332">
        <f>T378/SQRT(Q378)</f>
        <v>1092.9594412942029</v>
      </c>
      <c r="V378" s="109">
        <f>_xlfn.GAMMA.INV(0.025, AD378, AE378)</f>
        <v>8381.4740991745894</v>
      </c>
      <c r="X378" s="109">
        <f>_xlfn.GAMMA.INV(0.975, AD378, AE378)</f>
        <v>12661.664398637147</v>
      </c>
      <c r="Y378" s="32" t="s">
        <v>587</v>
      </c>
      <c r="Z378" s="32"/>
      <c r="AA378" s="19">
        <f ca="1">RAND()</f>
        <v>0.64151201432331806</v>
      </c>
      <c r="AB378" s="267">
        <f ca="1">_xlfn.GAMMA.INV(AA378,AD378,AE378)</f>
        <v>10775.177233406546</v>
      </c>
      <c r="AC378" s="15" t="s">
        <v>38</v>
      </c>
      <c r="AD378" s="54">
        <f>S378^2/U378^2</f>
        <v>90.770273665276534</v>
      </c>
      <c r="AE378" s="55">
        <f>U378^2/S378</f>
        <v>114.71817346721753</v>
      </c>
    </row>
    <row r="379" spans="1:31" ht="12" customHeight="1" outlineLevel="3" x14ac:dyDescent="0.25">
      <c r="A379" s="328"/>
      <c r="B379" s="384"/>
      <c r="C379" s="367"/>
      <c r="D379" s="412"/>
      <c r="G379" s="40" t="s">
        <v>89</v>
      </c>
      <c r="H379" s="40" t="s">
        <v>89</v>
      </c>
      <c r="I379" s="40" t="s">
        <v>752</v>
      </c>
      <c r="J379" s="40" t="s">
        <v>89</v>
      </c>
      <c r="K379" s="40" t="s">
        <v>89</v>
      </c>
      <c r="L379" s="170" t="s">
        <v>590</v>
      </c>
      <c r="M379" s="48">
        <f>O379</f>
        <v>3945</v>
      </c>
      <c r="O379" s="52">
        <f>CHOOSE(swtchPSA, S379, AB379)</f>
        <v>3945</v>
      </c>
      <c r="P379" s="52"/>
      <c r="Q379" s="14">
        <f>2+64</f>
        <v>66</v>
      </c>
      <c r="R379" s="49"/>
      <c r="S379" s="181">
        <v>3945</v>
      </c>
      <c r="T379" s="181">
        <v>7558</v>
      </c>
      <c r="U379" s="332">
        <f>T379/SQRT(Q379)</f>
        <v>930.32548882179674</v>
      </c>
      <c r="V379" s="109">
        <f>_xlfn.GAMMA.INV(0.025, AD379, AE379)</f>
        <v>2337.3422382870663</v>
      </c>
      <c r="X379" s="109">
        <f>_xlfn.GAMMA.INV(0.975, AD379, AE379)</f>
        <v>5966.5601528747475</v>
      </c>
      <c r="Y379" s="32" t="s">
        <v>587</v>
      </c>
      <c r="Z379" s="32"/>
      <c r="AA379" s="19">
        <f ca="1">RAND()</f>
        <v>0.95924497619459737</v>
      </c>
      <c r="AB379" s="267">
        <f ca="1">_xlfn.GAMMA.INV(AA379,AD379,AE379)</f>
        <v>5704.0291653940139</v>
      </c>
      <c r="AC379" s="15" t="s">
        <v>38</v>
      </c>
      <c r="AD379" s="54">
        <f>S379^2/U379^2</f>
        <v>17.981427879492536</v>
      </c>
      <c r="AE379" s="55">
        <f>U379^2/S379</f>
        <v>219.39303299151206</v>
      </c>
    </row>
    <row r="380" spans="1:31" ht="12" customHeight="1" outlineLevel="3" x14ac:dyDescent="0.25">
      <c r="A380" s="328"/>
      <c r="B380" s="384"/>
      <c r="C380" s="367"/>
      <c r="D380" s="412"/>
      <c r="G380" s="40" t="s">
        <v>89</v>
      </c>
      <c r="H380" s="40" t="s">
        <v>89</v>
      </c>
      <c r="I380" s="40" t="s">
        <v>752</v>
      </c>
      <c r="J380" s="40" t="s">
        <v>89</v>
      </c>
      <c r="K380" s="40" t="s">
        <v>89</v>
      </c>
      <c r="L380" s="170" t="s">
        <v>589</v>
      </c>
      <c r="M380" s="48">
        <f>O380</f>
        <v>17406</v>
      </c>
      <c r="O380" s="52">
        <f>CHOOSE(swtchPSA, S380, AB380)</f>
        <v>17406</v>
      </c>
      <c r="P380" s="52"/>
      <c r="Q380" s="14">
        <f>15+52</f>
        <v>67</v>
      </c>
      <c r="R380" s="49"/>
      <c r="S380" s="181">
        <v>17406</v>
      </c>
      <c r="T380" s="181">
        <v>18417</v>
      </c>
      <c r="U380" s="332">
        <f>T380/SQRT(Q380)</f>
        <v>2249.9946567100733</v>
      </c>
      <c r="V380" s="109">
        <f>_xlfn.GAMMA.INV(0.025, AD380, AE380)</f>
        <v>13277.678134108766</v>
      </c>
      <c r="X380" s="109">
        <f>_xlfn.GAMMA.INV(0.975, AD380, AE380)</f>
        <v>22084.608406981999</v>
      </c>
      <c r="Y380" s="32" t="s">
        <v>587</v>
      </c>
      <c r="Z380" s="32"/>
      <c r="AA380" s="19">
        <f ca="1">RAND()</f>
        <v>0.15526287786731097</v>
      </c>
      <c r="AB380" s="267">
        <f ca="1">_xlfn.GAMMA.INV(AA380,AD380,AE380)</f>
        <v>15133.3545860872</v>
      </c>
      <c r="AC380" s="15" t="s">
        <v>38</v>
      </c>
      <c r="AD380" s="54">
        <f>S380^2/U380^2</f>
        <v>59.84598024359439</v>
      </c>
      <c r="AE380" s="55">
        <f>U380^2/S380</f>
        <v>290.84660204664374</v>
      </c>
    </row>
    <row r="381" spans="1:31" ht="12" customHeight="1" outlineLevel="3" x14ac:dyDescent="0.25">
      <c r="A381" s="328"/>
      <c r="B381" s="384"/>
      <c r="C381" s="367"/>
      <c r="D381" s="412"/>
      <c r="G381" s="40" t="s">
        <v>89</v>
      </c>
      <c r="H381" s="40" t="s">
        <v>89</v>
      </c>
      <c r="I381" s="40" t="s">
        <v>752</v>
      </c>
      <c r="J381" s="40" t="s">
        <v>89</v>
      </c>
      <c r="K381" s="40" t="s">
        <v>89</v>
      </c>
      <c r="L381" s="170" t="s">
        <v>588</v>
      </c>
      <c r="M381" s="48">
        <f>O381</f>
        <v>25279</v>
      </c>
      <c r="O381" s="52">
        <f>CHOOSE(swtchPSA, S381, AB381)</f>
        <v>25279</v>
      </c>
      <c r="P381" s="52"/>
      <c r="Q381" s="14">
        <f>8+10</f>
        <v>18</v>
      </c>
      <c r="R381" s="49"/>
      <c r="S381" s="181">
        <v>25279</v>
      </c>
      <c r="T381" s="181">
        <v>16393</v>
      </c>
      <c r="U381" s="332">
        <f>T381/SQRT(Q381)</f>
        <v>3863.8671546636915</v>
      </c>
      <c r="V381" s="109">
        <f>_xlfn.GAMMA.INV(0.025, AD381, AE381)</f>
        <v>18279.838752515574</v>
      </c>
      <c r="X381" s="109">
        <f>_xlfn.GAMMA.INV(0.975, AD381, AE381)</f>
        <v>33395.020198095626</v>
      </c>
      <c r="Y381" s="32" t="s">
        <v>587</v>
      </c>
      <c r="Z381" s="32"/>
      <c r="AA381" s="19">
        <f ca="1">RAND()</f>
        <v>6.2556951262917604E-2</v>
      </c>
      <c r="AB381" s="267">
        <f ca="1">_xlfn.GAMMA.INV(AA381,AD381,AE381)</f>
        <v>19636.891686313193</v>
      </c>
      <c r="AC381" s="15" t="s">
        <v>38</v>
      </c>
      <c r="AD381" s="54">
        <f>S381^2/U381^2</f>
        <v>42.80311807167039</v>
      </c>
      <c r="AE381" s="55">
        <f>U381^2/S381</f>
        <v>590.58781553419408</v>
      </c>
    </row>
    <row r="382" spans="1:31" ht="12" customHeight="1" outlineLevel="3" x14ac:dyDescent="0.25">
      <c r="A382" s="328"/>
      <c r="B382" s="384"/>
      <c r="C382" s="367"/>
      <c r="D382" s="412"/>
      <c r="G382" s="40" t="s">
        <v>89</v>
      </c>
      <c r="H382" s="40" t="s">
        <v>89</v>
      </c>
      <c r="I382" s="40" t="s">
        <v>752</v>
      </c>
      <c r="J382" s="40" t="s">
        <v>89</v>
      </c>
      <c r="K382" s="40" t="s">
        <v>89</v>
      </c>
      <c r="L382" s="170" t="s">
        <v>593</v>
      </c>
      <c r="M382" s="48">
        <f>O382</f>
        <v>2680</v>
      </c>
      <c r="O382" s="52">
        <f>CHOOSE(swtchPSA, S382, AB382)</f>
        <v>2680</v>
      </c>
      <c r="P382" s="52"/>
      <c r="Q382" s="14">
        <v>40</v>
      </c>
      <c r="R382" s="49"/>
      <c r="S382" s="181">
        <v>2680</v>
      </c>
      <c r="T382" s="181">
        <v>2661</v>
      </c>
      <c r="U382" s="332">
        <f>T382/SQRT(Q382)</f>
        <v>420.74104268540282</v>
      </c>
      <c r="V382" s="109">
        <f>_xlfn.GAMMA.INV(0.025, AD382, AE382)</f>
        <v>1919.5878345773538</v>
      </c>
      <c r="X382" s="109">
        <f>_xlfn.GAMMA.INV(0.975, AD382, AE382)</f>
        <v>3565.3137513329384</v>
      </c>
      <c r="Y382" s="32" t="s">
        <v>587</v>
      </c>
      <c r="Z382" s="32"/>
      <c r="AA382" s="19">
        <f ca="1">RAND()</f>
        <v>0.96679986931414297</v>
      </c>
      <c r="AB382" s="267">
        <f ca="1">_xlfn.GAMMA.INV(AA382,AD382,AE382)</f>
        <v>3502.5404241703327</v>
      </c>
      <c r="AC382" s="15" t="s">
        <v>38</v>
      </c>
      <c r="AD382" s="54">
        <f>S382^2/U382^2</f>
        <v>40.57325311213048</v>
      </c>
      <c r="AE382" s="55">
        <f>U382^2/S382</f>
        <v>66.05336753731342</v>
      </c>
    </row>
    <row r="383" spans="1:31" ht="12" customHeight="1" outlineLevel="3" x14ac:dyDescent="0.25">
      <c r="A383" s="328"/>
      <c r="B383" s="384"/>
      <c r="C383" s="367"/>
      <c r="D383" s="412"/>
      <c r="G383" s="40" t="s">
        <v>89</v>
      </c>
      <c r="H383" s="40" t="s">
        <v>89</v>
      </c>
      <c r="I383" s="40" t="s">
        <v>89</v>
      </c>
      <c r="J383" s="40" t="s">
        <v>89</v>
      </c>
      <c r="K383" s="40" t="s">
        <v>89</v>
      </c>
      <c r="L383" s="12" t="s">
        <v>696</v>
      </c>
      <c r="M383"/>
      <c r="O383"/>
      <c r="AB383"/>
    </row>
    <row r="384" spans="1:31" ht="12" customHeight="1" outlineLevel="3" x14ac:dyDescent="0.25">
      <c r="A384" s="328"/>
      <c r="B384" s="384"/>
      <c r="C384" s="367"/>
      <c r="D384" s="412"/>
      <c r="G384" s="40" t="s">
        <v>89</v>
      </c>
      <c r="H384" s="40" t="s">
        <v>89</v>
      </c>
      <c r="I384" s="40" t="s">
        <v>752</v>
      </c>
      <c r="J384" s="40" t="s">
        <v>89</v>
      </c>
      <c r="K384" s="40" t="s">
        <v>89</v>
      </c>
      <c r="L384" s="170" t="s">
        <v>590</v>
      </c>
      <c r="M384" s="174">
        <f>O384</f>
        <v>4884.8235099536159</v>
      </c>
      <c r="O384" s="52" cm="1">
        <f t="array" ref="O384">_fnINFLATE(M379, 2008, 2020)</f>
        <v>4884.8235099536159</v>
      </c>
      <c r="P384" s="52"/>
      <c r="V384" s="109" cm="1">
        <f t="array" ref="V384">_fnINFLATE(V379, 2008, 2020)</f>
        <v>2894.170929377</v>
      </c>
      <c r="X384" s="109" cm="1">
        <f t="array" ref="X384">_fnINFLATE(X379, 2008, 2020)</f>
        <v>7387.9830946299107</v>
      </c>
    </row>
    <row r="385" spans="1:31" ht="12" customHeight="1" outlineLevel="3" x14ac:dyDescent="0.25">
      <c r="A385" s="328"/>
      <c r="B385" s="384"/>
      <c r="C385" s="367"/>
      <c r="D385" s="412"/>
      <c r="G385" s="40" t="s">
        <v>89</v>
      </c>
      <c r="H385" s="40" t="s">
        <v>89</v>
      </c>
      <c r="I385" s="40" t="s">
        <v>752</v>
      </c>
      <c r="J385" s="40" t="s">
        <v>89</v>
      </c>
      <c r="K385" s="40" t="s">
        <v>89</v>
      </c>
      <c r="L385" s="170" t="s">
        <v>589</v>
      </c>
      <c r="M385" s="174">
        <f>O385</f>
        <v>21552.658558745909</v>
      </c>
      <c r="O385" s="52" cm="1">
        <f t="array" ref="O385">_fnINFLATE(M380, 2008, 2020)</f>
        <v>21552.658558745909</v>
      </c>
      <c r="P385" s="52"/>
      <c r="V385" s="109" cm="1">
        <f t="array" ref="V385">_fnINFLATE(V380, 2008, 2020)</f>
        <v>16440.840128540316</v>
      </c>
      <c r="X385" s="109" cm="1">
        <f t="array" ref="X385">_fnINFLATE(X380, 2008, 2020)</f>
        <v>27345.859151975896</v>
      </c>
    </row>
    <row r="386" spans="1:31" ht="12" customHeight="1" outlineLevel="3" x14ac:dyDescent="0.25">
      <c r="A386" s="328"/>
      <c r="B386" s="384"/>
      <c r="C386" s="367"/>
      <c r="D386" s="412"/>
      <c r="G386" s="40" t="s">
        <v>89</v>
      </c>
      <c r="H386" s="40" t="s">
        <v>89</v>
      </c>
      <c r="I386" s="40" t="s">
        <v>752</v>
      </c>
      <c r="J386" s="40" t="s">
        <v>89</v>
      </c>
      <c r="K386" s="40" t="s">
        <v>89</v>
      </c>
      <c r="L386" s="170" t="s">
        <v>588</v>
      </c>
      <c r="M386" s="174">
        <f>O386</f>
        <v>31301.255642108339</v>
      </c>
      <c r="O386" s="52" cm="1">
        <f t="array" ref="O386">_fnINFLATE(M381, 2008, 2020)</f>
        <v>31301.255642108339</v>
      </c>
      <c r="P386" s="52"/>
      <c r="V386" s="109" cm="1">
        <f t="array" ref="V386">_fnINFLATE(V381, 2008, 2020)</f>
        <v>22634.673281736177</v>
      </c>
      <c r="X386" s="109" cm="1">
        <f t="array" ref="X386">_fnINFLATE(X381, 2008, 2020)</f>
        <v>41350.768004824662</v>
      </c>
    </row>
    <row r="387" spans="1:31" ht="12" customHeight="1" outlineLevel="3" x14ac:dyDescent="0.25">
      <c r="A387" s="328"/>
      <c r="B387" s="384"/>
      <c r="C387" s="367"/>
      <c r="D387" s="412"/>
      <c r="G387" s="40" t="s">
        <v>89</v>
      </c>
      <c r="H387" s="40" t="s">
        <v>89</v>
      </c>
      <c r="I387" s="40" t="s">
        <v>752</v>
      </c>
      <c r="J387" s="40" t="s">
        <v>89</v>
      </c>
      <c r="K387" s="40" t="s">
        <v>89</v>
      </c>
      <c r="L387" s="170" t="s">
        <v>593</v>
      </c>
      <c r="M387" s="174">
        <f>O387</f>
        <v>3318.4605847086659</v>
      </c>
      <c r="O387" s="52" cm="1">
        <f t="array" ref="O387">_fnINFLATE(M382, 2008, 2020)</f>
        <v>3318.4605847086659</v>
      </c>
      <c r="P387" s="52"/>
      <c r="V387" s="109" cm="1">
        <f t="array" ref="V387">_fnINFLATE(V382, 2008, 2020)</f>
        <v>2376.8942417653761</v>
      </c>
      <c r="X387" s="109" cm="1">
        <f t="array" ref="X387">_fnINFLATE(X382, 2008, 2020)</f>
        <v>4414.6840134022959</v>
      </c>
    </row>
    <row r="388" spans="1:31" ht="12" customHeight="1" outlineLevel="3" x14ac:dyDescent="0.25">
      <c r="A388" s="328"/>
      <c r="B388" s="384"/>
      <c r="C388" s="367"/>
      <c r="D388" s="412"/>
      <c r="G388" s="40" t="s">
        <v>89</v>
      </c>
      <c r="H388" s="40" t="s">
        <v>89</v>
      </c>
      <c r="I388" s="40" t="s">
        <v>89</v>
      </c>
      <c r="J388" s="40" t="s">
        <v>89</v>
      </c>
      <c r="K388" s="40" t="s">
        <v>89</v>
      </c>
      <c r="L388" t="s">
        <v>591</v>
      </c>
      <c r="M388"/>
      <c r="O388"/>
      <c r="AB388"/>
    </row>
    <row r="389" spans="1:31" ht="12" customHeight="1" outlineLevel="3" x14ac:dyDescent="0.25">
      <c r="A389" s="328"/>
      <c r="B389" s="384"/>
      <c r="C389" s="367"/>
      <c r="D389" s="412"/>
      <c r="G389" s="40" t="s">
        <v>89</v>
      </c>
      <c r="H389" s="40" t="s">
        <v>89</v>
      </c>
      <c r="I389" s="40" t="s">
        <v>89</v>
      </c>
      <c r="J389" s="40" t="s">
        <v>89</v>
      </c>
      <c r="K389" s="40" t="s">
        <v>89</v>
      </c>
      <c r="L389" s="104" t="s">
        <v>186</v>
      </c>
      <c r="M389"/>
      <c r="O389"/>
      <c r="AB389"/>
    </row>
    <row r="390" spans="1:31" ht="12" customHeight="1" outlineLevel="3" x14ac:dyDescent="0.25">
      <c r="A390" s="328"/>
      <c r="B390" s="384"/>
      <c r="C390" s="367"/>
      <c r="D390" s="412"/>
      <c r="G390" s="40" t="s">
        <v>89</v>
      </c>
      <c r="H390" s="40" t="s">
        <v>89</v>
      </c>
      <c r="I390" s="40" t="s">
        <v>752</v>
      </c>
      <c r="J390" s="40" t="s">
        <v>89</v>
      </c>
      <c r="K390" s="40" t="s">
        <v>89</v>
      </c>
      <c r="L390" s="170" t="s">
        <v>457</v>
      </c>
      <c r="M390" s="331">
        <f>O390</f>
        <v>804</v>
      </c>
      <c r="O390" s="52">
        <f>CHOOSE(swtchPSA, S390, AB390)</f>
        <v>804</v>
      </c>
      <c r="P390" s="52"/>
      <c r="Q390" s="14">
        <v>136</v>
      </c>
      <c r="R390" s="49"/>
      <c r="S390" s="181">
        <v>804</v>
      </c>
      <c r="U390" s="109">
        <f>(X390-V390) / 2 / _xlfn.NORM.S.INV(0.975)</f>
        <v>834.70921552873403</v>
      </c>
      <c r="V390" s="181">
        <v>-832</v>
      </c>
      <c r="W390" s="182"/>
      <c r="X390" s="181">
        <v>2440</v>
      </c>
      <c r="Y390" s="32" t="s">
        <v>587</v>
      </c>
      <c r="Z390" s="32"/>
      <c r="AA390" s="19">
        <f ca="1">RAND()</f>
        <v>6.2618943979461328E-2</v>
      </c>
      <c r="AB390" s="330">
        <f ca="1">_xlfn.NORM.INV(AA390, AD390, AE390)</f>
        <v>-475.73786488271207</v>
      </c>
      <c r="AC390" s="250" t="s">
        <v>23</v>
      </c>
      <c r="AD390" s="27">
        <f>S390</f>
        <v>804</v>
      </c>
      <c r="AE390" s="26">
        <f>U390</f>
        <v>834.70921552873403</v>
      </c>
    </row>
    <row r="391" spans="1:31" ht="12" customHeight="1" outlineLevel="3" x14ac:dyDescent="0.25">
      <c r="A391" s="328"/>
      <c r="B391" s="384"/>
      <c r="C391" s="367"/>
      <c r="D391" s="412"/>
      <c r="G391" s="40" t="s">
        <v>89</v>
      </c>
      <c r="H391" s="40" t="s">
        <v>89</v>
      </c>
      <c r="I391" s="40" t="s">
        <v>752</v>
      </c>
      <c r="J391" s="40" t="s">
        <v>89</v>
      </c>
      <c r="K391" s="40" t="s">
        <v>89</v>
      </c>
      <c r="L391" s="170" t="s">
        <v>590</v>
      </c>
      <c r="M391" s="48">
        <f>O391</f>
        <v>382</v>
      </c>
      <c r="O391" s="52">
        <f>CHOOSE(swtchPSA, S391, AB391)</f>
        <v>382</v>
      </c>
      <c r="P391" s="52"/>
      <c r="Q391" s="14">
        <f>2+64</f>
        <v>66</v>
      </c>
      <c r="R391" s="49"/>
      <c r="S391" s="181">
        <v>382</v>
      </c>
      <c r="U391" s="109">
        <f>(X391-V391) / 2 / _xlfn.NORM.S.INV(0.975)</f>
        <v>593.63335713183506</v>
      </c>
      <c r="V391" s="181">
        <v>-781</v>
      </c>
      <c r="W391" s="182"/>
      <c r="X391" s="181">
        <v>1546</v>
      </c>
      <c r="Y391" s="32" t="s">
        <v>587</v>
      </c>
      <c r="Z391" s="32"/>
      <c r="AA391" s="19">
        <f ca="1">RAND()</f>
        <v>0.49224568728770091</v>
      </c>
      <c r="AB391" s="330">
        <f ca="1">_xlfn.NORM.INV(AA391, AD391, AE391)</f>
        <v>370.4607152349999</v>
      </c>
      <c r="AC391" s="250" t="s">
        <v>23</v>
      </c>
      <c r="AD391" s="27">
        <f>S391</f>
        <v>382</v>
      </c>
      <c r="AE391" s="26">
        <f>U391</f>
        <v>593.63335713183506</v>
      </c>
    </row>
    <row r="392" spans="1:31" ht="12" customHeight="1" outlineLevel="3" x14ac:dyDescent="0.25">
      <c r="A392" s="328"/>
      <c r="B392" s="384"/>
      <c r="C392" s="367"/>
      <c r="D392" s="412"/>
      <c r="G392" s="40" t="s">
        <v>89</v>
      </c>
      <c r="H392" s="40" t="s">
        <v>89</v>
      </c>
      <c r="I392" s="40" t="s">
        <v>752</v>
      </c>
      <c r="J392" s="40" t="s">
        <v>89</v>
      </c>
      <c r="K392" s="40" t="s">
        <v>89</v>
      </c>
      <c r="L392" s="170" t="s">
        <v>589</v>
      </c>
      <c r="M392" s="48">
        <f>O392</f>
        <v>825</v>
      </c>
      <c r="O392" s="52">
        <f>CHOOSE(swtchPSA, S392, AB392)</f>
        <v>825</v>
      </c>
      <c r="P392" s="52"/>
      <c r="Q392" s="14">
        <v>58</v>
      </c>
      <c r="R392" s="49"/>
      <c r="S392" s="181">
        <v>825</v>
      </c>
      <c r="U392" s="109">
        <f>(X392-V392) / 2 / _xlfn.NORM.S.INV(0.975)</f>
        <v>1509.2114055831266</v>
      </c>
      <c r="V392" s="181">
        <v>-2133</v>
      </c>
      <c r="W392" s="182"/>
      <c r="X392" s="181">
        <v>3783</v>
      </c>
      <c r="Y392" s="32" t="s">
        <v>587</v>
      </c>
      <c r="Z392" s="32"/>
      <c r="AA392" s="19">
        <f ca="1">RAND()</f>
        <v>0.27230750614583288</v>
      </c>
      <c r="AB392" s="330">
        <f ca="1">_xlfn.NORM.INV(AA392, AD392, AE392)</f>
        <v>-89.354257006819694</v>
      </c>
      <c r="AC392" s="250" t="s">
        <v>23</v>
      </c>
      <c r="AD392" s="27">
        <f>S392</f>
        <v>825</v>
      </c>
      <c r="AE392" s="26">
        <f>U392</f>
        <v>1509.2114055831266</v>
      </c>
    </row>
    <row r="393" spans="1:31" ht="12" customHeight="1" outlineLevel="3" x14ac:dyDescent="0.25">
      <c r="A393" s="328"/>
      <c r="B393" s="384"/>
      <c r="C393" s="367"/>
      <c r="D393" s="412"/>
      <c r="G393" s="40" t="s">
        <v>89</v>
      </c>
      <c r="H393" s="40" t="s">
        <v>89</v>
      </c>
      <c r="I393" s="40" t="s">
        <v>752</v>
      </c>
      <c r="J393" s="40" t="s">
        <v>89</v>
      </c>
      <c r="K393" s="40" t="s">
        <v>89</v>
      </c>
      <c r="L393" s="170" t="s">
        <v>588</v>
      </c>
      <c r="M393" s="48">
        <f>O393</f>
        <v>3019</v>
      </c>
      <c r="O393" s="52">
        <f>CHOOSE(swtchPSA, S393, AB393)</f>
        <v>3019</v>
      </c>
      <c r="P393" s="52"/>
      <c r="Q393" s="14">
        <v>12</v>
      </c>
      <c r="R393" s="49"/>
      <c r="S393" s="181">
        <v>3019</v>
      </c>
      <c r="U393" s="109">
        <f>(X393-V393) / 2 / _xlfn.NORM.S.INV(0.975)</f>
        <v>6051.3867058548594</v>
      </c>
      <c r="V393" s="181">
        <v>-8841</v>
      </c>
      <c r="W393" s="182"/>
      <c r="X393" s="181">
        <v>14880</v>
      </c>
      <c r="Y393" s="32" t="s">
        <v>587</v>
      </c>
      <c r="Z393" s="32"/>
      <c r="AA393" s="19">
        <f ca="1">RAND()</f>
        <v>0.16365993534279999</v>
      </c>
      <c r="AB393" s="330">
        <f ca="1">_xlfn.NORM.INV(AA393, AD393, AE393)</f>
        <v>-2908.4940173644291</v>
      </c>
      <c r="AC393" s="250" t="s">
        <v>23</v>
      </c>
      <c r="AD393" s="27">
        <f>S393</f>
        <v>3019</v>
      </c>
      <c r="AE393" s="26">
        <f>U393</f>
        <v>6051.3867058548594</v>
      </c>
    </row>
    <row r="394" spans="1:31" ht="12" customHeight="1" outlineLevel="3" x14ac:dyDescent="0.25">
      <c r="A394" s="328"/>
      <c r="B394" s="384"/>
      <c r="C394" s="367"/>
      <c r="D394" s="412"/>
      <c r="G394" s="40" t="s">
        <v>89</v>
      </c>
      <c r="H394" s="40" t="s">
        <v>89</v>
      </c>
      <c r="I394" s="40" t="s">
        <v>89</v>
      </c>
      <c r="J394" s="40" t="s">
        <v>89</v>
      </c>
      <c r="K394" s="40" t="s">
        <v>89</v>
      </c>
      <c r="L394" s="12" t="s">
        <v>696</v>
      </c>
      <c r="M394"/>
      <c r="O394"/>
      <c r="AB394"/>
    </row>
    <row r="395" spans="1:31" ht="12" customHeight="1" outlineLevel="3" x14ac:dyDescent="0.25">
      <c r="A395" s="328"/>
      <c r="B395" s="384"/>
      <c r="C395" s="367"/>
      <c r="D395" s="412"/>
      <c r="G395" s="40" t="s">
        <v>89</v>
      </c>
      <c r="H395" s="40" t="s">
        <v>89</v>
      </c>
      <c r="I395" s="40" t="s">
        <v>752</v>
      </c>
      <c r="J395" s="40" t="s">
        <v>89</v>
      </c>
      <c r="K395" s="40" t="s">
        <v>89</v>
      </c>
      <c r="L395" s="170" t="s">
        <v>590</v>
      </c>
      <c r="M395" s="174">
        <f>O395</f>
        <v>473.0044564771307</v>
      </c>
      <c r="O395" s="52" cm="1">
        <f t="array" ref="O395">_fnINFLATE(M391, 2008, 2020)</f>
        <v>473.0044564771307</v>
      </c>
      <c r="P395" s="52"/>
      <c r="V395" s="109" cm="1">
        <f t="array" ref="V395">_fnINFLATE(V391, 2008, 2020)</f>
        <v>-967.05884949905544</v>
      </c>
      <c r="X395" s="109" cm="1">
        <f t="array" ref="X395">_fnINFLATE(X391, 2008, 2020)</f>
        <v>1914.305994014775</v>
      </c>
    </row>
    <row r="396" spans="1:31" ht="12" customHeight="1" outlineLevel="3" x14ac:dyDescent="0.25">
      <c r="A396" s="328"/>
      <c r="B396" s="384"/>
      <c r="C396" s="367"/>
      <c r="D396" s="412"/>
      <c r="G396" s="40" t="s">
        <v>89</v>
      </c>
      <c r="H396" s="40" t="s">
        <v>89</v>
      </c>
      <c r="I396" s="40" t="s">
        <v>752</v>
      </c>
      <c r="J396" s="40" t="s">
        <v>89</v>
      </c>
      <c r="K396" s="40" t="s">
        <v>89</v>
      </c>
      <c r="L396" s="170" t="s">
        <v>589</v>
      </c>
      <c r="M396" s="174">
        <f>O396</f>
        <v>1021.5410382032272</v>
      </c>
      <c r="O396" s="52" cm="1">
        <f t="array" ref="O396">_fnINFLATE(M392, 2008, 2020)</f>
        <v>1021.5410382032272</v>
      </c>
      <c r="P396" s="52"/>
      <c r="V396" s="109" cm="1">
        <f t="array" ref="V396">_fnINFLATE(V392, 2008, 2020)</f>
        <v>-2641.1479205908895</v>
      </c>
      <c r="X396" s="109" cm="1">
        <f t="array" ref="X396">_fnINFLATE(X392, 2008, 2020)</f>
        <v>4684.2299969973446</v>
      </c>
    </row>
    <row r="397" spans="1:31" ht="12" customHeight="1" outlineLevel="3" x14ac:dyDescent="0.25">
      <c r="A397" s="328"/>
      <c r="B397" s="384"/>
      <c r="C397" s="367"/>
      <c r="D397" s="412"/>
      <c r="G397" s="40" t="s">
        <v>89</v>
      </c>
      <c r="H397" s="40" t="s">
        <v>89</v>
      </c>
      <c r="I397" s="40" t="s">
        <v>752</v>
      </c>
      <c r="J397" s="40" t="s">
        <v>89</v>
      </c>
      <c r="K397" s="40" t="s">
        <v>89</v>
      </c>
      <c r="L397" s="170" t="s">
        <v>588</v>
      </c>
      <c r="M397" s="174">
        <f>O397</f>
        <v>3738.221084043083</v>
      </c>
      <c r="O397" s="52" cm="1">
        <f t="array" ref="O397">_fnINFLATE(M393, 2008, 2020)</f>
        <v>3738.221084043083</v>
      </c>
      <c r="P397" s="52"/>
      <c r="V397" s="109" cm="1">
        <f t="array" ref="V397">_fnINFLATE(V393, 2008, 2020)</f>
        <v>-10947.205234854217</v>
      </c>
      <c r="X397" s="109" cm="1">
        <f t="array" ref="X397">_fnINFLATE(X393, 2008, 2020)</f>
        <v>18424.885634501847</v>
      </c>
    </row>
    <row r="398" spans="1:31" ht="12" customHeight="1" outlineLevel="3" x14ac:dyDescent="0.25">
      <c r="A398" s="328"/>
      <c r="B398" s="384"/>
      <c r="C398" s="367"/>
      <c r="D398" s="412"/>
      <c r="G398" s="40" t="s">
        <v>89</v>
      </c>
      <c r="H398" s="40" t="s">
        <v>89</v>
      </c>
      <c r="I398" s="40" t="s">
        <v>89</v>
      </c>
      <c r="J398" s="40" t="s">
        <v>89</v>
      </c>
      <c r="K398" s="40" t="s">
        <v>89</v>
      </c>
      <c r="L398" t="s">
        <v>595</v>
      </c>
      <c r="M398"/>
      <c r="O398"/>
      <c r="AB398"/>
    </row>
    <row r="399" spans="1:31" ht="12" customHeight="1" outlineLevel="3" x14ac:dyDescent="0.25">
      <c r="A399" s="328"/>
      <c r="B399" s="384"/>
      <c r="C399" s="367"/>
      <c r="D399" s="412"/>
      <c r="G399" s="40" t="s">
        <v>89</v>
      </c>
      <c r="H399" s="40" t="s">
        <v>89</v>
      </c>
      <c r="I399" s="40" t="s">
        <v>89</v>
      </c>
      <c r="J399" s="40" t="s">
        <v>89</v>
      </c>
      <c r="K399" s="40" t="s">
        <v>89</v>
      </c>
      <c r="L399" s="104" t="s">
        <v>594</v>
      </c>
      <c r="M399"/>
      <c r="O399"/>
      <c r="AB399"/>
    </row>
    <row r="400" spans="1:31" ht="12" customHeight="1" outlineLevel="3" x14ac:dyDescent="0.25">
      <c r="A400" s="328"/>
      <c r="B400" s="384"/>
      <c r="C400" s="367"/>
      <c r="D400" s="412"/>
      <c r="G400" s="40" t="s">
        <v>89</v>
      </c>
      <c r="H400" s="40" t="s">
        <v>89</v>
      </c>
      <c r="I400" s="40" t="s">
        <v>752</v>
      </c>
      <c r="J400" s="40" t="s">
        <v>89</v>
      </c>
      <c r="K400" s="40" t="s">
        <v>89</v>
      </c>
      <c r="L400" s="170" t="s">
        <v>590</v>
      </c>
      <c r="M400" s="36">
        <f t="shared" ref="M400:M404" si="35">O400</f>
        <v>0.49074074074074076</v>
      </c>
      <c r="O400" s="11">
        <f>CHOOSE(swtchPSA, S400, AB400)</f>
        <v>0.49074074074074076</v>
      </c>
      <c r="P400" s="11"/>
      <c r="Q400" s="14">
        <f>SUM(R400:R403)</f>
        <v>216</v>
      </c>
      <c r="R400" s="14">
        <f>57+49</f>
        <v>106</v>
      </c>
      <c r="S400" s="17">
        <f>R400/Q400</f>
        <v>0.49074074074074076</v>
      </c>
      <c r="T400" s="18"/>
      <c r="U400" s="22">
        <f>SQRT((S400*(1-S400))/Q400)</f>
        <v>3.4014856919982739E-2</v>
      </c>
      <c r="V400" s="17">
        <f>_xlfn.BETA.INV(0.025, R400, Q400-R400)</f>
        <v>0.42437335746321841</v>
      </c>
      <c r="W400" s="18"/>
      <c r="X400" s="17">
        <f>_xlfn.BETA.INV(0.975, R400, Q400-R400)</f>
        <v>0.55727057133703661</v>
      </c>
      <c r="Y400" s="32" t="s">
        <v>592</v>
      </c>
      <c r="Z400" s="32"/>
      <c r="AA400" s="19">
        <f ca="1">_xlfn.GAMMA.INV(RAND(), R400, 1)</f>
        <v>97.967628868992648</v>
      </c>
      <c r="AB400" s="64">
        <f ca="1">AA400/SUM($AA$400:$AA$403)</f>
        <v>0.47118009558042062</v>
      </c>
      <c r="AC400" s="445" t="s">
        <v>61</v>
      </c>
    </row>
    <row r="401" spans="1:30" ht="12" customHeight="1" outlineLevel="3" x14ac:dyDescent="0.25">
      <c r="A401" s="328"/>
      <c r="B401" s="384"/>
      <c r="C401" s="367"/>
      <c r="D401" s="412"/>
      <c r="G401" s="40" t="s">
        <v>89</v>
      </c>
      <c r="H401" s="40" t="s">
        <v>89</v>
      </c>
      <c r="I401" s="40" t="s">
        <v>752</v>
      </c>
      <c r="J401" s="40" t="s">
        <v>89</v>
      </c>
      <c r="K401" s="40" t="s">
        <v>89</v>
      </c>
      <c r="L401" s="170" t="s">
        <v>589</v>
      </c>
      <c r="M401" s="36">
        <f t="shared" si="35"/>
        <v>0.25462962962962965</v>
      </c>
      <c r="O401" s="11">
        <f>CHOOSE(swtchPSA, S401, AB401)</f>
        <v>0.25462962962962965</v>
      </c>
      <c r="P401" s="11"/>
      <c r="Q401" s="14">
        <f>$Q$400</f>
        <v>216</v>
      </c>
      <c r="R401" s="14">
        <f>23+32</f>
        <v>55</v>
      </c>
      <c r="S401" s="17">
        <f>R401/Q401</f>
        <v>0.25462962962962965</v>
      </c>
      <c r="T401" s="18"/>
      <c r="U401" s="22">
        <f>SQRT((S401*(1-S401))/Q401)</f>
        <v>2.964241997170947E-2</v>
      </c>
      <c r="V401" s="17">
        <f>_xlfn.BETA.INV(0.025, R401, Q401-R401)</f>
        <v>0.19890369358918178</v>
      </c>
      <c r="W401" s="18"/>
      <c r="X401" s="17">
        <f>_xlfn.BETA.INV(0.975, R401, Q401-R401)</f>
        <v>0.31465857081940707</v>
      </c>
      <c r="Y401" s="32" t="s">
        <v>592</v>
      </c>
      <c r="Z401" s="32"/>
      <c r="AA401" s="19">
        <f ca="1">_xlfn.GAMMA.INV(RAND(), R401, 1)</f>
        <v>50.965737159931599</v>
      </c>
      <c r="AB401" s="64">
        <f ca="1">AA401/SUM($AA$400:$AA$403)</f>
        <v>0.24512220193117029</v>
      </c>
      <c r="AC401" s="445"/>
    </row>
    <row r="402" spans="1:30" ht="12" customHeight="1" outlineLevel="3" x14ac:dyDescent="0.25">
      <c r="A402" s="328"/>
      <c r="B402" s="384"/>
      <c r="C402" s="367"/>
      <c r="D402" s="412"/>
      <c r="G402" s="40" t="s">
        <v>89</v>
      </c>
      <c r="H402" s="40" t="s">
        <v>89</v>
      </c>
      <c r="I402" s="40" t="s">
        <v>752</v>
      </c>
      <c r="J402" s="40" t="s">
        <v>89</v>
      </c>
      <c r="K402" s="40" t="s">
        <v>89</v>
      </c>
      <c r="L402" s="170" t="s">
        <v>588</v>
      </c>
      <c r="M402" s="36">
        <f t="shared" si="35"/>
        <v>9.2592592592592587E-2</v>
      </c>
      <c r="O402" s="11">
        <f>CHOOSE(swtchPSA, S402, AB402)</f>
        <v>9.2592592592592587E-2</v>
      </c>
      <c r="P402" s="11"/>
      <c r="Q402" s="14">
        <f>$Q$400</f>
        <v>216</v>
      </c>
      <c r="R402" s="14">
        <f>9+11</f>
        <v>20</v>
      </c>
      <c r="S402" s="17">
        <f>R402/Q402</f>
        <v>9.2592592592592587E-2</v>
      </c>
      <c r="T402" s="18"/>
      <c r="U402" s="22">
        <f>SQRT((S402*(1-S402))/Q402)</f>
        <v>1.9722520074774499E-2</v>
      </c>
      <c r="V402" s="17">
        <f>_xlfn.BETA.INV(0.025, R402, Q402-R402)</f>
        <v>5.7750187121390198E-2</v>
      </c>
      <c r="W402" s="18"/>
      <c r="X402" s="17">
        <f>_xlfn.BETA.INV(0.975, R402, Q402-R402)</f>
        <v>0.13456333631711359</v>
      </c>
      <c r="Y402" s="32" t="s">
        <v>592</v>
      </c>
      <c r="Z402" s="32"/>
      <c r="AA402" s="19">
        <f ca="1">_xlfn.GAMMA.INV(RAND(), R402, 1)</f>
        <v>17.2802713596224</v>
      </c>
      <c r="AB402" s="64">
        <f ca="1">AA402/SUM($AA$400:$AA$403)</f>
        <v>8.3110309036575222E-2</v>
      </c>
      <c r="AC402" s="445"/>
      <c r="AD402" s="78"/>
    </row>
    <row r="403" spans="1:30" ht="12" customHeight="1" outlineLevel="3" x14ac:dyDescent="0.25">
      <c r="A403" s="328"/>
      <c r="B403" s="384"/>
      <c r="C403" s="367"/>
      <c r="D403" s="412"/>
      <c r="G403" s="40" t="s">
        <v>89</v>
      </c>
      <c r="H403" s="40" t="s">
        <v>89</v>
      </c>
      <c r="I403" s="40" t="s">
        <v>752</v>
      </c>
      <c r="J403" s="40" t="s">
        <v>89</v>
      </c>
      <c r="K403" s="40" t="s">
        <v>89</v>
      </c>
      <c r="L403" s="170" t="s">
        <v>593</v>
      </c>
      <c r="M403" s="36">
        <f t="shared" si="35"/>
        <v>0.16203703703703703</v>
      </c>
      <c r="O403" s="11">
        <f>CHOOSE(swtchPSA, S403, AB403)</f>
        <v>0.16203703703703703</v>
      </c>
      <c r="P403" s="11"/>
      <c r="Q403" s="14">
        <f>$Q$400</f>
        <v>216</v>
      </c>
      <c r="R403" s="14">
        <f>19+16</f>
        <v>35</v>
      </c>
      <c r="S403" s="17">
        <f>R403/Q403</f>
        <v>0.16203703703703703</v>
      </c>
      <c r="T403" s="18"/>
      <c r="U403" s="22">
        <f>SQRT((S403*(1-S403))/Q403)</f>
        <v>2.5072213820439688E-2</v>
      </c>
      <c r="V403" s="17">
        <f>_xlfn.BETA.INV(0.025, R403, Q403-R403)</f>
        <v>0.11608547131874471</v>
      </c>
      <c r="W403" s="18"/>
      <c r="X403" s="17">
        <f>_xlfn.BETA.INV(0.975, R403, Q403-R403)</f>
        <v>0.21391114937014466</v>
      </c>
      <c r="Y403" s="32" t="s">
        <v>592</v>
      </c>
      <c r="Z403" s="32"/>
      <c r="AA403" s="19">
        <f ca="1">_xlfn.GAMMA.INV(RAND(), R403, 1)</f>
        <v>41.706072692397612</v>
      </c>
      <c r="AB403" s="64">
        <f ca="1">AA403/SUM($AA$400:$AA$403)</f>
        <v>0.20058739345183396</v>
      </c>
      <c r="AC403" s="445"/>
    </row>
    <row r="404" spans="1:30" ht="12" customHeight="1" outlineLevel="3" x14ac:dyDescent="0.25">
      <c r="A404" s="328"/>
      <c r="B404" s="384"/>
      <c r="C404" s="367"/>
      <c r="D404" s="412"/>
      <c r="G404" s="40" t="s">
        <v>89</v>
      </c>
      <c r="H404" s="40" t="s">
        <v>89</v>
      </c>
      <c r="I404" s="40" t="s">
        <v>752</v>
      </c>
      <c r="J404" s="40" t="s">
        <v>89</v>
      </c>
      <c r="K404" s="40" t="s">
        <v>89</v>
      </c>
      <c r="L404" s="198" t="s">
        <v>586</v>
      </c>
      <c r="M404" s="174">
        <f t="shared" si="35"/>
        <v>11321.105305986473</v>
      </c>
      <c r="O404" s="52">
        <f>SUMPRODUCT($M$384:$M$387,M400:M403)</f>
        <v>11321.105305986473</v>
      </c>
      <c r="P404" s="52"/>
    </row>
    <row r="405" spans="1:30" ht="12" customHeight="1" outlineLevel="3" x14ac:dyDescent="0.25">
      <c r="A405" s="328"/>
      <c r="B405" s="384"/>
      <c r="C405" s="367"/>
      <c r="D405" s="412"/>
      <c r="G405" s="40" t="s">
        <v>89</v>
      </c>
      <c r="H405" s="40" t="s">
        <v>89</v>
      </c>
      <c r="I405" s="40" t="s">
        <v>89</v>
      </c>
      <c r="J405" s="40" t="s">
        <v>89</v>
      </c>
      <c r="K405" s="40" t="s">
        <v>89</v>
      </c>
      <c r="L405" t="s">
        <v>591</v>
      </c>
      <c r="M405"/>
      <c r="O405"/>
      <c r="AB405"/>
    </row>
    <row r="406" spans="1:30" ht="12" customHeight="1" outlineLevel="3" thickBot="1" x14ac:dyDescent="0.3">
      <c r="A406" s="328"/>
      <c r="B406" s="384"/>
      <c r="C406" s="367"/>
      <c r="D406" s="412"/>
      <c r="G406" s="40" t="s">
        <v>89</v>
      </c>
      <c r="H406" s="40" t="s">
        <v>89</v>
      </c>
      <c r="I406" s="40" t="s">
        <v>752</v>
      </c>
      <c r="J406" s="40" t="s">
        <v>89</v>
      </c>
      <c r="K406" s="40" t="s">
        <v>89</v>
      </c>
      <c r="L406" s="12" t="s">
        <v>586</v>
      </c>
      <c r="M406" s="174">
        <f t="shared" ref="M406" si="36">O406</f>
        <v>250.12106515002068</v>
      </c>
      <c r="O406" s="52" cm="1">
        <f t="array" ref="O406">SUMPRODUCT(M400:M402, $M$395:$M$397)/SUM(M400:M402) * C.cycleLength</f>
        <v>250.12106515002068</v>
      </c>
      <c r="P406" s="52"/>
    </row>
    <row r="407" spans="1:30" s="110" customFormat="1" ht="12" customHeight="1" outlineLevel="2" thickBot="1" x14ac:dyDescent="0.3">
      <c r="A407" s="328"/>
      <c r="B407" s="384"/>
      <c r="C407" s="367"/>
      <c r="D407" s="112"/>
      <c r="G407" s="112" t="s">
        <v>89</v>
      </c>
      <c r="H407" s="112" t="s">
        <v>89</v>
      </c>
      <c r="I407" s="112" t="s">
        <v>89</v>
      </c>
      <c r="J407" s="112" t="s">
        <v>89</v>
      </c>
      <c r="K407" s="112" t="s">
        <v>89</v>
      </c>
      <c r="L407" s="110" t="s">
        <v>362</v>
      </c>
    </row>
    <row r="408" spans="1:30" ht="12" customHeight="1" outlineLevel="3" x14ac:dyDescent="0.25">
      <c r="A408" s="328"/>
      <c r="B408" s="384"/>
      <c r="C408" s="367"/>
      <c r="G408" s="40" t="s">
        <v>89</v>
      </c>
      <c r="H408" s="40" t="s">
        <v>89</v>
      </c>
      <c r="I408" s="40" t="s">
        <v>89</v>
      </c>
      <c r="J408" s="40" t="s">
        <v>752</v>
      </c>
      <c r="K408" s="40" t="s">
        <v>89</v>
      </c>
      <c r="L408" s="29" t="s">
        <v>740</v>
      </c>
      <c r="M408" s="174">
        <f>O408</f>
        <v>7.6635178571428577</v>
      </c>
      <c r="N408" s="15" t="s">
        <v>795</v>
      </c>
      <c r="O408" s="52">
        <f>CHOOSE(swtchNSAIDsWhich, M370, SUM(M370*M$62, M369*M$63) / SUM(M$62:M$63), SUMPRODUCT(M$60:M$63, M367:M370))</f>
        <v>7.6635178571428577</v>
      </c>
      <c r="T408" s="18"/>
      <c r="AB408"/>
    </row>
    <row r="409" spans="1:30" ht="12" customHeight="1" outlineLevel="3" thickBot="1" x14ac:dyDescent="0.3">
      <c r="A409" s="328"/>
      <c r="B409" s="384"/>
      <c r="C409" s="367"/>
      <c r="G409" s="40" t="s">
        <v>89</v>
      </c>
      <c r="H409" s="40" t="s">
        <v>89</v>
      </c>
      <c r="I409" s="40" t="s">
        <v>752</v>
      </c>
      <c r="J409" s="40" t="s">
        <v>89</v>
      </c>
      <c r="K409" s="40" t="s">
        <v>89</v>
      </c>
      <c r="L409" s="29" t="s">
        <v>741</v>
      </c>
      <c r="M409" s="174">
        <f>O409</f>
        <v>16.764516</v>
      </c>
      <c r="N409" s="15" t="s">
        <v>794</v>
      </c>
      <c r="O409" s="52">
        <f>C.cMeds.Paracetamol</f>
        <v>16.764516</v>
      </c>
      <c r="AB409"/>
    </row>
    <row r="410" spans="1:30" s="110" customFormat="1" ht="12" customHeight="1" outlineLevel="2" thickBot="1" x14ac:dyDescent="0.3">
      <c r="A410" s="328"/>
      <c r="B410" s="384"/>
      <c r="C410" s="367"/>
      <c r="D410" s="112"/>
      <c r="G410" s="112" t="s">
        <v>89</v>
      </c>
      <c r="H410" s="112" t="s">
        <v>89</v>
      </c>
      <c r="I410" s="112" t="s">
        <v>89</v>
      </c>
      <c r="J410" s="112" t="s">
        <v>89</v>
      </c>
      <c r="K410" s="112" t="s">
        <v>89</v>
      </c>
      <c r="L410" s="110" t="s">
        <v>235</v>
      </c>
    </row>
    <row r="411" spans="1:30" ht="12" customHeight="1" outlineLevel="3" x14ac:dyDescent="0.25">
      <c r="A411" s="328"/>
      <c r="B411" s="384"/>
      <c r="C411" s="367"/>
      <c r="D411" s="412">
        <v>1</v>
      </c>
      <c r="G411" s="40" t="s">
        <v>89</v>
      </c>
      <c r="H411" s="40" t="s">
        <v>89</v>
      </c>
      <c r="I411" s="40" t="s">
        <v>752</v>
      </c>
      <c r="J411" s="40" t="s">
        <v>89</v>
      </c>
      <c r="K411" s="40" t="s">
        <v>89</v>
      </c>
      <c r="L411" s="29" t="str">
        <f t="shared" ref="L411:L423" ca="1" si="37">INDEX(C.rngStates, $D411)</f>
        <v>Well no HPE</v>
      </c>
      <c r="M411" s="174">
        <f t="shared" ref="M411:M423" si="38">O411</f>
        <v>16.764516</v>
      </c>
      <c r="N411" s="445" t="s">
        <v>801</v>
      </c>
      <c r="O411" s="52">
        <f>C.cNonNSAID.perCycle</f>
        <v>16.764516</v>
      </c>
      <c r="P411" s="52"/>
      <c r="AB411"/>
    </row>
    <row r="412" spans="1:30" ht="12" customHeight="1" outlineLevel="3" x14ac:dyDescent="0.25">
      <c r="A412" s="328"/>
      <c r="B412" s="384"/>
      <c r="C412" s="367"/>
      <c r="D412" s="412">
        <f t="shared" ref="D412:D423" si="39">D411+1</f>
        <v>2</v>
      </c>
      <c r="G412" s="40" t="s">
        <v>89</v>
      </c>
      <c r="H412" s="40" t="s">
        <v>89</v>
      </c>
      <c r="I412" s="40" t="s">
        <v>752</v>
      </c>
      <c r="J412" s="40" t="s">
        <v>89</v>
      </c>
      <c r="K412" s="40" t="s">
        <v>89</v>
      </c>
      <c r="L412" s="29" t="str">
        <f t="shared" ca="1" si="37"/>
        <v>Well with HPE</v>
      </c>
      <c r="M412" s="174">
        <f t="shared" si="38"/>
        <v>7.6635178571428577</v>
      </c>
      <c r="N412" s="445"/>
      <c r="O412" s="52">
        <f>C.cNSAID.perCycle</f>
        <v>7.6635178571428577</v>
      </c>
      <c r="P412" s="52"/>
      <c r="AB412"/>
    </row>
    <row r="413" spans="1:30" ht="12" customHeight="1" outlineLevel="3" x14ac:dyDescent="0.25">
      <c r="A413" s="328"/>
      <c r="B413" s="384"/>
      <c r="C413" s="367"/>
      <c r="D413" s="412">
        <f t="shared" si="39"/>
        <v>3</v>
      </c>
      <c r="G413" s="40" t="s">
        <v>89</v>
      </c>
      <c r="H413" s="40" t="s">
        <v>89</v>
      </c>
      <c r="I413" s="40" t="s">
        <v>752</v>
      </c>
      <c r="J413" s="40" t="s">
        <v>89</v>
      </c>
      <c r="K413" s="40" t="s">
        <v>89</v>
      </c>
      <c r="L413" s="29" t="str">
        <f t="shared" ca="1" si="37"/>
        <v>GI discomfort</v>
      </c>
      <c r="M413" s="174">
        <f t="shared" si="38"/>
        <v>40.409999999999997</v>
      </c>
      <c r="N413" s="445"/>
      <c r="O413" s="52">
        <f>SUM(cEvent.GIpain_noPPI, Parameters!M144*C.cPPI)</f>
        <v>40.409999999999997</v>
      </c>
      <c r="P413" s="52"/>
      <c r="AB413"/>
    </row>
    <row r="414" spans="1:30" ht="12" customHeight="1" outlineLevel="3" x14ac:dyDescent="0.25">
      <c r="A414" s="328"/>
      <c r="B414" s="384"/>
      <c r="C414" s="367"/>
      <c r="D414" s="412">
        <f t="shared" si="39"/>
        <v>4</v>
      </c>
      <c r="G414" s="40" t="s">
        <v>89</v>
      </c>
      <c r="H414" s="40" t="s">
        <v>89</v>
      </c>
      <c r="I414" s="40" t="s">
        <v>752</v>
      </c>
      <c r="J414" s="40" t="s">
        <v>89</v>
      </c>
      <c r="K414" s="40" t="s">
        <v>89</v>
      </c>
      <c r="L414" s="29" t="str">
        <f t="shared" ca="1" si="37"/>
        <v>Unresolved GI discomfort</v>
      </c>
      <c r="M414" s="174">
        <f t="shared" si="38"/>
        <v>40.409999999999997</v>
      </c>
      <c r="N414" s="445"/>
      <c r="O414" s="52">
        <f>M413</f>
        <v>40.409999999999997</v>
      </c>
      <c r="P414" s="52"/>
      <c r="AB414"/>
    </row>
    <row r="415" spans="1:30" ht="12" customHeight="1" outlineLevel="3" x14ac:dyDescent="0.25">
      <c r="A415" s="328"/>
      <c r="B415" s="384"/>
      <c r="C415" s="367"/>
      <c r="D415" s="412">
        <f t="shared" si="39"/>
        <v>5</v>
      </c>
      <c r="G415" s="40" t="s">
        <v>89</v>
      </c>
      <c r="H415" s="40" t="s">
        <v>89</v>
      </c>
      <c r="I415" s="40" t="s">
        <v>752</v>
      </c>
      <c r="J415" s="40" t="s">
        <v>89</v>
      </c>
      <c r="K415" s="40" t="s">
        <v>89</v>
      </c>
      <c r="L415" s="29" t="str">
        <f t="shared" ca="1" si="37"/>
        <v>Symptomatic ulcer</v>
      </c>
      <c r="M415" s="174">
        <f t="shared" si="38"/>
        <v>626.76106962363633</v>
      </c>
      <c r="N415" s="445"/>
      <c r="O415" s="52">
        <f>SUM(cEvent.Ulcer_noPPI, Parameters!M147*C.cPPI)</f>
        <v>626.76106962363633</v>
      </c>
      <c r="P415" s="52"/>
      <c r="AB415"/>
    </row>
    <row r="416" spans="1:30" ht="12" customHeight="1" outlineLevel="3" x14ac:dyDescent="0.25">
      <c r="A416" s="328"/>
      <c r="B416" s="384"/>
      <c r="C416" s="367"/>
      <c r="D416" s="412">
        <f t="shared" si="39"/>
        <v>6</v>
      </c>
      <c r="G416" s="40" t="s">
        <v>89</v>
      </c>
      <c r="H416" s="40" t="s">
        <v>89</v>
      </c>
      <c r="I416" s="40" t="s">
        <v>752</v>
      </c>
      <c r="J416" s="40" t="s">
        <v>89</v>
      </c>
      <c r="K416" s="40" t="s">
        <v>89</v>
      </c>
      <c r="L416" s="29" t="str">
        <f t="shared" ca="1" si="37"/>
        <v>Unresolved ulcer</v>
      </c>
      <c r="M416" s="174">
        <f t="shared" si="38"/>
        <v>626.76106962363633</v>
      </c>
      <c r="N416" s="445"/>
      <c r="O416" s="52">
        <f>M415</f>
        <v>626.76106962363633</v>
      </c>
      <c r="P416" s="52"/>
      <c r="AB416"/>
    </row>
    <row r="417" spans="1:31" ht="12" customHeight="1" outlineLevel="3" x14ac:dyDescent="0.25">
      <c r="A417" s="328"/>
      <c r="B417" s="384"/>
      <c r="C417" s="367"/>
      <c r="D417" s="412">
        <f t="shared" si="39"/>
        <v>7</v>
      </c>
      <c r="G417" s="40" t="s">
        <v>89</v>
      </c>
      <c r="H417" s="40" t="s">
        <v>89</v>
      </c>
      <c r="I417" s="40" t="s">
        <v>752</v>
      </c>
      <c r="J417" s="40" t="s">
        <v>89</v>
      </c>
      <c r="K417" s="40" t="s">
        <v>89</v>
      </c>
      <c r="L417" s="29" t="str">
        <f t="shared" ca="1" si="37"/>
        <v>Serious GI event</v>
      </c>
      <c r="M417" s="174">
        <f t="shared" si="38"/>
        <v>3280.4365641163554</v>
      </c>
      <c r="N417" s="445"/>
      <c r="O417" s="52">
        <f>cGIbleed</f>
        <v>3280.4365641163554</v>
      </c>
      <c r="P417" s="52"/>
    </row>
    <row r="418" spans="1:31" ht="12" customHeight="1" outlineLevel="3" x14ac:dyDescent="0.25">
      <c r="A418" s="328"/>
      <c r="B418" s="384"/>
      <c r="C418" s="367"/>
      <c r="D418" s="412">
        <f t="shared" si="39"/>
        <v>8</v>
      </c>
      <c r="G418" s="40" t="s">
        <v>89</v>
      </c>
      <c r="H418" s="40" t="s">
        <v>89</v>
      </c>
      <c r="I418" s="40" t="s">
        <v>752</v>
      </c>
      <c r="J418" s="40" t="s">
        <v>89</v>
      </c>
      <c r="K418" s="40" t="s">
        <v>89</v>
      </c>
      <c r="L418" s="29" t="str">
        <f t="shared" ca="1" si="37"/>
        <v>Unresolved serious GI event</v>
      </c>
      <c r="M418" s="174">
        <f t="shared" si="38"/>
        <v>3280.4365641163554</v>
      </c>
      <c r="N418" s="445"/>
      <c r="O418" s="52">
        <f>cGIbleed</f>
        <v>3280.4365641163554</v>
      </c>
      <c r="P418" s="52"/>
    </row>
    <row r="419" spans="1:31" ht="12" customHeight="1" outlineLevel="3" x14ac:dyDescent="0.25">
      <c r="A419" s="328"/>
      <c r="B419" s="384"/>
      <c r="C419" s="367"/>
      <c r="D419" s="412">
        <f t="shared" si="39"/>
        <v>9</v>
      </c>
      <c r="G419" s="40" t="s">
        <v>89</v>
      </c>
      <c r="H419" s="40" t="s">
        <v>89</v>
      </c>
      <c r="I419" s="40" t="s">
        <v>752</v>
      </c>
      <c r="J419" s="40" t="s">
        <v>89</v>
      </c>
      <c r="K419" s="40" t="s">
        <v>89</v>
      </c>
      <c r="L419" s="29" t="str">
        <f t="shared" ca="1" si="37"/>
        <v>Post-GI event</v>
      </c>
      <c r="M419" s="174">
        <f t="shared" si="38"/>
        <v>16.764516</v>
      </c>
      <c r="N419" s="445"/>
      <c r="O419" s="52">
        <f>M411</f>
        <v>16.764516</v>
      </c>
      <c r="P419" s="52"/>
    </row>
    <row r="420" spans="1:31" ht="12" customHeight="1" outlineLevel="3" x14ac:dyDescent="0.25">
      <c r="A420" s="328"/>
      <c r="B420" s="384"/>
      <c r="C420" s="367"/>
      <c r="D420" s="412">
        <f t="shared" si="39"/>
        <v>10</v>
      </c>
      <c r="G420" s="40" t="s">
        <v>89</v>
      </c>
      <c r="H420" s="40" t="s">
        <v>89</v>
      </c>
      <c r="I420" s="40" t="s">
        <v>752</v>
      </c>
      <c r="J420" s="40" t="s">
        <v>89</v>
      </c>
      <c r="K420" s="40" t="s">
        <v>89</v>
      </c>
      <c r="L420" s="29" t="str">
        <f t="shared" ca="1" si="37"/>
        <v>Stroke</v>
      </c>
      <c r="M420" s="174">
        <f t="shared" si="38"/>
        <v>11321.105305986473</v>
      </c>
      <c r="N420" s="445"/>
      <c r="O420" s="52">
        <f>M404</f>
        <v>11321.105305986473</v>
      </c>
      <c r="P420" s="52"/>
    </row>
    <row r="421" spans="1:31" ht="12" customHeight="1" outlineLevel="3" x14ac:dyDescent="0.25">
      <c r="A421" s="328"/>
      <c r="B421" s="384"/>
      <c r="C421" s="367"/>
      <c r="D421" s="412">
        <f t="shared" si="39"/>
        <v>11</v>
      </c>
      <c r="G421" s="40" t="s">
        <v>89</v>
      </c>
      <c r="H421" s="40" t="s">
        <v>89</v>
      </c>
      <c r="I421" s="40" t="s">
        <v>752</v>
      </c>
      <c r="J421" s="40" t="s">
        <v>89</v>
      </c>
      <c r="K421" s="40" t="s">
        <v>89</v>
      </c>
      <c r="L421" s="29" t="str">
        <f t="shared" ca="1" si="37"/>
        <v>Recurrent stroke</v>
      </c>
      <c r="M421" s="174">
        <f t="shared" si="38"/>
        <v>11321.105305986473</v>
      </c>
      <c r="N421" s="445"/>
      <c r="O421" s="52">
        <f>M420</f>
        <v>11321.105305986473</v>
      </c>
      <c r="P421" s="52"/>
    </row>
    <row r="422" spans="1:31" ht="12" customHeight="1" outlineLevel="3" x14ac:dyDescent="0.25">
      <c r="A422" s="328"/>
      <c r="B422" s="384"/>
      <c r="C422" s="367"/>
      <c r="D422" s="412">
        <f t="shared" si="39"/>
        <v>12</v>
      </c>
      <c r="G422" s="40" t="s">
        <v>89</v>
      </c>
      <c r="H422" s="40" t="s">
        <v>89</v>
      </c>
      <c r="I422" s="40" t="s">
        <v>752</v>
      </c>
      <c r="J422" s="40" t="s">
        <v>89</v>
      </c>
      <c r="K422" s="40" t="s">
        <v>89</v>
      </c>
      <c r="L422" s="29" t="str">
        <f t="shared" ca="1" si="37"/>
        <v>Post-stroke</v>
      </c>
      <c r="M422" s="174">
        <f t="shared" si="38"/>
        <v>250.12106515002068</v>
      </c>
      <c r="N422" s="445"/>
      <c r="O422" s="52">
        <f>M406</f>
        <v>250.12106515002068</v>
      </c>
      <c r="P422" s="52"/>
    </row>
    <row r="423" spans="1:31" ht="12" customHeight="1" outlineLevel="3" thickBot="1" x14ac:dyDescent="0.3">
      <c r="A423" s="328"/>
      <c r="B423" s="384"/>
      <c r="C423" s="367"/>
      <c r="D423" s="412">
        <f t="shared" si="39"/>
        <v>13</v>
      </c>
      <c r="G423" s="40" t="s">
        <v>89</v>
      </c>
      <c r="H423" s="40" t="s">
        <v>89</v>
      </c>
      <c r="I423" s="40" t="s">
        <v>752</v>
      </c>
      <c r="J423" s="40" t="s">
        <v>89</v>
      </c>
      <c r="K423" s="40" t="s">
        <v>89</v>
      </c>
      <c r="L423" s="29" t="str">
        <f t="shared" ca="1" si="37"/>
        <v>Dead</v>
      </c>
      <c r="M423" s="184">
        <f t="shared" si="38"/>
        <v>0</v>
      </c>
      <c r="N423" s="445"/>
      <c r="O423" s="52">
        <f>S423</f>
        <v>0</v>
      </c>
      <c r="P423" s="52"/>
      <c r="S423" s="266">
        <v>0</v>
      </c>
    </row>
    <row r="424" spans="1:31" s="13" customFormat="1" ht="12" customHeight="1" outlineLevel="1" thickBot="1" x14ac:dyDescent="0.3">
      <c r="A424" s="328"/>
      <c r="B424" s="384"/>
      <c r="C424" s="367"/>
      <c r="D424" s="25"/>
      <c r="G424" s="25" t="s">
        <v>89</v>
      </c>
      <c r="H424" s="25" t="s">
        <v>89</v>
      </c>
      <c r="I424" s="25" t="s">
        <v>89</v>
      </c>
      <c r="J424" s="25" t="s">
        <v>89</v>
      </c>
      <c r="K424" s="25" t="s">
        <v>89</v>
      </c>
      <c r="L424" s="197" t="s">
        <v>154</v>
      </c>
      <c r="M424" s="25"/>
      <c r="O424" s="25"/>
      <c r="P424" s="25"/>
      <c r="Q424" s="196"/>
      <c r="R424" s="196"/>
      <c r="S424" s="25"/>
      <c r="T424" s="25"/>
      <c r="V424" s="25"/>
      <c r="W424" s="25"/>
      <c r="X424" s="25"/>
      <c r="Y424" s="25"/>
      <c r="Z424" s="25"/>
      <c r="AA424" s="196"/>
      <c r="AB424" s="25"/>
      <c r="AC424" s="197"/>
      <c r="AD424" s="196"/>
      <c r="AE424" s="196"/>
    </row>
    <row r="425" spans="1:31" s="110" customFormat="1" ht="12" customHeight="1" outlineLevel="2" thickBot="1" x14ac:dyDescent="0.3">
      <c r="A425" s="328"/>
      <c r="B425" s="384"/>
      <c r="C425" s="367"/>
      <c r="D425" s="112"/>
      <c r="G425" s="112" t="s">
        <v>89</v>
      </c>
      <c r="H425" s="112" t="s">
        <v>89</v>
      </c>
      <c r="I425" s="112" t="s">
        <v>89</v>
      </c>
      <c r="J425" s="112" t="s">
        <v>89</v>
      </c>
      <c r="K425" s="112" t="s">
        <v>89</v>
      </c>
      <c r="L425" s="110" t="s">
        <v>436</v>
      </c>
    </row>
    <row r="426" spans="1:31" ht="12" customHeight="1" outlineLevel="3" x14ac:dyDescent="0.25">
      <c r="A426" s="328"/>
      <c r="B426" s="384"/>
      <c r="C426" s="367"/>
      <c r="G426" s="40" t="s">
        <v>89</v>
      </c>
      <c r="H426" s="40" t="s">
        <v>89</v>
      </c>
      <c r="I426" s="40" t="s">
        <v>89</v>
      </c>
      <c r="J426" s="40" t="s">
        <v>89</v>
      </c>
      <c r="K426" s="40" t="s">
        <v>89</v>
      </c>
      <c r="L426" s="29" t="s">
        <v>435</v>
      </c>
      <c r="M426"/>
      <c r="O426"/>
      <c r="AB426"/>
    </row>
    <row r="427" spans="1:31" ht="12" customHeight="1" outlineLevel="3" x14ac:dyDescent="0.25">
      <c r="A427" s="328"/>
      <c r="B427" s="384"/>
      <c r="C427" s="367"/>
      <c r="D427" s="40">
        <v>55</v>
      </c>
      <c r="G427" s="40" t="s">
        <v>89</v>
      </c>
      <c r="H427" s="40" t="s">
        <v>89</v>
      </c>
      <c r="I427" s="40" t="s">
        <v>752</v>
      </c>
      <c r="J427" s="40" t="s">
        <v>89</v>
      </c>
      <c r="K427" s="40" t="s">
        <v>89</v>
      </c>
      <c r="L427" s="12" t="str">
        <f t="shared" ref="L427:L432" si="40">D427&amp;"-"&amp;D427+4</f>
        <v>55-59</v>
      </c>
      <c r="M427" s="156">
        <f t="shared" ref="M427:M433" si="41">O427</f>
        <v>0.79653500808357169</v>
      </c>
      <c r="N427" s="445" t="s">
        <v>663</v>
      </c>
      <c r="O427" s="11" cm="1">
        <f t="array" ref="O427">$M$429*_fnGENPOP.U($D427)/_fnGENPOP.U(66)</f>
        <v>0.79653500808357169</v>
      </c>
      <c r="AB427"/>
    </row>
    <row r="428" spans="1:31" ht="12" customHeight="1" outlineLevel="3" x14ac:dyDescent="0.25">
      <c r="A428" s="328"/>
      <c r="B428" s="384"/>
      <c r="C428" s="367"/>
      <c r="D428" s="40">
        <f t="shared" ref="D428:D433" si="42">D427+5</f>
        <v>60</v>
      </c>
      <c r="G428" s="40" t="s">
        <v>89</v>
      </c>
      <c r="H428" s="40" t="s">
        <v>89</v>
      </c>
      <c r="I428" s="40" t="s">
        <v>752</v>
      </c>
      <c r="J428" s="40" t="s">
        <v>89</v>
      </c>
      <c r="K428" s="40" t="s">
        <v>89</v>
      </c>
      <c r="L428" s="12" t="str">
        <f t="shared" si="40"/>
        <v>60-64</v>
      </c>
      <c r="M428" s="156">
        <f t="shared" si="41"/>
        <v>0.78200323342867806</v>
      </c>
      <c r="N428" s="445"/>
      <c r="O428" s="11" cm="1">
        <f t="array" ref="O428">$M$429*_fnGENPOP.U($D428)/_fnGENPOP.U(66)</f>
        <v>0.78200323342867806</v>
      </c>
      <c r="AB428"/>
    </row>
    <row r="429" spans="1:31" ht="12" customHeight="1" outlineLevel="3" x14ac:dyDescent="0.25">
      <c r="A429" s="328"/>
      <c r="B429" s="384"/>
      <c r="C429" s="367"/>
      <c r="D429" s="40">
        <f t="shared" si="42"/>
        <v>65</v>
      </c>
      <c r="G429" s="40" t="s">
        <v>89</v>
      </c>
      <c r="H429" s="40" t="s">
        <v>89</v>
      </c>
      <c r="I429" s="40" t="s">
        <v>752</v>
      </c>
      <c r="J429" s="40" t="s">
        <v>89</v>
      </c>
      <c r="K429" s="40" t="s">
        <v>89</v>
      </c>
      <c r="L429" s="12" t="str">
        <f t="shared" si="40"/>
        <v>65-69</v>
      </c>
      <c r="M429" s="36">
        <f>O429</f>
        <v>0.77900000000000003</v>
      </c>
      <c r="N429" s="445"/>
      <c r="O429" s="11">
        <f>CHOOSE(swtchPSA, S429, AB429)</f>
        <v>0.77900000000000003</v>
      </c>
      <c r="P429" s="11"/>
      <c r="Q429" s="14">
        <v>3045</v>
      </c>
      <c r="S429" s="14">
        <v>0.77900000000000003</v>
      </c>
      <c r="T429" s="14">
        <v>0.253</v>
      </c>
      <c r="U429" s="84">
        <f>T429/SQRT(Q429)</f>
        <v>4.5848683800516427E-3</v>
      </c>
      <c r="V429" s="93">
        <f>_xlfn.BETA.INV(0.025, AD429, AE429)</f>
        <v>0.76994968830221056</v>
      </c>
      <c r="W429" s="53"/>
      <c r="X429" s="93">
        <f>_xlfn.BETA.INV(0.975, AD429, AE429)</f>
        <v>0.78792123211264453</v>
      </c>
      <c r="Y429" s="32" t="s">
        <v>584</v>
      </c>
      <c r="Z429" s="11"/>
      <c r="AA429" s="19">
        <f ca="1">RAND()</f>
        <v>0.9035500049485351</v>
      </c>
      <c r="AB429" s="21">
        <f ca="1">_xlfn.BETA.INV(AA429, AD429, AE429)</f>
        <v>0.78495396588679567</v>
      </c>
      <c r="AC429" s="20" t="s">
        <v>28</v>
      </c>
      <c r="AD429" s="54">
        <f>(S429^2*(1-S429))/U429^2-S429</f>
        <v>6379.1147140870808</v>
      </c>
      <c r="AE429" s="55">
        <f>AD429*((1-S429)/S429)</f>
        <v>1809.736010029839</v>
      </c>
    </row>
    <row r="430" spans="1:31" ht="12" customHeight="1" outlineLevel="3" x14ac:dyDescent="0.25">
      <c r="A430" s="328"/>
      <c r="B430" s="384"/>
      <c r="C430" s="367"/>
      <c r="D430" s="40">
        <f t="shared" si="42"/>
        <v>70</v>
      </c>
      <c r="G430" s="40" t="s">
        <v>89</v>
      </c>
      <c r="H430" s="40" t="s">
        <v>89</v>
      </c>
      <c r="I430" s="40" t="s">
        <v>752</v>
      </c>
      <c r="J430" s="40" t="s">
        <v>89</v>
      </c>
      <c r="K430" s="40" t="s">
        <v>89</v>
      </c>
      <c r="L430" s="12" t="str">
        <f t="shared" si="40"/>
        <v>70-74</v>
      </c>
      <c r="M430" s="156">
        <f t="shared" si="41"/>
        <v>0.75468349707747795</v>
      </c>
      <c r="N430" s="445"/>
      <c r="O430" s="11" cm="1">
        <f t="array" ref="O430">$M$429*_fnGENPOP.U($D430)/_fnGENPOP.U(66)</f>
        <v>0.75468349707747795</v>
      </c>
      <c r="AB430"/>
    </row>
    <row r="431" spans="1:31" ht="12" customHeight="1" outlineLevel="3" x14ac:dyDescent="0.25">
      <c r="A431" s="328"/>
      <c r="B431" s="384"/>
      <c r="C431" s="367"/>
      <c r="D431" s="40">
        <f t="shared" si="42"/>
        <v>75</v>
      </c>
      <c r="G431" s="40" t="s">
        <v>89</v>
      </c>
      <c r="H431" s="40" t="s">
        <v>89</v>
      </c>
      <c r="I431" s="40" t="s">
        <v>752</v>
      </c>
      <c r="J431" s="40" t="s">
        <v>89</v>
      </c>
      <c r="K431" s="40" t="s">
        <v>89</v>
      </c>
      <c r="L431" s="12" t="str">
        <f t="shared" si="40"/>
        <v>75-79</v>
      </c>
      <c r="M431" s="156">
        <f t="shared" si="41"/>
        <v>0.72978572316876</v>
      </c>
      <c r="N431" s="445"/>
      <c r="O431" s="11" cm="1">
        <f t="array" ref="O431">$M$429*_fnGENPOP.U($D431)/_fnGENPOP.U(66)</f>
        <v>0.72978572316876</v>
      </c>
      <c r="AB431"/>
    </row>
    <row r="432" spans="1:31" ht="12" customHeight="1" outlineLevel="3" x14ac:dyDescent="0.25">
      <c r="A432" s="328"/>
      <c r="B432" s="384"/>
      <c r="C432" s="367"/>
      <c r="D432" s="40">
        <f t="shared" si="42"/>
        <v>80</v>
      </c>
      <c r="G432" s="40" t="s">
        <v>89</v>
      </c>
      <c r="H432" s="40" t="s">
        <v>89</v>
      </c>
      <c r="I432" s="40" t="s">
        <v>752</v>
      </c>
      <c r="J432" s="40" t="s">
        <v>89</v>
      </c>
      <c r="K432" s="40" t="s">
        <v>89</v>
      </c>
      <c r="L432" s="12" t="str">
        <f t="shared" si="40"/>
        <v>80-84</v>
      </c>
      <c r="M432" s="156">
        <f t="shared" si="41"/>
        <v>0.67669630642954848</v>
      </c>
      <c r="N432" s="445"/>
      <c r="O432" s="11" cm="1">
        <f t="array" ref="O432">$M$429*_fnGENPOP.U($D432)/_fnGENPOP.U(66)</f>
        <v>0.67669630642954848</v>
      </c>
      <c r="AB432"/>
    </row>
    <row r="433" spans="1:31" ht="12" customHeight="1" outlineLevel="3" thickBot="1" x14ac:dyDescent="0.3">
      <c r="A433" s="328"/>
      <c r="B433" s="384"/>
      <c r="C433" s="367"/>
      <c r="D433" s="40">
        <f t="shared" si="42"/>
        <v>85</v>
      </c>
      <c r="G433" s="40" t="s">
        <v>89</v>
      </c>
      <c r="H433" s="40" t="s">
        <v>89</v>
      </c>
      <c r="I433" s="40" t="s">
        <v>752</v>
      </c>
      <c r="J433" s="40" t="s">
        <v>89</v>
      </c>
      <c r="K433" s="40" t="s">
        <v>89</v>
      </c>
      <c r="L433" s="12" t="str">
        <f>D433&amp;"+"</f>
        <v>85+</v>
      </c>
      <c r="M433" s="156">
        <f t="shared" si="41"/>
        <v>0.62941959955229454</v>
      </c>
      <c r="N433" s="445"/>
      <c r="O433" s="11" cm="1">
        <f t="array" ref="O433">$M$429*_fnGENPOP.U($D433)/_fnGENPOP.U(66)</f>
        <v>0.62941959955229454</v>
      </c>
      <c r="AB433"/>
    </row>
    <row r="434" spans="1:31" s="110" customFormat="1" ht="12" customHeight="1" outlineLevel="2" thickBot="1" x14ac:dyDescent="0.3">
      <c r="A434" s="328"/>
      <c r="B434" s="384"/>
      <c r="C434" s="367"/>
      <c r="D434" s="112"/>
      <c r="G434" s="112" t="s">
        <v>89</v>
      </c>
      <c r="H434" s="112" t="s">
        <v>89</v>
      </c>
      <c r="I434" s="112" t="s">
        <v>89</v>
      </c>
      <c r="J434" s="112" t="s">
        <v>89</v>
      </c>
      <c r="K434" s="112" t="s">
        <v>89</v>
      </c>
      <c r="L434" s="110" t="s">
        <v>358</v>
      </c>
    </row>
    <row r="435" spans="1:31" ht="12" customHeight="1" outlineLevel="3" x14ac:dyDescent="0.25">
      <c r="A435" s="328"/>
      <c r="B435" s="384"/>
      <c r="C435" s="367"/>
      <c r="D435" s="412"/>
      <c r="G435" s="40" t="s">
        <v>89</v>
      </c>
      <c r="H435" s="40" t="s">
        <v>89</v>
      </c>
      <c r="I435" s="40" t="s">
        <v>752</v>
      </c>
      <c r="J435" s="40" t="s">
        <v>89</v>
      </c>
      <c r="K435" s="40" t="s">
        <v>89</v>
      </c>
      <c r="L435" s="29" t="s">
        <v>571</v>
      </c>
      <c r="M435" s="87">
        <f>O435</f>
        <v>-0.22</v>
      </c>
      <c r="N435" s="15" t="s">
        <v>730</v>
      </c>
      <c r="O435" s="11">
        <f>CHOOSE(swtchPSA, S435, AB435)</f>
        <v>-0.22</v>
      </c>
      <c r="P435" s="11"/>
      <c r="S435" s="35">
        <v>-0.22</v>
      </c>
      <c r="T435" s="18"/>
      <c r="U435" s="22">
        <f>(X435-V435) / 2 / _xlfn.NORM.S.INV(0.975)</f>
        <v>2.0408538276986167E-2</v>
      </c>
      <c r="V435" s="35">
        <v>-0.26</v>
      </c>
      <c r="W435" s="18"/>
      <c r="X435" s="35">
        <v>-0.18</v>
      </c>
      <c r="Y435" s="32" t="s">
        <v>583</v>
      </c>
      <c r="Z435" s="32"/>
      <c r="AA435" s="19">
        <f ca="1">RAND()</f>
        <v>0.80779512688172539</v>
      </c>
      <c r="AB435" s="64">
        <f ca="1">_xlfn.NORM.INV(AA435, AD435, AE435)</f>
        <v>-0.20224865470411302</v>
      </c>
      <c r="AC435" s="250" t="s">
        <v>23</v>
      </c>
      <c r="AD435" s="27">
        <f>S435</f>
        <v>-0.22</v>
      </c>
      <c r="AE435" s="26">
        <f>U435</f>
        <v>2.0408538276986167E-2</v>
      </c>
    </row>
    <row r="436" spans="1:31" ht="12" customHeight="1" outlineLevel="3" thickBot="1" x14ac:dyDescent="0.3">
      <c r="A436" s="328"/>
      <c r="B436" s="384"/>
      <c r="C436" s="367"/>
      <c r="D436" s="412"/>
      <c r="G436" s="40" t="s">
        <v>89</v>
      </c>
      <c r="H436" s="40" t="s">
        <v>89</v>
      </c>
      <c r="I436" s="40" t="s">
        <v>752</v>
      </c>
      <c r="J436" s="40" t="s">
        <v>89</v>
      </c>
      <c r="K436" s="40" t="s">
        <v>89</v>
      </c>
      <c r="L436" s="29" t="s">
        <v>567</v>
      </c>
      <c r="M436" s="87">
        <f>O436</f>
        <v>-0.18</v>
      </c>
      <c r="N436" s="15" t="s">
        <v>661</v>
      </c>
      <c r="O436" s="11">
        <f>CHOOSE(swtchPSA, S436, AB436)</f>
        <v>-0.18</v>
      </c>
      <c r="P436" s="11"/>
      <c r="S436" s="35">
        <v>-0.18</v>
      </c>
      <c r="T436" s="18"/>
      <c r="U436" s="22">
        <f>(X436-V436) / 2 / _xlfn.NORM.S.INV(0.975)</f>
        <v>2.5510672846232704E-2</v>
      </c>
      <c r="V436" s="35">
        <v>-0.23</v>
      </c>
      <c r="W436" s="18"/>
      <c r="X436" s="35">
        <v>-0.13</v>
      </c>
      <c r="Y436" s="32" t="s">
        <v>583</v>
      </c>
      <c r="Z436" s="32"/>
      <c r="AA436" s="19">
        <f ca="1">RAND()</f>
        <v>0.12411592919333403</v>
      </c>
      <c r="AB436" s="64">
        <f ca="1">_xlfn.NORM.INV(AA436, AD436, AE436)</f>
        <v>-0.20945601821998558</v>
      </c>
      <c r="AC436" s="250" t="s">
        <v>23</v>
      </c>
      <c r="AD436" s="27">
        <f>S436</f>
        <v>-0.18</v>
      </c>
      <c r="AE436" s="26">
        <f>U436</f>
        <v>2.5510672846232704E-2</v>
      </c>
    </row>
    <row r="437" spans="1:31" s="110" customFormat="1" ht="12" customHeight="1" outlineLevel="2" thickBot="1" x14ac:dyDescent="0.3">
      <c r="A437" s="328"/>
      <c r="B437" s="384"/>
      <c r="C437" s="367"/>
      <c r="D437" s="112"/>
      <c r="G437" s="112" t="s">
        <v>89</v>
      </c>
      <c r="H437" s="112" t="s">
        <v>89</v>
      </c>
      <c r="I437" s="112" t="s">
        <v>89</v>
      </c>
      <c r="J437" s="112" t="s">
        <v>89</v>
      </c>
      <c r="K437" s="112" t="s">
        <v>89</v>
      </c>
      <c r="L437" s="110" t="s">
        <v>166</v>
      </c>
    </row>
    <row r="438" spans="1:31" ht="12" customHeight="1" outlineLevel="3" x14ac:dyDescent="0.25">
      <c r="A438" s="328"/>
      <c r="B438" s="384"/>
      <c r="C438" s="367"/>
      <c r="D438" s="412">
        <v>1</v>
      </c>
      <c r="G438" s="40" t="s">
        <v>89</v>
      </c>
      <c r="H438" s="40" t="s">
        <v>89</v>
      </c>
      <c r="I438" s="40" t="s">
        <v>752</v>
      </c>
      <c r="J438" s="40" t="s">
        <v>89</v>
      </c>
      <c r="K438" s="40" t="s">
        <v>89</v>
      </c>
      <c r="L438" s="29" t="str">
        <f t="shared" ref="L438:L450" ca="1" si="43">INDEX(C.rngStates, $D438)</f>
        <v>Well no HPE</v>
      </c>
      <c r="M438" s="199">
        <f t="shared" ref="M438:M450" si="44">O438</f>
        <v>0</v>
      </c>
      <c r="N438" s="445" t="s">
        <v>813</v>
      </c>
      <c r="O438" s="329">
        <v>0</v>
      </c>
    </row>
    <row r="439" spans="1:31" ht="12" customHeight="1" outlineLevel="3" x14ac:dyDescent="0.25">
      <c r="A439" s="328"/>
      <c r="B439" s="384"/>
      <c r="C439" s="367"/>
      <c r="D439" s="412">
        <f t="shared" ref="D439:D450" si="45">D438+1</f>
        <v>2</v>
      </c>
      <c r="G439" s="40" t="s">
        <v>89</v>
      </c>
      <c r="H439" s="40" t="s">
        <v>89</v>
      </c>
      <c r="I439" s="40" t="s">
        <v>752</v>
      </c>
      <c r="J439" s="40" t="s">
        <v>89</v>
      </c>
      <c r="K439" s="40" t="s">
        <v>89</v>
      </c>
      <c r="L439" s="29" t="str">
        <f t="shared" ca="1" si="43"/>
        <v>Well with HPE</v>
      </c>
      <c r="M439" s="199">
        <f t="shared" si="44"/>
        <v>0</v>
      </c>
      <c r="N439" s="445"/>
      <c r="O439" s="329">
        <v>0</v>
      </c>
    </row>
    <row r="440" spans="1:31" ht="12" customHeight="1" outlineLevel="3" x14ac:dyDescent="0.25">
      <c r="A440" s="328"/>
      <c r="B440" s="384"/>
      <c r="C440" s="367"/>
      <c r="D440" s="412">
        <f t="shared" si="45"/>
        <v>3</v>
      </c>
      <c r="G440" s="40" t="s">
        <v>89</v>
      </c>
      <c r="H440" s="40" t="s">
        <v>89</v>
      </c>
      <c r="I440" s="40" t="s">
        <v>752</v>
      </c>
      <c r="J440" s="40" t="s">
        <v>89</v>
      </c>
      <c r="K440" s="40" t="s">
        <v>89</v>
      </c>
      <c r="L440" s="29" t="str">
        <f t="shared" ca="1" si="43"/>
        <v>GI discomfort</v>
      </c>
      <c r="M440" s="89">
        <f t="shared" si="44"/>
        <v>-7.8690701001430718E-2</v>
      </c>
      <c r="N440" s="445"/>
      <c r="O440" s="329">
        <f>uDec.GIpain</f>
        <v>-7.8690701001430718E-2</v>
      </c>
    </row>
    <row r="441" spans="1:31" ht="12" customHeight="1" outlineLevel="3" x14ac:dyDescent="0.25">
      <c r="A441" s="328"/>
      <c r="B441" s="384"/>
      <c r="C441" s="367"/>
      <c r="D441" s="412">
        <f t="shared" si="45"/>
        <v>4</v>
      </c>
      <c r="G441" s="40" t="s">
        <v>89</v>
      </c>
      <c r="H441" s="40" t="s">
        <v>89</v>
      </c>
      <c r="I441" s="40" t="s">
        <v>752</v>
      </c>
      <c r="J441" s="40" t="s">
        <v>89</v>
      </c>
      <c r="K441" s="40" t="s">
        <v>89</v>
      </c>
      <c r="L441" s="29" t="str">
        <f t="shared" ca="1" si="43"/>
        <v>Unresolved GI discomfort</v>
      </c>
      <c r="M441" s="89">
        <f t="shared" si="44"/>
        <v>-7.8690701001430718E-2</v>
      </c>
      <c r="N441" s="445"/>
      <c r="O441" s="329">
        <f>uDec.GIpain</f>
        <v>-7.8690701001430718E-2</v>
      </c>
    </row>
    <row r="442" spans="1:31" ht="12" customHeight="1" outlineLevel="3" x14ac:dyDescent="0.25">
      <c r="A442" s="328"/>
      <c r="B442" s="384"/>
      <c r="C442" s="367"/>
      <c r="D442" s="412">
        <f t="shared" si="45"/>
        <v>5</v>
      </c>
      <c r="G442" s="40" t="s">
        <v>89</v>
      </c>
      <c r="H442" s="40" t="s">
        <v>89</v>
      </c>
      <c r="I442" s="40" t="s">
        <v>752</v>
      </c>
      <c r="J442" s="40" t="s">
        <v>89</v>
      </c>
      <c r="K442" s="40" t="s">
        <v>89</v>
      </c>
      <c r="L442" s="29" t="str">
        <f t="shared" ca="1" si="43"/>
        <v>Symptomatic ulcer</v>
      </c>
      <c r="M442" s="89">
        <f t="shared" si="44"/>
        <v>-0.10199999999999998</v>
      </c>
      <c r="N442" s="445"/>
      <c r="O442" s="329">
        <f>uDec.Ulcer</f>
        <v>-0.10199999999999998</v>
      </c>
    </row>
    <row r="443" spans="1:31" ht="12" customHeight="1" outlineLevel="3" x14ac:dyDescent="0.25">
      <c r="A443" s="328"/>
      <c r="B443" s="384"/>
      <c r="C443" s="367"/>
      <c r="D443" s="412">
        <f t="shared" si="45"/>
        <v>6</v>
      </c>
      <c r="G443" s="40" t="s">
        <v>89</v>
      </c>
      <c r="H443" s="40" t="s">
        <v>89</v>
      </c>
      <c r="I443" s="40" t="s">
        <v>752</v>
      </c>
      <c r="J443" s="40" t="s">
        <v>89</v>
      </c>
      <c r="K443" s="40" t="s">
        <v>89</v>
      </c>
      <c r="L443" s="29" t="str">
        <f t="shared" ca="1" si="43"/>
        <v>Unresolved ulcer</v>
      </c>
      <c r="M443" s="89">
        <f t="shared" si="44"/>
        <v>-0.10199999999999998</v>
      </c>
      <c r="N443" s="445"/>
      <c r="O443" s="329">
        <f>uDec.Ulcer</f>
        <v>-0.10199999999999998</v>
      </c>
    </row>
    <row r="444" spans="1:31" ht="12" customHeight="1" outlineLevel="3" x14ac:dyDescent="0.25">
      <c r="A444" s="328"/>
      <c r="B444" s="384"/>
      <c r="C444" s="367"/>
      <c r="D444" s="412">
        <f t="shared" si="45"/>
        <v>7</v>
      </c>
      <c r="G444" s="40" t="s">
        <v>89</v>
      </c>
      <c r="H444" s="40" t="s">
        <v>89</v>
      </c>
      <c r="I444" s="40" t="s">
        <v>752</v>
      </c>
      <c r="J444" s="40" t="s">
        <v>89</v>
      </c>
      <c r="K444" s="40" t="s">
        <v>89</v>
      </c>
      <c r="L444" s="29" t="str">
        <f t="shared" ca="1" si="43"/>
        <v>Serious GI event</v>
      </c>
      <c r="M444" s="89">
        <f t="shared" si="44"/>
        <v>-0.23899999999999999</v>
      </c>
      <c r="N444" s="445"/>
      <c r="O444" s="329">
        <f>uDec.SeriousGI</f>
        <v>-0.23899999999999999</v>
      </c>
    </row>
    <row r="445" spans="1:31" ht="12" customHeight="1" outlineLevel="3" x14ac:dyDescent="0.25">
      <c r="A445" s="328"/>
      <c r="B445" s="384"/>
      <c r="C445" s="367"/>
      <c r="D445" s="412">
        <f t="shared" si="45"/>
        <v>8</v>
      </c>
      <c r="G445" s="40" t="s">
        <v>89</v>
      </c>
      <c r="H445" s="40" t="s">
        <v>89</v>
      </c>
      <c r="I445" s="40" t="s">
        <v>752</v>
      </c>
      <c r="J445" s="40" t="s">
        <v>89</v>
      </c>
      <c r="K445" s="40" t="s">
        <v>89</v>
      </c>
      <c r="L445" s="29" t="str">
        <f t="shared" ca="1" si="43"/>
        <v>Unresolved serious GI event</v>
      </c>
      <c r="M445" s="89">
        <f t="shared" si="44"/>
        <v>-0.23899999999999999</v>
      </c>
      <c r="N445" s="445"/>
      <c r="O445" s="329">
        <f>uDec.SeriousGI</f>
        <v>-0.23899999999999999</v>
      </c>
    </row>
    <row r="446" spans="1:31" ht="12" customHeight="1" outlineLevel="3" x14ac:dyDescent="0.25">
      <c r="A446" s="328"/>
      <c r="B446" s="384"/>
      <c r="C446" s="367"/>
      <c r="D446" s="412">
        <f t="shared" si="45"/>
        <v>9</v>
      </c>
      <c r="G446" s="40" t="s">
        <v>89</v>
      </c>
      <c r="H446" s="40" t="s">
        <v>89</v>
      </c>
      <c r="I446" s="40" t="s">
        <v>752</v>
      </c>
      <c r="J446" s="40" t="s">
        <v>89</v>
      </c>
      <c r="K446" s="40" t="s">
        <v>89</v>
      </c>
      <c r="L446" s="29" t="str">
        <f t="shared" ca="1" si="43"/>
        <v>Post-GI event</v>
      </c>
      <c r="M446" s="199">
        <f t="shared" si="44"/>
        <v>0</v>
      </c>
      <c r="N446" s="445"/>
      <c r="O446" s="329">
        <v>0</v>
      </c>
    </row>
    <row r="447" spans="1:31" ht="12" customHeight="1" outlineLevel="3" x14ac:dyDescent="0.25">
      <c r="A447" s="328"/>
      <c r="B447" s="384"/>
      <c r="C447" s="367"/>
      <c r="D447" s="412">
        <f t="shared" si="45"/>
        <v>10</v>
      </c>
      <c r="G447" s="40" t="s">
        <v>89</v>
      </c>
      <c r="H447" s="40" t="s">
        <v>89</v>
      </c>
      <c r="I447" s="40" t="s">
        <v>752</v>
      </c>
      <c r="J447" s="40" t="s">
        <v>89</v>
      </c>
      <c r="K447" s="40" t="s">
        <v>89</v>
      </c>
      <c r="L447" s="29" t="str">
        <f t="shared" ca="1" si="43"/>
        <v>Stroke</v>
      </c>
      <c r="M447" s="89">
        <f t="shared" si="44"/>
        <v>-0.22</v>
      </c>
      <c r="N447" s="445"/>
      <c r="O447" s="329">
        <f>uDec.Stroke</f>
        <v>-0.22</v>
      </c>
    </row>
    <row r="448" spans="1:31" ht="12" customHeight="1" outlineLevel="3" x14ac:dyDescent="0.25">
      <c r="A448" s="328"/>
      <c r="B448" s="384"/>
      <c r="C448" s="367"/>
      <c r="D448" s="412">
        <f t="shared" si="45"/>
        <v>11</v>
      </c>
      <c r="G448" s="40" t="s">
        <v>89</v>
      </c>
      <c r="H448" s="40" t="s">
        <v>89</v>
      </c>
      <c r="I448" s="40" t="s">
        <v>752</v>
      </c>
      <c r="J448" s="40" t="s">
        <v>89</v>
      </c>
      <c r="K448" s="40" t="s">
        <v>89</v>
      </c>
      <c r="L448" s="29" t="str">
        <f t="shared" ca="1" si="43"/>
        <v>Recurrent stroke</v>
      </c>
      <c r="M448" s="89">
        <f t="shared" si="44"/>
        <v>-0.22</v>
      </c>
      <c r="N448" s="445"/>
      <c r="O448" s="329">
        <f>uDec.Stroke</f>
        <v>-0.22</v>
      </c>
    </row>
    <row r="449" spans="1:28" ht="12" customHeight="1" outlineLevel="3" x14ac:dyDescent="0.25">
      <c r="A449" s="328"/>
      <c r="B449" s="384"/>
      <c r="C449" s="367"/>
      <c r="D449" s="412">
        <f t="shared" si="45"/>
        <v>12</v>
      </c>
      <c r="G449" s="40" t="s">
        <v>89</v>
      </c>
      <c r="H449" s="40" t="s">
        <v>89</v>
      </c>
      <c r="I449" s="40" t="s">
        <v>752</v>
      </c>
      <c r="J449" s="40" t="s">
        <v>89</v>
      </c>
      <c r="K449" s="40" t="s">
        <v>89</v>
      </c>
      <c r="L449" s="29" t="str">
        <f t="shared" ca="1" si="43"/>
        <v>Post-stroke</v>
      </c>
      <c r="M449" s="89">
        <f t="shared" si="44"/>
        <v>-0.18</v>
      </c>
      <c r="N449" s="445"/>
      <c r="O449" s="329">
        <f>uDec.PostStroke</f>
        <v>-0.18</v>
      </c>
    </row>
    <row r="450" spans="1:28" ht="12" customHeight="1" outlineLevel="3" thickBot="1" x14ac:dyDescent="0.3">
      <c r="A450" s="328"/>
      <c r="B450" s="384"/>
      <c r="C450" s="367"/>
      <c r="D450" s="412">
        <f t="shared" si="45"/>
        <v>13</v>
      </c>
      <c r="G450" s="40" t="s">
        <v>89</v>
      </c>
      <c r="H450" s="40" t="s">
        <v>89</v>
      </c>
      <c r="I450" s="40" t="s">
        <v>752</v>
      </c>
      <c r="J450" s="40" t="s">
        <v>89</v>
      </c>
      <c r="K450" s="40" t="s">
        <v>89</v>
      </c>
      <c r="L450" s="29" t="str">
        <f t="shared" ca="1" si="43"/>
        <v>Dead</v>
      </c>
      <c r="M450" s="199">
        <f t="shared" si="44"/>
        <v>0</v>
      </c>
      <c r="N450" s="445"/>
      <c r="O450" s="329">
        <v>0</v>
      </c>
    </row>
    <row r="451" spans="1:28" s="165" customFormat="1" ht="12" customHeight="1" thickBot="1" x14ac:dyDescent="0.3">
      <c r="A451" s="312"/>
      <c r="B451" s="313"/>
      <c r="C451" s="314"/>
      <c r="D451" s="303">
        <v>4</v>
      </c>
      <c r="G451" s="303" t="s">
        <v>89</v>
      </c>
      <c r="H451" s="303" t="s">
        <v>89</v>
      </c>
      <c r="I451" s="303" t="s">
        <v>89</v>
      </c>
      <c r="J451" s="303" t="s">
        <v>89</v>
      </c>
      <c r="K451" s="303" t="s">
        <v>89</v>
      </c>
      <c r="L451" s="30" t="str" cm="1">
        <f t="array" ref="L451">INDEX(lstQs, $D451)</f>
        <v>D: NSAIDs - HF</v>
      </c>
      <c r="M451" s="369"/>
      <c r="O451" s="369"/>
      <c r="P451" s="369"/>
      <c r="S451" s="372"/>
      <c r="T451" s="65"/>
      <c r="Y451" s="23"/>
    </row>
    <row r="452" spans="1:28" s="13" customFormat="1" ht="12" customHeight="1" outlineLevel="1" thickBot="1" x14ac:dyDescent="0.3">
      <c r="A452" s="312"/>
      <c r="B452" s="313"/>
      <c r="C452" s="314"/>
      <c r="D452" s="25"/>
      <c r="G452" s="25" t="s">
        <v>89</v>
      </c>
      <c r="H452" s="25" t="s">
        <v>89</v>
      </c>
      <c r="I452" s="25" t="s">
        <v>89</v>
      </c>
      <c r="J452" s="25" t="s">
        <v>89</v>
      </c>
      <c r="K452" s="25" t="s">
        <v>89</v>
      </c>
      <c r="L452" s="13" t="s">
        <v>26</v>
      </c>
      <c r="M452" s="25"/>
      <c r="O452" s="25"/>
      <c r="P452" s="25"/>
      <c r="AB452" s="25"/>
    </row>
    <row r="453" spans="1:28" s="110" customFormat="1" ht="12" customHeight="1" outlineLevel="2" thickBot="1" x14ac:dyDescent="0.3">
      <c r="A453" s="312"/>
      <c r="B453" s="313"/>
      <c r="C453" s="314"/>
      <c r="D453" s="112"/>
      <c r="G453" s="112" t="s">
        <v>89</v>
      </c>
      <c r="H453" s="112" t="s">
        <v>89</v>
      </c>
      <c r="I453" s="112" t="s">
        <v>89</v>
      </c>
      <c r="J453" s="112" t="s">
        <v>89</v>
      </c>
      <c r="K453" s="112" t="s">
        <v>89</v>
      </c>
      <c r="L453" s="110" t="s">
        <v>25</v>
      </c>
    </row>
    <row r="454" spans="1:28" ht="12" customHeight="1" outlineLevel="3" x14ac:dyDescent="0.25">
      <c r="A454" s="312"/>
      <c r="B454" s="313"/>
      <c r="C454" s="314"/>
      <c r="G454" s="40" t="s">
        <v>89</v>
      </c>
      <c r="H454" s="40" t="s">
        <v>89</v>
      </c>
      <c r="I454" s="40" t="s">
        <v>89</v>
      </c>
      <c r="J454" s="40" t="s">
        <v>89</v>
      </c>
      <c r="K454" s="40" t="s">
        <v>89</v>
      </c>
      <c r="L454" s="10" t="s">
        <v>29</v>
      </c>
      <c r="P454" s="11"/>
    </row>
    <row r="455" spans="1:28" ht="12" customHeight="1" outlineLevel="3" x14ac:dyDescent="0.25">
      <c r="A455" s="312"/>
      <c r="B455" s="313"/>
      <c r="C455" s="314"/>
      <c r="G455" s="40" t="s">
        <v>89</v>
      </c>
      <c r="H455" s="40" t="s">
        <v>89</v>
      </c>
      <c r="I455" s="40" t="s">
        <v>89</v>
      </c>
      <c r="J455" s="40" t="s">
        <v>752</v>
      </c>
      <c r="K455" s="40" t="s">
        <v>89</v>
      </c>
      <c r="L455" s="12" t="s">
        <v>32</v>
      </c>
      <c r="M455" s="41">
        <f>O455</f>
        <v>65</v>
      </c>
      <c r="N455" s="15" t="s">
        <v>636</v>
      </c>
      <c r="O455" s="11">
        <v>65</v>
      </c>
      <c r="P455" s="11"/>
    </row>
    <row r="456" spans="1:28" ht="12" customHeight="1" outlineLevel="3" thickBot="1" x14ac:dyDescent="0.3">
      <c r="A456" s="312"/>
      <c r="B456" s="313"/>
      <c r="C456" s="314"/>
      <c r="G456" s="40" t="s">
        <v>89</v>
      </c>
      <c r="H456" s="40" t="s">
        <v>89</v>
      </c>
      <c r="I456" s="40" t="s">
        <v>89</v>
      </c>
      <c r="J456" s="40" t="s">
        <v>752</v>
      </c>
      <c r="K456" s="40" t="s">
        <v>89</v>
      </c>
      <c r="L456" s="12" t="s">
        <v>33</v>
      </c>
      <c r="M456" s="83">
        <f>O456</f>
        <v>0.5</v>
      </c>
      <c r="N456" s="15" t="s">
        <v>635</v>
      </c>
      <c r="O456" s="11">
        <v>0.5</v>
      </c>
      <c r="P456" s="11"/>
    </row>
    <row r="457" spans="1:28" ht="12" customHeight="1" outlineLevel="3" thickBot="1" x14ac:dyDescent="0.3">
      <c r="A457" s="312"/>
      <c r="B457" s="313"/>
      <c r="C457" s="314"/>
      <c r="G457" s="40" t="s">
        <v>89</v>
      </c>
      <c r="H457" s="40" t="s">
        <v>89</v>
      </c>
      <c r="I457" s="40" t="s">
        <v>89</v>
      </c>
      <c r="J457" s="40" t="s">
        <v>752</v>
      </c>
      <c r="K457" s="40" t="s">
        <v>89</v>
      </c>
      <c r="L457" s="10" t="s">
        <v>24</v>
      </c>
      <c r="M457" s="16">
        <v>4</v>
      </c>
      <c r="N457" s="15" t="s">
        <v>819</v>
      </c>
      <c r="P457" s="11"/>
    </row>
    <row r="458" spans="1:28" ht="12" customHeight="1" outlineLevel="3" thickBot="1" x14ac:dyDescent="0.3">
      <c r="A458" s="312"/>
      <c r="B458" s="313"/>
      <c r="C458" s="314"/>
      <c r="G458" s="40" t="s">
        <v>89</v>
      </c>
      <c r="H458" s="40" t="s">
        <v>89</v>
      </c>
      <c r="I458" s="40" t="s">
        <v>89</v>
      </c>
      <c r="J458" s="40" t="s">
        <v>752</v>
      </c>
      <c r="K458" s="40" t="s">
        <v>89</v>
      </c>
      <c r="L458" s="29" t="s">
        <v>138</v>
      </c>
      <c r="M458" s="41">
        <f>O458</f>
        <v>10</v>
      </c>
      <c r="N458" s="15" t="s">
        <v>634</v>
      </c>
      <c r="O458" s="11">
        <f>CHOOSE(swtchDurHPE, maxDurHPE, S458, maxDurHPE)</f>
        <v>10</v>
      </c>
      <c r="P458" s="11"/>
      <c r="S458" s="159">
        <v>10</v>
      </c>
    </row>
    <row r="459" spans="1:28" s="110" customFormat="1" ht="12" customHeight="1" outlineLevel="2" thickBot="1" x14ac:dyDescent="0.3">
      <c r="A459" s="312"/>
      <c r="B459" s="313"/>
      <c r="C459" s="314"/>
      <c r="D459" s="112"/>
      <c r="G459" s="112" t="s">
        <v>89</v>
      </c>
      <c r="H459" s="112" t="s">
        <v>89</v>
      </c>
      <c r="I459" s="112" t="s">
        <v>89</v>
      </c>
      <c r="J459" s="112" t="s">
        <v>89</v>
      </c>
      <c r="K459" s="112" t="s">
        <v>89</v>
      </c>
      <c r="L459" s="110" t="s">
        <v>319</v>
      </c>
    </row>
    <row r="460" spans="1:28" ht="12" customHeight="1" outlineLevel="3" thickBot="1" x14ac:dyDescent="0.3">
      <c r="A460" s="312"/>
      <c r="B460" s="313"/>
      <c r="C460" s="314"/>
      <c r="G460" s="40" t="s">
        <v>89</v>
      </c>
      <c r="H460" s="40" t="s">
        <v>89</v>
      </c>
      <c r="I460" s="40" t="s">
        <v>89</v>
      </c>
      <c r="J460" s="40" t="s">
        <v>752</v>
      </c>
      <c r="K460" s="40" t="s">
        <v>89</v>
      </c>
      <c r="L460" s="29" t="s">
        <v>558</v>
      </c>
      <c r="M460" s="16">
        <f>O460</f>
        <v>1</v>
      </c>
      <c r="N460" s="15" t="s">
        <v>823</v>
      </c>
      <c r="O460" s="11">
        <v>1</v>
      </c>
      <c r="P460" s="11"/>
    </row>
    <row r="461" spans="1:28" ht="12" customHeight="1" outlineLevel="3" thickBot="1" x14ac:dyDescent="0.3">
      <c r="A461" s="312"/>
      <c r="B461" s="313"/>
      <c r="C461" s="314"/>
      <c r="G461" s="40" t="s">
        <v>89</v>
      </c>
      <c r="H461" s="40" t="s">
        <v>89</v>
      </c>
      <c r="I461" s="40" t="s">
        <v>89</v>
      </c>
      <c r="J461" s="40" t="s">
        <v>752</v>
      </c>
      <c r="K461" s="40" t="s">
        <v>89</v>
      </c>
      <c r="L461" s="29" t="s">
        <v>557</v>
      </c>
      <c r="M461" s="16">
        <f>O461</f>
        <v>1</v>
      </c>
      <c r="N461" s="15" t="s">
        <v>820</v>
      </c>
      <c r="O461" s="11">
        <v>1</v>
      </c>
      <c r="P461" s="11"/>
    </row>
    <row r="462" spans="1:28" ht="12" customHeight="1" outlineLevel="3" thickBot="1" x14ac:dyDescent="0.3">
      <c r="A462" s="312"/>
      <c r="B462" s="313"/>
      <c r="C462" s="314"/>
      <c r="G462" s="40" t="s">
        <v>89</v>
      </c>
      <c r="H462" s="40" t="s">
        <v>89</v>
      </c>
      <c r="I462" s="40" t="s">
        <v>89</v>
      </c>
      <c r="J462" s="40" t="s">
        <v>752</v>
      </c>
      <c r="K462" s="40" t="s">
        <v>89</v>
      </c>
      <c r="L462" s="29" t="s">
        <v>459</v>
      </c>
      <c r="M462" s="16">
        <f t="shared" ref="M462" si="46">O462</f>
        <v>1</v>
      </c>
      <c r="N462" s="15" t="s">
        <v>821</v>
      </c>
      <c r="O462" s="11">
        <v>1</v>
      </c>
      <c r="P462" s="11"/>
    </row>
    <row r="463" spans="1:28" ht="12" customHeight="1" outlineLevel="3" thickBot="1" x14ac:dyDescent="0.3">
      <c r="A463" s="312"/>
      <c r="B463" s="313"/>
      <c r="C463" s="314"/>
      <c r="G463" s="40" t="s">
        <v>89</v>
      </c>
      <c r="H463" s="40" t="s">
        <v>89</v>
      </c>
      <c r="I463" s="40" t="s">
        <v>89</v>
      </c>
      <c r="J463" s="40" t="s">
        <v>752</v>
      </c>
      <c r="K463" s="40" t="s">
        <v>89</v>
      </c>
      <c r="L463" s="29" t="s">
        <v>556</v>
      </c>
      <c r="M463" s="16">
        <f>O463</f>
        <v>1</v>
      </c>
      <c r="N463" s="15" t="s">
        <v>824</v>
      </c>
      <c r="O463" s="11">
        <v>1</v>
      </c>
      <c r="P463" s="11"/>
    </row>
    <row r="464" spans="1:28" ht="12" customHeight="1" outlineLevel="3" thickBot="1" x14ac:dyDescent="0.3">
      <c r="A464" s="312"/>
      <c r="B464" s="313"/>
      <c r="C464" s="314"/>
      <c r="G464" s="40" t="s">
        <v>89</v>
      </c>
      <c r="H464" s="40" t="s">
        <v>89</v>
      </c>
      <c r="I464" s="40" t="s">
        <v>89</v>
      </c>
      <c r="J464" s="40" t="s">
        <v>752</v>
      </c>
      <c r="K464" s="40" t="s">
        <v>89</v>
      </c>
      <c r="L464" s="29" t="s">
        <v>555</v>
      </c>
      <c r="M464" s="16">
        <f>O464</f>
        <v>1</v>
      </c>
      <c r="N464" s="15" t="s">
        <v>825</v>
      </c>
      <c r="O464" s="11">
        <v>1</v>
      </c>
      <c r="P464" s="11"/>
    </row>
    <row r="465" spans="1:31" ht="12" customHeight="1" outlineLevel="3" thickBot="1" x14ac:dyDescent="0.3">
      <c r="A465" s="312"/>
      <c r="B465" s="313"/>
      <c r="C465" s="314"/>
      <c r="G465" s="40" t="s">
        <v>89</v>
      </c>
      <c r="H465" s="40" t="s">
        <v>89</v>
      </c>
      <c r="I465" s="40" t="s">
        <v>89</v>
      </c>
      <c r="J465" s="40" t="s">
        <v>752</v>
      </c>
      <c r="K465" s="40" t="s">
        <v>89</v>
      </c>
      <c r="L465" s="29" t="s">
        <v>554</v>
      </c>
      <c r="M465" s="16">
        <f>O465</f>
        <v>2</v>
      </c>
      <c r="N465" s="15" t="s">
        <v>822</v>
      </c>
      <c r="O465" s="11">
        <v>2</v>
      </c>
      <c r="P465" s="11"/>
    </row>
    <row r="466" spans="1:31" ht="12" customHeight="1" outlineLevel="3" thickBot="1" x14ac:dyDescent="0.3">
      <c r="A466" s="312"/>
      <c r="B466" s="313"/>
      <c r="C466" s="314"/>
      <c r="G466" s="40" t="s">
        <v>89</v>
      </c>
      <c r="H466" s="40" t="s">
        <v>89</v>
      </c>
      <c r="I466" s="40" t="s">
        <v>89</v>
      </c>
      <c r="J466" s="40" t="s">
        <v>752</v>
      </c>
      <c r="K466" s="40" t="s">
        <v>89</v>
      </c>
      <c r="L466" s="29" t="s">
        <v>553</v>
      </c>
      <c r="M466" s="16">
        <f>O466</f>
        <v>1</v>
      </c>
      <c r="N466" s="15" t="s">
        <v>826</v>
      </c>
      <c r="O466" s="11">
        <v>1</v>
      </c>
      <c r="P466" s="11"/>
    </row>
    <row r="467" spans="1:31" s="13" customFormat="1" ht="12" customHeight="1" outlineLevel="1" thickBot="1" x14ac:dyDescent="0.3">
      <c r="A467" s="312"/>
      <c r="B467" s="313"/>
      <c r="C467" s="314"/>
      <c r="D467" s="25"/>
      <c r="G467" s="25" t="s">
        <v>89</v>
      </c>
      <c r="H467" s="25" t="s">
        <v>89</v>
      </c>
      <c r="I467" s="25" t="s">
        <v>89</v>
      </c>
      <c r="J467" s="25" t="s">
        <v>89</v>
      </c>
      <c r="K467" s="25" t="s">
        <v>89</v>
      </c>
      <c r="L467" s="197" t="s">
        <v>400</v>
      </c>
      <c r="M467" s="25"/>
      <c r="O467" s="25"/>
      <c r="P467" s="25"/>
      <c r="AB467" s="25"/>
    </row>
    <row r="468" spans="1:31" s="110" customFormat="1" ht="12" customHeight="1" outlineLevel="2" thickBot="1" x14ac:dyDescent="0.3">
      <c r="A468" s="312"/>
      <c r="B468" s="313"/>
      <c r="C468" s="314"/>
      <c r="D468" s="112"/>
      <c r="G468" s="112" t="s">
        <v>89</v>
      </c>
      <c r="H468" s="112" t="s">
        <v>89</v>
      </c>
      <c r="I468" s="112" t="s">
        <v>89</v>
      </c>
      <c r="J468" s="112" t="s">
        <v>89</v>
      </c>
      <c r="K468" s="112" t="s">
        <v>89</v>
      </c>
      <c r="L468" s="110" t="s">
        <v>552</v>
      </c>
    </row>
    <row r="469" spans="1:31" ht="12" customHeight="1" outlineLevel="3" x14ac:dyDescent="0.25">
      <c r="A469" s="312"/>
      <c r="B469" s="313"/>
      <c r="C469" s="314"/>
      <c r="G469" s="40" t="s">
        <v>89</v>
      </c>
      <c r="H469" s="40" t="s">
        <v>89</v>
      </c>
      <c r="I469" s="40" t="s">
        <v>89</v>
      </c>
      <c r="J469" s="40" t="s">
        <v>89</v>
      </c>
      <c r="K469" s="40" t="s">
        <v>89</v>
      </c>
      <c r="L469" s="38" t="s">
        <v>682</v>
      </c>
      <c r="M469"/>
      <c r="O469"/>
      <c r="AB469"/>
    </row>
    <row r="470" spans="1:31" ht="12" customHeight="1" outlineLevel="3" x14ac:dyDescent="0.25">
      <c r="A470" s="312"/>
      <c r="B470" s="313"/>
      <c r="C470" s="314"/>
      <c r="D470" s="40">
        <v>65</v>
      </c>
      <c r="G470" s="40" t="s">
        <v>89</v>
      </c>
      <c r="H470" s="40" t="s">
        <v>89</v>
      </c>
      <c r="I470" s="40" t="s">
        <v>89</v>
      </c>
      <c r="J470" s="40" t="s">
        <v>752</v>
      </c>
      <c r="K470" s="40" t="s">
        <v>89</v>
      </c>
      <c r="L470" s="104" t="s">
        <v>683</v>
      </c>
      <c r="M470" s="36">
        <f>O470</f>
        <v>1.37</v>
      </c>
      <c r="O470" s="11">
        <f>CHOOSE(swtchPSA, S470, AB470)</f>
        <v>1.37</v>
      </c>
      <c r="P470" s="11"/>
      <c r="S470" s="35">
        <f>1.23+0.14</f>
        <v>1.37</v>
      </c>
      <c r="T470" s="18"/>
      <c r="U470" s="300">
        <f>S470*Cost.SEs.CoV</f>
        <v>0.27400000000000002</v>
      </c>
      <c r="V470" s="86">
        <f>_xlfn.LOGNORM.INV(0.025, AD470, AE470)</f>
        <v>0.80073966924571027</v>
      </c>
      <c r="X470" s="86">
        <f>_xlfn.LOGNORM.INV(0.975, AD470, AE470)</f>
        <v>2.343957808120114</v>
      </c>
      <c r="Y470" s="32" t="s">
        <v>709</v>
      </c>
      <c r="AA470" s="19">
        <f ca="1">RAND()</f>
        <v>0.68947981558964999</v>
      </c>
      <c r="AB470" s="37">
        <f ca="1">_xlfn.LOGNORM.INV(AA470, AD470, AE470)</f>
        <v>1.5687354939460258</v>
      </c>
      <c r="AC470" s="20" t="s">
        <v>20</v>
      </c>
      <c r="AD470" s="27">
        <f>LN(S470)</f>
        <v>0.3148107398400336</v>
      </c>
      <c r="AE470" s="26">
        <f>U470</f>
        <v>0.27400000000000002</v>
      </c>
    </row>
    <row r="471" spans="1:31" s="149" customFormat="1" ht="12" customHeight="1" outlineLevel="3" x14ac:dyDescent="0.25">
      <c r="A471" s="312"/>
      <c r="B471" s="313"/>
      <c r="C471" s="314"/>
      <c r="D471" s="40"/>
      <c r="G471" s="40" t="s">
        <v>89</v>
      </c>
      <c r="H471" s="40" t="s">
        <v>89</v>
      </c>
      <c r="I471" s="40" t="s">
        <v>89</v>
      </c>
      <c r="J471" s="40" t="s">
        <v>752</v>
      </c>
      <c r="K471" s="40" t="s">
        <v>89</v>
      </c>
      <c r="L471" s="104" t="s">
        <v>113</v>
      </c>
      <c r="M471" s="156">
        <f>O471</f>
        <v>0.29000688061444879</v>
      </c>
      <c r="O471" s="53" cm="1">
        <f t="array" ref="O471">vbratetoprob(M470, D.cycleLength)</f>
        <v>0.29000688061444879</v>
      </c>
      <c r="P471" s="104"/>
    </row>
    <row r="472" spans="1:31" ht="12" customHeight="1" outlineLevel="3" x14ac:dyDescent="0.25">
      <c r="A472" s="312"/>
      <c r="B472" s="313"/>
      <c r="C472" s="314"/>
      <c r="G472" s="40" t="s">
        <v>89</v>
      </c>
      <c r="H472" s="40" t="s">
        <v>89</v>
      </c>
      <c r="I472" s="40" t="s">
        <v>89</v>
      </c>
      <c r="J472" s="40" t="s">
        <v>89</v>
      </c>
      <c r="K472" s="40" t="s">
        <v>89</v>
      </c>
      <c r="L472" s="38" t="s">
        <v>684</v>
      </c>
      <c r="M472"/>
      <c r="O472"/>
      <c r="AB472"/>
    </row>
    <row r="473" spans="1:31" ht="12" customHeight="1" outlineLevel="3" x14ac:dyDescent="0.25">
      <c r="A473" s="312"/>
      <c r="B473" s="313"/>
      <c r="C473" s="314"/>
      <c r="G473" s="40" t="s">
        <v>89</v>
      </c>
      <c r="H473" s="40" t="s">
        <v>89</v>
      </c>
      <c r="I473" s="40" t="s">
        <v>89</v>
      </c>
      <c r="J473" s="40" t="s">
        <v>752</v>
      </c>
      <c r="K473" s="40" t="s">
        <v>89</v>
      </c>
      <c r="L473" s="104" t="s">
        <v>551</v>
      </c>
      <c r="M473" s="36">
        <f>O473</f>
        <v>6.6470303165618499E-2</v>
      </c>
      <c r="O473" s="11">
        <f>CHOOSE(swtchPSA, S473, AB473)</f>
        <v>6.6470303165618499E-2</v>
      </c>
      <c r="P473" s="11"/>
      <c r="S473" s="35">
        <f>EXP(-2.711)</f>
        <v>6.6470303165618499E-2</v>
      </c>
      <c r="T473" s="18"/>
      <c r="U473" s="35">
        <v>8.0000000000000002E-3</v>
      </c>
      <c r="V473" s="86">
        <f>_xlfn.LOGNORM.INV(0.025, AD473, AE473)</f>
        <v>6.5436196398196714E-2</v>
      </c>
      <c r="X473" s="86">
        <f>_xlfn.LOGNORM.INV(0.975, AD473, AE473)</f>
        <v>6.7520752215527502E-2</v>
      </c>
      <c r="Y473" s="32" t="s">
        <v>549</v>
      </c>
      <c r="AA473" s="19">
        <f ca="1">RAND()</f>
        <v>0.26079109808962309</v>
      </c>
      <c r="AB473" s="37">
        <f ca="1">_xlfn.LOGNORM.INV(AA473, AD473, AE473)</f>
        <v>6.6130364382153584E-2</v>
      </c>
      <c r="AC473" s="20" t="s">
        <v>20</v>
      </c>
      <c r="AD473" s="27">
        <f>LN(S473)</f>
        <v>-2.7109999999999999</v>
      </c>
      <c r="AE473" s="26">
        <f>U473</f>
        <v>8.0000000000000002E-3</v>
      </c>
    </row>
    <row r="474" spans="1:31" ht="12" customHeight="1" outlineLevel="3" x14ac:dyDescent="0.25">
      <c r="A474" s="312"/>
      <c r="B474" s="313"/>
      <c r="C474" s="314"/>
      <c r="G474" s="40" t="s">
        <v>89</v>
      </c>
      <c r="H474" s="40" t="s">
        <v>89</v>
      </c>
      <c r="I474" s="40" t="s">
        <v>89</v>
      </c>
      <c r="J474" s="40" t="s">
        <v>752</v>
      </c>
      <c r="K474" s="40" t="s">
        <v>89</v>
      </c>
      <c r="L474" s="104" t="s">
        <v>550</v>
      </c>
      <c r="M474" s="36">
        <f>O474</f>
        <v>1.2485713778642835</v>
      </c>
      <c r="O474" s="11">
        <f>CHOOSE(swtchPSA, S474, AB474)</f>
        <v>1.2485713778642835</v>
      </c>
      <c r="P474" s="11"/>
      <c r="S474" s="35">
        <f>EXP(0.222)</f>
        <v>1.2485713778642835</v>
      </c>
      <c r="T474" s="18"/>
      <c r="U474" s="35">
        <v>0.01</v>
      </c>
      <c r="V474" s="86">
        <f>_xlfn.LOGNORM.INV(0.025, AD474, AE474)</f>
        <v>1.2243380861864126</v>
      </c>
      <c r="X474" s="86">
        <f>_xlfn.LOGNORM.INV(0.975, AD474, AE474)</f>
        <v>1.2732843184497318</v>
      </c>
      <c r="Y474" s="32" t="s">
        <v>549</v>
      </c>
      <c r="AA474" s="19">
        <f ca="1">RAND()</f>
        <v>0.75777762183183794</v>
      </c>
      <c r="AB474" s="37">
        <f ca="1">_xlfn.LOGNORM.INV(AA474, AD474, AE474)</f>
        <v>1.2573316240443311</v>
      </c>
      <c r="AC474" s="20" t="s">
        <v>20</v>
      </c>
      <c r="AD474" s="27">
        <f>LN(S474)</f>
        <v>0.22200000000000006</v>
      </c>
      <c r="AE474" s="26">
        <f>U474</f>
        <v>0.01</v>
      </c>
    </row>
    <row r="475" spans="1:31" ht="12" customHeight="1" outlineLevel="3" x14ac:dyDescent="0.25">
      <c r="A475" s="312"/>
      <c r="B475" s="313"/>
      <c r="C475" s="314"/>
      <c r="G475" s="40" t="s">
        <v>89</v>
      </c>
      <c r="H475" s="40" t="s">
        <v>89</v>
      </c>
      <c r="I475" s="40" t="s">
        <v>89</v>
      </c>
      <c r="J475" s="40" t="s">
        <v>752</v>
      </c>
      <c r="K475" s="40" t="s">
        <v>89</v>
      </c>
      <c r="L475" s="104" t="s">
        <v>548</v>
      </c>
      <c r="M475" s="156">
        <f>O475</f>
        <v>8.2992918010552932E-2</v>
      </c>
      <c r="O475" s="11">
        <f>M473*M474</f>
        <v>8.2992918010552932E-2</v>
      </c>
      <c r="P475" s="11"/>
      <c r="AB475"/>
    </row>
    <row r="476" spans="1:31" ht="12" customHeight="1" outlineLevel="3" x14ac:dyDescent="0.25">
      <c r="A476" s="312"/>
      <c r="B476" s="313"/>
      <c r="C476" s="314"/>
      <c r="G476" s="40" t="s">
        <v>89</v>
      </c>
      <c r="H476" s="40" t="s">
        <v>89</v>
      </c>
      <c r="I476" s="40" t="s">
        <v>89</v>
      </c>
      <c r="J476" s="40" t="s">
        <v>89</v>
      </c>
      <c r="K476" s="40" t="s">
        <v>89</v>
      </c>
      <c r="L476" s="38" t="s">
        <v>547</v>
      </c>
      <c r="M476"/>
      <c r="O476"/>
      <c r="AB476"/>
    </row>
    <row r="477" spans="1:31" ht="12" customHeight="1" outlineLevel="3" x14ac:dyDescent="0.25">
      <c r="A477" s="312"/>
      <c r="B477" s="313"/>
      <c r="C477" s="314"/>
      <c r="D477" s="40">
        <v>55</v>
      </c>
      <c r="G477" s="40" t="s">
        <v>89</v>
      </c>
      <c r="H477" s="40" t="s">
        <v>89</v>
      </c>
      <c r="I477" s="40" t="s">
        <v>89</v>
      </c>
      <c r="J477" s="40" t="s">
        <v>752</v>
      </c>
      <c r="K477" s="40" t="s">
        <v>89</v>
      </c>
      <c r="L477" s="104" t="str">
        <f>D477&amp;"-"&amp;D477+9</f>
        <v>55-64</v>
      </c>
      <c r="M477" s="36">
        <f>O477</f>
        <v>0.25</v>
      </c>
      <c r="O477" s="11">
        <f>CHOOSE(swtchPSA, S477, AB477)</f>
        <v>0.25</v>
      </c>
      <c r="P477" s="11"/>
      <c r="S477" s="35">
        <f>1-0.75</f>
        <v>0.25</v>
      </c>
      <c r="T477" s="18"/>
      <c r="U477" s="22">
        <f>((X477)-(V477)) / 2/ _xlfn.NORM.S.INV(0.975)</f>
        <v>7.1429883969451637E-3</v>
      </c>
      <c r="V477" s="35">
        <f>1-0.764</f>
        <v>0.23599999999999999</v>
      </c>
      <c r="W477" s="18"/>
      <c r="X477" s="35">
        <f>1-0.736</f>
        <v>0.26400000000000001</v>
      </c>
      <c r="Y477" s="32" t="s">
        <v>546</v>
      </c>
      <c r="AA477" s="19">
        <f ca="1">RAND()</f>
        <v>0.59729478358104771</v>
      </c>
      <c r="AB477" s="21">
        <f ca="1">_xlfn.BETA.INV(AA477, AD477, AE477)</f>
        <v>0.25171729673509624</v>
      </c>
      <c r="AC477" s="20" t="s">
        <v>28</v>
      </c>
      <c r="AD477" s="54">
        <f>(S477^2*(1-S477))/U477^2-S477</f>
        <v>918.46623581651386</v>
      </c>
      <c r="AE477" s="55">
        <f>AD477*((1-S477)/S477)</f>
        <v>2755.3987074495417</v>
      </c>
    </row>
    <row r="478" spans="1:31" ht="12" customHeight="1" outlineLevel="3" x14ac:dyDescent="0.25">
      <c r="A478" s="312"/>
      <c r="B478" s="313"/>
      <c r="C478" s="314"/>
      <c r="D478" s="40">
        <v>65</v>
      </c>
      <c r="G478" s="40" t="s">
        <v>89</v>
      </c>
      <c r="H478" s="40" t="s">
        <v>89</v>
      </c>
      <c r="I478" s="40" t="s">
        <v>89</v>
      </c>
      <c r="J478" s="40" t="s">
        <v>752</v>
      </c>
      <c r="K478" s="40" t="s">
        <v>89</v>
      </c>
      <c r="L478" s="104" t="str">
        <f>D478&amp;"-"&amp;D478+9</f>
        <v>65-74</v>
      </c>
      <c r="M478" s="36">
        <f>O478</f>
        <v>0.35499999999999998</v>
      </c>
      <c r="O478" s="11">
        <f>CHOOSE(swtchPSA, S478, AB478)</f>
        <v>0.35499999999999998</v>
      </c>
      <c r="P478" s="11"/>
      <c r="S478" s="35">
        <f>1-0.645</f>
        <v>0.35499999999999998</v>
      </c>
      <c r="T478" s="18"/>
      <c r="U478" s="22">
        <f>((X478)-(V478)) / 2/ _xlfn.NORM.S.INV(0.975)</f>
        <v>5.1021345692465452E-3</v>
      </c>
      <c r="V478" s="35">
        <f>1-0.654</f>
        <v>0.34599999999999997</v>
      </c>
      <c r="W478" s="18"/>
      <c r="X478" s="35">
        <f>1-0.634</f>
        <v>0.36599999999999999</v>
      </c>
      <c r="Y478" s="32" t="s">
        <v>546</v>
      </c>
      <c r="AA478" s="19">
        <f ca="1">RAND()</f>
        <v>0.64121612935556682</v>
      </c>
      <c r="AB478" s="21">
        <f ca="1">_xlfn.BETA.INV(AA478, AD478, AE478)</f>
        <v>0.35683608244708875</v>
      </c>
      <c r="AC478" s="20" t="s">
        <v>28</v>
      </c>
      <c r="AD478" s="54">
        <f>(S478^2*(1-S478))/U478^2-S478</f>
        <v>3122.2180188129455</v>
      </c>
      <c r="AE478" s="55">
        <f>AD478*((1-S478)/S478)</f>
        <v>5672.7623158714086</v>
      </c>
    </row>
    <row r="479" spans="1:31" ht="12" customHeight="1" outlineLevel="3" x14ac:dyDescent="0.25">
      <c r="A479" s="312"/>
      <c r="B479" s="313"/>
      <c r="C479" s="314"/>
      <c r="D479" s="40">
        <f>D478+10</f>
        <v>75</v>
      </c>
      <c r="G479" s="40" t="s">
        <v>89</v>
      </c>
      <c r="H479" s="40" t="s">
        <v>89</v>
      </c>
      <c r="I479" s="40" t="s">
        <v>89</v>
      </c>
      <c r="J479" s="40" t="s">
        <v>752</v>
      </c>
      <c r="K479" s="40" t="s">
        <v>89</v>
      </c>
      <c r="L479" s="104" t="str">
        <f>D479&amp;"-"&amp;D479+9</f>
        <v>75-84</v>
      </c>
      <c r="M479" s="36">
        <f>O479</f>
        <v>0.505</v>
      </c>
      <c r="O479" s="11">
        <f>CHOOSE(swtchPSA, S479, AB479)</f>
        <v>0.505</v>
      </c>
      <c r="P479" s="11"/>
      <c r="S479" s="35">
        <f>1-0.495</f>
        <v>0.505</v>
      </c>
      <c r="T479" s="18"/>
      <c r="U479" s="22">
        <f>((X479)-(V479)) / 2/ _xlfn.NORM.S.INV(0.975)</f>
        <v>4.081707655397236E-3</v>
      </c>
      <c r="V479" s="35">
        <f>1-0.503</f>
        <v>0.497</v>
      </c>
      <c r="W479" s="18"/>
      <c r="X479" s="35">
        <f>1-0.487</f>
        <v>0.51300000000000001</v>
      </c>
      <c r="Y479" s="32" t="s">
        <v>546</v>
      </c>
      <c r="AA479" s="19">
        <f ca="1">RAND()</f>
        <v>0.36122230773498987</v>
      </c>
      <c r="AB479" s="21">
        <f ca="1">_xlfn.BETA.INV(AA479, AD479, AE479)</f>
        <v>0.50355032860061266</v>
      </c>
      <c r="AC479" s="20" t="s">
        <v>28</v>
      </c>
      <c r="AD479" s="54">
        <f>(S479^2*(1-S479))/U479^2-S479</f>
        <v>7576.6149639847035</v>
      </c>
      <c r="AE479" s="55">
        <f>AD479*((1-S479)/S479)</f>
        <v>7426.582984499858</v>
      </c>
    </row>
    <row r="480" spans="1:31" ht="12" customHeight="1" outlineLevel="3" x14ac:dyDescent="0.25">
      <c r="A480" s="312"/>
      <c r="B480" s="313"/>
      <c r="C480" s="314"/>
      <c r="D480" s="40">
        <f>D479+10</f>
        <v>85</v>
      </c>
      <c r="G480" s="40" t="s">
        <v>89</v>
      </c>
      <c r="H480" s="40" t="s">
        <v>89</v>
      </c>
      <c r="I480" s="40" t="s">
        <v>89</v>
      </c>
      <c r="J480" s="40" t="s">
        <v>752</v>
      </c>
      <c r="K480" s="40" t="s">
        <v>89</v>
      </c>
      <c r="L480" s="104" t="str">
        <f>D480&amp;"-"&amp;D480+9</f>
        <v>85-94</v>
      </c>
      <c r="M480" s="36">
        <f>O480</f>
        <v>0.71500000000000008</v>
      </c>
      <c r="O480" s="11">
        <f>CHOOSE(swtchPSA, S480, AB480)</f>
        <v>0.71500000000000008</v>
      </c>
      <c r="P480" s="11"/>
      <c r="S480" s="35">
        <f>1-0.285</f>
        <v>0.71500000000000008</v>
      </c>
      <c r="T480" s="18"/>
      <c r="U480" s="22">
        <f>((X480)-(V480)) / 2/ _xlfn.NORM.S.INV(0.975)</f>
        <v>5.3572412977088727E-3</v>
      </c>
      <c r="V480" s="35">
        <f>1-0.296</f>
        <v>0.70399999999999996</v>
      </c>
      <c r="W480" s="18"/>
      <c r="X480" s="35">
        <f>1-0.275</f>
        <v>0.72499999999999998</v>
      </c>
      <c r="Y480" s="32" t="s">
        <v>546</v>
      </c>
      <c r="AA480" s="19">
        <f ca="1">RAND()</f>
        <v>4.2387472289320161E-2</v>
      </c>
      <c r="AB480" s="21">
        <f ca="1">_xlfn.BETA.INV(AA480, AD480, AE480)</f>
        <v>0.70572643463975593</v>
      </c>
      <c r="AC480" s="20" t="s">
        <v>28</v>
      </c>
      <c r="AD480" s="54">
        <f>(S480^2*(1-S480))/U480^2-S480</f>
        <v>5075.9034934119245</v>
      </c>
      <c r="AE480" s="55">
        <f>AD480*((1-S480)/S480)</f>
        <v>2023.2622316397174</v>
      </c>
    </row>
    <row r="481" spans="1:31" ht="12" customHeight="1" outlineLevel="3" x14ac:dyDescent="0.25">
      <c r="A481" s="312"/>
      <c r="B481" s="313"/>
      <c r="C481" s="314"/>
      <c r="G481" s="40" t="s">
        <v>89</v>
      </c>
      <c r="H481" s="40" t="s">
        <v>89</v>
      </c>
      <c r="I481" s="40" t="s">
        <v>89</v>
      </c>
      <c r="J481" s="40" t="s">
        <v>89</v>
      </c>
      <c r="K481" s="40" t="s">
        <v>89</v>
      </c>
      <c r="L481" s="38" t="s">
        <v>545</v>
      </c>
      <c r="M481"/>
      <c r="O481"/>
      <c r="AB481"/>
    </row>
    <row r="482" spans="1:31" ht="12" customHeight="1" outlineLevel="3" x14ac:dyDescent="0.25">
      <c r="A482" s="312"/>
      <c r="B482" s="313"/>
      <c r="C482" s="314"/>
      <c r="G482" s="40" t="s">
        <v>89</v>
      </c>
      <c r="H482" s="40" t="s">
        <v>89</v>
      </c>
      <c r="I482" s="40" t="s">
        <v>89</v>
      </c>
      <c r="J482" s="40" t="s">
        <v>89</v>
      </c>
      <c r="K482" s="40" t="s">
        <v>89</v>
      </c>
      <c r="L482" s="104" t="s">
        <v>544</v>
      </c>
      <c r="M482"/>
      <c r="O482"/>
      <c r="AB482"/>
    </row>
    <row r="483" spans="1:31" ht="12" customHeight="1" outlineLevel="3" x14ac:dyDescent="0.25">
      <c r="A483" s="312"/>
      <c r="B483" s="313"/>
      <c r="C483" s="314"/>
      <c r="G483" s="40" t="s">
        <v>89</v>
      </c>
      <c r="H483" s="40" t="s">
        <v>89</v>
      </c>
      <c r="I483" s="40" t="s">
        <v>89</v>
      </c>
      <c r="J483" s="40" t="s">
        <v>89</v>
      </c>
      <c r="K483" s="40" t="s">
        <v>89</v>
      </c>
      <c r="L483" s="170" t="s">
        <v>540</v>
      </c>
      <c r="M483"/>
      <c r="O483"/>
      <c r="AB483"/>
    </row>
    <row r="484" spans="1:31" ht="12" customHeight="1" outlineLevel="3" x14ac:dyDescent="0.25">
      <c r="A484" s="312"/>
      <c r="B484" s="313"/>
      <c r="C484" s="314"/>
      <c r="D484" s="40">
        <v>16</v>
      </c>
      <c r="G484" s="40" t="s">
        <v>89</v>
      </c>
      <c r="H484" s="40" t="s">
        <v>89</v>
      </c>
      <c r="I484" s="40" t="s">
        <v>89</v>
      </c>
      <c r="J484" s="40" t="s">
        <v>752</v>
      </c>
      <c r="K484" s="40" t="s">
        <v>89</v>
      </c>
      <c r="L484" s="205" t="str">
        <f>D484&amp;"-44"</f>
        <v>16-44</v>
      </c>
      <c r="M484" s="36">
        <f t="shared" ref="M484:M489" si="47">O484</f>
        <v>1.3353115727002967E-2</v>
      </c>
      <c r="O484" s="11">
        <f t="shared" ref="O484:O489" si="48">CHOOSE(swtchPSA, S484, AB484)</f>
        <v>1.3353115727002967E-2</v>
      </c>
      <c r="P484" s="11"/>
      <c r="Q484" s="162">
        <v>674</v>
      </c>
      <c r="R484" s="162">
        <f>9</f>
        <v>9</v>
      </c>
      <c r="S484" s="17">
        <f t="shared" ref="S484:S489" si="49">R484/Q484</f>
        <v>1.3353115727002967E-2</v>
      </c>
      <c r="T484" s="18"/>
      <c r="U484" s="22">
        <f t="shared" ref="U484:U489" si="50">SQRT((S484*(1-S484))/Q484)</f>
        <v>4.4212210854385871E-3</v>
      </c>
      <c r="V484" s="17">
        <f t="shared" ref="V484:V489" si="51">_xlfn.BETA.INV(0.025, AD484, AE484)</f>
        <v>6.1327116491995803E-3</v>
      </c>
      <c r="W484" s="18"/>
      <c r="X484" s="17">
        <f t="shared" ref="X484:X489" si="52">_xlfn.BETA.INV(0.975, AD484, AE484)</f>
        <v>2.3287333408580246E-2</v>
      </c>
      <c r="Y484" s="32" t="s">
        <v>542</v>
      </c>
      <c r="AA484" s="19">
        <f t="shared" ref="AA484:AA489" ca="1" si="53">RAND()</f>
        <v>0.16680915416460473</v>
      </c>
      <c r="AB484" s="21">
        <f t="shared" ref="AB484:AB489" ca="1" si="54">_xlfn.BETA.INV(AA484, AD484, AE484)</f>
        <v>9.1258174716878845E-3</v>
      </c>
      <c r="AC484" s="20" t="s">
        <v>28</v>
      </c>
      <c r="AD484" s="34">
        <f t="shared" ref="AD484:AD489" si="55">R484</f>
        <v>9</v>
      </c>
      <c r="AE484" s="33">
        <f t="shared" ref="AE484:AE489" si="56">Q484-R484</f>
        <v>665</v>
      </c>
    </row>
    <row r="485" spans="1:31" ht="12" customHeight="1" outlineLevel="3" x14ac:dyDescent="0.25">
      <c r="A485" s="312"/>
      <c r="B485" s="313"/>
      <c r="C485" s="314"/>
      <c r="D485" s="40">
        <v>45</v>
      </c>
      <c r="G485" s="40" t="s">
        <v>89</v>
      </c>
      <c r="H485" s="40" t="s">
        <v>89</v>
      </c>
      <c r="I485" s="40" t="s">
        <v>89</v>
      </c>
      <c r="J485" s="40" t="s">
        <v>752</v>
      </c>
      <c r="K485" s="40" t="s">
        <v>89</v>
      </c>
      <c r="L485" s="205" t="str">
        <f>D485&amp;"-"&amp;D485+9</f>
        <v>45-54</v>
      </c>
      <c r="M485" s="36">
        <f t="shared" si="47"/>
        <v>2.6697177726926011E-2</v>
      </c>
      <c r="O485" s="11">
        <f t="shared" si="48"/>
        <v>2.6697177726926011E-2</v>
      </c>
      <c r="P485" s="11"/>
      <c r="Q485" s="162">
        <v>1311</v>
      </c>
      <c r="R485" s="162">
        <f>35</f>
        <v>35</v>
      </c>
      <c r="S485" s="17">
        <f t="shared" si="49"/>
        <v>2.6697177726926011E-2</v>
      </c>
      <c r="T485" s="18"/>
      <c r="U485" s="22">
        <f t="shared" si="50"/>
        <v>4.4520017034261833E-3</v>
      </c>
      <c r="V485" s="17">
        <f t="shared" si="51"/>
        <v>1.8678747149988427E-2</v>
      </c>
      <c r="W485" s="18"/>
      <c r="X485" s="17">
        <f t="shared" si="52"/>
        <v>3.6080831597976259E-2</v>
      </c>
      <c r="Y485" s="32" t="s">
        <v>542</v>
      </c>
      <c r="AA485" s="19">
        <f t="shared" ca="1" si="53"/>
        <v>8.8135522934151944E-2</v>
      </c>
      <c r="AB485" s="21">
        <f t="shared" ca="1" si="54"/>
        <v>2.089980414687689E-2</v>
      </c>
      <c r="AC485" s="20" t="s">
        <v>28</v>
      </c>
      <c r="AD485" s="34">
        <f t="shared" si="55"/>
        <v>35</v>
      </c>
      <c r="AE485" s="33">
        <f t="shared" si="56"/>
        <v>1276</v>
      </c>
    </row>
    <row r="486" spans="1:31" ht="12" customHeight="1" outlineLevel="3" x14ac:dyDescent="0.25">
      <c r="A486" s="312"/>
      <c r="B486" s="313"/>
      <c r="C486" s="314"/>
      <c r="D486" s="40">
        <f>D485+10</f>
        <v>55</v>
      </c>
      <c r="G486" s="40" t="s">
        <v>89</v>
      </c>
      <c r="H486" s="40" t="s">
        <v>89</v>
      </c>
      <c r="I486" s="40" t="s">
        <v>89</v>
      </c>
      <c r="J486" s="40" t="s">
        <v>752</v>
      </c>
      <c r="K486" s="40" t="s">
        <v>89</v>
      </c>
      <c r="L486" s="205" t="str">
        <f>D486&amp;"-"&amp;D486+9</f>
        <v>55-64</v>
      </c>
      <c r="M486" s="36">
        <f t="shared" si="47"/>
        <v>3.3178737067427758E-2</v>
      </c>
      <c r="O486" s="11">
        <f t="shared" si="48"/>
        <v>3.3178737067427758E-2</v>
      </c>
      <c r="P486" s="11"/>
      <c r="Q486" s="162">
        <v>2803</v>
      </c>
      <c r="R486" s="162">
        <f>93</f>
        <v>93</v>
      </c>
      <c r="S486" s="17">
        <f t="shared" si="49"/>
        <v>3.3178737067427758E-2</v>
      </c>
      <c r="T486" s="18"/>
      <c r="U486" s="22">
        <f t="shared" si="50"/>
        <v>3.3829180172018506E-3</v>
      </c>
      <c r="V486" s="17">
        <f t="shared" si="51"/>
        <v>2.6870913586970604E-2</v>
      </c>
      <c r="W486" s="18"/>
      <c r="X486" s="17">
        <f t="shared" si="52"/>
        <v>4.0117100254401183E-2</v>
      </c>
      <c r="Y486" s="32" t="s">
        <v>542</v>
      </c>
      <c r="AA486" s="19">
        <f t="shared" ca="1" si="53"/>
        <v>0.83742200913393716</v>
      </c>
      <c r="AB486" s="21">
        <f t="shared" ca="1" si="54"/>
        <v>3.6498355884343248E-2</v>
      </c>
      <c r="AC486" s="20" t="s">
        <v>28</v>
      </c>
      <c r="AD486" s="34">
        <f t="shared" si="55"/>
        <v>93</v>
      </c>
      <c r="AE486" s="33">
        <f t="shared" si="56"/>
        <v>2710</v>
      </c>
    </row>
    <row r="487" spans="1:31" ht="12" customHeight="1" outlineLevel="3" x14ac:dyDescent="0.25">
      <c r="A487" s="312"/>
      <c r="B487" s="313"/>
      <c r="C487" s="314"/>
      <c r="D487" s="40">
        <f>D486+10</f>
        <v>65</v>
      </c>
      <c r="G487" s="40" t="s">
        <v>89</v>
      </c>
      <c r="H487" s="40" t="s">
        <v>89</v>
      </c>
      <c r="I487" s="40" t="s">
        <v>89</v>
      </c>
      <c r="J487" s="40" t="s">
        <v>752</v>
      </c>
      <c r="K487" s="40" t="s">
        <v>89</v>
      </c>
      <c r="L487" s="205" t="str">
        <f>D487&amp;"-"&amp;D487+9</f>
        <v>65-74</v>
      </c>
      <c r="M487" s="36">
        <f t="shared" si="47"/>
        <v>6.5725490196078429E-2</v>
      </c>
      <c r="O487" s="11">
        <f t="shared" si="48"/>
        <v>6.5725490196078429E-2</v>
      </c>
      <c r="P487" s="11"/>
      <c r="Q487" s="162">
        <v>6375</v>
      </c>
      <c r="R487" s="162">
        <f>419</f>
        <v>419</v>
      </c>
      <c r="S487" s="17">
        <f t="shared" si="49"/>
        <v>6.5725490196078429E-2</v>
      </c>
      <c r="T487" s="18"/>
      <c r="U487" s="22">
        <f t="shared" si="50"/>
        <v>3.1035880597523624E-3</v>
      </c>
      <c r="V487" s="17">
        <f t="shared" si="51"/>
        <v>5.9773301113535744E-2</v>
      </c>
      <c r="W487" s="18"/>
      <c r="X487" s="17">
        <f t="shared" si="52"/>
        <v>7.1935731731993635E-2</v>
      </c>
      <c r="Y487" s="32" t="s">
        <v>542</v>
      </c>
      <c r="AA487" s="19">
        <f t="shared" ca="1" si="53"/>
        <v>0.452366928821332</v>
      </c>
      <c r="AB487" s="21">
        <f t="shared" ca="1" si="54"/>
        <v>6.5309405082105643E-2</v>
      </c>
      <c r="AC487" s="20" t="s">
        <v>28</v>
      </c>
      <c r="AD487" s="34">
        <f t="shared" si="55"/>
        <v>419</v>
      </c>
      <c r="AE487" s="33">
        <f t="shared" si="56"/>
        <v>5956</v>
      </c>
    </row>
    <row r="488" spans="1:31" ht="12" customHeight="1" outlineLevel="3" x14ac:dyDescent="0.25">
      <c r="A488" s="312"/>
      <c r="B488" s="313"/>
      <c r="C488" s="314"/>
      <c r="D488" s="40">
        <f>D487+10</f>
        <v>75</v>
      </c>
      <c r="G488" s="40" t="s">
        <v>89</v>
      </c>
      <c r="H488" s="40" t="s">
        <v>89</v>
      </c>
      <c r="I488" s="40" t="s">
        <v>89</v>
      </c>
      <c r="J488" s="40" t="s">
        <v>752</v>
      </c>
      <c r="K488" s="40" t="s">
        <v>89</v>
      </c>
      <c r="L488" s="205" t="str">
        <f>D488&amp;"-"&amp;D488+9</f>
        <v>75-84</v>
      </c>
      <c r="M488" s="36">
        <f t="shared" si="47"/>
        <v>9.5422416694715587E-2</v>
      </c>
      <c r="O488" s="11">
        <f t="shared" si="48"/>
        <v>9.5422416694715587E-2</v>
      </c>
      <c r="P488" s="11"/>
      <c r="Q488" s="162">
        <v>11884</v>
      </c>
      <c r="R488" s="162">
        <f>1134</f>
        <v>1134</v>
      </c>
      <c r="S488" s="17">
        <f t="shared" si="49"/>
        <v>9.5422416694715587E-2</v>
      </c>
      <c r="T488" s="18"/>
      <c r="U488" s="22">
        <f t="shared" si="50"/>
        <v>2.6950498004735682E-3</v>
      </c>
      <c r="V488" s="17">
        <f t="shared" si="51"/>
        <v>9.0205314495109129E-2</v>
      </c>
      <c r="W488" s="18"/>
      <c r="X488" s="17">
        <f t="shared" si="52"/>
        <v>0.10076849268909938</v>
      </c>
      <c r="Y488" s="32" t="s">
        <v>542</v>
      </c>
      <c r="AA488" s="19">
        <f t="shared" ca="1" si="53"/>
        <v>0.32316616855224312</v>
      </c>
      <c r="AB488" s="21">
        <f t="shared" ca="1" si="54"/>
        <v>9.4167968935448945E-2</v>
      </c>
      <c r="AC488" s="20" t="s">
        <v>28</v>
      </c>
      <c r="AD488" s="34">
        <f t="shared" si="55"/>
        <v>1134</v>
      </c>
      <c r="AE488" s="33">
        <f t="shared" si="56"/>
        <v>10750</v>
      </c>
    </row>
    <row r="489" spans="1:31" ht="12" customHeight="1" outlineLevel="3" x14ac:dyDescent="0.25">
      <c r="A489" s="312"/>
      <c r="B489" s="313"/>
      <c r="C489" s="314"/>
      <c r="D489" s="40">
        <f>D488+10</f>
        <v>85</v>
      </c>
      <c r="G489" s="40" t="s">
        <v>89</v>
      </c>
      <c r="H489" s="40" t="s">
        <v>89</v>
      </c>
      <c r="I489" s="40" t="s">
        <v>89</v>
      </c>
      <c r="J489" s="40" t="s">
        <v>752</v>
      </c>
      <c r="K489" s="40" t="s">
        <v>89</v>
      </c>
      <c r="L489" s="205" t="str">
        <f>D489&amp;"+"</f>
        <v>85+</v>
      </c>
      <c r="M489" s="36">
        <f t="shared" si="47"/>
        <v>0.14269911504424779</v>
      </c>
      <c r="O489" s="11">
        <f t="shared" si="48"/>
        <v>0.14269911504424779</v>
      </c>
      <c r="P489" s="11"/>
      <c r="Q489" s="162">
        <v>9944</v>
      </c>
      <c r="R489" s="162">
        <f>1419</f>
        <v>1419</v>
      </c>
      <c r="S489" s="17">
        <f t="shared" si="49"/>
        <v>0.14269911504424779</v>
      </c>
      <c r="T489" s="18"/>
      <c r="U489" s="22">
        <f t="shared" si="50"/>
        <v>3.5074922339045421E-3</v>
      </c>
      <c r="V489" s="17">
        <f t="shared" si="51"/>
        <v>0.13589336401431887</v>
      </c>
      <c r="W489" s="18"/>
      <c r="X489" s="17">
        <f t="shared" si="52"/>
        <v>0.14964099252643615</v>
      </c>
      <c r="Y489" s="32" t="s">
        <v>542</v>
      </c>
      <c r="AA489" s="19">
        <f t="shared" ca="1" si="53"/>
        <v>0.86245575915359862</v>
      </c>
      <c r="AB489" s="21">
        <f t="shared" ca="1" si="54"/>
        <v>0.14653156339925089</v>
      </c>
      <c r="AC489" s="20" t="s">
        <v>28</v>
      </c>
      <c r="AD489" s="34">
        <f t="shared" si="55"/>
        <v>1419</v>
      </c>
      <c r="AE489" s="33">
        <f t="shared" si="56"/>
        <v>8525</v>
      </c>
    </row>
    <row r="490" spans="1:31" ht="12" customHeight="1" outlineLevel="3" x14ac:dyDescent="0.25">
      <c r="A490" s="312"/>
      <c r="B490" s="313"/>
      <c r="C490" s="314"/>
      <c r="G490" s="40" t="s">
        <v>89</v>
      </c>
      <c r="H490" s="40" t="s">
        <v>89</v>
      </c>
      <c r="I490" s="40" t="s">
        <v>89</v>
      </c>
      <c r="J490" s="40" t="s">
        <v>752</v>
      </c>
      <c r="K490" s="40" t="s">
        <v>89</v>
      </c>
      <c r="L490" s="205" t="s">
        <v>537</v>
      </c>
      <c r="M490" s="156">
        <f t="shared" ref="M490:M491" si="57">O490</f>
        <v>4.9807399444593746E-2</v>
      </c>
      <c r="O490" s="11">
        <f>SUMPRODUCT(M484:M487, Q484:Q487) / SUM(Q484:Q487)</f>
        <v>4.9807399444593746E-2</v>
      </c>
      <c r="P490" s="11"/>
      <c r="AB490"/>
    </row>
    <row r="491" spans="1:31" ht="12" customHeight="1" outlineLevel="3" x14ac:dyDescent="0.25">
      <c r="A491" s="312"/>
      <c r="B491" s="313"/>
      <c r="C491" s="314"/>
      <c r="G491" s="40" t="s">
        <v>89</v>
      </c>
      <c r="H491" s="40" t="s">
        <v>89</v>
      </c>
      <c r="I491" s="40" t="s">
        <v>89</v>
      </c>
      <c r="J491" s="40" t="s">
        <v>752</v>
      </c>
      <c r="K491" s="40" t="s">
        <v>89</v>
      </c>
      <c r="L491" s="205" t="s">
        <v>536</v>
      </c>
      <c r="M491" s="156">
        <f t="shared" si="57"/>
        <v>0.11695986805937328</v>
      </c>
      <c r="O491" s="11">
        <f>SUMPRODUCT(M488:M489, Q488:Q489) / SUM(Q488:Q489)</f>
        <v>0.11695986805937328</v>
      </c>
      <c r="P491" s="11"/>
      <c r="AB491"/>
    </row>
    <row r="492" spans="1:31" ht="12" customHeight="1" outlineLevel="3" x14ac:dyDescent="0.25">
      <c r="A492" s="312"/>
      <c r="B492" s="313"/>
      <c r="C492" s="314"/>
      <c r="G492" s="40" t="s">
        <v>89</v>
      </c>
      <c r="H492" s="40" t="s">
        <v>89</v>
      </c>
      <c r="I492" s="40" t="s">
        <v>89</v>
      </c>
      <c r="J492" s="40" t="s">
        <v>89</v>
      </c>
      <c r="K492" s="40" t="s">
        <v>89</v>
      </c>
      <c r="L492" s="170" t="s">
        <v>543</v>
      </c>
      <c r="M492"/>
      <c r="O492"/>
      <c r="AB492"/>
    </row>
    <row r="493" spans="1:31" ht="12" customHeight="1" outlineLevel="3" x14ac:dyDescent="0.25">
      <c r="A493" s="312"/>
      <c r="B493" s="313"/>
      <c r="C493" s="314"/>
      <c r="D493" s="40">
        <v>16</v>
      </c>
      <c r="G493" s="40" t="s">
        <v>89</v>
      </c>
      <c r="H493" s="40" t="s">
        <v>89</v>
      </c>
      <c r="I493" s="40" t="s">
        <v>89</v>
      </c>
      <c r="J493" s="40" t="s">
        <v>752</v>
      </c>
      <c r="K493" s="40" t="s">
        <v>89</v>
      </c>
      <c r="L493" s="205" t="str">
        <f>D493&amp;"-44"</f>
        <v>16-44</v>
      </c>
      <c r="M493" s="36">
        <f t="shared" ref="M493:M498" si="58">O493</f>
        <v>6.0150375939849628E-3</v>
      </c>
      <c r="O493" s="11">
        <f t="shared" ref="O493:O498" si="59">CHOOSE(swtchPSA, S493, AB493)</f>
        <v>6.0150375939849628E-3</v>
      </c>
      <c r="P493" s="11"/>
      <c r="Q493" s="163">
        <f t="shared" ref="Q493:Q498" si="60">Q484-R484</f>
        <v>665</v>
      </c>
      <c r="R493" s="162">
        <v>4</v>
      </c>
      <c r="S493" s="17">
        <f t="shared" ref="S493:S498" si="61">R493/Q493</f>
        <v>6.0150375939849628E-3</v>
      </c>
      <c r="T493" s="18"/>
      <c r="U493" s="22">
        <f t="shared" ref="U493:U498" si="62">SQRT((S493*(1-S493))/Q493)</f>
        <v>2.9984599848578686E-3</v>
      </c>
      <c r="V493" s="17">
        <f t="shared" ref="V493:V498" si="63">_xlfn.BETA.INV(0.025, AD493, AE493)</f>
        <v>1.6437302556869906E-3</v>
      </c>
      <c r="W493" s="18"/>
      <c r="X493" s="17">
        <f t="shared" ref="X493:X498" si="64">_xlfn.BETA.INV(0.975, AD493, AE493)</f>
        <v>1.3146491578121755E-2</v>
      </c>
      <c r="Y493" s="32" t="s">
        <v>542</v>
      </c>
      <c r="AA493" s="19">
        <f t="shared" ref="AA493:AA498" ca="1" si="65">RAND()</f>
        <v>0.11546866740070283</v>
      </c>
      <c r="AB493" s="21">
        <f t="shared" ref="AB493:AB498" ca="1" si="66">_xlfn.BETA.INV(AA493, AD493, AE493)</f>
        <v>2.7757788618900533E-3</v>
      </c>
      <c r="AC493" s="20" t="s">
        <v>28</v>
      </c>
      <c r="AD493" s="34">
        <f t="shared" ref="AD493:AD498" si="67">R493</f>
        <v>4</v>
      </c>
      <c r="AE493" s="33">
        <f t="shared" ref="AE493:AE498" si="68">Q493-R493</f>
        <v>661</v>
      </c>
    </row>
    <row r="494" spans="1:31" ht="12" customHeight="1" outlineLevel="3" x14ac:dyDescent="0.25">
      <c r="A494" s="312"/>
      <c r="B494" s="313"/>
      <c r="C494" s="314"/>
      <c r="D494" s="40">
        <v>45</v>
      </c>
      <c r="G494" s="40" t="s">
        <v>89</v>
      </c>
      <c r="H494" s="40" t="s">
        <v>89</v>
      </c>
      <c r="I494" s="40" t="s">
        <v>89</v>
      </c>
      <c r="J494" s="40" t="s">
        <v>752</v>
      </c>
      <c r="K494" s="40" t="s">
        <v>89</v>
      </c>
      <c r="L494" s="205" t="str">
        <f>D494&amp;"-"&amp;D494+9</f>
        <v>45-54</v>
      </c>
      <c r="M494" s="36">
        <f t="shared" si="58"/>
        <v>1.8808777429467086E-2</v>
      </c>
      <c r="O494" s="11">
        <f t="shared" si="59"/>
        <v>1.8808777429467086E-2</v>
      </c>
      <c r="P494" s="11"/>
      <c r="Q494" s="163">
        <f t="shared" si="60"/>
        <v>1276</v>
      </c>
      <c r="R494" s="162">
        <v>24</v>
      </c>
      <c r="S494" s="17">
        <f t="shared" si="61"/>
        <v>1.8808777429467086E-2</v>
      </c>
      <c r="T494" s="18"/>
      <c r="U494" s="22">
        <f t="shared" si="62"/>
        <v>3.8030477096298557E-3</v>
      </c>
      <c r="V494" s="17">
        <f t="shared" si="63"/>
        <v>1.2096894473541869E-2</v>
      </c>
      <c r="W494" s="18"/>
      <c r="X494" s="17">
        <f t="shared" si="64"/>
        <v>2.6945336976105461E-2</v>
      </c>
      <c r="Y494" s="32" t="s">
        <v>542</v>
      </c>
      <c r="AA494" s="19">
        <f t="shared" ca="1" si="65"/>
        <v>0.24086041442171013</v>
      </c>
      <c r="AB494" s="21">
        <f t="shared" ca="1" si="66"/>
        <v>1.6025491114205821E-2</v>
      </c>
      <c r="AC494" s="20" t="s">
        <v>28</v>
      </c>
      <c r="AD494" s="34">
        <f t="shared" si="67"/>
        <v>24</v>
      </c>
      <c r="AE494" s="33">
        <f t="shared" si="68"/>
        <v>1252</v>
      </c>
    </row>
    <row r="495" spans="1:31" ht="12" customHeight="1" outlineLevel="3" x14ac:dyDescent="0.25">
      <c r="A495" s="312"/>
      <c r="B495" s="313"/>
      <c r="C495" s="314"/>
      <c r="D495" s="40">
        <f>D494+10</f>
        <v>55</v>
      </c>
      <c r="G495" s="40" t="s">
        <v>89</v>
      </c>
      <c r="H495" s="40" t="s">
        <v>89</v>
      </c>
      <c r="I495" s="40" t="s">
        <v>89</v>
      </c>
      <c r="J495" s="40" t="s">
        <v>752</v>
      </c>
      <c r="K495" s="40" t="s">
        <v>89</v>
      </c>
      <c r="L495" s="205" t="str">
        <f>D495&amp;"-"&amp;D495+9</f>
        <v>55-64</v>
      </c>
      <c r="M495" s="36">
        <f t="shared" si="58"/>
        <v>2.8413284132841329E-2</v>
      </c>
      <c r="O495" s="11">
        <f t="shared" si="59"/>
        <v>2.8413284132841329E-2</v>
      </c>
      <c r="P495" s="11"/>
      <c r="Q495" s="163">
        <f t="shared" si="60"/>
        <v>2710</v>
      </c>
      <c r="R495" s="162">
        <v>77</v>
      </c>
      <c r="S495" s="17">
        <f t="shared" si="61"/>
        <v>2.8413284132841329E-2</v>
      </c>
      <c r="T495" s="18"/>
      <c r="U495" s="22">
        <f t="shared" si="62"/>
        <v>3.19166172740008E-3</v>
      </c>
      <c r="V495" s="17">
        <f t="shared" si="63"/>
        <v>2.2495252140725782E-2</v>
      </c>
      <c r="W495" s="18"/>
      <c r="X495" s="17">
        <f t="shared" si="64"/>
        <v>3.4990047319422235E-2</v>
      </c>
      <c r="Y495" s="32" t="s">
        <v>542</v>
      </c>
      <c r="AA495" s="19">
        <f t="shared" ca="1" si="65"/>
        <v>0.81576475240450153</v>
      </c>
      <c r="AB495" s="21">
        <f t="shared" ca="1" si="66"/>
        <v>3.1255739389950743E-2</v>
      </c>
      <c r="AC495" s="20" t="s">
        <v>28</v>
      </c>
      <c r="AD495" s="34">
        <f t="shared" si="67"/>
        <v>77</v>
      </c>
      <c r="AE495" s="33">
        <f t="shared" si="68"/>
        <v>2633</v>
      </c>
    </row>
    <row r="496" spans="1:31" ht="12" customHeight="1" outlineLevel="3" x14ac:dyDescent="0.25">
      <c r="A496" s="312"/>
      <c r="B496" s="313"/>
      <c r="C496" s="314"/>
      <c r="D496" s="40">
        <f>D495+10</f>
        <v>65</v>
      </c>
      <c r="G496" s="40" t="s">
        <v>89</v>
      </c>
      <c r="H496" s="40" t="s">
        <v>89</v>
      </c>
      <c r="I496" s="40" t="s">
        <v>89</v>
      </c>
      <c r="J496" s="40" t="s">
        <v>752</v>
      </c>
      <c r="K496" s="40" t="s">
        <v>89</v>
      </c>
      <c r="L496" s="205" t="str">
        <f>D496&amp;"-"&amp;D496+9</f>
        <v>65-74</v>
      </c>
      <c r="M496" s="36">
        <f t="shared" si="58"/>
        <v>4.3485560779046341E-2</v>
      </c>
      <c r="O496" s="11">
        <f t="shared" si="59"/>
        <v>4.3485560779046341E-2</v>
      </c>
      <c r="P496" s="11"/>
      <c r="Q496" s="163">
        <f t="shared" si="60"/>
        <v>5956</v>
      </c>
      <c r="R496" s="162">
        <v>259</v>
      </c>
      <c r="S496" s="17">
        <f t="shared" si="61"/>
        <v>4.3485560779046341E-2</v>
      </c>
      <c r="T496" s="18"/>
      <c r="U496" s="22">
        <f t="shared" si="62"/>
        <v>2.64265797364661E-3</v>
      </c>
      <c r="V496" s="17">
        <f t="shared" si="63"/>
        <v>3.8453352239513773E-2</v>
      </c>
      <c r="W496" s="18"/>
      <c r="X496" s="17">
        <f t="shared" si="64"/>
        <v>4.8808090640629742E-2</v>
      </c>
      <c r="Y496" s="32" t="s">
        <v>542</v>
      </c>
      <c r="AA496" s="19">
        <f t="shared" ca="1" si="65"/>
        <v>0.55580174960257467</v>
      </c>
      <c r="AB496" s="21">
        <f t="shared" ca="1" si="66"/>
        <v>4.380610207258917E-2</v>
      </c>
      <c r="AC496" s="20" t="s">
        <v>28</v>
      </c>
      <c r="AD496" s="34">
        <f t="shared" si="67"/>
        <v>259</v>
      </c>
      <c r="AE496" s="33">
        <f t="shared" si="68"/>
        <v>5697</v>
      </c>
    </row>
    <row r="497" spans="1:31" ht="12" customHeight="1" outlineLevel="3" x14ac:dyDescent="0.25">
      <c r="A497" s="312"/>
      <c r="B497" s="313"/>
      <c r="C497" s="314"/>
      <c r="D497" s="40">
        <f>D496+10</f>
        <v>75</v>
      </c>
      <c r="G497" s="40" t="s">
        <v>89</v>
      </c>
      <c r="H497" s="40" t="s">
        <v>89</v>
      </c>
      <c r="I497" s="40" t="s">
        <v>89</v>
      </c>
      <c r="J497" s="40" t="s">
        <v>752</v>
      </c>
      <c r="K497" s="40" t="s">
        <v>89</v>
      </c>
      <c r="L497" s="205" t="str">
        <f>D497&amp;"-"&amp;D497+9</f>
        <v>75-84</v>
      </c>
      <c r="M497" s="36">
        <f t="shared" si="58"/>
        <v>6.2604651162790695E-2</v>
      </c>
      <c r="O497" s="11">
        <f t="shared" si="59"/>
        <v>6.2604651162790695E-2</v>
      </c>
      <c r="P497" s="11"/>
      <c r="Q497" s="163">
        <f t="shared" si="60"/>
        <v>10750</v>
      </c>
      <c r="R497" s="162">
        <v>673</v>
      </c>
      <c r="S497" s="17">
        <f t="shared" si="61"/>
        <v>6.2604651162790695E-2</v>
      </c>
      <c r="T497" s="18"/>
      <c r="U497" s="22">
        <f t="shared" si="62"/>
        <v>2.3364713767714306E-3</v>
      </c>
      <c r="V497" s="17">
        <f t="shared" si="63"/>
        <v>5.8103110264581134E-2</v>
      </c>
      <c r="W497" s="18"/>
      <c r="X497" s="17">
        <f t="shared" si="64"/>
        <v>6.7260330253233302E-2</v>
      </c>
      <c r="Y497" s="32" t="s">
        <v>542</v>
      </c>
      <c r="AA497" s="19">
        <f t="shared" ca="1" si="65"/>
        <v>0.43245241334079665</v>
      </c>
      <c r="AB497" s="21">
        <f t="shared" ca="1" si="66"/>
        <v>6.2180883441568267E-2</v>
      </c>
      <c r="AC497" s="20" t="s">
        <v>28</v>
      </c>
      <c r="AD497" s="34">
        <f t="shared" si="67"/>
        <v>673</v>
      </c>
      <c r="AE497" s="33">
        <f t="shared" si="68"/>
        <v>10077</v>
      </c>
    </row>
    <row r="498" spans="1:31" ht="12" customHeight="1" outlineLevel="3" x14ac:dyDescent="0.25">
      <c r="A498" s="312"/>
      <c r="B498" s="313"/>
      <c r="C498" s="314"/>
      <c r="D498" s="40">
        <f>D497+10</f>
        <v>85</v>
      </c>
      <c r="G498" s="40" t="s">
        <v>89</v>
      </c>
      <c r="H498" s="40" t="s">
        <v>89</v>
      </c>
      <c r="I498" s="40" t="s">
        <v>89</v>
      </c>
      <c r="J498" s="40" t="s">
        <v>752</v>
      </c>
      <c r="K498" s="40" t="s">
        <v>89</v>
      </c>
      <c r="L498" s="205" t="str">
        <f>D498&amp;"+"</f>
        <v>85+</v>
      </c>
      <c r="M498" s="36">
        <f t="shared" si="58"/>
        <v>9.0791788856304984E-2</v>
      </c>
      <c r="O498" s="11">
        <f t="shared" si="59"/>
        <v>9.0791788856304984E-2</v>
      </c>
      <c r="P498" s="11"/>
      <c r="Q498" s="163">
        <f t="shared" si="60"/>
        <v>8525</v>
      </c>
      <c r="R498" s="162">
        <v>774</v>
      </c>
      <c r="S498" s="17">
        <f t="shared" si="61"/>
        <v>9.0791788856304984E-2</v>
      </c>
      <c r="T498" s="18"/>
      <c r="U498" s="22">
        <f t="shared" si="62"/>
        <v>3.1117719901653101E-3</v>
      </c>
      <c r="V498" s="17">
        <f t="shared" si="63"/>
        <v>8.4784768012325942E-2</v>
      </c>
      <c r="W498" s="18"/>
      <c r="X498" s="17">
        <f t="shared" si="64"/>
        <v>9.69806555101006E-2</v>
      </c>
      <c r="Y498" s="32" t="s">
        <v>542</v>
      </c>
      <c r="AA498" s="19">
        <f t="shared" ca="1" si="65"/>
        <v>0.45678542482017914</v>
      </c>
      <c r="AB498" s="21">
        <f t="shared" ca="1" si="66"/>
        <v>9.0422480146881826E-2</v>
      </c>
      <c r="AC498" s="20" t="s">
        <v>28</v>
      </c>
      <c r="AD498" s="34">
        <f t="shared" si="67"/>
        <v>774</v>
      </c>
      <c r="AE498" s="33">
        <f t="shared" si="68"/>
        <v>7751</v>
      </c>
    </row>
    <row r="499" spans="1:31" ht="12" customHeight="1" outlineLevel="3" x14ac:dyDescent="0.25">
      <c r="A499" s="312"/>
      <c r="B499" s="313"/>
      <c r="C499" s="314"/>
      <c r="G499" s="40" t="s">
        <v>89</v>
      </c>
      <c r="H499" s="40" t="s">
        <v>89</v>
      </c>
      <c r="I499" s="40" t="s">
        <v>89</v>
      </c>
      <c r="J499" s="40" t="s">
        <v>752</v>
      </c>
      <c r="K499" s="40" t="s">
        <v>89</v>
      </c>
      <c r="L499" s="205" t="s">
        <v>537</v>
      </c>
      <c r="M499" s="156">
        <f t="shared" ref="M499:M500" si="69">O499</f>
        <v>3.4316960497784481E-2</v>
      </c>
      <c r="O499" s="11">
        <f>SUMPRODUCT(M493:M496, Q493:Q496) / SUM(Q493:Q496)</f>
        <v>3.4316960497784481E-2</v>
      </c>
      <c r="P499" s="11"/>
      <c r="AB499"/>
    </row>
    <row r="500" spans="1:31" ht="12" customHeight="1" outlineLevel="3" x14ac:dyDescent="0.25">
      <c r="A500" s="312"/>
      <c r="B500" s="313"/>
      <c r="C500" s="314"/>
      <c r="G500" s="40" t="s">
        <v>89</v>
      </c>
      <c r="H500" s="40" t="s">
        <v>89</v>
      </c>
      <c r="I500" s="40" t="s">
        <v>89</v>
      </c>
      <c r="J500" s="40" t="s">
        <v>752</v>
      </c>
      <c r="K500" s="40" t="s">
        <v>89</v>
      </c>
      <c r="L500" s="205" t="s">
        <v>536</v>
      </c>
      <c r="M500" s="156">
        <f t="shared" si="69"/>
        <v>7.5071335927367061E-2</v>
      </c>
      <c r="O500" s="11">
        <f>SUMPRODUCT(M497:M498, Q497:Q498) / SUM(Q497:Q498)</f>
        <v>7.5071335927367061E-2</v>
      </c>
      <c r="P500" s="11"/>
      <c r="AB500"/>
    </row>
    <row r="501" spans="1:31" ht="12" customHeight="1" outlineLevel="3" x14ac:dyDescent="0.25">
      <c r="A501" s="312"/>
      <c r="B501" s="313"/>
      <c r="C501" s="314"/>
      <c r="G501" s="40" t="s">
        <v>89</v>
      </c>
      <c r="H501" s="40" t="s">
        <v>89</v>
      </c>
      <c r="I501" s="40" t="s">
        <v>89</v>
      </c>
      <c r="J501" s="40" t="s">
        <v>89</v>
      </c>
      <c r="K501" s="40" t="s">
        <v>89</v>
      </c>
      <c r="L501" s="104" t="s">
        <v>541</v>
      </c>
      <c r="M501"/>
      <c r="O501"/>
      <c r="AB501"/>
    </row>
    <row r="502" spans="1:31" ht="12" customHeight="1" outlineLevel="3" x14ac:dyDescent="0.25">
      <c r="A502" s="312"/>
      <c r="B502" s="313"/>
      <c r="C502" s="314"/>
      <c r="G502" s="40" t="s">
        <v>89</v>
      </c>
      <c r="H502" s="40" t="s">
        <v>89</v>
      </c>
      <c r="I502" s="40" t="s">
        <v>89</v>
      </c>
      <c r="J502" s="40" t="s">
        <v>89</v>
      </c>
      <c r="K502" s="40" t="s">
        <v>89</v>
      </c>
      <c r="L502" s="170" t="s">
        <v>540</v>
      </c>
      <c r="M502"/>
      <c r="O502"/>
      <c r="AB502"/>
    </row>
    <row r="503" spans="1:31" ht="12" customHeight="1" outlineLevel="3" x14ac:dyDescent="0.25">
      <c r="A503" s="312"/>
      <c r="B503" s="313"/>
      <c r="C503" s="314"/>
      <c r="G503" s="40" t="s">
        <v>89</v>
      </c>
      <c r="H503" s="40" t="s">
        <v>89</v>
      </c>
      <c r="I503" s="40" t="s">
        <v>89</v>
      </c>
      <c r="J503" s="40" t="s">
        <v>752</v>
      </c>
      <c r="K503" s="40" t="s">
        <v>89</v>
      </c>
      <c r="L503" s="205" t="s">
        <v>537</v>
      </c>
      <c r="M503" s="36">
        <f>O503</f>
        <v>5.3999999999999999E-2</v>
      </c>
      <c r="O503" s="11">
        <f>CHOOSE(swtchPSA, S503, AB503)</f>
        <v>5.3999999999999999E-2</v>
      </c>
      <c r="P503" s="11"/>
      <c r="Q503" s="162">
        <f>808+409+1688+759+3592+1719+7284+4001</f>
        <v>20260</v>
      </c>
      <c r="R503" s="317">
        <f>ROUND(Q503*S503, 0)</f>
        <v>1094</v>
      </c>
      <c r="S503" s="35">
        <v>5.3999999999999999E-2</v>
      </c>
      <c r="T503" s="18"/>
      <c r="U503" s="22">
        <f>SQRT((S503*(1-S503))/Q503)</f>
        <v>1.5878984603043484E-3</v>
      </c>
      <c r="V503" s="17">
        <f>_xlfn.BETA.INV(0.025, AD503, AE503)</f>
        <v>5.0927873419978981E-2</v>
      </c>
      <c r="W503" s="18"/>
      <c r="X503" s="17">
        <f>_xlfn.BETA.INV(0.975, AD503, AE503)</f>
        <v>5.7151575729765369E-2</v>
      </c>
      <c r="Y503" s="32" t="s">
        <v>539</v>
      </c>
      <c r="AA503" s="19">
        <f ca="1">RAND()</f>
        <v>0.64250277170336367</v>
      </c>
      <c r="AB503" s="21">
        <f ca="1">_xlfn.BETA.INV(AA503, AD503, AE503)</f>
        <v>5.4565049954400591E-2</v>
      </c>
      <c r="AC503" s="20" t="s">
        <v>28</v>
      </c>
      <c r="AD503" s="34">
        <f>R503</f>
        <v>1094</v>
      </c>
      <c r="AE503" s="33">
        <f>Q503-R503</f>
        <v>19166</v>
      </c>
    </row>
    <row r="504" spans="1:31" ht="12" customHeight="1" outlineLevel="3" x14ac:dyDescent="0.25">
      <c r="A504" s="312"/>
      <c r="B504" s="313"/>
      <c r="C504" s="314"/>
      <c r="G504" s="40" t="s">
        <v>89</v>
      </c>
      <c r="H504" s="40" t="s">
        <v>89</v>
      </c>
      <c r="I504" s="40" t="s">
        <v>89</v>
      </c>
      <c r="J504" s="40" t="s">
        <v>752</v>
      </c>
      <c r="K504" s="40" t="s">
        <v>89</v>
      </c>
      <c r="L504" s="205" t="s">
        <v>536</v>
      </c>
      <c r="M504" s="36">
        <f>O504</f>
        <v>0.109</v>
      </c>
      <c r="O504" s="11">
        <f>CHOOSE(swtchPSA, S504, AB504)</f>
        <v>0.109</v>
      </c>
      <c r="P504" s="11"/>
      <c r="Q504" s="162">
        <f>11818+9224+9063+11197</f>
        <v>41302</v>
      </c>
      <c r="R504" s="317">
        <f>ROUND(Q504*S504, 0)</f>
        <v>4502</v>
      </c>
      <c r="S504" s="35">
        <v>0.109</v>
      </c>
      <c r="T504" s="18"/>
      <c r="U504" s="22">
        <f>SQRT((S504*(1-S504))/Q504)</f>
        <v>1.5334391953457035E-3</v>
      </c>
      <c r="V504" s="17">
        <f>_xlfn.BETA.INV(0.025, AD504, AE504)</f>
        <v>0.10601450050180987</v>
      </c>
      <c r="W504" s="18"/>
      <c r="X504" s="17">
        <f>_xlfn.BETA.INV(0.975, AD504, AE504)</f>
        <v>0.11202533595993147</v>
      </c>
      <c r="Y504" s="32" t="s">
        <v>539</v>
      </c>
      <c r="AA504" s="19">
        <f ca="1">RAND()</f>
        <v>0.92853161091529557</v>
      </c>
      <c r="AB504" s="21">
        <f ca="1">_xlfn.BETA.INV(AA504, AD504, AE504)</f>
        <v>0.11125557394789964</v>
      </c>
      <c r="AC504" s="20" t="s">
        <v>28</v>
      </c>
      <c r="AD504" s="34">
        <f>R504</f>
        <v>4502</v>
      </c>
      <c r="AE504" s="33">
        <f>Q504-R504</f>
        <v>36800</v>
      </c>
    </row>
    <row r="505" spans="1:31" ht="12" customHeight="1" outlineLevel="3" x14ac:dyDescent="0.25">
      <c r="A505" s="312"/>
      <c r="B505" s="313"/>
      <c r="C505" s="314"/>
      <c r="G505" s="40" t="s">
        <v>89</v>
      </c>
      <c r="H505" s="40" t="s">
        <v>89</v>
      </c>
      <c r="I505" s="40" t="s">
        <v>89</v>
      </c>
      <c r="J505" s="40" t="s">
        <v>89</v>
      </c>
      <c r="K505" s="40" t="s">
        <v>89</v>
      </c>
      <c r="L505" s="170" t="s">
        <v>538</v>
      </c>
      <c r="M505"/>
      <c r="O505"/>
      <c r="AB505"/>
    </row>
    <row r="506" spans="1:31" ht="12" customHeight="1" outlineLevel="3" x14ac:dyDescent="0.25">
      <c r="A506" s="312"/>
      <c r="B506" s="313"/>
      <c r="C506" s="314"/>
      <c r="G506" s="40" t="s">
        <v>89</v>
      </c>
      <c r="H506" s="40" t="s">
        <v>89</v>
      </c>
      <c r="I506" s="40" t="s">
        <v>89</v>
      </c>
      <c r="J506" s="40" t="s">
        <v>752</v>
      </c>
      <c r="K506" s="40" t="s">
        <v>89</v>
      </c>
      <c r="L506" s="205" t="s">
        <v>537</v>
      </c>
      <c r="M506" s="206">
        <f>O506</f>
        <v>1.0841762589928057</v>
      </c>
      <c r="O506" s="11">
        <f>M503/M490</f>
        <v>1.0841762589928057</v>
      </c>
      <c r="P506" s="11"/>
      <c r="AB506"/>
    </row>
    <row r="507" spans="1:31" ht="12" customHeight="1" outlineLevel="3" x14ac:dyDescent="0.25">
      <c r="A507" s="312"/>
      <c r="B507" s="313"/>
      <c r="C507" s="314"/>
      <c r="G507" s="40" t="s">
        <v>89</v>
      </c>
      <c r="H507" s="40" t="s">
        <v>89</v>
      </c>
      <c r="I507" s="40" t="s">
        <v>89</v>
      </c>
      <c r="J507" s="40" t="s">
        <v>752</v>
      </c>
      <c r="K507" s="40" t="s">
        <v>89</v>
      </c>
      <c r="L507" s="205" t="s">
        <v>536</v>
      </c>
      <c r="M507" s="206">
        <f>O507</f>
        <v>0.93194359576968278</v>
      </c>
      <c r="O507" s="11">
        <f>M504/M491</f>
        <v>0.93194359576968278</v>
      </c>
      <c r="P507" s="11"/>
      <c r="AB507"/>
    </row>
    <row r="508" spans="1:31" ht="12" customHeight="1" outlineLevel="3" x14ac:dyDescent="0.25">
      <c r="A508" s="312"/>
      <c r="B508" s="313"/>
      <c r="C508" s="314"/>
      <c r="G508" s="40" t="s">
        <v>89</v>
      </c>
      <c r="H508" s="40" t="s">
        <v>89</v>
      </c>
      <c r="I508" s="40" t="s">
        <v>89</v>
      </c>
      <c r="J508" s="40" t="s">
        <v>89</v>
      </c>
      <c r="K508" s="40" t="s">
        <v>89</v>
      </c>
      <c r="L508" s="104" t="s">
        <v>535</v>
      </c>
      <c r="M508"/>
      <c r="O508"/>
      <c r="AB508"/>
    </row>
    <row r="509" spans="1:31" ht="12" customHeight="1" outlineLevel="3" x14ac:dyDescent="0.25">
      <c r="A509" s="312"/>
      <c r="B509" s="313"/>
      <c r="C509" s="314"/>
      <c r="G509" s="40" t="s">
        <v>89</v>
      </c>
      <c r="H509" s="40" t="s">
        <v>89</v>
      </c>
      <c r="I509" s="40" t="s">
        <v>89</v>
      </c>
      <c r="J509" s="40" t="s">
        <v>89</v>
      </c>
      <c r="K509" s="40" t="s">
        <v>89</v>
      </c>
      <c r="L509" s="170" t="s">
        <v>534</v>
      </c>
      <c r="M509"/>
      <c r="O509"/>
      <c r="AB509"/>
    </row>
    <row r="510" spans="1:31" ht="12" customHeight="1" outlineLevel="3" x14ac:dyDescent="0.25">
      <c r="A510" s="312"/>
      <c r="B510" s="313"/>
      <c r="C510" s="314"/>
      <c r="D510" s="40">
        <v>65</v>
      </c>
      <c r="G510" s="40" t="s">
        <v>89</v>
      </c>
      <c r="H510" s="40" t="s">
        <v>89</v>
      </c>
      <c r="I510" s="40" t="s">
        <v>89</v>
      </c>
      <c r="J510" s="40" t="s">
        <v>752</v>
      </c>
      <c r="K510" s="40" t="s">
        <v>89</v>
      </c>
      <c r="L510" s="205" t="str">
        <f>D510&amp;"-"&amp;D510+9</f>
        <v>65-74</v>
      </c>
      <c r="M510" s="156">
        <f>O510</f>
        <v>0.11840402868688336</v>
      </c>
      <c r="N510" s="78"/>
      <c r="O510" s="66">
        <f>(M487+M496)*M506</f>
        <v>0.11840402868688336</v>
      </c>
      <c r="P510" s="53"/>
      <c r="AB510"/>
    </row>
    <row r="511" spans="1:31" ht="12" customHeight="1" outlineLevel="3" x14ac:dyDescent="0.25">
      <c r="A511" s="312"/>
      <c r="B511" s="313"/>
      <c r="C511" s="314"/>
      <c r="D511" s="40">
        <f>D510+10</f>
        <v>75</v>
      </c>
      <c r="G511" s="40" t="s">
        <v>89</v>
      </c>
      <c r="H511" s="40" t="s">
        <v>89</v>
      </c>
      <c r="I511" s="40" t="s">
        <v>89</v>
      </c>
      <c r="J511" s="40" t="s">
        <v>752</v>
      </c>
      <c r="K511" s="40" t="s">
        <v>89</v>
      </c>
      <c r="L511" s="205" t="str">
        <f>D511&amp;"-"&amp;D511+9</f>
        <v>75-84</v>
      </c>
      <c r="M511" s="156">
        <f>O511</f>
        <v>0.14727231384806405</v>
      </c>
      <c r="N511" s="78"/>
      <c r="O511" s="66">
        <f>(M488+M497)*M507</f>
        <v>0.14727231384806405</v>
      </c>
      <c r="P511" s="53"/>
      <c r="AB511"/>
    </row>
    <row r="512" spans="1:31" ht="12" customHeight="1" outlineLevel="3" x14ac:dyDescent="0.25">
      <c r="A512" s="312"/>
      <c r="B512" s="313"/>
      <c r="C512" s="314"/>
      <c r="D512" s="40">
        <f>D511+10</f>
        <v>85</v>
      </c>
      <c r="G512" s="40" t="s">
        <v>89</v>
      </c>
      <c r="H512" s="40" t="s">
        <v>89</v>
      </c>
      <c r="I512" s="40" t="s">
        <v>89</v>
      </c>
      <c r="J512" s="40" t="s">
        <v>752</v>
      </c>
      <c r="K512" s="40" t="s">
        <v>89</v>
      </c>
      <c r="L512" s="205" t="str">
        <f>D512&amp;"+"</f>
        <v>85+</v>
      </c>
      <c r="M512" s="156">
        <f>O512</f>
        <v>0.2176003525605946</v>
      </c>
      <c r="N512" s="78"/>
      <c r="O512" s="66">
        <f>(M489+M498)*M507</f>
        <v>0.2176003525605946</v>
      </c>
      <c r="P512" s="53"/>
      <c r="AB512"/>
    </row>
    <row r="513" spans="1:31" ht="12" customHeight="1" outlineLevel="3" x14ac:dyDescent="0.25">
      <c r="A513" s="312"/>
      <c r="B513" s="313"/>
      <c r="C513" s="314"/>
      <c r="G513" s="40" t="s">
        <v>89</v>
      </c>
      <c r="H513" s="40" t="s">
        <v>89</v>
      </c>
      <c r="I513" s="40" t="s">
        <v>89</v>
      </c>
      <c r="J513" s="40" t="s">
        <v>89</v>
      </c>
      <c r="K513" s="40" t="s">
        <v>89</v>
      </c>
      <c r="L513" s="170" t="s">
        <v>533</v>
      </c>
      <c r="M513"/>
      <c r="O513"/>
      <c r="AB513"/>
    </row>
    <row r="514" spans="1:31" ht="12" customHeight="1" outlineLevel="3" x14ac:dyDescent="0.25">
      <c r="A514" s="312"/>
      <c r="B514" s="313"/>
      <c r="C514" s="314"/>
      <c r="D514" s="40">
        <v>65</v>
      </c>
      <c r="G514" s="40" t="s">
        <v>89</v>
      </c>
      <c r="H514" s="40" t="s">
        <v>89</v>
      </c>
      <c r="I514" s="40" t="s">
        <v>89</v>
      </c>
      <c r="J514" s="40" t="s">
        <v>752</v>
      </c>
      <c r="K514" s="40" t="s">
        <v>89</v>
      </c>
      <c r="L514" s="205" t="str">
        <f>D514&amp;"-"&amp;D514+9</f>
        <v>65-74</v>
      </c>
      <c r="M514" s="156">
        <f>O514</f>
        <v>0.13301787846430757</v>
      </c>
      <c r="O514" s="66" cm="1">
        <f t="array" ref="O514">M510 + vbprobToProb(M478, 5/(D.cycleLength-30/365.24))</f>
        <v>0.13301787846430757</v>
      </c>
      <c r="P514" s="53"/>
      <c r="AB514"/>
    </row>
    <row r="515" spans="1:31" ht="12" customHeight="1" outlineLevel="3" x14ac:dyDescent="0.25">
      <c r="A515" s="312"/>
      <c r="B515" s="313"/>
      <c r="C515" s="314"/>
      <c r="D515" s="40">
        <f>D514+10</f>
        <v>75</v>
      </c>
      <c r="G515" s="40" t="s">
        <v>89</v>
      </c>
      <c r="H515" s="40" t="s">
        <v>89</v>
      </c>
      <c r="I515" s="40" t="s">
        <v>89</v>
      </c>
      <c r="J515" s="40" t="s">
        <v>752</v>
      </c>
      <c r="K515" s="40" t="s">
        <v>89</v>
      </c>
      <c r="L515" s="205" t="str">
        <f>D515&amp;"-"&amp;D515+9</f>
        <v>75-84</v>
      </c>
      <c r="M515" s="156">
        <f>O515</f>
        <v>0.17060388397137449</v>
      </c>
      <c r="O515" s="66" cm="1">
        <f t="array" ref="O515">M511 + vbprobToProb(M479, 5/(D.cycleLength-30/365.24))</f>
        <v>0.17060388397137449</v>
      </c>
      <c r="P515" s="53"/>
      <c r="AB515"/>
    </row>
    <row r="516" spans="1:31" ht="12" customHeight="1" outlineLevel="3" x14ac:dyDescent="0.25">
      <c r="A516" s="312"/>
      <c r="B516" s="313"/>
      <c r="C516" s="314"/>
      <c r="D516" s="40">
        <f>D515+10</f>
        <v>85</v>
      </c>
      <c r="G516" s="40" t="s">
        <v>89</v>
      </c>
      <c r="H516" s="40" t="s">
        <v>89</v>
      </c>
      <c r="I516" s="40" t="s">
        <v>89</v>
      </c>
      <c r="J516" s="40" t="s">
        <v>752</v>
      </c>
      <c r="K516" s="40" t="s">
        <v>89</v>
      </c>
      <c r="L516" s="205" t="str">
        <f>D516&amp;"+"</f>
        <v>85+</v>
      </c>
      <c r="M516" s="156">
        <f>O516</f>
        <v>0.25886705998135218</v>
      </c>
      <c r="O516" s="66" cm="1">
        <f t="array" ref="O516">M512 + vbprobToProb(M480, 5/(D.cycleLength-30/365.24))</f>
        <v>0.25886705998135218</v>
      </c>
      <c r="P516" s="53"/>
      <c r="AB516"/>
    </row>
    <row r="517" spans="1:31" ht="12" customHeight="1" outlineLevel="3" x14ac:dyDescent="0.25">
      <c r="A517" s="312"/>
      <c r="B517" s="313"/>
      <c r="C517" s="314"/>
      <c r="G517" s="40" t="s">
        <v>89</v>
      </c>
      <c r="H517" s="40" t="s">
        <v>89</v>
      </c>
      <c r="I517" s="40" t="s">
        <v>89</v>
      </c>
      <c r="J517" s="40" t="s">
        <v>89</v>
      </c>
      <c r="K517" s="40" t="s">
        <v>89</v>
      </c>
      <c r="L517" s="104" t="s">
        <v>532</v>
      </c>
      <c r="M517"/>
      <c r="O517"/>
      <c r="AB517"/>
    </row>
    <row r="518" spans="1:31" ht="12" customHeight="1" outlineLevel="3" x14ac:dyDescent="0.25">
      <c r="A518" s="312"/>
      <c r="B518" s="313"/>
      <c r="C518" s="314"/>
      <c r="G518" s="40" t="s">
        <v>89</v>
      </c>
      <c r="H518" s="40" t="s">
        <v>89</v>
      </c>
      <c r="I518" s="40" t="s">
        <v>89</v>
      </c>
      <c r="J518" s="40" t="s">
        <v>752</v>
      </c>
      <c r="K518" s="40" t="s">
        <v>89</v>
      </c>
      <c r="L518" s="170" t="s">
        <v>531</v>
      </c>
      <c r="M518" s="36">
        <f>O518</f>
        <v>1.4E-2</v>
      </c>
      <c r="O518" s="11">
        <f>CHOOSE(swtchPSA, S518, AB518)</f>
        <v>1.4E-2</v>
      </c>
      <c r="P518" s="11"/>
      <c r="S518" s="35">
        <v>1.4E-2</v>
      </c>
      <c r="T518" s="18"/>
      <c r="U518" s="28">
        <v>1.6999999999999999E-3</v>
      </c>
      <c r="V518" s="17">
        <f>_xlfn.BETA.INV(0.025, AD518, AE518)</f>
        <v>1.0864970250796819E-2</v>
      </c>
      <c r="W518" s="18"/>
      <c r="X518" s="17">
        <f>_xlfn.BETA.INV(0.975, AD518, AE518)</f>
        <v>1.7520202131893869E-2</v>
      </c>
      <c r="Y518" s="32" t="s">
        <v>530</v>
      </c>
      <c r="AA518" s="19">
        <f ca="1">RAND()</f>
        <v>0.93092654286508436</v>
      </c>
      <c r="AB518" s="21">
        <f ca="1">_xlfn.BETA.INV(AA518, AD518, AE518)</f>
        <v>1.6597202473390915E-2</v>
      </c>
      <c r="AC518" s="20" t="s">
        <v>28</v>
      </c>
      <c r="AD518" s="54">
        <f>(S518^2*(1-S518))/U518^2-S518</f>
        <v>66.856588235294126</v>
      </c>
      <c r="AE518" s="55">
        <f>AD518*((1-S518)/S518)</f>
        <v>4708.6140000000005</v>
      </c>
    </row>
    <row r="519" spans="1:31" ht="12" customHeight="1" outlineLevel="3" thickBot="1" x14ac:dyDescent="0.3">
      <c r="A519" s="312"/>
      <c r="B519" s="313"/>
      <c r="C519" s="314"/>
      <c r="D519" s="40">
        <v>65</v>
      </c>
      <c r="G519" s="40" t="s">
        <v>89</v>
      </c>
      <c r="H519" s="40" t="s">
        <v>89</v>
      </c>
      <c r="I519" s="40" t="s">
        <v>89</v>
      </c>
      <c r="J519" s="40" t="s">
        <v>752</v>
      </c>
      <c r="K519" s="40" t="s">
        <v>89</v>
      </c>
      <c r="L519" s="170" t="s">
        <v>529</v>
      </c>
      <c r="M519" s="156">
        <f>O519</f>
        <v>2.8999592984196534</v>
      </c>
      <c r="O519" s="53" cm="1">
        <f t="array" ref="O519">vbprobToProb($M$518, (1/12)*D.cyclesPerYear)/vbprobToProb($M$477, 5*D.cyclesPerYear)</f>
        <v>2.8999592984196534</v>
      </c>
      <c r="P519" s="53"/>
      <c r="AB519"/>
    </row>
    <row r="520" spans="1:31" s="110" customFormat="1" ht="12" customHeight="1" outlineLevel="2" thickBot="1" x14ac:dyDescent="0.3">
      <c r="A520" s="312"/>
      <c r="B520" s="313"/>
      <c r="C520" s="314"/>
      <c r="D520" s="112"/>
      <c r="G520" s="112" t="s">
        <v>89</v>
      </c>
      <c r="H520" s="112" t="s">
        <v>89</v>
      </c>
      <c r="I520" s="112" t="s">
        <v>89</v>
      </c>
      <c r="J520" s="112" t="s">
        <v>89</v>
      </c>
      <c r="K520" s="112" t="s">
        <v>89</v>
      </c>
      <c r="L520" s="110" t="s">
        <v>528</v>
      </c>
    </row>
    <row r="521" spans="1:31" ht="12" customHeight="1" outlineLevel="3" x14ac:dyDescent="0.25">
      <c r="A521" s="312"/>
      <c r="B521" s="313"/>
      <c r="C521" s="314"/>
      <c r="E521">
        <v>1</v>
      </c>
      <c r="G521" s="40" t="s">
        <v>89</v>
      </c>
      <c r="H521" s="40" t="s">
        <v>89</v>
      </c>
      <c r="I521" s="40" t="s">
        <v>89</v>
      </c>
      <c r="J521" s="40" t="s">
        <v>89</v>
      </c>
      <c r="K521" s="40" t="s">
        <v>89</v>
      </c>
      <c r="L521" s="38" t="str">
        <f ca="1">"From: "&amp;INDEX(D.rngStates, $E521)</f>
        <v>From: HF no HPE</v>
      </c>
      <c r="M521"/>
      <c r="O521"/>
      <c r="AB521"/>
    </row>
    <row r="522" spans="1:31" ht="12" customHeight="1" outlineLevel="3" x14ac:dyDescent="0.25">
      <c r="A522" s="312"/>
      <c r="B522" s="313"/>
      <c r="C522" s="314"/>
      <c r="E522">
        <v>1</v>
      </c>
      <c r="F522">
        <v>2</v>
      </c>
      <c r="G522" s="40" t="s">
        <v>89</v>
      </c>
      <c r="H522" s="40" t="s">
        <v>89</v>
      </c>
      <c r="I522" s="40" t="s">
        <v>89</v>
      </c>
      <c r="J522" s="40" t="s">
        <v>89</v>
      </c>
      <c r="K522" s="40" t="s">
        <v>89</v>
      </c>
      <c r="L522" s="104" t="str">
        <f ca="1">"To: "&amp;INDEX(D.rngStates, $F522)</f>
        <v>To: PCE no HPE</v>
      </c>
      <c r="M522"/>
      <c r="O522"/>
      <c r="AB522"/>
    </row>
    <row r="523" spans="1:31" ht="12" customHeight="1" outlineLevel="3" x14ac:dyDescent="0.25">
      <c r="A523" s="312"/>
      <c r="B523" s="313"/>
      <c r="C523" s="314"/>
      <c r="D523" s="40">
        <v>65</v>
      </c>
      <c r="E523">
        <v>1</v>
      </c>
      <c r="F523">
        <v>2</v>
      </c>
      <c r="G523" s="40" t="s">
        <v>89</v>
      </c>
      <c r="H523" s="40" t="s">
        <v>89</v>
      </c>
      <c r="I523" s="40" t="s">
        <v>89</v>
      </c>
      <c r="J523" s="40" t="s">
        <v>752</v>
      </c>
      <c r="K523" s="40" t="s">
        <v>89</v>
      </c>
      <c r="L523" s="170" t="str">
        <f>D523&amp;"-"&amp;D523+9</f>
        <v>65-74</v>
      </c>
      <c r="M523" s="156">
        <f>O523</f>
        <v>0.29000688061444879</v>
      </c>
      <c r="O523" s="53">
        <f>$M$471</f>
        <v>0.29000688061444879</v>
      </c>
      <c r="P523" s="53"/>
      <c r="AB523"/>
    </row>
    <row r="524" spans="1:31" ht="12" customHeight="1" outlineLevel="3" x14ac:dyDescent="0.25">
      <c r="A524" s="312"/>
      <c r="B524" s="313"/>
      <c r="C524" s="314"/>
      <c r="D524" s="40">
        <f>D523+10</f>
        <v>75</v>
      </c>
      <c r="E524">
        <v>1</v>
      </c>
      <c r="F524">
        <v>2</v>
      </c>
      <c r="G524" s="40" t="s">
        <v>89</v>
      </c>
      <c r="H524" s="40" t="s">
        <v>89</v>
      </c>
      <c r="I524" s="40" t="s">
        <v>89</v>
      </c>
      <c r="J524" s="40" t="s">
        <v>752</v>
      </c>
      <c r="K524" s="40" t="s">
        <v>89</v>
      </c>
      <c r="L524" s="170" t="str">
        <f>D524&amp;"-"&amp;D524+9</f>
        <v>75-84</v>
      </c>
      <c r="M524" s="156">
        <f>O524</f>
        <v>0.29000688061444879</v>
      </c>
      <c r="O524" s="53">
        <f>$M$471</f>
        <v>0.29000688061444879</v>
      </c>
      <c r="P524" s="53"/>
      <c r="AB524"/>
    </row>
    <row r="525" spans="1:31" ht="12" customHeight="1" outlineLevel="3" x14ac:dyDescent="0.25">
      <c r="A525" s="312"/>
      <c r="B525" s="313"/>
      <c r="C525" s="314"/>
      <c r="D525" s="40">
        <f>D524+10</f>
        <v>85</v>
      </c>
      <c r="E525">
        <v>1</v>
      </c>
      <c r="F525">
        <v>2</v>
      </c>
      <c r="G525" s="40" t="s">
        <v>89</v>
      </c>
      <c r="H525" s="40" t="s">
        <v>89</v>
      </c>
      <c r="I525" s="40" t="s">
        <v>89</v>
      </c>
      <c r="J525" s="40" t="s">
        <v>752</v>
      </c>
      <c r="K525" s="40" t="s">
        <v>89</v>
      </c>
      <c r="L525" s="170" t="str">
        <f>D525&amp;"-"&amp;D525+9</f>
        <v>85-94</v>
      </c>
      <c r="M525" s="156">
        <f>O525</f>
        <v>0.29000688061444879</v>
      </c>
      <c r="O525" s="53">
        <f>$M$471</f>
        <v>0.29000688061444879</v>
      </c>
      <c r="P525" s="53"/>
      <c r="AB525"/>
    </row>
    <row r="526" spans="1:31" ht="12" customHeight="1" outlineLevel="3" x14ac:dyDescent="0.25">
      <c r="A526" s="312"/>
      <c r="B526" s="313"/>
      <c r="C526" s="314"/>
      <c r="E526">
        <v>1</v>
      </c>
      <c r="F526">
        <v>3</v>
      </c>
      <c r="G526" s="40" t="s">
        <v>89</v>
      </c>
      <c r="H526" s="40" t="s">
        <v>89</v>
      </c>
      <c r="I526" s="40" t="s">
        <v>89</v>
      </c>
      <c r="J526" s="40" t="s">
        <v>89</v>
      </c>
      <c r="K526" s="40" t="s">
        <v>89</v>
      </c>
      <c r="L526" s="104" t="str">
        <f ca="1">"To: "&amp;INDEX(D.rngStates, $F526)</f>
        <v>To: SCE no HPE</v>
      </c>
      <c r="M526"/>
      <c r="O526"/>
      <c r="AB526"/>
    </row>
    <row r="527" spans="1:31" ht="12" customHeight="1" outlineLevel="3" x14ac:dyDescent="0.25">
      <c r="A527" s="312"/>
      <c r="B527" s="313"/>
      <c r="C527" s="314"/>
      <c r="D527" s="40">
        <v>65</v>
      </c>
      <c r="E527">
        <v>1</v>
      </c>
      <c r="F527">
        <v>3</v>
      </c>
      <c r="G527" s="40" t="s">
        <v>89</v>
      </c>
      <c r="H527" s="40" t="s">
        <v>89</v>
      </c>
      <c r="I527" s="40" t="s">
        <v>89</v>
      </c>
      <c r="J527" s="40" t="s">
        <v>752</v>
      </c>
      <c r="K527" s="40" t="s">
        <v>89</v>
      </c>
      <c r="L527" s="170" t="str">
        <f>D527&amp;"-"&amp;D527+9</f>
        <v>65-74</v>
      </c>
      <c r="M527" s="156">
        <f>O527</f>
        <v>0.18078679832175515</v>
      </c>
      <c r="O527" s="53" cm="1">
        <f t="array" ref="O527">vbratetoprob(IF(D527&lt;75, $M$473, $M$475), 12/D.cyclesPerYear)</f>
        <v>0.18078679832175515</v>
      </c>
      <c r="P527" s="53"/>
      <c r="AB527"/>
    </row>
    <row r="528" spans="1:31" ht="12" customHeight="1" outlineLevel="3" x14ac:dyDescent="0.25">
      <c r="A528" s="312"/>
      <c r="B528" s="313"/>
      <c r="C528" s="314"/>
      <c r="D528" s="40">
        <f>D527+10</f>
        <v>75</v>
      </c>
      <c r="E528">
        <v>1</v>
      </c>
      <c r="F528">
        <v>3</v>
      </c>
      <c r="G528" s="40" t="s">
        <v>89</v>
      </c>
      <c r="H528" s="40" t="s">
        <v>89</v>
      </c>
      <c r="I528" s="40" t="s">
        <v>89</v>
      </c>
      <c r="J528" s="40" t="s">
        <v>752</v>
      </c>
      <c r="K528" s="40" t="s">
        <v>89</v>
      </c>
      <c r="L528" s="170" t="str">
        <f>D528&amp;"-"&amp;D528+9</f>
        <v>75-84</v>
      </c>
      <c r="M528" s="156">
        <f>O528</f>
        <v>0.22040346350791662</v>
      </c>
      <c r="O528" s="53" cm="1">
        <f t="array" ref="O528">vbratetoprob(IF(D528&lt;75, $M$473, $M$475), 12/D.cyclesPerYear)</f>
        <v>0.22040346350791662</v>
      </c>
      <c r="P528" s="53"/>
      <c r="AB528"/>
    </row>
    <row r="529" spans="1:28" ht="12" customHeight="1" outlineLevel="3" x14ac:dyDescent="0.25">
      <c r="A529" s="312"/>
      <c r="B529" s="313"/>
      <c r="C529" s="314"/>
      <c r="D529" s="40">
        <f>D528+10</f>
        <v>85</v>
      </c>
      <c r="E529">
        <v>1</v>
      </c>
      <c r="F529">
        <v>3</v>
      </c>
      <c r="G529" s="40" t="s">
        <v>89</v>
      </c>
      <c r="H529" s="40" t="s">
        <v>89</v>
      </c>
      <c r="I529" s="40" t="s">
        <v>89</v>
      </c>
      <c r="J529" s="40" t="s">
        <v>752</v>
      </c>
      <c r="K529" s="40" t="s">
        <v>89</v>
      </c>
      <c r="L529" s="170" t="str">
        <f>D529&amp;"-"&amp;D529+9</f>
        <v>85-94</v>
      </c>
      <c r="M529" s="156">
        <f>O529</f>
        <v>0.22040346350791662</v>
      </c>
      <c r="O529" s="53" cm="1">
        <f t="array" ref="O529">vbratetoprob(IF(D529&lt;75, $M$473, $M$475), 12/D.cyclesPerYear)</f>
        <v>0.22040346350791662</v>
      </c>
      <c r="P529" s="53"/>
      <c r="AB529"/>
    </row>
    <row r="530" spans="1:28" ht="12" customHeight="1" outlineLevel="3" x14ac:dyDescent="0.25">
      <c r="A530" s="312"/>
      <c r="B530" s="313"/>
      <c r="C530" s="314"/>
      <c r="E530">
        <v>1</v>
      </c>
      <c r="F530">
        <v>9</v>
      </c>
      <c r="G530" s="40" t="s">
        <v>89</v>
      </c>
      <c r="H530" s="40" t="s">
        <v>89</v>
      </c>
      <c r="I530" s="40" t="s">
        <v>89</v>
      </c>
      <c r="J530" s="40" t="s">
        <v>89</v>
      </c>
      <c r="K530" s="40" t="s">
        <v>89</v>
      </c>
      <c r="L530" s="104" t="str">
        <f ca="1">"To: "&amp;INDEX(D.rngStates, $F530)</f>
        <v>To: Dead</v>
      </c>
      <c r="M530"/>
      <c r="O530" s="66"/>
      <c r="AB530"/>
    </row>
    <row r="531" spans="1:28" ht="12" customHeight="1" outlineLevel="3" x14ac:dyDescent="0.25">
      <c r="A531" s="312"/>
      <c r="B531" s="313"/>
      <c r="C531" s="314"/>
      <c r="D531" s="40">
        <v>65</v>
      </c>
      <c r="E531">
        <v>1</v>
      </c>
      <c r="F531">
        <v>9</v>
      </c>
      <c r="G531" s="40" t="s">
        <v>89</v>
      </c>
      <c r="H531" s="40" t="s">
        <v>89</v>
      </c>
      <c r="I531" s="40" t="s">
        <v>89</v>
      </c>
      <c r="J531" s="40" t="s">
        <v>752</v>
      </c>
      <c r="K531" s="40" t="s">
        <v>89</v>
      </c>
      <c r="L531" s="170" t="str">
        <f>D531&amp;"-"&amp;D531+9</f>
        <v>65-74</v>
      </c>
      <c r="M531" s="156">
        <f>O531</f>
        <v>2.168663690848327E-2</v>
      </c>
      <c r="O531" s="66" cm="1">
        <f t="array" ref="O531">vbprobToProb(M478, 5*D.cyclesPerYear)</f>
        <v>2.168663690848327E-2</v>
      </c>
      <c r="P531" s="53"/>
      <c r="U531" s="22">
        <f>(LN(X531)-LN(V531)) / 2/ _xlfn.NORM.S.INV(0.975)</f>
        <v>1.7810160264496014E-2</v>
      </c>
      <c r="V531" s="22" cm="1">
        <f t="array" ref="V531">vbprobToProb(V478, 5*D.cyclesPerYear)</f>
        <v>2.1008575928640916E-2</v>
      </c>
      <c r="X531" s="22" cm="1">
        <f t="array" ref="X531">vbprobToProb(X478, 5*D.cyclesPerYear)</f>
        <v>2.25276913075384E-2</v>
      </c>
      <c r="AB531"/>
    </row>
    <row r="532" spans="1:28" ht="12" customHeight="1" outlineLevel="3" x14ac:dyDescent="0.25">
      <c r="A532" s="312"/>
      <c r="B532" s="313"/>
      <c r="C532" s="314"/>
      <c r="D532" s="40">
        <f>D531+10</f>
        <v>75</v>
      </c>
      <c r="E532">
        <v>1</v>
      </c>
      <c r="F532">
        <v>9</v>
      </c>
      <c r="G532" s="40" t="s">
        <v>89</v>
      </c>
      <c r="H532" s="40" t="s">
        <v>89</v>
      </c>
      <c r="I532" s="40" t="s">
        <v>89</v>
      </c>
      <c r="J532" s="40" t="s">
        <v>752</v>
      </c>
      <c r="K532" s="40" t="s">
        <v>89</v>
      </c>
      <c r="L532" s="170" t="str">
        <f>D532&amp;"-"&amp;D532+9</f>
        <v>75-84</v>
      </c>
      <c r="M532" s="156">
        <f>O532</f>
        <v>3.4548948360889509E-2</v>
      </c>
      <c r="O532" s="66" cm="1">
        <f t="array" ref="O532">vbprobToProb(M479, 5*D.cyclesPerYear)</f>
        <v>3.4548948360889509E-2</v>
      </c>
      <c r="P532" s="53"/>
      <c r="U532" s="22">
        <f>(LN(X532)-LN(V532)) / 2/ _xlfn.NORM.S.INV(0.975)</f>
        <v>1.1522207409361232E-2</v>
      </c>
      <c r="V532" s="22" cm="1">
        <f t="array" ref="V532">vbprobToProb(V479, 5*D.cyclesPerYear)</f>
        <v>3.3774712845308863E-2</v>
      </c>
      <c r="X532" s="22" cm="1">
        <f t="array" ref="X532">vbprobToProb(X479, 5*D.cyclesPerYear)</f>
        <v>3.5335163628545829E-2</v>
      </c>
      <c r="AB532"/>
    </row>
    <row r="533" spans="1:28" ht="12" customHeight="1" outlineLevel="3" x14ac:dyDescent="0.25">
      <c r="A533" s="312"/>
      <c r="B533" s="313"/>
      <c r="C533" s="314"/>
      <c r="D533" s="40">
        <f>D532+10</f>
        <v>85</v>
      </c>
      <c r="E533">
        <v>1</v>
      </c>
      <c r="F533">
        <v>9</v>
      </c>
      <c r="G533" s="40" t="s">
        <v>89</v>
      </c>
      <c r="H533" s="40" t="s">
        <v>89</v>
      </c>
      <c r="I533" s="40" t="s">
        <v>89</v>
      </c>
      <c r="J533" s="40" t="s">
        <v>752</v>
      </c>
      <c r="K533" s="40" t="s">
        <v>89</v>
      </c>
      <c r="L533" s="170" t="str">
        <f>D533&amp;"-"&amp;D533+9</f>
        <v>85-94</v>
      </c>
      <c r="M533" s="156">
        <f>O533</f>
        <v>6.0834256720944002E-2</v>
      </c>
      <c r="O533" s="66" cm="1">
        <f t="array" ref="O533">vbprobToProb(M480, 5*D.cyclesPerYear)</f>
        <v>6.0834256720944002E-2</v>
      </c>
      <c r="P533" s="53"/>
      <c r="U533" s="22">
        <f>(LN(X533)-LN(V533)) / 2/ _xlfn.NORM.S.INV(0.975)</f>
        <v>1.4508013803507075E-2</v>
      </c>
      <c r="V533" s="22" cm="1">
        <f t="array" ref="V533">vbprobToProb(V480, 5*D.cyclesPerYear)</f>
        <v>5.9054248814026877E-2</v>
      </c>
      <c r="X533" s="22" cm="1">
        <f t="array" ref="X533">vbprobToProb(X480, 5*D.cyclesPerYear)</f>
        <v>6.2510019879148171E-2</v>
      </c>
      <c r="AB533"/>
    </row>
    <row r="534" spans="1:28" ht="12" customHeight="1" outlineLevel="3" x14ac:dyDescent="0.25">
      <c r="A534" s="312"/>
      <c r="B534" s="313"/>
      <c r="C534" s="314"/>
      <c r="E534">
        <f t="shared" ref="E534:E560" si="70">E521+1</f>
        <v>2</v>
      </c>
      <c r="G534" s="40" t="s">
        <v>89</v>
      </c>
      <c r="H534" s="40" t="s">
        <v>89</v>
      </c>
      <c r="I534" s="40" t="s">
        <v>89</v>
      </c>
      <c r="J534" s="40" t="s">
        <v>89</v>
      </c>
      <c r="K534" s="40" t="s">
        <v>89</v>
      </c>
      <c r="L534" s="38" t="str">
        <f ca="1">"From: "&amp;INDEX(D.rngStates, $E534)</f>
        <v>From: PCE no HPE</v>
      </c>
      <c r="M534"/>
      <c r="O534"/>
      <c r="AB534"/>
    </row>
    <row r="535" spans="1:28" ht="12" customHeight="1" outlineLevel="3" x14ac:dyDescent="0.25">
      <c r="A535" s="312"/>
      <c r="B535" s="313"/>
      <c r="C535" s="314"/>
      <c r="E535">
        <f t="shared" si="70"/>
        <v>2</v>
      </c>
      <c r="F535">
        <f t="shared" ref="F535:F546" si="71">F522</f>
        <v>2</v>
      </c>
      <c r="G535" s="40" t="s">
        <v>89</v>
      </c>
      <c r="H535" s="40" t="s">
        <v>89</v>
      </c>
      <c r="I535" s="40" t="s">
        <v>89</v>
      </c>
      <c r="J535" s="40" t="s">
        <v>89</v>
      </c>
      <c r="K535" s="40" t="s">
        <v>89</v>
      </c>
      <c r="L535" s="104" t="str">
        <f ca="1">"To: "&amp;INDEX(D.rngStates, $F535)</f>
        <v>To: PCE no HPE</v>
      </c>
      <c r="M535"/>
      <c r="O535"/>
      <c r="AB535"/>
    </row>
    <row r="536" spans="1:28" ht="12" customHeight="1" outlineLevel="3" x14ac:dyDescent="0.25">
      <c r="A536" s="312"/>
      <c r="B536" s="313"/>
      <c r="C536" s="314"/>
      <c r="D536" s="40">
        <v>65</v>
      </c>
      <c r="E536">
        <f t="shared" si="70"/>
        <v>2</v>
      </c>
      <c r="F536">
        <f t="shared" si="71"/>
        <v>2</v>
      </c>
      <c r="G536" s="40" t="s">
        <v>89</v>
      </c>
      <c r="H536" s="40" t="s">
        <v>89</v>
      </c>
      <c r="I536" s="40" t="s">
        <v>89</v>
      </c>
      <c r="J536" s="40" t="s">
        <v>752</v>
      </c>
      <c r="K536" s="40" t="s">
        <v>89</v>
      </c>
      <c r="L536" s="170" t="str">
        <f>D536&amp;"-"&amp;D536+9</f>
        <v>65-74</v>
      </c>
      <c r="M536" s="156">
        <f>O536</f>
        <v>0.29000688061444879</v>
      </c>
      <c r="O536" s="53">
        <f>CHOOSE(D.swtchConsecExac, M523, 0)</f>
        <v>0.29000688061444879</v>
      </c>
      <c r="P536" s="53"/>
      <c r="AB536"/>
    </row>
    <row r="537" spans="1:28" ht="12" customHeight="1" outlineLevel="3" x14ac:dyDescent="0.25">
      <c r="A537" s="312"/>
      <c r="B537" s="313"/>
      <c r="C537" s="314"/>
      <c r="D537" s="40">
        <f>D536+10</f>
        <v>75</v>
      </c>
      <c r="E537">
        <f t="shared" si="70"/>
        <v>2</v>
      </c>
      <c r="F537">
        <f t="shared" si="71"/>
        <v>2</v>
      </c>
      <c r="G537" s="40" t="s">
        <v>89</v>
      </c>
      <c r="H537" s="40" t="s">
        <v>89</v>
      </c>
      <c r="I537" s="40" t="s">
        <v>89</v>
      </c>
      <c r="J537" s="40" t="s">
        <v>752</v>
      </c>
      <c r="K537" s="40" t="s">
        <v>89</v>
      </c>
      <c r="L537" s="170" t="str">
        <f>D537&amp;"-"&amp;D537+9</f>
        <v>75-84</v>
      </c>
      <c r="M537" s="156">
        <f>O537</f>
        <v>0.29000688061444879</v>
      </c>
      <c r="O537" s="53">
        <f>CHOOSE(D.swtchConsecExac, M524, 0)</f>
        <v>0.29000688061444879</v>
      </c>
      <c r="P537" s="53"/>
      <c r="AB537"/>
    </row>
    <row r="538" spans="1:28" ht="12" customHeight="1" outlineLevel="3" x14ac:dyDescent="0.25">
      <c r="A538" s="312"/>
      <c r="B538" s="313"/>
      <c r="C538" s="314"/>
      <c r="D538" s="40">
        <f>D537+10</f>
        <v>85</v>
      </c>
      <c r="E538">
        <f t="shared" si="70"/>
        <v>2</v>
      </c>
      <c r="F538">
        <f t="shared" si="71"/>
        <v>2</v>
      </c>
      <c r="G538" s="40" t="s">
        <v>89</v>
      </c>
      <c r="H538" s="40" t="s">
        <v>89</v>
      </c>
      <c r="I538" s="40" t="s">
        <v>89</v>
      </c>
      <c r="J538" s="40" t="s">
        <v>752</v>
      </c>
      <c r="K538" s="40" t="s">
        <v>89</v>
      </c>
      <c r="L538" s="170" t="str">
        <f>D538&amp;"-"&amp;D538+9</f>
        <v>85-94</v>
      </c>
      <c r="M538" s="156">
        <f>O538</f>
        <v>0.29000688061444879</v>
      </c>
      <c r="O538" s="53">
        <f>CHOOSE(D.swtchConsecExac, M525, 0)</f>
        <v>0.29000688061444879</v>
      </c>
      <c r="P538" s="53"/>
      <c r="AB538"/>
    </row>
    <row r="539" spans="1:28" ht="12" customHeight="1" outlineLevel="3" x14ac:dyDescent="0.25">
      <c r="A539" s="312"/>
      <c r="B539" s="313"/>
      <c r="C539" s="314"/>
      <c r="E539">
        <f t="shared" si="70"/>
        <v>2</v>
      </c>
      <c r="F539">
        <f t="shared" si="71"/>
        <v>3</v>
      </c>
      <c r="G539" s="40" t="s">
        <v>89</v>
      </c>
      <c r="H539" s="40" t="s">
        <v>89</v>
      </c>
      <c r="I539" s="40" t="s">
        <v>89</v>
      </c>
      <c r="J539" s="40" t="s">
        <v>89</v>
      </c>
      <c r="K539" s="40" t="s">
        <v>89</v>
      </c>
      <c r="L539" s="104" t="str">
        <f ca="1">"To: "&amp;INDEX(D.rngStates, $F539)</f>
        <v>To: SCE no HPE</v>
      </c>
      <c r="M539"/>
      <c r="O539"/>
      <c r="AB539"/>
    </row>
    <row r="540" spans="1:28" ht="12" customHeight="1" outlineLevel="3" x14ac:dyDescent="0.25">
      <c r="A540" s="312"/>
      <c r="B540" s="313"/>
      <c r="C540" s="314"/>
      <c r="D540" s="40">
        <v>65</v>
      </c>
      <c r="E540">
        <f t="shared" si="70"/>
        <v>2</v>
      </c>
      <c r="F540">
        <f t="shared" si="71"/>
        <v>3</v>
      </c>
      <c r="G540" s="40" t="s">
        <v>89</v>
      </c>
      <c r="H540" s="40" t="s">
        <v>89</v>
      </c>
      <c r="I540" s="40" t="s">
        <v>89</v>
      </c>
      <c r="J540" s="40" t="s">
        <v>752</v>
      </c>
      <c r="K540" s="40" t="s">
        <v>89</v>
      </c>
      <c r="L540" s="170" t="str">
        <f>D540&amp;"-"&amp;D540+9</f>
        <v>65-74</v>
      </c>
      <c r="M540" s="156">
        <f>O540</f>
        <v>0.18078679832175515</v>
      </c>
      <c r="O540" s="53">
        <f>CHOOSE(D.swtchConsecExac, M527, 0)</f>
        <v>0.18078679832175515</v>
      </c>
      <c r="P540" s="53"/>
      <c r="AB540"/>
    </row>
    <row r="541" spans="1:28" ht="12" customHeight="1" outlineLevel="3" x14ac:dyDescent="0.25">
      <c r="A541" s="312"/>
      <c r="B541" s="313"/>
      <c r="C541" s="314"/>
      <c r="D541" s="40">
        <f>D540+10</f>
        <v>75</v>
      </c>
      <c r="E541">
        <f t="shared" si="70"/>
        <v>2</v>
      </c>
      <c r="F541">
        <f t="shared" si="71"/>
        <v>3</v>
      </c>
      <c r="G541" s="40" t="s">
        <v>89</v>
      </c>
      <c r="H541" s="40" t="s">
        <v>89</v>
      </c>
      <c r="I541" s="40" t="s">
        <v>89</v>
      </c>
      <c r="J541" s="40" t="s">
        <v>752</v>
      </c>
      <c r="K541" s="40" t="s">
        <v>89</v>
      </c>
      <c r="L541" s="170" t="str">
        <f>D541&amp;"-"&amp;D541+9</f>
        <v>75-84</v>
      </c>
      <c r="M541" s="156">
        <f>O541</f>
        <v>0.22040346350791662</v>
      </c>
      <c r="O541" s="53">
        <f>CHOOSE(D.swtchConsecExac, M528, 0)</f>
        <v>0.22040346350791662</v>
      </c>
      <c r="P541" s="53"/>
      <c r="AB541"/>
    </row>
    <row r="542" spans="1:28" ht="12" customHeight="1" outlineLevel="3" x14ac:dyDescent="0.25">
      <c r="A542" s="312"/>
      <c r="B542" s="313"/>
      <c r="C542" s="314"/>
      <c r="D542" s="40">
        <f>D541+10</f>
        <v>85</v>
      </c>
      <c r="E542">
        <f t="shared" si="70"/>
        <v>2</v>
      </c>
      <c r="F542">
        <f t="shared" si="71"/>
        <v>3</v>
      </c>
      <c r="G542" s="40" t="s">
        <v>89</v>
      </c>
      <c r="H542" s="40" t="s">
        <v>89</v>
      </c>
      <c r="I542" s="40" t="s">
        <v>89</v>
      </c>
      <c r="J542" s="40" t="s">
        <v>752</v>
      </c>
      <c r="K542" s="40" t="s">
        <v>89</v>
      </c>
      <c r="L542" s="170" t="str">
        <f>D542&amp;"-"&amp;D542+9</f>
        <v>85-94</v>
      </c>
      <c r="M542" s="156">
        <f>O542</f>
        <v>0.22040346350791662</v>
      </c>
      <c r="O542" s="53">
        <f>CHOOSE(D.swtchConsecExac, M529, 0)</f>
        <v>0.22040346350791662</v>
      </c>
      <c r="P542" s="53"/>
      <c r="AB542"/>
    </row>
    <row r="543" spans="1:28" ht="12" customHeight="1" outlineLevel="3" x14ac:dyDescent="0.25">
      <c r="A543" s="312"/>
      <c r="B543" s="313"/>
      <c r="C543" s="314"/>
      <c r="E543">
        <f t="shared" si="70"/>
        <v>2</v>
      </c>
      <c r="F543">
        <f t="shared" si="71"/>
        <v>9</v>
      </c>
      <c r="G543" s="40" t="s">
        <v>89</v>
      </c>
      <c r="H543" s="40" t="s">
        <v>89</v>
      </c>
      <c r="I543" s="40" t="s">
        <v>89</v>
      </c>
      <c r="J543" s="40" t="s">
        <v>89</v>
      </c>
      <c r="K543" s="40" t="s">
        <v>89</v>
      </c>
      <c r="L543" s="104" t="str">
        <f ca="1">"To: "&amp;INDEX(D.rngStates, $F543)</f>
        <v>To: Dead</v>
      </c>
      <c r="M543"/>
      <c r="O543"/>
      <c r="AB543"/>
    </row>
    <row r="544" spans="1:28" ht="12" customHeight="1" outlineLevel="3" x14ac:dyDescent="0.25">
      <c r="A544" s="312"/>
      <c r="B544" s="313"/>
      <c r="C544" s="314"/>
      <c r="D544" s="40">
        <v>65</v>
      </c>
      <c r="E544">
        <f t="shared" si="70"/>
        <v>2</v>
      </c>
      <c r="F544">
        <f t="shared" si="71"/>
        <v>9</v>
      </c>
      <c r="G544" s="40" t="s">
        <v>89</v>
      </c>
      <c r="H544" s="40" t="s">
        <v>89</v>
      </c>
      <c r="I544" s="40" t="s">
        <v>89</v>
      </c>
      <c r="J544" s="40" t="s">
        <v>752</v>
      </c>
      <c r="K544" s="40" t="s">
        <v>89</v>
      </c>
      <c r="L544" s="170" t="str">
        <f>D544&amp;"-"&amp;D544+9</f>
        <v>65-74</v>
      </c>
      <c r="M544" s="156">
        <f>O544</f>
        <v>2.168663690848327E-2</v>
      </c>
      <c r="O544" s="53">
        <f>M531</f>
        <v>2.168663690848327E-2</v>
      </c>
      <c r="P544" s="53"/>
      <c r="AB544"/>
    </row>
    <row r="545" spans="1:28" ht="12" customHeight="1" outlineLevel="3" x14ac:dyDescent="0.25">
      <c r="A545" s="312"/>
      <c r="B545" s="313"/>
      <c r="C545" s="314"/>
      <c r="D545" s="40">
        <f>D544+10</f>
        <v>75</v>
      </c>
      <c r="E545">
        <f t="shared" si="70"/>
        <v>2</v>
      </c>
      <c r="F545">
        <f t="shared" si="71"/>
        <v>9</v>
      </c>
      <c r="G545" s="40" t="s">
        <v>89</v>
      </c>
      <c r="H545" s="40" t="s">
        <v>89</v>
      </c>
      <c r="I545" s="40" t="s">
        <v>89</v>
      </c>
      <c r="J545" s="40" t="s">
        <v>752</v>
      </c>
      <c r="K545" s="40" t="s">
        <v>89</v>
      </c>
      <c r="L545" s="170" t="str">
        <f>D545&amp;"-"&amp;D545+9</f>
        <v>75-84</v>
      </c>
      <c r="M545" s="156">
        <f>O545</f>
        <v>3.4548948360889509E-2</v>
      </c>
      <c r="O545" s="53">
        <f>M532</f>
        <v>3.4548948360889509E-2</v>
      </c>
      <c r="P545" s="53"/>
      <c r="AB545"/>
    </row>
    <row r="546" spans="1:28" ht="12" customHeight="1" outlineLevel="3" x14ac:dyDescent="0.25">
      <c r="A546" s="312"/>
      <c r="B546" s="313"/>
      <c r="C546" s="314"/>
      <c r="D546" s="40">
        <f>D545+10</f>
        <v>85</v>
      </c>
      <c r="E546">
        <f t="shared" si="70"/>
        <v>2</v>
      </c>
      <c r="F546">
        <f t="shared" si="71"/>
        <v>9</v>
      </c>
      <c r="G546" s="40" t="s">
        <v>89</v>
      </c>
      <c r="H546" s="40" t="s">
        <v>89</v>
      </c>
      <c r="I546" s="40" t="s">
        <v>89</v>
      </c>
      <c r="J546" s="40" t="s">
        <v>752</v>
      </c>
      <c r="K546" s="40" t="s">
        <v>89</v>
      </c>
      <c r="L546" s="170" t="str">
        <f>D546&amp;"-"&amp;D546+9</f>
        <v>85-94</v>
      </c>
      <c r="M546" s="156">
        <f>O546</f>
        <v>6.0834256720944002E-2</v>
      </c>
      <c r="O546" s="53">
        <f>M533</f>
        <v>6.0834256720944002E-2</v>
      </c>
      <c r="P546" s="53"/>
      <c r="AB546"/>
    </row>
    <row r="547" spans="1:28" ht="12" customHeight="1" outlineLevel="3" x14ac:dyDescent="0.25">
      <c r="A547" s="312"/>
      <c r="B547" s="313"/>
      <c r="C547" s="314"/>
      <c r="E547">
        <f t="shared" si="70"/>
        <v>3</v>
      </c>
      <c r="G547" s="40" t="s">
        <v>89</v>
      </c>
      <c r="H547" s="40" t="s">
        <v>89</v>
      </c>
      <c r="I547" s="40" t="s">
        <v>89</v>
      </c>
      <c r="J547" s="40" t="s">
        <v>89</v>
      </c>
      <c r="K547" s="40" t="s">
        <v>89</v>
      </c>
      <c r="L547" s="38" t="str">
        <f ca="1">"From: "&amp;INDEX(D.rngStates, $E547)</f>
        <v>From: SCE no HPE</v>
      </c>
      <c r="M547"/>
      <c r="O547"/>
      <c r="AB547"/>
    </row>
    <row r="548" spans="1:28" ht="12" customHeight="1" outlineLevel="3" x14ac:dyDescent="0.25">
      <c r="A548" s="312"/>
      <c r="B548" s="313"/>
      <c r="C548" s="314"/>
      <c r="E548">
        <f t="shared" si="70"/>
        <v>3</v>
      </c>
      <c r="F548">
        <f t="shared" ref="F548:F559" si="72">F535</f>
        <v>2</v>
      </c>
      <c r="G548" s="40" t="s">
        <v>89</v>
      </c>
      <c r="H548" s="40" t="s">
        <v>89</v>
      </c>
      <c r="I548" s="40" t="s">
        <v>89</v>
      </c>
      <c r="J548" s="40" t="s">
        <v>89</v>
      </c>
      <c r="K548" s="40" t="s">
        <v>89</v>
      </c>
      <c r="L548" s="104" t="str">
        <f ca="1">"To: "&amp;INDEX(D.rngStates, $F548)</f>
        <v>To: PCE no HPE</v>
      </c>
      <c r="M548"/>
      <c r="O548"/>
      <c r="AB548"/>
    </row>
    <row r="549" spans="1:28" ht="12" customHeight="1" outlineLevel="3" x14ac:dyDescent="0.25">
      <c r="A549" s="312"/>
      <c r="B549" s="313"/>
      <c r="C549" s="314"/>
      <c r="D549" s="40">
        <v>65</v>
      </c>
      <c r="E549">
        <f t="shared" si="70"/>
        <v>3</v>
      </c>
      <c r="F549">
        <f t="shared" si="72"/>
        <v>2</v>
      </c>
      <c r="G549" s="40" t="s">
        <v>89</v>
      </c>
      <c r="H549" s="40" t="s">
        <v>89</v>
      </c>
      <c r="I549" s="40" t="s">
        <v>89</v>
      </c>
      <c r="J549" s="40" t="s">
        <v>752</v>
      </c>
      <c r="K549" s="40" t="s">
        <v>89</v>
      </c>
      <c r="L549" s="170" t="str">
        <f>D549&amp;"-"&amp;D549+9</f>
        <v>65-74</v>
      </c>
      <c r="M549" s="156">
        <f>O549</f>
        <v>0.29000688061444879</v>
      </c>
      <c r="O549" s="53">
        <f>CHOOSE(D.swtchConsecExac, M523, 0)</f>
        <v>0.29000688061444879</v>
      </c>
      <c r="P549" s="53"/>
      <c r="AB549"/>
    </row>
    <row r="550" spans="1:28" ht="12" customHeight="1" outlineLevel="3" x14ac:dyDescent="0.25">
      <c r="A550" s="312"/>
      <c r="B550" s="313"/>
      <c r="C550" s="314"/>
      <c r="D550" s="40">
        <f>D549+10</f>
        <v>75</v>
      </c>
      <c r="E550">
        <f t="shared" si="70"/>
        <v>3</v>
      </c>
      <c r="F550">
        <f t="shared" si="72"/>
        <v>2</v>
      </c>
      <c r="G550" s="40" t="s">
        <v>89</v>
      </c>
      <c r="H550" s="40" t="s">
        <v>89</v>
      </c>
      <c r="I550" s="40" t="s">
        <v>89</v>
      </c>
      <c r="J550" s="40" t="s">
        <v>752</v>
      </c>
      <c r="K550" s="40" t="s">
        <v>89</v>
      </c>
      <c r="L550" s="170" t="str">
        <f>D550&amp;"-"&amp;D550+9</f>
        <v>75-84</v>
      </c>
      <c r="M550" s="156">
        <f>O550</f>
        <v>0.29000688061444879</v>
      </c>
      <c r="O550" s="53">
        <f>CHOOSE(D.swtchConsecExac, M524, 0)</f>
        <v>0.29000688061444879</v>
      </c>
      <c r="P550" s="53"/>
      <c r="AB550"/>
    </row>
    <row r="551" spans="1:28" ht="12" customHeight="1" outlineLevel="3" x14ac:dyDescent="0.25">
      <c r="A551" s="312"/>
      <c r="B551" s="313"/>
      <c r="C551" s="314"/>
      <c r="D551" s="40">
        <f>D550+10</f>
        <v>85</v>
      </c>
      <c r="E551">
        <f t="shared" si="70"/>
        <v>3</v>
      </c>
      <c r="F551">
        <f t="shared" si="72"/>
        <v>2</v>
      </c>
      <c r="G551" s="40" t="s">
        <v>89</v>
      </c>
      <c r="H551" s="40" t="s">
        <v>89</v>
      </c>
      <c r="I551" s="40" t="s">
        <v>89</v>
      </c>
      <c r="J551" s="40" t="s">
        <v>752</v>
      </c>
      <c r="K551" s="40" t="s">
        <v>89</v>
      </c>
      <c r="L551" s="170" t="str">
        <f>D551&amp;"-"&amp;D551+9</f>
        <v>85-94</v>
      </c>
      <c r="M551" s="156">
        <f>O551</f>
        <v>0.29000688061444879</v>
      </c>
      <c r="O551" s="53">
        <f>CHOOSE(D.swtchConsecExac, M525, 0)</f>
        <v>0.29000688061444879</v>
      </c>
      <c r="P551" s="53"/>
      <c r="AB551"/>
    </row>
    <row r="552" spans="1:28" ht="12" customHeight="1" outlineLevel="3" x14ac:dyDescent="0.25">
      <c r="A552" s="312"/>
      <c r="B552" s="313"/>
      <c r="C552" s="314"/>
      <c r="E552">
        <f t="shared" si="70"/>
        <v>3</v>
      </c>
      <c r="F552">
        <f t="shared" si="72"/>
        <v>3</v>
      </c>
      <c r="G552" s="40" t="s">
        <v>89</v>
      </c>
      <c r="H552" s="40" t="s">
        <v>89</v>
      </c>
      <c r="I552" s="40" t="s">
        <v>89</v>
      </c>
      <c r="J552" s="40" t="s">
        <v>89</v>
      </c>
      <c r="K552" s="40" t="s">
        <v>89</v>
      </c>
      <c r="L552" s="104" t="str">
        <f ca="1">"To: "&amp;INDEX(D.rngStates, $F552)</f>
        <v>To: SCE no HPE</v>
      </c>
      <c r="M552"/>
      <c r="O552"/>
      <c r="AB552"/>
    </row>
    <row r="553" spans="1:28" ht="12" customHeight="1" outlineLevel="3" x14ac:dyDescent="0.25">
      <c r="A553" s="312"/>
      <c r="B553" s="313"/>
      <c r="C553" s="314"/>
      <c r="D553" s="40">
        <v>65</v>
      </c>
      <c r="E553">
        <f t="shared" si="70"/>
        <v>3</v>
      </c>
      <c r="F553">
        <f t="shared" si="72"/>
        <v>3</v>
      </c>
      <c r="G553" s="40" t="s">
        <v>89</v>
      </c>
      <c r="H553" s="40" t="s">
        <v>89</v>
      </c>
      <c r="I553" s="40" t="s">
        <v>89</v>
      </c>
      <c r="J553" s="40" t="s">
        <v>752</v>
      </c>
      <c r="K553" s="40" t="s">
        <v>89</v>
      </c>
      <c r="L553" s="170" t="str">
        <f>D553&amp;"-"&amp;D553+9</f>
        <v>65-74</v>
      </c>
      <c r="M553" s="156">
        <f>O553</f>
        <v>0.18078679832175515</v>
      </c>
      <c r="O553" s="53">
        <f>CHOOSE(D.swtchConsecExac, M527, 0)</f>
        <v>0.18078679832175515</v>
      </c>
      <c r="P553" s="53"/>
      <c r="AB553"/>
    </row>
    <row r="554" spans="1:28" ht="12" customHeight="1" outlineLevel="3" x14ac:dyDescent="0.25">
      <c r="A554" s="312"/>
      <c r="B554" s="313"/>
      <c r="C554" s="314"/>
      <c r="D554" s="40">
        <f>D553+10</f>
        <v>75</v>
      </c>
      <c r="E554">
        <f t="shared" si="70"/>
        <v>3</v>
      </c>
      <c r="F554">
        <f t="shared" si="72"/>
        <v>3</v>
      </c>
      <c r="G554" s="40" t="s">
        <v>89</v>
      </c>
      <c r="H554" s="40" t="s">
        <v>89</v>
      </c>
      <c r="I554" s="40" t="s">
        <v>89</v>
      </c>
      <c r="J554" s="40" t="s">
        <v>752</v>
      </c>
      <c r="K554" s="40" t="s">
        <v>89</v>
      </c>
      <c r="L554" s="170" t="str">
        <f>D554&amp;"-"&amp;D554+9</f>
        <v>75-84</v>
      </c>
      <c r="M554" s="156">
        <f>O554</f>
        <v>0.22040346350791662</v>
      </c>
      <c r="O554" s="53">
        <f>CHOOSE(D.swtchConsecExac, M528, 0)</f>
        <v>0.22040346350791662</v>
      </c>
      <c r="P554" s="53"/>
      <c r="AB554"/>
    </row>
    <row r="555" spans="1:28" ht="12" customHeight="1" outlineLevel="3" x14ac:dyDescent="0.25">
      <c r="A555" s="312"/>
      <c r="B555" s="313"/>
      <c r="C555" s="314"/>
      <c r="D555" s="40">
        <f>D554+10</f>
        <v>85</v>
      </c>
      <c r="E555">
        <f t="shared" si="70"/>
        <v>3</v>
      </c>
      <c r="F555">
        <f t="shared" si="72"/>
        <v>3</v>
      </c>
      <c r="G555" s="40" t="s">
        <v>89</v>
      </c>
      <c r="H555" s="40" t="s">
        <v>89</v>
      </c>
      <c r="I555" s="40" t="s">
        <v>89</v>
      </c>
      <c r="J555" s="40" t="s">
        <v>752</v>
      </c>
      <c r="K555" s="40" t="s">
        <v>89</v>
      </c>
      <c r="L555" s="170" t="str">
        <f>D555&amp;"-"&amp;D555+9</f>
        <v>85-94</v>
      </c>
      <c r="M555" s="156">
        <f>O555</f>
        <v>0.22040346350791662</v>
      </c>
      <c r="O555" s="53">
        <f>CHOOSE(D.swtchConsecExac, M529, 0)</f>
        <v>0.22040346350791662</v>
      </c>
      <c r="P555" s="53"/>
      <c r="AB555"/>
    </row>
    <row r="556" spans="1:28" ht="12" customHeight="1" outlineLevel="3" x14ac:dyDescent="0.25">
      <c r="A556" s="312"/>
      <c r="B556" s="313"/>
      <c r="C556" s="314"/>
      <c r="E556">
        <f t="shared" si="70"/>
        <v>3</v>
      </c>
      <c r="F556">
        <f t="shared" si="72"/>
        <v>9</v>
      </c>
      <c r="G556" s="40" t="s">
        <v>89</v>
      </c>
      <c r="H556" s="40" t="s">
        <v>89</v>
      </c>
      <c r="I556" s="40" t="s">
        <v>89</v>
      </c>
      <c r="J556" s="40" t="s">
        <v>89</v>
      </c>
      <c r="K556" s="40" t="s">
        <v>89</v>
      </c>
      <c r="L556" s="104" t="str">
        <f ca="1">"To: "&amp;INDEX(D.rngStates, $F556)</f>
        <v>To: Dead</v>
      </c>
      <c r="M556"/>
      <c r="O556"/>
      <c r="AB556"/>
    </row>
    <row r="557" spans="1:28" ht="12" customHeight="1" outlineLevel="3" x14ac:dyDescent="0.25">
      <c r="A557" s="312"/>
      <c r="B557" s="313"/>
      <c r="C557" s="314"/>
      <c r="D557" s="40">
        <v>65</v>
      </c>
      <c r="E557">
        <f t="shared" si="70"/>
        <v>3</v>
      </c>
      <c r="F557">
        <f t="shared" si="72"/>
        <v>9</v>
      </c>
      <c r="G557" s="40" t="s">
        <v>89</v>
      </c>
      <c r="H557" s="40" t="s">
        <v>89</v>
      </c>
      <c r="I557" s="40" t="s">
        <v>89</v>
      </c>
      <c r="J557" s="40" t="s">
        <v>752</v>
      </c>
      <c r="K557" s="40" t="s">
        <v>89</v>
      </c>
      <c r="L557" s="170" t="str">
        <f>D557&amp;"-"&amp;D557+9</f>
        <v>65-74</v>
      </c>
      <c r="M557" s="156">
        <f>O557</f>
        <v>0.13301787846430757</v>
      </c>
      <c r="O557" s="66">
        <f>CHOOSE(D.swtchSCE.DeathSource, M514, M531*$M$519)</f>
        <v>0.13301787846430757</v>
      </c>
      <c r="P557" s="53"/>
      <c r="AB557"/>
    </row>
    <row r="558" spans="1:28" ht="12" customHeight="1" outlineLevel="3" x14ac:dyDescent="0.25">
      <c r="A558" s="312"/>
      <c r="B558" s="313"/>
      <c r="C558" s="314"/>
      <c r="D558" s="40">
        <f>D557+10</f>
        <v>75</v>
      </c>
      <c r="E558">
        <f t="shared" si="70"/>
        <v>3</v>
      </c>
      <c r="F558">
        <f t="shared" si="72"/>
        <v>9</v>
      </c>
      <c r="G558" s="40" t="s">
        <v>89</v>
      </c>
      <c r="H558" s="40" t="s">
        <v>89</v>
      </c>
      <c r="I558" s="40" t="s">
        <v>89</v>
      </c>
      <c r="J558" s="40" t="s">
        <v>752</v>
      </c>
      <c r="K558" s="40" t="s">
        <v>89</v>
      </c>
      <c r="L558" s="170" t="str">
        <f>D558&amp;"-"&amp;D558+9</f>
        <v>75-84</v>
      </c>
      <c r="M558" s="156">
        <f>O558</f>
        <v>0.17060388397137449</v>
      </c>
      <c r="O558" s="66">
        <f>CHOOSE(D.swtchSCE.DeathSource, M515, M532*$M$519)</f>
        <v>0.17060388397137449</v>
      </c>
      <c r="P558" s="53"/>
      <c r="AB558"/>
    </row>
    <row r="559" spans="1:28" ht="12" customHeight="1" outlineLevel="3" x14ac:dyDescent="0.25">
      <c r="A559" s="312"/>
      <c r="B559" s="313"/>
      <c r="C559" s="314"/>
      <c r="D559" s="40">
        <f>D558+10</f>
        <v>85</v>
      </c>
      <c r="E559">
        <f t="shared" si="70"/>
        <v>3</v>
      </c>
      <c r="F559">
        <f t="shared" si="72"/>
        <v>9</v>
      </c>
      <c r="G559" s="40" t="s">
        <v>89</v>
      </c>
      <c r="H559" s="40" t="s">
        <v>89</v>
      </c>
      <c r="I559" s="40" t="s">
        <v>89</v>
      </c>
      <c r="J559" s="40" t="s">
        <v>752</v>
      </c>
      <c r="K559" s="40" t="s">
        <v>89</v>
      </c>
      <c r="L559" s="170" t="str">
        <f>D559&amp;"-"&amp;D559+9</f>
        <v>85-94</v>
      </c>
      <c r="M559" s="156">
        <f>O559</f>
        <v>0.25886705998135218</v>
      </c>
      <c r="O559" s="66">
        <f>CHOOSE(D.swtchSCE.DeathSource, M516, M533*$M$519)</f>
        <v>0.25886705998135218</v>
      </c>
      <c r="P559" s="53"/>
      <c r="AB559"/>
    </row>
    <row r="560" spans="1:28" ht="12" customHeight="1" outlineLevel="3" x14ac:dyDescent="0.25">
      <c r="A560" s="312"/>
      <c r="B560" s="313"/>
      <c r="C560" s="314"/>
      <c r="E560">
        <f t="shared" si="70"/>
        <v>4</v>
      </c>
      <c r="G560" s="40" t="s">
        <v>89</v>
      </c>
      <c r="H560" s="40" t="s">
        <v>89</v>
      </c>
      <c r="I560" s="40" t="s">
        <v>89</v>
      </c>
      <c r="J560" s="40" t="s">
        <v>89</v>
      </c>
      <c r="K560" s="40" t="s">
        <v>89</v>
      </c>
      <c r="L560" s="38" t="str">
        <f ca="1">"From: "&amp;INDEX(D.rngStates, $E560)</f>
        <v>From: HF w HPE</v>
      </c>
      <c r="M560"/>
      <c r="O560"/>
      <c r="AB560"/>
    </row>
    <row r="561" spans="1:28" ht="12" customHeight="1" outlineLevel="3" x14ac:dyDescent="0.25">
      <c r="A561" s="312"/>
      <c r="B561" s="313"/>
      <c r="C561" s="314"/>
      <c r="E561">
        <f t="shared" ref="E561:E580" si="73">E560</f>
        <v>4</v>
      </c>
      <c r="F561">
        <v>2</v>
      </c>
      <c r="G561" s="40" t="s">
        <v>89</v>
      </c>
      <c r="H561" s="40" t="s">
        <v>89</v>
      </c>
      <c r="I561" s="40" t="s">
        <v>89</v>
      </c>
      <c r="J561" s="40" t="s">
        <v>89</v>
      </c>
      <c r="K561" s="40" t="s">
        <v>89</v>
      </c>
      <c r="L561" s="104" t="str">
        <f ca="1">"To: "&amp;INDEX(D.rngStates, $F561)</f>
        <v>To: PCE no HPE</v>
      </c>
      <c r="M561"/>
      <c r="O561"/>
      <c r="AB561"/>
    </row>
    <row r="562" spans="1:28" ht="12" customHeight="1" outlineLevel="3" x14ac:dyDescent="0.25">
      <c r="A562" s="312"/>
      <c r="B562" s="313"/>
      <c r="C562" s="314"/>
      <c r="D562" s="40">
        <v>65</v>
      </c>
      <c r="E562">
        <f t="shared" si="73"/>
        <v>4</v>
      </c>
      <c r="F562">
        <v>2</v>
      </c>
      <c r="G562" s="40" t="s">
        <v>89</v>
      </c>
      <c r="H562" s="40" t="s">
        <v>89</v>
      </c>
      <c r="I562" s="40" t="s">
        <v>89</v>
      </c>
      <c r="J562" s="40" t="s">
        <v>752</v>
      </c>
      <c r="K562" s="40" t="s">
        <v>89</v>
      </c>
      <c r="L562" s="170" t="str">
        <f>D562&amp;"-"&amp;D562+9</f>
        <v>65-74</v>
      </c>
      <c r="M562" s="156">
        <f>O562</f>
        <v>0.33640798151276058</v>
      </c>
      <c r="O562" s="53" cm="1">
        <f t="array" ref="O562">CHOOSE(D.swtchCorrectHPEafterExac, vbOddsToProb(vbProbToOdds(M523*$M$608)), 0)</f>
        <v>0.33640798151276058</v>
      </c>
      <c r="P562" s="53"/>
      <c r="AB562"/>
    </row>
    <row r="563" spans="1:28" ht="12" customHeight="1" outlineLevel="3" x14ac:dyDescent="0.25">
      <c r="A563" s="312"/>
      <c r="B563" s="313"/>
      <c r="C563" s="314"/>
      <c r="D563" s="40">
        <f>D562+10</f>
        <v>75</v>
      </c>
      <c r="E563">
        <f t="shared" si="73"/>
        <v>4</v>
      </c>
      <c r="F563">
        <v>2</v>
      </c>
      <c r="G563" s="40" t="s">
        <v>89</v>
      </c>
      <c r="H563" s="40" t="s">
        <v>89</v>
      </c>
      <c r="I563" s="40" t="s">
        <v>89</v>
      </c>
      <c r="J563" s="40" t="s">
        <v>752</v>
      </c>
      <c r="K563" s="40" t="s">
        <v>89</v>
      </c>
      <c r="L563" s="170" t="str">
        <f>D563&amp;"-"&amp;D563+9</f>
        <v>75-84</v>
      </c>
      <c r="M563" s="156">
        <f>O563</f>
        <v>0.33640798151276058</v>
      </c>
      <c r="O563" s="53" cm="1">
        <f t="array" ref="O563">CHOOSE(D.swtchCorrectHPEafterExac, vbOddsToProb(vbProbToOdds(M524*$M$608)), 0)</f>
        <v>0.33640798151276058</v>
      </c>
      <c r="P563" s="53"/>
      <c r="AB563"/>
    </row>
    <row r="564" spans="1:28" ht="12" customHeight="1" outlineLevel="3" x14ac:dyDescent="0.25">
      <c r="A564" s="312"/>
      <c r="B564" s="313"/>
      <c r="C564" s="314"/>
      <c r="D564" s="40">
        <f>D563+10</f>
        <v>85</v>
      </c>
      <c r="E564">
        <f t="shared" si="73"/>
        <v>4</v>
      </c>
      <c r="F564">
        <v>2</v>
      </c>
      <c r="G564" s="40" t="s">
        <v>89</v>
      </c>
      <c r="H564" s="40" t="s">
        <v>89</v>
      </c>
      <c r="I564" s="40" t="s">
        <v>89</v>
      </c>
      <c r="J564" s="40" t="s">
        <v>752</v>
      </c>
      <c r="K564" s="40" t="s">
        <v>89</v>
      </c>
      <c r="L564" s="170" t="str">
        <f>D564&amp;"-"&amp;D564+9</f>
        <v>85-94</v>
      </c>
      <c r="M564" s="156">
        <f>O564</f>
        <v>0.33640798151276058</v>
      </c>
      <c r="O564" s="53" cm="1">
        <f t="array" ref="O564">CHOOSE(D.swtchCorrectHPEafterExac, vbOddsToProb(vbProbToOdds(M525*$M$608)), 0)</f>
        <v>0.33640798151276058</v>
      </c>
      <c r="P564" s="53"/>
      <c r="AB564"/>
    </row>
    <row r="565" spans="1:28" ht="12" customHeight="1" outlineLevel="3" x14ac:dyDescent="0.25">
      <c r="A565" s="312"/>
      <c r="B565" s="313"/>
      <c r="C565" s="314"/>
      <c r="E565">
        <f t="shared" si="73"/>
        <v>4</v>
      </c>
      <c r="F565">
        <v>3</v>
      </c>
      <c r="G565" s="40" t="s">
        <v>89</v>
      </c>
      <c r="H565" s="40" t="s">
        <v>89</v>
      </c>
      <c r="I565" s="40" t="s">
        <v>89</v>
      </c>
      <c r="J565" s="40" t="s">
        <v>89</v>
      </c>
      <c r="K565" s="40" t="s">
        <v>89</v>
      </c>
      <c r="L565" s="104" t="str">
        <f ca="1">"To: "&amp;INDEX(D.rngStates, $F565)</f>
        <v>To: SCE no HPE</v>
      </c>
      <c r="M565"/>
      <c r="O565"/>
      <c r="AB565"/>
    </row>
    <row r="566" spans="1:28" ht="12" customHeight="1" outlineLevel="3" x14ac:dyDescent="0.25">
      <c r="A566" s="312"/>
      <c r="B566" s="313"/>
      <c r="C566" s="314"/>
      <c r="D566" s="40">
        <v>65</v>
      </c>
      <c r="E566">
        <f t="shared" si="73"/>
        <v>4</v>
      </c>
      <c r="F566">
        <v>3</v>
      </c>
      <c r="G566" s="40" t="s">
        <v>89</v>
      </c>
      <c r="H566" s="40" t="s">
        <v>89</v>
      </c>
      <c r="I566" s="40" t="s">
        <v>89</v>
      </c>
      <c r="J566" s="40" t="s">
        <v>752</v>
      </c>
      <c r="K566" s="40" t="s">
        <v>89</v>
      </c>
      <c r="L566" s="170" t="str">
        <f>D566&amp;"-"&amp;D566+9</f>
        <v>65-74</v>
      </c>
      <c r="M566" s="156">
        <f>O566</f>
        <v>0.20971268605323595</v>
      </c>
      <c r="O566" s="53" cm="1">
        <f t="array" ref="O566">CHOOSE(D.swtchCorrectHPEafterExac, vbOddsToProb(vbProbToOdds(M527*$M$609)), 0)</f>
        <v>0.20971268605323595</v>
      </c>
      <c r="P566" s="53"/>
      <c r="AB566"/>
    </row>
    <row r="567" spans="1:28" ht="12" customHeight="1" outlineLevel="3" x14ac:dyDescent="0.25">
      <c r="A567" s="312"/>
      <c r="B567" s="313"/>
      <c r="C567" s="314"/>
      <c r="D567" s="40">
        <f>D566+10</f>
        <v>75</v>
      </c>
      <c r="E567">
        <f t="shared" si="73"/>
        <v>4</v>
      </c>
      <c r="F567">
        <v>3</v>
      </c>
      <c r="G567" s="40" t="s">
        <v>89</v>
      </c>
      <c r="H567" s="40" t="s">
        <v>89</v>
      </c>
      <c r="I567" s="40" t="s">
        <v>89</v>
      </c>
      <c r="J567" s="40" t="s">
        <v>752</v>
      </c>
      <c r="K567" s="40" t="s">
        <v>89</v>
      </c>
      <c r="L567" s="170" t="str">
        <f>D567&amp;"-"&amp;D567+9</f>
        <v>75-84</v>
      </c>
      <c r="M567" s="156">
        <f>O567</f>
        <v>0.25566801766918323</v>
      </c>
      <c r="O567" s="53" cm="1">
        <f t="array" ref="O567">CHOOSE(D.swtchCorrectHPEafterExac, vbOddsToProb(vbProbToOdds(M528*$M$609)), 0)</f>
        <v>0.25566801766918323</v>
      </c>
      <c r="P567" s="53"/>
      <c r="AB567"/>
    </row>
    <row r="568" spans="1:28" ht="12" customHeight="1" outlineLevel="3" x14ac:dyDescent="0.25">
      <c r="A568" s="312"/>
      <c r="B568" s="313"/>
      <c r="C568" s="314"/>
      <c r="D568" s="40">
        <f>D567+10</f>
        <v>85</v>
      </c>
      <c r="E568">
        <f t="shared" si="73"/>
        <v>4</v>
      </c>
      <c r="F568">
        <v>3</v>
      </c>
      <c r="G568" s="40" t="s">
        <v>89</v>
      </c>
      <c r="H568" s="40" t="s">
        <v>89</v>
      </c>
      <c r="I568" s="40" t="s">
        <v>89</v>
      </c>
      <c r="J568" s="40" t="s">
        <v>752</v>
      </c>
      <c r="K568" s="40" t="s">
        <v>89</v>
      </c>
      <c r="L568" s="170" t="str">
        <f>D568&amp;"-"&amp;D568+9</f>
        <v>85-94</v>
      </c>
      <c r="M568" s="156">
        <f>O568</f>
        <v>0.25566801766918323</v>
      </c>
      <c r="O568" s="53" cm="1">
        <f t="array" ref="O568">CHOOSE(D.swtchCorrectHPEafterExac, vbOddsToProb(vbProbToOdds(M529*$M$609)), 0)</f>
        <v>0.25566801766918323</v>
      </c>
      <c r="P568" s="53"/>
      <c r="AB568"/>
    </row>
    <row r="569" spans="1:28" ht="12" customHeight="1" outlineLevel="3" x14ac:dyDescent="0.25">
      <c r="A569" s="312"/>
      <c r="B569" s="313"/>
      <c r="C569" s="314"/>
      <c r="E569">
        <f t="shared" si="73"/>
        <v>4</v>
      </c>
      <c r="F569">
        <f t="shared" ref="F569:F576" si="74">F522+3</f>
        <v>5</v>
      </c>
      <c r="G569" s="40" t="s">
        <v>89</v>
      </c>
      <c r="H569" s="40" t="s">
        <v>89</v>
      </c>
      <c r="I569" s="40" t="s">
        <v>89</v>
      </c>
      <c r="J569" s="40" t="s">
        <v>89</v>
      </c>
      <c r="K569" s="40" t="s">
        <v>89</v>
      </c>
      <c r="L569" s="104" t="str">
        <f ca="1">"To: "&amp;INDEX(D.rngStates, $F569)</f>
        <v>To: PCE w HPE</v>
      </c>
      <c r="M569"/>
      <c r="O569"/>
      <c r="AB569"/>
    </row>
    <row r="570" spans="1:28" ht="12" customHeight="1" outlineLevel="3" x14ac:dyDescent="0.25">
      <c r="A570" s="312"/>
      <c r="B570" s="313"/>
      <c r="C570" s="314"/>
      <c r="D570" s="40">
        <v>65</v>
      </c>
      <c r="E570">
        <f t="shared" si="73"/>
        <v>4</v>
      </c>
      <c r="F570">
        <f t="shared" si="74"/>
        <v>5</v>
      </c>
      <c r="G570" s="40" t="s">
        <v>89</v>
      </c>
      <c r="H570" s="40" t="s">
        <v>89</v>
      </c>
      <c r="I570" s="40" t="s">
        <v>89</v>
      </c>
      <c r="J570" s="40" t="s">
        <v>752</v>
      </c>
      <c r="K570" s="40" t="s">
        <v>89</v>
      </c>
      <c r="L570" s="170" t="str">
        <f>D570&amp;"-"&amp;D570+9</f>
        <v>65-74</v>
      </c>
      <c r="M570" s="156">
        <f>O570</f>
        <v>0</v>
      </c>
      <c r="O570" s="53" cm="1">
        <f t="array" ref="O570">CHOOSE(D.swtchCorrectHPEafterExac, 0, vbOddsToProb(vbProbToOdds(M523*$M$608)))</f>
        <v>0</v>
      </c>
      <c r="P570" s="53"/>
      <c r="AB570"/>
    </row>
    <row r="571" spans="1:28" ht="12" customHeight="1" outlineLevel="3" x14ac:dyDescent="0.25">
      <c r="A571" s="312"/>
      <c r="B571" s="313"/>
      <c r="C571" s="314"/>
      <c r="D571" s="40">
        <f>D570+10</f>
        <v>75</v>
      </c>
      <c r="E571">
        <f t="shared" si="73"/>
        <v>4</v>
      </c>
      <c r="F571">
        <f t="shared" si="74"/>
        <v>5</v>
      </c>
      <c r="G571" s="40" t="s">
        <v>89</v>
      </c>
      <c r="H571" s="40" t="s">
        <v>89</v>
      </c>
      <c r="I571" s="40" t="s">
        <v>89</v>
      </c>
      <c r="J571" s="40" t="s">
        <v>752</v>
      </c>
      <c r="K571" s="40" t="s">
        <v>89</v>
      </c>
      <c r="L571" s="170" t="str">
        <f>D571&amp;"-"&amp;D571+9</f>
        <v>75-84</v>
      </c>
      <c r="M571" s="156">
        <f>O571</f>
        <v>0</v>
      </c>
      <c r="O571" s="53" cm="1">
        <f t="array" ref="O571">CHOOSE(D.swtchCorrectHPEafterExac, 0, vbOddsToProb(vbProbToOdds(M524*$M$608)))</f>
        <v>0</v>
      </c>
      <c r="P571" s="53"/>
      <c r="AB571"/>
    </row>
    <row r="572" spans="1:28" ht="12" customHeight="1" outlineLevel="3" x14ac:dyDescent="0.25">
      <c r="A572" s="312"/>
      <c r="B572" s="313"/>
      <c r="C572" s="314"/>
      <c r="D572" s="40">
        <f>D571+10</f>
        <v>85</v>
      </c>
      <c r="E572">
        <f t="shared" si="73"/>
        <v>4</v>
      </c>
      <c r="F572">
        <f t="shared" si="74"/>
        <v>5</v>
      </c>
      <c r="G572" s="40" t="s">
        <v>89</v>
      </c>
      <c r="H572" s="40" t="s">
        <v>89</v>
      </c>
      <c r="I572" s="40" t="s">
        <v>89</v>
      </c>
      <c r="J572" s="40" t="s">
        <v>752</v>
      </c>
      <c r="K572" s="40" t="s">
        <v>89</v>
      </c>
      <c r="L572" s="170" t="str">
        <f>D572&amp;"-"&amp;D572+9</f>
        <v>85-94</v>
      </c>
      <c r="M572" s="156">
        <f>O572</f>
        <v>0</v>
      </c>
      <c r="O572" s="53" cm="1">
        <f t="array" ref="O572">CHOOSE(D.swtchCorrectHPEafterExac, 0, vbOddsToProb(vbProbToOdds(M525*$M$608)))</f>
        <v>0</v>
      </c>
      <c r="P572" s="53"/>
      <c r="AB572"/>
    </row>
    <row r="573" spans="1:28" ht="12" customHeight="1" outlineLevel="3" x14ac:dyDescent="0.25">
      <c r="A573" s="312"/>
      <c r="B573" s="313"/>
      <c r="C573" s="314"/>
      <c r="E573">
        <f t="shared" si="73"/>
        <v>4</v>
      </c>
      <c r="F573">
        <f t="shared" si="74"/>
        <v>6</v>
      </c>
      <c r="G573" s="40" t="s">
        <v>89</v>
      </c>
      <c r="H573" s="40" t="s">
        <v>89</v>
      </c>
      <c r="I573" s="40" t="s">
        <v>89</v>
      </c>
      <c r="J573" s="40" t="s">
        <v>89</v>
      </c>
      <c r="K573" s="40" t="s">
        <v>89</v>
      </c>
      <c r="L573" s="104" t="str">
        <f ca="1">"To: "&amp;INDEX(D.rngStates, $F573)</f>
        <v>To: SCE w HPE</v>
      </c>
      <c r="M573"/>
      <c r="O573"/>
      <c r="AB573"/>
    </row>
    <row r="574" spans="1:28" ht="12" customHeight="1" outlineLevel="3" x14ac:dyDescent="0.25">
      <c r="A574" s="312"/>
      <c r="B574" s="313"/>
      <c r="C574" s="314"/>
      <c r="D574" s="40">
        <v>65</v>
      </c>
      <c r="E574">
        <f t="shared" si="73"/>
        <v>4</v>
      </c>
      <c r="F574">
        <f t="shared" si="74"/>
        <v>6</v>
      </c>
      <c r="G574" s="40" t="s">
        <v>89</v>
      </c>
      <c r="H574" s="40" t="s">
        <v>89</v>
      </c>
      <c r="I574" s="40" t="s">
        <v>89</v>
      </c>
      <c r="J574" s="40" t="s">
        <v>752</v>
      </c>
      <c r="K574" s="40" t="s">
        <v>89</v>
      </c>
      <c r="L574" s="170" t="str">
        <f>D574&amp;"-"&amp;D574+9</f>
        <v>65-74</v>
      </c>
      <c r="M574" s="156">
        <f>O574</f>
        <v>0</v>
      </c>
      <c r="O574" s="53" cm="1">
        <f t="array" ref="O574">CHOOSE(D.swtchCorrectHPEafterExac, 0, vbOddsToProb(vbProbToOdds(M527*$M$609)))</f>
        <v>0</v>
      </c>
      <c r="P574" s="53"/>
      <c r="AB574"/>
    </row>
    <row r="575" spans="1:28" ht="12" customHeight="1" outlineLevel="3" x14ac:dyDescent="0.25">
      <c r="A575" s="312"/>
      <c r="B575" s="313"/>
      <c r="C575" s="314"/>
      <c r="D575" s="40">
        <f>D574+10</f>
        <v>75</v>
      </c>
      <c r="E575">
        <f t="shared" si="73"/>
        <v>4</v>
      </c>
      <c r="F575">
        <f t="shared" si="74"/>
        <v>6</v>
      </c>
      <c r="G575" s="40" t="s">
        <v>89</v>
      </c>
      <c r="H575" s="40" t="s">
        <v>89</v>
      </c>
      <c r="I575" s="40" t="s">
        <v>89</v>
      </c>
      <c r="J575" s="40" t="s">
        <v>752</v>
      </c>
      <c r="K575" s="40" t="s">
        <v>89</v>
      </c>
      <c r="L575" s="170" t="str">
        <f>D575&amp;"-"&amp;D575+9</f>
        <v>75-84</v>
      </c>
      <c r="M575" s="156">
        <f>O575</f>
        <v>0</v>
      </c>
      <c r="O575" s="53" cm="1">
        <f t="array" ref="O575">CHOOSE(D.swtchCorrectHPEafterExac, 0, vbOddsToProb(vbProbToOdds(M528*$M$609)))</f>
        <v>0</v>
      </c>
      <c r="P575" s="53"/>
      <c r="AB575"/>
    </row>
    <row r="576" spans="1:28" ht="12" customHeight="1" outlineLevel="3" x14ac:dyDescent="0.25">
      <c r="A576" s="312"/>
      <c r="B576" s="313"/>
      <c r="C576" s="314"/>
      <c r="D576" s="40">
        <f>D575+10</f>
        <v>85</v>
      </c>
      <c r="E576">
        <f t="shared" si="73"/>
        <v>4</v>
      </c>
      <c r="F576">
        <f t="shared" si="74"/>
        <v>6</v>
      </c>
      <c r="G576" s="40" t="s">
        <v>89</v>
      </c>
      <c r="H576" s="40" t="s">
        <v>89</v>
      </c>
      <c r="I576" s="40" t="s">
        <v>89</v>
      </c>
      <c r="J576" s="40" t="s">
        <v>752</v>
      </c>
      <c r="K576" s="40" t="s">
        <v>89</v>
      </c>
      <c r="L576" s="170" t="str">
        <f>D576&amp;"-"&amp;D576+9</f>
        <v>85-94</v>
      </c>
      <c r="M576" s="156">
        <f>O576</f>
        <v>0</v>
      </c>
      <c r="O576" s="53" cm="1">
        <f t="array" ref="O576">CHOOSE(D.swtchCorrectHPEafterExac, 0, vbOddsToProb(vbProbToOdds(M529*$M$609)))</f>
        <v>0</v>
      </c>
      <c r="P576" s="53"/>
      <c r="AB576"/>
    </row>
    <row r="577" spans="1:28" ht="12" customHeight="1" outlineLevel="3" x14ac:dyDescent="0.25">
      <c r="A577" s="312"/>
      <c r="B577" s="313"/>
      <c r="C577" s="314"/>
      <c r="E577">
        <f t="shared" si="73"/>
        <v>4</v>
      </c>
      <c r="F577">
        <v>9</v>
      </c>
      <c r="G577" s="40" t="s">
        <v>89</v>
      </c>
      <c r="H577" s="40" t="s">
        <v>89</v>
      </c>
      <c r="I577" s="40" t="s">
        <v>89</v>
      </c>
      <c r="J577" s="40" t="s">
        <v>89</v>
      </c>
      <c r="K577" s="40" t="s">
        <v>89</v>
      </c>
      <c r="L577" s="104" t="str">
        <f ca="1">"To: "&amp;INDEX(D.rngStates, $F577)</f>
        <v>To: Dead</v>
      </c>
      <c r="M577"/>
      <c r="O577"/>
      <c r="AB577"/>
    </row>
    <row r="578" spans="1:28" ht="12" customHeight="1" outlineLevel="3" x14ac:dyDescent="0.25">
      <c r="A578" s="312"/>
      <c r="B578" s="313"/>
      <c r="C578" s="314"/>
      <c r="D578" s="40">
        <v>65</v>
      </c>
      <c r="E578">
        <f t="shared" si="73"/>
        <v>4</v>
      </c>
      <c r="F578">
        <v>9</v>
      </c>
      <c r="G578" s="40" t="s">
        <v>89</v>
      </c>
      <c r="H578" s="40" t="s">
        <v>89</v>
      </c>
      <c r="I578" s="40" t="s">
        <v>89</v>
      </c>
      <c r="J578" s="40" t="s">
        <v>752</v>
      </c>
      <c r="K578" s="40" t="s">
        <v>89</v>
      </c>
      <c r="L578" s="170" t="str">
        <f>D578&amp;"-"&amp;D578+9</f>
        <v>65-74</v>
      </c>
      <c r="M578" s="156">
        <f>O578</f>
        <v>2.6394222041251525E-2</v>
      </c>
      <c r="O578" s="53" cm="1">
        <f t="array" ref="O578">vbratetoprob(vbProbToRate(M531, 1)*$M$616, 1)</f>
        <v>2.6394222041251525E-2</v>
      </c>
      <c r="P578" s="53"/>
      <c r="AB578"/>
    </row>
    <row r="579" spans="1:28" ht="12" customHeight="1" outlineLevel="3" x14ac:dyDescent="0.25">
      <c r="A579" s="312"/>
      <c r="B579" s="313"/>
      <c r="C579" s="314"/>
      <c r="D579" s="40">
        <f>D578+10</f>
        <v>75</v>
      </c>
      <c r="E579">
        <f t="shared" si="73"/>
        <v>4</v>
      </c>
      <c r="F579">
        <v>9</v>
      </c>
      <c r="G579" s="40" t="s">
        <v>89</v>
      </c>
      <c r="H579" s="40" t="s">
        <v>89</v>
      </c>
      <c r="I579" s="40" t="s">
        <v>89</v>
      </c>
      <c r="J579" s="40" t="s">
        <v>752</v>
      </c>
      <c r="K579" s="40" t="s">
        <v>89</v>
      </c>
      <c r="L579" s="170" t="str">
        <f>D579&amp;"-"&amp;D579+9</f>
        <v>75-84</v>
      </c>
      <c r="M579" s="156">
        <f>O579</f>
        <v>4.1988070421089652E-2</v>
      </c>
      <c r="O579" s="53" cm="1">
        <f t="array" ref="O579">vbratetoprob(vbProbToRate(M532, 1)*$M$616, 1)</f>
        <v>4.1988070421089652E-2</v>
      </c>
      <c r="P579" s="53"/>
      <c r="AB579"/>
    </row>
    <row r="580" spans="1:28" ht="12" customHeight="1" outlineLevel="3" x14ac:dyDescent="0.25">
      <c r="A580" s="312"/>
      <c r="B580" s="313"/>
      <c r="C580" s="314"/>
      <c r="D580" s="40">
        <f>D579+10</f>
        <v>85</v>
      </c>
      <c r="E580">
        <f t="shared" si="73"/>
        <v>4</v>
      </c>
      <c r="F580">
        <v>9</v>
      </c>
      <c r="G580" s="40" t="s">
        <v>89</v>
      </c>
      <c r="H580" s="40" t="s">
        <v>89</v>
      </c>
      <c r="I580" s="40" t="s">
        <v>89</v>
      </c>
      <c r="J580" s="40" t="s">
        <v>752</v>
      </c>
      <c r="K580" s="40" t="s">
        <v>89</v>
      </c>
      <c r="L580" s="170" t="str">
        <f>D580&amp;"-"&amp;D580+9</f>
        <v>85-94</v>
      </c>
      <c r="M580" s="156">
        <f>O580</f>
        <v>7.3713069351804106E-2</v>
      </c>
      <c r="O580" s="53" cm="1">
        <f t="array" ref="O580">vbratetoprob(vbProbToRate(M533, 1)*$M$616, 1)</f>
        <v>7.3713069351804106E-2</v>
      </c>
      <c r="P580" s="53"/>
      <c r="AB580"/>
    </row>
    <row r="581" spans="1:28" ht="12" customHeight="1" outlineLevel="3" x14ac:dyDescent="0.25">
      <c r="A581" s="312"/>
      <c r="B581" s="313"/>
      <c r="C581" s="314"/>
      <c r="E581">
        <f>E560+1</f>
        <v>5</v>
      </c>
      <c r="G581" s="40" t="s">
        <v>89</v>
      </c>
      <c r="H581" s="40" t="s">
        <v>89</v>
      </c>
      <c r="I581" s="40" t="s">
        <v>89</v>
      </c>
      <c r="J581" s="40" t="s">
        <v>89</v>
      </c>
      <c r="K581" s="40" t="s">
        <v>89</v>
      </c>
      <c r="L581" s="38" t="str">
        <f ca="1">"From: "&amp;INDEX(D.rngStates, $E581)</f>
        <v>From: PCE w HPE</v>
      </c>
      <c r="M581"/>
      <c r="O581"/>
      <c r="AB581"/>
    </row>
    <row r="582" spans="1:28" ht="12" customHeight="1" outlineLevel="3" x14ac:dyDescent="0.25">
      <c r="A582" s="312"/>
      <c r="B582" s="313"/>
      <c r="C582" s="314"/>
      <c r="E582">
        <f t="shared" ref="E582:E606" si="75">E569+1</f>
        <v>5</v>
      </c>
      <c r="F582">
        <f t="shared" ref="F582:F593" si="76">F569</f>
        <v>5</v>
      </c>
      <c r="G582" s="40" t="s">
        <v>89</v>
      </c>
      <c r="H582" s="40" t="s">
        <v>89</v>
      </c>
      <c r="I582" s="40" t="s">
        <v>89</v>
      </c>
      <c r="J582" s="40" t="s">
        <v>89</v>
      </c>
      <c r="K582" s="40" t="s">
        <v>89</v>
      </c>
      <c r="L582" s="104" t="str">
        <f ca="1">"To: "&amp;INDEX(D.rngStates, $F582)</f>
        <v>To: PCE w HPE</v>
      </c>
      <c r="M582"/>
      <c r="O582"/>
      <c r="AB582"/>
    </row>
    <row r="583" spans="1:28" ht="12" customHeight="1" outlineLevel="3" x14ac:dyDescent="0.25">
      <c r="A583" s="312"/>
      <c r="B583" s="313"/>
      <c r="C583" s="314"/>
      <c r="D583" s="40">
        <v>65</v>
      </c>
      <c r="E583">
        <f t="shared" si="75"/>
        <v>5</v>
      </c>
      <c r="F583">
        <f t="shared" si="76"/>
        <v>5</v>
      </c>
      <c r="G583" s="40" t="s">
        <v>89</v>
      </c>
      <c r="H583" s="40" t="s">
        <v>89</v>
      </c>
      <c r="I583" s="40" t="s">
        <v>89</v>
      </c>
      <c r="J583" s="40" t="s">
        <v>752</v>
      </c>
      <c r="K583" s="40" t="s">
        <v>89</v>
      </c>
      <c r="L583" s="170" t="str">
        <f>D583&amp;"-"&amp;D583+9</f>
        <v>65-74</v>
      </c>
      <c r="M583" s="156">
        <f>O583</f>
        <v>0</v>
      </c>
      <c r="O583" s="53">
        <f>CHOOSE(D.swtchConsecExac, M570, 0)</f>
        <v>0</v>
      </c>
      <c r="P583" s="53"/>
      <c r="AB583"/>
    </row>
    <row r="584" spans="1:28" ht="12" customHeight="1" outlineLevel="3" x14ac:dyDescent="0.25">
      <c r="A584" s="312"/>
      <c r="B584" s="313"/>
      <c r="C584" s="314"/>
      <c r="D584" s="40">
        <f>D583+10</f>
        <v>75</v>
      </c>
      <c r="E584">
        <f t="shared" si="75"/>
        <v>5</v>
      </c>
      <c r="F584">
        <f t="shared" si="76"/>
        <v>5</v>
      </c>
      <c r="G584" s="40" t="s">
        <v>89</v>
      </c>
      <c r="H584" s="40" t="s">
        <v>89</v>
      </c>
      <c r="I584" s="40" t="s">
        <v>89</v>
      </c>
      <c r="J584" s="40" t="s">
        <v>752</v>
      </c>
      <c r="K584" s="40" t="s">
        <v>89</v>
      </c>
      <c r="L584" s="170" t="str">
        <f>D584&amp;"-"&amp;D584+9</f>
        <v>75-84</v>
      </c>
      <c r="M584" s="156">
        <f>O584</f>
        <v>0</v>
      </c>
      <c r="O584" s="53">
        <f>CHOOSE(D.swtchConsecExac, M571, 0)</f>
        <v>0</v>
      </c>
      <c r="P584" s="53"/>
      <c r="AB584"/>
    </row>
    <row r="585" spans="1:28" ht="12" customHeight="1" outlineLevel="3" x14ac:dyDescent="0.25">
      <c r="A585" s="312"/>
      <c r="B585" s="313"/>
      <c r="C585" s="314"/>
      <c r="D585" s="40">
        <f>D584+10</f>
        <v>85</v>
      </c>
      <c r="E585">
        <f t="shared" si="75"/>
        <v>5</v>
      </c>
      <c r="F585">
        <f t="shared" si="76"/>
        <v>5</v>
      </c>
      <c r="G585" s="40" t="s">
        <v>89</v>
      </c>
      <c r="H585" s="40" t="s">
        <v>89</v>
      </c>
      <c r="I585" s="40" t="s">
        <v>89</v>
      </c>
      <c r="J585" s="40" t="s">
        <v>752</v>
      </c>
      <c r="K585" s="40" t="s">
        <v>89</v>
      </c>
      <c r="L585" s="170" t="str">
        <f>D585&amp;"-"&amp;D585+9</f>
        <v>85-94</v>
      </c>
      <c r="M585" s="156">
        <f>O585</f>
        <v>0</v>
      </c>
      <c r="O585" s="53">
        <f>CHOOSE(D.swtchConsecExac, M572, 0)</f>
        <v>0</v>
      </c>
      <c r="P585" s="53"/>
      <c r="AB585"/>
    </row>
    <row r="586" spans="1:28" ht="12" customHeight="1" outlineLevel="3" x14ac:dyDescent="0.25">
      <c r="A586" s="312"/>
      <c r="B586" s="313"/>
      <c r="C586" s="314"/>
      <c r="E586">
        <f t="shared" si="75"/>
        <v>5</v>
      </c>
      <c r="F586">
        <f t="shared" si="76"/>
        <v>6</v>
      </c>
      <c r="G586" s="40" t="s">
        <v>89</v>
      </c>
      <c r="H586" s="40" t="s">
        <v>89</v>
      </c>
      <c r="I586" s="40" t="s">
        <v>89</v>
      </c>
      <c r="J586" s="40" t="s">
        <v>89</v>
      </c>
      <c r="K586" s="40" t="s">
        <v>89</v>
      </c>
      <c r="L586" s="104" t="str">
        <f ca="1">"To: "&amp;INDEX(D.rngStates, $F586)</f>
        <v>To: SCE w HPE</v>
      </c>
      <c r="M586"/>
      <c r="O586"/>
      <c r="AB586"/>
    </row>
    <row r="587" spans="1:28" ht="12" customHeight="1" outlineLevel="3" x14ac:dyDescent="0.25">
      <c r="A587" s="312"/>
      <c r="B587" s="313"/>
      <c r="C587" s="314"/>
      <c r="D587" s="40">
        <v>65</v>
      </c>
      <c r="E587">
        <f t="shared" si="75"/>
        <v>5</v>
      </c>
      <c r="F587">
        <f t="shared" si="76"/>
        <v>6</v>
      </c>
      <c r="G587" s="40" t="s">
        <v>89</v>
      </c>
      <c r="H587" s="40" t="s">
        <v>89</v>
      </c>
      <c r="I587" s="40" t="s">
        <v>89</v>
      </c>
      <c r="J587" s="40" t="s">
        <v>752</v>
      </c>
      <c r="K587" s="40" t="s">
        <v>89</v>
      </c>
      <c r="L587" s="170" t="str">
        <f>D587&amp;"-"&amp;D587+9</f>
        <v>65-74</v>
      </c>
      <c r="M587" s="156">
        <f>O587</f>
        <v>0</v>
      </c>
      <c r="O587" s="53">
        <f>CHOOSE(D.swtchConsecExac, M574, 0)</f>
        <v>0</v>
      </c>
      <c r="P587" s="53"/>
      <c r="AB587"/>
    </row>
    <row r="588" spans="1:28" ht="12" customHeight="1" outlineLevel="3" x14ac:dyDescent="0.25">
      <c r="A588" s="312"/>
      <c r="B588" s="313"/>
      <c r="C588" s="314"/>
      <c r="D588" s="40">
        <f>D587+10</f>
        <v>75</v>
      </c>
      <c r="E588">
        <f t="shared" si="75"/>
        <v>5</v>
      </c>
      <c r="F588">
        <f t="shared" si="76"/>
        <v>6</v>
      </c>
      <c r="G588" s="40" t="s">
        <v>89</v>
      </c>
      <c r="H588" s="40" t="s">
        <v>89</v>
      </c>
      <c r="I588" s="40" t="s">
        <v>89</v>
      </c>
      <c r="J588" s="40" t="s">
        <v>752</v>
      </c>
      <c r="K588" s="40" t="s">
        <v>89</v>
      </c>
      <c r="L588" s="170" t="str">
        <f>D588&amp;"-"&amp;D588+9</f>
        <v>75-84</v>
      </c>
      <c r="M588" s="156">
        <f>O588</f>
        <v>0</v>
      </c>
      <c r="O588" s="53">
        <f>CHOOSE(D.swtchConsecExac, M575, 0)</f>
        <v>0</v>
      </c>
      <c r="P588" s="53"/>
      <c r="AB588"/>
    </row>
    <row r="589" spans="1:28" ht="12" customHeight="1" outlineLevel="3" x14ac:dyDescent="0.25">
      <c r="A589" s="312"/>
      <c r="B589" s="313"/>
      <c r="C589" s="314"/>
      <c r="D589" s="40">
        <f>D588+10</f>
        <v>85</v>
      </c>
      <c r="E589">
        <f t="shared" si="75"/>
        <v>5</v>
      </c>
      <c r="F589">
        <f t="shared" si="76"/>
        <v>6</v>
      </c>
      <c r="G589" s="40" t="s">
        <v>89</v>
      </c>
      <c r="H589" s="40" t="s">
        <v>89</v>
      </c>
      <c r="I589" s="40" t="s">
        <v>89</v>
      </c>
      <c r="J589" s="40" t="s">
        <v>752</v>
      </c>
      <c r="K589" s="40" t="s">
        <v>89</v>
      </c>
      <c r="L589" s="170" t="str">
        <f>D589&amp;"-"&amp;D589+9</f>
        <v>85-94</v>
      </c>
      <c r="M589" s="156">
        <f>O589</f>
        <v>0</v>
      </c>
      <c r="O589" s="53">
        <f>CHOOSE(D.swtchConsecExac, M576, 0)</f>
        <v>0</v>
      </c>
      <c r="P589" s="53"/>
      <c r="AB589"/>
    </row>
    <row r="590" spans="1:28" ht="12" customHeight="1" outlineLevel="3" x14ac:dyDescent="0.25">
      <c r="A590" s="312"/>
      <c r="B590" s="313"/>
      <c r="C590" s="314"/>
      <c r="E590">
        <f t="shared" si="75"/>
        <v>5</v>
      </c>
      <c r="F590">
        <f t="shared" si="76"/>
        <v>9</v>
      </c>
      <c r="G590" s="40" t="s">
        <v>89</v>
      </c>
      <c r="H590" s="40" t="s">
        <v>89</v>
      </c>
      <c r="I590" s="40" t="s">
        <v>89</v>
      </c>
      <c r="J590" s="40" t="s">
        <v>89</v>
      </c>
      <c r="K590" s="40" t="s">
        <v>89</v>
      </c>
      <c r="L590" s="104" t="str">
        <f ca="1">"To: "&amp;INDEX(D.rngStates, $F590)</f>
        <v>To: Dead</v>
      </c>
      <c r="M590"/>
      <c r="O590"/>
      <c r="AB590"/>
    </row>
    <row r="591" spans="1:28" ht="12" customHeight="1" outlineLevel="3" x14ac:dyDescent="0.25">
      <c r="A591" s="312"/>
      <c r="B591" s="313"/>
      <c r="C591" s="314"/>
      <c r="D591" s="40">
        <v>65</v>
      </c>
      <c r="E591">
        <f t="shared" si="75"/>
        <v>5</v>
      </c>
      <c r="F591">
        <f t="shared" si="76"/>
        <v>9</v>
      </c>
      <c r="G591" s="40" t="s">
        <v>89</v>
      </c>
      <c r="H591" s="40" t="s">
        <v>89</v>
      </c>
      <c r="I591" s="40" t="s">
        <v>89</v>
      </c>
      <c r="J591" s="40" t="s">
        <v>752</v>
      </c>
      <c r="K591" s="40" t="s">
        <v>89</v>
      </c>
      <c r="L591" s="170" t="str">
        <f>D591&amp;"-"&amp;D591+9</f>
        <v>65-74</v>
      </c>
      <c r="M591" s="156">
        <f>O591</f>
        <v>2.6394222041251525E-2</v>
      </c>
      <c r="O591" s="53">
        <f>M578</f>
        <v>2.6394222041251525E-2</v>
      </c>
      <c r="P591" s="53"/>
      <c r="AB591"/>
    </row>
    <row r="592" spans="1:28" ht="12" customHeight="1" outlineLevel="3" x14ac:dyDescent="0.25">
      <c r="A592" s="312"/>
      <c r="B592" s="313"/>
      <c r="C592" s="314"/>
      <c r="D592" s="40">
        <f>D591+10</f>
        <v>75</v>
      </c>
      <c r="E592">
        <f t="shared" si="75"/>
        <v>5</v>
      </c>
      <c r="F592">
        <f t="shared" si="76"/>
        <v>9</v>
      </c>
      <c r="G592" s="40" t="s">
        <v>89</v>
      </c>
      <c r="H592" s="40" t="s">
        <v>89</v>
      </c>
      <c r="I592" s="40" t="s">
        <v>89</v>
      </c>
      <c r="J592" s="40" t="s">
        <v>752</v>
      </c>
      <c r="K592" s="40" t="s">
        <v>89</v>
      </c>
      <c r="L592" s="170" t="str">
        <f>D592&amp;"-"&amp;D592+9</f>
        <v>75-84</v>
      </c>
      <c r="M592" s="156">
        <f>O592</f>
        <v>4.1988070421089652E-2</v>
      </c>
      <c r="O592" s="53">
        <f>M579</f>
        <v>4.1988070421089652E-2</v>
      </c>
      <c r="P592" s="53"/>
      <c r="AB592"/>
    </row>
    <row r="593" spans="1:28" ht="12" customHeight="1" outlineLevel="3" x14ac:dyDescent="0.25">
      <c r="A593" s="312"/>
      <c r="B593" s="313"/>
      <c r="C593" s="314"/>
      <c r="D593" s="40">
        <f>D592+10</f>
        <v>85</v>
      </c>
      <c r="E593">
        <f t="shared" si="75"/>
        <v>5</v>
      </c>
      <c r="F593">
        <f t="shared" si="76"/>
        <v>9</v>
      </c>
      <c r="G593" s="40" t="s">
        <v>89</v>
      </c>
      <c r="H593" s="40" t="s">
        <v>89</v>
      </c>
      <c r="I593" s="40" t="s">
        <v>89</v>
      </c>
      <c r="J593" s="40" t="s">
        <v>752</v>
      </c>
      <c r="K593" s="40" t="s">
        <v>89</v>
      </c>
      <c r="L593" s="170" t="str">
        <f>D593&amp;"-"&amp;D593+9</f>
        <v>85-94</v>
      </c>
      <c r="M593" s="156">
        <f>O593</f>
        <v>7.3713069351804106E-2</v>
      </c>
      <c r="O593" s="53">
        <f>M580</f>
        <v>7.3713069351804106E-2</v>
      </c>
      <c r="P593" s="53"/>
      <c r="AB593"/>
    </row>
    <row r="594" spans="1:28" ht="12" customHeight="1" outlineLevel="3" x14ac:dyDescent="0.25">
      <c r="A594" s="312"/>
      <c r="B594" s="313"/>
      <c r="C594" s="314"/>
      <c r="E594">
        <f t="shared" si="75"/>
        <v>6</v>
      </c>
      <c r="G594" s="40" t="s">
        <v>89</v>
      </c>
      <c r="H594" s="40" t="s">
        <v>89</v>
      </c>
      <c r="I594" s="40" t="s">
        <v>89</v>
      </c>
      <c r="J594" s="40" t="s">
        <v>89</v>
      </c>
      <c r="K594" s="40" t="s">
        <v>89</v>
      </c>
      <c r="L594" s="38" t="str">
        <f ca="1">"From: "&amp;INDEX(D.rngStates, $E594)</f>
        <v>From: SCE w HPE</v>
      </c>
      <c r="M594"/>
      <c r="O594"/>
      <c r="AB594"/>
    </row>
    <row r="595" spans="1:28" ht="12" customHeight="1" outlineLevel="3" x14ac:dyDescent="0.25">
      <c r="A595" s="312"/>
      <c r="B595" s="313"/>
      <c r="C595" s="314"/>
      <c r="E595">
        <f t="shared" si="75"/>
        <v>6</v>
      </c>
      <c r="F595">
        <f t="shared" ref="F595:F606" si="77">F582</f>
        <v>5</v>
      </c>
      <c r="G595" s="40" t="s">
        <v>89</v>
      </c>
      <c r="H595" s="40" t="s">
        <v>89</v>
      </c>
      <c r="I595" s="40" t="s">
        <v>89</v>
      </c>
      <c r="J595" s="40" t="s">
        <v>89</v>
      </c>
      <c r="K595" s="40" t="s">
        <v>89</v>
      </c>
      <c r="L595" s="104" t="str">
        <f ca="1">"To: "&amp;INDEX(D.rngStates, $F595)</f>
        <v>To: PCE w HPE</v>
      </c>
      <c r="M595"/>
      <c r="O595"/>
      <c r="AB595"/>
    </row>
    <row r="596" spans="1:28" ht="12" customHeight="1" outlineLevel="3" x14ac:dyDescent="0.25">
      <c r="A596" s="312"/>
      <c r="B596" s="313"/>
      <c r="C596" s="314"/>
      <c r="D596" s="40">
        <v>65</v>
      </c>
      <c r="E596">
        <f t="shared" si="75"/>
        <v>6</v>
      </c>
      <c r="F596">
        <f t="shared" si="77"/>
        <v>5</v>
      </c>
      <c r="G596" s="40" t="s">
        <v>89</v>
      </c>
      <c r="H596" s="40" t="s">
        <v>89</v>
      </c>
      <c r="I596" s="40" t="s">
        <v>89</v>
      </c>
      <c r="J596" s="40" t="s">
        <v>752</v>
      </c>
      <c r="K596" s="40" t="s">
        <v>89</v>
      </c>
      <c r="L596" s="170" t="str">
        <f>D596&amp;"-"&amp;D596+9</f>
        <v>65-74</v>
      </c>
      <c r="M596" s="156">
        <f>O596</f>
        <v>0</v>
      </c>
      <c r="O596" s="53">
        <f>CHOOSE(D.swtchConsecExac, M570, 0)</f>
        <v>0</v>
      </c>
      <c r="P596" s="53"/>
      <c r="AB596"/>
    </row>
    <row r="597" spans="1:28" ht="12" customHeight="1" outlineLevel="3" x14ac:dyDescent="0.25">
      <c r="A597" s="312"/>
      <c r="B597" s="313"/>
      <c r="C597" s="314"/>
      <c r="D597" s="40">
        <f>D596+10</f>
        <v>75</v>
      </c>
      <c r="E597">
        <f t="shared" si="75"/>
        <v>6</v>
      </c>
      <c r="F597">
        <f t="shared" si="77"/>
        <v>5</v>
      </c>
      <c r="G597" s="40" t="s">
        <v>89</v>
      </c>
      <c r="H597" s="40" t="s">
        <v>89</v>
      </c>
      <c r="I597" s="40" t="s">
        <v>89</v>
      </c>
      <c r="J597" s="40" t="s">
        <v>752</v>
      </c>
      <c r="K597" s="40" t="s">
        <v>89</v>
      </c>
      <c r="L597" s="170" t="str">
        <f>D597&amp;"-"&amp;D597+9</f>
        <v>75-84</v>
      </c>
      <c r="M597" s="156">
        <f>O597</f>
        <v>0</v>
      </c>
      <c r="O597" s="53">
        <f>CHOOSE(D.swtchConsecExac, M571, 0)</f>
        <v>0</v>
      </c>
      <c r="P597" s="53"/>
      <c r="AB597"/>
    </row>
    <row r="598" spans="1:28" ht="12" customHeight="1" outlineLevel="3" x14ac:dyDescent="0.25">
      <c r="A598" s="312"/>
      <c r="B598" s="313"/>
      <c r="C598" s="314"/>
      <c r="D598" s="40">
        <f>D597+10</f>
        <v>85</v>
      </c>
      <c r="E598">
        <f t="shared" si="75"/>
        <v>6</v>
      </c>
      <c r="F598">
        <f t="shared" si="77"/>
        <v>5</v>
      </c>
      <c r="G598" s="40" t="s">
        <v>89</v>
      </c>
      <c r="H598" s="40" t="s">
        <v>89</v>
      </c>
      <c r="I598" s="40" t="s">
        <v>89</v>
      </c>
      <c r="J598" s="40" t="s">
        <v>752</v>
      </c>
      <c r="K598" s="40" t="s">
        <v>89</v>
      </c>
      <c r="L598" s="170" t="str">
        <f>D598&amp;"-"&amp;D598+9</f>
        <v>85-94</v>
      </c>
      <c r="M598" s="156">
        <f>O598</f>
        <v>0</v>
      </c>
      <c r="O598" s="53">
        <f>CHOOSE(D.swtchConsecExac, M572, 0)</f>
        <v>0</v>
      </c>
      <c r="P598" s="53"/>
      <c r="AB598"/>
    </row>
    <row r="599" spans="1:28" ht="12" customHeight="1" outlineLevel="3" x14ac:dyDescent="0.25">
      <c r="A599" s="312"/>
      <c r="B599" s="313"/>
      <c r="C599" s="314"/>
      <c r="E599">
        <f t="shared" si="75"/>
        <v>6</v>
      </c>
      <c r="F599">
        <f t="shared" si="77"/>
        <v>6</v>
      </c>
      <c r="G599" s="40" t="s">
        <v>89</v>
      </c>
      <c r="H599" s="40" t="s">
        <v>89</v>
      </c>
      <c r="I599" s="40" t="s">
        <v>89</v>
      </c>
      <c r="J599" s="40" t="s">
        <v>89</v>
      </c>
      <c r="K599" s="40" t="s">
        <v>89</v>
      </c>
      <c r="L599" s="104" t="str">
        <f ca="1">"To: "&amp;INDEX(D.rngStates, $F599)</f>
        <v>To: SCE w HPE</v>
      </c>
      <c r="M599"/>
      <c r="O599"/>
      <c r="AB599"/>
    </row>
    <row r="600" spans="1:28" ht="12" customHeight="1" outlineLevel="3" x14ac:dyDescent="0.25">
      <c r="A600" s="312"/>
      <c r="B600" s="313"/>
      <c r="C600" s="314"/>
      <c r="D600" s="40">
        <v>65</v>
      </c>
      <c r="E600">
        <f t="shared" si="75"/>
        <v>6</v>
      </c>
      <c r="F600">
        <f t="shared" si="77"/>
        <v>6</v>
      </c>
      <c r="G600" s="40" t="s">
        <v>89</v>
      </c>
      <c r="H600" s="40" t="s">
        <v>89</v>
      </c>
      <c r="I600" s="40" t="s">
        <v>89</v>
      </c>
      <c r="J600" s="40" t="s">
        <v>752</v>
      </c>
      <c r="K600" s="40" t="s">
        <v>89</v>
      </c>
      <c r="L600" s="170" t="str">
        <f>D600&amp;"-"&amp;D600+9</f>
        <v>65-74</v>
      </c>
      <c r="M600" s="156">
        <f>O600</f>
        <v>0</v>
      </c>
      <c r="O600" s="53">
        <f>CHOOSE(D.swtchConsecExac, M574, 0)</f>
        <v>0</v>
      </c>
      <c r="P600" s="53"/>
      <c r="AB600"/>
    </row>
    <row r="601" spans="1:28" ht="12" customHeight="1" outlineLevel="3" x14ac:dyDescent="0.25">
      <c r="A601" s="312"/>
      <c r="B601" s="313"/>
      <c r="C601" s="314"/>
      <c r="D601" s="40">
        <f>D600+10</f>
        <v>75</v>
      </c>
      <c r="E601">
        <f t="shared" si="75"/>
        <v>6</v>
      </c>
      <c r="F601">
        <f t="shared" si="77"/>
        <v>6</v>
      </c>
      <c r="G601" s="40" t="s">
        <v>89</v>
      </c>
      <c r="H601" s="40" t="s">
        <v>89</v>
      </c>
      <c r="I601" s="40" t="s">
        <v>89</v>
      </c>
      <c r="J601" s="40" t="s">
        <v>752</v>
      </c>
      <c r="K601" s="40" t="s">
        <v>89</v>
      </c>
      <c r="L601" s="170" t="str">
        <f>D601&amp;"-"&amp;D601+9</f>
        <v>75-84</v>
      </c>
      <c r="M601" s="156">
        <f>O601</f>
        <v>0</v>
      </c>
      <c r="O601" s="53">
        <f>CHOOSE(D.swtchConsecExac, M575, 0)</f>
        <v>0</v>
      </c>
      <c r="P601" s="53"/>
      <c r="AB601"/>
    </row>
    <row r="602" spans="1:28" ht="12" customHeight="1" outlineLevel="3" x14ac:dyDescent="0.25">
      <c r="A602" s="312"/>
      <c r="B602" s="313"/>
      <c r="C602" s="314"/>
      <c r="D602" s="40">
        <f>D601+10</f>
        <v>85</v>
      </c>
      <c r="E602">
        <f t="shared" si="75"/>
        <v>6</v>
      </c>
      <c r="F602">
        <f t="shared" si="77"/>
        <v>6</v>
      </c>
      <c r="G602" s="40" t="s">
        <v>89</v>
      </c>
      <c r="H602" s="40" t="s">
        <v>89</v>
      </c>
      <c r="I602" s="40" t="s">
        <v>89</v>
      </c>
      <c r="J602" s="40" t="s">
        <v>752</v>
      </c>
      <c r="K602" s="40" t="s">
        <v>89</v>
      </c>
      <c r="L602" s="170" t="str">
        <f>D602&amp;"-"&amp;D602+9</f>
        <v>85-94</v>
      </c>
      <c r="M602" s="156">
        <f>O602</f>
        <v>0</v>
      </c>
      <c r="O602" s="53">
        <f>CHOOSE(D.swtchConsecExac, M576, 0)</f>
        <v>0</v>
      </c>
      <c r="P602" s="53"/>
      <c r="AB602"/>
    </row>
    <row r="603" spans="1:28" ht="12" customHeight="1" outlineLevel="3" x14ac:dyDescent="0.25">
      <c r="A603" s="312"/>
      <c r="B603" s="313"/>
      <c r="C603" s="314"/>
      <c r="E603">
        <f t="shared" si="75"/>
        <v>6</v>
      </c>
      <c r="F603">
        <f t="shared" si="77"/>
        <v>9</v>
      </c>
      <c r="G603" s="40" t="s">
        <v>89</v>
      </c>
      <c r="H603" s="40" t="s">
        <v>89</v>
      </c>
      <c r="I603" s="40" t="s">
        <v>89</v>
      </c>
      <c r="J603" s="40" t="s">
        <v>89</v>
      </c>
      <c r="K603" s="40" t="s">
        <v>89</v>
      </c>
      <c r="L603" s="104" t="str">
        <f ca="1">"To: "&amp;INDEX(D.rngStates, $F603)</f>
        <v>To: Dead</v>
      </c>
      <c r="M603"/>
      <c r="O603"/>
      <c r="AB603"/>
    </row>
    <row r="604" spans="1:28" ht="12" customHeight="1" outlineLevel="3" x14ac:dyDescent="0.25">
      <c r="A604" s="312"/>
      <c r="B604" s="313"/>
      <c r="C604" s="314"/>
      <c r="D604" s="40">
        <v>65</v>
      </c>
      <c r="E604">
        <f t="shared" si="75"/>
        <v>6</v>
      </c>
      <c r="F604">
        <f t="shared" si="77"/>
        <v>9</v>
      </c>
      <c r="G604" s="40" t="s">
        <v>89</v>
      </c>
      <c r="H604" s="40" t="s">
        <v>89</v>
      </c>
      <c r="I604" s="40" t="s">
        <v>89</v>
      </c>
      <c r="J604" s="40" t="s">
        <v>752</v>
      </c>
      <c r="K604" s="40" t="s">
        <v>89</v>
      </c>
      <c r="L604" s="170" t="str">
        <f>D604&amp;"-"&amp;D604+9</f>
        <v>65-74</v>
      </c>
      <c r="M604" s="156">
        <f>O604</f>
        <v>0.13301787846430757</v>
      </c>
      <c r="O604" s="53">
        <f>M557</f>
        <v>0.13301787846430757</v>
      </c>
      <c r="P604" s="53"/>
      <c r="AB604"/>
    </row>
    <row r="605" spans="1:28" ht="12" customHeight="1" outlineLevel="3" x14ac:dyDescent="0.25">
      <c r="A605" s="312"/>
      <c r="B605" s="313"/>
      <c r="C605" s="314"/>
      <c r="D605" s="40">
        <f>D604+10</f>
        <v>75</v>
      </c>
      <c r="E605">
        <f t="shared" si="75"/>
        <v>6</v>
      </c>
      <c r="F605">
        <f t="shared" si="77"/>
        <v>9</v>
      </c>
      <c r="G605" s="40" t="s">
        <v>89</v>
      </c>
      <c r="H605" s="40" t="s">
        <v>89</v>
      </c>
      <c r="I605" s="40" t="s">
        <v>89</v>
      </c>
      <c r="J605" s="40" t="s">
        <v>752</v>
      </c>
      <c r="K605" s="40" t="s">
        <v>89</v>
      </c>
      <c r="L605" s="170" t="str">
        <f>D605&amp;"-"&amp;D605+9</f>
        <v>75-84</v>
      </c>
      <c r="M605" s="156">
        <f>O605</f>
        <v>0.17060388397137449</v>
      </c>
      <c r="O605" s="53">
        <f>M558</f>
        <v>0.17060388397137449</v>
      </c>
      <c r="P605" s="53"/>
      <c r="AB605"/>
    </row>
    <row r="606" spans="1:28" ht="12" customHeight="1" outlineLevel="3" thickBot="1" x14ac:dyDescent="0.3">
      <c r="A606" s="312"/>
      <c r="B606" s="313"/>
      <c r="C606" s="314"/>
      <c r="D606" s="40">
        <f>D605+10</f>
        <v>85</v>
      </c>
      <c r="E606">
        <f t="shared" si="75"/>
        <v>6</v>
      </c>
      <c r="F606">
        <f t="shared" si="77"/>
        <v>9</v>
      </c>
      <c r="G606" s="40" t="s">
        <v>89</v>
      </c>
      <c r="H606" s="40" t="s">
        <v>89</v>
      </c>
      <c r="I606" s="40" t="s">
        <v>89</v>
      </c>
      <c r="J606" s="40" t="s">
        <v>752</v>
      </c>
      <c r="K606" s="40" t="s">
        <v>89</v>
      </c>
      <c r="L606" s="170" t="str">
        <f>D606&amp;"-"&amp;D606+9</f>
        <v>85-94</v>
      </c>
      <c r="M606" s="156">
        <f>O606</f>
        <v>0.25886705998135218</v>
      </c>
      <c r="O606" s="53">
        <f>M559</f>
        <v>0.25886705998135218</v>
      </c>
      <c r="P606" s="53"/>
      <c r="AB606"/>
    </row>
    <row r="607" spans="1:28" s="381" customFormat="1" ht="12" customHeight="1" outlineLevel="1" thickBot="1" x14ac:dyDescent="0.3">
      <c r="A607" s="312"/>
      <c r="B607" s="313"/>
      <c r="C607" s="314"/>
      <c r="D607" s="393"/>
      <c r="G607" s="196" t="s">
        <v>89</v>
      </c>
      <c r="H607" s="196" t="s">
        <v>89</v>
      </c>
      <c r="I607" s="196" t="s">
        <v>89</v>
      </c>
      <c r="J607" s="196" t="s">
        <v>89</v>
      </c>
      <c r="K607" s="196" t="s">
        <v>89</v>
      </c>
      <c r="L607" s="381" t="s">
        <v>527</v>
      </c>
    </row>
    <row r="608" spans="1:28" ht="12" customHeight="1" outlineLevel="3" x14ac:dyDescent="0.25">
      <c r="A608" s="312"/>
      <c r="B608" s="313"/>
      <c r="C608" s="314"/>
      <c r="F608">
        <v>5</v>
      </c>
      <c r="G608" s="40" t="s">
        <v>89</v>
      </c>
      <c r="H608" s="40" t="s">
        <v>89</v>
      </c>
      <c r="I608" s="40" t="s">
        <v>89</v>
      </c>
      <c r="J608" s="40" t="s">
        <v>752</v>
      </c>
      <c r="K608" s="40" t="s">
        <v>89</v>
      </c>
      <c r="L608" s="38" t="str">
        <f ca="1">INDEX(D.rngStates, $F608) &amp; " -- odds ratio"</f>
        <v>PCE w HPE -- odds ratio</v>
      </c>
      <c r="M608" s="156">
        <f>O608</f>
        <v>1.1599999999999999</v>
      </c>
      <c r="O608" s="53">
        <f>M609</f>
        <v>1.1599999999999999</v>
      </c>
      <c r="P608" s="53"/>
      <c r="AB608"/>
    </row>
    <row r="609" spans="1:31" ht="12" customHeight="1" outlineLevel="3" x14ac:dyDescent="0.25">
      <c r="A609" s="312"/>
      <c r="B609" s="313"/>
      <c r="C609" s="314"/>
      <c r="F609">
        <v>6</v>
      </c>
      <c r="G609" s="40" t="s">
        <v>89</v>
      </c>
      <c r="H609" s="40" t="s">
        <v>89</v>
      </c>
      <c r="I609" s="40" t="s">
        <v>89</v>
      </c>
      <c r="J609" s="40" t="s">
        <v>752</v>
      </c>
      <c r="K609" s="40" t="s">
        <v>89</v>
      </c>
      <c r="L609" s="38" t="str">
        <f ca="1">INDEX(D.rngStates, $F609) &amp; " -- odds ratio"</f>
        <v>SCE w HPE -- odds ratio</v>
      </c>
      <c r="M609" s="36">
        <f>O609</f>
        <v>1.1599999999999999</v>
      </c>
      <c r="O609" s="11">
        <f>CHOOSE(swtchPSA, S609, AB609)</f>
        <v>1.1599999999999999</v>
      </c>
      <c r="P609" s="11"/>
      <c r="S609" s="35">
        <v>1.1599999999999999</v>
      </c>
      <c r="T609" s="18"/>
      <c r="U609" s="22">
        <f>(LN(X609)-LN(V609)) / 2/ _xlfn.NORM.S.INV(0.975)</f>
        <v>1.5332915437170679E-2</v>
      </c>
      <c r="V609" s="35">
        <v>1.1299999999999999</v>
      </c>
      <c r="W609" s="18"/>
      <c r="X609" s="35">
        <v>1.2</v>
      </c>
      <c r="Y609" s="32" t="s">
        <v>526</v>
      </c>
      <c r="AA609" s="19">
        <f ca="1">RAND()</f>
        <v>0.29802035505469437</v>
      </c>
      <c r="AB609" s="37">
        <f ca="1">_xlfn.LOGNORM.INV(AA609, AD609, AE609)</f>
        <v>1.1506097104394892</v>
      </c>
      <c r="AC609" s="20" t="s">
        <v>20</v>
      </c>
      <c r="AD609" s="27">
        <f>LN(S609)</f>
        <v>0.14842000511827322</v>
      </c>
      <c r="AE609" s="26">
        <f>U609</f>
        <v>1.5332915437170679E-2</v>
      </c>
    </row>
    <row r="610" spans="1:31" ht="12" customHeight="1" outlineLevel="3" x14ac:dyDescent="0.25">
      <c r="A610" s="312"/>
      <c r="B610" s="313"/>
      <c r="C610" s="314"/>
      <c r="G610" s="40" t="s">
        <v>89</v>
      </c>
      <c r="H610" s="40" t="s">
        <v>89</v>
      </c>
      <c r="I610" s="40" t="s">
        <v>89</v>
      </c>
      <c r="J610" s="40" t="s">
        <v>89</v>
      </c>
      <c r="K610" s="40" t="s">
        <v>89</v>
      </c>
      <c r="L610" s="38" t="s">
        <v>379</v>
      </c>
      <c r="M610"/>
      <c r="O610"/>
      <c r="AB610"/>
    </row>
    <row r="611" spans="1:31" ht="12" customHeight="1" outlineLevel="3" x14ac:dyDescent="0.25">
      <c r="A611" s="312"/>
      <c r="B611" s="313"/>
      <c r="C611" s="314"/>
      <c r="G611" s="40" t="s">
        <v>89</v>
      </c>
      <c r="H611" s="40" t="s">
        <v>89</v>
      </c>
      <c r="I611" s="40" t="s">
        <v>89</v>
      </c>
      <c r="J611" s="40" t="s">
        <v>89</v>
      </c>
      <c r="K611" s="40" t="s">
        <v>89</v>
      </c>
      <c r="L611" s="104" t="s">
        <v>525</v>
      </c>
      <c r="M611"/>
      <c r="O611"/>
      <c r="AB611"/>
    </row>
    <row r="612" spans="1:31" ht="12" customHeight="1" outlineLevel="3" x14ac:dyDescent="0.25">
      <c r="A612" s="312"/>
      <c r="B612" s="313"/>
      <c r="C612" s="314"/>
      <c r="F612">
        <v>8</v>
      </c>
      <c r="G612" s="40" t="s">
        <v>89</v>
      </c>
      <c r="H612" s="40" t="s">
        <v>89</v>
      </c>
      <c r="I612" s="40" t="s">
        <v>89</v>
      </c>
      <c r="J612" s="40" t="s">
        <v>752</v>
      </c>
      <c r="K612" s="40" t="s">
        <v>89</v>
      </c>
      <c r="L612" s="170" t="s">
        <v>522</v>
      </c>
      <c r="M612" s="36">
        <f>O612</f>
        <v>1.75</v>
      </c>
      <c r="O612" s="11">
        <f>CHOOSE(swtchPSA, S612, AB612)</f>
        <v>1.75</v>
      </c>
      <c r="P612" s="11"/>
      <c r="S612" s="35">
        <v>1.75</v>
      </c>
      <c r="T612" s="18"/>
      <c r="U612" s="22">
        <f>(LN(X612)-LN(V612)) / 2/ _xlfn.NORM.S.INV(0.975)</f>
        <v>3.6401628588260113E-2</v>
      </c>
      <c r="V612" s="35">
        <v>1.63</v>
      </c>
      <c r="W612" s="18"/>
      <c r="X612" s="35">
        <v>1.88</v>
      </c>
      <c r="Y612" s="32" t="s">
        <v>524</v>
      </c>
      <c r="AA612" s="19">
        <f ca="1">RAND()</f>
        <v>0.68232270689168983</v>
      </c>
      <c r="AB612" s="37">
        <f ca="1">_xlfn.LOGNORM.INV(AA612, AD612, AE612)</f>
        <v>1.7804703632569601</v>
      </c>
      <c r="AC612" s="20" t="s">
        <v>20</v>
      </c>
      <c r="AD612" s="27">
        <f>LN(S612)</f>
        <v>0.55961578793542266</v>
      </c>
      <c r="AE612" s="26">
        <f>U612</f>
        <v>3.6401628588260113E-2</v>
      </c>
    </row>
    <row r="613" spans="1:31" ht="12" customHeight="1" outlineLevel="3" x14ac:dyDescent="0.25">
      <c r="A613" s="312"/>
      <c r="B613" s="313"/>
      <c r="C613" s="314"/>
      <c r="F613">
        <v>8</v>
      </c>
      <c r="G613" s="40" t="s">
        <v>89</v>
      </c>
      <c r="H613" s="40" t="s">
        <v>89</v>
      </c>
      <c r="I613" s="40" t="s">
        <v>89</v>
      </c>
      <c r="J613" s="40" t="s">
        <v>752</v>
      </c>
      <c r="K613" s="40" t="s">
        <v>89</v>
      </c>
      <c r="L613" s="170" t="s">
        <v>521</v>
      </c>
      <c r="M613" s="36">
        <f>O613</f>
        <v>2.08</v>
      </c>
      <c r="O613" s="11">
        <f>CHOOSE(swtchPSA, S613, AB613)</f>
        <v>2.08</v>
      </c>
      <c r="P613" s="11"/>
      <c r="S613" s="35">
        <v>2.08</v>
      </c>
      <c r="T613" s="18"/>
      <c r="U613" s="22">
        <f>(LN(X613)-LN(V613)) / 2/ _xlfn.NORM.S.INV(0.975)</f>
        <v>3.1929959923059026E-2</v>
      </c>
      <c r="V613" s="35">
        <v>1.95</v>
      </c>
      <c r="W613" s="18"/>
      <c r="X613" s="35">
        <v>2.21</v>
      </c>
      <c r="Y613" s="32" t="s">
        <v>524</v>
      </c>
      <c r="AA613" s="19">
        <f ca="1">RAND()</f>
        <v>4.8161778600423921E-2</v>
      </c>
      <c r="AB613" s="37">
        <f ca="1">_xlfn.LOGNORM.INV(AA613, AD613, AE613)</f>
        <v>1.9724376119747689</v>
      </c>
      <c r="AC613" s="20" t="s">
        <v>20</v>
      </c>
      <c r="AD613" s="27">
        <f>LN(S613)</f>
        <v>0.73236789371322664</v>
      </c>
      <c r="AE613" s="26">
        <f>U613</f>
        <v>3.1929959923059026E-2</v>
      </c>
    </row>
    <row r="614" spans="1:31" ht="12" customHeight="1" outlineLevel="3" x14ac:dyDescent="0.25">
      <c r="A614" s="312"/>
      <c r="B614" s="313"/>
      <c r="C614" s="314"/>
      <c r="F614">
        <v>8</v>
      </c>
      <c r="G614" s="40" t="s">
        <v>89</v>
      </c>
      <c r="H614" s="40" t="s">
        <v>89</v>
      </c>
      <c r="I614" s="40" t="s">
        <v>89</v>
      </c>
      <c r="J614" s="40" t="s">
        <v>752</v>
      </c>
      <c r="K614" s="40" t="s">
        <v>89</v>
      </c>
      <c r="L614" s="170" t="s">
        <v>520</v>
      </c>
      <c r="M614" s="36">
        <f>O614</f>
        <v>1.31</v>
      </c>
      <c r="O614" s="11">
        <f>CHOOSE(swtchPSA, S614, AB614)</f>
        <v>1.31</v>
      </c>
      <c r="P614" s="11"/>
      <c r="S614" s="35">
        <v>1.31</v>
      </c>
      <c r="T614" s="18"/>
      <c r="U614" s="22">
        <f>(LN(X614)-LN(V614)) / 2/ _xlfn.NORM.S.INV(0.975)</f>
        <v>2.3384916572162281E-2</v>
      </c>
      <c r="V614" s="35">
        <v>1.25</v>
      </c>
      <c r="W614" s="18"/>
      <c r="X614" s="35">
        <v>1.37</v>
      </c>
      <c r="Y614" s="32" t="s">
        <v>524</v>
      </c>
      <c r="AA614" s="19">
        <f ca="1">RAND()</f>
        <v>0.54291115846826532</v>
      </c>
      <c r="AB614" s="37">
        <f ca="1">_xlfn.LOGNORM.INV(AA614, AD614, AE614)</f>
        <v>1.3133056334866242</v>
      </c>
      <c r="AC614" s="20" t="s">
        <v>20</v>
      </c>
      <c r="AD614" s="27">
        <f>LN(S614)</f>
        <v>0.27002713721306021</v>
      </c>
      <c r="AE614" s="26">
        <f>U614</f>
        <v>2.3384916572162281E-2</v>
      </c>
    </row>
    <row r="615" spans="1:31" ht="12" customHeight="1" outlineLevel="3" x14ac:dyDescent="0.25">
      <c r="A615" s="312"/>
      <c r="B615" s="313"/>
      <c r="C615" s="314"/>
      <c r="F615">
        <v>8</v>
      </c>
      <c r="G615" s="40" t="s">
        <v>89</v>
      </c>
      <c r="H615" s="40" t="s">
        <v>89</v>
      </c>
      <c r="I615" s="40" t="s">
        <v>89</v>
      </c>
      <c r="J615" s="40" t="s">
        <v>752</v>
      </c>
      <c r="K615" s="40" t="s">
        <v>89</v>
      </c>
      <c r="L615" s="170" t="s">
        <v>519</v>
      </c>
      <c r="M615" s="36">
        <f>O615</f>
        <v>1.22</v>
      </c>
      <c r="O615" s="11">
        <f>CHOOSE(swtchPSA, S615, AB615)</f>
        <v>1.22</v>
      </c>
      <c r="P615" s="11"/>
      <c r="S615" s="35">
        <v>1.22</v>
      </c>
      <c r="T615" s="18"/>
      <c r="U615" s="22">
        <f>(LN(X615)-LN(V615)) / 2/ _xlfn.NORM.S.INV(0.975)</f>
        <v>6.6747425139596611E-2</v>
      </c>
      <c r="V615" s="35">
        <v>1.07</v>
      </c>
      <c r="W615" s="18"/>
      <c r="X615" s="35">
        <v>1.39</v>
      </c>
      <c r="Y615" s="32" t="s">
        <v>524</v>
      </c>
      <c r="AA615" s="19">
        <f ca="1">RAND()</f>
        <v>0.45451876155669435</v>
      </c>
      <c r="AB615" s="37">
        <f ca="1">_xlfn.LOGNORM.INV(AA615, AD615, AE615)</f>
        <v>1.2107315807605505</v>
      </c>
      <c r="AC615" s="20" t="s">
        <v>20</v>
      </c>
      <c r="AD615" s="27">
        <f>LN(S615)</f>
        <v>0.19885085874516517</v>
      </c>
      <c r="AE615" s="26">
        <f>U615</f>
        <v>6.6747425139596611E-2</v>
      </c>
    </row>
    <row r="616" spans="1:31" ht="12" customHeight="1" outlineLevel="3" thickBot="1" x14ac:dyDescent="0.3">
      <c r="A616" s="312"/>
      <c r="B616" s="313"/>
      <c r="C616" s="314"/>
      <c r="F616">
        <v>8</v>
      </c>
      <c r="G616" s="40" t="s">
        <v>89</v>
      </c>
      <c r="H616" s="40" t="s">
        <v>89</v>
      </c>
      <c r="I616" s="40" t="s">
        <v>89</v>
      </c>
      <c r="J616" s="40" t="s">
        <v>752</v>
      </c>
      <c r="K616" s="40" t="s">
        <v>89</v>
      </c>
      <c r="L616" s="104" t="s">
        <v>517</v>
      </c>
      <c r="M616" s="156">
        <f>O616</f>
        <v>1.22</v>
      </c>
      <c r="O616" s="53">
        <f>CHOOSE(D.swtchExcessDeaths, CHOOSE(swtchNSAIDsWhich, M615, SUMPRODUCT(M62:M63, M614:M615) / SUM(M62:M63), SUMPRODUCT(M612:M615, M60:M63)), 1)</f>
        <v>1.22</v>
      </c>
      <c r="P616" s="53"/>
      <c r="AB616"/>
    </row>
    <row r="617" spans="1:31" s="13" customFormat="1" ht="12" customHeight="1" outlineLevel="1" thickBot="1" x14ac:dyDescent="0.3">
      <c r="A617" s="312"/>
      <c r="B617" s="313"/>
      <c r="C617" s="314"/>
      <c r="D617" s="25"/>
      <c r="G617" s="25" t="s">
        <v>89</v>
      </c>
      <c r="H617" s="25" t="s">
        <v>89</v>
      </c>
      <c r="I617" s="25" t="s">
        <v>89</v>
      </c>
      <c r="J617" s="25" t="s">
        <v>89</v>
      </c>
      <c r="K617" s="25" t="s">
        <v>89</v>
      </c>
      <c r="L617" s="13" t="s">
        <v>39</v>
      </c>
      <c r="M617" s="25"/>
      <c r="O617" s="25"/>
      <c r="P617" s="25"/>
      <c r="AB617" s="25"/>
    </row>
    <row r="618" spans="1:31" s="110" customFormat="1" ht="12" customHeight="1" outlineLevel="2" thickBot="1" x14ac:dyDescent="0.3">
      <c r="A618" s="312"/>
      <c r="B618" s="313"/>
      <c r="C618" s="314"/>
      <c r="D618" s="112"/>
      <c r="G618" s="112" t="s">
        <v>89</v>
      </c>
      <c r="H618" s="112" t="s">
        <v>89</v>
      </c>
      <c r="I618" s="112" t="s">
        <v>89</v>
      </c>
      <c r="J618" s="112" t="s">
        <v>89</v>
      </c>
      <c r="K618" s="112" t="s">
        <v>89</v>
      </c>
      <c r="L618" s="110" t="s">
        <v>456</v>
      </c>
    </row>
    <row r="619" spans="1:31" ht="12" customHeight="1" outlineLevel="3" x14ac:dyDescent="0.25">
      <c r="A619" s="312"/>
      <c r="B619" s="313"/>
      <c r="C619" s="314"/>
      <c r="G619" s="40" t="s">
        <v>89</v>
      </c>
      <c r="H619" s="40" t="s">
        <v>89</v>
      </c>
      <c r="I619" s="40" t="s">
        <v>89</v>
      </c>
      <c r="J619" s="40" t="s">
        <v>89</v>
      </c>
      <c r="K619" s="40" t="s">
        <v>89</v>
      </c>
      <c r="L619" s="38" t="s">
        <v>263</v>
      </c>
      <c r="M619"/>
      <c r="O619"/>
      <c r="AB619"/>
    </row>
    <row r="620" spans="1:31" ht="12" customHeight="1" outlineLevel="3" x14ac:dyDescent="0.25">
      <c r="A620" s="312"/>
      <c r="B620" s="313"/>
      <c r="C620" s="314"/>
      <c r="G620" s="40" t="s">
        <v>89</v>
      </c>
      <c r="H620" s="40" t="s">
        <v>89</v>
      </c>
      <c r="I620" s="40" t="s">
        <v>89</v>
      </c>
      <c r="J620" s="40" t="s">
        <v>752</v>
      </c>
      <c r="K620" s="40" t="s">
        <v>89</v>
      </c>
      <c r="L620" s="104" t="s">
        <v>256</v>
      </c>
      <c r="M620" s="174">
        <f>O620</f>
        <v>6.3308266666666668</v>
      </c>
      <c r="O620" s="52" cm="1">
        <f t="array" ref="O620">c.NSAID.PerMo_Cel*12*C.cycleLength</f>
        <v>6.3308266666666668</v>
      </c>
      <c r="P620" s="49"/>
      <c r="AB620"/>
    </row>
    <row r="621" spans="1:31" ht="12" customHeight="1" outlineLevel="3" x14ac:dyDescent="0.25">
      <c r="A621" s="312"/>
      <c r="B621" s="313"/>
      <c r="C621" s="314"/>
      <c r="G621" s="40" t="s">
        <v>89</v>
      </c>
      <c r="H621" s="40" t="s">
        <v>89</v>
      </c>
      <c r="I621" s="40" t="s">
        <v>89</v>
      </c>
      <c r="J621" s="40" t="s">
        <v>752</v>
      </c>
      <c r="K621" s="40" t="s">
        <v>89</v>
      </c>
      <c r="L621" s="104" t="s">
        <v>254</v>
      </c>
      <c r="M621" s="174">
        <f>O621</f>
        <v>9.3918857142857153</v>
      </c>
      <c r="O621" s="52" cm="1">
        <f t="array" ref="O621">c.NSAID.PerMo_Dic*12*C.cycleLength</f>
        <v>9.3918857142857153</v>
      </c>
      <c r="P621" s="49"/>
      <c r="AB621"/>
    </row>
    <row r="622" spans="1:31" ht="12" customHeight="1" outlineLevel="3" x14ac:dyDescent="0.25">
      <c r="A622" s="312"/>
      <c r="B622" s="313"/>
      <c r="C622" s="314"/>
      <c r="G622" s="40" t="s">
        <v>89</v>
      </c>
      <c r="H622" s="40" t="s">
        <v>89</v>
      </c>
      <c r="I622" s="40" t="s">
        <v>89</v>
      </c>
      <c r="J622" s="40" t="s">
        <v>752</v>
      </c>
      <c r="K622" s="40" t="s">
        <v>89</v>
      </c>
      <c r="L622" s="104" t="s">
        <v>252</v>
      </c>
      <c r="M622" s="174">
        <f>O622</f>
        <v>25.012417857142857</v>
      </c>
      <c r="O622" s="52" cm="1">
        <f t="array" ref="O622">c.NSAID.PerMo_Ibu*12*C.cycleLength</f>
        <v>25.012417857142857</v>
      </c>
      <c r="P622" s="49"/>
      <c r="AB622"/>
    </row>
    <row r="623" spans="1:31" ht="12" customHeight="1" outlineLevel="3" x14ac:dyDescent="0.25">
      <c r="A623" s="312"/>
      <c r="B623" s="313"/>
      <c r="C623" s="314"/>
      <c r="G623" s="40" t="s">
        <v>89</v>
      </c>
      <c r="H623" s="40" t="s">
        <v>89</v>
      </c>
      <c r="I623" s="40" t="s">
        <v>89</v>
      </c>
      <c r="J623" s="40" t="s">
        <v>752</v>
      </c>
      <c r="K623" s="40" t="s">
        <v>89</v>
      </c>
      <c r="L623" s="104" t="s">
        <v>644</v>
      </c>
      <c r="M623" s="174">
        <f>O623</f>
        <v>7.6635178571428577</v>
      </c>
      <c r="O623" s="52" cm="1">
        <f t="array" ref="O623">c.NSAID.PerMo_Nap*12*C.cycleLength</f>
        <v>7.6635178571428577</v>
      </c>
      <c r="P623" s="49"/>
      <c r="AB623"/>
    </row>
    <row r="624" spans="1:31" ht="12" customHeight="1" outlineLevel="3" x14ac:dyDescent="0.25">
      <c r="A624" s="312"/>
      <c r="B624" s="313"/>
      <c r="C624" s="314"/>
      <c r="G624" s="40" t="s">
        <v>89</v>
      </c>
      <c r="H624" s="40" t="s">
        <v>89</v>
      </c>
      <c r="I624" s="40" t="s">
        <v>89</v>
      </c>
      <c r="J624" s="40" t="s">
        <v>752</v>
      </c>
      <c r="K624" s="40" t="s">
        <v>89</v>
      </c>
      <c r="L624" s="104" t="s">
        <v>266</v>
      </c>
      <c r="M624" s="174">
        <f>O624</f>
        <v>7.6635178571428577</v>
      </c>
      <c r="N624" s="15" t="s">
        <v>816</v>
      </c>
      <c r="O624" s="52">
        <f>CHOOSE(swtchNSAIDsWhich, M623, SUM(M623*M$62, M622*M$63) / SUM(M$62:M$63), SUMPRODUCT(M$60:M$63, M620:M623))</f>
        <v>7.6635178571428577</v>
      </c>
      <c r="T624" s="18"/>
      <c r="AB624"/>
    </row>
    <row r="625" spans="1:31" ht="12" customHeight="1" outlineLevel="3" x14ac:dyDescent="0.25">
      <c r="A625" s="312"/>
      <c r="B625" s="313"/>
      <c r="C625" s="314"/>
      <c r="G625" s="40" t="s">
        <v>89</v>
      </c>
      <c r="H625" s="40" t="s">
        <v>89</v>
      </c>
      <c r="I625" s="40" t="s">
        <v>89</v>
      </c>
      <c r="J625" s="40" t="s">
        <v>89</v>
      </c>
      <c r="K625" s="40" t="s">
        <v>89</v>
      </c>
      <c r="L625" s="38" t="s">
        <v>267</v>
      </c>
      <c r="M625"/>
      <c r="O625"/>
      <c r="AB625"/>
    </row>
    <row r="626" spans="1:31" ht="12" customHeight="1" outlineLevel="3" x14ac:dyDescent="0.25">
      <c r="A626" s="312"/>
      <c r="B626" s="313"/>
      <c r="C626" s="314"/>
      <c r="G626" s="40" t="s">
        <v>89</v>
      </c>
      <c r="H626" s="40" t="s">
        <v>89</v>
      </c>
      <c r="I626" s="40" t="s">
        <v>89</v>
      </c>
      <c r="J626" s="40" t="s">
        <v>752</v>
      </c>
      <c r="K626" s="40" t="s">
        <v>89</v>
      </c>
      <c r="L626" s="104" t="s">
        <v>268</v>
      </c>
      <c r="M626" s="174">
        <f>O626</f>
        <v>16.764516</v>
      </c>
      <c r="N626" s="15" t="s">
        <v>656</v>
      </c>
      <c r="O626" s="52" cm="1">
        <f t="array" ref="O626">c.Paracet.PerMo*12*C.cycleLength</f>
        <v>16.764516</v>
      </c>
      <c r="AB626"/>
    </row>
    <row r="627" spans="1:31" ht="12" customHeight="1" outlineLevel="3" x14ac:dyDescent="0.25">
      <c r="A627" s="312"/>
      <c r="B627" s="313"/>
      <c r="C627" s="314"/>
      <c r="G627" s="40" t="s">
        <v>89</v>
      </c>
      <c r="H627" s="40" t="s">
        <v>89</v>
      </c>
      <c r="I627" s="40" t="s">
        <v>89</v>
      </c>
      <c r="J627" s="40" t="s">
        <v>89</v>
      </c>
      <c r="K627" s="40" t="s">
        <v>89</v>
      </c>
      <c r="L627" t="s">
        <v>516</v>
      </c>
      <c r="M627"/>
      <c r="O627"/>
      <c r="AB627"/>
    </row>
    <row r="628" spans="1:31" ht="12" customHeight="1" outlineLevel="3" x14ac:dyDescent="0.25">
      <c r="A628" s="312"/>
      <c r="B628" s="313"/>
      <c r="C628" s="314"/>
      <c r="G628" s="40" t="s">
        <v>89</v>
      </c>
      <c r="H628" s="40" t="s">
        <v>89</v>
      </c>
      <c r="I628" s="40" t="s">
        <v>89</v>
      </c>
      <c r="J628" s="40" t="s">
        <v>752</v>
      </c>
      <c r="K628" s="40" t="s">
        <v>89</v>
      </c>
      <c r="L628" s="104" t="s">
        <v>265</v>
      </c>
      <c r="M628" s="184">
        <f>O628</f>
        <v>0.93</v>
      </c>
      <c r="O628" s="52">
        <f>S628</f>
        <v>0.93</v>
      </c>
      <c r="S628" s="180">
        <v>0.93</v>
      </c>
      <c r="Y628" s="32" t="s">
        <v>706</v>
      </c>
      <c r="AB628"/>
    </row>
    <row r="629" spans="1:31" ht="12" customHeight="1" outlineLevel="3" x14ac:dyDescent="0.25">
      <c r="A629" s="312"/>
      <c r="B629" s="313"/>
      <c r="C629" s="314"/>
      <c r="G629" s="40" t="s">
        <v>89</v>
      </c>
      <c r="H629" s="40" t="s">
        <v>89</v>
      </c>
      <c r="I629" s="40" t="s">
        <v>89</v>
      </c>
      <c r="J629" s="40" t="s">
        <v>752</v>
      </c>
      <c r="K629" s="40" t="s">
        <v>89</v>
      </c>
      <c r="L629" s="104" t="s">
        <v>645</v>
      </c>
      <c r="M629" s="194">
        <f>O629</f>
        <v>13.044285714285715</v>
      </c>
      <c r="O629" s="167">
        <f>S629</f>
        <v>13.044285714285715</v>
      </c>
      <c r="S629" s="39">
        <f>365.24/28</f>
        <v>13.044285714285715</v>
      </c>
      <c r="T629" s="18"/>
      <c r="Y629" s="15" t="s">
        <v>264</v>
      </c>
      <c r="AB629"/>
    </row>
    <row r="630" spans="1:31" ht="12" customHeight="1" outlineLevel="3" thickBot="1" x14ac:dyDescent="0.3">
      <c r="A630" s="312"/>
      <c r="B630" s="313"/>
      <c r="C630" s="314"/>
      <c r="G630" s="40" t="s">
        <v>89</v>
      </c>
      <c r="H630" s="40" t="s">
        <v>89</v>
      </c>
      <c r="I630" s="40" t="s">
        <v>89</v>
      </c>
      <c r="J630" s="40" t="s">
        <v>752</v>
      </c>
      <c r="K630" s="40" t="s">
        <v>89</v>
      </c>
      <c r="L630" s="104" t="s">
        <v>288</v>
      </c>
      <c r="M630" s="174">
        <f>O630</f>
        <v>3.0327964285714288</v>
      </c>
      <c r="N630" s="15" t="s">
        <v>815</v>
      </c>
      <c r="O630" s="52">
        <f t="shared" ref="O630" si="78">CHOOSE(swtchPSA, S630, AB630)</f>
        <v>3.0327964285714288</v>
      </c>
      <c r="S630" s="51" cm="1">
        <f t="array" ref="S630">M628*M629*D.cycleLength</f>
        <v>3.0327964285714288</v>
      </c>
      <c r="U630" s="266">
        <f t="shared" ref="U630" si="79">ABS(S630)*Cost.SEs.CoV</f>
        <v>0.60655928571428586</v>
      </c>
      <c r="V630" s="109">
        <f t="shared" ref="V630" si="80">_xlfn.GAMMA.INV(0.025, AD630, AE630)</f>
        <v>1.9626659410836071</v>
      </c>
      <c r="X630" s="109">
        <f t="shared" ref="X630" si="81">_xlfn.GAMMA.INV(0.975, AD630, AE630)</f>
        <v>4.3320582578508757</v>
      </c>
      <c r="AA630" s="19">
        <f ca="1">RAND()</f>
        <v>0.71031072589633804</v>
      </c>
      <c r="AB630" s="47">
        <f ca="1">_xlfn.GAMMA.INV(AA630,AD630,AE630)</f>
        <v>3.3385718353082057</v>
      </c>
      <c r="AC630" s="15" t="s">
        <v>38</v>
      </c>
      <c r="AD630" s="54">
        <f t="shared" ref="AD630" si="82">S630^2/U630^2</f>
        <v>24.999999999999993</v>
      </c>
      <c r="AE630" s="55">
        <f t="shared" ref="AE630" si="83">U630^2/S630</f>
        <v>0.12131185714285718</v>
      </c>
    </row>
    <row r="631" spans="1:31" s="110" customFormat="1" ht="12" customHeight="1" outlineLevel="2" thickBot="1" x14ac:dyDescent="0.3">
      <c r="A631" s="312"/>
      <c r="B631" s="313"/>
      <c r="C631" s="314"/>
      <c r="D631" s="112"/>
      <c r="G631" s="112" t="s">
        <v>89</v>
      </c>
      <c r="H631" s="112" t="s">
        <v>89</v>
      </c>
      <c r="I631" s="112" t="s">
        <v>89</v>
      </c>
      <c r="J631" s="112" t="s">
        <v>89</v>
      </c>
      <c r="K631" s="112" t="s">
        <v>89</v>
      </c>
      <c r="L631" s="110" t="s">
        <v>455</v>
      </c>
    </row>
    <row r="632" spans="1:31" ht="12" customHeight="1" outlineLevel="3" x14ac:dyDescent="0.25">
      <c r="A632" s="312"/>
      <c r="B632" s="313"/>
      <c r="C632" s="314"/>
      <c r="G632" s="40" t="s">
        <v>89</v>
      </c>
      <c r="H632" s="40" t="s">
        <v>89</v>
      </c>
      <c r="I632" s="40" t="s">
        <v>89</v>
      </c>
      <c r="J632" s="40" t="s">
        <v>89</v>
      </c>
      <c r="K632" s="40" t="s">
        <v>89</v>
      </c>
      <c r="L632" s="38" t="s">
        <v>454</v>
      </c>
      <c r="M632"/>
      <c r="O632"/>
      <c r="AB632"/>
    </row>
    <row r="633" spans="1:31" ht="12" customHeight="1" outlineLevel="3" x14ac:dyDescent="0.25">
      <c r="A633" s="312"/>
      <c r="B633" s="313"/>
      <c r="C633" s="314"/>
      <c r="G633" s="40" t="s">
        <v>89</v>
      </c>
      <c r="H633" s="40" t="s">
        <v>89</v>
      </c>
      <c r="I633" s="40" t="s">
        <v>89</v>
      </c>
      <c r="J633" s="40" t="s">
        <v>89</v>
      </c>
      <c r="K633" s="40" t="s">
        <v>89</v>
      </c>
      <c r="L633" s="104" t="s">
        <v>207</v>
      </c>
      <c r="M633"/>
      <c r="O633"/>
      <c r="AB633"/>
    </row>
    <row r="634" spans="1:31" ht="12" customHeight="1" outlineLevel="3" x14ac:dyDescent="0.25">
      <c r="A634" s="312"/>
      <c r="B634" s="313"/>
      <c r="C634" s="314"/>
      <c r="G634" s="40" t="s">
        <v>89</v>
      </c>
      <c r="H634" s="40" t="s">
        <v>89</v>
      </c>
      <c r="I634" s="40" t="s">
        <v>89</v>
      </c>
      <c r="J634" s="40" t="s">
        <v>752</v>
      </c>
      <c r="K634" s="40" t="s">
        <v>89</v>
      </c>
      <c r="L634" s="170" t="s">
        <v>453</v>
      </c>
      <c r="M634" s="194">
        <f>O634</f>
        <v>2</v>
      </c>
      <c r="O634" s="167">
        <f>S634</f>
        <v>2</v>
      </c>
      <c r="P634" s="167"/>
      <c r="S634" s="297">
        <v>2</v>
      </c>
      <c r="T634" s="18"/>
      <c r="AB634"/>
    </row>
    <row r="635" spans="1:31" ht="12" customHeight="1" outlineLevel="3" x14ac:dyDescent="0.25">
      <c r="A635" s="312"/>
      <c r="B635" s="313"/>
      <c r="C635" s="314"/>
      <c r="G635" s="40" t="s">
        <v>89</v>
      </c>
      <c r="H635" s="40" t="s">
        <v>89</v>
      </c>
      <c r="I635" s="40" t="s">
        <v>89</v>
      </c>
      <c r="J635" s="40" t="s">
        <v>752</v>
      </c>
      <c r="K635" s="40" t="s">
        <v>89</v>
      </c>
      <c r="L635" s="170" t="s">
        <v>515</v>
      </c>
      <c r="M635" s="194">
        <f>O635</f>
        <v>1</v>
      </c>
      <c r="O635" s="167">
        <f>S635</f>
        <v>1</v>
      </c>
      <c r="P635" s="167"/>
      <c r="S635" s="297">
        <v>1</v>
      </c>
      <c r="T635" s="18"/>
      <c r="AB635"/>
    </row>
    <row r="636" spans="1:31" ht="12" customHeight="1" outlineLevel="3" x14ac:dyDescent="0.25">
      <c r="A636" s="312"/>
      <c r="B636" s="313"/>
      <c r="C636" s="314"/>
      <c r="G636" s="40" t="s">
        <v>89</v>
      </c>
      <c r="H636" s="40" t="s">
        <v>89</v>
      </c>
      <c r="I636" s="40" t="s">
        <v>89</v>
      </c>
      <c r="J636" s="40" t="s">
        <v>752</v>
      </c>
      <c r="K636" s="40" t="s">
        <v>89</v>
      </c>
      <c r="L636" s="104" t="s">
        <v>452</v>
      </c>
      <c r="M636" s="174">
        <f>O636</f>
        <v>81.492796428571424</v>
      </c>
      <c r="N636" s="15" t="s">
        <v>817</v>
      </c>
      <c r="O636" s="52">
        <f t="shared" ref="O636" si="84">CHOOSE(swtchPSA, S636, AB636)</f>
        <v>81.492796428571424</v>
      </c>
      <c r="P636" s="52"/>
      <c r="S636" s="51">
        <f>SUM(cGP*M634, D.cMeds.Furosemide*M635)</f>
        <v>81.492796428571424</v>
      </c>
      <c r="U636" s="266">
        <f t="shared" ref="U636" si="85">ABS(S636)*Cost.SEs.CoV</f>
        <v>16.298559285714287</v>
      </c>
      <c r="V636" s="109">
        <f t="shared" ref="V636" si="86">_xlfn.GAMMA.INV(0.025, AD636, AE636)</f>
        <v>52.737841052311147</v>
      </c>
      <c r="X636" s="109">
        <f t="shared" ref="X636" si="87">_xlfn.GAMMA.INV(0.975, AD636, AE636)</f>
        <v>116.40462854608595</v>
      </c>
      <c r="AA636" s="19">
        <f ca="1">RAND()</f>
        <v>0.27637014287828676</v>
      </c>
      <c r="AB636" s="47">
        <f ca="1">_xlfn.GAMMA.INV(AA636,AD636,AE636)</f>
        <v>71.187130767061134</v>
      </c>
      <c r="AC636" s="15" t="s">
        <v>38</v>
      </c>
      <c r="AD636" s="54">
        <f t="shared" ref="AD636" si="88">S636^2/U636^2</f>
        <v>24.999999999999996</v>
      </c>
      <c r="AE636" s="55">
        <f t="shared" ref="AE636" si="89">U636^2/S636</f>
        <v>3.2597118571428574</v>
      </c>
    </row>
    <row r="637" spans="1:31" ht="12" customHeight="1" outlineLevel="3" x14ac:dyDescent="0.25">
      <c r="A637" s="312"/>
      <c r="B637" s="313"/>
      <c r="C637" s="314"/>
      <c r="G637" s="40" t="s">
        <v>89</v>
      </c>
      <c r="H637" s="40" t="s">
        <v>89</v>
      </c>
      <c r="I637" s="40" t="s">
        <v>89</v>
      </c>
      <c r="J637" s="40" t="s">
        <v>89</v>
      </c>
      <c r="K637" s="40" t="s">
        <v>89</v>
      </c>
      <c r="L637" s="38" t="s">
        <v>451</v>
      </c>
      <c r="M637"/>
      <c r="O637"/>
      <c r="AB637"/>
    </row>
    <row r="638" spans="1:31" ht="12" customHeight="1" outlineLevel="3" x14ac:dyDescent="0.25">
      <c r="A638" s="312"/>
      <c r="B638" s="313"/>
      <c r="C638" s="314"/>
      <c r="G638" s="40" t="s">
        <v>89</v>
      </c>
      <c r="H638" s="40" t="s">
        <v>89</v>
      </c>
      <c r="I638" s="40" t="s">
        <v>89</v>
      </c>
      <c r="J638" s="40" t="s">
        <v>89</v>
      </c>
      <c r="K638" s="40" t="s">
        <v>89</v>
      </c>
      <c r="L638" s="104" t="s">
        <v>209</v>
      </c>
      <c r="M638"/>
      <c r="O638"/>
      <c r="AB638"/>
    </row>
    <row r="639" spans="1:31" ht="12" customHeight="1" outlineLevel="3" x14ac:dyDescent="0.25">
      <c r="A639" s="312"/>
      <c r="B639" s="313"/>
      <c r="C639" s="314"/>
      <c r="G639" s="40" t="s">
        <v>89</v>
      </c>
      <c r="H639" s="40" t="s">
        <v>89</v>
      </c>
      <c r="I639" s="40" t="s">
        <v>89</v>
      </c>
      <c r="J639" s="40" t="s">
        <v>89</v>
      </c>
      <c r="K639" s="40" t="s">
        <v>89</v>
      </c>
      <c r="L639" s="170" t="s">
        <v>491</v>
      </c>
      <c r="M639"/>
      <c r="O639"/>
      <c r="AB639"/>
    </row>
    <row r="640" spans="1:31" ht="12" customHeight="1" outlineLevel="3" x14ac:dyDescent="0.25">
      <c r="A640" s="312"/>
      <c r="B640" s="313"/>
      <c r="C640" s="314"/>
      <c r="G640" s="40" t="s">
        <v>89</v>
      </c>
      <c r="H640" s="40" t="s">
        <v>89</v>
      </c>
      <c r="I640" s="40" t="s">
        <v>89</v>
      </c>
      <c r="J640" s="40" t="s">
        <v>89</v>
      </c>
      <c r="K640" s="40" t="s">
        <v>89</v>
      </c>
      <c r="L640" s="205" t="s">
        <v>450</v>
      </c>
      <c r="M640"/>
      <c r="O640"/>
      <c r="AB640"/>
    </row>
    <row r="641" spans="1:28" ht="12" customHeight="1" outlineLevel="3" x14ac:dyDescent="0.25">
      <c r="A641" s="312"/>
      <c r="B641" s="313"/>
      <c r="C641" s="314"/>
      <c r="G641" s="40" t="s">
        <v>89</v>
      </c>
      <c r="H641" s="40" t="s">
        <v>89</v>
      </c>
      <c r="I641" s="40" t="s">
        <v>89</v>
      </c>
      <c r="J641" s="40" t="s">
        <v>752</v>
      </c>
      <c r="K641" s="40" t="s">
        <v>89</v>
      </c>
      <c r="L641" s="316" t="s">
        <v>514</v>
      </c>
      <c r="M641" s="184">
        <f>O641</f>
        <v>4076.03764978761</v>
      </c>
      <c r="O641" s="52">
        <f>S641</f>
        <v>4076.03764978761</v>
      </c>
      <c r="P641" s="52"/>
      <c r="Q641" s="162">
        <v>29213</v>
      </c>
      <c r="S641" s="180">
        <v>4076.03764978761</v>
      </c>
      <c r="T641" s="18"/>
      <c r="Y641" s="258" t="s">
        <v>697</v>
      </c>
      <c r="AB641"/>
    </row>
    <row r="642" spans="1:28" ht="12" customHeight="1" outlineLevel="3" x14ac:dyDescent="0.25">
      <c r="A642" s="312"/>
      <c r="B642" s="313"/>
      <c r="C642" s="314"/>
      <c r="G642" s="40" t="s">
        <v>89</v>
      </c>
      <c r="H642" s="40" t="s">
        <v>89</v>
      </c>
      <c r="I642" s="40" t="s">
        <v>89</v>
      </c>
      <c r="J642" s="40" t="s">
        <v>752</v>
      </c>
      <c r="K642" s="40" t="s">
        <v>89</v>
      </c>
      <c r="L642" s="316" t="s">
        <v>513</v>
      </c>
      <c r="M642" s="184">
        <f>O642</f>
        <v>3191.0663498469398</v>
      </c>
      <c r="O642" s="52">
        <f>S642</f>
        <v>3191.0663498469398</v>
      </c>
      <c r="P642" s="52"/>
      <c r="Q642" s="162">
        <v>30284</v>
      </c>
      <c r="S642" s="180">
        <v>3191.0663498469398</v>
      </c>
      <c r="T642" s="18"/>
      <c r="Y642" s="258" t="s">
        <v>697</v>
      </c>
      <c r="AB642"/>
    </row>
    <row r="643" spans="1:28" ht="12" customHeight="1" outlineLevel="3" x14ac:dyDescent="0.25">
      <c r="A643" s="312"/>
      <c r="B643" s="313"/>
      <c r="C643" s="314"/>
      <c r="G643" s="40" t="s">
        <v>89</v>
      </c>
      <c r="H643" s="40" t="s">
        <v>89</v>
      </c>
      <c r="I643" s="40" t="s">
        <v>89</v>
      </c>
      <c r="J643" s="40" t="s">
        <v>752</v>
      </c>
      <c r="K643" s="40" t="s">
        <v>89</v>
      </c>
      <c r="L643" s="316" t="s">
        <v>512</v>
      </c>
      <c r="M643" s="184">
        <f>O643</f>
        <v>2633.6407909302802</v>
      </c>
      <c r="O643" s="52">
        <f>S643</f>
        <v>2633.6407909302802</v>
      </c>
      <c r="P643" s="52"/>
      <c r="Q643" s="162">
        <v>23160</v>
      </c>
      <c r="S643" s="180">
        <v>2633.6407909302802</v>
      </c>
      <c r="T643" s="18"/>
      <c r="Y643" s="258" t="s">
        <v>697</v>
      </c>
      <c r="AB643"/>
    </row>
    <row r="644" spans="1:28" ht="12" customHeight="1" outlineLevel="3" x14ac:dyDescent="0.25">
      <c r="A644" s="312"/>
      <c r="B644" s="313"/>
      <c r="C644" s="314"/>
      <c r="G644" s="40" t="s">
        <v>89</v>
      </c>
      <c r="H644" s="40" t="s">
        <v>89</v>
      </c>
      <c r="I644" s="40" t="s">
        <v>89</v>
      </c>
      <c r="J644" s="40" t="s">
        <v>752</v>
      </c>
      <c r="K644" s="40" t="s">
        <v>89</v>
      </c>
      <c r="L644" s="316" t="s">
        <v>511</v>
      </c>
      <c r="M644" s="184">
        <f>O644</f>
        <v>2237.9540524886802</v>
      </c>
      <c r="O644" s="52">
        <f>S644</f>
        <v>2237.9540524886802</v>
      </c>
      <c r="P644" s="52"/>
      <c r="Q644" s="162">
        <v>15809</v>
      </c>
      <c r="S644" s="180">
        <v>2237.9540524886802</v>
      </c>
      <c r="T644" s="18"/>
      <c r="Y644" s="258" t="s">
        <v>697</v>
      </c>
      <c r="AB644"/>
    </row>
    <row r="645" spans="1:28" ht="12" customHeight="1" outlineLevel="3" x14ac:dyDescent="0.25">
      <c r="A645" s="312"/>
      <c r="B645" s="313"/>
      <c r="C645" s="314"/>
      <c r="G645" s="40" t="s">
        <v>89</v>
      </c>
      <c r="H645" s="40" t="s">
        <v>89</v>
      </c>
      <c r="I645" s="40" t="s">
        <v>89</v>
      </c>
      <c r="J645" s="40" t="s">
        <v>752</v>
      </c>
      <c r="K645" s="40" t="s">
        <v>89</v>
      </c>
      <c r="L645" s="316" t="s">
        <v>510</v>
      </c>
      <c r="M645" s="184">
        <f>O645</f>
        <v>2062.19669874791</v>
      </c>
      <c r="O645" s="52">
        <f>S645</f>
        <v>2062.19669874791</v>
      </c>
      <c r="P645" s="52"/>
      <c r="Q645" s="162">
        <v>1862</v>
      </c>
      <c r="S645" s="180">
        <v>2062.19669874791</v>
      </c>
      <c r="T645" s="18"/>
      <c r="Y645" s="258" t="s">
        <v>697</v>
      </c>
      <c r="AB645"/>
    </row>
    <row r="646" spans="1:28" ht="12" customHeight="1" outlineLevel="3" x14ac:dyDescent="0.25">
      <c r="A646" s="312"/>
      <c r="B646" s="313"/>
      <c r="C646" s="314"/>
      <c r="G646" s="40" t="s">
        <v>89</v>
      </c>
      <c r="H646" s="40" t="s">
        <v>89</v>
      </c>
      <c r="I646" s="40" t="s">
        <v>89</v>
      </c>
      <c r="J646" s="40" t="s">
        <v>89</v>
      </c>
      <c r="K646" s="40" t="s">
        <v>89</v>
      </c>
      <c r="L646" s="205" t="s">
        <v>449</v>
      </c>
      <c r="M646"/>
      <c r="O646"/>
      <c r="AB646"/>
    </row>
    <row r="647" spans="1:28" ht="12" customHeight="1" outlineLevel="3" x14ac:dyDescent="0.25">
      <c r="A647" s="312"/>
      <c r="B647" s="313"/>
      <c r="C647" s="314"/>
      <c r="G647" s="40" t="s">
        <v>89</v>
      </c>
      <c r="H647" s="40" t="s">
        <v>89</v>
      </c>
      <c r="I647" s="40" t="s">
        <v>89</v>
      </c>
      <c r="J647" s="40" t="s">
        <v>752</v>
      </c>
      <c r="K647" s="40" t="s">
        <v>89</v>
      </c>
      <c r="L647" s="316" t="s">
        <v>514</v>
      </c>
      <c r="M647" s="184">
        <f>O647</f>
        <v>784.49029446648797</v>
      </c>
      <c r="O647" s="52">
        <f>S647</f>
        <v>784.49029446648797</v>
      </c>
      <c r="P647" s="52"/>
      <c r="Q647" s="162">
        <v>11133</v>
      </c>
      <c r="S647" s="180">
        <v>784.49029446648797</v>
      </c>
      <c r="T647" s="18"/>
      <c r="Y647" s="258" t="s">
        <v>697</v>
      </c>
      <c r="AB647"/>
    </row>
    <row r="648" spans="1:28" ht="12" customHeight="1" outlineLevel="3" x14ac:dyDescent="0.25">
      <c r="A648" s="312"/>
      <c r="B648" s="313"/>
      <c r="C648" s="314"/>
      <c r="G648" s="40" t="s">
        <v>89</v>
      </c>
      <c r="H648" s="40" t="s">
        <v>89</v>
      </c>
      <c r="I648" s="40" t="s">
        <v>89</v>
      </c>
      <c r="J648" s="40" t="s">
        <v>752</v>
      </c>
      <c r="K648" s="40" t="s">
        <v>89</v>
      </c>
      <c r="L648" s="316" t="s">
        <v>513</v>
      </c>
      <c r="M648" s="184">
        <f>O648</f>
        <v>621.37449668164697</v>
      </c>
      <c r="O648" s="52">
        <f>S648</f>
        <v>621.37449668164697</v>
      </c>
      <c r="P648" s="52"/>
      <c r="Q648" s="162">
        <v>17076</v>
      </c>
      <c r="S648" s="180">
        <v>621.37449668164697</v>
      </c>
      <c r="T648" s="18"/>
      <c r="Y648" s="258" t="s">
        <v>697</v>
      </c>
      <c r="AB648"/>
    </row>
    <row r="649" spans="1:28" ht="12" customHeight="1" outlineLevel="3" x14ac:dyDescent="0.25">
      <c r="A649" s="312"/>
      <c r="B649" s="313"/>
      <c r="C649" s="314"/>
      <c r="G649" s="40" t="s">
        <v>89</v>
      </c>
      <c r="H649" s="40" t="s">
        <v>89</v>
      </c>
      <c r="I649" s="40" t="s">
        <v>89</v>
      </c>
      <c r="J649" s="40" t="s">
        <v>752</v>
      </c>
      <c r="K649" s="40" t="s">
        <v>89</v>
      </c>
      <c r="L649" s="316" t="s">
        <v>512</v>
      </c>
      <c r="M649" s="184">
        <f>O649</f>
        <v>570.47842692924405</v>
      </c>
      <c r="O649" s="52">
        <f>S649</f>
        <v>570.47842692924405</v>
      </c>
      <c r="P649" s="52"/>
      <c r="Q649" s="162">
        <v>19273</v>
      </c>
      <c r="S649" s="180">
        <v>570.47842692924405</v>
      </c>
      <c r="T649" s="18"/>
      <c r="Y649" s="258" t="s">
        <v>697</v>
      </c>
      <c r="AB649"/>
    </row>
    <row r="650" spans="1:28" ht="12" customHeight="1" outlineLevel="3" x14ac:dyDescent="0.25">
      <c r="A650" s="312"/>
      <c r="B650" s="313"/>
      <c r="C650" s="314"/>
      <c r="G650" s="40" t="s">
        <v>89</v>
      </c>
      <c r="H650" s="40" t="s">
        <v>89</v>
      </c>
      <c r="I650" s="40" t="s">
        <v>89</v>
      </c>
      <c r="J650" s="40" t="s">
        <v>752</v>
      </c>
      <c r="K650" s="40" t="s">
        <v>89</v>
      </c>
      <c r="L650" s="316" t="s">
        <v>511</v>
      </c>
      <c r="M650" s="184">
        <f>O650</f>
        <v>514.46810485473702</v>
      </c>
      <c r="O650" s="52">
        <f>S650</f>
        <v>514.46810485473702</v>
      </c>
      <c r="P650" s="52"/>
      <c r="Q650" s="162">
        <v>19621</v>
      </c>
      <c r="S650" s="180">
        <v>514.46810485473702</v>
      </c>
      <c r="T650" s="18"/>
      <c r="Y650" s="258" t="s">
        <v>697</v>
      </c>
      <c r="AB650"/>
    </row>
    <row r="651" spans="1:28" ht="12" customHeight="1" outlineLevel="3" x14ac:dyDescent="0.25">
      <c r="A651" s="312"/>
      <c r="B651" s="313"/>
      <c r="C651" s="314"/>
      <c r="G651" s="40" t="s">
        <v>89</v>
      </c>
      <c r="H651" s="40" t="s">
        <v>89</v>
      </c>
      <c r="I651" s="40" t="s">
        <v>89</v>
      </c>
      <c r="J651" s="40" t="s">
        <v>752</v>
      </c>
      <c r="K651" s="40" t="s">
        <v>89</v>
      </c>
      <c r="L651" s="316" t="s">
        <v>510</v>
      </c>
      <c r="M651" s="184">
        <f>O651</f>
        <v>457.56280975139202</v>
      </c>
      <c r="O651" s="52">
        <f>S651</f>
        <v>457.56280975139202</v>
      </c>
      <c r="P651" s="52"/>
      <c r="Q651" s="162">
        <v>4224</v>
      </c>
      <c r="S651" s="180">
        <v>457.56280975139202</v>
      </c>
      <c r="T651" s="18"/>
      <c r="Y651" s="258" t="s">
        <v>697</v>
      </c>
      <c r="AB651"/>
    </row>
    <row r="652" spans="1:28" ht="12" customHeight="1" outlineLevel="3" x14ac:dyDescent="0.25">
      <c r="A652" s="312"/>
      <c r="B652" s="313"/>
      <c r="C652" s="314"/>
      <c r="G652" s="40" t="s">
        <v>89</v>
      </c>
      <c r="H652" s="40" t="s">
        <v>89</v>
      </c>
      <c r="I652" s="40" t="s">
        <v>89</v>
      </c>
      <c r="J652" s="40" t="s">
        <v>752</v>
      </c>
      <c r="K652" s="40" t="s">
        <v>89</v>
      </c>
      <c r="L652" s="205" t="s">
        <v>448</v>
      </c>
      <c r="M652" s="51">
        <f t="shared" ref="M652:M653" si="90">O652</f>
        <v>3191.0663498469398</v>
      </c>
      <c r="O652" s="52">
        <f>CHOOSE(D.swtchSCE.RefCosts, M642, (SUMPRODUCT(M641:M645,Q641:Q645)+SUMPRODUCT(M647:M651,Q647:Q651)) / SUM(Q641:Q645,Q647:Q651))</f>
        <v>3191.0663498469398</v>
      </c>
      <c r="P652" s="52"/>
      <c r="T652" s="18"/>
      <c r="AB652"/>
    </row>
    <row r="653" spans="1:28" ht="12" customHeight="1" outlineLevel="3" x14ac:dyDescent="0.25">
      <c r="A653" s="312"/>
      <c r="B653" s="313"/>
      <c r="C653" s="314"/>
      <c r="G653" s="40" t="s">
        <v>89</v>
      </c>
      <c r="H653" s="40" t="s">
        <v>89</v>
      </c>
      <c r="I653" s="40" t="s">
        <v>89</v>
      </c>
      <c r="J653" s="40" t="s">
        <v>752</v>
      </c>
      <c r="K653" s="40" t="s">
        <v>89</v>
      </c>
      <c r="L653" s="316" t="s">
        <v>696</v>
      </c>
      <c r="M653" s="51">
        <f t="shared" si="90"/>
        <v>3289.3511934222256</v>
      </c>
      <c r="O653" s="52" cm="1">
        <f t="array" ref="O653">_fnINFLATE(M652, 2019, 2020)</f>
        <v>3289.3511934222256</v>
      </c>
      <c r="P653" s="52"/>
      <c r="T653" s="18"/>
      <c r="AB653"/>
    </row>
    <row r="654" spans="1:28" ht="12" customHeight="1" outlineLevel="3" x14ac:dyDescent="0.25">
      <c r="A654" s="312"/>
      <c r="B654" s="313"/>
      <c r="C654" s="314"/>
      <c r="G654" s="40" t="s">
        <v>89</v>
      </c>
      <c r="H654" s="40" t="s">
        <v>89</v>
      </c>
      <c r="I654" s="40" t="s">
        <v>89</v>
      </c>
      <c r="J654" s="40" t="s">
        <v>89</v>
      </c>
      <c r="K654" s="40" t="s">
        <v>89</v>
      </c>
      <c r="L654" s="170" t="s">
        <v>509</v>
      </c>
      <c r="M654"/>
      <c r="O654"/>
      <c r="AB654"/>
    </row>
    <row r="655" spans="1:28" ht="12" customHeight="1" outlineLevel="3" x14ac:dyDescent="0.25">
      <c r="A655" s="312"/>
      <c r="B655" s="313"/>
      <c r="C655" s="314"/>
      <c r="G655" s="40" t="s">
        <v>89</v>
      </c>
      <c r="H655" s="40" t="s">
        <v>89</v>
      </c>
      <c r="I655" s="40" t="s">
        <v>89</v>
      </c>
      <c r="J655" s="40" t="s">
        <v>89</v>
      </c>
      <c r="K655" s="40" t="s">
        <v>89</v>
      </c>
      <c r="L655" s="205" t="s">
        <v>508</v>
      </c>
      <c r="M655"/>
      <c r="O655"/>
      <c r="AB655"/>
    </row>
    <row r="656" spans="1:28" ht="12" customHeight="1" outlineLevel="3" x14ac:dyDescent="0.25">
      <c r="A656" s="312"/>
      <c r="B656" s="313"/>
      <c r="C656" s="314"/>
      <c r="G656" s="40" t="s">
        <v>89</v>
      </c>
      <c r="H656" s="40" t="s">
        <v>89</v>
      </c>
      <c r="I656" s="40" t="s">
        <v>89</v>
      </c>
      <c r="J656" s="40" t="s">
        <v>752</v>
      </c>
      <c r="K656" s="40" t="s">
        <v>89</v>
      </c>
      <c r="L656" s="316" t="s">
        <v>506</v>
      </c>
      <c r="M656" s="184">
        <f t="shared" ref="M656:M663" si="91">O656</f>
        <v>138.29722442206901</v>
      </c>
      <c r="O656" s="52">
        <f t="shared" ref="O656:O663" si="92">S656</f>
        <v>138.29722442206901</v>
      </c>
      <c r="P656" s="52"/>
      <c r="Q656" s="162">
        <v>1034675</v>
      </c>
      <c r="S656" s="180">
        <v>138.29722442206901</v>
      </c>
      <c r="T656" s="18"/>
      <c r="Y656" s="258" t="s">
        <v>697</v>
      </c>
      <c r="AB656"/>
    </row>
    <row r="657" spans="1:28" ht="12" customHeight="1" outlineLevel="3" x14ac:dyDescent="0.25">
      <c r="A657" s="312"/>
      <c r="B657" s="313"/>
      <c r="C657" s="314"/>
      <c r="G657" s="40" t="s">
        <v>89</v>
      </c>
      <c r="H657" s="40" t="s">
        <v>89</v>
      </c>
      <c r="I657" s="40" t="s">
        <v>89</v>
      </c>
      <c r="J657" s="40" t="s">
        <v>752</v>
      </c>
      <c r="K657" s="40" t="s">
        <v>89</v>
      </c>
      <c r="L657" s="316" t="s">
        <v>505</v>
      </c>
      <c r="M657" s="184">
        <f t="shared" si="91"/>
        <v>174.312235377365</v>
      </c>
      <c r="O657" s="52">
        <f t="shared" si="92"/>
        <v>174.312235377365</v>
      </c>
      <c r="P657" s="52"/>
      <c r="Q657" s="162">
        <v>856272</v>
      </c>
      <c r="S657" s="180">
        <v>174.312235377365</v>
      </c>
      <c r="T657" s="18"/>
      <c r="Y657" s="258" t="s">
        <v>697</v>
      </c>
      <c r="AB657"/>
    </row>
    <row r="658" spans="1:28" ht="12" customHeight="1" outlineLevel="3" x14ac:dyDescent="0.25">
      <c r="A658" s="312"/>
      <c r="B658" s="313"/>
      <c r="C658" s="314"/>
      <c r="G658" s="40" t="s">
        <v>89</v>
      </c>
      <c r="H658" s="40" t="s">
        <v>89</v>
      </c>
      <c r="I658" s="40" t="s">
        <v>89</v>
      </c>
      <c r="J658" s="40" t="s">
        <v>752</v>
      </c>
      <c r="K658" s="40" t="s">
        <v>89</v>
      </c>
      <c r="L658" s="316" t="s">
        <v>504</v>
      </c>
      <c r="M658" s="184">
        <f t="shared" si="91"/>
        <v>100.162507734157</v>
      </c>
      <c r="O658" s="52">
        <f t="shared" si="92"/>
        <v>100.162507734157</v>
      </c>
      <c r="P658" s="52"/>
      <c r="Q658" s="162">
        <v>83446</v>
      </c>
      <c r="S658" s="180">
        <v>100.162507734157</v>
      </c>
      <c r="T658" s="18"/>
      <c r="Y658" s="258" t="s">
        <v>697</v>
      </c>
      <c r="AB658"/>
    </row>
    <row r="659" spans="1:28" ht="12" customHeight="1" outlineLevel="3" x14ac:dyDescent="0.25">
      <c r="A659" s="312"/>
      <c r="B659" s="313"/>
      <c r="C659" s="314"/>
      <c r="G659" s="40" t="s">
        <v>89</v>
      </c>
      <c r="H659" s="40" t="s">
        <v>89</v>
      </c>
      <c r="I659" s="40" t="s">
        <v>89</v>
      </c>
      <c r="J659" s="40" t="s">
        <v>752</v>
      </c>
      <c r="K659" s="40" t="s">
        <v>89</v>
      </c>
      <c r="L659" s="316" t="s">
        <v>503</v>
      </c>
      <c r="M659" s="184">
        <f t="shared" si="91"/>
        <v>89.270736097832398</v>
      </c>
      <c r="O659" s="52">
        <f t="shared" si="92"/>
        <v>89.270736097832398</v>
      </c>
      <c r="P659" s="52"/>
      <c r="Q659" s="162">
        <v>19999</v>
      </c>
      <c r="S659" s="180">
        <v>89.270736097832398</v>
      </c>
      <c r="T659" s="18"/>
      <c r="Y659" s="258" t="s">
        <v>697</v>
      </c>
      <c r="AB659"/>
    </row>
    <row r="660" spans="1:28" ht="12" customHeight="1" outlineLevel="3" x14ac:dyDescent="0.25">
      <c r="A660" s="312"/>
      <c r="B660" s="313"/>
      <c r="C660" s="314"/>
      <c r="G660" s="40" t="s">
        <v>89</v>
      </c>
      <c r="H660" s="40" t="s">
        <v>89</v>
      </c>
      <c r="I660" s="40" t="s">
        <v>89</v>
      </c>
      <c r="J660" s="40" t="s">
        <v>752</v>
      </c>
      <c r="K660" s="40" t="s">
        <v>89</v>
      </c>
      <c r="L660" s="316" t="s">
        <v>502</v>
      </c>
      <c r="M660" s="184">
        <f t="shared" si="91"/>
        <v>196.38945490613699</v>
      </c>
      <c r="O660" s="52">
        <f t="shared" si="92"/>
        <v>196.38945490613699</v>
      </c>
      <c r="P660" s="52"/>
      <c r="Q660" s="162">
        <v>34019</v>
      </c>
      <c r="S660" s="180">
        <v>196.38945490613699</v>
      </c>
      <c r="T660" s="18"/>
      <c r="Y660" s="258" t="s">
        <v>697</v>
      </c>
      <c r="AB660"/>
    </row>
    <row r="661" spans="1:28" ht="12" customHeight="1" outlineLevel="3" x14ac:dyDescent="0.25">
      <c r="A661" s="312"/>
      <c r="B661" s="313"/>
      <c r="C661" s="314"/>
      <c r="G661" s="40" t="s">
        <v>89</v>
      </c>
      <c r="H661" s="40" t="s">
        <v>89</v>
      </c>
      <c r="I661" s="40" t="s">
        <v>89</v>
      </c>
      <c r="J661" s="40" t="s">
        <v>752</v>
      </c>
      <c r="K661" s="40" t="s">
        <v>89</v>
      </c>
      <c r="L661" s="316" t="s">
        <v>501</v>
      </c>
      <c r="M661" s="184">
        <f t="shared" si="91"/>
        <v>211.49670174931001</v>
      </c>
      <c r="O661" s="52">
        <f t="shared" si="92"/>
        <v>211.49670174931001</v>
      </c>
      <c r="P661" s="52"/>
      <c r="Q661" s="162">
        <v>21099</v>
      </c>
      <c r="S661" s="180">
        <v>211.49670174931001</v>
      </c>
      <c r="T661" s="18"/>
      <c r="Y661" s="258" t="s">
        <v>697</v>
      </c>
      <c r="AB661"/>
    </row>
    <row r="662" spans="1:28" ht="12" customHeight="1" outlineLevel="3" x14ac:dyDescent="0.25">
      <c r="A662" s="312"/>
      <c r="B662" s="313"/>
      <c r="C662" s="314"/>
      <c r="G662" s="40" t="s">
        <v>89</v>
      </c>
      <c r="H662" s="40" t="s">
        <v>89</v>
      </c>
      <c r="I662" s="40" t="s">
        <v>89</v>
      </c>
      <c r="J662" s="40" t="s">
        <v>752</v>
      </c>
      <c r="K662" s="40" t="s">
        <v>89</v>
      </c>
      <c r="L662" s="316" t="s">
        <v>500</v>
      </c>
      <c r="M662" s="184">
        <f t="shared" si="91"/>
        <v>100.608514912838</v>
      </c>
      <c r="O662" s="52">
        <f t="shared" si="92"/>
        <v>100.608514912838</v>
      </c>
      <c r="P662" s="52"/>
      <c r="Q662" s="162">
        <v>148</v>
      </c>
      <c r="S662" s="180">
        <v>100.608514912838</v>
      </c>
      <c r="T662" s="18"/>
      <c r="Y662" s="258" t="s">
        <v>697</v>
      </c>
      <c r="AB662"/>
    </row>
    <row r="663" spans="1:28" ht="12" customHeight="1" outlineLevel="3" x14ac:dyDescent="0.25">
      <c r="A663" s="312"/>
      <c r="B663" s="313"/>
      <c r="C663" s="314"/>
      <c r="G663" s="40" t="s">
        <v>89</v>
      </c>
      <c r="H663" s="40" t="s">
        <v>89</v>
      </c>
      <c r="I663" s="40" t="s">
        <v>89</v>
      </c>
      <c r="J663" s="40" t="s">
        <v>752</v>
      </c>
      <c r="K663" s="40" t="s">
        <v>89</v>
      </c>
      <c r="L663" s="316" t="s">
        <v>499</v>
      </c>
      <c r="M663" s="184">
        <f t="shared" si="91"/>
        <v>93.4323288318012</v>
      </c>
      <c r="O663" s="52">
        <f t="shared" si="92"/>
        <v>93.4323288318012</v>
      </c>
      <c r="P663" s="52"/>
      <c r="Q663" s="162">
        <v>161</v>
      </c>
      <c r="S663" s="180">
        <v>93.4323288318012</v>
      </c>
      <c r="T663" s="18"/>
      <c r="Y663" s="258" t="s">
        <v>697</v>
      </c>
      <c r="AB663"/>
    </row>
    <row r="664" spans="1:28" ht="12" customHeight="1" outlineLevel="3" x14ac:dyDescent="0.25">
      <c r="A664" s="312"/>
      <c r="B664" s="313"/>
      <c r="C664" s="314"/>
      <c r="G664" s="40" t="s">
        <v>89</v>
      </c>
      <c r="H664" s="40" t="s">
        <v>89</v>
      </c>
      <c r="I664" s="40" t="s">
        <v>89</v>
      </c>
      <c r="J664" s="40" t="s">
        <v>89</v>
      </c>
      <c r="K664" s="40" t="s">
        <v>89</v>
      </c>
      <c r="L664" s="205" t="s">
        <v>507</v>
      </c>
      <c r="M664"/>
      <c r="O664"/>
      <c r="AB664"/>
    </row>
    <row r="665" spans="1:28" ht="12" customHeight="1" outlineLevel="3" x14ac:dyDescent="0.25">
      <c r="A665" s="312"/>
      <c r="B665" s="313"/>
      <c r="C665" s="314"/>
      <c r="G665" s="40" t="s">
        <v>89</v>
      </c>
      <c r="H665" s="40" t="s">
        <v>89</v>
      </c>
      <c r="I665" s="40" t="s">
        <v>89</v>
      </c>
      <c r="J665" s="40" t="s">
        <v>752</v>
      </c>
      <c r="K665" s="40" t="s">
        <v>89</v>
      </c>
      <c r="L665" s="316" t="s">
        <v>506</v>
      </c>
      <c r="M665" s="184">
        <f t="shared" ref="M665:M673" si="93">O665</f>
        <v>125.10237128732101</v>
      </c>
      <c r="O665" s="52">
        <f t="shared" ref="O665:O672" si="94">S665</f>
        <v>125.10237128732101</v>
      </c>
      <c r="P665" s="52"/>
      <c r="Q665" s="162">
        <v>355183</v>
      </c>
      <c r="S665" s="180">
        <v>125.10237128732101</v>
      </c>
      <c r="T665" s="18"/>
      <c r="Y665" s="258" t="s">
        <v>697</v>
      </c>
      <c r="AB665"/>
    </row>
    <row r="666" spans="1:28" ht="12" customHeight="1" outlineLevel="3" x14ac:dyDescent="0.25">
      <c r="A666" s="312"/>
      <c r="B666" s="313"/>
      <c r="C666" s="314"/>
      <c r="G666" s="40" t="s">
        <v>89</v>
      </c>
      <c r="H666" s="40" t="s">
        <v>89</v>
      </c>
      <c r="I666" s="40" t="s">
        <v>89</v>
      </c>
      <c r="J666" s="40" t="s">
        <v>752</v>
      </c>
      <c r="K666" s="40" t="s">
        <v>89</v>
      </c>
      <c r="L666" s="316" t="s">
        <v>505</v>
      </c>
      <c r="M666" s="184">
        <f t="shared" si="93"/>
        <v>125.63033562846999</v>
      </c>
      <c r="O666" s="52">
        <f t="shared" si="94"/>
        <v>125.63033562846999</v>
      </c>
      <c r="P666" s="52"/>
      <c r="Q666" s="162">
        <v>279187</v>
      </c>
      <c r="S666" s="180">
        <v>125.63033562846999</v>
      </c>
      <c r="T666" s="18"/>
      <c r="Y666" s="258" t="s">
        <v>697</v>
      </c>
      <c r="AB666"/>
    </row>
    <row r="667" spans="1:28" ht="12" customHeight="1" outlineLevel="3" x14ac:dyDescent="0.25">
      <c r="A667" s="312"/>
      <c r="B667" s="313"/>
      <c r="C667" s="314"/>
      <c r="G667" s="40" t="s">
        <v>89</v>
      </c>
      <c r="H667" s="40" t="s">
        <v>89</v>
      </c>
      <c r="I667" s="40" t="s">
        <v>89</v>
      </c>
      <c r="J667" s="40" t="s">
        <v>752</v>
      </c>
      <c r="K667" s="40" t="s">
        <v>89</v>
      </c>
      <c r="L667" s="316" t="s">
        <v>504</v>
      </c>
      <c r="M667" s="184">
        <f t="shared" si="93"/>
        <v>77.116205220115503</v>
      </c>
      <c r="O667" s="52">
        <f t="shared" si="94"/>
        <v>77.116205220115503</v>
      </c>
      <c r="P667" s="52"/>
      <c r="Q667" s="162">
        <v>29624</v>
      </c>
      <c r="S667" s="180">
        <v>77.116205220115503</v>
      </c>
      <c r="T667" s="18"/>
      <c r="Y667" s="258" t="s">
        <v>697</v>
      </c>
      <c r="AB667"/>
    </row>
    <row r="668" spans="1:28" ht="12" customHeight="1" outlineLevel="3" x14ac:dyDescent="0.25">
      <c r="A668" s="312"/>
      <c r="B668" s="313"/>
      <c r="C668" s="314"/>
      <c r="G668" s="40" t="s">
        <v>89</v>
      </c>
      <c r="H668" s="40" t="s">
        <v>89</v>
      </c>
      <c r="I668" s="40" t="s">
        <v>89</v>
      </c>
      <c r="J668" s="40" t="s">
        <v>752</v>
      </c>
      <c r="K668" s="40" t="s">
        <v>89</v>
      </c>
      <c r="L668" s="316" t="s">
        <v>503</v>
      </c>
      <c r="M668" s="184">
        <f t="shared" si="93"/>
        <v>74.240890611302603</v>
      </c>
      <c r="O668" s="52">
        <f t="shared" si="94"/>
        <v>74.240890611302603</v>
      </c>
      <c r="P668" s="52"/>
      <c r="Q668" s="162">
        <v>9074</v>
      </c>
      <c r="S668" s="180">
        <v>74.240890611302603</v>
      </c>
      <c r="T668" s="18"/>
      <c r="Y668" s="258" t="s">
        <v>697</v>
      </c>
      <c r="AB668"/>
    </row>
    <row r="669" spans="1:28" ht="12" customHeight="1" outlineLevel="3" x14ac:dyDescent="0.25">
      <c r="A669" s="312"/>
      <c r="B669" s="313"/>
      <c r="C669" s="314"/>
      <c r="G669" s="40" t="s">
        <v>89</v>
      </c>
      <c r="H669" s="40" t="s">
        <v>89</v>
      </c>
      <c r="I669" s="40" t="s">
        <v>89</v>
      </c>
      <c r="J669" s="40" t="s">
        <v>752</v>
      </c>
      <c r="K669" s="40" t="s">
        <v>89</v>
      </c>
      <c r="L669" s="316" t="s">
        <v>502</v>
      </c>
      <c r="M669" s="184">
        <f t="shared" si="93"/>
        <v>94.211664924409604</v>
      </c>
      <c r="O669" s="52">
        <f t="shared" si="94"/>
        <v>94.211664924409604</v>
      </c>
      <c r="P669" s="52"/>
      <c r="Q669" s="162">
        <v>11035</v>
      </c>
      <c r="S669" s="180">
        <v>94.211664924409604</v>
      </c>
      <c r="T669" s="18"/>
      <c r="Y669" s="258" t="s">
        <v>697</v>
      </c>
      <c r="AB669"/>
    </row>
    <row r="670" spans="1:28" ht="12" customHeight="1" outlineLevel="3" x14ac:dyDescent="0.25">
      <c r="A670" s="312"/>
      <c r="B670" s="313"/>
      <c r="C670" s="314"/>
      <c r="G670" s="40" t="s">
        <v>89</v>
      </c>
      <c r="H670" s="40" t="s">
        <v>89</v>
      </c>
      <c r="I670" s="40" t="s">
        <v>89</v>
      </c>
      <c r="J670" s="40" t="s">
        <v>752</v>
      </c>
      <c r="K670" s="40" t="s">
        <v>89</v>
      </c>
      <c r="L670" s="316" t="s">
        <v>501</v>
      </c>
      <c r="M670" s="184">
        <f t="shared" si="93"/>
        <v>122.006121447021</v>
      </c>
      <c r="O670" s="52">
        <f t="shared" si="94"/>
        <v>122.006121447021</v>
      </c>
      <c r="P670" s="52"/>
      <c r="Q670" s="162">
        <v>3266</v>
      </c>
      <c r="S670" s="180">
        <v>122.006121447021</v>
      </c>
      <c r="T670" s="18"/>
      <c r="Y670" s="258" t="s">
        <v>697</v>
      </c>
      <c r="AB670"/>
    </row>
    <row r="671" spans="1:28" ht="12" customHeight="1" outlineLevel="3" x14ac:dyDescent="0.25">
      <c r="A671" s="312"/>
      <c r="B671" s="313"/>
      <c r="C671" s="314"/>
      <c r="G671" s="40" t="s">
        <v>89</v>
      </c>
      <c r="H671" s="40" t="s">
        <v>89</v>
      </c>
      <c r="I671" s="40" t="s">
        <v>89</v>
      </c>
      <c r="J671" s="40" t="s">
        <v>752</v>
      </c>
      <c r="K671" s="40" t="s">
        <v>89</v>
      </c>
      <c r="L671" s="316" t="s">
        <v>500</v>
      </c>
      <c r="M671" s="184">
        <f t="shared" si="93"/>
        <v>50.506294306762598</v>
      </c>
      <c r="O671" s="52">
        <f t="shared" si="94"/>
        <v>50.506294306762598</v>
      </c>
      <c r="P671" s="52"/>
      <c r="Q671" s="162">
        <v>139</v>
      </c>
      <c r="S671" s="180">
        <v>50.506294306762598</v>
      </c>
      <c r="T671" s="18"/>
      <c r="Y671" s="258" t="s">
        <v>697</v>
      </c>
      <c r="AB671"/>
    </row>
    <row r="672" spans="1:28" ht="12" customHeight="1" outlineLevel="3" x14ac:dyDescent="0.25">
      <c r="A672" s="312"/>
      <c r="B672" s="313"/>
      <c r="C672" s="314"/>
      <c r="G672" s="40" t="s">
        <v>89</v>
      </c>
      <c r="H672" s="40" t="s">
        <v>89</v>
      </c>
      <c r="I672" s="40" t="s">
        <v>89</v>
      </c>
      <c r="J672" s="40" t="s">
        <v>752</v>
      </c>
      <c r="K672" s="40" t="s">
        <v>89</v>
      </c>
      <c r="L672" s="316" t="s">
        <v>499</v>
      </c>
      <c r="M672" s="184">
        <f t="shared" si="93"/>
        <v>95.590374422500005</v>
      </c>
      <c r="O672" s="52">
        <f t="shared" si="94"/>
        <v>95.590374422500005</v>
      </c>
      <c r="P672" s="52"/>
      <c r="Q672" s="162">
        <v>4</v>
      </c>
      <c r="S672" s="180">
        <v>95.590374422500005</v>
      </c>
      <c r="T672" s="18"/>
      <c r="Y672" s="258" t="s">
        <v>697</v>
      </c>
      <c r="AB672"/>
    </row>
    <row r="673" spans="1:31" ht="12" customHeight="1" outlineLevel="3" x14ac:dyDescent="0.25">
      <c r="A673" s="312"/>
      <c r="B673" s="313"/>
      <c r="C673" s="314"/>
      <c r="G673" s="40" t="s">
        <v>89</v>
      </c>
      <c r="H673" s="40" t="s">
        <v>89</v>
      </c>
      <c r="I673" s="40" t="s">
        <v>89</v>
      </c>
      <c r="J673" s="40" t="s">
        <v>752</v>
      </c>
      <c r="K673" s="40" t="s">
        <v>89</v>
      </c>
      <c r="L673" s="205" t="s">
        <v>498</v>
      </c>
      <c r="M673" s="51">
        <f t="shared" si="93"/>
        <v>145.24380588747101</v>
      </c>
      <c r="N673" s="49"/>
      <c r="O673" s="52">
        <f>(SUMPRODUCT(M656:M663,Q656:Q663)+SUMPRODUCT(M665:M672,Q665:Q672)) / SUM(Q656:Q663,Q665:Q672)</f>
        <v>145.24380588747101</v>
      </c>
      <c r="P673" s="52"/>
      <c r="T673" s="18"/>
      <c r="AB673"/>
    </row>
    <row r="674" spans="1:31" ht="12" customHeight="1" outlineLevel="3" x14ac:dyDescent="0.25">
      <c r="A674" s="312"/>
      <c r="B674" s="313"/>
      <c r="C674" s="314"/>
      <c r="G674" s="40" t="s">
        <v>89</v>
      </c>
      <c r="H674" s="40" t="s">
        <v>89</v>
      </c>
      <c r="I674" s="40" t="s">
        <v>89</v>
      </c>
      <c r="J674" s="40" t="s">
        <v>752</v>
      </c>
      <c r="K674" s="40" t="s">
        <v>89</v>
      </c>
      <c r="L674" s="316" t="s">
        <v>696</v>
      </c>
      <c r="M674" s="51">
        <f t="shared" ref="M674:M676" si="95">O674</f>
        <v>149.71731510880511</v>
      </c>
      <c r="N674" s="49"/>
      <c r="O674" s="52" cm="1">
        <f t="array" ref="O674">_fnINFLATE(M673, 2019, 2020)</f>
        <v>149.71731510880511</v>
      </c>
      <c r="P674" s="52"/>
      <c r="T674" s="18"/>
      <c r="AB674"/>
    </row>
    <row r="675" spans="1:31" ht="12" customHeight="1" outlineLevel="3" x14ac:dyDescent="0.25">
      <c r="A675" s="312"/>
      <c r="B675" s="313"/>
      <c r="C675" s="314"/>
      <c r="G675" s="40" t="s">
        <v>89</v>
      </c>
      <c r="H675" s="40" t="s">
        <v>89</v>
      </c>
      <c r="I675" s="40" t="s">
        <v>89</v>
      </c>
      <c r="J675" s="40" t="s">
        <v>752</v>
      </c>
      <c r="K675" s="40" t="s">
        <v>89</v>
      </c>
      <c r="L675" s="170" t="s">
        <v>497</v>
      </c>
      <c r="M675" s="184">
        <f t="shared" si="95"/>
        <v>88.892275643365593</v>
      </c>
      <c r="O675" s="52">
        <f>S675</f>
        <v>88.892275643365593</v>
      </c>
      <c r="P675" s="52"/>
      <c r="Q675" s="162">
        <v>753343</v>
      </c>
      <c r="S675" s="180">
        <v>88.892275643365593</v>
      </c>
      <c r="T675" s="18"/>
      <c r="Y675" s="258" t="s">
        <v>697</v>
      </c>
      <c r="AB675"/>
    </row>
    <row r="676" spans="1:31" ht="12" customHeight="1" outlineLevel="3" x14ac:dyDescent="0.25">
      <c r="A676" s="312"/>
      <c r="B676" s="313"/>
      <c r="C676" s="314"/>
      <c r="G676" s="40" t="s">
        <v>89</v>
      </c>
      <c r="H676" s="40" t="s">
        <v>89</v>
      </c>
      <c r="I676" s="40" t="s">
        <v>89</v>
      </c>
      <c r="J676" s="40" t="s">
        <v>752</v>
      </c>
      <c r="K676" s="40" t="s">
        <v>89</v>
      </c>
      <c r="L676" s="205" t="s">
        <v>696</v>
      </c>
      <c r="M676" s="51">
        <f t="shared" si="95"/>
        <v>91.63015773318125</v>
      </c>
      <c r="O676" s="52" cm="1">
        <f t="array" ref="O676">_fnINFLATE(M675, 2019, 2020)</f>
        <v>91.63015773318125</v>
      </c>
      <c r="P676" s="52"/>
      <c r="T676" s="18"/>
      <c r="AB676"/>
    </row>
    <row r="677" spans="1:31" ht="12" customHeight="1" outlineLevel="3" x14ac:dyDescent="0.25">
      <c r="A677" s="312"/>
      <c r="B677" s="313"/>
      <c r="C677" s="314"/>
      <c r="G677" s="40" t="s">
        <v>89</v>
      </c>
      <c r="H677" s="40" t="s">
        <v>89</v>
      </c>
      <c r="I677" s="40" t="s">
        <v>89</v>
      </c>
      <c r="J677" s="40" t="s">
        <v>89</v>
      </c>
      <c r="K677" s="40" t="s">
        <v>89</v>
      </c>
      <c r="L677" s="104" t="s">
        <v>492</v>
      </c>
      <c r="M677"/>
      <c r="O677"/>
      <c r="AB677"/>
    </row>
    <row r="678" spans="1:31" ht="12" customHeight="1" outlineLevel="3" x14ac:dyDescent="0.25">
      <c r="A678" s="312"/>
      <c r="B678" s="313"/>
      <c r="C678" s="314"/>
      <c r="G678" s="40" t="s">
        <v>89</v>
      </c>
      <c r="H678" s="40" t="s">
        <v>89</v>
      </c>
      <c r="I678" s="40" t="s">
        <v>89</v>
      </c>
      <c r="J678" s="40" t="s">
        <v>752</v>
      </c>
      <c r="K678" s="40" t="s">
        <v>89</v>
      </c>
      <c r="L678" s="170" t="s">
        <v>447</v>
      </c>
      <c r="M678" s="194">
        <f t="shared" ref="M678:M682" si="96">O678</f>
        <v>0.22097378277153559</v>
      </c>
      <c r="O678" s="167">
        <f>S678</f>
        <v>0.22097378277153559</v>
      </c>
      <c r="P678" s="167"/>
      <c r="Q678" s="162">
        <v>1068</v>
      </c>
      <c r="R678" s="162">
        <v>236</v>
      </c>
      <c r="S678" s="17">
        <f>R678/Q678</f>
        <v>0.22097378277153559</v>
      </c>
      <c r="T678" s="18"/>
      <c r="U678" s="22">
        <f>SQRT((S678*(1-S678))/Q678)</f>
        <v>1.2695820853101931E-2</v>
      </c>
      <c r="V678" s="17">
        <f>_xlfn.BETA.INV(0.025, AD678, AE678)</f>
        <v>0.19660554402599223</v>
      </c>
      <c r="W678" s="18"/>
      <c r="X678" s="17">
        <f>_xlfn.BETA.INV(0.975, AD678, AE678)</f>
        <v>0.24633176880815943</v>
      </c>
      <c r="Y678" s="32" t="s">
        <v>685</v>
      </c>
      <c r="AA678" s="19">
        <f ca="1">RAND()</f>
        <v>0.79571722131648692</v>
      </c>
      <c r="AB678" s="21">
        <f ca="1">_xlfn.BETA.INV(AA678, AD678, AE678)</f>
        <v>0.23140837619721133</v>
      </c>
      <c r="AC678" s="20" t="s">
        <v>28</v>
      </c>
      <c r="AD678" s="34">
        <f>R678</f>
        <v>236</v>
      </c>
      <c r="AE678" s="33">
        <f>Q678-R678</f>
        <v>832</v>
      </c>
    </row>
    <row r="679" spans="1:31" ht="12" customHeight="1" outlineLevel="3" x14ac:dyDescent="0.25">
      <c r="A679" s="312"/>
      <c r="B679" s="313"/>
      <c r="C679" s="314"/>
      <c r="G679" s="40" t="s">
        <v>89</v>
      </c>
      <c r="H679" s="40" t="s">
        <v>89</v>
      </c>
      <c r="I679" s="40" t="s">
        <v>89</v>
      </c>
      <c r="J679" s="40" t="s">
        <v>752</v>
      </c>
      <c r="K679" s="40" t="s">
        <v>89</v>
      </c>
      <c r="L679" s="170" t="s">
        <v>491</v>
      </c>
      <c r="M679" s="194">
        <f t="shared" si="96"/>
        <v>1</v>
      </c>
      <c r="O679" s="167">
        <f>S679</f>
        <v>1</v>
      </c>
      <c r="P679" s="167"/>
      <c r="S679" s="297">
        <v>1</v>
      </c>
      <c r="T679" s="18"/>
      <c r="AB679"/>
    </row>
    <row r="680" spans="1:31" ht="12" customHeight="1" outlineLevel="3" x14ac:dyDescent="0.25">
      <c r="A680" s="312"/>
      <c r="B680" s="313"/>
      <c r="C680" s="314"/>
      <c r="G680" s="40" t="s">
        <v>89</v>
      </c>
      <c r="H680" s="40" t="s">
        <v>89</v>
      </c>
      <c r="I680" s="40" t="s">
        <v>89</v>
      </c>
      <c r="J680" s="40" t="s">
        <v>752</v>
      </c>
      <c r="K680" s="40" t="s">
        <v>89</v>
      </c>
      <c r="L680" s="170" t="s">
        <v>496</v>
      </c>
      <c r="M680" s="194">
        <f t="shared" si="96"/>
        <v>2</v>
      </c>
      <c r="O680" s="167">
        <f>S680</f>
        <v>2</v>
      </c>
      <c r="P680" s="167"/>
      <c r="S680" s="297">
        <v>2</v>
      </c>
      <c r="T680" s="18"/>
      <c r="AB680"/>
    </row>
    <row r="681" spans="1:31" ht="12" customHeight="1" outlineLevel="3" x14ac:dyDescent="0.25">
      <c r="A681" s="312"/>
      <c r="B681" s="313"/>
      <c r="C681" s="314"/>
      <c r="G681" s="40" t="s">
        <v>89</v>
      </c>
      <c r="H681" s="40" t="s">
        <v>89</v>
      </c>
      <c r="I681" s="40" t="s">
        <v>89</v>
      </c>
      <c r="J681" s="40" t="s">
        <v>752</v>
      </c>
      <c r="K681" s="40" t="s">
        <v>89</v>
      </c>
      <c r="L681" s="170" t="s">
        <v>495</v>
      </c>
      <c r="M681" s="194">
        <f t="shared" si="96"/>
        <v>1</v>
      </c>
      <c r="O681" s="167">
        <f>S681</f>
        <v>1</v>
      </c>
      <c r="P681" s="167"/>
      <c r="S681" s="297">
        <v>1</v>
      </c>
      <c r="T681" s="18"/>
      <c r="AB681"/>
    </row>
    <row r="682" spans="1:31" ht="12" customHeight="1" outlineLevel="3" x14ac:dyDescent="0.25">
      <c r="A682" s="312"/>
      <c r="B682" s="313"/>
      <c r="C682" s="314"/>
      <c r="G682" s="40" t="s">
        <v>89</v>
      </c>
      <c r="H682" s="40" t="s">
        <v>89</v>
      </c>
      <c r="I682" s="40" t="s">
        <v>89</v>
      </c>
      <c r="J682" s="40" t="s">
        <v>752</v>
      </c>
      <c r="K682" s="40" t="s">
        <v>89</v>
      </c>
      <c r="L682" s="170" t="s">
        <v>494</v>
      </c>
      <c r="M682" s="194">
        <f t="shared" si="96"/>
        <v>1</v>
      </c>
      <c r="O682" s="167">
        <f>S682</f>
        <v>1</v>
      </c>
      <c r="P682" s="167"/>
      <c r="S682" s="297">
        <v>1</v>
      </c>
      <c r="T682" s="18"/>
      <c r="AB682"/>
    </row>
    <row r="683" spans="1:31" ht="12" customHeight="1" outlineLevel="3" x14ac:dyDescent="0.25">
      <c r="A683" s="312"/>
      <c r="B683" s="313"/>
      <c r="C683" s="314"/>
      <c r="G683" s="40" t="s">
        <v>89</v>
      </c>
      <c r="H683" s="40" t="s">
        <v>89</v>
      </c>
      <c r="I683" s="40" t="s">
        <v>89</v>
      </c>
      <c r="J683" s="40" t="s">
        <v>752</v>
      </c>
      <c r="K683" s="40" t="s">
        <v>89</v>
      </c>
      <c r="L683" s="104" t="s">
        <v>250</v>
      </c>
      <c r="M683" s="174">
        <f>O683</f>
        <v>3786.1786996723508</v>
      </c>
      <c r="N683" s="15" t="s">
        <v>818</v>
      </c>
      <c r="O683" s="52">
        <f t="shared" ref="O683" si="97">CHOOSE(swtchPSA, S683, AB683)</f>
        <v>3786.1786996723508</v>
      </c>
      <c r="P683" s="52"/>
      <c r="S683" s="51">
        <f>SUM(M678*cAmb, M679*M653, M680*M674, M681*M676, M682*cGP)</f>
        <v>3786.1786996723508</v>
      </c>
      <c r="U683" s="266">
        <f t="shared" ref="U683" si="98">ABS(S683)*Cost.SEs.CoV</f>
        <v>757.23573993447019</v>
      </c>
      <c r="V683" s="109">
        <f t="shared" ref="V683" si="99">_xlfn.GAMMA.INV(0.025, AD683, AE683)</f>
        <v>2450.2152240410837</v>
      </c>
      <c r="X683" s="109">
        <f t="shared" ref="X683" si="100">_xlfn.GAMMA.INV(0.975, AD683, AE683)</f>
        <v>5408.1924349075716</v>
      </c>
      <c r="AA683" s="19">
        <f ca="1">RAND()</f>
        <v>0.12966442396940947</v>
      </c>
      <c r="AB683" s="47">
        <f ca="1">_xlfn.GAMMA.INV(AA683,AD683,AE683)</f>
        <v>2951.2364685592843</v>
      </c>
      <c r="AC683" s="15" t="s">
        <v>38</v>
      </c>
      <c r="AD683" s="54">
        <f t="shared" ref="AD683" si="101">S683^2/U683^2</f>
        <v>25</v>
      </c>
      <c r="AE683" s="55">
        <f t="shared" ref="AE683" si="102">U683^2/S683</f>
        <v>151.44714798689404</v>
      </c>
    </row>
    <row r="684" spans="1:31" ht="12" customHeight="1" outlineLevel="3" x14ac:dyDescent="0.25">
      <c r="A684" s="312"/>
      <c r="B684" s="313"/>
      <c r="C684" s="314"/>
      <c r="G684" s="40" t="s">
        <v>89</v>
      </c>
      <c r="H684" s="40" t="s">
        <v>89</v>
      </c>
      <c r="I684" s="40" t="s">
        <v>89</v>
      </c>
      <c r="J684" s="40" t="s">
        <v>89</v>
      </c>
      <c r="K684" s="40" t="s">
        <v>89</v>
      </c>
      <c r="L684" s="38" t="s">
        <v>379</v>
      </c>
      <c r="M684"/>
      <c r="O684"/>
      <c r="AB684"/>
    </row>
    <row r="685" spans="1:31" ht="12" customHeight="1" outlineLevel="3" x14ac:dyDescent="0.25">
      <c r="A685" s="312"/>
      <c r="B685" s="313"/>
      <c r="C685" s="314"/>
      <c r="G685" s="40" t="s">
        <v>89</v>
      </c>
      <c r="H685" s="40" t="s">
        <v>89</v>
      </c>
      <c r="I685" s="40" t="s">
        <v>89</v>
      </c>
      <c r="J685" s="40" t="s">
        <v>89</v>
      </c>
      <c r="K685" s="40" t="s">
        <v>89</v>
      </c>
      <c r="L685" s="104" t="s">
        <v>209</v>
      </c>
      <c r="M685"/>
      <c r="O685"/>
      <c r="AB685"/>
    </row>
    <row r="686" spans="1:31" ht="12" customHeight="1" outlineLevel="3" x14ac:dyDescent="0.25">
      <c r="A686" s="312"/>
      <c r="B686" s="313"/>
      <c r="C686" s="314"/>
      <c r="G686" s="40" t="s">
        <v>89</v>
      </c>
      <c r="H686" s="40" t="s">
        <v>89</v>
      </c>
      <c r="I686" s="40" t="s">
        <v>89</v>
      </c>
      <c r="J686" s="40" t="s">
        <v>752</v>
      </c>
      <c r="K686" s="40" t="s">
        <v>89</v>
      </c>
      <c r="L686" s="170" t="s">
        <v>493</v>
      </c>
      <c r="M686" s="184">
        <f>O686</f>
        <v>653.9758838406467</v>
      </c>
      <c r="O686" s="52">
        <f>S686</f>
        <v>653.9758838406467</v>
      </c>
      <c r="P686" s="52"/>
      <c r="Q686" s="162">
        <v>6134689</v>
      </c>
      <c r="S686" s="180">
        <v>653.9758838406467</v>
      </c>
      <c r="T686" s="18"/>
      <c r="Y686" s="258" t="s">
        <v>697</v>
      </c>
      <c r="AB686"/>
    </row>
    <row r="687" spans="1:31" ht="12" customHeight="1" outlineLevel="3" x14ac:dyDescent="0.25">
      <c r="A687" s="312"/>
      <c r="B687" s="313"/>
      <c r="C687" s="314"/>
      <c r="G687" s="40" t="s">
        <v>89</v>
      </c>
      <c r="H687" s="40" t="s">
        <v>89</v>
      </c>
      <c r="I687" s="40" t="s">
        <v>89</v>
      </c>
      <c r="J687" s="40" t="s">
        <v>752</v>
      </c>
      <c r="K687" s="40" t="s">
        <v>89</v>
      </c>
      <c r="L687" s="205" t="s">
        <v>696</v>
      </c>
      <c r="M687" s="51">
        <f>O687</f>
        <v>674.11834106293861</v>
      </c>
      <c r="O687" s="52" cm="1">
        <f t="array" ref="O687">_fnINFLATE(M686, 2019, 2020)</f>
        <v>674.11834106293861</v>
      </c>
      <c r="P687" s="52"/>
      <c r="T687" s="18"/>
      <c r="AB687"/>
    </row>
    <row r="688" spans="1:31" ht="12" customHeight="1" outlineLevel="3" x14ac:dyDescent="0.25">
      <c r="A688" s="312"/>
      <c r="B688" s="313"/>
      <c r="C688" s="314"/>
      <c r="G688" s="40" t="s">
        <v>89</v>
      </c>
      <c r="H688" s="40" t="s">
        <v>89</v>
      </c>
      <c r="I688" s="40" t="s">
        <v>89</v>
      </c>
      <c r="J688" s="40" t="s">
        <v>89</v>
      </c>
      <c r="K688" s="40" t="s">
        <v>89</v>
      </c>
      <c r="L688" s="104" t="s">
        <v>492</v>
      </c>
      <c r="M688"/>
      <c r="O688"/>
      <c r="AB688"/>
    </row>
    <row r="689" spans="1:31" ht="12" customHeight="1" outlineLevel="3" x14ac:dyDescent="0.25">
      <c r="A689" s="312"/>
      <c r="B689" s="313"/>
      <c r="C689" s="314"/>
      <c r="G689" s="40" t="s">
        <v>89</v>
      </c>
      <c r="H689" s="40" t="s">
        <v>89</v>
      </c>
      <c r="I689" s="40" t="s">
        <v>89</v>
      </c>
      <c r="J689" s="40" t="s">
        <v>752</v>
      </c>
      <c r="K689" s="40" t="s">
        <v>89</v>
      </c>
      <c r="L689" s="170" t="s">
        <v>491</v>
      </c>
      <c r="M689" s="194">
        <f>O689</f>
        <v>1</v>
      </c>
      <c r="O689" s="167">
        <f>S689</f>
        <v>1</v>
      </c>
      <c r="P689" s="167"/>
      <c r="S689" s="297">
        <v>1</v>
      </c>
      <c r="T689" s="18"/>
      <c r="AB689"/>
    </row>
    <row r="690" spans="1:31" ht="12" customHeight="1" outlineLevel="3" thickBot="1" x14ac:dyDescent="0.3">
      <c r="A690" s="312"/>
      <c r="B690" s="313"/>
      <c r="C690" s="314"/>
      <c r="G690" s="40" t="s">
        <v>89</v>
      </c>
      <c r="H690" s="40" t="s">
        <v>89</v>
      </c>
      <c r="I690" s="40" t="s">
        <v>89</v>
      </c>
      <c r="J690" s="40" t="s">
        <v>752</v>
      </c>
      <c r="K690" s="40" t="s">
        <v>89</v>
      </c>
      <c r="L690" s="104" t="s">
        <v>250</v>
      </c>
      <c r="M690" s="174">
        <f>O690</f>
        <v>674.11834106293861</v>
      </c>
      <c r="N690" s="15" t="s">
        <v>814</v>
      </c>
      <c r="O690" s="52">
        <f t="shared" ref="O690" si="103">CHOOSE(swtchPSA, S690, AB690)</f>
        <v>674.11834106293861</v>
      </c>
      <c r="P690" s="52"/>
      <c r="S690" s="51">
        <f>M687*M689</f>
        <v>674.11834106293861</v>
      </c>
      <c r="U690" s="266">
        <f t="shared" ref="U690" si="104">ABS(S690)*Cost.SEs.CoV</f>
        <v>134.82366821258773</v>
      </c>
      <c r="V690" s="109">
        <f t="shared" ref="V690" si="105">_xlfn.GAMMA.INV(0.025, AD690, AE690)</f>
        <v>436.25384671375122</v>
      </c>
      <c r="X690" s="109">
        <f t="shared" ref="X690" si="106">_xlfn.GAMMA.INV(0.975, AD690, AE690)</f>
        <v>962.91326996386192</v>
      </c>
      <c r="AA690" s="19">
        <f ca="1">RAND()</f>
        <v>0.34677878289732156</v>
      </c>
      <c r="AB690" s="47">
        <f ca="1">_xlfn.GAMMA.INV(AA690,AD690,AE690)</f>
        <v>613.82573061103096</v>
      </c>
      <c r="AC690" s="15" t="s">
        <v>38</v>
      </c>
      <c r="AD690" s="54">
        <f t="shared" ref="AD690" si="107">S690^2/U690^2</f>
        <v>24.999999999999996</v>
      </c>
      <c r="AE690" s="55">
        <f t="shared" ref="AE690" si="108">U690^2/S690</f>
        <v>26.964733642517547</v>
      </c>
    </row>
    <row r="691" spans="1:31" s="110" customFormat="1" ht="12" customHeight="1" outlineLevel="2" thickBot="1" x14ac:dyDescent="0.3">
      <c r="A691" s="312"/>
      <c r="B691" s="313"/>
      <c r="C691" s="314"/>
      <c r="D691" s="112"/>
      <c r="G691" s="112" t="s">
        <v>89</v>
      </c>
      <c r="H691" s="112" t="s">
        <v>89</v>
      </c>
      <c r="I691" s="112" t="s">
        <v>89</v>
      </c>
      <c r="J691" s="112" t="s">
        <v>89</v>
      </c>
      <c r="K691" s="112" t="s">
        <v>89</v>
      </c>
      <c r="L691" s="110" t="s">
        <v>446</v>
      </c>
    </row>
    <row r="692" spans="1:31" ht="12" customHeight="1" outlineLevel="3" x14ac:dyDescent="0.25">
      <c r="A692" s="312"/>
      <c r="B692" s="313"/>
      <c r="C692" s="314"/>
      <c r="D692" s="40">
        <v>1</v>
      </c>
      <c r="G692" s="40" t="s">
        <v>89</v>
      </c>
      <c r="H692" s="40" t="s">
        <v>89</v>
      </c>
      <c r="I692" s="40" t="s">
        <v>89</v>
      </c>
      <c r="J692" s="40" t="s">
        <v>752</v>
      </c>
      <c r="K692" s="40" t="s">
        <v>89</v>
      </c>
      <c r="L692" s="38" t="str">
        <f t="shared" ref="L692:L700" ca="1" si="109">INDEX(D.rngStates, $D692)</f>
        <v>HF no HPE</v>
      </c>
      <c r="M692" s="174">
        <f t="shared" ref="M692:M700" si="110">O692</f>
        <v>16.764516</v>
      </c>
      <c r="N692" s="445" t="s">
        <v>585</v>
      </c>
      <c r="O692" s="52">
        <f>D.cMeds.Paracetamol</f>
        <v>16.764516</v>
      </c>
      <c r="AB692"/>
    </row>
    <row r="693" spans="1:31" ht="12" customHeight="1" outlineLevel="3" x14ac:dyDescent="0.25">
      <c r="A693" s="312"/>
      <c r="B693" s="313"/>
      <c r="C693" s="314"/>
      <c r="D693" s="40">
        <f t="shared" ref="D693:D700" si="111">D692+1</f>
        <v>2</v>
      </c>
      <c r="G693" s="40" t="s">
        <v>89</v>
      </c>
      <c r="H693" s="40" t="s">
        <v>89</v>
      </c>
      <c r="I693" s="40" t="s">
        <v>89</v>
      </c>
      <c r="J693" s="40" t="s">
        <v>752</v>
      </c>
      <c r="K693" s="40" t="s">
        <v>89</v>
      </c>
      <c r="L693" s="38" t="str">
        <f t="shared" ca="1" si="109"/>
        <v>PCE no HPE</v>
      </c>
      <c r="M693" s="174">
        <f t="shared" si="110"/>
        <v>98.257312428571424</v>
      </c>
      <c r="N693" s="445"/>
      <c r="O693" s="52">
        <f>D.cPrimCareEvent+D.cMeds.Paracetamol</f>
        <v>98.257312428571424</v>
      </c>
      <c r="AB693"/>
    </row>
    <row r="694" spans="1:31" ht="12" customHeight="1" outlineLevel="3" x14ac:dyDescent="0.25">
      <c r="A694" s="312"/>
      <c r="B694" s="313"/>
      <c r="C694" s="314"/>
      <c r="D694" s="40">
        <f t="shared" si="111"/>
        <v>3</v>
      </c>
      <c r="G694" s="40" t="s">
        <v>89</v>
      </c>
      <c r="H694" s="40" t="s">
        <v>89</v>
      </c>
      <c r="I694" s="40" t="s">
        <v>89</v>
      </c>
      <c r="J694" s="40" t="s">
        <v>752</v>
      </c>
      <c r="K694" s="40" t="s">
        <v>89</v>
      </c>
      <c r="L694" s="38" t="str">
        <f t="shared" ca="1" si="109"/>
        <v>SCE no HPE</v>
      </c>
      <c r="M694" s="174">
        <f t="shared" si="110"/>
        <v>3802.943215672351</v>
      </c>
      <c r="N694" s="445"/>
      <c r="O694" s="52">
        <f>D.cSecondCareEvent+D.cMeds.Paracetamol</f>
        <v>3802.943215672351</v>
      </c>
      <c r="AB694"/>
    </row>
    <row r="695" spans="1:31" ht="12" customHeight="1" outlineLevel="3" x14ac:dyDescent="0.25">
      <c r="A695" s="312"/>
      <c r="B695" s="313"/>
      <c r="C695" s="314"/>
      <c r="D695" s="40">
        <f t="shared" si="111"/>
        <v>4</v>
      </c>
      <c r="G695" s="40" t="s">
        <v>89</v>
      </c>
      <c r="H695" s="40" t="s">
        <v>89</v>
      </c>
      <c r="I695" s="40" t="s">
        <v>89</v>
      </c>
      <c r="J695" s="40" t="s">
        <v>752</v>
      </c>
      <c r="K695" s="40" t="s">
        <v>89</v>
      </c>
      <c r="L695" s="38" t="str">
        <f t="shared" ca="1" si="109"/>
        <v>HF w HPE</v>
      </c>
      <c r="M695" s="174">
        <f t="shared" si="110"/>
        <v>7.6635178571428577</v>
      </c>
      <c r="N695" s="445"/>
      <c r="O695" s="52">
        <f>D.cMeds.NSAIDs</f>
        <v>7.6635178571428577</v>
      </c>
      <c r="AB695"/>
    </row>
    <row r="696" spans="1:31" ht="12" customHeight="1" outlineLevel="3" x14ac:dyDescent="0.25">
      <c r="A696" s="312"/>
      <c r="B696" s="313"/>
      <c r="C696" s="314"/>
      <c r="D696" s="40">
        <f t="shared" si="111"/>
        <v>5</v>
      </c>
      <c r="G696" s="40" t="s">
        <v>89</v>
      </c>
      <c r="H696" s="40" t="s">
        <v>89</v>
      </c>
      <c r="I696" s="40" t="s">
        <v>89</v>
      </c>
      <c r="J696" s="40" t="s">
        <v>752</v>
      </c>
      <c r="K696" s="40" t="s">
        <v>89</v>
      </c>
      <c r="L696" s="38" t="str">
        <f t="shared" ca="1" si="109"/>
        <v>PCE w HPE</v>
      </c>
      <c r="M696" s="174">
        <f t="shared" si="110"/>
        <v>89.156314285714288</v>
      </c>
      <c r="N696" s="445"/>
      <c r="O696" s="52">
        <f>D.cPrimCareEvent+D.cMeds.NSAIDs</f>
        <v>89.156314285714288</v>
      </c>
      <c r="AB696"/>
    </row>
    <row r="697" spans="1:31" ht="12" customHeight="1" outlineLevel="3" x14ac:dyDescent="0.25">
      <c r="A697" s="312"/>
      <c r="B697" s="313"/>
      <c r="C697" s="314"/>
      <c r="D697" s="40">
        <f t="shared" si="111"/>
        <v>6</v>
      </c>
      <c r="G697" s="40" t="s">
        <v>89</v>
      </c>
      <c r="H697" s="40" t="s">
        <v>89</v>
      </c>
      <c r="I697" s="40" t="s">
        <v>89</v>
      </c>
      <c r="J697" s="40" t="s">
        <v>752</v>
      </c>
      <c r="K697" s="40" t="s">
        <v>89</v>
      </c>
      <c r="L697" s="38" t="str">
        <f t="shared" ca="1" si="109"/>
        <v>SCE w HPE</v>
      </c>
      <c r="M697" s="174">
        <f t="shared" si="110"/>
        <v>3793.8422175294936</v>
      </c>
      <c r="N697" s="445"/>
      <c r="O697" s="52">
        <f>D.cSecondCareEvent+D.cMeds.NSAIDs</f>
        <v>3793.8422175294936</v>
      </c>
      <c r="AB697"/>
    </row>
    <row r="698" spans="1:31" ht="12" customHeight="1" outlineLevel="3" x14ac:dyDescent="0.25">
      <c r="A698" s="312"/>
      <c r="B698" s="313"/>
      <c r="C698" s="314"/>
      <c r="D698" s="40">
        <f t="shared" si="111"/>
        <v>7</v>
      </c>
      <c r="G698" s="40" t="s">
        <v>89</v>
      </c>
      <c r="H698" s="40" t="s">
        <v>89</v>
      </c>
      <c r="I698" s="40" t="s">
        <v>89</v>
      </c>
      <c r="J698" s="40" t="s">
        <v>752</v>
      </c>
      <c r="K698" s="40" t="s">
        <v>89</v>
      </c>
      <c r="L698" s="38" t="str">
        <f t="shared" ca="1" si="109"/>
        <v>HF post event no HPE</v>
      </c>
      <c r="M698" s="174">
        <f t="shared" si="110"/>
        <v>16.764516</v>
      </c>
      <c r="N698" s="445"/>
      <c r="O698" s="52">
        <f>M692</f>
        <v>16.764516</v>
      </c>
      <c r="AB698"/>
    </row>
    <row r="699" spans="1:31" ht="12" customHeight="1" outlineLevel="3" x14ac:dyDescent="0.25">
      <c r="A699" s="312"/>
      <c r="B699" s="313"/>
      <c r="C699" s="314"/>
      <c r="D699" s="40">
        <f t="shared" si="111"/>
        <v>8</v>
      </c>
      <c r="G699" s="40" t="s">
        <v>89</v>
      </c>
      <c r="H699" s="40" t="s">
        <v>89</v>
      </c>
      <c r="I699" s="40" t="s">
        <v>89</v>
      </c>
      <c r="J699" s="40" t="s">
        <v>752</v>
      </c>
      <c r="K699" s="40" t="s">
        <v>89</v>
      </c>
      <c r="L699" s="38" t="str">
        <f t="shared" ca="1" si="109"/>
        <v>HF post event w HPE</v>
      </c>
      <c r="M699" s="174">
        <f t="shared" si="110"/>
        <v>7.6635178571428577</v>
      </c>
      <c r="N699" s="445"/>
      <c r="O699" s="52">
        <f>M695</f>
        <v>7.6635178571428577</v>
      </c>
      <c r="AB699"/>
    </row>
    <row r="700" spans="1:31" ht="12" customHeight="1" outlineLevel="3" thickBot="1" x14ac:dyDescent="0.3">
      <c r="A700" s="312"/>
      <c r="B700" s="313"/>
      <c r="C700" s="314"/>
      <c r="D700" s="40">
        <f t="shared" si="111"/>
        <v>9</v>
      </c>
      <c r="G700" s="40" t="s">
        <v>89</v>
      </c>
      <c r="H700" s="40" t="s">
        <v>89</v>
      </c>
      <c r="I700" s="40" t="s">
        <v>89</v>
      </c>
      <c r="J700" s="40" t="s">
        <v>752</v>
      </c>
      <c r="K700" s="40" t="s">
        <v>89</v>
      </c>
      <c r="L700" s="38" t="str">
        <f t="shared" ca="1" si="109"/>
        <v>Dead</v>
      </c>
      <c r="M700" s="184">
        <f t="shared" si="110"/>
        <v>0</v>
      </c>
      <c r="N700" s="445"/>
      <c r="O700" s="52">
        <f>S700</f>
        <v>0</v>
      </c>
      <c r="P700" s="52"/>
      <c r="S700" s="266">
        <v>0</v>
      </c>
      <c r="AB700"/>
    </row>
    <row r="701" spans="1:31" s="13" customFormat="1" ht="12" customHeight="1" outlineLevel="1" thickBot="1" x14ac:dyDescent="0.3">
      <c r="A701" s="312"/>
      <c r="B701" s="313"/>
      <c r="C701" s="314"/>
      <c r="D701" s="25"/>
      <c r="G701" s="25" t="s">
        <v>89</v>
      </c>
      <c r="H701" s="25" t="s">
        <v>89</v>
      </c>
      <c r="I701" s="25" t="s">
        <v>89</v>
      </c>
      <c r="J701" s="25" t="s">
        <v>89</v>
      </c>
      <c r="K701" s="25" t="s">
        <v>89</v>
      </c>
      <c r="L701" s="197" t="s">
        <v>154</v>
      </c>
      <c r="M701" s="25"/>
      <c r="O701" s="25"/>
      <c r="P701" s="25"/>
      <c r="Q701" s="196"/>
      <c r="R701" s="196"/>
      <c r="S701" s="25"/>
      <c r="T701" s="25"/>
      <c r="V701" s="25"/>
      <c r="W701" s="25"/>
      <c r="X701" s="25"/>
      <c r="Y701" s="25"/>
      <c r="Z701" s="25"/>
      <c r="AA701" s="196"/>
      <c r="AB701" s="25"/>
      <c r="AC701" s="197"/>
      <c r="AD701" s="196"/>
      <c r="AE701" s="196"/>
    </row>
    <row r="702" spans="1:31" s="110" customFormat="1" ht="12" customHeight="1" outlineLevel="2" thickBot="1" x14ac:dyDescent="0.3">
      <c r="A702" s="312"/>
      <c r="B702" s="313"/>
      <c r="C702" s="314"/>
      <c r="D702" s="112"/>
      <c r="G702" s="112" t="s">
        <v>89</v>
      </c>
      <c r="H702" s="112" t="s">
        <v>89</v>
      </c>
      <c r="I702" s="112" t="s">
        <v>89</v>
      </c>
      <c r="J702" s="112" t="s">
        <v>89</v>
      </c>
      <c r="K702" s="112" t="s">
        <v>89</v>
      </c>
      <c r="L702" s="110" t="s">
        <v>490</v>
      </c>
    </row>
    <row r="703" spans="1:31" ht="12" customHeight="1" outlineLevel="3" x14ac:dyDescent="0.25">
      <c r="A703" s="312"/>
      <c r="B703" s="313"/>
      <c r="C703" s="314"/>
      <c r="G703" s="40" t="s">
        <v>89</v>
      </c>
      <c r="H703" s="40" t="s">
        <v>89</v>
      </c>
      <c r="I703" s="40" t="s">
        <v>89</v>
      </c>
      <c r="J703" s="40" t="s">
        <v>89</v>
      </c>
      <c r="K703" s="40" t="s">
        <v>89</v>
      </c>
      <c r="L703" t="s">
        <v>489</v>
      </c>
      <c r="M703"/>
      <c r="O703"/>
      <c r="AB703"/>
    </row>
    <row r="704" spans="1:31" ht="12" customHeight="1" outlineLevel="3" x14ac:dyDescent="0.25">
      <c r="A704" s="312"/>
      <c r="B704" s="313"/>
      <c r="C704" s="314"/>
      <c r="G704" s="40" t="s">
        <v>89</v>
      </c>
      <c r="H704" s="40" t="s">
        <v>89</v>
      </c>
      <c r="I704" s="40" t="s">
        <v>89</v>
      </c>
      <c r="J704" s="40" t="s">
        <v>89</v>
      </c>
      <c r="K704" s="40" t="s">
        <v>89</v>
      </c>
      <c r="L704" s="104" t="s">
        <v>488</v>
      </c>
      <c r="M704"/>
      <c r="O704"/>
      <c r="AB704"/>
    </row>
    <row r="705" spans="1:31" ht="12" customHeight="1" outlineLevel="3" x14ac:dyDescent="0.25">
      <c r="A705" s="312"/>
      <c r="B705" s="313"/>
      <c r="C705" s="314"/>
      <c r="G705" s="40" t="s">
        <v>89</v>
      </c>
      <c r="H705" s="40" t="s">
        <v>89</v>
      </c>
      <c r="I705" s="40" t="s">
        <v>89</v>
      </c>
      <c r="J705" s="40" t="s">
        <v>752</v>
      </c>
      <c r="K705" s="40" t="s">
        <v>89</v>
      </c>
      <c r="L705" s="170" t="s">
        <v>487</v>
      </c>
      <c r="M705" s="166">
        <f t="shared" ref="M705:M708" si="112">O705</f>
        <v>0.83</v>
      </c>
      <c r="O705" s="18">
        <f>S705</f>
        <v>0.83</v>
      </c>
      <c r="P705" s="18"/>
      <c r="Q705" s="14">
        <v>316</v>
      </c>
      <c r="S705" s="35">
        <v>0.83</v>
      </c>
      <c r="T705" s="28">
        <v>0.19</v>
      </c>
      <c r="U705" s="84">
        <f>T705/SQRT(Q705)</f>
        <v>1.0688335058797228E-2</v>
      </c>
      <c r="V705" s="17">
        <f t="shared" ref="V705:V711" si="113">_xlfn.BETA.INV(0.025, AD705, AE705)</f>
        <v>0.80855294724630666</v>
      </c>
      <c r="W705" s="18"/>
      <c r="X705" s="17">
        <f t="shared" ref="X705:X711" si="114">_xlfn.BETA.INV(0.975, AD705, AE705)</f>
        <v>0.85043411925554879</v>
      </c>
      <c r="Y705" s="32" t="s">
        <v>483</v>
      </c>
      <c r="AA705" s="19">
        <f t="shared" ref="AA705:AA711" ca="1" si="115">RAND()</f>
        <v>4.1524570695962715E-2</v>
      </c>
      <c r="AB705" s="21">
        <f t="shared" ref="AB705:AB711" ca="1" si="116">_xlfn.BETA.INV(AA705, AD705, AE705)</f>
        <v>0.81112213742718853</v>
      </c>
      <c r="AC705" s="20" t="s">
        <v>28</v>
      </c>
      <c r="AD705" s="54">
        <f t="shared" ref="AD705:AD711" si="117">(S705^2*(1-S705))/U705^2-S705</f>
        <v>1024.3142659279781</v>
      </c>
      <c r="AE705" s="55">
        <f t="shared" ref="AE705:AE711" si="118">AD705*((1-S705)/S705)</f>
        <v>209.7993074792245</v>
      </c>
    </row>
    <row r="706" spans="1:31" ht="12" customHeight="1" outlineLevel="3" x14ac:dyDescent="0.25">
      <c r="A706" s="312"/>
      <c r="B706" s="313"/>
      <c r="C706" s="314"/>
      <c r="G706" s="40" t="s">
        <v>89</v>
      </c>
      <c r="H706" s="40" t="s">
        <v>89</v>
      </c>
      <c r="I706" s="40" t="s">
        <v>89</v>
      </c>
      <c r="J706" s="40" t="s">
        <v>752</v>
      </c>
      <c r="K706" s="40" t="s">
        <v>89</v>
      </c>
      <c r="L706" s="170" t="s">
        <v>486</v>
      </c>
      <c r="M706" s="166">
        <f t="shared" si="112"/>
        <v>0.81</v>
      </c>
      <c r="O706" s="18">
        <f>S706</f>
        <v>0.81</v>
      </c>
      <c r="P706" s="18"/>
      <c r="Q706" s="14">
        <v>195</v>
      </c>
      <c r="S706" s="35">
        <v>0.81</v>
      </c>
      <c r="T706" s="28">
        <v>0.18</v>
      </c>
      <c r="U706" s="84">
        <f>T706/SQRT(Q706)</f>
        <v>1.2890067732709792E-2</v>
      </c>
      <c r="V706" s="17">
        <f t="shared" si="113"/>
        <v>0.78411306488074384</v>
      </c>
      <c r="W706" s="18"/>
      <c r="X706" s="17">
        <f t="shared" si="114"/>
        <v>0.83461774949815781</v>
      </c>
      <c r="Y706" s="32" t="s">
        <v>483</v>
      </c>
      <c r="AA706" s="19">
        <f t="shared" ca="1" si="115"/>
        <v>0.96713726478276807</v>
      </c>
      <c r="AB706" s="21">
        <f t="shared" ca="1" si="116"/>
        <v>0.83317943622261603</v>
      </c>
      <c r="AC706" s="20" t="s">
        <v>28</v>
      </c>
      <c r="AD706" s="54">
        <f t="shared" si="117"/>
        <v>749.45249999999999</v>
      </c>
      <c r="AE706" s="55">
        <f t="shared" si="118"/>
        <v>175.79749999999996</v>
      </c>
    </row>
    <row r="707" spans="1:31" ht="12" customHeight="1" outlineLevel="3" x14ac:dyDescent="0.25">
      <c r="A707" s="312"/>
      <c r="B707" s="313"/>
      <c r="C707" s="314"/>
      <c r="G707" s="40" t="s">
        <v>89</v>
      </c>
      <c r="H707" s="40" t="s">
        <v>89</v>
      </c>
      <c r="I707" s="40" t="s">
        <v>89</v>
      </c>
      <c r="J707" s="40" t="s">
        <v>752</v>
      </c>
      <c r="K707" s="40" t="s">
        <v>89</v>
      </c>
      <c r="L707" s="170" t="s">
        <v>485</v>
      </c>
      <c r="M707" s="166">
        <f t="shared" si="112"/>
        <v>0.66</v>
      </c>
      <c r="O707" s="18">
        <f>S707</f>
        <v>0.66</v>
      </c>
      <c r="P707" s="18"/>
      <c r="Q707" s="14">
        <v>66</v>
      </c>
      <c r="S707" s="35">
        <v>0.66</v>
      </c>
      <c r="T707" s="28">
        <v>0.26</v>
      </c>
      <c r="U707" s="84">
        <f>T707/SQRT(Q707)</f>
        <v>3.2003787654626512E-2</v>
      </c>
      <c r="V707" s="17">
        <f t="shared" si="113"/>
        <v>0.59595638470894297</v>
      </c>
      <c r="W707" s="18"/>
      <c r="X707" s="17">
        <f t="shared" si="114"/>
        <v>0.72126384077360184</v>
      </c>
      <c r="Y707" s="32" t="s">
        <v>483</v>
      </c>
      <c r="AA707" s="19">
        <f t="shared" ca="1" si="115"/>
        <v>9.9725085516924161E-2</v>
      </c>
      <c r="AB707" s="21">
        <f t="shared" ca="1" si="116"/>
        <v>0.61856652122580225</v>
      </c>
      <c r="AC707" s="20" t="s">
        <v>28</v>
      </c>
      <c r="AD707" s="54">
        <f t="shared" si="117"/>
        <v>143.93857988165681</v>
      </c>
      <c r="AE707" s="55">
        <f t="shared" si="118"/>
        <v>74.150177514792887</v>
      </c>
    </row>
    <row r="708" spans="1:31" ht="12" customHeight="1" outlineLevel="3" x14ac:dyDescent="0.25">
      <c r="A708" s="312"/>
      <c r="B708" s="313"/>
      <c r="C708" s="314"/>
      <c r="G708" s="40" t="s">
        <v>89</v>
      </c>
      <c r="H708" s="40" t="s">
        <v>89</v>
      </c>
      <c r="I708" s="40" t="s">
        <v>89</v>
      </c>
      <c r="J708" s="40" t="s">
        <v>752</v>
      </c>
      <c r="K708" s="40" t="s">
        <v>89</v>
      </c>
      <c r="L708" s="170" t="s">
        <v>484</v>
      </c>
      <c r="M708" s="166">
        <f t="shared" si="112"/>
        <v>0.65</v>
      </c>
      <c r="O708" s="18">
        <f>S708</f>
        <v>0.65</v>
      </c>
      <c r="P708" s="18"/>
      <c r="Q708" s="14">
        <v>17</v>
      </c>
      <c r="S708" s="35">
        <v>0.65</v>
      </c>
      <c r="T708" s="28">
        <v>0.19</v>
      </c>
      <c r="U708" s="84">
        <f>T708/SQRT(Q708)</f>
        <v>4.6081768756903264E-2</v>
      </c>
      <c r="V708" s="17">
        <f t="shared" si="113"/>
        <v>0.55721539402912812</v>
      </c>
      <c r="W708" s="18"/>
      <c r="X708" s="17">
        <f t="shared" si="114"/>
        <v>0.7374290061026586</v>
      </c>
      <c r="Y708" s="32" t="s">
        <v>483</v>
      </c>
      <c r="AA708" s="19">
        <f t="shared" ca="1" si="115"/>
        <v>0.18007575101805495</v>
      </c>
      <c r="AB708" s="21">
        <f t="shared" ca="1" si="116"/>
        <v>0.60779372196302717</v>
      </c>
      <c r="AC708" s="20" t="s">
        <v>28</v>
      </c>
      <c r="AD708" s="54">
        <f t="shared" si="117"/>
        <v>68.986426592797784</v>
      </c>
      <c r="AE708" s="55">
        <f t="shared" si="118"/>
        <v>37.146537396121879</v>
      </c>
    </row>
    <row r="709" spans="1:31" ht="12" customHeight="1" outlineLevel="3" x14ac:dyDescent="0.25">
      <c r="A709" s="312"/>
      <c r="B709" s="313"/>
      <c r="C709" s="314"/>
      <c r="G709" s="40" t="s">
        <v>89</v>
      </c>
      <c r="H709" s="40" t="s">
        <v>89</v>
      </c>
      <c r="I709" s="40" t="s">
        <v>89</v>
      </c>
      <c r="J709" s="40" t="s">
        <v>752</v>
      </c>
      <c r="K709" s="40" t="s">
        <v>89</v>
      </c>
      <c r="L709" s="170" t="s">
        <v>169</v>
      </c>
      <c r="M709" s="89">
        <f>O709</f>
        <v>0.76666666666666672</v>
      </c>
      <c r="O709" s="11">
        <f>CHOOSE(swtchPSA, S709, AB709)</f>
        <v>0.76666666666666672</v>
      </c>
      <c r="P709" s="11"/>
      <c r="S709" s="86">
        <f>AVERAGE(M705:M707)</f>
        <v>0.76666666666666672</v>
      </c>
      <c r="U709" s="84" cm="1">
        <f t="array" ref="U709">SQRT(AVERAGE(U705:U707^2))</f>
        <v>2.085375087544512E-2</v>
      </c>
      <c r="V709" s="17">
        <f t="shared" si="113"/>
        <v>0.72459812265104628</v>
      </c>
      <c r="W709" s="18"/>
      <c r="X709" s="17">
        <f t="shared" si="114"/>
        <v>0.80627354731730472</v>
      </c>
      <c r="AA709" s="19">
        <f t="shared" ca="1" si="115"/>
        <v>0.11679958974596194</v>
      </c>
      <c r="AB709" s="21">
        <f t="shared" ca="1" si="116"/>
        <v>0.7416357057830798</v>
      </c>
      <c r="AC709" s="20" t="s">
        <v>28</v>
      </c>
      <c r="AD709" s="54">
        <f t="shared" si="117"/>
        <v>314.60421033494816</v>
      </c>
      <c r="AE709" s="55">
        <f t="shared" si="118"/>
        <v>95.749107493245063</v>
      </c>
    </row>
    <row r="710" spans="1:31" ht="12" customHeight="1" outlineLevel="3" x14ac:dyDescent="0.25">
      <c r="A710" s="312"/>
      <c r="B710" s="313"/>
      <c r="C710" s="314"/>
      <c r="G710" s="40" t="s">
        <v>89</v>
      </c>
      <c r="H710" s="40" t="s">
        <v>89</v>
      </c>
      <c r="I710" s="40" t="s">
        <v>89</v>
      </c>
      <c r="J710" s="40" t="s">
        <v>752</v>
      </c>
      <c r="K710" s="40" t="s">
        <v>89</v>
      </c>
      <c r="L710" s="104" t="s">
        <v>482</v>
      </c>
      <c r="M710" s="89">
        <f>O710</f>
        <v>0.68166666666666675</v>
      </c>
      <c r="N710" t="str">
        <f t="shared" ref="N710:N711" si="119">_xlfn.LET(_xlpm.aa, "0.0000", TEXT(S710, _xlpm.aa) &amp; " (" &amp; TEXT(V710, _xlpm.aa) &amp; ", " &amp; TEXT(X710, _xlpm.aa) &amp; ")")</f>
        <v>0.6817 (0.6401, 0.7218)</v>
      </c>
      <c r="O710" s="11">
        <f>CHOOSE(swtchPSA, S710, AB710)</f>
        <v>0.68166666666666675</v>
      </c>
      <c r="P710" s="11"/>
      <c r="R710" s="155"/>
      <c r="S710" s="86">
        <f>M709 - AVERAGE(M705-M706, M706-M707)</f>
        <v>0.68166666666666675</v>
      </c>
      <c r="T710" s="18"/>
      <c r="U710" s="315">
        <f>U709</f>
        <v>2.085375087544512E-2</v>
      </c>
      <c r="V710" s="17">
        <f t="shared" si="113"/>
        <v>0.64012470370020258</v>
      </c>
      <c r="W710" s="18"/>
      <c r="X710" s="17">
        <f t="shared" si="114"/>
        <v>0.72182648951952988</v>
      </c>
      <c r="AA710" s="19">
        <f t="shared" ca="1" si="115"/>
        <v>0.76808868799775265</v>
      </c>
      <c r="AB710" s="21">
        <f t="shared" ca="1" si="116"/>
        <v>0.69707152852145038</v>
      </c>
      <c r="AC710" s="20" t="s">
        <v>28</v>
      </c>
      <c r="AD710" s="54">
        <f t="shared" si="117"/>
        <v>339.45846073206616</v>
      </c>
      <c r="AE710" s="55">
        <f t="shared" si="118"/>
        <v>158.52461124651495</v>
      </c>
    </row>
    <row r="711" spans="1:31" ht="12" customHeight="1" outlineLevel="3" x14ac:dyDescent="0.25">
      <c r="A711" s="312"/>
      <c r="B711" s="313"/>
      <c r="C711" s="314"/>
      <c r="G711" s="40" t="s">
        <v>89</v>
      </c>
      <c r="H711" s="40" t="s">
        <v>89</v>
      </c>
      <c r="I711" s="40" t="s">
        <v>89</v>
      </c>
      <c r="J711" s="40" t="s">
        <v>752</v>
      </c>
      <c r="K711" s="40" t="s">
        <v>89</v>
      </c>
      <c r="L711" s="104" t="s">
        <v>481</v>
      </c>
      <c r="M711" s="89">
        <f>O711</f>
        <v>0.60166666666666679</v>
      </c>
      <c r="N711" t="str">
        <f t="shared" si="119"/>
        <v>0.6017 (0.5605, 0.6422)</v>
      </c>
      <c r="O711" s="11">
        <f>CHOOSE(swtchPSA, S711, AB711)</f>
        <v>0.60166666666666679</v>
      </c>
      <c r="P711" s="11"/>
      <c r="R711" s="155"/>
      <c r="S711" s="86">
        <f>M709 - AVERAGE(M705-M707, M706-M708)</f>
        <v>0.60166666666666679</v>
      </c>
      <c r="T711" s="18"/>
      <c r="U711" s="315">
        <f>U709</f>
        <v>2.085375087544512E-2</v>
      </c>
      <c r="V711" s="17">
        <f t="shared" si="113"/>
        <v>0.56046076009980605</v>
      </c>
      <c r="W711" s="18"/>
      <c r="X711" s="17">
        <f t="shared" si="114"/>
        <v>0.6421723306868885</v>
      </c>
      <c r="AA711" s="19">
        <f t="shared" ca="1" si="115"/>
        <v>0.90734574691119207</v>
      </c>
      <c r="AB711" s="21">
        <f t="shared" ca="1" si="116"/>
        <v>0.62921040989362131</v>
      </c>
      <c r="AC711" s="20" t="s">
        <v>28</v>
      </c>
      <c r="AD711" s="54">
        <f t="shared" si="117"/>
        <v>330.97975673168804</v>
      </c>
      <c r="AE711" s="55">
        <f t="shared" si="118"/>
        <v>219.12510210214239</v>
      </c>
    </row>
    <row r="712" spans="1:31" ht="12" customHeight="1" outlineLevel="3" x14ac:dyDescent="0.25">
      <c r="A712" s="312"/>
      <c r="B712" s="313"/>
      <c r="C712" s="314"/>
      <c r="G712" s="40" t="s">
        <v>89</v>
      </c>
      <c r="H712" s="40" t="s">
        <v>89</v>
      </c>
      <c r="I712" s="40" t="s">
        <v>89</v>
      </c>
      <c r="J712" s="40" t="s">
        <v>89</v>
      </c>
      <c r="K712" s="40" t="s">
        <v>89</v>
      </c>
      <c r="L712" t="s">
        <v>480</v>
      </c>
      <c r="M712"/>
      <c r="O712"/>
      <c r="AB712"/>
    </row>
    <row r="713" spans="1:31" ht="12" customHeight="1" outlineLevel="3" x14ac:dyDescent="0.25">
      <c r="A713" s="312"/>
      <c r="B713" s="313"/>
      <c r="C713" s="314"/>
      <c r="G713" s="40" t="s">
        <v>89</v>
      </c>
      <c r="H713" s="40" t="s">
        <v>89</v>
      </c>
      <c r="I713" s="40" t="s">
        <v>89</v>
      </c>
      <c r="J713" s="40" t="s">
        <v>752</v>
      </c>
      <c r="K713" s="40" t="s">
        <v>89</v>
      </c>
      <c r="L713" s="104" t="s">
        <v>479</v>
      </c>
      <c r="M713" s="36">
        <f>O713</f>
        <v>0.60858299999999999</v>
      </c>
      <c r="O713" s="11">
        <f>CHOOSE(swtchPSA, S713, AB713)</f>
        <v>0.60858299999999999</v>
      </c>
      <c r="Q713" s="14">
        <v>260</v>
      </c>
      <c r="R713" s="40"/>
      <c r="S713" s="35">
        <v>0.60858299999999999</v>
      </c>
      <c r="U713" s="28">
        <v>1.79648E-2</v>
      </c>
      <c r="V713" s="17">
        <f>_xlfn.BETA.INV(0.025, AD713, AE713)</f>
        <v>0.57310447759034322</v>
      </c>
      <c r="W713" s="18"/>
      <c r="X713" s="17">
        <f>_xlfn.BETA.INV(0.975, AD713, AE713)</f>
        <v>0.64350338452645239</v>
      </c>
      <c r="Y713" s="32" t="s">
        <v>478</v>
      </c>
      <c r="AA713" s="19">
        <f ca="1">RAND()</f>
        <v>0.61399253128716991</v>
      </c>
      <c r="AB713" s="21">
        <f ca="1">_xlfn.BETA.INV(AA713, AD713, AE713)</f>
        <v>0.61388300556262465</v>
      </c>
      <c r="AC713" s="20" t="s">
        <v>28</v>
      </c>
      <c r="AD713" s="54">
        <f>(S713^2*(1-S713))/U713^2-S713</f>
        <v>448.58603504690808</v>
      </c>
      <c r="AE713" s="55">
        <f>AD713*((1-S713)/S713)</f>
        <v>288.51315281556606</v>
      </c>
    </row>
    <row r="714" spans="1:31" ht="12" customHeight="1" outlineLevel="3" x14ac:dyDescent="0.25">
      <c r="A714" s="312"/>
      <c r="B714" s="313"/>
      <c r="C714" s="314"/>
      <c r="G714" s="40" t="s">
        <v>89</v>
      </c>
      <c r="H714" s="40" t="s">
        <v>89</v>
      </c>
      <c r="I714" s="40" t="s">
        <v>89</v>
      </c>
      <c r="J714" s="40" t="s">
        <v>89</v>
      </c>
      <c r="K714" s="40" t="s">
        <v>89</v>
      </c>
      <c r="L714" s="104" t="s">
        <v>477</v>
      </c>
      <c r="M714"/>
      <c r="O714"/>
      <c r="AB714"/>
    </row>
    <row r="715" spans="1:31" ht="12" customHeight="1" outlineLevel="3" x14ac:dyDescent="0.25">
      <c r="A715" s="312"/>
      <c r="B715" s="313"/>
      <c r="C715" s="314"/>
      <c r="G715" s="40" t="s">
        <v>89</v>
      </c>
      <c r="H715" s="40" t="s">
        <v>89</v>
      </c>
      <c r="I715" s="40" t="s">
        <v>89</v>
      </c>
      <c r="J715" s="40" t="s">
        <v>752</v>
      </c>
      <c r="K715" s="40" t="s">
        <v>89</v>
      </c>
      <c r="L715" s="170" t="s">
        <v>476</v>
      </c>
      <c r="M715" s="36">
        <f>O715</f>
        <v>0.56000000000000005</v>
      </c>
      <c r="O715" s="11">
        <f>CHOOSE(swtchPSA, S715, AB715)</f>
        <v>0.56000000000000005</v>
      </c>
      <c r="P715" s="11"/>
      <c r="Q715" s="162">
        <v>6943</v>
      </c>
      <c r="S715" s="35">
        <v>0.56000000000000005</v>
      </c>
      <c r="T715" s="28">
        <v>0.23</v>
      </c>
      <c r="U715" s="84">
        <f>T715/SQRT(Q715)</f>
        <v>2.760287084786003E-3</v>
      </c>
      <c r="V715" s="17">
        <f>_xlfn.BETA.INV(0.025, AD715, AE715)</f>
        <v>0.55458645812005392</v>
      </c>
      <c r="W715" s="18"/>
      <c r="X715" s="17">
        <f>_xlfn.BETA.INV(0.975, AD715, AE715)</f>
        <v>0.56540651255988716</v>
      </c>
      <c r="Y715" s="32" t="s">
        <v>471</v>
      </c>
      <c r="AA715" s="19">
        <f ca="1">RAND()</f>
        <v>0.90148816363685058</v>
      </c>
      <c r="AB715" s="21">
        <f ca="1">_xlfn.BETA.INV(AA715, AD715, AE715)</f>
        <v>0.56356019897862786</v>
      </c>
      <c r="AC715" s="20" t="s">
        <v>28</v>
      </c>
      <c r="AD715" s="54">
        <f>(S715^2*(1-S715))/U715^2-S715</f>
        <v>18109.513950850658</v>
      </c>
      <c r="AE715" s="55">
        <f>AD715*((1-S715)/S715)</f>
        <v>14228.903818525514</v>
      </c>
    </row>
    <row r="716" spans="1:31" ht="12" customHeight="1" outlineLevel="3" x14ac:dyDescent="0.25">
      <c r="A716" s="312"/>
      <c r="B716" s="313"/>
      <c r="C716" s="314"/>
      <c r="G716" s="40" t="s">
        <v>89</v>
      </c>
      <c r="H716" s="40" t="s">
        <v>89</v>
      </c>
      <c r="I716" s="40" t="s">
        <v>89</v>
      </c>
      <c r="J716" s="40" t="s">
        <v>752</v>
      </c>
      <c r="K716" s="40" t="s">
        <v>89</v>
      </c>
      <c r="L716" s="170" t="s">
        <v>475</v>
      </c>
      <c r="M716" s="36">
        <f>O716</f>
        <v>0.67</v>
      </c>
      <c r="O716" s="11">
        <f>CHOOSE(swtchPSA, S716, AB716)</f>
        <v>0.67</v>
      </c>
      <c r="P716" s="11"/>
      <c r="Q716" s="162">
        <v>6943</v>
      </c>
      <c r="S716" s="35">
        <v>0.67</v>
      </c>
      <c r="T716" s="28">
        <v>0.26</v>
      </c>
      <c r="U716" s="84">
        <f>T716/SQRT(Q716)</f>
        <v>3.1203245306276554E-3</v>
      </c>
      <c r="V716" s="17">
        <f>_xlfn.BETA.INV(0.025, AD716, AE716)</f>
        <v>0.66387016358144035</v>
      </c>
      <c r="W716" s="18"/>
      <c r="X716" s="17">
        <f>_xlfn.BETA.INV(0.975, AD716, AE716)</f>
        <v>0.67610147294990042</v>
      </c>
      <c r="Y716" s="32" t="s">
        <v>471</v>
      </c>
      <c r="AA716" s="19">
        <f ca="1">RAND()</f>
        <v>0.97475602661073235</v>
      </c>
      <c r="AB716" s="21">
        <f ca="1">_xlfn.BETA.INV(AA716, AD716, AE716)</f>
        <v>0.67608858283487872</v>
      </c>
      <c r="AC716" s="20" t="s">
        <v>28</v>
      </c>
      <c r="AD716" s="54">
        <f>(S716^2*(1-S716))/U716^2-S716</f>
        <v>15214.051760355034</v>
      </c>
      <c r="AE716" s="55">
        <f>AD716*((1-S716)/S716)</f>
        <v>7493.4881804733741</v>
      </c>
    </row>
    <row r="717" spans="1:31" ht="12" customHeight="1" outlineLevel="3" x14ac:dyDescent="0.25">
      <c r="A717" s="312"/>
      <c r="B717" s="313"/>
      <c r="C717" s="314"/>
      <c r="G717" s="40" t="s">
        <v>89</v>
      </c>
      <c r="H717" s="40" t="s">
        <v>89</v>
      </c>
      <c r="I717" s="40" t="s">
        <v>89</v>
      </c>
      <c r="J717" s="40" t="s">
        <v>752</v>
      </c>
      <c r="K717" s="40" t="s">
        <v>89</v>
      </c>
      <c r="L717" s="170" t="s">
        <v>474</v>
      </c>
      <c r="M717" s="36">
        <f>O717</f>
        <v>0.79</v>
      </c>
      <c r="O717" s="11">
        <f>CHOOSE(swtchPSA, S717, AB717)</f>
        <v>0.79</v>
      </c>
      <c r="P717" s="11"/>
      <c r="Q717" s="162">
        <v>6943</v>
      </c>
      <c r="S717" s="35">
        <v>0.79</v>
      </c>
      <c r="T717" s="28">
        <v>0.2</v>
      </c>
      <c r="U717" s="84">
        <f>T717/SQRT(Q717)</f>
        <v>2.4002496389443503E-3</v>
      </c>
      <c r="V717" s="17">
        <f>_xlfn.BETA.INV(0.025, AD717, AE717)</f>
        <v>0.78527658278717316</v>
      </c>
      <c r="W717" s="18"/>
      <c r="X717" s="17">
        <f>_xlfn.BETA.INV(0.975, AD717, AE717)</f>
        <v>0.79468526161091302</v>
      </c>
      <c r="Y717" s="32" t="s">
        <v>471</v>
      </c>
      <c r="AA717" s="19">
        <f ca="1">RAND()</f>
        <v>0.88552467157728953</v>
      </c>
      <c r="AB717" s="21">
        <f ca="1">_xlfn.BETA.INV(AA717, AD717, AE717)</f>
        <v>0.79288466318435391</v>
      </c>
      <c r="AC717" s="20" t="s">
        <v>28</v>
      </c>
      <c r="AD717" s="54">
        <f>(S717^2*(1-S717))/U717^2-S717</f>
        <v>22748.123075000003</v>
      </c>
      <c r="AE717" s="55">
        <f>AD717*((1-S717)/S717)</f>
        <v>6046.9694249999993</v>
      </c>
    </row>
    <row r="718" spans="1:31" ht="12" customHeight="1" outlineLevel="3" x14ac:dyDescent="0.25">
      <c r="A718" s="312"/>
      <c r="B718" s="313"/>
      <c r="C718" s="314"/>
      <c r="G718" s="40" t="s">
        <v>89</v>
      </c>
      <c r="H718" s="40" t="s">
        <v>89</v>
      </c>
      <c r="I718" s="40" t="s">
        <v>89</v>
      </c>
      <c r="J718" s="40" t="s">
        <v>752</v>
      </c>
      <c r="K718" s="40" t="s">
        <v>89</v>
      </c>
      <c r="L718" s="170" t="s">
        <v>473</v>
      </c>
      <c r="M718" s="36">
        <f>O718</f>
        <v>0.78</v>
      </c>
      <c r="O718" s="11">
        <f>CHOOSE(swtchPSA, S718, AB718)</f>
        <v>0.78</v>
      </c>
      <c r="P718" s="11"/>
      <c r="Q718" s="162">
        <v>6943</v>
      </c>
      <c r="S718" s="35">
        <v>0.78</v>
      </c>
      <c r="T718" s="28">
        <v>0.2</v>
      </c>
      <c r="U718" s="84">
        <f>T718/SQRT(Q718)</f>
        <v>2.4002496389443503E-3</v>
      </c>
      <c r="V718" s="17">
        <f>_xlfn.BETA.INV(0.025, AD718, AE718)</f>
        <v>0.77527784762228913</v>
      </c>
      <c r="W718" s="18"/>
      <c r="X718" s="17">
        <f>_xlfn.BETA.INV(0.975, AD718, AE718)</f>
        <v>0.78468653620918416</v>
      </c>
      <c r="Y718" s="32" t="s">
        <v>471</v>
      </c>
      <c r="AA718" s="19">
        <f ca="1">RAND()</f>
        <v>0.95997695372830494</v>
      </c>
      <c r="AB718" s="21">
        <f ca="1">_xlfn.BETA.INV(AA718, AD718, AE718)</f>
        <v>0.78418847589814966</v>
      </c>
      <c r="AC718" s="20" t="s">
        <v>28</v>
      </c>
      <c r="AD718" s="54">
        <f>(S718^2*(1-S718))/U718^2-S718</f>
        <v>23231.886600000002</v>
      </c>
      <c r="AE718" s="55">
        <f>AD718*((1-S718)/S718)</f>
        <v>6552.5833999999995</v>
      </c>
    </row>
    <row r="719" spans="1:31" ht="12" customHeight="1" outlineLevel="3" x14ac:dyDescent="0.25">
      <c r="A719" s="312"/>
      <c r="B719" s="313"/>
      <c r="C719" s="314"/>
      <c r="G719" s="40" t="s">
        <v>89</v>
      </c>
      <c r="H719" s="40" t="s">
        <v>89</v>
      </c>
      <c r="I719" s="40" t="s">
        <v>89</v>
      </c>
      <c r="J719" s="40" t="s">
        <v>89</v>
      </c>
      <c r="K719" s="40" t="s">
        <v>89</v>
      </c>
      <c r="L719" s="170" t="s">
        <v>472</v>
      </c>
      <c r="M719"/>
      <c r="O719"/>
      <c r="AB719"/>
    </row>
    <row r="720" spans="1:31" ht="12" customHeight="1" outlineLevel="3" x14ac:dyDescent="0.25">
      <c r="A720" s="312"/>
      <c r="B720" s="313"/>
      <c r="C720" s="314"/>
      <c r="G720" s="40" t="s">
        <v>89</v>
      </c>
      <c r="H720" s="40" t="s">
        <v>89</v>
      </c>
      <c r="I720" s="40" t="s">
        <v>89</v>
      </c>
      <c r="J720" s="40" t="s">
        <v>752</v>
      </c>
      <c r="K720" s="40" t="s">
        <v>89</v>
      </c>
      <c r="L720" s="205" t="s">
        <v>357</v>
      </c>
      <c r="M720" s="208">
        <f t="shared" ref="M720:M725" si="120">O720</f>
        <v>20.9</v>
      </c>
      <c r="N720" s="77"/>
      <c r="O720" s="167">
        <f>S720</f>
        <v>20.9</v>
      </c>
      <c r="P720" s="11"/>
      <c r="Q720" s="162">
        <v>3496</v>
      </c>
      <c r="S720" s="14">
        <v>20.9</v>
      </c>
      <c r="T720" s="14">
        <v>6.9</v>
      </c>
      <c r="U720" s="84">
        <f>T720/SQRT(Q720)</f>
        <v>0.11669799078232487</v>
      </c>
      <c r="V720" s="84">
        <f>S720-U720*_xlfn.NORM.S.INV(0.975)</f>
        <v>20.671276140998454</v>
      </c>
      <c r="X720" s="84">
        <f>S720+U720*_xlfn.NORM.S.INV(0.975)</f>
        <v>21.128723859001543</v>
      </c>
      <c r="Y720" s="32" t="s">
        <v>471</v>
      </c>
      <c r="AB720"/>
    </row>
    <row r="721" spans="1:31" ht="12" customHeight="1" outlineLevel="3" x14ac:dyDescent="0.25">
      <c r="A721" s="312"/>
      <c r="B721" s="313"/>
      <c r="C721" s="314"/>
      <c r="G721" s="40" t="s">
        <v>89</v>
      </c>
      <c r="H721" s="40" t="s">
        <v>89</v>
      </c>
      <c r="I721" s="40" t="s">
        <v>89</v>
      </c>
      <c r="J721" s="40" t="s">
        <v>752</v>
      </c>
      <c r="K721" s="40" t="s">
        <v>89</v>
      </c>
      <c r="L721" s="205" t="s">
        <v>356</v>
      </c>
      <c r="M721" s="208">
        <f t="shared" si="120"/>
        <v>20.7</v>
      </c>
      <c r="N721" s="77"/>
      <c r="O721" s="167">
        <f>S721</f>
        <v>20.7</v>
      </c>
      <c r="P721" s="11"/>
      <c r="Q721" s="162">
        <v>3511</v>
      </c>
      <c r="S721" s="14">
        <v>20.7</v>
      </c>
      <c r="T721" s="14">
        <v>7.1</v>
      </c>
      <c r="U721" s="84">
        <f>T721/SQRT(Q721)</f>
        <v>0.11982375740914997</v>
      </c>
      <c r="V721" s="84">
        <f>S721-U721*_xlfn.NORM.S.INV(0.975)</f>
        <v>20.465149750985802</v>
      </c>
      <c r="X721" s="84">
        <f>S721+U721*_xlfn.NORM.S.INV(0.975)</f>
        <v>20.934850249014197</v>
      </c>
      <c r="Y721" s="32" t="s">
        <v>471</v>
      </c>
      <c r="AB721"/>
    </row>
    <row r="722" spans="1:31" ht="12" customHeight="1" outlineLevel="3" x14ac:dyDescent="0.25">
      <c r="A722" s="312"/>
      <c r="B722" s="313"/>
      <c r="C722" s="314"/>
      <c r="G722" s="40" t="s">
        <v>89</v>
      </c>
      <c r="H722" s="40" t="s">
        <v>89</v>
      </c>
      <c r="I722" s="40" t="s">
        <v>89</v>
      </c>
      <c r="J722" s="40" t="s">
        <v>752</v>
      </c>
      <c r="K722" s="40" t="s">
        <v>89</v>
      </c>
      <c r="L722" s="205" t="s">
        <v>354</v>
      </c>
      <c r="M722" s="206">
        <f t="shared" si="120"/>
        <v>20.799785928357352</v>
      </c>
      <c r="N722" s="77"/>
      <c r="O722" s="167">
        <f>CHOOSE(swtchPSA, S722, AB722)</f>
        <v>20.799785928357352</v>
      </c>
      <c r="P722" s="11"/>
      <c r="Q722" s="163">
        <f>Q720+Q721</f>
        <v>7007</v>
      </c>
      <c r="S722" s="207">
        <f>SUMPRODUCT(S720:S721, Q720:Q721) / Q722</f>
        <v>20.799785928357352</v>
      </c>
      <c r="T722" s="207">
        <f>SQRT((T720^2*(Q720-1)+T721^2*(Q721-1))/(Q722-2))</f>
        <v>7.0009283569161296</v>
      </c>
      <c r="U722" s="84">
        <f>T722/SQRT(Q722)</f>
        <v>8.3635291444331197E-2</v>
      </c>
      <c r="V722" s="84">
        <f>S722-U722*_xlfn.NORM.S.INV(0.975)</f>
        <v>20.635863769289951</v>
      </c>
      <c r="X722" s="84">
        <f>S722+U722*_xlfn.NORM.S.INV(0.975)</f>
        <v>20.963708087424752</v>
      </c>
      <c r="AA722" s="19">
        <f ca="1">RAND()</f>
        <v>0.93051641514996219</v>
      </c>
      <c r="AB722" s="64">
        <f ca="1">_xlfn.NORM.INV(AA722, AD722, AE722)</f>
        <v>20.923536732567715</v>
      </c>
      <c r="AC722" s="250" t="s">
        <v>23</v>
      </c>
      <c r="AD722" s="27">
        <f>S722</f>
        <v>20.799785928357352</v>
      </c>
      <c r="AE722" s="26">
        <f>U722</f>
        <v>8.3635291444331197E-2</v>
      </c>
    </row>
    <row r="723" spans="1:31" ht="12" customHeight="1" outlineLevel="3" x14ac:dyDescent="0.25">
      <c r="A723" s="312"/>
      <c r="B723" s="313"/>
      <c r="C723" s="314"/>
      <c r="D723" s="40">
        <v>1</v>
      </c>
      <c r="G723" s="40" t="s">
        <v>89</v>
      </c>
      <c r="H723" s="40" t="s">
        <v>89</v>
      </c>
      <c r="I723" s="40" t="s">
        <v>89</v>
      </c>
      <c r="J723" s="40" t="s">
        <v>752</v>
      </c>
      <c r="K723" s="40" t="s">
        <v>89</v>
      </c>
      <c r="L723" s="205" t="s">
        <v>470</v>
      </c>
      <c r="M723" s="206">
        <f t="shared" si="120"/>
        <v>9.2002140716426482</v>
      </c>
      <c r="O723" s="167">
        <f>30-M722</f>
        <v>9.2002140716426482</v>
      </c>
      <c r="P723" s="53"/>
      <c r="AB723"/>
    </row>
    <row r="724" spans="1:31" ht="12" customHeight="1" outlineLevel="3" x14ac:dyDescent="0.25">
      <c r="A724" s="312"/>
      <c r="B724" s="313"/>
      <c r="C724" s="314"/>
      <c r="D724" s="40">
        <v>1</v>
      </c>
      <c r="G724" s="40" t="s">
        <v>89</v>
      </c>
      <c r="H724" s="40" t="s">
        <v>89</v>
      </c>
      <c r="I724" s="40" t="s">
        <v>89</v>
      </c>
      <c r="J724" s="40" t="s">
        <v>752</v>
      </c>
      <c r="K724" s="40" t="s">
        <v>89</v>
      </c>
      <c r="L724" s="170" t="s">
        <v>469</v>
      </c>
      <c r="M724" s="89">
        <f t="shared" si="120"/>
        <v>0.77484161894709946</v>
      </c>
      <c r="N724" s="78"/>
      <c r="O724" s="66" cm="1">
        <f t="array" ref="O724">SUM(AVERAGE(M715:M716)*1, AVERAGE(M716:M717)*(M723-1), AVERAGE(M717:M718)*(30-M723), M718*(D.cycleLength*365.24-30)) / (D.cycleLength*365.24)</f>
        <v>0.77484161894709946</v>
      </c>
      <c r="P724" s="53"/>
      <c r="AB724"/>
    </row>
    <row r="725" spans="1:31" ht="12" customHeight="1" outlineLevel="3" thickBot="1" x14ac:dyDescent="0.3">
      <c r="A725" s="312"/>
      <c r="B725" s="313"/>
      <c r="C725" s="314"/>
      <c r="D725" s="40">
        <v>1</v>
      </c>
      <c r="G725" s="40" t="s">
        <v>89</v>
      </c>
      <c r="H725" s="40" t="s">
        <v>89</v>
      </c>
      <c r="I725" s="40" t="s">
        <v>89</v>
      </c>
      <c r="J725" s="40" t="s">
        <v>752</v>
      </c>
      <c r="K725" s="40" t="s">
        <v>89</v>
      </c>
      <c r="L725" s="170" t="s">
        <v>468</v>
      </c>
      <c r="M725" s="89">
        <f t="shared" si="120"/>
        <v>0.99338669095781984</v>
      </c>
      <c r="N725" s="294"/>
      <c r="O725" s="66">
        <f>M724/M718</f>
        <v>0.99338669095781984</v>
      </c>
      <c r="P725" s="53"/>
      <c r="Q725" s="204"/>
      <c r="AB725"/>
    </row>
    <row r="726" spans="1:31" s="110" customFormat="1" ht="12" customHeight="1" outlineLevel="2" thickBot="1" x14ac:dyDescent="0.3">
      <c r="A726" s="312"/>
      <c r="B726" s="313"/>
      <c r="C726" s="314"/>
      <c r="D726" s="112"/>
      <c r="G726" s="112" t="s">
        <v>89</v>
      </c>
      <c r="H726" s="112" t="s">
        <v>89</v>
      </c>
      <c r="I726" s="112" t="s">
        <v>89</v>
      </c>
      <c r="J726" s="112" t="s">
        <v>89</v>
      </c>
      <c r="K726" s="112" t="s">
        <v>89</v>
      </c>
      <c r="L726" s="110" t="s">
        <v>445</v>
      </c>
    </row>
    <row r="727" spans="1:31" ht="12" customHeight="1" outlineLevel="3" x14ac:dyDescent="0.25">
      <c r="A727" s="312"/>
      <c r="B727" s="313"/>
      <c r="C727" s="314"/>
      <c r="D727" s="40">
        <v>1</v>
      </c>
      <c r="G727" s="40" t="s">
        <v>89</v>
      </c>
      <c r="H727" s="40" t="s">
        <v>89</v>
      </c>
      <c r="I727" s="40" t="s">
        <v>89</v>
      </c>
      <c r="J727" s="40" t="s">
        <v>752</v>
      </c>
      <c r="K727" s="40" t="s">
        <v>89</v>
      </c>
      <c r="L727" s="38" t="str">
        <f t="shared" ref="L727:L735" ca="1" si="121">INDEX(D.rngStates, $D727)</f>
        <v>HF no HPE</v>
      </c>
      <c r="M727" s="156">
        <f t="shared" ref="M727:M735" si="122">O727</f>
        <v>0.76666666666666672</v>
      </c>
      <c r="N727" s="445" t="s">
        <v>665</v>
      </c>
      <c r="O727" s="53">
        <f>CHOOSE(D.swtchUSource, M709, M713)</f>
        <v>0.76666666666666672</v>
      </c>
      <c r="P727" s="53"/>
      <c r="AB727"/>
    </row>
    <row r="728" spans="1:31" ht="12" customHeight="1" outlineLevel="3" x14ac:dyDescent="0.25">
      <c r="A728" s="312"/>
      <c r="B728" s="313"/>
      <c r="C728" s="314"/>
      <c r="D728" s="40">
        <f t="shared" ref="D728:D735" si="123">D727+1</f>
        <v>2</v>
      </c>
      <c r="G728" s="40" t="s">
        <v>89</v>
      </c>
      <c r="H728" s="40" t="s">
        <v>89</v>
      </c>
      <c r="I728" s="40" t="s">
        <v>89</v>
      </c>
      <c r="J728" s="40" t="s">
        <v>752</v>
      </c>
      <c r="K728" s="40" t="s">
        <v>89</v>
      </c>
      <c r="L728" s="38" t="str">
        <f t="shared" ca="1" si="121"/>
        <v>PCE no HPE</v>
      </c>
      <c r="M728" s="156">
        <f t="shared" si="122"/>
        <v>0.68166666666666675</v>
      </c>
      <c r="N728" s="445"/>
      <c r="O728" s="53">
        <f>CHOOSE(D.swtchUSource, M710, AVERAGE(M727, M729))</f>
        <v>0.68166666666666675</v>
      </c>
      <c r="P728" s="53"/>
      <c r="AB728"/>
    </row>
    <row r="729" spans="1:31" ht="12" customHeight="1" outlineLevel="3" x14ac:dyDescent="0.25">
      <c r="A729" s="312"/>
      <c r="B729" s="313"/>
      <c r="C729" s="314"/>
      <c r="D729" s="40">
        <f t="shared" si="123"/>
        <v>3</v>
      </c>
      <c r="G729" s="40" t="s">
        <v>89</v>
      </c>
      <c r="H729" s="40" t="s">
        <v>89</v>
      </c>
      <c r="I729" s="40" t="s">
        <v>89</v>
      </c>
      <c r="J729" s="40" t="s">
        <v>752</v>
      </c>
      <c r="K729" s="40" t="s">
        <v>89</v>
      </c>
      <c r="L729" s="38" t="str">
        <f t="shared" ca="1" si="121"/>
        <v>SCE no HPE</v>
      </c>
      <c r="M729" s="156">
        <f t="shared" si="122"/>
        <v>0.60166666666666679</v>
      </c>
      <c r="N729" s="445"/>
      <c r="O729" s="53">
        <f>CHOOSE(D.swtchUSource, M711, M713*M725)</f>
        <v>0.60166666666666679</v>
      </c>
      <c r="P729" s="53"/>
      <c r="AB729"/>
    </row>
    <row r="730" spans="1:31" ht="12" customHeight="1" outlineLevel="3" x14ac:dyDescent="0.25">
      <c r="A730" s="312"/>
      <c r="B730" s="313"/>
      <c r="C730" s="314"/>
      <c r="D730" s="40">
        <f t="shared" si="123"/>
        <v>4</v>
      </c>
      <c r="G730" s="40" t="s">
        <v>89</v>
      </c>
      <c r="H730" s="40" t="s">
        <v>89</v>
      </c>
      <c r="I730" s="40" t="s">
        <v>89</v>
      </c>
      <c r="J730" s="40" t="s">
        <v>752</v>
      </c>
      <c r="K730" s="40" t="s">
        <v>89</v>
      </c>
      <c r="L730" s="38" t="str">
        <f t="shared" ca="1" si="121"/>
        <v>HF w HPE</v>
      </c>
      <c r="M730" s="156">
        <f t="shared" si="122"/>
        <v>0.76666666666666672</v>
      </c>
      <c r="N730" s="445"/>
      <c r="O730" s="53">
        <f>M727</f>
        <v>0.76666666666666672</v>
      </c>
      <c r="P730" s="53"/>
      <c r="AB730"/>
    </row>
    <row r="731" spans="1:31" ht="12" customHeight="1" outlineLevel="3" x14ac:dyDescent="0.25">
      <c r="A731" s="312"/>
      <c r="B731" s="313"/>
      <c r="C731" s="314"/>
      <c r="D731" s="40">
        <f t="shared" si="123"/>
        <v>5</v>
      </c>
      <c r="G731" s="40" t="s">
        <v>89</v>
      </c>
      <c r="H731" s="40" t="s">
        <v>89</v>
      </c>
      <c r="I731" s="40" t="s">
        <v>89</v>
      </c>
      <c r="J731" s="40" t="s">
        <v>752</v>
      </c>
      <c r="K731" s="40" t="s">
        <v>89</v>
      </c>
      <c r="L731" s="38" t="str">
        <f t="shared" ca="1" si="121"/>
        <v>PCE w HPE</v>
      </c>
      <c r="M731" s="156">
        <f t="shared" si="122"/>
        <v>0.68166666666666675</v>
      </c>
      <c r="N731" s="445"/>
      <c r="O731" s="53">
        <f>M728</f>
        <v>0.68166666666666675</v>
      </c>
      <c r="P731" s="53"/>
      <c r="AB731"/>
    </row>
    <row r="732" spans="1:31" ht="12" customHeight="1" outlineLevel="3" x14ac:dyDescent="0.25">
      <c r="A732" s="312"/>
      <c r="B732" s="313"/>
      <c r="C732" s="314"/>
      <c r="D732" s="40">
        <f t="shared" si="123"/>
        <v>6</v>
      </c>
      <c r="G732" s="40" t="s">
        <v>89</v>
      </c>
      <c r="H732" s="40" t="s">
        <v>89</v>
      </c>
      <c r="I732" s="40" t="s">
        <v>89</v>
      </c>
      <c r="J732" s="40" t="s">
        <v>752</v>
      </c>
      <c r="K732" s="40" t="s">
        <v>89</v>
      </c>
      <c r="L732" s="38" t="str">
        <f t="shared" ca="1" si="121"/>
        <v>SCE w HPE</v>
      </c>
      <c r="M732" s="156">
        <f t="shared" si="122"/>
        <v>0.60166666666666679</v>
      </c>
      <c r="N732" s="445"/>
      <c r="O732" s="53">
        <f>M729</f>
        <v>0.60166666666666679</v>
      </c>
      <c r="P732" s="53"/>
      <c r="AB732"/>
    </row>
    <row r="733" spans="1:31" ht="12" customHeight="1" outlineLevel="3" x14ac:dyDescent="0.25">
      <c r="A733" s="312"/>
      <c r="B733" s="313"/>
      <c r="C733" s="314"/>
      <c r="D733" s="40">
        <f t="shared" si="123"/>
        <v>7</v>
      </c>
      <c r="G733" s="40" t="s">
        <v>89</v>
      </c>
      <c r="H733" s="40" t="s">
        <v>89</v>
      </c>
      <c r="I733" s="40" t="s">
        <v>89</v>
      </c>
      <c r="J733" s="40" t="s">
        <v>752</v>
      </c>
      <c r="K733" s="40" t="s">
        <v>89</v>
      </c>
      <c r="L733" s="38" t="str">
        <f t="shared" ca="1" si="121"/>
        <v>HF post event no HPE</v>
      </c>
      <c r="M733" s="156">
        <f t="shared" si="122"/>
        <v>0.76666666666666672</v>
      </c>
      <c r="N733" s="445"/>
      <c r="O733" s="53">
        <f>M727</f>
        <v>0.76666666666666672</v>
      </c>
      <c r="P733" s="53"/>
      <c r="AB733"/>
    </row>
    <row r="734" spans="1:31" ht="12" customHeight="1" outlineLevel="3" x14ac:dyDescent="0.25">
      <c r="A734" s="312"/>
      <c r="B734" s="313"/>
      <c r="C734" s="314"/>
      <c r="D734" s="40">
        <f t="shared" si="123"/>
        <v>8</v>
      </c>
      <c r="G734" s="40" t="s">
        <v>89</v>
      </c>
      <c r="H734" s="40" t="s">
        <v>89</v>
      </c>
      <c r="I734" s="40" t="s">
        <v>89</v>
      </c>
      <c r="J734" s="40" t="s">
        <v>752</v>
      </c>
      <c r="K734" s="40" t="s">
        <v>89</v>
      </c>
      <c r="L734" s="38" t="str">
        <f t="shared" ca="1" si="121"/>
        <v>HF post event w HPE</v>
      </c>
      <c r="M734" s="156">
        <f t="shared" si="122"/>
        <v>0.76666666666666672</v>
      </c>
      <c r="N734" s="445"/>
      <c r="O734" s="53">
        <f>M730</f>
        <v>0.76666666666666672</v>
      </c>
      <c r="P734" s="53"/>
      <c r="AB734"/>
    </row>
    <row r="735" spans="1:31" ht="12" customHeight="1" outlineLevel="3" thickBot="1" x14ac:dyDescent="0.3">
      <c r="A735" s="312"/>
      <c r="B735" s="313"/>
      <c r="C735" s="314"/>
      <c r="D735" s="40">
        <f t="shared" si="123"/>
        <v>9</v>
      </c>
      <c r="G735" s="40" t="s">
        <v>89</v>
      </c>
      <c r="H735" s="40" t="s">
        <v>89</v>
      </c>
      <c r="I735" s="40" t="s">
        <v>89</v>
      </c>
      <c r="J735" s="40" t="s">
        <v>752</v>
      </c>
      <c r="K735" s="40" t="s">
        <v>89</v>
      </c>
      <c r="L735" s="38" t="str">
        <f t="shared" ca="1" si="121"/>
        <v>Dead</v>
      </c>
      <c r="M735" s="156">
        <f t="shared" si="122"/>
        <v>0</v>
      </c>
      <c r="N735" s="445"/>
      <c r="O735" s="53">
        <f>S735</f>
        <v>0</v>
      </c>
      <c r="P735" s="53"/>
      <c r="S735" s="264">
        <v>0</v>
      </c>
      <c r="AB735"/>
    </row>
    <row r="736" spans="1:31" s="165" customFormat="1" ht="12" customHeight="1" thickBot="1" x14ac:dyDescent="0.3">
      <c r="A736" s="374"/>
      <c r="B736" s="385"/>
      <c r="C736" s="377"/>
      <c r="D736" s="303">
        <v>5</v>
      </c>
      <c r="G736" s="303" t="s">
        <v>89</v>
      </c>
      <c r="H736" s="303" t="s">
        <v>89</v>
      </c>
      <c r="I736" s="303" t="s">
        <v>89</v>
      </c>
      <c r="J736" s="303" t="s">
        <v>89</v>
      </c>
      <c r="K736" s="303" t="s">
        <v>89</v>
      </c>
      <c r="L736" s="30" t="str" cm="1">
        <f t="array" ref="L736">INDEX(lstQs, $D736)</f>
        <v>E: NSAIDs - CKD</v>
      </c>
      <c r="M736" s="369"/>
      <c r="O736" s="369"/>
      <c r="P736" s="369"/>
      <c r="S736" s="372"/>
      <c r="T736" s="65"/>
      <c r="Y736" s="23"/>
    </row>
    <row r="737" spans="1:28" s="13" customFormat="1" ht="12" customHeight="1" outlineLevel="1" thickBot="1" x14ac:dyDescent="0.3">
      <c r="A737" s="374"/>
      <c r="B737" s="385"/>
      <c r="C737" s="377"/>
      <c r="D737" s="196"/>
      <c r="E737" s="179"/>
      <c r="F737" s="179"/>
      <c r="G737" s="196" t="s">
        <v>89</v>
      </c>
      <c r="H737" s="196" t="s">
        <v>89</v>
      </c>
      <c r="I737" s="196" t="s">
        <v>89</v>
      </c>
      <c r="J737" s="196" t="s">
        <v>89</v>
      </c>
      <c r="K737" s="196" t="s">
        <v>89</v>
      </c>
      <c r="L737" s="13" t="s">
        <v>26</v>
      </c>
      <c r="M737" s="25"/>
      <c r="O737" s="25"/>
      <c r="AB737" s="25"/>
    </row>
    <row r="738" spans="1:28" s="110" customFormat="1" ht="12" customHeight="1" outlineLevel="2" thickBot="1" x14ac:dyDescent="0.3">
      <c r="A738" s="374"/>
      <c r="B738" s="385"/>
      <c r="C738" s="377"/>
      <c r="D738" s="112"/>
      <c r="G738" s="112" t="s">
        <v>89</v>
      </c>
      <c r="H738" s="112" t="s">
        <v>89</v>
      </c>
      <c r="I738" s="112" t="s">
        <v>89</v>
      </c>
      <c r="J738" s="112" t="s">
        <v>89</v>
      </c>
      <c r="K738" s="112" t="s">
        <v>89</v>
      </c>
      <c r="L738" s="110" t="s">
        <v>25</v>
      </c>
    </row>
    <row r="739" spans="1:28" ht="12" customHeight="1" outlineLevel="3" x14ac:dyDescent="0.25">
      <c r="A739" s="374"/>
      <c r="B739" s="385"/>
      <c r="C739" s="377"/>
      <c r="G739" s="40" t="s">
        <v>89</v>
      </c>
      <c r="H739" s="40" t="s">
        <v>89</v>
      </c>
      <c r="I739" s="40" t="s">
        <v>89</v>
      </c>
      <c r="J739" s="40" t="s">
        <v>89</v>
      </c>
      <c r="K739" s="40" t="s">
        <v>89</v>
      </c>
      <c r="L739" s="10" t="s">
        <v>29</v>
      </c>
    </row>
    <row r="740" spans="1:28" ht="12" customHeight="1" outlineLevel="3" x14ac:dyDescent="0.25">
      <c r="A740" s="374"/>
      <c r="B740" s="385"/>
      <c r="C740" s="377"/>
      <c r="G740" s="40" t="s">
        <v>89</v>
      </c>
      <c r="H740" s="40" t="s">
        <v>89</v>
      </c>
      <c r="I740" s="40" t="s">
        <v>89</v>
      </c>
      <c r="J740" s="40" t="s">
        <v>89</v>
      </c>
      <c r="K740" s="40" t="s">
        <v>752</v>
      </c>
      <c r="L740" s="12" t="s">
        <v>32</v>
      </c>
      <c r="M740" s="41">
        <f>O740</f>
        <v>70</v>
      </c>
      <c r="N740" s="15" t="s">
        <v>829</v>
      </c>
      <c r="O740" s="11">
        <v>70</v>
      </c>
    </row>
    <row r="741" spans="1:28" ht="12" customHeight="1" outlineLevel="3" thickBot="1" x14ac:dyDescent="0.3">
      <c r="A741" s="374"/>
      <c r="B741" s="385"/>
      <c r="C741" s="377"/>
      <c r="G741" s="40" t="s">
        <v>89</v>
      </c>
      <c r="H741" s="40" t="s">
        <v>89</v>
      </c>
      <c r="I741" s="40" t="s">
        <v>89</v>
      </c>
      <c r="J741" s="40" t="s">
        <v>89</v>
      </c>
      <c r="K741" s="40" t="s">
        <v>752</v>
      </c>
      <c r="L741" s="12" t="s">
        <v>33</v>
      </c>
      <c r="M741" s="83">
        <f>O741</f>
        <v>0.5</v>
      </c>
      <c r="N741" s="15" t="s">
        <v>830</v>
      </c>
      <c r="O741" s="11">
        <v>0.5</v>
      </c>
    </row>
    <row r="742" spans="1:28" ht="12" customHeight="1" outlineLevel="3" thickBot="1" x14ac:dyDescent="0.3">
      <c r="A742" s="374"/>
      <c r="B742" s="385"/>
      <c r="C742" s="377"/>
      <c r="G742" s="40" t="s">
        <v>89</v>
      </c>
      <c r="H742" s="40" t="s">
        <v>89</v>
      </c>
      <c r="I742" s="40" t="s">
        <v>89</v>
      </c>
      <c r="J742" s="40" t="s">
        <v>89</v>
      </c>
      <c r="K742" s="40" t="s">
        <v>752</v>
      </c>
      <c r="L742" s="10" t="s">
        <v>24</v>
      </c>
      <c r="M742" s="16">
        <v>4</v>
      </c>
      <c r="N742" s="15" t="s">
        <v>831</v>
      </c>
    </row>
    <row r="743" spans="1:28" ht="12" customHeight="1" outlineLevel="3" thickBot="1" x14ac:dyDescent="0.3">
      <c r="A743" s="374"/>
      <c r="B743" s="385"/>
      <c r="C743" s="377"/>
      <c r="G743" s="40" t="s">
        <v>89</v>
      </c>
      <c r="H743" s="40" t="s">
        <v>89</v>
      </c>
      <c r="I743" s="40" t="s">
        <v>89</v>
      </c>
      <c r="J743" s="40" t="s">
        <v>89</v>
      </c>
      <c r="K743" s="40" t="s">
        <v>752</v>
      </c>
      <c r="L743" s="29" t="s">
        <v>138</v>
      </c>
      <c r="M743" s="41">
        <f>O743</f>
        <v>10</v>
      </c>
      <c r="N743" s="15" t="s">
        <v>832</v>
      </c>
      <c r="O743" s="11">
        <f>CHOOSE(swtchDurHPE, maxDurHPE, S743, maxDurHPE)</f>
        <v>10</v>
      </c>
      <c r="P743" s="11"/>
      <c r="S743" s="159">
        <v>10</v>
      </c>
    </row>
    <row r="744" spans="1:28" s="110" customFormat="1" ht="12" customHeight="1" outlineLevel="2" thickBot="1" x14ac:dyDescent="0.3">
      <c r="A744" s="374"/>
      <c r="B744" s="385"/>
      <c r="C744" s="377"/>
      <c r="D744" s="112"/>
      <c r="G744" s="112" t="s">
        <v>89</v>
      </c>
      <c r="H744" s="112" t="s">
        <v>89</v>
      </c>
      <c r="I744" s="112" t="s">
        <v>89</v>
      </c>
      <c r="J744" s="112" t="s">
        <v>89</v>
      </c>
      <c r="K744" s="112" t="s">
        <v>89</v>
      </c>
      <c r="L744" s="110" t="s">
        <v>319</v>
      </c>
    </row>
    <row r="745" spans="1:28" s="133" customFormat="1" ht="12" customHeight="1" outlineLevel="3" thickBot="1" x14ac:dyDescent="0.3">
      <c r="A745" s="374"/>
      <c r="B745" s="385"/>
      <c r="C745" s="377"/>
      <c r="D745" s="11"/>
      <c r="G745" s="11" t="s">
        <v>89</v>
      </c>
      <c r="H745" s="11" t="s">
        <v>89</v>
      </c>
      <c r="I745" s="11" t="s">
        <v>89</v>
      </c>
      <c r="J745" s="11" t="s">
        <v>89</v>
      </c>
      <c r="K745" s="11" t="s">
        <v>752</v>
      </c>
      <c r="L745" s="29" t="s">
        <v>308</v>
      </c>
      <c r="M745" s="16">
        <f>O745</f>
        <v>1</v>
      </c>
      <c r="N745" s="15" t="s">
        <v>862</v>
      </c>
      <c r="O745" s="11">
        <v>1</v>
      </c>
      <c r="P745" s="11"/>
      <c r="AB745" s="11"/>
    </row>
    <row r="746" spans="1:28" s="133" customFormat="1" ht="12" customHeight="1" outlineLevel="3" thickBot="1" x14ac:dyDescent="0.3">
      <c r="A746" s="374"/>
      <c r="B746" s="385"/>
      <c r="C746" s="377"/>
      <c r="D746" s="11"/>
      <c r="G746" s="11" t="s">
        <v>89</v>
      </c>
      <c r="H746" s="11" t="s">
        <v>89</v>
      </c>
      <c r="I746" s="11" t="s">
        <v>89</v>
      </c>
      <c r="J746" s="11" t="s">
        <v>89</v>
      </c>
      <c r="K746" s="11" t="s">
        <v>752</v>
      </c>
      <c r="L746" s="29" t="s">
        <v>322</v>
      </c>
      <c r="M746" s="16">
        <f>O746</f>
        <v>1</v>
      </c>
      <c r="N746" s="15" t="s">
        <v>861</v>
      </c>
      <c r="O746" s="11">
        <v>1</v>
      </c>
      <c r="P746" s="11"/>
      <c r="AB746" s="11"/>
    </row>
    <row r="747" spans="1:28" s="13" customFormat="1" ht="12" customHeight="1" outlineLevel="1" thickBot="1" x14ac:dyDescent="0.3">
      <c r="A747" s="374"/>
      <c r="B747" s="385"/>
      <c r="C747" s="377"/>
      <c r="D747" s="196"/>
      <c r="E747" s="179"/>
      <c r="F747" s="179"/>
      <c r="G747" s="196" t="s">
        <v>89</v>
      </c>
      <c r="H747" s="196" t="s">
        <v>89</v>
      </c>
      <c r="I747" s="196" t="s">
        <v>89</v>
      </c>
      <c r="J747" s="196" t="s">
        <v>89</v>
      </c>
      <c r="K747" s="196" t="s">
        <v>89</v>
      </c>
      <c r="L747" s="13" t="s">
        <v>400</v>
      </c>
      <c r="M747" s="25"/>
      <c r="O747" s="25"/>
      <c r="AB747" s="25"/>
    </row>
    <row r="748" spans="1:28" s="110" customFormat="1" ht="12" customHeight="1" outlineLevel="2" thickBot="1" x14ac:dyDescent="0.3">
      <c r="A748" s="374"/>
      <c r="B748" s="385"/>
      <c r="C748" s="377"/>
      <c r="D748" s="112"/>
      <c r="G748" s="112" t="s">
        <v>89</v>
      </c>
      <c r="H748" s="112" t="s">
        <v>89</v>
      </c>
      <c r="I748" s="112" t="s">
        <v>89</v>
      </c>
      <c r="J748" s="112" t="s">
        <v>89</v>
      </c>
      <c r="K748" s="112" t="s">
        <v>89</v>
      </c>
      <c r="L748" s="110" t="s">
        <v>686</v>
      </c>
    </row>
    <row r="749" spans="1:28" ht="12" customHeight="1" outlineLevel="3" x14ac:dyDescent="0.25">
      <c r="A749" s="374"/>
      <c r="B749" s="385"/>
      <c r="C749" s="377"/>
      <c r="G749" s="40" t="s">
        <v>89</v>
      </c>
      <c r="H749" s="40" t="s">
        <v>89</v>
      </c>
      <c r="I749" s="40" t="s">
        <v>89</v>
      </c>
      <c r="J749" s="40" t="s">
        <v>89</v>
      </c>
      <c r="K749" s="40" t="s">
        <v>89</v>
      </c>
      <c r="L749" s="10" t="s">
        <v>130</v>
      </c>
    </row>
    <row r="750" spans="1:28" ht="12" customHeight="1" outlineLevel="3" x14ac:dyDescent="0.25">
      <c r="A750" s="374"/>
      <c r="B750" s="385"/>
      <c r="C750" s="377"/>
      <c r="G750" s="40" t="s">
        <v>89</v>
      </c>
      <c r="H750" s="40" t="s">
        <v>89</v>
      </c>
      <c r="I750" s="40" t="s">
        <v>89</v>
      </c>
      <c r="J750" s="40" t="s">
        <v>89</v>
      </c>
      <c r="K750" s="40" t="s">
        <v>89</v>
      </c>
      <c r="L750" s="151" t="s">
        <v>114</v>
      </c>
    </row>
    <row r="751" spans="1:28" ht="12" customHeight="1" outlineLevel="3" x14ac:dyDescent="0.25">
      <c r="A751" s="374"/>
      <c r="B751" s="385"/>
      <c r="C751" s="377"/>
      <c r="G751" s="40" t="s">
        <v>89</v>
      </c>
      <c r="H751" s="40" t="s">
        <v>89</v>
      </c>
      <c r="I751" s="40" t="s">
        <v>89</v>
      </c>
      <c r="J751" s="40" t="s">
        <v>89</v>
      </c>
      <c r="K751" s="40" t="s">
        <v>752</v>
      </c>
      <c r="L751" s="157" t="s">
        <v>108</v>
      </c>
      <c r="M751" s="150">
        <f>O751</f>
        <v>4.8392282958199364E-3</v>
      </c>
      <c r="O751" s="103">
        <f>S751</f>
        <v>4.8392282958199364E-3</v>
      </c>
      <c r="Q751" s="202">
        <f>Q885</f>
        <v>8885.7142857142844</v>
      </c>
      <c r="R751" s="14">
        <v>43</v>
      </c>
      <c r="S751" s="84">
        <f>R751/Q751</f>
        <v>4.8392282958199364E-3</v>
      </c>
      <c r="U751" s="22">
        <f>1/SQRT(R751)</f>
        <v>0.15249857033260467</v>
      </c>
      <c r="V751" s="22">
        <f>vbRateCILo(Q751, R751, 0)</f>
        <v>3.5021735126008089E-3</v>
      </c>
      <c r="X751" s="22">
        <f>vbRateCIhi(Q751, R751, 0)</f>
        <v>6.5184087567955861E-3</v>
      </c>
      <c r="Y751" s="32" t="s">
        <v>284</v>
      </c>
      <c r="AB751"/>
    </row>
    <row r="752" spans="1:28" ht="12" customHeight="1" outlineLevel="3" x14ac:dyDescent="0.25">
      <c r="A752" s="374"/>
      <c r="B752" s="385"/>
      <c r="C752" s="377"/>
      <c r="G752" s="40" t="s">
        <v>89</v>
      </c>
      <c r="H752" s="40" t="s">
        <v>89</v>
      </c>
      <c r="I752" s="40" t="s">
        <v>89</v>
      </c>
      <c r="J752" s="40" t="s">
        <v>89</v>
      </c>
      <c r="K752" s="40" t="s">
        <v>752</v>
      </c>
      <c r="L752" s="152" t="s">
        <v>109</v>
      </c>
      <c r="M752" s="150">
        <f>O752</f>
        <v>5.9383458646616538E-2</v>
      </c>
      <c r="O752" s="103">
        <f>S752</f>
        <v>5.9383458646616538E-2</v>
      </c>
      <c r="Q752" s="202">
        <f>Q884</f>
        <v>6045.454545454546</v>
      </c>
      <c r="R752" s="14">
        <v>359</v>
      </c>
      <c r="S752" s="84">
        <f>R752/Q752</f>
        <v>5.9383458646616538E-2</v>
      </c>
      <c r="U752" s="22">
        <f>1/SQRT(R752)</f>
        <v>5.2777981396925952E-2</v>
      </c>
      <c r="V752" s="22">
        <f>vbRateCILo(Q752, R752, 0)</f>
        <v>5.339879986311187E-2</v>
      </c>
      <c r="X752" s="22">
        <f>vbRateCIhi(Q752, R752, 0)</f>
        <v>6.5855363627998889E-2</v>
      </c>
      <c r="Y752" s="32" t="s">
        <v>284</v>
      </c>
      <c r="AB752"/>
    </row>
    <row r="753" spans="1:31" ht="12" customHeight="1" outlineLevel="3" x14ac:dyDescent="0.25">
      <c r="A753" s="374"/>
      <c r="B753" s="385"/>
      <c r="C753" s="377"/>
      <c r="G753" s="40" t="s">
        <v>89</v>
      </c>
      <c r="H753" s="40" t="s">
        <v>89</v>
      </c>
      <c r="I753" s="40" t="s">
        <v>89</v>
      </c>
      <c r="J753" s="40" t="s">
        <v>89</v>
      </c>
      <c r="K753" s="40" t="s">
        <v>752</v>
      </c>
      <c r="L753" s="158" t="s">
        <v>111</v>
      </c>
      <c r="M753" s="145">
        <f>O753</f>
        <v>2.692354527267983E-2</v>
      </c>
      <c r="O753" s="103">
        <f>CHOOSE(swtchPSA, S753, AB753)</f>
        <v>2.692354527267983E-2</v>
      </c>
      <c r="Q753" s="202">
        <f>Q751+Q752</f>
        <v>14931.16883116883</v>
      </c>
      <c r="R753" s="143">
        <f>R751+R752</f>
        <v>402</v>
      </c>
      <c r="S753" s="84">
        <f>R753/Q753</f>
        <v>2.692354527267983E-2</v>
      </c>
      <c r="U753" s="22">
        <f>1/SQRT(R753)</f>
        <v>4.9875466805381644E-2</v>
      </c>
      <c r="V753" s="22">
        <f>vbRateCILo(Q753, R753, 0)</f>
        <v>2.4355655220437106E-2</v>
      </c>
      <c r="X753" s="22">
        <f>vbRateCIhi(Q753, R753, 0)</f>
        <v>2.9688528034927938E-2</v>
      </c>
      <c r="AA753" s="19">
        <f ca="1">RAND()</f>
        <v>0.59021025327381604</v>
      </c>
      <c r="AB753" s="102">
        <f ca="1">_xlfn.LOGNORM.INV(AA753, AD753, AE753)</f>
        <v>2.7231573250645878E-2</v>
      </c>
      <c r="AC753" s="15" t="s">
        <v>20</v>
      </c>
      <c r="AD753" s="27">
        <f>LN(S753)</f>
        <v>-3.6147540862691265</v>
      </c>
      <c r="AE753" s="26">
        <f>U753</f>
        <v>4.9875466805381644E-2</v>
      </c>
    </row>
    <row r="754" spans="1:31" ht="12" customHeight="1" outlineLevel="3" x14ac:dyDescent="0.25">
      <c r="A754" s="374"/>
      <c r="B754" s="385"/>
      <c r="C754" s="377"/>
      <c r="G754" s="40" t="s">
        <v>89</v>
      </c>
      <c r="H754" s="40" t="s">
        <v>89</v>
      </c>
      <c r="I754" s="40" t="s">
        <v>89</v>
      </c>
      <c r="J754" s="40" t="s">
        <v>89</v>
      </c>
      <c r="K754" s="40" t="s">
        <v>89</v>
      </c>
      <c r="L754" s="151" t="s">
        <v>113</v>
      </c>
    </row>
    <row r="755" spans="1:31" ht="12" customHeight="1" outlineLevel="3" x14ac:dyDescent="0.25">
      <c r="A755" s="374"/>
      <c r="B755" s="385"/>
      <c r="C755" s="377"/>
      <c r="G755" s="40" t="s">
        <v>89</v>
      </c>
      <c r="H755" s="40" t="s">
        <v>89</v>
      </c>
      <c r="I755" s="40" t="s">
        <v>89</v>
      </c>
      <c r="J755" s="40" t="s">
        <v>89</v>
      </c>
      <c r="K755" s="40" t="s">
        <v>752</v>
      </c>
      <c r="L755" s="158" t="s">
        <v>111</v>
      </c>
      <c r="M755" s="169">
        <f>O755</f>
        <v>6.7082846410596586E-3</v>
      </c>
      <c r="N755" s="195" t="s">
        <v>837</v>
      </c>
      <c r="O755" s="11">
        <f>vbratetoprob(M753, E.cycleLength)</f>
        <v>6.7082846410596586E-3</v>
      </c>
    </row>
    <row r="756" spans="1:31" ht="12" customHeight="1" outlineLevel="3" x14ac:dyDescent="0.25">
      <c r="A756" s="374"/>
      <c r="B756" s="385"/>
      <c r="C756" s="377"/>
      <c r="G756" s="40" t="s">
        <v>89</v>
      </c>
      <c r="H756" s="40" t="s">
        <v>89</v>
      </c>
      <c r="I756" s="40" t="s">
        <v>89</v>
      </c>
      <c r="J756" s="40" t="s">
        <v>89</v>
      </c>
      <c r="K756" s="40" t="s">
        <v>89</v>
      </c>
      <c r="L756" s="10" t="s">
        <v>131</v>
      </c>
    </row>
    <row r="757" spans="1:31" ht="12" customHeight="1" outlineLevel="3" x14ac:dyDescent="0.25">
      <c r="A757" s="374"/>
      <c r="B757" s="385"/>
      <c r="C757" s="377"/>
      <c r="G757" s="40" t="s">
        <v>89</v>
      </c>
      <c r="H757" s="40" t="s">
        <v>89</v>
      </c>
      <c r="I757" s="40" t="s">
        <v>89</v>
      </c>
      <c r="J757" s="40" t="s">
        <v>89</v>
      </c>
      <c r="K757" s="40" t="s">
        <v>89</v>
      </c>
      <c r="L757" s="151" t="s">
        <v>114</v>
      </c>
    </row>
    <row r="758" spans="1:31" ht="12" customHeight="1" outlineLevel="3" x14ac:dyDescent="0.25">
      <c r="A758" s="374"/>
      <c r="B758" s="385"/>
      <c r="C758" s="377"/>
      <c r="G758" s="40" t="s">
        <v>89</v>
      </c>
      <c r="H758" s="40" t="s">
        <v>89</v>
      </c>
      <c r="I758" s="40" t="s">
        <v>89</v>
      </c>
      <c r="J758" s="40" t="s">
        <v>89</v>
      </c>
      <c r="K758" s="40" t="s">
        <v>752</v>
      </c>
      <c r="L758" s="157" t="s">
        <v>108</v>
      </c>
      <c r="M758" s="150">
        <f>O758</f>
        <v>7.9903536977491973E-3</v>
      </c>
      <c r="O758" s="103">
        <f>S758</f>
        <v>7.9903536977491973E-3</v>
      </c>
      <c r="Q758" s="202">
        <f>Q885</f>
        <v>8885.7142857142844</v>
      </c>
      <c r="R758" s="14">
        <v>71</v>
      </c>
      <c r="S758" s="84">
        <f>R758/Q758</f>
        <v>7.9903536977491973E-3</v>
      </c>
      <c r="U758" s="22">
        <f>1/SQRT(R758)</f>
        <v>0.11867816581938533</v>
      </c>
      <c r="V758" s="22">
        <f>vbRateCILo(Q758, R758, 0)</f>
        <v>6.2405325302490877E-3</v>
      </c>
      <c r="X758" s="22">
        <f>vbRateCIhi(Q758, R758, 0)</f>
        <v>1.007874395095988E-2</v>
      </c>
      <c r="Y758" s="32" t="s">
        <v>284</v>
      </c>
      <c r="AB758"/>
    </row>
    <row r="759" spans="1:31" ht="12" customHeight="1" outlineLevel="3" x14ac:dyDescent="0.25">
      <c r="A759" s="374"/>
      <c r="B759" s="385"/>
      <c r="C759" s="377"/>
      <c r="G759" s="40" t="s">
        <v>89</v>
      </c>
      <c r="H759" s="40" t="s">
        <v>89</v>
      </c>
      <c r="I759" s="40" t="s">
        <v>89</v>
      </c>
      <c r="J759" s="40" t="s">
        <v>89</v>
      </c>
      <c r="K759" s="40" t="s">
        <v>752</v>
      </c>
      <c r="L759" s="152" t="s">
        <v>109</v>
      </c>
      <c r="M759" s="150">
        <f>O759</f>
        <v>7.9563909774436087E-2</v>
      </c>
      <c r="O759" s="103">
        <f>S759</f>
        <v>7.9563909774436087E-2</v>
      </c>
      <c r="Q759" s="202">
        <f>Q884</f>
        <v>6045.454545454546</v>
      </c>
      <c r="R759" s="14">
        <v>481</v>
      </c>
      <c r="S759" s="84">
        <f>R759/Q759</f>
        <v>7.9563909774436087E-2</v>
      </c>
      <c r="U759" s="22">
        <f>1/SQRT(R759)</f>
        <v>4.5596075258755323E-2</v>
      </c>
      <c r="V759" s="22">
        <f>vbRateCILo(Q759, R759, 0)</f>
        <v>7.2611493386142034E-2</v>
      </c>
      <c r="X759" s="22">
        <f>vbRateCIhi(Q759, R759, 0)</f>
        <v>8.7002425436765798E-2</v>
      </c>
      <c r="Y759" s="32" t="s">
        <v>284</v>
      </c>
      <c r="AB759"/>
    </row>
    <row r="760" spans="1:31" ht="12" customHeight="1" outlineLevel="3" x14ac:dyDescent="0.25">
      <c r="A760" s="374"/>
      <c r="B760" s="385"/>
      <c r="C760" s="377"/>
      <c r="G760" s="40" t="s">
        <v>89</v>
      </c>
      <c r="H760" s="40" t="s">
        <v>89</v>
      </c>
      <c r="I760" s="40" t="s">
        <v>89</v>
      </c>
      <c r="J760" s="40" t="s">
        <v>89</v>
      </c>
      <c r="K760" s="40" t="s">
        <v>752</v>
      </c>
      <c r="L760" s="158" t="s">
        <v>111</v>
      </c>
      <c r="M760" s="145">
        <f>O760</f>
        <v>3.6969644255023054E-2</v>
      </c>
      <c r="O760" s="103">
        <f>CHOOSE(swtchPSA, S760, AB760)</f>
        <v>3.6969644255023054E-2</v>
      </c>
      <c r="Q760" s="202">
        <f>Q758+Q759</f>
        <v>14931.16883116883</v>
      </c>
      <c r="R760" s="143">
        <f>R758+R759</f>
        <v>552</v>
      </c>
      <c r="S760" s="84">
        <f>R760/Q760</f>
        <v>3.6969644255023054E-2</v>
      </c>
      <c r="U760" s="22">
        <f>1/SQRT(R760)</f>
        <v>4.2562826537937429E-2</v>
      </c>
      <c r="V760" s="22">
        <f>vbRateCILo(Q760, R760, 0)</f>
        <v>3.3949493481184922E-2</v>
      </c>
      <c r="X760" s="22">
        <f>vbRateCIhi(Q760, R760, 0)</f>
        <v>4.0186414448464269E-2</v>
      </c>
      <c r="AA760" s="19">
        <f ca="1">RAND()</f>
        <v>0.46941574837469402</v>
      </c>
      <c r="AB760" s="102">
        <f ca="1">_xlfn.LOGNORM.INV(AA760, AD760, AE760)</f>
        <v>3.6849090553874544E-2</v>
      </c>
      <c r="AC760" s="15" t="s">
        <v>20</v>
      </c>
      <c r="AD760" s="27">
        <f>LN(S760)</f>
        <v>-3.2976581286110522</v>
      </c>
      <c r="AE760" s="26">
        <f>U760</f>
        <v>4.2562826537937429E-2</v>
      </c>
    </row>
    <row r="761" spans="1:31" ht="12" customHeight="1" outlineLevel="3" x14ac:dyDescent="0.25">
      <c r="A761" s="374"/>
      <c r="B761" s="385"/>
      <c r="C761" s="377"/>
      <c r="G761" s="40" t="s">
        <v>89</v>
      </c>
      <c r="H761" s="40" t="s">
        <v>89</v>
      </c>
      <c r="I761" s="40" t="s">
        <v>89</v>
      </c>
      <c r="J761" s="40" t="s">
        <v>89</v>
      </c>
      <c r="K761" s="40" t="s">
        <v>752</v>
      </c>
      <c r="L761" s="152" t="s">
        <v>110</v>
      </c>
      <c r="M761" s="146">
        <f>O761</f>
        <v>0.14911392405063292</v>
      </c>
      <c r="O761" s="103">
        <f>CHOOSE(swtchPSA, S761, AB761)</f>
        <v>0.14911392405063292</v>
      </c>
      <c r="Q761" s="202">
        <f>Q887</f>
        <v>3950</v>
      </c>
      <c r="R761" s="14">
        <v>589</v>
      </c>
      <c r="S761" s="84">
        <f>R761/Q761</f>
        <v>0.14911392405063292</v>
      </c>
      <c r="U761" s="22">
        <f>1/SQRT(R761)</f>
        <v>4.1204282171516463E-2</v>
      </c>
      <c r="V761" s="22">
        <f>vbRateCILo(Q761, R761, 0)</f>
        <v>0.1373131956874665</v>
      </c>
      <c r="X761" s="22">
        <f>vbRateCIhi(Q761, R761, 0)</f>
        <v>0.16165754938326157</v>
      </c>
      <c r="Y761" s="32" t="s">
        <v>284</v>
      </c>
      <c r="AA761" s="19">
        <f ca="1">RAND()</f>
        <v>0.62529425358337942</v>
      </c>
      <c r="AB761" s="102">
        <f ca="1">_xlfn.LOGNORM.INV(AA761, AD761, AE761)</f>
        <v>0.15108942639111636</v>
      </c>
      <c r="AC761" s="15" t="s">
        <v>20</v>
      </c>
      <c r="AD761" s="27">
        <f>LN(S761)</f>
        <v>-1.9030446742435807</v>
      </c>
      <c r="AE761" s="26">
        <f>U761</f>
        <v>4.1204282171516463E-2</v>
      </c>
    </row>
    <row r="762" spans="1:31" ht="12" customHeight="1" outlineLevel="3" x14ac:dyDescent="0.25">
      <c r="A762" s="374"/>
      <c r="B762" s="385"/>
      <c r="C762" s="377"/>
      <c r="G762" s="40" t="s">
        <v>89</v>
      </c>
      <c r="H762" s="40" t="s">
        <v>89</v>
      </c>
      <c r="I762" s="40" t="s">
        <v>89</v>
      </c>
      <c r="J762" s="40" t="s">
        <v>89</v>
      </c>
      <c r="K762" s="40" t="s">
        <v>89</v>
      </c>
      <c r="L762" s="151" t="s">
        <v>113</v>
      </c>
    </row>
    <row r="763" spans="1:31" ht="12" customHeight="1" outlineLevel="3" x14ac:dyDescent="0.25">
      <c r="A763" s="374"/>
      <c r="B763" s="385"/>
      <c r="C763" s="377"/>
      <c r="G763" s="40" t="s">
        <v>89</v>
      </c>
      <c r="H763" s="40" t="s">
        <v>89</v>
      </c>
      <c r="I763" s="40" t="s">
        <v>89</v>
      </c>
      <c r="J763" s="40" t="s">
        <v>89</v>
      </c>
      <c r="K763" s="40" t="s">
        <v>752</v>
      </c>
      <c r="L763" s="158" t="s">
        <v>111</v>
      </c>
      <c r="M763" s="145">
        <f>O763</f>
        <v>9.1998312635980239E-3</v>
      </c>
      <c r="N763" s="195" t="s">
        <v>841</v>
      </c>
      <c r="O763" s="11">
        <f>vbratetoprob(M760, E.cycleLength)</f>
        <v>9.1998312635980239E-3</v>
      </c>
    </row>
    <row r="764" spans="1:31" ht="12" customHeight="1" outlineLevel="3" x14ac:dyDescent="0.25">
      <c r="A764" s="374"/>
      <c r="B764" s="385"/>
      <c r="C764" s="377"/>
      <c r="G764" s="40" t="s">
        <v>89</v>
      </c>
      <c r="H764" s="40" t="s">
        <v>89</v>
      </c>
      <c r="I764" s="40" t="s">
        <v>89</v>
      </c>
      <c r="J764" s="40" t="s">
        <v>89</v>
      </c>
      <c r="K764" s="40" t="s">
        <v>752</v>
      </c>
      <c r="L764" s="152" t="s">
        <v>110</v>
      </c>
      <c r="M764" s="145">
        <f>O764</f>
        <v>3.6592192793112654E-2</v>
      </c>
      <c r="N764" s="195" t="s">
        <v>842</v>
      </c>
      <c r="O764" s="11">
        <f>vbratetoprob(M761, E.cycleLength)</f>
        <v>3.6592192793112654E-2</v>
      </c>
    </row>
    <row r="765" spans="1:31" ht="12" customHeight="1" outlineLevel="3" x14ac:dyDescent="0.25">
      <c r="A765" s="374"/>
      <c r="B765" s="385"/>
      <c r="C765" s="377"/>
      <c r="G765" s="40" t="s">
        <v>89</v>
      </c>
      <c r="H765" s="40" t="s">
        <v>89</v>
      </c>
      <c r="I765" s="40" t="s">
        <v>89</v>
      </c>
      <c r="J765" s="40" t="s">
        <v>89</v>
      </c>
      <c r="K765" s="40" t="s">
        <v>89</v>
      </c>
      <c r="L765" s="10" t="s">
        <v>132</v>
      </c>
    </row>
    <row r="766" spans="1:31" ht="12" customHeight="1" outlineLevel="3" x14ac:dyDescent="0.25">
      <c r="A766" s="374"/>
      <c r="B766" s="385"/>
      <c r="C766" s="377"/>
      <c r="G766" s="40" t="s">
        <v>89</v>
      </c>
      <c r="H766" s="40" t="s">
        <v>89</v>
      </c>
      <c r="I766" s="40" t="s">
        <v>89</v>
      </c>
      <c r="J766" s="40" t="s">
        <v>89</v>
      </c>
      <c r="K766" s="40" t="s">
        <v>89</v>
      </c>
      <c r="L766" s="151" t="s">
        <v>114</v>
      </c>
    </row>
    <row r="767" spans="1:31" ht="12" customHeight="1" outlineLevel="3" x14ac:dyDescent="0.25">
      <c r="A767" s="374"/>
      <c r="B767" s="385"/>
      <c r="C767" s="377"/>
      <c r="G767" s="40" t="s">
        <v>89</v>
      </c>
      <c r="H767" s="40" t="s">
        <v>89</v>
      </c>
      <c r="I767" s="40" t="s">
        <v>89</v>
      </c>
      <c r="J767" s="40" t="s">
        <v>89</v>
      </c>
      <c r="K767" s="40" t="s">
        <v>752</v>
      </c>
      <c r="L767" s="158" t="s">
        <v>111</v>
      </c>
      <c r="M767" s="160">
        <f>O767</f>
        <v>0</v>
      </c>
      <c r="O767" s="103">
        <f>S767</f>
        <v>0</v>
      </c>
      <c r="S767" s="159">
        <v>0</v>
      </c>
      <c r="AB767"/>
    </row>
    <row r="768" spans="1:31" ht="12" customHeight="1" outlineLevel="3" x14ac:dyDescent="0.25">
      <c r="A768" s="374"/>
      <c r="B768" s="385"/>
      <c r="C768" s="377"/>
      <c r="G768" s="40" t="s">
        <v>89</v>
      </c>
      <c r="H768" s="40" t="s">
        <v>89</v>
      </c>
      <c r="I768" s="40" t="s">
        <v>89</v>
      </c>
      <c r="J768" s="40" t="s">
        <v>89</v>
      </c>
      <c r="K768" s="40" t="s">
        <v>752</v>
      </c>
      <c r="L768" s="152" t="s">
        <v>110</v>
      </c>
      <c r="M768" s="146">
        <f>O768</f>
        <v>5.3417721518987341E-2</v>
      </c>
      <c r="O768" s="103">
        <f>CHOOSE(E.swtchTx.OnOff, CHOOSE(swtchPSA, S768, AB768), 0)</f>
        <v>5.3417721518987341E-2</v>
      </c>
      <c r="Q768" s="202">
        <f>Q887</f>
        <v>3950</v>
      </c>
      <c r="R768" s="14">
        <v>211</v>
      </c>
      <c r="S768" s="84">
        <f>R768/Q768</f>
        <v>5.3417721518987341E-2</v>
      </c>
      <c r="U768" s="22">
        <f>1/SQRT(R768)</f>
        <v>6.8842839082151427E-2</v>
      </c>
      <c r="V768" s="22">
        <f>vbRateCILo(Q768, R768, 0)</f>
        <v>4.6452793759854144E-2</v>
      </c>
      <c r="X768" s="22">
        <f>vbRateCIhi(Q768, R768, 0)</f>
        <v>6.1132288186732657E-2</v>
      </c>
      <c r="Y768" s="32" t="s">
        <v>284</v>
      </c>
      <c r="AA768" s="19">
        <f ca="1">RAND()</f>
        <v>0.62883474114575455</v>
      </c>
      <c r="AB768" s="102">
        <f ca="1">_xlfn.LOGNORM.INV(AA768, AD768, AE768)</f>
        <v>5.4640530583217606E-2</v>
      </c>
      <c r="AC768" s="15" t="s">
        <v>20</v>
      </c>
      <c r="AD768" s="27">
        <f>LN(S768)</f>
        <v>-2.9296127244191013</v>
      </c>
      <c r="AE768" s="26">
        <f>U768</f>
        <v>6.8842839082151427E-2</v>
      </c>
    </row>
    <row r="769" spans="1:31" ht="12" customHeight="1" outlineLevel="3" x14ac:dyDescent="0.25">
      <c r="A769" s="374"/>
      <c r="B769" s="385"/>
      <c r="C769" s="377"/>
      <c r="G769" s="40" t="s">
        <v>89</v>
      </c>
      <c r="H769" s="40" t="s">
        <v>89</v>
      </c>
      <c r="I769" s="40" t="s">
        <v>89</v>
      </c>
      <c r="J769" s="40" t="s">
        <v>89</v>
      </c>
      <c r="K769" s="40" t="s">
        <v>752</v>
      </c>
      <c r="L769" s="152" t="s">
        <v>112</v>
      </c>
      <c r="M769" s="146">
        <f>O769</f>
        <v>6.5287790697674417E-2</v>
      </c>
      <c r="O769" s="103">
        <f>CHOOSE(E.swtchTx.OnOff, CHOOSE(swtchPSA, S769, AB769), 0)</f>
        <v>6.5287790697674417E-2</v>
      </c>
      <c r="Q769" s="202">
        <f>Q888</f>
        <v>9297.2972972972966</v>
      </c>
      <c r="R769" s="14">
        <v>607</v>
      </c>
      <c r="S769" s="84">
        <f>R769/Q769</f>
        <v>6.5287790697674417E-2</v>
      </c>
      <c r="U769" s="22">
        <f>1/SQRT(R769)</f>
        <v>4.0588747923409947E-2</v>
      </c>
      <c r="V769" s="22">
        <f>vbRateCILo(Q769, R769, 0)</f>
        <v>6.0196597177225954E-2</v>
      </c>
      <c r="X769" s="22">
        <f>vbRateCIhi(Q769, R769, 0)</f>
        <v>7.0694543360532283E-2</v>
      </c>
      <c r="Y769" s="32" t="s">
        <v>284</v>
      </c>
      <c r="AA769" s="19">
        <f ca="1">RAND()</f>
        <v>0.59043318811782486</v>
      </c>
      <c r="AB769" s="102">
        <f ca="1">_xlfn.LOGNORM.INV(AA769, AD769, AE769)</f>
        <v>6.5896547265775249E-2</v>
      </c>
      <c r="AC769" s="15" t="s">
        <v>20</v>
      </c>
      <c r="AD769" s="27">
        <f>LN(S769)</f>
        <v>-2.7289502326518127</v>
      </c>
      <c r="AE769" s="26">
        <f>U769</f>
        <v>4.0588747923409947E-2</v>
      </c>
    </row>
    <row r="770" spans="1:31" ht="12" customHeight="1" outlineLevel="3" x14ac:dyDescent="0.25">
      <c r="A770" s="374"/>
      <c r="B770" s="385"/>
      <c r="C770" s="377"/>
      <c r="G770" s="40" t="s">
        <v>89</v>
      </c>
      <c r="H770" s="40" t="s">
        <v>89</v>
      </c>
      <c r="I770" s="40" t="s">
        <v>89</v>
      </c>
      <c r="J770" s="40" t="s">
        <v>89</v>
      </c>
      <c r="K770" s="40" t="s">
        <v>89</v>
      </c>
      <c r="L770" s="151" t="s">
        <v>113</v>
      </c>
    </row>
    <row r="771" spans="1:31" ht="12" customHeight="1" outlineLevel="3" x14ac:dyDescent="0.25">
      <c r="A771" s="374"/>
      <c r="B771" s="385"/>
      <c r="C771" s="377"/>
      <c r="G771" s="40" t="s">
        <v>89</v>
      </c>
      <c r="H771" s="40" t="s">
        <v>89</v>
      </c>
      <c r="I771" s="40" t="s">
        <v>89</v>
      </c>
      <c r="J771" s="40" t="s">
        <v>89</v>
      </c>
      <c r="K771" s="40" t="s">
        <v>752</v>
      </c>
      <c r="L771" s="158" t="s">
        <v>111</v>
      </c>
      <c r="M771" s="161">
        <f>O771</f>
        <v>0</v>
      </c>
      <c r="N771" s="195" t="s">
        <v>846</v>
      </c>
      <c r="O771" s="11">
        <f>vbratetoprob(M767, E.cycleLength)</f>
        <v>0</v>
      </c>
    </row>
    <row r="772" spans="1:31" ht="12" customHeight="1" outlineLevel="3" x14ac:dyDescent="0.25">
      <c r="A772" s="374"/>
      <c r="B772" s="385"/>
      <c r="C772" s="377"/>
      <c r="G772" s="40" t="s">
        <v>89</v>
      </c>
      <c r="H772" s="40" t="s">
        <v>89</v>
      </c>
      <c r="I772" s="40" t="s">
        <v>89</v>
      </c>
      <c r="J772" s="40" t="s">
        <v>89</v>
      </c>
      <c r="K772" s="40" t="s">
        <v>752</v>
      </c>
      <c r="L772" s="152" t="s">
        <v>110</v>
      </c>
      <c r="M772" s="145">
        <f>O772</f>
        <v>1.3265655592658132E-2</v>
      </c>
      <c r="N772" s="195" t="s">
        <v>847</v>
      </c>
      <c r="O772" s="11">
        <f>vbratetoprob(M768, E.cycleLength)</f>
        <v>1.3265655592658132E-2</v>
      </c>
      <c r="S772" s="154"/>
    </row>
    <row r="773" spans="1:31" ht="12" customHeight="1" outlineLevel="3" x14ac:dyDescent="0.25">
      <c r="A773" s="374"/>
      <c r="B773" s="385"/>
      <c r="C773" s="377"/>
      <c r="G773" s="40" t="s">
        <v>89</v>
      </c>
      <c r="H773" s="40" t="s">
        <v>89</v>
      </c>
      <c r="I773" s="40" t="s">
        <v>89</v>
      </c>
      <c r="J773" s="40" t="s">
        <v>89</v>
      </c>
      <c r="K773" s="40" t="s">
        <v>752</v>
      </c>
      <c r="L773" s="152" t="s">
        <v>112</v>
      </c>
      <c r="M773" s="145">
        <f>O773</f>
        <v>1.6189466449663015E-2</v>
      </c>
      <c r="N773" s="195" t="s">
        <v>848</v>
      </c>
      <c r="O773" s="11">
        <f>vbratetoprob(M769, E.cycleLength)</f>
        <v>1.6189466449663015E-2</v>
      </c>
    </row>
    <row r="774" spans="1:31" ht="12" customHeight="1" outlineLevel="3" x14ac:dyDescent="0.25">
      <c r="A774" s="374"/>
      <c r="B774" s="385"/>
      <c r="C774" s="377"/>
      <c r="G774" s="40" t="s">
        <v>89</v>
      </c>
      <c r="H774" s="40" t="s">
        <v>89</v>
      </c>
      <c r="I774" s="40" t="s">
        <v>89</v>
      </c>
      <c r="J774" s="40" t="s">
        <v>89</v>
      </c>
      <c r="K774" s="40" t="s">
        <v>89</v>
      </c>
      <c r="L774" t="s">
        <v>135</v>
      </c>
    </row>
    <row r="775" spans="1:31" ht="12" customHeight="1" outlineLevel="3" x14ac:dyDescent="0.25">
      <c r="A775" s="374"/>
      <c r="B775" s="385"/>
      <c r="C775" s="377"/>
      <c r="G775" s="40" t="s">
        <v>89</v>
      </c>
      <c r="H775" s="40" t="s">
        <v>89</v>
      </c>
      <c r="I775" s="40" t="s">
        <v>89</v>
      </c>
      <c r="J775" s="40" t="s">
        <v>89</v>
      </c>
      <c r="K775" s="40" t="s">
        <v>752</v>
      </c>
      <c r="L775" s="149" t="s">
        <v>136</v>
      </c>
      <c r="M775" s="36">
        <f>O775</f>
        <v>1.4E-2</v>
      </c>
      <c r="O775" s="11">
        <f>CHOOSE(swtchPSA, S775, AB775)</f>
        <v>1.4E-2</v>
      </c>
      <c r="S775" s="35">
        <v>1.4E-2</v>
      </c>
      <c r="T775" s="18"/>
      <c r="U775" s="28">
        <v>7.0000000000000001E-3</v>
      </c>
      <c r="V775" s="17">
        <f>_xlfn.BETA.INV(0.025, AD775, AE775)</f>
        <v>3.7829301118176583E-3</v>
      </c>
      <c r="W775" s="18"/>
      <c r="X775" s="17">
        <f>_xlfn.BETA.INV(0.975, AD775, AE775)</f>
        <v>3.0650872900790049E-2</v>
      </c>
      <c r="Y775" s="32" t="s">
        <v>241</v>
      </c>
      <c r="AA775" s="19">
        <f ca="1">RAND()</f>
        <v>0.78258364879388231</v>
      </c>
      <c r="AB775" s="21">
        <f ca="1">_xlfn.BETA.INV(AA775, AD775, AE775)</f>
        <v>1.8801320594761362E-2</v>
      </c>
      <c r="AC775" s="20" t="s">
        <v>28</v>
      </c>
      <c r="AD775" s="54">
        <f>(S775^2*(1-S775))/U775^2-S775</f>
        <v>3.93</v>
      </c>
      <c r="AE775" s="55">
        <f>AD775*((1-S775)/S775)</f>
        <v>276.78428571428572</v>
      </c>
    </row>
    <row r="776" spans="1:31" ht="12" customHeight="1" outlineLevel="3" thickBot="1" x14ac:dyDescent="0.3">
      <c r="A776" s="374"/>
      <c r="B776" s="385"/>
      <c r="C776" s="377"/>
      <c r="G776" s="40" t="s">
        <v>89</v>
      </c>
      <c r="H776" s="40" t="s">
        <v>89</v>
      </c>
      <c r="I776" s="40" t="s">
        <v>89</v>
      </c>
      <c r="J776" s="40" t="s">
        <v>89</v>
      </c>
      <c r="K776" s="40" t="s">
        <v>752</v>
      </c>
      <c r="L776" s="151" t="s">
        <v>137</v>
      </c>
      <c r="M776" s="156">
        <f>O776</f>
        <v>3.5185265221873152E-3</v>
      </c>
      <c r="N776" s="195" t="s">
        <v>849</v>
      </c>
      <c r="O776" s="11" cm="1">
        <f t="array" ref="O776">vbprobToProb(M775, E.cyclesPerYear)</f>
        <v>3.5185265221873152E-3</v>
      </c>
    </row>
    <row r="777" spans="1:31" s="110" customFormat="1" ht="12" customHeight="1" outlineLevel="2" thickBot="1" x14ac:dyDescent="0.3">
      <c r="A777" s="374"/>
      <c r="B777" s="385"/>
      <c r="C777" s="377"/>
      <c r="D777" s="112"/>
      <c r="G777" s="112" t="s">
        <v>89</v>
      </c>
      <c r="H777" s="112" t="s">
        <v>89</v>
      </c>
      <c r="I777" s="112" t="s">
        <v>89</v>
      </c>
      <c r="J777" s="112" t="s">
        <v>89</v>
      </c>
      <c r="K777" s="112" t="s">
        <v>89</v>
      </c>
      <c r="L777" s="110" t="s">
        <v>148</v>
      </c>
    </row>
    <row r="778" spans="1:31" ht="12" customHeight="1" outlineLevel="3" x14ac:dyDescent="0.25">
      <c r="A778" s="374"/>
      <c r="B778" s="385"/>
      <c r="C778" s="377"/>
      <c r="G778" s="40" t="s">
        <v>89</v>
      </c>
      <c r="H778" s="40" t="s">
        <v>89</v>
      </c>
      <c r="I778" s="40" t="s">
        <v>89</v>
      </c>
      <c r="J778" s="40" t="s">
        <v>89</v>
      </c>
      <c r="K778" s="40" t="s">
        <v>89</v>
      </c>
      <c r="L778" s="10" t="s">
        <v>121</v>
      </c>
    </row>
    <row r="779" spans="1:31" ht="12" customHeight="1" outlineLevel="3" x14ac:dyDescent="0.25">
      <c r="A779" s="374"/>
      <c r="B779" s="385"/>
      <c r="C779" s="377"/>
      <c r="G779" s="40" t="s">
        <v>89</v>
      </c>
      <c r="H779" s="40" t="s">
        <v>89</v>
      </c>
      <c r="I779" s="40" t="s">
        <v>89</v>
      </c>
      <c r="J779" s="40" t="s">
        <v>89</v>
      </c>
      <c r="K779" s="40" t="s">
        <v>89</v>
      </c>
      <c r="L779" s="151" t="s">
        <v>118</v>
      </c>
    </row>
    <row r="780" spans="1:31" ht="12" customHeight="1" outlineLevel="3" x14ac:dyDescent="0.25">
      <c r="A780" s="374"/>
      <c r="B780" s="385"/>
      <c r="C780" s="377"/>
      <c r="G780" s="40" t="s">
        <v>89</v>
      </c>
      <c r="H780" s="40" t="s">
        <v>89</v>
      </c>
      <c r="I780" s="40" t="s">
        <v>89</v>
      </c>
      <c r="J780" s="40" t="s">
        <v>89</v>
      </c>
      <c r="K780" s="40" t="s">
        <v>752</v>
      </c>
      <c r="L780" s="152" t="s">
        <v>115</v>
      </c>
      <c r="M780" s="150">
        <f>O780</f>
        <v>2.3E-2</v>
      </c>
      <c r="O780" s="103">
        <f>S780</f>
        <v>2.3E-2</v>
      </c>
      <c r="P780" s="133"/>
      <c r="Q780" s="202">
        <f>R780/S780</f>
        <v>34565.217391304352</v>
      </c>
      <c r="R780" s="14">
        <v>795</v>
      </c>
      <c r="S780" s="28">
        <f>23/1000</f>
        <v>2.3E-2</v>
      </c>
      <c r="U780" s="22">
        <f>1/SQRT(R780)</f>
        <v>3.546634510659543E-2</v>
      </c>
      <c r="V780" s="22">
        <f>vbRateCILo(Q780, R780, 0)</f>
        <v>2.1428782371468197E-2</v>
      </c>
      <c r="X780" s="22">
        <f>vbRateCIhi(Q780, R780, 0)</f>
        <v>2.4655952633788055E-2</v>
      </c>
      <c r="Y780" s="32" t="s">
        <v>242</v>
      </c>
      <c r="AB780"/>
    </row>
    <row r="781" spans="1:31" ht="12" customHeight="1" outlineLevel="3" x14ac:dyDescent="0.25">
      <c r="A781" s="374"/>
      <c r="B781" s="385"/>
      <c r="C781" s="377"/>
      <c r="G781" s="40" t="s">
        <v>89</v>
      </c>
      <c r="H781" s="40" t="s">
        <v>89</v>
      </c>
      <c r="I781" s="40" t="s">
        <v>89</v>
      </c>
      <c r="J781" s="40" t="s">
        <v>89</v>
      </c>
      <c r="K781" s="40" t="s">
        <v>752</v>
      </c>
      <c r="L781" s="152" t="s">
        <v>116</v>
      </c>
      <c r="M781" s="150">
        <f>O781</f>
        <v>4.2999999999999997E-2</v>
      </c>
      <c r="O781" s="103">
        <f>S781</f>
        <v>4.2999999999999997E-2</v>
      </c>
      <c r="P781" s="133"/>
      <c r="Q781" s="202">
        <f>R781/S781</f>
        <v>8581.3953488372099</v>
      </c>
      <c r="R781" s="14">
        <v>369</v>
      </c>
      <c r="S781" s="28">
        <f>43/1000</f>
        <v>4.2999999999999997E-2</v>
      </c>
      <c r="U781" s="22">
        <f>1/SQRT(R781)</f>
        <v>5.2057920629535355E-2</v>
      </c>
      <c r="V781" s="22">
        <f>vbRateCILo(Q781, R781, 0)</f>
        <v>3.8724032995968154E-2</v>
      </c>
      <c r="X781" s="22">
        <f>vbRateCIhi(Q781, R781, 0)</f>
        <v>4.761914316507964E-2</v>
      </c>
      <c r="Y781" s="32" t="s">
        <v>242</v>
      </c>
      <c r="AB781"/>
    </row>
    <row r="782" spans="1:31" ht="12" customHeight="1" outlineLevel="3" x14ac:dyDescent="0.25">
      <c r="A782" s="374"/>
      <c r="B782" s="385"/>
      <c r="C782" s="377"/>
      <c r="G782" s="40" t="s">
        <v>89</v>
      </c>
      <c r="H782" s="40" t="s">
        <v>89</v>
      </c>
      <c r="I782" s="40" t="s">
        <v>89</v>
      </c>
      <c r="J782" s="40" t="s">
        <v>89</v>
      </c>
      <c r="K782" s="40" t="s">
        <v>752</v>
      </c>
      <c r="L782" s="152" t="s">
        <v>117</v>
      </c>
      <c r="M782" s="150">
        <f>O782</f>
        <v>7.0999999999999994E-2</v>
      </c>
      <c r="O782" s="103">
        <f>S782</f>
        <v>7.0999999999999994E-2</v>
      </c>
      <c r="P782" s="133"/>
      <c r="Q782" s="202">
        <f>R782/S782</f>
        <v>3704.2253521126763</v>
      </c>
      <c r="R782" s="14">
        <v>263</v>
      </c>
      <c r="S782" s="28">
        <f>71/1000</f>
        <v>7.0999999999999994E-2</v>
      </c>
      <c r="U782" s="22">
        <f>1/SQRT(R782)</f>
        <v>6.1662641597820735E-2</v>
      </c>
      <c r="V782" s="22">
        <f>vbRateCILo(Q782, R782, 0)</f>
        <v>6.2677670146900552E-2</v>
      </c>
      <c r="X782" s="22">
        <f>vbRateCIhi(Q782, R782, 0)</f>
        <v>8.0119845935909928E-2</v>
      </c>
      <c r="Y782" s="32" t="s">
        <v>242</v>
      </c>
      <c r="AB782"/>
    </row>
    <row r="783" spans="1:31" ht="12" customHeight="1" outlineLevel="3" x14ac:dyDescent="0.25">
      <c r="A783" s="374"/>
      <c r="B783" s="385"/>
      <c r="C783" s="377"/>
      <c r="G783" s="40" t="s">
        <v>89</v>
      </c>
      <c r="H783" s="40" t="s">
        <v>89</v>
      </c>
      <c r="I783" s="40" t="s">
        <v>89</v>
      </c>
      <c r="J783" s="40" t="s">
        <v>89</v>
      </c>
      <c r="K783" s="40" t="s">
        <v>89</v>
      </c>
      <c r="L783" s="153" t="s">
        <v>119</v>
      </c>
      <c r="AB783"/>
    </row>
    <row r="784" spans="1:31" ht="12" customHeight="1" outlineLevel="3" x14ac:dyDescent="0.25">
      <c r="A784" s="374"/>
      <c r="B784" s="385"/>
      <c r="C784" s="377"/>
      <c r="G784" s="40" t="s">
        <v>89</v>
      </c>
      <c r="H784" s="40" t="s">
        <v>89</v>
      </c>
      <c r="I784" s="40" t="s">
        <v>89</v>
      </c>
      <c r="J784" s="40" t="s">
        <v>89</v>
      </c>
      <c r="K784" s="40" t="s">
        <v>752</v>
      </c>
      <c r="L784" s="152" t="s">
        <v>115</v>
      </c>
      <c r="M784" s="150">
        <f>O784</f>
        <v>7.0000000000000007E-2</v>
      </c>
      <c r="O784" s="103">
        <f>S784</f>
        <v>7.0000000000000007E-2</v>
      </c>
      <c r="P784" s="133"/>
      <c r="Q784" s="202">
        <f>R784/S784</f>
        <v>4271.4285714285706</v>
      </c>
      <c r="R784" s="14">
        <v>299</v>
      </c>
      <c r="S784" s="28">
        <f>70/1000</f>
        <v>7.0000000000000007E-2</v>
      </c>
      <c r="U784" s="22">
        <f>1/SQRT(R784)</f>
        <v>5.783149319662402E-2</v>
      </c>
      <c r="V784" s="22">
        <f>vbRateCILo(Q784, R784, 0)</f>
        <v>6.2289679692100544E-2</v>
      </c>
      <c r="X784" s="22">
        <f>vbRateCIhi(Q784, R784, 0)</f>
        <v>7.8401071329680244E-2</v>
      </c>
      <c r="Y784" s="32" t="s">
        <v>242</v>
      </c>
      <c r="AB784"/>
    </row>
    <row r="785" spans="1:31" ht="12" customHeight="1" outlineLevel="3" x14ac:dyDescent="0.25">
      <c r="A785" s="374"/>
      <c r="B785" s="385"/>
      <c r="C785" s="377"/>
      <c r="G785" s="40" t="s">
        <v>89</v>
      </c>
      <c r="H785" s="40" t="s">
        <v>89</v>
      </c>
      <c r="I785" s="40" t="s">
        <v>89</v>
      </c>
      <c r="J785" s="40" t="s">
        <v>89</v>
      </c>
      <c r="K785" s="40" t="s">
        <v>752</v>
      </c>
      <c r="L785" s="152" t="s">
        <v>116</v>
      </c>
      <c r="M785" s="150">
        <f>O785</f>
        <v>9.0999999999999998E-2</v>
      </c>
      <c r="O785" s="103">
        <f>S785</f>
        <v>9.0999999999999998E-2</v>
      </c>
      <c r="P785" s="133"/>
      <c r="Q785" s="202">
        <f>R785/S785</f>
        <v>2241.7582417582416</v>
      </c>
      <c r="R785" s="14">
        <v>204</v>
      </c>
      <c r="S785" s="28">
        <f>91/1000</f>
        <v>9.0999999999999998E-2</v>
      </c>
      <c r="U785" s="22">
        <f>1/SQRT(R785)</f>
        <v>7.0014004201400484E-2</v>
      </c>
      <c r="V785" s="22">
        <f>vbRateCILo(Q785, R785, 0)</f>
        <v>7.894025238416473E-2</v>
      </c>
      <c r="X785" s="22">
        <f>vbRateCIhi(Q785, R785, 0)</f>
        <v>0.10438111962776067</v>
      </c>
      <c r="Y785" s="32" t="s">
        <v>242</v>
      </c>
      <c r="AB785"/>
    </row>
    <row r="786" spans="1:31" ht="12" customHeight="1" outlineLevel="3" x14ac:dyDescent="0.25">
      <c r="A786" s="374"/>
      <c r="B786" s="385"/>
      <c r="C786" s="377"/>
      <c r="G786" s="40" t="s">
        <v>89</v>
      </c>
      <c r="H786" s="40" t="s">
        <v>89</v>
      </c>
      <c r="I786" s="40" t="s">
        <v>89</v>
      </c>
      <c r="J786" s="40" t="s">
        <v>89</v>
      </c>
      <c r="K786" s="40" t="s">
        <v>752</v>
      </c>
      <c r="L786" s="152" t="s">
        <v>117</v>
      </c>
      <c r="M786" s="150">
        <f>O786</f>
        <v>0.11700000000000001</v>
      </c>
      <c r="O786" s="103">
        <f>S786</f>
        <v>0.11700000000000001</v>
      </c>
      <c r="P786" s="133"/>
      <c r="Q786" s="202">
        <f>R786/S786</f>
        <v>1717.9487179487178</v>
      </c>
      <c r="R786" s="14">
        <v>201</v>
      </c>
      <c r="S786" s="28">
        <f>117/1000</f>
        <v>0.11700000000000001</v>
      </c>
      <c r="U786" s="22">
        <f>1/SQRT(R786)</f>
        <v>7.0534561585859828E-2</v>
      </c>
      <c r="V786" s="22">
        <f>vbRateCILo(Q786, R786, 0)</f>
        <v>0.10138349508311383</v>
      </c>
      <c r="X786" s="22">
        <f>vbRateCIhi(Q786, R786, 0)</f>
        <v>0.13434105904769791</v>
      </c>
      <c r="Y786" s="32" t="s">
        <v>242</v>
      </c>
      <c r="AB786"/>
    </row>
    <row r="787" spans="1:31" ht="12" customHeight="1" outlineLevel="3" x14ac:dyDescent="0.25">
      <c r="A787" s="374"/>
      <c r="B787" s="385"/>
      <c r="C787" s="377"/>
      <c r="G787" s="40" t="s">
        <v>89</v>
      </c>
      <c r="H787" s="40" t="s">
        <v>89</v>
      </c>
      <c r="I787" s="40" t="s">
        <v>89</v>
      </c>
      <c r="J787" s="40" t="s">
        <v>89</v>
      </c>
      <c r="K787" s="40" t="s">
        <v>752</v>
      </c>
      <c r="L787" s="147" t="s">
        <v>120</v>
      </c>
      <c r="M787" s="169">
        <f>O787</f>
        <v>3.8601892081642497E-2</v>
      </c>
      <c r="O787" s="103">
        <f>CHOOSE(swtchPSA, S787, AB787)</f>
        <v>3.8601892081642497E-2</v>
      </c>
      <c r="Q787" s="202">
        <f>AVERAGE(SUM(Q780:Q786), SUM(Q791:Q797))</f>
        <v>55204.547888299436</v>
      </c>
      <c r="R787" s="143">
        <f>SUM(R780:R786)</f>
        <v>2131</v>
      </c>
      <c r="S787" s="203">
        <f>R787/Q787</f>
        <v>3.8601892081642497E-2</v>
      </c>
      <c r="T787" s="204"/>
      <c r="U787" s="93">
        <f>1/SQRT(R787)</f>
        <v>2.1662485007196228E-2</v>
      </c>
      <c r="V787" s="93">
        <f>vbRateCILo(Q787, R787, 0)</f>
        <v>3.6980168945033177E-2</v>
      </c>
      <c r="W787" s="204"/>
      <c r="X787" s="93">
        <f>vbRateCIhi(Q787, R787, 0)</f>
        <v>4.0276427338118877E-2</v>
      </c>
      <c r="AA787" s="19">
        <f ca="1">RAND()</f>
        <v>0.62012740904665864</v>
      </c>
      <c r="AB787" s="102">
        <f ca="1">_xlfn.LOGNORM.INV(AA787, AD787, AE787)</f>
        <v>3.8858467822334777E-2</v>
      </c>
      <c r="AC787" s="15" t="s">
        <v>20</v>
      </c>
      <c r="AD787" s="27">
        <f>LN(S787)</f>
        <v>-3.2544539860535462</v>
      </c>
      <c r="AE787" s="26">
        <f>U787</f>
        <v>2.1662485007196228E-2</v>
      </c>
    </row>
    <row r="788" spans="1:31" ht="12" customHeight="1" outlineLevel="3" x14ac:dyDescent="0.25">
      <c r="A788" s="374"/>
      <c r="B788" s="385"/>
      <c r="C788" s="377"/>
      <c r="G788" s="40" t="s">
        <v>89</v>
      </c>
      <c r="H788" s="40" t="s">
        <v>89</v>
      </c>
      <c r="I788" s="40" t="s">
        <v>89</v>
      </c>
      <c r="J788" s="40" t="s">
        <v>89</v>
      </c>
      <c r="K788" s="40" t="s">
        <v>752</v>
      </c>
      <c r="L788" s="148" t="s">
        <v>113</v>
      </c>
      <c r="M788" s="145">
        <f>O788</f>
        <v>9.6040566389986592E-3</v>
      </c>
      <c r="N788" s="195" t="s">
        <v>834</v>
      </c>
      <c r="O788" s="11">
        <f>vbratetoprob(M787, E.cycleLength)</f>
        <v>9.6040566389986592E-3</v>
      </c>
    </row>
    <row r="789" spans="1:31" ht="12" customHeight="1" outlineLevel="3" x14ac:dyDescent="0.25">
      <c r="A789" s="374"/>
      <c r="B789" s="385"/>
      <c r="C789" s="377"/>
      <c r="G789" s="40" t="s">
        <v>89</v>
      </c>
      <c r="H789" s="40" t="s">
        <v>89</v>
      </c>
      <c r="I789" s="40" t="s">
        <v>89</v>
      </c>
      <c r="J789" s="40" t="s">
        <v>89</v>
      </c>
      <c r="K789" s="40" t="s">
        <v>89</v>
      </c>
      <c r="L789" s="10" t="s">
        <v>122</v>
      </c>
    </row>
    <row r="790" spans="1:31" ht="12" customHeight="1" outlineLevel="3" x14ac:dyDescent="0.25">
      <c r="A790" s="374"/>
      <c r="B790" s="385"/>
      <c r="C790" s="377"/>
      <c r="G790" s="40" t="s">
        <v>89</v>
      </c>
      <c r="H790" s="40" t="s">
        <v>89</v>
      </c>
      <c r="I790" s="40" t="s">
        <v>89</v>
      </c>
      <c r="J790" s="40" t="s">
        <v>89</v>
      </c>
      <c r="K790" s="40" t="s">
        <v>89</v>
      </c>
      <c r="L790" s="151" t="s">
        <v>118</v>
      </c>
    </row>
    <row r="791" spans="1:31" ht="12" customHeight="1" outlineLevel="3" x14ac:dyDescent="0.25">
      <c r="A791" s="374"/>
      <c r="B791" s="385"/>
      <c r="C791" s="377"/>
      <c r="G791" s="40" t="s">
        <v>89</v>
      </c>
      <c r="H791" s="40" t="s">
        <v>89</v>
      </c>
      <c r="I791" s="40" t="s">
        <v>89</v>
      </c>
      <c r="J791" s="40" t="s">
        <v>89</v>
      </c>
      <c r="K791" s="40" t="s">
        <v>752</v>
      </c>
      <c r="L791" s="152" t="s">
        <v>115</v>
      </c>
      <c r="M791" s="150">
        <f>O791</f>
        <v>1.1000000000000001E-3</v>
      </c>
      <c r="O791" s="103">
        <f>S791</f>
        <v>1.1000000000000001E-3</v>
      </c>
      <c r="Q791" s="202">
        <f>R791/S791</f>
        <v>33636.363636363632</v>
      </c>
      <c r="R791" s="14">
        <v>37</v>
      </c>
      <c r="S791" s="28">
        <f>1.1/1000</f>
        <v>1.1000000000000001E-3</v>
      </c>
      <c r="U791" s="22">
        <f>1/SQRT(R791)</f>
        <v>0.16439898730535729</v>
      </c>
      <c r="V791" s="22">
        <f>vbRateCILo(Q791, R791, 0)</f>
        <v>7.7450151415720632E-4</v>
      </c>
      <c r="X791" s="22">
        <f>vbRateCIhi(Q791, R791, 0)</f>
        <v>1.5162051015168627E-3</v>
      </c>
      <c r="Y791" s="32" t="s">
        <v>242</v>
      </c>
      <c r="AB791"/>
    </row>
    <row r="792" spans="1:31" ht="12" customHeight="1" outlineLevel="3" x14ac:dyDescent="0.25">
      <c r="A792" s="374"/>
      <c r="B792" s="385"/>
      <c r="C792" s="377"/>
      <c r="G792" s="40" t="s">
        <v>89</v>
      </c>
      <c r="H792" s="40" t="s">
        <v>89</v>
      </c>
      <c r="I792" s="40" t="s">
        <v>89</v>
      </c>
      <c r="J792" s="40" t="s">
        <v>89</v>
      </c>
      <c r="K792" s="40" t="s">
        <v>752</v>
      </c>
      <c r="L792" s="152" t="s">
        <v>116</v>
      </c>
      <c r="M792" s="150">
        <f>O792</f>
        <v>2.8E-3</v>
      </c>
      <c r="O792" s="103">
        <f>S792</f>
        <v>2.8E-3</v>
      </c>
      <c r="Q792" s="202">
        <f>R792/S792</f>
        <v>8928.5714285714294</v>
      </c>
      <c r="R792" s="14">
        <v>25</v>
      </c>
      <c r="S792" s="28">
        <f>2.8/1000</f>
        <v>2.8E-3</v>
      </c>
      <c r="U792" s="22">
        <f>1/SQRT(R792)</f>
        <v>0.2</v>
      </c>
      <c r="V792" s="22">
        <f>vbRateCILo(Q792, R792, 0)</f>
        <v>1.8120123669568841E-3</v>
      </c>
      <c r="X792" s="22">
        <f>vbRateCIhi(Q792, R792, 0)</f>
        <v>4.1333523501234015E-3</v>
      </c>
      <c r="Y792" s="32" t="s">
        <v>242</v>
      </c>
      <c r="AB792"/>
    </row>
    <row r="793" spans="1:31" ht="12" customHeight="1" outlineLevel="3" x14ac:dyDescent="0.25">
      <c r="A793" s="374"/>
      <c r="B793" s="385"/>
      <c r="C793" s="377"/>
      <c r="G793" s="40" t="s">
        <v>89</v>
      </c>
      <c r="H793" s="40" t="s">
        <v>89</v>
      </c>
      <c r="I793" s="40" t="s">
        <v>89</v>
      </c>
      <c r="J793" s="40" t="s">
        <v>89</v>
      </c>
      <c r="K793" s="40" t="s">
        <v>752</v>
      </c>
      <c r="L793" s="152" t="s">
        <v>117</v>
      </c>
      <c r="M793" s="150">
        <f>O793</f>
        <v>7.0000000000000001E-3</v>
      </c>
      <c r="O793" s="103">
        <f>S793</f>
        <v>7.0000000000000001E-3</v>
      </c>
      <c r="Q793" s="202">
        <f>R793/S793</f>
        <v>4000</v>
      </c>
      <c r="R793" s="14">
        <v>28</v>
      </c>
      <c r="S793" s="28">
        <f>7/1000</f>
        <v>7.0000000000000001E-3</v>
      </c>
      <c r="U793" s="22">
        <f>1/SQRT(R793)</f>
        <v>0.1889822365046136</v>
      </c>
      <c r="V793" s="22">
        <f>vbRateCILo(Q793, R793, 0)</f>
        <v>4.6514491639643822E-3</v>
      </c>
      <c r="X793" s="22">
        <f>vbRateCIhi(Q793, R793, 0)</f>
        <v>1.0116948985817048E-2</v>
      </c>
      <c r="Y793" s="32" t="s">
        <v>242</v>
      </c>
      <c r="AB793"/>
    </row>
    <row r="794" spans="1:31" ht="12" customHeight="1" outlineLevel="3" x14ac:dyDescent="0.25">
      <c r="A794" s="374"/>
      <c r="B794" s="385"/>
      <c r="C794" s="377"/>
      <c r="G794" s="40" t="s">
        <v>89</v>
      </c>
      <c r="H794" s="40" t="s">
        <v>89</v>
      </c>
      <c r="I794" s="40" t="s">
        <v>89</v>
      </c>
      <c r="J794" s="40" t="s">
        <v>89</v>
      </c>
      <c r="K794" s="40" t="s">
        <v>89</v>
      </c>
      <c r="L794" s="153" t="s">
        <v>119</v>
      </c>
      <c r="AB794"/>
    </row>
    <row r="795" spans="1:31" ht="12" customHeight="1" outlineLevel="3" x14ac:dyDescent="0.25">
      <c r="A795" s="374"/>
      <c r="B795" s="385"/>
      <c r="C795" s="377"/>
      <c r="G795" s="40" t="s">
        <v>89</v>
      </c>
      <c r="H795" s="40" t="s">
        <v>89</v>
      </c>
      <c r="I795" s="40" t="s">
        <v>89</v>
      </c>
      <c r="J795" s="40" t="s">
        <v>89</v>
      </c>
      <c r="K795" s="40" t="s">
        <v>752</v>
      </c>
      <c r="L795" s="152" t="s">
        <v>115</v>
      </c>
      <c r="M795" s="150">
        <f t="shared" ref="M795:M799" si="124">O795</f>
        <v>4.5999999999999999E-3</v>
      </c>
      <c r="O795" s="103">
        <f>S795</f>
        <v>4.5999999999999999E-3</v>
      </c>
      <c r="Q795" s="202">
        <f>R795/S795</f>
        <v>4565.217391304348</v>
      </c>
      <c r="R795" s="14">
        <v>21</v>
      </c>
      <c r="S795" s="28">
        <f>4.6/1000</f>
        <v>4.5999999999999999E-3</v>
      </c>
      <c r="U795" s="22">
        <f>1/SQRT(R795)</f>
        <v>0.21821789023599239</v>
      </c>
      <c r="V795" s="22">
        <f>vbRateCILo(Q795, R795, 0)</f>
        <v>2.8474725012738304E-3</v>
      </c>
      <c r="X795" s="22">
        <f>vbRateCIhi(Q795, R795, 0)</f>
        <v>7.0315886371780769E-3</v>
      </c>
      <c r="Y795" s="32" t="s">
        <v>242</v>
      </c>
      <c r="AB795"/>
    </row>
    <row r="796" spans="1:31" ht="12" customHeight="1" outlineLevel="3" x14ac:dyDescent="0.25">
      <c r="A796" s="374"/>
      <c r="B796" s="385"/>
      <c r="C796" s="377"/>
      <c r="G796" s="40" t="s">
        <v>89</v>
      </c>
      <c r="H796" s="40" t="s">
        <v>89</v>
      </c>
      <c r="I796" s="40" t="s">
        <v>89</v>
      </c>
      <c r="J796" s="40" t="s">
        <v>89</v>
      </c>
      <c r="K796" s="40" t="s">
        <v>752</v>
      </c>
      <c r="L796" s="152" t="s">
        <v>116</v>
      </c>
      <c r="M796" s="150">
        <f t="shared" si="124"/>
        <v>1.0999999999999999E-2</v>
      </c>
      <c r="O796" s="103">
        <f>S796</f>
        <v>1.0999999999999999E-2</v>
      </c>
      <c r="Q796" s="202">
        <f>R796/S796</f>
        <v>2363.636363636364</v>
      </c>
      <c r="R796" s="14">
        <v>26</v>
      </c>
      <c r="S796" s="28">
        <f>11/1000</f>
        <v>1.0999999999999999E-2</v>
      </c>
      <c r="U796" s="22">
        <f>1/SQRT(R796)</f>
        <v>0.19611613513818404</v>
      </c>
      <c r="V796" s="22">
        <f>vbRateCILo(Q796, R796, 0)</f>
        <v>7.1855652065984507E-3</v>
      </c>
      <c r="X796" s="22">
        <f>vbRateCIhi(Q796, R796, 0)</f>
        <v>1.6117548650552892E-2</v>
      </c>
      <c r="Y796" s="32" t="s">
        <v>242</v>
      </c>
      <c r="AB796"/>
    </row>
    <row r="797" spans="1:31" ht="12" customHeight="1" outlineLevel="3" x14ac:dyDescent="0.25">
      <c r="A797" s="374"/>
      <c r="B797" s="385"/>
      <c r="C797" s="377"/>
      <c r="G797" s="40" t="s">
        <v>89</v>
      </c>
      <c r="H797" s="40" t="s">
        <v>89</v>
      </c>
      <c r="I797" s="40" t="s">
        <v>89</v>
      </c>
      <c r="J797" s="40" t="s">
        <v>89</v>
      </c>
      <c r="K797" s="40" t="s">
        <v>752</v>
      </c>
      <c r="L797" s="152" t="s">
        <v>117</v>
      </c>
      <c r="M797" s="150">
        <f t="shared" si="124"/>
        <v>2.4E-2</v>
      </c>
      <c r="O797" s="103">
        <f>S797</f>
        <v>2.4E-2</v>
      </c>
      <c r="Q797" s="202">
        <f>R797/S797</f>
        <v>1833.3333333333333</v>
      </c>
      <c r="R797" s="14">
        <v>44</v>
      </c>
      <c r="S797" s="28">
        <f>24/1000</f>
        <v>2.4E-2</v>
      </c>
      <c r="U797" s="22">
        <f>1/SQRT(R797)</f>
        <v>0.15075567228888181</v>
      </c>
      <c r="V797" s="22">
        <f>vbRateCILo(Q797, R797, 0)</f>
        <v>1.7438436740805998E-2</v>
      </c>
      <c r="X797" s="22">
        <f>vbRateCIhi(Q797, R797, 0)</f>
        <v>3.2218879789258775E-2</v>
      </c>
      <c r="Y797" s="32" t="s">
        <v>242</v>
      </c>
      <c r="AB797"/>
    </row>
    <row r="798" spans="1:31" ht="12" customHeight="1" outlineLevel="3" x14ac:dyDescent="0.25">
      <c r="A798" s="374"/>
      <c r="B798" s="385"/>
      <c r="C798" s="377"/>
      <c r="G798" s="40" t="s">
        <v>89</v>
      </c>
      <c r="H798" s="40" t="s">
        <v>89</v>
      </c>
      <c r="I798" s="40" t="s">
        <v>89</v>
      </c>
      <c r="J798" s="40" t="s">
        <v>89</v>
      </c>
      <c r="K798" s="40" t="s">
        <v>752</v>
      </c>
      <c r="L798" s="147" t="s">
        <v>120</v>
      </c>
      <c r="M798" s="169">
        <f>O798</f>
        <v>3.2787153762446233E-3</v>
      </c>
      <c r="O798" s="251">
        <f>CHOOSE(swtchPSA, S798, AB798)</f>
        <v>3.2787153762446233E-3</v>
      </c>
      <c r="Q798" s="202">
        <f>AVERAGE(SUM(Q780:Q786), SUM(Q791:Q797))</f>
        <v>55204.547888299436</v>
      </c>
      <c r="R798" s="143">
        <f>SUM(R791:R797)</f>
        <v>181</v>
      </c>
      <c r="S798" s="203">
        <f>R798/Q798</f>
        <v>3.2787153762446233E-3</v>
      </c>
      <c r="T798" s="204"/>
      <c r="U798" s="93">
        <f>1/SQRT(R798)</f>
        <v>7.4329414624716636E-2</v>
      </c>
      <c r="V798" s="93">
        <f>vbRateCILo(Q798, R798, 0)</f>
        <v>2.8184439680950212E-3</v>
      </c>
      <c r="W798" s="204"/>
      <c r="X798" s="93">
        <f>vbRateCIhi(Q798, R798, 0)</f>
        <v>3.7927202230197735E-3</v>
      </c>
      <c r="AA798" s="19">
        <f ca="1">RAND()</f>
        <v>0.83688637400619748</v>
      </c>
      <c r="AB798" s="102">
        <f ca="1">_xlfn.LOGNORM.INV(AA798, AD798, AE798)</f>
        <v>3.5269164330866657E-3</v>
      </c>
      <c r="AC798" s="15" t="s">
        <v>20</v>
      </c>
      <c r="AD798" s="27">
        <f>LN(S798)</f>
        <v>-5.7203035868863372</v>
      </c>
      <c r="AE798" s="26">
        <f>U798</f>
        <v>7.4329414624716636E-2</v>
      </c>
    </row>
    <row r="799" spans="1:31" ht="12" customHeight="1" outlineLevel="3" x14ac:dyDescent="0.25">
      <c r="A799" s="374"/>
      <c r="B799" s="385"/>
      <c r="C799" s="377"/>
      <c r="G799" s="40" t="s">
        <v>89</v>
      </c>
      <c r="H799" s="40" t="s">
        <v>89</v>
      </c>
      <c r="I799" s="40" t="s">
        <v>89</v>
      </c>
      <c r="J799" s="40" t="s">
        <v>89</v>
      </c>
      <c r="K799" s="40" t="s">
        <v>752</v>
      </c>
      <c r="L799" s="148" t="s">
        <v>113</v>
      </c>
      <c r="M799" s="145">
        <f t="shared" si="124"/>
        <v>8.193429991253387E-4</v>
      </c>
      <c r="N799" s="195" t="s">
        <v>836</v>
      </c>
      <c r="O799" s="11">
        <f>vbratetoprob(M798, E.cycleLength)</f>
        <v>8.193429991253387E-4</v>
      </c>
    </row>
    <row r="800" spans="1:31" ht="12" customHeight="1" outlineLevel="3" x14ac:dyDescent="0.25">
      <c r="A800" s="374"/>
      <c r="B800" s="385"/>
      <c r="C800" s="377"/>
      <c r="G800" s="40" t="s">
        <v>89</v>
      </c>
      <c r="H800" s="40" t="s">
        <v>89</v>
      </c>
      <c r="I800" s="40" t="s">
        <v>89</v>
      </c>
      <c r="J800" s="40" t="s">
        <v>89</v>
      </c>
      <c r="K800" s="40" t="s">
        <v>752</v>
      </c>
      <c r="L800" s="79" t="s">
        <v>324</v>
      </c>
      <c r="M800" s="88">
        <f>O800</f>
        <v>7.8287197231833916E-2</v>
      </c>
      <c r="N800" s="195" t="s">
        <v>835</v>
      </c>
      <c r="O800" s="11">
        <f>CHOOSE(swtchPSA, S800, AB800)</f>
        <v>7.8287197231833916E-2</v>
      </c>
      <c r="Q800" s="143">
        <f>R787+R798</f>
        <v>2312</v>
      </c>
      <c r="R800" s="143">
        <f>R798</f>
        <v>181</v>
      </c>
      <c r="S800" s="203">
        <f>R800/Q800</f>
        <v>7.8287197231833916E-2</v>
      </c>
      <c r="T800" s="18"/>
      <c r="U800" s="22">
        <f>SQRT((S800*(1-S800))/(Q800+1))</f>
        <v>5.5854139600992293E-3</v>
      </c>
      <c r="V800" s="17">
        <f>_xlfn.BETA.INV(0.025, AD800, AE800)</f>
        <v>6.7690499798225848E-2</v>
      </c>
      <c r="W800" s="18"/>
      <c r="X800" s="17">
        <f>_xlfn.BETA.INV(0.975, AD800, AE800)</f>
        <v>8.9574748950325134E-2</v>
      </c>
      <c r="Y800" s="32" t="s">
        <v>281</v>
      </c>
      <c r="AA800" s="19">
        <f ca="1">RAND()</f>
        <v>0.1833591699668391</v>
      </c>
      <c r="AB800" s="21">
        <f ca="1">_xlfn.BETA.INV(AA800, AD800, AE800)</f>
        <v>7.3225612534070283E-2</v>
      </c>
      <c r="AC800" s="20" t="s">
        <v>28</v>
      </c>
      <c r="AD800" s="34">
        <f>R800</f>
        <v>181</v>
      </c>
      <c r="AE800" s="33">
        <f>Q800-R800</f>
        <v>2131</v>
      </c>
    </row>
    <row r="801" spans="1:31" ht="12" customHeight="1" outlineLevel="3" x14ac:dyDescent="0.25">
      <c r="A801" s="374"/>
      <c r="B801" s="385"/>
      <c r="C801" s="377"/>
      <c r="G801" s="40" t="s">
        <v>89</v>
      </c>
      <c r="H801" s="40" t="s">
        <v>89</v>
      </c>
      <c r="I801" s="40" t="s">
        <v>89</v>
      </c>
      <c r="J801" s="40" t="s">
        <v>89</v>
      </c>
      <c r="K801" s="40" t="s">
        <v>89</v>
      </c>
      <c r="L801" s="38" t="s">
        <v>153</v>
      </c>
    </row>
    <row r="802" spans="1:31" ht="12" customHeight="1" outlineLevel="3" x14ac:dyDescent="0.25">
      <c r="A802" s="374"/>
      <c r="B802" s="385"/>
      <c r="C802" s="377"/>
      <c r="G802" s="40" t="s">
        <v>89</v>
      </c>
      <c r="H802" s="40" t="s">
        <v>89</v>
      </c>
      <c r="I802" s="40" t="s">
        <v>89</v>
      </c>
      <c r="J802" s="40" t="s">
        <v>89</v>
      </c>
      <c r="K802" s="40" t="s">
        <v>752</v>
      </c>
      <c r="L802" s="149" t="s">
        <v>123</v>
      </c>
      <c r="M802" s="88">
        <f>O802</f>
        <v>0.69099999999999995</v>
      </c>
      <c r="O802" s="11">
        <f>CHOOSE(swtchPSA, S802, AB802)</f>
        <v>0.69099999999999995</v>
      </c>
      <c r="Q802" s="14">
        <v>2816</v>
      </c>
      <c r="R802" s="143">
        <f>ROUND(Q802*S802, 0)</f>
        <v>1946</v>
      </c>
      <c r="S802" s="28">
        <v>0.69099999999999995</v>
      </c>
      <c r="T802" s="18"/>
      <c r="U802" s="22">
        <f>SQRT((S802*(1-S802))/(Q802+1))</f>
        <v>8.7061238286206231E-3</v>
      </c>
      <c r="V802" s="17">
        <f>_xlfn.BETA.INV(0.025, AD802, AE802)</f>
        <v>0.67386134751774962</v>
      </c>
      <c r="W802" s="18"/>
      <c r="X802" s="17">
        <f>_xlfn.BETA.INV(0.975, AD802, AE802)</f>
        <v>0.70798388652205668</v>
      </c>
      <c r="Y802" s="32" t="s">
        <v>281</v>
      </c>
      <c r="AA802" s="19">
        <f ca="1">RAND()</f>
        <v>0.80125128924936695</v>
      </c>
      <c r="AB802" s="21">
        <f ca="1">_xlfn.BETA.INV(AA802, AD802, AE802)</f>
        <v>0.69843106873326133</v>
      </c>
      <c r="AC802" s="20" t="s">
        <v>28</v>
      </c>
      <c r="AD802" s="34">
        <f>R802</f>
        <v>1946</v>
      </c>
      <c r="AE802" s="33">
        <f>Q802-R802</f>
        <v>870</v>
      </c>
    </row>
    <row r="803" spans="1:31" ht="12" customHeight="1" outlineLevel="3" x14ac:dyDescent="0.25">
      <c r="A803" s="374"/>
      <c r="B803" s="385"/>
      <c r="C803" s="377"/>
      <c r="G803" s="40" t="s">
        <v>89</v>
      </c>
      <c r="H803" s="40" t="s">
        <v>89</v>
      </c>
      <c r="I803" s="40" t="s">
        <v>89</v>
      </c>
      <c r="J803" s="40" t="s">
        <v>89</v>
      </c>
      <c r="K803" s="40" t="s">
        <v>752</v>
      </c>
      <c r="L803" s="148" t="s">
        <v>124</v>
      </c>
      <c r="M803" s="145">
        <f>O803</f>
        <v>2.3309285274898645E-2</v>
      </c>
      <c r="N803" s="195" t="s">
        <v>833</v>
      </c>
      <c r="O803" s="11">
        <f>(E.pAKI.SecondaryNoRRT+E.pAKI.SecondaryRRT) * M802/(1-M802)</f>
        <v>2.3309285274898645E-2</v>
      </c>
      <c r="S803" s="154"/>
    </row>
    <row r="804" spans="1:31" ht="12" customHeight="1" outlineLevel="3" x14ac:dyDescent="0.25">
      <c r="A804" s="374"/>
      <c r="B804" s="385"/>
      <c r="C804" s="377"/>
      <c r="G804" s="40" t="s">
        <v>89</v>
      </c>
      <c r="H804" s="40" t="s">
        <v>89</v>
      </c>
      <c r="I804" s="40" t="s">
        <v>89</v>
      </c>
      <c r="J804" s="40" t="s">
        <v>89</v>
      </c>
      <c r="K804" s="40" t="s">
        <v>89</v>
      </c>
      <c r="L804" s="38" t="s">
        <v>150</v>
      </c>
    </row>
    <row r="805" spans="1:31" ht="12" customHeight="1" outlineLevel="3" x14ac:dyDescent="0.25">
      <c r="A805" s="374"/>
      <c r="B805" s="385"/>
      <c r="C805" s="377"/>
      <c r="G805" s="40" t="s">
        <v>89</v>
      </c>
      <c r="H805" s="40" t="s">
        <v>89</v>
      </c>
      <c r="I805" s="40" t="s">
        <v>89</v>
      </c>
      <c r="J805" s="40" t="s">
        <v>89</v>
      </c>
      <c r="K805" s="40" t="s">
        <v>89</v>
      </c>
      <c r="L805" s="104" t="s">
        <v>280</v>
      </c>
    </row>
    <row r="806" spans="1:31" ht="12" customHeight="1" outlineLevel="3" x14ac:dyDescent="0.25">
      <c r="A806" s="374"/>
      <c r="B806" s="385"/>
      <c r="C806" s="377"/>
      <c r="D806" s="40">
        <v>65</v>
      </c>
      <c r="E806">
        <f>D806+9</f>
        <v>74</v>
      </c>
      <c r="G806" s="40" t="s">
        <v>89</v>
      </c>
      <c r="H806" s="40" t="s">
        <v>89</v>
      </c>
      <c r="I806" s="40" t="s">
        <v>89</v>
      </c>
      <c r="J806" s="40" t="s">
        <v>89</v>
      </c>
      <c r="K806" s="40" t="s">
        <v>752</v>
      </c>
      <c r="L806" s="185" t="str">
        <f>D806&amp;"-"&amp;E806</f>
        <v>65-74</v>
      </c>
      <c r="M806" s="36">
        <f>O806</f>
        <v>2.1600000000000001E-2</v>
      </c>
      <c r="O806" s="53">
        <f>CHOOSE(swtchPSA, S806, AB806)</f>
        <v>2.1600000000000001E-2</v>
      </c>
      <c r="S806" s="144">
        <f>21.6/1000</f>
        <v>2.1600000000000001E-2</v>
      </c>
      <c r="T806" s="18"/>
      <c r="U806" s="22">
        <f>(LN(X806)-LN(V806)) / 2/ _xlfn.NORM.S.INV(0.975)</f>
        <v>2.9490850500794242E-2</v>
      </c>
      <c r="V806" s="144">
        <f>20.4/1000</f>
        <v>2.0399999999999998E-2</v>
      </c>
      <c r="W806" s="167"/>
      <c r="X806" s="144">
        <f>22.9/1000</f>
        <v>2.29E-2</v>
      </c>
      <c r="Y806" s="15" t="s">
        <v>277</v>
      </c>
      <c r="AA806" s="19">
        <f ca="1">RAND()</f>
        <v>0.57208419496837992</v>
      </c>
      <c r="AB806" s="37">
        <f ca="1">_xlfn.LOGNORM.INV(AA806, AD806, AE806)</f>
        <v>2.1716043019477924E-2</v>
      </c>
      <c r="AC806" s="20" t="s">
        <v>20</v>
      </c>
      <c r="AD806" s="27">
        <f>LN(S806)</f>
        <v>-3.8350619642920178</v>
      </c>
      <c r="AE806" s="26">
        <f>U806</f>
        <v>2.9490850500794242E-2</v>
      </c>
    </row>
    <row r="807" spans="1:31" ht="12" customHeight="1" outlineLevel="3" x14ac:dyDescent="0.25">
      <c r="A807" s="374"/>
      <c r="B807" s="385"/>
      <c r="C807" s="377"/>
      <c r="D807" s="40">
        <f>D806+10</f>
        <v>75</v>
      </c>
      <c r="E807">
        <f>D807+9</f>
        <v>84</v>
      </c>
      <c r="G807" s="40" t="s">
        <v>89</v>
      </c>
      <c r="H807" s="40" t="s">
        <v>89</v>
      </c>
      <c r="I807" s="40" t="s">
        <v>89</v>
      </c>
      <c r="J807" s="40" t="s">
        <v>89</v>
      </c>
      <c r="K807" s="40" t="s">
        <v>752</v>
      </c>
      <c r="L807" s="185" t="str">
        <f>D807&amp;"-"&amp;E807</f>
        <v>75-84</v>
      </c>
      <c r="M807" s="36">
        <f>O807</f>
        <v>3.1E-2</v>
      </c>
      <c r="O807" s="53">
        <f>CHOOSE(swtchPSA, S807, AB807)</f>
        <v>3.1E-2</v>
      </c>
      <c r="S807" s="144">
        <f>31/1000</f>
        <v>3.1E-2</v>
      </c>
      <c r="T807" s="18"/>
      <c r="U807" s="22">
        <f>(LN(X807)-LN(V807)) / 2/ _xlfn.NORM.S.INV(0.975)</f>
        <v>2.0617574450143339E-2</v>
      </c>
      <c r="V807" s="144">
        <f>29.7/1000</f>
        <v>2.9700000000000001E-2</v>
      </c>
      <c r="W807" s="167"/>
      <c r="X807" s="144">
        <f>32.2/1000</f>
        <v>3.2199999999999999E-2</v>
      </c>
      <c r="Y807" s="15" t="s">
        <v>277</v>
      </c>
      <c r="AA807" s="19">
        <f ca="1">RAND()</f>
        <v>8.2967470010206545E-2</v>
      </c>
      <c r="AB807" s="37">
        <f ca="1">_xlfn.LOGNORM.INV(AA807, AD807, AE807)</f>
        <v>3.0127065001468056E-2</v>
      </c>
      <c r="AC807" s="20" t="s">
        <v>20</v>
      </c>
      <c r="AD807" s="27">
        <f>LN(S807)</f>
        <v>-3.473768074496991</v>
      </c>
      <c r="AE807" s="26">
        <f>U807</f>
        <v>2.0617574450143339E-2</v>
      </c>
    </row>
    <row r="808" spans="1:31" ht="12" customHeight="1" outlineLevel="3" x14ac:dyDescent="0.25">
      <c r="A808" s="374"/>
      <c r="B808" s="385"/>
      <c r="C808" s="377"/>
      <c r="D808" s="40">
        <f>D807+10</f>
        <v>85</v>
      </c>
      <c r="E808">
        <f>D808+9</f>
        <v>94</v>
      </c>
      <c r="G808" s="40" t="s">
        <v>89</v>
      </c>
      <c r="H808" s="40" t="s">
        <v>89</v>
      </c>
      <c r="I808" s="40" t="s">
        <v>89</v>
      </c>
      <c r="J808" s="40" t="s">
        <v>89</v>
      </c>
      <c r="K808" s="40" t="s">
        <v>752</v>
      </c>
      <c r="L808" s="185" t="str">
        <f>D808&amp;"-"&amp;E808</f>
        <v>85-94</v>
      </c>
      <c r="M808" s="36">
        <f>O808</f>
        <v>3.8799999999999994E-2</v>
      </c>
      <c r="O808" s="53">
        <f>CHOOSE(swtchPSA, S808, AB808)</f>
        <v>3.8799999999999994E-2</v>
      </c>
      <c r="S808" s="144">
        <f>38.8/1000</f>
        <v>3.8799999999999994E-2</v>
      </c>
      <c r="T808" s="18"/>
      <c r="U808" s="22">
        <f>(LN(X808)-LN(V808)) / 2/ _xlfn.NORM.S.INV(0.975)</f>
        <v>2.9582145898992305E-2</v>
      </c>
      <c r="V808" s="144">
        <f>36.6/1000</f>
        <v>3.6600000000000001E-2</v>
      </c>
      <c r="W808" s="167"/>
      <c r="X808" s="144">
        <f>41.1/1000</f>
        <v>4.1100000000000005E-2</v>
      </c>
      <c r="Y808" s="15" t="s">
        <v>277</v>
      </c>
      <c r="AA808" s="19">
        <f ca="1">RAND()</f>
        <v>0.75029944647117686</v>
      </c>
      <c r="AB808" s="37">
        <f ca="1">_xlfn.LOGNORM.INV(AA808, AD808, AE808)</f>
        <v>3.9583049570334428E-2</v>
      </c>
      <c r="AC808" s="20" t="s">
        <v>20</v>
      </c>
      <c r="AD808" s="27">
        <f>LN(S808)</f>
        <v>-3.2493350323529095</v>
      </c>
      <c r="AE808" s="26">
        <f>U808</f>
        <v>2.9582145898992305E-2</v>
      </c>
    </row>
    <row r="809" spans="1:31" ht="12" customHeight="1" outlineLevel="3" x14ac:dyDescent="0.25">
      <c r="A809" s="374"/>
      <c r="B809" s="385"/>
      <c r="C809" s="377"/>
      <c r="G809" s="40" t="s">
        <v>89</v>
      </c>
      <c r="H809" s="40" t="s">
        <v>89</v>
      </c>
      <c r="I809" s="40" t="s">
        <v>89</v>
      </c>
      <c r="J809" s="40" t="s">
        <v>89</v>
      </c>
      <c r="K809" s="40" t="s">
        <v>89</v>
      </c>
      <c r="L809" s="104" t="s">
        <v>279</v>
      </c>
    </row>
    <row r="810" spans="1:31" ht="12" customHeight="1" outlineLevel="3" x14ac:dyDescent="0.25">
      <c r="A810" s="374"/>
      <c r="B810" s="385"/>
      <c r="C810" s="377"/>
      <c r="D810" s="40">
        <v>70</v>
      </c>
      <c r="E810">
        <f>D810+4</f>
        <v>74</v>
      </c>
      <c r="G810" s="40" t="s">
        <v>89</v>
      </c>
      <c r="H810" s="40" t="s">
        <v>89</v>
      </c>
      <c r="I810" s="40" t="s">
        <v>89</v>
      </c>
      <c r="J810" s="40" t="s">
        <v>89</v>
      </c>
      <c r="K810" s="40" t="s">
        <v>752</v>
      </c>
      <c r="L810" s="185" t="str">
        <f>D810&amp;"-"&amp;E810</f>
        <v>70-74</v>
      </c>
      <c r="M810" s="169">
        <f>O810</f>
        <v>0.69759248618328551</v>
      </c>
      <c r="O810" s="168" cm="1">
        <f t="array" ref="O810">vbratetoprob(INDEX($M$806:$M$808, MATCH(D810, $D$806:$D$808, 1)), E.cycleLength) / vbratetoprob($M$807, E.cycleLength)</f>
        <v>0.69759248618328551</v>
      </c>
    </row>
    <row r="811" spans="1:31" ht="12" customHeight="1" outlineLevel="3" x14ac:dyDescent="0.25">
      <c r="A811" s="374"/>
      <c r="B811" s="385"/>
      <c r="C811" s="377"/>
      <c r="D811" s="40">
        <f t="shared" ref="D811:E813" si="125">D810+5</f>
        <v>75</v>
      </c>
      <c r="E811">
        <f t="shared" si="125"/>
        <v>79</v>
      </c>
      <c r="G811" s="40" t="s">
        <v>89</v>
      </c>
      <c r="H811" s="40" t="s">
        <v>89</v>
      </c>
      <c r="I811" s="40" t="s">
        <v>89</v>
      </c>
      <c r="J811" s="40" t="s">
        <v>89</v>
      </c>
      <c r="K811" s="40" t="s">
        <v>752</v>
      </c>
      <c r="L811" s="185" t="str">
        <f>D811&amp;"-"&amp;E811</f>
        <v>75-79</v>
      </c>
      <c r="M811" s="169">
        <f>O811</f>
        <v>1</v>
      </c>
      <c r="O811" s="168" cm="1">
        <f t="array" ref="O811">vbratetoprob(INDEX($M$806:$M$808, MATCH(D811, $D$806:$D$808, 1)), E.cycleLength) / vbratetoprob($M$807, E.cycleLength)</f>
        <v>1</v>
      </c>
    </row>
    <row r="812" spans="1:31" ht="12" customHeight="1" outlineLevel="3" x14ac:dyDescent="0.25">
      <c r="A812" s="374"/>
      <c r="B812" s="385"/>
      <c r="C812" s="377"/>
      <c r="D812" s="40">
        <f t="shared" si="125"/>
        <v>80</v>
      </c>
      <c r="E812">
        <f t="shared" si="125"/>
        <v>84</v>
      </c>
      <c r="G812" s="40" t="s">
        <v>89</v>
      </c>
      <c r="H812" s="40" t="s">
        <v>89</v>
      </c>
      <c r="I812" s="40" t="s">
        <v>89</v>
      </c>
      <c r="J812" s="40" t="s">
        <v>89</v>
      </c>
      <c r="K812" s="40" t="s">
        <v>752</v>
      </c>
      <c r="L812" s="185" t="str">
        <f>D812&amp;"-"&amp;E812</f>
        <v>80-84</v>
      </c>
      <c r="M812" s="169">
        <f>O812</f>
        <v>1</v>
      </c>
      <c r="O812" s="168" cm="1">
        <f t="array" ref="O812">vbratetoprob(INDEX($M$806:$M$808, MATCH(D812, $D$806:$D$808, 1)), E.cycleLength) / vbratetoprob($M$807, E.cycleLength)</f>
        <v>1</v>
      </c>
    </row>
    <row r="813" spans="1:31" ht="12" customHeight="1" outlineLevel="3" x14ac:dyDescent="0.25">
      <c r="A813" s="374"/>
      <c r="B813" s="385"/>
      <c r="C813" s="377"/>
      <c r="D813" s="40">
        <f t="shared" si="125"/>
        <v>85</v>
      </c>
      <c r="E813">
        <f t="shared" si="125"/>
        <v>89</v>
      </c>
      <c r="G813" s="40" t="s">
        <v>89</v>
      </c>
      <c r="H813" s="40" t="s">
        <v>89</v>
      </c>
      <c r="I813" s="40" t="s">
        <v>89</v>
      </c>
      <c r="J813" s="40" t="s">
        <v>89</v>
      </c>
      <c r="K813" s="40" t="s">
        <v>752</v>
      </c>
      <c r="L813" s="185" t="str">
        <f>D813&amp;"-"&amp;E813</f>
        <v>85-89</v>
      </c>
      <c r="M813" s="169">
        <f>O813</f>
        <v>1.2503949481811796</v>
      </c>
      <c r="O813" s="168" cm="1">
        <f t="array" ref="O813">vbratetoprob(INDEX($M$806:$M$808, MATCH(D813, $D$806:$D$808, 1)), E.cycleLength) / vbratetoprob($M$807, E.cycleLength)</f>
        <v>1.2503949481811796</v>
      </c>
    </row>
    <row r="814" spans="1:31" ht="12" customHeight="1" outlineLevel="3" x14ac:dyDescent="0.25">
      <c r="A814" s="374"/>
      <c r="B814" s="385"/>
      <c r="C814" s="377"/>
      <c r="G814" s="40" t="s">
        <v>89</v>
      </c>
      <c r="H814" s="40" t="s">
        <v>89</v>
      </c>
      <c r="I814" s="40" t="s">
        <v>89</v>
      </c>
      <c r="J814" s="40" t="s">
        <v>89</v>
      </c>
      <c r="K814" s="40" t="s">
        <v>89</v>
      </c>
      <c r="L814" s="38" t="s">
        <v>151</v>
      </c>
    </row>
    <row r="815" spans="1:31" ht="12" customHeight="1" outlineLevel="3" x14ac:dyDescent="0.25">
      <c r="A815" s="374"/>
      <c r="B815" s="385"/>
      <c r="C815" s="377"/>
      <c r="G815" s="40" t="s">
        <v>89</v>
      </c>
      <c r="H815" s="40" t="s">
        <v>89</v>
      </c>
      <c r="I815" s="40" t="s">
        <v>89</v>
      </c>
      <c r="J815" s="40" t="s">
        <v>89</v>
      </c>
      <c r="K815" s="40" t="s">
        <v>89</v>
      </c>
      <c r="L815" s="104" t="s">
        <v>126</v>
      </c>
    </row>
    <row r="816" spans="1:31" ht="12" customHeight="1" outlineLevel="3" x14ac:dyDescent="0.25">
      <c r="A816" s="374"/>
      <c r="B816" s="385"/>
      <c r="C816" s="377"/>
      <c r="G816" s="40" t="s">
        <v>89</v>
      </c>
      <c r="H816" s="40" t="s">
        <v>89</v>
      </c>
      <c r="I816" s="40" t="s">
        <v>89</v>
      </c>
      <c r="J816" s="40" t="s">
        <v>89</v>
      </c>
      <c r="K816" s="40" t="s">
        <v>89</v>
      </c>
      <c r="L816" s="170" t="s">
        <v>153</v>
      </c>
    </row>
    <row r="817" spans="1:15" ht="12" customHeight="1" outlineLevel="3" x14ac:dyDescent="0.25">
      <c r="A817" s="374"/>
      <c r="B817" s="385"/>
      <c r="C817" s="377"/>
      <c r="D817" s="40">
        <v>70</v>
      </c>
      <c r="E817">
        <f>D817+4</f>
        <v>74</v>
      </c>
      <c r="G817" s="40" t="s">
        <v>89</v>
      </c>
      <c r="H817" s="40" t="s">
        <v>89</v>
      </c>
      <c r="I817" s="40" t="s">
        <v>89</v>
      </c>
      <c r="J817" s="40" t="s">
        <v>89</v>
      </c>
      <c r="K817" s="40" t="s">
        <v>752</v>
      </c>
      <c r="L817" s="171" t="str">
        <f>D817&amp;"-"&amp;E817</f>
        <v>70-74</v>
      </c>
      <c r="M817" s="169">
        <f>O817</f>
        <v>1.6260382266071995E-2</v>
      </c>
      <c r="N817" s="445" t="s">
        <v>851</v>
      </c>
      <c r="O817" s="168">
        <f>E.pAKI.Primary * M810</f>
        <v>1.6260382266071995E-2</v>
      </c>
    </row>
    <row r="818" spans="1:15" ht="12" customHeight="1" outlineLevel="3" x14ac:dyDescent="0.25">
      <c r="A818" s="374"/>
      <c r="B818" s="385"/>
      <c r="C818" s="377"/>
      <c r="D818" s="40">
        <f t="shared" ref="D818:E820" si="126">D817+5</f>
        <v>75</v>
      </c>
      <c r="E818">
        <f t="shared" si="126"/>
        <v>79</v>
      </c>
      <c r="G818" s="40" t="s">
        <v>89</v>
      </c>
      <c r="H818" s="40" t="s">
        <v>89</v>
      </c>
      <c r="I818" s="40" t="s">
        <v>89</v>
      </c>
      <c r="J818" s="40" t="s">
        <v>89</v>
      </c>
      <c r="K818" s="40" t="s">
        <v>752</v>
      </c>
      <c r="L818" s="171" t="str">
        <f>D818&amp;"-"&amp;E818</f>
        <v>75-79</v>
      </c>
      <c r="M818" s="169">
        <f>O818</f>
        <v>2.3309285274898645E-2</v>
      </c>
      <c r="N818" s="445"/>
      <c r="O818" s="168">
        <f>E.pAKI.Primary * M811</f>
        <v>2.3309285274898645E-2</v>
      </c>
    </row>
    <row r="819" spans="1:15" ht="12" customHeight="1" outlineLevel="3" x14ac:dyDescent="0.25">
      <c r="A819" s="374"/>
      <c r="B819" s="385"/>
      <c r="C819" s="377"/>
      <c r="D819" s="40">
        <f t="shared" si="126"/>
        <v>80</v>
      </c>
      <c r="E819">
        <f t="shared" si="126"/>
        <v>84</v>
      </c>
      <c r="G819" s="40" t="s">
        <v>89</v>
      </c>
      <c r="H819" s="40" t="s">
        <v>89</v>
      </c>
      <c r="I819" s="40" t="s">
        <v>89</v>
      </c>
      <c r="J819" s="40" t="s">
        <v>89</v>
      </c>
      <c r="K819" s="40" t="s">
        <v>752</v>
      </c>
      <c r="L819" s="171" t="str">
        <f>D819&amp;"-"&amp;E819</f>
        <v>80-84</v>
      </c>
      <c r="M819" s="169">
        <f>O819</f>
        <v>2.3309285274898645E-2</v>
      </c>
      <c r="N819" s="445"/>
      <c r="O819" s="168">
        <f>E.pAKI.Primary * M812</f>
        <v>2.3309285274898645E-2</v>
      </c>
    </row>
    <row r="820" spans="1:15" ht="12" customHeight="1" outlineLevel="3" x14ac:dyDescent="0.25">
      <c r="A820" s="374"/>
      <c r="B820" s="385"/>
      <c r="C820" s="377"/>
      <c r="D820" s="40">
        <f t="shared" si="126"/>
        <v>85</v>
      </c>
      <c r="E820">
        <f t="shared" si="126"/>
        <v>89</v>
      </c>
      <c r="G820" s="40" t="s">
        <v>89</v>
      </c>
      <c r="H820" s="40" t="s">
        <v>89</v>
      </c>
      <c r="I820" s="40" t="s">
        <v>89</v>
      </c>
      <c r="J820" s="40" t="s">
        <v>89</v>
      </c>
      <c r="K820" s="40" t="s">
        <v>752</v>
      </c>
      <c r="L820" s="171" t="str">
        <f>D820&amp;"-"&amp;E820</f>
        <v>85-89</v>
      </c>
      <c r="M820" s="169">
        <f>O820</f>
        <v>2.9145812553447222E-2</v>
      </c>
      <c r="N820" s="445"/>
      <c r="O820" s="168">
        <f>E.pAKI.Primary * M813</f>
        <v>2.9145812553447222E-2</v>
      </c>
    </row>
    <row r="821" spans="1:15" ht="12" customHeight="1" outlineLevel="3" x14ac:dyDescent="0.25">
      <c r="A821" s="374"/>
      <c r="B821" s="385"/>
      <c r="C821" s="377"/>
      <c r="G821" s="40" t="s">
        <v>89</v>
      </c>
      <c r="H821" s="40" t="s">
        <v>89</v>
      </c>
      <c r="I821" s="40" t="s">
        <v>89</v>
      </c>
      <c r="J821" s="40" t="s">
        <v>89</v>
      </c>
      <c r="K821" s="40" t="s">
        <v>89</v>
      </c>
      <c r="L821" s="170" t="s">
        <v>152</v>
      </c>
    </row>
    <row r="822" spans="1:15" ht="12" customHeight="1" outlineLevel="3" x14ac:dyDescent="0.25">
      <c r="A822" s="374"/>
      <c r="B822" s="385"/>
      <c r="C822" s="377"/>
      <c r="D822" s="40">
        <v>70</v>
      </c>
      <c r="E822">
        <f>D822+4</f>
        <v>74</v>
      </c>
      <c r="G822" s="40" t="s">
        <v>89</v>
      </c>
      <c r="H822" s="40" t="s">
        <v>89</v>
      </c>
      <c r="I822" s="40" t="s">
        <v>89</v>
      </c>
      <c r="J822" s="40" t="s">
        <v>89</v>
      </c>
      <c r="K822" s="40" t="s">
        <v>752</v>
      </c>
      <c r="L822" s="171" t="str">
        <f>D822&amp;"-"&amp;E822</f>
        <v>70-74</v>
      </c>
      <c r="M822" s="169">
        <f>O822</f>
        <v>6.6997177482441637E-3</v>
      </c>
      <c r="N822" s="445" t="s">
        <v>853</v>
      </c>
      <c r="O822" s="168">
        <f>E.pAKI.SecondaryNoRRT * M810</f>
        <v>6.6997177482441637E-3</v>
      </c>
    </row>
    <row r="823" spans="1:15" ht="12" customHeight="1" outlineLevel="3" x14ac:dyDescent="0.25">
      <c r="A823" s="374"/>
      <c r="B823" s="385"/>
      <c r="C823" s="377"/>
      <c r="D823" s="40">
        <f t="shared" ref="D823:E825" si="127">D822+5</f>
        <v>75</v>
      </c>
      <c r="E823">
        <f t="shared" si="127"/>
        <v>79</v>
      </c>
      <c r="G823" s="40" t="s">
        <v>89</v>
      </c>
      <c r="H823" s="40" t="s">
        <v>89</v>
      </c>
      <c r="I823" s="40" t="s">
        <v>89</v>
      </c>
      <c r="J823" s="40" t="s">
        <v>89</v>
      </c>
      <c r="K823" s="40" t="s">
        <v>752</v>
      </c>
      <c r="L823" s="171" t="str">
        <f>D823&amp;"-"&amp;E823</f>
        <v>75-79</v>
      </c>
      <c r="M823" s="169">
        <f>O823</f>
        <v>9.6040566389986592E-3</v>
      </c>
      <c r="N823" s="445"/>
      <c r="O823" s="168">
        <f>E.pAKI.SecondaryNoRRT * M811</f>
        <v>9.6040566389986592E-3</v>
      </c>
    </row>
    <row r="824" spans="1:15" ht="12" customHeight="1" outlineLevel="3" x14ac:dyDescent="0.25">
      <c r="A824" s="374"/>
      <c r="B824" s="385"/>
      <c r="C824" s="377"/>
      <c r="D824" s="40">
        <f t="shared" si="127"/>
        <v>80</v>
      </c>
      <c r="E824">
        <f t="shared" si="127"/>
        <v>84</v>
      </c>
      <c r="G824" s="40" t="s">
        <v>89</v>
      </c>
      <c r="H824" s="40" t="s">
        <v>89</v>
      </c>
      <c r="I824" s="40" t="s">
        <v>89</v>
      </c>
      <c r="J824" s="40" t="s">
        <v>89</v>
      </c>
      <c r="K824" s="40" t="s">
        <v>752</v>
      </c>
      <c r="L824" s="171" t="str">
        <f>D824&amp;"-"&amp;E824</f>
        <v>80-84</v>
      </c>
      <c r="M824" s="169">
        <f>O824</f>
        <v>9.6040566389986592E-3</v>
      </c>
      <c r="N824" s="445"/>
      <c r="O824" s="168">
        <f>E.pAKI.SecondaryNoRRT * M812</f>
        <v>9.6040566389986592E-3</v>
      </c>
    </row>
    <row r="825" spans="1:15" ht="12" customHeight="1" outlineLevel="3" x14ac:dyDescent="0.25">
      <c r="A825" s="374"/>
      <c r="B825" s="385"/>
      <c r="C825" s="377"/>
      <c r="D825" s="40">
        <f t="shared" si="127"/>
        <v>85</v>
      </c>
      <c r="E825">
        <f t="shared" si="127"/>
        <v>89</v>
      </c>
      <c r="G825" s="40" t="s">
        <v>89</v>
      </c>
      <c r="H825" s="40" t="s">
        <v>89</v>
      </c>
      <c r="I825" s="40" t="s">
        <v>89</v>
      </c>
      <c r="J825" s="40" t="s">
        <v>89</v>
      </c>
      <c r="K825" s="40" t="s">
        <v>752</v>
      </c>
      <c r="L825" s="171" t="str">
        <f>D825&amp;"-"&amp;E825</f>
        <v>85-89</v>
      </c>
      <c r="M825" s="169">
        <f>O825</f>
        <v>1.2008863903449843E-2</v>
      </c>
      <c r="N825" s="445"/>
      <c r="O825" s="168">
        <f>E.pAKI.SecondaryNoRRT * M813</f>
        <v>1.2008863903449843E-2</v>
      </c>
    </row>
    <row r="826" spans="1:15" ht="12" customHeight="1" outlineLevel="3" x14ac:dyDescent="0.25">
      <c r="A826" s="374"/>
      <c r="B826" s="385"/>
      <c r="C826" s="377"/>
      <c r="G826" s="40" t="s">
        <v>89</v>
      </c>
      <c r="H826" s="40" t="s">
        <v>89</v>
      </c>
      <c r="I826" s="40" t="s">
        <v>89</v>
      </c>
      <c r="J826" s="40" t="s">
        <v>89</v>
      </c>
      <c r="K826" s="40" t="s">
        <v>89</v>
      </c>
      <c r="L826" s="170" t="s">
        <v>278</v>
      </c>
    </row>
    <row r="827" spans="1:15" ht="12" customHeight="1" outlineLevel="3" x14ac:dyDescent="0.25">
      <c r="A827" s="374"/>
      <c r="B827" s="385"/>
      <c r="C827" s="377"/>
      <c r="D827" s="40">
        <v>70</v>
      </c>
      <c r="E827">
        <f>D827+4</f>
        <v>74</v>
      </c>
      <c r="G827" s="40" t="s">
        <v>89</v>
      </c>
      <c r="H827" s="40" t="s">
        <v>89</v>
      </c>
      <c r="I827" s="40" t="s">
        <v>89</v>
      </c>
      <c r="J827" s="40" t="s">
        <v>89</v>
      </c>
      <c r="K827" s="40" t="s">
        <v>752</v>
      </c>
      <c r="L827" s="171" t="str">
        <f>D827&amp;"-"&amp;E827</f>
        <v>70-74</v>
      </c>
      <c r="M827" s="169">
        <f>O827</f>
        <v>5.715675197967145E-4</v>
      </c>
      <c r="N827" s="445" t="s">
        <v>855</v>
      </c>
      <c r="O827" s="168">
        <f>E.pAKI.SecondaryRRT * M810</f>
        <v>5.715675197967145E-4</v>
      </c>
    </row>
    <row r="828" spans="1:15" ht="12" customHeight="1" outlineLevel="3" x14ac:dyDescent="0.25">
      <c r="A828" s="374"/>
      <c r="B828" s="385"/>
      <c r="C828" s="377"/>
      <c r="D828" s="40">
        <f t="shared" ref="D828:E830" si="128">D827+5</f>
        <v>75</v>
      </c>
      <c r="E828">
        <f t="shared" si="128"/>
        <v>79</v>
      </c>
      <c r="G828" s="40" t="s">
        <v>89</v>
      </c>
      <c r="H828" s="40" t="s">
        <v>89</v>
      </c>
      <c r="I828" s="40" t="s">
        <v>89</v>
      </c>
      <c r="J828" s="40" t="s">
        <v>89</v>
      </c>
      <c r="K828" s="40" t="s">
        <v>752</v>
      </c>
      <c r="L828" s="171" t="str">
        <f>D828&amp;"-"&amp;E828</f>
        <v>75-79</v>
      </c>
      <c r="M828" s="169">
        <f>O828</f>
        <v>8.193429991253387E-4</v>
      </c>
      <c r="N828" s="445"/>
      <c r="O828" s="168">
        <f>E.pAKI.SecondaryRRT * M811</f>
        <v>8.193429991253387E-4</v>
      </c>
    </row>
    <row r="829" spans="1:15" ht="12" customHeight="1" outlineLevel="3" x14ac:dyDescent="0.25">
      <c r="A829" s="374"/>
      <c r="B829" s="385"/>
      <c r="C829" s="377"/>
      <c r="D829" s="40">
        <f t="shared" si="128"/>
        <v>80</v>
      </c>
      <c r="E829">
        <f t="shared" si="128"/>
        <v>84</v>
      </c>
      <c r="G829" s="40" t="s">
        <v>89</v>
      </c>
      <c r="H829" s="40" t="s">
        <v>89</v>
      </c>
      <c r="I829" s="40" t="s">
        <v>89</v>
      </c>
      <c r="J829" s="40" t="s">
        <v>89</v>
      </c>
      <c r="K829" s="40" t="s">
        <v>752</v>
      </c>
      <c r="L829" s="171" t="str">
        <f>D829&amp;"-"&amp;E829</f>
        <v>80-84</v>
      </c>
      <c r="M829" s="169">
        <f>O829</f>
        <v>8.193429991253387E-4</v>
      </c>
      <c r="N829" s="445"/>
      <c r="O829" s="168">
        <f>E.pAKI.SecondaryRRT * M812</f>
        <v>8.193429991253387E-4</v>
      </c>
    </row>
    <row r="830" spans="1:15" ht="12" customHeight="1" outlineLevel="3" x14ac:dyDescent="0.25">
      <c r="A830" s="374"/>
      <c r="B830" s="385"/>
      <c r="C830" s="377"/>
      <c r="D830" s="40">
        <f t="shared" si="128"/>
        <v>85</v>
      </c>
      <c r="E830">
        <f t="shared" si="128"/>
        <v>89</v>
      </c>
      <c r="G830" s="40" t="s">
        <v>89</v>
      </c>
      <c r="H830" s="40" t="s">
        <v>89</v>
      </c>
      <c r="I830" s="40" t="s">
        <v>89</v>
      </c>
      <c r="J830" s="40" t="s">
        <v>89</v>
      </c>
      <c r="K830" s="40" t="s">
        <v>752</v>
      </c>
      <c r="L830" s="171" t="str">
        <f>D830&amp;"-"&amp;E830</f>
        <v>85-89</v>
      </c>
      <c r="M830" s="169">
        <f>O830</f>
        <v>1.0245023469339402E-3</v>
      </c>
      <c r="N830" s="445"/>
      <c r="O830" s="168">
        <f>E.pAKI.SecondaryRRT * M813</f>
        <v>1.0245023469339402E-3</v>
      </c>
    </row>
    <row r="831" spans="1:15" ht="12" customHeight="1" outlineLevel="3" x14ac:dyDescent="0.25">
      <c r="A831" s="374"/>
      <c r="B831" s="385"/>
      <c r="C831" s="377"/>
      <c r="G831" s="40" t="s">
        <v>89</v>
      </c>
      <c r="H831" s="40" t="s">
        <v>89</v>
      </c>
      <c r="I831" s="40" t="s">
        <v>89</v>
      </c>
      <c r="J831" s="40" t="s">
        <v>89</v>
      </c>
      <c r="K831" s="40" t="s">
        <v>89</v>
      </c>
      <c r="L831" s="104" t="s">
        <v>127</v>
      </c>
    </row>
    <row r="832" spans="1:15" ht="12" customHeight="1" outlineLevel="3" x14ac:dyDescent="0.25">
      <c r="A832" s="374"/>
      <c r="B832" s="385"/>
      <c r="C832" s="377"/>
      <c r="G832" s="40" t="s">
        <v>89</v>
      </c>
      <c r="H832" s="40" t="s">
        <v>89</v>
      </c>
      <c r="I832" s="40" t="s">
        <v>89</v>
      </c>
      <c r="J832" s="40" t="s">
        <v>89</v>
      </c>
      <c r="K832" s="40" t="s">
        <v>89</v>
      </c>
      <c r="L832" s="170" t="s">
        <v>153</v>
      </c>
    </row>
    <row r="833" spans="1:31" ht="12" customHeight="1" outlineLevel="3" x14ac:dyDescent="0.25">
      <c r="A833" s="374"/>
      <c r="B833" s="385"/>
      <c r="C833" s="377"/>
      <c r="D833" s="40">
        <v>70</v>
      </c>
      <c r="E833">
        <f>D833+4</f>
        <v>74</v>
      </c>
      <c r="G833" s="40" t="s">
        <v>89</v>
      </c>
      <c r="H833" s="40" t="s">
        <v>89</v>
      </c>
      <c r="I833" s="40" t="s">
        <v>89</v>
      </c>
      <c r="J833" s="40" t="s">
        <v>89</v>
      </c>
      <c r="K833" s="40" t="s">
        <v>752</v>
      </c>
      <c r="L833" s="171" t="str">
        <f>D833&amp;"-"&amp;E833</f>
        <v>70-74</v>
      </c>
      <c r="M833" s="169">
        <f>O833</f>
        <v>2.6235663881752816E-2</v>
      </c>
      <c r="N833" s="445" t="s">
        <v>852</v>
      </c>
      <c r="O833" s="168" cm="1">
        <f t="array" ref="O833">vbOddsToProb(vbProbToOdds(M817)*M941)</f>
        <v>2.6235663881752816E-2</v>
      </c>
    </row>
    <row r="834" spans="1:31" ht="12" customHeight="1" outlineLevel="3" x14ac:dyDescent="0.25">
      <c r="A834" s="374"/>
      <c r="B834" s="385"/>
      <c r="C834" s="377"/>
      <c r="D834" s="40">
        <f t="shared" ref="D834:E836" si="129">D833+5</f>
        <v>75</v>
      </c>
      <c r="E834">
        <f t="shared" si="129"/>
        <v>79</v>
      </c>
      <c r="G834" s="40" t="s">
        <v>89</v>
      </c>
      <c r="H834" s="40" t="s">
        <v>89</v>
      </c>
      <c r="I834" s="40" t="s">
        <v>89</v>
      </c>
      <c r="J834" s="40" t="s">
        <v>89</v>
      </c>
      <c r="K834" s="40" t="s">
        <v>752</v>
      </c>
      <c r="L834" s="171" t="str">
        <f>D834&amp;"-"&amp;E834</f>
        <v>75-79</v>
      </c>
      <c r="M834" s="169">
        <f>O834</f>
        <v>4.2086063083824655E-2</v>
      </c>
      <c r="N834" s="445"/>
      <c r="O834" s="168" cm="1">
        <f t="array" ref="O834">vbOddsToProb(vbProbToOdds(M818)*M942)</f>
        <v>4.2086063083824655E-2</v>
      </c>
    </row>
    <row r="835" spans="1:31" ht="12" customHeight="1" outlineLevel="3" x14ac:dyDescent="0.25">
      <c r="A835" s="374"/>
      <c r="B835" s="385"/>
      <c r="C835" s="377"/>
      <c r="D835" s="40">
        <f t="shared" si="129"/>
        <v>80</v>
      </c>
      <c r="E835">
        <f t="shared" si="129"/>
        <v>84</v>
      </c>
      <c r="G835" s="40" t="s">
        <v>89</v>
      </c>
      <c r="H835" s="40" t="s">
        <v>89</v>
      </c>
      <c r="I835" s="40" t="s">
        <v>89</v>
      </c>
      <c r="J835" s="40" t="s">
        <v>89</v>
      </c>
      <c r="K835" s="40" t="s">
        <v>752</v>
      </c>
      <c r="L835" s="171" t="str">
        <f>D835&amp;"-"&amp;E835</f>
        <v>80-84</v>
      </c>
      <c r="M835" s="169">
        <f>O835</f>
        <v>4.813681851709925E-2</v>
      </c>
      <c r="N835" s="445"/>
      <c r="O835" s="168" cm="1">
        <f t="array" ref="O835">vbOddsToProb(vbProbToOdds(M819)*M943)</f>
        <v>4.813681851709925E-2</v>
      </c>
    </row>
    <row r="836" spans="1:31" ht="12" customHeight="1" outlineLevel="3" x14ac:dyDescent="0.25">
      <c r="A836" s="374"/>
      <c r="B836" s="385"/>
      <c r="C836" s="377"/>
      <c r="D836" s="40">
        <f t="shared" si="129"/>
        <v>85</v>
      </c>
      <c r="E836">
        <f t="shared" si="129"/>
        <v>89</v>
      </c>
      <c r="G836" s="40" t="s">
        <v>89</v>
      </c>
      <c r="H836" s="40" t="s">
        <v>89</v>
      </c>
      <c r="I836" s="40" t="s">
        <v>89</v>
      </c>
      <c r="J836" s="40" t="s">
        <v>89</v>
      </c>
      <c r="K836" s="40" t="s">
        <v>752</v>
      </c>
      <c r="L836" s="171" t="str">
        <f>D836&amp;"-"&amp;E836</f>
        <v>85-89</v>
      </c>
      <c r="M836" s="169">
        <f>O836</f>
        <v>5.2888780541090044E-2</v>
      </c>
      <c r="N836" s="445"/>
      <c r="O836" s="168" cm="1">
        <f t="array" ref="O836">vbOddsToProb(vbProbToOdds(M820)*M944)</f>
        <v>5.2888780541090044E-2</v>
      </c>
    </row>
    <row r="837" spans="1:31" ht="12" customHeight="1" outlineLevel="3" x14ac:dyDescent="0.25">
      <c r="A837" s="374"/>
      <c r="B837" s="385"/>
      <c r="C837" s="377"/>
      <c r="G837" s="40" t="s">
        <v>89</v>
      </c>
      <c r="H837" s="40" t="s">
        <v>89</v>
      </c>
      <c r="I837" s="40" t="s">
        <v>89</v>
      </c>
      <c r="J837" s="40" t="s">
        <v>89</v>
      </c>
      <c r="K837" s="40" t="s">
        <v>89</v>
      </c>
      <c r="L837" s="170" t="s">
        <v>152</v>
      </c>
    </row>
    <row r="838" spans="1:31" ht="12" customHeight="1" outlineLevel="3" x14ac:dyDescent="0.25">
      <c r="A838" s="374"/>
      <c r="B838" s="385"/>
      <c r="C838" s="377"/>
      <c r="D838" s="40">
        <v>70</v>
      </c>
      <c r="E838">
        <f>D838+4</f>
        <v>74</v>
      </c>
      <c r="G838" s="40" t="s">
        <v>89</v>
      </c>
      <c r="H838" s="40" t="s">
        <v>89</v>
      </c>
      <c r="I838" s="40" t="s">
        <v>89</v>
      </c>
      <c r="J838" s="40" t="s">
        <v>89</v>
      </c>
      <c r="K838" s="40" t="s">
        <v>752</v>
      </c>
      <c r="L838" s="171" t="str">
        <f>D838&amp;"-"&amp;E838</f>
        <v>70-74</v>
      </c>
      <c r="M838" s="169">
        <f>O838</f>
        <v>1.0874640007878062E-2</v>
      </c>
      <c r="N838" s="445" t="s">
        <v>854</v>
      </c>
      <c r="O838" s="168" cm="1">
        <f t="array" ref="O838">vbOddsToProb(vbProbToOdds(M822)*M941)</f>
        <v>1.0874640007878062E-2</v>
      </c>
    </row>
    <row r="839" spans="1:31" ht="12" customHeight="1" outlineLevel="3" x14ac:dyDescent="0.25">
      <c r="A839" s="374"/>
      <c r="B839" s="385"/>
      <c r="C839" s="377"/>
      <c r="D839" s="40">
        <f t="shared" ref="D839:E841" si="130">D838+5</f>
        <v>75</v>
      </c>
      <c r="E839">
        <f t="shared" si="130"/>
        <v>79</v>
      </c>
      <c r="G839" s="40" t="s">
        <v>89</v>
      </c>
      <c r="H839" s="40" t="s">
        <v>89</v>
      </c>
      <c r="I839" s="40" t="s">
        <v>89</v>
      </c>
      <c r="J839" s="40" t="s">
        <v>89</v>
      </c>
      <c r="K839" s="40" t="s">
        <v>752</v>
      </c>
      <c r="L839" s="171" t="str">
        <f>D839&amp;"-"&amp;E839</f>
        <v>75-79</v>
      </c>
      <c r="M839" s="169">
        <f>O839</f>
        <v>1.753885172693145E-2</v>
      </c>
      <c r="N839" s="445"/>
      <c r="O839" s="168" cm="1">
        <f t="array" ref="O839">vbOddsToProb(vbProbToOdds(M823)*M942)</f>
        <v>1.753885172693145E-2</v>
      </c>
    </row>
    <row r="840" spans="1:31" ht="12" customHeight="1" outlineLevel="3" x14ac:dyDescent="0.25">
      <c r="A840" s="374"/>
      <c r="B840" s="385"/>
      <c r="C840" s="377"/>
      <c r="D840" s="40">
        <f t="shared" si="130"/>
        <v>80</v>
      </c>
      <c r="E840">
        <f t="shared" si="130"/>
        <v>84</v>
      </c>
      <c r="G840" s="40" t="s">
        <v>89</v>
      </c>
      <c r="H840" s="40" t="s">
        <v>89</v>
      </c>
      <c r="I840" s="40" t="s">
        <v>89</v>
      </c>
      <c r="J840" s="40" t="s">
        <v>89</v>
      </c>
      <c r="K840" s="40" t="s">
        <v>752</v>
      </c>
      <c r="L840" s="171" t="str">
        <f>D840&amp;"-"&amp;E840</f>
        <v>80-84</v>
      </c>
      <c r="M840" s="169">
        <f>O840</f>
        <v>2.0134610578728E-2</v>
      </c>
      <c r="N840" s="445"/>
      <c r="O840" s="168" cm="1">
        <f t="array" ref="O840">vbOddsToProb(vbProbToOdds(M824)*M943)</f>
        <v>2.0134610578728E-2</v>
      </c>
    </row>
    <row r="841" spans="1:31" ht="12" customHeight="1" outlineLevel="3" x14ac:dyDescent="0.25">
      <c r="A841" s="374"/>
      <c r="B841" s="385"/>
      <c r="C841" s="377"/>
      <c r="D841" s="40">
        <f t="shared" si="130"/>
        <v>85</v>
      </c>
      <c r="E841">
        <f t="shared" si="130"/>
        <v>89</v>
      </c>
      <c r="G841" s="40" t="s">
        <v>89</v>
      </c>
      <c r="H841" s="40" t="s">
        <v>89</v>
      </c>
      <c r="I841" s="40" t="s">
        <v>89</v>
      </c>
      <c r="J841" s="40" t="s">
        <v>89</v>
      </c>
      <c r="K841" s="40" t="s">
        <v>752</v>
      </c>
      <c r="L841" s="171" t="str">
        <f>D841&amp;"-"&amp;E841</f>
        <v>85-89</v>
      </c>
      <c r="M841" s="169">
        <f>O841</f>
        <v>2.2109529546512893E-2</v>
      </c>
      <c r="N841" s="445"/>
      <c r="O841" s="168" cm="1">
        <f t="array" ref="O841">vbOddsToProb(vbProbToOdds(M825)*M944)</f>
        <v>2.2109529546512893E-2</v>
      </c>
    </row>
    <row r="842" spans="1:31" ht="12" customHeight="1" outlineLevel="3" x14ac:dyDescent="0.25">
      <c r="A842" s="374"/>
      <c r="B842" s="385"/>
      <c r="C842" s="377"/>
      <c r="G842" s="40" t="s">
        <v>89</v>
      </c>
      <c r="H842" s="40" t="s">
        <v>89</v>
      </c>
      <c r="I842" s="40" t="s">
        <v>89</v>
      </c>
      <c r="J842" s="40" t="s">
        <v>89</v>
      </c>
      <c r="K842" s="40" t="s">
        <v>89</v>
      </c>
      <c r="L842" s="170" t="s">
        <v>278</v>
      </c>
    </row>
    <row r="843" spans="1:31" ht="12" customHeight="1" outlineLevel="3" x14ac:dyDescent="0.25">
      <c r="A843" s="374"/>
      <c r="B843" s="385"/>
      <c r="C843" s="377"/>
      <c r="D843" s="40">
        <v>70</v>
      </c>
      <c r="E843">
        <f>D843+4</f>
        <v>74</v>
      </c>
      <c r="G843" s="40" t="s">
        <v>89</v>
      </c>
      <c r="H843" s="40" t="s">
        <v>89</v>
      </c>
      <c r="I843" s="40" t="s">
        <v>89</v>
      </c>
      <c r="J843" s="40" t="s">
        <v>89</v>
      </c>
      <c r="K843" s="40" t="s">
        <v>752</v>
      </c>
      <c r="L843" s="171" t="str">
        <f>D843&amp;"-"&amp;E843</f>
        <v>70-74</v>
      </c>
      <c r="M843" s="169">
        <f>O843</f>
        <v>9.3131970065103806E-4</v>
      </c>
      <c r="N843" s="445" t="s">
        <v>856</v>
      </c>
      <c r="O843" s="168" cm="1">
        <f t="array" ref="O843">vbOddsToProb(vbProbToOdds(M827)*M941)</f>
        <v>9.3131970065103806E-4</v>
      </c>
    </row>
    <row r="844" spans="1:31" ht="12" customHeight="1" outlineLevel="3" x14ac:dyDescent="0.25">
      <c r="A844" s="374"/>
      <c r="B844" s="385"/>
      <c r="C844" s="377"/>
      <c r="D844" s="40">
        <f t="shared" ref="D844:E846" si="131">D843+5</f>
        <v>75</v>
      </c>
      <c r="E844">
        <f t="shared" si="131"/>
        <v>79</v>
      </c>
      <c r="G844" s="40" t="s">
        <v>89</v>
      </c>
      <c r="H844" s="40" t="s">
        <v>89</v>
      </c>
      <c r="I844" s="40" t="s">
        <v>89</v>
      </c>
      <c r="J844" s="40" t="s">
        <v>89</v>
      </c>
      <c r="K844" s="40" t="s">
        <v>752</v>
      </c>
      <c r="L844" s="171" t="str">
        <f>D844&amp;"-"&amp;E844</f>
        <v>75-79</v>
      </c>
      <c r="M844" s="169">
        <f>O844</f>
        <v>1.5073236896810294E-3</v>
      </c>
      <c r="N844" s="445"/>
      <c r="O844" s="168" cm="1">
        <f t="array" ref="O844">vbOddsToProb(vbProbToOdds(M828)*M942)</f>
        <v>1.5073236896810294E-3</v>
      </c>
    </row>
    <row r="845" spans="1:31" ht="12" customHeight="1" outlineLevel="3" x14ac:dyDescent="0.25">
      <c r="A845" s="374"/>
      <c r="B845" s="385"/>
      <c r="C845" s="377"/>
      <c r="D845" s="40">
        <f t="shared" si="131"/>
        <v>80</v>
      </c>
      <c r="E845">
        <f t="shared" si="131"/>
        <v>84</v>
      </c>
      <c r="G845" s="40" t="s">
        <v>89</v>
      </c>
      <c r="H845" s="40" t="s">
        <v>89</v>
      </c>
      <c r="I845" s="40" t="s">
        <v>89</v>
      </c>
      <c r="J845" s="40" t="s">
        <v>89</v>
      </c>
      <c r="K845" s="40" t="s">
        <v>752</v>
      </c>
      <c r="L845" s="171" t="str">
        <f>D845&amp;"-"&amp;E845</f>
        <v>80-84</v>
      </c>
      <c r="M845" s="169">
        <f>O845</f>
        <v>1.7345974584589208E-3</v>
      </c>
      <c r="N845" s="445"/>
      <c r="O845" s="168" cm="1">
        <f t="array" ref="O845">vbOddsToProb(vbProbToOdds(M829)*M943)</f>
        <v>1.7345974584589208E-3</v>
      </c>
    </row>
    <row r="846" spans="1:31" ht="12" customHeight="1" outlineLevel="3" thickBot="1" x14ac:dyDescent="0.3">
      <c r="A846" s="374"/>
      <c r="B846" s="385"/>
      <c r="C846" s="377"/>
      <c r="D846" s="40">
        <f t="shared" si="131"/>
        <v>85</v>
      </c>
      <c r="E846">
        <f t="shared" si="131"/>
        <v>89</v>
      </c>
      <c r="G846" s="40" t="s">
        <v>89</v>
      </c>
      <c r="H846" s="40" t="s">
        <v>89</v>
      </c>
      <c r="I846" s="40" t="s">
        <v>89</v>
      </c>
      <c r="J846" s="40" t="s">
        <v>89</v>
      </c>
      <c r="K846" s="40" t="s">
        <v>752</v>
      </c>
      <c r="L846" s="171" t="str">
        <f>D846&amp;"-"&amp;E846</f>
        <v>85-89</v>
      </c>
      <c r="M846" s="169">
        <f>O846</f>
        <v>1.9040170893145371E-3</v>
      </c>
      <c r="N846" s="445"/>
      <c r="O846" s="168" cm="1">
        <f t="array" ref="O846">vbOddsToProb(vbProbToOdds(M830)*M944)</f>
        <v>1.9040170893145371E-3</v>
      </c>
    </row>
    <row r="847" spans="1:31" s="110" customFormat="1" ht="12" customHeight="1" outlineLevel="2" thickBot="1" x14ac:dyDescent="0.3">
      <c r="A847" s="374"/>
      <c r="B847" s="385"/>
      <c r="C847" s="377"/>
      <c r="D847" s="112"/>
      <c r="G847" s="112" t="s">
        <v>89</v>
      </c>
      <c r="H847" s="112" t="s">
        <v>89</v>
      </c>
      <c r="I847" s="112" t="s">
        <v>89</v>
      </c>
      <c r="J847" s="112" t="s">
        <v>89</v>
      </c>
      <c r="K847" s="112" t="s">
        <v>89</v>
      </c>
      <c r="L847" s="110" t="s">
        <v>145</v>
      </c>
    </row>
    <row r="848" spans="1:31" ht="12" customHeight="1" outlineLevel="3" x14ac:dyDescent="0.25">
      <c r="A848" s="374"/>
      <c r="B848" s="385"/>
      <c r="C848" s="377"/>
      <c r="G848" s="40" t="s">
        <v>89</v>
      </c>
      <c r="H848" s="40" t="s">
        <v>89</v>
      </c>
      <c r="I848" s="40" t="s">
        <v>89</v>
      </c>
      <c r="J848" s="40" t="s">
        <v>89</v>
      </c>
      <c r="K848" s="40" t="s">
        <v>752</v>
      </c>
      <c r="L848" s="76" t="s">
        <v>310</v>
      </c>
      <c r="M848" s="88">
        <f>O848</f>
        <v>9.5960591133004924E-2</v>
      </c>
      <c r="O848" s="11">
        <f>CHOOSE(swtchPSA, S848, AB848)</f>
        <v>9.5960591133004924E-2</v>
      </c>
      <c r="Q848" s="162">
        <v>5075</v>
      </c>
      <c r="R848" s="14">
        <v>487</v>
      </c>
      <c r="S848" s="17">
        <f>R848/Q848</f>
        <v>9.5960591133004924E-2</v>
      </c>
      <c r="T848" s="18"/>
      <c r="U848" s="93">
        <f>SQRT((S848*(1-S848))/(Q848+1))</f>
        <v>4.1340843347138709E-3</v>
      </c>
      <c r="V848" s="17">
        <f>_xlfn.BETA.INV(0.025, AD848, AE848)</f>
        <v>8.801012271689726E-2</v>
      </c>
      <c r="W848" s="18"/>
      <c r="X848" s="17">
        <f>_xlfn.BETA.INV(0.975, AD848, AE848)</f>
        <v>0.10421265613691455</v>
      </c>
      <c r="Y848" s="32" t="s">
        <v>281</v>
      </c>
      <c r="AA848" s="19">
        <f ca="1">RAND()</f>
        <v>0.17463962237981545</v>
      </c>
      <c r="AB848" s="21">
        <f ca="1">_xlfn.BETA.INV(AA848, AD848, AE848)</f>
        <v>9.2085138627223173E-2</v>
      </c>
      <c r="AC848" s="20" t="s">
        <v>28</v>
      </c>
      <c r="AD848" s="34">
        <f>R848</f>
        <v>487</v>
      </c>
      <c r="AE848" s="33">
        <f>Q848-R848</f>
        <v>4588</v>
      </c>
    </row>
    <row r="849" spans="1:31" ht="12" customHeight="1" outlineLevel="3" x14ac:dyDescent="0.25">
      <c r="A849" s="374"/>
      <c r="B849" s="385"/>
      <c r="C849" s="377"/>
      <c r="G849" s="40" t="s">
        <v>89</v>
      </c>
      <c r="H849" s="40" t="s">
        <v>89</v>
      </c>
      <c r="I849" s="40" t="s">
        <v>89</v>
      </c>
      <c r="J849" s="40" t="s">
        <v>89</v>
      </c>
      <c r="K849" s="40" t="s">
        <v>752</v>
      </c>
      <c r="L849" s="76" t="s">
        <v>311</v>
      </c>
      <c r="M849" s="88">
        <f>O849</f>
        <v>0.27500000000000002</v>
      </c>
      <c r="O849" s="11">
        <f>CHOOSE(swtchPSA, S849, AB849)</f>
        <v>0.27500000000000002</v>
      </c>
      <c r="Q849" s="163">
        <f>R849/S849</f>
        <v>14039.999999999998</v>
      </c>
      <c r="R849" s="162">
        <v>3861</v>
      </c>
      <c r="S849" s="28">
        <v>0.27500000000000002</v>
      </c>
      <c r="T849" s="18"/>
      <c r="U849" s="22">
        <f>SQRT((S849*(1-S849))/(Q849+1))</f>
        <v>3.7682206962982218E-3</v>
      </c>
      <c r="V849" s="17">
        <f>_xlfn.BETA.INV(0.025, AD849, AE849)</f>
        <v>0.26764493813171997</v>
      </c>
      <c r="W849" s="18"/>
      <c r="X849" s="17">
        <f>_xlfn.BETA.INV(0.975, AD849, AE849)</f>
        <v>0.28241577673814067</v>
      </c>
      <c r="Y849" s="32" t="s">
        <v>281</v>
      </c>
      <c r="AA849" s="19">
        <f ca="1">RAND()</f>
        <v>0.17632829309610754</v>
      </c>
      <c r="AB849" s="21">
        <f ca="1">_xlfn.BETA.INV(AA849, AD849, AE849)</f>
        <v>0.27149608812725956</v>
      </c>
      <c r="AC849" s="20" t="s">
        <v>28</v>
      </c>
      <c r="AD849" s="34">
        <f>R849</f>
        <v>3861</v>
      </c>
      <c r="AE849" s="33">
        <f>Q849-R849</f>
        <v>10178.999999999998</v>
      </c>
    </row>
    <row r="850" spans="1:31" ht="12" customHeight="1" outlineLevel="3" x14ac:dyDescent="0.25">
      <c r="A850" s="374"/>
      <c r="B850" s="385"/>
      <c r="C850" s="377"/>
      <c r="G850" s="40" t="s">
        <v>89</v>
      </c>
      <c r="H850" s="40" t="s">
        <v>89</v>
      </c>
      <c r="I850" s="40" t="s">
        <v>89</v>
      </c>
      <c r="J850" s="40" t="s">
        <v>89</v>
      </c>
      <c r="K850" s="40" t="s">
        <v>89</v>
      </c>
      <c r="L850" s="10" t="s">
        <v>134</v>
      </c>
    </row>
    <row r="851" spans="1:31" ht="12" customHeight="1" outlineLevel="3" x14ac:dyDescent="0.25">
      <c r="A851" s="374"/>
      <c r="B851" s="385"/>
      <c r="C851" s="377"/>
      <c r="G851" s="40" t="s">
        <v>89</v>
      </c>
      <c r="H851" s="40" t="s">
        <v>89</v>
      </c>
      <c r="I851" s="40" t="s">
        <v>89</v>
      </c>
      <c r="J851" s="40" t="s">
        <v>89</v>
      </c>
      <c r="K851" s="40" t="s">
        <v>752</v>
      </c>
      <c r="L851" s="151" t="s">
        <v>121</v>
      </c>
      <c r="M851" s="88">
        <f>O851</f>
        <v>0.27100000000000002</v>
      </c>
      <c r="O851" s="11">
        <f>CHOOSE(swtchPSA, S851, AB851)</f>
        <v>0.27100000000000002</v>
      </c>
      <c r="Q851" s="162">
        <v>200779</v>
      </c>
      <c r="R851" s="163">
        <f>ROUND(Q851*S851, 0)</f>
        <v>54411</v>
      </c>
      <c r="S851" s="28">
        <v>0.27100000000000002</v>
      </c>
      <c r="T851" s="18"/>
      <c r="U851" s="22">
        <f>SQRT((S851*(1-S851))/(Q851+1))</f>
        <v>9.9194635212524027E-4</v>
      </c>
      <c r="V851" s="17">
        <f>_xlfn.BETA.INV(0.025, AD851, AE851)</f>
        <v>0.26905744272206411</v>
      </c>
      <c r="W851" s="18"/>
      <c r="X851" s="17">
        <f>_xlfn.BETA.INV(0.975, AD851, AE851)</f>
        <v>0.27294579264654451</v>
      </c>
      <c r="Y851" s="32" t="s">
        <v>243</v>
      </c>
      <c r="AA851" s="19">
        <f ca="1">RAND()</f>
        <v>0.49325073721386015</v>
      </c>
      <c r="AB851" s="21">
        <f ca="1">_xlfn.BETA.INV(AA851, AD851, AE851)</f>
        <v>0.27098191447977321</v>
      </c>
      <c r="AC851" s="20" t="s">
        <v>28</v>
      </c>
      <c r="AD851" s="34">
        <f>R851</f>
        <v>54411</v>
      </c>
      <c r="AE851" s="33">
        <f>Q851-R851</f>
        <v>146368</v>
      </c>
    </row>
    <row r="852" spans="1:31" ht="12" customHeight="1" outlineLevel="3" x14ac:dyDescent="0.25">
      <c r="A852" s="374"/>
      <c r="B852" s="385"/>
      <c r="C852" s="377"/>
      <c r="G852" s="40" t="s">
        <v>89</v>
      </c>
      <c r="H852" s="40" t="s">
        <v>89</v>
      </c>
      <c r="I852" s="40" t="s">
        <v>89</v>
      </c>
      <c r="J852" s="40" t="s">
        <v>89</v>
      </c>
      <c r="K852" s="40" t="s">
        <v>752</v>
      </c>
      <c r="L852" s="151" t="s">
        <v>122</v>
      </c>
      <c r="M852" s="88">
        <f>O852</f>
        <v>0.41099999999999998</v>
      </c>
      <c r="O852" s="11">
        <f>CHOOSE(swtchPSA, S852, AB852)</f>
        <v>0.41099999999999998</v>
      </c>
      <c r="Q852" s="162">
        <v>19793</v>
      </c>
      <c r="R852" s="163">
        <f>ROUND(Q852*S852, 0)</f>
        <v>8135</v>
      </c>
      <c r="S852" s="28">
        <v>0.41099999999999998</v>
      </c>
      <c r="T852" s="18"/>
      <c r="U852" s="22">
        <f>SQRT((S852*(1-S852))/(Q852+1))</f>
        <v>3.4971299885788168E-3</v>
      </c>
      <c r="V852" s="17">
        <f>_xlfn.BETA.INV(0.025, AD852, AE852)</f>
        <v>0.4041582259367702</v>
      </c>
      <c r="W852" s="18"/>
      <c r="X852" s="17">
        <f>_xlfn.BETA.INV(0.975, AD852, AE852)</f>
        <v>0.41786658953068223</v>
      </c>
      <c r="Y852" s="32" t="s">
        <v>244</v>
      </c>
      <c r="AA852" s="19">
        <f ca="1">RAND()</f>
        <v>0.29870933227948815</v>
      </c>
      <c r="AB852" s="21">
        <f ca="1">_xlfn.BETA.INV(AA852, AD852, AE852)</f>
        <v>0.40915477378042842</v>
      </c>
      <c r="AC852" s="20" t="s">
        <v>28</v>
      </c>
      <c r="AD852" s="34">
        <f>R852</f>
        <v>8135</v>
      </c>
      <c r="AE852" s="33">
        <f>Q852-R852</f>
        <v>11658</v>
      </c>
    </row>
    <row r="853" spans="1:31" ht="12" customHeight="1" outlineLevel="3" x14ac:dyDescent="0.25">
      <c r="A853" s="374"/>
      <c r="B853" s="385"/>
      <c r="C853" s="377"/>
      <c r="G853" s="40" t="s">
        <v>89</v>
      </c>
      <c r="H853" s="40" t="s">
        <v>89</v>
      </c>
      <c r="I853" s="40" t="s">
        <v>89</v>
      </c>
      <c r="J853" s="40" t="s">
        <v>89</v>
      </c>
      <c r="K853" s="40" t="s">
        <v>752</v>
      </c>
      <c r="L853" s="151" t="s">
        <v>323</v>
      </c>
      <c r="M853" s="89">
        <f>O853</f>
        <v>1.5166225594707468</v>
      </c>
      <c r="O853" s="11">
        <f>CHOOSE(swtchPSA, S853, AB853)</f>
        <v>1.5166225594707468</v>
      </c>
      <c r="S853" s="389">
        <f>(R852/Q852) / (R851/Q851)</f>
        <v>1.5166225594707468</v>
      </c>
      <c r="U853" s="388">
        <f>SQRT(SUM(1/R851, 1/R852, -1/Q851, -1/Q852))</f>
        <v>9.2628696398639829E-3</v>
      </c>
      <c r="V853" s="389">
        <f>EXP(LN(S853)-_xlfn.NORM.S.INV(0.975)*U853)</f>
        <v>1.4893368761305614</v>
      </c>
      <c r="X853" s="389">
        <f>EXP(LN(S853)+_xlfn.NORM.S.INV(0.975)*U853)</f>
        <v>1.5444081354324559</v>
      </c>
      <c r="AA853" s="19">
        <f ca="1">RAND()</f>
        <v>0.56460761651421221</v>
      </c>
      <c r="AB853" s="37">
        <f ca="1">_xlfn.LOGNORM.INV(AA853, AD853, AE853)</f>
        <v>1.5189093991395566</v>
      </c>
      <c r="AC853" s="20" t="s">
        <v>20</v>
      </c>
      <c r="AD853" s="27">
        <f>LN(S853)</f>
        <v>0.41648586220422995</v>
      </c>
      <c r="AE853" s="26">
        <f>U853</f>
        <v>9.2628696398639829E-3</v>
      </c>
    </row>
    <row r="854" spans="1:31" ht="12" customHeight="1" outlineLevel="3" x14ac:dyDescent="0.25">
      <c r="A854" s="374"/>
      <c r="B854" s="385"/>
      <c r="C854" s="377"/>
      <c r="G854" s="40" t="s">
        <v>89</v>
      </c>
      <c r="H854" s="40" t="s">
        <v>89</v>
      </c>
      <c r="I854" s="40" t="s">
        <v>89</v>
      </c>
      <c r="J854" s="40" t="s">
        <v>89</v>
      </c>
      <c r="K854" s="40" t="s">
        <v>89</v>
      </c>
      <c r="L854" s="10" t="s">
        <v>133</v>
      </c>
    </row>
    <row r="855" spans="1:31" ht="12" customHeight="1" outlineLevel="3" x14ac:dyDescent="0.25">
      <c r="A855" s="374"/>
      <c r="B855" s="385"/>
      <c r="C855" s="377"/>
      <c r="G855" s="40" t="s">
        <v>89</v>
      </c>
      <c r="H855" s="40" t="s">
        <v>89</v>
      </c>
      <c r="I855" s="40" t="s">
        <v>89</v>
      </c>
      <c r="J855" s="40" t="s">
        <v>89</v>
      </c>
      <c r="K855" s="40" t="s">
        <v>752</v>
      </c>
      <c r="L855" s="151" t="s">
        <v>121</v>
      </c>
      <c r="M855" s="156">
        <f>O855</f>
        <v>0.26430999996941934</v>
      </c>
      <c r="N855" s="195" t="s">
        <v>844</v>
      </c>
      <c r="O855" s="11">
        <f>M849/((1-E.pAKI.SecondaryReqsRRT)+E.pAKI.SecondaryReqsRRT*M853)</f>
        <v>0.26430999996941934</v>
      </c>
    </row>
    <row r="856" spans="1:31" ht="12" customHeight="1" outlineLevel="3" x14ac:dyDescent="0.25">
      <c r="A856" s="374"/>
      <c r="B856" s="385"/>
      <c r="C856" s="377"/>
      <c r="G856" s="40" t="s">
        <v>89</v>
      </c>
      <c r="H856" s="40" t="s">
        <v>89</v>
      </c>
      <c r="I856" s="40" t="s">
        <v>89</v>
      </c>
      <c r="J856" s="40" t="s">
        <v>89</v>
      </c>
      <c r="K856" s="40" t="s">
        <v>752</v>
      </c>
      <c r="L856" s="151" t="s">
        <v>122</v>
      </c>
      <c r="M856" s="156">
        <f>O856</f>
        <v>0.40085850864733374</v>
      </c>
      <c r="N856" s="195" t="s">
        <v>845</v>
      </c>
      <c r="O856" s="11">
        <f>M855*M853</f>
        <v>0.40085850864733374</v>
      </c>
    </row>
    <row r="857" spans="1:31" ht="12" customHeight="1" outlineLevel="3" x14ac:dyDescent="0.25">
      <c r="A857" s="374"/>
      <c r="B857" s="385"/>
      <c r="C857" s="377"/>
      <c r="G857" s="40" t="s">
        <v>89</v>
      </c>
      <c r="H857" s="40" t="s">
        <v>89</v>
      </c>
      <c r="I857" s="40" t="s">
        <v>89</v>
      </c>
      <c r="J857" s="40" t="s">
        <v>89</v>
      </c>
      <c r="K857" s="40" t="s">
        <v>89</v>
      </c>
      <c r="L857" s="38" t="s">
        <v>314</v>
      </c>
    </row>
    <row r="858" spans="1:31" ht="12" customHeight="1" outlineLevel="3" x14ac:dyDescent="0.25">
      <c r="A858" s="374"/>
      <c r="B858" s="385"/>
      <c r="C858" s="377"/>
      <c r="G858" s="40" t="s">
        <v>89</v>
      </c>
      <c r="H858" s="40" t="s">
        <v>89</v>
      </c>
      <c r="I858" s="40" t="s">
        <v>89</v>
      </c>
      <c r="J858" s="40" t="s">
        <v>89</v>
      </c>
      <c r="K858" s="40" t="s">
        <v>89</v>
      </c>
      <c r="L858" s="104" t="s">
        <v>313</v>
      </c>
    </row>
    <row r="859" spans="1:31" ht="12" customHeight="1" outlineLevel="3" x14ac:dyDescent="0.25">
      <c r="A859" s="374"/>
      <c r="B859" s="385"/>
      <c r="C859" s="377"/>
      <c r="D859" s="40">
        <v>65</v>
      </c>
      <c r="E859">
        <f>D859+9</f>
        <v>74</v>
      </c>
      <c r="G859" s="40" t="s">
        <v>89</v>
      </c>
      <c r="H859" s="40" t="s">
        <v>89</v>
      </c>
      <c r="I859" s="40" t="s">
        <v>89</v>
      </c>
      <c r="J859" s="40" t="s">
        <v>89</v>
      </c>
      <c r="K859" s="40" t="s">
        <v>752</v>
      </c>
      <c r="L859" s="185" t="str">
        <f>D859&amp;"-"&amp;E859</f>
        <v>65-74</v>
      </c>
      <c r="M859" s="36">
        <f>O859</f>
        <v>1.42</v>
      </c>
      <c r="O859" s="53">
        <f>CHOOSE(swtchPSA, S859, AB859)</f>
        <v>1.42</v>
      </c>
      <c r="S859" s="144">
        <v>1.42</v>
      </c>
      <c r="T859" s="18"/>
      <c r="U859" s="22">
        <f>(LN(X859)-LN(V859)) / 2/ _xlfn.NORM.S.INV(0.975)</f>
        <v>8.9520317944783625E-3</v>
      </c>
      <c r="V859" s="144">
        <v>1.4</v>
      </c>
      <c r="W859" s="167"/>
      <c r="X859" s="144">
        <v>1.45</v>
      </c>
      <c r="Y859" s="32" t="s">
        <v>243</v>
      </c>
      <c r="AA859" s="19">
        <f ca="1">RAND()</f>
        <v>0.14366294592289908</v>
      </c>
      <c r="AB859" s="37">
        <f ca="1">_xlfn.LOGNORM.INV(AA859, AD859, AE859)</f>
        <v>1.4065386868102481</v>
      </c>
      <c r="AC859" s="20" t="s">
        <v>20</v>
      </c>
      <c r="AD859" s="27">
        <f>LN(S859)</f>
        <v>0.35065687161316933</v>
      </c>
      <c r="AE859" s="26">
        <f>U859</f>
        <v>8.9520317944783625E-3</v>
      </c>
    </row>
    <row r="860" spans="1:31" ht="12" customHeight="1" outlineLevel="3" x14ac:dyDescent="0.25">
      <c r="A860" s="374"/>
      <c r="B860" s="385"/>
      <c r="C860" s="377"/>
      <c r="D860" s="40">
        <f>D859+10</f>
        <v>75</v>
      </c>
      <c r="E860">
        <f>D860+9</f>
        <v>84</v>
      </c>
      <c r="G860" s="40" t="s">
        <v>89</v>
      </c>
      <c r="H860" s="40" t="s">
        <v>89</v>
      </c>
      <c r="I860" s="40" t="s">
        <v>89</v>
      </c>
      <c r="J860" s="40" t="s">
        <v>89</v>
      </c>
      <c r="K860" s="40" t="s">
        <v>752</v>
      </c>
      <c r="L860" s="185" t="str">
        <f>D860&amp;"-"&amp;E860</f>
        <v>75-84</v>
      </c>
      <c r="M860" s="36">
        <f>O860</f>
        <v>2.0099999999999998</v>
      </c>
      <c r="O860" s="53">
        <f>CHOOSE(swtchPSA, S860, AB860)</f>
        <v>2.0099999999999998</v>
      </c>
      <c r="S860" s="144">
        <v>2.0099999999999998</v>
      </c>
      <c r="T860" s="18"/>
      <c r="U860" s="22">
        <f>(LN(X860)-LN(V860)) / 2/ _xlfn.NORM.S.INV(0.975)</f>
        <v>7.6156917640215829E-3</v>
      </c>
      <c r="V860" s="144">
        <v>1.98</v>
      </c>
      <c r="W860" s="167"/>
      <c r="X860" s="144">
        <v>2.04</v>
      </c>
      <c r="Y860" s="32" t="s">
        <v>243</v>
      </c>
      <c r="AA860" s="19">
        <f ca="1">RAND()</f>
        <v>0.1709811482057243</v>
      </c>
      <c r="AB860" s="37">
        <f ca="1">_xlfn.LOGNORM.INV(AA860, AD860, AE860)</f>
        <v>1.9955058299108253</v>
      </c>
      <c r="AC860" s="20" t="s">
        <v>20</v>
      </c>
      <c r="AD860" s="27">
        <f>LN(S860)</f>
        <v>0.69813472207098426</v>
      </c>
      <c r="AE860" s="26">
        <f>U860</f>
        <v>7.6156917640215829E-3</v>
      </c>
    </row>
    <row r="861" spans="1:31" ht="12" customHeight="1" outlineLevel="3" x14ac:dyDescent="0.25">
      <c r="A861" s="374"/>
      <c r="B861" s="385"/>
      <c r="C861" s="377"/>
      <c r="D861" s="40">
        <f>D860+10</f>
        <v>85</v>
      </c>
      <c r="E861">
        <v>99</v>
      </c>
      <c r="G861" s="40" t="s">
        <v>89</v>
      </c>
      <c r="H861" s="40" t="s">
        <v>89</v>
      </c>
      <c r="I861" s="40" t="s">
        <v>89</v>
      </c>
      <c r="J861" s="40" t="s">
        <v>89</v>
      </c>
      <c r="K861" s="40" t="s">
        <v>752</v>
      </c>
      <c r="L861" s="185" t="s">
        <v>312</v>
      </c>
      <c r="M861" s="36">
        <f>O861</f>
        <v>2.93</v>
      </c>
      <c r="O861" s="53">
        <f>CHOOSE(swtchPSA, S861, AB861)</f>
        <v>2.93</v>
      </c>
      <c r="S861" s="144">
        <v>2.93</v>
      </c>
      <c r="T861" s="18"/>
      <c r="U861" s="22">
        <f>(LN(X861)-LN(V861)) / 2/ _xlfn.NORM.S.INV(0.975)</f>
        <v>6.9658041947835217E-3</v>
      </c>
      <c r="V861" s="144">
        <v>2.89</v>
      </c>
      <c r="W861" s="167"/>
      <c r="X861" s="144">
        <v>2.97</v>
      </c>
      <c r="Y861" s="32" t="s">
        <v>243</v>
      </c>
      <c r="AA861" s="19">
        <f ca="1">RAND()</f>
        <v>0.35225739677398815</v>
      </c>
      <c r="AB861" s="37">
        <f ca="1">_xlfn.LOGNORM.INV(AA861, AD861, AE861)</f>
        <v>2.9222701407687732</v>
      </c>
      <c r="AC861" s="20" t="s">
        <v>20</v>
      </c>
      <c r="AD861" s="27">
        <f>LN(S861)</f>
        <v>1.0750024230289761</v>
      </c>
      <c r="AE861" s="26">
        <f>U861</f>
        <v>6.9658041947835217E-3</v>
      </c>
    </row>
    <row r="862" spans="1:31" ht="12" customHeight="1" outlineLevel="3" x14ac:dyDescent="0.25">
      <c r="A862" s="374"/>
      <c r="B862" s="385"/>
      <c r="C862" s="377"/>
      <c r="G862" s="40" t="s">
        <v>89</v>
      </c>
      <c r="H862" s="40" t="s">
        <v>89</v>
      </c>
      <c r="I862" s="40" t="s">
        <v>89</v>
      </c>
      <c r="J862" s="40" t="s">
        <v>89</v>
      </c>
      <c r="K862" s="40" t="s">
        <v>89</v>
      </c>
      <c r="L862" s="104" t="s">
        <v>127</v>
      </c>
    </row>
    <row r="863" spans="1:31" ht="12" customHeight="1" outlineLevel="3" x14ac:dyDescent="0.25">
      <c r="A863" s="374"/>
      <c r="B863" s="385"/>
      <c r="C863" s="377"/>
      <c r="G863" s="40" t="s">
        <v>89</v>
      </c>
      <c r="H863" s="40" t="s">
        <v>89</v>
      </c>
      <c r="I863" s="40" t="s">
        <v>89</v>
      </c>
      <c r="J863" s="40" t="s">
        <v>89</v>
      </c>
      <c r="K863" s="40" t="s">
        <v>89</v>
      </c>
      <c r="L863" s="170" t="s">
        <v>153</v>
      </c>
    </row>
    <row r="864" spans="1:31" ht="12" customHeight="1" outlineLevel="3" x14ac:dyDescent="0.25">
      <c r="A864" s="374"/>
      <c r="B864" s="385"/>
      <c r="C864" s="377"/>
      <c r="D864" s="40">
        <v>70</v>
      </c>
      <c r="E864">
        <f>D864+4</f>
        <v>74</v>
      </c>
      <c r="G864" s="40" t="s">
        <v>89</v>
      </c>
      <c r="H864" s="40" t="s">
        <v>89</v>
      </c>
      <c r="I864" s="40" t="s">
        <v>89</v>
      </c>
      <c r="J864" s="40" t="s">
        <v>89</v>
      </c>
      <c r="K864" s="40" t="s">
        <v>752</v>
      </c>
      <c r="L864" s="171" t="str">
        <f>D864&amp;"-"&amp;E864</f>
        <v>70-74</v>
      </c>
      <c r="M864" s="145">
        <f>O864</f>
        <v>9.5960591133004911E-2</v>
      </c>
      <c r="N864" s="445" t="s">
        <v>857</v>
      </c>
      <c r="O864" s="168" cm="1">
        <f t="array" ref="O864">vbOddsToProb(vbProbToOdds($M$848) * INDEX($M$859:$M$861, MATCH(D864, $D$859:$D$861, 1)) / $M$859)</f>
        <v>9.5960591133004911E-2</v>
      </c>
      <c r="R864" s="252"/>
    </row>
    <row r="865" spans="1:31" ht="12" customHeight="1" outlineLevel="3" x14ac:dyDescent="0.25">
      <c r="A865" s="374"/>
      <c r="B865" s="385"/>
      <c r="C865" s="377"/>
      <c r="D865" s="40">
        <f t="shared" ref="D865:E867" si="132">D864+5</f>
        <v>75</v>
      </c>
      <c r="E865">
        <f t="shared" si="132"/>
        <v>79</v>
      </c>
      <c r="G865" s="40" t="s">
        <v>89</v>
      </c>
      <c r="H865" s="40" t="s">
        <v>89</v>
      </c>
      <c r="I865" s="40" t="s">
        <v>89</v>
      </c>
      <c r="J865" s="40" t="s">
        <v>89</v>
      </c>
      <c r="K865" s="40" t="s">
        <v>752</v>
      </c>
      <c r="L865" s="171" t="str">
        <f>D865&amp;"-"&amp;E865</f>
        <v>75-79</v>
      </c>
      <c r="M865" s="145">
        <f>O865</f>
        <v>0.13062345956606966</v>
      </c>
      <c r="N865" s="445"/>
      <c r="O865" s="168" cm="1">
        <f t="array" ref="O865">vbOddsToProb(vbProbToOdds($M$848) * INDEX($M$859:$M$861, MATCH(D865, $D$859:$D$861, 1)) / $M$859)</f>
        <v>0.13062345956606966</v>
      </c>
    </row>
    <row r="866" spans="1:31" ht="12" customHeight="1" outlineLevel="3" x14ac:dyDescent="0.25">
      <c r="A866" s="374"/>
      <c r="B866" s="385"/>
      <c r="C866" s="377"/>
      <c r="D866" s="40">
        <f t="shared" si="132"/>
        <v>80</v>
      </c>
      <c r="E866">
        <f t="shared" si="132"/>
        <v>84</v>
      </c>
      <c r="G866" s="40" t="s">
        <v>89</v>
      </c>
      <c r="H866" s="40" t="s">
        <v>89</v>
      </c>
      <c r="I866" s="40" t="s">
        <v>89</v>
      </c>
      <c r="J866" s="40" t="s">
        <v>89</v>
      </c>
      <c r="K866" s="40" t="s">
        <v>752</v>
      </c>
      <c r="L866" s="171" t="str">
        <f>D866&amp;"-"&amp;E866</f>
        <v>80-84</v>
      </c>
      <c r="M866" s="145">
        <f>O866</f>
        <v>0.13062345956606966</v>
      </c>
      <c r="N866" s="445"/>
      <c r="O866" s="168" cm="1">
        <f t="array" ref="O866">vbOddsToProb(vbProbToOdds($M$848) * INDEX($M$859:$M$861, MATCH(D866, $D$859:$D$861, 1)) / $M$859)</f>
        <v>0.13062345956606966</v>
      </c>
    </row>
    <row r="867" spans="1:31" ht="12" customHeight="1" outlineLevel="3" x14ac:dyDescent="0.25">
      <c r="A867" s="374"/>
      <c r="B867" s="385"/>
      <c r="C867" s="377"/>
      <c r="D867" s="40">
        <f t="shared" si="132"/>
        <v>85</v>
      </c>
      <c r="E867">
        <f t="shared" si="132"/>
        <v>89</v>
      </c>
      <c r="G867" s="40" t="s">
        <v>89</v>
      </c>
      <c r="H867" s="40" t="s">
        <v>89</v>
      </c>
      <c r="I867" s="40" t="s">
        <v>89</v>
      </c>
      <c r="J867" s="40" t="s">
        <v>89</v>
      </c>
      <c r="K867" s="40" t="s">
        <v>752</v>
      </c>
      <c r="L867" s="171" t="str">
        <f>D867&amp;"-"&amp;E867</f>
        <v>85-89</v>
      </c>
      <c r="M867" s="145">
        <f>O867</f>
        <v>0.17966927184655504</v>
      </c>
      <c r="N867" s="445"/>
      <c r="O867" s="168" cm="1">
        <f t="array" ref="O867">vbOddsToProb(vbProbToOdds($M$848) * INDEX($M$859:$M$861, MATCH(D867, $D$859:$D$861, 1)) / $M$859)</f>
        <v>0.17966927184655504</v>
      </c>
    </row>
    <row r="868" spans="1:31" ht="12" customHeight="1" outlineLevel="3" x14ac:dyDescent="0.25">
      <c r="A868" s="374"/>
      <c r="B868" s="385"/>
      <c r="C868" s="377"/>
      <c r="G868" s="40" t="s">
        <v>89</v>
      </c>
      <c r="H868" s="40" t="s">
        <v>89</v>
      </c>
      <c r="I868" s="40" t="s">
        <v>89</v>
      </c>
      <c r="J868" s="40" t="s">
        <v>89</v>
      </c>
      <c r="K868" s="40" t="s">
        <v>89</v>
      </c>
      <c r="L868" s="170" t="s">
        <v>152</v>
      </c>
      <c r="M868" s="172"/>
    </row>
    <row r="869" spans="1:31" ht="12" customHeight="1" outlineLevel="3" x14ac:dyDescent="0.25">
      <c r="A869" s="374"/>
      <c r="B869" s="385"/>
      <c r="C869" s="377"/>
      <c r="D869" s="40">
        <v>70</v>
      </c>
      <c r="E869">
        <f>D869+4</f>
        <v>74</v>
      </c>
      <c r="G869" s="40" t="s">
        <v>89</v>
      </c>
      <c r="H869" s="40" t="s">
        <v>89</v>
      </c>
      <c r="I869" s="40" t="s">
        <v>89</v>
      </c>
      <c r="J869" s="40" t="s">
        <v>89</v>
      </c>
      <c r="K869" s="40" t="s">
        <v>752</v>
      </c>
      <c r="L869" s="171" t="str">
        <f>D869&amp;"-"&amp;E869</f>
        <v>70-74</v>
      </c>
      <c r="M869" s="145">
        <f>O869</f>
        <v>0.26430999996941928</v>
      </c>
      <c r="N869" s="445" t="s">
        <v>858</v>
      </c>
      <c r="O869" s="168" cm="1">
        <f t="array" ref="O869">vbOddsToProb(vbProbToOdds($M$855) * INDEX($M$859:$M$861, MATCH(D869, $D$859:$D$861, 1)) / $M$859)</f>
        <v>0.26430999996941928</v>
      </c>
    </row>
    <row r="870" spans="1:31" ht="12" customHeight="1" outlineLevel="3" x14ac:dyDescent="0.25">
      <c r="A870" s="374"/>
      <c r="B870" s="385"/>
      <c r="C870" s="377"/>
      <c r="D870" s="40">
        <f t="shared" ref="D870:E872" si="133">D869+5</f>
        <v>75</v>
      </c>
      <c r="E870">
        <f t="shared" si="133"/>
        <v>79</v>
      </c>
      <c r="G870" s="40" t="s">
        <v>89</v>
      </c>
      <c r="H870" s="40" t="s">
        <v>89</v>
      </c>
      <c r="I870" s="40" t="s">
        <v>89</v>
      </c>
      <c r="J870" s="40" t="s">
        <v>89</v>
      </c>
      <c r="K870" s="40" t="s">
        <v>752</v>
      </c>
      <c r="L870" s="171" t="str">
        <f>D870&amp;"-"&amp;E870</f>
        <v>75-79</v>
      </c>
      <c r="M870" s="145">
        <f>O870</f>
        <v>0.3371080893505819</v>
      </c>
      <c r="N870" s="445"/>
      <c r="O870" s="168" cm="1">
        <f t="array" ref="O870">vbOddsToProb(vbProbToOdds($M$855) * INDEX($M$859:$M$861, MATCH(D870, $D$859:$D$861, 1)) / $M$859)</f>
        <v>0.3371080893505819</v>
      </c>
    </row>
    <row r="871" spans="1:31" ht="12" customHeight="1" outlineLevel="3" x14ac:dyDescent="0.25">
      <c r="A871" s="374"/>
      <c r="B871" s="385"/>
      <c r="C871" s="377"/>
      <c r="D871" s="40">
        <f t="shared" si="133"/>
        <v>80</v>
      </c>
      <c r="E871">
        <f t="shared" si="133"/>
        <v>84</v>
      </c>
      <c r="G871" s="40" t="s">
        <v>89</v>
      </c>
      <c r="H871" s="40" t="s">
        <v>89</v>
      </c>
      <c r="I871" s="40" t="s">
        <v>89</v>
      </c>
      <c r="J871" s="40" t="s">
        <v>89</v>
      </c>
      <c r="K871" s="40" t="s">
        <v>752</v>
      </c>
      <c r="L871" s="171" t="str">
        <f>D871&amp;"-"&amp;E871</f>
        <v>80-84</v>
      </c>
      <c r="M871" s="145">
        <f>O871</f>
        <v>0.3371080893505819</v>
      </c>
      <c r="N871" s="445"/>
      <c r="O871" s="168" cm="1">
        <f t="array" ref="O871">vbOddsToProb(vbProbToOdds($M$855) * INDEX($M$859:$M$861, MATCH(D871, $D$859:$D$861, 1)) / $M$859)</f>
        <v>0.3371080893505819</v>
      </c>
    </row>
    <row r="872" spans="1:31" ht="12" customHeight="1" outlineLevel="3" x14ac:dyDescent="0.25">
      <c r="A872" s="374"/>
      <c r="B872" s="385"/>
      <c r="C872" s="377"/>
      <c r="D872" s="40">
        <f t="shared" si="133"/>
        <v>85</v>
      </c>
      <c r="E872">
        <f t="shared" si="133"/>
        <v>89</v>
      </c>
      <c r="G872" s="40" t="s">
        <v>89</v>
      </c>
      <c r="H872" s="40" t="s">
        <v>89</v>
      </c>
      <c r="I872" s="40" t="s">
        <v>89</v>
      </c>
      <c r="J872" s="40" t="s">
        <v>89</v>
      </c>
      <c r="K872" s="40" t="s">
        <v>752</v>
      </c>
      <c r="L872" s="171" t="str">
        <f>D872&amp;"-"&amp;E872</f>
        <v>85-89</v>
      </c>
      <c r="M872" s="145">
        <f>O872</f>
        <v>0.42571868045118211</v>
      </c>
      <c r="N872" s="445"/>
      <c r="O872" s="168" cm="1">
        <f t="array" ref="O872">vbOddsToProb(vbProbToOdds($M$855) * INDEX($M$859:$M$861, MATCH(D872, $D$859:$D$861, 1)) / $M$859)</f>
        <v>0.42571868045118211</v>
      </c>
    </row>
    <row r="873" spans="1:31" ht="12" customHeight="1" outlineLevel="3" x14ac:dyDescent="0.25">
      <c r="A873" s="374"/>
      <c r="B873" s="385"/>
      <c r="C873" s="377"/>
      <c r="G873" s="40" t="s">
        <v>89</v>
      </c>
      <c r="H873" s="40" t="s">
        <v>89</v>
      </c>
      <c r="I873" s="40" t="s">
        <v>89</v>
      </c>
      <c r="J873" s="40" t="s">
        <v>89</v>
      </c>
      <c r="K873" s="40" t="s">
        <v>89</v>
      </c>
      <c r="L873" s="170" t="s">
        <v>278</v>
      </c>
      <c r="M873" s="172"/>
    </row>
    <row r="874" spans="1:31" ht="12" customHeight="1" outlineLevel="3" x14ac:dyDescent="0.25">
      <c r="A874" s="374"/>
      <c r="B874" s="385"/>
      <c r="C874" s="377"/>
      <c r="D874" s="40">
        <v>70</v>
      </c>
      <c r="E874">
        <f>D874+4</f>
        <v>74</v>
      </c>
      <c r="G874" s="40" t="s">
        <v>89</v>
      </c>
      <c r="H874" s="40" t="s">
        <v>89</v>
      </c>
      <c r="I874" s="40" t="s">
        <v>89</v>
      </c>
      <c r="J874" s="40" t="s">
        <v>89</v>
      </c>
      <c r="K874" s="40" t="s">
        <v>752</v>
      </c>
      <c r="L874" s="171" t="str">
        <f>D874&amp;"-"&amp;E874</f>
        <v>70-74</v>
      </c>
      <c r="M874" s="145">
        <f t="shared" ref="M874:M881" si="134">O874</f>
        <v>0.40085850864733374</v>
      </c>
      <c r="N874" s="445" t="s">
        <v>859</v>
      </c>
      <c r="O874" s="168" cm="1">
        <f t="array" ref="O874">vbOddsToProb(vbProbToOdds($M$856) * INDEX($M$859:$M$861, MATCH(D874, $D$859:$D$861, 1)) / $M$859)</f>
        <v>0.40085850864733374</v>
      </c>
    </row>
    <row r="875" spans="1:31" ht="12" customHeight="1" outlineLevel="3" x14ac:dyDescent="0.25">
      <c r="A875" s="374"/>
      <c r="B875" s="385"/>
      <c r="C875" s="377"/>
      <c r="D875" s="40">
        <f t="shared" ref="D875:E877" si="135">D874+5</f>
        <v>75</v>
      </c>
      <c r="E875">
        <f t="shared" si="135"/>
        <v>79</v>
      </c>
      <c r="G875" s="40" t="s">
        <v>89</v>
      </c>
      <c r="H875" s="40" t="s">
        <v>89</v>
      </c>
      <c r="I875" s="40" t="s">
        <v>89</v>
      </c>
      <c r="J875" s="40" t="s">
        <v>89</v>
      </c>
      <c r="K875" s="40" t="s">
        <v>752</v>
      </c>
      <c r="L875" s="171" t="str">
        <f>D875&amp;"-"&amp;E875</f>
        <v>75-79</v>
      </c>
      <c r="M875" s="145">
        <f t="shared" si="134"/>
        <v>0.48640050166030346</v>
      </c>
      <c r="N875" s="445"/>
      <c r="O875" s="168" cm="1">
        <f t="array" ref="O875">vbOddsToProb(vbProbToOdds($M$856) * INDEX($M$859:$M$861, MATCH(D875, $D$859:$D$861, 1)) / $M$859)</f>
        <v>0.48640050166030346</v>
      </c>
    </row>
    <row r="876" spans="1:31" ht="12" customHeight="1" outlineLevel="3" x14ac:dyDescent="0.25">
      <c r="A876" s="374"/>
      <c r="B876" s="385"/>
      <c r="C876" s="377"/>
      <c r="D876" s="40">
        <f t="shared" si="135"/>
        <v>80</v>
      </c>
      <c r="E876">
        <f t="shared" si="135"/>
        <v>84</v>
      </c>
      <c r="G876" s="40" t="s">
        <v>89</v>
      </c>
      <c r="H876" s="40" t="s">
        <v>89</v>
      </c>
      <c r="I876" s="40" t="s">
        <v>89</v>
      </c>
      <c r="J876" s="40" t="s">
        <v>89</v>
      </c>
      <c r="K876" s="40" t="s">
        <v>752</v>
      </c>
      <c r="L876" s="171" t="str">
        <f>D876&amp;"-"&amp;E876</f>
        <v>80-84</v>
      </c>
      <c r="M876" s="145">
        <f t="shared" si="134"/>
        <v>0.48640050166030346</v>
      </c>
      <c r="N876" s="445"/>
      <c r="O876" s="168" cm="1">
        <f t="array" ref="O876">vbOddsToProb(vbProbToOdds($M$856) * INDEX($M$859:$M$861, MATCH(D876, $D$859:$D$861, 1)) / $M$859)</f>
        <v>0.48640050166030346</v>
      </c>
    </row>
    <row r="877" spans="1:31" ht="12" customHeight="1" outlineLevel="3" x14ac:dyDescent="0.25">
      <c r="A877" s="374"/>
      <c r="B877" s="385"/>
      <c r="C877" s="377"/>
      <c r="D877" s="40">
        <f t="shared" si="135"/>
        <v>85</v>
      </c>
      <c r="E877">
        <f t="shared" si="135"/>
        <v>89</v>
      </c>
      <c r="G877" s="40" t="s">
        <v>89</v>
      </c>
      <c r="H877" s="40" t="s">
        <v>89</v>
      </c>
      <c r="I877" s="40" t="s">
        <v>89</v>
      </c>
      <c r="J877" s="40" t="s">
        <v>89</v>
      </c>
      <c r="K877" s="40" t="s">
        <v>752</v>
      </c>
      <c r="L877" s="171" t="str">
        <f>D877&amp;"-"&amp;E877</f>
        <v>85-89</v>
      </c>
      <c r="M877" s="145">
        <f t="shared" si="134"/>
        <v>0.57992275128684401</v>
      </c>
      <c r="N877" s="445"/>
      <c r="O877" s="168" cm="1">
        <f t="array" ref="O877">vbOddsToProb(vbProbToOdds($M$856) * INDEX($M$859:$M$861, MATCH(D877, $D$859:$D$861, 1)) / $M$859)</f>
        <v>0.57992275128684401</v>
      </c>
    </row>
    <row r="878" spans="1:31" ht="12" customHeight="1" outlineLevel="3" x14ac:dyDescent="0.25">
      <c r="A878" s="374"/>
      <c r="B878" s="385"/>
      <c r="C878" s="377"/>
      <c r="G878" s="40" t="s">
        <v>89</v>
      </c>
      <c r="H878" s="40" t="s">
        <v>89</v>
      </c>
      <c r="I878" s="40" t="s">
        <v>89</v>
      </c>
      <c r="J878" s="40" t="s">
        <v>89</v>
      </c>
      <c r="K878" s="40" t="s">
        <v>752</v>
      </c>
      <c r="L878" t="s">
        <v>128</v>
      </c>
      <c r="M878" s="87">
        <f>O878</f>
        <v>0.18421052631578946</v>
      </c>
      <c r="N878" s="195" t="s">
        <v>840</v>
      </c>
      <c r="O878" s="11">
        <f>CHOOSE(swtchPSA, S878, AB878)</f>
        <v>0.18421052631578946</v>
      </c>
      <c r="Q878" s="14">
        <v>228</v>
      </c>
      <c r="R878" s="14">
        <v>42</v>
      </c>
      <c r="S878" s="17">
        <f>R878/Q878</f>
        <v>0.18421052631578946</v>
      </c>
      <c r="T878" s="18"/>
      <c r="U878" s="22">
        <f>SQRT((S878*(1-S878))/(Q878+1))</f>
        <v>2.5617015386990991E-2</v>
      </c>
      <c r="V878" s="17">
        <f>_xlfn.BETA.INV(0.025, AD878, AE878)</f>
        <v>0.13672169622373262</v>
      </c>
      <c r="W878" s="18"/>
      <c r="X878" s="17">
        <f>_xlfn.BETA.INV(0.975, AD878, AE878)</f>
        <v>0.23694352938615848</v>
      </c>
      <c r="Y878" s="32" t="s">
        <v>245</v>
      </c>
      <c r="AA878" s="19">
        <f ca="1">RAND()</f>
        <v>0.97194304316612512</v>
      </c>
      <c r="AB878" s="21">
        <f ca="1">_xlfn.BETA.INV(AA878, AD878, AE878)</f>
        <v>0.23550009715242115</v>
      </c>
      <c r="AC878" s="20" t="s">
        <v>28</v>
      </c>
      <c r="AD878" s="34">
        <f>R878</f>
        <v>42</v>
      </c>
      <c r="AE878" s="33">
        <f>Q878-R878</f>
        <v>186</v>
      </c>
    </row>
    <row r="879" spans="1:31" ht="12" customHeight="1" outlineLevel="3" x14ac:dyDescent="0.25">
      <c r="A879" s="374"/>
      <c r="B879" s="385"/>
      <c r="C879" s="377"/>
      <c r="G879" s="40" t="s">
        <v>89</v>
      </c>
      <c r="H879" s="40" t="s">
        <v>89</v>
      </c>
      <c r="I879" s="40" t="s">
        <v>89</v>
      </c>
      <c r="J879" s="40" t="s">
        <v>89</v>
      </c>
      <c r="K879" s="40" t="s">
        <v>752</v>
      </c>
      <c r="L879" t="s">
        <v>129</v>
      </c>
      <c r="M879" s="87">
        <f>O879</f>
        <v>1.3119533527696793E-2</v>
      </c>
      <c r="N879" s="195" t="s">
        <v>843</v>
      </c>
      <c r="O879" s="11">
        <f>CHOOSE(swtchPSA, S879, AB879)</f>
        <v>1.3119533527696793E-2</v>
      </c>
      <c r="Q879" s="14">
        <v>686</v>
      </c>
      <c r="R879" s="14">
        <v>9</v>
      </c>
      <c r="S879" s="17">
        <f>R879/Q879</f>
        <v>1.3119533527696793E-2</v>
      </c>
      <c r="T879" s="18"/>
      <c r="U879" s="22">
        <f>SQRT((S879*(1-S879))/(Q879+1))</f>
        <v>4.3412330917028093E-3</v>
      </c>
      <c r="V879" s="17">
        <f>_xlfn.BETA.INV(0.025, AD879, AE879)</f>
        <v>6.0249702469428717E-3</v>
      </c>
      <c r="W879" s="18"/>
      <c r="X879" s="17">
        <f>_xlfn.BETA.INV(0.975, AD879, AE879)</f>
        <v>2.2881700058850596E-2</v>
      </c>
      <c r="Y879" s="32" t="s">
        <v>245</v>
      </c>
      <c r="AA879" s="19">
        <f ca="1">RAND()</f>
        <v>0.71665578913640104</v>
      </c>
      <c r="AB879" s="21">
        <f ca="1">_xlfn.BETA.INV(AA879, AD879, AE879)</f>
        <v>1.5244390505521288E-2</v>
      </c>
      <c r="AC879" s="20" t="s">
        <v>28</v>
      </c>
      <c r="AD879" s="34">
        <f>R879</f>
        <v>9</v>
      </c>
      <c r="AE879" s="33">
        <f>Q879-R879</f>
        <v>677</v>
      </c>
    </row>
    <row r="880" spans="1:31" ht="12" customHeight="1" outlineLevel="3" x14ac:dyDescent="0.25">
      <c r="A880" s="374"/>
      <c r="B880" s="385"/>
      <c r="C880" s="377"/>
      <c r="G880" s="40" t="s">
        <v>89</v>
      </c>
      <c r="H880" s="40" t="s">
        <v>89</v>
      </c>
      <c r="I880" s="40" t="s">
        <v>89</v>
      </c>
      <c r="J880" s="40" t="s">
        <v>89</v>
      </c>
      <c r="K880" s="40" t="s">
        <v>752</v>
      </c>
      <c r="L880" t="s">
        <v>144</v>
      </c>
      <c r="M880" s="253">
        <f t="shared" si="134"/>
        <v>0.17109099278809267</v>
      </c>
      <c r="N880" s="195" t="s">
        <v>839</v>
      </c>
      <c r="O880" s="53">
        <f>M878-M879</f>
        <v>0.17109099278809267</v>
      </c>
      <c r="S880" s="155"/>
    </row>
    <row r="881" spans="1:31" ht="12" customHeight="1" outlineLevel="3" thickBot="1" x14ac:dyDescent="0.3">
      <c r="A881" s="374"/>
      <c r="B881" s="385"/>
      <c r="C881" s="377"/>
      <c r="G881" s="40" t="s">
        <v>89</v>
      </c>
      <c r="H881" s="40" t="s">
        <v>89</v>
      </c>
      <c r="I881" s="40" t="s">
        <v>89</v>
      </c>
      <c r="J881" s="40" t="s">
        <v>89</v>
      </c>
      <c r="K881" s="40" t="s">
        <v>752</v>
      </c>
      <c r="L881" t="s">
        <v>283</v>
      </c>
      <c r="M881" s="253">
        <f t="shared" si="134"/>
        <v>9.2105263157894732E-2</v>
      </c>
      <c r="N881" s="195" t="s">
        <v>838</v>
      </c>
      <c r="O881" s="53">
        <f>E.pCKD5.postSecondaryAKInoRRT/2</f>
        <v>9.2105263157894732E-2</v>
      </c>
      <c r="S881" s="155"/>
    </row>
    <row r="882" spans="1:31" s="110" customFormat="1" ht="12" customHeight="1" outlineLevel="2" thickBot="1" x14ac:dyDescent="0.3">
      <c r="A882" s="374"/>
      <c r="B882" s="385"/>
      <c r="C882" s="377"/>
      <c r="D882" s="112"/>
      <c r="G882" s="112" t="s">
        <v>89</v>
      </c>
      <c r="H882" s="112" t="s">
        <v>89</v>
      </c>
      <c r="I882" s="112" t="s">
        <v>89</v>
      </c>
      <c r="J882" s="112" t="s">
        <v>89</v>
      </c>
      <c r="K882" s="112" t="s">
        <v>89</v>
      </c>
      <c r="L882" s="110" t="s">
        <v>142</v>
      </c>
    </row>
    <row r="883" spans="1:31" ht="12" customHeight="1" outlineLevel="3" x14ac:dyDescent="0.25">
      <c r="A883" s="374"/>
      <c r="B883" s="385"/>
      <c r="C883" s="377"/>
      <c r="G883" s="40" t="s">
        <v>89</v>
      </c>
      <c r="H883" s="40" t="s">
        <v>89</v>
      </c>
      <c r="I883" s="40" t="s">
        <v>89</v>
      </c>
      <c r="J883" s="40" t="s">
        <v>89</v>
      </c>
      <c r="K883" s="40" t="s">
        <v>89</v>
      </c>
      <c r="L883" s="76" t="s">
        <v>114</v>
      </c>
    </row>
    <row r="884" spans="1:31" ht="12" customHeight="1" outlineLevel="3" x14ac:dyDescent="0.25">
      <c r="A884" s="374"/>
      <c r="B884" s="385"/>
      <c r="C884" s="377"/>
      <c r="G884" s="40" t="s">
        <v>89</v>
      </c>
      <c r="H884" s="40" t="s">
        <v>89</v>
      </c>
      <c r="I884" s="40" t="s">
        <v>89</v>
      </c>
      <c r="J884" s="40" t="s">
        <v>89</v>
      </c>
      <c r="K884" s="40" t="s">
        <v>752</v>
      </c>
      <c r="L884" s="149" t="s">
        <v>276</v>
      </c>
      <c r="M884" s="150">
        <f>O884</f>
        <v>2.1999999999999999E-2</v>
      </c>
      <c r="O884" s="103">
        <f>S884</f>
        <v>2.1999999999999999E-2</v>
      </c>
      <c r="Q884" s="202">
        <f>R884/S884</f>
        <v>6045.454545454546</v>
      </c>
      <c r="R884" s="14">
        <f>36+97</f>
        <v>133</v>
      </c>
      <c r="S884" s="14">
        <f>0.006+0.016</f>
        <v>2.1999999999999999E-2</v>
      </c>
      <c r="U884" s="22">
        <f>1/SQRT(R884)</f>
        <v>8.6710996952411995E-2</v>
      </c>
      <c r="V884" s="22">
        <f>vbRateCILo(Q884, R884, 0)</f>
        <v>1.8420140258583611E-2</v>
      </c>
      <c r="X884" s="22">
        <f>vbRateCIhi(Q884, R884, 0)</f>
        <v>2.607248679878172E-2</v>
      </c>
      <c r="Y884" s="32" t="s">
        <v>284</v>
      </c>
      <c r="AB884"/>
    </row>
    <row r="885" spans="1:31" ht="12" customHeight="1" outlineLevel="3" x14ac:dyDescent="0.25">
      <c r="A885" s="374"/>
      <c r="B885" s="385"/>
      <c r="C885" s="377"/>
      <c r="G885" s="40" t="s">
        <v>89</v>
      </c>
      <c r="H885" s="40" t="s">
        <v>89</v>
      </c>
      <c r="I885" s="40" t="s">
        <v>89</v>
      </c>
      <c r="J885" s="40" t="s">
        <v>89</v>
      </c>
      <c r="K885" s="40" t="s">
        <v>752</v>
      </c>
      <c r="L885" s="148" t="s">
        <v>109</v>
      </c>
      <c r="M885" s="150">
        <f>O885</f>
        <v>3.5000000000000003E-2</v>
      </c>
      <c r="O885" s="103">
        <f>S885</f>
        <v>3.5000000000000003E-2</v>
      </c>
      <c r="Q885" s="202">
        <f>R885/S885</f>
        <v>8885.7142857142844</v>
      </c>
      <c r="R885" s="14">
        <f>92+219</f>
        <v>311</v>
      </c>
      <c r="S885" s="14">
        <f>0.01+0.025</f>
        <v>3.5000000000000003E-2</v>
      </c>
      <c r="U885" s="22">
        <f>1/SQRT(R885)</f>
        <v>5.6704797712374272E-2</v>
      </c>
      <c r="V885" s="22">
        <f>vbRateCILo(Q885, R885, 0)</f>
        <v>3.1217787137741388E-2</v>
      </c>
      <c r="X885" s="22">
        <f>vbRateCIhi(Q885, R885, 0)</f>
        <v>3.9114139901142951E-2</v>
      </c>
      <c r="Y885" s="32" t="s">
        <v>284</v>
      </c>
      <c r="AB885"/>
    </row>
    <row r="886" spans="1:31" ht="12" customHeight="1" outlineLevel="3" x14ac:dyDescent="0.25">
      <c r="A886" s="374"/>
      <c r="B886" s="385"/>
      <c r="C886" s="377"/>
      <c r="G886" s="40" t="s">
        <v>89</v>
      </c>
      <c r="H886" s="40" t="s">
        <v>89</v>
      </c>
      <c r="I886" s="40" t="s">
        <v>89</v>
      </c>
      <c r="J886" s="40" t="s">
        <v>89</v>
      </c>
      <c r="K886" s="40" t="s">
        <v>752</v>
      </c>
      <c r="L886" s="147" t="s">
        <v>274</v>
      </c>
      <c r="M886" s="145">
        <f>O886</f>
        <v>2.9736452987735931E-2</v>
      </c>
      <c r="O886" s="103">
        <f>CHOOSE(swtchPSA, S886, AB886)</f>
        <v>2.9736452987735931E-2</v>
      </c>
      <c r="Q886" s="202">
        <f>Q885+Q884</f>
        <v>14931.16883116883</v>
      </c>
      <c r="R886" s="143">
        <f>R885+R884</f>
        <v>444</v>
      </c>
      <c r="S886" s="84">
        <f>R886/Q886</f>
        <v>2.9736452987735931E-2</v>
      </c>
      <c r="U886" s="22">
        <f>1/SQRT(R886)</f>
        <v>4.7457899787624949E-2</v>
      </c>
      <c r="V886" s="22">
        <f>vbRateCILo(Q886, R886, 0)</f>
        <v>2.703446444472838E-2</v>
      </c>
      <c r="X886" s="22">
        <f>vbRateCIhi(Q886, R886, 0)</f>
        <v>3.2635377895791372E-2</v>
      </c>
      <c r="AA886" s="19">
        <f ca="1">RAND()</f>
        <v>0.34650618583580517</v>
      </c>
      <c r="AB886" s="102">
        <f ca="1">_xlfn.LOGNORM.INV(AA886, AD886, AE886)</f>
        <v>2.9184527665392548E-2</v>
      </c>
      <c r="AC886" s="15" t="s">
        <v>20</v>
      </c>
      <c r="AD886" s="27">
        <f>LN(S886)</f>
        <v>-3.515381612455923</v>
      </c>
      <c r="AE886" s="26">
        <f>U886</f>
        <v>4.7457899787624949E-2</v>
      </c>
    </row>
    <row r="887" spans="1:31" ht="12" customHeight="1" outlineLevel="3" x14ac:dyDescent="0.25">
      <c r="A887" s="374"/>
      <c r="B887" s="385"/>
      <c r="C887" s="377"/>
      <c r="G887" s="40" t="s">
        <v>89</v>
      </c>
      <c r="H887" s="40" t="s">
        <v>89</v>
      </c>
      <c r="I887" s="40" t="s">
        <v>89</v>
      </c>
      <c r="J887" s="40" t="s">
        <v>89</v>
      </c>
      <c r="K887" s="40" t="s">
        <v>752</v>
      </c>
      <c r="L887" s="148" t="s">
        <v>110</v>
      </c>
      <c r="M887" s="146">
        <f>O887</f>
        <v>0.06</v>
      </c>
      <c r="O887" s="103">
        <f>CHOOSE(swtchPSA, S887, AB887)</f>
        <v>0.06</v>
      </c>
      <c r="Q887" s="202">
        <f>R887/S887</f>
        <v>3950</v>
      </c>
      <c r="R887" s="14">
        <f>86+151</f>
        <v>237</v>
      </c>
      <c r="S887" s="28">
        <f>0.022+0.038</f>
        <v>0.06</v>
      </c>
      <c r="U887" s="22">
        <f>1/SQRT(R887)</f>
        <v>6.4956980246163087E-2</v>
      </c>
      <c r="V887" s="22">
        <f>vbRateCILo(Q887, R887, 0)</f>
        <v>5.2603737675654648E-2</v>
      </c>
      <c r="X887" s="22">
        <f>vbRateCIhi(Q887, R887, 0)</f>
        <v>6.8144957169454692E-2</v>
      </c>
      <c r="Y887" s="32" t="s">
        <v>284</v>
      </c>
      <c r="AA887" s="19">
        <f ca="1">RAND()</f>
        <v>0.38727754503025891</v>
      </c>
      <c r="AB887" s="102">
        <f ca="1">_xlfn.LOGNORM.INV(AA887, AD887, AE887)</f>
        <v>5.8894014722957688E-2</v>
      </c>
      <c r="AC887" s="15" t="s">
        <v>20</v>
      </c>
      <c r="AD887" s="27">
        <f>LN(S887)</f>
        <v>-2.8134107167600364</v>
      </c>
      <c r="AE887" s="26">
        <f>U887</f>
        <v>6.4956980246163087E-2</v>
      </c>
    </row>
    <row r="888" spans="1:31" ht="12" customHeight="1" outlineLevel="3" x14ac:dyDescent="0.25">
      <c r="A888" s="374"/>
      <c r="B888" s="385"/>
      <c r="C888" s="377"/>
      <c r="G888" s="40" t="s">
        <v>89</v>
      </c>
      <c r="H888" s="40" t="s">
        <v>89</v>
      </c>
      <c r="I888" s="40" t="s">
        <v>89</v>
      </c>
      <c r="J888" s="40" t="s">
        <v>89</v>
      </c>
      <c r="K888" s="40" t="s">
        <v>752</v>
      </c>
      <c r="L888" s="148" t="s">
        <v>112</v>
      </c>
      <c r="M888" s="146">
        <f>O888</f>
        <v>7.400000000000001E-2</v>
      </c>
      <c r="O888" s="103">
        <f>CHOOSE(swtchPSA, S888, AB888)</f>
        <v>7.400000000000001E-2</v>
      </c>
      <c r="Q888" s="202">
        <f>R888/S888</f>
        <v>9297.2972972972966</v>
      </c>
      <c r="R888" s="14">
        <f>235+453</f>
        <v>688</v>
      </c>
      <c r="S888" s="28">
        <f>0.025+0.049</f>
        <v>7.400000000000001E-2</v>
      </c>
      <c r="U888" s="22">
        <f>1/SQRT(R888)</f>
        <v>3.8124642583151166E-2</v>
      </c>
      <c r="V888" s="22">
        <f>vbRateCILo(Q888, R888, 0)</f>
        <v>6.8573071747737482E-2</v>
      </c>
      <c r="X888" s="22">
        <f>vbRateCIhi(Q888, R888, 0)</f>
        <v>7.9742230701541211E-2</v>
      </c>
      <c r="Y888" s="32" t="s">
        <v>284</v>
      </c>
      <c r="AA888" s="19">
        <f ca="1">RAND()</f>
        <v>9.093961114392024E-2</v>
      </c>
      <c r="AB888" s="102">
        <f ca="1">_xlfn.LOGNORM.INV(AA888, AD888, AE888)</f>
        <v>7.0327930923694437E-2</v>
      </c>
      <c r="AC888" s="15" t="s">
        <v>20</v>
      </c>
      <c r="AD888" s="27">
        <f>LN(S888)</f>
        <v>-2.6036901857779671</v>
      </c>
      <c r="AE888" s="26">
        <f>U888</f>
        <v>3.8124642583151166E-2</v>
      </c>
    </row>
    <row r="889" spans="1:31" ht="12" customHeight="1" outlineLevel="3" x14ac:dyDescent="0.25">
      <c r="A889" s="374"/>
      <c r="B889" s="385"/>
      <c r="C889" s="377"/>
      <c r="G889" s="40" t="s">
        <v>89</v>
      </c>
      <c r="H889" s="40" t="s">
        <v>89</v>
      </c>
      <c r="I889" s="40" t="s">
        <v>89</v>
      </c>
      <c r="J889" s="40" t="s">
        <v>89</v>
      </c>
      <c r="K889" s="40" t="s">
        <v>89</v>
      </c>
      <c r="L889" s="76" t="s">
        <v>113</v>
      </c>
    </row>
    <row r="890" spans="1:31" ht="12" customHeight="1" outlineLevel="3" x14ac:dyDescent="0.25">
      <c r="A890" s="374"/>
      <c r="B890" s="385"/>
      <c r="C890" s="377"/>
      <c r="G890" s="40" t="s">
        <v>89</v>
      </c>
      <c r="H890" s="40" t="s">
        <v>89</v>
      </c>
      <c r="I890" s="40" t="s">
        <v>89</v>
      </c>
      <c r="J890" s="40" t="s">
        <v>89</v>
      </c>
      <c r="K890" s="40" t="s">
        <v>89</v>
      </c>
      <c r="L890" s="147" t="s">
        <v>274</v>
      </c>
    </row>
    <row r="891" spans="1:31" ht="12" customHeight="1" outlineLevel="3" x14ac:dyDescent="0.25">
      <c r="A891" s="374"/>
      <c r="B891" s="385"/>
      <c r="C891" s="377"/>
      <c r="D891" s="40">
        <v>70</v>
      </c>
      <c r="E891" t="s">
        <v>274</v>
      </c>
      <c r="G891" s="40" t="s">
        <v>89</v>
      </c>
      <c r="H891" s="40" t="s">
        <v>89</v>
      </c>
      <c r="I891" s="40" t="s">
        <v>89</v>
      </c>
      <c r="J891" s="40" t="s">
        <v>89</v>
      </c>
      <c r="K891" s="40" t="s">
        <v>752</v>
      </c>
      <c r="L891" s="198" t="str">
        <f>D891&amp;"-"&amp;D891+4</f>
        <v>70-74</v>
      </c>
      <c r="M891" s="169">
        <f>O891</f>
        <v>7.4065485756412697E-3</v>
      </c>
      <c r="O891" s="11" cm="1">
        <f t="array" ref="O891">vbratetoprob($M$886*SUMIFS($M$922:$M$926, $D$922:$D$926, $D891), E.cycleLength)</f>
        <v>7.4065485756412697E-3</v>
      </c>
    </row>
    <row r="892" spans="1:31" ht="12" customHeight="1" outlineLevel="3" x14ac:dyDescent="0.25">
      <c r="A892" s="374"/>
      <c r="B892" s="385"/>
      <c r="C892" s="377"/>
      <c r="D892" s="40">
        <f>D891+5</f>
        <v>75</v>
      </c>
      <c r="E892" s="79" t="str">
        <f>E891</f>
        <v>3B-4</v>
      </c>
      <c r="G892" s="40" t="s">
        <v>89</v>
      </c>
      <c r="H892" s="40" t="s">
        <v>89</v>
      </c>
      <c r="I892" s="40" t="s">
        <v>89</v>
      </c>
      <c r="J892" s="40" t="s">
        <v>89</v>
      </c>
      <c r="K892" s="40" t="s">
        <v>752</v>
      </c>
      <c r="L892" s="198" t="str">
        <f>D892&amp;"-"&amp;D892+4</f>
        <v>75-79</v>
      </c>
      <c r="M892" s="169">
        <f>O892</f>
        <v>1.308155367994146E-2</v>
      </c>
      <c r="O892" s="11" cm="1">
        <f t="array" ref="O892">vbratetoprob($M$886*SUMIFS($M$922:$M$926, $D$922:$D$926, $D892), E.cycleLength)</f>
        <v>1.308155367994146E-2</v>
      </c>
    </row>
    <row r="893" spans="1:31" ht="12" customHeight="1" outlineLevel="3" x14ac:dyDescent="0.25">
      <c r="A893" s="374"/>
      <c r="B893" s="385"/>
      <c r="C893" s="377"/>
      <c r="D893" s="40">
        <f>D892+5</f>
        <v>80</v>
      </c>
      <c r="E893" s="79" t="str">
        <f>E892</f>
        <v>3B-4</v>
      </c>
      <c r="G893" s="40" t="s">
        <v>89</v>
      </c>
      <c r="H893" s="40" t="s">
        <v>89</v>
      </c>
      <c r="I893" s="40" t="s">
        <v>89</v>
      </c>
      <c r="J893" s="40" t="s">
        <v>89</v>
      </c>
      <c r="K893" s="40" t="s">
        <v>752</v>
      </c>
      <c r="L893" s="198" t="str">
        <f>D893&amp;"-"&amp;D893+4</f>
        <v>80-84</v>
      </c>
      <c r="M893" s="169">
        <f>O893</f>
        <v>2.313767027019964E-2</v>
      </c>
      <c r="O893" s="11" cm="1">
        <f t="array" ref="O893">vbratetoprob($M$886*SUMIFS($M$922:$M$926, $D$922:$D$926, $D893), E.cycleLength)</f>
        <v>2.313767027019964E-2</v>
      </c>
    </row>
    <row r="894" spans="1:31" ht="12" customHeight="1" outlineLevel="3" x14ac:dyDescent="0.25">
      <c r="A894" s="374"/>
      <c r="B894" s="385"/>
      <c r="C894" s="377"/>
      <c r="D894" s="40">
        <f>D893+5</f>
        <v>85</v>
      </c>
      <c r="E894" s="79" t="str">
        <f>E893</f>
        <v>3B-4</v>
      </c>
      <c r="G894" s="40" t="s">
        <v>89</v>
      </c>
      <c r="H894" s="40" t="s">
        <v>89</v>
      </c>
      <c r="I894" s="40" t="s">
        <v>89</v>
      </c>
      <c r="J894" s="40" t="s">
        <v>89</v>
      </c>
      <c r="K894" s="40" t="s">
        <v>752</v>
      </c>
      <c r="L894" s="198" t="str">
        <f>D894&amp;"-"&amp;D894+4</f>
        <v>85-89</v>
      </c>
      <c r="M894" s="169">
        <f>O894</f>
        <v>4.3094917992726245E-2</v>
      </c>
      <c r="O894" s="11" cm="1">
        <f t="array" ref="O894">vbratetoprob($M$886*SUMIFS($M$922:$M$926, $D$922:$D$926, $D894), E.cycleLength)</f>
        <v>4.3094917992726245E-2</v>
      </c>
    </row>
    <row r="895" spans="1:31" ht="12" customHeight="1" outlineLevel="3" x14ac:dyDescent="0.25">
      <c r="A895" s="374"/>
      <c r="B895" s="385"/>
      <c r="C895" s="377"/>
      <c r="D895" s="40">
        <f>D894+5</f>
        <v>90</v>
      </c>
      <c r="E895" s="38" t="str">
        <f>E894</f>
        <v>3B-4</v>
      </c>
      <c r="G895" s="40" t="s">
        <v>89</v>
      </c>
      <c r="H895" s="40" t="s">
        <v>89</v>
      </c>
      <c r="I895" s="40" t="s">
        <v>89</v>
      </c>
      <c r="J895" s="40" t="s">
        <v>89</v>
      </c>
      <c r="K895" s="40" t="s">
        <v>752</v>
      </c>
      <c r="L895" s="198" t="str">
        <f>D895&amp;"+"</f>
        <v>90+</v>
      </c>
      <c r="M895" s="169">
        <f>O895</f>
        <v>8.5183165631139035E-2</v>
      </c>
      <c r="O895" s="11" cm="1">
        <f t="array" ref="O895">vbratetoprob($M$886*SUMIFS($M$922:$M$926, $D$922:$D$926, $D895), E.cycleLength)</f>
        <v>8.5183165631139035E-2</v>
      </c>
    </row>
    <row r="896" spans="1:31" ht="12" customHeight="1" outlineLevel="3" x14ac:dyDescent="0.25">
      <c r="A896" s="374"/>
      <c r="B896" s="385"/>
      <c r="C896" s="377"/>
      <c r="G896" s="40" t="s">
        <v>89</v>
      </c>
      <c r="H896" s="40" t="s">
        <v>89</v>
      </c>
      <c r="I896" s="40" t="s">
        <v>89</v>
      </c>
      <c r="J896" s="40" t="s">
        <v>89</v>
      </c>
      <c r="K896" s="40" t="s">
        <v>89</v>
      </c>
      <c r="L896" s="148" t="s">
        <v>110</v>
      </c>
    </row>
    <row r="897" spans="1:15" ht="12" customHeight="1" outlineLevel="3" x14ac:dyDescent="0.25">
      <c r="A897" s="374"/>
      <c r="B897" s="385"/>
      <c r="C897" s="377"/>
      <c r="D897" s="40">
        <v>70</v>
      </c>
      <c r="E897" s="201">
        <v>5</v>
      </c>
      <c r="G897" s="40" t="s">
        <v>89</v>
      </c>
      <c r="H897" s="40" t="s">
        <v>89</v>
      </c>
      <c r="I897" s="40" t="s">
        <v>89</v>
      </c>
      <c r="J897" s="40" t="s">
        <v>89</v>
      </c>
      <c r="K897" s="40" t="s">
        <v>752</v>
      </c>
      <c r="L897" s="198" t="str">
        <f>D897&amp;"-"&amp;D897+4</f>
        <v>70-74</v>
      </c>
      <c r="M897" s="169">
        <f>O897</f>
        <v>1.4888060396937353E-2</v>
      </c>
      <c r="O897" s="11" cm="1">
        <f t="array" ref="O897">vbratetoprob($M$887*SUMIFS($M$922:$M$926, $D$922:$D$926, $D897), E.cycleLength)</f>
        <v>1.4888060396937353E-2</v>
      </c>
    </row>
    <row r="898" spans="1:15" ht="12" customHeight="1" outlineLevel="3" x14ac:dyDescent="0.25">
      <c r="A898" s="374"/>
      <c r="B898" s="385"/>
      <c r="C898" s="377"/>
      <c r="D898" s="40">
        <f>D897+5</f>
        <v>75</v>
      </c>
      <c r="E898" s="79">
        <f>E897</f>
        <v>5</v>
      </c>
      <c r="G898" s="40" t="s">
        <v>89</v>
      </c>
      <c r="H898" s="40" t="s">
        <v>89</v>
      </c>
      <c r="I898" s="40" t="s">
        <v>89</v>
      </c>
      <c r="J898" s="40" t="s">
        <v>89</v>
      </c>
      <c r="K898" s="40" t="s">
        <v>752</v>
      </c>
      <c r="L898" s="198" t="str">
        <f>D898&amp;"-"&amp;D898+4</f>
        <v>75-79</v>
      </c>
      <c r="M898" s="169">
        <f>O898</f>
        <v>2.6219294392477388E-2</v>
      </c>
      <c r="O898" s="11" cm="1">
        <f t="array" ref="O898">vbratetoprob($M$887*SUMIFS($M$922:$M$926, $D$922:$D$926, $D898), E.cycleLength)</f>
        <v>2.6219294392477388E-2</v>
      </c>
    </row>
    <row r="899" spans="1:15" ht="12" customHeight="1" outlineLevel="3" x14ac:dyDescent="0.25">
      <c r="A899" s="374"/>
      <c r="B899" s="385"/>
      <c r="C899" s="377"/>
      <c r="D899" s="40">
        <f>D898+5</f>
        <v>80</v>
      </c>
      <c r="E899" s="79">
        <f>E898</f>
        <v>5</v>
      </c>
      <c r="G899" s="40" t="s">
        <v>89</v>
      </c>
      <c r="H899" s="40" t="s">
        <v>89</v>
      </c>
      <c r="I899" s="40" t="s">
        <v>89</v>
      </c>
      <c r="J899" s="40" t="s">
        <v>89</v>
      </c>
      <c r="K899" s="40" t="s">
        <v>752</v>
      </c>
      <c r="L899" s="198" t="str">
        <f>D899&amp;"-"&amp;D899+4</f>
        <v>80-84</v>
      </c>
      <c r="M899" s="169">
        <f>O899</f>
        <v>4.6135873331661248E-2</v>
      </c>
      <c r="O899" s="11" cm="1">
        <f t="array" ref="O899">vbratetoprob($M$887*SUMIFS($M$922:$M$926, $D$922:$D$926, $D899), E.cycleLength)</f>
        <v>4.6135873331661248E-2</v>
      </c>
    </row>
    <row r="900" spans="1:15" ht="12" customHeight="1" outlineLevel="3" x14ac:dyDescent="0.25">
      <c r="A900" s="374"/>
      <c r="B900" s="385"/>
      <c r="C900" s="377"/>
      <c r="D900" s="40">
        <f>D899+5</f>
        <v>85</v>
      </c>
      <c r="E900" s="38">
        <f>E899</f>
        <v>5</v>
      </c>
      <c r="G900" s="40" t="s">
        <v>89</v>
      </c>
      <c r="H900" s="40" t="s">
        <v>89</v>
      </c>
      <c r="I900" s="40" t="s">
        <v>89</v>
      </c>
      <c r="J900" s="40" t="s">
        <v>89</v>
      </c>
      <c r="K900" s="40" t="s">
        <v>752</v>
      </c>
      <c r="L900" s="198" t="str">
        <f>D900&amp;"-"&amp;D900+4</f>
        <v>85-89</v>
      </c>
      <c r="M900" s="169">
        <f>O900</f>
        <v>8.5047363764457873E-2</v>
      </c>
      <c r="O900" s="11" cm="1">
        <f t="array" ref="O900">vbratetoprob($M$887*SUMIFS($M$922:$M$926, $D$922:$D$926, $D900), E.cycleLength)</f>
        <v>8.5047363764457873E-2</v>
      </c>
    </row>
    <row r="901" spans="1:15" ht="12" customHeight="1" outlineLevel="3" x14ac:dyDescent="0.25">
      <c r="A901" s="374"/>
      <c r="B901" s="385"/>
      <c r="C901" s="377"/>
      <c r="D901" s="40">
        <f>D900+5</f>
        <v>90</v>
      </c>
      <c r="E901" s="38">
        <f>E900</f>
        <v>5</v>
      </c>
      <c r="G901" s="40" t="s">
        <v>89</v>
      </c>
      <c r="H901" s="40" t="s">
        <v>89</v>
      </c>
      <c r="I901" s="40" t="s">
        <v>89</v>
      </c>
      <c r="J901" s="40" t="s">
        <v>89</v>
      </c>
      <c r="K901" s="40" t="s">
        <v>752</v>
      </c>
      <c r="L901" s="198" t="str">
        <f>D901&amp;"+"</f>
        <v>90+</v>
      </c>
      <c r="M901" s="169">
        <f>O901</f>
        <v>0.16442983719498327</v>
      </c>
      <c r="O901" s="11" cm="1">
        <f t="array" ref="O901">vbratetoprob($M$887*SUMIFS($M$922:$M$926, $D$922:$D$926, $D901), E.cycleLength)</f>
        <v>0.16442983719498327</v>
      </c>
    </row>
    <row r="902" spans="1:15" ht="12" customHeight="1" outlineLevel="3" x14ac:dyDescent="0.25">
      <c r="A902" s="374"/>
      <c r="B902" s="385"/>
      <c r="C902" s="377"/>
      <c r="G902" s="40" t="s">
        <v>89</v>
      </c>
      <c r="H902" s="40" t="s">
        <v>89</v>
      </c>
      <c r="I902" s="40" t="s">
        <v>89</v>
      </c>
      <c r="J902" s="40" t="s">
        <v>89</v>
      </c>
      <c r="K902" s="40" t="s">
        <v>89</v>
      </c>
      <c r="L902" s="148" t="s">
        <v>112</v>
      </c>
    </row>
    <row r="903" spans="1:15" ht="12" customHeight="1" outlineLevel="3" x14ac:dyDescent="0.25">
      <c r="A903" s="374"/>
      <c r="B903" s="385"/>
      <c r="C903" s="377"/>
      <c r="D903" s="40">
        <v>70</v>
      </c>
      <c r="E903" t="s">
        <v>112</v>
      </c>
      <c r="G903" s="40" t="s">
        <v>89</v>
      </c>
      <c r="H903" s="40" t="s">
        <v>89</v>
      </c>
      <c r="I903" s="40" t="s">
        <v>89</v>
      </c>
      <c r="J903" s="40" t="s">
        <v>89</v>
      </c>
      <c r="K903" s="40" t="s">
        <v>752</v>
      </c>
      <c r="L903" s="198" t="str">
        <f>D903&amp;"-"&amp;D903+4</f>
        <v>70-74</v>
      </c>
      <c r="M903" s="169">
        <f>O903</f>
        <v>1.8329925408208547E-2</v>
      </c>
      <c r="O903" s="11" cm="1">
        <f t="array" ref="O903">vbratetoprob($M$888*SUMIFS($M$922:$M$926, $D$922:$D$926, $D903), E.cycleLength)</f>
        <v>1.8329925408208547E-2</v>
      </c>
    </row>
    <row r="904" spans="1:15" ht="12" customHeight="1" outlineLevel="3" x14ac:dyDescent="0.25">
      <c r="A904" s="374"/>
      <c r="B904" s="385"/>
      <c r="C904" s="377"/>
      <c r="D904" s="40">
        <f>D903+5</f>
        <v>75</v>
      </c>
      <c r="E904" s="79" t="str">
        <f>E903</f>
        <v>5D</v>
      </c>
      <c r="G904" s="40" t="s">
        <v>89</v>
      </c>
      <c r="H904" s="40" t="s">
        <v>89</v>
      </c>
      <c r="I904" s="40" t="s">
        <v>89</v>
      </c>
      <c r="J904" s="40" t="s">
        <v>89</v>
      </c>
      <c r="K904" s="40" t="s">
        <v>752</v>
      </c>
      <c r="L904" s="198" t="str">
        <f>D904&amp;"-"&amp;D904+4</f>
        <v>75-79</v>
      </c>
      <c r="M904" s="169">
        <f>O904</f>
        <v>3.2237542554943044E-2</v>
      </c>
      <c r="O904" s="11" cm="1">
        <f t="array" ref="O904">vbratetoprob($M$888*SUMIFS($M$922:$M$926, $D$922:$D$926, $D904), E.cycleLength)</f>
        <v>3.2237542554943044E-2</v>
      </c>
    </row>
    <row r="905" spans="1:15" ht="12" customHeight="1" outlineLevel="3" x14ac:dyDescent="0.25">
      <c r="A905" s="374"/>
      <c r="B905" s="385"/>
      <c r="C905" s="377"/>
      <c r="D905" s="40">
        <f>D904+5</f>
        <v>80</v>
      </c>
      <c r="E905" s="38" t="str">
        <f>E904</f>
        <v>5D</v>
      </c>
      <c r="G905" s="40" t="s">
        <v>89</v>
      </c>
      <c r="H905" s="40" t="s">
        <v>89</v>
      </c>
      <c r="I905" s="40" t="s">
        <v>89</v>
      </c>
      <c r="J905" s="40" t="s">
        <v>89</v>
      </c>
      <c r="K905" s="40" t="s">
        <v>752</v>
      </c>
      <c r="L905" s="198" t="str">
        <f>D905&amp;"-"&amp;D905+4</f>
        <v>80-84</v>
      </c>
      <c r="M905" s="169">
        <f>O905</f>
        <v>5.6590953710028202E-2</v>
      </c>
      <c r="O905" s="11" cm="1">
        <f t="array" ref="O905">vbratetoprob($M$888*SUMIFS($M$922:$M$926, $D$922:$D$926, $D905), E.cycleLength)</f>
        <v>5.6590953710028202E-2</v>
      </c>
    </row>
    <row r="906" spans="1:15" ht="12" customHeight="1" outlineLevel="3" x14ac:dyDescent="0.25">
      <c r="A906" s="374"/>
      <c r="B906" s="385"/>
      <c r="C906" s="377"/>
      <c r="D906" s="40">
        <f>D905+5</f>
        <v>85</v>
      </c>
      <c r="E906" s="38" t="str">
        <f>E905</f>
        <v>5D</v>
      </c>
      <c r="G906" s="40" t="s">
        <v>89</v>
      </c>
      <c r="H906" s="40" t="s">
        <v>89</v>
      </c>
      <c r="I906" s="40" t="s">
        <v>89</v>
      </c>
      <c r="J906" s="40" t="s">
        <v>89</v>
      </c>
      <c r="K906" s="40" t="s">
        <v>752</v>
      </c>
      <c r="L906" s="198" t="str">
        <f>D906&amp;"-"&amp;D906+4</f>
        <v>85-89</v>
      </c>
      <c r="M906" s="169">
        <f>O906</f>
        <v>0.10382748047214119</v>
      </c>
      <c r="O906" s="11" cm="1">
        <f t="array" ref="O906">vbratetoprob($M$888*SUMIFS($M$922:$M$926, $D$922:$D$926, $D906), E.cycleLength)</f>
        <v>0.10382748047214119</v>
      </c>
    </row>
    <row r="907" spans="1:15" ht="12" customHeight="1" outlineLevel="3" x14ac:dyDescent="0.25">
      <c r="A907" s="374"/>
      <c r="B907" s="385"/>
      <c r="C907" s="377"/>
      <c r="D907" s="40">
        <f>D906+5</f>
        <v>90</v>
      </c>
      <c r="E907" s="38" t="str">
        <f>E906</f>
        <v>5D</v>
      </c>
      <c r="G907" s="40" t="s">
        <v>89</v>
      </c>
      <c r="H907" s="40" t="s">
        <v>89</v>
      </c>
      <c r="I907" s="40" t="s">
        <v>89</v>
      </c>
      <c r="J907" s="40" t="s">
        <v>89</v>
      </c>
      <c r="K907" s="40" t="s">
        <v>752</v>
      </c>
      <c r="L907" s="198" t="str">
        <f>D907&amp;"+"</f>
        <v>90+</v>
      </c>
      <c r="M907" s="169">
        <f>O907</f>
        <v>0.19872989646847838</v>
      </c>
      <c r="O907" s="11" cm="1">
        <f t="array" ref="O907">vbratetoprob($M$888*SUMIFS($M$922:$M$926, $D$922:$D$926, $D907), E.cycleLength)</f>
        <v>0.19872989646847838</v>
      </c>
    </row>
    <row r="908" spans="1:15" ht="12" customHeight="1" outlineLevel="3" x14ac:dyDescent="0.25">
      <c r="A908" s="374"/>
      <c r="B908" s="385"/>
      <c r="C908" s="377"/>
      <c r="G908" s="40" t="s">
        <v>89</v>
      </c>
      <c r="H908" s="40" t="s">
        <v>89</v>
      </c>
      <c r="I908" s="40" t="s">
        <v>89</v>
      </c>
      <c r="J908" s="40" t="s">
        <v>89</v>
      </c>
      <c r="K908" s="40" t="s">
        <v>89</v>
      </c>
      <c r="L908" s="148" t="s">
        <v>273</v>
      </c>
    </row>
    <row r="909" spans="1:15" ht="12" customHeight="1" outlineLevel="3" x14ac:dyDescent="0.25">
      <c r="A909" s="374"/>
      <c r="B909" s="385"/>
      <c r="C909" s="377"/>
      <c r="D909" s="40">
        <v>70</v>
      </c>
      <c r="E909" t="s">
        <v>275</v>
      </c>
      <c r="G909" s="40" t="s">
        <v>89</v>
      </c>
      <c r="H909" s="40" t="s">
        <v>89</v>
      </c>
      <c r="I909" s="40" t="s">
        <v>89</v>
      </c>
      <c r="J909" s="40" t="s">
        <v>89</v>
      </c>
      <c r="K909" s="40" t="s">
        <v>752</v>
      </c>
      <c r="L909" s="198" t="str">
        <f>D909&amp;"-"&amp;D909+4</f>
        <v>70-74</v>
      </c>
      <c r="M909" s="254">
        <f>O909</f>
        <v>4.6889722835203873E-3</v>
      </c>
      <c r="O909" s="11" cm="1">
        <f t="array" ref="O909">vbratetoprob(M916, E.cycleLength)</f>
        <v>4.6889722835203873E-3</v>
      </c>
    </row>
    <row r="910" spans="1:15" ht="12" customHeight="1" outlineLevel="3" x14ac:dyDescent="0.25">
      <c r="A910" s="374"/>
      <c r="B910" s="385"/>
      <c r="C910" s="377"/>
      <c r="D910" s="40">
        <f>D909+5</f>
        <v>75</v>
      </c>
      <c r="E910" s="38" t="str">
        <f>E909</f>
        <v>GP</v>
      </c>
      <c r="G910" s="40" t="s">
        <v>89</v>
      </c>
      <c r="H910" s="40" t="s">
        <v>89</v>
      </c>
      <c r="I910" s="40" t="s">
        <v>89</v>
      </c>
      <c r="J910" s="40" t="s">
        <v>89</v>
      </c>
      <c r="K910" s="40" t="s">
        <v>752</v>
      </c>
      <c r="L910" s="198" t="str">
        <f>D910&amp;"-"&amp;D910+4</f>
        <v>75-79</v>
      </c>
      <c r="M910" s="254">
        <f>O910</f>
        <v>8.2904431492512032E-3</v>
      </c>
      <c r="O910" s="11" cm="1">
        <f t="array" ref="O910">vbratetoprob(M917, E.cycleLength)</f>
        <v>8.2904431492512032E-3</v>
      </c>
    </row>
    <row r="911" spans="1:15" ht="12" customHeight="1" outlineLevel="3" x14ac:dyDescent="0.25">
      <c r="A911" s="374"/>
      <c r="B911" s="385"/>
      <c r="C911" s="377"/>
      <c r="D911" s="40">
        <f>D910+5</f>
        <v>80</v>
      </c>
      <c r="E911" s="38" t="str">
        <f>E910</f>
        <v>GP</v>
      </c>
      <c r="G911" s="40" t="s">
        <v>89</v>
      </c>
      <c r="H911" s="40" t="s">
        <v>89</v>
      </c>
      <c r="I911" s="40" t="s">
        <v>89</v>
      </c>
      <c r="J911" s="40" t="s">
        <v>89</v>
      </c>
      <c r="K911" s="40" t="s">
        <v>752</v>
      </c>
      <c r="L911" s="198" t="str">
        <f>D911&amp;"-"&amp;D911+4</f>
        <v>80-84</v>
      </c>
      <c r="M911" s="254">
        <f>O911</f>
        <v>1.4691018305464376E-2</v>
      </c>
      <c r="O911" s="11" cm="1">
        <f t="array" ref="O911">vbratetoprob(M918, E.cycleLength)</f>
        <v>1.4691018305464376E-2</v>
      </c>
    </row>
    <row r="912" spans="1:15" ht="12" customHeight="1" outlineLevel="3" x14ac:dyDescent="0.25">
      <c r="A912" s="374"/>
      <c r="B912" s="385"/>
      <c r="C912" s="377"/>
      <c r="D912" s="40">
        <f>D911+5</f>
        <v>85</v>
      </c>
      <c r="E912" s="38" t="str">
        <f>E911</f>
        <v>GP</v>
      </c>
      <c r="G912" s="40" t="s">
        <v>89</v>
      </c>
      <c r="H912" s="40" t="s">
        <v>89</v>
      </c>
      <c r="I912" s="40" t="s">
        <v>89</v>
      </c>
      <c r="J912" s="40" t="s">
        <v>89</v>
      </c>
      <c r="K912" s="40" t="s">
        <v>752</v>
      </c>
      <c r="L912" s="198" t="str">
        <f>D912&amp;"-"&amp;D912+4</f>
        <v>85-89</v>
      </c>
      <c r="M912" s="254">
        <f>O912</f>
        <v>2.7465764003816839E-2</v>
      </c>
      <c r="O912" s="11" cm="1">
        <f t="array" ref="O912">vbratetoprob(M919, E.cycleLength)</f>
        <v>2.7465764003816839E-2</v>
      </c>
    </row>
    <row r="913" spans="1:28" ht="12" customHeight="1" outlineLevel="3" thickBot="1" x14ac:dyDescent="0.3">
      <c r="A913" s="374"/>
      <c r="B913" s="385"/>
      <c r="C913" s="377"/>
      <c r="D913" s="40">
        <f>D912+5</f>
        <v>90</v>
      </c>
      <c r="E913" s="38" t="str">
        <f>E912</f>
        <v>GP</v>
      </c>
      <c r="G913" s="40" t="s">
        <v>89</v>
      </c>
      <c r="H913" s="40" t="s">
        <v>89</v>
      </c>
      <c r="I913" s="40" t="s">
        <v>89</v>
      </c>
      <c r="J913" s="40" t="s">
        <v>89</v>
      </c>
      <c r="K913" s="40" t="s">
        <v>752</v>
      </c>
      <c r="L913" s="198" t="str">
        <f>D913&amp;"+"</f>
        <v>90+</v>
      </c>
      <c r="M913" s="254">
        <f>O913</f>
        <v>5.4732667537557234E-2</v>
      </c>
      <c r="O913" s="11" cm="1">
        <f t="array" ref="O913">vbratetoprob(M920, E.cycleLength)</f>
        <v>5.4732667537557234E-2</v>
      </c>
    </row>
    <row r="914" spans="1:28" s="110" customFormat="1" ht="12" customHeight="1" outlineLevel="2" thickBot="1" x14ac:dyDescent="0.3">
      <c r="A914" s="374"/>
      <c r="B914" s="385"/>
      <c r="C914" s="377"/>
      <c r="D914" s="112"/>
      <c r="G914" s="112" t="s">
        <v>89</v>
      </c>
      <c r="H914" s="112" t="s">
        <v>89</v>
      </c>
      <c r="I914" s="112" t="s">
        <v>89</v>
      </c>
      <c r="J914" s="112" t="s">
        <v>89</v>
      </c>
      <c r="K914" s="112" t="s">
        <v>89</v>
      </c>
      <c r="L914" s="110" t="s">
        <v>146</v>
      </c>
    </row>
    <row r="915" spans="1:28" ht="12" customHeight="1" outlineLevel="3" x14ac:dyDescent="0.25">
      <c r="A915" s="374"/>
      <c r="B915" s="385"/>
      <c r="C915" s="377"/>
      <c r="G915" s="40" t="s">
        <v>89</v>
      </c>
      <c r="H915" s="40" t="s">
        <v>89</v>
      </c>
      <c r="I915" s="40" t="s">
        <v>89</v>
      </c>
      <c r="J915" s="40" t="s">
        <v>89</v>
      </c>
      <c r="K915" s="40" t="s">
        <v>89</v>
      </c>
      <c r="L915" s="38" t="s">
        <v>271</v>
      </c>
      <c r="M915" s="78"/>
      <c r="O915"/>
      <c r="P915" s="11"/>
      <c r="AB915"/>
    </row>
    <row r="916" spans="1:28" ht="12" customHeight="1" outlineLevel="3" x14ac:dyDescent="0.25">
      <c r="A916" s="374"/>
      <c r="B916" s="385"/>
      <c r="C916" s="377"/>
      <c r="D916" s="40">
        <v>70</v>
      </c>
      <c r="G916" s="40" t="s">
        <v>89</v>
      </c>
      <c r="H916" s="40" t="s">
        <v>89</v>
      </c>
      <c r="I916" s="40" t="s">
        <v>89</v>
      </c>
      <c r="J916" s="40" t="s">
        <v>89</v>
      </c>
      <c r="K916" s="40" t="s">
        <v>752</v>
      </c>
      <c r="L916" s="12" t="str">
        <f>D916&amp;"-"&amp;D916+4</f>
        <v>70-74</v>
      </c>
      <c r="M916" s="22">
        <f>O916</f>
        <v>1.8799999999999997E-2</v>
      </c>
      <c r="O916" s="11">
        <f>_xlfn.LET(_xlpm.MRate, INDEX(Parameters!$M$20:$M$27, MATCH($D916, Parameters!$D$20:$D$27, 1)),
     _xlpm.FRate, INDEX(Parameters!$M$29:$M$36, MATCH($D916, Parameters!$D$29:$D$36, 1)),
       SUM(_xlpm.MRate*E.cohortSex, _xlpm.FRate*(1-E.cohortSex)))</f>
        <v>1.8799999999999997E-2</v>
      </c>
      <c r="P916" s="11"/>
    </row>
    <row r="917" spans="1:28" ht="12" customHeight="1" outlineLevel="3" x14ac:dyDescent="0.25">
      <c r="A917" s="374"/>
      <c r="B917" s="385"/>
      <c r="C917" s="377"/>
      <c r="D917" s="40">
        <f>D916+5</f>
        <v>75</v>
      </c>
      <c r="G917" s="40" t="s">
        <v>89</v>
      </c>
      <c r="H917" s="40" t="s">
        <v>89</v>
      </c>
      <c r="I917" s="40" t="s">
        <v>89</v>
      </c>
      <c r="J917" s="40" t="s">
        <v>89</v>
      </c>
      <c r="K917" s="40" t="s">
        <v>752</v>
      </c>
      <c r="L917" s="12" t="str">
        <f>D917&amp;"-"&amp;D917+4</f>
        <v>75-79</v>
      </c>
      <c r="M917" s="22">
        <f>O917</f>
        <v>3.3300000000000003E-2</v>
      </c>
      <c r="O917" s="11">
        <f>_xlfn.LET(_xlpm.MRate, INDEX(Parameters!$M$20:$M$27, MATCH($D917, Parameters!$D$20:$D$27, 1)),
     _xlpm.FRate, INDEX(Parameters!$M$29:$M$36, MATCH($D917, Parameters!$D$29:$D$36, 1)),
       SUM(_xlpm.MRate*E.cohortSex, _xlpm.FRate*(1-E.cohortSex)))</f>
        <v>3.3300000000000003E-2</v>
      </c>
      <c r="P917" s="11"/>
    </row>
    <row r="918" spans="1:28" ht="12" customHeight="1" outlineLevel="3" x14ac:dyDescent="0.25">
      <c r="A918" s="374"/>
      <c r="B918" s="385"/>
      <c r="C918" s="377"/>
      <c r="D918" s="40">
        <f>D917+5</f>
        <v>80</v>
      </c>
      <c r="G918" s="40" t="s">
        <v>89</v>
      </c>
      <c r="H918" s="40" t="s">
        <v>89</v>
      </c>
      <c r="I918" s="40" t="s">
        <v>89</v>
      </c>
      <c r="J918" s="40" t="s">
        <v>89</v>
      </c>
      <c r="K918" s="40" t="s">
        <v>752</v>
      </c>
      <c r="L918" s="12" t="str">
        <f>D918&amp;"-"&amp;D918+4</f>
        <v>80-84</v>
      </c>
      <c r="M918" s="22">
        <f>O918</f>
        <v>5.9200000000000003E-2</v>
      </c>
      <c r="O918" s="11">
        <f>_xlfn.LET(_xlpm.MRate, INDEX(Parameters!$M$20:$M$27, MATCH($D918, Parameters!$D$20:$D$27, 1)),
     _xlpm.FRate, INDEX(Parameters!$M$29:$M$36, MATCH($D918, Parameters!$D$29:$D$36, 1)),
       SUM(_xlpm.MRate*E.cohortSex, _xlpm.FRate*(1-E.cohortSex)))</f>
        <v>5.9200000000000003E-2</v>
      </c>
      <c r="P918" s="11"/>
    </row>
    <row r="919" spans="1:28" ht="12" customHeight="1" outlineLevel="3" x14ac:dyDescent="0.25">
      <c r="A919" s="374"/>
      <c r="B919" s="385"/>
      <c r="C919" s="377"/>
      <c r="D919" s="40">
        <f>D918+5</f>
        <v>85</v>
      </c>
      <c r="G919" s="40" t="s">
        <v>89</v>
      </c>
      <c r="H919" s="40" t="s">
        <v>89</v>
      </c>
      <c r="I919" s="40" t="s">
        <v>89</v>
      </c>
      <c r="J919" s="40" t="s">
        <v>89</v>
      </c>
      <c r="K919" s="40" t="s">
        <v>752</v>
      </c>
      <c r="L919" s="12" t="str">
        <f>D919&amp;"-"&amp;D919+4</f>
        <v>85-89</v>
      </c>
      <c r="M919" s="22">
        <f>O919</f>
        <v>0.1114</v>
      </c>
      <c r="O919" s="11">
        <f>_xlfn.LET(_xlpm.MRate, INDEX(Parameters!$M$20:$M$27, MATCH($D919, Parameters!$D$20:$D$27, 1)),
     _xlpm.FRate, INDEX(Parameters!$M$29:$M$36, MATCH($D919, Parameters!$D$29:$D$36, 1)),
       SUM(_xlpm.MRate*E.cohortSex, _xlpm.FRate*(1-E.cohortSex)))</f>
        <v>0.1114</v>
      </c>
      <c r="P919" s="11"/>
    </row>
    <row r="920" spans="1:28" ht="12" customHeight="1" outlineLevel="3" x14ac:dyDescent="0.25">
      <c r="A920" s="374"/>
      <c r="B920" s="385"/>
      <c r="C920" s="377"/>
      <c r="D920" s="40">
        <f>D919+5</f>
        <v>90</v>
      </c>
      <c r="G920" s="40" t="s">
        <v>89</v>
      </c>
      <c r="H920" s="40" t="s">
        <v>89</v>
      </c>
      <c r="I920" s="40" t="s">
        <v>89</v>
      </c>
      <c r="J920" s="40" t="s">
        <v>89</v>
      </c>
      <c r="K920" s="40" t="s">
        <v>752</v>
      </c>
      <c r="L920" s="12" t="str">
        <f>D920&amp;"+"</f>
        <v>90+</v>
      </c>
      <c r="M920" s="22">
        <f>O920</f>
        <v>0.22515000000000002</v>
      </c>
      <c r="O920" s="11">
        <f>_xlfn.LET(_xlpm.MRate, INDEX(Parameters!$M$20:$M$27, MATCH($D920, Parameters!$D$20:$D$27, 1)),
     _xlpm.FRate, INDEX(Parameters!$M$29:$M$36, MATCH($D920, Parameters!$D$29:$D$36, 1)),
       SUM(_xlpm.MRate*E.cohortSex, _xlpm.FRate*(1-E.cohortSex)))</f>
        <v>0.22515000000000002</v>
      </c>
      <c r="P920" s="11"/>
    </row>
    <row r="921" spans="1:28" ht="12" customHeight="1" outlineLevel="3" x14ac:dyDescent="0.25">
      <c r="A921" s="374"/>
      <c r="B921" s="385"/>
      <c r="C921" s="377"/>
      <c r="G921" s="40" t="s">
        <v>89</v>
      </c>
      <c r="H921" s="40" t="s">
        <v>89</v>
      </c>
      <c r="I921" s="40" t="s">
        <v>89</v>
      </c>
      <c r="J921" s="40" t="s">
        <v>89</v>
      </c>
      <c r="K921" s="40" t="s">
        <v>89</v>
      </c>
      <c r="L921" s="38" t="s">
        <v>272</v>
      </c>
      <c r="M921" s="78"/>
      <c r="O921"/>
      <c r="AB921"/>
    </row>
    <row r="922" spans="1:28" ht="12" customHeight="1" outlineLevel="3" x14ac:dyDescent="0.25">
      <c r="A922" s="374"/>
      <c r="B922" s="385"/>
      <c r="C922" s="377"/>
      <c r="D922" s="40">
        <v>70</v>
      </c>
      <c r="G922" s="40" t="s">
        <v>89</v>
      </c>
      <c r="H922" s="40" t="s">
        <v>89</v>
      </c>
      <c r="I922" s="40" t="s">
        <v>89</v>
      </c>
      <c r="J922" s="40" t="s">
        <v>89</v>
      </c>
      <c r="K922" s="40" t="s">
        <v>752</v>
      </c>
      <c r="L922" s="12" t="str">
        <f>D922&amp;"-"&amp;D922+4</f>
        <v>70-74</v>
      </c>
      <c r="M922" s="22">
        <f>O922</f>
        <v>1</v>
      </c>
      <c r="O922" s="11">
        <f>M916/$M$916</f>
        <v>1</v>
      </c>
      <c r="P922" s="11"/>
    </row>
    <row r="923" spans="1:28" ht="12" customHeight="1" outlineLevel="3" x14ac:dyDescent="0.25">
      <c r="A923" s="374"/>
      <c r="B923" s="385"/>
      <c r="C923" s="377"/>
      <c r="D923" s="40">
        <f>D922+5</f>
        <v>75</v>
      </c>
      <c r="G923" s="40" t="s">
        <v>89</v>
      </c>
      <c r="H923" s="40" t="s">
        <v>89</v>
      </c>
      <c r="I923" s="40" t="s">
        <v>89</v>
      </c>
      <c r="J923" s="40" t="s">
        <v>89</v>
      </c>
      <c r="K923" s="40" t="s">
        <v>752</v>
      </c>
      <c r="L923" s="12" t="str">
        <f>D923&amp;"-"&amp;D923+4</f>
        <v>75-79</v>
      </c>
      <c r="M923" s="22">
        <f>O923</f>
        <v>1.7712765957446812</v>
      </c>
      <c r="O923" s="11">
        <f>M917/$M$916</f>
        <v>1.7712765957446812</v>
      </c>
      <c r="P923" s="11"/>
    </row>
    <row r="924" spans="1:28" ht="12" customHeight="1" outlineLevel="3" x14ac:dyDescent="0.25">
      <c r="A924" s="374"/>
      <c r="B924" s="385"/>
      <c r="C924" s="377"/>
      <c r="D924" s="40">
        <f>D923+5</f>
        <v>80</v>
      </c>
      <c r="G924" s="40" t="s">
        <v>89</v>
      </c>
      <c r="H924" s="40" t="s">
        <v>89</v>
      </c>
      <c r="I924" s="40" t="s">
        <v>89</v>
      </c>
      <c r="J924" s="40" t="s">
        <v>89</v>
      </c>
      <c r="K924" s="40" t="s">
        <v>752</v>
      </c>
      <c r="L924" s="12" t="str">
        <f>D924&amp;"-"&amp;D924+4</f>
        <v>80-84</v>
      </c>
      <c r="M924" s="22">
        <f>O924</f>
        <v>3.1489361702127665</v>
      </c>
      <c r="O924" s="11">
        <f>M918/$M$916</f>
        <v>3.1489361702127665</v>
      </c>
      <c r="P924" s="11"/>
    </row>
    <row r="925" spans="1:28" ht="12" customHeight="1" outlineLevel="3" x14ac:dyDescent="0.25">
      <c r="A925" s="374"/>
      <c r="B925" s="385"/>
      <c r="C925" s="377"/>
      <c r="D925" s="40">
        <f>D924+5</f>
        <v>85</v>
      </c>
      <c r="G925" s="40" t="s">
        <v>89</v>
      </c>
      <c r="H925" s="40" t="s">
        <v>89</v>
      </c>
      <c r="I925" s="40" t="s">
        <v>89</v>
      </c>
      <c r="J925" s="40" t="s">
        <v>89</v>
      </c>
      <c r="K925" s="40" t="s">
        <v>752</v>
      </c>
      <c r="L925" s="12" t="str">
        <f>D925&amp;"-"&amp;D925+4</f>
        <v>85-89</v>
      </c>
      <c r="M925" s="22">
        <f>O925</f>
        <v>5.9255319148936181</v>
      </c>
      <c r="O925" s="11">
        <f>M919/$M$916</f>
        <v>5.9255319148936181</v>
      </c>
      <c r="P925" s="11"/>
    </row>
    <row r="926" spans="1:28" ht="12" customHeight="1" outlineLevel="3" thickBot="1" x14ac:dyDescent="0.3">
      <c r="A926" s="374"/>
      <c r="B926" s="385"/>
      <c r="C926" s="377"/>
      <c r="D926" s="40">
        <f>D925+5</f>
        <v>90</v>
      </c>
      <c r="G926" s="40" t="s">
        <v>89</v>
      </c>
      <c r="H926" s="40" t="s">
        <v>89</v>
      </c>
      <c r="I926" s="40" t="s">
        <v>89</v>
      </c>
      <c r="J926" s="40" t="s">
        <v>89</v>
      </c>
      <c r="K926" s="40" t="s">
        <v>752</v>
      </c>
      <c r="L926" s="12" t="str">
        <f>D926&amp;"+"</f>
        <v>90+</v>
      </c>
      <c r="M926" s="22">
        <f>O926</f>
        <v>11.976063829787236</v>
      </c>
      <c r="O926" s="11">
        <f>M920/$M$916</f>
        <v>11.976063829787236</v>
      </c>
      <c r="P926" s="11"/>
    </row>
    <row r="927" spans="1:28" s="13" customFormat="1" ht="12" customHeight="1" outlineLevel="1" thickBot="1" x14ac:dyDescent="0.3">
      <c r="A927" s="374"/>
      <c r="B927" s="385"/>
      <c r="C927" s="377"/>
      <c r="D927" s="196"/>
      <c r="E927" s="179"/>
      <c r="F927" s="179"/>
      <c r="G927" s="196" t="s">
        <v>89</v>
      </c>
      <c r="H927" s="196" t="s">
        <v>89</v>
      </c>
      <c r="I927" s="196" t="s">
        <v>89</v>
      </c>
      <c r="J927" s="196" t="s">
        <v>89</v>
      </c>
      <c r="K927" s="196" t="s">
        <v>89</v>
      </c>
      <c r="L927" s="13" t="s">
        <v>321</v>
      </c>
      <c r="M927" s="25"/>
      <c r="O927" s="25"/>
      <c r="AB927" s="25"/>
    </row>
    <row r="928" spans="1:28" s="110" customFormat="1" ht="12" customHeight="1" outlineLevel="2" thickBot="1" x14ac:dyDescent="0.3">
      <c r="A928" s="374"/>
      <c r="B928" s="385"/>
      <c r="C928" s="377"/>
      <c r="D928" s="112"/>
      <c r="G928" s="112" t="s">
        <v>89</v>
      </c>
      <c r="H928" s="112" t="s">
        <v>89</v>
      </c>
      <c r="I928" s="112" t="s">
        <v>89</v>
      </c>
      <c r="J928" s="112" t="s">
        <v>89</v>
      </c>
      <c r="K928" s="112" t="s">
        <v>89</v>
      </c>
      <c r="L928" s="110" t="s">
        <v>149</v>
      </c>
    </row>
    <row r="929" spans="1:31" ht="12" customHeight="1" outlineLevel="3" x14ac:dyDescent="0.25">
      <c r="A929" s="374"/>
      <c r="B929" s="385"/>
      <c r="C929" s="377"/>
      <c r="G929" s="40" t="s">
        <v>89</v>
      </c>
      <c r="H929" s="40" t="s">
        <v>89</v>
      </c>
      <c r="I929" s="40" t="s">
        <v>89</v>
      </c>
      <c r="J929" s="40" t="s">
        <v>89</v>
      </c>
      <c r="K929" s="40" t="s">
        <v>752</v>
      </c>
      <c r="L929" s="38" t="s">
        <v>125</v>
      </c>
      <c r="M929" s="85">
        <f>O929</f>
        <v>1.63</v>
      </c>
      <c r="O929" s="11">
        <f>CHOOSE(swtchPSA, S929, AB929)</f>
        <v>1.63</v>
      </c>
      <c r="S929" s="39">
        <v>1.63</v>
      </c>
      <c r="T929" s="18"/>
      <c r="U929" s="22">
        <f>(LN(X929)-LN(V929)) / 2/ _xlfn.NORM.S.INV(0.975)</f>
        <v>0.14925036625622959</v>
      </c>
      <c r="V929" s="39">
        <v>1.22</v>
      </c>
      <c r="W929" s="18"/>
      <c r="X929" s="39">
        <v>2.19</v>
      </c>
      <c r="Y929" s="32" t="s">
        <v>733</v>
      </c>
      <c r="AA929" s="19">
        <f ca="1">RAND()</f>
        <v>0.49779912221303069</v>
      </c>
      <c r="AB929" s="37">
        <f ca="1">_xlfn.LOGNORM.INV(AA929, AD929, AE929)</f>
        <v>1.6286584332358423</v>
      </c>
      <c r="AC929" s="20" t="s">
        <v>20</v>
      </c>
      <c r="AD929" s="27">
        <f>LN(S929)</f>
        <v>0.48858001481867092</v>
      </c>
      <c r="AE929" s="26">
        <f>U929</f>
        <v>0.14925036625622959</v>
      </c>
    </row>
    <row r="930" spans="1:31" ht="12" customHeight="1" outlineLevel="3" x14ac:dyDescent="0.25">
      <c r="A930" s="374"/>
      <c r="B930" s="385"/>
      <c r="C930" s="377"/>
      <c r="G930" s="40" t="s">
        <v>89</v>
      </c>
      <c r="H930" s="40" t="s">
        <v>89</v>
      </c>
      <c r="I930" s="40" t="s">
        <v>89</v>
      </c>
      <c r="J930" s="40" t="s">
        <v>89</v>
      </c>
      <c r="K930" s="40" t="s">
        <v>89</v>
      </c>
      <c r="L930" s="38" t="s">
        <v>147</v>
      </c>
    </row>
    <row r="931" spans="1:31" ht="12" customHeight="1" outlineLevel="3" x14ac:dyDescent="0.25">
      <c r="A931" s="374"/>
      <c r="B931" s="385"/>
      <c r="C931" s="377"/>
      <c r="D931" s="40">
        <v>70</v>
      </c>
      <c r="E931">
        <f>D931+4</f>
        <v>74</v>
      </c>
      <c r="G931" s="40" t="s">
        <v>89</v>
      </c>
      <c r="H931" s="40" t="s">
        <v>89</v>
      </c>
      <c r="I931" s="40" t="s">
        <v>89</v>
      </c>
      <c r="J931" s="40" t="s">
        <v>89</v>
      </c>
      <c r="K931" s="40" t="s">
        <v>752</v>
      </c>
      <c r="L931" s="151" t="str">
        <f>D931&amp;"-"&amp;E931</f>
        <v>70-74</v>
      </c>
      <c r="M931" s="85">
        <f>O931</f>
        <v>1.7</v>
      </c>
      <c r="O931" s="167">
        <f>CHOOSE(swtchPSA, S931, AB931)</f>
        <v>1.7</v>
      </c>
      <c r="S931" s="39">
        <v>1.7</v>
      </c>
      <c r="T931" s="18"/>
      <c r="U931" s="22">
        <f>(LN(X931)-LN(V931)) / 2/ _xlfn.NORM.S.INV(0.975)</f>
        <v>0.20437513774316737</v>
      </c>
      <c r="V931" s="39">
        <v>1.1399999999999999</v>
      </c>
      <c r="W931" s="167"/>
      <c r="X931" s="39">
        <v>2.54</v>
      </c>
      <c r="Y931" s="15" t="s">
        <v>277</v>
      </c>
      <c r="AA931" s="19">
        <f ca="1">RAND()</f>
        <v>2.2000385305671499E-2</v>
      </c>
      <c r="AB931" s="37">
        <f ca="1">_xlfn.LOGNORM.INV(AA931, AD931, AE931)</f>
        <v>1.1263695401374207</v>
      </c>
      <c r="AC931" s="20" t="s">
        <v>20</v>
      </c>
      <c r="AD931" s="27">
        <f>LN(S931)</f>
        <v>0.53062825106217038</v>
      </c>
      <c r="AE931" s="26">
        <f>U931</f>
        <v>0.20437513774316737</v>
      </c>
    </row>
    <row r="932" spans="1:31" ht="12" customHeight="1" outlineLevel="3" x14ac:dyDescent="0.25">
      <c r="A932" s="374"/>
      <c r="B932" s="385"/>
      <c r="C932" s="377"/>
      <c r="D932" s="40">
        <f t="shared" ref="D932:E934" si="136">D931+5</f>
        <v>75</v>
      </c>
      <c r="E932">
        <f t="shared" si="136"/>
        <v>79</v>
      </c>
      <c r="G932" s="40" t="s">
        <v>89</v>
      </c>
      <c r="H932" s="40" t="s">
        <v>89</v>
      </c>
      <c r="I932" s="40" t="s">
        <v>89</v>
      </c>
      <c r="J932" s="40" t="s">
        <v>89</v>
      </c>
      <c r="K932" s="40" t="s">
        <v>752</v>
      </c>
      <c r="L932" s="151" t="str">
        <f>D932&amp;"-"&amp;E932</f>
        <v>75-79</v>
      </c>
      <c r="M932" s="85">
        <f>O932</f>
        <v>1.92</v>
      </c>
      <c r="O932" s="167">
        <f>CHOOSE(swtchPSA, S932, AB932)</f>
        <v>1.92</v>
      </c>
      <c r="S932" s="39">
        <v>1.92</v>
      </c>
      <c r="T932" s="18"/>
      <c r="U932" s="22">
        <f>(LN(X932)-LN(V932)) / 2/ _xlfn.NORM.S.INV(0.975)</f>
        <v>0.16460911984741222</v>
      </c>
      <c r="V932" s="39">
        <v>1.39</v>
      </c>
      <c r="W932" s="167"/>
      <c r="X932" s="39">
        <v>2.65</v>
      </c>
      <c r="Y932" s="15" t="s">
        <v>277</v>
      </c>
      <c r="AA932" s="19">
        <f ca="1">RAND()</f>
        <v>0.40811396889130469</v>
      </c>
      <c r="AB932" s="37">
        <f ca="1">_xlfn.LOGNORM.INV(AA932, AD932, AE932)</f>
        <v>1.8479374983311267</v>
      </c>
      <c r="AC932" s="20" t="s">
        <v>20</v>
      </c>
      <c r="AD932" s="27">
        <f>LN(S932)</f>
        <v>0.65232518603969014</v>
      </c>
      <c r="AE932" s="26">
        <f>U932</f>
        <v>0.16460911984741222</v>
      </c>
    </row>
    <row r="933" spans="1:31" ht="12" customHeight="1" outlineLevel="3" x14ac:dyDescent="0.25">
      <c r="A933" s="374"/>
      <c r="B933" s="385"/>
      <c r="C933" s="377"/>
      <c r="D933" s="40">
        <f t="shared" si="136"/>
        <v>80</v>
      </c>
      <c r="E933">
        <f t="shared" si="136"/>
        <v>84</v>
      </c>
      <c r="G933" s="40" t="s">
        <v>89</v>
      </c>
      <c r="H933" s="40" t="s">
        <v>89</v>
      </c>
      <c r="I933" s="40" t="s">
        <v>89</v>
      </c>
      <c r="J933" s="40" t="s">
        <v>89</v>
      </c>
      <c r="K933" s="40" t="s">
        <v>752</v>
      </c>
      <c r="L933" s="151" t="str">
        <f>D933&amp;"-"&amp;E933</f>
        <v>80-84</v>
      </c>
      <c r="M933" s="85">
        <f>O933</f>
        <v>2.21</v>
      </c>
      <c r="O933" s="167">
        <f>CHOOSE(swtchPSA, S933, AB933)</f>
        <v>2.21</v>
      </c>
      <c r="S933" s="39">
        <v>2.21</v>
      </c>
      <c r="T933" s="18"/>
      <c r="U933" s="22">
        <f>(LN(X933)-LN(V933)) / 2/ _xlfn.NORM.S.INV(0.975)</f>
        <v>0.16131123977599388</v>
      </c>
      <c r="V933" s="39">
        <v>1.61</v>
      </c>
      <c r="W933" s="167"/>
      <c r="X933" s="39">
        <v>3.03</v>
      </c>
      <c r="Y933" s="15" t="s">
        <v>277</v>
      </c>
      <c r="AA933" s="19">
        <f ca="1">RAND()</f>
        <v>0.26554901609226467</v>
      </c>
      <c r="AB933" s="37">
        <f ca="1">_xlfn.LOGNORM.INV(AA933, AD933, AE933)</f>
        <v>1.9976237086428206</v>
      </c>
      <c r="AC933" s="20" t="s">
        <v>20</v>
      </c>
      <c r="AD933" s="27">
        <f>LN(S933)</f>
        <v>0.79299251552966143</v>
      </c>
      <c r="AE933" s="26">
        <f>U933</f>
        <v>0.16131123977599388</v>
      </c>
    </row>
    <row r="934" spans="1:31" ht="12" customHeight="1" outlineLevel="3" x14ac:dyDescent="0.25">
      <c r="A934" s="374"/>
      <c r="B934" s="385"/>
      <c r="C934" s="377"/>
      <c r="D934" s="40">
        <f t="shared" si="136"/>
        <v>85</v>
      </c>
      <c r="E934">
        <f t="shared" si="136"/>
        <v>89</v>
      </c>
      <c r="G934" s="40" t="s">
        <v>89</v>
      </c>
      <c r="H934" s="40" t="s">
        <v>89</v>
      </c>
      <c r="I934" s="40" t="s">
        <v>89</v>
      </c>
      <c r="J934" s="40" t="s">
        <v>89</v>
      </c>
      <c r="K934" s="40" t="s">
        <v>752</v>
      </c>
      <c r="L934" s="151" t="str">
        <f>D934&amp;"-"&amp;E934</f>
        <v>85-89</v>
      </c>
      <c r="M934" s="85">
        <f>O934</f>
        <v>1.94</v>
      </c>
      <c r="O934" s="167">
        <f>CHOOSE(swtchPSA, S934, AB934)</f>
        <v>1.94</v>
      </c>
      <c r="S934" s="39">
        <v>1.94</v>
      </c>
      <c r="T934" s="18"/>
      <c r="U934" s="22">
        <f>(LN(X934)-LN(V934)) / 2/ _xlfn.NORM.S.INV(0.975)</f>
        <v>0.18335610588211318</v>
      </c>
      <c r="V934" s="39">
        <v>1.35</v>
      </c>
      <c r="W934" s="167"/>
      <c r="X934" s="39">
        <v>2.77</v>
      </c>
      <c r="Y934" s="15" t="s">
        <v>277</v>
      </c>
      <c r="AA934" s="19">
        <f ca="1">RAND()</f>
        <v>0.12663685757886189</v>
      </c>
      <c r="AB934" s="37">
        <f ca="1">_xlfn.LOGNORM.INV(AA934, AD934, AE934)</f>
        <v>1.5733635961465573</v>
      </c>
      <c r="AC934" s="20" t="s">
        <v>20</v>
      </c>
      <c r="AD934" s="27">
        <f>LN(S934)</f>
        <v>0.66268797307523675</v>
      </c>
      <c r="AE934" s="26">
        <f>U934</f>
        <v>0.18335610588211318</v>
      </c>
    </row>
    <row r="935" spans="1:31" ht="12" customHeight="1" outlineLevel="3" x14ac:dyDescent="0.25">
      <c r="A935" s="374"/>
      <c r="B935" s="385"/>
      <c r="C935" s="377"/>
      <c r="G935" s="40" t="s">
        <v>89</v>
      </c>
      <c r="H935" s="40" t="s">
        <v>89</v>
      </c>
      <c r="I935" s="40" t="s">
        <v>89</v>
      </c>
      <c r="J935" s="40" t="s">
        <v>89</v>
      </c>
      <c r="K935" s="40" t="s">
        <v>89</v>
      </c>
      <c r="L935" s="38" t="s">
        <v>238</v>
      </c>
    </row>
    <row r="936" spans="1:31" ht="12" customHeight="1" outlineLevel="3" x14ac:dyDescent="0.25">
      <c r="A936" s="374"/>
      <c r="B936" s="385"/>
      <c r="C936" s="377"/>
      <c r="D936" s="40">
        <v>70</v>
      </c>
      <c r="E936">
        <f>D936+4</f>
        <v>74</v>
      </c>
      <c r="G936" s="40" t="s">
        <v>89</v>
      </c>
      <c r="H936" s="40" t="s">
        <v>89</v>
      </c>
      <c r="I936" s="40" t="s">
        <v>89</v>
      </c>
      <c r="J936" s="40" t="s">
        <v>89</v>
      </c>
      <c r="K936" s="40" t="s">
        <v>752</v>
      </c>
      <c r="L936" s="151" t="str">
        <f>D936&amp;"-"&amp;E936</f>
        <v>70-74</v>
      </c>
      <c r="M936" s="142">
        <f>O936</f>
        <v>1</v>
      </c>
      <c r="N936" s="77"/>
      <c r="O936" s="103">
        <f>$M931/$M$931</f>
        <v>1</v>
      </c>
    </row>
    <row r="937" spans="1:31" ht="12" customHeight="1" outlineLevel="3" x14ac:dyDescent="0.25">
      <c r="A937" s="374"/>
      <c r="B937" s="385"/>
      <c r="C937" s="377"/>
      <c r="D937" s="40">
        <f t="shared" ref="D937:E939" si="137">D936+5</f>
        <v>75</v>
      </c>
      <c r="E937">
        <f t="shared" si="137"/>
        <v>79</v>
      </c>
      <c r="G937" s="40" t="s">
        <v>89</v>
      </c>
      <c r="H937" s="40" t="s">
        <v>89</v>
      </c>
      <c r="I937" s="40" t="s">
        <v>89</v>
      </c>
      <c r="J937" s="40" t="s">
        <v>89</v>
      </c>
      <c r="K937" s="40" t="s">
        <v>752</v>
      </c>
      <c r="L937" s="151" t="str">
        <f>D937&amp;"-"&amp;E937</f>
        <v>75-79</v>
      </c>
      <c r="M937" s="142">
        <f>O937</f>
        <v>1.1294117647058823</v>
      </c>
      <c r="N937" s="77"/>
      <c r="O937" s="103">
        <f>$M932/$M$931</f>
        <v>1.1294117647058823</v>
      </c>
    </row>
    <row r="938" spans="1:31" ht="12" customHeight="1" outlineLevel="3" x14ac:dyDescent="0.25">
      <c r="A938" s="374"/>
      <c r="B938" s="385"/>
      <c r="C938" s="377"/>
      <c r="D938" s="40">
        <f t="shared" si="137"/>
        <v>80</v>
      </c>
      <c r="E938">
        <f t="shared" si="137"/>
        <v>84</v>
      </c>
      <c r="G938" s="40" t="s">
        <v>89</v>
      </c>
      <c r="H938" s="40" t="s">
        <v>89</v>
      </c>
      <c r="I938" s="40" t="s">
        <v>89</v>
      </c>
      <c r="J938" s="40" t="s">
        <v>89</v>
      </c>
      <c r="K938" s="40" t="s">
        <v>752</v>
      </c>
      <c r="L938" s="151" t="str">
        <f>D938&amp;"-"&amp;E938</f>
        <v>80-84</v>
      </c>
      <c r="M938" s="142">
        <f>O938</f>
        <v>1.3</v>
      </c>
      <c r="N938" s="77"/>
      <c r="O938" s="103">
        <f>$M933/$M$931</f>
        <v>1.3</v>
      </c>
    </row>
    <row r="939" spans="1:31" ht="12" customHeight="1" outlineLevel="3" x14ac:dyDescent="0.25">
      <c r="A939" s="374"/>
      <c r="B939" s="385"/>
      <c r="C939" s="377"/>
      <c r="D939" s="40">
        <f t="shared" si="137"/>
        <v>85</v>
      </c>
      <c r="E939">
        <f t="shared" si="137"/>
        <v>89</v>
      </c>
      <c r="G939" s="40" t="s">
        <v>89</v>
      </c>
      <c r="H939" s="40" t="s">
        <v>89</v>
      </c>
      <c r="I939" s="40" t="s">
        <v>89</v>
      </c>
      <c r="J939" s="40" t="s">
        <v>89</v>
      </c>
      <c r="K939" s="40" t="s">
        <v>752</v>
      </c>
      <c r="L939" s="151" t="str">
        <f>D939&amp;"-"&amp;E939</f>
        <v>85-89</v>
      </c>
      <c r="M939" s="142">
        <f>O939</f>
        <v>1.1411764705882352</v>
      </c>
      <c r="N939" s="77"/>
      <c r="O939" s="103">
        <f>$M934/$M$931</f>
        <v>1.1411764705882352</v>
      </c>
    </row>
    <row r="940" spans="1:31" ht="12" customHeight="1" outlineLevel="3" x14ac:dyDescent="0.25">
      <c r="A940" s="374"/>
      <c r="B940" s="385"/>
      <c r="C940" s="377"/>
      <c r="G940" s="40" t="s">
        <v>89</v>
      </c>
      <c r="H940" s="40" t="s">
        <v>89</v>
      </c>
      <c r="I940" s="40" t="s">
        <v>89</v>
      </c>
      <c r="J940" s="40" t="s">
        <v>89</v>
      </c>
      <c r="K940" s="40" t="s">
        <v>89</v>
      </c>
      <c r="L940" s="38" t="s">
        <v>282</v>
      </c>
    </row>
    <row r="941" spans="1:31" ht="12" customHeight="1" outlineLevel="3" x14ac:dyDescent="0.25">
      <c r="A941" s="374"/>
      <c r="B941" s="385"/>
      <c r="C941" s="377"/>
      <c r="D941" s="40">
        <v>70</v>
      </c>
      <c r="E941">
        <f>D941+4</f>
        <v>74</v>
      </c>
      <c r="G941" s="40" t="s">
        <v>89</v>
      </c>
      <c r="H941" s="40" t="s">
        <v>89</v>
      </c>
      <c r="I941" s="40" t="s">
        <v>89</v>
      </c>
      <c r="J941" s="40" t="s">
        <v>89</v>
      </c>
      <c r="K941" s="40" t="s">
        <v>752</v>
      </c>
      <c r="L941" s="151" t="str">
        <f>D941&amp;"-"&amp;E941</f>
        <v>70-74</v>
      </c>
      <c r="M941" s="142">
        <f>O941</f>
        <v>1.63</v>
      </c>
      <c r="N941" s="77"/>
      <c r="O941" s="103">
        <f>$M$929*M936</f>
        <v>1.63</v>
      </c>
    </row>
    <row r="942" spans="1:31" ht="12" customHeight="1" outlineLevel="3" x14ac:dyDescent="0.25">
      <c r="A942" s="374"/>
      <c r="B942" s="385"/>
      <c r="C942" s="377"/>
      <c r="D942" s="40">
        <f t="shared" ref="D942:E944" si="138">D941+5</f>
        <v>75</v>
      </c>
      <c r="E942">
        <f t="shared" si="138"/>
        <v>79</v>
      </c>
      <c r="G942" s="40" t="s">
        <v>89</v>
      </c>
      <c r="H942" s="40" t="s">
        <v>89</v>
      </c>
      <c r="I942" s="40" t="s">
        <v>89</v>
      </c>
      <c r="J942" s="40" t="s">
        <v>89</v>
      </c>
      <c r="K942" s="40" t="s">
        <v>752</v>
      </c>
      <c r="L942" s="151" t="str">
        <f>D942&amp;"-"&amp;E942</f>
        <v>75-79</v>
      </c>
      <c r="M942" s="142">
        <f>O942</f>
        <v>1.8409411764705881</v>
      </c>
      <c r="N942" s="77"/>
      <c r="O942" s="103">
        <f>$M$929*M937</f>
        <v>1.8409411764705881</v>
      </c>
    </row>
    <row r="943" spans="1:31" ht="12" customHeight="1" outlineLevel="3" x14ac:dyDescent="0.25">
      <c r="A943" s="374"/>
      <c r="B943" s="385"/>
      <c r="C943" s="377"/>
      <c r="D943" s="40">
        <f t="shared" si="138"/>
        <v>80</v>
      </c>
      <c r="E943">
        <f t="shared" si="138"/>
        <v>84</v>
      </c>
      <c r="G943" s="40" t="s">
        <v>89</v>
      </c>
      <c r="H943" s="40" t="s">
        <v>89</v>
      </c>
      <c r="I943" s="40" t="s">
        <v>89</v>
      </c>
      <c r="J943" s="40" t="s">
        <v>89</v>
      </c>
      <c r="K943" s="40" t="s">
        <v>752</v>
      </c>
      <c r="L943" s="151" t="str">
        <f>D943&amp;"-"&amp;E943</f>
        <v>80-84</v>
      </c>
      <c r="M943" s="142">
        <f>O943</f>
        <v>2.1189999999999998</v>
      </c>
      <c r="N943" s="77"/>
      <c r="O943" s="103">
        <f>$M$929*M938</f>
        <v>2.1189999999999998</v>
      </c>
    </row>
    <row r="944" spans="1:31" ht="12" customHeight="1" outlineLevel="3" thickBot="1" x14ac:dyDescent="0.3">
      <c r="A944" s="374"/>
      <c r="B944" s="385"/>
      <c r="C944" s="377"/>
      <c r="D944" s="40">
        <f t="shared" si="138"/>
        <v>85</v>
      </c>
      <c r="E944">
        <f t="shared" si="138"/>
        <v>89</v>
      </c>
      <c r="G944" s="40" t="s">
        <v>89</v>
      </c>
      <c r="H944" s="40" t="s">
        <v>89</v>
      </c>
      <c r="I944" s="40" t="s">
        <v>89</v>
      </c>
      <c r="J944" s="40" t="s">
        <v>89</v>
      </c>
      <c r="K944" s="40" t="s">
        <v>752</v>
      </c>
      <c r="L944" s="151" t="str">
        <f>D944&amp;"-"&amp;E944</f>
        <v>85-89</v>
      </c>
      <c r="M944" s="142">
        <f>O944</f>
        <v>1.8601176470588232</v>
      </c>
      <c r="N944" s="77"/>
      <c r="O944" s="103">
        <f>$M$929*M939</f>
        <v>1.8601176470588232</v>
      </c>
    </row>
    <row r="945" spans="1:31" s="13" customFormat="1" ht="12" customHeight="1" outlineLevel="1" thickBot="1" x14ac:dyDescent="0.3">
      <c r="A945" s="374"/>
      <c r="B945" s="385"/>
      <c r="C945" s="377"/>
      <c r="D945" s="196"/>
      <c r="E945" s="179"/>
      <c r="F945" s="179"/>
      <c r="G945" s="196" t="s">
        <v>89</v>
      </c>
      <c r="H945" s="196" t="s">
        <v>89</v>
      </c>
      <c r="I945" s="196" t="s">
        <v>89</v>
      </c>
      <c r="J945" s="196" t="s">
        <v>89</v>
      </c>
      <c r="K945" s="196" t="s">
        <v>89</v>
      </c>
      <c r="L945" s="13" t="s">
        <v>39</v>
      </c>
      <c r="M945" s="25"/>
      <c r="O945" s="25"/>
      <c r="AB945" s="25"/>
    </row>
    <row r="946" spans="1:31" s="110" customFormat="1" ht="12" customHeight="1" outlineLevel="2" thickBot="1" x14ac:dyDescent="0.3">
      <c r="A946" s="374"/>
      <c r="B946" s="385"/>
      <c r="C946" s="377"/>
      <c r="D946" s="112"/>
      <c r="G946" s="112" t="s">
        <v>89</v>
      </c>
      <c r="H946" s="112" t="s">
        <v>89</v>
      </c>
      <c r="I946" s="112" t="s">
        <v>89</v>
      </c>
      <c r="J946" s="112" t="s">
        <v>89</v>
      </c>
      <c r="K946" s="112" t="s">
        <v>89</v>
      </c>
      <c r="L946" s="110" t="s">
        <v>209</v>
      </c>
    </row>
    <row r="947" spans="1:31" ht="12" customHeight="1" outlineLevel="3" x14ac:dyDescent="0.25">
      <c r="A947" s="374"/>
      <c r="B947" s="385"/>
      <c r="C947" s="377"/>
      <c r="G947" s="40" t="s">
        <v>89</v>
      </c>
      <c r="H947" s="40" t="s">
        <v>89</v>
      </c>
      <c r="I947" s="40" t="s">
        <v>89</v>
      </c>
      <c r="J947" s="40" t="s">
        <v>89</v>
      </c>
      <c r="K947" s="40" t="s">
        <v>89</v>
      </c>
      <c r="L947" s="38" t="s">
        <v>263</v>
      </c>
      <c r="M947"/>
      <c r="O947"/>
      <c r="AB947"/>
    </row>
    <row r="948" spans="1:31" ht="12" customHeight="1" outlineLevel="3" x14ac:dyDescent="0.25">
      <c r="A948" s="374"/>
      <c r="B948" s="385"/>
      <c r="C948" s="377"/>
      <c r="G948" s="40" t="s">
        <v>89</v>
      </c>
      <c r="H948" s="40" t="s">
        <v>89</v>
      </c>
      <c r="I948" s="40" t="s">
        <v>89</v>
      </c>
      <c r="J948" s="40" t="s">
        <v>89</v>
      </c>
      <c r="K948" s="40" t="s">
        <v>752</v>
      </c>
      <c r="L948" s="104" t="s">
        <v>256</v>
      </c>
      <c r="M948" s="174">
        <f>O948</f>
        <v>6.3308266666666668</v>
      </c>
      <c r="O948" s="52" cm="1">
        <f t="array" ref="O948">c.NSAID.PerMo_Cel*12*C.cycleLength</f>
        <v>6.3308266666666668</v>
      </c>
      <c r="AB948"/>
    </row>
    <row r="949" spans="1:31" ht="12" customHeight="1" outlineLevel="3" x14ac:dyDescent="0.25">
      <c r="A949" s="374"/>
      <c r="B949" s="385"/>
      <c r="C949" s="377"/>
      <c r="G949" s="40" t="s">
        <v>89</v>
      </c>
      <c r="H949" s="40" t="s">
        <v>89</v>
      </c>
      <c r="I949" s="40" t="s">
        <v>89</v>
      </c>
      <c r="J949" s="40" t="s">
        <v>89</v>
      </c>
      <c r="K949" s="40" t="s">
        <v>752</v>
      </c>
      <c r="L949" s="104" t="s">
        <v>254</v>
      </c>
      <c r="M949" s="174">
        <f>O949</f>
        <v>9.3918857142857153</v>
      </c>
      <c r="O949" s="52" cm="1">
        <f t="array" ref="O949">c.NSAID.PerMo_Dic*12*C.cycleLength</f>
        <v>9.3918857142857153</v>
      </c>
      <c r="AB949"/>
    </row>
    <row r="950" spans="1:31" ht="12" customHeight="1" outlineLevel="3" x14ac:dyDescent="0.25">
      <c r="A950" s="374"/>
      <c r="B950" s="385"/>
      <c r="C950" s="377"/>
      <c r="G950" s="40" t="s">
        <v>89</v>
      </c>
      <c r="H950" s="40" t="s">
        <v>89</v>
      </c>
      <c r="I950" s="40" t="s">
        <v>89</v>
      </c>
      <c r="J950" s="40" t="s">
        <v>89</v>
      </c>
      <c r="K950" s="40" t="s">
        <v>752</v>
      </c>
      <c r="L950" s="104" t="s">
        <v>252</v>
      </c>
      <c r="M950" s="174">
        <f>O950</f>
        <v>25.012417857142857</v>
      </c>
      <c r="O950" s="52" cm="1">
        <f t="array" ref="O950">c.NSAID.PerMo_Ibu*12*C.cycleLength</f>
        <v>25.012417857142857</v>
      </c>
      <c r="AB950"/>
    </row>
    <row r="951" spans="1:31" ht="12" customHeight="1" outlineLevel="3" x14ac:dyDescent="0.25">
      <c r="A951" s="374"/>
      <c r="B951" s="385"/>
      <c r="C951" s="377"/>
      <c r="G951" s="40" t="s">
        <v>89</v>
      </c>
      <c r="H951" s="40" t="s">
        <v>89</v>
      </c>
      <c r="I951" s="40" t="s">
        <v>89</v>
      </c>
      <c r="J951" s="40" t="s">
        <v>89</v>
      </c>
      <c r="K951" s="40" t="s">
        <v>752</v>
      </c>
      <c r="L951" s="104" t="s">
        <v>644</v>
      </c>
      <c r="M951" s="174">
        <f>O951</f>
        <v>7.6635178571428577</v>
      </c>
      <c r="O951" s="52" cm="1">
        <f t="array" ref="O951">c.NSAID.PerMo_Nap*12*C.cycleLength</f>
        <v>7.6635178571428577</v>
      </c>
      <c r="AB951"/>
    </row>
    <row r="952" spans="1:31" ht="12" customHeight="1" outlineLevel="3" x14ac:dyDescent="0.25">
      <c r="A952" s="374"/>
      <c r="B952" s="385"/>
      <c r="C952" s="377"/>
      <c r="G952" s="40" t="s">
        <v>89</v>
      </c>
      <c r="H952" s="40" t="s">
        <v>89</v>
      </c>
      <c r="I952" s="40" t="s">
        <v>89</v>
      </c>
      <c r="J952" s="40" t="s">
        <v>89</v>
      </c>
      <c r="K952" s="40" t="s">
        <v>752</v>
      </c>
      <c r="L952" s="104" t="s">
        <v>266</v>
      </c>
      <c r="M952" s="174">
        <f>O952</f>
        <v>7.6635178571428577</v>
      </c>
      <c r="N952" s="15" t="s">
        <v>827</v>
      </c>
      <c r="O952" s="52">
        <f>CHOOSE(swtchNSAIDsWhich, M951, SUM(M951*M1083, M950*M1084) / SUM(M1083:M1084), SUMPRODUCT(M1081:M1084,M948:M951))</f>
        <v>7.6635178571428577</v>
      </c>
      <c r="T952" s="18"/>
      <c r="AB952"/>
    </row>
    <row r="953" spans="1:31" ht="12" customHeight="1" outlineLevel="3" x14ac:dyDescent="0.25">
      <c r="A953" s="374"/>
      <c r="B953" s="385"/>
      <c r="C953" s="377"/>
      <c r="G953" s="40" t="s">
        <v>89</v>
      </c>
      <c r="H953" s="40" t="s">
        <v>89</v>
      </c>
      <c r="I953" s="40" t="s">
        <v>89</v>
      </c>
      <c r="J953" s="40" t="s">
        <v>89</v>
      </c>
      <c r="K953" s="40" t="s">
        <v>89</v>
      </c>
      <c r="L953" s="38" t="s">
        <v>267</v>
      </c>
      <c r="M953"/>
      <c r="O953"/>
      <c r="AB953"/>
    </row>
    <row r="954" spans="1:31" ht="12" customHeight="1" outlineLevel="3" x14ac:dyDescent="0.25">
      <c r="A954" s="374"/>
      <c r="B954" s="385"/>
      <c r="C954" s="377"/>
      <c r="G954" s="40" t="s">
        <v>89</v>
      </c>
      <c r="H954" s="40" t="s">
        <v>89</v>
      </c>
      <c r="I954" s="40" t="s">
        <v>89</v>
      </c>
      <c r="J954" s="40" t="s">
        <v>89</v>
      </c>
      <c r="K954" s="40" t="s">
        <v>752</v>
      </c>
      <c r="L954" s="104" t="s">
        <v>268</v>
      </c>
      <c r="M954" s="174">
        <f>O954</f>
        <v>16.764516</v>
      </c>
      <c r="N954" s="15" t="s">
        <v>828</v>
      </c>
      <c r="O954" s="52" cm="1">
        <f t="array" ref="O954">c.Paracet.PerMo*12*C.cycleLength</f>
        <v>16.764516</v>
      </c>
      <c r="AB954"/>
    </row>
    <row r="955" spans="1:31" ht="12" customHeight="1" outlineLevel="3" x14ac:dyDescent="0.25">
      <c r="A955" s="374"/>
      <c r="B955" s="385"/>
      <c r="C955" s="377"/>
      <c r="G955" s="40" t="s">
        <v>89</v>
      </c>
      <c r="H955" s="40" t="s">
        <v>89</v>
      </c>
      <c r="I955" s="40" t="s">
        <v>89</v>
      </c>
      <c r="J955" s="40" t="s">
        <v>89</v>
      </c>
      <c r="K955" s="40" t="s">
        <v>752</v>
      </c>
      <c r="L955" s="76" t="s">
        <v>703</v>
      </c>
      <c r="M955" s="48">
        <f>O955</f>
        <v>3.6735955127400599</v>
      </c>
      <c r="O955" s="52">
        <f>CHOOSE(swtchPSA, S955, AB955)</f>
        <v>3.6735955127400599</v>
      </c>
      <c r="S955" s="180">
        <v>3.6735955127400599</v>
      </c>
      <c r="U955" s="266">
        <f>ABS(S955)*Cost.SEs.CoV</f>
        <v>0.73471910254801198</v>
      </c>
      <c r="V955" s="51">
        <f>_xlfn.GAMMA.INV(0.025, AD955, AE955)</f>
        <v>2.3773573215293946</v>
      </c>
      <c r="W955" s="49"/>
      <c r="X955" s="51">
        <f>_xlfn.GAMMA.INV(0.975, AD955, AE955)</f>
        <v>5.2473781711968561</v>
      </c>
      <c r="Y955" s="258" t="s">
        <v>697</v>
      </c>
      <c r="AA955" s="19">
        <f ca="1">RAND()</f>
        <v>0.14532629235768746</v>
      </c>
      <c r="AB955" s="47">
        <f ca="1">_xlfn.GAMMA.INV(AA955,AD955,AE955)</f>
        <v>2.9080471664412704</v>
      </c>
      <c r="AC955" s="15" t="s">
        <v>38</v>
      </c>
      <c r="AD955" s="54">
        <f>S955^2/U955^2</f>
        <v>25</v>
      </c>
      <c r="AE955" s="55">
        <f>U955^2/S955</f>
        <v>0.14694382050960239</v>
      </c>
    </row>
    <row r="956" spans="1:31" ht="12" customHeight="1" outlineLevel="3" x14ac:dyDescent="0.25">
      <c r="A956" s="374"/>
      <c r="B956" s="385"/>
      <c r="C956" s="377"/>
      <c r="G956" s="40" t="s">
        <v>89</v>
      </c>
      <c r="H956" s="40" t="s">
        <v>89</v>
      </c>
      <c r="I956" s="40" t="s">
        <v>89</v>
      </c>
      <c r="J956" s="40" t="s">
        <v>89</v>
      </c>
      <c r="K956" s="40" t="s">
        <v>752</v>
      </c>
      <c r="L956" s="104" t="s">
        <v>696</v>
      </c>
      <c r="M956" s="174">
        <f>O956</f>
        <v>3.7867422545324536</v>
      </c>
      <c r="N956" s="49"/>
      <c r="O956" s="52" cm="1">
        <f t="array" ref="O956">_fnINFLATE(M955, 2019, 2020)</f>
        <v>3.7867422545324536</v>
      </c>
      <c r="P956" s="52"/>
      <c r="T956" s="18"/>
      <c r="V956" s="99" cm="1">
        <f t="array" ref="V956">_fnINFLATE(V955, 2019, 2020)</f>
        <v>2.4505799270324999</v>
      </c>
      <c r="X956" s="99" cm="1">
        <f t="array" ref="X956">_fnINFLATE(X955, 2019, 2020)</f>
        <v>5.4089974188697187</v>
      </c>
      <c r="AB956"/>
    </row>
    <row r="957" spans="1:31" ht="12" customHeight="1" outlineLevel="3" x14ac:dyDescent="0.25">
      <c r="A957" s="374"/>
      <c r="B957" s="385"/>
      <c r="C957" s="377"/>
      <c r="G957" s="40" t="s">
        <v>89</v>
      </c>
      <c r="H957" s="40" t="s">
        <v>89</v>
      </c>
      <c r="I957" s="40" t="s">
        <v>89</v>
      </c>
      <c r="J957" s="40" t="s">
        <v>89</v>
      </c>
      <c r="K957" s="40" t="s">
        <v>89</v>
      </c>
      <c r="L957" s="10" t="s">
        <v>221</v>
      </c>
    </row>
    <row r="958" spans="1:31" ht="12" customHeight="1" outlineLevel="3" x14ac:dyDescent="0.25">
      <c r="A958" s="374"/>
      <c r="B958" s="385"/>
      <c r="C958" s="377"/>
      <c r="G958" s="40" t="s">
        <v>89</v>
      </c>
      <c r="H958" s="40" t="s">
        <v>89</v>
      </c>
      <c r="I958" s="40" t="s">
        <v>89</v>
      </c>
      <c r="J958" s="40" t="s">
        <v>89</v>
      </c>
      <c r="K958" s="40" t="s">
        <v>752</v>
      </c>
      <c r="L958" s="151" t="s">
        <v>211</v>
      </c>
      <c r="M958" s="184">
        <f t="shared" ref="M958:M964" si="139">O958</f>
        <v>6357.0589129862801</v>
      </c>
      <c r="O958" s="183">
        <f t="shared" ref="O958:O964" si="140">S958</f>
        <v>6357.0589129862801</v>
      </c>
      <c r="Q958" s="162">
        <v>2351</v>
      </c>
      <c r="S958" s="181">
        <v>6357.0589129862801</v>
      </c>
      <c r="Y958" s="258" t="s">
        <v>697</v>
      </c>
    </row>
    <row r="959" spans="1:31" ht="12" customHeight="1" outlineLevel="3" x14ac:dyDescent="0.25">
      <c r="A959" s="374"/>
      <c r="B959" s="385"/>
      <c r="C959" s="377"/>
      <c r="G959" s="40" t="s">
        <v>89</v>
      </c>
      <c r="H959" s="40" t="s">
        <v>89</v>
      </c>
      <c r="I959" s="40" t="s">
        <v>89</v>
      </c>
      <c r="J959" s="40" t="s">
        <v>89</v>
      </c>
      <c r="K959" s="40" t="s">
        <v>752</v>
      </c>
      <c r="L959" s="151" t="s">
        <v>212</v>
      </c>
      <c r="M959" s="184">
        <f t="shared" si="139"/>
        <v>4836.0336459476603</v>
      </c>
      <c r="O959" s="183">
        <f t="shared" si="140"/>
        <v>4836.0336459476603</v>
      </c>
      <c r="Q959" s="162">
        <v>3531</v>
      </c>
      <c r="S959" s="181">
        <v>4836.0336459476603</v>
      </c>
      <c r="Y959" s="258" t="s">
        <v>697</v>
      </c>
    </row>
    <row r="960" spans="1:31" ht="12" customHeight="1" outlineLevel="3" x14ac:dyDescent="0.25">
      <c r="A960" s="374"/>
      <c r="B960" s="385"/>
      <c r="C960" s="377"/>
      <c r="G960" s="40" t="s">
        <v>89</v>
      </c>
      <c r="H960" s="40" t="s">
        <v>89</v>
      </c>
      <c r="I960" s="40" t="s">
        <v>89</v>
      </c>
      <c r="J960" s="40" t="s">
        <v>89</v>
      </c>
      <c r="K960" s="40" t="s">
        <v>752</v>
      </c>
      <c r="L960" s="151" t="s">
        <v>213</v>
      </c>
      <c r="M960" s="184">
        <f t="shared" si="139"/>
        <v>3866.4753153351498</v>
      </c>
      <c r="O960" s="183">
        <f t="shared" si="140"/>
        <v>3866.4753153351498</v>
      </c>
      <c r="Q960" s="162">
        <v>2529</v>
      </c>
      <c r="S960" s="181">
        <v>3866.4753153351498</v>
      </c>
      <c r="Y960" s="258" t="s">
        <v>697</v>
      </c>
    </row>
    <row r="961" spans="1:31" ht="12" customHeight="1" outlineLevel="3" x14ac:dyDescent="0.25">
      <c r="A961" s="374"/>
      <c r="B961" s="385"/>
      <c r="C961" s="377"/>
      <c r="G961" s="40" t="s">
        <v>89</v>
      </c>
      <c r="H961" s="40" t="s">
        <v>89</v>
      </c>
      <c r="I961" s="40" t="s">
        <v>89</v>
      </c>
      <c r="J961" s="40" t="s">
        <v>89</v>
      </c>
      <c r="K961" s="40" t="s">
        <v>752</v>
      </c>
      <c r="L961" s="151" t="s">
        <v>214</v>
      </c>
      <c r="M961" s="184">
        <f t="shared" si="139"/>
        <v>3803.3345978876901</v>
      </c>
      <c r="O961" s="183">
        <f t="shared" si="140"/>
        <v>3803.3345978876901</v>
      </c>
      <c r="Q961" s="162">
        <v>6304</v>
      </c>
      <c r="S961" s="181">
        <v>3803.3345978876901</v>
      </c>
      <c r="Y961" s="258" t="s">
        <v>697</v>
      </c>
    </row>
    <row r="962" spans="1:31" ht="12" customHeight="1" outlineLevel="3" x14ac:dyDescent="0.25">
      <c r="A962" s="374"/>
      <c r="B962" s="385"/>
      <c r="C962" s="377"/>
      <c r="G962" s="40" t="s">
        <v>89</v>
      </c>
      <c r="H962" s="40" t="s">
        <v>89</v>
      </c>
      <c r="I962" s="40" t="s">
        <v>89</v>
      </c>
      <c r="J962" s="40" t="s">
        <v>89</v>
      </c>
      <c r="K962" s="40" t="s">
        <v>752</v>
      </c>
      <c r="L962" s="151" t="s">
        <v>215</v>
      </c>
      <c r="M962" s="184">
        <f t="shared" si="139"/>
        <v>2986.45190059367</v>
      </c>
      <c r="O962" s="183">
        <f t="shared" si="140"/>
        <v>2986.45190059367</v>
      </c>
      <c r="Q962" s="162">
        <v>12454</v>
      </c>
      <c r="S962" s="181">
        <v>2986.45190059367</v>
      </c>
      <c r="Y962" s="258" t="s">
        <v>697</v>
      </c>
    </row>
    <row r="963" spans="1:31" ht="12" customHeight="1" outlineLevel="3" x14ac:dyDescent="0.25">
      <c r="A963" s="374"/>
      <c r="B963" s="385"/>
      <c r="C963" s="377"/>
      <c r="G963" s="40" t="s">
        <v>89</v>
      </c>
      <c r="H963" s="40" t="s">
        <v>89</v>
      </c>
      <c r="I963" s="40" t="s">
        <v>89</v>
      </c>
      <c r="J963" s="40" t="s">
        <v>89</v>
      </c>
      <c r="K963" s="40" t="s">
        <v>752</v>
      </c>
      <c r="L963" s="151" t="s">
        <v>216</v>
      </c>
      <c r="M963" s="184">
        <f t="shared" si="139"/>
        <v>2434.6247265491002</v>
      </c>
      <c r="O963" s="183">
        <f t="shared" si="140"/>
        <v>2434.6247265491002</v>
      </c>
      <c r="Q963" s="162">
        <v>17525</v>
      </c>
      <c r="S963" s="181">
        <v>2434.6247265491002</v>
      </c>
      <c r="Y963" s="258" t="s">
        <v>697</v>
      </c>
    </row>
    <row r="964" spans="1:31" ht="12" customHeight="1" outlineLevel="3" x14ac:dyDescent="0.25">
      <c r="A964" s="374"/>
      <c r="B964" s="385"/>
      <c r="C964" s="377"/>
      <c r="G964" s="40" t="s">
        <v>89</v>
      </c>
      <c r="H964" s="40" t="s">
        <v>89</v>
      </c>
      <c r="I964" s="40" t="s">
        <v>89</v>
      </c>
      <c r="J964" s="40" t="s">
        <v>89</v>
      </c>
      <c r="K964" s="40" t="s">
        <v>752</v>
      </c>
      <c r="L964" s="151" t="s">
        <v>217</v>
      </c>
      <c r="M964" s="184">
        <f t="shared" si="139"/>
        <v>2040.8191034475401</v>
      </c>
      <c r="O964" s="183">
        <f t="shared" si="140"/>
        <v>2040.8191034475401</v>
      </c>
      <c r="Q964" s="162">
        <v>8584</v>
      </c>
      <c r="S964" s="181">
        <v>2040.8191034475401</v>
      </c>
      <c r="Y964" s="258" t="s">
        <v>697</v>
      </c>
    </row>
    <row r="965" spans="1:31" ht="12" customHeight="1" outlineLevel="3" x14ac:dyDescent="0.25">
      <c r="A965" s="374"/>
      <c r="B965" s="385"/>
      <c r="C965" s="377"/>
      <c r="G965" s="40" t="s">
        <v>89</v>
      </c>
      <c r="H965" s="40" t="s">
        <v>89</v>
      </c>
      <c r="I965" s="40" t="s">
        <v>89</v>
      </c>
      <c r="J965" s="40" t="s">
        <v>89</v>
      </c>
      <c r="K965" s="40" t="s">
        <v>752</v>
      </c>
      <c r="L965" s="151" t="s">
        <v>218</v>
      </c>
      <c r="M965" s="174">
        <f>O965</f>
        <v>3062.3236452681926</v>
      </c>
      <c r="N965" s="49"/>
      <c r="O965" s="52">
        <f>CHOOSE(swtchPSA, S965, AB965)</f>
        <v>3062.3236452681926</v>
      </c>
      <c r="S965" s="99">
        <f>SUMPRODUCT(M958:M964, Q958:Q964) / SUM(Q958:Q964)</f>
        <v>3062.3236452681926</v>
      </c>
      <c r="U965" s="266">
        <f>ABS(S965)*Cost.SEs.CoV</f>
        <v>612.46472905363851</v>
      </c>
      <c r="V965" s="51">
        <f>_xlfn.GAMMA.INV(0.025, AD965, AE965)</f>
        <v>1981.7743988751613</v>
      </c>
      <c r="W965" s="49"/>
      <c r="X965" s="51">
        <f>_xlfn.GAMMA.INV(0.975, AD965, AE965)</f>
        <v>4374.2350494474094</v>
      </c>
      <c r="AA965" s="19">
        <f ca="1">RAND()</f>
        <v>0.44230246526159689</v>
      </c>
      <c r="AB965" s="47">
        <f ca="1">_xlfn.GAMMA.INV(AA965,AD965,AE965)</f>
        <v>2934.2512755430917</v>
      </c>
      <c r="AC965" s="15" t="s">
        <v>38</v>
      </c>
      <c r="AD965" s="54">
        <f>S965^2/U965^2</f>
        <v>25</v>
      </c>
      <c r="AE965" s="55">
        <f>U965^2/S965</f>
        <v>122.4929458107277</v>
      </c>
    </row>
    <row r="966" spans="1:31" ht="12" customHeight="1" outlineLevel="3" x14ac:dyDescent="0.25">
      <c r="A966" s="374"/>
      <c r="B966" s="385"/>
      <c r="C966" s="377"/>
      <c r="G966" s="40" t="s">
        <v>89</v>
      </c>
      <c r="H966" s="40" t="s">
        <v>89</v>
      </c>
      <c r="I966" s="40" t="s">
        <v>89</v>
      </c>
      <c r="J966" s="40" t="s">
        <v>89</v>
      </c>
      <c r="K966" s="40" t="s">
        <v>752</v>
      </c>
      <c r="L966" s="170" t="s">
        <v>696</v>
      </c>
      <c r="M966" s="51">
        <f>O966</f>
        <v>3156.6432135424529</v>
      </c>
      <c r="O966" s="52" cm="1">
        <f t="array" ref="O966">_fnINFLATE(M965, 2019, 2020)</f>
        <v>3156.6432135424529</v>
      </c>
      <c r="P966" s="52"/>
      <c r="T966" s="18"/>
      <c r="V966" s="99" cm="1">
        <f t="array" ref="V966">_fnINFLATE(V965, 2019, 2020)</f>
        <v>2042.8130503605162</v>
      </c>
      <c r="X966" s="99" cm="1">
        <f t="array" ref="X966">_fnINFLATE(X965, 2019, 2020)</f>
        <v>4508.9614889703889</v>
      </c>
      <c r="AB966"/>
    </row>
    <row r="967" spans="1:31" ht="12" customHeight="1" outlineLevel="3" x14ac:dyDescent="0.25">
      <c r="A967" s="374"/>
      <c r="B967" s="385"/>
      <c r="C967" s="377"/>
      <c r="G967" s="40" t="s">
        <v>89</v>
      </c>
      <c r="H967" s="40" t="s">
        <v>89</v>
      </c>
      <c r="I967" s="40" t="s">
        <v>89</v>
      </c>
      <c r="J967" s="40" t="s">
        <v>89</v>
      </c>
      <c r="K967" s="40" t="s">
        <v>89</v>
      </c>
      <c r="L967" s="10" t="s">
        <v>220</v>
      </c>
    </row>
    <row r="968" spans="1:31" ht="12" customHeight="1" outlineLevel="3" x14ac:dyDescent="0.25">
      <c r="A968" s="374"/>
      <c r="B968" s="385"/>
      <c r="C968" s="377"/>
      <c r="G968" s="40" t="s">
        <v>89</v>
      </c>
      <c r="H968" s="40" t="s">
        <v>89</v>
      </c>
      <c r="I968" s="40" t="s">
        <v>89</v>
      </c>
      <c r="J968" s="40" t="s">
        <v>89</v>
      </c>
      <c r="K968" s="40" t="s">
        <v>752</v>
      </c>
      <c r="L968" s="151" t="s">
        <v>257</v>
      </c>
      <c r="M968" s="184">
        <f t="shared" ref="M968:M973" si="141">O968</f>
        <v>1726.28674698795</v>
      </c>
      <c r="O968" s="183">
        <f t="shared" ref="O968:O973" si="142">S968</f>
        <v>1726.28674698795</v>
      </c>
      <c r="Q968" s="162">
        <v>83</v>
      </c>
      <c r="S968" s="181">
        <v>1726.28674698795</v>
      </c>
      <c r="Y968" s="258" t="s">
        <v>697</v>
      </c>
    </row>
    <row r="969" spans="1:31" ht="12" customHeight="1" outlineLevel="3" x14ac:dyDescent="0.25">
      <c r="A969" s="374"/>
      <c r="B969" s="385"/>
      <c r="C969" s="377"/>
      <c r="G969" s="40" t="s">
        <v>89</v>
      </c>
      <c r="H969" s="40" t="s">
        <v>89</v>
      </c>
      <c r="I969" s="40" t="s">
        <v>89</v>
      </c>
      <c r="J969" s="40" t="s">
        <v>89</v>
      </c>
      <c r="K969" s="40" t="s">
        <v>752</v>
      </c>
      <c r="L969" s="151" t="s">
        <v>258</v>
      </c>
      <c r="M969" s="184">
        <f t="shared" si="141"/>
        <v>1558.1523893805299</v>
      </c>
      <c r="O969" s="183">
        <f t="shared" si="142"/>
        <v>1558.1523893805299</v>
      </c>
      <c r="Q969" s="162">
        <v>226</v>
      </c>
      <c r="S969" s="181">
        <v>1558.1523893805299</v>
      </c>
      <c r="Y969" s="258" t="s">
        <v>697</v>
      </c>
    </row>
    <row r="970" spans="1:31" ht="12" customHeight="1" outlineLevel="3" x14ac:dyDescent="0.25">
      <c r="A970" s="374"/>
      <c r="B970" s="385"/>
      <c r="C970" s="377"/>
      <c r="G970" s="40" t="s">
        <v>89</v>
      </c>
      <c r="H970" s="40" t="s">
        <v>89</v>
      </c>
      <c r="I970" s="40" t="s">
        <v>89</v>
      </c>
      <c r="J970" s="40" t="s">
        <v>89</v>
      </c>
      <c r="K970" s="40" t="s">
        <v>752</v>
      </c>
      <c r="L970" s="151" t="s">
        <v>259</v>
      </c>
      <c r="M970" s="184">
        <f t="shared" si="141"/>
        <v>1531.6955048862001</v>
      </c>
      <c r="O970" s="183">
        <f t="shared" si="142"/>
        <v>1531.6955048862001</v>
      </c>
      <c r="Q970" s="162">
        <v>342</v>
      </c>
      <c r="S970" s="181">
        <v>1531.6955048862001</v>
      </c>
      <c r="Y970" s="258" t="s">
        <v>697</v>
      </c>
    </row>
    <row r="971" spans="1:31" ht="12" customHeight="1" outlineLevel="3" x14ac:dyDescent="0.25">
      <c r="A971" s="374"/>
      <c r="B971" s="385"/>
      <c r="C971" s="377"/>
      <c r="G971" s="40" t="s">
        <v>89</v>
      </c>
      <c r="H971" s="40" t="s">
        <v>89</v>
      </c>
      <c r="I971" s="40" t="s">
        <v>89</v>
      </c>
      <c r="J971" s="40" t="s">
        <v>89</v>
      </c>
      <c r="K971" s="40" t="s">
        <v>752</v>
      </c>
      <c r="L971" s="151" t="s">
        <v>260</v>
      </c>
      <c r="M971" s="184">
        <f t="shared" si="141"/>
        <v>1176.31197025188</v>
      </c>
      <c r="O971" s="183">
        <f t="shared" si="142"/>
        <v>1176.31197025188</v>
      </c>
      <c r="Q971" s="162">
        <v>1306</v>
      </c>
      <c r="S971" s="181">
        <v>1176.31197025188</v>
      </c>
      <c r="Y971" s="258" t="s">
        <v>697</v>
      </c>
    </row>
    <row r="972" spans="1:31" ht="12" customHeight="1" outlineLevel="3" x14ac:dyDescent="0.25">
      <c r="A972" s="374"/>
      <c r="B972" s="385"/>
      <c r="C972" s="377"/>
      <c r="G972" s="40" t="s">
        <v>89</v>
      </c>
      <c r="H972" s="40" t="s">
        <v>89</v>
      </c>
      <c r="I972" s="40" t="s">
        <v>89</v>
      </c>
      <c r="J972" s="40" t="s">
        <v>89</v>
      </c>
      <c r="K972" s="40" t="s">
        <v>752</v>
      </c>
      <c r="L972" s="151" t="s">
        <v>261</v>
      </c>
      <c r="M972" s="184">
        <f t="shared" si="141"/>
        <v>1298.2204497027999</v>
      </c>
      <c r="O972" s="183">
        <f t="shared" si="142"/>
        <v>1298.2204497027999</v>
      </c>
      <c r="Q972" s="162">
        <v>2501</v>
      </c>
      <c r="S972" s="181">
        <v>1298.2204497027999</v>
      </c>
      <c r="Y972" s="258" t="s">
        <v>697</v>
      </c>
    </row>
    <row r="973" spans="1:31" ht="12" customHeight="1" outlineLevel="3" x14ac:dyDescent="0.25">
      <c r="A973" s="374"/>
      <c r="B973" s="385"/>
      <c r="C973" s="377"/>
      <c r="G973" s="40" t="s">
        <v>89</v>
      </c>
      <c r="H973" s="40" t="s">
        <v>89</v>
      </c>
      <c r="I973" s="40" t="s">
        <v>89</v>
      </c>
      <c r="J973" s="40" t="s">
        <v>89</v>
      </c>
      <c r="K973" s="40" t="s">
        <v>752</v>
      </c>
      <c r="L973" s="151" t="s">
        <v>262</v>
      </c>
      <c r="M973" s="184">
        <f t="shared" si="141"/>
        <v>733.45893886742897</v>
      </c>
      <c r="O973" s="183">
        <f t="shared" si="142"/>
        <v>733.45893886742897</v>
      </c>
      <c r="Q973" s="162">
        <v>599</v>
      </c>
      <c r="S973" s="181">
        <v>733.45893886742897</v>
      </c>
      <c r="Y973" s="258" t="s">
        <v>697</v>
      </c>
    </row>
    <row r="974" spans="1:31" ht="12" customHeight="1" outlineLevel="3" x14ac:dyDescent="0.25">
      <c r="A974" s="374"/>
      <c r="B974" s="385"/>
      <c r="C974" s="377"/>
      <c r="G974" s="40" t="s">
        <v>89</v>
      </c>
      <c r="H974" s="40" t="s">
        <v>89</v>
      </c>
      <c r="I974" s="40" t="s">
        <v>89</v>
      </c>
      <c r="J974" s="40" t="s">
        <v>89</v>
      </c>
      <c r="K974" s="40" t="s">
        <v>752</v>
      </c>
      <c r="L974" s="151" t="s">
        <v>218</v>
      </c>
      <c r="M974" s="174">
        <f>O974</f>
        <v>1234.2730442769089</v>
      </c>
      <c r="N974" s="49"/>
      <c r="O974" s="52">
        <f>CHOOSE(swtchPSA, S974, AB974)</f>
        <v>1234.2730442769089</v>
      </c>
      <c r="S974" s="99">
        <f>SUMPRODUCT(M968:M973, Q968:Q973) / SUM(Q968:Q973)</f>
        <v>1234.2730442769089</v>
      </c>
      <c r="U974" s="266">
        <f>ABS(S974)*Cost.SEs.CoV</f>
        <v>246.8546088553818</v>
      </c>
      <c r="V974" s="51">
        <f>_xlfn.GAMMA.INV(0.025, AD974, AE974)</f>
        <v>798.75643586831461</v>
      </c>
      <c r="W974" s="49"/>
      <c r="X974" s="51">
        <f>_xlfn.GAMMA.INV(0.975, AD974, AE974)</f>
        <v>1763.0404347386918</v>
      </c>
      <c r="AA974" s="19">
        <f ca="1">RAND()</f>
        <v>0.88370201524297676</v>
      </c>
      <c r="AB974" s="47">
        <f ca="1">_xlfn.GAMMA.INV(AA974,AD974,AE974)</f>
        <v>1534.109678686553</v>
      </c>
      <c r="AC974" s="15" t="s">
        <v>38</v>
      </c>
      <c r="AD974" s="54">
        <f>S974^2/U974^2</f>
        <v>24.999999999999996</v>
      </c>
      <c r="AE974" s="55">
        <f>U974^2/S974</f>
        <v>49.370921771076368</v>
      </c>
    </row>
    <row r="975" spans="1:31" ht="12" customHeight="1" outlineLevel="3" x14ac:dyDescent="0.25">
      <c r="A975" s="374"/>
      <c r="B975" s="385"/>
      <c r="C975" s="377"/>
      <c r="G975" s="40" t="s">
        <v>89</v>
      </c>
      <c r="H975" s="40" t="s">
        <v>89</v>
      </c>
      <c r="I975" s="40" t="s">
        <v>89</v>
      </c>
      <c r="J975" s="40" t="s">
        <v>89</v>
      </c>
      <c r="K975" s="40" t="s">
        <v>752</v>
      </c>
      <c r="L975" s="170" t="s">
        <v>696</v>
      </c>
      <c r="M975" s="51">
        <f>O975</f>
        <v>1272.2886540406375</v>
      </c>
      <c r="O975" s="52" cm="1">
        <f t="array" ref="O975">_fnINFLATE(M974, 2019, 2020)</f>
        <v>1272.2886540406375</v>
      </c>
      <c r="P975" s="52"/>
      <c r="T975" s="18"/>
      <c r="V975" s="99" cm="1">
        <f t="array" ref="V975">_fnINFLATE(V974, 2019, 2020)</f>
        <v>823.35813409305865</v>
      </c>
      <c r="X975" s="99" cm="1">
        <f t="array" ref="X975">_fnINFLATE(X974, 2019, 2020)</f>
        <v>1817.3420801286434</v>
      </c>
      <c r="AB975"/>
    </row>
    <row r="976" spans="1:31" ht="12" customHeight="1" outlineLevel="3" x14ac:dyDescent="0.25">
      <c r="A976" s="374"/>
      <c r="B976" s="385"/>
      <c r="C976" s="377"/>
      <c r="G976" s="40" t="s">
        <v>89</v>
      </c>
      <c r="H976" s="40" t="s">
        <v>89</v>
      </c>
      <c r="I976" s="40" t="s">
        <v>89</v>
      </c>
      <c r="J976" s="40" t="s">
        <v>89</v>
      </c>
      <c r="K976" s="40" t="s">
        <v>89</v>
      </c>
      <c r="L976" s="10" t="s">
        <v>228</v>
      </c>
    </row>
    <row r="977" spans="1:31" ht="12" customHeight="1" outlineLevel="3" x14ac:dyDescent="0.25">
      <c r="A977" s="374"/>
      <c r="B977" s="385"/>
      <c r="C977" s="377"/>
      <c r="G977" s="40" t="s">
        <v>89</v>
      </c>
      <c r="H977" s="40" t="s">
        <v>89</v>
      </c>
      <c r="I977" s="40" t="s">
        <v>89</v>
      </c>
      <c r="J977" s="40" t="s">
        <v>89</v>
      </c>
      <c r="K977" s="40" t="s">
        <v>752</v>
      </c>
      <c r="L977" s="151" t="s">
        <v>229</v>
      </c>
      <c r="M977" s="184">
        <f>O977</f>
        <v>216.260609988563</v>
      </c>
      <c r="O977" s="183">
        <f>S977</f>
        <v>216.260609988563</v>
      </c>
      <c r="Q977" s="162">
        <v>10492</v>
      </c>
      <c r="S977" s="181">
        <v>216.260609988563</v>
      </c>
      <c r="Y977" s="258" t="s">
        <v>697</v>
      </c>
    </row>
    <row r="978" spans="1:31" ht="12" customHeight="1" outlineLevel="3" x14ac:dyDescent="0.25">
      <c r="A978" s="374"/>
      <c r="B978" s="385"/>
      <c r="C978" s="377"/>
      <c r="G978" s="40" t="s">
        <v>89</v>
      </c>
      <c r="H978" s="40" t="s">
        <v>89</v>
      </c>
      <c r="I978" s="40" t="s">
        <v>89</v>
      </c>
      <c r="J978" s="40" t="s">
        <v>89</v>
      </c>
      <c r="K978" s="40" t="s">
        <v>752</v>
      </c>
      <c r="L978" s="151" t="s">
        <v>230</v>
      </c>
      <c r="M978" s="184">
        <f>O978</f>
        <v>74.167310444874303</v>
      </c>
      <c r="O978" s="183">
        <f>S978</f>
        <v>74.167310444874303</v>
      </c>
      <c r="Q978" s="162">
        <v>10340</v>
      </c>
      <c r="S978" s="181">
        <v>74.167310444874303</v>
      </c>
      <c r="Y978" s="258" t="s">
        <v>697</v>
      </c>
    </row>
    <row r="979" spans="1:31" ht="12" customHeight="1" outlineLevel="3" x14ac:dyDescent="0.25">
      <c r="A979" s="374"/>
      <c r="B979" s="385"/>
      <c r="C979" s="377"/>
      <c r="G979" s="40" t="s">
        <v>89</v>
      </c>
      <c r="H979" s="40" t="s">
        <v>89</v>
      </c>
      <c r="I979" s="40" t="s">
        <v>89</v>
      </c>
      <c r="J979" s="40" t="s">
        <v>89</v>
      </c>
      <c r="K979" s="40" t="s">
        <v>752</v>
      </c>
      <c r="L979" s="151" t="s">
        <v>218</v>
      </c>
      <c r="M979" s="174">
        <f>O979</f>
        <v>145.73234975038417</v>
      </c>
      <c r="N979" s="49"/>
      <c r="O979" s="52">
        <f>CHOOSE(swtchPSA, S979, AB979)</f>
        <v>145.73234975038417</v>
      </c>
      <c r="S979" s="99">
        <f>SUMPRODUCT(M977:M978, Q977:Q978) / SUM(Q977:Q978)</f>
        <v>145.73234975038417</v>
      </c>
      <c r="U979" s="266">
        <f>ABS(S979)*Cost.SEs.CoV</f>
        <v>29.146469950076835</v>
      </c>
      <c r="V979" s="51">
        <f>_xlfn.GAMMA.INV(0.025, AD979, AE979)</f>
        <v>94.310292861922221</v>
      </c>
      <c r="W979" s="49"/>
      <c r="X979" s="51">
        <f>_xlfn.GAMMA.INV(0.975, AD979, AE979)</f>
        <v>208.16465728612781</v>
      </c>
      <c r="AA979" s="19">
        <f ca="1">RAND()</f>
        <v>0.6124591086927913</v>
      </c>
      <c r="AB979" s="47">
        <f ca="1">_xlfn.GAMMA.INV(AA979,AD979,AE979)</f>
        <v>152.2163749766782</v>
      </c>
      <c r="AC979" s="15" t="s">
        <v>38</v>
      </c>
      <c r="AD979" s="54">
        <f>S979^2/U979^2</f>
        <v>25.000000000000004</v>
      </c>
      <c r="AE979" s="55">
        <f>U979^2/S979</f>
        <v>5.8292939900153664</v>
      </c>
    </row>
    <row r="980" spans="1:31" ht="12" customHeight="1" outlineLevel="3" thickBot="1" x14ac:dyDescent="0.3">
      <c r="A980" s="374"/>
      <c r="B980" s="385"/>
      <c r="C980" s="377"/>
      <c r="G980" s="40" t="s">
        <v>89</v>
      </c>
      <c r="H980" s="40" t="s">
        <v>89</v>
      </c>
      <c r="I980" s="40" t="s">
        <v>89</v>
      </c>
      <c r="J980" s="40" t="s">
        <v>89</v>
      </c>
      <c r="K980" s="40" t="s">
        <v>752</v>
      </c>
      <c r="L980" s="170" t="s">
        <v>696</v>
      </c>
      <c r="M980" s="51">
        <f>O980</f>
        <v>150.22090612269599</v>
      </c>
      <c r="O980" s="52" cm="1">
        <f t="array" ref="O980">_fnINFLATE(M979, 2019, 2020)</f>
        <v>150.22090612269599</v>
      </c>
      <c r="T980" s="18"/>
      <c r="V980" s="99" cm="1">
        <f t="array" ref="V980">_fnINFLATE(V979, 2019, 2020)</f>
        <v>97.215049882069422</v>
      </c>
      <c r="X980" s="99" cm="1">
        <f t="array" ref="X980">_fnINFLATE(X979, 2019, 2020)</f>
        <v>214.57612873054052</v>
      </c>
      <c r="AB980"/>
    </row>
    <row r="981" spans="1:31" s="110" customFormat="1" ht="12" customHeight="1" outlineLevel="2" thickBot="1" x14ac:dyDescent="0.3">
      <c r="A981" s="374"/>
      <c r="B981" s="385"/>
      <c r="C981" s="377"/>
      <c r="D981" s="112"/>
      <c r="G981" s="112" t="s">
        <v>89</v>
      </c>
      <c r="H981" s="112" t="s">
        <v>89</v>
      </c>
      <c r="I981" s="112" t="s">
        <v>89</v>
      </c>
      <c r="J981" s="112" t="s">
        <v>89</v>
      </c>
      <c r="K981" s="112" t="s">
        <v>89</v>
      </c>
      <c r="L981" s="110" t="s">
        <v>235</v>
      </c>
    </row>
    <row r="982" spans="1:31" ht="12" customHeight="1" outlineLevel="3" x14ac:dyDescent="0.25">
      <c r="A982" s="374"/>
      <c r="B982" s="385"/>
      <c r="C982" s="377"/>
      <c r="G982" s="40" t="s">
        <v>89</v>
      </c>
      <c r="H982" s="40" t="s">
        <v>89</v>
      </c>
      <c r="I982" s="40" t="s">
        <v>89</v>
      </c>
      <c r="J982" s="40" t="s">
        <v>89</v>
      </c>
      <c r="K982" s="40" t="s">
        <v>89</v>
      </c>
      <c r="L982" s="10" t="s">
        <v>198</v>
      </c>
    </row>
    <row r="983" spans="1:31" ht="12" customHeight="1" outlineLevel="3" x14ac:dyDescent="0.25">
      <c r="A983" s="374"/>
      <c r="B983" s="385"/>
      <c r="C983" s="377"/>
      <c r="G983" s="40" t="s">
        <v>89</v>
      </c>
      <c r="H983" s="40" t="s">
        <v>89</v>
      </c>
      <c r="I983" s="40" t="s">
        <v>89</v>
      </c>
      <c r="J983" s="40" t="s">
        <v>89</v>
      </c>
      <c r="K983" s="40" t="s">
        <v>752</v>
      </c>
      <c r="L983" s="149" t="s">
        <v>176</v>
      </c>
      <c r="M983" s="48">
        <f>O983</f>
        <v>1055</v>
      </c>
      <c r="O983" s="52">
        <f>CHOOSE(swtchPSA, S983, AB983)</f>
        <v>1055</v>
      </c>
      <c r="Q983" s="162">
        <v>1494</v>
      </c>
      <c r="S983" s="181">
        <v>1055</v>
      </c>
      <c r="U983" s="181">
        <v>46</v>
      </c>
      <c r="V983" s="109">
        <f>_xlfn.GAMMA.INV(0.025, AD983, AE983)</f>
        <v>966.75612203583125</v>
      </c>
      <c r="W983" s="182"/>
      <c r="X983" s="109">
        <f>_xlfn.GAMMA.INV(0.975, AD983, AE983)</f>
        <v>1147.042743339264</v>
      </c>
      <c r="Y983" s="32" t="s">
        <v>240</v>
      </c>
      <c r="AA983" s="19">
        <f ca="1">RAND()</f>
        <v>0.54393695520987528</v>
      </c>
      <c r="AB983" s="47">
        <f ca="1">_xlfn.GAMMA.INV(AA983,AD983,AE983)</f>
        <v>1059.4142128141107</v>
      </c>
      <c r="AC983" s="15" t="s">
        <v>38</v>
      </c>
      <c r="AD983" s="54">
        <f>S983^2/U983^2</f>
        <v>526.00425330812857</v>
      </c>
      <c r="AE983" s="55">
        <f>U983^2/S983</f>
        <v>2.005687203791469</v>
      </c>
    </row>
    <row r="984" spans="1:31" ht="12" customHeight="1" outlineLevel="3" x14ac:dyDescent="0.25">
      <c r="A984" s="374"/>
      <c r="B984" s="385"/>
      <c r="C984" s="377"/>
      <c r="G984" s="40" t="s">
        <v>89</v>
      </c>
      <c r="H984" s="40" t="s">
        <v>89</v>
      </c>
      <c r="I984" s="40" t="s">
        <v>89</v>
      </c>
      <c r="J984" s="40" t="s">
        <v>89</v>
      </c>
      <c r="K984" s="40" t="s">
        <v>752</v>
      </c>
      <c r="L984" s="149" t="s">
        <v>177</v>
      </c>
      <c r="M984" s="48">
        <f>O984</f>
        <v>3694</v>
      </c>
      <c r="O984" s="52">
        <f>CHOOSE(swtchPSA, S984, AB984)</f>
        <v>3694</v>
      </c>
      <c r="Q984" s="162">
        <v>2228</v>
      </c>
      <c r="S984" s="181">
        <v>3694</v>
      </c>
      <c r="U984" s="181">
        <v>84</v>
      </c>
      <c r="V984" s="109">
        <f>_xlfn.GAMMA.INV(0.025, AD984, AE984)</f>
        <v>3531.1796065480366</v>
      </c>
      <c r="W984" s="182"/>
      <c r="X984" s="109">
        <f>_xlfn.GAMMA.INV(0.975, AD984, AE984)</f>
        <v>3860.4386190252771</v>
      </c>
      <c r="Y984" s="32" t="s">
        <v>240</v>
      </c>
      <c r="AA984" s="19">
        <f ca="1">RAND()</f>
        <v>0.85793567017295536</v>
      </c>
      <c r="AB984" s="47">
        <f ca="1">_xlfn.GAMMA.INV(AA984,AD984,AE984)</f>
        <v>3784.057803989574</v>
      </c>
      <c r="AC984" s="15" t="s">
        <v>38</v>
      </c>
      <c r="AD984" s="54">
        <f>S984^2/U984^2</f>
        <v>1933.905328798186</v>
      </c>
      <c r="AE984" s="55">
        <f>U984^2/S984</f>
        <v>1.910124526258798</v>
      </c>
    </row>
    <row r="985" spans="1:31" ht="12" customHeight="1" outlineLevel="3" x14ac:dyDescent="0.25">
      <c r="A985" s="374"/>
      <c r="B985" s="385"/>
      <c r="C985" s="377"/>
      <c r="G985" s="40" t="s">
        <v>89</v>
      </c>
      <c r="H985" s="40" t="s">
        <v>89</v>
      </c>
      <c r="I985" s="40" t="s">
        <v>89</v>
      </c>
      <c r="J985" s="40" t="s">
        <v>89</v>
      </c>
      <c r="K985" s="40" t="s">
        <v>752</v>
      </c>
      <c r="L985" s="151" t="s">
        <v>175</v>
      </c>
      <c r="M985" s="174">
        <f>O985</f>
        <v>2634.7130574959701</v>
      </c>
      <c r="O985" s="52">
        <f>SUMPRODUCT(M983:M984,Q983:Q984) / SUM(Q983:Q984)</f>
        <v>2634.7130574959701</v>
      </c>
      <c r="S985" s="182"/>
      <c r="U985" s="182"/>
      <c r="V985" s="109">
        <f>SUMPRODUCT(V983:V984,$Q983:$Q984) / SUM($Q983:$Q984)</f>
        <v>2501.8274609646846</v>
      </c>
      <c r="W985" s="182"/>
      <c r="X985" s="109">
        <f>SUMPRODUCT(X983:X984,$Q983:$Q984) / SUM($Q983:$Q984)</f>
        <v>2771.2893878928476</v>
      </c>
    </row>
    <row r="986" spans="1:31" ht="12" customHeight="1" outlineLevel="3" x14ac:dyDescent="0.25">
      <c r="A986" s="374"/>
      <c r="B986" s="385"/>
      <c r="C986" s="377"/>
      <c r="D986" s="40">
        <v>2010</v>
      </c>
      <c r="G986" s="40" t="s">
        <v>89</v>
      </c>
      <c r="H986" s="40" t="s">
        <v>89</v>
      </c>
      <c r="I986" s="40" t="s">
        <v>89</v>
      </c>
      <c r="J986" s="40" t="s">
        <v>89</v>
      </c>
      <c r="K986" s="40" t="s">
        <v>752</v>
      </c>
      <c r="L986" s="151" t="s">
        <v>174</v>
      </c>
      <c r="M986" s="174">
        <f>O986</f>
        <v>658.67826437399253</v>
      </c>
      <c r="O986" s="52" cm="1">
        <f t="array" ref="O986">M985*E.cycleLength</f>
        <v>658.67826437399253</v>
      </c>
      <c r="S986" s="182"/>
      <c r="U986" s="182"/>
      <c r="V986" s="51" cm="1">
        <f t="array" ref="V986">V985*E.cycleLength</f>
        <v>625.45686524117116</v>
      </c>
      <c r="X986" s="51" cm="1">
        <f t="array" ref="X986">X985*E.cycleLength</f>
        <v>692.82234697321189</v>
      </c>
    </row>
    <row r="987" spans="1:31" ht="12" customHeight="1" outlineLevel="3" x14ac:dyDescent="0.25">
      <c r="A987" s="374"/>
      <c r="B987" s="385"/>
      <c r="C987" s="377"/>
      <c r="D987" s="40">
        <v>2020</v>
      </c>
      <c r="G987" s="40" t="s">
        <v>89</v>
      </c>
      <c r="H987" s="40" t="s">
        <v>89</v>
      </c>
      <c r="I987" s="40" t="s">
        <v>89</v>
      </c>
      <c r="J987" s="40" t="s">
        <v>89</v>
      </c>
      <c r="K987" s="40" t="s">
        <v>752</v>
      </c>
      <c r="L987" s="151" t="s">
        <v>704</v>
      </c>
      <c r="M987" s="174">
        <f>O987</f>
        <v>787.00466070526295</v>
      </c>
      <c r="O987" s="52" cm="1">
        <f t="array" ref="O987">_fnINFLATE(M986, D986, D987)</f>
        <v>787.00466070526295</v>
      </c>
      <c r="P987" s="49"/>
      <c r="S987" s="182"/>
      <c r="U987" s="182"/>
      <c r="V987" s="51" cm="1">
        <f t="array" ref="V987">_fnINFLATE(V986, $D986, $D987)</f>
        <v>747.31093257301802</v>
      </c>
      <c r="X987" s="51" cm="1">
        <f t="array" ref="X987">_fnINFLATE(X986, $D986, $D987)</f>
        <v>827.80083327462773</v>
      </c>
    </row>
    <row r="988" spans="1:31" ht="12" customHeight="1" outlineLevel="3" x14ac:dyDescent="0.25">
      <c r="A988" s="374"/>
      <c r="B988" s="385"/>
      <c r="C988" s="377"/>
      <c r="G988" s="40" t="s">
        <v>89</v>
      </c>
      <c r="H988" s="40" t="s">
        <v>89</v>
      </c>
      <c r="I988" s="40" t="s">
        <v>89</v>
      </c>
      <c r="J988" s="40" t="s">
        <v>89</v>
      </c>
      <c r="K988" s="40" t="s">
        <v>89</v>
      </c>
      <c r="L988" s="10" t="s">
        <v>199</v>
      </c>
      <c r="S988" s="182"/>
      <c r="U988" s="182"/>
      <c r="V988" s="182"/>
      <c r="W988" s="182"/>
      <c r="X988" s="182"/>
    </row>
    <row r="989" spans="1:31" ht="12" customHeight="1" outlineLevel="3" x14ac:dyDescent="0.25">
      <c r="A989" s="374"/>
      <c r="B989" s="385"/>
      <c r="C989" s="377"/>
      <c r="G989" s="40" t="s">
        <v>89</v>
      </c>
      <c r="H989" s="40" t="s">
        <v>89</v>
      </c>
      <c r="I989" s="40" t="s">
        <v>89</v>
      </c>
      <c r="J989" s="40" t="s">
        <v>89</v>
      </c>
      <c r="K989" s="40" t="s">
        <v>752</v>
      </c>
      <c r="L989" s="151" t="s">
        <v>175</v>
      </c>
      <c r="M989" s="48">
        <f>O989</f>
        <v>12952</v>
      </c>
      <c r="O989" s="52">
        <f>CHOOSE(swtchPSA, S989, AB989)</f>
        <v>12952</v>
      </c>
      <c r="Q989" s="162">
        <v>1017</v>
      </c>
      <c r="S989" s="181">
        <v>12952</v>
      </c>
      <c r="U989" s="181">
        <v>185</v>
      </c>
      <c r="V989" s="109">
        <f>_xlfn.GAMMA.INV(0.025, AD989, AE989)</f>
        <v>12591.915919691881</v>
      </c>
      <c r="W989" s="182"/>
      <c r="X989" s="109">
        <f>_xlfn.GAMMA.INV(0.975, AD989, AE989)</f>
        <v>13317.089613636886</v>
      </c>
      <c r="Y989" s="32" t="s">
        <v>240</v>
      </c>
      <c r="AA989" s="19">
        <f ca="1">RAND()</f>
        <v>1.5690383901520444E-2</v>
      </c>
      <c r="AB989" s="47">
        <f ca="1">_xlfn.GAMMA.INV(AA989,AD989,AE989)</f>
        <v>12557.045454523401</v>
      </c>
      <c r="AC989" s="15" t="s">
        <v>38</v>
      </c>
      <c r="AD989" s="54">
        <f>S989^2/U989^2</f>
        <v>4901.5136303871441</v>
      </c>
      <c r="AE989" s="55">
        <f>U989^2/S989</f>
        <v>2.6424490426189005</v>
      </c>
    </row>
    <row r="990" spans="1:31" ht="12" customHeight="1" outlineLevel="3" x14ac:dyDescent="0.25">
      <c r="A990" s="374"/>
      <c r="B990" s="385"/>
      <c r="C990" s="377"/>
      <c r="D990" s="40">
        <v>2010</v>
      </c>
      <c r="G990" s="40" t="s">
        <v>89</v>
      </c>
      <c r="H990" s="40" t="s">
        <v>89</v>
      </c>
      <c r="I990" s="40" t="s">
        <v>89</v>
      </c>
      <c r="J990" s="40" t="s">
        <v>89</v>
      </c>
      <c r="K990" s="40" t="s">
        <v>752</v>
      </c>
      <c r="L990" s="151" t="s">
        <v>174</v>
      </c>
      <c r="M990" s="174">
        <f>O990</f>
        <v>3238</v>
      </c>
      <c r="O990" s="52" cm="1">
        <f t="array" ref="O990">M989*E.cycleLength</f>
        <v>3238</v>
      </c>
      <c r="V990" s="51" cm="1">
        <f t="array" ref="V990">V989*E.cycleLength</f>
        <v>3147.9789799229702</v>
      </c>
      <c r="X990" s="51" cm="1">
        <f t="array" ref="X990">X989*E.cycleLength</f>
        <v>3329.2724034092216</v>
      </c>
    </row>
    <row r="991" spans="1:31" ht="12" customHeight="1" outlineLevel="3" x14ac:dyDescent="0.25">
      <c r="A991" s="374"/>
      <c r="B991" s="385"/>
      <c r="C991" s="377"/>
      <c r="D991" s="40">
        <v>2020</v>
      </c>
      <c r="G991" s="40" t="s">
        <v>89</v>
      </c>
      <c r="H991" s="40" t="s">
        <v>89</v>
      </c>
      <c r="I991" s="40" t="s">
        <v>89</v>
      </c>
      <c r="J991" s="40" t="s">
        <v>89</v>
      </c>
      <c r="K991" s="40" t="s">
        <v>752</v>
      </c>
      <c r="L991" s="151" t="s">
        <v>704</v>
      </c>
      <c r="M991" s="174">
        <f>O991</f>
        <v>3868.840417537634</v>
      </c>
      <c r="O991" s="52" cm="1">
        <f t="array" ref="O991">_fnINFLATE(M990, D990, D991)</f>
        <v>3868.840417537634</v>
      </c>
      <c r="V991" s="51" cm="1">
        <f t="array" ref="V991">_fnINFLATE(V990, $D990, $D991)</f>
        <v>3761.281133750736</v>
      </c>
      <c r="X991" s="51" cm="1">
        <f t="array" ref="X991">_fnINFLATE(X990, $D990, $D991)</f>
        <v>3977.8948842811169</v>
      </c>
    </row>
    <row r="992" spans="1:31" ht="12" customHeight="1" outlineLevel="3" x14ac:dyDescent="0.25">
      <c r="A992" s="374"/>
      <c r="B992" s="385"/>
      <c r="C992" s="377"/>
      <c r="G992" s="40" t="s">
        <v>89</v>
      </c>
      <c r="H992" s="40" t="s">
        <v>89</v>
      </c>
      <c r="I992" s="40" t="s">
        <v>89</v>
      </c>
      <c r="J992" s="40" t="s">
        <v>89</v>
      </c>
      <c r="K992" s="40" t="s">
        <v>89</v>
      </c>
      <c r="L992" s="10" t="s">
        <v>200</v>
      </c>
      <c r="S992" s="182"/>
      <c r="U992" s="182"/>
      <c r="V992" s="182"/>
      <c r="W992" s="182"/>
      <c r="X992" s="182"/>
    </row>
    <row r="993" spans="1:31" ht="12" customHeight="1" outlineLevel="3" x14ac:dyDescent="0.25">
      <c r="A993" s="374"/>
      <c r="B993" s="385"/>
      <c r="C993" s="377"/>
      <c r="G993" s="40" t="s">
        <v>89</v>
      </c>
      <c r="H993" s="40" t="s">
        <v>89</v>
      </c>
      <c r="I993" s="40" t="s">
        <v>89</v>
      </c>
      <c r="J993" s="40" t="s">
        <v>89</v>
      </c>
      <c r="K993" s="40" t="s">
        <v>752</v>
      </c>
      <c r="L993" s="151" t="s">
        <v>175</v>
      </c>
      <c r="M993" s="48">
        <f>O993</f>
        <v>20511</v>
      </c>
      <c r="O993" s="52">
        <f>CHOOSE(swtchPSA, S993, AB993)</f>
        <v>20511</v>
      </c>
      <c r="Q993" s="162">
        <v>2498</v>
      </c>
      <c r="S993" s="181">
        <v>20511</v>
      </c>
      <c r="U993" s="181">
        <v>93</v>
      </c>
      <c r="V993" s="109">
        <f>_xlfn.GAMMA.INV(0.025, AD993, AE993)</f>
        <v>20329.123069455312</v>
      </c>
      <c r="W993" s="182"/>
      <c r="X993" s="109">
        <f>_xlfn.GAMMA.INV(0.975, AD993, AE993)</f>
        <v>20693.675713019562</v>
      </c>
      <c r="Y993" s="32" t="s">
        <v>240</v>
      </c>
      <c r="AA993" s="19">
        <f ca="1">RAND()</f>
        <v>0.91626259776771402</v>
      </c>
      <c r="AB993" s="47">
        <f ca="1">_xlfn.GAMMA.INV(AA993,AD993,AE993)</f>
        <v>20639.5006784998</v>
      </c>
      <c r="AC993" s="15" t="s">
        <v>38</v>
      </c>
      <c r="AD993" s="54">
        <f>S993^2/U993^2</f>
        <v>48641.591050988551</v>
      </c>
      <c r="AE993" s="55">
        <f>U993^2/S993</f>
        <v>0.42167617376042121</v>
      </c>
    </row>
    <row r="994" spans="1:31" ht="12" customHeight="1" outlineLevel="3" x14ac:dyDescent="0.25">
      <c r="A994" s="374"/>
      <c r="B994" s="385"/>
      <c r="C994" s="377"/>
      <c r="D994" s="40">
        <v>2010</v>
      </c>
      <c r="G994" s="40" t="s">
        <v>89</v>
      </c>
      <c r="H994" s="40" t="s">
        <v>89</v>
      </c>
      <c r="I994" s="40" t="s">
        <v>89</v>
      </c>
      <c r="J994" s="40" t="s">
        <v>89</v>
      </c>
      <c r="K994" s="40" t="s">
        <v>752</v>
      </c>
      <c r="L994" s="151" t="s">
        <v>174</v>
      </c>
      <c r="M994" s="174">
        <f>O994</f>
        <v>5127.75</v>
      </c>
      <c r="O994" s="52" cm="1">
        <f t="array" ref="O994">M993*E.cycleLength</f>
        <v>5127.75</v>
      </c>
      <c r="V994" s="51" cm="1">
        <f t="array" ref="V994">V993*E.cycleLength</f>
        <v>5082.2807673638281</v>
      </c>
      <c r="X994" s="51" cm="1">
        <f t="array" ref="X994">X993*E.cycleLength</f>
        <v>5173.4189282548905</v>
      </c>
    </row>
    <row r="995" spans="1:31" ht="12" customHeight="1" outlineLevel="3" x14ac:dyDescent="0.25">
      <c r="A995" s="374"/>
      <c r="B995" s="385"/>
      <c r="C995" s="377"/>
      <c r="D995" s="40">
        <v>2020</v>
      </c>
      <c r="G995" s="40" t="s">
        <v>89</v>
      </c>
      <c r="H995" s="40" t="s">
        <v>89</v>
      </c>
      <c r="I995" s="40" t="s">
        <v>89</v>
      </c>
      <c r="J995" s="40" t="s">
        <v>89</v>
      </c>
      <c r="K995" s="40" t="s">
        <v>752</v>
      </c>
      <c r="L995" s="151" t="s">
        <v>704</v>
      </c>
      <c r="M995" s="174">
        <f>O995</f>
        <v>6126.7592498544172</v>
      </c>
      <c r="O995" s="52" cm="1">
        <f t="array" ref="O995">_fnINFLATE(M994, D994, D995)</f>
        <v>6126.7592498544172</v>
      </c>
      <c r="V995" s="51" cm="1">
        <f t="array" ref="V995">_fnINFLATE(V994, $D994, $D995)</f>
        <v>6072.4315151486608</v>
      </c>
      <c r="X995" s="51" cm="1">
        <f t="array" ref="X995">_fnINFLATE(X994, $D994, $D995)</f>
        <v>6181.325585696959</v>
      </c>
    </row>
    <row r="996" spans="1:31" ht="12" customHeight="1" outlineLevel="3" x14ac:dyDescent="0.25">
      <c r="A996" s="374"/>
      <c r="B996" s="385"/>
      <c r="C996" s="377"/>
      <c r="G996" s="40" t="s">
        <v>89</v>
      </c>
      <c r="H996" s="40" t="s">
        <v>89</v>
      </c>
      <c r="I996" s="40" t="s">
        <v>89</v>
      </c>
      <c r="J996" s="40" t="s">
        <v>89</v>
      </c>
      <c r="K996" s="40" t="s">
        <v>89</v>
      </c>
      <c r="L996" s="10" t="s">
        <v>201</v>
      </c>
      <c r="S996" s="182"/>
      <c r="U996" s="182"/>
      <c r="V996" s="182"/>
      <c r="W996" s="182"/>
      <c r="X996" s="182"/>
    </row>
    <row r="997" spans="1:31" ht="12" customHeight="1" outlineLevel="3" x14ac:dyDescent="0.25">
      <c r="A997" s="374"/>
      <c r="B997" s="385"/>
      <c r="C997" s="377"/>
      <c r="G997" s="40" t="s">
        <v>89</v>
      </c>
      <c r="H997" s="40" t="s">
        <v>89</v>
      </c>
      <c r="I997" s="40" t="s">
        <v>89</v>
      </c>
      <c r="J997" s="40" t="s">
        <v>89</v>
      </c>
      <c r="K997" s="40" t="s">
        <v>752</v>
      </c>
      <c r="L997" s="151" t="s">
        <v>203</v>
      </c>
      <c r="M997" s="48">
        <f>O997</f>
        <v>24602</v>
      </c>
      <c r="O997" s="52">
        <f>CHOOSE(swtchPSA, S997, AB997)</f>
        <v>24602</v>
      </c>
      <c r="S997" s="181">
        <v>24602</v>
      </c>
      <c r="U997" s="109">
        <f>(X997-V997) / 2 / _xlfn.NORM.S.INV(0.975)</f>
        <v>293.62784446013842</v>
      </c>
      <c r="V997" s="181">
        <v>24027</v>
      </c>
      <c r="W997" s="183"/>
      <c r="X997" s="181">
        <v>25178</v>
      </c>
      <c r="Y997" s="32" t="s">
        <v>240</v>
      </c>
      <c r="AA997" s="19">
        <f ca="1">RAND()</f>
        <v>0.5653660884933378</v>
      </c>
      <c r="AB997" s="47">
        <f ca="1">_xlfn.GAMMA.INV(AA997,AD997,AE997)</f>
        <v>24649.189948857322</v>
      </c>
      <c r="AC997" s="15" t="s">
        <v>38</v>
      </c>
      <c r="AD997" s="54">
        <f>S997^2/U997^2</f>
        <v>7020.1493955546457</v>
      </c>
      <c r="AE997" s="55">
        <f>U997^2/S997</f>
        <v>3.5044838241731258</v>
      </c>
    </row>
    <row r="998" spans="1:31" ht="12" customHeight="1" outlineLevel="3" x14ac:dyDescent="0.25">
      <c r="A998" s="374"/>
      <c r="B998" s="385"/>
      <c r="C998" s="377"/>
      <c r="D998" s="40">
        <v>2010</v>
      </c>
      <c r="G998" s="40" t="s">
        <v>89</v>
      </c>
      <c r="H998" s="40" t="s">
        <v>89</v>
      </c>
      <c r="I998" s="40" t="s">
        <v>89</v>
      </c>
      <c r="J998" s="40" t="s">
        <v>89</v>
      </c>
      <c r="K998" s="40" t="s">
        <v>752</v>
      </c>
      <c r="L998" s="151" t="s">
        <v>204</v>
      </c>
      <c r="M998" s="174">
        <f>O998</f>
        <v>23741</v>
      </c>
      <c r="O998" s="52" cm="1">
        <f t="array" ref="O998">M997-M1002*(1-E.cycleLength)</f>
        <v>23741</v>
      </c>
      <c r="Q998" s="49"/>
      <c r="V998" s="51" cm="1">
        <f t="array" ref="V998">V997*E.cycleLength</f>
        <v>6006.75</v>
      </c>
      <c r="X998" s="51" cm="1">
        <f t="array" ref="X998">X997*E.cycleLength</f>
        <v>6294.5</v>
      </c>
    </row>
    <row r="999" spans="1:31" ht="12" customHeight="1" outlineLevel="3" x14ac:dyDescent="0.25">
      <c r="A999" s="374"/>
      <c r="B999" s="385"/>
      <c r="C999" s="377"/>
      <c r="D999" s="40">
        <v>2020</v>
      </c>
      <c r="G999" s="40" t="s">
        <v>89</v>
      </c>
      <c r="H999" s="40" t="s">
        <v>89</v>
      </c>
      <c r="I999" s="40" t="s">
        <v>89</v>
      </c>
      <c r="J999" s="40" t="s">
        <v>89</v>
      </c>
      <c r="K999" s="40" t="s">
        <v>752</v>
      </c>
      <c r="L999" s="151" t="s">
        <v>704</v>
      </c>
      <c r="M999" s="174">
        <f>O999</f>
        <v>28366.318824200425</v>
      </c>
      <c r="O999" s="52" cm="1">
        <f t="array" ref="O999">_fnINFLATE(M998, D998, D999)</f>
        <v>28366.318824200425</v>
      </c>
      <c r="V999" s="51" cm="1">
        <f t="array" ref="V999">_fnINFLATE(V998, $D998, $D999)</f>
        <v>7177.0096287968463</v>
      </c>
      <c r="X999" s="51" cm="1">
        <f t="array" ref="X999">_fnINFLATE(X998, $D998, $D999)</f>
        <v>7520.820261948933</v>
      </c>
    </row>
    <row r="1000" spans="1:31" ht="12" customHeight="1" outlineLevel="3" x14ac:dyDescent="0.25">
      <c r="A1000" s="374"/>
      <c r="B1000" s="385"/>
      <c r="C1000" s="377"/>
      <c r="G1000" s="40" t="s">
        <v>89</v>
      </c>
      <c r="H1000" s="40" t="s">
        <v>89</v>
      </c>
      <c r="I1000" s="40" t="s">
        <v>89</v>
      </c>
      <c r="J1000" s="40" t="s">
        <v>89</v>
      </c>
      <c r="K1000" s="40" t="s">
        <v>89</v>
      </c>
      <c r="L1000" s="10" t="s">
        <v>202</v>
      </c>
      <c r="S1000" s="182"/>
      <c r="U1000" s="182"/>
      <c r="V1000" s="182"/>
      <c r="W1000" s="182"/>
      <c r="X1000" s="182"/>
    </row>
    <row r="1001" spans="1:31" ht="12" customHeight="1" outlineLevel="3" x14ac:dyDescent="0.25">
      <c r="A1001" s="374"/>
      <c r="B1001" s="385"/>
      <c r="C1001" s="377"/>
      <c r="G1001" s="40" t="s">
        <v>89</v>
      </c>
      <c r="H1001" s="40" t="s">
        <v>89</v>
      </c>
      <c r="I1001" s="40" t="s">
        <v>89</v>
      </c>
      <c r="J1001" s="40" t="s">
        <v>89</v>
      </c>
      <c r="K1001" s="40" t="s">
        <v>89</v>
      </c>
      <c r="L1001" s="151" t="s">
        <v>285</v>
      </c>
      <c r="S1001" s="182"/>
      <c r="U1001" s="182"/>
      <c r="V1001" s="182"/>
      <c r="W1001" s="182"/>
      <c r="X1001" s="182"/>
    </row>
    <row r="1002" spans="1:31" ht="12" customHeight="1" outlineLevel="3" x14ac:dyDescent="0.25">
      <c r="A1002" s="374"/>
      <c r="B1002" s="385"/>
      <c r="C1002" s="377"/>
      <c r="G1002" s="40" t="s">
        <v>89</v>
      </c>
      <c r="H1002" s="40" t="s">
        <v>89</v>
      </c>
      <c r="I1002" s="40" t="s">
        <v>89</v>
      </c>
      <c r="J1002" s="40" t="s">
        <v>89</v>
      </c>
      <c r="K1002" s="40" t="s">
        <v>752</v>
      </c>
      <c r="L1002" s="185" t="s">
        <v>175</v>
      </c>
      <c r="M1002" s="48">
        <f>O1002</f>
        <v>1148</v>
      </c>
      <c r="O1002" s="52">
        <f>CHOOSE(swtchPSA, S1002, AB1002)</f>
        <v>1148</v>
      </c>
      <c r="S1002" s="181">
        <v>1148</v>
      </c>
      <c r="T1002" s="183"/>
      <c r="U1002" s="109">
        <f>(X1002-V1002) / 2 / _xlfn.NORM.S.INV(0.975)</f>
        <v>86.736287677191186</v>
      </c>
      <c r="V1002" s="181">
        <v>978</v>
      </c>
      <c r="W1002" s="183"/>
      <c r="X1002" s="181">
        <v>1318</v>
      </c>
      <c r="Y1002" s="32" t="s">
        <v>240</v>
      </c>
      <c r="AA1002" s="19">
        <f ca="1">RAND()</f>
        <v>0.4344771490738919</v>
      </c>
      <c r="AB1002" s="47">
        <f ca="1">_xlfn.GAMMA.INV(AA1002,AD1002,AE1002)</f>
        <v>1131.5812381473252</v>
      </c>
      <c r="AC1002" s="15" t="s">
        <v>38</v>
      </c>
      <c r="AD1002" s="54">
        <f>S1002^2/U1002^2</f>
        <v>175.1790292604868</v>
      </c>
      <c r="AE1002" s="55">
        <f>U1002^2/S1002</f>
        <v>6.5532958188331598</v>
      </c>
    </row>
    <row r="1003" spans="1:31" ht="12" customHeight="1" outlineLevel="3" x14ac:dyDescent="0.25">
      <c r="A1003" s="374"/>
      <c r="B1003" s="385"/>
      <c r="C1003" s="377"/>
      <c r="D1003" s="40">
        <v>2010</v>
      </c>
      <c r="G1003" s="40" t="s">
        <v>89</v>
      </c>
      <c r="H1003" s="40" t="s">
        <v>89</v>
      </c>
      <c r="I1003" s="40" t="s">
        <v>89</v>
      </c>
      <c r="J1003" s="40" t="s">
        <v>89</v>
      </c>
      <c r="K1003" s="40" t="s">
        <v>752</v>
      </c>
      <c r="L1003" s="185" t="s">
        <v>174</v>
      </c>
      <c r="M1003" s="174">
        <f>O1003</f>
        <v>287</v>
      </c>
      <c r="O1003" s="52" cm="1">
        <f t="array" ref="O1003">M1002*E.cycleLength</f>
        <v>287</v>
      </c>
      <c r="V1003" s="51" cm="1">
        <f t="array" ref="V1003">V1002*E.cycleLength</f>
        <v>244.5</v>
      </c>
      <c r="X1003" s="51" cm="1">
        <f t="array" ref="X1003">X1002*E.cycleLength</f>
        <v>329.5</v>
      </c>
    </row>
    <row r="1004" spans="1:31" ht="12" customHeight="1" outlineLevel="3" x14ac:dyDescent="0.25">
      <c r="A1004" s="374"/>
      <c r="B1004" s="385"/>
      <c r="C1004" s="377"/>
      <c r="D1004" s="40">
        <v>2020</v>
      </c>
      <c r="G1004" s="40" t="s">
        <v>89</v>
      </c>
      <c r="H1004" s="40" t="s">
        <v>89</v>
      </c>
      <c r="I1004" s="40" t="s">
        <v>89</v>
      </c>
      <c r="J1004" s="40" t="s">
        <v>89</v>
      </c>
      <c r="K1004" s="40" t="s">
        <v>752</v>
      </c>
      <c r="L1004" s="185" t="s">
        <v>704</v>
      </c>
      <c r="M1004" s="174">
        <f>O1004</f>
        <v>342.91451508131598</v>
      </c>
      <c r="O1004" s="52" cm="1">
        <f t="array" ref="O1004">_fnINFLATE(M1003, D1003, D1004)</f>
        <v>342.91451508131598</v>
      </c>
      <c r="V1004" s="51" cm="1">
        <f t="array" ref="V1004">_fnINFLATE(V1003, $D1003, $D1004)</f>
        <v>292.13449107101655</v>
      </c>
      <c r="X1004" s="51" cm="1">
        <f t="array" ref="X1004">_fnINFLATE(X1003, $D1003, $D1004)</f>
        <v>393.69453909161535</v>
      </c>
    </row>
    <row r="1005" spans="1:31" ht="12" customHeight="1" outlineLevel="3" x14ac:dyDescent="0.25">
      <c r="A1005" s="374"/>
      <c r="B1005" s="385"/>
      <c r="C1005" s="377"/>
      <c r="G1005" s="40" t="s">
        <v>89</v>
      </c>
      <c r="H1005" s="40" t="s">
        <v>89</v>
      </c>
      <c r="I1005" s="40" t="s">
        <v>89</v>
      </c>
      <c r="J1005" s="40" t="s">
        <v>89</v>
      </c>
      <c r="K1005" s="40" t="s">
        <v>89</v>
      </c>
      <c r="L1005" s="151" t="s">
        <v>286</v>
      </c>
    </row>
    <row r="1006" spans="1:31" ht="12" customHeight="1" outlineLevel="3" x14ac:dyDescent="0.25">
      <c r="A1006" s="374"/>
      <c r="B1006" s="385"/>
      <c r="C1006" s="377"/>
      <c r="G1006" s="40" t="s">
        <v>89</v>
      </c>
      <c r="H1006" s="40" t="s">
        <v>89</v>
      </c>
      <c r="I1006" s="40" t="s">
        <v>89</v>
      </c>
      <c r="J1006" s="40" t="s">
        <v>89</v>
      </c>
      <c r="K1006" s="40" t="s">
        <v>752</v>
      </c>
      <c r="L1006" s="185" t="s">
        <v>287</v>
      </c>
      <c r="M1006" s="48">
        <f>O1006</f>
        <v>2083</v>
      </c>
      <c r="O1006" s="52">
        <f>S1006</f>
        <v>2083</v>
      </c>
      <c r="S1006" s="181">
        <v>2083</v>
      </c>
      <c r="U1006" s="266">
        <f>ABS(S1006)*Cost.SEs.CoV</f>
        <v>416.6</v>
      </c>
      <c r="V1006" s="109">
        <f>_xlfn.GAMMA.INV(0.025, AD1006, AE1006)</f>
        <v>1348.0077715611392</v>
      </c>
      <c r="X1006" s="109">
        <f>_xlfn.GAMMA.INV(0.975, AD1006, AE1006)</f>
        <v>2975.3653315115171</v>
      </c>
      <c r="Y1006" s="258" t="s">
        <v>325</v>
      </c>
      <c r="AA1006" s="19">
        <f ca="1">RAND()</f>
        <v>0.34109377104839977</v>
      </c>
      <c r="AB1006" s="47">
        <f ca="1">_xlfn.GAMMA.INV(AA1006,AD1006,AE1006)</f>
        <v>1890.6534641612245</v>
      </c>
      <c r="AC1006" s="15" t="s">
        <v>38</v>
      </c>
      <c r="AD1006" s="54">
        <f>S1006^2/U1006^2</f>
        <v>24.999999999999996</v>
      </c>
      <c r="AE1006" s="55">
        <f>U1006^2/S1006</f>
        <v>83.320000000000007</v>
      </c>
    </row>
    <row r="1007" spans="1:31" ht="12" customHeight="1" outlineLevel="3" x14ac:dyDescent="0.25">
      <c r="A1007" s="374"/>
      <c r="B1007" s="385"/>
      <c r="C1007" s="377"/>
      <c r="G1007" s="40" t="s">
        <v>89</v>
      </c>
      <c r="H1007" s="40" t="s">
        <v>89</v>
      </c>
      <c r="I1007" s="40" t="s">
        <v>89</v>
      </c>
      <c r="J1007" s="40" t="s">
        <v>89</v>
      </c>
      <c r="K1007" s="40" t="s">
        <v>752</v>
      </c>
      <c r="L1007" s="185" t="s">
        <v>208</v>
      </c>
      <c r="M1007" s="174">
        <f>O1007</f>
        <v>2083</v>
      </c>
      <c r="O1007" s="52" cm="1">
        <f t="array" ref="O1007">M1006/(3/12)*E.cycleLength</f>
        <v>2083</v>
      </c>
      <c r="V1007" s="109" cm="1">
        <f t="array" ref="V1007">V1006/(3/12)*E.cycleLength</f>
        <v>1348.0077715611392</v>
      </c>
      <c r="X1007" s="109" cm="1">
        <f t="array" ref="X1007">X1006/(3/12)*E.cycleLength</f>
        <v>2975.3653315115171</v>
      </c>
    </row>
    <row r="1008" spans="1:31" ht="12" customHeight="1" outlineLevel="3" x14ac:dyDescent="0.25">
      <c r="A1008" s="374"/>
      <c r="B1008" s="385"/>
      <c r="C1008" s="377"/>
      <c r="G1008" s="40" t="s">
        <v>89</v>
      </c>
      <c r="H1008" s="40" t="s">
        <v>89</v>
      </c>
      <c r="I1008" s="40" t="s">
        <v>89</v>
      </c>
      <c r="J1008" s="40" t="s">
        <v>89</v>
      </c>
      <c r="K1008" s="40" t="s">
        <v>752</v>
      </c>
      <c r="L1008" s="151" t="s">
        <v>288</v>
      </c>
      <c r="M1008" s="174">
        <f>O1008</f>
        <v>2425.914515081316</v>
      </c>
      <c r="O1008" s="52">
        <f>M1004+M1007</f>
        <v>2425.914515081316</v>
      </c>
    </row>
    <row r="1009" spans="1:31" ht="12" customHeight="1" outlineLevel="3" x14ac:dyDescent="0.25">
      <c r="A1009" s="374"/>
      <c r="B1009" s="385"/>
      <c r="C1009" s="377"/>
      <c r="G1009" s="40" t="s">
        <v>89</v>
      </c>
      <c r="H1009" s="40" t="s">
        <v>89</v>
      </c>
      <c r="I1009" s="40" t="s">
        <v>89</v>
      </c>
      <c r="J1009" s="40" t="s">
        <v>89</v>
      </c>
      <c r="K1009" s="40" t="s">
        <v>89</v>
      </c>
      <c r="L1009" s="10" t="s">
        <v>98</v>
      </c>
    </row>
    <row r="1010" spans="1:31" ht="12" customHeight="1" outlineLevel="3" x14ac:dyDescent="0.25">
      <c r="A1010" s="374"/>
      <c r="B1010" s="385"/>
      <c r="C1010" s="377"/>
      <c r="G1010" s="40" t="s">
        <v>89</v>
      </c>
      <c r="H1010" s="40" t="s">
        <v>89</v>
      </c>
      <c r="I1010" s="40" t="s">
        <v>89</v>
      </c>
      <c r="J1010" s="40" t="s">
        <v>89</v>
      </c>
      <c r="K1010" s="40" t="s">
        <v>89</v>
      </c>
      <c r="L1010" s="151" t="s">
        <v>207</v>
      </c>
    </row>
    <row r="1011" spans="1:31" ht="12" customHeight="1" outlineLevel="3" x14ac:dyDescent="0.25">
      <c r="A1011" s="374"/>
      <c r="B1011" s="385"/>
      <c r="C1011" s="377"/>
      <c r="G1011" s="40" t="s">
        <v>89</v>
      </c>
      <c r="H1011" s="40" t="s">
        <v>89</v>
      </c>
      <c r="I1011" s="40" t="s">
        <v>89</v>
      </c>
      <c r="J1011" s="40" t="s">
        <v>89</v>
      </c>
      <c r="K1011" s="40" t="s">
        <v>752</v>
      </c>
      <c r="L1011" s="185" t="s">
        <v>205</v>
      </c>
      <c r="M1011" s="41">
        <f>O1011</f>
        <v>2</v>
      </c>
      <c r="O1011" s="11">
        <f>S1011</f>
        <v>2</v>
      </c>
      <c r="S1011" s="186">
        <v>2</v>
      </c>
    </row>
    <row r="1012" spans="1:31" ht="12" customHeight="1" outlineLevel="3" x14ac:dyDescent="0.25">
      <c r="A1012" s="374"/>
      <c r="B1012" s="385"/>
      <c r="C1012" s="377"/>
      <c r="G1012" s="40" t="s">
        <v>89</v>
      </c>
      <c r="H1012" s="40" t="s">
        <v>89</v>
      </c>
      <c r="I1012" s="40" t="s">
        <v>89</v>
      </c>
      <c r="J1012" s="40" t="s">
        <v>89</v>
      </c>
      <c r="K1012" s="40" t="s">
        <v>752</v>
      </c>
      <c r="L1012" s="185" t="s">
        <v>206</v>
      </c>
      <c r="M1012" s="41">
        <f>O1012</f>
        <v>2</v>
      </c>
      <c r="O1012" s="11">
        <f>S1012</f>
        <v>2</v>
      </c>
      <c r="S1012" s="186">
        <v>2</v>
      </c>
    </row>
    <row r="1013" spans="1:31" ht="12" customHeight="1" outlineLevel="3" x14ac:dyDescent="0.25">
      <c r="A1013" s="374"/>
      <c r="B1013" s="385"/>
      <c r="C1013" s="377"/>
      <c r="G1013" s="40" t="s">
        <v>89</v>
      </c>
      <c r="H1013" s="40" t="s">
        <v>89</v>
      </c>
      <c r="I1013" s="40" t="s">
        <v>89</v>
      </c>
      <c r="J1013" s="40" t="s">
        <v>89</v>
      </c>
      <c r="K1013" s="40" t="s">
        <v>752</v>
      </c>
      <c r="L1013" s="151" t="s">
        <v>208</v>
      </c>
      <c r="M1013" s="174">
        <f>O1013</f>
        <v>873.03814521432787</v>
      </c>
      <c r="O1013" s="52">
        <f>M987 + SUM(M1011*cGP, M956*M1012)</f>
        <v>873.03814521432787</v>
      </c>
      <c r="P1013" s="49"/>
    </row>
    <row r="1014" spans="1:31" ht="12" customHeight="1" outlineLevel="3" x14ac:dyDescent="0.25">
      <c r="A1014" s="374"/>
      <c r="B1014" s="385"/>
      <c r="C1014" s="377"/>
      <c r="G1014" s="40" t="s">
        <v>89</v>
      </c>
      <c r="H1014" s="40" t="s">
        <v>89</v>
      </c>
      <c r="I1014" s="40" t="s">
        <v>89</v>
      </c>
      <c r="J1014" s="40" t="s">
        <v>89</v>
      </c>
      <c r="K1014" s="40" t="s">
        <v>89</v>
      </c>
      <c r="L1014" s="10" t="s">
        <v>210</v>
      </c>
    </row>
    <row r="1015" spans="1:31" ht="12" customHeight="1" outlineLevel="3" x14ac:dyDescent="0.25">
      <c r="A1015" s="374"/>
      <c r="B1015" s="385"/>
      <c r="C1015" s="377"/>
      <c r="G1015" s="40" t="s">
        <v>89</v>
      </c>
      <c r="H1015" s="40" t="s">
        <v>89</v>
      </c>
      <c r="I1015" s="40" t="s">
        <v>89</v>
      </c>
      <c r="J1015" s="40" t="s">
        <v>89</v>
      </c>
      <c r="K1015" s="40" t="s">
        <v>89</v>
      </c>
      <c r="L1015" s="151" t="s">
        <v>207</v>
      </c>
    </row>
    <row r="1016" spans="1:31" ht="12" customHeight="1" outlineLevel="3" x14ac:dyDescent="0.25">
      <c r="A1016" s="374"/>
      <c r="B1016" s="385"/>
      <c r="C1016" s="377"/>
      <c r="G1016" s="40" t="s">
        <v>89</v>
      </c>
      <c r="H1016" s="40" t="s">
        <v>89</v>
      </c>
      <c r="I1016" s="40" t="s">
        <v>89</v>
      </c>
      <c r="J1016" s="40" t="s">
        <v>89</v>
      </c>
      <c r="K1016" s="40" t="s">
        <v>752</v>
      </c>
      <c r="L1016" s="157" t="s">
        <v>219</v>
      </c>
      <c r="M1016" s="36">
        <f>O1016</f>
        <v>4.6647230320699708E-2</v>
      </c>
      <c r="O1016" s="11">
        <f>CHOOSE(swtchPSA, S1016, AB1016)</f>
        <v>4.6647230320699708E-2</v>
      </c>
      <c r="Q1016" s="162">
        <v>686</v>
      </c>
      <c r="R1016" s="14">
        <v>32</v>
      </c>
      <c r="S1016" s="17">
        <f>R1016/Q1016</f>
        <v>4.6647230320699708E-2</v>
      </c>
      <c r="T1016" s="18"/>
      <c r="U1016" s="22">
        <f>SQRT((S1016*(1-S1016))/Q1016)</f>
        <v>8.0515165462187281E-3</v>
      </c>
      <c r="V1016" s="17">
        <f>_xlfn.BETA.INV(0.025, AD1016, AE1016)</f>
        <v>3.2169385228983972E-2</v>
      </c>
      <c r="W1016" s="18"/>
      <c r="X1016" s="17">
        <f>_xlfn.BETA.INV(0.975, AD1016, AE1016)</f>
        <v>6.3624120007508833E-2</v>
      </c>
      <c r="Y1016" s="32" t="s">
        <v>245</v>
      </c>
      <c r="AA1016" s="19">
        <f ca="1">RAND()</f>
        <v>0.38583587739213832</v>
      </c>
      <c r="AB1016" s="21">
        <f ca="1">_xlfn.BETA.INV(AA1016, AD1016, AE1016)</f>
        <v>4.3919148825461558E-2</v>
      </c>
      <c r="AC1016" s="20" t="s">
        <v>28</v>
      </c>
      <c r="AD1016" s="34">
        <f>R1016</f>
        <v>32</v>
      </c>
      <c r="AE1016" s="33">
        <f>Q1016-R1016</f>
        <v>654</v>
      </c>
    </row>
    <row r="1017" spans="1:31" ht="12" customHeight="1" outlineLevel="3" x14ac:dyDescent="0.25">
      <c r="A1017" s="374"/>
      <c r="B1017" s="385"/>
      <c r="C1017" s="377"/>
      <c r="G1017" s="40" t="s">
        <v>89</v>
      </c>
      <c r="H1017" s="40" t="s">
        <v>89</v>
      </c>
      <c r="I1017" s="40" t="s">
        <v>89</v>
      </c>
      <c r="J1017" s="40" t="s">
        <v>89</v>
      </c>
      <c r="K1017" s="40" t="s">
        <v>89</v>
      </c>
      <c r="L1017" s="185" t="s">
        <v>289</v>
      </c>
    </row>
    <row r="1018" spans="1:31" ht="12" customHeight="1" outlineLevel="3" x14ac:dyDescent="0.25">
      <c r="A1018" s="374"/>
      <c r="B1018" s="385"/>
      <c r="C1018" s="377"/>
      <c r="G1018" s="40" t="s">
        <v>89</v>
      </c>
      <c r="H1018" s="40" t="s">
        <v>89</v>
      </c>
      <c r="I1018" s="40" t="s">
        <v>89</v>
      </c>
      <c r="J1018" s="40" t="s">
        <v>89</v>
      </c>
      <c r="K1018" s="40" t="s">
        <v>752</v>
      </c>
      <c r="L1018" s="205" t="s">
        <v>290</v>
      </c>
      <c r="M1018" s="85">
        <f t="shared" ref="M1018:M1026" si="143">O1018</f>
        <v>3</v>
      </c>
      <c r="O1018" s="167">
        <f>CHOOSE(swtchPSA, S1018, AB1018)</f>
        <v>3</v>
      </c>
      <c r="Q1018" s="162">
        <v>15478</v>
      </c>
      <c r="S1018" s="39">
        <v>3</v>
      </c>
      <c r="T1018" s="39">
        <v>7</v>
      </c>
      <c r="U1018" s="84">
        <f>T1018/SQRT(Q1018)</f>
        <v>5.6265297413091046E-2</v>
      </c>
      <c r="V1018" s="207">
        <f>_xlfn.LOGNORM.INV(0.025, AD1018, AE1018)</f>
        <v>2.8912251968332274</v>
      </c>
      <c r="W1018" s="77"/>
      <c r="X1018" s="207">
        <f>_xlfn.LOGNORM.INV(0.975, AD1018, AE1018)</f>
        <v>3.1117725936208611</v>
      </c>
      <c r="Y1018" s="32" t="s">
        <v>296</v>
      </c>
      <c r="AA1018" s="19">
        <f ca="1">RAND()</f>
        <v>2.9602817663669234E-2</v>
      </c>
      <c r="AB1018" s="37">
        <f ca="1">_xlfn.LOGNORM.INV(AA1018, AD1018, AE1018)</f>
        <v>2.895202329103828</v>
      </c>
      <c r="AC1018" s="20" t="s">
        <v>20</v>
      </c>
      <c r="AD1018" s="27">
        <f>LN(S1018) - 0.5 * AE1018 ^ 2</f>
        <v>1.0984364427216995</v>
      </c>
      <c r="AE1018" s="26">
        <f>SQRT(LN(1 + (U1018 ^ 2 / S1018 ^ 2)))</f>
        <v>1.875345015778344E-2</v>
      </c>
    </row>
    <row r="1019" spans="1:31" ht="12" customHeight="1" outlineLevel="3" x14ac:dyDescent="0.25">
      <c r="A1019" s="374"/>
      <c r="B1019" s="385"/>
      <c r="C1019" s="377"/>
      <c r="G1019" s="40" t="s">
        <v>89</v>
      </c>
      <c r="H1019" s="40" t="s">
        <v>89</v>
      </c>
      <c r="I1019" s="40" t="s">
        <v>89</v>
      </c>
      <c r="J1019" s="40" t="s">
        <v>89</v>
      </c>
      <c r="K1019" s="40" t="s">
        <v>752</v>
      </c>
      <c r="L1019" s="205" t="s">
        <v>291</v>
      </c>
      <c r="M1019" s="208">
        <f t="shared" si="143"/>
        <v>4.4000000000000004</v>
      </c>
      <c r="O1019" s="167">
        <f>S1019</f>
        <v>4.4000000000000004</v>
      </c>
      <c r="Q1019" s="162">
        <v>3067</v>
      </c>
      <c r="S1019" s="39">
        <v>4.4000000000000004</v>
      </c>
      <c r="T1019" s="39">
        <v>7.8</v>
      </c>
      <c r="U1019" s="84">
        <f>T1019/SQRT(Q1019)</f>
        <v>0.1408437937643339</v>
      </c>
      <c r="V1019" s="207">
        <f>_xlfn.LOGNORM.INV(0.025, AD1019, AE1019)</f>
        <v>4.1303832178155879</v>
      </c>
      <c r="W1019" s="77"/>
      <c r="X1019" s="207">
        <f>_xlfn.LOGNORM.INV(0.975, AD1019, AE1019)</f>
        <v>4.6824186306085656</v>
      </c>
      <c r="Y1019" s="32" t="s">
        <v>296</v>
      </c>
      <c r="AB1019"/>
      <c r="AC1019" s="20" t="s">
        <v>20</v>
      </c>
      <c r="AD1019" s="27">
        <f>LN(S1019) - 0.5 * AE1019 ^ 2</f>
        <v>1.4810924846657216</v>
      </c>
      <c r="AE1019" s="26">
        <f>SQRT(LN(1 + (U1019 ^ 2 / S1019 ^ 2)))</f>
        <v>3.200175802964135E-2</v>
      </c>
    </row>
    <row r="1020" spans="1:31" ht="12" customHeight="1" outlineLevel="3" x14ac:dyDescent="0.25">
      <c r="A1020" s="374"/>
      <c r="B1020" s="385"/>
      <c r="C1020" s="377"/>
      <c r="G1020" s="40" t="s">
        <v>89</v>
      </c>
      <c r="H1020" s="40" t="s">
        <v>89</v>
      </c>
      <c r="I1020" s="40" t="s">
        <v>89</v>
      </c>
      <c r="J1020" s="40" t="s">
        <v>89</v>
      </c>
      <c r="K1020" s="40" t="s">
        <v>752</v>
      </c>
      <c r="L1020" s="205" t="s">
        <v>292</v>
      </c>
      <c r="M1020" s="208">
        <f t="shared" si="143"/>
        <v>4.5</v>
      </c>
      <c r="O1020" s="167">
        <f>S1020</f>
        <v>4.5</v>
      </c>
      <c r="Q1020" s="162">
        <v>807</v>
      </c>
      <c r="S1020" s="39">
        <v>4.5</v>
      </c>
      <c r="T1020" s="39">
        <v>5.4</v>
      </c>
      <c r="U1020" s="84">
        <f>T1020/SQRT(Q1020)</f>
        <v>0.19008900282836599</v>
      </c>
      <c r="V1020" s="207">
        <f>_xlfn.LOGNORM.INV(0.025, AD1020, AE1020)</f>
        <v>4.138900184390371</v>
      </c>
      <c r="W1020" s="77"/>
      <c r="X1020" s="207">
        <f>_xlfn.LOGNORM.INV(0.975, AD1020, AE1020)</f>
        <v>4.8838893503916427</v>
      </c>
      <c r="Y1020" s="32" t="s">
        <v>296</v>
      </c>
      <c r="AB1020"/>
      <c r="AC1020" s="20" t="s">
        <v>20</v>
      </c>
      <c r="AD1020" s="27">
        <f>LN(S1020) - 0.5 * AE1020 ^ 2</f>
        <v>1.5031859985309641</v>
      </c>
      <c r="AE1020" s="26">
        <f>SQRT(LN(1 + (U1020 ^ 2 / S1020 ^ 2)))</f>
        <v>4.2223174805075488E-2</v>
      </c>
    </row>
    <row r="1021" spans="1:31" ht="12" customHeight="1" outlineLevel="3" x14ac:dyDescent="0.25">
      <c r="A1021" s="374"/>
      <c r="B1021" s="385"/>
      <c r="C1021" s="377"/>
      <c r="G1021" s="40" t="s">
        <v>89</v>
      </c>
      <c r="H1021" s="40" t="s">
        <v>89</v>
      </c>
      <c r="I1021" s="40" t="s">
        <v>89</v>
      </c>
      <c r="J1021" s="40" t="s">
        <v>89</v>
      </c>
      <c r="K1021" s="40" t="s">
        <v>752</v>
      </c>
      <c r="L1021" s="205" t="s">
        <v>293</v>
      </c>
      <c r="M1021" s="208">
        <f t="shared" si="143"/>
        <v>7.3</v>
      </c>
      <c r="O1021" s="167">
        <f>S1021</f>
        <v>7.3</v>
      </c>
      <c r="Q1021" s="162">
        <v>588</v>
      </c>
      <c r="S1021" s="39">
        <v>7.3</v>
      </c>
      <c r="T1021" s="39">
        <v>8</v>
      </c>
      <c r="U1021" s="84">
        <f>T1021/SQRT(Q1021)</f>
        <v>0.32991443953692901</v>
      </c>
      <c r="V1021" s="207">
        <f>_xlfn.LOGNORM.INV(0.025, AD1021, AE1021)</f>
        <v>6.6746795243290364</v>
      </c>
      <c r="W1021" s="77"/>
      <c r="X1021" s="207">
        <f>_xlfn.LOGNORM.INV(0.975, AD1021, AE1021)</f>
        <v>7.9676302249265598</v>
      </c>
      <c r="Y1021" s="32" t="s">
        <v>296</v>
      </c>
      <c r="AB1021"/>
      <c r="AC1021" s="20" t="s">
        <v>20</v>
      </c>
      <c r="AD1021" s="27">
        <f>LN(S1021) - 0.5 * AE1021 ^ 2</f>
        <v>1.9868541517442282</v>
      </c>
      <c r="AE1021" s="26">
        <f>SQRT(LN(1 + (U1021 ^ 2 / S1021 ^ 2)))</f>
        <v>4.5170707546315476E-2</v>
      </c>
    </row>
    <row r="1022" spans="1:31" ht="12" customHeight="1" outlineLevel="3" x14ac:dyDescent="0.25">
      <c r="A1022" s="374"/>
      <c r="B1022" s="385"/>
      <c r="C1022" s="377"/>
      <c r="G1022" s="40" t="s">
        <v>89</v>
      </c>
      <c r="H1022" s="40" t="s">
        <v>89</v>
      </c>
      <c r="I1022" s="40" t="s">
        <v>89</v>
      </c>
      <c r="J1022" s="40" t="s">
        <v>89</v>
      </c>
      <c r="K1022" s="40" t="s">
        <v>752</v>
      </c>
      <c r="L1022" s="171" t="s">
        <v>294</v>
      </c>
      <c r="M1022" s="206">
        <f>O1022</f>
        <v>4.800246526221426</v>
      </c>
      <c r="O1022" s="209">
        <f>CHOOSE(swtchPSA, S1022, AB1022)</f>
        <v>4.800246526221426</v>
      </c>
      <c r="Q1022" s="163">
        <f>SUM(Q1019:Q1021)</f>
        <v>4462</v>
      </c>
      <c r="S1022" s="207">
        <f>SUMPRODUCT(S1019:S1021, Q1019:Q1021) / SUM(Q1022)</f>
        <v>4.800246526221426</v>
      </c>
      <c r="T1022" s="207">
        <f>SQRT((T1019^2*(Q1019-1) + T1020^2*(Q1020-1) + T1021^2*(Q1021-1)) / (Q1022-3))</f>
        <v>7.4518172698649936</v>
      </c>
      <c r="U1022" s="84">
        <f>T1022/SQRT(Q1022)</f>
        <v>0.1115571508177701</v>
      </c>
      <c r="V1022" s="207">
        <f>_xlfn.LOGNORM.INV(0.025, AD1022, AE1022)</f>
        <v>4.5852935365437855</v>
      </c>
      <c r="W1022" s="77"/>
      <c r="X1022" s="207">
        <f>_xlfn.LOGNORM.INV(0.975, AD1022, AE1022)</f>
        <v>5.0225636044616024</v>
      </c>
      <c r="AA1022" s="19">
        <f ca="1">RAND()</f>
        <v>0.14388813909595455</v>
      </c>
      <c r="AB1022" s="37">
        <f ca="1">_xlfn.LOGNORM.INV(AA1022, AD1022, AE1022)</f>
        <v>4.6818641588523509</v>
      </c>
      <c r="AC1022" s="20" t="s">
        <v>20</v>
      </c>
      <c r="AD1022" s="27">
        <f>LN(S1022) - 0.5 * AE1022 ^ 2</f>
        <v>1.5683973031235623</v>
      </c>
      <c r="AE1022" s="26">
        <f>SQRT(LN(1 + (U1022 ^ 2 / S1022 ^ 2)))</f>
        <v>2.3236742494857795E-2</v>
      </c>
    </row>
    <row r="1023" spans="1:31" ht="12" customHeight="1" outlineLevel="3" x14ac:dyDescent="0.25">
      <c r="A1023" s="374"/>
      <c r="B1023" s="385"/>
      <c r="C1023" s="377"/>
      <c r="G1023" s="40" t="s">
        <v>89</v>
      </c>
      <c r="H1023" s="40" t="s">
        <v>89</v>
      </c>
      <c r="I1023" s="40" t="s">
        <v>89</v>
      </c>
      <c r="J1023" s="40" t="s">
        <v>89</v>
      </c>
      <c r="K1023" s="40" t="s">
        <v>752</v>
      </c>
      <c r="L1023" s="171" t="s">
        <v>295</v>
      </c>
      <c r="M1023" s="206">
        <f t="shared" si="143"/>
        <v>1.800246526221426</v>
      </c>
      <c r="O1023" s="167">
        <f>M1022-M1018</f>
        <v>1.800246526221426</v>
      </c>
    </row>
    <row r="1024" spans="1:31" ht="12" customHeight="1" outlineLevel="3" x14ac:dyDescent="0.25">
      <c r="A1024" s="374"/>
      <c r="B1024" s="385"/>
      <c r="C1024" s="377"/>
      <c r="G1024" s="40" t="s">
        <v>89</v>
      </c>
      <c r="H1024" s="40" t="s">
        <v>89</v>
      </c>
      <c r="I1024" s="40" t="s">
        <v>89</v>
      </c>
      <c r="J1024" s="40" t="s">
        <v>89</v>
      </c>
      <c r="K1024" s="40" t="s">
        <v>752</v>
      </c>
      <c r="L1024" s="185" t="s">
        <v>206</v>
      </c>
      <c r="M1024" s="41">
        <f t="shared" si="143"/>
        <v>2</v>
      </c>
      <c r="O1024" s="11">
        <f>S1024</f>
        <v>2</v>
      </c>
      <c r="S1024" s="186">
        <v>2</v>
      </c>
    </row>
    <row r="1025" spans="1:19" ht="12" customHeight="1" outlineLevel="3" x14ac:dyDescent="0.25">
      <c r="A1025" s="374"/>
      <c r="B1025" s="385"/>
      <c r="C1025" s="377"/>
      <c r="G1025" s="40" t="s">
        <v>89</v>
      </c>
      <c r="H1025" s="40" t="s">
        <v>89</v>
      </c>
      <c r="I1025" s="40" t="s">
        <v>89</v>
      </c>
      <c r="J1025" s="40" t="s">
        <v>89</v>
      </c>
      <c r="K1025" s="40" t="s">
        <v>752</v>
      </c>
      <c r="L1025" s="185" t="s">
        <v>233</v>
      </c>
      <c r="M1025" s="41">
        <f t="shared" si="143"/>
        <v>3</v>
      </c>
      <c r="O1025" s="11">
        <f>S1025</f>
        <v>3</v>
      </c>
      <c r="S1025" s="186">
        <v>3</v>
      </c>
    </row>
    <row r="1026" spans="1:19" ht="12" customHeight="1" outlineLevel="3" x14ac:dyDescent="0.25">
      <c r="A1026" s="374"/>
      <c r="B1026" s="385"/>
      <c r="C1026" s="377"/>
      <c r="G1026" s="40" t="s">
        <v>89</v>
      </c>
      <c r="H1026" s="40" t="s">
        <v>89</v>
      </c>
      <c r="I1026" s="40" t="s">
        <v>89</v>
      </c>
      <c r="J1026" s="40" t="s">
        <v>89</v>
      </c>
      <c r="K1026" s="40" t="s">
        <v>752</v>
      </c>
      <c r="L1026" s="151" t="s">
        <v>222</v>
      </c>
      <c r="M1026" s="174">
        <f t="shared" si="143"/>
        <v>3263.485579946539</v>
      </c>
      <c r="O1026" s="52">
        <f>M966 + M975*M1016*M1023</f>
        <v>3263.485579946539</v>
      </c>
      <c r="P1026" s="49"/>
    </row>
    <row r="1027" spans="1:19" ht="12" customHeight="1" outlineLevel="3" x14ac:dyDescent="0.25">
      <c r="A1027" s="374"/>
      <c r="B1027" s="385"/>
      <c r="C1027" s="377"/>
      <c r="G1027" s="40" t="s">
        <v>89</v>
      </c>
      <c r="H1027" s="40" t="s">
        <v>89</v>
      </c>
      <c r="I1027" s="40" t="s">
        <v>89</v>
      </c>
      <c r="J1027" s="40" t="s">
        <v>89</v>
      </c>
      <c r="K1027" s="40" t="s">
        <v>89</v>
      </c>
      <c r="L1027" s="151" t="s">
        <v>223</v>
      </c>
    </row>
    <row r="1028" spans="1:19" ht="12" customHeight="1" outlineLevel="3" x14ac:dyDescent="0.25">
      <c r="A1028" s="374"/>
      <c r="B1028" s="385"/>
      <c r="C1028" s="377"/>
      <c r="G1028" s="40" t="s">
        <v>89</v>
      </c>
      <c r="H1028" s="40" t="s">
        <v>89</v>
      </c>
      <c r="I1028" s="40" t="s">
        <v>89</v>
      </c>
      <c r="J1028" s="40" t="s">
        <v>89</v>
      </c>
      <c r="K1028" s="40" t="s">
        <v>752</v>
      </c>
      <c r="L1028" s="185" t="s">
        <v>224</v>
      </c>
      <c r="M1028" s="174">
        <f t="shared" ref="M1028:M1033" si="144">O1028</f>
        <v>3263.485579946539</v>
      </c>
      <c r="O1028" s="52">
        <f>$M$1026+0</f>
        <v>3263.485579946539</v>
      </c>
    </row>
    <row r="1029" spans="1:19" ht="12" customHeight="1" outlineLevel="3" x14ac:dyDescent="0.25">
      <c r="A1029" s="374"/>
      <c r="B1029" s="385"/>
      <c r="C1029" s="377"/>
      <c r="G1029" s="40" t="s">
        <v>89</v>
      </c>
      <c r="H1029" s="40" t="s">
        <v>89</v>
      </c>
      <c r="I1029" s="40" t="s">
        <v>89</v>
      </c>
      <c r="J1029" s="40" t="s">
        <v>89</v>
      </c>
      <c r="K1029" s="40" t="s">
        <v>752</v>
      </c>
      <c r="L1029" s="185" t="s">
        <v>225</v>
      </c>
      <c r="M1029" s="174">
        <f t="shared" si="144"/>
        <v>3990.156951582293</v>
      </c>
      <c r="O1029" s="52" cm="1">
        <f t="array" ref="O1029">$M$1026+M987*(1-$M$1071/E.cycleLength)</f>
        <v>3990.156951582293</v>
      </c>
      <c r="P1029" s="49"/>
      <c r="Q1029" s="49"/>
    </row>
    <row r="1030" spans="1:19" ht="12" customHeight="1" outlineLevel="3" x14ac:dyDescent="0.25">
      <c r="A1030" s="374"/>
      <c r="B1030" s="385"/>
      <c r="C1030" s="377"/>
      <c r="G1030" s="40" t="s">
        <v>89</v>
      </c>
      <c r="H1030" s="40" t="s">
        <v>89</v>
      </c>
      <c r="I1030" s="40" t="s">
        <v>89</v>
      </c>
      <c r="J1030" s="40" t="s">
        <v>89</v>
      </c>
      <c r="K1030" s="40" t="s">
        <v>752</v>
      </c>
      <c r="L1030" s="185" t="s">
        <v>226</v>
      </c>
      <c r="M1030" s="174">
        <f t="shared" si="144"/>
        <v>6835.7332593091269</v>
      </c>
      <c r="O1030" s="52" cm="1">
        <f t="array" ref="O1030">$M$1026+M991*(1-$M$1071/E.cycleLength)</f>
        <v>6835.7332593091269</v>
      </c>
      <c r="P1030" s="49"/>
      <c r="Q1030" s="49"/>
    </row>
    <row r="1031" spans="1:19" ht="12" customHeight="1" outlineLevel="3" x14ac:dyDescent="0.25">
      <c r="A1031" s="374"/>
      <c r="B1031" s="385"/>
      <c r="C1031" s="377"/>
      <c r="G1031" s="40" t="s">
        <v>89</v>
      </c>
      <c r="H1031" s="40" t="s">
        <v>89</v>
      </c>
      <c r="I1031" s="40" t="s">
        <v>89</v>
      </c>
      <c r="J1031" s="40" t="s">
        <v>89</v>
      </c>
      <c r="K1031" s="40" t="s">
        <v>752</v>
      </c>
      <c r="L1031" s="185" t="s">
        <v>227</v>
      </c>
      <c r="M1031" s="174">
        <f t="shared" si="144"/>
        <v>8920.5556966394088</v>
      </c>
      <c r="O1031" s="52" cm="1">
        <f t="array" ref="O1031">$M$1026+M995*(1-$M$1071/E.cycleLength)</f>
        <v>8920.5556966394088</v>
      </c>
      <c r="P1031" s="49"/>
      <c r="Q1031" s="49"/>
    </row>
    <row r="1032" spans="1:19" ht="12" customHeight="1" outlineLevel="3" x14ac:dyDescent="0.25">
      <c r="A1032" s="374"/>
      <c r="B1032" s="385"/>
      <c r="C1032" s="377"/>
      <c r="G1032" s="40" t="s">
        <v>89</v>
      </c>
      <c r="H1032" s="40" t="s">
        <v>89</v>
      </c>
      <c r="I1032" s="40" t="s">
        <v>89</v>
      </c>
      <c r="J1032" s="40" t="s">
        <v>89</v>
      </c>
      <c r="K1032" s="40" t="s">
        <v>752</v>
      </c>
      <c r="L1032" s="151" t="s">
        <v>231</v>
      </c>
      <c r="M1032" s="174">
        <f t="shared" si="144"/>
        <v>4322.2755506855701</v>
      </c>
      <c r="O1032" s="52">
        <f>SUM(M1028*E.pDeath.SecondaryAKInoRRT, M1030*E.pCKD5.postSecondaryAKInoRRT, M1029*(1-E.pDeath.SecondaryAKInoRRT-E.pCKD5.postSecondaryAKInoRRT))</f>
        <v>4322.2755506855701</v>
      </c>
    </row>
    <row r="1033" spans="1:19" ht="12" customHeight="1" outlineLevel="3" thickBot="1" x14ac:dyDescent="0.3">
      <c r="A1033" s="374"/>
      <c r="B1033" s="385"/>
      <c r="C1033" s="377"/>
      <c r="G1033" s="40" t="s">
        <v>89</v>
      </c>
      <c r="H1033" s="40" t="s">
        <v>89</v>
      </c>
      <c r="I1033" s="40" t="s">
        <v>89</v>
      </c>
      <c r="J1033" s="40" t="s">
        <v>89</v>
      </c>
      <c r="K1033" s="40" t="s">
        <v>752</v>
      </c>
      <c r="L1033" s="151" t="s">
        <v>232</v>
      </c>
      <c r="M1033" s="174">
        <f t="shared" si="144"/>
        <v>4800.2901669195071</v>
      </c>
      <c r="O1033" s="52">
        <f>SUM(M1028*E.pDeath.SecondaryAKInoRRT, M1030*E.pCKD5.postSecondaryAKI, M1031*E.pCKD5D.postSecondaryAKI, M1029*(1-E.pDeath.SecondaryAKInoRRT-E.pCKD5.postSecondaryAKInoRRT), M980*M1025)</f>
        <v>4800.2901669195071</v>
      </c>
    </row>
    <row r="1034" spans="1:19" s="110" customFormat="1" ht="12" customHeight="1" outlineLevel="2" thickBot="1" x14ac:dyDescent="0.3">
      <c r="A1034" s="374"/>
      <c r="B1034" s="385"/>
      <c r="C1034" s="377"/>
      <c r="D1034" s="112"/>
      <c r="G1034" s="112" t="s">
        <v>89</v>
      </c>
      <c r="H1034" s="112" t="s">
        <v>89</v>
      </c>
      <c r="I1034" s="112" t="s">
        <v>89</v>
      </c>
      <c r="J1034" s="112" t="s">
        <v>89</v>
      </c>
      <c r="K1034" s="112" t="s">
        <v>89</v>
      </c>
      <c r="L1034" s="110" t="s">
        <v>234</v>
      </c>
    </row>
    <row r="1035" spans="1:19" ht="12" customHeight="1" outlineLevel="3" x14ac:dyDescent="0.25">
      <c r="A1035" s="374"/>
      <c r="B1035" s="385"/>
      <c r="C1035" s="377"/>
      <c r="D1035" s="40">
        <v>1</v>
      </c>
      <c r="G1035" s="40" t="s">
        <v>89</v>
      </c>
      <c r="H1035" s="40" t="s">
        <v>89</v>
      </c>
      <c r="I1035" s="40" t="s">
        <v>89</v>
      </c>
      <c r="J1035" s="40" t="s">
        <v>89</v>
      </c>
      <c r="K1035" s="40" t="s">
        <v>752</v>
      </c>
      <c r="L1035" s="76" t="str" cm="1">
        <f t="array" aca="1" ref="L1035" ca="1">INDEX(K.rngStates, $D1035)</f>
        <v>No event no NSAID</v>
      </c>
      <c r="M1035" s="174">
        <f t="shared" ref="M1035:M1046" si="145">O1035</f>
        <v>803.76917670526291</v>
      </c>
      <c r="N1035" s="449" t="s">
        <v>850</v>
      </c>
      <c r="O1035" s="82">
        <f>M987 + E.cMeds.Paracetamol</f>
        <v>803.76917670526291</v>
      </c>
    </row>
    <row r="1036" spans="1:19" ht="12" customHeight="1" outlineLevel="3" x14ac:dyDescent="0.25">
      <c r="A1036" s="374"/>
      <c r="B1036" s="385"/>
      <c r="C1036" s="377"/>
      <c r="D1036" s="40">
        <f t="shared" ref="D1036:D1046" si="146">D1035+1</f>
        <v>2</v>
      </c>
      <c r="G1036" s="40" t="s">
        <v>89</v>
      </c>
      <c r="H1036" s="40" t="s">
        <v>89</v>
      </c>
      <c r="I1036" s="40" t="s">
        <v>89</v>
      </c>
      <c r="J1036" s="40" t="s">
        <v>89</v>
      </c>
      <c r="K1036" s="40" t="s">
        <v>752</v>
      </c>
      <c r="L1036" s="76" t="str" cm="1">
        <f t="array" aca="1" ref="L1036" ca="1">INDEX(K.rngStates, $D1036)</f>
        <v>No event + NSAID</v>
      </c>
      <c r="M1036" s="174">
        <f t="shared" si="145"/>
        <v>794.66817856240584</v>
      </c>
      <c r="N1036" s="450"/>
      <c r="O1036" s="82">
        <f>M987 + E.cMeds.NSAIDs</f>
        <v>794.66817856240584</v>
      </c>
      <c r="P1036" s="49"/>
    </row>
    <row r="1037" spans="1:19" ht="12" customHeight="1" outlineLevel="3" x14ac:dyDescent="0.25">
      <c r="A1037" s="374"/>
      <c r="B1037" s="385"/>
      <c r="C1037" s="377"/>
      <c r="D1037" s="40">
        <f t="shared" si="146"/>
        <v>3</v>
      </c>
      <c r="G1037" s="40" t="s">
        <v>89</v>
      </c>
      <c r="H1037" s="40" t="s">
        <v>89</v>
      </c>
      <c r="I1037" s="40" t="s">
        <v>89</v>
      </c>
      <c r="J1037" s="40" t="s">
        <v>89</v>
      </c>
      <c r="K1037" s="40" t="s">
        <v>752</v>
      </c>
      <c r="L1037" s="76" t="str" cm="1">
        <f t="array" aca="1" ref="L1037" ca="1">INDEX(K.rngStates, $D1037)</f>
        <v>Primary care AKI</v>
      </c>
      <c r="M1037" s="174">
        <f t="shared" si="145"/>
        <v>873.03814521432787</v>
      </c>
      <c r="N1037" s="450"/>
      <c r="O1037" s="82">
        <f>M1013</f>
        <v>873.03814521432787</v>
      </c>
    </row>
    <row r="1038" spans="1:19" ht="12" customHeight="1" outlineLevel="3" x14ac:dyDescent="0.25">
      <c r="A1038" s="374"/>
      <c r="B1038" s="385"/>
      <c r="C1038" s="377"/>
      <c r="D1038" s="40">
        <f t="shared" si="146"/>
        <v>4</v>
      </c>
      <c r="G1038" s="40" t="s">
        <v>89</v>
      </c>
      <c r="H1038" s="40" t="s">
        <v>89</v>
      </c>
      <c r="I1038" s="40" t="s">
        <v>89</v>
      </c>
      <c r="J1038" s="40" t="s">
        <v>89</v>
      </c>
      <c r="K1038" s="40" t="s">
        <v>752</v>
      </c>
      <c r="L1038" s="76" t="str" cm="1">
        <f t="array" aca="1" ref="L1038" ca="1">INDEX(K.rngStates, $D1038)</f>
        <v>Secondary care AKI (no RRT)</v>
      </c>
      <c r="M1038" s="174">
        <f t="shared" si="145"/>
        <v>4322.2755506855701</v>
      </c>
      <c r="N1038" s="450"/>
      <c r="O1038" s="82">
        <f>M1032</f>
        <v>4322.2755506855701</v>
      </c>
    </row>
    <row r="1039" spans="1:19" ht="12" customHeight="1" outlineLevel="3" x14ac:dyDescent="0.25">
      <c r="A1039" s="374"/>
      <c r="B1039" s="385"/>
      <c r="C1039" s="377"/>
      <c r="D1039" s="40">
        <f t="shared" si="146"/>
        <v>5</v>
      </c>
      <c r="G1039" s="40" t="s">
        <v>89</v>
      </c>
      <c r="H1039" s="40" t="s">
        <v>89</v>
      </c>
      <c r="I1039" s="40" t="s">
        <v>89</v>
      </c>
      <c r="J1039" s="40" t="s">
        <v>89</v>
      </c>
      <c r="K1039" s="40" t="s">
        <v>752</v>
      </c>
      <c r="L1039" s="76" t="str" cm="1">
        <f t="array" aca="1" ref="L1039" ca="1">INDEX(K.rngStates, $D1039)</f>
        <v>Secondary care AKI (with RRT)</v>
      </c>
      <c r="M1039" s="174">
        <f t="shared" si="145"/>
        <v>4800.2901669195071</v>
      </c>
      <c r="N1039" s="450"/>
      <c r="O1039" s="82">
        <f>M1033</f>
        <v>4800.2901669195071</v>
      </c>
    </row>
    <row r="1040" spans="1:19" ht="12" customHeight="1" outlineLevel="3" x14ac:dyDescent="0.25">
      <c r="A1040" s="374"/>
      <c r="B1040" s="385"/>
      <c r="C1040" s="377"/>
      <c r="D1040" s="40">
        <f t="shared" si="146"/>
        <v>6</v>
      </c>
      <c r="G1040" s="40" t="s">
        <v>89</v>
      </c>
      <c r="H1040" s="40" t="s">
        <v>89</v>
      </c>
      <c r="I1040" s="40" t="s">
        <v>89</v>
      </c>
      <c r="J1040" s="40" t="s">
        <v>89</v>
      </c>
      <c r="K1040" s="40" t="s">
        <v>752</v>
      </c>
      <c r="L1040" s="76" t="str" cm="1">
        <f t="array" aca="1" ref="L1040" ca="1">INDEX(K.rngStates, $D1040)</f>
        <v>Post-event CKD stage 3b-4</v>
      </c>
      <c r="M1040" s="174">
        <f t="shared" si="145"/>
        <v>803.76917670526291</v>
      </c>
      <c r="N1040" s="450"/>
      <c r="O1040" s="82">
        <f>M1035</f>
        <v>803.76917670526291</v>
      </c>
    </row>
    <row r="1041" spans="1:31" ht="12" customHeight="1" outlineLevel="3" x14ac:dyDescent="0.25">
      <c r="A1041" s="374"/>
      <c r="B1041" s="385"/>
      <c r="C1041" s="377"/>
      <c r="D1041" s="40">
        <f t="shared" si="146"/>
        <v>7</v>
      </c>
      <c r="G1041" s="40" t="s">
        <v>89</v>
      </c>
      <c r="H1041" s="40" t="s">
        <v>89</v>
      </c>
      <c r="I1041" s="40" t="s">
        <v>89</v>
      </c>
      <c r="J1041" s="40" t="s">
        <v>89</v>
      </c>
      <c r="K1041" s="40" t="s">
        <v>752</v>
      </c>
      <c r="L1041" s="76" t="str" cm="1">
        <f t="array" aca="1" ref="L1041" ca="1">INDEX(K.rngStates, $D1041)</f>
        <v>ESRD</v>
      </c>
      <c r="M1041" s="174">
        <f t="shared" si="145"/>
        <v>3868.840417537634</v>
      </c>
      <c r="N1041" s="450"/>
      <c r="O1041" s="82">
        <f>M991</f>
        <v>3868.840417537634</v>
      </c>
    </row>
    <row r="1042" spans="1:31" ht="12" customHeight="1" outlineLevel="3" x14ac:dyDescent="0.25">
      <c r="A1042" s="374"/>
      <c r="B1042" s="385"/>
      <c r="C1042" s="377"/>
      <c r="D1042" s="40">
        <f t="shared" si="146"/>
        <v>8</v>
      </c>
      <c r="G1042" s="40" t="s">
        <v>89</v>
      </c>
      <c r="H1042" s="40" t="s">
        <v>89</v>
      </c>
      <c r="I1042" s="40" t="s">
        <v>89</v>
      </c>
      <c r="J1042" s="40" t="s">
        <v>89</v>
      </c>
      <c r="K1042" s="40" t="s">
        <v>752</v>
      </c>
      <c r="L1042" s="76" t="str" cm="1">
        <f t="array" aca="1" ref="L1042" ca="1">INDEX(K.rngStates, $D1042)</f>
        <v>ESRD+RRT</v>
      </c>
      <c r="M1042" s="174">
        <f t="shared" si="145"/>
        <v>6126.7592498544172</v>
      </c>
      <c r="N1042" s="450"/>
      <c r="O1042" s="82">
        <f>M995</f>
        <v>6126.7592498544172</v>
      </c>
    </row>
    <row r="1043" spans="1:31" ht="12" customHeight="1" outlineLevel="3" x14ac:dyDescent="0.25">
      <c r="A1043" s="374"/>
      <c r="B1043" s="385"/>
      <c r="C1043" s="377"/>
      <c r="D1043" s="40">
        <f t="shared" si="146"/>
        <v>9</v>
      </c>
      <c r="G1043" s="40" t="s">
        <v>89</v>
      </c>
      <c r="H1043" s="40" t="s">
        <v>89</v>
      </c>
      <c r="I1043" s="40" t="s">
        <v>89</v>
      </c>
      <c r="J1043" s="40" t="s">
        <v>89</v>
      </c>
      <c r="K1043" s="40" t="s">
        <v>752</v>
      </c>
      <c r="L1043" s="76" t="str" cm="1">
        <f t="array" aca="1" ref="L1043" ca="1">INDEX(K.rngStates, $D1043)</f>
        <v>Transplant</v>
      </c>
      <c r="M1043" s="174">
        <f t="shared" si="145"/>
        <v>28366.318824200425</v>
      </c>
      <c r="N1043" s="450"/>
      <c r="O1043" s="82">
        <f>M999</f>
        <v>28366.318824200425</v>
      </c>
    </row>
    <row r="1044" spans="1:31" ht="12" customHeight="1" outlineLevel="3" x14ac:dyDescent="0.25">
      <c r="A1044" s="374"/>
      <c r="B1044" s="385"/>
      <c r="C1044" s="377"/>
      <c r="D1044" s="40">
        <f t="shared" si="146"/>
        <v>10</v>
      </c>
      <c r="G1044" s="40" t="s">
        <v>89</v>
      </c>
      <c r="H1044" s="40" t="s">
        <v>89</v>
      </c>
      <c r="I1044" s="40" t="s">
        <v>89</v>
      </c>
      <c r="J1044" s="40" t="s">
        <v>89</v>
      </c>
      <c r="K1044" s="40" t="s">
        <v>752</v>
      </c>
      <c r="L1044" s="76" t="str" cm="1">
        <f t="array" aca="1" ref="L1044" ca="1">INDEX(K.rngStates, $D1044)</f>
        <v>Post-transplant</v>
      </c>
      <c r="M1044" s="174">
        <f t="shared" si="145"/>
        <v>2425.914515081316</v>
      </c>
      <c r="N1044" s="450"/>
      <c r="O1044" s="82">
        <f>M1008</f>
        <v>2425.914515081316</v>
      </c>
    </row>
    <row r="1045" spans="1:31" ht="12" customHeight="1" outlineLevel="3" x14ac:dyDescent="0.25">
      <c r="A1045" s="374"/>
      <c r="B1045" s="385"/>
      <c r="C1045" s="377"/>
      <c r="D1045" s="40">
        <f t="shared" si="146"/>
        <v>11</v>
      </c>
      <c r="G1045" s="40" t="s">
        <v>89</v>
      </c>
      <c r="H1045" s="40" t="s">
        <v>89</v>
      </c>
      <c r="I1045" s="40" t="s">
        <v>89</v>
      </c>
      <c r="J1045" s="40" t="s">
        <v>89</v>
      </c>
      <c r="K1045" s="40" t="s">
        <v>752</v>
      </c>
      <c r="L1045" s="76" t="str" cm="1">
        <f t="array" aca="1" ref="L1045" ca="1">INDEX(K.rngStates, $D1045)</f>
        <v>Dead (AKI)</v>
      </c>
      <c r="M1045" s="184">
        <f t="shared" si="145"/>
        <v>0</v>
      </c>
      <c r="N1045" s="450"/>
      <c r="O1045" s="52">
        <f t="shared" ref="O1045:O1046" si="147">S1045</f>
        <v>0</v>
      </c>
      <c r="P1045" s="52"/>
      <c r="S1045" s="266">
        <v>0</v>
      </c>
    </row>
    <row r="1046" spans="1:31" ht="12" customHeight="1" outlineLevel="3" thickBot="1" x14ac:dyDescent="0.3">
      <c r="A1046" s="374"/>
      <c r="B1046" s="385"/>
      <c r="C1046" s="377"/>
      <c r="D1046" s="40">
        <f t="shared" si="146"/>
        <v>12</v>
      </c>
      <c r="G1046" s="40" t="s">
        <v>89</v>
      </c>
      <c r="H1046" s="40" t="s">
        <v>89</v>
      </c>
      <c r="I1046" s="40" t="s">
        <v>89</v>
      </c>
      <c r="J1046" s="40" t="s">
        <v>89</v>
      </c>
      <c r="K1046" s="40" t="s">
        <v>752</v>
      </c>
      <c r="L1046" s="76" t="str" cm="1">
        <f t="array" aca="1" ref="L1046" ca="1">INDEX(K.rngStates, $D1046)</f>
        <v>Dead (other)</v>
      </c>
      <c r="M1046" s="184">
        <f t="shared" si="145"/>
        <v>0</v>
      </c>
      <c r="N1046" s="451"/>
      <c r="O1046" s="52">
        <f t="shared" si="147"/>
        <v>0</v>
      </c>
      <c r="P1046" s="52"/>
      <c r="S1046" s="266">
        <v>0</v>
      </c>
    </row>
    <row r="1047" spans="1:31" s="13" customFormat="1" ht="12" customHeight="1" outlineLevel="1" thickBot="1" x14ac:dyDescent="0.3">
      <c r="A1047" s="374"/>
      <c r="B1047" s="385"/>
      <c r="C1047" s="377"/>
      <c r="D1047" s="196"/>
      <c r="E1047" s="179"/>
      <c r="F1047" s="179"/>
      <c r="G1047" s="196" t="s">
        <v>89</v>
      </c>
      <c r="H1047" s="196" t="s">
        <v>89</v>
      </c>
      <c r="I1047" s="196" t="s">
        <v>89</v>
      </c>
      <c r="J1047" s="196" t="s">
        <v>89</v>
      </c>
      <c r="K1047" s="196" t="s">
        <v>89</v>
      </c>
      <c r="L1047" s="13" t="s">
        <v>154</v>
      </c>
      <c r="M1047" s="25"/>
      <c r="O1047" s="25"/>
      <c r="AB1047" s="25"/>
    </row>
    <row r="1048" spans="1:31" s="110" customFormat="1" ht="12" customHeight="1" outlineLevel="2" thickBot="1" x14ac:dyDescent="0.3">
      <c r="A1048" s="374"/>
      <c r="B1048" s="385"/>
      <c r="C1048" s="377"/>
      <c r="D1048" s="112"/>
      <c r="G1048" s="112" t="s">
        <v>89</v>
      </c>
      <c r="H1048" s="112" t="s">
        <v>89</v>
      </c>
      <c r="I1048" s="112" t="s">
        <v>89</v>
      </c>
      <c r="J1048" s="112" t="s">
        <v>89</v>
      </c>
      <c r="K1048" s="112" t="s">
        <v>89</v>
      </c>
      <c r="L1048" s="110" t="s">
        <v>490</v>
      </c>
    </row>
    <row r="1049" spans="1:31" ht="12" customHeight="1" outlineLevel="3" x14ac:dyDescent="0.25">
      <c r="A1049" s="374"/>
      <c r="B1049" s="385"/>
      <c r="C1049" s="377"/>
      <c r="G1049" s="40" t="s">
        <v>89</v>
      </c>
      <c r="H1049" s="40" t="s">
        <v>89</v>
      </c>
      <c r="I1049" s="40" t="s">
        <v>89</v>
      </c>
      <c r="J1049" s="40" t="s">
        <v>89</v>
      </c>
      <c r="K1049" s="40" t="s">
        <v>752</v>
      </c>
      <c r="L1049" s="76" t="s">
        <v>157</v>
      </c>
      <c r="M1049" s="87">
        <f>O1049</f>
        <v>0.74</v>
      </c>
      <c r="N1049" s="38"/>
      <c r="O1049" s="11">
        <f>CHOOSE(swtchPSA, S1049, AB1049)</f>
        <v>0.74</v>
      </c>
      <c r="S1049" s="35">
        <v>0.74</v>
      </c>
      <c r="T1049" s="18"/>
      <c r="U1049" s="22">
        <f>(X1049-V1049)/2/_xlfn.NORM.S.INV(0.975)</f>
        <v>5.8674547546335214E-2</v>
      </c>
      <c r="V1049" s="35">
        <v>0.62</v>
      </c>
      <c r="W1049" s="18"/>
      <c r="X1049" s="35">
        <v>0.85</v>
      </c>
      <c r="Y1049" s="32" t="s">
        <v>246</v>
      </c>
      <c r="AA1049" s="19">
        <f ca="1">RAND()</f>
        <v>0.90481575993620222</v>
      </c>
      <c r="AB1049" s="21">
        <f ca="1">_xlfn.BETA.INV(AA1049, AD1049, AE1049)</f>
        <v>0.8148918418113813</v>
      </c>
      <c r="AC1049" s="20" t="s">
        <v>28</v>
      </c>
      <c r="AD1049" s="54">
        <f>(S1049^2*(1-S1049))/U1049^2-S1049</f>
        <v>40.615882121372145</v>
      </c>
      <c r="AE1049" s="55">
        <f>AD1049*((1-S1049)/S1049)</f>
        <v>14.270445069671295</v>
      </c>
    </row>
    <row r="1050" spans="1:31" ht="12" customHeight="1" outlineLevel="3" x14ac:dyDescent="0.25">
      <c r="A1050" s="374"/>
      <c r="B1050" s="385"/>
      <c r="C1050" s="377"/>
      <c r="G1050" s="40" t="s">
        <v>89</v>
      </c>
      <c r="H1050" s="40" t="s">
        <v>89</v>
      </c>
      <c r="I1050" s="40" t="s">
        <v>89</v>
      </c>
      <c r="J1050" s="40" t="s">
        <v>89</v>
      </c>
      <c r="K1050" s="40" t="s">
        <v>752</v>
      </c>
      <c r="L1050" s="10" t="s">
        <v>158</v>
      </c>
      <c r="M1050" s="89">
        <f>O1050</f>
        <v>-6.7200000000000037E-2</v>
      </c>
      <c r="N1050" s="195" t="s">
        <v>864</v>
      </c>
      <c r="O1050" s="172" cm="1">
        <f t="array" ref="O1050">M1049-_fnGENPOP.U(60)</f>
        <v>-6.7200000000000037E-2</v>
      </c>
    </row>
    <row r="1051" spans="1:31" ht="12" customHeight="1" outlineLevel="3" x14ac:dyDescent="0.25">
      <c r="A1051" s="374"/>
      <c r="B1051" s="385"/>
      <c r="C1051" s="377"/>
      <c r="G1051" s="40" t="s">
        <v>89</v>
      </c>
      <c r="H1051" s="40" t="s">
        <v>89</v>
      </c>
      <c r="I1051" s="40" t="s">
        <v>89</v>
      </c>
      <c r="J1051" s="40" t="s">
        <v>89</v>
      </c>
      <c r="K1051" s="40" t="s">
        <v>752</v>
      </c>
      <c r="L1051" s="76" t="s">
        <v>297</v>
      </c>
      <c r="M1051" s="87">
        <f>O1051</f>
        <v>0.73</v>
      </c>
      <c r="N1051" s="38"/>
      <c r="O1051" s="11">
        <f>CHOOSE(swtchPSA, S1051, AB1051)</f>
        <v>0.73</v>
      </c>
      <c r="S1051" s="35">
        <v>0.73</v>
      </c>
      <c r="T1051" s="18"/>
      <c r="U1051" s="22">
        <f>(X1051-V1051)/2/_xlfn.NORM.S.INV(0.975)</f>
        <v>9.6940556815684281E-2</v>
      </c>
      <c r="V1051" s="35">
        <v>0.62</v>
      </c>
      <c r="W1051" s="18"/>
      <c r="X1051" s="35">
        <v>1</v>
      </c>
      <c r="Y1051" s="32" t="s">
        <v>246</v>
      </c>
      <c r="AA1051" s="19">
        <f ca="1">RAND()</f>
        <v>0.24197014828361152</v>
      </c>
      <c r="AB1051" s="21">
        <f ca="1">_xlfn.BETA.INV(AA1051, AD1051, AE1051)</f>
        <v>0.66456666594664004</v>
      </c>
      <c r="AC1051" s="20" t="s">
        <v>28</v>
      </c>
      <c r="AD1051" s="54">
        <f>(S1051^2*(1-S1051))/U1051^2-S1051</f>
        <v>14.580820484707269</v>
      </c>
      <c r="AE1051" s="55">
        <f>AD1051*((1-S1051)/S1051)</f>
        <v>5.3929062066725519</v>
      </c>
    </row>
    <row r="1052" spans="1:31" ht="12" customHeight="1" outlineLevel="3" x14ac:dyDescent="0.25">
      <c r="A1052" s="374"/>
      <c r="B1052" s="385"/>
      <c r="C1052" s="377"/>
      <c r="G1052" s="40" t="s">
        <v>89</v>
      </c>
      <c r="H1052" s="40" t="s">
        <v>89</v>
      </c>
      <c r="I1052" s="40" t="s">
        <v>89</v>
      </c>
      <c r="J1052" s="40" t="s">
        <v>89</v>
      </c>
      <c r="K1052" s="40" t="s">
        <v>752</v>
      </c>
      <c r="L1052" s="10" t="s">
        <v>326</v>
      </c>
      <c r="M1052" s="89">
        <f>O1052</f>
        <v>-7.7200000000000046E-2</v>
      </c>
      <c r="N1052" s="195" t="s">
        <v>865</v>
      </c>
      <c r="O1052" s="172" cm="1">
        <f t="array" ref="O1052">M1051-_fnGENPOP.U(60)</f>
        <v>-7.7200000000000046E-2</v>
      </c>
    </row>
    <row r="1053" spans="1:31" ht="12" customHeight="1" outlineLevel="3" x14ac:dyDescent="0.25">
      <c r="A1053" s="374"/>
      <c r="B1053" s="385"/>
      <c r="C1053" s="377"/>
      <c r="G1053" s="40" t="s">
        <v>89</v>
      </c>
      <c r="H1053" s="40" t="s">
        <v>89</v>
      </c>
      <c r="I1053" s="40" t="s">
        <v>89</v>
      </c>
      <c r="J1053" s="40" t="s">
        <v>89</v>
      </c>
      <c r="K1053" s="40" t="s">
        <v>89</v>
      </c>
      <c r="L1053" s="76" t="s">
        <v>159</v>
      </c>
    </row>
    <row r="1054" spans="1:31" ht="12" customHeight="1" outlineLevel="3" x14ac:dyDescent="0.25">
      <c r="A1054" s="374"/>
      <c r="B1054" s="385"/>
      <c r="C1054" s="377"/>
      <c r="G1054" s="40" t="s">
        <v>89</v>
      </c>
      <c r="H1054" s="40" t="s">
        <v>89</v>
      </c>
      <c r="I1054" s="40" t="s">
        <v>89</v>
      </c>
      <c r="J1054" s="40" t="s">
        <v>89</v>
      </c>
      <c r="K1054" s="40" t="s">
        <v>752</v>
      </c>
      <c r="L1054" s="151" t="s">
        <v>302</v>
      </c>
      <c r="M1054" s="88">
        <f>O1054</f>
        <v>0.68</v>
      </c>
      <c r="O1054" s="11">
        <f>CHOOSE(swtchPSA, S1054, AB1054)</f>
        <v>0.68</v>
      </c>
      <c r="Q1054" s="162">
        <v>150</v>
      </c>
      <c r="R1054" s="211"/>
      <c r="S1054" s="35">
        <v>0.68</v>
      </c>
      <c r="T1054" s="35">
        <v>0.36</v>
      </c>
      <c r="U1054" s="17">
        <f>T1054/SQRT(Q1054)</f>
        <v>2.9393876913398138E-2</v>
      </c>
      <c r="V1054" s="17">
        <f>_xlfn.BETA.INV(0.025, AD1054, AE1054)</f>
        <v>0.62109037978180015</v>
      </c>
      <c r="W1054" s="18"/>
      <c r="X1054" s="17">
        <f>_xlfn.BETA.INV(0.975, AD1054, AE1054)</f>
        <v>0.73619095405801649</v>
      </c>
      <c r="Y1054" s="32" t="s">
        <v>247</v>
      </c>
      <c r="AA1054" s="19">
        <f ca="1">RAND()</f>
        <v>0.70016290934044989</v>
      </c>
      <c r="AB1054" s="21">
        <f ca="1">_xlfn.BETA.INV(AA1054, AD1054, AE1054)</f>
        <v>0.6958095741392365</v>
      </c>
      <c r="AC1054" s="20" t="s">
        <v>28</v>
      </c>
      <c r="AD1054" s="54">
        <f>(S1054^2*(1-S1054))/U1054^2-S1054</f>
        <v>170.57925925925926</v>
      </c>
      <c r="AE1054" s="55">
        <f>AD1054*((1-S1054)/S1054)</f>
        <v>80.272592592592574</v>
      </c>
    </row>
    <row r="1055" spans="1:31" ht="12" customHeight="1" outlineLevel="3" x14ac:dyDescent="0.25">
      <c r="A1055" s="374"/>
      <c r="B1055" s="385"/>
      <c r="C1055" s="377"/>
      <c r="G1055" s="40" t="s">
        <v>89</v>
      </c>
      <c r="H1055" s="40" t="s">
        <v>89</v>
      </c>
      <c r="I1055" s="40" t="s">
        <v>89</v>
      </c>
      <c r="J1055" s="40" t="s">
        <v>89</v>
      </c>
      <c r="K1055" s="40" t="s">
        <v>89</v>
      </c>
      <c r="L1055" s="151" t="s">
        <v>301</v>
      </c>
      <c r="Q1055" s="211"/>
      <c r="R1055" s="211"/>
    </row>
    <row r="1056" spans="1:31" ht="12" customHeight="1" outlineLevel="3" x14ac:dyDescent="0.25">
      <c r="A1056" s="374"/>
      <c r="B1056" s="385"/>
      <c r="C1056" s="377"/>
      <c r="G1056" s="40" t="s">
        <v>89</v>
      </c>
      <c r="H1056" s="40" t="s">
        <v>89</v>
      </c>
      <c r="I1056" s="40" t="s">
        <v>89</v>
      </c>
      <c r="J1056" s="40" t="s">
        <v>89</v>
      </c>
      <c r="K1056" s="40" t="s">
        <v>752</v>
      </c>
      <c r="L1056" s="210" t="s">
        <v>298</v>
      </c>
      <c r="M1056" s="85">
        <f>O1056</f>
        <v>0.56000000000000005</v>
      </c>
      <c r="O1056" s="11">
        <f>CHOOSE(swtchPSA, S1056, AB1056)</f>
        <v>0.56000000000000005</v>
      </c>
      <c r="P1056" s="11"/>
      <c r="Q1056" s="162">
        <f>69+99+151+269+314+27+455</f>
        <v>1384</v>
      </c>
      <c r="R1056" s="211"/>
      <c r="S1056" s="14">
        <v>0.56000000000000005</v>
      </c>
      <c r="T1056" s="133"/>
      <c r="U1056" s="22">
        <f>(X1056-V1056)/2/_xlfn.NORM.S.INV(0.975)</f>
        <v>3.3163874700102514E-2</v>
      </c>
      <c r="V1056" s="39">
        <v>0.49</v>
      </c>
      <c r="W1056" s="77"/>
      <c r="X1056" s="39">
        <v>0.62</v>
      </c>
      <c r="Y1056" s="32" t="s">
        <v>299</v>
      </c>
      <c r="AA1056" s="19">
        <f ca="1">RAND()</f>
        <v>0.50876260738362944</v>
      </c>
      <c r="AB1056" s="21">
        <f ca="1">_xlfn.BETA.INV(AA1056, AD1056, AE1056)</f>
        <v>0.56091047995469978</v>
      </c>
      <c r="AC1056" s="20" t="s">
        <v>28</v>
      </c>
      <c r="AD1056" s="54">
        <f>(S1056^2*(1-S1056))/U1056^2-S1056</f>
        <v>124.89795358926816</v>
      </c>
      <c r="AE1056" s="55">
        <f>AD1056*((1-S1056)/S1056)</f>
        <v>98.134106391567826</v>
      </c>
    </row>
    <row r="1057" spans="1:31" ht="12" customHeight="1" outlineLevel="3" x14ac:dyDescent="0.25">
      <c r="A1057" s="374"/>
      <c r="B1057" s="385"/>
      <c r="C1057" s="377"/>
      <c r="G1057" s="40" t="s">
        <v>89</v>
      </c>
      <c r="H1057" s="40" t="s">
        <v>89</v>
      </c>
      <c r="I1057" s="40" t="s">
        <v>89</v>
      </c>
      <c r="J1057" s="40" t="s">
        <v>89</v>
      </c>
      <c r="K1057" s="40" t="s">
        <v>752</v>
      </c>
      <c r="L1057" s="210" t="s">
        <v>300</v>
      </c>
      <c r="M1057" s="85">
        <f>O1057</f>
        <v>0.57999999999999996</v>
      </c>
      <c r="O1057" s="11">
        <f>CHOOSE(swtchPSA, S1057, AB1057)</f>
        <v>0.57999999999999996</v>
      </c>
      <c r="P1057" s="11"/>
      <c r="Q1057" s="162">
        <f>59+37+74+41+27+50</f>
        <v>288</v>
      </c>
      <c r="R1057" s="211"/>
      <c r="S1057" s="14">
        <v>0.57999999999999996</v>
      </c>
      <c r="T1057" s="133"/>
      <c r="U1057" s="22">
        <f>(X1057-V1057)/2/_xlfn.NORM.S.INV(0.975)</f>
        <v>4.3368143838595608E-2</v>
      </c>
      <c r="V1057" s="39">
        <v>0.5</v>
      </c>
      <c r="W1057" s="77"/>
      <c r="X1057" s="39">
        <v>0.67</v>
      </c>
      <c r="Y1057" s="32" t="s">
        <v>299</v>
      </c>
      <c r="AA1057" s="19">
        <f ca="1">RAND()</f>
        <v>0.6294946614038176</v>
      </c>
      <c r="AB1057" s="21">
        <f ca="1">_xlfn.BETA.INV(AA1057, AD1057, AE1057)</f>
        <v>0.59478262535508486</v>
      </c>
      <c r="AC1057" s="20" t="s">
        <v>28</v>
      </c>
      <c r="AD1057" s="54">
        <f>(S1057^2*(1-S1057))/U1057^2-S1057</f>
        <v>74.541388769305328</v>
      </c>
      <c r="AE1057" s="55">
        <f>AD1057*((1-S1057)/S1057)</f>
        <v>53.978247039841797</v>
      </c>
    </row>
    <row r="1058" spans="1:31" ht="12" customHeight="1" outlineLevel="3" x14ac:dyDescent="0.25">
      <c r="A1058" s="374"/>
      <c r="B1058" s="385"/>
      <c r="C1058" s="377"/>
      <c r="G1058" s="40" t="s">
        <v>89</v>
      </c>
      <c r="H1058" s="40" t="s">
        <v>89</v>
      </c>
      <c r="I1058" s="40" t="s">
        <v>89</v>
      </c>
      <c r="J1058" s="40" t="s">
        <v>89</v>
      </c>
      <c r="K1058" s="40" t="s">
        <v>752</v>
      </c>
      <c r="L1058" s="157" t="s">
        <v>303</v>
      </c>
      <c r="M1058" s="36">
        <f>O1058</f>
        <v>0.20300000000000001</v>
      </c>
      <c r="O1058" s="11">
        <f>CHOOSE(swtchPSA, S1058, AB1058)</f>
        <v>0.20300000000000001</v>
      </c>
      <c r="Q1058" s="162">
        <f>7959</f>
        <v>7959</v>
      </c>
      <c r="R1058" s="212">
        <f>ROUND(Q1058*S1058, 0)</f>
        <v>1616</v>
      </c>
      <c r="S1058" s="35">
        <v>0.20300000000000001</v>
      </c>
      <c r="T1058" s="18"/>
      <c r="U1058" s="22">
        <f>SQRT((S1058*(1-S1058))/(Q1058+1))</f>
        <v>4.5083813628133563E-3</v>
      </c>
      <c r="V1058" s="17">
        <f>_xlfn.BETA.INV(0.025, AD1058, AE1058)</f>
        <v>0.19427478345170948</v>
      </c>
      <c r="W1058" s="18"/>
      <c r="X1058" s="17">
        <f>_xlfn.BETA.INV(0.975, AD1058, AE1058)</f>
        <v>0.21194773822920898</v>
      </c>
      <c r="Y1058" s="15" t="s">
        <v>305</v>
      </c>
      <c r="AA1058" s="19">
        <f ca="1">RAND()</f>
        <v>0.3842435901020822</v>
      </c>
      <c r="AB1058" s="21">
        <f ca="1">_xlfn.BETA.INV(AA1058, AD1058, AE1058)</f>
        <v>0.20169065163038974</v>
      </c>
      <c r="AC1058" s="20" t="s">
        <v>28</v>
      </c>
      <c r="AD1058" s="34">
        <f>R1058</f>
        <v>1616</v>
      </c>
      <c r="AE1058" s="33">
        <f>Q1058-R1058</f>
        <v>6343</v>
      </c>
    </row>
    <row r="1059" spans="1:31" ht="12" customHeight="1" outlineLevel="3" x14ac:dyDescent="0.25">
      <c r="A1059" s="374"/>
      <c r="B1059" s="385"/>
      <c r="C1059" s="377"/>
      <c r="G1059" s="40" t="s">
        <v>89</v>
      </c>
      <c r="H1059" s="40" t="s">
        <v>89</v>
      </c>
      <c r="I1059" s="40" t="s">
        <v>89</v>
      </c>
      <c r="J1059" s="40" t="s">
        <v>89</v>
      </c>
      <c r="K1059" s="40" t="s">
        <v>752</v>
      </c>
      <c r="L1059" s="157" t="s">
        <v>306</v>
      </c>
      <c r="M1059" s="36">
        <f>O1059</f>
        <v>0.92100000000000004</v>
      </c>
      <c r="O1059" s="11">
        <f>CHOOSE(swtchPSA, S1059, AB1059)</f>
        <v>0.92100000000000004</v>
      </c>
      <c r="Q1059" s="162">
        <f>7959</f>
        <v>7959</v>
      </c>
      <c r="R1059" s="212">
        <f>ROUND(Q1059*S1059, 0)</f>
        <v>7330</v>
      </c>
      <c r="S1059" s="35">
        <f>1-0.079</f>
        <v>0.92100000000000004</v>
      </c>
      <c r="T1059" s="18"/>
      <c r="U1059" s="22">
        <f>SQRT((S1059*(1-S1059))/(Q1059+1))</f>
        <v>3.0233388644753719E-3</v>
      </c>
      <c r="V1059" s="17">
        <f>_xlfn.BETA.INV(0.025, AD1059, AE1059)</f>
        <v>0.9149439128717467</v>
      </c>
      <c r="W1059" s="18"/>
      <c r="X1059" s="17">
        <f>_xlfn.BETA.INV(0.975, AD1059, AE1059)</f>
        <v>0.92679565703823963</v>
      </c>
      <c r="Y1059" s="15" t="s">
        <v>305</v>
      </c>
      <c r="AA1059" s="19">
        <f ca="1">RAND()</f>
        <v>0.16431675847218696</v>
      </c>
      <c r="AB1059" s="21">
        <f ca="1">_xlfn.BETA.INV(AA1059, AD1059, AE1059)</f>
        <v>0.9180180750801703</v>
      </c>
      <c r="AC1059" s="20" t="s">
        <v>28</v>
      </c>
      <c r="AD1059" s="34">
        <f>R1059</f>
        <v>7330</v>
      </c>
      <c r="AE1059" s="33">
        <f>Q1059-R1059</f>
        <v>629</v>
      </c>
    </row>
    <row r="1060" spans="1:31" ht="12" customHeight="1" outlineLevel="3" x14ac:dyDescent="0.25">
      <c r="A1060" s="374"/>
      <c r="B1060" s="385"/>
      <c r="C1060" s="377"/>
      <c r="G1060" s="40" t="s">
        <v>89</v>
      </c>
      <c r="H1060" s="40" t="s">
        <v>89</v>
      </c>
      <c r="I1060" s="40" t="s">
        <v>89</v>
      </c>
      <c r="J1060" s="40" t="s">
        <v>89</v>
      </c>
      <c r="K1060" s="40" t="s">
        <v>752</v>
      </c>
      <c r="L1060" s="185" t="s">
        <v>307</v>
      </c>
      <c r="M1060" s="89">
        <f t="shared" ref="M1060:M1065" si="148">O1060</f>
        <v>0.2204125950054289</v>
      </c>
      <c r="N1060" s="38"/>
      <c r="O1060" s="53">
        <f>M1058/M1059</f>
        <v>0.2204125950054289</v>
      </c>
      <c r="AB1060"/>
    </row>
    <row r="1061" spans="1:31" ht="12" customHeight="1" outlineLevel="3" x14ac:dyDescent="0.25">
      <c r="A1061" s="374"/>
      <c r="B1061" s="385"/>
      <c r="C1061" s="377"/>
      <c r="G1061" s="40" t="s">
        <v>89</v>
      </c>
      <c r="H1061" s="40" t="s">
        <v>89</v>
      </c>
      <c r="I1061" s="40" t="s">
        <v>89</v>
      </c>
      <c r="J1061" s="40" t="s">
        <v>89</v>
      </c>
      <c r="K1061" s="40" t="s">
        <v>752</v>
      </c>
      <c r="L1061" s="151" t="s">
        <v>304</v>
      </c>
      <c r="M1061" s="89">
        <f t="shared" si="148"/>
        <v>-0.12719999999999998</v>
      </c>
      <c r="N1061" s="195" t="s">
        <v>866</v>
      </c>
      <c r="O1061" s="172" cm="1">
        <f t="array" ref="O1061">CHOOSE(E.swtchU.Source, M1054-_fnGENPOP.U(60.1), (M1057-_fnGENPOP.U(60.4))*M1060 + (M1056-_fnGENPOP.U(57.9))*(1-M1060))</f>
        <v>-0.12719999999999998</v>
      </c>
    </row>
    <row r="1062" spans="1:31" ht="12" customHeight="1" outlineLevel="3" x14ac:dyDescent="0.25">
      <c r="A1062" s="374"/>
      <c r="B1062" s="385"/>
      <c r="C1062" s="377"/>
      <c r="G1062" s="40" t="s">
        <v>89</v>
      </c>
      <c r="H1062" s="40" t="s">
        <v>89</v>
      </c>
      <c r="I1062" s="40" t="s">
        <v>89</v>
      </c>
      <c r="J1062" s="40" t="s">
        <v>89</v>
      </c>
      <c r="K1062" s="40" t="s">
        <v>752</v>
      </c>
      <c r="L1062" s="76" t="s">
        <v>162</v>
      </c>
      <c r="M1062" s="36">
        <f>O1062</f>
        <v>0.77300000000000002</v>
      </c>
      <c r="O1062" s="11">
        <f>CHOOSE(swtchPSA, S1062, AB1062)</f>
        <v>0.77300000000000002</v>
      </c>
      <c r="S1062" s="35">
        <v>0.77300000000000002</v>
      </c>
      <c r="T1062" s="18"/>
      <c r="U1062" s="28">
        <v>5.0000000000000001E-3</v>
      </c>
      <c r="V1062" s="17">
        <f>_xlfn.BETA.INV(0.025, AD1062, AE1062)</f>
        <v>0.76312699255654493</v>
      </c>
      <c r="W1062" s="18"/>
      <c r="X1062" s="17">
        <f>_xlfn.BETA.INV(0.975, AD1062, AE1062)</f>
        <v>0.78272562852999661</v>
      </c>
      <c r="Y1062" s="32" t="s">
        <v>248</v>
      </c>
      <c r="AA1062" s="19">
        <f ca="1">RAND()</f>
        <v>0.11103031462299551</v>
      </c>
      <c r="AB1062" s="21">
        <f ca="1">_xlfn.BETA.INV(AA1062, AD1062, AE1062)</f>
        <v>0.76688182587580234</v>
      </c>
      <c r="AC1062" s="20" t="s">
        <v>28</v>
      </c>
      <c r="AD1062" s="54">
        <f>(S1062^2*(1-S1062))/U1062^2-S1062</f>
        <v>5424.7903199999992</v>
      </c>
      <c r="AE1062" s="55">
        <f>AD1062*((1-S1062)/S1062)</f>
        <v>1593.0496799999996</v>
      </c>
    </row>
    <row r="1063" spans="1:31" ht="12" customHeight="1" outlineLevel="3" x14ac:dyDescent="0.25">
      <c r="A1063" s="374"/>
      <c r="B1063" s="385"/>
      <c r="C1063" s="377"/>
      <c r="G1063" s="40" t="s">
        <v>89</v>
      </c>
      <c r="H1063" s="40" t="s">
        <v>89</v>
      </c>
      <c r="I1063" s="40" t="s">
        <v>89</v>
      </c>
      <c r="J1063" s="40" t="s">
        <v>89</v>
      </c>
      <c r="K1063" s="40" t="s">
        <v>752</v>
      </c>
      <c r="L1063" s="76" t="s">
        <v>163</v>
      </c>
      <c r="M1063" s="36">
        <f>O1063</f>
        <v>5.3999999999999999E-2</v>
      </c>
      <c r="O1063" s="11">
        <f>CHOOSE(swtchPSA, S1063, AB1063)</f>
        <v>5.3999999999999999E-2</v>
      </c>
      <c r="S1063" s="35">
        <v>5.3999999999999999E-2</v>
      </c>
      <c r="T1063" s="18"/>
      <c r="U1063" s="28">
        <v>1.0999999999999999E-2</v>
      </c>
      <c r="V1063" s="17">
        <f>_xlfn.BETA.INV(0.025, AD1063, AE1063)</f>
        <v>3.4521069810342052E-2</v>
      </c>
      <c r="W1063" s="18"/>
      <c r="X1063" s="17">
        <f>_xlfn.BETA.INV(0.975, AD1063, AE1063)</f>
        <v>7.7480429224253911E-2</v>
      </c>
      <c r="Y1063" s="32" t="s">
        <v>248</v>
      </c>
      <c r="AA1063" s="19">
        <f ca="1">RAND()</f>
        <v>0.62943364396134205</v>
      </c>
      <c r="AB1063" s="21">
        <f ca="1">_xlfn.BETA.INV(AA1063, AD1063, AE1063)</f>
        <v>5.6986403053844614E-2</v>
      </c>
      <c r="AC1063" s="20" t="s">
        <v>28</v>
      </c>
      <c r="AD1063" s="54">
        <f>(S1063^2*(1-S1063))/U1063^2-S1063</f>
        <v>22.743818181818185</v>
      </c>
      <c r="AE1063" s="55">
        <f>AD1063*((1-S1063)/S1063)</f>
        <v>398.43800000000005</v>
      </c>
    </row>
    <row r="1064" spans="1:31" ht="12" customHeight="1" outlineLevel="3" x14ac:dyDescent="0.25">
      <c r="A1064" s="374"/>
      <c r="B1064" s="385"/>
      <c r="C1064" s="377"/>
      <c r="G1064" s="40" t="s">
        <v>89</v>
      </c>
      <c r="H1064" s="40" t="s">
        <v>89</v>
      </c>
      <c r="I1064" s="40" t="s">
        <v>89</v>
      </c>
      <c r="J1064" s="40" t="s">
        <v>89</v>
      </c>
      <c r="K1064" s="40" t="s">
        <v>752</v>
      </c>
      <c r="L1064" s="76" t="s">
        <v>160</v>
      </c>
      <c r="M1064" s="89">
        <f t="shared" si="148"/>
        <v>0.82700000000000007</v>
      </c>
      <c r="N1064" s="38"/>
      <c r="O1064" s="53">
        <f>M1062+M1063</f>
        <v>0.82700000000000007</v>
      </c>
      <c r="AB1064"/>
    </row>
    <row r="1065" spans="1:31" ht="12" customHeight="1" outlineLevel="3" x14ac:dyDescent="0.25">
      <c r="A1065" s="374"/>
      <c r="B1065" s="385"/>
      <c r="C1065" s="377"/>
      <c r="G1065" s="40" t="s">
        <v>89</v>
      </c>
      <c r="H1065" s="40" t="s">
        <v>89</v>
      </c>
      <c r="I1065" s="40" t="s">
        <v>89</v>
      </c>
      <c r="J1065" s="40" t="s">
        <v>89</v>
      </c>
      <c r="K1065" s="40" t="s">
        <v>752</v>
      </c>
      <c r="L1065" s="10" t="s">
        <v>161</v>
      </c>
      <c r="M1065" s="89">
        <f t="shared" si="148"/>
        <v>-7.3999999999999622E-3</v>
      </c>
      <c r="O1065" s="168" cm="1">
        <f t="array" ref="O1065">M1064-_fnGENPOP.U(50)</f>
        <v>-7.3999999999999622E-3</v>
      </c>
    </row>
    <row r="1066" spans="1:31" ht="12" customHeight="1" outlineLevel="3" x14ac:dyDescent="0.25">
      <c r="A1066" s="374"/>
      <c r="B1066" s="385"/>
      <c r="C1066" s="377"/>
      <c r="G1066" s="40" t="s">
        <v>89</v>
      </c>
      <c r="H1066" s="40" t="s">
        <v>89</v>
      </c>
      <c r="I1066" s="40" t="s">
        <v>89</v>
      </c>
      <c r="J1066" s="40" t="s">
        <v>89</v>
      </c>
      <c r="K1066" s="40" t="s">
        <v>89</v>
      </c>
      <c r="L1066" s="10" t="s">
        <v>171</v>
      </c>
    </row>
    <row r="1067" spans="1:31" ht="12" customHeight="1" outlineLevel="3" x14ac:dyDescent="0.25">
      <c r="A1067" s="374"/>
      <c r="B1067" s="385"/>
      <c r="C1067" s="377"/>
      <c r="G1067" s="40" t="s">
        <v>89</v>
      </c>
      <c r="H1067" s="40" t="s">
        <v>89</v>
      </c>
      <c r="I1067" s="40" t="s">
        <v>89</v>
      </c>
      <c r="J1067" s="40" t="s">
        <v>89</v>
      </c>
      <c r="K1067" s="40" t="s">
        <v>752</v>
      </c>
      <c r="L1067" s="151" t="s">
        <v>167</v>
      </c>
      <c r="M1067" s="150">
        <f t="shared" ref="M1067:M1072" si="149">O1067</f>
        <v>0.47299999999999998</v>
      </c>
      <c r="N1067" s="38"/>
      <c r="O1067" s="18">
        <f>S1067</f>
        <v>0.47299999999999998</v>
      </c>
      <c r="Q1067" s="14">
        <v>20</v>
      </c>
      <c r="S1067" s="35">
        <v>0.47299999999999998</v>
      </c>
      <c r="T1067" s="35">
        <v>0.29899999999999999</v>
      </c>
      <c r="U1067" s="22">
        <f>SQRT((S1067*(1-S1067))/(Q1067+1))</f>
        <v>0.1089497481366874</v>
      </c>
      <c r="V1067" s="17">
        <f>_xlfn.BETA.INV(0.025, AD1067, AE1067)</f>
        <v>0.2645204517884967</v>
      </c>
      <c r="W1067" s="18"/>
      <c r="X1067" s="17">
        <f>_xlfn.BETA.INV(0.975, AD1067, AE1067)</f>
        <v>0.6865976678044986</v>
      </c>
      <c r="Y1067" s="32" t="s">
        <v>249</v>
      </c>
      <c r="AA1067" s="19">
        <f ca="1">RAND()</f>
        <v>0.21748964995916198</v>
      </c>
      <c r="AB1067" s="21">
        <f ca="1">_xlfn.BETA.INV(AA1067, AD1067, AE1067)</f>
        <v>0.38510625201118071</v>
      </c>
      <c r="AC1067" s="20" t="s">
        <v>28</v>
      </c>
      <c r="AD1067" s="54">
        <f>(S1067^2*(1-S1067))/U1067^2-S1067</f>
        <v>9.4599999999999991</v>
      </c>
      <c r="AE1067" s="55">
        <f>AD1067*((1-S1067)/S1067)</f>
        <v>10.540000000000001</v>
      </c>
    </row>
    <row r="1068" spans="1:31" ht="12" customHeight="1" outlineLevel="3" x14ac:dyDescent="0.25">
      <c r="A1068" s="374"/>
      <c r="B1068" s="385"/>
      <c r="C1068" s="377"/>
      <c r="G1068" s="40" t="s">
        <v>89</v>
      </c>
      <c r="H1068" s="40" t="s">
        <v>89</v>
      </c>
      <c r="I1068" s="40" t="s">
        <v>89</v>
      </c>
      <c r="J1068" s="40" t="s">
        <v>89</v>
      </c>
      <c r="K1068" s="40" t="s">
        <v>752</v>
      </c>
      <c r="L1068" s="151" t="s">
        <v>168</v>
      </c>
      <c r="M1068" s="150">
        <f t="shared" si="149"/>
        <v>0.29299999999999998</v>
      </c>
      <c r="N1068" s="38"/>
      <c r="O1068" s="18">
        <f>S1068</f>
        <v>0.29299999999999998</v>
      </c>
      <c r="Q1068" s="14">
        <v>28</v>
      </c>
      <c r="S1068" s="35">
        <v>0.29299999999999998</v>
      </c>
      <c r="T1068" s="35">
        <v>0.40200000000000002</v>
      </c>
      <c r="U1068" s="22">
        <f>SQRT((S1068*(1-S1068))/(Q1068+1))</f>
        <v>8.4517086621786031E-2</v>
      </c>
      <c r="V1068" s="17">
        <f>_xlfn.BETA.INV(0.025, AD1068, AE1068)</f>
        <v>0.14307024884866928</v>
      </c>
      <c r="W1068" s="18"/>
      <c r="X1068" s="17">
        <f>_xlfn.BETA.INV(0.975, AD1068, AE1068)</f>
        <v>0.47089829407353512</v>
      </c>
      <c r="Y1068" s="32" t="s">
        <v>249</v>
      </c>
      <c r="AA1068" s="19">
        <f ca="1">RAND()</f>
        <v>0.22673455525224462</v>
      </c>
      <c r="AB1068" s="21">
        <f ca="1">_xlfn.BETA.INV(AA1068, AD1068, AE1068)</f>
        <v>0.22651978283538024</v>
      </c>
      <c r="AC1068" s="20" t="s">
        <v>28</v>
      </c>
      <c r="AD1068" s="54">
        <f>(S1068^2*(1-S1068))/U1068^2-S1068</f>
        <v>8.2040000000000006</v>
      </c>
      <c r="AE1068" s="55">
        <f>AD1068*((1-S1068)/S1068)</f>
        <v>19.796000000000006</v>
      </c>
    </row>
    <row r="1069" spans="1:31" ht="12" customHeight="1" outlineLevel="3" x14ac:dyDescent="0.25">
      <c r="A1069" s="374"/>
      <c r="B1069" s="385"/>
      <c r="C1069" s="377"/>
      <c r="G1069" s="40" t="s">
        <v>89</v>
      </c>
      <c r="H1069" s="40" t="s">
        <v>89</v>
      </c>
      <c r="I1069" s="40" t="s">
        <v>89</v>
      </c>
      <c r="J1069" s="40" t="s">
        <v>89</v>
      </c>
      <c r="K1069" s="40" t="s">
        <v>752</v>
      </c>
      <c r="L1069" s="151" t="s">
        <v>169</v>
      </c>
      <c r="M1069" s="89">
        <f>O1069</f>
        <v>0.36799999999999994</v>
      </c>
      <c r="O1069" s="11">
        <f>CHOOSE(swtchPSA, S1069, AB1069)</f>
        <v>0.36799999999999994</v>
      </c>
      <c r="Q1069" s="246">
        <f>SUM(Q1067:Q1068)</f>
        <v>48</v>
      </c>
      <c r="S1069" s="246">
        <f>SUMPRODUCT(S1067:S1068, Q1067:Q1068) / Q1069</f>
        <v>0.36799999999999994</v>
      </c>
      <c r="T1069" s="84">
        <f>SQRT((T1067^2*(Q1067-1) + T1068^2*(Q1068-1)) / (Q1069-2))</f>
        <v>0.36301655849166226</v>
      </c>
      <c r="U1069" s="17">
        <f>T1069/SQRT(Q1069)</f>
        <v>5.2396926941363185E-2</v>
      </c>
      <c r="V1069" s="17">
        <f>_xlfn.BETA.INV(0.025, AD1069, AE1069)</f>
        <v>0.26858827653268175</v>
      </c>
      <c r="W1069" s="18"/>
      <c r="X1069" s="17">
        <f>_xlfn.BETA.INV(0.975, AD1069, AE1069)</f>
        <v>0.47338748131104735</v>
      </c>
      <c r="AA1069" s="19">
        <f ca="1">RAND()</f>
        <v>0.81193616765871623</v>
      </c>
      <c r="AB1069" s="21">
        <f ca="1">_xlfn.BETA.INV(AA1069, AD1069, AE1069)</f>
        <v>0.41442852036906963</v>
      </c>
      <c r="AC1069" s="20" t="s">
        <v>28</v>
      </c>
      <c r="AD1069" s="54">
        <f>(S1069^2*(1-S1069))/U1069^2-S1069</f>
        <v>30.806613838800757</v>
      </c>
      <c r="AE1069" s="55">
        <f>AD1069*((1-S1069)/S1069)</f>
        <v>52.907010723157839</v>
      </c>
    </row>
    <row r="1070" spans="1:31" ht="12" customHeight="1" outlineLevel="3" x14ac:dyDescent="0.25">
      <c r="A1070" s="374"/>
      <c r="B1070" s="385"/>
      <c r="C1070" s="377"/>
      <c r="G1070" s="40" t="s">
        <v>89</v>
      </c>
      <c r="H1070" s="40" t="s">
        <v>89</v>
      </c>
      <c r="I1070" s="40" t="s">
        <v>89</v>
      </c>
      <c r="J1070" s="40" t="s">
        <v>89</v>
      </c>
      <c r="K1070" s="40" t="s">
        <v>752</v>
      </c>
      <c r="L1070" s="151" t="s">
        <v>170</v>
      </c>
      <c r="M1070" s="89">
        <f t="shared" si="149"/>
        <v>-0.4361000000000001</v>
      </c>
      <c r="N1070" s="195" t="s">
        <v>863</v>
      </c>
      <c r="O1070" s="172" cm="1">
        <f t="array" ref="O1070">M1069-_fnGENPOP.U(66)</f>
        <v>-0.4361000000000001</v>
      </c>
    </row>
    <row r="1071" spans="1:31" ht="12" customHeight="1" outlineLevel="3" x14ac:dyDescent="0.25">
      <c r="A1071" s="374"/>
      <c r="B1071" s="385"/>
      <c r="C1071" s="377"/>
      <c r="G1071" s="40" t="s">
        <v>89</v>
      </c>
      <c r="H1071" s="40" t="s">
        <v>89</v>
      </c>
      <c r="I1071" s="40" t="s">
        <v>89</v>
      </c>
      <c r="J1071" s="40" t="s">
        <v>89</v>
      </c>
      <c r="K1071" s="40" t="s">
        <v>752</v>
      </c>
      <c r="L1071" s="151" t="s">
        <v>172</v>
      </c>
      <c r="M1071" s="166">
        <f t="shared" si="149"/>
        <v>1.9165480232176103E-2</v>
      </c>
      <c r="O1071" s="53">
        <f>S1071</f>
        <v>1.9165480232176103E-2</v>
      </c>
      <c r="S1071" s="173">
        <f>7/365.24</f>
        <v>1.9165480232176103E-2</v>
      </c>
    </row>
    <row r="1072" spans="1:31" ht="12" customHeight="1" outlineLevel="3" thickBot="1" x14ac:dyDescent="0.3">
      <c r="A1072" s="374"/>
      <c r="B1072" s="385"/>
      <c r="C1072" s="377"/>
      <c r="G1072" s="40" t="s">
        <v>89</v>
      </c>
      <c r="H1072" s="40" t="s">
        <v>89</v>
      </c>
      <c r="I1072" s="40" t="s">
        <v>89</v>
      </c>
      <c r="J1072" s="40" t="s">
        <v>89</v>
      </c>
      <c r="K1072" s="40" t="s">
        <v>752</v>
      </c>
      <c r="L1072" s="76" t="s">
        <v>173</v>
      </c>
      <c r="M1072" s="166">
        <f t="shared" si="149"/>
        <v>1.9165480232176103E-2</v>
      </c>
      <c r="O1072" s="53">
        <f>S1072</f>
        <v>1.9165480232176103E-2</v>
      </c>
      <c r="S1072" s="173">
        <f>7/365.24</f>
        <v>1.9165480232176103E-2</v>
      </c>
    </row>
    <row r="1073" spans="1:31" s="110" customFormat="1" ht="12" customHeight="1" outlineLevel="2" thickBot="1" x14ac:dyDescent="0.3">
      <c r="A1073" s="374"/>
      <c r="B1073" s="385"/>
      <c r="C1073" s="377"/>
      <c r="D1073" s="112"/>
      <c r="G1073" s="112" t="s">
        <v>89</v>
      </c>
      <c r="H1073" s="112" t="s">
        <v>89</v>
      </c>
      <c r="I1073" s="112" t="s">
        <v>89</v>
      </c>
      <c r="J1073" s="112" t="s">
        <v>89</v>
      </c>
      <c r="K1073" s="112" t="s">
        <v>89</v>
      </c>
      <c r="L1073" s="110" t="s">
        <v>166</v>
      </c>
    </row>
    <row r="1074" spans="1:31" ht="12" customHeight="1" outlineLevel="3" x14ac:dyDescent="0.25">
      <c r="A1074" s="374"/>
      <c r="B1074" s="385"/>
      <c r="C1074" s="377"/>
      <c r="D1074" s="40">
        <v>1</v>
      </c>
      <c r="G1074" s="40" t="s">
        <v>89</v>
      </c>
      <c r="H1074" s="40" t="s">
        <v>89</v>
      </c>
      <c r="I1074" s="40" t="s">
        <v>89</v>
      </c>
      <c r="J1074" s="40" t="s">
        <v>89</v>
      </c>
      <c r="K1074" s="40" t="s">
        <v>752</v>
      </c>
      <c r="L1074" s="76" t="str" cm="1">
        <f t="array" aca="1" ref="L1074" ca="1">INDEX(K.rngStates, $D1074)</f>
        <v>No event no NSAID</v>
      </c>
      <c r="M1074" s="89">
        <f t="shared" ref="M1074:M1085" si="150">O1074</f>
        <v>-6.7200000000000037E-2</v>
      </c>
      <c r="N1074" s="445" t="s">
        <v>860</v>
      </c>
      <c r="O1074" s="11">
        <f>E.uDisutil.CKD</f>
        <v>-6.7200000000000037E-2</v>
      </c>
    </row>
    <row r="1075" spans="1:31" ht="12" customHeight="1" outlineLevel="3" x14ac:dyDescent="0.25">
      <c r="A1075" s="374"/>
      <c r="B1075" s="385"/>
      <c r="C1075" s="377"/>
      <c r="D1075" s="40">
        <f t="shared" ref="D1075:D1085" si="151">D1074+1</f>
        <v>2</v>
      </c>
      <c r="G1075" s="40" t="s">
        <v>89</v>
      </c>
      <c r="H1075" s="40" t="s">
        <v>89</v>
      </c>
      <c r="I1075" s="40" t="s">
        <v>89</v>
      </c>
      <c r="J1075" s="40" t="s">
        <v>89</v>
      </c>
      <c r="K1075" s="40" t="s">
        <v>752</v>
      </c>
      <c r="L1075" s="76" t="str" cm="1">
        <f t="array" aca="1" ref="L1075" ca="1">INDEX(K.rngStates, $D1075)</f>
        <v>No event + NSAID</v>
      </c>
      <c r="M1075" s="89">
        <f t="shared" si="150"/>
        <v>-6.7200000000000037E-2</v>
      </c>
      <c r="N1075" s="445"/>
      <c r="O1075" s="11">
        <f>E.uDisutil.CKD</f>
        <v>-6.7200000000000037E-2</v>
      </c>
    </row>
    <row r="1076" spans="1:31" ht="12" customHeight="1" outlineLevel="3" x14ac:dyDescent="0.25">
      <c r="A1076" s="374"/>
      <c r="B1076" s="385"/>
      <c r="C1076" s="377"/>
      <c r="D1076" s="40">
        <f t="shared" si="151"/>
        <v>3</v>
      </c>
      <c r="G1076" s="40" t="s">
        <v>89</v>
      </c>
      <c r="H1076" s="40" t="s">
        <v>89</v>
      </c>
      <c r="I1076" s="40" t="s">
        <v>89</v>
      </c>
      <c r="J1076" s="40" t="s">
        <v>89</v>
      </c>
      <c r="K1076" s="40" t="s">
        <v>752</v>
      </c>
      <c r="L1076" s="76" t="str" cm="1">
        <f t="array" aca="1" ref="L1076" ca="1">INDEX(K.rngStates, $D1076)</f>
        <v>Primary care AKI</v>
      </c>
      <c r="M1076" s="89">
        <f t="shared" si="150"/>
        <v>-9.0573672106012526E-2</v>
      </c>
      <c r="N1076" s="445"/>
      <c r="O1076" s="193" cm="1">
        <f t="array" ref="O1076">AVERAGE(E.uDisutil.AKI_Secondary,E.uDisutil.CKD)*(M1072/E.cycleLength) + E.uDisutil.CKD5*(1-M1072/E.cycleLength)</f>
        <v>-9.0573672106012526E-2</v>
      </c>
    </row>
    <row r="1077" spans="1:31" ht="12" customHeight="1" outlineLevel="3" x14ac:dyDescent="0.25">
      <c r="A1077" s="374"/>
      <c r="B1077" s="385"/>
      <c r="C1077" s="377"/>
      <c r="D1077" s="40">
        <f t="shared" si="151"/>
        <v>4</v>
      </c>
      <c r="G1077" s="40" t="s">
        <v>89</v>
      </c>
      <c r="H1077" s="40" t="s">
        <v>89</v>
      </c>
      <c r="I1077" s="40" t="s">
        <v>89</v>
      </c>
      <c r="J1077" s="40" t="s">
        <v>89</v>
      </c>
      <c r="K1077" s="40" t="s">
        <v>752</v>
      </c>
      <c r="L1077" s="76" t="str" cm="1">
        <f t="array" aca="1" ref="L1077" ca="1">INDEX(K.rngStates, $D1077)</f>
        <v>Secondary care AKI (no RRT)</v>
      </c>
      <c r="M1077" s="89">
        <f t="shared" si="150"/>
        <v>-0.1508808673748768</v>
      </c>
      <c r="N1077" s="445"/>
      <c r="O1077" s="193" cm="1">
        <f t="array" ref="O1077">E.uDisutil.AKI_Secondary*(M1071/E.cycleLength) + E.uDisutil.CKD5D*(1-M1071/E.cycleLength)</f>
        <v>-0.1508808673748768</v>
      </c>
    </row>
    <row r="1078" spans="1:31" ht="12" customHeight="1" outlineLevel="3" x14ac:dyDescent="0.25">
      <c r="A1078" s="374"/>
      <c r="B1078" s="385"/>
      <c r="C1078" s="377"/>
      <c r="D1078" s="40">
        <f t="shared" si="151"/>
        <v>5</v>
      </c>
      <c r="G1078" s="40" t="s">
        <v>89</v>
      </c>
      <c r="H1078" s="40" t="s">
        <v>89</v>
      </c>
      <c r="I1078" s="40" t="s">
        <v>89</v>
      </c>
      <c r="J1078" s="40" t="s">
        <v>89</v>
      </c>
      <c r="K1078" s="40" t="s">
        <v>752</v>
      </c>
      <c r="L1078" s="76" t="str" cm="1">
        <f t="array" aca="1" ref="L1078" ca="1">INDEX(K.rngStates, $D1078)</f>
        <v>Secondary care AKI (with RRT)</v>
      </c>
      <c r="M1078" s="89">
        <f t="shared" si="150"/>
        <v>-0.154713963421312</v>
      </c>
      <c r="N1078" s="445"/>
      <c r="O1078" s="193" cm="1">
        <f t="array" ref="O1078">(E.uDisutil.AKI_Secondary+(E.uDisutil.CKD5D-E.uDisutil.CKD5))*(M1071/E.cycleLength) + E.uDisutil.CKD5D*(1-M1071/E.cycleLength)</f>
        <v>-0.154713963421312</v>
      </c>
    </row>
    <row r="1079" spans="1:31" ht="12" customHeight="1" outlineLevel="3" x14ac:dyDescent="0.25">
      <c r="A1079" s="374"/>
      <c r="B1079" s="385"/>
      <c r="C1079" s="377"/>
      <c r="D1079" s="40">
        <f t="shared" si="151"/>
        <v>6</v>
      </c>
      <c r="G1079" s="40" t="s">
        <v>89</v>
      </c>
      <c r="H1079" s="40" t="s">
        <v>89</v>
      </c>
      <c r="I1079" s="40" t="s">
        <v>89</v>
      </c>
      <c r="J1079" s="40" t="s">
        <v>89</v>
      </c>
      <c r="K1079" s="40" t="s">
        <v>752</v>
      </c>
      <c r="L1079" s="76" t="str" cm="1">
        <f t="array" aca="1" ref="L1079" ca="1">INDEX(K.rngStates, $D1079)</f>
        <v>Post-event CKD stage 3b-4</v>
      </c>
      <c r="M1079" s="89">
        <f t="shared" si="150"/>
        <v>-6.7200000000000037E-2</v>
      </c>
      <c r="N1079" s="445"/>
      <c r="O1079" s="11">
        <f>E.uDisutil.CKD</f>
        <v>-6.7200000000000037E-2</v>
      </c>
    </row>
    <row r="1080" spans="1:31" ht="12" customHeight="1" outlineLevel="3" x14ac:dyDescent="0.25">
      <c r="A1080" s="374"/>
      <c r="B1080" s="385"/>
      <c r="C1080" s="377"/>
      <c r="D1080" s="40">
        <f t="shared" si="151"/>
        <v>7</v>
      </c>
      <c r="G1080" s="40" t="s">
        <v>89</v>
      </c>
      <c r="H1080" s="40" t="s">
        <v>89</v>
      </c>
      <c r="I1080" s="40" t="s">
        <v>89</v>
      </c>
      <c r="J1080" s="40" t="s">
        <v>89</v>
      </c>
      <c r="K1080" s="40" t="s">
        <v>752</v>
      </c>
      <c r="L1080" s="76" t="str" cm="1">
        <f t="array" aca="1" ref="L1080" ca="1">INDEX(K.rngStates, $D1080)</f>
        <v>ESRD</v>
      </c>
      <c r="M1080" s="89">
        <f t="shared" si="150"/>
        <v>-7.7200000000000046E-2</v>
      </c>
      <c r="N1080" s="445"/>
      <c r="O1080" s="66">
        <f>M1052</f>
        <v>-7.7200000000000046E-2</v>
      </c>
    </row>
    <row r="1081" spans="1:31" ht="12" customHeight="1" outlineLevel="3" x14ac:dyDescent="0.25">
      <c r="A1081" s="374"/>
      <c r="B1081" s="385"/>
      <c r="C1081" s="377"/>
      <c r="D1081" s="40">
        <f t="shared" si="151"/>
        <v>8</v>
      </c>
      <c r="G1081" s="40" t="s">
        <v>89</v>
      </c>
      <c r="H1081" s="40" t="s">
        <v>89</v>
      </c>
      <c r="I1081" s="40" t="s">
        <v>89</v>
      </c>
      <c r="J1081" s="40" t="s">
        <v>89</v>
      </c>
      <c r="K1081" s="40" t="s">
        <v>752</v>
      </c>
      <c r="L1081" s="76" t="str" cm="1">
        <f t="array" aca="1" ref="L1081" ca="1">INDEX(K.rngStates, $D1081)</f>
        <v>ESRD+RRT</v>
      </c>
      <c r="M1081" s="89">
        <f t="shared" si="150"/>
        <v>-0.12719999999999998</v>
      </c>
      <c r="N1081" s="445"/>
      <c r="O1081" s="11">
        <f>E.uDisutil.CKD5D</f>
        <v>-0.12719999999999998</v>
      </c>
    </row>
    <row r="1082" spans="1:31" ht="12" customHeight="1" outlineLevel="3" x14ac:dyDescent="0.25">
      <c r="A1082" s="374"/>
      <c r="B1082" s="385"/>
      <c r="C1082" s="377"/>
      <c r="D1082" s="40">
        <f t="shared" si="151"/>
        <v>9</v>
      </c>
      <c r="G1082" s="40" t="s">
        <v>89</v>
      </c>
      <c r="H1082" s="40" t="s">
        <v>89</v>
      </c>
      <c r="I1082" s="40" t="s">
        <v>89</v>
      </c>
      <c r="J1082" s="40" t="s">
        <v>89</v>
      </c>
      <c r="K1082" s="40" t="s">
        <v>752</v>
      </c>
      <c r="L1082" s="76" t="str" cm="1">
        <f t="array" aca="1" ref="L1082" ca="1">INDEX(K.rngStates, $D1082)</f>
        <v>Transplant</v>
      </c>
      <c r="M1082" s="89">
        <f t="shared" si="150"/>
        <v>-0.12719999999999998</v>
      </c>
      <c r="N1082" s="445"/>
      <c r="O1082" s="11">
        <f>E.uDisutil.CKD5D</f>
        <v>-0.12719999999999998</v>
      </c>
    </row>
    <row r="1083" spans="1:31" ht="12" customHeight="1" outlineLevel="3" x14ac:dyDescent="0.25">
      <c r="A1083" s="374"/>
      <c r="B1083" s="385"/>
      <c r="C1083" s="377"/>
      <c r="D1083" s="40">
        <f t="shared" si="151"/>
        <v>10</v>
      </c>
      <c r="G1083" s="40" t="s">
        <v>89</v>
      </c>
      <c r="H1083" s="40" t="s">
        <v>89</v>
      </c>
      <c r="I1083" s="40" t="s">
        <v>89</v>
      </c>
      <c r="J1083" s="40" t="s">
        <v>89</v>
      </c>
      <c r="K1083" s="40" t="s">
        <v>752</v>
      </c>
      <c r="L1083" s="76" t="str" cm="1">
        <f t="array" aca="1" ref="L1083" ca="1">INDEX(K.rngStates, $D1083)</f>
        <v>Post-transplant</v>
      </c>
      <c r="M1083" s="89">
        <f t="shared" si="150"/>
        <v>-7.3999999999999622E-3</v>
      </c>
      <c r="N1083" s="445"/>
      <c r="O1083" s="66">
        <f>M1065</f>
        <v>-7.3999999999999622E-3</v>
      </c>
    </row>
    <row r="1084" spans="1:31" ht="12" customHeight="1" outlineLevel="3" x14ac:dyDescent="0.25">
      <c r="A1084" s="374"/>
      <c r="B1084" s="385"/>
      <c r="C1084" s="377"/>
      <c r="D1084" s="40">
        <f t="shared" si="151"/>
        <v>11</v>
      </c>
      <c r="G1084" s="40" t="s">
        <v>89</v>
      </c>
      <c r="H1084" s="40" t="s">
        <v>89</v>
      </c>
      <c r="I1084" s="40" t="s">
        <v>89</v>
      </c>
      <c r="J1084" s="40" t="s">
        <v>89</v>
      </c>
      <c r="K1084" s="40" t="s">
        <v>752</v>
      </c>
      <c r="L1084" s="76" t="str" cm="1">
        <f t="array" aca="1" ref="L1084" ca="1">INDEX(K.rngStates, $D1084)</f>
        <v>Dead (AKI)</v>
      </c>
      <c r="M1084" s="89">
        <f t="shared" si="150"/>
        <v>0</v>
      </c>
      <c r="N1084" s="445"/>
      <c r="O1084" s="11">
        <v>0</v>
      </c>
    </row>
    <row r="1085" spans="1:31" ht="12" customHeight="1" outlineLevel="3" thickBot="1" x14ac:dyDescent="0.3">
      <c r="A1085" s="374"/>
      <c r="B1085" s="385"/>
      <c r="C1085" s="377"/>
      <c r="D1085" s="40">
        <f t="shared" si="151"/>
        <v>12</v>
      </c>
      <c r="G1085" s="40" t="s">
        <v>89</v>
      </c>
      <c r="H1085" s="40" t="s">
        <v>89</v>
      </c>
      <c r="I1085" s="40" t="s">
        <v>89</v>
      </c>
      <c r="J1085" s="40" t="s">
        <v>89</v>
      </c>
      <c r="K1085" s="40" t="s">
        <v>752</v>
      </c>
      <c r="L1085" s="76" t="str" cm="1">
        <f t="array" aca="1" ref="L1085" ca="1">INDEX(K.rngStates, $D1085)</f>
        <v>Dead (other)</v>
      </c>
      <c r="M1085" s="89">
        <f t="shared" si="150"/>
        <v>0</v>
      </c>
      <c r="N1085" s="445"/>
      <c r="O1085" s="11">
        <v>0</v>
      </c>
    </row>
    <row r="1086" spans="1:31" s="23" customFormat="1" ht="12" customHeight="1" thickBot="1" x14ac:dyDescent="0.3">
      <c r="A1086" s="404"/>
      <c r="B1086" s="405"/>
      <c r="C1086" s="406"/>
      <c r="D1086" s="24"/>
      <c r="G1086" s="24"/>
      <c r="H1086" s="24"/>
      <c r="I1086" s="24"/>
      <c r="J1086" s="24"/>
      <c r="K1086" s="24"/>
      <c r="L1086" s="30" t="s">
        <v>916</v>
      </c>
      <c r="M1086" s="24"/>
      <c r="O1086" s="24"/>
      <c r="P1086" s="24"/>
      <c r="Q1086" s="303"/>
      <c r="R1086" s="303"/>
      <c r="S1086" s="24"/>
      <c r="T1086" s="24"/>
      <c r="V1086" s="24"/>
      <c r="W1086" s="24"/>
      <c r="X1086" s="24"/>
      <c r="Y1086" s="24"/>
      <c r="Z1086" s="24"/>
      <c r="AA1086" s="303"/>
      <c r="AB1086" s="24"/>
      <c r="AC1086" s="30"/>
      <c r="AD1086" s="303"/>
      <c r="AE1086" s="303"/>
    </row>
    <row r="1087" spans="1:31" s="13" customFormat="1" ht="12" customHeight="1" outlineLevel="1" thickBot="1" x14ac:dyDescent="0.3">
      <c r="A1087" s="404"/>
      <c r="B1087" s="405"/>
      <c r="C1087" s="406"/>
      <c r="D1087" s="196"/>
      <c r="E1087" s="179"/>
      <c r="F1087" s="179"/>
      <c r="G1087" s="196"/>
      <c r="H1087" s="196"/>
      <c r="I1087" s="196"/>
      <c r="J1087" s="196"/>
      <c r="K1087" s="196"/>
      <c r="L1087" s="13" t="s">
        <v>26</v>
      </c>
      <c r="M1087" s="25"/>
      <c r="O1087" s="25"/>
      <c r="AB1087" s="25"/>
    </row>
    <row r="1088" spans="1:31" ht="12" customHeight="1" outlineLevel="3" thickBot="1" x14ac:dyDescent="0.3">
      <c r="A1088" s="404"/>
      <c r="B1088" s="405"/>
      <c r="C1088" s="406"/>
      <c r="G1088" s="40" t="s">
        <v>752</v>
      </c>
      <c r="H1088" s="40" t="s">
        <v>752</v>
      </c>
      <c r="I1088" s="40" t="s">
        <v>752</v>
      </c>
      <c r="J1088" s="40" t="s">
        <v>752</v>
      </c>
      <c r="K1088" s="40" t="s">
        <v>752</v>
      </c>
      <c r="L1088" s="10" t="s">
        <v>778</v>
      </c>
      <c r="M1088" s="16">
        <v>1</v>
      </c>
      <c r="N1088" s="15" t="s">
        <v>779</v>
      </c>
      <c r="O1088" s="11">
        <v>1</v>
      </c>
    </row>
    <row r="1089" spans="1:31" ht="12" customHeight="1" outlineLevel="3" thickBot="1" x14ac:dyDescent="0.3">
      <c r="A1089" s="404"/>
      <c r="B1089" s="405"/>
      <c r="C1089" s="406"/>
      <c r="G1089" s="40" t="s">
        <v>752</v>
      </c>
      <c r="H1089" s="40" t="s">
        <v>752</v>
      </c>
      <c r="I1089" s="40" t="s">
        <v>752</v>
      </c>
      <c r="J1089" s="40" t="s">
        <v>752</v>
      </c>
      <c r="K1089" s="40" t="s">
        <v>752</v>
      </c>
      <c r="L1089" s="10" t="s">
        <v>781</v>
      </c>
      <c r="M1089" s="16">
        <v>1</v>
      </c>
      <c r="N1089" s="15" t="s">
        <v>780</v>
      </c>
      <c r="O1089" s="11">
        <v>1</v>
      </c>
    </row>
    <row r="1090" spans="1:31" s="393" customFormat="1" ht="12" customHeight="1" outlineLevel="1" thickBot="1" x14ac:dyDescent="0.3">
      <c r="A1090" s="404"/>
      <c r="B1090" s="405"/>
      <c r="C1090" s="406"/>
      <c r="D1090" s="196"/>
      <c r="G1090" s="196"/>
      <c r="H1090" s="196"/>
      <c r="I1090" s="196"/>
      <c r="J1090" s="196"/>
      <c r="K1090" s="196"/>
      <c r="L1090" s="381" t="s">
        <v>710</v>
      </c>
    </row>
    <row r="1091" spans="1:31" s="110" customFormat="1" ht="12" customHeight="1" outlineLevel="2" thickBot="1" x14ac:dyDescent="0.3">
      <c r="A1091" s="404"/>
      <c r="B1091" s="405"/>
      <c r="C1091" s="406"/>
      <c r="D1091" s="112"/>
      <c r="G1091" s="112"/>
      <c r="H1091" s="112"/>
      <c r="I1091" s="112"/>
      <c r="J1091" s="112"/>
      <c r="K1091" s="112"/>
      <c r="L1091" s="110" t="s">
        <v>734</v>
      </c>
    </row>
    <row r="1092" spans="1:31" ht="12" customHeight="1" outlineLevel="3" x14ac:dyDescent="0.25">
      <c r="A1092" s="404"/>
      <c r="B1092" s="405"/>
      <c r="C1092" s="406"/>
      <c r="D1092" s="40">
        <v>1</v>
      </c>
      <c r="L1092" s="79" t="str" cm="1">
        <f t="array" ref="L1092">INDEX(lstQs, $D1092)</f>
        <v>A: No gastroprotection - NSAIDs in people &gt;65</v>
      </c>
      <c r="M1092" s="36">
        <f>O1092</f>
        <v>0.12430319921609712</v>
      </c>
      <c r="N1092" t="str" cm="1">
        <f t="array" ref="N1092">_fnSTR.CI(S1092, V1092, X1092, "0.0", 1000, , , , "")</f>
        <v>124.3 (124.1 to 124.5)</v>
      </c>
      <c r="O1092" s="11">
        <f t="shared" ref="O1092:O1097" si="152">CHOOSE(swtchPSA, S1092, AB1092)</f>
        <v>0.12430319921609712</v>
      </c>
      <c r="Q1092" s="162">
        <v>10906453</v>
      </c>
      <c r="R1092" s="162">
        <v>1355707</v>
      </c>
      <c r="S1092" s="203">
        <f t="shared" ref="S1092:S1097" si="153">R1092/Q1092</f>
        <v>0.12430319921609712</v>
      </c>
      <c r="V1092" s="17">
        <f t="shared" ref="V1092:V1097" si="154">_xlfn.BETA.INV(0.025, AD1092, AE1092)</f>
        <v>0.12410745922813511</v>
      </c>
      <c r="W1092" s="18"/>
      <c r="X1092" s="17">
        <f t="shared" ref="X1092:X1097" si="155">_xlfn.BETA.INV(0.975, AD1092, AE1092)</f>
        <v>0.12449906971113389</v>
      </c>
      <c r="Y1092" s="15" t="s">
        <v>923</v>
      </c>
      <c r="AA1092" s="19">
        <f t="shared" ref="AA1092:AA1097" ca="1" si="156">RAND()</f>
        <v>0.54447689366558283</v>
      </c>
      <c r="AB1092" s="21">
        <f t="shared" ref="AB1092:AB1097" ca="1" si="157">_xlfn.BETA.INV(AA1092, AD1092, AE1092)</f>
        <v>0.12431433754243271</v>
      </c>
      <c r="AC1092" s="20" t="s">
        <v>28</v>
      </c>
      <c r="AD1092" s="34">
        <f t="shared" ref="AD1092:AD1097" si="158">R1092</f>
        <v>1355707</v>
      </c>
      <c r="AE1092" s="33">
        <f t="shared" ref="AE1092:AE1097" si="159">Q1092-R1092</f>
        <v>9550746</v>
      </c>
    </row>
    <row r="1093" spans="1:31" ht="12" customHeight="1" outlineLevel="3" x14ac:dyDescent="0.25">
      <c r="A1093" s="404"/>
      <c r="B1093" s="405"/>
      <c r="C1093" s="406"/>
      <c r="D1093" s="40">
        <f>D1092+1</f>
        <v>2</v>
      </c>
      <c r="L1093" s="79" t="str" cm="1">
        <f t="array" ref="L1093">INDEX(lstQs, $D1093)</f>
        <v>B: No gastroprotection - NSAIDs in people with ulcer history</v>
      </c>
      <c r="M1093" s="36">
        <f t="shared" ref="M1093:M1097" si="160">O1093</f>
        <v>7.6197091758429623E-3</v>
      </c>
      <c r="N1093" t="str" cm="1">
        <f t="array" ref="N1093">_fnSTR.CI(S1093, V1093, X1093, "0.0", 1000, , , , "")</f>
        <v>7.6 (7.6 to 7.7)</v>
      </c>
      <c r="O1093" s="11">
        <f t="shared" si="152"/>
        <v>7.6197091758429623E-3</v>
      </c>
      <c r="Q1093" s="162">
        <f>$Q$1106</f>
        <v>10906453</v>
      </c>
      <c r="R1093" s="162">
        <v>83104</v>
      </c>
      <c r="S1093" s="203">
        <f t="shared" si="153"/>
        <v>7.6197091758429623E-3</v>
      </c>
      <c r="V1093" s="17">
        <f t="shared" si="154"/>
        <v>7.568187042337117E-3</v>
      </c>
      <c r="W1093" s="18"/>
      <c r="X1093" s="17">
        <f t="shared" si="155"/>
        <v>7.6714023490254135E-3</v>
      </c>
      <c r="Y1093" s="15" t="s">
        <v>923</v>
      </c>
      <c r="AA1093" s="19">
        <f t="shared" ca="1" si="156"/>
        <v>0.14933502617053263</v>
      </c>
      <c r="AB1093" s="21">
        <f t="shared" ca="1" si="157"/>
        <v>7.5923461587666446E-3</v>
      </c>
      <c r="AC1093" s="20" t="s">
        <v>28</v>
      </c>
      <c r="AD1093" s="34">
        <f t="shared" si="158"/>
        <v>83104</v>
      </c>
      <c r="AE1093" s="33">
        <f t="shared" si="159"/>
        <v>10823349</v>
      </c>
    </row>
    <row r="1094" spans="1:31" ht="12" customHeight="1" outlineLevel="3" x14ac:dyDescent="0.25">
      <c r="A1094" s="404"/>
      <c r="B1094" s="405"/>
      <c r="C1094" s="406"/>
      <c r="D1094" s="40">
        <f t="shared" ref="D1094:D1096" si="161">D1093+1</f>
        <v>3</v>
      </c>
      <c r="L1094" s="79" t="str" cm="1">
        <f t="array" ref="L1094">INDEX(lstQs, $D1094)</f>
        <v>C: NSAIDs - DOAC/warfarin</v>
      </c>
      <c r="M1094" s="36">
        <f t="shared" si="160"/>
        <v>2.2535099174772952E-2</v>
      </c>
      <c r="N1094" t="str" cm="1">
        <f t="array" ref="N1094">_fnSTR.CI(S1094, V1094, X1094, "0.0", 1000, , , , "")</f>
        <v>22.5 (22.4 to 22.6)</v>
      </c>
      <c r="O1094" s="11">
        <f t="shared" si="152"/>
        <v>2.2535099174772952E-2</v>
      </c>
      <c r="Q1094" s="162">
        <f t="shared" ref="Q1094:Q1097" si="162">$Q$1106</f>
        <v>10906453</v>
      </c>
      <c r="R1094" s="162">
        <v>245778</v>
      </c>
      <c r="S1094" s="203">
        <f t="shared" si="153"/>
        <v>2.2535099174772952E-2</v>
      </c>
      <c r="V1094" s="17">
        <f t="shared" si="154"/>
        <v>2.2447100244522161E-2</v>
      </c>
      <c r="W1094" s="18"/>
      <c r="X1094" s="17">
        <f t="shared" si="155"/>
        <v>2.2623263963589713E-2</v>
      </c>
      <c r="Y1094" s="15" t="s">
        <v>923</v>
      </c>
      <c r="AA1094" s="19">
        <f t="shared" ca="1" si="156"/>
        <v>0.4217843151099756</v>
      </c>
      <c r="AB1094" s="21">
        <f t="shared" ca="1" si="157"/>
        <v>2.2526202971107547E-2</v>
      </c>
      <c r="AC1094" s="20" t="s">
        <v>28</v>
      </c>
      <c r="AD1094" s="34">
        <f t="shared" si="158"/>
        <v>245778</v>
      </c>
      <c r="AE1094" s="33">
        <f t="shared" si="159"/>
        <v>10660675</v>
      </c>
    </row>
    <row r="1095" spans="1:31" ht="12" customHeight="1" outlineLevel="3" x14ac:dyDescent="0.25">
      <c r="A1095" s="404"/>
      <c r="B1095" s="405"/>
      <c r="C1095" s="406"/>
      <c r="D1095" s="40">
        <f t="shared" si="161"/>
        <v>4</v>
      </c>
      <c r="L1095" s="79" t="str" cm="1">
        <f t="array" ref="L1095">INDEX(lstQs, $D1095)</f>
        <v>D: NSAIDs - HF</v>
      </c>
      <c r="M1095" s="36">
        <f t="shared" si="160"/>
        <v>8.0506467134640377E-3</v>
      </c>
      <c r="N1095" t="str" cm="1">
        <f t="array" ref="N1095">_fnSTR.CI(S1095, V1095, X1095, "0.0", 1000, , , , "")</f>
        <v>8.1 (8.0 to 8.1)</v>
      </c>
      <c r="O1095" s="11">
        <f t="shared" si="152"/>
        <v>8.0506467134640377E-3</v>
      </c>
      <c r="Q1095" s="162">
        <f t="shared" si="162"/>
        <v>10906453</v>
      </c>
      <c r="R1095" s="162">
        <v>87804</v>
      </c>
      <c r="S1095" s="203">
        <f t="shared" si="153"/>
        <v>8.0506467134640377E-3</v>
      </c>
      <c r="V1095" s="17">
        <f t="shared" si="154"/>
        <v>7.9976967391391773E-3</v>
      </c>
      <c r="W1095" s="18"/>
      <c r="X1095" s="17">
        <f t="shared" si="155"/>
        <v>8.1037675777773099E-3</v>
      </c>
      <c r="Y1095" s="15" t="s">
        <v>923</v>
      </c>
      <c r="AA1095" s="19">
        <f t="shared" ca="1" si="156"/>
        <v>6.5574684185814025E-3</v>
      </c>
      <c r="AB1095" s="21">
        <f t="shared" ca="1" si="157"/>
        <v>7.9836772407982336E-3</v>
      </c>
      <c r="AC1095" s="20" t="s">
        <v>28</v>
      </c>
      <c r="AD1095" s="34">
        <f t="shared" si="158"/>
        <v>87804</v>
      </c>
      <c r="AE1095" s="33">
        <f t="shared" si="159"/>
        <v>10818649</v>
      </c>
    </row>
    <row r="1096" spans="1:31" ht="12" customHeight="1" outlineLevel="3" x14ac:dyDescent="0.25">
      <c r="A1096" s="404"/>
      <c r="B1096" s="405"/>
      <c r="C1096" s="406"/>
      <c r="D1096" s="40">
        <f t="shared" si="161"/>
        <v>5</v>
      </c>
      <c r="L1096" s="79" t="str" cm="1">
        <f t="array" ref="L1096">INDEX(lstQs, $D1096)</f>
        <v>E: NSAIDs - CKD</v>
      </c>
      <c r="M1096" s="36">
        <f t="shared" si="160"/>
        <v>1.2538356879179693E-2</v>
      </c>
      <c r="N1096" t="str" cm="1">
        <f t="array" ref="N1096">_fnSTR.CI(S1096, V1096, X1096, "0.0", 1000, , , , "")</f>
        <v>12.5 (12.5 to 12.6)</v>
      </c>
      <c r="O1096" s="11">
        <f t="shared" si="152"/>
        <v>1.2538356879179693E-2</v>
      </c>
      <c r="Q1096" s="162">
        <f t="shared" si="162"/>
        <v>10906453</v>
      </c>
      <c r="R1096" s="162">
        <v>136749</v>
      </c>
      <c r="S1096" s="203">
        <f t="shared" si="153"/>
        <v>1.2538356879179693E-2</v>
      </c>
      <c r="V1096" s="17">
        <f t="shared" si="154"/>
        <v>1.2472404677949099E-2</v>
      </c>
      <c r="W1096" s="18"/>
      <c r="X1096" s="17">
        <f t="shared" si="155"/>
        <v>1.2604478411538333E-2</v>
      </c>
      <c r="Y1096" s="15" t="s">
        <v>923</v>
      </c>
      <c r="AA1096" s="19">
        <f t="shared" ca="1" si="156"/>
        <v>0.95628176054854974</v>
      </c>
      <c r="AB1096" s="21">
        <f t="shared" ca="1" si="157"/>
        <v>1.2595997902703049E-2</v>
      </c>
      <c r="AC1096" s="20" t="s">
        <v>28</v>
      </c>
      <c r="AD1096" s="34">
        <f t="shared" si="158"/>
        <v>136749</v>
      </c>
      <c r="AE1096" s="33">
        <f t="shared" si="159"/>
        <v>10769704</v>
      </c>
    </row>
    <row r="1097" spans="1:31" ht="12" customHeight="1" outlineLevel="3" thickBot="1" x14ac:dyDescent="0.3">
      <c r="A1097" s="404"/>
      <c r="B1097" s="405"/>
      <c r="C1097" s="406"/>
      <c r="L1097" s="79" t="s">
        <v>37</v>
      </c>
      <c r="M1097" s="36">
        <f t="shared" si="160"/>
        <v>0.17504701115935675</v>
      </c>
      <c r="N1097" t="str" cm="1">
        <f t="array" ref="N1097">_fnSTR.CI(S1097, V1097, X1097, "0.0", 1000, , , , "")</f>
        <v>175.0 (174.8 to 175.3)</v>
      </c>
      <c r="O1097" s="11">
        <f t="shared" si="152"/>
        <v>0.17504701115935675</v>
      </c>
      <c r="Q1097" s="162">
        <f t="shared" si="162"/>
        <v>10906453</v>
      </c>
      <c r="R1097" s="162">
        <f>SUM(R1092:R1096)</f>
        <v>1909142</v>
      </c>
      <c r="S1097" s="203">
        <f t="shared" si="153"/>
        <v>0.17504701115935675</v>
      </c>
      <c r="V1097" s="17">
        <f t="shared" si="154"/>
        <v>0.17482154075847053</v>
      </c>
      <c r="W1097" s="18"/>
      <c r="X1097" s="17">
        <f t="shared" si="155"/>
        <v>0.17527259444026899</v>
      </c>
      <c r="Y1097" s="15" t="s">
        <v>923</v>
      </c>
      <c r="AA1097" s="19">
        <f t="shared" ca="1" si="156"/>
        <v>0.41050847558636527</v>
      </c>
      <c r="AB1097" s="21">
        <f t="shared" ca="1" si="157"/>
        <v>0.1750209599159902</v>
      </c>
      <c r="AC1097" s="20" t="s">
        <v>28</v>
      </c>
      <c r="AD1097" s="34">
        <f t="shared" si="158"/>
        <v>1909142</v>
      </c>
      <c r="AE1097" s="33">
        <f t="shared" si="159"/>
        <v>8997311</v>
      </c>
    </row>
    <row r="1098" spans="1:31" s="110" customFormat="1" ht="12" customHeight="1" outlineLevel="2" thickBot="1" x14ac:dyDescent="0.3">
      <c r="A1098" s="404"/>
      <c r="B1098" s="405"/>
      <c r="C1098" s="406"/>
      <c r="D1098" s="112"/>
      <c r="G1098" s="112"/>
      <c r="H1098" s="112"/>
      <c r="I1098" s="112"/>
      <c r="J1098" s="112"/>
      <c r="K1098" s="112"/>
      <c r="L1098" s="110" t="s">
        <v>792</v>
      </c>
    </row>
    <row r="1099" spans="1:31" ht="12" customHeight="1" outlineLevel="3" x14ac:dyDescent="0.25">
      <c r="A1099" s="404"/>
      <c r="B1099" s="405"/>
      <c r="C1099" s="406"/>
      <c r="D1099" s="40">
        <v>1</v>
      </c>
      <c r="L1099" s="79" t="str" cm="1">
        <f t="array" ref="L1099">INDEX(lstQs, $D1099)</f>
        <v>A: No gastroprotection - NSAIDs in people &gt;65</v>
      </c>
      <c r="M1099" s="36">
        <f>O1099</f>
        <v>1.3713140081153229E-2</v>
      </c>
      <c r="N1099" t="str" cm="1">
        <f t="array" ref="N1099">_fnSTR.CI(S1099, V1099, X1099, "0.0", 1000, , , , "")</f>
        <v>13.7 (13.5 to 13.9)</v>
      </c>
      <c r="O1099" s="11">
        <f t="shared" ref="O1099:O1104" si="163">CHOOSE(swtchPSA, S1099, AB1099)</f>
        <v>1.3713140081153229E-2</v>
      </c>
      <c r="Q1099" s="162">
        <f>R1092</f>
        <v>1355707</v>
      </c>
      <c r="R1099" s="162">
        <v>18591</v>
      </c>
      <c r="S1099" s="203">
        <f t="shared" ref="S1099:S1104" si="164">R1099/Q1099</f>
        <v>1.3713140081153229E-2</v>
      </c>
      <c r="V1099" s="17">
        <f t="shared" ref="V1099:V1104" si="165">_xlfn.BETA.INV(0.025, AD1099, AE1099)</f>
        <v>1.3518055456045858E-2</v>
      </c>
      <c r="W1099" s="18"/>
      <c r="X1099" s="17">
        <f t="shared" ref="X1099:X1104" si="166">_xlfn.BETA.INV(0.975, AD1099, AE1099)</f>
        <v>1.3909583661671276E-2</v>
      </c>
      <c r="Y1099" s="15" t="s">
        <v>923</v>
      </c>
      <c r="AA1099" s="19">
        <f t="shared" ref="AA1099:AA1104" ca="1" si="167">RAND()</f>
        <v>0.6891063118707943</v>
      </c>
      <c r="AB1099" s="21">
        <f t="shared" ref="AB1099:AB1104" ca="1" si="168">_xlfn.BETA.INV(AA1099, AD1099, AE1099)</f>
        <v>1.3762232332827251E-2</v>
      </c>
      <c r="AC1099" s="20" t="s">
        <v>28</v>
      </c>
      <c r="AD1099" s="34">
        <f t="shared" ref="AD1099:AD1104" si="169">R1099</f>
        <v>18591</v>
      </c>
      <c r="AE1099" s="33">
        <f t="shared" ref="AE1099:AE1104" si="170">Q1099-R1099</f>
        <v>1337116</v>
      </c>
    </row>
    <row r="1100" spans="1:31" ht="12" customHeight="1" outlineLevel="3" x14ac:dyDescent="0.25">
      <c r="A1100" s="404"/>
      <c r="B1100" s="405"/>
      <c r="C1100" s="406"/>
      <c r="D1100" s="40">
        <f>D1099+1</f>
        <v>2</v>
      </c>
      <c r="L1100" s="79" t="str" cm="1">
        <f t="array" ref="L1100">INDEX(lstQs, $D1100)</f>
        <v>B: No gastroprotection - NSAIDs in people with ulcer history</v>
      </c>
      <c r="M1100" s="36">
        <f t="shared" ref="M1100:M1104" si="171">O1100</f>
        <v>1.4295340777820562E-2</v>
      </c>
      <c r="N1100" t="str" cm="1">
        <f t="array" ref="N1100">_fnSTR.CI(S1100, V1100, X1100, "0.0", 1000, , , , "")</f>
        <v>14.3 (13.5 to 15.1)</v>
      </c>
      <c r="O1100" s="11">
        <f t="shared" si="163"/>
        <v>1.4295340777820562E-2</v>
      </c>
      <c r="Q1100" s="162">
        <f t="shared" ref="Q1100:Q1104" si="172">R1093</f>
        <v>83104</v>
      </c>
      <c r="R1100" s="162">
        <v>1188</v>
      </c>
      <c r="S1100" s="203">
        <f t="shared" si="164"/>
        <v>1.4295340777820562E-2</v>
      </c>
      <c r="V1100" s="17">
        <f t="shared" si="165"/>
        <v>1.3499411786993442E-2</v>
      </c>
      <c r="W1100" s="18"/>
      <c r="X1100" s="17">
        <f t="shared" si="166"/>
        <v>1.5113411194261683E-2</v>
      </c>
      <c r="Y1100" s="15" t="s">
        <v>923</v>
      </c>
      <c r="AA1100" s="19">
        <f t="shared" ca="1" si="167"/>
        <v>0.84518435022646377</v>
      </c>
      <c r="AB1100" s="21">
        <f t="shared" ca="1" si="168"/>
        <v>1.4713772070360842E-2</v>
      </c>
      <c r="AC1100" s="20" t="s">
        <v>28</v>
      </c>
      <c r="AD1100" s="34">
        <f t="shared" si="169"/>
        <v>1188</v>
      </c>
      <c r="AE1100" s="33">
        <f t="shared" si="170"/>
        <v>81916</v>
      </c>
    </row>
    <row r="1101" spans="1:31" ht="12" customHeight="1" outlineLevel="3" x14ac:dyDescent="0.25">
      <c r="A1101" s="404"/>
      <c r="B1101" s="405"/>
      <c r="C1101" s="406"/>
      <c r="D1101" s="40">
        <f t="shared" ref="D1101:D1103" si="173">D1100+1</f>
        <v>3</v>
      </c>
      <c r="L1101" s="79" t="str" cm="1">
        <f t="array" ref="L1101">INDEX(lstQs, $D1101)</f>
        <v>C: NSAIDs - DOAC/warfarin</v>
      </c>
      <c r="M1101" s="36">
        <f t="shared" si="171"/>
        <v>1.62951932231526E-2</v>
      </c>
      <c r="N1101" t="str" cm="1">
        <f t="array" ref="N1101">_fnSTR.CI(S1101, V1101, X1101, "0.0", 1000, , , , "")</f>
        <v>16.3 (15.8 to 16.8)</v>
      </c>
      <c r="O1101" s="11">
        <f t="shared" si="163"/>
        <v>1.62951932231526E-2</v>
      </c>
      <c r="Q1101" s="162">
        <f t="shared" si="172"/>
        <v>245778</v>
      </c>
      <c r="R1101" s="162">
        <v>4005</v>
      </c>
      <c r="S1101" s="203">
        <f t="shared" si="164"/>
        <v>1.62951932231526E-2</v>
      </c>
      <c r="V1101" s="17">
        <f t="shared" si="165"/>
        <v>1.5798393192590868E-2</v>
      </c>
      <c r="W1101" s="18"/>
      <c r="X1101" s="17">
        <f t="shared" si="166"/>
        <v>1.6799449327304927E-2</v>
      </c>
      <c r="Y1101" s="15" t="s">
        <v>923</v>
      </c>
      <c r="AA1101" s="19">
        <f t="shared" ca="1" si="167"/>
        <v>0.80749164072907909</v>
      </c>
      <c r="AB1101" s="21">
        <f t="shared" ca="1" si="168"/>
        <v>1.6516710178247629E-2</v>
      </c>
      <c r="AC1101" s="20" t="s">
        <v>28</v>
      </c>
      <c r="AD1101" s="34">
        <f t="shared" si="169"/>
        <v>4005</v>
      </c>
      <c r="AE1101" s="33">
        <f t="shared" si="170"/>
        <v>241773</v>
      </c>
    </row>
    <row r="1102" spans="1:31" ht="12" customHeight="1" outlineLevel="3" x14ac:dyDescent="0.25">
      <c r="A1102" s="404"/>
      <c r="B1102" s="405"/>
      <c r="C1102" s="406"/>
      <c r="D1102" s="40">
        <f t="shared" si="173"/>
        <v>4</v>
      </c>
      <c r="L1102" s="79" t="str" cm="1">
        <f t="array" ref="L1102">INDEX(lstQs, $D1102)</f>
        <v>D: NSAIDs - HF</v>
      </c>
      <c r="M1102" s="36">
        <f t="shared" si="171"/>
        <v>1.7584620290647352E-2</v>
      </c>
      <c r="N1102" t="str" cm="1">
        <f t="array" ref="N1102">_fnSTR.CI(S1102, V1102, X1102, "0.0", 1000, , , , "")</f>
        <v>17.6 (16.7 to 18.5)</v>
      </c>
      <c r="O1102" s="11">
        <f t="shared" si="163"/>
        <v>1.7584620290647352E-2</v>
      </c>
      <c r="Q1102" s="162">
        <f t="shared" si="172"/>
        <v>87804</v>
      </c>
      <c r="R1102" s="162">
        <v>1544</v>
      </c>
      <c r="S1102" s="203">
        <f t="shared" si="164"/>
        <v>1.7584620290647352E-2</v>
      </c>
      <c r="V1102" s="17">
        <f t="shared" si="165"/>
        <v>1.6725710698114904E-2</v>
      </c>
      <c r="W1102" s="18"/>
      <c r="X1102" s="17">
        <f t="shared" si="166"/>
        <v>1.8464344483152484E-2</v>
      </c>
      <c r="Y1102" s="15" t="s">
        <v>923</v>
      </c>
      <c r="AA1102" s="19">
        <f t="shared" ca="1" si="167"/>
        <v>5.3570291763721523E-2</v>
      </c>
      <c r="AB1102" s="21">
        <f t="shared" ca="1" si="168"/>
        <v>1.6875860231279519E-2</v>
      </c>
      <c r="AC1102" s="20" t="s">
        <v>28</v>
      </c>
      <c r="AD1102" s="34">
        <f t="shared" si="169"/>
        <v>1544</v>
      </c>
      <c r="AE1102" s="33">
        <f t="shared" si="170"/>
        <v>86260</v>
      </c>
    </row>
    <row r="1103" spans="1:31" ht="12" customHeight="1" outlineLevel="3" x14ac:dyDescent="0.25">
      <c r="A1103" s="404"/>
      <c r="B1103" s="405"/>
      <c r="C1103" s="406"/>
      <c r="D1103" s="40">
        <f t="shared" si="173"/>
        <v>5</v>
      </c>
      <c r="L1103" s="79" t="str" cm="1">
        <f t="array" ref="L1103">INDEX(lstQs, $D1103)</f>
        <v>E: NSAIDs - CKD</v>
      </c>
      <c r="M1103" s="36">
        <f t="shared" si="171"/>
        <v>1.9985520917886055E-2</v>
      </c>
      <c r="N1103" t="str" cm="1">
        <f t="array" ref="N1103">_fnSTR.CI(S1103, V1103, X1103, "0.0", 1000, , , , "")</f>
        <v>20.0 (19.3 to 20.7)</v>
      </c>
      <c r="O1103" s="11">
        <f t="shared" si="163"/>
        <v>1.9985520917886055E-2</v>
      </c>
      <c r="Q1103" s="162">
        <f t="shared" si="172"/>
        <v>136749</v>
      </c>
      <c r="R1103" s="162">
        <v>2733</v>
      </c>
      <c r="S1103" s="203">
        <f t="shared" si="164"/>
        <v>1.9985520917886055E-2</v>
      </c>
      <c r="V1103" s="17">
        <f t="shared" si="165"/>
        <v>1.9250442203280829E-2</v>
      </c>
      <c r="W1103" s="18"/>
      <c r="X1103" s="17">
        <f t="shared" si="166"/>
        <v>2.0733898042578192E-2</v>
      </c>
      <c r="Y1103" s="15" t="s">
        <v>923</v>
      </c>
      <c r="AA1103" s="19">
        <f t="shared" ca="1" si="167"/>
        <v>0.81586675876280834</v>
      </c>
      <c r="AB1103" s="21">
        <f t="shared" ca="1" si="168"/>
        <v>2.0325558821048695E-2</v>
      </c>
      <c r="AC1103" s="20" t="s">
        <v>28</v>
      </c>
      <c r="AD1103" s="34">
        <f t="shared" si="169"/>
        <v>2733</v>
      </c>
      <c r="AE1103" s="33">
        <f t="shared" si="170"/>
        <v>134016</v>
      </c>
    </row>
    <row r="1104" spans="1:31" ht="12" customHeight="1" outlineLevel="3" thickBot="1" x14ac:dyDescent="0.3">
      <c r="A1104" s="404"/>
      <c r="B1104" s="405"/>
      <c r="C1104" s="406"/>
      <c r="L1104" s="79" t="s">
        <v>37</v>
      </c>
      <c r="M1104" s="36">
        <f t="shared" si="171"/>
        <v>1.4698225695102827E-2</v>
      </c>
      <c r="N1104" t="str" cm="1">
        <f t="array" ref="N1104">_fnSTR.CI(S1104, V1104, X1104, "0.0", 1000, , , , "")</f>
        <v>14.7 (14.5 to 14.9)</v>
      </c>
      <c r="O1104" s="11">
        <f t="shared" si="163"/>
        <v>1.4698225695102827E-2</v>
      </c>
      <c r="Q1104" s="162">
        <f t="shared" si="172"/>
        <v>1909142</v>
      </c>
      <c r="R1104" s="162">
        <f>SUM(R1099:R1103)</f>
        <v>28061</v>
      </c>
      <c r="S1104" s="203">
        <f t="shared" si="164"/>
        <v>1.4698225695102827E-2</v>
      </c>
      <c r="V1104" s="17">
        <f t="shared" si="165"/>
        <v>1.4528002868400301E-2</v>
      </c>
      <c r="W1104" s="18"/>
      <c r="X1104" s="17">
        <f t="shared" si="166"/>
        <v>1.4869411580374026E-2</v>
      </c>
      <c r="Y1104" s="15" t="s">
        <v>923</v>
      </c>
      <c r="AA1104" s="19">
        <f t="shared" ca="1" si="167"/>
        <v>0.9599436315693809</v>
      </c>
      <c r="AB1104" s="21">
        <f t="shared" ca="1" si="168"/>
        <v>1.485099535950718E-2</v>
      </c>
      <c r="AC1104" s="20" t="s">
        <v>28</v>
      </c>
      <c r="AD1104" s="34">
        <f t="shared" si="169"/>
        <v>28061</v>
      </c>
      <c r="AE1104" s="33">
        <f t="shared" si="170"/>
        <v>1881081</v>
      </c>
    </row>
    <row r="1105" spans="1:31" s="110" customFormat="1" ht="12" customHeight="1" outlineLevel="2" thickBot="1" x14ac:dyDescent="0.3">
      <c r="A1105" s="404"/>
      <c r="B1105" s="405"/>
      <c r="C1105" s="406"/>
      <c r="D1105" s="112"/>
      <c r="G1105" s="112"/>
      <c r="H1105" s="112"/>
      <c r="I1105" s="112"/>
      <c r="J1105" s="112"/>
      <c r="K1105" s="112"/>
      <c r="L1105" s="110" t="s">
        <v>735</v>
      </c>
    </row>
    <row r="1106" spans="1:31" ht="12" customHeight="1" outlineLevel="3" x14ac:dyDescent="0.25">
      <c r="A1106" s="404"/>
      <c r="B1106" s="405"/>
      <c r="C1106" s="406"/>
      <c r="D1106" s="40">
        <v>1</v>
      </c>
      <c r="L1106" s="79" t="str" cm="1">
        <f t="array" ref="L1106">INDEX(lstQs, $D1106)</f>
        <v>A: No gastroprotection - NSAIDs in people &gt;65</v>
      </c>
      <c r="M1106" s="36">
        <f>O1106</f>
        <v>1.7045871833858358E-3</v>
      </c>
      <c r="N1106" t="str" cm="1">
        <f t="array" ref="N1106">_fnSTR.CI(S1106, V1106, X1106, "0.00", 1000, , , , "")</f>
        <v>1.70 (1.68 to 1.73)</v>
      </c>
      <c r="O1106" s="11">
        <f t="shared" ref="O1106:O1111" si="174">CHOOSE(swtchPSA, S1106, AB1106)</f>
        <v>1.7045871833858358E-3</v>
      </c>
      <c r="Q1106" s="162">
        <v>10906453</v>
      </c>
      <c r="R1106" s="162">
        <v>18591</v>
      </c>
      <c r="S1106" s="203">
        <f t="shared" ref="S1106:S1110" si="175">R1106/Q1106</f>
        <v>1.7045871833858358E-3</v>
      </c>
      <c r="V1106" s="17">
        <f t="shared" ref="V1106:V1110" si="176">_xlfn.BETA.INV(0.025, AD1106, AE1106)</f>
        <v>1.6801919270179801E-3</v>
      </c>
      <c r="W1106" s="18"/>
      <c r="X1106" s="17">
        <f t="shared" ref="X1106:X1110" si="177">_xlfn.BETA.INV(0.975, AD1106, AE1106)</f>
        <v>1.7291555336649278E-3</v>
      </c>
      <c r="Y1106" s="15" t="s">
        <v>923</v>
      </c>
      <c r="AA1106" s="19">
        <f t="shared" ref="AA1106:AA1111" ca="1" si="178">RAND()</f>
        <v>4.8735217143317966E-2</v>
      </c>
      <c r="AB1106" s="21">
        <f t="shared" ref="AB1106:AB1111" ca="1" si="179">_xlfn.BETA.INV(AA1106, AD1106, AE1106)</f>
        <v>1.6839398840145798E-3</v>
      </c>
      <c r="AC1106" s="20" t="s">
        <v>28</v>
      </c>
      <c r="AD1106" s="34">
        <f t="shared" ref="AD1106:AD1110" si="180">R1106</f>
        <v>18591</v>
      </c>
      <c r="AE1106" s="33">
        <f t="shared" ref="AE1106:AE1110" si="181">Q1106-R1106</f>
        <v>10887862</v>
      </c>
    </row>
    <row r="1107" spans="1:31" ht="12" customHeight="1" outlineLevel="3" x14ac:dyDescent="0.25">
      <c r="A1107" s="404"/>
      <c r="B1107" s="405"/>
      <c r="C1107" s="406"/>
      <c r="D1107" s="40">
        <f>D1106+1</f>
        <v>2</v>
      </c>
      <c r="L1107" s="79" t="str" cm="1">
        <f t="array" ref="L1107">INDEX(lstQs, $D1107)</f>
        <v>B: No gastroprotection - NSAIDs in people with ulcer history</v>
      </c>
      <c r="M1107" s="36">
        <f t="shared" ref="M1107:M1110" si="182">O1107</f>
        <v>1.0892633929656141E-4</v>
      </c>
      <c r="N1107" t="str" cm="1">
        <f t="array" ref="N1107">_fnSTR.CI(S1107, V1107, X1107, "0.00", 1000, , , , "")</f>
        <v>0.11 (0.10 to 0.12)</v>
      </c>
      <c r="O1107" s="11">
        <f t="shared" si="174"/>
        <v>1.0892633929656141E-4</v>
      </c>
      <c r="Q1107" s="162">
        <f>$Q$1106</f>
        <v>10906453</v>
      </c>
      <c r="R1107" s="162">
        <v>1188</v>
      </c>
      <c r="S1107" s="203">
        <f t="shared" si="175"/>
        <v>1.0892633929656141E-4</v>
      </c>
      <c r="V1107" s="17">
        <f t="shared" si="176"/>
        <v>1.0281993092133292E-4</v>
      </c>
      <c r="W1107" s="18"/>
      <c r="X1107" s="17">
        <f t="shared" si="177"/>
        <v>1.1520638603002009E-4</v>
      </c>
      <c r="Y1107" s="15" t="s">
        <v>923</v>
      </c>
      <c r="AA1107" s="19">
        <f t="shared" ca="1" si="178"/>
        <v>0.71725122435355471</v>
      </c>
      <c r="AB1107" s="21">
        <f t="shared" ca="1" si="179"/>
        <v>1.1072168784587166E-4</v>
      </c>
      <c r="AC1107" s="20" t="s">
        <v>28</v>
      </c>
      <c r="AD1107" s="34">
        <f t="shared" si="180"/>
        <v>1188</v>
      </c>
      <c r="AE1107" s="33">
        <f t="shared" si="181"/>
        <v>10905265</v>
      </c>
    </row>
    <row r="1108" spans="1:31" ht="12" customHeight="1" outlineLevel="3" x14ac:dyDescent="0.25">
      <c r="A1108" s="404"/>
      <c r="B1108" s="405"/>
      <c r="C1108" s="406"/>
      <c r="D1108" s="40">
        <f t="shared" ref="D1108:D1110" si="183">D1107+1</f>
        <v>3</v>
      </c>
      <c r="L1108" s="79" t="str" cm="1">
        <f t="array" ref="L1108">INDEX(lstQs, $D1108)</f>
        <v>C: NSAIDs - DOAC/warfarin</v>
      </c>
      <c r="M1108" s="36">
        <f t="shared" si="182"/>
        <v>3.67213795355832E-4</v>
      </c>
      <c r="N1108" t="str" cm="1">
        <f t="array" ref="N1108">_fnSTR.CI(S1108, V1108, X1108, "0.00", 1000, , , , "")</f>
        <v>0.37 (0.36 to 0.38)</v>
      </c>
      <c r="O1108" s="11">
        <f t="shared" si="174"/>
        <v>3.67213795355832E-4</v>
      </c>
      <c r="Q1108" s="162">
        <f t="shared" ref="Q1108:Q1111" si="184">$Q$1106</f>
        <v>10906453</v>
      </c>
      <c r="R1108" s="162">
        <v>4005</v>
      </c>
      <c r="S1108" s="203">
        <f t="shared" si="175"/>
        <v>3.67213795355832E-4</v>
      </c>
      <c r="V1108" s="17">
        <f t="shared" si="176"/>
        <v>3.559301526774614E-4</v>
      </c>
      <c r="W1108" s="18"/>
      <c r="X1108" s="17">
        <f t="shared" si="177"/>
        <v>3.7867099406685423E-4</v>
      </c>
      <c r="Y1108" s="15" t="s">
        <v>923</v>
      </c>
      <c r="AA1108" s="19">
        <f t="shared" ca="1" si="178"/>
        <v>0.3866262768755977</v>
      </c>
      <c r="AB1108" s="21">
        <f t="shared" ca="1" si="179"/>
        <v>3.6551433377543952E-4</v>
      </c>
      <c r="AC1108" s="20" t="s">
        <v>28</v>
      </c>
      <c r="AD1108" s="34">
        <f t="shared" si="180"/>
        <v>4005</v>
      </c>
      <c r="AE1108" s="33">
        <f t="shared" si="181"/>
        <v>10902448</v>
      </c>
    </row>
    <row r="1109" spans="1:31" ht="12" customHeight="1" outlineLevel="3" x14ac:dyDescent="0.25">
      <c r="A1109" s="404"/>
      <c r="B1109" s="405"/>
      <c r="C1109" s="406"/>
      <c r="D1109" s="40">
        <f t="shared" si="183"/>
        <v>4</v>
      </c>
      <c r="L1109" s="79" t="str" cm="1">
        <f t="array" ref="L1109">INDEX(lstQs, $D1109)</f>
        <v>D: NSAIDs - HF</v>
      </c>
      <c r="M1109" s="36">
        <f t="shared" si="182"/>
        <v>1.4156756555041314E-4</v>
      </c>
      <c r="N1109" t="str" cm="1">
        <f t="array" ref="N1109">_fnSTR.CI(S1109, V1109, X1109, "0.00", 1000, , , , "")</f>
        <v>0.14 (0.13 to 0.15)</v>
      </c>
      <c r="O1109" s="11">
        <f t="shared" si="174"/>
        <v>1.4156756555041314E-4</v>
      </c>
      <c r="Q1109" s="162">
        <f t="shared" si="184"/>
        <v>10906453</v>
      </c>
      <c r="R1109" s="162">
        <v>1544</v>
      </c>
      <c r="S1109" s="203">
        <f t="shared" si="175"/>
        <v>1.4156756555041314E-4</v>
      </c>
      <c r="V1109" s="17">
        <f t="shared" si="176"/>
        <v>1.3459392396633141E-4</v>
      </c>
      <c r="W1109" s="18"/>
      <c r="X1109" s="17">
        <f t="shared" si="177"/>
        <v>1.4871483657907802E-4</v>
      </c>
      <c r="Y1109" s="15" t="s">
        <v>923</v>
      </c>
      <c r="AA1109" s="19">
        <f t="shared" ca="1" si="178"/>
        <v>0.85012172540680864</v>
      </c>
      <c r="AB1109" s="21">
        <f t="shared" ca="1" si="179"/>
        <v>1.4530514678023909E-4</v>
      </c>
      <c r="AC1109" s="20" t="s">
        <v>28</v>
      </c>
      <c r="AD1109" s="34">
        <f t="shared" si="180"/>
        <v>1544</v>
      </c>
      <c r="AE1109" s="33">
        <f t="shared" si="181"/>
        <v>10904909</v>
      </c>
    </row>
    <row r="1110" spans="1:31" ht="12" customHeight="1" outlineLevel="3" x14ac:dyDescent="0.25">
      <c r="A1110" s="404"/>
      <c r="B1110" s="405"/>
      <c r="C1110" s="406"/>
      <c r="D1110" s="40">
        <f t="shared" si="183"/>
        <v>5</v>
      </c>
      <c r="L1110" s="79" t="str" cm="1">
        <f t="array" ref="L1110">INDEX(lstQs, $D1110)</f>
        <v>E: NSAIDs - CKD</v>
      </c>
      <c r="M1110" s="36">
        <f t="shared" si="182"/>
        <v>2.5058559368476628E-4</v>
      </c>
      <c r="N1110" t="str" cm="1">
        <f t="array" ref="N1110">_fnSTR.CI(S1110, V1110, X1110, "0.00", 1000, , , , "")</f>
        <v>0.25 (0.24 to 0.26)</v>
      </c>
      <c r="O1110" s="11">
        <f t="shared" si="174"/>
        <v>2.5058559368476628E-4</v>
      </c>
      <c r="Q1110" s="162">
        <f t="shared" si="184"/>
        <v>10906453</v>
      </c>
      <c r="R1110" s="162">
        <v>2733</v>
      </c>
      <c r="S1110" s="203">
        <f t="shared" si="175"/>
        <v>2.5058559368476628E-4</v>
      </c>
      <c r="V1110" s="17">
        <f t="shared" si="176"/>
        <v>2.4127913877477249E-4</v>
      </c>
      <c r="W1110" s="18"/>
      <c r="X1110" s="17">
        <f t="shared" si="177"/>
        <v>2.6006564368930007E-4</v>
      </c>
      <c r="Y1110" s="15" t="s">
        <v>923</v>
      </c>
      <c r="AA1110" s="19">
        <f t="shared" ca="1" si="178"/>
        <v>0.7221495355349149</v>
      </c>
      <c r="AB1110" s="21">
        <f t="shared" ca="1" si="179"/>
        <v>2.5338951853204339E-4</v>
      </c>
      <c r="AC1110" s="20" t="s">
        <v>28</v>
      </c>
      <c r="AD1110" s="34">
        <f t="shared" si="180"/>
        <v>2733</v>
      </c>
      <c r="AE1110" s="33">
        <f t="shared" si="181"/>
        <v>10903720</v>
      </c>
    </row>
    <row r="1111" spans="1:31" ht="12" customHeight="1" outlineLevel="3" thickBot="1" x14ac:dyDescent="0.3">
      <c r="A1111" s="404"/>
      <c r="B1111" s="405"/>
      <c r="C1111" s="406"/>
      <c r="L1111" s="79" t="s">
        <v>37</v>
      </c>
      <c r="M1111" s="36">
        <f t="shared" ref="M1111" si="185">O1111</f>
        <v>2.5728804772734088E-3</v>
      </c>
      <c r="N1111" t="str" cm="1">
        <f t="array" ref="N1111">_fnSTR.CI(S1111, V1111, X1111, "0.00", 1000, , , , "")</f>
        <v>2.57 (2.54 to 2.60)</v>
      </c>
      <c r="O1111" s="11">
        <f t="shared" si="174"/>
        <v>2.5728804772734088E-3</v>
      </c>
      <c r="Q1111" s="162">
        <f t="shared" si="184"/>
        <v>10906453</v>
      </c>
      <c r="R1111" s="162">
        <f>SUM(R1106:R1110)</f>
        <v>28061</v>
      </c>
      <c r="S1111" s="203">
        <f t="shared" ref="S1111" si="186">R1111/Q1111</f>
        <v>2.5728804772734088E-3</v>
      </c>
      <c r="V1111" s="17">
        <f t="shared" ref="V1111" si="187">_xlfn.BETA.INV(0.025, AD1111, AE1111)</f>
        <v>2.542902279684798E-3</v>
      </c>
      <c r="W1111" s="18"/>
      <c r="X1111" s="17">
        <f t="shared" ref="X1111" si="188">_xlfn.BETA.INV(0.975, AD1111, AE1111)</f>
        <v>2.6030314673779475E-3</v>
      </c>
      <c r="Y1111" s="15" t="s">
        <v>923</v>
      </c>
      <c r="AA1111" s="19">
        <f t="shared" ca="1" si="178"/>
        <v>0.91725649497114403</v>
      </c>
      <c r="AB1111" s="21">
        <f t="shared" ca="1" si="179"/>
        <v>2.5941819303063607E-3</v>
      </c>
      <c r="AC1111" s="20" t="s">
        <v>28</v>
      </c>
      <c r="AD1111" s="34">
        <f t="shared" ref="AD1111" si="189">R1111</f>
        <v>28061</v>
      </c>
      <c r="AE1111" s="33">
        <f t="shared" ref="AE1111" si="190">Q1111-R1111</f>
        <v>10878392</v>
      </c>
    </row>
    <row r="1112" spans="1:31" s="110" customFormat="1" ht="12" customHeight="1" outlineLevel="2" thickBot="1" x14ac:dyDescent="0.3">
      <c r="A1112" s="404"/>
      <c r="B1112" s="405"/>
      <c r="C1112" s="406"/>
      <c r="D1112" s="112"/>
      <c r="G1112" s="112"/>
      <c r="H1112" s="112"/>
      <c r="I1112" s="112"/>
      <c r="J1112" s="112"/>
      <c r="K1112" s="112"/>
      <c r="L1112" s="110" t="s">
        <v>717</v>
      </c>
    </row>
    <row r="1113" spans="1:31" ht="12" customHeight="1" outlineLevel="3" x14ac:dyDescent="0.25">
      <c r="A1113" s="404"/>
      <c r="B1113" s="405"/>
      <c r="C1113" s="406"/>
      <c r="L1113" s="79" t="s">
        <v>718</v>
      </c>
      <c r="M1113" s="392">
        <f>O1113</f>
        <v>63049603</v>
      </c>
      <c r="O1113" s="391">
        <f>S1113</f>
        <v>63049603</v>
      </c>
      <c r="P1113" s="183"/>
      <c r="S1113" s="162">
        <v>63049603</v>
      </c>
      <c r="Y1113" s="195" t="s">
        <v>736</v>
      </c>
    </row>
    <row r="1114" spans="1:31" ht="12" customHeight="1" outlineLevel="3" x14ac:dyDescent="0.25">
      <c r="A1114" s="404"/>
      <c r="B1114" s="405"/>
      <c r="C1114" s="406"/>
      <c r="L1114" s="79" t="s">
        <v>790</v>
      </c>
      <c r="M1114" s="392">
        <v>56536000</v>
      </c>
      <c r="O1114" s="391">
        <f>S1114</f>
        <v>56536000</v>
      </c>
      <c r="P1114" s="183"/>
      <c r="S1114" s="162">
        <v>56536000</v>
      </c>
      <c r="Y1114" s="195" t="s">
        <v>782</v>
      </c>
    </row>
    <row r="1115" spans="1:31" ht="12" customHeight="1" outlineLevel="3" x14ac:dyDescent="0.25">
      <c r="A1115" s="404"/>
      <c r="B1115" s="405"/>
      <c r="C1115" s="406"/>
      <c r="L1115" s="79" t="s">
        <v>791</v>
      </c>
      <c r="M1115" s="212">
        <f>O1115</f>
        <v>63049603</v>
      </c>
      <c r="O1115" s="391" cm="1">
        <f t="array" ref="O1115">CHOOSE(swtchEnglandPop, M1113, M1114)</f>
        <v>63049603</v>
      </c>
      <c r="P1115" s="183"/>
    </row>
    <row r="1116" spans="1:31" ht="12" customHeight="1" outlineLevel="3" x14ac:dyDescent="0.25">
      <c r="A1116" s="404"/>
      <c r="B1116" s="405"/>
      <c r="C1116" s="406"/>
      <c r="D1116" s="40">
        <v>1</v>
      </c>
      <c r="L1116" s="79" t="str" cm="1">
        <f t="array" ref="L1116">INDEX(lstQs, $D1116)</f>
        <v>A: No gastroprotection - NSAIDs in people &gt;65</v>
      </c>
      <c r="M1116" s="402">
        <f t="shared" ref="M1116:M1121" si="191">O1116</f>
        <v>107473.54519136515</v>
      </c>
      <c r="N1116" t="str" cm="1">
        <f t="array" ref="N1116">_fnSTR.CI(S1116, V1116, X1116, "#,##0", , , , , "")</f>
        <v>107,474 (105,935 to 109,023)</v>
      </c>
      <c r="O1116" s="391">
        <f>M1106*$M$1115 - CHOOSE(swtchOverlap, 0, $M$1115*SUM(M1108:M1110))</f>
        <v>107473.54519136515</v>
      </c>
      <c r="S1116" s="163">
        <f>S1106*$M$1115 - CHOOSE(swtchOverlap, 0, $M$1115*SUM($S$1108:$S$1110))</f>
        <v>107473.54519136515</v>
      </c>
      <c r="V1116" s="163">
        <f>V1106*$M$1115 - CHOOSE(swtchOverlap, 0, $M$1115*SUM($S$1108:$S$1110))</f>
        <v>105935.43396228862</v>
      </c>
      <c r="X1116" s="163">
        <f>X1106*$M$1115 - CHOOSE(swtchOverlap, 0, $M$1115*SUM($S$1108:$S$1110))</f>
        <v>109022.56992282683</v>
      </c>
    </row>
    <row r="1117" spans="1:31" ht="12" customHeight="1" outlineLevel="3" x14ac:dyDescent="0.25">
      <c r="A1117" s="404"/>
      <c r="B1117" s="405"/>
      <c r="C1117" s="406"/>
      <c r="D1117" s="40">
        <f>D1116+1</f>
        <v>2</v>
      </c>
      <c r="L1117" s="79" t="str" cm="1">
        <f t="array" ref="L1117">INDEX(lstQs, $D1117)</f>
        <v>B: No gastroprotection - NSAIDs in people with ulcer history</v>
      </c>
      <c r="M1117" s="402">
        <f t="shared" si="191"/>
        <v>6867.7624488914962</v>
      </c>
      <c r="N1117" t="str" cm="1">
        <f t="array" ref="N1117">_fnSTR.CI(S1117, V1117, X1117, "#,##0", , , , , "")</f>
        <v>6,868 (6,483 to 7,264)</v>
      </c>
      <c r="O1117" s="391">
        <f>M1107*$M$1115</f>
        <v>6867.7624488914962</v>
      </c>
      <c r="S1117" s="163">
        <f>S1107*$M$1115</f>
        <v>6867.7624488914962</v>
      </c>
      <c r="V1117" s="163">
        <f>V1107*$M$1115</f>
        <v>6482.7558250774646</v>
      </c>
      <c r="X1117" s="163">
        <f>X1107*$M$1115</f>
        <v>7263.7169022575126</v>
      </c>
    </row>
    <row r="1118" spans="1:31" ht="12" customHeight="1" outlineLevel="3" x14ac:dyDescent="0.25">
      <c r="A1118" s="404"/>
      <c r="B1118" s="405"/>
      <c r="C1118" s="406"/>
      <c r="D1118" s="40">
        <f t="shared" ref="D1118:D1120" si="192">D1117+1</f>
        <v>3</v>
      </c>
      <c r="L1118" s="79" t="str" cm="1">
        <f t="array" ref="L1118">INDEX(lstQs, $D1118)</f>
        <v>C: NSAIDs - DOAC/warfarin</v>
      </c>
      <c r="M1118" s="402">
        <f t="shared" si="191"/>
        <v>23152.684013308452</v>
      </c>
      <c r="N1118" t="str" cm="1">
        <f t="array" ref="N1118">_fnSTR.CI(S1118, V1118, X1118, "#,##0", , , , , "")</f>
        <v>23,153 (22,441 to 23,875)</v>
      </c>
      <c r="O1118" s="391">
        <f>M1108*$M$1115</f>
        <v>23152.684013308452</v>
      </c>
      <c r="S1118" s="163">
        <f>S1108*$M$1115</f>
        <v>23152.684013308452</v>
      </c>
      <c r="V1118" s="163">
        <f>V1108*$M$1115</f>
        <v>22441.254822043327</v>
      </c>
      <c r="X1118" s="163">
        <f>X1108*$M$1115</f>
        <v>23875.055843530514</v>
      </c>
    </row>
    <row r="1119" spans="1:31" ht="12" customHeight="1" outlineLevel="3" x14ac:dyDescent="0.25">
      <c r="A1119" s="404"/>
      <c r="B1119" s="405"/>
      <c r="C1119" s="406"/>
      <c r="D1119" s="40">
        <f t="shared" si="192"/>
        <v>4</v>
      </c>
      <c r="L1119" s="79" t="str" cm="1">
        <f t="array" ref="L1119">INDEX(lstQs, $D1119)</f>
        <v>D: NSAIDs - HF</v>
      </c>
      <c r="M1119" s="402">
        <f t="shared" si="191"/>
        <v>8925.7788056300251</v>
      </c>
      <c r="N1119" t="str" cm="1">
        <f t="array" ref="N1119">_fnSTR.CI(S1119, V1119, X1119, "#,##0", , , , , "")</f>
        <v>8,926 (8,486 to 9,376)</v>
      </c>
      <c r="O1119" s="391">
        <f>M1109*$M$1115</f>
        <v>8925.7788056300251</v>
      </c>
      <c r="S1119" s="163">
        <f>S1109*$M$1115</f>
        <v>8925.7788056300251</v>
      </c>
      <c r="V1119" s="163">
        <f>V1109*$M$1115</f>
        <v>8486.0934722893817</v>
      </c>
      <c r="X1119" s="163">
        <f>X1109*$M$1115</f>
        <v>9376.4114065207468</v>
      </c>
    </row>
    <row r="1120" spans="1:31" ht="12" customHeight="1" outlineLevel="3" x14ac:dyDescent="0.25">
      <c r="A1120" s="404"/>
      <c r="B1120" s="405"/>
      <c r="C1120" s="406"/>
      <c r="D1120" s="40">
        <f t="shared" si="192"/>
        <v>5</v>
      </c>
      <c r="L1120" s="79" t="str" cm="1">
        <f t="array" ref="L1120">INDEX(lstQs, $D1120)</f>
        <v>E: NSAIDs - CKD</v>
      </c>
      <c r="M1120" s="402">
        <f t="shared" si="191"/>
        <v>15799.322199343822</v>
      </c>
      <c r="N1120" t="str" cm="1">
        <f t="array" ref="N1120">_fnSTR.CI(S1120, V1120, X1120, "#,##0", , , , , "")</f>
        <v>15,799 (15,213 to 16,397)</v>
      </c>
      <c r="O1120" s="391">
        <f>M1110*$M$1115</f>
        <v>15799.322199343822</v>
      </c>
      <c r="S1120" s="163">
        <f>S1110*$M$1115</f>
        <v>15799.322199343822</v>
      </c>
      <c r="V1120" s="163">
        <f>V1110*$M$1115</f>
        <v>15212.553911931313</v>
      </c>
      <c r="X1120" s="163">
        <f>X1110*$M$1115</f>
        <v>16397.035588549825</v>
      </c>
    </row>
    <row r="1121" spans="1:24" ht="12" customHeight="1" outlineLevel="3" thickBot="1" x14ac:dyDescent="0.3">
      <c r="A1121" s="404"/>
      <c r="B1121" s="405"/>
      <c r="C1121" s="406"/>
      <c r="L1121" s="79" t="s">
        <v>37</v>
      </c>
      <c r="M1121" s="402">
        <f t="shared" si="191"/>
        <v>162219.09265853895</v>
      </c>
      <c r="N1121" t="str" cm="1">
        <f t="array" ref="N1121">_fnSTR.CI(S1121, V1121, X1121, "#,##0", , , , , "")</f>
        <v>162,219 (160,329 to 164,120)</v>
      </c>
      <c r="O1121" s="391">
        <f>M1111*$M$1115</f>
        <v>162219.09265853895</v>
      </c>
      <c r="S1121" s="163">
        <f>S1111*$M$1115</f>
        <v>162219.09265853895</v>
      </c>
      <c r="V1121" s="163">
        <f>V1111*$M$1115</f>
        <v>160328.97920192147</v>
      </c>
      <c r="X1121" s="163">
        <f>X1111*$M$1115</f>
        <v>164120.10061468705</v>
      </c>
    </row>
    <row r="1122" spans="1:24" s="393" customFormat="1" ht="12" customHeight="1" outlineLevel="1" thickBot="1" x14ac:dyDescent="0.3">
      <c r="A1122" s="404"/>
      <c r="B1122" s="405"/>
      <c r="C1122" s="406"/>
      <c r="D1122" s="196"/>
      <c r="G1122" s="196"/>
      <c r="H1122" s="196"/>
      <c r="I1122" s="196"/>
      <c r="J1122" s="196"/>
      <c r="K1122" s="196"/>
      <c r="L1122" s="381" t="s">
        <v>739</v>
      </c>
    </row>
    <row r="1123" spans="1:24" s="110" customFormat="1" ht="12" customHeight="1" outlineLevel="2" thickBot="1" x14ac:dyDescent="0.3">
      <c r="A1123" s="404"/>
      <c r="B1123" s="405"/>
      <c r="C1123" s="406"/>
      <c r="D1123" s="112"/>
      <c r="G1123" s="112"/>
      <c r="H1123" s="112"/>
      <c r="I1123" s="112"/>
      <c r="J1123" s="112"/>
      <c r="K1123" s="112"/>
      <c r="L1123" s="110" t="s">
        <v>39</v>
      </c>
    </row>
    <row r="1124" spans="1:24" ht="12" customHeight="1" outlineLevel="3" x14ac:dyDescent="0.25">
      <c r="A1124" s="404"/>
      <c r="B1124" s="405"/>
      <c r="C1124" s="406"/>
      <c r="D1124" s="40">
        <v>1</v>
      </c>
      <c r="L1124" s="79" t="str" cm="1">
        <f t="array" ref="L1124">INDEX(lstQs, $D1124)</f>
        <v>A: No gastroprotection - NSAIDs in people &gt;65</v>
      </c>
      <c r="M1124" s="403">
        <f t="shared" ref="M1124:M1129" ca="1" si="193">O1124</f>
        <v>2559187.2300709886</v>
      </c>
      <c r="N1124" s="445" t="s">
        <v>723</v>
      </c>
      <c r="O1124" s="183" cm="1">
        <f t="array" aca="1" ref="O1124" ca="1">_xlfn.LET(_xlpm.prev, INDEX($M$1116:$M$1120, MATCH($D1124, $D$1116:$D$1120, 0)), _xlpm.costHPE, INDEX('Results.Determ'!$Y$9:$Y$22, (Parameters!$D1124-1)*3+1), _xlpm.costNoHPE, INDEX('Results.Determ'!$Y$9:$Y$22, (Parameters!$D1124-1)*3+2),
_xlpm.prev * (_xlpm.costHPE - _xlpm.costNoHPE))</f>
        <v>2559187.2300709886</v>
      </c>
    </row>
    <row r="1125" spans="1:24" ht="12" customHeight="1" outlineLevel="3" x14ac:dyDescent="0.25">
      <c r="A1125" s="404"/>
      <c r="B1125" s="405"/>
      <c r="C1125" s="406"/>
      <c r="D1125" s="40">
        <f>D1124+1</f>
        <v>2</v>
      </c>
      <c r="L1125" s="79" t="str" cm="1">
        <f t="array" ref="L1125">INDEX(lstQs, $D1125)</f>
        <v>B: No gastroprotection - NSAIDs in people with ulcer history</v>
      </c>
      <c r="M1125" s="403">
        <f t="shared" ca="1" si="193"/>
        <v>167486.42826650327</v>
      </c>
      <c r="N1125" s="445"/>
      <c r="O1125" s="183" cm="1">
        <f t="array" aca="1" ref="O1125" ca="1">_xlfn.LET(_xlpm.prev, INDEX($M$1116:$M$1120, MATCH($D1125, $D$1116:$D$1120, 0)), _xlpm.costHPE, INDEX('Results.Determ'!$Y$9:$Y$22, (Parameters!$D1125-1)*3+1), _xlpm.costNoHPE, INDEX('Results.Determ'!$Y$9:$Y$22, (Parameters!$D1125-1)*3+2),
_xlpm.prev * (_xlpm.costHPE - _xlpm.costNoHPE))</f>
        <v>167486.42826650327</v>
      </c>
    </row>
    <row r="1126" spans="1:24" ht="12" customHeight="1" outlineLevel="3" x14ac:dyDescent="0.25">
      <c r="A1126" s="404"/>
      <c r="B1126" s="405"/>
      <c r="C1126" s="406"/>
      <c r="D1126" s="40">
        <f t="shared" ref="D1126:D1128" si="194">D1125+1</f>
        <v>3</v>
      </c>
      <c r="L1126" s="79" t="str" cm="1">
        <f t="array" ref="L1126">INDEX(lstQs, $D1126)</f>
        <v>C: NSAIDs - DOAC/warfarin</v>
      </c>
      <c r="M1126" s="403">
        <f t="shared" ca="1" si="193"/>
        <v>23614361.83089174</v>
      </c>
      <c r="N1126" s="445"/>
      <c r="O1126" s="183" cm="1">
        <f t="array" aca="1" ref="O1126" ca="1">_xlfn.LET(_xlpm.prev, INDEX($M$1116:$M$1120, MATCH($D1126, $D$1116:$D$1120, 0)), _xlpm.costHPE, INDEX('Results.Determ'!$Y$9:$Y$22, (Parameters!$D1126-1)*3+1), _xlpm.costNoHPE, INDEX('Results.Determ'!$Y$9:$Y$22, (Parameters!$D1126-1)*3+2),
_xlpm.prev * (_xlpm.costHPE - _xlpm.costNoHPE))</f>
        <v>23614361.83089174</v>
      </c>
    </row>
    <row r="1127" spans="1:24" ht="12" customHeight="1" outlineLevel="3" x14ac:dyDescent="0.25">
      <c r="A1127" s="404"/>
      <c r="B1127" s="405"/>
      <c r="C1127" s="406"/>
      <c r="D1127" s="40">
        <f t="shared" si="194"/>
        <v>4</v>
      </c>
      <c r="L1127" s="79" t="str" cm="1">
        <f t="array" ref="L1127">INDEX(lstQs, $D1127)</f>
        <v>D: NSAIDs - HF</v>
      </c>
      <c r="M1127" s="403">
        <f t="shared" ca="1" si="193"/>
        <v>139201.28395059411</v>
      </c>
      <c r="N1127" s="445"/>
      <c r="O1127" s="183" cm="1">
        <f t="array" aca="1" ref="O1127" ca="1">_xlfn.LET(_xlpm.prev, INDEX($M$1116:$M$1120, MATCH($D1127, $D$1116:$D$1120, 0)), _xlpm.costHPE, INDEX('Results.Determ'!$Y$9:$Y$22, (Parameters!$D1127-1)*3+1), _xlpm.costNoHPE, INDEX('Results.Determ'!$Y$9:$Y$22, (Parameters!$D1127-1)*3+2),
_xlpm.prev * (_xlpm.costHPE - _xlpm.costNoHPE))</f>
        <v>139201.28395059411</v>
      </c>
    </row>
    <row r="1128" spans="1:24" ht="12" customHeight="1" outlineLevel="3" x14ac:dyDescent="0.25">
      <c r="A1128" s="404"/>
      <c r="B1128" s="405"/>
      <c r="C1128" s="406"/>
      <c r="D1128" s="40">
        <f t="shared" si="194"/>
        <v>5</v>
      </c>
      <c r="L1128" s="79" t="str" cm="1">
        <f t="array" ref="L1128">INDEX(lstQs, $D1128)</f>
        <v>E: NSAIDs - CKD</v>
      </c>
      <c r="M1128" s="403">
        <f t="shared" ca="1" si="193"/>
        <v>3324171.2652969551</v>
      </c>
      <c r="N1128" s="445"/>
      <c r="O1128" s="183" cm="1">
        <f t="array" aca="1" ref="O1128" ca="1">_xlfn.LET(_xlpm.prev, INDEX($M$1116:$M$1120, MATCH($D1128, $D$1116:$D$1120, 0)), _xlpm.costHPE, INDEX('Results.Determ'!$Y$9:$Y$22, (Parameters!$D1128-1)*3+1), _xlpm.costNoHPE, INDEX('Results.Determ'!$Y$9:$Y$22, (Parameters!$D1128-1)*3+2),
_xlpm.prev * (_xlpm.costHPE - _xlpm.costNoHPE))</f>
        <v>3324171.2652969551</v>
      </c>
    </row>
    <row r="1129" spans="1:24" ht="12" customHeight="1" outlineLevel="3" thickBot="1" x14ac:dyDescent="0.3">
      <c r="A1129" s="404"/>
      <c r="B1129" s="405"/>
      <c r="C1129" s="406"/>
      <c r="L1129" s="79" t="s">
        <v>37</v>
      </c>
      <c r="M1129" s="403">
        <f t="shared" ca="1" si="193"/>
        <v>29804408.03847678</v>
      </c>
      <c r="N1129" s="445"/>
      <c r="O1129" s="183">
        <f ca="1">SUM(M1124:M1128)</f>
        <v>29804408.03847678</v>
      </c>
    </row>
    <row r="1130" spans="1:24" s="110" customFormat="1" ht="12" customHeight="1" outlineLevel="2" thickBot="1" x14ac:dyDescent="0.3">
      <c r="A1130" s="404"/>
      <c r="B1130" s="405"/>
      <c r="C1130" s="406"/>
      <c r="D1130" s="112"/>
      <c r="G1130" s="112"/>
      <c r="H1130" s="112"/>
      <c r="I1130" s="112"/>
      <c r="J1130" s="112"/>
      <c r="K1130" s="112"/>
      <c r="L1130" s="110" t="s">
        <v>40</v>
      </c>
    </row>
    <row r="1131" spans="1:24" ht="12" customHeight="1" outlineLevel="3" x14ac:dyDescent="0.25">
      <c r="A1131" s="404"/>
      <c r="B1131" s="405"/>
      <c r="C1131" s="406"/>
      <c r="D1131" s="40">
        <v>1</v>
      </c>
      <c r="L1131" s="79" t="str" cm="1">
        <f t="array" ref="L1131">INDEX(lstQs, $D1131)</f>
        <v>A: No gastroprotection - NSAIDs in people &gt;65</v>
      </c>
      <c r="M1131" s="401">
        <f t="shared" ref="M1131:M1136" ca="1" si="195">O1131</f>
        <v>-1801.3116360490187</v>
      </c>
      <c r="N1131" s="445" t="s">
        <v>724</v>
      </c>
      <c r="O1131" s="247" cm="1">
        <f t="array" aca="1" ref="O1131" ca="1">_xlfn.LET(_xlpm.prev, INDEX($M$1116:$M$1120, MATCH($D1131, $D$1116:$D$1120, 0)), _xlpm.qalyHPE, INDEX('Results.Determ'!$Z$9:$Z$22, (Parameters!$D1131-1)*3+1), _xlpm.qalyNoHPE, INDEX('Results.Determ'!$Z$9:$Z$22, (Parameters!$D1131-1)*3+2),
_xlpm.prev * (_xlpm.qalyHPE - _xlpm.qalyNoHPE))</f>
        <v>-1801.3116360490187</v>
      </c>
    </row>
    <row r="1132" spans="1:24" ht="12" customHeight="1" outlineLevel="3" x14ac:dyDescent="0.25">
      <c r="A1132" s="404"/>
      <c r="B1132" s="405"/>
      <c r="C1132" s="406"/>
      <c r="D1132" s="40">
        <f>D1131+1</f>
        <v>2</v>
      </c>
      <c r="L1132" s="79" t="str" cm="1">
        <f t="array" ref="L1132">INDEX(lstQs, $D1132)</f>
        <v>B: No gastroprotection - NSAIDs in people with ulcer history</v>
      </c>
      <c r="M1132" s="401">
        <f t="shared" ca="1" si="195"/>
        <v>-99.932607448176825</v>
      </c>
      <c r="N1132" s="445"/>
      <c r="O1132" s="247" cm="1">
        <f t="array" aca="1" ref="O1132" ca="1">_xlfn.LET(_xlpm.prev, INDEX($M$1116:$M$1120, MATCH($D1132, $D$1116:$D$1120, 0)), _xlpm.qalyHPE, INDEX('Results.Determ'!$Z$9:$Z$22, (Parameters!$D1132-1)*3+1), _xlpm.qalyNoHPE, INDEX('Results.Determ'!$Z$9:$Z$22, (Parameters!$D1132-1)*3+2),
_xlpm.prev * (_xlpm.qalyHPE - _xlpm.qalyNoHPE))</f>
        <v>-99.932607448176825</v>
      </c>
    </row>
    <row r="1133" spans="1:24" ht="12" customHeight="1" outlineLevel="3" x14ac:dyDescent="0.25">
      <c r="A1133" s="404"/>
      <c r="B1133" s="405"/>
      <c r="C1133" s="406"/>
      <c r="D1133" s="40">
        <f t="shared" ref="D1133:D1135" si="196">D1132+1</f>
        <v>3</v>
      </c>
      <c r="L1133" s="79" t="str" cm="1">
        <f t="array" ref="L1133">INDEX(lstQs, $D1133)</f>
        <v>C: NSAIDs - DOAC/warfarin</v>
      </c>
      <c r="M1133" s="401">
        <f t="shared" ca="1" si="195"/>
        <v>-2007.8484485256929</v>
      </c>
      <c r="N1133" s="445"/>
      <c r="O1133" s="247" cm="1">
        <f t="array" aca="1" ref="O1133" ca="1">_xlfn.LET(_xlpm.prev, INDEX($M$1116:$M$1120, MATCH($D1133, $D$1116:$D$1120, 0)), _xlpm.qalyHPE, INDEX('Results.Determ'!$Z$9:$Z$22, (Parameters!$D1133-1)*3+1), _xlpm.qalyNoHPE, INDEX('Results.Determ'!$Z$9:$Z$22, (Parameters!$D1133-1)*3+2),
_xlpm.prev * (_xlpm.qalyHPE - _xlpm.qalyNoHPE))</f>
        <v>-2007.8484485256929</v>
      </c>
    </row>
    <row r="1134" spans="1:24" ht="12" customHeight="1" outlineLevel="3" x14ac:dyDescent="0.25">
      <c r="A1134" s="404"/>
      <c r="B1134" s="405"/>
      <c r="C1134" s="406"/>
      <c r="D1134" s="40">
        <f t="shared" si="196"/>
        <v>4</v>
      </c>
      <c r="L1134" s="79" t="str" cm="1">
        <f t="array" ref="L1134">INDEX(lstQs, $D1134)</f>
        <v>D: NSAIDs - HF</v>
      </c>
      <c r="M1134" s="401">
        <f t="shared" ca="1" si="195"/>
        <v>-408.7505046574762</v>
      </c>
      <c r="N1134" s="445"/>
      <c r="O1134" s="247" cm="1">
        <f t="array" aca="1" ref="O1134" ca="1">_xlfn.LET(_xlpm.prev, INDEX($M$1116:$M$1120, MATCH($D1134, $D$1116:$D$1120, 0)), _xlpm.qalyHPE, INDEX('Results.Determ'!$Z$9:$Z$22, (Parameters!$D1134-1)*3+1), _xlpm.qalyNoHPE, INDEX('Results.Determ'!$Z$9:$Z$22, (Parameters!$D1134-1)*3+2),
_xlpm.prev * (_xlpm.qalyHPE - _xlpm.qalyNoHPE))</f>
        <v>-408.7505046574762</v>
      </c>
    </row>
    <row r="1135" spans="1:24" ht="12" customHeight="1" outlineLevel="3" x14ac:dyDescent="0.25">
      <c r="A1135" s="404"/>
      <c r="B1135" s="405"/>
      <c r="C1135" s="406"/>
      <c r="D1135" s="40">
        <f t="shared" si="196"/>
        <v>5</v>
      </c>
      <c r="L1135" s="79" t="str" cm="1">
        <f t="array" ref="L1135">INDEX(lstQs, $D1135)</f>
        <v>E: NSAIDs - CKD</v>
      </c>
      <c r="M1135" s="401">
        <f t="shared" ca="1" si="195"/>
        <v>-1733.1244544577116</v>
      </c>
      <c r="N1135" s="445"/>
      <c r="O1135" s="247" cm="1">
        <f t="array" aca="1" ref="O1135" ca="1">_xlfn.LET(_xlpm.prev, INDEX($M$1116:$M$1120, MATCH($D1135, $D$1116:$D$1120, 0)), _xlpm.qalyHPE, INDEX('Results.Determ'!$Z$9:$Z$22, (Parameters!$D1135-1)*3+1), _xlpm.qalyNoHPE, INDEX('Results.Determ'!$Z$9:$Z$22, (Parameters!$D1135-1)*3+2),
_xlpm.prev * (_xlpm.qalyHPE - _xlpm.qalyNoHPE))</f>
        <v>-1733.1244544577116</v>
      </c>
    </row>
    <row r="1136" spans="1:24" ht="12" customHeight="1" outlineLevel="3" thickBot="1" x14ac:dyDescent="0.3">
      <c r="A1136" s="404"/>
      <c r="B1136" s="405"/>
      <c r="C1136" s="406"/>
      <c r="L1136" s="79" t="s">
        <v>37</v>
      </c>
      <c r="M1136" s="401">
        <f t="shared" ca="1" si="195"/>
        <v>-6050.9676511380767</v>
      </c>
      <c r="N1136" s="445"/>
      <c r="O1136" s="247">
        <f ca="1">SUM(M1131:M1135)</f>
        <v>-6050.9676511380767</v>
      </c>
    </row>
    <row r="1137" spans="1:15" s="110" customFormat="1" ht="12" customHeight="1" outlineLevel="2" thickBot="1" x14ac:dyDescent="0.3">
      <c r="A1137" s="404"/>
      <c r="B1137" s="405"/>
      <c r="C1137" s="406"/>
      <c r="D1137" s="112"/>
      <c r="G1137" s="112"/>
      <c r="H1137" s="112"/>
      <c r="I1137" s="112"/>
      <c r="J1137" s="112"/>
      <c r="K1137" s="112"/>
      <c r="L1137" s="110" t="str">
        <f>timeHorizon&amp;"-yr deaths"</f>
        <v>10-yr deaths</v>
      </c>
    </row>
    <row r="1138" spans="1:15" ht="12" customHeight="1" outlineLevel="3" x14ac:dyDescent="0.25">
      <c r="A1138" s="404"/>
      <c r="B1138" s="405"/>
      <c r="C1138" s="406"/>
      <c r="D1138" s="40">
        <v>1</v>
      </c>
      <c r="L1138" s="79" t="str" cm="1">
        <f t="array" ref="L1138">INDEX(lstQs, $D1138)</f>
        <v>A: No gastroprotection - NSAIDs in people &gt;65</v>
      </c>
      <c r="M1138" s="401">
        <f t="shared" ref="M1138:M1143" ca="1" si="197">O1138</f>
        <v>65.320217492919511</v>
      </c>
      <c r="O1138" s="247" cm="1">
        <f t="array" aca="1" ref="O1138" ca="1">_xlfn.LET(_xlpm.prev, INDEX($M$1116:$M$1120, MATCH($D1138, $D$1116:$D$1120, 0)), _xlpm.deathHPE, INDEX('Results.Determ'!$AB$9:$AB$22, (Parameters!$D1138-1)*3+1), _xlpm.deathNoHPE, INDEX('Results.Determ'!$AB$9:$AB$22, (Parameters!$D1138-1)*3+2),
_xlpm.prev * (_xlpm.deathHPE - _xlpm.deathNoHPE))</f>
        <v>65.320217492919511</v>
      </c>
    </row>
    <row r="1139" spans="1:15" ht="12" customHeight="1" outlineLevel="3" x14ac:dyDescent="0.25">
      <c r="A1139" s="404"/>
      <c r="B1139" s="405"/>
      <c r="C1139" s="406"/>
      <c r="D1139" s="40">
        <f>D1138+1</f>
        <v>2</v>
      </c>
      <c r="L1139" s="79" t="str" cm="1">
        <f t="array" ref="L1139">INDEX(lstQs, $D1139)</f>
        <v>B: No gastroprotection - NSAIDs in people with ulcer history</v>
      </c>
      <c r="M1139" s="401">
        <f t="shared" ca="1" si="197"/>
        <v>1.3069802201145679</v>
      </c>
      <c r="O1139" s="247" cm="1">
        <f t="array" aca="1" ref="O1139" ca="1">_xlfn.LET(_xlpm.prev, INDEX($M$1116:$M$1120, MATCH($D1139, $D$1116:$D$1120, 0)), _xlpm.deathHPE, INDEX('Results.Determ'!$AB$9:$AB$22, (Parameters!$D1139-1)*3+1), _xlpm.deathNoHPE, INDEX('Results.Determ'!$AB$9:$AB$22, (Parameters!$D1139-1)*3+2),
_xlpm.prev * (_xlpm.deathHPE - _xlpm.deathNoHPE))</f>
        <v>1.3069802201145679</v>
      </c>
    </row>
    <row r="1140" spans="1:15" ht="12" customHeight="1" outlineLevel="3" x14ac:dyDescent="0.25">
      <c r="A1140" s="404"/>
      <c r="B1140" s="405"/>
      <c r="C1140" s="406"/>
      <c r="D1140" s="40">
        <f t="shared" ref="D1140:D1142" si="198">D1139+1</f>
        <v>3</v>
      </c>
      <c r="L1140" s="79" t="str" cm="1">
        <f t="array" ref="L1140">INDEX(lstQs, $D1140)</f>
        <v>C: NSAIDs - DOAC/warfarin</v>
      </c>
      <c r="M1140" s="401">
        <f t="shared" ca="1" si="197"/>
        <v>240.04500766692973</v>
      </c>
      <c r="O1140" s="247" cm="1">
        <f t="array" aca="1" ref="O1140" ca="1">_xlfn.LET(_xlpm.prev, INDEX($M$1116:$M$1120, MATCH($D1140, $D$1116:$D$1120, 0)), _xlpm.deathHPE, INDEX('Results.Determ'!$AB$9:$AB$22, (Parameters!$D1140-1)*3+1), _xlpm.deathNoHPE, INDEX('Results.Determ'!$AB$9:$AB$22, (Parameters!$D1140-1)*3+2),
_xlpm.prev * (_xlpm.deathHPE - _xlpm.deathNoHPE))</f>
        <v>240.04500766692973</v>
      </c>
    </row>
    <row r="1141" spans="1:15" ht="12" customHeight="1" outlineLevel="3" x14ac:dyDescent="0.25">
      <c r="A1141" s="404"/>
      <c r="B1141" s="405"/>
      <c r="C1141" s="406"/>
      <c r="D1141" s="40">
        <f t="shared" si="198"/>
        <v>4</v>
      </c>
      <c r="L1141" s="79" t="str" cm="1">
        <f t="array" ref="L1141">INDEX(lstQs, $D1141)</f>
        <v>D: NSAIDs - HF</v>
      </c>
      <c r="M1141" s="401">
        <f t="shared" ca="1" si="197"/>
        <v>24.257399083331102</v>
      </c>
      <c r="O1141" s="247" cm="1">
        <f t="array" aca="1" ref="O1141" ca="1">_xlfn.LET(_xlpm.prev, INDEX($M$1116:$M$1120, MATCH($D1141, $D$1116:$D$1120, 0)), _xlpm.deathHPE, INDEX('Results.Determ'!$AB$9:$AB$22, (Parameters!$D1141-1)*3+1), _xlpm.deathNoHPE, INDEX('Results.Determ'!$AB$9:$AB$22, (Parameters!$D1141-1)*3+2),
_xlpm.prev * (_xlpm.deathHPE - _xlpm.deathNoHPE))</f>
        <v>24.257399083331102</v>
      </c>
    </row>
    <row r="1142" spans="1:15" ht="12" customHeight="1" outlineLevel="3" x14ac:dyDescent="0.25">
      <c r="A1142" s="404"/>
      <c r="B1142" s="405"/>
      <c r="C1142" s="406"/>
      <c r="D1142" s="40">
        <f t="shared" si="198"/>
        <v>5</v>
      </c>
      <c r="L1142" s="79" t="str" cm="1">
        <f t="array" ref="L1142">INDEX(lstQs, $D1142)</f>
        <v>E: NSAIDs - CKD</v>
      </c>
      <c r="M1142" s="401">
        <f t="shared" ca="1" si="197"/>
        <v>405.0380485751233</v>
      </c>
      <c r="O1142" s="247" cm="1">
        <f t="array" aca="1" ref="O1142" ca="1">_xlfn.LET(_xlpm.prev, INDEX($M$1116:$M$1120, MATCH($D1142, $D$1116:$D$1120, 0)), _xlpm.deathHPE, INDEX('Results.Determ'!$AB$9:$AB$22, (Parameters!$D1142-1)*3+1), _xlpm.deathNoHPE, INDEX('Results.Determ'!$AB$9:$AB$22, (Parameters!$D1142-1)*3+2),
_xlpm.prev * (_xlpm.deathHPE - _xlpm.deathNoHPE))</f>
        <v>405.0380485751233</v>
      </c>
    </row>
    <row r="1143" spans="1:15" ht="12" customHeight="1" outlineLevel="3" thickBot="1" x14ac:dyDescent="0.3">
      <c r="A1143" s="404"/>
      <c r="B1143" s="405"/>
      <c r="C1143" s="406"/>
      <c r="L1143" s="79" t="s">
        <v>37</v>
      </c>
      <c r="M1143" s="401">
        <f t="shared" ca="1" si="197"/>
        <v>735.96765303841823</v>
      </c>
      <c r="O1143" s="247">
        <f ca="1">SUM(M1138:M1142)</f>
        <v>735.96765303841823</v>
      </c>
    </row>
    <row r="1144" spans="1:15" s="110" customFormat="1" ht="12" customHeight="1" outlineLevel="2" thickBot="1" x14ac:dyDescent="0.3">
      <c r="A1144" s="404"/>
      <c r="B1144" s="405"/>
      <c r="C1144" s="406"/>
      <c r="D1144" s="112"/>
      <c r="G1144" s="112"/>
      <c r="H1144" s="112"/>
      <c r="I1144" s="112"/>
      <c r="J1144" s="112"/>
      <c r="K1144" s="112"/>
      <c r="L1144" s="110" t="s">
        <v>765</v>
      </c>
    </row>
    <row r="1145" spans="1:15" ht="12" customHeight="1" outlineLevel="3" x14ac:dyDescent="0.25">
      <c r="A1145" s="404"/>
      <c r="B1145" s="405"/>
      <c r="C1145" s="406"/>
      <c r="D1145" s="40">
        <v>1</v>
      </c>
      <c r="L1145" s="79" t="str" cm="1">
        <f t="array" ref="L1145">INDEX(lstQs, $D1145)</f>
        <v>A: No gastroprotection - NSAIDs in people &gt;65</v>
      </c>
      <c r="M1145" s="402">
        <f ca="1">O1145</f>
        <v>63166.032262193417</v>
      </c>
      <c r="O1145" s="391" cm="1">
        <f t="array" aca="1" ref="O1145" ca="1">_xlfn.LET(_xlpm.prev, INDEX($M$1116:$M$1120, MATCH($D1145, $D$1116:$D$1120, 0)), _xlpm.evHPE, INDEX('Results.Determ'!$AC$9:$AC$22, (Parameters!$D1145-1)*3+1), _xlpm.evNoHPE, INDEX('Results.Determ'!$AC$9:$AC$22, (Parameters!$D1145-1)*3+2),
_xlpm.prev * (_xlpm.evHPE - _xlpm.evNoHPE))</f>
        <v>63166.032262193417</v>
      </c>
    </row>
    <row r="1146" spans="1:15" ht="12" customHeight="1" outlineLevel="3" x14ac:dyDescent="0.25">
      <c r="A1146" s="404"/>
      <c r="B1146" s="405"/>
      <c r="C1146" s="406"/>
      <c r="D1146" s="40">
        <f>D1145+1</f>
        <v>2</v>
      </c>
      <c r="L1146" s="79" t="str" cm="1">
        <f t="array" ref="L1146">INDEX(lstQs, $D1146)</f>
        <v>B: No gastroprotection - NSAIDs in people with ulcer history</v>
      </c>
      <c r="M1146" s="402">
        <f ca="1">O1146</f>
        <v>4133.6697032875645</v>
      </c>
      <c r="O1146" s="391" cm="1">
        <f t="array" aca="1" ref="O1146" ca="1">_xlfn.LET(_xlpm.prev, INDEX($M$1116:$M$1120, MATCH($D1146, $D$1116:$D$1120, 0)), _xlpm.evHPE, INDEX('Results.Determ'!$AC$9:$AC$22, (Parameters!$D1146-1)*3+1), _xlpm.evNoHPE, INDEX('Results.Determ'!$AC$9:$AC$22, (Parameters!$D1146-1)*3+2),
_xlpm.prev * (_xlpm.evHPE - _xlpm.evNoHPE))</f>
        <v>4133.6697032875645</v>
      </c>
    </row>
    <row r="1147" spans="1:15" ht="12" customHeight="1" outlineLevel="3" x14ac:dyDescent="0.25">
      <c r="A1147" s="404"/>
      <c r="B1147" s="405"/>
      <c r="C1147" s="406"/>
      <c r="D1147" s="40">
        <f t="shared" ref="D1147:D1149" si="199">D1146+1</f>
        <v>3</v>
      </c>
      <c r="L1147" s="79" t="str" cm="1">
        <f t="array" ref="L1147">INDEX(lstQs, $D1147)</f>
        <v>C: NSAIDs - DOAC/warfarin</v>
      </c>
      <c r="M1147" s="402">
        <f ca="1">O1147</f>
        <v>3434.1841249764966</v>
      </c>
      <c r="O1147" s="391" cm="1">
        <f t="array" aca="1" ref="O1147" ca="1">_xlfn.LET(_xlpm.prev, INDEX($M$1116:$M$1120, MATCH($D1147, $D$1116:$D$1120, 0)), _xlpm.evHPE, INDEX('Results.Determ'!$AC$9:$AC$22, (Parameters!$D1147-1)*3+1), _xlpm.evNoHPE, INDEX('Results.Determ'!$AC$9:$AC$22, (Parameters!$D1147-1)*3+2),
_xlpm.prev * (_xlpm.evHPE - _xlpm.evNoHPE))</f>
        <v>3434.1841249764966</v>
      </c>
    </row>
    <row r="1148" spans="1:15" ht="12" customHeight="1" outlineLevel="3" x14ac:dyDescent="0.25">
      <c r="A1148" s="404"/>
      <c r="B1148" s="405"/>
      <c r="C1148" s="406"/>
      <c r="D1148" s="40">
        <f t="shared" si="199"/>
        <v>4</v>
      </c>
      <c r="L1148" s="79" t="str" cm="1">
        <f t="array" ref="L1148">INDEX(lstQs, $D1148)</f>
        <v>D: NSAIDs - HF</v>
      </c>
      <c r="M1148" s="402">
        <f t="shared" ref="M1148:M1149" si="200">O1148</f>
        <v>0</v>
      </c>
      <c r="O1148" s="391" cm="1">
        <f t="array" ref="O1148">_xlfn.LET(_xlpm.prev, INDEX($M$1116:$M$1120, MATCH($D1148, $D$1116:$D$1120, 0)), _xlpm.evHPE, INDEX('Results.Determ'!$AC$9:$AC$22, (Parameters!$D1148-1)*3+1), _xlpm.evNoHPE, INDEX('Results.Determ'!$AC$9:$AC$22, (Parameters!$D1148-1)*3+2),
_xlpm.prev * (_xlpm.evHPE - _xlpm.evNoHPE))</f>
        <v>0</v>
      </c>
    </row>
    <row r="1149" spans="1:15" ht="12" customHeight="1" outlineLevel="3" x14ac:dyDescent="0.25">
      <c r="A1149" s="404"/>
      <c r="B1149" s="405"/>
      <c r="C1149" s="406"/>
      <c r="D1149" s="40">
        <f t="shared" si="199"/>
        <v>5</v>
      </c>
      <c r="L1149" s="79" t="str" cm="1">
        <f t="array" ref="L1149">INDEX(lstQs, $D1149)</f>
        <v>E: NSAIDs - CKD</v>
      </c>
      <c r="M1149" s="402">
        <f t="shared" si="200"/>
        <v>0</v>
      </c>
      <c r="O1149" s="391" cm="1">
        <f t="array" ref="O1149">_xlfn.LET(_xlpm.prev, INDEX($M$1116:$M$1120, MATCH($D1149, $D$1116:$D$1120, 0)), _xlpm.evHPE, INDEX('Results.Determ'!$AC$9:$AC$22, (Parameters!$D1149-1)*3+1), _xlpm.evNoHPE, INDEX('Results.Determ'!$AC$9:$AC$22, (Parameters!$D1149-1)*3+2),
_xlpm.prev * (_xlpm.evHPE - _xlpm.evNoHPE))</f>
        <v>0</v>
      </c>
    </row>
    <row r="1150" spans="1:15" ht="12" customHeight="1" outlineLevel="3" thickBot="1" x14ac:dyDescent="0.3">
      <c r="A1150" s="404"/>
      <c r="B1150" s="405"/>
      <c r="C1150" s="406"/>
      <c r="L1150" s="79" t="s">
        <v>37</v>
      </c>
      <c r="M1150" s="402">
        <f ca="1">O1150</f>
        <v>70733.886090457483</v>
      </c>
      <c r="O1150" s="391">
        <f ca="1">SUM(M1145:M1149)</f>
        <v>70733.886090457483</v>
      </c>
    </row>
    <row r="1151" spans="1:15" s="110" customFormat="1" ht="12" customHeight="1" outlineLevel="2" thickBot="1" x14ac:dyDescent="0.3">
      <c r="A1151" s="404"/>
      <c r="B1151" s="405"/>
      <c r="C1151" s="406"/>
      <c r="D1151" s="112"/>
      <c r="G1151" s="112"/>
      <c r="H1151" s="112"/>
      <c r="I1151" s="112"/>
      <c r="J1151" s="112"/>
      <c r="K1151" s="112"/>
      <c r="L1151" s="110" t="s">
        <v>767</v>
      </c>
    </row>
    <row r="1152" spans="1:15" ht="12" customHeight="1" outlineLevel="3" x14ac:dyDescent="0.25">
      <c r="A1152" s="404"/>
      <c r="B1152" s="405"/>
      <c r="C1152" s="406"/>
      <c r="D1152" s="40">
        <v>1</v>
      </c>
      <c r="L1152" s="79" t="str" cm="1">
        <f t="array" ref="L1152">INDEX(lstQs, $D1152)</f>
        <v>A: No gastroprotection - NSAIDs in people &gt;65</v>
      </c>
      <c r="M1152" s="402">
        <f ca="1">O1152</f>
        <v>1306.3775576397052</v>
      </c>
      <c r="O1152" s="391" cm="1">
        <f t="array" aca="1" ref="O1152" ca="1">_xlfn.LET(_xlpm.prev, INDEX($M$1116:$M$1120, MATCH($D1152, $D$1116:$D$1120, 0)), _xlpm.evHPE, INDEX('Results.Determ'!$AD$9:$AD$22, (Parameters!$D1152-1)*3+1), _xlpm.evNoHPE, INDEX('Results.Determ'!$AD$9:$AD$22, (Parameters!$D1152-1)*3+2),
_xlpm.prev * (_xlpm.evHPE - _xlpm.evNoHPE))</f>
        <v>1306.3775576397052</v>
      </c>
    </row>
    <row r="1153" spans="1:15" ht="12" customHeight="1" outlineLevel="3" x14ac:dyDescent="0.25">
      <c r="A1153" s="404"/>
      <c r="B1153" s="405"/>
      <c r="C1153" s="406"/>
      <c r="D1153" s="40">
        <f>D1152+1</f>
        <v>2</v>
      </c>
      <c r="L1153" s="79" t="str" cm="1">
        <f t="array" ref="L1153">INDEX(lstQs, $D1153)</f>
        <v>B: No gastroprotection - NSAIDs in people with ulcer history</v>
      </c>
      <c r="M1153" s="402">
        <f ca="1">O1153</f>
        <v>85.463241069353785</v>
      </c>
      <c r="O1153" s="391" cm="1">
        <f t="array" aca="1" ref="O1153" ca="1">_xlfn.LET(_xlpm.prev, INDEX($M$1116:$M$1120, MATCH($D1153, $D$1116:$D$1120, 0)), _xlpm.evHPE, INDEX('Results.Determ'!$AD$9:$AD$22, (Parameters!$D1153-1)*3+1), _xlpm.evNoHPE, INDEX('Results.Determ'!$AD$9:$AD$22, (Parameters!$D1153-1)*3+2),
_xlpm.prev * (_xlpm.evHPE - _xlpm.evNoHPE))</f>
        <v>85.463241069353785</v>
      </c>
    </row>
    <row r="1154" spans="1:15" ht="12" customHeight="1" outlineLevel="3" x14ac:dyDescent="0.25">
      <c r="A1154" s="404"/>
      <c r="B1154" s="405"/>
      <c r="C1154" s="406"/>
      <c r="D1154" s="40">
        <f t="shared" ref="D1154:D1156" si="201">D1153+1</f>
        <v>3</v>
      </c>
      <c r="L1154" s="79" t="str" cm="1">
        <f t="array" ref="L1154">INDEX(lstQs, $D1154)</f>
        <v>C: NSAIDs - DOAC/warfarin</v>
      </c>
      <c r="M1154" s="402">
        <f ca="1">O1154</f>
        <v>91.352916874992616</v>
      </c>
      <c r="O1154" s="391" cm="1">
        <f t="array" aca="1" ref="O1154" ca="1">_xlfn.LET(_xlpm.prev, INDEX($M$1116:$M$1120, MATCH($D1154, $D$1116:$D$1120, 0)), _xlpm.evHPE, INDEX('Results.Determ'!$AD$9:$AD$22, (Parameters!$D1154-1)*3+1), _xlpm.evNoHPE, INDEX('Results.Determ'!$AD$9:$AD$22, (Parameters!$D1154-1)*3+2),
_xlpm.prev * (_xlpm.evHPE - _xlpm.evNoHPE))</f>
        <v>91.352916874992616</v>
      </c>
    </row>
    <row r="1155" spans="1:15" ht="12" customHeight="1" outlineLevel="3" x14ac:dyDescent="0.25">
      <c r="A1155" s="404"/>
      <c r="B1155" s="405"/>
      <c r="C1155" s="406"/>
      <c r="D1155" s="40">
        <f t="shared" si="201"/>
        <v>4</v>
      </c>
      <c r="L1155" s="79" t="str" cm="1">
        <f t="array" ref="L1155">INDEX(lstQs, $D1155)</f>
        <v>D: NSAIDs - HF</v>
      </c>
      <c r="M1155" s="402">
        <f t="shared" ref="M1155:M1156" si="202">O1155</f>
        <v>0</v>
      </c>
      <c r="O1155" s="391" cm="1">
        <f t="array" ref="O1155">_xlfn.LET(_xlpm.prev, INDEX($M$1116:$M$1120, MATCH($D1155, $D$1116:$D$1120, 0)), _xlpm.evHPE, INDEX('Results.Determ'!$AD$9:$AD$22, (Parameters!$D1155-1)*3+1), _xlpm.evNoHPE, INDEX('Results.Determ'!$AD$9:$AD$22, (Parameters!$D1155-1)*3+2),
_xlpm.prev * (_xlpm.evHPE - _xlpm.evNoHPE))</f>
        <v>0</v>
      </c>
    </row>
    <row r="1156" spans="1:15" ht="12" customHeight="1" outlineLevel="3" x14ac:dyDescent="0.25">
      <c r="A1156" s="404"/>
      <c r="B1156" s="405"/>
      <c r="C1156" s="406"/>
      <c r="D1156" s="40">
        <f t="shared" si="201"/>
        <v>5</v>
      </c>
      <c r="L1156" s="79" t="str" cm="1">
        <f t="array" ref="L1156">INDEX(lstQs, $D1156)</f>
        <v>E: NSAIDs - CKD</v>
      </c>
      <c r="M1156" s="402">
        <f t="shared" si="202"/>
        <v>0</v>
      </c>
      <c r="O1156" s="391" cm="1">
        <f t="array" ref="O1156">_xlfn.LET(_xlpm.prev, INDEX($M$1116:$M$1120, MATCH($D1156, $D$1116:$D$1120, 0)), _xlpm.evHPE, INDEX('Results.Determ'!$AD$9:$AD$22, (Parameters!$D1156-1)*3+1), _xlpm.evNoHPE, INDEX('Results.Determ'!$AD$9:$AD$22, (Parameters!$D1156-1)*3+2),
_xlpm.prev * (_xlpm.evHPE - _xlpm.evNoHPE))</f>
        <v>0</v>
      </c>
    </row>
    <row r="1157" spans="1:15" ht="12" customHeight="1" outlineLevel="3" thickBot="1" x14ac:dyDescent="0.3">
      <c r="A1157" s="404"/>
      <c r="B1157" s="405"/>
      <c r="C1157" s="406"/>
      <c r="L1157" s="79" t="s">
        <v>37</v>
      </c>
      <c r="M1157" s="402">
        <f ca="1">O1157</f>
        <v>1483.1937155840517</v>
      </c>
      <c r="O1157" s="391">
        <f ca="1">SUM(M1152:M1156)</f>
        <v>1483.1937155840517</v>
      </c>
    </row>
    <row r="1158" spans="1:15" s="110" customFormat="1" ht="12" customHeight="1" outlineLevel="2" thickBot="1" x14ac:dyDescent="0.3">
      <c r="A1158" s="404"/>
      <c r="B1158" s="405"/>
      <c r="C1158" s="406"/>
      <c r="D1158" s="112"/>
      <c r="G1158" s="112"/>
      <c r="H1158" s="112"/>
      <c r="I1158" s="112"/>
      <c r="J1158" s="112"/>
      <c r="K1158" s="112"/>
      <c r="L1158" s="110" t="s">
        <v>768</v>
      </c>
    </row>
    <row r="1159" spans="1:15" ht="12" customHeight="1" outlineLevel="3" x14ac:dyDescent="0.25">
      <c r="A1159" s="404"/>
      <c r="B1159" s="405"/>
      <c r="C1159" s="406"/>
      <c r="D1159" s="40">
        <v>1</v>
      </c>
      <c r="L1159" s="79" t="str" cm="1">
        <f t="array" ref="L1159">INDEX(lstQs, $D1159)</f>
        <v>A: No gastroprotection - NSAIDs in people &gt;65</v>
      </c>
      <c r="M1159" s="402">
        <f ca="1">O1159</f>
        <v>356.11867553309389</v>
      </c>
      <c r="O1159" s="391" cm="1">
        <f t="array" aca="1" ref="O1159" ca="1">_xlfn.LET(_xlpm.prev, INDEX($M$1116:$M$1120, MATCH($D1159, $D$1116:$D$1120, 0)), _xlpm.evHPE, INDEX('Results.Determ'!$AE$9:$AE$22, (Parameters!$D1159-1)*3+1), _xlpm.evNoHPE, INDEX('Results.Determ'!$AE$9:$AE$22, (Parameters!$D1159-1)*3+2),
_xlpm.prev * (_xlpm.evHPE - _xlpm.evNoHPE))</f>
        <v>356.11867553309389</v>
      </c>
    </row>
    <row r="1160" spans="1:15" ht="12" customHeight="1" outlineLevel="3" x14ac:dyDescent="0.25">
      <c r="A1160" s="404"/>
      <c r="B1160" s="405"/>
      <c r="C1160" s="406"/>
      <c r="D1160" s="40">
        <f>D1159+1</f>
        <v>2</v>
      </c>
      <c r="L1160" s="79" t="str" cm="1">
        <f t="array" ref="L1160">INDEX(lstQs, $D1160)</f>
        <v>B: No gastroprotection - NSAIDs in people with ulcer history</v>
      </c>
      <c r="M1160" s="402">
        <f ca="1">O1160</f>
        <v>23.306350737886419</v>
      </c>
      <c r="O1160" s="391" cm="1">
        <f t="array" aca="1" ref="O1160" ca="1">_xlfn.LET(_xlpm.prev, INDEX($M$1116:$M$1120, MATCH($D1160, $D$1116:$D$1120, 0)), _xlpm.evHPE, INDEX('Results.Determ'!$AE$9:$AE$22, (Parameters!$D1160-1)*3+1), _xlpm.evNoHPE, INDEX('Results.Determ'!$AE$9:$AE$22, (Parameters!$D1160-1)*3+2),
_xlpm.prev * (_xlpm.evHPE - _xlpm.evNoHPE))</f>
        <v>23.306350737886419</v>
      </c>
    </row>
    <row r="1161" spans="1:15" ht="12" customHeight="1" outlineLevel="3" x14ac:dyDescent="0.25">
      <c r="A1161" s="404"/>
      <c r="B1161" s="405"/>
      <c r="C1161" s="406"/>
      <c r="D1161" s="40">
        <f t="shared" ref="D1161:D1163" si="203">D1160+1</f>
        <v>3</v>
      </c>
      <c r="L1161" s="79" t="str" cm="1">
        <f t="array" ref="L1161">INDEX(lstQs, $D1161)</f>
        <v>C: NSAIDs - DOAC/warfarin</v>
      </c>
      <c r="M1161" s="402">
        <f ca="1">O1161</f>
        <v>1541.0604893370014</v>
      </c>
      <c r="O1161" s="391" cm="1">
        <f t="array" aca="1" ref="O1161" ca="1">_xlfn.LET(_xlpm.prev, INDEX($M$1116:$M$1120, MATCH($D1161, $D$1116:$D$1120, 0)), _xlpm.evHPE, INDEX('Results.Determ'!$AE$9:$AE$22, (Parameters!$D1161-1)*3+1), _xlpm.evNoHPE, INDEX('Results.Determ'!$AE$9:$AE$22, (Parameters!$D1161-1)*3+2),
_xlpm.prev * (_xlpm.evHPE - _xlpm.evNoHPE))</f>
        <v>1541.0604893370014</v>
      </c>
    </row>
    <row r="1162" spans="1:15" ht="12" customHeight="1" outlineLevel="3" x14ac:dyDescent="0.25">
      <c r="A1162" s="404"/>
      <c r="B1162" s="405"/>
      <c r="C1162" s="406"/>
      <c r="D1162" s="40">
        <f t="shared" si="203"/>
        <v>4</v>
      </c>
      <c r="L1162" s="79" t="str" cm="1">
        <f t="array" ref="L1162">INDEX(lstQs, $D1162)</f>
        <v>D: NSAIDs - HF</v>
      </c>
      <c r="M1162" s="402">
        <f t="shared" ref="M1162:M1163" si="204">O1162</f>
        <v>0</v>
      </c>
      <c r="O1162" s="391" cm="1">
        <f t="array" ref="O1162">_xlfn.LET(_xlpm.prev, INDEX($M$1116:$M$1120, MATCH($D1162, $D$1116:$D$1120, 0)), _xlpm.evHPE, INDEX('Results.Determ'!$AE$9:$AE$22, (Parameters!$D1162-1)*3+1), _xlpm.evNoHPE, INDEX('Results.Determ'!$AE$9:$AE$22, (Parameters!$D1162-1)*3+2),
_xlpm.prev * (_xlpm.evHPE - _xlpm.evNoHPE))</f>
        <v>0</v>
      </c>
    </row>
    <row r="1163" spans="1:15" ht="12" customHeight="1" outlineLevel="3" x14ac:dyDescent="0.25">
      <c r="A1163" s="404"/>
      <c r="B1163" s="405"/>
      <c r="C1163" s="406"/>
      <c r="D1163" s="40">
        <f t="shared" si="203"/>
        <v>5</v>
      </c>
      <c r="L1163" s="79" t="str" cm="1">
        <f t="array" ref="L1163">INDEX(lstQs, $D1163)</f>
        <v>E: NSAIDs - CKD</v>
      </c>
      <c r="M1163" s="402">
        <f t="shared" si="204"/>
        <v>0</v>
      </c>
      <c r="O1163" s="391" cm="1">
        <f t="array" ref="O1163">_xlfn.LET(_xlpm.prev, INDEX($M$1116:$M$1120, MATCH($D1163, $D$1116:$D$1120, 0)), _xlpm.evHPE, INDEX('Results.Determ'!$AE$9:$AE$22, (Parameters!$D1163-1)*3+1), _xlpm.evNoHPE, INDEX('Results.Determ'!$AE$9:$AE$22, (Parameters!$D1163-1)*3+2),
_xlpm.prev * (_xlpm.evHPE - _xlpm.evNoHPE))</f>
        <v>0</v>
      </c>
    </row>
    <row r="1164" spans="1:15" ht="12" customHeight="1" outlineLevel="3" thickBot="1" x14ac:dyDescent="0.3">
      <c r="A1164" s="404"/>
      <c r="B1164" s="405"/>
      <c r="C1164" s="406"/>
      <c r="L1164" s="79" t="s">
        <v>37</v>
      </c>
      <c r="M1164" s="402">
        <f ca="1">O1164</f>
        <v>1920.4855156079816</v>
      </c>
      <c r="O1164" s="391">
        <f ca="1">SUM(M1159:M1163)</f>
        <v>1920.4855156079816</v>
      </c>
    </row>
    <row r="1165" spans="1:15" s="110" customFormat="1" ht="12" customHeight="1" outlineLevel="2" thickBot="1" x14ac:dyDescent="0.3">
      <c r="A1165" s="404"/>
      <c r="B1165" s="405"/>
      <c r="C1165" s="406"/>
      <c r="D1165" s="112"/>
      <c r="G1165" s="112"/>
      <c r="H1165" s="112"/>
      <c r="I1165" s="112"/>
      <c r="J1165" s="112"/>
      <c r="K1165" s="112"/>
      <c r="L1165" s="110" t="s">
        <v>571</v>
      </c>
    </row>
    <row r="1166" spans="1:15" ht="12" customHeight="1" outlineLevel="3" x14ac:dyDescent="0.25">
      <c r="A1166" s="404"/>
      <c r="B1166" s="405"/>
      <c r="C1166" s="406"/>
      <c r="D1166" s="40">
        <v>1</v>
      </c>
      <c r="L1166" s="79" t="str" cm="1">
        <f t="array" ref="L1166">INDEX(lstQs, $D1166)</f>
        <v>A: No gastroprotection - NSAIDs in people &gt;65</v>
      </c>
      <c r="M1166" s="402">
        <f t="shared" ref="M1166:M1170" si="205">O1166</f>
        <v>0</v>
      </c>
      <c r="O1166" s="391" cm="1">
        <f t="array" ref="O1166">_xlfn.LET(_xlpm.prev, INDEX($M$1116:$M$1120, MATCH($D1166, $D$1116:$D$1120, 0)), _xlpm.evHPE, INDEX('Results.Determ'!$AF$9:$AF$22, (Parameters!$D1166-1)*3+1), _xlpm.evNoHPE, INDEX('Results.Determ'!$AF$9:$AF$22, (Parameters!$D1166-1)*3+2),
_xlpm.prev * (_xlpm.evHPE - _xlpm.evNoHPE))</f>
        <v>0</v>
      </c>
    </row>
    <row r="1167" spans="1:15" ht="12" customHeight="1" outlineLevel="3" x14ac:dyDescent="0.25">
      <c r="A1167" s="404"/>
      <c r="B1167" s="405"/>
      <c r="C1167" s="406"/>
      <c r="D1167" s="40">
        <f>D1166+1</f>
        <v>2</v>
      </c>
      <c r="L1167" s="79" t="str" cm="1">
        <f t="array" ref="L1167">INDEX(lstQs, $D1167)</f>
        <v>B: No gastroprotection - NSAIDs in people with ulcer history</v>
      </c>
      <c r="M1167" s="402">
        <f t="shared" si="205"/>
        <v>0</v>
      </c>
      <c r="O1167" s="391" cm="1">
        <f t="array" ref="O1167">_xlfn.LET(_xlpm.prev, INDEX($M$1116:$M$1120, MATCH($D1167, $D$1116:$D$1120, 0)), _xlpm.evHPE, INDEX('Results.Determ'!$AF$9:$AF$22, (Parameters!$D1167-1)*3+1), _xlpm.evNoHPE, INDEX('Results.Determ'!$AF$9:$AF$22, (Parameters!$D1167-1)*3+2),
_xlpm.prev * (_xlpm.evHPE - _xlpm.evNoHPE))</f>
        <v>0</v>
      </c>
    </row>
    <row r="1168" spans="1:15" ht="12" customHeight="1" outlineLevel="3" x14ac:dyDescent="0.25">
      <c r="A1168" s="404"/>
      <c r="B1168" s="405"/>
      <c r="C1168" s="406"/>
      <c r="D1168" s="40">
        <f t="shared" ref="D1168:D1170" si="206">D1167+1</f>
        <v>3</v>
      </c>
      <c r="L1168" s="79" t="str" cm="1">
        <f t="array" ref="L1168">INDEX(lstQs, $D1168)</f>
        <v>C: NSAIDs - DOAC/warfarin</v>
      </c>
      <c r="M1168" s="402">
        <f ca="1">O1168</f>
        <v>1717.1145385730867</v>
      </c>
      <c r="O1168" s="391" cm="1">
        <f t="array" aca="1" ref="O1168" ca="1">_xlfn.LET(_xlpm.prev, INDEX($M$1116:$M$1120, MATCH($D1168, $D$1116:$D$1120, 0)), _xlpm.evHPE, INDEX('Results.Determ'!$AF$9:$AF$22, (Parameters!$D1168-1)*3+1), _xlpm.evNoHPE, INDEX('Results.Determ'!$AF$9:$AF$22, (Parameters!$D1168-1)*3+2),
_xlpm.prev * (_xlpm.evHPE - _xlpm.evNoHPE))</f>
        <v>1717.1145385730867</v>
      </c>
    </row>
    <row r="1169" spans="1:15" ht="12" customHeight="1" outlineLevel="3" x14ac:dyDescent="0.25">
      <c r="A1169" s="404"/>
      <c r="B1169" s="405"/>
      <c r="C1169" s="406"/>
      <c r="D1169" s="40">
        <f t="shared" si="206"/>
        <v>4</v>
      </c>
      <c r="L1169" s="79" t="str" cm="1">
        <f t="array" ref="L1169">INDEX(lstQs, $D1169)</f>
        <v>D: NSAIDs - HF</v>
      </c>
      <c r="M1169" s="402">
        <f t="shared" si="205"/>
        <v>0</v>
      </c>
      <c r="O1169" s="391" cm="1">
        <f t="array" ref="O1169">_xlfn.LET(_xlpm.prev, INDEX($M$1116:$M$1120, MATCH($D1169, $D$1116:$D$1120, 0)), _xlpm.evHPE, INDEX('Results.Determ'!$AF$9:$AF$22, (Parameters!$D1169-1)*3+1), _xlpm.evNoHPE, INDEX('Results.Determ'!$AF$9:$AF$22, (Parameters!$D1169-1)*3+2),
_xlpm.prev * (_xlpm.evHPE - _xlpm.evNoHPE))</f>
        <v>0</v>
      </c>
    </row>
    <row r="1170" spans="1:15" ht="12" customHeight="1" outlineLevel="3" x14ac:dyDescent="0.25">
      <c r="A1170" s="404"/>
      <c r="B1170" s="405"/>
      <c r="C1170" s="406"/>
      <c r="D1170" s="40">
        <f t="shared" si="206"/>
        <v>5</v>
      </c>
      <c r="L1170" s="79" t="str" cm="1">
        <f t="array" ref="L1170">INDEX(lstQs, $D1170)</f>
        <v>E: NSAIDs - CKD</v>
      </c>
      <c r="M1170" s="402">
        <f t="shared" si="205"/>
        <v>0</v>
      </c>
      <c r="O1170" s="391" cm="1">
        <f t="array" ref="O1170">_xlfn.LET(_xlpm.prev, INDEX($M$1116:$M$1120, MATCH($D1170, $D$1116:$D$1120, 0)), _xlpm.evHPE, INDEX('Results.Determ'!$AF$9:$AF$22, (Parameters!$D1170-1)*3+1), _xlpm.evNoHPE, INDEX('Results.Determ'!$AF$9:$AF$22, (Parameters!$D1170-1)*3+2),
_xlpm.prev * (_xlpm.evHPE - _xlpm.evNoHPE))</f>
        <v>0</v>
      </c>
    </row>
    <row r="1171" spans="1:15" ht="12" customHeight="1" outlineLevel="3" thickBot="1" x14ac:dyDescent="0.3">
      <c r="A1171" s="404"/>
      <c r="B1171" s="405"/>
      <c r="C1171" s="406"/>
      <c r="L1171" s="79" t="s">
        <v>37</v>
      </c>
      <c r="M1171" s="402">
        <f ca="1">O1171</f>
        <v>1717.1145385730867</v>
      </c>
      <c r="O1171" s="391">
        <f ca="1">SUM(M1166:M1170)</f>
        <v>1717.1145385730867</v>
      </c>
    </row>
    <row r="1172" spans="1:15" s="110" customFormat="1" ht="12" customHeight="1" outlineLevel="2" thickBot="1" x14ac:dyDescent="0.3">
      <c r="A1172" s="404"/>
      <c r="B1172" s="405"/>
      <c r="C1172" s="406"/>
      <c r="D1172" s="112"/>
      <c r="G1172" s="112"/>
      <c r="H1172" s="112"/>
      <c r="I1172" s="112"/>
      <c r="J1172" s="112"/>
      <c r="K1172" s="112"/>
      <c r="L1172" s="110" t="s">
        <v>766</v>
      </c>
    </row>
    <row r="1173" spans="1:15" ht="12" customHeight="1" outlineLevel="3" x14ac:dyDescent="0.25">
      <c r="A1173" s="404"/>
      <c r="B1173" s="405"/>
      <c r="C1173" s="406"/>
      <c r="D1173" s="40">
        <v>1</v>
      </c>
      <c r="L1173" s="79" t="str" cm="1">
        <f t="array" ref="L1173">INDEX(lstQs, $D1173)</f>
        <v>A: No gastroprotection - NSAIDs in people &gt;65</v>
      </c>
      <c r="M1173" s="402">
        <f t="shared" ref="M1173:M1177" si="207">O1173</f>
        <v>0</v>
      </c>
      <c r="O1173" s="391" cm="1">
        <f t="array" ref="O1173">_xlfn.LET(_xlpm.prev, INDEX($M$1116:$M$1120, MATCH($D1173, $D$1116:$D$1120, 0)), _xlpm.evHPE, INDEX('Results.Determ'!$AG$9:$AG$22, (Parameters!$D1173-1)*3+1), _xlpm.evNoHPE, INDEX('Results.Determ'!$AG$9:$AG$22, (Parameters!$D1173-1)*3+2),
_xlpm.prev * (_xlpm.evHPE - _xlpm.evNoHPE))</f>
        <v>0</v>
      </c>
    </row>
    <row r="1174" spans="1:15" ht="12" customHeight="1" outlineLevel="3" x14ac:dyDescent="0.25">
      <c r="A1174" s="404"/>
      <c r="B1174" s="405"/>
      <c r="C1174" s="406"/>
      <c r="D1174" s="40">
        <f>D1173+1</f>
        <v>2</v>
      </c>
      <c r="L1174" s="79" t="str" cm="1">
        <f t="array" ref="L1174">INDEX(lstQs, $D1174)</f>
        <v>B: No gastroprotection - NSAIDs in people with ulcer history</v>
      </c>
      <c r="M1174" s="402">
        <f t="shared" si="207"/>
        <v>0</v>
      </c>
      <c r="O1174" s="391" cm="1">
        <f t="array" ref="O1174">_xlfn.LET(_xlpm.prev, INDEX($M$1116:$M$1120, MATCH($D1174, $D$1116:$D$1120, 0)), _xlpm.evHPE, INDEX('Results.Determ'!$AG$9:$AG$22, (Parameters!$D1174-1)*3+1), _xlpm.evNoHPE, INDEX('Results.Determ'!$AG$9:$AG$22, (Parameters!$D1174-1)*3+2),
_xlpm.prev * (_xlpm.evHPE - _xlpm.evNoHPE))</f>
        <v>0</v>
      </c>
    </row>
    <row r="1175" spans="1:15" ht="12" customHeight="1" outlineLevel="3" x14ac:dyDescent="0.25">
      <c r="A1175" s="404"/>
      <c r="B1175" s="405"/>
      <c r="C1175" s="406"/>
      <c r="D1175" s="40">
        <f t="shared" ref="D1175:D1177" si="208">D1174+1</f>
        <v>3</v>
      </c>
      <c r="L1175" s="79" t="str" cm="1">
        <f t="array" ref="L1175">INDEX(lstQs, $D1175)</f>
        <v>C: NSAIDs - DOAC/warfarin</v>
      </c>
      <c r="M1175" s="402">
        <f t="shared" si="207"/>
        <v>0</v>
      </c>
      <c r="O1175" s="391" cm="1">
        <f t="array" ref="O1175">_xlfn.LET(_xlpm.prev, INDEX($M$1116:$M$1120, MATCH($D1175, $D$1116:$D$1120, 0)), _xlpm.evHPE, INDEX('Results.Determ'!$AG$9:$AG$22, (Parameters!$D1175-1)*3+1), _xlpm.evNoHPE, INDEX('Results.Determ'!$AG$9:$AG$22, (Parameters!$D1175-1)*3+2),
_xlpm.prev * (_xlpm.evHPE - _xlpm.evNoHPE))</f>
        <v>0</v>
      </c>
    </row>
    <row r="1176" spans="1:15" ht="12" customHeight="1" outlineLevel="3" x14ac:dyDescent="0.25">
      <c r="A1176" s="404"/>
      <c r="B1176" s="405"/>
      <c r="C1176" s="406"/>
      <c r="D1176" s="40">
        <f t="shared" si="208"/>
        <v>4</v>
      </c>
      <c r="L1176" s="79" t="str" cm="1">
        <f t="array" ref="L1176">INDEX(lstQs, $D1176)</f>
        <v>D: NSAIDs - HF</v>
      </c>
      <c r="M1176" s="402">
        <f ca="1">O1176</f>
        <v>6748.277620347485</v>
      </c>
      <c r="O1176" s="391" cm="1">
        <f t="array" aca="1" ref="O1176" ca="1">_xlfn.LET(_xlpm.prev, INDEX($M$1116:$M$1120, MATCH($D1176, $D$1116:$D$1120, 0)), _xlpm.evHPE, INDEX('Results.Determ'!$AG$9:$AG$22, (Parameters!$D1176-1)*3+1), _xlpm.evNoHPE, INDEX('Results.Determ'!$AG$9:$AG$22, (Parameters!$D1176-1)*3+2),
_xlpm.prev * (_xlpm.evHPE - _xlpm.evNoHPE))</f>
        <v>6748.277620347485</v>
      </c>
    </row>
    <row r="1177" spans="1:15" ht="12" customHeight="1" outlineLevel="3" x14ac:dyDescent="0.25">
      <c r="A1177" s="404"/>
      <c r="B1177" s="405"/>
      <c r="C1177" s="406"/>
      <c r="D1177" s="40">
        <f t="shared" si="208"/>
        <v>5</v>
      </c>
      <c r="L1177" s="79" t="str" cm="1">
        <f t="array" ref="L1177">INDEX(lstQs, $D1177)</f>
        <v>E: NSAIDs - CKD</v>
      </c>
      <c r="M1177" s="402">
        <f t="shared" si="207"/>
        <v>0</v>
      </c>
      <c r="O1177" s="391" cm="1">
        <f t="array" ref="O1177">_xlfn.LET(_xlpm.prev, INDEX($M$1116:$M$1120, MATCH($D1177, $D$1116:$D$1120, 0)), _xlpm.evHPE, INDEX('Results.Determ'!$AG$9:$AG$22, (Parameters!$D1177-1)*3+1), _xlpm.evNoHPE, INDEX('Results.Determ'!$AG$9:$AG$22, (Parameters!$D1177-1)*3+2),
_xlpm.prev * (_xlpm.evHPE - _xlpm.evNoHPE))</f>
        <v>0</v>
      </c>
    </row>
    <row r="1178" spans="1:15" ht="12" customHeight="1" outlineLevel="3" thickBot="1" x14ac:dyDescent="0.3">
      <c r="A1178" s="404"/>
      <c r="B1178" s="405"/>
      <c r="C1178" s="406"/>
      <c r="L1178" s="79" t="s">
        <v>37</v>
      </c>
      <c r="M1178" s="402">
        <f ca="1">O1178</f>
        <v>6748.277620347485</v>
      </c>
      <c r="O1178" s="391">
        <f ca="1">SUM(M1173:M1177)</f>
        <v>6748.277620347485</v>
      </c>
    </row>
    <row r="1179" spans="1:15" s="110" customFormat="1" ht="12" customHeight="1" outlineLevel="2" thickBot="1" x14ac:dyDescent="0.3">
      <c r="A1179" s="404"/>
      <c r="B1179" s="405"/>
      <c r="C1179" s="406"/>
      <c r="D1179" s="112"/>
      <c r="G1179" s="112"/>
      <c r="H1179" s="112"/>
      <c r="I1179" s="112"/>
      <c r="J1179" s="112"/>
      <c r="K1179" s="112"/>
      <c r="L1179" s="110" t="s">
        <v>143</v>
      </c>
    </row>
    <row r="1180" spans="1:15" ht="12" customHeight="1" outlineLevel="3" x14ac:dyDescent="0.25">
      <c r="A1180" s="404"/>
      <c r="B1180" s="405"/>
      <c r="C1180" s="406"/>
      <c r="D1180" s="40">
        <v>1</v>
      </c>
      <c r="L1180" s="79" t="str" cm="1">
        <f t="array" ref="L1180">INDEX(lstQs, $D1180)</f>
        <v>A: No gastroprotection - NSAIDs in people &gt;65</v>
      </c>
      <c r="M1180" s="402">
        <f t="shared" ref="M1180:M1183" si="209">O1180</f>
        <v>0</v>
      </c>
      <c r="O1180" s="391" cm="1">
        <f t="array" ref="O1180">_xlfn.LET(_xlpm.prev, INDEX($M$1116:$M$1120, MATCH($D1180, $D$1116:$D$1120, 0)), _xlpm.evHPE, INDEX('Results.Determ'!$AH$9:$AH$22, (Parameters!$D1180-1)*3+1), _xlpm.evNoHPE, INDEX('Results.Determ'!$AH$9:$AH$22, (Parameters!$D1180-1)*3+2),
_xlpm.prev * (_xlpm.evHPE - _xlpm.evNoHPE))</f>
        <v>0</v>
      </c>
    </row>
    <row r="1181" spans="1:15" ht="12" customHeight="1" outlineLevel="3" x14ac:dyDescent="0.25">
      <c r="A1181" s="404"/>
      <c r="B1181" s="405"/>
      <c r="C1181" s="406"/>
      <c r="D1181" s="40">
        <f>D1180+1</f>
        <v>2</v>
      </c>
      <c r="L1181" s="79" t="str" cm="1">
        <f t="array" ref="L1181">INDEX(lstQs, $D1181)</f>
        <v>B: No gastroprotection - NSAIDs in people with ulcer history</v>
      </c>
      <c r="M1181" s="402">
        <f t="shared" si="209"/>
        <v>0</v>
      </c>
      <c r="O1181" s="391" cm="1">
        <f t="array" ref="O1181">_xlfn.LET(_xlpm.prev, INDEX($M$1116:$M$1120, MATCH($D1181, $D$1116:$D$1120, 0)), _xlpm.evHPE, INDEX('Results.Determ'!$AH$9:$AH$22, (Parameters!$D1181-1)*3+1), _xlpm.evNoHPE, INDEX('Results.Determ'!$AH$9:$AH$22, (Parameters!$D1181-1)*3+2),
_xlpm.prev * (_xlpm.evHPE - _xlpm.evNoHPE))</f>
        <v>0</v>
      </c>
    </row>
    <row r="1182" spans="1:15" ht="12" customHeight="1" outlineLevel="3" x14ac:dyDescent="0.25">
      <c r="A1182" s="404"/>
      <c r="B1182" s="405"/>
      <c r="C1182" s="406"/>
      <c r="D1182" s="40">
        <f t="shared" ref="D1182:D1184" si="210">D1181+1</f>
        <v>3</v>
      </c>
      <c r="L1182" s="79" t="str" cm="1">
        <f t="array" ref="L1182">INDEX(lstQs, $D1182)</f>
        <v>C: NSAIDs - DOAC/warfarin</v>
      </c>
      <c r="M1182" s="402">
        <f t="shared" si="209"/>
        <v>0</v>
      </c>
      <c r="O1182" s="391" cm="1">
        <f t="array" ref="O1182">_xlfn.LET(_xlpm.prev, INDEX($M$1116:$M$1120, MATCH($D1182, $D$1116:$D$1120, 0)), _xlpm.evHPE, INDEX('Results.Determ'!$AH$9:$AH$22, (Parameters!$D1182-1)*3+1), _xlpm.evNoHPE, INDEX('Results.Determ'!$AH$9:$AH$22, (Parameters!$D1182-1)*3+2),
_xlpm.prev * (_xlpm.evHPE - _xlpm.evNoHPE))</f>
        <v>0</v>
      </c>
    </row>
    <row r="1183" spans="1:15" ht="12" customHeight="1" outlineLevel="3" x14ac:dyDescent="0.25">
      <c r="A1183" s="404"/>
      <c r="B1183" s="405"/>
      <c r="C1183" s="406"/>
      <c r="D1183" s="40">
        <f t="shared" si="210"/>
        <v>4</v>
      </c>
      <c r="L1183" s="79" t="str" cm="1">
        <f t="array" ref="L1183">INDEX(lstQs, $D1183)</f>
        <v>D: NSAIDs - HF</v>
      </c>
      <c r="M1183" s="402">
        <f t="shared" si="209"/>
        <v>0</v>
      </c>
      <c r="O1183" s="391" cm="1">
        <f t="array" ref="O1183">_xlfn.LET(_xlpm.prev, INDEX($M$1116:$M$1120, MATCH($D1183, $D$1116:$D$1120, 0)), _xlpm.evHPE, INDEX('Results.Determ'!$AH$9:$AH$22, (Parameters!$D1183-1)*3+1), _xlpm.evNoHPE, INDEX('Results.Determ'!$AH$9:$AH$22, (Parameters!$D1183-1)*3+2),
_xlpm.prev * (_xlpm.evHPE - _xlpm.evNoHPE))</f>
        <v>0</v>
      </c>
    </row>
    <row r="1184" spans="1:15" ht="12" customHeight="1" outlineLevel="3" x14ac:dyDescent="0.25">
      <c r="A1184" s="404"/>
      <c r="B1184" s="405"/>
      <c r="C1184" s="406"/>
      <c r="D1184" s="40">
        <f t="shared" si="210"/>
        <v>5</v>
      </c>
      <c r="L1184" s="79" t="str" cm="1">
        <f t="array" ref="L1184">INDEX(lstQs, $D1184)</f>
        <v>E: NSAIDs - CKD</v>
      </c>
      <c r="M1184" s="402">
        <f ca="1">O1184</f>
        <v>3270.8659867144952</v>
      </c>
      <c r="O1184" s="391" cm="1">
        <f t="array" aca="1" ref="O1184" ca="1">_xlfn.LET(_xlpm.prev, INDEX($M$1116:$M$1120, MATCH($D1184, $D$1116:$D$1120, 0)), _xlpm.evHPE, INDEX('Results.Determ'!$AH$9:$AH$22, (Parameters!$D1184-1)*3+1), _xlpm.evNoHPE, INDEX('Results.Determ'!$AH$9:$AH$22, (Parameters!$D1184-1)*3+2),
_xlpm.prev * (_xlpm.evHPE - _xlpm.evNoHPE))</f>
        <v>3270.8659867144952</v>
      </c>
    </row>
    <row r="1185" spans="1:15" ht="12" customHeight="1" outlineLevel="3" thickBot="1" x14ac:dyDescent="0.3">
      <c r="A1185" s="404"/>
      <c r="B1185" s="405"/>
      <c r="C1185" s="406"/>
      <c r="L1185" s="79" t="s">
        <v>37</v>
      </c>
      <c r="M1185" s="402">
        <f ca="1">O1185</f>
        <v>3270.8659867144952</v>
      </c>
      <c r="O1185" s="391">
        <f ca="1">SUM(M1180:M1184)</f>
        <v>3270.8659867144952</v>
      </c>
    </row>
    <row r="1186" spans="1:15" s="110" customFormat="1" ht="12" customHeight="1" outlineLevel="2" thickBot="1" x14ac:dyDescent="0.3">
      <c r="A1186" s="404"/>
      <c r="B1186" s="405"/>
      <c r="C1186" s="406"/>
      <c r="D1186" s="112"/>
      <c r="G1186" s="112"/>
      <c r="H1186" s="112"/>
      <c r="I1186" s="112"/>
      <c r="J1186" s="112"/>
      <c r="K1186" s="112"/>
      <c r="L1186" s="110" t="s">
        <v>760</v>
      </c>
    </row>
    <row r="1187" spans="1:15" ht="12" customHeight="1" outlineLevel="3" x14ac:dyDescent="0.25">
      <c r="A1187" s="404"/>
      <c r="B1187" s="405"/>
      <c r="C1187" s="406"/>
      <c r="D1187" s="40">
        <v>1</v>
      </c>
      <c r="L1187" s="79" t="str" cm="1">
        <f t="array" ref="L1187">INDEX(lstQs, $D1187)</f>
        <v>A: No gastroprotection - NSAIDs in people &gt;65</v>
      </c>
      <c r="M1187" s="402">
        <f t="shared" ref="M1187:M1190" si="211">O1187</f>
        <v>0</v>
      </c>
      <c r="O1187" s="391" cm="1">
        <f t="array" ref="O1187">_xlfn.LET(_xlpm.prev, INDEX($M$1116:$M$1120, MATCH($D1187, $D$1116:$D$1120, 0)), _xlpm.evHPE, INDEX('Results.Determ'!$AI$9:$AI$22, (Parameters!$D1187-1)*3+1), _xlpm.evNoHPE, INDEX('Results.Determ'!$AI$9:$AI$22, (Parameters!$D1187-1)*3+2),
_xlpm.prev * (_xlpm.evHPE - _xlpm.evNoHPE))</f>
        <v>0</v>
      </c>
    </row>
    <row r="1188" spans="1:15" ht="12" customHeight="1" outlineLevel="3" x14ac:dyDescent="0.25">
      <c r="A1188" s="404"/>
      <c r="B1188" s="405"/>
      <c r="C1188" s="406"/>
      <c r="D1188" s="40">
        <f>D1187+1</f>
        <v>2</v>
      </c>
      <c r="L1188" s="79" t="str" cm="1">
        <f t="array" ref="L1188">INDEX(lstQs, $D1188)</f>
        <v>B: No gastroprotection - NSAIDs in people with ulcer history</v>
      </c>
      <c r="M1188" s="402">
        <f t="shared" si="211"/>
        <v>0</v>
      </c>
      <c r="O1188" s="391" cm="1">
        <f t="array" ref="O1188">_xlfn.LET(_xlpm.prev, INDEX($M$1116:$M$1120, MATCH($D1188, $D$1116:$D$1120, 0)), _xlpm.evHPE, INDEX('Results.Determ'!$AI$9:$AI$22, (Parameters!$D1188-1)*3+1), _xlpm.evNoHPE, INDEX('Results.Determ'!$AI$9:$AI$22, (Parameters!$D1188-1)*3+2),
_xlpm.prev * (_xlpm.evHPE - _xlpm.evNoHPE))</f>
        <v>0</v>
      </c>
    </row>
    <row r="1189" spans="1:15" ht="12" customHeight="1" outlineLevel="3" x14ac:dyDescent="0.25">
      <c r="A1189" s="404"/>
      <c r="B1189" s="405"/>
      <c r="C1189" s="406"/>
      <c r="D1189" s="40">
        <f t="shared" ref="D1189:D1191" si="212">D1188+1</f>
        <v>3</v>
      </c>
      <c r="L1189" s="79" t="str" cm="1">
        <f t="array" ref="L1189">INDEX(lstQs, $D1189)</f>
        <v>C: NSAIDs - DOAC/warfarin</v>
      </c>
      <c r="M1189" s="402">
        <f t="shared" si="211"/>
        <v>0</v>
      </c>
      <c r="O1189" s="391" cm="1">
        <f t="array" ref="O1189">_xlfn.LET(_xlpm.prev, INDEX($M$1116:$M$1120, MATCH($D1189, $D$1116:$D$1120, 0)), _xlpm.evHPE, INDEX('Results.Determ'!$AI$9:$AI$22, (Parameters!$D1189-1)*3+1), _xlpm.evNoHPE, INDEX('Results.Determ'!$AI$9:$AI$22, (Parameters!$D1189-1)*3+2),
_xlpm.prev * (_xlpm.evHPE - _xlpm.evNoHPE))</f>
        <v>0</v>
      </c>
    </row>
    <row r="1190" spans="1:15" ht="12" customHeight="1" outlineLevel="3" x14ac:dyDescent="0.25">
      <c r="A1190" s="404"/>
      <c r="B1190" s="405"/>
      <c r="C1190" s="406"/>
      <c r="D1190" s="40">
        <f t="shared" si="212"/>
        <v>4</v>
      </c>
      <c r="L1190" s="79" t="str" cm="1">
        <f t="array" ref="L1190">INDEX(lstQs, $D1190)</f>
        <v>D: NSAIDs - HF</v>
      </c>
      <c r="M1190" s="402">
        <f t="shared" si="211"/>
        <v>0</v>
      </c>
      <c r="O1190" s="391" cm="1">
        <f t="array" ref="O1190">_xlfn.LET(_xlpm.prev, INDEX($M$1116:$M$1120, MATCH($D1190, $D$1116:$D$1120, 0)), _xlpm.evHPE, INDEX('Results.Determ'!$AI$9:$AI$22, (Parameters!$D1190-1)*3+1), _xlpm.evNoHPE, INDEX('Results.Determ'!$AI$9:$AI$22, (Parameters!$D1190-1)*3+2),
_xlpm.prev * (_xlpm.evHPE - _xlpm.evNoHPE))</f>
        <v>0</v>
      </c>
    </row>
    <row r="1191" spans="1:15" ht="12" customHeight="1" outlineLevel="3" x14ac:dyDescent="0.25">
      <c r="A1191" s="404"/>
      <c r="B1191" s="405"/>
      <c r="C1191" s="406"/>
      <c r="D1191" s="40">
        <f t="shared" si="212"/>
        <v>5</v>
      </c>
      <c r="L1191" s="79" t="str" cm="1">
        <f t="array" ref="L1191">INDEX(lstQs, $D1191)</f>
        <v>E: NSAIDs - CKD</v>
      </c>
      <c r="M1191" s="402">
        <f ca="1">O1191</f>
        <v>-44.089550165709802</v>
      </c>
      <c r="O1191" s="391" cm="1">
        <f t="array" aca="1" ref="O1191" ca="1">_xlfn.LET(_xlpm.prev, INDEX($M$1116:$M$1120, MATCH($D1191, $D$1116:$D$1120, 0)), _xlpm.evHPE, INDEX('Results.Determ'!$AI$9:$AI$22, (Parameters!$D1191-1)*3+1), _xlpm.evNoHPE, INDEX('Results.Determ'!$AI$9:$AI$22, (Parameters!$D1191-1)*3+2),
_xlpm.prev * (_xlpm.evHPE - _xlpm.evNoHPE))</f>
        <v>-44.089550165709802</v>
      </c>
    </row>
    <row r="1192" spans="1:15" ht="12" customHeight="1" outlineLevel="3" x14ac:dyDescent="0.25">
      <c r="A1192" s="404"/>
      <c r="B1192" s="405"/>
      <c r="C1192" s="406"/>
      <c r="L1192" s="79" t="s">
        <v>37</v>
      </c>
      <c r="M1192" s="402">
        <f ca="1">O1192</f>
        <v>-44.089550165709802</v>
      </c>
      <c r="O1192" s="391">
        <f ca="1">SUM(M1187:M1191)</f>
        <v>-44.089550165709802</v>
      </c>
    </row>
  </sheetData>
  <mergeCells count="49">
    <mergeCell ref="N1124:N1129"/>
    <mergeCell ref="N1131:N1136"/>
    <mergeCell ref="N692:N700"/>
    <mergeCell ref="N1074:N1085"/>
    <mergeCell ref="N843:N846"/>
    <mergeCell ref="N838:N841"/>
    <mergeCell ref="N833:N836"/>
    <mergeCell ref="N827:N830"/>
    <mergeCell ref="N864:N867"/>
    <mergeCell ref="N874:N877"/>
    <mergeCell ref="N869:N872"/>
    <mergeCell ref="N822:N825"/>
    <mergeCell ref="N817:N820"/>
    <mergeCell ref="N1035:N1046"/>
    <mergeCell ref="N427:N433"/>
    <mergeCell ref="L2:L3"/>
    <mergeCell ref="M2:M3"/>
    <mergeCell ref="N2:N3"/>
    <mergeCell ref="O2:O3"/>
    <mergeCell ref="N325:N329"/>
    <mergeCell ref="N333:N337"/>
    <mergeCell ref="N340:N344"/>
    <mergeCell ref="N351:N355"/>
    <mergeCell ref="N359:N363"/>
    <mergeCell ref="P2:P3"/>
    <mergeCell ref="N71:N78"/>
    <mergeCell ref="N305:N307"/>
    <mergeCell ref="N207:N211"/>
    <mergeCell ref="N215:N219"/>
    <mergeCell ref="N224:N233"/>
    <mergeCell ref="N274:N275"/>
    <mergeCell ref="N236:N245"/>
    <mergeCell ref="N200:N204"/>
    <mergeCell ref="Q2:X2"/>
    <mergeCell ref="N188:N189"/>
    <mergeCell ref="N193:N194"/>
    <mergeCell ref="AC60:AC63"/>
    <mergeCell ref="N727:N735"/>
    <mergeCell ref="AC400:AC403"/>
    <mergeCell ref="N411:N423"/>
    <mergeCell ref="N438:N450"/>
    <mergeCell ref="N183:N184"/>
    <mergeCell ref="N294:N296"/>
    <mergeCell ref="N284:N289"/>
    <mergeCell ref="N263:N264"/>
    <mergeCell ref="N269:N270"/>
    <mergeCell ref="Y2:Y3"/>
    <mergeCell ref="Z2:Z3"/>
    <mergeCell ref="AA2:AF2"/>
  </mergeCells>
  <phoneticPr fontId="46" type="noConversion"/>
  <conditionalFormatting sqref="M5:M1192">
    <cfRule type="expression" dxfId="57" priority="1" stopIfTrue="1">
      <formula>AND(O5&lt;&gt;"", M5&lt;&gt;O5)</formula>
    </cfRule>
  </conditionalFormatting>
  <dataValidations disablePrompts="1" count="12">
    <dataValidation type="list" allowBlank="1" showInputMessage="1" showErrorMessage="1" sqref="M6" xr:uid="{BE398B87-72D7-4CB9-A13D-40C352C143E8}">
      <formula1>"1,2"</formula1>
    </dataValidation>
    <dataValidation type="list" allowBlank="1" showInputMessage="1" showErrorMessage="1" prompt="1 = yes_x000a_2 = no" sqref="M10 M465 M460:M462 M746 M13" xr:uid="{9D662A25-E92D-401D-B4C6-159477FC1B4A}">
      <formula1>"1,2"</formula1>
    </dataValidation>
    <dataValidation type="list" allowBlank="1" showInputMessage="1" showErrorMessage="1" prompt="1 = naproxen only_x000a_2 = naproxen and ibuprofen (weighted according to prescribing frequency)_x000a_3 = 4 NSAIDs (weighted according to prescribing frequency)" sqref="M15" xr:uid="{245B3F0B-F105-4C89-81B5-79BA88AD1F96}">
      <formula1>"1,2,3"</formula1>
    </dataValidation>
    <dataValidation type="list" allowBlank="1" showInputMessage="1" showErrorMessage="1" prompt="1 = Lassen_x000a_2 = Malmi_x000a_3 = Lassen for 1mo followed by Malmi for rest of cycle" sqref="M116" xr:uid="{1A501516-FA66-4447-B5CA-38D10B797134}">
      <formula1>"1,2,3"</formula1>
    </dataValidation>
    <dataValidation type="list" allowBlank="1" showInputMessage="1" showErrorMessage="1" prompt="1 = most representative single code (EB03B NEL)_x000a_2 = weighted average of all relevant (NEL &amp; NES) codes" sqref="M464" xr:uid="{AE973FCD-5238-4DE2-BDA7-CA0B27E8D8D0}">
      <formula1>"1,2"</formula1>
    </dataValidation>
    <dataValidation type="list" allowBlank="1" showInputMessage="1" showErrorMessage="1" prompt="1 = Kularatna_x000a_2 = ASCEND-HF" sqref="M466" xr:uid="{FDCAC227-83D4-46C7-84CB-3E98F845F04A}">
      <formula1>"1,2"</formula1>
    </dataValidation>
    <dataValidation type="list" allowBlank="1" showInputMessage="1" showErrorMessage="1" prompt="1 = NICOR_x000a_2 = US data" sqref="M463" xr:uid="{BF41057D-A0CF-4BEF-B361-B875C56FB7EC}">
      <formula1>"1,2"</formula1>
    </dataValidation>
    <dataValidation type="list" allowBlank="1" showInputMessage="1" showErrorMessage="1" prompt="1 = Yang (Singapore)_x000a_2 = Liem (meta-analysis)" sqref="M745" xr:uid="{36A5C05E-CA93-4B96-BEC3-0ACF165F65DB}">
      <formula1>"1,2"</formula1>
    </dataValidation>
    <dataValidation type="decimal" allowBlank="1" showInputMessage="1" showErrorMessage="1" sqref="M740" xr:uid="{519C4803-479E-45CC-8A38-6936E17F204C}">
      <formula1>70</formula1>
      <formula2>80</formula2>
    </dataValidation>
    <dataValidation type="list" allowBlank="1" showInputMessage="1" showErrorMessage="1" prompt="1 = yes (except for QF, which has an inbuilt correction)_x000a_2 = no_x000a_3 = yes (for all including QF)" sqref="M11" xr:uid="{DBEBDA80-EA7D-4BFE-87D2-B9371B7E5CED}">
      <formula1>"1,2,3"</formula1>
    </dataValidation>
    <dataValidation type="list" allowBlank="1" showInputMessage="1" showErrorMessage="1" prompt="1 = assume independent risks_x000a_2 = reduce overlap by deducting the number of people at risk for anticoagulants, heart failure, and CKD from the group of people over 65 who are at GI risk_x000a_" sqref="M1088" xr:uid="{445F9C06-0519-42D7-A25A-1843DBD6A034}">
      <formula1>"1,2"</formula1>
    </dataValidation>
    <dataValidation type="list" allowBlank="1" showInputMessage="1" showErrorMessage="1" prompt="1 = no, of people registered with a GP in England_x000a_2 = population of England" sqref="M1089" xr:uid="{365E1C9F-1524-442E-ADFC-6AEA23748ED5}">
      <formula1>"1,2"</formula1>
    </dataValidation>
  </dataValidations>
  <hyperlinks>
    <hyperlink ref="Y112" r:id="rId1" display="PSSRU 2020" xr:uid="{2DDF415F-A296-422A-8161-BB3B6CE41A50}"/>
    <hyperlink ref="Y104:Y111" r:id="rId2" display="PSSRU 2020" xr:uid="{30D5FB19-A253-423C-9301-49826EF279FE}"/>
    <hyperlink ref="Y87" r:id="rId3" display="PSSRU 2012" xr:uid="{7CB61023-A168-4660-9B93-CBE5BE7DC302}"/>
    <hyperlink ref="Y88:Y91" r:id="rId4" display="PSSRU 2012" xr:uid="{61C81225-1FEC-484B-85FD-567AC53195B3}"/>
    <hyperlink ref="Y84" r:id="rId5" display="PSSRU 2012" xr:uid="{162034F6-ABAE-4F13-881A-53111CA65240}"/>
    <hyperlink ref="Y85:Y86" r:id="rId6" display="PSSRU 2012" xr:uid="{63367F76-2C02-4DBB-9AE2-C34CE4B126BE}"/>
    <hyperlink ref="Y82" r:id="rId7" display="PSSRU 2012" xr:uid="{A7CD46A5-C063-4914-B5A1-34EEACADD3AB}"/>
    <hyperlink ref="Y83" r:id="rId8" display="PSSRU 2012" xr:uid="{A6E83ABA-D28C-4977-9D67-A00B0E363F66}"/>
    <hyperlink ref="Y81" r:id="rId9" display="PSSRU 2012" xr:uid="{8EC62E10-19A7-4F16-A21C-B17FA067D9B9}"/>
    <hyperlink ref="Y80" r:id="rId10" display="PSSRU 2012" xr:uid="{98239697-D92D-4B0E-ADD6-7E913A283DC8}"/>
    <hyperlink ref="Y75" r:id="rId11" xr:uid="{96150250-D6B0-44E4-8DBA-0060118C562E}"/>
    <hyperlink ref="Y76:Y78" r:id="rId12" display="Ara &amp; Brazier (2011)" xr:uid="{B85860E7-F3F7-4980-A9F1-6D1194A286B1}"/>
    <hyperlink ref="Y73" r:id="rId13" xr:uid="{3946A817-EDEF-477B-8C13-D0A5D86FDEAC}"/>
    <hyperlink ref="Y74" r:id="rId14" xr:uid="{41A6F1C5-A9DB-4C8C-A41D-9F46BC6E14D6}"/>
    <hyperlink ref="Y71" r:id="rId15" xr:uid="{81F40245-E6EF-4414-8781-B9B34431A347}"/>
    <hyperlink ref="Y72" r:id="rId16" xr:uid="{A63CCBF2-669E-49B4-A336-668F44BC44C2}"/>
    <hyperlink ref="Y49" r:id="rId17" xr:uid="{69345579-EA10-485C-B2D3-239925E8A5C8}"/>
    <hyperlink ref="Y45" r:id="rId18" xr:uid="{C335A7EA-BFFA-47A9-BF95-3FBD8BC8157D}"/>
    <hyperlink ref="Y53" r:id="rId19" xr:uid="{92570944-169E-4723-9ACB-E0813EA97980}"/>
    <hyperlink ref="Y57" r:id="rId20" xr:uid="{9064F4E2-812D-4CAA-AC29-B42AACAD51C8}"/>
    <hyperlink ref="Y67" r:id="rId21" xr:uid="{AFE9D7BF-0F10-4E11-AD0B-87DE4F1B2D65}"/>
    <hyperlink ref="Y157" r:id="rId22" display="Delaney et al. (2208)" xr:uid="{953246A2-ED34-400B-8CE7-7CFEBDBD3941}"/>
    <hyperlink ref="Y158" r:id="rId23" display="Delaney et al. (2208)" xr:uid="{777AE374-E322-497D-9C4D-57E5B2C78C97}"/>
    <hyperlink ref="Y162" r:id="rId24" xr:uid="{0F054FC3-F85D-4AC3-AA7E-595809D63670}"/>
    <hyperlink ref="Y163" r:id="rId25" xr:uid="{1F7FA950-54B1-4CCE-B2B5-1DDD7078B1DB}"/>
    <hyperlink ref="Y429" r:id="rId26" xr:uid="{C34E741E-A556-4312-94BD-A6829A2801E7}"/>
    <hyperlink ref="Y121" r:id="rId27" xr:uid="{83AB1468-69EE-49E5-B5D3-EF3C8A1100E1}"/>
    <hyperlink ref="Y122" r:id="rId28" xr:uid="{70CC4097-FD9B-4F6A-9555-4E27729FB064}"/>
    <hyperlink ref="Y331" r:id="rId29" xr:uid="{81AC742D-F87A-4A3B-8FCC-2D5A37892D9A}"/>
    <hyperlink ref="Y20" r:id="rId30" display="ONS" xr:uid="{7AA8B637-07EB-4886-8BB0-D625F4C73558}"/>
    <hyperlink ref="Y21:Y27" r:id="rId31" display="ONS" xr:uid="{560D5EA2-8AD8-47A4-BFAD-A0BA31B5A30E}"/>
    <hyperlink ref="Y29" r:id="rId32" display="ONS" xr:uid="{1A88D373-0A69-4352-BF0A-FB7B4B88FAEC}"/>
    <hyperlink ref="Y30:Y36" r:id="rId33" display="ONS" xr:uid="{A8C5264F-9EE4-400A-8DF0-6E796F820475}"/>
    <hyperlink ref="Y277" r:id="rId34" xr:uid="{170BB50D-F9EC-4C96-9E77-09245CEA9A78}"/>
    <hyperlink ref="Y139" r:id="rId35" xr:uid="{C481602A-49F6-4852-9F79-95F99848743F}"/>
    <hyperlink ref="Y261" r:id="rId36" xr:uid="{97A1FCD1-E0C8-43B0-BDAC-BCD0D6145B50}"/>
    <hyperlink ref="Y213" r:id="rId37" xr:uid="{DBE80E72-739F-40F1-92FE-219365B664DA}"/>
    <hyperlink ref="Y181" r:id="rId38" xr:uid="{21315975-167D-4C9C-8223-37CDE56E85E5}"/>
    <hyperlink ref="Y175" r:id="rId39" xr:uid="{C3748166-624B-40E9-BDCA-2F6F9287B1BB}"/>
    <hyperlink ref="Y186" r:id="rId40" xr:uid="{11CA0D23-4DEE-439B-8C7F-49082173890A}"/>
    <hyperlink ref="Y176" r:id="rId41" xr:uid="{A35EBE2A-8CBE-4175-B527-6A2B69178F6D}"/>
    <hyperlink ref="Y177" r:id="rId42" xr:uid="{F85233D1-380D-455E-8E0E-470DB22D1804}"/>
    <hyperlink ref="Y191" r:id="rId43" xr:uid="{F6881A07-1BA7-4726-95A8-740AFCE58B9C}"/>
    <hyperlink ref="Y196" r:id="rId44" xr:uid="{E6577CC6-2F75-4AAE-84CE-F9B042788E43}"/>
    <hyperlink ref="Y254" r:id="rId45" xr:uid="{09C4DE76-BAB0-4B0D-82E5-45C724A79581}"/>
    <hyperlink ref="Y266" r:id="rId46" xr:uid="{60F766D2-A2BD-4759-9B46-7EF435ADDE1E}"/>
    <hyperlink ref="Y267" r:id="rId47" xr:uid="{1A7E2472-DF2B-4D20-97CE-5F26A35E92E2}"/>
    <hyperlink ref="Y255" r:id="rId48" xr:uid="{171A3FD0-D54D-44EF-BDD2-39210DE6274A}"/>
    <hyperlink ref="Y291" r:id="rId49" xr:uid="{CDDCCB34-33A0-4A5B-B6B8-DF912FA12B81}"/>
    <hyperlink ref="Y323" r:id="rId50" xr:uid="{B2E8392D-AA62-40F0-9FB7-A45B10D3C982}"/>
    <hyperlink ref="Y347" r:id="rId51" xr:uid="{A7C073A3-DF9B-483C-82CA-0EE41CF2C18B}"/>
    <hyperlink ref="Y348" r:id="rId52" xr:uid="{C2946123-4610-4AF3-A580-F219AFB5DC04}"/>
    <hyperlink ref="Y349" r:id="rId53" xr:uid="{8FEA997B-23C5-4B6A-A666-31E3C1DC1232}"/>
    <hyperlink ref="Y357" r:id="rId54" xr:uid="{B82C08C3-1ECD-4D23-A53E-BE856038C493}"/>
    <hyperlink ref="Y435" r:id="rId55" xr:uid="{79E0568D-B9FD-47B3-9CA5-538A49A56836}"/>
    <hyperlink ref="Y436" r:id="rId56" xr:uid="{0AD1CAD0-07BD-48AD-81B8-7829D8A9E341}"/>
    <hyperlink ref="Y378" r:id="rId57" xr:uid="{9D638FAC-F850-4139-94FA-655FADD148AC}"/>
    <hyperlink ref="Y379" r:id="rId58" xr:uid="{F0AC7C83-53EB-417A-A241-5AE68A028ACE}"/>
    <hyperlink ref="Y380" r:id="rId59" xr:uid="{75EFB6AE-B3DC-4640-A43A-055B39DCB0E4}"/>
    <hyperlink ref="Y381" r:id="rId60" xr:uid="{EEFF76A1-0B53-4953-8AE8-757A6C926929}"/>
    <hyperlink ref="Y382" r:id="rId61" xr:uid="{C2C413DF-B45F-4BAA-AEA4-2A24E9D270AE}"/>
    <hyperlink ref="Y400" r:id="rId62" xr:uid="{43944ABA-67BB-4C86-AD3E-7CEF43A18E0E}"/>
    <hyperlink ref="Y401:Y403" r:id="rId63" display="Lip et al. (2014)" xr:uid="{C2CA6113-E677-4EB3-83D7-E4DE0881490B}"/>
    <hyperlink ref="Y299" r:id="rId64" xr:uid="{926364B4-6101-4D8A-BB3E-8B9D5E986BC6}"/>
    <hyperlink ref="Y300" r:id="rId65" xr:uid="{6D8F6CEF-DE47-4BC6-B3BB-6461DD242A27}"/>
    <hyperlink ref="Y390" r:id="rId66" xr:uid="{3468A90A-7FDD-473F-A012-F6E3909799DE}"/>
    <hyperlink ref="Y391" r:id="rId67" xr:uid="{FE559D17-62C3-46E0-8A9D-36612C5B25F8}"/>
    <hyperlink ref="Y392" r:id="rId68" xr:uid="{0A7539CA-9E2F-4AAD-8D86-CC5E40447FA5}"/>
    <hyperlink ref="Y393" r:id="rId69" xr:uid="{741A5396-85C6-4BB7-8416-74C5A96562F3}"/>
    <hyperlink ref="Y705" r:id="rId70" xr:uid="{9E3CA9CA-E898-4DC9-8B52-5D7C70D9F900}"/>
    <hyperlink ref="Y609" r:id="rId71" xr:uid="{DEEE0988-41DD-497C-835B-FDD3E3056CC3}"/>
    <hyperlink ref="Y473" r:id="rId72" xr:uid="{82AA80E7-71C9-41EB-8B77-63E6C3F99378}"/>
    <hyperlink ref="Y518" r:id="rId73" xr:uid="{FA831CD4-2E73-45AA-BA16-1EE407361D82}"/>
    <hyperlink ref="Y470" r:id="rId74" xr:uid="{34CB6BF7-52EF-4237-873E-9B8F2923041D}"/>
    <hyperlink ref="Y706:Y707" r:id="rId75" display="Kularatna et al. (2017)" xr:uid="{35BE5E32-42E0-43CA-B28C-82F3AABDB3EF}"/>
    <hyperlink ref="Y708" r:id="rId76" xr:uid="{50FAAEDE-8AFF-44E3-B140-1F45363D9C10}"/>
    <hyperlink ref="Y615" r:id="rId77" xr:uid="{23BF892A-FBEB-4B6C-BD76-3E6D86F81387}"/>
    <hyperlink ref="Y614" r:id="rId78" xr:uid="{4CBC6507-612E-4D23-8729-822E54D63D3E}"/>
    <hyperlink ref="Y613" r:id="rId79" xr:uid="{CF959BCF-BC65-4187-8920-E9437143431B}"/>
    <hyperlink ref="Y612" r:id="rId80" xr:uid="{8D1EB22E-5706-493D-A3D5-383A066B64D4}"/>
    <hyperlink ref="Y478" r:id="rId81" xr:uid="{79F140F4-D518-41FB-887A-54A0DD368AA1}"/>
    <hyperlink ref="Y479:Y480" r:id="rId82" display="Taylor et al. (2017)" xr:uid="{A53D335E-35B2-4813-B950-A46D3A159846}"/>
    <hyperlink ref="Y477" r:id="rId83" xr:uid="{B8DC609E-C249-43FF-BFC3-271AB787C7E9}"/>
    <hyperlink ref="Y484" r:id="rId84" xr:uid="{F4FA96AE-E55B-43E5-98F4-770345C1B46F}"/>
    <hyperlink ref="Y485:Y489" r:id="rId85" display="NICOR 2012-13" xr:uid="{6A3AF5C6-A376-4284-87D2-180CA52467E0}"/>
    <hyperlink ref="Y493" r:id="rId86" xr:uid="{8B3F57DB-D971-4E84-B948-088AFA533BDF}"/>
    <hyperlink ref="Y494:Y498" r:id="rId87" display="NICOR 2012-13" xr:uid="{E6D6775F-0BF3-4D1A-97E0-674E2E0585E1}"/>
    <hyperlink ref="Y503" r:id="rId88" xr:uid="{0AEC41D7-2A21-4B7A-A69A-A3030C98ACFF}"/>
    <hyperlink ref="Y504" r:id="rId89" xr:uid="{79ED028B-2DA7-4FCF-B767-F749A5C8DF10}"/>
    <hyperlink ref="Y474" r:id="rId90" xr:uid="{FB7A75EE-92A8-4603-944B-635683470DF2}"/>
    <hyperlink ref="Y715" r:id="rId91" display="Ambosy et al. (2015)" xr:uid="{A0A2A7CE-F956-4F7A-BFB7-38378A9E205E}"/>
    <hyperlink ref="Y716:Y718" r:id="rId92" display="Ambosy et al. (2015)" xr:uid="{F1AD82EA-8EBF-4A65-AE54-485589C9445C}"/>
    <hyperlink ref="Y720:Y721" r:id="rId93" display="Ambosy et al. (2015)" xr:uid="{58369E95-25C3-40D2-A2AA-DAEB7523B3C7}"/>
    <hyperlink ref="Y713" r:id="rId94" xr:uid="{FEB9F66A-7354-4124-B67E-93677C0C6814}"/>
    <hyperlink ref="Y678" r:id="rId95" xr:uid="{A1D98112-2FED-4BD9-9760-85A6516C50E7}"/>
    <hyperlink ref="Y780" r:id="rId96" display="James et al. (2010)" xr:uid="{00000000-0004-0000-0600-000004000000}"/>
    <hyperlink ref="Y781:Y782" r:id="rId97" display="James et al. (2010)" xr:uid="{00000000-0004-0000-0600-000005000000}"/>
    <hyperlink ref="Y784" r:id="rId98" display="James et al. (2010)" xr:uid="{00000000-0004-0000-0600-000006000000}"/>
    <hyperlink ref="Y785:Y786" r:id="rId99" display="James et al. (2010)" xr:uid="{00000000-0004-0000-0600-000007000000}"/>
    <hyperlink ref="Y791" r:id="rId100" display="James et al. (2010)" xr:uid="{00000000-0004-0000-0600-000008000000}"/>
    <hyperlink ref="Y792:Y793" r:id="rId101" display="James et al. (2010)" xr:uid="{00000000-0004-0000-0600-000009000000}"/>
    <hyperlink ref="Y795" r:id="rId102" display="James et al. (2010)" xr:uid="{00000000-0004-0000-0600-00000A000000}"/>
    <hyperlink ref="Y796:Y797" r:id="rId103" display="James et al. (2010)" xr:uid="{00000000-0004-0000-0600-00000B000000}"/>
    <hyperlink ref="Y878" r:id="rId104" display="Wonnacott et al. (2014)" xr:uid="{00000000-0004-0000-0600-00000C000000}"/>
    <hyperlink ref="Y879" r:id="rId105" display="Wonnacott et al. (2014)" xr:uid="{00000000-0004-0000-0600-00000D000000}"/>
    <hyperlink ref="Y751" r:id="rId106" xr:uid="{00000000-0004-0000-0600-00000E000000}"/>
    <hyperlink ref="Y851" r:id="rId107" display="Kohle et al. (2016)" xr:uid="{00000000-0004-0000-0600-000015000000}"/>
    <hyperlink ref="Y852" r:id="rId108" display="Kohle et al. (2015)" xr:uid="{00000000-0004-0000-0600-000016000000}"/>
    <hyperlink ref="Y775" r:id="rId109" display="Hall et al. (2018) citing RenalReg (derivation unclear)" xr:uid="{00000000-0004-0000-0600-000018000000}"/>
    <hyperlink ref="Y929" r:id="rId110" xr:uid="{00000000-0004-0000-0600-000019000000}"/>
    <hyperlink ref="Y1049" r:id="rId111" display="Jesky et al. (2016)" xr:uid="{5C651F4D-1906-43DC-90AA-3F4ACEA0DC3C}"/>
    <hyperlink ref="Y1054" r:id="rId112" display="Yang et al. (2015)" xr:uid="{6518D72A-B08F-4F53-B3C8-B3B4F8D00ED2}"/>
    <hyperlink ref="Y1062" r:id="rId113" display="Li et al. (2017)" xr:uid="{02E5DA3A-1BF0-4708-8428-E304F2C2420C}"/>
    <hyperlink ref="Y1063" r:id="rId114" display="Li et al. (2017)" xr:uid="{AAA1FC26-8B56-4368-98A8-22BE0DCB09B2}"/>
    <hyperlink ref="Y1067" r:id="rId115" display="Mistry et al. (2018)" xr:uid="{72DA44AA-6656-4557-B751-FC358FF9A13C}"/>
    <hyperlink ref="Y1068" r:id="rId116" display="Mistry et al. (2018)" xr:uid="{EEB76B93-E75E-4501-9352-3861D1059695}"/>
    <hyperlink ref="Y1016" r:id="rId117" display="Wonnacott et al. (2014)" xr:uid="{9020973E-23AE-465E-8270-1FE6254BDAD9}"/>
    <hyperlink ref="Y983:Y984" r:id="rId118" display="Kent et al. (2015)" xr:uid="{BD308855-5B8E-462B-8785-4716C6A85CED}"/>
    <hyperlink ref="Y989" r:id="rId119" display="Kent et al. (2015)" xr:uid="{5641FFA8-62D0-4A2E-8B0E-2C9536815825}"/>
    <hyperlink ref="Y993" r:id="rId120" display="Kent et al. (2015)" xr:uid="{71A1F32C-A53F-4D9D-B95B-6A91A9CC0AA2}"/>
    <hyperlink ref="Y997" r:id="rId121" display="Kent et al. (2015)" xr:uid="{D89C78F8-8FF1-4FF1-961A-694ED101FDE2}"/>
    <hyperlink ref="Y1002" r:id="rId122" display="Kent et al. (2015)" xr:uid="{F264CCE8-2AD7-471B-8E39-87D816594763}"/>
    <hyperlink ref="Y802" r:id="rId123" xr:uid="{B85F315C-BBA5-4FF3-86D6-0FD97F84A95D}"/>
    <hyperlink ref="Y752" r:id="rId124" xr:uid="{938D5D0B-E7E6-463B-8048-D04D1320582F}"/>
    <hyperlink ref="Y758:Y759" r:id="rId125" display="Kent et al. (2015)" xr:uid="{08D17E2D-E282-4555-9CE9-25CB132E15E3}"/>
    <hyperlink ref="Y761" r:id="rId126" xr:uid="{97A1212B-BE24-465D-A307-B6942B602859}"/>
    <hyperlink ref="Y768:Y769" r:id="rId127" display="Kent et al. (2015)" xr:uid="{260BEE08-D687-42DE-809C-3368C39B7C5E}"/>
    <hyperlink ref="Y884:Y885" r:id="rId128" display="Kent et al. (2015)" xr:uid="{161231AE-0DBF-40F0-86E6-2A4F795E29A9}"/>
    <hyperlink ref="Y887:Y888" r:id="rId129" display="Kent et al. (2015)" xr:uid="{AEDBDF92-B530-4AE4-9F2B-7BE21B4DE138}"/>
    <hyperlink ref="Y1018" r:id="rId130" xr:uid="{7E0656D6-0D7C-4318-8176-D81417B8A3D5}"/>
    <hyperlink ref="Y1019:Y1021" r:id="rId131" display="Bedford et al. (2014)" xr:uid="{E7B95E17-A8EE-4357-8566-60FE28B83367}"/>
    <hyperlink ref="Y1051" r:id="rId132" display="Jesky et al. (2016)" xr:uid="{DEB27F66-C295-41A8-A353-6BE3FED02D8D}"/>
    <hyperlink ref="Y1056" r:id="rId133" xr:uid="{0AC46991-6B34-4C47-BA4D-554CE104BD1F}"/>
    <hyperlink ref="Y1057" r:id="rId134" xr:uid="{9EAC8204-48F2-41BE-91CB-86339A515BBA}"/>
    <hyperlink ref="Y848" r:id="rId135" xr:uid="{6CBB5A64-A4B3-4C2F-82F1-B80140C16815}"/>
    <hyperlink ref="Y849" r:id="rId136" xr:uid="{C425CB58-0D56-4358-9EBE-24F936B3C45D}"/>
    <hyperlink ref="Y859:Y861" r:id="rId137" display="Kohle et al. (2016)" xr:uid="{1934A677-C11D-4F43-B096-6EFA659BDEC4}"/>
    <hyperlink ref="Y800" r:id="rId138" xr:uid="{C502E046-4306-4338-B5C3-2541D6C17AD3}"/>
    <hyperlink ref="Y113" r:id="rId139" display="PSSRU 2020" xr:uid="{1C7BB4C6-2DC9-44F7-8DD2-57387CA0DDFD}"/>
    <hyperlink ref="Y131" r:id="rId140" location="nccdata2" xr:uid="{5C80CF27-07D4-47E3-B41F-009DC653F22F}"/>
    <hyperlink ref="Y132" r:id="rId141" location="nccdata2" xr:uid="{C52FD6E9-DC88-4496-BBFD-AF14D1170163}"/>
    <hyperlink ref="Y133" r:id="rId142" location="nccdata2" xr:uid="{11E9E368-1D50-4D72-AEFF-7E7D23185B61}"/>
    <hyperlink ref="Y40" r:id="rId143" location="nccdata2" xr:uid="{9DDF4F2D-E2F3-4BDA-834A-3A02E61C9B89}"/>
    <hyperlink ref="Y641:Y645" r:id="rId144" location="nccdata2" display="NHS Reference Costs 2019/20" xr:uid="{312CAB33-D31C-4E43-AC7A-D9EFDCD92DF1}"/>
    <hyperlink ref="Y647:Y651" r:id="rId145" location="nccdata2" display="NHS Reference Costs 2019/20" xr:uid="{9B434D52-77A8-4AF0-ACE1-79182580FEC7}"/>
    <hyperlink ref="Y656:Y663" r:id="rId146" location="nccdata2" display="NHS Reference Costs 2019/20" xr:uid="{45899EA4-65C8-4D86-AC14-17E04AC50F7B}"/>
    <hyperlink ref="Y665:Y672" r:id="rId147" location="nccdata2" display="NHS Reference Costs 2019/20" xr:uid="{BD9DDA9B-69E2-452B-9E18-EC426E3A4E2E}"/>
    <hyperlink ref="Y675" r:id="rId148" location="nccdata2" xr:uid="{84E6EB58-CE8B-4704-8137-D0EFC8DFDDFE}"/>
    <hyperlink ref="Y686" r:id="rId149" location="nccdata2" xr:uid="{EC889A1D-8B83-463B-A5B2-F2AE9CF8DD33}"/>
    <hyperlink ref="Y39" r:id="rId150" xr:uid="{D1DEFD54-36AE-4A77-B369-393F3D57443A}"/>
    <hyperlink ref="Y44" r:id="rId151" location="/00798052-DC/DC00797648/Part%20VIIIA%20-%20Basic%20Prices%20of%20Drugs%20Product%20List" xr:uid="{5CDE020D-438C-47ED-88CD-FF734105C32A}"/>
    <hyperlink ref="Y48" r:id="rId152" location="/00798052-DC/DC00797648/Part%20VIIIA%20-%20Basic%20Prices%20of%20Drugs%20Product%20List" xr:uid="{B40C3261-0424-46DF-9D86-8E8D6DBA606B}"/>
    <hyperlink ref="Y52" r:id="rId153" location="/00798052-DC/DC00797648/Part%20VIIIA%20-%20Basic%20Prices%20of%20Drugs%20Product%20List" xr:uid="{DD633A37-AE5B-4162-9D0E-BF1F668C1AE1}"/>
    <hyperlink ref="Y56" r:id="rId154" location="/00798052-DC/DC00797648/Part%20VIIIA%20-%20Basic%20Prices%20of%20Drugs%20Product%20List" xr:uid="{D53C081A-F5F5-4620-B32E-8628358DC7D2}"/>
    <hyperlink ref="Y66" r:id="rId155" location="/00798052-DC/DC00797648/Part%20VIIIA%20-%20Basic%20Prices%20of%20Drugs%20Product%20List" xr:uid="{C7439A2D-AE57-4AD5-BD52-4B7F0C27F540}"/>
    <hyperlink ref="Y127" r:id="rId156" location="/00798052-DC/DC00797648/Part%20VIIIA%20-%20Basic%20Prices%20of%20Drugs%20Product%20List" xr:uid="{1AEDDCBA-4338-402B-B07E-402AF62CACD4}"/>
    <hyperlink ref="Y128" r:id="rId157" location="/00798052-DC/DC00797648/Part%20VIIIA%20-%20Basic%20Prices%20of%20Drugs%20Product%20List" xr:uid="{55E4455D-C221-489B-9D03-96BCF49D0C4F}"/>
    <hyperlink ref="Y628" r:id="rId158" location="/00798052-DC/DC00797648/Part%20VIIIA%20-%20Basic%20Prices%20of%20Drugs%20Product%20List" xr:uid="{0303233C-0C36-497B-AE48-9BCF4E533FEF}"/>
    <hyperlink ref="Y958:Y964" r:id="rId159" location="nccdata2" display="NHS Reference Costs 2019/20" xr:uid="{083CADAF-BE6A-459A-AC78-9C586677D503}"/>
    <hyperlink ref="Y968:Y973" r:id="rId160" location="nccdata2" display="NHS Reference Costs 2019/20" xr:uid="{CFEA5B71-5497-48A9-B1C6-0FBF583495F3}"/>
    <hyperlink ref="Y977:Y978" r:id="rId161" location="nccdata2" display="NHS Reference Costs 2019/20" xr:uid="{DC3C2C0E-E994-407F-8BAF-6895354E12EE}"/>
    <hyperlink ref="Y282" r:id="rId162" xr:uid="{13D58E97-CB07-4D51-8DB0-E9228E254A2E}"/>
    <hyperlink ref="Y292" r:id="rId163" xr:uid="{C7FF7483-EAB6-484F-8C64-A1DAD2F69CF9}"/>
    <hyperlink ref="Y955" r:id="rId164" location="nccdata2" xr:uid="{C5C61038-E08A-459D-B938-EE6215CB725C}"/>
    <hyperlink ref="Y281" r:id="rId165" xr:uid="{EAEFBC52-ABB0-42C3-9424-1A37367DEFD7}"/>
    <hyperlink ref="Y272" r:id="rId166" xr:uid="{67BF66A7-24FE-4F9B-A49E-072245C8D4A6}"/>
    <hyperlink ref="Y257" r:id="rId167" xr:uid="{E22A9242-7F7E-49A2-8BED-29CDF5B013AA}"/>
    <hyperlink ref="Y256" r:id="rId168" xr:uid="{56058D10-DE59-4E38-BC15-666175DF94B9}"/>
    <hyperlink ref="Y166" r:id="rId169" xr:uid="{2EDBD975-8D32-4993-B453-5E626E21F4C5}"/>
    <hyperlink ref="Y1113" r:id="rId170" xr:uid="{6DEA4639-1CC8-4066-9E2D-7BE0982B9B6D}"/>
    <hyperlink ref="Y1006" r:id="rId171" xr:uid="{542E0DD5-FBF0-4E6D-9987-700164325CD1}"/>
    <hyperlink ref="Y1114" r:id="rId172" display="NHS England" xr:uid="{F3C06DB3-24B7-4C22-B7BE-725091D4F541}"/>
  </hyperlinks>
  <pageMargins left="0.7" right="0.7" top="0.75" bottom="0.75" header="0.3" footer="0.3"/>
  <pageSetup paperSize="9" orientation="portrait" r:id="rId173"/>
  <ignoredErrors>
    <ignoredError sqref="M21:M22" unlockedFormula="1"/>
    <ignoredError sqref="O228 O230 O415 O421 O429 L526 L530 L539 L543 L552 L556 L565 L569 L573 L577 L586 L590 L599 L603 O675 O799 Q886 O1050:O1051" formula="1"/>
    <ignoredError sqref="O490:O491 Q1022 S1022" formulaRange="1"/>
    <ignoredError sqref="L752 L759 L761 L764 L768 L772 L885 L887 L896" numberStoredAsText="1"/>
  </ignoredErrors>
  <drawing r:id="rId174"/>
  <legacyDrawing r:id="rId17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8417" r:id="rId176" name="Button 1">
              <controlPr defaultSize="0" print="0" autoFill="0" autoPict="0" macro="[0]!shtParameters.MosDef">
                <anchor moveWithCells="1" sizeWithCells="1">
                  <from>
                    <xdr:col>1</xdr:col>
                    <xdr:colOff>276225</xdr:colOff>
                    <xdr:row>0</xdr:row>
                    <xdr:rowOff>95250</xdr:rowOff>
                  </from>
                  <to>
                    <xdr:col>1</xdr:col>
                    <xdr:colOff>1009650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AP3489"/>
  <sheetViews>
    <sheetView workbookViewId="0">
      <pane xSplit="4" ySplit="1" topLeftCell="E2" activePane="bottomRight" state="frozen"/>
      <selection activeCell="T7" sqref="T7"/>
      <selection pane="topRight" activeCell="T7" sqref="T7"/>
      <selection pane="bottomLeft" activeCell="T7" sqref="T7"/>
      <selection pane="bottomRight" activeCell="E2" sqref="E2"/>
    </sheetView>
  </sheetViews>
  <sheetFormatPr defaultColWidth="2.710937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0" style="15" hidden="1" customWidth="1"/>
    <col min="5" max="16384" width="2.7109375" style="15"/>
  </cols>
  <sheetData>
    <row r="1" spans="1:42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  <c r="M1" s="5"/>
      <c r="N1" s="5"/>
      <c r="O1" s="5"/>
      <c r="P1" s="5"/>
      <c r="Q1" s="5"/>
      <c r="S1" s="5"/>
    </row>
    <row r="2" spans="1:42" ht="12" customHeight="1" thickTop="1" x14ac:dyDescent="0.25">
      <c r="A2" s="2"/>
      <c r="C2" s="7"/>
    </row>
    <row r="3" spans="1:42" ht="12" customHeight="1" x14ac:dyDescent="0.25">
      <c r="A3" s="2"/>
      <c r="C3" s="7"/>
      <c r="F3" s="15" t="s">
        <v>895</v>
      </c>
    </row>
    <row r="4" spans="1:42" ht="12" customHeight="1" x14ac:dyDescent="0.25">
      <c r="A4" s="2"/>
      <c r="C4" s="7"/>
    </row>
    <row r="5" spans="1:42" ht="12" customHeight="1" x14ac:dyDescent="0.25">
      <c r="A5" s="2"/>
      <c r="C5" s="7"/>
      <c r="F5" s="15" t="s">
        <v>896</v>
      </c>
    </row>
    <row r="6" spans="1:42" ht="12" customHeight="1" x14ac:dyDescent="0.25">
      <c r="A6" s="2"/>
      <c r="C6" s="7"/>
      <c r="F6" s="15" t="s">
        <v>898</v>
      </c>
    </row>
    <row r="7" spans="1:42" ht="12" customHeight="1" x14ac:dyDescent="0.25">
      <c r="A7" s="2"/>
      <c r="C7" s="7"/>
      <c r="F7" s="426" t="s">
        <v>897</v>
      </c>
      <c r="AP7" s="15" t="str">
        <f>IF(AO7="", "", AO7&amp;"["&amp;AN7&amp;"]")</f>
        <v/>
      </c>
    </row>
    <row r="8" spans="1:42" ht="12" customHeight="1" x14ac:dyDescent="0.25">
      <c r="A8" s="2"/>
      <c r="C8" s="7"/>
      <c r="AP8" s="15" t="str">
        <f t="shared" ref="AP8:AP71" si="0">IF(AO8="", "", AO8&amp;"["&amp;AN8&amp;"]")</f>
        <v/>
      </c>
    </row>
    <row r="9" spans="1:42" ht="12" customHeight="1" x14ac:dyDescent="0.25">
      <c r="A9" s="2"/>
      <c r="C9" s="7"/>
      <c r="AP9" s="15" t="str">
        <f t="shared" si="0"/>
        <v/>
      </c>
    </row>
    <row r="10" spans="1:42" ht="12" customHeight="1" x14ac:dyDescent="0.25">
      <c r="A10" s="2"/>
      <c r="C10" s="7"/>
      <c r="AP10" s="15" t="str">
        <f t="shared" si="0"/>
        <v/>
      </c>
    </row>
    <row r="11" spans="1:42" ht="12" customHeight="1" x14ac:dyDescent="0.25">
      <c r="A11" s="2"/>
      <c r="C11" s="7"/>
      <c r="AP11" s="15" t="str">
        <f t="shared" si="0"/>
        <v/>
      </c>
    </row>
    <row r="12" spans="1:42" ht="12" customHeight="1" x14ac:dyDescent="0.25">
      <c r="A12" s="2"/>
      <c r="C12" s="7"/>
      <c r="AP12" s="15" t="str">
        <f t="shared" si="0"/>
        <v/>
      </c>
    </row>
    <row r="13" spans="1:42" ht="12" customHeight="1" x14ac:dyDescent="0.25">
      <c r="A13" s="2"/>
      <c r="C13" s="7"/>
      <c r="AP13" s="15" t="str">
        <f t="shared" si="0"/>
        <v/>
      </c>
    </row>
    <row r="14" spans="1:42" ht="12" customHeight="1" x14ac:dyDescent="0.25">
      <c r="A14" s="2"/>
      <c r="C14" s="7"/>
      <c r="AP14" s="15" t="str">
        <f t="shared" si="0"/>
        <v/>
      </c>
    </row>
    <row r="15" spans="1:42" ht="12" customHeight="1" x14ac:dyDescent="0.25">
      <c r="A15" s="2"/>
      <c r="C15" s="7"/>
      <c r="AP15" s="15" t="str">
        <f t="shared" si="0"/>
        <v/>
      </c>
    </row>
    <row r="16" spans="1:42" ht="12" customHeight="1" x14ac:dyDescent="0.25">
      <c r="A16" s="2"/>
      <c r="C16" s="7"/>
      <c r="AP16" s="15" t="str">
        <f t="shared" si="0"/>
        <v/>
      </c>
    </row>
    <row r="17" spans="1:42" ht="12" customHeight="1" x14ac:dyDescent="0.25">
      <c r="A17" s="2"/>
      <c r="C17" s="7"/>
      <c r="AP17" s="15" t="str">
        <f t="shared" si="0"/>
        <v/>
      </c>
    </row>
    <row r="18" spans="1:42" ht="12" customHeight="1" x14ac:dyDescent="0.25">
      <c r="A18" s="2"/>
      <c r="C18" s="7"/>
      <c r="AP18" s="15" t="str">
        <f t="shared" si="0"/>
        <v/>
      </c>
    </row>
    <row r="19" spans="1:42" ht="12" customHeight="1" x14ac:dyDescent="0.25">
      <c r="A19" s="2"/>
      <c r="C19" s="7"/>
      <c r="AP19" s="15" t="str">
        <f t="shared" si="0"/>
        <v/>
      </c>
    </row>
    <row r="20" spans="1:42" ht="12" customHeight="1" x14ac:dyDescent="0.25">
      <c r="A20" s="2"/>
      <c r="C20" s="7"/>
      <c r="AP20" s="15" t="str">
        <f t="shared" si="0"/>
        <v/>
      </c>
    </row>
    <row r="21" spans="1:42" ht="12" customHeight="1" x14ac:dyDescent="0.25">
      <c r="A21" s="2"/>
      <c r="C21" s="7"/>
      <c r="AP21" s="15" t="str">
        <f t="shared" si="0"/>
        <v/>
      </c>
    </row>
    <row r="22" spans="1:42" ht="12" customHeight="1" x14ac:dyDescent="0.25">
      <c r="A22" s="2"/>
      <c r="C22" s="7"/>
      <c r="AP22" s="15" t="str">
        <f t="shared" si="0"/>
        <v/>
      </c>
    </row>
    <row r="23" spans="1:42" ht="12" customHeight="1" x14ac:dyDescent="0.25">
      <c r="A23" s="2"/>
      <c r="C23" s="7"/>
      <c r="AP23" s="15" t="str">
        <f t="shared" si="0"/>
        <v/>
      </c>
    </row>
    <row r="24" spans="1:42" ht="12" customHeight="1" x14ac:dyDescent="0.25">
      <c r="A24" s="2"/>
      <c r="C24" s="7"/>
      <c r="AP24" s="15" t="str">
        <f t="shared" si="0"/>
        <v/>
      </c>
    </row>
    <row r="25" spans="1:42" ht="12" customHeight="1" x14ac:dyDescent="0.25">
      <c r="A25" s="2"/>
      <c r="C25" s="7"/>
      <c r="AP25" s="15" t="str">
        <f t="shared" si="0"/>
        <v/>
      </c>
    </row>
    <row r="26" spans="1:42" ht="12" customHeight="1" x14ac:dyDescent="0.25">
      <c r="A26" s="2"/>
      <c r="C26" s="7"/>
      <c r="AP26" s="15" t="str">
        <f t="shared" si="0"/>
        <v/>
      </c>
    </row>
    <row r="27" spans="1:42" ht="12" customHeight="1" x14ac:dyDescent="0.25">
      <c r="A27" s="2"/>
      <c r="C27" s="7"/>
      <c r="AP27" s="15" t="str">
        <f t="shared" si="0"/>
        <v/>
      </c>
    </row>
    <row r="28" spans="1:42" ht="12" customHeight="1" x14ac:dyDescent="0.25">
      <c r="A28" s="2"/>
      <c r="C28" s="7"/>
      <c r="AP28" s="15" t="str">
        <f t="shared" si="0"/>
        <v/>
      </c>
    </row>
    <row r="29" spans="1:42" ht="12" customHeight="1" x14ac:dyDescent="0.25">
      <c r="A29" s="2"/>
      <c r="C29" s="7"/>
      <c r="AP29" s="15" t="str">
        <f t="shared" si="0"/>
        <v/>
      </c>
    </row>
    <row r="30" spans="1:42" ht="12" customHeight="1" x14ac:dyDescent="0.25">
      <c r="A30" s="2"/>
      <c r="C30" s="7"/>
      <c r="AP30" s="15" t="str">
        <f t="shared" si="0"/>
        <v/>
      </c>
    </row>
    <row r="31" spans="1:42" ht="12" customHeight="1" x14ac:dyDescent="0.25">
      <c r="A31" s="2"/>
      <c r="C31" s="7"/>
      <c r="AP31" s="15" t="str">
        <f t="shared" si="0"/>
        <v/>
      </c>
    </row>
    <row r="32" spans="1:42" ht="12" customHeight="1" x14ac:dyDescent="0.25">
      <c r="A32" s="2"/>
      <c r="C32" s="7"/>
      <c r="AP32" s="15" t="str">
        <f t="shared" si="0"/>
        <v/>
      </c>
    </row>
    <row r="33" spans="1:42" ht="12" customHeight="1" x14ac:dyDescent="0.25">
      <c r="A33" s="2"/>
      <c r="C33" s="7"/>
      <c r="AP33" s="15" t="str">
        <f t="shared" si="0"/>
        <v/>
      </c>
    </row>
    <row r="34" spans="1:42" ht="12" customHeight="1" x14ac:dyDescent="0.25">
      <c r="A34" s="2"/>
      <c r="C34" s="7"/>
      <c r="AP34" s="15" t="str">
        <f t="shared" si="0"/>
        <v/>
      </c>
    </row>
    <row r="35" spans="1:42" ht="12" customHeight="1" x14ac:dyDescent="0.25">
      <c r="A35" s="2"/>
      <c r="C35" s="7"/>
      <c r="AP35" s="15" t="str">
        <f t="shared" si="0"/>
        <v/>
      </c>
    </row>
    <row r="36" spans="1:42" ht="12" customHeight="1" x14ac:dyDescent="0.25">
      <c r="A36" s="2"/>
      <c r="C36" s="7"/>
      <c r="AP36" s="15" t="str">
        <f t="shared" si="0"/>
        <v/>
      </c>
    </row>
    <row r="37" spans="1:42" ht="12" customHeight="1" x14ac:dyDescent="0.25">
      <c r="A37" s="2"/>
      <c r="C37" s="7"/>
      <c r="AP37" s="15" t="str">
        <f t="shared" si="0"/>
        <v/>
      </c>
    </row>
    <row r="38" spans="1:42" ht="12" customHeight="1" x14ac:dyDescent="0.25">
      <c r="A38" s="2"/>
      <c r="C38" s="7"/>
      <c r="AP38" s="15" t="str">
        <f t="shared" si="0"/>
        <v/>
      </c>
    </row>
    <row r="39" spans="1:42" ht="12" customHeight="1" x14ac:dyDescent="0.25">
      <c r="A39" s="2"/>
      <c r="C39" s="7"/>
      <c r="AP39" s="15" t="str">
        <f t="shared" si="0"/>
        <v/>
      </c>
    </row>
    <row r="40" spans="1:42" ht="12" customHeight="1" x14ac:dyDescent="0.25">
      <c r="A40" s="2"/>
      <c r="C40" s="7"/>
      <c r="AP40" s="15" t="str">
        <f t="shared" si="0"/>
        <v/>
      </c>
    </row>
    <row r="41" spans="1:42" ht="12" customHeight="1" x14ac:dyDescent="0.25">
      <c r="A41" s="2"/>
      <c r="C41" s="7"/>
      <c r="AP41" s="15" t="str">
        <f t="shared" si="0"/>
        <v/>
      </c>
    </row>
    <row r="42" spans="1:42" ht="12" customHeight="1" x14ac:dyDescent="0.25">
      <c r="A42" s="2"/>
      <c r="C42" s="7"/>
      <c r="AP42" s="15" t="str">
        <f t="shared" si="0"/>
        <v/>
      </c>
    </row>
    <row r="43" spans="1:42" ht="12" customHeight="1" x14ac:dyDescent="0.25">
      <c r="A43" s="2"/>
      <c r="C43" s="7"/>
      <c r="AP43" s="15" t="str">
        <f t="shared" si="0"/>
        <v/>
      </c>
    </row>
    <row r="44" spans="1:42" ht="12" customHeight="1" x14ac:dyDescent="0.25">
      <c r="A44" s="2"/>
      <c r="C44" s="7"/>
      <c r="AP44" s="15" t="str">
        <f t="shared" si="0"/>
        <v/>
      </c>
    </row>
    <row r="45" spans="1:42" ht="12" customHeight="1" x14ac:dyDescent="0.25">
      <c r="A45" s="2"/>
      <c r="C45" s="7"/>
      <c r="AP45" s="15" t="str">
        <f t="shared" si="0"/>
        <v/>
      </c>
    </row>
    <row r="46" spans="1:42" ht="12" customHeight="1" x14ac:dyDescent="0.25">
      <c r="A46" s="2"/>
      <c r="C46" s="7"/>
      <c r="AP46" s="15" t="str">
        <f t="shared" si="0"/>
        <v/>
      </c>
    </row>
    <row r="47" spans="1:42" ht="12" customHeight="1" x14ac:dyDescent="0.25">
      <c r="A47" s="2"/>
      <c r="C47" s="7"/>
      <c r="AP47" s="15" t="str">
        <f t="shared" si="0"/>
        <v/>
      </c>
    </row>
    <row r="48" spans="1:42" ht="12" customHeight="1" x14ac:dyDescent="0.25">
      <c r="A48" s="2"/>
      <c r="C48" s="7"/>
      <c r="AP48" s="15" t="str">
        <f t="shared" si="0"/>
        <v/>
      </c>
    </row>
    <row r="49" spans="1:42" ht="12" customHeight="1" x14ac:dyDescent="0.25">
      <c r="A49" s="2"/>
      <c r="C49" s="7"/>
      <c r="AP49" s="15" t="str">
        <f t="shared" si="0"/>
        <v/>
      </c>
    </row>
    <row r="50" spans="1:42" ht="12" customHeight="1" x14ac:dyDescent="0.25">
      <c r="A50" s="2"/>
      <c r="C50" s="7"/>
      <c r="AP50" s="15" t="str">
        <f t="shared" si="0"/>
        <v/>
      </c>
    </row>
    <row r="51" spans="1:42" ht="12" customHeight="1" x14ac:dyDescent="0.25">
      <c r="A51" s="2"/>
      <c r="C51" s="7"/>
      <c r="AP51" s="15" t="str">
        <f t="shared" si="0"/>
        <v/>
      </c>
    </row>
    <row r="52" spans="1:42" ht="12" customHeight="1" x14ac:dyDescent="0.25">
      <c r="A52" s="2"/>
      <c r="C52" s="7"/>
      <c r="AP52" s="15" t="str">
        <f t="shared" si="0"/>
        <v/>
      </c>
    </row>
    <row r="53" spans="1:42" ht="12" customHeight="1" x14ac:dyDescent="0.25">
      <c r="A53" s="2"/>
      <c r="C53" s="7"/>
      <c r="AP53" s="15" t="str">
        <f t="shared" si="0"/>
        <v/>
      </c>
    </row>
    <row r="54" spans="1:42" ht="12" customHeight="1" x14ac:dyDescent="0.25">
      <c r="A54" s="2"/>
      <c r="C54" s="7"/>
      <c r="AP54" s="15" t="str">
        <f t="shared" si="0"/>
        <v/>
      </c>
    </row>
    <row r="55" spans="1:42" ht="12" customHeight="1" x14ac:dyDescent="0.25">
      <c r="A55" s="2"/>
      <c r="C55" s="7"/>
      <c r="AP55" s="15" t="str">
        <f t="shared" si="0"/>
        <v/>
      </c>
    </row>
    <row r="56" spans="1:42" ht="12" customHeight="1" x14ac:dyDescent="0.25">
      <c r="A56" s="2"/>
      <c r="C56" s="7"/>
      <c r="AP56" s="15" t="str">
        <f t="shared" si="0"/>
        <v/>
      </c>
    </row>
    <row r="57" spans="1:42" ht="12" customHeight="1" x14ac:dyDescent="0.25">
      <c r="A57" s="2"/>
      <c r="C57" s="7"/>
      <c r="F57" s="31"/>
      <c r="AP57" s="15" t="str">
        <f t="shared" si="0"/>
        <v/>
      </c>
    </row>
    <row r="58" spans="1:42" ht="12" customHeight="1" x14ac:dyDescent="0.25">
      <c r="A58" s="2"/>
      <c r="C58" s="7"/>
      <c r="AP58" s="15" t="str">
        <f t="shared" si="0"/>
        <v/>
      </c>
    </row>
    <row r="59" spans="1:42" ht="12" customHeight="1" x14ac:dyDescent="0.25">
      <c r="A59" s="2"/>
      <c r="C59" s="7"/>
      <c r="AP59" s="15" t="str">
        <f t="shared" si="0"/>
        <v/>
      </c>
    </row>
    <row r="60" spans="1:42" ht="12" customHeight="1" x14ac:dyDescent="0.25">
      <c r="A60" s="2"/>
      <c r="C60" s="7"/>
      <c r="AP60" s="15" t="str">
        <f t="shared" si="0"/>
        <v/>
      </c>
    </row>
    <row r="61" spans="1:42" ht="12" customHeight="1" x14ac:dyDescent="0.25">
      <c r="A61" s="2"/>
      <c r="C61" s="7"/>
      <c r="AP61" s="15" t="str">
        <f t="shared" si="0"/>
        <v/>
      </c>
    </row>
    <row r="62" spans="1:42" ht="12" customHeight="1" x14ac:dyDescent="0.25">
      <c r="A62" s="2"/>
      <c r="C62" s="7"/>
      <c r="AP62" s="15" t="str">
        <f t="shared" si="0"/>
        <v/>
      </c>
    </row>
    <row r="63" spans="1:42" ht="12" customHeight="1" x14ac:dyDescent="0.25">
      <c r="A63" s="2"/>
      <c r="C63" s="7"/>
      <c r="AP63" s="15" t="str">
        <f t="shared" si="0"/>
        <v/>
      </c>
    </row>
    <row r="64" spans="1:42" ht="12" customHeight="1" x14ac:dyDescent="0.25">
      <c r="A64" s="2"/>
      <c r="C64" s="7"/>
      <c r="AP64" s="15" t="str">
        <f t="shared" si="0"/>
        <v/>
      </c>
    </row>
    <row r="65" spans="1:42" ht="12" customHeight="1" x14ac:dyDescent="0.25">
      <c r="A65" s="2"/>
      <c r="C65" s="7"/>
      <c r="AP65" s="15" t="str">
        <f t="shared" si="0"/>
        <v/>
      </c>
    </row>
    <row r="66" spans="1:42" ht="12" customHeight="1" x14ac:dyDescent="0.25">
      <c r="A66" s="2"/>
      <c r="C66" s="7"/>
      <c r="AP66" s="15" t="str">
        <f t="shared" si="0"/>
        <v/>
      </c>
    </row>
    <row r="67" spans="1:42" ht="12" customHeight="1" x14ac:dyDescent="0.25">
      <c r="A67" s="2"/>
      <c r="C67" s="7"/>
      <c r="AP67" s="15" t="str">
        <f t="shared" si="0"/>
        <v/>
      </c>
    </row>
    <row r="68" spans="1:42" ht="12" customHeight="1" x14ac:dyDescent="0.25">
      <c r="A68" s="2"/>
      <c r="C68" s="7"/>
      <c r="AP68" s="15" t="str">
        <f t="shared" si="0"/>
        <v/>
      </c>
    </row>
    <row r="69" spans="1:42" ht="12" customHeight="1" x14ac:dyDescent="0.25">
      <c r="A69" s="2"/>
      <c r="C69" s="7"/>
      <c r="AP69" s="15" t="str">
        <f t="shared" si="0"/>
        <v/>
      </c>
    </row>
    <row r="70" spans="1:42" ht="12" customHeight="1" x14ac:dyDescent="0.25">
      <c r="A70" s="2"/>
      <c r="C70" s="7"/>
      <c r="AP70" s="15" t="str">
        <f t="shared" si="0"/>
        <v/>
      </c>
    </row>
    <row r="71" spans="1:42" ht="12" customHeight="1" x14ac:dyDescent="0.25">
      <c r="A71" s="2"/>
      <c r="C71" s="7"/>
      <c r="AP71" s="15" t="str">
        <f t="shared" si="0"/>
        <v/>
      </c>
    </row>
    <row r="72" spans="1:42" ht="12" customHeight="1" x14ac:dyDescent="0.25">
      <c r="A72" s="2"/>
      <c r="C72" s="7"/>
      <c r="AP72" s="15" t="str">
        <f t="shared" ref="AP72:AP135" si="1">IF(AO72="", "", AO72&amp;"["&amp;AN72&amp;"]")</f>
        <v/>
      </c>
    </row>
    <row r="73" spans="1:42" ht="12" customHeight="1" x14ac:dyDescent="0.25">
      <c r="A73" s="2"/>
      <c r="C73" s="7"/>
      <c r="AP73" s="15" t="str">
        <f t="shared" si="1"/>
        <v/>
      </c>
    </row>
    <row r="74" spans="1:42" ht="12" customHeight="1" x14ac:dyDescent="0.25">
      <c r="A74" s="2"/>
      <c r="C74" s="7"/>
      <c r="AP74" s="15" t="str">
        <f t="shared" si="1"/>
        <v/>
      </c>
    </row>
    <row r="75" spans="1:42" ht="12" customHeight="1" x14ac:dyDescent="0.25">
      <c r="A75" s="2"/>
      <c r="C75" s="7"/>
      <c r="AP75" s="15" t="str">
        <f t="shared" si="1"/>
        <v/>
      </c>
    </row>
    <row r="76" spans="1:42" ht="12" customHeight="1" x14ac:dyDescent="0.25">
      <c r="A76" s="2"/>
      <c r="C76" s="7"/>
      <c r="AP76" s="15" t="str">
        <f t="shared" si="1"/>
        <v/>
      </c>
    </row>
    <row r="77" spans="1:42" ht="12" customHeight="1" x14ac:dyDescent="0.25">
      <c r="A77" s="2"/>
      <c r="C77" s="7"/>
      <c r="AP77" s="15" t="str">
        <f t="shared" si="1"/>
        <v/>
      </c>
    </row>
    <row r="78" spans="1:42" ht="12" customHeight="1" x14ac:dyDescent="0.25">
      <c r="A78" s="2"/>
      <c r="C78" s="7"/>
      <c r="AP78" s="15" t="str">
        <f t="shared" si="1"/>
        <v/>
      </c>
    </row>
    <row r="79" spans="1:42" ht="12" customHeight="1" x14ac:dyDescent="0.25">
      <c r="A79" s="2"/>
      <c r="C79" s="7"/>
      <c r="AP79" s="15" t="str">
        <f t="shared" si="1"/>
        <v/>
      </c>
    </row>
    <row r="80" spans="1:42" ht="12" customHeight="1" x14ac:dyDescent="0.25">
      <c r="A80" s="2"/>
      <c r="C80" s="7"/>
      <c r="AP80" s="15" t="str">
        <f t="shared" si="1"/>
        <v/>
      </c>
    </row>
    <row r="81" spans="1:42" ht="12" customHeight="1" x14ac:dyDescent="0.25">
      <c r="A81" s="2"/>
      <c r="C81" s="7"/>
      <c r="AP81" s="15" t="str">
        <f t="shared" si="1"/>
        <v/>
      </c>
    </row>
    <row r="82" spans="1:42" ht="12" customHeight="1" x14ac:dyDescent="0.25">
      <c r="A82" s="2"/>
      <c r="C82" s="7"/>
      <c r="AP82" s="15" t="str">
        <f t="shared" si="1"/>
        <v/>
      </c>
    </row>
    <row r="83" spans="1:42" ht="12" customHeight="1" x14ac:dyDescent="0.25">
      <c r="A83" s="2"/>
      <c r="C83" s="7"/>
      <c r="AP83" s="15" t="str">
        <f t="shared" si="1"/>
        <v/>
      </c>
    </row>
    <row r="84" spans="1:42" ht="12" customHeight="1" x14ac:dyDescent="0.25">
      <c r="A84" s="2"/>
      <c r="C84" s="7"/>
      <c r="AP84" s="15" t="str">
        <f t="shared" si="1"/>
        <v/>
      </c>
    </row>
    <row r="85" spans="1:42" ht="12" customHeight="1" x14ac:dyDescent="0.25">
      <c r="A85" s="2"/>
      <c r="C85" s="7"/>
      <c r="AP85" s="15" t="str">
        <f t="shared" si="1"/>
        <v/>
      </c>
    </row>
    <row r="86" spans="1:42" ht="12" customHeight="1" x14ac:dyDescent="0.25">
      <c r="A86" s="2"/>
      <c r="C86" s="7"/>
      <c r="AP86" s="15" t="str">
        <f t="shared" si="1"/>
        <v/>
      </c>
    </row>
    <row r="87" spans="1:42" ht="12" customHeight="1" x14ac:dyDescent="0.25">
      <c r="A87" s="2"/>
      <c r="C87" s="7"/>
      <c r="AP87" s="15" t="str">
        <f t="shared" si="1"/>
        <v/>
      </c>
    </row>
    <row r="88" spans="1:42" ht="12" customHeight="1" x14ac:dyDescent="0.25">
      <c r="A88" s="2"/>
      <c r="C88" s="7"/>
      <c r="AP88" s="15" t="str">
        <f t="shared" si="1"/>
        <v/>
      </c>
    </row>
    <row r="89" spans="1:42" ht="12" customHeight="1" x14ac:dyDescent="0.25">
      <c r="A89" s="2"/>
      <c r="C89" s="7"/>
      <c r="AP89" s="15" t="str">
        <f t="shared" si="1"/>
        <v/>
      </c>
    </row>
    <row r="90" spans="1:42" ht="12" customHeight="1" x14ac:dyDescent="0.25">
      <c r="A90" s="2"/>
      <c r="C90" s="7"/>
      <c r="AP90" s="15" t="str">
        <f t="shared" si="1"/>
        <v/>
      </c>
    </row>
    <row r="91" spans="1:42" ht="12" customHeight="1" x14ac:dyDescent="0.25">
      <c r="A91" s="2"/>
      <c r="C91" s="7"/>
      <c r="AP91" s="15" t="str">
        <f t="shared" si="1"/>
        <v/>
      </c>
    </row>
    <row r="92" spans="1:42" ht="12" customHeight="1" x14ac:dyDescent="0.25">
      <c r="A92" s="2"/>
      <c r="C92" s="7"/>
      <c r="AP92" s="15" t="str">
        <f t="shared" si="1"/>
        <v/>
      </c>
    </row>
    <row r="93" spans="1:42" ht="12" customHeight="1" x14ac:dyDescent="0.25">
      <c r="A93" s="2"/>
      <c r="C93" s="7"/>
      <c r="AP93" s="15" t="str">
        <f t="shared" si="1"/>
        <v/>
      </c>
    </row>
    <row r="94" spans="1:42" ht="12" customHeight="1" x14ac:dyDescent="0.25">
      <c r="A94" s="2"/>
      <c r="C94" s="7"/>
      <c r="AP94" s="15" t="str">
        <f t="shared" si="1"/>
        <v/>
      </c>
    </row>
    <row r="95" spans="1:42" ht="12" customHeight="1" x14ac:dyDescent="0.25">
      <c r="A95" s="2"/>
      <c r="C95" s="7"/>
      <c r="AP95" s="15" t="str">
        <f t="shared" si="1"/>
        <v/>
      </c>
    </row>
    <row r="96" spans="1:42" ht="12" customHeight="1" x14ac:dyDescent="0.25">
      <c r="A96" s="2"/>
      <c r="C96" s="7"/>
      <c r="AP96" s="15" t="str">
        <f t="shared" si="1"/>
        <v/>
      </c>
    </row>
    <row r="97" spans="1:42" ht="12" customHeight="1" x14ac:dyDescent="0.25">
      <c r="A97" s="2"/>
      <c r="C97" s="7"/>
      <c r="AP97" s="15" t="str">
        <f t="shared" si="1"/>
        <v/>
      </c>
    </row>
    <row r="98" spans="1:42" ht="12" customHeight="1" x14ac:dyDescent="0.25">
      <c r="A98" s="2"/>
      <c r="C98" s="7"/>
      <c r="AP98" s="15" t="str">
        <f t="shared" si="1"/>
        <v/>
      </c>
    </row>
    <row r="99" spans="1:42" ht="12" customHeight="1" x14ac:dyDescent="0.25">
      <c r="A99" s="2"/>
      <c r="C99" s="7"/>
      <c r="AP99" s="15" t="str">
        <f t="shared" si="1"/>
        <v/>
      </c>
    </row>
    <row r="100" spans="1:42" ht="12" customHeight="1" x14ac:dyDescent="0.25">
      <c r="A100" s="2"/>
      <c r="C100" s="7"/>
      <c r="AP100" s="15" t="str">
        <f t="shared" si="1"/>
        <v/>
      </c>
    </row>
    <row r="101" spans="1:42" ht="12" customHeight="1" x14ac:dyDescent="0.25">
      <c r="A101" s="2"/>
      <c r="C101" s="7"/>
      <c r="AP101" s="15" t="str">
        <f t="shared" si="1"/>
        <v/>
      </c>
    </row>
    <row r="102" spans="1:42" ht="12" customHeight="1" x14ac:dyDescent="0.25">
      <c r="A102" s="2"/>
      <c r="C102" s="7"/>
      <c r="AP102" s="15" t="str">
        <f t="shared" si="1"/>
        <v/>
      </c>
    </row>
    <row r="103" spans="1:42" ht="12" customHeight="1" x14ac:dyDescent="0.25">
      <c r="A103" s="2"/>
      <c r="C103" s="7"/>
      <c r="AP103" s="15" t="str">
        <f t="shared" si="1"/>
        <v/>
      </c>
    </row>
    <row r="104" spans="1:42" ht="12" customHeight="1" x14ac:dyDescent="0.25">
      <c r="A104" s="2"/>
      <c r="C104" s="7"/>
      <c r="AP104" s="15" t="str">
        <f t="shared" si="1"/>
        <v/>
      </c>
    </row>
    <row r="105" spans="1:42" ht="12" customHeight="1" x14ac:dyDescent="0.25">
      <c r="A105" s="2"/>
      <c r="C105" s="7"/>
      <c r="AP105" s="15" t="str">
        <f t="shared" si="1"/>
        <v/>
      </c>
    </row>
    <row r="106" spans="1:42" ht="12" customHeight="1" x14ac:dyDescent="0.25">
      <c r="A106" s="2"/>
      <c r="C106" s="7"/>
      <c r="AP106" s="15" t="str">
        <f t="shared" si="1"/>
        <v/>
      </c>
    </row>
    <row r="107" spans="1:42" ht="12" customHeight="1" x14ac:dyDescent="0.25">
      <c r="A107" s="2"/>
      <c r="C107" s="7"/>
      <c r="AP107" s="15" t="str">
        <f t="shared" si="1"/>
        <v/>
      </c>
    </row>
    <row r="108" spans="1:42" ht="12" customHeight="1" x14ac:dyDescent="0.25">
      <c r="A108" s="2"/>
      <c r="C108" s="7"/>
      <c r="AP108" s="15" t="str">
        <f t="shared" si="1"/>
        <v/>
      </c>
    </row>
    <row r="109" spans="1:42" ht="12" customHeight="1" x14ac:dyDescent="0.25">
      <c r="A109" s="2"/>
      <c r="C109" s="7"/>
      <c r="AP109" s="15" t="str">
        <f t="shared" si="1"/>
        <v/>
      </c>
    </row>
    <row r="110" spans="1:42" ht="12" customHeight="1" x14ac:dyDescent="0.25">
      <c r="A110" s="2"/>
      <c r="C110" s="7"/>
      <c r="AP110" s="15" t="str">
        <f t="shared" si="1"/>
        <v/>
      </c>
    </row>
    <row r="111" spans="1:42" ht="12" customHeight="1" x14ac:dyDescent="0.25">
      <c r="A111" s="2"/>
      <c r="C111" s="7"/>
      <c r="AP111" s="15" t="str">
        <f t="shared" si="1"/>
        <v/>
      </c>
    </row>
    <row r="112" spans="1:42" ht="12" customHeight="1" x14ac:dyDescent="0.25">
      <c r="A112" s="2"/>
      <c r="C112" s="7"/>
      <c r="AP112" s="15" t="str">
        <f t="shared" si="1"/>
        <v/>
      </c>
    </row>
    <row r="113" spans="1:42" ht="12" customHeight="1" x14ac:dyDescent="0.25">
      <c r="A113" s="2"/>
      <c r="C113" s="7"/>
      <c r="AP113" s="15" t="str">
        <f t="shared" si="1"/>
        <v/>
      </c>
    </row>
    <row r="114" spans="1:42" ht="12" customHeight="1" x14ac:dyDescent="0.25">
      <c r="A114" s="2"/>
      <c r="C114" s="7"/>
      <c r="AP114" s="15" t="str">
        <f t="shared" si="1"/>
        <v/>
      </c>
    </row>
    <row r="115" spans="1:42" ht="12" customHeight="1" x14ac:dyDescent="0.25">
      <c r="A115" s="2"/>
      <c r="C115" s="7"/>
      <c r="AP115" s="15" t="str">
        <f t="shared" si="1"/>
        <v/>
      </c>
    </row>
    <row r="116" spans="1:42" ht="12" customHeight="1" x14ac:dyDescent="0.25">
      <c r="A116" s="2"/>
      <c r="C116" s="7"/>
      <c r="AP116" s="15" t="str">
        <f t="shared" si="1"/>
        <v/>
      </c>
    </row>
    <row r="117" spans="1:42" ht="12" customHeight="1" x14ac:dyDescent="0.25">
      <c r="A117" s="2"/>
      <c r="C117" s="7"/>
      <c r="AP117" s="15" t="str">
        <f t="shared" si="1"/>
        <v/>
      </c>
    </row>
    <row r="118" spans="1:42" ht="12" customHeight="1" x14ac:dyDescent="0.25">
      <c r="A118" s="2"/>
      <c r="C118" s="7"/>
      <c r="AP118" s="15" t="str">
        <f t="shared" si="1"/>
        <v/>
      </c>
    </row>
    <row r="119" spans="1:42" ht="12" customHeight="1" x14ac:dyDescent="0.25">
      <c r="A119" s="2"/>
      <c r="C119" s="7"/>
      <c r="AP119" s="15" t="str">
        <f t="shared" si="1"/>
        <v/>
      </c>
    </row>
    <row r="120" spans="1:42" ht="12" customHeight="1" x14ac:dyDescent="0.25">
      <c r="A120" s="2"/>
      <c r="C120" s="7"/>
      <c r="AP120" s="15" t="str">
        <f t="shared" si="1"/>
        <v/>
      </c>
    </row>
    <row r="121" spans="1:42" ht="12" customHeight="1" x14ac:dyDescent="0.25">
      <c r="A121" s="2"/>
      <c r="C121" s="7"/>
      <c r="AP121" s="15" t="str">
        <f t="shared" si="1"/>
        <v/>
      </c>
    </row>
    <row r="122" spans="1:42" ht="12" customHeight="1" x14ac:dyDescent="0.25">
      <c r="A122" s="2"/>
      <c r="C122" s="7"/>
      <c r="AP122" s="15" t="str">
        <f t="shared" si="1"/>
        <v/>
      </c>
    </row>
    <row r="123" spans="1:42" ht="12" customHeight="1" x14ac:dyDescent="0.25">
      <c r="A123" s="2"/>
      <c r="C123" s="7"/>
      <c r="AP123" s="15" t="str">
        <f t="shared" si="1"/>
        <v/>
      </c>
    </row>
    <row r="124" spans="1:42" ht="12" customHeight="1" x14ac:dyDescent="0.25">
      <c r="A124" s="2"/>
      <c r="C124" s="7"/>
      <c r="AP124" s="15" t="str">
        <f t="shared" si="1"/>
        <v/>
      </c>
    </row>
    <row r="125" spans="1:42" ht="12" customHeight="1" x14ac:dyDescent="0.25">
      <c r="A125" s="2"/>
      <c r="C125" s="7"/>
      <c r="AP125" s="15" t="str">
        <f t="shared" si="1"/>
        <v/>
      </c>
    </row>
    <row r="126" spans="1:42" ht="12" customHeight="1" x14ac:dyDescent="0.25">
      <c r="A126" s="2"/>
      <c r="C126" s="7"/>
      <c r="AP126" s="15" t="str">
        <f t="shared" si="1"/>
        <v/>
      </c>
    </row>
    <row r="127" spans="1:42" ht="12" customHeight="1" x14ac:dyDescent="0.25">
      <c r="A127" s="2"/>
      <c r="C127" s="7"/>
      <c r="AP127" s="15" t="str">
        <f t="shared" si="1"/>
        <v/>
      </c>
    </row>
    <row r="128" spans="1:42" ht="12" customHeight="1" x14ac:dyDescent="0.25">
      <c r="A128" s="2"/>
      <c r="C128" s="7"/>
      <c r="AP128" s="15" t="str">
        <f t="shared" si="1"/>
        <v/>
      </c>
    </row>
    <row r="129" spans="1:42" ht="12" customHeight="1" x14ac:dyDescent="0.25">
      <c r="A129" s="2"/>
      <c r="C129" s="7"/>
      <c r="AP129" s="15" t="str">
        <f t="shared" si="1"/>
        <v/>
      </c>
    </row>
    <row r="130" spans="1:42" ht="12" customHeight="1" x14ac:dyDescent="0.25">
      <c r="A130" s="2"/>
      <c r="C130" s="7"/>
      <c r="AP130" s="15" t="str">
        <f t="shared" si="1"/>
        <v/>
      </c>
    </row>
    <row r="131" spans="1:42" ht="12" customHeight="1" x14ac:dyDescent="0.25">
      <c r="A131" s="2"/>
      <c r="C131" s="7"/>
      <c r="AP131" s="15" t="str">
        <f t="shared" si="1"/>
        <v/>
      </c>
    </row>
    <row r="132" spans="1:42" ht="12" customHeight="1" x14ac:dyDescent="0.25">
      <c r="A132" s="2"/>
      <c r="C132" s="7"/>
      <c r="AP132" s="15" t="str">
        <f t="shared" si="1"/>
        <v/>
      </c>
    </row>
    <row r="133" spans="1:42" ht="12" customHeight="1" x14ac:dyDescent="0.25">
      <c r="A133" s="2"/>
      <c r="C133" s="7"/>
      <c r="AP133" s="15" t="str">
        <f t="shared" si="1"/>
        <v/>
      </c>
    </row>
    <row r="134" spans="1:42" ht="12" customHeight="1" x14ac:dyDescent="0.25">
      <c r="A134" s="2"/>
      <c r="C134" s="7"/>
      <c r="AP134" s="15" t="str">
        <f t="shared" si="1"/>
        <v/>
      </c>
    </row>
    <row r="135" spans="1:42" ht="12" customHeight="1" x14ac:dyDescent="0.25">
      <c r="A135" s="2"/>
      <c r="C135" s="7"/>
      <c r="AP135" s="15" t="str">
        <f t="shared" si="1"/>
        <v/>
      </c>
    </row>
    <row r="136" spans="1:42" ht="12" customHeight="1" x14ac:dyDescent="0.25">
      <c r="A136" s="2"/>
      <c r="C136" s="7"/>
      <c r="AP136" s="15" t="str">
        <f t="shared" ref="AP136:AP199" si="2">IF(AO136="", "", AO136&amp;"["&amp;AN136&amp;"]")</f>
        <v/>
      </c>
    </row>
    <row r="137" spans="1:42" ht="12" customHeight="1" x14ac:dyDescent="0.25">
      <c r="A137" s="2"/>
      <c r="C137" s="7"/>
      <c r="AP137" s="15" t="str">
        <f t="shared" si="2"/>
        <v/>
      </c>
    </row>
    <row r="138" spans="1:42" ht="12" customHeight="1" x14ac:dyDescent="0.25">
      <c r="A138" s="2"/>
      <c r="C138" s="7"/>
      <c r="AP138" s="15" t="str">
        <f t="shared" si="2"/>
        <v/>
      </c>
    </row>
    <row r="139" spans="1:42" ht="12" customHeight="1" x14ac:dyDescent="0.25">
      <c r="A139" s="2"/>
      <c r="C139" s="7"/>
      <c r="AP139" s="15" t="str">
        <f t="shared" si="2"/>
        <v/>
      </c>
    </row>
    <row r="140" spans="1:42" ht="12" customHeight="1" x14ac:dyDescent="0.25">
      <c r="A140" s="2"/>
      <c r="C140" s="7"/>
      <c r="AP140" s="15" t="str">
        <f t="shared" si="2"/>
        <v/>
      </c>
    </row>
    <row r="141" spans="1:42" ht="12" customHeight="1" x14ac:dyDescent="0.25">
      <c r="A141" s="2"/>
      <c r="C141" s="7"/>
      <c r="AP141" s="15" t="str">
        <f t="shared" si="2"/>
        <v/>
      </c>
    </row>
    <row r="142" spans="1:42" ht="12" customHeight="1" x14ac:dyDescent="0.25">
      <c r="A142" s="2"/>
      <c r="C142" s="7"/>
      <c r="AP142" s="15" t="str">
        <f t="shared" si="2"/>
        <v/>
      </c>
    </row>
    <row r="143" spans="1:42" ht="12" customHeight="1" x14ac:dyDescent="0.25">
      <c r="A143" s="2"/>
      <c r="C143" s="7"/>
      <c r="AP143" s="15" t="str">
        <f t="shared" si="2"/>
        <v/>
      </c>
    </row>
    <row r="144" spans="1:42" ht="12" customHeight="1" x14ac:dyDescent="0.25">
      <c r="A144" s="2"/>
      <c r="C144" s="7"/>
      <c r="AP144" s="15" t="str">
        <f t="shared" si="2"/>
        <v/>
      </c>
    </row>
    <row r="145" spans="1:42" ht="12" customHeight="1" x14ac:dyDescent="0.25">
      <c r="A145" s="2"/>
      <c r="C145" s="7"/>
      <c r="AP145" s="15" t="str">
        <f t="shared" si="2"/>
        <v/>
      </c>
    </row>
    <row r="146" spans="1:42" ht="12" customHeight="1" x14ac:dyDescent="0.25">
      <c r="A146" s="2"/>
      <c r="C146" s="7"/>
      <c r="AP146" s="15" t="str">
        <f t="shared" si="2"/>
        <v/>
      </c>
    </row>
    <row r="147" spans="1:42" ht="12" customHeight="1" x14ac:dyDescent="0.25">
      <c r="A147" s="2"/>
      <c r="C147" s="7"/>
      <c r="AP147" s="15" t="str">
        <f t="shared" si="2"/>
        <v/>
      </c>
    </row>
    <row r="148" spans="1:42" ht="12" customHeight="1" x14ac:dyDescent="0.25">
      <c r="A148" s="2"/>
      <c r="C148" s="7"/>
      <c r="AP148" s="15" t="str">
        <f t="shared" si="2"/>
        <v/>
      </c>
    </row>
    <row r="149" spans="1:42" ht="12" customHeight="1" x14ac:dyDescent="0.25">
      <c r="A149" s="2"/>
      <c r="C149" s="7"/>
      <c r="AP149" s="15" t="str">
        <f t="shared" si="2"/>
        <v/>
      </c>
    </row>
    <row r="150" spans="1:42" ht="12" customHeight="1" x14ac:dyDescent="0.25">
      <c r="A150" s="2"/>
      <c r="C150" s="7"/>
      <c r="AP150" s="15" t="str">
        <f t="shared" si="2"/>
        <v/>
      </c>
    </row>
    <row r="151" spans="1:42" ht="12" customHeight="1" x14ac:dyDescent="0.25">
      <c r="A151" s="2"/>
      <c r="C151" s="7"/>
      <c r="AP151" s="15" t="str">
        <f t="shared" si="2"/>
        <v/>
      </c>
    </row>
    <row r="152" spans="1:42" ht="12" customHeight="1" x14ac:dyDescent="0.25">
      <c r="A152" s="2"/>
      <c r="C152" s="7"/>
      <c r="AP152" s="15" t="str">
        <f t="shared" si="2"/>
        <v/>
      </c>
    </row>
    <row r="153" spans="1:42" ht="12" customHeight="1" x14ac:dyDescent="0.25">
      <c r="A153" s="2"/>
      <c r="C153" s="7"/>
      <c r="AP153" s="15" t="str">
        <f t="shared" si="2"/>
        <v/>
      </c>
    </row>
    <row r="154" spans="1:42" ht="12" customHeight="1" x14ac:dyDescent="0.25">
      <c r="A154" s="2"/>
      <c r="C154" s="7"/>
      <c r="AP154" s="15" t="str">
        <f t="shared" si="2"/>
        <v/>
      </c>
    </row>
    <row r="155" spans="1:42" ht="12" customHeight="1" x14ac:dyDescent="0.25">
      <c r="A155" s="2"/>
      <c r="C155" s="7"/>
      <c r="AP155" s="15" t="str">
        <f t="shared" si="2"/>
        <v/>
      </c>
    </row>
    <row r="156" spans="1:42" ht="12" customHeight="1" x14ac:dyDescent="0.25">
      <c r="A156" s="2"/>
      <c r="C156" s="7"/>
      <c r="AP156" s="15" t="str">
        <f t="shared" si="2"/>
        <v/>
      </c>
    </row>
    <row r="157" spans="1:42" ht="12" customHeight="1" x14ac:dyDescent="0.25">
      <c r="A157" s="2"/>
      <c r="C157" s="7"/>
      <c r="AP157" s="15" t="str">
        <f t="shared" si="2"/>
        <v/>
      </c>
    </row>
    <row r="158" spans="1:42" ht="12" customHeight="1" x14ac:dyDescent="0.25">
      <c r="A158" s="2"/>
      <c r="C158" s="7"/>
      <c r="AP158" s="15" t="str">
        <f t="shared" si="2"/>
        <v/>
      </c>
    </row>
    <row r="159" spans="1:42" ht="12" customHeight="1" x14ac:dyDescent="0.25">
      <c r="A159" s="2"/>
      <c r="C159" s="7"/>
      <c r="AP159" s="15" t="str">
        <f t="shared" si="2"/>
        <v/>
      </c>
    </row>
    <row r="160" spans="1:42" ht="12" customHeight="1" x14ac:dyDescent="0.25">
      <c r="A160" s="2"/>
      <c r="C160" s="7"/>
      <c r="AP160" s="15" t="str">
        <f t="shared" si="2"/>
        <v/>
      </c>
    </row>
    <row r="161" spans="1:42" ht="12" customHeight="1" x14ac:dyDescent="0.25">
      <c r="A161" s="2"/>
      <c r="C161" s="7"/>
      <c r="AP161" s="15" t="str">
        <f t="shared" si="2"/>
        <v/>
      </c>
    </row>
    <row r="162" spans="1:42" ht="12" customHeight="1" x14ac:dyDescent="0.25">
      <c r="A162" s="2"/>
      <c r="C162" s="7"/>
      <c r="AP162" s="15" t="str">
        <f t="shared" si="2"/>
        <v/>
      </c>
    </row>
    <row r="163" spans="1:42" ht="12" customHeight="1" x14ac:dyDescent="0.25">
      <c r="A163" s="2"/>
      <c r="C163" s="7"/>
      <c r="AP163" s="15" t="str">
        <f t="shared" si="2"/>
        <v/>
      </c>
    </row>
    <row r="164" spans="1:42" ht="12" customHeight="1" x14ac:dyDescent="0.25">
      <c r="A164" s="2"/>
      <c r="C164" s="7"/>
      <c r="AP164" s="15" t="str">
        <f t="shared" si="2"/>
        <v/>
      </c>
    </row>
    <row r="165" spans="1:42" ht="12" customHeight="1" x14ac:dyDescent="0.25">
      <c r="A165" s="2"/>
      <c r="C165" s="7"/>
      <c r="AP165" s="15" t="str">
        <f t="shared" si="2"/>
        <v/>
      </c>
    </row>
    <row r="166" spans="1:42" ht="12" customHeight="1" x14ac:dyDescent="0.25">
      <c r="A166" s="2"/>
      <c r="C166" s="7"/>
      <c r="AP166" s="15" t="str">
        <f t="shared" si="2"/>
        <v/>
      </c>
    </row>
    <row r="167" spans="1:42" ht="12" customHeight="1" x14ac:dyDescent="0.25">
      <c r="A167" s="2"/>
      <c r="C167" s="7"/>
      <c r="AP167" s="15" t="str">
        <f t="shared" si="2"/>
        <v/>
      </c>
    </row>
    <row r="168" spans="1:42" ht="12" customHeight="1" x14ac:dyDescent="0.25">
      <c r="A168" s="2"/>
      <c r="C168" s="7"/>
      <c r="AP168" s="15" t="str">
        <f t="shared" si="2"/>
        <v/>
      </c>
    </row>
    <row r="169" spans="1:42" ht="12" customHeight="1" x14ac:dyDescent="0.25">
      <c r="A169" s="2"/>
      <c r="C169" s="7"/>
      <c r="AP169" s="15" t="str">
        <f t="shared" si="2"/>
        <v/>
      </c>
    </row>
    <row r="170" spans="1:42" ht="12" customHeight="1" x14ac:dyDescent="0.25">
      <c r="A170" s="2"/>
      <c r="C170" s="7"/>
      <c r="AP170" s="15" t="str">
        <f t="shared" si="2"/>
        <v/>
      </c>
    </row>
    <row r="171" spans="1:42" ht="12" customHeight="1" x14ac:dyDescent="0.25">
      <c r="A171" s="2"/>
      <c r="C171" s="7"/>
      <c r="AP171" s="15" t="str">
        <f t="shared" si="2"/>
        <v/>
      </c>
    </row>
    <row r="172" spans="1:42" ht="12" customHeight="1" x14ac:dyDescent="0.25">
      <c r="A172" s="2"/>
      <c r="C172" s="7"/>
      <c r="AP172" s="15" t="str">
        <f t="shared" si="2"/>
        <v/>
      </c>
    </row>
    <row r="173" spans="1:42" ht="12" customHeight="1" x14ac:dyDescent="0.25">
      <c r="A173" s="2"/>
      <c r="C173" s="7"/>
      <c r="AP173" s="15" t="str">
        <f t="shared" si="2"/>
        <v/>
      </c>
    </row>
    <row r="174" spans="1:42" ht="12" customHeight="1" x14ac:dyDescent="0.25">
      <c r="A174" s="2"/>
      <c r="C174" s="7"/>
      <c r="AP174" s="15" t="str">
        <f t="shared" si="2"/>
        <v/>
      </c>
    </row>
    <row r="175" spans="1:42" ht="12" customHeight="1" x14ac:dyDescent="0.25">
      <c r="A175" s="2"/>
      <c r="C175" s="7"/>
      <c r="AP175" s="15" t="str">
        <f t="shared" si="2"/>
        <v/>
      </c>
    </row>
    <row r="176" spans="1:42" ht="12" customHeight="1" x14ac:dyDescent="0.25">
      <c r="A176" s="2"/>
      <c r="C176" s="7"/>
      <c r="AP176" s="15" t="str">
        <f t="shared" si="2"/>
        <v/>
      </c>
    </row>
    <row r="177" spans="1:42" ht="12" customHeight="1" x14ac:dyDescent="0.25">
      <c r="A177" s="2"/>
      <c r="C177" s="7"/>
      <c r="AP177" s="15" t="str">
        <f t="shared" si="2"/>
        <v/>
      </c>
    </row>
    <row r="178" spans="1:42" ht="12" customHeight="1" x14ac:dyDescent="0.25">
      <c r="A178" s="2"/>
      <c r="C178" s="7"/>
      <c r="AP178" s="15" t="str">
        <f t="shared" si="2"/>
        <v/>
      </c>
    </row>
    <row r="179" spans="1:42" ht="12" customHeight="1" x14ac:dyDescent="0.25">
      <c r="A179" s="2"/>
      <c r="C179" s="7"/>
      <c r="AP179" s="15" t="str">
        <f t="shared" si="2"/>
        <v/>
      </c>
    </row>
    <row r="180" spans="1:42" ht="12" customHeight="1" x14ac:dyDescent="0.25">
      <c r="A180" s="2"/>
      <c r="C180" s="7"/>
      <c r="AP180" s="15" t="str">
        <f t="shared" si="2"/>
        <v/>
      </c>
    </row>
    <row r="181" spans="1:42" ht="12" customHeight="1" x14ac:dyDescent="0.25">
      <c r="A181" s="2"/>
      <c r="C181" s="7"/>
      <c r="AP181" s="15" t="str">
        <f t="shared" si="2"/>
        <v/>
      </c>
    </row>
    <row r="182" spans="1:42" ht="12" customHeight="1" x14ac:dyDescent="0.25">
      <c r="A182" s="2"/>
      <c r="C182" s="7"/>
      <c r="AP182" s="15" t="str">
        <f t="shared" si="2"/>
        <v/>
      </c>
    </row>
    <row r="183" spans="1:42" ht="12" customHeight="1" x14ac:dyDescent="0.25">
      <c r="A183" s="2"/>
      <c r="C183" s="7"/>
      <c r="AP183" s="15" t="str">
        <f t="shared" si="2"/>
        <v/>
      </c>
    </row>
    <row r="184" spans="1:42" ht="12" customHeight="1" x14ac:dyDescent="0.25">
      <c r="A184" s="2"/>
      <c r="C184" s="7"/>
      <c r="AP184" s="15" t="str">
        <f t="shared" si="2"/>
        <v/>
      </c>
    </row>
    <row r="185" spans="1:42" ht="12" customHeight="1" x14ac:dyDescent="0.25">
      <c r="A185" s="2"/>
      <c r="C185" s="7"/>
      <c r="AP185" s="15" t="str">
        <f t="shared" si="2"/>
        <v/>
      </c>
    </row>
    <row r="186" spans="1:42" ht="12" customHeight="1" x14ac:dyDescent="0.25">
      <c r="A186" s="2"/>
      <c r="C186" s="7"/>
      <c r="AP186" s="15" t="str">
        <f t="shared" si="2"/>
        <v/>
      </c>
    </row>
    <row r="187" spans="1:42" ht="12" customHeight="1" x14ac:dyDescent="0.25">
      <c r="A187" s="2"/>
      <c r="C187" s="7"/>
      <c r="AP187" s="15" t="str">
        <f t="shared" si="2"/>
        <v/>
      </c>
    </row>
    <row r="188" spans="1:42" ht="12" customHeight="1" x14ac:dyDescent="0.25">
      <c r="A188" s="2"/>
      <c r="C188" s="7"/>
      <c r="AP188" s="15" t="str">
        <f t="shared" si="2"/>
        <v/>
      </c>
    </row>
    <row r="189" spans="1:42" ht="12" customHeight="1" x14ac:dyDescent="0.25">
      <c r="A189" s="2"/>
      <c r="C189" s="7"/>
      <c r="AP189" s="15" t="str">
        <f t="shared" si="2"/>
        <v/>
      </c>
    </row>
    <row r="190" spans="1:42" ht="12" customHeight="1" x14ac:dyDescent="0.25">
      <c r="A190" s="2"/>
      <c r="C190" s="7"/>
      <c r="AP190" s="15" t="str">
        <f t="shared" si="2"/>
        <v/>
      </c>
    </row>
    <row r="191" spans="1:42" ht="12" customHeight="1" x14ac:dyDescent="0.25">
      <c r="A191" s="2"/>
      <c r="C191" s="7"/>
      <c r="AP191" s="15" t="str">
        <f t="shared" si="2"/>
        <v/>
      </c>
    </row>
    <row r="192" spans="1:42" ht="12" customHeight="1" x14ac:dyDescent="0.25">
      <c r="A192" s="2"/>
      <c r="C192" s="7"/>
      <c r="AP192" s="15" t="str">
        <f t="shared" si="2"/>
        <v/>
      </c>
    </row>
    <row r="193" spans="1:42" ht="12" customHeight="1" x14ac:dyDescent="0.25">
      <c r="A193" s="2"/>
      <c r="C193" s="7"/>
      <c r="AP193" s="15" t="str">
        <f t="shared" si="2"/>
        <v/>
      </c>
    </row>
    <row r="194" spans="1:42" ht="12" customHeight="1" x14ac:dyDescent="0.25">
      <c r="A194" s="2"/>
      <c r="C194" s="7"/>
      <c r="AP194" s="15" t="str">
        <f t="shared" si="2"/>
        <v/>
      </c>
    </row>
    <row r="195" spans="1:42" ht="12" customHeight="1" x14ac:dyDescent="0.25">
      <c r="A195" s="2"/>
      <c r="C195" s="7"/>
      <c r="AP195" s="15" t="str">
        <f t="shared" si="2"/>
        <v/>
      </c>
    </row>
    <row r="196" spans="1:42" ht="12" customHeight="1" x14ac:dyDescent="0.25">
      <c r="A196" s="2"/>
      <c r="C196" s="7"/>
      <c r="AP196" s="15" t="str">
        <f t="shared" si="2"/>
        <v/>
      </c>
    </row>
    <row r="197" spans="1:42" ht="12" customHeight="1" x14ac:dyDescent="0.25">
      <c r="A197" s="2"/>
      <c r="C197" s="7"/>
      <c r="AP197" s="15" t="str">
        <f t="shared" si="2"/>
        <v/>
      </c>
    </row>
    <row r="198" spans="1:42" ht="12" customHeight="1" x14ac:dyDescent="0.25">
      <c r="A198" s="2"/>
      <c r="C198" s="7"/>
      <c r="AP198" s="15" t="str">
        <f t="shared" si="2"/>
        <v/>
      </c>
    </row>
    <row r="199" spans="1:42" ht="12" customHeight="1" x14ac:dyDescent="0.25">
      <c r="A199" s="2"/>
      <c r="C199" s="7"/>
      <c r="AP199" s="15" t="str">
        <f t="shared" si="2"/>
        <v/>
      </c>
    </row>
    <row r="200" spans="1:42" ht="12" customHeight="1" x14ac:dyDescent="0.25">
      <c r="A200" s="2"/>
      <c r="C200" s="7"/>
      <c r="AP200" s="15" t="str">
        <f t="shared" ref="AP200:AP263" si="3">IF(AO200="", "", AO200&amp;"["&amp;AN200&amp;"]")</f>
        <v/>
      </c>
    </row>
    <row r="201" spans="1:42" ht="12" customHeight="1" x14ac:dyDescent="0.25">
      <c r="A201" s="2"/>
      <c r="C201" s="7"/>
      <c r="AP201" s="15" t="str">
        <f t="shared" si="3"/>
        <v/>
      </c>
    </row>
    <row r="202" spans="1:42" ht="12" customHeight="1" x14ac:dyDescent="0.25">
      <c r="A202" s="2"/>
      <c r="C202" s="7"/>
      <c r="AP202" s="15" t="str">
        <f t="shared" si="3"/>
        <v/>
      </c>
    </row>
    <row r="203" spans="1:42" ht="12" customHeight="1" x14ac:dyDescent="0.25">
      <c r="A203" s="2"/>
      <c r="C203" s="7"/>
      <c r="AP203" s="15" t="str">
        <f t="shared" si="3"/>
        <v/>
      </c>
    </row>
    <row r="204" spans="1:42" ht="12" customHeight="1" x14ac:dyDescent="0.25">
      <c r="A204" s="2"/>
      <c r="C204" s="7"/>
      <c r="AP204" s="15" t="str">
        <f t="shared" si="3"/>
        <v/>
      </c>
    </row>
    <row r="205" spans="1:42" ht="12" customHeight="1" x14ac:dyDescent="0.25">
      <c r="A205" s="2"/>
      <c r="C205" s="7"/>
      <c r="AP205" s="15" t="str">
        <f t="shared" si="3"/>
        <v/>
      </c>
    </row>
    <row r="206" spans="1:42" ht="12" customHeight="1" x14ac:dyDescent="0.25">
      <c r="A206" s="2"/>
      <c r="C206" s="7"/>
      <c r="AP206" s="15" t="str">
        <f t="shared" si="3"/>
        <v/>
      </c>
    </row>
    <row r="207" spans="1:42" ht="12" customHeight="1" x14ac:dyDescent="0.25">
      <c r="A207" s="2"/>
      <c r="C207" s="7"/>
      <c r="AP207" s="15" t="str">
        <f t="shared" si="3"/>
        <v/>
      </c>
    </row>
    <row r="208" spans="1:42" ht="12" customHeight="1" x14ac:dyDescent="0.25">
      <c r="A208" s="2"/>
      <c r="C208" s="7"/>
      <c r="AP208" s="15" t="str">
        <f t="shared" si="3"/>
        <v/>
      </c>
    </row>
    <row r="209" spans="1:42" ht="12" customHeight="1" x14ac:dyDescent="0.25">
      <c r="A209" s="2"/>
      <c r="C209" s="7"/>
      <c r="AP209" s="15" t="str">
        <f t="shared" si="3"/>
        <v/>
      </c>
    </row>
    <row r="210" spans="1:42" ht="12" customHeight="1" x14ac:dyDescent="0.25">
      <c r="A210" s="2"/>
      <c r="C210" s="7"/>
      <c r="AP210" s="15" t="str">
        <f t="shared" si="3"/>
        <v/>
      </c>
    </row>
    <row r="211" spans="1:42" ht="12" customHeight="1" x14ac:dyDescent="0.25">
      <c r="A211" s="2"/>
      <c r="C211" s="7"/>
      <c r="AP211" s="15" t="str">
        <f t="shared" si="3"/>
        <v/>
      </c>
    </row>
    <row r="212" spans="1:42" ht="12" customHeight="1" x14ac:dyDescent="0.25">
      <c r="A212" s="2"/>
      <c r="C212" s="7"/>
      <c r="AP212" s="15" t="str">
        <f t="shared" si="3"/>
        <v/>
      </c>
    </row>
    <row r="213" spans="1:42" ht="12" customHeight="1" x14ac:dyDescent="0.25">
      <c r="A213" s="2"/>
      <c r="C213" s="7"/>
      <c r="AP213" s="15" t="str">
        <f t="shared" si="3"/>
        <v/>
      </c>
    </row>
    <row r="214" spans="1:42" ht="12" customHeight="1" x14ac:dyDescent="0.25">
      <c r="A214" s="2"/>
      <c r="C214" s="7"/>
      <c r="AP214" s="15" t="str">
        <f t="shared" si="3"/>
        <v/>
      </c>
    </row>
    <row r="215" spans="1:42" ht="12" customHeight="1" x14ac:dyDescent="0.25">
      <c r="A215" s="2"/>
      <c r="C215" s="7"/>
      <c r="AP215" s="15" t="str">
        <f t="shared" si="3"/>
        <v/>
      </c>
    </row>
    <row r="216" spans="1:42" ht="12" customHeight="1" x14ac:dyDescent="0.25">
      <c r="A216" s="2"/>
      <c r="C216" s="7"/>
      <c r="AP216" s="15" t="str">
        <f t="shared" si="3"/>
        <v/>
      </c>
    </row>
    <row r="217" spans="1:42" ht="12" customHeight="1" x14ac:dyDescent="0.25">
      <c r="A217" s="2"/>
      <c r="C217" s="7"/>
      <c r="AP217" s="15" t="str">
        <f t="shared" si="3"/>
        <v/>
      </c>
    </row>
    <row r="218" spans="1:42" ht="12" customHeight="1" x14ac:dyDescent="0.25">
      <c r="A218" s="2"/>
      <c r="C218" s="7"/>
      <c r="AP218" s="15" t="str">
        <f t="shared" si="3"/>
        <v/>
      </c>
    </row>
    <row r="219" spans="1:42" ht="12" customHeight="1" x14ac:dyDescent="0.25">
      <c r="A219" s="2"/>
      <c r="C219" s="7"/>
      <c r="AP219" s="15" t="str">
        <f t="shared" si="3"/>
        <v/>
      </c>
    </row>
    <row r="220" spans="1:42" ht="12" customHeight="1" x14ac:dyDescent="0.25">
      <c r="A220" s="2"/>
      <c r="C220" s="7"/>
      <c r="AP220" s="15" t="str">
        <f t="shared" si="3"/>
        <v/>
      </c>
    </row>
    <row r="221" spans="1:42" ht="12" customHeight="1" x14ac:dyDescent="0.25">
      <c r="A221" s="2"/>
      <c r="C221" s="7"/>
      <c r="AP221" s="15" t="str">
        <f t="shared" si="3"/>
        <v/>
      </c>
    </row>
    <row r="222" spans="1:42" ht="12" customHeight="1" x14ac:dyDescent="0.25">
      <c r="A222" s="2"/>
      <c r="C222" s="7"/>
      <c r="AP222" s="15" t="str">
        <f t="shared" si="3"/>
        <v/>
      </c>
    </row>
    <row r="223" spans="1:42" ht="12" customHeight="1" x14ac:dyDescent="0.25">
      <c r="A223" s="2"/>
      <c r="C223" s="7"/>
      <c r="AP223" s="15" t="str">
        <f t="shared" si="3"/>
        <v/>
      </c>
    </row>
    <row r="224" spans="1:42" ht="12" customHeight="1" x14ac:dyDescent="0.25">
      <c r="A224" s="2"/>
      <c r="C224" s="7"/>
      <c r="AP224" s="15" t="str">
        <f t="shared" si="3"/>
        <v/>
      </c>
    </row>
    <row r="225" spans="1:42" ht="12" customHeight="1" x14ac:dyDescent="0.25">
      <c r="A225" s="2"/>
      <c r="C225" s="7"/>
      <c r="AP225" s="15" t="str">
        <f t="shared" si="3"/>
        <v/>
      </c>
    </row>
    <row r="226" spans="1:42" ht="12" customHeight="1" x14ac:dyDescent="0.25">
      <c r="A226" s="2"/>
      <c r="C226" s="7"/>
      <c r="AP226" s="15" t="str">
        <f t="shared" si="3"/>
        <v/>
      </c>
    </row>
    <row r="227" spans="1:42" ht="12" customHeight="1" x14ac:dyDescent="0.25">
      <c r="A227" s="2"/>
      <c r="C227" s="7"/>
      <c r="AP227" s="15" t="str">
        <f t="shared" si="3"/>
        <v/>
      </c>
    </row>
    <row r="228" spans="1:42" ht="12" customHeight="1" x14ac:dyDescent="0.25">
      <c r="A228" s="2"/>
      <c r="C228" s="7"/>
      <c r="AP228" s="15" t="str">
        <f t="shared" si="3"/>
        <v/>
      </c>
    </row>
    <row r="229" spans="1:42" ht="12" customHeight="1" x14ac:dyDescent="0.25">
      <c r="A229" s="2"/>
      <c r="C229" s="7"/>
      <c r="AP229" s="15" t="str">
        <f t="shared" si="3"/>
        <v/>
      </c>
    </row>
    <row r="230" spans="1:42" ht="12" customHeight="1" x14ac:dyDescent="0.25">
      <c r="A230" s="2"/>
      <c r="C230" s="7"/>
      <c r="AP230" s="15" t="str">
        <f t="shared" si="3"/>
        <v/>
      </c>
    </row>
    <row r="231" spans="1:42" ht="12" customHeight="1" x14ac:dyDescent="0.25">
      <c r="A231" s="2"/>
      <c r="C231" s="7"/>
      <c r="AP231" s="15" t="str">
        <f t="shared" si="3"/>
        <v/>
      </c>
    </row>
    <row r="232" spans="1:42" ht="12" customHeight="1" x14ac:dyDescent="0.25">
      <c r="A232" s="2"/>
      <c r="C232" s="7"/>
      <c r="AP232" s="15" t="str">
        <f t="shared" si="3"/>
        <v/>
      </c>
    </row>
    <row r="233" spans="1:42" ht="12" customHeight="1" x14ac:dyDescent="0.25">
      <c r="A233" s="2"/>
      <c r="C233" s="7"/>
      <c r="AP233" s="15" t="str">
        <f t="shared" si="3"/>
        <v/>
      </c>
    </row>
    <row r="234" spans="1:42" ht="12" customHeight="1" x14ac:dyDescent="0.25">
      <c r="A234" s="2"/>
      <c r="C234" s="7"/>
      <c r="AP234" s="15" t="str">
        <f t="shared" si="3"/>
        <v/>
      </c>
    </row>
    <row r="235" spans="1:42" ht="12" customHeight="1" x14ac:dyDescent="0.25">
      <c r="A235" s="2"/>
      <c r="C235" s="7"/>
      <c r="AP235" s="15" t="str">
        <f t="shared" si="3"/>
        <v/>
      </c>
    </row>
    <row r="236" spans="1:42" ht="12" customHeight="1" x14ac:dyDescent="0.25">
      <c r="A236" s="2"/>
      <c r="C236" s="7"/>
      <c r="AP236" s="15" t="str">
        <f t="shared" si="3"/>
        <v/>
      </c>
    </row>
    <row r="237" spans="1:42" ht="12" customHeight="1" x14ac:dyDescent="0.25">
      <c r="A237" s="2"/>
      <c r="C237" s="7"/>
      <c r="AP237" s="15" t="str">
        <f t="shared" si="3"/>
        <v/>
      </c>
    </row>
    <row r="238" spans="1:42" ht="12" customHeight="1" x14ac:dyDescent="0.25">
      <c r="A238" s="2"/>
      <c r="C238" s="7"/>
      <c r="AP238" s="15" t="str">
        <f t="shared" si="3"/>
        <v/>
      </c>
    </row>
    <row r="239" spans="1:42" ht="12" customHeight="1" x14ac:dyDescent="0.25">
      <c r="A239" s="2"/>
      <c r="C239" s="7"/>
      <c r="AP239" s="15" t="str">
        <f t="shared" si="3"/>
        <v/>
      </c>
    </row>
    <row r="240" spans="1:42" ht="12" customHeight="1" x14ac:dyDescent="0.25">
      <c r="A240" s="2"/>
      <c r="C240" s="7"/>
      <c r="AP240" s="15" t="str">
        <f t="shared" si="3"/>
        <v/>
      </c>
    </row>
    <row r="241" spans="1:42" ht="12" customHeight="1" x14ac:dyDescent="0.25">
      <c r="A241" s="2"/>
      <c r="C241" s="7"/>
      <c r="AP241" s="15" t="str">
        <f t="shared" si="3"/>
        <v/>
      </c>
    </row>
    <row r="242" spans="1:42" ht="12" customHeight="1" x14ac:dyDescent="0.25">
      <c r="A242" s="2"/>
      <c r="C242" s="7"/>
      <c r="AP242" s="15" t="str">
        <f t="shared" si="3"/>
        <v/>
      </c>
    </row>
    <row r="243" spans="1:42" ht="12" customHeight="1" x14ac:dyDescent="0.25">
      <c r="A243" s="2"/>
      <c r="C243" s="7"/>
      <c r="AP243" s="15" t="str">
        <f t="shared" si="3"/>
        <v/>
      </c>
    </row>
    <row r="244" spans="1:42" ht="12" customHeight="1" x14ac:dyDescent="0.25">
      <c r="A244" s="2"/>
      <c r="C244" s="7"/>
      <c r="AP244" s="15" t="str">
        <f t="shared" si="3"/>
        <v/>
      </c>
    </row>
    <row r="245" spans="1:42" ht="12" customHeight="1" x14ac:dyDescent="0.25">
      <c r="A245" s="2"/>
      <c r="C245" s="7"/>
      <c r="AP245" s="15" t="str">
        <f t="shared" si="3"/>
        <v/>
      </c>
    </row>
    <row r="246" spans="1:42" ht="12" customHeight="1" x14ac:dyDescent="0.25">
      <c r="A246" s="2"/>
      <c r="C246" s="7"/>
      <c r="AP246" s="15" t="str">
        <f t="shared" si="3"/>
        <v/>
      </c>
    </row>
    <row r="247" spans="1:42" ht="12" customHeight="1" x14ac:dyDescent="0.25">
      <c r="A247" s="2"/>
      <c r="C247" s="7"/>
      <c r="AP247" s="15" t="str">
        <f t="shared" si="3"/>
        <v/>
      </c>
    </row>
    <row r="248" spans="1:42" ht="12" customHeight="1" x14ac:dyDescent="0.25">
      <c r="A248" s="2"/>
      <c r="C248" s="7"/>
      <c r="AP248" s="15" t="str">
        <f t="shared" si="3"/>
        <v/>
      </c>
    </row>
    <row r="249" spans="1:42" ht="12" customHeight="1" x14ac:dyDescent="0.25">
      <c r="A249" s="2"/>
      <c r="C249" s="7"/>
      <c r="AP249" s="15" t="str">
        <f t="shared" si="3"/>
        <v/>
      </c>
    </row>
    <row r="250" spans="1:42" ht="12" customHeight="1" x14ac:dyDescent="0.25">
      <c r="A250" s="2"/>
      <c r="C250" s="7"/>
      <c r="AP250" s="15" t="str">
        <f t="shared" si="3"/>
        <v/>
      </c>
    </row>
    <row r="251" spans="1:42" ht="12" customHeight="1" x14ac:dyDescent="0.25">
      <c r="A251" s="2"/>
      <c r="C251" s="7"/>
      <c r="AP251" s="15" t="str">
        <f t="shared" si="3"/>
        <v/>
      </c>
    </row>
    <row r="252" spans="1:42" ht="12" customHeight="1" x14ac:dyDescent="0.25">
      <c r="A252" s="2"/>
      <c r="C252" s="7"/>
      <c r="AP252" s="15" t="str">
        <f t="shared" si="3"/>
        <v/>
      </c>
    </row>
    <row r="253" spans="1:42" ht="12" customHeight="1" x14ac:dyDescent="0.25">
      <c r="A253" s="2"/>
      <c r="C253" s="7"/>
      <c r="AP253" s="15" t="str">
        <f t="shared" si="3"/>
        <v/>
      </c>
    </row>
    <row r="254" spans="1:42" ht="12" customHeight="1" x14ac:dyDescent="0.25">
      <c r="A254" s="2"/>
      <c r="C254" s="7"/>
      <c r="AP254" s="15" t="str">
        <f t="shared" si="3"/>
        <v/>
      </c>
    </row>
    <row r="255" spans="1:42" ht="12" customHeight="1" x14ac:dyDescent="0.25">
      <c r="A255" s="2"/>
      <c r="C255" s="7"/>
      <c r="AP255" s="15" t="str">
        <f t="shared" si="3"/>
        <v/>
      </c>
    </row>
    <row r="256" spans="1:42" ht="12" customHeight="1" x14ac:dyDescent="0.25">
      <c r="A256" s="2"/>
      <c r="C256" s="7"/>
      <c r="AP256" s="15" t="str">
        <f t="shared" si="3"/>
        <v/>
      </c>
    </row>
    <row r="257" spans="1:42" ht="12" customHeight="1" x14ac:dyDescent="0.25">
      <c r="A257" s="2"/>
      <c r="C257" s="7"/>
      <c r="AP257" s="15" t="str">
        <f t="shared" si="3"/>
        <v/>
      </c>
    </row>
    <row r="258" spans="1:42" ht="12" customHeight="1" x14ac:dyDescent="0.25">
      <c r="A258" s="2"/>
      <c r="C258" s="7"/>
      <c r="AP258" s="15" t="str">
        <f t="shared" si="3"/>
        <v/>
      </c>
    </row>
    <row r="259" spans="1:42" ht="12" customHeight="1" x14ac:dyDescent="0.25">
      <c r="A259" s="2"/>
      <c r="C259" s="7"/>
      <c r="AP259" s="15" t="str">
        <f t="shared" si="3"/>
        <v/>
      </c>
    </row>
    <row r="260" spans="1:42" ht="12" customHeight="1" x14ac:dyDescent="0.25">
      <c r="A260" s="2"/>
      <c r="C260" s="7"/>
      <c r="AP260" s="15" t="str">
        <f t="shared" si="3"/>
        <v/>
      </c>
    </row>
    <row r="261" spans="1:42" ht="12" customHeight="1" x14ac:dyDescent="0.25">
      <c r="A261" s="2"/>
      <c r="C261" s="7"/>
      <c r="AP261" s="15" t="str">
        <f t="shared" si="3"/>
        <v/>
      </c>
    </row>
    <row r="262" spans="1:42" ht="12" customHeight="1" x14ac:dyDescent="0.25">
      <c r="A262" s="2"/>
      <c r="C262" s="7"/>
      <c r="AP262" s="15" t="str">
        <f t="shared" si="3"/>
        <v/>
      </c>
    </row>
    <row r="263" spans="1:42" ht="12" customHeight="1" x14ac:dyDescent="0.25">
      <c r="A263" s="2"/>
      <c r="C263" s="7"/>
      <c r="AP263" s="15" t="str">
        <f t="shared" si="3"/>
        <v/>
      </c>
    </row>
    <row r="264" spans="1:42" ht="12" customHeight="1" x14ac:dyDescent="0.25">
      <c r="A264" s="2"/>
      <c r="C264" s="7"/>
      <c r="AP264" s="15" t="str">
        <f t="shared" ref="AP264:AP327" si="4">IF(AO264="", "", AO264&amp;"["&amp;AN264&amp;"]")</f>
        <v/>
      </c>
    </row>
    <row r="265" spans="1:42" ht="12" customHeight="1" x14ac:dyDescent="0.25">
      <c r="A265" s="2"/>
      <c r="C265" s="7"/>
      <c r="AP265" s="15" t="str">
        <f t="shared" si="4"/>
        <v/>
      </c>
    </row>
    <row r="266" spans="1:42" ht="12" customHeight="1" x14ac:dyDescent="0.25">
      <c r="A266" s="2"/>
      <c r="C266" s="7"/>
      <c r="AP266" s="15" t="str">
        <f t="shared" si="4"/>
        <v/>
      </c>
    </row>
    <row r="267" spans="1:42" ht="12" customHeight="1" x14ac:dyDescent="0.25">
      <c r="A267" s="2"/>
      <c r="C267" s="7"/>
      <c r="AP267" s="15" t="str">
        <f t="shared" si="4"/>
        <v/>
      </c>
    </row>
    <row r="268" spans="1:42" ht="12" customHeight="1" x14ac:dyDescent="0.25">
      <c r="A268" s="2"/>
      <c r="C268" s="7"/>
      <c r="AP268" s="15" t="str">
        <f t="shared" si="4"/>
        <v/>
      </c>
    </row>
    <row r="269" spans="1:42" ht="12" customHeight="1" x14ac:dyDescent="0.25">
      <c r="A269" s="2"/>
      <c r="C269" s="7"/>
      <c r="AP269" s="15" t="str">
        <f t="shared" si="4"/>
        <v/>
      </c>
    </row>
    <row r="270" spans="1:42" ht="12" customHeight="1" x14ac:dyDescent="0.25">
      <c r="A270" s="2"/>
      <c r="C270" s="7"/>
      <c r="AP270" s="15" t="str">
        <f t="shared" si="4"/>
        <v/>
      </c>
    </row>
    <row r="271" spans="1:42" ht="12" customHeight="1" x14ac:dyDescent="0.25">
      <c r="A271" s="2"/>
      <c r="C271" s="7"/>
      <c r="AP271" s="15" t="str">
        <f t="shared" si="4"/>
        <v/>
      </c>
    </row>
    <row r="272" spans="1:42" ht="12" customHeight="1" x14ac:dyDescent="0.25">
      <c r="A272" s="2"/>
      <c r="C272" s="7"/>
      <c r="AP272" s="15" t="str">
        <f t="shared" si="4"/>
        <v/>
      </c>
    </row>
    <row r="273" spans="1:42" ht="12" customHeight="1" x14ac:dyDescent="0.25">
      <c r="A273" s="2"/>
      <c r="C273" s="7"/>
      <c r="AP273" s="15" t="str">
        <f t="shared" si="4"/>
        <v/>
      </c>
    </row>
    <row r="274" spans="1:42" ht="12" customHeight="1" x14ac:dyDescent="0.25">
      <c r="A274" s="2"/>
      <c r="C274" s="7"/>
      <c r="AP274" s="15" t="str">
        <f t="shared" si="4"/>
        <v/>
      </c>
    </row>
    <row r="275" spans="1:42" ht="12" customHeight="1" x14ac:dyDescent="0.25">
      <c r="A275" s="2"/>
      <c r="C275" s="7"/>
      <c r="AP275" s="15" t="str">
        <f t="shared" si="4"/>
        <v/>
      </c>
    </row>
    <row r="276" spans="1:42" ht="12" customHeight="1" x14ac:dyDescent="0.25">
      <c r="A276" s="2"/>
      <c r="C276" s="7"/>
      <c r="AP276" s="15" t="str">
        <f t="shared" si="4"/>
        <v/>
      </c>
    </row>
    <row r="277" spans="1:42" ht="12" customHeight="1" x14ac:dyDescent="0.25">
      <c r="A277" s="2"/>
      <c r="C277" s="7"/>
      <c r="AP277" s="15" t="str">
        <f t="shared" si="4"/>
        <v/>
      </c>
    </row>
    <row r="278" spans="1:42" ht="12" customHeight="1" x14ac:dyDescent="0.25">
      <c r="A278" s="2"/>
      <c r="C278" s="7"/>
      <c r="AP278" s="15" t="str">
        <f t="shared" si="4"/>
        <v/>
      </c>
    </row>
    <row r="279" spans="1:42" ht="12" customHeight="1" x14ac:dyDescent="0.25">
      <c r="A279" s="2"/>
      <c r="C279" s="7"/>
      <c r="AP279" s="15" t="str">
        <f t="shared" si="4"/>
        <v/>
      </c>
    </row>
    <row r="280" spans="1:42" ht="12" customHeight="1" x14ac:dyDescent="0.25">
      <c r="A280" s="2"/>
      <c r="C280" s="7"/>
      <c r="AP280" s="15" t="str">
        <f t="shared" si="4"/>
        <v/>
      </c>
    </row>
    <row r="281" spans="1:42" ht="12" customHeight="1" x14ac:dyDescent="0.25">
      <c r="A281" s="2"/>
      <c r="C281" s="7"/>
      <c r="AP281" s="15" t="str">
        <f t="shared" si="4"/>
        <v/>
      </c>
    </row>
    <row r="282" spans="1:42" ht="12" customHeight="1" x14ac:dyDescent="0.25">
      <c r="A282" s="2"/>
      <c r="C282" s="7"/>
      <c r="AP282" s="15" t="str">
        <f t="shared" si="4"/>
        <v/>
      </c>
    </row>
    <row r="283" spans="1:42" ht="12" customHeight="1" x14ac:dyDescent="0.25">
      <c r="A283" s="2"/>
      <c r="C283" s="7"/>
      <c r="AP283" s="15" t="str">
        <f t="shared" si="4"/>
        <v/>
      </c>
    </row>
    <row r="284" spans="1:42" ht="12" customHeight="1" x14ac:dyDescent="0.25">
      <c r="A284" s="2"/>
      <c r="C284" s="7"/>
      <c r="AP284" s="15" t="str">
        <f t="shared" si="4"/>
        <v/>
      </c>
    </row>
    <row r="285" spans="1:42" ht="12" customHeight="1" x14ac:dyDescent="0.25">
      <c r="A285" s="2"/>
      <c r="C285" s="7"/>
      <c r="AP285" s="15" t="str">
        <f t="shared" si="4"/>
        <v/>
      </c>
    </row>
    <row r="286" spans="1:42" ht="12" customHeight="1" x14ac:dyDescent="0.25">
      <c r="A286" s="2"/>
      <c r="C286" s="7"/>
      <c r="AP286" s="15" t="str">
        <f t="shared" si="4"/>
        <v/>
      </c>
    </row>
    <row r="287" spans="1:42" ht="12" customHeight="1" x14ac:dyDescent="0.25">
      <c r="A287" s="2"/>
      <c r="C287" s="7"/>
      <c r="AP287" s="15" t="str">
        <f t="shared" si="4"/>
        <v/>
      </c>
    </row>
    <row r="288" spans="1:42" ht="12" customHeight="1" x14ac:dyDescent="0.25">
      <c r="A288" s="2"/>
      <c r="C288" s="7"/>
      <c r="AP288" s="15" t="str">
        <f t="shared" si="4"/>
        <v/>
      </c>
    </row>
    <row r="289" spans="1:42" ht="12" customHeight="1" x14ac:dyDescent="0.25">
      <c r="A289" s="2"/>
      <c r="C289" s="7"/>
      <c r="AP289" s="15" t="str">
        <f t="shared" si="4"/>
        <v/>
      </c>
    </row>
    <row r="290" spans="1:42" ht="12" customHeight="1" x14ac:dyDescent="0.25">
      <c r="A290" s="2"/>
      <c r="C290" s="7"/>
      <c r="AP290" s="15" t="str">
        <f t="shared" si="4"/>
        <v/>
      </c>
    </row>
    <row r="291" spans="1:42" ht="12" customHeight="1" x14ac:dyDescent="0.25">
      <c r="A291" s="2"/>
      <c r="C291" s="7"/>
      <c r="AP291" s="15" t="str">
        <f t="shared" si="4"/>
        <v/>
      </c>
    </row>
    <row r="292" spans="1:42" ht="12" customHeight="1" x14ac:dyDescent="0.25">
      <c r="A292" s="2"/>
      <c r="C292" s="7"/>
      <c r="AP292" s="15" t="str">
        <f t="shared" si="4"/>
        <v/>
      </c>
    </row>
    <row r="293" spans="1:42" ht="12" customHeight="1" x14ac:dyDescent="0.25">
      <c r="A293" s="2"/>
      <c r="C293" s="7"/>
      <c r="AP293" s="15" t="str">
        <f t="shared" si="4"/>
        <v/>
      </c>
    </row>
    <row r="294" spans="1:42" ht="12" customHeight="1" x14ac:dyDescent="0.25">
      <c r="A294" s="2"/>
      <c r="C294" s="7"/>
      <c r="AP294" s="15" t="str">
        <f t="shared" si="4"/>
        <v/>
      </c>
    </row>
    <row r="295" spans="1:42" ht="12" customHeight="1" x14ac:dyDescent="0.25">
      <c r="A295" s="2"/>
      <c r="C295" s="7"/>
      <c r="AP295" s="15" t="str">
        <f t="shared" si="4"/>
        <v/>
      </c>
    </row>
    <row r="296" spans="1:42" ht="12" customHeight="1" x14ac:dyDescent="0.25">
      <c r="A296" s="2"/>
      <c r="C296" s="7"/>
      <c r="AP296" s="15" t="str">
        <f t="shared" si="4"/>
        <v/>
      </c>
    </row>
    <row r="297" spans="1:42" ht="12" customHeight="1" x14ac:dyDescent="0.25">
      <c r="A297" s="2"/>
      <c r="C297" s="7"/>
      <c r="AP297" s="15" t="str">
        <f t="shared" si="4"/>
        <v/>
      </c>
    </row>
    <row r="298" spans="1:42" ht="12" customHeight="1" x14ac:dyDescent="0.25">
      <c r="A298" s="2"/>
      <c r="C298" s="7"/>
      <c r="AP298" s="15" t="str">
        <f t="shared" si="4"/>
        <v/>
      </c>
    </row>
    <row r="299" spans="1:42" ht="12" customHeight="1" x14ac:dyDescent="0.25">
      <c r="A299" s="2"/>
      <c r="C299" s="7"/>
      <c r="AP299" s="15" t="str">
        <f t="shared" si="4"/>
        <v/>
      </c>
    </row>
    <row r="300" spans="1:42" ht="12" customHeight="1" x14ac:dyDescent="0.25">
      <c r="A300" s="2"/>
      <c r="C300" s="7"/>
      <c r="AP300" s="15" t="str">
        <f t="shared" si="4"/>
        <v/>
      </c>
    </row>
    <row r="301" spans="1:42" ht="12" customHeight="1" x14ac:dyDescent="0.25">
      <c r="A301" s="2"/>
      <c r="C301" s="7"/>
      <c r="AP301" s="15" t="str">
        <f t="shared" si="4"/>
        <v/>
      </c>
    </row>
    <row r="302" spans="1:42" ht="12" customHeight="1" x14ac:dyDescent="0.25">
      <c r="A302" s="2"/>
      <c r="C302" s="7"/>
      <c r="AP302" s="15" t="str">
        <f t="shared" si="4"/>
        <v/>
      </c>
    </row>
    <row r="303" spans="1:42" ht="12" customHeight="1" x14ac:dyDescent="0.25">
      <c r="A303" s="2"/>
      <c r="C303" s="7"/>
      <c r="AP303" s="15" t="str">
        <f t="shared" si="4"/>
        <v/>
      </c>
    </row>
    <row r="304" spans="1:42" ht="12" customHeight="1" x14ac:dyDescent="0.25">
      <c r="A304" s="2"/>
      <c r="C304" s="7"/>
      <c r="AP304" s="15" t="str">
        <f t="shared" si="4"/>
        <v/>
      </c>
    </row>
    <row r="305" spans="1:42" ht="12" customHeight="1" x14ac:dyDescent="0.25">
      <c r="A305" s="2"/>
      <c r="C305" s="7"/>
      <c r="AP305" s="15" t="str">
        <f t="shared" si="4"/>
        <v/>
      </c>
    </row>
    <row r="306" spans="1:42" ht="12" customHeight="1" x14ac:dyDescent="0.25">
      <c r="A306" s="2"/>
      <c r="C306" s="7"/>
      <c r="AP306" s="15" t="str">
        <f t="shared" si="4"/>
        <v/>
      </c>
    </row>
    <row r="307" spans="1:42" ht="12" customHeight="1" x14ac:dyDescent="0.25">
      <c r="A307" s="2"/>
      <c r="C307" s="7"/>
      <c r="AP307" s="15" t="str">
        <f t="shared" si="4"/>
        <v/>
      </c>
    </row>
    <row r="308" spans="1:42" ht="12" customHeight="1" x14ac:dyDescent="0.25">
      <c r="A308" s="2"/>
      <c r="C308" s="7"/>
      <c r="AP308" s="15" t="str">
        <f t="shared" si="4"/>
        <v/>
      </c>
    </row>
    <row r="309" spans="1:42" ht="12" customHeight="1" x14ac:dyDescent="0.25">
      <c r="A309" s="2"/>
      <c r="C309" s="7"/>
      <c r="AP309" s="15" t="str">
        <f t="shared" si="4"/>
        <v/>
      </c>
    </row>
    <row r="310" spans="1:42" ht="12" customHeight="1" x14ac:dyDescent="0.25">
      <c r="A310" s="2"/>
      <c r="C310" s="7"/>
      <c r="AP310" s="15" t="str">
        <f t="shared" si="4"/>
        <v/>
      </c>
    </row>
    <row r="311" spans="1:42" ht="12" customHeight="1" x14ac:dyDescent="0.25">
      <c r="A311" s="2"/>
      <c r="C311" s="7"/>
      <c r="AP311" s="15" t="str">
        <f t="shared" si="4"/>
        <v/>
      </c>
    </row>
    <row r="312" spans="1:42" ht="12" customHeight="1" x14ac:dyDescent="0.25">
      <c r="A312" s="2"/>
      <c r="C312" s="7"/>
      <c r="AP312" s="15" t="str">
        <f t="shared" si="4"/>
        <v/>
      </c>
    </row>
    <row r="313" spans="1:42" ht="12" customHeight="1" x14ac:dyDescent="0.25">
      <c r="A313" s="2"/>
      <c r="C313" s="7"/>
      <c r="AP313" s="15" t="str">
        <f t="shared" si="4"/>
        <v/>
      </c>
    </row>
    <row r="314" spans="1:42" ht="12" customHeight="1" x14ac:dyDescent="0.25">
      <c r="AP314" s="15" t="str">
        <f t="shared" si="4"/>
        <v/>
      </c>
    </row>
    <row r="315" spans="1:42" ht="12" customHeight="1" x14ac:dyDescent="0.25">
      <c r="AP315" s="15" t="str">
        <f t="shared" si="4"/>
        <v/>
      </c>
    </row>
    <row r="316" spans="1:42" ht="12" customHeight="1" x14ac:dyDescent="0.25">
      <c r="AP316" s="15" t="str">
        <f t="shared" si="4"/>
        <v/>
      </c>
    </row>
    <row r="317" spans="1:42" ht="12" customHeight="1" x14ac:dyDescent="0.25">
      <c r="AP317" s="15" t="str">
        <f t="shared" si="4"/>
        <v/>
      </c>
    </row>
    <row r="318" spans="1:42" ht="12" customHeight="1" x14ac:dyDescent="0.25">
      <c r="AP318" s="15" t="str">
        <f t="shared" si="4"/>
        <v/>
      </c>
    </row>
    <row r="319" spans="1:42" ht="12" customHeight="1" x14ac:dyDescent="0.25">
      <c r="AP319" s="15" t="str">
        <f t="shared" si="4"/>
        <v/>
      </c>
    </row>
    <row r="320" spans="1:42" ht="12" customHeight="1" x14ac:dyDescent="0.25">
      <c r="AP320" s="15" t="str">
        <f t="shared" si="4"/>
        <v/>
      </c>
    </row>
    <row r="321" spans="1:42" ht="12" customHeight="1" x14ac:dyDescent="0.25">
      <c r="AP321" s="15" t="str">
        <f t="shared" si="4"/>
        <v/>
      </c>
    </row>
    <row r="322" spans="1:42" ht="12" customHeight="1" x14ac:dyDescent="0.25">
      <c r="AP322" s="15" t="str">
        <f t="shared" si="4"/>
        <v/>
      </c>
    </row>
    <row r="323" spans="1:42" ht="12" customHeight="1" x14ac:dyDescent="0.25">
      <c r="AP323" s="15" t="str">
        <f t="shared" si="4"/>
        <v/>
      </c>
    </row>
    <row r="324" spans="1:42" ht="12" customHeight="1" x14ac:dyDescent="0.25">
      <c r="AP324" s="15" t="str">
        <f t="shared" si="4"/>
        <v/>
      </c>
    </row>
    <row r="325" spans="1:42" ht="12" customHeight="1" x14ac:dyDescent="0.25">
      <c r="AP325" s="15" t="str">
        <f t="shared" si="4"/>
        <v/>
      </c>
    </row>
    <row r="326" spans="1:42" ht="12" customHeight="1" x14ac:dyDescent="0.25">
      <c r="AP326" s="15" t="str">
        <f t="shared" si="4"/>
        <v/>
      </c>
    </row>
    <row r="327" spans="1:42" ht="12" customHeight="1" x14ac:dyDescent="0.25">
      <c r="AP327" s="15" t="str">
        <f t="shared" si="4"/>
        <v/>
      </c>
    </row>
    <row r="328" spans="1:42" ht="12" customHeight="1" x14ac:dyDescent="0.25">
      <c r="AP328" s="15" t="str">
        <f t="shared" ref="AP328:AP391" si="5">IF(AO328="", "", AO328&amp;"["&amp;AN328&amp;"]")</f>
        <v/>
      </c>
    </row>
    <row r="329" spans="1:42" ht="12" customHeight="1" x14ac:dyDescent="0.25">
      <c r="AP329" s="15" t="str">
        <f t="shared" si="5"/>
        <v/>
      </c>
    </row>
    <row r="330" spans="1:42" ht="12" customHeight="1" x14ac:dyDescent="0.25">
      <c r="AP330" s="15" t="str">
        <f t="shared" si="5"/>
        <v/>
      </c>
    </row>
    <row r="331" spans="1:42" ht="12" customHeight="1" x14ac:dyDescent="0.25">
      <c r="A331" s="2"/>
      <c r="C331" s="7"/>
      <c r="AP331" s="15" t="str">
        <f t="shared" si="5"/>
        <v/>
      </c>
    </row>
    <row r="332" spans="1:42" ht="12" customHeight="1" x14ac:dyDescent="0.25">
      <c r="A332" s="2"/>
      <c r="C332" s="7"/>
      <c r="AP332" s="15" t="str">
        <f t="shared" si="5"/>
        <v/>
      </c>
    </row>
    <row r="333" spans="1:42" ht="12" customHeight="1" x14ac:dyDescent="0.25">
      <c r="A333" s="2"/>
      <c r="C333" s="7"/>
      <c r="AP333" s="15" t="str">
        <f t="shared" si="5"/>
        <v/>
      </c>
    </row>
    <row r="334" spans="1:42" ht="12" customHeight="1" x14ac:dyDescent="0.25">
      <c r="A334" s="2"/>
      <c r="C334" s="7"/>
      <c r="AP334" s="15" t="str">
        <f t="shared" si="5"/>
        <v/>
      </c>
    </row>
    <row r="335" spans="1:42" ht="12" customHeight="1" x14ac:dyDescent="0.25">
      <c r="A335" s="2"/>
      <c r="C335" s="7"/>
      <c r="AP335" s="15" t="str">
        <f t="shared" si="5"/>
        <v/>
      </c>
    </row>
    <row r="336" spans="1:42" ht="12" customHeight="1" x14ac:dyDescent="0.25">
      <c r="A336" s="2"/>
      <c r="C336" s="7"/>
      <c r="AP336" s="15" t="str">
        <f t="shared" si="5"/>
        <v/>
      </c>
    </row>
    <row r="337" spans="1:42" ht="12" customHeight="1" x14ac:dyDescent="0.25">
      <c r="A337" s="2"/>
      <c r="C337" s="7"/>
      <c r="AP337" s="15" t="str">
        <f t="shared" si="5"/>
        <v/>
      </c>
    </row>
    <row r="338" spans="1:42" ht="12" customHeight="1" x14ac:dyDescent="0.25">
      <c r="A338" s="2"/>
      <c r="C338" s="7"/>
      <c r="AP338" s="15" t="str">
        <f t="shared" si="5"/>
        <v/>
      </c>
    </row>
    <row r="339" spans="1:42" ht="12" customHeight="1" x14ac:dyDescent="0.25">
      <c r="A339" s="2"/>
      <c r="C339" s="7"/>
      <c r="AP339" s="15" t="str">
        <f t="shared" si="5"/>
        <v/>
      </c>
    </row>
    <row r="340" spans="1:42" ht="12" customHeight="1" x14ac:dyDescent="0.25">
      <c r="A340" s="2"/>
      <c r="C340" s="7"/>
      <c r="AP340" s="15" t="str">
        <f t="shared" si="5"/>
        <v/>
      </c>
    </row>
    <row r="341" spans="1:42" ht="12" customHeight="1" x14ac:dyDescent="0.25">
      <c r="A341" s="2"/>
      <c r="C341" s="7"/>
      <c r="AP341" s="15" t="str">
        <f t="shared" si="5"/>
        <v/>
      </c>
    </row>
    <row r="342" spans="1:42" ht="12" customHeight="1" x14ac:dyDescent="0.25">
      <c r="A342" s="2"/>
      <c r="C342" s="7"/>
      <c r="AP342" s="15" t="str">
        <f t="shared" si="5"/>
        <v/>
      </c>
    </row>
    <row r="343" spans="1:42" ht="12" customHeight="1" x14ac:dyDescent="0.25">
      <c r="A343" s="2"/>
      <c r="C343" s="7"/>
      <c r="AP343" s="15" t="str">
        <f t="shared" si="5"/>
        <v/>
      </c>
    </row>
    <row r="344" spans="1:42" ht="12" customHeight="1" x14ac:dyDescent="0.25">
      <c r="A344" s="2"/>
      <c r="C344" s="7"/>
      <c r="AP344" s="15" t="str">
        <f t="shared" si="5"/>
        <v/>
      </c>
    </row>
    <row r="345" spans="1:42" ht="12" customHeight="1" x14ac:dyDescent="0.25">
      <c r="A345" s="2"/>
      <c r="C345" s="7"/>
      <c r="AP345" s="15" t="str">
        <f t="shared" si="5"/>
        <v/>
      </c>
    </row>
    <row r="346" spans="1:42" ht="12" customHeight="1" x14ac:dyDescent="0.25">
      <c r="A346" s="2"/>
      <c r="C346" s="7"/>
      <c r="AP346" s="15" t="str">
        <f t="shared" si="5"/>
        <v/>
      </c>
    </row>
    <row r="347" spans="1:42" ht="12" customHeight="1" x14ac:dyDescent="0.25">
      <c r="A347" s="2"/>
      <c r="C347" s="7"/>
      <c r="AP347" s="15" t="str">
        <f t="shared" si="5"/>
        <v/>
      </c>
    </row>
    <row r="348" spans="1:42" ht="12" customHeight="1" x14ac:dyDescent="0.25">
      <c r="A348" s="2"/>
      <c r="C348" s="7"/>
      <c r="AP348" s="15" t="str">
        <f t="shared" si="5"/>
        <v/>
      </c>
    </row>
    <row r="349" spans="1:42" ht="12" customHeight="1" x14ac:dyDescent="0.25">
      <c r="A349" s="2"/>
      <c r="C349" s="7"/>
      <c r="AP349" s="15" t="str">
        <f t="shared" si="5"/>
        <v/>
      </c>
    </row>
    <row r="350" spans="1:42" ht="12" customHeight="1" x14ac:dyDescent="0.25">
      <c r="A350" s="2"/>
      <c r="C350" s="7"/>
      <c r="AP350" s="15" t="str">
        <f t="shared" si="5"/>
        <v/>
      </c>
    </row>
    <row r="351" spans="1:42" ht="12" customHeight="1" x14ac:dyDescent="0.25">
      <c r="A351" s="2"/>
      <c r="C351" s="7"/>
      <c r="AP351" s="15" t="str">
        <f t="shared" si="5"/>
        <v/>
      </c>
    </row>
    <row r="352" spans="1:42" ht="12" customHeight="1" x14ac:dyDescent="0.25">
      <c r="AP352" s="15" t="str">
        <f t="shared" si="5"/>
        <v/>
      </c>
    </row>
    <row r="353" spans="42:42" ht="12" customHeight="1" x14ac:dyDescent="0.25">
      <c r="AP353" s="15" t="str">
        <f t="shared" si="5"/>
        <v/>
      </c>
    </row>
    <row r="354" spans="42:42" ht="12" customHeight="1" x14ac:dyDescent="0.25">
      <c r="AP354" s="15" t="str">
        <f t="shared" si="5"/>
        <v/>
      </c>
    </row>
    <row r="355" spans="42:42" ht="12" customHeight="1" x14ac:dyDescent="0.25">
      <c r="AP355" s="15" t="str">
        <f t="shared" si="5"/>
        <v/>
      </c>
    </row>
    <row r="356" spans="42:42" ht="12" customHeight="1" x14ac:dyDescent="0.25">
      <c r="AP356" s="15" t="str">
        <f t="shared" si="5"/>
        <v/>
      </c>
    </row>
    <row r="357" spans="42:42" ht="12" customHeight="1" x14ac:dyDescent="0.25">
      <c r="AP357" s="15" t="str">
        <f t="shared" si="5"/>
        <v/>
      </c>
    </row>
    <row r="358" spans="42:42" ht="12" customHeight="1" x14ac:dyDescent="0.25">
      <c r="AP358" s="15" t="str">
        <f t="shared" si="5"/>
        <v/>
      </c>
    </row>
    <row r="359" spans="42:42" ht="12" customHeight="1" x14ac:dyDescent="0.25">
      <c r="AP359" s="15" t="str">
        <f t="shared" si="5"/>
        <v/>
      </c>
    </row>
    <row r="360" spans="42:42" ht="12" customHeight="1" x14ac:dyDescent="0.25">
      <c r="AP360" s="15" t="str">
        <f t="shared" si="5"/>
        <v/>
      </c>
    </row>
    <row r="361" spans="42:42" ht="12" customHeight="1" x14ac:dyDescent="0.25">
      <c r="AP361" s="15" t="str">
        <f t="shared" si="5"/>
        <v/>
      </c>
    </row>
    <row r="362" spans="42:42" ht="12" customHeight="1" x14ac:dyDescent="0.25">
      <c r="AP362" s="15" t="str">
        <f t="shared" si="5"/>
        <v/>
      </c>
    </row>
    <row r="363" spans="42:42" ht="12" customHeight="1" x14ac:dyDescent="0.25">
      <c r="AP363" s="15" t="str">
        <f t="shared" si="5"/>
        <v/>
      </c>
    </row>
    <row r="364" spans="42:42" ht="12" customHeight="1" x14ac:dyDescent="0.25">
      <c r="AP364" s="15" t="str">
        <f t="shared" si="5"/>
        <v/>
      </c>
    </row>
    <row r="365" spans="42:42" ht="12" customHeight="1" x14ac:dyDescent="0.25">
      <c r="AP365" s="15" t="str">
        <f t="shared" si="5"/>
        <v/>
      </c>
    </row>
    <row r="366" spans="42:42" ht="12" customHeight="1" x14ac:dyDescent="0.25">
      <c r="AP366" s="15" t="str">
        <f t="shared" si="5"/>
        <v/>
      </c>
    </row>
    <row r="367" spans="42:42" ht="12" customHeight="1" x14ac:dyDescent="0.25">
      <c r="AP367" s="15" t="str">
        <f t="shared" si="5"/>
        <v/>
      </c>
    </row>
    <row r="368" spans="42:42" ht="12" customHeight="1" x14ac:dyDescent="0.25">
      <c r="AP368" s="15" t="str">
        <f t="shared" si="5"/>
        <v/>
      </c>
    </row>
    <row r="369" spans="42:42" ht="12" customHeight="1" x14ac:dyDescent="0.25">
      <c r="AP369" s="15" t="str">
        <f t="shared" si="5"/>
        <v/>
      </c>
    </row>
    <row r="370" spans="42:42" ht="12" customHeight="1" x14ac:dyDescent="0.25">
      <c r="AP370" s="15" t="str">
        <f t="shared" si="5"/>
        <v/>
      </c>
    </row>
    <row r="371" spans="42:42" ht="12" customHeight="1" x14ac:dyDescent="0.25">
      <c r="AP371" s="15" t="str">
        <f t="shared" si="5"/>
        <v/>
      </c>
    </row>
    <row r="372" spans="42:42" ht="12" customHeight="1" x14ac:dyDescent="0.25">
      <c r="AP372" s="15" t="str">
        <f t="shared" si="5"/>
        <v/>
      </c>
    </row>
    <row r="373" spans="42:42" ht="12" customHeight="1" x14ac:dyDescent="0.25">
      <c r="AP373" s="15" t="str">
        <f t="shared" si="5"/>
        <v/>
      </c>
    </row>
    <row r="374" spans="42:42" ht="12" customHeight="1" x14ac:dyDescent="0.25">
      <c r="AP374" s="15" t="str">
        <f t="shared" si="5"/>
        <v/>
      </c>
    </row>
    <row r="375" spans="42:42" ht="12" customHeight="1" x14ac:dyDescent="0.25">
      <c r="AP375" s="15" t="str">
        <f t="shared" si="5"/>
        <v/>
      </c>
    </row>
    <row r="376" spans="42:42" ht="12" customHeight="1" x14ac:dyDescent="0.25">
      <c r="AP376" s="15" t="str">
        <f t="shared" si="5"/>
        <v/>
      </c>
    </row>
    <row r="377" spans="42:42" ht="12" customHeight="1" x14ac:dyDescent="0.25">
      <c r="AP377" s="15" t="str">
        <f t="shared" si="5"/>
        <v/>
      </c>
    </row>
    <row r="378" spans="42:42" ht="12" customHeight="1" x14ac:dyDescent="0.25">
      <c r="AP378" s="15" t="str">
        <f t="shared" si="5"/>
        <v/>
      </c>
    </row>
    <row r="379" spans="42:42" ht="12" customHeight="1" x14ac:dyDescent="0.25">
      <c r="AP379" s="15" t="str">
        <f t="shared" si="5"/>
        <v/>
      </c>
    </row>
    <row r="380" spans="42:42" ht="12" customHeight="1" x14ac:dyDescent="0.25">
      <c r="AP380" s="15" t="str">
        <f t="shared" si="5"/>
        <v/>
      </c>
    </row>
    <row r="381" spans="42:42" ht="12" customHeight="1" x14ac:dyDescent="0.25">
      <c r="AP381" s="15" t="str">
        <f t="shared" si="5"/>
        <v/>
      </c>
    </row>
    <row r="382" spans="42:42" ht="12" customHeight="1" x14ac:dyDescent="0.25">
      <c r="AP382" s="15" t="str">
        <f t="shared" si="5"/>
        <v/>
      </c>
    </row>
    <row r="383" spans="42:42" ht="12" customHeight="1" x14ac:dyDescent="0.25">
      <c r="AP383" s="15" t="str">
        <f t="shared" si="5"/>
        <v/>
      </c>
    </row>
    <row r="384" spans="42:42" ht="12" customHeight="1" x14ac:dyDescent="0.25">
      <c r="AP384" s="15" t="str">
        <f t="shared" si="5"/>
        <v/>
      </c>
    </row>
    <row r="385" spans="42:42" ht="12" customHeight="1" x14ac:dyDescent="0.25">
      <c r="AP385" s="15" t="str">
        <f t="shared" si="5"/>
        <v/>
      </c>
    </row>
    <row r="386" spans="42:42" ht="12" customHeight="1" x14ac:dyDescent="0.25">
      <c r="AP386" s="15" t="str">
        <f t="shared" si="5"/>
        <v/>
      </c>
    </row>
    <row r="387" spans="42:42" ht="12" customHeight="1" x14ac:dyDescent="0.25">
      <c r="AP387" s="15" t="str">
        <f t="shared" si="5"/>
        <v/>
      </c>
    </row>
    <row r="388" spans="42:42" ht="12" customHeight="1" x14ac:dyDescent="0.25">
      <c r="AP388" s="15" t="str">
        <f t="shared" si="5"/>
        <v/>
      </c>
    </row>
    <row r="389" spans="42:42" ht="12" customHeight="1" x14ac:dyDescent="0.25">
      <c r="AP389" s="15" t="str">
        <f t="shared" si="5"/>
        <v/>
      </c>
    </row>
    <row r="390" spans="42:42" ht="12" customHeight="1" x14ac:dyDescent="0.25">
      <c r="AP390" s="15" t="str">
        <f t="shared" si="5"/>
        <v/>
      </c>
    </row>
    <row r="391" spans="42:42" ht="12" customHeight="1" x14ac:dyDescent="0.25">
      <c r="AP391" s="15" t="str">
        <f t="shared" si="5"/>
        <v/>
      </c>
    </row>
    <row r="392" spans="42:42" ht="12" customHeight="1" x14ac:dyDescent="0.25">
      <c r="AP392" s="15" t="str">
        <f t="shared" ref="AP392:AP455" si="6">IF(AO392="", "", AO392&amp;"["&amp;AN392&amp;"]")</f>
        <v/>
      </c>
    </row>
    <row r="393" spans="42:42" ht="12" customHeight="1" x14ac:dyDescent="0.25">
      <c r="AP393" s="15" t="str">
        <f t="shared" si="6"/>
        <v/>
      </c>
    </row>
    <row r="394" spans="42:42" ht="12" customHeight="1" x14ac:dyDescent="0.25">
      <c r="AP394" s="15" t="str">
        <f t="shared" si="6"/>
        <v/>
      </c>
    </row>
    <row r="395" spans="42:42" ht="12" customHeight="1" x14ac:dyDescent="0.25">
      <c r="AP395" s="15" t="str">
        <f t="shared" si="6"/>
        <v/>
      </c>
    </row>
    <row r="396" spans="42:42" ht="12" customHeight="1" x14ac:dyDescent="0.25">
      <c r="AP396" s="15" t="str">
        <f t="shared" si="6"/>
        <v/>
      </c>
    </row>
    <row r="397" spans="42:42" ht="12" customHeight="1" x14ac:dyDescent="0.25">
      <c r="AP397" s="15" t="str">
        <f t="shared" si="6"/>
        <v/>
      </c>
    </row>
    <row r="398" spans="42:42" ht="12" customHeight="1" x14ac:dyDescent="0.25">
      <c r="AP398" s="15" t="str">
        <f t="shared" si="6"/>
        <v/>
      </c>
    </row>
    <row r="399" spans="42:42" ht="12" customHeight="1" x14ac:dyDescent="0.25">
      <c r="AP399" s="15" t="str">
        <f t="shared" si="6"/>
        <v/>
      </c>
    </row>
    <row r="400" spans="42:42" ht="12" customHeight="1" x14ac:dyDescent="0.25">
      <c r="AP400" s="15" t="str">
        <f t="shared" si="6"/>
        <v/>
      </c>
    </row>
    <row r="401" spans="42:42" ht="12" customHeight="1" x14ac:dyDescent="0.25">
      <c r="AP401" s="15" t="str">
        <f t="shared" si="6"/>
        <v/>
      </c>
    </row>
    <row r="402" spans="42:42" ht="12" customHeight="1" x14ac:dyDescent="0.25">
      <c r="AP402" s="15" t="str">
        <f t="shared" si="6"/>
        <v/>
      </c>
    </row>
    <row r="403" spans="42:42" ht="12" customHeight="1" x14ac:dyDescent="0.25">
      <c r="AP403" s="15" t="str">
        <f t="shared" si="6"/>
        <v/>
      </c>
    </row>
    <row r="404" spans="42:42" ht="12" customHeight="1" x14ac:dyDescent="0.25">
      <c r="AP404" s="15" t="str">
        <f t="shared" si="6"/>
        <v/>
      </c>
    </row>
    <row r="405" spans="42:42" ht="12" customHeight="1" x14ac:dyDescent="0.25">
      <c r="AP405" s="15" t="str">
        <f t="shared" si="6"/>
        <v/>
      </c>
    </row>
    <row r="406" spans="42:42" ht="12" customHeight="1" x14ac:dyDescent="0.25">
      <c r="AP406" s="15" t="str">
        <f t="shared" si="6"/>
        <v/>
      </c>
    </row>
    <row r="407" spans="42:42" ht="12" customHeight="1" x14ac:dyDescent="0.25">
      <c r="AP407" s="15" t="str">
        <f t="shared" si="6"/>
        <v/>
      </c>
    </row>
    <row r="408" spans="42:42" ht="12" customHeight="1" x14ac:dyDescent="0.25">
      <c r="AP408" s="15" t="str">
        <f t="shared" si="6"/>
        <v/>
      </c>
    </row>
    <row r="409" spans="42:42" ht="12" customHeight="1" x14ac:dyDescent="0.25">
      <c r="AP409" s="15" t="str">
        <f t="shared" si="6"/>
        <v/>
      </c>
    </row>
    <row r="410" spans="42:42" ht="12" customHeight="1" x14ac:dyDescent="0.25">
      <c r="AP410" s="15" t="str">
        <f t="shared" si="6"/>
        <v/>
      </c>
    </row>
    <row r="411" spans="42:42" ht="12" customHeight="1" x14ac:dyDescent="0.25">
      <c r="AP411" s="15" t="str">
        <f t="shared" si="6"/>
        <v/>
      </c>
    </row>
    <row r="412" spans="42:42" ht="12" customHeight="1" x14ac:dyDescent="0.25">
      <c r="AP412" s="15" t="str">
        <f t="shared" si="6"/>
        <v/>
      </c>
    </row>
    <row r="413" spans="42:42" ht="12" customHeight="1" x14ac:dyDescent="0.25">
      <c r="AP413" s="15" t="str">
        <f t="shared" si="6"/>
        <v/>
      </c>
    </row>
    <row r="414" spans="42:42" ht="12" customHeight="1" x14ac:dyDescent="0.25">
      <c r="AP414" s="15" t="str">
        <f t="shared" si="6"/>
        <v/>
      </c>
    </row>
    <row r="415" spans="42:42" ht="12" customHeight="1" x14ac:dyDescent="0.25">
      <c r="AP415" s="15" t="str">
        <f t="shared" si="6"/>
        <v/>
      </c>
    </row>
    <row r="416" spans="42:42" ht="12" customHeight="1" x14ac:dyDescent="0.25">
      <c r="AP416" s="15" t="str">
        <f t="shared" si="6"/>
        <v/>
      </c>
    </row>
    <row r="417" spans="42:42" ht="12" customHeight="1" x14ac:dyDescent="0.25">
      <c r="AP417" s="15" t="str">
        <f t="shared" si="6"/>
        <v/>
      </c>
    </row>
    <row r="418" spans="42:42" ht="12" customHeight="1" x14ac:dyDescent="0.25">
      <c r="AP418" s="15" t="str">
        <f t="shared" si="6"/>
        <v/>
      </c>
    </row>
    <row r="419" spans="42:42" ht="12" customHeight="1" x14ac:dyDescent="0.25">
      <c r="AP419" s="15" t="str">
        <f t="shared" si="6"/>
        <v/>
      </c>
    </row>
    <row r="420" spans="42:42" ht="12" customHeight="1" x14ac:dyDescent="0.25">
      <c r="AP420" s="15" t="str">
        <f t="shared" si="6"/>
        <v/>
      </c>
    </row>
    <row r="421" spans="42:42" ht="12" customHeight="1" x14ac:dyDescent="0.25">
      <c r="AP421" s="15" t="str">
        <f t="shared" si="6"/>
        <v/>
      </c>
    </row>
    <row r="422" spans="42:42" ht="12" customHeight="1" x14ac:dyDescent="0.25">
      <c r="AP422" s="15" t="str">
        <f t="shared" si="6"/>
        <v/>
      </c>
    </row>
    <row r="423" spans="42:42" ht="12" customHeight="1" x14ac:dyDescent="0.25">
      <c r="AP423" s="15" t="str">
        <f t="shared" si="6"/>
        <v/>
      </c>
    </row>
    <row r="424" spans="42:42" ht="12" customHeight="1" x14ac:dyDescent="0.25">
      <c r="AP424" s="15" t="str">
        <f t="shared" si="6"/>
        <v/>
      </c>
    </row>
    <row r="425" spans="42:42" ht="12" customHeight="1" x14ac:dyDescent="0.25">
      <c r="AP425" s="15" t="str">
        <f t="shared" si="6"/>
        <v/>
      </c>
    </row>
    <row r="426" spans="42:42" ht="12" customHeight="1" x14ac:dyDescent="0.25">
      <c r="AP426" s="15" t="str">
        <f t="shared" si="6"/>
        <v/>
      </c>
    </row>
    <row r="427" spans="42:42" ht="12" customHeight="1" x14ac:dyDescent="0.25">
      <c r="AP427" s="15" t="str">
        <f t="shared" si="6"/>
        <v/>
      </c>
    </row>
    <row r="428" spans="42:42" ht="12" customHeight="1" x14ac:dyDescent="0.25">
      <c r="AP428" s="15" t="str">
        <f t="shared" si="6"/>
        <v/>
      </c>
    </row>
    <row r="429" spans="42:42" ht="12" customHeight="1" x14ac:dyDescent="0.25">
      <c r="AP429" s="15" t="str">
        <f t="shared" si="6"/>
        <v/>
      </c>
    </row>
    <row r="430" spans="42:42" ht="12" customHeight="1" x14ac:dyDescent="0.25">
      <c r="AP430" s="15" t="str">
        <f t="shared" si="6"/>
        <v/>
      </c>
    </row>
    <row r="431" spans="42:42" ht="12" customHeight="1" x14ac:dyDescent="0.25">
      <c r="AP431" s="15" t="str">
        <f t="shared" si="6"/>
        <v/>
      </c>
    </row>
    <row r="432" spans="42:42" ht="12" customHeight="1" x14ac:dyDescent="0.25">
      <c r="AP432" s="15" t="str">
        <f t="shared" si="6"/>
        <v/>
      </c>
    </row>
    <row r="433" spans="42:42" ht="12" customHeight="1" x14ac:dyDescent="0.25">
      <c r="AP433" s="15" t="str">
        <f t="shared" si="6"/>
        <v/>
      </c>
    </row>
    <row r="434" spans="42:42" ht="12" customHeight="1" x14ac:dyDescent="0.25">
      <c r="AP434" s="15" t="str">
        <f t="shared" si="6"/>
        <v/>
      </c>
    </row>
    <row r="435" spans="42:42" ht="12" customHeight="1" x14ac:dyDescent="0.25">
      <c r="AP435" s="15" t="str">
        <f t="shared" si="6"/>
        <v/>
      </c>
    </row>
    <row r="436" spans="42:42" ht="12" customHeight="1" x14ac:dyDescent="0.25">
      <c r="AP436" s="15" t="str">
        <f t="shared" si="6"/>
        <v/>
      </c>
    </row>
    <row r="437" spans="42:42" ht="12" customHeight="1" x14ac:dyDescent="0.25">
      <c r="AP437" s="15" t="str">
        <f t="shared" si="6"/>
        <v/>
      </c>
    </row>
    <row r="438" spans="42:42" ht="12" customHeight="1" x14ac:dyDescent="0.25">
      <c r="AP438" s="15" t="str">
        <f t="shared" si="6"/>
        <v/>
      </c>
    </row>
    <row r="439" spans="42:42" ht="12" customHeight="1" x14ac:dyDescent="0.25">
      <c r="AP439" s="15" t="str">
        <f t="shared" si="6"/>
        <v/>
      </c>
    </row>
    <row r="440" spans="42:42" ht="12" customHeight="1" x14ac:dyDescent="0.25">
      <c r="AP440" s="15" t="str">
        <f t="shared" si="6"/>
        <v/>
      </c>
    </row>
    <row r="441" spans="42:42" ht="12" customHeight="1" x14ac:dyDescent="0.25">
      <c r="AP441" s="15" t="str">
        <f t="shared" si="6"/>
        <v/>
      </c>
    </row>
    <row r="442" spans="42:42" ht="12" customHeight="1" x14ac:dyDescent="0.25">
      <c r="AP442" s="15" t="str">
        <f t="shared" si="6"/>
        <v/>
      </c>
    </row>
    <row r="443" spans="42:42" ht="12" customHeight="1" x14ac:dyDescent="0.25">
      <c r="AP443" s="15" t="str">
        <f t="shared" si="6"/>
        <v/>
      </c>
    </row>
    <row r="444" spans="42:42" ht="12" customHeight="1" x14ac:dyDescent="0.25">
      <c r="AP444" s="15" t="str">
        <f t="shared" si="6"/>
        <v/>
      </c>
    </row>
    <row r="445" spans="42:42" ht="12" customHeight="1" x14ac:dyDescent="0.25">
      <c r="AP445" s="15" t="str">
        <f t="shared" si="6"/>
        <v/>
      </c>
    </row>
    <row r="446" spans="42:42" ht="12" customHeight="1" x14ac:dyDescent="0.25">
      <c r="AP446" s="15" t="str">
        <f t="shared" si="6"/>
        <v/>
      </c>
    </row>
    <row r="447" spans="42:42" ht="12" customHeight="1" x14ac:dyDescent="0.25">
      <c r="AP447" s="15" t="str">
        <f t="shared" si="6"/>
        <v/>
      </c>
    </row>
    <row r="448" spans="42:42" ht="12" customHeight="1" x14ac:dyDescent="0.25">
      <c r="AP448" s="15" t="str">
        <f t="shared" si="6"/>
        <v/>
      </c>
    </row>
    <row r="449" spans="42:42" ht="12" customHeight="1" x14ac:dyDescent="0.25">
      <c r="AP449" s="15" t="str">
        <f t="shared" si="6"/>
        <v/>
      </c>
    </row>
    <row r="450" spans="42:42" ht="12" customHeight="1" x14ac:dyDescent="0.25">
      <c r="AP450" s="15" t="str">
        <f t="shared" si="6"/>
        <v/>
      </c>
    </row>
    <row r="451" spans="42:42" ht="12" customHeight="1" x14ac:dyDescent="0.25">
      <c r="AP451" s="15" t="str">
        <f t="shared" si="6"/>
        <v/>
      </c>
    </row>
    <row r="452" spans="42:42" ht="12" customHeight="1" x14ac:dyDescent="0.25">
      <c r="AP452" s="15" t="str">
        <f t="shared" si="6"/>
        <v/>
      </c>
    </row>
    <row r="453" spans="42:42" ht="12" customHeight="1" x14ac:dyDescent="0.25">
      <c r="AP453" s="15" t="str">
        <f t="shared" si="6"/>
        <v/>
      </c>
    </row>
    <row r="454" spans="42:42" ht="12" customHeight="1" x14ac:dyDescent="0.25">
      <c r="AP454" s="15" t="str">
        <f t="shared" si="6"/>
        <v/>
      </c>
    </row>
    <row r="455" spans="42:42" ht="12" customHeight="1" x14ac:dyDescent="0.25">
      <c r="AP455" s="15" t="str">
        <f t="shared" si="6"/>
        <v/>
      </c>
    </row>
    <row r="456" spans="42:42" ht="12" customHeight="1" x14ac:dyDescent="0.25">
      <c r="AP456" s="15" t="str">
        <f t="shared" ref="AP456:AP519" si="7">IF(AO456="", "", AO456&amp;"["&amp;AN456&amp;"]")</f>
        <v/>
      </c>
    </row>
    <row r="457" spans="42:42" ht="12" customHeight="1" x14ac:dyDescent="0.25">
      <c r="AP457" s="15" t="str">
        <f t="shared" si="7"/>
        <v/>
      </c>
    </row>
    <row r="458" spans="42:42" ht="12" customHeight="1" x14ac:dyDescent="0.25">
      <c r="AP458" s="15" t="str">
        <f t="shared" si="7"/>
        <v/>
      </c>
    </row>
    <row r="459" spans="42:42" ht="12" customHeight="1" x14ac:dyDescent="0.25">
      <c r="AP459" s="15" t="str">
        <f t="shared" si="7"/>
        <v/>
      </c>
    </row>
    <row r="460" spans="42:42" ht="12" customHeight="1" x14ac:dyDescent="0.25">
      <c r="AP460" s="15" t="str">
        <f t="shared" si="7"/>
        <v/>
      </c>
    </row>
    <row r="461" spans="42:42" ht="12" customHeight="1" x14ac:dyDescent="0.25">
      <c r="AP461" s="15" t="str">
        <f t="shared" si="7"/>
        <v/>
      </c>
    </row>
    <row r="462" spans="42:42" ht="12" customHeight="1" x14ac:dyDescent="0.25">
      <c r="AP462" s="15" t="str">
        <f t="shared" si="7"/>
        <v/>
      </c>
    </row>
    <row r="463" spans="42:42" ht="12" customHeight="1" x14ac:dyDescent="0.25">
      <c r="AP463" s="15" t="str">
        <f t="shared" si="7"/>
        <v/>
      </c>
    </row>
    <row r="464" spans="42:42" ht="12" customHeight="1" x14ac:dyDescent="0.25">
      <c r="AP464" s="15" t="str">
        <f t="shared" si="7"/>
        <v/>
      </c>
    </row>
    <row r="465" spans="42:42" ht="12" customHeight="1" x14ac:dyDescent="0.25">
      <c r="AP465" s="15" t="str">
        <f t="shared" si="7"/>
        <v/>
      </c>
    </row>
    <row r="466" spans="42:42" ht="12" customHeight="1" x14ac:dyDescent="0.25">
      <c r="AP466" s="15" t="str">
        <f t="shared" si="7"/>
        <v/>
      </c>
    </row>
    <row r="467" spans="42:42" ht="12" customHeight="1" x14ac:dyDescent="0.25">
      <c r="AP467" s="15" t="str">
        <f t="shared" si="7"/>
        <v/>
      </c>
    </row>
    <row r="468" spans="42:42" ht="12" customHeight="1" x14ac:dyDescent="0.25">
      <c r="AP468" s="15" t="str">
        <f t="shared" si="7"/>
        <v/>
      </c>
    </row>
    <row r="469" spans="42:42" ht="12" customHeight="1" x14ac:dyDescent="0.25">
      <c r="AP469" s="15" t="str">
        <f t="shared" si="7"/>
        <v/>
      </c>
    </row>
    <row r="470" spans="42:42" ht="12" customHeight="1" x14ac:dyDescent="0.25">
      <c r="AP470" s="15" t="str">
        <f t="shared" si="7"/>
        <v/>
      </c>
    </row>
    <row r="471" spans="42:42" ht="12" customHeight="1" x14ac:dyDescent="0.25">
      <c r="AP471" s="15" t="str">
        <f t="shared" si="7"/>
        <v/>
      </c>
    </row>
    <row r="472" spans="42:42" ht="12" customHeight="1" x14ac:dyDescent="0.25">
      <c r="AP472" s="15" t="str">
        <f t="shared" si="7"/>
        <v/>
      </c>
    </row>
    <row r="473" spans="42:42" ht="12" customHeight="1" x14ac:dyDescent="0.25">
      <c r="AP473" s="15" t="str">
        <f t="shared" si="7"/>
        <v/>
      </c>
    </row>
    <row r="474" spans="42:42" ht="12" customHeight="1" x14ac:dyDescent="0.25">
      <c r="AP474" s="15" t="str">
        <f t="shared" si="7"/>
        <v/>
      </c>
    </row>
    <row r="475" spans="42:42" ht="12" customHeight="1" x14ac:dyDescent="0.25">
      <c r="AP475" s="15" t="str">
        <f t="shared" si="7"/>
        <v/>
      </c>
    </row>
    <row r="476" spans="42:42" ht="12" customHeight="1" x14ac:dyDescent="0.25">
      <c r="AP476" s="15" t="str">
        <f t="shared" si="7"/>
        <v/>
      </c>
    </row>
    <row r="477" spans="42:42" ht="12" customHeight="1" x14ac:dyDescent="0.25">
      <c r="AP477" s="15" t="str">
        <f t="shared" si="7"/>
        <v/>
      </c>
    </row>
    <row r="478" spans="42:42" ht="12" customHeight="1" x14ac:dyDescent="0.25">
      <c r="AP478" s="15" t="str">
        <f t="shared" si="7"/>
        <v/>
      </c>
    </row>
    <row r="479" spans="42:42" ht="12" customHeight="1" x14ac:dyDescent="0.25">
      <c r="AP479" s="15" t="str">
        <f t="shared" si="7"/>
        <v/>
      </c>
    </row>
    <row r="480" spans="42:42" ht="12" customHeight="1" x14ac:dyDescent="0.25">
      <c r="AP480" s="15" t="str">
        <f t="shared" si="7"/>
        <v/>
      </c>
    </row>
    <row r="481" spans="42:42" ht="12" customHeight="1" x14ac:dyDescent="0.25">
      <c r="AP481" s="15" t="str">
        <f t="shared" si="7"/>
        <v/>
      </c>
    </row>
    <row r="482" spans="42:42" ht="12" customHeight="1" x14ac:dyDescent="0.25">
      <c r="AP482" s="15" t="str">
        <f t="shared" si="7"/>
        <v/>
      </c>
    </row>
    <row r="483" spans="42:42" ht="12" customHeight="1" x14ac:dyDescent="0.25">
      <c r="AP483" s="15" t="str">
        <f t="shared" si="7"/>
        <v/>
      </c>
    </row>
    <row r="484" spans="42:42" ht="12" customHeight="1" x14ac:dyDescent="0.25">
      <c r="AP484" s="15" t="str">
        <f t="shared" si="7"/>
        <v/>
      </c>
    </row>
    <row r="485" spans="42:42" ht="12" customHeight="1" x14ac:dyDescent="0.25">
      <c r="AP485" s="15" t="str">
        <f t="shared" si="7"/>
        <v/>
      </c>
    </row>
    <row r="486" spans="42:42" ht="12" customHeight="1" x14ac:dyDescent="0.25">
      <c r="AP486" s="15" t="str">
        <f t="shared" si="7"/>
        <v/>
      </c>
    </row>
    <row r="487" spans="42:42" ht="12" customHeight="1" x14ac:dyDescent="0.25">
      <c r="AP487" s="15" t="str">
        <f t="shared" si="7"/>
        <v/>
      </c>
    </row>
    <row r="488" spans="42:42" ht="12" customHeight="1" x14ac:dyDescent="0.25">
      <c r="AP488" s="15" t="str">
        <f t="shared" si="7"/>
        <v/>
      </c>
    </row>
    <row r="489" spans="42:42" ht="12" customHeight="1" x14ac:dyDescent="0.25">
      <c r="AP489" s="15" t="str">
        <f t="shared" si="7"/>
        <v/>
      </c>
    </row>
    <row r="490" spans="42:42" ht="12" customHeight="1" x14ac:dyDescent="0.25">
      <c r="AP490" s="15" t="str">
        <f t="shared" si="7"/>
        <v/>
      </c>
    </row>
    <row r="491" spans="42:42" ht="12" customHeight="1" x14ac:dyDescent="0.25">
      <c r="AP491" s="15" t="str">
        <f t="shared" si="7"/>
        <v/>
      </c>
    </row>
    <row r="492" spans="42:42" ht="12" customHeight="1" x14ac:dyDescent="0.25">
      <c r="AP492" s="15" t="str">
        <f t="shared" si="7"/>
        <v/>
      </c>
    </row>
    <row r="493" spans="42:42" ht="12" customHeight="1" x14ac:dyDescent="0.25">
      <c r="AP493" s="15" t="str">
        <f t="shared" si="7"/>
        <v/>
      </c>
    </row>
    <row r="494" spans="42:42" ht="12" customHeight="1" x14ac:dyDescent="0.25">
      <c r="AP494" s="15" t="str">
        <f t="shared" si="7"/>
        <v/>
      </c>
    </row>
    <row r="495" spans="42:42" ht="12" customHeight="1" x14ac:dyDescent="0.25">
      <c r="AP495" s="15" t="str">
        <f t="shared" si="7"/>
        <v/>
      </c>
    </row>
    <row r="496" spans="42:42" ht="12" customHeight="1" x14ac:dyDescent="0.25">
      <c r="AP496" s="15" t="str">
        <f t="shared" si="7"/>
        <v/>
      </c>
    </row>
    <row r="497" spans="42:42" ht="12" customHeight="1" x14ac:dyDescent="0.25">
      <c r="AP497" s="15" t="str">
        <f t="shared" si="7"/>
        <v/>
      </c>
    </row>
    <row r="498" spans="42:42" ht="12" customHeight="1" x14ac:dyDescent="0.25">
      <c r="AP498" s="15" t="str">
        <f t="shared" si="7"/>
        <v/>
      </c>
    </row>
    <row r="499" spans="42:42" ht="12" customHeight="1" x14ac:dyDescent="0.25">
      <c r="AP499" s="15" t="str">
        <f t="shared" si="7"/>
        <v/>
      </c>
    </row>
    <row r="500" spans="42:42" ht="12" customHeight="1" x14ac:dyDescent="0.25">
      <c r="AP500" s="15" t="str">
        <f t="shared" si="7"/>
        <v/>
      </c>
    </row>
    <row r="501" spans="42:42" ht="12" customHeight="1" x14ac:dyDescent="0.25">
      <c r="AP501" s="15" t="str">
        <f t="shared" si="7"/>
        <v/>
      </c>
    </row>
    <row r="502" spans="42:42" ht="12" customHeight="1" x14ac:dyDescent="0.25">
      <c r="AP502" s="15" t="str">
        <f t="shared" si="7"/>
        <v/>
      </c>
    </row>
    <row r="503" spans="42:42" ht="12" customHeight="1" x14ac:dyDescent="0.25">
      <c r="AP503" s="15" t="str">
        <f t="shared" si="7"/>
        <v/>
      </c>
    </row>
    <row r="504" spans="42:42" ht="12" customHeight="1" x14ac:dyDescent="0.25">
      <c r="AP504" s="15" t="str">
        <f t="shared" si="7"/>
        <v/>
      </c>
    </row>
    <row r="505" spans="42:42" ht="12" customHeight="1" x14ac:dyDescent="0.25">
      <c r="AP505" s="15" t="str">
        <f t="shared" si="7"/>
        <v/>
      </c>
    </row>
    <row r="506" spans="42:42" ht="12" customHeight="1" x14ac:dyDescent="0.25">
      <c r="AP506" s="15" t="str">
        <f t="shared" si="7"/>
        <v/>
      </c>
    </row>
    <row r="507" spans="42:42" ht="12" customHeight="1" x14ac:dyDescent="0.25">
      <c r="AP507" s="15" t="str">
        <f t="shared" si="7"/>
        <v/>
      </c>
    </row>
    <row r="508" spans="42:42" ht="12" customHeight="1" x14ac:dyDescent="0.25">
      <c r="AP508" s="15" t="str">
        <f t="shared" si="7"/>
        <v/>
      </c>
    </row>
    <row r="509" spans="42:42" ht="12" customHeight="1" x14ac:dyDescent="0.25">
      <c r="AP509" s="15" t="str">
        <f t="shared" si="7"/>
        <v/>
      </c>
    </row>
    <row r="510" spans="42:42" ht="12" customHeight="1" x14ac:dyDescent="0.25">
      <c r="AP510" s="15" t="str">
        <f t="shared" si="7"/>
        <v/>
      </c>
    </row>
    <row r="511" spans="42:42" ht="12" customHeight="1" x14ac:dyDescent="0.25">
      <c r="AP511" s="15" t="str">
        <f t="shared" si="7"/>
        <v/>
      </c>
    </row>
    <row r="512" spans="42:42" ht="12" customHeight="1" x14ac:dyDescent="0.25">
      <c r="AP512" s="15" t="str">
        <f t="shared" si="7"/>
        <v/>
      </c>
    </row>
    <row r="513" spans="42:42" ht="12" customHeight="1" x14ac:dyDescent="0.25">
      <c r="AP513" s="15" t="str">
        <f t="shared" si="7"/>
        <v/>
      </c>
    </row>
    <row r="514" spans="42:42" ht="12" customHeight="1" x14ac:dyDescent="0.25">
      <c r="AP514" s="15" t="str">
        <f t="shared" si="7"/>
        <v/>
      </c>
    </row>
    <row r="515" spans="42:42" ht="12" customHeight="1" x14ac:dyDescent="0.25">
      <c r="AP515" s="15" t="str">
        <f t="shared" si="7"/>
        <v/>
      </c>
    </row>
    <row r="516" spans="42:42" ht="12" customHeight="1" x14ac:dyDescent="0.25">
      <c r="AP516" s="15" t="str">
        <f t="shared" si="7"/>
        <v/>
      </c>
    </row>
    <row r="517" spans="42:42" ht="12" customHeight="1" x14ac:dyDescent="0.25">
      <c r="AP517" s="15" t="str">
        <f t="shared" si="7"/>
        <v/>
      </c>
    </row>
    <row r="518" spans="42:42" ht="12" customHeight="1" x14ac:dyDescent="0.25">
      <c r="AP518" s="15" t="str">
        <f t="shared" si="7"/>
        <v/>
      </c>
    </row>
    <row r="519" spans="42:42" ht="12" customHeight="1" x14ac:dyDescent="0.25">
      <c r="AP519" s="15" t="str">
        <f t="shared" si="7"/>
        <v/>
      </c>
    </row>
    <row r="520" spans="42:42" ht="12" customHeight="1" x14ac:dyDescent="0.25">
      <c r="AP520" s="15" t="str">
        <f t="shared" ref="AP520:AP583" si="8">IF(AO520="", "", AO520&amp;"["&amp;AN520&amp;"]")</f>
        <v/>
      </c>
    </row>
    <row r="521" spans="42:42" ht="12" customHeight="1" x14ac:dyDescent="0.25">
      <c r="AP521" s="15" t="str">
        <f t="shared" si="8"/>
        <v/>
      </c>
    </row>
    <row r="522" spans="42:42" ht="12" customHeight="1" x14ac:dyDescent="0.25">
      <c r="AP522" s="15" t="str">
        <f t="shared" si="8"/>
        <v/>
      </c>
    </row>
    <row r="523" spans="42:42" ht="12" customHeight="1" x14ac:dyDescent="0.25">
      <c r="AP523" s="15" t="str">
        <f t="shared" si="8"/>
        <v/>
      </c>
    </row>
    <row r="524" spans="42:42" ht="12" customHeight="1" x14ac:dyDescent="0.25">
      <c r="AP524" s="15" t="str">
        <f t="shared" si="8"/>
        <v/>
      </c>
    </row>
    <row r="525" spans="42:42" ht="12" customHeight="1" x14ac:dyDescent="0.25">
      <c r="AP525" s="15" t="str">
        <f t="shared" si="8"/>
        <v/>
      </c>
    </row>
    <row r="526" spans="42:42" ht="12" customHeight="1" x14ac:dyDescent="0.25">
      <c r="AP526" s="15" t="str">
        <f t="shared" si="8"/>
        <v/>
      </c>
    </row>
    <row r="527" spans="42:42" ht="12" customHeight="1" x14ac:dyDescent="0.25">
      <c r="AP527" s="15" t="str">
        <f t="shared" si="8"/>
        <v/>
      </c>
    </row>
    <row r="528" spans="42:42" ht="12" customHeight="1" x14ac:dyDescent="0.25">
      <c r="AP528" s="15" t="str">
        <f t="shared" si="8"/>
        <v/>
      </c>
    </row>
    <row r="529" spans="42:42" ht="12" customHeight="1" x14ac:dyDescent="0.25">
      <c r="AP529" s="15" t="str">
        <f t="shared" si="8"/>
        <v/>
      </c>
    </row>
    <row r="530" spans="42:42" ht="12" customHeight="1" x14ac:dyDescent="0.25">
      <c r="AP530" s="15" t="str">
        <f t="shared" si="8"/>
        <v/>
      </c>
    </row>
    <row r="531" spans="42:42" ht="12" customHeight="1" x14ac:dyDescent="0.25">
      <c r="AP531" s="15" t="str">
        <f t="shared" si="8"/>
        <v/>
      </c>
    </row>
    <row r="532" spans="42:42" ht="12" customHeight="1" x14ac:dyDescent="0.25">
      <c r="AP532" s="15" t="str">
        <f t="shared" si="8"/>
        <v/>
      </c>
    </row>
    <row r="533" spans="42:42" ht="12" customHeight="1" x14ac:dyDescent="0.25">
      <c r="AP533" s="15" t="str">
        <f t="shared" si="8"/>
        <v/>
      </c>
    </row>
    <row r="534" spans="42:42" ht="12" customHeight="1" x14ac:dyDescent="0.25">
      <c r="AP534" s="15" t="str">
        <f t="shared" si="8"/>
        <v/>
      </c>
    </row>
    <row r="535" spans="42:42" ht="12" customHeight="1" x14ac:dyDescent="0.25">
      <c r="AP535" s="15" t="str">
        <f t="shared" si="8"/>
        <v/>
      </c>
    </row>
    <row r="536" spans="42:42" ht="12" customHeight="1" x14ac:dyDescent="0.25">
      <c r="AP536" s="15" t="str">
        <f t="shared" si="8"/>
        <v/>
      </c>
    </row>
    <row r="537" spans="42:42" ht="12" customHeight="1" x14ac:dyDescent="0.25">
      <c r="AP537" s="15" t="str">
        <f t="shared" si="8"/>
        <v/>
      </c>
    </row>
    <row r="538" spans="42:42" ht="12" customHeight="1" x14ac:dyDescent="0.25">
      <c r="AP538" s="15" t="str">
        <f t="shared" si="8"/>
        <v/>
      </c>
    </row>
    <row r="539" spans="42:42" ht="12" customHeight="1" x14ac:dyDescent="0.25">
      <c r="AP539" s="15" t="str">
        <f t="shared" si="8"/>
        <v/>
      </c>
    </row>
    <row r="540" spans="42:42" ht="12" customHeight="1" x14ac:dyDescent="0.25">
      <c r="AP540" s="15" t="str">
        <f t="shared" si="8"/>
        <v/>
      </c>
    </row>
    <row r="541" spans="42:42" ht="12" customHeight="1" x14ac:dyDescent="0.25">
      <c r="AP541" s="15" t="str">
        <f t="shared" si="8"/>
        <v/>
      </c>
    </row>
    <row r="542" spans="42:42" ht="12" customHeight="1" x14ac:dyDescent="0.25">
      <c r="AP542" s="15" t="str">
        <f t="shared" si="8"/>
        <v/>
      </c>
    </row>
    <row r="543" spans="42:42" ht="12" customHeight="1" x14ac:dyDescent="0.25">
      <c r="AP543" s="15" t="str">
        <f t="shared" si="8"/>
        <v/>
      </c>
    </row>
    <row r="544" spans="42:42" ht="12" customHeight="1" x14ac:dyDescent="0.25">
      <c r="AP544" s="15" t="str">
        <f t="shared" si="8"/>
        <v/>
      </c>
    </row>
    <row r="545" spans="42:42" ht="12" customHeight="1" x14ac:dyDescent="0.25">
      <c r="AP545" s="15" t="str">
        <f t="shared" si="8"/>
        <v/>
      </c>
    </row>
    <row r="546" spans="42:42" ht="12" customHeight="1" x14ac:dyDescent="0.25">
      <c r="AP546" s="15" t="str">
        <f t="shared" si="8"/>
        <v/>
      </c>
    </row>
    <row r="547" spans="42:42" ht="12" customHeight="1" x14ac:dyDescent="0.25">
      <c r="AP547" s="15" t="str">
        <f t="shared" si="8"/>
        <v/>
      </c>
    </row>
    <row r="548" spans="42:42" ht="12" customHeight="1" x14ac:dyDescent="0.25">
      <c r="AP548" s="15" t="str">
        <f t="shared" si="8"/>
        <v/>
      </c>
    </row>
    <row r="549" spans="42:42" ht="12" customHeight="1" x14ac:dyDescent="0.25">
      <c r="AP549" s="15" t="str">
        <f t="shared" si="8"/>
        <v/>
      </c>
    </row>
    <row r="550" spans="42:42" ht="12" customHeight="1" x14ac:dyDescent="0.25">
      <c r="AP550" s="15" t="str">
        <f t="shared" si="8"/>
        <v/>
      </c>
    </row>
    <row r="551" spans="42:42" ht="12" customHeight="1" x14ac:dyDescent="0.25">
      <c r="AP551" s="15" t="str">
        <f t="shared" si="8"/>
        <v/>
      </c>
    </row>
    <row r="552" spans="42:42" ht="12" customHeight="1" x14ac:dyDescent="0.25">
      <c r="AP552" s="15" t="str">
        <f t="shared" si="8"/>
        <v/>
      </c>
    </row>
    <row r="553" spans="42:42" ht="12" customHeight="1" x14ac:dyDescent="0.25">
      <c r="AP553" s="15" t="str">
        <f t="shared" si="8"/>
        <v/>
      </c>
    </row>
    <row r="554" spans="42:42" ht="12" customHeight="1" x14ac:dyDescent="0.25">
      <c r="AP554" s="15" t="str">
        <f t="shared" si="8"/>
        <v/>
      </c>
    </row>
    <row r="555" spans="42:42" ht="12" customHeight="1" x14ac:dyDescent="0.25">
      <c r="AP555" s="15" t="str">
        <f t="shared" si="8"/>
        <v/>
      </c>
    </row>
    <row r="556" spans="42:42" ht="12" customHeight="1" x14ac:dyDescent="0.25">
      <c r="AP556" s="15" t="str">
        <f t="shared" si="8"/>
        <v/>
      </c>
    </row>
    <row r="557" spans="42:42" ht="12" customHeight="1" x14ac:dyDescent="0.25">
      <c r="AP557" s="15" t="str">
        <f t="shared" si="8"/>
        <v/>
      </c>
    </row>
    <row r="558" spans="42:42" ht="12" customHeight="1" x14ac:dyDescent="0.25">
      <c r="AP558" s="15" t="str">
        <f t="shared" si="8"/>
        <v/>
      </c>
    </row>
    <row r="559" spans="42:42" ht="12" customHeight="1" x14ac:dyDescent="0.25">
      <c r="AP559" s="15" t="str">
        <f t="shared" si="8"/>
        <v/>
      </c>
    </row>
    <row r="560" spans="42:42" ht="12" customHeight="1" x14ac:dyDescent="0.25">
      <c r="AP560" s="15" t="str">
        <f t="shared" si="8"/>
        <v/>
      </c>
    </row>
    <row r="561" spans="42:42" ht="12" customHeight="1" x14ac:dyDescent="0.25">
      <c r="AP561" s="15" t="str">
        <f t="shared" si="8"/>
        <v/>
      </c>
    </row>
    <row r="562" spans="42:42" ht="12" customHeight="1" x14ac:dyDescent="0.25">
      <c r="AP562" s="15" t="str">
        <f t="shared" si="8"/>
        <v/>
      </c>
    </row>
    <row r="563" spans="42:42" ht="12" customHeight="1" x14ac:dyDescent="0.25">
      <c r="AP563" s="15" t="str">
        <f t="shared" si="8"/>
        <v/>
      </c>
    </row>
    <row r="564" spans="42:42" ht="12" customHeight="1" x14ac:dyDescent="0.25">
      <c r="AP564" s="15" t="str">
        <f t="shared" si="8"/>
        <v/>
      </c>
    </row>
    <row r="565" spans="42:42" ht="12" customHeight="1" x14ac:dyDescent="0.25">
      <c r="AP565" s="15" t="str">
        <f t="shared" si="8"/>
        <v/>
      </c>
    </row>
    <row r="566" spans="42:42" ht="12" customHeight="1" x14ac:dyDescent="0.25">
      <c r="AP566" s="15" t="str">
        <f t="shared" si="8"/>
        <v/>
      </c>
    </row>
    <row r="567" spans="42:42" ht="12" customHeight="1" x14ac:dyDescent="0.25">
      <c r="AP567" s="15" t="str">
        <f t="shared" si="8"/>
        <v/>
      </c>
    </row>
    <row r="568" spans="42:42" ht="12" customHeight="1" x14ac:dyDescent="0.25">
      <c r="AP568" s="15" t="str">
        <f t="shared" si="8"/>
        <v/>
      </c>
    </row>
    <row r="569" spans="42:42" ht="12" customHeight="1" x14ac:dyDescent="0.25">
      <c r="AP569" s="15" t="str">
        <f t="shared" si="8"/>
        <v/>
      </c>
    </row>
    <row r="570" spans="42:42" ht="12" customHeight="1" x14ac:dyDescent="0.25">
      <c r="AP570" s="15" t="str">
        <f t="shared" si="8"/>
        <v/>
      </c>
    </row>
    <row r="571" spans="42:42" ht="12" customHeight="1" x14ac:dyDescent="0.25">
      <c r="AP571" s="15" t="str">
        <f t="shared" si="8"/>
        <v/>
      </c>
    </row>
    <row r="572" spans="42:42" ht="12" customHeight="1" x14ac:dyDescent="0.25">
      <c r="AP572" s="15" t="str">
        <f t="shared" si="8"/>
        <v/>
      </c>
    </row>
    <row r="573" spans="42:42" ht="12" customHeight="1" x14ac:dyDescent="0.25">
      <c r="AP573" s="15" t="str">
        <f t="shared" si="8"/>
        <v/>
      </c>
    </row>
    <row r="574" spans="42:42" ht="12" customHeight="1" x14ac:dyDescent="0.25">
      <c r="AP574" s="15" t="str">
        <f t="shared" si="8"/>
        <v/>
      </c>
    </row>
    <row r="575" spans="42:42" ht="12" customHeight="1" x14ac:dyDescent="0.25">
      <c r="AP575" s="15" t="str">
        <f t="shared" si="8"/>
        <v/>
      </c>
    </row>
    <row r="576" spans="42:42" ht="12" customHeight="1" x14ac:dyDescent="0.25">
      <c r="AP576" s="15" t="str">
        <f t="shared" si="8"/>
        <v/>
      </c>
    </row>
    <row r="577" spans="42:42" ht="12" customHeight="1" x14ac:dyDescent="0.25">
      <c r="AP577" s="15" t="str">
        <f t="shared" si="8"/>
        <v/>
      </c>
    </row>
    <row r="578" spans="42:42" ht="12" customHeight="1" x14ac:dyDescent="0.25">
      <c r="AP578" s="15" t="str">
        <f t="shared" si="8"/>
        <v/>
      </c>
    </row>
    <row r="579" spans="42:42" ht="12" customHeight="1" x14ac:dyDescent="0.25">
      <c r="AP579" s="15" t="str">
        <f t="shared" si="8"/>
        <v/>
      </c>
    </row>
    <row r="580" spans="42:42" ht="12" customHeight="1" x14ac:dyDescent="0.25">
      <c r="AP580" s="15" t="str">
        <f t="shared" si="8"/>
        <v/>
      </c>
    </row>
    <row r="581" spans="42:42" ht="12" customHeight="1" x14ac:dyDescent="0.25">
      <c r="AP581" s="15" t="str">
        <f t="shared" si="8"/>
        <v/>
      </c>
    </row>
    <row r="582" spans="42:42" ht="12" customHeight="1" x14ac:dyDescent="0.25">
      <c r="AP582" s="15" t="str">
        <f t="shared" si="8"/>
        <v/>
      </c>
    </row>
    <row r="583" spans="42:42" ht="12" customHeight="1" x14ac:dyDescent="0.25">
      <c r="AP583" s="15" t="str">
        <f t="shared" si="8"/>
        <v/>
      </c>
    </row>
    <row r="584" spans="42:42" ht="12" customHeight="1" x14ac:dyDescent="0.25">
      <c r="AP584" s="15" t="str">
        <f t="shared" ref="AP584:AP647" si="9">IF(AO584="", "", AO584&amp;"["&amp;AN584&amp;"]")</f>
        <v/>
      </c>
    </row>
    <row r="585" spans="42:42" ht="12" customHeight="1" x14ac:dyDescent="0.25">
      <c r="AP585" s="15" t="str">
        <f t="shared" si="9"/>
        <v/>
      </c>
    </row>
    <row r="586" spans="42:42" ht="12" customHeight="1" x14ac:dyDescent="0.25">
      <c r="AP586" s="15" t="str">
        <f t="shared" si="9"/>
        <v/>
      </c>
    </row>
    <row r="587" spans="42:42" ht="12" customHeight="1" x14ac:dyDescent="0.25">
      <c r="AP587" s="15" t="str">
        <f t="shared" si="9"/>
        <v/>
      </c>
    </row>
    <row r="588" spans="42:42" ht="12" customHeight="1" x14ac:dyDescent="0.25">
      <c r="AP588" s="15" t="str">
        <f t="shared" si="9"/>
        <v/>
      </c>
    </row>
    <row r="589" spans="42:42" ht="12" customHeight="1" x14ac:dyDescent="0.25">
      <c r="AP589" s="15" t="str">
        <f t="shared" si="9"/>
        <v/>
      </c>
    </row>
    <row r="590" spans="42:42" ht="12" customHeight="1" x14ac:dyDescent="0.25">
      <c r="AP590" s="15" t="str">
        <f t="shared" si="9"/>
        <v/>
      </c>
    </row>
    <row r="591" spans="42:42" ht="12" customHeight="1" x14ac:dyDescent="0.25">
      <c r="AP591" s="15" t="str">
        <f t="shared" si="9"/>
        <v/>
      </c>
    </row>
    <row r="592" spans="42:42" ht="12" customHeight="1" x14ac:dyDescent="0.25">
      <c r="AP592" s="15" t="str">
        <f t="shared" si="9"/>
        <v/>
      </c>
    </row>
    <row r="593" spans="42:42" ht="12" customHeight="1" x14ac:dyDescent="0.25">
      <c r="AP593" s="15" t="str">
        <f t="shared" si="9"/>
        <v/>
      </c>
    </row>
    <row r="594" spans="42:42" ht="12" customHeight="1" x14ac:dyDescent="0.25">
      <c r="AP594" s="15" t="str">
        <f t="shared" si="9"/>
        <v/>
      </c>
    </row>
    <row r="595" spans="42:42" ht="12" customHeight="1" x14ac:dyDescent="0.25">
      <c r="AP595" s="15" t="str">
        <f t="shared" si="9"/>
        <v/>
      </c>
    </row>
    <row r="596" spans="42:42" ht="12" customHeight="1" x14ac:dyDescent="0.25">
      <c r="AP596" s="15" t="str">
        <f t="shared" si="9"/>
        <v/>
      </c>
    </row>
    <row r="597" spans="42:42" ht="12" customHeight="1" x14ac:dyDescent="0.25">
      <c r="AP597" s="15" t="str">
        <f t="shared" si="9"/>
        <v/>
      </c>
    </row>
    <row r="598" spans="42:42" ht="12" customHeight="1" x14ac:dyDescent="0.25">
      <c r="AP598" s="15" t="str">
        <f t="shared" si="9"/>
        <v/>
      </c>
    </row>
    <row r="599" spans="42:42" ht="12" customHeight="1" x14ac:dyDescent="0.25">
      <c r="AP599" s="15" t="str">
        <f t="shared" si="9"/>
        <v/>
      </c>
    </row>
    <row r="600" spans="42:42" ht="12" customHeight="1" x14ac:dyDescent="0.25">
      <c r="AP600" s="15" t="str">
        <f t="shared" si="9"/>
        <v/>
      </c>
    </row>
    <row r="601" spans="42:42" ht="12" customHeight="1" x14ac:dyDescent="0.25">
      <c r="AP601" s="15" t="str">
        <f t="shared" si="9"/>
        <v/>
      </c>
    </row>
    <row r="602" spans="42:42" ht="12" customHeight="1" x14ac:dyDescent="0.25">
      <c r="AP602" s="15" t="str">
        <f t="shared" si="9"/>
        <v/>
      </c>
    </row>
    <row r="603" spans="42:42" ht="12" customHeight="1" x14ac:dyDescent="0.25">
      <c r="AP603" s="15" t="str">
        <f t="shared" si="9"/>
        <v/>
      </c>
    </row>
    <row r="604" spans="42:42" ht="12" customHeight="1" x14ac:dyDescent="0.25">
      <c r="AP604" s="15" t="str">
        <f t="shared" si="9"/>
        <v/>
      </c>
    </row>
    <row r="605" spans="42:42" ht="12" customHeight="1" x14ac:dyDescent="0.25">
      <c r="AP605" s="15" t="str">
        <f t="shared" si="9"/>
        <v/>
      </c>
    </row>
    <row r="606" spans="42:42" ht="12" customHeight="1" x14ac:dyDescent="0.25">
      <c r="AP606" s="15" t="str">
        <f t="shared" si="9"/>
        <v/>
      </c>
    </row>
    <row r="607" spans="42:42" ht="12" customHeight="1" x14ac:dyDescent="0.25">
      <c r="AP607" s="15" t="str">
        <f t="shared" si="9"/>
        <v/>
      </c>
    </row>
    <row r="608" spans="42:42" ht="12" customHeight="1" x14ac:dyDescent="0.25">
      <c r="AP608" s="15" t="str">
        <f t="shared" si="9"/>
        <v/>
      </c>
    </row>
    <row r="609" spans="42:42" ht="12" customHeight="1" x14ac:dyDescent="0.25">
      <c r="AP609" s="15" t="str">
        <f t="shared" si="9"/>
        <v/>
      </c>
    </row>
    <row r="610" spans="42:42" ht="12" customHeight="1" x14ac:dyDescent="0.25">
      <c r="AP610" s="15" t="str">
        <f t="shared" si="9"/>
        <v/>
      </c>
    </row>
    <row r="611" spans="42:42" ht="12" customHeight="1" x14ac:dyDescent="0.25">
      <c r="AP611" s="15" t="str">
        <f t="shared" si="9"/>
        <v/>
      </c>
    </row>
    <row r="612" spans="42:42" ht="12" customHeight="1" x14ac:dyDescent="0.25">
      <c r="AP612" s="15" t="str">
        <f t="shared" si="9"/>
        <v/>
      </c>
    </row>
    <row r="613" spans="42:42" ht="12" customHeight="1" x14ac:dyDescent="0.25">
      <c r="AP613" s="15" t="str">
        <f t="shared" si="9"/>
        <v/>
      </c>
    </row>
    <row r="614" spans="42:42" ht="12" customHeight="1" x14ac:dyDescent="0.25">
      <c r="AP614" s="15" t="str">
        <f t="shared" si="9"/>
        <v/>
      </c>
    </row>
    <row r="615" spans="42:42" ht="12" customHeight="1" x14ac:dyDescent="0.25">
      <c r="AP615" s="15" t="str">
        <f t="shared" si="9"/>
        <v/>
      </c>
    </row>
    <row r="616" spans="42:42" ht="12" customHeight="1" x14ac:dyDescent="0.25">
      <c r="AP616" s="15" t="str">
        <f t="shared" si="9"/>
        <v/>
      </c>
    </row>
    <row r="617" spans="42:42" ht="12" customHeight="1" x14ac:dyDescent="0.25">
      <c r="AP617" s="15" t="str">
        <f t="shared" si="9"/>
        <v/>
      </c>
    </row>
    <row r="618" spans="42:42" ht="12" customHeight="1" x14ac:dyDescent="0.25">
      <c r="AP618" s="15" t="str">
        <f t="shared" si="9"/>
        <v/>
      </c>
    </row>
    <row r="619" spans="42:42" ht="12" customHeight="1" x14ac:dyDescent="0.25">
      <c r="AP619" s="15" t="str">
        <f t="shared" si="9"/>
        <v/>
      </c>
    </row>
    <row r="620" spans="42:42" ht="12" customHeight="1" x14ac:dyDescent="0.25">
      <c r="AP620" s="15" t="str">
        <f t="shared" si="9"/>
        <v/>
      </c>
    </row>
    <row r="621" spans="42:42" ht="12" customHeight="1" x14ac:dyDescent="0.25">
      <c r="AP621" s="15" t="str">
        <f t="shared" si="9"/>
        <v/>
      </c>
    </row>
    <row r="622" spans="42:42" ht="12" customHeight="1" x14ac:dyDescent="0.25">
      <c r="AP622" s="15" t="str">
        <f t="shared" si="9"/>
        <v/>
      </c>
    </row>
    <row r="623" spans="42:42" ht="12" customHeight="1" x14ac:dyDescent="0.25">
      <c r="AP623" s="15" t="str">
        <f t="shared" si="9"/>
        <v/>
      </c>
    </row>
    <row r="624" spans="42:42" ht="12" customHeight="1" x14ac:dyDescent="0.25">
      <c r="AP624" s="15" t="str">
        <f t="shared" si="9"/>
        <v/>
      </c>
    </row>
    <row r="625" spans="42:42" ht="12" customHeight="1" x14ac:dyDescent="0.25">
      <c r="AP625" s="15" t="str">
        <f t="shared" si="9"/>
        <v/>
      </c>
    </row>
    <row r="626" spans="42:42" ht="12" customHeight="1" x14ac:dyDescent="0.25">
      <c r="AP626" s="15" t="str">
        <f t="shared" si="9"/>
        <v/>
      </c>
    </row>
    <row r="627" spans="42:42" ht="12" customHeight="1" x14ac:dyDescent="0.25">
      <c r="AP627" s="15" t="str">
        <f t="shared" si="9"/>
        <v/>
      </c>
    </row>
    <row r="628" spans="42:42" ht="12" customHeight="1" x14ac:dyDescent="0.25">
      <c r="AP628" s="15" t="str">
        <f t="shared" si="9"/>
        <v/>
      </c>
    </row>
    <row r="629" spans="42:42" ht="12" customHeight="1" x14ac:dyDescent="0.25">
      <c r="AP629" s="15" t="str">
        <f t="shared" si="9"/>
        <v/>
      </c>
    </row>
    <row r="630" spans="42:42" ht="12" customHeight="1" x14ac:dyDescent="0.25">
      <c r="AP630" s="15" t="str">
        <f t="shared" si="9"/>
        <v/>
      </c>
    </row>
    <row r="631" spans="42:42" ht="12" customHeight="1" x14ac:dyDescent="0.25">
      <c r="AP631" s="15" t="str">
        <f t="shared" si="9"/>
        <v/>
      </c>
    </row>
    <row r="632" spans="42:42" ht="12" customHeight="1" x14ac:dyDescent="0.25">
      <c r="AP632" s="15" t="str">
        <f t="shared" si="9"/>
        <v/>
      </c>
    </row>
    <row r="633" spans="42:42" ht="12" customHeight="1" x14ac:dyDescent="0.25">
      <c r="AP633" s="15" t="str">
        <f t="shared" si="9"/>
        <v/>
      </c>
    </row>
    <row r="634" spans="42:42" ht="12" customHeight="1" x14ac:dyDescent="0.25">
      <c r="AP634" s="15" t="str">
        <f t="shared" si="9"/>
        <v/>
      </c>
    </row>
    <row r="635" spans="42:42" ht="12" customHeight="1" x14ac:dyDescent="0.25">
      <c r="AP635" s="15" t="str">
        <f t="shared" si="9"/>
        <v/>
      </c>
    </row>
    <row r="636" spans="42:42" ht="12" customHeight="1" x14ac:dyDescent="0.25">
      <c r="AP636" s="15" t="str">
        <f t="shared" si="9"/>
        <v/>
      </c>
    </row>
    <row r="637" spans="42:42" ht="12" customHeight="1" x14ac:dyDescent="0.25">
      <c r="AP637" s="15" t="str">
        <f t="shared" si="9"/>
        <v/>
      </c>
    </row>
    <row r="638" spans="42:42" ht="12" customHeight="1" x14ac:dyDescent="0.25">
      <c r="AP638" s="15" t="str">
        <f t="shared" si="9"/>
        <v/>
      </c>
    </row>
    <row r="639" spans="42:42" ht="12" customHeight="1" x14ac:dyDescent="0.25">
      <c r="AP639" s="15" t="str">
        <f t="shared" si="9"/>
        <v/>
      </c>
    </row>
    <row r="640" spans="42:42" ht="12" customHeight="1" x14ac:dyDescent="0.25">
      <c r="AP640" s="15" t="str">
        <f t="shared" si="9"/>
        <v/>
      </c>
    </row>
    <row r="641" spans="42:42" ht="12" customHeight="1" x14ac:dyDescent="0.25">
      <c r="AP641" s="15" t="str">
        <f t="shared" si="9"/>
        <v/>
      </c>
    </row>
    <row r="642" spans="42:42" ht="12" customHeight="1" x14ac:dyDescent="0.25">
      <c r="AP642" s="15" t="str">
        <f t="shared" si="9"/>
        <v/>
      </c>
    </row>
    <row r="643" spans="42:42" ht="12" customHeight="1" x14ac:dyDescent="0.25">
      <c r="AP643" s="15" t="str">
        <f t="shared" si="9"/>
        <v/>
      </c>
    </row>
    <row r="644" spans="42:42" ht="12" customHeight="1" x14ac:dyDescent="0.25">
      <c r="AP644" s="15" t="str">
        <f t="shared" si="9"/>
        <v/>
      </c>
    </row>
    <row r="645" spans="42:42" ht="12" customHeight="1" x14ac:dyDescent="0.25">
      <c r="AP645" s="15" t="str">
        <f t="shared" si="9"/>
        <v/>
      </c>
    </row>
    <row r="646" spans="42:42" ht="12" customHeight="1" x14ac:dyDescent="0.25">
      <c r="AP646" s="15" t="str">
        <f t="shared" si="9"/>
        <v/>
      </c>
    </row>
    <row r="647" spans="42:42" ht="12" customHeight="1" x14ac:dyDescent="0.25">
      <c r="AP647" s="15" t="str">
        <f t="shared" si="9"/>
        <v/>
      </c>
    </row>
    <row r="648" spans="42:42" ht="12" customHeight="1" x14ac:dyDescent="0.25">
      <c r="AP648" s="15" t="str">
        <f t="shared" ref="AP648:AP711" si="10">IF(AO648="", "", AO648&amp;"["&amp;AN648&amp;"]")</f>
        <v/>
      </c>
    </row>
    <row r="649" spans="42:42" ht="12" customHeight="1" x14ac:dyDescent="0.25">
      <c r="AP649" s="15" t="str">
        <f t="shared" si="10"/>
        <v/>
      </c>
    </row>
    <row r="650" spans="42:42" ht="12" customHeight="1" x14ac:dyDescent="0.25">
      <c r="AP650" s="15" t="str">
        <f t="shared" si="10"/>
        <v/>
      </c>
    </row>
    <row r="651" spans="42:42" ht="12" customHeight="1" x14ac:dyDescent="0.25">
      <c r="AP651" s="15" t="str">
        <f t="shared" si="10"/>
        <v/>
      </c>
    </row>
    <row r="652" spans="42:42" ht="12" customHeight="1" x14ac:dyDescent="0.25">
      <c r="AP652" s="15" t="str">
        <f t="shared" si="10"/>
        <v/>
      </c>
    </row>
    <row r="653" spans="42:42" ht="12" customHeight="1" x14ac:dyDescent="0.25">
      <c r="AP653" s="15" t="str">
        <f t="shared" si="10"/>
        <v/>
      </c>
    </row>
    <row r="654" spans="42:42" ht="12" customHeight="1" x14ac:dyDescent="0.25">
      <c r="AP654" s="15" t="str">
        <f t="shared" si="10"/>
        <v/>
      </c>
    </row>
    <row r="655" spans="42:42" ht="12" customHeight="1" x14ac:dyDescent="0.25">
      <c r="AP655" s="15" t="str">
        <f t="shared" si="10"/>
        <v/>
      </c>
    </row>
    <row r="656" spans="42:42" ht="12" customHeight="1" x14ac:dyDescent="0.25">
      <c r="AP656" s="15" t="str">
        <f t="shared" si="10"/>
        <v/>
      </c>
    </row>
    <row r="657" spans="42:42" ht="12" customHeight="1" x14ac:dyDescent="0.25">
      <c r="AP657" s="15" t="str">
        <f t="shared" si="10"/>
        <v/>
      </c>
    </row>
    <row r="658" spans="42:42" ht="12" customHeight="1" x14ac:dyDescent="0.25">
      <c r="AP658" s="15" t="str">
        <f t="shared" si="10"/>
        <v/>
      </c>
    </row>
    <row r="659" spans="42:42" ht="12" customHeight="1" x14ac:dyDescent="0.25">
      <c r="AP659" s="15" t="str">
        <f t="shared" si="10"/>
        <v/>
      </c>
    </row>
    <row r="660" spans="42:42" ht="12" customHeight="1" x14ac:dyDescent="0.25">
      <c r="AP660" s="15" t="str">
        <f t="shared" si="10"/>
        <v/>
      </c>
    </row>
    <row r="661" spans="42:42" ht="12" customHeight="1" x14ac:dyDescent="0.25">
      <c r="AP661" s="15" t="str">
        <f t="shared" si="10"/>
        <v/>
      </c>
    </row>
    <row r="662" spans="42:42" ht="12" customHeight="1" x14ac:dyDescent="0.25">
      <c r="AP662" s="15" t="str">
        <f t="shared" si="10"/>
        <v/>
      </c>
    </row>
    <row r="663" spans="42:42" ht="12" customHeight="1" x14ac:dyDescent="0.25">
      <c r="AP663" s="15" t="str">
        <f t="shared" si="10"/>
        <v/>
      </c>
    </row>
    <row r="664" spans="42:42" ht="12" customHeight="1" x14ac:dyDescent="0.25">
      <c r="AP664" s="15" t="str">
        <f t="shared" si="10"/>
        <v/>
      </c>
    </row>
    <row r="665" spans="42:42" ht="12" customHeight="1" x14ac:dyDescent="0.25">
      <c r="AP665" s="15" t="str">
        <f t="shared" si="10"/>
        <v/>
      </c>
    </row>
    <row r="666" spans="42:42" ht="12" customHeight="1" x14ac:dyDescent="0.25">
      <c r="AP666" s="15" t="str">
        <f t="shared" si="10"/>
        <v/>
      </c>
    </row>
    <row r="667" spans="42:42" ht="12" customHeight="1" x14ac:dyDescent="0.25">
      <c r="AP667" s="15" t="str">
        <f t="shared" si="10"/>
        <v/>
      </c>
    </row>
    <row r="668" spans="42:42" ht="12" customHeight="1" x14ac:dyDescent="0.25">
      <c r="AP668" s="15" t="str">
        <f t="shared" si="10"/>
        <v/>
      </c>
    </row>
    <row r="669" spans="42:42" ht="12" customHeight="1" x14ac:dyDescent="0.25">
      <c r="AP669" s="15" t="str">
        <f t="shared" si="10"/>
        <v/>
      </c>
    </row>
    <row r="670" spans="42:42" ht="12" customHeight="1" x14ac:dyDescent="0.25">
      <c r="AP670" s="15" t="str">
        <f t="shared" si="10"/>
        <v/>
      </c>
    </row>
    <row r="671" spans="42:42" ht="12" customHeight="1" x14ac:dyDescent="0.25">
      <c r="AP671" s="15" t="str">
        <f t="shared" si="10"/>
        <v/>
      </c>
    </row>
    <row r="672" spans="42:42" ht="12" customHeight="1" x14ac:dyDescent="0.25">
      <c r="AP672" s="15" t="str">
        <f t="shared" si="10"/>
        <v/>
      </c>
    </row>
    <row r="673" spans="42:42" ht="12" customHeight="1" x14ac:dyDescent="0.25">
      <c r="AP673" s="15" t="str">
        <f t="shared" si="10"/>
        <v/>
      </c>
    </row>
    <row r="674" spans="42:42" ht="12" customHeight="1" x14ac:dyDescent="0.25">
      <c r="AP674" s="15" t="str">
        <f t="shared" si="10"/>
        <v/>
      </c>
    </row>
    <row r="675" spans="42:42" ht="12" customHeight="1" x14ac:dyDescent="0.25">
      <c r="AP675" s="15" t="str">
        <f t="shared" si="10"/>
        <v/>
      </c>
    </row>
    <row r="676" spans="42:42" ht="12" customHeight="1" x14ac:dyDescent="0.25">
      <c r="AP676" s="15" t="str">
        <f t="shared" si="10"/>
        <v/>
      </c>
    </row>
    <row r="677" spans="42:42" ht="12" customHeight="1" x14ac:dyDescent="0.25">
      <c r="AP677" s="15" t="str">
        <f t="shared" si="10"/>
        <v/>
      </c>
    </row>
    <row r="678" spans="42:42" ht="12" customHeight="1" x14ac:dyDescent="0.25">
      <c r="AP678" s="15" t="str">
        <f t="shared" si="10"/>
        <v/>
      </c>
    </row>
    <row r="679" spans="42:42" ht="12" customHeight="1" x14ac:dyDescent="0.25">
      <c r="AP679" s="15" t="str">
        <f t="shared" si="10"/>
        <v/>
      </c>
    </row>
    <row r="680" spans="42:42" ht="12" customHeight="1" x14ac:dyDescent="0.25">
      <c r="AP680" s="15" t="str">
        <f t="shared" si="10"/>
        <v/>
      </c>
    </row>
    <row r="681" spans="42:42" ht="12" customHeight="1" x14ac:dyDescent="0.25">
      <c r="AP681" s="15" t="str">
        <f t="shared" si="10"/>
        <v/>
      </c>
    </row>
    <row r="682" spans="42:42" ht="12" customHeight="1" x14ac:dyDescent="0.25">
      <c r="AP682" s="15" t="str">
        <f t="shared" si="10"/>
        <v/>
      </c>
    </row>
    <row r="683" spans="42:42" ht="12" customHeight="1" x14ac:dyDescent="0.25">
      <c r="AP683" s="15" t="str">
        <f t="shared" si="10"/>
        <v/>
      </c>
    </row>
    <row r="684" spans="42:42" ht="12" customHeight="1" x14ac:dyDescent="0.25">
      <c r="AP684" s="15" t="str">
        <f t="shared" si="10"/>
        <v/>
      </c>
    </row>
    <row r="685" spans="42:42" ht="12" customHeight="1" x14ac:dyDescent="0.25">
      <c r="AP685" s="15" t="str">
        <f t="shared" si="10"/>
        <v/>
      </c>
    </row>
    <row r="686" spans="42:42" ht="12" customHeight="1" x14ac:dyDescent="0.25">
      <c r="AP686" s="15" t="str">
        <f t="shared" si="10"/>
        <v/>
      </c>
    </row>
    <row r="687" spans="42:42" ht="12" customHeight="1" x14ac:dyDescent="0.25">
      <c r="AP687" s="15" t="str">
        <f t="shared" si="10"/>
        <v/>
      </c>
    </row>
    <row r="688" spans="42:42" ht="12" customHeight="1" x14ac:dyDescent="0.25">
      <c r="AP688" s="15" t="str">
        <f t="shared" si="10"/>
        <v/>
      </c>
    </row>
    <row r="689" spans="42:42" ht="12" customHeight="1" x14ac:dyDescent="0.25">
      <c r="AP689" s="15" t="str">
        <f t="shared" si="10"/>
        <v/>
      </c>
    </row>
    <row r="690" spans="42:42" ht="12" customHeight="1" x14ac:dyDescent="0.25">
      <c r="AP690" s="15" t="str">
        <f t="shared" si="10"/>
        <v/>
      </c>
    </row>
    <row r="691" spans="42:42" ht="12" customHeight="1" x14ac:dyDescent="0.25">
      <c r="AP691" s="15" t="str">
        <f t="shared" si="10"/>
        <v/>
      </c>
    </row>
    <row r="692" spans="42:42" ht="12" customHeight="1" x14ac:dyDescent="0.25">
      <c r="AP692" s="15" t="str">
        <f t="shared" si="10"/>
        <v/>
      </c>
    </row>
    <row r="693" spans="42:42" ht="12" customHeight="1" x14ac:dyDescent="0.25">
      <c r="AP693" s="15" t="str">
        <f t="shared" si="10"/>
        <v/>
      </c>
    </row>
    <row r="694" spans="42:42" ht="12" customHeight="1" x14ac:dyDescent="0.25">
      <c r="AP694" s="15" t="str">
        <f t="shared" si="10"/>
        <v/>
      </c>
    </row>
    <row r="695" spans="42:42" ht="12" customHeight="1" x14ac:dyDescent="0.25">
      <c r="AP695" s="15" t="str">
        <f t="shared" si="10"/>
        <v/>
      </c>
    </row>
    <row r="696" spans="42:42" ht="12" customHeight="1" x14ac:dyDescent="0.25">
      <c r="AP696" s="15" t="str">
        <f t="shared" si="10"/>
        <v/>
      </c>
    </row>
    <row r="697" spans="42:42" ht="12" customHeight="1" x14ac:dyDescent="0.25">
      <c r="AP697" s="15" t="str">
        <f t="shared" si="10"/>
        <v/>
      </c>
    </row>
    <row r="698" spans="42:42" ht="12" customHeight="1" x14ac:dyDescent="0.25">
      <c r="AP698" s="15" t="str">
        <f t="shared" si="10"/>
        <v/>
      </c>
    </row>
    <row r="699" spans="42:42" ht="12" customHeight="1" x14ac:dyDescent="0.25">
      <c r="AP699" s="15" t="str">
        <f t="shared" si="10"/>
        <v/>
      </c>
    </row>
    <row r="700" spans="42:42" ht="12" customHeight="1" x14ac:dyDescent="0.25">
      <c r="AP700" s="15" t="str">
        <f t="shared" si="10"/>
        <v/>
      </c>
    </row>
    <row r="701" spans="42:42" ht="12" customHeight="1" x14ac:dyDescent="0.25">
      <c r="AP701" s="15" t="str">
        <f t="shared" si="10"/>
        <v/>
      </c>
    </row>
    <row r="702" spans="42:42" ht="12" customHeight="1" x14ac:dyDescent="0.25">
      <c r="AP702" s="15" t="str">
        <f t="shared" si="10"/>
        <v/>
      </c>
    </row>
    <row r="703" spans="42:42" ht="12" customHeight="1" x14ac:dyDescent="0.25">
      <c r="AP703" s="15" t="str">
        <f t="shared" si="10"/>
        <v/>
      </c>
    </row>
    <row r="704" spans="42:42" ht="12" customHeight="1" x14ac:dyDescent="0.25">
      <c r="AP704" s="15" t="str">
        <f t="shared" si="10"/>
        <v/>
      </c>
    </row>
    <row r="705" spans="42:42" ht="12" customHeight="1" x14ac:dyDescent="0.25">
      <c r="AP705" s="15" t="str">
        <f t="shared" si="10"/>
        <v/>
      </c>
    </row>
    <row r="706" spans="42:42" ht="12" customHeight="1" x14ac:dyDescent="0.25">
      <c r="AP706" s="15" t="str">
        <f t="shared" si="10"/>
        <v/>
      </c>
    </row>
    <row r="707" spans="42:42" ht="12" customHeight="1" x14ac:dyDescent="0.25">
      <c r="AP707" s="15" t="str">
        <f t="shared" si="10"/>
        <v/>
      </c>
    </row>
    <row r="708" spans="42:42" ht="12" customHeight="1" x14ac:dyDescent="0.25">
      <c r="AP708" s="15" t="str">
        <f t="shared" si="10"/>
        <v/>
      </c>
    </row>
    <row r="709" spans="42:42" ht="12" customHeight="1" x14ac:dyDescent="0.25">
      <c r="AP709" s="15" t="str">
        <f t="shared" si="10"/>
        <v/>
      </c>
    </row>
    <row r="710" spans="42:42" ht="12" customHeight="1" x14ac:dyDescent="0.25">
      <c r="AP710" s="15" t="str">
        <f t="shared" si="10"/>
        <v/>
      </c>
    </row>
    <row r="711" spans="42:42" ht="12" customHeight="1" x14ac:dyDescent="0.25">
      <c r="AP711" s="15" t="str">
        <f t="shared" si="10"/>
        <v/>
      </c>
    </row>
    <row r="712" spans="42:42" ht="12" customHeight="1" x14ac:dyDescent="0.25">
      <c r="AP712" s="15" t="str">
        <f t="shared" ref="AP712:AP775" si="11">IF(AO712="", "", AO712&amp;"["&amp;AN712&amp;"]")</f>
        <v/>
      </c>
    </row>
    <row r="713" spans="42:42" ht="12" customHeight="1" x14ac:dyDescent="0.25">
      <c r="AP713" s="15" t="str">
        <f t="shared" si="11"/>
        <v/>
      </c>
    </row>
    <row r="714" spans="42:42" ht="12" customHeight="1" x14ac:dyDescent="0.25">
      <c r="AP714" s="15" t="str">
        <f t="shared" si="11"/>
        <v/>
      </c>
    </row>
    <row r="715" spans="42:42" ht="12" customHeight="1" x14ac:dyDescent="0.25">
      <c r="AP715" s="15" t="str">
        <f t="shared" si="11"/>
        <v/>
      </c>
    </row>
    <row r="716" spans="42:42" ht="12" customHeight="1" x14ac:dyDescent="0.25">
      <c r="AP716" s="15" t="str">
        <f t="shared" si="11"/>
        <v/>
      </c>
    </row>
    <row r="717" spans="42:42" ht="12" customHeight="1" x14ac:dyDescent="0.25">
      <c r="AP717" s="15" t="str">
        <f t="shared" si="11"/>
        <v/>
      </c>
    </row>
    <row r="718" spans="42:42" ht="12" customHeight="1" x14ac:dyDescent="0.25">
      <c r="AP718" s="15" t="str">
        <f t="shared" si="11"/>
        <v/>
      </c>
    </row>
    <row r="719" spans="42:42" ht="12" customHeight="1" x14ac:dyDescent="0.25">
      <c r="AP719" s="15" t="str">
        <f t="shared" si="11"/>
        <v/>
      </c>
    </row>
    <row r="720" spans="42:42" ht="12" customHeight="1" x14ac:dyDescent="0.25">
      <c r="AP720" s="15" t="str">
        <f t="shared" si="11"/>
        <v/>
      </c>
    </row>
    <row r="721" spans="42:42" ht="12" customHeight="1" x14ac:dyDescent="0.25">
      <c r="AP721" s="15" t="str">
        <f t="shared" si="11"/>
        <v/>
      </c>
    </row>
    <row r="722" spans="42:42" ht="12" customHeight="1" x14ac:dyDescent="0.25">
      <c r="AP722" s="15" t="str">
        <f t="shared" si="11"/>
        <v/>
      </c>
    </row>
    <row r="723" spans="42:42" ht="12" customHeight="1" x14ac:dyDescent="0.25">
      <c r="AP723" s="15" t="str">
        <f t="shared" si="11"/>
        <v/>
      </c>
    </row>
    <row r="724" spans="42:42" ht="12" customHeight="1" x14ac:dyDescent="0.25">
      <c r="AP724" s="15" t="str">
        <f t="shared" si="11"/>
        <v/>
      </c>
    </row>
    <row r="725" spans="42:42" ht="12" customHeight="1" x14ac:dyDescent="0.25">
      <c r="AP725" s="15" t="str">
        <f t="shared" si="11"/>
        <v/>
      </c>
    </row>
    <row r="726" spans="42:42" ht="12" customHeight="1" x14ac:dyDescent="0.25">
      <c r="AP726" s="15" t="str">
        <f t="shared" si="11"/>
        <v/>
      </c>
    </row>
    <row r="727" spans="42:42" ht="12" customHeight="1" x14ac:dyDescent="0.25">
      <c r="AP727" s="15" t="str">
        <f t="shared" si="11"/>
        <v/>
      </c>
    </row>
    <row r="728" spans="42:42" ht="12" customHeight="1" x14ac:dyDescent="0.25">
      <c r="AP728" s="15" t="str">
        <f t="shared" si="11"/>
        <v/>
      </c>
    </row>
    <row r="729" spans="42:42" ht="12" customHeight="1" x14ac:dyDescent="0.25">
      <c r="AP729" s="15" t="str">
        <f t="shared" si="11"/>
        <v/>
      </c>
    </row>
    <row r="730" spans="42:42" ht="12" customHeight="1" x14ac:dyDescent="0.25">
      <c r="AP730" s="15" t="str">
        <f t="shared" si="11"/>
        <v/>
      </c>
    </row>
    <row r="731" spans="42:42" ht="12" customHeight="1" x14ac:dyDescent="0.25">
      <c r="AP731" s="15" t="str">
        <f t="shared" si="11"/>
        <v/>
      </c>
    </row>
    <row r="732" spans="42:42" ht="12" customHeight="1" x14ac:dyDescent="0.25">
      <c r="AP732" s="15" t="str">
        <f t="shared" si="11"/>
        <v/>
      </c>
    </row>
    <row r="733" spans="42:42" ht="12" customHeight="1" x14ac:dyDescent="0.25">
      <c r="AP733" s="15" t="str">
        <f t="shared" si="11"/>
        <v/>
      </c>
    </row>
    <row r="734" spans="42:42" ht="12" customHeight="1" x14ac:dyDescent="0.25">
      <c r="AP734" s="15" t="str">
        <f t="shared" si="11"/>
        <v/>
      </c>
    </row>
    <row r="735" spans="42:42" ht="12" customHeight="1" x14ac:dyDescent="0.25">
      <c r="AP735" s="15" t="str">
        <f t="shared" si="11"/>
        <v/>
      </c>
    </row>
    <row r="736" spans="42:42" ht="12" customHeight="1" x14ac:dyDescent="0.25">
      <c r="AP736" s="15" t="str">
        <f t="shared" si="11"/>
        <v/>
      </c>
    </row>
    <row r="737" spans="42:42" ht="12" customHeight="1" x14ac:dyDescent="0.25">
      <c r="AP737" s="15" t="str">
        <f t="shared" si="11"/>
        <v/>
      </c>
    </row>
    <row r="738" spans="42:42" ht="12" customHeight="1" x14ac:dyDescent="0.25">
      <c r="AP738" s="15" t="str">
        <f t="shared" si="11"/>
        <v/>
      </c>
    </row>
    <row r="739" spans="42:42" ht="12" customHeight="1" x14ac:dyDescent="0.25">
      <c r="AP739" s="15" t="str">
        <f t="shared" si="11"/>
        <v/>
      </c>
    </row>
    <row r="740" spans="42:42" ht="12" customHeight="1" x14ac:dyDescent="0.25">
      <c r="AP740" s="15" t="str">
        <f t="shared" si="11"/>
        <v/>
      </c>
    </row>
    <row r="741" spans="42:42" ht="12" customHeight="1" x14ac:dyDescent="0.25">
      <c r="AP741" s="15" t="str">
        <f t="shared" si="11"/>
        <v/>
      </c>
    </row>
    <row r="742" spans="42:42" ht="12" customHeight="1" x14ac:dyDescent="0.25">
      <c r="AP742" s="15" t="str">
        <f t="shared" si="11"/>
        <v/>
      </c>
    </row>
    <row r="743" spans="42:42" ht="12" customHeight="1" x14ac:dyDescent="0.25">
      <c r="AP743" s="15" t="str">
        <f t="shared" si="11"/>
        <v/>
      </c>
    </row>
    <row r="744" spans="42:42" ht="12" customHeight="1" x14ac:dyDescent="0.25">
      <c r="AP744" s="15" t="str">
        <f t="shared" si="11"/>
        <v/>
      </c>
    </row>
    <row r="745" spans="42:42" ht="12" customHeight="1" x14ac:dyDescent="0.25">
      <c r="AP745" s="15" t="str">
        <f t="shared" si="11"/>
        <v/>
      </c>
    </row>
    <row r="746" spans="42:42" ht="12" customHeight="1" x14ac:dyDescent="0.25">
      <c r="AP746" s="15" t="str">
        <f t="shared" si="11"/>
        <v/>
      </c>
    </row>
    <row r="747" spans="42:42" ht="12" customHeight="1" x14ac:dyDescent="0.25">
      <c r="AP747" s="15" t="str">
        <f t="shared" si="11"/>
        <v/>
      </c>
    </row>
    <row r="748" spans="42:42" ht="12" customHeight="1" x14ac:dyDescent="0.25">
      <c r="AP748" s="15" t="str">
        <f t="shared" si="11"/>
        <v/>
      </c>
    </row>
    <row r="749" spans="42:42" ht="12" customHeight="1" x14ac:dyDescent="0.25">
      <c r="AP749" s="15" t="str">
        <f t="shared" si="11"/>
        <v/>
      </c>
    </row>
    <row r="750" spans="42:42" ht="12" customHeight="1" x14ac:dyDescent="0.25">
      <c r="AP750" s="15" t="str">
        <f t="shared" si="11"/>
        <v/>
      </c>
    </row>
    <row r="751" spans="42:42" ht="12" customHeight="1" x14ac:dyDescent="0.25">
      <c r="AP751" s="15" t="str">
        <f t="shared" si="11"/>
        <v/>
      </c>
    </row>
    <row r="752" spans="42:42" ht="12" customHeight="1" x14ac:dyDescent="0.25">
      <c r="AP752" s="15" t="str">
        <f t="shared" si="11"/>
        <v/>
      </c>
    </row>
    <row r="753" spans="42:42" ht="12" customHeight="1" x14ac:dyDescent="0.25">
      <c r="AP753" s="15" t="str">
        <f t="shared" si="11"/>
        <v/>
      </c>
    </row>
    <row r="754" spans="42:42" ht="12" customHeight="1" x14ac:dyDescent="0.25">
      <c r="AP754" s="15" t="str">
        <f t="shared" si="11"/>
        <v/>
      </c>
    </row>
    <row r="755" spans="42:42" ht="12" customHeight="1" x14ac:dyDescent="0.25">
      <c r="AP755" s="15" t="str">
        <f t="shared" si="11"/>
        <v/>
      </c>
    </row>
    <row r="756" spans="42:42" ht="12" customHeight="1" x14ac:dyDescent="0.25">
      <c r="AP756" s="15" t="str">
        <f t="shared" si="11"/>
        <v/>
      </c>
    </row>
    <row r="757" spans="42:42" ht="12" customHeight="1" x14ac:dyDescent="0.25">
      <c r="AP757" s="15" t="str">
        <f t="shared" si="11"/>
        <v/>
      </c>
    </row>
    <row r="758" spans="42:42" ht="12" customHeight="1" x14ac:dyDescent="0.25">
      <c r="AP758" s="15" t="str">
        <f t="shared" si="11"/>
        <v/>
      </c>
    </row>
    <row r="759" spans="42:42" ht="12" customHeight="1" x14ac:dyDescent="0.25">
      <c r="AP759" s="15" t="str">
        <f t="shared" si="11"/>
        <v/>
      </c>
    </row>
    <row r="760" spans="42:42" ht="12" customHeight="1" x14ac:dyDescent="0.25">
      <c r="AP760" s="15" t="str">
        <f t="shared" si="11"/>
        <v/>
      </c>
    </row>
    <row r="761" spans="42:42" ht="12" customHeight="1" x14ac:dyDescent="0.25">
      <c r="AP761" s="15" t="str">
        <f t="shared" si="11"/>
        <v/>
      </c>
    </row>
    <row r="762" spans="42:42" ht="12" customHeight="1" x14ac:dyDescent="0.25">
      <c r="AP762" s="15" t="str">
        <f t="shared" si="11"/>
        <v/>
      </c>
    </row>
    <row r="763" spans="42:42" ht="12" customHeight="1" x14ac:dyDescent="0.25">
      <c r="AP763" s="15" t="str">
        <f t="shared" si="11"/>
        <v/>
      </c>
    </row>
    <row r="764" spans="42:42" ht="12" customHeight="1" x14ac:dyDescent="0.25">
      <c r="AP764" s="15" t="str">
        <f t="shared" si="11"/>
        <v/>
      </c>
    </row>
    <row r="765" spans="42:42" ht="12" customHeight="1" x14ac:dyDescent="0.25">
      <c r="AP765" s="15" t="str">
        <f t="shared" si="11"/>
        <v/>
      </c>
    </row>
    <row r="766" spans="42:42" ht="12" customHeight="1" x14ac:dyDescent="0.25">
      <c r="AP766" s="15" t="str">
        <f t="shared" si="11"/>
        <v/>
      </c>
    </row>
    <row r="767" spans="42:42" ht="12" customHeight="1" x14ac:dyDescent="0.25">
      <c r="AP767" s="15" t="str">
        <f t="shared" si="11"/>
        <v/>
      </c>
    </row>
    <row r="768" spans="42:42" ht="12" customHeight="1" x14ac:dyDescent="0.25">
      <c r="AP768" s="15" t="str">
        <f t="shared" si="11"/>
        <v/>
      </c>
    </row>
    <row r="769" spans="42:42" ht="12" customHeight="1" x14ac:dyDescent="0.25">
      <c r="AP769" s="15" t="str">
        <f t="shared" si="11"/>
        <v/>
      </c>
    </row>
    <row r="770" spans="42:42" ht="12" customHeight="1" x14ac:dyDescent="0.25">
      <c r="AP770" s="15" t="str">
        <f t="shared" si="11"/>
        <v/>
      </c>
    </row>
    <row r="771" spans="42:42" ht="12" customHeight="1" x14ac:dyDescent="0.25">
      <c r="AP771" s="15" t="str">
        <f t="shared" si="11"/>
        <v/>
      </c>
    </row>
    <row r="772" spans="42:42" ht="12" customHeight="1" x14ac:dyDescent="0.25">
      <c r="AP772" s="15" t="str">
        <f t="shared" si="11"/>
        <v/>
      </c>
    </row>
    <row r="773" spans="42:42" ht="12" customHeight="1" x14ac:dyDescent="0.25">
      <c r="AP773" s="15" t="str">
        <f t="shared" si="11"/>
        <v/>
      </c>
    </row>
    <row r="774" spans="42:42" ht="12" customHeight="1" x14ac:dyDescent="0.25">
      <c r="AP774" s="15" t="str">
        <f t="shared" si="11"/>
        <v/>
      </c>
    </row>
    <row r="775" spans="42:42" ht="12" customHeight="1" x14ac:dyDescent="0.25">
      <c r="AP775" s="15" t="str">
        <f t="shared" si="11"/>
        <v/>
      </c>
    </row>
    <row r="776" spans="42:42" ht="12" customHeight="1" x14ac:dyDescent="0.25">
      <c r="AP776" s="15" t="str">
        <f t="shared" ref="AP776:AP839" si="12">IF(AO776="", "", AO776&amp;"["&amp;AN776&amp;"]")</f>
        <v/>
      </c>
    </row>
    <row r="777" spans="42:42" ht="12" customHeight="1" x14ac:dyDescent="0.25">
      <c r="AP777" s="15" t="str">
        <f t="shared" si="12"/>
        <v/>
      </c>
    </row>
    <row r="778" spans="42:42" ht="12" customHeight="1" x14ac:dyDescent="0.25">
      <c r="AP778" s="15" t="str">
        <f t="shared" si="12"/>
        <v/>
      </c>
    </row>
    <row r="779" spans="42:42" ht="12" customHeight="1" x14ac:dyDescent="0.25">
      <c r="AP779" s="15" t="str">
        <f t="shared" si="12"/>
        <v/>
      </c>
    </row>
    <row r="780" spans="42:42" ht="12" customHeight="1" x14ac:dyDescent="0.25">
      <c r="AP780" s="15" t="str">
        <f t="shared" si="12"/>
        <v/>
      </c>
    </row>
    <row r="781" spans="42:42" ht="12" customHeight="1" x14ac:dyDescent="0.25">
      <c r="AP781" s="15" t="str">
        <f t="shared" si="12"/>
        <v/>
      </c>
    </row>
    <row r="782" spans="42:42" ht="12" customHeight="1" x14ac:dyDescent="0.25">
      <c r="AP782" s="15" t="str">
        <f t="shared" si="12"/>
        <v/>
      </c>
    </row>
    <row r="783" spans="42:42" ht="12" customHeight="1" x14ac:dyDescent="0.25">
      <c r="AP783" s="15" t="str">
        <f t="shared" si="12"/>
        <v/>
      </c>
    </row>
    <row r="784" spans="42:42" ht="12" customHeight="1" x14ac:dyDescent="0.25">
      <c r="AP784" s="15" t="str">
        <f t="shared" si="12"/>
        <v/>
      </c>
    </row>
    <row r="785" spans="42:42" ht="12" customHeight="1" x14ac:dyDescent="0.25">
      <c r="AP785" s="15" t="str">
        <f t="shared" si="12"/>
        <v/>
      </c>
    </row>
    <row r="786" spans="42:42" ht="12" customHeight="1" x14ac:dyDescent="0.25">
      <c r="AP786" s="15" t="str">
        <f t="shared" si="12"/>
        <v/>
      </c>
    </row>
    <row r="787" spans="42:42" ht="12" customHeight="1" x14ac:dyDescent="0.25">
      <c r="AP787" s="15" t="str">
        <f t="shared" si="12"/>
        <v/>
      </c>
    </row>
    <row r="788" spans="42:42" ht="12" customHeight="1" x14ac:dyDescent="0.25">
      <c r="AP788" s="15" t="str">
        <f t="shared" si="12"/>
        <v/>
      </c>
    </row>
    <row r="789" spans="42:42" ht="12" customHeight="1" x14ac:dyDescent="0.25">
      <c r="AP789" s="15" t="str">
        <f t="shared" si="12"/>
        <v/>
      </c>
    </row>
    <row r="790" spans="42:42" ht="12" customHeight="1" x14ac:dyDescent="0.25">
      <c r="AP790" s="15" t="str">
        <f t="shared" si="12"/>
        <v/>
      </c>
    </row>
    <row r="791" spans="42:42" ht="12" customHeight="1" x14ac:dyDescent="0.25">
      <c r="AP791" s="15" t="str">
        <f t="shared" si="12"/>
        <v/>
      </c>
    </row>
    <row r="792" spans="42:42" ht="12" customHeight="1" x14ac:dyDescent="0.25">
      <c r="AP792" s="15" t="str">
        <f t="shared" si="12"/>
        <v/>
      </c>
    </row>
    <row r="793" spans="42:42" ht="12" customHeight="1" x14ac:dyDescent="0.25">
      <c r="AP793" s="15" t="str">
        <f t="shared" si="12"/>
        <v/>
      </c>
    </row>
    <row r="794" spans="42:42" ht="12" customHeight="1" x14ac:dyDescent="0.25">
      <c r="AP794" s="15" t="str">
        <f t="shared" si="12"/>
        <v/>
      </c>
    </row>
    <row r="795" spans="42:42" ht="12" customHeight="1" x14ac:dyDescent="0.25">
      <c r="AP795" s="15" t="str">
        <f t="shared" si="12"/>
        <v/>
      </c>
    </row>
    <row r="796" spans="42:42" ht="12" customHeight="1" x14ac:dyDescent="0.25">
      <c r="AP796" s="15" t="str">
        <f t="shared" si="12"/>
        <v/>
      </c>
    </row>
    <row r="797" spans="42:42" ht="12" customHeight="1" x14ac:dyDescent="0.25">
      <c r="AP797" s="15" t="str">
        <f t="shared" si="12"/>
        <v/>
      </c>
    </row>
    <row r="798" spans="42:42" ht="12" customHeight="1" x14ac:dyDescent="0.25">
      <c r="AP798" s="15" t="str">
        <f t="shared" si="12"/>
        <v/>
      </c>
    </row>
    <row r="799" spans="42:42" ht="12" customHeight="1" x14ac:dyDescent="0.25">
      <c r="AP799" s="15" t="str">
        <f t="shared" si="12"/>
        <v/>
      </c>
    </row>
    <row r="800" spans="42:42" ht="12" customHeight="1" x14ac:dyDescent="0.25">
      <c r="AP800" s="15" t="str">
        <f t="shared" si="12"/>
        <v/>
      </c>
    </row>
    <row r="801" spans="42:42" ht="12" customHeight="1" x14ac:dyDescent="0.25">
      <c r="AP801" s="15" t="str">
        <f t="shared" si="12"/>
        <v/>
      </c>
    </row>
    <row r="802" spans="42:42" ht="12" customHeight="1" x14ac:dyDescent="0.25">
      <c r="AP802" s="15" t="str">
        <f t="shared" si="12"/>
        <v/>
      </c>
    </row>
    <row r="803" spans="42:42" ht="12" customHeight="1" x14ac:dyDescent="0.25">
      <c r="AP803" s="15" t="str">
        <f t="shared" si="12"/>
        <v/>
      </c>
    </row>
    <row r="804" spans="42:42" ht="12" customHeight="1" x14ac:dyDescent="0.25">
      <c r="AP804" s="15" t="str">
        <f t="shared" si="12"/>
        <v/>
      </c>
    </row>
    <row r="805" spans="42:42" ht="12" customHeight="1" x14ac:dyDescent="0.25">
      <c r="AP805" s="15" t="str">
        <f t="shared" si="12"/>
        <v/>
      </c>
    </row>
    <row r="806" spans="42:42" ht="12" customHeight="1" x14ac:dyDescent="0.25">
      <c r="AP806" s="15" t="str">
        <f t="shared" si="12"/>
        <v/>
      </c>
    </row>
    <row r="807" spans="42:42" ht="12" customHeight="1" x14ac:dyDescent="0.25">
      <c r="AP807" s="15" t="str">
        <f t="shared" si="12"/>
        <v/>
      </c>
    </row>
    <row r="808" spans="42:42" ht="12" customHeight="1" x14ac:dyDescent="0.25">
      <c r="AP808" s="15" t="str">
        <f t="shared" si="12"/>
        <v/>
      </c>
    </row>
    <row r="809" spans="42:42" ht="12" customHeight="1" x14ac:dyDescent="0.25">
      <c r="AP809" s="15" t="str">
        <f t="shared" si="12"/>
        <v/>
      </c>
    </row>
    <row r="810" spans="42:42" ht="12" customHeight="1" x14ac:dyDescent="0.25">
      <c r="AP810" s="15" t="str">
        <f t="shared" si="12"/>
        <v/>
      </c>
    </row>
    <row r="811" spans="42:42" ht="12" customHeight="1" x14ac:dyDescent="0.25">
      <c r="AP811" s="15" t="str">
        <f t="shared" si="12"/>
        <v/>
      </c>
    </row>
    <row r="812" spans="42:42" ht="12" customHeight="1" x14ac:dyDescent="0.25">
      <c r="AP812" s="15" t="str">
        <f t="shared" si="12"/>
        <v/>
      </c>
    </row>
    <row r="813" spans="42:42" ht="12" customHeight="1" x14ac:dyDescent="0.25">
      <c r="AP813" s="15" t="str">
        <f t="shared" si="12"/>
        <v/>
      </c>
    </row>
    <row r="814" spans="42:42" ht="12" customHeight="1" x14ac:dyDescent="0.25">
      <c r="AP814" s="15" t="str">
        <f t="shared" si="12"/>
        <v/>
      </c>
    </row>
    <row r="815" spans="42:42" ht="12" customHeight="1" x14ac:dyDescent="0.25">
      <c r="AP815" s="15" t="str">
        <f t="shared" si="12"/>
        <v/>
      </c>
    </row>
    <row r="816" spans="42:42" ht="12" customHeight="1" x14ac:dyDescent="0.25">
      <c r="AP816" s="15" t="str">
        <f t="shared" si="12"/>
        <v/>
      </c>
    </row>
    <row r="817" spans="42:42" ht="12" customHeight="1" x14ac:dyDescent="0.25">
      <c r="AP817" s="15" t="str">
        <f t="shared" si="12"/>
        <v/>
      </c>
    </row>
    <row r="818" spans="42:42" ht="12" customHeight="1" x14ac:dyDescent="0.25">
      <c r="AP818" s="15" t="str">
        <f t="shared" si="12"/>
        <v/>
      </c>
    </row>
    <row r="819" spans="42:42" ht="12" customHeight="1" x14ac:dyDescent="0.25">
      <c r="AP819" s="15" t="str">
        <f t="shared" si="12"/>
        <v/>
      </c>
    </row>
    <row r="820" spans="42:42" ht="12" customHeight="1" x14ac:dyDescent="0.25">
      <c r="AP820" s="15" t="str">
        <f t="shared" si="12"/>
        <v/>
      </c>
    </row>
    <row r="821" spans="42:42" ht="12" customHeight="1" x14ac:dyDescent="0.25">
      <c r="AP821" s="15" t="str">
        <f t="shared" si="12"/>
        <v/>
      </c>
    </row>
    <row r="822" spans="42:42" ht="12" customHeight="1" x14ac:dyDescent="0.25">
      <c r="AP822" s="15" t="str">
        <f t="shared" si="12"/>
        <v/>
      </c>
    </row>
    <row r="823" spans="42:42" ht="12" customHeight="1" x14ac:dyDescent="0.25">
      <c r="AP823" s="15" t="str">
        <f t="shared" si="12"/>
        <v/>
      </c>
    </row>
    <row r="824" spans="42:42" ht="12" customHeight="1" x14ac:dyDescent="0.25">
      <c r="AP824" s="15" t="str">
        <f t="shared" si="12"/>
        <v/>
      </c>
    </row>
    <row r="825" spans="42:42" ht="12" customHeight="1" x14ac:dyDescent="0.25">
      <c r="AP825" s="15" t="str">
        <f t="shared" si="12"/>
        <v/>
      </c>
    </row>
    <row r="826" spans="42:42" ht="12" customHeight="1" x14ac:dyDescent="0.25">
      <c r="AP826" s="15" t="str">
        <f t="shared" si="12"/>
        <v/>
      </c>
    </row>
    <row r="827" spans="42:42" ht="12" customHeight="1" x14ac:dyDescent="0.25">
      <c r="AP827" s="15" t="str">
        <f t="shared" si="12"/>
        <v/>
      </c>
    </row>
    <row r="828" spans="42:42" ht="12" customHeight="1" x14ac:dyDescent="0.25">
      <c r="AP828" s="15" t="str">
        <f t="shared" si="12"/>
        <v/>
      </c>
    </row>
    <row r="829" spans="42:42" ht="12" customHeight="1" x14ac:dyDescent="0.25">
      <c r="AP829" s="15" t="str">
        <f t="shared" si="12"/>
        <v/>
      </c>
    </row>
    <row r="830" spans="42:42" ht="12" customHeight="1" x14ac:dyDescent="0.25">
      <c r="AP830" s="15" t="str">
        <f t="shared" si="12"/>
        <v/>
      </c>
    </row>
    <row r="831" spans="42:42" ht="12" customHeight="1" x14ac:dyDescent="0.25">
      <c r="AP831" s="15" t="str">
        <f t="shared" si="12"/>
        <v/>
      </c>
    </row>
    <row r="832" spans="42:42" ht="12" customHeight="1" x14ac:dyDescent="0.25">
      <c r="AP832" s="15" t="str">
        <f t="shared" si="12"/>
        <v/>
      </c>
    </row>
    <row r="833" spans="42:42" ht="12" customHeight="1" x14ac:dyDescent="0.25">
      <c r="AP833" s="15" t="str">
        <f t="shared" si="12"/>
        <v/>
      </c>
    </row>
    <row r="834" spans="42:42" ht="12" customHeight="1" x14ac:dyDescent="0.25">
      <c r="AP834" s="15" t="str">
        <f t="shared" si="12"/>
        <v/>
      </c>
    </row>
    <row r="835" spans="42:42" ht="12" customHeight="1" x14ac:dyDescent="0.25">
      <c r="AP835" s="15" t="str">
        <f t="shared" si="12"/>
        <v/>
      </c>
    </row>
    <row r="836" spans="42:42" ht="12" customHeight="1" x14ac:dyDescent="0.25">
      <c r="AP836" s="15" t="str">
        <f t="shared" si="12"/>
        <v/>
      </c>
    </row>
    <row r="837" spans="42:42" ht="12" customHeight="1" x14ac:dyDescent="0.25">
      <c r="AP837" s="15" t="str">
        <f t="shared" si="12"/>
        <v/>
      </c>
    </row>
    <row r="838" spans="42:42" ht="12" customHeight="1" x14ac:dyDescent="0.25">
      <c r="AP838" s="15" t="str">
        <f t="shared" si="12"/>
        <v/>
      </c>
    </row>
    <row r="839" spans="42:42" ht="12" customHeight="1" x14ac:dyDescent="0.25">
      <c r="AP839" s="15" t="str">
        <f t="shared" si="12"/>
        <v/>
      </c>
    </row>
    <row r="840" spans="42:42" ht="12" customHeight="1" x14ac:dyDescent="0.25">
      <c r="AP840" s="15" t="str">
        <f t="shared" ref="AP840:AP903" si="13">IF(AO840="", "", AO840&amp;"["&amp;AN840&amp;"]")</f>
        <v/>
      </c>
    </row>
    <row r="841" spans="42:42" ht="12" customHeight="1" x14ac:dyDescent="0.25">
      <c r="AP841" s="15" t="str">
        <f t="shared" si="13"/>
        <v/>
      </c>
    </row>
    <row r="842" spans="42:42" ht="12" customHeight="1" x14ac:dyDescent="0.25">
      <c r="AP842" s="15" t="str">
        <f t="shared" si="13"/>
        <v/>
      </c>
    </row>
    <row r="843" spans="42:42" ht="12" customHeight="1" x14ac:dyDescent="0.25">
      <c r="AP843" s="15" t="str">
        <f t="shared" si="13"/>
        <v/>
      </c>
    </row>
    <row r="844" spans="42:42" ht="12" customHeight="1" x14ac:dyDescent="0.25">
      <c r="AP844" s="15" t="str">
        <f t="shared" si="13"/>
        <v/>
      </c>
    </row>
    <row r="845" spans="42:42" ht="12" customHeight="1" x14ac:dyDescent="0.25">
      <c r="AP845" s="15" t="str">
        <f t="shared" si="13"/>
        <v/>
      </c>
    </row>
    <row r="846" spans="42:42" ht="12" customHeight="1" x14ac:dyDescent="0.25">
      <c r="AP846" s="15" t="str">
        <f t="shared" si="13"/>
        <v/>
      </c>
    </row>
    <row r="847" spans="42:42" ht="12" customHeight="1" x14ac:dyDescent="0.25">
      <c r="AP847" s="15" t="str">
        <f t="shared" si="13"/>
        <v/>
      </c>
    </row>
    <row r="848" spans="42:42" ht="12" customHeight="1" x14ac:dyDescent="0.25">
      <c r="AP848" s="15" t="str">
        <f t="shared" si="13"/>
        <v/>
      </c>
    </row>
    <row r="849" spans="42:42" ht="12" customHeight="1" x14ac:dyDescent="0.25">
      <c r="AP849" s="15" t="str">
        <f t="shared" si="13"/>
        <v/>
      </c>
    </row>
    <row r="850" spans="42:42" ht="12" customHeight="1" x14ac:dyDescent="0.25">
      <c r="AP850" s="15" t="str">
        <f t="shared" si="13"/>
        <v/>
      </c>
    </row>
    <row r="851" spans="42:42" ht="12" customHeight="1" x14ac:dyDescent="0.25">
      <c r="AP851" s="15" t="str">
        <f t="shared" si="13"/>
        <v/>
      </c>
    </row>
    <row r="852" spans="42:42" ht="12" customHeight="1" x14ac:dyDescent="0.25">
      <c r="AP852" s="15" t="str">
        <f t="shared" si="13"/>
        <v/>
      </c>
    </row>
    <row r="853" spans="42:42" ht="12" customHeight="1" x14ac:dyDescent="0.25">
      <c r="AP853" s="15" t="str">
        <f t="shared" si="13"/>
        <v/>
      </c>
    </row>
    <row r="854" spans="42:42" ht="12" customHeight="1" x14ac:dyDescent="0.25">
      <c r="AP854" s="15" t="str">
        <f t="shared" si="13"/>
        <v/>
      </c>
    </row>
    <row r="855" spans="42:42" ht="12" customHeight="1" x14ac:dyDescent="0.25">
      <c r="AP855" s="15" t="str">
        <f t="shared" si="13"/>
        <v/>
      </c>
    </row>
    <row r="856" spans="42:42" ht="12" customHeight="1" x14ac:dyDescent="0.25">
      <c r="AP856" s="15" t="str">
        <f t="shared" si="13"/>
        <v/>
      </c>
    </row>
    <row r="857" spans="42:42" ht="12" customHeight="1" x14ac:dyDescent="0.25">
      <c r="AP857" s="15" t="str">
        <f t="shared" si="13"/>
        <v/>
      </c>
    </row>
    <row r="858" spans="42:42" ht="12" customHeight="1" x14ac:dyDescent="0.25">
      <c r="AP858" s="15" t="str">
        <f t="shared" si="13"/>
        <v/>
      </c>
    </row>
    <row r="859" spans="42:42" ht="12" customHeight="1" x14ac:dyDescent="0.25">
      <c r="AP859" s="15" t="str">
        <f t="shared" si="13"/>
        <v/>
      </c>
    </row>
    <row r="860" spans="42:42" ht="12" customHeight="1" x14ac:dyDescent="0.25">
      <c r="AP860" s="15" t="str">
        <f t="shared" si="13"/>
        <v/>
      </c>
    </row>
    <row r="861" spans="42:42" ht="12" customHeight="1" x14ac:dyDescent="0.25">
      <c r="AP861" s="15" t="str">
        <f t="shared" si="13"/>
        <v/>
      </c>
    </row>
    <row r="862" spans="42:42" ht="12" customHeight="1" x14ac:dyDescent="0.25">
      <c r="AP862" s="15" t="str">
        <f t="shared" si="13"/>
        <v/>
      </c>
    </row>
    <row r="863" spans="42:42" ht="12" customHeight="1" x14ac:dyDescent="0.25">
      <c r="AP863" s="15" t="str">
        <f t="shared" si="13"/>
        <v/>
      </c>
    </row>
    <row r="864" spans="42:42" ht="12" customHeight="1" x14ac:dyDescent="0.25">
      <c r="AP864" s="15" t="str">
        <f t="shared" si="13"/>
        <v/>
      </c>
    </row>
    <row r="865" spans="42:42" ht="12" customHeight="1" x14ac:dyDescent="0.25">
      <c r="AP865" s="15" t="str">
        <f t="shared" si="13"/>
        <v/>
      </c>
    </row>
    <row r="866" spans="42:42" ht="12" customHeight="1" x14ac:dyDescent="0.25">
      <c r="AP866" s="15" t="str">
        <f t="shared" si="13"/>
        <v/>
      </c>
    </row>
    <row r="867" spans="42:42" ht="12" customHeight="1" x14ac:dyDescent="0.25">
      <c r="AP867" s="15" t="str">
        <f t="shared" si="13"/>
        <v/>
      </c>
    </row>
    <row r="868" spans="42:42" ht="12" customHeight="1" x14ac:dyDescent="0.25">
      <c r="AP868" s="15" t="str">
        <f t="shared" si="13"/>
        <v/>
      </c>
    </row>
    <row r="869" spans="42:42" ht="12" customHeight="1" x14ac:dyDescent="0.25">
      <c r="AP869" s="15" t="str">
        <f t="shared" si="13"/>
        <v/>
      </c>
    </row>
    <row r="870" spans="42:42" ht="12" customHeight="1" x14ac:dyDescent="0.25">
      <c r="AP870" s="15" t="str">
        <f t="shared" si="13"/>
        <v/>
      </c>
    </row>
    <row r="871" spans="42:42" ht="12" customHeight="1" x14ac:dyDescent="0.25">
      <c r="AP871" s="15" t="str">
        <f t="shared" si="13"/>
        <v/>
      </c>
    </row>
    <row r="872" spans="42:42" ht="12" customHeight="1" x14ac:dyDescent="0.25">
      <c r="AP872" s="15" t="str">
        <f t="shared" si="13"/>
        <v/>
      </c>
    </row>
    <row r="873" spans="42:42" ht="12" customHeight="1" x14ac:dyDescent="0.25">
      <c r="AP873" s="15" t="str">
        <f t="shared" si="13"/>
        <v/>
      </c>
    </row>
    <row r="874" spans="42:42" ht="12" customHeight="1" x14ac:dyDescent="0.25">
      <c r="AP874" s="15" t="str">
        <f t="shared" si="13"/>
        <v/>
      </c>
    </row>
    <row r="875" spans="42:42" ht="12" customHeight="1" x14ac:dyDescent="0.25">
      <c r="AP875" s="15" t="str">
        <f t="shared" si="13"/>
        <v/>
      </c>
    </row>
    <row r="876" spans="42:42" ht="12" customHeight="1" x14ac:dyDescent="0.25">
      <c r="AP876" s="15" t="str">
        <f t="shared" si="13"/>
        <v/>
      </c>
    </row>
    <row r="877" spans="42:42" ht="12" customHeight="1" x14ac:dyDescent="0.25">
      <c r="AP877" s="15" t="str">
        <f t="shared" si="13"/>
        <v/>
      </c>
    </row>
    <row r="878" spans="42:42" ht="12" customHeight="1" x14ac:dyDescent="0.25">
      <c r="AP878" s="15" t="str">
        <f t="shared" si="13"/>
        <v/>
      </c>
    </row>
    <row r="879" spans="42:42" ht="12" customHeight="1" x14ac:dyDescent="0.25">
      <c r="AP879" s="15" t="str">
        <f t="shared" si="13"/>
        <v/>
      </c>
    </row>
    <row r="880" spans="42:42" ht="12" customHeight="1" x14ac:dyDescent="0.25">
      <c r="AP880" s="15" t="str">
        <f t="shared" si="13"/>
        <v/>
      </c>
    </row>
    <row r="881" spans="42:42" ht="12" customHeight="1" x14ac:dyDescent="0.25">
      <c r="AP881" s="15" t="str">
        <f t="shared" si="13"/>
        <v/>
      </c>
    </row>
    <row r="882" spans="42:42" ht="12" customHeight="1" x14ac:dyDescent="0.25">
      <c r="AP882" s="15" t="str">
        <f t="shared" si="13"/>
        <v/>
      </c>
    </row>
    <row r="883" spans="42:42" ht="12" customHeight="1" x14ac:dyDescent="0.25">
      <c r="AP883" s="15" t="str">
        <f t="shared" si="13"/>
        <v/>
      </c>
    </row>
    <row r="884" spans="42:42" ht="12" customHeight="1" x14ac:dyDescent="0.25">
      <c r="AP884" s="15" t="str">
        <f t="shared" si="13"/>
        <v/>
      </c>
    </row>
    <row r="885" spans="42:42" ht="12" customHeight="1" x14ac:dyDescent="0.25">
      <c r="AP885" s="15" t="str">
        <f t="shared" si="13"/>
        <v/>
      </c>
    </row>
    <row r="886" spans="42:42" ht="12" customHeight="1" x14ac:dyDescent="0.25">
      <c r="AP886" s="15" t="str">
        <f t="shared" si="13"/>
        <v/>
      </c>
    </row>
    <row r="887" spans="42:42" ht="12" customHeight="1" x14ac:dyDescent="0.25">
      <c r="AP887" s="15" t="str">
        <f t="shared" si="13"/>
        <v/>
      </c>
    </row>
    <row r="888" spans="42:42" ht="12" customHeight="1" x14ac:dyDescent="0.25">
      <c r="AP888" s="15" t="str">
        <f t="shared" si="13"/>
        <v/>
      </c>
    </row>
    <row r="889" spans="42:42" ht="12" customHeight="1" x14ac:dyDescent="0.25">
      <c r="AP889" s="15" t="str">
        <f t="shared" si="13"/>
        <v/>
      </c>
    </row>
    <row r="890" spans="42:42" ht="12" customHeight="1" x14ac:dyDescent="0.25">
      <c r="AP890" s="15" t="str">
        <f t="shared" si="13"/>
        <v/>
      </c>
    </row>
    <row r="891" spans="42:42" ht="12" customHeight="1" x14ac:dyDescent="0.25">
      <c r="AP891" s="15" t="str">
        <f t="shared" si="13"/>
        <v/>
      </c>
    </row>
    <row r="892" spans="42:42" ht="12" customHeight="1" x14ac:dyDescent="0.25">
      <c r="AP892" s="15" t="str">
        <f t="shared" si="13"/>
        <v/>
      </c>
    </row>
    <row r="893" spans="42:42" ht="12" customHeight="1" x14ac:dyDescent="0.25">
      <c r="AP893" s="15" t="str">
        <f t="shared" si="13"/>
        <v/>
      </c>
    </row>
    <row r="894" spans="42:42" ht="12" customHeight="1" x14ac:dyDescent="0.25">
      <c r="AP894" s="15" t="str">
        <f t="shared" si="13"/>
        <v/>
      </c>
    </row>
    <row r="895" spans="42:42" ht="12" customHeight="1" x14ac:dyDescent="0.25">
      <c r="AP895" s="15" t="str">
        <f t="shared" si="13"/>
        <v/>
      </c>
    </row>
    <row r="896" spans="42:42" ht="12" customHeight="1" x14ac:dyDescent="0.25">
      <c r="AP896" s="15" t="str">
        <f t="shared" si="13"/>
        <v/>
      </c>
    </row>
    <row r="897" spans="42:42" ht="12" customHeight="1" x14ac:dyDescent="0.25">
      <c r="AP897" s="15" t="str">
        <f t="shared" si="13"/>
        <v/>
      </c>
    </row>
    <row r="898" spans="42:42" ht="12" customHeight="1" x14ac:dyDescent="0.25">
      <c r="AP898" s="15" t="str">
        <f t="shared" si="13"/>
        <v/>
      </c>
    </row>
    <row r="899" spans="42:42" ht="12" customHeight="1" x14ac:dyDescent="0.25">
      <c r="AP899" s="15" t="str">
        <f t="shared" si="13"/>
        <v/>
      </c>
    </row>
    <row r="900" spans="42:42" ht="12" customHeight="1" x14ac:dyDescent="0.25">
      <c r="AP900" s="15" t="str">
        <f t="shared" si="13"/>
        <v/>
      </c>
    </row>
    <row r="901" spans="42:42" ht="12" customHeight="1" x14ac:dyDescent="0.25">
      <c r="AP901" s="15" t="str">
        <f t="shared" si="13"/>
        <v/>
      </c>
    </row>
    <row r="902" spans="42:42" ht="12" customHeight="1" x14ac:dyDescent="0.25">
      <c r="AP902" s="15" t="str">
        <f t="shared" si="13"/>
        <v/>
      </c>
    </row>
    <row r="903" spans="42:42" ht="12" customHeight="1" x14ac:dyDescent="0.25">
      <c r="AP903" s="15" t="str">
        <f t="shared" si="13"/>
        <v/>
      </c>
    </row>
    <row r="904" spans="42:42" ht="12" customHeight="1" x14ac:dyDescent="0.25">
      <c r="AP904" s="15" t="str">
        <f t="shared" ref="AP904:AP967" si="14">IF(AO904="", "", AO904&amp;"["&amp;AN904&amp;"]")</f>
        <v/>
      </c>
    </row>
    <row r="905" spans="42:42" ht="12" customHeight="1" x14ac:dyDescent="0.25">
      <c r="AP905" s="15" t="str">
        <f t="shared" si="14"/>
        <v/>
      </c>
    </row>
    <row r="906" spans="42:42" ht="12" customHeight="1" x14ac:dyDescent="0.25">
      <c r="AP906" s="15" t="str">
        <f t="shared" si="14"/>
        <v/>
      </c>
    </row>
    <row r="907" spans="42:42" ht="12" customHeight="1" x14ac:dyDescent="0.25">
      <c r="AP907" s="15" t="str">
        <f t="shared" si="14"/>
        <v/>
      </c>
    </row>
    <row r="908" spans="42:42" ht="12" customHeight="1" x14ac:dyDescent="0.25">
      <c r="AP908" s="15" t="str">
        <f t="shared" si="14"/>
        <v/>
      </c>
    </row>
    <row r="909" spans="42:42" ht="12" customHeight="1" x14ac:dyDescent="0.25">
      <c r="AP909" s="15" t="str">
        <f t="shared" si="14"/>
        <v/>
      </c>
    </row>
    <row r="910" spans="42:42" ht="12" customHeight="1" x14ac:dyDescent="0.25">
      <c r="AP910" s="15" t="str">
        <f t="shared" si="14"/>
        <v/>
      </c>
    </row>
    <row r="911" spans="42:42" ht="12" customHeight="1" x14ac:dyDescent="0.25">
      <c r="AP911" s="15" t="str">
        <f t="shared" si="14"/>
        <v/>
      </c>
    </row>
    <row r="912" spans="42:42" ht="12" customHeight="1" x14ac:dyDescent="0.25">
      <c r="AP912" s="15" t="str">
        <f t="shared" si="14"/>
        <v/>
      </c>
    </row>
    <row r="913" spans="42:42" ht="12" customHeight="1" x14ac:dyDescent="0.25">
      <c r="AP913" s="15" t="str">
        <f t="shared" si="14"/>
        <v/>
      </c>
    </row>
    <row r="914" spans="42:42" ht="12" customHeight="1" x14ac:dyDescent="0.25">
      <c r="AP914" s="15" t="str">
        <f t="shared" si="14"/>
        <v/>
      </c>
    </row>
    <row r="915" spans="42:42" ht="12" customHeight="1" x14ac:dyDescent="0.25">
      <c r="AP915" s="15" t="str">
        <f t="shared" si="14"/>
        <v/>
      </c>
    </row>
    <row r="916" spans="42:42" ht="12" customHeight="1" x14ac:dyDescent="0.25">
      <c r="AP916" s="15" t="str">
        <f t="shared" si="14"/>
        <v/>
      </c>
    </row>
    <row r="917" spans="42:42" ht="12" customHeight="1" x14ac:dyDescent="0.25">
      <c r="AP917" s="15" t="str">
        <f t="shared" si="14"/>
        <v/>
      </c>
    </row>
    <row r="918" spans="42:42" ht="12" customHeight="1" x14ac:dyDescent="0.25">
      <c r="AP918" s="15" t="str">
        <f t="shared" si="14"/>
        <v/>
      </c>
    </row>
    <row r="919" spans="42:42" ht="12" customHeight="1" x14ac:dyDescent="0.25">
      <c r="AP919" s="15" t="str">
        <f t="shared" si="14"/>
        <v/>
      </c>
    </row>
    <row r="920" spans="42:42" ht="12" customHeight="1" x14ac:dyDescent="0.25">
      <c r="AP920" s="15" t="str">
        <f t="shared" si="14"/>
        <v/>
      </c>
    </row>
    <row r="921" spans="42:42" ht="12" customHeight="1" x14ac:dyDescent="0.25">
      <c r="AP921" s="15" t="str">
        <f t="shared" si="14"/>
        <v/>
      </c>
    </row>
    <row r="922" spans="42:42" ht="12" customHeight="1" x14ac:dyDescent="0.25">
      <c r="AP922" s="15" t="str">
        <f t="shared" si="14"/>
        <v/>
      </c>
    </row>
    <row r="923" spans="42:42" ht="12" customHeight="1" x14ac:dyDescent="0.25">
      <c r="AP923" s="15" t="str">
        <f t="shared" si="14"/>
        <v/>
      </c>
    </row>
    <row r="924" spans="42:42" ht="12" customHeight="1" x14ac:dyDescent="0.25">
      <c r="AP924" s="15" t="str">
        <f t="shared" si="14"/>
        <v/>
      </c>
    </row>
    <row r="925" spans="42:42" ht="12" customHeight="1" x14ac:dyDescent="0.25">
      <c r="AP925" s="15" t="str">
        <f t="shared" si="14"/>
        <v/>
      </c>
    </row>
    <row r="926" spans="42:42" ht="12" customHeight="1" x14ac:dyDescent="0.25">
      <c r="AP926" s="15" t="str">
        <f t="shared" si="14"/>
        <v/>
      </c>
    </row>
    <row r="927" spans="42:42" ht="12" customHeight="1" x14ac:dyDescent="0.25">
      <c r="AP927" s="15" t="str">
        <f t="shared" si="14"/>
        <v/>
      </c>
    </row>
    <row r="928" spans="42:42" ht="12" customHeight="1" x14ac:dyDescent="0.25">
      <c r="AP928" s="15" t="str">
        <f t="shared" si="14"/>
        <v/>
      </c>
    </row>
    <row r="929" spans="42:42" ht="12" customHeight="1" x14ac:dyDescent="0.25">
      <c r="AP929" s="15" t="str">
        <f t="shared" si="14"/>
        <v/>
      </c>
    </row>
    <row r="930" spans="42:42" ht="12" customHeight="1" x14ac:dyDescent="0.25">
      <c r="AP930" s="15" t="str">
        <f t="shared" si="14"/>
        <v/>
      </c>
    </row>
    <row r="931" spans="42:42" ht="12" customHeight="1" x14ac:dyDescent="0.25">
      <c r="AP931" s="15" t="str">
        <f t="shared" si="14"/>
        <v/>
      </c>
    </row>
    <row r="932" spans="42:42" ht="12" customHeight="1" x14ac:dyDescent="0.25">
      <c r="AP932" s="15" t="str">
        <f t="shared" si="14"/>
        <v/>
      </c>
    </row>
    <row r="933" spans="42:42" ht="12" customHeight="1" x14ac:dyDescent="0.25">
      <c r="AP933" s="15" t="str">
        <f t="shared" si="14"/>
        <v/>
      </c>
    </row>
    <row r="934" spans="42:42" ht="12" customHeight="1" x14ac:dyDescent="0.25">
      <c r="AP934" s="15" t="str">
        <f t="shared" si="14"/>
        <v/>
      </c>
    </row>
    <row r="935" spans="42:42" ht="12" customHeight="1" x14ac:dyDescent="0.25">
      <c r="AP935" s="15" t="str">
        <f t="shared" si="14"/>
        <v/>
      </c>
    </row>
    <row r="936" spans="42:42" ht="12" customHeight="1" x14ac:dyDescent="0.25">
      <c r="AP936" s="15" t="str">
        <f t="shared" si="14"/>
        <v/>
      </c>
    </row>
    <row r="937" spans="42:42" ht="12" customHeight="1" x14ac:dyDescent="0.25">
      <c r="AP937" s="15" t="str">
        <f t="shared" si="14"/>
        <v/>
      </c>
    </row>
    <row r="938" spans="42:42" ht="12" customHeight="1" x14ac:dyDescent="0.25">
      <c r="AP938" s="15" t="str">
        <f t="shared" si="14"/>
        <v/>
      </c>
    </row>
    <row r="939" spans="42:42" ht="12" customHeight="1" x14ac:dyDescent="0.25">
      <c r="AP939" s="15" t="str">
        <f t="shared" si="14"/>
        <v/>
      </c>
    </row>
    <row r="940" spans="42:42" ht="12" customHeight="1" x14ac:dyDescent="0.25">
      <c r="AP940" s="15" t="str">
        <f t="shared" si="14"/>
        <v/>
      </c>
    </row>
    <row r="941" spans="42:42" ht="12" customHeight="1" x14ac:dyDescent="0.25">
      <c r="AP941" s="15" t="str">
        <f t="shared" si="14"/>
        <v/>
      </c>
    </row>
    <row r="942" spans="42:42" ht="12" customHeight="1" x14ac:dyDescent="0.25">
      <c r="AP942" s="15" t="str">
        <f t="shared" si="14"/>
        <v/>
      </c>
    </row>
    <row r="943" spans="42:42" ht="12" customHeight="1" x14ac:dyDescent="0.25">
      <c r="AP943" s="15" t="str">
        <f t="shared" si="14"/>
        <v/>
      </c>
    </row>
    <row r="944" spans="42:42" ht="12" customHeight="1" x14ac:dyDescent="0.25">
      <c r="AP944" s="15" t="str">
        <f t="shared" si="14"/>
        <v/>
      </c>
    </row>
    <row r="945" spans="42:42" ht="12" customHeight="1" x14ac:dyDescent="0.25">
      <c r="AP945" s="15" t="str">
        <f t="shared" si="14"/>
        <v/>
      </c>
    </row>
    <row r="946" spans="42:42" ht="12" customHeight="1" x14ac:dyDescent="0.25">
      <c r="AP946" s="15" t="str">
        <f t="shared" si="14"/>
        <v/>
      </c>
    </row>
    <row r="947" spans="42:42" ht="12" customHeight="1" x14ac:dyDescent="0.25">
      <c r="AP947" s="15" t="str">
        <f t="shared" si="14"/>
        <v/>
      </c>
    </row>
    <row r="948" spans="42:42" ht="12" customHeight="1" x14ac:dyDescent="0.25">
      <c r="AP948" s="15" t="str">
        <f t="shared" si="14"/>
        <v/>
      </c>
    </row>
    <row r="949" spans="42:42" ht="12" customHeight="1" x14ac:dyDescent="0.25">
      <c r="AP949" s="15" t="str">
        <f t="shared" si="14"/>
        <v/>
      </c>
    </row>
    <row r="950" spans="42:42" ht="12" customHeight="1" x14ac:dyDescent="0.25">
      <c r="AP950" s="15" t="str">
        <f t="shared" si="14"/>
        <v/>
      </c>
    </row>
    <row r="951" spans="42:42" ht="12" customHeight="1" x14ac:dyDescent="0.25">
      <c r="AP951" s="15" t="str">
        <f t="shared" si="14"/>
        <v/>
      </c>
    </row>
    <row r="952" spans="42:42" ht="12" customHeight="1" x14ac:dyDescent="0.25">
      <c r="AP952" s="15" t="str">
        <f t="shared" si="14"/>
        <v/>
      </c>
    </row>
    <row r="953" spans="42:42" ht="12" customHeight="1" x14ac:dyDescent="0.25">
      <c r="AP953" s="15" t="str">
        <f t="shared" si="14"/>
        <v/>
      </c>
    </row>
    <row r="954" spans="42:42" ht="12" customHeight="1" x14ac:dyDescent="0.25">
      <c r="AP954" s="15" t="str">
        <f t="shared" si="14"/>
        <v/>
      </c>
    </row>
    <row r="955" spans="42:42" ht="12" customHeight="1" x14ac:dyDescent="0.25">
      <c r="AP955" s="15" t="str">
        <f t="shared" si="14"/>
        <v/>
      </c>
    </row>
    <row r="956" spans="42:42" ht="12" customHeight="1" x14ac:dyDescent="0.25">
      <c r="AP956" s="15" t="str">
        <f t="shared" si="14"/>
        <v/>
      </c>
    </row>
    <row r="957" spans="42:42" ht="12" customHeight="1" x14ac:dyDescent="0.25">
      <c r="AP957" s="15" t="str">
        <f t="shared" si="14"/>
        <v/>
      </c>
    </row>
    <row r="958" spans="42:42" ht="12" customHeight="1" x14ac:dyDescent="0.25">
      <c r="AP958" s="15" t="str">
        <f t="shared" si="14"/>
        <v/>
      </c>
    </row>
    <row r="959" spans="42:42" ht="12" customHeight="1" x14ac:dyDescent="0.25">
      <c r="AP959" s="15" t="str">
        <f t="shared" si="14"/>
        <v/>
      </c>
    </row>
    <row r="960" spans="42:42" ht="12" customHeight="1" x14ac:dyDescent="0.25">
      <c r="AP960" s="15" t="str">
        <f t="shared" si="14"/>
        <v/>
      </c>
    </row>
    <row r="961" spans="42:42" ht="12" customHeight="1" x14ac:dyDescent="0.25">
      <c r="AP961" s="15" t="str">
        <f t="shared" si="14"/>
        <v/>
      </c>
    </row>
    <row r="962" spans="42:42" ht="12" customHeight="1" x14ac:dyDescent="0.25">
      <c r="AP962" s="15" t="str">
        <f t="shared" si="14"/>
        <v/>
      </c>
    </row>
    <row r="963" spans="42:42" ht="12" customHeight="1" x14ac:dyDescent="0.25">
      <c r="AP963" s="15" t="str">
        <f t="shared" si="14"/>
        <v/>
      </c>
    </row>
    <row r="964" spans="42:42" ht="12" customHeight="1" x14ac:dyDescent="0.25">
      <c r="AP964" s="15" t="str">
        <f t="shared" si="14"/>
        <v/>
      </c>
    </row>
    <row r="965" spans="42:42" ht="12" customHeight="1" x14ac:dyDescent="0.25">
      <c r="AP965" s="15" t="str">
        <f t="shared" si="14"/>
        <v/>
      </c>
    </row>
    <row r="966" spans="42:42" ht="12" customHeight="1" x14ac:dyDescent="0.25">
      <c r="AP966" s="15" t="str">
        <f t="shared" si="14"/>
        <v/>
      </c>
    </row>
    <row r="967" spans="42:42" ht="12" customHeight="1" x14ac:dyDescent="0.25">
      <c r="AP967" s="15" t="str">
        <f t="shared" si="14"/>
        <v/>
      </c>
    </row>
    <row r="968" spans="42:42" ht="12" customHeight="1" x14ac:dyDescent="0.25">
      <c r="AP968" s="15" t="str">
        <f t="shared" ref="AP968:AP1031" si="15">IF(AO968="", "", AO968&amp;"["&amp;AN968&amp;"]")</f>
        <v/>
      </c>
    </row>
    <row r="969" spans="42:42" ht="12" customHeight="1" x14ac:dyDescent="0.25">
      <c r="AP969" s="15" t="str">
        <f t="shared" si="15"/>
        <v/>
      </c>
    </row>
    <row r="970" spans="42:42" ht="12" customHeight="1" x14ac:dyDescent="0.25">
      <c r="AP970" s="15" t="str">
        <f t="shared" si="15"/>
        <v/>
      </c>
    </row>
    <row r="971" spans="42:42" ht="12" customHeight="1" x14ac:dyDescent="0.25">
      <c r="AP971" s="15" t="str">
        <f t="shared" si="15"/>
        <v/>
      </c>
    </row>
    <row r="972" spans="42:42" ht="12" customHeight="1" x14ac:dyDescent="0.25">
      <c r="AP972" s="15" t="str">
        <f t="shared" si="15"/>
        <v/>
      </c>
    </row>
    <row r="973" spans="42:42" ht="12" customHeight="1" x14ac:dyDescent="0.25">
      <c r="AP973" s="15" t="str">
        <f t="shared" si="15"/>
        <v/>
      </c>
    </row>
    <row r="974" spans="42:42" ht="12" customHeight="1" x14ac:dyDescent="0.25">
      <c r="AP974" s="15" t="str">
        <f t="shared" si="15"/>
        <v/>
      </c>
    </row>
    <row r="975" spans="42:42" ht="12" customHeight="1" x14ac:dyDescent="0.25">
      <c r="AP975" s="15" t="str">
        <f t="shared" si="15"/>
        <v/>
      </c>
    </row>
    <row r="976" spans="42:42" ht="12" customHeight="1" x14ac:dyDescent="0.25">
      <c r="AP976" s="15" t="str">
        <f t="shared" si="15"/>
        <v/>
      </c>
    </row>
    <row r="977" spans="42:42" ht="12" customHeight="1" x14ac:dyDescent="0.25">
      <c r="AP977" s="15" t="str">
        <f t="shared" si="15"/>
        <v/>
      </c>
    </row>
    <row r="978" spans="42:42" ht="12" customHeight="1" x14ac:dyDescent="0.25">
      <c r="AP978" s="15" t="str">
        <f t="shared" si="15"/>
        <v/>
      </c>
    </row>
    <row r="979" spans="42:42" ht="12" customHeight="1" x14ac:dyDescent="0.25">
      <c r="AP979" s="15" t="str">
        <f t="shared" si="15"/>
        <v/>
      </c>
    </row>
    <row r="980" spans="42:42" ht="12" customHeight="1" x14ac:dyDescent="0.25">
      <c r="AP980" s="15" t="str">
        <f t="shared" si="15"/>
        <v/>
      </c>
    </row>
    <row r="981" spans="42:42" ht="12" customHeight="1" x14ac:dyDescent="0.25">
      <c r="AP981" s="15" t="str">
        <f t="shared" si="15"/>
        <v/>
      </c>
    </row>
    <row r="982" spans="42:42" ht="12" customHeight="1" x14ac:dyDescent="0.25">
      <c r="AP982" s="15" t="str">
        <f t="shared" si="15"/>
        <v/>
      </c>
    </row>
    <row r="983" spans="42:42" ht="12" customHeight="1" x14ac:dyDescent="0.25">
      <c r="AP983" s="15" t="str">
        <f t="shared" si="15"/>
        <v/>
      </c>
    </row>
    <row r="984" spans="42:42" ht="12" customHeight="1" x14ac:dyDescent="0.25">
      <c r="AP984" s="15" t="str">
        <f t="shared" si="15"/>
        <v/>
      </c>
    </row>
    <row r="985" spans="42:42" ht="12" customHeight="1" x14ac:dyDescent="0.25">
      <c r="AP985" s="15" t="str">
        <f t="shared" si="15"/>
        <v/>
      </c>
    </row>
    <row r="986" spans="42:42" ht="12" customHeight="1" x14ac:dyDescent="0.25">
      <c r="AP986" s="15" t="str">
        <f t="shared" si="15"/>
        <v/>
      </c>
    </row>
    <row r="987" spans="42:42" ht="12" customHeight="1" x14ac:dyDescent="0.25">
      <c r="AP987" s="15" t="str">
        <f t="shared" si="15"/>
        <v/>
      </c>
    </row>
    <row r="988" spans="42:42" ht="12" customHeight="1" x14ac:dyDescent="0.25">
      <c r="AP988" s="15" t="str">
        <f t="shared" si="15"/>
        <v/>
      </c>
    </row>
    <row r="989" spans="42:42" ht="12" customHeight="1" x14ac:dyDescent="0.25">
      <c r="AP989" s="15" t="str">
        <f t="shared" si="15"/>
        <v/>
      </c>
    </row>
    <row r="990" spans="42:42" ht="12" customHeight="1" x14ac:dyDescent="0.25">
      <c r="AP990" s="15" t="str">
        <f t="shared" si="15"/>
        <v/>
      </c>
    </row>
    <row r="991" spans="42:42" ht="12" customHeight="1" x14ac:dyDescent="0.25">
      <c r="AP991" s="15" t="str">
        <f t="shared" si="15"/>
        <v/>
      </c>
    </row>
    <row r="992" spans="42:42" ht="12" customHeight="1" x14ac:dyDescent="0.25">
      <c r="AP992" s="15" t="str">
        <f t="shared" si="15"/>
        <v/>
      </c>
    </row>
    <row r="993" spans="42:42" ht="12" customHeight="1" x14ac:dyDescent="0.25">
      <c r="AP993" s="15" t="str">
        <f t="shared" si="15"/>
        <v/>
      </c>
    </row>
    <row r="994" spans="42:42" ht="12" customHeight="1" x14ac:dyDescent="0.25">
      <c r="AP994" s="15" t="str">
        <f t="shared" si="15"/>
        <v/>
      </c>
    </row>
    <row r="995" spans="42:42" ht="12" customHeight="1" x14ac:dyDescent="0.25">
      <c r="AP995" s="15" t="str">
        <f t="shared" si="15"/>
        <v/>
      </c>
    </row>
    <row r="996" spans="42:42" ht="12" customHeight="1" x14ac:dyDescent="0.25">
      <c r="AP996" s="15" t="str">
        <f t="shared" si="15"/>
        <v/>
      </c>
    </row>
    <row r="997" spans="42:42" ht="12" customHeight="1" x14ac:dyDescent="0.25">
      <c r="AP997" s="15" t="str">
        <f t="shared" si="15"/>
        <v/>
      </c>
    </row>
    <row r="998" spans="42:42" ht="12" customHeight="1" x14ac:dyDescent="0.25">
      <c r="AP998" s="15" t="str">
        <f t="shared" si="15"/>
        <v/>
      </c>
    </row>
    <row r="999" spans="42:42" ht="12" customHeight="1" x14ac:dyDescent="0.25">
      <c r="AP999" s="15" t="str">
        <f t="shared" si="15"/>
        <v/>
      </c>
    </row>
    <row r="1000" spans="42:42" ht="12" customHeight="1" x14ac:dyDescent="0.25">
      <c r="AP1000" s="15" t="str">
        <f t="shared" si="15"/>
        <v/>
      </c>
    </row>
    <row r="1001" spans="42:42" ht="12" customHeight="1" x14ac:dyDescent="0.25">
      <c r="AP1001" s="15" t="str">
        <f t="shared" si="15"/>
        <v/>
      </c>
    </row>
    <row r="1002" spans="42:42" ht="12" customHeight="1" x14ac:dyDescent="0.25">
      <c r="AP1002" s="15" t="str">
        <f t="shared" si="15"/>
        <v/>
      </c>
    </row>
    <row r="1003" spans="42:42" ht="12" customHeight="1" x14ac:dyDescent="0.25">
      <c r="AP1003" s="15" t="str">
        <f t="shared" si="15"/>
        <v/>
      </c>
    </row>
    <row r="1004" spans="42:42" ht="12" customHeight="1" x14ac:dyDescent="0.25">
      <c r="AP1004" s="15" t="str">
        <f t="shared" si="15"/>
        <v/>
      </c>
    </row>
    <row r="1005" spans="42:42" ht="12" customHeight="1" x14ac:dyDescent="0.25">
      <c r="AP1005" s="15" t="str">
        <f t="shared" si="15"/>
        <v/>
      </c>
    </row>
    <row r="1006" spans="42:42" ht="12" customHeight="1" x14ac:dyDescent="0.25">
      <c r="AP1006" s="15" t="str">
        <f t="shared" si="15"/>
        <v/>
      </c>
    </row>
    <row r="1007" spans="42:42" ht="12" customHeight="1" x14ac:dyDescent="0.25">
      <c r="AP1007" s="15" t="str">
        <f t="shared" si="15"/>
        <v/>
      </c>
    </row>
    <row r="1008" spans="42:42" ht="12" customHeight="1" x14ac:dyDescent="0.25">
      <c r="AP1008" s="15" t="str">
        <f t="shared" si="15"/>
        <v/>
      </c>
    </row>
    <row r="1009" spans="42:42" ht="12" customHeight="1" x14ac:dyDescent="0.25">
      <c r="AP1009" s="15" t="str">
        <f t="shared" si="15"/>
        <v/>
      </c>
    </row>
    <row r="1010" spans="42:42" ht="12" customHeight="1" x14ac:dyDescent="0.25">
      <c r="AP1010" s="15" t="str">
        <f t="shared" si="15"/>
        <v/>
      </c>
    </row>
    <row r="1011" spans="42:42" ht="12" customHeight="1" x14ac:dyDescent="0.25">
      <c r="AP1011" s="15" t="str">
        <f t="shared" si="15"/>
        <v/>
      </c>
    </row>
    <row r="1012" spans="42:42" ht="12" customHeight="1" x14ac:dyDescent="0.25">
      <c r="AP1012" s="15" t="str">
        <f t="shared" si="15"/>
        <v/>
      </c>
    </row>
    <row r="1013" spans="42:42" ht="12" customHeight="1" x14ac:dyDescent="0.25">
      <c r="AP1013" s="15" t="str">
        <f t="shared" si="15"/>
        <v/>
      </c>
    </row>
    <row r="1014" spans="42:42" ht="12" customHeight="1" x14ac:dyDescent="0.25">
      <c r="AP1014" s="15" t="str">
        <f t="shared" si="15"/>
        <v/>
      </c>
    </row>
    <row r="1015" spans="42:42" ht="12" customHeight="1" x14ac:dyDescent="0.25">
      <c r="AP1015" s="15" t="str">
        <f t="shared" si="15"/>
        <v/>
      </c>
    </row>
    <row r="1016" spans="42:42" ht="12" customHeight="1" x14ac:dyDescent="0.25">
      <c r="AP1016" s="15" t="str">
        <f t="shared" si="15"/>
        <v/>
      </c>
    </row>
    <row r="1017" spans="42:42" ht="12" customHeight="1" x14ac:dyDescent="0.25">
      <c r="AP1017" s="15" t="str">
        <f t="shared" si="15"/>
        <v/>
      </c>
    </row>
    <row r="1018" spans="42:42" ht="12" customHeight="1" x14ac:dyDescent="0.25">
      <c r="AP1018" s="15" t="str">
        <f t="shared" si="15"/>
        <v/>
      </c>
    </row>
    <row r="1019" spans="42:42" ht="12" customHeight="1" x14ac:dyDescent="0.25">
      <c r="AP1019" s="15" t="str">
        <f t="shared" si="15"/>
        <v/>
      </c>
    </row>
    <row r="1020" spans="42:42" ht="12" customHeight="1" x14ac:dyDescent="0.25">
      <c r="AP1020" s="15" t="str">
        <f t="shared" si="15"/>
        <v/>
      </c>
    </row>
    <row r="1021" spans="42:42" ht="12" customHeight="1" x14ac:dyDescent="0.25">
      <c r="AP1021" s="15" t="str">
        <f t="shared" si="15"/>
        <v/>
      </c>
    </row>
    <row r="1022" spans="42:42" ht="12" customHeight="1" x14ac:dyDescent="0.25">
      <c r="AP1022" s="15" t="str">
        <f t="shared" si="15"/>
        <v/>
      </c>
    </row>
    <row r="1023" spans="42:42" ht="12" customHeight="1" x14ac:dyDescent="0.25">
      <c r="AP1023" s="15" t="str">
        <f t="shared" si="15"/>
        <v/>
      </c>
    </row>
    <row r="1024" spans="42:42" ht="12" customHeight="1" x14ac:dyDescent="0.25">
      <c r="AP1024" s="15" t="str">
        <f t="shared" si="15"/>
        <v/>
      </c>
    </row>
    <row r="1025" spans="42:42" ht="12" customHeight="1" x14ac:dyDescent="0.25">
      <c r="AP1025" s="15" t="str">
        <f t="shared" si="15"/>
        <v/>
      </c>
    </row>
    <row r="1026" spans="42:42" ht="12" customHeight="1" x14ac:dyDescent="0.25">
      <c r="AP1026" s="15" t="str">
        <f t="shared" si="15"/>
        <v/>
      </c>
    </row>
    <row r="1027" spans="42:42" ht="12" customHeight="1" x14ac:dyDescent="0.25">
      <c r="AP1027" s="15" t="str">
        <f t="shared" si="15"/>
        <v/>
      </c>
    </row>
    <row r="1028" spans="42:42" ht="12" customHeight="1" x14ac:dyDescent="0.25">
      <c r="AP1028" s="15" t="str">
        <f t="shared" si="15"/>
        <v/>
      </c>
    </row>
    <row r="1029" spans="42:42" ht="12" customHeight="1" x14ac:dyDescent="0.25">
      <c r="AP1029" s="15" t="str">
        <f t="shared" si="15"/>
        <v/>
      </c>
    </row>
    <row r="1030" spans="42:42" ht="12" customHeight="1" x14ac:dyDescent="0.25">
      <c r="AP1030" s="15" t="str">
        <f t="shared" si="15"/>
        <v/>
      </c>
    </row>
    <row r="1031" spans="42:42" ht="12" customHeight="1" x14ac:dyDescent="0.25">
      <c r="AP1031" s="15" t="str">
        <f t="shared" si="15"/>
        <v/>
      </c>
    </row>
    <row r="1032" spans="42:42" ht="12" customHeight="1" x14ac:dyDescent="0.25">
      <c r="AP1032" s="15" t="str">
        <f t="shared" ref="AP1032:AP1095" si="16">IF(AO1032="", "", AO1032&amp;"["&amp;AN1032&amp;"]")</f>
        <v/>
      </c>
    </row>
    <row r="1033" spans="42:42" ht="12" customHeight="1" x14ac:dyDescent="0.25">
      <c r="AP1033" s="15" t="str">
        <f t="shared" si="16"/>
        <v/>
      </c>
    </row>
    <row r="1034" spans="42:42" ht="12" customHeight="1" x14ac:dyDescent="0.25">
      <c r="AP1034" s="15" t="str">
        <f t="shared" si="16"/>
        <v/>
      </c>
    </row>
    <row r="1035" spans="42:42" ht="12" customHeight="1" x14ac:dyDescent="0.25">
      <c r="AP1035" s="15" t="str">
        <f t="shared" si="16"/>
        <v/>
      </c>
    </row>
    <row r="1036" spans="42:42" ht="12" customHeight="1" x14ac:dyDescent="0.25">
      <c r="AP1036" s="15" t="str">
        <f t="shared" si="16"/>
        <v/>
      </c>
    </row>
    <row r="1037" spans="42:42" ht="12" customHeight="1" x14ac:dyDescent="0.25">
      <c r="AP1037" s="15" t="str">
        <f t="shared" si="16"/>
        <v/>
      </c>
    </row>
    <row r="1038" spans="42:42" ht="12" customHeight="1" x14ac:dyDescent="0.25">
      <c r="AP1038" s="15" t="str">
        <f t="shared" si="16"/>
        <v/>
      </c>
    </row>
    <row r="1039" spans="42:42" ht="12" customHeight="1" x14ac:dyDescent="0.25">
      <c r="AP1039" s="15" t="str">
        <f t="shared" si="16"/>
        <v/>
      </c>
    </row>
    <row r="1040" spans="42:42" ht="12" customHeight="1" x14ac:dyDescent="0.25">
      <c r="AP1040" s="15" t="str">
        <f t="shared" si="16"/>
        <v/>
      </c>
    </row>
    <row r="1041" spans="42:42" ht="12" customHeight="1" x14ac:dyDescent="0.25">
      <c r="AP1041" s="15" t="str">
        <f t="shared" si="16"/>
        <v/>
      </c>
    </row>
    <row r="1042" spans="42:42" ht="12" customHeight="1" x14ac:dyDescent="0.25">
      <c r="AP1042" s="15" t="str">
        <f t="shared" si="16"/>
        <v/>
      </c>
    </row>
    <row r="1043" spans="42:42" ht="12" customHeight="1" x14ac:dyDescent="0.25">
      <c r="AP1043" s="15" t="str">
        <f t="shared" si="16"/>
        <v/>
      </c>
    </row>
    <row r="1044" spans="42:42" ht="12" customHeight="1" x14ac:dyDescent="0.25">
      <c r="AP1044" s="15" t="str">
        <f t="shared" si="16"/>
        <v/>
      </c>
    </row>
    <row r="1045" spans="42:42" ht="12" customHeight="1" x14ac:dyDescent="0.25">
      <c r="AP1045" s="15" t="str">
        <f t="shared" si="16"/>
        <v/>
      </c>
    </row>
    <row r="1046" spans="42:42" ht="12" customHeight="1" x14ac:dyDescent="0.25">
      <c r="AP1046" s="15" t="str">
        <f t="shared" si="16"/>
        <v/>
      </c>
    </row>
    <row r="1047" spans="42:42" ht="12" customHeight="1" x14ac:dyDescent="0.25">
      <c r="AP1047" s="15" t="str">
        <f t="shared" si="16"/>
        <v/>
      </c>
    </row>
    <row r="1048" spans="42:42" ht="12" customHeight="1" x14ac:dyDescent="0.25">
      <c r="AP1048" s="15" t="str">
        <f t="shared" si="16"/>
        <v/>
      </c>
    </row>
    <row r="1049" spans="42:42" ht="12" customHeight="1" x14ac:dyDescent="0.25">
      <c r="AP1049" s="15" t="str">
        <f t="shared" si="16"/>
        <v/>
      </c>
    </row>
    <row r="1050" spans="42:42" ht="12" customHeight="1" x14ac:dyDescent="0.25">
      <c r="AP1050" s="15" t="str">
        <f t="shared" si="16"/>
        <v/>
      </c>
    </row>
    <row r="1051" spans="42:42" ht="12" customHeight="1" x14ac:dyDescent="0.25">
      <c r="AP1051" s="15" t="str">
        <f t="shared" si="16"/>
        <v/>
      </c>
    </row>
    <row r="1052" spans="42:42" ht="12" customHeight="1" x14ac:dyDescent="0.25">
      <c r="AP1052" s="15" t="str">
        <f t="shared" si="16"/>
        <v/>
      </c>
    </row>
    <row r="1053" spans="42:42" ht="12" customHeight="1" x14ac:dyDescent="0.25">
      <c r="AP1053" s="15" t="str">
        <f t="shared" si="16"/>
        <v/>
      </c>
    </row>
    <row r="1054" spans="42:42" ht="12" customHeight="1" x14ac:dyDescent="0.25">
      <c r="AP1054" s="15" t="str">
        <f t="shared" si="16"/>
        <v/>
      </c>
    </row>
    <row r="1055" spans="42:42" ht="12" customHeight="1" x14ac:dyDescent="0.25">
      <c r="AP1055" s="15" t="str">
        <f t="shared" si="16"/>
        <v/>
      </c>
    </row>
    <row r="1056" spans="42:42" ht="12" customHeight="1" x14ac:dyDescent="0.25">
      <c r="AP1056" s="15" t="str">
        <f t="shared" si="16"/>
        <v/>
      </c>
    </row>
    <row r="1057" spans="42:42" ht="12" customHeight="1" x14ac:dyDescent="0.25">
      <c r="AP1057" s="15" t="str">
        <f t="shared" si="16"/>
        <v/>
      </c>
    </row>
    <row r="1058" spans="42:42" ht="12" customHeight="1" x14ac:dyDescent="0.25">
      <c r="AP1058" s="15" t="str">
        <f t="shared" si="16"/>
        <v/>
      </c>
    </row>
    <row r="1059" spans="42:42" ht="12" customHeight="1" x14ac:dyDescent="0.25">
      <c r="AP1059" s="15" t="str">
        <f t="shared" si="16"/>
        <v/>
      </c>
    </row>
    <row r="1060" spans="42:42" ht="12" customHeight="1" x14ac:dyDescent="0.25">
      <c r="AP1060" s="15" t="str">
        <f t="shared" si="16"/>
        <v/>
      </c>
    </row>
    <row r="1061" spans="42:42" ht="12" customHeight="1" x14ac:dyDescent="0.25">
      <c r="AP1061" s="15" t="str">
        <f t="shared" si="16"/>
        <v/>
      </c>
    </row>
    <row r="1062" spans="42:42" ht="12" customHeight="1" x14ac:dyDescent="0.25">
      <c r="AP1062" s="15" t="str">
        <f t="shared" si="16"/>
        <v/>
      </c>
    </row>
    <row r="1063" spans="42:42" ht="12" customHeight="1" x14ac:dyDescent="0.25">
      <c r="AP1063" s="15" t="str">
        <f t="shared" si="16"/>
        <v/>
      </c>
    </row>
    <row r="1064" spans="42:42" ht="12" customHeight="1" x14ac:dyDescent="0.25">
      <c r="AP1064" s="15" t="str">
        <f t="shared" si="16"/>
        <v/>
      </c>
    </row>
    <row r="1065" spans="42:42" ht="12" customHeight="1" x14ac:dyDescent="0.25">
      <c r="AP1065" s="15" t="str">
        <f t="shared" si="16"/>
        <v/>
      </c>
    </row>
    <row r="1066" spans="42:42" ht="12" customHeight="1" x14ac:dyDescent="0.25">
      <c r="AP1066" s="15" t="str">
        <f t="shared" si="16"/>
        <v/>
      </c>
    </row>
    <row r="1067" spans="42:42" ht="12" customHeight="1" x14ac:dyDescent="0.25">
      <c r="AP1067" s="15" t="str">
        <f t="shared" si="16"/>
        <v/>
      </c>
    </row>
    <row r="1068" spans="42:42" ht="12" customHeight="1" x14ac:dyDescent="0.25">
      <c r="AP1068" s="15" t="str">
        <f t="shared" si="16"/>
        <v/>
      </c>
    </row>
    <row r="1069" spans="42:42" ht="12" customHeight="1" x14ac:dyDescent="0.25">
      <c r="AP1069" s="15" t="str">
        <f t="shared" si="16"/>
        <v/>
      </c>
    </row>
    <row r="1070" spans="42:42" ht="12" customHeight="1" x14ac:dyDescent="0.25">
      <c r="AP1070" s="15" t="str">
        <f t="shared" si="16"/>
        <v/>
      </c>
    </row>
    <row r="1071" spans="42:42" ht="12" customHeight="1" x14ac:dyDescent="0.25">
      <c r="AP1071" s="15" t="str">
        <f t="shared" si="16"/>
        <v/>
      </c>
    </row>
    <row r="1072" spans="42:42" ht="12" customHeight="1" x14ac:dyDescent="0.25">
      <c r="AP1072" s="15" t="str">
        <f t="shared" si="16"/>
        <v/>
      </c>
    </row>
    <row r="1073" spans="42:42" ht="12" customHeight="1" x14ac:dyDescent="0.25">
      <c r="AP1073" s="15" t="str">
        <f t="shared" si="16"/>
        <v/>
      </c>
    </row>
    <row r="1074" spans="42:42" ht="12" customHeight="1" x14ac:dyDescent="0.25">
      <c r="AP1074" s="15" t="str">
        <f t="shared" si="16"/>
        <v/>
      </c>
    </row>
    <row r="1075" spans="42:42" ht="12" customHeight="1" x14ac:dyDescent="0.25">
      <c r="AP1075" s="15" t="str">
        <f t="shared" si="16"/>
        <v/>
      </c>
    </row>
    <row r="1076" spans="42:42" ht="12" customHeight="1" x14ac:dyDescent="0.25">
      <c r="AP1076" s="15" t="str">
        <f t="shared" si="16"/>
        <v/>
      </c>
    </row>
    <row r="1077" spans="42:42" ht="12" customHeight="1" x14ac:dyDescent="0.25">
      <c r="AP1077" s="15" t="str">
        <f t="shared" si="16"/>
        <v/>
      </c>
    </row>
    <row r="1078" spans="42:42" ht="12" customHeight="1" x14ac:dyDescent="0.25">
      <c r="AP1078" s="15" t="str">
        <f t="shared" si="16"/>
        <v/>
      </c>
    </row>
    <row r="1079" spans="42:42" ht="12" customHeight="1" x14ac:dyDescent="0.25">
      <c r="AP1079" s="15" t="str">
        <f t="shared" si="16"/>
        <v/>
      </c>
    </row>
    <row r="1080" spans="42:42" ht="12" customHeight="1" x14ac:dyDescent="0.25">
      <c r="AP1080" s="15" t="str">
        <f t="shared" si="16"/>
        <v/>
      </c>
    </row>
    <row r="1081" spans="42:42" ht="12" customHeight="1" x14ac:dyDescent="0.25">
      <c r="AP1081" s="15" t="str">
        <f t="shared" si="16"/>
        <v/>
      </c>
    </row>
    <row r="1082" spans="42:42" ht="12" customHeight="1" x14ac:dyDescent="0.25">
      <c r="AP1082" s="15" t="str">
        <f t="shared" si="16"/>
        <v/>
      </c>
    </row>
    <row r="1083" spans="42:42" ht="12" customHeight="1" x14ac:dyDescent="0.25">
      <c r="AP1083" s="15" t="str">
        <f t="shared" si="16"/>
        <v/>
      </c>
    </row>
    <row r="1084" spans="42:42" ht="12" customHeight="1" x14ac:dyDescent="0.25">
      <c r="AP1084" s="15" t="str">
        <f t="shared" si="16"/>
        <v/>
      </c>
    </row>
    <row r="1085" spans="42:42" ht="12" customHeight="1" x14ac:dyDescent="0.25">
      <c r="AP1085" s="15" t="str">
        <f t="shared" si="16"/>
        <v/>
      </c>
    </row>
    <row r="1086" spans="42:42" ht="12" customHeight="1" x14ac:dyDescent="0.25">
      <c r="AP1086" s="15" t="str">
        <f t="shared" si="16"/>
        <v/>
      </c>
    </row>
    <row r="1087" spans="42:42" ht="12" customHeight="1" x14ac:dyDescent="0.25">
      <c r="AP1087" s="15" t="str">
        <f t="shared" si="16"/>
        <v/>
      </c>
    </row>
    <row r="1088" spans="42:42" ht="12" customHeight="1" x14ac:dyDescent="0.25">
      <c r="AP1088" s="15" t="str">
        <f t="shared" si="16"/>
        <v/>
      </c>
    </row>
    <row r="1089" spans="42:42" ht="12" customHeight="1" x14ac:dyDescent="0.25">
      <c r="AP1089" s="15" t="str">
        <f t="shared" si="16"/>
        <v/>
      </c>
    </row>
    <row r="1090" spans="42:42" ht="12" customHeight="1" x14ac:dyDescent="0.25">
      <c r="AP1090" s="15" t="str">
        <f t="shared" si="16"/>
        <v/>
      </c>
    </row>
    <row r="1091" spans="42:42" ht="12" customHeight="1" x14ac:dyDescent="0.25">
      <c r="AP1091" s="15" t="str">
        <f t="shared" si="16"/>
        <v/>
      </c>
    </row>
    <row r="1092" spans="42:42" ht="12" customHeight="1" x14ac:dyDescent="0.25">
      <c r="AP1092" s="15" t="str">
        <f t="shared" si="16"/>
        <v/>
      </c>
    </row>
    <row r="1093" spans="42:42" ht="12" customHeight="1" x14ac:dyDescent="0.25">
      <c r="AP1093" s="15" t="str">
        <f t="shared" si="16"/>
        <v/>
      </c>
    </row>
    <row r="1094" spans="42:42" ht="12" customHeight="1" x14ac:dyDescent="0.25">
      <c r="AP1094" s="15" t="str">
        <f t="shared" si="16"/>
        <v/>
      </c>
    </row>
    <row r="1095" spans="42:42" ht="12" customHeight="1" x14ac:dyDescent="0.25">
      <c r="AP1095" s="15" t="str">
        <f t="shared" si="16"/>
        <v/>
      </c>
    </row>
    <row r="1096" spans="42:42" ht="12" customHeight="1" x14ac:dyDescent="0.25">
      <c r="AP1096" s="15" t="str">
        <f t="shared" ref="AP1096:AP1159" si="17">IF(AO1096="", "", AO1096&amp;"["&amp;AN1096&amp;"]")</f>
        <v/>
      </c>
    </row>
    <row r="1097" spans="42:42" ht="12" customHeight="1" x14ac:dyDescent="0.25">
      <c r="AP1097" s="15" t="str">
        <f t="shared" si="17"/>
        <v/>
      </c>
    </row>
    <row r="1098" spans="42:42" ht="12" customHeight="1" x14ac:dyDescent="0.25">
      <c r="AP1098" s="15" t="str">
        <f t="shared" si="17"/>
        <v/>
      </c>
    </row>
    <row r="1099" spans="42:42" ht="12" customHeight="1" x14ac:dyDescent="0.25">
      <c r="AP1099" s="15" t="str">
        <f t="shared" si="17"/>
        <v/>
      </c>
    </row>
    <row r="1100" spans="42:42" ht="12" customHeight="1" x14ac:dyDescent="0.25">
      <c r="AP1100" s="15" t="str">
        <f t="shared" si="17"/>
        <v/>
      </c>
    </row>
    <row r="1101" spans="42:42" ht="12" customHeight="1" x14ac:dyDescent="0.25">
      <c r="AP1101" s="15" t="str">
        <f t="shared" si="17"/>
        <v/>
      </c>
    </row>
    <row r="1102" spans="42:42" ht="12" customHeight="1" x14ac:dyDescent="0.25">
      <c r="AP1102" s="15" t="str">
        <f t="shared" si="17"/>
        <v/>
      </c>
    </row>
    <row r="1103" spans="42:42" ht="12" customHeight="1" x14ac:dyDescent="0.25">
      <c r="AP1103" s="15" t="str">
        <f t="shared" si="17"/>
        <v/>
      </c>
    </row>
    <row r="1104" spans="42:42" ht="12" customHeight="1" x14ac:dyDescent="0.25">
      <c r="AP1104" s="15" t="str">
        <f t="shared" si="17"/>
        <v/>
      </c>
    </row>
    <row r="1105" spans="42:42" ht="12" customHeight="1" x14ac:dyDescent="0.25">
      <c r="AP1105" s="15" t="str">
        <f t="shared" si="17"/>
        <v/>
      </c>
    </row>
    <row r="1106" spans="42:42" ht="12" customHeight="1" x14ac:dyDescent="0.25">
      <c r="AP1106" s="15" t="str">
        <f t="shared" si="17"/>
        <v/>
      </c>
    </row>
    <row r="1107" spans="42:42" ht="12" customHeight="1" x14ac:dyDescent="0.25">
      <c r="AP1107" s="15" t="str">
        <f t="shared" si="17"/>
        <v/>
      </c>
    </row>
    <row r="1108" spans="42:42" ht="12" customHeight="1" x14ac:dyDescent="0.25">
      <c r="AP1108" s="15" t="str">
        <f t="shared" si="17"/>
        <v/>
      </c>
    </row>
    <row r="1109" spans="42:42" ht="12" customHeight="1" x14ac:dyDescent="0.25">
      <c r="AP1109" s="15" t="str">
        <f t="shared" si="17"/>
        <v/>
      </c>
    </row>
    <row r="1110" spans="42:42" ht="12" customHeight="1" x14ac:dyDescent="0.25">
      <c r="AP1110" s="15" t="str">
        <f t="shared" si="17"/>
        <v/>
      </c>
    </row>
    <row r="1111" spans="42:42" ht="12" customHeight="1" x14ac:dyDescent="0.25">
      <c r="AP1111" s="15" t="str">
        <f t="shared" si="17"/>
        <v/>
      </c>
    </row>
    <row r="1112" spans="42:42" ht="12" customHeight="1" x14ac:dyDescent="0.25">
      <c r="AP1112" s="15" t="str">
        <f t="shared" si="17"/>
        <v/>
      </c>
    </row>
    <row r="1113" spans="42:42" ht="12" customHeight="1" x14ac:dyDescent="0.25">
      <c r="AP1113" s="15" t="str">
        <f t="shared" si="17"/>
        <v/>
      </c>
    </row>
    <row r="1114" spans="42:42" ht="12" customHeight="1" x14ac:dyDescent="0.25">
      <c r="AP1114" s="15" t="str">
        <f t="shared" si="17"/>
        <v/>
      </c>
    </row>
    <row r="1115" spans="42:42" ht="12" customHeight="1" x14ac:dyDescent="0.25">
      <c r="AP1115" s="15" t="str">
        <f t="shared" si="17"/>
        <v/>
      </c>
    </row>
    <row r="1116" spans="42:42" ht="12" customHeight="1" x14ac:dyDescent="0.25">
      <c r="AP1116" s="15" t="str">
        <f t="shared" si="17"/>
        <v/>
      </c>
    </row>
    <row r="1117" spans="42:42" ht="12" customHeight="1" x14ac:dyDescent="0.25">
      <c r="AP1117" s="15" t="str">
        <f t="shared" si="17"/>
        <v/>
      </c>
    </row>
    <row r="1118" spans="42:42" ht="12" customHeight="1" x14ac:dyDescent="0.25">
      <c r="AP1118" s="15" t="str">
        <f t="shared" si="17"/>
        <v/>
      </c>
    </row>
    <row r="1119" spans="42:42" ht="12" customHeight="1" x14ac:dyDescent="0.25">
      <c r="AP1119" s="15" t="str">
        <f t="shared" si="17"/>
        <v/>
      </c>
    </row>
    <row r="1120" spans="42:42" ht="12" customHeight="1" x14ac:dyDescent="0.25">
      <c r="AP1120" s="15" t="str">
        <f t="shared" si="17"/>
        <v/>
      </c>
    </row>
    <row r="1121" spans="42:42" ht="12" customHeight="1" x14ac:dyDescent="0.25">
      <c r="AP1121" s="15" t="str">
        <f t="shared" si="17"/>
        <v/>
      </c>
    </row>
    <row r="1122" spans="42:42" ht="12" customHeight="1" x14ac:dyDescent="0.25">
      <c r="AP1122" s="15" t="str">
        <f t="shared" si="17"/>
        <v/>
      </c>
    </row>
    <row r="1123" spans="42:42" ht="12" customHeight="1" x14ac:dyDescent="0.25">
      <c r="AP1123" s="15" t="str">
        <f t="shared" si="17"/>
        <v/>
      </c>
    </row>
    <row r="1124" spans="42:42" ht="12" customHeight="1" x14ac:dyDescent="0.25">
      <c r="AP1124" s="15" t="str">
        <f t="shared" si="17"/>
        <v/>
      </c>
    </row>
    <row r="1125" spans="42:42" ht="12" customHeight="1" x14ac:dyDescent="0.25">
      <c r="AP1125" s="15" t="str">
        <f t="shared" si="17"/>
        <v/>
      </c>
    </row>
    <row r="1126" spans="42:42" ht="12" customHeight="1" x14ac:dyDescent="0.25">
      <c r="AP1126" s="15" t="str">
        <f t="shared" si="17"/>
        <v/>
      </c>
    </row>
    <row r="1127" spans="42:42" ht="12" customHeight="1" x14ac:dyDescent="0.25">
      <c r="AP1127" s="15" t="str">
        <f t="shared" si="17"/>
        <v/>
      </c>
    </row>
    <row r="1128" spans="42:42" ht="12" customHeight="1" x14ac:dyDescent="0.25">
      <c r="AP1128" s="15" t="str">
        <f t="shared" si="17"/>
        <v/>
      </c>
    </row>
    <row r="1129" spans="42:42" ht="12" customHeight="1" x14ac:dyDescent="0.25">
      <c r="AP1129" s="15" t="str">
        <f t="shared" si="17"/>
        <v/>
      </c>
    </row>
    <row r="1130" spans="42:42" ht="12" customHeight="1" x14ac:dyDescent="0.25">
      <c r="AP1130" s="15" t="str">
        <f t="shared" si="17"/>
        <v/>
      </c>
    </row>
    <row r="1131" spans="42:42" ht="12" customHeight="1" x14ac:dyDescent="0.25">
      <c r="AP1131" s="15" t="str">
        <f t="shared" si="17"/>
        <v/>
      </c>
    </row>
    <row r="1132" spans="42:42" ht="12" customHeight="1" x14ac:dyDescent="0.25">
      <c r="AP1132" s="15" t="str">
        <f t="shared" si="17"/>
        <v/>
      </c>
    </row>
    <row r="1133" spans="42:42" ht="12" customHeight="1" x14ac:dyDescent="0.25">
      <c r="AP1133" s="15" t="str">
        <f t="shared" si="17"/>
        <v/>
      </c>
    </row>
    <row r="1134" spans="42:42" ht="12" customHeight="1" x14ac:dyDescent="0.25">
      <c r="AP1134" s="15" t="str">
        <f t="shared" si="17"/>
        <v/>
      </c>
    </row>
    <row r="1135" spans="42:42" ht="12" customHeight="1" x14ac:dyDescent="0.25">
      <c r="AP1135" s="15" t="str">
        <f t="shared" si="17"/>
        <v/>
      </c>
    </row>
    <row r="1136" spans="42:42" ht="12" customHeight="1" x14ac:dyDescent="0.25">
      <c r="AP1136" s="15" t="str">
        <f t="shared" si="17"/>
        <v/>
      </c>
    </row>
    <row r="1137" spans="42:42" ht="12" customHeight="1" x14ac:dyDescent="0.25">
      <c r="AP1137" s="15" t="str">
        <f t="shared" si="17"/>
        <v/>
      </c>
    </row>
    <row r="1138" spans="42:42" ht="12" customHeight="1" x14ac:dyDescent="0.25">
      <c r="AP1138" s="15" t="str">
        <f t="shared" si="17"/>
        <v/>
      </c>
    </row>
    <row r="1139" spans="42:42" ht="12" customHeight="1" x14ac:dyDescent="0.25">
      <c r="AP1139" s="15" t="str">
        <f t="shared" si="17"/>
        <v/>
      </c>
    </row>
    <row r="1140" spans="42:42" ht="12" customHeight="1" x14ac:dyDescent="0.25">
      <c r="AP1140" s="15" t="str">
        <f t="shared" si="17"/>
        <v/>
      </c>
    </row>
    <row r="1141" spans="42:42" ht="12" customHeight="1" x14ac:dyDescent="0.25">
      <c r="AP1141" s="15" t="str">
        <f t="shared" si="17"/>
        <v/>
      </c>
    </row>
    <row r="1142" spans="42:42" ht="12" customHeight="1" x14ac:dyDescent="0.25">
      <c r="AP1142" s="15" t="str">
        <f t="shared" si="17"/>
        <v/>
      </c>
    </row>
    <row r="1143" spans="42:42" ht="12" customHeight="1" x14ac:dyDescent="0.25">
      <c r="AP1143" s="15" t="str">
        <f t="shared" si="17"/>
        <v/>
      </c>
    </row>
    <row r="1144" spans="42:42" ht="12" customHeight="1" x14ac:dyDescent="0.25">
      <c r="AP1144" s="15" t="str">
        <f t="shared" si="17"/>
        <v/>
      </c>
    </row>
    <row r="1145" spans="42:42" ht="12" customHeight="1" x14ac:dyDescent="0.25">
      <c r="AP1145" s="15" t="str">
        <f t="shared" si="17"/>
        <v/>
      </c>
    </row>
    <row r="1146" spans="42:42" ht="12" customHeight="1" x14ac:dyDescent="0.25">
      <c r="AP1146" s="15" t="str">
        <f t="shared" si="17"/>
        <v/>
      </c>
    </row>
    <row r="1147" spans="42:42" ht="12" customHeight="1" x14ac:dyDescent="0.25">
      <c r="AP1147" s="15" t="str">
        <f t="shared" si="17"/>
        <v/>
      </c>
    </row>
    <row r="1148" spans="42:42" ht="12" customHeight="1" x14ac:dyDescent="0.25">
      <c r="AP1148" s="15" t="str">
        <f t="shared" si="17"/>
        <v/>
      </c>
    </row>
    <row r="1149" spans="42:42" ht="12" customHeight="1" x14ac:dyDescent="0.25">
      <c r="AP1149" s="15" t="str">
        <f t="shared" si="17"/>
        <v/>
      </c>
    </row>
    <row r="1150" spans="42:42" ht="12" customHeight="1" x14ac:dyDescent="0.25">
      <c r="AP1150" s="15" t="str">
        <f t="shared" si="17"/>
        <v/>
      </c>
    </row>
    <row r="1151" spans="42:42" ht="12" customHeight="1" x14ac:dyDescent="0.25">
      <c r="AP1151" s="15" t="str">
        <f t="shared" si="17"/>
        <v/>
      </c>
    </row>
    <row r="1152" spans="42:42" ht="12" customHeight="1" x14ac:dyDescent="0.25">
      <c r="AP1152" s="15" t="str">
        <f t="shared" si="17"/>
        <v/>
      </c>
    </row>
    <row r="1153" spans="42:42" ht="12" customHeight="1" x14ac:dyDescent="0.25">
      <c r="AP1153" s="15" t="str">
        <f t="shared" si="17"/>
        <v/>
      </c>
    </row>
    <row r="1154" spans="42:42" ht="12" customHeight="1" x14ac:dyDescent="0.25">
      <c r="AP1154" s="15" t="str">
        <f t="shared" si="17"/>
        <v/>
      </c>
    </row>
    <row r="1155" spans="42:42" ht="12" customHeight="1" x14ac:dyDescent="0.25">
      <c r="AP1155" s="15" t="str">
        <f t="shared" si="17"/>
        <v/>
      </c>
    </row>
    <row r="1156" spans="42:42" ht="12" customHeight="1" x14ac:dyDescent="0.25">
      <c r="AP1156" s="15" t="str">
        <f t="shared" si="17"/>
        <v/>
      </c>
    </row>
    <row r="1157" spans="42:42" ht="12" customHeight="1" x14ac:dyDescent="0.25">
      <c r="AP1157" s="15" t="str">
        <f t="shared" si="17"/>
        <v/>
      </c>
    </row>
    <row r="1158" spans="42:42" ht="12" customHeight="1" x14ac:dyDescent="0.25">
      <c r="AP1158" s="15" t="str">
        <f t="shared" si="17"/>
        <v/>
      </c>
    </row>
    <row r="1159" spans="42:42" ht="12" customHeight="1" x14ac:dyDescent="0.25">
      <c r="AP1159" s="15" t="str">
        <f t="shared" si="17"/>
        <v/>
      </c>
    </row>
    <row r="1160" spans="42:42" ht="12" customHeight="1" x14ac:dyDescent="0.25">
      <c r="AP1160" s="15" t="str">
        <f t="shared" ref="AP1160:AP1223" si="18">IF(AO1160="", "", AO1160&amp;"["&amp;AN1160&amp;"]")</f>
        <v/>
      </c>
    </row>
    <row r="1161" spans="42:42" ht="12" customHeight="1" x14ac:dyDescent="0.25">
      <c r="AP1161" s="15" t="str">
        <f t="shared" si="18"/>
        <v/>
      </c>
    </row>
    <row r="1162" spans="42:42" ht="12" customHeight="1" x14ac:dyDescent="0.25">
      <c r="AP1162" s="15" t="str">
        <f t="shared" si="18"/>
        <v/>
      </c>
    </row>
    <row r="1163" spans="42:42" ht="12" customHeight="1" x14ac:dyDescent="0.25">
      <c r="AP1163" s="15" t="str">
        <f t="shared" si="18"/>
        <v/>
      </c>
    </row>
    <row r="1164" spans="42:42" ht="12" customHeight="1" x14ac:dyDescent="0.25">
      <c r="AP1164" s="15" t="str">
        <f t="shared" si="18"/>
        <v/>
      </c>
    </row>
    <row r="1165" spans="42:42" ht="12" customHeight="1" x14ac:dyDescent="0.25">
      <c r="AP1165" s="15" t="str">
        <f t="shared" si="18"/>
        <v/>
      </c>
    </row>
    <row r="1166" spans="42:42" ht="12" customHeight="1" x14ac:dyDescent="0.25">
      <c r="AP1166" s="15" t="str">
        <f t="shared" si="18"/>
        <v/>
      </c>
    </row>
    <row r="1167" spans="42:42" ht="12" customHeight="1" x14ac:dyDescent="0.25">
      <c r="AP1167" s="15" t="str">
        <f t="shared" si="18"/>
        <v/>
      </c>
    </row>
    <row r="1168" spans="42:42" ht="12" customHeight="1" x14ac:dyDescent="0.25">
      <c r="AP1168" s="15" t="str">
        <f t="shared" si="18"/>
        <v/>
      </c>
    </row>
    <row r="1169" spans="42:42" ht="12" customHeight="1" x14ac:dyDescent="0.25">
      <c r="AP1169" s="15" t="str">
        <f t="shared" si="18"/>
        <v/>
      </c>
    </row>
    <row r="1170" spans="42:42" ht="12" customHeight="1" x14ac:dyDescent="0.25">
      <c r="AP1170" s="15" t="str">
        <f t="shared" si="18"/>
        <v/>
      </c>
    </row>
    <row r="1171" spans="42:42" ht="12" customHeight="1" x14ac:dyDescent="0.25">
      <c r="AP1171" s="15" t="str">
        <f t="shared" si="18"/>
        <v/>
      </c>
    </row>
    <row r="1172" spans="42:42" ht="12" customHeight="1" x14ac:dyDescent="0.25">
      <c r="AP1172" s="15" t="str">
        <f t="shared" si="18"/>
        <v/>
      </c>
    </row>
    <row r="1173" spans="42:42" ht="12" customHeight="1" x14ac:dyDescent="0.25">
      <c r="AP1173" s="15" t="str">
        <f t="shared" si="18"/>
        <v/>
      </c>
    </row>
    <row r="1174" spans="42:42" ht="12" customHeight="1" x14ac:dyDescent="0.25">
      <c r="AP1174" s="15" t="str">
        <f t="shared" si="18"/>
        <v/>
      </c>
    </row>
    <row r="1175" spans="42:42" ht="12" customHeight="1" x14ac:dyDescent="0.25">
      <c r="AP1175" s="15" t="str">
        <f t="shared" si="18"/>
        <v/>
      </c>
    </row>
    <row r="1176" spans="42:42" ht="12" customHeight="1" x14ac:dyDescent="0.25">
      <c r="AP1176" s="15" t="str">
        <f t="shared" si="18"/>
        <v/>
      </c>
    </row>
    <row r="1177" spans="42:42" ht="12" customHeight="1" x14ac:dyDescent="0.25">
      <c r="AP1177" s="15" t="str">
        <f t="shared" si="18"/>
        <v/>
      </c>
    </row>
    <row r="1178" spans="42:42" ht="12" customHeight="1" x14ac:dyDescent="0.25">
      <c r="AP1178" s="15" t="str">
        <f t="shared" si="18"/>
        <v/>
      </c>
    </row>
    <row r="1179" spans="42:42" ht="12" customHeight="1" x14ac:dyDescent="0.25">
      <c r="AP1179" s="15" t="str">
        <f t="shared" si="18"/>
        <v/>
      </c>
    </row>
    <row r="1180" spans="42:42" ht="12" customHeight="1" x14ac:dyDescent="0.25">
      <c r="AP1180" s="15" t="str">
        <f t="shared" si="18"/>
        <v/>
      </c>
    </row>
    <row r="1181" spans="42:42" ht="12" customHeight="1" x14ac:dyDescent="0.25">
      <c r="AP1181" s="15" t="str">
        <f t="shared" si="18"/>
        <v/>
      </c>
    </row>
    <row r="1182" spans="42:42" ht="12" customHeight="1" x14ac:dyDescent="0.25">
      <c r="AP1182" s="15" t="str">
        <f t="shared" si="18"/>
        <v/>
      </c>
    </row>
    <row r="1183" spans="42:42" ht="12" customHeight="1" x14ac:dyDescent="0.25">
      <c r="AP1183" s="15" t="str">
        <f t="shared" si="18"/>
        <v/>
      </c>
    </row>
    <row r="1184" spans="42:42" ht="12" customHeight="1" x14ac:dyDescent="0.25">
      <c r="AP1184" s="15" t="str">
        <f t="shared" si="18"/>
        <v/>
      </c>
    </row>
    <row r="1185" spans="42:42" ht="12" customHeight="1" x14ac:dyDescent="0.25">
      <c r="AP1185" s="15" t="str">
        <f t="shared" si="18"/>
        <v/>
      </c>
    </row>
    <row r="1186" spans="42:42" ht="12" customHeight="1" x14ac:dyDescent="0.25">
      <c r="AP1186" s="15" t="str">
        <f t="shared" si="18"/>
        <v/>
      </c>
    </row>
    <row r="1187" spans="42:42" ht="12" customHeight="1" x14ac:dyDescent="0.25">
      <c r="AP1187" s="15" t="str">
        <f t="shared" si="18"/>
        <v/>
      </c>
    </row>
    <row r="1188" spans="42:42" ht="12" customHeight="1" x14ac:dyDescent="0.25">
      <c r="AP1188" s="15" t="str">
        <f t="shared" si="18"/>
        <v/>
      </c>
    </row>
    <row r="1189" spans="42:42" ht="12" customHeight="1" x14ac:dyDescent="0.25">
      <c r="AP1189" s="15" t="str">
        <f t="shared" si="18"/>
        <v/>
      </c>
    </row>
    <row r="1190" spans="42:42" ht="12" customHeight="1" x14ac:dyDescent="0.25">
      <c r="AP1190" s="15" t="str">
        <f t="shared" si="18"/>
        <v/>
      </c>
    </row>
    <row r="1191" spans="42:42" ht="12" customHeight="1" x14ac:dyDescent="0.25">
      <c r="AP1191" s="15" t="str">
        <f t="shared" si="18"/>
        <v/>
      </c>
    </row>
    <row r="1192" spans="42:42" ht="12" customHeight="1" x14ac:dyDescent="0.25">
      <c r="AP1192" s="15" t="str">
        <f t="shared" si="18"/>
        <v/>
      </c>
    </row>
    <row r="1193" spans="42:42" ht="12" customHeight="1" x14ac:dyDescent="0.25">
      <c r="AP1193" s="15" t="str">
        <f t="shared" si="18"/>
        <v/>
      </c>
    </row>
    <row r="1194" spans="42:42" ht="12" customHeight="1" x14ac:dyDescent="0.25">
      <c r="AP1194" s="15" t="str">
        <f t="shared" si="18"/>
        <v/>
      </c>
    </row>
    <row r="1195" spans="42:42" ht="12" customHeight="1" x14ac:dyDescent="0.25">
      <c r="AP1195" s="15" t="str">
        <f t="shared" si="18"/>
        <v/>
      </c>
    </row>
    <row r="1196" spans="42:42" ht="12" customHeight="1" x14ac:dyDescent="0.25">
      <c r="AP1196" s="15" t="str">
        <f t="shared" si="18"/>
        <v/>
      </c>
    </row>
    <row r="1197" spans="42:42" ht="12" customHeight="1" x14ac:dyDescent="0.25">
      <c r="AP1197" s="15" t="str">
        <f t="shared" si="18"/>
        <v/>
      </c>
    </row>
    <row r="1198" spans="42:42" ht="12" customHeight="1" x14ac:dyDescent="0.25">
      <c r="AP1198" s="15" t="str">
        <f t="shared" si="18"/>
        <v/>
      </c>
    </row>
    <row r="1199" spans="42:42" ht="12" customHeight="1" x14ac:dyDescent="0.25">
      <c r="AP1199" s="15" t="str">
        <f t="shared" si="18"/>
        <v/>
      </c>
    </row>
    <row r="1200" spans="42:42" ht="12" customHeight="1" x14ac:dyDescent="0.25">
      <c r="AP1200" s="15" t="str">
        <f t="shared" si="18"/>
        <v/>
      </c>
    </row>
    <row r="1201" spans="42:42" ht="12" customHeight="1" x14ac:dyDescent="0.25">
      <c r="AP1201" s="15" t="str">
        <f t="shared" si="18"/>
        <v/>
      </c>
    </row>
    <row r="1202" spans="42:42" ht="12" customHeight="1" x14ac:dyDescent="0.25">
      <c r="AP1202" s="15" t="str">
        <f t="shared" si="18"/>
        <v/>
      </c>
    </row>
    <row r="1203" spans="42:42" ht="12" customHeight="1" x14ac:dyDescent="0.25">
      <c r="AP1203" s="15" t="str">
        <f t="shared" si="18"/>
        <v/>
      </c>
    </row>
    <row r="1204" spans="42:42" ht="12" customHeight="1" x14ac:dyDescent="0.25">
      <c r="AP1204" s="15" t="str">
        <f t="shared" si="18"/>
        <v/>
      </c>
    </row>
    <row r="1205" spans="42:42" ht="12" customHeight="1" x14ac:dyDescent="0.25">
      <c r="AP1205" s="15" t="str">
        <f t="shared" si="18"/>
        <v/>
      </c>
    </row>
    <row r="1206" spans="42:42" ht="12" customHeight="1" x14ac:dyDescent="0.25">
      <c r="AP1206" s="15" t="str">
        <f t="shared" si="18"/>
        <v/>
      </c>
    </row>
    <row r="1207" spans="42:42" ht="12" customHeight="1" x14ac:dyDescent="0.25">
      <c r="AP1207" s="15" t="str">
        <f t="shared" si="18"/>
        <v/>
      </c>
    </row>
    <row r="1208" spans="42:42" ht="12" customHeight="1" x14ac:dyDescent="0.25">
      <c r="AP1208" s="15" t="str">
        <f t="shared" si="18"/>
        <v/>
      </c>
    </row>
    <row r="1209" spans="42:42" ht="12" customHeight="1" x14ac:dyDescent="0.25">
      <c r="AP1209" s="15" t="str">
        <f t="shared" si="18"/>
        <v/>
      </c>
    </row>
    <row r="1210" spans="42:42" ht="12" customHeight="1" x14ac:dyDescent="0.25">
      <c r="AP1210" s="15" t="str">
        <f t="shared" si="18"/>
        <v/>
      </c>
    </row>
    <row r="1211" spans="42:42" ht="12" customHeight="1" x14ac:dyDescent="0.25">
      <c r="AP1211" s="15" t="str">
        <f t="shared" si="18"/>
        <v/>
      </c>
    </row>
    <row r="1212" spans="42:42" ht="12" customHeight="1" x14ac:dyDescent="0.25">
      <c r="AP1212" s="15" t="str">
        <f t="shared" si="18"/>
        <v/>
      </c>
    </row>
    <row r="1213" spans="42:42" ht="12" customHeight="1" x14ac:dyDescent="0.25">
      <c r="AP1213" s="15" t="str">
        <f t="shared" si="18"/>
        <v/>
      </c>
    </row>
    <row r="1214" spans="42:42" ht="12" customHeight="1" x14ac:dyDescent="0.25">
      <c r="AP1214" s="15" t="str">
        <f t="shared" si="18"/>
        <v/>
      </c>
    </row>
    <row r="1215" spans="42:42" ht="12" customHeight="1" x14ac:dyDescent="0.25">
      <c r="AP1215" s="15" t="str">
        <f t="shared" si="18"/>
        <v/>
      </c>
    </row>
    <row r="1216" spans="42:42" ht="12" customHeight="1" x14ac:dyDescent="0.25">
      <c r="AP1216" s="15" t="str">
        <f t="shared" si="18"/>
        <v/>
      </c>
    </row>
    <row r="1217" spans="42:42" ht="12" customHeight="1" x14ac:dyDescent="0.25">
      <c r="AP1217" s="15" t="str">
        <f t="shared" si="18"/>
        <v/>
      </c>
    </row>
    <row r="1218" spans="42:42" ht="12" customHeight="1" x14ac:dyDescent="0.25">
      <c r="AP1218" s="15" t="str">
        <f t="shared" si="18"/>
        <v/>
      </c>
    </row>
    <row r="1219" spans="42:42" ht="12" customHeight="1" x14ac:dyDescent="0.25">
      <c r="AP1219" s="15" t="str">
        <f t="shared" si="18"/>
        <v/>
      </c>
    </row>
    <row r="1220" spans="42:42" ht="12" customHeight="1" x14ac:dyDescent="0.25">
      <c r="AP1220" s="15" t="str">
        <f t="shared" si="18"/>
        <v/>
      </c>
    </row>
    <row r="1221" spans="42:42" ht="12" customHeight="1" x14ac:dyDescent="0.25">
      <c r="AP1221" s="15" t="str">
        <f t="shared" si="18"/>
        <v/>
      </c>
    </row>
    <row r="1222" spans="42:42" ht="12" customHeight="1" x14ac:dyDescent="0.25">
      <c r="AP1222" s="15" t="str">
        <f t="shared" si="18"/>
        <v/>
      </c>
    </row>
    <row r="1223" spans="42:42" ht="12" customHeight="1" x14ac:dyDescent="0.25">
      <c r="AP1223" s="15" t="str">
        <f t="shared" si="18"/>
        <v/>
      </c>
    </row>
    <row r="1224" spans="42:42" ht="12" customHeight="1" x14ac:dyDescent="0.25">
      <c r="AP1224" s="15" t="str">
        <f t="shared" ref="AP1224:AP1287" si="19">IF(AO1224="", "", AO1224&amp;"["&amp;AN1224&amp;"]")</f>
        <v/>
      </c>
    </row>
    <row r="1225" spans="42:42" ht="12" customHeight="1" x14ac:dyDescent="0.25">
      <c r="AP1225" s="15" t="str">
        <f t="shared" si="19"/>
        <v/>
      </c>
    </row>
    <row r="1226" spans="42:42" ht="12" customHeight="1" x14ac:dyDescent="0.25">
      <c r="AP1226" s="15" t="str">
        <f t="shared" si="19"/>
        <v/>
      </c>
    </row>
    <row r="1227" spans="42:42" ht="12" customHeight="1" x14ac:dyDescent="0.25">
      <c r="AP1227" s="15" t="str">
        <f t="shared" si="19"/>
        <v/>
      </c>
    </row>
    <row r="1228" spans="42:42" ht="12" customHeight="1" x14ac:dyDescent="0.25">
      <c r="AP1228" s="15" t="str">
        <f t="shared" si="19"/>
        <v/>
      </c>
    </row>
    <row r="1229" spans="42:42" ht="12" customHeight="1" x14ac:dyDescent="0.25">
      <c r="AP1229" s="15" t="str">
        <f t="shared" si="19"/>
        <v/>
      </c>
    </row>
    <row r="1230" spans="42:42" ht="12" customHeight="1" x14ac:dyDescent="0.25">
      <c r="AP1230" s="15" t="str">
        <f t="shared" si="19"/>
        <v/>
      </c>
    </row>
    <row r="1231" spans="42:42" ht="12" customHeight="1" x14ac:dyDescent="0.25">
      <c r="AP1231" s="15" t="str">
        <f t="shared" si="19"/>
        <v/>
      </c>
    </row>
    <row r="1232" spans="42:42" ht="12" customHeight="1" x14ac:dyDescent="0.25">
      <c r="AP1232" s="15" t="str">
        <f t="shared" si="19"/>
        <v/>
      </c>
    </row>
    <row r="1233" spans="42:42" ht="12" customHeight="1" x14ac:dyDescent="0.25">
      <c r="AP1233" s="15" t="str">
        <f t="shared" si="19"/>
        <v/>
      </c>
    </row>
    <row r="1234" spans="42:42" ht="12" customHeight="1" x14ac:dyDescent="0.25">
      <c r="AP1234" s="15" t="str">
        <f t="shared" si="19"/>
        <v/>
      </c>
    </row>
    <row r="1235" spans="42:42" ht="12" customHeight="1" x14ac:dyDescent="0.25">
      <c r="AP1235" s="15" t="str">
        <f t="shared" si="19"/>
        <v/>
      </c>
    </row>
    <row r="1236" spans="42:42" ht="12" customHeight="1" x14ac:dyDescent="0.25">
      <c r="AP1236" s="15" t="str">
        <f t="shared" si="19"/>
        <v/>
      </c>
    </row>
    <row r="1237" spans="42:42" ht="12" customHeight="1" x14ac:dyDescent="0.25">
      <c r="AP1237" s="15" t="str">
        <f t="shared" si="19"/>
        <v/>
      </c>
    </row>
    <row r="1238" spans="42:42" ht="12" customHeight="1" x14ac:dyDescent="0.25">
      <c r="AP1238" s="15" t="str">
        <f t="shared" si="19"/>
        <v/>
      </c>
    </row>
    <row r="1239" spans="42:42" ht="12" customHeight="1" x14ac:dyDescent="0.25">
      <c r="AP1239" s="15" t="str">
        <f t="shared" si="19"/>
        <v/>
      </c>
    </row>
    <row r="1240" spans="42:42" ht="12" customHeight="1" x14ac:dyDescent="0.25">
      <c r="AP1240" s="15" t="str">
        <f t="shared" si="19"/>
        <v/>
      </c>
    </row>
    <row r="1241" spans="42:42" ht="12" customHeight="1" x14ac:dyDescent="0.25">
      <c r="AP1241" s="15" t="str">
        <f t="shared" si="19"/>
        <v/>
      </c>
    </row>
    <row r="1242" spans="42:42" ht="12" customHeight="1" x14ac:dyDescent="0.25">
      <c r="AP1242" s="15" t="str">
        <f t="shared" si="19"/>
        <v/>
      </c>
    </row>
    <row r="1243" spans="42:42" ht="12" customHeight="1" x14ac:dyDescent="0.25">
      <c r="AP1243" s="15" t="str">
        <f t="shared" si="19"/>
        <v/>
      </c>
    </row>
    <row r="1244" spans="42:42" ht="12" customHeight="1" x14ac:dyDescent="0.25">
      <c r="AP1244" s="15" t="str">
        <f t="shared" si="19"/>
        <v/>
      </c>
    </row>
    <row r="1245" spans="42:42" ht="12" customHeight="1" x14ac:dyDescent="0.25">
      <c r="AP1245" s="15" t="str">
        <f t="shared" si="19"/>
        <v/>
      </c>
    </row>
    <row r="1246" spans="42:42" ht="12" customHeight="1" x14ac:dyDescent="0.25">
      <c r="AP1246" s="15" t="str">
        <f t="shared" si="19"/>
        <v/>
      </c>
    </row>
    <row r="1247" spans="42:42" ht="12" customHeight="1" x14ac:dyDescent="0.25">
      <c r="AP1247" s="15" t="str">
        <f t="shared" si="19"/>
        <v/>
      </c>
    </row>
    <row r="1248" spans="42:42" ht="12" customHeight="1" x14ac:dyDescent="0.25">
      <c r="AP1248" s="15" t="str">
        <f t="shared" si="19"/>
        <v/>
      </c>
    </row>
    <row r="1249" spans="42:42" ht="12" customHeight="1" x14ac:dyDescent="0.25">
      <c r="AP1249" s="15" t="str">
        <f t="shared" si="19"/>
        <v/>
      </c>
    </row>
    <row r="1250" spans="42:42" ht="12" customHeight="1" x14ac:dyDescent="0.25">
      <c r="AP1250" s="15" t="str">
        <f t="shared" si="19"/>
        <v/>
      </c>
    </row>
    <row r="1251" spans="42:42" ht="12" customHeight="1" x14ac:dyDescent="0.25">
      <c r="AP1251" s="15" t="str">
        <f t="shared" si="19"/>
        <v/>
      </c>
    </row>
    <row r="1252" spans="42:42" ht="12" customHeight="1" x14ac:dyDescent="0.25">
      <c r="AP1252" s="15" t="str">
        <f t="shared" si="19"/>
        <v/>
      </c>
    </row>
    <row r="1253" spans="42:42" ht="12" customHeight="1" x14ac:dyDescent="0.25">
      <c r="AP1253" s="15" t="str">
        <f t="shared" si="19"/>
        <v/>
      </c>
    </row>
    <row r="1254" spans="42:42" ht="12" customHeight="1" x14ac:dyDescent="0.25">
      <c r="AP1254" s="15" t="str">
        <f t="shared" si="19"/>
        <v/>
      </c>
    </row>
    <row r="1255" spans="42:42" ht="12" customHeight="1" x14ac:dyDescent="0.25">
      <c r="AP1255" s="15" t="str">
        <f t="shared" si="19"/>
        <v/>
      </c>
    </row>
    <row r="1256" spans="42:42" ht="12" customHeight="1" x14ac:dyDescent="0.25">
      <c r="AP1256" s="15" t="str">
        <f t="shared" si="19"/>
        <v/>
      </c>
    </row>
    <row r="1257" spans="42:42" ht="12" customHeight="1" x14ac:dyDescent="0.25">
      <c r="AP1257" s="15" t="str">
        <f t="shared" si="19"/>
        <v/>
      </c>
    </row>
    <row r="1258" spans="42:42" ht="12" customHeight="1" x14ac:dyDescent="0.25">
      <c r="AP1258" s="15" t="str">
        <f t="shared" si="19"/>
        <v/>
      </c>
    </row>
    <row r="1259" spans="42:42" ht="12" customHeight="1" x14ac:dyDescent="0.25">
      <c r="AP1259" s="15" t="str">
        <f t="shared" si="19"/>
        <v/>
      </c>
    </row>
    <row r="1260" spans="42:42" ht="12" customHeight="1" x14ac:dyDescent="0.25">
      <c r="AP1260" s="15" t="str">
        <f t="shared" si="19"/>
        <v/>
      </c>
    </row>
    <row r="1261" spans="42:42" ht="12" customHeight="1" x14ac:dyDescent="0.25">
      <c r="AP1261" s="15" t="str">
        <f t="shared" si="19"/>
        <v/>
      </c>
    </row>
    <row r="1262" spans="42:42" ht="12" customHeight="1" x14ac:dyDescent="0.25">
      <c r="AP1262" s="15" t="str">
        <f t="shared" si="19"/>
        <v/>
      </c>
    </row>
    <row r="1263" spans="42:42" ht="12" customHeight="1" x14ac:dyDescent="0.25">
      <c r="AP1263" s="15" t="str">
        <f t="shared" si="19"/>
        <v/>
      </c>
    </row>
    <row r="1264" spans="42:42" ht="12" customHeight="1" x14ac:dyDescent="0.25">
      <c r="AP1264" s="15" t="str">
        <f t="shared" si="19"/>
        <v/>
      </c>
    </row>
    <row r="1265" spans="42:42" ht="12" customHeight="1" x14ac:dyDescent="0.25">
      <c r="AP1265" s="15" t="str">
        <f t="shared" si="19"/>
        <v/>
      </c>
    </row>
    <row r="1266" spans="42:42" ht="12" customHeight="1" x14ac:dyDescent="0.25">
      <c r="AP1266" s="15" t="str">
        <f t="shared" si="19"/>
        <v/>
      </c>
    </row>
    <row r="1267" spans="42:42" ht="12" customHeight="1" x14ac:dyDescent="0.25">
      <c r="AP1267" s="15" t="str">
        <f t="shared" si="19"/>
        <v/>
      </c>
    </row>
    <row r="1268" spans="42:42" ht="12" customHeight="1" x14ac:dyDescent="0.25">
      <c r="AP1268" s="15" t="str">
        <f t="shared" si="19"/>
        <v/>
      </c>
    </row>
    <row r="1269" spans="42:42" ht="12" customHeight="1" x14ac:dyDescent="0.25">
      <c r="AP1269" s="15" t="str">
        <f t="shared" si="19"/>
        <v/>
      </c>
    </row>
    <row r="1270" spans="42:42" ht="12" customHeight="1" x14ac:dyDescent="0.25">
      <c r="AP1270" s="15" t="str">
        <f t="shared" si="19"/>
        <v/>
      </c>
    </row>
    <row r="1271" spans="42:42" ht="12" customHeight="1" x14ac:dyDescent="0.25">
      <c r="AP1271" s="15" t="str">
        <f t="shared" si="19"/>
        <v/>
      </c>
    </row>
    <row r="1272" spans="42:42" ht="12" customHeight="1" x14ac:dyDescent="0.25">
      <c r="AP1272" s="15" t="str">
        <f t="shared" si="19"/>
        <v/>
      </c>
    </row>
    <row r="1273" spans="42:42" ht="12" customHeight="1" x14ac:dyDescent="0.25">
      <c r="AP1273" s="15" t="str">
        <f t="shared" si="19"/>
        <v/>
      </c>
    </row>
    <row r="1274" spans="42:42" ht="12" customHeight="1" x14ac:dyDescent="0.25">
      <c r="AP1274" s="15" t="str">
        <f t="shared" si="19"/>
        <v/>
      </c>
    </row>
    <row r="1275" spans="42:42" ht="12" customHeight="1" x14ac:dyDescent="0.25">
      <c r="AP1275" s="15" t="str">
        <f t="shared" si="19"/>
        <v/>
      </c>
    </row>
    <row r="1276" spans="42:42" ht="12" customHeight="1" x14ac:dyDescent="0.25">
      <c r="AP1276" s="15" t="str">
        <f t="shared" si="19"/>
        <v/>
      </c>
    </row>
    <row r="1277" spans="42:42" ht="12" customHeight="1" x14ac:dyDescent="0.25">
      <c r="AP1277" s="15" t="str">
        <f t="shared" si="19"/>
        <v/>
      </c>
    </row>
    <row r="1278" spans="42:42" ht="12" customHeight="1" x14ac:dyDescent="0.25">
      <c r="AP1278" s="15" t="str">
        <f t="shared" si="19"/>
        <v/>
      </c>
    </row>
    <row r="1279" spans="42:42" ht="12" customHeight="1" x14ac:dyDescent="0.25">
      <c r="AP1279" s="15" t="str">
        <f t="shared" si="19"/>
        <v/>
      </c>
    </row>
    <row r="1280" spans="42:42" ht="12" customHeight="1" x14ac:dyDescent="0.25">
      <c r="AP1280" s="15" t="str">
        <f t="shared" si="19"/>
        <v/>
      </c>
    </row>
    <row r="1281" spans="42:42" ht="12" customHeight="1" x14ac:dyDescent="0.25">
      <c r="AP1281" s="15" t="str">
        <f t="shared" si="19"/>
        <v/>
      </c>
    </row>
    <row r="1282" spans="42:42" ht="12" customHeight="1" x14ac:dyDescent="0.25">
      <c r="AP1282" s="15" t="str">
        <f t="shared" si="19"/>
        <v/>
      </c>
    </row>
    <row r="1283" spans="42:42" ht="12" customHeight="1" x14ac:dyDescent="0.25">
      <c r="AP1283" s="15" t="str">
        <f t="shared" si="19"/>
        <v/>
      </c>
    </row>
    <row r="1284" spans="42:42" ht="12" customHeight="1" x14ac:dyDescent="0.25">
      <c r="AP1284" s="15" t="str">
        <f t="shared" si="19"/>
        <v/>
      </c>
    </row>
    <row r="1285" spans="42:42" ht="12" customHeight="1" x14ac:dyDescent="0.25">
      <c r="AP1285" s="15" t="str">
        <f t="shared" si="19"/>
        <v/>
      </c>
    </row>
    <row r="1286" spans="42:42" ht="12" customHeight="1" x14ac:dyDescent="0.25">
      <c r="AP1286" s="15" t="str">
        <f t="shared" si="19"/>
        <v/>
      </c>
    </row>
    <row r="1287" spans="42:42" ht="12" customHeight="1" x14ac:dyDescent="0.25">
      <c r="AP1287" s="15" t="str">
        <f t="shared" si="19"/>
        <v/>
      </c>
    </row>
    <row r="1288" spans="42:42" ht="12" customHeight="1" x14ac:dyDescent="0.25">
      <c r="AP1288" s="15" t="str">
        <f t="shared" ref="AP1288:AP1351" si="20">IF(AO1288="", "", AO1288&amp;"["&amp;AN1288&amp;"]")</f>
        <v/>
      </c>
    </row>
    <row r="1289" spans="42:42" ht="12" customHeight="1" x14ac:dyDescent="0.25">
      <c r="AP1289" s="15" t="str">
        <f t="shared" si="20"/>
        <v/>
      </c>
    </row>
    <row r="1290" spans="42:42" ht="12" customHeight="1" x14ac:dyDescent="0.25">
      <c r="AP1290" s="15" t="str">
        <f t="shared" si="20"/>
        <v/>
      </c>
    </row>
    <row r="1291" spans="42:42" ht="12" customHeight="1" x14ac:dyDescent="0.25">
      <c r="AP1291" s="15" t="str">
        <f t="shared" si="20"/>
        <v/>
      </c>
    </row>
    <row r="1292" spans="42:42" ht="12" customHeight="1" x14ac:dyDescent="0.25">
      <c r="AP1292" s="15" t="str">
        <f t="shared" si="20"/>
        <v/>
      </c>
    </row>
    <row r="1293" spans="42:42" ht="12" customHeight="1" x14ac:dyDescent="0.25">
      <c r="AP1293" s="15" t="str">
        <f t="shared" si="20"/>
        <v/>
      </c>
    </row>
    <row r="1294" spans="42:42" ht="12" customHeight="1" x14ac:dyDescent="0.25">
      <c r="AP1294" s="15" t="str">
        <f t="shared" si="20"/>
        <v/>
      </c>
    </row>
    <row r="1295" spans="42:42" ht="12" customHeight="1" x14ac:dyDescent="0.25">
      <c r="AP1295" s="15" t="str">
        <f t="shared" si="20"/>
        <v/>
      </c>
    </row>
    <row r="1296" spans="42:42" ht="12" customHeight="1" x14ac:dyDescent="0.25">
      <c r="AP1296" s="15" t="str">
        <f t="shared" si="20"/>
        <v/>
      </c>
    </row>
    <row r="1297" spans="42:42" ht="12" customHeight="1" x14ac:dyDescent="0.25">
      <c r="AP1297" s="15" t="str">
        <f t="shared" si="20"/>
        <v/>
      </c>
    </row>
    <row r="1298" spans="42:42" ht="12" customHeight="1" x14ac:dyDescent="0.25">
      <c r="AP1298" s="15" t="str">
        <f t="shared" si="20"/>
        <v/>
      </c>
    </row>
    <row r="1299" spans="42:42" ht="12" customHeight="1" x14ac:dyDescent="0.25">
      <c r="AP1299" s="15" t="str">
        <f t="shared" si="20"/>
        <v/>
      </c>
    </row>
    <row r="1300" spans="42:42" ht="12" customHeight="1" x14ac:dyDescent="0.25">
      <c r="AP1300" s="15" t="str">
        <f t="shared" si="20"/>
        <v/>
      </c>
    </row>
    <row r="1301" spans="42:42" ht="12" customHeight="1" x14ac:dyDescent="0.25">
      <c r="AP1301" s="15" t="str">
        <f t="shared" si="20"/>
        <v/>
      </c>
    </row>
    <row r="1302" spans="42:42" ht="12" customHeight="1" x14ac:dyDescent="0.25">
      <c r="AP1302" s="15" t="str">
        <f t="shared" si="20"/>
        <v/>
      </c>
    </row>
    <row r="1303" spans="42:42" ht="12" customHeight="1" x14ac:dyDescent="0.25">
      <c r="AP1303" s="15" t="str">
        <f t="shared" si="20"/>
        <v/>
      </c>
    </row>
    <row r="1304" spans="42:42" ht="12" customHeight="1" x14ac:dyDescent="0.25">
      <c r="AP1304" s="15" t="str">
        <f t="shared" si="20"/>
        <v/>
      </c>
    </row>
    <row r="1305" spans="42:42" ht="12" customHeight="1" x14ac:dyDescent="0.25">
      <c r="AP1305" s="15" t="str">
        <f t="shared" si="20"/>
        <v/>
      </c>
    </row>
    <row r="1306" spans="42:42" ht="12" customHeight="1" x14ac:dyDescent="0.25">
      <c r="AP1306" s="15" t="str">
        <f t="shared" si="20"/>
        <v/>
      </c>
    </row>
    <row r="1307" spans="42:42" ht="12" customHeight="1" x14ac:dyDescent="0.25">
      <c r="AP1307" s="15" t="str">
        <f t="shared" si="20"/>
        <v/>
      </c>
    </row>
    <row r="1308" spans="42:42" ht="12" customHeight="1" x14ac:dyDescent="0.25">
      <c r="AP1308" s="15" t="str">
        <f t="shared" si="20"/>
        <v/>
      </c>
    </row>
    <row r="1309" spans="42:42" ht="12" customHeight="1" x14ac:dyDescent="0.25">
      <c r="AP1309" s="15" t="str">
        <f t="shared" si="20"/>
        <v/>
      </c>
    </row>
    <row r="1310" spans="42:42" ht="12" customHeight="1" x14ac:dyDescent="0.25">
      <c r="AP1310" s="15" t="str">
        <f t="shared" si="20"/>
        <v/>
      </c>
    </row>
    <row r="1311" spans="42:42" ht="12" customHeight="1" x14ac:dyDescent="0.25">
      <c r="AP1311" s="15" t="str">
        <f t="shared" si="20"/>
        <v/>
      </c>
    </row>
    <row r="1312" spans="42:42" ht="12" customHeight="1" x14ac:dyDescent="0.25">
      <c r="AP1312" s="15" t="str">
        <f t="shared" si="20"/>
        <v/>
      </c>
    </row>
    <row r="1313" spans="42:42" ht="12" customHeight="1" x14ac:dyDescent="0.25">
      <c r="AP1313" s="15" t="str">
        <f t="shared" si="20"/>
        <v/>
      </c>
    </row>
    <row r="1314" spans="42:42" ht="12" customHeight="1" x14ac:dyDescent="0.25">
      <c r="AP1314" s="15" t="str">
        <f t="shared" si="20"/>
        <v/>
      </c>
    </row>
    <row r="1315" spans="42:42" ht="12" customHeight="1" x14ac:dyDescent="0.25">
      <c r="AP1315" s="15" t="str">
        <f t="shared" si="20"/>
        <v/>
      </c>
    </row>
    <row r="1316" spans="42:42" ht="12" customHeight="1" x14ac:dyDescent="0.25">
      <c r="AP1316" s="15" t="str">
        <f t="shared" si="20"/>
        <v/>
      </c>
    </row>
    <row r="1317" spans="42:42" ht="12" customHeight="1" x14ac:dyDescent="0.25">
      <c r="AP1317" s="15" t="str">
        <f t="shared" si="20"/>
        <v/>
      </c>
    </row>
    <row r="1318" spans="42:42" ht="12" customHeight="1" x14ac:dyDescent="0.25">
      <c r="AP1318" s="15" t="str">
        <f t="shared" si="20"/>
        <v/>
      </c>
    </row>
    <row r="1319" spans="42:42" ht="12" customHeight="1" x14ac:dyDescent="0.25">
      <c r="AP1319" s="15" t="str">
        <f t="shared" si="20"/>
        <v/>
      </c>
    </row>
    <row r="1320" spans="42:42" ht="12" customHeight="1" x14ac:dyDescent="0.25">
      <c r="AP1320" s="15" t="str">
        <f t="shared" si="20"/>
        <v/>
      </c>
    </row>
    <row r="1321" spans="42:42" ht="12" customHeight="1" x14ac:dyDescent="0.25">
      <c r="AP1321" s="15" t="str">
        <f t="shared" si="20"/>
        <v/>
      </c>
    </row>
    <row r="1322" spans="42:42" ht="12" customHeight="1" x14ac:dyDescent="0.25">
      <c r="AP1322" s="15" t="str">
        <f t="shared" si="20"/>
        <v/>
      </c>
    </row>
    <row r="1323" spans="42:42" ht="12" customHeight="1" x14ac:dyDescent="0.25">
      <c r="AP1323" s="15" t="str">
        <f t="shared" si="20"/>
        <v/>
      </c>
    </row>
    <row r="1324" spans="42:42" ht="12" customHeight="1" x14ac:dyDescent="0.25">
      <c r="AP1324" s="15" t="str">
        <f t="shared" si="20"/>
        <v/>
      </c>
    </row>
    <row r="1325" spans="42:42" ht="12" customHeight="1" x14ac:dyDescent="0.25">
      <c r="AP1325" s="15" t="str">
        <f t="shared" si="20"/>
        <v/>
      </c>
    </row>
    <row r="1326" spans="42:42" ht="12" customHeight="1" x14ac:dyDescent="0.25">
      <c r="AP1326" s="15" t="str">
        <f t="shared" si="20"/>
        <v/>
      </c>
    </row>
    <row r="1327" spans="42:42" ht="12" customHeight="1" x14ac:dyDescent="0.25">
      <c r="AP1327" s="15" t="str">
        <f t="shared" si="20"/>
        <v/>
      </c>
    </row>
    <row r="1328" spans="42:42" ht="12" customHeight="1" x14ac:dyDescent="0.25">
      <c r="AP1328" s="15" t="str">
        <f t="shared" si="20"/>
        <v/>
      </c>
    </row>
    <row r="1329" spans="42:42" ht="12" customHeight="1" x14ac:dyDescent="0.25">
      <c r="AP1329" s="15" t="str">
        <f t="shared" si="20"/>
        <v/>
      </c>
    </row>
    <row r="1330" spans="42:42" ht="12" customHeight="1" x14ac:dyDescent="0.25">
      <c r="AP1330" s="15" t="str">
        <f t="shared" si="20"/>
        <v/>
      </c>
    </row>
    <row r="1331" spans="42:42" ht="12" customHeight="1" x14ac:dyDescent="0.25">
      <c r="AP1331" s="15" t="str">
        <f t="shared" si="20"/>
        <v/>
      </c>
    </row>
    <row r="1332" spans="42:42" ht="12" customHeight="1" x14ac:dyDescent="0.25">
      <c r="AP1332" s="15" t="str">
        <f t="shared" si="20"/>
        <v/>
      </c>
    </row>
    <row r="1333" spans="42:42" ht="12" customHeight="1" x14ac:dyDescent="0.25">
      <c r="AP1333" s="15" t="str">
        <f t="shared" si="20"/>
        <v/>
      </c>
    </row>
    <row r="1334" spans="42:42" ht="12" customHeight="1" x14ac:dyDescent="0.25">
      <c r="AP1334" s="15" t="str">
        <f t="shared" si="20"/>
        <v/>
      </c>
    </row>
    <row r="1335" spans="42:42" ht="12" customHeight="1" x14ac:dyDescent="0.25">
      <c r="AP1335" s="15" t="str">
        <f t="shared" si="20"/>
        <v/>
      </c>
    </row>
    <row r="1336" spans="42:42" ht="12" customHeight="1" x14ac:dyDescent="0.25">
      <c r="AP1336" s="15" t="str">
        <f t="shared" si="20"/>
        <v/>
      </c>
    </row>
    <row r="1337" spans="42:42" ht="12" customHeight="1" x14ac:dyDescent="0.25">
      <c r="AP1337" s="15" t="str">
        <f t="shared" si="20"/>
        <v/>
      </c>
    </row>
    <row r="1338" spans="42:42" ht="12" customHeight="1" x14ac:dyDescent="0.25">
      <c r="AP1338" s="15" t="str">
        <f t="shared" si="20"/>
        <v/>
      </c>
    </row>
    <row r="1339" spans="42:42" ht="12" customHeight="1" x14ac:dyDescent="0.25">
      <c r="AP1339" s="15" t="str">
        <f t="shared" si="20"/>
        <v/>
      </c>
    </row>
    <row r="1340" spans="42:42" ht="12" customHeight="1" x14ac:dyDescent="0.25">
      <c r="AP1340" s="15" t="str">
        <f t="shared" si="20"/>
        <v/>
      </c>
    </row>
    <row r="1341" spans="42:42" ht="12" customHeight="1" x14ac:dyDescent="0.25">
      <c r="AP1341" s="15" t="str">
        <f t="shared" si="20"/>
        <v/>
      </c>
    </row>
    <row r="1342" spans="42:42" ht="12" customHeight="1" x14ac:dyDescent="0.25">
      <c r="AP1342" s="15" t="str">
        <f t="shared" si="20"/>
        <v/>
      </c>
    </row>
    <row r="1343" spans="42:42" ht="12" customHeight="1" x14ac:dyDescent="0.25">
      <c r="AP1343" s="15" t="str">
        <f t="shared" si="20"/>
        <v/>
      </c>
    </row>
    <row r="1344" spans="42:42" ht="12" customHeight="1" x14ac:dyDescent="0.25">
      <c r="AP1344" s="15" t="str">
        <f t="shared" si="20"/>
        <v/>
      </c>
    </row>
    <row r="1345" spans="42:42" ht="12" customHeight="1" x14ac:dyDescent="0.25">
      <c r="AP1345" s="15" t="str">
        <f t="shared" si="20"/>
        <v/>
      </c>
    </row>
    <row r="1346" spans="42:42" ht="12" customHeight="1" x14ac:dyDescent="0.25">
      <c r="AP1346" s="15" t="str">
        <f t="shared" si="20"/>
        <v/>
      </c>
    </row>
    <row r="1347" spans="42:42" ht="12" customHeight="1" x14ac:dyDescent="0.25">
      <c r="AP1347" s="15" t="str">
        <f t="shared" si="20"/>
        <v/>
      </c>
    </row>
    <row r="1348" spans="42:42" ht="12" customHeight="1" x14ac:dyDescent="0.25">
      <c r="AP1348" s="15" t="str">
        <f t="shared" si="20"/>
        <v/>
      </c>
    </row>
    <row r="1349" spans="42:42" ht="12" customHeight="1" x14ac:dyDescent="0.25">
      <c r="AP1349" s="15" t="str">
        <f t="shared" si="20"/>
        <v/>
      </c>
    </row>
    <row r="1350" spans="42:42" ht="12" customHeight="1" x14ac:dyDescent="0.25">
      <c r="AP1350" s="15" t="str">
        <f t="shared" si="20"/>
        <v/>
      </c>
    </row>
    <row r="1351" spans="42:42" ht="12" customHeight="1" x14ac:dyDescent="0.25">
      <c r="AP1351" s="15" t="str">
        <f t="shared" si="20"/>
        <v/>
      </c>
    </row>
    <row r="1352" spans="42:42" ht="12" customHeight="1" x14ac:dyDescent="0.25">
      <c r="AP1352" s="15" t="str">
        <f t="shared" ref="AP1352:AP1415" si="21">IF(AO1352="", "", AO1352&amp;"["&amp;AN1352&amp;"]")</f>
        <v/>
      </c>
    </row>
    <row r="1353" spans="42:42" ht="12" customHeight="1" x14ac:dyDescent="0.25">
      <c r="AP1353" s="15" t="str">
        <f t="shared" si="21"/>
        <v/>
      </c>
    </row>
    <row r="1354" spans="42:42" ht="12" customHeight="1" x14ac:dyDescent="0.25">
      <c r="AP1354" s="15" t="str">
        <f t="shared" si="21"/>
        <v/>
      </c>
    </row>
    <row r="1355" spans="42:42" ht="12" customHeight="1" x14ac:dyDescent="0.25">
      <c r="AP1355" s="15" t="str">
        <f t="shared" si="21"/>
        <v/>
      </c>
    </row>
    <row r="1356" spans="42:42" ht="12" customHeight="1" x14ac:dyDescent="0.25">
      <c r="AP1356" s="15" t="str">
        <f t="shared" si="21"/>
        <v/>
      </c>
    </row>
    <row r="1357" spans="42:42" ht="12" customHeight="1" x14ac:dyDescent="0.25">
      <c r="AP1357" s="15" t="str">
        <f t="shared" si="21"/>
        <v/>
      </c>
    </row>
    <row r="1358" spans="42:42" ht="12" customHeight="1" x14ac:dyDescent="0.25">
      <c r="AP1358" s="15" t="str">
        <f t="shared" si="21"/>
        <v/>
      </c>
    </row>
    <row r="1359" spans="42:42" ht="12" customHeight="1" x14ac:dyDescent="0.25">
      <c r="AP1359" s="15" t="str">
        <f t="shared" si="21"/>
        <v/>
      </c>
    </row>
    <row r="1360" spans="42:42" ht="12" customHeight="1" x14ac:dyDescent="0.25">
      <c r="AP1360" s="15" t="str">
        <f t="shared" si="21"/>
        <v/>
      </c>
    </row>
    <row r="1361" spans="42:42" ht="12" customHeight="1" x14ac:dyDescent="0.25">
      <c r="AP1361" s="15" t="str">
        <f t="shared" si="21"/>
        <v/>
      </c>
    </row>
    <row r="1362" spans="42:42" ht="12" customHeight="1" x14ac:dyDescent="0.25">
      <c r="AP1362" s="15" t="str">
        <f t="shared" si="21"/>
        <v/>
      </c>
    </row>
    <row r="1363" spans="42:42" ht="12" customHeight="1" x14ac:dyDescent="0.25">
      <c r="AP1363" s="15" t="str">
        <f t="shared" si="21"/>
        <v/>
      </c>
    </row>
    <row r="1364" spans="42:42" ht="12" customHeight="1" x14ac:dyDescent="0.25">
      <c r="AP1364" s="15" t="str">
        <f t="shared" si="21"/>
        <v/>
      </c>
    </row>
    <row r="1365" spans="42:42" ht="12" customHeight="1" x14ac:dyDescent="0.25">
      <c r="AP1365" s="15" t="str">
        <f t="shared" si="21"/>
        <v/>
      </c>
    </row>
    <row r="1366" spans="42:42" ht="12" customHeight="1" x14ac:dyDescent="0.25">
      <c r="AP1366" s="15" t="str">
        <f t="shared" si="21"/>
        <v/>
      </c>
    </row>
    <row r="1367" spans="42:42" ht="12" customHeight="1" x14ac:dyDescent="0.25">
      <c r="AP1367" s="15" t="str">
        <f t="shared" si="21"/>
        <v/>
      </c>
    </row>
    <row r="1368" spans="42:42" ht="12" customHeight="1" x14ac:dyDescent="0.25">
      <c r="AP1368" s="15" t="str">
        <f t="shared" si="21"/>
        <v/>
      </c>
    </row>
    <row r="1369" spans="42:42" ht="12" customHeight="1" x14ac:dyDescent="0.25">
      <c r="AP1369" s="15" t="str">
        <f t="shared" si="21"/>
        <v/>
      </c>
    </row>
    <row r="1370" spans="42:42" ht="12" customHeight="1" x14ac:dyDescent="0.25">
      <c r="AP1370" s="15" t="str">
        <f t="shared" si="21"/>
        <v/>
      </c>
    </row>
    <row r="1371" spans="42:42" ht="12" customHeight="1" x14ac:dyDescent="0.25">
      <c r="AP1371" s="15" t="str">
        <f t="shared" si="21"/>
        <v/>
      </c>
    </row>
    <row r="1372" spans="42:42" ht="12" customHeight="1" x14ac:dyDescent="0.25">
      <c r="AP1372" s="15" t="str">
        <f t="shared" si="21"/>
        <v/>
      </c>
    </row>
    <row r="1373" spans="42:42" ht="12" customHeight="1" x14ac:dyDescent="0.25">
      <c r="AP1373" s="15" t="str">
        <f t="shared" si="21"/>
        <v/>
      </c>
    </row>
    <row r="1374" spans="42:42" ht="12" customHeight="1" x14ac:dyDescent="0.25">
      <c r="AP1374" s="15" t="str">
        <f t="shared" si="21"/>
        <v/>
      </c>
    </row>
    <row r="1375" spans="42:42" ht="12" customHeight="1" x14ac:dyDescent="0.25">
      <c r="AP1375" s="15" t="str">
        <f t="shared" si="21"/>
        <v/>
      </c>
    </row>
    <row r="1376" spans="42:42" ht="12" customHeight="1" x14ac:dyDescent="0.25">
      <c r="AP1376" s="15" t="str">
        <f t="shared" si="21"/>
        <v/>
      </c>
    </row>
    <row r="1377" spans="42:42" ht="12" customHeight="1" x14ac:dyDescent="0.25">
      <c r="AP1377" s="15" t="str">
        <f t="shared" si="21"/>
        <v/>
      </c>
    </row>
    <row r="1378" spans="42:42" ht="12" customHeight="1" x14ac:dyDescent="0.25">
      <c r="AP1378" s="15" t="str">
        <f t="shared" si="21"/>
        <v/>
      </c>
    </row>
    <row r="1379" spans="42:42" ht="12" customHeight="1" x14ac:dyDescent="0.25">
      <c r="AP1379" s="15" t="str">
        <f t="shared" si="21"/>
        <v/>
      </c>
    </row>
    <row r="1380" spans="42:42" ht="12" customHeight="1" x14ac:dyDescent="0.25">
      <c r="AP1380" s="15" t="str">
        <f t="shared" si="21"/>
        <v/>
      </c>
    </row>
    <row r="1381" spans="42:42" ht="12" customHeight="1" x14ac:dyDescent="0.25">
      <c r="AP1381" s="15" t="str">
        <f t="shared" si="21"/>
        <v/>
      </c>
    </row>
    <row r="1382" spans="42:42" ht="12" customHeight="1" x14ac:dyDescent="0.25">
      <c r="AP1382" s="15" t="str">
        <f t="shared" si="21"/>
        <v/>
      </c>
    </row>
    <row r="1383" spans="42:42" ht="12" customHeight="1" x14ac:dyDescent="0.25">
      <c r="AP1383" s="15" t="str">
        <f t="shared" si="21"/>
        <v/>
      </c>
    </row>
    <row r="1384" spans="42:42" ht="12" customHeight="1" x14ac:dyDescent="0.25">
      <c r="AP1384" s="15" t="str">
        <f t="shared" si="21"/>
        <v/>
      </c>
    </row>
    <row r="1385" spans="42:42" ht="12" customHeight="1" x14ac:dyDescent="0.25">
      <c r="AP1385" s="15" t="str">
        <f t="shared" si="21"/>
        <v/>
      </c>
    </row>
    <row r="1386" spans="42:42" ht="12" customHeight="1" x14ac:dyDescent="0.25">
      <c r="AP1386" s="15" t="str">
        <f t="shared" si="21"/>
        <v/>
      </c>
    </row>
    <row r="1387" spans="42:42" ht="12" customHeight="1" x14ac:dyDescent="0.25">
      <c r="AP1387" s="15" t="str">
        <f t="shared" si="21"/>
        <v/>
      </c>
    </row>
    <row r="1388" spans="42:42" ht="12" customHeight="1" x14ac:dyDescent="0.25">
      <c r="AP1388" s="15" t="str">
        <f t="shared" si="21"/>
        <v/>
      </c>
    </row>
    <row r="1389" spans="42:42" ht="12" customHeight="1" x14ac:dyDescent="0.25">
      <c r="AP1389" s="15" t="str">
        <f t="shared" si="21"/>
        <v/>
      </c>
    </row>
    <row r="1390" spans="42:42" ht="12" customHeight="1" x14ac:dyDescent="0.25">
      <c r="AP1390" s="15" t="str">
        <f t="shared" si="21"/>
        <v/>
      </c>
    </row>
    <row r="1391" spans="42:42" ht="12" customHeight="1" x14ac:dyDescent="0.25">
      <c r="AP1391" s="15" t="str">
        <f t="shared" si="21"/>
        <v/>
      </c>
    </row>
    <row r="1392" spans="42:42" ht="12" customHeight="1" x14ac:dyDescent="0.25">
      <c r="AP1392" s="15" t="str">
        <f t="shared" si="21"/>
        <v/>
      </c>
    </row>
    <row r="1393" spans="42:42" ht="12" customHeight="1" x14ac:dyDescent="0.25">
      <c r="AP1393" s="15" t="str">
        <f t="shared" si="21"/>
        <v/>
      </c>
    </row>
    <row r="1394" spans="42:42" ht="12" customHeight="1" x14ac:dyDescent="0.25">
      <c r="AP1394" s="15" t="str">
        <f t="shared" si="21"/>
        <v/>
      </c>
    </row>
    <row r="1395" spans="42:42" ht="12" customHeight="1" x14ac:dyDescent="0.25">
      <c r="AP1395" s="15" t="str">
        <f t="shared" si="21"/>
        <v/>
      </c>
    </row>
    <row r="1396" spans="42:42" ht="12" customHeight="1" x14ac:dyDescent="0.25">
      <c r="AP1396" s="15" t="str">
        <f t="shared" si="21"/>
        <v/>
      </c>
    </row>
    <row r="1397" spans="42:42" ht="12" customHeight="1" x14ac:dyDescent="0.25">
      <c r="AP1397" s="15" t="str">
        <f t="shared" si="21"/>
        <v/>
      </c>
    </row>
    <row r="1398" spans="42:42" ht="12" customHeight="1" x14ac:dyDescent="0.25">
      <c r="AP1398" s="15" t="str">
        <f t="shared" si="21"/>
        <v/>
      </c>
    </row>
    <row r="1399" spans="42:42" ht="12" customHeight="1" x14ac:dyDescent="0.25">
      <c r="AP1399" s="15" t="str">
        <f t="shared" si="21"/>
        <v/>
      </c>
    </row>
    <row r="1400" spans="42:42" ht="12" customHeight="1" x14ac:dyDescent="0.25">
      <c r="AP1400" s="15" t="str">
        <f t="shared" si="21"/>
        <v/>
      </c>
    </row>
    <row r="1401" spans="42:42" ht="12" customHeight="1" x14ac:dyDescent="0.25">
      <c r="AP1401" s="15" t="str">
        <f t="shared" si="21"/>
        <v/>
      </c>
    </row>
    <row r="1402" spans="42:42" ht="12" customHeight="1" x14ac:dyDescent="0.25">
      <c r="AP1402" s="15" t="str">
        <f t="shared" si="21"/>
        <v/>
      </c>
    </row>
    <row r="1403" spans="42:42" ht="12" customHeight="1" x14ac:dyDescent="0.25">
      <c r="AP1403" s="15" t="str">
        <f t="shared" si="21"/>
        <v/>
      </c>
    </row>
    <row r="1404" spans="42:42" ht="12" customHeight="1" x14ac:dyDescent="0.25">
      <c r="AP1404" s="15" t="str">
        <f t="shared" si="21"/>
        <v/>
      </c>
    </row>
    <row r="1405" spans="42:42" ht="12" customHeight="1" x14ac:dyDescent="0.25">
      <c r="AP1405" s="15" t="str">
        <f t="shared" si="21"/>
        <v/>
      </c>
    </row>
    <row r="1406" spans="42:42" ht="12" customHeight="1" x14ac:dyDescent="0.25">
      <c r="AP1406" s="15" t="str">
        <f t="shared" si="21"/>
        <v/>
      </c>
    </row>
    <row r="1407" spans="42:42" ht="12" customHeight="1" x14ac:dyDescent="0.25">
      <c r="AP1407" s="15" t="str">
        <f t="shared" si="21"/>
        <v/>
      </c>
    </row>
    <row r="1408" spans="42:42" ht="12" customHeight="1" x14ac:dyDescent="0.25">
      <c r="AP1408" s="15" t="str">
        <f t="shared" si="21"/>
        <v/>
      </c>
    </row>
    <row r="1409" spans="42:42" ht="12" customHeight="1" x14ac:dyDescent="0.25">
      <c r="AP1409" s="15" t="str">
        <f t="shared" si="21"/>
        <v/>
      </c>
    </row>
    <row r="1410" spans="42:42" ht="12" customHeight="1" x14ac:dyDescent="0.25">
      <c r="AP1410" s="15" t="str">
        <f t="shared" si="21"/>
        <v/>
      </c>
    </row>
    <row r="1411" spans="42:42" ht="12" customHeight="1" x14ac:dyDescent="0.25">
      <c r="AP1411" s="15" t="str">
        <f t="shared" si="21"/>
        <v/>
      </c>
    </row>
    <row r="1412" spans="42:42" ht="12" customHeight="1" x14ac:dyDescent="0.25">
      <c r="AP1412" s="15" t="str">
        <f t="shared" si="21"/>
        <v/>
      </c>
    </row>
    <row r="1413" spans="42:42" ht="12" customHeight="1" x14ac:dyDescent="0.25">
      <c r="AP1413" s="15" t="str">
        <f t="shared" si="21"/>
        <v/>
      </c>
    </row>
    <row r="1414" spans="42:42" ht="12" customHeight="1" x14ac:dyDescent="0.25">
      <c r="AP1414" s="15" t="str">
        <f t="shared" si="21"/>
        <v/>
      </c>
    </row>
    <row r="1415" spans="42:42" ht="12" customHeight="1" x14ac:dyDescent="0.25">
      <c r="AP1415" s="15" t="str">
        <f t="shared" si="21"/>
        <v/>
      </c>
    </row>
    <row r="1416" spans="42:42" ht="12" customHeight="1" x14ac:dyDescent="0.25">
      <c r="AP1416" s="15" t="str">
        <f t="shared" ref="AP1416:AP1479" si="22">IF(AO1416="", "", AO1416&amp;"["&amp;AN1416&amp;"]")</f>
        <v/>
      </c>
    </row>
    <row r="1417" spans="42:42" ht="12" customHeight="1" x14ac:dyDescent="0.25">
      <c r="AP1417" s="15" t="str">
        <f t="shared" si="22"/>
        <v/>
      </c>
    </row>
    <row r="1418" spans="42:42" ht="12" customHeight="1" x14ac:dyDescent="0.25">
      <c r="AP1418" s="15" t="str">
        <f t="shared" si="22"/>
        <v/>
      </c>
    </row>
    <row r="1419" spans="42:42" ht="12" customHeight="1" x14ac:dyDescent="0.25">
      <c r="AP1419" s="15" t="str">
        <f t="shared" si="22"/>
        <v/>
      </c>
    </row>
    <row r="1420" spans="42:42" ht="12" customHeight="1" x14ac:dyDescent="0.25">
      <c r="AP1420" s="15" t="str">
        <f t="shared" si="22"/>
        <v/>
      </c>
    </row>
    <row r="1421" spans="42:42" ht="12" customHeight="1" x14ac:dyDescent="0.25">
      <c r="AP1421" s="15" t="str">
        <f t="shared" si="22"/>
        <v/>
      </c>
    </row>
    <row r="1422" spans="42:42" ht="12" customHeight="1" x14ac:dyDescent="0.25">
      <c r="AP1422" s="15" t="str">
        <f t="shared" si="22"/>
        <v/>
      </c>
    </row>
    <row r="1423" spans="42:42" ht="12" customHeight="1" x14ac:dyDescent="0.25">
      <c r="AP1423" s="15" t="str">
        <f t="shared" si="22"/>
        <v/>
      </c>
    </row>
    <row r="1424" spans="42:42" ht="12" customHeight="1" x14ac:dyDescent="0.25">
      <c r="AP1424" s="15" t="str">
        <f t="shared" si="22"/>
        <v/>
      </c>
    </row>
    <row r="1425" spans="42:42" ht="12" customHeight="1" x14ac:dyDescent="0.25">
      <c r="AP1425" s="15" t="str">
        <f t="shared" si="22"/>
        <v/>
      </c>
    </row>
    <row r="1426" spans="42:42" ht="12" customHeight="1" x14ac:dyDescent="0.25">
      <c r="AP1426" s="15" t="str">
        <f t="shared" si="22"/>
        <v/>
      </c>
    </row>
    <row r="1427" spans="42:42" ht="12" customHeight="1" x14ac:dyDescent="0.25">
      <c r="AP1427" s="15" t="str">
        <f t="shared" si="22"/>
        <v/>
      </c>
    </row>
    <row r="1428" spans="42:42" ht="12" customHeight="1" x14ac:dyDescent="0.25">
      <c r="AP1428" s="15" t="str">
        <f t="shared" si="22"/>
        <v/>
      </c>
    </row>
    <row r="1429" spans="42:42" ht="12" customHeight="1" x14ac:dyDescent="0.25">
      <c r="AP1429" s="15" t="str">
        <f t="shared" si="22"/>
        <v/>
      </c>
    </row>
    <row r="1430" spans="42:42" ht="12" customHeight="1" x14ac:dyDescent="0.25">
      <c r="AP1430" s="15" t="str">
        <f t="shared" si="22"/>
        <v/>
      </c>
    </row>
    <row r="1431" spans="42:42" ht="12" customHeight="1" x14ac:dyDescent="0.25">
      <c r="AP1431" s="15" t="str">
        <f t="shared" si="22"/>
        <v/>
      </c>
    </row>
    <row r="1432" spans="42:42" ht="12" customHeight="1" x14ac:dyDescent="0.25">
      <c r="AP1432" s="15" t="str">
        <f t="shared" si="22"/>
        <v/>
      </c>
    </row>
    <row r="1433" spans="42:42" ht="12" customHeight="1" x14ac:dyDescent="0.25">
      <c r="AP1433" s="15" t="str">
        <f t="shared" si="22"/>
        <v/>
      </c>
    </row>
    <row r="1434" spans="42:42" ht="12" customHeight="1" x14ac:dyDescent="0.25">
      <c r="AP1434" s="15" t="str">
        <f t="shared" si="22"/>
        <v/>
      </c>
    </row>
    <row r="1435" spans="42:42" ht="12" customHeight="1" x14ac:dyDescent="0.25">
      <c r="AP1435" s="15" t="str">
        <f t="shared" si="22"/>
        <v/>
      </c>
    </row>
    <row r="1436" spans="42:42" ht="12" customHeight="1" x14ac:dyDescent="0.25">
      <c r="AP1436" s="15" t="str">
        <f t="shared" si="22"/>
        <v/>
      </c>
    </row>
    <row r="1437" spans="42:42" ht="12" customHeight="1" x14ac:dyDescent="0.25">
      <c r="AP1437" s="15" t="str">
        <f t="shared" si="22"/>
        <v/>
      </c>
    </row>
    <row r="1438" spans="42:42" ht="12" customHeight="1" x14ac:dyDescent="0.25">
      <c r="AP1438" s="15" t="str">
        <f t="shared" si="22"/>
        <v/>
      </c>
    </row>
    <row r="1439" spans="42:42" ht="12" customHeight="1" x14ac:dyDescent="0.25">
      <c r="AP1439" s="15" t="str">
        <f t="shared" si="22"/>
        <v/>
      </c>
    </row>
    <row r="1440" spans="42:42" ht="12" customHeight="1" x14ac:dyDescent="0.25">
      <c r="AP1440" s="15" t="str">
        <f t="shared" si="22"/>
        <v/>
      </c>
    </row>
    <row r="1441" spans="42:42" ht="12" customHeight="1" x14ac:dyDescent="0.25">
      <c r="AP1441" s="15" t="str">
        <f t="shared" si="22"/>
        <v/>
      </c>
    </row>
    <row r="1442" spans="42:42" ht="12" customHeight="1" x14ac:dyDescent="0.25">
      <c r="AP1442" s="15" t="str">
        <f t="shared" si="22"/>
        <v/>
      </c>
    </row>
    <row r="1443" spans="42:42" ht="12" customHeight="1" x14ac:dyDescent="0.25">
      <c r="AP1443" s="15" t="str">
        <f t="shared" si="22"/>
        <v/>
      </c>
    </row>
    <row r="1444" spans="42:42" ht="12" customHeight="1" x14ac:dyDescent="0.25">
      <c r="AP1444" s="15" t="str">
        <f t="shared" si="22"/>
        <v/>
      </c>
    </row>
    <row r="1445" spans="42:42" ht="12" customHeight="1" x14ac:dyDescent="0.25">
      <c r="AP1445" s="15" t="str">
        <f t="shared" si="22"/>
        <v/>
      </c>
    </row>
    <row r="1446" spans="42:42" ht="12" customHeight="1" x14ac:dyDescent="0.25">
      <c r="AP1446" s="15" t="str">
        <f t="shared" si="22"/>
        <v/>
      </c>
    </row>
    <row r="1447" spans="42:42" ht="12" customHeight="1" x14ac:dyDescent="0.25">
      <c r="AP1447" s="15" t="str">
        <f t="shared" si="22"/>
        <v/>
      </c>
    </row>
    <row r="1448" spans="42:42" ht="12" customHeight="1" x14ac:dyDescent="0.25">
      <c r="AP1448" s="15" t="str">
        <f t="shared" si="22"/>
        <v/>
      </c>
    </row>
    <row r="1449" spans="42:42" ht="12" customHeight="1" x14ac:dyDescent="0.25">
      <c r="AP1449" s="15" t="str">
        <f t="shared" si="22"/>
        <v/>
      </c>
    </row>
    <row r="1450" spans="42:42" ht="12" customHeight="1" x14ac:dyDescent="0.25">
      <c r="AP1450" s="15" t="str">
        <f t="shared" si="22"/>
        <v/>
      </c>
    </row>
    <row r="1451" spans="42:42" ht="12" customHeight="1" x14ac:dyDescent="0.25">
      <c r="AP1451" s="15" t="str">
        <f t="shared" si="22"/>
        <v/>
      </c>
    </row>
    <row r="1452" spans="42:42" ht="12" customHeight="1" x14ac:dyDescent="0.25">
      <c r="AP1452" s="15" t="str">
        <f t="shared" si="22"/>
        <v/>
      </c>
    </row>
    <row r="1453" spans="42:42" ht="12" customHeight="1" x14ac:dyDescent="0.25">
      <c r="AP1453" s="15" t="str">
        <f t="shared" si="22"/>
        <v/>
      </c>
    </row>
    <row r="1454" spans="42:42" ht="12" customHeight="1" x14ac:dyDescent="0.25">
      <c r="AP1454" s="15" t="str">
        <f t="shared" si="22"/>
        <v/>
      </c>
    </row>
    <row r="1455" spans="42:42" ht="12" customHeight="1" x14ac:dyDescent="0.25">
      <c r="AP1455" s="15" t="str">
        <f t="shared" si="22"/>
        <v/>
      </c>
    </row>
    <row r="1456" spans="42:42" ht="12" customHeight="1" x14ac:dyDescent="0.25">
      <c r="AP1456" s="15" t="str">
        <f t="shared" si="22"/>
        <v/>
      </c>
    </row>
    <row r="1457" spans="42:42" ht="12" customHeight="1" x14ac:dyDescent="0.25">
      <c r="AP1457" s="15" t="str">
        <f t="shared" si="22"/>
        <v/>
      </c>
    </row>
    <row r="1458" spans="42:42" ht="12" customHeight="1" x14ac:dyDescent="0.25">
      <c r="AP1458" s="15" t="str">
        <f t="shared" si="22"/>
        <v/>
      </c>
    </row>
    <row r="1459" spans="42:42" ht="12" customHeight="1" x14ac:dyDescent="0.25">
      <c r="AP1459" s="15" t="str">
        <f t="shared" si="22"/>
        <v/>
      </c>
    </row>
    <row r="1460" spans="42:42" ht="12" customHeight="1" x14ac:dyDescent="0.25">
      <c r="AP1460" s="15" t="str">
        <f t="shared" si="22"/>
        <v/>
      </c>
    </row>
    <row r="1461" spans="42:42" ht="12" customHeight="1" x14ac:dyDescent="0.25">
      <c r="AP1461" s="15" t="str">
        <f t="shared" si="22"/>
        <v/>
      </c>
    </row>
    <row r="1462" spans="42:42" ht="12" customHeight="1" x14ac:dyDescent="0.25">
      <c r="AP1462" s="15" t="str">
        <f t="shared" si="22"/>
        <v/>
      </c>
    </row>
    <row r="1463" spans="42:42" ht="12" customHeight="1" x14ac:dyDescent="0.25">
      <c r="AP1463" s="15" t="str">
        <f t="shared" si="22"/>
        <v/>
      </c>
    </row>
    <row r="1464" spans="42:42" ht="12" customHeight="1" x14ac:dyDescent="0.25">
      <c r="AP1464" s="15" t="str">
        <f t="shared" si="22"/>
        <v/>
      </c>
    </row>
    <row r="1465" spans="42:42" ht="12" customHeight="1" x14ac:dyDescent="0.25">
      <c r="AP1465" s="15" t="str">
        <f t="shared" si="22"/>
        <v/>
      </c>
    </row>
    <row r="1466" spans="42:42" ht="12" customHeight="1" x14ac:dyDescent="0.25">
      <c r="AP1466" s="15" t="str">
        <f t="shared" si="22"/>
        <v/>
      </c>
    </row>
    <row r="1467" spans="42:42" ht="12" customHeight="1" x14ac:dyDescent="0.25">
      <c r="AP1467" s="15" t="str">
        <f t="shared" si="22"/>
        <v/>
      </c>
    </row>
    <row r="1468" spans="42:42" ht="12" customHeight="1" x14ac:dyDescent="0.25">
      <c r="AP1468" s="15" t="str">
        <f t="shared" si="22"/>
        <v/>
      </c>
    </row>
    <row r="1469" spans="42:42" ht="12" customHeight="1" x14ac:dyDescent="0.25">
      <c r="AP1469" s="15" t="str">
        <f t="shared" si="22"/>
        <v/>
      </c>
    </row>
    <row r="1470" spans="42:42" ht="12" customHeight="1" x14ac:dyDescent="0.25">
      <c r="AP1470" s="15" t="str">
        <f t="shared" si="22"/>
        <v/>
      </c>
    </row>
    <row r="1471" spans="42:42" ht="12" customHeight="1" x14ac:dyDescent="0.25">
      <c r="AP1471" s="15" t="str">
        <f t="shared" si="22"/>
        <v/>
      </c>
    </row>
    <row r="1472" spans="42:42" ht="12" customHeight="1" x14ac:dyDescent="0.25">
      <c r="AP1472" s="15" t="str">
        <f t="shared" si="22"/>
        <v/>
      </c>
    </row>
    <row r="1473" spans="42:42" ht="12" customHeight="1" x14ac:dyDescent="0.25">
      <c r="AP1473" s="15" t="str">
        <f t="shared" si="22"/>
        <v/>
      </c>
    </row>
    <row r="1474" spans="42:42" ht="12" customHeight="1" x14ac:dyDescent="0.25">
      <c r="AP1474" s="15" t="str">
        <f t="shared" si="22"/>
        <v/>
      </c>
    </row>
    <row r="1475" spans="42:42" ht="12" customHeight="1" x14ac:dyDescent="0.25">
      <c r="AP1475" s="15" t="str">
        <f t="shared" si="22"/>
        <v/>
      </c>
    </row>
    <row r="1476" spans="42:42" ht="12" customHeight="1" x14ac:dyDescent="0.25">
      <c r="AP1476" s="15" t="str">
        <f t="shared" si="22"/>
        <v/>
      </c>
    </row>
    <row r="1477" spans="42:42" ht="12" customHeight="1" x14ac:dyDescent="0.25">
      <c r="AP1477" s="15" t="str">
        <f t="shared" si="22"/>
        <v/>
      </c>
    </row>
    <row r="1478" spans="42:42" ht="12" customHeight="1" x14ac:dyDescent="0.25">
      <c r="AP1478" s="15" t="str">
        <f t="shared" si="22"/>
        <v/>
      </c>
    </row>
    <row r="1479" spans="42:42" ht="12" customHeight="1" x14ac:dyDescent="0.25">
      <c r="AP1479" s="15" t="str">
        <f t="shared" si="22"/>
        <v/>
      </c>
    </row>
    <row r="1480" spans="42:42" ht="12" customHeight="1" x14ac:dyDescent="0.25">
      <c r="AP1480" s="15" t="str">
        <f t="shared" ref="AP1480:AP1543" si="23">IF(AO1480="", "", AO1480&amp;"["&amp;AN1480&amp;"]")</f>
        <v/>
      </c>
    </row>
    <row r="1481" spans="42:42" ht="12" customHeight="1" x14ac:dyDescent="0.25">
      <c r="AP1481" s="15" t="str">
        <f t="shared" si="23"/>
        <v/>
      </c>
    </row>
    <row r="1482" spans="42:42" ht="12" customHeight="1" x14ac:dyDescent="0.25">
      <c r="AP1482" s="15" t="str">
        <f t="shared" si="23"/>
        <v/>
      </c>
    </row>
    <row r="1483" spans="42:42" ht="12" customHeight="1" x14ac:dyDescent="0.25">
      <c r="AP1483" s="15" t="str">
        <f t="shared" si="23"/>
        <v/>
      </c>
    </row>
    <row r="1484" spans="42:42" ht="12" customHeight="1" x14ac:dyDescent="0.25">
      <c r="AP1484" s="15" t="str">
        <f t="shared" si="23"/>
        <v/>
      </c>
    </row>
    <row r="1485" spans="42:42" ht="12" customHeight="1" x14ac:dyDescent="0.25">
      <c r="AP1485" s="15" t="str">
        <f t="shared" si="23"/>
        <v/>
      </c>
    </row>
    <row r="1486" spans="42:42" ht="12" customHeight="1" x14ac:dyDescent="0.25">
      <c r="AP1486" s="15" t="str">
        <f t="shared" si="23"/>
        <v/>
      </c>
    </row>
    <row r="1487" spans="42:42" ht="12" customHeight="1" x14ac:dyDescent="0.25">
      <c r="AP1487" s="15" t="str">
        <f t="shared" si="23"/>
        <v/>
      </c>
    </row>
    <row r="1488" spans="42:42" ht="12" customHeight="1" x14ac:dyDescent="0.25">
      <c r="AP1488" s="15" t="str">
        <f t="shared" si="23"/>
        <v/>
      </c>
    </row>
    <row r="1489" spans="42:42" ht="12" customHeight="1" x14ac:dyDescent="0.25">
      <c r="AP1489" s="15" t="str">
        <f t="shared" si="23"/>
        <v/>
      </c>
    </row>
    <row r="1490" spans="42:42" ht="12" customHeight="1" x14ac:dyDescent="0.25">
      <c r="AP1490" s="15" t="str">
        <f t="shared" si="23"/>
        <v/>
      </c>
    </row>
    <row r="1491" spans="42:42" ht="12" customHeight="1" x14ac:dyDescent="0.25">
      <c r="AP1491" s="15" t="str">
        <f t="shared" si="23"/>
        <v/>
      </c>
    </row>
    <row r="1492" spans="42:42" ht="12" customHeight="1" x14ac:dyDescent="0.25">
      <c r="AP1492" s="15" t="str">
        <f t="shared" si="23"/>
        <v/>
      </c>
    </row>
    <row r="1493" spans="42:42" ht="12" customHeight="1" x14ac:dyDescent="0.25">
      <c r="AP1493" s="15" t="str">
        <f t="shared" si="23"/>
        <v/>
      </c>
    </row>
    <row r="1494" spans="42:42" ht="12" customHeight="1" x14ac:dyDescent="0.25">
      <c r="AP1494" s="15" t="str">
        <f t="shared" si="23"/>
        <v/>
      </c>
    </row>
    <row r="1495" spans="42:42" ht="12" customHeight="1" x14ac:dyDescent="0.25">
      <c r="AP1495" s="15" t="str">
        <f t="shared" si="23"/>
        <v/>
      </c>
    </row>
    <row r="1496" spans="42:42" ht="12" customHeight="1" x14ac:dyDescent="0.25">
      <c r="AP1496" s="15" t="str">
        <f t="shared" si="23"/>
        <v/>
      </c>
    </row>
    <row r="1497" spans="42:42" ht="12" customHeight="1" x14ac:dyDescent="0.25">
      <c r="AP1497" s="15" t="str">
        <f t="shared" si="23"/>
        <v/>
      </c>
    </row>
    <row r="1498" spans="42:42" ht="12" customHeight="1" x14ac:dyDescent="0.25">
      <c r="AP1498" s="15" t="str">
        <f t="shared" si="23"/>
        <v/>
      </c>
    </row>
    <row r="1499" spans="42:42" ht="12" customHeight="1" x14ac:dyDescent="0.25">
      <c r="AP1499" s="15" t="str">
        <f t="shared" si="23"/>
        <v/>
      </c>
    </row>
    <row r="1500" spans="42:42" ht="12" customHeight="1" x14ac:dyDescent="0.25">
      <c r="AP1500" s="15" t="str">
        <f t="shared" si="23"/>
        <v/>
      </c>
    </row>
    <row r="1501" spans="42:42" ht="12" customHeight="1" x14ac:dyDescent="0.25">
      <c r="AP1501" s="15" t="str">
        <f t="shared" si="23"/>
        <v/>
      </c>
    </row>
    <row r="1502" spans="42:42" ht="12" customHeight="1" x14ac:dyDescent="0.25">
      <c r="AP1502" s="15" t="str">
        <f t="shared" si="23"/>
        <v/>
      </c>
    </row>
    <row r="1503" spans="42:42" ht="12" customHeight="1" x14ac:dyDescent="0.25">
      <c r="AP1503" s="15" t="str">
        <f t="shared" si="23"/>
        <v/>
      </c>
    </row>
    <row r="1504" spans="42:42" ht="12" customHeight="1" x14ac:dyDescent="0.25">
      <c r="AP1504" s="15" t="str">
        <f t="shared" si="23"/>
        <v/>
      </c>
    </row>
    <row r="1505" spans="42:42" ht="12" customHeight="1" x14ac:dyDescent="0.25">
      <c r="AP1505" s="15" t="str">
        <f t="shared" si="23"/>
        <v/>
      </c>
    </row>
    <row r="1506" spans="42:42" ht="12" customHeight="1" x14ac:dyDescent="0.25">
      <c r="AP1506" s="15" t="str">
        <f t="shared" si="23"/>
        <v/>
      </c>
    </row>
    <row r="1507" spans="42:42" ht="12" customHeight="1" x14ac:dyDescent="0.25">
      <c r="AP1507" s="15" t="str">
        <f t="shared" si="23"/>
        <v/>
      </c>
    </row>
    <row r="1508" spans="42:42" ht="12" customHeight="1" x14ac:dyDescent="0.25">
      <c r="AP1508" s="15" t="str">
        <f t="shared" si="23"/>
        <v/>
      </c>
    </row>
    <row r="1509" spans="42:42" ht="12" customHeight="1" x14ac:dyDescent="0.25">
      <c r="AP1509" s="15" t="str">
        <f t="shared" si="23"/>
        <v/>
      </c>
    </row>
    <row r="1510" spans="42:42" ht="12" customHeight="1" x14ac:dyDescent="0.25">
      <c r="AP1510" s="15" t="str">
        <f t="shared" si="23"/>
        <v/>
      </c>
    </row>
    <row r="1511" spans="42:42" ht="12" customHeight="1" x14ac:dyDescent="0.25">
      <c r="AP1511" s="15" t="str">
        <f t="shared" si="23"/>
        <v/>
      </c>
    </row>
    <row r="1512" spans="42:42" ht="12" customHeight="1" x14ac:dyDescent="0.25">
      <c r="AP1512" s="15" t="str">
        <f t="shared" si="23"/>
        <v/>
      </c>
    </row>
    <row r="1513" spans="42:42" ht="12" customHeight="1" x14ac:dyDescent="0.25">
      <c r="AP1513" s="15" t="str">
        <f t="shared" si="23"/>
        <v/>
      </c>
    </row>
    <row r="1514" spans="42:42" ht="12" customHeight="1" x14ac:dyDescent="0.25">
      <c r="AP1514" s="15" t="str">
        <f t="shared" si="23"/>
        <v/>
      </c>
    </row>
    <row r="1515" spans="42:42" ht="12" customHeight="1" x14ac:dyDescent="0.25">
      <c r="AP1515" s="15" t="str">
        <f t="shared" si="23"/>
        <v/>
      </c>
    </row>
    <row r="1516" spans="42:42" ht="12" customHeight="1" x14ac:dyDescent="0.25">
      <c r="AP1516" s="15" t="str">
        <f t="shared" si="23"/>
        <v/>
      </c>
    </row>
    <row r="1517" spans="42:42" ht="12" customHeight="1" x14ac:dyDescent="0.25">
      <c r="AP1517" s="15" t="str">
        <f t="shared" si="23"/>
        <v/>
      </c>
    </row>
    <row r="1518" spans="42:42" ht="12" customHeight="1" x14ac:dyDescent="0.25">
      <c r="AP1518" s="15" t="str">
        <f t="shared" si="23"/>
        <v/>
      </c>
    </row>
    <row r="1519" spans="42:42" ht="12" customHeight="1" x14ac:dyDescent="0.25">
      <c r="AP1519" s="15" t="str">
        <f t="shared" si="23"/>
        <v/>
      </c>
    </row>
    <row r="1520" spans="42:42" ht="12" customHeight="1" x14ac:dyDescent="0.25">
      <c r="AP1520" s="15" t="str">
        <f t="shared" si="23"/>
        <v/>
      </c>
    </row>
    <row r="1521" spans="42:42" ht="12" customHeight="1" x14ac:dyDescent="0.25">
      <c r="AP1521" s="15" t="str">
        <f t="shared" si="23"/>
        <v/>
      </c>
    </row>
    <row r="1522" spans="42:42" ht="12" customHeight="1" x14ac:dyDescent="0.25">
      <c r="AP1522" s="15" t="str">
        <f t="shared" si="23"/>
        <v/>
      </c>
    </row>
    <row r="1523" spans="42:42" ht="12" customHeight="1" x14ac:dyDescent="0.25">
      <c r="AP1523" s="15" t="str">
        <f t="shared" si="23"/>
        <v/>
      </c>
    </row>
    <row r="1524" spans="42:42" ht="12" customHeight="1" x14ac:dyDescent="0.25">
      <c r="AP1524" s="15" t="str">
        <f t="shared" si="23"/>
        <v/>
      </c>
    </row>
    <row r="1525" spans="42:42" ht="12" customHeight="1" x14ac:dyDescent="0.25">
      <c r="AP1525" s="15" t="str">
        <f t="shared" si="23"/>
        <v/>
      </c>
    </row>
    <row r="1526" spans="42:42" ht="12" customHeight="1" x14ac:dyDescent="0.25">
      <c r="AP1526" s="15" t="str">
        <f t="shared" si="23"/>
        <v/>
      </c>
    </row>
    <row r="1527" spans="42:42" ht="12" customHeight="1" x14ac:dyDescent="0.25">
      <c r="AP1527" s="15" t="str">
        <f t="shared" si="23"/>
        <v/>
      </c>
    </row>
    <row r="1528" spans="42:42" ht="12" customHeight="1" x14ac:dyDescent="0.25">
      <c r="AP1528" s="15" t="str">
        <f t="shared" si="23"/>
        <v/>
      </c>
    </row>
    <row r="1529" spans="42:42" ht="12" customHeight="1" x14ac:dyDescent="0.25">
      <c r="AP1529" s="15" t="str">
        <f t="shared" si="23"/>
        <v/>
      </c>
    </row>
    <row r="1530" spans="42:42" ht="12" customHeight="1" x14ac:dyDescent="0.25">
      <c r="AP1530" s="15" t="str">
        <f t="shared" si="23"/>
        <v/>
      </c>
    </row>
    <row r="1531" spans="42:42" ht="12" customHeight="1" x14ac:dyDescent="0.25">
      <c r="AP1531" s="15" t="str">
        <f t="shared" si="23"/>
        <v/>
      </c>
    </row>
    <row r="1532" spans="42:42" ht="12" customHeight="1" x14ac:dyDescent="0.25">
      <c r="AP1532" s="15" t="str">
        <f t="shared" si="23"/>
        <v/>
      </c>
    </row>
    <row r="1533" spans="42:42" ht="12" customHeight="1" x14ac:dyDescent="0.25">
      <c r="AP1533" s="15" t="str">
        <f t="shared" si="23"/>
        <v/>
      </c>
    </row>
    <row r="1534" spans="42:42" ht="12" customHeight="1" x14ac:dyDescent="0.25">
      <c r="AP1534" s="15" t="str">
        <f t="shared" si="23"/>
        <v/>
      </c>
    </row>
    <row r="1535" spans="42:42" ht="12" customHeight="1" x14ac:dyDescent="0.25">
      <c r="AP1535" s="15" t="str">
        <f t="shared" si="23"/>
        <v/>
      </c>
    </row>
    <row r="1536" spans="42:42" ht="12" customHeight="1" x14ac:dyDescent="0.25">
      <c r="AP1536" s="15" t="str">
        <f t="shared" si="23"/>
        <v/>
      </c>
    </row>
    <row r="1537" spans="42:42" ht="12" customHeight="1" x14ac:dyDescent="0.25">
      <c r="AP1537" s="15" t="str">
        <f t="shared" si="23"/>
        <v/>
      </c>
    </row>
    <row r="1538" spans="42:42" ht="12" customHeight="1" x14ac:dyDescent="0.25">
      <c r="AP1538" s="15" t="str">
        <f t="shared" si="23"/>
        <v/>
      </c>
    </row>
    <row r="1539" spans="42:42" ht="12" customHeight="1" x14ac:dyDescent="0.25">
      <c r="AP1539" s="15" t="str">
        <f t="shared" si="23"/>
        <v/>
      </c>
    </row>
    <row r="1540" spans="42:42" ht="12" customHeight="1" x14ac:dyDescent="0.25">
      <c r="AP1540" s="15" t="str">
        <f t="shared" si="23"/>
        <v/>
      </c>
    </row>
    <row r="1541" spans="42:42" ht="12" customHeight="1" x14ac:dyDescent="0.25">
      <c r="AP1541" s="15" t="str">
        <f t="shared" si="23"/>
        <v/>
      </c>
    </row>
    <row r="1542" spans="42:42" ht="12" customHeight="1" x14ac:dyDescent="0.25">
      <c r="AP1542" s="15" t="str">
        <f t="shared" si="23"/>
        <v/>
      </c>
    </row>
    <row r="1543" spans="42:42" ht="12" customHeight="1" x14ac:dyDescent="0.25">
      <c r="AP1543" s="15" t="str">
        <f t="shared" si="23"/>
        <v/>
      </c>
    </row>
    <row r="1544" spans="42:42" ht="12" customHeight="1" x14ac:dyDescent="0.25">
      <c r="AP1544" s="15" t="str">
        <f t="shared" ref="AP1544:AP1607" si="24">IF(AO1544="", "", AO1544&amp;"["&amp;AN1544&amp;"]")</f>
        <v/>
      </c>
    </row>
    <row r="1545" spans="42:42" ht="12" customHeight="1" x14ac:dyDescent="0.25">
      <c r="AP1545" s="15" t="str">
        <f t="shared" si="24"/>
        <v/>
      </c>
    </row>
    <row r="1546" spans="42:42" ht="12" customHeight="1" x14ac:dyDescent="0.25">
      <c r="AP1546" s="15" t="str">
        <f t="shared" si="24"/>
        <v/>
      </c>
    </row>
    <row r="1547" spans="42:42" ht="12" customHeight="1" x14ac:dyDescent="0.25">
      <c r="AP1547" s="15" t="str">
        <f t="shared" si="24"/>
        <v/>
      </c>
    </row>
    <row r="1548" spans="42:42" ht="12" customHeight="1" x14ac:dyDescent="0.25">
      <c r="AP1548" s="15" t="str">
        <f t="shared" si="24"/>
        <v/>
      </c>
    </row>
    <row r="1549" spans="42:42" ht="12" customHeight="1" x14ac:dyDescent="0.25">
      <c r="AP1549" s="15" t="str">
        <f t="shared" si="24"/>
        <v/>
      </c>
    </row>
    <row r="1550" spans="42:42" ht="12" customHeight="1" x14ac:dyDescent="0.25">
      <c r="AP1550" s="15" t="str">
        <f t="shared" si="24"/>
        <v/>
      </c>
    </row>
    <row r="1551" spans="42:42" ht="12" customHeight="1" x14ac:dyDescent="0.25">
      <c r="AP1551" s="15" t="str">
        <f t="shared" si="24"/>
        <v/>
      </c>
    </row>
    <row r="1552" spans="42:42" ht="12" customHeight="1" x14ac:dyDescent="0.25">
      <c r="AP1552" s="15" t="str">
        <f t="shared" si="24"/>
        <v/>
      </c>
    </row>
    <row r="1553" spans="42:42" ht="12" customHeight="1" x14ac:dyDescent="0.25">
      <c r="AP1553" s="15" t="str">
        <f t="shared" si="24"/>
        <v/>
      </c>
    </row>
    <row r="1554" spans="42:42" ht="12" customHeight="1" x14ac:dyDescent="0.25">
      <c r="AP1554" s="15" t="str">
        <f t="shared" si="24"/>
        <v/>
      </c>
    </row>
    <row r="1555" spans="42:42" ht="12" customHeight="1" x14ac:dyDescent="0.25">
      <c r="AP1555" s="15" t="str">
        <f t="shared" si="24"/>
        <v/>
      </c>
    </row>
    <row r="1556" spans="42:42" ht="12" customHeight="1" x14ac:dyDescent="0.25">
      <c r="AP1556" s="15" t="str">
        <f t="shared" si="24"/>
        <v/>
      </c>
    </row>
    <row r="1557" spans="42:42" ht="12" customHeight="1" x14ac:dyDescent="0.25">
      <c r="AP1557" s="15" t="str">
        <f t="shared" si="24"/>
        <v/>
      </c>
    </row>
    <row r="1558" spans="42:42" ht="12" customHeight="1" x14ac:dyDescent="0.25">
      <c r="AP1558" s="15" t="str">
        <f t="shared" si="24"/>
        <v/>
      </c>
    </row>
    <row r="1559" spans="42:42" ht="12" customHeight="1" x14ac:dyDescent="0.25">
      <c r="AP1559" s="15" t="str">
        <f t="shared" si="24"/>
        <v/>
      </c>
    </row>
    <row r="1560" spans="42:42" ht="12" customHeight="1" x14ac:dyDescent="0.25">
      <c r="AP1560" s="15" t="str">
        <f t="shared" si="24"/>
        <v/>
      </c>
    </row>
    <row r="1561" spans="42:42" ht="12" customHeight="1" x14ac:dyDescent="0.25">
      <c r="AP1561" s="15" t="str">
        <f t="shared" si="24"/>
        <v/>
      </c>
    </row>
    <row r="1562" spans="42:42" ht="12" customHeight="1" x14ac:dyDescent="0.25">
      <c r="AP1562" s="15" t="str">
        <f t="shared" si="24"/>
        <v/>
      </c>
    </row>
    <row r="1563" spans="42:42" ht="12" customHeight="1" x14ac:dyDescent="0.25">
      <c r="AP1563" s="15" t="str">
        <f t="shared" si="24"/>
        <v/>
      </c>
    </row>
    <row r="1564" spans="42:42" ht="12" customHeight="1" x14ac:dyDescent="0.25">
      <c r="AP1564" s="15" t="str">
        <f t="shared" si="24"/>
        <v/>
      </c>
    </row>
    <row r="1565" spans="42:42" ht="12" customHeight="1" x14ac:dyDescent="0.25">
      <c r="AP1565" s="15" t="str">
        <f t="shared" si="24"/>
        <v/>
      </c>
    </row>
    <row r="1566" spans="42:42" ht="12" customHeight="1" x14ac:dyDescent="0.25">
      <c r="AP1566" s="15" t="str">
        <f t="shared" si="24"/>
        <v/>
      </c>
    </row>
    <row r="1567" spans="42:42" ht="12" customHeight="1" x14ac:dyDescent="0.25">
      <c r="AP1567" s="15" t="str">
        <f t="shared" si="24"/>
        <v/>
      </c>
    </row>
    <row r="1568" spans="42:42" ht="12" customHeight="1" x14ac:dyDescent="0.25">
      <c r="AP1568" s="15" t="str">
        <f t="shared" si="24"/>
        <v/>
      </c>
    </row>
    <row r="1569" spans="42:42" ht="12" customHeight="1" x14ac:dyDescent="0.25">
      <c r="AP1569" s="15" t="str">
        <f t="shared" si="24"/>
        <v/>
      </c>
    </row>
    <row r="1570" spans="42:42" ht="12" customHeight="1" x14ac:dyDescent="0.25">
      <c r="AP1570" s="15" t="str">
        <f t="shared" si="24"/>
        <v/>
      </c>
    </row>
    <row r="1571" spans="42:42" ht="12" customHeight="1" x14ac:dyDescent="0.25">
      <c r="AP1571" s="15" t="str">
        <f t="shared" si="24"/>
        <v/>
      </c>
    </row>
    <row r="1572" spans="42:42" ht="12" customHeight="1" x14ac:dyDescent="0.25">
      <c r="AP1572" s="15" t="str">
        <f t="shared" si="24"/>
        <v/>
      </c>
    </row>
    <row r="1573" spans="42:42" ht="12" customHeight="1" x14ac:dyDescent="0.25">
      <c r="AP1573" s="15" t="str">
        <f t="shared" si="24"/>
        <v/>
      </c>
    </row>
    <row r="1574" spans="42:42" ht="12" customHeight="1" x14ac:dyDescent="0.25">
      <c r="AP1574" s="15" t="str">
        <f t="shared" si="24"/>
        <v/>
      </c>
    </row>
    <row r="1575" spans="42:42" ht="12" customHeight="1" x14ac:dyDescent="0.25">
      <c r="AP1575" s="15" t="str">
        <f t="shared" si="24"/>
        <v/>
      </c>
    </row>
    <row r="1576" spans="42:42" ht="12" customHeight="1" x14ac:dyDescent="0.25">
      <c r="AP1576" s="15" t="str">
        <f t="shared" si="24"/>
        <v/>
      </c>
    </row>
    <row r="1577" spans="42:42" ht="12" customHeight="1" x14ac:dyDescent="0.25">
      <c r="AP1577" s="15" t="str">
        <f t="shared" si="24"/>
        <v/>
      </c>
    </row>
    <row r="1578" spans="42:42" ht="12" customHeight="1" x14ac:dyDescent="0.25">
      <c r="AP1578" s="15" t="str">
        <f t="shared" si="24"/>
        <v/>
      </c>
    </row>
    <row r="1579" spans="42:42" ht="12" customHeight="1" x14ac:dyDescent="0.25">
      <c r="AP1579" s="15" t="str">
        <f t="shared" si="24"/>
        <v/>
      </c>
    </row>
    <row r="1580" spans="42:42" ht="12" customHeight="1" x14ac:dyDescent="0.25">
      <c r="AP1580" s="15" t="str">
        <f t="shared" si="24"/>
        <v/>
      </c>
    </row>
    <row r="1581" spans="42:42" ht="12" customHeight="1" x14ac:dyDescent="0.25">
      <c r="AP1581" s="15" t="str">
        <f t="shared" si="24"/>
        <v/>
      </c>
    </row>
    <row r="1582" spans="42:42" ht="12" customHeight="1" x14ac:dyDescent="0.25">
      <c r="AP1582" s="15" t="str">
        <f t="shared" si="24"/>
        <v/>
      </c>
    </row>
    <row r="1583" spans="42:42" ht="12" customHeight="1" x14ac:dyDescent="0.25">
      <c r="AP1583" s="15" t="str">
        <f t="shared" si="24"/>
        <v/>
      </c>
    </row>
    <row r="1584" spans="42:42" ht="12" customHeight="1" x14ac:dyDescent="0.25">
      <c r="AP1584" s="15" t="str">
        <f t="shared" si="24"/>
        <v/>
      </c>
    </row>
    <row r="1585" spans="42:42" ht="12" customHeight="1" x14ac:dyDescent="0.25">
      <c r="AP1585" s="15" t="str">
        <f t="shared" si="24"/>
        <v/>
      </c>
    </row>
    <row r="1586" spans="42:42" ht="12" customHeight="1" x14ac:dyDescent="0.25">
      <c r="AP1586" s="15" t="str">
        <f t="shared" si="24"/>
        <v/>
      </c>
    </row>
    <row r="1587" spans="42:42" ht="12" customHeight="1" x14ac:dyDescent="0.25">
      <c r="AP1587" s="15" t="str">
        <f t="shared" si="24"/>
        <v/>
      </c>
    </row>
    <row r="1588" spans="42:42" ht="12" customHeight="1" x14ac:dyDescent="0.25">
      <c r="AP1588" s="15" t="str">
        <f t="shared" si="24"/>
        <v/>
      </c>
    </row>
    <row r="1589" spans="42:42" ht="12" customHeight="1" x14ac:dyDescent="0.25">
      <c r="AP1589" s="15" t="str">
        <f t="shared" si="24"/>
        <v/>
      </c>
    </row>
    <row r="1590" spans="42:42" ht="12" customHeight="1" x14ac:dyDescent="0.25">
      <c r="AP1590" s="15" t="str">
        <f t="shared" si="24"/>
        <v/>
      </c>
    </row>
    <row r="1591" spans="42:42" ht="12" customHeight="1" x14ac:dyDescent="0.25">
      <c r="AP1591" s="15" t="str">
        <f t="shared" si="24"/>
        <v/>
      </c>
    </row>
    <row r="1592" spans="42:42" ht="12" customHeight="1" x14ac:dyDescent="0.25">
      <c r="AP1592" s="15" t="str">
        <f t="shared" si="24"/>
        <v/>
      </c>
    </row>
    <row r="1593" spans="42:42" ht="12" customHeight="1" x14ac:dyDescent="0.25">
      <c r="AP1593" s="15" t="str">
        <f t="shared" si="24"/>
        <v/>
      </c>
    </row>
    <row r="1594" spans="42:42" ht="12" customHeight="1" x14ac:dyDescent="0.25">
      <c r="AP1594" s="15" t="str">
        <f t="shared" si="24"/>
        <v/>
      </c>
    </row>
    <row r="1595" spans="42:42" ht="12" customHeight="1" x14ac:dyDescent="0.25">
      <c r="AP1595" s="15" t="str">
        <f t="shared" si="24"/>
        <v/>
      </c>
    </row>
    <row r="1596" spans="42:42" ht="12" customHeight="1" x14ac:dyDescent="0.25">
      <c r="AP1596" s="15" t="str">
        <f t="shared" si="24"/>
        <v/>
      </c>
    </row>
    <row r="1597" spans="42:42" ht="12" customHeight="1" x14ac:dyDescent="0.25">
      <c r="AP1597" s="15" t="str">
        <f t="shared" si="24"/>
        <v/>
      </c>
    </row>
    <row r="1598" spans="42:42" ht="12" customHeight="1" x14ac:dyDescent="0.25">
      <c r="AP1598" s="15" t="str">
        <f t="shared" si="24"/>
        <v/>
      </c>
    </row>
    <row r="1599" spans="42:42" ht="12" customHeight="1" x14ac:dyDescent="0.25">
      <c r="AP1599" s="15" t="str">
        <f t="shared" si="24"/>
        <v/>
      </c>
    </row>
    <row r="1600" spans="42:42" ht="12" customHeight="1" x14ac:dyDescent="0.25">
      <c r="AP1600" s="15" t="str">
        <f t="shared" si="24"/>
        <v/>
      </c>
    </row>
    <row r="1601" spans="42:42" ht="12" customHeight="1" x14ac:dyDescent="0.25">
      <c r="AP1601" s="15" t="str">
        <f t="shared" si="24"/>
        <v/>
      </c>
    </row>
    <row r="1602" spans="42:42" ht="12" customHeight="1" x14ac:dyDescent="0.25">
      <c r="AP1602" s="15" t="str">
        <f t="shared" si="24"/>
        <v/>
      </c>
    </row>
    <row r="1603" spans="42:42" ht="12" customHeight="1" x14ac:dyDescent="0.25">
      <c r="AP1603" s="15" t="str">
        <f t="shared" si="24"/>
        <v/>
      </c>
    </row>
    <row r="1604" spans="42:42" ht="12" customHeight="1" x14ac:dyDescent="0.25">
      <c r="AP1604" s="15" t="str">
        <f t="shared" si="24"/>
        <v/>
      </c>
    </row>
    <row r="1605" spans="42:42" ht="12" customHeight="1" x14ac:dyDescent="0.25">
      <c r="AP1605" s="15" t="str">
        <f t="shared" si="24"/>
        <v/>
      </c>
    </row>
    <row r="1606" spans="42:42" ht="12" customHeight="1" x14ac:dyDescent="0.25">
      <c r="AP1606" s="15" t="str">
        <f t="shared" si="24"/>
        <v/>
      </c>
    </row>
    <row r="1607" spans="42:42" ht="12" customHeight="1" x14ac:dyDescent="0.25">
      <c r="AP1607" s="15" t="str">
        <f t="shared" si="24"/>
        <v/>
      </c>
    </row>
    <row r="1608" spans="42:42" ht="12" customHeight="1" x14ac:dyDescent="0.25">
      <c r="AP1608" s="15" t="str">
        <f t="shared" ref="AP1608:AP1671" si="25">IF(AO1608="", "", AO1608&amp;"["&amp;AN1608&amp;"]")</f>
        <v/>
      </c>
    </row>
    <row r="1609" spans="42:42" ht="12" customHeight="1" x14ac:dyDescent="0.25">
      <c r="AP1609" s="15" t="str">
        <f t="shared" si="25"/>
        <v/>
      </c>
    </row>
    <row r="1610" spans="42:42" ht="12" customHeight="1" x14ac:dyDescent="0.25">
      <c r="AP1610" s="15" t="str">
        <f t="shared" si="25"/>
        <v/>
      </c>
    </row>
    <row r="1611" spans="42:42" ht="12" customHeight="1" x14ac:dyDescent="0.25">
      <c r="AP1611" s="15" t="str">
        <f t="shared" si="25"/>
        <v/>
      </c>
    </row>
    <row r="1612" spans="42:42" ht="12" customHeight="1" x14ac:dyDescent="0.25">
      <c r="AP1612" s="15" t="str">
        <f t="shared" si="25"/>
        <v/>
      </c>
    </row>
    <row r="1613" spans="42:42" ht="12" customHeight="1" x14ac:dyDescent="0.25">
      <c r="AP1613" s="15" t="str">
        <f t="shared" si="25"/>
        <v/>
      </c>
    </row>
    <row r="1614" spans="42:42" ht="12" customHeight="1" x14ac:dyDescent="0.25">
      <c r="AP1614" s="15" t="str">
        <f t="shared" si="25"/>
        <v/>
      </c>
    </row>
    <row r="1615" spans="42:42" ht="12" customHeight="1" x14ac:dyDescent="0.25">
      <c r="AP1615" s="15" t="str">
        <f t="shared" si="25"/>
        <v/>
      </c>
    </row>
    <row r="1616" spans="42:42" ht="12" customHeight="1" x14ac:dyDescent="0.25">
      <c r="AP1616" s="15" t="str">
        <f t="shared" si="25"/>
        <v/>
      </c>
    </row>
    <row r="1617" spans="42:42" ht="12" customHeight="1" x14ac:dyDescent="0.25">
      <c r="AP1617" s="15" t="str">
        <f t="shared" si="25"/>
        <v/>
      </c>
    </row>
    <row r="1618" spans="42:42" ht="12" customHeight="1" x14ac:dyDescent="0.25">
      <c r="AP1618" s="15" t="str">
        <f t="shared" si="25"/>
        <v/>
      </c>
    </row>
    <row r="1619" spans="42:42" ht="12" customHeight="1" x14ac:dyDescent="0.25">
      <c r="AP1619" s="15" t="str">
        <f t="shared" si="25"/>
        <v/>
      </c>
    </row>
    <row r="1620" spans="42:42" ht="12" customHeight="1" x14ac:dyDescent="0.25">
      <c r="AP1620" s="15" t="str">
        <f t="shared" si="25"/>
        <v/>
      </c>
    </row>
    <row r="1621" spans="42:42" ht="12" customHeight="1" x14ac:dyDescent="0.25">
      <c r="AP1621" s="15" t="str">
        <f t="shared" si="25"/>
        <v/>
      </c>
    </row>
    <row r="1622" spans="42:42" ht="12" customHeight="1" x14ac:dyDescent="0.25">
      <c r="AP1622" s="15" t="str">
        <f t="shared" si="25"/>
        <v/>
      </c>
    </row>
    <row r="1623" spans="42:42" ht="12" customHeight="1" x14ac:dyDescent="0.25">
      <c r="AP1623" s="15" t="str">
        <f t="shared" si="25"/>
        <v/>
      </c>
    </row>
    <row r="1624" spans="42:42" ht="12" customHeight="1" x14ac:dyDescent="0.25">
      <c r="AP1624" s="15" t="str">
        <f t="shared" si="25"/>
        <v/>
      </c>
    </row>
    <row r="1625" spans="42:42" ht="12" customHeight="1" x14ac:dyDescent="0.25">
      <c r="AP1625" s="15" t="str">
        <f t="shared" si="25"/>
        <v/>
      </c>
    </row>
    <row r="1626" spans="42:42" ht="12" customHeight="1" x14ac:dyDescent="0.25">
      <c r="AP1626" s="15" t="str">
        <f t="shared" si="25"/>
        <v/>
      </c>
    </row>
    <row r="1627" spans="42:42" ht="12" customHeight="1" x14ac:dyDescent="0.25">
      <c r="AP1627" s="15" t="str">
        <f t="shared" si="25"/>
        <v/>
      </c>
    </row>
    <row r="1628" spans="42:42" ht="12" customHeight="1" x14ac:dyDescent="0.25">
      <c r="AP1628" s="15" t="str">
        <f t="shared" si="25"/>
        <v/>
      </c>
    </row>
    <row r="1629" spans="42:42" ht="12" customHeight="1" x14ac:dyDescent="0.25">
      <c r="AP1629" s="15" t="str">
        <f t="shared" si="25"/>
        <v/>
      </c>
    </row>
    <row r="1630" spans="42:42" ht="12" customHeight="1" x14ac:dyDescent="0.25">
      <c r="AP1630" s="15" t="str">
        <f t="shared" si="25"/>
        <v/>
      </c>
    </row>
    <row r="1631" spans="42:42" ht="12" customHeight="1" x14ac:dyDescent="0.25">
      <c r="AP1631" s="15" t="str">
        <f t="shared" si="25"/>
        <v/>
      </c>
    </row>
    <row r="1632" spans="42:42" ht="12" customHeight="1" x14ac:dyDescent="0.25">
      <c r="AP1632" s="15" t="str">
        <f t="shared" si="25"/>
        <v/>
      </c>
    </row>
    <row r="1633" spans="42:42" ht="12" customHeight="1" x14ac:dyDescent="0.25">
      <c r="AP1633" s="15" t="str">
        <f t="shared" si="25"/>
        <v/>
      </c>
    </row>
    <row r="1634" spans="42:42" ht="12" customHeight="1" x14ac:dyDescent="0.25">
      <c r="AP1634" s="15" t="str">
        <f t="shared" si="25"/>
        <v/>
      </c>
    </row>
    <row r="1635" spans="42:42" ht="12" customHeight="1" x14ac:dyDescent="0.25">
      <c r="AP1635" s="15" t="str">
        <f t="shared" si="25"/>
        <v/>
      </c>
    </row>
    <row r="1636" spans="42:42" ht="12" customHeight="1" x14ac:dyDescent="0.25">
      <c r="AP1636" s="15" t="str">
        <f t="shared" si="25"/>
        <v/>
      </c>
    </row>
    <row r="1637" spans="42:42" ht="12" customHeight="1" x14ac:dyDescent="0.25">
      <c r="AP1637" s="15" t="str">
        <f t="shared" si="25"/>
        <v/>
      </c>
    </row>
    <row r="1638" spans="42:42" ht="12" customHeight="1" x14ac:dyDescent="0.25">
      <c r="AP1638" s="15" t="str">
        <f t="shared" si="25"/>
        <v/>
      </c>
    </row>
    <row r="1639" spans="42:42" ht="12" customHeight="1" x14ac:dyDescent="0.25">
      <c r="AP1639" s="15" t="str">
        <f t="shared" si="25"/>
        <v/>
      </c>
    </row>
    <row r="1640" spans="42:42" ht="12" customHeight="1" x14ac:dyDescent="0.25">
      <c r="AP1640" s="15" t="str">
        <f t="shared" si="25"/>
        <v/>
      </c>
    </row>
    <row r="1641" spans="42:42" ht="12" customHeight="1" x14ac:dyDescent="0.25">
      <c r="AP1641" s="15" t="str">
        <f t="shared" si="25"/>
        <v/>
      </c>
    </row>
    <row r="1642" spans="42:42" ht="12" customHeight="1" x14ac:dyDescent="0.25">
      <c r="AP1642" s="15" t="str">
        <f t="shared" si="25"/>
        <v/>
      </c>
    </row>
    <row r="1643" spans="42:42" ht="12" customHeight="1" x14ac:dyDescent="0.25">
      <c r="AP1643" s="15" t="str">
        <f t="shared" si="25"/>
        <v/>
      </c>
    </row>
    <row r="1644" spans="42:42" ht="12" customHeight="1" x14ac:dyDescent="0.25">
      <c r="AP1644" s="15" t="str">
        <f t="shared" si="25"/>
        <v/>
      </c>
    </row>
    <row r="1645" spans="42:42" ht="12" customHeight="1" x14ac:dyDescent="0.25">
      <c r="AP1645" s="15" t="str">
        <f t="shared" si="25"/>
        <v/>
      </c>
    </row>
    <row r="1646" spans="42:42" ht="12" customHeight="1" x14ac:dyDescent="0.25">
      <c r="AP1646" s="15" t="str">
        <f t="shared" si="25"/>
        <v/>
      </c>
    </row>
    <row r="1647" spans="42:42" ht="12" customHeight="1" x14ac:dyDescent="0.25">
      <c r="AP1647" s="15" t="str">
        <f t="shared" si="25"/>
        <v/>
      </c>
    </row>
    <row r="1648" spans="42:42" ht="12" customHeight="1" x14ac:dyDescent="0.25">
      <c r="AP1648" s="15" t="str">
        <f t="shared" si="25"/>
        <v/>
      </c>
    </row>
    <row r="1649" spans="42:42" ht="12" customHeight="1" x14ac:dyDescent="0.25">
      <c r="AP1649" s="15" t="str">
        <f t="shared" si="25"/>
        <v/>
      </c>
    </row>
    <row r="1650" spans="42:42" ht="12" customHeight="1" x14ac:dyDescent="0.25">
      <c r="AP1650" s="15" t="str">
        <f t="shared" si="25"/>
        <v/>
      </c>
    </row>
    <row r="1651" spans="42:42" ht="12" customHeight="1" x14ac:dyDescent="0.25">
      <c r="AP1651" s="15" t="str">
        <f t="shared" si="25"/>
        <v/>
      </c>
    </row>
    <row r="1652" spans="42:42" ht="12" customHeight="1" x14ac:dyDescent="0.25">
      <c r="AP1652" s="15" t="str">
        <f t="shared" si="25"/>
        <v/>
      </c>
    </row>
    <row r="1653" spans="42:42" ht="12" customHeight="1" x14ac:dyDescent="0.25">
      <c r="AP1653" s="15" t="str">
        <f t="shared" si="25"/>
        <v/>
      </c>
    </row>
    <row r="1654" spans="42:42" ht="12" customHeight="1" x14ac:dyDescent="0.25">
      <c r="AP1654" s="15" t="str">
        <f t="shared" si="25"/>
        <v/>
      </c>
    </row>
    <row r="1655" spans="42:42" ht="12" customHeight="1" x14ac:dyDescent="0.25">
      <c r="AP1655" s="15" t="str">
        <f t="shared" si="25"/>
        <v/>
      </c>
    </row>
    <row r="1656" spans="42:42" ht="12" customHeight="1" x14ac:dyDescent="0.25">
      <c r="AP1656" s="15" t="str">
        <f t="shared" si="25"/>
        <v/>
      </c>
    </row>
    <row r="1657" spans="42:42" ht="12" customHeight="1" x14ac:dyDescent="0.25">
      <c r="AP1657" s="15" t="str">
        <f t="shared" si="25"/>
        <v/>
      </c>
    </row>
    <row r="1658" spans="42:42" ht="12" customHeight="1" x14ac:dyDescent="0.25">
      <c r="AP1658" s="15" t="str">
        <f t="shared" si="25"/>
        <v/>
      </c>
    </row>
    <row r="1659" spans="42:42" ht="12" customHeight="1" x14ac:dyDescent="0.25">
      <c r="AP1659" s="15" t="str">
        <f t="shared" si="25"/>
        <v/>
      </c>
    </row>
    <row r="1660" spans="42:42" ht="12" customHeight="1" x14ac:dyDescent="0.25">
      <c r="AP1660" s="15" t="str">
        <f t="shared" si="25"/>
        <v/>
      </c>
    </row>
    <row r="1661" spans="42:42" ht="12" customHeight="1" x14ac:dyDescent="0.25">
      <c r="AP1661" s="15" t="str">
        <f t="shared" si="25"/>
        <v/>
      </c>
    </row>
    <row r="1662" spans="42:42" ht="12" customHeight="1" x14ac:dyDescent="0.25">
      <c r="AP1662" s="15" t="str">
        <f t="shared" si="25"/>
        <v/>
      </c>
    </row>
    <row r="1663" spans="42:42" ht="12" customHeight="1" x14ac:dyDescent="0.25">
      <c r="AP1663" s="15" t="str">
        <f t="shared" si="25"/>
        <v/>
      </c>
    </row>
    <row r="1664" spans="42:42" ht="12" customHeight="1" x14ac:dyDescent="0.25">
      <c r="AP1664" s="15" t="str">
        <f t="shared" si="25"/>
        <v/>
      </c>
    </row>
    <row r="1665" spans="42:42" ht="12" customHeight="1" x14ac:dyDescent="0.25">
      <c r="AP1665" s="15" t="str">
        <f t="shared" si="25"/>
        <v/>
      </c>
    </row>
    <row r="1666" spans="42:42" ht="12" customHeight="1" x14ac:dyDescent="0.25">
      <c r="AP1666" s="15" t="str">
        <f t="shared" si="25"/>
        <v/>
      </c>
    </row>
    <row r="1667" spans="42:42" ht="12" customHeight="1" x14ac:dyDescent="0.25">
      <c r="AP1667" s="15" t="str">
        <f t="shared" si="25"/>
        <v/>
      </c>
    </row>
    <row r="1668" spans="42:42" ht="12" customHeight="1" x14ac:dyDescent="0.25">
      <c r="AP1668" s="15" t="str">
        <f t="shared" si="25"/>
        <v/>
      </c>
    </row>
    <row r="1669" spans="42:42" ht="12" customHeight="1" x14ac:dyDescent="0.25">
      <c r="AP1669" s="15" t="str">
        <f t="shared" si="25"/>
        <v/>
      </c>
    </row>
    <row r="1670" spans="42:42" ht="12" customHeight="1" x14ac:dyDescent="0.25">
      <c r="AP1670" s="15" t="str">
        <f t="shared" si="25"/>
        <v/>
      </c>
    </row>
    <row r="1671" spans="42:42" ht="12" customHeight="1" x14ac:dyDescent="0.25">
      <c r="AP1671" s="15" t="str">
        <f t="shared" si="25"/>
        <v/>
      </c>
    </row>
    <row r="1672" spans="42:42" ht="12" customHeight="1" x14ac:dyDescent="0.25">
      <c r="AP1672" s="15" t="str">
        <f t="shared" ref="AP1672:AP1735" si="26">IF(AO1672="", "", AO1672&amp;"["&amp;AN1672&amp;"]")</f>
        <v/>
      </c>
    </row>
    <row r="1673" spans="42:42" ht="12" customHeight="1" x14ac:dyDescent="0.25">
      <c r="AP1673" s="15" t="str">
        <f t="shared" si="26"/>
        <v/>
      </c>
    </row>
    <row r="1674" spans="42:42" ht="12" customHeight="1" x14ac:dyDescent="0.25">
      <c r="AP1674" s="15" t="str">
        <f t="shared" si="26"/>
        <v/>
      </c>
    </row>
    <row r="1675" spans="42:42" ht="12" customHeight="1" x14ac:dyDescent="0.25">
      <c r="AP1675" s="15" t="str">
        <f t="shared" si="26"/>
        <v/>
      </c>
    </row>
    <row r="1676" spans="42:42" ht="12" customHeight="1" x14ac:dyDescent="0.25">
      <c r="AP1676" s="15" t="str">
        <f t="shared" si="26"/>
        <v/>
      </c>
    </row>
    <row r="1677" spans="42:42" ht="12" customHeight="1" x14ac:dyDescent="0.25">
      <c r="AP1677" s="15" t="str">
        <f t="shared" si="26"/>
        <v/>
      </c>
    </row>
    <row r="1678" spans="42:42" ht="12" customHeight="1" x14ac:dyDescent="0.25">
      <c r="AP1678" s="15" t="str">
        <f t="shared" si="26"/>
        <v/>
      </c>
    </row>
    <row r="1679" spans="42:42" ht="12" customHeight="1" x14ac:dyDescent="0.25">
      <c r="AP1679" s="15" t="str">
        <f t="shared" si="26"/>
        <v/>
      </c>
    </row>
    <row r="1680" spans="42:42" ht="12" customHeight="1" x14ac:dyDescent="0.25">
      <c r="AP1680" s="15" t="str">
        <f t="shared" si="26"/>
        <v/>
      </c>
    </row>
    <row r="1681" spans="42:42" ht="12" customHeight="1" x14ac:dyDescent="0.25">
      <c r="AP1681" s="15" t="str">
        <f t="shared" si="26"/>
        <v/>
      </c>
    </row>
    <row r="1682" spans="42:42" ht="12" customHeight="1" x14ac:dyDescent="0.25">
      <c r="AP1682" s="15" t="str">
        <f t="shared" si="26"/>
        <v/>
      </c>
    </row>
    <row r="1683" spans="42:42" ht="12" customHeight="1" x14ac:dyDescent="0.25">
      <c r="AP1683" s="15" t="str">
        <f t="shared" si="26"/>
        <v/>
      </c>
    </row>
    <row r="1684" spans="42:42" ht="12" customHeight="1" x14ac:dyDescent="0.25">
      <c r="AP1684" s="15" t="str">
        <f t="shared" si="26"/>
        <v/>
      </c>
    </row>
    <row r="1685" spans="42:42" ht="12" customHeight="1" x14ac:dyDescent="0.25">
      <c r="AP1685" s="15" t="str">
        <f t="shared" si="26"/>
        <v/>
      </c>
    </row>
    <row r="1686" spans="42:42" ht="12" customHeight="1" x14ac:dyDescent="0.25">
      <c r="AP1686" s="15" t="str">
        <f t="shared" si="26"/>
        <v/>
      </c>
    </row>
    <row r="1687" spans="42:42" ht="12" customHeight="1" x14ac:dyDescent="0.25">
      <c r="AP1687" s="15" t="str">
        <f t="shared" si="26"/>
        <v/>
      </c>
    </row>
    <row r="1688" spans="42:42" ht="12" customHeight="1" x14ac:dyDescent="0.25">
      <c r="AP1688" s="15" t="str">
        <f t="shared" si="26"/>
        <v/>
      </c>
    </row>
    <row r="1689" spans="42:42" ht="12" customHeight="1" x14ac:dyDescent="0.25">
      <c r="AP1689" s="15" t="str">
        <f t="shared" si="26"/>
        <v/>
      </c>
    </row>
    <row r="1690" spans="42:42" ht="12" customHeight="1" x14ac:dyDescent="0.25">
      <c r="AP1690" s="15" t="str">
        <f t="shared" si="26"/>
        <v/>
      </c>
    </row>
    <row r="1691" spans="42:42" ht="12" customHeight="1" x14ac:dyDescent="0.25">
      <c r="AP1691" s="15" t="str">
        <f t="shared" si="26"/>
        <v/>
      </c>
    </row>
    <row r="1692" spans="42:42" ht="12" customHeight="1" x14ac:dyDescent="0.25">
      <c r="AP1692" s="15" t="str">
        <f t="shared" si="26"/>
        <v/>
      </c>
    </row>
    <row r="1693" spans="42:42" ht="12" customHeight="1" x14ac:dyDescent="0.25">
      <c r="AP1693" s="15" t="str">
        <f t="shared" si="26"/>
        <v/>
      </c>
    </row>
    <row r="1694" spans="42:42" ht="12" customHeight="1" x14ac:dyDescent="0.25">
      <c r="AP1694" s="15" t="str">
        <f t="shared" si="26"/>
        <v/>
      </c>
    </row>
    <row r="1695" spans="42:42" ht="12" customHeight="1" x14ac:dyDescent="0.25">
      <c r="AP1695" s="15" t="str">
        <f t="shared" si="26"/>
        <v/>
      </c>
    </row>
    <row r="1696" spans="42:42" ht="12" customHeight="1" x14ac:dyDescent="0.25">
      <c r="AP1696" s="15" t="str">
        <f t="shared" si="26"/>
        <v/>
      </c>
    </row>
    <row r="1697" spans="42:42" ht="12" customHeight="1" x14ac:dyDescent="0.25">
      <c r="AP1697" s="15" t="str">
        <f t="shared" si="26"/>
        <v/>
      </c>
    </row>
    <row r="1698" spans="42:42" ht="12" customHeight="1" x14ac:dyDescent="0.25">
      <c r="AP1698" s="15" t="str">
        <f t="shared" si="26"/>
        <v/>
      </c>
    </row>
    <row r="1699" spans="42:42" ht="12" customHeight="1" x14ac:dyDescent="0.25">
      <c r="AP1699" s="15" t="str">
        <f t="shared" si="26"/>
        <v/>
      </c>
    </row>
    <row r="1700" spans="42:42" ht="12" customHeight="1" x14ac:dyDescent="0.25">
      <c r="AP1700" s="15" t="str">
        <f t="shared" si="26"/>
        <v/>
      </c>
    </row>
    <row r="1701" spans="42:42" ht="12" customHeight="1" x14ac:dyDescent="0.25">
      <c r="AP1701" s="15" t="str">
        <f t="shared" si="26"/>
        <v/>
      </c>
    </row>
    <row r="1702" spans="42:42" ht="12" customHeight="1" x14ac:dyDescent="0.25">
      <c r="AP1702" s="15" t="str">
        <f t="shared" si="26"/>
        <v/>
      </c>
    </row>
    <row r="1703" spans="42:42" ht="12" customHeight="1" x14ac:dyDescent="0.25">
      <c r="AP1703" s="15" t="str">
        <f t="shared" si="26"/>
        <v/>
      </c>
    </row>
    <row r="1704" spans="42:42" ht="12" customHeight="1" x14ac:dyDescent="0.25">
      <c r="AP1704" s="15" t="str">
        <f t="shared" si="26"/>
        <v/>
      </c>
    </row>
    <row r="1705" spans="42:42" ht="12" customHeight="1" x14ac:dyDescent="0.25">
      <c r="AP1705" s="15" t="str">
        <f t="shared" si="26"/>
        <v/>
      </c>
    </row>
    <row r="1706" spans="42:42" ht="12" customHeight="1" x14ac:dyDescent="0.25">
      <c r="AP1706" s="15" t="str">
        <f t="shared" si="26"/>
        <v/>
      </c>
    </row>
    <row r="1707" spans="42:42" ht="12" customHeight="1" x14ac:dyDescent="0.25">
      <c r="AP1707" s="15" t="str">
        <f t="shared" si="26"/>
        <v/>
      </c>
    </row>
    <row r="1708" spans="42:42" ht="12" customHeight="1" x14ac:dyDescent="0.25">
      <c r="AP1708" s="15" t="str">
        <f t="shared" si="26"/>
        <v/>
      </c>
    </row>
    <row r="1709" spans="42:42" ht="12" customHeight="1" x14ac:dyDescent="0.25">
      <c r="AP1709" s="15" t="str">
        <f t="shared" si="26"/>
        <v/>
      </c>
    </row>
    <row r="1710" spans="42:42" ht="12" customHeight="1" x14ac:dyDescent="0.25">
      <c r="AP1710" s="15" t="str">
        <f t="shared" si="26"/>
        <v/>
      </c>
    </row>
    <row r="1711" spans="42:42" ht="12" customHeight="1" x14ac:dyDescent="0.25">
      <c r="AP1711" s="15" t="str">
        <f t="shared" si="26"/>
        <v/>
      </c>
    </row>
    <row r="1712" spans="42:42" ht="12" customHeight="1" x14ac:dyDescent="0.25">
      <c r="AP1712" s="15" t="str">
        <f t="shared" si="26"/>
        <v/>
      </c>
    </row>
    <row r="1713" spans="42:42" ht="12" customHeight="1" x14ac:dyDescent="0.25">
      <c r="AP1713" s="15" t="str">
        <f t="shared" si="26"/>
        <v/>
      </c>
    </row>
    <row r="1714" spans="42:42" ht="12" customHeight="1" x14ac:dyDescent="0.25">
      <c r="AP1714" s="15" t="str">
        <f t="shared" si="26"/>
        <v/>
      </c>
    </row>
    <row r="1715" spans="42:42" ht="12" customHeight="1" x14ac:dyDescent="0.25">
      <c r="AP1715" s="15" t="str">
        <f t="shared" si="26"/>
        <v/>
      </c>
    </row>
    <row r="1716" spans="42:42" ht="12" customHeight="1" x14ac:dyDescent="0.25">
      <c r="AP1716" s="15" t="str">
        <f t="shared" si="26"/>
        <v/>
      </c>
    </row>
    <row r="1717" spans="42:42" ht="12" customHeight="1" x14ac:dyDescent="0.25">
      <c r="AP1717" s="15" t="str">
        <f t="shared" si="26"/>
        <v/>
      </c>
    </row>
    <row r="1718" spans="42:42" ht="12" customHeight="1" x14ac:dyDescent="0.25">
      <c r="AP1718" s="15" t="str">
        <f t="shared" si="26"/>
        <v/>
      </c>
    </row>
    <row r="1719" spans="42:42" ht="12" customHeight="1" x14ac:dyDescent="0.25">
      <c r="AP1719" s="15" t="str">
        <f t="shared" si="26"/>
        <v/>
      </c>
    </row>
    <row r="1720" spans="42:42" ht="12" customHeight="1" x14ac:dyDescent="0.25">
      <c r="AP1720" s="15" t="str">
        <f t="shared" si="26"/>
        <v/>
      </c>
    </row>
    <row r="1721" spans="42:42" ht="12" customHeight="1" x14ac:dyDescent="0.25">
      <c r="AP1721" s="15" t="str">
        <f t="shared" si="26"/>
        <v/>
      </c>
    </row>
    <row r="1722" spans="42:42" ht="12" customHeight="1" x14ac:dyDescent="0.25">
      <c r="AP1722" s="15" t="str">
        <f t="shared" si="26"/>
        <v/>
      </c>
    </row>
    <row r="1723" spans="42:42" ht="12" customHeight="1" x14ac:dyDescent="0.25">
      <c r="AP1723" s="15" t="str">
        <f t="shared" si="26"/>
        <v/>
      </c>
    </row>
    <row r="1724" spans="42:42" ht="12" customHeight="1" x14ac:dyDescent="0.25">
      <c r="AP1724" s="15" t="str">
        <f t="shared" si="26"/>
        <v/>
      </c>
    </row>
    <row r="1725" spans="42:42" ht="12" customHeight="1" x14ac:dyDescent="0.25">
      <c r="AP1725" s="15" t="str">
        <f t="shared" si="26"/>
        <v/>
      </c>
    </row>
    <row r="1726" spans="42:42" ht="12" customHeight="1" x14ac:dyDescent="0.25">
      <c r="AP1726" s="15" t="str">
        <f t="shared" si="26"/>
        <v/>
      </c>
    </row>
    <row r="1727" spans="42:42" ht="12" customHeight="1" x14ac:dyDescent="0.25">
      <c r="AP1727" s="15" t="str">
        <f t="shared" si="26"/>
        <v/>
      </c>
    </row>
    <row r="1728" spans="42:42" ht="12" customHeight="1" x14ac:dyDescent="0.25">
      <c r="AP1728" s="15" t="str">
        <f t="shared" si="26"/>
        <v/>
      </c>
    </row>
    <row r="1729" spans="42:42" ht="12" customHeight="1" x14ac:dyDescent="0.25">
      <c r="AP1729" s="15" t="str">
        <f t="shared" si="26"/>
        <v/>
      </c>
    </row>
    <row r="1730" spans="42:42" ht="12" customHeight="1" x14ac:dyDescent="0.25">
      <c r="AP1730" s="15" t="str">
        <f t="shared" si="26"/>
        <v/>
      </c>
    </row>
    <row r="1731" spans="42:42" ht="12" customHeight="1" x14ac:dyDescent="0.25">
      <c r="AP1731" s="15" t="str">
        <f t="shared" si="26"/>
        <v/>
      </c>
    </row>
    <row r="1732" spans="42:42" ht="12" customHeight="1" x14ac:dyDescent="0.25">
      <c r="AP1732" s="15" t="str">
        <f t="shared" si="26"/>
        <v/>
      </c>
    </row>
    <row r="1733" spans="42:42" ht="12" customHeight="1" x14ac:dyDescent="0.25">
      <c r="AP1733" s="15" t="str">
        <f t="shared" si="26"/>
        <v/>
      </c>
    </row>
    <row r="1734" spans="42:42" ht="12" customHeight="1" x14ac:dyDescent="0.25">
      <c r="AP1734" s="15" t="str">
        <f t="shared" si="26"/>
        <v/>
      </c>
    </row>
    <row r="1735" spans="42:42" ht="12" customHeight="1" x14ac:dyDescent="0.25">
      <c r="AP1735" s="15" t="str">
        <f t="shared" si="26"/>
        <v/>
      </c>
    </row>
    <row r="1736" spans="42:42" ht="12" customHeight="1" x14ac:dyDescent="0.25">
      <c r="AP1736" s="15" t="str">
        <f t="shared" ref="AP1736:AP1799" si="27">IF(AO1736="", "", AO1736&amp;"["&amp;AN1736&amp;"]")</f>
        <v/>
      </c>
    </row>
    <row r="1737" spans="42:42" ht="12" customHeight="1" x14ac:dyDescent="0.25">
      <c r="AP1737" s="15" t="str">
        <f t="shared" si="27"/>
        <v/>
      </c>
    </row>
    <row r="1738" spans="42:42" ht="12" customHeight="1" x14ac:dyDescent="0.25">
      <c r="AP1738" s="15" t="str">
        <f t="shared" si="27"/>
        <v/>
      </c>
    </row>
    <row r="1739" spans="42:42" ht="12" customHeight="1" x14ac:dyDescent="0.25">
      <c r="AP1739" s="15" t="str">
        <f t="shared" si="27"/>
        <v/>
      </c>
    </row>
    <row r="1740" spans="42:42" ht="12" customHeight="1" x14ac:dyDescent="0.25">
      <c r="AP1740" s="15" t="str">
        <f t="shared" si="27"/>
        <v/>
      </c>
    </row>
    <row r="1741" spans="42:42" ht="12" customHeight="1" x14ac:dyDescent="0.25">
      <c r="AP1741" s="15" t="str">
        <f t="shared" si="27"/>
        <v/>
      </c>
    </row>
    <row r="1742" spans="42:42" ht="12" customHeight="1" x14ac:dyDescent="0.25">
      <c r="AP1742" s="15" t="str">
        <f t="shared" si="27"/>
        <v/>
      </c>
    </row>
    <row r="1743" spans="42:42" ht="12" customHeight="1" x14ac:dyDescent="0.25">
      <c r="AP1743" s="15" t="str">
        <f t="shared" si="27"/>
        <v/>
      </c>
    </row>
    <row r="1744" spans="42:42" ht="12" customHeight="1" x14ac:dyDescent="0.25">
      <c r="AP1744" s="15" t="str">
        <f t="shared" si="27"/>
        <v/>
      </c>
    </row>
    <row r="1745" spans="42:42" ht="12" customHeight="1" x14ac:dyDescent="0.25">
      <c r="AP1745" s="15" t="str">
        <f t="shared" si="27"/>
        <v/>
      </c>
    </row>
    <row r="1746" spans="42:42" ht="12" customHeight="1" x14ac:dyDescent="0.25">
      <c r="AP1746" s="15" t="str">
        <f t="shared" si="27"/>
        <v/>
      </c>
    </row>
    <row r="1747" spans="42:42" ht="12" customHeight="1" x14ac:dyDescent="0.25">
      <c r="AP1747" s="15" t="str">
        <f t="shared" si="27"/>
        <v/>
      </c>
    </row>
    <row r="1748" spans="42:42" ht="12" customHeight="1" x14ac:dyDescent="0.25">
      <c r="AP1748" s="15" t="str">
        <f t="shared" si="27"/>
        <v/>
      </c>
    </row>
    <row r="1749" spans="42:42" ht="12" customHeight="1" x14ac:dyDescent="0.25">
      <c r="AP1749" s="15" t="str">
        <f t="shared" si="27"/>
        <v/>
      </c>
    </row>
    <row r="1750" spans="42:42" ht="12" customHeight="1" x14ac:dyDescent="0.25">
      <c r="AP1750" s="15" t="str">
        <f t="shared" si="27"/>
        <v/>
      </c>
    </row>
    <row r="1751" spans="42:42" ht="12" customHeight="1" x14ac:dyDescent="0.25">
      <c r="AP1751" s="15" t="str">
        <f t="shared" si="27"/>
        <v/>
      </c>
    </row>
    <row r="1752" spans="42:42" ht="12" customHeight="1" x14ac:dyDescent="0.25">
      <c r="AP1752" s="15" t="str">
        <f t="shared" si="27"/>
        <v/>
      </c>
    </row>
    <row r="1753" spans="42:42" ht="12" customHeight="1" x14ac:dyDescent="0.25">
      <c r="AP1753" s="15" t="str">
        <f t="shared" si="27"/>
        <v/>
      </c>
    </row>
    <row r="1754" spans="42:42" ht="12" customHeight="1" x14ac:dyDescent="0.25">
      <c r="AP1754" s="15" t="str">
        <f t="shared" si="27"/>
        <v/>
      </c>
    </row>
    <row r="1755" spans="42:42" ht="12" customHeight="1" x14ac:dyDescent="0.25">
      <c r="AP1755" s="15" t="str">
        <f t="shared" si="27"/>
        <v/>
      </c>
    </row>
    <row r="1756" spans="42:42" ht="12" customHeight="1" x14ac:dyDescent="0.25">
      <c r="AP1756" s="15" t="str">
        <f t="shared" si="27"/>
        <v/>
      </c>
    </row>
    <row r="1757" spans="42:42" ht="12" customHeight="1" x14ac:dyDescent="0.25">
      <c r="AP1757" s="15" t="str">
        <f t="shared" si="27"/>
        <v/>
      </c>
    </row>
    <row r="1758" spans="42:42" ht="12" customHeight="1" x14ac:dyDescent="0.25">
      <c r="AP1758" s="15" t="str">
        <f t="shared" si="27"/>
        <v/>
      </c>
    </row>
    <row r="1759" spans="42:42" ht="12" customHeight="1" x14ac:dyDescent="0.25">
      <c r="AP1759" s="15" t="str">
        <f t="shared" si="27"/>
        <v/>
      </c>
    </row>
    <row r="1760" spans="42:42" ht="12" customHeight="1" x14ac:dyDescent="0.25">
      <c r="AP1760" s="15" t="str">
        <f t="shared" si="27"/>
        <v/>
      </c>
    </row>
    <row r="1761" spans="42:42" ht="12" customHeight="1" x14ac:dyDescent="0.25">
      <c r="AP1761" s="15" t="str">
        <f t="shared" si="27"/>
        <v/>
      </c>
    </row>
    <row r="1762" spans="42:42" ht="12" customHeight="1" x14ac:dyDescent="0.25">
      <c r="AP1762" s="15" t="str">
        <f t="shared" si="27"/>
        <v/>
      </c>
    </row>
    <row r="1763" spans="42:42" ht="12" customHeight="1" x14ac:dyDescent="0.25">
      <c r="AP1763" s="15" t="str">
        <f t="shared" si="27"/>
        <v/>
      </c>
    </row>
    <row r="1764" spans="42:42" ht="12" customHeight="1" x14ac:dyDescent="0.25">
      <c r="AP1764" s="15" t="str">
        <f t="shared" si="27"/>
        <v/>
      </c>
    </row>
    <row r="1765" spans="42:42" ht="12" customHeight="1" x14ac:dyDescent="0.25">
      <c r="AP1765" s="15" t="str">
        <f t="shared" si="27"/>
        <v/>
      </c>
    </row>
    <row r="1766" spans="42:42" ht="12" customHeight="1" x14ac:dyDescent="0.25">
      <c r="AP1766" s="15" t="str">
        <f t="shared" si="27"/>
        <v/>
      </c>
    </row>
    <row r="1767" spans="42:42" ht="12" customHeight="1" x14ac:dyDescent="0.25">
      <c r="AP1767" s="15" t="str">
        <f t="shared" si="27"/>
        <v/>
      </c>
    </row>
    <row r="1768" spans="42:42" ht="12" customHeight="1" x14ac:dyDescent="0.25">
      <c r="AP1768" s="15" t="str">
        <f t="shared" si="27"/>
        <v/>
      </c>
    </row>
    <row r="1769" spans="42:42" ht="12" customHeight="1" x14ac:dyDescent="0.25">
      <c r="AP1769" s="15" t="str">
        <f t="shared" si="27"/>
        <v/>
      </c>
    </row>
    <row r="1770" spans="42:42" ht="12" customHeight="1" x14ac:dyDescent="0.25">
      <c r="AP1770" s="15" t="str">
        <f t="shared" si="27"/>
        <v/>
      </c>
    </row>
    <row r="1771" spans="42:42" ht="12" customHeight="1" x14ac:dyDescent="0.25">
      <c r="AP1771" s="15" t="str">
        <f t="shared" si="27"/>
        <v/>
      </c>
    </row>
    <row r="1772" spans="42:42" ht="12" customHeight="1" x14ac:dyDescent="0.25">
      <c r="AP1772" s="15" t="str">
        <f t="shared" si="27"/>
        <v/>
      </c>
    </row>
    <row r="1773" spans="42:42" ht="12" customHeight="1" x14ac:dyDescent="0.25">
      <c r="AP1773" s="15" t="str">
        <f t="shared" si="27"/>
        <v/>
      </c>
    </row>
    <row r="1774" spans="42:42" ht="12" customHeight="1" x14ac:dyDescent="0.25">
      <c r="AP1774" s="15" t="str">
        <f t="shared" si="27"/>
        <v/>
      </c>
    </row>
    <row r="1775" spans="42:42" ht="12" customHeight="1" x14ac:dyDescent="0.25">
      <c r="AP1775" s="15" t="str">
        <f t="shared" si="27"/>
        <v/>
      </c>
    </row>
    <row r="1776" spans="42:42" ht="12" customHeight="1" x14ac:dyDescent="0.25">
      <c r="AP1776" s="15" t="str">
        <f t="shared" si="27"/>
        <v/>
      </c>
    </row>
    <row r="1777" spans="42:42" ht="12" customHeight="1" x14ac:dyDescent="0.25">
      <c r="AP1777" s="15" t="str">
        <f t="shared" si="27"/>
        <v/>
      </c>
    </row>
    <row r="1778" spans="42:42" ht="12" customHeight="1" x14ac:dyDescent="0.25">
      <c r="AP1778" s="15" t="str">
        <f t="shared" si="27"/>
        <v/>
      </c>
    </row>
    <row r="1779" spans="42:42" ht="12" customHeight="1" x14ac:dyDescent="0.25">
      <c r="AP1779" s="15" t="str">
        <f t="shared" si="27"/>
        <v/>
      </c>
    </row>
    <row r="1780" spans="42:42" ht="12" customHeight="1" x14ac:dyDescent="0.25">
      <c r="AP1780" s="15" t="str">
        <f t="shared" si="27"/>
        <v/>
      </c>
    </row>
    <row r="1781" spans="42:42" ht="12" customHeight="1" x14ac:dyDescent="0.25">
      <c r="AP1781" s="15" t="str">
        <f t="shared" si="27"/>
        <v/>
      </c>
    </row>
    <row r="1782" spans="42:42" ht="12" customHeight="1" x14ac:dyDescent="0.25">
      <c r="AP1782" s="15" t="str">
        <f t="shared" si="27"/>
        <v/>
      </c>
    </row>
    <row r="1783" spans="42:42" ht="12" customHeight="1" x14ac:dyDescent="0.25">
      <c r="AP1783" s="15" t="str">
        <f t="shared" si="27"/>
        <v/>
      </c>
    </row>
    <row r="1784" spans="42:42" ht="12" customHeight="1" x14ac:dyDescent="0.25">
      <c r="AP1784" s="15" t="str">
        <f t="shared" si="27"/>
        <v/>
      </c>
    </row>
    <row r="1785" spans="42:42" ht="12" customHeight="1" x14ac:dyDescent="0.25">
      <c r="AP1785" s="15" t="str">
        <f t="shared" si="27"/>
        <v/>
      </c>
    </row>
    <row r="1786" spans="42:42" ht="12" customHeight="1" x14ac:dyDescent="0.25">
      <c r="AP1786" s="15" t="str">
        <f t="shared" si="27"/>
        <v/>
      </c>
    </row>
    <row r="1787" spans="42:42" ht="12" customHeight="1" x14ac:dyDescent="0.25">
      <c r="AP1787" s="15" t="str">
        <f t="shared" si="27"/>
        <v/>
      </c>
    </row>
    <row r="1788" spans="42:42" ht="12" customHeight="1" x14ac:dyDescent="0.25">
      <c r="AP1788" s="15" t="str">
        <f t="shared" si="27"/>
        <v/>
      </c>
    </row>
    <row r="1789" spans="42:42" ht="12" customHeight="1" x14ac:dyDescent="0.25">
      <c r="AP1789" s="15" t="str">
        <f t="shared" si="27"/>
        <v/>
      </c>
    </row>
    <row r="1790" spans="42:42" ht="12" customHeight="1" x14ac:dyDescent="0.25">
      <c r="AP1790" s="15" t="str">
        <f t="shared" si="27"/>
        <v/>
      </c>
    </row>
    <row r="1791" spans="42:42" ht="12" customHeight="1" x14ac:dyDescent="0.25">
      <c r="AP1791" s="15" t="str">
        <f t="shared" si="27"/>
        <v/>
      </c>
    </row>
    <row r="1792" spans="42:42" ht="12" customHeight="1" x14ac:dyDescent="0.25">
      <c r="AP1792" s="15" t="str">
        <f t="shared" si="27"/>
        <v/>
      </c>
    </row>
    <row r="1793" spans="42:42" ht="12" customHeight="1" x14ac:dyDescent="0.25">
      <c r="AP1793" s="15" t="str">
        <f t="shared" si="27"/>
        <v/>
      </c>
    </row>
    <row r="1794" spans="42:42" ht="12" customHeight="1" x14ac:dyDescent="0.25">
      <c r="AP1794" s="15" t="str">
        <f t="shared" si="27"/>
        <v/>
      </c>
    </row>
    <row r="1795" spans="42:42" ht="12" customHeight="1" x14ac:dyDescent="0.25">
      <c r="AP1795" s="15" t="str">
        <f t="shared" si="27"/>
        <v/>
      </c>
    </row>
    <row r="1796" spans="42:42" ht="12" customHeight="1" x14ac:dyDescent="0.25">
      <c r="AP1796" s="15" t="str">
        <f t="shared" si="27"/>
        <v/>
      </c>
    </row>
    <row r="1797" spans="42:42" ht="12" customHeight="1" x14ac:dyDescent="0.25">
      <c r="AP1797" s="15" t="str">
        <f t="shared" si="27"/>
        <v/>
      </c>
    </row>
    <row r="1798" spans="42:42" ht="12" customHeight="1" x14ac:dyDescent="0.25">
      <c r="AP1798" s="15" t="str">
        <f t="shared" si="27"/>
        <v/>
      </c>
    </row>
    <row r="1799" spans="42:42" ht="12" customHeight="1" x14ac:dyDescent="0.25">
      <c r="AP1799" s="15" t="str">
        <f t="shared" si="27"/>
        <v/>
      </c>
    </row>
    <row r="1800" spans="42:42" ht="12" customHeight="1" x14ac:dyDescent="0.25">
      <c r="AP1800" s="15" t="str">
        <f t="shared" ref="AP1800:AP1863" si="28">IF(AO1800="", "", AO1800&amp;"["&amp;AN1800&amp;"]")</f>
        <v/>
      </c>
    </row>
    <row r="1801" spans="42:42" ht="12" customHeight="1" x14ac:dyDescent="0.25">
      <c r="AP1801" s="15" t="str">
        <f t="shared" si="28"/>
        <v/>
      </c>
    </row>
    <row r="1802" spans="42:42" ht="12" customHeight="1" x14ac:dyDescent="0.25">
      <c r="AP1802" s="15" t="str">
        <f t="shared" si="28"/>
        <v/>
      </c>
    </row>
    <row r="1803" spans="42:42" ht="12" customHeight="1" x14ac:dyDescent="0.25">
      <c r="AP1803" s="15" t="str">
        <f t="shared" si="28"/>
        <v/>
      </c>
    </row>
    <row r="1804" spans="42:42" ht="12" customHeight="1" x14ac:dyDescent="0.25">
      <c r="AP1804" s="15" t="str">
        <f t="shared" si="28"/>
        <v/>
      </c>
    </row>
    <row r="1805" spans="42:42" ht="12" customHeight="1" x14ac:dyDescent="0.25">
      <c r="AP1805" s="15" t="str">
        <f t="shared" si="28"/>
        <v/>
      </c>
    </row>
    <row r="1806" spans="42:42" ht="12" customHeight="1" x14ac:dyDescent="0.25">
      <c r="AP1806" s="15" t="str">
        <f t="shared" si="28"/>
        <v/>
      </c>
    </row>
    <row r="1807" spans="42:42" ht="12" customHeight="1" x14ac:dyDescent="0.25">
      <c r="AP1807" s="15" t="str">
        <f t="shared" si="28"/>
        <v/>
      </c>
    </row>
    <row r="1808" spans="42:42" ht="12" customHeight="1" x14ac:dyDescent="0.25">
      <c r="AP1808" s="15" t="str">
        <f t="shared" si="28"/>
        <v/>
      </c>
    </row>
    <row r="1809" spans="42:42" ht="12" customHeight="1" x14ac:dyDescent="0.25">
      <c r="AP1809" s="15" t="str">
        <f t="shared" si="28"/>
        <v/>
      </c>
    </row>
    <row r="1810" spans="42:42" ht="12" customHeight="1" x14ac:dyDescent="0.25">
      <c r="AP1810" s="15" t="str">
        <f t="shared" si="28"/>
        <v/>
      </c>
    </row>
    <row r="1811" spans="42:42" ht="12" customHeight="1" x14ac:dyDescent="0.25">
      <c r="AP1811" s="15" t="str">
        <f t="shared" si="28"/>
        <v/>
      </c>
    </row>
    <row r="1812" spans="42:42" ht="12" customHeight="1" x14ac:dyDescent="0.25">
      <c r="AP1812" s="15" t="str">
        <f t="shared" si="28"/>
        <v/>
      </c>
    </row>
    <row r="1813" spans="42:42" ht="12" customHeight="1" x14ac:dyDescent="0.25">
      <c r="AP1813" s="15" t="str">
        <f t="shared" si="28"/>
        <v/>
      </c>
    </row>
    <row r="1814" spans="42:42" ht="12" customHeight="1" x14ac:dyDescent="0.25">
      <c r="AP1814" s="15" t="str">
        <f t="shared" si="28"/>
        <v/>
      </c>
    </row>
    <row r="1815" spans="42:42" ht="12" customHeight="1" x14ac:dyDescent="0.25">
      <c r="AP1815" s="15" t="str">
        <f t="shared" si="28"/>
        <v/>
      </c>
    </row>
    <row r="1816" spans="42:42" ht="12" customHeight="1" x14ac:dyDescent="0.25">
      <c r="AP1816" s="15" t="str">
        <f t="shared" si="28"/>
        <v/>
      </c>
    </row>
    <row r="1817" spans="42:42" ht="12" customHeight="1" x14ac:dyDescent="0.25">
      <c r="AP1817" s="15" t="str">
        <f t="shared" si="28"/>
        <v/>
      </c>
    </row>
    <row r="1818" spans="42:42" ht="12" customHeight="1" x14ac:dyDescent="0.25">
      <c r="AP1818" s="15" t="str">
        <f t="shared" si="28"/>
        <v/>
      </c>
    </row>
    <row r="1819" spans="42:42" ht="12" customHeight="1" x14ac:dyDescent="0.25">
      <c r="AP1819" s="15" t="str">
        <f t="shared" si="28"/>
        <v/>
      </c>
    </row>
    <row r="1820" spans="42:42" ht="12" customHeight="1" x14ac:dyDescent="0.25">
      <c r="AP1820" s="15" t="str">
        <f t="shared" si="28"/>
        <v/>
      </c>
    </row>
    <row r="1821" spans="42:42" ht="12" customHeight="1" x14ac:dyDescent="0.25">
      <c r="AP1821" s="15" t="str">
        <f t="shared" si="28"/>
        <v/>
      </c>
    </row>
    <row r="1822" spans="42:42" ht="12" customHeight="1" x14ac:dyDescent="0.25">
      <c r="AP1822" s="15" t="str">
        <f t="shared" si="28"/>
        <v/>
      </c>
    </row>
    <row r="1823" spans="42:42" ht="12" customHeight="1" x14ac:dyDescent="0.25">
      <c r="AP1823" s="15" t="str">
        <f t="shared" si="28"/>
        <v/>
      </c>
    </row>
    <row r="1824" spans="42:42" ht="12" customHeight="1" x14ac:dyDescent="0.25">
      <c r="AP1824" s="15" t="str">
        <f t="shared" si="28"/>
        <v/>
      </c>
    </row>
    <row r="1825" spans="42:42" ht="12" customHeight="1" x14ac:dyDescent="0.25">
      <c r="AP1825" s="15" t="str">
        <f t="shared" si="28"/>
        <v/>
      </c>
    </row>
    <row r="1826" spans="42:42" ht="12" customHeight="1" x14ac:dyDescent="0.25">
      <c r="AP1826" s="15" t="str">
        <f t="shared" si="28"/>
        <v/>
      </c>
    </row>
    <row r="1827" spans="42:42" ht="12" customHeight="1" x14ac:dyDescent="0.25">
      <c r="AP1827" s="15" t="str">
        <f t="shared" si="28"/>
        <v/>
      </c>
    </row>
    <row r="1828" spans="42:42" ht="12" customHeight="1" x14ac:dyDescent="0.25">
      <c r="AP1828" s="15" t="str">
        <f t="shared" si="28"/>
        <v/>
      </c>
    </row>
    <row r="1829" spans="42:42" ht="12" customHeight="1" x14ac:dyDescent="0.25">
      <c r="AP1829" s="15" t="str">
        <f t="shared" si="28"/>
        <v/>
      </c>
    </row>
    <row r="1830" spans="42:42" ht="12" customHeight="1" x14ac:dyDescent="0.25">
      <c r="AP1830" s="15" t="str">
        <f t="shared" si="28"/>
        <v/>
      </c>
    </row>
    <row r="1831" spans="42:42" ht="12" customHeight="1" x14ac:dyDescent="0.25">
      <c r="AP1831" s="15" t="str">
        <f t="shared" si="28"/>
        <v/>
      </c>
    </row>
    <row r="1832" spans="42:42" ht="12" customHeight="1" x14ac:dyDescent="0.25">
      <c r="AP1832" s="15" t="str">
        <f t="shared" si="28"/>
        <v/>
      </c>
    </row>
    <row r="1833" spans="42:42" ht="12" customHeight="1" x14ac:dyDescent="0.25">
      <c r="AP1833" s="15" t="str">
        <f t="shared" si="28"/>
        <v/>
      </c>
    </row>
    <row r="1834" spans="42:42" ht="12" customHeight="1" x14ac:dyDescent="0.25">
      <c r="AP1834" s="15" t="str">
        <f t="shared" si="28"/>
        <v/>
      </c>
    </row>
    <row r="1835" spans="42:42" ht="12" customHeight="1" x14ac:dyDescent="0.25">
      <c r="AP1835" s="15" t="str">
        <f t="shared" si="28"/>
        <v/>
      </c>
    </row>
    <row r="1836" spans="42:42" ht="12" customHeight="1" x14ac:dyDescent="0.25">
      <c r="AP1836" s="15" t="str">
        <f t="shared" si="28"/>
        <v/>
      </c>
    </row>
    <row r="1837" spans="42:42" ht="12" customHeight="1" x14ac:dyDescent="0.25">
      <c r="AP1837" s="15" t="str">
        <f t="shared" si="28"/>
        <v/>
      </c>
    </row>
    <row r="1838" spans="42:42" ht="12" customHeight="1" x14ac:dyDescent="0.25">
      <c r="AP1838" s="15" t="str">
        <f t="shared" si="28"/>
        <v/>
      </c>
    </row>
    <row r="1839" spans="42:42" ht="12" customHeight="1" x14ac:dyDescent="0.25">
      <c r="AP1839" s="15" t="str">
        <f t="shared" si="28"/>
        <v/>
      </c>
    </row>
    <row r="1840" spans="42:42" ht="12" customHeight="1" x14ac:dyDescent="0.25">
      <c r="AP1840" s="15" t="str">
        <f t="shared" si="28"/>
        <v/>
      </c>
    </row>
    <row r="1841" spans="42:42" ht="12" customHeight="1" x14ac:dyDescent="0.25">
      <c r="AP1841" s="15" t="str">
        <f t="shared" si="28"/>
        <v/>
      </c>
    </row>
    <row r="1842" spans="42:42" ht="12" customHeight="1" x14ac:dyDescent="0.25">
      <c r="AP1842" s="15" t="str">
        <f t="shared" si="28"/>
        <v/>
      </c>
    </row>
    <row r="1843" spans="42:42" ht="12" customHeight="1" x14ac:dyDescent="0.25">
      <c r="AP1843" s="15" t="str">
        <f t="shared" si="28"/>
        <v/>
      </c>
    </row>
    <row r="1844" spans="42:42" ht="12" customHeight="1" x14ac:dyDescent="0.25">
      <c r="AP1844" s="15" t="str">
        <f t="shared" si="28"/>
        <v/>
      </c>
    </row>
    <row r="1845" spans="42:42" ht="12" customHeight="1" x14ac:dyDescent="0.25">
      <c r="AP1845" s="15" t="str">
        <f t="shared" si="28"/>
        <v/>
      </c>
    </row>
    <row r="1846" spans="42:42" ht="12" customHeight="1" x14ac:dyDescent="0.25">
      <c r="AP1846" s="15" t="str">
        <f t="shared" si="28"/>
        <v/>
      </c>
    </row>
    <row r="1847" spans="42:42" ht="12" customHeight="1" x14ac:dyDescent="0.25">
      <c r="AP1847" s="15" t="str">
        <f t="shared" si="28"/>
        <v/>
      </c>
    </row>
    <row r="1848" spans="42:42" ht="12" customHeight="1" x14ac:dyDescent="0.25">
      <c r="AP1848" s="15" t="str">
        <f t="shared" si="28"/>
        <v/>
      </c>
    </row>
    <row r="1849" spans="42:42" ht="12" customHeight="1" x14ac:dyDescent="0.25">
      <c r="AP1849" s="15" t="str">
        <f t="shared" si="28"/>
        <v/>
      </c>
    </row>
    <row r="1850" spans="42:42" ht="12" customHeight="1" x14ac:dyDescent="0.25">
      <c r="AP1850" s="15" t="str">
        <f t="shared" si="28"/>
        <v/>
      </c>
    </row>
    <row r="1851" spans="42:42" ht="12" customHeight="1" x14ac:dyDescent="0.25">
      <c r="AP1851" s="15" t="str">
        <f t="shared" si="28"/>
        <v/>
      </c>
    </row>
    <row r="1852" spans="42:42" ht="12" customHeight="1" x14ac:dyDescent="0.25">
      <c r="AP1852" s="15" t="str">
        <f t="shared" si="28"/>
        <v/>
      </c>
    </row>
    <row r="1853" spans="42:42" ht="12" customHeight="1" x14ac:dyDescent="0.25">
      <c r="AP1853" s="15" t="str">
        <f t="shared" si="28"/>
        <v/>
      </c>
    </row>
    <row r="1854" spans="42:42" ht="12" customHeight="1" x14ac:dyDescent="0.25">
      <c r="AP1854" s="15" t="str">
        <f t="shared" si="28"/>
        <v/>
      </c>
    </row>
    <row r="1855" spans="42:42" ht="12" customHeight="1" x14ac:dyDescent="0.25">
      <c r="AP1855" s="15" t="str">
        <f t="shared" si="28"/>
        <v/>
      </c>
    </row>
    <row r="1856" spans="42:42" ht="12" customHeight="1" x14ac:dyDescent="0.25">
      <c r="AP1856" s="15" t="str">
        <f t="shared" si="28"/>
        <v/>
      </c>
    </row>
    <row r="1857" spans="42:42" ht="12" customHeight="1" x14ac:dyDescent="0.25">
      <c r="AP1857" s="15" t="str">
        <f t="shared" si="28"/>
        <v/>
      </c>
    </row>
    <row r="1858" spans="42:42" ht="12" customHeight="1" x14ac:dyDescent="0.25">
      <c r="AP1858" s="15" t="str">
        <f t="shared" si="28"/>
        <v/>
      </c>
    </row>
    <row r="1859" spans="42:42" ht="12" customHeight="1" x14ac:dyDescent="0.25">
      <c r="AP1859" s="15" t="str">
        <f t="shared" si="28"/>
        <v/>
      </c>
    </row>
    <row r="1860" spans="42:42" ht="12" customHeight="1" x14ac:dyDescent="0.25">
      <c r="AP1860" s="15" t="str">
        <f t="shared" si="28"/>
        <v/>
      </c>
    </row>
    <row r="1861" spans="42:42" ht="12" customHeight="1" x14ac:dyDescent="0.25">
      <c r="AP1861" s="15" t="str">
        <f t="shared" si="28"/>
        <v/>
      </c>
    </row>
    <row r="1862" spans="42:42" ht="12" customHeight="1" x14ac:dyDescent="0.25">
      <c r="AP1862" s="15" t="str">
        <f t="shared" si="28"/>
        <v/>
      </c>
    </row>
    <row r="1863" spans="42:42" ht="12" customHeight="1" x14ac:dyDescent="0.25">
      <c r="AP1863" s="15" t="str">
        <f t="shared" si="28"/>
        <v/>
      </c>
    </row>
    <row r="1864" spans="42:42" ht="12" customHeight="1" x14ac:dyDescent="0.25">
      <c r="AP1864" s="15" t="str">
        <f t="shared" ref="AP1864:AP1927" si="29">IF(AO1864="", "", AO1864&amp;"["&amp;AN1864&amp;"]")</f>
        <v/>
      </c>
    </row>
    <row r="1865" spans="42:42" ht="12" customHeight="1" x14ac:dyDescent="0.25">
      <c r="AP1865" s="15" t="str">
        <f t="shared" si="29"/>
        <v/>
      </c>
    </row>
    <row r="1866" spans="42:42" ht="12" customHeight="1" x14ac:dyDescent="0.25">
      <c r="AP1866" s="15" t="str">
        <f t="shared" si="29"/>
        <v/>
      </c>
    </row>
    <row r="1867" spans="42:42" ht="12" customHeight="1" x14ac:dyDescent="0.25">
      <c r="AP1867" s="15" t="str">
        <f t="shared" si="29"/>
        <v/>
      </c>
    </row>
    <row r="1868" spans="42:42" ht="12" customHeight="1" x14ac:dyDescent="0.25">
      <c r="AP1868" s="15" t="str">
        <f t="shared" si="29"/>
        <v/>
      </c>
    </row>
    <row r="1869" spans="42:42" ht="12" customHeight="1" x14ac:dyDescent="0.25">
      <c r="AP1869" s="15" t="str">
        <f t="shared" si="29"/>
        <v/>
      </c>
    </row>
    <row r="1870" spans="42:42" ht="12" customHeight="1" x14ac:dyDescent="0.25">
      <c r="AP1870" s="15" t="str">
        <f t="shared" si="29"/>
        <v/>
      </c>
    </row>
    <row r="1871" spans="42:42" ht="12" customHeight="1" x14ac:dyDescent="0.25">
      <c r="AP1871" s="15" t="str">
        <f t="shared" si="29"/>
        <v/>
      </c>
    </row>
    <row r="1872" spans="42:42" ht="12" customHeight="1" x14ac:dyDescent="0.25">
      <c r="AP1872" s="15" t="str">
        <f t="shared" si="29"/>
        <v/>
      </c>
    </row>
    <row r="1873" spans="42:42" ht="12" customHeight="1" x14ac:dyDescent="0.25">
      <c r="AP1873" s="15" t="str">
        <f t="shared" si="29"/>
        <v/>
      </c>
    </row>
    <row r="1874" spans="42:42" ht="12" customHeight="1" x14ac:dyDescent="0.25">
      <c r="AP1874" s="15" t="str">
        <f t="shared" si="29"/>
        <v/>
      </c>
    </row>
    <row r="1875" spans="42:42" ht="12" customHeight="1" x14ac:dyDescent="0.25">
      <c r="AP1875" s="15" t="str">
        <f t="shared" si="29"/>
        <v/>
      </c>
    </row>
    <row r="1876" spans="42:42" ht="12" customHeight="1" x14ac:dyDescent="0.25">
      <c r="AP1876" s="15" t="str">
        <f t="shared" si="29"/>
        <v/>
      </c>
    </row>
    <row r="1877" spans="42:42" ht="12" customHeight="1" x14ac:dyDescent="0.25">
      <c r="AP1877" s="15" t="str">
        <f t="shared" si="29"/>
        <v/>
      </c>
    </row>
    <row r="1878" spans="42:42" ht="12" customHeight="1" x14ac:dyDescent="0.25">
      <c r="AP1878" s="15" t="str">
        <f t="shared" si="29"/>
        <v/>
      </c>
    </row>
    <row r="1879" spans="42:42" ht="12" customHeight="1" x14ac:dyDescent="0.25">
      <c r="AP1879" s="15" t="str">
        <f t="shared" si="29"/>
        <v/>
      </c>
    </row>
    <row r="1880" spans="42:42" ht="12" customHeight="1" x14ac:dyDescent="0.25">
      <c r="AP1880" s="15" t="str">
        <f t="shared" si="29"/>
        <v/>
      </c>
    </row>
    <row r="1881" spans="42:42" ht="12" customHeight="1" x14ac:dyDescent="0.25">
      <c r="AP1881" s="15" t="str">
        <f t="shared" si="29"/>
        <v/>
      </c>
    </row>
    <row r="1882" spans="42:42" ht="12" customHeight="1" x14ac:dyDescent="0.25">
      <c r="AP1882" s="15" t="str">
        <f t="shared" si="29"/>
        <v/>
      </c>
    </row>
    <row r="1883" spans="42:42" ht="12" customHeight="1" x14ac:dyDescent="0.25">
      <c r="AP1883" s="15" t="str">
        <f t="shared" si="29"/>
        <v/>
      </c>
    </row>
    <row r="1884" spans="42:42" ht="12" customHeight="1" x14ac:dyDescent="0.25">
      <c r="AP1884" s="15" t="str">
        <f t="shared" si="29"/>
        <v/>
      </c>
    </row>
    <row r="1885" spans="42:42" ht="12" customHeight="1" x14ac:dyDescent="0.25">
      <c r="AP1885" s="15" t="str">
        <f t="shared" si="29"/>
        <v/>
      </c>
    </row>
    <row r="1886" spans="42:42" ht="12" customHeight="1" x14ac:dyDescent="0.25">
      <c r="AP1886" s="15" t="str">
        <f t="shared" si="29"/>
        <v/>
      </c>
    </row>
    <row r="1887" spans="42:42" ht="12" customHeight="1" x14ac:dyDescent="0.25">
      <c r="AP1887" s="15" t="str">
        <f t="shared" si="29"/>
        <v/>
      </c>
    </row>
    <row r="1888" spans="42:42" ht="12" customHeight="1" x14ac:dyDescent="0.25">
      <c r="AP1888" s="15" t="str">
        <f t="shared" si="29"/>
        <v/>
      </c>
    </row>
    <row r="1889" spans="42:42" ht="12" customHeight="1" x14ac:dyDescent="0.25">
      <c r="AP1889" s="15" t="str">
        <f t="shared" si="29"/>
        <v/>
      </c>
    </row>
    <row r="1890" spans="42:42" ht="12" customHeight="1" x14ac:dyDescent="0.25">
      <c r="AP1890" s="15" t="str">
        <f t="shared" si="29"/>
        <v/>
      </c>
    </row>
    <row r="1891" spans="42:42" ht="12" customHeight="1" x14ac:dyDescent="0.25">
      <c r="AP1891" s="15" t="str">
        <f t="shared" si="29"/>
        <v/>
      </c>
    </row>
    <row r="1892" spans="42:42" ht="12" customHeight="1" x14ac:dyDescent="0.25">
      <c r="AP1892" s="15" t="str">
        <f t="shared" si="29"/>
        <v/>
      </c>
    </row>
    <row r="1893" spans="42:42" ht="12" customHeight="1" x14ac:dyDescent="0.25">
      <c r="AP1893" s="15" t="str">
        <f t="shared" si="29"/>
        <v/>
      </c>
    </row>
    <row r="1894" spans="42:42" ht="12" customHeight="1" x14ac:dyDescent="0.25">
      <c r="AP1894" s="15" t="str">
        <f t="shared" si="29"/>
        <v/>
      </c>
    </row>
    <row r="1895" spans="42:42" ht="12" customHeight="1" x14ac:dyDescent="0.25">
      <c r="AP1895" s="15" t="str">
        <f t="shared" si="29"/>
        <v/>
      </c>
    </row>
    <row r="1896" spans="42:42" ht="12" customHeight="1" x14ac:dyDescent="0.25">
      <c r="AP1896" s="15" t="str">
        <f t="shared" si="29"/>
        <v/>
      </c>
    </row>
    <row r="1897" spans="42:42" ht="12" customHeight="1" x14ac:dyDescent="0.25">
      <c r="AP1897" s="15" t="str">
        <f t="shared" si="29"/>
        <v/>
      </c>
    </row>
    <row r="1898" spans="42:42" ht="12" customHeight="1" x14ac:dyDescent="0.25">
      <c r="AP1898" s="15" t="str">
        <f t="shared" si="29"/>
        <v/>
      </c>
    </row>
    <row r="1899" spans="42:42" ht="12" customHeight="1" x14ac:dyDescent="0.25">
      <c r="AP1899" s="15" t="str">
        <f t="shared" si="29"/>
        <v/>
      </c>
    </row>
    <row r="1900" spans="42:42" ht="12" customHeight="1" x14ac:dyDescent="0.25">
      <c r="AP1900" s="15" t="str">
        <f t="shared" si="29"/>
        <v/>
      </c>
    </row>
    <row r="1901" spans="42:42" ht="12" customHeight="1" x14ac:dyDescent="0.25">
      <c r="AP1901" s="15" t="str">
        <f t="shared" si="29"/>
        <v/>
      </c>
    </row>
    <row r="1902" spans="42:42" ht="12" customHeight="1" x14ac:dyDescent="0.25">
      <c r="AP1902" s="15" t="str">
        <f t="shared" si="29"/>
        <v/>
      </c>
    </row>
    <row r="1903" spans="42:42" ht="12" customHeight="1" x14ac:dyDescent="0.25">
      <c r="AP1903" s="15" t="str">
        <f t="shared" si="29"/>
        <v/>
      </c>
    </row>
    <row r="1904" spans="42:42" ht="12" customHeight="1" x14ac:dyDescent="0.25">
      <c r="AP1904" s="15" t="str">
        <f t="shared" si="29"/>
        <v/>
      </c>
    </row>
    <row r="1905" spans="42:42" ht="12" customHeight="1" x14ac:dyDescent="0.25">
      <c r="AP1905" s="15" t="str">
        <f t="shared" si="29"/>
        <v/>
      </c>
    </row>
    <row r="1906" spans="42:42" ht="12" customHeight="1" x14ac:dyDescent="0.25">
      <c r="AP1906" s="15" t="str">
        <f t="shared" si="29"/>
        <v/>
      </c>
    </row>
    <row r="1907" spans="42:42" ht="12" customHeight="1" x14ac:dyDescent="0.25">
      <c r="AP1907" s="15" t="str">
        <f t="shared" si="29"/>
        <v/>
      </c>
    </row>
    <row r="1908" spans="42:42" ht="12" customHeight="1" x14ac:dyDescent="0.25">
      <c r="AP1908" s="15" t="str">
        <f t="shared" si="29"/>
        <v/>
      </c>
    </row>
    <row r="1909" spans="42:42" ht="12" customHeight="1" x14ac:dyDescent="0.25">
      <c r="AP1909" s="15" t="str">
        <f t="shared" si="29"/>
        <v/>
      </c>
    </row>
    <row r="1910" spans="42:42" ht="12" customHeight="1" x14ac:dyDescent="0.25">
      <c r="AP1910" s="15" t="str">
        <f t="shared" si="29"/>
        <v/>
      </c>
    </row>
    <row r="1911" spans="42:42" ht="12" customHeight="1" x14ac:dyDescent="0.25">
      <c r="AP1911" s="15" t="str">
        <f t="shared" si="29"/>
        <v/>
      </c>
    </row>
    <row r="1912" spans="42:42" ht="12" customHeight="1" x14ac:dyDescent="0.25">
      <c r="AP1912" s="15" t="str">
        <f t="shared" si="29"/>
        <v/>
      </c>
    </row>
    <row r="1913" spans="42:42" ht="12" customHeight="1" x14ac:dyDescent="0.25">
      <c r="AP1913" s="15" t="str">
        <f t="shared" si="29"/>
        <v/>
      </c>
    </row>
    <row r="1914" spans="42:42" ht="12" customHeight="1" x14ac:dyDescent="0.25">
      <c r="AP1914" s="15" t="str">
        <f t="shared" si="29"/>
        <v/>
      </c>
    </row>
    <row r="1915" spans="42:42" ht="12" customHeight="1" x14ac:dyDescent="0.25">
      <c r="AP1915" s="15" t="str">
        <f t="shared" si="29"/>
        <v/>
      </c>
    </row>
    <row r="1916" spans="42:42" ht="12" customHeight="1" x14ac:dyDescent="0.25">
      <c r="AP1916" s="15" t="str">
        <f t="shared" si="29"/>
        <v/>
      </c>
    </row>
    <row r="1917" spans="42:42" ht="12" customHeight="1" x14ac:dyDescent="0.25">
      <c r="AP1917" s="15" t="str">
        <f t="shared" si="29"/>
        <v/>
      </c>
    </row>
    <row r="1918" spans="42:42" ht="12" customHeight="1" x14ac:dyDescent="0.25">
      <c r="AP1918" s="15" t="str">
        <f t="shared" si="29"/>
        <v/>
      </c>
    </row>
    <row r="1919" spans="42:42" ht="12" customHeight="1" x14ac:dyDescent="0.25">
      <c r="AP1919" s="15" t="str">
        <f t="shared" si="29"/>
        <v/>
      </c>
    </row>
    <row r="1920" spans="42:42" ht="12" customHeight="1" x14ac:dyDescent="0.25">
      <c r="AP1920" s="15" t="str">
        <f t="shared" si="29"/>
        <v/>
      </c>
    </row>
    <row r="1921" spans="42:42" ht="12" customHeight="1" x14ac:dyDescent="0.25">
      <c r="AP1921" s="15" t="str">
        <f t="shared" si="29"/>
        <v/>
      </c>
    </row>
    <row r="1922" spans="42:42" ht="12" customHeight="1" x14ac:dyDescent="0.25">
      <c r="AP1922" s="15" t="str">
        <f t="shared" si="29"/>
        <v/>
      </c>
    </row>
    <row r="1923" spans="42:42" ht="12" customHeight="1" x14ac:dyDescent="0.25">
      <c r="AP1923" s="15" t="str">
        <f t="shared" si="29"/>
        <v/>
      </c>
    </row>
    <row r="1924" spans="42:42" ht="12" customHeight="1" x14ac:dyDescent="0.25">
      <c r="AP1924" s="15" t="str">
        <f t="shared" si="29"/>
        <v/>
      </c>
    </row>
    <row r="1925" spans="42:42" ht="12" customHeight="1" x14ac:dyDescent="0.25">
      <c r="AP1925" s="15" t="str">
        <f t="shared" si="29"/>
        <v/>
      </c>
    </row>
    <row r="1926" spans="42:42" ht="12" customHeight="1" x14ac:dyDescent="0.25">
      <c r="AP1926" s="15" t="str">
        <f t="shared" si="29"/>
        <v/>
      </c>
    </row>
    <row r="1927" spans="42:42" ht="12" customHeight="1" x14ac:dyDescent="0.25">
      <c r="AP1927" s="15" t="str">
        <f t="shared" si="29"/>
        <v/>
      </c>
    </row>
    <row r="1928" spans="42:42" ht="12" customHeight="1" x14ac:dyDescent="0.25">
      <c r="AP1928" s="15" t="str">
        <f t="shared" ref="AP1928:AP1991" si="30">IF(AO1928="", "", AO1928&amp;"["&amp;AN1928&amp;"]")</f>
        <v/>
      </c>
    </row>
    <row r="1929" spans="42:42" ht="12" customHeight="1" x14ac:dyDescent="0.25">
      <c r="AP1929" s="15" t="str">
        <f t="shared" si="30"/>
        <v/>
      </c>
    </row>
    <row r="1930" spans="42:42" ht="12" customHeight="1" x14ac:dyDescent="0.25">
      <c r="AP1930" s="15" t="str">
        <f t="shared" si="30"/>
        <v/>
      </c>
    </row>
    <row r="1931" spans="42:42" ht="12" customHeight="1" x14ac:dyDescent="0.25">
      <c r="AP1931" s="15" t="str">
        <f t="shared" si="30"/>
        <v/>
      </c>
    </row>
    <row r="1932" spans="42:42" ht="12" customHeight="1" x14ac:dyDescent="0.25">
      <c r="AP1932" s="15" t="str">
        <f t="shared" si="30"/>
        <v/>
      </c>
    </row>
    <row r="1933" spans="42:42" ht="12" customHeight="1" x14ac:dyDescent="0.25">
      <c r="AP1933" s="15" t="str">
        <f t="shared" si="30"/>
        <v/>
      </c>
    </row>
    <row r="1934" spans="42:42" ht="12" customHeight="1" x14ac:dyDescent="0.25">
      <c r="AP1934" s="15" t="str">
        <f t="shared" si="30"/>
        <v/>
      </c>
    </row>
    <row r="1935" spans="42:42" ht="12" customHeight="1" x14ac:dyDescent="0.25">
      <c r="AP1935" s="15" t="str">
        <f t="shared" si="30"/>
        <v/>
      </c>
    </row>
    <row r="1936" spans="42:42" ht="12" customHeight="1" x14ac:dyDescent="0.25">
      <c r="AP1936" s="15" t="str">
        <f t="shared" si="30"/>
        <v/>
      </c>
    </row>
    <row r="1937" spans="42:42" ht="12" customHeight="1" x14ac:dyDescent="0.25">
      <c r="AP1937" s="15" t="str">
        <f t="shared" si="30"/>
        <v/>
      </c>
    </row>
    <row r="1938" spans="42:42" ht="12" customHeight="1" x14ac:dyDescent="0.25">
      <c r="AP1938" s="15" t="str">
        <f t="shared" si="30"/>
        <v/>
      </c>
    </row>
    <row r="1939" spans="42:42" ht="12" customHeight="1" x14ac:dyDescent="0.25">
      <c r="AP1939" s="15" t="str">
        <f t="shared" si="30"/>
        <v/>
      </c>
    </row>
    <row r="1940" spans="42:42" ht="12" customHeight="1" x14ac:dyDescent="0.25">
      <c r="AP1940" s="15" t="str">
        <f t="shared" si="30"/>
        <v/>
      </c>
    </row>
    <row r="1941" spans="42:42" ht="12" customHeight="1" x14ac:dyDescent="0.25">
      <c r="AP1941" s="15" t="str">
        <f t="shared" si="30"/>
        <v/>
      </c>
    </row>
    <row r="1942" spans="42:42" ht="12" customHeight="1" x14ac:dyDescent="0.25">
      <c r="AP1942" s="15" t="str">
        <f t="shared" si="30"/>
        <v/>
      </c>
    </row>
    <row r="1943" spans="42:42" ht="12" customHeight="1" x14ac:dyDescent="0.25">
      <c r="AP1943" s="15" t="str">
        <f t="shared" si="30"/>
        <v/>
      </c>
    </row>
    <row r="1944" spans="42:42" ht="12" customHeight="1" x14ac:dyDescent="0.25">
      <c r="AP1944" s="15" t="str">
        <f t="shared" si="30"/>
        <v/>
      </c>
    </row>
    <row r="1945" spans="42:42" ht="12" customHeight="1" x14ac:dyDescent="0.25">
      <c r="AP1945" s="15" t="str">
        <f t="shared" si="30"/>
        <v/>
      </c>
    </row>
    <row r="1946" spans="42:42" ht="12" customHeight="1" x14ac:dyDescent="0.25">
      <c r="AP1946" s="15" t="str">
        <f t="shared" si="30"/>
        <v/>
      </c>
    </row>
    <row r="1947" spans="42:42" ht="12" customHeight="1" x14ac:dyDescent="0.25">
      <c r="AP1947" s="15" t="str">
        <f t="shared" si="30"/>
        <v/>
      </c>
    </row>
    <row r="1948" spans="42:42" ht="12" customHeight="1" x14ac:dyDescent="0.25">
      <c r="AP1948" s="15" t="str">
        <f t="shared" si="30"/>
        <v/>
      </c>
    </row>
    <row r="1949" spans="42:42" ht="12" customHeight="1" x14ac:dyDescent="0.25">
      <c r="AP1949" s="15" t="str">
        <f t="shared" si="30"/>
        <v/>
      </c>
    </row>
    <row r="1950" spans="42:42" ht="12" customHeight="1" x14ac:dyDescent="0.25">
      <c r="AP1950" s="15" t="str">
        <f t="shared" si="30"/>
        <v/>
      </c>
    </row>
    <row r="1951" spans="42:42" ht="12" customHeight="1" x14ac:dyDescent="0.25">
      <c r="AP1951" s="15" t="str">
        <f t="shared" si="30"/>
        <v/>
      </c>
    </row>
    <row r="1952" spans="42:42" ht="12" customHeight="1" x14ac:dyDescent="0.25">
      <c r="AP1952" s="15" t="str">
        <f t="shared" si="30"/>
        <v/>
      </c>
    </row>
    <row r="1953" spans="42:42" ht="12" customHeight="1" x14ac:dyDescent="0.25">
      <c r="AP1953" s="15" t="str">
        <f t="shared" si="30"/>
        <v/>
      </c>
    </row>
    <row r="1954" spans="42:42" ht="12" customHeight="1" x14ac:dyDescent="0.25">
      <c r="AP1954" s="15" t="str">
        <f t="shared" si="30"/>
        <v/>
      </c>
    </row>
    <row r="1955" spans="42:42" ht="12" customHeight="1" x14ac:dyDescent="0.25">
      <c r="AP1955" s="15" t="str">
        <f t="shared" si="30"/>
        <v/>
      </c>
    </row>
    <row r="1956" spans="42:42" ht="12" customHeight="1" x14ac:dyDescent="0.25">
      <c r="AP1956" s="15" t="str">
        <f t="shared" si="30"/>
        <v/>
      </c>
    </row>
    <row r="1957" spans="42:42" ht="12" customHeight="1" x14ac:dyDescent="0.25">
      <c r="AP1957" s="15" t="str">
        <f t="shared" si="30"/>
        <v/>
      </c>
    </row>
    <row r="1958" spans="42:42" ht="12" customHeight="1" x14ac:dyDescent="0.25">
      <c r="AP1958" s="15" t="str">
        <f t="shared" si="30"/>
        <v/>
      </c>
    </row>
    <row r="1959" spans="42:42" ht="12" customHeight="1" x14ac:dyDescent="0.25">
      <c r="AP1959" s="15" t="str">
        <f t="shared" si="30"/>
        <v/>
      </c>
    </row>
    <row r="1960" spans="42:42" ht="12" customHeight="1" x14ac:dyDescent="0.25">
      <c r="AP1960" s="15" t="str">
        <f t="shared" si="30"/>
        <v/>
      </c>
    </row>
    <row r="1961" spans="42:42" ht="12" customHeight="1" x14ac:dyDescent="0.25">
      <c r="AP1961" s="15" t="str">
        <f t="shared" si="30"/>
        <v/>
      </c>
    </row>
    <row r="1962" spans="42:42" ht="12" customHeight="1" x14ac:dyDescent="0.25">
      <c r="AP1962" s="15" t="str">
        <f t="shared" si="30"/>
        <v/>
      </c>
    </row>
    <row r="1963" spans="42:42" ht="12" customHeight="1" x14ac:dyDescent="0.25">
      <c r="AP1963" s="15" t="str">
        <f t="shared" si="30"/>
        <v/>
      </c>
    </row>
    <row r="1964" spans="42:42" ht="12" customHeight="1" x14ac:dyDescent="0.25">
      <c r="AP1964" s="15" t="str">
        <f t="shared" si="30"/>
        <v/>
      </c>
    </row>
    <row r="1965" spans="42:42" ht="12" customHeight="1" x14ac:dyDescent="0.25">
      <c r="AP1965" s="15" t="str">
        <f t="shared" si="30"/>
        <v/>
      </c>
    </row>
    <row r="1966" spans="42:42" ht="12" customHeight="1" x14ac:dyDescent="0.25">
      <c r="AP1966" s="15" t="str">
        <f t="shared" si="30"/>
        <v/>
      </c>
    </row>
    <row r="1967" spans="42:42" ht="12" customHeight="1" x14ac:dyDescent="0.25">
      <c r="AP1967" s="15" t="str">
        <f t="shared" si="30"/>
        <v/>
      </c>
    </row>
    <row r="1968" spans="42:42" ht="12" customHeight="1" x14ac:dyDescent="0.25">
      <c r="AP1968" s="15" t="str">
        <f t="shared" si="30"/>
        <v/>
      </c>
    </row>
    <row r="1969" spans="42:42" ht="12" customHeight="1" x14ac:dyDescent="0.25">
      <c r="AP1969" s="15" t="str">
        <f t="shared" si="30"/>
        <v/>
      </c>
    </row>
    <row r="1970" spans="42:42" ht="12" customHeight="1" x14ac:dyDescent="0.25">
      <c r="AP1970" s="15" t="str">
        <f t="shared" si="30"/>
        <v/>
      </c>
    </row>
    <row r="1971" spans="42:42" ht="12" customHeight="1" x14ac:dyDescent="0.25">
      <c r="AP1971" s="15" t="str">
        <f t="shared" si="30"/>
        <v/>
      </c>
    </row>
    <row r="1972" spans="42:42" ht="12" customHeight="1" x14ac:dyDescent="0.25">
      <c r="AP1972" s="15" t="str">
        <f t="shared" si="30"/>
        <v/>
      </c>
    </row>
    <row r="1973" spans="42:42" ht="12" customHeight="1" x14ac:dyDescent="0.25">
      <c r="AP1973" s="15" t="str">
        <f t="shared" si="30"/>
        <v/>
      </c>
    </row>
    <row r="1974" spans="42:42" ht="12" customHeight="1" x14ac:dyDescent="0.25">
      <c r="AP1974" s="15" t="str">
        <f t="shared" si="30"/>
        <v/>
      </c>
    </row>
    <row r="1975" spans="42:42" ht="12" customHeight="1" x14ac:dyDescent="0.25">
      <c r="AP1975" s="15" t="str">
        <f t="shared" si="30"/>
        <v/>
      </c>
    </row>
    <row r="1976" spans="42:42" ht="12" customHeight="1" x14ac:dyDescent="0.25">
      <c r="AP1976" s="15" t="str">
        <f t="shared" si="30"/>
        <v/>
      </c>
    </row>
    <row r="1977" spans="42:42" ht="12" customHeight="1" x14ac:dyDescent="0.25">
      <c r="AP1977" s="15" t="str">
        <f t="shared" si="30"/>
        <v/>
      </c>
    </row>
    <row r="1978" spans="42:42" ht="12" customHeight="1" x14ac:dyDescent="0.25">
      <c r="AP1978" s="15" t="str">
        <f t="shared" si="30"/>
        <v/>
      </c>
    </row>
    <row r="1979" spans="42:42" ht="12" customHeight="1" x14ac:dyDescent="0.25">
      <c r="AP1979" s="15" t="str">
        <f t="shared" si="30"/>
        <v/>
      </c>
    </row>
    <row r="1980" spans="42:42" ht="12" customHeight="1" x14ac:dyDescent="0.25">
      <c r="AP1980" s="15" t="str">
        <f t="shared" si="30"/>
        <v/>
      </c>
    </row>
    <row r="1981" spans="42:42" ht="12" customHeight="1" x14ac:dyDescent="0.25">
      <c r="AP1981" s="15" t="str">
        <f t="shared" si="30"/>
        <v/>
      </c>
    </row>
    <row r="1982" spans="42:42" ht="12" customHeight="1" x14ac:dyDescent="0.25">
      <c r="AP1982" s="15" t="str">
        <f t="shared" si="30"/>
        <v/>
      </c>
    </row>
    <row r="1983" spans="42:42" ht="12" customHeight="1" x14ac:dyDescent="0.25">
      <c r="AP1983" s="15" t="str">
        <f t="shared" si="30"/>
        <v/>
      </c>
    </row>
    <row r="1984" spans="42:42" ht="12" customHeight="1" x14ac:dyDescent="0.25">
      <c r="AP1984" s="15" t="str">
        <f t="shared" si="30"/>
        <v/>
      </c>
    </row>
    <row r="1985" spans="42:42" ht="12" customHeight="1" x14ac:dyDescent="0.25">
      <c r="AP1985" s="15" t="str">
        <f t="shared" si="30"/>
        <v/>
      </c>
    </row>
    <row r="1986" spans="42:42" ht="12" customHeight="1" x14ac:dyDescent="0.25">
      <c r="AP1986" s="15" t="str">
        <f t="shared" si="30"/>
        <v/>
      </c>
    </row>
    <row r="1987" spans="42:42" ht="12" customHeight="1" x14ac:dyDescent="0.25">
      <c r="AP1987" s="15" t="str">
        <f t="shared" si="30"/>
        <v/>
      </c>
    </row>
    <row r="1988" spans="42:42" ht="12" customHeight="1" x14ac:dyDescent="0.25">
      <c r="AP1988" s="15" t="str">
        <f t="shared" si="30"/>
        <v/>
      </c>
    </row>
    <row r="1989" spans="42:42" ht="12" customHeight="1" x14ac:dyDescent="0.25">
      <c r="AP1989" s="15" t="str">
        <f t="shared" si="30"/>
        <v/>
      </c>
    </row>
    <row r="1990" spans="42:42" ht="12" customHeight="1" x14ac:dyDescent="0.25">
      <c r="AP1990" s="15" t="str">
        <f t="shared" si="30"/>
        <v/>
      </c>
    </row>
    <row r="1991" spans="42:42" ht="12" customHeight="1" x14ac:dyDescent="0.25">
      <c r="AP1991" s="15" t="str">
        <f t="shared" si="30"/>
        <v/>
      </c>
    </row>
    <row r="1992" spans="42:42" ht="12" customHeight="1" x14ac:dyDescent="0.25">
      <c r="AP1992" s="15" t="str">
        <f t="shared" ref="AP1992:AP2055" si="31">IF(AO1992="", "", AO1992&amp;"["&amp;AN1992&amp;"]")</f>
        <v/>
      </c>
    </row>
    <row r="1993" spans="42:42" ht="12" customHeight="1" x14ac:dyDescent="0.25">
      <c r="AP1993" s="15" t="str">
        <f t="shared" si="31"/>
        <v/>
      </c>
    </row>
    <row r="1994" spans="42:42" ht="12" customHeight="1" x14ac:dyDescent="0.25">
      <c r="AP1994" s="15" t="str">
        <f t="shared" si="31"/>
        <v/>
      </c>
    </row>
    <row r="1995" spans="42:42" ht="12" customHeight="1" x14ac:dyDescent="0.25">
      <c r="AP1995" s="15" t="str">
        <f t="shared" si="31"/>
        <v/>
      </c>
    </row>
    <row r="1996" spans="42:42" ht="12" customHeight="1" x14ac:dyDescent="0.25">
      <c r="AP1996" s="15" t="str">
        <f t="shared" si="31"/>
        <v/>
      </c>
    </row>
    <row r="1997" spans="42:42" ht="12" customHeight="1" x14ac:dyDescent="0.25">
      <c r="AP1997" s="15" t="str">
        <f t="shared" si="31"/>
        <v/>
      </c>
    </row>
    <row r="1998" spans="42:42" ht="12" customHeight="1" x14ac:dyDescent="0.25">
      <c r="AP1998" s="15" t="str">
        <f t="shared" si="31"/>
        <v/>
      </c>
    </row>
    <row r="1999" spans="42:42" ht="12" customHeight="1" x14ac:dyDescent="0.25">
      <c r="AP1999" s="15" t="str">
        <f t="shared" si="31"/>
        <v/>
      </c>
    </row>
    <row r="2000" spans="42:42" ht="12" customHeight="1" x14ac:dyDescent="0.25">
      <c r="AP2000" s="15" t="str">
        <f t="shared" si="31"/>
        <v/>
      </c>
    </row>
    <row r="2001" spans="42:42" ht="12" customHeight="1" x14ac:dyDescent="0.25">
      <c r="AP2001" s="15" t="str">
        <f t="shared" si="31"/>
        <v/>
      </c>
    </row>
    <row r="2002" spans="42:42" ht="12" customHeight="1" x14ac:dyDescent="0.25">
      <c r="AP2002" s="15" t="str">
        <f t="shared" si="31"/>
        <v/>
      </c>
    </row>
    <row r="2003" spans="42:42" ht="12" customHeight="1" x14ac:dyDescent="0.25">
      <c r="AP2003" s="15" t="str">
        <f t="shared" si="31"/>
        <v/>
      </c>
    </row>
    <row r="2004" spans="42:42" ht="12" customHeight="1" x14ac:dyDescent="0.25">
      <c r="AP2004" s="15" t="str">
        <f t="shared" si="31"/>
        <v/>
      </c>
    </row>
    <row r="2005" spans="42:42" ht="12" customHeight="1" x14ac:dyDescent="0.25">
      <c r="AP2005" s="15" t="str">
        <f t="shared" si="31"/>
        <v/>
      </c>
    </row>
    <row r="2006" spans="42:42" ht="12" customHeight="1" x14ac:dyDescent="0.25">
      <c r="AP2006" s="15" t="str">
        <f t="shared" si="31"/>
        <v/>
      </c>
    </row>
    <row r="2007" spans="42:42" ht="12" customHeight="1" x14ac:dyDescent="0.25">
      <c r="AP2007" s="15" t="str">
        <f t="shared" si="31"/>
        <v/>
      </c>
    </row>
    <row r="2008" spans="42:42" ht="12" customHeight="1" x14ac:dyDescent="0.25">
      <c r="AP2008" s="15" t="str">
        <f t="shared" si="31"/>
        <v/>
      </c>
    </row>
    <row r="2009" spans="42:42" ht="12" customHeight="1" x14ac:dyDescent="0.25">
      <c r="AP2009" s="15" t="str">
        <f t="shared" si="31"/>
        <v/>
      </c>
    </row>
    <row r="2010" spans="42:42" ht="12" customHeight="1" x14ac:dyDescent="0.25">
      <c r="AP2010" s="15" t="str">
        <f t="shared" si="31"/>
        <v/>
      </c>
    </row>
    <row r="2011" spans="42:42" ht="12" customHeight="1" x14ac:dyDescent="0.25">
      <c r="AP2011" s="15" t="str">
        <f t="shared" si="31"/>
        <v/>
      </c>
    </row>
    <row r="2012" spans="42:42" ht="12" customHeight="1" x14ac:dyDescent="0.25">
      <c r="AP2012" s="15" t="str">
        <f t="shared" si="31"/>
        <v/>
      </c>
    </row>
    <row r="2013" spans="42:42" ht="12" customHeight="1" x14ac:dyDescent="0.25">
      <c r="AP2013" s="15" t="str">
        <f t="shared" si="31"/>
        <v/>
      </c>
    </row>
    <row r="2014" spans="42:42" ht="12" customHeight="1" x14ac:dyDescent="0.25">
      <c r="AP2014" s="15" t="str">
        <f t="shared" si="31"/>
        <v/>
      </c>
    </row>
    <row r="2015" spans="42:42" ht="12" customHeight="1" x14ac:dyDescent="0.25">
      <c r="AP2015" s="15" t="str">
        <f t="shared" si="31"/>
        <v/>
      </c>
    </row>
    <row r="2016" spans="42:42" ht="12" customHeight="1" x14ac:dyDescent="0.25">
      <c r="AP2016" s="15" t="str">
        <f t="shared" si="31"/>
        <v/>
      </c>
    </row>
    <row r="2017" spans="42:42" ht="12" customHeight="1" x14ac:dyDescent="0.25">
      <c r="AP2017" s="15" t="str">
        <f t="shared" si="31"/>
        <v/>
      </c>
    </row>
    <row r="2018" spans="42:42" ht="12" customHeight="1" x14ac:dyDescent="0.25">
      <c r="AP2018" s="15" t="str">
        <f t="shared" si="31"/>
        <v/>
      </c>
    </row>
    <row r="2019" spans="42:42" ht="12" customHeight="1" x14ac:dyDescent="0.25">
      <c r="AP2019" s="15" t="str">
        <f t="shared" si="31"/>
        <v/>
      </c>
    </row>
    <row r="2020" spans="42:42" ht="12" customHeight="1" x14ac:dyDescent="0.25">
      <c r="AP2020" s="15" t="str">
        <f t="shared" si="31"/>
        <v/>
      </c>
    </row>
    <row r="2021" spans="42:42" ht="12" customHeight="1" x14ac:dyDescent="0.25">
      <c r="AP2021" s="15" t="str">
        <f t="shared" si="31"/>
        <v/>
      </c>
    </row>
    <row r="2022" spans="42:42" ht="12" customHeight="1" x14ac:dyDescent="0.25">
      <c r="AP2022" s="15" t="str">
        <f t="shared" si="31"/>
        <v/>
      </c>
    </row>
    <row r="2023" spans="42:42" ht="12" customHeight="1" x14ac:dyDescent="0.25">
      <c r="AP2023" s="15" t="str">
        <f t="shared" si="31"/>
        <v/>
      </c>
    </row>
    <row r="2024" spans="42:42" ht="12" customHeight="1" x14ac:dyDescent="0.25">
      <c r="AP2024" s="15" t="str">
        <f t="shared" si="31"/>
        <v/>
      </c>
    </row>
    <row r="2025" spans="42:42" ht="12" customHeight="1" x14ac:dyDescent="0.25">
      <c r="AP2025" s="15" t="str">
        <f t="shared" si="31"/>
        <v/>
      </c>
    </row>
    <row r="2026" spans="42:42" ht="12" customHeight="1" x14ac:dyDescent="0.25">
      <c r="AP2026" s="15" t="str">
        <f t="shared" si="31"/>
        <v/>
      </c>
    </row>
    <row r="2027" spans="42:42" ht="12" customHeight="1" x14ac:dyDescent="0.25">
      <c r="AP2027" s="15" t="str">
        <f t="shared" si="31"/>
        <v/>
      </c>
    </row>
    <row r="2028" spans="42:42" ht="12" customHeight="1" x14ac:dyDescent="0.25">
      <c r="AP2028" s="15" t="str">
        <f t="shared" si="31"/>
        <v/>
      </c>
    </row>
    <row r="2029" spans="42:42" ht="12" customHeight="1" x14ac:dyDescent="0.25">
      <c r="AP2029" s="15" t="str">
        <f t="shared" si="31"/>
        <v/>
      </c>
    </row>
    <row r="2030" spans="42:42" ht="12" customHeight="1" x14ac:dyDescent="0.25">
      <c r="AP2030" s="15" t="str">
        <f t="shared" si="31"/>
        <v/>
      </c>
    </row>
    <row r="2031" spans="42:42" ht="12" customHeight="1" x14ac:dyDescent="0.25">
      <c r="AP2031" s="15" t="str">
        <f t="shared" si="31"/>
        <v/>
      </c>
    </row>
    <row r="2032" spans="42:42" ht="12" customHeight="1" x14ac:dyDescent="0.25">
      <c r="AP2032" s="15" t="str">
        <f t="shared" si="31"/>
        <v/>
      </c>
    </row>
    <row r="2033" spans="42:42" ht="12" customHeight="1" x14ac:dyDescent="0.25">
      <c r="AP2033" s="15" t="str">
        <f t="shared" si="31"/>
        <v/>
      </c>
    </row>
    <row r="2034" spans="42:42" ht="12" customHeight="1" x14ac:dyDescent="0.25">
      <c r="AP2034" s="15" t="str">
        <f t="shared" si="31"/>
        <v/>
      </c>
    </row>
    <row r="2035" spans="42:42" ht="12" customHeight="1" x14ac:dyDescent="0.25">
      <c r="AP2035" s="15" t="str">
        <f t="shared" si="31"/>
        <v/>
      </c>
    </row>
    <row r="2036" spans="42:42" ht="12" customHeight="1" x14ac:dyDescent="0.25">
      <c r="AP2036" s="15" t="str">
        <f t="shared" si="31"/>
        <v/>
      </c>
    </row>
    <row r="2037" spans="42:42" ht="12" customHeight="1" x14ac:dyDescent="0.25">
      <c r="AP2037" s="15" t="str">
        <f t="shared" si="31"/>
        <v/>
      </c>
    </row>
    <row r="2038" spans="42:42" ht="12" customHeight="1" x14ac:dyDescent="0.25">
      <c r="AP2038" s="15" t="str">
        <f t="shared" si="31"/>
        <v/>
      </c>
    </row>
    <row r="2039" spans="42:42" ht="12" customHeight="1" x14ac:dyDescent="0.25">
      <c r="AP2039" s="15" t="str">
        <f t="shared" si="31"/>
        <v/>
      </c>
    </row>
    <row r="2040" spans="42:42" ht="12" customHeight="1" x14ac:dyDescent="0.25">
      <c r="AP2040" s="15" t="str">
        <f t="shared" si="31"/>
        <v/>
      </c>
    </row>
    <row r="2041" spans="42:42" ht="12" customHeight="1" x14ac:dyDescent="0.25">
      <c r="AP2041" s="15" t="str">
        <f t="shared" si="31"/>
        <v/>
      </c>
    </row>
    <row r="2042" spans="42:42" ht="12" customHeight="1" x14ac:dyDescent="0.25">
      <c r="AP2042" s="15" t="str">
        <f t="shared" si="31"/>
        <v/>
      </c>
    </row>
    <row r="2043" spans="42:42" ht="12" customHeight="1" x14ac:dyDescent="0.25">
      <c r="AP2043" s="15" t="str">
        <f t="shared" si="31"/>
        <v/>
      </c>
    </row>
    <row r="2044" spans="42:42" ht="12" customHeight="1" x14ac:dyDescent="0.25">
      <c r="AP2044" s="15" t="str">
        <f t="shared" si="31"/>
        <v/>
      </c>
    </row>
    <row r="2045" spans="42:42" ht="12" customHeight="1" x14ac:dyDescent="0.25">
      <c r="AP2045" s="15" t="str">
        <f t="shared" si="31"/>
        <v/>
      </c>
    </row>
    <row r="2046" spans="42:42" ht="12" customHeight="1" x14ac:dyDescent="0.25">
      <c r="AP2046" s="15" t="str">
        <f t="shared" si="31"/>
        <v/>
      </c>
    </row>
    <row r="2047" spans="42:42" ht="12" customHeight="1" x14ac:dyDescent="0.25">
      <c r="AP2047" s="15" t="str">
        <f t="shared" si="31"/>
        <v/>
      </c>
    </row>
    <row r="2048" spans="42:42" ht="12" customHeight="1" x14ac:dyDescent="0.25">
      <c r="AP2048" s="15" t="str">
        <f t="shared" si="31"/>
        <v/>
      </c>
    </row>
    <row r="2049" spans="42:42" ht="12" customHeight="1" x14ac:dyDescent="0.25">
      <c r="AP2049" s="15" t="str">
        <f t="shared" si="31"/>
        <v/>
      </c>
    </row>
    <row r="2050" spans="42:42" ht="12" customHeight="1" x14ac:dyDescent="0.25">
      <c r="AP2050" s="15" t="str">
        <f t="shared" si="31"/>
        <v/>
      </c>
    </row>
    <row r="2051" spans="42:42" ht="12" customHeight="1" x14ac:dyDescent="0.25">
      <c r="AP2051" s="15" t="str">
        <f t="shared" si="31"/>
        <v/>
      </c>
    </row>
    <row r="2052" spans="42:42" ht="12" customHeight="1" x14ac:dyDescent="0.25">
      <c r="AP2052" s="15" t="str">
        <f t="shared" si="31"/>
        <v/>
      </c>
    </row>
    <row r="2053" spans="42:42" ht="12" customHeight="1" x14ac:dyDescent="0.25">
      <c r="AP2053" s="15" t="str">
        <f t="shared" si="31"/>
        <v/>
      </c>
    </row>
    <row r="2054" spans="42:42" ht="12" customHeight="1" x14ac:dyDescent="0.25">
      <c r="AP2054" s="15" t="str">
        <f t="shared" si="31"/>
        <v/>
      </c>
    </row>
    <row r="2055" spans="42:42" ht="12" customHeight="1" x14ac:dyDescent="0.25">
      <c r="AP2055" s="15" t="str">
        <f t="shared" si="31"/>
        <v/>
      </c>
    </row>
    <row r="2056" spans="42:42" ht="12" customHeight="1" x14ac:dyDescent="0.25">
      <c r="AP2056" s="15" t="str">
        <f t="shared" ref="AP2056:AP2119" si="32">IF(AO2056="", "", AO2056&amp;"["&amp;AN2056&amp;"]")</f>
        <v/>
      </c>
    </row>
    <row r="2057" spans="42:42" ht="12" customHeight="1" x14ac:dyDescent="0.25">
      <c r="AP2057" s="15" t="str">
        <f t="shared" si="32"/>
        <v/>
      </c>
    </row>
    <row r="2058" spans="42:42" ht="12" customHeight="1" x14ac:dyDescent="0.25">
      <c r="AP2058" s="15" t="str">
        <f t="shared" si="32"/>
        <v/>
      </c>
    </row>
    <row r="2059" spans="42:42" ht="12" customHeight="1" x14ac:dyDescent="0.25">
      <c r="AP2059" s="15" t="str">
        <f t="shared" si="32"/>
        <v/>
      </c>
    </row>
    <row r="2060" spans="42:42" ht="12" customHeight="1" x14ac:dyDescent="0.25">
      <c r="AP2060" s="15" t="str">
        <f t="shared" si="32"/>
        <v/>
      </c>
    </row>
    <row r="2061" spans="42:42" ht="12" customHeight="1" x14ac:dyDescent="0.25">
      <c r="AP2061" s="15" t="str">
        <f t="shared" si="32"/>
        <v/>
      </c>
    </row>
    <row r="2062" spans="42:42" ht="12" customHeight="1" x14ac:dyDescent="0.25">
      <c r="AP2062" s="15" t="str">
        <f t="shared" si="32"/>
        <v/>
      </c>
    </row>
    <row r="2063" spans="42:42" ht="12" customHeight="1" x14ac:dyDescent="0.25">
      <c r="AP2063" s="15" t="str">
        <f t="shared" si="32"/>
        <v/>
      </c>
    </row>
    <row r="2064" spans="42:42" ht="12" customHeight="1" x14ac:dyDescent="0.25">
      <c r="AP2064" s="15" t="str">
        <f t="shared" si="32"/>
        <v/>
      </c>
    </row>
    <row r="2065" spans="42:42" ht="12" customHeight="1" x14ac:dyDescent="0.25">
      <c r="AP2065" s="15" t="str">
        <f t="shared" si="32"/>
        <v/>
      </c>
    </row>
    <row r="2066" spans="42:42" ht="12" customHeight="1" x14ac:dyDescent="0.25">
      <c r="AP2066" s="15" t="str">
        <f t="shared" si="32"/>
        <v/>
      </c>
    </row>
    <row r="2067" spans="42:42" ht="12" customHeight="1" x14ac:dyDescent="0.25">
      <c r="AP2067" s="15" t="str">
        <f t="shared" si="32"/>
        <v/>
      </c>
    </row>
    <row r="2068" spans="42:42" ht="12" customHeight="1" x14ac:dyDescent="0.25">
      <c r="AP2068" s="15" t="str">
        <f t="shared" si="32"/>
        <v/>
      </c>
    </row>
    <row r="2069" spans="42:42" ht="12" customHeight="1" x14ac:dyDescent="0.25">
      <c r="AP2069" s="15" t="str">
        <f t="shared" si="32"/>
        <v/>
      </c>
    </row>
    <row r="2070" spans="42:42" ht="12" customHeight="1" x14ac:dyDescent="0.25">
      <c r="AP2070" s="15" t="str">
        <f t="shared" si="32"/>
        <v/>
      </c>
    </row>
    <row r="2071" spans="42:42" ht="12" customHeight="1" x14ac:dyDescent="0.25">
      <c r="AP2071" s="15" t="str">
        <f t="shared" si="32"/>
        <v/>
      </c>
    </row>
    <row r="2072" spans="42:42" ht="12" customHeight="1" x14ac:dyDescent="0.25">
      <c r="AP2072" s="15" t="str">
        <f t="shared" si="32"/>
        <v/>
      </c>
    </row>
    <row r="2073" spans="42:42" ht="12" customHeight="1" x14ac:dyDescent="0.25">
      <c r="AP2073" s="15" t="str">
        <f t="shared" si="32"/>
        <v/>
      </c>
    </row>
    <row r="2074" spans="42:42" ht="12" customHeight="1" x14ac:dyDescent="0.25">
      <c r="AP2074" s="15" t="str">
        <f t="shared" si="32"/>
        <v/>
      </c>
    </row>
    <row r="2075" spans="42:42" ht="12" customHeight="1" x14ac:dyDescent="0.25">
      <c r="AP2075" s="15" t="str">
        <f t="shared" si="32"/>
        <v/>
      </c>
    </row>
    <row r="2076" spans="42:42" ht="12" customHeight="1" x14ac:dyDescent="0.25">
      <c r="AP2076" s="15" t="str">
        <f t="shared" si="32"/>
        <v/>
      </c>
    </row>
    <row r="2077" spans="42:42" ht="12" customHeight="1" x14ac:dyDescent="0.25">
      <c r="AP2077" s="15" t="str">
        <f t="shared" si="32"/>
        <v/>
      </c>
    </row>
    <row r="2078" spans="42:42" ht="12" customHeight="1" x14ac:dyDescent="0.25">
      <c r="AP2078" s="15" t="str">
        <f t="shared" si="32"/>
        <v/>
      </c>
    </row>
    <row r="2079" spans="42:42" ht="12" customHeight="1" x14ac:dyDescent="0.25">
      <c r="AP2079" s="15" t="str">
        <f t="shared" si="32"/>
        <v/>
      </c>
    </row>
    <row r="2080" spans="42:42" ht="12" customHeight="1" x14ac:dyDescent="0.25">
      <c r="AP2080" s="15" t="str">
        <f t="shared" si="32"/>
        <v/>
      </c>
    </row>
    <row r="2081" spans="42:42" ht="12" customHeight="1" x14ac:dyDescent="0.25">
      <c r="AP2081" s="15" t="str">
        <f t="shared" si="32"/>
        <v/>
      </c>
    </row>
    <row r="2082" spans="42:42" ht="12" customHeight="1" x14ac:dyDescent="0.25">
      <c r="AP2082" s="15" t="str">
        <f t="shared" si="32"/>
        <v/>
      </c>
    </row>
    <row r="2083" spans="42:42" ht="12" customHeight="1" x14ac:dyDescent="0.25">
      <c r="AP2083" s="15" t="str">
        <f t="shared" si="32"/>
        <v/>
      </c>
    </row>
    <row r="2084" spans="42:42" ht="12" customHeight="1" x14ac:dyDescent="0.25">
      <c r="AP2084" s="15" t="str">
        <f t="shared" si="32"/>
        <v/>
      </c>
    </row>
    <row r="2085" spans="42:42" ht="12" customHeight="1" x14ac:dyDescent="0.25">
      <c r="AP2085" s="15" t="str">
        <f t="shared" si="32"/>
        <v/>
      </c>
    </row>
    <row r="2086" spans="42:42" ht="12" customHeight="1" x14ac:dyDescent="0.25">
      <c r="AP2086" s="15" t="str">
        <f t="shared" si="32"/>
        <v/>
      </c>
    </row>
    <row r="2087" spans="42:42" ht="12" customHeight="1" x14ac:dyDescent="0.25">
      <c r="AP2087" s="15" t="str">
        <f t="shared" si="32"/>
        <v/>
      </c>
    </row>
    <row r="2088" spans="42:42" ht="12" customHeight="1" x14ac:dyDescent="0.25">
      <c r="AP2088" s="15" t="str">
        <f t="shared" si="32"/>
        <v/>
      </c>
    </row>
    <row r="2089" spans="42:42" ht="12" customHeight="1" x14ac:dyDescent="0.25">
      <c r="AP2089" s="15" t="str">
        <f t="shared" si="32"/>
        <v/>
      </c>
    </row>
    <row r="2090" spans="42:42" ht="12" customHeight="1" x14ac:dyDescent="0.25">
      <c r="AP2090" s="15" t="str">
        <f t="shared" si="32"/>
        <v/>
      </c>
    </row>
    <row r="2091" spans="42:42" ht="12" customHeight="1" x14ac:dyDescent="0.25">
      <c r="AP2091" s="15" t="str">
        <f t="shared" si="32"/>
        <v/>
      </c>
    </row>
    <row r="2092" spans="42:42" ht="12" customHeight="1" x14ac:dyDescent="0.25">
      <c r="AP2092" s="15" t="str">
        <f t="shared" si="32"/>
        <v/>
      </c>
    </row>
    <row r="2093" spans="42:42" ht="12" customHeight="1" x14ac:dyDescent="0.25">
      <c r="AP2093" s="15" t="str">
        <f t="shared" si="32"/>
        <v/>
      </c>
    </row>
    <row r="2094" spans="42:42" ht="12" customHeight="1" x14ac:dyDescent="0.25">
      <c r="AP2094" s="15" t="str">
        <f t="shared" si="32"/>
        <v/>
      </c>
    </row>
    <row r="2095" spans="42:42" ht="12" customHeight="1" x14ac:dyDescent="0.25">
      <c r="AP2095" s="15" t="str">
        <f t="shared" si="32"/>
        <v/>
      </c>
    </row>
    <row r="2096" spans="42:42" ht="12" customHeight="1" x14ac:dyDescent="0.25">
      <c r="AP2096" s="15" t="str">
        <f t="shared" si="32"/>
        <v/>
      </c>
    </row>
    <row r="2097" spans="42:42" ht="12" customHeight="1" x14ac:dyDescent="0.25">
      <c r="AP2097" s="15" t="str">
        <f t="shared" si="32"/>
        <v/>
      </c>
    </row>
    <row r="2098" spans="42:42" ht="12" customHeight="1" x14ac:dyDescent="0.25">
      <c r="AP2098" s="15" t="str">
        <f t="shared" si="32"/>
        <v/>
      </c>
    </row>
    <row r="2099" spans="42:42" ht="12" customHeight="1" x14ac:dyDescent="0.25">
      <c r="AP2099" s="15" t="str">
        <f t="shared" si="32"/>
        <v/>
      </c>
    </row>
    <row r="2100" spans="42:42" ht="12" customHeight="1" x14ac:dyDescent="0.25">
      <c r="AP2100" s="15" t="str">
        <f t="shared" si="32"/>
        <v/>
      </c>
    </row>
    <row r="2101" spans="42:42" ht="12" customHeight="1" x14ac:dyDescent="0.25">
      <c r="AP2101" s="15" t="str">
        <f t="shared" si="32"/>
        <v/>
      </c>
    </row>
    <row r="2102" spans="42:42" ht="12" customHeight="1" x14ac:dyDescent="0.25">
      <c r="AP2102" s="15" t="str">
        <f t="shared" si="32"/>
        <v/>
      </c>
    </row>
    <row r="2103" spans="42:42" ht="12" customHeight="1" x14ac:dyDescent="0.25">
      <c r="AP2103" s="15" t="str">
        <f t="shared" si="32"/>
        <v/>
      </c>
    </row>
    <row r="2104" spans="42:42" ht="12" customHeight="1" x14ac:dyDescent="0.25">
      <c r="AP2104" s="15" t="str">
        <f t="shared" si="32"/>
        <v/>
      </c>
    </row>
    <row r="2105" spans="42:42" ht="12" customHeight="1" x14ac:dyDescent="0.25">
      <c r="AP2105" s="15" t="str">
        <f t="shared" si="32"/>
        <v/>
      </c>
    </row>
    <row r="2106" spans="42:42" ht="12" customHeight="1" x14ac:dyDescent="0.25">
      <c r="AP2106" s="15" t="str">
        <f t="shared" si="32"/>
        <v/>
      </c>
    </row>
    <row r="2107" spans="42:42" ht="12" customHeight="1" x14ac:dyDescent="0.25">
      <c r="AP2107" s="15" t="str">
        <f t="shared" si="32"/>
        <v/>
      </c>
    </row>
    <row r="2108" spans="42:42" ht="12" customHeight="1" x14ac:dyDescent="0.25">
      <c r="AP2108" s="15" t="str">
        <f t="shared" si="32"/>
        <v/>
      </c>
    </row>
    <row r="2109" spans="42:42" ht="12" customHeight="1" x14ac:dyDescent="0.25">
      <c r="AP2109" s="15" t="str">
        <f t="shared" si="32"/>
        <v/>
      </c>
    </row>
    <row r="2110" spans="42:42" ht="12" customHeight="1" x14ac:dyDescent="0.25">
      <c r="AP2110" s="15" t="str">
        <f t="shared" si="32"/>
        <v/>
      </c>
    </row>
    <row r="2111" spans="42:42" ht="12" customHeight="1" x14ac:dyDescent="0.25">
      <c r="AP2111" s="15" t="str">
        <f t="shared" si="32"/>
        <v/>
      </c>
    </row>
    <row r="2112" spans="42:42" ht="12" customHeight="1" x14ac:dyDescent="0.25">
      <c r="AP2112" s="15" t="str">
        <f t="shared" si="32"/>
        <v/>
      </c>
    </row>
    <row r="2113" spans="42:42" ht="12" customHeight="1" x14ac:dyDescent="0.25">
      <c r="AP2113" s="15" t="str">
        <f t="shared" si="32"/>
        <v/>
      </c>
    </row>
    <row r="2114" spans="42:42" ht="12" customHeight="1" x14ac:dyDescent="0.25">
      <c r="AP2114" s="15" t="str">
        <f t="shared" si="32"/>
        <v/>
      </c>
    </row>
    <row r="2115" spans="42:42" ht="12" customHeight="1" x14ac:dyDescent="0.25">
      <c r="AP2115" s="15" t="str">
        <f t="shared" si="32"/>
        <v/>
      </c>
    </row>
    <row r="2116" spans="42:42" ht="12" customHeight="1" x14ac:dyDescent="0.25">
      <c r="AP2116" s="15" t="str">
        <f t="shared" si="32"/>
        <v/>
      </c>
    </row>
    <row r="2117" spans="42:42" ht="12" customHeight="1" x14ac:dyDescent="0.25">
      <c r="AP2117" s="15" t="str">
        <f t="shared" si="32"/>
        <v/>
      </c>
    </row>
    <row r="2118" spans="42:42" ht="12" customHeight="1" x14ac:dyDescent="0.25">
      <c r="AP2118" s="15" t="str">
        <f t="shared" si="32"/>
        <v/>
      </c>
    </row>
    <row r="2119" spans="42:42" ht="12" customHeight="1" x14ac:dyDescent="0.25">
      <c r="AP2119" s="15" t="str">
        <f t="shared" si="32"/>
        <v/>
      </c>
    </row>
    <row r="2120" spans="42:42" ht="12" customHeight="1" x14ac:dyDescent="0.25">
      <c r="AP2120" s="15" t="str">
        <f t="shared" ref="AP2120:AP2183" si="33">IF(AO2120="", "", AO2120&amp;"["&amp;AN2120&amp;"]")</f>
        <v/>
      </c>
    </row>
    <row r="2121" spans="42:42" ht="12" customHeight="1" x14ac:dyDescent="0.25">
      <c r="AP2121" s="15" t="str">
        <f t="shared" si="33"/>
        <v/>
      </c>
    </row>
    <row r="2122" spans="42:42" ht="12" customHeight="1" x14ac:dyDescent="0.25">
      <c r="AP2122" s="15" t="str">
        <f t="shared" si="33"/>
        <v/>
      </c>
    </row>
    <row r="2123" spans="42:42" ht="12" customHeight="1" x14ac:dyDescent="0.25">
      <c r="AP2123" s="15" t="str">
        <f t="shared" si="33"/>
        <v/>
      </c>
    </row>
    <row r="2124" spans="42:42" ht="12" customHeight="1" x14ac:dyDescent="0.25">
      <c r="AP2124" s="15" t="str">
        <f t="shared" si="33"/>
        <v/>
      </c>
    </row>
    <row r="2125" spans="42:42" ht="12" customHeight="1" x14ac:dyDescent="0.25">
      <c r="AP2125" s="15" t="str">
        <f t="shared" si="33"/>
        <v/>
      </c>
    </row>
    <row r="2126" spans="42:42" ht="12" customHeight="1" x14ac:dyDescent="0.25">
      <c r="AP2126" s="15" t="str">
        <f t="shared" si="33"/>
        <v/>
      </c>
    </row>
    <row r="2127" spans="42:42" ht="12" customHeight="1" x14ac:dyDescent="0.25">
      <c r="AP2127" s="15" t="str">
        <f t="shared" si="33"/>
        <v/>
      </c>
    </row>
    <row r="2128" spans="42:42" ht="12" customHeight="1" x14ac:dyDescent="0.25">
      <c r="AP2128" s="15" t="str">
        <f t="shared" si="33"/>
        <v/>
      </c>
    </row>
    <row r="2129" spans="42:42" ht="12" customHeight="1" x14ac:dyDescent="0.25">
      <c r="AP2129" s="15" t="str">
        <f t="shared" si="33"/>
        <v/>
      </c>
    </row>
    <row r="2130" spans="42:42" ht="12" customHeight="1" x14ac:dyDescent="0.25">
      <c r="AP2130" s="15" t="str">
        <f t="shared" si="33"/>
        <v/>
      </c>
    </row>
    <row r="2131" spans="42:42" ht="12" customHeight="1" x14ac:dyDescent="0.25">
      <c r="AP2131" s="15" t="str">
        <f t="shared" si="33"/>
        <v/>
      </c>
    </row>
    <row r="2132" spans="42:42" ht="12" customHeight="1" x14ac:dyDescent="0.25">
      <c r="AP2132" s="15" t="str">
        <f t="shared" si="33"/>
        <v/>
      </c>
    </row>
    <row r="2133" spans="42:42" ht="12" customHeight="1" x14ac:dyDescent="0.25">
      <c r="AP2133" s="15" t="str">
        <f t="shared" si="33"/>
        <v/>
      </c>
    </row>
    <row r="2134" spans="42:42" ht="12" customHeight="1" x14ac:dyDescent="0.25">
      <c r="AP2134" s="15" t="str">
        <f t="shared" si="33"/>
        <v/>
      </c>
    </row>
    <row r="2135" spans="42:42" ht="12" customHeight="1" x14ac:dyDescent="0.25">
      <c r="AP2135" s="15" t="str">
        <f t="shared" si="33"/>
        <v/>
      </c>
    </row>
    <row r="2136" spans="42:42" ht="12" customHeight="1" x14ac:dyDescent="0.25">
      <c r="AP2136" s="15" t="str">
        <f t="shared" si="33"/>
        <v/>
      </c>
    </row>
    <row r="2137" spans="42:42" ht="12" customHeight="1" x14ac:dyDescent="0.25">
      <c r="AP2137" s="15" t="str">
        <f t="shared" si="33"/>
        <v/>
      </c>
    </row>
    <row r="2138" spans="42:42" ht="12" customHeight="1" x14ac:dyDescent="0.25">
      <c r="AP2138" s="15" t="str">
        <f t="shared" si="33"/>
        <v/>
      </c>
    </row>
    <row r="2139" spans="42:42" ht="12" customHeight="1" x14ac:dyDescent="0.25">
      <c r="AP2139" s="15" t="str">
        <f t="shared" si="33"/>
        <v/>
      </c>
    </row>
    <row r="2140" spans="42:42" ht="12" customHeight="1" x14ac:dyDescent="0.25">
      <c r="AP2140" s="15" t="str">
        <f t="shared" si="33"/>
        <v/>
      </c>
    </row>
    <row r="2141" spans="42:42" ht="12" customHeight="1" x14ac:dyDescent="0.25">
      <c r="AP2141" s="15" t="str">
        <f t="shared" si="33"/>
        <v/>
      </c>
    </row>
    <row r="2142" spans="42:42" ht="12" customHeight="1" x14ac:dyDescent="0.25">
      <c r="AP2142" s="15" t="str">
        <f t="shared" si="33"/>
        <v/>
      </c>
    </row>
    <row r="2143" spans="42:42" ht="12" customHeight="1" x14ac:dyDescent="0.25">
      <c r="AP2143" s="15" t="str">
        <f t="shared" si="33"/>
        <v/>
      </c>
    </row>
    <row r="2144" spans="42:42" ht="12" customHeight="1" x14ac:dyDescent="0.25">
      <c r="AP2144" s="15" t="str">
        <f t="shared" si="33"/>
        <v/>
      </c>
    </row>
    <row r="2145" spans="42:42" ht="12" customHeight="1" x14ac:dyDescent="0.25">
      <c r="AP2145" s="15" t="str">
        <f t="shared" si="33"/>
        <v/>
      </c>
    </row>
    <row r="2146" spans="42:42" ht="12" customHeight="1" x14ac:dyDescent="0.25">
      <c r="AP2146" s="15" t="str">
        <f t="shared" si="33"/>
        <v/>
      </c>
    </row>
    <row r="2147" spans="42:42" ht="12" customHeight="1" x14ac:dyDescent="0.25">
      <c r="AP2147" s="15" t="str">
        <f t="shared" si="33"/>
        <v/>
      </c>
    </row>
    <row r="2148" spans="42:42" ht="12" customHeight="1" x14ac:dyDescent="0.25">
      <c r="AP2148" s="15" t="str">
        <f t="shared" si="33"/>
        <v/>
      </c>
    </row>
    <row r="2149" spans="42:42" ht="12" customHeight="1" x14ac:dyDescent="0.25">
      <c r="AP2149" s="15" t="str">
        <f t="shared" si="33"/>
        <v/>
      </c>
    </row>
    <row r="2150" spans="42:42" ht="12" customHeight="1" x14ac:dyDescent="0.25">
      <c r="AP2150" s="15" t="str">
        <f t="shared" si="33"/>
        <v/>
      </c>
    </row>
    <row r="2151" spans="42:42" ht="12" customHeight="1" x14ac:dyDescent="0.25">
      <c r="AP2151" s="15" t="str">
        <f t="shared" si="33"/>
        <v/>
      </c>
    </row>
    <row r="2152" spans="42:42" ht="12" customHeight="1" x14ac:dyDescent="0.25">
      <c r="AP2152" s="15" t="str">
        <f t="shared" si="33"/>
        <v/>
      </c>
    </row>
    <row r="2153" spans="42:42" ht="12" customHeight="1" x14ac:dyDescent="0.25">
      <c r="AP2153" s="15" t="str">
        <f t="shared" si="33"/>
        <v/>
      </c>
    </row>
    <row r="2154" spans="42:42" ht="12" customHeight="1" x14ac:dyDescent="0.25">
      <c r="AP2154" s="15" t="str">
        <f t="shared" si="33"/>
        <v/>
      </c>
    </row>
    <row r="2155" spans="42:42" ht="12" customHeight="1" x14ac:dyDescent="0.25">
      <c r="AP2155" s="15" t="str">
        <f t="shared" si="33"/>
        <v/>
      </c>
    </row>
    <row r="2156" spans="42:42" ht="12" customHeight="1" x14ac:dyDescent="0.25">
      <c r="AP2156" s="15" t="str">
        <f t="shared" si="33"/>
        <v/>
      </c>
    </row>
    <row r="2157" spans="42:42" ht="12" customHeight="1" x14ac:dyDescent="0.25">
      <c r="AP2157" s="15" t="str">
        <f t="shared" si="33"/>
        <v/>
      </c>
    </row>
    <row r="2158" spans="42:42" ht="12" customHeight="1" x14ac:dyDescent="0.25">
      <c r="AP2158" s="15" t="str">
        <f t="shared" si="33"/>
        <v/>
      </c>
    </row>
    <row r="2159" spans="42:42" ht="12" customHeight="1" x14ac:dyDescent="0.25">
      <c r="AP2159" s="15" t="str">
        <f t="shared" si="33"/>
        <v/>
      </c>
    </row>
    <row r="2160" spans="42:42" ht="12" customHeight="1" x14ac:dyDescent="0.25">
      <c r="AP2160" s="15" t="str">
        <f t="shared" si="33"/>
        <v/>
      </c>
    </row>
    <row r="2161" spans="42:42" ht="12" customHeight="1" x14ac:dyDescent="0.25">
      <c r="AP2161" s="15" t="str">
        <f t="shared" si="33"/>
        <v/>
      </c>
    </row>
    <row r="2162" spans="42:42" ht="12" customHeight="1" x14ac:dyDescent="0.25">
      <c r="AP2162" s="15" t="str">
        <f t="shared" si="33"/>
        <v/>
      </c>
    </row>
    <row r="2163" spans="42:42" ht="12" customHeight="1" x14ac:dyDescent="0.25">
      <c r="AP2163" s="15" t="str">
        <f t="shared" si="33"/>
        <v/>
      </c>
    </row>
    <row r="2164" spans="42:42" ht="12" customHeight="1" x14ac:dyDescent="0.25">
      <c r="AP2164" s="15" t="str">
        <f t="shared" si="33"/>
        <v/>
      </c>
    </row>
    <row r="2165" spans="42:42" ht="12" customHeight="1" x14ac:dyDescent="0.25">
      <c r="AP2165" s="15" t="str">
        <f t="shared" si="33"/>
        <v/>
      </c>
    </row>
    <row r="2166" spans="42:42" ht="12" customHeight="1" x14ac:dyDescent="0.25">
      <c r="AP2166" s="15" t="str">
        <f t="shared" si="33"/>
        <v/>
      </c>
    </row>
    <row r="2167" spans="42:42" ht="12" customHeight="1" x14ac:dyDescent="0.25">
      <c r="AP2167" s="15" t="str">
        <f t="shared" si="33"/>
        <v/>
      </c>
    </row>
    <row r="2168" spans="42:42" ht="12" customHeight="1" x14ac:dyDescent="0.25">
      <c r="AP2168" s="15" t="str">
        <f t="shared" si="33"/>
        <v/>
      </c>
    </row>
    <row r="2169" spans="42:42" ht="12" customHeight="1" x14ac:dyDescent="0.25">
      <c r="AP2169" s="15" t="str">
        <f t="shared" si="33"/>
        <v/>
      </c>
    </row>
    <row r="2170" spans="42:42" ht="12" customHeight="1" x14ac:dyDescent="0.25">
      <c r="AP2170" s="15" t="str">
        <f t="shared" si="33"/>
        <v/>
      </c>
    </row>
    <row r="2171" spans="42:42" ht="12" customHeight="1" x14ac:dyDescent="0.25">
      <c r="AP2171" s="15" t="str">
        <f t="shared" si="33"/>
        <v/>
      </c>
    </row>
    <row r="2172" spans="42:42" ht="12" customHeight="1" x14ac:dyDescent="0.25">
      <c r="AP2172" s="15" t="str">
        <f t="shared" si="33"/>
        <v/>
      </c>
    </row>
    <row r="2173" spans="42:42" ht="12" customHeight="1" x14ac:dyDescent="0.25">
      <c r="AP2173" s="15" t="str">
        <f t="shared" si="33"/>
        <v/>
      </c>
    </row>
    <row r="2174" spans="42:42" ht="12" customHeight="1" x14ac:dyDescent="0.25">
      <c r="AP2174" s="15" t="str">
        <f t="shared" si="33"/>
        <v/>
      </c>
    </row>
    <row r="2175" spans="42:42" ht="12" customHeight="1" x14ac:dyDescent="0.25">
      <c r="AP2175" s="15" t="str">
        <f t="shared" si="33"/>
        <v/>
      </c>
    </row>
    <row r="2176" spans="42:42" ht="12" customHeight="1" x14ac:dyDescent="0.25">
      <c r="AP2176" s="15" t="str">
        <f t="shared" si="33"/>
        <v/>
      </c>
    </row>
    <row r="2177" spans="42:42" ht="12" customHeight="1" x14ac:dyDescent="0.25">
      <c r="AP2177" s="15" t="str">
        <f t="shared" si="33"/>
        <v/>
      </c>
    </row>
    <row r="2178" spans="42:42" ht="12" customHeight="1" x14ac:dyDescent="0.25">
      <c r="AP2178" s="15" t="str">
        <f t="shared" si="33"/>
        <v/>
      </c>
    </row>
    <row r="2179" spans="42:42" ht="12" customHeight="1" x14ac:dyDescent="0.25">
      <c r="AP2179" s="15" t="str">
        <f t="shared" si="33"/>
        <v/>
      </c>
    </row>
    <row r="2180" spans="42:42" ht="12" customHeight="1" x14ac:dyDescent="0.25">
      <c r="AP2180" s="15" t="str">
        <f t="shared" si="33"/>
        <v/>
      </c>
    </row>
    <row r="2181" spans="42:42" ht="12" customHeight="1" x14ac:dyDescent="0.25">
      <c r="AP2181" s="15" t="str">
        <f t="shared" si="33"/>
        <v/>
      </c>
    </row>
    <row r="2182" spans="42:42" ht="12" customHeight="1" x14ac:dyDescent="0.25">
      <c r="AP2182" s="15" t="str">
        <f t="shared" si="33"/>
        <v/>
      </c>
    </row>
    <row r="2183" spans="42:42" ht="12" customHeight="1" x14ac:dyDescent="0.25">
      <c r="AP2183" s="15" t="str">
        <f t="shared" si="33"/>
        <v/>
      </c>
    </row>
    <row r="2184" spans="42:42" ht="12" customHeight="1" x14ac:dyDescent="0.25">
      <c r="AP2184" s="15" t="str">
        <f t="shared" ref="AP2184:AP2247" si="34">IF(AO2184="", "", AO2184&amp;"["&amp;AN2184&amp;"]")</f>
        <v/>
      </c>
    </row>
    <row r="2185" spans="42:42" ht="12" customHeight="1" x14ac:dyDescent="0.25">
      <c r="AP2185" s="15" t="str">
        <f t="shared" si="34"/>
        <v/>
      </c>
    </row>
    <row r="2186" spans="42:42" ht="12" customHeight="1" x14ac:dyDescent="0.25">
      <c r="AP2186" s="15" t="str">
        <f t="shared" si="34"/>
        <v/>
      </c>
    </row>
    <row r="2187" spans="42:42" ht="12" customHeight="1" x14ac:dyDescent="0.25">
      <c r="AP2187" s="15" t="str">
        <f t="shared" si="34"/>
        <v/>
      </c>
    </row>
    <row r="2188" spans="42:42" ht="12" customHeight="1" x14ac:dyDescent="0.25">
      <c r="AP2188" s="15" t="str">
        <f t="shared" si="34"/>
        <v/>
      </c>
    </row>
    <row r="2189" spans="42:42" ht="12" customHeight="1" x14ac:dyDescent="0.25">
      <c r="AP2189" s="15" t="str">
        <f t="shared" si="34"/>
        <v/>
      </c>
    </row>
    <row r="2190" spans="42:42" ht="12" customHeight="1" x14ac:dyDescent="0.25">
      <c r="AP2190" s="15" t="str">
        <f t="shared" si="34"/>
        <v/>
      </c>
    </row>
    <row r="2191" spans="42:42" ht="12" customHeight="1" x14ac:dyDescent="0.25">
      <c r="AP2191" s="15" t="str">
        <f t="shared" si="34"/>
        <v/>
      </c>
    </row>
    <row r="2192" spans="42:42" ht="12" customHeight="1" x14ac:dyDescent="0.25">
      <c r="AP2192" s="15" t="str">
        <f t="shared" si="34"/>
        <v/>
      </c>
    </row>
    <row r="2193" spans="42:42" ht="12" customHeight="1" x14ac:dyDescent="0.25">
      <c r="AP2193" s="15" t="str">
        <f t="shared" si="34"/>
        <v/>
      </c>
    </row>
    <row r="2194" spans="42:42" ht="12" customHeight="1" x14ac:dyDescent="0.25">
      <c r="AP2194" s="15" t="str">
        <f t="shared" si="34"/>
        <v/>
      </c>
    </row>
    <row r="2195" spans="42:42" ht="12" customHeight="1" x14ac:dyDescent="0.25">
      <c r="AP2195" s="15" t="str">
        <f t="shared" si="34"/>
        <v/>
      </c>
    </row>
    <row r="2196" spans="42:42" ht="12" customHeight="1" x14ac:dyDescent="0.25">
      <c r="AP2196" s="15" t="str">
        <f t="shared" si="34"/>
        <v/>
      </c>
    </row>
    <row r="2197" spans="42:42" ht="12" customHeight="1" x14ac:dyDescent="0.25">
      <c r="AP2197" s="15" t="str">
        <f t="shared" si="34"/>
        <v/>
      </c>
    </row>
    <row r="2198" spans="42:42" ht="12" customHeight="1" x14ac:dyDescent="0.25">
      <c r="AP2198" s="15" t="str">
        <f t="shared" si="34"/>
        <v/>
      </c>
    </row>
    <row r="2199" spans="42:42" ht="12" customHeight="1" x14ac:dyDescent="0.25">
      <c r="AP2199" s="15" t="str">
        <f t="shared" si="34"/>
        <v/>
      </c>
    </row>
    <row r="2200" spans="42:42" ht="12" customHeight="1" x14ac:dyDescent="0.25">
      <c r="AP2200" s="15" t="str">
        <f t="shared" si="34"/>
        <v/>
      </c>
    </row>
    <row r="2201" spans="42:42" ht="12" customHeight="1" x14ac:dyDescent="0.25">
      <c r="AP2201" s="15" t="str">
        <f t="shared" si="34"/>
        <v/>
      </c>
    </row>
    <row r="2202" spans="42:42" ht="12" customHeight="1" x14ac:dyDescent="0.25">
      <c r="AP2202" s="15" t="str">
        <f t="shared" si="34"/>
        <v/>
      </c>
    </row>
    <row r="2203" spans="42:42" ht="12" customHeight="1" x14ac:dyDescent="0.25">
      <c r="AP2203" s="15" t="str">
        <f t="shared" si="34"/>
        <v/>
      </c>
    </row>
    <row r="2204" spans="42:42" ht="12" customHeight="1" x14ac:dyDescent="0.25">
      <c r="AP2204" s="15" t="str">
        <f t="shared" si="34"/>
        <v/>
      </c>
    </row>
    <row r="2205" spans="42:42" ht="12" customHeight="1" x14ac:dyDescent="0.25">
      <c r="AP2205" s="15" t="str">
        <f t="shared" si="34"/>
        <v/>
      </c>
    </row>
    <row r="2206" spans="42:42" ht="12" customHeight="1" x14ac:dyDescent="0.25">
      <c r="AP2206" s="15" t="str">
        <f t="shared" si="34"/>
        <v/>
      </c>
    </row>
    <row r="2207" spans="42:42" ht="12" customHeight="1" x14ac:dyDescent="0.25">
      <c r="AP2207" s="15" t="str">
        <f t="shared" si="34"/>
        <v/>
      </c>
    </row>
    <row r="2208" spans="42:42" ht="12" customHeight="1" x14ac:dyDescent="0.25">
      <c r="AP2208" s="15" t="str">
        <f t="shared" si="34"/>
        <v/>
      </c>
    </row>
    <row r="2209" spans="42:42" ht="12" customHeight="1" x14ac:dyDescent="0.25">
      <c r="AP2209" s="15" t="str">
        <f t="shared" si="34"/>
        <v/>
      </c>
    </row>
    <row r="2210" spans="42:42" ht="12" customHeight="1" x14ac:dyDescent="0.25">
      <c r="AP2210" s="15" t="str">
        <f t="shared" si="34"/>
        <v/>
      </c>
    </row>
    <row r="2211" spans="42:42" ht="12" customHeight="1" x14ac:dyDescent="0.25">
      <c r="AP2211" s="15" t="str">
        <f t="shared" si="34"/>
        <v/>
      </c>
    </row>
    <row r="2212" spans="42:42" ht="12" customHeight="1" x14ac:dyDescent="0.25">
      <c r="AP2212" s="15" t="str">
        <f t="shared" si="34"/>
        <v/>
      </c>
    </row>
    <row r="2213" spans="42:42" ht="12" customHeight="1" x14ac:dyDescent="0.25">
      <c r="AP2213" s="15" t="str">
        <f t="shared" si="34"/>
        <v/>
      </c>
    </row>
    <row r="2214" spans="42:42" ht="12" customHeight="1" x14ac:dyDescent="0.25">
      <c r="AP2214" s="15" t="str">
        <f t="shared" si="34"/>
        <v/>
      </c>
    </row>
    <row r="2215" spans="42:42" ht="12" customHeight="1" x14ac:dyDescent="0.25">
      <c r="AP2215" s="15" t="str">
        <f t="shared" si="34"/>
        <v/>
      </c>
    </row>
    <row r="2216" spans="42:42" ht="12" customHeight="1" x14ac:dyDescent="0.25">
      <c r="AP2216" s="15" t="str">
        <f t="shared" si="34"/>
        <v/>
      </c>
    </row>
    <row r="2217" spans="42:42" ht="12" customHeight="1" x14ac:dyDescent="0.25">
      <c r="AP2217" s="15" t="str">
        <f t="shared" si="34"/>
        <v/>
      </c>
    </row>
    <row r="2218" spans="42:42" ht="12" customHeight="1" x14ac:dyDescent="0.25">
      <c r="AP2218" s="15" t="str">
        <f t="shared" si="34"/>
        <v/>
      </c>
    </row>
    <row r="2219" spans="42:42" ht="12" customHeight="1" x14ac:dyDescent="0.25">
      <c r="AP2219" s="15" t="str">
        <f t="shared" si="34"/>
        <v/>
      </c>
    </row>
    <row r="2220" spans="42:42" ht="12" customHeight="1" x14ac:dyDescent="0.25">
      <c r="AP2220" s="15" t="str">
        <f t="shared" si="34"/>
        <v/>
      </c>
    </row>
    <row r="2221" spans="42:42" ht="12" customHeight="1" x14ac:dyDescent="0.25">
      <c r="AP2221" s="15" t="str">
        <f t="shared" si="34"/>
        <v/>
      </c>
    </row>
    <row r="2222" spans="42:42" ht="12" customHeight="1" x14ac:dyDescent="0.25">
      <c r="AP2222" s="15" t="str">
        <f t="shared" si="34"/>
        <v/>
      </c>
    </row>
    <row r="2223" spans="42:42" ht="12" customHeight="1" x14ac:dyDescent="0.25">
      <c r="AP2223" s="15" t="str">
        <f t="shared" si="34"/>
        <v/>
      </c>
    </row>
    <row r="2224" spans="42:42" ht="12" customHeight="1" x14ac:dyDescent="0.25">
      <c r="AP2224" s="15" t="str">
        <f t="shared" si="34"/>
        <v/>
      </c>
    </row>
    <row r="2225" spans="42:42" ht="12" customHeight="1" x14ac:dyDescent="0.25">
      <c r="AP2225" s="15" t="str">
        <f t="shared" si="34"/>
        <v/>
      </c>
    </row>
    <row r="2226" spans="42:42" ht="12" customHeight="1" x14ac:dyDescent="0.25">
      <c r="AP2226" s="15" t="str">
        <f t="shared" si="34"/>
        <v/>
      </c>
    </row>
    <row r="2227" spans="42:42" ht="12" customHeight="1" x14ac:dyDescent="0.25">
      <c r="AP2227" s="15" t="str">
        <f t="shared" si="34"/>
        <v/>
      </c>
    </row>
    <row r="2228" spans="42:42" ht="12" customHeight="1" x14ac:dyDescent="0.25">
      <c r="AP2228" s="15" t="str">
        <f t="shared" si="34"/>
        <v/>
      </c>
    </row>
    <row r="2229" spans="42:42" ht="12" customHeight="1" x14ac:dyDescent="0.25">
      <c r="AP2229" s="15" t="str">
        <f t="shared" si="34"/>
        <v/>
      </c>
    </row>
    <row r="2230" spans="42:42" ht="12" customHeight="1" x14ac:dyDescent="0.25">
      <c r="AP2230" s="15" t="str">
        <f t="shared" si="34"/>
        <v/>
      </c>
    </row>
    <row r="2231" spans="42:42" ht="12" customHeight="1" x14ac:dyDescent="0.25">
      <c r="AP2231" s="15" t="str">
        <f t="shared" si="34"/>
        <v/>
      </c>
    </row>
    <row r="2232" spans="42:42" ht="12" customHeight="1" x14ac:dyDescent="0.25">
      <c r="AP2232" s="15" t="str">
        <f t="shared" si="34"/>
        <v/>
      </c>
    </row>
    <row r="2233" spans="42:42" ht="12" customHeight="1" x14ac:dyDescent="0.25">
      <c r="AP2233" s="15" t="str">
        <f t="shared" si="34"/>
        <v/>
      </c>
    </row>
    <row r="2234" spans="42:42" ht="12" customHeight="1" x14ac:dyDescent="0.25">
      <c r="AP2234" s="15" t="str">
        <f t="shared" si="34"/>
        <v/>
      </c>
    </row>
    <row r="2235" spans="42:42" ht="12" customHeight="1" x14ac:dyDescent="0.25">
      <c r="AP2235" s="15" t="str">
        <f t="shared" si="34"/>
        <v/>
      </c>
    </row>
    <row r="2236" spans="42:42" ht="12" customHeight="1" x14ac:dyDescent="0.25">
      <c r="AP2236" s="15" t="str">
        <f t="shared" si="34"/>
        <v/>
      </c>
    </row>
    <row r="2237" spans="42:42" ht="12" customHeight="1" x14ac:dyDescent="0.25">
      <c r="AP2237" s="15" t="str">
        <f t="shared" si="34"/>
        <v/>
      </c>
    </row>
    <row r="2238" spans="42:42" ht="12" customHeight="1" x14ac:dyDescent="0.25">
      <c r="AP2238" s="15" t="str">
        <f t="shared" si="34"/>
        <v/>
      </c>
    </row>
    <row r="2239" spans="42:42" ht="12" customHeight="1" x14ac:dyDescent="0.25">
      <c r="AP2239" s="15" t="str">
        <f t="shared" si="34"/>
        <v/>
      </c>
    </row>
    <row r="2240" spans="42:42" ht="12" customHeight="1" x14ac:dyDescent="0.25">
      <c r="AP2240" s="15" t="str">
        <f t="shared" si="34"/>
        <v/>
      </c>
    </row>
    <row r="2241" spans="42:42" ht="12" customHeight="1" x14ac:dyDescent="0.25">
      <c r="AP2241" s="15" t="str">
        <f t="shared" si="34"/>
        <v/>
      </c>
    </row>
    <row r="2242" spans="42:42" ht="12" customHeight="1" x14ac:dyDescent="0.25">
      <c r="AP2242" s="15" t="str">
        <f t="shared" si="34"/>
        <v/>
      </c>
    </row>
    <row r="2243" spans="42:42" ht="12" customHeight="1" x14ac:dyDescent="0.25">
      <c r="AP2243" s="15" t="str">
        <f t="shared" si="34"/>
        <v/>
      </c>
    </row>
    <row r="2244" spans="42:42" ht="12" customHeight="1" x14ac:dyDescent="0.25">
      <c r="AP2244" s="15" t="str">
        <f t="shared" si="34"/>
        <v/>
      </c>
    </row>
    <row r="2245" spans="42:42" ht="12" customHeight="1" x14ac:dyDescent="0.25">
      <c r="AP2245" s="15" t="str">
        <f t="shared" si="34"/>
        <v/>
      </c>
    </row>
    <row r="2246" spans="42:42" ht="12" customHeight="1" x14ac:dyDescent="0.25">
      <c r="AP2246" s="15" t="str">
        <f t="shared" si="34"/>
        <v/>
      </c>
    </row>
    <row r="2247" spans="42:42" ht="12" customHeight="1" x14ac:dyDescent="0.25">
      <c r="AP2247" s="15" t="str">
        <f t="shared" si="34"/>
        <v/>
      </c>
    </row>
    <row r="2248" spans="42:42" ht="12" customHeight="1" x14ac:dyDescent="0.25">
      <c r="AP2248" s="15" t="str">
        <f t="shared" ref="AP2248:AP2311" si="35">IF(AO2248="", "", AO2248&amp;"["&amp;AN2248&amp;"]")</f>
        <v/>
      </c>
    </row>
    <row r="2249" spans="42:42" ht="12" customHeight="1" x14ac:dyDescent="0.25">
      <c r="AP2249" s="15" t="str">
        <f t="shared" si="35"/>
        <v/>
      </c>
    </row>
    <row r="2250" spans="42:42" ht="12" customHeight="1" x14ac:dyDescent="0.25">
      <c r="AP2250" s="15" t="str">
        <f t="shared" si="35"/>
        <v/>
      </c>
    </row>
    <row r="2251" spans="42:42" ht="12" customHeight="1" x14ac:dyDescent="0.25">
      <c r="AP2251" s="15" t="str">
        <f t="shared" si="35"/>
        <v/>
      </c>
    </row>
    <row r="2252" spans="42:42" ht="12" customHeight="1" x14ac:dyDescent="0.25">
      <c r="AP2252" s="15" t="str">
        <f t="shared" si="35"/>
        <v/>
      </c>
    </row>
    <row r="2253" spans="42:42" ht="12" customHeight="1" x14ac:dyDescent="0.25">
      <c r="AP2253" s="15" t="str">
        <f t="shared" si="35"/>
        <v/>
      </c>
    </row>
    <row r="2254" spans="42:42" ht="12" customHeight="1" x14ac:dyDescent="0.25">
      <c r="AP2254" s="15" t="str">
        <f t="shared" si="35"/>
        <v/>
      </c>
    </row>
    <row r="2255" spans="42:42" ht="12" customHeight="1" x14ac:dyDescent="0.25">
      <c r="AP2255" s="15" t="str">
        <f t="shared" si="35"/>
        <v/>
      </c>
    </row>
    <row r="2256" spans="42:42" ht="12" customHeight="1" x14ac:dyDescent="0.25">
      <c r="AP2256" s="15" t="str">
        <f t="shared" si="35"/>
        <v/>
      </c>
    </row>
    <row r="2257" spans="42:42" ht="12" customHeight="1" x14ac:dyDescent="0.25">
      <c r="AP2257" s="15" t="str">
        <f t="shared" si="35"/>
        <v/>
      </c>
    </row>
    <row r="2258" spans="42:42" ht="12" customHeight="1" x14ac:dyDescent="0.25">
      <c r="AP2258" s="15" t="str">
        <f t="shared" si="35"/>
        <v/>
      </c>
    </row>
    <row r="2259" spans="42:42" ht="12" customHeight="1" x14ac:dyDescent="0.25">
      <c r="AP2259" s="15" t="str">
        <f t="shared" si="35"/>
        <v/>
      </c>
    </row>
    <row r="2260" spans="42:42" ht="12" customHeight="1" x14ac:dyDescent="0.25">
      <c r="AP2260" s="15" t="str">
        <f t="shared" si="35"/>
        <v/>
      </c>
    </row>
    <row r="2261" spans="42:42" ht="12" customHeight="1" x14ac:dyDescent="0.25">
      <c r="AP2261" s="15" t="str">
        <f t="shared" si="35"/>
        <v/>
      </c>
    </row>
    <row r="2262" spans="42:42" ht="12" customHeight="1" x14ac:dyDescent="0.25">
      <c r="AP2262" s="15" t="str">
        <f t="shared" si="35"/>
        <v/>
      </c>
    </row>
    <row r="2263" spans="42:42" ht="12" customHeight="1" x14ac:dyDescent="0.25">
      <c r="AP2263" s="15" t="str">
        <f t="shared" si="35"/>
        <v/>
      </c>
    </row>
    <row r="2264" spans="42:42" ht="12" customHeight="1" x14ac:dyDescent="0.25">
      <c r="AP2264" s="15" t="str">
        <f t="shared" si="35"/>
        <v/>
      </c>
    </row>
    <row r="2265" spans="42:42" ht="12" customHeight="1" x14ac:dyDescent="0.25">
      <c r="AP2265" s="15" t="str">
        <f t="shared" si="35"/>
        <v/>
      </c>
    </row>
    <row r="2266" spans="42:42" ht="12" customHeight="1" x14ac:dyDescent="0.25">
      <c r="AP2266" s="15" t="str">
        <f t="shared" si="35"/>
        <v/>
      </c>
    </row>
    <row r="2267" spans="42:42" ht="12" customHeight="1" x14ac:dyDescent="0.25">
      <c r="AP2267" s="15" t="str">
        <f t="shared" si="35"/>
        <v/>
      </c>
    </row>
    <row r="2268" spans="42:42" ht="12" customHeight="1" x14ac:dyDescent="0.25">
      <c r="AP2268" s="15" t="str">
        <f t="shared" si="35"/>
        <v/>
      </c>
    </row>
    <row r="2269" spans="42:42" ht="12" customHeight="1" x14ac:dyDescent="0.25">
      <c r="AP2269" s="15" t="str">
        <f t="shared" si="35"/>
        <v/>
      </c>
    </row>
    <row r="2270" spans="42:42" ht="12" customHeight="1" x14ac:dyDescent="0.25">
      <c r="AP2270" s="15" t="str">
        <f t="shared" si="35"/>
        <v/>
      </c>
    </row>
    <row r="2271" spans="42:42" ht="12" customHeight="1" x14ac:dyDescent="0.25">
      <c r="AP2271" s="15" t="str">
        <f t="shared" si="35"/>
        <v/>
      </c>
    </row>
    <row r="2272" spans="42:42" ht="12" customHeight="1" x14ac:dyDescent="0.25">
      <c r="AP2272" s="15" t="str">
        <f t="shared" si="35"/>
        <v/>
      </c>
    </row>
    <row r="2273" spans="42:42" ht="12" customHeight="1" x14ac:dyDescent="0.25">
      <c r="AP2273" s="15" t="str">
        <f t="shared" si="35"/>
        <v/>
      </c>
    </row>
    <row r="2274" spans="42:42" ht="12" customHeight="1" x14ac:dyDescent="0.25">
      <c r="AP2274" s="15" t="str">
        <f t="shared" si="35"/>
        <v/>
      </c>
    </row>
    <row r="2275" spans="42:42" ht="12" customHeight="1" x14ac:dyDescent="0.25">
      <c r="AP2275" s="15" t="str">
        <f t="shared" si="35"/>
        <v/>
      </c>
    </row>
    <row r="2276" spans="42:42" ht="12" customHeight="1" x14ac:dyDescent="0.25">
      <c r="AP2276" s="15" t="str">
        <f t="shared" si="35"/>
        <v/>
      </c>
    </row>
    <row r="2277" spans="42:42" ht="12" customHeight="1" x14ac:dyDescent="0.25">
      <c r="AP2277" s="15" t="str">
        <f t="shared" si="35"/>
        <v/>
      </c>
    </row>
    <row r="2278" spans="42:42" ht="12" customHeight="1" x14ac:dyDescent="0.25">
      <c r="AP2278" s="15" t="str">
        <f t="shared" si="35"/>
        <v/>
      </c>
    </row>
    <row r="2279" spans="42:42" ht="12" customHeight="1" x14ac:dyDescent="0.25">
      <c r="AP2279" s="15" t="str">
        <f t="shared" si="35"/>
        <v/>
      </c>
    </row>
    <row r="2280" spans="42:42" ht="12" customHeight="1" x14ac:dyDescent="0.25">
      <c r="AP2280" s="15" t="str">
        <f t="shared" si="35"/>
        <v/>
      </c>
    </row>
    <row r="2281" spans="42:42" ht="12" customHeight="1" x14ac:dyDescent="0.25">
      <c r="AP2281" s="15" t="str">
        <f t="shared" si="35"/>
        <v/>
      </c>
    </row>
    <row r="2282" spans="42:42" ht="12" customHeight="1" x14ac:dyDescent="0.25">
      <c r="AP2282" s="15" t="str">
        <f t="shared" si="35"/>
        <v/>
      </c>
    </row>
    <row r="2283" spans="42:42" ht="12" customHeight="1" x14ac:dyDescent="0.25">
      <c r="AP2283" s="15" t="str">
        <f t="shared" si="35"/>
        <v/>
      </c>
    </row>
    <row r="2284" spans="42:42" ht="12" customHeight="1" x14ac:dyDescent="0.25">
      <c r="AP2284" s="15" t="str">
        <f t="shared" si="35"/>
        <v/>
      </c>
    </row>
    <row r="2285" spans="42:42" ht="12" customHeight="1" x14ac:dyDescent="0.25">
      <c r="AP2285" s="15" t="str">
        <f t="shared" si="35"/>
        <v/>
      </c>
    </row>
    <row r="2286" spans="42:42" ht="12" customHeight="1" x14ac:dyDescent="0.25">
      <c r="AP2286" s="15" t="str">
        <f t="shared" si="35"/>
        <v/>
      </c>
    </row>
    <row r="2287" spans="42:42" ht="12" customHeight="1" x14ac:dyDescent="0.25">
      <c r="AP2287" s="15" t="str">
        <f t="shared" si="35"/>
        <v/>
      </c>
    </row>
    <row r="2288" spans="42:42" ht="12" customHeight="1" x14ac:dyDescent="0.25">
      <c r="AP2288" s="15" t="str">
        <f t="shared" si="35"/>
        <v/>
      </c>
    </row>
    <row r="2289" spans="42:42" ht="12" customHeight="1" x14ac:dyDescent="0.25">
      <c r="AP2289" s="15" t="str">
        <f t="shared" si="35"/>
        <v/>
      </c>
    </row>
    <row r="2290" spans="42:42" ht="12" customHeight="1" x14ac:dyDescent="0.25">
      <c r="AP2290" s="15" t="str">
        <f t="shared" si="35"/>
        <v/>
      </c>
    </row>
    <row r="2291" spans="42:42" ht="12" customHeight="1" x14ac:dyDescent="0.25">
      <c r="AP2291" s="15" t="str">
        <f t="shared" si="35"/>
        <v/>
      </c>
    </row>
    <row r="2292" spans="42:42" ht="12" customHeight="1" x14ac:dyDescent="0.25">
      <c r="AP2292" s="15" t="str">
        <f t="shared" si="35"/>
        <v/>
      </c>
    </row>
    <row r="2293" spans="42:42" ht="12" customHeight="1" x14ac:dyDescent="0.25">
      <c r="AP2293" s="15" t="str">
        <f t="shared" si="35"/>
        <v/>
      </c>
    </row>
    <row r="2294" spans="42:42" ht="12" customHeight="1" x14ac:dyDescent="0.25">
      <c r="AP2294" s="15" t="str">
        <f t="shared" si="35"/>
        <v/>
      </c>
    </row>
    <row r="2295" spans="42:42" ht="12" customHeight="1" x14ac:dyDescent="0.25">
      <c r="AP2295" s="15" t="str">
        <f t="shared" si="35"/>
        <v/>
      </c>
    </row>
    <row r="2296" spans="42:42" ht="12" customHeight="1" x14ac:dyDescent="0.25">
      <c r="AP2296" s="15" t="str">
        <f t="shared" si="35"/>
        <v/>
      </c>
    </row>
    <row r="2297" spans="42:42" ht="12" customHeight="1" x14ac:dyDescent="0.25">
      <c r="AP2297" s="15" t="str">
        <f t="shared" si="35"/>
        <v/>
      </c>
    </row>
    <row r="2298" spans="42:42" ht="12" customHeight="1" x14ac:dyDescent="0.25">
      <c r="AP2298" s="15" t="str">
        <f t="shared" si="35"/>
        <v/>
      </c>
    </row>
    <row r="2299" spans="42:42" ht="12" customHeight="1" x14ac:dyDescent="0.25">
      <c r="AP2299" s="15" t="str">
        <f t="shared" si="35"/>
        <v/>
      </c>
    </row>
    <row r="2300" spans="42:42" ht="12" customHeight="1" x14ac:dyDescent="0.25">
      <c r="AP2300" s="15" t="str">
        <f t="shared" si="35"/>
        <v/>
      </c>
    </row>
    <row r="2301" spans="42:42" ht="12" customHeight="1" x14ac:dyDescent="0.25">
      <c r="AP2301" s="15" t="str">
        <f t="shared" si="35"/>
        <v/>
      </c>
    </row>
    <row r="2302" spans="42:42" ht="12" customHeight="1" x14ac:dyDescent="0.25">
      <c r="AP2302" s="15" t="str">
        <f t="shared" si="35"/>
        <v/>
      </c>
    </row>
    <row r="2303" spans="42:42" ht="12" customHeight="1" x14ac:dyDescent="0.25">
      <c r="AP2303" s="15" t="str">
        <f t="shared" si="35"/>
        <v/>
      </c>
    </row>
    <row r="2304" spans="42:42" ht="12" customHeight="1" x14ac:dyDescent="0.25">
      <c r="AP2304" s="15" t="str">
        <f t="shared" si="35"/>
        <v/>
      </c>
    </row>
    <row r="2305" spans="42:42" ht="12" customHeight="1" x14ac:dyDescent="0.25">
      <c r="AP2305" s="15" t="str">
        <f t="shared" si="35"/>
        <v/>
      </c>
    </row>
    <row r="2306" spans="42:42" ht="12" customHeight="1" x14ac:dyDescent="0.25">
      <c r="AP2306" s="15" t="str">
        <f t="shared" si="35"/>
        <v/>
      </c>
    </row>
    <row r="2307" spans="42:42" ht="12" customHeight="1" x14ac:dyDescent="0.25">
      <c r="AP2307" s="15" t="str">
        <f t="shared" si="35"/>
        <v/>
      </c>
    </row>
    <row r="2308" spans="42:42" ht="12" customHeight="1" x14ac:dyDescent="0.25">
      <c r="AP2308" s="15" t="str">
        <f t="shared" si="35"/>
        <v/>
      </c>
    </row>
    <row r="2309" spans="42:42" ht="12" customHeight="1" x14ac:dyDescent="0.25">
      <c r="AP2309" s="15" t="str">
        <f t="shared" si="35"/>
        <v/>
      </c>
    </row>
    <row r="2310" spans="42:42" ht="12" customHeight="1" x14ac:dyDescent="0.25">
      <c r="AP2310" s="15" t="str">
        <f t="shared" si="35"/>
        <v/>
      </c>
    </row>
    <row r="2311" spans="42:42" ht="12" customHeight="1" x14ac:dyDescent="0.25">
      <c r="AP2311" s="15" t="str">
        <f t="shared" si="35"/>
        <v/>
      </c>
    </row>
    <row r="2312" spans="42:42" ht="12" customHeight="1" x14ac:dyDescent="0.25">
      <c r="AP2312" s="15" t="str">
        <f t="shared" ref="AP2312:AP2375" si="36">IF(AO2312="", "", AO2312&amp;"["&amp;AN2312&amp;"]")</f>
        <v/>
      </c>
    </row>
    <row r="2313" spans="42:42" ht="12" customHeight="1" x14ac:dyDescent="0.25">
      <c r="AP2313" s="15" t="str">
        <f t="shared" si="36"/>
        <v/>
      </c>
    </row>
    <row r="2314" spans="42:42" ht="12" customHeight="1" x14ac:dyDescent="0.25">
      <c r="AP2314" s="15" t="str">
        <f t="shared" si="36"/>
        <v/>
      </c>
    </row>
    <row r="2315" spans="42:42" ht="12" customHeight="1" x14ac:dyDescent="0.25">
      <c r="AP2315" s="15" t="str">
        <f t="shared" si="36"/>
        <v/>
      </c>
    </row>
    <row r="2316" spans="42:42" ht="12" customHeight="1" x14ac:dyDescent="0.25">
      <c r="AP2316" s="15" t="str">
        <f t="shared" si="36"/>
        <v/>
      </c>
    </row>
    <row r="2317" spans="42:42" ht="12" customHeight="1" x14ac:dyDescent="0.25">
      <c r="AP2317" s="15" t="str">
        <f t="shared" si="36"/>
        <v/>
      </c>
    </row>
    <row r="2318" spans="42:42" ht="12" customHeight="1" x14ac:dyDescent="0.25">
      <c r="AP2318" s="15" t="str">
        <f t="shared" si="36"/>
        <v/>
      </c>
    </row>
    <row r="2319" spans="42:42" ht="12" customHeight="1" x14ac:dyDescent="0.25">
      <c r="AP2319" s="15" t="str">
        <f t="shared" si="36"/>
        <v/>
      </c>
    </row>
    <row r="2320" spans="42:42" ht="12" customHeight="1" x14ac:dyDescent="0.25">
      <c r="AP2320" s="15" t="str">
        <f t="shared" si="36"/>
        <v/>
      </c>
    </row>
    <row r="2321" spans="42:42" ht="12" customHeight="1" x14ac:dyDescent="0.25">
      <c r="AP2321" s="15" t="str">
        <f t="shared" si="36"/>
        <v/>
      </c>
    </row>
    <row r="2322" spans="42:42" ht="12" customHeight="1" x14ac:dyDescent="0.25">
      <c r="AP2322" s="15" t="str">
        <f t="shared" si="36"/>
        <v/>
      </c>
    </row>
    <row r="2323" spans="42:42" ht="12" customHeight="1" x14ac:dyDescent="0.25">
      <c r="AP2323" s="15" t="str">
        <f t="shared" si="36"/>
        <v/>
      </c>
    </row>
    <row r="2324" spans="42:42" ht="12" customHeight="1" x14ac:dyDescent="0.25">
      <c r="AP2324" s="15" t="str">
        <f t="shared" si="36"/>
        <v/>
      </c>
    </row>
    <row r="2325" spans="42:42" ht="12" customHeight="1" x14ac:dyDescent="0.25">
      <c r="AP2325" s="15" t="str">
        <f t="shared" si="36"/>
        <v/>
      </c>
    </row>
    <row r="2326" spans="42:42" ht="12" customHeight="1" x14ac:dyDescent="0.25">
      <c r="AP2326" s="15" t="str">
        <f t="shared" si="36"/>
        <v/>
      </c>
    </row>
    <row r="2327" spans="42:42" ht="12" customHeight="1" x14ac:dyDescent="0.25">
      <c r="AP2327" s="15" t="str">
        <f t="shared" si="36"/>
        <v/>
      </c>
    </row>
    <row r="2328" spans="42:42" ht="12" customHeight="1" x14ac:dyDescent="0.25">
      <c r="AP2328" s="15" t="str">
        <f t="shared" si="36"/>
        <v/>
      </c>
    </row>
    <row r="2329" spans="42:42" ht="12" customHeight="1" x14ac:dyDescent="0.25">
      <c r="AP2329" s="15" t="str">
        <f t="shared" si="36"/>
        <v/>
      </c>
    </row>
    <row r="2330" spans="42:42" ht="12" customHeight="1" x14ac:dyDescent="0.25">
      <c r="AP2330" s="15" t="str">
        <f t="shared" si="36"/>
        <v/>
      </c>
    </row>
    <row r="2331" spans="42:42" ht="12" customHeight="1" x14ac:dyDescent="0.25">
      <c r="AP2331" s="15" t="str">
        <f t="shared" si="36"/>
        <v/>
      </c>
    </row>
    <row r="2332" spans="42:42" ht="12" customHeight="1" x14ac:dyDescent="0.25">
      <c r="AP2332" s="15" t="str">
        <f t="shared" si="36"/>
        <v/>
      </c>
    </row>
    <row r="2333" spans="42:42" ht="12" customHeight="1" x14ac:dyDescent="0.25">
      <c r="AP2333" s="15" t="str">
        <f t="shared" si="36"/>
        <v/>
      </c>
    </row>
    <row r="2334" spans="42:42" ht="12" customHeight="1" x14ac:dyDescent="0.25">
      <c r="AP2334" s="15" t="str">
        <f t="shared" si="36"/>
        <v/>
      </c>
    </row>
    <row r="2335" spans="42:42" ht="12" customHeight="1" x14ac:dyDescent="0.25">
      <c r="AP2335" s="15" t="str">
        <f t="shared" si="36"/>
        <v/>
      </c>
    </row>
    <row r="2336" spans="42:42" ht="12" customHeight="1" x14ac:dyDescent="0.25">
      <c r="AP2336" s="15" t="str">
        <f t="shared" si="36"/>
        <v/>
      </c>
    </row>
    <row r="2337" spans="42:42" ht="12" customHeight="1" x14ac:dyDescent="0.25">
      <c r="AP2337" s="15" t="str">
        <f t="shared" si="36"/>
        <v/>
      </c>
    </row>
    <row r="2338" spans="42:42" ht="12" customHeight="1" x14ac:dyDescent="0.25">
      <c r="AP2338" s="15" t="str">
        <f t="shared" si="36"/>
        <v/>
      </c>
    </row>
    <row r="2339" spans="42:42" ht="12" customHeight="1" x14ac:dyDescent="0.25">
      <c r="AP2339" s="15" t="str">
        <f t="shared" si="36"/>
        <v/>
      </c>
    </row>
    <row r="2340" spans="42:42" ht="12" customHeight="1" x14ac:dyDescent="0.25">
      <c r="AP2340" s="15" t="str">
        <f t="shared" si="36"/>
        <v/>
      </c>
    </row>
    <row r="2341" spans="42:42" ht="12" customHeight="1" x14ac:dyDescent="0.25">
      <c r="AP2341" s="15" t="str">
        <f t="shared" si="36"/>
        <v/>
      </c>
    </row>
    <row r="2342" spans="42:42" ht="12" customHeight="1" x14ac:dyDescent="0.25">
      <c r="AP2342" s="15" t="str">
        <f t="shared" si="36"/>
        <v/>
      </c>
    </row>
    <row r="2343" spans="42:42" ht="12" customHeight="1" x14ac:dyDescent="0.25">
      <c r="AP2343" s="15" t="str">
        <f t="shared" si="36"/>
        <v/>
      </c>
    </row>
    <row r="2344" spans="42:42" ht="12" customHeight="1" x14ac:dyDescent="0.25">
      <c r="AP2344" s="15" t="str">
        <f t="shared" si="36"/>
        <v/>
      </c>
    </row>
    <row r="2345" spans="42:42" ht="12" customHeight="1" x14ac:dyDescent="0.25">
      <c r="AP2345" s="15" t="str">
        <f t="shared" si="36"/>
        <v/>
      </c>
    </row>
    <row r="2346" spans="42:42" ht="12" customHeight="1" x14ac:dyDescent="0.25">
      <c r="AP2346" s="15" t="str">
        <f t="shared" si="36"/>
        <v/>
      </c>
    </row>
    <row r="2347" spans="42:42" ht="12" customHeight="1" x14ac:dyDescent="0.25">
      <c r="AP2347" s="15" t="str">
        <f t="shared" si="36"/>
        <v/>
      </c>
    </row>
    <row r="2348" spans="42:42" ht="12" customHeight="1" x14ac:dyDescent="0.25">
      <c r="AP2348" s="15" t="str">
        <f t="shared" si="36"/>
        <v/>
      </c>
    </row>
    <row r="2349" spans="42:42" ht="12" customHeight="1" x14ac:dyDescent="0.25">
      <c r="AP2349" s="15" t="str">
        <f t="shared" si="36"/>
        <v/>
      </c>
    </row>
    <row r="2350" spans="42:42" ht="12" customHeight="1" x14ac:dyDescent="0.25">
      <c r="AP2350" s="15" t="str">
        <f t="shared" si="36"/>
        <v/>
      </c>
    </row>
    <row r="2351" spans="42:42" ht="12" customHeight="1" x14ac:dyDescent="0.25">
      <c r="AP2351" s="15" t="str">
        <f t="shared" si="36"/>
        <v/>
      </c>
    </row>
    <row r="2352" spans="42:42" ht="12" customHeight="1" x14ac:dyDescent="0.25">
      <c r="AP2352" s="15" t="str">
        <f t="shared" si="36"/>
        <v/>
      </c>
    </row>
    <row r="2353" spans="42:42" ht="12" customHeight="1" x14ac:dyDescent="0.25">
      <c r="AP2353" s="15" t="str">
        <f t="shared" si="36"/>
        <v/>
      </c>
    </row>
    <row r="2354" spans="42:42" ht="12" customHeight="1" x14ac:dyDescent="0.25">
      <c r="AP2354" s="15" t="str">
        <f t="shared" si="36"/>
        <v/>
      </c>
    </row>
    <row r="2355" spans="42:42" ht="12" customHeight="1" x14ac:dyDescent="0.25">
      <c r="AP2355" s="15" t="str">
        <f t="shared" si="36"/>
        <v/>
      </c>
    </row>
    <row r="2356" spans="42:42" ht="12" customHeight="1" x14ac:dyDescent="0.25">
      <c r="AP2356" s="15" t="str">
        <f t="shared" si="36"/>
        <v/>
      </c>
    </row>
    <row r="2357" spans="42:42" ht="12" customHeight="1" x14ac:dyDescent="0.25">
      <c r="AP2357" s="15" t="str">
        <f t="shared" si="36"/>
        <v/>
      </c>
    </row>
    <row r="2358" spans="42:42" ht="12" customHeight="1" x14ac:dyDescent="0.25">
      <c r="AP2358" s="15" t="str">
        <f t="shared" si="36"/>
        <v/>
      </c>
    </row>
    <row r="2359" spans="42:42" ht="12" customHeight="1" x14ac:dyDescent="0.25">
      <c r="AP2359" s="15" t="str">
        <f t="shared" si="36"/>
        <v/>
      </c>
    </row>
    <row r="2360" spans="42:42" ht="12" customHeight="1" x14ac:dyDescent="0.25">
      <c r="AP2360" s="15" t="str">
        <f t="shared" si="36"/>
        <v/>
      </c>
    </row>
    <row r="2361" spans="42:42" ht="12" customHeight="1" x14ac:dyDescent="0.25">
      <c r="AP2361" s="15" t="str">
        <f t="shared" si="36"/>
        <v/>
      </c>
    </row>
    <row r="2362" spans="42:42" ht="12" customHeight="1" x14ac:dyDescent="0.25">
      <c r="AP2362" s="15" t="str">
        <f t="shared" si="36"/>
        <v/>
      </c>
    </row>
    <row r="2363" spans="42:42" ht="12" customHeight="1" x14ac:dyDescent="0.25">
      <c r="AP2363" s="15" t="str">
        <f t="shared" si="36"/>
        <v/>
      </c>
    </row>
    <row r="2364" spans="42:42" ht="12" customHeight="1" x14ac:dyDescent="0.25">
      <c r="AP2364" s="15" t="str">
        <f t="shared" si="36"/>
        <v/>
      </c>
    </row>
    <row r="2365" spans="42:42" ht="12" customHeight="1" x14ac:dyDescent="0.25">
      <c r="AP2365" s="15" t="str">
        <f t="shared" si="36"/>
        <v/>
      </c>
    </row>
    <row r="2366" spans="42:42" ht="12" customHeight="1" x14ac:dyDescent="0.25">
      <c r="AP2366" s="15" t="str">
        <f t="shared" si="36"/>
        <v/>
      </c>
    </row>
    <row r="2367" spans="42:42" ht="12" customHeight="1" x14ac:dyDescent="0.25">
      <c r="AP2367" s="15" t="str">
        <f t="shared" si="36"/>
        <v/>
      </c>
    </row>
    <row r="2368" spans="42:42" ht="12" customHeight="1" x14ac:dyDescent="0.25">
      <c r="AP2368" s="15" t="str">
        <f t="shared" si="36"/>
        <v/>
      </c>
    </row>
    <row r="2369" spans="42:42" ht="12" customHeight="1" x14ac:dyDescent="0.25">
      <c r="AP2369" s="15" t="str">
        <f t="shared" si="36"/>
        <v/>
      </c>
    </row>
    <row r="2370" spans="42:42" ht="12" customHeight="1" x14ac:dyDescent="0.25">
      <c r="AP2370" s="15" t="str">
        <f t="shared" si="36"/>
        <v/>
      </c>
    </row>
    <row r="2371" spans="42:42" ht="12" customHeight="1" x14ac:dyDescent="0.25">
      <c r="AP2371" s="15" t="str">
        <f t="shared" si="36"/>
        <v/>
      </c>
    </row>
    <row r="2372" spans="42:42" ht="12" customHeight="1" x14ac:dyDescent="0.25">
      <c r="AP2372" s="15" t="str">
        <f t="shared" si="36"/>
        <v/>
      </c>
    </row>
    <row r="2373" spans="42:42" ht="12" customHeight="1" x14ac:dyDescent="0.25">
      <c r="AP2373" s="15" t="str">
        <f t="shared" si="36"/>
        <v/>
      </c>
    </row>
    <row r="2374" spans="42:42" ht="12" customHeight="1" x14ac:dyDescent="0.25">
      <c r="AP2374" s="15" t="str">
        <f t="shared" si="36"/>
        <v/>
      </c>
    </row>
    <row r="2375" spans="42:42" ht="12" customHeight="1" x14ac:dyDescent="0.25">
      <c r="AP2375" s="15" t="str">
        <f t="shared" si="36"/>
        <v/>
      </c>
    </row>
    <row r="2376" spans="42:42" ht="12" customHeight="1" x14ac:dyDescent="0.25">
      <c r="AP2376" s="15" t="str">
        <f t="shared" ref="AP2376:AP2439" si="37">IF(AO2376="", "", AO2376&amp;"["&amp;AN2376&amp;"]")</f>
        <v/>
      </c>
    </row>
    <row r="2377" spans="42:42" ht="12" customHeight="1" x14ac:dyDescent="0.25">
      <c r="AP2377" s="15" t="str">
        <f t="shared" si="37"/>
        <v/>
      </c>
    </row>
    <row r="2378" spans="42:42" ht="12" customHeight="1" x14ac:dyDescent="0.25">
      <c r="AP2378" s="15" t="str">
        <f t="shared" si="37"/>
        <v/>
      </c>
    </row>
    <row r="2379" spans="42:42" ht="12" customHeight="1" x14ac:dyDescent="0.25">
      <c r="AP2379" s="15" t="str">
        <f t="shared" si="37"/>
        <v/>
      </c>
    </row>
    <row r="2380" spans="42:42" ht="12" customHeight="1" x14ac:dyDescent="0.25">
      <c r="AP2380" s="15" t="str">
        <f t="shared" si="37"/>
        <v/>
      </c>
    </row>
    <row r="2381" spans="42:42" ht="12" customHeight="1" x14ac:dyDescent="0.25">
      <c r="AP2381" s="15" t="str">
        <f t="shared" si="37"/>
        <v/>
      </c>
    </row>
    <row r="2382" spans="42:42" ht="12" customHeight="1" x14ac:dyDescent="0.25">
      <c r="AP2382" s="15" t="str">
        <f t="shared" si="37"/>
        <v/>
      </c>
    </row>
    <row r="2383" spans="42:42" ht="12" customHeight="1" x14ac:dyDescent="0.25">
      <c r="AP2383" s="15" t="str">
        <f t="shared" si="37"/>
        <v/>
      </c>
    </row>
    <row r="2384" spans="42:42" ht="12" customHeight="1" x14ac:dyDescent="0.25">
      <c r="AP2384" s="15" t="str">
        <f t="shared" si="37"/>
        <v/>
      </c>
    </row>
    <row r="2385" spans="42:42" ht="12" customHeight="1" x14ac:dyDescent="0.25">
      <c r="AP2385" s="15" t="str">
        <f t="shared" si="37"/>
        <v/>
      </c>
    </row>
    <row r="2386" spans="42:42" ht="12" customHeight="1" x14ac:dyDescent="0.25">
      <c r="AP2386" s="15" t="str">
        <f t="shared" si="37"/>
        <v/>
      </c>
    </row>
    <row r="2387" spans="42:42" ht="12" customHeight="1" x14ac:dyDescent="0.25">
      <c r="AP2387" s="15" t="str">
        <f t="shared" si="37"/>
        <v/>
      </c>
    </row>
    <row r="2388" spans="42:42" ht="12" customHeight="1" x14ac:dyDescent="0.25">
      <c r="AP2388" s="15" t="str">
        <f t="shared" si="37"/>
        <v/>
      </c>
    </row>
    <row r="2389" spans="42:42" ht="12" customHeight="1" x14ac:dyDescent="0.25">
      <c r="AP2389" s="15" t="str">
        <f t="shared" si="37"/>
        <v/>
      </c>
    </row>
    <row r="2390" spans="42:42" ht="12" customHeight="1" x14ac:dyDescent="0.25">
      <c r="AP2390" s="15" t="str">
        <f t="shared" si="37"/>
        <v/>
      </c>
    </row>
    <row r="2391" spans="42:42" ht="12" customHeight="1" x14ac:dyDescent="0.25">
      <c r="AP2391" s="15" t="str">
        <f t="shared" si="37"/>
        <v/>
      </c>
    </row>
    <row r="2392" spans="42:42" ht="12" customHeight="1" x14ac:dyDescent="0.25">
      <c r="AP2392" s="15" t="str">
        <f t="shared" si="37"/>
        <v/>
      </c>
    </row>
    <row r="2393" spans="42:42" ht="12" customHeight="1" x14ac:dyDescent="0.25">
      <c r="AP2393" s="15" t="str">
        <f t="shared" si="37"/>
        <v/>
      </c>
    </row>
    <row r="2394" spans="42:42" ht="12" customHeight="1" x14ac:dyDescent="0.25">
      <c r="AP2394" s="15" t="str">
        <f t="shared" si="37"/>
        <v/>
      </c>
    </row>
    <row r="2395" spans="42:42" ht="12" customHeight="1" x14ac:dyDescent="0.25">
      <c r="AP2395" s="15" t="str">
        <f t="shared" si="37"/>
        <v/>
      </c>
    </row>
    <row r="2396" spans="42:42" ht="12" customHeight="1" x14ac:dyDescent="0.25">
      <c r="AP2396" s="15" t="str">
        <f t="shared" si="37"/>
        <v/>
      </c>
    </row>
    <row r="2397" spans="42:42" ht="12" customHeight="1" x14ac:dyDescent="0.25">
      <c r="AP2397" s="15" t="str">
        <f t="shared" si="37"/>
        <v/>
      </c>
    </row>
    <row r="2398" spans="42:42" ht="12" customHeight="1" x14ac:dyDescent="0.25">
      <c r="AP2398" s="15" t="str">
        <f t="shared" si="37"/>
        <v/>
      </c>
    </row>
    <row r="2399" spans="42:42" ht="12" customHeight="1" x14ac:dyDescent="0.25">
      <c r="AP2399" s="15" t="str">
        <f t="shared" si="37"/>
        <v/>
      </c>
    </row>
    <row r="2400" spans="42:42" ht="12" customHeight="1" x14ac:dyDescent="0.25">
      <c r="AP2400" s="15" t="str">
        <f t="shared" si="37"/>
        <v/>
      </c>
    </row>
    <row r="2401" spans="42:42" ht="12" customHeight="1" x14ac:dyDescent="0.25">
      <c r="AP2401" s="15" t="str">
        <f t="shared" si="37"/>
        <v/>
      </c>
    </row>
    <row r="2402" spans="42:42" ht="12" customHeight="1" x14ac:dyDescent="0.25">
      <c r="AP2402" s="15" t="str">
        <f t="shared" si="37"/>
        <v/>
      </c>
    </row>
    <row r="2403" spans="42:42" ht="12" customHeight="1" x14ac:dyDescent="0.25">
      <c r="AP2403" s="15" t="str">
        <f t="shared" si="37"/>
        <v/>
      </c>
    </row>
    <row r="2404" spans="42:42" ht="12" customHeight="1" x14ac:dyDescent="0.25">
      <c r="AP2404" s="15" t="str">
        <f t="shared" si="37"/>
        <v/>
      </c>
    </row>
    <row r="2405" spans="42:42" ht="12" customHeight="1" x14ac:dyDescent="0.25">
      <c r="AP2405" s="15" t="str">
        <f t="shared" si="37"/>
        <v/>
      </c>
    </row>
    <row r="2406" spans="42:42" ht="12" customHeight="1" x14ac:dyDescent="0.25">
      <c r="AP2406" s="15" t="str">
        <f t="shared" si="37"/>
        <v/>
      </c>
    </row>
    <row r="2407" spans="42:42" ht="12" customHeight="1" x14ac:dyDescent="0.25">
      <c r="AP2407" s="15" t="str">
        <f t="shared" si="37"/>
        <v/>
      </c>
    </row>
    <row r="2408" spans="42:42" ht="12" customHeight="1" x14ac:dyDescent="0.25">
      <c r="AP2408" s="15" t="str">
        <f t="shared" si="37"/>
        <v/>
      </c>
    </row>
    <row r="2409" spans="42:42" ht="12" customHeight="1" x14ac:dyDescent="0.25">
      <c r="AP2409" s="15" t="str">
        <f t="shared" si="37"/>
        <v/>
      </c>
    </row>
    <row r="2410" spans="42:42" ht="12" customHeight="1" x14ac:dyDescent="0.25">
      <c r="AP2410" s="15" t="str">
        <f t="shared" si="37"/>
        <v/>
      </c>
    </row>
    <row r="2411" spans="42:42" ht="12" customHeight="1" x14ac:dyDescent="0.25">
      <c r="AP2411" s="15" t="str">
        <f t="shared" si="37"/>
        <v/>
      </c>
    </row>
    <row r="2412" spans="42:42" ht="12" customHeight="1" x14ac:dyDescent="0.25">
      <c r="AP2412" s="15" t="str">
        <f t="shared" si="37"/>
        <v/>
      </c>
    </row>
    <row r="2413" spans="42:42" ht="12" customHeight="1" x14ac:dyDescent="0.25">
      <c r="AP2413" s="15" t="str">
        <f t="shared" si="37"/>
        <v/>
      </c>
    </row>
    <row r="2414" spans="42:42" ht="12" customHeight="1" x14ac:dyDescent="0.25">
      <c r="AP2414" s="15" t="str">
        <f t="shared" si="37"/>
        <v/>
      </c>
    </row>
    <row r="2415" spans="42:42" ht="12" customHeight="1" x14ac:dyDescent="0.25">
      <c r="AP2415" s="15" t="str">
        <f t="shared" si="37"/>
        <v/>
      </c>
    </row>
    <row r="2416" spans="42:42" ht="12" customHeight="1" x14ac:dyDescent="0.25">
      <c r="AP2416" s="15" t="str">
        <f t="shared" si="37"/>
        <v/>
      </c>
    </row>
    <row r="2417" spans="42:42" ht="12" customHeight="1" x14ac:dyDescent="0.25">
      <c r="AP2417" s="15" t="str">
        <f t="shared" si="37"/>
        <v/>
      </c>
    </row>
    <row r="2418" spans="42:42" ht="12" customHeight="1" x14ac:dyDescent="0.25">
      <c r="AP2418" s="15" t="str">
        <f t="shared" si="37"/>
        <v/>
      </c>
    </row>
    <row r="2419" spans="42:42" ht="12" customHeight="1" x14ac:dyDescent="0.25">
      <c r="AP2419" s="15" t="str">
        <f t="shared" si="37"/>
        <v/>
      </c>
    </row>
    <row r="2420" spans="42:42" ht="12" customHeight="1" x14ac:dyDescent="0.25">
      <c r="AP2420" s="15" t="str">
        <f t="shared" si="37"/>
        <v/>
      </c>
    </row>
    <row r="2421" spans="42:42" ht="12" customHeight="1" x14ac:dyDescent="0.25">
      <c r="AP2421" s="15" t="str">
        <f t="shared" si="37"/>
        <v/>
      </c>
    </row>
    <row r="2422" spans="42:42" ht="12" customHeight="1" x14ac:dyDescent="0.25">
      <c r="AP2422" s="15" t="str">
        <f t="shared" si="37"/>
        <v/>
      </c>
    </row>
    <row r="2423" spans="42:42" ht="12" customHeight="1" x14ac:dyDescent="0.25">
      <c r="AP2423" s="15" t="str">
        <f t="shared" si="37"/>
        <v/>
      </c>
    </row>
    <row r="2424" spans="42:42" ht="12" customHeight="1" x14ac:dyDescent="0.25">
      <c r="AP2424" s="15" t="str">
        <f t="shared" si="37"/>
        <v/>
      </c>
    </row>
    <row r="2425" spans="42:42" ht="12" customHeight="1" x14ac:dyDescent="0.25">
      <c r="AP2425" s="15" t="str">
        <f t="shared" si="37"/>
        <v/>
      </c>
    </row>
    <row r="2426" spans="42:42" ht="12" customHeight="1" x14ac:dyDescent="0.25">
      <c r="AP2426" s="15" t="str">
        <f t="shared" si="37"/>
        <v/>
      </c>
    </row>
    <row r="2427" spans="42:42" ht="12" customHeight="1" x14ac:dyDescent="0.25">
      <c r="AP2427" s="15" t="str">
        <f t="shared" si="37"/>
        <v/>
      </c>
    </row>
    <row r="2428" spans="42:42" ht="12" customHeight="1" x14ac:dyDescent="0.25">
      <c r="AP2428" s="15" t="str">
        <f t="shared" si="37"/>
        <v/>
      </c>
    </row>
    <row r="2429" spans="42:42" ht="12" customHeight="1" x14ac:dyDescent="0.25">
      <c r="AP2429" s="15" t="str">
        <f t="shared" si="37"/>
        <v/>
      </c>
    </row>
    <row r="2430" spans="42:42" ht="12" customHeight="1" x14ac:dyDescent="0.25">
      <c r="AP2430" s="15" t="str">
        <f t="shared" si="37"/>
        <v/>
      </c>
    </row>
    <row r="2431" spans="42:42" ht="12" customHeight="1" x14ac:dyDescent="0.25">
      <c r="AP2431" s="15" t="str">
        <f t="shared" si="37"/>
        <v/>
      </c>
    </row>
    <row r="2432" spans="42:42" ht="12" customHeight="1" x14ac:dyDescent="0.25">
      <c r="AP2432" s="15" t="str">
        <f t="shared" si="37"/>
        <v/>
      </c>
    </row>
    <row r="2433" spans="42:42" ht="12" customHeight="1" x14ac:dyDescent="0.25">
      <c r="AP2433" s="15" t="str">
        <f t="shared" si="37"/>
        <v/>
      </c>
    </row>
    <row r="2434" spans="42:42" ht="12" customHeight="1" x14ac:dyDescent="0.25">
      <c r="AP2434" s="15" t="str">
        <f t="shared" si="37"/>
        <v/>
      </c>
    </row>
    <row r="2435" spans="42:42" ht="12" customHeight="1" x14ac:dyDescent="0.25">
      <c r="AP2435" s="15" t="str">
        <f t="shared" si="37"/>
        <v/>
      </c>
    </row>
    <row r="2436" spans="42:42" ht="12" customHeight="1" x14ac:dyDescent="0.25">
      <c r="AP2436" s="15" t="str">
        <f t="shared" si="37"/>
        <v/>
      </c>
    </row>
    <row r="2437" spans="42:42" ht="12" customHeight="1" x14ac:dyDescent="0.25">
      <c r="AP2437" s="15" t="str">
        <f t="shared" si="37"/>
        <v/>
      </c>
    </row>
    <row r="2438" spans="42:42" ht="12" customHeight="1" x14ac:dyDescent="0.25">
      <c r="AP2438" s="15" t="str">
        <f t="shared" si="37"/>
        <v/>
      </c>
    </row>
    <row r="2439" spans="42:42" ht="12" customHeight="1" x14ac:dyDescent="0.25">
      <c r="AP2439" s="15" t="str">
        <f t="shared" si="37"/>
        <v/>
      </c>
    </row>
    <row r="2440" spans="42:42" ht="12" customHeight="1" x14ac:dyDescent="0.25">
      <c r="AP2440" s="15" t="str">
        <f t="shared" ref="AP2440:AP2503" si="38">IF(AO2440="", "", AO2440&amp;"["&amp;AN2440&amp;"]")</f>
        <v/>
      </c>
    </row>
    <row r="2441" spans="42:42" ht="12" customHeight="1" x14ac:dyDescent="0.25">
      <c r="AP2441" s="15" t="str">
        <f t="shared" si="38"/>
        <v/>
      </c>
    </row>
    <row r="2442" spans="42:42" ht="12" customHeight="1" x14ac:dyDescent="0.25">
      <c r="AP2442" s="15" t="str">
        <f t="shared" si="38"/>
        <v/>
      </c>
    </row>
    <row r="2443" spans="42:42" ht="12" customHeight="1" x14ac:dyDescent="0.25">
      <c r="AP2443" s="15" t="str">
        <f t="shared" si="38"/>
        <v/>
      </c>
    </row>
    <row r="2444" spans="42:42" ht="12" customHeight="1" x14ac:dyDescent="0.25">
      <c r="AP2444" s="15" t="str">
        <f t="shared" si="38"/>
        <v/>
      </c>
    </row>
    <row r="2445" spans="42:42" ht="12" customHeight="1" x14ac:dyDescent="0.25">
      <c r="AP2445" s="15" t="str">
        <f t="shared" si="38"/>
        <v/>
      </c>
    </row>
    <row r="2446" spans="42:42" ht="12" customHeight="1" x14ac:dyDescent="0.25">
      <c r="AP2446" s="15" t="str">
        <f t="shared" si="38"/>
        <v/>
      </c>
    </row>
    <row r="2447" spans="42:42" ht="12" customHeight="1" x14ac:dyDescent="0.25">
      <c r="AP2447" s="15" t="str">
        <f t="shared" si="38"/>
        <v/>
      </c>
    </row>
    <row r="2448" spans="42:42" ht="12" customHeight="1" x14ac:dyDescent="0.25">
      <c r="AP2448" s="15" t="str">
        <f t="shared" si="38"/>
        <v/>
      </c>
    </row>
    <row r="2449" spans="42:42" ht="12" customHeight="1" x14ac:dyDescent="0.25">
      <c r="AP2449" s="15" t="str">
        <f t="shared" si="38"/>
        <v/>
      </c>
    </row>
    <row r="2450" spans="42:42" ht="12" customHeight="1" x14ac:dyDescent="0.25">
      <c r="AP2450" s="15" t="str">
        <f t="shared" si="38"/>
        <v/>
      </c>
    </row>
    <row r="2451" spans="42:42" ht="12" customHeight="1" x14ac:dyDescent="0.25">
      <c r="AP2451" s="15" t="str">
        <f t="shared" si="38"/>
        <v/>
      </c>
    </row>
    <row r="2452" spans="42:42" ht="12" customHeight="1" x14ac:dyDescent="0.25">
      <c r="AP2452" s="15" t="str">
        <f t="shared" si="38"/>
        <v/>
      </c>
    </row>
    <row r="2453" spans="42:42" ht="12" customHeight="1" x14ac:dyDescent="0.25">
      <c r="AP2453" s="15" t="str">
        <f t="shared" si="38"/>
        <v/>
      </c>
    </row>
    <row r="2454" spans="42:42" ht="12" customHeight="1" x14ac:dyDescent="0.25">
      <c r="AP2454" s="15" t="str">
        <f t="shared" si="38"/>
        <v/>
      </c>
    </row>
    <row r="2455" spans="42:42" ht="12" customHeight="1" x14ac:dyDescent="0.25">
      <c r="AP2455" s="15" t="str">
        <f t="shared" si="38"/>
        <v/>
      </c>
    </row>
    <row r="2456" spans="42:42" ht="12" customHeight="1" x14ac:dyDescent="0.25">
      <c r="AP2456" s="15" t="str">
        <f t="shared" si="38"/>
        <v/>
      </c>
    </row>
    <row r="2457" spans="42:42" ht="12" customHeight="1" x14ac:dyDescent="0.25">
      <c r="AP2457" s="15" t="str">
        <f t="shared" si="38"/>
        <v/>
      </c>
    </row>
    <row r="2458" spans="42:42" ht="12" customHeight="1" x14ac:dyDescent="0.25">
      <c r="AP2458" s="15" t="str">
        <f t="shared" si="38"/>
        <v/>
      </c>
    </row>
    <row r="2459" spans="42:42" ht="12" customHeight="1" x14ac:dyDescent="0.25">
      <c r="AP2459" s="15" t="str">
        <f t="shared" si="38"/>
        <v/>
      </c>
    </row>
    <row r="2460" spans="42:42" ht="12" customHeight="1" x14ac:dyDescent="0.25">
      <c r="AP2460" s="15" t="str">
        <f t="shared" si="38"/>
        <v/>
      </c>
    </row>
    <row r="2461" spans="42:42" ht="12" customHeight="1" x14ac:dyDescent="0.25">
      <c r="AP2461" s="15" t="str">
        <f t="shared" si="38"/>
        <v/>
      </c>
    </row>
    <row r="2462" spans="42:42" ht="12" customHeight="1" x14ac:dyDescent="0.25">
      <c r="AP2462" s="15" t="str">
        <f t="shared" si="38"/>
        <v/>
      </c>
    </row>
    <row r="2463" spans="42:42" ht="12" customHeight="1" x14ac:dyDescent="0.25">
      <c r="AP2463" s="15" t="str">
        <f t="shared" si="38"/>
        <v/>
      </c>
    </row>
    <row r="2464" spans="42:42" ht="12" customHeight="1" x14ac:dyDescent="0.25">
      <c r="AP2464" s="15" t="str">
        <f t="shared" si="38"/>
        <v/>
      </c>
    </row>
    <row r="2465" spans="42:42" ht="12" customHeight="1" x14ac:dyDescent="0.25">
      <c r="AP2465" s="15" t="str">
        <f t="shared" si="38"/>
        <v/>
      </c>
    </row>
    <row r="2466" spans="42:42" ht="12" customHeight="1" x14ac:dyDescent="0.25">
      <c r="AP2466" s="15" t="str">
        <f t="shared" si="38"/>
        <v/>
      </c>
    </row>
    <row r="2467" spans="42:42" ht="12" customHeight="1" x14ac:dyDescent="0.25">
      <c r="AP2467" s="15" t="str">
        <f t="shared" si="38"/>
        <v/>
      </c>
    </row>
    <row r="2468" spans="42:42" ht="12" customHeight="1" x14ac:dyDescent="0.25">
      <c r="AP2468" s="15" t="str">
        <f t="shared" si="38"/>
        <v/>
      </c>
    </row>
    <row r="2469" spans="42:42" ht="12" customHeight="1" x14ac:dyDescent="0.25">
      <c r="AP2469" s="15" t="str">
        <f t="shared" si="38"/>
        <v/>
      </c>
    </row>
    <row r="2470" spans="42:42" ht="12" customHeight="1" x14ac:dyDescent="0.25">
      <c r="AP2470" s="15" t="str">
        <f t="shared" si="38"/>
        <v/>
      </c>
    </row>
    <row r="2471" spans="42:42" ht="12" customHeight="1" x14ac:dyDescent="0.25">
      <c r="AP2471" s="15" t="str">
        <f t="shared" si="38"/>
        <v/>
      </c>
    </row>
    <row r="2472" spans="42:42" ht="12" customHeight="1" x14ac:dyDescent="0.25">
      <c r="AP2472" s="15" t="str">
        <f t="shared" si="38"/>
        <v/>
      </c>
    </row>
    <row r="2473" spans="42:42" ht="12" customHeight="1" x14ac:dyDescent="0.25">
      <c r="AP2473" s="15" t="str">
        <f t="shared" si="38"/>
        <v/>
      </c>
    </row>
    <row r="2474" spans="42:42" ht="12" customHeight="1" x14ac:dyDescent="0.25">
      <c r="AP2474" s="15" t="str">
        <f t="shared" si="38"/>
        <v/>
      </c>
    </row>
    <row r="2475" spans="42:42" ht="12" customHeight="1" x14ac:dyDescent="0.25">
      <c r="AP2475" s="15" t="str">
        <f t="shared" si="38"/>
        <v/>
      </c>
    </row>
    <row r="2476" spans="42:42" ht="12" customHeight="1" x14ac:dyDescent="0.25">
      <c r="AP2476" s="15" t="str">
        <f t="shared" si="38"/>
        <v/>
      </c>
    </row>
    <row r="2477" spans="42:42" ht="12" customHeight="1" x14ac:dyDescent="0.25">
      <c r="AP2477" s="15" t="str">
        <f t="shared" si="38"/>
        <v/>
      </c>
    </row>
    <row r="2478" spans="42:42" ht="12" customHeight="1" x14ac:dyDescent="0.25">
      <c r="AP2478" s="15" t="str">
        <f t="shared" si="38"/>
        <v/>
      </c>
    </row>
    <row r="2479" spans="42:42" ht="12" customHeight="1" x14ac:dyDescent="0.25">
      <c r="AP2479" s="15" t="str">
        <f t="shared" si="38"/>
        <v/>
      </c>
    </row>
    <row r="2480" spans="42:42" ht="12" customHeight="1" x14ac:dyDescent="0.25">
      <c r="AP2480" s="15" t="str">
        <f t="shared" si="38"/>
        <v/>
      </c>
    </row>
    <row r="2481" spans="42:42" ht="12" customHeight="1" x14ac:dyDescent="0.25">
      <c r="AP2481" s="15" t="str">
        <f t="shared" si="38"/>
        <v/>
      </c>
    </row>
    <row r="2482" spans="42:42" ht="12" customHeight="1" x14ac:dyDescent="0.25">
      <c r="AP2482" s="15" t="str">
        <f t="shared" si="38"/>
        <v/>
      </c>
    </row>
    <row r="2483" spans="42:42" ht="12" customHeight="1" x14ac:dyDescent="0.25">
      <c r="AP2483" s="15" t="str">
        <f t="shared" si="38"/>
        <v/>
      </c>
    </row>
    <row r="2484" spans="42:42" ht="12" customHeight="1" x14ac:dyDescent="0.25">
      <c r="AP2484" s="15" t="str">
        <f t="shared" si="38"/>
        <v/>
      </c>
    </row>
    <row r="2485" spans="42:42" ht="12" customHeight="1" x14ac:dyDescent="0.25">
      <c r="AP2485" s="15" t="str">
        <f t="shared" si="38"/>
        <v/>
      </c>
    </row>
    <row r="2486" spans="42:42" ht="12" customHeight="1" x14ac:dyDescent="0.25">
      <c r="AP2486" s="15" t="str">
        <f t="shared" si="38"/>
        <v/>
      </c>
    </row>
    <row r="2487" spans="42:42" ht="12" customHeight="1" x14ac:dyDescent="0.25">
      <c r="AP2487" s="15" t="str">
        <f t="shared" si="38"/>
        <v/>
      </c>
    </row>
    <row r="2488" spans="42:42" ht="12" customHeight="1" x14ac:dyDescent="0.25">
      <c r="AP2488" s="15" t="str">
        <f t="shared" si="38"/>
        <v/>
      </c>
    </row>
    <row r="2489" spans="42:42" ht="12" customHeight="1" x14ac:dyDescent="0.25">
      <c r="AP2489" s="15" t="str">
        <f t="shared" si="38"/>
        <v/>
      </c>
    </row>
    <row r="2490" spans="42:42" ht="12" customHeight="1" x14ac:dyDescent="0.25">
      <c r="AP2490" s="15" t="str">
        <f t="shared" si="38"/>
        <v/>
      </c>
    </row>
    <row r="2491" spans="42:42" ht="12" customHeight="1" x14ac:dyDescent="0.25">
      <c r="AP2491" s="15" t="str">
        <f t="shared" si="38"/>
        <v/>
      </c>
    </row>
    <row r="2492" spans="42:42" ht="12" customHeight="1" x14ac:dyDescent="0.25">
      <c r="AP2492" s="15" t="str">
        <f t="shared" si="38"/>
        <v/>
      </c>
    </row>
    <row r="2493" spans="42:42" ht="12" customHeight="1" x14ac:dyDescent="0.25">
      <c r="AP2493" s="15" t="str">
        <f t="shared" si="38"/>
        <v/>
      </c>
    </row>
    <row r="2494" spans="42:42" ht="12" customHeight="1" x14ac:dyDescent="0.25">
      <c r="AP2494" s="15" t="str">
        <f t="shared" si="38"/>
        <v/>
      </c>
    </row>
    <row r="2495" spans="42:42" ht="12" customHeight="1" x14ac:dyDescent="0.25">
      <c r="AP2495" s="15" t="str">
        <f t="shared" si="38"/>
        <v/>
      </c>
    </row>
    <row r="2496" spans="42:42" ht="12" customHeight="1" x14ac:dyDescent="0.25">
      <c r="AP2496" s="15" t="str">
        <f t="shared" si="38"/>
        <v/>
      </c>
    </row>
    <row r="2497" spans="42:42" ht="12" customHeight="1" x14ac:dyDescent="0.25">
      <c r="AP2497" s="15" t="str">
        <f t="shared" si="38"/>
        <v/>
      </c>
    </row>
    <row r="2498" spans="42:42" ht="12" customHeight="1" x14ac:dyDescent="0.25">
      <c r="AP2498" s="15" t="str">
        <f t="shared" si="38"/>
        <v/>
      </c>
    </row>
    <row r="2499" spans="42:42" ht="12" customHeight="1" x14ac:dyDescent="0.25">
      <c r="AP2499" s="15" t="str">
        <f t="shared" si="38"/>
        <v/>
      </c>
    </row>
    <row r="2500" spans="42:42" ht="12" customHeight="1" x14ac:dyDescent="0.25">
      <c r="AP2500" s="15" t="str">
        <f t="shared" si="38"/>
        <v/>
      </c>
    </row>
    <row r="2501" spans="42:42" ht="12" customHeight="1" x14ac:dyDescent="0.25">
      <c r="AP2501" s="15" t="str">
        <f t="shared" si="38"/>
        <v/>
      </c>
    </row>
    <row r="2502" spans="42:42" ht="12" customHeight="1" x14ac:dyDescent="0.25">
      <c r="AP2502" s="15" t="str">
        <f t="shared" si="38"/>
        <v/>
      </c>
    </row>
    <row r="2503" spans="42:42" ht="12" customHeight="1" x14ac:dyDescent="0.25">
      <c r="AP2503" s="15" t="str">
        <f t="shared" si="38"/>
        <v/>
      </c>
    </row>
    <row r="2504" spans="42:42" ht="12" customHeight="1" x14ac:dyDescent="0.25">
      <c r="AP2504" s="15" t="str">
        <f t="shared" ref="AP2504:AP2567" si="39">IF(AO2504="", "", AO2504&amp;"["&amp;AN2504&amp;"]")</f>
        <v/>
      </c>
    </row>
    <row r="2505" spans="42:42" ht="12" customHeight="1" x14ac:dyDescent="0.25">
      <c r="AP2505" s="15" t="str">
        <f t="shared" si="39"/>
        <v/>
      </c>
    </row>
    <row r="2506" spans="42:42" ht="12" customHeight="1" x14ac:dyDescent="0.25">
      <c r="AP2506" s="15" t="str">
        <f t="shared" si="39"/>
        <v/>
      </c>
    </row>
    <row r="2507" spans="42:42" ht="12" customHeight="1" x14ac:dyDescent="0.25">
      <c r="AP2507" s="15" t="str">
        <f t="shared" si="39"/>
        <v/>
      </c>
    </row>
    <row r="2508" spans="42:42" ht="12" customHeight="1" x14ac:dyDescent="0.25">
      <c r="AP2508" s="15" t="str">
        <f t="shared" si="39"/>
        <v/>
      </c>
    </row>
    <row r="2509" spans="42:42" ht="12" customHeight="1" x14ac:dyDescent="0.25">
      <c r="AP2509" s="15" t="str">
        <f t="shared" si="39"/>
        <v/>
      </c>
    </row>
    <row r="2510" spans="42:42" ht="12" customHeight="1" x14ac:dyDescent="0.25">
      <c r="AP2510" s="15" t="str">
        <f t="shared" si="39"/>
        <v/>
      </c>
    </row>
    <row r="2511" spans="42:42" ht="12" customHeight="1" x14ac:dyDescent="0.25">
      <c r="AP2511" s="15" t="str">
        <f t="shared" si="39"/>
        <v/>
      </c>
    </row>
    <row r="2512" spans="42:42" ht="12" customHeight="1" x14ac:dyDescent="0.25">
      <c r="AP2512" s="15" t="str">
        <f t="shared" si="39"/>
        <v/>
      </c>
    </row>
    <row r="2513" spans="42:42" ht="12" customHeight="1" x14ac:dyDescent="0.25">
      <c r="AP2513" s="15" t="str">
        <f t="shared" si="39"/>
        <v/>
      </c>
    </row>
    <row r="2514" spans="42:42" ht="12" customHeight="1" x14ac:dyDescent="0.25">
      <c r="AP2514" s="15" t="str">
        <f t="shared" si="39"/>
        <v/>
      </c>
    </row>
    <row r="2515" spans="42:42" ht="12" customHeight="1" x14ac:dyDescent="0.25">
      <c r="AP2515" s="15" t="str">
        <f t="shared" si="39"/>
        <v/>
      </c>
    </row>
    <row r="2516" spans="42:42" ht="12" customHeight="1" x14ac:dyDescent="0.25">
      <c r="AP2516" s="15" t="str">
        <f t="shared" si="39"/>
        <v/>
      </c>
    </row>
    <row r="2517" spans="42:42" ht="12" customHeight="1" x14ac:dyDescent="0.25">
      <c r="AP2517" s="15" t="str">
        <f t="shared" si="39"/>
        <v/>
      </c>
    </row>
    <row r="2518" spans="42:42" ht="12" customHeight="1" x14ac:dyDescent="0.25">
      <c r="AP2518" s="15" t="str">
        <f t="shared" si="39"/>
        <v/>
      </c>
    </row>
    <row r="2519" spans="42:42" ht="12" customHeight="1" x14ac:dyDescent="0.25">
      <c r="AP2519" s="15" t="str">
        <f t="shared" si="39"/>
        <v/>
      </c>
    </row>
    <row r="2520" spans="42:42" ht="12" customHeight="1" x14ac:dyDescent="0.25">
      <c r="AP2520" s="15" t="str">
        <f t="shared" si="39"/>
        <v/>
      </c>
    </row>
    <row r="2521" spans="42:42" ht="12" customHeight="1" x14ac:dyDescent="0.25">
      <c r="AP2521" s="15" t="str">
        <f t="shared" si="39"/>
        <v/>
      </c>
    </row>
    <row r="2522" spans="42:42" ht="12" customHeight="1" x14ac:dyDescent="0.25">
      <c r="AP2522" s="15" t="str">
        <f t="shared" si="39"/>
        <v/>
      </c>
    </row>
    <row r="2523" spans="42:42" ht="12" customHeight="1" x14ac:dyDescent="0.25">
      <c r="AP2523" s="15" t="str">
        <f t="shared" si="39"/>
        <v/>
      </c>
    </row>
    <row r="2524" spans="42:42" ht="12" customHeight="1" x14ac:dyDescent="0.25">
      <c r="AP2524" s="15" t="str">
        <f t="shared" si="39"/>
        <v/>
      </c>
    </row>
    <row r="2525" spans="42:42" ht="12" customHeight="1" x14ac:dyDescent="0.25">
      <c r="AP2525" s="15" t="str">
        <f t="shared" si="39"/>
        <v/>
      </c>
    </row>
    <row r="2526" spans="42:42" ht="12" customHeight="1" x14ac:dyDescent="0.25">
      <c r="AP2526" s="15" t="str">
        <f t="shared" si="39"/>
        <v/>
      </c>
    </row>
    <row r="2527" spans="42:42" ht="12" customHeight="1" x14ac:dyDescent="0.25">
      <c r="AP2527" s="15" t="str">
        <f t="shared" si="39"/>
        <v/>
      </c>
    </row>
    <row r="2528" spans="42:42" ht="12" customHeight="1" x14ac:dyDescent="0.25">
      <c r="AP2528" s="15" t="str">
        <f t="shared" si="39"/>
        <v/>
      </c>
    </row>
    <row r="2529" spans="42:42" ht="12" customHeight="1" x14ac:dyDescent="0.25">
      <c r="AP2529" s="15" t="str">
        <f t="shared" si="39"/>
        <v/>
      </c>
    </row>
    <row r="2530" spans="42:42" ht="12" customHeight="1" x14ac:dyDescent="0.25">
      <c r="AP2530" s="15" t="str">
        <f t="shared" si="39"/>
        <v/>
      </c>
    </row>
    <row r="2531" spans="42:42" ht="12" customHeight="1" x14ac:dyDescent="0.25">
      <c r="AP2531" s="15" t="str">
        <f t="shared" si="39"/>
        <v/>
      </c>
    </row>
    <row r="2532" spans="42:42" ht="12" customHeight="1" x14ac:dyDescent="0.25">
      <c r="AP2532" s="15" t="str">
        <f t="shared" si="39"/>
        <v/>
      </c>
    </row>
    <row r="2533" spans="42:42" ht="12" customHeight="1" x14ac:dyDescent="0.25">
      <c r="AP2533" s="15" t="str">
        <f t="shared" si="39"/>
        <v/>
      </c>
    </row>
    <row r="2534" spans="42:42" ht="12" customHeight="1" x14ac:dyDescent="0.25">
      <c r="AP2534" s="15" t="str">
        <f t="shared" si="39"/>
        <v/>
      </c>
    </row>
    <row r="2535" spans="42:42" ht="12" customHeight="1" x14ac:dyDescent="0.25">
      <c r="AP2535" s="15" t="str">
        <f t="shared" si="39"/>
        <v/>
      </c>
    </row>
    <row r="2536" spans="42:42" ht="12" customHeight="1" x14ac:dyDescent="0.25">
      <c r="AP2536" s="15" t="str">
        <f t="shared" si="39"/>
        <v/>
      </c>
    </row>
    <row r="2537" spans="42:42" ht="12" customHeight="1" x14ac:dyDescent="0.25">
      <c r="AP2537" s="15" t="str">
        <f t="shared" si="39"/>
        <v/>
      </c>
    </row>
    <row r="2538" spans="42:42" ht="12" customHeight="1" x14ac:dyDescent="0.25">
      <c r="AP2538" s="15" t="str">
        <f t="shared" si="39"/>
        <v/>
      </c>
    </row>
    <row r="2539" spans="42:42" ht="12" customHeight="1" x14ac:dyDescent="0.25">
      <c r="AP2539" s="15" t="str">
        <f t="shared" si="39"/>
        <v/>
      </c>
    </row>
    <row r="2540" spans="42:42" ht="12" customHeight="1" x14ac:dyDescent="0.25">
      <c r="AP2540" s="15" t="str">
        <f t="shared" si="39"/>
        <v/>
      </c>
    </row>
    <row r="2541" spans="42:42" ht="12" customHeight="1" x14ac:dyDescent="0.25">
      <c r="AP2541" s="15" t="str">
        <f t="shared" si="39"/>
        <v/>
      </c>
    </row>
    <row r="2542" spans="42:42" ht="12" customHeight="1" x14ac:dyDescent="0.25">
      <c r="AP2542" s="15" t="str">
        <f t="shared" si="39"/>
        <v/>
      </c>
    </row>
    <row r="2543" spans="42:42" ht="12" customHeight="1" x14ac:dyDescent="0.25">
      <c r="AP2543" s="15" t="str">
        <f t="shared" si="39"/>
        <v/>
      </c>
    </row>
    <row r="2544" spans="42:42" ht="12" customHeight="1" x14ac:dyDescent="0.25">
      <c r="AP2544" s="15" t="str">
        <f t="shared" si="39"/>
        <v/>
      </c>
    </row>
    <row r="2545" spans="42:42" ht="12" customHeight="1" x14ac:dyDescent="0.25">
      <c r="AP2545" s="15" t="str">
        <f t="shared" si="39"/>
        <v/>
      </c>
    </row>
    <row r="2546" spans="42:42" ht="12" customHeight="1" x14ac:dyDescent="0.25">
      <c r="AP2546" s="15" t="str">
        <f t="shared" si="39"/>
        <v/>
      </c>
    </row>
    <row r="2547" spans="42:42" ht="12" customHeight="1" x14ac:dyDescent="0.25">
      <c r="AP2547" s="15" t="str">
        <f t="shared" si="39"/>
        <v/>
      </c>
    </row>
    <row r="2548" spans="42:42" ht="12" customHeight="1" x14ac:dyDescent="0.25">
      <c r="AP2548" s="15" t="str">
        <f t="shared" si="39"/>
        <v/>
      </c>
    </row>
    <row r="2549" spans="42:42" ht="12" customHeight="1" x14ac:dyDescent="0.25">
      <c r="AP2549" s="15" t="str">
        <f t="shared" si="39"/>
        <v/>
      </c>
    </row>
    <row r="2550" spans="42:42" ht="12" customHeight="1" x14ac:dyDescent="0.25">
      <c r="AP2550" s="15" t="str">
        <f t="shared" si="39"/>
        <v/>
      </c>
    </row>
    <row r="2551" spans="42:42" ht="12" customHeight="1" x14ac:dyDescent="0.25">
      <c r="AP2551" s="15" t="str">
        <f t="shared" si="39"/>
        <v/>
      </c>
    </row>
    <row r="2552" spans="42:42" ht="12" customHeight="1" x14ac:dyDescent="0.25">
      <c r="AP2552" s="15" t="str">
        <f t="shared" si="39"/>
        <v/>
      </c>
    </row>
    <row r="2553" spans="42:42" ht="12" customHeight="1" x14ac:dyDescent="0.25">
      <c r="AP2553" s="15" t="str">
        <f t="shared" si="39"/>
        <v/>
      </c>
    </row>
    <row r="2554" spans="42:42" ht="12" customHeight="1" x14ac:dyDescent="0.25">
      <c r="AP2554" s="15" t="str">
        <f t="shared" si="39"/>
        <v/>
      </c>
    </row>
    <row r="2555" spans="42:42" ht="12" customHeight="1" x14ac:dyDescent="0.25">
      <c r="AP2555" s="15" t="str">
        <f t="shared" si="39"/>
        <v/>
      </c>
    </row>
    <row r="2556" spans="42:42" ht="12" customHeight="1" x14ac:dyDescent="0.25">
      <c r="AP2556" s="15" t="str">
        <f t="shared" si="39"/>
        <v/>
      </c>
    </row>
    <row r="2557" spans="42:42" ht="12" customHeight="1" x14ac:dyDescent="0.25">
      <c r="AP2557" s="15" t="str">
        <f t="shared" si="39"/>
        <v/>
      </c>
    </row>
    <row r="2558" spans="42:42" ht="12" customHeight="1" x14ac:dyDescent="0.25">
      <c r="AP2558" s="15" t="str">
        <f t="shared" si="39"/>
        <v/>
      </c>
    </row>
    <row r="2559" spans="42:42" ht="12" customHeight="1" x14ac:dyDescent="0.25">
      <c r="AP2559" s="15" t="str">
        <f t="shared" si="39"/>
        <v/>
      </c>
    </row>
    <row r="2560" spans="42:42" ht="12" customHeight="1" x14ac:dyDescent="0.25">
      <c r="AP2560" s="15" t="str">
        <f t="shared" si="39"/>
        <v/>
      </c>
    </row>
    <row r="2561" spans="42:42" ht="12" customHeight="1" x14ac:dyDescent="0.25">
      <c r="AP2561" s="15" t="str">
        <f t="shared" si="39"/>
        <v/>
      </c>
    </row>
    <row r="2562" spans="42:42" ht="12" customHeight="1" x14ac:dyDescent="0.25">
      <c r="AP2562" s="15" t="str">
        <f t="shared" si="39"/>
        <v/>
      </c>
    </row>
    <row r="2563" spans="42:42" ht="12" customHeight="1" x14ac:dyDescent="0.25">
      <c r="AP2563" s="15" t="str">
        <f t="shared" si="39"/>
        <v/>
      </c>
    </row>
    <row r="2564" spans="42:42" ht="12" customHeight="1" x14ac:dyDescent="0.25">
      <c r="AP2564" s="15" t="str">
        <f t="shared" si="39"/>
        <v/>
      </c>
    </row>
    <row r="2565" spans="42:42" ht="12" customHeight="1" x14ac:dyDescent="0.25">
      <c r="AP2565" s="15" t="str">
        <f t="shared" si="39"/>
        <v/>
      </c>
    </row>
    <row r="2566" spans="42:42" ht="12" customHeight="1" x14ac:dyDescent="0.25">
      <c r="AP2566" s="15" t="str">
        <f t="shared" si="39"/>
        <v/>
      </c>
    </row>
    <row r="2567" spans="42:42" ht="12" customHeight="1" x14ac:dyDescent="0.25">
      <c r="AP2567" s="15" t="str">
        <f t="shared" si="39"/>
        <v/>
      </c>
    </row>
    <row r="2568" spans="42:42" ht="12" customHeight="1" x14ac:dyDescent="0.25">
      <c r="AP2568" s="15" t="str">
        <f t="shared" ref="AP2568:AP2631" si="40">IF(AO2568="", "", AO2568&amp;"["&amp;AN2568&amp;"]")</f>
        <v/>
      </c>
    </row>
    <row r="2569" spans="42:42" ht="12" customHeight="1" x14ac:dyDescent="0.25">
      <c r="AP2569" s="15" t="str">
        <f t="shared" si="40"/>
        <v/>
      </c>
    </row>
    <row r="2570" spans="42:42" ht="12" customHeight="1" x14ac:dyDescent="0.25">
      <c r="AP2570" s="15" t="str">
        <f t="shared" si="40"/>
        <v/>
      </c>
    </row>
    <row r="2571" spans="42:42" ht="12" customHeight="1" x14ac:dyDescent="0.25">
      <c r="AP2571" s="15" t="str">
        <f t="shared" si="40"/>
        <v/>
      </c>
    </row>
    <row r="2572" spans="42:42" ht="12" customHeight="1" x14ac:dyDescent="0.25">
      <c r="AP2572" s="15" t="str">
        <f t="shared" si="40"/>
        <v/>
      </c>
    </row>
    <row r="2573" spans="42:42" ht="12" customHeight="1" x14ac:dyDescent="0.25">
      <c r="AP2573" s="15" t="str">
        <f t="shared" si="40"/>
        <v/>
      </c>
    </row>
    <row r="2574" spans="42:42" ht="12" customHeight="1" x14ac:dyDescent="0.25">
      <c r="AP2574" s="15" t="str">
        <f t="shared" si="40"/>
        <v/>
      </c>
    </row>
    <row r="2575" spans="42:42" ht="12" customHeight="1" x14ac:dyDescent="0.25">
      <c r="AP2575" s="15" t="str">
        <f t="shared" si="40"/>
        <v/>
      </c>
    </row>
    <row r="2576" spans="42:42" ht="12" customHeight="1" x14ac:dyDescent="0.25">
      <c r="AP2576" s="15" t="str">
        <f t="shared" si="40"/>
        <v/>
      </c>
    </row>
    <row r="2577" spans="42:42" ht="12" customHeight="1" x14ac:dyDescent="0.25">
      <c r="AP2577" s="15" t="str">
        <f t="shared" si="40"/>
        <v/>
      </c>
    </row>
    <row r="2578" spans="42:42" ht="12" customHeight="1" x14ac:dyDescent="0.25">
      <c r="AP2578" s="15" t="str">
        <f t="shared" si="40"/>
        <v/>
      </c>
    </row>
    <row r="2579" spans="42:42" ht="12" customHeight="1" x14ac:dyDescent="0.25">
      <c r="AP2579" s="15" t="str">
        <f t="shared" si="40"/>
        <v/>
      </c>
    </row>
    <row r="2580" spans="42:42" ht="12" customHeight="1" x14ac:dyDescent="0.25">
      <c r="AP2580" s="15" t="str">
        <f t="shared" si="40"/>
        <v/>
      </c>
    </row>
    <row r="2581" spans="42:42" ht="12" customHeight="1" x14ac:dyDescent="0.25">
      <c r="AP2581" s="15" t="str">
        <f t="shared" si="40"/>
        <v/>
      </c>
    </row>
    <row r="2582" spans="42:42" ht="12" customHeight="1" x14ac:dyDescent="0.25">
      <c r="AP2582" s="15" t="str">
        <f t="shared" si="40"/>
        <v/>
      </c>
    </row>
    <row r="2583" spans="42:42" ht="12" customHeight="1" x14ac:dyDescent="0.25">
      <c r="AP2583" s="15" t="str">
        <f t="shared" si="40"/>
        <v/>
      </c>
    </row>
    <row r="2584" spans="42:42" ht="12" customHeight="1" x14ac:dyDescent="0.25">
      <c r="AP2584" s="15" t="str">
        <f t="shared" si="40"/>
        <v/>
      </c>
    </row>
    <row r="2585" spans="42:42" ht="12" customHeight="1" x14ac:dyDescent="0.25">
      <c r="AP2585" s="15" t="str">
        <f t="shared" si="40"/>
        <v/>
      </c>
    </row>
    <row r="2586" spans="42:42" ht="12" customHeight="1" x14ac:dyDescent="0.25">
      <c r="AP2586" s="15" t="str">
        <f t="shared" si="40"/>
        <v/>
      </c>
    </row>
    <row r="2587" spans="42:42" ht="12" customHeight="1" x14ac:dyDescent="0.25">
      <c r="AP2587" s="15" t="str">
        <f t="shared" si="40"/>
        <v/>
      </c>
    </row>
    <row r="2588" spans="42:42" ht="12" customHeight="1" x14ac:dyDescent="0.25">
      <c r="AP2588" s="15" t="str">
        <f t="shared" si="40"/>
        <v/>
      </c>
    </row>
    <row r="2589" spans="42:42" ht="12" customHeight="1" x14ac:dyDescent="0.25">
      <c r="AP2589" s="15" t="str">
        <f t="shared" si="40"/>
        <v/>
      </c>
    </row>
    <row r="2590" spans="42:42" ht="12" customHeight="1" x14ac:dyDescent="0.25">
      <c r="AP2590" s="15" t="str">
        <f t="shared" si="40"/>
        <v/>
      </c>
    </row>
    <row r="2591" spans="42:42" ht="12" customHeight="1" x14ac:dyDescent="0.25">
      <c r="AP2591" s="15" t="str">
        <f t="shared" si="40"/>
        <v/>
      </c>
    </row>
    <row r="2592" spans="42:42" ht="12" customHeight="1" x14ac:dyDescent="0.25">
      <c r="AP2592" s="15" t="str">
        <f t="shared" si="40"/>
        <v/>
      </c>
    </row>
    <row r="2593" spans="42:42" ht="12" customHeight="1" x14ac:dyDescent="0.25">
      <c r="AP2593" s="15" t="str">
        <f t="shared" si="40"/>
        <v/>
      </c>
    </row>
    <row r="2594" spans="42:42" ht="12" customHeight="1" x14ac:dyDescent="0.25">
      <c r="AP2594" s="15" t="str">
        <f t="shared" si="40"/>
        <v/>
      </c>
    </row>
    <row r="2595" spans="42:42" ht="12" customHeight="1" x14ac:dyDescent="0.25">
      <c r="AP2595" s="15" t="str">
        <f t="shared" si="40"/>
        <v/>
      </c>
    </row>
    <row r="2596" spans="42:42" ht="12" customHeight="1" x14ac:dyDescent="0.25">
      <c r="AP2596" s="15" t="str">
        <f t="shared" si="40"/>
        <v/>
      </c>
    </row>
    <row r="2597" spans="42:42" ht="12" customHeight="1" x14ac:dyDescent="0.25">
      <c r="AP2597" s="15" t="str">
        <f t="shared" si="40"/>
        <v/>
      </c>
    </row>
    <row r="2598" spans="42:42" ht="12" customHeight="1" x14ac:dyDescent="0.25">
      <c r="AP2598" s="15" t="str">
        <f t="shared" si="40"/>
        <v/>
      </c>
    </row>
    <row r="2599" spans="42:42" ht="12" customHeight="1" x14ac:dyDescent="0.25">
      <c r="AP2599" s="15" t="str">
        <f t="shared" si="40"/>
        <v/>
      </c>
    </row>
    <row r="2600" spans="42:42" ht="12" customHeight="1" x14ac:dyDescent="0.25">
      <c r="AP2600" s="15" t="str">
        <f t="shared" si="40"/>
        <v/>
      </c>
    </row>
    <row r="2601" spans="42:42" ht="12" customHeight="1" x14ac:dyDescent="0.25">
      <c r="AP2601" s="15" t="str">
        <f t="shared" si="40"/>
        <v/>
      </c>
    </row>
    <row r="2602" spans="42:42" ht="12" customHeight="1" x14ac:dyDescent="0.25">
      <c r="AP2602" s="15" t="str">
        <f t="shared" si="40"/>
        <v/>
      </c>
    </row>
    <row r="2603" spans="42:42" ht="12" customHeight="1" x14ac:dyDescent="0.25">
      <c r="AP2603" s="15" t="str">
        <f t="shared" si="40"/>
        <v/>
      </c>
    </row>
    <row r="2604" spans="42:42" ht="12" customHeight="1" x14ac:dyDescent="0.25">
      <c r="AP2604" s="15" t="str">
        <f t="shared" si="40"/>
        <v/>
      </c>
    </row>
    <row r="2605" spans="42:42" ht="12" customHeight="1" x14ac:dyDescent="0.25">
      <c r="AP2605" s="15" t="str">
        <f t="shared" si="40"/>
        <v/>
      </c>
    </row>
    <row r="2606" spans="42:42" ht="12" customHeight="1" x14ac:dyDescent="0.25">
      <c r="AP2606" s="15" t="str">
        <f t="shared" si="40"/>
        <v/>
      </c>
    </row>
    <row r="2607" spans="42:42" ht="12" customHeight="1" x14ac:dyDescent="0.25">
      <c r="AP2607" s="15" t="str">
        <f t="shared" si="40"/>
        <v/>
      </c>
    </row>
    <row r="2608" spans="42:42" ht="12" customHeight="1" x14ac:dyDescent="0.25">
      <c r="AP2608" s="15" t="str">
        <f t="shared" si="40"/>
        <v/>
      </c>
    </row>
    <row r="2609" spans="42:42" ht="12" customHeight="1" x14ac:dyDescent="0.25">
      <c r="AP2609" s="15" t="str">
        <f t="shared" si="40"/>
        <v/>
      </c>
    </row>
    <row r="2610" spans="42:42" ht="12" customHeight="1" x14ac:dyDescent="0.25">
      <c r="AP2610" s="15" t="str">
        <f t="shared" si="40"/>
        <v/>
      </c>
    </row>
    <row r="2611" spans="42:42" ht="12" customHeight="1" x14ac:dyDescent="0.25">
      <c r="AP2611" s="15" t="str">
        <f t="shared" si="40"/>
        <v/>
      </c>
    </row>
    <row r="2612" spans="42:42" ht="12" customHeight="1" x14ac:dyDescent="0.25">
      <c r="AP2612" s="15" t="str">
        <f t="shared" si="40"/>
        <v/>
      </c>
    </row>
    <row r="2613" spans="42:42" ht="12" customHeight="1" x14ac:dyDescent="0.25">
      <c r="AP2613" s="15" t="str">
        <f t="shared" si="40"/>
        <v/>
      </c>
    </row>
    <row r="2614" spans="42:42" ht="12" customHeight="1" x14ac:dyDescent="0.25">
      <c r="AP2614" s="15" t="str">
        <f t="shared" si="40"/>
        <v/>
      </c>
    </row>
    <row r="2615" spans="42:42" ht="12" customHeight="1" x14ac:dyDescent="0.25">
      <c r="AP2615" s="15" t="str">
        <f t="shared" si="40"/>
        <v/>
      </c>
    </row>
    <row r="2616" spans="42:42" ht="12" customHeight="1" x14ac:dyDescent="0.25">
      <c r="AP2616" s="15" t="str">
        <f t="shared" si="40"/>
        <v/>
      </c>
    </row>
    <row r="2617" spans="42:42" ht="12" customHeight="1" x14ac:dyDescent="0.25">
      <c r="AP2617" s="15" t="str">
        <f t="shared" si="40"/>
        <v/>
      </c>
    </row>
    <row r="2618" spans="42:42" ht="12" customHeight="1" x14ac:dyDescent="0.25">
      <c r="AP2618" s="15" t="str">
        <f t="shared" si="40"/>
        <v/>
      </c>
    </row>
    <row r="2619" spans="42:42" ht="12" customHeight="1" x14ac:dyDescent="0.25">
      <c r="AP2619" s="15" t="str">
        <f t="shared" si="40"/>
        <v/>
      </c>
    </row>
    <row r="2620" spans="42:42" ht="12" customHeight="1" x14ac:dyDescent="0.25">
      <c r="AP2620" s="15" t="str">
        <f t="shared" si="40"/>
        <v/>
      </c>
    </row>
    <row r="2621" spans="42:42" ht="12" customHeight="1" x14ac:dyDescent="0.25">
      <c r="AP2621" s="15" t="str">
        <f t="shared" si="40"/>
        <v/>
      </c>
    </row>
    <row r="2622" spans="42:42" ht="12" customHeight="1" x14ac:dyDescent="0.25">
      <c r="AP2622" s="15" t="str">
        <f t="shared" si="40"/>
        <v/>
      </c>
    </row>
    <row r="2623" spans="42:42" ht="12" customHeight="1" x14ac:dyDescent="0.25">
      <c r="AP2623" s="15" t="str">
        <f t="shared" si="40"/>
        <v/>
      </c>
    </row>
    <row r="2624" spans="42:42" ht="12" customHeight="1" x14ac:dyDescent="0.25">
      <c r="AP2624" s="15" t="str">
        <f t="shared" si="40"/>
        <v/>
      </c>
    </row>
    <row r="2625" spans="42:42" ht="12" customHeight="1" x14ac:dyDescent="0.25">
      <c r="AP2625" s="15" t="str">
        <f t="shared" si="40"/>
        <v/>
      </c>
    </row>
    <row r="2626" spans="42:42" ht="12" customHeight="1" x14ac:dyDescent="0.25">
      <c r="AP2626" s="15" t="str">
        <f t="shared" si="40"/>
        <v/>
      </c>
    </row>
    <row r="2627" spans="42:42" ht="12" customHeight="1" x14ac:dyDescent="0.25">
      <c r="AP2627" s="15" t="str">
        <f t="shared" si="40"/>
        <v/>
      </c>
    </row>
    <row r="2628" spans="42:42" ht="12" customHeight="1" x14ac:dyDescent="0.25">
      <c r="AP2628" s="15" t="str">
        <f t="shared" si="40"/>
        <v/>
      </c>
    </row>
    <row r="2629" spans="42:42" ht="12" customHeight="1" x14ac:dyDescent="0.25">
      <c r="AP2629" s="15" t="str">
        <f t="shared" si="40"/>
        <v/>
      </c>
    </row>
    <row r="2630" spans="42:42" ht="12" customHeight="1" x14ac:dyDescent="0.25">
      <c r="AP2630" s="15" t="str">
        <f t="shared" si="40"/>
        <v/>
      </c>
    </row>
    <row r="2631" spans="42:42" ht="12" customHeight="1" x14ac:dyDescent="0.25">
      <c r="AP2631" s="15" t="str">
        <f t="shared" si="40"/>
        <v/>
      </c>
    </row>
    <row r="2632" spans="42:42" ht="12" customHeight="1" x14ac:dyDescent="0.25">
      <c r="AP2632" s="15" t="str">
        <f t="shared" ref="AP2632:AP2695" si="41">IF(AO2632="", "", AO2632&amp;"["&amp;AN2632&amp;"]")</f>
        <v/>
      </c>
    </row>
    <row r="2633" spans="42:42" ht="12" customHeight="1" x14ac:dyDescent="0.25">
      <c r="AP2633" s="15" t="str">
        <f t="shared" si="41"/>
        <v/>
      </c>
    </row>
    <row r="2634" spans="42:42" ht="12" customHeight="1" x14ac:dyDescent="0.25">
      <c r="AP2634" s="15" t="str">
        <f t="shared" si="41"/>
        <v/>
      </c>
    </row>
    <row r="2635" spans="42:42" ht="12" customHeight="1" x14ac:dyDescent="0.25">
      <c r="AP2635" s="15" t="str">
        <f t="shared" si="41"/>
        <v/>
      </c>
    </row>
    <row r="2636" spans="42:42" ht="12" customHeight="1" x14ac:dyDescent="0.25">
      <c r="AP2636" s="15" t="str">
        <f t="shared" si="41"/>
        <v/>
      </c>
    </row>
    <row r="2637" spans="42:42" ht="12" customHeight="1" x14ac:dyDescent="0.25">
      <c r="AP2637" s="15" t="str">
        <f t="shared" si="41"/>
        <v/>
      </c>
    </row>
    <row r="2638" spans="42:42" ht="12" customHeight="1" x14ac:dyDescent="0.25">
      <c r="AP2638" s="15" t="str">
        <f t="shared" si="41"/>
        <v/>
      </c>
    </row>
    <row r="2639" spans="42:42" ht="12" customHeight="1" x14ac:dyDescent="0.25">
      <c r="AP2639" s="15" t="str">
        <f t="shared" si="41"/>
        <v/>
      </c>
    </row>
    <row r="2640" spans="42:42" ht="12" customHeight="1" x14ac:dyDescent="0.25">
      <c r="AP2640" s="15" t="str">
        <f t="shared" si="41"/>
        <v/>
      </c>
    </row>
    <row r="2641" spans="42:42" ht="12" customHeight="1" x14ac:dyDescent="0.25">
      <c r="AP2641" s="15" t="str">
        <f t="shared" si="41"/>
        <v/>
      </c>
    </row>
    <row r="2642" spans="42:42" ht="12" customHeight="1" x14ac:dyDescent="0.25">
      <c r="AP2642" s="15" t="str">
        <f t="shared" si="41"/>
        <v/>
      </c>
    </row>
    <row r="2643" spans="42:42" ht="12" customHeight="1" x14ac:dyDescent="0.25">
      <c r="AP2643" s="15" t="str">
        <f t="shared" si="41"/>
        <v/>
      </c>
    </row>
    <row r="2644" spans="42:42" ht="12" customHeight="1" x14ac:dyDescent="0.25">
      <c r="AP2644" s="15" t="str">
        <f t="shared" si="41"/>
        <v/>
      </c>
    </row>
    <row r="2645" spans="42:42" ht="12" customHeight="1" x14ac:dyDescent="0.25">
      <c r="AP2645" s="15" t="str">
        <f t="shared" si="41"/>
        <v/>
      </c>
    </row>
    <row r="2646" spans="42:42" ht="12" customHeight="1" x14ac:dyDescent="0.25">
      <c r="AP2646" s="15" t="str">
        <f t="shared" si="41"/>
        <v/>
      </c>
    </row>
    <row r="2647" spans="42:42" ht="12" customHeight="1" x14ac:dyDescent="0.25">
      <c r="AP2647" s="15" t="str">
        <f t="shared" si="41"/>
        <v/>
      </c>
    </row>
    <row r="2648" spans="42:42" ht="12" customHeight="1" x14ac:dyDescent="0.25">
      <c r="AP2648" s="15" t="str">
        <f t="shared" si="41"/>
        <v/>
      </c>
    </row>
    <row r="2649" spans="42:42" ht="12" customHeight="1" x14ac:dyDescent="0.25">
      <c r="AP2649" s="15" t="str">
        <f t="shared" si="41"/>
        <v/>
      </c>
    </row>
    <row r="2650" spans="42:42" ht="12" customHeight="1" x14ac:dyDescent="0.25">
      <c r="AP2650" s="15" t="str">
        <f t="shared" si="41"/>
        <v/>
      </c>
    </row>
    <row r="2651" spans="42:42" ht="12" customHeight="1" x14ac:dyDescent="0.25">
      <c r="AP2651" s="15" t="str">
        <f t="shared" si="41"/>
        <v/>
      </c>
    </row>
    <row r="2652" spans="42:42" ht="12" customHeight="1" x14ac:dyDescent="0.25">
      <c r="AP2652" s="15" t="str">
        <f t="shared" si="41"/>
        <v/>
      </c>
    </row>
    <row r="2653" spans="42:42" ht="12" customHeight="1" x14ac:dyDescent="0.25">
      <c r="AP2653" s="15" t="str">
        <f t="shared" si="41"/>
        <v/>
      </c>
    </row>
    <row r="2654" spans="42:42" ht="12" customHeight="1" x14ac:dyDescent="0.25">
      <c r="AP2654" s="15" t="str">
        <f t="shared" si="41"/>
        <v/>
      </c>
    </row>
    <row r="2655" spans="42:42" ht="12" customHeight="1" x14ac:dyDescent="0.25">
      <c r="AP2655" s="15" t="str">
        <f t="shared" si="41"/>
        <v/>
      </c>
    </row>
    <row r="2656" spans="42:42" ht="12" customHeight="1" x14ac:dyDescent="0.25">
      <c r="AP2656" s="15" t="str">
        <f t="shared" si="41"/>
        <v/>
      </c>
    </row>
    <row r="2657" spans="42:42" ht="12" customHeight="1" x14ac:dyDescent="0.25">
      <c r="AP2657" s="15" t="str">
        <f t="shared" si="41"/>
        <v/>
      </c>
    </row>
    <row r="2658" spans="42:42" ht="12" customHeight="1" x14ac:dyDescent="0.25">
      <c r="AP2658" s="15" t="str">
        <f t="shared" si="41"/>
        <v/>
      </c>
    </row>
    <row r="2659" spans="42:42" ht="12" customHeight="1" x14ac:dyDescent="0.25">
      <c r="AP2659" s="15" t="str">
        <f t="shared" si="41"/>
        <v/>
      </c>
    </row>
    <row r="2660" spans="42:42" ht="12" customHeight="1" x14ac:dyDescent="0.25">
      <c r="AP2660" s="15" t="str">
        <f t="shared" si="41"/>
        <v/>
      </c>
    </row>
    <row r="2661" spans="42:42" ht="12" customHeight="1" x14ac:dyDescent="0.25">
      <c r="AP2661" s="15" t="str">
        <f t="shared" si="41"/>
        <v/>
      </c>
    </row>
    <row r="2662" spans="42:42" ht="12" customHeight="1" x14ac:dyDescent="0.25">
      <c r="AP2662" s="15" t="str">
        <f t="shared" si="41"/>
        <v/>
      </c>
    </row>
    <row r="2663" spans="42:42" ht="12" customHeight="1" x14ac:dyDescent="0.25">
      <c r="AP2663" s="15" t="str">
        <f t="shared" si="41"/>
        <v/>
      </c>
    </row>
    <row r="2664" spans="42:42" ht="12" customHeight="1" x14ac:dyDescent="0.25">
      <c r="AP2664" s="15" t="str">
        <f t="shared" si="41"/>
        <v/>
      </c>
    </row>
    <row r="2665" spans="42:42" ht="12" customHeight="1" x14ac:dyDescent="0.25">
      <c r="AP2665" s="15" t="str">
        <f t="shared" si="41"/>
        <v/>
      </c>
    </row>
    <row r="2666" spans="42:42" ht="12" customHeight="1" x14ac:dyDescent="0.25">
      <c r="AP2666" s="15" t="str">
        <f t="shared" si="41"/>
        <v/>
      </c>
    </row>
    <row r="2667" spans="42:42" ht="12" customHeight="1" x14ac:dyDescent="0.25">
      <c r="AP2667" s="15" t="str">
        <f t="shared" si="41"/>
        <v/>
      </c>
    </row>
    <row r="2668" spans="42:42" ht="12" customHeight="1" x14ac:dyDescent="0.25">
      <c r="AP2668" s="15" t="str">
        <f t="shared" si="41"/>
        <v/>
      </c>
    </row>
    <row r="2669" spans="42:42" ht="12" customHeight="1" x14ac:dyDescent="0.25">
      <c r="AP2669" s="15" t="str">
        <f t="shared" si="41"/>
        <v/>
      </c>
    </row>
    <row r="2670" spans="42:42" ht="12" customHeight="1" x14ac:dyDescent="0.25">
      <c r="AP2670" s="15" t="str">
        <f t="shared" si="41"/>
        <v/>
      </c>
    </row>
    <row r="2671" spans="42:42" ht="12" customHeight="1" x14ac:dyDescent="0.25">
      <c r="AP2671" s="15" t="str">
        <f t="shared" si="41"/>
        <v/>
      </c>
    </row>
    <row r="2672" spans="42:42" ht="12" customHeight="1" x14ac:dyDescent="0.25">
      <c r="AP2672" s="15" t="str">
        <f t="shared" si="41"/>
        <v/>
      </c>
    </row>
    <row r="2673" spans="42:42" ht="12" customHeight="1" x14ac:dyDescent="0.25">
      <c r="AP2673" s="15" t="str">
        <f t="shared" si="41"/>
        <v/>
      </c>
    </row>
    <row r="2674" spans="42:42" ht="12" customHeight="1" x14ac:dyDescent="0.25">
      <c r="AP2674" s="15" t="str">
        <f t="shared" si="41"/>
        <v/>
      </c>
    </row>
    <row r="2675" spans="42:42" ht="12" customHeight="1" x14ac:dyDescent="0.25">
      <c r="AP2675" s="15" t="str">
        <f t="shared" si="41"/>
        <v/>
      </c>
    </row>
    <row r="2676" spans="42:42" ht="12" customHeight="1" x14ac:dyDescent="0.25">
      <c r="AP2676" s="15" t="str">
        <f t="shared" si="41"/>
        <v/>
      </c>
    </row>
    <row r="2677" spans="42:42" ht="12" customHeight="1" x14ac:dyDescent="0.25">
      <c r="AP2677" s="15" t="str">
        <f t="shared" si="41"/>
        <v/>
      </c>
    </row>
    <row r="2678" spans="42:42" ht="12" customHeight="1" x14ac:dyDescent="0.25">
      <c r="AP2678" s="15" t="str">
        <f t="shared" si="41"/>
        <v/>
      </c>
    </row>
    <row r="2679" spans="42:42" ht="12" customHeight="1" x14ac:dyDescent="0.25">
      <c r="AP2679" s="15" t="str">
        <f t="shared" si="41"/>
        <v/>
      </c>
    </row>
    <row r="2680" spans="42:42" ht="12" customHeight="1" x14ac:dyDescent="0.25">
      <c r="AP2680" s="15" t="str">
        <f t="shared" si="41"/>
        <v/>
      </c>
    </row>
    <row r="2681" spans="42:42" ht="12" customHeight="1" x14ac:dyDescent="0.25">
      <c r="AP2681" s="15" t="str">
        <f t="shared" si="41"/>
        <v/>
      </c>
    </row>
    <row r="2682" spans="42:42" ht="12" customHeight="1" x14ac:dyDescent="0.25">
      <c r="AP2682" s="15" t="str">
        <f t="shared" si="41"/>
        <v/>
      </c>
    </row>
    <row r="2683" spans="42:42" ht="12" customHeight="1" x14ac:dyDescent="0.25">
      <c r="AP2683" s="15" t="str">
        <f t="shared" si="41"/>
        <v/>
      </c>
    </row>
    <row r="2684" spans="42:42" ht="12" customHeight="1" x14ac:dyDescent="0.25">
      <c r="AP2684" s="15" t="str">
        <f t="shared" si="41"/>
        <v/>
      </c>
    </row>
    <row r="2685" spans="42:42" ht="12" customHeight="1" x14ac:dyDescent="0.25">
      <c r="AP2685" s="15" t="str">
        <f t="shared" si="41"/>
        <v/>
      </c>
    </row>
    <row r="2686" spans="42:42" ht="12" customHeight="1" x14ac:dyDescent="0.25">
      <c r="AP2686" s="15" t="str">
        <f t="shared" si="41"/>
        <v/>
      </c>
    </row>
    <row r="2687" spans="42:42" ht="12" customHeight="1" x14ac:dyDescent="0.25">
      <c r="AP2687" s="15" t="str">
        <f t="shared" si="41"/>
        <v/>
      </c>
    </row>
    <row r="2688" spans="42:42" ht="12" customHeight="1" x14ac:dyDescent="0.25">
      <c r="AP2688" s="15" t="str">
        <f t="shared" si="41"/>
        <v/>
      </c>
    </row>
    <row r="2689" spans="42:42" ht="12" customHeight="1" x14ac:dyDescent="0.25">
      <c r="AP2689" s="15" t="str">
        <f t="shared" si="41"/>
        <v/>
      </c>
    </row>
    <row r="2690" spans="42:42" ht="12" customHeight="1" x14ac:dyDescent="0.25">
      <c r="AP2690" s="15" t="str">
        <f t="shared" si="41"/>
        <v/>
      </c>
    </row>
    <row r="2691" spans="42:42" ht="12" customHeight="1" x14ac:dyDescent="0.25">
      <c r="AP2691" s="15" t="str">
        <f t="shared" si="41"/>
        <v/>
      </c>
    </row>
    <row r="2692" spans="42:42" ht="12" customHeight="1" x14ac:dyDescent="0.25">
      <c r="AP2692" s="15" t="str">
        <f t="shared" si="41"/>
        <v/>
      </c>
    </row>
    <row r="2693" spans="42:42" ht="12" customHeight="1" x14ac:dyDescent="0.25">
      <c r="AP2693" s="15" t="str">
        <f t="shared" si="41"/>
        <v/>
      </c>
    </row>
    <row r="2694" spans="42:42" ht="12" customHeight="1" x14ac:dyDescent="0.25">
      <c r="AP2694" s="15" t="str">
        <f t="shared" si="41"/>
        <v/>
      </c>
    </row>
    <row r="2695" spans="42:42" ht="12" customHeight="1" x14ac:dyDescent="0.25">
      <c r="AP2695" s="15" t="str">
        <f t="shared" si="41"/>
        <v/>
      </c>
    </row>
    <row r="2696" spans="42:42" ht="12" customHeight="1" x14ac:dyDescent="0.25">
      <c r="AP2696" s="15" t="str">
        <f t="shared" ref="AP2696:AP2759" si="42">IF(AO2696="", "", AO2696&amp;"["&amp;AN2696&amp;"]")</f>
        <v/>
      </c>
    </row>
    <row r="2697" spans="42:42" ht="12" customHeight="1" x14ac:dyDescent="0.25">
      <c r="AP2697" s="15" t="str">
        <f t="shared" si="42"/>
        <v/>
      </c>
    </row>
    <row r="2698" spans="42:42" ht="12" customHeight="1" x14ac:dyDescent="0.25">
      <c r="AP2698" s="15" t="str">
        <f t="shared" si="42"/>
        <v/>
      </c>
    </row>
    <row r="2699" spans="42:42" ht="12" customHeight="1" x14ac:dyDescent="0.25">
      <c r="AP2699" s="15" t="str">
        <f t="shared" si="42"/>
        <v/>
      </c>
    </row>
    <row r="2700" spans="42:42" ht="12" customHeight="1" x14ac:dyDescent="0.25">
      <c r="AP2700" s="15" t="str">
        <f t="shared" si="42"/>
        <v/>
      </c>
    </row>
    <row r="2701" spans="42:42" ht="12" customHeight="1" x14ac:dyDescent="0.25">
      <c r="AP2701" s="15" t="str">
        <f t="shared" si="42"/>
        <v/>
      </c>
    </row>
    <row r="2702" spans="42:42" ht="12" customHeight="1" x14ac:dyDescent="0.25">
      <c r="AP2702" s="15" t="str">
        <f t="shared" si="42"/>
        <v/>
      </c>
    </row>
    <row r="2703" spans="42:42" ht="12" customHeight="1" x14ac:dyDescent="0.25">
      <c r="AP2703" s="15" t="str">
        <f t="shared" si="42"/>
        <v/>
      </c>
    </row>
    <row r="2704" spans="42:42" ht="12" customHeight="1" x14ac:dyDescent="0.25">
      <c r="AP2704" s="15" t="str">
        <f t="shared" si="42"/>
        <v/>
      </c>
    </row>
    <row r="2705" spans="42:42" ht="12" customHeight="1" x14ac:dyDescent="0.25">
      <c r="AP2705" s="15" t="str">
        <f t="shared" si="42"/>
        <v/>
      </c>
    </row>
    <row r="2706" spans="42:42" ht="12" customHeight="1" x14ac:dyDescent="0.25">
      <c r="AP2706" s="15" t="str">
        <f t="shared" si="42"/>
        <v/>
      </c>
    </row>
    <row r="2707" spans="42:42" ht="12" customHeight="1" x14ac:dyDescent="0.25">
      <c r="AP2707" s="15" t="str">
        <f t="shared" si="42"/>
        <v/>
      </c>
    </row>
    <row r="2708" spans="42:42" ht="12" customHeight="1" x14ac:dyDescent="0.25">
      <c r="AP2708" s="15" t="str">
        <f t="shared" si="42"/>
        <v/>
      </c>
    </row>
    <row r="2709" spans="42:42" ht="12" customHeight="1" x14ac:dyDescent="0.25">
      <c r="AP2709" s="15" t="str">
        <f t="shared" si="42"/>
        <v/>
      </c>
    </row>
    <row r="2710" spans="42:42" ht="12" customHeight="1" x14ac:dyDescent="0.25">
      <c r="AP2710" s="15" t="str">
        <f t="shared" si="42"/>
        <v/>
      </c>
    </row>
    <row r="2711" spans="42:42" ht="12" customHeight="1" x14ac:dyDescent="0.25">
      <c r="AP2711" s="15" t="str">
        <f t="shared" si="42"/>
        <v/>
      </c>
    </row>
    <row r="2712" spans="42:42" ht="12" customHeight="1" x14ac:dyDescent="0.25">
      <c r="AP2712" s="15" t="str">
        <f t="shared" si="42"/>
        <v/>
      </c>
    </row>
    <row r="2713" spans="42:42" ht="12" customHeight="1" x14ac:dyDescent="0.25">
      <c r="AP2713" s="15" t="str">
        <f t="shared" si="42"/>
        <v/>
      </c>
    </row>
    <row r="2714" spans="42:42" ht="12" customHeight="1" x14ac:dyDescent="0.25">
      <c r="AP2714" s="15" t="str">
        <f t="shared" si="42"/>
        <v/>
      </c>
    </row>
    <row r="2715" spans="42:42" ht="12" customHeight="1" x14ac:dyDescent="0.25">
      <c r="AP2715" s="15" t="str">
        <f t="shared" si="42"/>
        <v/>
      </c>
    </row>
    <row r="2716" spans="42:42" ht="12" customHeight="1" x14ac:dyDescent="0.25">
      <c r="AP2716" s="15" t="str">
        <f t="shared" si="42"/>
        <v/>
      </c>
    </row>
    <row r="2717" spans="42:42" ht="12" customHeight="1" x14ac:dyDescent="0.25">
      <c r="AP2717" s="15" t="str">
        <f t="shared" si="42"/>
        <v/>
      </c>
    </row>
    <row r="2718" spans="42:42" ht="12" customHeight="1" x14ac:dyDescent="0.25">
      <c r="AP2718" s="15" t="str">
        <f t="shared" si="42"/>
        <v/>
      </c>
    </row>
    <row r="2719" spans="42:42" ht="12" customHeight="1" x14ac:dyDescent="0.25">
      <c r="AP2719" s="15" t="str">
        <f t="shared" si="42"/>
        <v/>
      </c>
    </row>
    <row r="2720" spans="42:42" ht="12" customHeight="1" x14ac:dyDescent="0.25">
      <c r="AP2720" s="15" t="str">
        <f t="shared" si="42"/>
        <v/>
      </c>
    </row>
    <row r="2721" spans="42:42" ht="12" customHeight="1" x14ac:dyDescent="0.25">
      <c r="AP2721" s="15" t="str">
        <f t="shared" si="42"/>
        <v/>
      </c>
    </row>
    <row r="2722" spans="42:42" ht="12" customHeight="1" x14ac:dyDescent="0.25">
      <c r="AP2722" s="15" t="str">
        <f t="shared" si="42"/>
        <v/>
      </c>
    </row>
    <row r="2723" spans="42:42" ht="12" customHeight="1" x14ac:dyDescent="0.25">
      <c r="AP2723" s="15" t="str">
        <f t="shared" si="42"/>
        <v/>
      </c>
    </row>
    <row r="2724" spans="42:42" ht="12" customHeight="1" x14ac:dyDescent="0.25">
      <c r="AP2724" s="15" t="str">
        <f t="shared" si="42"/>
        <v/>
      </c>
    </row>
    <row r="2725" spans="42:42" ht="12" customHeight="1" x14ac:dyDescent="0.25">
      <c r="AP2725" s="15" t="str">
        <f t="shared" si="42"/>
        <v/>
      </c>
    </row>
    <row r="2726" spans="42:42" ht="12" customHeight="1" x14ac:dyDescent="0.25">
      <c r="AP2726" s="15" t="str">
        <f t="shared" si="42"/>
        <v/>
      </c>
    </row>
    <row r="2727" spans="42:42" ht="12" customHeight="1" x14ac:dyDescent="0.25">
      <c r="AP2727" s="15" t="str">
        <f t="shared" si="42"/>
        <v/>
      </c>
    </row>
    <row r="2728" spans="42:42" ht="12" customHeight="1" x14ac:dyDescent="0.25">
      <c r="AP2728" s="15" t="str">
        <f t="shared" si="42"/>
        <v/>
      </c>
    </row>
    <row r="2729" spans="42:42" ht="12" customHeight="1" x14ac:dyDescent="0.25">
      <c r="AP2729" s="15" t="str">
        <f t="shared" si="42"/>
        <v/>
      </c>
    </row>
    <row r="2730" spans="42:42" ht="12" customHeight="1" x14ac:dyDescent="0.25">
      <c r="AP2730" s="15" t="str">
        <f t="shared" si="42"/>
        <v/>
      </c>
    </row>
    <row r="2731" spans="42:42" ht="12" customHeight="1" x14ac:dyDescent="0.25">
      <c r="AP2731" s="15" t="str">
        <f t="shared" si="42"/>
        <v/>
      </c>
    </row>
    <row r="2732" spans="42:42" ht="12" customHeight="1" x14ac:dyDescent="0.25">
      <c r="AP2732" s="15" t="str">
        <f t="shared" si="42"/>
        <v/>
      </c>
    </row>
    <row r="2733" spans="42:42" ht="12" customHeight="1" x14ac:dyDescent="0.25">
      <c r="AP2733" s="15" t="str">
        <f t="shared" si="42"/>
        <v/>
      </c>
    </row>
    <row r="2734" spans="42:42" ht="12" customHeight="1" x14ac:dyDescent="0.25">
      <c r="AP2734" s="15" t="str">
        <f t="shared" si="42"/>
        <v/>
      </c>
    </row>
    <row r="2735" spans="42:42" ht="12" customHeight="1" x14ac:dyDescent="0.25">
      <c r="AP2735" s="15" t="str">
        <f t="shared" si="42"/>
        <v/>
      </c>
    </row>
    <row r="2736" spans="42:42" ht="12" customHeight="1" x14ac:dyDescent="0.25">
      <c r="AP2736" s="15" t="str">
        <f t="shared" si="42"/>
        <v/>
      </c>
    </row>
    <row r="2737" spans="42:42" ht="12" customHeight="1" x14ac:dyDescent="0.25">
      <c r="AP2737" s="15" t="str">
        <f t="shared" si="42"/>
        <v/>
      </c>
    </row>
    <row r="2738" spans="42:42" ht="12" customHeight="1" x14ac:dyDescent="0.25">
      <c r="AP2738" s="15" t="str">
        <f t="shared" si="42"/>
        <v/>
      </c>
    </row>
    <row r="2739" spans="42:42" ht="12" customHeight="1" x14ac:dyDescent="0.25">
      <c r="AP2739" s="15" t="str">
        <f t="shared" si="42"/>
        <v/>
      </c>
    </row>
    <row r="2740" spans="42:42" ht="12" customHeight="1" x14ac:dyDescent="0.25">
      <c r="AP2740" s="15" t="str">
        <f t="shared" si="42"/>
        <v/>
      </c>
    </row>
    <row r="2741" spans="42:42" ht="12" customHeight="1" x14ac:dyDescent="0.25">
      <c r="AP2741" s="15" t="str">
        <f t="shared" si="42"/>
        <v/>
      </c>
    </row>
    <row r="2742" spans="42:42" ht="12" customHeight="1" x14ac:dyDescent="0.25">
      <c r="AP2742" s="15" t="str">
        <f t="shared" si="42"/>
        <v/>
      </c>
    </row>
    <row r="2743" spans="42:42" ht="12" customHeight="1" x14ac:dyDescent="0.25">
      <c r="AP2743" s="15" t="str">
        <f t="shared" si="42"/>
        <v/>
      </c>
    </row>
    <row r="2744" spans="42:42" ht="12" customHeight="1" x14ac:dyDescent="0.25">
      <c r="AP2744" s="15" t="str">
        <f t="shared" si="42"/>
        <v/>
      </c>
    </row>
    <row r="2745" spans="42:42" ht="12" customHeight="1" x14ac:dyDescent="0.25">
      <c r="AP2745" s="15" t="str">
        <f t="shared" si="42"/>
        <v/>
      </c>
    </row>
    <row r="2746" spans="42:42" ht="12" customHeight="1" x14ac:dyDescent="0.25">
      <c r="AP2746" s="15" t="str">
        <f t="shared" si="42"/>
        <v/>
      </c>
    </row>
    <row r="2747" spans="42:42" ht="12" customHeight="1" x14ac:dyDescent="0.25">
      <c r="AP2747" s="15" t="str">
        <f t="shared" si="42"/>
        <v/>
      </c>
    </row>
    <row r="2748" spans="42:42" ht="12" customHeight="1" x14ac:dyDescent="0.25">
      <c r="AP2748" s="15" t="str">
        <f t="shared" si="42"/>
        <v/>
      </c>
    </row>
    <row r="2749" spans="42:42" ht="12" customHeight="1" x14ac:dyDescent="0.25">
      <c r="AP2749" s="15" t="str">
        <f t="shared" si="42"/>
        <v/>
      </c>
    </row>
    <row r="2750" spans="42:42" ht="12" customHeight="1" x14ac:dyDescent="0.25">
      <c r="AP2750" s="15" t="str">
        <f t="shared" si="42"/>
        <v/>
      </c>
    </row>
    <row r="2751" spans="42:42" ht="12" customHeight="1" x14ac:dyDescent="0.25">
      <c r="AP2751" s="15" t="str">
        <f t="shared" si="42"/>
        <v/>
      </c>
    </row>
    <row r="2752" spans="42:42" ht="12" customHeight="1" x14ac:dyDescent="0.25">
      <c r="AP2752" s="15" t="str">
        <f t="shared" si="42"/>
        <v/>
      </c>
    </row>
    <row r="2753" spans="42:42" ht="12" customHeight="1" x14ac:dyDescent="0.25">
      <c r="AP2753" s="15" t="str">
        <f t="shared" si="42"/>
        <v/>
      </c>
    </row>
    <row r="2754" spans="42:42" ht="12" customHeight="1" x14ac:dyDescent="0.25">
      <c r="AP2754" s="15" t="str">
        <f t="shared" si="42"/>
        <v/>
      </c>
    </row>
    <row r="2755" spans="42:42" ht="12" customHeight="1" x14ac:dyDescent="0.25">
      <c r="AP2755" s="15" t="str">
        <f t="shared" si="42"/>
        <v/>
      </c>
    </row>
    <row r="2756" spans="42:42" ht="12" customHeight="1" x14ac:dyDescent="0.25">
      <c r="AP2756" s="15" t="str">
        <f t="shared" si="42"/>
        <v/>
      </c>
    </row>
    <row r="2757" spans="42:42" ht="12" customHeight="1" x14ac:dyDescent="0.25">
      <c r="AP2757" s="15" t="str">
        <f t="shared" si="42"/>
        <v/>
      </c>
    </row>
    <row r="2758" spans="42:42" ht="12" customHeight="1" x14ac:dyDescent="0.25">
      <c r="AP2758" s="15" t="str">
        <f t="shared" si="42"/>
        <v/>
      </c>
    </row>
    <row r="2759" spans="42:42" ht="12" customHeight="1" x14ac:dyDescent="0.25">
      <c r="AP2759" s="15" t="str">
        <f t="shared" si="42"/>
        <v/>
      </c>
    </row>
    <row r="2760" spans="42:42" ht="12" customHeight="1" x14ac:dyDescent="0.25">
      <c r="AP2760" s="15" t="str">
        <f t="shared" ref="AP2760:AP2823" si="43">IF(AO2760="", "", AO2760&amp;"["&amp;AN2760&amp;"]")</f>
        <v/>
      </c>
    </row>
    <row r="2761" spans="42:42" ht="12" customHeight="1" x14ac:dyDescent="0.25">
      <c r="AP2761" s="15" t="str">
        <f t="shared" si="43"/>
        <v/>
      </c>
    </row>
    <row r="2762" spans="42:42" ht="12" customHeight="1" x14ac:dyDescent="0.25">
      <c r="AP2762" s="15" t="str">
        <f t="shared" si="43"/>
        <v/>
      </c>
    </row>
    <row r="2763" spans="42:42" ht="12" customHeight="1" x14ac:dyDescent="0.25">
      <c r="AP2763" s="15" t="str">
        <f t="shared" si="43"/>
        <v/>
      </c>
    </row>
    <row r="2764" spans="42:42" ht="12" customHeight="1" x14ac:dyDescent="0.25">
      <c r="AP2764" s="15" t="str">
        <f t="shared" si="43"/>
        <v/>
      </c>
    </row>
    <row r="2765" spans="42:42" ht="12" customHeight="1" x14ac:dyDescent="0.25">
      <c r="AP2765" s="15" t="str">
        <f t="shared" si="43"/>
        <v/>
      </c>
    </row>
    <row r="2766" spans="42:42" ht="12" customHeight="1" x14ac:dyDescent="0.25">
      <c r="AP2766" s="15" t="str">
        <f t="shared" si="43"/>
        <v/>
      </c>
    </row>
    <row r="2767" spans="42:42" ht="12" customHeight="1" x14ac:dyDescent="0.25">
      <c r="AP2767" s="15" t="str">
        <f t="shared" si="43"/>
        <v/>
      </c>
    </row>
    <row r="2768" spans="42:42" ht="12" customHeight="1" x14ac:dyDescent="0.25">
      <c r="AP2768" s="15" t="str">
        <f t="shared" si="43"/>
        <v/>
      </c>
    </row>
    <row r="2769" spans="42:42" ht="12" customHeight="1" x14ac:dyDescent="0.25">
      <c r="AP2769" s="15" t="str">
        <f t="shared" si="43"/>
        <v/>
      </c>
    </row>
    <row r="2770" spans="42:42" ht="12" customHeight="1" x14ac:dyDescent="0.25">
      <c r="AP2770" s="15" t="str">
        <f t="shared" si="43"/>
        <v/>
      </c>
    </row>
    <row r="2771" spans="42:42" ht="12" customHeight="1" x14ac:dyDescent="0.25">
      <c r="AP2771" s="15" t="str">
        <f t="shared" si="43"/>
        <v/>
      </c>
    </row>
    <row r="2772" spans="42:42" ht="12" customHeight="1" x14ac:dyDescent="0.25">
      <c r="AP2772" s="15" t="str">
        <f t="shared" si="43"/>
        <v/>
      </c>
    </row>
    <row r="2773" spans="42:42" ht="12" customHeight="1" x14ac:dyDescent="0.25">
      <c r="AP2773" s="15" t="str">
        <f t="shared" si="43"/>
        <v/>
      </c>
    </row>
    <row r="2774" spans="42:42" ht="12" customHeight="1" x14ac:dyDescent="0.25">
      <c r="AP2774" s="15" t="str">
        <f t="shared" si="43"/>
        <v/>
      </c>
    </row>
    <row r="2775" spans="42:42" ht="12" customHeight="1" x14ac:dyDescent="0.25">
      <c r="AP2775" s="15" t="str">
        <f t="shared" si="43"/>
        <v/>
      </c>
    </row>
    <row r="2776" spans="42:42" ht="12" customHeight="1" x14ac:dyDescent="0.25">
      <c r="AP2776" s="15" t="str">
        <f t="shared" si="43"/>
        <v/>
      </c>
    </row>
    <row r="2777" spans="42:42" ht="12" customHeight="1" x14ac:dyDescent="0.25">
      <c r="AP2777" s="15" t="str">
        <f t="shared" si="43"/>
        <v/>
      </c>
    </row>
    <row r="2778" spans="42:42" ht="12" customHeight="1" x14ac:dyDescent="0.25">
      <c r="AP2778" s="15" t="str">
        <f t="shared" si="43"/>
        <v/>
      </c>
    </row>
    <row r="2779" spans="42:42" ht="12" customHeight="1" x14ac:dyDescent="0.25">
      <c r="AP2779" s="15" t="str">
        <f t="shared" si="43"/>
        <v/>
      </c>
    </row>
    <row r="2780" spans="42:42" ht="12" customHeight="1" x14ac:dyDescent="0.25">
      <c r="AP2780" s="15" t="str">
        <f t="shared" si="43"/>
        <v/>
      </c>
    </row>
    <row r="2781" spans="42:42" ht="12" customHeight="1" x14ac:dyDescent="0.25">
      <c r="AP2781" s="15" t="str">
        <f t="shared" si="43"/>
        <v/>
      </c>
    </row>
    <row r="2782" spans="42:42" ht="12" customHeight="1" x14ac:dyDescent="0.25">
      <c r="AP2782" s="15" t="str">
        <f t="shared" si="43"/>
        <v/>
      </c>
    </row>
    <row r="2783" spans="42:42" ht="12" customHeight="1" x14ac:dyDescent="0.25">
      <c r="AP2783" s="15" t="str">
        <f t="shared" si="43"/>
        <v/>
      </c>
    </row>
    <row r="2784" spans="42:42" ht="12" customHeight="1" x14ac:dyDescent="0.25">
      <c r="AP2784" s="15" t="str">
        <f t="shared" si="43"/>
        <v/>
      </c>
    </row>
    <row r="2785" spans="42:42" ht="12" customHeight="1" x14ac:dyDescent="0.25">
      <c r="AP2785" s="15" t="str">
        <f t="shared" si="43"/>
        <v/>
      </c>
    </row>
    <row r="2786" spans="42:42" ht="12" customHeight="1" x14ac:dyDescent="0.25">
      <c r="AP2786" s="15" t="str">
        <f t="shared" si="43"/>
        <v/>
      </c>
    </row>
    <row r="2787" spans="42:42" ht="12" customHeight="1" x14ac:dyDescent="0.25">
      <c r="AP2787" s="15" t="str">
        <f t="shared" si="43"/>
        <v/>
      </c>
    </row>
    <row r="2788" spans="42:42" ht="12" customHeight="1" x14ac:dyDescent="0.25">
      <c r="AP2788" s="15" t="str">
        <f t="shared" si="43"/>
        <v/>
      </c>
    </row>
    <row r="2789" spans="42:42" ht="12" customHeight="1" x14ac:dyDescent="0.25">
      <c r="AP2789" s="15" t="str">
        <f t="shared" si="43"/>
        <v/>
      </c>
    </row>
    <row r="2790" spans="42:42" ht="12" customHeight="1" x14ac:dyDescent="0.25">
      <c r="AP2790" s="15" t="str">
        <f t="shared" si="43"/>
        <v/>
      </c>
    </row>
    <row r="2791" spans="42:42" ht="12" customHeight="1" x14ac:dyDescent="0.25">
      <c r="AP2791" s="15" t="str">
        <f t="shared" si="43"/>
        <v/>
      </c>
    </row>
    <row r="2792" spans="42:42" ht="12" customHeight="1" x14ac:dyDescent="0.25">
      <c r="AP2792" s="15" t="str">
        <f t="shared" si="43"/>
        <v/>
      </c>
    </row>
    <row r="2793" spans="42:42" ht="12" customHeight="1" x14ac:dyDescent="0.25">
      <c r="AP2793" s="15" t="str">
        <f t="shared" si="43"/>
        <v/>
      </c>
    </row>
    <row r="2794" spans="42:42" ht="12" customHeight="1" x14ac:dyDescent="0.25">
      <c r="AP2794" s="15" t="str">
        <f t="shared" si="43"/>
        <v/>
      </c>
    </row>
    <row r="2795" spans="42:42" ht="12" customHeight="1" x14ac:dyDescent="0.25">
      <c r="AP2795" s="15" t="str">
        <f t="shared" si="43"/>
        <v/>
      </c>
    </row>
    <row r="2796" spans="42:42" ht="12" customHeight="1" x14ac:dyDescent="0.25">
      <c r="AP2796" s="15" t="str">
        <f t="shared" si="43"/>
        <v/>
      </c>
    </row>
    <row r="2797" spans="42:42" ht="12" customHeight="1" x14ac:dyDescent="0.25">
      <c r="AP2797" s="15" t="str">
        <f t="shared" si="43"/>
        <v/>
      </c>
    </row>
    <row r="2798" spans="42:42" ht="12" customHeight="1" x14ac:dyDescent="0.25">
      <c r="AP2798" s="15" t="str">
        <f t="shared" si="43"/>
        <v/>
      </c>
    </row>
    <row r="2799" spans="42:42" ht="12" customHeight="1" x14ac:dyDescent="0.25">
      <c r="AP2799" s="15" t="str">
        <f t="shared" si="43"/>
        <v/>
      </c>
    </row>
    <row r="2800" spans="42:42" ht="12" customHeight="1" x14ac:dyDescent="0.25">
      <c r="AP2800" s="15" t="str">
        <f t="shared" si="43"/>
        <v/>
      </c>
    </row>
    <row r="2801" spans="42:42" ht="12" customHeight="1" x14ac:dyDescent="0.25">
      <c r="AP2801" s="15" t="str">
        <f t="shared" si="43"/>
        <v/>
      </c>
    </row>
    <row r="2802" spans="42:42" ht="12" customHeight="1" x14ac:dyDescent="0.25">
      <c r="AP2802" s="15" t="str">
        <f t="shared" si="43"/>
        <v/>
      </c>
    </row>
    <row r="2803" spans="42:42" ht="12" customHeight="1" x14ac:dyDescent="0.25">
      <c r="AP2803" s="15" t="str">
        <f t="shared" si="43"/>
        <v/>
      </c>
    </row>
    <row r="2804" spans="42:42" ht="12" customHeight="1" x14ac:dyDescent="0.25">
      <c r="AP2804" s="15" t="str">
        <f t="shared" si="43"/>
        <v/>
      </c>
    </row>
    <row r="2805" spans="42:42" ht="12" customHeight="1" x14ac:dyDescent="0.25">
      <c r="AP2805" s="15" t="str">
        <f t="shared" si="43"/>
        <v/>
      </c>
    </row>
    <row r="2806" spans="42:42" ht="12" customHeight="1" x14ac:dyDescent="0.25">
      <c r="AP2806" s="15" t="str">
        <f t="shared" si="43"/>
        <v/>
      </c>
    </row>
    <row r="2807" spans="42:42" ht="12" customHeight="1" x14ac:dyDescent="0.25">
      <c r="AP2807" s="15" t="str">
        <f t="shared" si="43"/>
        <v/>
      </c>
    </row>
    <row r="2808" spans="42:42" ht="12" customHeight="1" x14ac:dyDescent="0.25">
      <c r="AP2808" s="15" t="str">
        <f t="shared" si="43"/>
        <v/>
      </c>
    </row>
    <row r="2809" spans="42:42" ht="12" customHeight="1" x14ac:dyDescent="0.25">
      <c r="AP2809" s="15" t="str">
        <f t="shared" si="43"/>
        <v/>
      </c>
    </row>
    <row r="2810" spans="42:42" ht="12" customHeight="1" x14ac:dyDescent="0.25">
      <c r="AP2810" s="15" t="str">
        <f t="shared" si="43"/>
        <v/>
      </c>
    </row>
    <row r="2811" spans="42:42" ht="12" customHeight="1" x14ac:dyDescent="0.25">
      <c r="AP2811" s="15" t="str">
        <f t="shared" si="43"/>
        <v/>
      </c>
    </row>
    <row r="2812" spans="42:42" ht="12" customHeight="1" x14ac:dyDescent="0.25">
      <c r="AP2812" s="15" t="str">
        <f t="shared" si="43"/>
        <v/>
      </c>
    </row>
    <row r="2813" spans="42:42" ht="12" customHeight="1" x14ac:dyDescent="0.25">
      <c r="AP2813" s="15" t="str">
        <f t="shared" si="43"/>
        <v/>
      </c>
    </row>
    <row r="2814" spans="42:42" ht="12" customHeight="1" x14ac:dyDescent="0.25">
      <c r="AP2814" s="15" t="str">
        <f t="shared" si="43"/>
        <v/>
      </c>
    </row>
    <row r="2815" spans="42:42" ht="12" customHeight="1" x14ac:dyDescent="0.25">
      <c r="AP2815" s="15" t="str">
        <f t="shared" si="43"/>
        <v/>
      </c>
    </row>
    <row r="2816" spans="42:42" ht="12" customHeight="1" x14ac:dyDescent="0.25">
      <c r="AP2816" s="15" t="str">
        <f t="shared" si="43"/>
        <v/>
      </c>
    </row>
    <row r="2817" spans="42:42" ht="12" customHeight="1" x14ac:dyDescent="0.25">
      <c r="AP2817" s="15" t="str">
        <f t="shared" si="43"/>
        <v/>
      </c>
    </row>
    <row r="2818" spans="42:42" ht="12" customHeight="1" x14ac:dyDescent="0.25">
      <c r="AP2818" s="15" t="str">
        <f t="shared" si="43"/>
        <v/>
      </c>
    </row>
    <row r="2819" spans="42:42" ht="12" customHeight="1" x14ac:dyDescent="0.25">
      <c r="AP2819" s="15" t="str">
        <f t="shared" si="43"/>
        <v/>
      </c>
    </row>
    <row r="2820" spans="42:42" ht="12" customHeight="1" x14ac:dyDescent="0.25">
      <c r="AP2820" s="15" t="str">
        <f t="shared" si="43"/>
        <v/>
      </c>
    </row>
    <row r="2821" spans="42:42" ht="12" customHeight="1" x14ac:dyDescent="0.25">
      <c r="AP2821" s="15" t="str">
        <f t="shared" si="43"/>
        <v/>
      </c>
    </row>
    <row r="2822" spans="42:42" ht="12" customHeight="1" x14ac:dyDescent="0.25">
      <c r="AP2822" s="15" t="str">
        <f t="shared" si="43"/>
        <v/>
      </c>
    </row>
    <row r="2823" spans="42:42" ht="12" customHeight="1" x14ac:dyDescent="0.25">
      <c r="AP2823" s="15" t="str">
        <f t="shared" si="43"/>
        <v/>
      </c>
    </row>
    <row r="2824" spans="42:42" ht="12" customHeight="1" x14ac:dyDescent="0.25">
      <c r="AP2824" s="15" t="str">
        <f t="shared" ref="AP2824:AP2887" si="44">IF(AO2824="", "", AO2824&amp;"["&amp;AN2824&amp;"]")</f>
        <v/>
      </c>
    </row>
    <row r="2825" spans="42:42" ht="12" customHeight="1" x14ac:dyDescent="0.25">
      <c r="AP2825" s="15" t="str">
        <f t="shared" si="44"/>
        <v/>
      </c>
    </row>
    <row r="2826" spans="42:42" ht="12" customHeight="1" x14ac:dyDescent="0.25">
      <c r="AP2826" s="15" t="str">
        <f t="shared" si="44"/>
        <v/>
      </c>
    </row>
    <row r="2827" spans="42:42" ht="12" customHeight="1" x14ac:dyDescent="0.25">
      <c r="AP2827" s="15" t="str">
        <f t="shared" si="44"/>
        <v/>
      </c>
    </row>
    <row r="2828" spans="42:42" ht="12" customHeight="1" x14ac:dyDescent="0.25">
      <c r="AP2828" s="15" t="str">
        <f t="shared" si="44"/>
        <v/>
      </c>
    </row>
    <row r="2829" spans="42:42" ht="12" customHeight="1" x14ac:dyDescent="0.25">
      <c r="AP2829" s="15" t="str">
        <f t="shared" si="44"/>
        <v/>
      </c>
    </row>
    <row r="2830" spans="42:42" ht="12" customHeight="1" x14ac:dyDescent="0.25">
      <c r="AP2830" s="15" t="str">
        <f t="shared" si="44"/>
        <v/>
      </c>
    </row>
    <row r="2831" spans="42:42" ht="12" customHeight="1" x14ac:dyDescent="0.25">
      <c r="AP2831" s="15" t="str">
        <f t="shared" si="44"/>
        <v/>
      </c>
    </row>
    <row r="2832" spans="42:42" ht="12" customHeight="1" x14ac:dyDescent="0.25">
      <c r="AP2832" s="15" t="str">
        <f t="shared" si="44"/>
        <v/>
      </c>
    </row>
    <row r="2833" spans="42:42" ht="12" customHeight="1" x14ac:dyDescent="0.25">
      <c r="AP2833" s="15" t="str">
        <f t="shared" si="44"/>
        <v/>
      </c>
    </row>
    <row r="2834" spans="42:42" ht="12" customHeight="1" x14ac:dyDescent="0.25">
      <c r="AP2834" s="15" t="str">
        <f t="shared" si="44"/>
        <v/>
      </c>
    </row>
    <row r="2835" spans="42:42" ht="12" customHeight="1" x14ac:dyDescent="0.25">
      <c r="AP2835" s="15" t="str">
        <f t="shared" si="44"/>
        <v/>
      </c>
    </row>
    <row r="2836" spans="42:42" ht="12" customHeight="1" x14ac:dyDescent="0.25">
      <c r="AP2836" s="15" t="str">
        <f t="shared" si="44"/>
        <v/>
      </c>
    </row>
    <row r="2837" spans="42:42" ht="12" customHeight="1" x14ac:dyDescent="0.25">
      <c r="AP2837" s="15" t="str">
        <f t="shared" si="44"/>
        <v/>
      </c>
    </row>
    <row r="2838" spans="42:42" ht="12" customHeight="1" x14ac:dyDescent="0.25">
      <c r="AP2838" s="15" t="str">
        <f t="shared" si="44"/>
        <v/>
      </c>
    </row>
    <row r="2839" spans="42:42" ht="12" customHeight="1" x14ac:dyDescent="0.25">
      <c r="AP2839" s="15" t="str">
        <f t="shared" si="44"/>
        <v/>
      </c>
    </row>
    <row r="2840" spans="42:42" ht="12" customHeight="1" x14ac:dyDescent="0.25">
      <c r="AP2840" s="15" t="str">
        <f t="shared" si="44"/>
        <v/>
      </c>
    </row>
    <row r="2841" spans="42:42" ht="12" customHeight="1" x14ac:dyDescent="0.25">
      <c r="AP2841" s="15" t="str">
        <f t="shared" si="44"/>
        <v/>
      </c>
    </row>
    <row r="2842" spans="42:42" ht="12" customHeight="1" x14ac:dyDescent="0.25">
      <c r="AP2842" s="15" t="str">
        <f t="shared" si="44"/>
        <v/>
      </c>
    </row>
    <row r="2843" spans="42:42" ht="12" customHeight="1" x14ac:dyDescent="0.25">
      <c r="AP2843" s="15" t="str">
        <f t="shared" si="44"/>
        <v/>
      </c>
    </row>
    <row r="2844" spans="42:42" ht="12" customHeight="1" x14ac:dyDescent="0.25">
      <c r="AP2844" s="15" t="str">
        <f t="shared" si="44"/>
        <v/>
      </c>
    </row>
    <row r="2845" spans="42:42" ht="12" customHeight="1" x14ac:dyDescent="0.25">
      <c r="AP2845" s="15" t="str">
        <f t="shared" si="44"/>
        <v/>
      </c>
    </row>
    <row r="2846" spans="42:42" ht="12" customHeight="1" x14ac:dyDescent="0.25">
      <c r="AP2846" s="15" t="str">
        <f t="shared" si="44"/>
        <v/>
      </c>
    </row>
    <row r="2847" spans="42:42" ht="12" customHeight="1" x14ac:dyDescent="0.25">
      <c r="AP2847" s="15" t="str">
        <f t="shared" si="44"/>
        <v/>
      </c>
    </row>
    <row r="2848" spans="42:42" ht="12" customHeight="1" x14ac:dyDescent="0.25">
      <c r="AP2848" s="15" t="str">
        <f t="shared" si="44"/>
        <v/>
      </c>
    </row>
    <row r="2849" spans="42:42" ht="12" customHeight="1" x14ac:dyDescent="0.25">
      <c r="AP2849" s="15" t="str">
        <f t="shared" si="44"/>
        <v/>
      </c>
    </row>
    <row r="2850" spans="42:42" ht="12" customHeight="1" x14ac:dyDescent="0.25">
      <c r="AP2850" s="15" t="str">
        <f t="shared" si="44"/>
        <v/>
      </c>
    </row>
    <row r="2851" spans="42:42" ht="12" customHeight="1" x14ac:dyDescent="0.25">
      <c r="AP2851" s="15" t="str">
        <f t="shared" si="44"/>
        <v/>
      </c>
    </row>
    <row r="2852" spans="42:42" ht="12" customHeight="1" x14ac:dyDescent="0.25">
      <c r="AP2852" s="15" t="str">
        <f t="shared" si="44"/>
        <v/>
      </c>
    </row>
    <row r="2853" spans="42:42" ht="12" customHeight="1" x14ac:dyDescent="0.25">
      <c r="AP2853" s="15" t="str">
        <f t="shared" si="44"/>
        <v/>
      </c>
    </row>
    <row r="2854" spans="42:42" ht="12" customHeight="1" x14ac:dyDescent="0.25">
      <c r="AP2854" s="15" t="str">
        <f t="shared" si="44"/>
        <v/>
      </c>
    </row>
    <row r="2855" spans="42:42" ht="12" customHeight="1" x14ac:dyDescent="0.25">
      <c r="AP2855" s="15" t="str">
        <f t="shared" si="44"/>
        <v/>
      </c>
    </row>
    <row r="2856" spans="42:42" ht="12" customHeight="1" x14ac:dyDescent="0.25">
      <c r="AP2856" s="15" t="str">
        <f t="shared" si="44"/>
        <v/>
      </c>
    </row>
    <row r="2857" spans="42:42" ht="12" customHeight="1" x14ac:dyDescent="0.25">
      <c r="AP2857" s="15" t="str">
        <f t="shared" si="44"/>
        <v/>
      </c>
    </row>
    <row r="2858" spans="42:42" ht="12" customHeight="1" x14ac:dyDescent="0.25">
      <c r="AP2858" s="15" t="str">
        <f t="shared" si="44"/>
        <v/>
      </c>
    </row>
    <row r="2859" spans="42:42" ht="12" customHeight="1" x14ac:dyDescent="0.25">
      <c r="AP2859" s="15" t="str">
        <f t="shared" si="44"/>
        <v/>
      </c>
    </row>
    <row r="2860" spans="42:42" ht="12" customHeight="1" x14ac:dyDescent="0.25">
      <c r="AP2860" s="15" t="str">
        <f t="shared" si="44"/>
        <v/>
      </c>
    </row>
    <row r="2861" spans="42:42" ht="12" customHeight="1" x14ac:dyDescent="0.25">
      <c r="AP2861" s="15" t="str">
        <f t="shared" si="44"/>
        <v/>
      </c>
    </row>
    <row r="2862" spans="42:42" ht="12" customHeight="1" x14ac:dyDescent="0.25">
      <c r="AP2862" s="15" t="str">
        <f t="shared" si="44"/>
        <v/>
      </c>
    </row>
    <row r="2863" spans="42:42" ht="12" customHeight="1" x14ac:dyDescent="0.25">
      <c r="AP2863" s="15" t="str">
        <f t="shared" si="44"/>
        <v/>
      </c>
    </row>
    <row r="2864" spans="42:42" ht="12" customHeight="1" x14ac:dyDescent="0.25">
      <c r="AP2864" s="15" t="str">
        <f t="shared" si="44"/>
        <v/>
      </c>
    </row>
    <row r="2865" spans="42:42" ht="12" customHeight="1" x14ac:dyDescent="0.25">
      <c r="AP2865" s="15" t="str">
        <f t="shared" si="44"/>
        <v/>
      </c>
    </row>
    <row r="2866" spans="42:42" ht="12" customHeight="1" x14ac:dyDescent="0.25">
      <c r="AP2866" s="15" t="str">
        <f t="shared" si="44"/>
        <v/>
      </c>
    </row>
    <row r="2867" spans="42:42" ht="12" customHeight="1" x14ac:dyDescent="0.25">
      <c r="AP2867" s="15" t="str">
        <f t="shared" si="44"/>
        <v/>
      </c>
    </row>
    <row r="2868" spans="42:42" ht="12" customHeight="1" x14ac:dyDescent="0.25">
      <c r="AP2868" s="15" t="str">
        <f t="shared" si="44"/>
        <v/>
      </c>
    </row>
    <row r="2869" spans="42:42" ht="12" customHeight="1" x14ac:dyDescent="0.25">
      <c r="AP2869" s="15" t="str">
        <f t="shared" si="44"/>
        <v/>
      </c>
    </row>
    <row r="2870" spans="42:42" ht="12" customHeight="1" x14ac:dyDescent="0.25">
      <c r="AP2870" s="15" t="str">
        <f t="shared" si="44"/>
        <v/>
      </c>
    </row>
    <row r="2871" spans="42:42" ht="12" customHeight="1" x14ac:dyDescent="0.25">
      <c r="AP2871" s="15" t="str">
        <f t="shared" si="44"/>
        <v/>
      </c>
    </row>
    <row r="2872" spans="42:42" ht="12" customHeight="1" x14ac:dyDescent="0.25">
      <c r="AP2872" s="15" t="str">
        <f t="shared" si="44"/>
        <v/>
      </c>
    </row>
    <row r="2873" spans="42:42" ht="12" customHeight="1" x14ac:dyDescent="0.25">
      <c r="AP2873" s="15" t="str">
        <f t="shared" si="44"/>
        <v/>
      </c>
    </row>
    <row r="2874" spans="42:42" ht="12" customHeight="1" x14ac:dyDescent="0.25">
      <c r="AP2874" s="15" t="str">
        <f t="shared" si="44"/>
        <v/>
      </c>
    </row>
    <row r="2875" spans="42:42" ht="12" customHeight="1" x14ac:dyDescent="0.25">
      <c r="AP2875" s="15" t="str">
        <f t="shared" si="44"/>
        <v/>
      </c>
    </row>
    <row r="2876" spans="42:42" ht="12" customHeight="1" x14ac:dyDescent="0.25">
      <c r="AP2876" s="15" t="str">
        <f t="shared" si="44"/>
        <v/>
      </c>
    </row>
    <row r="2877" spans="42:42" ht="12" customHeight="1" x14ac:dyDescent="0.25">
      <c r="AP2877" s="15" t="str">
        <f t="shared" si="44"/>
        <v/>
      </c>
    </row>
    <row r="2878" spans="42:42" ht="12" customHeight="1" x14ac:dyDescent="0.25">
      <c r="AP2878" s="15" t="str">
        <f t="shared" si="44"/>
        <v/>
      </c>
    </row>
    <row r="2879" spans="42:42" ht="12" customHeight="1" x14ac:dyDescent="0.25">
      <c r="AP2879" s="15" t="str">
        <f t="shared" si="44"/>
        <v/>
      </c>
    </row>
    <row r="2880" spans="42:42" ht="12" customHeight="1" x14ac:dyDescent="0.25">
      <c r="AP2880" s="15" t="str">
        <f t="shared" si="44"/>
        <v/>
      </c>
    </row>
    <row r="2881" spans="42:42" ht="12" customHeight="1" x14ac:dyDescent="0.25">
      <c r="AP2881" s="15" t="str">
        <f t="shared" si="44"/>
        <v/>
      </c>
    </row>
    <row r="2882" spans="42:42" ht="12" customHeight="1" x14ac:dyDescent="0.25">
      <c r="AP2882" s="15" t="str">
        <f t="shared" si="44"/>
        <v/>
      </c>
    </row>
    <row r="2883" spans="42:42" ht="12" customHeight="1" x14ac:dyDescent="0.25">
      <c r="AP2883" s="15" t="str">
        <f t="shared" si="44"/>
        <v/>
      </c>
    </row>
    <row r="2884" spans="42:42" ht="12" customHeight="1" x14ac:dyDescent="0.25">
      <c r="AP2884" s="15" t="str">
        <f t="shared" si="44"/>
        <v/>
      </c>
    </row>
    <row r="2885" spans="42:42" ht="12" customHeight="1" x14ac:dyDescent="0.25">
      <c r="AP2885" s="15" t="str">
        <f t="shared" si="44"/>
        <v/>
      </c>
    </row>
    <row r="2886" spans="42:42" ht="12" customHeight="1" x14ac:dyDescent="0.25">
      <c r="AP2886" s="15" t="str">
        <f t="shared" si="44"/>
        <v/>
      </c>
    </row>
    <row r="2887" spans="42:42" ht="12" customHeight="1" x14ac:dyDescent="0.25">
      <c r="AP2887" s="15" t="str">
        <f t="shared" si="44"/>
        <v/>
      </c>
    </row>
    <row r="2888" spans="42:42" ht="12" customHeight="1" x14ac:dyDescent="0.25">
      <c r="AP2888" s="15" t="str">
        <f t="shared" ref="AP2888:AP2951" si="45">IF(AO2888="", "", AO2888&amp;"["&amp;AN2888&amp;"]")</f>
        <v/>
      </c>
    </row>
    <row r="2889" spans="42:42" ht="12" customHeight="1" x14ac:dyDescent="0.25">
      <c r="AP2889" s="15" t="str">
        <f t="shared" si="45"/>
        <v/>
      </c>
    </row>
    <row r="2890" spans="42:42" ht="12" customHeight="1" x14ac:dyDescent="0.25">
      <c r="AP2890" s="15" t="str">
        <f t="shared" si="45"/>
        <v/>
      </c>
    </row>
    <row r="2891" spans="42:42" ht="12" customHeight="1" x14ac:dyDescent="0.25">
      <c r="AP2891" s="15" t="str">
        <f t="shared" si="45"/>
        <v/>
      </c>
    </row>
    <row r="2892" spans="42:42" ht="12" customHeight="1" x14ac:dyDescent="0.25">
      <c r="AP2892" s="15" t="str">
        <f t="shared" si="45"/>
        <v/>
      </c>
    </row>
    <row r="2893" spans="42:42" ht="12" customHeight="1" x14ac:dyDescent="0.25">
      <c r="AP2893" s="15" t="str">
        <f t="shared" si="45"/>
        <v/>
      </c>
    </row>
    <row r="2894" spans="42:42" ht="12" customHeight="1" x14ac:dyDescent="0.25">
      <c r="AP2894" s="15" t="str">
        <f t="shared" si="45"/>
        <v/>
      </c>
    </row>
    <row r="2895" spans="42:42" ht="12" customHeight="1" x14ac:dyDescent="0.25">
      <c r="AP2895" s="15" t="str">
        <f t="shared" si="45"/>
        <v/>
      </c>
    </row>
    <row r="2896" spans="42:42" ht="12" customHeight="1" x14ac:dyDescent="0.25">
      <c r="AP2896" s="15" t="str">
        <f t="shared" si="45"/>
        <v/>
      </c>
    </row>
    <row r="2897" spans="42:42" ht="12" customHeight="1" x14ac:dyDescent="0.25">
      <c r="AP2897" s="15" t="str">
        <f t="shared" si="45"/>
        <v/>
      </c>
    </row>
    <row r="2898" spans="42:42" ht="12" customHeight="1" x14ac:dyDescent="0.25">
      <c r="AP2898" s="15" t="str">
        <f t="shared" si="45"/>
        <v/>
      </c>
    </row>
    <row r="2899" spans="42:42" ht="12" customHeight="1" x14ac:dyDescent="0.25">
      <c r="AP2899" s="15" t="str">
        <f t="shared" si="45"/>
        <v/>
      </c>
    </row>
    <row r="2900" spans="42:42" ht="12" customHeight="1" x14ac:dyDescent="0.25">
      <c r="AP2900" s="15" t="str">
        <f t="shared" si="45"/>
        <v/>
      </c>
    </row>
    <row r="2901" spans="42:42" ht="12" customHeight="1" x14ac:dyDescent="0.25">
      <c r="AP2901" s="15" t="str">
        <f t="shared" si="45"/>
        <v/>
      </c>
    </row>
    <row r="2902" spans="42:42" ht="12" customHeight="1" x14ac:dyDescent="0.25">
      <c r="AP2902" s="15" t="str">
        <f t="shared" si="45"/>
        <v/>
      </c>
    </row>
    <row r="2903" spans="42:42" ht="12" customHeight="1" x14ac:dyDescent="0.25">
      <c r="AP2903" s="15" t="str">
        <f t="shared" si="45"/>
        <v/>
      </c>
    </row>
    <row r="2904" spans="42:42" ht="12" customHeight="1" x14ac:dyDescent="0.25">
      <c r="AP2904" s="15" t="str">
        <f t="shared" si="45"/>
        <v/>
      </c>
    </row>
    <row r="2905" spans="42:42" ht="12" customHeight="1" x14ac:dyDescent="0.25">
      <c r="AP2905" s="15" t="str">
        <f t="shared" si="45"/>
        <v/>
      </c>
    </row>
    <row r="2906" spans="42:42" ht="12" customHeight="1" x14ac:dyDescent="0.25">
      <c r="AP2906" s="15" t="str">
        <f t="shared" si="45"/>
        <v/>
      </c>
    </row>
    <row r="2907" spans="42:42" ht="12" customHeight="1" x14ac:dyDescent="0.25">
      <c r="AP2907" s="15" t="str">
        <f t="shared" si="45"/>
        <v/>
      </c>
    </row>
    <row r="2908" spans="42:42" ht="12" customHeight="1" x14ac:dyDescent="0.25">
      <c r="AP2908" s="15" t="str">
        <f t="shared" si="45"/>
        <v/>
      </c>
    </row>
    <row r="2909" spans="42:42" ht="12" customHeight="1" x14ac:dyDescent="0.25">
      <c r="AP2909" s="15" t="str">
        <f t="shared" si="45"/>
        <v/>
      </c>
    </row>
    <row r="2910" spans="42:42" ht="12" customHeight="1" x14ac:dyDescent="0.25">
      <c r="AP2910" s="15" t="str">
        <f t="shared" si="45"/>
        <v/>
      </c>
    </row>
    <row r="2911" spans="42:42" ht="12" customHeight="1" x14ac:dyDescent="0.25">
      <c r="AP2911" s="15" t="str">
        <f t="shared" si="45"/>
        <v/>
      </c>
    </row>
    <row r="2912" spans="42:42" ht="12" customHeight="1" x14ac:dyDescent="0.25">
      <c r="AP2912" s="15" t="str">
        <f t="shared" si="45"/>
        <v/>
      </c>
    </row>
    <row r="2913" spans="42:42" ht="12" customHeight="1" x14ac:dyDescent="0.25">
      <c r="AP2913" s="15" t="str">
        <f t="shared" si="45"/>
        <v/>
      </c>
    </row>
    <row r="2914" spans="42:42" ht="12" customHeight="1" x14ac:dyDescent="0.25">
      <c r="AP2914" s="15" t="str">
        <f t="shared" si="45"/>
        <v/>
      </c>
    </row>
    <row r="2915" spans="42:42" ht="12" customHeight="1" x14ac:dyDescent="0.25">
      <c r="AP2915" s="15" t="str">
        <f t="shared" si="45"/>
        <v/>
      </c>
    </row>
    <row r="2916" spans="42:42" ht="12" customHeight="1" x14ac:dyDescent="0.25">
      <c r="AP2916" s="15" t="str">
        <f t="shared" si="45"/>
        <v/>
      </c>
    </row>
    <row r="2917" spans="42:42" ht="12" customHeight="1" x14ac:dyDescent="0.25">
      <c r="AP2917" s="15" t="str">
        <f t="shared" si="45"/>
        <v/>
      </c>
    </row>
    <row r="2918" spans="42:42" ht="12" customHeight="1" x14ac:dyDescent="0.25">
      <c r="AP2918" s="15" t="str">
        <f t="shared" si="45"/>
        <v/>
      </c>
    </row>
    <row r="2919" spans="42:42" ht="12" customHeight="1" x14ac:dyDescent="0.25">
      <c r="AP2919" s="15" t="str">
        <f t="shared" si="45"/>
        <v/>
      </c>
    </row>
    <row r="2920" spans="42:42" ht="12" customHeight="1" x14ac:dyDescent="0.25">
      <c r="AP2920" s="15" t="str">
        <f t="shared" si="45"/>
        <v/>
      </c>
    </row>
    <row r="2921" spans="42:42" ht="12" customHeight="1" x14ac:dyDescent="0.25">
      <c r="AP2921" s="15" t="str">
        <f t="shared" si="45"/>
        <v/>
      </c>
    </row>
    <row r="2922" spans="42:42" ht="12" customHeight="1" x14ac:dyDescent="0.25">
      <c r="AP2922" s="15" t="str">
        <f t="shared" si="45"/>
        <v/>
      </c>
    </row>
    <row r="2923" spans="42:42" ht="12" customHeight="1" x14ac:dyDescent="0.25">
      <c r="AP2923" s="15" t="str">
        <f t="shared" si="45"/>
        <v/>
      </c>
    </row>
    <row r="2924" spans="42:42" ht="12" customHeight="1" x14ac:dyDescent="0.25">
      <c r="AP2924" s="15" t="str">
        <f t="shared" si="45"/>
        <v/>
      </c>
    </row>
    <row r="2925" spans="42:42" ht="12" customHeight="1" x14ac:dyDescent="0.25">
      <c r="AP2925" s="15" t="str">
        <f t="shared" si="45"/>
        <v/>
      </c>
    </row>
    <row r="2926" spans="42:42" ht="12" customHeight="1" x14ac:dyDescent="0.25">
      <c r="AP2926" s="15" t="str">
        <f t="shared" si="45"/>
        <v/>
      </c>
    </row>
    <row r="2927" spans="42:42" ht="12" customHeight="1" x14ac:dyDescent="0.25">
      <c r="AP2927" s="15" t="str">
        <f t="shared" si="45"/>
        <v/>
      </c>
    </row>
    <row r="2928" spans="42:42" ht="12" customHeight="1" x14ac:dyDescent="0.25">
      <c r="AP2928" s="15" t="str">
        <f t="shared" si="45"/>
        <v/>
      </c>
    </row>
    <row r="2929" spans="42:42" ht="12" customHeight="1" x14ac:dyDescent="0.25">
      <c r="AP2929" s="15" t="str">
        <f t="shared" si="45"/>
        <v/>
      </c>
    </row>
    <row r="2930" spans="42:42" ht="12" customHeight="1" x14ac:dyDescent="0.25">
      <c r="AP2930" s="15" t="str">
        <f t="shared" si="45"/>
        <v/>
      </c>
    </row>
    <row r="2931" spans="42:42" ht="12" customHeight="1" x14ac:dyDescent="0.25">
      <c r="AP2931" s="15" t="str">
        <f t="shared" si="45"/>
        <v/>
      </c>
    </row>
    <row r="2932" spans="42:42" ht="12" customHeight="1" x14ac:dyDescent="0.25">
      <c r="AP2932" s="15" t="str">
        <f t="shared" si="45"/>
        <v/>
      </c>
    </row>
    <row r="2933" spans="42:42" ht="12" customHeight="1" x14ac:dyDescent="0.25">
      <c r="AP2933" s="15" t="str">
        <f t="shared" si="45"/>
        <v/>
      </c>
    </row>
    <row r="2934" spans="42:42" ht="12" customHeight="1" x14ac:dyDescent="0.25">
      <c r="AP2934" s="15" t="str">
        <f t="shared" si="45"/>
        <v/>
      </c>
    </row>
    <row r="2935" spans="42:42" ht="12" customHeight="1" x14ac:dyDescent="0.25">
      <c r="AP2935" s="15" t="str">
        <f t="shared" si="45"/>
        <v/>
      </c>
    </row>
    <row r="2936" spans="42:42" ht="12" customHeight="1" x14ac:dyDescent="0.25">
      <c r="AP2936" s="15" t="str">
        <f t="shared" si="45"/>
        <v/>
      </c>
    </row>
    <row r="2937" spans="42:42" ht="12" customHeight="1" x14ac:dyDescent="0.25">
      <c r="AP2937" s="15" t="str">
        <f t="shared" si="45"/>
        <v/>
      </c>
    </row>
    <row r="2938" spans="42:42" ht="12" customHeight="1" x14ac:dyDescent="0.25">
      <c r="AP2938" s="15" t="str">
        <f t="shared" si="45"/>
        <v/>
      </c>
    </row>
    <row r="2939" spans="42:42" ht="12" customHeight="1" x14ac:dyDescent="0.25">
      <c r="AP2939" s="15" t="str">
        <f t="shared" si="45"/>
        <v/>
      </c>
    </row>
    <row r="2940" spans="42:42" ht="12" customHeight="1" x14ac:dyDescent="0.25">
      <c r="AP2940" s="15" t="str">
        <f t="shared" si="45"/>
        <v/>
      </c>
    </row>
    <row r="2941" spans="42:42" ht="12" customHeight="1" x14ac:dyDescent="0.25">
      <c r="AP2941" s="15" t="str">
        <f t="shared" si="45"/>
        <v/>
      </c>
    </row>
    <row r="2942" spans="42:42" ht="12" customHeight="1" x14ac:dyDescent="0.25">
      <c r="AP2942" s="15" t="str">
        <f t="shared" si="45"/>
        <v/>
      </c>
    </row>
    <row r="2943" spans="42:42" ht="12" customHeight="1" x14ac:dyDescent="0.25">
      <c r="AP2943" s="15" t="str">
        <f t="shared" si="45"/>
        <v/>
      </c>
    </row>
    <row r="2944" spans="42:42" ht="12" customHeight="1" x14ac:dyDescent="0.25">
      <c r="AP2944" s="15" t="str">
        <f t="shared" si="45"/>
        <v/>
      </c>
    </row>
    <row r="2945" spans="42:42" ht="12" customHeight="1" x14ac:dyDescent="0.25">
      <c r="AP2945" s="15" t="str">
        <f t="shared" si="45"/>
        <v/>
      </c>
    </row>
    <row r="2946" spans="42:42" ht="12" customHeight="1" x14ac:dyDescent="0.25">
      <c r="AP2946" s="15" t="str">
        <f t="shared" si="45"/>
        <v/>
      </c>
    </row>
    <row r="2947" spans="42:42" ht="12" customHeight="1" x14ac:dyDescent="0.25">
      <c r="AP2947" s="15" t="str">
        <f t="shared" si="45"/>
        <v/>
      </c>
    </row>
    <row r="2948" spans="42:42" ht="12" customHeight="1" x14ac:dyDescent="0.25">
      <c r="AP2948" s="15" t="str">
        <f t="shared" si="45"/>
        <v/>
      </c>
    </row>
    <row r="2949" spans="42:42" ht="12" customHeight="1" x14ac:dyDescent="0.25">
      <c r="AP2949" s="15" t="str">
        <f t="shared" si="45"/>
        <v/>
      </c>
    </row>
    <row r="2950" spans="42:42" ht="12" customHeight="1" x14ac:dyDescent="0.25">
      <c r="AP2950" s="15" t="str">
        <f t="shared" si="45"/>
        <v/>
      </c>
    </row>
    <row r="2951" spans="42:42" ht="12" customHeight="1" x14ac:dyDescent="0.25">
      <c r="AP2951" s="15" t="str">
        <f t="shared" si="45"/>
        <v/>
      </c>
    </row>
    <row r="2952" spans="42:42" ht="12" customHeight="1" x14ac:dyDescent="0.25">
      <c r="AP2952" s="15" t="str">
        <f t="shared" ref="AP2952:AP3015" si="46">IF(AO2952="", "", AO2952&amp;"["&amp;AN2952&amp;"]")</f>
        <v/>
      </c>
    </row>
    <row r="2953" spans="42:42" ht="12" customHeight="1" x14ac:dyDescent="0.25">
      <c r="AP2953" s="15" t="str">
        <f t="shared" si="46"/>
        <v/>
      </c>
    </row>
    <row r="2954" spans="42:42" ht="12" customHeight="1" x14ac:dyDescent="0.25">
      <c r="AP2954" s="15" t="str">
        <f t="shared" si="46"/>
        <v/>
      </c>
    </row>
    <row r="2955" spans="42:42" ht="12" customHeight="1" x14ac:dyDescent="0.25">
      <c r="AP2955" s="15" t="str">
        <f t="shared" si="46"/>
        <v/>
      </c>
    </row>
    <row r="2956" spans="42:42" ht="12" customHeight="1" x14ac:dyDescent="0.25">
      <c r="AP2956" s="15" t="str">
        <f t="shared" si="46"/>
        <v/>
      </c>
    </row>
    <row r="2957" spans="42:42" ht="12" customHeight="1" x14ac:dyDescent="0.25">
      <c r="AP2957" s="15" t="str">
        <f t="shared" si="46"/>
        <v/>
      </c>
    </row>
    <row r="2958" spans="42:42" ht="12" customHeight="1" x14ac:dyDescent="0.25">
      <c r="AP2958" s="15" t="str">
        <f t="shared" si="46"/>
        <v/>
      </c>
    </row>
    <row r="2959" spans="42:42" ht="12" customHeight="1" x14ac:dyDescent="0.25">
      <c r="AP2959" s="15" t="str">
        <f t="shared" si="46"/>
        <v/>
      </c>
    </row>
    <row r="2960" spans="42:42" ht="12" customHeight="1" x14ac:dyDescent="0.25">
      <c r="AP2960" s="15" t="str">
        <f t="shared" si="46"/>
        <v/>
      </c>
    </row>
    <row r="2961" spans="42:42" ht="12" customHeight="1" x14ac:dyDescent="0.25">
      <c r="AP2961" s="15" t="str">
        <f t="shared" si="46"/>
        <v/>
      </c>
    </row>
    <row r="2962" spans="42:42" ht="12" customHeight="1" x14ac:dyDescent="0.25">
      <c r="AP2962" s="15" t="str">
        <f t="shared" si="46"/>
        <v/>
      </c>
    </row>
    <row r="2963" spans="42:42" ht="12" customHeight="1" x14ac:dyDescent="0.25">
      <c r="AP2963" s="15" t="str">
        <f t="shared" si="46"/>
        <v/>
      </c>
    </row>
    <row r="2964" spans="42:42" ht="12" customHeight="1" x14ac:dyDescent="0.25">
      <c r="AP2964" s="15" t="str">
        <f t="shared" si="46"/>
        <v/>
      </c>
    </row>
    <row r="2965" spans="42:42" ht="12" customHeight="1" x14ac:dyDescent="0.25">
      <c r="AP2965" s="15" t="str">
        <f t="shared" si="46"/>
        <v/>
      </c>
    </row>
    <row r="2966" spans="42:42" ht="12" customHeight="1" x14ac:dyDescent="0.25">
      <c r="AP2966" s="15" t="str">
        <f t="shared" si="46"/>
        <v/>
      </c>
    </row>
    <row r="2967" spans="42:42" ht="12" customHeight="1" x14ac:dyDescent="0.25">
      <c r="AP2967" s="15" t="str">
        <f t="shared" si="46"/>
        <v/>
      </c>
    </row>
    <row r="2968" spans="42:42" ht="12" customHeight="1" x14ac:dyDescent="0.25">
      <c r="AP2968" s="15" t="str">
        <f t="shared" si="46"/>
        <v/>
      </c>
    </row>
    <row r="2969" spans="42:42" ht="12" customHeight="1" x14ac:dyDescent="0.25">
      <c r="AP2969" s="15" t="str">
        <f t="shared" si="46"/>
        <v/>
      </c>
    </row>
    <row r="2970" spans="42:42" ht="12" customHeight="1" x14ac:dyDescent="0.25">
      <c r="AP2970" s="15" t="str">
        <f t="shared" si="46"/>
        <v/>
      </c>
    </row>
    <row r="2971" spans="42:42" ht="12" customHeight="1" x14ac:dyDescent="0.25">
      <c r="AP2971" s="15" t="str">
        <f t="shared" si="46"/>
        <v/>
      </c>
    </row>
    <row r="2972" spans="42:42" ht="12" customHeight="1" x14ac:dyDescent="0.25">
      <c r="AP2972" s="15" t="str">
        <f t="shared" si="46"/>
        <v/>
      </c>
    </row>
    <row r="2973" spans="42:42" ht="12" customHeight="1" x14ac:dyDescent="0.25">
      <c r="AP2973" s="15" t="str">
        <f t="shared" si="46"/>
        <v/>
      </c>
    </row>
    <row r="2974" spans="42:42" ht="12" customHeight="1" x14ac:dyDescent="0.25">
      <c r="AP2974" s="15" t="str">
        <f t="shared" si="46"/>
        <v/>
      </c>
    </row>
    <row r="2975" spans="42:42" ht="12" customHeight="1" x14ac:dyDescent="0.25">
      <c r="AP2975" s="15" t="str">
        <f t="shared" si="46"/>
        <v/>
      </c>
    </row>
    <row r="2976" spans="42:42" ht="12" customHeight="1" x14ac:dyDescent="0.25">
      <c r="AP2976" s="15" t="str">
        <f t="shared" si="46"/>
        <v/>
      </c>
    </row>
    <row r="2977" spans="42:42" ht="12" customHeight="1" x14ac:dyDescent="0.25">
      <c r="AP2977" s="15" t="str">
        <f t="shared" si="46"/>
        <v/>
      </c>
    </row>
    <row r="2978" spans="42:42" ht="12" customHeight="1" x14ac:dyDescent="0.25">
      <c r="AP2978" s="15" t="str">
        <f t="shared" si="46"/>
        <v/>
      </c>
    </row>
    <row r="2979" spans="42:42" ht="12" customHeight="1" x14ac:dyDescent="0.25">
      <c r="AP2979" s="15" t="str">
        <f t="shared" si="46"/>
        <v/>
      </c>
    </row>
    <row r="2980" spans="42:42" ht="12" customHeight="1" x14ac:dyDescent="0.25">
      <c r="AP2980" s="15" t="str">
        <f t="shared" si="46"/>
        <v/>
      </c>
    </row>
    <row r="2981" spans="42:42" ht="12" customHeight="1" x14ac:dyDescent="0.25">
      <c r="AP2981" s="15" t="str">
        <f t="shared" si="46"/>
        <v/>
      </c>
    </row>
    <row r="2982" spans="42:42" ht="12" customHeight="1" x14ac:dyDescent="0.25">
      <c r="AP2982" s="15" t="str">
        <f t="shared" si="46"/>
        <v/>
      </c>
    </row>
    <row r="2983" spans="42:42" ht="12" customHeight="1" x14ac:dyDescent="0.25">
      <c r="AP2983" s="15" t="str">
        <f t="shared" si="46"/>
        <v/>
      </c>
    </row>
    <row r="2984" spans="42:42" ht="12" customHeight="1" x14ac:dyDescent="0.25">
      <c r="AP2984" s="15" t="str">
        <f t="shared" si="46"/>
        <v/>
      </c>
    </row>
    <row r="2985" spans="42:42" ht="12" customHeight="1" x14ac:dyDescent="0.25">
      <c r="AP2985" s="15" t="str">
        <f t="shared" si="46"/>
        <v/>
      </c>
    </row>
    <row r="2986" spans="42:42" ht="12" customHeight="1" x14ac:dyDescent="0.25">
      <c r="AP2986" s="15" t="str">
        <f t="shared" si="46"/>
        <v/>
      </c>
    </row>
    <row r="2987" spans="42:42" ht="12" customHeight="1" x14ac:dyDescent="0.25">
      <c r="AP2987" s="15" t="str">
        <f t="shared" si="46"/>
        <v/>
      </c>
    </row>
    <row r="2988" spans="42:42" ht="12" customHeight="1" x14ac:dyDescent="0.25">
      <c r="AP2988" s="15" t="str">
        <f t="shared" si="46"/>
        <v/>
      </c>
    </row>
    <row r="2989" spans="42:42" ht="12" customHeight="1" x14ac:dyDescent="0.25">
      <c r="AP2989" s="15" t="str">
        <f t="shared" si="46"/>
        <v/>
      </c>
    </row>
    <row r="2990" spans="42:42" ht="12" customHeight="1" x14ac:dyDescent="0.25">
      <c r="AP2990" s="15" t="str">
        <f t="shared" si="46"/>
        <v/>
      </c>
    </row>
    <row r="2991" spans="42:42" ht="12" customHeight="1" x14ac:dyDescent="0.25">
      <c r="AP2991" s="15" t="str">
        <f t="shared" si="46"/>
        <v/>
      </c>
    </row>
    <row r="2992" spans="42:42" ht="12" customHeight="1" x14ac:dyDescent="0.25">
      <c r="AP2992" s="15" t="str">
        <f t="shared" si="46"/>
        <v/>
      </c>
    </row>
    <row r="2993" spans="42:42" ht="12" customHeight="1" x14ac:dyDescent="0.25">
      <c r="AP2993" s="15" t="str">
        <f t="shared" si="46"/>
        <v/>
      </c>
    </row>
    <row r="2994" spans="42:42" ht="12" customHeight="1" x14ac:dyDescent="0.25">
      <c r="AP2994" s="15" t="str">
        <f t="shared" si="46"/>
        <v/>
      </c>
    </row>
    <row r="2995" spans="42:42" ht="12" customHeight="1" x14ac:dyDescent="0.25">
      <c r="AP2995" s="15" t="str">
        <f t="shared" si="46"/>
        <v/>
      </c>
    </row>
    <row r="2996" spans="42:42" ht="12" customHeight="1" x14ac:dyDescent="0.25">
      <c r="AP2996" s="15" t="str">
        <f t="shared" si="46"/>
        <v/>
      </c>
    </row>
    <row r="2997" spans="42:42" ht="12" customHeight="1" x14ac:dyDescent="0.25">
      <c r="AP2997" s="15" t="str">
        <f t="shared" si="46"/>
        <v/>
      </c>
    </row>
    <row r="2998" spans="42:42" ht="12" customHeight="1" x14ac:dyDescent="0.25">
      <c r="AP2998" s="15" t="str">
        <f t="shared" si="46"/>
        <v/>
      </c>
    </row>
    <row r="2999" spans="42:42" ht="12" customHeight="1" x14ac:dyDescent="0.25">
      <c r="AP2999" s="15" t="str">
        <f t="shared" si="46"/>
        <v/>
      </c>
    </row>
    <row r="3000" spans="42:42" ht="12" customHeight="1" x14ac:dyDescent="0.25">
      <c r="AP3000" s="15" t="str">
        <f t="shared" si="46"/>
        <v/>
      </c>
    </row>
    <row r="3001" spans="42:42" ht="12" customHeight="1" x14ac:dyDescent="0.25">
      <c r="AP3001" s="15" t="str">
        <f t="shared" si="46"/>
        <v/>
      </c>
    </row>
    <row r="3002" spans="42:42" ht="12" customHeight="1" x14ac:dyDescent="0.25">
      <c r="AP3002" s="15" t="str">
        <f t="shared" si="46"/>
        <v/>
      </c>
    </row>
    <row r="3003" spans="42:42" ht="12" customHeight="1" x14ac:dyDescent="0.25">
      <c r="AP3003" s="15" t="str">
        <f t="shared" si="46"/>
        <v/>
      </c>
    </row>
    <row r="3004" spans="42:42" ht="12" customHeight="1" x14ac:dyDescent="0.25">
      <c r="AP3004" s="15" t="str">
        <f t="shared" si="46"/>
        <v/>
      </c>
    </row>
    <row r="3005" spans="42:42" ht="12" customHeight="1" x14ac:dyDescent="0.25">
      <c r="AP3005" s="15" t="str">
        <f t="shared" si="46"/>
        <v/>
      </c>
    </row>
    <row r="3006" spans="42:42" ht="12" customHeight="1" x14ac:dyDescent="0.25">
      <c r="AP3006" s="15" t="str">
        <f t="shared" si="46"/>
        <v/>
      </c>
    </row>
    <row r="3007" spans="42:42" ht="12" customHeight="1" x14ac:dyDescent="0.25">
      <c r="AP3007" s="15" t="str">
        <f t="shared" si="46"/>
        <v/>
      </c>
    </row>
    <row r="3008" spans="42:42" ht="12" customHeight="1" x14ac:dyDescent="0.25">
      <c r="AP3008" s="15" t="str">
        <f t="shared" si="46"/>
        <v/>
      </c>
    </row>
    <row r="3009" spans="42:42" ht="12" customHeight="1" x14ac:dyDescent="0.25">
      <c r="AP3009" s="15" t="str">
        <f t="shared" si="46"/>
        <v/>
      </c>
    </row>
    <row r="3010" spans="42:42" ht="12" customHeight="1" x14ac:dyDescent="0.25">
      <c r="AP3010" s="15" t="str">
        <f t="shared" si="46"/>
        <v/>
      </c>
    </row>
    <row r="3011" spans="42:42" ht="12" customHeight="1" x14ac:dyDescent="0.25">
      <c r="AP3011" s="15" t="str">
        <f t="shared" si="46"/>
        <v/>
      </c>
    </row>
    <row r="3012" spans="42:42" ht="12" customHeight="1" x14ac:dyDescent="0.25">
      <c r="AP3012" s="15" t="str">
        <f t="shared" si="46"/>
        <v/>
      </c>
    </row>
    <row r="3013" spans="42:42" ht="12" customHeight="1" x14ac:dyDescent="0.25">
      <c r="AP3013" s="15" t="str">
        <f t="shared" si="46"/>
        <v/>
      </c>
    </row>
    <row r="3014" spans="42:42" ht="12" customHeight="1" x14ac:dyDescent="0.25">
      <c r="AP3014" s="15" t="str">
        <f t="shared" si="46"/>
        <v/>
      </c>
    </row>
    <row r="3015" spans="42:42" ht="12" customHeight="1" x14ac:dyDescent="0.25">
      <c r="AP3015" s="15" t="str">
        <f t="shared" si="46"/>
        <v/>
      </c>
    </row>
    <row r="3016" spans="42:42" ht="12" customHeight="1" x14ac:dyDescent="0.25">
      <c r="AP3016" s="15" t="str">
        <f t="shared" ref="AP3016:AP3079" si="47">IF(AO3016="", "", AO3016&amp;"["&amp;AN3016&amp;"]")</f>
        <v/>
      </c>
    </row>
    <row r="3017" spans="42:42" ht="12" customHeight="1" x14ac:dyDescent="0.25">
      <c r="AP3017" s="15" t="str">
        <f t="shared" si="47"/>
        <v/>
      </c>
    </row>
    <row r="3018" spans="42:42" ht="12" customHeight="1" x14ac:dyDescent="0.25">
      <c r="AP3018" s="15" t="str">
        <f t="shared" si="47"/>
        <v/>
      </c>
    </row>
    <row r="3019" spans="42:42" ht="12" customHeight="1" x14ac:dyDescent="0.25">
      <c r="AP3019" s="15" t="str">
        <f t="shared" si="47"/>
        <v/>
      </c>
    </row>
    <row r="3020" spans="42:42" ht="12" customHeight="1" x14ac:dyDescent="0.25">
      <c r="AP3020" s="15" t="str">
        <f t="shared" si="47"/>
        <v/>
      </c>
    </row>
    <row r="3021" spans="42:42" ht="12" customHeight="1" x14ac:dyDescent="0.25">
      <c r="AP3021" s="15" t="str">
        <f t="shared" si="47"/>
        <v/>
      </c>
    </row>
    <row r="3022" spans="42:42" ht="12" customHeight="1" x14ac:dyDescent="0.25">
      <c r="AP3022" s="15" t="str">
        <f t="shared" si="47"/>
        <v/>
      </c>
    </row>
    <row r="3023" spans="42:42" ht="12" customHeight="1" x14ac:dyDescent="0.25">
      <c r="AP3023" s="15" t="str">
        <f t="shared" si="47"/>
        <v/>
      </c>
    </row>
    <row r="3024" spans="42:42" ht="12" customHeight="1" x14ac:dyDescent="0.25">
      <c r="AP3024" s="15" t="str">
        <f t="shared" si="47"/>
        <v/>
      </c>
    </row>
    <row r="3025" spans="42:42" ht="12" customHeight="1" x14ac:dyDescent="0.25">
      <c r="AP3025" s="15" t="str">
        <f t="shared" si="47"/>
        <v/>
      </c>
    </row>
    <row r="3026" spans="42:42" ht="12" customHeight="1" x14ac:dyDescent="0.25">
      <c r="AP3026" s="15" t="str">
        <f t="shared" si="47"/>
        <v/>
      </c>
    </row>
    <row r="3027" spans="42:42" ht="12" customHeight="1" x14ac:dyDescent="0.25">
      <c r="AP3027" s="15" t="str">
        <f t="shared" si="47"/>
        <v/>
      </c>
    </row>
    <row r="3028" spans="42:42" ht="12" customHeight="1" x14ac:dyDescent="0.25">
      <c r="AP3028" s="15" t="str">
        <f t="shared" si="47"/>
        <v/>
      </c>
    </row>
    <row r="3029" spans="42:42" ht="12" customHeight="1" x14ac:dyDescent="0.25">
      <c r="AP3029" s="15" t="str">
        <f t="shared" si="47"/>
        <v/>
      </c>
    </row>
    <row r="3030" spans="42:42" ht="12" customHeight="1" x14ac:dyDescent="0.25">
      <c r="AP3030" s="15" t="str">
        <f t="shared" si="47"/>
        <v/>
      </c>
    </row>
    <row r="3031" spans="42:42" ht="12" customHeight="1" x14ac:dyDescent="0.25">
      <c r="AP3031" s="15" t="str">
        <f t="shared" si="47"/>
        <v/>
      </c>
    </row>
    <row r="3032" spans="42:42" ht="12" customHeight="1" x14ac:dyDescent="0.25">
      <c r="AP3032" s="15" t="str">
        <f t="shared" si="47"/>
        <v/>
      </c>
    </row>
    <row r="3033" spans="42:42" ht="12" customHeight="1" x14ac:dyDescent="0.25">
      <c r="AP3033" s="15" t="str">
        <f t="shared" si="47"/>
        <v/>
      </c>
    </row>
    <row r="3034" spans="42:42" ht="12" customHeight="1" x14ac:dyDescent="0.25">
      <c r="AP3034" s="15" t="str">
        <f t="shared" si="47"/>
        <v/>
      </c>
    </row>
    <row r="3035" spans="42:42" ht="12" customHeight="1" x14ac:dyDescent="0.25">
      <c r="AP3035" s="15" t="str">
        <f t="shared" si="47"/>
        <v/>
      </c>
    </row>
    <row r="3036" spans="42:42" ht="12" customHeight="1" x14ac:dyDescent="0.25">
      <c r="AP3036" s="15" t="str">
        <f t="shared" si="47"/>
        <v/>
      </c>
    </row>
    <row r="3037" spans="42:42" ht="12" customHeight="1" x14ac:dyDescent="0.25">
      <c r="AP3037" s="15" t="str">
        <f t="shared" si="47"/>
        <v/>
      </c>
    </row>
    <row r="3038" spans="42:42" ht="12" customHeight="1" x14ac:dyDescent="0.25">
      <c r="AP3038" s="15" t="str">
        <f t="shared" si="47"/>
        <v/>
      </c>
    </row>
    <row r="3039" spans="42:42" ht="12" customHeight="1" x14ac:dyDescent="0.25">
      <c r="AP3039" s="15" t="str">
        <f t="shared" si="47"/>
        <v/>
      </c>
    </row>
    <row r="3040" spans="42:42" ht="12" customHeight="1" x14ac:dyDescent="0.25">
      <c r="AP3040" s="15" t="str">
        <f t="shared" si="47"/>
        <v/>
      </c>
    </row>
    <row r="3041" spans="42:42" ht="12" customHeight="1" x14ac:dyDescent="0.25">
      <c r="AP3041" s="15" t="str">
        <f t="shared" si="47"/>
        <v/>
      </c>
    </row>
    <row r="3042" spans="42:42" ht="12" customHeight="1" x14ac:dyDescent="0.25">
      <c r="AP3042" s="15" t="str">
        <f t="shared" si="47"/>
        <v/>
      </c>
    </row>
    <row r="3043" spans="42:42" ht="12" customHeight="1" x14ac:dyDescent="0.25">
      <c r="AP3043" s="15" t="str">
        <f t="shared" si="47"/>
        <v/>
      </c>
    </row>
    <row r="3044" spans="42:42" ht="12" customHeight="1" x14ac:dyDescent="0.25">
      <c r="AP3044" s="15" t="str">
        <f t="shared" si="47"/>
        <v/>
      </c>
    </row>
    <row r="3045" spans="42:42" ht="12" customHeight="1" x14ac:dyDescent="0.25">
      <c r="AP3045" s="15" t="str">
        <f t="shared" si="47"/>
        <v/>
      </c>
    </row>
    <row r="3046" spans="42:42" ht="12" customHeight="1" x14ac:dyDescent="0.25">
      <c r="AP3046" s="15" t="str">
        <f t="shared" si="47"/>
        <v/>
      </c>
    </row>
    <row r="3047" spans="42:42" ht="12" customHeight="1" x14ac:dyDescent="0.25">
      <c r="AP3047" s="15" t="str">
        <f t="shared" si="47"/>
        <v/>
      </c>
    </row>
    <row r="3048" spans="42:42" ht="12" customHeight="1" x14ac:dyDescent="0.25">
      <c r="AP3048" s="15" t="str">
        <f t="shared" si="47"/>
        <v/>
      </c>
    </row>
    <row r="3049" spans="42:42" ht="12" customHeight="1" x14ac:dyDescent="0.25">
      <c r="AP3049" s="15" t="str">
        <f t="shared" si="47"/>
        <v/>
      </c>
    </row>
    <row r="3050" spans="42:42" ht="12" customHeight="1" x14ac:dyDescent="0.25">
      <c r="AP3050" s="15" t="str">
        <f t="shared" si="47"/>
        <v/>
      </c>
    </row>
    <row r="3051" spans="42:42" ht="12" customHeight="1" x14ac:dyDescent="0.25">
      <c r="AP3051" s="15" t="str">
        <f t="shared" si="47"/>
        <v/>
      </c>
    </row>
    <row r="3052" spans="42:42" ht="12" customHeight="1" x14ac:dyDescent="0.25">
      <c r="AP3052" s="15" t="str">
        <f t="shared" si="47"/>
        <v/>
      </c>
    </row>
    <row r="3053" spans="42:42" ht="12" customHeight="1" x14ac:dyDescent="0.25">
      <c r="AP3053" s="15" t="str">
        <f t="shared" si="47"/>
        <v/>
      </c>
    </row>
    <row r="3054" spans="42:42" ht="12" customHeight="1" x14ac:dyDescent="0.25">
      <c r="AP3054" s="15" t="str">
        <f t="shared" si="47"/>
        <v/>
      </c>
    </row>
    <row r="3055" spans="42:42" ht="12" customHeight="1" x14ac:dyDescent="0.25">
      <c r="AP3055" s="15" t="str">
        <f t="shared" si="47"/>
        <v/>
      </c>
    </row>
    <row r="3056" spans="42:42" ht="12" customHeight="1" x14ac:dyDescent="0.25">
      <c r="AP3056" s="15" t="str">
        <f t="shared" si="47"/>
        <v/>
      </c>
    </row>
    <row r="3057" spans="42:42" ht="12" customHeight="1" x14ac:dyDescent="0.25">
      <c r="AP3057" s="15" t="str">
        <f t="shared" si="47"/>
        <v/>
      </c>
    </row>
    <row r="3058" spans="42:42" ht="12" customHeight="1" x14ac:dyDescent="0.25">
      <c r="AP3058" s="15" t="str">
        <f t="shared" si="47"/>
        <v/>
      </c>
    </row>
    <row r="3059" spans="42:42" ht="12" customHeight="1" x14ac:dyDescent="0.25">
      <c r="AP3059" s="15" t="str">
        <f t="shared" si="47"/>
        <v/>
      </c>
    </row>
    <row r="3060" spans="42:42" ht="12" customHeight="1" x14ac:dyDescent="0.25">
      <c r="AP3060" s="15" t="str">
        <f t="shared" si="47"/>
        <v/>
      </c>
    </row>
    <row r="3061" spans="42:42" ht="12" customHeight="1" x14ac:dyDescent="0.25">
      <c r="AP3061" s="15" t="str">
        <f t="shared" si="47"/>
        <v/>
      </c>
    </row>
    <row r="3062" spans="42:42" ht="12" customHeight="1" x14ac:dyDescent="0.25">
      <c r="AP3062" s="15" t="str">
        <f t="shared" si="47"/>
        <v/>
      </c>
    </row>
    <row r="3063" spans="42:42" ht="12" customHeight="1" x14ac:dyDescent="0.25">
      <c r="AP3063" s="15" t="str">
        <f t="shared" si="47"/>
        <v/>
      </c>
    </row>
    <row r="3064" spans="42:42" ht="12" customHeight="1" x14ac:dyDescent="0.25">
      <c r="AP3064" s="15" t="str">
        <f t="shared" si="47"/>
        <v/>
      </c>
    </row>
    <row r="3065" spans="42:42" ht="12" customHeight="1" x14ac:dyDescent="0.25">
      <c r="AP3065" s="15" t="str">
        <f t="shared" si="47"/>
        <v/>
      </c>
    </row>
    <row r="3066" spans="42:42" ht="12" customHeight="1" x14ac:dyDescent="0.25">
      <c r="AP3066" s="15" t="str">
        <f t="shared" si="47"/>
        <v/>
      </c>
    </row>
    <row r="3067" spans="42:42" ht="12" customHeight="1" x14ac:dyDescent="0.25">
      <c r="AP3067" s="15" t="str">
        <f t="shared" si="47"/>
        <v/>
      </c>
    </row>
    <row r="3068" spans="42:42" ht="12" customHeight="1" x14ac:dyDescent="0.25">
      <c r="AP3068" s="15" t="str">
        <f t="shared" si="47"/>
        <v/>
      </c>
    </row>
    <row r="3069" spans="42:42" ht="12" customHeight="1" x14ac:dyDescent="0.25">
      <c r="AP3069" s="15" t="str">
        <f t="shared" si="47"/>
        <v/>
      </c>
    </row>
    <row r="3070" spans="42:42" ht="12" customHeight="1" x14ac:dyDescent="0.25">
      <c r="AP3070" s="15" t="str">
        <f t="shared" si="47"/>
        <v/>
      </c>
    </row>
    <row r="3071" spans="42:42" ht="12" customHeight="1" x14ac:dyDescent="0.25">
      <c r="AP3071" s="15" t="str">
        <f t="shared" si="47"/>
        <v/>
      </c>
    </row>
    <row r="3072" spans="42:42" ht="12" customHeight="1" x14ac:dyDescent="0.25">
      <c r="AP3072" s="15" t="str">
        <f t="shared" si="47"/>
        <v/>
      </c>
    </row>
    <row r="3073" spans="42:42" ht="12" customHeight="1" x14ac:dyDescent="0.25">
      <c r="AP3073" s="15" t="str">
        <f t="shared" si="47"/>
        <v/>
      </c>
    </row>
    <row r="3074" spans="42:42" ht="12" customHeight="1" x14ac:dyDescent="0.25">
      <c r="AP3074" s="15" t="str">
        <f t="shared" si="47"/>
        <v/>
      </c>
    </row>
    <row r="3075" spans="42:42" ht="12" customHeight="1" x14ac:dyDescent="0.25">
      <c r="AP3075" s="15" t="str">
        <f t="shared" si="47"/>
        <v/>
      </c>
    </row>
    <row r="3076" spans="42:42" ht="12" customHeight="1" x14ac:dyDescent="0.25">
      <c r="AP3076" s="15" t="str">
        <f t="shared" si="47"/>
        <v/>
      </c>
    </row>
    <row r="3077" spans="42:42" ht="12" customHeight="1" x14ac:dyDescent="0.25">
      <c r="AP3077" s="15" t="str">
        <f t="shared" si="47"/>
        <v/>
      </c>
    </row>
    <row r="3078" spans="42:42" ht="12" customHeight="1" x14ac:dyDescent="0.25">
      <c r="AP3078" s="15" t="str">
        <f t="shared" si="47"/>
        <v/>
      </c>
    </row>
    <row r="3079" spans="42:42" ht="12" customHeight="1" x14ac:dyDescent="0.25">
      <c r="AP3079" s="15" t="str">
        <f t="shared" si="47"/>
        <v/>
      </c>
    </row>
    <row r="3080" spans="42:42" ht="12" customHeight="1" x14ac:dyDescent="0.25">
      <c r="AP3080" s="15" t="str">
        <f t="shared" ref="AP3080:AP3143" si="48">IF(AO3080="", "", AO3080&amp;"["&amp;AN3080&amp;"]")</f>
        <v/>
      </c>
    </row>
    <row r="3081" spans="42:42" ht="12" customHeight="1" x14ac:dyDescent="0.25">
      <c r="AP3081" s="15" t="str">
        <f t="shared" si="48"/>
        <v/>
      </c>
    </row>
    <row r="3082" spans="42:42" ht="12" customHeight="1" x14ac:dyDescent="0.25">
      <c r="AP3082" s="15" t="str">
        <f t="shared" si="48"/>
        <v/>
      </c>
    </row>
    <row r="3083" spans="42:42" ht="12" customHeight="1" x14ac:dyDescent="0.25">
      <c r="AP3083" s="15" t="str">
        <f t="shared" si="48"/>
        <v/>
      </c>
    </row>
    <row r="3084" spans="42:42" ht="12" customHeight="1" x14ac:dyDescent="0.25">
      <c r="AP3084" s="15" t="str">
        <f t="shared" si="48"/>
        <v/>
      </c>
    </row>
    <row r="3085" spans="42:42" ht="12" customHeight="1" x14ac:dyDescent="0.25">
      <c r="AP3085" s="15" t="str">
        <f t="shared" si="48"/>
        <v/>
      </c>
    </row>
    <row r="3086" spans="42:42" ht="12" customHeight="1" x14ac:dyDescent="0.25">
      <c r="AP3086" s="15" t="str">
        <f t="shared" si="48"/>
        <v/>
      </c>
    </row>
    <row r="3087" spans="42:42" ht="12" customHeight="1" x14ac:dyDescent="0.25">
      <c r="AP3087" s="15" t="str">
        <f t="shared" si="48"/>
        <v/>
      </c>
    </row>
    <row r="3088" spans="42:42" ht="12" customHeight="1" x14ac:dyDescent="0.25">
      <c r="AP3088" s="15" t="str">
        <f t="shared" si="48"/>
        <v/>
      </c>
    </row>
    <row r="3089" spans="42:42" ht="12" customHeight="1" x14ac:dyDescent="0.25">
      <c r="AP3089" s="15" t="str">
        <f t="shared" si="48"/>
        <v/>
      </c>
    </row>
    <row r="3090" spans="42:42" ht="12" customHeight="1" x14ac:dyDescent="0.25">
      <c r="AP3090" s="15" t="str">
        <f t="shared" si="48"/>
        <v/>
      </c>
    </row>
    <row r="3091" spans="42:42" ht="12" customHeight="1" x14ac:dyDescent="0.25">
      <c r="AP3091" s="15" t="str">
        <f t="shared" si="48"/>
        <v/>
      </c>
    </row>
    <row r="3092" spans="42:42" ht="12" customHeight="1" x14ac:dyDescent="0.25">
      <c r="AP3092" s="15" t="str">
        <f t="shared" si="48"/>
        <v/>
      </c>
    </row>
    <row r="3093" spans="42:42" ht="12" customHeight="1" x14ac:dyDescent="0.25">
      <c r="AP3093" s="15" t="str">
        <f t="shared" si="48"/>
        <v/>
      </c>
    </row>
    <row r="3094" spans="42:42" ht="12" customHeight="1" x14ac:dyDescent="0.25">
      <c r="AP3094" s="15" t="str">
        <f t="shared" si="48"/>
        <v/>
      </c>
    </row>
    <row r="3095" spans="42:42" ht="12" customHeight="1" x14ac:dyDescent="0.25">
      <c r="AP3095" s="15" t="str">
        <f t="shared" si="48"/>
        <v/>
      </c>
    </row>
    <row r="3096" spans="42:42" ht="12" customHeight="1" x14ac:dyDescent="0.25">
      <c r="AP3096" s="15" t="str">
        <f t="shared" si="48"/>
        <v/>
      </c>
    </row>
    <row r="3097" spans="42:42" ht="12" customHeight="1" x14ac:dyDescent="0.25">
      <c r="AP3097" s="15" t="str">
        <f t="shared" si="48"/>
        <v/>
      </c>
    </row>
    <row r="3098" spans="42:42" ht="12" customHeight="1" x14ac:dyDescent="0.25">
      <c r="AP3098" s="15" t="str">
        <f t="shared" si="48"/>
        <v/>
      </c>
    </row>
    <row r="3099" spans="42:42" ht="12" customHeight="1" x14ac:dyDescent="0.25">
      <c r="AP3099" s="15" t="str">
        <f t="shared" si="48"/>
        <v/>
      </c>
    </row>
    <row r="3100" spans="42:42" ht="12" customHeight="1" x14ac:dyDescent="0.25">
      <c r="AP3100" s="15" t="str">
        <f t="shared" si="48"/>
        <v/>
      </c>
    </row>
    <row r="3101" spans="42:42" ht="12" customHeight="1" x14ac:dyDescent="0.25">
      <c r="AP3101" s="15" t="str">
        <f t="shared" si="48"/>
        <v/>
      </c>
    </row>
    <row r="3102" spans="42:42" ht="12" customHeight="1" x14ac:dyDescent="0.25">
      <c r="AP3102" s="15" t="str">
        <f t="shared" si="48"/>
        <v/>
      </c>
    </row>
    <row r="3103" spans="42:42" ht="12" customHeight="1" x14ac:dyDescent="0.25">
      <c r="AP3103" s="15" t="str">
        <f t="shared" si="48"/>
        <v/>
      </c>
    </row>
    <row r="3104" spans="42:42" ht="12" customHeight="1" x14ac:dyDescent="0.25">
      <c r="AP3104" s="15" t="str">
        <f t="shared" si="48"/>
        <v/>
      </c>
    </row>
    <row r="3105" spans="42:42" ht="12" customHeight="1" x14ac:dyDescent="0.25">
      <c r="AP3105" s="15" t="str">
        <f t="shared" si="48"/>
        <v/>
      </c>
    </row>
    <row r="3106" spans="42:42" ht="12" customHeight="1" x14ac:dyDescent="0.25">
      <c r="AP3106" s="15" t="str">
        <f t="shared" si="48"/>
        <v/>
      </c>
    </row>
    <row r="3107" spans="42:42" ht="12" customHeight="1" x14ac:dyDescent="0.25">
      <c r="AP3107" s="15" t="str">
        <f t="shared" si="48"/>
        <v/>
      </c>
    </row>
    <row r="3108" spans="42:42" ht="12" customHeight="1" x14ac:dyDescent="0.25">
      <c r="AP3108" s="15" t="str">
        <f t="shared" si="48"/>
        <v/>
      </c>
    </row>
    <row r="3109" spans="42:42" ht="12" customHeight="1" x14ac:dyDescent="0.25">
      <c r="AP3109" s="15" t="str">
        <f t="shared" si="48"/>
        <v/>
      </c>
    </row>
    <row r="3110" spans="42:42" ht="12" customHeight="1" x14ac:dyDescent="0.25">
      <c r="AP3110" s="15" t="str">
        <f t="shared" si="48"/>
        <v/>
      </c>
    </row>
    <row r="3111" spans="42:42" ht="12" customHeight="1" x14ac:dyDescent="0.25">
      <c r="AP3111" s="15" t="str">
        <f t="shared" si="48"/>
        <v/>
      </c>
    </row>
    <row r="3112" spans="42:42" ht="12" customHeight="1" x14ac:dyDescent="0.25">
      <c r="AP3112" s="15" t="str">
        <f t="shared" si="48"/>
        <v/>
      </c>
    </row>
    <row r="3113" spans="42:42" ht="12" customHeight="1" x14ac:dyDescent="0.25">
      <c r="AP3113" s="15" t="str">
        <f t="shared" si="48"/>
        <v/>
      </c>
    </row>
    <row r="3114" spans="42:42" ht="12" customHeight="1" x14ac:dyDescent="0.25">
      <c r="AP3114" s="15" t="str">
        <f t="shared" si="48"/>
        <v/>
      </c>
    </row>
    <row r="3115" spans="42:42" ht="12" customHeight="1" x14ac:dyDescent="0.25">
      <c r="AP3115" s="15" t="str">
        <f t="shared" si="48"/>
        <v/>
      </c>
    </row>
    <row r="3116" spans="42:42" ht="12" customHeight="1" x14ac:dyDescent="0.25">
      <c r="AP3116" s="15" t="str">
        <f t="shared" si="48"/>
        <v/>
      </c>
    </row>
    <row r="3117" spans="42:42" ht="12" customHeight="1" x14ac:dyDescent="0.25">
      <c r="AP3117" s="15" t="str">
        <f t="shared" si="48"/>
        <v/>
      </c>
    </row>
    <row r="3118" spans="42:42" ht="12" customHeight="1" x14ac:dyDescent="0.25">
      <c r="AP3118" s="15" t="str">
        <f t="shared" si="48"/>
        <v/>
      </c>
    </row>
    <row r="3119" spans="42:42" ht="12" customHeight="1" x14ac:dyDescent="0.25">
      <c r="AP3119" s="15" t="str">
        <f t="shared" si="48"/>
        <v/>
      </c>
    </row>
    <row r="3120" spans="42:42" ht="12" customHeight="1" x14ac:dyDescent="0.25">
      <c r="AP3120" s="15" t="str">
        <f t="shared" si="48"/>
        <v/>
      </c>
    </row>
    <row r="3121" spans="42:42" ht="12" customHeight="1" x14ac:dyDescent="0.25">
      <c r="AP3121" s="15" t="str">
        <f t="shared" si="48"/>
        <v/>
      </c>
    </row>
    <row r="3122" spans="42:42" ht="12" customHeight="1" x14ac:dyDescent="0.25">
      <c r="AP3122" s="15" t="str">
        <f t="shared" si="48"/>
        <v/>
      </c>
    </row>
    <row r="3123" spans="42:42" ht="12" customHeight="1" x14ac:dyDescent="0.25">
      <c r="AP3123" s="15" t="str">
        <f t="shared" si="48"/>
        <v/>
      </c>
    </row>
    <row r="3124" spans="42:42" ht="12" customHeight="1" x14ac:dyDescent="0.25">
      <c r="AP3124" s="15" t="str">
        <f t="shared" si="48"/>
        <v/>
      </c>
    </row>
    <row r="3125" spans="42:42" ht="12" customHeight="1" x14ac:dyDescent="0.25">
      <c r="AP3125" s="15" t="str">
        <f t="shared" si="48"/>
        <v/>
      </c>
    </row>
    <row r="3126" spans="42:42" ht="12" customHeight="1" x14ac:dyDescent="0.25">
      <c r="AP3126" s="15" t="str">
        <f t="shared" si="48"/>
        <v/>
      </c>
    </row>
    <row r="3127" spans="42:42" ht="12" customHeight="1" x14ac:dyDescent="0.25">
      <c r="AP3127" s="15" t="str">
        <f t="shared" si="48"/>
        <v/>
      </c>
    </row>
    <row r="3128" spans="42:42" ht="12" customHeight="1" x14ac:dyDescent="0.25">
      <c r="AP3128" s="15" t="str">
        <f t="shared" si="48"/>
        <v/>
      </c>
    </row>
    <row r="3129" spans="42:42" ht="12" customHeight="1" x14ac:dyDescent="0.25">
      <c r="AP3129" s="15" t="str">
        <f t="shared" si="48"/>
        <v/>
      </c>
    </row>
    <row r="3130" spans="42:42" ht="12" customHeight="1" x14ac:dyDescent="0.25">
      <c r="AP3130" s="15" t="str">
        <f t="shared" si="48"/>
        <v/>
      </c>
    </row>
    <row r="3131" spans="42:42" ht="12" customHeight="1" x14ac:dyDescent="0.25">
      <c r="AP3131" s="15" t="str">
        <f t="shared" si="48"/>
        <v/>
      </c>
    </row>
    <row r="3132" spans="42:42" ht="12" customHeight="1" x14ac:dyDescent="0.25">
      <c r="AP3132" s="15" t="str">
        <f t="shared" si="48"/>
        <v/>
      </c>
    </row>
    <row r="3133" spans="42:42" ht="12" customHeight="1" x14ac:dyDescent="0.25">
      <c r="AP3133" s="15" t="str">
        <f t="shared" si="48"/>
        <v/>
      </c>
    </row>
    <row r="3134" spans="42:42" ht="12" customHeight="1" x14ac:dyDescent="0.25">
      <c r="AP3134" s="15" t="str">
        <f t="shared" si="48"/>
        <v/>
      </c>
    </row>
    <row r="3135" spans="42:42" ht="12" customHeight="1" x14ac:dyDescent="0.25">
      <c r="AP3135" s="15" t="str">
        <f t="shared" si="48"/>
        <v/>
      </c>
    </row>
    <row r="3136" spans="42:42" ht="12" customHeight="1" x14ac:dyDescent="0.25">
      <c r="AP3136" s="15" t="str">
        <f t="shared" si="48"/>
        <v/>
      </c>
    </row>
    <row r="3137" spans="42:42" ht="12" customHeight="1" x14ac:dyDescent="0.25">
      <c r="AP3137" s="15" t="str">
        <f t="shared" si="48"/>
        <v/>
      </c>
    </row>
    <row r="3138" spans="42:42" ht="12" customHeight="1" x14ac:dyDescent="0.25">
      <c r="AP3138" s="15" t="str">
        <f t="shared" si="48"/>
        <v/>
      </c>
    </row>
    <row r="3139" spans="42:42" ht="12" customHeight="1" x14ac:dyDescent="0.25">
      <c r="AP3139" s="15" t="str">
        <f t="shared" si="48"/>
        <v/>
      </c>
    </row>
    <row r="3140" spans="42:42" ht="12" customHeight="1" x14ac:dyDescent="0.25">
      <c r="AP3140" s="15" t="str">
        <f t="shared" si="48"/>
        <v/>
      </c>
    </row>
    <row r="3141" spans="42:42" ht="12" customHeight="1" x14ac:dyDescent="0.25">
      <c r="AP3141" s="15" t="str">
        <f t="shared" si="48"/>
        <v/>
      </c>
    </row>
    <row r="3142" spans="42:42" ht="12" customHeight="1" x14ac:dyDescent="0.25">
      <c r="AP3142" s="15" t="str">
        <f t="shared" si="48"/>
        <v/>
      </c>
    </row>
    <row r="3143" spans="42:42" ht="12" customHeight="1" x14ac:dyDescent="0.25">
      <c r="AP3143" s="15" t="str">
        <f t="shared" si="48"/>
        <v/>
      </c>
    </row>
    <row r="3144" spans="42:42" ht="12" customHeight="1" x14ac:dyDescent="0.25">
      <c r="AP3144" s="15" t="str">
        <f t="shared" ref="AP3144:AP3207" si="49">IF(AO3144="", "", AO3144&amp;"["&amp;AN3144&amp;"]")</f>
        <v/>
      </c>
    </row>
    <row r="3145" spans="42:42" ht="12" customHeight="1" x14ac:dyDescent="0.25">
      <c r="AP3145" s="15" t="str">
        <f t="shared" si="49"/>
        <v/>
      </c>
    </row>
    <row r="3146" spans="42:42" ht="12" customHeight="1" x14ac:dyDescent="0.25">
      <c r="AP3146" s="15" t="str">
        <f t="shared" si="49"/>
        <v/>
      </c>
    </row>
    <row r="3147" spans="42:42" ht="12" customHeight="1" x14ac:dyDescent="0.25">
      <c r="AP3147" s="15" t="str">
        <f t="shared" si="49"/>
        <v/>
      </c>
    </row>
    <row r="3148" spans="42:42" ht="12" customHeight="1" x14ac:dyDescent="0.25">
      <c r="AP3148" s="15" t="str">
        <f t="shared" si="49"/>
        <v/>
      </c>
    </row>
    <row r="3149" spans="42:42" ht="12" customHeight="1" x14ac:dyDescent="0.25">
      <c r="AP3149" s="15" t="str">
        <f t="shared" si="49"/>
        <v/>
      </c>
    </row>
    <row r="3150" spans="42:42" ht="12" customHeight="1" x14ac:dyDescent="0.25">
      <c r="AP3150" s="15" t="str">
        <f t="shared" si="49"/>
        <v/>
      </c>
    </row>
    <row r="3151" spans="42:42" ht="12" customHeight="1" x14ac:dyDescent="0.25">
      <c r="AP3151" s="15" t="str">
        <f t="shared" si="49"/>
        <v/>
      </c>
    </row>
    <row r="3152" spans="42:42" ht="12" customHeight="1" x14ac:dyDescent="0.25">
      <c r="AP3152" s="15" t="str">
        <f t="shared" si="49"/>
        <v/>
      </c>
    </row>
    <row r="3153" spans="42:42" ht="12" customHeight="1" x14ac:dyDescent="0.25">
      <c r="AP3153" s="15" t="str">
        <f t="shared" si="49"/>
        <v/>
      </c>
    </row>
    <row r="3154" spans="42:42" ht="12" customHeight="1" x14ac:dyDescent="0.25">
      <c r="AP3154" s="15" t="str">
        <f t="shared" si="49"/>
        <v/>
      </c>
    </row>
    <row r="3155" spans="42:42" ht="12" customHeight="1" x14ac:dyDescent="0.25">
      <c r="AP3155" s="15" t="str">
        <f t="shared" si="49"/>
        <v/>
      </c>
    </row>
    <row r="3156" spans="42:42" ht="12" customHeight="1" x14ac:dyDescent="0.25">
      <c r="AP3156" s="15" t="str">
        <f t="shared" si="49"/>
        <v/>
      </c>
    </row>
    <row r="3157" spans="42:42" ht="12" customHeight="1" x14ac:dyDescent="0.25">
      <c r="AP3157" s="15" t="str">
        <f t="shared" si="49"/>
        <v/>
      </c>
    </row>
    <row r="3158" spans="42:42" ht="12" customHeight="1" x14ac:dyDescent="0.25">
      <c r="AP3158" s="15" t="str">
        <f t="shared" si="49"/>
        <v/>
      </c>
    </row>
    <row r="3159" spans="42:42" ht="12" customHeight="1" x14ac:dyDescent="0.25">
      <c r="AP3159" s="15" t="str">
        <f t="shared" si="49"/>
        <v/>
      </c>
    </row>
    <row r="3160" spans="42:42" ht="12" customHeight="1" x14ac:dyDescent="0.25">
      <c r="AP3160" s="15" t="str">
        <f t="shared" si="49"/>
        <v/>
      </c>
    </row>
    <row r="3161" spans="42:42" ht="12" customHeight="1" x14ac:dyDescent="0.25">
      <c r="AP3161" s="15" t="str">
        <f t="shared" si="49"/>
        <v/>
      </c>
    </row>
    <row r="3162" spans="42:42" ht="12" customHeight="1" x14ac:dyDescent="0.25">
      <c r="AP3162" s="15" t="str">
        <f t="shared" si="49"/>
        <v/>
      </c>
    </row>
    <row r="3163" spans="42:42" ht="12" customHeight="1" x14ac:dyDescent="0.25">
      <c r="AP3163" s="15" t="str">
        <f t="shared" si="49"/>
        <v/>
      </c>
    </row>
    <row r="3164" spans="42:42" ht="12" customHeight="1" x14ac:dyDescent="0.25">
      <c r="AP3164" s="15" t="str">
        <f t="shared" si="49"/>
        <v/>
      </c>
    </row>
    <row r="3165" spans="42:42" ht="12" customHeight="1" x14ac:dyDescent="0.25">
      <c r="AP3165" s="15" t="str">
        <f t="shared" si="49"/>
        <v/>
      </c>
    </row>
    <row r="3166" spans="42:42" ht="12" customHeight="1" x14ac:dyDescent="0.25">
      <c r="AP3166" s="15" t="str">
        <f t="shared" si="49"/>
        <v/>
      </c>
    </row>
    <row r="3167" spans="42:42" ht="12" customHeight="1" x14ac:dyDescent="0.25">
      <c r="AP3167" s="15" t="str">
        <f t="shared" si="49"/>
        <v/>
      </c>
    </row>
    <row r="3168" spans="42:42" ht="12" customHeight="1" x14ac:dyDescent="0.25">
      <c r="AP3168" s="15" t="str">
        <f t="shared" si="49"/>
        <v/>
      </c>
    </row>
    <row r="3169" spans="42:42" ht="12" customHeight="1" x14ac:dyDescent="0.25">
      <c r="AP3169" s="15" t="str">
        <f t="shared" si="49"/>
        <v/>
      </c>
    </row>
    <row r="3170" spans="42:42" ht="12" customHeight="1" x14ac:dyDescent="0.25">
      <c r="AP3170" s="15" t="str">
        <f t="shared" si="49"/>
        <v/>
      </c>
    </row>
    <row r="3171" spans="42:42" ht="12" customHeight="1" x14ac:dyDescent="0.25">
      <c r="AP3171" s="15" t="str">
        <f t="shared" si="49"/>
        <v/>
      </c>
    </row>
    <row r="3172" spans="42:42" ht="12" customHeight="1" x14ac:dyDescent="0.25">
      <c r="AP3172" s="15" t="str">
        <f t="shared" si="49"/>
        <v/>
      </c>
    </row>
    <row r="3173" spans="42:42" ht="12" customHeight="1" x14ac:dyDescent="0.25">
      <c r="AP3173" s="15" t="str">
        <f t="shared" si="49"/>
        <v/>
      </c>
    </row>
    <row r="3174" spans="42:42" ht="12" customHeight="1" x14ac:dyDescent="0.25">
      <c r="AP3174" s="15" t="str">
        <f t="shared" si="49"/>
        <v/>
      </c>
    </row>
    <row r="3175" spans="42:42" ht="12" customHeight="1" x14ac:dyDescent="0.25">
      <c r="AP3175" s="15" t="str">
        <f t="shared" si="49"/>
        <v/>
      </c>
    </row>
    <row r="3176" spans="42:42" ht="12" customHeight="1" x14ac:dyDescent="0.25">
      <c r="AP3176" s="15" t="str">
        <f t="shared" si="49"/>
        <v/>
      </c>
    </row>
    <row r="3177" spans="42:42" ht="12" customHeight="1" x14ac:dyDescent="0.25">
      <c r="AP3177" s="15" t="str">
        <f t="shared" si="49"/>
        <v/>
      </c>
    </row>
    <row r="3178" spans="42:42" ht="12" customHeight="1" x14ac:dyDescent="0.25">
      <c r="AP3178" s="15" t="str">
        <f t="shared" si="49"/>
        <v/>
      </c>
    </row>
    <row r="3179" spans="42:42" ht="12" customHeight="1" x14ac:dyDescent="0.25">
      <c r="AP3179" s="15" t="str">
        <f t="shared" si="49"/>
        <v/>
      </c>
    </row>
    <row r="3180" spans="42:42" ht="12" customHeight="1" x14ac:dyDescent="0.25">
      <c r="AP3180" s="15" t="str">
        <f t="shared" si="49"/>
        <v/>
      </c>
    </row>
    <row r="3181" spans="42:42" ht="12" customHeight="1" x14ac:dyDescent="0.25">
      <c r="AP3181" s="15" t="str">
        <f t="shared" si="49"/>
        <v/>
      </c>
    </row>
    <row r="3182" spans="42:42" ht="12" customHeight="1" x14ac:dyDescent="0.25">
      <c r="AP3182" s="15" t="str">
        <f t="shared" si="49"/>
        <v/>
      </c>
    </row>
    <row r="3183" spans="42:42" ht="12" customHeight="1" x14ac:dyDescent="0.25">
      <c r="AP3183" s="15" t="str">
        <f t="shared" si="49"/>
        <v/>
      </c>
    </row>
    <row r="3184" spans="42:42" ht="12" customHeight="1" x14ac:dyDescent="0.25">
      <c r="AP3184" s="15" t="str">
        <f t="shared" si="49"/>
        <v/>
      </c>
    </row>
    <row r="3185" spans="42:42" ht="12" customHeight="1" x14ac:dyDescent="0.25">
      <c r="AP3185" s="15" t="str">
        <f t="shared" si="49"/>
        <v/>
      </c>
    </row>
    <row r="3186" spans="42:42" ht="12" customHeight="1" x14ac:dyDescent="0.25">
      <c r="AP3186" s="15" t="str">
        <f t="shared" si="49"/>
        <v/>
      </c>
    </row>
    <row r="3187" spans="42:42" ht="12" customHeight="1" x14ac:dyDescent="0.25">
      <c r="AP3187" s="15" t="str">
        <f t="shared" si="49"/>
        <v/>
      </c>
    </row>
    <row r="3188" spans="42:42" ht="12" customHeight="1" x14ac:dyDescent="0.25">
      <c r="AP3188" s="15" t="str">
        <f t="shared" si="49"/>
        <v/>
      </c>
    </row>
    <row r="3189" spans="42:42" ht="12" customHeight="1" x14ac:dyDescent="0.25">
      <c r="AP3189" s="15" t="str">
        <f t="shared" si="49"/>
        <v/>
      </c>
    </row>
    <row r="3190" spans="42:42" ht="12" customHeight="1" x14ac:dyDescent="0.25">
      <c r="AP3190" s="15" t="str">
        <f t="shared" si="49"/>
        <v/>
      </c>
    </row>
    <row r="3191" spans="42:42" ht="12" customHeight="1" x14ac:dyDescent="0.25">
      <c r="AP3191" s="15" t="str">
        <f t="shared" si="49"/>
        <v/>
      </c>
    </row>
    <row r="3192" spans="42:42" ht="12" customHeight="1" x14ac:dyDescent="0.25">
      <c r="AP3192" s="15" t="str">
        <f t="shared" si="49"/>
        <v/>
      </c>
    </row>
    <row r="3193" spans="42:42" ht="12" customHeight="1" x14ac:dyDescent="0.25">
      <c r="AP3193" s="15" t="str">
        <f t="shared" si="49"/>
        <v/>
      </c>
    </row>
    <row r="3194" spans="42:42" ht="12" customHeight="1" x14ac:dyDescent="0.25">
      <c r="AP3194" s="15" t="str">
        <f t="shared" si="49"/>
        <v/>
      </c>
    </row>
    <row r="3195" spans="42:42" ht="12" customHeight="1" x14ac:dyDescent="0.25">
      <c r="AP3195" s="15" t="str">
        <f t="shared" si="49"/>
        <v/>
      </c>
    </row>
    <row r="3196" spans="42:42" ht="12" customHeight="1" x14ac:dyDescent="0.25">
      <c r="AP3196" s="15" t="str">
        <f t="shared" si="49"/>
        <v/>
      </c>
    </row>
    <row r="3197" spans="42:42" ht="12" customHeight="1" x14ac:dyDescent="0.25">
      <c r="AP3197" s="15" t="str">
        <f t="shared" si="49"/>
        <v/>
      </c>
    </row>
    <row r="3198" spans="42:42" ht="12" customHeight="1" x14ac:dyDescent="0.25">
      <c r="AP3198" s="15" t="str">
        <f t="shared" si="49"/>
        <v/>
      </c>
    </row>
    <row r="3199" spans="42:42" ht="12" customHeight="1" x14ac:dyDescent="0.25">
      <c r="AP3199" s="15" t="str">
        <f t="shared" si="49"/>
        <v/>
      </c>
    </row>
    <row r="3200" spans="42:42" ht="12" customHeight="1" x14ac:dyDescent="0.25">
      <c r="AP3200" s="15" t="str">
        <f t="shared" si="49"/>
        <v/>
      </c>
    </row>
    <row r="3201" spans="42:42" ht="12" customHeight="1" x14ac:dyDescent="0.25">
      <c r="AP3201" s="15" t="str">
        <f t="shared" si="49"/>
        <v/>
      </c>
    </row>
    <row r="3202" spans="42:42" ht="12" customHeight="1" x14ac:dyDescent="0.25">
      <c r="AP3202" s="15" t="str">
        <f t="shared" si="49"/>
        <v/>
      </c>
    </row>
    <row r="3203" spans="42:42" ht="12" customHeight="1" x14ac:dyDescent="0.25">
      <c r="AP3203" s="15" t="str">
        <f t="shared" si="49"/>
        <v/>
      </c>
    </row>
    <row r="3204" spans="42:42" ht="12" customHeight="1" x14ac:dyDescent="0.25">
      <c r="AP3204" s="15" t="str">
        <f t="shared" si="49"/>
        <v/>
      </c>
    </row>
    <row r="3205" spans="42:42" ht="12" customHeight="1" x14ac:dyDescent="0.25">
      <c r="AP3205" s="15" t="str">
        <f t="shared" si="49"/>
        <v/>
      </c>
    </row>
    <row r="3206" spans="42:42" ht="12" customHeight="1" x14ac:dyDescent="0.25">
      <c r="AP3206" s="15" t="str">
        <f t="shared" si="49"/>
        <v/>
      </c>
    </row>
    <row r="3207" spans="42:42" ht="12" customHeight="1" x14ac:dyDescent="0.25">
      <c r="AP3207" s="15" t="str">
        <f t="shared" si="49"/>
        <v/>
      </c>
    </row>
    <row r="3208" spans="42:42" ht="12" customHeight="1" x14ac:dyDescent="0.25">
      <c r="AP3208" s="15" t="str">
        <f t="shared" ref="AP3208:AP3271" si="50">IF(AO3208="", "", AO3208&amp;"["&amp;AN3208&amp;"]")</f>
        <v/>
      </c>
    </row>
    <row r="3209" spans="42:42" ht="12" customHeight="1" x14ac:dyDescent="0.25">
      <c r="AP3209" s="15" t="str">
        <f t="shared" si="50"/>
        <v/>
      </c>
    </row>
    <row r="3210" spans="42:42" ht="12" customHeight="1" x14ac:dyDescent="0.25">
      <c r="AP3210" s="15" t="str">
        <f t="shared" si="50"/>
        <v/>
      </c>
    </row>
    <row r="3211" spans="42:42" ht="12" customHeight="1" x14ac:dyDescent="0.25">
      <c r="AP3211" s="15" t="str">
        <f t="shared" si="50"/>
        <v/>
      </c>
    </row>
    <row r="3212" spans="42:42" ht="12" customHeight="1" x14ac:dyDescent="0.25">
      <c r="AP3212" s="15" t="str">
        <f t="shared" si="50"/>
        <v/>
      </c>
    </row>
    <row r="3213" spans="42:42" ht="12" customHeight="1" x14ac:dyDescent="0.25">
      <c r="AP3213" s="15" t="str">
        <f t="shared" si="50"/>
        <v/>
      </c>
    </row>
    <row r="3214" spans="42:42" ht="12" customHeight="1" x14ac:dyDescent="0.25">
      <c r="AP3214" s="15" t="str">
        <f t="shared" si="50"/>
        <v/>
      </c>
    </row>
    <row r="3215" spans="42:42" ht="12" customHeight="1" x14ac:dyDescent="0.25">
      <c r="AP3215" s="15" t="str">
        <f t="shared" si="50"/>
        <v/>
      </c>
    </row>
    <row r="3216" spans="42:42" ht="12" customHeight="1" x14ac:dyDescent="0.25">
      <c r="AP3216" s="15" t="str">
        <f t="shared" si="50"/>
        <v/>
      </c>
    </row>
    <row r="3217" spans="42:42" ht="12" customHeight="1" x14ac:dyDescent="0.25">
      <c r="AP3217" s="15" t="str">
        <f t="shared" si="50"/>
        <v/>
      </c>
    </row>
    <row r="3218" spans="42:42" ht="12" customHeight="1" x14ac:dyDescent="0.25">
      <c r="AP3218" s="15" t="str">
        <f t="shared" si="50"/>
        <v/>
      </c>
    </row>
    <row r="3219" spans="42:42" ht="12" customHeight="1" x14ac:dyDescent="0.25">
      <c r="AP3219" s="15" t="str">
        <f t="shared" si="50"/>
        <v/>
      </c>
    </row>
    <row r="3220" spans="42:42" ht="12" customHeight="1" x14ac:dyDescent="0.25">
      <c r="AP3220" s="15" t="str">
        <f t="shared" si="50"/>
        <v/>
      </c>
    </row>
    <row r="3221" spans="42:42" ht="12" customHeight="1" x14ac:dyDescent="0.25">
      <c r="AP3221" s="15" t="str">
        <f t="shared" si="50"/>
        <v/>
      </c>
    </row>
    <row r="3222" spans="42:42" ht="12" customHeight="1" x14ac:dyDescent="0.25">
      <c r="AP3222" s="15" t="str">
        <f t="shared" si="50"/>
        <v/>
      </c>
    </row>
    <row r="3223" spans="42:42" ht="12" customHeight="1" x14ac:dyDescent="0.25">
      <c r="AP3223" s="15" t="str">
        <f t="shared" si="50"/>
        <v/>
      </c>
    </row>
    <row r="3224" spans="42:42" ht="12" customHeight="1" x14ac:dyDescent="0.25">
      <c r="AP3224" s="15" t="str">
        <f t="shared" si="50"/>
        <v/>
      </c>
    </row>
    <row r="3225" spans="42:42" ht="12" customHeight="1" x14ac:dyDescent="0.25">
      <c r="AP3225" s="15" t="str">
        <f t="shared" si="50"/>
        <v/>
      </c>
    </row>
    <row r="3226" spans="42:42" ht="12" customHeight="1" x14ac:dyDescent="0.25">
      <c r="AP3226" s="15" t="str">
        <f t="shared" si="50"/>
        <v/>
      </c>
    </row>
    <row r="3227" spans="42:42" ht="12" customHeight="1" x14ac:dyDescent="0.25">
      <c r="AP3227" s="15" t="str">
        <f t="shared" si="50"/>
        <v/>
      </c>
    </row>
    <row r="3228" spans="42:42" ht="12" customHeight="1" x14ac:dyDescent="0.25">
      <c r="AP3228" s="15" t="str">
        <f t="shared" si="50"/>
        <v/>
      </c>
    </row>
    <row r="3229" spans="42:42" ht="12" customHeight="1" x14ac:dyDescent="0.25">
      <c r="AP3229" s="15" t="str">
        <f t="shared" si="50"/>
        <v/>
      </c>
    </row>
    <row r="3230" spans="42:42" ht="12" customHeight="1" x14ac:dyDescent="0.25">
      <c r="AP3230" s="15" t="str">
        <f t="shared" si="50"/>
        <v/>
      </c>
    </row>
    <row r="3231" spans="42:42" ht="12" customHeight="1" x14ac:dyDescent="0.25">
      <c r="AP3231" s="15" t="str">
        <f t="shared" si="50"/>
        <v/>
      </c>
    </row>
    <row r="3232" spans="42:42" ht="12" customHeight="1" x14ac:dyDescent="0.25">
      <c r="AP3232" s="15" t="str">
        <f t="shared" si="50"/>
        <v/>
      </c>
    </row>
    <row r="3233" spans="42:42" ht="12" customHeight="1" x14ac:dyDescent="0.25">
      <c r="AP3233" s="15" t="str">
        <f t="shared" si="50"/>
        <v/>
      </c>
    </row>
    <row r="3234" spans="42:42" ht="12" customHeight="1" x14ac:dyDescent="0.25">
      <c r="AP3234" s="15" t="str">
        <f t="shared" si="50"/>
        <v/>
      </c>
    </row>
    <row r="3235" spans="42:42" ht="12" customHeight="1" x14ac:dyDescent="0.25">
      <c r="AP3235" s="15" t="str">
        <f t="shared" si="50"/>
        <v/>
      </c>
    </row>
    <row r="3236" spans="42:42" ht="12" customHeight="1" x14ac:dyDescent="0.25">
      <c r="AP3236" s="15" t="str">
        <f t="shared" si="50"/>
        <v/>
      </c>
    </row>
    <row r="3237" spans="42:42" ht="12" customHeight="1" x14ac:dyDescent="0.25">
      <c r="AP3237" s="15" t="str">
        <f t="shared" si="50"/>
        <v/>
      </c>
    </row>
    <row r="3238" spans="42:42" ht="12" customHeight="1" x14ac:dyDescent="0.25">
      <c r="AP3238" s="15" t="str">
        <f t="shared" si="50"/>
        <v/>
      </c>
    </row>
    <row r="3239" spans="42:42" ht="12" customHeight="1" x14ac:dyDescent="0.25">
      <c r="AP3239" s="15" t="str">
        <f t="shared" si="50"/>
        <v/>
      </c>
    </row>
    <row r="3240" spans="42:42" ht="12" customHeight="1" x14ac:dyDescent="0.25">
      <c r="AP3240" s="15" t="str">
        <f t="shared" si="50"/>
        <v/>
      </c>
    </row>
    <row r="3241" spans="42:42" ht="12" customHeight="1" x14ac:dyDescent="0.25">
      <c r="AP3241" s="15" t="str">
        <f t="shared" si="50"/>
        <v/>
      </c>
    </row>
    <row r="3242" spans="42:42" ht="12" customHeight="1" x14ac:dyDescent="0.25">
      <c r="AP3242" s="15" t="str">
        <f t="shared" si="50"/>
        <v/>
      </c>
    </row>
    <row r="3243" spans="42:42" ht="12" customHeight="1" x14ac:dyDescent="0.25">
      <c r="AP3243" s="15" t="str">
        <f t="shared" si="50"/>
        <v/>
      </c>
    </row>
    <row r="3244" spans="42:42" ht="12" customHeight="1" x14ac:dyDescent="0.25">
      <c r="AP3244" s="15" t="str">
        <f t="shared" si="50"/>
        <v/>
      </c>
    </row>
    <row r="3245" spans="42:42" ht="12" customHeight="1" x14ac:dyDescent="0.25">
      <c r="AP3245" s="15" t="str">
        <f t="shared" si="50"/>
        <v/>
      </c>
    </row>
    <row r="3246" spans="42:42" ht="12" customHeight="1" x14ac:dyDescent="0.25">
      <c r="AP3246" s="15" t="str">
        <f t="shared" si="50"/>
        <v/>
      </c>
    </row>
    <row r="3247" spans="42:42" ht="12" customHeight="1" x14ac:dyDescent="0.25">
      <c r="AP3247" s="15" t="str">
        <f t="shared" si="50"/>
        <v/>
      </c>
    </row>
    <row r="3248" spans="42:42" ht="12" customHeight="1" x14ac:dyDescent="0.25">
      <c r="AP3248" s="15" t="str">
        <f t="shared" si="50"/>
        <v/>
      </c>
    </row>
    <row r="3249" spans="42:42" ht="12" customHeight="1" x14ac:dyDescent="0.25">
      <c r="AP3249" s="15" t="str">
        <f t="shared" si="50"/>
        <v/>
      </c>
    </row>
    <row r="3250" spans="42:42" ht="12" customHeight="1" x14ac:dyDescent="0.25">
      <c r="AP3250" s="15" t="str">
        <f t="shared" si="50"/>
        <v/>
      </c>
    </row>
    <row r="3251" spans="42:42" ht="12" customHeight="1" x14ac:dyDescent="0.25">
      <c r="AP3251" s="15" t="str">
        <f t="shared" si="50"/>
        <v/>
      </c>
    </row>
    <row r="3252" spans="42:42" ht="12" customHeight="1" x14ac:dyDescent="0.25">
      <c r="AP3252" s="15" t="str">
        <f t="shared" si="50"/>
        <v/>
      </c>
    </row>
    <row r="3253" spans="42:42" ht="12" customHeight="1" x14ac:dyDescent="0.25">
      <c r="AP3253" s="15" t="str">
        <f t="shared" si="50"/>
        <v/>
      </c>
    </row>
    <row r="3254" spans="42:42" ht="12" customHeight="1" x14ac:dyDescent="0.25">
      <c r="AP3254" s="15" t="str">
        <f t="shared" si="50"/>
        <v/>
      </c>
    </row>
    <row r="3255" spans="42:42" ht="12" customHeight="1" x14ac:dyDescent="0.25">
      <c r="AP3255" s="15" t="str">
        <f t="shared" si="50"/>
        <v/>
      </c>
    </row>
    <row r="3256" spans="42:42" ht="12" customHeight="1" x14ac:dyDescent="0.25">
      <c r="AP3256" s="15" t="str">
        <f t="shared" si="50"/>
        <v/>
      </c>
    </row>
    <row r="3257" spans="42:42" ht="12" customHeight="1" x14ac:dyDescent="0.25">
      <c r="AP3257" s="15" t="str">
        <f t="shared" si="50"/>
        <v/>
      </c>
    </row>
    <row r="3258" spans="42:42" ht="12" customHeight="1" x14ac:dyDescent="0.25">
      <c r="AP3258" s="15" t="str">
        <f t="shared" si="50"/>
        <v/>
      </c>
    </row>
    <row r="3259" spans="42:42" ht="12" customHeight="1" x14ac:dyDescent="0.25">
      <c r="AP3259" s="15" t="str">
        <f t="shared" si="50"/>
        <v/>
      </c>
    </row>
    <row r="3260" spans="42:42" ht="12" customHeight="1" x14ac:dyDescent="0.25">
      <c r="AP3260" s="15" t="str">
        <f t="shared" si="50"/>
        <v/>
      </c>
    </row>
    <row r="3261" spans="42:42" ht="12" customHeight="1" x14ac:dyDescent="0.25">
      <c r="AP3261" s="15" t="str">
        <f t="shared" si="50"/>
        <v/>
      </c>
    </row>
    <row r="3262" spans="42:42" ht="12" customHeight="1" x14ac:dyDescent="0.25">
      <c r="AP3262" s="15" t="str">
        <f t="shared" si="50"/>
        <v/>
      </c>
    </row>
    <row r="3263" spans="42:42" ht="12" customHeight="1" x14ac:dyDescent="0.25">
      <c r="AP3263" s="15" t="str">
        <f t="shared" si="50"/>
        <v/>
      </c>
    </row>
    <row r="3264" spans="42:42" ht="12" customHeight="1" x14ac:dyDescent="0.25">
      <c r="AP3264" s="15" t="str">
        <f t="shared" si="50"/>
        <v/>
      </c>
    </row>
    <row r="3265" spans="42:42" ht="12" customHeight="1" x14ac:dyDescent="0.25">
      <c r="AP3265" s="15" t="str">
        <f t="shared" si="50"/>
        <v/>
      </c>
    </row>
    <row r="3266" spans="42:42" ht="12" customHeight="1" x14ac:dyDescent="0.25">
      <c r="AP3266" s="15" t="str">
        <f t="shared" si="50"/>
        <v/>
      </c>
    </row>
    <row r="3267" spans="42:42" ht="12" customHeight="1" x14ac:dyDescent="0.25">
      <c r="AP3267" s="15" t="str">
        <f t="shared" si="50"/>
        <v/>
      </c>
    </row>
    <row r="3268" spans="42:42" ht="12" customHeight="1" x14ac:dyDescent="0.25">
      <c r="AP3268" s="15" t="str">
        <f t="shared" si="50"/>
        <v/>
      </c>
    </row>
    <row r="3269" spans="42:42" ht="12" customHeight="1" x14ac:dyDescent="0.25">
      <c r="AP3269" s="15" t="str">
        <f t="shared" si="50"/>
        <v/>
      </c>
    </row>
    <row r="3270" spans="42:42" ht="12" customHeight="1" x14ac:dyDescent="0.25">
      <c r="AP3270" s="15" t="str">
        <f t="shared" si="50"/>
        <v/>
      </c>
    </row>
    <row r="3271" spans="42:42" ht="12" customHeight="1" x14ac:dyDescent="0.25">
      <c r="AP3271" s="15" t="str">
        <f t="shared" si="50"/>
        <v/>
      </c>
    </row>
    <row r="3272" spans="42:42" ht="12" customHeight="1" x14ac:dyDescent="0.25">
      <c r="AP3272" s="15" t="str">
        <f t="shared" ref="AP3272:AP3335" si="51">IF(AO3272="", "", AO3272&amp;"["&amp;AN3272&amp;"]")</f>
        <v/>
      </c>
    </row>
    <row r="3273" spans="42:42" ht="12" customHeight="1" x14ac:dyDescent="0.25">
      <c r="AP3273" s="15" t="str">
        <f t="shared" si="51"/>
        <v/>
      </c>
    </row>
    <row r="3274" spans="42:42" ht="12" customHeight="1" x14ac:dyDescent="0.25">
      <c r="AP3274" s="15" t="str">
        <f t="shared" si="51"/>
        <v/>
      </c>
    </row>
    <row r="3275" spans="42:42" ht="12" customHeight="1" x14ac:dyDescent="0.25">
      <c r="AP3275" s="15" t="str">
        <f t="shared" si="51"/>
        <v/>
      </c>
    </row>
    <row r="3276" spans="42:42" ht="12" customHeight="1" x14ac:dyDescent="0.25">
      <c r="AP3276" s="15" t="str">
        <f t="shared" si="51"/>
        <v/>
      </c>
    </row>
    <row r="3277" spans="42:42" ht="12" customHeight="1" x14ac:dyDescent="0.25">
      <c r="AP3277" s="15" t="str">
        <f t="shared" si="51"/>
        <v/>
      </c>
    </row>
    <row r="3278" spans="42:42" ht="12" customHeight="1" x14ac:dyDescent="0.25">
      <c r="AP3278" s="15" t="str">
        <f t="shared" si="51"/>
        <v/>
      </c>
    </row>
    <row r="3279" spans="42:42" ht="12" customHeight="1" x14ac:dyDescent="0.25">
      <c r="AP3279" s="15" t="str">
        <f t="shared" si="51"/>
        <v/>
      </c>
    </row>
    <row r="3280" spans="42:42" ht="12" customHeight="1" x14ac:dyDescent="0.25">
      <c r="AP3280" s="15" t="str">
        <f t="shared" si="51"/>
        <v/>
      </c>
    </row>
    <row r="3281" spans="42:42" ht="12" customHeight="1" x14ac:dyDescent="0.25">
      <c r="AP3281" s="15" t="str">
        <f t="shared" si="51"/>
        <v/>
      </c>
    </row>
    <row r="3282" spans="42:42" ht="12" customHeight="1" x14ac:dyDescent="0.25">
      <c r="AP3282" s="15" t="str">
        <f t="shared" si="51"/>
        <v/>
      </c>
    </row>
    <row r="3283" spans="42:42" ht="12" customHeight="1" x14ac:dyDescent="0.25">
      <c r="AP3283" s="15" t="str">
        <f t="shared" si="51"/>
        <v/>
      </c>
    </row>
    <row r="3284" spans="42:42" ht="12" customHeight="1" x14ac:dyDescent="0.25">
      <c r="AP3284" s="15" t="str">
        <f t="shared" si="51"/>
        <v/>
      </c>
    </row>
    <row r="3285" spans="42:42" ht="12" customHeight="1" x14ac:dyDescent="0.25">
      <c r="AP3285" s="15" t="str">
        <f t="shared" si="51"/>
        <v/>
      </c>
    </row>
    <row r="3286" spans="42:42" ht="12" customHeight="1" x14ac:dyDescent="0.25">
      <c r="AP3286" s="15" t="str">
        <f t="shared" si="51"/>
        <v/>
      </c>
    </row>
    <row r="3287" spans="42:42" ht="12" customHeight="1" x14ac:dyDescent="0.25">
      <c r="AP3287" s="15" t="str">
        <f t="shared" si="51"/>
        <v/>
      </c>
    </row>
    <row r="3288" spans="42:42" ht="12" customHeight="1" x14ac:dyDescent="0.25">
      <c r="AP3288" s="15" t="str">
        <f t="shared" si="51"/>
        <v/>
      </c>
    </row>
    <row r="3289" spans="42:42" ht="12" customHeight="1" x14ac:dyDescent="0.25">
      <c r="AP3289" s="15" t="str">
        <f t="shared" si="51"/>
        <v/>
      </c>
    </row>
    <row r="3290" spans="42:42" ht="12" customHeight="1" x14ac:dyDescent="0.25">
      <c r="AP3290" s="15" t="str">
        <f t="shared" si="51"/>
        <v/>
      </c>
    </row>
    <row r="3291" spans="42:42" ht="12" customHeight="1" x14ac:dyDescent="0.25">
      <c r="AP3291" s="15" t="str">
        <f t="shared" si="51"/>
        <v/>
      </c>
    </row>
    <row r="3292" spans="42:42" ht="12" customHeight="1" x14ac:dyDescent="0.25">
      <c r="AP3292" s="15" t="str">
        <f t="shared" si="51"/>
        <v/>
      </c>
    </row>
    <row r="3293" spans="42:42" ht="12" customHeight="1" x14ac:dyDescent="0.25">
      <c r="AP3293" s="15" t="str">
        <f t="shared" si="51"/>
        <v/>
      </c>
    </row>
    <row r="3294" spans="42:42" ht="12" customHeight="1" x14ac:dyDescent="0.25">
      <c r="AP3294" s="15" t="str">
        <f t="shared" si="51"/>
        <v/>
      </c>
    </row>
    <row r="3295" spans="42:42" ht="12" customHeight="1" x14ac:dyDescent="0.25">
      <c r="AP3295" s="15" t="str">
        <f t="shared" si="51"/>
        <v/>
      </c>
    </row>
    <row r="3296" spans="42:42" ht="12" customHeight="1" x14ac:dyDescent="0.25">
      <c r="AP3296" s="15" t="str">
        <f t="shared" si="51"/>
        <v/>
      </c>
    </row>
    <row r="3297" spans="42:42" ht="12" customHeight="1" x14ac:dyDescent="0.25">
      <c r="AP3297" s="15" t="str">
        <f t="shared" si="51"/>
        <v/>
      </c>
    </row>
    <row r="3298" spans="42:42" ht="12" customHeight="1" x14ac:dyDescent="0.25">
      <c r="AP3298" s="15" t="str">
        <f t="shared" si="51"/>
        <v/>
      </c>
    </row>
    <row r="3299" spans="42:42" ht="12" customHeight="1" x14ac:dyDescent="0.25">
      <c r="AP3299" s="15" t="str">
        <f t="shared" si="51"/>
        <v/>
      </c>
    </row>
    <row r="3300" spans="42:42" ht="12" customHeight="1" x14ac:dyDescent="0.25">
      <c r="AP3300" s="15" t="str">
        <f t="shared" si="51"/>
        <v/>
      </c>
    </row>
    <row r="3301" spans="42:42" ht="12" customHeight="1" x14ac:dyDescent="0.25">
      <c r="AP3301" s="15" t="str">
        <f t="shared" si="51"/>
        <v/>
      </c>
    </row>
    <row r="3302" spans="42:42" ht="12" customHeight="1" x14ac:dyDescent="0.25">
      <c r="AP3302" s="15" t="str">
        <f t="shared" si="51"/>
        <v/>
      </c>
    </row>
    <row r="3303" spans="42:42" ht="12" customHeight="1" x14ac:dyDescent="0.25">
      <c r="AP3303" s="15" t="str">
        <f t="shared" si="51"/>
        <v/>
      </c>
    </row>
    <row r="3304" spans="42:42" ht="12" customHeight="1" x14ac:dyDescent="0.25">
      <c r="AP3304" s="15" t="str">
        <f t="shared" si="51"/>
        <v/>
      </c>
    </row>
    <row r="3305" spans="42:42" ht="12" customHeight="1" x14ac:dyDescent="0.25">
      <c r="AP3305" s="15" t="str">
        <f t="shared" si="51"/>
        <v/>
      </c>
    </row>
    <row r="3306" spans="42:42" ht="12" customHeight="1" x14ac:dyDescent="0.25">
      <c r="AP3306" s="15" t="str">
        <f t="shared" si="51"/>
        <v/>
      </c>
    </row>
    <row r="3307" spans="42:42" ht="12" customHeight="1" x14ac:dyDescent="0.25">
      <c r="AP3307" s="15" t="str">
        <f t="shared" si="51"/>
        <v/>
      </c>
    </row>
    <row r="3308" spans="42:42" ht="12" customHeight="1" x14ac:dyDescent="0.25">
      <c r="AP3308" s="15" t="str">
        <f t="shared" si="51"/>
        <v/>
      </c>
    </row>
    <row r="3309" spans="42:42" ht="12" customHeight="1" x14ac:dyDescent="0.25">
      <c r="AP3309" s="15" t="str">
        <f t="shared" si="51"/>
        <v/>
      </c>
    </row>
    <row r="3310" spans="42:42" ht="12" customHeight="1" x14ac:dyDescent="0.25">
      <c r="AP3310" s="15" t="str">
        <f t="shared" si="51"/>
        <v/>
      </c>
    </row>
    <row r="3311" spans="42:42" ht="12" customHeight="1" x14ac:dyDescent="0.25">
      <c r="AP3311" s="15" t="str">
        <f t="shared" si="51"/>
        <v/>
      </c>
    </row>
    <row r="3312" spans="42:42" ht="12" customHeight="1" x14ac:dyDescent="0.25">
      <c r="AP3312" s="15" t="str">
        <f t="shared" si="51"/>
        <v/>
      </c>
    </row>
    <row r="3313" spans="42:42" ht="12" customHeight="1" x14ac:dyDescent="0.25">
      <c r="AP3313" s="15" t="str">
        <f t="shared" si="51"/>
        <v/>
      </c>
    </row>
    <row r="3314" spans="42:42" ht="12" customHeight="1" x14ac:dyDescent="0.25">
      <c r="AP3314" s="15" t="str">
        <f t="shared" si="51"/>
        <v/>
      </c>
    </row>
    <row r="3315" spans="42:42" ht="12" customHeight="1" x14ac:dyDescent="0.25">
      <c r="AP3315" s="15" t="str">
        <f t="shared" si="51"/>
        <v/>
      </c>
    </row>
    <row r="3316" spans="42:42" ht="12" customHeight="1" x14ac:dyDescent="0.25">
      <c r="AP3316" s="15" t="str">
        <f t="shared" si="51"/>
        <v/>
      </c>
    </row>
    <row r="3317" spans="42:42" ht="12" customHeight="1" x14ac:dyDescent="0.25">
      <c r="AP3317" s="15" t="str">
        <f t="shared" si="51"/>
        <v/>
      </c>
    </row>
    <row r="3318" spans="42:42" ht="12" customHeight="1" x14ac:dyDescent="0.25">
      <c r="AP3318" s="15" t="str">
        <f t="shared" si="51"/>
        <v/>
      </c>
    </row>
    <row r="3319" spans="42:42" ht="12" customHeight="1" x14ac:dyDescent="0.25">
      <c r="AP3319" s="15" t="str">
        <f t="shared" si="51"/>
        <v/>
      </c>
    </row>
    <row r="3320" spans="42:42" ht="12" customHeight="1" x14ac:dyDescent="0.25">
      <c r="AP3320" s="15" t="str">
        <f t="shared" si="51"/>
        <v/>
      </c>
    </row>
    <row r="3321" spans="42:42" ht="12" customHeight="1" x14ac:dyDescent="0.25">
      <c r="AP3321" s="15" t="str">
        <f t="shared" si="51"/>
        <v/>
      </c>
    </row>
    <row r="3322" spans="42:42" ht="12" customHeight="1" x14ac:dyDescent="0.25">
      <c r="AP3322" s="15" t="str">
        <f t="shared" si="51"/>
        <v/>
      </c>
    </row>
    <row r="3323" spans="42:42" ht="12" customHeight="1" x14ac:dyDescent="0.25">
      <c r="AP3323" s="15" t="str">
        <f t="shared" si="51"/>
        <v/>
      </c>
    </row>
    <row r="3324" spans="42:42" ht="12" customHeight="1" x14ac:dyDescent="0.25">
      <c r="AP3324" s="15" t="str">
        <f t="shared" si="51"/>
        <v/>
      </c>
    </row>
    <row r="3325" spans="42:42" ht="12" customHeight="1" x14ac:dyDescent="0.25">
      <c r="AP3325" s="15" t="str">
        <f t="shared" si="51"/>
        <v/>
      </c>
    </row>
    <row r="3326" spans="42:42" ht="12" customHeight="1" x14ac:dyDescent="0.25">
      <c r="AP3326" s="15" t="str">
        <f t="shared" si="51"/>
        <v/>
      </c>
    </row>
    <row r="3327" spans="42:42" ht="12" customHeight="1" x14ac:dyDescent="0.25">
      <c r="AP3327" s="15" t="str">
        <f t="shared" si="51"/>
        <v/>
      </c>
    </row>
    <row r="3328" spans="42:42" ht="12" customHeight="1" x14ac:dyDescent="0.25">
      <c r="AP3328" s="15" t="str">
        <f t="shared" si="51"/>
        <v/>
      </c>
    </row>
    <row r="3329" spans="42:42" ht="12" customHeight="1" x14ac:dyDescent="0.25">
      <c r="AP3329" s="15" t="str">
        <f t="shared" si="51"/>
        <v/>
      </c>
    </row>
    <row r="3330" spans="42:42" ht="12" customHeight="1" x14ac:dyDescent="0.25">
      <c r="AP3330" s="15" t="str">
        <f t="shared" si="51"/>
        <v/>
      </c>
    </row>
    <row r="3331" spans="42:42" ht="12" customHeight="1" x14ac:dyDescent="0.25">
      <c r="AP3331" s="15" t="str">
        <f t="shared" si="51"/>
        <v/>
      </c>
    </row>
    <row r="3332" spans="42:42" ht="12" customHeight="1" x14ac:dyDescent="0.25">
      <c r="AP3332" s="15" t="str">
        <f t="shared" si="51"/>
        <v/>
      </c>
    </row>
    <row r="3333" spans="42:42" ht="12" customHeight="1" x14ac:dyDescent="0.25">
      <c r="AP3333" s="15" t="str">
        <f t="shared" si="51"/>
        <v/>
      </c>
    </row>
    <row r="3334" spans="42:42" ht="12" customHeight="1" x14ac:dyDescent="0.25">
      <c r="AP3334" s="15" t="str">
        <f t="shared" si="51"/>
        <v/>
      </c>
    </row>
    <row r="3335" spans="42:42" ht="12" customHeight="1" x14ac:dyDescent="0.25">
      <c r="AP3335" s="15" t="str">
        <f t="shared" si="51"/>
        <v/>
      </c>
    </row>
    <row r="3336" spans="42:42" ht="12" customHeight="1" x14ac:dyDescent="0.25">
      <c r="AP3336" s="15" t="str">
        <f t="shared" ref="AP3336:AP3399" si="52">IF(AO3336="", "", AO3336&amp;"["&amp;AN3336&amp;"]")</f>
        <v/>
      </c>
    </row>
    <row r="3337" spans="42:42" ht="12" customHeight="1" x14ac:dyDescent="0.25">
      <c r="AP3337" s="15" t="str">
        <f t="shared" si="52"/>
        <v/>
      </c>
    </row>
    <row r="3338" spans="42:42" ht="12" customHeight="1" x14ac:dyDescent="0.25">
      <c r="AP3338" s="15" t="str">
        <f t="shared" si="52"/>
        <v/>
      </c>
    </row>
    <row r="3339" spans="42:42" ht="12" customHeight="1" x14ac:dyDescent="0.25">
      <c r="AP3339" s="15" t="str">
        <f t="shared" si="52"/>
        <v/>
      </c>
    </row>
    <row r="3340" spans="42:42" ht="12" customHeight="1" x14ac:dyDescent="0.25">
      <c r="AP3340" s="15" t="str">
        <f t="shared" si="52"/>
        <v/>
      </c>
    </row>
    <row r="3341" spans="42:42" ht="12" customHeight="1" x14ac:dyDescent="0.25">
      <c r="AP3341" s="15" t="str">
        <f t="shared" si="52"/>
        <v/>
      </c>
    </row>
    <row r="3342" spans="42:42" ht="12" customHeight="1" x14ac:dyDescent="0.25">
      <c r="AP3342" s="15" t="str">
        <f t="shared" si="52"/>
        <v/>
      </c>
    </row>
    <row r="3343" spans="42:42" ht="12" customHeight="1" x14ac:dyDescent="0.25">
      <c r="AP3343" s="15" t="str">
        <f t="shared" si="52"/>
        <v/>
      </c>
    </row>
    <row r="3344" spans="42:42" ht="12" customHeight="1" x14ac:dyDescent="0.25">
      <c r="AP3344" s="15" t="str">
        <f t="shared" si="52"/>
        <v/>
      </c>
    </row>
    <row r="3345" spans="42:42" ht="12" customHeight="1" x14ac:dyDescent="0.25">
      <c r="AP3345" s="15" t="str">
        <f t="shared" si="52"/>
        <v/>
      </c>
    </row>
    <row r="3346" spans="42:42" ht="12" customHeight="1" x14ac:dyDescent="0.25">
      <c r="AP3346" s="15" t="str">
        <f t="shared" si="52"/>
        <v/>
      </c>
    </row>
    <row r="3347" spans="42:42" ht="12" customHeight="1" x14ac:dyDescent="0.25">
      <c r="AP3347" s="15" t="str">
        <f t="shared" si="52"/>
        <v/>
      </c>
    </row>
    <row r="3348" spans="42:42" ht="12" customHeight="1" x14ac:dyDescent="0.25">
      <c r="AP3348" s="15" t="str">
        <f t="shared" si="52"/>
        <v/>
      </c>
    </row>
    <row r="3349" spans="42:42" ht="12" customHeight="1" x14ac:dyDescent="0.25">
      <c r="AP3349" s="15" t="str">
        <f t="shared" si="52"/>
        <v/>
      </c>
    </row>
    <row r="3350" spans="42:42" ht="12" customHeight="1" x14ac:dyDescent="0.25">
      <c r="AP3350" s="15" t="str">
        <f t="shared" si="52"/>
        <v/>
      </c>
    </row>
    <row r="3351" spans="42:42" ht="12" customHeight="1" x14ac:dyDescent="0.25">
      <c r="AP3351" s="15" t="str">
        <f t="shared" si="52"/>
        <v/>
      </c>
    </row>
    <row r="3352" spans="42:42" ht="12" customHeight="1" x14ac:dyDescent="0.25">
      <c r="AP3352" s="15" t="str">
        <f t="shared" si="52"/>
        <v/>
      </c>
    </row>
    <row r="3353" spans="42:42" ht="12" customHeight="1" x14ac:dyDescent="0.25">
      <c r="AP3353" s="15" t="str">
        <f t="shared" si="52"/>
        <v/>
      </c>
    </row>
    <row r="3354" spans="42:42" ht="12" customHeight="1" x14ac:dyDescent="0.25">
      <c r="AP3354" s="15" t="str">
        <f t="shared" si="52"/>
        <v/>
      </c>
    </row>
    <row r="3355" spans="42:42" ht="12" customHeight="1" x14ac:dyDescent="0.25">
      <c r="AP3355" s="15" t="str">
        <f t="shared" si="52"/>
        <v/>
      </c>
    </row>
    <row r="3356" spans="42:42" ht="12" customHeight="1" x14ac:dyDescent="0.25">
      <c r="AP3356" s="15" t="str">
        <f t="shared" si="52"/>
        <v/>
      </c>
    </row>
    <row r="3357" spans="42:42" ht="12" customHeight="1" x14ac:dyDescent="0.25">
      <c r="AP3357" s="15" t="str">
        <f t="shared" si="52"/>
        <v/>
      </c>
    </row>
    <row r="3358" spans="42:42" ht="12" customHeight="1" x14ac:dyDescent="0.25">
      <c r="AP3358" s="15" t="str">
        <f t="shared" si="52"/>
        <v/>
      </c>
    </row>
    <row r="3359" spans="42:42" ht="12" customHeight="1" x14ac:dyDescent="0.25">
      <c r="AP3359" s="15" t="str">
        <f t="shared" si="52"/>
        <v/>
      </c>
    </row>
    <row r="3360" spans="42:42" ht="12" customHeight="1" x14ac:dyDescent="0.25">
      <c r="AP3360" s="15" t="str">
        <f t="shared" si="52"/>
        <v/>
      </c>
    </row>
    <row r="3361" spans="42:42" ht="12" customHeight="1" x14ac:dyDescent="0.25">
      <c r="AP3361" s="15" t="str">
        <f t="shared" si="52"/>
        <v/>
      </c>
    </row>
    <row r="3362" spans="42:42" ht="12" customHeight="1" x14ac:dyDescent="0.25">
      <c r="AP3362" s="15" t="str">
        <f t="shared" si="52"/>
        <v/>
      </c>
    </row>
    <row r="3363" spans="42:42" ht="12" customHeight="1" x14ac:dyDescent="0.25">
      <c r="AP3363" s="15" t="str">
        <f t="shared" si="52"/>
        <v/>
      </c>
    </row>
    <row r="3364" spans="42:42" ht="12" customHeight="1" x14ac:dyDescent="0.25">
      <c r="AP3364" s="15" t="str">
        <f t="shared" si="52"/>
        <v/>
      </c>
    </row>
    <row r="3365" spans="42:42" ht="12" customHeight="1" x14ac:dyDescent="0.25">
      <c r="AP3365" s="15" t="str">
        <f t="shared" si="52"/>
        <v/>
      </c>
    </row>
    <row r="3366" spans="42:42" ht="12" customHeight="1" x14ac:dyDescent="0.25">
      <c r="AP3366" s="15" t="str">
        <f t="shared" si="52"/>
        <v/>
      </c>
    </row>
    <row r="3367" spans="42:42" ht="12" customHeight="1" x14ac:dyDescent="0.25">
      <c r="AP3367" s="15" t="str">
        <f t="shared" si="52"/>
        <v/>
      </c>
    </row>
    <row r="3368" spans="42:42" ht="12" customHeight="1" x14ac:dyDescent="0.25">
      <c r="AP3368" s="15" t="str">
        <f t="shared" si="52"/>
        <v/>
      </c>
    </row>
    <row r="3369" spans="42:42" ht="12" customHeight="1" x14ac:dyDescent="0.25">
      <c r="AP3369" s="15" t="str">
        <f t="shared" si="52"/>
        <v/>
      </c>
    </row>
    <row r="3370" spans="42:42" ht="12" customHeight="1" x14ac:dyDescent="0.25">
      <c r="AP3370" s="15" t="str">
        <f t="shared" si="52"/>
        <v/>
      </c>
    </row>
    <row r="3371" spans="42:42" ht="12" customHeight="1" x14ac:dyDescent="0.25">
      <c r="AP3371" s="15" t="str">
        <f t="shared" si="52"/>
        <v/>
      </c>
    </row>
    <row r="3372" spans="42:42" ht="12" customHeight="1" x14ac:dyDescent="0.25">
      <c r="AP3372" s="15" t="str">
        <f t="shared" si="52"/>
        <v/>
      </c>
    </row>
    <row r="3373" spans="42:42" ht="12" customHeight="1" x14ac:dyDescent="0.25">
      <c r="AP3373" s="15" t="str">
        <f t="shared" si="52"/>
        <v/>
      </c>
    </row>
    <row r="3374" spans="42:42" ht="12" customHeight="1" x14ac:dyDescent="0.25">
      <c r="AP3374" s="15" t="str">
        <f t="shared" si="52"/>
        <v/>
      </c>
    </row>
    <row r="3375" spans="42:42" ht="12" customHeight="1" x14ac:dyDescent="0.25">
      <c r="AP3375" s="15" t="str">
        <f t="shared" si="52"/>
        <v/>
      </c>
    </row>
    <row r="3376" spans="42:42" ht="12" customHeight="1" x14ac:dyDescent="0.25">
      <c r="AP3376" s="15" t="str">
        <f t="shared" si="52"/>
        <v/>
      </c>
    </row>
    <row r="3377" spans="42:42" ht="12" customHeight="1" x14ac:dyDescent="0.25">
      <c r="AP3377" s="15" t="str">
        <f t="shared" si="52"/>
        <v/>
      </c>
    </row>
    <row r="3378" spans="42:42" ht="12" customHeight="1" x14ac:dyDescent="0.25">
      <c r="AP3378" s="15" t="str">
        <f t="shared" si="52"/>
        <v/>
      </c>
    </row>
    <row r="3379" spans="42:42" ht="12" customHeight="1" x14ac:dyDescent="0.25">
      <c r="AP3379" s="15" t="str">
        <f t="shared" si="52"/>
        <v/>
      </c>
    </row>
    <row r="3380" spans="42:42" ht="12" customHeight="1" x14ac:dyDescent="0.25">
      <c r="AP3380" s="15" t="str">
        <f t="shared" si="52"/>
        <v/>
      </c>
    </row>
    <row r="3381" spans="42:42" ht="12" customHeight="1" x14ac:dyDescent="0.25">
      <c r="AP3381" s="15" t="str">
        <f t="shared" si="52"/>
        <v/>
      </c>
    </row>
    <row r="3382" spans="42:42" ht="12" customHeight="1" x14ac:dyDescent="0.25">
      <c r="AP3382" s="15" t="str">
        <f t="shared" si="52"/>
        <v/>
      </c>
    </row>
    <row r="3383" spans="42:42" ht="12" customHeight="1" x14ac:dyDescent="0.25">
      <c r="AP3383" s="15" t="str">
        <f t="shared" si="52"/>
        <v/>
      </c>
    </row>
    <row r="3384" spans="42:42" ht="12" customHeight="1" x14ac:dyDescent="0.25">
      <c r="AP3384" s="15" t="str">
        <f t="shared" si="52"/>
        <v/>
      </c>
    </row>
    <row r="3385" spans="42:42" ht="12" customHeight="1" x14ac:dyDescent="0.25">
      <c r="AP3385" s="15" t="str">
        <f t="shared" si="52"/>
        <v/>
      </c>
    </row>
    <row r="3386" spans="42:42" ht="12" customHeight="1" x14ac:dyDescent="0.25">
      <c r="AP3386" s="15" t="str">
        <f t="shared" si="52"/>
        <v/>
      </c>
    </row>
    <row r="3387" spans="42:42" ht="12" customHeight="1" x14ac:dyDescent="0.25">
      <c r="AP3387" s="15" t="str">
        <f t="shared" si="52"/>
        <v/>
      </c>
    </row>
    <row r="3388" spans="42:42" ht="12" customHeight="1" x14ac:dyDescent="0.25">
      <c r="AP3388" s="15" t="str">
        <f t="shared" si="52"/>
        <v/>
      </c>
    </row>
    <row r="3389" spans="42:42" ht="12" customHeight="1" x14ac:dyDescent="0.25">
      <c r="AP3389" s="15" t="str">
        <f t="shared" si="52"/>
        <v/>
      </c>
    </row>
    <row r="3390" spans="42:42" ht="12" customHeight="1" x14ac:dyDescent="0.25">
      <c r="AP3390" s="15" t="str">
        <f t="shared" si="52"/>
        <v/>
      </c>
    </row>
    <row r="3391" spans="42:42" ht="12" customHeight="1" x14ac:dyDescent="0.25">
      <c r="AP3391" s="15" t="str">
        <f t="shared" si="52"/>
        <v/>
      </c>
    </row>
    <row r="3392" spans="42:42" ht="12" customHeight="1" x14ac:dyDescent="0.25">
      <c r="AP3392" s="15" t="str">
        <f t="shared" si="52"/>
        <v/>
      </c>
    </row>
    <row r="3393" spans="42:42" ht="12" customHeight="1" x14ac:dyDescent="0.25">
      <c r="AP3393" s="15" t="str">
        <f t="shared" si="52"/>
        <v/>
      </c>
    </row>
    <row r="3394" spans="42:42" ht="12" customHeight="1" x14ac:dyDescent="0.25">
      <c r="AP3394" s="15" t="str">
        <f t="shared" si="52"/>
        <v/>
      </c>
    </row>
    <row r="3395" spans="42:42" ht="12" customHeight="1" x14ac:dyDescent="0.25">
      <c r="AP3395" s="15" t="str">
        <f t="shared" si="52"/>
        <v/>
      </c>
    </row>
    <row r="3396" spans="42:42" ht="12" customHeight="1" x14ac:dyDescent="0.25">
      <c r="AP3396" s="15" t="str">
        <f t="shared" si="52"/>
        <v/>
      </c>
    </row>
    <row r="3397" spans="42:42" ht="12" customHeight="1" x14ac:dyDescent="0.25">
      <c r="AP3397" s="15" t="str">
        <f t="shared" si="52"/>
        <v/>
      </c>
    </row>
    <row r="3398" spans="42:42" ht="12" customHeight="1" x14ac:dyDescent="0.25">
      <c r="AP3398" s="15" t="str">
        <f t="shared" si="52"/>
        <v/>
      </c>
    </row>
    <row r="3399" spans="42:42" ht="12" customHeight="1" x14ac:dyDescent="0.25">
      <c r="AP3399" s="15" t="str">
        <f t="shared" si="52"/>
        <v/>
      </c>
    </row>
    <row r="3400" spans="42:42" ht="12" customHeight="1" x14ac:dyDescent="0.25">
      <c r="AP3400" s="15" t="str">
        <f t="shared" ref="AP3400:AP3463" si="53">IF(AO3400="", "", AO3400&amp;"["&amp;AN3400&amp;"]")</f>
        <v/>
      </c>
    </row>
    <row r="3401" spans="42:42" ht="12" customHeight="1" x14ac:dyDescent="0.25">
      <c r="AP3401" s="15" t="str">
        <f t="shared" si="53"/>
        <v/>
      </c>
    </row>
    <row r="3402" spans="42:42" ht="12" customHeight="1" x14ac:dyDescent="0.25">
      <c r="AP3402" s="15" t="str">
        <f t="shared" si="53"/>
        <v/>
      </c>
    </row>
    <row r="3403" spans="42:42" ht="12" customHeight="1" x14ac:dyDescent="0.25">
      <c r="AP3403" s="15" t="str">
        <f t="shared" si="53"/>
        <v/>
      </c>
    </row>
    <row r="3404" spans="42:42" ht="12" customHeight="1" x14ac:dyDescent="0.25">
      <c r="AP3404" s="15" t="str">
        <f t="shared" si="53"/>
        <v/>
      </c>
    </row>
    <row r="3405" spans="42:42" ht="12" customHeight="1" x14ac:dyDescent="0.25">
      <c r="AP3405" s="15" t="str">
        <f t="shared" si="53"/>
        <v/>
      </c>
    </row>
    <row r="3406" spans="42:42" ht="12" customHeight="1" x14ac:dyDescent="0.25">
      <c r="AP3406" s="15" t="str">
        <f t="shared" si="53"/>
        <v/>
      </c>
    </row>
    <row r="3407" spans="42:42" ht="12" customHeight="1" x14ac:dyDescent="0.25">
      <c r="AP3407" s="15" t="str">
        <f t="shared" si="53"/>
        <v/>
      </c>
    </row>
    <row r="3408" spans="42:42" ht="12" customHeight="1" x14ac:dyDescent="0.25">
      <c r="AP3408" s="15" t="str">
        <f t="shared" si="53"/>
        <v/>
      </c>
    </row>
    <row r="3409" spans="42:42" ht="12" customHeight="1" x14ac:dyDescent="0.25">
      <c r="AP3409" s="15" t="str">
        <f t="shared" si="53"/>
        <v/>
      </c>
    </row>
    <row r="3410" spans="42:42" ht="12" customHeight="1" x14ac:dyDescent="0.25">
      <c r="AP3410" s="15" t="str">
        <f t="shared" si="53"/>
        <v/>
      </c>
    </row>
    <row r="3411" spans="42:42" ht="12" customHeight="1" x14ac:dyDescent="0.25">
      <c r="AP3411" s="15" t="str">
        <f t="shared" si="53"/>
        <v/>
      </c>
    </row>
    <row r="3412" spans="42:42" ht="12" customHeight="1" x14ac:dyDescent="0.25">
      <c r="AP3412" s="15" t="str">
        <f t="shared" si="53"/>
        <v/>
      </c>
    </row>
    <row r="3413" spans="42:42" ht="12" customHeight="1" x14ac:dyDescent="0.25">
      <c r="AP3413" s="15" t="str">
        <f t="shared" si="53"/>
        <v/>
      </c>
    </row>
    <row r="3414" spans="42:42" ht="12" customHeight="1" x14ac:dyDescent="0.25">
      <c r="AP3414" s="15" t="str">
        <f t="shared" si="53"/>
        <v/>
      </c>
    </row>
    <row r="3415" spans="42:42" ht="12" customHeight="1" x14ac:dyDescent="0.25">
      <c r="AP3415" s="15" t="str">
        <f t="shared" si="53"/>
        <v/>
      </c>
    </row>
    <row r="3416" spans="42:42" ht="12" customHeight="1" x14ac:dyDescent="0.25">
      <c r="AP3416" s="15" t="str">
        <f t="shared" si="53"/>
        <v/>
      </c>
    </row>
    <row r="3417" spans="42:42" ht="12" customHeight="1" x14ac:dyDescent="0.25">
      <c r="AP3417" s="15" t="str">
        <f t="shared" si="53"/>
        <v/>
      </c>
    </row>
    <row r="3418" spans="42:42" ht="12" customHeight="1" x14ac:dyDescent="0.25">
      <c r="AP3418" s="15" t="str">
        <f t="shared" si="53"/>
        <v/>
      </c>
    </row>
    <row r="3419" spans="42:42" ht="12" customHeight="1" x14ac:dyDescent="0.25">
      <c r="AP3419" s="15" t="str">
        <f t="shared" si="53"/>
        <v/>
      </c>
    </row>
    <row r="3420" spans="42:42" ht="12" customHeight="1" x14ac:dyDescent="0.25">
      <c r="AP3420" s="15" t="str">
        <f t="shared" si="53"/>
        <v/>
      </c>
    </row>
    <row r="3421" spans="42:42" ht="12" customHeight="1" x14ac:dyDescent="0.25">
      <c r="AP3421" s="15" t="str">
        <f t="shared" si="53"/>
        <v/>
      </c>
    </row>
    <row r="3422" spans="42:42" ht="12" customHeight="1" x14ac:dyDescent="0.25">
      <c r="AP3422" s="15" t="str">
        <f t="shared" si="53"/>
        <v/>
      </c>
    </row>
    <row r="3423" spans="42:42" ht="12" customHeight="1" x14ac:dyDescent="0.25">
      <c r="AP3423" s="15" t="str">
        <f t="shared" si="53"/>
        <v/>
      </c>
    </row>
    <row r="3424" spans="42:42" ht="12" customHeight="1" x14ac:dyDescent="0.25">
      <c r="AP3424" s="15" t="str">
        <f t="shared" si="53"/>
        <v/>
      </c>
    </row>
    <row r="3425" spans="42:42" ht="12" customHeight="1" x14ac:dyDescent="0.25">
      <c r="AP3425" s="15" t="str">
        <f t="shared" si="53"/>
        <v/>
      </c>
    </row>
    <row r="3426" spans="42:42" ht="12" customHeight="1" x14ac:dyDescent="0.25">
      <c r="AP3426" s="15" t="str">
        <f t="shared" si="53"/>
        <v/>
      </c>
    </row>
    <row r="3427" spans="42:42" ht="12" customHeight="1" x14ac:dyDescent="0.25">
      <c r="AP3427" s="15" t="str">
        <f t="shared" si="53"/>
        <v/>
      </c>
    </row>
    <row r="3428" spans="42:42" ht="12" customHeight="1" x14ac:dyDescent="0.25">
      <c r="AP3428" s="15" t="str">
        <f t="shared" si="53"/>
        <v/>
      </c>
    </row>
    <row r="3429" spans="42:42" ht="12" customHeight="1" x14ac:dyDescent="0.25">
      <c r="AP3429" s="15" t="str">
        <f t="shared" si="53"/>
        <v/>
      </c>
    </row>
    <row r="3430" spans="42:42" ht="12" customHeight="1" x14ac:dyDescent="0.25">
      <c r="AP3430" s="15" t="str">
        <f t="shared" si="53"/>
        <v/>
      </c>
    </row>
    <row r="3431" spans="42:42" ht="12" customHeight="1" x14ac:dyDescent="0.25">
      <c r="AP3431" s="15" t="str">
        <f t="shared" si="53"/>
        <v/>
      </c>
    </row>
    <row r="3432" spans="42:42" ht="12" customHeight="1" x14ac:dyDescent="0.25">
      <c r="AP3432" s="15" t="str">
        <f t="shared" si="53"/>
        <v/>
      </c>
    </row>
    <row r="3433" spans="42:42" ht="12" customHeight="1" x14ac:dyDescent="0.25">
      <c r="AP3433" s="15" t="str">
        <f t="shared" si="53"/>
        <v/>
      </c>
    </row>
    <row r="3434" spans="42:42" ht="12" customHeight="1" x14ac:dyDescent="0.25">
      <c r="AP3434" s="15" t="str">
        <f t="shared" si="53"/>
        <v/>
      </c>
    </row>
    <row r="3435" spans="42:42" ht="12" customHeight="1" x14ac:dyDescent="0.25">
      <c r="AP3435" s="15" t="str">
        <f t="shared" si="53"/>
        <v/>
      </c>
    </row>
    <row r="3436" spans="42:42" ht="12" customHeight="1" x14ac:dyDescent="0.25">
      <c r="AP3436" s="15" t="str">
        <f t="shared" si="53"/>
        <v/>
      </c>
    </row>
    <row r="3437" spans="42:42" ht="12" customHeight="1" x14ac:dyDescent="0.25">
      <c r="AP3437" s="15" t="str">
        <f t="shared" si="53"/>
        <v/>
      </c>
    </row>
    <row r="3438" spans="42:42" ht="12" customHeight="1" x14ac:dyDescent="0.25">
      <c r="AP3438" s="15" t="str">
        <f t="shared" si="53"/>
        <v/>
      </c>
    </row>
    <row r="3439" spans="42:42" ht="12" customHeight="1" x14ac:dyDescent="0.25">
      <c r="AP3439" s="15" t="str">
        <f t="shared" si="53"/>
        <v/>
      </c>
    </row>
    <row r="3440" spans="42:42" ht="12" customHeight="1" x14ac:dyDescent="0.25">
      <c r="AP3440" s="15" t="str">
        <f t="shared" si="53"/>
        <v/>
      </c>
    </row>
    <row r="3441" spans="42:42" ht="12" customHeight="1" x14ac:dyDescent="0.25">
      <c r="AP3441" s="15" t="str">
        <f t="shared" si="53"/>
        <v/>
      </c>
    </row>
    <row r="3442" spans="42:42" ht="12" customHeight="1" x14ac:dyDescent="0.25">
      <c r="AP3442" s="15" t="str">
        <f t="shared" si="53"/>
        <v/>
      </c>
    </row>
    <row r="3443" spans="42:42" ht="12" customHeight="1" x14ac:dyDescent="0.25">
      <c r="AP3443" s="15" t="str">
        <f t="shared" si="53"/>
        <v/>
      </c>
    </row>
    <row r="3444" spans="42:42" ht="12" customHeight="1" x14ac:dyDescent="0.25">
      <c r="AP3444" s="15" t="str">
        <f t="shared" si="53"/>
        <v/>
      </c>
    </row>
    <row r="3445" spans="42:42" ht="12" customHeight="1" x14ac:dyDescent="0.25">
      <c r="AP3445" s="15" t="str">
        <f t="shared" si="53"/>
        <v/>
      </c>
    </row>
    <row r="3446" spans="42:42" ht="12" customHeight="1" x14ac:dyDescent="0.25">
      <c r="AP3446" s="15" t="str">
        <f t="shared" si="53"/>
        <v/>
      </c>
    </row>
    <row r="3447" spans="42:42" ht="12" customHeight="1" x14ac:dyDescent="0.25">
      <c r="AP3447" s="15" t="str">
        <f t="shared" si="53"/>
        <v/>
      </c>
    </row>
    <row r="3448" spans="42:42" ht="12" customHeight="1" x14ac:dyDescent="0.25">
      <c r="AP3448" s="15" t="str">
        <f t="shared" si="53"/>
        <v/>
      </c>
    </row>
    <row r="3449" spans="42:42" ht="12" customHeight="1" x14ac:dyDescent="0.25">
      <c r="AP3449" s="15" t="str">
        <f t="shared" si="53"/>
        <v/>
      </c>
    </row>
    <row r="3450" spans="42:42" ht="12" customHeight="1" x14ac:dyDescent="0.25">
      <c r="AP3450" s="15" t="str">
        <f t="shared" si="53"/>
        <v/>
      </c>
    </row>
    <row r="3451" spans="42:42" ht="12" customHeight="1" x14ac:dyDescent="0.25">
      <c r="AP3451" s="15" t="str">
        <f t="shared" si="53"/>
        <v/>
      </c>
    </row>
    <row r="3452" spans="42:42" ht="12" customHeight="1" x14ac:dyDescent="0.25">
      <c r="AP3452" s="15" t="str">
        <f t="shared" si="53"/>
        <v/>
      </c>
    </row>
    <row r="3453" spans="42:42" ht="12" customHeight="1" x14ac:dyDescent="0.25">
      <c r="AP3453" s="15" t="str">
        <f t="shared" si="53"/>
        <v/>
      </c>
    </row>
    <row r="3454" spans="42:42" ht="12" customHeight="1" x14ac:dyDescent="0.25">
      <c r="AP3454" s="15" t="str">
        <f t="shared" si="53"/>
        <v/>
      </c>
    </row>
    <row r="3455" spans="42:42" ht="12" customHeight="1" x14ac:dyDescent="0.25">
      <c r="AP3455" s="15" t="str">
        <f t="shared" si="53"/>
        <v/>
      </c>
    </row>
    <row r="3456" spans="42:42" ht="12" customHeight="1" x14ac:dyDescent="0.25">
      <c r="AP3456" s="15" t="str">
        <f t="shared" si="53"/>
        <v/>
      </c>
    </row>
    <row r="3457" spans="42:42" ht="12" customHeight="1" x14ac:dyDescent="0.25">
      <c r="AP3457" s="15" t="str">
        <f t="shared" si="53"/>
        <v/>
      </c>
    </row>
    <row r="3458" spans="42:42" ht="12" customHeight="1" x14ac:dyDescent="0.25">
      <c r="AP3458" s="15" t="str">
        <f t="shared" si="53"/>
        <v/>
      </c>
    </row>
    <row r="3459" spans="42:42" ht="12" customHeight="1" x14ac:dyDescent="0.25">
      <c r="AP3459" s="15" t="str">
        <f t="shared" si="53"/>
        <v/>
      </c>
    </row>
    <row r="3460" spans="42:42" ht="12" customHeight="1" x14ac:dyDescent="0.25">
      <c r="AP3460" s="15" t="str">
        <f t="shared" si="53"/>
        <v/>
      </c>
    </row>
    <row r="3461" spans="42:42" ht="12" customHeight="1" x14ac:dyDescent="0.25">
      <c r="AP3461" s="15" t="str">
        <f t="shared" si="53"/>
        <v/>
      </c>
    </row>
    <row r="3462" spans="42:42" ht="12" customHeight="1" x14ac:dyDescent="0.25">
      <c r="AP3462" s="15" t="str">
        <f t="shared" si="53"/>
        <v/>
      </c>
    </row>
    <row r="3463" spans="42:42" ht="12" customHeight="1" x14ac:dyDescent="0.25">
      <c r="AP3463" s="15" t="str">
        <f t="shared" si="53"/>
        <v/>
      </c>
    </row>
    <row r="3464" spans="42:42" ht="12" customHeight="1" x14ac:dyDescent="0.25">
      <c r="AP3464" s="15" t="str">
        <f t="shared" ref="AP3464:AP3489" si="54">IF(AO3464="", "", AO3464&amp;"["&amp;AN3464&amp;"]")</f>
        <v/>
      </c>
    </row>
    <row r="3465" spans="42:42" ht="12" customHeight="1" x14ac:dyDescent="0.25">
      <c r="AP3465" s="15" t="str">
        <f t="shared" si="54"/>
        <v/>
      </c>
    </row>
    <row r="3466" spans="42:42" ht="12" customHeight="1" x14ac:dyDescent="0.25">
      <c r="AP3466" s="15" t="str">
        <f t="shared" si="54"/>
        <v/>
      </c>
    </row>
    <row r="3467" spans="42:42" ht="12" customHeight="1" x14ac:dyDescent="0.25">
      <c r="AP3467" s="15" t="str">
        <f t="shared" si="54"/>
        <v/>
      </c>
    </row>
    <row r="3468" spans="42:42" ht="12" customHeight="1" x14ac:dyDescent="0.25">
      <c r="AP3468" s="15" t="str">
        <f t="shared" si="54"/>
        <v/>
      </c>
    </row>
    <row r="3469" spans="42:42" ht="12" customHeight="1" x14ac:dyDescent="0.25">
      <c r="AP3469" s="15" t="str">
        <f t="shared" si="54"/>
        <v/>
      </c>
    </row>
    <row r="3470" spans="42:42" ht="12" customHeight="1" x14ac:dyDescent="0.25">
      <c r="AP3470" s="15" t="str">
        <f t="shared" si="54"/>
        <v/>
      </c>
    </row>
    <row r="3471" spans="42:42" ht="12" customHeight="1" x14ac:dyDescent="0.25">
      <c r="AP3471" s="15" t="str">
        <f t="shared" si="54"/>
        <v/>
      </c>
    </row>
    <row r="3472" spans="42:42" ht="12" customHeight="1" x14ac:dyDescent="0.25">
      <c r="AP3472" s="15" t="str">
        <f t="shared" si="54"/>
        <v/>
      </c>
    </row>
    <row r="3473" spans="42:42" ht="12" customHeight="1" x14ac:dyDescent="0.25">
      <c r="AP3473" s="15" t="str">
        <f t="shared" si="54"/>
        <v/>
      </c>
    </row>
    <row r="3474" spans="42:42" ht="12" customHeight="1" x14ac:dyDescent="0.25">
      <c r="AP3474" s="15" t="str">
        <f t="shared" si="54"/>
        <v/>
      </c>
    </row>
    <row r="3475" spans="42:42" ht="12" customHeight="1" x14ac:dyDescent="0.25">
      <c r="AP3475" s="15" t="str">
        <f t="shared" si="54"/>
        <v/>
      </c>
    </row>
    <row r="3476" spans="42:42" ht="12" customHeight="1" x14ac:dyDescent="0.25">
      <c r="AP3476" s="15" t="str">
        <f t="shared" si="54"/>
        <v/>
      </c>
    </row>
    <row r="3477" spans="42:42" ht="12" customHeight="1" x14ac:dyDescent="0.25">
      <c r="AP3477" s="15" t="str">
        <f t="shared" si="54"/>
        <v/>
      </c>
    </row>
    <row r="3478" spans="42:42" ht="12" customHeight="1" x14ac:dyDescent="0.25">
      <c r="AP3478" s="15" t="str">
        <f t="shared" si="54"/>
        <v/>
      </c>
    </row>
    <row r="3479" spans="42:42" ht="12" customHeight="1" x14ac:dyDescent="0.25">
      <c r="AP3479" s="15" t="str">
        <f t="shared" si="54"/>
        <v/>
      </c>
    </row>
    <row r="3480" spans="42:42" ht="12" customHeight="1" x14ac:dyDescent="0.25">
      <c r="AP3480" s="15" t="str">
        <f t="shared" si="54"/>
        <v/>
      </c>
    </row>
    <row r="3481" spans="42:42" ht="12" customHeight="1" x14ac:dyDescent="0.25">
      <c r="AP3481" s="15" t="str">
        <f t="shared" si="54"/>
        <v/>
      </c>
    </row>
    <row r="3482" spans="42:42" ht="12" customHeight="1" x14ac:dyDescent="0.25">
      <c r="AP3482" s="15" t="str">
        <f t="shared" si="54"/>
        <v/>
      </c>
    </row>
    <row r="3483" spans="42:42" ht="12" customHeight="1" x14ac:dyDescent="0.25">
      <c r="AP3483" s="15" t="str">
        <f t="shared" si="54"/>
        <v/>
      </c>
    </row>
    <row r="3484" spans="42:42" ht="12" customHeight="1" x14ac:dyDescent="0.25">
      <c r="AP3484" s="15" t="str">
        <f t="shared" si="54"/>
        <v/>
      </c>
    </row>
    <row r="3485" spans="42:42" ht="12" customHeight="1" x14ac:dyDescent="0.25">
      <c r="AP3485" s="15" t="str">
        <f t="shared" si="54"/>
        <v/>
      </c>
    </row>
    <row r="3486" spans="42:42" ht="12" customHeight="1" x14ac:dyDescent="0.25">
      <c r="AP3486" s="15" t="str">
        <f t="shared" si="54"/>
        <v/>
      </c>
    </row>
    <row r="3487" spans="42:42" ht="12" customHeight="1" x14ac:dyDescent="0.25">
      <c r="AP3487" s="15" t="str">
        <f t="shared" si="54"/>
        <v/>
      </c>
    </row>
    <row r="3488" spans="42:42" ht="12" customHeight="1" x14ac:dyDescent="0.25">
      <c r="AP3488" s="15" t="str">
        <f t="shared" si="54"/>
        <v/>
      </c>
    </row>
    <row r="3489" spans="42:42" ht="12" customHeight="1" x14ac:dyDescent="0.25">
      <c r="AP3489" s="15" t="str">
        <f t="shared" si="54"/>
        <v/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1BE5-DED3-44F4-9B60-2DE16A7FCA03}">
  <sheetPr codeName="Sheet22">
    <tabColor rgb="FFFF0000"/>
  </sheetPr>
  <dimension ref="A1:S337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9.140625" hidden="1" customWidth="1"/>
    <col min="5" max="5" width="61.140625" customWidth="1"/>
    <col min="6" max="15" width="26.140625" customWidth="1"/>
  </cols>
  <sheetData>
    <row r="1" spans="1:19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  <c r="M1" s="5"/>
      <c r="N1" s="5"/>
      <c r="O1" s="5"/>
      <c r="P1" s="5"/>
      <c r="Q1" s="5"/>
      <c r="S1" s="5"/>
    </row>
    <row r="2" spans="1:19" ht="12" customHeight="1" thickTop="1" thickBot="1" x14ac:dyDescent="0.3">
      <c r="A2" s="2"/>
      <c r="C2" s="7"/>
      <c r="E2" s="112"/>
      <c r="F2" s="452" t="s">
        <v>750</v>
      </c>
      <c r="G2" s="452"/>
      <c r="H2" s="112"/>
      <c r="I2" s="452" t="s">
        <v>751</v>
      </c>
      <c r="J2" s="452"/>
      <c r="K2" s="112"/>
      <c r="L2" s="40"/>
      <c r="M2" s="40"/>
      <c r="N2" s="40"/>
      <c r="O2" s="79"/>
    </row>
    <row r="3" spans="1:19" ht="12" customHeight="1" thickBot="1" x14ac:dyDescent="0.3">
      <c r="A3" s="2"/>
      <c r="C3" s="7"/>
      <c r="E3" s="112" t="s">
        <v>749</v>
      </c>
      <c r="F3" s="112" t="s">
        <v>97</v>
      </c>
      <c r="G3" s="112" t="s">
        <v>96</v>
      </c>
      <c r="H3" s="112" t="s">
        <v>748</v>
      </c>
      <c r="I3" s="112" t="s">
        <v>97</v>
      </c>
      <c r="J3" s="112" t="s">
        <v>96</v>
      </c>
      <c r="K3" s="112" t="s">
        <v>748</v>
      </c>
      <c r="L3" s="40"/>
      <c r="M3" s="40"/>
      <c r="N3" s="40"/>
      <c r="O3" s="79"/>
    </row>
    <row r="4" spans="1:19" ht="12" customHeight="1" x14ac:dyDescent="0.25">
      <c r="A4" s="2"/>
      <c r="C4" s="7"/>
      <c r="E4" t="str">
        <f>'Results.D+P'!E5</f>
        <v>A: No gastroprotection - NSAIDs in people &gt;65</v>
      </c>
      <c r="F4" s="40" t="str">
        <f ca="1">'Results.D+P'!F7</f>
        <v>£258
(£197 to £339)</v>
      </c>
      <c r="G4" s="40" t="str">
        <f ca="1">'Results.D+P'!G7</f>
        <v>£235
(£174 to £316)</v>
      </c>
      <c r="H4" s="40" t="str">
        <f ca="1">'Results.D+P'!J7</f>
        <v>£24
(£7 to £44)</v>
      </c>
      <c r="I4" s="40" t="str">
        <f ca="1">'Results.D+P'!H7</f>
        <v>5.835
(5.761 to 5.910)</v>
      </c>
      <c r="J4" s="40" t="str">
        <f ca="1">'Results.D+P'!I7</f>
        <v>5.852
(5.777 to 5.926)</v>
      </c>
      <c r="K4" s="40" t="str">
        <f ca="1">'Results.D+P'!K7</f>
        <v>−0.017
(−0.021 to −0.012)</v>
      </c>
      <c r="L4" s="40"/>
      <c r="M4" s="40"/>
      <c r="N4" s="40"/>
      <c r="O4" s="79"/>
    </row>
    <row r="5" spans="1:19" ht="12" customHeight="1" x14ac:dyDescent="0.25">
      <c r="A5" s="2"/>
      <c r="C5" s="7"/>
      <c r="E5" t="str">
        <f>'Results.D+P'!E8</f>
        <v>B: No gastroprotection - NSAIDs in people with ulcer history</v>
      </c>
      <c r="F5" s="40" t="str">
        <f ca="1">'Results.D+P'!F10</f>
        <v>£277
(£211 to £365)</v>
      </c>
      <c r="G5" s="40" t="str">
        <f ca="1">'Results.D+P'!G10</f>
        <v>£253
(£188 to £340)</v>
      </c>
      <c r="H5" s="40" t="str">
        <f ca="1">'Results.D+P'!J10</f>
        <v>£24
(£7 to £45)</v>
      </c>
      <c r="I5" s="40" t="str">
        <f ca="1">'Results.D+P'!H10</f>
        <v>6.702
(6.633 to 6.768)</v>
      </c>
      <c r="J5" s="40" t="str">
        <f ca="1">'Results.D+P'!I10</f>
        <v>6.716
(6.645 to 6.784)</v>
      </c>
      <c r="K5" s="40" t="str">
        <f ca="1">'Results.D+P'!K10</f>
        <v>−0.015
(−0.019 to −0.010)</v>
      </c>
      <c r="L5" s="40"/>
      <c r="M5" s="40"/>
      <c r="N5" s="40"/>
      <c r="O5" s="79"/>
    </row>
    <row r="6" spans="1:19" ht="12" customHeight="1" x14ac:dyDescent="0.25">
      <c r="A6" s="2"/>
      <c r="C6" s="7"/>
      <c r="E6" t="str">
        <f>'Results.D+P'!E11</f>
        <v>C: NSAIDs - DOAC/warfarin</v>
      </c>
      <c r="F6" s="40" t="str">
        <f ca="1">'Results.D+P'!F13</f>
        <v>£2,520
(£1,427 to £4,285)</v>
      </c>
      <c r="G6" s="40" t="str">
        <f ca="1">'Results.D+P'!G13</f>
        <v>£1,432
(£1,002 to £1,960)</v>
      </c>
      <c r="H6" s="40" t="str">
        <f ca="1">'Results.D+P'!J13</f>
        <v>£1,087
(£246 to £2,571)</v>
      </c>
      <c r="I6" s="40" t="str">
        <f ca="1">'Results.D+P'!H13</f>
        <v>4.813
(4.605 to 5.020)</v>
      </c>
      <c r="J6" s="40" t="str">
        <f ca="1">'Results.D+P'!I13</f>
        <v>4.906
(4.710 to 5.105)</v>
      </c>
      <c r="K6" s="40" t="str">
        <f ca="1">'Results.D+P'!K13</f>
        <v>−0.092
(−0.175 to −0.037)</v>
      </c>
      <c r="L6" s="40"/>
      <c r="M6" s="40"/>
      <c r="N6" s="40"/>
      <c r="O6" s="79"/>
    </row>
    <row r="7" spans="1:19" ht="12" customHeight="1" x14ac:dyDescent="0.25">
      <c r="A7" s="2"/>
      <c r="C7" s="7"/>
      <c r="E7" t="str">
        <f>'Results.D+P'!E14</f>
        <v>D: NSAIDs - HF</v>
      </c>
      <c r="F7" s="40" t="str">
        <f ca="1">'Results.D+P'!F16</f>
        <v>£12,597
(£8,264 to £17,706)</v>
      </c>
      <c r="G7" s="40" t="str">
        <f ca="1">'Results.D+P'!G16</f>
        <v>£12,585
(£8,258 to £17,664)</v>
      </c>
      <c r="H7" s="40" t="str">
        <f ca="1">'Results.D+P'!J16</f>
        <v>£12
(−£73 to £96)</v>
      </c>
      <c r="I7" s="40" t="str">
        <f ca="1">'Results.D+P'!H16</f>
        <v>3.003
(2.795 to 3.204)</v>
      </c>
      <c r="J7" s="40" t="str">
        <f ca="1">'Results.D+P'!I16</f>
        <v>3.050
(2.840 to 3.252)</v>
      </c>
      <c r="K7" s="40" t="str">
        <f ca="1">'Results.D+P'!K16</f>
        <v>−0.047
(−0.072 to −0.027)</v>
      </c>
      <c r="L7" s="40"/>
      <c r="M7" s="40"/>
      <c r="N7" s="40"/>
      <c r="O7" s="79"/>
    </row>
    <row r="8" spans="1:19" ht="12" customHeight="1" x14ac:dyDescent="0.25">
      <c r="A8" s="2"/>
      <c r="C8" s="7"/>
      <c r="E8" t="str">
        <f>'Results.D+P'!E17</f>
        <v>E: NSAIDs - CKD</v>
      </c>
      <c r="F8" s="40" t="str">
        <f ca="1">'Results.D+P'!F19</f>
        <v>£50,259
(£48,440 to £52,251)</v>
      </c>
      <c r="G8" s="40" t="str">
        <f ca="1">'Results.D+P'!G19</f>
        <v>£50,056
(£48,267 to £51,902)</v>
      </c>
      <c r="H8" s="40" t="str">
        <f ca="1">'Results.D+P'!J19</f>
        <v>£202
(−£149 to £710)</v>
      </c>
      <c r="I8" s="40" t="str">
        <f ca="1">'Results.D+P'!H19</f>
        <v>4.524
(3.849 to 5.055)</v>
      </c>
      <c r="J8" s="40" t="str">
        <f ca="1">'Results.D+P'!I19</f>
        <v>4.633
(3.930 to 5.180)</v>
      </c>
      <c r="K8" s="40" t="str">
        <f ca="1">'Results.D+P'!K19</f>
        <v>−0.109
(−0.197 to −0.040)</v>
      </c>
      <c r="L8" s="40"/>
      <c r="M8" s="40"/>
      <c r="N8" s="40"/>
      <c r="O8" s="79"/>
    </row>
    <row r="9" spans="1:19" ht="12" customHeight="1" thickBot="1" x14ac:dyDescent="0.3">
      <c r="A9" s="2"/>
      <c r="C9" s="7"/>
      <c r="F9" s="40"/>
      <c r="G9" s="40"/>
      <c r="H9" s="40"/>
      <c r="I9" s="40"/>
      <c r="J9" s="40"/>
      <c r="K9" s="40"/>
      <c r="L9" s="40"/>
      <c r="M9" s="40"/>
      <c r="N9" s="40"/>
      <c r="O9" s="79"/>
    </row>
    <row r="10" spans="1:19" ht="12" customHeight="1" thickBot="1" x14ac:dyDescent="0.3">
      <c r="A10" s="2"/>
      <c r="C10" s="7"/>
      <c r="E10" s="112" t="s">
        <v>97</v>
      </c>
      <c r="F10" s="112" t="s">
        <v>725</v>
      </c>
      <c r="G10" s="112" t="s">
        <v>726</v>
      </c>
      <c r="H10" s="40"/>
    </row>
    <row r="11" spans="1:19" ht="12" customHeight="1" x14ac:dyDescent="0.25">
      <c r="A11" s="2"/>
      <c r="C11" s="7"/>
      <c r="D11">
        <v>6</v>
      </c>
      <c r="E11" t="str" cm="1">
        <f t="array" ref="E11" xml:space="preserve"> INDEX(lstQs,D11)</f>
        <v>Expected harm in England: query A</v>
      </c>
      <c r="F11" s="82" t="str" cm="1">
        <f t="array" aca="1" ref="F11" ca="1">_xlfn.LET(_xlpm.arrInc, OFFSET(rngPSA.Samples.Costs, 0, ($D11-1)*6)-OFFSET(rngPSA.Samples.Costs, 0, ($D11-1)*6+2),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£2.54m
(£0.72m to £4.66m)</v>
      </c>
      <c r="G11" s="82" t="str" cm="1">
        <f t="array" aca="1" ref="G11" ca="1">_xlfn.LET(_xlpm.arrInc, OFFSET(rngPSA.Samples.QALYs, 0, ($D11-1)*6)-OFFSET(rngPSA.Samples.Costs, 0, ($D11-1)*6+2),
_xlpm.mean, AVERAGE(_xlpm.arrInc), _xlpm.lo, PERCENTILE(_xlpm.arrInc, 0.025), _xlpm.hi, PERCENTILE(_xlpm.arrInc, 0.975),
_fnSTR.CI(_xlpm.mean, _xlpm.lo, _xlpm.hi, "#,##0;−#,##0", , , CHAR(10), , ""))</f>
        <v>−1,801
(−2,306 to −1,315)</v>
      </c>
      <c r="H11" s="82"/>
    </row>
    <row r="12" spans="1:19" ht="12" customHeight="1" x14ac:dyDescent="0.25">
      <c r="A12" s="2"/>
      <c r="C12" s="7"/>
      <c r="D12">
        <f>D11+1</f>
        <v>7</v>
      </c>
      <c r="E12" t="str" cm="1">
        <f t="array" ref="E12" xml:space="preserve"> INDEX(lstQs,D12)</f>
        <v>Expected harm in England: query B</v>
      </c>
      <c r="F12" s="82" t="str" cm="1">
        <f t="array" aca="1" ref="F12" ca="1">_xlfn.LET(_xlpm.arrInc, OFFSET(rngPSA.Samples.Costs, 0, ($D12-1)*6)-OFFSET(rngPSA.Samples.Costs, 0, ($D12-1)*6+2),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£0.17m
(£0.05m to £0.30m)</v>
      </c>
      <c r="G12" s="82" t="str" cm="1">
        <f t="array" aca="1" ref="G12" ca="1">_xlfn.LET(_xlpm.arrInc, OFFSET(rngPSA.Samples.QALYs, 0, ($D12-1)*6)-OFFSET(rngPSA.Samples.Costs, 0, ($D12-1)*6+2),
_xlpm.mean, AVERAGE(_xlpm.arrInc), _xlpm.lo, PERCENTILE(_xlpm.arrInc, 0.025), _xlpm.hi, PERCENTILE(_xlpm.arrInc, 0.975),
_fnSTR.CI(_xlpm.mean, _xlpm.lo, _xlpm.hi, "#,##0;−#,##0", , , CHAR(10), , ""))</f>
        <v>−100
(−135 to −68)</v>
      </c>
      <c r="H12" s="82"/>
    </row>
    <row r="13" spans="1:19" ht="12" customHeight="1" x14ac:dyDescent="0.25">
      <c r="A13" s="2"/>
      <c r="C13" s="7"/>
      <c r="D13">
        <f>D12+1</f>
        <v>8</v>
      </c>
      <c r="E13" t="str" cm="1">
        <f t="array" ref="E13" xml:space="preserve"> INDEX(lstQs,D13)</f>
        <v>Expected harm in England: query C</v>
      </c>
      <c r="F13" s="82" t="str" cm="1">
        <f t="array" aca="1" ref="F13" ca="1">_xlfn.LET(_xlpm.arrInc, OFFSET(rngPSA.Samples.Costs, 0, ($D13-1)*6)-OFFSET(rngPSA.Samples.Costs, 0, ($D13-1)*6+2),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£25.19m
(£5.71m to £59.55m)</v>
      </c>
      <c r="G13" s="82" t="str" cm="1">
        <f t="array" aca="1" ref="G13" ca="1">_xlfn.LET(_xlpm.arrInc, OFFSET(rngPSA.Samples.QALYs, 0, ($D13-1)*6)-OFFSET(rngPSA.Samples.Costs, 0, ($D13-1)*6+2),
_xlpm.mean, AVERAGE(_xlpm.arrInc), _xlpm.lo, PERCENTILE(_xlpm.arrInc, 0.025), _xlpm.hi, PERCENTILE(_xlpm.arrInc, 0.975),
_fnSTR.CI(_xlpm.mean, _xlpm.lo, _xlpm.hi, "#,##0;−#,##0", , , CHAR(10), , ""))</f>
        <v>−2,137
(−4,070 to −839)</v>
      </c>
      <c r="H13" s="40"/>
      <c r="I13" s="40"/>
      <c r="J13" s="40"/>
      <c r="K13" s="40"/>
      <c r="L13" s="40"/>
      <c r="M13" s="40"/>
      <c r="N13" s="40"/>
      <c r="O13" s="79"/>
    </row>
    <row r="14" spans="1:19" ht="12" customHeight="1" x14ac:dyDescent="0.25">
      <c r="A14" s="2"/>
      <c r="C14" s="7"/>
      <c r="D14">
        <f>D13+1</f>
        <v>9</v>
      </c>
      <c r="E14" t="str" cm="1">
        <f t="array" ref="E14" xml:space="preserve"> INDEX(lstQs,D14)</f>
        <v>Expected harm in England: query D</v>
      </c>
      <c r="F14" s="82" t="str" cm="1">
        <f t="array" aca="1" ref="F14" ca="1">_xlfn.LET(_xlpm.arrInc, OFFSET(rngPSA.Samples.Costs, 0, ($D14-1)*6)-OFFSET(rngPSA.Samples.Costs, 0, ($D14-1)*6+2),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£0.11m
(−£0.66m to £0.87m)</v>
      </c>
      <c r="G14" s="82" t="str" cm="1">
        <f t="array" aca="1" ref="G14" ca="1">_xlfn.LET(_xlpm.arrInc, OFFSET(rngPSA.Samples.QALYs, 0, ($D14-1)*6)-OFFSET(rngPSA.Samples.Costs, 0, ($D14-1)*6+2),
_xlpm.mean, AVERAGE(_xlpm.arrInc), _xlpm.lo, PERCENTILE(_xlpm.arrInc, 0.025), _xlpm.hi, PERCENTILE(_xlpm.arrInc, 0.975),
_fnSTR.CI(_xlpm.mean, _xlpm.lo, _xlpm.hi, "#,##0;−#,##0", , , CHAR(10), , ""))</f>
        <v>−417
(−637 to −248)</v>
      </c>
      <c r="H14" s="82"/>
      <c r="I14" s="40"/>
      <c r="J14" s="40"/>
      <c r="K14" s="40"/>
      <c r="L14" s="40"/>
      <c r="M14" s="40"/>
      <c r="N14" s="40"/>
      <c r="O14" s="79"/>
    </row>
    <row r="15" spans="1:19" ht="12" customHeight="1" x14ac:dyDescent="0.25">
      <c r="A15" s="2"/>
      <c r="C15" s="7"/>
      <c r="D15">
        <f>D14+1</f>
        <v>10</v>
      </c>
      <c r="E15" t="str" cm="1">
        <f t="array" ref="E15" xml:space="preserve"> INDEX(lstQs,D15)</f>
        <v>Expected harm in England: query E</v>
      </c>
      <c r="F15" s="82" t="str" cm="1">
        <f t="array" aca="1" ref="F15" ca="1">_xlfn.LET(_xlpm.arrInc, OFFSET(rngPSA.Samples.Costs, 0, ($D15-1)*6)-OFFSET(rngPSA.Samples.Costs, 0, ($D15-1)*6+2),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£3.20m
(−£2.37m to £11.30m)</v>
      </c>
      <c r="G15" s="82" t="str" cm="1">
        <f t="array" aca="1" ref="G15" ca="1">_xlfn.LET(_xlpm.arrInc, OFFSET(rngPSA.Samples.QALYs, 0, ($D15-1)*6)-OFFSET(rngPSA.Samples.Costs, 0, ($D15-1)*6+2),
_xlpm.mean, AVERAGE(_xlpm.arrInc), _xlpm.lo, PERCENTILE(_xlpm.arrInc, 0.025), _xlpm.hi, PERCENTILE(_xlpm.arrInc, 0.975),
_fnSTR.CI(_xlpm.mean, _xlpm.lo, _xlpm.hi, "#,##0;−#,##0", , , CHAR(10), , ""))</f>
        <v>−1,719
(−3,042 to −626)</v>
      </c>
      <c r="H15" s="82"/>
      <c r="I15" s="40"/>
      <c r="J15" s="40"/>
      <c r="K15" s="40"/>
      <c r="L15" s="40"/>
      <c r="M15" s="40"/>
      <c r="N15" s="40"/>
      <c r="O15" s="79"/>
    </row>
    <row r="16" spans="1:19" ht="12" customHeight="1" x14ac:dyDescent="0.25">
      <c r="A16" s="2"/>
      <c r="C16" s="7"/>
      <c r="D16">
        <f>D15+1</f>
        <v>11</v>
      </c>
      <c r="E16" t="str" cm="1">
        <f t="array" ref="E16" xml:space="preserve"> INDEX(lstQs,D16)</f>
        <v>Expected harm in England: total</v>
      </c>
      <c r="F16" s="82" t="str" cm="1">
        <f t="array" aca="1" ref="F16" ca="1">_xlfn.LET(_xlpm.arrInc, OFFSET(rngPSA.Samples.Costs, 0, ($D16-1)*6)-OFFSET(rngPSA.Samples.Costs, 0, ($D16-1)*6+2),
_xlpm.mean, AVERAGE(_xlpm.arrInc), _xlpm.lo, PERCENTILE(_xlpm.arrInc, 0.025), _xlpm.hi, PERCENTILE(_xlpm.arrInc, 0.975),
_fnSTR.CI(_xlpm.mean, _xlpm.lo, _xlpm.hi, "£0,,.00" &amp; CHAR(34) &amp; "m" &amp; CHAR(34) &amp; ";−£0,,.00" &amp; CHAR(34) &amp; "m" &amp; CHAR(34), , , CHAR(10), , ""))</f>
        <v>£31.20m
(£10.20m to £68.55m)</v>
      </c>
      <c r="G16" s="82" t="str" cm="1">
        <f t="array" aca="1" ref="G16" ca="1">_xlfn.LET(_xlpm.arrInc, OFFSET(rngPSA.Samples.QALYs, 0, ($D16-1)*6)-OFFSET(rngPSA.Samples.Costs, 0, ($D16-1)*6+2),
_xlpm.mean, AVERAGE(_xlpm.arrInc), _xlpm.lo, PERCENTILE(_xlpm.arrInc, 0.025), _xlpm.hi, PERCENTILE(_xlpm.arrInc, 0.975),
_fnSTR.CI(_xlpm.mean, _xlpm.lo, _xlpm.hi, "#,##0;−#,##0", , , CHAR(10), , ""))</f>
        <v>−6,175
(−8,502 to −4,299)</v>
      </c>
      <c r="H16" s="82"/>
      <c r="I16" s="40"/>
      <c r="J16" s="40"/>
      <c r="K16" s="40"/>
      <c r="L16" s="40"/>
      <c r="M16" s="40"/>
      <c r="N16" s="40"/>
      <c r="O16" s="79"/>
    </row>
    <row r="17" spans="1:15" ht="12" customHeight="1" x14ac:dyDescent="0.25">
      <c r="A17" s="2"/>
      <c r="C17" s="7"/>
      <c r="F17" s="82"/>
      <c r="G17" s="82"/>
      <c r="H17" s="82"/>
      <c r="I17" s="40"/>
      <c r="J17" s="40"/>
      <c r="K17" s="40"/>
      <c r="L17" s="40"/>
      <c r="M17" s="40"/>
      <c r="N17" s="40"/>
      <c r="O17" s="79"/>
    </row>
    <row r="18" spans="1:15" ht="12" customHeight="1" thickBot="1" x14ac:dyDescent="0.3">
      <c r="A18" s="2"/>
      <c r="C18" s="7"/>
      <c r="F18" s="40"/>
      <c r="G18" s="40"/>
      <c r="H18" s="40"/>
      <c r="I18" s="40"/>
      <c r="J18" s="40"/>
      <c r="K18" s="40"/>
      <c r="L18" s="40"/>
      <c r="M18" s="40"/>
      <c r="N18" s="40"/>
      <c r="O18" s="79"/>
    </row>
    <row r="19" spans="1:15" ht="12" customHeight="1" thickBot="1" x14ac:dyDescent="0.3">
      <c r="A19" s="2"/>
      <c r="C19" s="7"/>
      <c r="E19" s="453"/>
      <c r="F19" s="456" t="s">
        <v>737</v>
      </c>
      <c r="G19" s="456" t="s">
        <v>769</v>
      </c>
      <c r="H19" s="456" t="s">
        <v>776</v>
      </c>
      <c r="I19" s="456" t="s">
        <v>770</v>
      </c>
      <c r="J19" s="456" t="s">
        <v>777</v>
      </c>
      <c r="K19" s="456" t="s">
        <v>771</v>
      </c>
      <c r="L19" s="40"/>
      <c r="M19" s="40"/>
      <c r="N19" s="40"/>
      <c r="O19" s="79"/>
    </row>
    <row r="20" spans="1:15" ht="12" customHeight="1" thickBot="1" x14ac:dyDescent="0.3">
      <c r="A20" s="2"/>
      <c r="C20" s="7"/>
      <c r="E20" s="454"/>
      <c r="F20" s="456"/>
      <c r="G20" s="456"/>
      <c r="H20" s="456"/>
      <c r="I20" s="456"/>
      <c r="J20" s="456"/>
      <c r="K20" s="456"/>
      <c r="L20" s="40"/>
      <c r="M20" s="40"/>
      <c r="N20" s="40"/>
      <c r="O20" s="79"/>
    </row>
    <row r="21" spans="1:15" ht="12" customHeight="1" thickBot="1" x14ac:dyDescent="0.3">
      <c r="A21" s="2"/>
      <c r="C21" s="7"/>
      <c r="E21" s="455"/>
      <c r="F21" s="456"/>
      <c r="G21" s="456"/>
      <c r="H21" s="456"/>
      <c r="I21" s="456"/>
      <c r="J21" s="456"/>
      <c r="K21" s="456"/>
      <c r="L21" s="40"/>
      <c r="M21" s="40"/>
      <c r="N21" s="40"/>
      <c r="O21" s="79"/>
    </row>
    <row r="22" spans="1:15" ht="12" customHeight="1" x14ac:dyDescent="0.25">
      <c r="A22" s="2"/>
      <c r="C22" s="7"/>
      <c r="E22" t="s">
        <v>772</v>
      </c>
      <c r="F22" s="420" cm="1">
        <f t="array" aca="1" ref="F22:F27" ca="1">Parameters!M1138:M1143</f>
        <v>65.320217492919511</v>
      </c>
      <c r="G22" s="420" cm="1">
        <f t="array" aca="1" ref="G22:G27" ca="1">Parameters!M1152:M1157</f>
        <v>1306.3775576397052</v>
      </c>
      <c r="H22" s="420" cm="1">
        <f t="array" aca="1" ref="H22:H27" ca="1">Parameters!M1159:M1164</f>
        <v>356.11867553309389</v>
      </c>
      <c r="I22" s="420" cm="1">
        <f t="array" aca="1" ref="I22:I27" ca="1">Parameters!M1166:M1171</f>
        <v>0</v>
      </c>
      <c r="J22" s="420" cm="1">
        <f t="array" aca="1" ref="J22:J27" ca="1">Parameters!M1173:M1178</f>
        <v>0</v>
      </c>
      <c r="K22" s="420" cm="1">
        <f t="array" aca="1" ref="K22:K27" ca="1">Parameters!M1180:M1185</f>
        <v>0</v>
      </c>
      <c r="L22" s="40"/>
      <c r="M22" s="40"/>
      <c r="N22" s="40"/>
      <c r="O22" s="79"/>
    </row>
    <row r="23" spans="1:15" ht="12" customHeight="1" x14ac:dyDescent="0.25">
      <c r="A23" s="2"/>
      <c r="C23" s="7"/>
      <c r="E23" t="s">
        <v>867</v>
      </c>
      <c r="F23" s="420">
        <f ca="1"/>
        <v>1.3069802201145679</v>
      </c>
      <c r="G23" s="420">
        <f ca="1"/>
        <v>85.463241069353785</v>
      </c>
      <c r="H23" s="420">
        <f ca="1"/>
        <v>23.306350737886419</v>
      </c>
      <c r="I23" s="420">
        <f ca="1"/>
        <v>0</v>
      </c>
      <c r="J23" s="420">
        <f ca="1"/>
        <v>0</v>
      </c>
      <c r="K23" s="420">
        <f ca="1"/>
        <v>0</v>
      </c>
      <c r="L23" s="40"/>
      <c r="M23" s="40"/>
      <c r="N23" s="40"/>
      <c r="O23" s="79"/>
    </row>
    <row r="24" spans="1:15" ht="12" customHeight="1" x14ac:dyDescent="0.25">
      <c r="A24" s="2"/>
      <c r="C24" s="7"/>
      <c r="E24" t="s">
        <v>773</v>
      </c>
      <c r="F24" s="420">
        <f ca="1"/>
        <v>240.04500766692973</v>
      </c>
      <c r="G24" s="420">
        <f ca="1"/>
        <v>91.352916874992616</v>
      </c>
      <c r="H24" s="420">
        <f ca="1"/>
        <v>1541.0604893370014</v>
      </c>
      <c r="I24" s="420">
        <f ca="1"/>
        <v>1717.1145385730867</v>
      </c>
      <c r="J24" s="420">
        <f ca="1"/>
        <v>0</v>
      </c>
      <c r="K24" s="420">
        <f ca="1"/>
        <v>0</v>
      </c>
      <c r="L24" s="40"/>
      <c r="M24" s="40"/>
      <c r="N24" s="40"/>
      <c r="O24" s="79"/>
    </row>
    <row r="25" spans="1:15" ht="12" customHeight="1" x14ac:dyDescent="0.25">
      <c r="A25" s="2"/>
      <c r="C25" s="7"/>
      <c r="E25" t="s">
        <v>774</v>
      </c>
      <c r="F25" s="420">
        <f ca="1"/>
        <v>24.257399083331102</v>
      </c>
      <c r="G25" s="420">
        <f ca="1"/>
        <v>0</v>
      </c>
      <c r="H25" s="420">
        <f ca="1"/>
        <v>0</v>
      </c>
      <c r="I25" s="420">
        <f ca="1"/>
        <v>0</v>
      </c>
      <c r="J25" s="420">
        <f ca="1"/>
        <v>6748.277620347485</v>
      </c>
      <c r="K25" s="420">
        <f ca="1"/>
        <v>0</v>
      </c>
      <c r="L25" s="40"/>
      <c r="M25" s="40"/>
      <c r="N25" s="40"/>
      <c r="O25" s="79"/>
    </row>
    <row r="26" spans="1:15" ht="12" customHeight="1" x14ac:dyDescent="0.25">
      <c r="A26" s="2"/>
      <c r="C26" s="7"/>
      <c r="E26" t="s">
        <v>775</v>
      </c>
      <c r="F26" s="420">
        <f ca="1"/>
        <v>405.0380485751233</v>
      </c>
      <c r="G26" s="420">
        <f ca="1"/>
        <v>0</v>
      </c>
      <c r="H26" s="420">
        <f ca="1"/>
        <v>0</v>
      </c>
      <c r="I26" s="420">
        <f ca="1"/>
        <v>0</v>
      </c>
      <c r="J26" s="420">
        <f ca="1"/>
        <v>0</v>
      </c>
      <c r="K26" s="420">
        <f ca="1"/>
        <v>3270.8659867144952</v>
      </c>
      <c r="L26" s="40"/>
      <c r="M26" s="40"/>
      <c r="N26" s="40"/>
      <c r="O26" s="79"/>
    </row>
    <row r="27" spans="1:15" ht="12" customHeight="1" x14ac:dyDescent="0.25">
      <c r="A27" s="2"/>
      <c r="C27" s="7"/>
      <c r="E27" t="str">
        <f>Parameters!L1164</f>
        <v>Total</v>
      </c>
      <c r="F27" s="420">
        <f ca="1"/>
        <v>735.96765303841823</v>
      </c>
      <c r="G27" s="420">
        <f ca="1"/>
        <v>1483.1937155840517</v>
      </c>
      <c r="H27" s="420">
        <f ca="1"/>
        <v>1920.4855156079816</v>
      </c>
      <c r="I27" s="420">
        <f ca="1"/>
        <v>1717.1145385730867</v>
      </c>
      <c r="J27" s="420">
        <f ca="1"/>
        <v>6748.277620347485</v>
      </c>
      <c r="K27" s="420">
        <f ca="1"/>
        <v>3270.8659867144952</v>
      </c>
      <c r="L27" s="40"/>
      <c r="M27" s="40"/>
      <c r="N27" s="40"/>
      <c r="O27" s="79"/>
    </row>
    <row r="28" spans="1:15" ht="12" customHeight="1" x14ac:dyDescent="0.25">
      <c r="A28" s="2"/>
      <c r="C28" s="7"/>
    </row>
    <row r="29" spans="1:15" ht="12" customHeight="1" x14ac:dyDescent="0.25">
      <c r="A29" s="2"/>
      <c r="C29" s="7"/>
    </row>
    <row r="30" spans="1:15" ht="12" customHeight="1" x14ac:dyDescent="0.25">
      <c r="A30" s="2"/>
      <c r="C30" s="7"/>
    </row>
    <row r="31" spans="1:15" ht="12" customHeight="1" x14ac:dyDescent="0.25">
      <c r="A31" s="2"/>
      <c r="C31" s="7"/>
    </row>
    <row r="32" spans="1:15" ht="12" customHeight="1" x14ac:dyDescent="0.25">
      <c r="A32" s="2"/>
      <c r="C32" s="7"/>
    </row>
    <row r="33" spans="1:3" ht="12" customHeight="1" x14ac:dyDescent="0.25">
      <c r="A33" s="2"/>
      <c r="C33" s="7"/>
    </row>
    <row r="34" spans="1:3" ht="12" customHeight="1" x14ac:dyDescent="0.25">
      <c r="A34" s="2"/>
      <c r="C34" s="7"/>
    </row>
    <row r="35" spans="1:3" ht="12" customHeight="1" x14ac:dyDescent="0.25">
      <c r="A35" s="2"/>
      <c r="C35" s="7"/>
    </row>
    <row r="36" spans="1:3" ht="12" customHeight="1" x14ac:dyDescent="0.25">
      <c r="A36" s="2"/>
      <c r="C36" s="7"/>
    </row>
    <row r="37" spans="1:3" ht="12" customHeight="1" x14ac:dyDescent="0.25">
      <c r="A37" s="2"/>
      <c r="C37" s="7"/>
    </row>
    <row r="38" spans="1:3" ht="12" customHeight="1" x14ac:dyDescent="0.25">
      <c r="A38" s="2"/>
      <c r="C38" s="7"/>
    </row>
    <row r="39" spans="1:3" ht="12" customHeight="1" x14ac:dyDescent="0.25">
      <c r="A39" s="2"/>
      <c r="C39" s="7"/>
    </row>
    <row r="40" spans="1:3" ht="12" customHeight="1" x14ac:dyDescent="0.25">
      <c r="A40" s="2"/>
      <c r="C40" s="7"/>
    </row>
    <row r="41" spans="1:3" ht="12" customHeight="1" x14ac:dyDescent="0.25">
      <c r="A41" s="2"/>
      <c r="C41" s="7"/>
    </row>
    <row r="42" spans="1:3" ht="12" customHeight="1" x14ac:dyDescent="0.25">
      <c r="A42" s="2"/>
      <c r="C42" s="7"/>
    </row>
    <row r="43" spans="1:3" ht="12" customHeight="1" x14ac:dyDescent="0.25">
      <c r="A43" s="2"/>
      <c r="C43" s="7"/>
    </row>
    <row r="44" spans="1:3" ht="12" customHeight="1" x14ac:dyDescent="0.25">
      <c r="A44" s="2"/>
      <c r="C44" s="7"/>
    </row>
    <row r="45" spans="1:3" ht="12" customHeight="1" x14ac:dyDescent="0.25">
      <c r="A45" s="2"/>
      <c r="C45" s="7"/>
    </row>
    <row r="46" spans="1:3" ht="12" customHeight="1" x14ac:dyDescent="0.25">
      <c r="A46" s="2"/>
      <c r="C46" s="7"/>
    </row>
    <row r="47" spans="1:3" ht="12" customHeight="1" x14ac:dyDescent="0.25">
      <c r="A47" s="2"/>
      <c r="C47" s="7"/>
    </row>
    <row r="48" spans="1:3" ht="12" customHeight="1" x14ac:dyDescent="0.25">
      <c r="A48" s="2"/>
      <c r="C48" s="7"/>
    </row>
    <row r="49" spans="1:3" ht="12" customHeight="1" x14ac:dyDescent="0.25">
      <c r="A49" s="2"/>
      <c r="C49" s="7"/>
    </row>
    <row r="50" spans="1:3" ht="12" customHeight="1" x14ac:dyDescent="0.25">
      <c r="A50" s="2"/>
      <c r="C50" s="7"/>
    </row>
    <row r="51" spans="1:3" ht="12" customHeight="1" x14ac:dyDescent="0.25">
      <c r="A51" s="2"/>
      <c r="C51" s="7"/>
    </row>
    <row r="52" spans="1:3" ht="12" customHeight="1" x14ac:dyDescent="0.25">
      <c r="A52" s="2"/>
      <c r="C52" s="7"/>
    </row>
    <row r="53" spans="1:3" ht="12" customHeight="1" x14ac:dyDescent="0.25">
      <c r="A53" s="2"/>
      <c r="C53" s="7"/>
    </row>
    <row r="54" spans="1:3" ht="12" customHeight="1" x14ac:dyDescent="0.25">
      <c r="A54" s="2"/>
      <c r="C54" s="7"/>
    </row>
    <row r="55" spans="1:3" ht="12" customHeight="1" x14ac:dyDescent="0.25">
      <c r="A55" s="2"/>
      <c r="C55" s="7"/>
    </row>
    <row r="56" spans="1:3" ht="12" customHeight="1" x14ac:dyDescent="0.25">
      <c r="A56" s="2"/>
      <c r="C56" s="7"/>
    </row>
    <row r="57" spans="1:3" ht="12" customHeight="1" x14ac:dyDescent="0.25">
      <c r="A57" s="2"/>
      <c r="C57" s="7"/>
    </row>
    <row r="58" spans="1:3" ht="12" customHeight="1" x14ac:dyDescent="0.25">
      <c r="A58" s="2"/>
      <c r="C58" s="7"/>
    </row>
    <row r="59" spans="1:3" ht="12" customHeight="1" x14ac:dyDescent="0.25">
      <c r="A59" s="2"/>
      <c r="C59" s="7"/>
    </row>
    <row r="60" spans="1:3" ht="12" customHeight="1" x14ac:dyDescent="0.25">
      <c r="A60" s="2"/>
      <c r="C60" s="7"/>
    </row>
    <row r="61" spans="1:3" ht="12" customHeight="1" x14ac:dyDescent="0.25">
      <c r="A61" s="2"/>
      <c r="C61" s="7"/>
    </row>
    <row r="62" spans="1:3" ht="12" customHeight="1" x14ac:dyDescent="0.25">
      <c r="A62" s="2"/>
      <c r="C62" s="7"/>
    </row>
    <row r="63" spans="1:3" ht="12" customHeight="1" x14ac:dyDescent="0.25">
      <c r="A63" s="2"/>
      <c r="C63" s="7"/>
    </row>
    <row r="64" spans="1:3" ht="12" customHeight="1" x14ac:dyDescent="0.25">
      <c r="A64" s="2"/>
      <c r="C64" s="7"/>
    </row>
    <row r="65" spans="1:3" ht="12" customHeight="1" x14ac:dyDescent="0.25">
      <c r="A65" s="2"/>
      <c r="C65" s="7"/>
    </row>
    <row r="66" spans="1:3" ht="12" customHeight="1" x14ac:dyDescent="0.25">
      <c r="A66" s="2"/>
      <c r="C66" s="7"/>
    </row>
    <row r="67" spans="1:3" ht="12" customHeight="1" x14ac:dyDescent="0.25">
      <c r="A67" s="2"/>
      <c r="C67" s="7"/>
    </row>
    <row r="68" spans="1:3" ht="12" customHeight="1" x14ac:dyDescent="0.25">
      <c r="A68" s="2"/>
      <c r="C68" s="7"/>
    </row>
    <row r="69" spans="1:3" ht="12" customHeight="1" x14ac:dyDescent="0.25">
      <c r="A69" s="2"/>
      <c r="C69" s="7"/>
    </row>
    <row r="70" spans="1:3" ht="12" customHeight="1" x14ac:dyDescent="0.25">
      <c r="A70" s="2"/>
      <c r="C70" s="7"/>
    </row>
    <row r="71" spans="1:3" ht="12" customHeight="1" x14ac:dyDescent="0.25">
      <c r="A71" s="2"/>
      <c r="C71" s="7"/>
    </row>
    <row r="72" spans="1:3" ht="12" customHeight="1" x14ac:dyDescent="0.25">
      <c r="A72" s="2"/>
      <c r="C72" s="7"/>
    </row>
    <row r="73" spans="1:3" ht="12" customHeight="1" x14ac:dyDescent="0.25">
      <c r="A73" s="2"/>
      <c r="C73" s="7"/>
    </row>
    <row r="74" spans="1:3" ht="12" customHeight="1" x14ac:dyDescent="0.25">
      <c r="A74" s="2"/>
      <c r="C74" s="7"/>
    </row>
    <row r="75" spans="1:3" ht="12" customHeight="1" x14ac:dyDescent="0.25">
      <c r="A75" s="2"/>
      <c r="C75" s="7"/>
    </row>
    <row r="76" spans="1:3" ht="12" customHeight="1" x14ac:dyDescent="0.25">
      <c r="A76" s="2"/>
      <c r="C76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285" spans="1:3" ht="12" customHeight="1" x14ac:dyDescent="0.25">
      <c r="A285" s="2"/>
      <c r="C285" s="7"/>
    </row>
    <row r="286" spans="1:3" ht="12" customHeight="1" x14ac:dyDescent="0.25">
      <c r="A286" s="2"/>
      <c r="C286" s="7"/>
    </row>
    <row r="287" spans="1:3" ht="12" customHeight="1" x14ac:dyDescent="0.25">
      <c r="A287" s="2"/>
      <c r="C287" s="7"/>
    </row>
    <row r="288" spans="1:3" ht="12" customHeight="1" x14ac:dyDescent="0.25">
      <c r="A288" s="2"/>
      <c r="C288" s="7"/>
    </row>
    <row r="289" spans="1:3" ht="12" customHeight="1" x14ac:dyDescent="0.25">
      <c r="A289" s="2"/>
      <c r="C289" s="7"/>
    </row>
    <row r="290" spans="1:3" ht="12" customHeight="1" x14ac:dyDescent="0.25">
      <c r="A290" s="2"/>
      <c r="C290" s="7"/>
    </row>
    <row r="291" spans="1:3" ht="12" customHeight="1" x14ac:dyDescent="0.25">
      <c r="A291" s="2"/>
      <c r="C291" s="7"/>
    </row>
    <row r="292" spans="1:3" ht="12" customHeight="1" x14ac:dyDescent="0.25">
      <c r="A292" s="2"/>
      <c r="C292" s="7"/>
    </row>
    <row r="293" spans="1:3" ht="12" customHeight="1" x14ac:dyDescent="0.25">
      <c r="A293" s="2"/>
      <c r="C293" s="7"/>
    </row>
    <row r="294" spans="1:3" ht="12" customHeight="1" x14ac:dyDescent="0.25">
      <c r="A294" s="2"/>
      <c r="C294" s="7"/>
    </row>
    <row r="295" spans="1:3" ht="12" customHeight="1" x14ac:dyDescent="0.25">
      <c r="A295" s="2"/>
      <c r="C295" s="7"/>
    </row>
    <row r="296" spans="1:3" ht="12" customHeight="1" x14ac:dyDescent="0.25">
      <c r="A296" s="2"/>
      <c r="C296" s="7"/>
    </row>
    <row r="297" spans="1:3" ht="12" customHeight="1" x14ac:dyDescent="0.25">
      <c r="A297" s="2"/>
      <c r="C297" s="7"/>
    </row>
    <row r="298" spans="1:3" ht="12" customHeight="1" x14ac:dyDescent="0.25">
      <c r="A298" s="2"/>
      <c r="C298" s="7"/>
    </row>
    <row r="299" spans="1:3" ht="12" customHeight="1" x14ac:dyDescent="0.25">
      <c r="A299" s="2"/>
      <c r="C299" s="7"/>
    </row>
    <row r="317" spans="1:3" ht="12" customHeight="1" x14ac:dyDescent="0.25">
      <c r="A317" s="2"/>
      <c r="C317" s="7"/>
    </row>
    <row r="318" spans="1:3" ht="12" customHeight="1" x14ac:dyDescent="0.25">
      <c r="A318" s="2"/>
      <c r="C318" s="7"/>
    </row>
    <row r="319" spans="1:3" ht="12" customHeight="1" x14ac:dyDescent="0.25">
      <c r="A319" s="2"/>
      <c r="C319" s="7"/>
    </row>
    <row r="320" spans="1:3" ht="12" customHeight="1" x14ac:dyDescent="0.25">
      <c r="A320" s="2"/>
      <c r="C320" s="7"/>
    </row>
    <row r="321" spans="1:3" ht="12" customHeight="1" x14ac:dyDescent="0.25">
      <c r="A321" s="2"/>
      <c r="C321" s="7"/>
    </row>
    <row r="322" spans="1:3" ht="12" customHeight="1" x14ac:dyDescent="0.25">
      <c r="A322" s="2"/>
      <c r="C322" s="7"/>
    </row>
    <row r="323" spans="1:3" ht="12" customHeight="1" x14ac:dyDescent="0.25">
      <c r="A323" s="2"/>
      <c r="C323" s="7"/>
    </row>
    <row r="324" spans="1:3" ht="12" customHeight="1" x14ac:dyDescent="0.25">
      <c r="A324" s="2"/>
      <c r="C324" s="7"/>
    </row>
    <row r="325" spans="1:3" ht="12" customHeight="1" x14ac:dyDescent="0.25">
      <c r="A325" s="2"/>
      <c r="C325" s="7"/>
    </row>
    <row r="326" spans="1:3" ht="12" customHeight="1" x14ac:dyDescent="0.25">
      <c r="A326" s="2"/>
      <c r="C326" s="7"/>
    </row>
    <row r="327" spans="1:3" ht="12" customHeight="1" x14ac:dyDescent="0.25">
      <c r="A327" s="2"/>
      <c r="C327" s="7"/>
    </row>
    <row r="328" spans="1:3" ht="12" customHeight="1" x14ac:dyDescent="0.25">
      <c r="A328" s="2"/>
      <c r="C328" s="7"/>
    </row>
    <row r="329" spans="1:3" ht="12" customHeight="1" x14ac:dyDescent="0.25">
      <c r="A329" s="2"/>
      <c r="C329" s="7"/>
    </row>
    <row r="330" spans="1:3" ht="12" customHeight="1" x14ac:dyDescent="0.25">
      <c r="A330" s="2"/>
      <c r="C330" s="7"/>
    </row>
    <row r="331" spans="1:3" ht="12" customHeight="1" x14ac:dyDescent="0.25">
      <c r="A331" s="2"/>
      <c r="C331" s="7"/>
    </row>
    <row r="332" spans="1:3" ht="12" customHeight="1" x14ac:dyDescent="0.25">
      <c r="A332" s="2"/>
      <c r="C332" s="7"/>
    </row>
    <row r="333" spans="1:3" ht="12" customHeight="1" x14ac:dyDescent="0.25">
      <c r="A333" s="2"/>
      <c r="C333" s="7"/>
    </row>
    <row r="334" spans="1:3" ht="12" customHeight="1" x14ac:dyDescent="0.25">
      <c r="A334" s="2"/>
      <c r="C334" s="7"/>
    </row>
    <row r="335" spans="1:3" ht="12" customHeight="1" x14ac:dyDescent="0.25">
      <c r="A335" s="2"/>
      <c r="C335" s="7"/>
    </row>
    <row r="336" spans="1:3" ht="12" customHeight="1" x14ac:dyDescent="0.25">
      <c r="A336" s="2"/>
      <c r="C336" s="7"/>
    </row>
    <row r="337" spans="1:3" ht="12" customHeight="1" x14ac:dyDescent="0.25">
      <c r="A337" s="2"/>
      <c r="C337" s="7"/>
    </row>
  </sheetData>
  <mergeCells count="9">
    <mergeCell ref="F2:G2"/>
    <mergeCell ref="I2:J2"/>
    <mergeCell ref="E19:E21"/>
    <mergeCell ref="K19:K21"/>
    <mergeCell ref="F19:F21"/>
    <mergeCell ref="G19:G21"/>
    <mergeCell ref="H19:H21"/>
    <mergeCell ref="I19:I21"/>
    <mergeCell ref="J19:J2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9EA8-56A3-4408-842F-7576BD8F8A26}">
  <sheetPr codeName="Sheet1">
    <tabColor rgb="FFFF0000"/>
  </sheetPr>
  <dimension ref="A1:V322"/>
  <sheetViews>
    <sheetView zoomScaleNormal="100" workbookViewId="0">
      <pane xSplit="4" ySplit="1" topLeftCell="E3" activePane="bottomRight" state="frozen"/>
      <selection activeCell="E7" sqref="E7"/>
      <selection pane="topRight" activeCell="E7" sqref="E7"/>
      <selection pane="bottomLeft" activeCell="E7" sqref="E7"/>
      <selection pane="bottomRight" activeCell="E3" sqref="E3:E4"/>
    </sheetView>
  </sheetViews>
  <sheetFormatPr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9.140625" hidden="1" customWidth="1"/>
    <col min="5" max="5" width="22.140625" customWidth="1"/>
    <col min="6" max="7" width="26.5703125" style="40" customWidth="1"/>
    <col min="8" max="9" width="21.42578125" style="40" customWidth="1"/>
    <col min="10" max="10" width="17.28515625" style="40" customWidth="1"/>
    <col min="11" max="11" width="24.42578125" style="40" customWidth="1"/>
    <col min="12" max="12" width="21" style="40" customWidth="1"/>
    <col min="13" max="14" width="8.7109375" style="40" customWidth="1"/>
    <col min="15" max="15" width="21.28515625" style="79" customWidth="1"/>
  </cols>
  <sheetData>
    <row r="1" spans="1:22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F1" s="5"/>
      <c r="G1" s="5"/>
      <c r="H1" s="5"/>
      <c r="I1" s="5"/>
      <c r="J1" s="5"/>
      <c r="K1" s="5"/>
      <c r="L1" s="5"/>
      <c r="M1" s="5"/>
      <c r="N1" s="5"/>
      <c r="O1" s="4"/>
      <c r="P1" s="5"/>
      <c r="Q1" s="5"/>
      <c r="R1" s="5"/>
      <c r="S1" s="5"/>
      <c r="T1" s="5"/>
      <c r="V1" s="5"/>
    </row>
    <row r="2" spans="1:22" ht="12" hidden="1" customHeight="1" thickTop="1" thickBot="1" x14ac:dyDescent="0.3">
      <c r="A2" s="2"/>
      <c r="C2" s="7"/>
      <c r="F2" s="40">
        <v>1</v>
      </c>
      <c r="G2" s="40">
        <v>2</v>
      </c>
      <c r="H2" s="40">
        <v>1</v>
      </c>
      <c r="I2" s="40">
        <v>2</v>
      </c>
      <c r="L2" s="40">
        <v>1</v>
      </c>
      <c r="M2" s="40">
        <v>2</v>
      </c>
    </row>
    <row r="3" spans="1:22" ht="12" customHeight="1" thickTop="1" thickBot="1" x14ac:dyDescent="0.3">
      <c r="A3" s="2"/>
      <c r="C3" s="7"/>
      <c r="E3" s="458"/>
      <c r="F3" s="452" t="s">
        <v>327</v>
      </c>
      <c r="G3" s="452"/>
      <c r="H3" s="452" t="s">
        <v>711</v>
      </c>
      <c r="I3" s="452"/>
      <c r="J3" s="452" t="s">
        <v>328</v>
      </c>
      <c r="K3" s="452"/>
      <c r="L3" s="452" t="s">
        <v>738</v>
      </c>
      <c r="M3" s="452"/>
      <c r="N3" s="457"/>
    </row>
    <row r="4" spans="1:22" ht="12" customHeight="1" thickBot="1" x14ac:dyDescent="0.3">
      <c r="A4" s="2"/>
      <c r="C4" s="7"/>
      <c r="E4" s="459"/>
      <c r="F4" s="112" t="s">
        <v>97</v>
      </c>
      <c r="G4" s="112" t="s">
        <v>331</v>
      </c>
      <c r="H4" s="112" t="s">
        <v>97</v>
      </c>
      <c r="I4" s="112" t="s">
        <v>331</v>
      </c>
      <c r="J4" s="112" t="s">
        <v>329</v>
      </c>
      <c r="K4" s="112" t="s">
        <v>330</v>
      </c>
      <c r="L4" s="112" t="s">
        <v>97</v>
      </c>
      <c r="M4" s="112" t="s">
        <v>331</v>
      </c>
      <c r="N4" s="112" t="s">
        <v>328</v>
      </c>
    </row>
    <row r="5" spans="1:22" s="179" customFormat="1" ht="12" customHeight="1" thickBot="1" x14ac:dyDescent="0.3">
      <c r="A5" s="2"/>
      <c r="B5" s="6"/>
      <c r="C5" s="7"/>
      <c r="D5" s="179">
        <v>1</v>
      </c>
      <c r="E5" s="179" t="str" cm="1">
        <f t="array" ref="E5">INDEX(lstQs, D6)</f>
        <v>A: No gastroprotection - NSAIDs in people &gt;65</v>
      </c>
      <c r="F5" s="196"/>
      <c r="G5" s="196"/>
      <c r="H5" s="196"/>
      <c r="I5" s="196"/>
      <c r="J5" s="196"/>
      <c r="K5" s="196"/>
      <c r="L5" s="196"/>
      <c r="M5" s="196"/>
      <c r="N5" s="196"/>
      <c r="O5" s="381"/>
    </row>
    <row r="6" spans="1:22" ht="12" customHeight="1" x14ac:dyDescent="0.25">
      <c r="A6" s="2"/>
      <c r="C6" s="7"/>
      <c r="D6">
        <v>1</v>
      </c>
      <c r="E6" t="s">
        <v>561</v>
      </c>
      <c r="F6" s="422">
        <f ca="1">SUMIFS('Results.Determ'!$Y$9:$Y$99, 'Results.Determ'!$W$9:$W$99, F$2, 'Results.Determ'!$D$9:$D$99, $D6)</f>
        <v>255.59046007705604</v>
      </c>
      <c r="G6" s="422">
        <f ca="1">SUMIFS('Results.Determ'!$Y$9:$Y$99, 'Results.Determ'!$W$9:$W$99, G$2, 'Results.Determ'!$D$9:$D$99, $D6)</f>
        <v>231.77820725228736</v>
      </c>
      <c r="H6" s="329">
        <f ca="1">SUMIFS('Results.Determ'!$Z$9:$Z$99, 'Results.Determ'!$W$9:$W$99, F$2, 'Results.Determ'!$D$9:$D$99, $D6)</f>
        <v>5.8367257516273154</v>
      </c>
      <c r="I6" s="329">
        <f ca="1">SUMIFS('Results.Determ'!$Z$9:$Z$99, 'Results.Determ'!$W$9:$W$99, G$2, 'Results.Determ'!$D$9:$D$99, $D6)</f>
        <v>5.8534862635546148</v>
      </c>
      <c r="J6" s="423">
        <f ca="1">F6-G6</f>
        <v>23.812252824768677</v>
      </c>
      <c r="K6" s="424">
        <f ca="1">H6-I6</f>
        <v>-1.6760511927299326E-2</v>
      </c>
      <c r="L6" s="329">
        <f ca="1">SUMIFS('Results.Determ'!$AB$9:$AB$99, 'Results.Determ'!$W$9:$W$99, L$2, 'Results.Determ'!$D$9:$D$99, $D6)</f>
        <v>0.23233171061801591</v>
      </c>
      <c r="M6" s="329">
        <f ca="1">SUMIFS('Results.Determ'!$AB$9:$AB$99, 'Results.Determ'!$W$9:$W$99, M$2, 'Results.Determ'!$D$9:$D$99, $D6)</f>
        <v>0.23172393111863668</v>
      </c>
      <c r="N6" s="424">
        <f ca="1">L6-M6</f>
        <v>6.0777949937923514E-4</v>
      </c>
    </row>
    <row r="7" spans="1:22" ht="12" customHeight="1" thickBot="1" x14ac:dyDescent="0.3">
      <c r="A7" s="2"/>
      <c r="C7" s="7"/>
      <c r="D7">
        <v>1</v>
      </c>
      <c r="E7" t="s">
        <v>562</v>
      </c>
      <c r="F7" s="40" t="str">
        <f ca="1">TEXT(OFFSET('Results.Prob'!$AI$9, ($D7-1)*3+(F$2-1), 0), "£#,##0;−£#,##0") &amp; CHAR(10) &amp; OFFSET('Results.Prob'!$AJ$9, ($D7-1)*3+(F$2-1), 0)</f>
        <v>£258
(£197 to £339)</v>
      </c>
      <c r="G7" s="40" t="str">
        <f ca="1">TEXT(OFFSET('Results.Prob'!$AI$9, ($D7-1)*3+(G$2-1), 0), "£#,##0;−£#,##0") &amp; CHAR(10) &amp; OFFSET('Results.Prob'!$AJ$9, ($D7-1)*3+(G$2-1), 0)</f>
        <v>£235
(£174 to £316)</v>
      </c>
      <c r="H7" s="40" t="str">
        <f ca="1">TEXT(OFFSET('Results.Prob'!$AK$9, ($D7-1)*3+(H$2-1), 0), "0.000;−0.000") &amp; CHAR(10) &amp; OFFSET('Results.Prob'!$AL$9, ($D7-1)*3+(H$2-1), 0)</f>
        <v>5.835
(5.761 to 5.910)</v>
      </c>
      <c r="I7" s="40" t="str">
        <f ca="1">TEXT(OFFSET('Results.Prob'!$AK$9, ($D7-1)*3+(I$2-1), 0), "0.000;−0.000") &amp; CHAR(10) &amp; OFFSET('Results.Prob'!$AL$9, ($D7-1)*3+(I$2-1), 0)</f>
        <v>5.852
(5.777 to 5.926)</v>
      </c>
      <c r="J7" s="40" t="str">
        <f ca="1">IF('Results.Prob'!W9="-", TEXT('Results.Prob'!W10, "£#,##0;−£#,##0") &amp; CHAR(10) &amp; 'Results.Prob'!X10, TEXT('Results.Prob'!W9, "£#,##0;−£#,##0") &amp; CHAR(10) &amp; 'Results.Prob'!X9)</f>
        <v>£24
(£7 to £44)</v>
      </c>
      <c r="K7" s="40" t="str">
        <f ca="1">IF('Results.Prob'!Y9="-", TEXT('Results.Prob'!Y10, "0.000;−0.000") &amp; CHAR(10) &amp; 'Results.Prob'!Z10, TEXT('Results.Prob'!Y9, "0.000;−0.000") &amp; CHAR(10) &amp; 'Results.Prob'!Z9)</f>
        <v>−0.017
(−0.021 to −0.012)</v>
      </c>
    </row>
    <row r="8" spans="1:22" s="179" customFormat="1" ht="12" customHeight="1" thickBot="1" x14ac:dyDescent="0.3">
      <c r="A8" s="2"/>
      <c r="B8" s="6"/>
      <c r="C8" s="7"/>
      <c r="D8" s="179">
        <f>D5+1</f>
        <v>2</v>
      </c>
      <c r="E8" s="179" t="str" cm="1">
        <f t="array" ref="E8">INDEX(lstQs, D9)</f>
        <v>B: No gastroprotection - NSAIDs in people with ulcer history</v>
      </c>
      <c r="F8" s="196"/>
      <c r="G8" s="196"/>
      <c r="H8" s="196"/>
      <c r="I8" s="196"/>
      <c r="J8" s="196"/>
      <c r="K8" s="196"/>
      <c r="L8" s="196"/>
      <c r="M8" s="196"/>
      <c r="N8" s="196"/>
      <c r="O8" s="381"/>
    </row>
    <row r="9" spans="1:22" ht="12" customHeight="1" x14ac:dyDescent="0.25">
      <c r="A9" s="2"/>
      <c r="C9" s="7"/>
      <c r="D9">
        <f>D8</f>
        <v>2</v>
      </c>
      <c r="E9" t="s">
        <v>561</v>
      </c>
      <c r="F9" s="422">
        <f ca="1">SUMIFS('Results.Determ'!$Y$9:$Y$99, 'Results.Determ'!$W$9:$W$99, F$2, 'Results.Determ'!$D$9:$D$99, $D9)</f>
        <v>274.2912485058751</v>
      </c>
      <c r="G9" s="422">
        <f ca="1">SUMIFS('Results.Determ'!$Y$9:$Y$99, 'Results.Determ'!$W$9:$W$99, G$2, 'Results.Determ'!$D$9:$D$99, $D9)</f>
        <v>249.90391281788305</v>
      </c>
      <c r="H9" s="329">
        <f ca="1">SUMIFS('Results.Determ'!$Z$9:$Z$99, 'Results.Determ'!$W$9:$W$99, F$2, 'Results.Determ'!$D$9:$D$99, $D9)</f>
        <v>6.7005639979077802</v>
      </c>
      <c r="I9" s="329">
        <f ca="1">SUMIFS('Results.Determ'!$Z$9:$Z$99, 'Results.Determ'!$W$9:$W$99, G$2, 'Results.Determ'!$D$9:$D$99, $D9)</f>
        <v>6.7151149682116973</v>
      </c>
      <c r="J9" s="423">
        <f ca="1">F9-G9</f>
        <v>24.387335687992049</v>
      </c>
      <c r="K9" s="424">
        <f ca="1">H9-I9</f>
        <v>-1.4550970303917055E-2</v>
      </c>
      <c r="L9" s="329">
        <f ca="1">SUMIFS('Results.Determ'!$AB$9:$AB$99, 'Results.Determ'!$W$9:$W$99, L$2, 'Results.Determ'!$D$9:$D$99, $D9)</f>
        <v>6.0997905967087658E-2</v>
      </c>
      <c r="M9" s="329">
        <f ca="1">SUMIFS('Results.Determ'!$AB$9:$AB$99, 'Results.Determ'!$W$9:$W$99, M$2, 'Results.Determ'!$D$9:$D$99, $D9)</f>
        <v>6.080759941093624E-2</v>
      </c>
      <c r="N9" s="424">
        <f ca="1">L9-M9</f>
        <v>1.9030655615141778E-4</v>
      </c>
    </row>
    <row r="10" spans="1:22" ht="12" customHeight="1" thickBot="1" x14ac:dyDescent="0.3">
      <c r="A10" s="2"/>
      <c r="C10" s="7"/>
      <c r="D10">
        <f>D9</f>
        <v>2</v>
      </c>
      <c r="E10" t="s">
        <v>562</v>
      </c>
      <c r="F10" s="40" t="str">
        <f ca="1">TEXT(OFFSET('Results.Prob'!$AI$9, ($D10-1)*3+(F$2-1), 0), "£#,##0;−£#,##0") &amp; CHAR(10) &amp; OFFSET('Results.Prob'!$AJ$9, ($D10-1)*3+(F$2-1), 0)</f>
        <v>£277
(£211 to £365)</v>
      </c>
      <c r="G10" s="40" t="str">
        <f ca="1">TEXT(OFFSET('Results.Prob'!$AI$9, ($D10-1)*3+(G$2-1), 0), "£#,##0;−£#,##0") &amp; CHAR(10) &amp; OFFSET('Results.Prob'!$AJ$9, ($D10-1)*3+(G$2-1), 0)</f>
        <v>£253
(£188 to £340)</v>
      </c>
      <c r="H10" s="40" t="str">
        <f ca="1">TEXT(OFFSET('Results.Prob'!$AK$9, ($D10-1)*3+(H$2-1), 0), "0.000;−0.000") &amp; CHAR(10) &amp; OFFSET('Results.Prob'!$AL$9, ($D10-1)*3+(H$2-1), 0)</f>
        <v>6.702
(6.633 to 6.768)</v>
      </c>
      <c r="I10" s="40" t="str">
        <f ca="1">TEXT(OFFSET('Results.Prob'!$AK$9, ($D10-1)*3+(I$2-1), 0), "0.000;−0.000") &amp; CHAR(10) &amp; OFFSET('Results.Prob'!$AL$9, ($D10-1)*3+(I$2-1), 0)</f>
        <v>6.716
(6.645 to 6.784)</v>
      </c>
      <c r="J10" s="40" t="str">
        <f ca="1">IF('Results.Prob'!W12="-", TEXT('Results.Prob'!W13, "£#,##0;−£#,##0") &amp; CHAR(10) &amp; 'Results.Prob'!X13, TEXT('Results.Prob'!W12, "£#,##0;−£#,##0") &amp; CHAR(10) &amp; 'Results.Prob'!X12)</f>
        <v>£24
(£7 to £45)</v>
      </c>
      <c r="K10" s="40" t="str">
        <f ca="1">IF('Results.Prob'!Y12="-", TEXT('Results.Prob'!Y13, "0.000;−0.000") &amp; CHAR(10) &amp; 'Results.Prob'!Z13, TEXT('Results.Prob'!Y12, "0.000;−0.000") &amp; CHAR(10) &amp; 'Results.Prob'!Z12)</f>
        <v>−0.015
(−0.019 to −0.010)</v>
      </c>
    </row>
    <row r="11" spans="1:22" s="179" customFormat="1" ht="12" customHeight="1" thickBot="1" x14ac:dyDescent="0.3">
      <c r="A11" s="2"/>
      <c r="B11" s="6"/>
      <c r="C11" s="7"/>
      <c r="D11" s="179">
        <f>D8+1</f>
        <v>3</v>
      </c>
      <c r="E11" s="179" t="str" cm="1">
        <f t="array" ref="E11">INDEX(lstQs, D12)</f>
        <v>C: NSAIDs - DOAC/warfarin</v>
      </c>
      <c r="F11" s="196"/>
      <c r="G11" s="196"/>
      <c r="H11" s="196"/>
      <c r="I11" s="196"/>
      <c r="J11" s="196"/>
      <c r="K11" s="196"/>
      <c r="L11" s="196"/>
      <c r="M11" s="196"/>
      <c r="N11" s="196"/>
      <c r="O11" s="381"/>
    </row>
    <row r="12" spans="1:22" ht="12" customHeight="1" x14ac:dyDescent="0.25">
      <c r="A12" s="2"/>
      <c r="C12" s="7"/>
      <c r="D12">
        <f>D11</f>
        <v>3</v>
      </c>
      <c r="E12" t="s">
        <v>561</v>
      </c>
      <c r="F12" s="422">
        <f ca="1">SUMIFS('Results.Determ'!$Y$9:$Y$99, 'Results.Determ'!$W$9:$W$99, F$2, 'Results.Determ'!$D$9:$D$99, $D12)</f>
        <v>2443.3890750479381</v>
      </c>
      <c r="G12" s="422">
        <f ca="1">SUMIFS('Results.Determ'!$Y$9:$Y$99, 'Results.Determ'!$W$9:$W$99, G$2, 'Results.Determ'!$D$9:$D$99, $D12)</f>
        <v>1423.4485006714249</v>
      </c>
      <c r="H12" s="329">
        <f ca="1">SUMIFS('Results.Determ'!$Z$9:$Z$99, 'Results.Determ'!$W$9:$W$99, F$2, 'Results.Determ'!$D$9:$D$99, $D12)</f>
        <v>4.8196416870749408</v>
      </c>
      <c r="I12" s="329">
        <f ca="1">SUMIFS('Results.Determ'!$Z$9:$Z$99, 'Results.Determ'!$W$9:$W$99, G$2, 'Results.Determ'!$D$9:$D$99, $D12)</f>
        <v>4.9063637469178323</v>
      </c>
      <c r="J12" s="423">
        <f ca="1">F12-G12</f>
        <v>1019.9405743765133</v>
      </c>
      <c r="K12" s="424">
        <f ca="1">H12-I12</f>
        <v>-8.6722059842891497E-2</v>
      </c>
      <c r="L12" s="329">
        <f ca="1">SUMIFS('Results.Determ'!$AB$9:$AB$99, 'Results.Determ'!$W$9:$W$99, L$2, 'Results.Determ'!$D$9:$D$99, $D12)</f>
        <v>0.49246077079843226</v>
      </c>
      <c r="M12" s="329">
        <f ca="1">SUMIFS('Results.Determ'!$AB$9:$AB$99, 'Results.Determ'!$W$9:$W$99, M$2, 'Results.Determ'!$D$9:$D$99, $D12)</f>
        <v>0.48209285805324259</v>
      </c>
      <c r="N12" s="424">
        <f ca="1">L12-M12</f>
        <v>1.0367912745189667E-2</v>
      </c>
    </row>
    <row r="13" spans="1:22" ht="12" customHeight="1" thickBot="1" x14ac:dyDescent="0.3">
      <c r="A13" s="2"/>
      <c r="C13" s="7"/>
      <c r="D13">
        <f>D12</f>
        <v>3</v>
      </c>
      <c r="E13" t="s">
        <v>562</v>
      </c>
      <c r="F13" s="40" t="str">
        <f ca="1">TEXT(OFFSET('Results.Prob'!$AI$9, ($D13-1)*3+(F$2-1), 0), "£#,##0;−£#,##0") &amp; CHAR(10) &amp; OFFSET('Results.Prob'!$AJ$9, ($D13-1)*3+(F$2-1), 0)</f>
        <v>£2,520
(£1,427 to £4,285)</v>
      </c>
      <c r="G13" s="40" t="str">
        <f ca="1">TEXT(OFFSET('Results.Prob'!$AI$9, ($D13-1)*3+(G$2-1), 0), "£#,##0;−£#,##0") &amp; CHAR(10) &amp; OFFSET('Results.Prob'!$AJ$9, ($D13-1)*3+(G$2-1), 0)</f>
        <v>£1,432
(£1,002 to £1,960)</v>
      </c>
      <c r="H13" s="40" t="str">
        <f ca="1">TEXT(OFFSET('Results.Prob'!$AK$9, ($D13-1)*3+(H$2-1), 0), "0.000;−0.000") &amp; CHAR(10) &amp; OFFSET('Results.Prob'!$AL$9, ($D13-1)*3+(H$2-1), 0)</f>
        <v>4.813
(4.605 to 5.020)</v>
      </c>
      <c r="I13" s="40" t="str">
        <f ca="1">TEXT(OFFSET('Results.Prob'!$AK$9, ($D13-1)*3+(I$2-1), 0), "0.000;−0.000") &amp; CHAR(10) &amp; OFFSET('Results.Prob'!$AL$9, ($D13-1)*3+(I$2-1), 0)</f>
        <v>4.906
(4.710 to 5.105)</v>
      </c>
      <c r="J13" s="40" t="str">
        <f ca="1">IF('Results.Prob'!W15="-", TEXT('Results.Prob'!W16, "£#,##0;−£#,##0") &amp; CHAR(10) &amp; 'Results.Prob'!X16, TEXT('Results.Prob'!W15, "£#,##0;−£#,##0") &amp; CHAR(10) &amp; 'Results.Prob'!X15)</f>
        <v>£1,087
(£246 to £2,571)</v>
      </c>
      <c r="K13" s="40" t="str">
        <f ca="1">IF('Results.Prob'!Y15="-", TEXT('Results.Prob'!Y16, "0.000;−0.000") &amp; CHAR(10) &amp; 'Results.Prob'!Z16, TEXT('Results.Prob'!Y15, "0.000;−0.000") &amp; CHAR(10) &amp; 'Results.Prob'!Z15)</f>
        <v>−0.092
(−0.175 to −0.037)</v>
      </c>
    </row>
    <row r="14" spans="1:22" s="179" customFormat="1" ht="12" customHeight="1" thickBot="1" x14ac:dyDescent="0.3">
      <c r="A14" s="2"/>
      <c r="B14" s="6"/>
      <c r="C14" s="7"/>
      <c r="D14" s="179">
        <f>D11+1</f>
        <v>4</v>
      </c>
      <c r="E14" s="179" t="str" cm="1">
        <f t="array" ref="E14">INDEX(lstQs, D15)</f>
        <v>D: NSAIDs - HF</v>
      </c>
      <c r="F14" s="196"/>
      <c r="G14" s="196"/>
      <c r="H14" s="196"/>
      <c r="I14" s="196"/>
      <c r="J14" s="196"/>
      <c r="K14" s="196"/>
      <c r="L14" s="196"/>
      <c r="M14" s="196"/>
      <c r="N14" s="196"/>
      <c r="O14" s="381"/>
    </row>
    <row r="15" spans="1:22" ht="12" customHeight="1" x14ac:dyDescent="0.25">
      <c r="A15" s="2"/>
      <c r="C15" s="7"/>
      <c r="D15">
        <f>D14</f>
        <v>4</v>
      </c>
      <c r="E15" t="s">
        <v>561</v>
      </c>
      <c r="F15" s="422">
        <f ca="1">SUMIFS('Results.Determ'!$Y$9:$Y$99, 'Results.Determ'!$W$9:$W$99, F$2, 'Results.Determ'!$D$9:$D$99, $D15)</f>
        <v>12596.4688111784</v>
      </c>
      <c r="G15" s="422">
        <f ca="1">SUMIFS('Results.Determ'!$Y$9:$Y$99, 'Results.Determ'!$W$9:$W$99, G$2, 'Results.Determ'!$D$9:$D$99, $D15)</f>
        <v>12580.873389537121</v>
      </c>
      <c r="H15" s="329">
        <f ca="1">SUMIFS('Results.Determ'!$Z$9:$Z$99, 'Results.Determ'!$W$9:$W$99, F$2, 'Results.Determ'!$D$9:$D$99, $D15)</f>
        <v>3.0026031694311963</v>
      </c>
      <c r="I15" s="329">
        <f ca="1">SUMIFS('Results.Determ'!$Z$9:$Z$99, 'Results.Determ'!$W$9:$W$99, G$2, 'Results.Determ'!$D$9:$D$99, $D15)</f>
        <v>3.0483975492336235</v>
      </c>
      <c r="J15" s="423">
        <f ca="1">F15-G15</f>
        <v>15.595421641279245</v>
      </c>
      <c r="K15" s="424">
        <f ca="1">H15-I15</f>
        <v>-4.5794379802427176E-2</v>
      </c>
      <c r="L15" s="329">
        <f ca="1">SUMIFS('Results.Determ'!$AB$9:$AB$99, 'Results.Determ'!$W$9:$W$99, L$2, 'Results.Determ'!$D$9:$D$99, $D15)</f>
        <v>0.82433545372929407</v>
      </c>
      <c r="M15" s="329">
        <f ca="1">SUMIFS('Results.Determ'!$AB$9:$AB$99, 'Results.Determ'!$W$9:$W$99, M$2, 'Results.Determ'!$D$9:$D$99, $D15)</f>
        <v>0.82161777501334488</v>
      </c>
      <c r="N15" s="424">
        <f ca="1">L15-M15</f>
        <v>2.71767871594919E-3</v>
      </c>
    </row>
    <row r="16" spans="1:22" ht="12" customHeight="1" thickBot="1" x14ac:dyDescent="0.3">
      <c r="A16" s="2"/>
      <c r="C16" s="7"/>
      <c r="D16">
        <f>D15</f>
        <v>4</v>
      </c>
      <c r="E16" t="s">
        <v>562</v>
      </c>
      <c r="F16" s="40" t="str">
        <f ca="1">TEXT(OFFSET('Results.Prob'!$AI$9, ($D16-1)*3+(F$2-1), 0), "£#,##0;−£#,##0") &amp; CHAR(10) &amp; OFFSET('Results.Prob'!$AJ$9, ($D16-1)*3+(F$2-1), 0)</f>
        <v>£12,597
(£8,264 to £17,706)</v>
      </c>
      <c r="G16" s="40" t="str">
        <f ca="1">TEXT(OFFSET('Results.Prob'!$AI$9, ($D16-1)*3+(G$2-1), 0), "£#,##0;−£#,##0") &amp; CHAR(10) &amp; OFFSET('Results.Prob'!$AJ$9, ($D16-1)*3+(G$2-1), 0)</f>
        <v>£12,585
(£8,258 to £17,664)</v>
      </c>
      <c r="H16" s="40" t="str">
        <f ca="1">TEXT(OFFSET('Results.Prob'!$AK$9, ($D16-1)*3+(H$2-1), 0), "0.000;−0.000") &amp; CHAR(10) &amp; OFFSET('Results.Prob'!$AL$9, ($D16-1)*3+(H$2-1), 0)</f>
        <v>3.003
(2.795 to 3.204)</v>
      </c>
      <c r="I16" s="40" t="str">
        <f ca="1">TEXT(OFFSET('Results.Prob'!$AK$9, ($D16-1)*3+(I$2-1), 0), "0.000;−0.000") &amp; CHAR(10) &amp; OFFSET('Results.Prob'!$AL$9, ($D16-1)*3+(I$2-1), 0)</f>
        <v>3.050
(2.840 to 3.252)</v>
      </c>
      <c r="J16" s="40" t="str">
        <f ca="1">IF('Results.Prob'!W18="-", TEXT('Results.Prob'!W19, "£#,##0;−£#,##0") &amp; CHAR(10) &amp; 'Results.Prob'!X19, TEXT('Results.Prob'!W18, "£#,##0;−£#,##0") &amp; CHAR(10) &amp; 'Results.Prob'!X18)</f>
        <v>£12
(−£73 to £96)</v>
      </c>
      <c r="K16" s="40" t="str">
        <f ca="1">IF('Results.Prob'!Y18="-", TEXT('Results.Prob'!Y19, "0.000;−0.000") &amp; CHAR(10) &amp; 'Results.Prob'!Z19, TEXT('Results.Prob'!Y18, "0.000;−0.000") &amp; CHAR(10) &amp; 'Results.Prob'!Z18)</f>
        <v>−0.047
(−0.072 to −0.027)</v>
      </c>
    </row>
    <row r="17" spans="1:15" s="179" customFormat="1" ht="12" customHeight="1" thickBot="1" x14ac:dyDescent="0.3">
      <c r="A17" s="2"/>
      <c r="B17" s="6"/>
      <c r="C17" s="7"/>
      <c r="D17" s="179">
        <f>D14+1</f>
        <v>5</v>
      </c>
      <c r="E17" s="179" t="str" cm="1">
        <f t="array" ref="E17">INDEX(lstQs, D18)</f>
        <v>E: NSAIDs - CKD</v>
      </c>
      <c r="F17" s="196"/>
      <c r="G17" s="196"/>
      <c r="H17" s="196"/>
      <c r="I17" s="196"/>
      <c r="J17" s="196"/>
      <c r="K17" s="196"/>
      <c r="L17" s="196"/>
      <c r="M17" s="196"/>
      <c r="N17" s="196"/>
      <c r="O17" s="381"/>
    </row>
    <row r="18" spans="1:15" ht="12" customHeight="1" x14ac:dyDescent="0.25">
      <c r="A18" s="2"/>
      <c r="C18" s="7"/>
      <c r="D18">
        <f>D17</f>
        <v>5</v>
      </c>
      <c r="E18" t="s">
        <v>561</v>
      </c>
      <c r="F18" s="422">
        <f ca="1">SUMIFS('Results.Determ'!$Y$9:$Y$99, 'Results.Determ'!$W$9:$W$99, F$2, 'Results.Determ'!$D$9:$D$99, $D18)</f>
        <v>50215.77210630662</v>
      </c>
      <c r="G18" s="422">
        <f ca="1">SUMIFS('Results.Determ'!$Y$9:$Y$99, 'Results.Determ'!$W$9:$W$99, G$2, 'Results.Determ'!$D$9:$D$99, $D18)</f>
        <v>50005.372494009644</v>
      </c>
      <c r="H18" s="329">
        <f ca="1">SUMIFS('Results.Determ'!$Z$9:$Z$99, 'Results.Determ'!$W$9:$W$99, F$2, 'Results.Determ'!$D$9:$D$99, $D18)</f>
        <v>4.5274690712736883</v>
      </c>
      <c r="I18" s="329">
        <f ca="1">SUMIFS('Results.Determ'!$Z$9:$Z$99, 'Results.Determ'!$W$9:$W$99, G$2, 'Results.Determ'!$D$9:$D$99, $D18)</f>
        <v>4.6371651982714459</v>
      </c>
      <c r="J18" s="423">
        <f ca="1">F18-G18</f>
        <v>210.39961229697656</v>
      </c>
      <c r="K18" s="424">
        <f ca="1">H18-I18</f>
        <v>-0.10969612699775766</v>
      </c>
      <c r="L18" s="329">
        <f ca="1">SUMIFS('Results.Determ'!$AB$9:$AB$99, 'Results.Determ'!$W$9:$W$99, L$2, 'Results.Determ'!$D$9:$D$99, $D18)</f>
        <v>0.50095061659724427</v>
      </c>
      <c r="M18" s="329">
        <f ca="1">SUMIFS('Results.Determ'!$AB$9:$AB$99, 'Results.Determ'!$W$9:$W$99, M$2, 'Results.Determ'!$D$9:$D$99, $D18)</f>
        <v>0.47531419729617164</v>
      </c>
      <c r="N18" s="424">
        <f ca="1">L18-M18</f>
        <v>2.5636419301072633E-2</v>
      </c>
    </row>
    <row r="19" spans="1:15" ht="12" customHeight="1" thickBot="1" x14ac:dyDescent="0.3">
      <c r="A19" s="2"/>
      <c r="C19" s="7"/>
      <c r="D19">
        <f>D18</f>
        <v>5</v>
      </c>
      <c r="E19" t="s">
        <v>562</v>
      </c>
      <c r="F19" s="40" t="str">
        <f ca="1">TEXT(OFFSET('Results.Prob'!$AI$9, ($D19-1)*3+(F$2-1), 0), "£#,##0;−£#,##0") &amp; CHAR(10) &amp; OFFSET('Results.Prob'!$AJ$9, ($D19-1)*3+(F$2-1), 0)</f>
        <v>£50,259
(£48,440 to £52,251)</v>
      </c>
      <c r="G19" s="40" t="str">
        <f ca="1">TEXT(OFFSET('Results.Prob'!$AI$9, ($D19-1)*3+(G$2-1), 0), "£#,##0;−£#,##0") &amp; CHAR(10) &amp; OFFSET('Results.Prob'!$AJ$9, ($D19-1)*3+(G$2-1), 0)</f>
        <v>£50,056
(£48,267 to £51,902)</v>
      </c>
      <c r="H19" s="40" t="str">
        <f ca="1">TEXT(OFFSET('Results.Prob'!$AK$9, ($D19-1)*3+(H$2-1), 0), "0.000;−0.000") &amp; CHAR(10) &amp; OFFSET('Results.Prob'!$AL$9, ($D19-1)*3+(H$2-1), 0)</f>
        <v>4.524
(3.849 to 5.055)</v>
      </c>
      <c r="I19" s="40" t="str">
        <f ca="1">TEXT(OFFSET('Results.Prob'!$AK$9, ($D19-1)*3+(I$2-1), 0), "0.000;−0.000") &amp; CHAR(10) &amp; OFFSET('Results.Prob'!$AL$9, ($D19-1)*3+(I$2-1), 0)</f>
        <v>4.633
(3.930 to 5.180)</v>
      </c>
      <c r="J19" s="40" t="str">
        <f ca="1">IF('Results.Prob'!W21="-", TEXT('Results.Prob'!W22, "£#,##0;−£#,##0") &amp; CHAR(10) &amp; 'Results.Prob'!X22, TEXT('Results.Prob'!W21, "£#,##0;−£#,##0") &amp; CHAR(10) &amp; 'Results.Prob'!X21)</f>
        <v>£202
(−£149 to £710)</v>
      </c>
      <c r="K19" s="40" t="str">
        <f ca="1">IF('Results.Prob'!Y21="-", TEXT('Results.Prob'!Y22, "0.000;−0.000") &amp; CHAR(10) &amp; 'Results.Prob'!Z22, TEXT('Results.Prob'!Y21, "0.000;−0.000") &amp; CHAR(10) &amp; 'Results.Prob'!Z21)</f>
        <v>−0.109
(−0.197 to −0.040)</v>
      </c>
    </row>
    <row r="20" spans="1:15" s="179" customFormat="1" ht="12" customHeight="1" thickBot="1" x14ac:dyDescent="0.3">
      <c r="A20" s="2"/>
      <c r="B20" s="6"/>
      <c r="C20" s="7"/>
      <c r="D20" s="179">
        <f>D17+1</f>
        <v>6</v>
      </c>
      <c r="E20" s="179" t="str" cm="1">
        <f t="array" ref="E20">INDEX(lstQs, D21)</f>
        <v>Expected harm in England: query A</v>
      </c>
      <c r="F20" s="196"/>
      <c r="G20" s="196"/>
      <c r="H20" s="196"/>
      <c r="I20" s="196"/>
      <c r="J20" s="196"/>
      <c r="K20" s="196"/>
      <c r="L20" s="196"/>
      <c r="M20" s="196"/>
      <c r="N20" s="196"/>
      <c r="O20" s="381"/>
    </row>
    <row r="21" spans="1:15" ht="12" customHeight="1" x14ac:dyDescent="0.25">
      <c r="A21" s="2"/>
      <c r="C21" s="7"/>
      <c r="D21">
        <f>D20</f>
        <v>6</v>
      </c>
      <c r="E21" t="s">
        <v>561</v>
      </c>
      <c r="F21" s="422"/>
      <c r="G21" s="422"/>
      <c r="H21" s="329"/>
      <c r="I21" s="329"/>
      <c r="J21" s="423">
        <f ca="1">SUMIFS('Results.Determ'!$Y$9:$Y$99, 'Results.Determ'!$W$9:$W$99, F$2, 'Results.Determ'!$D$9:$D$99, $D21)</f>
        <v>2559187.2300709886</v>
      </c>
      <c r="K21" s="424">
        <f ca="1">SUMIFS('Results.Determ'!$Z$9:$Z$99, 'Results.Determ'!$W$9:$W$99, F$2, 'Results.Determ'!$D$9:$D$99, $D21)</f>
        <v>-1801.3116360490187</v>
      </c>
      <c r="L21" s="329"/>
      <c r="M21" s="329"/>
      <c r="N21" s="424"/>
    </row>
    <row r="22" spans="1:15" ht="12" customHeight="1" thickBot="1" x14ac:dyDescent="0.3">
      <c r="A22" s="2"/>
      <c r="C22" s="7"/>
      <c r="D22">
        <f>D21</f>
        <v>6</v>
      </c>
      <c r="E22" t="s">
        <v>562</v>
      </c>
      <c r="J22" s="40" t="str">
        <f ca="1">IF('Results.Prob'!W24="-", TEXT('Results.Prob'!W25, "£#,##0;−£#,##0") &amp; CHAR(10) &amp; 'Results.Prob'!X25, TEXT('Results.Prob'!W24, "£#,##0;−£#,##0") &amp; CHAR(10) &amp; 'Results.Prob'!X24)</f>
        <v>£2,535,968
(£717,761 to £4,664,682)</v>
      </c>
      <c r="K22" s="40" t="str">
        <f ca="1">IF('Results.Prob'!Y24="-", TEXT('Results.Prob'!Y25, "0.000;−0.000") &amp; CHAR(10) &amp; 'Results.Prob'!Z25, TEXT('Results.Prob'!Y24, "0.000;−0.000") &amp; CHAR(10) &amp; 'Results.Prob'!Z24)</f>
        <v>−1801.307
(−2306.289 to −1314.913)</v>
      </c>
    </row>
    <row r="23" spans="1:15" s="179" customFormat="1" ht="12" customHeight="1" thickBot="1" x14ac:dyDescent="0.3">
      <c r="A23" s="2"/>
      <c r="B23" s="6"/>
      <c r="C23" s="7"/>
      <c r="D23" s="179">
        <f>D20+1</f>
        <v>7</v>
      </c>
      <c r="E23" s="179" t="str" cm="1">
        <f t="array" ref="E23">INDEX(lstQs, D24)</f>
        <v>Expected harm in England: query B</v>
      </c>
      <c r="F23" s="196"/>
      <c r="G23" s="196"/>
      <c r="H23" s="196"/>
      <c r="I23" s="196"/>
      <c r="J23" s="196"/>
      <c r="K23" s="196"/>
      <c r="L23" s="196"/>
      <c r="M23" s="196"/>
      <c r="N23" s="196"/>
      <c r="O23" s="381"/>
    </row>
    <row r="24" spans="1:15" ht="12" customHeight="1" x14ac:dyDescent="0.25">
      <c r="A24" s="2"/>
      <c r="C24" s="7"/>
      <c r="D24">
        <f>D23</f>
        <v>7</v>
      </c>
      <c r="E24" t="s">
        <v>561</v>
      </c>
      <c r="F24" s="422"/>
      <c r="G24" s="422"/>
      <c r="H24" s="329"/>
      <c r="I24" s="329"/>
      <c r="J24" s="423">
        <f ca="1">SUMIFS('Results.Determ'!$Y$9:$Y$99, 'Results.Determ'!$W$9:$W$99, F$2, 'Results.Determ'!$D$9:$D$99, $D24)</f>
        <v>167486.42826650327</v>
      </c>
      <c r="K24" s="424">
        <f ca="1">SUMIFS('Results.Determ'!$Z$9:$Z$99, 'Results.Determ'!$W$9:$W$99, F$2, 'Results.Determ'!$D$9:$D$99, $D24)</f>
        <v>-99.932607448176825</v>
      </c>
      <c r="L24" s="329"/>
      <c r="M24" s="329"/>
      <c r="N24" s="424"/>
    </row>
    <row r="25" spans="1:15" ht="12" customHeight="1" thickBot="1" x14ac:dyDescent="0.3">
      <c r="A25" s="2"/>
      <c r="C25" s="7"/>
      <c r="D25">
        <f>D24</f>
        <v>7</v>
      </c>
      <c r="E25" t="s">
        <v>562</v>
      </c>
      <c r="J25" s="40" t="str">
        <f ca="1">IF('Results.Prob'!W27="-", TEXT('Results.Prob'!W28, "£#,##0;−£#,##0") &amp; CHAR(10) &amp; 'Results.Prob'!X28, TEXT('Results.Prob'!W27, "£#,##0;−£#,##0") &amp; CHAR(10) &amp; 'Results.Prob'!X27)</f>
        <v>£165,937
(£46,395 to £303,902)</v>
      </c>
      <c r="K25" s="40" t="str">
        <f ca="1">IF('Results.Prob'!Y27="-", TEXT('Results.Prob'!Y28, "0.000;−0.000") &amp; CHAR(10) &amp; 'Results.Prob'!Z28, TEXT('Results.Prob'!Y27, "0.000;−0.000") &amp; CHAR(10) &amp; 'Results.Prob'!Z27)</f>
        <v>−99.913
(−134.567 to −67.917)</v>
      </c>
    </row>
    <row r="26" spans="1:15" s="179" customFormat="1" ht="12" customHeight="1" thickBot="1" x14ac:dyDescent="0.3">
      <c r="A26" s="2"/>
      <c r="B26" s="6"/>
      <c r="C26" s="7"/>
      <c r="D26" s="179">
        <f>D23+1</f>
        <v>8</v>
      </c>
      <c r="E26" s="179" t="str" cm="1">
        <f t="array" ref="E26">INDEX(lstQs, D27)</f>
        <v>Expected harm in England: query C</v>
      </c>
      <c r="F26" s="196"/>
      <c r="G26" s="196"/>
      <c r="H26" s="196"/>
      <c r="I26" s="196"/>
      <c r="J26" s="196"/>
      <c r="K26" s="196"/>
      <c r="L26" s="196"/>
      <c r="M26" s="196"/>
      <c r="N26" s="196"/>
      <c r="O26" s="381"/>
    </row>
    <row r="27" spans="1:15" ht="12" customHeight="1" x14ac:dyDescent="0.25">
      <c r="A27" s="2"/>
      <c r="C27" s="7"/>
      <c r="D27">
        <f>D26</f>
        <v>8</v>
      </c>
      <c r="E27" t="s">
        <v>561</v>
      </c>
      <c r="F27" s="422"/>
      <c r="G27" s="422"/>
      <c r="H27" s="329"/>
      <c r="I27" s="329"/>
      <c r="J27" s="423">
        <f ca="1">SUMIFS('Results.Determ'!$Y$9:$Y$99, 'Results.Determ'!$W$9:$W$99, F$2, 'Results.Determ'!$D$9:$D$99, $D27)</f>
        <v>23614361.83089174</v>
      </c>
      <c r="K27" s="424">
        <f ca="1">SUMIFS('Results.Determ'!$Z$9:$Z$99, 'Results.Determ'!$W$9:$W$99, F$2, 'Results.Determ'!$D$9:$D$99, $D27)</f>
        <v>-2007.8484485256929</v>
      </c>
      <c r="L27" s="329"/>
      <c r="M27" s="329"/>
      <c r="N27" s="424"/>
    </row>
    <row r="28" spans="1:15" ht="12" customHeight="1" thickBot="1" x14ac:dyDescent="0.3">
      <c r="A28" s="2"/>
      <c r="C28" s="7"/>
      <c r="D28">
        <f>D27</f>
        <v>8</v>
      </c>
      <c r="E28" t="s">
        <v>562</v>
      </c>
      <c r="J28" s="40" t="str">
        <f ca="1">IF('Results.Prob'!W30="-", TEXT('Results.Prob'!W31, "£#,##0;−£#,##0") &amp; CHAR(10) &amp; 'Results.Prob'!X31, TEXT('Results.Prob'!W30, "£#,##0;−£#,##0") &amp; CHAR(10) &amp; 'Results.Prob'!X30)</f>
        <v>£25,192,401
(£5,712,183 to £59,553,312)</v>
      </c>
      <c r="K28" s="40" t="str">
        <f ca="1">IF('Results.Prob'!Y30="-", TEXT('Results.Prob'!Y31, "0.000;−0.000") &amp; CHAR(10) &amp; 'Results.Prob'!Z31, TEXT('Results.Prob'!Y30, "0.000;−0.000") &amp; CHAR(10) &amp; 'Results.Prob'!Z30)</f>
        <v>−2137.133
(−4069.808 to −839.163)</v>
      </c>
    </row>
    <row r="29" spans="1:15" s="179" customFormat="1" ht="12" customHeight="1" thickBot="1" x14ac:dyDescent="0.3">
      <c r="A29" s="2"/>
      <c r="B29" s="6"/>
      <c r="C29" s="7"/>
      <c r="D29" s="179">
        <f>D26+1</f>
        <v>9</v>
      </c>
      <c r="E29" s="179" t="str" cm="1">
        <f t="array" ref="E29">INDEX(lstQs, D30)</f>
        <v>Expected harm in England: query D</v>
      </c>
      <c r="F29" s="196"/>
      <c r="G29" s="196"/>
      <c r="H29" s="196"/>
      <c r="I29" s="196"/>
      <c r="J29" s="196"/>
      <c r="K29" s="196"/>
      <c r="L29" s="196"/>
      <c r="M29" s="196"/>
      <c r="N29" s="196"/>
      <c r="O29" s="381"/>
    </row>
    <row r="30" spans="1:15" ht="12" customHeight="1" x14ac:dyDescent="0.25">
      <c r="A30" s="2"/>
      <c r="C30" s="7"/>
      <c r="D30">
        <f>D29</f>
        <v>9</v>
      </c>
      <c r="E30" t="s">
        <v>561</v>
      </c>
      <c r="F30" s="422"/>
      <c r="G30" s="422"/>
      <c r="H30" s="329"/>
      <c r="I30" s="329"/>
      <c r="J30" s="423">
        <f ca="1">SUMIFS('Results.Determ'!$Y$9:$Y$99, 'Results.Determ'!$W$9:$W$99, F$2, 'Results.Determ'!$D$9:$D$99, $D30)</f>
        <v>139201.28395059411</v>
      </c>
      <c r="K30" s="424">
        <f ca="1">SUMIFS('Results.Determ'!$Z$9:$Z$99, 'Results.Determ'!$W$9:$W$99, F$2, 'Results.Determ'!$D$9:$D$99, $D30)</f>
        <v>-408.7505046574762</v>
      </c>
      <c r="L30" s="329"/>
      <c r="M30" s="329"/>
      <c r="N30" s="424"/>
    </row>
    <row r="31" spans="1:15" ht="12" customHeight="1" thickBot="1" x14ac:dyDescent="0.3">
      <c r="A31" s="2"/>
      <c r="C31" s="7"/>
      <c r="D31">
        <f>D30</f>
        <v>9</v>
      </c>
      <c r="E31" t="s">
        <v>562</v>
      </c>
      <c r="J31" s="40" t="str">
        <f ca="1">IF('Results.Prob'!W33="-", TEXT('Results.Prob'!W34, "£#,##0;−£#,##0") &amp; CHAR(10) &amp; 'Results.Prob'!X34, TEXT('Results.Prob'!W33, "£#,##0;−£#,##0") &amp; CHAR(10) &amp; 'Results.Prob'!X33)</f>
        <v>£107,167
(−£657,488 to £869,546)</v>
      </c>
      <c r="K31" s="40" t="str">
        <f ca="1">IF('Results.Prob'!Y33="-", TEXT('Results.Prob'!Y34, "0.000;−0.000") &amp; CHAR(10) &amp; 'Results.Prob'!Z34, TEXT('Results.Prob'!Y33, "0.000;−0.000") &amp; CHAR(10) &amp; 'Results.Prob'!Z33)</f>
        <v>−417.198
(−637.129 to −247.964)</v>
      </c>
    </row>
    <row r="32" spans="1:15" s="179" customFormat="1" ht="12" customHeight="1" thickBot="1" x14ac:dyDescent="0.3">
      <c r="A32" s="2"/>
      <c r="B32" s="6"/>
      <c r="C32" s="7"/>
      <c r="D32" s="179">
        <f>D29+1</f>
        <v>10</v>
      </c>
      <c r="E32" s="179" t="str" cm="1">
        <f t="array" ref="E32">INDEX(lstQs, D33)</f>
        <v>Expected harm in England: query E</v>
      </c>
      <c r="F32" s="196"/>
      <c r="G32" s="196"/>
      <c r="H32" s="196"/>
      <c r="I32" s="196"/>
      <c r="J32" s="196"/>
      <c r="K32" s="196"/>
      <c r="L32" s="196"/>
      <c r="M32" s="196"/>
      <c r="N32" s="196"/>
      <c r="O32" s="381"/>
    </row>
    <row r="33" spans="1:15" ht="12" customHeight="1" x14ac:dyDescent="0.25">
      <c r="A33" s="2"/>
      <c r="C33" s="7"/>
      <c r="D33">
        <f>D32</f>
        <v>10</v>
      </c>
      <c r="E33" t="s">
        <v>561</v>
      </c>
      <c r="F33" s="422"/>
      <c r="G33" s="422"/>
      <c r="H33" s="329"/>
      <c r="I33" s="329"/>
      <c r="J33" s="423">
        <f ca="1">SUMIFS('Results.Determ'!$Y$9:$Y$99, 'Results.Determ'!$W$9:$W$99, F$2, 'Results.Determ'!$D$9:$D$99, $D33)</f>
        <v>3324171.2652969551</v>
      </c>
      <c r="K33" s="424">
        <f ca="1">SUMIFS('Results.Determ'!$Z$9:$Z$99, 'Results.Determ'!$W$9:$W$99, F$2, 'Results.Determ'!$D$9:$D$99, $D33)</f>
        <v>-1733.1244544577116</v>
      </c>
      <c r="L33" s="329"/>
      <c r="M33" s="329"/>
      <c r="N33" s="424"/>
    </row>
    <row r="34" spans="1:15" ht="12" customHeight="1" thickBot="1" x14ac:dyDescent="0.3">
      <c r="A34" s="2"/>
      <c r="C34" s="7"/>
      <c r="D34">
        <f>D33</f>
        <v>10</v>
      </c>
      <c r="E34" t="s">
        <v>562</v>
      </c>
      <c r="J34" s="40" t="str">
        <f ca="1">IF('Results.Prob'!W36="-", TEXT('Results.Prob'!W37, "£#,##0;−£#,##0") &amp; CHAR(10) &amp; 'Results.Prob'!X37, TEXT('Results.Prob'!W36, "£#,##0;−£#,##0") &amp; CHAR(10) &amp; 'Results.Prob'!X36)</f>
        <v>£3,196,029
(−£2,367,560 to £11,300,980)</v>
      </c>
      <c r="K34" s="40" t="str">
        <f ca="1">IF('Results.Prob'!Y36="-", TEXT('Results.Prob'!Y37, "0.000;−0.000") &amp; CHAR(10) &amp; 'Results.Prob'!Z37, TEXT('Results.Prob'!Y36, "0.000;−0.000") &amp; CHAR(10) &amp; 'Results.Prob'!Z36)</f>
        <v>−1719.009
(−3041.784 to −626.271)</v>
      </c>
    </row>
    <row r="35" spans="1:15" s="179" customFormat="1" ht="12" customHeight="1" thickBot="1" x14ac:dyDescent="0.3">
      <c r="A35" s="2"/>
      <c r="B35" s="6"/>
      <c r="C35" s="7"/>
      <c r="D35" s="179">
        <f>D32+1</f>
        <v>11</v>
      </c>
      <c r="E35" s="179" t="str" cm="1">
        <f t="array" ref="E35">INDEX(lstQs, D36)</f>
        <v>Expected harm in England: total</v>
      </c>
      <c r="F35" s="196"/>
      <c r="G35" s="196"/>
      <c r="H35" s="196"/>
      <c r="I35" s="196"/>
      <c r="J35" s="196"/>
      <c r="K35" s="196"/>
      <c r="L35" s="196"/>
      <c r="M35" s="196"/>
      <c r="N35" s="196"/>
      <c r="O35" s="381"/>
    </row>
    <row r="36" spans="1:15" ht="12" customHeight="1" x14ac:dyDescent="0.25">
      <c r="A36" s="2"/>
      <c r="C36" s="7"/>
      <c r="D36">
        <f>D35</f>
        <v>11</v>
      </c>
      <c r="E36" t="s">
        <v>561</v>
      </c>
      <c r="F36" s="422"/>
      <c r="G36" s="422"/>
      <c r="H36" s="329"/>
      <c r="I36" s="329"/>
      <c r="J36" s="423">
        <f ca="1">SUMIFS('Results.Determ'!$Y$9:$Y$99, 'Results.Determ'!$W$9:$W$99, F$2, 'Results.Determ'!$D$9:$D$99, $D36)</f>
        <v>29804408.03847678</v>
      </c>
      <c r="K36" s="424">
        <f ca="1">SUMIFS('Results.Determ'!$Z$9:$Z$99, 'Results.Determ'!$W$9:$W$99, F$2, 'Results.Determ'!$D$9:$D$99, $D36)</f>
        <v>-6050.9676511380767</v>
      </c>
      <c r="L36" s="329"/>
      <c r="M36" s="329"/>
      <c r="N36" s="424"/>
    </row>
    <row r="37" spans="1:15" ht="12" customHeight="1" x14ac:dyDescent="0.25">
      <c r="A37" s="2"/>
      <c r="C37" s="7"/>
      <c r="D37">
        <f>D36</f>
        <v>11</v>
      </c>
      <c r="E37" t="s">
        <v>562</v>
      </c>
      <c r="J37" s="40" t="str">
        <f ca="1">IF('Results.Prob'!W39="-", TEXT('Results.Prob'!W40, "£#,##0;−£#,##0") &amp; CHAR(10) &amp; 'Results.Prob'!X40, TEXT('Results.Prob'!W39, "£#,##0;−£#,##0") &amp; CHAR(10) &amp; 'Results.Prob'!X39)</f>
        <v>£31,197,502
(£10,200,387 to £68,554,942)</v>
      </c>
      <c r="K37" s="40" t="str">
        <f ca="1">IF('Results.Prob'!Y39="-", TEXT('Results.Prob'!Y40, "0.000;−0.000") &amp; CHAR(10) &amp; 'Results.Prob'!Z40, TEXT('Results.Prob'!Y39, "0.000;−0.000") &amp; CHAR(10) &amp; 'Results.Prob'!Z39)</f>
        <v>−6174.559
(−8501.587 to −4299.196)</v>
      </c>
    </row>
    <row r="38" spans="1:15" ht="12" customHeight="1" x14ac:dyDescent="0.25">
      <c r="A38" s="2"/>
      <c r="C38" s="7"/>
    </row>
    <row r="39" spans="1:15" ht="12" customHeight="1" x14ac:dyDescent="0.25">
      <c r="A39" s="2"/>
      <c r="C39" s="7"/>
    </row>
    <row r="40" spans="1:15" ht="12" customHeight="1" x14ac:dyDescent="0.25">
      <c r="A40" s="2"/>
      <c r="C40" s="7"/>
    </row>
    <row r="41" spans="1:15" ht="12" customHeight="1" x14ac:dyDescent="0.25">
      <c r="A41" s="2"/>
      <c r="C41" s="7"/>
    </row>
    <row r="42" spans="1:15" ht="12" customHeight="1" x14ac:dyDescent="0.25">
      <c r="A42" s="2"/>
      <c r="C42" s="7"/>
    </row>
    <row r="43" spans="1:15" ht="12" customHeight="1" x14ac:dyDescent="0.25">
      <c r="A43" s="2"/>
      <c r="C43" s="7"/>
    </row>
    <row r="44" spans="1:15" ht="12" customHeight="1" x14ac:dyDescent="0.25">
      <c r="A44" s="2"/>
      <c r="C44" s="7"/>
    </row>
    <row r="45" spans="1:15" ht="12" customHeight="1" x14ac:dyDescent="0.25">
      <c r="A45" s="2"/>
      <c r="C45" s="7"/>
      <c r="E45" s="79" t="s">
        <v>422</v>
      </c>
      <c r="F45" s="422">
        <f ca="1">F6</f>
        <v>255.59046007705604</v>
      </c>
      <c r="G45" s="422">
        <f ca="1">G6</f>
        <v>231.77820725228736</v>
      </c>
      <c r="H45" s="423">
        <f ca="1">J6</f>
        <v>23.812252824768677</v>
      </c>
      <c r="I45" s="329">
        <f ca="1">H6</f>
        <v>5.8367257516273154</v>
      </c>
      <c r="J45" s="329">
        <f ca="1">I6</f>
        <v>5.8534862635546148</v>
      </c>
      <c r="K45" s="424">
        <f ca="1">K6</f>
        <v>-1.6760511927299326E-2</v>
      </c>
    </row>
    <row r="46" spans="1:15" ht="12" customHeight="1" x14ac:dyDescent="0.25">
      <c r="A46" s="2"/>
      <c r="C46" s="7"/>
      <c r="E46" s="79" t="s">
        <v>423</v>
      </c>
      <c r="F46" s="422">
        <f ca="1">F9</f>
        <v>274.2912485058751</v>
      </c>
      <c r="G46" s="422">
        <f ca="1">G9</f>
        <v>249.90391281788305</v>
      </c>
      <c r="H46" s="423">
        <f ca="1">J9</f>
        <v>24.387335687992049</v>
      </c>
      <c r="I46" s="329">
        <f ca="1">H9</f>
        <v>6.7005639979077802</v>
      </c>
      <c r="J46" s="329">
        <f ca="1">I9</f>
        <v>6.7151149682116973</v>
      </c>
      <c r="K46" s="424">
        <f ca="1">K9</f>
        <v>-1.4550970303917055E-2</v>
      </c>
    </row>
    <row r="47" spans="1:15" ht="12" customHeight="1" x14ac:dyDescent="0.25">
      <c r="A47" s="2"/>
      <c r="C47" s="7"/>
      <c r="E47" s="79" t="s">
        <v>425</v>
      </c>
      <c r="F47" s="422">
        <f ca="1">F12</f>
        <v>2443.3890750479381</v>
      </c>
      <c r="G47" s="422">
        <f ca="1">G12</f>
        <v>1423.4485006714249</v>
      </c>
      <c r="H47" s="423">
        <f ca="1">J12</f>
        <v>1019.9405743765133</v>
      </c>
      <c r="I47" s="329">
        <f ca="1">H12</f>
        <v>4.8196416870749408</v>
      </c>
      <c r="J47" s="329">
        <f ca="1">I12</f>
        <v>4.9063637469178323</v>
      </c>
      <c r="K47" s="424">
        <f ca="1">K12</f>
        <v>-8.6722059842891497E-2</v>
      </c>
    </row>
    <row r="48" spans="1:15" ht="12" customHeight="1" x14ac:dyDescent="0.25">
      <c r="A48" s="2"/>
      <c r="C48" s="7"/>
      <c r="E48" s="79" t="s">
        <v>427</v>
      </c>
      <c r="F48" s="422">
        <f ca="1">F15</f>
        <v>12596.4688111784</v>
      </c>
      <c r="G48" s="422">
        <f ca="1">G15</f>
        <v>12580.873389537121</v>
      </c>
      <c r="H48" s="423">
        <f ca="1">J15</f>
        <v>15.595421641279245</v>
      </c>
      <c r="I48" s="329">
        <f ca="1">H15</f>
        <v>3.0026031694311963</v>
      </c>
      <c r="J48" s="329">
        <f ca="1">I15</f>
        <v>3.0483975492336235</v>
      </c>
      <c r="K48" s="424">
        <f ca="1">K15</f>
        <v>-4.5794379802427176E-2</v>
      </c>
    </row>
    <row r="49" spans="1:11" ht="12" customHeight="1" x14ac:dyDescent="0.25">
      <c r="A49" s="2"/>
      <c r="C49" s="7"/>
      <c r="E49" s="79" t="s">
        <v>429</v>
      </c>
      <c r="F49" s="422">
        <f ca="1">F18</f>
        <v>50215.77210630662</v>
      </c>
      <c r="G49" s="422">
        <f ca="1">G18</f>
        <v>50005.372494009644</v>
      </c>
      <c r="H49" s="423">
        <f ca="1">J18</f>
        <v>210.39961229697656</v>
      </c>
      <c r="I49" s="329">
        <f ca="1">H18</f>
        <v>4.5274690712736883</v>
      </c>
      <c r="J49" s="329">
        <f ca="1">I18</f>
        <v>4.6371651982714459</v>
      </c>
      <c r="K49" s="424">
        <f ca="1">K18</f>
        <v>-0.10969612699775766</v>
      </c>
    </row>
    <row r="50" spans="1:11" ht="12" customHeight="1" x14ac:dyDescent="0.25">
      <c r="A50" s="2"/>
      <c r="C50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302" spans="1:3" ht="12" customHeight="1" x14ac:dyDescent="0.25">
      <c r="A302" s="2"/>
      <c r="C302" s="7"/>
    </row>
    <row r="303" spans="1:3" ht="12" customHeight="1" x14ac:dyDescent="0.25">
      <c r="A303" s="2"/>
      <c r="C303" s="7"/>
    </row>
    <row r="304" spans="1:3" ht="12" customHeight="1" x14ac:dyDescent="0.25">
      <c r="A304" s="2"/>
      <c r="C304" s="7"/>
    </row>
    <row r="305" spans="1:3" ht="12" customHeight="1" x14ac:dyDescent="0.25">
      <c r="A305" s="2"/>
      <c r="C305" s="7"/>
    </row>
    <row r="306" spans="1:3" ht="12" customHeight="1" x14ac:dyDescent="0.25">
      <c r="A306" s="2"/>
      <c r="C306" s="7"/>
    </row>
    <row r="307" spans="1:3" ht="12" customHeight="1" x14ac:dyDescent="0.25">
      <c r="A307" s="2"/>
      <c r="C307" s="7"/>
    </row>
    <row r="308" spans="1:3" ht="12" customHeight="1" x14ac:dyDescent="0.25">
      <c r="A308" s="2"/>
      <c r="C308" s="7"/>
    </row>
    <row r="309" spans="1:3" ht="12" customHeight="1" x14ac:dyDescent="0.25">
      <c r="A309" s="2"/>
      <c r="C309" s="7"/>
    </row>
    <row r="310" spans="1:3" ht="12" customHeight="1" x14ac:dyDescent="0.25">
      <c r="A310" s="2"/>
      <c r="C310" s="7"/>
    </row>
    <row r="311" spans="1:3" ht="12" customHeight="1" x14ac:dyDescent="0.25">
      <c r="A311" s="2"/>
      <c r="C311" s="7"/>
    </row>
    <row r="312" spans="1:3" ht="12" customHeight="1" x14ac:dyDescent="0.25">
      <c r="A312" s="2"/>
      <c r="C312" s="7"/>
    </row>
    <row r="313" spans="1:3" ht="12" customHeight="1" x14ac:dyDescent="0.25">
      <c r="A313" s="2"/>
      <c r="C313" s="7"/>
    </row>
    <row r="314" spans="1:3" ht="12" customHeight="1" x14ac:dyDescent="0.25">
      <c r="A314" s="2"/>
      <c r="C314" s="7"/>
    </row>
    <row r="315" spans="1:3" ht="12" customHeight="1" x14ac:dyDescent="0.25">
      <c r="A315" s="2"/>
      <c r="C315" s="7"/>
    </row>
    <row r="316" spans="1:3" ht="12" customHeight="1" x14ac:dyDescent="0.25">
      <c r="A316" s="2"/>
      <c r="C316" s="7"/>
    </row>
    <row r="317" spans="1:3" ht="12" customHeight="1" x14ac:dyDescent="0.25">
      <c r="A317" s="2"/>
      <c r="C317" s="7"/>
    </row>
    <row r="318" spans="1:3" ht="12" customHeight="1" x14ac:dyDescent="0.25">
      <c r="A318" s="2"/>
      <c r="C318" s="7"/>
    </row>
    <row r="319" spans="1:3" ht="12" customHeight="1" x14ac:dyDescent="0.25">
      <c r="A319" s="2"/>
      <c r="C319" s="7"/>
    </row>
    <row r="320" spans="1:3" ht="12" customHeight="1" x14ac:dyDescent="0.25">
      <c r="A320" s="2"/>
      <c r="C320" s="7"/>
    </row>
    <row r="321" spans="1:3" ht="12" customHeight="1" x14ac:dyDescent="0.25">
      <c r="A321" s="2"/>
      <c r="C321" s="7"/>
    </row>
    <row r="322" spans="1:3" ht="12" customHeight="1" x14ac:dyDescent="0.25">
      <c r="A322" s="2"/>
      <c r="C322" s="7"/>
    </row>
  </sheetData>
  <mergeCells count="5">
    <mergeCell ref="L3:N3"/>
    <mergeCell ref="J3:K3"/>
    <mergeCell ref="H3:I3"/>
    <mergeCell ref="F3:G3"/>
    <mergeCell ref="E3:E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301B3-A538-4C8D-956F-E3289CAA8B55}">
  <sheetPr codeName="shtResults1">
    <tabColor rgb="FFFF0000"/>
  </sheetPr>
  <dimension ref="A1:AJ40"/>
  <sheetViews>
    <sheetView workbookViewId="0">
      <pane xSplit="4" ySplit="7" topLeftCell="E8" activePane="bottomRight" state="frozen"/>
      <selection activeCell="E7" sqref="E7"/>
      <selection pane="topRight" activeCell="E7" sqref="E7"/>
      <selection pane="bottomLeft" activeCell="E7" sqref="E7"/>
      <selection pane="bottomRight" activeCell="E8" sqref="E8"/>
    </sheetView>
  </sheetViews>
  <sheetFormatPr defaultColWidth="9.28515625" defaultRowHeight="12" customHeight="1" x14ac:dyDescent="0.25"/>
  <cols>
    <col min="1" max="1" width="1.7109375" style="6" customWidth="1"/>
    <col min="2" max="2" width="19.7109375" style="6" customWidth="1"/>
    <col min="3" max="3" width="1.7109375" style="398" customWidth="1"/>
    <col min="4" max="4" width="2.7109375" style="10" hidden="1" customWidth="1"/>
    <col min="5" max="5" width="2.7109375" customWidth="1"/>
    <col min="6" max="6" width="7.28515625" customWidth="1"/>
    <col min="7" max="7" width="23.42578125" customWidth="1"/>
    <col min="8" max="8" width="12" style="11" bestFit="1" customWidth="1"/>
    <col min="9" max="11" width="11.28515625" style="11" customWidth="1"/>
    <col min="12" max="12" width="1.7109375" style="11" customWidth="1"/>
    <col min="13" max="13" width="11.7109375" style="11" bestFit="1" customWidth="1"/>
    <col min="14" max="15" width="11.28515625" style="11" customWidth="1"/>
    <col min="16" max="16" width="1.7109375" style="11" customWidth="1"/>
    <col min="17" max="17" width="14.28515625" style="11" customWidth="1"/>
    <col min="18" max="21" width="11.28515625" style="11" customWidth="1"/>
    <col min="22" max="22" width="2.7109375" customWidth="1"/>
    <col min="23" max="23" width="4" style="11" customWidth="1"/>
    <col min="24" max="24" width="23.42578125" customWidth="1"/>
    <col min="25" max="25" width="14.140625" bestFit="1" customWidth="1"/>
    <col min="26" max="26" width="10" bestFit="1" customWidth="1"/>
    <col min="27" max="35" width="10" customWidth="1"/>
    <col min="36" max="36" width="2.7109375" customWidth="1"/>
  </cols>
  <sheetData>
    <row r="1" spans="1:36" s="136" customFormat="1" ht="24.95" customHeight="1" thickBot="1" x14ac:dyDescent="0.3">
      <c r="A1" s="2"/>
      <c r="B1" s="6"/>
      <c r="C1" s="2"/>
      <c r="E1" s="136" t="str">
        <f>zWorkbookTitle</f>
        <v>Camacho et al. (2024) Harms of hazardous prescribing of NSAIDs</v>
      </c>
      <c r="G1" s="399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</row>
    <row r="2" spans="1:36" s="8" customFormat="1" ht="12" customHeight="1" thickTop="1" thickBot="1" x14ac:dyDescent="0.3">
      <c r="A2" s="6"/>
      <c r="B2" s="6"/>
      <c r="C2" s="398"/>
      <c r="D2" s="324" t="e" cm="1">
        <f t="array" aca="1" ref="D2" ca="1">COUNTIFS(K.rngShowResults, TRUE, OFFSET(#REF!, 0, 0, K.numStrats), "&gt;0", OFFSET(#REF!, 0, 0, K.numStrats), "&gt;0")</f>
        <v>#NAME?</v>
      </c>
      <c r="F2" s="396"/>
      <c r="G2" s="396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W2" s="71"/>
      <c r="X2" s="396"/>
      <c r="Y2" s="396"/>
      <c r="Z2" s="396"/>
      <c r="AA2" s="396"/>
      <c r="AB2" s="396"/>
      <c r="AC2" s="396"/>
      <c r="AD2" s="396"/>
      <c r="AE2" s="396"/>
      <c r="AF2" s="396"/>
      <c r="AG2" s="396"/>
      <c r="AH2" s="396"/>
      <c r="AI2" s="396"/>
    </row>
    <row r="3" spans="1:36" ht="12" customHeight="1" thickBot="1" x14ac:dyDescent="0.3">
      <c r="E3" s="59"/>
      <c r="F3" s="1" t="s">
        <v>48</v>
      </c>
      <c r="G3" s="23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56"/>
      <c r="V3" s="23"/>
      <c r="W3" s="1"/>
      <c r="X3" s="23"/>
      <c r="Y3" s="23"/>
      <c r="Z3" s="23"/>
      <c r="AA3" s="255"/>
      <c r="AB3" s="255"/>
      <c r="AC3" s="255"/>
      <c r="AD3" s="255"/>
      <c r="AE3" s="255"/>
      <c r="AF3" s="255"/>
      <c r="AG3" s="255"/>
      <c r="AH3" s="255"/>
      <c r="AI3" s="255"/>
      <c r="AJ3" s="10"/>
    </row>
    <row r="4" spans="1:36" ht="12" customHeight="1" thickBot="1" x14ac:dyDescent="0.3">
      <c r="E4" s="59"/>
      <c r="F4" s="464" t="s">
        <v>49</v>
      </c>
      <c r="G4" s="446" t="s">
        <v>2</v>
      </c>
      <c r="H4" s="467" t="s">
        <v>50</v>
      </c>
      <c r="I4" s="467"/>
      <c r="J4" s="467"/>
      <c r="K4" s="467"/>
      <c r="L4" s="446"/>
      <c r="M4" s="446" t="s">
        <v>55</v>
      </c>
      <c r="N4" s="446"/>
      <c r="O4" s="446"/>
      <c r="P4" s="446"/>
      <c r="Q4" s="446" t="s">
        <v>315</v>
      </c>
      <c r="R4" s="446"/>
      <c r="S4" s="446"/>
      <c r="T4" s="446"/>
      <c r="U4" s="478"/>
      <c r="V4" s="213"/>
      <c r="W4" s="484" t="s">
        <v>52</v>
      </c>
      <c r="X4" s="485"/>
      <c r="Y4" s="485"/>
      <c r="Z4" s="485"/>
      <c r="AA4" s="486"/>
      <c r="AB4" s="413"/>
      <c r="AC4" s="413"/>
      <c r="AD4" s="413"/>
      <c r="AE4" s="413"/>
      <c r="AF4" s="413"/>
      <c r="AG4" s="413"/>
      <c r="AH4" s="413"/>
      <c r="AI4" s="413"/>
      <c r="AJ4" s="10"/>
    </row>
    <row r="5" spans="1:36" ht="12" customHeight="1" thickBot="1" x14ac:dyDescent="0.3">
      <c r="E5" s="59"/>
      <c r="F5" s="465"/>
      <c r="G5" s="466"/>
      <c r="H5" s="468" t="s">
        <v>39</v>
      </c>
      <c r="I5" s="470" t="s">
        <v>40</v>
      </c>
      <c r="J5" s="452" t="s">
        <v>316</v>
      </c>
      <c r="K5" s="452"/>
      <c r="L5" s="466"/>
      <c r="M5" s="447"/>
      <c r="N5" s="447"/>
      <c r="O5" s="447"/>
      <c r="P5" s="466"/>
      <c r="Q5" s="112" t="s">
        <v>74</v>
      </c>
      <c r="R5" s="487" t="s">
        <v>96</v>
      </c>
      <c r="S5" s="488"/>
      <c r="T5" s="488"/>
      <c r="U5" s="489"/>
      <c r="V5" s="213"/>
      <c r="W5" s="479" t="s">
        <v>53</v>
      </c>
      <c r="X5" s="446" t="s">
        <v>54</v>
      </c>
      <c r="Y5" s="446" t="s">
        <v>39</v>
      </c>
      <c r="Z5" s="446" t="s">
        <v>40</v>
      </c>
      <c r="AA5" s="478" t="s">
        <v>41</v>
      </c>
      <c r="AB5" s="462" t="s">
        <v>737</v>
      </c>
      <c r="AC5" s="462" t="s">
        <v>765</v>
      </c>
      <c r="AD5" s="462" t="s">
        <v>376</v>
      </c>
      <c r="AE5" s="460" t="s">
        <v>344</v>
      </c>
      <c r="AF5" s="460" t="s">
        <v>571</v>
      </c>
      <c r="AG5" s="460" t="s">
        <v>766</v>
      </c>
      <c r="AH5" s="460" t="s">
        <v>143</v>
      </c>
      <c r="AI5" s="460" t="s">
        <v>760</v>
      </c>
      <c r="AJ5" s="10"/>
    </row>
    <row r="6" spans="1:36" ht="12" customHeight="1" thickBot="1" x14ac:dyDescent="0.3">
      <c r="E6" s="59"/>
      <c r="F6" s="465"/>
      <c r="G6" s="466"/>
      <c r="H6" s="469"/>
      <c r="I6" s="471"/>
      <c r="J6" s="472">
        <v>20000</v>
      </c>
      <c r="K6" s="472">
        <v>30000</v>
      </c>
      <c r="L6" s="466"/>
      <c r="M6" s="446" t="s">
        <v>39</v>
      </c>
      <c r="N6" s="446" t="s">
        <v>40</v>
      </c>
      <c r="O6" s="446" t="s">
        <v>51</v>
      </c>
      <c r="P6" s="466"/>
      <c r="Q6" s="446" t="s">
        <v>39</v>
      </c>
      <c r="R6" s="474" t="s">
        <v>40</v>
      </c>
      <c r="S6" s="475" t="s">
        <v>81</v>
      </c>
      <c r="T6" s="475"/>
      <c r="U6" s="476" t="s">
        <v>51</v>
      </c>
      <c r="V6" s="213"/>
      <c r="W6" s="480"/>
      <c r="X6" s="466"/>
      <c r="Y6" s="466"/>
      <c r="Z6" s="466"/>
      <c r="AA6" s="477"/>
      <c r="AB6" s="463"/>
      <c r="AC6" s="463"/>
      <c r="AD6" s="463"/>
      <c r="AE6" s="461"/>
      <c r="AF6" s="461"/>
      <c r="AG6" s="461"/>
      <c r="AH6" s="461"/>
      <c r="AI6" s="461"/>
      <c r="AJ6" s="10"/>
    </row>
    <row r="7" spans="1:36" ht="12" customHeight="1" thickBot="1" x14ac:dyDescent="0.3">
      <c r="E7" s="59"/>
      <c r="F7" s="465"/>
      <c r="G7" s="466"/>
      <c r="H7" s="469"/>
      <c r="I7" s="471"/>
      <c r="J7" s="473"/>
      <c r="K7" s="473"/>
      <c r="L7" s="115"/>
      <c r="M7" s="466"/>
      <c r="N7" s="466"/>
      <c r="O7" s="466"/>
      <c r="P7" s="466"/>
      <c r="Q7" s="466"/>
      <c r="R7" s="466"/>
      <c r="S7" s="295">
        <v>20000</v>
      </c>
      <c r="T7" s="295">
        <v>30000</v>
      </c>
      <c r="U7" s="477"/>
      <c r="V7" s="323"/>
      <c r="W7" s="480"/>
      <c r="X7" s="466"/>
      <c r="Y7" s="466"/>
      <c r="Z7" s="466"/>
      <c r="AA7" s="477"/>
      <c r="AB7" s="463"/>
      <c r="AC7" s="463"/>
      <c r="AD7" s="463"/>
      <c r="AE7" s="461"/>
      <c r="AF7" s="461"/>
      <c r="AG7" s="461"/>
      <c r="AH7" s="461"/>
      <c r="AI7" s="461"/>
      <c r="AJ7" s="10"/>
    </row>
    <row r="8" spans="1:36" ht="12" customHeight="1" thickBot="1" x14ac:dyDescent="0.3">
      <c r="D8" s="10">
        <v>1</v>
      </c>
      <c r="E8" s="59"/>
      <c r="F8" s="481" t="str" cm="1">
        <f t="array" ref="F8">INDEX(lstQs, D9)</f>
        <v>A: No gastroprotection - NSAIDs in people &gt;65</v>
      </c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482"/>
      <c r="W8" s="482"/>
      <c r="X8" s="482"/>
      <c r="Y8" s="482"/>
      <c r="Z8" s="482"/>
      <c r="AA8" s="483"/>
      <c r="AB8" s="414"/>
      <c r="AC8" s="414"/>
      <c r="AD8" s="414"/>
      <c r="AE8" s="414"/>
      <c r="AF8" s="414"/>
      <c r="AG8" s="414"/>
      <c r="AH8" s="414"/>
      <c r="AI8" s="414"/>
      <c r="AJ8" s="10"/>
    </row>
    <row r="9" spans="1:36" ht="12" customHeight="1" x14ac:dyDescent="0.25">
      <c r="D9" s="10">
        <v>1</v>
      </c>
      <c r="E9" s="59"/>
      <c r="F9" s="348">
        <f ca="1">MATCH(SMALL(Y9:Y10, W9), Y9:Y10, 0)</f>
        <v>2</v>
      </c>
      <c r="G9" s="349" t="str" cm="1">
        <f t="array" aca="1" ref="G9" ca="1">INDEX(rngStrats, F9)</f>
        <v>No HPE</v>
      </c>
      <c r="H9" s="350" cm="1">
        <f t="array" aca="1" ref="H9" ca="1">IFERROR(INDEX(Y9:Y10, F9), "")</f>
        <v>231.77820725228736</v>
      </c>
      <c r="I9" s="351" cm="1">
        <f t="array" aca="1" ref="I9" ca="1">IFERROR(INDEX(Z9:Z10, F9), "")</f>
        <v>5.8534862635546148</v>
      </c>
      <c r="J9" s="351">
        <f ca="1">IF(F9="", "", I9-H9/J$6)</f>
        <v>5.8418973531920004</v>
      </c>
      <c r="K9" s="351">
        <f ca="1">IF(G9="", "", I9-H9/K$6)</f>
        <v>5.8457603233128719</v>
      </c>
      <c r="L9" s="352"/>
      <c r="M9" s="350" t="str">
        <f>IF($W9=1, "", H9-H8)</f>
        <v/>
      </c>
      <c r="N9" s="351" t="str">
        <f>IF($W9=1, "", I9-I8)</f>
        <v/>
      </c>
      <c r="O9" s="350" t="str">
        <f>IF($W9=1, "", IF(AND(M9&gt;0, N9&lt;0), "dominated", M9/N9))</f>
        <v/>
      </c>
      <c r="P9" s="353"/>
      <c r="Q9" s="354" t="str" cm="1">
        <f t="array" aca="1" ref="Q9" ca="1">IF(F9="", "", IF(F9=swtchResults.Baseline, "-", H9-_xlfn.SINGLE(INDEX(Y9:Y10, swtchResults.Baseline))))</f>
        <v>-</v>
      </c>
      <c r="R9" s="353" t="str" cm="1">
        <f t="array" aca="1" ref="R9" ca="1">IF(F9="", "", IF(F9=swtchResults.Baseline, "-", I9-_xlfn.SINGLE(INDEX(Z9:Z10, swtchResults.Baseline))))</f>
        <v>-</v>
      </c>
      <c r="S9" s="355" t="str" cm="1">
        <f t="array" aca="1" ref="S9" ca="1">IF(F9="", "", IF(F9=swtchResults.Baseline, "-", R9-Q9/S$7))</f>
        <v>-</v>
      </c>
      <c r="T9" s="355" t="str" cm="1">
        <f t="array" aca="1" ref="T9" ca="1">IF(F9="", "", IF(F9=swtchResults.Baseline, "-", R9-Q9/T$7))</f>
        <v>-</v>
      </c>
      <c r="U9" s="356" t="str">
        <f ca="1">IF(F9="", "", IF(F9=swtchResults.Baseline, "ref", IF(AND(Q9&lt;=0, R9&gt;0), "dominant", IF(AND(Q9&gt;0, R9&lt;0), "dominated", Q9/R9))))</f>
        <v>ref</v>
      </c>
      <c r="V9" s="357"/>
      <c r="W9" s="348">
        <v>1</v>
      </c>
      <c r="X9" s="349" t="str" cm="1">
        <f t="array" ref="X9">INDEX(rngStrats, W9)</f>
        <v>HPE</v>
      </c>
      <c r="Y9" s="358">
        <f ca="1">IFERROR(OFFSET(AB.Trace.MarkovQA.TotalDCosts.Root, 0, ('Results.Determ'!W9-1)*AB.Trace.CostsQA.NumCols), "")</f>
        <v>255.59046007705604</v>
      </c>
      <c r="Z9" s="359">
        <f ca="1">IFERROR(OFFSET(AB.Trace.MarkovQA.TotalDQALYs.Root, 0, ('Results.Determ'!W9-1)*AB.Trace.QALYsQA.NumCols), "")</f>
        <v>5.8367257516273154</v>
      </c>
      <c r="AA9" s="360">
        <f ca="1">IFERROR(OFFSET(AB.Trace.MarkovQA.TotalLYs.Root, 0, ('Results.Determ'!W9-1)*AB.Trace.MarkovQA.NumCols), "")</f>
        <v>8.9772810031266399</v>
      </c>
      <c r="AB9" s="360">
        <f ca="1">IFERROR(OFFSET(AB.Trace.Markov.DeathProb.Root, 0, ('Results.Determ'!W9-1)*AB.Trace.MarkovQA.NumCols), "")</f>
        <v>0.23233171061801591</v>
      </c>
      <c r="AC9" s="360">
        <f ca="1">IFERROR(OFFSET(A.Markov!$J$4, 0, ('Results.Determ'!$W9-1)*AB.Trace.MarkovQA.NumCols), "")</f>
        <v>2.2776148639012543</v>
      </c>
      <c r="AD9" s="360">
        <f ca="1">IFERROR(OFFSET(A.Markov!$L$4, 0, ('Results.Determ'!$W9-1)*AB.Trace.MarkovQA.NumCols), "")</f>
        <v>3.8222064209870239E-2</v>
      </c>
      <c r="AE9" s="360">
        <f ca="1">IFERROR(OFFSET(A.Markov!$N$4, 0, ('Results.Determ'!$W9-1)*AB.Trace.MarkovQA.NumCols), "")</f>
        <v>1.3308891232192848E-2</v>
      </c>
      <c r="AF9" s="360"/>
      <c r="AG9" s="360"/>
      <c r="AH9" s="360"/>
      <c r="AI9" s="360"/>
      <c r="AJ9" s="223"/>
    </row>
    <row r="10" spans="1:36" ht="12" customHeight="1" thickBot="1" x14ac:dyDescent="0.3">
      <c r="D10" s="10">
        <v>1</v>
      </c>
      <c r="E10" s="59"/>
      <c r="F10" s="224">
        <f ca="1">MATCH(SMALL(Y9:Y10, W10), Y9:Y10, 0)</f>
        <v>1</v>
      </c>
      <c r="G10" s="225" t="str" cm="1">
        <f t="array" aca="1" ref="G10" ca="1">INDEX(rngStrats, F10)</f>
        <v>HPE</v>
      </c>
      <c r="H10" s="273" cm="1">
        <f t="array" aca="1" ref="H10" ca="1">IFERROR(INDEX(Y9:Y10, F10), "")</f>
        <v>255.59046007705604</v>
      </c>
      <c r="I10" s="226" cm="1">
        <f t="array" aca="1" ref="I10" ca="1">IFERROR(INDEX(Z9:Z10, F10), "")</f>
        <v>5.8367257516273154</v>
      </c>
      <c r="J10" s="226">
        <f ca="1">IF(F10="", "", I10-H10/J$6)</f>
        <v>5.8239462286234627</v>
      </c>
      <c r="K10" s="227">
        <f ca="1">IF(G10="", "", I10-H10/K$6)</f>
        <v>5.8282060696247466</v>
      </c>
      <c r="L10" s="228"/>
      <c r="M10" s="273">
        <f ca="1">IF($W10=1, "", H10-H9)</f>
        <v>23.812252824768677</v>
      </c>
      <c r="N10" s="226">
        <f ca="1">IF($W10=1, "", I10-I9)</f>
        <v>-1.6760511927299326E-2</v>
      </c>
      <c r="O10" s="273" t="str">
        <f ca="1">IF($W10=1, "", IF(AND(M10&gt;0, N10&lt;0), "dominated", M10/N10))</f>
        <v>dominated</v>
      </c>
      <c r="P10" s="272"/>
      <c r="Q10" s="273" cm="1">
        <f t="array" aca="1" ref="Q10" ca="1">IF(F10="", "", IF(F10=swtchResults.Baseline, "-", H10-_xlfn.SINGLE(INDEX(Y9:Y10, swtchResults.Baseline))))</f>
        <v>23.812252824768677</v>
      </c>
      <c r="R10" s="226" cm="1">
        <f t="array" aca="1" ref="R10" ca="1">IF(F10="", "", IF(F10=swtchResults.Baseline, "-", I10-_xlfn.SINGLE(INDEX(Z9:Z10, swtchResults.Baseline))))</f>
        <v>-1.6760511927299326E-2</v>
      </c>
      <c r="S10" s="227" cm="1">
        <f t="array" aca="1" ref="S10" ca="1">IF(F10="", "", IF(F10=swtchResults.Baseline, "-", R10-Q10/S$7))</f>
        <v>-1.7951124568537761E-2</v>
      </c>
      <c r="T10" s="227" cm="1">
        <f t="array" aca="1" ref="T10" ca="1">IF(F10="", "", IF(F10=swtchResults.Baseline, "-", R10-Q10/T$7))</f>
        <v>-1.7554253688124948E-2</v>
      </c>
      <c r="U10" s="229" t="str">
        <f ca="1">IF(F10="", "", IF(F10=swtchResults.Baseline, "ref", IF(AND(Q10&lt;=0, R10&gt;0), "dominant", IF(AND(Q10&gt;0, R10&lt;0), "dominated", Q10/R10))))</f>
        <v>dominated</v>
      </c>
      <c r="V10" s="219"/>
      <c r="W10" s="224">
        <f>W9+1</f>
        <v>2</v>
      </c>
      <c r="X10" s="225" t="str" cm="1">
        <f t="array" ref="X10">INDEX(rngStrats, W10)</f>
        <v>No HPE</v>
      </c>
      <c r="Y10" s="230">
        <f ca="1">IFERROR(OFFSET(AB.Trace.MarkovQA.TotalDCosts.Root, 0, ('Results.Determ'!W10-1)*AB.Trace.CostsQA.NumCols), "")</f>
        <v>231.77820725228736</v>
      </c>
      <c r="Z10" s="231">
        <f ca="1">IFERROR(OFFSET(AB.Trace.MarkovQA.TotalDQALYs.Root, 0, ('Results.Determ'!W10-1)*AB.Trace.QALYsQA.NumCols), "")</f>
        <v>5.8534862635546148</v>
      </c>
      <c r="AA10" s="232">
        <f ca="1">IFERROR(OFFSET(AB.Trace.MarkovQA.TotalLYs.Root, 0, ('Results.Determ'!W10-1)*AB.Trace.MarkovQA.NumCols), "")</f>
        <v>8.9828391516594852</v>
      </c>
      <c r="AB10" s="232">
        <f ca="1">IFERROR(OFFSET(AB.Trace.Markov.DeathProb.Root, 0, ('Results.Determ'!W10-1)*AB.Trace.MarkovQA.NumCols), "")</f>
        <v>0.23172393111863668</v>
      </c>
      <c r="AC10" s="232">
        <f ca="1">IFERROR(OFFSET(A.Markov!$J$4, 0, ('Results.Determ'!$W10-1)*AB.Trace.MarkovQA.NumCols), "")</f>
        <v>1.6898792295205209</v>
      </c>
      <c r="AD10" s="232">
        <f ca="1">IFERROR(OFFSET(A.Markov!$L$4, 0, ('Results.Determ'!$W10-1)*AB.Trace.MarkovQA.NumCols), "")</f>
        <v>2.6066723513575196E-2</v>
      </c>
      <c r="AE10" s="232">
        <f ca="1">IFERROR(OFFSET(A.Markov!$N$4, 0, ('Results.Determ'!$W10-1)*AB.Trace.MarkovQA.NumCols), "")</f>
        <v>9.995343931794444E-3</v>
      </c>
      <c r="AF10" s="232"/>
      <c r="AG10" s="232"/>
      <c r="AH10" s="232"/>
      <c r="AI10" s="232"/>
      <c r="AJ10" s="223"/>
    </row>
    <row r="11" spans="1:36" ht="12" customHeight="1" thickBot="1" x14ac:dyDescent="0.3">
      <c r="D11" s="10">
        <f t="shared" ref="D11:D40" si="0">D8+1</f>
        <v>2</v>
      </c>
      <c r="E11" s="59"/>
      <c r="F11" s="481" t="str" cm="1">
        <f t="array" ref="F11">INDEX(lstQs, D12)</f>
        <v>B: No gastroprotection - NSAIDs in people with ulcer history</v>
      </c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482"/>
      <c r="S11" s="482"/>
      <c r="T11" s="482"/>
      <c r="U11" s="482"/>
      <c r="V11" s="482"/>
      <c r="W11" s="482"/>
      <c r="X11" s="482"/>
      <c r="Y11" s="482"/>
      <c r="Z11" s="482"/>
      <c r="AA11" s="483"/>
      <c r="AB11" s="414"/>
      <c r="AC11" s="414"/>
      <c r="AD11" s="414"/>
      <c r="AE11" s="414"/>
      <c r="AF11" s="414"/>
      <c r="AG11" s="414"/>
      <c r="AH11" s="414"/>
      <c r="AI11" s="414"/>
      <c r="AJ11" s="10"/>
    </row>
    <row r="12" spans="1:36" ht="12" customHeight="1" x14ac:dyDescent="0.25">
      <c r="D12" s="10">
        <f t="shared" si="0"/>
        <v>2</v>
      </c>
      <c r="E12" s="59"/>
      <c r="F12" s="348">
        <f ca="1">MATCH(SMALL(Y12:Y13, W12), Y12:Y13, 0)</f>
        <v>2</v>
      </c>
      <c r="G12" s="349" t="str" cm="1">
        <f t="array" aca="1" ref="G12" ca="1">INDEX(rngStrats, F12)</f>
        <v>No HPE</v>
      </c>
      <c r="H12" s="350" cm="1">
        <f t="array" aca="1" ref="H12" ca="1">IFERROR(INDEX(Y12:Y13, F12), "")</f>
        <v>249.90391281788305</v>
      </c>
      <c r="I12" s="351" cm="1">
        <f t="array" aca="1" ref="I12" ca="1">IFERROR(INDEX(Z12:Z13, F12), "")</f>
        <v>6.7151149682116973</v>
      </c>
      <c r="J12" s="351">
        <f ca="1">IF(F12="", "", I12-H12/J$6)</f>
        <v>6.7026197725708032</v>
      </c>
      <c r="K12" s="351">
        <f ca="1">IF(G12="", "", I12-H12/K$6)</f>
        <v>6.7067848377844346</v>
      </c>
      <c r="L12" s="352"/>
      <c r="M12" s="350" t="str">
        <f>IF($W12=1, "", H12-H11)</f>
        <v/>
      </c>
      <c r="N12" s="351" t="str">
        <f>IF($W12=1, "", I12-I11)</f>
        <v/>
      </c>
      <c r="O12" s="350" t="str">
        <f>IF($W12=1, "", IF(AND(M12&gt;0, N12&lt;0), "dominated", M12/N12))</f>
        <v/>
      </c>
      <c r="P12" s="353"/>
      <c r="Q12" s="354" t="str" cm="1">
        <f t="array" aca="1" ref="Q12" ca="1">IF(F12="", "", IF(F12=swtchResults.Baseline, "-", H12-_xlfn.SINGLE(INDEX(Y12:Y13, swtchResults.Baseline))))</f>
        <v>-</v>
      </c>
      <c r="R12" s="353" t="str" cm="1">
        <f t="array" aca="1" ref="R12" ca="1">IF(F12="", "", IF(F12=swtchResults.Baseline, "-", I12-_xlfn.SINGLE(INDEX(Z12:Z13, swtchResults.Baseline))))</f>
        <v>-</v>
      </c>
      <c r="S12" s="355" t="str" cm="1">
        <f t="array" aca="1" ref="S12" ca="1">IF(F12="", "", IF(F12=swtchResults.Baseline, "-", R12-Q12/S$7))</f>
        <v>-</v>
      </c>
      <c r="T12" s="355" t="str" cm="1">
        <f t="array" aca="1" ref="T12" ca="1">IF(F12="", "", IF(F12=swtchResults.Baseline, "-", R12-Q12/T$7))</f>
        <v>-</v>
      </c>
      <c r="U12" s="356" t="str">
        <f ca="1">IF(F12="", "", IF(F12=swtchResults.Baseline, "ref", IF(AND(Q12&lt;=0, R12&gt;0), "dominant", IF(AND(Q12&gt;0, R12&lt;0), "dominated", Q12/R12))))</f>
        <v>ref</v>
      </c>
      <c r="V12" s="219"/>
      <c r="W12" s="215">
        <v>1</v>
      </c>
      <c r="X12" s="216" t="str" cm="1">
        <f t="array" ref="X12">INDEX(rngStrats, W12)</f>
        <v>HPE</v>
      </c>
      <c r="Y12" s="220">
        <f ca="1">IFERROR(OFFSET(AB.Trace.MarkovQB.TotalDCosts.Root, 0, ('Results.Determ'!W12-1)*AB.Trace.CostsQB.NumCols), "")</f>
        <v>274.2912485058751</v>
      </c>
      <c r="Z12" s="221">
        <f ca="1">IFERROR(OFFSET(AB.Trace.MarkovQB.TotalDQALYs.Root, 0, ('Results.Determ'!W12-1)*AB.Trace.QALYsQB.NumCols), "")</f>
        <v>6.7005639979077802</v>
      </c>
      <c r="AA12" s="222">
        <f ca="1">IFERROR(OFFSET(AB.Trace.MarkovQB.TotalLYs.Root, 0, ('Results.Determ'!W12-1)*AB.Trace.MarkovQB.NumCols), "")</f>
        <v>9.7320700288067652</v>
      </c>
      <c r="AB12" s="222">
        <f ca="1">IFERROR(OFFSET(B.Trace.Markov.DeathProb.Root, 0, ('Results.Determ'!W12-1)*AB.Trace.MarkovQB.NumCols), "")</f>
        <v>6.0997905967087658E-2</v>
      </c>
      <c r="AC12" s="360">
        <f ca="1">IFERROR(OFFSET(B.Markov!$J$4, 0, ('Results.Determ'!$W12-1)*AB.Trace.MarkovQB.NumCols), "")</f>
        <v>2.4284393250430227</v>
      </c>
      <c r="AD12" s="360">
        <f ca="1">IFERROR(OFFSET(B.Markov!$L$4, 0, ('Results.Determ'!$W12-1)*AB.Trace.MarkovQB.NumCols), "")</f>
        <v>4.0618931941475901E-2</v>
      </c>
      <c r="AE12" s="360">
        <f ca="1">IFERROR(OFFSET(B.Markov!$N$4, 0, ('Results.Determ'!$W12-1)*AB.Trace.MarkovQB.NumCols), "")</f>
        <v>1.4197283454150498E-2</v>
      </c>
      <c r="AF12" s="360"/>
      <c r="AG12" s="360"/>
      <c r="AH12" s="360"/>
      <c r="AI12" s="360"/>
      <c r="AJ12" s="223"/>
    </row>
    <row r="13" spans="1:36" ht="12" customHeight="1" thickBot="1" x14ac:dyDescent="0.3">
      <c r="D13" s="10">
        <f t="shared" si="0"/>
        <v>2</v>
      </c>
      <c r="E13" s="59"/>
      <c r="F13" s="224">
        <f ca="1">MATCH(SMALL(Y12:Y13, W13), Y12:Y13, 0)</f>
        <v>1</v>
      </c>
      <c r="G13" s="225" t="str" cm="1">
        <f t="array" aca="1" ref="G13" ca="1">INDEX(rngStrats, F13)</f>
        <v>HPE</v>
      </c>
      <c r="H13" s="273" cm="1">
        <f t="array" aca="1" ref="H13" ca="1">IFERROR(INDEX(Y12:Y13, F13), "")</f>
        <v>274.2912485058751</v>
      </c>
      <c r="I13" s="226" cm="1">
        <f t="array" aca="1" ref="I13" ca="1">IFERROR(INDEX(Z12:Z13, F13), "")</f>
        <v>6.7005639979077802</v>
      </c>
      <c r="J13" s="226">
        <f ca="1">IF(F13="", "", I13-H13/J$6)</f>
        <v>6.6868494354824861</v>
      </c>
      <c r="K13" s="227">
        <f ca="1">IF(G13="", "", I13-H13/K$6)</f>
        <v>6.6914209562909175</v>
      </c>
      <c r="L13" s="228"/>
      <c r="M13" s="273">
        <f ca="1">IF($W13=1, "", H13-H12)</f>
        <v>24.387335687992049</v>
      </c>
      <c r="N13" s="226">
        <f ca="1">IF($W13=1, "", I13-I12)</f>
        <v>-1.4550970303917055E-2</v>
      </c>
      <c r="O13" s="273" t="str">
        <f ca="1">IF($W13=1, "", IF(AND(M13&gt;0, N13&lt;0), "dominated", M13/N13))</f>
        <v>dominated</v>
      </c>
      <c r="P13" s="272"/>
      <c r="Q13" s="273" cm="1">
        <f t="array" aca="1" ref="Q13" ca="1">IF(F13="", "", IF(F13=swtchResults.Baseline, "-", H13-_xlfn.SINGLE(INDEX(Y12:Y13, swtchResults.Baseline))))</f>
        <v>24.387335687992049</v>
      </c>
      <c r="R13" s="226" cm="1">
        <f t="array" aca="1" ref="R13" ca="1">IF(F13="", "", IF(F13=swtchResults.Baseline, "-", I13-_xlfn.SINGLE(INDEX(Z12:Z13, swtchResults.Baseline))))</f>
        <v>-1.4550970303917055E-2</v>
      </c>
      <c r="S13" s="227" cm="1">
        <f t="array" aca="1" ref="S13" ca="1">IF(F13="", "", IF(F13=swtchResults.Baseline, "-", R13-Q13/S$7))</f>
        <v>-1.5770337088316658E-2</v>
      </c>
      <c r="T13" s="227" cm="1">
        <f t="array" aca="1" ref="T13" ca="1">IF(F13="", "", IF(F13=swtchResults.Baseline, "-", R13-Q13/T$7))</f>
        <v>-1.5363881493516789E-2</v>
      </c>
      <c r="U13" s="229" t="str">
        <f ca="1">IF(F13="", "", IF(F13=swtchResults.Baseline, "ref", IF(AND(Q13&lt;=0, R13&gt;0), "dominant", IF(AND(Q13&gt;0, R13&lt;0), "dominated", Q13/R13))))</f>
        <v>dominated</v>
      </c>
      <c r="V13" s="219"/>
      <c r="W13" s="224">
        <f>W12+1</f>
        <v>2</v>
      </c>
      <c r="X13" s="225" t="str" cm="1">
        <f t="array" ref="X13">INDEX(rngStrats, W13)</f>
        <v>No HPE</v>
      </c>
      <c r="Y13" s="230">
        <f ca="1">IFERROR(OFFSET(AB.Trace.MarkovQB.TotalDCosts.Root, 0, ('Results.Determ'!W13-1)*AB.Trace.CostsQB.NumCols), "")</f>
        <v>249.90391281788305</v>
      </c>
      <c r="Z13" s="231">
        <f ca="1">IFERROR(OFFSET(AB.Trace.MarkovQB.TotalDQALYs.Root, 0, ('Results.Determ'!W13-1)*AB.Trace.QALYsQB.NumCols), "")</f>
        <v>6.7151149682116973</v>
      </c>
      <c r="AA13" s="232">
        <f ca="1">IFERROR(OFFSET(AB.Trace.MarkovQB.TotalLYs.Root, 0, ('Results.Determ'!W13-1)*AB.Trace.MarkovQB.NumCols), "")</f>
        <v>9.7336432857240798</v>
      </c>
      <c r="AB13" s="232">
        <f ca="1">IFERROR(OFFSET(B.Trace.Markov.DeathProb.Root, 0, ('Results.Determ'!W13-1)*AB.Trace.MarkovQB.NumCols), "")</f>
        <v>6.080759941093624E-2</v>
      </c>
      <c r="AC13" s="232">
        <f ca="1">IFERROR(OFFSET(B.Markov!$J$4, 0, ('Results.Determ'!$W13-1)*AB.Trace.MarkovQB.NumCols), "")</f>
        <v>1.8265446418693543</v>
      </c>
      <c r="AD13" s="232">
        <f ca="1">IFERROR(OFFSET(B.Markov!$L$4, 0, ('Results.Determ'!$W13-1)*AB.Trace.MarkovQB.NumCols), "")</f>
        <v>2.8174814704551358E-2</v>
      </c>
      <c r="AE13" s="232">
        <f ca="1">IFERROR(OFFSET(B.Markov!$N$4, 0, ('Results.Determ'!$W13-1)*AB.Trace.MarkovQB.NumCols), "")</f>
        <v>1.0803696254341596E-2</v>
      </c>
      <c r="AF13" s="232"/>
      <c r="AG13" s="232"/>
      <c r="AH13" s="232"/>
      <c r="AI13" s="232"/>
      <c r="AJ13" s="223"/>
    </row>
    <row r="14" spans="1:36" ht="12" customHeight="1" thickBot="1" x14ac:dyDescent="0.3">
      <c r="D14" s="10">
        <f t="shared" si="0"/>
        <v>3</v>
      </c>
      <c r="E14" s="59"/>
      <c r="F14" s="481" t="str" cm="1">
        <f t="array" ref="F14">INDEX(lstQs, D15)</f>
        <v>C: NSAIDs - DOAC/warfarin</v>
      </c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482"/>
      <c r="S14" s="482"/>
      <c r="T14" s="482"/>
      <c r="U14" s="482"/>
      <c r="V14" s="482"/>
      <c r="W14" s="482"/>
      <c r="X14" s="482"/>
      <c r="Y14" s="482"/>
      <c r="Z14" s="482"/>
      <c r="AA14" s="483"/>
      <c r="AB14" s="414"/>
      <c r="AC14" s="414"/>
      <c r="AD14" s="414"/>
      <c r="AE14" s="414"/>
      <c r="AF14" s="414"/>
      <c r="AG14" s="414"/>
      <c r="AH14" s="414"/>
      <c r="AI14" s="414"/>
      <c r="AJ14" s="10"/>
    </row>
    <row r="15" spans="1:36" ht="12" customHeight="1" x14ac:dyDescent="0.25">
      <c r="D15" s="10">
        <f t="shared" si="0"/>
        <v>3</v>
      </c>
      <c r="F15" s="348">
        <f ca="1">MATCH(SMALL(Y15:Y16, W15), Y15:Y16, 0)</f>
        <v>2</v>
      </c>
      <c r="G15" s="349" t="str" cm="1">
        <f t="array" aca="1" ref="G15" ca="1">INDEX(rngStrats, F15)</f>
        <v>No HPE</v>
      </c>
      <c r="H15" s="350" cm="1">
        <f t="array" aca="1" ref="H15" ca="1">IFERROR(INDEX(Y15:Y16, F15), "")</f>
        <v>1423.4485006714249</v>
      </c>
      <c r="I15" s="351" cm="1">
        <f t="array" aca="1" ref="I15" ca="1">IFERROR(INDEX(Z15:Z16, F15), "")</f>
        <v>4.9063637469178323</v>
      </c>
      <c r="J15" s="351">
        <f ca="1">IF(F15="", "", I15-H15/J$6)</f>
        <v>4.8351913218842615</v>
      </c>
      <c r="K15" s="351">
        <f ca="1">IF(G15="", "", I15-H15/K$6)</f>
        <v>4.8589154635621181</v>
      </c>
      <c r="L15" s="352"/>
      <c r="M15" s="350" t="str">
        <f>IF($W15=1, "", H15-H14)</f>
        <v/>
      </c>
      <c r="N15" s="351" t="str">
        <f>IF($W15=1, "", I15-I14)</f>
        <v/>
      </c>
      <c r="O15" s="350" t="str">
        <f>IF($W15=1, "", IF(AND(M15&gt;0, N15&lt;0), "dominated", M15/N15))</f>
        <v/>
      </c>
      <c r="P15" s="353"/>
      <c r="Q15" s="354" t="str" cm="1">
        <f t="array" aca="1" ref="Q15" ca="1">IF(F15="", "", IF(F15=swtchResults.Baseline, "-", H15-_xlfn.SINGLE(INDEX(Y15:Y16, swtchResults.Baseline))))</f>
        <v>-</v>
      </c>
      <c r="R15" s="353" t="str" cm="1">
        <f t="array" aca="1" ref="R15" ca="1">IF(F15="", "", IF(F15=swtchResults.Baseline, "-", I15-_xlfn.SINGLE(INDEX(Z15:Z16, swtchResults.Baseline))))</f>
        <v>-</v>
      </c>
      <c r="S15" s="355" t="str" cm="1">
        <f t="array" aca="1" ref="S15" ca="1">IF(F15="", "", IF(F15=swtchResults.Baseline, "-", R15-Q15/S$7))</f>
        <v>-</v>
      </c>
      <c r="T15" s="355" t="str" cm="1">
        <f t="array" aca="1" ref="T15" ca="1">IF(F15="", "", IF(F15=swtchResults.Baseline, "-", R15-Q15/T$7))</f>
        <v>-</v>
      </c>
      <c r="U15" s="356" t="str">
        <f ca="1">IF(F15="", "", IF(F15=swtchResults.Baseline, "ref", IF(AND(Q15&lt;=0, R15&gt;0), "dominant", IF(AND(Q15&gt;0, R15&lt;0), "dominated", Q15/R15))))</f>
        <v>ref</v>
      </c>
      <c r="V15" s="60"/>
      <c r="W15" s="215">
        <v>1</v>
      </c>
      <c r="X15" s="216" t="str" cm="1">
        <f t="array" ref="X15">INDEX(rngStrats, W15)</f>
        <v>HPE</v>
      </c>
      <c r="Y15" s="220">
        <f ca="1">IFERROR(OFFSET(C.Trace.Markov.TotalDCosts.Root, 0, ('Results.Determ'!W15-1)*C.Trace.Costs.NumCols), "")</f>
        <v>2443.3890750479381</v>
      </c>
      <c r="Z15" s="221">
        <f ca="1">IFERROR(OFFSET(C.Trace.Markov.TotalDQALYs.Root, 0, ('Results.Determ'!W15-1)*C.Trace.QALYs.NumCols), "")</f>
        <v>4.8196416870749408</v>
      </c>
      <c r="AA15" s="222">
        <f ca="1">IFERROR(OFFSET(C.Trace.Markov.TotalLYs.Root, 0, ('Results.Determ'!W15-1)*C.Trace.Markov.NumCols), "")</f>
        <v>7.6809609099986798</v>
      </c>
      <c r="AB15" s="222">
        <f ca="1">IFERROR(OFFSET(C.Trace.Markov.DeathProb.Root, 0, ('Results.Determ'!W15-1)*C.Trace.Markov.NumCols), "")</f>
        <v>0.49246077079843226</v>
      </c>
      <c r="AC15" s="360">
        <f ca="1">IFERROR(OFFSET('C.Markov'!$J$4, 0, ('Results.Determ'!$W15-1)*C.Trace.Markov.NumCols), "")</f>
        <v>0.35852602189752703</v>
      </c>
      <c r="AD15" s="360">
        <f ca="1">IFERROR(OFFSET('C.Markov'!$L$4, 0, ('Results.Determ'!$W15-1)*C.Trace.Markov.NumCols), "")</f>
        <v>1.3182411666714116E-2</v>
      </c>
      <c r="AE15" s="360">
        <f ca="1">IFERROR(OFFSET('C.Markov'!$N$4, 0, ('Results.Determ'!$W15-1)*C.Trace.Markov.NumCols), "")</f>
        <v>0.1166762894595664</v>
      </c>
      <c r="AF15" s="360">
        <f ca="1">IFERROR(OFFSET('C.Markov'!$W$4, 0, ('Results.Determ'!$W15-1)*C.Trace.Markov.NumCols), "")</f>
        <v>0.13939277509996614</v>
      </c>
      <c r="AG15" s="360"/>
      <c r="AH15" s="360"/>
      <c r="AI15" s="360"/>
    </row>
    <row r="16" spans="1:36" ht="12" customHeight="1" thickBot="1" x14ac:dyDescent="0.3">
      <c r="D16" s="10">
        <f t="shared" si="0"/>
        <v>3</v>
      </c>
      <c r="E16" s="59"/>
      <c r="F16" s="224">
        <f ca="1">MATCH(SMALL(Y15:Y16, W16), Y15:Y16, 0)</f>
        <v>1</v>
      </c>
      <c r="G16" s="225" t="str" cm="1">
        <f t="array" aca="1" ref="G16" ca="1">INDEX(rngStrats, F16)</f>
        <v>HPE</v>
      </c>
      <c r="H16" s="273" cm="1">
        <f t="array" aca="1" ref="H16" ca="1">IFERROR(INDEX(Y15:Y16, F16), "")</f>
        <v>2443.3890750479381</v>
      </c>
      <c r="I16" s="226" cm="1">
        <f t="array" aca="1" ref="I16" ca="1">IFERROR(INDEX(Z15:Z16, F16), "")</f>
        <v>4.8196416870749408</v>
      </c>
      <c r="J16" s="226">
        <f ca="1">IF(F16="", "", I16-H16/J$6)</f>
        <v>4.6974722333225438</v>
      </c>
      <c r="K16" s="227">
        <f ca="1">IF(G16="", "", I16-H16/K$6)</f>
        <v>4.7381953845733431</v>
      </c>
      <c r="L16" s="228"/>
      <c r="M16" s="273">
        <f ca="1">IF($W16=1, "", H16-H15)</f>
        <v>1019.9405743765133</v>
      </c>
      <c r="N16" s="226">
        <f ca="1">IF($W16=1, "", I16-I15)</f>
        <v>-8.6722059842891497E-2</v>
      </c>
      <c r="O16" s="273" t="str">
        <f ca="1">IF($W16=1, "", IF(AND(M16&gt;0, N16&lt;0), "dominated", M16/N16))</f>
        <v>dominated</v>
      </c>
      <c r="P16" s="272"/>
      <c r="Q16" s="273" cm="1">
        <f t="array" aca="1" ref="Q16" ca="1">IF(F16="", "", IF(F16=swtchResults.Baseline, "-", H16-_xlfn.SINGLE(INDEX(Y15:Y16, swtchResults.Baseline))))</f>
        <v>1019.9405743765133</v>
      </c>
      <c r="R16" s="226" cm="1">
        <f t="array" aca="1" ref="R16" ca="1">IF(F16="", "", IF(F16=swtchResults.Baseline, "-", I16-_xlfn.SINGLE(INDEX(Z15:Z16, swtchResults.Baseline))))</f>
        <v>-8.6722059842891497E-2</v>
      </c>
      <c r="S16" s="227" cm="1">
        <f t="array" aca="1" ref="S16" ca="1">IF(F16="", "", IF(F16=swtchResults.Baseline, "-", R16-Q16/S$7))</f>
        <v>-0.13771908856171716</v>
      </c>
      <c r="T16" s="227" cm="1">
        <f t="array" aca="1" ref="T16" ca="1">IF(F16="", "", IF(F16=swtchResults.Baseline, "-", R16-Q16/T$7))</f>
        <v>-0.12072007898877526</v>
      </c>
      <c r="U16" s="229" t="str">
        <f ca="1">IF(F16="", "", IF(F16=swtchResults.Baseline, "ref", IF(AND(Q16&lt;=0, R16&gt;0), "dominant", IF(AND(Q16&gt;0, R16&lt;0), "dominated", Q16/R16))))</f>
        <v>dominated</v>
      </c>
      <c r="W16" s="224">
        <f>W15+1</f>
        <v>2</v>
      </c>
      <c r="X16" s="225" t="str" cm="1">
        <f t="array" ref="X16">INDEX(rngStrats, W16)</f>
        <v>No HPE</v>
      </c>
      <c r="Y16" s="230">
        <f ca="1">IFERROR(OFFSET(C.Trace.Markov.TotalDCosts.Root, 0, ('Results.Determ'!W16-1)*C.Trace.Costs.NumCols), "")</f>
        <v>1423.4485006714249</v>
      </c>
      <c r="Z16" s="231">
        <f ca="1">IFERROR(OFFSET(C.Trace.Markov.TotalDQALYs.Root, 0, ('Results.Determ'!W16-1)*C.Trace.QALYs.NumCols), "")</f>
        <v>4.9063637469178323</v>
      </c>
      <c r="AA16" s="232">
        <f ca="1">IFERROR(OFFSET(C.Trace.Markov.TotalLYs.Root, 0, ('Results.Determ'!W16-1)*C.Trace.Markov.NumCols), "")</f>
        <v>7.736259201154513</v>
      </c>
      <c r="AB16" s="232">
        <f ca="1">IFERROR(OFFSET(C.Trace.Markov.DeathProb.Root, 0, ('Results.Determ'!W16-1)*C.Trace.Markov.NumCols), "")</f>
        <v>0.48209285805324259</v>
      </c>
      <c r="AC16" s="232">
        <f ca="1">IFERROR(OFFSET('C.Markov'!$J$4, 0, ('Results.Determ'!$W16-1)*C.Trace.Markov.NumCols), "")</f>
        <v>0.21019833241658026</v>
      </c>
      <c r="AD16" s="232">
        <f ca="1">IFERROR(OFFSET('C.Markov'!$L$4, 0, ('Results.Determ'!$W16-1)*C.Trace.Markov.NumCols), "")</f>
        <v>9.2367388098443977E-3</v>
      </c>
      <c r="AE16" s="232">
        <f ca="1">IFERROR(OFFSET('C.Markov'!$N$4, 0, ('Results.Determ'!$W16-1)*C.Trace.Markov.NumCols), "")</f>
        <v>5.0115518861601149E-2</v>
      </c>
      <c r="AF16" s="232">
        <f ca="1">IFERROR(OFFSET('C.Markov'!$W$4, 0, ('Results.Determ'!$W16-1)*C.Trace.Markov.NumCols), "")</f>
        <v>6.5227959582850811E-2</v>
      </c>
      <c r="AG16" s="232"/>
      <c r="AH16" s="232"/>
      <c r="AI16" s="232"/>
      <c r="AJ16" s="10"/>
    </row>
    <row r="17" spans="4:36" ht="12" customHeight="1" thickBot="1" x14ac:dyDescent="0.3">
      <c r="D17" s="10">
        <f t="shared" si="0"/>
        <v>4</v>
      </c>
      <c r="E17" s="59"/>
      <c r="F17" s="481" t="str" cm="1">
        <f t="array" ref="F17">INDEX(lstQs, D18)</f>
        <v>D: NSAIDs - HF</v>
      </c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3"/>
      <c r="AB17" s="414"/>
      <c r="AC17" s="414"/>
      <c r="AD17" s="414"/>
      <c r="AE17" s="414"/>
      <c r="AF17" s="414"/>
      <c r="AG17" s="419"/>
      <c r="AH17" s="419"/>
      <c r="AI17" s="419"/>
      <c r="AJ17" s="10"/>
    </row>
    <row r="18" spans="4:36" ht="12" customHeight="1" x14ac:dyDescent="0.25">
      <c r="D18" s="10">
        <f t="shared" si="0"/>
        <v>4</v>
      </c>
      <c r="F18" s="348">
        <f ca="1">MATCH(SMALL(Y18:Y19, W18), Y18:Y19, 0)</f>
        <v>2</v>
      </c>
      <c r="G18" s="349" t="str" cm="1">
        <f t="array" aca="1" ref="G18" ca="1">INDEX(rngStrats, F18)</f>
        <v>No HPE</v>
      </c>
      <c r="H18" s="350" cm="1">
        <f t="array" aca="1" ref="H18" ca="1">IFERROR(INDEX(Y18:Y19, F18), "")</f>
        <v>12580.873389537121</v>
      </c>
      <c r="I18" s="351" cm="1">
        <f t="array" aca="1" ref="I18" ca="1">IFERROR(INDEX(Z18:Z19, F18), "")</f>
        <v>3.0483975492336235</v>
      </c>
      <c r="J18" s="351">
        <f ca="1">IF(F18="", "", I18-H18/J$6)</f>
        <v>2.4193538797567675</v>
      </c>
      <c r="K18" s="351">
        <f ca="1">IF(G18="", "", I18-H18/K$6)</f>
        <v>2.6290351029157195</v>
      </c>
      <c r="L18" s="352"/>
      <c r="M18" s="350" t="str">
        <f>IF($W18=1, "", H18-H17)</f>
        <v/>
      </c>
      <c r="N18" s="351" t="str">
        <f>IF($W18=1, "", I18-I17)</f>
        <v/>
      </c>
      <c r="O18" s="350" t="str">
        <f>IF($W18=1, "", IF(AND(M18&gt;0, N18&lt;0), "dominated", M18/N18))</f>
        <v/>
      </c>
      <c r="P18" s="353"/>
      <c r="Q18" s="354" t="str" cm="1">
        <f t="array" aca="1" ref="Q18" ca="1">IF(F18="", "", IF(F18=swtchResults.Baseline, "-", H18-_xlfn.SINGLE(INDEX(Y18:Y19, swtchResults.Baseline))))</f>
        <v>-</v>
      </c>
      <c r="R18" s="353" t="str" cm="1">
        <f t="array" aca="1" ref="R18" ca="1">IF(F18="", "", IF(F18=swtchResults.Baseline, "-", I18-_xlfn.SINGLE(INDEX(Z18:Z19, swtchResults.Baseline))))</f>
        <v>-</v>
      </c>
      <c r="S18" s="355" t="str" cm="1">
        <f t="array" aca="1" ref="S18" ca="1">IF(F18="", "", IF(F18=swtchResults.Baseline, "-", R18-Q18/S$7))</f>
        <v>-</v>
      </c>
      <c r="T18" s="355" t="str" cm="1">
        <f t="array" aca="1" ref="T18" ca="1">IF(F18="", "", IF(F18=swtchResults.Baseline, "-", R18-Q18/T$7))</f>
        <v>-</v>
      </c>
      <c r="U18" s="356" t="str">
        <f ca="1">IF(F18="", "", IF(F18=swtchResults.Baseline, "ref", IF(AND(Q18&lt;=0, R18&gt;0), "dominant", IF(AND(Q18&gt;0, R18&lt;0), "dominated", Q18/R18))))</f>
        <v>ref</v>
      </c>
      <c r="W18" s="215">
        <v>1</v>
      </c>
      <c r="X18" s="216" t="str" cm="1">
        <f t="array" ref="X18">INDEX(rngStrats, W18)</f>
        <v>HPE</v>
      </c>
      <c r="Y18" s="220">
        <f ca="1">IFERROR(OFFSET(D.Trace.Markov.TotalDCosts.Root, 0, ('Results.Determ'!W18-1)*D.Trace.Costs.NumCols), "")</f>
        <v>12596.4688111784</v>
      </c>
      <c r="Z18" s="221">
        <f ca="1">IFERROR(OFFSET(D.Trace.Markov.TotalDQALYs.Root, 0, ('Results.Determ'!W18-1)*D.Trace.QALYs.NumCols), "")</f>
        <v>3.0026031694311963</v>
      </c>
      <c r="AA18" s="222">
        <f ca="1">IFERROR(OFFSET(D.Trace.Markov.TotalLYs.Root, 0, ('Results.Determ'!W18-1)*D.Trace.Markov.NumCols), "")</f>
        <v>4.8678916462407837</v>
      </c>
      <c r="AB18" s="222">
        <f ca="1">IFERROR(OFFSET(D.Trace.Markov.DeathProb.Root, 0, ('Results.Determ'!W18-1)*D.Trace.Markov.NumCols), "")</f>
        <v>0.82433545372929407</v>
      </c>
      <c r="AC18" s="222"/>
      <c r="AD18" s="222"/>
      <c r="AE18" s="222"/>
      <c r="AF18" s="222"/>
      <c r="AG18" s="360">
        <f ca="1">IFERROR(OFFSET(D.Markov!$V$4, 0, ('Results.Determ'!$W18-1)*D.Trace.Markov.NumCols), "")</f>
        <v>9.2592957243996032</v>
      </c>
      <c r="AH18" s="360"/>
      <c r="AI18" s="360"/>
    </row>
    <row r="19" spans="4:36" ht="12" customHeight="1" thickBot="1" x14ac:dyDescent="0.3">
      <c r="D19" s="10">
        <f t="shared" si="0"/>
        <v>4</v>
      </c>
      <c r="F19" s="224">
        <f ca="1">MATCH(SMALL(Y18:Y19, W19), Y18:Y19, 0)</f>
        <v>1</v>
      </c>
      <c r="G19" s="225" t="str" cm="1">
        <f t="array" aca="1" ref="G19" ca="1">INDEX(rngStrats, F19)</f>
        <v>HPE</v>
      </c>
      <c r="H19" s="273" cm="1">
        <f t="array" aca="1" ref="H19" ca="1">IFERROR(INDEX(Y18:Y19, F19), "")</f>
        <v>12596.4688111784</v>
      </c>
      <c r="I19" s="226" cm="1">
        <f t="array" aca="1" ref="I19" ca="1">IFERROR(INDEX(Z18:Z19, F19), "")</f>
        <v>3.0026031694311963</v>
      </c>
      <c r="J19" s="226">
        <f ca="1">IF(F19="", "", I19-H19/J$6)</f>
        <v>2.3727797288722763</v>
      </c>
      <c r="K19" s="227">
        <f ca="1">IF(G19="", "", I19-H19/K$6)</f>
        <v>2.5827208757252498</v>
      </c>
      <c r="L19" s="228"/>
      <c r="M19" s="273">
        <f ca="1">IF($W19=1, "", H19-H18)</f>
        <v>15.595421641279245</v>
      </c>
      <c r="N19" s="226">
        <f ca="1">IF($W19=1, "", I19-I18)</f>
        <v>-4.5794379802427176E-2</v>
      </c>
      <c r="O19" s="273" t="str">
        <f ca="1">IF($W19=1, "", IF(AND(M19&gt;0, N19&lt;0), "dominated", M19/N19))</f>
        <v>dominated</v>
      </c>
      <c r="P19" s="272"/>
      <c r="Q19" s="273" cm="1">
        <f t="array" aca="1" ref="Q19" ca="1">IF(F19="", "", IF(F19=swtchResults.Baseline, "-", H19-_xlfn.SINGLE(INDEX(Y18:Y19, swtchResults.Baseline))))</f>
        <v>15.595421641279245</v>
      </c>
      <c r="R19" s="226" cm="1">
        <f t="array" aca="1" ref="R19" ca="1">IF(F19="", "", IF(F19=swtchResults.Baseline, "-", I19-_xlfn.SINGLE(INDEX(Z18:Z19, swtchResults.Baseline))))</f>
        <v>-4.5794379802427176E-2</v>
      </c>
      <c r="S19" s="227" cm="1">
        <f t="array" aca="1" ref="S19" ca="1">IF(F19="", "", IF(F19=swtchResults.Baseline, "-", R19-Q19/S$7))</f>
        <v>-4.6574150884491142E-2</v>
      </c>
      <c r="T19" s="227" cm="1">
        <f t="array" aca="1" ref="T19" ca="1">IF(F19="", "", IF(F19=swtchResults.Baseline, "-", R19-Q19/T$7))</f>
        <v>-4.631422719046982E-2</v>
      </c>
      <c r="U19" s="229" t="str">
        <f ca="1">IF(F19="", "", IF(F19=swtchResults.Baseline, "ref", IF(AND(Q19&lt;=0, R19&gt;0), "dominant", IF(AND(Q19&gt;0, R19&lt;0), "dominated", Q19/R19))))</f>
        <v>dominated</v>
      </c>
      <c r="W19" s="224">
        <f>W18+1</f>
        <v>2</v>
      </c>
      <c r="X19" s="225" t="str" cm="1">
        <f t="array" ref="X19">INDEX(rngStrats, W19)</f>
        <v>No HPE</v>
      </c>
      <c r="Y19" s="230">
        <f ca="1">IFERROR(OFFSET(D.Trace.Markov.TotalDCosts.Root, 0, ('Results.Determ'!W19-1)*D.Trace.Costs.NumCols), "")</f>
        <v>12580.873389537121</v>
      </c>
      <c r="Z19" s="231">
        <f ca="1">IFERROR(OFFSET(D.Trace.Markov.TotalDQALYs.Root, 0, ('Results.Determ'!W19-1)*D.Trace.QALYs.NumCols), "")</f>
        <v>3.0483975492336235</v>
      </c>
      <c r="AA19" s="232">
        <f ca="1">IFERROR(OFFSET(D.Trace.Markov.TotalLYs.Root, 0, ('Results.Determ'!W19-1)*D.Trace.Markov.NumCols), "")</f>
        <v>4.9347775575450186</v>
      </c>
      <c r="AB19" s="232">
        <f ca="1">IFERROR(OFFSET(D.Trace.Markov.DeathProb.Root, 0, ('Results.Determ'!W19-1)*D.Trace.Markov.NumCols), "")</f>
        <v>0.82161777501334488</v>
      </c>
      <c r="AC19" s="232"/>
      <c r="AD19" s="232"/>
      <c r="AE19" s="232"/>
      <c r="AF19" s="232"/>
      <c r="AG19" s="232">
        <f ca="1">IFERROR(OFFSET(D.Markov!$V$4, 0, ('Results.Determ'!$W19-1)*D.Trace.Markov.NumCols), "")</f>
        <v>8.5032521603252906</v>
      </c>
      <c r="AH19" s="232"/>
      <c r="AI19" s="232"/>
    </row>
    <row r="20" spans="4:36" ht="12" customHeight="1" thickBot="1" x14ac:dyDescent="0.3">
      <c r="D20" s="10">
        <f t="shared" si="0"/>
        <v>5</v>
      </c>
      <c r="E20" s="59"/>
      <c r="F20" s="481" t="str" cm="1">
        <f t="array" ref="F20">INDEX(lstQs, D21)</f>
        <v>E: NSAIDs - CKD</v>
      </c>
      <c r="G20" s="482"/>
      <c r="H20" s="482"/>
      <c r="I20" s="482"/>
      <c r="J20" s="482"/>
      <c r="K20" s="482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Z20" s="482"/>
      <c r="AA20" s="483"/>
      <c r="AB20" s="414"/>
      <c r="AC20" s="414"/>
      <c r="AD20" s="414"/>
      <c r="AE20" s="414"/>
      <c r="AF20" s="414"/>
      <c r="AG20" s="414"/>
      <c r="AH20" s="414"/>
      <c r="AI20" s="414"/>
      <c r="AJ20" s="10"/>
    </row>
    <row r="21" spans="4:36" ht="12" customHeight="1" x14ac:dyDescent="0.25">
      <c r="D21" s="10">
        <f t="shared" si="0"/>
        <v>5</v>
      </c>
      <c r="F21" s="348">
        <f ca="1">MATCH(SMALL(Y21:Y22, W21), Y21:Y22, 0)</f>
        <v>2</v>
      </c>
      <c r="G21" s="349" t="str" cm="1">
        <f t="array" aca="1" ref="G21" ca="1">INDEX(rngStrats, F21)</f>
        <v>No HPE</v>
      </c>
      <c r="H21" s="350" cm="1">
        <f t="array" aca="1" ref="H21" ca="1">IFERROR(INDEX(Y21:Y22, F21), "")</f>
        <v>50005.372494009644</v>
      </c>
      <c r="I21" s="351" cm="1">
        <f t="array" aca="1" ref="I21" ca="1">IFERROR(INDEX(Z21:Z22, F21), "")</f>
        <v>4.6371651982714459</v>
      </c>
      <c r="J21" s="351">
        <f ca="1">IF(F21="", "", I21-H21/J$6)</f>
        <v>2.1368965735709637</v>
      </c>
      <c r="K21" s="351">
        <f ca="1">IF(G21="", "", I21-H21/K$6)</f>
        <v>2.9703194484711242</v>
      </c>
      <c r="L21" s="352"/>
      <c r="M21" s="350" t="str">
        <f>IF($W21=1, "", H21-H20)</f>
        <v/>
      </c>
      <c r="N21" s="351" t="str">
        <f>IF($W21=1, "", I21-I20)</f>
        <v/>
      </c>
      <c r="O21" s="350" t="str">
        <f>IF($W21=1, "", IF(AND(M21&gt;0, N21&lt;0), "dominated", M21/N21))</f>
        <v/>
      </c>
      <c r="P21" s="353"/>
      <c r="Q21" s="354" t="str" cm="1">
        <f t="array" aca="1" ref="Q21" ca="1">IF(F21="", "", IF(F21=swtchResults.Baseline, "-", H21-_xlfn.SINGLE(INDEX(Y21:Y22, swtchResults.Baseline))))</f>
        <v>-</v>
      </c>
      <c r="R21" s="353" t="str" cm="1">
        <f t="array" aca="1" ref="R21" ca="1">IF(F21="", "", IF(F21=swtchResults.Baseline, "-", I21-_xlfn.SINGLE(INDEX(Z21:Z22, swtchResults.Baseline))))</f>
        <v>-</v>
      </c>
      <c r="S21" s="355" t="str" cm="1">
        <f t="array" aca="1" ref="S21" ca="1">IF(F21="", "", IF(F21=swtchResults.Baseline, "-", R21-Q21/S$7))</f>
        <v>-</v>
      </c>
      <c r="T21" s="355" t="str" cm="1">
        <f t="array" aca="1" ref="T21" ca="1">IF(F21="", "", IF(F21=swtchResults.Baseline, "-", R21-Q21/T$7))</f>
        <v>-</v>
      </c>
      <c r="U21" s="356" t="str">
        <f ca="1">IF(F21="", "", IF(F21=swtchResults.Baseline, "ref", IF(AND(Q21&lt;=0, R21&gt;0), "dominant", IF(AND(Q21&gt;0, R21&lt;0), "dominated", Q21/R21))))</f>
        <v>ref</v>
      </c>
      <c r="V21" s="219"/>
      <c r="W21" s="215">
        <v>1</v>
      </c>
      <c r="X21" s="216" t="str" cm="1">
        <f t="array" ref="X21">INDEX(rngStrats, W21)</f>
        <v>HPE</v>
      </c>
      <c r="Y21" s="220">
        <f ca="1">IFERROR(OFFSET(E.Trace.Markov.TotalDCosts.Root, 0, ('Results.Determ'!W21-1)*E.Trace.Costs.NumCols), "")</f>
        <v>50215.77210630662</v>
      </c>
      <c r="Z21" s="221">
        <f ca="1">IFERROR(OFFSET(E.Trace.Markov.TotalDQALYs.Root, 0, ('Results.Determ'!W21-1)*E.Trace.QALYs.NumCols), "")</f>
        <v>4.5274690712736883</v>
      </c>
      <c r="AA21" s="222">
        <f ca="1">IFERROR(OFFSET(E.Trace.Markov.TotalLYs.Root, 0, ('Results.Determ'!W21-1)*E.Trace.Markov.NumCols), "")</f>
        <v>7.5809656762429656</v>
      </c>
      <c r="AB21" s="222">
        <f ca="1">IFERROR(OFFSET(E.Trace.Markov.DeathProb.Root, 0, ('Results.Determ'!W21-1)*E.Trace.Markov.NumCols), "")</f>
        <v>0.50095061659724427</v>
      </c>
      <c r="AC21" s="222"/>
      <c r="AD21" s="222"/>
      <c r="AE21" s="222"/>
      <c r="AF21" s="222"/>
      <c r="AG21" s="222"/>
      <c r="AH21" s="360">
        <f ca="1">IFERROR(OFFSET(E.Markov!$X$4, 0, ('Results.Determ'!$W21-1)*E.Trace.Markov.NumCols), "")</f>
        <v>0.80912358050991828</v>
      </c>
      <c r="AI21" s="360">
        <f ca="1">IFERROR(OFFSET(E.Markov!$Z$4, 0, ('Results.Determ'!$W21-1)*E.Trace.Markov.NumCols), "")</f>
        <v>0.28857015580038869</v>
      </c>
    </row>
    <row r="22" spans="4:36" ht="12" customHeight="1" thickBot="1" x14ac:dyDescent="0.3">
      <c r="D22" s="10">
        <f t="shared" si="0"/>
        <v>5</v>
      </c>
      <c r="F22" s="224">
        <f ca="1">MATCH(SMALL(Y21:Y22, W22), Y21:Y22, 0)</f>
        <v>1</v>
      </c>
      <c r="G22" s="225" t="str" cm="1">
        <f t="array" aca="1" ref="G22" ca="1">INDEX(rngStrats, F22)</f>
        <v>HPE</v>
      </c>
      <c r="H22" s="273" cm="1">
        <f t="array" aca="1" ref="H22" ca="1">IFERROR(INDEX(Y21:Y22, F22), "")</f>
        <v>50215.77210630662</v>
      </c>
      <c r="I22" s="226" cm="1">
        <f t="array" aca="1" ref="I22" ca="1">IFERROR(INDEX(Z21:Z22, F22), "")</f>
        <v>4.5274690712736883</v>
      </c>
      <c r="J22" s="226">
        <f ca="1">IF(F22="", "", I22-H22/J$6)</f>
        <v>2.0166804659583573</v>
      </c>
      <c r="K22" s="227">
        <f ca="1">IF(G22="", "", I22-H22/K$6)</f>
        <v>2.8536100010634673</v>
      </c>
      <c r="L22" s="228"/>
      <c r="M22" s="273">
        <f ca="1">IF($W22=1, "", H22-H21)</f>
        <v>210.39961229697656</v>
      </c>
      <c r="N22" s="226">
        <f ca="1">IF($W22=1, "", I22-I21)</f>
        <v>-0.10969612699775766</v>
      </c>
      <c r="O22" s="273" t="str">
        <f ca="1">IF($W22=1, "", IF(AND(M22&gt;0, N22&lt;0), "dominated", M22/N22))</f>
        <v>dominated</v>
      </c>
      <c r="P22" s="272"/>
      <c r="Q22" s="273" cm="1">
        <f t="array" aca="1" ref="Q22" ca="1">IF(F22="", "", IF(F22=swtchResults.Baseline, "-", H22-_xlfn.SINGLE(INDEX(Y21:Y22, swtchResults.Baseline))))</f>
        <v>210.39961229697656</v>
      </c>
      <c r="R22" s="226" cm="1">
        <f t="array" aca="1" ref="R22" ca="1">IF(F22="", "", IF(F22=swtchResults.Baseline, "-", I22-_xlfn.SINGLE(INDEX(Z21:Z22, swtchResults.Baseline))))</f>
        <v>-0.10969612699775766</v>
      </c>
      <c r="S22" s="227" cm="1">
        <f t="array" aca="1" ref="S22" ca="1">IF(F22="", "", IF(F22=swtchResults.Baseline, "-", R22-Q22/S$7))</f>
        <v>-0.12021610761260648</v>
      </c>
      <c r="T22" s="227" cm="1">
        <f t="array" aca="1" ref="T22" ca="1">IF(F22="", "", IF(F22=swtchResults.Baseline, "-", R22-Q22/T$7))</f>
        <v>-0.11670944740765687</v>
      </c>
      <c r="U22" s="229" t="str">
        <f ca="1">IF(F22="", "", IF(F22=swtchResults.Baseline, "ref", IF(AND(Q22&lt;=0, R22&gt;0), "dominant", IF(AND(Q22&gt;0, R22&lt;0), "dominated", Q22/R22))))</f>
        <v>dominated</v>
      </c>
      <c r="V22" s="219"/>
      <c r="W22" s="224">
        <f>W21+1</f>
        <v>2</v>
      </c>
      <c r="X22" s="225" t="str" cm="1">
        <f t="array" ref="X22">INDEX(rngStrats, W22)</f>
        <v>No HPE</v>
      </c>
      <c r="Y22" s="230">
        <f ca="1">IFERROR(OFFSET(E.Trace.Markov.TotalDCosts.Root, 0, ('Results.Determ'!W22-1)*E.Trace.Costs.NumCols), "")</f>
        <v>50005.372494009644</v>
      </c>
      <c r="Z22" s="231">
        <f ca="1">IFERROR(OFFSET(E.Trace.Markov.TotalDQALYs.Root, 0, ('Results.Determ'!W22-1)*E.Trace.QALYs.NumCols), "")</f>
        <v>4.6371651982714459</v>
      </c>
      <c r="AA22" s="232">
        <f ca="1">IFERROR(OFFSET(E.Trace.Markov.TotalLYs.Root, 0, ('Results.Determ'!W22-1)*E.Trace.Markov.NumCols), "")</f>
        <v>7.7680619718615329</v>
      </c>
      <c r="AB22" s="232">
        <f ca="1">IFERROR(OFFSET(E.Trace.Markov.DeathProb.Root, 0, ('Results.Determ'!W22-1)*E.Trace.Markov.NumCols), "")</f>
        <v>0.47531419729617164</v>
      </c>
      <c r="AC22" s="232"/>
      <c r="AD22" s="232"/>
      <c r="AE22" s="232"/>
      <c r="AF22" s="232"/>
      <c r="AG22" s="232"/>
      <c r="AH22" s="232">
        <f ca="1">IFERROR(OFFSET(E.Markov!$X$4, 0, ('Results.Determ'!$W22-1)*E.Trace.Markov.NumCols), "")</f>
        <v>0.60209786475798932</v>
      </c>
      <c r="AI22" s="232">
        <f ca="1">IFERROR(OFFSET(E.Markov!$Z$4, 0, ('Results.Determ'!$W22-1)*E.Trace.Markov.NumCols), "")</f>
        <v>0.29136075337219725</v>
      </c>
    </row>
    <row r="23" spans="4:36" ht="12" customHeight="1" thickBot="1" x14ac:dyDescent="0.3">
      <c r="D23" s="10">
        <f t="shared" si="0"/>
        <v>6</v>
      </c>
      <c r="E23" s="59"/>
      <c r="F23" s="481" t="str" cm="1">
        <f t="array" ref="F23">INDEX(lstQs, D24)</f>
        <v>Expected harm in England: query A</v>
      </c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Z23" s="482"/>
      <c r="AA23" s="483"/>
      <c r="AB23" s="414"/>
      <c r="AC23" s="414"/>
      <c r="AD23" s="414"/>
      <c r="AE23" s="414"/>
      <c r="AF23" s="414"/>
      <c r="AG23" s="414"/>
      <c r="AH23" s="414"/>
      <c r="AI23" s="414"/>
      <c r="AJ23" s="10"/>
    </row>
    <row r="24" spans="4:36" ht="12" customHeight="1" x14ac:dyDescent="0.25">
      <c r="D24" s="10">
        <f t="shared" si="0"/>
        <v>6</v>
      </c>
      <c r="E24" s="59"/>
      <c r="F24" s="348">
        <f ca="1">MATCH(SMALL(Y24:Y25, W24), Y24:Y25, 0)</f>
        <v>2</v>
      </c>
      <c r="G24" s="349" t="str" cm="1">
        <f t="array" aca="1" ref="G24" ca="1">INDEX(rngStrats, F24)</f>
        <v>No HPE</v>
      </c>
      <c r="H24" s="350" cm="1">
        <f t="array" aca="1" ref="H24" ca="1">IFERROR(INDEX(Y24:Y25, F24), "")</f>
        <v>0</v>
      </c>
      <c r="I24" s="351" cm="1">
        <f t="array" aca="1" ref="I24" ca="1">IFERROR(INDEX(Z24:Z25, F24), "")</f>
        <v>0</v>
      </c>
      <c r="J24" s="351">
        <f ca="1">IF(F24="", "", I24-H24/J$6)</f>
        <v>0</v>
      </c>
      <c r="K24" s="351">
        <f ca="1">IF(G24="", "", I24-H24/K$6)</f>
        <v>0</v>
      </c>
      <c r="L24" s="352"/>
      <c r="M24" s="350" t="str">
        <f>IF($W24=1, "", H24-H23)</f>
        <v/>
      </c>
      <c r="N24" s="351" t="str">
        <f>IF($W24=1, "", I24-I23)</f>
        <v/>
      </c>
      <c r="O24" s="350" t="str">
        <f>IF($W24=1, "", IF(AND(M24&gt;0, N24&lt;0), "dominated", M24/N24))</f>
        <v/>
      </c>
      <c r="P24" s="353"/>
      <c r="Q24" s="354" t="str" cm="1">
        <f t="array" aca="1" ref="Q24" ca="1">IF(F24="", "", IF(F24=swtchResults.Baseline, "-", H24-_xlfn.SINGLE(INDEX(Y24:Y25, swtchResults.Baseline))))</f>
        <v>-</v>
      </c>
      <c r="R24" s="353" t="str" cm="1">
        <f t="array" aca="1" ref="R24" ca="1">IF(F24="", "", IF(F24=swtchResults.Baseline, "-", I24-_xlfn.SINGLE(INDEX(Z24:Z25, swtchResults.Baseline))))</f>
        <v>-</v>
      </c>
      <c r="S24" s="370" t="str" cm="1">
        <f t="array" aca="1" ref="S24" ca="1">IF(F24="", "", IF(F24=swtchResults.Baseline, "-", R24-Q24/S$7))</f>
        <v>-</v>
      </c>
      <c r="T24" s="370" t="str" cm="1">
        <f t="array" aca="1" ref="T24" ca="1">IF(F24="", "", IF(F24=swtchResults.Baseline, "-", R24-Q24/T$7))</f>
        <v>-</v>
      </c>
      <c r="U24" s="356" t="str">
        <f ca="1">IF(F24="", "", IF(F24=swtchResults.Baseline, "ref", IF(AND(Q24&lt;=0, R24&gt;0), "dominant", IF(AND(Q24&gt;0, R24&lt;0), "dominated", Q24/R24))))</f>
        <v>ref</v>
      </c>
      <c r="W24" s="215">
        <v>1</v>
      </c>
      <c r="X24" s="216" t="str" cm="1">
        <f t="array" ref="X24">INDEX(rngStrats, W24)</f>
        <v>HPE</v>
      </c>
      <c r="Y24" s="220" cm="1">
        <f t="array" aca="1" ref="Y24" ca="1">IFERROR(INDEX(rngNSAIDsHarm.NationalCosts, $D24-5), "")</f>
        <v>2559187.2300709886</v>
      </c>
      <c r="Z24" s="221" cm="1">
        <f t="array" aca="1" ref="Z24" ca="1">IFERROR(INDEX(rngNSAIDsHarm.NationalQALYs, $D24-5), "")</f>
        <v>-1801.3116360490187</v>
      </c>
      <c r="AA24" s="222"/>
      <c r="AB24" s="222"/>
      <c r="AC24" s="222"/>
      <c r="AD24" s="222"/>
      <c r="AE24" s="222"/>
      <c r="AF24" s="222"/>
      <c r="AG24" s="222"/>
      <c r="AH24" s="222"/>
      <c r="AI24" s="222"/>
      <c r="AJ24" s="223"/>
    </row>
    <row r="25" spans="4:36" ht="12" customHeight="1" thickBot="1" x14ac:dyDescent="0.3">
      <c r="D25" s="10">
        <f t="shared" si="0"/>
        <v>6</v>
      </c>
      <c r="F25" s="224">
        <f ca="1">MATCH(SMALL(Y24:Y25, W25), Y24:Y25, 0)</f>
        <v>1</v>
      </c>
      <c r="G25" s="225" t="str" cm="1">
        <f t="array" aca="1" ref="G25" ca="1">INDEX(rngStrats, F25)</f>
        <v>HPE</v>
      </c>
      <c r="H25" s="273" cm="1">
        <f t="array" aca="1" ref="H25" ca="1">IFERROR(INDEX(Y24:Y25, F25), "")</f>
        <v>2559187.2300709886</v>
      </c>
      <c r="I25" s="226" cm="1">
        <f t="array" aca="1" ref="I25" ca="1">IFERROR(INDEX(Z24:Z25, F25), "")</f>
        <v>-1801.3116360490187</v>
      </c>
      <c r="J25" s="226">
        <f ca="1">IF(F25="", "", I25-H25/J$6)</f>
        <v>-1929.2709975525681</v>
      </c>
      <c r="K25" s="227">
        <f ca="1">IF(G25="", "", I25-H25/K$6)</f>
        <v>-1886.617877051385</v>
      </c>
      <c r="L25" s="228"/>
      <c r="M25" s="273">
        <f ca="1">IF($W25=1, "", H25-H24)</f>
        <v>2559187.2300709886</v>
      </c>
      <c r="N25" s="226">
        <f ca="1">IF($W25=1, "", I25-I24)</f>
        <v>-1801.3116360490187</v>
      </c>
      <c r="O25" s="273" t="str">
        <f ca="1">IF($W25=1, "", IF(AND(M25&gt;0, N25&lt;0), "dominated", M25/N25))</f>
        <v>dominated</v>
      </c>
      <c r="P25" s="272"/>
      <c r="Q25" s="273" cm="1">
        <f t="array" aca="1" ref="Q25" ca="1">IF(F25="", "", IF(F25=swtchResults.Baseline, "-", H25-_xlfn.SINGLE(INDEX(Y24:Y25, swtchResults.Baseline))))</f>
        <v>2559187.2300709886</v>
      </c>
      <c r="R25" s="226" cm="1">
        <f t="array" aca="1" ref="R25" ca="1">IF(F25="", "", IF(F25=swtchResults.Baseline, "-", I25-_xlfn.SINGLE(INDEX(Z24:Z25, swtchResults.Baseline))))</f>
        <v>-1801.3116360490187</v>
      </c>
      <c r="S25" s="371" cm="1">
        <f t="array" aca="1" ref="S25" ca="1">IF(F25="", "", IF(F25=swtchResults.Baseline, "-", R25-Q25/S$7))</f>
        <v>-1929.2709975525681</v>
      </c>
      <c r="T25" s="371" cm="1">
        <f t="array" aca="1" ref="T25" ca="1">IF(F25="", "", IF(F25=swtchResults.Baseline, "-", R25-Q25/T$7))</f>
        <v>-1886.617877051385</v>
      </c>
      <c r="U25" s="229" t="str">
        <f ca="1">IF(F25="", "", IF(F25=swtchResults.Baseline, "ref", IF(AND(Q25&lt;=0, R25&gt;0), "dominant", IF(AND(Q25&gt;0, R25&lt;0), "dominated", Q25/R25))))</f>
        <v>dominated</v>
      </c>
      <c r="W25" s="224">
        <f>W24+1</f>
        <v>2</v>
      </c>
      <c r="X25" s="225" t="str" cm="1">
        <f t="array" ref="X25">INDEX(rngStrats, W25)</f>
        <v>No HPE</v>
      </c>
      <c r="Y25" s="230">
        <v>0</v>
      </c>
      <c r="Z25" s="231">
        <v>0</v>
      </c>
      <c r="AA25" s="232"/>
      <c r="AB25" s="232"/>
      <c r="AC25" s="232"/>
      <c r="AD25" s="232"/>
      <c r="AE25" s="232"/>
      <c r="AF25" s="232"/>
      <c r="AG25" s="232"/>
      <c r="AH25" s="232"/>
      <c r="AI25" s="232"/>
    </row>
    <row r="26" spans="4:36" ht="12" customHeight="1" thickBot="1" x14ac:dyDescent="0.3">
      <c r="D26" s="10">
        <f t="shared" si="0"/>
        <v>7</v>
      </c>
      <c r="E26" s="59"/>
      <c r="F26" s="481" t="str" cm="1">
        <f t="array" ref="F26">INDEX(lstQs, D27)</f>
        <v>Expected harm in England: query B</v>
      </c>
      <c r="G26" s="482"/>
      <c r="H26" s="482"/>
      <c r="I26" s="482"/>
      <c r="J26" s="482"/>
      <c r="K26" s="482"/>
      <c r="L26" s="482"/>
      <c r="M26" s="482"/>
      <c r="N26" s="482"/>
      <c r="O26" s="482"/>
      <c r="P26" s="482"/>
      <c r="Q26" s="482"/>
      <c r="R26" s="482"/>
      <c r="S26" s="482"/>
      <c r="T26" s="482"/>
      <c r="U26" s="482"/>
      <c r="V26" s="482"/>
      <c r="W26" s="482"/>
      <c r="X26" s="482"/>
      <c r="Y26" s="482"/>
      <c r="Z26" s="482"/>
      <c r="AA26" s="483"/>
      <c r="AB26" s="414"/>
      <c r="AC26" s="414"/>
      <c r="AD26" s="414"/>
      <c r="AE26" s="414"/>
      <c r="AF26" s="414"/>
      <c r="AG26" s="414"/>
      <c r="AH26" s="414"/>
      <c r="AI26" s="414"/>
      <c r="AJ26" s="10"/>
    </row>
    <row r="27" spans="4:36" ht="12" customHeight="1" x14ac:dyDescent="0.25">
      <c r="D27" s="10">
        <f t="shared" si="0"/>
        <v>7</v>
      </c>
      <c r="F27" s="348">
        <f ca="1">MATCH(SMALL(Y27:Y28, W27), Y27:Y28, 0)</f>
        <v>2</v>
      </c>
      <c r="G27" s="349" t="str" cm="1">
        <f t="array" aca="1" ref="G27" ca="1">INDEX(rngStrats, F27)</f>
        <v>No HPE</v>
      </c>
      <c r="H27" s="350" cm="1">
        <f t="array" aca="1" ref="H27" ca="1">IFERROR(INDEX(Y27:Y28, F27), "")</f>
        <v>0</v>
      </c>
      <c r="I27" s="351" cm="1">
        <f t="array" aca="1" ref="I27" ca="1">IFERROR(INDEX(Z27:Z28, F27), "")</f>
        <v>0</v>
      </c>
      <c r="J27" s="351">
        <f ca="1">IF(F27="", "", I27-H27/J$6)</f>
        <v>0</v>
      </c>
      <c r="K27" s="351">
        <f ca="1">IF(G27="", "", I27-H27/K$6)</f>
        <v>0</v>
      </c>
      <c r="L27" s="352"/>
      <c r="M27" s="350" t="str">
        <f>IF($W27=1, "", H27-H26)</f>
        <v/>
      </c>
      <c r="N27" s="351" t="str">
        <f>IF($W27=1, "", I27-I26)</f>
        <v/>
      </c>
      <c r="O27" s="350" t="str">
        <f>IF($W27=1, "", IF(AND(M27&gt;0, N27&lt;0), "dominated", M27/N27))</f>
        <v/>
      </c>
      <c r="P27" s="353"/>
      <c r="Q27" s="354" t="str" cm="1">
        <f t="array" aca="1" ref="Q27" ca="1">IF(F27="", "", IF(F27=swtchResults.Baseline, "-", H27-_xlfn.SINGLE(INDEX(Y27:Y28, swtchResults.Baseline))))</f>
        <v>-</v>
      </c>
      <c r="R27" s="353" t="str" cm="1">
        <f t="array" aca="1" ref="R27" ca="1">IF(F27="", "", IF(F27=swtchResults.Baseline, "-", I27-_xlfn.SINGLE(INDEX(Z27:Z28, swtchResults.Baseline))))</f>
        <v>-</v>
      </c>
      <c r="S27" s="355" t="str" cm="1">
        <f t="array" aca="1" ref="S27" ca="1">IF(F27="", "", IF(F27=swtchResults.Baseline, "-", R27-Q27/S$7))</f>
        <v>-</v>
      </c>
      <c r="T27" s="355" t="str" cm="1">
        <f t="array" aca="1" ref="T27" ca="1">IF(F27="", "", IF(F27=swtchResults.Baseline, "-", R27-Q27/T$7))</f>
        <v>-</v>
      </c>
      <c r="U27" s="356" t="str">
        <f ca="1">IF(F27="", "", IF(F27=swtchResults.Baseline, "ref", IF(AND(Q27&lt;=0, R27&gt;0), "dominant", IF(AND(Q27&gt;0, R27&lt;0), "dominated", Q27/R27))))</f>
        <v>ref</v>
      </c>
      <c r="W27" s="215">
        <v>1</v>
      </c>
      <c r="X27" s="216" t="str" cm="1">
        <f t="array" ref="X27">INDEX(rngStrats, W27)</f>
        <v>HPE</v>
      </c>
      <c r="Y27" s="220" cm="1">
        <f t="array" aca="1" ref="Y27" ca="1">IFERROR(INDEX(rngNSAIDsHarm.NationalCosts, $D27-5), "")</f>
        <v>167486.42826650327</v>
      </c>
      <c r="Z27" s="221" cm="1">
        <f t="array" aca="1" ref="Z27" ca="1">IFERROR(INDEX(rngNSAIDsHarm.NationalQALYs, $D27-5), "")</f>
        <v>-99.932607448176825</v>
      </c>
      <c r="AA27" s="222"/>
      <c r="AB27" s="222"/>
      <c r="AC27" s="222"/>
      <c r="AD27" s="222"/>
      <c r="AE27" s="222"/>
      <c r="AF27" s="222"/>
      <c r="AG27" s="222"/>
      <c r="AH27" s="222"/>
      <c r="AI27" s="222"/>
    </row>
    <row r="28" spans="4:36" ht="12" customHeight="1" thickBot="1" x14ac:dyDescent="0.3">
      <c r="D28" s="10">
        <f t="shared" si="0"/>
        <v>7</v>
      </c>
      <c r="F28" s="224">
        <f ca="1">MATCH(SMALL(Y27:Y28, W28), Y27:Y28, 0)</f>
        <v>1</v>
      </c>
      <c r="G28" s="225" t="str" cm="1">
        <f t="array" aca="1" ref="G28" ca="1">INDEX(rngStrats, F28)</f>
        <v>HPE</v>
      </c>
      <c r="H28" s="273" cm="1">
        <f t="array" aca="1" ref="H28" ca="1">IFERROR(INDEX(Y27:Y28, F28), "")</f>
        <v>167486.42826650327</v>
      </c>
      <c r="I28" s="226" cm="1">
        <f t="array" aca="1" ref="I28" ca="1">IFERROR(INDEX(Z27:Z28, F28), "")</f>
        <v>-99.932607448176825</v>
      </c>
      <c r="J28" s="226">
        <f ca="1">IF(F28="", "", I28-H28/J$6)</f>
        <v>-108.30692886150199</v>
      </c>
      <c r="K28" s="227">
        <f ca="1">IF(G28="", "", I28-H28/K$6)</f>
        <v>-105.5154883903936</v>
      </c>
      <c r="L28" s="228"/>
      <c r="M28" s="273">
        <f ca="1">IF($W28=1, "", H28-H27)</f>
        <v>167486.42826650327</v>
      </c>
      <c r="N28" s="226">
        <f ca="1">IF($W28=1, "", I28-I27)</f>
        <v>-99.932607448176825</v>
      </c>
      <c r="O28" s="273" t="str">
        <f ca="1">IF($W28=1, "", IF(AND(M28&gt;0, N28&lt;0), "dominated", M28/N28))</f>
        <v>dominated</v>
      </c>
      <c r="P28" s="272"/>
      <c r="Q28" s="273" cm="1">
        <f t="array" aca="1" ref="Q28" ca="1">IF(F28="", "", IF(F28=swtchResults.Baseline, "-", H28-_xlfn.SINGLE(INDEX(Y27:Y28, swtchResults.Baseline))))</f>
        <v>167486.42826650327</v>
      </c>
      <c r="R28" s="226" cm="1">
        <f t="array" aca="1" ref="R28" ca="1">IF(F28="", "", IF(F28=swtchResults.Baseline, "-", I28-_xlfn.SINGLE(INDEX(Z27:Z28, swtchResults.Baseline))))</f>
        <v>-99.932607448176825</v>
      </c>
      <c r="S28" s="227" cm="1">
        <f t="array" aca="1" ref="S28" ca="1">IF(F28="", "", IF(F28=swtchResults.Baseline, "-", R28-Q28/S$7))</f>
        <v>-108.30692886150199</v>
      </c>
      <c r="T28" s="227" cm="1">
        <f t="array" aca="1" ref="T28" ca="1">IF(F28="", "", IF(F28=swtchResults.Baseline, "-", R28-Q28/T$7))</f>
        <v>-105.5154883903936</v>
      </c>
      <c r="U28" s="229" t="str">
        <f ca="1">IF(F28="", "", IF(F28=swtchResults.Baseline, "ref", IF(AND(Q28&lt;=0, R28&gt;0), "dominant", IF(AND(Q28&gt;0, R28&lt;0), "dominated", Q28/R28))))</f>
        <v>dominated</v>
      </c>
      <c r="W28" s="224">
        <f>W27+1</f>
        <v>2</v>
      </c>
      <c r="X28" s="225" t="str" cm="1">
        <f t="array" ref="X28">INDEX(rngStrats, W28)</f>
        <v>No HPE</v>
      </c>
      <c r="Y28" s="230">
        <v>0</v>
      </c>
      <c r="Z28" s="231">
        <v>0</v>
      </c>
      <c r="AA28" s="232"/>
      <c r="AB28" s="232"/>
      <c r="AC28" s="232"/>
      <c r="AD28" s="232"/>
      <c r="AE28" s="232"/>
      <c r="AF28" s="232"/>
      <c r="AG28" s="232"/>
      <c r="AH28" s="232"/>
      <c r="AI28" s="232"/>
    </row>
    <row r="29" spans="4:36" ht="12" customHeight="1" thickBot="1" x14ac:dyDescent="0.3">
      <c r="D29" s="10">
        <f t="shared" si="0"/>
        <v>8</v>
      </c>
      <c r="E29" s="59"/>
      <c r="F29" s="481" t="str" cm="1">
        <f t="array" ref="F29">INDEX(lstQs, D30)</f>
        <v>Expected harm in England: query C</v>
      </c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482"/>
      <c r="X29" s="482"/>
      <c r="Y29" s="482"/>
      <c r="Z29" s="482"/>
      <c r="AA29" s="483"/>
      <c r="AB29" s="414"/>
      <c r="AC29" s="414"/>
      <c r="AD29" s="414"/>
      <c r="AE29" s="414"/>
      <c r="AF29" s="414"/>
      <c r="AG29" s="414"/>
      <c r="AH29" s="414"/>
      <c r="AI29" s="414"/>
      <c r="AJ29" s="10"/>
    </row>
    <row r="30" spans="4:36" ht="12" customHeight="1" x14ac:dyDescent="0.25">
      <c r="D30" s="10">
        <f t="shared" si="0"/>
        <v>8</v>
      </c>
      <c r="F30" s="348">
        <f ca="1">MATCH(SMALL(Y30:Y31, W30), Y30:Y31, 0)</f>
        <v>2</v>
      </c>
      <c r="G30" s="349" t="str" cm="1">
        <f t="array" aca="1" ref="G30" ca="1">INDEX(rngStrats, F30)</f>
        <v>No HPE</v>
      </c>
      <c r="H30" s="350" cm="1">
        <f t="array" aca="1" ref="H30" ca="1">IFERROR(INDEX(Y30:Y31, F30), "")</f>
        <v>0</v>
      </c>
      <c r="I30" s="351" cm="1">
        <f t="array" aca="1" ref="I30" ca="1">IFERROR(INDEX(Z30:Z31, F30), "")</f>
        <v>0</v>
      </c>
      <c r="J30" s="351">
        <f ca="1">IF(F30="", "", I30-H30/J$6)</f>
        <v>0</v>
      </c>
      <c r="K30" s="351">
        <f ca="1">IF(G30="", "", I30-H30/K$6)</f>
        <v>0</v>
      </c>
      <c r="L30" s="352"/>
      <c r="M30" s="350" t="str">
        <f>IF($W30=1, "", H30-H29)</f>
        <v/>
      </c>
      <c r="N30" s="351" t="str">
        <f>IF($W30=1, "", I30-I29)</f>
        <v/>
      </c>
      <c r="O30" s="350" t="str">
        <f>IF($W30=1, "", IF(AND(M30&gt;0, N30&lt;0), "dominated", M30/N30))</f>
        <v/>
      </c>
      <c r="P30" s="353"/>
      <c r="Q30" s="354" t="str" cm="1">
        <f t="array" aca="1" ref="Q30" ca="1">IF(F30="", "", IF(F30=swtchResults.Baseline, "-", H30-_xlfn.SINGLE(INDEX(Y30:Y31, swtchResults.Baseline))))</f>
        <v>-</v>
      </c>
      <c r="R30" s="353" t="str" cm="1">
        <f t="array" aca="1" ref="R30" ca="1">IF(F30="", "", IF(F30=swtchResults.Baseline, "-", I30-_xlfn.SINGLE(INDEX(Z30:Z31, swtchResults.Baseline))))</f>
        <v>-</v>
      </c>
      <c r="S30" s="355" t="str" cm="1">
        <f t="array" aca="1" ref="S30" ca="1">IF(F30="", "", IF(F30=swtchResults.Baseline, "-", R30-Q30/S$7))</f>
        <v>-</v>
      </c>
      <c r="T30" s="355" t="str" cm="1">
        <f t="array" aca="1" ref="T30" ca="1">IF(F30="", "", IF(F30=swtchResults.Baseline, "-", R30-Q30/T$7))</f>
        <v>-</v>
      </c>
      <c r="U30" s="356" t="str">
        <f ca="1">IF(F30="", "", IF(F30=swtchResults.Baseline, "ref", IF(AND(Q30&lt;=0, R30&gt;0), "dominant", IF(AND(Q30&gt;0, R30&lt;0), "dominated", Q30/R30))))</f>
        <v>ref</v>
      </c>
      <c r="W30" s="215">
        <v>1</v>
      </c>
      <c r="X30" s="216" t="str" cm="1">
        <f t="array" ref="X30">INDEX(rngStrats, W30)</f>
        <v>HPE</v>
      </c>
      <c r="Y30" s="220" cm="1">
        <f t="array" aca="1" ref="Y30" ca="1">IFERROR(INDEX(rngNSAIDsHarm.NationalCosts, $D30-5), "")</f>
        <v>23614361.83089174</v>
      </c>
      <c r="Z30" s="221" cm="1">
        <f t="array" aca="1" ref="Z30" ca="1">IFERROR(INDEX(rngNSAIDsHarm.NationalQALYs, $D30-5), "")</f>
        <v>-2007.8484485256929</v>
      </c>
      <c r="AA30" s="222"/>
      <c r="AB30" s="222"/>
      <c r="AC30" s="222"/>
      <c r="AD30" s="222"/>
      <c r="AE30" s="222"/>
      <c r="AF30" s="222"/>
      <c r="AG30" s="222"/>
      <c r="AH30" s="222"/>
      <c r="AI30" s="222"/>
    </row>
    <row r="31" spans="4:36" ht="12" customHeight="1" thickBot="1" x14ac:dyDescent="0.3">
      <c r="D31" s="10">
        <f t="shared" si="0"/>
        <v>8</v>
      </c>
      <c r="F31" s="224">
        <f ca="1">MATCH(SMALL(Y30:Y31, W31), Y30:Y31, 0)</f>
        <v>1</v>
      </c>
      <c r="G31" s="225" t="str" cm="1">
        <f t="array" aca="1" ref="G31" ca="1">INDEX(rngStrats, F31)</f>
        <v>HPE</v>
      </c>
      <c r="H31" s="273" cm="1">
        <f t="array" aca="1" ref="H31" ca="1">IFERROR(INDEX(Y30:Y31, F31), "")</f>
        <v>23614361.83089174</v>
      </c>
      <c r="I31" s="226" cm="1">
        <f t="array" aca="1" ref="I31" ca="1">IFERROR(INDEX(Z30:Z31, F31), "")</f>
        <v>-2007.8484485256929</v>
      </c>
      <c r="J31" s="226">
        <f ca="1">IF(F31="", "", I31-H31/J$6)</f>
        <v>-3188.5665400702801</v>
      </c>
      <c r="K31" s="227">
        <f ca="1">IF(G31="", "", I31-H31/K$6)</f>
        <v>-2794.9938428887508</v>
      </c>
      <c r="L31" s="228"/>
      <c r="M31" s="273">
        <f ca="1">IF($W31=1, "", H31-H30)</f>
        <v>23614361.83089174</v>
      </c>
      <c r="N31" s="226">
        <f ca="1">IF($W31=1, "", I31-I30)</f>
        <v>-2007.8484485256929</v>
      </c>
      <c r="O31" s="273" t="str">
        <f ca="1">IF($W31=1, "", IF(AND(M31&gt;0, N31&lt;0), "dominated", M31/N31))</f>
        <v>dominated</v>
      </c>
      <c r="P31" s="272"/>
      <c r="Q31" s="273" cm="1">
        <f t="array" aca="1" ref="Q31" ca="1">IF(F31="", "", IF(F31=swtchResults.Baseline, "-", H31-_xlfn.SINGLE(INDEX(Y30:Y31, swtchResults.Baseline))))</f>
        <v>23614361.83089174</v>
      </c>
      <c r="R31" s="226" cm="1">
        <f t="array" aca="1" ref="R31" ca="1">IF(F31="", "", IF(F31=swtchResults.Baseline, "-", I31-_xlfn.SINGLE(INDEX(Z30:Z31, swtchResults.Baseline))))</f>
        <v>-2007.8484485256929</v>
      </c>
      <c r="S31" s="227" cm="1">
        <f t="array" aca="1" ref="S31" ca="1">IF(F31="", "", IF(F31=swtchResults.Baseline, "-", R31-Q31/S$7))</f>
        <v>-3188.5665400702801</v>
      </c>
      <c r="T31" s="227" cm="1">
        <f t="array" aca="1" ref="T31" ca="1">IF(F31="", "", IF(F31=swtchResults.Baseline, "-", R31-Q31/T$7))</f>
        <v>-2794.9938428887508</v>
      </c>
      <c r="U31" s="229" t="str">
        <f ca="1">IF(F31="", "", IF(F31=swtchResults.Baseline, "ref", IF(AND(Q31&lt;=0, R31&gt;0), "dominant", IF(AND(Q31&gt;0, R31&lt;0), "dominated", Q31/R31))))</f>
        <v>dominated</v>
      </c>
      <c r="W31" s="224">
        <f>W30+1</f>
        <v>2</v>
      </c>
      <c r="X31" s="225" t="str" cm="1">
        <f t="array" ref="X31">INDEX(rngStrats, W31)</f>
        <v>No HPE</v>
      </c>
      <c r="Y31" s="230">
        <v>0</v>
      </c>
      <c r="Z31" s="231">
        <v>0</v>
      </c>
      <c r="AA31" s="232"/>
      <c r="AB31" s="232"/>
      <c r="AC31" s="232"/>
      <c r="AD31" s="232"/>
      <c r="AE31" s="232"/>
      <c r="AF31" s="232"/>
      <c r="AG31" s="232"/>
      <c r="AH31" s="232"/>
      <c r="AI31" s="232"/>
    </row>
    <row r="32" spans="4:36" ht="12" customHeight="1" thickBot="1" x14ac:dyDescent="0.3">
      <c r="D32" s="10">
        <f t="shared" si="0"/>
        <v>9</v>
      </c>
      <c r="E32" s="59"/>
      <c r="F32" s="481" t="str" cm="1">
        <f t="array" ref="F32">INDEX(lstQs, D33)</f>
        <v>Expected harm in England: query D</v>
      </c>
      <c r="G32" s="482"/>
      <c r="H32" s="482"/>
      <c r="I32" s="482"/>
      <c r="J32" s="482"/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/>
      <c r="V32" s="482"/>
      <c r="W32" s="482"/>
      <c r="X32" s="482"/>
      <c r="Y32" s="482"/>
      <c r="Z32" s="482"/>
      <c r="AA32" s="483"/>
      <c r="AB32" s="414"/>
      <c r="AC32" s="414"/>
      <c r="AD32" s="414"/>
      <c r="AE32" s="414"/>
      <c r="AF32" s="414"/>
      <c r="AG32" s="414"/>
      <c r="AH32" s="414"/>
      <c r="AI32" s="414"/>
      <c r="AJ32" s="10"/>
    </row>
    <row r="33" spans="4:36" ht="12" customHeight="1" x14ac:dyDescent="0.25">
      <c r="D33" s="10">
        <f t="shared" si="0"/>
        <v>9</v>
      </c>
      <c r="F33" s="348">
        <f ca="1">MATCH(SMALL(Y33:Y34, W33), Y33:Y34, 0)</f>
        <v>2</v>
      </c>
      <c r="G33" s="349" t="str" cm="1">
        <f t="array" aca="1" ref="G33" ca="1">INDEX(rngStrats, F33)</f>
        <v>No HPE</v>
      </c>
      <c r="H33" s="350" cm="1">
        <f t="array" aca="1" ref="H33" ca="1">IFERROR(INDEX(Y33:Y34, F33), "")</f>
        <v>0</v>
      </c>
      <c r="I33" s="351" cm="1">
        <f t="array" aca="1" ref="I33" ca="1">IFERROR(INDEX(Z33:Z34, F33), "")</f>
        <v>0</v>
      </c>
      <c r="J33" s="351">
        <f ca="1">IF(F33="", "", I33-H33/J$6)</f>
        <v>0</v>
      </c>
      <c r="K33" s="351">
        <f ca="1">IF(G33="", "", I33-H33/K$6)</f>
        <v>0</v>
      </c>
      <c r="L33" s="352"/>
      <c r="M33" s="350" t="str">
        <f>IF($W33=1, "", H33-H32)</f>
        <v/>
      </c>
      <c r="N33" s="351" t="str">
        <f>IF($W33=1, "", I33-I32)</f>
        <v/>
      </c>
      <c r="O33" s="350" t="str">
        <f>IF($W33=1, "", IF(AND(M33&gt;0, N33&lt;0), "dominated", M33/N33))</f>
        <v/>
      </c>
      <c r="P33" s="353"/>
      <c r="Q33" s="354" t="str" cm="1">
        <f t="array" aca="1" ref="Q33" ca="1">IF(F33="", "", IF(F33=swtchResults.Baseline, "-", H33-_xlfn.SINGLE(INDEX(Y33:Y34, swtchResults.Baseline))))</f>
        <v>-</v>
      </c>
      <c r="R33" s="353" t="str" cm="1">
        <f t="array" aca="1" ref="R33" ca="1">IF(F33="", "", IF(F33=swtchResults.Baseline, "-", I33-_xlfn.SINGLE(INDEX(Z33:Z34, swtchResults.Baseline))))</f>
        <v>-</v>
      </c>
      <c r="S33" s="355" t="str" cm="1">
        <f t="array" aca="1" ref="S33" ca="1">IF(F33="", "", IF(F33=swtchResults.Baseline, "-", R33-Q33/S$7))</f>
        <v>-</v>
      </c>
      <c r="T33" s="355" t="str" cm="1">
        <f t="array" aca="1" ref="T33" ca="1">IF(F33="", "", IF(F33=swtchResults.Baseline, "-", R33-Q33/T$7))</f>
        <v>-</v>
      </c>
      <c r="U33" s="356" t="str">
        <f ca="1">IF(F33="", "", IF(F33=swtchResults.Baseline, "ref", IF(AND(Q33&lt;=0, R33&gt;0), "dominant", IF(AND(Q33&gt;0, R33&lt;0), "dominated", Q33/R33))))</f>
        <v>ref</v>
      </c>
      <c r="W33" s="215">
        <v>1</v>
      </c>
      <c r="X33" s="216" t="str" cm="1">
        <f t="array" ref="X33">INDEX(rngStrats, W33)</f>
        <v>HPE</v>
      </c>
      <c r="Y33" s="220" cm="1">
        <f t="array" aca="1" ref="Y33" ca="1">IFERROR(INDEX(rngNSAIDsHarm.NationalCosts, $D33-5), "")</f>
        <v>139201.28395059411</v>
      </c>
      <c r="Z33" s="221" cm="1">
        <f t="array" aca="1" ref="Z33" ca="1">IFERROR(INDEX(rngNSAIDsHarm.NationalQALYs, $D33-5), "")</f>
        <v>-408.7505046574762</v>
      </c>
      <c r="AA33" s="222"/>
      <c r="AB33" s="222"/>
      <c r="AC33" s="222"/>
      <c r="AD33" s="222"/>
      <c r="AE33" s="222"/>
      <c r="AF33" s="222"/>
      <c r="AG33" s="222"/>
      <c r="AH33" s="222"/>
      <c r="AI33" s="222"/>
    </row>
    <row r="34" spans="4:36" ht="12" customHeight="1" thickBot="1" x14ac:dyDescent="0.3">
      <c r="D34" s="10">
        <f t="shared" si="0"/>
        <v>9</v>
      </c>
      <c r="F34" s="224">
        <f ca="1">MATCH(SMALL(Y33:Y34, W34), Y33:Y34, 0)</f>
        <v>1</v>
      </c>
      <c r="G34" s="225" t="str" cm="1">
        <f t="array" aca="1" ref="G34" ca="1">INDEX(rngStrats, F34)</f>
        <v>HPE</v>
      </c>
      <c r="H34" s="273" cm="1">
        <f t="array" aca="1" ref="H34" ca="1">IFERROR(INDEX(Y33:Y34, F34), "")</f>
        <v>139201.28395059411</v>
      </c>
      <c r="I34" s="226" cm="1">
        <f t="array" aca="1" ref="I34" ca="1">IFERROR(INDEX(Z33:Z34, F34), "")</f>
        <v>-408.7505046574762</v>
      </c>
      <c r="J34" s="226">
        <f ca="1">IF(F34="", "", I34-H34/J$6)</f>
        <v>-415.71056885500593</v>
      </c>
      <c r="K34" s="227">
        <f ca="1">IF(G34="", "", I34-H34/K$6)</f>
        <v>-413.39054745582933</v>
      </c>
      <c r="L34" s="228"/>
      <c r="M34" s="273">
        <f ca="1">IF($W34=1, "", H34-H33)</f>
        <v>139201.28395059411</v>
      </c>
      <c r="N34" s="226">
        <f ca="1">IF($W34=1, "", I34-I33)</f>
        <v>-408.7505046574762</v>
      </c>
      <c r="O34" s="273" t="str">
        <f ca="1">IF($W34=1, "", IF(AND(M34&gt;0, N34&lt;0), "dominated", M34/N34))</f>
        <v>dominated</v>
      </c>
      <c r="P34" s="272"/>
      <c r="Q34" s="273" cm="1">
        <f t="array" aca="1" ref="Q34" ca="1">IF(F34="", "", IF(F34=swtchResults.Baseline, "-", H34-_xlfn.SINGLE(INDEX(Y33:Y34, swtchResults.Baseline))))</f>
        <v>139201.28395059411</v>
      </c>
      <c r="R34" s="226" cm="1">
        <f t="array" aca="1" ref="R34" ca="1">IF(F34="", "", IF(F34=swtchResults.Baseline, "-", I34-_xlfn.SINGLE(INDEX(Z33:Z34, swtchResults.Baseline))))</f>
        <v>-408.7505046574762</v>
      </c>
      <c r="S34" s="227" cm="1">
        <f t="array" aca="1" ref="S34" ca="1">IF(F34="", "", IF(F34=swtchResults.Baseline, "-", R34-Q34/S$7))</f>
        <v>-415.71056885500593</v>
      </c>
      <c r="T34" s="227" cm="1">
        <f t="array" aca="1" ref="T34" ca="1">IF(F34="", "", IF(F34=swtchResults.Baseline, "-", R34-Q34/T$7))</f>
        <v>-413.39054745582933</v>
      </c>
      <c r="U34" s="229" t="str">
        <f ca="1">IF(F34="", "", IF(F34=swtchResults.Baseline, "ref", IF(AND(Q34&lt;=0, R34&gt;0), "dominant", IF(AND(Q34&gt;0, R34&lt;0), "dominated", Q34/R34))))</f>
        <v>dominated</v>
      </c>
      <c r="W34" s="224">
        <f>W33+1</f>
        <v>2</v>
      </c>
      <c r="X34" s="225" t="str" cm="1">
        <f t="array" ref="X34">INDEX(rngStrats, W34)</f>
        <v>No HPE</v>
      </c>
      <c r="Y34" s="230">
        <v>0</v>
      </c>
      <c r="Z34" s="231">
        <v>0</v>
      </c>
      <c r="AA34" s="232"/>
      <c r="AB34" s="232"/>
      <c r="AC34" s="232"/>
      <c r="AD34" s="232"/>
      <c r="AE34" s="232"/>
      <c r="AF34" s="232"/>
      <c r="AG34" s="232"/>
      <c r="AH34" s="232"/>
      <c r="AI34" s="232"/>
    </row>
    <row r="35" spans="4:36" ht="12" customHeight="1" thickBot="1" x14ac:dyDescent="0.3">
      <c r="D35" s="10">
        <f t="shared" si="0"/>
        <v>10</v>
      </c>
      <c r="E35" s="59"/>
      <c r="F35" s="481" t="str" cm="1">
        <f t="array" ref="F35">INDEX(lstQs, D36)</f>
        <v>Expected harm in England: query E</v>
      </c>
      <c r="G35" s="482"/>
      <c r="H35" s="482"/>
      <c r="I35" s="482"/>
      <c r="J35" s="482"/>
      <c r="K35" s="482"/>
      <c r="L35" s="482"/>
      <c r="M35" s="482"/>
      <c r="N35" s="482"/>
      <c r="O35" s="482"/>
      <c r="P35" s="482"/>
      <c r="Q35" s="482"/>
      <c r="R35" s="482"/>
      <c r="S35" s="482"/>
      <c r="T35" s="482"/>
      <c r="U35" s="482"/>
      <c r="V35" s="482"/>
      <c r="W35" s="482"/>
      <c r="X35" s="482"/>
      <c r="Y35" s="482"/>
      <c r="Z35" s="482"/>
      <c r="AA35" s="483"/>
      <c r="AB35" s="414"/>
      <c r="AC35" s="414"/>
      <c r="AD35" s="414"/>
      <c r="AE35" s="414"/>
      <c r="AF35" s="414"/>
      <c r="AG35" s="414"/>
      <c r="AH35" s="414"/>
      <c r="AI35" s="414"/>
      <c r="AJ35" s="10"/>
    </row>
    <row r="36" spans="4:36" ht="12" customHeight="1" x14ac:dyDescent="0.25">
      <c r="D36" s="10">
        <f t="shared" si="0"/>
        <v>10</v>
      </c>
      <c r="F36" s="348">
        <f ca="1">MATCH(SMALL(Y36:Y37, W36), Y36:Y37, 0)</f>
        <v>2</v>
      </c>
      <c r="G36" s="349" t="str" cm="1">
        <f t="array" aca="1" ref="G36" ca="1">INDEX(rngStrats, F36)</f>
        <v>No HPE</v>
      </c>
      <c r="H36" s="350" cm="1">
        <f t="array" aca="1" ref="H36" ca="1">IFERROR(INDEX(Y36:Y37, F36), "")</f>
        <v>0</v>
      </c>
      <c r="I36" s="351" cm="1">
        <f t="array" aca="1" ref="I36" ca="1">IFERROR(INDEX(Z36:Z37, F36), "")</f>
        <v>0</v>
      </c>
      <c r="J36" s="351">
        <f ca="1">IF(F36="", "", I36-H36/J$6)</f>
        <v>0</v>
      </c>
      <c r="K36" s="351">
        <f ca="1">IF(G36="", "", I36-H36/K$6)</f>
        <v>0</v>
      </c>
      <c r="L36" s="352"/>
      <c r="M36" s="350" t="str">
        <f>IF($W36=1, "", H36-H35)</f>
        <v/>
      </c>
      <c r="N36" s="351" t="str">
        <f>IF($W36=1, "", I36-I35)</f>
        <v/>
      </c>
      <c r="O36" s="350" t="str">
        <f>IF($W36=1, "", IF(AND(M36&gt;0, N36&lt;0), "dominated", M36/N36))</f>
        <v/>
      </c>
      <c r="P36" s="353"/>
      <c r="Q36" s="354" t="str" cm="1">
        <f t="array" aca="1" ref="Q36" ca="1">IF(F36="", "", IF(F36=swtchResults.Baseline, "-", H36-_xlfn.SINGLE(INDEX(Y36:Y37, swtchResults.Baseline))))</f>
        <v>-</v>
      </c>
      <c r="R36" s="353" t="str" cm="1">
        <f t="array" aca="1" ref="R36" ca="1">IF(F36="", "", IF(F36=swtchResults.Baseline, "-", I36-_xlfn.SINGLE(INDEX(Z36:Z37, swtchResults.Baseline))))</f>
        <v>-</v>
      </c>
      <c r="S36" s="355" t="str" cm="1">
        <f t="array" aca="1" ref="S36" ca="1">IF(F36="", "", IF(F36=swtchResults.Baseline, "-", R36-Q36/S$7))</f>
        <v>-</v>
      </c>
      <c r="T36" s="355" t="str" cm="1">
        <f t="array" aca="1" ref="T36" ca="1">IF(F36="", "", IF(F36=swtchResults.Baseline, "-", R36-Q36/T$7))</f>
        <v>-</v>
      </c>
      <c r="U36" s="356" t="str">
        <f ca="1">IF(F36="", "", IF(F36=swtchResults.Baseline, "ref", IF(AND(Q36&lt;=0, R36&gt;0), "dominant", IF(AND(Q36&gt;0, R36&lt;0), "dominated", Q36/R36))))</f>
        <v>ref</v>
      </c>
      <c r="V36" s="219"/>
      <c r="W36" s="215">
        <v>1</v>
      </c>
      <c r="X36" s="216" t="str" cm="1">
        <f t="array" ref="X36">INDEX(rngStrats, W36)</f>
        <v>HPE</v>
      </c>
      <c r="Y36" s="220" cm="1">
        <f t="array" aca="1" ref="Y36" ca="1">IFERROR(INDEX(rngNSAIDsHarm.NationalCosts, $D36-5), "")</f>
        <v>3324171.2652969551</v>
      </c>
      <c r="Z36" s="221" cm="1">
        <f t="array" aca="1" ref="Z36" ca="1">IFERROR(INDEX(rngNSAIDsHarm.NationalQALYs, $D36-5), "")</f>
        <v>-1733.1244544577116</v>
      </c>
      <c r="AA36" s="222"/>
      <c r="AB36" s="222"/>
      <c r="AC36" s="222"/>
      <c r="AD36" s="222"/>
      <c r="AE36" s="222"/>
      <c r="AF36" s="222"/>
      <c r="AG36" s="222"/>
      <c r="AH36" s="222"/>
      <c r="AI36" s="222"/>
    </row>
    <row r="37" spans="4:36" ht="12" customHeight="1" thickBot="1" x14ac:dyDescent="0.3">
      <c r="D37" s="10">
        <f t="shared" si="0"/>
        <v>10</v>
      </c>
      <c r="F37" s="224">
        <f ca="1">MATCH(SMALL(Y36:Y37, W37), Y36:Y37, 0)</f>
        <v>1</v>
      </c>
      <c r="G37" s="225" t="str" cm="1">
        <f t="array" aca="1" ref="G37" ca="1">INDEX(rngStrats, F37)</f>
        <v>HPE</v>
      </c>
      <c r="H37" s="273" cm="1">
        <f t="array" aca="1" ref="H37" ca="1">IFERROR(INDEX(Y36:Y37, F37), "")</f>
        <v>3324171.2652969551</v>
      </c>
      <c r="I37" s="226" cm="1">
        <f t="array" aca="1" ref="I37" ca="1">IFERROR(INDEX(Z36:Z37, F37), "")</f>
        <v>-1733.1244544577116</v>
      </c>
      <c r="J37" s="226">
        <f ca="1">IF(F37="", "", I37-H37/J$6)</f>
        <v>-1899.3330177225594</v>
      </c>
      <c r="K37" s="227">
        <f ca="1">IF(G37="", "", I37-H37/K$6)</f>
        <v>-1843.9301633009434</v>
      </c>
      <c r="L37" s="228"/>
      <c r="M37" s="273">
        <f ca="1">IF($W37=1, "", H37-H36)</f>
        <v>3324171.2652969551</v>
      </c>
      <c r="N37" s="226">
        <f ca="1">IF($W37=1, "", I37-I36)</f>
        <v>-1733.1244544577116</v>
      </c>
      <c r="O37" s="273" t="str">
        <f ca="1">IF($W37=1, "", IF(AND(M37&gt;0, N37&lt;0), "dominated", M37/N37))</f>
        <v>dominated</v>
      </c>
      <c r="P37" s="272"/>
      <c r="Q37" s="273" cm="1">
        <f t="array" aca="1" ref="Q37" ca="1">IF(F37="", "", IF(F37=swtchResults.Baseline, "-", H37-_xlfn.SINGLE(INDEX(Y36:Y37, swtchResults.Baseline))))</f>
        <v>3324171.2652969551</v>
      </c>
      <c r="R37" s="226" cm="1">
        <f t="array" aca="1" ref="R37" ca="1">IF(F37="", "", IF(F37=swtchResults.Baseline, "-", I37-_xlfn.SINGLE(INDEX(Z36:Z37, swtchResults.Baseline))))</f>
        <v>-1733.1244544577116</v>
      </c>
      <c r="S37" s="227" cm="1">
        <f t="array" aca="1" ref="S37" ca="1">IF(F37="", "", IF(F37=swtchResults.Baseline, "-", R37-Q37/S$7))</f>
        <v>-1899.3330177225594</v>
      </c>
      <c r="T37" s="227" cm="1">
        <f t="array" aca="1" ref="T37" ca="1">IF(F37="", "", IF(F37=swtchResults.Baseline, "-", R37-Q37/T$7))</f>
        <v>-1843.9301633009434</v>
      </c>
      <c r="U37" s="229" t="str">
        <f ca="1">IF(F37="", "", IF(F37=swtchResults.Baseline, "ref", IF(AND(Q37&lt;=0, R37&gt;0), "dominant", IF(AND(Q37&gt;0, R37&lt;0), "dominated", Q37/R37))))</f>
        <v>dominated</v>
      </c>
      <c r="V37" s="219"/>
      <c r="W37" s="224">
        <f>W36+1</f>
        <v>2</v>
      </c>
      <c r="X37" s="225" t="str" cm="1">
        <f t="array" ref="X37">INDEX(rngStrats, W37)</f>
        <v>No HPE</v>
      </c>
      <c r="Y37" s="230">
        <v>0</v>
      </c>
      <c r="Z37" s="231">
        <v>0</v>
      </c>
      <c r="AA37" s="232"/>
      <c r="AB37" s="232"/>
      <c r="AC37" s="232"/>
      <c r="AD37" s="232"/>
      <c r="AE37" s="232"/>
      <c r="AF37" s="232"/>
      <c r="AG37" s="232"/>
      <c r="AH37" s="232"/>
      <c r="AI37" s="232"/>
    </row>
    <row r="38" spans="4:36" ht="12" customHeight="1" thickBot="1" x14ac:dyDescent="0.3">
      <c r="D38" s="10">
        <f t="shared" si="0"/>
        <v>11</v>
      </c>
      <c r="E38" s="59"/>
      <c r="F38" s="481" t="str" cm="1">
        <f t="array" ref="F38">INDEX(lstQs, D39)</f>
        <v>Expected harm in England: total</v>
      </c>
      <c r="G38" s="482"/>
      <c r="H38" s="482"/>
      <c r="I38" s="482"/>
      <c r="J38" s="482"/>
      <c r="K38" s="482"/>
      <c r="L38" s="482"/>
      <c r="M38" s="482"/>
      <c r="N38" s="482"/>
      <c r="O38" s="482"/>
      <c r="P38" s="482"/>
      <c r="Q38" s="482"/>
      <c r="R38" s="482"/>
      <c r="S38" s="482"/>
      <c r="T38" s="482"/>
      <c r="U38" s="482"/>
      <c r="V38" s="482"/>
      <c r="W38" s="482"/>
      <c r="X38" s="482"/>
      <c r="Y38" s="482"/>
      <c r="Z38" s="482"/>
      <c r="AA38" s="483"/>
      <c r="AB38" s="414"/>
      <c r="AC38" s="414"/>
      <c r="AD38" s="414"/>
      <c r="AE38" s="414"/>
      <c r="AF38" s="414"/>
      <c r="AG38" s="414"/>
      <c r="AH38" s="414"/>
      <c r="AI38" s="414"/>
      <c r="AJ38" s="10"/>
    </row>
    <row r="39" spans="4:36" ht="12" customHeight="1" x14ac:dyDescent="0.25">
      <c r="D39" s="10">
        <f t="shared" si="0"/>
        <v>11</v>
      </c>
      <c r="F39" s="348">
        <f ca="1">MATCH(SMALL(Y39:Y40, W39), Y39:Y40, 0)</f>
        <v>2</v>
      </c>
      <c r="G39" s="349" t="str" cm="1">
        <f t="array" aca="1" ref="G39" ca="1">INDEX(rngStrats, F39)</f>
        <v>No HPE</v>
      </c>
      <c r="H39" s="350" cm="1">
        <f t="array" aca="1" ref="H39" ca="1">IFERROR(INDEX(Y39:Y40, F39), "")</f>
        <v>0</v>
      </c>
      <c r="I39" s="351" cm="1">
        <f t="array" aca="1" ref="I39" ca="1">IFERROR(INDEX(Z39:Z40, F39), "")</f>
        <v>0</v>
      </c>
      <c r="J39" s="351">
        <f ca="1">IF(F39="", "", I39-H39/J$6)</f>
        <v>0</v>
      </c>
      <c r="K39" s="351">
        <f ca="1">IF(G39="", "", I39-H39/K$6)</f>
        <v>0</v>
      </c>
      <c r="L39" s="352"/>
      <c r="M39" s="350" t="str">
        <f>IF($W39=1, "", H39-H38)</f>
        <v/>
      </c>
      <c r="N39" s="351" t="str">
        <f>IF($W39=1, "", I39-I38)</f>
        <v/>
      </c>
      <c r="O39" s="350" t="str">
        <f>IF($W39=1, "", IF(AND(M39&gt;0, N39&lt;0), "dominated", M39/N39))</f>
        <v/>
      </c>
      <c r="P39" s="353"/>
      <c r="Q39" s="354" t="str" cm="1">
        <f t="array" aca="1" ref="Q39" ca="1">IF(F39="", "", IF(F39=swtchResults.Baseline, "-", H39-_xlfn.SINGLE(INDEX(Y39:Y40, swtchResults.Baseline))))</f>
        <v>-</v>
      </c>
      <c r="R39" s="353" t="str" cm="1">
        <f t="array" aca="1" ref="R39" ca="1">IF(F39="", "", IF(F39=swtchResults.Baseline, "-", I39-_xlfn.SINGLE(INDEX(Z39:Z40, swtchResults.Baseline))))</f>
        <v>-</v>
      </c>
      <c r="S39" s="355" t="str" cm="1">
        <f t="array" aca="1" ref="S39" ca="1">IF(F39="", "", IF(F39=swtchResults.Baseline, "-", R39-Q39/S$7))</f>
        <v>-</v>
      </c>
      <c r="T39" s="355" t="str" cm="1">
        <f t="array" aca="1" ref="T39" ca="1">IF(F39="", "", IF(F39=swtchResults.Baseline, "-", R39-Q39/T$7))</f>
        <v>-</v>
      </c>
      <c r="U39" s="356" t="str">
        <f ca="1">IF(F39="", "", IF(F39=swtchResults.Baseline, "ref", IF(AND(Q39&lt;=0, R39&gt;0), "dominant", IF(AND(Q39&gt;0, R39&lt;0), "dominated", Q39/R39))))</f>
        <v>ref</v>
      </c>
      <c r="V39" s="219"/>
      <c r="W39" s="215">
        <v>1</v>
      </c>
      <c r="X39" s="216" t="str" cm="1">
        <f t="array" ref="X39">INDEX(rngStrats, W39)</f>
        <v>HPE</v>
      </c>
      <c r="Y39" s="220" cm="1">
        <f t="array" aca="1" ref="Y39" ca="1">IFERROR(INDEX(rngNSAIDsHarm.NationalCosts, $D39-5), "")</f>
        <v>29804408.03847678</v>
      </c>
      <c r="Z39" s="221" cm="1">
        <f t="array" aca="1" ref="Z39" ca="1">IFERROR(INDEX(rngNSAIDsHarm.NationalQALYs, $D39-5), "")</f>
        <v>-6050.9676511380767</v>
      </c>
      <c r="AA39" s="222"/>
      <c r="AB39" s="222"/>
      <c r="AC39" s="222"/>
      <c r="AD39" s="222"/>
      <c r="AE39" s="222"/>
      <c r="AF39" s="222"/>
      <c r="AG39" s="222"/>
      <c r="AH39" s="222"/>
      <c r="AI39" s="222"/>
    </row>
    <row r="40" spans="4:36" ht="12" customHeight="1" thickBot="1" x14ac:dyDescent="0.3">
      <c r="D40" s="10">
        <f t="shared" si="0"/>
        <v>11</v>
      </c>
      <c r="F40" s="224">
        <f ca="1">MATCH(SMALL(Y39:Y40, W40), Y39:Y40, 0)</f>
        <v>1</v>
      </c>
      <c r="G40" s="225" t="str" cm="1">
        <f t="array" aca="1" ref="G40" ca="1">INDEX(rngStrats, F40)</f>
        <v>HPE</v>
      </c>
      <c r="H40" s="273" cm="1">
        <f t="array" aca="1" ref="H40" ca="1">IFERROR(INDEX(Y39:Y40, F40), "")</f>
        <v>29804408.03847678</v>
      </c>
      <c r="I40" s="226" cm="1">
        <f t="array" aca="1" ref="I40" ca="1">IFERROR(INDEX(Z39:Z40, F40), "")</f>
        <v>-6050.9676511380767</v>
      </c>
      <c r="J40" s="226">
        <f ca="1">IF(F40="", "", I40-H40/J$6)</f>
        <v>-7541.1880530619155</v>
      </c>
      <c r="K40" s="227">
        <f ca="1">IF(G40="", "", I40-H40/K$6)</f>
        <v>-7044.4479190873026</v>
      </c>
      <c r="L40" s="228"/>
      <c r="M40" s="273">
        <f ca="1">IF($W40=1, "", H40-H39)</f>
        <v>29804408.03847678</v>
      </c>
      <c r="N40" s="226">
        <f ca="1">IF($W40=1, "", I40-I39)</f>
        <v>-6050.9676511380767</v>
      </c>
      <c r="O40" s="273" t="str">
        <f ca="1">IF($W40=1, "", IF(AND(M40&gt;0, N40&lt;0), "dominated", M40/N40))</f>
        <v>dominated</v>
      </c>
      <c r="P40" s="272"/>
      <c r="Q40" s="273" cm="1">
        <f t="array" aca="1" ref="Q40" ca="1">IF(F40="", "", IF(F40=swtchResults.Baseline, "-", H40-_xlfn.SINGLE(INDEX(Y39:Y40, swtchResults.Baseline))))</f>
        <v>29804408.03847678</v>
      </c>
      <c r="R40" s="226" cm="1">
        <f t="array" aca="1" ref="R40" ca="1">IF(F40="", "", IF(F40=swtchResults.Baseline, "-", I40-_xlfn.SINGLE(INDEX(Z39:Z40, swtchResults.Baseline))))</f>
        <v>-6050.9676511380767</v>
      </c>
      <c r="S40" s="227" cm="1">
        <f t="array" aca="1" ref="S40" ca="1">IF(F40="", "", IF(F40=swtchResults.Baseline, "-", R40-Q40/S$7))</f>
        <v>-7541.1880530619155</v>
      </c>
      <c r="T40" s="227" cm="1">
        <f t="array" aca="1" ref="T40" ca="1">IF(F40="", "", IF(F40=swtchResults.Baseline, "-", R40-Q40/T$7))</f>
        <v>-7044.4479190873026</v>
      </c>
      <c r="U40" s="229" t="str">
        <f ca="1">IF(F40="", "", IF(F40=swtchResults.Baseline, "ref", IF(AND(Q40&lt;=0, R40&gt;0), "dominant", IF(AND(Q40&gt;0, R40&lt;0), "dominated", Q40/R40))))</f>
        <v>dominated</v>
      </c>
      <c r="V40" s="219"/>
      <c r="W40" s="224">
        <f>W39+1</f>
        <v>2</v>
      </c>
      <c r="X40" s="225" t="str" cm="1">
        <f t="array" ref="X40">INDEX(rngStrats, W40)</f>
        <v>No HPE</v>
      </c>
      <c r="Y40" s="230">
        <v>0</v>
      </c>
      <c r="Z40" s="231">
        <v>0</v>
      </c>
      <c r="AA40" s="232"/>
      <c r="AB40" s="232"/>
      <c r="AC40" s="232"/>
      <c r="AD40" s="232"/>
      <c r="AE40" s="232"/>
      <c r="AF40" s="232"/>
      <c r="AG40" s="232"/>
      <c r="AH40" s="232"/>
      <c r="AI40" s="232"/>
    </row>
  </sheetData>
  <mergeCells count="45">
    <mergeCell ref="AB5:AB7"/>
    <mergeCell ref="F38:AA38"/>
    <mergeCell ref="F23:AA23"/>
    <mergeCell ref="F26:AA26"/>
    <mergeCell ref="F29:AA29"/>
    <mergeCell ref="F32:AA32"/>
    <mergeCell ref="F35:AA35"/>
    <mergeCell ref="F17:AA17"/>
    <mergeCell ref="F20:AA20"/>
    <mergeCell ref="F8:AA8"/>
    <mergeCell ref="F11:AA11"/>
    <mergeCell ref="F14:AA14"/>
    <mergeCell ref="P4:P7"/>
    <mergeCell ref="Q4:U4"/>
    <mergeCell ref="W4:AA4"/>
    <mergeCell ref="R5:U5"/>
    <mergeCell ref="Q6:Q7"/>
    <mergeCell ref="R6:R7"/>
    <mergeCell ref="S6:T6"/>
    <mergeCell ref="U6:U7"/>
    <mergeCell ref="AA5:AA7"/>
    <mergeCell ref="Z5:Z7"/>
    <mergeCell ref="Y5:Y7"/>
    <mergeCell ref="X5:X7"/>
    <mergeCell ref="W5:W7"/>
    <mergeCell ref="F4:F7"/>
    <mergeCell ref="G4:G7"/>
    <mergeCell ref="H4:K4"/>
    <mergeCell ref="L4:L6"/>
    <mergeCell ref="M4:O5"/>
    <mergeCell ref="H5:H7"/>
    <mergeCell ref="I5:I7"/>
    <mergeCell ref="J5:K5"/>
    <mergeCell ref="J6:J7"/>
    <mergeCell ref="K6:K7"/>
    <mergeCell ref="M6:M7"/>
    <mergeCell ref="N6:N7"/>
    <mergeCell ref="O6:O7"/>
    <mergeCell ref="AH5:AH7"/>
    <mergeCell ref="AI5:AI7"/>
    <mergeCell ref="AC5:AC7"/>
    <mergeCell ref="AD5:AD7"/>
    <mergeCell ref="AE5:AE7"/>
    <mergeCell ref="AF5:AF7"/>
    <mergeCell ref="AG5:AG7"/>
  </mergeCells>
  <conditionalFormatting sqref="F9:U9 F10:N10 P10:U10 W15:X16 W18:X19 W21:AA22">
    <cfRule type="expression" dxfId="56" priority="65">
      <formula>$W9&gt;E.numStrats.wResults</formula>
    </cfRule>
  </conditionalFormatting>
  <conditionalFormatting sqref="W9:AI10">
    <cfRule type="expression" dxfId="55" priority="63">
      <formula>$W9&gt;E.numStrats.wResults</formula>
    </cfRule>
  </conditionalFormatting>
  <conditionalFormatting sqref="W12:AA13">
    <cfRule type="expression" dxfId="54" priority="62">
      <formula>$W12&gt;E.numStrats.wResults</formula>
    </cfRule>
  </conditionalFormatting>
  <conditionalFormatting sqref="Y18:AA19">
    <cfRule type="expression" dxfId="53" priority="45">
      <formula>$W18&gt;E.numStrats.wResults</formula>
    </cfRule>
  </conditionalFormatting>
  <conditionalFormatting sqref="Y15:AA16">
    <cfRule type="expression" dxfId="52" priority="43">
      <formula>$W15&gt;E.numStrats.wResults</formula>
    </cfRule>
  </conditionalFormatting>
  <conditionalFormatting sqref="F21:U21 F22:N22 P22:U22 F18:U18 F19:N19 P19:U19 P16:U16 F12:U12 F13:N13 P13:U13 J16:N16 J15:U15 F15:I16">
    <cfRule type="expression" dxfId="51" priority="42">
      <formula>$W12&gt;E.numStrats.wResults</formula>
    </cfRule>
  </conditionalFormatting>
  <conditionalFormatting sqref="W36:X37 W39:X40 W27:X28 W30:X31 W24:X25 W33:X34">
    <cfRule type="expression" dxfId="50" priority="34">
      <formula>$W24&gt;E.numStrats.wResults</formula>
    </cfRule>
  </conditionalFormatting>
  <conditionalFormatting sqref="Y24:AI25">
    <cfRule type="expression" dxfId="49" priority="33">
      <formula>$W24&gt;E.numStrats.wResults</formula>
    </cfRule>
  </conditionalFormatting>
  <conditionalFormatting sqref="F39:U39 F40:N40 P40:U40 F36:U36 F37:N37 P37:U37 F33:U33 F34:N34 P34:U34 F30:U30 F31:N31 P31:U31 F27:U27 F28:N28 P28:U28 F24:U24 F25:N25 P25:U25">
    <cfRule type="expression" dxfId="48" priority="30">
      <formula>$W24&gt;E.numStrats.wResults</formula>
    </cfRule>
  </conditionalFormatting>
  <conditionalFormatting sqref="Y39:AI40 Y36:AI37 Y33:AI34 Y30:AI31 Y27:AI28">
    <cfRule type="expression" dxfId="47" priority="28">
      <formula>$W27&gt;E.numStrats.wResults</formula>
    </cfRule>
  </conditionalFormatting>
  <conditionalFormatting sqref="O10 O22 O19 O16 O13 O40 O37 O34 O31 O28 O25">
    <cfRule type="expression" dxfId="46" priority="2710">
      <formula>#REF!&gt;E.numStrats.wResults</formula>
    </cfRule>
  </conditionalFormatting>
  <conditionalFormatting sqref="AB12:AB13">
    <cfRule type="expression" dxfId="45" priority="22">
      <formula>$W12&gt;E.numStrats.wResults</formula>
    </cfRule>
  </conditionalFormatting>
  <conditionalFormatting sqref="AB15:AB16">
    <cfRule type="expression" dxfId="44" priority="21">
      <formula>$W15&gt;E.numStrats.wResults</formula>
    </cfRule>
  </conditionalFormatting>
  <conditionalFormatting sqref="AB18:AF19">
    <cfRule type="expression" dxfId="43" priority="13">
      <formula>$W18&gt;E.numStrats.wResults</formula>
    </cfRule>
  </conditionalFormatting>
  <conditionalFormatting sqref="AB21:AG22">
    <cfRule type="expression" dxfId="42" priority="11">
      <formula>$W21&gt;E.numStrats.wResults</formula>
    </cfRule>
  </conditionalFormatting>
  <conditionalFormatting sqref="AC12:AI13">
    <cfRule type="expression" dxfId="41" priority="10">
      <formula>$W12&gt;E.numStrats.wResults</formula>
    </cfRule>
  </conditionalFormatting>
  <conditionalFormatting sqref="AC15:AI16">
    <cfRule type="expression" dxfId="40" priority="9">
      <formula>$W15&gt;E.numStrats.wResults</formula>
    </cfRule>
  </conditionalFormatting>
  <conditionalFormatting sqref="AG18:AI19">
    <cfRule type="expression" dxfId="39" priority="8">
      <formula>$W18&gt;E.numStrats.wResults</formula>
    </cfRule>
  </conditionalFormatting>
  <conditionalFormatting sqref="AH21:AI22">
    <cfRule type="expression" dxfId="38" priority="7">
      <formula>$W21&gt;E.numStrats.wResults</formula>
    </cfRule>
  </conditionalFormatting>
  <dataValidations disablePrompts="1" count="1">
    <dataValidation type="list" allowBlank="1" showInputMessage="1" showErrorMessage="1" sqref="R5:U5" xr:uid="{64265379-7137-405E-9E4C-ADB4A792F19D}">
      <formula1>rngStrats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7B344-8A9F-40E9-A6DB-F9099B8159A4}">
  <sheetPr codeName="shtResults2">
    <tabColor rgb="FFFF0000"/>
  </sheetPr>
  <dimension ref="A1:AQ40"/>
  <sheetViews>
    <sheetView zoomScaleNormal="100" workbookViewId="0">
      <pane xSplit="4" ySplit="7" topLeftCell="E8" activePane="bottomRight" state="frozen"/>
      <selection activeCell="E2" sqref="E2"/>
      <selection pane="topRight" activeCell="E2" sqref="E2"/>
      <selection pane="bottomLeft" activeCell="E2" sqref="E2"/>
      <selection pane="bottomRight" activeCell="E8" sqref="E8"/>
    </sheetView>
  </sheetViews>
  <sheetFormatPr defaultColWidth="9.28515625" defaultRowHeight="12" customHeight="1" x14ac:dyDescent="0.25"/>
  <cols>
    <col min="1" max="1" width="1.7109375" style="6" customWidth="1"/>
    <col min="2" max="2" width="19.7109375" style="6" customWidth="1"/>
    <col min="3" max="3" width="1.7109375" style="135" customWidth="1"/>
    <col min="4" max="4" width="2.7109375" style="10" hidden="1" customWidth="1"/>
    <col min="5" max="5" width="2.7109375" customWidth="1"/>
    <col min="6" max="6" width="7.28515625" customWidth="1"/>
    <col min="7" max="7" width="23.42578125" customWidth="1"/>
    <col min="8" max="8" width="12" style="57" bestFit="1" customWidth="1"/>
    <col min="9" max="9" width="19.28515625" style="38" customWidth="1"/>
    <col min="10" max="10" width="9" style="57" bestFit="1" customWidth="1"/>
    <col min="11" max="11" width="15.28515625" style="38" customWidth="1"/>
    <col min="12" max="12" width="11.7109375" style="57" customWidth="1"/>
    <col min="13" max="13" width="15.28515625" style="38" customWidth="1"/>
    <col min="14" max="14" width="11.7109375" style="57" customWidth="1"/>
    <col min="15" max="15" width="15.28515625" style="38" customWidth="1"/>
    <col min="16" max="16" width="1.7109375" style="11" customWidth="1"/>
    <col min="17" max="17" width="12" style="57" bestFit="1" customWidth="1"/>
    <col min="18" max="18" width="15.28515625" style="38" customWidth="1"/>
    <col min="19" max="19" width="9.7109375" style="57" bestFit="1" customWidth="1"/>
    <col min="20" max="20" width="17.28515625" style="38" customWidth="1"/>
    <col min="21" max="21" width="11.28515625" style="11" customWidth="1"/>
    <col min="22" max="22" width="1.7109375" style="11" customWidth="1"/>
    <col min="23" max="23" width="8.5703125" style="57" customWidth="1"/>
    <col min="24" max="24" width="17.28515625" style="38" customWidth="1"/>
    <col min="25" max="25" width="8.5703125" style="57" customWidth="1"/>
    <col min="26" max="26" width="17.28515625" style="38" customWidth="1"/>
    <col min="27" max="27" width="11.7109375" style="57" customWidth="1"/>
    <col min="28" max="28" width="17.28515625" style="38" customWidth="1"/>
    <col min="29" max="29" width="11.7109375" style="57" customWidth="1"/>
    <col min="30" max="30" width="17.28515625" style="38" customWidth="1"/>
    <col min="31" max="31" width="11.28515625" style="11" customWidth="1"/>
    <col min="32" max="32" width="2.7109375" customWidth="1"/>
    <col min="33" max="33" width="4" style="11" customWidth="1"/>
    <col min="34" max="34" width="9.140625" customWidth="1"/>
    <col min="35" max="35" width="12" customWidth="1"/>
    <col min="36" max="36" width="19.28515625" customWidth="1"/>
    <col min="37" max="37" width="10" customWidth="1"/>
    <col min="38" max="38" width="15.28515625" customWidth="1"/>
    <col min="39" max="39" width="10" customWidth="1"/>
    <col min="40" max="40" width="2.7109375" customWidth="1"/>
    <col min="41" max="42" width="10" customWidth="1"/>
    <col min="43" max="43" width="2.7109375" customWidth="1"/>
  </cols>
  <sheetData>
    <row r="1" spans="1:43" s="136" customFormat="1" ht="24.95" customHeight="1" thickBot="1" x14ac:dyDescent="0.3">
      <c r="A1" s="2"/>
      <c r="B1" s="6"/>
      <c r="C1" s="2"/>
      <c r="E1" s="136" t="str">
        <f>zWorkbookTitle</f>
        <v>Camacho et al. (2024) Harms of hazardous prescribing of NSAIDs</v>
      </c>
      <c r="G1" s="399"/>
      <c r="H1" s="138"/>
      <c r="I1" s="399"/>
      <c r="J1" s="138"/>
      <c r="K1" s="399"/>
      <c r="L1" s="138"/>
      <c r="M1" s="399"/>
      <c r="N1" s="138"/>
      <c r="O1" s="399"/>
      <c r="P1" s="137"/>
      <c r="Q1" s="138"/>
      <c r="R1" s="399"/>
      <c r="S1" s="138"/>
      <c r="T1" s="399"/>
      <c r="U1" s="137"/>
      <c r="V1" s="137"/>
      <c r="W1" s="138"/>
      <c r="X1" s="399"/>
      <c r="Y1" s="138"/>
      <c r="Z1" s="399"/>
      <c r="AA1" s="138"/>
      <c r="AB1" s="399"/>
      <c r="AC1" s="138"/>
      <c r="AD1" s="399"/>
      <c r="AE1" s="137"/>
      <c r="AF1" s="137"/>
      <c r="AG1" s="137"/>
      <c r="AH1" s="137"/>
      <c r="AI1" s="137"/>
      <c r="AJ1" s="137"/>
      <c r="AM1" s="137"/>
      <c r="AN1" s="137"/>
      <c r="AO1" s="137"/>
      <c r="AP1" s="137"/>
      <c r="AQ1" s="137"/>
    </row>
    <row r="2" spans="1:43" s="8" customFormat="1" ht="12" customHeight="1" thickTop="1" thickBot="1" x14ac:dyDescent="0.3">
      <c r="A2" s="6"/>
      <c r="B2" s="6"/>
      <c r="C2" s="135"/>
      <c r="D2" s="324"/>
      <c r="F2" s="396"/>
      <c r="G2" s="396"/>
      <c r="H2" s="397"/>
      <c r="I2" s="395"/>
      <c r="J2" s="397"/>
      <c r="K2" s="395"/>
      <c r="L2" s="397"/>
      <c r="M2" s="395"/>
      <c r="N2" s="397"/>
      <c r="O2" s="395"/>
      <c r="P2" s="71"/>
      <c r="Q2" s="397"/>
      <c r="R2" s="395"/>
      <c r="S2" s="397"/>
      <c r="T2" s="395"/>
      <c r="U2" s="71"/>
      <c r="V2" s="71"/>
      <c r="W2" s="397"/>
      <c r="X2" s="395"/>
      <c r="Y2" s="397"/>
      <c r="Z2" s="395"/>
      <c r="AA2" s="397"/>
      <c r="AB2" s="395"/>
      <c r="AC2" s="397"/>
      <c r="AD2" s="395"/>
      <c r="AE2" s="71"/>
      <c r="AG2" s="71"/>
      <c r="AH2" s="396"/>
      <c r="AI2" s="396"/>
      <c r="AJ2" s="396"/>
      <c r="AK2" s="396"/>
      <c r="AL2" s="396"/>
      <c r="AM2" s="396"/>
      <c r="AO2" s="396"/>
      <c r="AP2" s="396"/>
    </row>
    <row r="3" spans="1:43" ht="12" customHeight="1" thickBot="1" x14ac:dyDescent="0.3">
      <c r="E3" s="59"/>
      <c r="F3" s="1" t="s">
        <v>56</v>
      </c>
      <c r="G3" s="23"/>
      <c r="H3" s="257"/>
      <c r="I3" s="30"/>
      <c r="J3" s="257"/>
      <c r="K3" s="30"/>
      <c r="L3" s="257"/>
      <c r="M3" s="30"/>
      <c r="N3" s="257"/>
      <c r="O3" s="30"/>
      <c r="P3" s="23"/>
      <c r="Q3" s="257"/>
      <c r="R3" s="30"/>
      <c r="S3" s="257"/>
      <c r="T3" s="30"/>
      <c r="U3" s="23"/>
      <c r="V3" s="23"/>
      <c r="W3" s="257"/>
      <c r="X3" s="30"/>
      <c r="Y3" s="257"/>
      <c r="Z3" s="30"/>
      <c r="AA3" s="257"/>
      <c r="AB3" s="30"/>
      <c r="AC3" s="257"/>
      <c r="AD3" s="30"/>
      <c r="AE3" s="255"/>
      <c r="AF3" s="23"/>
      <c r="AG3" s="1"/>
      <c r="AH3" s="23"/>
      <c r="AI3" s="23"/>
      <c r="AJ3" s="23"/>
      <c r="AK3" s="23"/>
      <c r="AL3" s="23"/>
      <c r="AM3" s="255"/>
      <c r="AN3" s="10"/>
      <c r="AQ3" s="10"/>
    </row>
    <row r="4" spans="1:43" ht="12" customHeight="1" thickBot="1" x14ac:dyDescent="0.3">
      <c r="E4" s="59"/>
      <c r="F4" s="464" t="s">
        <v>49</v>
      </c>
      <c r="G4" s="501" t="s">
        <v>2</v>
      </c>
      <c r="H4" s="467" t="s">
        <v>50</v>
      </c>
      <c r="I4" s="467"/>
      <c r="J4" s="467"/>
      <c r="K4" s="467"/>
      <c r="L4" s="467"/>
      <c r="M4" s="467"/>
      <c r="N4" s="467"/>
      <c r="O4" s="233"/>
      <c r="P4" s="501"/>
      <c r="Q4" s="446" t="s">
        <v>55</v>
      </c>
      <c r="R4" s="446"/>
      <c r="S4" s="446"/>
      <c r="T4" s="446"/>
      <c r="U4" s="446"/>
      <c r="V4" s="501"/>
      <c r="W4" s="452" t="s">
        <v>315</v>
      </c>
      <c r="X4" s="452"/>
      <c r="Y4" s="452"/>
      <c r="Z4" s="452"/>
      <c r="AA4" s="452"/>
      <c r="AB4" s="452"/>
      <c r="AC4" s="452"/>
      <c r="AD4" s="452"/>
      <c r="AE4" s="503"/>
      <c r="AF4" s="214"/>
      <c r="AG4" s="490" t="s">
        <v>52</v>
      </c>
      <c r="AH4" s="491"/>
      <c r="AI4" s="491"/>
      <c r="AJ4" s="491"/>
      <c r="AK4" s="491"/>
      <c r="AL4" s="491"/>
      <c r="AM4" s="492"/>
      <c r="AN4" s="214"/>
      <c r="AQ4" s="10"/>
    </row>
    <row r="5" spans="1:43" ht="12" customHeight="1" thickBot="1" x14ac:dyDescent="0.3">
      <c r="E5" s="59"/>
      <c r="F5" s="465"/>
      <c r="G5" s="502"/>
      <c r="H5" s="507" t="s">
        <v>39</v>
      </c>
      <c r="I5" s="497" t="s">
        <v>317</v>
      </c>
      <c r="J5" s="509" t="s">
        <v>40</v>
      </c>
      <c r="K5" s="497" t="s">
        <v>317</v>
      </c>
      <c r="L5" s="452" t="s">
        <v>316</v>
      </c>
      <c r="M5" s="452"/>
      <c r="N5" s="452"/>
      <c r="O5" s="452"/>
      <c r="P5" s="502"/>
      <c r="Q5" s="447"/>
      <c r="R5" s="447"/>
      <c r="S5" s="447"/>
      <c r="T5" s="447"/>
      <c r="U5" s="447"/>
      <c r="V5" s="502"/>
      <c r="W5" s="499" t="s">
        <v>74</v>
      </c>
      <c r="X5" s="500"/>
      <c r="Y5" s="493" t="s">
        <v>96</v>
      </c>
      <c r="Z5" s="493"/>
      <c r="AA5" s="493"/>
      <c r="AB5" s="493"/>
      <c r="AC5" s="493"/>
      <c r="AD5" s="493"/>
      <c r="AE5" s="494"/>
      <c r="AF5" s="213"/>
      <c r="AG5" s="480" t="s">
        <v>53</v>
      </c>
      <c r="AH5" s="502" t="s">
        <v>642</v>
      </c>
      <c r="AI5" s="466" t="s">
        <v>39</v>
      </c>
      <c r="AJ5" s="115"/>
      <c r="AK5" s="466" t="s">
        <v>40</v>
      </c>
      <c r="AL5" s="115"/>
      <c r="AM5" s="477" t="s">
        <v>41</v>
      </c>
      <c r="AN5" s="214"/>
      <c r="AQ5" s="10"/>
    </row>
    <row r="6" spans="1:43" ht="12" customHeight="1" thickBot="1" x14ac:dyDescent="0.3">
      <c r="E6" s="59"/>
      <c r="F6" s="465"/>
      <c r="G6" s="502"/>
      <c r="H6" s="508"/>
      <c r="I6" s="498"/>
      <c r="J6" s="510"/>
      <c r="K6" s="498"/>
      <c r="L6" s="504">
        <v>20000</v>
      </c>
      <c r="M6" s="497" t="s">
        <v>317</v>
      </c>
      <c r="N6" s="504">
        <v>30000</v>
      </c>
      <c r="O6" s="497" t="s">
        <v>317</v>
      </c>
      <c r="P6" s="502"/>
      <c r="Q6" s="495" t="s">
        <v>39</v>
      </c>
      <c r="R6" s="497" t="s">
        <v>317</v>
      </c>
      <c r="S6" s="495" t="s">
        <v>40</v>
      </c>
      <c r="T6" s="497" t="s">
        <v>317</v>
      </c>
      <c r="U6" s="501" t="s">
        <v>51</v>
      </c>
      <c r="V6" s="502"/>
      <c r="W6" s="499" t="s">
        <v>39</v>
      </c>
      <c r="X6" s="497" t="s">
        <v>317</v>
      </c>
      <c r="Y6" s="499" t="s">
        <v>40</v>
      </c>
      <c r="Z6" s="497" t="s">
        <v>317</v>
      </c>
      <c r="AA6" s="475" t="s">
        <v>318</v>
      </c>
      <c r="AB6" s="475"/>
      <c r="AC6" s="475"/>
      <c r="AD6" s="475"/>
      <c r="AE6" s="476" t="s">
        <v>51</v>
      </c>
      <c r="AF6" s="213"/>
      <c r="AG6" s="480"/>
      <c r="AH6" s="466"/>
      <c r="AI6" s="466"/>
      <c r="AJ6" s="115"/>
      <c r="AK6" s="466"/>
      <c r="AL6" s="115"/>
      <c r="AM6" s="477"/>
      <c r="AN6" s="213"/>
      <c r="AQ6" s="10"/>
    </row>
    <row r="7" spans="1:43" ht="12" customHeight="1" thickBot="1" x14ac:dyDescent="0.3">
      <c r="E7" s="59"/>
      <c r="F7" s="465"/>
      <c r="G7" s="502"/>
      <c r="H7" s="508"/>
      <c r="I7" s="498"/>
      <c r="J7" s="510"/>
      <c r="K7" s="498"/>
      <c r="L7" s="505"/>
      <c r="M7" s="498"/>
      <c r="N7" s="505"/>
      <c r="O7" s="498"/>
      <c r="P7" s="502"/>
      <c r="Q7" s="496"/>
      <c r="R7" s="498"/>
      <c r="S7" s="496"/>
      <c r="T7" s="498"/>
      <c r="U7" s="502"/>
      <c r="V7" s="502"/>
      <c r="W7" s="506"/>
      <c r="X7" s="498"/>
      <c r="Y7" s="506"/>
      <c r="Z7" s="498"/>
      <c r="AA7" s="296">
        <v>20000</v>
      </c>
      <c r="AB7" s="361" t="s">
        <v>317</v>
      </c>
      <c r="AC7" s="296">
        <v>30000</v>
      </c>
      <c r="AD7" s="361" t="s">
        <v>317</v>
      </c>
      <c r="AE7" s="477"/>
      <c r="AF7" s="323"/>
      <c r="AG7" s="249"/>
      <c r="AH7" s="115"/>
      <c r="AI7" s="115"/>
      <c r="AJ7" s="115"/>
      <c r="AK7" s="115"/>
      <c r="AL7" s="115"/>
      <c r="AM7" s="248"/>
      <c r="AN7" s="213"/>
      <c r="AQ7" s="10"/>
    </row>
    <row r="8" spans="1:43" ht="12" customHeight="1" thickBot="1" x14ac:dyDescent="0.3">
      <c r="D8" s="10">
        <v>1</v>
      </c>
      <c r="E8" s="59"/>
      <c r="F8" s="481" t="str" cm="1">
        <f t="array" ref="F8">INDEX(lstQs, D8)</f>
        <v>A: No gastroprotection - NSAIDs in people &gt;65</v>
      </c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482"/>
      <c r="W8" s="482"/>
      <c r="X8" s="482"/>
      <c r="Y8" s="482"/>
      <c r="Z8" s="482"/>
      <c r="AA8" s="482"/>
      <c r="AB8" s="482"/>
      <c r="AC8" s="482"/>
      <c r="AD8" s="482"/>
      <c r="AE8" s="482"/>
      <c r="AF8" s="482"/>
      <c r="AG8" s="482"/>
      <c r="AH8" s="482"/>
      <c r="AI8" s="482"/>
      <c r="AJ8" s="482"/>
      <c r="AK8" s="482"/>
      <c r="AL8" s="482"/>
      <c r="AM8" s="483"/>
      <c r="AN8" s="10"/>
    </row>
    <row r="9" spans="1:43" ht="12" customHeight="1" x14ac:dyDescent="0.25">
      <c r="D9" s="10">
        <v>1</v>
      </c>
      <c r="E9" s="59"/>
      <c r="F9" s="348">
        <f ca="1">MATCH(SMALL(AI9:AI10, AG9), AI9:AI10, 0)</f>
        <v>2</v>
      </c>
      <c r="G9" s="349" t="str" cm="1">
        <f t="array" aca="1" ref="G9" ca="1">INDEX(rngStrats, F9)</f>
        <v>No HPE</v>
      </c>
      <c r="H9" s="362" cm="1">
        <f t="array" aca="1" ref="H9" ca="1">IFERROR(INDEX(AI9:AI10, F9), "")</f>
        <v>234.68582357943365</v>
      </c>
      <c r="I9" s="363" t="str">
        <f ca="1">_xlfn.LET(_xlpm.arrCosts, OFFSET(rngPSA.Samples.Costs, 0, (D9-1)*6 + F9-1),
"(" &amp;
 TEXT(PERCENTILE(_xlpm.arrCosts, 0.025), "£#,##0;−£#,##0") &amp; " to " &amp;
 TEXT(PERCENTILE(_xlpm.arrCosts, 0.975), "£#,##0;−£#,##0") &amp; ")")</f>
        <v>(£174 to £316)</v>
      </c>
      <c r="J9" s="364" cm="1">
        <f t="array" aca="1" ref="J9" ca="1">IFERROR(INDEX(AK9:AK10, F9), "")</f>
        <v>5.8517477509186948</v>
      </c>
      <c r="K9" s="365" t="str">
        <f ca="1">_xlfn.LET(_xlpm.arrQALYs, OFFSET(rngPSA.Samples.QALYs, 0, (D9-1)*6 + F9-1),
"(" &amp;
 TEXT(PERCENTILE(_xlpm.arrQALYs, 0.025), "0.000") &amp; " to " &amp;
 TEXT(PERCENTILE(_xlpm.arrQALYs, 0.975), "0.000") &amp; ")")</f>
        <v>(5.777 to 5.926)</v>
      </c>
      <c r="L9" s="364">
        <f ca="1">IF(F9="", "", J9-H9/L$6)</f>
        <v>5.8400134597397235</v>
      </c>
      <c r="M9" s="365" t="str" cm="1">
        <f t="array" aca="1" ref="M9" ca="1">_xlfn.LET(_xlpm.arrNHB, OFFSET(rngPSA.Samples.QALYs, 0, (D9-1)*6 + F9-1) - OFFSET(rngPSA.Samples.Costs, 0, (D9-1)*6 + F9-1)/L$6,
"(" &amp;
 TEXT(PERCENTILE(_xlpm.arrNHB, 0.025), "0.000") &amp; " to " &amp;
 TEXT(PERCENTILE(_xlpm.arrNHB, 0.975), "0.000") &amp; ")")</f>
        <v>(5.765 to 5.914)</v>
      </c>
      <c r="N9" s="364">
        <f ca="1">IF(F9="", "", J9-H9/N$6)</f>
        <v>5.8439248901327137</v>
      </c>
      <c r="O9" s="365" t="str" cm="1">
        <f t="array" aca="1" ref="O9" ca="1">_xlfn.LET(_xlpm.arrNHB, OFFSET(rngPSA.Samples.QALYs, 0, (D9-1)*6 + F9-1) - OFFSET(rngPSA.Samples.Costs, 0, (D9-1)*6 + F9-1)/N$6,
"(" &amp;
 TEXT(PERCENTILE(_xlpm.arrNHB, 0.025), "0.000") &amp; " to " &amp;
 TEXT(PERCENTILE(_xlpm.arrNHB, 0.975), "0.000") &amp; ")")</f>
        <v>(5.769 to 5.918)</v>
      </c>
      <c r="P9" s="352"/>
      <c r="Q9" s="362" t="str">
        <f>IF($AG9=1, "", H9-H7)</f>
        <v/>
      </c>
      <c r="R9" s="363" t="str" cm="1">
        <f t="array" aca="1" ref="R9" ca="1">_xlfn.LET(_xlpm.arrIncCosts, OFFSET(rngPSA.Samples.Costs, 0, ($D9-1)*6 + $F9-1)-OFFSET(rngPSA.Samples.Costs, 0, ($D9-1)*6 + $F7-1),
IF(AG9=1, "", "(" &amp;
 TEXT(PERCENTILE(_xlpm.arrIncCosts, 0.025), "£#,##0;−£#,##0") &amp; " to " &amp;
 TEXT(PERCENTILE(_xlpm.arrIncCosts, 0.975), "£#,##0;−£#,##0") &amp; ")"))</f>
        <v/>
      </c>
      <c r="S9" s="364" t="str">
        <f>IF($AG9=1, "", J9-J7)</f>
        <v/>
      </c>
      <c r="T9" s="363" t="str" cm="1">
        <f t="array" aca="1" ref="T9" ca="1">_xlfn.LET(_xlpm.arrIncQALYs, OFFSET(rngPSA.Samples.QALYs, 0, ($D9-1)*6 + $F9-1)-OFFSET(rngPSA.Samples.QALYs, 0, ($D9-1)*6 + $F7-1),
IF($AG9=1, "", "(" &amp;
 TEXT(PERCENTILE(_xlpm.arrIncQALYs, 0.025), "0.000;−0.000") &amp; " to " &amp;
 TEXT(PERCENTILE(_xlpm.arrIncQALYs, 0.975), "0.000;−0.000") &amp; ")"))</f>
        <v/>
      </c>
      <c r="U9" s="350" t="str">
        <f>IF($AG9=1, "", IF(AND(Q9&gt;0, S9&lt;0), "dominated", Q9/S9))</f>
        <v/>
      </c>
      <c r="V9" s="353"/>
      <c r="W9" s="362" t="str" cm="1">
        <f t="array" aca="1" ref="W9" ca="1">IF(F9=swtchResults.PSA.Baseline, "-", H9-INDEX(AI9:AI10, swtchResults.PSA.Baseline))</f>
        <v>-</v>
      </c>
      <c r="X9" s="363" t="str" cm="1">
        <f t="array" aca="1" ref="X9" ca="1">IF(F9=swtchResults.PSA.Baseline, "-", "(" &amp;
 TEXT(PERCENTILE(OFFSET(rngPSA.Samples.Costs, 0, (D9-1)*6 + F9-1)-OFFSET(rngPSA.Samples.Costs, 0, (D9-1)*6 + swtchResults.PSA.Baseline-1), 0.025), "£#,##0;−£#,##0") &amp; " to " &amp;
 TEXT(PERCENTILE(OFFSET(rngPSA.Samples.Costs, 0, (D9-1)*6 + F9-1)-OFFSET(rngPSA.Samples.Costs, 0, (D9-1)*6 + swtchResults.PSA.Baseline-1), 0.975), "£#,##0;−£#,##0") &amp; ")")</f>
        <v>-</v>
      </c>
      <c r="Y9" s="364" t="str" cm="1">
        <f t="array" aca="1" ref="Y9" ca="1">IF(F9=swtchResults.PSA.Baseline, "-", J9-INDEX(AK9:AK10, swtchResults.PSA.Baseline))</f>
        <v>-</v>
      </c>
      <c r="Z9" s="363" t="str" cm="1">
        <f t="array" aca="1" ref="Z9" ca="1">IF(F9=swtchResults.PSA.Baseline, "-", "(" &amp;
 TEXT(PERCENTILE(OFFSET(rngPSA.Samples.QALYs, 0, (D9-1)*6 + F9-1)-OFFSET(rngPSA.Samples.QALYs, 0, (D9-1)*6 + swtchResults.PSA.Baseline-1), 0.025), "0.000;−0.000") &amp; " to " &amp;
 TEXT(PERCENTILE(OFFSET(rngPSA.Samples.QALYs, 0, (D9-1)*6 + F9-1)-OFFSET(rngPSA.Samples.QALYs, 0, (D9-1)*6 + swtchResults.PSA.Baseline-1), 0.975), "0.000;−0.000") &amp; ")")</f>
        <v>-</v>
      </c>
      <c r="AA9" s="364" t="str" cm="1">
        <f t="array" aca="1" ref="AA9" ca="1">IF(F9=swtchResults.PSA.Baseline, "-", Y9-W9/AA$7)</f>
        <v>-</v>
      </c>
      <c r="AB9" s="363" t="str" cm="1">
        <f t="array" aca="1" ref="AB9" ca="1">_xlfn.LET(_xlpm.arrNHB, (OFFSET(rngPSA.Samples.QALYs, 0, (D9-1)*6 + F9-1)-OFFSET(rngPSA.Samples.QALYs, 0, (D9-1)*6 + swtchResults.PSA.Baseline-1)) - (OFFSET(rngPSA.Samples.Costs, 0, (D9-1)*6 + F9-1)-OFFSET(rngPSA.Samples.Costs, 0, (D9-1)*6 + swtchResults.PSA.Baseline-1))/AA$7,
 IF(F9=swtchResults.PSA.Baseline, "-", "(" &amp;
 TEXT(PERCENTILE(_xlpm.arrNHB, 0.025), "0.000;−0.000") &amp; " to " &amp;
 TEXT(PERCENTILE(_xlpm.arrNHB, 0.975), "0.000;−0.000") &amp; ")"))</f>
        <v>-</v>
      </c>
      <c r="AC9" s="364" t="str" cm="1">
        <f t="array" aca="1" ref="AC9" ca="1">IF(F9=swtchResults.PSA.Baseline, "-", Y9-W9/AC$7)</f>
        <v>-</v>
      </c>
      <c r="AD9" s="363" t="str" cm="1">
        <f t="array" aca="1" ref="AD9" ca="1">_xlfn.LET(_xlpm.arrNHB, (OFFSET(rngPSA.Samples.QALYs, 0, (D9-1)*6 + F9-1)-OFFSET(rngPSA.Samples.QALYs, 0, (D9-1)*6 + swtchResults.PSA.Baseline-1)) - (OFFSET(rngPSA.Samples.Costs, 0, (D9-1)*6 + F9-1)-OFFSET(rngPSA.Samples.Costs, 0, (D9-1)*6 + swtchResults.PSA.Baseline-1))/AC$7,
 IF(F9=swtchResults.PSA.Baseline, "-", "(" &amp;
 TEXT(PERCENTILE(_xlpm.arrNHB, 0.025), "0.000;−0.000") &amp; " to " &amp;
 TEXT(PERCENTILE(_xlpm.arrNHB, 0.975), "0.000;−0.000") &amp; ")"))</f>
        <v>-</v>
      </c>
      <c r="AE9" s="356" t="str" cm="1">
        <f t="array" aca="1" ref="AE9" ca="1">IF(F9=swtchResults.PSA.Baseline, "ref", IF(AND(W9&lt;=0, Y9&gt;0), "dominant", IF(AND(W9&gt;0, Y9&lt;0), "dominated", W9/Y9)))</f>
        <v>ref</v>
      </c>
      <c r="AF9" s="357"/>
      <c r="AG9" s="348">
        <v>1</v>
      </c>
      <c r="AH9" s="349" t="str">
        <f t="shared" ref="AH9:AH40" si="0">INDEX(rngStrats, AG9)</f>
        <v>HPE</v>
      </c>
      <c r="AI9" s="358" cm="1">
        <f t="array" aca="1" ref="AI9" ca="1">INDEX(OFFSET(rngPSA.MeanCosts.Root, 0, (D9-1)*6), AG9)</f>
        <v>258.28548437122316</v>
      </c>
      <c r="AJ9" s="358" t="str">
        <f ca="1">_xlfn.LET(_xlpm.arrCosts, OFFSET(rngPSA.Samples.Costs, 0, ($D9-1)*6 + $AG9-1),
"(" &amp;
 TEXT(PERCENTILE(_xlpm.arrCosts, 0.025), "£#,##0;−£#,##0") &amp; " to " &amp;
 TEXT(PERCENTILE(_xlpm.arrCosts, 0.975), "£#,##0;−£#,##0") &amp; ")")</f>
        <v>(£197 to £339)</v>
      </c>
      <c r="AK9" s="359" cm="1">
        <f t="array" aca="1" ref="AK9" ca="1">INDEX(OFFSET(rngPSA.MeanQALYs.Root, 0, (D9-1)*6), AG9)</f>
        <v>5.8349867769857431</v>
      </c>
      <c r="AL9" s="366" t="str">
        <f ca="1">_xlfn.LET(_xlpm.arrQALYs, OFFSET(rngPSA.Samples.QALYs, 0, ($D9-1)*6 + $AG9-1),
"(" &amp;
 TEXT(PERCENTILE(_xlpm.arrQALYs, 0.025), "0.000") &amp; " to " &amp;
 TEXT(PERCENTILE(_xlpm.arrQALYs, 0.975), "0.000") &amp; ")")</f>
        <v>(5.761 to 5.910)</v>
      </c>
      <c r="AM9" s="360" t="str">
        <f>IFERROR(INDEX(rngPSA.MeanLYs, AG9), "")</f>
        <v/>
      </c>
      <c r="AN9" s="213"/>
      <c r="AQ9" s="223"/>
    </row>
    <row r="10" spans="1:43" ht="12" customHeight="1" thickBot="1" x14ac:dyDescent="0.3">
      <c r="D10" s="10">
        <v>1</v>
      </c>
      <c r="E10" s="59"/>
      <c r="F10" s="224">
        <f ca="1">MATCH(SMALL(AI9:AI10, AG10), AI9:AI10, 0)</f>
        <v>1</v>
      </c>
      <c r="G10" s="225" t="str" cm="1">
        <f t="array" aca="1" ref="G10" ca="1">INDEX(rngStrats, F10)</f>
        <v>HPE</v>
      </c>
      <c r="H10" s="240" cm="1">
        <f t="array" aca="1" ref="H10" ca="1">IFERROR(INDEX(AI9:AI10, F10), "")</f>
        <v>258.28548437122316</v>
      </c>
      <c r="I10" s="241" t="str">
        <f ca="1">_xlfn.LET(_xlpm.arrCosts, OFFSET(rngPSA.Samples.Costs, 0, (D10-1)*6 + F10-1),
"(" &amp;
 TEXT(PERCENTILE(_xlpm.arrCosts, 0.025), "£#,##0;−£#,##0") &amp; " to " &amp;
 TEXT(PERCENTILE(_xlpm.arrCosts, 0.975), "£#,##0;−£#,##0") &amp; ")")</f>
        <v>(£197 to £339)</v>
      </c>
      <c r="J10" s="243" cm="1">
        <f t="array" aca="1" ref="J10" ca="1">IFERROR(INDEX(AK9:AK10, F10), "")</f>
        <v>5.8349867769857431</v>
      </c>
      <c r="K10" s="242" t="str">
        <f ca="1">_xlfn.LET(_xlpm.arrQALYs, OFFSET(rngPSA.Samples.QALYs, 0, (D10-1)*6 + F10-1),
"(" &amp;
 TEXT(PERCENTILE(_xlpm.arrQALYs, 0.025), "0.000") &amp; " to " &amp;
 TEXT(PERCENTILE(_xlpm.arrQALYs, 0.975), "0.000") &amp; ")")</f>
        <v>(5.761 to 5.910)</v>
      </c>
      <c r="L10" s="243">
        <f ca="1">IF(F10="", "", J10-H10/L$6)</f>
        <v>5.822072502767182</v>
      </c>
      <c r="M10" s="244" t="str" cm="1">
        <f t="array" aca="1" ref="M10" ca="1">_xlfn.LET(_xlpm.arrNHB, OFFSET(rngPSA.Samples.QALYs, 0, (D10-1)*6 + F10-1) - OFFSET(rngPSA.Samples.Costs, 0, (D10-1)*6 + F10-1)/L$6,
"(" &amp;
 TEXT(PERCENTILE(_xlpm.arrNHB, 0.025), "0.000") &amp; " to " &amp;
 TEXT(PERCENTILE(_xlpm.arrNHB, 0.975), "0.000") &amp; ")")</f>
        <v>(5.748 to 5.897)</v>
      </c>
      <c r="N10" s="243">
        <f ca="1">IF(F10="", "", J10-H10/N$6)</f>
        <v>5.8263772608400357</v>
      </c>
      <c r="O10" s="244" t="str" cm="1">
        <f t="array" aca="1" ref="O10" ca="1">_xlfn.LET(_xlpm.arrNHB, OFFSET(rngPSA.Samples.QALYs, 0, (D10-1)*6 + F10-1) - OFFSET(rngPSA.Samples.Costs, 0, (D10-1)*6 + F10-1)/N$6,
"(" &amp;
 TEXT(PERCENTILE(_xlpm.arrNHB, 0.025), "0.000") &amp; " to " &amp;
 TEXT(PERCENTILE(_xlpm.arrNHB, 0.975), "0.000") &amp; ")")</f>
        <v>(5.752 to 5.901)</v>
      </c>
      <c r="P10" s="228"/>
      <c r="Q10" s="240">
        <f ca="1">IF($AG10=1, "", H10-H9)</f>
        <v>23.599660791789518</v>
      </c>
      <c r="R10" s="241" t="str" cm="1">
        <f t="array" aca="1" ref="R10" ca="1">_xlfn.LET(_xlpm.arrIncCosts, OFFSET(rngPSA.Samples.Costs, 0, ($D10-1)*6 + $F10-1)-OFFSET(rngPSA.Samples.Costs, 0, ($D10-1)*6 + $F9-1),
IF(AG10=1, "", "(" &amp;
 TEXT(PERCENTILE(_xlpm.arrIncCosts, 0.025), "£#,##0;−£#,##0") &amp; " to " &amp;
 TEXT(PERCENTILE(_xlpm.arrIncCosts, 0.975), "£#,##0;−£#,##0") &amp; ")"))</f>
        <v>(£7 to £44)</v>
      </c>
      <c r="S10" s="243">
        <f ca="1">IF($AG10=1, "", J10-J9)</f>
        <v>-1.6760973932951728E-2</v>
      </c>
      <c r="T10" s="241" t="str" cm="1">
        <f t="array" aca="1" ref="T10" ca="1">_xlfn.LET(_xlpm.arrIncQALYs, OFFSET(rngPSA.Samples.QALYs, 0, ($D10-1)*6 + $F10-1)-OFFSET(rngPSA.Samples.QALYs, 0, ($D10-1)*6 + $F9-1),
IF($AG10=1, "", "(" &amp;
 TEXT(PERCENTILE(_xlpm.arrIncQALYs, 0.025), "0.000;−0.000") &amp; " to " &amp;
 TEXT(PERCENTILE(_xlpm.arrIncQALYs, 0.975), "0.000;−0.000") &amp; ")"))</f>
        <v>(−0.021 to −0.012)</v>
      </c>
      <c r="U10" s="273" t="str">
        <f ca="1">IF($AG10=1, "", IF(AND(Q10&gt;0, S10&lt;0), "dominated", Q10/S10))</f>
        <v>dominated</v>
      </c>
      <c r="V10" s="272"/>
      <c r="W10" s="240" cm="1">
        <f t="array" aca="1" ref="W10" ca="1">IF(F10=swtchResults.PSA.Baseline, "-", H10-INDEX(AI9:AI10, swtchResults.PSA.Baseline))</f>
        <v>23.599660791789518</v>
      </c>
      <c r="X10" s="241" t="str" cm="1">
        <f t="array" aca="1" ref="X10" ca="1">IF(F10=swtchResults.PSA.Baseline, "-", "(" &amp;
 TEXT(PERCENTILE(OFFSET(rngPSA.Samples.Costs, 0, (D10-1)*6 + F10-1)-OFFSET(rngPSA.Samples.Costs, 0, (D10-1)*6 + swtchResults.PSA.Baseline-1), 0.025), "£#,##0;−£#,##0") &amp; " to " &amp;
 TEXT(PERCENTILE(OFFSET(rngPSA.Samples.Costs, 0, (D10-1)*6 + F10-1)-OFFSET(rngPSA.Samples.Costs, 0, (D10-1)*6 + swtchResults.PSA.Baseline-1), 0.975), "£#,##0;−£#,##0") &amp; ")")</f>
        <v>(£7 to £44)</v>
      </c>
      <c r="Y10" s="243" cm="1">
        <f t="array" aca="1" ref="Y10" ca="1">IF(F10=swtchResults.PSA.Baseline, "-", J10-INDEX(AK9:AK10, swtchResults.PSA.Baseline))</f>
        <v>-1.6760973932951728E-2</v>
      </c>
      <c r="Z10" s="244" t="str" cm="1">
        <f t="array" aca="1" ref="Z10" ca="1">IF(F10=swtchResults.PSA.Baseline, "-", "(" &amp;
 TEXT(PERCENTILE(OFFSET(rngPSA.Samples.QALYs, 0, (D10-1)*6 + F10-1)-OFFSET(rngPSA.Samples.QALYs, 0, (D10-1)*6 + swtchResults.PSA.Baseline-1), 0.025), "0.000;−0.000") &amp; " to " &amp;
 TEXT(PERCENTILE(OFFSET(rngPSA.Samples.QALYs, 0, (D10-1)*6 + F10-1)-OFFSET(rngPSA.Samples.QALYs, 0, (D10-1)*6 + swtchResults.PSA.Baseline-1), 0.975), "0.000;−0.000") &amp; ")")</f>
        <v>(−0.021 to −0.012)</v>
      </c>
      <c r="AA10" s="245" cm="1">
        <f t="array" aca="1" ref="AA10" ca="1">IF(F10=swtchResults.PSA.Baseline, "-", Y10-W10/AA$7)</f>
        <v>-1.7940956972541205E-2</v>
      </c>
      <c r="AB10" s="244" t="str" cm="1">
        <f t="array" aca="1" ref="AB10" ca="1">_xlfn.LET(_xlpm.arrNHB, (OFFSET(rngPSA.Samples.QALYs, 0, (D10-1)*6 + F10-1)-OFFSET(rngPSA.Samples.QALYs, 0, (D10-1)*6 + swtchResults.PSA.Baseline-1)) - (OFFSET(rngPSA.Samples.Costs, 0, (D10-1)*6 + F10-1)-OFFSET(rngPSA.Samples.Costs, 0, (D10-1)*6 + swtchResults.PSA.Baseline-1))/AA$7,
 IF(F10=swtchResults.PSA.Baseline, "-", "(" &amp;
 TEXT(PERCENTILE(_xlpm.arrNHB, 0.025), "0.000;−0.000") &amp; " to " &amp;
 TEXT(PERCENTILE(_xlpm.arrNHB, 0.975), "0.000;−0.000") &amp; ")"))</f>
        <v>(−0.023 to −0.013)</v>
      </c>
      <c r="AC10" s="245" cm="1">
        <f t="array" aca="1" ref="AC10" ca="1">IF(F10=swtchResults.PSA.Baseline, "-", Y10-W10/AC$7)</f>
        <v>-1.7547629292678047E-2</v>
      </c>
      <c r="AD10" s="244" t="str" cm="1">
        <f t="array" aca="1" ref="AD10" ca="1">_xlfn.LET(_xlpm.arrNHB, (OFFSET(rngPSA.Samples.QALYs, 0, (D10-1)*6 + F10-1)-OFFSET(rngPSA.Samples.QALYs, 0, (D10-1)*6 + swtchResults.PSA.Baseline-1)) - (OFFSET(rngPSA.Samples.Costs, 0, (D10-1)*6 + F10-1)-OFFSET(rngPSA.Samples.Costs, 0, (D10-1)*6 + swtchResults.PSA.Baseline-1))/AC$7,
 IF(F10=swtchResults.PSA.Baseline, "-", "(" &amp;
 TEXT(PERCENTILE(_xlpm.arrNHB, 0.025), "0.000;−0.000") &amp; " to " &amp;
 TEXT(PERCENTILE(_xlpm.arrNHB, 0.975), "0.000;−0.000") &amp; ")"))</f>
        <v>(−0.022 to −0.013)</v>
      </c>
      <c r="AE10" s="229" t="str" cm="1">
        <f t="array" aca="1" ref="AE10" ca="1">IF(F10=swtchResults.PSA.Baseline, "ref", IF(AND(W10&lt;=0, Y10&gt;0), "dominant", IF(AND(W10&gt;0, Y10&lt;0), "dominated", W10/Y10)))</f>
        <v>dominated</v>
      </c>
      <c r="AF10" s="219"/>
      <c r="AG10" s="224">
        <v>2</v>
      </c>
      <c r="AH10" s="225" t="str">
        <f t="shared" si="0"/>
        <v>No HPE</v>
      </c>
      <c r="AI10" s="230" cm="1">
        <f t="array" aca="1" ref="AI10" ca="1">INDEX(OFFSET(rngPSA.MeanCosts.Root, 0, (D10-1)*6), AG10)</f>
        <v>234.68582357943365</v>
      </c>
      <c r="AJ10" s="230" t="str">
        <f ca="1">_xlfn.LET(_xlpm.arrCosts, OFFSET(rngPSA.Samples.Costs, 0, ($D10-1)*6 + $AG10-1),
"(" &amp;
 TEXT(PERCENTILE(_xlpm.arrCosts, 0.025), "£#,##0;−£#,##0") &amp; " to " &amp;
 TEXT(PERCENTILE(_xlpm.arrCosts, 0.975), "£#,##0;−£#,##0") &amp; ")")</f>
        <v>(£174 to £316)</v>
      </c>
      <c r="AK10" s="231" cm="1">
        <f t="array" aca="1" ref="AK10" ca="1">INDEX(OFFSET(rngPSA.MeanQALYs.Root, 0, (D10-1)*6), AG10)</f>
        <v>5.8517477509186948</v>
      </c>
      <c r="AL10" s="293" t="str">
        <f ca="1">_xlfn.LET(_xlpm.arrQALYs, OFFSET(rngPSA.Samples.QALYs, 0, ($D10-1)*6 + $AG10-1),
"(" &amp;
 TEXT(PERCENTILE(_xlpm.arrQALYs, 0.025), "0.000") &amp; " to " &amp;
 TEXT(PERCENTILE(_xlpm.arrQALYs, 0.975), "0.000") &amp; ")")</f>
        <v>(5.777 to 5.926)</v>
      </c>
      <c r="AM10" s="232" t="str">
        <f>IFERROR(INDEX(rngPSA.MeanLYs, AG10), "")</f>
        <v/>
      </c>
      <c r="AN10" s="213"/>
      <c r="AQ10" s="223"/>
    </row>
    <row r="11" spans="1:43" ht="12" customHeight="1" thickBot="1" x14ac:dyDescent="0.3">
      <c r="D11" s="10">
        <f t="shared" ref="D11:D40" si="1">D8+1</f>
        <v>2</v>
      </c>
      <c r="E11" s="59"/>
      <c r="F11" s="481" t="str" cm="1">
        <f t="array" ref="F11">INDEX(lstQs, D11)</f>
        <v>B: No gastroprotection - NSAIDs in people with ulcer history</v>
      </c>
      <c r="G11" s="482"/>
      <c r="H11" s="482"/>
      <c r="I11" s="482"/>
      <c r="J11" s="482"/>
      <c r="K11" s="482"/>
      <c r="L11" s="482"/>
      <c r="M11" s="482"/>
      <c r="N11" s="482"/>
      <c r="O11" s="482"/>
      <c r="P11" s="482"/>
      <c r="Q11" s="482"/>
      <c r="R11" s="482"/>
      <c r="S11" s="482"/>
      <c r="T11" s="482"/>
      <c r="U11" s="482"/>
      <c r="V11" s="482"/>
      <c r="W11" s="482"/>
      <c r="X11" s="482"/>
      <c r="Y11" s="482"/>
      <c r="Z11" s="482"/>
      <c r="AA11" s="482"/>
      <c r="AB11" s="482"/>
      <c r="AC11" s="482"/>
      <c r="AD11" s="482"/>
      <c r="AE11" s="482"/>
      <c r="AF11" s="482"/>
      <c r="AG11" s="482"/>
      <c r="AH11" s="482"/>
      <c r="AI11" s="482"/>
      <c r="AJ11" s="482"/>
      <c r="AK11" s="482"/>
      <c r="AL11" s="482"/>
      <c r="AM11" s="483"/>
      <c r="AN11" s="10"/>
    </row>
    <row r="12" spans="1:43" ht="12" customHeight="1" x14ac:dyDescent="0.25">
      <c r="D12" s="10">
        <f t="shared" si="1"/>
        <v>2</v>
      </c>
      <c r="E12" s="59"/>
      <c r="F12" s="215">
        <f ca="1">MATCH(SMALL(AI12:AI13, AG12), AI12:AI13, 0)</f>
        <v>2</v>
      </c>
      <c r="G12" s="216" t="str" cm="1">
        <f t="array" aca="1" ref="G12" ca="1">INDEX(rngStrats, F12)</f>
        <v>No HPE</v>
      </c>
      <c r="H12" s="234" cm="1">
        <f t="array" aca="1" ref="H12" ca="1">IFERROR(INDEX(AI12:AI13, F12), "")</f>
        <v>253.04754689337602</v>
      </c>
      <c r="I12" s="235" t="str">
        <f ca="1">_xlfn.LET(_xlpm.arrCosts, OFFSET(rngPSA.Samples.Costs, 0, (D12-1)*6 + F12-1),
"(" &amp;
 TEXT(PERCENTILE(_xlpm.arrCosts, 0.025), "£#,##0;−£#,##0") &amp; " to " &amp;
 TEXT(PERCENTILE(_xlpm.arrCosts, 0.975), "£#,##0;−£#,##0") &amp; ")")</f>
        <v>(£188 to £340)</v>
      </c>
      <c r="J12" s="236" cm="1">
        <f t="array" aca="1" ref="J12" ca="1">IFERROR(INDEX(AK12:AK13, F12), "")</f>
        <v>6.7161047141816761</v>
      </c>
      <c r="K12" s="237" t="str">
        <f ca="1">_xlfn.LET(_xlpm.arrQALYs, OFFSET(rngPSA.Samples.QALYs, 0, (D12-1)*6 + F12-1),
"(" &amp;
 TEXT(PERCENTILE(_xlpm.arrQALYs, 0.025), "0.000") &amp; " to " &amp;
 TEXT(PERCENTILE(_xlpm.arrQALYs, 0.975), "0.000") &amp; ")")</f>
        <v>(6.645 to 6.784)</v>
      </c>
      <c r="L12" s="236">
        <f t="shared" ref="L12:L40" ca="1" si="2">IF(F12="", "", J12-H12/L$6)</f>
        <v>6.7034523368370076</v>
      </c>
      <c r="M12" s="237" t="str" cm="1">
        <f t="array" aca="1" ref="M12" ca="1">_xlfn.LET(_xlpm.arrNHB, OFFSET(rngPSA.Samples.QALYs, 0, (D12-1)*6 + F12-1) - OFFSET(rngPSA.Samples.Costs, 0, (D12-1)*6 + F12-1)/L$6,
"(" &amp;
 TEXT(PERCENTILE(_xlpm.arrNHB, 0.025), "0.000") &amp; " to " &amp;
 TEXT(PERCENTILE(_xlpm.arrNHB, 0.975), "0.000") &amp; ")")</f>
        <v>(6.632 to 6.773)</v>
      </c>
      <c r="N12" s="236">
        <f t="shared" ref="N12:N40" ca="1" si="3">IF(F12="", "", J12-H12/N$6)</f>
        <v>6.7076697959518965</v>
      </c>
      <c r="O12" s="237" t="str" cm="1">
        <f t="array" aca="1" ref="O12" ca="1">_xlfn.LET(_xlpm.arrNHB, OFFSET(rngPSA.Samples.QALYs, 0, (D12-1)*6 + F12-1) - OFFSET(rngPSA.Samples.Costs, 0, (D12-1)*6 + F12-1)/N$6,
"(" &amp;
 TEXT(PERCENTILE(_xlpm.arrNHB, 0.025), "0.000") &amp; " to " &amp;
 TEXT(PERCENTILE(_xlpm.arrNHB, 0.975), "0.000") &amp; ")")</f>
        <v>(6.637 to 6.776)</v>
      </c>
      <c r="P12" s="217"/>
      <c r="Q12" s="234" t="str">
        <f>IF($AG12=1, "", H12-H10)</f>
        <v/>
      </c>
      <c r="R12" s="235" t="str" cm="1">
        <f t="array" aca="1" ref="R12" ca="1">_xlfn.LET(_xlpm.arrIncCosts, OFFSET(rngPSA.Samples.Costs, 0, ($D12-1)*6 + $F12-1)-OFFSET(rngPSA.Samples.Costs, 0, ($D12-1)*6 + $F10-1),
IF(AG12=1, "", "(" &amp;
 TEXT(PERCENTILE(_xlpm.arrIncCosts, 0.025), "£#,##0;−£#,##0") &amp; " to " &amp;
 TEXT(PERCENTILE(_xlpm.arrIncCosts, 0.975), "£#,##0;−£#,##0") &amp; ")"))</f>
        <v/>
      </c>
      <c r="S12" s="236" t="str">
        <f>IF($AG12=1, "", J12-J10)</f>
        <v/>
      </c>
      <c r="T12" s="235" t="str" cm="1">
        <f t="array" aca="1" ref="T12" ca="1">_xlfn.LET(_xlpm.arrIncQALYs, OFFSET(rngPSA.Samples.QALYs, 0, ($D12-1)*6 + $F12-1)-OFFSET(rngPSA.Samples.QALYs, 0, ($D12-1)*6 + $F10-1),
IF($AG12=1, "", "(" &amp;
 TEXT(PERCENTILE(_xlpm.arrIncQALYs, 0.025), "0.000;−0.000") &amp; " to " &amp;
 TEXT(PERCENTILE(_xlpm.arrIncQALYs, 0.975), "0.000;−0.000") &amp; ")"))</f>
        <v/>
      </c>
      <c r="U12" s="275" t="str">
        <f>IF($AG12=1, "", IF(AND(Q12&gt;0, S12&lt;0), "dominated", Q12/S12))</f>
        <v/>
      </c>
      <c r="V12" s="274"/>
      <c r="W12" s="234" t="str" cm="1">
        <f t="array" aca="1" ref="W12" ca="1">IF(F12=swtchResults.PSA.Baseline, "-", H12-INDEX(AI12:AI13, swtchResults.PSA.Baseline))</f>
        <v>-</v>
      </c>
      <c r="X12" s="238" t="str" cm="1">
        <f t="array" aca="1" ref="X12" ca="1">IF(F12=swtchResults.PSA.Baseline, "-", "(" &amp;
 TEXT(PERCENTILE(OFFSET(rngPSA.Samples.Costs, 0, (D12-1)*6 + F12-1)-OFFSET(rngPSA.Samples.Costs, 0, (D12-1)*6 + swtchResults.PSA.Baseline-1), 0.025), "£#,##0;−£#,##0") &amp; " to " &amp;
 TEXT(PERCENTILE(OFFSET(rngPSA.Samples.Costs, 0, (D12-1)*6 + F12-1)-OFFSET(rngPSA.Samples.Costs, 0, (D12-1)*6 + swtchResults.PSA.Baseline-1), 0.975), "£#,##0;−£#,##0") &amp; ")")</f>
        <v>-</v>
      </c>
      <c r="Y12" s="236" t="str" cm="1">
        <f t="array" aca="1" ref="Y12" ca="1">IF(F12=swtchResults.PSA.Baseline, "-", J12-INDEX(AK12:AK13, swtchResults.PSA.Baseline))</f>
        <v>-</v>
      </c>
      <c r="Z12" s="238" t="str" cm="1">
        <f t="array" aca="1" ref="Z12" ca="1">IF(F12=swtchResults.PSA.Baseline, "-", "(" &amp;
 TEXT(PERCENTILE(OFFSET(rngPSA.Samples.QALYs, 0, (D12-1)*6 + F12-1)-OFFSET(rngPSA.Samples.QALYs, 0, (D12-1)*6 + swtchResults.PSA.Baseline-1), 0.025), "0.000;−0.000") &amp; " to " &amp;
 TEXT(PERCENTILE(OFFSET(rngPSA.Samples.QALYs, 0, (D12-1)*6 + F12-1)-OFFSET(rngPSA.Samples.QALYs, 0, (D12-1)*6 + swtchResults.PSA.Baseline-1), 0.975), "0.000;−0.000") &amp; ")")</f>
        <v>-</v>
      </c>
      <c r="AA12" s="239" t="str" cm="1">
        <f t="array" aca="1" ref="AA12" ca="1">IF(F12=swtchResults.PSA.Baseline, "-", Y12-W12/AA$7)</f>
        <v>-</v>
      </c>
      <c r="AB12" s="238" t="str" cm="1">
        <f t="array" aca="1" ref="AB12" ca="1">_xlfn.LET(_xlpm.arrNHB, (OFFSET(rngPSA.Samples.QALYs, 0, (D12-1)*6 + F12-1)-OFFSET(rngPSA.Samples.QALYs, 0, (D12-1)*6 + swtchResults.PSA.Baseline-1)) - (OFFSET(rngPSA.Samples.Costs, 0, (D12-1)*6 + F12-1)-OFFSET(rngPSA.Samples.Costs, 0, (D12-1)*6 + swtchResults.PSA.Baseline-1))/AA$7,
 IF(F12=swtchResults.PSA.Baseline, "-", "(" &amp;
 TEXT(PERCENTILE(_xlpm.arrNHB, 0.025), "0.000;−0.000") &amp; " to " &amp;
 TEXT(PERCENTILE(_xlpm.arrNHB, 0.975), "0.000;−0.000") &amp; ")"))</f>
        <v>-</v>
      </c>
      <c r="AC12" s="239" t="str" cm="1">
        <f t="array" aca="1" ref="AC12" ca="1">IF(F12=swtchResults.PSA.Baseline, "-", Y12-W12/AC$7)</f>
        <v>-</v>
      </c>
      <c r="AD12" s="238" t="str" cm="1">
        <f t="array" aca="1" ref="AD12" ca="1">_xlfn.LET(_xlpm.arrNHB, (OFFSET(rngPSA.Samples.QALYs, 0, (D12-1)*6 + F12-1)-OFFSET(rngPSA.Samples.QALYs, 0, (D12-1)*6 + swtchResults.PSA.Baseline-1)) - (OFFSET(rngPSA.Samples.Costs, 0, (D12-1)*6 + F12-1)-OFFSET(rngPSA.Samples.Costs, 0, (D12-1)*6 + swtchResults.PSA.Baseline-1))/AC$7,
 IF(F12=swtchResults.PSA.Baseline, "-", "(" &amp;
 TEXT(PERCENTILE(_xlpm.arrNHB, 0.025), "0.000;−0.000") &amp; " to " &amp;
 TEXT(PERCENTILE(_xlpm.arrNHB, 0.975), "0.000;−0.000") &amp; ")"))</f>
        <v>-</v>
      </c>
      <c r="AE12" s="218" t="str" cm="1">
        <f t="array" aca="1" ref="AE12" ca="1">IF(F12=swtchResults.PSA.Baseline, "ref", IF(AND(W12&lt;=0, Y12&gt;0), "dominant", IF(AND(W12&gt;0, Y12&lt;0), "dominated", W12/Y12)))</f>
        <v>ref</v>
      </c>
      <c r="AF12" s="219"/>
      <c r="AG12" s="215">
        <v>1</v>
      </c>
      <c r="AH12" s="216" t="str">
        <f t="shared" si="0"/>
        <v>HPE</v>
      </c>
      <c r="AI12" s="220" cm="1">
        <f t="array" aca="1" ref="AI12" ca="1">INDEX(OFFSET(rngPSA.MeanCosts.Root, 0, (D12-1)*6), AG12)</f>
        <v>277.21787194993902</v>
      </c>
      <c r="AJ12" s="220" t="str">
        <f ca="1">_xlfn.LET(_xlpm.arrCosts, OFFSET(rngPSA.Samples.Costs, 0, ($D12-1)*6 + $AG12-1),
"(" &amp;
 TEXT(PERCENTILE(_xlpm.arrCosts, 0.025), "£#,##0;−£#,##0") &amp; " to " &amp;
 TEXT(PERCENTILE(_xlpm.arrCosts, 0.975), "£#,##0;−£#,##0") &amp; ")")</f>
        <v>(£211 to £365)</v>
      </c>
      <c r="AK12" s="221" cm="1">
        <f t="array" aca="1" ref="AK12" ca="1">INDEX(OFFSET(rngPSA.MeanQALYs.Root, 0, (D12-1)*6), AG12)</f>
        <v>6.7015521322471701</v>
      </c>
      <c r="AL12" s="292" t="str">
        <f ca="1">_xlfn.LET(_xlpm.arrQALYs, OFFSET(rngPSA.Samples.QALYs, 0, ($D12-1)*6 + $AG12-1),
"(" &amp;
 TEXT(PERCENTILE(_xlpm.arrQALYs, 0.025), "0.000") &amp; " to " &amp;
 TEXT(PERCENTILE(_xlpm.arrQALYs, 0.975), "0.000") &amp; ")")</f>
        <v>(6.633 to 6.768)</v>
      </c>
      <c r="AM12" s="222" t="str">
        <f>IFERROR(INDEX(rngPSA.MeanLYs, AG12), "")</f>
        <v/>
      </c>
      <c r="AN12" s="213"/>
      <c r="AQ12" s="223"/>
    </row>
    <row r="13" spans="1:43" ht="12" customHeight="1" thickBot="1" x14ac:dyDescent="0.3">
      <c r="D13" s="10">
        <f t="shared" si="1"/>
        <v>2</v>
      </c>
      <c r="E13" s="59"/>
      <c r="F13" s="224">
        <f ca="1">MATCH(SMALL(AI12:AI13, AG13), AI12:AI13, 0)</f>
        <v>1</v>
      </c>
      <c r="G13" s="225" t="str" cm="1">
        <f t="array" aca="1" ref="G13" ca="1">INDEX(rngStrats, F13)</f>
        <v>HPE</v>
      </c>
      <c r="H13" s="240" cm="1">
        <f t="array" aca="1" ref="H13" ca="1">IFERROR(INDEX(AI12:AI13, F13), "")</f>
        <v>277.21787194993902</v>
      </c>
      <c r="I13" s="241" t="str">
        <f ca="1">_xlfn.LET(_xlpm.arrCosts, OFFSET(rngPSA.Samples.Costs, 0, (D13-1)*6 + F13-1),
"(" &amp;
 TEXT(PERCENTILE(_xlpm.arrCosts, 0.025), "£#,##0;−£#,##0") &amp; " to " &amp;
 TEXT(PERCENTILE(_xlpm.arrCosts, 0.975), "£#,##0;−£#,##0") &amp; ")")</f>
        <v>(£211 to £365)</v>
      </c>
      <c r="J13" s="243" cm="1">
        <f t="array" aca="1" ref="J13" ca="1">IFERROR(INDEX(AK12:AK13, F13), "")</f>
        <v>6.7015521322471701</v>
      </c>
      <c r="K13" s="242" t="str">
        <f ca="1">_xlfn.LET(_xlpm.arrQALYs, OFFSET(rngPSA.Samples.QALYs, 0, (D13-1)*6 + F13-1),
"(" &amp;
 TEXT(PERCENTILE(_xlpm.arrQALYs, 0.025), "0.000") &amp; " to " &amp;
 TEXT(PERCENTILE(_xlpm.arrQALYs, 0.975), "0.000") &amp; ")")</f>
        <v>(6.633 to 6.768)</v>
      </c>
      <c r="L13" s="243">
        <f t="shared" ca="1" si="2"/>
        <v>6.6876912386496734</v>
      </c>
      <c r="M13" s="244" t="str" cm="1">
        <f t="array" aca="1" ref="M13" ca="1">_xlfn.LET(_xlpm.arrNHB, OFFSET(rngPSA.Samples.QALYs, 0, (D13-1)*6 + F13-1) - OFFSET(rngPSA.Samples.Costs, 0, (D13-1)*6 + F13-1)/L$6,
"(" &amp;
 TEXT(PERCENTILE(_xlpm.arrNHB, 0.025), "0.000") &amp; " to " &amp;
 TEXT(PERCENTILE(_xlpm.arrNHB, 0.975), "0.000") &amp; ")")</f>
        <v>(6.617 to 6.754)</v>
      </c>
      <c r="N13" s="243">
        <f t="shared" ca="1" si="3"/>
        <v>6.692311536515505</v>
      </c>
      <c r="O13" s="244" t="str" cm="1">
        <f t="array" aca="1" ref="O13" ca="1">_xlfn.LET(_xlpm.arrNHB, OFFSET(rngPSA.Samples.QALYs, 0, (D13-1)*6 + F13-1) - OFFSET(rngPSA.Samples.Costs, 0, (D13-1)*6 + F13-1)/N$6,
"(" &amp;
 TEXT(PERCENTILE(_xlpm.arrNHB, 0.025), "0.000") &amp; " to " &amp;
 TEXT(PERCENTILE(_xlpm.arrNHB, 0.975), "0.000") &amp; ")")</f>
        <v>(6.623 to 6.759)</v>
      </c>
      <c r="P13" s="228"/>
      <c r="Q13" s="240">
        <f ca="1">IF($AG13=1, "", H13-H12)</f>
        <v>24.170325056563001</v>
      </c>
      <c r="R13" s="241" t="str" cm="1">
        <f t="array" aca="1" ref="R13" ca="1">_xlfn.LET(_xlpm.arrIncCosts, OFFSET(rngPSA.Samples.Costs, 0, ($D13-1)*6 + $F13-1)-OFFSET(rngPSA.Samples.Costs, 0, ($D13-1)*6 + $F12-1),
IF(AG13=1, "", "(" &amp;
 TEXT(PERCENTILE(_xlpm.arrIncCosts, 0.025), "£#,##0;−£#,##0") &amp; " to " &amp;
 TEXT(PERCENTILE(_xlpm.arrIncCosts, 0.975), "£#,##0;−£#,##0") &amp; ")"))</f>
        <v>(£7 to £45)</v>
      </c>
      <c r="S13" s="243">
        <f ca="1">IF($AG13=1, "", J13-J12)</f>
        <v>-1.4552581934506037E-2</v>
      </c>
      <c r="T13" s="241" t="str" cm="1">
        <f t="array" aca="1" ref="T13" ca="1">_xlfn.LET(_xlpm.arrIncQALYs, OFFSET(rngPSA.Samples.QALYs, 0, ($D13-1)*6 + $F13-1)-OFFSET(rngPSA.Samples.QALYs, 0, ($D13-1)*6 + $F12-1),
IF($AG13=1, "", "(" &amp;
 TEXT(PERCENTILE(_xlpm.arrIncQALYs, 0.025), "0.000;−0.000") &amp; " to " &amp;
 TEXT(PERCENTILE(_xlpm.arrIncQALYs, 0.975), "0.000;−0.000") &amp; ")"))</f>
        <v>(−0.019 to −0.010)</v>
      </c>
      <c r="U13" s="273" t="str">
        <f ca="1">IF($AG13=1, "", IF(AND(Q13&gt;0, S13&lt;0), "dominated", Q13/S13))</f>
        <v>dominated</v>
      </c>
      <c r="V13" s="272"/>
      <c r="W13" s="240" cm="1">
        <f t="array" aca="1" ref="W13" ca="1">IF(F13=swtchResults.PSA.Baseline, "-", H13-INDEX(AI12:AI13, swtchResults.PSA.Baseline))</f>
        <v>24.170325056563001</v>
      </c>
      <c r="X13" s="241" t="str" cm="1">
        <f t="array" aca="1" ref="X13" ca="1">IF(F13=swtchResults.PSA.Baseline, "-", "(" &amp;
 TEXT(PERCENTILE(OFFSET(rngPSA.Samples.Costs, 0, (D13-1)*6 + F13-1)-OFFSET(rngPSA.Samples.Costs, 0, (D13-1)*6 + swtchResults.PSA.Baseline-1), 0.025), "£#,##0;−£#,##0") &amp; " to " &amp;
 TEXT(PERCENTILE(OFFSET(rngPSA.Samples.Costs, 0, (D13-1)*6 + F13-1)-OFFSET(rngPSA.Samples.Costs, 0, (D13-1)*6 + swtchResults.PSA.Baseline-1), 0.975), "£#,##0;−£#,##0") &amp; ")")</f>
        <v>(£7 to £45)</v>
      </c>
      <c r="Y13" s="243" cm="1">
        <f t="array" aca="1" ref="Y13" ca="1">IF(F13=swtchResults.PSA.Baseline, "-", J13-INDEX(AK12:AK13, swtchResults.PSA.Baseline))</f>
        <v>-1.4552581934506037E-2</v>
      </c>
      <c r="Z13" s="244" t="str" cm="1">
        <f t="array" aca="1" ref="Z13" ca="1">IF(F13=swtchResults.PSA.Baseline, "-", "(" &amp;
 TEXT(PERCENTILE(OFFSET(rngPSA.Samples.QALYs, 0, (D13-1)*6 + F13-1)-OFFSET(rngPSA.Samples.QALYs, 0, (D13-1)*6 + swtchResults.PSA.Baseline-1), 0.025), "0.000;−0.000") &amp; " to " &amp;
 TEXT(PERCENTILE(OFFSET(rngPSA.Samples.QALYs, 0, (D13-1)*6 + F13-1)-OFFSET(rngPSA.Samples.QALYs, 0, (D13-1)*6 + swtchResults.PSA.Baseline-1), 0.975), "0.000;−0.000") &amp; ")")</f>
        <v>(−0.019 to −0.010)</v>
      </c>
      <c r="AA13" s="245" cm="1">
        <f t="array" aca="1" ref="AA13" ca="1">IF(F13=swtchResults.PSA.Baseline, "-", Y13-W13/AA$7)</f>
        <v>-1.5761098187334188E-2</v>
      </c>
      <c r="AB13" s="244" t="str" cm="1">
        <f t="array" aca="1" ref="AB13" ca="1">_xlfn.LET(_xlpm.arrNHB, (OFFSET(rngPSA.Samples.QALYs, 0, (D13-1)*6 + F13-1)-OFFSET(rngPSA.Samples.QALYs, 0, (D13-1)*6 + swtchResults.PSA.Baseline-1)) - (OFFSET(rngPSA.Samples.Costs, 0, (D13-1)*6 + F13-1)-OFFSET(rngPSA.Samples.Costs, 0, (D13-1)*6 + swtchResults.PSA.Baseline-1))/AA$7,
 IF(F13=swtchResults.PSA.Baseline, "-", "(" &amp;
 TEXT(PERCENTILE(_xlpm.arrNHB, 0.025), "0.000;−0.000") &amp; " to " &amp;
 TEXT(PERCENTILE(_xlpm.arrNHB, 0.975), "0.000;−0.000") &amp; ")"))</f>
        <v>(−0.021 to −0.011)</v>
      </c>
      <c r="AC13" s="245" cm="1">
        <f t="array" aca="1" ref="AC13" ca="1">IF(F13=swtchResults.PSA.Baseline, "-", Y13-W13/AC$7)</f>
        <v>-1.5358259436391471E-2</v>
      </c>
      <c r="AD13" s="244" t="str" cm="1">
        <f t="array" aca="1" ref="AD13" ca="1">_xlfn.LET(_xlpm.arrNHB, (OFFSET(rngPSA.Samples.QALYs, 0, (D13-1)*6 + F13-1)-OFFSET(rngPSA.Samples.QALYs, 0, (D13-1)*6 + swtchResults.PSA.Baseline-1)) - (OFFSET(rngPSA.Samples.Costs, 0, (D13-1)*6 + F13-1)-OFFSET(rngPSA.Samples.Costs, 0, (D13-1)*6 + swtchResults.PSA.Baseline-1))/AC$7,
 IF(F13=swtchResults.PSA.Baseline, "-", "(" &amp;
 TEXT(PERCENTILE(_xlpm.arrNHB, 0.025), "0.000;−0.000") &amp; " to " &amp;
 TEXT(PERCENTILE(_xlpm.arrNHB, 0.975), "0.000;−0.000") &amp; ")"))</f>
        <v>(−0.020 to −0.010)</v>
      </c>
      <c r="AE13" s="229" t="str" cm="1">
        <f t="array" aca="1" ref="AE13" ca="1">IF(F13=swtchResults.PSA.Baseline, "ref", IF(AND(W13&lt;=0, Y13&gt;0), "dominant", IF(AND(W13&gt;0, Y13&lt;0), "dominated", W13/Y13)))</f>
        <v>dominated</v>
      </c>
      <c r="AF13" s="219"/>
      <c r="AG13" s="224">
        <v>2</v>
      </c>
      <c r="AH13" s="225" t="str">
        <f t="shared" si="0"/>
        <v>No HPE</v>
      </c>
      <c r="AI13" s="230" cm="1">
        <f t="array" aca="1" ref="AI13" ca="1">INDEX(OFFSET(rngPSA.MeanCosts.Root, 0, (D13-1)*6), AG13)</f>
        <v>253.04754689337602</v>
      </c>
      <c r="AJ13" s="230" t="str">
        <f ca="1">_xlfn.LET(_xlpm.arrCosts, OFFSET(rngPSA.Samples.Costs, 0, ($D13-1)*6 + $AG13-1),
"(" &amp;
 TEXT(PERCENTILE(_xlpm.arrCosts, 0.025), "£#,##0;−£#,##0") &amp; " to " &amp;
 TEXT(PERCENTILE(_xlpm.arrCosts, 0.975), "£#,##0;−£#,##0") &amp; ")")</f>
        <v>(£188 to £340)</v>
      </c>
      <c r="AK13" s="231" cm="1">
        <f t="array" aca="1" ref="AK13" ca="1">INDEX(OFFSET(rngPSA.MeanQALYs.Root, 0, (D13-1)*6), AG13)</f>
        <v>6.7161047141816761</v>
      </c>
      <c r="AL13" s="293" t="str">
        <f ca="1">_xlfn.LET(_xlpm.arrQALYs, OFFSET(rngPSA.Samples.QALYs, 0, ($D13-1)*6 + $AG13-1),
"(" &amp;
 TEXT(PERCENTILE(_xlpm.arrQALYs, 0.025), "0.000") &amp; " to " &amp;
 TEXT(PERCENTILE(_xlpm.arrQALYs, 0.975), "0.000") &amp; ")")</f>
        <v>(6.645 to 6.784)</v>
      </c>
      <c r="AM13" s="232" t="str">
        <f>IFERROR(INDEX(rngPSA.MeanLYs, AG13), "")</f>
        <v/>
      </c>
      <c r="AN13" s="213"/>
      <c r="AQ13" s="223"/>
    </row>
    <row r="14" spans="1:43" ht="12" customHeight="1" thickBot="1" x14ac:dyDescent="0.3">
      <c r="D14" s="10">
        <f t="shared" si="1"/>
        <v>3</v>
      </c>
      <c r="E14" s="59"/>
      <c r="F14" s="481" t="str" cm="1">
        <f t="array" ref="F14">INDEX(lstQs, D14)</f>
        <v>C: NSAIDs - DOAC/warfarin</v>
      </c>
      <c r="G14" s="482"/>
      <c r="H14" s="482"/>
      <c r="I14" s="482"/>
      <c r="J14" s="482"/>
      <c r="K14" s="482"/>
      <c r="L14" s="482"/>
      <c r="M14" s="482"/>
      <c r="N14" s="482"/>
      <c r="O14" s="482"/>
      <c r="P14" s="482"/>
      <c r="Q14" s="482"/>
      <c r="R14" s="482"/>
      <c r="S14" s="482"/>
      <c r="T14" s="482"/>
      <c r="U14" s="482"/>
      <c r="V14" s="482"/>
      <c r="W14" s="482"/>
      <c r="X14" s="482"/>
      <c r="Y14" s="482"/>
      <c r="Z14" s="482"/>
      <c r="AA14" s="482"/>
      <c r="AB14" s="482"/>
      <c r="AC14" s="482"/>
      <c r="AD14" s="482"/>
      <c r="AE14" s="482"/>
      <c r="AF14" s="482"/>
      <c r="AG14" s="482"/>
      <c r="AH14" s="482"/>
      <c r="AI14" s="482"/>
      <c r="AJ14" s="482"/>
      <c r="AK14" s="482"/>
      <c r="AL14" s="482"/>
      <c r="AM14" s="483"/>
      <c r="AN14" s="10"/>
    </row>
    <row r="15" spans="1:43" ht="12" customHeight="1" x14ac:dyDescent="0.25">
      <c r="D15" s="10">
        <f t="shared" si="1"/>
        <v>3</v>
      </c>
      <c r="E15" s="59"/>
      <c r="F15" s="215">
        <f ca="1">MATCH(SMALL(AI15:AI16, AG15), AI15:AI16, 0)</f>
        <v>2</v>
      </c>
      <c r="G15" s="216" t="str" cm="1">
        <f t="array" aca="1" ref="G15" ca="1">INDEX(rngStrats, F15)</f>
        <v>No HPE</v>
      </c>
      <c r="H15" s="234" cm="1">
        <f t="array" aca="1" ref="H15" ca="1">IFERROR(INDEX(AI15:AI16, F15), "")</f>
        <v>1432.3558598530303</v>
      </c>
      <c r="I15" s="235" t="str">
        <f ca="1">_xlfn.LET(_xlpm.arrCosts, OFFSET(rngPSA.Samples.Costs, 0, (D15-1)*6 + F15-1),
"(" &amp;
 TEXT(PERCENTILE(_xlpm.arrCosts, 0.025), "£#,##0;−£#,##0") &amp; " to " &amp;
 TEXT(PERCENTILE(_xlpm.arrCosts, 0.975), "£#,##0;−£#,##0") &amp; ")")</f>
        <v>(£1,002 to £1,960)</v>
      </c>
      <c r="J15" s="236" cm="1">
        <f t="array" aca="1" ref="J15" ca="1">IFERROR(INDEX(AK15:AK16, F15), "")</f>
        <v>4.9055097800930119</v>
      </c>
      <c r="K15" s="237" t="str">
        <f ca="1">_xlfn.LET(_xlpm.arrQALYs, OFFSET(rngPSA.Samples.QALYs, 0, (D15-1)*6 + F15-1),
"(" &amp;
 TEXT(PERCENTILE(_xlpm.arrQALYs, 0.025), "0.000") &amp; " to " &amp;
 TEXT(PERCENTILE(_xlpm.arrQALYs, 0.975), "0.000") &amp; ")")</f>
        <v>(4.710 to 5.105)</v>
      </c>
      <c r="L15" s="236">
        <f t="shared" ca="1" si="2"/>
        <v>4.8338919871003601</v>
      </c>
      <c r="M15" s="237" t="str" cm="1">
        <f t="array" aca="1" ref="M15" ca="1">_xlfn.LET(_xlpm.arrNHB, OFFSET(rngPSA.Samples.QALYs, 0, (D15-1)*6 + F15-1) - OFFSET(rngPSA.Samples.Costs, 0, (D15-1)*6 + F15-1)/L$6,
"(" &amp;
 TEXT(PERCENTILE(_xlpm.arrNHB, 0.025), "0.000") &amp; " to " &amp;
 TEXT(PERCENTILE(_xlpm.arrNHB, 0.975), "0.000") &amp; ")")</f>
        <v>(4.635 to 5.036)</v>
      </c>
      <c r="N15" s="236">
        <f t="shared" ca="1" si="3"/>
        <v>4.8577645847645776</v>
      </c>
      <c r="O15" s="237" t="str" cm="1">
        <f t="array" aca="1" ref="O15" ca="1">_xlfn.LET(_xlpm.arrNHB, OFFSET(rngPSA.Samples.QALYs, 0, (D15-1)*6 + F15-1) - OFFSET(rngPSA.Samples.Costs, 0, (D15-1)*6 + F15-1)/N$6,
"(" &amp;
 TEXT(PERCENTILE(_xlpm.arrNHB, 0.025), "0.000") &amp; " to " &amp;
 TEXT(PERCENTILE(_xlpm.arrNHB, 0.975), "0.000") &amp; ")")</f>
        <v>(4.662 to 5.056)</v>
      </c>
      <c r="P15" s="217"/>
      <c r="Q15" s="234" t="str">
        <f>IF($AG15=1, "", H15-H13)</f>
        <v/>
      </c>
      <c r="R15" s="235" t="str" cm="1">
        <f t="array" aca="1" ref="R15" ca="1">_xlfn.LET(_xlpm.arrIncCosts, OFFSET(rngPSA.Samples.Costs, 0, ($D15-1)*6 + $F15-1)-OFFSET(rngPSA.Samples.Costs, 0, ($D15-1)*6 + $F13-1),
IF(AG15=1, "", "(" &amp;
 TEXT(PERCENTILE(_xlpm.arrIncCosts, 0.025), "£#,##0;−£#,##0") &amp; " to " &amp;
 TEXT(PERCENTILE(_xlpm.arrIncCosts, 0.975), "£#,##0;−£#,##0") &amp; ")"))</f>
        <v/>
      </c>
      <c r="S15" s="236" t="str">
        <f>IF($AG15=1, "", J15-J13)</f>
        <v/>
      </c>
      <c r="T15" s="235" t="str" cm="1">
        <f t="array" aca="1" ref="T15" ca="1">_xlfn.LET(_xlpm.arrIncQALYs, OFFSET(rngPSA.Samples.QALYs, 0, ($D15-1)*6 + $F15-1)-OFFSET(rngPSA.Samples.QALYs, 0, ($D15-1)*6 + $F13-1),
IF($AG15=1, "", "(" &amp;
 TEXT(PERCENTILE(_xlpm.arrIncQALYs, 0.025), "0.000;−0.000") &amp; " to " &amp;
 TEXT(PERCENTILE(_xlpm.arrIncQALYs, 0.975), "0.000;−0.000") &amp; ")"))</f>
        <v/>
      </c>
      <c r="U15" s="275" t="str">
        <f>IF($AG15=1, "", IF(AND(Q15&gt;0, S15&lt;0), "dominated", Q15/S15))</f>
        <v/>
      </c>
      <c r="V15" s="274"/>
      <c r="W15" s="234" t="str" cm="1">
        <f t="array" aca="1" ref="W15" ca="1">IF(F15=swtchResults.PSA.Baseline, "-", H15-INDEX(AI15:AI16, swtchResults.PSA.Baseline))</f>
        <v>-</v>
      </c>
      <c r="X15" s="238" t="str" cm="1">
        <f t="array" aca="1" ref="X15" ca="1">IF(F15=swtchResults.PSA.Baseline, "-", "(" &amp;
 TEXT(PERCENTILE(OFFSET(rngPSA.Samples.Costs, 0, (D15-1)*6 + F15-1)-OFFSET(rngPSA.Samples.Costs, 0, (D15-1)*6 + swtchResults.PSA.Baseline-1), 0.025), "£#,##0;−£#,##0") &amp; " to " &amp;
 TEXT(PERCENTILE(OFFSET(rngPSA.Samples.Costs, 0, (D15-1)*6 + F15-1)-OFFSET(rngPSA.Samples.Costs, 0, (D15-1)*6 + swtchResults.PSA.Baseline-1), 0.975), "£#,##0;−£#,##0") &amp; ")")</f>
        <v>-</v>
      </c>
      <c r="Y15" s="236" t="str" cm="1">
        <f t="array" aca="1" ref="Y15" ca="1">IF(F15=swtchResults.PSA.Baseline, "-", J15-INDEX(AK15:AK16, swtchResults.PSA.Baseline))</f>
        <v>-</v>
      </c>
      <c r="Z15" s="238" t="str" cm="1">
        <f t="array" aca="1" ref="Z15" ca="1">IF(F15=swtchResults.PSA.Baseline, "-", "(" &amp;
 TEXT(PERCENTILE(OFFSET(rngPSA.Samples.QALYs, 0, (D15-1)*6 + F15-1)-OFFSET(rngPSA.Samples.QALYs, 0, (D15-1)*6 + swtchResults.PSA.Baseline-1), 0.025), "0.000;−0.000") &amp; " to " &amp;
 TEXT(PERCENTILE(OFFSET(rngPSA.Samples.QALYs, 0, (D15-1)*6 + F15-1)-OFFSET(rngPSA.Samples.QALYs, 0, (D15-1)*6 + swtchResults.PSA.Baseline-1), 0.975), "0.000;−0.000") &amp; ")")</f>
        <v>-</v>
      </c>
      <c r="AA15" s="239" t="str" cm="1">
        <f t="array" aca="1" ref="AA15" ca="1">IF(F15=swtchResults.PSA.Baseline, "-", Y15-W15/AA$7)</f>
        <v>-</v>
      </c>
      <c r="AB15" s="238" t="str" cm="1">
        <f t="array" aca="1" ref="AB15" ca="1">_xlfn.LET(_xlpm.arrNHB, (OFFSET(rngPSA.Samples.QALYs, 0, (D15-1)*6 + F15-1)-OFFSET(rngPSA.Samples.QALYs, 0, (D15-1)*6 + swtchResults.PSA.Baseline-1)) - (OFFSET(rngPSA.Samples.Costs, 0, (D15-1)*6 + F15-1)-OFFSET(rngPSA.Samples.Costs, 0, (D15-1)*6 + swtchResults.PSA.Baseline-1))/AA$7,
 IF(F15=swtchResults.PSA.Baseline, "-", "(" &amp;
 TEXT(PERCENTILE(_xlpm.arrNHB, 0.025), "0.000;−0.000") &amp; " to " &amp;
 TEXT(PERCENTILE(_xlpm.arrNHB, 0.975), "0.000;−0.000") &amp; ")"))</f>
        <v>-</v>
      </c>
      <c r="AC15" s="239" t="str" cm="1">
        <f t="array" aca="1" ref="AC15" ca="1">IF(F15=swtchResults.PSA.Baseline, "-", Y15-W15/AC$7)</f>
        <v>-</v>
      </c>
      <c r="AD15" s="238" t="str" cm="1">
        <f t="array" aca="1" ref="AD15" ca="1">_xlfn.LET(_xlpm.arrNHB, (OFFSET(rngPSA.Samples.QALYs, 0, (D15-1)*6 + F15-1)-OFFSET(rngPSA.Samples.QALYs, 0, (D15-1)*6 + swtchResults.PSA.Baseline-1)) - (OFFSET(rngPSA.Samples.Costs, 0, (D15-1)*6 + F15-1)-OFFSET(rngPSA.Samples.Costs, 0, (D15-1)*6 + swtchResults.PSA.Baseline-1))/AC$7,
 IF(F15=swtchResults.PSA.Baseline, "-", "(" &amp;
 TEXT(PERCENTILE(_xlpm.arrNHB, 0.025), "0.000;−0.000") &amp; " to " &amp;
 TEXT(PERCENTILE(_xlpm.arrNHB, 0.975), "0.000;−0.000") &amp; ")"))</f>
        <v>-</v>
      </c>
      <c r="AE15" s="218" t="str" cm="1">
        <f t="array" aca="1" ref="AE15" ca="1">IF(F15=swtchResults.PSA.Baseline, "ref", IF(AND(W15&lt;=0, Y15&gt;0), "dominant", IF(AND(W15&gt;0, Y15&lt;0), "dominated", W15/Y15)))</f>
        <v>ref</v>
      </c>
      <c r="AF15" s="219"/>
      <c r="AG15" s="215">
        <v>1</v>
      </c>
      <c r="AH15" s="216" t="str">
        <f t="shared" si="0"/>
        <v>HPE</v>
      </c>
      <c r="AI15" s="220" cm="1">
        <f t="array" aca="1" ref="AI15" ca="1">INDEX(OFFSET(rngPSA.MeanCosts.Root, 0, (D15-1)*6), AG15)</f>
        <v>2519.6380757076035</v>
      </c>
      <c r="AJ15" s="220" t="str">
        <f ca="1">_xlfn.LET(_xlpm.arrCosts, OFFSET(rngPSA.Samples.Costs, 0, ($D15-1)*6 + $AG15-1),
"(" &amp;
 TEXT(PERCENTILE(_xlpm.arrCosts, 0.025), "£#,##0;−£#,##0") &amp; " to " &amp;
 TEXT(PERCENTILE(_xlpm.arrCosts, 0.975), "£#,##0;−£#,##0") &amp; ")")</f>
        <v>(£1,427 to £4,285)</v>
      </c>
      <c r="AK15" s="221" cm="1">
        <f t="array" aca="1" ref="AK15" ca="1">INDEX(OFFSET(rngPSA.MeanQALYs.Root, 0, (D15-1)*6), AG15)</f>
        <v>4.8132706528963594</v>
      </c>
      <c r="AL15" s="292" t="str">
        <f ca="1">_xlfn.LET(_xlpm.arrQALYs, OFFSET(rngPSA.Samples.QALYs, 0, ($D15-1)*6 + $AG15-1),
"(" &amp;
 TEXT(PERCENTILE(_xlpm.arrQALYs, 0.025), "0.000") &amp; " to " &amp;
 TEXT(PERCENTILE(_xlpm.arrQALYs, 0.975), "0.000") &amp; ")")</f>
        <v>(4.605 to 5.020)</v>
      </c>
      <c r="AM15" s="222" t="str">
        <f>IFERROR(INDEX(rngPSA.MeanLYs, AG15), "")</f>
        <v/>
      </c>
      <c r="AN15" s="213"/>
      <c r="AQ15" s="223"/>
    </row>
    <row r="16" spans="1:43" ht="12" customHeight="1" thickBot="1" x14ac:dyDescent="0.3">
      <c r="D16" s="10">
        <f t="shared" si="1"/>
        <v>3</v>
      </c>
      <c r="E16" s="59"/>
      <c r="F16" s="224">
        <f ca="1">MATCH(SMALL(AI15:AI16, AG16), AI15:AI16, 0)</f>
        <v>1</v>
      </c>
      <c r="G16" s="225" t="str" cm="1">
        <f t="array" aca="1" ref="G16" ca="1">INDEX(rngStrats, F16)</f>
        <v>HPE</v>
      </c>
      <c r="H16" s="240" cm="1">
        <f t="array" aca="1" ref="H16" ca="1">IFERROR(INDEX(AI15:AI16, F16), "")</f>
        <v>2519.6380757076035</v>
      </c>
      <c r="I16" s="241" t="str">
        <f ca="1">_xlfn.LET(_xlpm.arrCosts, OFFSET(rngPSA.Samples.Costs, 0, (D16-1)*6 + F16-1),
"(" &amp;
 TEXT(PERCENTILE(_xlpm.arrCosts, 0.025), "£#,##0;−£#,##0") &amp; " to " &amp;
 TEXT(PERCENTILE(_xlpm.arrCosts, 0.975), "£#,##0;−£#,##0") &amp; ")")</f>
        <v>(£1,427 to £4,285)</v>
      </c>
      <c r="J16" s="243" cm="1">
        <f t="array" aca="1" ref="J16" ca="1">IFERROR(INDEX(AK15:AK16, F16), "")</f>
        <v>4.8132706528963594</v>
      </c>
      <c r="K16" s="242" t="str">
        <f ca="1">_xlfn.LET(_xlpm.arrQALYs, OFFSET(rngPSA.Samples.QALYs, 0, (D16-1)*6 + F16-1),
"(" &amp;
 TEXT(PERCENTILE(_xlpm.arrQALYs, 0.025), "0.000") &amp; " to " &amp;
 TEXT(PERCENTILE(_xlpm.arrQALYs, 0.975), "0.000") &amp; ")")</f>
        <v>(4.605 to 5.020)</v>
      </c>
      <c r="L16" s="243">
        <f t="shared" ca="1" si="2"/>
        <v>4.6872887491109791</v>
      </c>
      <c r="M16" s="244" t="str" cm="1">
        <f t="array" aca="1" ref="M16" ca="1">_xlfn.LET(_xlpm.arrNHB, OFFSET(rngPSA.Samples.QALYs, 0, (D16-1)*6 + F16-1) - OFFSET(rngPSA.Samples.Costs, 0, (D16-1)*6 + F16-1)/L$6,
"(" &amp;
 TEXT(PERCENTILE(_xlpm.arrNHB, 0.025), "0.000") &amp; " to " &amp;
 TEXT(PERCENTILE(_xlpm.arrNHB, 0.975), "0.000") &amp; ")")</f>
        <v>(4.448 to 4.915)</v>
      </c>
      <c r="N16" s="243">
        <f t="shared" ca="1" si="3"/>
        <v>4.7292827170394389</v>
      </c>
      <c r="O16" s="244" t="str" cm="1">
        <f t="array" aca="1" ref="O16" ca="1">_xlfn.LET(_xlpm.arrNHB, OFFSET(rngPSA.Samples.QALYs, 0, (D16-1)*6 + F16-1) - OFFSET(rngPSA.Samples.Costs, 0, (D16-1)*6 + F16-1)/N$6,
"(" &amp;
 TEXT(PERCENTILE(_xlpm.arrNHB, 0.025), "0.000") &amp; " to " &amp;
 TEXT(PERCENTILE(_xlpm.arrNHB, 0.975), "0.000") &amp; ")")</f>
        <v>(4.511 to 4.949)</v>
      </c>
      <c r="P16" s="228"/>
      <c r="Q16" s="240">
        <f ca="1">IF($AG16=1, "", H16-H15)</f>
        <v>1087.2822158545732</v>
      </c>
      <c r="R16" s="241" t="str" cm="1">
        <f t="array" aca="1" ref="R16" ca="1">_xlfn.LET(_xlpm.arrIncCosts, OFFSET(rngPSA.Samples.Costs, 0, ($D16-1)*6 + $F16-1)-OFFSET(rngPSA.Samples.Costs, 0, ($D16-1)*6 + $F15-1),
IF(AG16=1, "", "(" &amp;
 TEXT(PERCENTILE(_xlpm.arrIncCosts, 0.025), "£#,##0;−£#,##0") &amp; " to " &amp;
 TEXT(PERCENTILE(_xlpm.arrIncCosts, 0.975), "£#,##0;−£#,##0") &amp; ")"))</f>
        <v>(£246 to £2,571)</v>
      </c>
      <c r="S16" s="243">
        <f ca="1">IF($AG16=1, "", J16-J15)</f>
        <v>-9.2239127196652504E-2</v>
      </c>
      <c r="T16" s="241" t="str" cm="1">
        <f t="array" aca="1" ref="T16" ca="1">_xlfn.LET(_xlpm.arrIncQALYs, OFFSET(rngPSA.Samples.QALYs, 0, ($D16-1)*6 + $F16-1)-OFFSET(rngPSA.Samples.QALYs, 0, ($D16-1)*6 + $F15-1),
IF($AG16=1, "", "(" &amp;
 TEXT(PERCENTILE(_xlpm.arrIncQALYs, 0.025), "0.000;−0.000") &amp; " to " &amp;
 TEXT(PERCENTILE(_xlpm.arrIncQALYs, 0.975), "0.000;−0.000") &amp; ")"))</f>
        <v>(−0.175 to −0.037)</v>
      </c>
      <c r="U16" s="273" t="str">
        <f ca="1">IF($AG16=1, "", IF(AND(Q16&gt;0, S16&lt;0), "dominated", Q16/S16))</f>
        <v>dominated</v>
      </c>
      <c r="V16" s="272"/>
      <c r="W16" s="240" cm="1">
        <f t="array" aca="1" ref="W16" ca="1">IF(F16=swtchResults.PSA.Baseline, "-", H16-INDEX(AI15:AI16, swtchResults.PSA.Baseline))</f>
        <v>1087.2822158545732</v>
      </c>
      <c r="X16" s="241" t="str" cm="1">
        <f t="array" aca="1" ref="X16" ca="1">IF(F16=swtchResults.PSA.Baseline, "-", "(" &amp;
 TEXT(PERCENTILE(OFFSET(rngPSA.Samples.Costs, 0, (D16-1)*6 + F16-1)-OFFSET(rngPSA.Samples.Costs, 0, (D16-1)*6 + swtchResults.PSA.Baseline-1), 0.025), "£#,##0;−£#,##0") &amp; " to " &amp;
 TEXT(PERCENTILE(OFFSET(rngPSA.Samples.Costs, 0, (D16-1)*6 + F16-1)-OFFSET(rngPSA.Samples.Costs, 0, (D16-1)*6 + swtchResults.PSA.Baseline-1), 0.975), "£#,##0;−£#,##0") &amp; ")")</f>
        <v>(£246 to £2,571)</v>
      </c>
      <c r="Y16" s="243" cm="1">
        <f t="array" aca="1" ref="Y16" ca="1">IF(F16=swtchResults.PSA.Baseline, "-", J16-INDEX(AK15:AK16, swtchResults.PSA.Baseline))</f>
        <v>-9.2239127196652504E-2</v>
      </c>
      <c r="Z16" s="244" t="str" cm="1">
        <f t="array" aca="1" ref="Z16" ca="1">IF(F16=swtchResults.PSA.Baseline, "-", "(" &amp;
 TEXT(PERCENTILE(OFFSET(rngPSA.Samples.QALYs, 0, (D16-1)*6 + F16-1)-OFFSET(rngPSA.Samples.QALYs, 0, (D16-1)*6 + swtchResults.PSA.Baseline-1), 0.025), "0.000;−0.000") &amp; " to " &amp;
 TEXT(PERCENTILE(OFFSET(rngPSA.Samples.QALYs, 0, (D16-1)*6 + F16-1)-OFFSET(rngPSA.Samples.QALYs, 0, (D16-1)*6 + swtchResults.PSA.Baseline-1), 0.975), "0.000;−0.000") &amp; ")")</f>
        <v>(−0.175 to −0.037)</v>
      </c>
      <c r="AA16" s="245" cm="1">
        <f t="array" aca="1" ref="AA16" ca="1">IF(F16=swtchResults.PSA.Baseline, "-", Y16-W16/AA$7)</f>
        <v>-0.14660323798938116</v>
      </c>
      <c r="AB16" s="244" t="str" cm="1">
        <f t="array" aca="1" ref="AB16" ca="1">_xlfn.LET(_xlpm.arrNHB, (OFFSET(rngPSA.Samples.QALYs, 0, (D16-1)*6 + F16-1)-OFFSET(rngPSA.Samples.QALYs, 0, (D16-1)*6 + swtchResults.PSA.Baseline-1)) - (OFFSET(rngPSA.Samples.Costs, 0, (D16-1)*6 + F16-1)-OFFSET(rngPSA.Samples.Costs, 0, (D16-1)*6 + swtchResults.PSA.Baseline-1))/AA$7,
 IF(F16=swtchResults.PSA.Baseline, "-", "(" &amp;
 TEXT(PERCENTILE(_xlpm.arrNHB, 0.025), "0.000;−0.000") &amp; " to " &amp;
 TEXT(PERCENTILE(_xlpm.arrNHB, 0.975), "0.000;−0.000") &amp; ")"))</f>
        <v>(−0.303 to −0.050)</v>
      </c>
      <c r="AC16" s="245" cm="1">
        <f t="array" aca="1" ref="AC16" ca="1">IF(F16=swtchResults.PSA.Baseline, "-", Y16-W16/AC$7)</f>
        <v>-0.12848186772513828</v>
      </c>
      <c r="AD16" s="244" t="str" cm="1">
        <f t="array" aca="1" ref="AD16" ca="1">_xlfn.LET(_xlpm.arrNHB, (OFFSET(rngPSA.Samples.QALYs, 0, (D16-1)*6 + F16-1)-OFFSET(rngPSA.Samples.QALYs, 0, (D16-1)*6 + swtchResults.PSA.Baseline-1)) - (OFFSET(rngPSA.Samples.Costs, 0, (D16-1)*6 + F16-1)-OFFSET(rngPSA.Samples.Costs, 0, (D16-1)*6 + swtchResults.PSA.Baseline-1))/AC$7,
 IF(F16=swtchResults.PSA.Baseline, "-", "(" &amp;
 TEXT(PERCENTILE(_xlpm.arrNHB, 0.025), "0.000;−0.000") &amp; " to " &amp;
 TEXT(PERCENTILE(_xlpm.arrNHB, 0.975), "0.000;−0.000") &amp; ")"))</f>
        <v>(−0.262 to −0.045)</v>
      </c>
      <c r="AE16" s="229" t="str" cm="1">
        <f t="array" aca="1" ref="AE16" ca="1">IF(F16=swtchResults.PSA.Baseline, "ref", IF(AND(W16&lt;=0, Y16&gt;0), "dominant", IF(AND(W16&gt;0, Y16&lt;0), "dominated", W16/Y16)))</f>
        <v>dominated</v>
      </c>
      <c r="AF16" s="219"/>
      <c r="AG16" s="224">
        <v>2</v>
      </c>
      <c r="AH16" s="225" t="str">
        <f t="shared" si="0"/>
        <v>No HPE</v>
      </c>
      <c r="AI16" s="230" cm="1">
        <f t="array" aca="1" ref="AI16" ca="1">INDEX(OFFSET(rngPSA.MeanCosts.Root, 0, (D16-1)*6), AG16)</f>
        <v>1432.3558598530303</v>
      </c>
      <c r="AJ16" s="230" t="str">
        <f ca="1">_xlfn.LET(_xlpm.arrCosts, OFFSET(rngPSA.Samples.Costs, 0, ($D16-1)*6 + $AG16-1),
"(" &amp;
 TEXT(PERCENTILE(_xlpm.arrCosts, 0.025), "£#,##0;−£#,##0") &amp; " to " &amp;
 TEXT(PERCENTILE(_xlpm.arrCosts, 0.975), "£#,##0;−£#,##0") &amp; ")")</f>
        <v>(£1,002 to £1,960)</v>
      </c>
      <c r="AK16" s="231" cm="1">
        <f t="array" aca="1" ref="AK16" ca="1">INDEX(OFFSET(rngPSA.MeanQALYs.Root, 0, (D16-1)*6), AG16)</f>
        <v>4.9055097800930119</v>
      </c>
      <c r="AL16" s="293" t="str">
        <f ca="1">_xlfn.LET(_xlpm.arrQALYs, OFFSET(rngPSA.Samples.QALYs, 0, ($D16-1)*6 + $AG16-1),
"(" &amp;
 TEXT(PERCENTILE(_xlpm.arrQALYs, 0.025), "0.000") &amp; " to " &amp;
 TEXT(PERCENTILE(_xlpm.arrQALYs, 0.975), "0.000") &amp; ")")</f>
        <v>(4.710 to 5.105)</v>
      </c>
      <c r="AM16" s="232" t="str">
        <f>IFERROR(INDEX(rngPSA.MeanLYs, AG16), "")</f>
        <v/>
      </c>
      <c r="AN16" s="213"/>
      <c r="AQ16" s="223"/>
    </row>
    <row r="17" spans="4:43" ht="12" customHeight="1" thickBot="1" x14ac:dyDescent="0.3">
      <c r="D17" s="10">
        <f t="shared" si="1"/>
        <v>4</v>
      </c>
      <c r="E17" s="59"/>
      <c r="F17" s="481" t="str" cm="1">
        <f t="array" ref="F17">INDEX(lstQs, D17)</f>
        <v>D: NSAIDs - HF</v>
      </c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3"/>
      <c r="AN17" s="10"/>
    </row>
    <row r="18" spans="4:43" ht="12" customHeight="1" x14ac:dyDescent="0.25">
      <c r="D18" s="10">
        <f t="shared" si="1"/>
        <v>4</v>
      </c>
      <c r="E18" s="59"/>
      <c r="F18" s="215">
        <f ca="1">MATCH(SMALL(AI18:AI19, AG18), AI18:AI19, 0)</f>
        <v>2</v>
      </c>
      <c r="G18" s="216" t="str" cm="1">
        <f t="array" aca="1" ref="G18" ca="1">INDEX(rngStrats, F18)</f>
        <v>No HPE</v>
      </c>
      <c r="H18" s="234" cm="1">
        <f t="array" aca="1" ref="H18" ca="1">IFERROR(INDEX(AI18:AI19, F18), "")</f>
        <v>12584.909980511773</v>
      </c>
      <c r="I18" s="235" t="str">
        <f ca="1">_xlfn.LET(_xlpm.arrCosts, OFFSET(rngPSA.Samples.Costs, 0, (D18-1)*6 + F18-1),
"(" &amp;
 TEXT(PERCENTILE(_xlpm.arrCosts, 0.025), "£#,##0;−£#,##0") &amp; " to " &amp;
 TEXT(PERCENTILE(_xlpm.arrCosts, 0.975), "£#,##0;−£#,##0") &amp; ")")</f>
        <v>(£8,258 to £17,664)</v>
      </c>
      <c r="J18" s="236" cm="1">
        <f t="array" aca="1" ref="J18" ca="1">IFERROR(INDEX(AK18:AK19, F18), "")</f>
        <v>3.0501910784425239</v>
      </c>
      <c r="K18" s="237" t="str">
        <f ca="1">_xlfn.LET(_xlpm.arrQALYs, OFFSET(rngPSA.Samples.QALYs, 0, (D18-1)*6 + F18-1),
"(" &amp;
 TEXT(PERCENTILE(_xlpm.arrQALYs, 0.025), "0.000") &amp; " to " &amp;
 TEXT(PERCENTILE(_xlpm.arrQALYs, 0.975), "0.000") &amp; ")")</f>
        <v>(2.840 to 3.252)</v>
      </c>
      <c r="L18" s="236">
        <f t="shared" ca="1" si="2"/>
        <v>2.4209455794169354</v>
      </c>
      <c r="M18" s="237" t="str" cm="1">
        <f t="array" aca="1" ref="M18" ca="1">_xlfn.LET(_xlpm.arrNHB, OFFSET(rngPSA.Samples.QALYs, 0, (D18-1)*6 + F18-1) - OFFSET(rngPSA.Samples.Costs, 0, (D18-1)*6 + F18-1)/L$6,
"(" &amp;
 TEXT(PERCENTILE(_xlpm.arrNHB, 0.025), "0.000") &amp; " to " &amp;
 TEXT(PERCENTILE(_xlpm.arrNHB, 0.975), "0.000") &amp; ")")</f>
        <v>(2.094 to 2.708)</v>
      </c>
      <c r="N18" s="236">
        <f t="shared" ca="1" si="3"/>
        <v>2.6306940790921316</v>
      </c>
      <c r="O18" s="237" t="str" cm="1">
        <f t="array" aca="1" ref="O18" ca="1">_xlfn.LET(_xlpm.arrNHB, OFFSET(rngPSA.Samples.QALYs, 0, (D18-1)*6 + F18-1) - OFFSET(rngPSA.Samples.Costs, 0, (D18-1)*6 + F18-1)/N$6,
"(" &amp;
 TEXT(PERCENTILE(_xlpm.arrNHB, 0.025), "0.000") &amp; " to " &amp;
 TEXT(PERCENTILE(_xlpm.arrNHB, 0.975), "0.000") &amp; ")")</f>
        <v>(2.363 to 2.885)</v>
      </c>
      <c r="P18" s="217"/>
      <c r="Q18" s="234" t="str">
        <f>IF($AG18=1, "", H18-H16)</f>
        <v/>
      </c>
      <c r="R18" s="235" t="str" cm="1">
        <f t="array" aca="1" ref="R18" ca="1">_xlfn.LET(_xlpm.arrIncCosts, OFFSET(rngPSA.Samples.Costs, 0, ($D18-1)*6 + $F18-1)-OFFSET(rngPSA.Samples.Costs, 0, ($D18-1)*6 + $F16-1),
IF(AG18=1, "", "(" &amp;
 TEXT(PERCENTILE(_xlpm.arrIncCosts, 0.025), "£#,##0;−£#,##0") &amp; " to " &amp;
 TEXT(PERCENTILE(_xlpm.arrIncCosts, 0.975), "£#,##0;−£#,##0") &amp; ")"))</f>
        <v/>
      </c>
      <c r="S18" s="236" t="str">
        <f>IF($AG18=1, "", J18-J16)</f>
        <v/>
      </c>
      <c r="T18" s="235" t="str" cm="1">
        <f t="array" aca="1" ref="T18" ca="1">_xlfn.LET(_xlpm.arrIncQALYs, OFFSET(rngPSA.Samples.QALYs, 0, ($D18-1)*6 + $F18-1)-OFFSET(rngPSA.Samples.QALYs, 0, ($D18-1)*6 + $F16-1),
IF($AG18=1, "", "(" &amp;
 TEXT(PERCENTILE(_xlpm.arrIncQALYs, 0.025), "0.000;−0.000") &amp; " to " &amp;
 TEXT(PERCENTILE(_xlpm.arrIncQALYs, 0.975), "0.000;−0.000") &amp; ")"))</f>
        <v/>
      </c>
      <c r="U18" s="275" t="str">
        <f>IF($AG18=1, "", IF(AND(Q18&gt;0, S18&lt;0), "dominated", Q18/S18))</f>
        <v/>
      </c>
      <c r="V18" s="274"/>
      <c r="W18" s="234" t="str" cm="1">
        <f t="array" aca="1" ref="W18" ca="1">IF(F18=swtchResults.PSA.Baseline, "-", H18-INDEX(AI18:AI19, swtchResults.PSA.Baseline))</f>
        <v>-</v>
      </c>
      <c r="X18" s="238" t="str" cm="1">
        <f t="array" aca="1" ref="X18" ca="1">IF(F18=swtchResults.PSA.Baseline, "-", "(" &amp;
 TEXT(PERCENTILE(OFFSET(rngPSA.Samples.Costs, 0, (D18-1)*6 + F18-1)-OFFSET(rngPSA.Samples.Costs, 0, (D18-1)*6 + swtchResults.PSA.Baseline-1), 0.025), "£#,##0;−£#,##0") &amp; " to " &amp;
 TEXT(PERCENTILE(OFFSET(rngPSA.Samples.Costs, 0, (D18-1)*6 + F18-1)-OFFSET(rngPSA.Samples.Costs, 0, (D18-1)*6 + swtchResults.PSA.Baseline-1), 0.975), "£#,##0;−£#,##0") &amp; ")")</f>
        <v>-</v>
      </c>
      <c r="Y18" s="236" t="str" cm="1">
        <f t="array" aca="1" ref="Y18" ca="1">IF(F18=swtchResults.PSA.Baseline, "-", J18-INDEX(AK18:AK19, swtchResults.PSA.Baseline))</f>
        <v>-</v>
      </c>
      <c r="Z18" s="238" t="str" cm="1">
        <f t="array" aca="1" ref="Z18" ca="1">IF(F18=swtchResults.PSA.Baseline, "-", "(" &amp;
 TEXT(PERCENTILE(OFFSET(rngPSA.Samples.QALYs, 0, (D18-1)*6 + F18-1)-OFFSET(rngPSA.Samples.QALYs, 0, (D18-1)*6 + swtchResults.PSA.Baseline-1), 0.025), "0.000;−0.000") &amp; " to " &amp;
 TEXT(PERCENTILE(OFFSET(rngPSA.Samples.QALYs, 0, (D18-1)*6 + F18-1)-OFFSET(rngPSA.Samples.QALYs, 0, (D18-1)*6 + swtchResults.PSA.Baseline-1), 0.975), "0.000;−0.000") &amp; ")")</f>
        <v>-</v>
      </c>
      <c r="AA18" s="239" t="str" cm="1">
        <f t="array" aca="1" ref="AA18" ca="1">IF(F18=swtchResults.PSA.Baseline, "-", Y18-W18/AA$7)</f>
        <v>-</v>
      </c>
      <c r="AB18" s="238" t="str" cm="1">
        <f t="array" aca="1" ref="AB18" ca="1">_xlfn.LET(_xlpm.arrNHB, (OFFSET(rngPSA.Samples.QALYs, 0, (D18-1)*6 + F18-1)-OFFSET(rngPSA.Samples.QALYs, 0, (D18-1)*6 + swtchResults.PSA.Baseline-1)) - (OFFSET(rngPSA.Samples.Costs, 0, (D18-1)*6 + F18-1)-OFFSET(rngPSA.Samples.Costs, 0, (D18-1)*6 + swtchResults.PSA.Baseline-1))/AA$7,
 IF(F18=swtchResults.PSA.Baseline, "-", "(" &amp;
 TEXT(PERCENTILE(_xlpm.arrNHB, 0.025), "0.000;−0.000") &amp; " to " &amp;
 TEXT(PERCENTILE(_xlpm.arrNHB, 0.975), "0.000;−0.000") &amp; ")"))</f>
        <v>-</v>
      </c>
      <c r="AC18" s="239" t="str" cm="1">
        <f t="array" aca="1" ref="AC18" ca="1">IF(F18=swtchResults.PSA.Baseline, "-", Y18-W18/AC$7)</f>
        <v>-</v>
      </c>
      <c r="AD18" s="238" t="str" cm="1">
        <f t="array" aca="1" ref="AD18" ca="1">_xlfn.LET(_xlpm.arrNHB, (OFFSET(rngPSA.Samples.QALYs, 0, (D18-1)*6 + F18-1)-OFFSET(rngPSA.Samples.QALYs, 0, (D18-1)*6 + swtchResults.PSA.Baseline-1)) - (OFFSET(rngPSA.Samples.Costs, 0, (D18-1)*6 + F18-1)-OFFSET(rngPSA.Samples.Costs, 0, (D18-1)*6 + swtchResults.PSA.Baseline-1))/AC$7,
 IF(F18=swtchResults.PSA.Baseline, "-", "(" &amp;
 TEXT(PERCENTILE(_xlpm.arrNHB, 0.025), "0.000;−0.000") &amp; " to " &amp;
 TEXT(PERCENTILE(_xlpm.arrNHB, 0.975), "0.000;−0.000") &amp; ")"))</f>
        <v>-</v>
      </c>
      <c r="AE18" s="218" t="str" cm="1">
        <f t="array" aca="1" ref="AE18" ca="1">IF(F18=swtchResults.PSA.Baseline, "ref", IF(AND(W18&lt;=0, Y18&gt;0), "dominant", IF(AND(W18&gt;0, Y18&lt;0), "dominated", W18/Y18)))</f>
        <v>ref</v>
      </c>
      <c r="AF18" s="219"/>
      <c r="AG18" s="215">
        <v>1</v>
      </c>
      <c r="AH18" s="216" t="str">
        <f t="shared" si="0"/>
        <v>HPE</v>
      </c>
      <c r="AI18" s="220" cm="1">
        <f t="array" aca="1" ref="AI18" ca="1">INDEX(OFFSET(rngPSA.MeanCosts.Root, 0, (D18-1)*6), AG18)</f>
        <v>12596.922197268379</v>
      </c>
      <c r="AJ18" s="220" t="str">
        <f ca="1">_xlfn.LET(_xlpm.arrCosts, OFFSET(rngPSA.Samples.Costs, 0, ($D18-1)*6 + $AG18-1),
"(" &amp;
 TEXT(PERCENTILE(_xlpm.arrCosts, 0.025), "£#,##0;−£#,##0") &amp; " to " &amp;
 TEXT(PERCENTILE(_xlpm.arrCosts, 0.975), "£#,##0;−£#,##0") &amp; ")")</f>
        <v>(£8,264 to £17,706)</v>
      </c>
      <c r="AK18" s="221" cm="1">
        <f t="array" aca="1" ref="AK18" ca="1">INDEX(OFFSET(rngPSA.MeanQALYs.Root, 0, (D18-1)*6), AG18)</f>
        <v>3.0034618315538943</v>
      </c>
      <c r="AL18" s="292" t="str">
        <f ca="1">_xlfn.LET(_xlpm.arrQALYs, OFFSET(rngPSA.Samples.QALYs, 0, ($D18-1)*6 + $AG18-1),
"(" &amp;
 TEXT(PERCENTILE(_xlpm.arrQALYs, 0.025), "0.000") &amp; " to " &amp;
 TEXT(PERCENTILE(_xlpm.arrQALYs, 0.975), "0.000") &amp; ")")</f>
        <v>(2.795 to 3.204)</v>
      </c>
      <c r="AM18" s="222" t="str">
        <f>IFERROR(INDEX(rngPSA.MeanLYs, AG18), "")</f>
        <v/>
      </c>
      <c r="AN18" s="213"/>
      <c r="AQ18" s="223"/>
    </row>
    <row r="19" spans="4:43" ht="12" customHeight="1" thickBot="1" x14ac:dyDescent="0.3">
      <c r="D19" s="10">
        <f t="shared" si="1"/>
        <v>4</v>
      </c>
      <c r="E19" s="59"/>
      <c r="F19" s="224">
        <f ca="1">MATCH(SMALL(AI18:AI19, AG19), AI18:AI19, 0)</f>
        <v>1</v>
      </c>
      <c r="G19" s="225" t="str" cm="1">
        <f t="array" aca="1" ref="G19" ca="1">INDEX(rngStrats, F19)</f>
        <v>HPE</v>
      </c>
      <c r="H19" s="240" cm="1">
        <f t="array" aca="1" ref="H19" ca="1">IFERROR(INDEX(AI18:AI19, F19), "")</f>
        <v>12596.922197268379</v>
      </c>
      <c r="I19" s="241" t="str">
        <f ca="1">_xlfn.LET(_xlpm.arrCosts, OFFSET(rngPSA.Samples.Costs, 0, (D19-1)*6 + F19-1),
"(" &amp;
 TEXT(PERCENTILE(_xlpm.arrCosts, 0.025), "£#,##0;−£#,##0") &amp; " to " &amp;
 TEXT(PERCENTILE(_xlpm.arrCosts, 0.975), "£#,##0;−£#,##0") &amp; ")")</f>
        <v>(£8,264 to £17,706)</v>
      </c>
      <c r="J19" s="243" cm="1">
        <f t="array" aca="1" ref="J19" ca="1">IFERROR(INDEX(AK18:AK19, F19), "")</f>
        <v>3.0034618315538943</v>
      </c>
      <c r="K19" s="242" t="str">
        <f ca="1">_xlfn.LET(_xlpm.arrQALYs, OFFSET(rngPSA.Samples.QALYs, 0, (D19-1)*6 + F19-1),
"(" &amp;
 TEXT(PERCENTILE(_xlpm.arrQALYs, 0.025), "0.000") &amp; " to " &amp;
 TEXT(PERCENTILE(_xlpm.arrQALYs, 0.975), "0.000") &amp; ")")</f>
        <v>(2.795 to 3.204)</v>
      </c>
      <c r="L19" s="243">
        <f t="shared" ca="1" si="2"/>
        <v>2.3736157216904754</v>
      </c>
      <c r="M19" s="244" t="str" cm="1">
        <f t="array" aca="1" ref="M19" ca="1">_xlfn.LET(_xlpm.arrNHB, OFFSET(rngPSA.Samples.QALYs, 0, (D19-1)*6 + F19-1) - OFFSET(rngPSA.Samples.Costs, 0, (D19-1)*6 + F19-1)/L$6,
"(" &amp;
 TEXT(PERCENTILE(_xlpm.arrNHB, 0.025), "0.000") &amp; " to " &amp;
 TEXT(PERCENTILE(_xlpm.arrNHB, 0.975), "0.000") &amp; ")")</f>
        <v>(2.048 to 2.667)</v>
      </c>
      <c r="N19" s="243">
        <f t="shared" ca="1" si="3"/>
        <v>2.5835644249782819</v>
      </c>
      <c r="O19" s="244" t="str" cm="1">
        <f t="array" aca="1" ref="O19" ca="1">_xlfn.LET(_xlpm.arrNHB, OFFSET(rngPSA.Samples.QALYs, 0, (D19-1)*6 + F19-1) - OFFSET(rngPSA.Samples.Costs, 0, (D19-1)*6 + F19-1)/N$6,
"(" &amp;
 TEXT(PERCENTILE(_xlpm.arrNHB, 0.025), "0.000") &amp; " to " &amp;
 TEXT(PERCENTILE(_xlpm.arrNHB, 0.975), "0.000") &amp; ")")</f>
        <v>(2.315 to 2.837)</v>
      </c>
      <c r="P19" s="228"/>
      <c r="Q19" s="240">
        <f ca="1">IF($AG19=1, "", H19-H18)</f>
        <v>12.012216756605994</v>
      </c>
      <c r="R19" s="241" t="str" cm="1">
        <f t="array" aca="1" ref="R19" ca="1">_xlfn.LET(_xlpm.arrIncCosts, OFFSET(rngPSA.Samples.Costs, 0, ($D19-1)*6 + $F19-1)-OFFSET(rngPSA.Samples.Costs, 0, ($D19-1)*6 + $F18-1),
IF(AG19=1, "", "(" &amp;
 TEXT(PERCENTILE(_xlpm.arrIncCosts, 0.025), "£#,##0;−£#,##0") &amp; " to " &amp;
 TEXT(PERCENTILE(_xlpm.arrIncCosts, 0.975), "£#,##0;−£#,##0") &amp; ")"))</f>
        <v>(−£73 to £96)</v>
      </c>
      <c r="S19" s="243">
        <f ca="1">IF($AG19=1, "", J19-J18)</f>
        <v>-4.6729246888629561E-2</v>
      </c>
      <c r="T19" s="241" t="str" cm="1">
        <f t="array" aca="1" ref="T19" ca="1">_xlfn.LET(_xlpm.arrIncQALYs, OFFSET(rngPSA.Samples.QALYs, 0, ($D19-1)*6 + $F19-1)-OFFSET(rngPSA.Samples.QALYs, 0, ($D19-1)*6 + $F18-1),
IF($AG19=1, "", "(" &amp;
 TEXT(PERCENTILE(_xlpm.arrIncQALYs, 0.025), "0.000;−0.000") &amp; " to " &amp;
 TEXT(PERCENTILE(_xlpm.arrIncQALYs, 0.975), "0.000;−0.000") &amp; ")"))</f>
        <v>(−0.072 to −0.027)</v>
      </c>
      <c r="U19" s="273" t="str">
        <f ca="1">IF($AG19=1, "", IF(AND(Q19&gt;0, S19&lt;0), "dominated", Q19/S19))</f>
        <v>dominated</v>
      </c>
      <c r="V19" s="272"/>
      <c r="W19" s="240" cm="1">
        <f t="array" aca="1" ref="W19" ca="1">IF(F19=swtchResults.PSA.Baseline, "-", H19-INDEX(AI18:AI19, swtchResults.PSA.Baseline))</f>
        <v>12.012216756605994</v>
      </c>
      <c r="X19" s="241" t="str" cm="1">
        <f t="array" aca="1" ref="X19" ca="1">IF(F19=swtchResults.PSA.Baseline, "-", "(" &amp;
 TEXT(PERCENTILE(OFFSET(rngPSA.Samples.Costs, 0, (D19-1)*6 + F19-1)-OFFSET(rngPSA.Samples.Costs, 0, (D19-1)*6 + swtchResults.PSA.Baseline-1), 0.025), "£#,##0;−£#,##0") &amp; " to " &amp;
 TEXT(PERCENTILE(OFFSET(rngPSA.Samples.Costs, 0, (D19-1)*6 + F19-1)-OFFSET(rngPSA.Samples.Costs, 0, (D19-1)*6 + swtchResults.PSA.Baseline-1), 0.975), "£#,##0;−£#,##0") &amp; ")")</f>
        <v>(−£73 to £96)</v>
      </c>
      <c r="Y19" s="243" cm="1">
        <f t="array" aca="1" ref="Y19" ca="1">IF(F19=swtchResults.PSA.Baseline, "-", J19-INDEX(AK18:AK19, swtchResults.PSA.Baseline))</f>
        <v>-4.6729246888629561E-2</v>
      </c>
      <c r="Z19" s="244" t="str" cm="1">
        <f t="array" aca="1" ref="Z19" ca="1">IF(F19=swtchResults.PSA.Baseline, "-", "(" &amp;
 TEXT(PERCENTILE(OFFSET(rngPSA.Samples.QALYs, 0, (D19-1)*6 + F19-1)-OFFSET(rngPSA.Samples.QALYs, 0, (D19-1)*6 + swtchResults.PSA.Baseline-1), 0.025), "0.000;−0.000") &amp; " to " &amp;
 TEXT(PERCENTILE(OFFSET(rngPSA.Samples.QALYs, 0, (D19-1)*6 + F19-1)-OFFSET(rngPSA.Samples.QALYs, 0, (D19-1)*6 + swtchResults.PSA.Baseline-1), 0.975), "0.000;−0.000") &amp; ")")</f>
        <v>(−0.072 to −0.027)</v>
      </c>
      <c r="AA19" s="245" cm="1">
        <f t="array" aca="1" ref="AA19" ca="1">IF(F19=swtchResults.PSA.Baseline, "-", Y19-W19/AA$7)</f>
        <v>-4.7329857726459861E-2</v>
      </c>
      <c r="AB19" s="244" t="str" cm="1">
        <f t="array" aca="1" ref="AB19" ca="1">_xlfn.LET(_xlpm.arrNHB, (OFFSET(rngPSA.Samples.QALYs, 0, (D19-1)*6 + F19-1)-OFFSET(rngPSA.Samples.QALYs, 0, (D19-1)*6 + swtchResults.PSA.Baseline-1)) - (OFFSET(rngPSA.Samples.Costs, 0, (D19-1)*6 + F19-1)-OFFSET(rngPSA.Samples.Costs, 0, (D19-1)*6 + swtchResults.PSA.Baseline-1))/AA$7,
 IF(F19=swtchResults.PSA.Baseline, "-", "(" &amp;
 TEXT(PERCENTILE(_xlpm.arrNHB, 0.025), "0.000;−0.000") &amp; " to " &amp;
 TEXT(PERCENTILE(_xlpm.arrNHB, 0.975), "0.000;−0.000") &amp; ")"))</f>
        <v>(−0.069 to −0.030)</v>
      </c>
      <c r="AC19" s="245" cm="1">
        <f t="array" aca="1" ref="AC19" ca="1">IF(F19=swtchResults.PSA.Baseline, "-", Y19-W19/AC$7)</f>
        <v>-4.7129654113849763E-2</v>
      </c>
      <c r="AD19" s="244" t="str" cm="1">
        <f t="array" aca="1" ref="AD19" ca="1">_xlfn.LET(_xlpm.arrNHB, (OFFSET(rngPSA.Samples.QALYs, 0, (D19-1)*6 + F19-1)-OFFSET(rngPSA.Samples.QALYs, 0, (D19-1)*6 + swtchResults.PSA.Baseline-1)) - (OFFSET(rngPSA.Samples.Costs, 0, (D19-1)*6 + F19-1)-OFFSET(rngPSA.Samples.Costs, 0, (D19-1)*6 + swtchResults.PSA.Baseline-1))/AC$7,
 IF(F19=swtchResults.PSA.Baseline, "-", "(" &amp;
 TEXT(PERCENTILE(_xlpm.arrNHB, 0.025), "0.000;−0.000") &amp; " to " &amp;
 TEXT(PERCENTILE(_xlpm.arrNHB, 0.975), "0.000;−0.000") &amp; ")"))</f>
        <v>(−0.070 to −0.030)</v>
      </c>
      <c r="AE19" s="229" t="str" cm="1">
        <f t="array" aca="1" ref="AE19" ca="1">IF(F19=swtchResults.PSA.Baseline, "ref", IF(AND(W19&lt;=0, Y19&gt;0), "dominant", IF(AND(W19&gt;0, Y19&lt;0), "dominated", W19/Y19)))</f>
        <v>dominated</v>
      </c>
      <c r="AF19" s="219"/>
      <c r="AG19" s="224">
        <v>2</v>
      </c>
      <c r="AH19" s="225" t="str">
        <f t="shared" si="0"/>
        <v>No HPE</v>
      </c>
      <c r="AI19" s="230" cm="1">
        <f t="array" aca="1" ref="AI19" ca="1">INDEX(OFFSET(rngPSA.MeanCosts.Root, 0, (D19-1)*6), AG19)</f>
        <v>12584.909980511773</v>
      </c>
      <c r="AJ19" s="230" t="str">
        <f ca="1">_xlfn.LET(_xlpm.arrCosts, OFFSET(rngPSA.Samples.Costs, 0, ($D19-1)*6 + $AG19-1),
"(" &amp;
 TEXT(PERCENTILE(_xlpm.arrCosts, 0.025), "£#,##0;−£#,##0") &amp; " to " &amp;
 TEXT(PERCENTILE(_xlpm.arrCosts, 0.975), "£#,##0;−£#,##0") &amp; ")")</f>
        <v>(£8,258 to £17,664)</v>
      </c>
      <c r="AK19" s="231" cm="1">
        <f t="array" aca="1" ref="AK19" ca="1">INDEX(OFFSET(rngPSA.MeanQALYs.Root, 0, (D19-1)*6), AG19)</f>
        <v>3.0501910784425239</v>
      </c>
      <c r="AL19" s="293" t="str">
        <f ca="1">_xlfn.LET(_xlpm.arrQALYs, OFFSET(rngPSA.Samples.QALYs, 0, ($D19-1)*6 + $AG19-1),
"(" &amp;
 TEXT(PERCENTILE(_xlpm.arrQALYs, 0.025), "0.000") &amp; " to " &amp;
 TEXT(PERCENTILE(_xlpm.arrQALYs, 0.975), "0.000") &amp; ")")</f>
        <v>(2.840 to 3.252)</v>
      </c>
      <c r="AM19" s="232" t="str">
        <f>IFERROR(INDEX(rngPSA.MeanLYs, AG19), "")</f>
        <v/>
      </c>
      <c r="AN19" s="213"/>
      <c r="AQ19" s="223"/>
    </row>
    <row r="20" spans="4:43" ht="12" customHeight="1" thickBot="1" x14ac:dyDescent="0.3">
      <c r="D20" s="10">
        <f t="shared" si="1"/>
        <v>5</v>
      </c>
      <c r="E20" s="59"/>
      <c r="F20" s="481" t="str" cm="1">
        <f t="array" ref="F20">INDEX(lstQs, D20)</f>
        <v>E: NSAIDs - CKD</v>
      </c>
      <c r="G20" s="482"/>
      <c r="H20" s="482"/>
      <c r="I20" s="482"/>
      <c r="J20" s="482"/>
      <c r="K20" s="482"/>
      <c r="L20" s="482"/>
      <c r="M20" s="482"/>
      <c r="N20" s="482"/>
      <c r="O20" s="482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Z20" s="482"/>
      <c r="AA20" s="482"/>
      <c r="AB20" s="482"/>
      <c r="AC20" s="482"/>
      <c r="AD20" s="482"/>
      <c r="AE20" s="482"/>
      <c r="AF20" s="482"/>
      <c r="AG20" s="482"/>
      <c r="AH20" s="482"/>
      <c r="AI20" s="482"/>
      <c r="AJ20" s="482"/>
      <c r="AK20" s="482"/>
      <c r="AL20" s="482"/>
      <c r="AM20" s="483"/>
      <c r="AN20" s="10"/>
    </row>
    <row r="21" spans="4:43" ht="12" customHeight="1" x14ac:dyDescent="0.25">
      <c r="D21" s="10">
        <f t="shared" si="1"/>
        <v>5</v>
      </c>
      <c r="E21" s="59"/>
      <c r="F21" s="215">
        <f ca="1">MATCH(SMALL(AI21:AI22, AG21), AI21:AI22, 0)</f>
        <v>2</v>
      </c>
      <c r="G21" s="216" t="str" cm="1">
        <f t="array" aca="1" ref="G21" ca="1">INDEX(rngStrats, F21)</f>
        <v>No HPE</v>
      </c>
      <c r="H21" s="234" cm="1">
        <f t="array" aca="1" ref="H21" ca="1">IFERROR(INDEX(AI21:AI22, F21), "")</f>
        <v>50056.462465953744</v>
      </c>
      <c r="I21" s="235" t="str">
        <f ca="1">_xlfn.LET(_xlpm.arrCosts, OFFSET(rngPSA.Samples.Costs, 0, (D21-1)*6 + F21-1),
"(" &amp;
 TEXT(PERCENTILE(_xlpm.arrCosts, 0.025), "£#,##0;−£#,##0") &amp; " to " &amp;
 TEXT(PERCENTILE(_xlpm.arrCosts, 0.975), "£#,##0;−£#,##0") &amp; ")")</f>
        <v>(£48,267 to £51,902)</v>
      </c>
      <c r="J21" s="236" cm="1">
        <f t="array" aca="1" ref="J21" ca="1">IFERROR(INDEX(AK21:AK22, F21), "")</f>
        <v>4.6328665062502372</v>
      </c>
      <c r="K21" s="237" t="str">
        <f ca="1">_xlfn.LET(_xlpm.arrQALYs, OFFSET(rngPSA.Samples.QALYs, 0, (D21-1)*6 + F21-1),
"(" &amp;
 TEXT(PERCENTILE(_xlpm.arrQALYs, 0.025), "0.000") &amp; " to " &amp;
 TEXT(PERCENTILE(_xlpm.arrQALYs, 0.975), "0.000") &amp; ")")</f>
        <v>(3.930 to 5.180)</v>
      </c>
      <c r="L21" s="236">
        <f t="shared" ca="1" si="2"/>
        <v>2.1300433829525498</v>
      </c>
      <c r="M21" s="237" t="str" cm="1">
        <f t="array" aca="1" ref="M21" ca="1">_xlfn.LET(_xlpm.arrNHB, OFFSET(rngPSA.Samples.QALYs, 0, (D21-1)*6 + F21-1) - OFFSET(rngPSA.Samples.Costs, 0, (D21-1)*6 + F21-1)/L$6,
"(" &amp;
 TEXT(PERCENTILE(_xlpm.arrNHB, 0.025), "0.000") &amp; " to " &amp;
 TEXT(PERCENTILE(_xlpm.arrNHB, 0.975), "0.000") &amp; ")")</f>
        <v>(1.390 to 2.679)</v>
      </c>
      <c r="N21" s="236">
        <f t="shared" ca="1" si="3"/>
        <v>2.9643177573851123</v>
      </c>
      <c r="O21" s="237" t="str" cm="1">
        <f t="array" aca="1" ref="O21" ca="1">_xlfn.LET(_xlpm.arrNHB, OFFSET(rngPSA.Samples.QALYs, 0, (D21-1)*6 + F21-1) - OFFSET(rngPSA.Samples.Costs, 0, (D21-1)*6 + F21-1)/N$6,
"(" &amp;
 TEXT(PERCENTILE(_xlpm.arrNHB, 0.025), "0.000") &amp; " to " &amp;
 TEXT(PERCENTILE(_xlpm.arrNHB, 0.975), "0.000") &amp; ")")</f>
        <v>(2.245 to 3.514)</v>
      </c>
      <c r="P21" s="217"/>
      <c r="Q21" s="234" t="str">
        <f>IF($AG21=1, "", H21-H19)</f>
        <v/>
      </c>
      <c r="R21" s="235" t="str" cm="1">
        <f t="array" aca="1" ref="R21" ca="1">_xlfn.LET(_xlpm.arrIncCosts, OFFSET(rngPSA.Samples.Costs, 0, ($D21-1)*6 + $F21-1)-OFFSET(rngPSA.Samples.Costs, 0, ($D21-1)*6 + $F19-1),
IF(AG21=1, "", "(" &amp;
 TEXT(PERCENTILE(_xlpm.arrIncCosts, 0.025), "£#,##0;−£#,##0") &amp; " to " &amp;
 TEXT(PERCENTILE(_xlpm.arrIncCosts, 0.975), "£#,##0;−£#,##0") &amp; ")"))</f>
        <v/>
      </c>
      <c r="S21" s="236" t="str">
        <f>IF($AG21=1, "", J21-J19)</f>
        <v/>
      </c>
      <c r="T21" s="235" t="str" cm="1">
        <f t="array" aca="1" ref="T21" ca="1">_xlfn.LET(_xlpm.arrIncQALYs, OFFSET(rngPSA.Samples.QALYs, 0, ($D21-1)*6 + $F21-1)-OFFSET(rngPSA.Samples.QALYs, 0, ($D21-1)*6 + $F19-1),
IF($AG21=1, "", "(" &amp;
 TEXT(PERCENTILE(_xlpm.arrIncQALYs, 0.025), "0.000;−0.000") &amp; " to " &amp;
 TEXT(PERCENTILE(_xlpm.arrIncQALYs, 0.975), "0.000;−0.000") &amp; ")"))</f>
        <v/>
      </c>
      <c r="U21" s="275" t="str">
        <f>IF($AG21=1, "", IF(AND(Q21&gt;0, S21&lt;0), "dominated", Q21/S21))</f>
        <v/>
      </c>
      <c r="V21" s="274"/>
      <c r="W21" s="234" t="str" cm="1">
        <f t="array" aca="1" ref="W21" ca="1">IF(F21=swtchResults.PSA.Baseline, "-", H21-INDEX(AI21:AI22, swtchResults.PSA.Baseline))</f>
        <v>-</v>
      </c>
      <c r="X21" s="238" t="str" cm="1">
        <f t="array" aca="1" ref="X21" ca="1">IF(F21=swtchResults.PSA.Baseline, "-", "(" &amp;
 TEXT(PERCENTILE(OFFSET(rngPSA.Samples.Costs, 0, (D21-1)*6 + F21-1)-OFFSET(rngPSA.Samples.Costs, 0, (D21-1)*6 + swtchResults.PSA.Baseline-1), 0.025), "£#,##0;−£#,##0") &amp; " to " &amp;
 TEXT(PERCENTILE(OFFSET(rngPSA.Samples.Costs, 0, (D21-1)*6 + F21-1)-OFFSET(rngPSA.Samples.Costs, 0, (D21-1)*6 + swtchResults.PSA.Baseline-1), 0.975), "£#,##0;−£#,##0") &amp; ")")</f>
        <v>-</v>
      </c>
      <c r="Y21" s="236" t="str" cm="1">
        <f t="array" aca="1" ref="Y21" ca="1">IF(F21=swtchResults.PSA.Baseline, "-", J21-INDEX(AK21:AK22, swtchResults.PSA.Baseline))</f>
        <v>-</v>
      </c>
      <c r="Z21" s="238" t="str" cm="1">
        <f t="array" aca="1" ref="Z21" ca="1">IF(F21=swtchResults.PSA.Baseline, "-", "(" &amp;
 TEXT(PERCENTILE(OFFSET(rngPSA.Samples.QALYs, 0, (D21-1)*6 + F21-1)-OFFSET(rngPSA.Samples.QALYs, 0, (D21-1)*6 + swtchResults.PSA.Baseline-1), 0.025), "0.000;−0.000") &amp; " to " &amp;
 TEXT(PERCENTILE(OFFSET(rngPSA.Samples.QALYs, 0, (D21-1)*6 + F21-1)-OFFSET(rngPSA.Samples.QALYs, 0, (D21-1)*6 + swtchResults.PSA.Baseline-1), 0.975), "0.000;−0.000") &amp; ")")</f>
        <v>-</v>
      </c>
      <c r="AA21" s="239" t="str" cm="1">
        <f t="array" aca="1" ref="AA21" ca="1">IF(F21=swtchResults.PSA.Baseline, "-", Y21-W21/AA$7)</f>
        <v>-</v>
      </c>
      <c r="AB21" s="238" t="str" cm="1">
        <f t="array" aca="1" ref="AB21" ca="1">_xlfn.LET(_xlpm.arrNHB, (OFFSET(rngPSA.Samples.QALYs, 0, (D21-1)*6 + F21-1)-OFFSET(rngPSA.Samples.QALYs, 0, (D21-1)*6 + swtchResults.PSA.Baseline-1)) - (OFFSET(rngPSA.Samples.Costs, 0, (D21-1)*6 + F21-1)-OFFSET(rngPSA.Samples.Costs, 0, (D21-1)*6 + swtchResults.PSA.Baseline-1))/AA$7,
 IF(F21=swtchResults.PSA.Baseline, "-", "(" &amp;
 TEXT(PERCENTILE(_xlpm.arrNHB, 0.025), "0.000;−0.000") &amp; " to " &amp;
 TEXT(PERCENTILE(_xlpm.arrNHB, 0.975), "0.000;−0.000") &amp; ")"))</f>
        <v>-</v>
      </c>
      <c r="AC21" s="239" t="str" cm="1">
        <f t="array" aca="1" ref="AC21" ca="1">IF(F21=swtchResults.PSA.Baseline, "-", Y21-W21/AC$7)</f>
        <v>-</v>
      </c>
      <c r="AD21" s="238" t="str" cm="1">
        <f t="array" aca="1" ref="AD21" ca="1">_xlfn.LET(_xlpm.arrNHB, (OFFSET(rngPSA.Samples.QALYs, 0, (D21-1)*6 + F21-1)-OFFSET(rngPSA.Samples.QALYs, 0, (D21-1)*6 + swtchResults.PSA.Baseline-1)) - (OFFSET(rngPSA.Samples.Costs, 0, (D21-1)*6 + F21-1)-OFFSET(rngPSA.Samples.Costs, 0, (D21-1)*6 + swtchResults.PSA.Baseline-1))/AC$7,
 IF(F21=swtchResults.PSA.Baseline, "-", "(" &amp;
 TEXT(PERCENTILE(_xlpm.arrNHB, 0.025), "0.000;−0.000") &amp; " to " &amp;
 TEXT(PERCENTILE(_xlpm.arrNHB, 0.975), "0.000;−0.000") &amp; ")"))</f>
        <v>-</v>
      </c>
      <c r="AE21" s="218" t="str" cm="1">
        <f t="array" aca="1" ref="AE21" ca="1">IF(F21=swtchResults.PSA.Baseline, "ref", IF(AND(W21&lt;=0, Y21&gt;0), "dominant", IF(AND(W21&gt;0, Y21&lt;0), "dominated", W21/Y21)))</f>
        <v>ref</v>
      </c>
      <c r="AF21" s="219"/>
      <c r="AG21" s="215">
        <v>1</v>
      </c>
      <c r="AH21" s="216" t="str">
        <f t="shared" si="0"/>
        <v>HPE</v>
      </c>
      <c r="AI21" s="220" cm="1">
        <f t="array" aca="1" ref="AI21" ca="1">INDEX(OFFSET(rngPSA.MeanCosts.Root, 0, (D21-1)*6), AG21)</f>
        <v>50258.732572272667</v>
      </c>
      <c r="AJ21" s="220" t="str">
        <f ca="1">_xlfn.LET(_xlpm.arrCosts, OFFSET(rngPSA.Samples.Costs, 0, ($D21-1)*6 + $AG21-1),
"(" &amp;
 TEXT(PERCENTILE(_xlpm.arrCosts, 0.025), "£#,##0;−£#,##0") &amp; " to " &amp;
 TEXT(PERCENTILE(_xlpm.arrCosts, 0.975), "£#,##0;−£#,##0") &amp; ")")</f>
        <v>(£48,440 to £52,251)</v>
      </c>
      <c r="AK21" s="221" cm="1">
        <f t="array" aca="1" ref="AK21" ca="1">INDEX(OFFSET(rngPSA.MeanQALYs.Root, 0, (D21-1)*6), AG21)</f>
        <v>4.5241145841934625</v>
      </c>
      <c r="AL21" s="292" t="str">
        <f ca="1">_xlfn.LET(_xlpm.arrQALYs, OFFSET(rngPSA.Samples.QALYs, 0, ($D21-1)*6 + $AG21-1),
"(" &amp;
 TEXT(PERCENTILE(_xlpm.arrQALYs, 0.025), "0.000") &amp; " to " &amp;
 TEXT(PERCENTILE(_xlpm.arrQALYs, 0.975), "0.000") &amp; ")")</f>
        <v>(3.849 to 5.055)</v>
      </c>
      <c r="AM21" s="222" t="str">
        <f>IFERROR(INDEX(rngPSA.MeanLYs, AG21), "")</f>
        <v/>
      </c>
      <c r="AN21" s="213"/>
      <c r="AQ21" s="223"/>
    </row>
    <row r="22" spans="4:43" ht="12" customHeight="1" thickBot="1" x14ac:dyDescent="0.3">
      <c r="D22" s="10">
        <f t="shared" si="1"/>
        <v>5</v>
      </c>
      <c r="E22" s="59"/>
      <c r="F22" s="224">
        <f ca="1">MATCH(SMALL(AI21:AI22, AG22), AI21:AI22, 0)</f>
        <v>1</v>
      </c>
      <c r="G22" s="225" t="str" cm="1">
        <f t="array" aca="1" ref="G22" ca="1">INDEX(rngStrats, F22)</f>
        <v>HPE</v>
      </c>
      <c r="H22" s="240" cm="1">
        <f t="array" aca="1" ref="H22" ca="1">IFERROR(INDEX(AI21:AI22, F22), "")</f>
        <v>50258.732572272667</v>
      </c>
      <c r="I22" s="241" t="str">
        <f ca="1">_xlfn.LET(_xlpm.arrCosts, OFFSET(rngPSA.Samples.Costs, 0, (D22-1)*6 + F22-1),
"(" &amp;
 TEXT(PERCENTILE(_xlpm.arrCosts, 0.025), "£#,##0;−£#,##0") &amp; " to " &amp;
 TEXT(PERCENTILE(_xlpm.arrCosts, 0.975), "£#,##0;−£#,##0") &amp; ")")</f>
        <v>(£48,440 to £52,251)</v>
      </c>
      <c r="J22" s="243" cm="1">
        <f t="array" aca="1" ref="J22" ca="1">IFERROR(INDEX(AK21:AK22, F22), "")</f>
        <v>4.5241145841934625</v>
      </c>
      <c r="K22" s="242" t="str">
        <f ca="1">_xlfn.LET(_xlpm.arrQALYs, OFFSET(rngPSA.Samples.QALYs, 0, (D22-1)*6 + F22-1),
"(" &amp;
 TEXT(PERCENTILE(_xlpm.arrQALYs, 0.025), "0.000") &amp; " to " &amp;
 TEXT(PERCENTILE(_xlpm.arrQALYs, 0.975), "0.000") &amp; ")")</f>
        <v>(3.849 to 5.055)</v>
      </c>
      <c r="L22" s="243">
        <f t="shared" ca="1" si="2"/>
        <v>2.011177955579829</v>
      </c>
      <c r="M22" s="244" t="str" cm="1">
        <f t="array" aca="1" ref="M22" ca="1">_xlfn.LET(_xlpm.arrNHB, OFFSET(rngPSA.Samples.QALYs, 0, (D22-1)*6 + F22-1) - OFFSET(rngPSA.Samples.Costs, 0, (D22-1)*6 + F22-1)/L$6,
"(" &amp;
 TEXT(PERCENTILE(_xlpm.arrNHB, 0.025), "0.000") &amp; " to " &amp;
 TEXT(PERCENTILE(_xlpm.arrNHB, 0.975), "0.000") &amp; ")")</f>
        <v>(1.313 to 2.546)</v>
      </c>
      <c r="N22" s="243">
        <f t="shared" ca="1" si="3"/>
        <v>2.8488234984510403</v>
      </c>
      <c r="O22" s="244" t="str" cm="1">
        <f t="array" aca="1" ref="O22" ca="1">_xlfn.LET(_xlpm.arrNHB, OFFSET(rngPSA.Samples.QALYs, 0, (D22-1)*6 + F22-1) - OFFSET(rngPSA.Samples.Costs, 0, (D22-1)*6 + F22-1)/N$6,
"(" &amp;
 TEXT(PERCENTILE(_xlpm.arrNHB, 0.025), "0.000") &amp; " to " &amp;
 TEXT(PERCENTILE(_xlpm.arrNHB, 0.975), "0.000") &amp; ")")</f>
        <v>(2.163 to 3.376)</v>
      </c>
      <c r="P22" s="228"/>
      <c r="Q22" s="240">
        <f ca="1">IF($AG22=1, "", H22-H21)</f>
        <v>202.27010631892335</v>
      </c>
      <c r="R22" s="241" t="str" cm="1">
        <f t="array" aca="1" ref="R22" ca="1">_xlfn.LET(_xlpm.arrIncCosts, OFFSET(rngPSA.Samples.Costs, 0, ($D22-1)*6 + $F22-1)-OFFSET(rngPSA.Samples.Costs, 0, ($D22-1)*6 + $F21-1),
IF(AG22=1, "", "(" &amp;
 TEXT(PERCENTILE(_xlpm.arrIncCosts, 0.025), "£#,##0;−£#,##0") &amp; " to " &amp;
 TEXT(PERCENTILE(_xlpm.arrIncCosts, 0.975), "£#,##0;−£#,##0") &amp; ")"))</f>
        <v>(−£149 to £710)</v>
      </c>
      <c r="S22" s="243">
        <f ca="1">IF($AG22=1, "", J22-J21)</f>
        <v>-0.10875192205677475</v>
      </c>
      <c r="T22" s="241" t="str" cm="1">
        <f t="array" aca="1" ref="T22" ca="1">_xlfn.LET(_xlpm.arrIncQALYs, OFFSET(rngPSA.Samples.QALYs, 0, ($D22-1)*6 + $F22-1)-OFFSET(rngPSA.Samples.QALYs, 0, ($D22-1)*6 + $F21-1),
IF($AG22=1, "", "(" &amp;
 TEXT(PERCENTILE(_xlpm.arrIncQALYs, 0.025), "0.000;−0.000") &amp; " to " &amp;
 TEXT(PERCENTILE(_xlpm.arrIncQALYs, 0.975), "0.000;−0.000") &amp; ")"))</f>
        <v>(−0.197 to −0.040)</v>
      </c>
      <c r="U22" s="273" t="str">
        <f ca="1">IF($AG22=1, "", IF(AND(Q22&gt;0, S22&lt;0), "dominated", Q22/S22))</f>
        <v>dominated</v>
      </c>
      <c r="V22" s="272"/>
      <c r="W22" s="240" cm="1">
        <f t="array" aca="1" ref="W22" ca="1">IF(F22=swtchResults.PSA.Baseline, "-", H22-INDEX(AI21:AI22, swtchResults.PSA.Baseline))</f>
        <v>202.27010631892335</v>
      </c>
      <c r="X22" s="241" t="str" cm="1">
        <f t="array" aca="1" ref="X22" ca="1">IF(F22=swtchResults.PSA.Baseline, "-", "(" &amp;
 TEXT(PERCENTILE(OFFSET(rngPSA.Samples.Costs, 0, (D22-1)*6 + F22-1)-OFFSET(rngPSA.Samples.Costs, 0, (D22-1)*6 + swtchResults.PSA.Baseline-1), 0.025), "£#,##0;−£#,##0") &amp; " to " &amp;
 TEXT(PERCENTILE(OFFSET(rngPSA.Samples.Costs, 0, (D22-1)*6 + F22-1)-OFFSET(rngPSA.Samples.Costs, 0, (D22-1)*6 + swtchResults.PSA.Baseline-1), 0.975), "£#,##0;−£#,##0") &amp; ")")</f>
        <v>(−£149 to £710)</v>
      </c>
      <c r="Y22" s="243" cm="1">
        <f t="array" aca="1" ref="Y22" ca="1">IF(F22=swtchResults.PSA.Baseline, "-", J22-INDEX(AK21:AK22, swtchResults.PSA.Baseline))</f>
        <v>-0.10875192205677475</v>
      </c>
      <c r="Z22" s="244" t="str" cm="1">
        <f t="array" aca="1" ref="Z22" ca="1">IF(F22=swtchResults.PSA.Baseline, "-", "(" &amp;
 TEXT(PERCENTILE(OFFSET(rngPSA.Samples.QALYs, 0, (D22-1)*6 + F22-1)-OFFSET(rngPSA.Samples.QALYs, 0, (D22-1)*6 + swtchResults.PSA.Baseline-1), 0.025), "0.000;−0.000") &amp; " to " &amp;
 TEXT(PERCENTILE(OFFSET(rngPSA.Samples.QALYs, 0, (D22-1)*6 + F22-1)-OFFSET(rngPSA.Samples.QALYs, 0, (D22-1)*6 + swtchResults.PSA.Baseline-1), 0.975), "0.000;−0.000") &amp; ")")</f>
        <v>(−0.197 to −0.040)</v>
      </c>
      <c r="AA22" s="245" cm="1">
        <f t="array" aca="1" ref="AA22" ca="1">IF(F22=swtchResults.PSA.Baseline, "-", Y22-W22/AA$7)</f>
        <v>-0.11886542737272092</v>
      </c>
      <c r="AB22" s="244" t="str" cm="1">
        <f t="array" aca="1" ref="AB22" ca="1">_xlfn.LET(_xlpm.arrNHB, (OFFSET(rngPSA.Samples.QALYs, 0, (D22-1)*6 + F22-1)-OFFSET(rngPSA.Samples.QALYs, 0, (D22-1)*6 + swtchResults.PSA.Baseline-1)) - (OFFSET(rngPSA.Samples.Costs, 0, (D22-1)*6 + F22-1)-OFFSET(rngPSA.Samples.Costs, 0, (D22-1)*6 + swtchResults.PSA.Baseline-1))/AA$7,
 IF(F22=swtchResults.PSA.Baseline, "-", "(" &amp;
 TEXT(PERCENTILE(_xlpm.arrNHB, 0.025), "0.000;−0.000") &amp; " to " &amp;
 TEXT(PERCENTILE(_xlpm.arrNHB, 0.975), "0.000;−0.000") &amp; ")"))</f>
        <v>(−0.216 to −0.042)</v>
      </c>
      <c r="AC22" s="245" cm="1">
        <f t="array" aca="1" ref="AC22" ca="1">IF(F22=swtchResults.PSA.Baseline, "-", Y22-W22/AC$7)</f>
        <v>-0.1154942589340722</v>
      </c>
      <c r="AD22" s="244" t="str" cm="1">
        <f t="array" aca="1" ref="AD22" ca="1">_xlfn.LET(_xlpm.arrNHB, (OFFSET(rngPSA.Samples.QALYs, 0, (D22-1)*6 + F22-1)-OFFSET(rngPSA.Samples.QALYs, 0, (D22-1)*6 + swtchResults.PSA.Baseline-1)) - (OFFSET(rngPSA.Samples.Costs, 0, (D22-1)*6 + F22-1)-OFFSET(rngPSA.Samples.Costs, 0, (D22-1)*6 + swtchResults.PSA.Baseline-1))/AC$7,
 IF(F22=swtchResults.PSA.Baseline, "-", "(" &amp;
 TEXT(PERCENTILE(_xlpm.arrNHB, 0.025), "0.000;−0.000") &amp; " to " &amp;
 TEXT(PERCENTILE(_xlpm.arrNHB, 0.975), "0.000;−0.000") &amp; ")"))</f>
        <v>(−0.210 to −0.041)</v>
      </c>
      <c r="AE22" s="229" t="str" cm="1">
        <f t="array" aca="1" ref="AE22" ca="1">IF(F22=swtchResults.PSA.Baseline, "ref", IF(AND(W22&lt;=0, Y22&gt;0), "dominant", IF(AND(W22&gt;0, Y22&lt;0), "dominated", W22/Y22)))</f>
        <v>dominated</v>
      </c>
      <c r="AF22" s="219"/>
      <c r="AG22" s="224">
        <v>2</v>
      </c>
      <c r="AH22" s="225" t="str">
        <f t="shared" si="0"/>
        <v>No HPE</v>
      </c>
      <c r="AI22" s="230" cm="1">
        <f t="array" aca="1" ref="AI22" ca="1">INDEX(OFFSET(rngPSA.MeanCosts.Root, 0, (D22-1)*6), AG22)</f>
        <v>50056.462465953744</v>
      </c>
      <c r="AJ22" s="230" t="str">
        <f ca="1">_xlfn.LET(_xlpm.arrCosts, OFFSET(rngPSA.Samples.Costs, 0, ($D22-1)*6 + $AG22-1),
"(" &amp;
 TEXT(PERCENTILE(_xlpm.arrCosts, 0.025), "£#,##0;−£#,##0") &amp; " to " &amp;
 TEXT(PERCENTILE(_xlpm.arrCosts, 0.975), "£#,##0;−£#,##0") &amp; ")")</f>
        <v>(£48,267 to £51,902)</v>
      </c>
      <c r="AK22" s="231" cm="1">
        <f t="array" aca="1" ref="AK22" ca="1">INDEX(OFFSET(rngPSA.MeanQALYs.Root, 0, (D22-1)*6), AG22)</f>
        <v>4.6328665062502372</v>
      </c>
      <c r="AL22" s="293" t="str">
        <f ca="1">_xlfn.LET(_xlpm.arrQALYs, OFFSET(rngPSA.Samples.QALYs, 0, ($D22-1)*6 + $AG22-1),
"(" &amp;
 TEXT(PERCENTILE(_xlpm.arrQALYs, 0.025), "0.000") &amp; " to " &amp;
 TEXT(PERCENTILE(_xlpm.arrQALYs, 0.975), "0.000") &amp; ")")</f>
        <v>(3.930 to 5.180)</v>
      </c>
      <c r="AM22" s="232" t="str">
        <f>IFERROR(INDEX(rngPSA.MeanLYs, AG22), "")</f>
        <v/>
      </c>
      <c r="AN22" s="213"/>
      <c r="AQ22" s="223"/>
    </row>
    <row r="23" spans="4:43" ht="12" customHeight="1" thickBot="1" x14ac:dyDescent="0.3">
      <c r="D23" s="10">
        <f t="shared" si="1"/>
        <v>6</v>
      </c>
      <c r="E23" s="59"/>
      <c r="F23" s="481" t="str" cm="1">
        <f t="array" ref="F23">INDEX(lstQs, D23)</f>
        <v>Expected harm in England: query A</v>
      </c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  <c r="V23" s="482"/>
      <c r="W23" s="482"/>
      <c r="X23" s="482"/>
      <c r="Y23" s="482"/>
      <c r="Z23" s="482"/>
      <c r="AA23" s="482"/>
      <c r="AB23" s="482"/>
      <c r="AC23" s="482"/>
      <c r="AD23" s="482"/>
      <c r="AE23" s="482"/>
      <c r="AF23" s="482"/>
      <c r="AG23" s="482"/>
      <c r="AH23" s="482"/>
      <c r="AI23" s="482"/>
      <c r="AJ23" s="482"/>
      <c r="AK23" s="482"/>
      <c r="AL23" s="482"/>
      <c r="AM23" s="483"/>
      <c r="AN23" s="10"/>
    </row>
    <row r="24" spans="4:43" ht="12" customHeight="1" x14ac:dyDescent="0.25">
      <c r="D24" s="10">
        <f t="shared" si="1"/>
        <v>6</v>
      </c>
      <c r="E24" s="59"/>
      <c r="F24" s="215">
        <f ca="1">MATCH(SMALL(AI24:AI25, AG24), AI24:AI25, 0)</f>
        <v>2</v>
      </c>
      <c r="G24" s="216" t="str" cm="1">
        <f t="array" aca="1" ref="G24" ca="1">INDEX(rngStrats, F24)</f>
        <v>No HPE</v>
      </c>
      <c r="H24" s="234" cm="1">
        <f t="array" aca="1" ref="H24" ca="1">IFERROR(INDEX(AI24:AI25, F24), "")</f>
        <v>0</v>
      </c>
      <c r="I24" s="235" t="str">
        <f ca="1">_xlfn.LET(_xlpm.arrCosts, OFFSET(rngPSA.Samples.Costs, 0, (D24-1)*6 + F24-1),
"(" &amp;
 TEXT(PERCENTILE(_xlpm.arrCosts, 0.025), "£#,##0;−£#,##0") &amp; " to " &amp;
 TEXT(PERCENTILE(_xlpm.arrCosts, 0.975), "£#,##0;−£#,##0") &amp; ")")</f>
        <v>(£0 to £0)</v>
      </c>
      <c r="J24" s="236" cm="1">
        <f t="array" aca="1" ref="J24" ca="1">IFERROR(INDEX(AK24:AK25, F24), "")</f>
        <v>0</v>
      </c>
      <c r="K24" s="237" t="str">
        <f ca="1">_xlfn.LET(_xlpm.arrQALYs, OFFSET(rngPSA.Samples.QALYs, 0, (D24-1)*6 + F24-1),
"(" &amp;
 TEXT(PERCENTILE(_xlpm.arrQALYs, 0.025), "0.000") &amp; " to " &amp;
 TEXT(PERCENTILE(_xlpm.arrQALYs, 0.975), "0.000") &amp; ")")</f>
        <v>(0.000 to 0.000)</v>
      </c>
      <c r="L24" s="236">
        <f t="shared" ca="1" si="2"/>
        <v>0</v>
      </c>
      <c r="M24" s="237" t="str" cm="1">
        <f t="array" aca="1" ref="M24" ca="1">_xlfn.LET(_xlpm.arrNHB, OFFSET(rngPSA.Samples.QALYs, 0, (D24-1)*6 + F24-1) - OFFSET(rngPSA.Samples.Costs, 0, (D24-1)*6 + F24-1)/L$6,
"(" &amp;
 TEXT(PERCENTILE(_xlpm.arrNHB, 0.025), "0.000") &amp; " to " &amp;
 TEXT(PERCENTILE(_xlpm.arrNHB, 0.975), "0.000") &amp; ")")</f>
        <v>(0.000 to 0.000)</v>
      </c>
      <c r="N24" s="236">
        <f t="shared" ca="1" si="3"/>
        <v>0</v>
      </c>
      <c r="O24" s="237" t="str" cm="1">
        <f t="array" aca="1" ref="O24" ca="1">_xlfn.LET(_xlpm.arrNHB, OFFSET(rngPSA.Samples.QALYs, 0, (D24-1)*6 + F24-1) - OFFSET(rngPSA.Samples.Costs, 0, (D24-1)*6 + F24-1)/N$6,
"(" &amp;
 TEXT(PERCENTILE(_xlpm.arrNHB, 0.025), "0.000") &amp; " to " &amp;
 TEXT(PERCENTILE(_xlpm.arrNHB, 0.975), "0.000") &amp; ")")</f>
        <v>(0.000 to 0.000)</v>
      </c>
      <c r="P24" s="217"/>
      <c r="Q24" s="234" t="str">
        <f>IF($AG24=1, "", H24-H22)</f>
        <v/>
      </c>
      <c r="R24" s="235" t="str" cm="1">
        <f t="array" aca="1" ref="R24" ca="1">_xlfn.LET(_xlpm.arrIncCosts, OFFSET(rngPSA.Samples.Costs, 0, ($D24-1)*6 + $F24-1)-OFFSET(rngPSA.Samples.Costs, 0, ($D24-1)*6 + $F22-1),
IF(AG24=1, "", "(" &amp;
 TEXT(PERCENTILE(_xlpm.arrIncCosts, 0.025), "£#,##0;−£#,##0") &amp; " to " &amp;
 TEXT(PERCENTILE(_xlpm.arrIncCosts, 0.975), "£#,##0;−£#,##0") &amp; ")"))</f>
        <v/>
      </c>
      <c r="S24" s="236" t="str">
        <f>IF($AG24=1, "", J24-J22)</f>
        <v/>
      </c>
      <c r="T24" s="235" t="str" cm="1">
        <f t="array" aca="1" ref="T24" ca="1">_xlfn.LET(_xlpm.arrIncQALYs, OFFSET(rngPSA.Samples.QALYs, 0, ($D24-1)*6 + $F24-1)-OFFSET(rngPSA.Samples.QALYs, 0, ($D24-1)*6 + $F22-1),
IF($AG24=1, "", "(" &amp;
 TEXT(PERCENTILE(_xlpm.arrIncQALYs, 0.025), "0.000;−0.000") &amp; " to " &amp;
 TEXT(PERCENTILE(_xlpm.arrIncQALYs, 0.975), "0.000;−0.000") &amp; ")"))</f>
        <v/>
      </c>
      <c r="U24" s="275" t="str">
        <f>IF($AG24=1, "", IF(AND(Q24&gt;0, S24&lt;0), "dominated", Q24/S24))</f>
        <v/>
      </c>
      <c r="V24" s="274"/>
      <c r="W24" s="234" t="str" cm="1">
        <f t="array" aca="1" ref="W24" ca="1">IF(F24=swtchResults.PSA.Baseline, "-", H24-INDEX(AI24:AI25, swtchResults.PSA.Baseline))</f>
        <v>-</v>
      </c>
      <c r="X24" s="238" t="str" cm="1">
        <f t="array" aca="1" ref="X24" ca="1">IF(F24=swtchResults.PSA.Baseline, "-", "(" &amp;
 TEXT(PERCENTILE(OFFSET(rngPSA.Samples.Costs, 0, (D24-1)*6 + F24-1)-OFFSET(rngPSA.Samples.Costs, 0, (D24-1)*6 + swtchResults.PSA.Baseline-1), 0.025), "£#,##0;−£#,##0") &amp; " to " &amp;
 TEXT(PERCENTILE(OFFSET(rngPSA.Samples.Costs, 0, (D24-1)*6 + F24-1)-OFFSET(rngPSA.Samples.Costs, 0, (D24-1)*6 + swtchResults.PSA.Baseline-1), 0.975), "£#,##0;−£#,##0") &amp; ")")</f>
        <v>-</v>
      </c>
      <c r="Y24" s="236" t="str" cm="1">
        <f t="array" aca="1" ref="Y24" ca="1">IF(F24=swtchResults.PSA.Baseline, "-", J24-INDEX(AK24:AK25, swtchResults.PSA.Baseline))</f>
        <v>-</v>
      </c>
      <c r="Z24" s="238" t="str" cm="1">
        <f t="array" aca="1" ref="Z24" ca="1">IF(F24=swtchResults.PSA.Baseline, "-", "(" &amp;
 TEXT(PERCENTILE(OFFSET(rngPSA.Samples.QALYs, 0, (D24-1)*6 + F24-1)-OFFSET(rngPSA.Samples.QALYs, 0, (D24-1)*6 + swtchResults.PSA.Baseline-1), 0.025), "0.000;−0.000") &amp; " to " &amp;
 TEXT(PERCENTILE(OFFSET(rngPSA.Samples.QALYs, 0, (D24-1)*6 + F24-1)-OFFSET(rngPSA.Samples.QALYs, 0, (D24-1)*6 + swtchResults.PSA.Baseline-1), 0.975), "0.000;−0.000") &amp; ")")</f>
        <v>-</v>
      </c>
      <c r="AA24" s="239" t="str" cm="1">
        <f t="array" aca="1" ref="AA24" ca="1">IF(F24=swtchResults.PSA.Baseline, "-", Y24-W24/AA$7)</f>
        <v>-</v>
      </c>
      <c r="AB24" s="238" t="str" cm="1">
        <f t="array" aca="1" ref="AB24" ca="1">_xlfn.LET(_xlpm.arrNHB, (OFFSET(rngPSA.Samples.QALYs, 0, (D24-1)*6 + F24-1)-OFFSET(rngPSA.Samples.QALYs, 0, (D24-1)*6 + swtchResults.PSA.Baseline-1)) - (OFFSET(rngPSA.Samples.Costs, 0, (D24-1)*6 + F24-1)-OFFSET(rngPSA.Samples.Costs, 0, (D24-1)*6 + swtchResults.PSA.Baseline-1))/AA$7,
 IF(F24=swtchResults.PSA.Baseline, "-", "(" &amp;
 TEXT(PERCENTILE(_xlpm.arrNHB, 0.025), "0.000;−0.000") &amp; " to " &amp;
 TEXT(PERCENTILE(_xlpm.arrNHB, 0.975), "0.000;−0.000") &amp; ")"))</f>
        <v>-</v>
      </c>
      <c r="AC24" s="239" t="str" cm="1">
        <f t="array" aca="1" ref="AC24" ca="1">IF(F24=swtchResults.PSA.Baseline, "-", Y24-W24/AC$7)</f>
        <v>-</v>
      </c>
      <c r="AD24" s="238" t="str" cm="1">
        <f t="array" aca="1" ref="AD24" ca="1">_xlfn.LET(_xlpm.arrNHB, (OFFSET(rngPSA.Samples.QALYs, 0, (D24-1)*6 + F24-1)-OFFSET(rngPSA.Samples.QALYs, 0, (D24-1)*6 + swtchResults.PSA.Baseline-1)) - (OFFSET(rngPSA.Samples.Costs, 0, (D24-1)*6 + F24-1)-OFFSET(rngPSA.Samples.Costs, 0, (D24-1)*6 + swtchResults.PSA.Baseline-1))/AC$7,
 IF(F24=swtchResults.PSA.Baseline, "-", "(" &amp;
 TEXT(PERCENTILE(_xlpm.arrNHB, 0.025), "0.000;−0.000") &amp; " to " &amp;
 TEXT(PERCENTILE(_xlpm.arrNHB, 0.975), "0.000;−0.000") &amp; ")"))</f>
        <v>-</v>
      </c>
      <c r="AE24" s="218" t="str" cm="1">
        <f t="array" aca="1" ref="AE24" ca="1">IF(F24=swtchResults.PSA.Baseline, "ref", IF(AND(W24&lt;=0, Y24&gt;0), "dominant", IF(AND(W24&gt;0, Y24&lt;0), "dominated", W24/Y24)))</f>
        <v>ref</v>
      </c>
      <c r="AF24" s="219"/>
      <c r="AG24" s="215">
        <v>1</v>
      </c>
      <c r="AH24" s="216" t="str">
        <f t="shared" si="0"/>
        <v>HPE</v>
      </c>
      <c r="AI24" s="220" cm="1">
        <f t="array" aca="1" ref="AI24" ca="1">INDEX(OFFSET(rngPSA.MeanCosts.Root, 0, (D24-1)*6), AG24)</f>
        <v>2535968.0564504988</v>
      </c>
      <c r="AJ24" s="220" t="str">
        <f ca="1">_xlfn.LET(_xlpm.arrCosts, OFFSET(rngPSA.Samples.Costs, 0, ($D24-1)*6 + $AG24-1),
"(" &amp;
 TEXT(PERCENTILE(_xlpm.arrCosts, 0.025), "£#,##0;−£#,##0") &amp; " to " &amp;
 TEXT(PERCENTILE(_xlpm.arrCosts, 0.975), "£#,##0;−£#,##0") &amp; ")")</f>
        <v>(£717,761 to £4,664,682)</v>
      </c>
      <c r="AK24" s="221" cm="1">
        <f t="array" aca="1" ref="AK24" ca="1">INDEX(OFFSET(rngPSA.MeanQALYs.Root, 0, (D24-1)*6), AG24)</f>
        <v>-1801.3066895343882</v>
      </c>
      <c r="AL24" s="292" t="str">
        <f ca="1">_xlfn.LET(_xlpm.arrQALYs, OFFSET(rngPSA.Samples.QALYs, 0, ($D24-1)*6 + $AG24-1),
"(" &amp;
 TEXT(PERCENTILE(_xlpm.arrQALYs, 0.025), "0.000") &amp; " to " &amp;
 TEXT(PERCENTILE(_xlpm.arrQALYs, 0.975), "0.000") &amp; ")")</f>
        <v>(-2306.289 to -1314.913)</v>
      </c>
      <c r="AM24" s="222" t="str">
        <f>IFERROR(INDEX(rngPSA.MeanLYs, AG24), "")</f>
        <v/>
      </c>
      <c r="AN24" s="213"/>
      <c r="AQ24" s="223"/>
    </row>
    <row r="25" spans="4:43" ht="12" customHeight="1" thickBot="1" x14ac:dyDescent="0.3">
      <c r="D25" s="10">
        <f t="shared" si="1"/>
        <v>6</v>
      </c>
      <c r="E25" s="59"/>
      <c r="F25" s="224">
        <f ca="1">MATCH(SMALL(AI24:AI25, AG25), AI24:AI25, 0)</f>
        <v>1</v>
      </c>
      <c r="G25" s="225" t="str" cm="1">
        <f t="array" aca="1" ref="G25" ca="1">INDEX(rngStrats, F25)</f>
        <v>HPE</v>
      </c>
      <c r="H25" s="240" cm="1">
        <f t="array" aca="1" ref="H25" ca="1">IFERROR(INDEX(AI24:AI25, F25), "")</f>
        <v>2535968.0564504988</v>
      </c>
      <c r="I25" s="241" t="str">
        <f ca="1">_xlfn.LET(_xlpm.arrCosts, OFFSET(rngPSA.Samples.Costs, 0, (D25-1)*6 + F25-1),
"(" &amp;
 TEXT(PERCENTILE(_xlpm.arrCosts, 0.025), "£#,##0;−£#,##0") &amp; " to " &amp;
 TEXT(PERCENTILE(_xlpm.arrCosts, 0.975), "£#,##0;−£#,##0") &amp; ")")</f>
        <v>(£717,761 to £4,664,682)</v>
      </c>
      <c r="J25" s="243" cm="1">
        <f t="array" aca="1" ref="J25" ca="1">IFERROR(INDEX(AK24:AK25, F25), "")</f>
        <v>-1801.3066895343882</v>
      </c>
      <c r="K25" s="242" t="str">
        <f ca="1">_xlfn.LET(_xlpm.arrQALYs, OFFSET(rngPSA.Samples.QALYs, 0, (D25-1)*6 + F25-1),
"(" &amp;
 TEXT(PERCENTILE(_xlpm.arrQALYs, 0.025), "0.000") &amp; " to " &amp;
 TEXT(PERCENTILE(_xlpm.arrQALYs, 0.975), "0.000") &amp; ")")</f>
        <v>(-2306.289 to -1314.913)</v>
      </c>
      <c r="L25" s="243">
        <f t="shared" ca="1" si="2"/>
        <v>-1928.105092356913</v>
      </c>
      <c r="M25" s="244" t="str" cm="1">
        <f t="array" aca="1" ref="M25" ca="1">_xlfn.LET(_xlpm.arrNHB, OFFSET(rngPSA.Samples.QALYs, 0, (D25-1)*6 + F25-1) - OFFSET(rngPSA.Samples.Costs, 0, (D25-1)*6 + F25-1)/L$6,
"(" &amp;
 TEXT(PERCENTILE(_xlpm.arrNHB, 0.025), "0.000") &amp; " to " &amp;
 TEXT(PERCENTILE(_xlpm.arrNHB, 0.975), "0.000") &amp; ")")</f>
        <v>(-2459.522 to -1396.756)</v>
      </c>
      <c r="N25" s="243">
        <f t="shared" ca="1" si="3"/>
        <v>-1885.8389580827381</v>
      </c>
      <c r="O25" s="244" t="str" cm="1">
        <f t="array" aca="1" ref="O25" ca="1">_xlfn.LET(_xlpm.arrNHB, OFFSET(rngPSA.Samples.QALYs, 0, (D25-1)*6 + F25-1) - OFFSET(rngPSA.Samples.Costs, 0, (D25-1)*6 + F25-1)/N$6,
"(" &amp;
 TEXT(PERCENTILE(_xlpm.arrNHB, 0.025), "0.000") &amp; " to " &amp;
 TEXT(PERCENTILE(_xlpm.arrNHB, 0.975), "0.000") &amp; ")")</f>
        <v>(-2417.061 to -1369.429)</v>
      </c>
      <c r="P25" s="228"/>
      <c r="Q25" s="240">
        <f ca="1">IF($AG25=1, "", H25-H24)</f>
        <v>2535968.0564504988</v>
      </c>
      <c r="R25" s="241" t="str" cm="1">
        <f t="array" aca="1" ref="R25" ca="1">_xlfn.LET(_xlpm.arrIncCosts, OFFSET(rngPSA.Samples.Costs, 0, ($D25-1)*6 + $F25-1)-OFFSET(rngPSA.Samples.Costs, 0, ($D25-1)*6 + $F24-1),
IF(AG25=1, "", "(" &amp;
 TEXT(PERCENTILE(_xlpm.arrIncCosts, 0.025), "£#,##0;−£#,##0") &amp; " to " &amp;
 TEXT(PERCENTILE(_xlpm.arrIncCosts, 0.975), "£#,##0;−£#,##0") &amp; ")"))</f>
        <v>(£717,761 to £4,664,682)</v>
      </c>
      <c r="S25" s="243">
        <f ca="1">IF($AG25=1, "", J25-J24)</f>
        <v>-1801.3066895343882</v>
      </c>
      <c r="T25" s="241" t="str" cm="1">
        <f t="array" aca="1" ref="T25" ca="1">_xlfn.LET(_xlpm.arrIncQALYs, OFFSET(rngPSA.Samples.QALYs, 0, ($D25-1)*6 + $F25-1)-OFFSET(rngPSA.Samples.QALYs, 0, ($D25-1)*6 + $F24-1),
IF($AG25=1, "", "(" &amp;
 TEXT(PERCENTILE(_xlpm.arrIncQALYs, 0.025), "0.000;−0.000") &amp; " to " &amp;
 TEXT(PERCENTILE(_xlpm.arrIncQALYs, 0.975), "0.000;−0.000") &amp; ")"))</f>
        <v>(−2306.289 to −1314.913)</v>
      </c>
      <c r="U25" s="273" t="str">
        <f ca="1">IF($AG25=1, "", IF(AND(Q25&gt;0, S25&lt;0), "dominated", Q25/S25))</f>
        <v>dominated</v>
      </c>
      <c r="V25" s="272"/>
      <c r="W25" s="240" cm="1">
        <f t="array" aca="1" ref="W25" ca="1">IF(F25=swtchResults.PSA.Baseline, "-", H25-INDEX(AI24:AI25, swtchResults.PSA.Baseline))</f>
        <v>2535968.0564504988</v>
      </c>
      <c r="X25" s="241" t="str" cm="1">
        <f t="array" aca="1" ref="X25" ca="1">IF(F25=swtchResults.PSA.Baseline, "-", "(" &amp;
 TEXT(PERCENTILE(OFFSET(rngPSA.Samples.Costs, 0, (D25-1)*6 + F25-1)-OFFSET(rngPSA.Samples.Costs, 0, (D25-1)*6 + swtchResults.PSA.Baseline-1), 0.025), "£#,##0;−£#,##0") &amp; " to " &amp;
 TEXT(PERCENTILE(OFFSET(rngPSA.Samples.Costs, 0, (D25-1)*6 + F25-1)-OFFSET(rngPSA.Samples.Costs, 0, (D25-1)*6 + swtchResults.PSA.Baseline-1), 0.975), "£#,##0;−£#,##0") &amp; ")")</f>
        <v>(£717,761 to £4,664,682)</v>
      </c>
      <c r="Y25" s="243" cm="1">
        <f t="array" aca="1" ref="Y25" ca="1">IF(F25=swtchResults.PSA.Baseline, "-", J25-INDEX(AK24:AK25, swtchResults.PSA.Baseline))</f>
        <v>-1801.3066895343882</v>
      </c>
      <c r="Z25" s="244" t="str" cm="1">
        <f t="array" aca="1" ref="Z25" ca="1">IF(F25=swtchResults.PSA.Baseline, "-", "(" &amp;
 TEXT(PERCENTILE(OFFSET(rngPSA.Samples.QALYs, 0, (D25-1)*6 + F25-1)-OFFSET(rngPSA.Samples.QALYs, 0, (D25-1)*6 + swtchResults.PSA.Baseline-1), 0.025), "0.000;−0.000") &amp; " to " &amp;
 TEXT(PERCENTILE(OFFSET(rngPSA.Samples.QALYs, 0, (D25-1)*6 + F25-1)-OFFSET(rngPSA.Samples.QALYs, 0, (D25-1)*6 + swtchResults.PSA.Baseline-1), 0.975), "0.000;−0.000") &amp; ")")</f>
        <v>(−2306.289 to −1314.913)</v>
      </c>
      <c r="AA25" s="245" cm="1">
        <f t="array" aca="1" ref="AA25" ca="1">IF(F25=swtchResults.PSA.Baseline, "-", Y25-W25/AA$7)</f>
        <v>-1928.105092356913</v>
      </c>
      <c r="AB25" s="244" t="str" cm="1">
        <f t="array" aca="1" ref="AB25" ca="1">_xlfn.LET(_xlpm.arrNHB, (OFFSET(rngPSA.Samples.QALYs, 0, (D25-1)*6 + F25-1)-OFFSET(rngPSA.Samples.QALYs, 0, (D25-1)*6 + swtchResults.PSA.Baseline-1)) - (OFFSET(rngPSA.Samples.Costs, 0, (D25-1)*6 + F25-1)-OFFSET(rngPSA.Samples.Costs, 0, (D25-1)*6 + swtchResults.PSA.Baseline-1))/AA$7,
 IF(F25=swtchResults.PSA.Baseline, "-", "(" &amp;
 TEXT(PERCENTILE(_xlpm.arrNHB, 0.025), "0.000;−0.000") &amp; " to " &amp;
 TEXT(PERCENTILE(_xlpm.arrNHB, 0.975), "0.000;−0.000") &amp; ")"))</f>
        <v>(−2459.522 to −1396.756)</v>
      </c>
      <c r="AC25" s="245" cm="1">
        <f t="array" aca="1" ref="AC25" ca="1">IF(F25=swtchResults.PSA.Baseline, "-", Y25-W25/AC$7)</f>
        <v>-1885.8389580827381</v>
      </c>
      <c r="AD25" s="244" t="str" cm="1">
        <f t="array" aca="1" ref="AD25" ca="1">_xlfn.LET(_xlpm.arrNHB, (OFFSET(rngPSA.Samples.QALYs, 0, (D25-1)*6 + F25-1)-OFFSET(rngPSA.Samples.QALYs, 0, (D25-1)*6 + swtchResults.PSA.Baseline-1)) - (OFFSET(rngPSA.Samples.Costs, 0, (D25-1)*6 + F25-1)-OFFSET(rngPSA.Samples.Costs, 0, (D25-1)*6 + swtchResults.PSA.Baseline-1))/AC$7,
 IF(F25=swtchResults.PSA.Baseline, "-", "(" &amp;
 TEXT(PERCENTILE(_xlpm.arrNHB, 0.025), "0.000;−0.000") &amp; " to " &amp;
 TEXT(PERCENTILE(_xlpm.arrNHB, 0.975), "0.000;−0.000") &amp; ")"))</f>
        <v>(−2417.061 to −1369.429)</v>
      </c>
      <c r="AE25" s="229" t="str" cm="1">
        <f t="array" aca="1" ref="AE25" ca="1">IF(F25=swtchResults.PSA.Baseline, "ref", IF(AND(W25&lt;=0, Y25&gt;0), "dominant", IF(AND(W25&gt;0, Y25&lt;0), "dominated", W25/Y25)))</f>
        <v>dominated</v>
      </c>
      <c r="AF25" s="219"/>
      <c r="AG25" s="224">
        <v>2</v>
      </c>
      <c r="AH25" s="225" t="str">
        <f t="shared" si="0"/>
        <v>No HPE</v>
      </c>
      <c r="AI25" s="230" cm="1">
        <f t="array" aca="1" ref="AI25" ca="1">INDEX(OFFSET(rngPSA.MeanCosts.Root, 0, (D25-1)*6), AG25)</f>
        <v>0</v>
      </c>
      <c r="AJ25" s="230" t="str">
        <f ca="1">_xlfn.LET(_xlpm.arrCosts, OFFSET(rngPSA.Samples.Costs, 0, ($D25-1)*6 + $AG25-1),
"(" &amp;
 TEXT(PERCENTILE(_xlpm.arrCosts, 0.025), "£#,##0;−£#,##0") &amp; " to " &amp;
 TEXT(PERCENTILE(_xlpm.arrCosts, 0.975), "£#,##0;−£#,##0") &amp; ")")</f>
        <v>(£0 to £0)</v>
      </c>
      <c r="AK25" s="231" cm="1">
        <f t="array" aca="1" ref="AK25" ca="1">INDEX(OFFSET(rngPSA.MeanQALYs.Root, 0, (D25-1)*6), AG25)</f>
        <v>0</v>
      </c>
      <c r="AL25" s="293" t="str">
        <f ca="1">_xlfn.LET(_xlpm.arrQALYs, OFFSET(rngPSA.Samples.QALYs, 0, ($D25-1)*6 + $AG25-1),
"(" &amp;
 TEXT(PERCENTILE(_xlpm.arrQALYs, 0.025), "0.000") &amp; " to " &amp;
 TEXT(PERCENTILE(_xlpm.arrQALYs, 0.975), "0.000") &amp; ")")</f>
        <v>(0.000 to 0.000)</v>
      </c>
      <c r="AM25" s="232" t="str">
        <f>IFERROR(INDEX(rngPSA.MeanLYs, AG25), "")</f>
        <v/>
      </c>
      <c r="AN25" s="213"/>
      <c r="AQ25" s="223"/>
    </row>
    <row r="26" spans="4:43" ht="12" customHeight="1" thickBot="1" x14ac:dyDescent="0.3">
      <c r="D26" s="10">
        <f t="shared" si="1"/>
        <v>7</v>
      </c>
      <c r="E26" s="59"/>
      <c r="F26" s="481" t="str" cm="1">
        <f t="array" ref="F26">INDEX(lstQs, D26)</f>
        <v>Expected harm in England: query B</v>
      </c>
      <c r="G26" s="482"/>
      <c r="H26" s="482"/>
      <c r="I26" s="482"/>
      <c r="J26" s="482"/>
      <c r="K26" s="482"/>
      <c r="L26" s="482"/>
      <c r="M26" s="482"/>
      <c r="N26" s="482"/>
      <c r="O26" s="482"/>
      <c r="P26" s="482"/>
      <c r="Q26" s="482"/>
      <c r="R26" s="482"/>
      <c r="S26" s="482"/>
      <c r="T26" s="482"/>
      <c r="U26" s="482"/>
      <c r="V26" s="482"/>
      <c r="W26" s="482"/>
      <c r="X26" s="482"/>
      <c r="Y26" s="482"/>
      <c r="Z26" s="482"/>
      <c r="AA26" s="482"/>
      <c r="AB26" s="482"/>
      <c r="AC26" s="482"/>
      <c r="AD26" s="482"/>
      <c r="AE26" s="482"/>
      <c r="AF26" s="482"/>
      <c r="AG26" s="482"/>
      <c r="AH26" s="482"/>
      <c r="AI26" s="482"/>
      <c r="AJ26" s="482"/>
      <c r="AK26" s="482"/>
      <c r="AL26" s="482"/>
      <c r="AM26" s="483"/>
      <c r="AN26" s="10"/>
    </row>
    <row r="27" spans="4:43" ht="12" customHeight="1" x14ac:dyDescent="0.25">
      <c r="D27" s="10">
        <f t="shared" si="1"/>
        <v>7</v>
      </c>
      <c r="E27" s="59"/>
      <c r="F27" s="215">
        <f ca="1">MATCH(SMALL(AI27:AI28, AG27), AI27:AI28, 0)</f>
        <v>2</v>
      </c>
      <c r="G27" s="216" t="str" cm="1">
        <f t="array" aca="1" ref="G27" ca="1">INDEX(rngStrats, F27)</f>
        <v>No HPE</v>
      </c>
      <c r="H27" s="234" cm="1">
        <f t="array" aca="1" ref="H27" ca="1">IFERROR(INDEX(AI27:AI28, F27), "")</f>
        <v>0</v>
      </c>
      <c r="I27" s="235" t="str">
        <f ca="1">_xlfn.LET(_xlpm.arrCosts, OFFSET(rngPSA.Samples.Costs, 0, (D27-1)*6 + F27-1),
"(" &amp;
 TEXT(PERCENTILE(_xlpm.arrCosts, 0.025), "£#,##0;−£#,##0") &amp; " to " &amp;
 TEXT(PERCENTILE(_xlpm.arrCosts, 0.975), "£#,##0;−£#,##0") &amp; ")")</f>
        <v>(£0 to £0)</v>
      </c>
      <c r="J27" s="236" cm="1">
        <f t="array" aca="1" ref="J27" ca="1">IFERROR(INDEX(AK27:AK28, F27), "")</f>
        <v>0</v>
      </c>
      <c r="K27" s="237" t="str">
        <f ca="1">_xlfn.LET(_xlpm.arrQALYs, OFFSET(rngPSA.Samples.QALYs, 0, (D27-1)*6 + F27-1),
"(" &amp;
 TEXT(PERCENTILE(_xlpm.arrQALYs, 0.025), "0.000") &amp; " to " &amp;
 TEXT(PERCENTILE(_xlpm.arrQALYs, 0.975), "0.000") &amp; ")")</f>
        <v>(0.000 to 0.000)</v>
      </c>
      <c r="L27" s="236">
        <f t="shared" ca="1" si="2"/>
        <v>0</v>
      </c>
      <c r="M27" s="237" t="str" cm="1">
        <f t="array" aca="1" ref="M27" ca="1">_xlfn.LET(_xlpm.arrNHB, OFFSET(rngPSA.Samples.QALYs, 0, (D27-1)*6 + F27-1) - OFFSET(rngPSA.Samples.Costs, 0, (D27-1)*6 + F27-1)/L$6,
"(" &amp;
 TEXT(PERCENTILE(_xlpm.arrNHB, 0.025), "0.000") &amp; " to " &amp;
 TEXT(PERCENTILE(_xlpm.arrNHB, 0.975), "0.000") &amp; ")")</f>
        <v>(0.000 to 0.000)</v>
      </c>
      <c r="N27" s="236">
        <f t="shared" ca="1" si="3"/>
        <v>0</v>
      </c>
      <c r="O27" s="237" t="str" cm="1">
        <f t="array" aca="1" ref="O27" ca="1">_xlfn.LET(_xlpm.arrNHB, OFFSET(rngPSA.Samples.QALYs, 0, (D27-1)*6 + F27-1) - OFFSET(rngPSA.Samples.Costs, 0, (D27-1)*6 + F27-1)/N$6,
"(" &amp;
 TEXT(PERCENTILE(_xlpm.arrNHB, 0.025), "0.000") &amp; " to " &amp;
 TEXT(PERCENTILE(_xlpm.arrNHB, 0.975), "0.000") &amp; ")")</f>
        <v>(0.000 to 0.000)</v>
      </c>
      <c r="P27" s="217"/>
      <c r="Q27" s="234" t="str">
        <f>IF($AG27=1, "", H27-H25)</f>
        <v/>
      </c>
      <c r="R27" s="235" t="str" cm="1">
        <f t="array" aca="1" ref="R27" ca="1">_xlfn.LET(_xlpm.arrIncCosts, OFFSET(rngPSA.Samples.Costs, 0, ($D27-1)*6 + $F27-1)-OFFSET(rngPSA.Samples.Costs, 0, ($D27-1)*6 + $F25-1),
IF(AG27=1, "", "(" &amp;
 TEXT(PERCENTILE(_xlpm.arrIncCosts, 0.025), "£#,##0;−£#,##0") &amp; " to " &amp;
 TEXT(PERCENTILE(_xlpm.arrIncCosts, 0.975), "£#,##0;−£#,##0") &amp; ")"))</f>
        <v/>
      </c>
      <c r="S27" s="236" t="str">
        <f>IF($AG27=1, "", J27-J25)</f>
        <v/>
      </c>
      <c r="T27" s="235" t="str" cm="1">
        <f t="array" aca="1" ref="T27" ca="1">_xlfn.LET(_xlpm.arrIncQALYs, OFFSET(rngPSA.Samples.QALYs, 0, ($D27-1)*6 + $F27-1)-OFFSET(rngPSA.Samples.QALYs, 0, ($D27-1)*6 + $F25-1),
IF($AG27=1, "", "(" &amp;
 TEXT(PERCENTILE(_xlpm.arrIncQALYs, 0.025), "0.000;−0.000") &amp; " to " &amp;
 TEXT(PERCENTILE(_xlpm.arrIncQALYs, 0.975), "0.000;−0.000") &amp; ")"))</f>
        <v/>
      </c>
      <c r="U27" s="275" t="str">
        <f>IF($AG27=1, "", IF(AND(Q27&gt;0, S27&lt;0), "dominated", Q27/S27))</f>
        <v/>
      </c>
      <c r="V27" s="274"/>
      <c r="W27" s="234" t="str" cm="1">
        <f t="array" aca="1" ref="W27" ca="1">IF(F27=swtchResults.PSA.Baseline, "-", H27-INDEX(AI27:AI28, swtchResults.PSA.Baseline))</f>
        <v>-</v>
      </c>
      <c r="X27" s="238" t="str" cm="1">
        <f t="array" aca="1" ref="X27" ca="1">IF(F27=swtchResults.PSA.Baseline, "-", "(" &amp;
 TEXT(PERCENTILE(OFFSET(rngPSA.Samples.Costs, 0, (D27-1)*6 + F27-1)-OFFSET(rngPSA.Samples.Costs, 0, (D27-1)*6 + swtchResults.PSA.Baseline-1), 0.025), "£#,##0;−£#,##0") &amp; " to " &amp;
 TEXT(PERCENTILE(OFFSET(rngPSA.Samples.Costs, 0, (D27-1)*6 + F27-1)-OFFSET(rngPSA.Samples.Costs, 0, (D27-1)*6 + swtchResults.PSA.Baseline-1), 0.975), "£#,##0;−£#,##0") &amp; ")")</f>
        <v>-</v>
      </c>
      <c r="Y27" s="236" t="str" cm="1">
        <f t="array" aca="1" ref="Y27" ca="1">IF(F27=swtchResults.PSA.Baseline, "-", J27-INDEX(AK27:AK28, swtchResults.PSA.Baseline))</f>
        <v>-</v>
      </c>
      <c r="Z27" s="238" t="str" cm="1">
        <f t="array" aca="1" ref="Z27" ca="1">IF(F27=swtchResults.PSA.Baseline, "-", "(" &amp;
 TEXT(PERCENTILE(OFFSET(rngPSA.Samples.QALYs, 0, (D27-1)*6 + F27-1)-OFFSET(rngPSA.Samples.QALYs, 0, (D27-1)*6 + swtchResults.PSA.Baseline-1), 0.025), "0.000;−0.000") &amp; " to " &amp;
 TEXT(PERCENTILE(OFFSET(rngPSA.Samples.QALYs, 0, (D27-1)*6 + F27-1)-OFFSET(rngPSA.Samples.QALYs, 0, (D27-1)*6 + swtchResults.PSA.Baseline-1), 0.975), "0.000;−0.000") &amp; ")")</f>
        <v>-</v>
      </c>
      <c r="AA27" s="239" t="str" cm="1">
        <f t="array" aca="1" ref="AA27" ca="1">IF(F27=swtchResults.PSA.Baseline, "-", Y27-W27/AA$7)</f>
        <v>-</v>
      </c>
      <c r="AB27" s="238" t="str" cm="1">
        <f t="array" aca="1" ref="AB27" ca="1">_xlfn.LET(_xlpm.arrNHB, (OFFSET(rngPSA.Samples.QALYs, 0, (D27-1)*6 + F27-1)-OFFSET(rngPSA.Samples.QALYs, 0, (D27-1)*6 + swtchResults.PSA.Baseline-1)) - (OFFSET(rngPSA.Samples.Costs, 0, (D27-1)*6 + F27-1)-OFFSET(rngPSA.Samples.Costs, 0, (D27-1)*6 + swtchResults.PSA.Baseline-1))/AA$7,
 IF(F27=swtchResults.PSA.Baseline, "-", "(" &amp;
 TEXT(PERCENTILE(_xlpm.arrNHB, 0.025), "0.000;−0.000") &amp; " to " &amp;
 TEXT(PERCENTILE(_xlpm.arrNHB, 0.975), "0.000;−0.000") &amp; ")"))</f>
        <v>-</v>
      </c>
      <c r="AC27" s="239" t="str" cm="1">
        <f t="array" aca="1" ref="AC27" ca="1">IF(F27=swtchResults.PSA.Baseline, "-", Y27-W27/AC$7)</f>
        <v>-</v>
      </c>
      <c r="AD27" s="238" t="str" cm="1">
        <f t="array" aca="1" ref="AD27" ca="1">_xlfn.LET(_xlpm.arrNHB, (OFFSET(rngPSA.Samples.QALYs, 0, (D27-1)*6 + F27-1)-OFFSET(rngPSA.Samples.QALYs, 0, (D27-1)*6 + swtchResults.PSA.Baseline-1)) - (OFFSET(rngPSA.Samples.Costs, 0, (D27-1)*6 + F27-1)-OFFSET(rngPSA.Samples.Costs, 0, (D27-1)*6 + swtchResults.PSA.Baseline-1))/AC$7,
 IF(F27=swtchResults.PSA.Baseline, "-", "(" &amp;
 TEXT(PERCENTILE(_xlpm.arrNHB, 0.025), "0.000;−0.000") &amp; " to " &amp;
 TEXT(PERCENTILE(_xlpm.arrNHB, 0.975), "0.000;−0.000") &amp; ")"))</f>
        <v>-</v>
      </c>
      <c r="AE27" s="218" t="str" cm="1">
        <f t="array" aca="1" ref="AE27" ca="1">IF(F27=swtchResults.PSA.Baseline, "ref", IF(AND(W27&lt;=0, Y27&gt;0), "dominant", IF(AND(W27&gt;0, Y27&lt;0), "dominated", W27/Y27)))</f>
        <v>ref</v>
      </c>
      <c r="AF27" s="219"/>
      <c r="AG27" s="215">
        <v>1</v>
      </c>
      <c r="AH27" s="216" t="str">
        <f t="shared" si="0"/>
        <v>HPE</v>
      </c>
      <c r="AI27" s="220" cm="1">
        <f t="array" aca="1" ref="AI27" ca="1">INDEX(OFFSET(rngPSA.MeanCosts.Root, 0, (D27-1)*6), AG27)</f>
        <v>165936.90044781912</v>
      </c>
      <c r="AJ27" s="220" t="str">
        <f ca="1">_xlfn.LET(_xlpm.arrCosts, OFFSET(rngPSA.Samples.Costs, 0, ($D27-1)*6 + $AG27-1),
"(" &amp;
 TEXT(PERCENTILE(_xlpm.arrCosts, 0.025), "£#,##0;−£#,##0") &amp; " to " &amp;
 TEXT(PERCENTILE(_xlpm.arrCosts, 0.975), "£#,##0;−£#,##0") &amp; ")")</f>
        <v>(£46,395 to £303,902)</v>
      </c>
      <c r="AK27" s="221" cm="1">
        <f t="array" aca="1" ref="AK27" ca="1">INDEX(OFFSET(rngPSA.MeanQALYs.Root, 0, (D27-1)*6), AG27)</f>
        <v>-99.913284949339072</v>
      </c>
      <c r="AL27" s="292" t="str">
        <f ca="1">_xlfn.LET(_xlpm.arrQALYs, OFFSET(rngPSA.Samples.QALYs, 0, ($D27-1)*6 + $AG27-1),
"(" &amp;
 TEXT(PERCENTILE(_xlpm.arrQALYs, 0.025), "0.000") &amp; " to " &amp;
 TEXT(PERCENTILE(_xlpm.arrQALYs, 0.975), "0.000") &amp; ")")</f>
        <v>(-134.567 to -67.917)</v>
      </c>
      <c r="AM27" s="222" t="str">
        <f>IFERROR(INDEX(rngPSA.MeanLYs, AG27), "")</f>
        <v/>
      </c>
      <c r="AN27" s="213"/>
      <c r="AQ27" s="223"/>
    </row>
    <row r="28" spans="4:43" ht="12" customHeight="1" thickBot="1" x14ac:dyDescent="0.3">
      <c r="D28" s="10">
        <f t="shared" si="1"/>
        <v>7</v>
      </c>
      <c r="E28" s="59"/>
      <c r="F28" s="224">
        <f ca="1">MATCH(SMALL(AI27:AI28, AG28), AI27:AI28, 0)</f>
        <v>1</v>
      </c>
      <c r="G28" s="225" t="str" cm="1">
        <f t="array" aca="1" ref="G28" ca="1">INDEX(rngStrats, F28)</f>
        <v>HPE</v>
      </c>
      <c r="H28" s="240" cm="1">
        <f t="array" aca="1" ref="H28" ca="1">IFERROR(INDEX(AI27:AI28, F28), "")</f>
        <v>165936.90044781912</v>
      </c>
      <c r="I28" s="241" t="str">
        <f ca="1">_xlfn.LET(_xlpm.arrCosts, OFFSET(rngPSA.Samples.Costs, 0, (D28-1)*6 + F28-1),
"(" &amp;
 TEXT(PERCENTILE(_xlpm.arrCosts, 0.025), "£#,##0;−£#,##0") &amp; " to " &amp;
 TEXT(PERCENTILE(_xlpm.arrCosts, 0.975), "£#,##0;−£#,##0") &amp; ")")</f>
        <v>(£46,395 to £303,902)</v>
      </c>
      <c r="J28" s="243" cm="1">
        <f t="array" aca="1" ref="J28" ca="1">IFERROR(INDEX(AK27:AK28, F28), "")</f>
        <v>-99.913284949339072</v>
      </c>
      <c r="K28" s="242" t="str">
        <f ca="1">_xlfn.LET(_xlpm.arrQALYs, OFFSET(rngPSA.Samples.QALYs, 0, (D28-1)*6 + F28-1),
"(" &amp;
 TEXT(PERCENTILE(_xlpm.arrQALYs, 0.025), "0.000") &amp; " to " &amp;
 TEXT(PERCENTILE(_xlpm.arrQALYs, 0.975), "0.000") &amp; ")")</f>
        <v>(-134.567 to -67.917)</v>
      </c>
      <c r="L28" s="243">
        <f t="shared" ca="1" si="2"/>
        <v>-108.21012997173003</v>
      </c>
      <c r="M28" s="244" t="str" cm="1">
        <f t="array" aca="1" ref="M28" ca="1">_xlfn.LET(_xlpm.arrNHB, OFFSET(rngPSA.Samples.QALYs, 0, (D28-1)*6 + F28-1) - OFFSET(rngPSA.Samples.Costs, 0, (D28-1)*6 + F28-1)/L$6,
"(" &amp;
 TEXT(PERCENTILE(_xlpm.arrNHB, 0.025), "0.000") &amp; " to " &amp;
 TEXT(PERCENTILE(_xlpm.arrNHB, 0.975), "0.000") &amp; ")")</f>
        <v>(-143.651 to -74.351)</v>
      </c>
      <c r="N28" s="243">
        <f t="shared" ca="1" si="3"/>
        <v>-105.44451496426638</v>
      </c>
      <c r="O28" s="244" t="str" cm="1">
        <f t="array" aca="1" ref="O28" ca="1">_xlfn.LET(_xlpm.arrNHB, OFFSET(rngPSA.Samples.QALYs, 0, (D28-1)*6 + F28-1) - OFFSET(rngPSA.Samples.Costs, 0, (D28-1)*6 + F28-1)/N$6,
"(" &amp;
 TEXT(PERCENTILE(_xlpm.arrNHB, 0.025), "0.000") &amp; " to " &amp;
 TEXT(PERCENTILE(_xlpm.arrNHB, 0.975), "0.000") &amp; ")")</f>
        <v>(-140.893 to -71.750)</v>
      </c>
      <c r="P28" s="228"/>
      <c r="Q28" s="240">
        <f ca="1">IF($AG28=1, "", H28-H27)</f>
        <v>165936.90044781912</v>
      </c>
      <c r="R28" s="241" t="str" cm="1">
        <f t="array" aca="1" ref="R28" ca="1">_xlfn.LET(_xlpm.arrIncCosts, OFFSET(rngPSA.Samples.Costs, 0, ($D28-1)*6 + $F28-1)-OFFSET(rngPSA.Samples.Costs, 0, ($D28-1)*6 + $F27-1),
IF(AG28=1, "", "(" &amp;
 TEXT(PERCENTILE(_xlpm.arrIncCosts, 0.025), "£#,##0;−£#,##0") &amp; " to " &amp;
 TEXT(PERCENTILE(_xlpm.arrIncCosts, 0.975), "£#,##0;−£#,##0") &amp; ")"))</f>
        <v>(£46,395 to £303,902)</v>
      </c>
      <c r="S28" s="243">
        <f ca="1">IF($AG28=1, "", J28-J27)</f>
        <v>-99.913284949339072</v>
      </c>
      <c r="T28" s="241" t="str" cm="1">
        <f t="array" aca="1" ref="T28" ca="1">_xlfn.LET(_xlpm.arrIncQALYs, OFFSET(rngPSA.Samples.QALYs, 0, ($D28-1)*6 + $F28-1)-OFFSET(rngPSA.Samples.QALYs, 0, ($D28-1)*6 + $F27-1),
IF($AG28=1, "", "(" &amp;
 TEXT(PERCENTILE(_xlpm.arrIncQALYs, 0.025), "0.000;−0.000") &amp; " to " &amp;
 TEXT(PERCENTILE(_xlpm.arrIncQALYs, 0.975), "0.000;−0.000") &amp; ")"))</f>
        <v>(−134.567 to −67.917)</v>
      </c>
      <c r="U28" s="273" t="str">
        <f ca="1">IF($AG28=1, "", IF(AND(Q28&gt;0, S28&lt;0), "dominated", Q28/S28))</f>
        <v>dominated</v>
      </c>
      <c r="V28" s="272"/>
      <c r="W28" s="240" cm="1">
        <f t="array" aca="1" ref="W28" ca="1">IF(F28=swtchResults.PSA.Baseline, "-", H28-INDEX(AI27:AI28, swtchResults.PSA.Baseline))</f>
        <v>165936.90044781912</v>
      </c>
      <c r="X28" s="241" t="str" cm="1">
        <f t="array" aca="1" ref="X28" ca="1">IF(F28=swtchResults.PSA.Baseline, "-", "(" &amp;
 TEXT(PERCENTILE(OFFSET(rngPSA.Samples.Costs, 0, (D28-1)*6 + F28-1)-OFFSET(rngPSA.Samples.Costs, 0, (D28-1)*6 + swtchResults.PSA.Baseline-1), 0.025), "£#,##0;−£#,##0") &amp; " to " &amp;
 TEXT(PERCENTILE(OFFSET(rngPSA.Samples.Costs, 0, (D28-1)*6 + F28-1)-OFFSET(rngPSA.Samples.Costs, 0, (D28-1)*6 + swtchResults.PSA.Baseline-1), 0.975), "£#,##0;−£#,##0") &amp; ")")</f>
        <v>(£46,395 to £303,902)</v>
      </c>
      <c r="Y28" s="243" cm="1">
        <f t="array" aca="1" ref="Y28" ca="1">IF(F28=swtchResults.PSA.Baseline, "-", J28-INDEX(AK27:AK28, swtchResults.PSA.Baseline))</f>
        <v>-99.913284949339072</v>
      </c>
      <c r="Z28" s="244" t="str" cm="1">
        <f t="array" aca="1" ref="Z28" ca="1">IF(F28=swtchResults.PSA.Baseline, "-", "(" &amp;
 TEXT(PERCENTILE(OFFSET(rngPSA.Samples.QALYs, 0, (D28-1)*6 + F28-1)-OFFSET(rngPSA.Samples.QALYs, 0, (D28-1)*6 + swtchResults.PSA.Baseline-1), 0.025), "0.000;−0.000") &amp; " to " &amp;
 TEXT(PERCENTILE(OFFSET(rngPSA.Samples.QALYs, 0, (D28-1)*6 + F28-1)-OFFSET(rngPSA.Samples.QALYs, 0, (D28-1)*6 + swtchResults.PSA.Baseline-1), 0.975), "0.000;−0.000") &amp; ")")</f>
        <v>(−134.567 to −67.917)</v>
      </c>
      <c r="AA28" s="245" cm="1">
        <f t="array" aca="1" ref="AA28" ca="1">IF(F28=swtchResults.PSA.Baseline, "-", Y28-W28/AA$7)</f>
        <v>-108.21012997173003</v>
      </c>
      <c r="AB28" s="244" t="str" cm="1">
        <f t="array" aca="1" ref="AB28" ca="1">_xlfn.LET(_xlpm.arrNHB, (OFFSET(rngPSA.Samples.QALYs, 0, (D28-1)*6 + F28-1)-OFFSET(rngPSA.Samples.QALYs, 0, (D28-1)*6 + swtchResults.PSA.Baseline-1)) - (OFFSET(rngPSA.Samples.Costs, 0, (D28-1)*6 + F28-1)-OFFSET(rngPSA.Samples.Costs, 0, (D28-1)*6 + swtchResults.PSA.Baseline-1))/AA$7,
 IF(F28=swtchResults.PSA.Baseline, "-", "(" &amp;
 TEXT(PERCENTILE(_xlpm.arrNHB, 0.025), "0.000;−0.000") &amp; " to " &amp;
 TEXT(PERCENTILE(_xlpm.arrNHB, 0.975), "0.000;−0.000") &amp; ")"))</f>
        <v>(−143.651 to −74.351)</v>
      </c>
      <c r="AC28" s="245" cm="1">
        <f t="array" aca="1" ref="AC28" ca="1">IF(F28=swtchResults.PSA.Baseline, "-", Y28-W28/AC$7)</f>
        <v>-105.44451496426638</v>
      </c>
      <c r="AD28" s="244" t="str" cm="1">
        <f t="array" aca="1" ref="AD28" ca="1">_xlfn.LET(_xlpm.arrNHB, (OFFSET(rngPSA.Samples.QALYs, 0, (D28-1)*6 + F28-1)-OFFSET(rngPSA.Samples.QALYs, 0, (D28-1)*6 + swtchResults.PSA.Baseline-1)) - (OFFSET(rngPSA.Samples.Costs, 0, (D28-1)*6 + F28-1)-OFFSET(rngPSA.Samples.Costs, 0, (D28-1)*6 + swtchResults.PSA.Baseline-1))/AC$7,
 IF(F28=swtchResults.PSA.Baseline, "-", "(" &amp;
 TEXT(PERCENTILE(_xlpm.arrNHB, 0.025), "0.000;−0.000") &amp; " to " &amp;
 TEXT(PERCENTILE(_xlpm.arrNHB, 0.975), "0.000;−0.000") &amp; ")"))</f>
        <v>(−140.893 to −71.750)</v>
      </c>
      <c r="AE28" s="229" t="str" cm="1">
        <f t="array" aca="1" ref="AE28" ca="1">IF(F28=swtchResults.PSA.Baseline, "ref", IF(AND(W28&lt;=0, Y28&gt;0), "dominant", IF(AND(W28&gt;0, Y28&lt;0), "dominated", W28/Y28)))</f>
        <v>dominated</v>
      </c>
      <c r="AF28" s="219"/>
      <c r="AG28" s="224">
        <v>2</v>
      </c>
      <c r="AH28" s="225" t="str">
        <f t="shared" si="0"/>
        <v>No HPE</v>
      </c>
      <c r="AI28" s="230" cm="1">
        <f t="array" aca="1" ref="AI28" ca="1">INDEX(OFFSET(rngPSA.MeanCosts.Root, 0, (D28-1)*6), AG28)</f>
        <v>0</v>
      </c>
      <c r="AJ28" s="230" t="str">
        <f ca="1">_xlfn.LET(_xlpm.arrCosts, OFFSET(rngPSA.Samples.Costs, 0, ($D28-1)*6 + $AG28-1),
"(" &amp;
 TEXT(PERCENTILE(_xlpm.arrCosts, 0.025), "£#,##0;−£#,##0") &amp; " to " &amp;
 TEXT(PERCENTILE(_xlpm.arrCosts, 0.975), "£#,##0;−£#,##0") &amp; ")")</f>
        <v>(£0 to £0)</v>
      </c>
      <c r="AK28" s="231" cm="1">
        <f t="array" aca="1" ref="AK28" ca="1">INDEX(OFFSET(rngPSA.MeanQALYs.Root, 0, (D28-1)*6), AG28)</f>
        <v>0</v>
      </c>
      <c r="AL28" s="293" t="str">
        <f ca="1">_xlfn.LET(_xlpm.arrQALYs, OFFSET(rngPSA.Samples.QALYs, 0, ($D28-1)*6 + $AG28-1),
"(" &amp;
 TEXT(PERCENTILE(_xlpm.arrQALYs, 0.025), "0.000") &amp; " to " &amp;
 TEXT(PERCENTILE(_xlpm.arrQALYs, 0.975), "0.000") &amp; ")")</f>
        <v>(0.000 to 0.000)</v>
      </c>
      <c r="AM28" s="232" t="str">
        <f>IFERROR(INDEX(rngPSA.MeanLYs, AG28), "")</f>
        <v/>
      </c>
      <c r="AN28" s="213"/>
      <c r="AQ28" s="223"/>
    </row>
    <row r="29" spans="4:43" ht="12" customHeight="1" thickBot="1" x14ac:dyDescent="0.3">
      <c r="D29" s="10">
        <f t="shared" si="1"/>
        <v>8</v>
      </c>
      <c r="E29" s="59"/>
      <c r="F29" s="481" t="str" cm="1">
        <f t="array" ref="F29">INDEX(lstQs, D29)</f>
        <v>Expected harm in England: query C</v>
      </c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482"/>
      <c r="X29" s="482"/>
      <c r="Y29" s="482"/>
      <c r="Z29" s="482"/>
      <c r="AA29" s="482"/>
      <c r="AB29" s="482"/>
      <c r="AC29" s="482"/>
      <c r="AD29" s="482"/>
      <c r="AE29" s="482"/>
      <c r="AF29" s="482"/>
      <c r="AG29" s="482"/>
      <c r="AH29" s="482"/>
      <c r="AI29" s="482"/>
      <c r="AJ29" s="482"/>
      <c r="AK29" s="482"/>
      <c r="AL29" s="482"/>
      <c r="AM29" s="483"/>
      <c r="AN29" s="10"/>
    </row>
    <row r="30" spans="4:43" ht="12" customHeight="1" x14ac:dyDescent="0.25">
      <c r="D30" s="10">
        <f t="shared" si="1"/>
        <v>8</v>
      </c>
      <c r="E30" s="59"/>
      <c r="F30" s="215">
        <f ca="1">MATCH(SMALL(AI30:AI31, AG30), AI30:AI31, 0)</f>
        <v>2</v>
      </c>
      <c r="G30" s="216" t="str" cm="1">
        <f t="array" aca="1" ref="G30" ca="1">INDEX(rngStrats, F30)</f>
        <v>No HPE</v>
      </c>
      <c r="H30" s="234" cm="1">
        <f t="array" aca="1" ref="H30" ca="1">IFERROR(INDEX(AI30:AI31, F30), "")</f>
        <v>0</v>
      </c>
      <c r="I30" s="235" t="str">
        <f ca="1">_xlfn.LET(_xlpm.arrCosts, OFFSET(rngPSA.Samples.Costs, 0, (D30-1)*6 + F30-1),
"(" &amp;
 TEXT(PERCENTILE(_xlpm.arrCosts, 0.025), "£#,##0;−£#,##0") &amp; " to " &amp;
 TEXT(PERCENTILE(_xlpm.arrCosts, 0.975), "£#,##0;−£#,##0") &amp; ")")</f>
        <v>(£0 to £0)</v>
      </c>
      <c r="J30" s="236" cm="1">
        <f t="array" aca="1" ref="J30" ca="1">IFERROR(INDEX(AK30:AK31, F30), "")</f>
        <v>0</v>
      </c>
      <c r="K30" s="237" t="str">
        <f ca="1">_xlfn.LET(_xlpm.arrQALYs, OFFSET(rngPSA.Samples.QALYs, 0, (D30-1)*6 + F30-1),
"(" &amp;
 TEXT(PERCENTILE(_xlpm.arrQALYs, 0.025), "0.000") &amp; " to " &amp;
 TEXT(PERCENTILE(_xlpm.arrQALYs, 0.975), "0.000") &amp; ")")</f>
        <v>(0.000 to 0.000)</v>
      </c>
      <c r="L30" s="236">
        <f t="shared" ca="1" si="2"/>
        <v>0</v>
      </c>
      <c r="M30" s="237" t="str" cm="1">
        <f t="array" aca="1" ref="M30" ca="1">_xlfn.LET(_xlpm.arrNHB, OFFSET(rngPSA.Samples.QALYs, 0, (D30-1)*6 + F30-1) - OFFSET(rngPSA.Samples.Costs, 0, (D30-1)*6 + F30-1)/L$6,
"(" &amp;
 TEXT(PERCENTILE(_xlpm.arrNHB, 0.025), "0.000") &amp; " to " &amp;
 TEXT(PERCENTILE(_xlpm.arrNHB, 0.975), "0.000") &amp; ")")</f>
        <v>(0.000 to 0.000)</v>
      </c>
      <c r="N30" s="236">
        <f t="shared" ca="1" si="3"/>
        <v>0</v>
      </c>
      <c r="O30" s="237" t="str" cm="1">
        <f t="array" aca="1" ref="O30" ca="1">_xlfn.LET(_xlpm.arrNHB, OFFSET(rngPSA.Samples.QALYs, 0, (D30-1)*6 + F30-1) - OFFSET(rngPSA.Samples.Costs, 0, (D30-1)*6 + F30-1)/N$6,
"(" &amp;
 TEXT(PERCENTILE(_xlpm.arrNHB, 0.025), "0.000") &amp; " to " &amp;
 TEXT(PERCENTILE(_xlpm.arrNHB, 0.975), "0.000") &amp; ")")</f>
        <v>(0.000 to 0.000)</v>
      </c>
      <c r="P30" s="217"/>
      <c r="Q30" s="234" t="str">
        <f>IF($AG30=1, "", H30-H28)</f>
        <v/>
      </c>
      <c r="R30" s="235" t="str" cm="1">
        <f t="array" aca="1" ref="R30" ca="1">_xlfn.LET(_xlpm.arrIncCosts, OFFSET(rngPSA.Samples.Costs, 0, ($D30-1)*6 + $F30-1)-OFFSET(rngPSA.Samples.Costs, 0, ($D30-1)*6 + $F28-1),
IF(AG30=1, "", "(" &amp;
 TEXT(PERCENTILE(_xlpm.arrIncCosts, 0.025), "£#,##0;−£#,##0") &amp; " to " &amp;
 TEXT(PERCENTILE(_xlpm.arrIncCosts, 0.975), "£#,##0;−£#,##0") &amp; ")"))</f>
        <v/>
      </c>
      <c r="S30" s="236" t="str">
        <f>IF($AG30=1, "", J30-J28)</f>
        <v/>
      </c>
      <c r="T30" s="235" t="str" cm="1">
        <f t="array" aca="1" ref="T30" ca="1">_xlfn.LET(_xlpm.arrIncQALYs, OFFSET(rngPSA.Samples.QALYs, 0, ($D30-1)*6 + $F30-1)-OFFSET(rngPSA.Samples.QALYs, 0, ($D30-1)*6 + $F28-1),
IF($AG30=1, "", "(" &amp;
 TEXT(PERCENTILE(_xlpm.arrIncQALYs, 0.025), "0.000;−0.000") &amp; " to " &amp;
 TEXT(PERCENTILE(_xlpm.arrIncQALYs, 0.975), "0.000;−0.000") &amp; ")"))</f>
        <v/>
      </c>
      <c r="U30" s="275" t="str">
        <f>IF($AG30=1, "", IF(AND(Q30&gt;0, S30&lt;0), "dominated", Q30/S30))</f>
        <v/>
      </c>
      <c r="V30" s="274"/>
      <c r="W30" s="234" t="str" cm="1">
        <f t="array" aca="1" ref="W30" ca="1">IF(F30=swtchResults.PSA.Baseline, "-", H30-INDEX(AI30:AI31, swtchResults.PSA.Baseline))</f>
        <v>-</v>
      </c>
      <c r="X30" s="238" t="str" cm="1">
        <f t="array" aca="1" ref="X30" ca="1">IF(F30=swtchResults.PSA.Baseline, "-", "(" &amp;
 TEXT(PERCENTILE(OFFSET(rngPSA.Samples.Costs, 0, (D30-1)*6 + F30-1)-OFFSET(rngPSA.Samples.Costs, 0, (D30-1)*6 + swtchResults.PSA.Baseline-1), 0.025), "£#,##0;−£#,##0") &amp; " to " &amp;
 TEXT(PERCENTILE(OFFSET(rngPSA.Samples.Costs, 0, (D30-1)*6 + F30-1)-OFFSET(rngPSA.Samples.Costs, 0, (D30-1)*6 + swtchResults.PSA.Baseline-1), 0.975), "£#,##0;−£#,##0") &amp; ")")</f>
        <v>-</v>
      </c>
      <c r="Y30" s="236" t="str" cm="1">
        <f t="array" aca="1" ref="Y30" ca="1">IF(F30=swtchResults.PSA.Baseline, "-", J30-INDEX(AK30:AK31, swtchResults.PSA.Baseline))</f>
        <v>-</v>
      </c>
      <c r="Z30" s="238" t="str" cm="1">
        <f t="array" aca="1" ref="Z30" ca="1">IF(F30=swtchResults.PSA.Baseline, "-", "(" &amp;
 TEXT(PERCENTILE(OFFSET(rngPSA.Samples.QALYs, 0, (D30-1)*6 + F30-1)-OFFSET(rngPSA.Samples.QALYs, 0, (D30-1)*6 + swtchResults.PSA.Baseline-1), 0.025), "0.000;−0.000") &amp; " to " &amp;
 TEXT(PERCENTILE(OFFSET(rngPSA.Samples.QALYs, 0, (D30-1)*6 + F30-1)-OFFSET(rngPSA.Samples.QALYs, 0, (D30-1)*6 + swtchResults.PSA.Baseline-1), 0.975), "0.000;−0.000") &amp; ")")</f>
        <v>-</v>
      </c>
      <c r="AA30" s="239" t="str" cm="1">
        <f t="array" aca="1" ref="AA30" ca="1">IF(F30=swtchResults.PSA.Baseline, "-", Y30-W30/AA$7)</f>
        <v>-</v>
      </c>
      <c r="AB30" s="238" t="str" cm="1">
        <f t="array" aca="1" ref="AB30" ca="1">_xlfn.LET(_xlpm.arrNHB, (OFFSET(rngPSA.Samples.QALYs, 0, (D30-1)*6 + F30-1)-OFFSET(rngPSA.Samples.QALYs, 0, (D30-1)*6 + swtchResults.PSA.Baseline-1)) - (OFFSET(rngPSA.Samples.Costs, 0, (D30-1)*6 + F30-1)-OFFSET(rngPSA.Samples.Costs, 0, (D30-1)*6 + swtchResults.PSA.Baseline-1))/AA$7,
 IF(F30=swtchResults.PSA.Baseline, "-", "(" &amp;
 TEXT(PERCENTILE(_xlpm.arrNHB, 0.025), "0.000;−0.000") &amp; " to " &amp;
 TEXT(PERCENTILE(_xlpm.arrNHB, 0.975), "0.000;−0.000") &amp; ")"))</f>
        <v>-</v>
      </c>
      <c r="AC30" s="239" t="str" cm="1">
        <f t="array" aca="1" ref="AC30" ca="1">IF(F30=swtchResults.PSA.Baseline, "-", Y30-W30/AC$7)</f>
        <v>-</v>
      </c>
      <c r="AD30" s="238" t="str" cm="1">
        <f t="array" aca="1" ref="AD30" ca="1">_xlfn.LET(_xlpm.arrNHB, (OFFSET(rngPSA.Samples.QALYs, 0, (D30-1)*6 + F30-1)-OFFSET(rngPSA.Samples.QALYs, 0, (D30-1)*6 + swtchResults.PSA.Baseline-1)) - (OFFSET(rngPSA.Samples.Costs, 0, (D30-1)*6 + F30-1)-OFFSET(rngPSA.Samples.Costs, 0, (D30-1)*6 + swtchResults.PSA.Baseline-1))/AC$7,
 IF(F30=swtchResults.PSA.Baseline, "-", "(" &amp;
 TEXT(PERCENTILE(_xlpm.arrNHB, 0.025), "0.000;−0.000") &amp; " to " &amp;
 TEXT(PERCENTILE(_xlpm.arrNHB, 0.975), "0.000;−0.000") &amp; ")"))</f>
        <v>-</v>
      </c>
      <c r="AE30" s="218" t="str" cm="1">
        <f t="array" aca="1" ref="AE30" ca="1">IF(F30=swtchResults.PSA.Baseline, "ref", IF(AND(W30&lt;=0, Y30&gt;0), "dominant", IF(AND(W30&gt;0, Y30&lt;0), "dominated", W30/Y30)))</f>
        <v>ref</v>
      </c>
      <c r="AF30" s="219"/>
      <c r="AG30" s="215">
        <v>1</v>
      </c>
      <c r="AH30" s="216" t="str">
        <f t="shared" si="0"/>
        <v>HPE</v>
      </c>
      <c r="AI30" s="220" cm="1">
        <f t="array" aca="1" ref="AI30" ca="1">INDEX(OFFSET(rngPSA.MeanCosts.Root, 0, (D30-1)*6), AG30)</f>
        <v>25192401.227504153</v>
      </c>
      <c r="AJ30" s="220" t="str">
        <f ca="1">_xlfn.LET(_xlpm.arrCosts, OFFSET(rngPSA.Samples.Costs, 0, ($D30-1)*6 + $AG30-1),
"(" &amp;
 TEXT(PERCENTILE(_xlpm.arrCosts, 0.025), "£#,##0;−£#,##0") &amp; " to " &amp;
 TEXT(PERCENTILE(_xlpm.arrCosts, 0.975), "£#,##0;−£#,##0") &amp; ")")</f>
        <v>(£5,712,183 to £59,553,312)</v>
      </c>
      <c r="AK30" s="221" cm="1">
        <f t="array" aca="1" ref="AK30" ca="1">INDEX(OFFSET(rngPSA.MeanQALYs.Root, 0, (D30-1)*6), AG30)</f>
        <v>-2137.1326608904278</v>
      </c>
      <c r="AL30" s="292" t="str">
        <f ca="1">_xlfn.LET(_xlpm.arrQALYs, OFFSET(rngPSA.Samples.QALYs, 0, ($D30-1)*6 + $AG30-1),
"(" &amp;
 TEXT(PERCENTILE(_xlpm.arrQALYs, 0.025), "0.000") &amp; " to " &amp;
 TEXT(PERCENTILE(_xlpm.arrQALYs, 0.975), "0.000") &amp; ")")</f>
        <v>(-4069.808 to -839.163)</v>
      </c>
      <c r="AM30" s="222" t="str">
        <f>IFERROR(INDEX(rngPSA.MeanLYs, AG30), "")</f>
        <v/>
      </c>
      <c r="AN30" s="213"/>
      <c r="AQ30" s="223"/>
    </row>
    <row r="31" spans="4:43" ht="12" customHeight="1" thickBot="1" x14ac:dyDescent="0.3">
      <c r="D31" s="10">
        <f t="shared" si="1"/>
        <v>8</v>
      </c>
      <c r="E31" s="59"/>
      <c r="F31" s="224">
        <f ca="1">MATCH(SMALL(AI30:AI31, AG31), AI30:AI31, 0)</f>
        <v>1</v>
      </c>
      <c r="G31" s="225" t="str" cm="1">
        <f t="array" aca="1" ref="G31" ca="1">INDEX(rngStrats, F31)</f>
        <v>HPE</v>
      </c>
      <c r="H31" s="240" cm="1">
        <f t="array" aca="1" ref="H31" ca="1">IFERROR(INDEX(AI30:AI31, F31), "")</f>
        <v>25192401.227504153</v>
      </c>
      <c r="I31" s="241" t="str">
        <f ca="1">_xlfn.LET(_xlpm.arrCosts, OFFSET(rngPSA.Samples.Costs, 0, (D31-1)*6 + F31-1),
"(" &amp;
 TEXT(PERCENTILE(_xlpm.arrCosts, 0.025), "£#,##0;−£#,##0") &amp; " to " &amp;
 TEXT(PERCENTILE(_xlpm.arrCosts, 0.975), "£#,##0;−£#,##0") &amp; ")")</f>
        <v>(£5,712,183 to £59,553,312)</v>
      </c>
      <c r="J31" s="243" cm="1">
        <f t="array" aca="1" ref="J31" ca="1">IFERROR(INDEX(AK30:AK31, F31), "")</f>
        <v>-2137.1326608904278</v>
      </c>
      <c r="K31" s="242" t="str">
        <f ca="1">_xlfn.LET(_xlpm.arrQALYs, OFFSET(rngPSA.Samples.QALYs, 0, (D31-1)*6 + F31-1),
"(" &amp;
 TEXT(PERCENTILE(_xlpm.arrQALYs, 0.025), "0.000") &amp; " to " &amp;
 TEXT(PERCENTILE(_xlpm.arrQALYs, 0.975), "0.000") &amp; ")")</f>
        <v>(-4069.808 to -839.163)</v>
      </c>
      <c r="L31" s="243">
        <f t="shared" ca="1" si="2"/>
        <v>-3396.7527222656354</v>
      </c>
      <c r="M31" s="244" t="str" cm="1">
        <f t="array" aca="1" ref="M31" ca="1">_xlfn.LET(_xlpm.arrNHB, OFFSET(rngPSA.Samples.QALYs, 0, (D31-1)*6 + F31-1) - OFFSET(rngPSA.Samples.Costs, 0, (D31-1)*6 + F31-1)/L$6,
"(" &amp;
 TEXT(PERCENTILE(_xlpm.arrNHB, 0.025), "0.000") &amp; " to " &amp;
 TEXT(PERCENTILE(_xlpm.arrNHB, 0.975), "0.000") &amp; ")")</f>
        <v>(-6916.249 to -1148.319)</v>
      </c>
      <c r="N31" s="243">
        <f t="shared" ca="1" si="3"/>
        <v>-2976.8793684738994</v>
      </c>
      <c r="O31" s="244" t="str" cm="1">
        <f t="array" aca="1" ref="O31" ca="1">_xlfn.LET(_xlpm.arrNHB, OFFSET(rngPSA.Samples.QALYs, 0, (D31-1)*6 + F31-1) - OFFSET(rngPSA.Samples.Costs, 0, (D31-1)*6 + F31-1)/N$6,
"(" &amp;
 TEXT(PERCENTILE(_xlpm.arrNHB, 0.025), "0.000") &amp; " to " &amp;
 TEXT(PERCENTILE(_xlpm.arrNHB, 0.975), "0.000") &amp; ")")</f>
        <v>(-5990.680 to -1049.606)</v>
      </c>
      <c r="P31" s="228"/>
      <c r="Q31" s="240">
        <f ca="1">IF($AG31=1, "", H31-H30)</f>
        <v>25192401.227504153</v>
      </c>
      <c r="R31" s="241" t="str" cm="1">
        <f t="array" aca="1" ref="R31" ca="1">_xlfn.LET(_xlpm.arrIncCosts, OFFSET(rngPSA.Samples.Costs, 0, ($D31-1)*6 + $F31-1)-OFFSET(rngPSA.Samples.Costs, 0, ($D31-1)*6 + $F30-1),
IF(AG31=1, "", "(" &amp;
 TEXT(PERCENTILE(_xlpm.arrIncCosts, 0.025), "£#,##0;−£#,##0") &amp; " to " &amp;
 TEXT(PERCENTILE(_xlpm.arrIncCosts, 0.975), "£#,##0;−£#,##0") &amp; ")"))</f>
        <v>(£5,712,183 to £59,553,312)</v>
      </c>
      <c r="S31" s="243">
        <f ca="1">IF($AG31=1, "", J31-J30)</f>
        <v>-2137.1326608904278</v>
      </c>
      <c r="T31" s="241" t="str" cm="1">
        <f t="array" aca="1" ref="T31" ca="1">_xlfn.LET(_xlpm.arrIncQALYs, OFFSET(rngPSA.Samples.QALYs, 0, ($D31-1)*6 + $F31-1)-OFFSET(rngPSA.Samples.QALYs, 0, ($D31-1)*6 + $F30-1),
IF($AG31=1, "", "(" &amp;
 TEXT(PERCENTILE(_xlpm.arrIncQALYs, 0.025), "0.000;−0.000") &amp; " to " &amp;
 TEXT(PERCENTILE(_xlpm.arrIncQALYs, 0.975), "0.000;−0.000") &amp; ")"))</f>
        <v>(−4069.808 to −839.163)</v>
      </c>
      <c r="U31" s="273" t="str">
        <f ca="1">IF($AG31=1, "", IF(AND(Q31&gt;0, S31&lt;0), "dominated", Q31/S31))</f>
        <v>dominated</v>
      </c>
      <c r="V31" s="272"/>
      <c r="W31" s="240" cm="1">
        <f t="array" aca="1" ref="W31" ca="1">IF(F31=swtchResults.PSA.Baseline, "-", H31-INDEX(AI30:AI31, swtchResults.PSA.Baseline))</f>
        <v>25192401.227504153</v>
      </c>
      <c r="X31" s="241" t="str" cm="1">
        <f t="array" aca="1" ref="X31" ca="1">IF(F31=swtchResults.PSA.Baseline, "-", "(" &amp;
 TEXT(PERCENTILE(OFFSET(rngPSA.Samples.Costs, 0, (D31-1)*6 + F31-1)-OFFSET(rngPSA.Samples.Costs, 0, (D31-1)*6 + swtchResults.PSA.Baseline-1), 0.025), "£#,##0;−£#,##0") &amp; " to " &amp;
 TEXT(PERCENTILE(OFFSET(rngPSA.Samples.Costs, 0, (D31-1)*6 + F31-1)-OFFSET(rngPSA.Samples.Costs, 0, (D31-1)*6 + swtchResults.PSA.Baseline-1), 0.975), "£#,##0;−£#,##0") &amp; ")")</f>
        <v>(£5,712,183 to £59,553,312)</v>
      </c>
      <c r="Y31" s="243" cm="1">
        <f t="array" aca="1" ref="Y31" ca="1">IF(F31=swtchResults.PSA.Baseline, "-", J31-INDEX(AK30:AK31, swtchResults.PSA.Baseline))</f>
        <v>-2137.1326608904278</v>
      </c>
      <c r="Z31" s="244" t="str" cm="1">
        <f t="array" aca="1" ref="Z31" ca="1">IF(F31=swtchResults.PSA.Baseline, "-", "(" &amp;
 TEXT(PERCENTILE(OFFSET(rngPSA.Samples.QALYs, 0, (D31-1)*6 + F31-1)-OFFSET(rngPSA.Samples.QALYs, 0, (D31-1)*6 + swtchResults.PSA.Baseline-1), 0.025), "0.000;−0.000") &amp; " to " &amp;
 TEXT(PERCENTILE(OFFSET(rngPSA.Samples.QALYs, 0, (D31-1)*6 + F31-1)-OFFSET(rngPSA.Samples.QALYs, 0, (D31-1)*6 + swtchResults.PSA.Baseline-1), 0.975), "0.000;−0.000") &amp; ")")</f>
        <v>(−4069.808 to −839.163)</v>
      </c>
      <c r="AA31" s="245" cm="1">
        <f t="array" aca="1" ref="AA31" ca="1">IF(F31=swtchResults.PSA.Baseline, "-", Y31-W31/AA$7)</f>
        <v>-3396.7527222656354</v>
      </c>
      <c r="AB31" s="244" t="str" cm="1">
        <f t="array" aca="1" ref="AB31" ca="1">_xlfn.LET(_xlpm.arrNHB, (OFFSET(rngPSA.Samples.QALYs, 0, (D31-1)*6 + F31-1)-OFFSET(rngPSA.Samples.QALYs, 0, (D31-1)*6 + swtchResults.PSA.Baseline-1)) - (OFFSET(rngPSA.Samples.Costs, 0, (D31-1)*6 + F31-1)-OFFSET(rngPSA.Samples.Costs, 0, (D31-1)*6 + swtchResults.PSA.Baseline-1))/AA$7,
 IF(F31=swtchResults.PSA.Baseline, "-", "(" &amp;
 TEXT(PERCENTILE(_xlpm.arrNHB, 0.025), "0.000;−0.000") &amp; " to " &amp;
 TEXT(PERCENTILE(_xlpm.arrNHB, 0.975), "0.000;−0.000") &amp; ")"))</f>
        <v>(−6916.249 to −1148.319)</v>
      </c>
      <c r="AC31" s="245" cm="1">
        <f t="array" aca="1" ref="AC31" ca="1">IF(F31=swtchResults.PSA.Baseline, "-", Y31-W31/AC$7)</f>
        <v>-2976.8793684738994</v>
      </c>
      <c r="AD31" s="244" t="str" cm="1">
        <f t="array" aca="1" ref="AD31" ca="1">_xlfn.LET(_xlpm.arrNHB, (OFFSET(rngPSA.Samples.QALYs, 0, (D31-1)*6 + F31-1)-OFFSET(rngPSA.Samples.QALYs, 0, (D31-1)*6 + swtchResults.PSA.Baseline-1)) - (OFFSET(rngPSA.Samples.Costs, 0, (D31-1)*6 + F31-1)-OFFSET(rngPSA.Samples.Costs, 0, (D31-1)*6 + swtchResults.PSA.Baseline-1))/AC$7,
 IF(F31=swtchResults.PSA.Baseline, "-", "(" &amp;
 TEXT(PERCENTILE(_xlpm.arrNHB, 0.025), "0.000;−0.000") &amp; " to " &amp;
 TEXT(PERCENTILE(_xlpm.arrNHB, 0.975), "0.000;−0.000") &amp; ")"))</f>
        <v>(−5990.680 to −1049.606)</v>
      </c>
      <c r="AE31" s="229" t="str" cm="1">
        <f t="array" aca="1" ref="AE31" ca="1">IF(F31=swtchResults.PSA.Baseline, "ref", IF(AND(W31&lt;=0, Y31&gt;0), "dominant", IF(AND(W31&gt;0, Y31&lt;0), "dominated", W31/Y31)))</f>
        <v>dominated</v>
      </c>
      <c r="AF31" s="219"/>
      <c r="AG31" s="224">
        <v>2</v>
      </c>
      <c r="AH31" s="225" t="str">
        <f t="shared" si="0"/>
        <v>No HPE</v>
      </c>
      <c r="AI31" s="230" cm="1">
        <f t="array" aca="1" ref="AI31" ca="1">INDEX(OFFSET(rngPSA.MeanCosts.Root, 0, (D31-1)*6), AG31)</f>
        <v>0</v>
      </c>
      <c r="AJ31" s="230" t="str">
        <f ca="1">_xlfn.LET(_xlpm.arrCosts, OFFSET(rngPSA.Samples.Costs, 0, ($D31-1)*6 + $AG31-1),
"(" &amp;
 TEXT(PERCENTILE(_xlpm.arrCosts, 0.025), "£#,##0;−£#,##0") &amp; " to " &amp;
 TEXT(PERCENTILE(_xlpm.arrCosts, 0.975), "£#,##0;−£#,##0") &amp; ")")</f>
        <v>(£0 to £0)</v>
      </c>
      <c r="AK31" s="231" cm="1">
        <f t="array" aca="1" ref="AK31" ca="1">INDEX(OFFSET(rngPSA.MeanQALYs.Root, 0, (D31-1)*6), AG31)</f>
        <v>0</v>
      </c>
      <c r="AL31" s="293" t="str">
        <f ca="1">_xlfn.LET(_xlpm.arrQALYs, OFFSET(rngPSA.Samples.QALYs, 0, ($D31-1)*6 + $AG31-1),
"(" &amp;
 TEXT(PERCENTILE(_xlpm.arrQALYs, 0.025), "0.000") &amp; " to " &amp;
 TEXT(PERCENTILE(_xlpm.arrQALYs, 0.975), "0.000") &amp; ")")</f>
        <v>(0.000 to 0.000)</v>
      </c>
      <c r="AM31" s="232" t="str">
        <f>IFERROR(INDEX(rngPSA.MeanLYs, AG31), "")</f>
        <v/>
      </c>
      <c r="AN31" s="213"/>
      <c r="AQ31" s="223"/>
    </row>
    <row r="32" spans="4:43" ht="12" customHeight="1" thickBot="1" x14ac:dyDescent="0.3">
      <c r="D32" s="10">
        <f t="shared" si="1"/>
        <v>9</v>
      </c>
      <c r="E32" s="59"/>
      <c r="F32" s="481" t="str" cm="1">
        <f t="array" ref="F32">INDEX(lstQs, D32)</f>
        <v>Expected harm in England: query D</v>
      </c>
      <c r="G32" s="482"/>
      <c r="H32" s="482"/>
      <c r="I32" s="482"/>
      <c r="J32" s="482"/>
      <c r="K32" s="482"/>
      <c r="L32" s="482"/>
      <c r="M32" s="482"/>
      <c r="N32" s="482"/>
      <c r="O32" s="482"/>
      <c r="P32" s="482"/>
      <c r="Q32" s="482"/>
      <c r="R32" s="482"/>
      <c r="S32" s="482"/>
      <c r="T32" s="482"/>
      <c r="U32" s="482"/>
      <c r="V32" s="482"/>
      <c r="W32" s="482"/>
      <c r="X32" s="482"/>
      <c r="Y32" s="482"/>
      <c r="Z32" s="482"/>
      <c r="AA32" s="482"/>
      <c r="AB32" s="482"/>
      <c r="AC32" s="482"/>
      <c r="AD32" s="482"/>
      <c r="AE32" s="482"/>
      <c r="AF32" s="482"/>
      <c r="AG32" s="482"/>
      <c r="AH32" s="482"/>
      <c r="AI32" s="482"/>
      <c r="AJ32" s="482"/>
      <c r="AK32" s="482"/>
      <c r="AL32" s="482"/>
      <c r="AM32" s="483"/>
      <c r="AN32" s="10"/>
    </row>
    <row r="33" spans="4:43" ht="12" customHeight="1" x14ac:dyDescent="0.25">
      <c r="D33" s="10">
        <f t="shared" si="1"/>
        <v>9</v>
      </c>
      <c r="E33" s="59"/>
      <c r="F33" s="215">
        <f ca="1">MATCH(SMALL(AI33:AI34, AG33), AI33:AI34, 0)</f>
        <v>2</v>
      </c>
      <c r="G33" s="216" t="str" cm="1">
        <f t="array" aca="1" ref="G33" ca="1">INDEX(rngStrats, F33)</f>
        <v>No HPE</v>
      </c>
      <c r="H33" s="234" cm="1">
        <f t="array" aca="1" ref="H33" ca="1">IFERROR(INDEX(AI33:AI34, F33), "")</f>
        <v>0</v>
      </c>
      <c r="I33" s="235" t="str">
        <f ca="1">_xlfn.LET(_xlpm.arrCosts, OFFSET(rngPSA.Samples.Costs, 0, (D33-1)*6 + F33-1),
"(" &amp;
 TEXT(PERCENTILE(_xlpm.arrCosts, 0.025), "£#,##0;−£#,##0") &amp; " to " &amp;
 TEXT(PERCENTILE(_xlpm.arrCosts, 0.975), "£#,##0;−£#,##0") &amp; ")")</f>
        <v>(£0 to £0)</v>
      </c>
      <c r="J33" s="236" cm="1">
        <f t="array" aca="1" ref="J33" ca="1">IFERROR(INDEX(AK33:AK34, F33), "")</f>
        <v>0</v>
      </c>
      <c r="K33" s="237" t="str">
        <f ca="1">_xlfn.LET(_xlpm.arrQALYs, OFFSET(rngPSA.Samples.QALYs, 0, (D33-1)*6 + F33-1),
"(" &amp;
 TEXT(PERCENTILE(_xlpm.arrQALYs, 0.025), "0.000") &amp; " to " &amp;
 TEXT(PERCENTILE(_xlpm.arrQALYs, 0.975), "0.000") &amp; ")")</f>
        <v>(0.000 to 0.000)</v>
      </c>
      <c r="L33" s="236">
        <f t="shared" ca="1" si="2"/>
        <v>0</v>
      </c>
      <c r="M33" s="237" t="str" cm="1">
        <f t="array" aca="1" ref="M33" ca="1">_xlfn.LET(_xlpm.arrNHB, OFFSET(rngPSA.Samples.QALYs, 0, (D33-1)*6 + F33-1) - OFFSET(rngPSA.Samples.Costs, 0, (D33-1)*6 + F33-1)/L$6,
"(" &amp;
 TEXT(PERCENTILE(_xlpm.arrNHB, 0.025), "0.000") &amp; " to " &amp;
 TEXT(PERCENTILE(_xlpm.arrNHB, 0.975), "0.000") &amp; ")")</f>
        <v>(0.000 to 0.000)</v>
      </c>
      <c r="N33" s="236">
        <f t="shared" ca="1" si="3"/>
        <v>0</v>
      </c>
      <c r="O33" s="237" t="str" cm="1">
        <f t="array" aca="1" ref="O33" ca="1">_xlfn.LET(_xlpm.arrNHB, OFFSET(rngPSA.Samples.QALYs, 0, (D33-1)*6 + F33-1) - OFFSET(rngPSA.Samples.Costs, 0, (D33-1)*6 + F33-1)/N$6,
"(" &amp;
 TEXT(PERCENTILE(_xlpm.arrNHB, 0.025), "0.000") &amp; " to " &amp;
 TEXT(PERCENTILE(_xlpm.arrNHB, 0.975), "0.000") &amp; ")")</f>
        <v>(0.000 to 0.000)</v>
      </c>
      <c r="P33" s="217"/>
      <c r="Q33" s="234" t="str">
        <f>IF($AG33=1, "", H33-H31)</f>
        <v/>
      </c>
      <c r="R33" s="235" t="str" cm="1">
        <f t="array" aca="1" ref="R33" ca="1">_xlfn.LET(_xlpm.arrIncCosts, OFFSET(rngPSA.Samples.Costs, 0, ($D33-1)*6 + $F33-1)-OFFSET(rngPSA.Samples.Costs, 0, ($D33-1)*6 + $F31-1),
IF(AG33=1, "", "(" &amp;
 TEXT(PERCENTILE(_xlpm.arrIncCosts, 0.025), "£#,##0;−£#,##0") &amp; " to " &amp;
 TEXT(PERCENTILE(_xlpm.arrIncCosts, 0.975), "£#,##0;−£#,##0") &amp; ")"))</f>
        <v/>
      </c>
      <c r="S33" s="236" t="str">
        <f>IF($AG33=1, "", J33-J31)</f>
        <v/>
      </c>
      <c r="T33" s="235" t="str" cm="1">
        <f t="array" aca="1" ref="T33" ca="1">_xlfn.LET(_xlpm.arrIncQALYs, OFFSET(rngPSA.Samples.QALYs, 0, ($D33-1)*6 + $F33-1)-OFFSET(rngPSA.Samples.QALYs, 0, ($D33-1)*6 + $F31-1),
IF($AG33=1, "", "(" &amp;
 TEXT(PERCENTILE(_xlpm.arrIncQALYs, 0.025), "0.000;−0.000") &amp; " to " &amp;
 TEXT(PERCENTILE(_xlpm.arrIncQALYs, 0.975), "0.000;−0.000") &amp; ")"))</f>
        <v/>
      </c>
      <c r="U33" s="275" t="str">
        <f>IF($AG33=1, "", IF(AND(Q33&gt;0, S33&lt;0), "dominated", Q33/S33))</f>
        <v/>
      </c>
      <c r="V33" s="274"/>
      <c r="W33" s="234" t="str" cm="1">
        <f t="array" aca="1" ref="W33" ca="1">IF(F33=swtchResults.PSA.Baseline, "-", H33-INDEX(AI33:AI34, swtchResults.PSA.Baseline))</f>
        <v>-</v>
      </c>
      <c r="X33" s="238" t="str" cm="1">
        <f t="array" aca="1" ref="X33" ca="1">IF(F33=swtchResults.PSA.Baseline, "-", "(" &amp;
 TEXT(PERCENTILE(OFFSET(rngPSA.Samples.Costs, 0, (D33-1)*6 + F33-1)-OFFSET(rngPSA.Samples.Costs, 0, (D33-1)*6 + swtchResults.PSA.Baseline-1), 0.025), "£#,##0;−£#,##0") &amp; " to " &amp;
 TEXT(PERCENTILE(OFFSET(rngPSA.Samples.Costs, 0, (D33-1)*6 + F33-1)-OFFSET(rngPSA.Samples.Costs, 0, (D33-1)*6 + swtchResults.PSA.Baseline-1), 0.975), "£#,##0;−£#,##0") &amp; ")")</f>
        <v>-</v>
      </c>
      <c r="Y33" s="236" t="str" cm="1">
        <f t="array" aca="1" ref="Y33" ca="1">IF(F33=swtchResults.PSA.Baseline, "-", J33-INDEX(AK33:AK34, swtchResults.PSA.Baseline))</f>
        <v>-</v>
      </c>
      <c r="Z33" s="238" t="str" cm="1">
        <f t="array" aca="1" ref="Z33" ca="1">IF(F33=swtchResults.PSA.Baseline, "-", "(" &amp;
 TEXT(PERCENTILE(OFFSET(rngPSA.Samples.QALYs, 0, (D33-1)*6 + F33-1)-OFFSET(rngPSA.Samples.QALYs, 0, (D33-1)*6 + swtchResults.PSA.Baseline-1), 0.025), "0.000;−0.000") &amp; " to " &amp;
 TEXT(PERCENTILE(OFFSET(rngPSA.Samples.QALYs, 0, (D33-1)*6 + F33-1)-OFFSET(rngPSA.Samples.QALYs, 0, (D33-1)*6 + swtchResults.PSA.Baseline-1), 0.975), "0.000;−0.000") &amp; ")")</f>
        <v>-</v>
      </c>
      <c r="AA33" s="239" t="str" cm="1">
        <f t="array" aca="1" ref="AA33" ca="1">IF(F33=swtchResults.PSA.Baseline, "-", Y33-W33/AA$7)</f>
        <v>-</v>
      </c>
      <c r="AB33" s="238" t="str" cm="1">
        <f t="array" aca="1" ref="AB33" ca="1">_xlfn.LET(_xlpm.arrNHB, (OFFSET(rngPSA.Samples.QALYs, 0, (D33-1)*6 + F33-1)-OFFSET(rngPSA.Samples.QALYs, 0, (D33-1)*6 + swtchResults.PSA.Baseline-1)) - (OFFSET(rngPSA.Samples.Costs, 0, (D33-1)*6 + F33-1)-OFFSET(rngPSA.Samples.Costs, 0, (D33-1)*6 + swtchResults.PSA.Baseline-1))/AA$7,
 IF(F33=swtchResults.PSA.Baseline, "-", "(" &amp;
 TEXT(PERCENTILE(_xlpm.arrNHB, 0.025), "0.000;−0.000") &amp; " to " &amp;
 TEXT(PERCENTILE(_xlpm.arrNHB, 0.975), "0.000;−0.000") &amp; ")"))</f>
        <v>-</v>
      </c>
      <c r="AC33" s="239" t="str" cm="1">
        <f t="array" aca="1" ref="AC33" ca="1">IF(F33=swtchResults.PSA.Baseline, "-", Y33-W33/AC$7)</f>
        <v>-</v>
      </c>
      <c r="AD33" s="238" t="str" cm="1">
        <f t="array" aca="1" ref="AD33" ca="1">_xlfn.LET(_xlpm.arrNHB, (OFFSET(rngPSA.Samples.QALYs, 0, (D33-1)*6 + F33-1)-OFFSET(rngPSA.Samples.QALYs, 0, (D33-1)*6 + swtchResults.PSA.Baseline-1)) - (OFFSET(rngPSA.Samples.Costs, 0, (D33-1)*6 + F33-1)-OFFSET(rngPSA.Samples.Costs, 0, (D33-1)*6 + swtchResults.PSA.Baseline-1))/AC$7,
 IF(F33=swtchResults.PSA.Baseline, "-", "(" &amp;
 TEXT(PERCENTILE(_xlpm.arrNHB, 0.025), "0.000;−0.000") &amp; " to " &amp;
 TEXT(PERCENTILE(_xlpm.arrNHB, 0.975), "0.000;−0.000") &amp; ")"))</f>
        <v>-</v>
      </c>
      <c r="AE33" s="218" t="str" cm="1">
        <f t="array" aca="1" ref="AE33" ca="1">IF(F33=swtchResults.PSA.Baseline, "ref", IF(AND(W33&lt;=0, Y33&gt;0), "dominant", IF(AND(W33&gt;0, Y33&lt;0), "dominated", W33/Y33)))</f>
        <v>ref</v>
      </c>
      <c r="AF33" s="219"/>
      <c r="AG33" s="215">
        <v>1</v>
      </c>
      <c r="AH33" s="216" t="str">
        <f t="shared" si="0"/>
        <v>HPE</v>
      </c>
      <c r="AI33" s="220" cm="1">
        <f t="array" aca="1" ref="AI33" ca="1">INDEX(OFFSET(rngPSA.MeanCosts.Root, 0, (D33-1)*6), AG33)</f>
        <v>107166.91295650088</v>
      </c>
      <c r="AJ33" s="220" t="str">
        <f ca="1">_xlfn.LET(_xlpm.arrCosts, OFFSET(rngPSA.Samples.Costs, 0, ($D33-1)*6 + $AG33-1),
"(" &amp;
 TEXT(PERCENTILE(_xlpm.arrCosts, 0.025), "£#,##0;−£#,##0") &amp; " to " &amp;
 TEXT(PERCENTILE(_xlpm.arrCosts, 0.975), "£#,##0;−£#,##0") &amp; ")")</f>
        <v>(−£657,488 to £869,546)</v>
      </c>
      <c r="AK33" s="221" cm="1">
        <f t="array" aca="1" ref="AK33" ca="1">INDEX(OFFSET(rngPSA.MeanQALYs.Root, 0, (D33-1)*6), AG33)</f>
        <v>-417.19811780218339</v>
      </c>
      <c r="AL33" s="292" t="str">
        <f ca="1">_xlfn.LET(_xlpm.arrQALYs, OFFSET(rngPSA.Samples.QALYs, 0, ($D33-1)*6 + $AG33-1),
"(" &amp;
 TEXT(PERCENTILE(_xlpm.arrQALYs, 0.025), "0.000") &amp; " to " &amp;
 TEXT(PERCENTILE(_xlpm.arrQALYs, 0.975), "0.000") &amp; ")")</f>
        <v>(-637.129 to -247.964)</v>
      </c>
      <c r="AM33" s="222" t="str">
        <f>IFERROR(INDEX(rngPSA.MeanLYs, AG33), "")</f>
        <v/>
      </c>
      <c r="AN33" s="213"/>
      <c r="AQ33" s="223"/>
    </row>
    <row r="34" spans="4:43" ht="12" customHeight="1" thickBot="1" x14ac:dyDescent="0.3">
      <c r="D34" s="10">
        <f t="shared" si="1"/>
        <v>9</v>
      </c>
      <c r="E34" s="59"/>
      <c r="F34" s="224">
        <f ca="1">MATCH(SMALL(AI33:AI34, AG34), AI33:AI34, 0)</f>
        <v>1</v>
      </c>
      <c r="G34" s="225" t="str" cm="1">
        <f t="array" aca="1" ref="G34" ca="1">INDEX(rngStrats, F34)</f>
        <v>HPE</v>
      </c>
      <c r="H34" s="240" cm="1">
        <f t="array" aca="1" ref="H34" ca="1">IFERROR(INDEX(AI33:AI34, F34), "")</f>
        <v>107166.91295650088</v>
      </c>
      <c r="I34" s="241" t="str">
        <f ca="1">_xlfn.LET(_xlpm.arrCosts, OFFSET(rngPSA.Samples.Costs, 0, (D34-1)*6 + F34-1),
"(" &amp;
 TEXT(PERCENTILE(_xlpm.arrCosts, 0.025), "£#,##0;−£#,##0") &amp; " to " &amp;
 TEXT(PERCENTILE(_xlpm.arrCosts, 0.975), "£#,##0;−£#,##0") &amp; ")")</f>
        <v>(−£657,488 to £869,546)</v>
      </c>
      <c r="J34" s="243" cm="1">
        <f t="array" aca="1" ref="J34" ca="1">IFERROR(INDEX(AK33:AK34, F34), "")</f>
        <v>-417.19811780218339</v>
      </c>
      <c r="K34" s="242" t="str">
        <f ca="1">_xlfn.LET(_xlpm.arrQALYs, OFFSET(rngPSA.Samples.QALYs, 0, (D34-1)*6 + F34-1),
"(" &amp;
 TEXT(PERCENTILE(_xlpm.arrQALYs, 0.025), "0.000") &amp; " to " &amp;
 TEXT(PERCENTILE(_xlpm.arrQALYs, 0.975), "0.000") &amp; ")")</f>
        <v>(-637.129 to -247.964)</v>
      </c>
      <c r="L34" s="243">
        <f t="shared" ca="1" si="2"/>
        <v>-422.55646345000844</v>
      </c>
      <c r="M34" s="244" t="str" cm="1">
        <f t="array" aca="1" ref="M34" ca="1">_xlfn.LET(_xlpm.arrNHB, OFFSET(rngPSA.Samples.QALYs, 0, (D34-1)*6 + F34-1) - OFFSET(rngPSA.Samples.Costs, 0, (D34-1)*6 + F34-1)/L$6,
"(" &amp;
 TEXT(PERCENTILE(_xlpm.arrNHB, 0.025), "0.000") &amp; " to " &amp;
 TEXT(PERCENTILE(_xlpm.arrNHB, 0.975), "0.000") &amp; ")")</f>
        <v>(-624.682 to -267.653)</v>
      </c>
      <c r="N34" s="243">
        <f t="shared" ca="1" si="3"/>
        <v>-420.77034823406677</v>
      </c>
      <c r="O34" s="244" t="str" cm="1">
        <f t="array" aca="1" ref="O34" ca="1">_xlfn.LET(_xlpm.arrNHB, OFFSET(rngPSA.Samples.QALYs, 0, (D34-1)*6 + F34-1) - OFFSET(rngPSA.Samples.Costs, 0, (D34-1)*6 + F34-1)/N$6,
"(" &amp;
 TEXT(PERCENTILE(_xlpm.arrNHB, 0.025), "0.000") &amp; " to " &amp;
 TEXT(PERCENTILE(_xlpm.arrNHB, 0.975), "0.000") &amp; ")")</f>
        <v>(-631.670 to -262.391)</v>
      </c>
      <c r="P34" s="228"/>
      <c r="Q34" s="240">
        <f ca="1">IF($AG34=1, "", H34-H33)</f>
        <v>107166.91295650088</v>
      </c>
      <c r="R34" s="241" t="str" cm="1">
        <f t="array" aca="1" ref="R34" ca="1">_xlfn.LET(_xlpm.arrIncCosts, OFFSET(rngPSA.Samples.Costs, 0, ($D34-1)*6 + $F34-1)-OFFSET(rngPSA.Samples.Costs, 0, ($D34-1)*6 + $F33-1),
IF(AG34=1, "", "(" &amp;
 TEXT(PERCENTILE(_xlpm.arrIncCosts, 0.025), "£#,##0;−£#,##0") &amp; " to " &amp;
 TEXT(PERCENTILE(_xlpm.arrIncCosts, 0.975), "£#,##0;−£#,##0") &amp; ")"))</f>
        <v>(−£657,488 to £869,546)</v>
      </c>
      <c r="S34" s="243">
        <f ca="1">IF($AG34=1, "", J34-J33)</f>
        <v>-417.19811780218339</v>
      </c>
      <c r="T34" s="241" t="str" cm="1">
        <f t="array" aca="1" ref="T34" ca="1">_xlfn.LET(_xlpm.arrIncQALYs, OFFSET(rngPSA.Samples.QALYs, 0, ($D34-1)*6 + $F34-1)-OFFSET(rngPSA.Samples.QALYs, 0, ($D34-1)*6 + $F33-1),
IF($AG34=1, "", "(" &amp;
 TEXT(PERCENTILE(_xlpm.arrIncQALYs, 0.025), "0.000;−0.000") &amp; " to " &amp;
 TEXT(PERCENTILE(_xlpm.arrIncQALYs, 0.975), "0.000;−0.000") &amp; ")"))</f>
        <v>(−637.129 to −247.964)</v>
      </c>
      <c r="U34" s="273" t="str">
        <f ca="1">IF($AG34=1, "", IF(AND(Q34&gt;0, S34&lt;0), "dominated", Q34/S34))</f>
        <v>dominated</v>
      </c>
      <c r="V34" s="272"/>
      <c r="W34" s="240" cm="1">
        <f t="array" aca="1" ref="W34" ca="1">IF(F34=swtchResults.PSA.Baseline, "-", H34-INDEX(AI33:AI34, swtchResults.PSA.Baseline))</f>
        <v>107166.91295650088</v>
      </c>
      <c r="X34" s="241" t="str" cm="1">
        <f t="array" aca="1" ref="X34" ca="1">IF(F34=swtchResults.PSA.Baseline, "-", "(" &amp;
 TEXT(PERCENTILE(OFFSET(rngPSA.Samples.Costs, 0, (D34-1)*6 + F34-1)-OFFSET(rngPSA.Samples.Costs, 0, (D34-1)*6 + swtchResults.PSA.Baseline-1), 0.025), "£#,##0;−£#,##0") &amp; " to " &amp;
 TEXT(PERCENTILE(OFFSET(rngPSA.Samples.Costs, 0, (D34-1)*6 + F34-1)-OFFSET(rngPSA.Samples.Costs, 0, (D34-1)*6 + swtchResults.PSA.Baseline-1), 0.975), "£#,##0;−£#,##0") &amp; ")")</f>
        <v>(−£657,488 to £869,546)</v>
      </c>
      <c r="Y34" s="243" cm="1">
        <f t="array" aca="1" ref="Y34" ca="1">IF(F34=swtchResults.PSA.Baseline, "-", J34-INDEX(AK33:AK34, swtchResults.PSA.Baseline))</f>
        <v>-417.19811780218339</v>
      </c>
      <c r="Z34" s="244" t="str" cm="1">
        <f t="array" aca="1" ref="Z34" ca="1">IF(F34=swtchResults.PSA.Baseline, "-", "(" &amp;
 TEXT(PERCENTILE(OFFSET(rngPSA.Samples.QALYs, 0, (D34-1)*6 + F34-1)-OFFSET(rngPSA.Samples.QALYs, 0, (D34-1)*6 + swtchResults.PSA.Baseline-1), 0.025), "0.000;−0.000") &amp; " to " &amp;
 TEXT(PERCENTILE(OFFSET(rngPSA.Samples.QALYs, 0, (D34-1)*6 + F34-1)-OFFSET(rngPSA.Samples.QALYs, 0, (D34-1)*6 + swtchResults.PSA.Baseline-1), 0.975), "0.000;−0.000") &amp; ")")</f>
        <v>(−637.129 to −247.964)</v>
      </c>
      <c r="AA34" s="245" cm="1">
        <f t="array" aca="1" ref="AA34" ca="1">IF(F34=swtchResults.PSA.Baseline, "-", Y34-W34/AA$7)</f>
        <v>-422.55646345000844</v>
      </c>
      <c r="AB34" s="244" t="str" cm="1">
        <f t="array" aca="1" ref="AB34" ca="1">_xlfn.LET(_xlpm.arrNHB, (OFFSET(rngPSA.Samples.QALYs, 0, (D34-1)*6 + F34-1)-OFFSET(rngPSA.Samples.QALYs, 0, (D34-1)*6 + swtchResults.PSA.Baseline-1)) - (OFFSET(rngPSA.Samples.Costs, 0, (D34-1)*6 + F34-1)-OFFSET(rngPSA.Samples.Costs, 0, (D34-1)*6 + swtchResults.PSA.Baseline-1))/AA$7,
 IF(F34=swtchResults.PSA.Baseline, "-", "(" &amp;
 TEXT(PERCENTILE(_xlpm.arrNHB, 0.025), "0.000;−0.000") &amp; " to " &amp;
 TEXT(PERCENTILE(_xlpm.arrNHB, 0.975), "0.000;−0.000") &amp; ")"))</f>
        <v>(−624.682 to −267.653)</v>
      </c>
      <c r="AC34" s="245" cm="1">
        <f t="array" aca="1" ref="AC34" ca="1">IF(F34=swtchResults.PSA.Baseline, "-", Y34-W34/AC$7)</f>
        <v>-420.77034823406677</v>
      </c>
      <c r="AD34" s="244" t="str" cm="1">
        <f t="array" aca="1" ref="AD34" ca="1">_xlfn.LET(_xlpm.arrNHB, (OFFSET(rngPSA.Samples.QALYs, 0, (D34-1)*6 + F34-1)-OFFSET(rngPSA.Samples.QALYs, 0, (D34-1)*6 + swtchResults.PSA.Baseline-1)) - (OFFSET(rngPSA.Samples.Costs, 0, (D34-1)*6 + F34-1)-OFFSET(rngPSA.Samples.Costs, 0, (D34-1)*6 + swtchResults.PSA.Baseline-1))/AC$7,
 IF(F34=swtchResults.PSA.Baseline, "-", "(" &amp;
 TEXT(PERCENTILE(_xlpm.arrNHB, 0.025), "0.000;−0.000") &amp; " to " &amp;
 TEXT(PERCENTILE(_xlpm.arrNHB, 0.975), "0.000;−0.000") &amp; ")"))</f>
        <v>(−631.670 to −262.391)</v>
      </c>
      <c r="AE34" s="229" t="str" cm="1">
        <f t="array" aca="1" ref="AE34" ca="1">IF(F34=swtchResults.PSA.Baseline, "ref", IF(AND(W34&lt;=0, Y34&gt;0), "dominant", IF(AND(W34&gt;0, Y34&lt;0), "dominated", W34/Y34)))</f>
        <v>dominated</v>
      </c>
      <c r="AF34" s="219"/>
      <c r="AG34" s="224">
        <v>2</v>
      </c>
      <c r="AH34" s="225" t="str">
        <f t="shared" si="0"/>
        <v>No HPE</v>
      </c>
      <c r="AI34" s="230" cm="1">
        <f t="array" aca="1" ref="AI34" ca="1">INDEX(OFFSET(rngPSA.MeanCosts.Root, 0, (D34-1)*6), AG34)</f>
        <v>0</v>
      </c>
      <c r="AJ34" s="230" t="str">
        <f ca="1">_xlfn.LET(_xlpm.arrCosts, OFFSET(rngPSA.Samples.Costs, 0, ($D34-1)*6 + $AG34-1),
"(" &amp;
 TEXT(PERCENTILE(_xlpm.arrCosts, 0.025), "£#,##0;−£#,##0") &amp; " to " &amp;
 TEXT(PERCENTILE(_xlpm.arrCosts, 0.975), "£#,##0;−£#,##0") &amp; ")")</f>
        <v>(£0 to £0)</v>
      </c>
      <c r="AK34" s="231" cm="1">
        <f t="array" aca="1" ref="AK34" ca="1">INDEX(OFFSET(rngPSA.MeanQALYs.Root, 0, (D34-1)*6), AG34)</f>
        <v>0</v>
      </c>
      <c r="AL34" s="293" t="str">
        <f ca="1">_xlfn.LET(_xlpm.arrQALYs, OFFSET(rngPSA.Samples.QALYs, 0, ($D34-1)*6 + $AG34-1),
"(" &amp;
 TEXT(PERCENTILE(_xlpm.arrQALYs, 0.025), "0.000") &amp; " to " &amp;
 TEXT(PERCENTILE(_xlpm.arrQALYs, 0.975), "0.000") &amp; ")")</f>
        <v>(0.000 to 0.000)</v>
      </c>
      <c r="AM34" s="232" t="str">
        <f>IFERROR(INDEX(rngPSA.MeanLYs, AG34), "")</f>
        <v/>
      </c>
      <c r="AN34" s="213"/>
      <c r="AQ34" s="223"/>
    </row>
    <row r="35" spans="4:43" ht="12" customHeight="1" thickBot="1" x14ac:dyDescent="0.3">
      <c r="D35" s="10">
        <f t="shared" si="1"/>
        <v>10</v>
      </c>
      <c r="E35" s="59"/>
      <c r="F35" s="481" t="str" cm="1">
        <f t="array" ref="F35">INDEX(lstQs, D35)</f>
        <v>Expected harm in England: query E</v>
      </c>
      <c r="G35" s="482"/>
      <c r="H35" s="482"/>
      <c r="I35" s="482"/>
      <c r="J35" s="482"/>
      <c r="K35" s="482"/>
      <c r="L35" s="482"/>
      <c r="M35" s="482"/>
      <c r="N35" s="482"/>
      <c r="O35" s="482"/>
      <c r="P35" s="482"/>
      <c r="Q35" s="482"/>
      <c r="R35" s="482"/>
      <c r="S35" s="482"/>
      <c r="T35" s="482"/>
      <c r="U35" s="482"/>
      <c r="V35" s="482"/>
      <c r="W35" s="482"/>
      <c r="X35" s="482"/>
      <c r="Y35" s="482"/>
      <c r="Z35" s="482"/>
      <c r="AA35" s="482"/>
      <c r="AB35" s="482"/>
      <c r="AC35" s="482"/>
      <c r="AD35" s="482"/>
      <c r="AE35" s="482"/>
      <c r="AF35" s="482"/>
      <c r="AG35" s="482"/>
      <c r="AH35" s="482"/>
      <c r="AI35" s="482"/>
      <c r="AJ35" s="482"/>
      <c r="AK35" s="482"/>
      <c r="AL35" s="482"/>
      <c r="AM35" s="483"/>
      <c r="AN35" s="10"/>
    </row>
    <row r="36" spans="4:43" ht="12" customHeight="1" x14ac:dyDescent="0.25">
      <c r="D36" s="10">
        <f t="shared" si="1"/>
        <v>10</v>
      </c>
      <c r="E36" s="59"/>
      <c r="F36" s="215">
        <f ca="1">MATCH(SMALL(AI36:AI37, AG36), AI36:AI37, 0)</f>
        <v>2</v>
      </c>
      <c r="G36" s="216" t="str" cm="1">
        <f t="array" aca="1" ref="G36" ca="1">INDEX(rngStrats, F36)</f>
        <v>No HPE</v>
      </c>
      <c r="H36" s="234" cm="1">
        <f t="array" aca="1" ref="H36" ca="1">IFERROR(INDEX(AI36:AI37, F36), "")</f>
        <v>0</v>
      </c>
      <c r="I36" s="235" t="str">
        <f ca="1">_xlfn.LET(_xlpm.arrCosts, OFFSET(rngPSA.Samples.Costs, 0, (D36-1)*6 + F36-1),
"(" &amp;
 TEXT(PERCENTILE(_xlpm.arrCosts, 0.025), "£#,##0;−£#,##0") &amp; " to " &amp;
 TEXT(PERCENTILE(_xlpm.arrCosts, 0.975), "£#,##0;−£#,##0") &amp; ")")</f>
        <v>(£0 to £0)</v>
      </c>
      <c r="J36" s="236" cm="1">
        <f t="array" aca="1" ref="J36" ca="1">IFERROR(INDEX(AK36:AK37, F36), "")</f>
        <v>0</v>
      </c>
      <c r="K36" s="237" t="str">
        <f ca="1">_xlfn.LET(_xlpm.arrQALYs, OFFSET(rngPSA.Samples.QALYs, 0, (D36-1)*6 + F36-1),
"(" &amp;
 TEXT(PERCENTILE(_xlpm.arrQALYs, 0.025), "0.000") &amp; " to " &amp;
 TEXT(PERCENTILE(_xlpm.arrQALYs, 0.975), "0.000") &amp; ")")</f>
        <v>(0.000 to 0.000)</v>
      </c>
      <c r="L36" s="236">
        <f t="shared" ca="1" si="2"/>
        <v>0</v>
      </c>
      <c r="M36" s="237" t="str" cm="1">
        <f t="array" aca="1" ref="M36" ca="1">_xlfn.LET(_xlpm.arrNHB, OFFSET(rngPSA.Samples.QALYs, 0, (D36-1)*6 + F36-1) - OFFSET(rngPSA.Samples.Costs, 0, (D36-1)*6 + F36-1)/L$6,
"(" &amp;
 TEXT(PERCENTILE(_xlpm.arrNHB, 0.025), "0.000") &amp; " to " &amp;
 TEXT(PERCENTILE(_xlpm.arrNHB, 0.975), "0.000") &amp; ")")</f>
        <v>(0.000 to 0.000)</v>
      </c>
      <c r="N36" s="236">
        <f t="shared" ca="1" si="3"/>
        <v>0</v>
      </c>
      <c r="O36" s="237" t="str" cm="1">
        <f t="array" aca="1" ref="O36" ca="1">_xlfn.LET(_xlpm.arrNHB, OFFSET(rngPSA.Samples.QALYs, 0, (D36-1)*6 + F36-1) - OFFSET(rngPSA.Samples.Costs, 0, (D36-1)*6 + F36-1)/N$6,
"(" &amp;
 TEXT(PERCENTILE(_xlpm.arrNHB, 0.025), "0.000") &amp; " to " &amp;
 TEXT(PERCENTILE(_xlpm.arrNHB, 0.975), "0.000") &amp; ")")</f>
        <v>(0.000 to 0.000)</v>
      </c>
      <c r="P36" s="217"/>
      <c r="Q36" s="234" t="str">
        <f>IF($AG36=1, "", H36-H34)</f>
        <v/>
      </c>
      <c r="R36" s="235" t="str" cm="1">
        <f t="array" aca="1" ref="R36" ca="1">_xlfn.LET(_xlpm.arrIncCosts, OFFSET(rngPSA.Samples.Costs, 0, ($D36-1)*6 + $F36-1)-OFFSET(rngPSA.Samples.Costs, 0, ($D36-1)*6 + $F34-1),
IF(AG36=1, "", "(" &amp;
 TEXT(PERCENTILE(_xlpm.arrIncCosts, 0.025), "£#,##0;−£#,##0") &amp; " to " &amp;
 TEXT(PERCENTILE(_xlpm.arrIncCosts, 0.975), "£#,##0;−£#,##0") &amp; ")"))</f>
        <v/>
      </c>
      <c r="S36" s="236" t="str">
        <f>IF($AG36=1, "", J36-J34)</f>
        <v/>
      </c>
      <c r="T36" s="235" t="str" cm="1">
        <f t="array" aca="1" ref="T36" ca="1">_xlfn.LET(_xlpm.arrIncQALYs, OFFSET(rngPSA.Samples.QALYs, 0, ($D36-1)*6 + $F36-1)-OFFSET(rngPSA.Samples.QALYs, 0, ($D36-1)*6 + $F34-1),
IF($AG36=1, "", "(" &amp;
 TEXT(PERCENTILE(_xlpm.arrIncQALYs, 0.025), "0.000;−0.000") &amp; " to " &amp;
 TEXT(PERCENTILE(_xlpm.arrIncQALYs, 0.975), "0.000;−0.000") &amp; ")"))</f>
        <v/>
      </c>
      <c r="U36" s="275" t="str">
        <f>IF($AG36=1, "", IF(AND(Q36&gt;0, S36&lt;0), "dominated", Q36/S36))</f>
        <v/>
      </c>
      <c r="V36" s="274"/>
      <c r="W36" s="234" t="str" cm="1">
        <f t="array" aca="1" ref="W36" ca="1">IF(F36=swtchResults.PSA.Baseline, "-", H36-INDEX(AI36:AI37, swtchResults.PSA.Baseline))</f>
        <v>-</v>
      </c>
      <c r="X36" s="238" t="str" cm="1">
        <f t="array" aca="1" ref="X36" ca="1">IF(F36=swtchResults.PSA.Baseline, "-", "(" &amp;
 TEXT(PERCENTILE(OFFSET(rngPSA.Samples.Costs, 0, (D36-1)*6 + F36-1)-OFFSET(rngPSA.Samples.Costs, 0, (D36-1)*6 + swtchResults.PSA.Baseline-1), 0.025), "£#,##0;−£#,##0") &amp; " to " &amp;
 TEXT(PERCENTILE(OFFSET(rngPSA.Samples.Costs, 0, (D36-1)*6 + F36-1)-OFFSET(rngPSA.Samples.Costs, 0, (D36-1)*6 + swtchResults.PSA.Baseline-1), 0.975), "£#,##0;−£#,##0") &amp; ")")</f>
        <v>-</v>
      </c>
      <c r="Y36" s="236" t="str" cm="1">
        <f t="array" aca="1" ref="Y36" ca="1">IF(F36=swtchResults.PSA.Baseline, "-", J36-INDEX(AK36:AK37, swtchResults.PSA.Baseline))</f>
        <v>-</v>
      </c>
      <c r="Z36" s="238" t="str" cm="1">
        <f t="array" aca="1" ref="Z36" ca="1">IF(F36=swtchResults.PSA.Baseline, "-", "(" &amp;
 TEXT(PERCENTILE(OFFSET(rngPSA.Samples.QALYs, 0, (D36-1)*6 + F36-1)-OFFSET(rngPSA.Samples.QALYs, 0, (D36-1)*6 + swtchResults.PSA.Baseline-1), 0.025), "0.000;−0.000") &amp; " to " &amp;
 TEXT(PERCENTILE(OFFSET(rngPSA.Samples.QALYs, 0, (D36-1)*6 + F36-1)-OFFSET(rngPSA.Samples.QALYs, 0, (D36-1)*6 + swtchResults.PSA.Baseline-1), 0.975), "0.000;−0.000") &amp; ")")</f>
        <v>-</v>
      </c>
      <c r="AA36" s="239" t="str" cm="1">
        <f t="array" aca="1" ref="AA36" ca="1">IF(F36=swtchResults.PSA.Baseline, "-", Y36-W36/AA$7)</f>
        <v>-</v>
      </c>
      <c r="AB36" s="238" t="str" cm="1">
        <f t="array" aca="1" ref="AB36" ca="1">_xlfn.LET(_xlpm.arrNHB, (OFFSET(rngPSA.Samples.QALYs, 0, (D36-1)*6 + F36-1)-OFFSET(rngPSA.Samples.QALYs, 0, (D36-1)*6 + swtchResults.PSA.Baseline-1)) - (OFFSET(rngPSA.Samples.Costs, 0, (D36-1)*6 + F36-1)-OFFSET(rngPSA.Samples.Costs, 0, (D36-1)*6 + swtchResults.PSA.Baseline-1))/AA$7,
 IF(F36=swtchResults.PSA.Baseline, "-", "(" &amp;
 TEXT(PERCENTILE(_xlpm.arrNHB, 0.025), "0.000;−0.000") &amp; " to " &amp;
 TEXT(PERCENTILE(_xlpm.arrNHB, 0.975), "0.000;−0.000") &amp; ")"))</f>
        <v>-</v>
      </c>
      <c r="AC36" s="239" t="str" cm="1">
        <f t="array" aca="1" ref="AC36" ca="1">IF(F36=swtchResults.PSA.Baseline, "-", Y36-W36/AC$7)</f>
        <v>-</v>
      </c>
      <c r="AD36" s="238" t="str" cm="1">
        <f t="array" aca="1" ref="AD36" ca="1">_xlfn.LET(_xlpm.arrNHB, (OFFSET(rngPSA.Samples.QALYs, 0, (D36-1)*6 + F36-1)-OFFSET(rngPSA.Samples.QALYs, 0, (D36-1)*6 + swtchResults.PSA.Baseline-1)) - (OFFSET(rngPSA.Samples.Costs, 0, (D36-1)*6 + F36-1)-OFFSET(rngPSA.Samples.Costs, 0, (D36-1)*6 + swtchResults.PSA.Baseline-1))/AC$7,
 IF(F36=swtchResults.PSA.Baseline, "-", "(" &amp;
 TEXT(PERCENTILE(_xlpm.arrNHB, 0.025), "0.000;−0.000") &amp; " to " &amp;
 TEXT(PERCENTILE(_xlpm.arrNHB, 0.975), "0.000;−0.000") &amp; ")"))</f>
        <v>-</v>
      </c>
      <c r="AE36" s="218" t="str" cm="1">
        <f t="array" aca="1" ref="AE36" ca="1">IF(F36=swtchResults.PSA.Baseline, "ref", IF(AND(W36&lt;=0, Y36&gt;0), "dominant", IF(AND(W36&gt;0, Y36&lt;0), "dominated", W36/Y36)))</f>
        <v>ref</v>
      </c>
      <c r="AF36" s="219"/>
      <c r="AG36" s="215">
        <v>1</v>
      </c>
      <c r="AH36" s="216" t="str">
        <f t="shared" si="0"/>
        <v>HPE</v>
      </c>
      <c r="AI36" s="220" cm="1">
        <f t="array" aca="1" ref="AI36" ca="1">INDEX(OFFSET(rngPSA.MeanCosts.Root, 0, (D36-1)*6), AG36)</f>
        <v>3196029.2353842529</v>
      </c>
      <c r="AJ36" s="220" t="str">
        <f ca="1">_xlfn.LET(_xlpm.arrCosts, OFFSET(rngPSA.Samples.Costs, 0, ($D36-1)*6 + $AG36-1),
"(" &amp;
 TEXT(PERCENTILE(_xlpm.arrCosts, 0.025), "£#,##0;−£#,##0") &amp; " to " &amp;
 TEXT(PERCENTILE(_xlpm.arrCosts, 0.975), "£#,##0;−£#,##0") &amp; ")")</f>
        <v>(−£2,367,560 to £11,300,980)</v>
      </c>
      <c r="AK36" s="221" cm="1">
        <f t="array" aca="1" ref="AK36" ca="1">INDEX(OFFSET(rngPSA.MeanQALYs.Root, 0, (D36-1)*6), AG36)</f>
        <v>-1719.0086899055482</v>
      </c>
      <c r="AL36" s="292" t="str">
        <f ca="1">_xlfn.LET(_xlpm.arrQALYs, OFFSET(rngPSA.Samples.QALYs, 0, ($D36-1)*6 + $AG36-1),
"(" &amp;
 TEXT(PERCENTILE(_xlpm.arrQALYs, 0.025), "0.000") &amp; " to " &amp;
 TEXT(PERCENTILE(_xlpm.arrQALYs, 0.975), "0.000") &amp; ")")</f>
        <v>(-3041.784 to -626.271)</v>
      </c>
      <c r="AM36" s="222" t="str">
        <f>IFERROR(INDEX(rngPSA.MeanLYs, AG36), "")</f>
        <v/>
      </c>
      <c r="AN36" s="213"/>
      <c r="AQ36" s="223"/>
    </row>
    <row r="37" spans="4:43" ht="12" customHeight="1" thickBot="1" x14ac:dyDescent="0.3">
      <c r="D37" s="10">
        <f t="shared" si="1"/>
        <v>10</v>
      </c>
      <c r="E37" s="59"/>
      <c r="F37" s="224">
        <f ca="1">MATCH(SMALL(AI36:AI37, AG37), AI36:AI37, 0)</f>
        <v>1</v>
      </c>
      <c r="G37" s="225" t="str" cm="1">
        <f t="array" aca="1" ref="G37" ca="1">INDEX(rngStrats, F37)</f>
        <v>HPE</v>
      </c>
      <c r="H37" s="240" cm="1">
        <f t="array" aca="1" ref="H37" ca="1">IFERROR(INDEX(AI36:AI37, F37), "")</f>
        <v>3196029.2353842529</v>
      </c>
      <c r="I37" s="241" t="str">
        <f ca="1">_xlfn.LET(_xlpm.arrCosts, OFFSET(rngPSA.Samples.Costs, 0, (D37-1)*6 + F37-1),
"(" &amp;
 TEXT(PERCENTILE(_xlpm.arrCosts, 0.025), "£#,##0;−£#,##0") &amp; " to " &amp;
 TEXT(PERCENTILE(_xlpm.arrCosts, 0.975), "£#,##0;−£#,##0") &amp; ")")</f>
        <v>(−£2,367,560 to £11,300,980)</v>
      </c>
      <c r="J37" s="243" cm="1">
        <f t="array" aca="1" ref="J37" ca="1">IFERROR(INDEX(AK36:AK37, F37), "")</f>
        <v>-1719.0086899055482</v>
      </c>
      <c r="K37" s="242" t="str">
        <f ca="1">_xlfn.LET(_xlpm.arrQALYs, OFFSET(rngPSA.Samples.QALYs, 0, (D37-1)*6 + F37-1),
"(" &amp;
 TEXT(PERCENTILE(_xlpm.arrQALYs, 0.025), "0.000") &amp; " to " &amp;
 TEXT(PERCENTILE(_xlpm.arrQALYs, 0.975), "0.000") &amp; ")")</f>
        <v>(-3041.784 to -626.271)</v>
      </c>
      <c r="L37" s="243">
        <f t="shared" ca="1" si="2"/>
        <v>-1878.8101516747608</v>
      </c>
      <c r="M37" s="244" t="str" cm="1">
        <f t="array" aca="1" ref="M37" ca="1">_xlfn.LET(_xlpm.arrNHB, OFFSET(rngPSA.Samples.QALYs, 0, (D37-1)*6 + F37-1) - OFFSET(rngPSA.Samples.Costs, 0, (D37-1)*6 + F37-1)/L$6,
"(" &amp;
 TEXT(PERCENTILE(_xlpm.arrNHB, 0.025), "0.000") &amp; " to " &amp;
 TEXT(PERCENTILE(_xlpm.arrNHB, 0.975), "0.000") &amp; ")")</f>
        <v>(-3410.721 to -664.963)</v>
      </c>
      <c r="N37" s="243">
        <f t="shared" ca="1" si="3"/>
        <v>-1825.5429977516899</v>
      </c>
      <c r="O37" s="244" t="str" cm="1">
        <f t="array" aca="1" ref="O37" ca="1">_xlfn.LET(_xlpm.arrNHB, OFFSET(rngPSA.Samples.QALYs, 0, (D37-1)*6 + F37-1) - OFFSET(rngPSA.Samples.Costs, 0, (D37-1)*6 + F37-1)/N$6,
"(" &amp;
 TEXT(PERCENTILE(_xlpm.arrNHB, 0.025), "0.000") &amp; " to " &amp;
 TEXT(PERCENTILE(_xlpm.arrNHB, 0.975), "0.000") &amp; ")")</f>
        <v>(-3264.582 to -652.461)</v>
      </c>
      <c r="P37" s="228"/>
      <c r="Q37" s="240">
        <f ca="1">IF($AG37=1, "", H37-H36)</f>
        <v>3196029.2353842529</v>
      </c>
      <c r="R37" s="241" t="str" cm="1">
        <f t="array" aca="1" ref="R37" ca="1">_xlfn.LET(_xlpm.arrIncCosts, OFFSET(rngPSA.Samples.Costs, 0, ($D37-1)*6 + $F37-1)-OFFSET(rngPSA.Samples.Costs, 0, ($D37-1)*6 + $F36-1),
IF(AG37=1, "", "(" &amp;
 TEXT(PERCENTILE(_xlpm.arrIncCosts, 0.025), "£#,##0;−£#,##0") &amp; " to " &amp;
 TEXT(PERCENTILE(_xlpm.arrIncCosts, 0.975), "£#,##0;−£#,##0") &amp; ")"))</f>
        <v>(−£2,367,560 to £11,300,980)</v>
      </c>
      <c r="S37" s="243">
        <f ca="1">IF($AG37=1, "", J37-J36)</f>
        <v>-1719.0086899055482</v>
      </c>
      <c r="T37" s="241" t="str" cm="1">
        <f t="array" aca="1" ref="T37" ca="1">_xlfn.LET(_xlpm.arrIncQALYs, OFFSET(rngPSA.Samples.QALYs, 0, ($D37-1)*6 + $F37-1)-OFFSET(rngPSA.Samples.QALYs, 0, ($D37-1)*6 + $F36-1),
IF($AG37=1, "", "(" &amp;
 TEXT(PERCENTILE(_xlpm.arrIncQALYs, 0.025), "0.000;−0.000") &amp; " to " &amp;
 TEXT(PERCENTILE(_xlpm.arrIncQALYs, 0.975), "0.000;−0.000") &amp; ")"))</f>
        <v>(−3041.784 to −626.271)</v>
      </c>
      <c r="U37" s="273" t="str">
        <f ca="1">IF($AG37=1, "", IF(AND(Q37&gt;0, S37&lt;0), "dominated", Q37/S37))</f>
        <v>dominated</v>
      </c>
      <c r="V37" s="272"/>
      <c r="W37" s="240" cm="1">
        <f t="array" aca="1" ref="W37" ca="1">IF(F37=swtchResults.PSA.Baseline, "-", H37-INDEX(AI36:AI37, swtchResults.PSA.Baseline))</f>
        <v>3196029.2353842529</v>
      </c>
      <c r="X37" s="241" t="str" cm="1">
        <f t="array" aca="1" ref="X37" ca="1">IF(F37=swtchResults.PSA.Baseline, "-", "(" &amp;
 TEXT(PERCENTILE(OFFSET(rngPSA.Samples.Costs, 0, (D37-1)*6 + F37-1)-OFFSET(rngPSA.Samples.Costs, 0, (D37-1)*6 + swtchResults.PSA.Baseline-1), 0.025), "£#,##0;−£#,##0") &amp; " to " &amp;
 TEXT(PERCENTILE(OFFSET(rngPSA.Samples.Costs, 0, (D37-1)*6 + F37-1)-OFFSET(rngPSA.Samples.Costs, 0, (D37-1)*6 + swtchResults.PSA.Baseline-1), 0.975), "£#,##0;−£#,##0") &amp; ")")</f>
        <v>(−£2,367,560 to £11,300,980)</v>
      </c>
      <c r="Y37" s="243" cm="1">
        <f t="array" aca="1" ref="Y37" ca="1">IF(F37=swtchResults.PSA.Baseline, "-", J37-INDEX(AK36:AK37, swtchResults.PSA.Baseline))</f>
        <v>-1719.0086899055482</v>
      </c>
      <c r="Z37" s="244" t="str" cm="1">
        <f t="array" aca="1" ref="Z37" ca="1">IF(F37=swtchResults.PSA.Baseline, "-", "(" &amp;
 TEXT(PERCENTILE(OFFSET(rngPSA.Samples.QALYs, 0, (D37-1)*6 + F37-1)-OFFSET(rngPSA.Samples.QALYs, 0, (D37-1)*6 + swtchResults.PSA.Baseline-1), 0.025), "0.000;−0.000") &amp; " to " &amp;
 TEXT(PERCENTILE(OFFSET(rngPSA.Samples.QALYs, 0, (D37-1)*6 + F37-1)-OFFSET(rngPSA.Samples.QALYs, 0, (D37-1)*6 + swtchResults.PSA.Baseline-1), 0.975), "0.000;−0.000") &amp; ")")</f>
        <v>(−3041.784 to −626.271)</v>
      </c>
      <c r="AA37" s="245" cm="1">
        <f t="array" aca="1" ref="AA37" ca="1">IF(F37=swtchResults.PSA.Baseline, "-", Y37-W37/AA$7)</f>
        <v>-1878.8101516747608</v>
      </c>
      <c r="AB37" s="244" t="str" cm="1">
        <f t="array" aca="1" ref="AB37" ca="1">_xlfn.LET(_xlpm.arrNHB, (OFFSET(rngPSA.Samples.QALYs, 0, (D37-1)*6 + F37-1)-OFFSET(rngPSA.Samples.QALYs, 0, (D37-1)*6 + swtchResults.PSA.Baseline-1)) - (OFFSET(rngPSA.Samples.Costs, 0, (D37-1)*6 + F37-1)-OFFSET(rngPSA.Samples.Costs, 0, (D37-1)*6 + swtchResults.PSA.Baseline-1))/AA$7,
 IF(F37=swtchResults.PSA.Baseline, "-", "(" &amp;
 TEXT(PERCENTILE(_xlpm.arrNHB, 0.025), "0.000;−0.000") &amp; " to " &amp;
 TEXT(PERCENTILE(_xlpm.arrNHB, 0.975), "0.000;−0.000") &amp; ")"))</f>
        <v>(−3410.721 to −664.963)</v>
      </c>
      <c r="AC37" s="245" cm="1">
        <f t="array" aca="1" ref="AC37" ca="1">IF(F37=swtchResults.PSA.Baseline, "-", Y37-W37/AC$7)</f>
        <v>-1825.5429977516899</v>
      </c>
      <c r="AD37" s="244" t="str" cm="1">
        <f t="array" aca="1" ref="AD37" ca="1">_xlfn.LET(_xlpm.arrNHB, (OFFSET(rngPSA.Samples.QALYs, 0, (D37-1)*6 + F37-1)-OFFSET(rngPSA.Samples.QALYs, 0, (D37-1)*6 + swtchResults.PSA.Baseline-1)) - (OFFSET(rngPSA.Samples.Costs, 0, (D37-1)*6 + F37-1)-OFFSET(rngPSA.Samples.Costs, 0, (D37-1)*6 + swtchResults.PSA.Baseline-1))/AC$7,
 IF(F37=swtchResults.PSA.Baseline, "-", "(" &amp;
 TEXT(PERCENTILE(_xlpm.arrNHB, 0.025), "0.000;−0.000") &amp; " to " &amp;
 TEXT(PERCENTILE(_xlpm.arrNHB, 0.975), "0.000;−0.000") &amp; ")"))</f>
        <v>(−3264.582 to −652.461)</v>
      </c>
      <c r="AE37" s="229" t="str" cm="1">
        <f t="array" aca="1" ref="AE37" ca="1">IF(F37=swtchResults.PSA.Baseline, "ref", IF(AND(W37&lt;=0, Y37&gt;0), "dominant", IF(AND(W37&gt;0, Y37&lt;0), "dominated", W37/Y37)))</f>
        <v>dominated</v>
      </c>
      <c r="AF37" s="219"/>
      <c r="AG37" s="224">
        <v>2</v>
      </c>
      <c r="AH37" s="225" t="str">
        <f t="shared" si="0"/>
        <v>No HPE</v>
      </c>
      <c r="AI37" s="230" cm="1">
        <f t="array" aca="1" ref="AI37" ca="1">INDEX(OFFSET(rngPSA.MeanCosts.Root, 0, (D37-1)*6), AG37)</f>
        <v>0</v>
      </c>
      <c r="AJ37" s="230" t="str">
        <f ca="1">_xlfn.LET(_xlpm.arrCosts, OFFSET(rngPSA.Samples.Costs, 0, ($D37-1)*6 + $AG37-1),
"(" &amp;
 TEXT(PERCENTILE(_xlpm.arrCosts, 0.025), "£#,##0;−£#,##0") &amp; " to " &amp;
 TEXT(PERCENTILE(_xlpm.arrCosts, 0.975), "£#,##0;−£#,##0") &amp; ")")</f>
        <v>(£0 to £0)</v>
      </c>
      <c r="AK37" s="231" cm="1">
        <f t="array" aca="1" ref="AK37" ca="1">INDEX(OFFSET(rngPSA.MeanQALYs.Root, 0, (D37-1)*6), AG37)</f>
        <v>0</v>
      </c>
      <c r="AL37" s="293" t="str">
        <f ca="1">_xlfn.LET(_xlpm.arrQALYs, OFFSET(rngPSA.Samples.QALYs, 0, ($D37-1)*6 + $AG37-1),
"(" &amp;
 TEXT(PERCENTILE(_xlpm.arrQALYs, 0.025), "0.000") &amp; " to " &amp;
 TEXT(PERCENTILE(_xlpm.arrQALYs, 0.975), "0.000") &amp; ")")</f>
        <v>(0.000 to 0.000)</v>
      </c>
      <c r="AM37" s="232" t="str">
        <f>IFERROR(INDEX(rngPSA.MeanLYs, AG37), "")</f>
        <v/>
      </c>
      <c r="AN37" s="213"/>
      <c r="AQ37" s="223"/>
    </row>
    <row r="38" spans="4:43" ht="12" customHeight="1" thickBot="1" x14ac:dyDescent="0.3">
      <c r="D38" s="10">
        <f t="shared" si="1"/>
        <v>11</v>
      </c>
      <c r="E38" s="59"/>
      <c r="F38" s="481" t="str" cm="1">
        <f t="array" ref="F38">INDEX(lstQs, D38)</f>
        <v>Expected harm in England: total</v>
      </c>
      <c r="G38" s="482"/>
      <c r="H38" s="482"/>
      <c r="I38" s="482"/>
      <c r="J38" s="482"/>
      <c r="K38" s="482"/>
      <c r="L38" s="482"/>
      <c r="M38" s="482"/>
      <c r="N38" s="482"/>
      <c r="O38" s="482"/>
      <c r="P38" s="482"/>
      <c r="Q38" s="482"/>
      <c r="R38" s="482"/>
      <c r="S38" s="482"/>
      <c r="T38" s="482"/>
      <c r="U38" s="482"/>
      <c r="V38" s="482"/>
      <c r="W38" s="482"/>
      <c r="X38" s="482"/>
      <c r="Y38" s="482"/>
      <c r="Z38" s="482"/>
      <c r="AA38" s="482"/>
      <c r="AB38" s="482"/>
      <c r="AC38" s="482"/>
      <c r="AD38" s="482"/>
      <c r="AE38" s="482"/>
      <c r="AF38" s="482"/>
      <c r="AG38" s="482"/>
      <c r="AH38" s="482"/>
      <c r="AI38" s="482"/>
      <c r="AJ38" s="482"/>
      <c r="AK38" s="482"/>
      <c r="AL38" s="482"/>
      <c r="AM38" s="483"/>
      <c r="AN38" s="10"/>
    </row>
    <row r="39" spans="4:43" ht="12" customHeight="1" x14ac:dyDescent="0.25">
      <c r="D39" s="10">
        <f t="shared" si="1"/>
        <v>11</v>
      </c>
      <c r="E39" s="59"/>
      <c r="F39" s="215">
        <f ca="1">MATCH(SMALL(AI39:AI40, AG39), AI39:AI40, 0)</f>
        <v>2</v>
      </c>
      <c r="G39" s="216" t="str" cm="1">
        <f t="array" aca="1" ref="G39" ca="1">INDEX(rngStrats, F39)</f>
        <v>No HPE</v>
      </c>
      <c r="H39" s="234" cm="1">
        <f t="array" aca="1" ref="H39" ca="1">IFERROR(INDEX(AI39:AI40, F39), "")</f>
        <v>0</v>
      </c>
      <c r="I39" s="235" t="str">
        <f ca="1">_xlfn.LET(_xlpm.arrCosts, OFFSET(rngPSA.Samples.Costs, 0, (D39-1)*6 + F39-1),
"(" &amp;
 TEXT(PERCENTILE(_xlpm.arrCosts, 0.025), "£#,##0;−£#,##0") &amp; " to " &amp;
 TEXT(PERCENTILE(_xlpm.arrCosts, 0.975), "£#,##0;−£#,##0") &amp; ")")</f>
        <v>(£0 to £0)</v>
      </c>
      <c r="J39" s="236" cm="1">
        <f t="array" aca="1" ref="J39" ca="1">IFERROR(INDEX(AK39:AK40, F39), "")</f>
        <v>0</v>
      </c>
      <c r="K39" s="237" t="str">
        <f ca="1">_xlfn.LET(_xlpm.arrQALYs, OFFSET(rngPSA.Samples.QALYs, 0, (D39-1)*6 + F39-1),
"(" &amp;
 TEXT(PERCENTILE(_xlpm.arrQALYs, 0.025), "0.000") &amp; " to " &amp;
 TEXT(PERCENTILE(_xlpm.arrQALYs, 0.975), "0.000") &amp; ")")</f>
        <v>(0.000 to 0.000)</v>
      </c>
      <c r="L39" s="236">
        <f t="shared" ca="1" si="2"/>
        <v>0</v>
      </c>
      <c r="M39" s="237" t="str" cm="1">
        <f t="array" aca="1" ref="M39" ca="1">_xlfn.LET(_xlpm.arrNHB, OFFSET(rngPSA.Samples.QALYs, 0, (D39-1)*6 + F39-1) - OFFSET(rngPSA.Samples.Costs, 0, (D39-1)*6 + F39-1)/L$6,
"(" &amp;
 TEXT(PERCENTILE(_xlpm.arrNHB, 0.025), "0.000") &amp; " to " &amp;
 TEXT(PERCENTILE(_xlpm.arrNHB, 0.975), "0.000") &amp; ")")</f>
        <v>(0.000 to 0.000)</v>
      </c>
      <c r="N39" s="236">
        <f t="shared" ca="1" si="3"/>
        <v>0</v>
      </c>
      <c r="O39" s="237" t="str" cm="1">
        <f t="array" aca="1" ref="O39" ca="1">_xlfn.LET(_xlpm.arrNHB, OFFSET(rngPSA.Samples.QALYs, 0, (D39-1)*6 + F39-1) - OFFSET(rngPSA.Samples.Costs, 0, (D39-1)*6 + F39-1)/N$6,
"(" &amp;
 TEXT(PERCENTILE(_xlpm.arrNHB, 0.025), "0.000") &amp; " to " &amp;
 TEXT(PERCENTILE(_xlpm.arrNHB, 0.975), "0.000") &amp; ")")</f>
        <v>(0.000 to 0.000)</v>
      </c>
      <c r="P39" s="217"/>
      <c r="Q39" s="234" t="str">
        <f>IF($AG39=1, "", H39-H37)</f>
        <v/>
      </c>
      <c r="R39" s="235" t="str" cm="1">
        <f t="array" aca="1" ref="R39" ca="1">_xlfn.LET(_xlpm.arrIncCosts, OFFSET(rngPSA.Samples.Costs, 0, ($D39-1)*6 + $F39-1)-OFFSET(rngPSA.Samples.Costs, 0, ($D39-1)*6 + $F37-1),
IF(AG39=1, "", "(" &amp;
 TEXT(PERCENTILE(_xlpm.arrIncCosts, 0.025), "£#,##0;−£#,##0") &amp; " to " &amp;
 TEXT(PERCENTILE(_xlpm.arrIncCosts, 0.975), "£#,##0;−£#,##0") &amp; ")"))</f>
        <v/>
      </c>
      <c r="S39" s="236" t="str">
        <f>IF($AG39=1, "", J39-J37)</f>
        <v/>
      </c>
      <c r="T39" s="235" t="str" cm="1">
        <f t="array" aca="1" ref="T39" ca="1">_xlfn.LET(_xlpm.arrIncQALYs, OFFSET(rngPSA.Samples.QALYs, 0, ($D39-1)*6 + $F39-1)-OFFSET(rngPSA.Samples.QALYs, 0, ($D39-1)*6 + $F37-1),
IF($AG39=1, "", "(" &amp;
 TEXT(PERCENTILE(_xlpm.arrIncQALYs, 0.025), "0.000;−0.000") &amp; " to " &amp;
 TEXT(PERCENTILE(_xlpm.arrIncQALYs, 0.975), "0.000;−0.000") &amp; ")"))</f>
        <v/>
      </c>
      <c r="U39" s="275" t="str">
        <f>IF($AG39=1, "", IF(AND(Q39&gt;0, S39&lt;0), "dominated", Q39/S39))</f>
        <v/>
      </c>
      <c r="V39" s="274"/>
      <c r="W39" s="234" t="str" cm="1">
        <f t="array" aca="1" ref="W39" ca="1">IF(F39=swtchResults.PSA.Baseline, "-", H39-INDEX(AI39:AI40, swtchResults.PSA.Baseline))</f>
        <v>-</v>
      </c>
      <c r="X39" s="238" t="str" cm="1">
        <f t="array" aca="1" ref="X39" ca="1">IF(F39=swtchResults.PSA.Baseline, "-", "(" &amp;
 TEXT(PERCENTILE(OFFSET(rngPSA.Samples.Costs, 0, (D39-1)*6 + F39-1)-OFFSET(rngPSA.Samples.Costs, 0, (D39-1)*6 + swtchResults.PSA.Baseline-1), 0.025), "£#,##0;−£#,##0") &amp; " to " &amp;
 TEXT(PERCENTILE(OFFSET(rngPSA.Samples.Costs, 0, (D39-1)*6 + F39-1)-OFFSET(rngPSA.Samples.Costs, 0, (D39-1)*6 + swtchResults.PSA.Baseline-1), 0.975), "£#,##0;−£#,##0") &amp; ")")</f>
        <v>-</v>
      </c>
      <c r="Y39" s="236" t="str" cm="1">
        <f t="array" aca="1" ref="Y39" ca="1">IF(F39=swtchResults.PSA.Baseline, "-", J39-INDEX(AK39:AK40, swtchResults.PSA.Baseline))</f>
        <v>-</v>
      </c>
      <c r="Z39" s="238" t="str" cm="1">
        <f t="array" aca="1" ref="Z39" ca="1">IF(F39=swtchResults.PSA.Baseline, "-", "(" &amp;
 TEXT(PERCENTILE(OFFSET(rngPSA.Samples.QALYs, 0, (D39-1)*6 + F39-1)-OFFSET(rngPSA.Samples.QALYs, 0, (D39-1)*6 + swtchResults.PSA.Baseline-1), 0.025), "0.000;−0.000") &amp; " to " &amp;
 TEXT(PERCENTILE(OFFSET(rngPSA.Samples.QALYs, 0, (D39-1)*6 + F39-1)-OFFSET(rngPSA.Samples.QALYs, 0, (D39-1)*6 + swtchResults.PSA.Baseline-1), 0.975), "0.000;−0.000") &amp; ")")</f>
        <v>-</v>
      </c>
      <c r="AA39" s="239" t="str" cm="1">
        <f t="array" aca="1" ref="AA39" ca="1">IF(F39=swtchResults.PSA.Baseline, "-", Y39-W39/AA$7)</f>
        <v>-</v>
      </c>
      <c r="AB39" s="238" t="str" cm="1">
        <f t="array" aca="1" ref="AB39" ca="1">_xlfn.LET(_xlpm.arrNHB, (OFFSET(rngPSA.Samples.QALYs, 0, (D39-1)*6 + F39-1)-OFFSET(rngPSA.Samples.QALYs, 0, (D39-1)*6 + swtchResults.PSA.Baseline-1)) - (OFFSET(rngPSA.Samples.Costs, 0, (D39-1)*6 + F39-1)-OFFSET(rngPSA.Samples.Costs, 0, (D39-1)*6 + swtchResults.PSA.Baseline-1))/AA$7,
 IF(F39=swtchResults.PSA.Baseline, "-", "(" &amp;
 TEXT(PERCENTILE(_xlpm.arrNHB, 0.025), "0.000;−0.000") &amp; " to " &amp;
 TEXT(PERCENTILE(_xlpm.arrNHB, 0.975), "0.000;−0.000") &amp; ")"))</f>
        <v>-</v>
      </c>
      <c r="AC39" s="239" t="str" cm="1">
        <f t="array" aca="1" ref="AC39" ca="1">IF(F39=swtchResults.PSA.Baseline, "-", Y39-W39/AC$7)</f>
        <v>-</v>
      </c>
      <c r="AD39" s="238" t="str" cm="1">
        <f t="array" aca="1" ref="AD39" ca="1">_xlfn.LET(_xlpm.arrNHB, (OFFSET(rngPSA.Samples.QALYs, 0, (D39-1)*6 + F39-1)-OFFSET(rngPSA.Samples.QALYs, 0, (D39-1)*6 + swtchResults.PSA.Baseline-1)) - (OFFSET(rngPSA.Samples.Costs, 0, (D39-1)*6 + F39-1)-OFFSET(rngPSA.Samples.Costs, 0, (D39-1)*6 + swtchResults.PSA.Baseline-1))/AC$7,
 IF(F39=swtchResults.PSA.Baseline, "-", "(" &amp;
 TEXT(PERCENTILE(_xlpm.arrNHB, 0.025), "0.000;−0.000") &amp; " to " &amp;
 TEXT(PERCENTILE(_xlpm.arrNHB, 0.975), "0.000;−0.000") &amp; ")"))</f>
        <v>-</v>
      </c>
      <c r="AE39" s="218" t="str" cm="1">
        <f t="array" aca="1" ref="AE39" ca="1">IF(F39=swtchResults.PSA.Baseline, "ref", IF(AND(W39&lt;=0, Y39&gt;0), "dominant", IF(AND(W39&gt;0, Y39&lt;0), "dominated", W39/Y39)))</f>
        <v>ref</v>
      </c>
      <c r="AF39" s="219"/>
      <c r="AG39" s="215">
        <v>1</v>
      </c>
      <c r="AH39" s="216" t="str">
        <f t="shared" si="0"/>
        <v>HPE</v>
      </c>
      <c r="AI39" s="220" cm="1">
        <f t="array" aca="1" ref="AI39" ca="1">INDEX(OFFSET(rngPSA.MeanCosts.Root, 0, (D39-1)*6), AG39)</f>
        <v>31197502.332743172</v>
      </c>
      <c r="AJ39" s="220" t="str">
        <f ca="1">_xlfn.LET(_xlpm.arrCosts, OFFSET(rngPSA.Samples.Costs, 0, ($D39-1)*6 + $AG39-1),
"(" &amp;
 TEXT(PERCENTILE(_xlpm.arrCosts, 0.025), "£#,##0;−£#,##0") &amp; " to " &amp;
 TEXT(PERCENTILE(_xlpm.arrCosts, 0.975), "£#,##0;−£#,##0") &amp; ")")</f>
        <v>(£10,200,387 to £68,554,942)</v>
      </c>
      <c r="AK39" s="221" cm="1">
        <f t="array" aca="1" ref="AK39" ca="1">INDEX(OFFSET(rngPSA.MeanQALYs.Root, 0, (D39-1)*6), AG39)</f>
        <v>-6174.5594430818865</v>
      </c>
      <c r="AL39" s="292" t="str">
        <f ca="1">_xlfn.LET(_xlpm.arrQALYs, OFFSET(rngPSA.Samples.QALYs, 0, ($D39-1)*6 + $AG39-1),
"(" &amp;
 TEXT(PERCENTILE(_xlpm.arrQALYs, 0.025), "0.000") &amp; " to " &amp;
 TEXT(PERCENTILE(_xlpm.arrQALYs, 0.975), "0.000") &amp; ")")</f>
        <v>(-8501.587 to -4299.196)</v>
      </c>
      <c r="AM39" s="222" t="str">
        <f>IFERROR(INDEX(rngPSA.MeanLYs, AG39), "")</f>
        <v/>
      </c>
      <c r="AN39" s="213"/>
      <c r="AQ39" s="223"/>
    </row>
    <row r="40" spans="4:43" ht="12" customHeight="1" thickBot="1" x14ac:dyDescent="0.3">
      <c r="D40" s="10">
        <f t="shared" si="1"/>
        <v>11</v>
      </c>
      <c r="E40" s="59"/>
      <c r="F40" s="224">
        <f ca="1">MATCH(SMALL(AI39:AI40, AG40), AI39:AI40, 0)</f>
        <v>1</v>
      </c>
      <c r="G40" s="225" t="str" cm="1">
        <f t="array" aca="1" ref="G40" ca="1">INDEX(rngStrats, F40)</f>
        <v>HPE</v>
      </c>
      <c r="H40" s="240" cm="1">
        <f t="array" aca="1" ref="H40" ca="1">IFERROR(INDEX(AI39:AI40, F40), "")</f>
        <v>31197502.332743172</v>
      </c>
      <c r="I40" s="241" t="str">
        <f ca="1">_xlfn.LET(_xlpm.arrCosts, OFFSET(rngPSA.Samples.Costs, 0, (D40-1)*6 + F40-1),
"(" &amp;
 TEXT(PERCENTILE(_xlpm.arrCosts, 0.025), "£#,##0;−£#,##0") &amp; " to " &amp;
 TEXT(PERCENTILE(_xlpm.arrCosts, 0.975), "£#,##0;−£#,##0") &amp; ")")</f>
        <v>(£10,200,387 to £68,554,942)</v>
      </c>
      <c r="J40" s="243" cm="1">
        <f t="array" aca="1" ref="J40" ca="1">IFERROR(INDEX(AK39:AK40, F40), "")</f>
        <v>-6174.5594430818865</v>
      </c>
      <c r="K40" s="242" t="str">
        <f ca="1">_xlfn.LET(_xlpm.arrQALYs, OFFSET(rngPSA.Samples.QALYs, 0, (D40-1)*6 + F40-1),
"(" &amp;
 TEXT(PERCENTILE(_xlpm.arrQALYs, 0.025), "0.000") &amp; " to " &amp;
 TEXT(PERCENTILE(_xlpm.arrQALYs, 0.975), "0.000") &amp; ")")</f>
        <v>(-8501.587 to -4299.196)</v>
      </c>
      <c r="L40" s="243">
        <f t="shared" ca="1" si="2"/>
        <v>-7734.434559719045</v>
      </c>
      <c r="M40" s="244" t="str" cm="1">
        <f t="array" aca="1" ref="M40" ca="1">_xlfn.LET(_xlpm.arrNHB, OFFSET(rngPSA.Samples.QALYs, 0, (D40-1)*6 + F40-1) - OFFSET(rngPSA.Samples.Costs, 0, (D40-1)*6 + F40-1)/L$6,
"(" &amp;
 TEXT(PERCENTILE(_xlpm.arrNHB, 0.025), "0.000") &amp; " to " &amp;
 TEXT(PERCENTILE(_xlpm.arrNHB, 0.975), "0.000") &amp; ")")</f>
        <v>(-11597.781 to -5015.457)</v>
      </c>
      <c r="N40" s="243">
        <f t="shared" ca="1" si="3"/>
        <v>-7214.4761875066588</v>
      </c>
      <c r="O40" s="244" t="str" cm="1">
        <f t="array" aca="1" ref="O40" ca="1">_xlfn.LET(_xlpm.arrNHB, OFFSET(rngPSA.Samples.QALYs, 0, (D40-1)*6 + F40-1) - OFFSET(rngPSA.Samples.Costs, 0, (D40-1)*6 + F40-1)/N$6,
"(" &amp;
 TEXT(PERCENTILE(_xlpm.arrNHB, 0.025), "0.000") &amp; " to " &amp;
 TEXT(PERCENTILE(_xlpm.arrNHB, 0.975), "0.000") &amp; ")")</f>
        <v>(-10590.687 to -4722.167)</v>
      </c>
      <c r="P40" s="228"/>
      <c r="Q40" s="240">
        <f ca="1">IF($AG40=1, "", H40-H39)</f>
        <v>31197502.332743172</v>
      </c>
      <c r="R40" s="241" t="str" cm="1">
        <f t="array" aca="1" ref="R40" ca="1">_xlfn.LET(_xlpm.arrIncCosts, OFFSET(rngPSA.Samples.Costs, 0, ($D40-1)*6 + $F40-1)-OFFSET(rngPSA.Samples.Costs, 0, ($D40-1)*6 + $F39-1),
IF(AG40=1, "", "(" &amp;
 TEXT(PERCENTILE(_xlpm.arrIncCosts, 0.025), "£#,##0;−£#,##0") &amp; " to " &amp;
 TEXT(PERCENTILE(_xlpm.arrIncCosts, 0.975), "£#,##0;−£#,##0") &amp; ")"))</f>
        <v>(£10,200,387 to £68,554,942)</v>
      </c>
      <c r="S40" s="243">
        <f ca="1">IF($AG40=1, "", J40-J39)</f>
        <v>-6174.5594430818865</v>
      </c>
      <c r="T40" s="241" t="str" cm="1">
        <f t="array" aca="1" ref="T40" ca="1">_xlfn.LET(_xlpm.arrIncQALYs, OFFSET(rngPSA.Samples.QALYs, 0, ($D40-1)*6 + $F40-1)-OFFSET(rngPSA.Samples.QALYs, 0, ($D40-1)*6 + $F39-1),
IF($AG40=1, "", "(" &amp;
 TEXT(PERCENTILE(_xlpm.arrIncQALYs, 0.025), "0.000;−0.000") &amp; " to " &amp;
 TEXT(PERCENTILE(_xlpm.arrIncQALYs, 0.975), "0.000;−0.000") &amp; ")"))</f>
        <v>(−8501.587 to −4299.196)</v>
      </c>
      <c r="U40" s="273" t="str">
        <f ca="1">IF($AG40=1, "", IF(AND(Q40&gt;0, S40&lt;0), "dominated", Q40/S40))</f>
        <v>dominated</v>
      </c>
      <c r="V40" s="272"/>
      <c r="W40" s="240" cm="1">
        <f t="array" aca="1" ref="W40" ca="1">IF(F40=swtchResults.PSA.Baseline, "-", H40-INDEX(AI39:AI40, swtchResults.PSA.Baseline))</f>
        <v>31197502.332743172</v>
      </c>
      <c r="X40" s="241" t="str" cm="1">
        <f t="array" aca="1" ref="X40" ca="1">IF(F40=swtchResults.PSA.Baseline, "-", "(" &amp;
 TEXT(PERCENTILE(OFFSET(rngPSA.Samples.Costs, 0, (D40-1)*6 + F40-1)-OFFSET(rngPSA.Samples.Costs, 0, (D40-1)*6 + swtchResults.PSA.Baseline-1), 0.025), "£#,##0;−£#,##0") &amp; " to " &amp;
 TEXT(PERCENTILE(OFFSET(rngPSA.Samples.Costs, 0, (D40-1)*6 + F40-1)-OFFSET(rngPSA.Samples.Costs, 0, (D40-1)*6 + swtchResults.PSA.Baseline-1), 0.975), "£#,##0;−£#,##0") &amp; ")")</f>
        <v>(£10,200,387 to £68,554,942)</v>
      </c>
      <c r="Y40" s="243" cm="1">
        <f t="array" aca="1" ref="Y40" ca="1">IF(F40=swtchResults.PSA.Baseline, "-", J40-INDEX(AK39:AK40, swtchResults.PSA.Baseline))</f>
        <v>-6174.5594430818865</v>
      </c>
      <c r="Z40" s="244" t="str" cm="1">
        <f t="array" aca="1" ref="Z40" ca="1">IF(F40=swtchResults.PSA.Baseline, "-", "(" &amp;
 TEXT(PERCENTILE(OFFSET(rngPSA.Samples.QALYs, 0, (D40-1)*6 + F40-1)-OFFSET(rngPSA.Samples.QALYs, 0, (D40-1)*6 + swtchResults.PSA.Baseline-1), 0.025), "0.000;−0.000") &amp; " to " &amp;
 TEXT(PERCENTILE(OFFSET(rngPSA.Samples.QALYs, 0, (D40-1)*6 + F40-1)-OFFSET(rngPSA.Samples.QALYs, 0, (D40-1)*6 + swtchResults.PSA.Baseline-1), 0.975), "0.000;−0.000") &amp; ")")</f>
        <v>(−8501.587 to −4299.196)</v>
      </c>
      <c r="AA40" s="245" cm="1">
        <f t="array" aca="1" ref="AA40" ca="1">IF(F40=swtchResults.PSA.Baseline, "-", Y40-W40/AA$7)</f>
        <v>-7734.434559719045</v>
      </c>
      <c r="AB40" s="244" t="str" cm="1">
        <f t="array" aca="1" ref="AB40" ca="1">_xlfn.LET(_xlpm.arrNHB, (OFFSET(rngPSA.Samples.QALYs, 0, (D40-1)*6 + F40-1)-OFFSET(rngPSA.Samples.QALYs, 0, (D40-1)*6 + swtchResults.PSA.Baseline-1)) - (OFFSET(rngPSA.Samples.Costs, 0, (D40-1)*6 + F40-1)-OFFSET(rngPSA.Samples.Costs, 0, (D40-1)*6 + swtchResults.PSA.Baseline-1))/AA$7,
 IF(F40=swtchResults.PSA.Baseline, "-", "(" &amp;
 TEXT(PERCENTILE(_xlpm.arrNHB, 0.025), "0.000;−0.000") &amp; " to " &amp;
 TEXT(PERCENTILE(_xlpm.arrNHB, 0.975), "0.000;−0.000") &amp; ")"))</f>
        <v>(−11597.781 to −5015.457)</v>
      </c>
      <c r="AC40" s="245" cm="1">
        <f t="array" aca="1" ref="AC40" ca="1">IF(F40=swtchResults.PSA.Baseline, "-", Y40-W40/AC$7)</f>
        <v>-7214.4761875066588</v>
      </c>
      <c r="AD40" s="244" t="str" cm="1">
        <f t="array" aca="1" ref="AD40" ca="1">_xlfn.LET(_xlpm.arrNHB, (OFFSET(rngPSA.Samples.QALYs, 0, (D40-1)*6 + F40-1)-OFFSET(rngPSA.Samples.QALYs, 0, (D40-1)*6 + swtchResults.PSA.Baseline-1)) - (OFFSET(rngPSA.Samples.Costs, 0, (D40-1)*6 + F40-1)-OFFSET(rngPSA.Samples.Costs, 0, (D40-1)*6 + swtchResults.PSA.Baseline-1))/AC$7,
 IF(F40=swtchResults.PSA.Baseline, "-", "(" &amp;
 TEXT(PERCENTILE(_xlpm.arrNHB, 0.025), "0.000;−0.000") &amp; " to " &amp;
 TEXT(PERCENTILE(_xlpm.arrNHB, 0.975), "0.000;−0.000") &amp; ")"))</f>
        <v>(−10590.687 to −4722.167)</v>
      </c>
      <c r="AE40" s="229" t="str" cm="1">
        <f t="array" aca="1" ref="AE40" ca="1">IF(F40=swtchResults.PSA.Baseline, "ref", IF(AND(W40&lt;=0, Y40&gt;0), "dominant", IF(AND(W40&gt;0, Y40&lt;0), "dominated", W40/Y40)))</f>
        <v>dominated</v>
      </c>
      <c r="AF40" s="219"/>
      <c r="AG40" s="224">
        <v>2</v>
      </c>
      <c r="AH40" s="225" t="str">
        <f t="shared" si="0"/>
        <v>No HPE</v>
      </c>
      <c r="AI40" s="230" cm="1">
        <f t="array" aca="1" ref="AI40" ca="1">INDEX(OFFSET(rngPSA.MeanCosts.Root, 0, (D40-1)*6), AG40)</f>
        <v>0</v>
      </c>
      <c r="AJ40" s="230" t="str">
        <f ca="1">_xlfn.LET(_xlpm.arrCosts, OFFSET(rngPSA.Samples.Costs, 0, ($D40-1)*6 + $AG40-1),
"(" &amp;
 TEXT(PERCENTILE(_xlpm.arrCosts, 0.025), "£#,##0;−£#,##0") &amp; " to " &amp;
 TEXT(PERCENTILE(_xlpm.arrCosts, 0.975), "£#,##0;−£#,##0") &amp; ")")</f>
        <v>(£0 to £0)</v>
      </c>
      <c r="AK40" s="231" cm="1">
        <f t="array" aca="1" ref="AK40" ca="1">INDEX(OFFSET(rngPSA.MeanQALYs.Root, 0, (D40-1)*6), AG40)</f>
        <v>0</v>
      </c>
      <c r="AL40" s="293" t="str">
        <f ca="1">_xlfn.LET(_xlpm.arrQALYs, OFFSET(rngPSA.Samples.QALYs, 0, ($D40-1)*6 + $AG40-1),
"(" &amp;
 TEXT(PERCENTILE(_xlpm.arrQALYs, 0.025), "0.000") &amp; " to " &amp;
 TEXT(PERCENTILE(_xlpm.arrQALYs, 0.975), "0.000") &amp; ")")</f>
        <v>(0.000 to 0.000)</v>
      </c>
      <c r="AM40" s="232" t="str">
        <f>IFERROR(INDEX(rngPSA.MeanLYs, AG40), "")</f>
        <v/>
      </c>
      <c r="AN40" s="213"/>
      <c r="AQ40" s="223"/>
    </row>
  </sheetData>
  <mergeCells count="46">
    <mergeCell ref="F32:AM32"/>
    <mergeCell ref="F35:AM35"/>
    <mergeCell ref="F38:AM38"/>
    <mergeCell ref="F8:AM8"/>
    <mergeCell ref="F20:AM20"/>
    <mergeCell ref="F23:AM23"/>
    <mergeCell ref="F26:AM26"/>
    <mergeCell ref="F29:AM29"/>
    <mergeCell ref="N6:N7"/>
    <mergeCell ref="O6:O7"/>
    <mergeCell ref="F17:AM17"/>
    <mergeCell ref="F4:F7"/>
    <mergeCell ref="G4:G7"/>
    <mergeCell ref="H4:N4"/>
    <mergeCell ref="W6:W7"/>
    <mergeCell ref="X6:X7"/>
    <mergeCell ref="S6:S7"/>
    <mergeCell ref="Z6:Z7"/>
    <mergeCell ref="H5:H7"/>
    <mergeCell ref="I5:I7"/>
    <mergeCell ref="J5:J7"/>
    <mergeCell ref="K5:K7"/>
    <mergeCell ref="L5:O5"/>
    <mergeCell ref="Y6:Y7"/>
    <mergeCell ref="P4:P7"/>
    <mergeCell ref="W4:AE4"/>
    <mergeCell ref="F11:AM11"/>
    <mergeCell ref="F14:AM14"/>
    <mergeCell ref="AE6:AE7"/>
    <mergeCell ref="AM5:AM6"/>
    <mergeCell ref="AA6:AD6"/>
    <mergeCell ref="AG5:AG6"/>
    <mergeCell ref="AH5:AH6"/>
    <mergeCell ref="AI5:AI6"/>
    <mergeCell ref="AK5:AK6"/>
    <mergeCell ref="V4:V7"/>
    <mergeCell ref="L6:L7"/>
    <mergeCell ref="M6:M7"/>
    <mergeCell ref="T6:T7"/>
    <mergeCell ref="U6:U7"/>
    <mergeCell ref="AG4:AM4"/>
    <mergeCell ref="Y5:AE5"/>
    <mergeCell ref="Q6:Q7"/>
    <mergeCell ref="R6:R7"/>
    <mergeCell ref="Q4:U5"/>
    <mergeCell ref="W5:X5"/>
  </mergeCells>
  <conditionalFormatting sqref="AG9:AM10 F9:AB10 F12:P13 AE9:AE10 V12:AB13 AE12:AE13 AE15:AE16 V15:AB16 F15:P16 F18:P19 V18:AB19 AE18:AE19 AE21:AE22 V21:AB22 F21:P22 F24:P25 V24:AB25 AE24:AE25 AE27:AE28 V27:AB28 F27:P28 F30:P31 V30:AB31 AE30:AE31 AE33:AE34 V33:AB34 F33:P34 F36:P37 V36:AB37 AE36:AE37 AE39:AE40 V39:AB40 F39:P40">
    <cfRule type="expression" dxfId="37" priority="49">
      <formula>$AG9&gt;E.numStrats.wResults</formula>
    </cfRule>
  </conditionalFormatting>
  <conditionalFormatting sqref="AC9:AD10">
    <cfRule type="expression" dxfId="36" priority="44">
      <formula>$AG9&gt;E.numStrats.wResults</formula>
    </cfRule>
  </conditionalFormatting>
  <conditionalFormatting sqref="AG12:AM13 AG15:AM16 AG18:AM19 AG21:AM22 AG24:AM25 AG27:AM28 AG30:AM31 AG33:AM34 AG36:AM37 AG39:AM40">
    <cfRule type="expression" dxfId="35" priority="17">
      <formula>$AG12&gt;E.numStrats.wResults</formula>
    </cfRule>
  </conditionalFormatting>
  <conditionalFormatting sqref="AC12:AD13 AC15:AD16 AC18:AD19 AC21:AD22 AC24:AD25 AC27:AD28 AC30:AD31 AC33:AD34 AC36:AD37 AC39:AD40">
    <cfRule type="expression" dxfId="34" priority="16">
      <formula>$AG12&gt;E.numStrats.wResults</formula>
    </cfRule>
  </conditionalFormatting>
  <conditionalFormatting sqref="Q12:U13 Q15:U16 Q18:U19 Q21:U22 Q24:U25 Q27:U28 Q30:U31 Q33:U34 Q36:U37 Q39:U40">
    <cfRule type="expression" dxfId="33" priority="13">
      <formula>$AG12&gt;E.numStrats.wResults</formula>
    </cfRule>
  </conditionalFormatting>
  <dataValidations disablePrompts="1" count="1">
    <dataValidation type="list" allowBlank="1" showInputMessage="1" showErrorMessage="1" sqref="Y5:AE5" xr:uid="{4AE1D1A5-C597-478C-91FC-097AA2CA8623}">
      <formula1>rngStrats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>
    <tabColor theme="1"/>
  </sheetPr>
  <dimension ref="A1:S352"/>
  <sheetViews>
    <sheetView workbookViewId="0">
      <pane xSplit="4" ySplit="1" topLeftCell="E2" activePane="bottomRight" state="frozen"/>
      <selection activeCell="E2" sqref="E2"/>
      <selection pane="topRight" activeCell="E2" sqref="E2"/>
      <selection pane="bottomLeft" activeCell="E2" sqref="E2"/>
      <selection pane="bottomRight" activeCell="E2" sqref="E2"/>
    </sheetView>
  </sheetViews>
  <sheetFormatPr defaultColWidth="2.710937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0" style="15" hidden="1" customWidth="1"/>
    <col min="5" max="16384" width="2.7109375" style="15"/>
  </cols>
  <sheetData>
    <row r="1" spans="1:19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  <c r="M1" s="5"/>
      <c r="N1" s="5"/>
      <c r="O1" s="5"/>
      <c r="P1" s="5"/>
      <c r="Q1" s="5"/>
      <c r="S1" s="5"/>
    </row>
    <row r="2" spans="1:19" ht="12" customHeight="1" thickTop="1" x14ac:dyDescent="0.25">
      <c r="A2" s="2"/>
      <c r="C2" s="7"/>
    </row>
    <row r="3" spans="1:19" ht="12" customHeight="1" x14ac:dyDescent="0.25">
      <c r="A3" s="2"/>
      <c r="C3" s="7"/>
      <c r="F3" s="15" t="s">
        <v>883</v>
      </c>
    </row>
    <row r="4" spans="1:19" ht="12" customHeight="1" x14ac:dyDescent="0.25">
      <c r="A4" s="2"/>
      <c r="C4" s="7"/>
    </row>
    <row r="5" spans="1:19" ht="12" customHeight="1" x14ac:dyDescent="0.25">
      <c r="A5" s="2"/>
      <c r="C5" s="7"/>
      <c r="F5" s="15" t="s">
        <v>884</v>
      </c>
    </row>
    <row r="6" spans="1:19" ht="12" customHeight="1" x14ac:dyDescent="0.25">
      <c r="A6" s="2"/>
      <c r="C6" s="7"/>
      <c r="F6" s="15" t="s">
        <v>885</v>
      </c>
    </row>
    <row r="7" spans="1:19" ht="12" customHeight="1" x14ac:dyDescent="0.25">
      <c r="A7" s="2"/>
      <c r="C7" s="7"/>
      <c r="F7" s="426" t="s">
        <v>886</v>
      </c>
    </row>
    <row r="8" spans="1:19" ht="12" customHeight="1" x14ac:dyDescent="0.25">
      <c r="A8" s="2"/>
      <c r="C8" s="7"/>
      <c r="F8" s="426" t="s">
        <v>889</v>
      </c>
    </row>
    <row r="9" spans="1:19" ht="12" customHeight="1" x14ac:dyDescent="0.25">
      <c r="A9" s="2"/>
      <c r="C9" s="7"/>
      <c r="F9" s="426" t="s">
        <v>890</v>
      </c>
    </row>
    <row r="10" spans="1:19" ht="12" customHeight="1" x14ac:dyDescent="0.25">
      <c r="A10" s="2"/>
      <c r="C10" s="7"/>
      <c r="F10" s="15" t="s">
        <v>894</v>
      </c>
    </row>
    <row r="11" spans="1:19" ht="12" customHeight="1" x14ac:dyDescent="0.25">
      <c r="A11" s="2"/>
      <c r="C11" s="7"/>
      <c r="F11" s="426" t="s">
        <v>892</v>
      </c>
    </row>
    <row r="12" spans="1:19" ht="12" customHeight="1" x14ac:dyDescent="0.25">
      <c r="A12" s="2"/>
      <c r="C12" s="7"/>
      <c r="F12" s="15" t="s">
        <v>891</v>
      </c>
    </row>
    <row r="13" spans="1:19" ht="12" customHeight="1" x14ac:dyDescent="0.25">
      <c r="A13" s="2"/>
      <c r="C13" s="7"/>
      <c r="F13" s="426" t="s">
        <v>893</v>
      </c>
    </row>
    <row r="14" spans="1:19" ht="12" customHeight="1" x14ac:dyDescent="0.25">
      <c r="A14" s="2"/>
      <c r="C14" s="7"/>
    </row>
    <row r="15" spans="1:19" ht="12" customHeight="1" x14ac:dyDescent="0.25">
      <c r="A15" s="2"/>
      <c r="C15" s="7"/>
    </row>
    <row r="16" spans="1:19" ht="12" customHeight="1" x14ac:dyDescent="0.25">
      <c r="A16" s="2"/>
      <c r="C16" s="7"/>
    </row>
    <row r="17" spans="1:3" ht="12" customHeight="1" x14ac:dyDescent="0.25">
      <c r="A17" s="2"/>
      <c r="C17" s="7"/>
    </row>
    <row r="18" spans="1:3" ht="12" customHeight="1" x14ac:dyDescent="0.25">
      <c r="A18" s="2"/>
      <c r="C18" s="7"/>
    </row>
    <row r="19" spans="1:3" ht="12" customHeight="1" x14ac:dyDescent="0.25">
      <c r="A19" s="2"/>
      <c r="C19" s="7"/>
    </row>
    <row r="20" spans="1:3" ht="12" customHeight="1" x14ac:dyDescent="0.25">
      <c r="A20" s="2"/>
      <c r="C20" s="7"/>
    </row>
    <row r="21" spans="1:3" ht="12" customHeight="1" x14ac:dyDescent="0.25">
      <c r="A21" s="2"/>
      <c r="C21" s="7"/>
    </row>
    <row r="22" spans="1:3" ht="12" customHeight="1" x14ac:dyDescent="0.25">
      <c r="A22" s="2"/>
      <c r="C22" s="7"/>
    </row>
    <row r="23" spans="1:3" ht="12" customHeight="1" x14ac:dyDescent="0.25">
      <c r="A23" s="2"/>
      <c r="C23" s="7"/>
    </row>
    <row r="24" spans="1:3" ht="12" customHeight="1" x14ac:dyDescent="0.25">
      <c r="A24" s="2"/>
      <c r="C24" s="7"/>
    </row>
    <row r="25" spans="1:3" ht="12" customHeight="1" x14ac:dyDescent="0.25">
      <c r="A25" s="2"/>
      <c r="C25" s="7"/>
    </row>
    <row r="26" spans="1:3" ht="12" customHeight="1" x14ac:dyDescent="0.25">
      <c r="A26" s="2"/>
      <c r="C26" s="7"/>
    </row>
    <row r="27" spans="1:3" ht="12" customHeight="1" x14ac:dyDescent="0.25">
      <c r="A27" s="2"/>
      <c r="C27" s="7"/>
    </row>
    <row r="28" spans="1:3" ht="12" customHeight="1" x14ac:dyDescent="0.25">
      <c r="A28" s="2"/>
      <c r="C28" s="7"/>
    </row>
    <row r="29" spans="1:3" ht="12" customHeight="1" x14ac:dyDescent="0.25">
      <c r="A29" s="2"/>
      <c r="C29" s="7"/>
    </row>
    <row r="30" spans="1:3" ht="12" customHeight="1" x14ac:dyDescent="0.25">
      <c r="A30" s="2"/>
      <c r="C30" s="7"/>
    </row>
    <row r="31" spans="1:3" ht="12" customHeight="1" x14ac:dyDescent="0.25">
      <c r="A31" s="2"/>
      <c r="C31" s="7"/>
    </row>
    <row r="32" spans="1:3" ht="12" customHeight="1" x14ac:dyDescent="0.25">
      <c r="A32" s="2"/>
      <c r="C32" s="7"/>
    </row>
    <row r="33" spans="1:3" ht="12" customHeight="1" x14ac:dyDescent="0.25">
      <c r="A33" s="2"/>
      <c r="C33" s="7"/>
    </row>
    <row r="34" spans="1:3" ht="12" customHeight="1" x14ac:dyDescent="0.25">
      <c r="A34" s="2"/>
      <c r="C34" s="7"/>
    </row>
    <row r="35" spans="1:3" ht="12" customHeight="1" x14ac:dyDescent="0.25">
      <c r="A35" s="2"/>
      <c r="C35" s="7"/>
    </row>
    <row r="36" spans="1:3" ht="12" customHeight="1" x14ac:dyDescent="0.25">
      <c r="A36" s="2"/>
      <c r="C36" s="7"/>
    </row>
    <row r="37" spans="1:3" ht="12" customHeight="1" x14ac:dyDescent="0.25">
      <c r="A37" s="2"/>
      <c r="C37" s="7"/>
    </row>
    <row r="38" spans="1:3" ht="12" customHeight="1" x14ac:dyDescent="0.25">
      <c r="A38" s="2"/>
      <c r="C38" s="7"/>
    </row>
    <row r="39" spans="1:3" ht="12" customHeight="1" x14ac:dyDescent="0.25">
      <c r="A39" s="2"/>
      <c r="C39" s="7"/>
    </row>
    <row r="40" spans="1:3" ht="12" customHeight="1" x14ac:dyDescent="0.25">
      <c r="A40" s="2"/>
      <c r="C40" s="7"/>
    </row>
    <row r="41" spans="1:3" ht="12" customHeight="1" x14ac:dyDescent="0.25">
      <c r="A41" s="2"/>
      <c r="C41" s="7"/>
    </row>
    <row r="42" spans="1:3" ht="12" customHeight="1" x14ac:dyDescent="0.25">
      <c r="A42" s="2"/>
      <c r="C42" s="7"/>
    </row>
    <row r="43" spans="1:3" ht="12" customHeight="1" x14ac:dyDescent="0.25">
      <c r="A43" s="2"/>
      <c r="C43" s="7"/>
    </row>
    <row r="44" spans="1:3" ht="12" customHeight="1" x14ac:dyDescent="0.25">
      <c r="A44" s="2"/>
      <c r="C44" s="7"/>
    </row>
    <row r="45" spans="1:3" ht="12" customHeight="1" x14ac:dyDescent="0.25">
      <c r="A45" s="2"/>
      <c r="C45" s="7"/>
    </row>
    <row r="46" spans="1:3" ht="12" customHeight="1" x14ac:dyDescent="0.25">
      <c r="A46" s="2"/>
      <c r="C46" s="7"/>
    </row>
    <row r="47" spans="1:3" ht="12" customHeight="1" x14ac:dyDescent="0.25">
      <c r="A47" s="2"/>
      <c r="C47" s="7"/>
    </row>
    <row r="48" spans="1:3" ht="12" customHeight="1" x14ac:dyDescent="0.25">
      <c r="A48" s="2"/>
      <c r="C48" s="7"/>
    </row>
    <row r="49" spans="1:6" ht="12" customHeight="1" x14ac:dyDescent="0.25">
      <c r="A49" s="2"/>
      <c r="C49" s="7"/>
    </row>
    <row r="50" spans="1:6" ht="12" customHeight="1" x14ac:dyDescent="0.25">
      <c r="A50" s="2"/>
      <c r="C50" s="7"/>
    </row>
    <row r="51" spans="1:6" ht="12" customHeight="1" x14ac:dyDescent="0.25">
      <c r="A51" s="2"/>
      <c r="C51" s="7"/>
    </row>
    <row r="52" spans="1:6" ht="12" customHeight="1" x14ac:dyDescent="0.25">
      <c r="A52" s="2"/>
      <c r="C52" s="7"/>
    </row>
    <row r="53" spans="1:6" ht="12" customHeight="1" x14ac:dyDescent="0.25">
      <c r="A53" s="2"/>
      <c r="C53" s="7"/>
    </row>
    <row r="54" spans="1:6" ht="12" customHeight="1" x14ac:dyDescent="0.25">
      <c r="A54" s="2"/>
      <c r="C54" s="7"/>
    </row>
    <row r="55" spans="1:6" ht="12" customHeight="1" x14ac:dyDescent="0.25">
      <c r="A55" s="2"/>
      <c r="C55" s="7"/>
    </row>
    <row r="56" spans="1:6" ht="12" customHeight="1" x14ac:dyDescent="0.25">
      <c r="A56" s="2"/>
      <c r="C56" s="7"/>
    </row>
    <row r="57" spans="1:6" ht="12" customHeight="1" x14ac:dyDescent="0.25">
      <c r="A57" s="2"/>
      <c r="C57" s="7"/>
    </row>
    <row r="58" spans="1:6" ht="12" customHeight="1" x14ac:dyDescent="0.25">
      <c r="A58" s="2"/>
      <c r="C58" s="7"/>
      <c r="F58" s="31"/>
    </row>
    <row r="59" spans="1:6" ht="12" customHeight="1" x14ac:dyDescent="0.25">
      <c r="A59" s="2"/>
      <c r="C59" s="7"/>
    </row>
    <row r="60" spans="1:6" ht="12" customHeight="1" x14ac:dyDescent="0.25">
      <c r="A60" s="2"/>
      <c r="C60" s="7"/>
    </row>
    <row r="61" spans="1:6" ht="12" customHeight="1" x14ac:dyDescent="0.25">
      <c r="A61" s="2"/>
      <c r="C61" s="7"/>
    </row>
    <row r="62" spans="1:6" ht="12" customHeight="1" x14ac:dyDescent="0.25">
      <c r="A62" s="2"/>
      <c r="C62" s="7"/>
    </row>
    <row r="63" spans="1:6" ht="12" customHeight="1" x14ac:dyDescent="0.25">
      <c r="A63" s="2"/>
      <c r="C63" s="7"/>
    </row>
    <row r="64" spans="1:6" ht="12" customHeight="1" x14ac:dyDescent="0.25">
      <c r="A64" s="2"/>
      <c r="C64" s="7"/>
    </row>
    <row r="65" spans="1:3" ht="12" customHeight="1" x14ac:dyDescent="0.25">
      <c r="A65" s="2"/>
      <c r="C65" s="7"/>
    </row>
    <row r="66" spans="1:3" ht="12" customHeight="1" x14ac:dyDescent="0.25">
      <c r="A66" s="2"/>
      <c r="C66" s="7"/>
    </row>
    <row r="67" spans="1:3" ht="12" customHeight="1" x14ac:dyDescent="0.25">
      <c r="A67" s="2"/>
      <c r="C67" s="7"/>
    </row>
    <row r="68" spans="1:3" ht="12" customHeight="1" x14ac:dyDescent="0.25">
      <c r="A68" s="2"/>
      <c r="C68" s="7"/>
    </row>
    <row r="69" spans="1:3" ht="12" customHeight="1" x14ac:dyDescent="0.25">
      <c r="A69" s="2"/>
      <c r="C69" s="7"/>
    </row>
    <row r="70" spans="1:3" ht="12" customHeight="1" x14ac:dyDescent="0.25">
      <c r="A70" s="2"/>
      <c r="C70" s="7"/>
    </row>
    <row r="71" spans="1:3" ht="12" customHeight="1" x14ac:dyDescent="0.25">
      <c r="A71" s="2"/>
      <c r="C71" s="7"/>
    </row>
    <row r="72" spans="1:3" ht="12" customHeight="1" x14ac:dyDescent="0.25">
      <c r="A72" s="2"/>
      <c r="C72" s="7"/>
    </row>
    <row r="73" spans="1:3" ht="12" customHeight="1" x14ac:dyDescent="0.25">
      <c r="A73" s="2"/>
      <c r="C73" s="7"/>
    </row>
    <row r="74" spans="1:3" ht="12" customHeight="1" x14ac:dyDescent="0.25">
      <c r="A74" s="2"/>
      <c r="C74" s="7"/>
    </row>
    <row r="75" spans="1:3" ht="12" customHeight="1" x14ac:dyDescent="0.25">
      <c r="A75" s="2"/>
      <c r="C75" s="7"/>
    </row>
    <row r="76" spans="1:3" ht="12" customHeight="1" x14ac:dyDescent="0.25">
      <c r="A76" s="2"/>
      <c r="C76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285" spans="1:3" ht="12" customHeight="1" x14ac:dyDescent="0.25">
      <c r="A285" s="2"/>
      <c r="C285" s="7"/>
    </row>
    <row r="286" spans="1:3" ht="12" customHeight="1" x14ac:dyDescent="0.25">
      <c r="A286" s="2"/>
      <c r="C286" s="7"/>
    </row>
    <row r="287" spans="1:3" ht="12" customHeight="1" x14ac:dyDescent="0.25">
      <c r="A287" s="2"/>
      <c r="C287" s="7"/>
    </row>
    <row r="288" spans="1:3" ht="12" customHeight="1" x14ac:dyDescent="0.25">
      <c r="A288" s="2"/>
      <c r="C288" s="7"/>
    </row>
    <row r="289" spans="1:3" ht="12" customHeight="1" x14ac:dyDescent="0.25">
      <c r="A289" s="2"/>
      <c r="C289" s="7"/>
    </row>
    <row r="290" spans="1:3" ht="12" customHeight="1" x14ac:dyDescent="0.25">
      <c r="A290" s="2"/>
      <c r="C290" s="7"/>
    </row>
    <row r="291" spans="1:3" ht="12" customHeight="1" x14ac:dyDescent="0.25">
      <c r="A291" s="2"/>
      <c r="C291" s="7"/>
    </row>
    <row r="292" spans="1:3" ht="12" customHeight="1" x14ac:dyDescent="0.25">
      <c r="A292" s="2"/>
      <c r="C292" s="7"/>
    </row>
    <row r="293" spans="1:3" ht="12" customHeight="1" x14ac:dyDescent="0.25">
      <c r="A293" s="2"/>
      <c r="C293" s="7"/>
    </row>
    <row r="294" spans="1:3" ht="12" customHeight="1" x14ac:dyDescent="0.25">
      <c r="A294" s="2"/>
      <c r="C294" s="7"/>
    </row>
    <row r="295" spans="1:3" ht="12" customHeight="1" x14ac:dyDescent="0.25">
      <c r="A295" s="2"/>
      <c r="C295" s="7"/>
    </row>
    <row r="296" spans="1:3" ht="12" customHeight="1" x14ac:dyDescent="0.25">
      <c r="A296" s="2"/>
      <c r="C296" s="7"/>
    </row>
    <row r="297" spans="1:3" ht="12" customHeight="1" x14ac:dyDescent="0.25">
      <c r="A297" s="2"/>
      <c r="C297" s="7"/>
    </row>
    <row r="298" spans="1:3" ht="12" customHeight="1" x14ac:dyDescent="0.25">
      <c r="A298" s="2"/>
      <c r="C298" s="7"/>
    </row>
    <row r="299" spans="1:3" ht="12" customHeight="1" x14ac:dyDescent="0.25">
      <c r="A299" s="2"/>
      <c r="C299" s="7"/>
    </row>
    <row r="300" spans="1:3" ht="12" customHeight="1" x14ac:dyDescent="0.25">
      <c r="A300" s="2"/>
      <c r="C300" s="7"/>
    </row>
    <row r="301" spans="1:3" ht="12" customHeight="1" x14ac:dyDescent="0.25">
      <c r="A301" s="2"/>
      <c r="C301" s="7"/>
    </row>
    <row r="302" spans="1:3" ht="12" customHeight="1" x14ac:dyDescent="0.25">
      <c r="A302" s="2"/>
      <c r="C302" s="7"/>
    </row>
    <row r="303" spans="1:3" ht="12" customHeight="1" x14ac:dyDescent="0.25">
      <c r="A303" s="2"/>
      <c r="C303" s="7"/>
    </row>
    <row r="304" spans="1:3" ht="12" customHeight="1" x14ac:dyDescent="0.25">
      <c r="A304" s="2"/>
      <c r="C304" s="7"/>
    </row>
    <row r="305" spans="1:3" ht="12" customHeight="1" x14ac:dyDescent="0.25">
      <c r="A305" s="2"/>
      <c r="C305" s="7"/>
    </row>
    <row r="306" spans="1:3" ht="12" customHeight="1" x14ac:dyDescent="0.25">
      <c r="A306" s="2"/>
      <c r="C306" s="7"/>
    </row>
    <row r="307" spans="1:3" ht="12" customHeight="1" x14ac:dyDescent="0.25">
      <c r="A307" s="2"/>
      <c r="C307" s="7"/>
    </row>
    <row r="308" spans="1:3" ht="12" customHeight="1" x14ac:dyDescent="0.25">
      <c r="A308" s="2"/>
      <c r="C308" s="7"/>
    </row>
    <row r="309" spans="1:3" ht="12" customHeight="1" x14ac:dyDescent="0.25">
      <c r="A309" s="2"/>
      <c r="C309" s="7"/>
    </row>
    <row r="310" spans="1:3" ht="12" customHeight="1" x14ac:dyDescent="0.25">
      <c r="A310" s="2"/>
      <c r="C310" s="7"/>
    </row>
    <row r="311" spans="1:3" ht="12" customHeight="1" x14ac:dyDescent="0.25">
      <c r="A311" s="2"/>
      <c r="C311" s="7"/>
    </row>
    <row r="312" spans="1:3" ht="12" customHeight="1" x14ac:dyDescent="0.25">
      <c r="A312" s="2"/>
      <c r="C312" s="7"/>
    </row>
    <row r="313" spans="1:3" ht="12" customHeight="1" x14ac:dyDescent="0.25">
      <c r="A313" s="2"/>
      <c r="C313" s="7"/>
    </row>
    <row r="314" spans="1:3" ht="12" customHeight="1" x14ac:dyDescent="0.25">
      <c r="A314" s="2"/>
      <c r="C314" s="7"/>
    </row>
    <row r="332" spans="1:3" ht="12" customHeight="1" x14ac:dyDescent="0.25">
      <c r="A332" s="2"/>
      <c r="C332" s="7"/>
    </row>
    <row r="333" spans="1:3" ht="12" customHeight="1" x14ac:dyDescent="0.25">
      <c r="A333" s="2"/>
      <c r="C333" s="7"/>
    </row>
    <row r="334" spans="1:3" ht="12" customHeight="1" x14ac:dyDescent="0.25">
      <c r="A334" s="2"/>
      <c r="C334" s="7"/>
    </row>
    <row r="335" spans="1:3" ht="12" customHeight="1" x14ac:dyDescent="0.25">
      <c r="A335" s="2"/>
      <c r="C335" s="7"/>
    </row>
    <row r="336" spans="1:3" ht="12" customHeight="1" x14ac:dyDescent="0.25">
      <c r="A336" s="2"/>
      <c r="C336" s="7"/>
    </row>
    <row r="337" spans="1:3" ht="12" customHeight="1" x14ac:dyDescent="0.25">
      <c r="A337" s="2"/>
      <c r="C337" s="7"/>
    </row>
    <row r="338" spans="1:3" ht="12" customHeight="1" x14ac:dyDescent="0.25">
      <c r="A338" s="2"/>
      <c r="C338" s="7"/>
    </row>
    <row r="339" spans="1:3" ht="12" customHeight="1" x14ac:dyDescent="0.25">
      <c r="A339" s="2"/>
      <c r="C339" s="7"/>
    </row>
    <row r="340" spans="1:3" ht="12" customHeight="1" x14ac:dyDescent="0.25">
      <c r="A340" s="2"/>
      <c r="C340" s="7"/>
    </row>
    <row r="341" spans="1:3" ht="12" customHeight="1" x14ac:dyDescent="0.25">
      <c r="A341" s="2"/>
      <c r="C341" s="7"/>
    </row>
    <row r="342" spans="1:3" ht="12" customHeight="1" x14ac:dyDescent="0.25">
      <c r="A342" s="2"/>
      <c r="C342" s="7"/>
    </row>
    <row r="343" spans="1:3" ht="12" customHeight="1" x14ac:dyDescent="0.25">
      <c r="A343" s="2"/>
      <c r="C343" s="7"/>
    </row>
    <row r="344" spans="1:3" ht="12" customHeight="1" x14ac:dyDescent="0.25">
      <c r="A344" s="2"/>
      <c r="C344" s="7"/>
    </row>
    <row r="345" spans="1:3" ht="12" customHeight="1" x14ac:dyDescent="0.25">
      <c r="A345" s="2"/>
      <c r="C345" s="7"/>
    </row>
    <row r="346" spans="1:3" ht="12" customHeight="1" x14ac:dyDescent="0.25">
      <c r="A346" s="2"/>
      <c r="C346" s="7"/>
    </row>
    <row r="347" spans="1:3" ht="12" customHeight="1" x14ac:dyDescent="0.25">
      <c r="A347" s="2"/>
      <c r="C347" s="7"/>
    </row>
    <row r="348" spans="1:3" ht="12" customHeight="1" x14ac:dyDescent="0.25">
      <c r="A348" s="2"/>
      <c r="C348" s="7"/>
    </row>
    <row r="349" spans="1:3" ht="12" customHeight="1" x14ac:dyDescent="0.25">
      <c r="A349" s="2"/>
      <c r="C349" s="7"/>
    </row>
    <row r="350" spans="1:3" ht="12" customHeight="1" x14ac:dyDescent="0.25">
      <c r="A350" s="2"/>
      <c r="C350" s="7"/>
    </row>
    <row r="351" spans="1:3" ht="12" customHeight="1" x14ac:dyDescent="0.25">
      <c r="A351" s="2"/>
      <c r="C351" s="7"/>
    </row>
    <row r="352" spans="1:3" ht="12" customHeight="1" x14ac:dyDescent="0.25">
      <c r="A352" s="2"/>
      <c r="C352" s="7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tPSA">
    <tabColor rgb="FFFF00FF"/>
  </sheetPr>
  <dimension ref="A1:EE1016"/>
  <sheetViews>
    <sheetView workbookViewId="0">
      <pane xSplit="4" ySplit="16" topLeftCell="E17" activePane="bottomRight" state="frozen"/>
      <selection activeCell="E2" sqref="E2"/>
      <selection pane="topRight" activeCell="E2" sqref="E2"/>
      <selection pane="bottomLeft" activeCell="E2" sqref="E2"/>
      <selection pane="bottomRight" activeCell="E17" sqref="E17"/>
    </sheetView>
  </sheetViews>
  <sheetFormatPr defaultColWidth="9.28515625" defaultRowHeight="12" customHeight="1" x14ac:dyDescent="0.25"/>
  <cols>
    <col min="1" max="1" width="1.7109375" style="69" customWidth="1"/>
    <col min="2" max="2" width="19.7109375" style="69" customWidth="1"/>
    <col min="3" max="3" width="1.7109375" style="70" customWidth="1"/>
    <col min="4" max="4" width="9" style="11" customWidth="1"/>
    <col min="5" max="6" width="10.7109375" style="11" customWidth="1"/>
    <col min="7" max="7" width="2.7109375" style="11" customWidth="1"/>
    <col min="8" max="9" width="10.7109375" style="11" customWidth="1"/>
    <col min="10" max="10" width="2.7109375" style="11" customWidth="1"/>
    <col min="11" max="12" width="10.7109375" style="11" customWidth="1"/>
    <col min="13" max="13" width="2.7109375" style="11" customWidth="1"/>
    <col min="14" max="15" width="10.7109375" style="11" customWidth="1"/>
    <col min="16" max="16" width="2.7109375" style="11" customWidth="1"/>
    <col min="17" max="18" width="10.7109375" style="11" customWidth="1"/>
    <col min="19" max="19" width="2.7109375" style="11" customWidth="1"/>
    <col min="20" max="21" width="10.7109375" style="11" customWidth="1"/>
    <col min="22" max="22" width="2.7109375" style="11" customWidth="1"/>
    <col min="23" max="24" width="10.7109375" style="11" customWidth="1"/>
    <col min="25" max="25" width="2.7109375" style="11" customWidth="1"/>
    <col min="26" max="27" width="10.7109375" style="11" customWidth="1"/>
    <col min="28" max="28" width="2.7109375" style="11" customWidth="1"/>
    <col min="29" max="30" width="10.7109375" style="11" customWidth="1"/>
    <col min="31" max="31" width="2.7109375" style="11" customWidth="1"/>
    <col min="32" max="33" width="10.7109375" style="11" customWidth="1"/>
    <col min="34" max="34" width="2.7109375" style="11" customWidth="1"/>
    <col min="35" max="36" width="10.7109375" style="11" customWidth="1"/>
    <col min="37" max="37" width="2.7109375" style="11" customWidth="1"/>
    <col min="38" max="39" width="10.7109375" style="11" customWidth="1"/>
    <col min="40" max="40" width="2.7109375" style="11" customWidth="1"/>
    <col min="41" max="42" width="10.7109375" style="11" customWidth="1"/>
    <col min="43" max="43" width="2.7109375" style="11" customWidth="1"/>
    <col min="44" max="45" width="10.7109375" style="11" customWidth="1"/>
    <col min="46" max="46" width="2.7109375" style="11" customWidth="1"/>
    <col min="47" max="48" width="10.7109375" style="11" customWidth="1"/>
    <col min="49" max="49" width="2.7109375" style="11" customWidth="1"/>
    <col min="50" max="51" width="10.7109375" style="11" customWidth="1"/>
    <col min="52" max="52" width="2.7109375" style="11" customWidth="1"/>
    <col min="53" max="54" width="10.7109375" style="11" customWidth="1"/>
    <col min="55" max="55" width="2.7109375" style="11" customWidth="1"/>
    <col min="56" max="57" width="10.7109375" style="11" customWidth="1"/>
    <col min="58" max="58" width="2.7109375" style="11" customWidth="1"/>
    <col min="59" max="60" width="10.7109375" style="11" customWidth="1"/>
    <col min="61" max="61" width="2.7109375" style="11" customWidth="1"/>
    <col min="62" max="63" width="10.7109375" style="11" customWidth="1"/>
    <col min="64" max="64" width="2.7109375" style="11" customWidth="1"/>
    <col min="65" max="66" width="10.7109375" style="11" customWidth="1"/>
    <col min="67" max="67" width="2.7109375" style="11" customWidth="1"/>
    <col min="68" max="69" width="10.7109375" style="11" customWidth="1"/>
    <col min="70" max="70" width="2.7109375" style="11" customWidth="1"/>
    <col min="71" max="72" width="10.7109375" style="11" customWidth="1"/>
    <col min="73" max="73" width="2.7109375" style="11" customWidth="1"/>
    <col min="74" max="75" width="10.7109375" style="11" customWidth="1"/>
    <col min="76" max="76" width="2.7109375" style="11" customWidth="1"/>
    <col min="77" max="78" width="10.7109375" style="11" customWidth="1"/>
    <col min="79" max="79" width="2.7109375" style="11" customWidth="1"/>
    <col min="80" max="81" width="10.7109375" style="11" customWidth="1"/>
    <col min="82" max="82" width="2.7109375" style="11" customWidth="1"/>
    <col min="83" max="84" width="10.7109375" style="11" customWidth="1"/>
    <col min="85" max="85" width="2.7109375" style="11" customWidth="1"/>
    <col min="86" max="87" width="10.7109375" style="11" customWidth="1"/>
    <col min="88" max="88" width="2.7109375" style="11" customWidth="1"/>
    <col min="89" max="90" width="10.7109375" style="11" customWidth="1"/>
    <col min="91" max="91" width="2.7109375" style="11" customWidth="1"/>
    <col min="92" max="93" width="10.7109375" style="11" customWidth="1"/>
    <col min="94" max="94" width="2.7109375" style="11" customWidth="1"/>
    <col min="95" max="96" width="10.7109375" style="11" customWidth="1"/>
    <col min="97" max="97" width="2.7109375" style="11" customWidth="1"/>
    <col min="98" max="99" width="10.7109375" style="11" customWidth="1"/>
    <col min="100" max="100" width="2.7109375" style="11" customWidth="1"/>
    <col min="101" max="102" width="10.7109375" style="11" customWidth="1"/>
    <col min="103" max="103" width="2.7109375" style="11" customWidth="1"/>
    <col min="104" max="105" width="10.7109375" style="11" customWidth="1"/>
    <col min="106" max="106" width="2.7109375" style="11" customWidth="1"/>
    <col min="107" max="108" width="10.7109375" style="11" customWidth="1"/>
    <col min="109" max="109" width="2.7109375" style="11" customWidth="1"/>
    <col min="110" max="111" width="10.7109375" style="11" customWidth="1"/>
    <col min="112" max="112" width="2.7109375" style="11" customWidth="1"/>
    <col min="113" max="114" width="10.7109375" style="11" customWidth="1"/>
    <col min="115" max="115" width="2.7109375" style="11" customWidth="1"/>
    <col min="116" max="117" width="10.7109375" style="11" customWidth="1"/>
    <col min="118" max="118" width="2.7109375" style="11" customWidth="1"/>
    <col min="119" max="120" width="10.7109375" style="11" customWidth="1"/>
    <col min="121" max="121" width="2.7109375" style="11" customWidth="1"/>
    <col min="122" max="123" width="10.7109375" style="11" customWidth="1"/>
    <col min="124" max="124" width="2.7109375" style="11" customWidth="1"/>
    <col min="125" max="126" width="10.7109375" style="11" customWidth="1"/>
    <col min="127" max="127" width="2.7109375" style="11" customWidth="1"/>
    <col min="128" max="129" width="10.7109375" style="11" customWidth="1"/>
    <col min="130" max="130" width="2.7109375" style="11" customWidth="1"/>
    <col min="131" max="132" width="10.7109375" style="11" customWidth="1"/>
    <col min="133" max="133" width="2.7109375" style="11" customWidth="1"/>
    <col min="134" max="135" width="10.7109375" style="11" customWidth="1"/>
    <col min="136" max="136" width="2.7109375" style="11" customWidth="1"/>
    <col min="137" max="16384" width="9.28515625" style="11"/>
  </cols>
  <sheetData>
    <row r="1" spans="1:135" s="5" customFormat="1" ht="24.95" customHeight="1" thickBot="1" x14ac:dyDescent="0.3">
      <c r="A1" s="68"/>
      <c r="B1" s="69"/>
      <c r="C1" s="68"/>
      <c r="D1" s="4" t="str">
        <f>zWorkbookTitle</f>
        <v>Camacho et al. (2024) Harms of hazardous prescribing of NSAIDs</v>
      </c>
    </row>
    <row r="2" spans="1:135" ht="12" hidden="1" customHeight="1" thickBot="1" x14ac:dyDescent="0.3">
      <c r="E2" s="11">
        <v>1</v>
      </c>
      <c r="F2" s="11">
        <f>E2</f>
        <v>1</v>
      </c>
      <c r="H2" s="11">
        <f>F2</f>
        <v>1</v>
      </c>
      <c r="I2" s="11">
        <f>H2</f>
        <v>1</v>
      </c>
      <c r="K2" s="11">
        <f>E2+1</f>
        <v>2</v>
      </c>
      <c r="L2" s="11">
        <f>K2</f>
        <v>2</v>
      </c>
      <c r="N2" s="11">
        <f>L2</f>
        <v>2</v>
      </c>
      <c r="O2" s="11">
        <f>N2</f>
        <v>2</v>
      </c>
      <c r="Q2" s="11">
        <f>K2+1</f>
        <v>3</v>
      </c>
      <c r="R2" s="11">
        <f>Q2</f>
        <v>3</v>
      </c>
      <c r="T2" s="11">
        <f>R2</f>
        <v>3</v>
      </c>
      <c r="U2" s="11">
        <f>T2</f>
        <v>3</v>
      </c>
      <c r="W2" s="11">
        <f>Q2+1</f>
        <v>4</v>
      </c>
      <c r="X2" s="11">
        <f>W2</f>
        <v>4</v>
      </c>
      <c r="Z2" s="11">
        <f>X2</f>
        <v>4</v>
      </c>
      <c r="AA2" s="11">
        <f>Z2</f>
        <v>4</v>
      </c>
      <c r="AC2" s="11">
        <f>W2+1</f>
        <v>5</v>
      </c>
      <c r="AD2" s="11">
        <f>AC2</f>
        <v>5</v>
      </c>
      <c r="AF2" s="11">
        <f>AD2</f>
        <v>5</v>
      </c>
      <c r="AG2" s="11">
        <f>AF2</f>
        <v>5</v>
      </c>
      <c r="AI2" s="11">
        <f>AC2+1</f>
        <v>6</v>
      </c>
      <c r="AJ2" s="11">
        <f>AI2</f>
        <v>6</v>
      </c>
      <c r="AL2" s="11">
        <f>AJ2</f>
        <v>6</v>
      </c>
      <c r="AM2" s="11">
        <f>AL2</f>
        <v>6</v>
      </c>
      <c r="AO2" s="11">
        <f>AI2+1</f>
        <v>7</v>
      </c>
      <c r="AP2" s="11">
        <f>AO2</f>
        <v>7</v>
      </c>
      <c r="AR2" s="11">
        <f>AP2</f>
        <v>7</v>
      </c>
      <c r="AS2" s="11">
        <f>AR2</f>
        <v>7</v>
      </c>
      <c r="AU2" s="11">
        <f>AO2+1</f>
        <v>8</v>
      </c>
      <c r="AV2" s="11">
        <f>AU2</f>
        <v>8</v>
      </c>
      <c r="AX2" s="11">
        <f>AR2+1</f>
        <v>8</v>
      </c>
      <c r="AY2" s="11">
        <f>AX2</f>
        <v>8</v>
      </c>
      <c r="BA2" s="11">
        <f>AU2+1</f>
        <v>9</v>
      </c>
      <c r="BB2" s="11">
        <f>BA2</f>
        <v>9</v>
      </c>
      <c r="BD2" s="11">
        <f>AX2+1</f>
        <v>9</v>
      </c>
      <c r="BE2" s="11">
        <f>BD2</f>
        <v>9</v>
      </c>
      <c r="BG2" s="11">
        <f>BA2+1</f>
        <v>10</v>
      </c>
      <c r="BH2" s="11">
        <f>BG2</f>
        <v>10</v>
      </c>
      <c r="BJ2" s="11">
        <f>BD2+1</f>
        <v>10</v>
      </c>
      <c r="BK2" s="11">
        <f>BJ2</f>
        <v>10</v>
      </c>
      <c r="BM2" s="11">
        <f>BG2+1</f>
        <v>11</v>
      </c>
      <c r="BN2" s="11">
        <f>BM2</f>
        <v>11</v>
      </c>
      <c r="BP2" s="11">
        <f>BJ2+1</f>
        <v>11</v>
      </c>
      <c r="BQ2" s="11">
        <f>BP2</f>
        <v>11</v>
      </c>
    </row>
    <row r="3" spans="1:135" ht="12" hidden="1" customHeight="1" thickTop="1" thickBot="1" x14ac:dyDescent="0.3">
      <c r="E3" s="11">
        <f>D2+1</f>
        <v>1</v>
      </c>
      <c r="F3" s="11">
        <f>E3+1</f>
        <v>2</v>
      </c>
      <c r="H3" s="11">
        <f>G3+1</f>
        <v>1</v>
      </c>
      <c r="I3" s="11">
        <f>H3+1</f>
        <v>2</v>
      </c>
      <c r="K3" s="11">
        <f>J3+1</f>
        <v>1</v>
      </c>
      <c r="L3" s="11">
        <f>K3+1</f>
        <v>2</v>
      </c>
      <c r="N3" s="11">
        <f>M3+1</f>
        <v>1</v>
      </c>
      <c r="O3" s="11">
        <f>N3+1</f>
        <v>2</v>
      </c>
      <c r="Q3" s="11">
        <f>P3+1</f>
        <v>1</v>
      </c>
      <c r="R3" s="11">
        <f>Q3+1</f>
        <v>2</v>
      </c>
      <c r="T3" s="11">
        <f>S3+1</f>
        <v>1</v>
      </c>
      <c r="U3" s="11">
        <f>T3+1</f>
        <v>2</v>
      </c>
      <c r="W3" s="11">
        <f>V3+1</f>
        <v>1</v>
      </c>
      <c r="X3" s="11">
        <f>W3+1</f>
        <v>2</v>
      </c>
      <c r="Z3" s="11">
        <f>Y3+1</f>
        <v>1</v>
      </c>
      <c r="AA3" s="11">
        <f>Z3+1</f>
        <v>2</v>
      </c>
      <c r="AC3" s="11">
        <f>AB3+1</f>
        <v>1</v>
      </c>
      <c r="AD3" s="11">
        <f>AC3+1</f>
        <v>2</v>
      </c>
      <c r="AF3" s="11">
        <f>AE3+1</f>
        <v>1</v>
      </c>
      <c r="AG3" s="11">
        <f>AF3+1</f>
        <v>2</v>
      </c>
      <c r="AI3" s="11">
        <f>AH3+1</f>
        <v>1</v>
      </c>
      <c r="AJ3" s="11">
        <f>AI3+1</f>
        <v>2</v>
      </c>
      <c r="AL3" s="11">
        <f>AK3+1</f>
        <v>1</v>
      </c>
      <c r="AM3" s="11">
        <f>AL3+1</f>
        <v>2</v>
      </c>
      <c r="AO3" s="11">
        <f>AN3+1</f>
        <v>1</v>
      </c>
      <c r="AP3" s="11">
        <f>AO3+1</f>
        <v>2</v>
      </c>
      <c r="AR3" s="11">
        <f>AQ3+1</f>
        <v>1</v>
      </c>
      <c r="AS3" s="11">
        <f>AR3+1</f>
        <v>2</v>
      </c>
      <c r="AU3" s="11">
        <f>AT3+1</f>
        <v>1</v>
      </c>
      <c r="AV3" s="11">
        <f>AU3+1</f>
        <v>2</v>
      </c>
      <c r="AX3" s="11">
        <f>AW3+1</f>
        <v>1</v>
      </c>
      <c r="AY3" s="11">
        <f>AX3+1</f>
        <v>2</v>
      </c>
      <c r="BA3" s="11">
        <f>AZ3+1</f>
        <v>1</v>
      </c>
      <c r="BB3" s="11">
        <f>BA3+1</f>
        <v>2</v>
      </c>
      <c r="BD3" s="11">
        <f>BC3+1</f>
        <v>1</v>
      </c>
      <c r="BE3" s="11">
        <f>BD3+1</f>
        <v>2</v>
      </c>
      <c r="BG3" s="11">
        <f>BF3+1</f>
        <v>1</v>
      </c>
      <c r="BH3" s="11">
        <f>BG3+1</f>
        <v>2</v>
      </c>
      <c r="BJ3" s="11">
        <f>BI3+1</f>
        <v>1</v>
      </c>
      <c r="BK3" s="11">
        <f>BJ3+1</f>
        <v>2</v>
      </c>
      <c r="BM3" s="11">
        <f>BL3+1</f>
        <v>1</v>
      </c>
      <c r="BN3" s="11">
        <f>BM3+1</f>
        <v>2</v>
      </c>
      <c r="BP3" s="11">
        <f>BO3+1</f>
        <v>1</v>
      </c>
      <c r="BQ3" s="11">
        <f>BP3+1</f>
        <v>2</v>
      </c>
      <c r="BS3" s="11" t="e">
        <f>#REF!+1</f>
        <v>#REF!</v>
      </c>
      <c r="BT3" s="11" t="e">
        <f>BS3+1</f>
        <v>#REF!</v>
      </c>
      <c r="BV3" s="11">
        <f>BU3+1</f>
        <v>1</v>
      </c>
      <c r="BW3" s="11">
        <f>BV3+1</f>
        <v>2</v>
      </c>
      <c r="BY3" s="11">
        <f>BX3+1</f>
        <v>1</v>
      </c>
      <c r="BZ3" s="11">
        <f>BY3+1</f>
        <v>2</v>
      </c>
      <c r="CB3" s="11">
        <f>CA3+1</f>
        <v>1</v>
      </c>
      <c r="CC3" s="11">
        <f>CB3+1</f>
        <v>2</v>
      </c>
      <c r="CE3" s="11">
        <f>CD3+1</f>
        <v>1</v>
      </c>
      <c r="CF3" s="11">
        <f>CE3+1</f>
        <v>2</v>
      </c>
      <c r="CH3" s="11">
        <f>CG3+1</f>
        <v>1</v>
      </c>
      <c r="CI3" s="11">
        <f>CH3+1</f>
        <v>2</v>
      </c>
      <c r="CK3" s="11">
        <f>CJ3+1</f>
        <v>1</v>
      </c>
      <c r="CL3" s="11">
        <f>CK3+1</f>
        <v>2</v>
      </c>
      <c r="CN3" s="11">
        <f>CM3+1</f>
        <v>1</v>
      </c>
      <c r="CO3" s="11">
        <f>CN3+1</f>
        <v>2</v>
      </c>
      <c r="CQ3" s="11">
        <f>CP3+1</f>
        <v>1</v>
      </c>
      <c r="CR3" s="11">
        <f>CQ3+1</f>
        <v>2</v>
      </c>
      <c r="CT3" s="11">
        <f>CS3+1</f>
        <v>1</v>
      </c>
      <c r="CU3" s="11">
        <f>CT3+1</f>
        <v>2</v>
      </c>
      <c r="CW3" s="11">
        <f>CV3+1</f>
        <v>1</v>
      </c>
      <c r="CX3" s="11">
        <f>CW3+1</f>
        <v>2</v>
      </c>
      <c r="CZ3" s="11">
        <f>CY3+1</f>
        <v>1</v>
      </c>
      <c r="DA3" s="11">
        <f>CZ3+1</f>
        <v>2</v>
      </c>
      <c r="DC3" s="11">
        <f>DB3+1</f>
        <v>1</v>
      </c>
      <c r="DD3" s="11">
        <f>DC3+1</f>
        <v>2</v>
      </c>
      <c r="DF3" s="11">
        <f>DE3+1</f>
        <v>1</v>
      </c>
      <c r="DG3" s="11">
        <f>DF3+1</f>
        <v>2</v>
      </c>
      <c r="DI3" s="11">
        <f>DH3+1</f>
        <v>1</v>
      </c>
      <c r="DJ3" s="11">
        <f>DI3+1</f>
        <v>2</v>
      </c>
      <c r="DL3" s="11">
        <f>DK3+1</f>
        <v>1</v>
      </c>
      <c r="DM3" s="11">
        <f>DL3+1</f>
        <v>2</v>
      </c>
      <c r="DO3" s="11">
        <f>DN3+1</f>
        <v>1</v>
      </c>
      <c r="DP3" s="11">
        <f>DO3+1</f>
        <v>2</v>
      </c>
      <c r="DR3" s="11">
        <f>DQ3+1</f>
        <v>1</v>
      </c>
      <c r="DS3" s="11">
        <f>DR3+1</f>
        <v>2</v>
      </c>
      <c r="DU3" s="11">
        <f>DT3+1</f>
        <v>1</v>
      </c>
      <c r="DV3" s="11">
        <f>DU3+1</f>
        <v>2</v>
      </c>
      <c r="DX3" s="11">
        <f>DW3+1</f>
        <v>1</v>
      </c>
      <c r="DY3" s="11">
        <f>DX3+1</f>
        <v>2</v>
      </c>
      <c r="EA3" s="11">
        <f>DZ3+1</f>
        <v>1</v>
      </c>
      <c r="EB3" s="11">
        <f>EA3+1</f>
        <v>2</v>
      </c>
      <c r="ED3" s="11">
        <f>EC3+1</f>
        <v>1</v>
      </c>
      <c r="EE3" s="11">
        <f>ED3+1</f>
        <v>2</v>
      </c>
    </row>
    <row r="4" spans="1:135" ht="12" customHeight="1" thickTop="1" thickBot="1" x14ac:dyDescent="0.3">
      <c r="E4" s="491" t="str" cm="1">
        <f t="array" ref="E4">INDEX(lstQs, E$2)</f>
        <v>A: No gastroprotection - NSAIDs in people &gt;65</v>
      </c>
      <c r="F4" s="491"/>
      <c r="G4" s="491"/>
      <c r="H4" s="491"/>
      <c r="I4" s="491"/>
      <c r="K4" s="491" t="str" cm="1">
        <f t="array" ref="K4">INDEX(lstQs, K$2)</f>
        <v>B: No gastroprotection - NSAIDs in people with ulcer history</v>
      </c>
      <c r="L4" s="491"/>
      <c r="M4" s="491"/>
      <c r="N4" s="491"/>
      <c r="O4" s="491"/>
      <c r="Q4" s="491" t="str" cm="1">
        <f t="array" ref="Q4">INDEX(lstQs, Q$2)</f>
        <v>C: NSAIDs - DOAC/warfarin</v>
      </c>
      <c r="R4" s="491"/>
      <c r="S4" s="491"/>
      <c r="T4" s="491"/>
      <c r="U4" s="491"/>
      <c r="W4" s="491" t="str" cm="1">
        <f t="array" ref="W4">INDEX(lstQs, W$2)</f>
        <v>D: NSAIDs - HF</v>
      </c>
      <c r="X4" s="491"/>
      <c r="Y4" s="491"/>
      <c r="Z4" s="491"/>
      <c r="AA4" s="491"/>
      <c r="AC4" s="491" t="str" cm="1">
        <f t="array" ref="AC4">INDEX(lstQs, AC$2)</f>
        <v>E: NSAIDs - CKD</v>
      </c>
      <c r="AD4" s="491"/>
      <c r="AE4" s="491"/>
      <c r="AF4" s="491"/>
      <c r="AG4" s="491"/>
      <c r="AI4" s="491" t="str" cm="1">
        <f t="array" ref="AI4">INDEX(lstQs, AI$2)</f>
        <v>Expected harm in England: query A</v>
      </c>
      <c r="AJ4" s="491"/>
      <c r="AK4" s="491"/>
      <c r="AL4" s="491"/>
      <c r="AM4" s="491"/>
      <c r="AO4" s="491" t="str" cm="1">
        <f t="array" ref="AO4">INDEX(lstQs, AO$2)</f>
        <v>Expected harm in England: query B</v>
      </c>
      <c r="AP4" s="491"/>
      <c r="AQ4" s="491"/>
      <c r="AR4" s="491"/>
      <c r="AS4" s="491"/>
      <c r="AU4" s="491" t="str" cm="1">
        <f t="array" ref="AU4">INDEX(lstQs, AU$2)</f>
        <v>Expected harm in England: query C</v>
      </c>
      <c r="AV4" s="491"/>
      <c r="AW4" s="491"/>
      <c r="AX4" s="491"/>
      <c r="AY4" s="491"/>
      <c r="BA4" s="491" t="str" cm="1">
        <f t="array" ref="BA4">INDEX(lstQs, BA$2)</f>
        <v>Expected harm in England: query D</v>
      </c>
      <c r="BB4" s="491"/>
      <c r="BC4" s="491"/>
      <c r="BD4" s="491"/>
      <c r="BE4" s="491"/>
      <c r="BG4" s="491" t="str" cm="1">
        <f t="array" ref="BG4">INDEX(lstQs, BG$2)</f>
        <v>Expected harm in England: query E</v>
      </c>
      <c r="BH4" s="491"/>
      <c r="BI4" s="491"/>
      <c r="BJ4" s="491"/>
      <c r="BK4" s="491"/>
      <c r="BM4" s="491" t="str" cm="1">
        <f t="array" ref="BM4">INDEX(lstQs, BM$2)</f>
        <v>Expected harm in England: total</v>
      </c>
      <c r="BN4" s="491"/>
      <c r="BO4" s="491"/>
      <c r="BP4" s="491"/>
      <c r="BQ4" s="491"/>
      <c r="BS4" s="491" t="str">
        <f>E4</f>
        <v>A: No gastroprotection - NSAIDs in people &gt;65</v>
      </c>
      <c r="BT4" s="491"/>
      <c r="BU4" s="491"/>
      <c r="BV4" s="491"/>
      <c r="BW4" s="491"/>
      <c r="BY4" s="491" t="str">
        <f>K4</f>
        <v>B: No gastroprotection - NSAIDs in people with ulcer history</v>
      </c>
      <c r="BZ4" s="491"/>
      <c r="CA4" s="491"/>
      <c r="CB4" s="491"/>
      <c r="CC4" s="491"/>
      <c r="CE4" s="491" t="str">
        <f>Q4</f>
        <v>C: NSAIDs - DOAC/warfarin</v>
      </c>
      <c r="CF4" s="491"/>
      <c r="CG4" s="491"/>
      <c r="CH4" s="491"/>
      <c r="CI4" s="491"/>
      <c r="CK4" s="491" t="str">
        <f>W4</f>
        <v>D: NSAIDs - HF</v>
      </c>
      <c r="CL4" s="491"/>
      <c r="CM4" s="491"/>
      <c r="CN4" s="491"/>
      <c r="CO4" s="491"/>
      <c r="CQ4" s="511" t="str">
        <f>AC4</f>
        <v>E: NSAIDs - CKD</v>
      </c>
      <c r="CR4" s="512"/>
      <c r="CS4" s="512"/>
      <c r="CT4" s="512"/>
      <c r="CU4" s="513"/>
      <c r="CW4" s="511" t="str">
        <f>AI4</f>
        <v>Expected harm in England: query A</v>
      </c>
      <c r="CX4" s="512"/>
      <c r="CY4" s="512"/>
      <c r="CZ4" s="512"/>
      <c r="DA4" s="513"/>
      <c r="DC4" s="511" t="str">
        <f>AO4</f>
        <v>Expected harm in England: query B</v>
      </c>
      <c r="DD4" s="512"/>
      <c r="DE4" s="512"/>
      <c r="DF4" s="512"/>
      <c r="DG4" s="513"/>
      <c r="DI4" s="511" t="str">
        <f>AU4</f>
        <v>Expected harm in England: query C</v>
      </c>
      <c r="DJ4" s="512"/>
      <c r="DK4" s="512"/>
      <c r="DL4" s="512"/>
      <c r="DM4" s="513"/>
      <c r="DO4" s="511" t="str">
        <f>BA4</f>
        <v>Expected harm in England: query D</v>
      </c>
      <c r="DP4" s="512"/>
      <c r="DQ4" s="512"/>
      <c r="DR4" s="512"/>
      <c r="DS4" s="513"/>
      <c r="DU4" s="511" t="str">
        <f>BG4</f>
        <v>Expected harm in England: query E</v>
      </c>
      <c r="DV4" s="512"/>
      <c r="DW4" s="512"/>
      <c r="DX4" s="512"/>
      <c r="DY4" s="513"/>
      <c r="EA4" s="511" t="str">
        <f>BM4</f>
        <v>Expected harm in England: total</v>
      </c>
      <c r="EB4" s="512"/>
      <c r="EC4" s="512"/>
      <c r="ED4" s="512"/>
      <c r="EE4" s="513"/>
    </row>
    <row r="5" spans="1:135" ht="12" customHeight="1" thickBot="1" x14ac:dyDescent="0.3">
      <c r="E5" s="106" t="s">
        <v>39</v>
      </c>
      <c r="F5" s="106"/>
      <c r="H5" s="106" t="s">
        <v>40</v>
      </c>
      <c r="I5" s="106"/>
      <c r="K5" s="106" t="s">
        <v>39</v>
      </c>
      <c r="L5" s="106"/>
      <c r="N5" s="106" t="s">
        <v>40</v>
      </c>
      <c r="O5" s="106"/>
      <c r="Q5" s="106" t="s">
        <v>39</v>
      </c>
      <c r="R5" s="106"/>
      <c r="T5" s="106" t="s">
        <v>40</v>
      </c>
      <c r="U5" s="106"/>
      <c r="W5" s="106" t="s">
        <v>39</v>
      </c>
      <c r="X5" s="106"/>
      <c r="Z5" s="106" t="s">
        <v>40</v>
      </c>
      <c r="AA5" s="106"/>
      <c r="AC5" s="106" t="s">
        <v>39</v>
      </c>
      <c r="AD5" s="106"/>
      <c r="AF5" s="106" t="s">
        <v>40</v>
      </c>
      <c r="AG5" s="106"/>
      <c r="AI5" s="106" t="s">
        <v>39</v>
      </c>
      <c r="AJ5" s="106"/>
      <c r="AL5" s="106" t="s">
        <v>40</v>
      </c>
      <c r="AM5" s="106"/>
      <c r="AO5" s="106" t="s">
        <v>39</v>
      </c>
      <c r="AP5" s="106"/>
      <c r="AR5" s="106" t="s">
        <v>40</v>
      </c>
      <c r="AS5" s="106"/>
      <c r="AU5" s="106" t="s">
        <v>39</v>
      </c>
      <c r="AV5" s="106"/>
      <c r="AX5" s="106" t="s">
        <v>40</v>
      </c>
      <c r="AY5" s="106"/>
      <c r="BA5" s="106" t="s">
        <v>39</v>
      </c>
      <c r="BB5" s="106"/>
      <c r="BD5" s="106" t="s">
        <v>40</v>
      </c>
      <c r="BE5" s="106"/>
      <c r="BG5" s="106" t="s">
        <v>39</v>
      </c>
      <c r="BH5" s="106"/>
      <c r="BJ5" s="106" t="s">
        <v>40</v>
      </c>
      <c r="BK5" s="106"/>
      <c r="BM5" s="106" t="s">
        <v>39</v>
      </c>
      <c r="BN5" s="106"/>
      <c r="BP5" s="106" t="s">
        <v>40</v>
      </c>
      <c r="BQ5" s="106"/>
      <c r="BS5" s="107">
        <v>20000</v>
      </c>
      <c r="BT5" s="107"/>
      <c r="BV5" s="91" t="s">
        <v>82</v>
      </c>
      <c r="BW5" s="91"/>
      <c r="BY5" s="107">
        <f>WTP</f>
        <v>20000</v>
      </c>
      <c r="BZ5" s="107"/>
      <c r="CB5" s="91" t="s">
        <v>82</v>
      </c>
      <c r="CC5" s="91"/>
      <c r="CE5" s="107">
        <f>WTP</f>
        <v>20000</v>
      </c>
      <c r="CF5" s="107"/>
      <c r="CH5" s="91" t="s">
        <v>82</v>
      </c>
      <c r="CI5" s="91"/>
      <c r="CK5" s="107">
        <f>WTP</f>
        <v>20000</v>
      </c>
      <c r="CL5" s="107"/>
      <c r="CN5" s="91" t="s">
        <v>82</v>
      </c>
      <c r="CO5" s="91"/>
      <c r="CQ5" s="107">
        <f>WTP</f>
        <v>20000</v>
      </c>
      <c r="CR5" s="107"/>
      <c r="CT5" s="91" t="s">
        <v>82</v>
      </c>
      <c r="CU5" s="91"/>
      <c r="CW5" s="107">
        <f>WTP</f>
        <v>20000</v>
      </c>
      <c r="CX5" s="107"/>
      <c r="CZ5" s="91" t="s">
        <v>82</v>
      </c>
      <c r="DA5" s="91"/>
      <c r="DC5" s="107">
        <f>WTP</f>
        <v>20000</v>
      </c>
      <c r="DD5" s="107"/>
      <c r="DF5" s="91" t="s">
        <v>82</v>
      </c>
      <c r="DG5" s="91"/>
      <c r="DI5" s="107">
        <f>WTP</f>
        <v>20000</v>
      </c>
      <c r="DJ5" s="107"/>
      <c r="DL5" s="91" t="s">
        <v>82</v>
      </c>
      <c r="DM5" s="91"/>
      <c r="DO5" s="107">
        <f>WTP</f>
        <v>20000</v>
      </c>
      <c r="DP5" s="107"/>
      <c r="DR5" s="91" t="s">
        <v>82</v>
      </c>
      <c r="DS5" s="91"/>
      <c r="DU5" s="107">
        <f>WTP</f>
        <v>20000</v>
      </c>
      <c r="DV5" s="107"/>
      <c r="DX5" s="91" t="s">
        <v>82</v>
      </c>
      <c r="DY5" s="91"/>
      <c r="EA5" s="107">
        <f>WTP</f>
        <v>20000</v>
      </c>
      <c r="EB5" s="107"/>
      <c r="ED5" s="91" t="s">
        <v>82</v>
      </c>
      <c r="EE5" s="91"/>
    </row>
    <row r="6" spans="1:135" ht="12" customHeight="1" thickBot="1" x14ac:dyDescent="0.3">
      <c r="D6" s="25" t="s">
        <v>8</v>
      </c>
      <c r="E6" s="105">
        <f ca="1">IF(E$17="", "", AVERAGE(OFFSET(E$17, 0, 0, numSims)))</f>
        <v>258.28548437122316</v>
      </c>
      <c r="F6" s="105">
        <f ca="1">IF(F$17="", "", AVERAGE(OFFSET(F$17, 0, 0, numSims)))</f>
        <v>234.68582357943365</v>
      </c>
      <c r="H6" s="111">
        <f ca="1">IF(H$17="", "", AVERAGE(OFFSET(H$17, 0, 0, numSims)))</f>
        <v>5.8349867769857431</v>
      </c>
      <c r="I6" s="111">
        <f ca="1">IF(I$17="", "", AVERAGE(OFFSET(I$17, 0, 0, numSims)))</f>
        <v>5.8517477509186948</v>
      </c>
      <c r="K6" s="105">
        <f ca="1">IF(K$17="", "", AVERAGE(OFFSET(K$17, 0, 0, numSims)))</f>
        <v>277.21787194993902</v>
      </c>
      <c r="L6" s="105">
        <f ca="1">IF(L$17="", "", AVERAGE(OFFSET(L$17, 0, 0, numSims)))</f>
        <v>253.04754689337602</v>
      </c>
      <c r="N6" s="111">
        <f ca="1">IF(N$17="", "", AVERAGE(OFFSET(N$17, 0, 0, numSims)))</f>
        <v>6.7015521322471701</v>
      </c>
      <c r="O6" s="111">
        <f ca="1">IF(O$17="", "", AVERAGE(OFFSET(O$17, 0, 0, numSims)))</f>
        <v>6.7161047141816761</v>
      </c>
      <c r="Q6" s="105">
        <f ca="1">IF(Q$17="", "", AVERAGE(OFFSET(Q$17, 0, 0, numSims)))</f>
        <v>2519.6380757076035</v>
      </c>
      <c r="R6" s="105">
        <f ca="1">IF(R$17="", "", AVERAGE(OFFSET(R$17, 0, 0, numSims)))</f>
        <v>1432.3558598530303</v>
      </c>
      <c r="T6" s="111">
        <f ca="1">IF(T$17="", "", AVERAGE(OFFSET(T$17, 0, 0, numSims)))</f>
        <v>4.8132706528963594</v>
      </c>
      <c r="U6" s="111">
        <f ca="1">IF(U$17="", "", AVERAGE(OFFSET(U$17, 0, 0, numSims)))</f>
        <v>4.9055097800930119</v>
      </c>
      <c r="W6" s="105">
        <f ca="1">IF(W$17="", "", AVERAGE(OFFSET(W$17, 0, 0, numSims)))</f>
        <v>12596.922197268379</v>
      </c>
      <c r="X6" s="105">
        <f ca="1">IF(X$17="", "", AVERAGE(OFFSET(X$17, 0, 0, numSims)))</f>
        <v>12584.909980511773</v>
      </c>
      <c r="Z6" s="111">
        <f ca="1">IF(Z$17="", "", AVERAGE(OFFSET(Z$17, 0, 0, numSims)))</f>
        <v>3.0034618315538943</v>
      </c>
      <c r="AA6" s="111">
        <f ca="1">IF(AA$17="", "", AVERAGE(OFFSET(AA$17, 0, 0, numSims)))</f>
        <v>3.0501910784425239</v>
      </c>
      <c r="AC6" s="105">
        <f ca="1">IF(AC$17="", "", AVERAGE(OFFSET(AC$17, 0, 0, numSims)))</f>
        <v>50258.732572272667</v>
      </c>
      <c r="AD6" s="105">
        <f ca="1">IF(AD$17="", "", AVERAGE(OFFSET(AD$17, 0, 0, numSims)))</f>
        <v>50056.462465953744</v>
      </c>
      <c r="AF6" s="111">
        <f ca="1">IF(AF$17="", "", AVERAGE(OFFSET(AF$17, 0, 0, numSims)))</f>
        <v>4.5241145841934625</v>
      </c>
      <c r="AG6" s="111">
        <f ca="1">IF(AG$17="", "", AVERAGE(OFFSET(AG$17, 0, 0, numSims)))</f>
        <v>4.6328665062502372</v>
      </c>
      <c r="AI6" s="105">
        <f ca="1">IF(AI$17="", "", AVERAGE(OFFSET(AI$17, 0, 0, numSims)))</f>
        <v>2535968.0564504988</v>
      </c>
      <c r="AJ6" s="105">
        <f ca="1">IF(AJ$17="", "", AVERAGE(OFFSET(AJ$17, 0, 0, numSims)))</f>
        <v>0</v>
      </c>
      <c r="AL6" s="111">
        <f ca="1">IF(AL$17="", "", AVERAGE(OFFSET(AL$17, 0, 0, numSims)))</f>
        <v>-1801.3066895343882</v>
      </c>
      <c r="AM6" s="111">
        <f ca="1">IF(AM$17="", "", AVERAGE(OFFSET(AM$17, 0, 0, numSims)))</f>
        <v>0</v>
      </c>
      <c r="AO6" s="105">
        <f ca="1">IF(AO$17="", "", AVERAGE(OFFSET(AO$17, 0, 0, numSims)))</f>
        <v>165936.90044781912</v>
      </c>
      <c r="AP6" s="105">
        <f ca="1">IF(AP$17="", "", AVERAGE(OFFSET(AP$17, 0, 0, numSims)))</f>
        <v>0</v>
      </c>
      <c r="AR6" s="111">
        <f ca="1">IF(AR$17="", "", AVERAGE(OFFSET(AR$17, 0, 0, numSims)))</f>
        <v>-99.913284949339072</v>
      </c>
      <c r="AS6" s="111">
        <f ca="1">IF(AS$17="", "", AVERAGE(OFFSET(AS$17, 0, 0, numSims)))</f>
        <v>0</v>
      </c>
      <c r="AU6" s="105">
        <f ca="1">IF(AU$17="", "", AVERAGE(OFFSET(AU$17, 0, 0, numSims)))</f>
        <v>25192401.227504153</v>
      </c>
      <c r="AV6" s="105">
        <f ca="1">IF(AV$17="", "", AVERAGE(OFFSET(AV$17, 0, 0, numSims)))</f>
        <v>0</v>
      </c>
      <c r="AX6" s="111">
        <f ca="1">IF(AX$17="", "", AVERAGE(OFFSET(AX$17, 0, 0, numSims)))</f>
        <v>-2137.1326608904278</v>
      </c>
      <c r="AY6" s="111">
        <f ca="1">IF(AY$17="", "", AVERAGE(OFFSET(AY$17, 0, 0, numSims)))</f>
        <v>0</v>
      </c>
      <c r="BA6" s="105">
        <f ca="1">IF(BA$17="", "", AVERAGE(OFFSET(BA$17, 0, 0, numSims)))</f>
        <v>107166.91295650088</v>
      </c>
      <c r="BB6" s="105">
        <f ca="1">IF(BB$17="", "", AVERAGE(OFFSET(BB$17, 0, 0, numSims)))</f>
        <v>0</v>
      </c>
      <c r="BD6" s="111">
        <f ca="1">IF(BD$17="", "", AVERAGE(OFFSET(BD$17, 0, 0, numSims)))</f>
        <v>-417.19811780218339</v>
      </c>
      <c r="BE6" s="111">
        <f ca="1">IF(BE$17="", "", AVERAGE(OFFSET(BE$17, 0, 0, numSims)))</f>
        <v>0</v>
      </c>
      <c r="BG6" s="105">
        <f ca="1">IF(BG$17="", "", AVERAGE(OFFSET(BG$17, 0, 0, numSims)))</f>
        <v>3196029.2353842529</v>
      </c>
      <c r="BH6" s="105">
        <f ca="1">IF(BH$17="", "", AVERAGE(OFFSET(BH$17, 0, 0, numSims)))</f>
        <v>0</v>
      </c>
      <c r="BJ6" s="111">
        <f ca="1">IF(BJ$17="", "", AVERAGE(OFFSET(BJ$17, 0, 0, numSims)))</f>
        <v>-1719.0086899055482</v>
      </c>
      <c r="BK6" s="111">
        <f ca="1">IF(BK$17="", "", AVERAGE(OFFSET(BK$17, 0, 0, numSims)))</f>
        <v>0</v>
      </c>
      <c r="BM6" s="105">
        <f ca="1">IF(BM$17="", "", AVERAGE(OFFSET(BM$17, 0, 0, numSims)))</f>
        <v>31197502.332743172</v>
      </c>
      <c r="BN6" s="105">
        <f ca="1">IF(BN$17="", "", AVERAGE(OFFSET(BN$17, 0, 0, numSims)))</f>
        <v>0</v>
      </c>
      <c r="BP6" s="111">
        <f ca="1">IF(BP$17="", "", AVERAGE(OFFSET(BP$17, 0, 0, numSims)))</f>
        <v>-6174.5594430818865</v>
      </c>
      <c r="BQ6" s="111">
        <f ca="1">IF(BQ$17="", "", AVERAGE(OFFSET(BQ$17, 0, 0, numSims)))</f>
        <v>0</v>
      </c>
      <c r="BS6" s="105">
        <f ca="1">IF(BS$17="", "", AVERAGE(OFFSET(BS$17, 0, 0, numSims)))</f>
        <v>116441.45005534367</v>
      </c>
      <c r="BT6" s="105">
        <f ca="1">IF(BT$17="", "", AVERAGE(OFFSET(BT$17, 0, 0, numSims)))</f>
        <v>116800.26919479445</v>
      </c>
      <c r="BV6" s="286">
        <f t="array" aca="1" ref="BV6" ca="1">AVERAGE(IF(OFFSET(BV$17, 0, 0, numSims)=1, 1, 0))</f>
        <v>0</v>
      </c>
      <c r="BW6" s="286">
        <f t="array" aca="1" ref="BW6" ca="1">AVERAGE(IF(OFFSET(BW$17, 0, 0, numSims)=1, 1, 0))</f>
        <v>1</v>
      </c>
      <c r="BY6" s="105">
        <f ca="1">IF(BY$17="", "", AVERAGE(OFFSET(BY$17, 0, 0, numSims)))</f>
        <v>133753.8247729936</v>
      </c>
      <c r="BZ6" s="105">
        <f ca="1">IF(BZ$17="", "", AVERAGE(OFFSET(BZ$17, 0, 0, numSims)))</f>
        <v>134069.04673674062</v>
      </c>
      <c r="CB6" s="286">
        <f t="array" aca="1" ref="CB6" ca="1">AVERAGE(IF(OFFSET(CB$17, 0, 0, numSims)=1, 1, 0))</f>
        <v>0</v>
      </c>
      <c r="CC6" s="286">
        <f t="array" aca="1" ref="CC6" ca="1">AVERAGE(IF(OFFSET(CC$17, 0, 0, numSims)=1, 1, 0))</f>
        <v>1</v>
      </c>
      <c r="CE6" s="105">
        <f ca="1">IF(CE$17="", "", AVERAGE(OFFSET(CE$17, 0, 0, numSims)))</f>
        <v>93745.774982219547</v>
      </c>
      <c r="CF6" s="105">
        <f ca="1">IF(CF$17="", "", AVERAGE(OFFSET(CF$17, 0, 0, numSims)))</f>
        <v>96677.839742007243</v>
      </c>
      <c r="CH6" s="286">
        <f t="array" aca="1" ref="CH6" ca="1">AVERAGE(IF(OFFSET(CH$17, 0, 0, numSims)=1, 1, 0))</f>
        <v>0</v>
      </c>
      <c r="CI6" s="286">
        <f t="array" aca="1" ref="CI6" ca="1">AVERAGE(IF(OFFSET(CI$17, 0, 0, numSims)=1, 1, 0))</f>
        <v>1</v>
      </c>
      <c r="CK6" s="105">
        <f ca="1">IF(CK$17="", "", AVERAGE(OFFSET(CK$17, 0, 0, numSims)))</f>
        <v>47472.314433809544</v>
      </c>
      <c r="CL6" s="105">
        <f ca="1">IF(CL$17="", "", AVERAGE(OFFSET(CL$17, 0, 0, numSims)))</f>
        <v>48418.911588338757</v>
      </c>
      <c r="CN6" s="286">
        <f t="array" aca="1" ref="CN6" ca="1">AVERAGE(IF(OFFSET(CN$17, 0, 0, numSims)=1, 1, 0))</f>
        <v>0</v>
      </c>
      <c r="CO6" s="286">
        <f t="array" aca="1" ref="CO6" ca="1">AVERAGE(IF(OFFSET(CO$17, 0, 0, numSims)=1, 1, 0))</f>
        <v>1</v>
      </c>
      <c r="CQ6" s="105">
        <f ca="1">IF(CQ$17="", "", AVERAGE(OFFSET(CQ$17, 0, 0, numSims)))</f>
        <v>40223.559111596478</v>
      </c>
      <c r="CR6" s="105">
        <f ca="1">IF(CR$17="", "", AVERAGE(OFFSET(CR$17, 0, 0, numSims)))</f>
        <v>42600.867659050942</v>
      </c>
      <c r="CT6" s="286">
        <f t="array" aca="1" ref="CT6" ca="1">AVERAGE(IF(OFFSET(CT$17, 0, 0, numSims)=1, 1, 0))</f>
        <v>2E-3</v>
      </c>
      <c r="CU6" s="286">
        <f t="array" aca="1" ref="CU6" ca="1">AVERAGE(IF(OFFSET(CU$17, 0, 0, numSims)=1, 1, 0))</f>
        <v>0.998</v>
      </c>
      <c r="CW6" s="105">
        <f ca="1">IF(CW$17="", "", AVERAGE(OFFSET(CW$17, 0, 0, numSims)))</f>
        <v>-38562101.847138211</v>
      </c>
      <c r="CX6" s="105">
        <f ca="1">IF(CX$17="", "", AVERAGE(OFFSET(CX$17, 0, 0, numSims)))</f>
        <v>0</v>
      </c>
      <c r="CZ6" s="286">
        <f t="array" aca="1" ref="CZ6" ca="1">AVERAGE(IF(OFFSET(CZ$17, 0, 0, numSims)=1, 1, 0))</f>
        <v>0</v>
      </c>
      <c r="DA6" s="286">
        <f t="array" aca="1" ref="DA6" ca="1">AVERAGE(IF(OFFSET(DA$17, 0, 0, numSims)=1, 1, 0))</f>
        <v>1</v>
      </c>
      <c r="DC6" s="105">
        <f ca="1">IF(DC$17="", "", AVERAGE(OFFSET(DC$17, 0, 0, numSims)))</f>
        <v>-2164202.5994345979</v>
      </c>
      <c r="DD6" s="105">
        <f ca="1">IF(DD$17="", "", AVERAGE(OFFSET(DD$17, 0, 0, numSims)))</f>
        <v>0</v>
      </c>
      <c r="DF6" s="286">
        <f t="array" aca="1" ref="DF6" ca="1">AVERAGE(IF(OFFSET(DF$17, 0, 0, numSims)=1, 1, 0))</f>
        <v>0</v>
      </c>
      <c r="DG6" s="286">
        <f t="array" aca="1" ref="DG6" ca="1">AVERAGE(IF(OFFSET(DG$17, 0, 0, numSims)=1, 1, 0))</f>
        <v>1</v>
      </c>
      <c r="DI6" s="105">
        <f ca="1">IF(DI$17="", "", AVERAGE(OFFSET(DI$17, 0, 0, numSims)))</f>
        <v>-67935054.445312694</v>
      </c>
      <c r="DJ6" s="105">
        <f ca="1">IF(DJ$17="", "", AVERAGE(OFFSET(DJ$17, 0, 0, numSims)))</f>
        <v>0</v>
      </c>
      <c r="DL6" s="286">
        <f t="array" aca="1" ref="DL6" ca="1">AVERAGE(IF(OFFSET(DL$17, 0, 0, numSims)=1, 1, 0))</f>
        <v>0</v>
      </c>
      <c r="DM6" s="286">
        <f t="array" aca="1" ref="DM6" ca="1">AVERAGE(IF(OFFSET(DM$17, 0, 0, numSims)=1, 1, 0))</f>
        <v>1</v>
      </c>
      <c r="DO6" s="105">
        <f ca="1">IF(DO$17="", "", AVERAGE(OFFSET(DO$17, 0, 0, numSims)))</f>
        <v>-8451129.2690001894</v>
      </c>
      <c r="DP6" s="105">
        <f ca="1">IF(DP$17="", "", AVERAGE(OFFSET(DP$17, 0, 0, numSims)))</f>
        <v>0</v>
      </c>
      <c r="DR6" s="286">
        <f t="array" aca="1" ref="DR6" ca="1">AVERAGE(IF(OFFSET(DR$17, 0, 0, numSims)=1, 1, 0))</f>
        <v>0</v>
      </c>
      <c r="DS6" s="286">
        <f t="array" aca="1" ref="DS6" ca="1">AVERAGE(IF(OFFSET(DS$17, 0, 0, numSims)=1, 1, 0))</f>
        <v>1</v>
      </c>
      <c r="DU6" s="105">
        <f ca="1">IF(DU$17="", "", AVERAGE(OFFSET(DU$17, 0, 0, numSims)))</f>
        <v>-37576203.033495195</v>
      </c>
      <c r="DV6" s="105">
        <f ca="1">IF(DV$17="", "", AVERAGE(OFFSET(DV$17, 0, 0, numSims)))</f>
        <v>0</v>
      </c>
      <c r="DX6" s="286">
        <f t="array" aca="1" ref="DX6" ca="1">AVERAGE(IF(OFFSET(DX$17, 0, 0, numSims)=1, 1, 0))</f>
        <v>2E-3</v>
      </c>
      <c r="DY6" s="286">
        <f t="array" aca="1" ref="DY6" ca="1">AVERAGE(IF(OFFSET(DY$17, 0, 0, numSims)=1, 1, 0))</f>
        <v>0.998</v>
      </c>
      <c r="EA6" s="105">
        <f ca="1">IF(EA$17="", "", AVERAGE(OFFSET(EA$17, 0, 0, numSims)))</f>
        <v>-154688691.19438103</v>
      </c>
      <c r="EB6" s="105">
        <f ca="1">IF(EB$17="", "", AVERAGE(OFFSET(EB$17, 0, 0, numSims)))</f>
        <v>0</v>
      </c>
      <c r="ED6" s="286">
        <f t="array" aca="1" ref="ED6" ca="1">AVERAGE(IF(OFFSET(ED$17, 0, 0, numSims)=1, 1, 0))</f>
        <v>0</v>
      </c>
      <c r="EE6" s="286">
        <f t="array" aca="1" ref="EE6" ca="1">AVERAGE(IF(OFFSET(EE$17, 0, 0, numSims)=1, 1, 0))</f>
        <v>1</v>
      </c>
    </row>
    <row r="7" spans="1:135" ht="12" customHeight="1" thickBot="1" x14ac:dyDescent="0.3">
      <c r="D7" s="25" t="s">
        <v>9</v>
      </c>
      <c r="E7" s="67">
        <f ca="1">IF(E$17="", "", _xlfn.STDEV.S(OFFSET(E$17, 0, 0, numSims)))</f>
        <v>35.403905048426793</v>
      </c>
      <c r="F7" s="67">
        <f ca="1">IF(F$17="", "", _xlfn.STDEV.S(OFFSET(F$17, 0, 0, numSims)))</f>
        <v>34.461708741719661</v>
      </c>
      <c r="H7" s="92">
        <f ca="1">IF(H$17="", "", _xlfn.STDEV.S(OFFSET(H$17, 0, 0, numSims)))</f>
        <v>3.7514723662711247E-2</v>
      </c>
      <c r="I7" s="92">
        <f ca="1">IF(I$17="", "", _xlfn.STDEV.S(OFFSET(I$17, 0, 0, numSims)))</f>
        <v>3.7648508101742119E-2</v>
      </c>
      <c r="K7" s="67">
        <f ca="1">IF(K$17="", "", _xlfn.STDEV.S(OFFSET(K$17, 0, 0, numSims)))</f>
        <v>38.054235333738603</v>
      </c>
      <c r="L7" s="67">
        <f ca="1">IF(L$17="", "", _xlfn.STDEV.S(OFFSET(L$17, 0, 0, numSims)))</f>
        <v>37.162117938712228</v>
      </c>
      <c r="N7" s="92">
        <f ca="1">IF(N$17="", "", _xlfn.STDEV.S(OFFSET(N$17, 0, 0, numSims)))</f>
        <v>3.4498002080102133E-2</v>
      </c>
      <c r="O7" s="92">
        <f ca="1">IF(O$17="", "", _xlfn.STDEV.S(OFFSET(O$17, 0, 0, numSims)))</f>
        <v>3.5159665975346401E-2</v>
      </c>
      <c r="Q7" s="67">
        <f ca="1">IF(Q$17="", "", _xlfn.STDEV.S(OFFSET(Q$17, 0, 0, numSims)))</f>
        <v>756.2829185633525</v>
      </c>
      <c r="R7" s="67">
        <f ca="1">IF(R$17="", "", _xlfn.STDEV.S(OFFSET(R$17, 0, 0, numSims)))</f>
        <v>250.79024860364794</v>
      </c>
      <c r="T7" s="92">
        <f ca="1">IF(T$17="", "", _xlfn.STDEV.S(OFFSET(T$17, 0, 0, numSims)))</f>
        <v>0.10595874038962809</v>
      </c>
      <c r="U7" s="92">
        <f ca="1">IF(U$17="", "", _xlfn.STDEV.S(OFFSET(U$17, 0, 0, numSims)))</f>
        <v>0.10235279400877369</v>
      </c>
      <c r="W7" s="67">
        <f ca="1">IF(W$17="", "", _xlfn.STDEV.S(OFFSET(W$17, 0, 0, numSims)))</f>
        <v>2380.1335127256343</v>
      </c>
      <c r="X7" s="67">
        <f ca="1">IF(X$17="", "", _xlfn.STDEV.S(OFFSET(X$17, 0, 0, numSims)))</f>
        <v>2373.6009860731324</v>
      </c>
      <c r="Z7" s="92">
        <f ca="1">IF(Z$17="", "", _xlfn.STDEV.S(OFFSET(Z$17, 0, 0, numSims)))</f>
        <v>0.10492201272092218</v>
      </c>
      <c r="AA7" s="92">
        <f ca="1">IF(AA$17="", "", _xlfn.STDEV.S(OFFSET(AA$17, 0, 0, numSims)))</f>
        <v>0.1071854553964347</v>
      </c>
      <c r="AC7" s="67">
        <f ca="1">IF(AC$17="", "", _xlfn.STDEV.S(OFFSET(AC$17, 0, 0, numSims)))</f>
        <v>977.8746657061107</v>
      </c>
      <c r="AD7" s="67">
        <f ca="1">IF(AD$17="", "", _xlfn.STDEV.S(OFFSET(AD$17, 0, 0, numSims)))</f>
        <v>899.68685375462769</v>
      </c>
      <c r="AF7" s="92">
        <f ca="1">IF(AF$17="", "", _xlfn.STDEV.S(OFFSET(AF$17, 0, 0, numSims)))</f>
        <v>0.30685093378837203</v>
      </c>
      <c r="AG7" s="92">
        <f ca="1">IF(AG$17="", "", _xlfn.STDEV.S(OFFSET(AG$17, 0, 0, numSims)))</f>
        <v>0.31723229571331452</v>
      </c>
      <c r="AI7" s="67">
        <f ca="1">IF(AI$17="", "", _xlfn.STDEV.S(OFFSET(AI$17, 0, 0, numSims)))</f>
        <v>1026954.4651733993</v>
      </c>
      <c r="AJ7" s="67">
        <f ca="1">IF(AJ$17="", "", _xlfn.STDEV.S(OFFSET(AJ$17, 0, 0, numSims)))</f>
        <v>0</v>
      </c>
      <c r="AL7" s="92">
        <f ca="1">IF(AL$17="", "", _xlfn.STDEV.S(OFFSET(AL$17, 0, 0, numSims)))</f>
        <v>260.02892041786288</v>
      </c>
      <c r="AM7" s="92">
        <f ca="1">IF(AM$17="", "", _xlfn.STDEV.S(OFFSET(AM$17, 0, 0, numSims)))</f>
        <v>0</v>
      </c>
      <c r="AO7" s="67">
        <f ca="1">IF(AO$17="", "", _xlfn.STDEV.S(OFFSET(AO$17, 0, 0, numSims)))</f>
        <v>67297.667639149629</v>
      </c>
      <c r="AP7" s="67">
        <f ca="1">IF(AP$17="", "", _xlfn.STDEV.S(OFFSET(AP$17, 0, 0, numSims)))</f>
        <v>0</v>
      </c>
      <c r="AR7" s="92">
        <f ca="1">IF(AR$17="", "", _xlfn.STDEV.S(OFFSET(AR$17, 0, 0, numSims)))</f>
        <v>16.923018740311157</v>
      </c>
      <c r="AS7" s="92">
        <f ca="1">IF(AS$17="", "", _xlfn.STDEV.S(OFFSET(AS$17, 0, 0, numSims)))</f>
        <v>0</v>
      </c>
      <c r="AU7" s="67">
        <f ca="1">IF(AU$17="", "", _xlfn.STDEV.S(OFFSET(AU$17, 0, 0, numSims)))</f>
        <v>14187363.492349846</v>
      </c>
      <c r="AV7" s="67">
        <f ca="1">IF(AV$17="", "", _xlfn.STDEV.S(OFFSET(AV$17, 0, 0, numSims)))</f>
        <v>0</v>
      </c>
      <c r="AX7" s="92">
        <f ca="1">IF(AX$17="", "", _xlfn.STDEV.S(OFFSET(AX$17, 0, 0, numSims)))</f>
        <v>831.31621570605978</v>
      </c>
      <c r="AY7" s="92">
        <f ca="1">IF(AY$17="", "", _xlfn.STDEV.S(OFFSET(AY$17, 0, 0, numSims)))</f>
        <v>0</v>
      </c>
      <c r="BA7" s="67">
        <f ca="1">IF(BA$17="", "", _xlfn.STDEV.S(OFFSET(BA$17, 0, 0, numSims)))</f>
        <v>375564.53832418448</v>
      </c>
      <c r="BB7" s="67">
        <f ca="1">IF(BB$17="", "", _xlfn.STDEV.S(OFFSET(BB$17, 0, 0, numSims)))</f>
        <v>0</v>
      </c>
      <c r="BD7" s="92">
        <f ca="1">IF(BD$17="", "", _xlfn.STDEV.S(OFFSET(BD$17, 0, 0, numSims)))</f>
        <v>101.64399020990886</v>
      </c>
      <c r="BE7" s="92">
        <f ca="1">IF(BE$17="", "", _xlfn.STDEV.S(OFFSET(BE$17, 0, 0, numSims)))</f>
        <v>0</v>
      </c>
      <c r="BG7" s="67">
        <f ca="1">IF(BG$17="", "", _xlfn.STDEV.S(OFFSET(BG$17, 0, 0, numSims)))</f>
        <v>3440044.6595178554</v>
      </c>
      <c r="BH7" s="67">
        <f ca="1">IF(BH$17="", "", _xlfn.STDEV.S(OFFSET(BH$17, 0, 0, numSims)))</f>
        <v>0</v>
      </c>
      <c r="BJ7" s="92">
        <f ca="1">IF(BJ$17="", "", _xlfn.STDEV.S(OFFSET(BJ$17, 0, 0, numSims)))</f>
        <v>622.98163740033181</v>
      </c>
      <c r="BK7" s="92">
        <f ca="1">IF(BK$17="", "", _xlfn.STDEV.S(OFFSET(BK$17, 0, 0, numSims)))</f>
        <v>0</v>
      </c>
      <c r="BM7" s="67">
        <f ca="1">IF(BM$17="", "", _xlfn.STDEV.S(OFFSET(BM$17, 0, 0, numSims)))</f>
        <v>14708239.642822415</v>
      </c>
      <c r="BN7" s="67">
        <f ca="1">IF(BN$17="", "", _xlfn.STDEV.S(OFFSET(BN$17, 0, 0, numSims)))</f>
        <v>0</v>
      </c>
      <c r="BP7" s="92">
        <f ca="1">IF(BP$17="", "", _xlfn.STDEV.S(OFFSET(BP$17, 0, 0, numSims)))</f>
        <v>1072.3055397985613</v>
      </c>
      <c r="BQ7" s="92">
        <f ca="1">IF(BQ$17="", "", _xlfn.STDEV.S(OFFSET(BQ$17, 0, 0, numSims)))</f>
        <v>0</v>
      </c>
      <c r="BS7" s="67">
        <f ca="1">IF(BS$17="", "", _xlfn.STDEV.S(OFFSET(BS$17, 0, 0, numSims)))</f>
        <v>752.73412665899525</v>
      </c>
      <c r="BT7" s="67">
        <f ca="1">IF(BT$17="", "", _xlfn.STDEV.S(OFFSET(BT$17, 0, 0, numSims)))</f>
        <v>756.83445456585025</v>
      </c>
      <c r="BV7"/>
      <c r="BW7"/>
      <c r="BY7" s="67">
        <f ca="1">IF(BY$17="", "", _xlfn.STDEV.S(OFFSET(BY$17, 0, 0, numSims)))</f>
        <v>693.45301085835536</v>
      </c>
      <c r="BZ7" s="67">
        <f ca="1">IF(BZ$17="", "", _xlfn.STDEV.S(OFFSET(BZ$17, 0, 0, numSims)))</f>
        <v>707.63485476922119</v>
      </c>
      <c r="CB7"/>
      <c r="CC7"/>
      <c r="CE7" s="67">
        <f ca="1">IF(CE$17="", "", _xlfn.STDEV.S(OFFSET(CE$17, 0, 0, numSims)))</f>
        <v>2388.5102545738723</v>
      </c>
      <c r="CF7" s="67">
        <f ca="1">IF(CF$17="", "", _xlfn.STDEV.S(OFFSET(CF$17, 0, 0, numSims)))</f>
        <v>2055.5157027465102</v>
      </c>
      <c r="CH7"/>
      <c r="CI7"/>
      <c r="CK7" s="67">
        <f ca="1">IF(CK$17="", "", _xlfn.STDEV.S(OFFSET(CK$17, 0, 0, numSims)))</f>
        <v>3098.7678901203735</v>
      </c>
      <c r="CL7" s="67">
        <f ca="1">IF(CL$17="", "", _xlfn.STDEV.S(OFFSET(CL$17, 0, 0, numSims)))</f>
        <v>3131.6350707341062</v>
      </c>
      <c r="CN7"/>
      <c r="CO7"/>
      <c r="CQ7" s="67">
        <f ca="1">IF(CQ$17="", "", _xlfn.STDEV.S(OFFSET(CQ$17, 0, 0, numSims)))</f>
        <v>6205.8997903161053</v>
      </c>
      <c r="CR7" s="67">
        <f ca="1">IF(CR$17="", "", _xlfn.STDEV.S(OFFSET(CR$17, 0, 0, numSims)))</f>
        <v>6392.380929664927</v>
      </c>
      <c r="CT7"/>
      <c r="CU7"/>
      <c r="CW7" s="67">
        <f ca="1">IF(CW$17="", "", _xlfn.STDEV.S(OFFSET(CW$17, 0, 0, numSims)))</f>
        <v>5640737.3178725624</v>
      </c>
      <c r="CX7" s="67">
        <f ca="1">IF(CX$17="", "", _xlfn.STDEV.S(OFFSET(CX$17, 0, 0, numSims)))</f>
        <v>0</v>
      </c>
      <c r="CZ7"/>
      <c r="DA7"/>
      <c r="DC7" s="67">
        <f ca="1">IF(DC$17="", "", _xlfn.STDEV.S(OFFSET(DC$17, 0, 0, numSims)))</f>
        <v>365956.61062492925</v>
      </c>
      <c r="DD7" s="67">
        <f ca="1">IF(DD$17="", "", _xlfn.STDEV.S(OFFSET(DD$17, 0, 0, numSims)))</f>
        <v>0</v>
      </c>
      <c r="DF7"/>
      <c r="DG7"/>
      <c r="DI7" s="67">
        <f ca="1">IF(DI$17="", "", _xlfn.STDEV.S(OFFSET(DI$17, 0, 0, numSims)))</f>
        <v>29484443.45772751</v>
      </c>
      <c r="DJ7" s="67">
        <f ca="1">IF(DJ$17="", "", _xlfn.STDEV.S(OFFSET(DJ$17, 0, 0, numSims)))</f>
        <v>0</v>
      </c>
      <c r="DL7"/>
      <c r="DM7"/>
      <c r="DO7" s="67">
        <f ca="1">IF(DO$17="", "", _xlfn.STDEV.S(OFFSET(DO$17, 0, 0, numSims)))</f>
        <v>1794747.9132286245</v>
      </c>
      <c r="DP7" s="67">
        <f ca="1">IF(DP$17="", "", _xlfn.STDEV.S(OFFSET(DP$17, 0, 0, numSims)))</f>
        <v>0</v>
      </c>
      <c r="DR7"/>
      <c r="DS7"/>
      <c r="DU7" s="67">
        <f ca="1">IF(DU$17="", "", _xlfn.STDEV.S(OFFSET(DU$17, 0, 0, numSims)))</f>
        <v>14360096.44764637</v>
      </c>
      <c r="DV7" s="67">
        <f ca="1">IF(DV$17="", "", _xlfn.STDEV.S(OFFSET(DV$17, 0, 0, numSims)))</f>
        <v>0</v>
      </c>
      <c r="DX7"/>
      <c r="DY7"/>
      <c r="EA7" s="67">
        <f ca="1">IF(EA$17="", "", _xlfn.STDEV.S(OFFSET(EA$17, 0, 0, numSims)))</f>
        <v>32961509.407650996</v>
      </c>
      <c r="EB7" s="67">
        <f ca="1">IF(EB$17="", "", _xlfn.STDEV.S(OFFSET(EB$17, 0, 0, numSims)))</f>
        <v>0</v>
      </c>
      <c r="ED7"/>
      <c r="EE7"/>
    </row>
    <row r="8" spans="1:135" ht="12" customHeight="1" thickBot="1" x14ac:dyDescent="0.3">
      <c r="D8" s="25" t="s">
        <v>44</v>
      </c>
      <c r="E8" s="67">
        <f ca="1">IF(E$17="", "", MIN(OFFSET(E$17, 0, 0, numSims)))</f>
        <v>169.21700815583469</v>
      </c>
      <c r="F8" s="67">
        <f ca="1">IF(F$17="", "", MIN(OFFSET(F$17, 0, 0, numSims)))</f>
        <v>149.27678293829237</v>
      </c>
      <c r="H8" s="92">
        <f ca="1">IF(H$17="", "", MIN(OFFSET(H$17, 0, 0, numSims)))</f>
        <v>5.720808718832612</v>
      </c>
      <c r="I8" s="92">
        <f ca="1">IF(I$17="", "", MIN(OFFSET(I$17, 0, 0, numSims)))</f>
        <v>5.7358550824993362</v>
      </c>
      <c r="K8" s="67">
        <f ca="1">IF(K$17="", "", MIN(OFFSET(K$17, 0, 0, numSims)))</f>
        <v>181.32810606339936</v>
      </c>
      <c r="L8" s="67">
        <f ca="1">IF(L$17="", "", MIN(OFFSET(L$17, 0, 0, numSims)))</f>
        <v>160.91207121916651</v>
      </c>
      <c r="N8" s="92">
        <f ca="1">IF(N$17="", "", MIN(OFFSET(N$17, 0, 0, numSims)))</f>
        <v>6.595436075066873</v>
      </c>
      <c r="O8" s="92">
        <f ca="1">IF(O$17="", "", MIN(OFFSET(O$17, 0, 0, numSims)))</f>
        <v>6.607569779178883</v>
      </c>
      <c r="Q8" s="67">
        <f ca="1">IF(Q$17="", "", MIN(OFFSET(Q$17, 0, 0, numSims)))</f>
        <v>667.15937185039763</v>
      </c>
      <c r="R8" s="67">
        <f ca="1">IF(R$17="", "", MIN(OFFSET(R$17, 0, 0, numSims)))</f>
        <v>678.0496613820352</v>
      </c>
      <c r="T8" s="92">
        <f ca="1">IF(T$17="", "", MIN(OFFSET(T$17, 0, 0, numSims)))</f>
        <v>4.470603839334113</v>
      </c>
      <c r="U8" s="92">
        <f ca="1">IF(U$17="", "", MIN(OFFSET(U$17, 0, 0, numSims)))</f>
        <v>4.6110709569463832</v>
      </c>
      <c r="W8" s="67">
        <f ca="1">IF(W$17="", "", MIN(OFFSET(W$17, 0, 0, numSims)))</f>
        <v>6713.5740712368961</v>
      </c>
      <c r="X8" s="67">
        <f ca="1">IF(X$17="", "", MIN(OFFSET(X$17, 0, 0, numSims)))</f>
        <v>6689.7620624615301</v>
      </c>
      <c r="Z8" s="92">
        <f ca="1">IF(Z$17="", "", MIN(OFFSET(Z$17, 0, 0, numSims)))</f>
        <v>2.5591808172299064</v>
      </c>
      <c r="AA8" s="92">
        <f ca="1">IF(AA$17="", "", MIN(OFFSET(AA$17, 0, 0, numSims)))</f>
        <v>2.589739974105767</v>
      </c>
      <c r="AC8" s="67">
        <f ca="1">IF(AC$17="", "", MIN(OFFSET(AC$17, 0, 0, numSims)))</f>
        <v>47688.340480508021</v>
      </c>
      <c r="AD8" s="67">
        <f ca="1">IF(AD$17="", "", MIN(OFFSET(AD$17, 0, 0, numSims)))</f>
        <v>47674.433105126096</v>
      </c>
      <c r="AF8" s="92">
        <f ca="1">IF(AF$17="", "", MIN(OFFSET(AF$17, 0, 0, numSims)))</f>
        <v>3.4339981353161817</v>
      </c>
      <c r="AG8" s="92">
        <f ca="1">IF(AG$17="", "", MIN(OFFSET(AG$17, 0, 0, numSims)))</f>
        <v>3.4974598447265075</v>
      </c>
      <c r="AI8" s="67">
        <f ca="1">IF(AI$17="", "", MIN(OFFSET(AI$17, 0, 0, numSims)))</f>
        <v>-351486.89482718607</v>
      </c>
      <c r="AJ8" s="67">
        <f ca="1">IF(AJ$17="", "", MIN(OFFSET(AJ$17, 0, 0, numSims)))</f>
        <v>0</v>
      </c>
      <c r="AL8" s="92">
        <f ca="1">IF(AL$17="", "", MIN(OFFSET(AL$17, 0, 0, numSims)))</f>
        <v>-2631.7914165092338</v>
      </c>
      <c r="AM8" s="92">
        <f ca="1">IF(AM$17="", "", MIN(OFFSET(AM$17, 0, 0, numSims)))</f>
        <v>0</v>
      </c>
      <c r="AO8" s="67">
        <f ca="1">IF(AO$17="", "", MIN(OFFSET(AO$17, 0, 0, numSims)))</f>
        <v>-22100.653508623989</v>
      </c>
      <c r="AP8" s="67">
        <f ca="1">IF(AP$17="", "", MIN(OFFSET(AP$17, 0, 0, numSims)))</f>
        <v>0</v>
      </c>
      <c r="AR8" s="92">
        <f ca="1">IF(AR$17="", "", MIN(OFFSET(AR$17, 0, 0, numSims)))</f>
        <v>-155.22723473884406</v>
      </c>
      <c r="AS8" s="92">
        <f ca="1">IF(AS$17="", "", MIN(OFFSET(AS$17, 0, 0, numSims)))</f>
        <v>0</v>
      </c>
      <c r="AU8" s="67">
        <f ca="1">IF(AU$17="", "", MIN(OFFSET(AU$17, 0, 0, numSims)))</f>
        <v>-334793.79933445132</v>
      </c>
      <c r="AV8" s="67">
        <f ca="1">IF(AV$17="", "", MIN(OFFSET(AV$17, 0, 0, numSims)))</f>
        <v>0</v>
      </c>
      <c r="AX8" s="92">
        <f ca="1">IF(AX$17="", "", MIN(OFFSET(AX$17, 0, 0, numSims)))</f>
        <v>-7145.0704234331224</v>
      </c>
      <c r="AY8" s="92">
        <f ca="1">IF(AY$17="", "", MIN(OFFSET(AY$17, 0, 0, numSims)))</f>
        <v>0</v>
      </c>
      <c r="BA8" s="67">
        <f ca="1">IF(BA$17="", "", MIN(OFFSET(BA$17, 0, 0, numSims)))</f>
        <v>-1538097.482689098</v>
      </c>
      <c r="BB8" s="67">
        <f ca="1">IF(BB$17="", "", MIN(OFFSET(BB$17, 0, 0, numSims)))</f>
        <v>0</v>
      </c>
      <c r="BD8" s="92">
        <f ca="1">IF(BD$17="", "", MIN(OFFSET(BD$17, 0, 0, numSims)))</f>
        <v>-837.64570920566371</v>
      </c>
      <c r="BE8" s="92">
        <f ca="1">IF(BE$17="", "", MIN(OFFSET(BE$17, 0, 0, numSims)))</f>
        <v>0</v>
      </c>
      <c r="BG8" s="67">
        <f ca="1">IF(BG$17="", "", MIN(OFFSET(BG$17, 0, 0, numSims)))</f>
        <v>-4374193.4041667096</v>
      </c>
      <c r="BH8" s="67">
        <f ca="1">IF(BH$17="", "", MIN(OFFSET(BH$17, 0, 0, numSims)))</f>
        <v>0</v>
      </c>
      <c r="BJ8" s="92">
        <f ca="1">IF(BJ$17="", "", MIN(OFFSET(BJ$17, 0, 0, numSims)))</f>
        <v>-3764.6719864035435</v>
      </c>
      <c r="BK8" s="92">
        <f ca="1">IF(BK$17="", "", MIN(OFFSET(BK$17, 0, 0, numSims)))</f>
        <v>0</v>
      </c>
      <c r="BM8" s="67">
        <f ca="1">IF(BM$17="", "", MIN(OFFSET(BM$17, 0, 0, numSims)))</f>
        <v>2948222.5973036462</v>
      </c>
      <c r="BN8" s="67">
        <f ca="1">IF(BN$17="", "", MIN(OFFSET(BN$17, 0, 0, numSims)))</f>
        <v>0</v>
      </c>
      <c r="BP8" s="92">
        <f ca="1">IF(BP$17="", "", MIN(OFFSET(BP$17, 0, 0, numSims)))</f>
        <v>-10604.481929986221</v>
      </c>
      <c r="BQ8" s="92">
        <f ca="1">IF(BQ$17="", "", MIN(OFFSET(BQ$17, 0, 0, numSims)))</f>
        <v>0</v>
      </c>
      <c r="BS8" s="67">
        <f ca="1">IF(BS$17="", "", MIN(OFFSET(BS$17, 0, 0, numSims)))</f>
        <v>114175.34227907365</v>
      </c>
      <c r="BT8" s="67">
        <f ca="1">IF(BT$17="", "", MIN(OFFSET(BT$17, 0, 0, numSims)))</f>
        <v>114488.17451496953</v>
      </c>
      <c r="BV8"/>
      <c r="BW8"/>
      <c r="BY8" s="67">
        <f ca="1">IF(BY$17="", "", MIN(OFFSET(BY$17, 0, 0, numSims)))</f>
        <v>131572.46726791307</v>
      </c>
      <c r="BZ8" s="67">
        <f ca="1">IF(BZ$17="", "", MIN(OFFSET(BZ$17, 0, 0, numSims)))</f>
        <v>131838.02548242058</v>
      </c>
      <c r="CB8"/>
      <c r="CC8"/>
      <c r="CE8" s="67">
        <f ca="1">IF(CE$17="", "", MIN(OFFSET(CE$17, 0, 0, numSims)))</f>
        <v>83159.57843293919</v>
      </c>
      <c r="CF8" s="67">
        <f ca="1">IF(CF$17="", "", MIN(OFFSET(CF$17, 0, 0, numSims)))</f>
        <v>91012.599502464698</v>
      </c>
      <c r="CH8"/>
      <c r="CI8"/>
      <c r="CK8" s="67">
        <f ca="1">IF(CK$17="", "", MIN(OFFSET(CK$17, 0, 0, numSims)))</f>
        <v>38161.541308189975</v>
      </c>
      <c r="CL8" s="67">
        <f ca="1">IF(CL$17="", "", MIN(OFFSET(CL$17, 0, 0, numSims)))</f>
        <v>39269.554698967971</v>
      </c>
      <c r="CN8"/>
      <c r="CO8"/>
      <c r="CQ8" s="67">
        <f ca="1">IF(CQ$17="", "", MIN(OFFSET(CQ$17, 0, 0, numSims)))</f>
        <v>20138.687941439748</v>
      </c>
      <c r="CR8" s="67">
        <f ca="1">IF(CR$17="", "", MIN(OFFSET(CR$17, 0, 0, numSims)))</f>
        <v>21006.379601934721</v>
      </c>
      <c r="CT8"/>
      <c r="CU8"/>
      <c r="CW8" s="67">
        <f ca="1">IF(CW$17="", "", MIN(OFFSET(CW$17, 0, 0, numSims)))</f>
        <v>-56518415.275645189</v>
      </c>
      <c r="CX8" s="67">
        <f ca="1">IF(CX$17="", "", MIN(OFFSET(CX$17, 0, 0, numSims)))</f>
        <v>0</v>
      </c>
      <c r="CZ8"/>
      <c r="DA8"/>
      <c r="DC8" s="67">
        <f ca="1">IF(DC$17="", "", MIN(OFFSET(DC$17, 0, 0, numSims)))</f>
        <v>-3347504.6042596931</v>
      </c>
      <c r="DD8" s="67">
        <f ca="1">IF(DD$17="", "", MIN(OFFSET(DD$17, 0, 0, numSims)))</f>
        <v>0</v>
      </c>
      <c r="DF8"/>
      <c r="DG8"/>
      <c r="DI8" s="67">
        <f ca="1">IF(DI$17="", "", MIN(OFFSET(DI$17, 0, 0, numSims)))</f>
        <v>-289756534.64834064</v>
      </c>
      <c r="DJ8" s="67">
        <f ca="1">IF(DJ$17="", "", MIN(OFFSET(DJ$17, 0, 0, numSims)))</f>
        <v>0</v>
      </c>
      <c r="DL8"/>
      <c r="DM8"/>
      <c r="DO8" s="67">
        <f ca="1">IF(DO$17="", "", MIN(OFFSET(DO$17, 0, 0, numSims)))</f>
        <v>-15902297.028475521</v>
      </c>
      <c r="DP8" s="67">
        <f ca="1">IF(DP$17="", "", MIN(OFFSET(DP$17, 0, 0, numSims)))</f>
        <v>0</v>
      </c>
      <c r="DR8"/>
      <c r="DS8"/>
      <c r="DU8" s="67">
        <f ca="1">IF(DU$17="", "", MIN(OFFSET(DU$17, 0, 0, numSims)))</f>
        <v>-84315565.434881762</v>
      </c>
      <c r="DV8" s="67">
        <f ca="1">IF(DV$17="", "", MIN(OFFSET(DV$17, 0, 0, numSims)))</f>
        <v>0</v>
      </c>
      <c r="DX8"/>
      <c r="DY8"/>
      <c r="EA8" s="67">
        <f ca="1">IF(EA$17="", "", MIN(OFFSET(EA$17, 0, 0, numSims)))</f>
        <v>-367196559.05946493</v>
      </c>
      <c r="EB8" s="67">
        <f ca="1">IF(EB$17="", "", MIN(OFFSET(EB$17, 0, 0, numSims)))</f>
        <v>0</v>
      </c>
      <c r="ED8"/>
      <c r="EE8"/>
    </row>
    <row r="9" spans="1:135" ht="12" customHeight="1" thickBot="1" x14ac:dyDescent="0.3">
      <c r="D9" s="25">
        <v>2.5000000000000001E-2</v>
      </c>
      <c r="E9" s="67">
        <f t="shared" ref="E9:F11" ca="1" si="0">IF(E$17="", "", PERCENTILE(OFFSET(E$17, 0, 0, numSims), $D9))</f>
        <v>196.7955572630753</v>
      </c>
      <c r="F9" s="67">
        <f t="shared" ca="1" si="0"/>
        <v>174.19805707697586</v>
      </c>
      <c r="H9" s="92">
        <f t="shared" ref="H9:I11" ca="1" si="1">IF(H$17="", "", PERCENTILE(OFFSET(H$17, 0, 0, numSims), $D9))</f>
        <v>5.7614167644319139</v>
      </c>
      <c r="I9" s="92">
        <f t="shared" ca="1" si="1"/>
        <v>5.7772808161924116</v>
      </c>
      <c r="K9" s="67">
        <f t="shared" ref="K9:L11" ca="1" si="2">IF(K$17="", "", PERCENTILE(OFFSET(K$17, 0, 0, numSims), $D9))</f>
        <v>211.14993015883303</v>
      </c>
      <c r="L9" s="67">
        <f t="shared" ca="1" si="2"/>
        <v>187.86173352187072</v>
      </c>
      <c r="N9" s="92">
        <f t="shared" ref="N9:O11" ca="1" si="3">IF(N$17="", "", PERCENTILE(OFFSET(N$17, 0, 0, numSims), $D9))</f>
        <v>6.6328338912463254</v>
      </c>
      <c r="O9" s="92">
        <f t="shared" ca="1" si="3"/>
        <v>6.6454000491368204</v>
      </c>
      <c r="Q9" s="67">
        <f t="shared" ref="Q9:R11" ca="1" si="4">IF(Q$17="", "", PERCENTILE(OFFSET(Q$17, 0, 0, numSims), $D9))</f>
        <v>1426.9612629336204</v>
      </c>
      <c r="R9" s="67">
        <f t="shared" ca="1" si="4"/>
        <v>1001.7580744480074</v>
      </c>
      <c r="T9" s="92">
        <f t="shared" ref="T9:U11" ca="1" si="5">IF(T$17="", "", PERCENTILE(OFFSET(T$17, 0, 0, numSims), $D9))</f>
        <v>4.604865613335611</v>
      </c>
      <c r="U9" s="92">
        <f t="shared" ca="1" si="5"/>
        <v>4.709696534267894</v>
      </c>
      <c r="W9" s="67">
        <f t="shared" ref="W9:X11" ca="1" si="6">IF(W$17="", "", PERCENTILE(OFFSET(W$17, 0, 0, numSims), $D9))</f>
        <v>8263.5925101078683</v>
      </c>
      <c r="X9" s="67">
        <f t="shared" ca="1" si="6"/>
        <v>8257.7893897612212</v>
      </c>
      <c r="Z9" s="92">
        <f t="shared" ref="Z9:AA11" ca="1" si="7">IF(Z$17="", "", PERCENTILE(OFFSET(Z$17, 0, 0, numSims), $D9))</f>
        <v>2.7949568033734709</v>
      </c>
      <c r="AA9" s="92">
        <f t="shared" ca="1" si="7"/>
        <v>2.8400407198189135</v>
      </c>
      <c r="AC9" s="67">
        <f t="shared" ref="AC9:AD11" ca="1" si="8">IF(AC$17="", "", PERCENTILE(OFFSET(AC$17, 0, 0, numSims), $D9))</f>
        <v>48440.225813636505</v>
      </c>
      <c r="AD9" s="67">
        <f t="shared" ca="1" si="8"/>
        <v>48266.757261045808</v>
      </c>
      <c r="AF9" s="92">
        <f t="shared" ref="AF9:AG11" ca="1" si="9">IF(AF$17="", "", PERCENTILE(OFFSET(AF$17, 0, 0, numSims), $D9))</f>
        <v>3.849431568575481</v>
      </c>
      <c r="AG9" s="92">
        <f t="shared" ca="1" si="9"/>
        <v>3.9298233576439192</v>
      </c>
      <c r="AI9" s="67">
        <f t="shared" ref="AI9:AJ11" ca="1" si="10">IF(AI$17="", "", PERCENTILE(OFFSET(AI$17, 0, 0, numSims), $D9))</f>
        <v>717761.43773358548</v>
      </c>
      <c r="AJ9" s="67">
        <f t="shared" ca="1" si="10"/>
        <v>0</v>
      </c>
      <c r="AL9" s="92">
        <f t="shared" ref="AL9:AM11" ca="1" si="11">IF(AL$17="", "", PERCENTILE(OFFSET(AL$17, 0, 0, numSims), $D9))</f>
        <v>-2306.2886804733153</v>
      </c>
      <c r="AM9" s="92">
        <f t="shared" ca="1" si="11"/>
        <v>0</v>
      </c>
      <c r="AO9" s="67">
        <f t="shared" ref="AO9:AP11" ca="1" si="12">IF(AO$17="", "", PERCENTILE(OFFSET(AO$17, 0, 0, numSims), $D9))</f>
        <v>46395.034930657181</v>
      </c>
      <c r="AP9" s="67">
        <f t="shared" ca="1" si="12"/>
        <v>0</v>
      </c>
      <c r="AR9" s="92">
        <f t="shared" ref="AR9:AS11" ca="1" si="13">IF(AR$17="", "", PERCENTILE(OFFSET(AR$17, 0, 0, numSims), $D9))</f>
        <v>-134.56702498719213</v>
      </c>
      <c r="AS9" s="92">
        <f t="shared" ca="1" si="13"/>
        <v>0</v>
      </c>
      <c r="AU9" s="67">
        <f t="shared" ref="AU9:AV11" ca="1" si="14">IF(AU$17="", "", PERCENTILE(OFFSET(AU$17, 0, 0, numSims), $D9))</f>
        <v>5712183.2811871646</v>
      </c>
      <c r="AV9" s="67">
        <f t="shared" ca="1" si="14"/>
        <v>0</v>
      </c>
      <c r="AX9" s="92">
        <f t="shared" ref="AX9:AY11" ca="1" si="15">IF(AX$17="", "", PERCENTILE(OFFSET(AX$17, 0, 0, numSims), $D9))</f>
        <v>-4069.8081315039567</v>
      </c>
      <c r="AY9" s="92">
        <f t="shared" ca="1" si="15"/>
        <v>0</v>
      </c>
      <c r="BA9" s="67">
        <f t="shared" ref="BA9:BB11" ca="1" si="16">IF(BA$17="", "", PERCENTILE(OFFSET(BA$17, 0, 0, numSims), $D9))</f>
        <v>-657487.80312327622</v>
      </c>
      <c r="BB9" s="67">
        <f t="shared" ca="1" si="16"/>
        <v>0</v>
      </c>
      <c r="BD9" s="92">
        <f t="shared" ref="BD9:BE11" ca="1" si="17">IF(BD$17="", "", PERCENTILE(OFFSET(BD$17, 0, 0, numSims), $D9))</f>
        <v>-637.12890520167048</v>
      </c>
      <c r="BE9" s="92">
        <f t="shared" ca="1" si="17"/>
        <v>0</v>
      </c>
      <c r="BG9" s="67">
        <f t="shared" ref="BG9:BH11" ca="1" si="18">IF(BG$17="", "", PERCENTILE(OFFSET(BG$17, 0, 0, numSims), $D9))</f>
        <v>-2367560.3570924746</v>
      </c>
      <c r="BH9" s="67">
        <f t="shared" ca="1" si="18"/>
        <v>0</v>
      </c>
      <c r="BJ9" s="92">
        <f t="shared" ref="BJ9:BK11" ca="1" si="19">IF(BJ$17="", "", PERCENTILE(OFFSET(BJ$17, 0, 0, numSims), $D9))</f>
        <v>-3041.7840051513367</v>
      </c>
      <c r="BK9" s="92">
        <f t="shared" ca="1" si="19"/>
        <v>0</v>
      </c>
      <c r="BM9" s="67">
        <f t="shared" ref="BM9:BN11" ca="1" si="20">IF(BM$17="", "", PERCENTILE(OFFSET(BM$17, 0, 0, numSims), $D9))</f>
        <v>10200386.579611752</v>
      </c>
      <c r="BN9" s="67">
        <f t="shared" ca="1" si="20"/>
        <v>0</v>
      </c>
      <c r="BP9" s="92">
        <f t="shared" ref="BP9:BQ11" ca="1" si="21">IF(BP$17="", "", PERCENTILE(OFFSET(BP$17, 0, 0, numSims), $D9))</f>
        <v>-8501.5865988972801</v>
      </c>
      <c r="BQ9" s="92">
        <f t="shared" ca="1" si="21"/>
        <v>0</v>
      </c>
      <c r="BS9" s="67">
        <f t="shared" ref="BS9:BT11" ca="1" si="22">IF(BS$17="", "", PERCENTILE(OFFSET(BS$17, 0, 0, numSims), $D9))</f>
        <v>114952.94017095068</v>
      </c>
      <c r="BT9" s="67">
        <f t="shared" ca="1" si="22"/>
        <v>115299.29479436496</v>
      </c>
      <c r="BV9"/>
      <c r="BW9"/>
      <c r="BY9" s="67">
        <f t="shared" ref="BY9:BZ11" ca="1" si="23">IF(BY$17="", "", PERCENTILE(OFFSET(BY$17, 0, 0, numSims), $D9))</f>
        <v>132346.27930410905</v>
      </c>
      <c r="BZ9" s="67">
        <f t="shared" ca="1" si="23"/>
        <v>132635.24607199815</v>
      </c>
      <c r="CB9"/>
      <c r="CC9"/>
      <c r="CE9" s="67">
        <f t="shared" ref="CE9:CF11" ca="1" si="24">IF(CE$17="", "", PERCENTILE(OFFSET(CE$17, 0, 0, numSims), $D9))</f>
        <v>88960.699735922186</v>
      </c>
      <c r="CF9" s="67">
        <f t="shared" ca="1" si="24"/>
        <v>92708.045982125783</v>
      </c>
      <c r="CH9"/>
      <c r="CI9"/>
      <c r="CK9" s="67">
        <f t="shared" ref="CK9:CL11" ca="1" si="25">IF(CK$17="", "", PERCENTILE(OFFSET(CK$17, 0, 0, numSims), $D9))</f>
        <v>40967.232928471138</v>
      </c>
      <c r="CL9" s="67">
        <f t="shared" ca="1" si="25"/>
        <v>41872.378325464786</v>
      </c>
      <c r="CN9"/>
      <c r="CO9"/>
      <c r="CQ9" s="67">
        <f t="shared" ref="CQ9:CR11" ca="1" si="26">IF(CQ$17="", "", PERCENTILE(OFFSET(CQ$17, 0, 0, numSims), $D9))</f>
        <v>26265.923219696084</v>
      </c>
      <c r="CR9" s="67">
        <f t="shared" ca="1" si="26"/>
        <v>27802.031545696998</v>
      </c>
      <c r="CT9"/>
      <c r="CU9"/>
      <c r="CW9" s="67">
        <f t="shared" ref="CW9:CX11" ca="1" si="27">IF(CW$17="", "", PERCENTILE(OFFSET(CW$17, 0, 0, numSims), $D9))</f>
        <v>-49190437.425745167</v>
      </c>
      <c r="CX9" s="67">
        <f t="shared" ca="1" si="27"/>
        <v>0</v>
      </c>
      <c r="CZ9"/>
      <c r="DA9"/>
      <c r="DC9" s="67">
        <f t="shared" ref="DC9:DD11" ca="1" si="28">IF(DC$17="", "", PERCENTILE(OFFSET(DC$17, 0, 0, numSims), $D9))</f>
        <v>-2873025.1454716651</v>
      </c>
      <c r="DD9" s="67">
        <f t="shared" ca="1" si="28"/>
        <v>0</v>
      </c>
      <c r="DF9"/>
      <c r="DG9"/>
      <c r="DI9" s="67">
        <f t="shared" ref="DI9:DJ11" ca="1" si="29">IF(DI$17="", "", PERCENTILE(OFFSET(DI$17, 0, 0, numSims), $D9))</f>
        <v>-138324987.21082693</v>
      </c>
      <c r="DJ9" s="67">
        <f t="shared" ca="1" si="29"/>
        <v>0</v>
      </c>
      <c r="DL9"/>
      <c r="DM9"/>
      <c r="DO9" s="67">
        <f t="shared" ref="DO9:DP11" ca="1" si="30">IF(DO$17="", "", PERCENTILE(OFFSET(DO$17, 0, 0, numSims), $D9))</f>
        <v>-12493643.253106827</v>
      </c>
      <c r="DP9" s="67">
        <f t="shared" ca="1" si="30"/>
        <v>0</v>
      </c>
      <c r="DR9"/>
      <c r="DS9"/>
      <c r="DU9" s="67">
        <f t="shared" ref="DU9:DV11" ca="1" si="31">IF(DU$17="", "", PERCENTILE(OFFSET(DU$17, 0, 0, numSims), $D9))</f>
        <v>-68214427.082957655</v>
      </c>
      <c r="DV9" s="67">
        <f t="shared" ca="1" si="31"/>
        <v>0</v>
      </c>
      <c r="DX9"/>
      <c r="DY9"/>
      <c r="EA9" s="67">
        <f t="shared" ref="EA9:EB11" ca="1" si="32">IF(EA$17="", "", PERCENTILE(OFFSET(EA$17, 0, 0, numSims), $D9))</f>
        <v>-231955615.32947689</v>
      </c>
      <c r="EB9" s="67">
        <f t="shared" ca="1" si="32"/>
        <v>0</v>
      </c>
      <c r="ED9"/>
      <c r="EE9"/>
    </row>
    <row r="10" spans="1:135" ht="12" customHeight="1" thickBot="1" x14ac:dyDescent="0.3">
      <c r="D10" s="25">
        <v>0.5</v>
      </c>
      <c r="E10" s="67">
        <f t="shared" ca="1" si="0"/>
        <v>255.55352346949547</v>
      </c>
      <c r="F10" s="67">
        <f t="shared" ca="1" si="0"/>
        <v>231.70185973244298</v>
      </c>
      <c r="H10" s="92">
        <f t="shared" ca="1" si="1"/>
        <v>5.834652388379542</v>
      </c>
      <c r="I10" s="92">
        <f t="shared" ca="1" si="1"/>
        <v>5.8508906604900073</v>
      </c>
      <c r="K10" s="67">
        <f t="shared" ca="1" si="2"/>
        <v>274.31309990403417</v>
      </c>
      <c r="L10" s="67">
        <f t="shared" ca="1" si="2"/>
        <v>249.77634522517272</v>
      </c>
      <c r="N10" s="92">
        <f t="shared" ca="1" si="3"/>
        <v>6.7012207683565919</v>
      </c>
      <c r="O10" s="92">
        <f t="shared" ca="1" si="3"/>
        <v>6.7157884326417463</v>
      </c>
      <c r="Q10" s="67">
        <f t="shared" ca="1" si="4"/>
        <v>2382.9931643122563</v>
      </c>
      <c r="R10" s="67">
        <f t="shared" ca="1" si="4"/>
        <v>1416.778532693927</v>
      </c>
      <c r="T10" s="92">
        <f t="shared" ca="1" si="5"/>
        <v>4.8159887978977416</v>
      </c>
      <c r="U10" s="92">
        <f t="shared" ca="1" si="5"/>
        <v>4.9066488815367197</v>
      </c>
      <c r="W10" s="67">
        <f t="shared" ca="1" si="6"/>
        <v>12404.742183651375</v>
      </c>
      <c r="X10" s="67">
        <f t="shared" ca="1" si="6"/>
        <v>12400.960603803098</v>
      </c>
      <c r="Z10" s="92">
        <f t="shared" ca="1" si="7"/>
        <v>3.0068874531957235</v>
      </c>
      <c r="AA10" s="92">
        <f t="shared" ca="1" si="7"/>
        <v>3.0554374213880902</v>
      </c>
      <c r="AC10" s="67">
        <f t="shared" ca="1" si="8"/>
        <v>50257.533357696651</v>
      </c>
      <c r="AD10" s="67">
        <f t="shared" ca="1" si="8"/>
        <v>50038.711429456533</v>
      </c>
      <c r="AF10" s="92">
        <f t="shared" ca="1" si="9"/>
        <v>4.5520580784779625</v>
      </c>
      <c r="AG10" s="92">
        <f t="shared" ca="1" si="9"/>
        <v>4.66405666995038</v>
      </c>
      <c r="AI10" s="67">
        <f t="shared" ca="1" si="10"/>
        <v>2429610.8559220564</v>
      </c>
      <c r="AJ10" s="67">
        <f t="shared" ca="1" si="10"/>
        <v>0</v>
      </c>
      <c r="AL10" s="92">
        <f t="shared" ca="1" si="11"/>
        <v>-1802.7184421805978</v>
      </c>
      <c r="AM10" s="92">
        <f t="shared" ca="1" si="11"/>
        <v>0</v>
      </c>
      <c r="AO10" s="67">
        <f t="shared" ca="1" si="12"/>
        <v>159430.37579993415</v>
      </c>
      <c r="AP10" s="67">
        <f t="shared" ca="1" si="12"/>
        <v>0</v>
      </c>
      <c r="AR10" s="92">
        <f t="shared" ca="1" si="13"/>
        <v>-100.40509620031682</v>
      </c>
      <c r="AS10" s="92">
        <f t="shared" ca="1" si="13"/>
        <v>0</v>
      </c>
      <c r="AU10" s="67">
        <f t="shared" ca="1" si="14"/>
        <v>22588115.923321456</v>
      </c>
      <c r="AV10" s="67">
        <f t="shared" ca="1" si="14"/>
        <v>0</v>
      </c>
      <c r="AX10" s="92">
        <f t="shared" ca="1" si="15"/>
        <v>-2040.1848302297285</v>
      </c>
      <c r="AY10" s="92">
        <f t="shared" ca="1" si="15"/>
        <v>0</v>
      </c>
      <c r="BA10" s="67">
        <f t="shared" ca="1" si="16"/>
        <v>99484.132485024486</v>
      </c>
      <c r="BB10" s="67">
        <f t="shared" ca="1" si="16"/>
        <v>0</v>
      </c>
      <c r="BD10" s="92">
        <f t="shared" ca="1" si="17"/>
        <v>-407.69515918653309</v>
      </c>
      <c r="BE10" s="92">
        <f t="shared" ca="1" si="17"/>
        <v>0</v>
      </c>
      <c r="BG10" s="67">
        <f t="shared" ca="1" si="18"/>
        <v>2661408.3641337487</v>
      </c>
      <c r="BH10" s="67">
        <f t="shared" ca="1" si="18"/>
        <v>0</v>
      </c>
      <c r="BJ10" s="92">
        <f t="shared" ca="1" si="19"/>
        <v>-1677.6738372246095</v>
      </c>
      <c r="BK10" s="92">
        <f t="shared" ca="1" si="19"/>
        <v>0</v>
      </c>
      <c r="BM10" s="67">
        <f t="shared" ca="1" si="20"/>
        <v>29018517.300545737</v>
      </c>
      <c r="BN10" s="67">
        <f t="shared" ca="1" si="20"/>
        <v>0</v>
      </c>
      <c r="BP10" s="92">
        <f t="shared" ca="1" si="21"/>
        <v>-6093.8018719032771</v>
      </c>
      <c r="BQ10" s="92">
        <f t="shared" ca="1" si="21"/>
        <v>0</v>
      </c>
      <c r="BS10" s="67">
        <f t="shared" ca="1" si="22"/>
        <v>116427.42879656923</v>
      </c>
      <c r="BT10" s="67">
        <f t="shared" ca="1" si="22"/>
        <v>116780.74833770571</v>
      </c>
      <c r="BV10"/>
      <c r="BW10"/>
      <c r="BY10" s="67">
        <f t="shared" ca="1" si="23"/>
        <v>133745.58143468888</v>
      </c>
      <c r="BZ10" s="67">
        <f t="shared" ca="1" si="23"/>
        <v>134063.47706474073</v>
      </c>
      <c r="CB10"/>
      <c r="CC10"/>
      <c r="CE10" s="67">
        <f t="shared" ca="1" si="24"/>
        <v>93770.885981883883</v>
      </c>
      <c r="CF10" s="67">
        <f t="shared" ca="1" si="24"/>
        <v>96721.5397873279</v>
      </c>
      <c r="CH10"/>
      <c r="CI10"/>
      <c r="CK10" s="67">
        <f t="shared" ca="1" si="25"/>
        <v>47614.786543764014</v>
      </c>
      <c r="CL10" s="67">
        <f t="shared" ca="1" si="25"/>
        <v>48571.221099183531</v>
      </c>
      <c r="CN10"/>
      <c r="CO10"/>
      <c r="CQ10" s="67">
        <f t="shared" ca="1" si="26"/>
        <v>40729.629930441974</v>
      </c>
      <c r="CR10" s="67">
        <f t="shared" ca="1" si="26"/>
        <v>43168.745596466455</v>
      </c>
      <c r="CT10"/>
      <c r="CU10"/>
      <c r="CW10" s="67">
        <f t="shared" ca="1" si="27"/>
        <v>-38684555.611879975</v>
      </c>
      <c r="CX10" s="67">
        <f t="shared" ca="1" si="27"/>
        <v>0</v>
      </c>
      <c r="CZ10"/>
      <c r="DA10"/>
      <c r="DC10" s="67">
        <f t="shared" ca="1" si="28"/>
        <v>-2179559.6672111712</v>
      </c>
      <c r="DD10" s="67">
        <f t="shared" ca="1" si="28"/>
        <v>0</v>
      </c>
      <c r="DF10"/>
      <c r="DG10"/>
      <c r="DI10" s="67">
        <f t="shared" ca="1" si="29"/>
        <v>-64130292.878281102</v>
      </c>
      <c r="DJ10" s="67">
        <f t="shared" ca="1" si="29"/>
        <v>0</v>
      </c>
      <c r="DL10"/>
      <c r="DM10"/>
      <c r="DO10" s="67">
        <f t="shared" ca="1" si="30"/>
        <v>-8257610.7983980048</v>
      </c>
      <c r="DP10" s="67">
        <f t="shared" ca="1" si="30"/>
        <v>0</v>
      </c>
      <c r="DR10"/>
      <c r="DS10"/>
      <c r="DU10" s="67">
        <f t="shared" ca="1" si="31"/>
        <v>-36642789.783892781</v>
      </c>
      <c r="DV10" s="67">
        <f t="shared" ca="1" si="31"/>
        <v>0</v>
      </c>
      <c r="DX10"/>
      <c r="DY10"/>
      <c r="EA10" s="67">
        <f t="shared" ca="1" si="32"/>
        <v>-151616752.50563511</v>
      </c>
      <c r="EB10" s="67">
        <f t="shared" ca="1" si="32"/>
        <v>0</v>
      </c>
      <c r="ED10"/>
      <c r="EE10"/>
    </row>
    <row r="11" spans="1:135" ht="12" customHeight="1" thickBot="1" x14ac:dyDescent="0.3">
      <c r="D11" s="25">
        <v>0.97499999999999998</v>
      </c>
      <c r="E11" s="67">
        <f t="shared" ca="1" si="0"/>
        <v>339.48714338244235</v>
      </c>
      <c r="F11" s="67">
        <f t="shared" ca="1" si="0"/>
        <v>315.69800308620472</v>
      </c>
      <c r="H11" s="92">
        <f t="shared" ca="1" si="1"/>
        <v>5.9100623311503142</v>
      </c>
      <c r="I11" s="92">
        <f t="shared" ca="1" si="1"/>
        <v>5.9255726152795711</v>
      </c>
      <c r="K11" s="67">
        <f t="shared" ca="1" si="2"/>
        <v>364.81670527246018</v>
      </c>
      <c r="L11" s="67">
        <f t="shared" ca="1" si="2"/>
        <v>340.35467622208017</v>
      </c>
      <c r="N11" s="92">
        <f t="shared" ca="1" si="3"/>
        <v>6.7683741111933449</v>
      </c>
      <c r="O11" s="92">
        <f t="shared" ca="1" si="3"/>
        <v>6.7835031255138087</v>
      </c>
      <c r="Q11" s="67">
        <f t="shared" ca="1" si="4"/>
        <v>4284.6737124576712</v>
      </c>
      <c r="R11" s="67">
        <f t="shared" ca="1" si="4"/>
        <v>1959.6209923945878</v>
      </c>
      <c r="T11" s="92">
        <f t="shared" ca="1" si="5"/>
        <v>5.0199517713552559</v>
      </c>
      <c r="U11" s="92">
        <f t="shared" ca="1" si="5"/>
        <v>5.1054522829468967</v>
      </c>
      <c r="W11" s="67">
        <f t="shared" ca="1" si="6"/>
        <v>17705.791637102109</v>
      </c>
      <c r="X11" s="67">
        <f t="shared" ca="1" si="6"/>
        <v>17663.503843324354</v>
      </c>
      <c r="Z11" s="92">
        <f t="shared" ca="1" si="7"/>
        <v>3.2041352883894119</v>
      </c>
      <c r="AA11" s="92">
        <f t="shared" ca="1" si="7"/>
        <v>3.2517800632881158</v>
      </c>
      <c r="AC11" s="67">
        <f t="shared" ca="1" si="8"/>
        <v>52250.910717971201</v>
      </c>
      <c r="AD11" s="67">
        <f t="shared" ca="1" si="8"/>
        <v>51901.715860668664</v>
      </c>
      <c r="AF11" s="92">
        <f t="shared" ca="1" si="9"/>
        <v>5.0551535539990233</v>
      </c>
      <c r="AG11" s="92">
        <f t="shared" ca="1" si="9"/>
        <v>5.1796108163460666</v>
      </c>
      <c r="AI11" s="67">
        <f t="shared" ca="1" si="10"/>
        <v>4664681.5790107669</v>
      </c>
      <c r="AJ11" s="67">
        <f t="shared" ca="1" si="10"/>
        <v>0</v>
      </c>
      <c r="AL11" s="92">
        <f t="shared" ca="1" si="11"/>
        <v>-1314.9130594296998</v>
      </c>
      <c r="AM11" s="92">
        <f t="shared" ca="1" si="11"/>
        <v>0</v>
      </c>
      <c r="AO11" s="67">
        <f t="shared" ca="1" si="12"/>
        <v>303902.15211792488</v>
      </c>
      <c r="AP11" s="67">
        <f t="shared" ca="1" si="12"/>
        <v>0</v>
      </c>
      <c r="AR11" s="92">
        <f t="shared" ca="1" si="13"/>
        <v>-67.91709012371328</v>
      </c>
      <c r="AS11" s="92">
        <f t="shared" ca="1" si="13"/>
        <v>0</v>
      </c>
      <c r="AU11" s="67">
        <f t="shared" ca="1" si="14"/>
        <v>59553312.037227832</v>
      </c>
      <c r="AV11" s="67">
        <f t="shared" ca="1" si="14"/>
        <v>0</v>
      </c>
      <c r="AX11" s="92">
        <f t="shared" ca="1" si="15"/>
        <v>-839.16278208633867</v>
      </c>
      <c r="AY11" s="92">
        <f t="shared" ca="1" si="15"/>
        <v>0</v>
      </c>
      <c r="BA11" s="67">
        <f t="shared" ca="1" si="16"/>
        <v>869546.3472222233</v>
      </c>
      <c r="BB11" s="67">
        <f t="shared" ca="1" si="16"/>
        <v>0</v>
      </c>
      <c r="BD11" s="92">
        <f t="shared" ca="1" si="17"/>
        <v>-247.96377055166829</v>
      </c>
      <c r="BE11" s="92">
        <f t="shared" ca="1" si="17"/>
        <v>0</v>
      </c>
      <c r="BG11" s="67">
        <f t="shared" ca="1" si="18"/>
        <v>11300980.343766816</v>
      </c>
      <c r="BH11" s="67">
        <f t="shared" ca="1" si="18"/>
        <v>0</v>
      </c>
      <c r="BJ11" s="92">
        <f t="shared" ca="1" si="19"/>
        <v>-626.27062045656771</v>
      </c>
      <c r="BK11" s="92">
        <f t="shared" ca="1" si="19"/>
        <v>0</v>
      </c>
      <c r="BM11" s="67">
        <f t="shared" ca="1" si="20"/>
        <v>68554941.847311586</v>
      </c>
      <c r="BN11" s="67">
        <f t="shared" ca="1" si="20"/>
        <v>0</v>
      </c>
      <c r="BP11" s="92">
        <f t="shared" ca="1" si="21"/>
        <v>-4299.1955705591008</v>
      </c>
      <c r="BQ11" s="92">
        <f t="shared" ca="1" si="21"/>
        <v>0</v>
      </c>
      <c r="BS11" s="67">
        <f t="shared" ca="1" si="22"/>
        <v>117932.13834422697</v>
      </c>
      <c r="BT11" s="67">
        <f t="shared" ca="1" si="22"/>
        <v>118280.78864307018</v>
      </c>
      <c r="BV11"/>
      <c r="BW11"/>
      <c r="BY11" s="67">
        <f t="shared" ca="1" si="23"/>
        <v>135086.01669872596</v>
      </c>
      <c r="BZ11" s="67">
        <f t="shared" ca="1" si="23"/>
        <v>135455.92255629823</v>
      </c>
      <c r="CB11"/>
      <c r="CC11"/>
      <c r="CE11" s="67">
        <f t="shared" ca="1" si="24"/>
        <v>98293.273390506554</v>
      </c>
      <c r="CF11" s="67">
        <f t="shared" ca="1" si="24"/>
        <v>100729.15374157188</v>
      </c>
      <c r="CH11"/>
      <c r="CI11"/>
      <c r="CK11" s="67">
        <f t="shared" ca="1" si="25"/>
        <v>53345.217842523212</v>
      </c>
      <c r="CL11" s="67">
        <f t="shared" ca="1" si="25"/>
        <v>54162.325414216466</v>
      </c>
      <c r="CN11"/>
      <c r="CO11"/>
      <c r="CQ11" s="67">
        <f t="shared" ca="1" si="26"/>
        <v>50912.927320743263</v>
      </c>
      <c r="CR11" s="67">
        <f t="shared" ca="1" si="26"/>
        <v>53586.316973126341</v>
      </c>
      <c r="CT11"/>
      <c r="CU11"/>
      <c r="CW11" s="67">
        <f t="shared" ca="1" si="27"/>
        <v>-27935129.87461438</v>
      </c>
      <c r="CX11" s="67">
        <f t="shared" ca="1" si="27"/>
        <v>0</v>
      </c>
      <c r="CZ11"/>
      <c r="DA11"/>
      <c r="DC11" s="67">
        <f t="shared" ca="1" si="28"/>
        <v>-1487010.9263172969</v>
      </c>
      <c r="DD11" s="67">
        <f t="shared" ca="1" si="28"/>
        <v>0</v>
      </c>
      <c r="DF11"/>
      <c r="DG11"/>
      <c r="DI11" s="67">
        <f t="shared" ca="1" si="29"/>
        <v>-22966387.30016657</v>
      </c>
      <c r="DJ11" s="67">
        <f t="shared" ca="1" si="29"/>
        <v>0</v>
      </c>
      <c r="DL11"/>
      <c r="DM11"/>
      <c r="DO11" s="67">
        <f t="shared" ca="1" si="30"/>
        <v>-5353058.225352861</v>
      </c>
      <c r="DP11" s="67">
        <f t="shared" ca="1" si="30"/>
        <v>0</v>
      </c>
      <c r="DR11"/>
      <c r="DS11"/>
      <c r="DU11" s="67">
        <f t="shared" ca="1" si="31"/>
        <v>-13299259.662598543</v>
      </c>
      <c r="DV11" s="67">
        <f t="shared" ca="1" si="31"/>
        <v>0</v>
      </c>
      <c r="DX11"/>
      <c r="DY11"/>
      <c r="EA11" s="67">
        <f t="shared" ca="1" si="32"/>
        <v>-100309140.78283294</v>
      </c>
      <c r="EB11" s="67">
        <f t="shared" ca="1" si="32"/>
        <v>0</v>
      </c>
      <c r="ED11"/>
      <c r="EE11"/>
    </row>
    <row r="12" spans="1:135" ht="12" customHeight="1" thickBot="1" x14ac:dyDescent="0.3">
      <c r="B12" s="16">
        <v>1000</v>
      </c>
      <c r="D12" s="25" t="s">
        <v>45</v>
      </c>
      <c r="E12" s="67">
        <f ca="1">IF(E$17="", "", MAX(OFFSET(E$17, 0, 0, numSims)))</f>
        <v>378.17497866607317</v>
      </c>
      <c r="F12" s="67">
        <f ca="1">IF(F$17="", "", MAX(OFFSET(F$17, 0, 0, numSims)))</f>
        <v>365.02304718150157</v>
      </c>
      <c r="H12" s="92">
        <f ca="1">IF(H$17="", "", MAX(OFFSET(H$17, 0, 0, numSims)))</f>
        <v>5.9600179182277007</v>
      </c>
      <c r="I12" s="92">
        <f ca="1">IF(I$17="", "", MAX(OFFSET(I$17, 0, 0, numSims)))</f>
        <v>5.9789289577417195</v>
      </c>
      <c r="K12" s="67">
        <f ca="1">IF(K$17="", "", MAX(OFFSET(K$17, 0, 0, numSims)))</f>
        <v>406.8876139651469</v>
      </c>
      <c r="L12" s="67">
        <f ca="1">IF(L$17="", "", MAX(OFFSET(L$17, 0, 0, numSims)))</f>
        <v>393.33248229513572</v>
      </c>
      <c r="N12" s="92">
        <f ca="1">IF(N$17="", "", MAX(OFFSET(N$17, 0, 0, numSims)))</f>
        <v>6.8152311428542767</v>
      </c>
      <c r="O12" s="92">
        <f ca="1">IF(O$17="", "", MAX(OFFSET(O$17, 0, 0, numSims)))</f>
        <v>6.8291136697725365</v>
      </c>
      <c r="Q12" s="67">
        <f ca="1">IF(Q$17="", "", MAX(OFFSET(Q$17, 0, 0, numSims)))</f>
        <v>8391.3716058489063</v>
      </c>
      <c r="R12" s="67">
        <f ca="1">IF(R$17="", "", MAX(OFFSET(R$17, 0, 0, numSims)))</f>
        <v>2201.0041327809108</v>
      </c>
      <c r="T12" s="92">
        <f ca="1">IF(T$17="", "", MAX(OFFSET(T$17, 0, 0, numSims)))</f>
        <v>5.1186580543157323</v>
      </c>
      <c r="U12" s="92">
        <f ca="1">IF(U$17="", "", MAX(OFFSET(U$17, 0, 0, numSims)))</f>
        <v>5.2349963461990505</v>
      </c>
      <c r="W12" s="67">
        <f ca="1">IF(W$17="", "", MAX(OFFSET(W$17, 0, 0, numSims)))</f>
        <v>20446.199348861956</v>
      </c>
      <c r="X12" s="67">
        <f ca="1">IF(X$17="", "", MAX(OFFSET(X$17, 0, 0, numSims)))</f>
        <v>20375.804902946977</v>
      </c>
      <c r="Z12" s="92">
        <f ca="1">IF(Z$17="", "", MAX(OFFSET(Z$17, 0, 0, numSims)))</f>
        <v>3.304730840390917</v>
      </c>
      <c r="AA12" s="92">
        <f ca="1">IF(AA$17="", "", MAX(OFFSET(AA$17, 0, 0, numSims)))</f>
        <v>3.345908993656479</v>
      </c>
      <c r="AC12" s="67">
        <f ca="1">IF(AC$17="", "", MAX(OFFSET(AC$17, 0, 0, numSims)))</f>
        <v>53290.119543447676</v>
      </c>
      <c r="AD12" s="67">
        <f ca="1">IF(AD$17="", "", MAX(OFFSET(AD$17, 0, 0, numSims)))</f>
        <v>52660.936771261353</v>
      </c>
      <c r="AF12" s="92">
        <f ca="1">IF(AF$17="", "", MAX(OFFSET(AF$17, 0, 0, numSims)))</f>
        <v>5.2929790151078606</v>
      </c>
      <c r="AG12" s="92">
        <f ca="1">IF(AG$17="", "", MAX(OFFSET(AG$17, 0, 0, numSims)))</f>
        <v>5.3673259650899459</v>
      </c>
      <c r="AI12" s="67">
        <f ca="1">IF(AI$17="", "", MAX(OFFSET(AI$17, 0, 0, numSims)))</f>
        <v>6389640.2917983215</v>
      </c>
      <c r="AJ12" s="67">
        <f ca="1">IF(AJ$17="", "", MAX(OFFSET(AJ$17, 0, 0, numSims)))</f>
        <v>0</v>
      </c>
      <c r="AL12" s="92">
        <f ca="1">IF(AL$17="", "", MAX(OFFSET(AL$17, 0, 0, numSims)))</f>
        <v>-1009.7763367319602</v>
      </c>
      <c r="AM12" s="92">
        <f ca="1">IF(AM$17="", "", MAX(OFFSET(AM$17, 0, 0, numSims)))</f>
        <v>0</v>
      </c>
      <c r="AO12" s="67">
        <f ca="1">IF(AO$17="", "", MAX(OFFSET(AO$17, 0, 0, numSims)))</f>
        <v>426183.3633371988</v>
      </c>
      <c r="AP12" s="67">
        <f ca="1">IF(AP$17="", "", MAX(OFFSET(AP$17, 0, 0, numSims)))</f>
        <v>0</v>
      </c>
      <c r="AR12" s="92">
        <f ca="1">IF(AR$17="", "", MAX(OFFSET(AR$17, 0, 0, numSims)))</f>
        <v>-53.46982948891182</v>
      </c>
      <c r="AS12" s="92">
        <f ca="1">IF(AS$17="", "", MAX(OFFSET(AS$17, 0, 0, numSims)))</f>
        <v>0</v>
      </c>
      <c r="AU12" s="67">
        <f ca="1">IF(AU$17="", "", MAX(OFFSET(AU$17, 0, 0, numSims)))</f>
        <v>146855126.1796782</v>
      </c>
      <c r="AV12" s="67">
        <f ca="1">IF(AV$17="", "", MAX(OFFSET(AV$17, 0, 0, numSims)))</f>
        <v>0</v>
      </c>
      <c r="AX12" s="92">
        <f ca="1">IF(AX$17="", "", MAX(OFFSET(AX$17, 0, 0, numSims)))</f>
        <v>-446.14929681122607</v>
      </c>
      <c r="AY12" s="92">
        <f ca="1">IF(AY$17="", "", MAX(OFFSET(AY$17, 0, 0, numSims)))</f>
        <v>0</v>
      </c>
      <c r="BA12" s="67">
        <f ca="1">IF(BA$17="", "", MAX(OFFSET(BA$17, 0, 0, numSims)))</f>
        <v>1501895.7932257501</v>
      </c>
      <c r="BB12" s="67">
        <f ca="1">IF(BB$17="", "", MAX(OFFSET(BB$17, 0, 0, numSims)))</f>
        <v>0</v>
      </c>
      <c r="BD12" s="92">
        <f ca="1">IF(BD$17="", "", MAX(OFFSET(BD$17, 0, 0, numSims)))</f>
        <v>-138.50033034008237</v>
      </c>
      <c r="BE12" s="92">
        <f ca="1">IF(BE$17="", "", MAX(OFFSET(BE$17, 0, 0, numSims)))</f>
        <v>0</v>
      </c>
      <c r="BG12" s="67">
        <f ca="1">IF(BG$17="", "", MAX(OFFSET(BG$17, 0, 0, numSims)))</f>
        <v>19146927.115244381</v>
      </c>
      <c r="BH12" s="67">
        <f ca="1">IF(BH$17="", "", MAX(OFFSET(BH$17, 0, 0, numSims)))</f>
        <v>0</v>
      </c>
      <c r="BJ12" s="92">
        <f ca="1">IF(BJ$17="", "", MAX(OFFSET(BJ$17, 0, 0, numSims)))</f>
        <v>217.05194452777019</v>
      </c>
      <c r="BK12" s="92">
        <f ca="1">IF(BK$17="", "", MAX(OFFSET(BK$17, 0, 0, numSims)))</f>
        <v>0</v>
      </c>
      <c r="BM12" s="67">
        <f ca="1">IF(BM$17="", "", MAX(OFFSET(BM$17, 0, 0, numSims)))</f>
        <v>155106920.45974052</v>
      </c>
      <c r="BN12" s="67">
        <f ca="1">IF(BN$17="", "", MAX(OFFSET(BN$17, 0, 0, numSims)))</f>
        <v>0</v>
      </c>
      <c r="BP12" s="92">
        <f ca="1">IF(BP$17="", "", MAX(OFFSET(BP$17, 0, 0, numSims)))</f>
        <v>-3164.7032224278291</v>
      </c>
      <c r="BQ12" s="92">
        <f ca="1">IF(BQ$17="", "", MAX(OFFSET(BQ$17, 0, 0, numSims)))</f>
        <v>0</v>
      </c>
      <c r="BS12" s="67">
        <f ca="1">IF(BS$17="", "", MAX(OFFSET(BS$17, 0, 0, numSims)))</f>
        <v>118942.36494216074</v>
      </c>
      <c r="BT12" s="67">
        <f ca="1">IF(BT$17="", "", MAX(OFFSET(BT$17, 0, 0, numSims)))</f>
        <v>119354.79629894896</v>
      </c>
      <c r="BV12"/>
      <c r="BW12"/>
      <c r="BY12" s="67">
        <f ca="1">IF(BY$17="", "", MAX(OFFSET(BY$17, 0, 0, numSims)))</f>
        <v>136069.21438058894</v>
      </c>
      <c r="BZ12" s="67">
        <f ca="1">IF(BZ$17="", "", MAX(OFFSET(BZ$17, 0, 0, numSims)))</f>
        <v>136376.31454251707</v>
      </c>
      <c r="CB12"/>
      <c r="CC12"/>
      <c r="CE12" s="67">
        <f ca="1">IF(CE$17="", "", MAX(OFFSET(CE$17, 0, 0, numSims)))</f>
        <v>100515.83752159188</v>
      </c>
      <c r="CF12" s="67">
        <f ca="1">IF(CF$17="", "", MAX(OFFSET(CF$17, 0, 0, numSims)))</f>
        <v>103311.66707417434</v>
      </c>
      <c r="CH12"/>
      <c r="CI12"/>
      <c r="CK12" s="67">
        <f ca="1">IF(CK$17="", "", MAX(OFFSET(CK$17, 0, 0, numSims)))</f>
        <v>55477.878094835658</v>
      </c>
      <c r="CL12" s="67">
        <f ca="1">IF(CL$17="", "", MAX(OFFSET(CL$17, 0, 0, numSims)))</f>
        <v>56560.636899876132</v>
      </c>
      <c r="CN12"/>
      <c r="CO12"/>
      <c r="CQ12" s="67">
        <f ca="1">IF(CQ$17="", "", MAX(OFFSET(CQ$17, 0, 0, numSims)))</f>
        <v>56155.731275591374</v>
      </c>
      <c r="CR12" s="67">
        <f ca="1">IF(CR$17="", "", MAX(OFFSET(CR$17, 0, 0, numSims)))</f>
        <v>57451.778883963983</v>
      </c>
      <c r="CT12"/>
      <c r="CU12"/>
      <c r="CW12" s="67">
        <f ca="1">IF(CW$17="", "", MAX(OFFSET(CW$17, 0, 0, numSims)))</f>
        <v>-21386770.833632201</v>
      </c>
      <c r="CX12" s="67">
        <f ca="1">IF(CX$17="", "", MAX(OFFSET(CX$17, 0, 0, numSims)))</f>
        <v>0</v>
      </c>
      <c r="CZ12"/>
      <c r="DA12"/>
      <c r="DC12" s="67">
        <f ca="1">IF(DC$17="", "", MAX(OFFSET(DC$17, 0, 0, numSims)))</f>
        <v>-1137605.2522192514</v>
      </c>
      <c r="DD12" s="67">
        <f ca="1">IF(DD$17="", "", MAX(OFFSET(DD$17, 0, 0, numSims)))</f>
        <v>0</v>
      </c>
      <c r="DF12"/>
      <c r="DG12"/>
      <c r="DI12" s="67">
        <f ca="1">IF(DI$17="", "", MAX(OFFSET(DI$17, 0, 0, numSims)))</f>
        <v>-12249632.117797449</v>
      </c>
      <c r="DJ12" s="67">
        <f ca="1">IF(DJ$17="", "", MAX(OFFSET(DJ$17, 0, 0, numSims)))</f>
        <v>0</v>
      </c>
      <c r="DL12"/>
      <c r="DM12"/>
      <c r="DO12" s="67">
        <f ca="1">IF(DO$17="", "", MAX(OFFSET(DO$17, 0, 0, numSims)))</f>
        <v>-3286822.6614929</v>
      </c>
      <c r="DP12" s="67">
        <f ca="1">IF(DP$17="", "", MAX(OFFSET(DP$17, 0, 0, numSims)))</f>
        <v>0</v>
      </c>
      <c r="DR12"/>
      <c r="DS12"/>
      <c r="DU12" s="67">
        <f ca="1">IF(DU$17="", "", MAX(OFFSET(DU$17, 0, 0, numSims)))</f>
        <v>8437169.4421791267</v>
      </c>
      <c r="DV12" s="67">
        <f ca="1">IF(DV$17="", "", MAX(OFFSET(DV$17, 0, 0, numSims)))</f>
        <v>0</v>
      </c>
      <c r="DX12"/>
      <c r="DY12"/>
      <c r="EA12" s="67">
        <f ca="1">IF(EA$17="", "", MAX(OFFSET(EA$17, 0, 0, numSims)))</f>
        <v>-66242287.045860223</v>
      </c>
      <c r="EB12" s="67">
        <f ca="1">IF(EB$17="", "", MAX(OFFSET(EB$17, 0, 0, numSims)))</f>
        <v>0</v>
      </c>
      <c r="ED12"/>
      <c r="EE12"/>
    </row>
    <row r="13" spans="1:135" ht="12" customHeight="1" thickBot="1" x14ac:dyDescent="0.3">
      <c r="E13" s="456" t="str">
        <f>IFERROR(INDEX(rngStrats, E$3), "")</f>
        <v>HPE</v>
      </c>
      <c r="F13" s="456" t="str">
        <f>IFERROR(INDEX(rngStrats, F$3), "")</f>
        <v>No HPE</v>
      </c>
      <c r="H13" s="456" t="str">
        <f>IFERROR(INDEX(rngStrats, H$3), "")</f>
        <v>HPE</v>
      </c>
      <c r="I13" s="456" t="str">
        <f>IFERROR(INDEX(rngStrats, I$3), "")</f>
        <v>No HPE</v>
      </c>
      <c r="K13" s="456" t="str">
        <f>IFERROR(INDEX(rngStrats, K$3), "")</f>
        <v>HPE</v>
      </c>
      <c r="L13" s="456" t="str">
        <f>IFERROR(INDEX(rngStrats, L$3), "")</f>
        <v>No HPE</v>
      </c>
      <c r="N13" s="456" t="str">
        <f>IFERROR(INDEX(rngStrats, N$3), "")</f>
        <v>HPE</v>
      </c>
      <c r="O13" s="456" t="str">
        <f>IFERROR(INDEX(rngStrats, O$3), "")</f>
        <v>No HPE</v>
      </c>
      <c r="Q13" s="456" t="str">
        <f>IFERROR(INDEX(rngStrats, Q$3), "")</f>
        <v>HPE</v>
      </c>
      <c r="R13" s="456" t="str">
        <f>IFERROR(INDEX(rngStrats, R$3), "")</f>
        <v>No HPE</v>
      </c>
      <c r="T13" s="456" t="str">
        <f>IFERROR(INDEX(rngStrats, T$3), "")</f>
        <v>HPE</v>
      </c>
      <c r="U13" s="456" t="str">
        <f>IFERROR(INDEX(rngStrats, U$3), "")</f>
        <v>No HPE</v>
      </c>
      <c r="W13" s="456" t="str">
        <f>IFERROR(INDEX(rngStrats, W$3), "")</f>
        <v>HPE</v>
      </c>
      <c r="X13" s="456" t="str">
        <f>IFERROR(INDEX(rngStrats, X$3), "")</f>
        <v>No HPE</v>
      </c>
      <c r="Z13" s="456" t="str">
        <f>IFERROR(INDEX(rngStrats, Z$3), "")</f>
        <v>HPE</v>
      </c>
      <c r="AA13" s="456" t="str">
        <f>IFERROR(INDEX(rngStrats, AA$3), "")</f>
        <v>No HPE</v>
      </c>
      <c r="AC13" s="456" t="str">
        <f>IFERROR(INDEX(rngStrats, AC$3), "")</f>
        <v>HPE</v>
      </c>
      <c r="AD13" s="456" t="str">
        <f>IFERROR(INDEX(rngStrats, AD$3), "")</f>
        <v>No HPE</v>
      </c>
      <c r="AF13" s="456" t="str">
        <f>IFERROR(INDEX(rngStrats, AF$3), "")</f>
        <v>HPE</v>
      </c>
      <c r="AG13" s="456" t="str">
        <f>IFERROR(INDEX(rngStrats, AG$3), "")</f>
        <v>No HPE</v>
      </c>
      <c r="AI13" s="456" t="str">
        <f>IFERROR(INDEX(rngStrats, AI$3), "")</f>
        <v>HPE</v>
      </c>
      <c r="AJ13" s="456" t="str">
        <f>IFERROR(INDEX(rngStrats, AJ$3), "")</f>
        <v>No HPE</v>
      </c>
      <c r="AL13" s="456" t="str">
        <f>IFERROR(INDEX(rngStrats, AL$3), "")</f>
        <v>HPE</v>
      </c>
      <c r="AM13" s="456" t="str">
        <f>IFERROR(INDEX(rngStrats, AM$3), "")</f>
        <v>No HPE</v>
      </c>
      <c r="AO13" s="456" t="str">
        <f>IFERROR(INDEX(rngStrats, AO$3), "")</f>
        <v>HPE</v>
      </c>
      <c r="AP13" s="456" t="str">
        <f>IFERROR(INDEX(rngStrats, AP$3), "")</f>
        <v>No HPE</v>
      </c>
      <c r="AR13" s="456" t="str">
        <f>IFERROR(INDEX(rngStrats, AR$3), "")</f>
        <v>HPE</v>
      </c>
      <c r="AS13" s="456" t="str">
        <f>IFERROR(INDEX(rngStrats, AS$3), "")</f>
        <v>No HPE</v>
      </c>
      <c r="AU13" s="456" t="str">
        <f>IFERROR(INDEX(rngStrats, AU$3), "")</f>
        <v>HPE</v>
      </c>
      <c r="AV13" s="456" t="str">
        <f>IFERROR(INDEX(rngStrats, AV$3), "")</f>
        <v>No HPE</v>
      </c>
      <c r="AX13" s="456" t="str">
        <f>IFERROR(INDEX(rngStrats, AX$3), "")</f>
        <v>HPE</v>
      </c>
      <c r="AY13" s="456" t="str">
        <f>IFERROR(INDEX(rngStrats, AY$3), "")</f>
        <v>No HPE</v>
      </c>
      <c r="BA13" s="456" t="str">
        <f>IFERROR(INDEX(rngStrats, BA$3), "")</f>
        <v>HPE</v>
      </c>
      <c r="BB13" s="456" t="str">
        <f>IFERROR(INDEX(rngStrats, BB$3), "")</f>
        <v>No HPE</v>
      </c>
      <c r="BD13" s="456" t="str">
        <f>IFERROR(INDEX(rngStrats, BD$3), "")</f>
        <v>HPE</v>
      </c>
      <c r="BE13" s="456" t="str">
        <f>IFERROR(INDEX(rngStrats, BE$3), "")</f>
        <v>No HPE</v>
      </c>
      <c r="BG13" s="456" t="str">
        <f>IFERROR(INDEX(rngStrats, BG$3), "")</f>
        <v>HPE</v>
      </c>
      <c r="BH13" s="456" t="str">
        <f>IFERROR(INDEX(rngStrats, BH$3), "")</f>
        <v>No HPE</v>
      </c>
      <c r="BJ13" s="456" t="str">
        <f>IFERROR(INDEX(rngStrats, BJ$3), "")</f>
        <v>HPE</v>
      </c>
      <c r="BK13" s="456" t="str">
        <f>IFERROR(INDEX(rngStrats, BK$3), "")</f>
        <v>No HPE</v>
      </c>
      <c r="BM13" s="456" t="str">
        <f>IFERROR(INDEX(rngStrats, BM$3), "")</f>
        <v>HPE</v>
      </c>
      <c r="BN13" s="456" t="str">
        <f>IFERROR(INDEX(rngStrats, BN$3), "")</f>
        <v>No HPE</v>
      </c>
      <c r="BP13" s="456" t="str">
        <f>IFERROR(INDEX(rngStrats, BP$3), "")</f>
        <v>HPE</v>
      </c>
      <c r="BQ13" s="456" t="str">
        <f>IFERROR(INDEX(rngStrats, BQ$3), "")</f>
        <v>No HPE</v>
      </c>
      <c r="BS13" s="456" t="str">
        <f>IFERROR(INDEX(rngStrats, BS$3), "")</f>
        <v/>
      </c>
      <c r="BT13" s="456" t="str">
        <f>IFERROR(INDEX(rngStrats, BT$3), "")</f>
        <v/>
      </c>
      <c r="BV13" s="456" t="str">
        <f>IFERROR(INDEX(rngStrats, BV$3), "")</f>
        <v>HPE</v>
      </c>
      <c r="BW13" s="456" t="str">
        <f>IFERROR(INDEX(rngStrats, BW$3), "")</f>
        <v>No HPE</v>
      </c>
      <c r="BY13" s="456" t="str">
        <f>IFERROR(INDEX(rngStrats, BY$3), "")</f>
        <v>HPE</v>
      </c>
      <c r="BZ13" s="456" t="str">
        <f>IFERROR(INDEX(rngStrats, BZ$3), "")</f>
        <v>No HPE</v>
      </c>
      <c r="CB13" s="456" t="str">
        <f>IFERROR(INDEX(rngStrats, CB$3), "")</f>
        <v>HPE</v>
      </c>
      <c r="CC13" s="456" t="str">
        <f>IFERROR(INDEX(rngStrats, CC$3), "")</f>
        <v>No HPE</v>
      </c>
      <c r="CE13" s="456" t="str">
        <f>IFERROR(INDEX(rngStrats, CE$3), "")</f>
        <v>HPE</v>
      </c>
      <c r="CF13" s="456" t="str">
        <f>IFERROR(INDEX(rngStrats, CF$3), "")</f>
        <v>No HPE</v>
      </c>
      <c r="CH13" s="456" t="str">
        <f>IFERROR(INDEX(rngStrats, CH$3), "")</f>
        <v>HPE</v>
      </c>
      <c r="CI13" s="456" t="str">
        <f>IFERROR(INDEX(rngStrats, CI$3), "")</f>
        <v>No HPE</v>
      </c>
      <c r="CK13" s="456" t="str">
        <f>IFERROR(INDEX(rngStrats, CK$3), "")</f>
        <v>HPE</v>
      </c>
      <c r="CL13" s="456" t="str">
        <f>IFERROR(INDEX(rngStrats, CL$3), "")</f>
        <v>No HPE</v>
      </c>
      <c r="CN13" s="456" t="str">
        <f>IFERROR(INDEX(rngStrats, CN$3), "")</f>
        <v>HPE</v>
      </c>
      <c r="CO13" s="456" t="str">
        <f>IFERROR(INDEX(rngStrats, CO$3), "")</f>
        <v>No HPE</v>
      </c>
      <c r="CQ13" s="453" t="str">
        <f>IFERROR(INDEX(rngStrats, CQ$3), "")</f>
        <v>HPE</v>
      </c>
      <c r="CR13" s="514" t="str">
        <f>IFERROR(INDEX(rngStrats, CR$3), "")</f>
        <v>No HPE</v>
      </c>
      <c r="CT13" s="453" t="str">
        <f>IFERROR(INDEX(rngStrats, CT$3), "")</f>
        <v>HPE</v>
      </c>
      <c r="CU13" s="514" t="str">
        <f>IFERROR(INDEX(rngStrats, CU$3), "")</f>
        <v>No HPE</v>
      </c>
      <c r="CW13" s="453" t="str">
        <f>IFERROR(INDEX(rngStrats, CW$3), "")</f>
        <v>HPE</v>
      </c>
      <c r="CX13" s="514" t="str">
        <f>IFERROR(INDEX(rngStrats, CX$3), "")</f>
        <v>No HPE</v>
      </c>
      <c r="CZ13" s="453" t="str">
        <f>IFERROR(INDEX(rngStrats, CZ$3), "")</f>
        <v>HPE</v>
      </c>
      <c r="DA13" s="514" t="str">
        <f>IFERROR(INDEX(rngStrats, DA$3), "")</f>
        <v>No HPE</v>
      </c>
      <c r="DC13" s="453" t="str">
        <f>IFERROR(INDEX(rngStrats, DC$3), "")</f>
        <v>HPE</v>
      </c>
      <c r="DD13" s="514" t="str">
        <f>IFERROR(INDEX(rngStrats, DD$3), "")</f>
        <v>No HPE</v>
      </c>
      <c r="DF13" s="453" t="str">
        <f>IFERROR(INDEX(rngStrats, DF$3), "")</f>
        <v>HPE</v>
      </c>
      <c r="DG13" s="514" t="str">
        <f>IFERROR(INDEX(rngStrats, DG$3), "")</f>
        <v>No HPE</v>
      </c>
      <c r="DI13" s="453" t="str">
        <f>IFERROR(INDEX(rngStrats, DI$3), "")</f>
        <v>HPE</v>
      </c>
      <c r="DJ13" s="514" t="str">
        <f>IFERROR(INDEX(rngStrats, DJ$3), "")</f>
        <v>No HPE</v>
      </c>
      <c r="DL13" s="453" t="str">
        <f>IFERROR(INDEX(rngStrats, DL$3), "")</f>
        <v>HPE</v>
      </c>
      <c r="DM13" s="514" t="str">
        <f>IFERROR(INDEX(rngStrats, DM$3), "")</f>
        <v>No HPE</v>
      </c>
      <c r="DO13" s="453" t="str">
        <f>IFERROR(INDEX(rngStrats, DO$3), "")</f>
        <v>HPE</v>
      </c>
      <c r="DP13" s="514" t="str">
        <f>IFERROR(INDEX(rngStrats, DP$3), "")</f>
        <v>No HPE</v>
      </c>
      <c r="DR13" s="453" t="str">
        <f>IFERROR(INDEX(rngStrats, DR$3), "")</f>
        <v>HPE</v>
      </c>
      <c r="DS13" s="514" t="str">
        <f>IFERROR(INDEX(rngStrats, DS$3), "")</f>
        <v>No HPE</v>
      </c>
      <c r="DU13" s="453" t="str">
        <f>IFERROR(INDEX(rngStrats, DU$3), "")</f>
        <v>HPE</v>
      </c>
      <c r="DV13" s="514" t="str">
        <f>IFERROR(INDEX(rngStrats, DV$3), "")</f>
        <v>No HPE</v>
      </c>
      <c r="DX13" s="453" t="str">
        <f>IFERROR(INDEX(rngStrats, DX$3), "")</f>
        <v>HPE</v>
      </c>
      <c r="DY13" s="514" t="str">
        <f>IFERROR(INDEX(rngStrats, DY$3), "")</f>
        <v>No HPE</v>
      </c>
      <c r="EA13" s="453" t="str">
        <f>IFERROR(INDEX(rngStrats, EA$3), "")</f>
        <v>HPE</v>
      </c>
      <c r="EB13" s="514" t="str">
        <f>IFERROR(INDEX(rngStrats, EB$3), "")</f>
        <v>No HPE</v>
      </c>
      <c r="ED13" s="453" t="str">
        <f>IFERROR(INDEX(rngStrats, ED$3), "")</f>
        <v>HPE</v>
      </c>
      <c r="EE13" s="514" t="str">
        <f>IFERROR(INDEX(rngStrats, EE$3), "")</f>
        <v>No HPE</v>
      </c>
    </row>
    <row r="14" spans="1:135" ht="12" customHeight="1" thickBot="1" x14ac:dyDescent="0.3">
      <c r="E14" s="456"/>
      <c r="F14" s="456"/>
      <c r="H14" s="456"/>
      <c r="I14" s="456"/>
      <c r="K14" s="456"/>
      <c r="L14" s="456"/>
      <c r="N14" s="456"/>
      <c r="O14" s="456"/>
      <c r="Q14" s="456"/>
      <c r="R14" s="456"/>
      <c r="T14" s="456"/>
      <c r="U14" s="456"/>
      <c r="W14" s="456"/>
      <c r="X14" s="456"/>
      <c r="Z14" s="456"/>
      <c r="AA14" s="456"/>
      <c r="AC14" s="456"/>
      <c r="AD14" s="456"/>
      <c r="AF14" s="456"/>
      <c r="AG14" s="456"/>
      <c r="AI14" s="456"/>
      <c r="AJ14" s="456"/>
      <c r="AL14" s="456"/>
      <c r="AM14" s="456"/>
      <c r="AO14" s="456"/>
      <c r="AP14" s="456"/>
      <c r="AR14" s="456"/>
      <c r="AS14" s="456"/>
      <c r="AU14" s="456"/>
      <c r="AV14" s="456"/>
      <c r="AX14" s="456"/>
      <c r="AY14" s="456"/>
      <c r="BA14" s="456"/>
      <c r="BB14" s="456"/>
      <c r="BD14" s="456"/>
      <c r="BE14" s="456"/>
      <c r="BG14" s="456"/>
      <c r="BH14" s="456"/>
      <c r="BJ14" s="456"/>
      <c r="BK14" s="456"/>
      <c r="BM14" s="456"/>
      <c r="BN14" s="456"/>
      <c r="BP14" s="456"/>
      <c r="BQ14" s="456"/>
      <c r="BS14" s="456"/>
      <c r="BT14" s="456"/>
      <c r="BV14" s="456"/>
      <c r="BW14" s="456"/>
      <c r="BY14" s="456"/>
      <c r="BZ14" s="456"/>
      <c r="CB14" s="456"/>
      <c r="CC14" s="456"/>
      <c r="CE14" s="456"/>
      <c r="CF14" s="456"/>
      <c r="CH14" s="456"/>
      <c r="CI14" s="456"/>
      <c r="CK14" s="456"/>
      <c r="CL14" s="456"/>
      <c r="CN14" s="456"/>
      <c r="CO14" s="456"/>
      <c r="CQ14" s="454"/>
      <c r="CR14" s="515"/>
      <c r="CT14" s="454"/>
      <c r="CU14" s="515"/>
      <c r="CW14" s="454"/>
      <c r="CX14" s="515"/>
      <c r="CZ14" s="454"/>
      <c r="DA14" s="515"/>
      <c r="DC14" s="454"/>
      <c r="DD14" s="515"/>
      <c r="DF14" s="454"/>
      <c r="DG14" s="515"/>
      <c r="DI14" s="454"/>
      <c r="DJ14" s="515"/>
      <c r="DL14" s="454"/>
      <c r="DM14" s="515"/>
      <c r="DO14" s="454"/>
      <c r="DP14" s="515"/>
      <c r="DR14" s="454"/>
      <c r="DS14" s="515"/>
      <c r="DU14" s="454"/>
      <c r="DV14" s="515"/>
      <c r="DX14" s="454"/>
      <c r="DY14" s="515"/>
      <c r="EA14" s="454"/>
      <c r="EB14" s="515"/>
      <c r="ED14" s="454"/>
      <c r="EE14" s="515"/>
    </row>
    <row r="15" spans="1:135" ht="12" customHeight="1" thickBot="1" x14ac:dyDescent="0.3">
      <c r="E15" s="456"/>
      <c r="F15" s="456"/>
      <c r="H15" s="456"/>
      <c r="I15" s="456"/>
      <c r="K15" s="456"/>
      <c r="L15" s="456"/>
      <c r="N15" s="456"/>
      <c r="O15" s="456"/>
      <c r="Q15" s="456"/>
      <c r="R15" s="456"/>
      <c r="T15" s="456"/>
      <c r="U15" s="456"/>
      <c r="W15" s="456"/>
      <c r="X15" s="456"/>
      <c r="Z15" s="456"/>
      <c r="AA15" s="456"/>
      <c r="AC15" s="456"/>
      <c r="AD15" s="456"/>
      <c r="AF15" s="456"/>
      <c r="AG15" s="456"/>
      <c r="AI15" s="456"/>
      <c r="AJ15" s="456"/>
      <c r="AL15" s="456"/>
      <c r="AM15" s="456"/>
      <c r="AO15" s="456"/>
      <c r="AP15" s="456"/>
      <c r="AR15" s="456"/>
      <c r="AS15" s="456"/>
      <c r="AU15" s="456"/>
      <c r="AV15" s="456"/>
      <c r="AX15" s="456"/>
      <c r="AY15" s="456"/>
      <c r="BA15" s="456"/>
      <c r="BB15" s="456"/>
      <c r="BD15" s="456"/>
      <c r="BE15" s="456"/>
      <c r="BG15" s="456"/>
      <c r="BH15" s="456"/>
      <c r="BJ15" s="456"/>
      <c r="BK15" s="456"/>
      <c r="BM15" s="456"/>
      <c r="BN15" s="456"/>
      <c r="BP15" s="456"/>
      <c r="BQ15" s="456"/>
      <c r="BS15" s="456"/>
      <c r="BT15" s="456"/>
      <c r="BV15" s="456"/>
      <c r="BW15" s="456"/>
      <c r="BY15" s="456"/>
      <c r="BZ15" s="456"/>
      <c r="CB15" s="456"/>
      <c r="CC15" s="456"/>
      <c r="CE15" s="456"/>
      <c r="CF15" s="456"/>
      <c r="CH15" s="456"/>
      <c r="CI15" s="456"/>
      <c r="CK15" s="456"/>
      <c r="CL15" s="456"/>
      <c r="CN15" s="456"/>
      <c r="CO15" s="456"/>
      <c r="CQ15" s="455"/>
      <c r="CR15" s="516"/>
      <c r="CT15" s="455"/>
      <c r="CU15" s="516"/>
      <c r="CW15" s="455"/>
      <c r="CX15" s="516"/>
      <c r="CZ15" s="455"/>
      <c r="DA15" s="516"/>
      <c r="DC15" s="455"/>
      <c r="DD15" s="516"/>
      <c r="DF15" s="455"/>
      <c r="DG15" s="516"/>
      <c r="DI15" s="455"/>
      <c r="DJ15" s="516"/>
      <c r="DL15" s="455"/>
      <c r="DM15" s="516"/>
      <c r="DO15" s="455"/>
      <c r="DP15" s="516"/>
      <c r="DR15" s="455"/>
      <c r="DS15" s="516"/>
      <c r="DU15" s="455"/>
      <c r="DV15" s="516"/>
      <c r="DX15" s="455"/>
      <c r="DY15" s="516"/>
      <c r="EA15" s="455"/>
      <c r="EB15" s="516"/>
      <c r="ED15" s="455"/>
      <c r="EE15" s="516"/>
    </row>
    <row r="16" spans="1:135" ht="12" customHeight="1" x14ac:dyDescent="0.25">
      <c r="E16" s="100" cm="1">
        <f t="array" aca="1" ref="E16" ca="1">INDEX(rngRawResults.Costs.Total, (E$2-1)*3+E$3)</f>
        <v>255.59046007705604</v>
      </c>
      <c r="F16" s="100" cm="1">
        <f t="array" aca="1" ref="F16" ca="1">INDEX(rngRawResults.Costs.Total, (F$2-1)*3+F$3)</f>
        <v>231.77820725228736</v>
      </c>
      <c r="H16" s="101" cm="1">
        <f t="array" aca="1" ref="H16" ca="1">INDEX(rngRawResults.QALYs.Total, (H$2-1)*3+H$3)</f>
        <v>5.8367257516273154</v>
      </c>
      <c r="I16" s="101" cm="1">
        <f t="array" aca="1" ref="I16" ca="1">INDEX(rngRawResults.QALYs.Total, (I$2-1)*3+I$3)</f>
        <v>5.8534862635546148</v>
      </c>
      <c r="K16" s="100" cm="1">
        <f t="array" aca="1" ref="K16" ca="1">INDEX(rngRawResults.Costs.Total, (K$2-1)*3+K$3)</f>
        <v>274.2912485058751</v>
      </c>
      <c r="L16" s="100" cm="1">
        <f t="array" aca="1" ref="L16" ca="1">INDEX(rngRawResults.Costs.Total, (L$2-1)*3+L$3)</f>
        <v>249.90391281788305</v>
      </c>
      <c r="N16" s="101" cm="1">
        <f t="array" aca="1" ref="N16" ca="1">INDEX(rngRawResults.QALYs.Total, (N$2-1)*3+N$3)</f>
        <v>6.7005639979077802</v>
      </c>
      <c r="O16" s="101" cm="1">
        <f t="array" aca="1" ref="O16" ca="1">INDEX(rngRawResults.QALYs.Total, (O$2-1)*3+O$3)</f>
        <v>6.7151149682116973</v>
      </c>
      <c r="Q16" s="100" cm="1">
        <f t="array" aca="1" ref="Q16" ca="1">INDEX(rngRawResults.Costs.Total, (Q$2-1)*3+Q$3)</f>
        <v>2443.3890750479381</v>
      </c>
      <c r="R16" s="100" cm="1">
        <f t="array" aca="1" ref="R16" ca="1">INDEX(rngRawResults.Costs.Total, (R$2-1)*3+R$3)</f>
        <v>1423.4485006714249</v>
      </c>
      <c r="T16" s="101" cm="1">
        <f t="array" aca="1" ref="T16" ca="1">INDEX(rngRawResults.QALYs.Total, (T$2-1)*3+T$3)</f>
        <v>4.8196416870749408</v>
      </c>
      <c r="U16" s="101" cm="1">
        <f t="array" aca="1" ref="U16" ca="1">INDEX(rngRawResults.QALYs.Total, (U$2-1)*3+U$3)</f>
        <v>4.9063637469178323</v>
      </c>
      <c r="W16" s="100" cm="1">
        <f t="array" aca="1" ref="W16" ca="1">INDEX(rngRawResults.Costs.Total, (W$2-1)*3+W$3)</f>
        <v>12596.4688111784</v>
      </c>
      <c r="X16" s="100" cm="1">
        <f t="array" aca="1" ref="X16" ca="1">INDEX(rngRawResults.Costs.Total, (X$2-1)*3+X$3)</f>
        <v>12580.873389537121</v>
      </c>
      <c r="Z16" s="101" cm="1">
        <f t="array" aca="1" ref="Z16" ca="1">INDEX(rngRawResults.QALYs.Total, (Z$2-1)*3+Z$3)</f>
        <v>3.0026031694311963</v>
      </c>
      <c r="AA16" s="101" cm="1">
        <f t="array" aca="1" ref="AA16" ca="1">INDEX(rngRawResults.QALYs.Total, (AA$2-1)*3+AA$3)</f>
        <v>3.0483975492336235</v>
      </c>
      <c r="AC16" s="100" cm="1">
        <f t="array" aca="1" ref="AC16" ca="1">INDEX(rngRawResults.Costs.Total, (AC$2-1)*3+AC$3)</f>
        <v>50215.77210630662</v>
      </c>
      <c r="AD16" s="100" cm="1">
        <f t="array" aca="1" ref="AD16" ca="1">INDEX(rngRawResults.Costs.Total, (AD$2-1)*3+AD$3)</f>
        <v>50005.372494009644</v>
      </c>
      <c r="AF16" s="101" cm="1">
        <f t="array" aca="1" ref="AF16" ca="1">INDEX(rngRawResults.QALYs.Total, (AF$2-1)*3+AF$3)</f>
        <v>4.5274690712736883</v>
      </c>
      <c r="AG16" s="101" cm="1">
        <f t="array" aca="1" ref="AG16" ca="1">INDEX(rngRawResults.QALYs.Total, (AG$2-1)*3+AG$3)</f>
        <v>4.6371651982714459</v>
      </c>
      <c r="AI16" s="100" cm="1">
        <f t="array" aca="1" ref="AI16" ca="1">INDEX(rngRawResults.Costs.Total, (AI$2-1)*3+AI$3)</f>
        <v>2559187.2300709886</v>
      </c>
      <c r="AJ16" s="100" cm="1">
        <f t="array" ref="AJ16">INDEX(rngRawResults.Costs.Total, (AJ$2-1)*3+AJ$3)</f>
        <v>0</v>
      </c>
      <c r="AL16" s="101" cm="1">
        <f t="array" aca="1" ref="AL16" ca="1">INDEX(rngRawResults.QALYs.Total, (AL$2-1)*3+AL$3)</f>
        <v>-1801.3116360490187</v>
      </c>
      <c r="AM16" s="101" cm="1">
        <f t="array" ref="AM16">INDEX(rngRawResults.QALYs.Total, (AM$2-1)*3+AM$3)</f>
        <v>0</v>
      </c>
      <c r="AO16" s="100" cm="1">
        <f t="array" aca="1" ref="AO16" ca="1">INDEX(rngRawResults.Costs.Total, (AO$2-1)*3+AO$3)</f>
        <v>167486.42826650327</v>
      </c>
      <c r="AP16" s="100" cm="1">
        <f t="array" ref="AP16">INDEX(rngRawResults.Costs.Total, (AP$2-1)*3+AP$3)</f>
        <v>0</v>
      </c>
      <c r="AR16" s="101" cm="1">
        <f t="array" aca="1" ref="AR16" ca="1">INDEX(rngRawResults.QALYs.Total, (AR$2-1)*3+AR$3)</f>
        <v>-99.932607448176825</v>
      </c>
      <c r="AS16" s="101" cm="1">
        <f t="array" ref="AS16">INDEX(rngRawResults.QALYs.Total, (AS$2-1)*3+AS$3)</f>
        <v>0</v>
      </c>
      <c r="AU16" s="100" cm="1">
        <f t="array" aca="1" ref="AU16" ca="1">INDEX(rngRawResults.Costs.Total, (AU$2-1)*3+AU$3)</f>
        <v>23614361.83089174</v>
      </c>
      <c r="AV16" s="100" cm="1">
        <f t="array" ref="AV16">INDEX(rngRawResults.Costs.Total, (AV$2-1)*3+AV$3)</f>
        <v>0</v>
      </c>
      <c r="AX16" s="101" cm="1">
        <f t="array" aca="1" ref="AX16" ca="1">INDEX(rngRawResults.QALYs.Total, (AX$2-1)*3+AX$3)</f>
        <v>-2007.8484485256929</v>
      </c>
      <c r="AY16" s="101" cm="1">
        <f t="array" ref="AY16">INDEX(rngRawResults.QALYs.Total, (AY$2-1)*3+AY$3)</f>
        <v>0</v>
      </c>
      <c r="BA16" s="100" cm="1">
        <f t="array" aca="1" ref="BA16" ca="1">INDEX(rngRawResults.Costs.Total, (BA$2-1)*3+BA$3)</f>
        <v>139201.28395059411</v>
      </c>
      <c r="BB16" s="100" cm="1">
        <f t="array" ref="BB16">INDEX(rngRawResults.Costs.Total, (BB$2-1)*3+BB$3)</f>
        <v>0</v>
      </c>
      <c r="BD16" s="101" cm="1">
        <f t="array" aca="1" ref="BD16" ca="1">INDEX(rngRawResults.QALYs.Total, (BD$2-1)*3+BD$3)</f>
        <v>-408.7505046574762</v>
      </c>
      <c r="BE16" s="101" cm="1">
        <f t="array" ref="BE16">INDEX(rngRawResults.QALYs.Total, (BE$2-1)*3+BE$3)</f>
        <v>0</v>
      </c>
      <c r="BG16" s="100" cm="1">
        <f t="array" aca="1" ref="BG16" ca="1">INDEX(rngRawResults.Costs.Total, (BG$2-1)*3+BG$3)</f>
        <v>3324171.2652969551</v>
      </c>
      <c r="BH16" s="100" cm="1">
        <f t="array" ref="BH16">INDEX(rngRawResults.Costs.Total, (BH$2-1)*3+BH$3)</f>
        <v>0</v>
      </c>
      <c r="BJ16" s="101" cm="1">
        <f t="array" aca="1" ref="BJ16" ca="1">INDEX(rngRawResults.QALYs.Total, (BJ$2-1)*3+BJ$3)</f>
        <v>-1733.1244544577116</v>
      </c>
      <c r="BK16" s="101" cm="1">
        <f t="array" ref="BK16">INDEX(rngRawResults.QALYs.Total, (BK$2-1)*3+BK$3)</f>
        <v>0</v>
      </c>
      <c r="BM16" s="100" cm="1">
        <f t="array" aca="1" ref="BM16" ca="1">INDEX(rngRawResults.Costs.Total, (BM$2-1)*3+BM$3)</f>
        <v>29804408.03847678</v>
      </c>
      <c r="BN16" s="100" cm="1">
        <f t="array" ref="BN16">INDEX(rngRawResults.Costs.Total, (BN$2-1)*3+BN$3)</f>
        <v>0</v>
      </c>
      <c r="BP16" s="101" cm="1">
        <f t="array" aca="1" ref="BP16" ca="1">INDEX(rngRawResults.QALYs.Total, (BP$2-1)*3+BP$3)</f>
        <v>-6050.9676511380767</v>
      </c>
      <c r="BQ16" s="101" cm="1">
        <f t="array" ref="BQ16">INDEX(rngRawResults.QALYs.Total, (BQ$2-1)*3+BQ$3)</f>
        <v>0</v>
      </c>
      <c r="BS16" s="127"/>
      <c r="BT16" s="127"/>
      <c r="BY16" s="127"/>
      <c r="BZ16" s="127"/>
      <c r="CE16" s="127"/>
      <c r="CF16" s="127"/>
      <c r="CK16" s="127"/>
      <c r="CL16" s="127"/>
      <c r="CQ16" s="127"/>
      <c r="CR16" s="127"/>
      <c r="CW16" s="127"/>
      <c r="CX16" s="127"/>
      <c r="DC16" s="127"/>
      <c r="DD16" s="127"/>
      <c r="DI16" s="127"/>
      <c r="DJ16" s="127"/>
      <c r="DO16" s="127"/>
      <c r="DP16" s="127"/>
      <c r="DU16" s="127"/>
      <c r="DV16" s="127"/>
      <c r="EA16" s="127"/>
      <c r="EB16" s="127"/>
    </row>
    <row r="17" spans="4:135" ht="12" customHeight="1" x14ac:dyDescent="0.25">
      <c r="D17" s="11">
        <v>1</v>
      </c>
      <c r="E17" s="72">
        <v>258.73149617184822</v>
      </c>
      <c r="F17" s="72">
        <v>237.13662987405263</v>
      </c>
      <c r="G17" s="73"/>
      <c r="H17" s="74">
        <v>5.7596265447566868</v>
      </c>
      <c r="I17" s="74">
        <v>5.7749611383832109</v>
      </c>
      <c r="J17" s="73"/>
      <c r="K17" s="72">
        <v>277.79295589624962</v>
      </c>
      <c r="L17" s="72">
        <v>255.69779251073433</v>
      </c>
      <c r="M17" s="73"/>
      <c r="N17" s="74">
        <v>6.7006691807373402</v>
      </c>
      <c r="O17" s="74">
        <v>6.7142614616028986</v>
      </c>
      <c r="P17" s="73"/>
      <c r="Q17" s="72">
        <v>2801.7563121683997</v>
      </c>
      <c r="R17" s="72">
        <v>1609.4118233758691</v>
      </c>
      <c r="S17" s="73"/>
      <c r="T17" s="74">
        <v>4.7028083144473767</v>
      </c>
      <c r="U17" s="74">
        <v>4.7933061652539948</v>
      </c>
      <c r="V17" s="73"/>
      <c r="W17" s="72">
        <v>15802.774995448004</v>
      </c>
      <c r="X17" s="72">
        <v>15764.111158157066</v>
      </c>
      <c r="Y17" s="73"/>
      <c r="Z17" s="74">
        <v>2.9304255161570034</v>
      </c>
      <c r="AA17" s="74">
        <v>2.9749692376857388</v>
      </c>
      <c r="AB17" s="73"/>
      <c r="AC17" s="72">
        <v>52980.998671972673</v>
      </c>
      <c r="AD17" s="72">
        <v>52102.828058358209</v>
      </c>
      <c r="AE17" s="73"/>
      <c r="AF17" s="74">
        <v>4.3276465252677818</v>
      </c>
      <c r="AG17" s="74">
        <v>4.4918935382450806</v>
      </c>
      <c r="AH17" s="73"/>
      <c r="AI17" s="72">
        <v>2309306.682436584</v>
      </c>
      <c r="AJ17" s="72">
        <v>0</v>
      </c>
      <c r="AK17" s="73"/>
      <c r="AL17" s="74">
        <v>-1639.8471306023548</v>
      </c>
      <c r="AM17" s="74">
        <v>0</v>
      </c>
      <c r="AN17" s="73"/>
      <c r="AO17" s="72">
        <v>157210.1264104892</v>
      </c>
      <c r="AP17" s="72">
        <v>0</v>
      </c>
      <c r="AQ17" s="73"/>
      <c r="AR17" s="74">
        <v>-96.710947812322658</v>
      </c>
      <c r="AS17" s="74">
        <v>0</v>
      </c>
      <c r="AT17" s="73"/>
      <c r="AU17" s="72">
        <v>28500994.704241231</v>
      </c>
      <c r="AV17" s="72">
        <v>0</v>
      </c>
      <c r="AW17" s="73"/>
      <c r="AX17" s="74">
        <v>-2163.1993025745705</v>
      </c>
      <c r="AY17" s="74">
        <v>0</v>
      </c>
      <c r="AZ17" s="73"/>
      <c r="BA17" s="72">
        <v>340083.27672366978</v>
      </c>
      <c r="BB17" s="72">
        <v>0</v>
      </c>
      <c r="BC17" s="73"/>
      <c r="BD17" s="74">
        <v>-391.80215509828361</v>
      </c>
      <c r="BE17" s="74">
        <v>0</v>
      </c>
      <c r="BF17" s="73"/>
      <c r="BG17" s="72">
        <v>13834510.662319416</v>
      </c>
      <c r="BH17" s="72">
        <v>0</v>
      </c>
      <c r="BI17" s="73"/>
      <c r="BJ17" s="74">
        <v>-2587.5120586603175</v>
      </c>
      <c r="BK17" s="74">
        <v>0</v>
      </c>
      <c r="BL17" s="73"/>
      <c r="BM17" s="72">
        <v>45142105.452131391</v>
      </c>
      <c r="BN17" s="72">
        <v>0</v>
      </c>
      <c r="BO17" s="73"/>
      <c r="BP17" s="74">
        <v>-6879.0715947478493</v>
      </c>
      <c r="BQ17" s="74">
        <v>0</v>
      </c>
      <c r="BS17" s="109">
        <f t="shared" ref="BS17" si="33">H17*WTP-E17</f>
        <v>114933.79939896188</v>
      </c>
      <c r="BT17" s="109">
        <f t="shared" ref="BT17" si="34">I17*WTP-F17</f>
        <v>115262.08613779017</v>
      </c>
      <c r="BV17" s="58">
        <f t="array" ref="BV17">SUM(IF(BS17:BT17&gt;=BS17, 1))</f>
        <v>2</v>
      </c>
      <c r="BW17" s="58">
        <f t="array" ref="BW17">SUM(IF(BS17:BT17&gt;=BT17, 1))</f>
        <v>1</v>
      </c>
      <c r="BY17" s="109">
        <f t="shared" ref="BY17" si="35">N17*WTP-K17</f>
        <v>133735.59065885056</v>
      </c>
      <c r="BZ17" s="109">
        <f t="shared" ref="BZ17" si="36">O17*WTP-L17</f>
        <v>134029.53143954722</v>
      </c>
      <c r="CB17" s="58">
        <f t="array" ref="CB17">SUM(IF(BY17:BZ17&gt;=BY17, 1))</f>
        <v>2</v>
      </c>
      <c r="CC17" s="58">
        <f t="array" ref="CC17">SUM(IF(BY17:BZ17&gt;=BZ17, 1))</f>
        <v>1</v>
      </c>
      <c r="CE17" s="109">
        <f t="shared" ref="CE17" si="37">T17*WTP-Q17</f>
        <v>91254.409976779134</v>
      </c>
      <c r="CF17" s="109">
        <f t="shared" ref="CF17" si="38">U17*WTP-R17</f>
        <v>94256.711481704027</v>
      </c>
      <c r="CH17" s="58">
        <f t="array" ref="CH17">SUM(IF(CE17:CF17&gt;=CE17, 1))</f>
        <v>2</v>
      </c>
      <c r="CI17" s="58">
        <f t="array" ref="CI17">SUM(IF(CE17:CF17&gt;=CF17, 1))</f>
        <v>1</v>
      </c>
      <c r="CK17" s="109">
        <f t="shared" ref="CK17" si="39">Z17*WTP-W17</f>
        <v>42805.735327692069</v>
      </c>
      <c r="CL17" s="109">
        <f t="shared" ref="CL17" si="40">AA17*WTP-X17</f>
        <v>43735.273595557708</v>
      </c>
      <c r="CN17" s="58">
        <f t="array" ref="CN17">SUM(IF(CK17:CL17&gt;=CK17, 1))</f>
        <v>2</v>
      </c>
      <c r="CO17" s="58">
        <f t="array" ref="CO17">SUM(IF(CK17:CL17&gt;=CL17, 1))</f>
        <v>1</v>
      </c>
      <c r="CQ17" s="109" cm="1">
        <f t="array" ref="CQ17">AF17*WTP-AC17</f>
        <v>33571.931833382958</v>
      </c>
      <c r="CR17" s="109">
        <f t="shared" ref="CR17" si="41">AG17*WTP-AD17</f>
        <v>37735.042706543405</v>
      </c>
      <c r="CT17" s="58">
        <f t="array" ref="CT17">SUM(IF(CQ17:CR17&gt;=CQ17, 1))</f>
        <v>2</v>
      </c>
      <c r="CU17" s="58">
        <f t="array" ref="CU17">SUM(IF(CQ17:CR17&gt;=CR17, 1))</f>
        <v>1</v>
      </c>
      <c r="CW17" s="109">
        <f t="shared" ref="CW17" si="42">AL17*WTP-AI17</f>
        <v>-35106249.294483677</v>
      </c>
      <c r="CX17" s="109">
        <f t="shared" ref="CX17" si="43">AM17*WTP-AJ17</f>
        <v>0</v>
      </c>
      <c r="CZ17" s="58">
        <f t="array" ref="CZ17">SUM(IF(CW17:CX17&gt;=CW17, 1))</f>
        <v>2</v>
      </c>
      <c r="DA17" s="58">
        <f t="array" ref="DA17">SUM(IF(CW17:CX17&gt;=CX17, 1))</f>
        <v>1</v>
      </c>
      <c r="DC17" s="109">
        <f t="shared" ref="DC17" si="44">AR17*WTP-AO17</f>
        <v>-2091429.0826569423</v>
      </c>
      <c r="DD17" s="109">
        <f t="shared" ref="DD17" si="45">AS17*WTP-AP17</f>
        <v>0</v>
      </c>
      <c r="DF17" s="58">
        <f t="array" ref="DF17">SUM(IF(DC17:DD17&gt;=DC17, 1))</f>
        <v>2</v>
      </c>
      <c r="DG17" s="58">
        <f t="array" ref="DG17">SUM(IF(DC17:DD17&gt;=DD17, 1))</f>
        <v>1</v>
      </c>
      <c r="DI17" s="109">
        <f t="shared" ref="DI17" si="46">AX17*WTP-AU17</f>
        <v>-71764980.755732641</v>
      </c>
      <c r="DJ17" s="109">
        <f t="shared" ref="DJ17" si="47">AY17*WTP-AV17</f>
        <v>0</v>
      </c>
      <c r="DL17" s="58">
        <f t="array" ref="DL17">SUM(IF(DI17:DJ17&gt;=DI17, 1))</f>
        <v>2</v>
      </c>
      <c r="DM17" s="58">
        <f t="array" ref="DM17">SUM(IF(DI17:DJ17&gt;=DJ17, 1))</f>
        <v>1</v>
      </c>
      <c r="DO17" s="109">
        <f t="shared" ref="DO17" si="48">BD17*WTP-BA17</f>
        <v>-8176126.3786893422</v>
      </c>
      <c r="DP17" s="109">
        <f t="shared" ref="DP17" si="49">BE17*WTP-BB17</f>
        <v>0</v>
      </c>
      <c r="DR17" s="58">
        <f t="array" ref="DR17">SUM(IF(DO17:DP17&gt;=DO17, 1))</f>
        <v>2</v>
      </c>
      <c r="DS17" s="58">
        <f t="array" ref="DS17">SUM(IF(DO17:DP17&gt;=DP17, 1))</f>
        <v>1</v>
      </c>
      <c r="DU17" s="109">
        <f t="shared" ref="DU17" si="50">BJ17*WTP-BG17</f>
        <v>-65584751.835525766</v>
      </c>
      <c r="DV17" s="109">
        <f t="shared" ref="DV17" si="51">BK17*WTP-BH17</f>
        <v>0</v>
      </c>
      <c r="DX17" s="58">
        <f t="array" ref="DX17">SUM(IF(DU17:DV17&gt;=DU17, 1))</f>
        <v>2</v>
      </c>
      <c r="DY17" s="58">
        <f t="array" ref="DY17">SUM(IF(DU17:DV17&gt;=DV17, 1))</f>
        <v>1</v>
      </c>
      <c r="EA17" s="109">
        <f t="shared" ref="EA17" si="52">BP17*WTP-BM17</f>
        <v>-182723537.34708837</v>
      </c>
      <c r="EB17" s="109">
        <f t="shared" ref="EB17" si="53">BQ17*WTP-BN17</f>
        <v>0</v>
      </c>
      <c r="ED17" s="58">
        <f t="array" ref="ED17">SUM(IF(EA17:EB17&gt;=EA17, 1))</f>
        <v>2</v>
      </c>
      <c r="EE17" s="58">
        <f t="array" ref="EE17">SUM(IF(EA17:EB17&gt;=EB17, 1))</f>
        <v>1</v>
      </c>
    </row>
    <row r="18" spans="4:135" ht="12" customHeight="1" x14ac:dyDescent="0.25">
      <c r="D18" s="11">
        <v>2</v>
      </c>
      <c r="E18" s="72">
        <v>226.6090279485656</v>
      </c>
      <c r="F18" s="72">
        <v>191.29229703591932</v>
      </c>
      <c r="G18" s="73"/>
      <c r="H18" s="74">
        <v>5.8395518522913372</v>
      </c>
      <c r="I18" s="74">
        <v>5.8576122968512507</v>
      </c>
      <c r="J18" s="73"/>
      <c r="K18" s="72">
        <v>242.3461873182172</v>
      </c>
      <c r="L18" s="72">
        <v>206.25855196905528</v>
      </c>
      <c r="M18" s="73"/>
      <c r="N18" s="74">
        <v>6.6957290438960531</v>
      </c>
      <c r="O18" s="74">
        <v>6.7117053646626426</v>
      </c>
      <c r="P18" s="73"/>
      <c r="Q18" s="72">
        <v>2817.3869827731596</v>
      </c>
      <c r="R18" s="72">
        <v>1735.5793243321216</v>
      </c>
      <c r="S18" s="73"/>
      <c r="T18" s="74">
        <v>4.936291166611956</v>
      </c>
      <c r="U18" s="74">
        <v>5.023988682750292</v>
      </c>
      <c r="V18" s="73"/>
      <c r="W18" s="72">
        <v>13651.111253119763</v>
      </c>
      <c r="X18" s="72">
        <v>13671.632246881341</v>
      </c>
      <c r="Y18" s="73"/>
      <c r="Z18" s="74">
        <v>3.1567309160792614</v>
      </c>
      <c r="AA18" s="74">
        <v>3.2211984002902647</v>
      </c>
      <c r="AB18" s="73"/>
      <c r="AC18" s="72">
        <v>49023.741003921699</v>
      </c>
      <c r="AD18" s="72">
        <v>49098.508995103788</v>
      </c>
      <c r="AE18" s="73"/>
      <c r="AF18" s="74">
        <v>4.7263295661935487</v>
      </c>
      <c r="AG18" s="74">
        <v>4.7922136741374901</v>
      </c>
      <c r="AH18" s="73"/>
      <c r="AI18" s="72">
        <v>3808942.1958090821</v>
      </c>
      <c r="AJ18" s="72">
        <v>0</v>
      </c>
      <c r="AK18" s="73"/>
      <c r="AL18" s="74">
        <v>-1947.8357022759515</v>
      </c>
      <c r="AM18" s="74">
        <v>0</v>
      </c>
      <c r="AN18" s="73"/>
      <c r="AO18" s="72">
        <v>253724.66286634433</v>
      </c>
      <c r="AP18" s="72">
        <v>0</v>
      </c>
      <c r="AQ18" s="73"/>
      <c r="AR18" s="74">
        <v>-112.32619042859051</v>
      </c>
      <c r="AS18" s="74">
        <v>0</v>
      </c>
      <c r="AT18" s="73"/>
      <c r="AU18" s="72">
        <v>25091227.131374374</v>
      </c>
      <c r="AV18" s="72">
        <v>0</v>
      </c>
      <c r="AW18" s="73"/>
      <c r="AX18" s="74">
        <v>-2034.0383792950277</v>
      </c>
      <c r="AY18" s="74">
        <v>0</v>
      </c>
      <c r="AZ18" s="73"/>
      <c r="BA18" s="72">
        <v>-183821.06184480208</v>
      </c>
      <c r="BB18" s="72">
        <v>0</v>
      </c>
      <c r="BC18" s="73"/>
      <c r="BD18" s="74">
        <v>-577.48087348077149</v>
      </c>
      <c r="BE18" s="74">
        <v>0</v>
      </c>
      <c r="BF18" s="73"/>
      <c r="BG18" s="72">
        <v>-1159990.6105923923</v>
      </c>
      <c r="BH18" s="72">
        <v>0</v>
      </c>
      <c r="BI18" s="73"/>
      <c r="BJ18" s="74">
        <v>-1022.1612938095876</v>
      </c>
      <c r="BK18" s="74">
        <v>0</v>
      </c>
      <c r="BL18" s="73"/>
      <c r="BM18" s="72">
        <v>27810082.317612607</v>
      </c>
      <c r="BN18" s="72">
        <v>0</v>
      </c>
      <c r="BO18" s="73"/>
      <c r="BP18" s="74">
        <v>-5693.8424392899287</v>
      </c>
      <c r="BQ18" s="74">
        <v>0</v>
      </c>
      <c r="BS18" s="109">
        <f t="shared" ref="BS18:BS81" si="54">H18*WTP-E18</f>
        <v>116564.42801787818</v>
      </c>
      <c r="BT18" s="109">
        <f t="shared" ref="BT18:BT81" si="55">I18*WTP-F18</f>
        <v>116960.95363998909</v>
      </c>
      <c r="BV18" s="58">
        <f t="array" ref="BV18">SUM(IF(BS18:BT18&gt;=BS18, 1))</f>
        <v>2</v>
      </c>
      <c r="BW18" s="58">
        <f t="array" ref="BW18">SUM(IF(BS18:BT18&gt;=BT18, 1))</f>
        <v>1</v>
      </c>
      <c r="BY18" s="109">
        <f t="shared" ref="BY18:BY81" si="56">N18*WTP-K18</f>
        <v>133672.23469060284</v>
      </c>
      <c r="BZ18" s="109">
        <f t="shared" ref="BZ18:BZ81" si="57">O18*WTP-L18</f>
        <v>134027.84874128381</v>
      </c>
      <c r="CB18" s="58">
        <f t="array" ref="CB18">SUM(IF(BY18:BZ18&gt;=BY18, 1))</f>
        <v>2</v>
      </c>
      <c r="CC18" s="58">
        <f t="array" ref="CC18">SUM(IF(BY18:BZ18&gt;=BZ18, 1))</f>
        <v>1</v>
      </c>
      <c r="CE18" s="109">
        <f t="shared" ref="CE18:CE81" si="58">T18*WTP-Q18</f>
        <v>95908.436349465963</v>
      </c>
      <c r="CF18" s="109">
        <f t="shared" ref="CF18:CF81" si="59">U18*WTP-R18</f>
        <v>98744.194330673708</v>
      </c>
      <c r="CH18" s="58">
        <f t="array" ref="CH18">SUM(IF(CE18:CF18&gt;=CE18, 1))</f>
        <v>2</v>
      </c>
      <c r="CI18" s="58">
        <f t="array" ref="CI18">SUM(IF(CE18:CF18&gt;=CF18, 1))</f>
        <v>1</v>
      </c>
      <c r="CK18" s="109">
        <f t="shared" ref="CK18:CK81" si="60">Z18*WTP-W18</f>
        <v>49483.507068465464</v>
      </c>
      <c r="CL18" s="109">
        <f t="shared" ref="CL18:CL81" si="61">AA18*WTP-X18</f>
        <v>50752.335758923946</v>
      </c>
      <c r="CN18" s="58">
        <f t="array" ref="CN18">SUM(IF(CK18:CL18&gt;=CK18, 1))</f>
        <v>2</v>
      </c>
      <c r="CO18" s="58">
        <f t="array" ref="CO18">SUM(IF(CK18:CL18&gt;=CL18, 1))</f>
        <v>1</v>
      </c>
      <c r="CQ18" s="109" cm="1">
        <f t="array" ref="CQ18">AF18*WTP-AC18</f>
        <v>45502.850319949277</v>
      </c>
      <c r="CR18" s="109">
        <f t="shared" ref="CR18:CR81" si="62">AG18*WTP-AD18</f>
        <v>46745.764487646018</v>
      </c>
      <c r="CT18" s="58">
        <f t="array" ref="CT18">SUM(IF(CQ18:CR18&gt;=CQ18, 1))</f>
        <v>2</v>
      </c>
      <c r="CU18" s="58">
        <f t="array" ref="CU18">SUM(IF(CQ18:CR18&gt;=CR18, 1))</f>
        <v>1</v>
      </c>
      <c r="CW18" s="109">
        <f t="shared" ref="CW18:CW81" si="63">AL18*WTP-AI18</f>
        <v>-42765656.241328113</v>
      </c>
      <c r="CX18" s="109">
        <f t="shared" ref="CX18:CX81" si="64">AM18*WTP-AJ18</f>
        <v>0</v>
      </c>
      <c r="CZ18" s="58">
        <f t="array" ref="CZ18">SUM(IF(CW18:CX18&gt;=CW18, 1))</f>
        <v>2</v>
      </c>
      <c r="DA18" s="58">
        <f t="array" ref="DA18">SUM(IF(CW18:CX18&gt;=CX18, 1))</f>
        <v>1</v>
      </c>
      <c r="DC18" s="109">
        <f t="shared" ref="DC18:DC81" si="65">AR18*WTP-AO18</f>
        <v>-2500248.4714381546</v>
      </c>
      <c r="DD18" s="109">
        <f t="shared" ref="DD18:DD81" si="66">AS18*WTP-AP18</f>
        <v>0</v>
      </c>
      <c r="DF18" s="58">
        <f t="array" ref="DF18">SUM(IF(DC18:DD18&gt;=DC18, 1))</f>
        <v>2</v>
      </c>
      <c r="DG18" s="58">
        <f t="array" ref="DG18">SUM(IF(DC18:DD18&gt;=DD18, 1))</f>
        <v>1</v>
      </c>
      <c r="DI18" s="109">
        <f t="shared" ref="DI18:DI81" si="67">AX18*WTP-AU18</f>
        <v>-65771994.717274927</v>
      </c>
      <c r="DJ18" s="109">
        <f t="shared" ref="DJ18:DJ81" si="68">AY18*WTP-AV18</f>
        <v>0</v>
      </c>
      <c r="DL18" s="58">
        <f t="array" ref="DL18">SUM(IF(DI18:DJ18&gt;=DI18, 1))</f>
        <v>2</v>
      </c>
      <c r="DM18" s="58">
        <f t="array" ref="DM18">SUM(IF(DI18:DJ18&gt;=DJ18, 1))</f>
        <v>1</v>
      </c>
      <c r="DO18" s="109">
        <f t="shared" ref="DO18:DO81" si="69">BD18*WTP-BA18</f>
        <v>-11365796.407770628</v>
      </c>
      <c r="DP18" s="109">
        <f t="shared" ref="DP18:DP81" si="70">BE18*WTP-BB18</f>
        <v>0</v>
      </c>
      <c r="DR18" s="58">
        <f t="array" ref="DR18">SUM(IF(DO18:DP18&gt;=DO18, 1))</f>
        <v>2</v>
      </c>
      <c r="DS18" s="58">
        <f t="array" ref="DS18">SUM(IF(DO18:DP18&gt;=DP18, 1))</f>
        <v>1</v>
      </c>
      <c r="DU18" s="109">
        <f t="shared" ref="DU18:DU81" si="71">BJ18*WTP-BG18</f>
        <v>-19283235.265599363</v>
      </c>
      <c r="DV18" s="109">
        <f t="shared" ref="DV18:DV81" si="72">BK18*WTP-BH18</f>
        <v>0</v>
      </c>
      <c r="DX18" s="58">
        <f t="array" ref="DX18">SUM(IF(DU18:DV18&gt;=DU18, 1))</f>
        <v>2</v>
      </c>
      <c r="DY18" s="58">
        <f t="array" ref="DY18">SUM(IF(DU18:DV18&gt;=DV18, 1))</f>
        <v>1</v>
      </c>
      <c r="EA18" s="109">
        <f t="shared" ref="EA18:EA81" si="73">BP18*WTP-BM18</f>
        <v>-141686931.1034112</v>
      </c>
      <c r="EB18" s="109">
        <f t="shared" ref="EB18:EB81" si="74">BQ18*WTP-BN18</f>
        <v>0</v>
      </c>
      <c r="ED18" s="58">
        <f t="array" ref="ED18">SUM(IF(EA18:EB18&gt;=EA18, 1))</f>
        <v>2</v>
      </c>
      <c r="EE18" s="58">
        <f t="array" ref="EE18">SUM(IF(EA18:EB18&gt;=EB18, 1))</f>
        <v>1</v>
      </c>
    </row>
    <row r="19" spans="4:135" ht="12" customHeight="1" x14ac:dyDescent="0.25">
      <c r="D19" s="11">
        <v>3</v>
      </c>
      <c r="E19" s="72">
        <v>266.4923404048069</v>
      </c>
      <c r="F19" s="72">
        <v>240.77787149249647</v>
      </c>
      <c r="G19" s="73"/>
      <c r="H19" s="74">
        <v>5.8485809863591021</v>
      </c>
      <c r="I19" s="74">
        <v>5.8716955388505845</v>
      </c>
      <c r="J19" s="73"/>
      <c r="K19" s="72">
        <v>286.01030389005444</v>
      </c>
      <c r="L19" s="72">
        <v>259.6741553934699</v>
      </c>
      <c r="M19" s="73"/>
      <c r="N19" s="74">
        <v>6.720099874581777</v>
      </c>
      <c r="O19" s="74">
        <v>6.7413593975630155</v>
      </c>
      <c r="P19" s="73"/>
      <c r="Q19" s="72">
        <v>1512.204953587818</v>
      </c>
      <c r="R19" s="72">
        <v>1145.5330382909965</v>
      </c>
      <c r="S19" s="73"/>
      <c r="T19" s="74">
        <v>4.9211175818657455</v>
      </c>
      <c r="U19" s="74">
        <v>4.992406355140524</v>
      </c>
      <c r="V19" s="73"/>
      <c r="W19" s="72">
        <v>13760.052550580565</v>
      </c>
      <c r="X19" s="72">
        <v>13687.620134819697</v>
      </c>
      <c r="Y19" s="73"/>
      <c r="Z19" s="74">
        <v>3.1356019694936146</v>
      </c>
      <c r="AA19" s="74">
        <v>3.1681817567279333</v>
      </c>
      <c r="AB19" s="73"/>
      <c r="AC19" s="72">
        <v>49865.973157018205</v>
      </c>
      <c r="AD19" s="72">
        <v>49603.268782370498</v>
      </c>
      <c r="AE19" s="73"/>
      <c r="AF19" s="74">
        <v>3.9946915601315083</v>
      </c>
      <c r="AG19" s="74">
        <v>4.0590362395794681</v>
      </c>
      <c r="AH19" s="73"/>
      <c r="AI19" s="72">
        <v>2774950.7070825039</v>
      </c>
      <c r="AJ19" s="72">
        <v>0</v>
      </c>
      <c r="AK19" s="73"/>
      <c r="AL19" s="74">
        <v>-2494.3833761010665</v>
      </c>
      <c r="AM19" s="74">
        <v>0</v>
      </c>
      <c r="AN19" s="73"/>
      <c r="AO19" s="72">
        <v>177575.03887109956</v>
      </c>
      <c r="AP19" s="72">
        <v>0</v>
      </c>
      <c r="AQ19" s="73"/>
      <c r="AR19" s="74">
        <v>-143.3452055551723</v>
      </c>
      <c r="AS19" s="74">
        <v>0</v>
      </c>
      <c r="AT19" s="73"/>
      <c r="AU19" s="72">
        <v>8629470.9365353268</v>
      </c>
      <c r="AV19" s="72">
        <v>0</v>
      </c>
      <c r="AW19" s="73"/>
      <c r="AX19" s="74">
        <v>-1677.7516123043247</v>
      </c>
      <c r="AY19" s="74">
        <v>0</v>
      </c>
      <c r="AZ19" s="73"/>
      <c r="BA19" s="72">
        <v>626443.64122843638</v>
      </c>
      <c r="BB19" s="72">
        <v>0</v>
      </c>
      <c r="BC19" s="73"/>
      <c r="BD19" s="74">
        <v>-281.77163955010116</v>
      </c>
      <c r="BE19" s="74">
        <v>0</v>
      </c>
      <c r="BF19" s="73"/>
      <c r="BG19" s="72">
        <v>4003198.2888241783</v>
      </c>
      <c r="BH19" s="72">
        <v>0</v>
      </c>
      <c r="BI19" s="73"/>
      <c r="BJ19" s="74">
        <v>-980.51092984820184</v>
      </c>
      <c r="BK19" s="74">
        <v>0</v>
      </c>
      <c r="BL19" s="73"/>
      <c r="BM19" s="72">
        <v>16211638.612541543</v>
      </c>
      <c r="BN19" s="72">
        <v>0</v>
      </c>
      <c r="BO19" s="73"/>
      <c r="BP19" s="74">
        <v>-5577.7627633588672</v>
      </c>
      <c r="BQ19" s="74">
        <v>0</v>
      </c>
      <c r="BS19" s="109">
        <f t="shared" si="54"/>
        <v>116705.12738677724</v>
      </c>
      <c r="BT19" s="109">
        <f t="shared" si="55"/>
        <v>117193.13290551919</v>
      </c>
      <c r="BV19" s="58">
        <f t="array" ref="BV19">SUM(IF(BS19:BT19&gt;=BS19, 1))</f>
        <v>2</v>
      </c>
      <c r="BW19" s="58">
        <f t="array" ref="BW19">SUM(IF(BS19:BT19&gt;=BT19, 1))</f>
        <v>1</v>
      </c>
      <c r="BY19" s="109">
        <f t="shared" si="56"/>
        <v>134115.98718774549</v>
      </c>
      <c r="BZ19" s="109">
        <f t="shared" si="57"/>
        <v>134567.51379586683</v>
      </c>
      <c r="CB19" s="58">
        <f t="array" ref="CB19">SUM(IF(BY19:BZ19&gt;=BY19, 1))</f>
        <v>2</v>
      </c>
      <c r="CC19" s="58">
        <f t="array" ref="CC19">SUM(IF(BY19:BZ19&gt;=BZ19, 1))</f>
        <v>1</v>
      </c>
      <c r="CE19" s="109">
        <f t="shared" si="58"/>
        <v>96910.1466837271</v>
      </c>
      <c r="CF19" s="109">
        <f t="shared" si="59"/>
        <v>98702.594064519479</v>
      </c>
      <c r="CH19" s="58">
        <f t="array" ref="CH19">SUM(IF(CE19:CF19&gt;=CE19, 1))</f>
        <v>2</v>
      </c>
      <c r="CI19" s="58">
        <f t="array" ref="CI19">SUM(IF(CE19:CF19&gt;=CF19, 1))</f>
        <v>1</v>
      </c>
      <c r="CK19" s="109">
        <f t="shared" si="60"/>
        <v>48951.986839291727</v>
      </c>
      <c r="CL19" s="109">
        <f t="shared" si="61"/>
        <v>49676.014999738967</v>
      </c>
      <c r="CN19" s="58">
        <f t="array" ref="CN19">SUM(IF(CK19:CL19&gt;=CK19, 1))</f>
        <v>2</v>
      </c>
      <c r="CO19" s="58">
        <f t="array" ref="CO19">SUM(IF(CK19:CL19&gt;=CL19, 1))</f>
        <v>1</v>
      </c>
      <c r="CQ19" s="109" cm="1">
        <f t="array" ref="CQ19">AF19*WTP-AC19</f>
        <v>30027.858045611967</v>
      </c>
      <c r="CR19" s="109">
        <f t="shared" si="62"/>
        <v>31577.456009218869</v>
      </c>
      <c r="CT19" s="58">
        <f t="array" ref="CT19">SUM(IF(CQ19:CR19&gt;=CQ19, 1))</f>
        <v>2</v>
      </c>
      <c r="CU19" s="58">
        <f t="array" ref="CU19">SUM(IF(CQ19:CR19&gt;=CR19, 1))</f>
        <v>1</v>
      </c>
      <c r="CW19" s="109">
        <f t="shared" si="63"/>
        <v>-52662618.229103833</v>
      </c>
      <c r="CX19" s="109">
        <f t="shared" si="64"/>
        <v>0</v>
      </c>
      <c r="CZ19" s="58">
        <f t="array" ref="CZ19">SUM(IF(CW19:CX19&gt;=CW19, 1))</f>
        <v>2</v>
      </c>
      <c r="DA19" s="58">
        <f t="array" ref="DA19">SUM(IF(CW19:CX19&gt;=CX19, 1))</f>
        <v>1</v>
      </c>
      <c r="DC19" s="109">
        <f t="shared" si="65"/>
        <v>-3044479.1499745455</v>
      </c>
      <c r="DD19" s="109">
        <f t="shared" si="66"/>
        <v>0</v>
      </c>
      <c r="DF19" s="58">
        <f t="array" ref="DF19">SUM(IF(DC19:DD19&gt;=DC19, 1))</f>
        <v>2</v>
      </c>
      <c r="DG19" s="58">
        <f t="array" ref="DG19">SUM(IF(DC19:DD19&gt;=DD19, 1))</f>
        <v>1</v>
      </c>
      <c r="DI19" s="109">
        <f t="shared" si="67"/>
        <v>-42184503.182621822</v>
      </c>
      <c r="DJ19" s="109">
        <f t="shared" si="68"/>
        <v>0</v>
      </c>
      <c r="DL19" s="58">
        <f t="array" ref="DL19">SUM(IF(DI19:DJ19&gt;=DI19, 1))</f>
        <v>2</v>
      </c>
      <c r="DM19" s="58">
        <f t="array" ref="DM19">SUM(IF(DI19:DJ19&gt;=DJ19, 1))</f>
        <v>1</v>
      </c>
      <c r="DO19" s="109">
        <f t="shared" si="69"/>
        <v>-6261876.4322304595</v>
      </c>
      <c r="DP19" s="109">
        <f t="shared" si="70"/>
        <v>0</v>
      </c>
      <c r="DR19" s="58">
        <f t="array" ref="DR19">SUM(IF(DO19:DP19&gt;=DO19, 1))</f>
        <v>2</v>
      </c>
      <c r="DS19" s="58">
        <f t="array" ref="DS19">SUM(IF(DO19:DP19&gt;=DP19, 1))</f>
        <v>1</v>
      </c>
      <c r="DU19" s="109">
        <f t="shared" si="71"/>
        <v>-23613416.885788213</v>
      </c>
      <c r="DV19" s="109">
        <f t="shared" si="72"/>
        <v>0</v>
      </c>
      <c r="DX19" s="58">
        <f t="array" ref="DX19">SUM(IF(DU19:DV19&gt;=DU19, 1))</f>
        <v>2</v>
      </c>
      <c r="DY19" s="58">
        <f t="array" ref="DY19">SUM(IF(DU19:DV19&gt;=DV19, 1))</f>
        <v>1</v>
      </c>
      <c r="EA19" s="109">
        <f t="shared" si="73"/>
        <v>-127766893.87971888</v>
      </c>
      <c r="EB19" s="109">
        <f t="shared" si="74"/>
        <v>0</v>
      </c>
      <c r="ED19" s="58">
        <f t="array" ref="ED19">SUM(IF(EA19:EB19&gt;=EA19, 1))</f>
        <v>2</v>
      </c>
      <c r="EE19" s="58">
        <f t="array" ref="EE19">SUM(IF(EA19:EB19&gt;=EB19, 1))</f>
        <v>1</v>
      </c>
    </row>
    <row r="20" spans="4:135" ht="12" customHeight="1" x14ac:dyDescent="0.25">
      <c r="D20" s="11">
        <v>4</v>
      </c>
      <c r="E20" s="72">
        <v>265.07695024456501</v>
      </c>
      <c r="F20" s="72">
        <v>239.95802182957553</v>
      </c>
      <c r="G20" s="73"/>
      <c r="H20" s="74">
        <v>5.8335203828638162</v>
      </c>
      <c r="I20" s="74">
        <v>5.851903636928931</v>
      </c>
      <c r="J20" s="73"/>
      <c r="K20" s="72">
        <v>284.44681230952227</v>
      </c>
      <c r="L20" s="72">
        <v>258.74547171714136</v>
      </c>
      <c r="M20" s="73"/>
      <c r="N20" s="74">
        <v>6.7012636301932726</v>
      </c>
      <c r="O20" s="74">
        <v>6.7175170566579725</v>
      </c>
      <c r="P20" s="73"/>
      <c r="Q20" s="72">
        <v>2253.4156217813565</v>
      </c>
      <c r="R20" s="72">
        <v>1151.7465626462185</v>
      </c>
      <c r="S20" s="73"/>
      <c r="T20" s="74">
        <v>4.7163840350631236</v>
      </c>
      <c r="U20" s="74">
        <v>4.814087006161631</v>
      </c>
      <c r="V20" s="73"/>
      <c r="W20" s="72">
        <v>10014.277636284836</v>
      </c>
      <c r="X20" s="72">
        <v>9973.5488571906026</v>
      </c>
      <c r="Y20" s="73"/>
      <c r="Z20" s="74">
        <v>2.9020776329608773</v>
      </c>
      <c r="AA20" s="74">
        <v>2.936894477893476</v>
      </c>
      <c r="AB20" s="73"/>
      <c r="AC20" s="72">
        <v>49760.308449530959</v>
      </c>
      <c r="AD20" s="72">
        <v>49462.023320176559</v>
      </c>
      <c r="AE20" s="73"/>
      <c r="AF20" s="74">
        <v>4.6473496402032195</v>
      </c>
      <c r="AG20" s="74">
        <v>4.701530904005109</v>
      </c>
      <c r="AH20" s="73"/>
      <c r="AI20" s="72">
        <v>2675687.2668988244</v>
      </c>
      <c r="AJ20" s="72">
        <v>0</v>
      </c>
      <c r="AK20" s="73"/>
      <c r="AL20" s="74">
        <v>-1958.1981370208946</v>
      </c>
      <c r="AM20" s="74">
        <v>0</v>
      </c>
      <c r="AN20" s="73"/>
      <c r="AO20" s="72">
        <v>171046.74332439876</v>
      </c>
      <c r="AP20" s="72">
        <v>0</v>
      </c>
      <c r="AQ20" s="73"/>
      <c r="AR20" s="74">
        <v>-108.16928613730195</v>
      </c>
      <c r="AS20" s="74">
        <v>0</v>
      </c>
      <c r="AT20" s="73"/>
      <c r="AU20" s="72">
        <v>26286892.124111816</v>
      </c>
      <c r="AV20" s="72">
        <v>0</v>
      </c>
      <c r="AW20" s="73"/>
      <c r="AX20" s="74">
        <v>-2331.287640489712</v>
      </c>
      <c r="AY20" s="74">
        <v>0</v>
      </c>
      <c r="AZ20" s="73"/>
      <c r="BA20" s="72">
        <v>374361.52232767839</v>
      </c>
      <c r="BB20" s="72">
        <v>0</v>
      </c>
      <c r="BC20" s="73"/>
      <c r="BD20" s="74">
        <v>-320.02155138158122</v>
      </c>
      <c r="BE20" s="74">
        <v>0</v>
      </c>
      <c r="BF20" s="73"/>
      <c r="BG20" s="72">
        <v>4712039.8473323723</v>
      </c>
      <c r="BH20" s="72">
        <v>0</v>
      </c>
      <c r="BI20" s="73"/>
      <c r="BJ20" s="74">
        <v>-855.90681159970325</v>
      </c>
      <c r="BK20" s="74">
        <v>0</v>
      </c>
      <c r="BL20" s="73"/>
      <c r="BM20" s="72">
        <v>34220027.503995091</v>
      </c>
      <c r="BN20" s="72">
        <v>0</v>
      </c>
      <c r="BO20" s="73"/>
      <c r="BP20" s="74">
        <v>-5573.5834266291931</v>
      </c>
      <c r="BQ20" s="74">
        <v>0</v>
      </c>
      <c r="BS20" s="109">
        <f t="shared" si="54"/>
        <v>116405.33070703177</v>
      </c>
      <c r="BT20" s="109">
        <f t="shared" si="55"/>
        <v>116798.11471674904</v>
      </c>
      <c r="BV20" s="58">
        <f t="array" ref="BV20">SUM(IF(BS20:BT20&gt;=BS20, 1))</f>
        <v>2</v>
      </c>
      <c r="BW20" s="58">
        <f t="array" ref="BW20">SUM(IF(BS20:BT20&gt;=BT20, 1))</f>
        <v>1</v>
      </c>
      <c r="BY20" s="109">
        <f t="shared" si="56"/>
        <v>133740.82579155592</v>
      </c>
      <c r="BZ20" s="109">
        <f t="shared" si="57"/>
        <v>134091.59566144229</v>
      </c>
      <c r="CB20" s="58">
        <f t="array" ref="CB20">SUM(IF(BY20:BZ20&gt;=BY20, 1))</f>
        <v>2</v>
      </c>
      <c r="CC20" s="58">
        <f t="array" ref="CC20">SUM(IF(BY20:BZ20&gt;=BZ20, 1))</f>
        <v>1</v>
      </c>
      <c r="CE20" s="109">
        <f t="shared" si="58"/>
        <v>92074.26507948112</v>
      </c>
      <c r="CF20" s="109">
        <f t="shared" si="59"/>
        <v>95129.993560586401</v>
      </c>
      <c r="CH20" s="58">
        <f t="array" ref="CH20">SUM(IF(CE20:CF20&gt;=CE20, 1))</f>
        <v>2</v>
      </c>
      <c r="CI20" s="58">
        <f t="array" ref="CI20">SUM(IF(CE20:CF20&gt;=CF20, 1))</f>
        <v>1</v>
      </c>
      <c r="CK20" s="109">
        <f t="shared" si="60"/>
        <v>48027.275022932707</v>
      </c>
      <c r="CL20" s="109">
        <f t="shared" si="61"/>
        <v>48764.34070067892</v>
      </c>
      <c r="CN20" s="58">
        <f t="array" ref="CN20">SUM(IF(CK20:CL20&gt;=CK20, 1))</f>
        <v>2</v>
      </c>
      <c r="CO20" s="58">
        <f t="array" ref="CO20">SUM(IF(CK20:CL20&gt;=CL20, 1))</f>
        <v>1</v>
      </c>
      <c r="CQ20" s="109" cm="1">
        <f t="array" ref="CQ20">AF20*WTP-AC20</f>
        <v>43186.684354533427</v>
      </c>
      <c r="CR20" s="109">
        <f t="shared" si="62"/>
        <v>44568.594759925625</v>
      </c>
      <c r="CT20" s="58">
        <f t="array" ref="CT20">SUM(IF(CQ20:CR20&gt;=CQ20, 1))</f>
        <v>2</v>
      </c>
      <c r="CU20" s="58">
        <f t="array" ref="CU20">SUM(IF(CQ20:CR20&gt;=CR20, 1))</f>
        <v>1</v>
      </c>
      <c r="CW20" s="109">
        <f t="shared" si="63"/>
        <v>-41839650.007316716</v>
      </c>
      <c r="CX20" s="109">
        <f t="shared" si="64"/>
        <v>0</v>
      </c>
      <c r="CZ20" s="58">
        <f t="array" ref="CZ20">SUM(IF(CW20:CX20&gt;=CW20, 1))</f>
        <v>2</v>
      </c>
      <c r="DA20" s="58">
        <f t="array" ref="DA20">SUM(IF(CW20:CX20&gt;=CX20, 1))</f>
        <v>1</v>
      </c>
      <c r="DC20" s="109">
        <f t="shared" si="65"/>
        <v>-2334432.4660704378</v>
      </c>
      <c r="DD20" s="109">
        <f t="shared" si="66"/>
        <v>0</v>
      </c>
      <c r="DF20" s="58">
        <f t="array" ref="DF20">SUM(IF(DC20:DD20&gt;=DC20, 1))</f>
        <v>2</v>
      </c>
      <c r="DG20" s="58">
        <f t="array" ref="DG20">SUM(IF(DC20:DD20&gt;=DD20, 1))</f>
        <v>1</v>
      </c>
      <c r="DI20" s="109">
        <f t="shared" si="67"/>
        <v>-72912644.933906049</v>
      </c>
      <c r="DJ20" s="109">
        <f t="shared" si="68"/>
        <v>0</v>
      </c>
      <c r="DL20" s="58">
        <f t="array" ref="DL20">SUM(IF(DI20:DJ20&gt;=DI20, 1))</f>
        <v>2</v>
      </c>
      <c r="DM20" s="58">
        <f t="array" ref="DM20">SUM(IF(DI20:DJ20&gt;=DJ20, 1))</f>
        <v>1</v>
      </c>
      <c r="DO20" s="109">
        <f t="shared" si="69"/>
        <v>-6774792.5499593029</v>
      </c>
      <c r="DP20" s="109">
        <f t="shared" si="70"/>
        <v>0</v>
      </c>
      <c r="DR20" s="58">
        <f t="array" ref="DR20">SUM(IF(DO20:DP20&gt;=DO20, 1))</f>
        <v>2</v>
      </c>
      <c r="DS20" s="58">
        <f t="array" ref="DS20">SUM(IF(DO20:DP20&gt;=DP20, 1))</f>
        <v>1</v>
      </c>
      <c r="DU20" s="109">
        <f t="shared" si="71"/>
        <v>-21830176.07932644</v>
      </c>
      <c r="DV20" s="109">
        <f t="shared" si="72"/>
        <v>0</v>
      </c>
      <c r="DX20" s="58">
        <f t="array" ref="DX20">SUM(IF(DU20:DV20&gt;=DU20, 1))</f>
        <v>2</v>
      </c>
      <c r="DY20" s="58">
        <f t="array" ref="DY20">SUM(IF(DU20:DV20&gt;=DV20, 1))</f>
        <v>1</v>
      </c>
      <c r="EA20" s="109">
        <f t="shared" si="73"/>
        <v>-145691696.03657895</v>
      </c>
      <c r="EB20" s="109">
        <f t="shared" si="74"/>
        <v>0</v>
      </c>
      <c r="ED20" s="58">
        <f t="array" ref="ED20">SUM(IF(EA20:EB20&gt;=EA20, 1))</f>
        <v>2</v>
      </c>
      <c r="EE20" s="58">
        <f t="array" ref="EE20">SUM(IF(EA20:EB20&gt;=EB20, 1))</f>
        <v>1</v>
      </c>
    </row>
    <row r="21" spans="4:135" ht="12" customHeight="1" x14ac:dyDescent="0.25">
      <c r="D21" s="11">
        <v>5</v>
      </c>
      <c r="E21" s="72">
        <v>199.29974661440463</v>
      </c>
      <c r="F21" s="72">
        <v>162.61002079729164</v>
      </c>
      <c r="G21" s="73"/>
      <c r="H21" s="74">
        <v>5.8366855766615906</v>
      </c>
      <c r="I21" s="74">
        <v>5.8562997295925241</v>
      </c>
      <c r="J21" s="73"/>
      <c r="K21" s="72">
        <v>212.82742607089287</v>
      </c>
      <c r="L21" s="72">
        <v>175.27648415548876</v>
      </c>
      <c r="M21" s="73"/>
      <c r="N21" s="74">
        <v>6.6963254816400832</v>
      </c>
      <c r="O21" s="74">
        <v>6.7137499463195232</v>
      </c>
      <c r="P21" s="73"/>
      <c r="Q21" s="72">
        <v>2058.3555231682935</v>
      </c>
      <c r="R21" s="72">
        <v>1389.9317443297516</v>
      </c>
      <c r="S21" s="73"/>
      <c r="T21" s="74">
        <v>4.9540763072682061</v>
      </c>
      <c r="U21" s="74">
        <v>5.0637688905765454</v>
      </c>
      <c r="V21" s="73"/>
      <c r="W21" s="72">
        <v>12758.916262433073</v>
      </c>
      <c r="X21" s="72">
        <v>12762.435295362659</v>
      </c>
      <c r="Y21" s="73"/>
      <c r="Z21" s="74">
        <v>2.9327299495120256</v>
      </c>
      <c r="AA21" s="74">
        <v>2.9831881708556063</v>
      </c>
      <c r="AB21" s="73"/>
      <c r="AC21" s="72">
        <v>51042.778495886654</v>
      </c>
      <c r="AD21" s="72">
        <v>50781.135114652432</v>
      </c>
      <c r="AE21" s="73"/>
      <c r="AF21" s="74">
        <v>4.7333569237916748</v>
      </c>
      <c r="AG21" s="74">
        <v>4.873085954128566</v>
      </c>
      <c r="AH21" s="73"/>
      <c r="AI21" s="72">
        <v>3998811.6009224318</v>
      </c>
      <c r="AJ21" s="72">
        <v>0</v>
      </c>
      <c r="AK21" s="73"/>
      <c r="AL21" s="74">
        <v>-2137.7456640981591</v>
      </c>
      <c r="AM21" s="74">
        <v>0</v>
      </c>
      <c r="AN21" s="73"/>
      <c r="AO21" s="72">
        <v>260800.62813472308</v>
      </c>
      <c r="AP21" s="72">
        <v>0</v>
      </c>
      <c r="AQ21" s="73"/>
      <c r="AR21" s="74">
        <v>-121.01723955544948</v>
      </c>
      <c r="AS21" s="74">
        <v>0</v>
      </c>
      <c r="AT21" s="73"/>
      <c r="AU21" s="72">
        <v>15532358.874057245</v>
      </c>
      <c r="AV21" s="72">
        <v>0</v>
      </c>
      <c r="AW21" s="73"/>
      <c r="AX21" s="74">
        <v>-2548.9586452595331</v>
      </c>
      <c r="AY21" s="74">
        <v>0</v>
      </c>
      <c r="AZ21" s="73"/>
      <c r="BA21" s="72">
        <v>-32076.078833590705</v>
      </c>
      <c r="BB21" s="72">
        <v>0</v>
      </c>
      <c r="BC21" s="73"/>
      <c r="BD21" s="74">
        <v>-459.92803079852433</v>
      </c>
      <c r="BE21" s="74">
        <v>0</v>
      </c>
      <c r="BF21" s="73"/>
      <c r="BG21" s="72">
        <v>4233983.7452597097</v>
      </c>
      <c r="BH21" s="72">
        <v>0</v>
      </c>
      <c r="BI21" s="73"/>
      <c r="BJ21" s="74">
        <v>-2261.1328457710579</v>
      </c>
      <c r="BK21" s="74">
        <v>0</v>
      </c>
      <c r="BL21" s="73"/>
      <c r="BM21" s="72">
        <v>23993878.769540519</v>
      </c>
      <c r="BN21" s="72">
        <v>0</v>
      </c>
      <c r="BO21" s="73"/>
      <c r="BP21" s="74">
        <v>-7528.7824254827237</v>
      </c>
      <c r="BQ21" s="74">
        <v>0</v>
      </c>
      <c r="BS21" s="109">
        <f t="shared" si="54"/>
        <v>116534.41178661741</v>
      </c>
      <c r="BT21" s="109">
        <f t="shared" si="55"/>
        <v>116963.38457105319</v>
      </c>
      <c r="BV21" s="58">
        <f t="array" ref="BV21">SUM(IF(BS21:BT21&gt;=BS21, 1))</f>
        <v>2</v>
      </c>
      <c r="BW21" s="58">
        <f t="array" ref="BW21">SUM(IF(BS21:BT21&gt;=BT21, 1))</f>
        <v>1</v>
      </c>
      <c r="BY21" s="109">
        <f t="shared" si="56"/>
        <v>133713.68220673077</v>
      </c>
      <c r="BZ21" s="109">
        <f t="shared" si="57"/>
        <v>134099.72244223498</v>
      </c>
      <c r="CB21" s="58">
        <f t="array" ref="CB21">SUM(IF(BY21:BZ21&gt;=BY21, 1))</f>
        <v>2</v>
      </c>
      <c r="CC21" s="58">
        <f t="array" ref="CC21">SUM(IF(BY21:BZ21&gt;=BZ21, 1))</f>
        <v>1</v>
      </c>
      <c r="CE21" s="109">
        <f t="shared" si="58"/>
        <v>97023.17062219583</v>
      </c>
      <c r="CF21" s="109">
        <f t="shared" si="59"/>
        <v>99885.446067201163</v>
      </c>
      <c r="CH21" s="58">
        <f t="array" ref="CH21">SUM(IF(CE21:CF21&gt;=CE21, 1))</f>
        <v>2</v>
      </c>
      <c r="CI21" s="58">
        <f t="array" ref="CI21">SUM(IF(CE21:CF21&gt;=CF21, 1))</f>
        <v>1</v>
      </c>
      <c r="CK21" s="109">
        <f t="shared" si="60"/>
        <v>45895.682727807442</v>
      </c>
      <c r="CL21" s="109">
        <f t="shared" si="61"/>
        <v>46901.328121749466</v>
      </c>
      <c r="CN21" s="58">
        <f t="array" ref="CN21">SUM(IF(CK21:CL21&gt;=CK21, 1))</f>
        <v>2</v>
      </c>
      <c r="CO21" s="58">
        <f t="array" ref="CO21">SUM(IF(CK21:CL21&gt;=CL21, 1))</f>
        <v>1</v>
      </c>
      <c r="CQ21" s="109" cm="1">
        <f t="array" ref="CQ21">AF21*WTP-AC21</f>
        <v>43624.359979946836</v>
      </c>
      <c r="CR21" s="109">
        <f t="shared" si="62"/>
        <v>46680.583967918887</v>
      </c>
      <c r="CT21" s="58">
        <f t="array" ref="CT21">SUM(IF(CQ21:CR21&gt;=CQ21, 1))</f>
        <v>2</v>
      </c>
      <c r="CU21" s="58">
        <f t="array" ref="CU21">SUM(IF(CQ21:CR21&gt;=CR21, 1))</f>
        <v>1</v>
      </c>
      <c r="CW21" s="109">
        <f t="shared" si="63"/>
        <v>-46753724.88288562</v>
      </c>
      <c r="CX21" s="109">
        <f t="shared" si="64"/>
        <v>0</v>
      </c>
      <c r="CZ21" s="58">
        <f t="array" ref="CZ21">SUM(IF(CW21:CX21&gt;=CW21, 1))</f>
        <v>2</v>
      </c>
      <c r="DA21" s="58">
        <f t="array" ref="DA21">SUM(IF(CW21:CX21&gt;=CX21, 1))</f>
        <v>1</v>
      </c>
      <c r="DC21" s="109">
        <f t="shared" si="65"/>
        <v>-2681145.4192437129</v>
      </c>
      <c r="DD21" s="109">
        <f t="shared" si="66"/>
        <v>0</v>
      </c>
      <c r="DF21" s="58">
        <f t="array" ref="DF21">SUM(IF(DC21:DD21&gt;=DC21, 1))</f>
        <v>2</v>
      </c>
      <c r="DG21" s="58">
        <f t="array" ref="DG21">SUM(IF(DC21:DD21&gt;=DD21, 1))</f>
        <v>1</v>
      </c>
      <c r="DI21" s="109">
        <f t="shared" si="67"/>
        <v>-66511531.77924791</v>
      </c>
      <c r="DJ21" s="109">
        <f t="shared" si="68"/>
        <v>0</v>
      </c>
      <c r="DL21" s="58">
        <f t="array" ref="DL21">SUM(IF(DI21:DJ21&gt;=DI21, 1))</f>
        <v>2</v>
      </c>
      <c r="DM21" s="58">
        <f t="array" ref="DM21">SUM(IF(DI21:DJ21&gt;=DJ21, 1))</f>
        <v>1</v>
      </c>
      <c r="DO21" s="109">
        <f t="shared" si="69"/>
        <v>-9166484.5371368956</v>
      </c>
      <c r="DP21" s="109">
        <f t="shared" si="70"/>
        <v>0</v>
      </c>
      <c r="DR21" s="58">
        <f t="array" ref="DR21">SUM(IF(DO21:DP21&gt;=DO21, 1))</f>
        <v>2</v>
      </c>
      <c r="DS21" s="58">
        <f t="array" ref="DS21">SUM(IF(DO21:DP21&gt;=DP21, 1))</f>
        <v>1</v>
      </c>
      <c r="DU21" s="109">
        <f t="shared" si="71"/>
        <v>-49456640.660680868</v>
      </c>
      <c r="DV21" s="109">
        <f t="shared" si="72"/>
        <v>0</v>
      </c>
      <c r="DX21" s="58">
        <f t="array" ref="DX21">SUM(IF(DU21:DV21&gt;=DU21, 1))</f>
        <v>2</v>
      </c>
      <c r="DY21" s="58">
        <f t="array" ref="DY21">SUM(IF(DU21:DV21&gt;=DV21, 1))</f>
        <v>1</v>
      </c>
      <c r="EA21" s="109">
        <f t="shared" si="73"/>
        <v>-174569527.27919498</v>
      </c>
      <c r="EB21" s="109">
        <f t="shared" si="74"/>
        <v>0</v>
      </c>
      <c r="ED21" s="58">
        <f t="array" ref="ED21">SUM(IF(EA21:EB21&gt;=EA21, 1))</f>
        <v>2</v>
      </c>
      <c r="EE21" s="58">
        <f t="array" ref="EE21">SUM(IF(EA21:EB21&gt;=EB21, 1))</f>
        <v>1</v>
      </c>
    </row>
    <row r="22" spans="4:135" ht="12" customHeight="1" x14ac:dyDescent="0.25">
      <c r="D22" s="11">
        <v>6</v>
      </c>
      <c r="E22" s="72">
        <v>259.2759560544967</v>
      </c>
      <c r="F22" s="72">
        <v>243.62949721349023</v>
      </c>
      <c r="G22" s="73"/>
      <c r="H22" s="74">
        <v>5.830407867774916</v>
      </c>
      <c r="I22" s="74">
        <v>5.8448302028520942</v>
      </c>
      <c r="J22" s="73"/>
      <c r="K22" s="72">
        <v>278.78176401186835</v>
      </c>
      <c r="L22" s="72">
        <v>262.73468290661202</v>
      </c>
      <c r="M22" s="73"/>
      <c r="N22" s="74">
        <v>6.6686084536656427</v>
      </c>
      <c r="O22" s="74">
        <v>6.6807561779427296</v>
      </c>
      <c r="P22" s="73"/>
      <c r="Q22" s="72">
        <v>2505.30812161309</v>
      </c>
      <c r="R22" s="72">
        <v>1540.6531352452944</v>
      </c>
      <c r="S22" s="73"/>
      <c r="T22" s="74">
        <v>4.7483210342740758</v>
      </c>
      <c r="U22" s="74">
        <v>4.8299039795251062</v>
      </c>
      <c r="V22" s="73"/>
      <c r="W22" s="72">
        <v>10959.314278804777</v>
      </c>
      <c r="X22" s="72">
        <v>10922.40869622279</v>
      </c>
      <c r="Y22" s="73"/>
      <c r="Z22" s="74">
        <v>2.8693628039525585</v>
      </c>
      <c r="AA22" s="74">
        <v>2.890162499478667</v>
      </c>
      <c r="AB22" s="73"/>
      <c r="AC22" s="72">
        <v>51416.273534079111</v>
      </c>
      <c r="AD22" s="72">
        <v>51124.357564218408</v>
      </c>
      <c r="AE22" s="73"/>
      <c r="AF22" s="74">
        <v>4.7283723228610866</v>
      </c>
      <c r="AG22" s="74">
        <v>4.8521354338277618</v>
      </c>
      <c r="AH22" s="73"/>
      <c r="AI22" s="72">
        <v>1662968.1454921777</v>
      </c>
      <c r="AJ22" s="72">
        <v>0</v>
      </c>
      <c r="AK22" s="73"/>
      <c r="AL22" s="74">
        <v>-1532.8633821030751</v>
      </c>
      <c r="AM22" s="74">
        <v>0</v>
      </c>
      <c r="AN22" s="73"/>
      <c r="AO22" s="72">
        <v>110458.9027709721</v>
      </c>
      <c r="AP22" s="72">
        <v>0</v>
      </c>
      <c r="AQ22" s="73"/>
      <c r="AR22" s="74">
        <v>-83.617966782245134</v>
      </c>
      <c r="AS22" s="74">
        <v>0</v>
      </c>
      <c r="AT22" s="73"/>
      <c r="AU22" s="72">
        <v>22128504.092270225</v>
      </c>
      <c r="AV22" s="72">
        <v>0</v>
      </c>
      <c r="AW22" s="73"/>
      <c r="AX22" s="74">
        <v>-1871.4551454757841</v>
      </c>
      <c r="AY22" s="74">
        <v>0</v>
      </c>
      <c r="AZ22" s="73"/>
      <c r="BA22" s="72">
        <v>327714.12716787081</v>
      </c>
      <c r="BB22" s="72">
        <v>0</v>
      </c>
      <c r="BC22" s="73"/>
      <c r="BD22" s="74">
        <v>-184.69709967464604</v>
      </c>
      <c r="BE22" s="74">
        <v>0</v>
      </c>
      <c r="BF22" s="73"/>
      <c r="BG22" s="72">
        <v>4662800.7197114239</v>
      </c>
      <c r="BH22" s="72">
        <v>0</v>
      </c>
      <c r="BI22" s="73"/>
      <c r="BJ22" s="74">
        <v>-1976.8795902619181</v>
      </c>
      <c r="BK22" s="74">
        <v>0</v>
      </c>
      <c r="BL22" s="73"/>
      <c r="BM22" s="72">
        <v>28892445.987412669</v>
      </c>
      <c r="BN22" s="72">
        <v>0</v>
      </c>
      <c r="BO22" s="73"/>
      <c r="BP22" s="74">
        <v>-5649.513184297668</v>
      </c>
      <c r="BQ22" s="74">
        <v>0</v>
      </c>
      <c r="BS22" s="109">
        <f t="shared" si="54"/>
        <v>116348.88139944382</v>
      </c>
      <c r="BT22" s="109">
        <f t="shared" si="55"/>
        <v>116652.97455982839</v>
      </c>
      <c r="BV22" s="58">
        <f t="array" ref="BV22">SUM(IF(BS22:BT22&gt;=BS22, 1))</f>
        <v>2</v>
      </c>
      <c r="BW22" s="58">
        <f t="array" ref="BW22">SUM(IF(BS22:BT22&gt;=BT22, 1))</f>
        <v>1</v>
      </c>
      <c r="BY22" s="109">
        <f t="shared" si="56"/>
        <v>133093.387309301</v>
      </c>
      <c r="BZ22" s="109">
        <f t="shared" si="57"/>
        <v>133352.38887594797</v>
      </c>
      <c r="CB22" s="58">
        <f t="array" ref="CB22">SUM(IF(BY22:BZ22&gt;=BY22, 1))</f>
        <v>2</v>
      </c>
      <c r="CC22" s="58">
        <f t="array" ref="CC22">SUM(IF(BY22:BZ22&gt;=BZ22, 1))</f>
        <v>1</v>
      </c>
      <c r="CE22" s="109">
        <f t="shared" si="58"/>
        <v>92461.112563868417</v>
      </c>
      <c r="CF22" s="109">
        <f t="shared" si="59"/>
        <v>95057.426455256835</v>
      </c>
      <c r="CH22" s="58">
        <f t="array" ref="CH22">SUM(IF(CE22:CF22&gt;=CE22, 1))</f>
        <v>2</v>
      </c>
      <c r="CI22" s="58">
        <f t="array" ref="CI22">SUM(IF(CE22:CF22&gt;=CF22, 1))</f>
        <v>1</v>
      </c>
      <c r="CK22" s="109">
        <f t="shared" si="60"/>
        <v>46427.941800246394</v>
      </c>
      <c r="CL22" s="109">
        <f t="shared" si="61"/>
        <v>46880.841293350553</v>
      </c>
      <c r="CN22" s="58">
        <f t="array" ref="CN22">SUM(IF(CK22:CL22&gt;=CK22, 1))</f>
        <v>2</v>
      </c>
      <c r="CO22" s="58">
        <f t="array" ref="CO22">SUM(IF(CK22:CL22&gt;=CL22, 1))</f>
        <v>1</v>
      </c>
      <c r="CQ22" s="109" cm="1">
        <f t="array" ref="CQ22">AF22*WTP-AC22</f>
        <v>43151.172923142614</v>
      </c>
      <c r="CR22" s="109">
        <f t="shared" si="62"/>
        <v>45918.35111233683</v>
      </c>
      <c r="CT22" s="58">
        <f t="array" ref="CT22">SUM(IF(CQ22:CR22&gt;=CQ22, 1))</f>
        <v>2</v>
      </c>
      <c r="CU22" s="58">
        <f t="array" ref="CU22">SUM(IF(CQ22:CR22&gt;=CR22, 1))</f>
        <v>1</v>
      </c>
      <c r="CW22" s="109">
        <f t="shared" si="63"/>
        <v>-32320235.787553679</v>
      </c>
      <c r="CX22" s="109">
        <f t="shared" si="64"/>
        <v>0</v>
      </c>
      <c r="CZ22" s="58">
        <f t="array" ref="CZ22">SUM(IF(CW22:CX22&gt;=CW22, 1))</f>
        <v>2</v>
      </c>
      <c r="DA22" s="58">
        <f t="array" ref="DA22">SUM(IF(CW22:CX22&gt;=CX22, 1))</f>
        <v>1</v>
      </c>
      <c r="DC22" s="109">
        <f t="shared" si="65"/>
        <v>-1782818.2384158748</v>
      </c>
      <c r="DD22" s="109">
        <f t="shared" si="66"/>
        <v>0</v>
      </c>
      <c r="DF22" s="58">
        <f t="array" ref="DF22">SUM(IF(DC22:DD22&gt;=DC22, 1))</f>
        <v>2</v>
      </c>
      <c r="DG22" s="58">
        <f t="array" ref="DG22">SUM(IF(DC22:DD22&gt;=DD22, 1))</f>
        <v>1</v>
      </c>
      <c r="DI22" s="109">
        <f t="shared" si="67"/>
        <v>-59557607.001785904</v>
      </c>
      <c r="DJ22" s="109">
        <f t="shared" si="68"/>
        <v>0</v>
      </c>
      <c r="DL22" s="58">
        <f t="array" ref="DL22">SUM(IF(DI22:DJ22&gt;=DI22, 1))</f>
        <v>2</v>
      </c>
      <c r="DM22" s="58">
        <f t="array" ref="DM22">SUM(IF(DI22:DJ22&gt;=DJ22, 1))</f>
        <v>1</v>
      </c>
      <c r="DO22" s="109">
        <f t="shared" si="69"/>
        <v>-4021656.1206607916</v>
      </c>
      <c r="DP22" s="109">
        <f t="shared" si="70"/>
        <v>0</v>
      </c>
      <c r="DR22" s="58">
        <f t="array" ref="DR22">SUM(IF(DO22:DP22&gt;=DO22, 1))</f>
        <v>2</v>
      </c>
      <c r="DS22" s="58">
        <f t="array" ref="DS22">SUM(IF(DO22:DP22&gt;=DP22, 1))</f>
        <v>1</v>
      </c>
      <c r="DU22" s="109">
        <f t="shared" si="71"/>
        <v>-44200392.524949782</v>
      </c>
      <c r="DV22" s="109">
        <f t="shared" si="72"/>
        <v>0</v>
      </c>
      <c r="DX22" s="58">
        <f t="array" ref="DX22">SUM(IF(DU22:DV22&gt;=DU22, 1))</f>
        <v>2</v>
      </c>
      <c r="DY22" s="58">
        <f t="array" ref="DY22">SUM(IF(DU22:DV22&gt;=DV22, 1))</f>
        <v>1</v>
      </c>
      <c r="EA22" s="109">
        <f t="shared" si="73"/>
        <v>-141882709.67336604</v>
      </c>
      <c r="EB22" s="109">
        <f t="shared" si="74"/>
        <v>0</v>
      </c>
      <c r="ED22" s="58">
        <f t="array" ref="ED22">SUM(IF(EA22:EB22&gt;=EA22, 1))</f>
        <v>2</v>
      </c>
      <c r="EE22" s="58">
        <f t="array" ref="EE22">SUM(IF(EA22:EB22&gt;=EB22, 1))</f>
        <v>1</v>
      </c>
    </row>
    <row r="23" spans="4:135" ht="12" customHeight="1" x14ac:dyDescent="0.25">
      <c r="D23" s="11">
        <v>7</v>
      </c>
      <c r="E23" s="72">
        <v>229.02525145944833</v>
      </c>
      <c r="F23" s="72">
        <v>215.04191356891332</v>
      </c>
      <c r="G23" s="73"/>
      <c r="H23" s="74">
        <v>5.8268925409223042</v>
      </c>
      <c r="I23" s="74">
        <v>5.8425451547745118</v>
      </c>
      <c r="J23" s="73"/>
      <c r="K23" s="72">
        <v>246.20504060079128</v>
      </c>
      <c r="L23" s="72">
        <v>231.88111531296832</v>
      </c>
      <c r="M23" s="73"/>
      <c r="N23" s="74">
        <v>6.6474986362134558</v>
      </c>
      <c r="O23" s="74">
        <v>6.6610232974827071</v>
      </c>
      <c r="P23" s="73"/>
      <c r="Q23" s="72">
        <v>1671.6800992762426</v>
      </c>
      <c r="R23" s="72">
        <v>1036.778834522278</v>
      </c>
      <c r="S23" s="73"/>
      <c r="T23" s="74">
        <v>4.6904693187966249</v>
      </c>
      <c r="U23" s="74">
        <v>4.7919697970254873</v>
      </c>
      <c r="V23" s="73"/>
      <c r="W23" s="72">
        <v>14915.922422315003</v>
      </c>
      <c r="X23" s="72">
        <v>14924.82840623871</v>
      </c>
      <c r="Y23" s="73"/>
      <c r="Z23" s="74">
        <v>2.8707931983007118</v>
      </c>
      <c r="AA23" s="74">
        <v>2.918014130922665</v>
      </c>
      <c r="AB23" s="73"/>
      <c r="AC23" s="72">
        <v>49281.844028457919</v>
      </c>
      <c r="AD23" s="72">
        <v>49104.115378682465</v>
      </c>
      <c r="AE23" s="73"/>
      <c r="AF23" s="74">
        <v>4.5285345632373488</v>
      </c>
      <c r="AG23" s="74">
        <v>4.6384676030749263</v>
      </c>
      <c r="AH23" s="73"/>
      <c r="AI23" s="72">
        <v>1495785.1221428972</v>
      </c>
      <c r="AJ23" s="72">
        <v>0</v>
      </c>
      <c r="AK23" s="73"/>
      <c r="AL23" s="74">
        <v>-1674.346075741149</v>
      </c>
      <c r="AM23" s="74">
        <v>0</v>
      </c>
      <c r="AN23" s="73"/>
      <c r="AO23" s="72">
        <v>98445.740000313308</v>
      </c>
      <c r="AP23" s="72">
        <v>0</v>
      </c>
      <c r="AQ23" s="73"/>
      <c r="AR23" s="74">
        <v>-92.952543395133489</v>
      </c>
      <c r="AS23" s="74">
        <v>0</v>
      </c>
      <c r="AT23" s="73"/>
      <c r="AU23" s="72">
        <v>14917695.840319917</v>
      </c>
      <c r="AV23" s="72">
        <v>0</v>
      </c>
      <c r="AW23" s="73"/>
      <c r="AX23" s="74">
        <v>-2384.864144902821</v>
      </c>
      <c r="AY23" s="74">
        <v>0</v>
      </c>
      <c r="AZ23" s="73"/>
      <c r="BA23" s="72">
        <v>-76959.36800426936</v>
      </c>
      <c r="BB23" s="72">
        <v>0</v>
      </c>
      <c r="BC23" s="73"/>
      <c r="BD23" s="74">
        <v>-408.05071761740322</v>
      </c>
      <c r="BE23" s="74">
        <v>0</v>
      </c>
      <c r="BF23" s="73"/>
      <c r="BG23" s="72">
        <v>2771171.9890417531</v>
      </c>
      <c r="BH23" s="72">
        <v>0</v>
      </c>
      <c r="BI23" s="73"/>
      <c r="BJ23" s="74">
        <v>-1714.0925846958196</v>
      </c>
      <c r="BK23" s="74">
        <v>0</v>
      </c>
      <c r="BL23" s="73"/>
      <c r="BM23" s="72">
        <v>19206139.323500611</v>
      </c>
      <c r="BN23" s="72">
        <v>0</v>
      </c>
      <c r="BO23" s="73"/>
      <c r="BP23" s="74">
        <v>-6274.3060663523265</v>
      </c>
      <c r="BQ23" s="74">
        <v>0</v>
      </c>
      <c r="BS23" s="109">
        <f t="shared" si="54"/>
        <v>116308.82556698663</v>
      </c>
      <c r="BT23" s="109">
        <f t="shared" si="55"/>
        <v>116635.86118192133</v>
      </c>
      <c r="BV23" s="58">
        <f t="array" ref="BV23">SUM(IF(BS23:BT23&gt;=BS23, 1))</f>
        <v>2</v>
      </c>
      <c r="BW23" s="58">
        <f t="array" ref="BW23">SUM(IF(BS23:BT23&gt;=BT23, 1))</f>
        <v>1</v>
      </c>
      <c r="BY23" s="109">
        <f t="shared" si="56"/>
        <v>132703.76768366832</v>
      </c>
      <c r="BZ23" s="109">
        <f t="shared" si="57"/>
        <v>132988.58483434116</v>
      </c>
      <c r="CB23" s="58">
        <f t="array" ref="CB23">SUM(IF(BY23:BZ23&gt;=BY23, 1))</f>
        <v>2</v>
      </c>
      <c r="CC23" s="58">
        <f t="array" ref="CC23">SUM(IF(BY23:BZ23&gt;=BZ23, 1))</f>
        <v>1</v>
      </c>
      <c r="CE23" s="109">
        <f t="shared" si="58"/>
        <v>92137.706276656259</v>
      </c>
      <c r="CF23" s="109">
        <f t="shared" si="59"/>
        <v>94802.617105987461</v>
      </c>
      <c r="CH23" s="58">
        <f t="array" ref="CH23">SUM(IF(CE23:CF23&gt;=CE23, 1))</f>
        <v>2</v>
      </c>
      <c r="CI23" s="58">
        <f t="array" ref="CI23">SUM(IF(CE23:CF23&gt;=CF23, 1))</f>
        <v>1</v>
      </c>
      <c r="CK23" s="109">
        <f t="shared" si="60"/>
        <v>42499.941543699235</v>
      </c>
      <c r="CL23" s="109">
        <f t="shared" si="61"/>
        <v>43435.454212214594</v>
      </c>
      <c r="CN23" s="58">
        <f t="array" ref="CN23">SUM(IF(CK23:CL23&gt;=CK23, 1))</f>
        <v>2</v>
      </c>
      <c r="CO23" s="58">
        <f t="array" ref="CO23">SUM(IF(CK23:CL23&gt;=CL23, 1))</f>
        <v>1</v>
      </c>
      <c r="CQ23" s="109" cm="1">
        <f t="array" ref="CQ23">AF23*WTP-AC23</f>
        <v>41288.847236289053</v>
      </c>
      <c r="CR23" s="109">
        <f t="shared" si="62"/>
        <v>43665.236682816067</v>
      </c>
      <c r="CT23" s="58">
        <f t="array" ref="CT23">SUM(IF(CQ23:CR23&gt;=CQ23, 1))</f>
        <v>2</v>
      </c>
      <c r="CU23" s="58">
        <f t="array" ref="CU23">SUM(IF(CQ23:CR23&gt;=CR23, 1))</f>
        <v>1</v>
      </c>
      <c r="CW23" s="109">
        <f t="shared" si="63"/>
        <v>-34982706.636965878</v>
      </c>
      <c r="CX23" s="109">
        <f t="shared" si="64"/>
        <v>0</v>
      </c>
      <c r="CZ23" s="58">
        <f t="array" ref="CZ23">SUM(IF(CW23:CX23&gt;=CW23, 1))</f>
        <v>2</v>
      </c>
      <c r="DA23" s="58">
        <f t="array" ref="DA23">SUM(IF(CW23:CX23&gt;=CX23, 1))</f>
        <v>1</v>
      </c>
      <c r="DC23" s="109">
        <f t="shared" si="65"/>
        <v>-1957496.6079029832</v>
      </c>
      <c r="DD23" s="109">
        <f t="shared" si="66"/>
        <v>0</v>
      </c>
      <c r="DF23" s="58">
        <f t="array" ref="DF23">SUM(IF(DC23:DD23&gt;=DC23, 1))</f>
        <v>2</v>
      </c>
      <c r="DG23" s="58">
        <f t="array" ref="DG23">SUM(IF(DC23:DD23&gt;=DD23, 1))</f>
        <v>1</v>
      </c>
      <c r="DI23" s="109">
        <f t="shared" si="67"/>
        <v>-62614978.738376334</v>
      </c>
      <c r="DJ23" s="109">
        <f t="shared" si="68"/>
        <v>0</v>
      </c>
      <c r="DL23" s="58">
        <f t="array" ref="DL23">SUM(IF(DI23:DJ23&gt;=DI23, 1))</f>
        <v>2</v>
      </c>
      <c r="DM23" s="58">
        <f t="array" ref="DM23">SUM(IF(DI23:DJ23&gt;=DJ23, 1))</f>
        <v>1</v>
      </c>
      <c r="DO23" s="109">
        <f t="shared" si="69"/>
        <v>-8084054.9843437951</v>
      </c>
      <c r="DP23" s="109">
        <f t="shared" si="70"/>
        <v>0</v>
      </c>
      <c r="DR23" s="58">
        <f t="array" ref="DR23">SUM(IF(DO23:DP23&gt;=DO23, 1))</f>
        <v>2</v>
      </c>
      <c r="DS23" s="58">
        <f t="array" ref="DS23">SUM(IF(DO23:DP23&gt;=DP23, 1))</f>
        <v>1</v>
      </c>
      <c r="DU23" s="109">
        <f t="shared" si="71"/>
        <v>-37053023.682958148</v>
      </c>
      <c r="DV23" s="109">
        <f t="shared" si="72"/>
        <v>0</v>
      </c>
      <c r="DX23" s="58">
        <f t="array" ref="DX23">SUM(IF(DU23:DV23&gt;=DU23, 1))</f>
        <v>2</v>
      </c>
      <c r="DY23" s="58">
        <f t="array" ref="DY23">SUM(IF(DU23:DV23&gt;=DV23, 1))</f>
        <v>1</v>
      </c>
      <c r="EA23" s="109">
        <f t="shared" si="73"/>
        <v>-144692260.65054715</v>
      </c>
      <c r="EB23" s="109">
        <f t="shared" si="74"/>
        <v>0</v>
      </c>
      <c r="ED23" s="58">
        <f t="array" ref="ED23">SUM(IF(EA23:EB23&gt;=EA23, 1))</f>
        <v>2</v>
      </c>
      <c r="EE23" s="58">
        <f t="array" ref="EE23">SUM(IF(EA23:EB23&gt;=EB23, 1))</f>
        <v>1</v>
      </c>
    </row>
    <row r="24" spans="4:135" ht="12" customHeight="1" x14ac:dyDescent="0.25">
      <c r="D24" s="11">
        <v>8</v>
      </c>
      <c r="E24" s="72">
        <v>245.65217080650885</v>
      </c>
      <c r="F24" s="72">
        <v>216.30675996572234</v>
      </c>
      <c r="G24" s="73"/>
      <c r="H24" s="74">
        <v>5.8080702000492845</v>
      </c>
      <c r="I24" s="74">
        <v>5.8243829684042856</v>
      </c>
      <c r="J24" s="73"/>
      <c r="K24" s="72">
        <v>263.16668955773775</v>
      </c>
      <c r="L24" s="72">
        <v>233.1431358504575</v>
      </c>
      <c r="M24" s="73"/>
      <c r="N24" s="74">
        <v>6.7145240307071292</v>
      </c>
      <c r="O24" s="74">
        <v>6.7285937702527034</v>
      </c>
      <c r="P24" s="73"/>
      <c r="Q24" s="72">
        <v>2764.9153123769343</v>
      </c>
      <c r="R24" s="72">
        <v>1134.3867216395402</v>
      </c>
      <c r="S24" s="73"/>
      <c r="T24" s="74">
        <v>4.6224413374851956</v>
      </c>
      <c r="U24" s="74">
        <v>4.8086423490976644</v>
      </c>
      <c r="V24" s="73"/>
      <c r="W24" s="72">
        <v>12404.984530145182</v>
      </c>
      <c r="X24" s="72">
        <v>12440.467270988051</v>
      </c>
      <c r="Y24" s="73"/>
      <c r="Z24" s="74">
        <v>2.9078756705860744</v>
      </c>
      <c r="AA24" s="74">
        <v>2.9644884558967592</v>
      </c>
      <c r="AB24" s="73"/>
      <c r="AC24" s="72">
        <v>50328.991742650564</v>
      </c>
      <c r="AD24" s="72">
        <v>49892.540570727411</v>
      </c>
      <c r="AE24" s="73"/>
      <c r="AF24" s="74">
        <v>4.3493164862432199</v>
      </c>
      <c r="AG24" s="74">
        <v>4.4496720178912152</v>
      </c>
      <c r="AH24" s="73"/>
      <c r="AI24" s="72">
        <v>3160249.2858710671</v>
      </c>
      <c r="AJ24" s="72">
        <v>0</v>
      </c>
      <c r="AK24" s="73"/>
      <c r="AL24" s="74">
        <v>-1756.7453672456591</v>
      </c>
      <c r="AM24" s="74">
        <v>0</v>
      </c>
      <c r="AN24" s="73"/>
      <c r="AO24" s="72">
        <v>214190.94079178074</v>
      </c>
      <c r="AP24" s="72">
        <v>0</v>
      </c>
      <c r="AQ24" s="73"/>
      <c r="AR24" s="74">
        <v>-100.37488497676107</v>
      </c>
      <c r="AS24" s="74">
        <v>0</v>
      </c>
      <c r="AT24" s="73"/>
      <c r="AU24" s="72">
        <v>38401616.192813486</v>
      </c>
      <c r="AV24" s="72">
        <v>0</v>
      </c>
      <c r="AW24" s="73"/>
      <c r="AX24" s="74">
        <v>-4385.3384867185387</v>
      </c>
      <c r="AY24" s="74">
        <v>0</v>
      </c>
      <c r="AZ24" s="73"/>
      <c r="BA24" s="72">
        <v>-320213.01633481751</v>
      </c>
      <c r="BB24" s="72">
        <v>0</v>
      </c>
      <c r="BC24" s="73"/>
      <c r="BD24" s="74">
        <v>-510.9005199944541</v>
      </c>
      <c r="BE24" s="74">
        <v>0</v>
      </c>
      <c r="BF24" s="73"/>
      <c r="BG24" s="72">
        <v>6839246.1262714984</v>
      </c>
      <c r="BH24" s="72">
        <v>0</v>
      </c>
      <c r="BI24" s="73"/>
      <c r="BJ24" s="74">
        <v>-1572.5841175981964</v>
      </c>
      <c r="BK24" s="74">
        <v>0</v>
      </c>
      <c r="BL24" s="73"/>
      <c r="BM24" s="72">
        <v>48295089.529413015</v>
      </c>
      <c r="BN24" s="72">
        <v>0</v>
      </c>
      <c r="BO24" s="73"/>
      <c r="BP24" s="74">
        <v>-8325.9433765336089</v>
      </c>
      <c r="BQ24" s="74">
        <v>0</v>
      </c>
      <c r="BS24" s="109">
        <f t="shared" si="54"/>
        <v>115915.75183017917</v>
      </c>
      <c r="BT24" s="109">
        <f t="shared" si="55"/>
        <v>116271.35260812</v>
      </c>
      <c r="BV24" s="58">
        <f t="array" ref="BV24">SUM(IF(BS24:BT24&gt;=BS24, 1))</f>
        <v>2</v>
      </c>
      <c r="BW24" s="58">
        <f t="array" ref="BW24">SUM(IF(BS24:BT24&gt;=BT24, 1))</f>
        <v>1</v>
      </c>
      <c r="BY24" s="109">
        <f t="shared" si="56"/>
        <v>134027.31392458483</v>
      </c>
      <c r="BZ24" s="109">
        <f t="shared" si="57"/>
        <v>134338.73226920361</v>
      </c>
      <c r="CB24" s="58">
        <f t="array" ref="CB24">SUM(IF(BY24:BZ24&gt;=BY24, 1))</f>
        <v>2</v>
      </c>
      <c r="CC24" s="58">
        <f t="array" ref="CC24">SUM(IF(BY24:BZ24&gt;=BZ24, 1))</f>
        <v>1</v>
      </c>
      <c r="CE24" s="109">
        <f t="shared" si="58"/>
        <v>89683.911437326969</v>
      </c>
      <c r="CF24" s="109">
        <f t="shared" si="59"/>
        <v>95038.460260313746</v>
      </c>
      <c r="CH24" s="58">
        <f t="array" ref="CH24">SUM(IF(CE24:CF24&gt;=CE24, 1))</f>
        <v>2</v>
      </c>
      <c r="CI24" s="58">
        <f t="array" ref="CI24">SUM(IF(CE24:CF24&gt;=CF24, 1))</f>
        <v>1</v>
      </c>
      <c r="CK24" s="109">
        <f t="shared" si="60"/>
        <v>45752.528881576305</v>
      </c>
      <c r="CL24" s="109">
        <f t="shared" si="61"/>
        <v>46849.301846947128</v>
      </c>
      <c r="CN24" s="58">
        <f t="array" ref="CN24">SUM(IF(CK24:CL24&gt;=CK24, 1))</f>
        <v>2</v>
      </c>
      <c r="CO24" s="58">
        <f t="array" ref="CO24">SUM(IF(CK24:CL24&gt;=CL24, 1))</f>
        <v>1</v>
      </c>
      <c r="CQ24" s="109" cm="1">
        <f t="array" ref="CQ24">AF24*WTP-AC24</f>
        <v>36657.33798221383</v>
      </c>
      <c r="CR24" s="109">
        <f t="shared" si="62"/>
        <v>39100.899787096896</v>
      </c>
      <c r="CT24" s="58">
        <f t="array" ref="CT24">SUM(IF(CQ24:CR24&gt;=CQ24, 1))</f>
        <v>2</v>
      </c>
      <c r="CU24" s="58">
        <f t="array" ref="CU24">SUM(IF(CQ24:CR24&gt;=CR24, 1))</f>
        <v>1</v>
      </c>
      <c r="CW24" s="109">
        <f t="shared" si="63"/>
        <v>-38295156.630784251</v>
      </c>
      <c r="CX24" s="109">
        <f t="shared" si="64"/>
        <v>0</v>
      </c>
      <c r="CZ24" s="58">
        <f t="array" ref="CZ24">SUM(IF(CW24:CX24&gt;=CW24, 1))</f>
        <v>2</v>
      </c>
      <c r="DA24" s="58">
        <f t="array" ref="DA24">SUM(IF(CW24:CX24&gt;=CX24, 1))</f>
        <v>1</v>
      </c>
      <c r="DC24" s="109">
        <f t="shared" si="65"/>
        <v>-2221688.6403270019</v>
      </c>
      <c r="DD24" s="109">
        <f t="shared" si="66"/>
        <v>0</v>
      </c>
      <c r="DF24" s="58">
        <f t="array" ref="DF24">SUM(IF(DC24:DD24&gt;=DC24, 1))</f>
        <v>2</v>
      </c>
      <c r="DG24" s="58">
        <f t="array" ref="DG24">SUM(IF(DC24:DD24&gt;=DD24, 1))</f>
        <v>1</v>
      </c>
      <c r="DI24" s="109">
        <f t="shared" si="67"/>
        <v>-126108385.92718425</v>
      </c>
      <c r="DJ24" s="109">
        <f t="shared" si="68"/>
        <v>0</v>
      </c>
      <c r="DL24" s="58">
        <f t="array" ref="DL24">SUM(IF(DI24:DJ24&gt;=DI24, 1))</f>
        <v>2</v>
      </c>
      <c r="DM24" s="58">
        <f t="array" ref="DM24">SUM(IF(DI24:DJ24&gt;=DJ24, 1))</f>
        <v>1</v>
      </c>
      <c r="DO24" s="109">
        <f t="shared" si="69"/>
        <v>-9897797.3835542649</v>
      </c>
      <c r="DP24" s="109">
        <f t="shared" si="70"/>
        <v>0</v>
      </c>
      <c r="DR24" s="58">
        <f t="array" ref="DR24">SUM(IF(DO24:DP24&gt;=DO24, 1))</f>
        <v>2</v>
      </c>
      <c r="DS24" s="58">
        <f t="array" ref="DS24">SUM(IF(DO24:DP24&gt;=DP24, 1))</f>
        <v>1</v>
      </c>
      <c r="DU24" s="109">
        <f t="shared" si="71"/>
        <v>-38290928.478235424</v>
      </c>
      <c r="DV24" s="109">
        <f t="shared" si="72"/>
        <v>0</v>
      </c>
      <c r="DX24" s="58">
        <f t="array" ref="DX24">SUM(IF(DU24:DV24&gt;=DU24, 1))</f>
        <v>2</v>
      </c>
      <c r="DY24" s="58">
        <f t="array" ref="DY24">SUM(IF(DU24:DV24&gt;=DV24, 1))</f>
        <v>1</v>
      </c>
      <c r="EA24" s="109">
        <f t="shared" si="73"/>
        <v>-214813957.06008521</v>
      </c>
      <c r="EB24" s="109">
        <f t="shared" si="74"/>
        <v>0</v>
      </c>
      <c r="ED24" s="58">
        <f t="array" ref="ED24">SUM(IF(EA24:EB24&gt;=EA24, 1))</f>
        <v>2</v>
      </c>
      <c r="EE24" s="58">
        <f t="array" ref="EE24">SUM(IF(EA24:EB24&gt;=EB24, 1))</f>
        <v>1</v>
      </c>
    </row>
    <row r="25" spans="4:135" ht="12" customHeight="1" x14ac:dyDescent="0.25">
      <c r="D25" s="11">
        <v>9</v>
      </c>
      <c r="E25" s="72">
        <v>336.82066006078003</v>
      </c>
      <c r="F25" s="72">
        <v>315.86620973716862</v>
      </c>
      <c r="G25" s="73"/>
      <c r="H25" s="74">
        <v>5.8245822934299047</v>
      </c>
      <c r="I25" s="74">
        <v>5.840305858509268</v>
      </c>
      <c r="J25" s="73"/>
      <c r="K25" s="72">
        <v>362.11245886268011</v>
      </c>
      <c r="L25" s="72">
        <v>340.62570629624042</v>
      </c>
      <c r="M25" s="73"/>
      <c r="N25" s="74">
        <v>6.7595035552500606</v>
      </c>
      <c r="O25" s="74">
        <v>6.7731307377162597</v>
      </c>
      <c r="P25" s="73"/>
      <c r="Q25" s="72">
        <v>2602.6016925714393</v>
      </c>
      <c r="R25" s="72">
        <v>1672.6645870857417</v>
      </c>
      <c r="S25" s="73"/>
      <c r="T25" s="74">
        <v>4.7052517825874034</v>
      </c>
      <c r="U25" s="74">
        <v>4.781239873429362</v>
      </c>
      <c r="V25" s="73"/>
      <c r="W25" s="72">
        <v>11397.410269613758</v>
      </c>
      <c r="X25" s="72">
        <v>11389.552817659056</v>
      </c>
      <c r="Y25" s="73"/>
      <c r="Z25" s="74">
        <v>3.0975961175123179</v>
      </c>
      <c r="AA25" s="74">
        <v>3.1429135470440728</v>
      </c>
      <c r="AB25" s="73"/>
      <c r="AC25" s="72">
        <v>50703.188552372056</v>
      </c>
      <c r="AD25" s="72">
        <v>50308.166779393148</v>
      </c>
      <c r="AE25" s="73"/>
      <c r="AF25" s="74">
        <v>4.8902818569864879</v>
      </c>
      <c r="AG25" s="74">
        <v>5.092190395201742</v>
      </c>
      <c r="AH25" s="73"/>
      <c r="AI25" s="72">
        <v>2266345.0233087274</v>
      </c>
      <c r="AJ25" s="72">
        <v>0</v>
      </c>
      <c r="AK25" s="73"/>
      <c r="AL25" s="74">
        <v>-1700.5945236431387</v>
      </c>
      <c r="AM25" s="74">
        <v>0</v>
      </c>
      <c r="AN25" s="73"/>
      <c r="AO25" s="72">
        <v>150872.16792206233</v>
      </c>
      <c r="AP25" s="72">
        <v>0</v>
      </c>
      <c r="AQ25" s="73"/>
      <c r="AR25" s="74">
        <v>-95.685122960656031</v>
      </c>
      <c r="AS25" s="74">
        <v>0</v>
      </c>
      <c r="AT25" s="73"/>
      <c r="AU25" s="72">
        <v>21570698.352757648</v>
      </c>
      <c r="AV25" s="72">
        <v>0</v>
      </c>
      <c r="AW25" s="73"/>
      <c r="AX25" s="74">
        <v>-1762.6097252004358</v>
      </c>
      <c r="AY25" s="74">
        <v>0</v>
      </c>
      <c r="AZ25" s="73"/>
      <c r="BA25" s="72">
        <v>70934.239127046574</v>
      </c>
      <c r="BB25" s="72">
        <v>0</v>
      </c>
      <c r="BC25" s="73"/>
      <c r="BD25" s="74">
        <v>-409.10939087638849</v>
      </c>
      <c r="BE25" s="74">
        <v>0</v>
      </c>
      <c r="BF25" s="73"/>
      <c r="BG25" s="72">
        <v>6118086.7271254435</v>
      </c>
      <c r="BH25" s="72">
        <v>0</v>
      </c>
      <c r="BI25" s="73"/>
      <c r="BJ25" s="74">
        <v>-3127.1540766792277</v>
      </c>
      <c r="BK25" s="74">
        <v>0</v>
      </c>
      <c r="BL25" s="73"/>
      <c r="BM25" s="72">
        <v>30176936.510240927</v>
      </c>
      <c r="BN25" s="72">
        <v>0</v>
      </c>
      <c r="BO25" s="73"/>
      <c r="BP25" s="74">
        <v>-7095.1528393598473</v>
      </c>
      <c r="BQ25" s="74">
        <v>0</v>
      </c>
      <c r="BS25" s="109">
        <f t="shared" si="54"/>
        <v>116154.82520853731</v>
      </c>
      <c r="BT25" s="109">
        <f t="shared" si="55"/>
        <v>116490.25096044819</v>
      </c>
      <c r="BV25" s="58">
        <f t="array" ref="BV25">SUM(IF(BS25:BT25&gt;=BS25, 1))</f>
        <v>2</v>
      </c>
      <c r="BW25" s="58">
        <f t="array" ref="BW25">SUM(IF(BS25:BT25&gt;=BT25, 1))</f>
        <v>1</v>
      </c>
      <c r="BY25" s="109">
        <f t="shared" si="56"/>
        <v>134827.95864613852</v>
      </c>
      <c r="BZ25" s="109">
        <f t="shared" si="57"/>
        <v>135121.98904802895</v>
      </c>
      <c r="CB25" s="58">
        <f t="array" ref="CB25">SUM(IF(BY25:BZ25&gt;=BY25, 1))</f>
        <v>2</v>
      </c>
      <c r="CC25" s="58">
        <f t="array" ref="CC25">SUM(IF(BY25:BZ25&gt;=BZ25, 1))</f>
        <v>1</v>
      </c>
      <c r="CE25" s="109">
        <f t="shared" si="58"/>
        <v>91502.433959176633</v>
      </c>
      <c r="CF25" s="109">
        <f t="shared" si="59"/>
        <v>93952.132881501486</v>
      </c>
      <c r="CH25" s="58">
        <f t="array" ref="CH25">SUM(IF(CE25:CF25&gt;=CE25, 1))</f>
        <v>2</v>
      </c>
      <c r="CI25" s="58">
        <f t="array" ref="CI25">SUM(IF(CE25:CF25&gt;=CF25, 1))</f>
        <v>1</v>
      </c>
      <c r="CK25" s="109">
        <f t="shared" si="60"/>
        <v>50554.512080632601</v>
      </c>
      <c r="CL25" s="109">
        <f t="shared" si="61"/>
        <v>51468.718123222396</v>
      </c>
      <c r="CN25" s="58">
        <f t="array" ref="CN25">SUM(IF(CK25:CL25&gt;=CK25, 1))</f>
        <v>2</v>
      </c>
      <c r="CO25" s="58">
        <f t="array" ref="CO25">SUM(IF(CK25:CL25&gt;=CL25, 1))</f>
        <v>1</v>
      </c>
      <c r="CQ25" s="109" cm="1">
        <f t="array" ref="CQ25">AF25*WTP-AC25</f>
        <v>47102.448587357707</v>
      </c>
      <c r="CR25" s="109">
        <f t="shared" si="62"/>
        <v>51535.64112464169</v>
      </c>
      <c r="CT25" s="58">
        <f t="array" ref="CT25">SUM(IF(CQ25:CR25&gt;=CQ25, 1))</f>
        <v>2</v>
      </c>
      <c r="CU25" s="58">
        <f t="array" ref="CU25">SUM(IF(CQ25:CR25&gt;=CR25, 1))</f>
        <v>1</v>
      </c>
      <c r="CW25" s="109">
        <f t="shared" si="63"/>
        <v>-36278235.496171497</v>
      </c>
      <c r="CX25" s="109">
        <f t="shared" si="64"/>
        <v>0</v>
      </c>
      <c r="CZ25" s="58">
        <f t="array" ref="CZ25">SUM(IF(CW25:CX25&gt;=CW25, 1))</f>
        <v>2</v>
      </c>
      <c r="DA25" s="58">
        <f t="array" ref="DA25">SUM(IF(CW25:CX25&gt;=CX25, 1))</f>
        <v>1</v>
      </c>
      <c r="DC25" s="109">
        <f t="shared" si="65"/>
        <v>-2064574.627135183</v>
      </c>
      <c r="DD25" s="109">
        <f t="shared" si="66"/>
        <v>0</v>
      </c>
      <c r="DF25" s="58">
        <f t="array" ref="DF25">SUM(IF(DC25:DD25&gt;=DC25, 1))</f>
        <v>2</v>
      </c>
      <c r="DG25" s="58">
        <f t="array" ref="DG25">SUM(IF(DC25:DD25&gt;=DD25, 1))</f>
        <v>1</v>
      </c>
      <c r="DI25" s="109">
        <f t="shared" si="67"/>
        <v>-56822892.856766365</v>
      </c>
      <c r="DJ25" s="109">
        <f t="shared" si="68"/>
        <v>0</v>
      </c>
      <c r="DL25" s="58">
        <f t="array" ref="DL25">SUM(IF(DI25:DJ25&gt;=DI25, 1))</f>
        <v>2</v>
      </c>
      <c r="DM25" s="58">
        <f t="array" ref="DM25">SUM(IF(DI25:DJ25&gt;=DJ25, 1))</f>
        <v>1</v>
      </c>
      <c r="DO25" s="109">
        <f t="shared" si="69"/>
        <v>-8253122.0566548165</v>
      </c>
      <c r="DP25" s="109">
        <f t="shared" si="70"/>
        <v>0</v>
      </c>
      <c r="DR25" s="58">
        <f t="array" ref="DR25">SUM(IF(DO25:DP25&gt;=DO25, 1))</f>
        <v>2</v>
      </c>
      <c r="DS25" s="58">
        <f t="array" ref="DS25">SUM(IF(DO25:DP25&gt;=DP25, 1))</f>
        <v>1</v>
      </c>
      <c r="DU25" s="109">
        <f t="shared" si="71"/>
        <v>-68661168.260710001</v>
      </c>
      <c r="DV25" s="109">
        <f t="shared" si="72"/>
        <v>0</v>
      </c>
      <c r="DX25" s="58">
        <f t="array" ref="DX25">SUM(IF(DU25:DV25&gt;=DU25, 1))</f>
        <v>2</v>
      </c>
      <c r="DY25" s="58">
        <f t="array" ref="DY25">SUM(IF(DU25:DV25&gt;=DV25, 1))</f>
        <v>1</v>
      </c>
      <c r="EA25" s="109">
        <f t="shared" si="73"/>
        <v>-172079993.29743785</v>
      </c>
      <c r="EB25" s="109">
        <f t="shared" si="74"/>
        <v>0</v>
      </c>
      <c r="ED25" s="58">
        <f t="array" ref="ED25">SUM(IF(EA25:EB25&gt;=EA25, 1))</f>
        <v>2</v>
      </c>
      <c r="EE25" s="58">
        <f t="array" ref="EE25">SUM(IF(EA25:EB25&gt;=EB25, 1))</f>
        <v>1</v>
      </c>
    </row>
    <row r="26" spans="4:135" ht="12" customHeight="1" x14ac:dyDescent="0.25">
      <c r="D26" s="11">
        <v>10</v>
      </c>
      <c r="E26" s="72">
        <v>250.44065878229713</v>
      </c>
      <c r="F26" s="72">
        <v>226.20045852230371</v>
      </c>
      <c r="G26" s="73"/>
      <c r="H26" s="74">
        <v>5.8171559777969701</v>
      </c>
      <c r="I26" s="74">
        <v>5.8368586960301254</v>
      </c>
      <c r="J26" s="73"/>
      <c r="K26" s="72">
        <v>268.73843066609089</v>
      </c>
      <c r="L26" s="72">
        <v>243.91427137052051</v>
      </c>
      <c r="M26" s="73"/>
      <c r="N26" s="74">
        <v>6.7346479272031008</v>
      </c>
      <c r="O26" s="74">
        <v>6.7521652523261659</v>
      </c>
      <c r="P26" s="73"/>
      <c r="Q26" s="72">
        <v>1521.0789156913679</v>
      </c>
      <c r="R26" s="72">
        <v>1044.2433950479301</v>
      </c>
      <c r="S26" s="73"/>
      <c r="T26" s="74">
        <v>4.9254497402089052</v>
      </c>
      <c r="U26" s="74">
        <v>4.9822410666531249</v>
      </c>
      <c r="V26" s="73"/>
      <c r="W26" s="72">
        <v>12877.293493376648</v>
      </c>
      <c r="X26" s="72">
        <v>12833.579674548775</v>
      </c>
      <c r="Y26" s="73"/>
      <c r="Z26" s="74">
        <v>3.1002555219542693</v>
      </c>
      <c r="AA26" s="74">
        <v>3.1501308487235002</v>
      </c>
      <c r="AB26" s="73"/>
      <c r="AC26" s="72">
        <v>49556.260680001455</v>
      </c>
      <c r="AD26" s="72">
        <v>49105.916474655831</v>
      </c>
      <c r="AE26" s="73"/>
      <c r="AF26" s="74">
        <v>4.0177339707128921</v>
      </c>
      <c r="AG26" s="74">
        <v>4.129264181297148</v>
      </c>
      <c r="AH26" s="73"/>
      <c r="AI26" s="72">
        <v>2602609.1385433828</v>
      </c>
      <c r="AJ26" s="72">
        <v>0</v>
      </c>
      <c r="AK26" s="73"/>
      <c r="AL26" s="74">
        <v>-2115.4311423897934</v>
      </c>
      <c r="AM26" s="74">
        <v>0</v>
      </c>
      <c r="AN26" s="73"/>
      <c r="AO26" s="72">
        <v>169142.27041162885</v>
      </c>
      <c r="AP26" s="72">
        <v>0</v>
      </c>
      <c r="AQ26" s="73"/>
      <c r="AR26" s="74">
        <v>-119.35631364493406</v>
      </c>
      <c r="AS26" s="74">
        <v>0</v>
      </c>
      <c r="AT26" s="73"/>
      <c r="AU26" s="72">
        <v>10663029.492559602</v>
      </c>
      <c r="AV26" s="72">
        <v>0</v>
      </c>
      <c r="AW26" s="73"/>
      <c r="AX26" s="74">
        <v>-1269.9716413306351</v>
      </c>
      <c r="AY26" s="74">
        <v>0</v>
      </c>
      <c r="AZ26" s="73"/>
      <c r="BA26" s="72">
        <v>384647.11844923883</v>
      </c>
      <c r="BB26" s="72">
        <v>0</v>
      </c>
      <c r="BC26" s="73"/>
      <c r="BD26" s="74">
        <v>-438.86352732162413</v>
      </c>
      <c r="BE26" s="74">
        <v>0</v>
      </c>
      <c r="BF26" s="73"/>
      <c r="BG26" s="72">
        <v>7154142.9641942121</v>
      </c>
      <c r="BH26" s="72">
        <v>0</v>
      </c>
      <c r="BI26" s="73"/>
      <c r="BJ26" s="74">
        <v>-1771.7627136649626</v>
      </c>
      <c r="BK26" s="74">
        <v>0</v>
      </c>
      <c r="BL26" s="73"/>
      <c r="BM26" s="72">
        <v>20973570.984158065</v>
      </c>
      <c r="BN26" s="72">
        <v>0</v>
      </c>
      <c r="BO26" s="73"/>
      <c r="BP26" s="74">
        <v>-5715.385338351949</v>
      </c>
      <c r="BQ26" s="74">
        <v>0</v>
      </c>
      <c r="BS26" s="109">
        <f t="shared" si="54"/>
        <v>116092.67889715709</v>
      </c>
      <c r="BT26" s="109">
        <f t="shared" si="55"/>
        <v>116510.9734620802</v>
      </c>
      <c r="BV26" s="58">
        <f t="array" ref="BV26">SUM(IF(BS26:BT26&gt;=BS26, 1))</f>
        <v>2</v>
      </c>
      <c r="BW26" s="58">
        <f t="array" ref="BW26">SUM(IF(BS26:BT26&gt;=BT26, 1))</f>
        <v>1</v>
      </c>
      <c r="BY26" s="109">
        <f t="shared" si="56"/>
        <v>134424.22011339592</v>
      </c>
      <c r="BZ26" s="109">
        <f t="shared" si="57"/>
        <v>134799.3907751528</v>
      </c>
      <c r="CB26" s="58">
        <f t="array" ref="CB26">SUM(IF(BY26:BZ26&gt;=BY26, 1))</f>
        <v>2</v>
      </c>
      <c r="CC26" s="58">
        <f t="array" ref="CC26">SUM(IF(BY26:BZ26&gt;=BZ26, 1))</f>
        <v>1</v>
      </c>
      <c r="CE26" s="109">
        <f t="shared" si="58"/>
        <v>96987.915888486736</v>
      </c>
      <c r="CF26" s="109">
        <f t="shared" si="59"/>
        <v>98600.577938014569</v>
      </c>
      <c r="CH26" s="58">
        <f t="array" ref="CH26">SUM(IF(CE26:CF26&gt;=CE26, 1))</f>
        <v>2</v>
      </c>
      <c r="CI26" s="58">
        <f t="array" ref="CI26">SUM(IF(CE26:CF26&gt;=CF26, 1))</f>
        <v>1</v>
      </c>
      <c r="CK26" s="109">
        <f t="shared" si="60"/>
        <v>49127.816945708735</v>
      </c>
      <c r="CL26" s="109">
        <f t="shared" si="61"/>
        <v>50169.037299921227</v>
      </c>
      <c r="CN26" s="58">
        <f t="array" ref="CN26">SUM(IF(CK26:CL26&gt;=CK26, 1))</f>
        <v>2</v>
      </c>
      <c r="CO26" s="58">
        <f t="array" ref="CO26">SUM(IF(CK26:CL26&gt;=CL26, 1))</f>
        <v>1</v>
      </c>
      <c r="CQ26" s="109" cm="1">
        <f t="array" ref="CQ26">AF26*WTP-AC26</f>
        <v>30798.418734256389</v>
      </c>
      <c r="CR26" s="109">
        <f t="shared" si="62"/>
        <v>33479.36715128713</v>
      </c>
      <c r="CT26" s="58">
        <f t="array" ref="CT26">SUM(IF(CQ26:CR26&gt;=CQ26, 1))</f>
        <v>2</v>
      </c>
      <c r="CU26" s="58">
        <f t="array" ref="CU26">SUM(IF(CQ26:CR26&gt;=CR26, 1))</f>
        <v>1</v>
      </c>
      <c r="CW26" s="109">
        <f t="shared" si="63"/>
        <v>-44911231.986339249</v>
      </c>
      <c r="CX26" s="109">
        <f t="shared" si="64"/>
        <v>0</v>
      </c>
      <c r="CZ26" s="58">
        <f t="array" ref="CZ26">SUM(IF(CW26:CX26&gt;=CW26, 1))</f>
        <v>2</v>
      </c>
      <c r="DA26" s="58">
        <f t="array" ref="DA26">SUM(IF(CW26:CX26&gt;=CX26, 1))</f>
        <v>1</v>
      </c>
      <c r="DC26" s="109">
        <f t="shared" si="65"/>
        <v>-2556268.5433103102</v>
      </c>
      <c r="DD26" s="109">
        <f t="shared" si="66"/>
        <v>0</v>
      </c>
      <c r="DF26" s="58">
        <f t="array" ref="DF26">SUM(IF(DC26:DD26&gt;=DC26, 1))</f>
        <v>2</v>
      </c>
      <c r="DG26" s="58">
        <f t="array" ref="DG26">SUM(IF(DC26:DD26&gt;=DD26, 1))</f>
        <v>1</v>
      </c>
      <c r="DI26" s="109">
        <f t="shared" si="67"/>
        <v>-36062462.3191723</v>
      </c>
      <c r="DJ26" s="109">
        <f t="shared" si="68"/>
        <v>0</v>
      </c>
      <c r="DL26" s="58">
        <f t="array" ref="DL26">SUM(IF(DI26:DJ26&gt;=DI26, 1))</f>
        <v>2</v>
      </c>
      <c r="DM26" s="58">
        <f t="array" ref="DM26">SUM(IF(DI26:DJ26&gt;=DJ26, 1))</f>
        <v>1</v>
      </c>
      <c r="DO26" s="109">
        <f t="shared" si="69"/>
        <v>-9161917.6648817211</v>
      </c>
      <c r="DP26" s="109">
        <f t="shared" si="70"/>
        <v>0</v>
      </c>
      <c r="DR26" s="58">
        <f t="array" ref="DR26">SUM(IF(DO26:DP26&gt;=DO26, 1))</f>
        <v>2</v>
      </c>
      <c r="DS26" s="58">
        <f t="array" ref="DS26">SUM(IF(DO26:DP26&gt;=DP26, 1))</f>
        <v>1</v>
      </c>
      <c r="DU26" s="109">
        <f t="shared" si="71"/>
        <v>-42589397.23749347</v>
      </c>
      <c r="DV26" s="109">
        <f t="shared" si="72"/>
        <v>0</v>
      </c>
      <c r="DX26" s="58">
        <f t="array" ref="DX26">SUM(IF(DU26:DV26&gt;=DU26, 1))</f>
        <v>2</v>
      </c>
      <c r="DY26" s="58">
        <f t="array" ref="DY26">SUM(IF(DU26:DV26&gt;=DV26, 1))</f>
        <v>1</v>
      </c>
      <c r="EA26" s="109">
        <f t="shared" si="73"/>
        <v>-135281277.75119704</v>
      </c>
      <c r="EB26" s="109">
        <f t="shared" si="74"/>
        <v>0</v>
      </c>
      <c r="ED26" s="58">
        <f t="array" ref="ED26">SUM(IF(EA26:EB26&gt;=EA26, 1))</f>
        <v>2</v>
      </c>
      <c r="EE26" s="58">
        <f t="array" ref="EE26">SUM(IF(EA26:EB26&gt;=EB26, 1))</f>
        <v>1</v>
      </c>
    </row>
    <row r="27" spans="4:135" ht="12" customHeight="1" x14ac:dyDescent="0.25">
      <c r="D27" s="11">
        <v>11</v>
      </c>
      <c r="E27" s="72">
        <v>229.96540228593665</v>
      </c>
      <c r="F27" s="72">
        <v>198.80953747710404</v>
      </c>
      <c r="G27" s="73"/>
      <c r="H27" s="74">
        <v>5.8401942315817523</v>
      </c>
      <c r="I27" s="74">
        <v>5.857968100582104</v>
      </c>
      <c r="J27" s="73"/>
      <c r="K27" s="72">
        <v>246.26656463836321</v>
      </c>
      <c r="L27" s="72">
        <v>214.35853768969065</v>
      </c>
      <c r="M27" s="73"/>
      <c r="N27" s="74">
        <v>6.7147304648051263</v>
      </c>
      <c r="O27" s="74">
        <v>6.7302417705068107</v>
      </c>
      <c r="P27" s="73"/>
      <c r="Q27" s="72">
        <v>2545.0289175919675</v>
      </c>
      <c r="R27" s="72">
        <v>1542.1902523284873</v>
      </c>
      <c r="S27" s="73"/>
      <c r="T27" s="74">
        <v>4.6984768067559317</v>
      </c>
      <c r="U27" s="74">
        <v>4.7737833179975864</v>
      </c>
      <c r="V27" s="73"/>
      <c r="W27" s="72">
        <v>14713.566888228064</v>
      </c>
      <c r="X27" s="72">
        <v>14649.190404216384</v>
      </c>
      <c r="Y27" s="73"/>
      <c r="Z27" s="74">
        <v>3.0258658416251656</v>
      </c>
      <c r="AA27" s="74">
        <v>3.0646963675405678</v>
      </c>
      <c r="AB27" s="73"/>
      <c r="AC27" s="72">
        <v>49313.648369086724</v>
      </c>
      <c r="AD27" s="72">
        <v>49300.946655388114</v>
      </c>
      <c r="AE27" s="73"/>
      <c r="AF27" s="74">
        <v>4.8124732995085209</v>
      </c>
      <c r="AG27" s="74">
        <v>4.9544454644628502</v>
      </c>
      <c r="AH27" s="73"/>
      <c r="AI27" s="72">
        <v>3374163.3443029183</v>
      </c>
      <c r="AJ27" s="72">
        <v>0</v>
      </c>
      <c r="AK27" s="73"/>
      <c r="AL27" s="74">
        <v>-1924.9004203673023</v>
      </c>
      <c r="AM27" s="74">
        <v>0</v>
      </c>
      <c r="AN27" s="73"/>
      <c r="AO27" s="72">
        <v>215379.92146734046</v>
      </c>
      <c r="AP27" s="72">
        <v>0</v>
      </c>
      <c r="AQ27" s="73"/>
      <c r="AR27" s="74">
        <v>-104.70167300719594</v>
      </c>
      <c r="AS27" s="74">
        <v>0</v>
      </c>
      <c r="AT27" s="73"/>
      <c r="AU27" s="72">
        <v>22880616.557472575</v>
      </c>
      <c r="AV27" s="72">
        <v>0</v>
      </c>
      <c r="AW27" s="73"/>
      <c r="AX27" s="74">
        <v>-1718.1820642591513</v>
      </c>
      <c r="AY27" s="74">
        <v>0</v>
      </c>
      <c r="AZ27" s="73"/>
      <c r="BA27" s="72">
        <v>575716.48482341587</v>
      </c>
      <c r="BB27" s="72">
        <v>0</v>
      </c>
      <c r="BC27" s="73"/>
      <c r="BD27" s="74">
        <v>-347.25993857949618</v>
      </c>
      <c r="BE27" s="74">
        <v>0</v>
      </c>
      <c r="BF27" s="73"/>
      <c r="BG27" s="72">
        <v>202142.9211527468</v>
      </c>
      <c r="BH27" s="72">
        <v>0</v>
      </c>
      <c r="BI27" s="73"/>
      <c r="BJ27" s="74">
        <v>-2259.4327684607729</v>
      </c>
      <c r="BK27" s="74">
        <v>0</v>
      </c>
      <c r="BL27" s="73"/>
      <c r="BM27" s="72">
        <v>27248019.229219001</v>
      </c>
      <c r="BN27" s="72">
        <v>0</v>
      </c>
      <c r="BO27" s="73"/>
      <c r="BP27" s="74">
        <v>-6354.4768646739185</v>
      </c>
      <c r="BQ27" s="74">
        <v>0</v>
      </c>
      <c r="BS27" s="109">
        <f t="shared" si="54"/>
        <v>116573.91922934912</v>
      </c>
      <c r="BT27" s="109">
        <f t="shared" si="55"/>
        <v>116960.55247416497</v>
      </c>
      <c r="BV27" s="58">
        <f t="array" ref="BV27">SUM(IF(BS27:BT27&gt;=BS27, 1))</f>
        <v>2</v>
      </c>
      <c r="BW27" s="58">
        <f t="array" ref="BW27">SUM(IF(BS27:BT27&gt;=BT27, 1))</f>
        <v>1</v>
      </c>
      <c r="BY27" s="109">
        <f t="shared" si="56"/>
        <v>134048.34273146416</v>
      </c>
      <c r="BZ27" s="109">
        <f t="shared" si="57"/>
        <v>134390.47687244651</v>
      </c>
      <c r="CB27" s="58">
        <f t="array" ref="CB27">SUM(IF(BY27:BZ27&gt;=BY27, 1))</f>
        <v>2</v>
      </c>
      <c r="CC27" s="58">
        <f t="array" ref="CC27">SUM(IF(BY27:BZ27&gt;=BZ27, 1))</f>
        <v>1</v>
      </c>
      <c r="CE27" s="109">
        <f t="shared" si="58"/>
        <v>91424.507217526669</v>
      </c>
      <c r="CF27" s="109">
        <f t="shared" si="59"/>
        <v>93933.476107623253</v>
      </c>
      <c r="CH27" s="58">
        <f t="array" ref="CH27">SUM(IF(CE27:CF27&gt;=CE27, 1))</f>
        <v>2</v>
      </c>
      <c r="CI27" s="58">
        <f t="array" ref="CI27">SUM(IF(CE27:CF27&gt;=CF27, 1))</f>
        <v>1</v>
      </c>
      <c r="CK27" s="109">
        <f t="shared" si="60"/>
        <v>45803.749944275245</v>
      </c>
      <c r="CL27" s="109">
        <f t="shared" si="61"/>
        <v>46644.736946594974</v>
      </c>
      <c r="CN27" s="58">
        <f t="array" ref="CN27">SUM(IF(CK27:CL27&gt;=CK27, 1))</f>
        <v>2</v>
      </c>
      <c r="CO27" s="58">
        <f t="array" ref="CO27">SUM(IF(CK27:CL27&gt;=CL27, 1))</f>
        <v>1</v>
      </c>
      <c r="CQ27" s="109" cm="1">
        <f t="array" ref="CQ27">AF27*WTP-AC27</f>
        <v>46935.81762108369</v>
      </c>
      <c r="CR27" s="109">
        <f t="shared" si="62"/>
        <v>49787.96263386889</v>
      </c>
      <c r="CT27" s="58">
        <f t="array" ref="CT27">SUM(IF(CQ27:CR27&gt;=CQ27, 1))</f>
        <v>2</v>
      </c>
      <c r="CU27" s="58">
        <f t="array" ref="CU27">SUM(IF(CQ27:CR27&gt;=CR27, 1))</f>
        <v>1</v>
      </c>
      <c r="CW27" s="109">
        <f t="shared" si="63"/>
        <v>-41872171.751648962</v>
      </c>
      <c r="CX27" s="109">
        <f t="shared" si="64"/>
        <v>0</v>
      </c>
      <c r="CZ27" s="58">
        <f t="array" ref="CZ27">SUM(IF(CW27:CX27&gt;=CW27, 1))</f>
        <v>2</v>
      </c>
      <c r="DA27" s="58">
        <f t="array" ref="DA27">SUM(IF(CW27:CX27&gt;=CX27, 1))</f>
        <v>1</v>
      </c>
      <c r="DC27" s="109">
        <f t="shared" si="65"/>
        <v>-2309413.3816112592</v>
      </c>
      <c r="DD27" s="109">
        <f t="shared" si="66"/>
        <v>0</v>
      </c>
      <c r="DF27" s="58">
        <f t="array" ref="DF27">SUM(IF(DC27:DD27&gt;=DC27, 1))</f>
        <v>2</v>
      </c>
      <c r="DG27" s="58">
        <f t="array" ref="DG27">SUM(IF(DC27:DD27&gt;=DD27, 1))</f>
        <v>1</v>
      </c>
      <c r="DI27" s="109">
        <f t="shared" si="67"/>
        <v>-57244257.842655599</v>
      </c>
      <c r="DJ27" s="109">
        <f t="shared" si="68"/>
        <v>0</v>
      </c>
      <c r="DL27" s="58">
        <f t="array" ref="DL27">SUM(IF(DI27:DJ27&gt;=DI27, 1))</f>
        <v>2</v>
      </c>
      <c r="DM27" s="58">
        <f t="array" ref="DM27">SUM(IF(DI27:DJ27&gt;=DJ27, 1))</f>
        <v>1</v>
      </c>
      <c r="DO27" s="109">
        <f t="shared" si="69"/>
        <v>-7520915.2564133396</v>
      </c>
      <c r="DP27" s="109">
        <f t="shared" si="70"/>
        <v>0</v>
      </c>
      <c r="DR27" s="58">
        <f t="array" ref="DR27">SUM(IF(DO27:DP27&gt;=DO27, 1))</f>
        <v>2</v>
      </c>
      <c r="DS27" s="58">
        <f t="array" ref="DS27">SUM(IF(DO27:DP27&gt;=DP27, 1))</f>
        <v>1</v>
      </c>
      <c r="DU27" s="109">
        <f t="shared" si="71"/>
        <v>-45390798.290368207</v>
      </c>
      <c r="DV27" s="109">
        <f t="shared" si="72"/>
        <v>0</v>
      </c>
      <c r="DX27" s="58">
        <f t="array" ref="DX27">SUM(IF(DU27:DV27&gt;=DU27, 1))</f>
        <v>2</v>
      </c>
      <c r="DY27" s="58">
        <f t="array" ref="DY27">SUM(IF(DU27:DV27&gt;=DV27, 1))</f>
        <v>1</v>
      </c>
      <c r="EA27" s="109">
        <f t="shared" si="73"/>
        <v>-154337556.52269736</v>
      </c>
      <c r="EB27" s="109">
        <f t="shared" si="74"/>
        <v>0</v>
      </c>
      <c r="ED27" s="58">
        <f t="array" ref="ED27">SUM(IF(EA27:EB27&gt;=EA27, 1))</f>
        <v>2</v>
      </c>
      <c r="EE27" s="58">
        <f t="array" ref="EE27">SUM(IF(EA27:EB27&gt;=EB27, 1))</f>
        <v>1</v>
      </c>
    </row>
    <row r="28" spans="4:135" ht="12" customHeight="1" x14ac:dyDescent="0.25">
      <c r="D28" s="11">
        <v>12</v>
      </c>
      <c r="E28" s="72">
        <v>246.57905195481266</v>
      </c>
      <c r="F28" s="72">
        <v>220.23063054192656</v>
      </c>
      <c r="G28" s="73"/>
      <c r="H28" s="74">
        <v>5.8682483340134244</v>
      </c>
      <c r="I28" s="74">
        <v>5.8854320228082591</v>
      </c>
      <c r="J28" s="73"/>
      <c r="K28" s="72">
        <v>264.41873822201705</v>
      </c>
      <c r="L28" s="72">
        <v>237.41499252673063</v>
      </c>
      <c r="M28" s="73"/>
      <c r="N28" s="74">
        <v>6.6959365738301182</v>
      </c>
      <c r="O28" s="74">
        <v>6.7105911766539439</v>
      </c>
      <c r="P28" s="73"/>
      <c r="Q28" s="72">
        <v>1608.1165199174886</v>
      </c>
      <c r="R28" s="72">
        <v>1140.4419190925405</v>
      </c>
      <c r="S28" s="73"/>
      <c r="T28" s="74">
        <v>4.69743030699565</v>
      </c>
      <c r="U28" s="74">
        <v>4.7514399603702975</v>
      </c>
      <c r="V28" s="73"/>
      <c r="W28" s="72">
        <v>13624.54957460179</v>
      </c>
      <c r="X28" s="72">
        <v>13615.599188616185</v>
      </c>
      <c r="Y28" s="73"/>
      <c r="Z28" s="74">
        <v>3.0367128523555751</v>
      </c>
      <c r="AA28" s="74">
        <v>3.0707039813185153</v>
      </c>
      <c r="AB28" s="73"/>
      <c r="AC28" s="72">
        <v>49778.03347701818</v>
      </c>
      <c r="AD28" s="72">
        <v>49708.874773620613</v>
      </c>
      <c r="AE28" s="73"/>
      <c r="AF28" s="74">
        <v>4.5017005362273625</v>
      </c>
      <c r="AG28" s="74">
        <v>4.5414873034225787</v>
      </c>
      <c r="AH28" s="73"/>
      <c r="AI28" s="72">
        <v>2852315.0844274885</v>
      </c>
      <c r="AJ28" s="72">
        <v>0</v>
      </c>
      <c r="AK28" s="73"/>
      <c r="AL28" s="74">
        <v>-1860.1985290717969</v>
      </c>
      <c r="AM28" s="74">
        <v>0</v>
      </c>
      <c r="AN28" s="73"/>
      <c r="AO28" s="72">
        <v>184117.34750573174</v>
      </c>
      <c r="AP28" s="72">
        <v>0</v>
      </c>
      <c r="AQ28" s="73"/>
      <c r="AR28" s="74">
        <v>-99.918234718962125</v>
      </c>
      <c r="AS28" s="74">
        <v>0</v>
      </c>
      <c r="AT28" s="73"/>
      <c r="AU28" s="72">
        <v>10667188.879199484</v>
      </c>
      <c r="AV28" s="72">
        <v>0</v>
      </c>
      <c r="AW28" s="73"/>
      <c r="AX28" s="74">
        <v>-1231.9060578256758</v>
      </c>
      <c r="AY28" s="74">
        <v>0</v>
      </c>
      <c r="AZ28" s="73"/>
      <c r="BA28" s="72">
        <v>79907.00889817602</v>
      </c>
      <c r="BB28" s="72">
        <v>0</v>
      </c>
      <c r="BC28" s="73"/>
      <c r="BD28" s="74">
        <v>-303.46506272121735</v>
      </c>
      <c r="BE28" s="74">
        <v>0</v>
      </c>
      <c r="BF28" s="73"/>
      <c r="BG28" s="72">
        <v>1086434.081820234</v>
      </c>
      <c r="BH28" s="72">
        <v>0</v>
      </c>
      <c r="BI28" s="73"/>
      <c r="BJ28" s="74">
        <v>-625.0218376397579</v>
      </c>
      <c r="BK28" s="74">
        <v>0</v>
      </c>
      <c r="BL28" s="73"/>
      <c r="BM28" s="72">
        <v>14869962.401851116</v>
      </c>
      <c r="BN28" s="72">
        <v>0</v>
      </c>
      <c r="BO28" s="73"/>
      <c r="BP28" s="74">
        <v>-4120.5097219774107</v>
      </c>
      <c r="BQ28" s="74">
        <v>0</v>
      </c>
      <c r="BS28" s="109">
        <f t="shared" si="54"/>
        <v>117118.38762831366</v>
      </c>
      <c r="BT28" s="109">
        <f t="shared" si="55"/>
        <v>117488.40982562325</v>
      </c>
      <c r="BV28" s="58">
        <f t="array" ref="BV28">SUM(IF(BS28:BT28&gt;=BS28, 1))</f>
        <v>2</v>
      </c>
      <c r="BW28" s="58">
        <f t="array" ref="BW28">SUM(IF(BS28:BT28&gt;=BT28, 1))</f>
        <v>1</v>
      </c>
      <c r="BY28" s="109">
        <f t="shared" si="56"/>
        <v>133654.31273838037</v>
      </c>
      <c r="BZ28" s="109">
        <f t="shared" si="57"/>
        <v>133974.40854055216</v>
      </c>
      <c r="CB28" s="58">
        <f t="array" ref="CB28">SUM(IF(BY28:BZ28&gt;=BY28, 1))</f>
        <v>2</v>
      </c>
      <c r="CC28" s="58">
        <f t="array" ref="CC28">SUM(IF(BY28:BZ28&gt;=BZ28, 1))</f>
        <v>1</v>
      </c>
      <c r="CE28" s="109">
        <f t="shared" si="58"/>
        <v>92340.489619995511</v>
      </c>
      <c r="CF28" s="109">
        <f t="shared" si="59"/>
        <v>93888.357288313404</v>
      </c>
      <c r="CH28" s="58">
        <f t="array" ref="CH28">SUM(IF(CE28:CF28&gt;=CE28, 1))</f>
        <v>2</v>
      </c>
      <c r="CI28" s="58">
        <f t="array" ref="CI28">SUM(IF(CE28:CF28&gt;=CF28, 1))</f>
        <v>1</v>
      </c>
      <c r="CK28" s="109">
        <f t="shared" si="60"/>
        <v>47109.707472509712</v>
      </c>
      <c r="CL28" s="109">
        <f t="shared" si="61"/>
        <v>47798.480437754122</v>
      </c>
      <c r="CN28" s="58">
        <f t="array" ref="CN28">SUM(IF(CK28:CL28&gt;=CK28, 1))</f>
        <v>2</v>
      </c>
      <c r="CO28" s="58">
        <f t="array" ref="CO28">SUM(IF(CK28:CL28&gt;=CL28, 1))</f>
        <v>1</v>
      </c>
      <c r="CQ28" s="109" cm="1">
        <f t="array" ref="CQ28">AF28*WTP-AC28</f>
        <v>40255.977247529067</v>
      </c>
      <c r="CR28" s="109">
        <f t="shared" si="62"/>
        <v>41120.871294830955</v>
      </c>
      <c r="CT28" s="58">
        <f t="array" ref="CT28">SUM(IF(CQ28:CR28&gt;=CQ28, 1))</f>
        <v>2</v>
      </c>
      <c r="CU28" s="58">
        <f t="array" ref="CU28">SUM(IF(CQ28:CR28&gt;=CR28, 1))</f>
        <v>1</v>
      </c>
      <c r="CW28" s="109">
        <f t="shared" si="63"/>
        <v>-40056285.665863432</v>
      </c>
      <c r="CX28" s="109">
        <f t="shared" si="64"/>
        <v>0</v>
      </c>
      <c r="CZ28" s="58">
        <f t="array" ref="CZ28">SUM(IF(CW28:CX28&gt;=CW28, 1))</f>
        <v>2</v>
      </c>
      <c r="DA28" s="58">
        <f t="array" ref="DA28">SUM(IF(CW28:CX28&gt;=CX28, 1))</f>
        <v>1</v>
      </c>
      <c r="DC28" s="109">
        <f t="shared" si="65"/>
        <v>-2182482.0418849746</v>
      </c>
      <c r="DD28" s="109">
        <f t="shared" si="66"/>
        <v>0</v>
      </c>
      <c r="DF28" s="58">
        <f t="array" ref="DF28">SUM(IF(DC28:DD28&gt;=DC28, 1))</f>
        <v>2</v>
      </c>
      <c r="DG28" s="58">
        <f t="array" ref="DG28">SUM(IF(DC28:DD28&gt;=DD28, 1))</f>
        <v>1</v>
      </c>
      <c r="DI28" s="109">
        <f t="shared" si="67"/>
        <v>-35305310.035713002</v>
      </c>
      <c r="DJ28" s="109">
        <f t="shared" si="68"/>
        <v>0</v>
      </c>
      <c r="DL28" s="58">
        <f t="array" ref="DL28">SUM(IF(DI28:DJ28&gt;=DI28, 1))</f>
        <v>2</v>
      </c>
      <c r="DM28" s="58">
        <f t="array" ref="DM28">SUM(IF(DI28:DJ28&gt;=DJ28, 1))</f>
        <v>1</v>
      </c>
      <c r="DO28" s="109">
        <f t="shared" si="69"/>
        <v>-6149208.2633225229</v>
      </c>
      <c r="DP28" s="109">
        <f t="shared" si="70"/>
        <v>0</v>
      </c>
      <c r="DR28" s="58">
        <f t="array" ref="DR28">SUM(IF(DO28:DP28&gt;=DO28, 1))</f>
        <v>2</v>
      </c>
      <c r="DS28" s="58">
        <f t="array" ref="DS28">SUM(IF(DO28:DP28&gt;=DP28, 1))</f>
        <v>1</v>
      </c>
      <c r="DU28" s="109">
        <f t="shared" si="71"/>
        <v>-13586870.834615393</v>
      </c>
      <c r="DV28" s="109">
        <f t="shared" si="72"/>
        <v>0</v>
      </c>
      <c r="DX28" s="58">
        <f t="array" ref="DX28">SUM(IF(DU28:DV28&gt;=DU28, 1))</f>
        <v>2</v>
      </c>
      <c r="DY28" s="58">
        <f t="array" ref="DY28">SUM(IF(DU28:DV28&gt;=DV28, 1))</f>
        <v>1</v>
      </c>
      <c r="EA28" s="109">
        <f t="shared" si="73"/>
        <v>-97280156.841399327</v>
      </c>
      <c r="EB28" s="109">
        <f t="shared" si="74"/>
        <v>0</v>
      </c>
      <c r="ED28" s="58">
        <f t="array" ref="ED28">SUM(IF(EA28:EB28&gt;=EA28, 1))</f>
        <v>2</v>
      </c>
      <c r="EE28" s="58">
        <f t="array" ref="EE28">SUM(IF(EA28:EB28&gt;=EB28, 1))</f>
        <v>1</v>
      </c>
    </row>
    <row r="29" spans="4:135" ht="12" customHeight="1" x14ac:dyDescent="0.25">
      <c r="D29" s="11">
        <v>13</v>
      </c>
      <c r="E29" s="72">
        <v>247.22489570811467</v>
      </c>
      <c r="F29" s="72">
        <v>222.71986593359591</v>
      </c>
      <c r="G29" s="73"/>
      <c r="H29" s="74">
        <v>5.8747352206054364</v>
      </c>
      <c r="I29" s="74">
        <v>5.8910044094190033</v>
      </c>
      <c r="J29" s="73"/>
      <c r="K29" s="72">
        <v>265.19041591006658</v>
      </c>
      <c r="L29" s="72">
        <v>240.09774220844761</v>
      </c>
      <c r="M29" s="73"/>
      <c r="N29" s="74">
        <v>6.6634600883807096</v>
      </c>
      <c r="O29" s="74">
        <v>6.6778519403068186</v>
      </c>
      <c r="P29" s="73"/>
      <c r="Q29" s="72">
        <v>3939.6180767434766</v>
      </c>
      <c r="R29" s="72">
        <v>1782.1985784768617</v>
      </c>
      <c r="S29" s="73"/>
      <c r="T29" s="74">
        <v>4.8280984082715692</v>
      </c>
      <c r="U29" s="74">
        <v>4.9488563016778988</v>
      </c>
      <c r="V29" s="73"/>
      <c r="W29" s="72">
        <v>14424.269022046105</v>
      </c>
      <c r="X29" s="72">
        <v>14477.489745501933</v>
      </c>
      <c r="Y29" s="73"/>
      <c r="Z29" s="74">
        <v>2.7939157377815276</v>
      </c>
      <c r="AA29" s="74">
        <v>2.8512815259957125</v>
      </c>
      <c r="AB29" s="73"/>
      <c r="AC29" s="72">
        <v>48984.171025321142</v>
      </c>
      <c r="AD29" s="72">
        <v>49061.760334839768</v>
      </c>
      <c r="AE29" s="73"/>
      <c r="AF29" s="74">
        <v>4.9660757668939164</v>
      </c>
      <c r="AG29" s="74">
        <v>5.134623953763465</v>
      </c>
      <c r="AH29" s="73"/>
      <c r="AI29" s="72">
        <v>2634512.4223786667</v>
      </c>
      <c r="AJ29" s="72">
        <v>0</v>
      </c>
      <c r="AK29" s="73"/>
      <c r="AL29" s="74">
        <v>-1749.0850011508583</v>
      </c>
      <c r="AM29" s="74">
        <v>0</v>
      </c>
      <c r="AN29" s="73"/>
      <c r="AO29" s="72">
        <v>177717.92324788944</v>
      </c>
      <c r="AP29" s="72">
        <v>0</v>
      </c>
      <c r="AQ29" s="73"/>
      <c r="AR29" s="74">
        <v>-101.92975313883011</v>
      </c>
      <c r="AS29" s="74">
        <v>0</v>
      </c>
      <c r="AT29" s="73"/>
      <c r="AU29" s="72">
        <v>49761026.542603247</v>
      </c>
      <c r="AV29" s="72">
        <v>0</v>
      </c>
      <c r="AW29" s="73"/>
      <c r="AX29" s="74">
        <v>-2785.2889731687314</v>
      </c>
      <c r="AY29" s="74">
        <v>0</v>
      </c>
      <c r="AZ29" s="73"/>
      <c r="BA29" s="72">
        <v>-498858.48823298601</v>
      </c>
      <c r="BB29" s="72">
        <v>0</v>
      </c>
      <c r="BC29" s="73"/>
      <c r="BD29" s="74">
        <v>-537.71178831444558</v>
      </c>
      <c r="BE29" s="74">
        <v>0</v>
      </c>
      <c r="BF29" s="73"/>
      <c r="BG29" s="72">
        <v>-1246825.614901803</v>
      </c>
      <c r="BH29" s="72">
        <v>0</v>
      </c>
      <c r="BI29" s="73"/>
      <c r="BJ29" s="74">
        <v>-2708.49422475865</v>
      </c>
      <c r="BK29" s="74">
        <v>0</v>
      </c>
      <c r="BL29" s="73"/>
      <c r="BM29" s="72">
        <v>50827572.785095014</v>
      </c>
      <c r="BN29" s="72">
        <v>0</v>
      </c>
      <c r="BO29" s="73"/>
      <c r="BP29" s="74">
        <v>-7882.5097405315155</v>
      </c>
      <c r="BQ29" s="74">
        <v>0</v>
      </c>
      <c r="BS29" s="109">
        <f t="shared" si="54"/>
        <v>117247.47951640061</v>
      </c>
      <c r="BT29" s="109">
        <f t="shared" si="55"/>
        <v>117597.36832244646</v>
      </c>
      <c r="BV29" s="58">
        <f t="array" ref="BV29">SUM(IF(BS29:BT29&gt;=BS29, 1))</f>
        <v>2</v>
      </c>
      <c r="BW29" s="58">
        <f t="array" ref="BW29">SUM(IF(BS29:BT29&gt;=BT29, 1))</f>
        <v>1</v>
      </c>
      <c r="BY29" s="109">
        <f t="shared" si="56"/>
        <v>133004.01135170413</v>
      </c>
      <c r="BZ29" s="109">
        <f t="shared" si="57"/>
        <v>133316.94106392792</v>
      </c>
      <c r="CB29" s="58">
        <f t="array" ref="CB29">SUM(IF(BY29:BZ29&gt;=BY29, 1))</f>
        <v>2</v>
      </c>
      <c r="CC29" s="58">
        <f t="array" ref="CC29">SUM(IF(BY29:BZ29&gt;=BZ29, 1))</f>
        <v>1</v>
      </c>
      <c r="CE29" s="109">
        <f t="shared" si="58"/>
        <v>92622.350088687919</v>
      </c>
      <c r="CF29" s="109">
        <f t="shared" si="59"/>
        <v>97194.92745508111</v>
      </c>
      <c r="CH29" s="58">
        <f t="array" ref="CH29">SUM(IF(CE29:CF29&gt;=CE29, 1))</f>
        <v>2</v>
      </c>
      <c r="CI29" s="58">
        <f t="array" ref="CI29">SUM(IF(CE29:CF29&gt;=CF29, 1))</f>
        <v>1</v>
      </c>
      <c r="CK29" s="109">
        <f t="shared" si="60"/>
        <v>41454.04573358444</v>
      </c>
      <c r="CL29" s="109">
        <f t="shared" si="61"/>
        <v>42548.140774412321</v>
      </c>
      <c r="CN29" s="58">
        <f t="array" ref="CN29">SUM(IF(CK29:CL29&gt;=CK29, 1))</f>
        <v>2</v>
      </c>
      <c r="CO29" s="58">
        <f t="array" ref="CO29">SUM(IF(CK29:CL29&gt;=CL29, 1))</f>
        <v>1</v>
      </c>
      <c r="CQ29" s="109" cm="1">
        <f t="array" ref="CQ29">AF29*WTP-AC29</f>
        <v>50337.344312557187</v>
      </c>
      <c r="CR29" s="109">
        <f t="shared" si="62"/>
        <v>53630.718740429525</v>
      </c>
      <c r="CT29" s="58">
        <f t="array" ref="CT29">SUM(IF(CQ29:CR29&gt;=CQ29, 1))</f>
        <v>2</v>
      </c>
      <c r="CU29" s="58">
        <f t="array" ref="CU29">SUM(IF(CQ29:CR29&gt;=CR29, 1))</f>
        <v>1</v>
      </c>
      <c r="CW29" s="109">
        <f t="shared" si="63"/>
        <v>-37616212.445395835</v>
      </c>
      <c r="CX29" s="109">
        <f t="shared" si="64"/>
        <v>0</v>
      </c>
      <c r="CZ29" s="58">
        <f t="array" ref="CZ29">SUM(IF(CW29:CX29&gt;=CW29, 1))</f>
        <v>2</v>
      </c>
      <c r="DA29" s="58">
        <f t="array" ref="DA29">SUM(IF(CW29:CX29&gt;=CX29, 1))</f>
        <v>1</v>
      </c>
      <c r="DC29" s="109">
        <f t="shared" si="65"/>
        <v>-2216312.9860244915</v>
      </c>
      <c r="DD29" s="109">
        <f t="shared" si="66"/>
        <v>0</v>
      </c>
      <c r="DF29" s="58">
        <f t="array" ref="DF29">SUM(IF(DC29:DD29&gt;=DC29, 1))</f>
        <v>2</v>
      </c>
      <c r="DG29" s="58">
        <f t="array" ref="DG29">SUM(IF(DC29:DD29&gt;=DD29, 1))</f>
        <v>1</v>
      </c>
      <c r="DI29" s="109">
        <f t="shared" si="67"/>
        <v>-105466806.00597787</v>
      </c>
      <c r="DJ29" s="109">
        <f t="shared" si="68"/>
        <v>0</v>
      </c>
      <c r="DL29" s="58">
        <f t="array" ref="DL29">SUM(IF(DI29:DJ29&gt;=DI29, 1))</f>
        <v>2</v>
      </c>
      <c r="DM29" s="58">
        <f t="array" ref="DM29">SUM(IF(DI29:DJ29&gt;=DJ29, 1))</f>
        <v>1</v>
      </c>
      <c r="DO29" s="109">
        <f t="shared" si="69"/>
        <v>-10255377.278055927</v>
      </c>
      <c r="DP29" s="109">
        <f t="shared" si="70"/>
        <v>0</v>
      </c>
      <c r="DR29" s="58">
        <f t="array" ref="DR29">SUM(IF(DO29:DP29&gt;=DO29, 1))</f>
        <v>2</v>
      </c>
      <c r="DS29" s="58">
        <f t="array" ref="DS29">SUM(IF(DO29:DP29&gt;=DP29, 1))</f>
        <v>1</v>
      </c>
      <c r="DU29" s="109">
        <f t="shared" si="71"/>
        <v>-52923058.880271196</v>
      </c>
      <c r="DV29" s="109">
        <f t="shared" si="72"/>
        <v>0</v>
      </c>
      <c r="DX29" s="58">
        <f t="array" ref="DX29">SUM(IF(DU29:DV29&gt;=DU29, 1))</f>
        <v>2</v>
      </c>
      <c r="DY29" s="58">
        <f t="array" ref="DY29">SUM(IF(DU29:DV29&gt;=DV29, 1))</f>
        <v>1</v>
      </c>
      <c r="EA29" s="109">
        <f t="shared" si="73"/>
        <v>-208477767.59572533</v>
      </c>
      <c r="EB29" s="109">
        <f t="shared" si="74"/>
        <v>0</v>
      </c>
      <c r="ED29" s="58">
        <f t="array" ref="ED29">SUM(IF(EA29:EB29&gt;=EA29, 1))</f>
        <v>2</v>
      </c>
      <c r="EE29" s="58">
        <f t="array" ref="EE29">SUM(IF(EA29:EB29&gt;=EB29, 1))</f>
        <v>1</v>
      </c>
    </row>
    <row r="30" spans="4:135" ht="12" customHeight="1" x14ac:dyDescent="0.25">
      <c r="D30" s="11">
        <v>14</v>
      </c>
      <c r="E30" s="72">
        <v>298.64028921370692</v>
      </c>
      <c r="F30" s="72">
        <v>265.12156755871359</v>
      </c>
      <c r="G30" s="73"/>
      <c r="H30" s="74">
        <v>5.904946747560798</v>
      </c>
      <c r="I30" s="74">
        <v>5.9208254049404294</v>
      </c>
      <c r="J30" s="73"/>
      <c r="K30" s="72">
        <v>320.22886967627676</v>
      </c>
      <c r="L30" s="72">
        <v>285.91863770661166</v>
      </c>
      <c r="M30" s="73"/>
      <c r="N30" s="74">
        <v>6.6870624415813973</v>
      </c>
      <c r="O30" s="74">
        <v>6.7006568345273632</v>
      </c>
      <c r="P30" s="73"/>
      <c r="Q30" s="72">
        <v>2110.5729061996362</v>
      </c>
      <c r="R30" s="72">
        <v>1314.6914002011936</v>
      </c>
      <c r="S30" s="73"/>
      <c r="T30" s="74">
        <v>4.9309504188384379</v>
      </c>
      <c r="U30" s="74">
        <v>5.0154562574363331</v>
      </c>
      <c r="V30" s="73"/>
      <c r="W30" s="72">
        <v>12172.172256460728</v>
      </c>
      <c r="X30" s="72">
        <v>12133.559315311039</v>
      </c>
      <c r="Y30" s="73"/>
      <c r="Z30" s="74">
        <v>2.9347420118236998</v>
      </c>
      <c r="AA30" s="74">
        <v>2.9764687046350886</v>
      </c>
      <c r="AB30" s="73"/>
      <c r="AC30" s="72">
        <v>51194.148279813511</v>
      </c>
      <c r="AD30" s="72">
        <v>50839.365760318622</v>
      </c>
      <c r="AE30" s="73"/>
      <c r="AF30" s="74">
        <v>4.6979155867936164</v>
      </c>
      <c r="AG30" s="74">
        <v>4.8555294777884326</v>
      </c>
      <c r="AH30" s="73"/>
      <c r="AI30" s="72">
        <v>3580902.5785645964</v>
      </c>
      <c r="AJ30" s="72">
        <v>0</v>
      </c>
      <c r="AK30" s="73"/>
      <c r="AL30" s="74">
        <v>-1696.3631769768147</v>
      </c>
      <c r="AM30" s="74">
        <v>0</v>
      </c>
      <c r="AN30" s="73"/>
      <c r="AO30" s="72">
        <v>236874.35204454072</v>
      </c>
      <c r="AP30" s="72">
        <v>0</v>
      </c>
      <c r="AQ30" s="73"/>
      <c r="AR30" s="74">
        <v>-93.854306300278068</v>
      </c>
      <c r="AS30" s="74">
        <v>0</v>
      </c>
      <c r="AT30" s="73"/>
      <c r="AU30" s="72">
        <v>18699233.028719522</v>
      </c>
      <c r="AV30" s="72">
        <v>0</v>
      </c>
      <c r="AW30" s="73"/>
      <c r="AX30" s="74">
        <v>-1985.4643641292182</v>
      </c>
      <c r="AY30" s="74">
        <v>0</v>
      </c>
      <c r="AZ30" s="73"/>
      <c r="BA30" s="72">
        <v>341680.9392163296</v>
      </c>
      <c r="BB30" s="72">
        <v>0</v>
      </c>
      <c r="BC30" s="73"/>
      <c r="BD30" s="74">
        <v>-369.23412632350744</v>
      </c>
      <c r="BE30" s="74">
        <v>0</v>
      </c>
      <c r="BF30" s="73"/>
      <c r="BG30" s="72">
        <v>5831345.9804995432</v>
      </c>
      <c r="BH30" s="72">
        <v>0</v>
      </c>
      <c r="BI30" s="73"/>
      <c r="BJ30" s="74">
        <v>-2590.6043258051627</v>
      </c>
      <c r="BK30" s="74">
        <v>0</v>
      </c>
      <c r="BL30" s="73"/>
      <c r="BM30" s="72">
        <v>28690036.879044533</v>
      </c>
      <c r="BN30" s="72">
        <v>0</v>
      </c>
      <c r="BO30" s="73"/>
      <c r="BP30" s="74">
        <v>-6735.5202995349809</v>
      </c>
      <c r="BQ30" s="74">
        <v>0</v>
      </c>
      <c r="BS30" s="109">
        <f t="shared" si="54"/>
        <v>117800.29466200224</v>
      </c>
      <c r="BT30" s="109">
        <f t="shared" si="55"/>
        <v>118151.38653124987</v>
      </c>
      <c r="BV30" s="58">
        <f t="array" ref="BV30">SUM(IF(BS30:BT30&gt;=BS30, 1))</f>
        <v>2</v>
      </c>
      <c r="BW30" s="58">
        <f t="array" ref="BW30">SUM(IF(BS30:BT30&gt;=BT30, 1))</f>
        <v>1</v>
      </c>
      <c r="BY30" s="109">
        <f t="shared" si="56"/>
        <v>133421.01996195168</v>
      </c>
      <c r="BZ30" s="109">
        <f t="shared" si="57"/>
        <v>133727.21805284065</v>
      </c>
      <c r="CB30" s="58">
        <f t="array" ref="CB30">SUM(IF(BY30:BZ30&gt;=BY30, 1))</f>
        <v>2</v>
      </c>
      <c r="CC30" s="58">
        <f t="array" ref="CC30">SUM(IF(BY30:BZ30&gt;=BZ30, 1))</f>
        <v>1</v>
      </c>
      <c r="CE30" s="109">
        <f t="shared" si="58"/>
        <v>96508.435470569122</v>
      </c>
      <c r="CF30" s="109">
        <f t="shared" si="59"/>
        <v>98994.433748525465</v>
      </c>
      <c r="CH30" s="58">
        <f t="array" ref="CH30">SUM(IF(CE30:CF30&gt;=CE30, 1))</f>
        <v>2</v>
      </c>
      <c r="CI30" s="58">
        <f t="array" ref="CI30">SUM(IF(CE30:CF30&gt;=CF30, 1))</f>
        <v>1</v>
      </c>
      <c r="CK30" s="109">
        <f t="shared" si="60"/>
        <v>46522.66798001327</v>
      </c>
      <c r="CL30" s="109">
        <f t="shared" si="61"/>
        <v>47395.814777390733</v>
      </c>
      <c r="CN30" s="58">
        <f t="array" ref="CN30">SUM(IF(CK30:CL30&gt;=CK30, 1))</f>
        <v>2</v>
      </c>
      <c r="CO30" s="58">
        <f t="array" ref="CO30">SUM(IF(CK30:CL30&gt;=CL30, 1))</f>
        <v>1</v>
      </c>
      <c r="CQ30" s="109" cm="1">
        <f t="array" ref="CQ30">AF30*WTP-AC30</f>
        <v>42764.163456058814</v>
      </c>
      <c r="CR30" s="109">
        <f t="shared" si="62"/>
        <v>46271.223795450023</v>
      </c>
      <c r="CT30" s="58">
        <f t="array" ref="CT30">SUM(IF(CQ30:CR30&gt;=CQ30, 1))</f>
        <v>2</v>
      </c>
      <c r="CU30" s="58">
        <f t="array" ref="CU30">SUM(IF(CQ30:CR30&gt;=CR30, 1))</f>
        <v>1</v>
      </c>
      <c r="CW30" s="109">
        <f t="shared" si="63"/>
        <v>-37508166.118100889</v>
      </c>
      <c r="CX30" s="109">
        <f t="shared" si="64"/>
        <v>0</v>
      </c>
      <c r="CZ30" s="58">
        <f t="array" ref="CZ30">SUM(IF(CW30:CX30&gt;=CW30, 1))</f>
        <v>2</v>
      </c>
      <c r="DA30" s="58">
        <f t="array" ref="DA30">SUM(IF(CW30:CX30&gt;=CX30, 1))</f>
        <v>1</v>
      </c>
      <c r="DC30" s="109">
        <f t="shared" si="65"/>
        <v>-2113960.478050102</v>
      </c>
      <c r="DD30" s="109">
        <f t="shared" si="66"/>
        <v>0</v>
      </c>
      <c r="DF30" s="58">
        <f t="array" ref="DF30">SUM(IF(DC30:DD30&gt;=DC30, 1))</f>
        <v>2</v>
      </c>
      <c r="DG30" s="58">
        <f t="array" ref="DG30">SUM(IF(DC30:DD30&gt;=DD30, 1))</f>
        <v>1</v>
      </c>
      <c r="DI30" s="109">
        <f t="shared" si="67"/>
        <v>-58408520.311303884</v>
      </c>
      <c r="DJ30" s="109">
        <f t="shared" si="68"/>
        <v>0</v>
      </c>
      <c r="DL30" s="58">
        <f t="array" ref="DL30">SUM(IF(DI30:DJ30&gt;=DI30, 1))</f>
        <v>2</v>
      </c>
      <c r="DM30" s="58">
        <f t="array" ref="DM30">SUM(IF(DI30:DJ30&gt;=DJ30, 1))</f>
        <v>1</v>
      </c>
      <c r="DO30" s="109">
        <f t="shared" si="69"/>
        <v>-7726363.4656864787</v>
      </c>
      <c r="DP30" s="109">
        <f t="shared" si="70"/>
        <v>0</v>
      </c>
      <c r="DR30" s="58">
        <f t="array" ref="DR30">SUM(IF(DO30:DP30&gt;=DO30, 1))</f>
        <v>2</v>
      </c>
      <c r="DS30" s="58">
        <f t="array" ref="DS30">SUM(IF(DO30:DP30&gt;=DP30, 1))</f>
        <v>1</v>
      </c>
      <c r="DU30" s="109">
        <f t="shared" si="71"/>
        <v>-57643432.496602796</v>
      </c>
      <c r="DV30" s="109">
        <f t="shared" si="72"/>
        <v>0</v>
      </c>
      <c r="DX30" s="58">
        <f t="array" ref="DX30">SUM(IF(DU30:DV30&gt;=DU30, 1))</f>
        <v>2</v>
      </c>
      <c r="DY30" s="58">
        <f t="array" ref="DY30">SUM(IF(DU30:DV30&gt;=DV30, 1))</f>
        <v>1</v>
      </c>
      <c r="EA30" s="109">
        <f t="shared" si="73"/>
        <v>-163400442.86974415</v>
      </c>
      <c r="EB30" s="109">
        <f t="shared" si="74"/>
        <v>0</v>
      </c>
      <c r="ED30" s="58">
        <f t="array" ref="ED30">SUM(IF(EA30:EB30&gt;=EA30, 1))</f>
        <v>2</v>
      </c>
      <c r="EE30" s="58">
        <f t="array" ref="EE30">SUM(IF(EA30:EB30&gt;=EB30, 1))</f>
        <v>1</v>
      </c>
    </row>
    <row r="31" spans="4:135" ht="12" customHeight="1" x14ac:dyDescent="0.25">
      <c r="D31" s="11">
        <v>15</v>
      </c>
      <c r="E31" s="72">
        <v>267.05377385536133</v>
      </c>
      <c r="F31" s="72">
        <v>241.86914391888016</v>
      </c>
      <c r="G31" s="73"/>
      <c r="H31" s="74">
        <v>5.8126611246515569</v>
      </c>
      <c r="I31" s="74">
        <v>5.8297349223676402</v>
      </c>
      <c r="J31" s="73"/>
      <c r="K31" s="72">
        <v>286.57373446151826</v>
      </c>
      <c r="L31" s="72">
        <v>260.79572639749023</v>
      </c>
      <c r="M31" s="73"/>
      <c r="N31" s="74">
        <v>6.7049616598251811</v>
      </c>
      <c r="O31" s="74">
        <v>6.7199667702518999</v>
      </c>
      <c r="P31" s="73"/>
      <c r="Q31" s="72">
        <v>2434.9279440923387</v>
      </c>
      <c r="R31" s="72">
        <v>1535.4049506256197</v>
      </c>
      <c r="S31" s="73"/>
      <c r="T31" s="74">
        <v>4.9709809656397068</v>
      </c>
      <c r="U31" s="74">
        <v>5.0488368676877435</v>
      </c>
      <c r="V31" s="73"/>
      <c r="W31" s="72">
        <v>10009.895526232895</v>
      </c>
      <c r="X31" s="72">
        <v>9970.1985826279924</v>
      </c>
      <c r="Y31" s="73"/>
      <c r="Z31" s="74">
        <v>2.9741127188798231</v>
      </c>
      <c r="AA31" s="74">
        <v>3.0120904655997833</v>
      </c>
      <c r="AB31" s="73"/>
      <c r="AC31" s="72">
        <v>51207.67019541491</v>
      </c>
      <c r="AD31" s="72">
        <v>51094.605005048666</v>
      </c>
      <c r="AE31" s="73"/>
      <c r="AF31" s="74">
        <v>4.9176107232716069</v>
      </c>
      <c r="AG31" s="74">
        <v>5.0595468841572453</v>
      </c>
      <c r="AH31" s="73"/>
      <c r="AI31" s="72">
        <v>2653114.4754840308</v>
      </c>
      <c r="AJ31" s="72">
        <v>0</v>
      </c>
      <c r="AK31" s="73"/>
      <c r="AL31" s="74">
        <v>-1798.6660906384554</v>
      </c>
      <c r="AM31" s="74">
        <v>0</v>
      </c>
      <c r="AN31" s="73"/>
      <c r="AO31" s="72">
        <v>179657.03030636624</v>
      </c>
      <c r="AP31" s="72">
        <v>0</v>
      </c>
      <c r="AQ31" s="73"/>
      <c r="AR31" s="74">
        <v>-104.57648907501184</v>
      </c>
      <c r="AS31" s="74">
        <v>0</v>
      </c>
      <c r="AT31" s="73"/>
      <c r="AU31" s="72">
        <v>20542647.626389373</v>
      </c>
      <c r="AV31" s="72">
        <v>0</v>
      </c>
      <c r="AW31" s="73"/>
      <c r="AX31" s="74">
        <v>-1778.0160963352616</v>
      </c>
      <c r="AY31" s="74">
        <v>0</v>
      </c>
      <c r="AZ31" s="73"/>
      <c r="BA31" s="72">
        <v>349835.87914232269</v>
      </c>
      <c r="BB31" s="72">
        <v>0</v>
      </c>
      <c r="BC31" s="73"/>
      <c r="BD31" s="74">
        <v>-334.68517233606582</v>
      </c>
      <c r="BE31" s="74">
        <v>0</v>
      </c>
      <c r="BF31" s="73"/>
      <c r="BG31" s="72">
        <v>1731219.5192885506</v>
      </c>
      <c r="BH31" s="72">
        <v>0</v>
      </c>
      <c r="BI31" s="73"/>
      <c r="BJ31" s="74">
        <v>-2173.282965536484</v>
      </c>
      <c r="BK31" s="74">
        <v>0</v>
      </c>
      <c r="BL31" s="73"/>
      <c r="BM31" s="72">
        <v>25456474.530610643</v>
      </c>
      <c r="BN31" s="72">
        <v>0</v>
      </c>
      <c r="BO31" s="73"/>
      <c r="BP31" s="74">
        <v>-6189.2268139212792</v>
      </c>
      <c r="BQ31" s="74">
        <v>0</v>
      </c>
      <c r="BS31" s="109">
        <f t="shared" si="54"/>
        <v>115986.16871917577</v>
      </c>
      <c r="BT31" s="109">
        <f t="shared" si="55"/>
        <v>116352.82930343391</v>
      </c>
      <c r="BV31" s="58">
        <f t="array" ref="BV31">SUM(IF(BS31:BT31&gt;=BS31, 1))</f>
        <v>2</v>
      </c>
      <c r="BW31" s="58">
        <f t="array" ref="BW31">SUM(IF(BS31:BT31&gt;=BT31, 1))</f>
        <v>1</v>
      </c>
      <c r="BY31" s="109">
        <f t="shared" si="56"/>
        <v>133812.65946204212</v>
      </c>
      <c r="BZ31" s="109">
        <f t="shared" si="57"/>
        <v>134138.53967864052</v>
      </c>
      <c r="CB31" s="58">
        <f t="array" ref="CB31">SUM(IF(BY31:BZ31&gt;=BY31, 1))</f>
        <v>2</v>
      </c>
      <c r="CC31" s="58">
        <f t="array" ref="CC31">SUM(IF(BY31:BZ31&gt;=BZ31, 1))</f>
        <v>1</v>
      </c>
      <c r="CE31" s="109">
        <f t="shared" si="58"/>
        <v>96984.691368701795</v>
      </c>
      <c r="CF31" s="109">
        <f t="shared" si="59"/>
        <v>99441.332403129258</v>
      </c>
      <c r="CH31" s="58">
        <f t="array" ref="CH31">SUM(IF(CE31:CF31&gt;=CE31, 1))</f>
        <v>2</v>
      </c>
      <c r="CI31" s="58">
        <f t="array" ref="CI31">SUM(IF(CE31:CF31&gt;=CF31, 1))</f>
        <v>1</v>
      </c>
      <c r="CK31" s="109">
        <f t="shared" si="60"/>
        <v>49472.358851363562</v>
      </c>
      <c r="CL31" s="109">
        <f t="shared" si="61"/>
        <v>50271.610729367676</v>
      </c>
      <c r="CN31" s="58">
        <f t="array" ref="CN31">SUM(IF(CK31:CL31&gt;=CK31, 1))</f>
        <v>2</v>
      </c>
      <c r="CO31" s="58">
        <f t="array" ref="CO31">SUM(IF(CK31:CL31&gt;=CL31, 1))</f>
        <v>1</v>
      </c>
      <c r="CQ31" s="109" cm="1">
        <f t="array" ref="CQ31">AF31*WTP-AC31</f>
        <v>47144.544270017221</v>
      </c>
      <c r="CR31" s="109">
        <f t="shared" si="62"/>
        <v>50096.332678096238</v>
      </c>
      <c r="CT31" s="58">
        <f t="array" ref="CT31">SUM(IF(CQ31:CR31&gt;=CQ31, 1))</f>
        <v>2</v>
      </c>
      <c r="CU31" s="58">
        <f t="array" ref="CU31">SUM(IF(CQ31:CR31&gt;=CR31, 1))</f>
        <v>1</v>
      </c>
      <c r="CW31" s="109">
        <f t="shared" si="63"/>
        <v>-38626436.288253136</v>
      </c>
      <c r="CX31" s="109">
        <f t="shared" si="64"/>
        <v>0</v>
      </c>
      <c r="CZ31" s="58">
        <f t="array" ref="CZ31">SUM(IF(CW31:CX31&gt;=CW31, 1))</f>
        <v>2</v>
      </c>
      <c r="DA31" s="58">
        <f t="array" ref="DA31">SUM(IF(CW31:CX31&gt;=CX31, 1))</f>
        <v>1</v>
      </c>
      <c r="DC31" s="109">
        <f t="shared" si="65"/>
        <v>-2271186.8118066029</v>
      </c>
      <c r="DD31" s="109">
        <f t="shared" si="66"/>
        <v>0</v>
      </c>
      <c r="DF31" s="58">
        <f t="array" ref="DF31">SUM(IF(DC31:DD31&gt;=DC31, 1))</f>
        <v>2</v>
      </c>
      <c r="DG31" s="58">
        <f t="array" ref="DG31">SUM(IF(DC31:DD31&gt;=DD31, 1))</f>
        <v>1</v>
      </c>
      <c r="DI31" s="109">
        <f t="shared" si="67"/>
        <v>-56102969.553094611</v>
      </c>
      <c r="DJ31" s="109">
        <f t="shared" si="68"/>
        <v>0</v>
      </c>
      <c r="DL31" s="58">
        <f t="array" ref="DL31">SUM(IF(DI31:DJ31&gt;=DI31, 1))</f>
        <v>2</v>
      </c>
      <c r="DM31" s="58">
        <f t="array" ref="DM31">SUM(IF(DI31:DJ31&gt;=DJ31, 1))</f>
        <v>1</v>
      </c>
      <c r="DO31" s="109">
        <f t="shared" si="69"/>
        <v>-7043539.3258636389</v>
      </c>
      <c r="DP31" s="109">
        <f t="shared" si="70"/>
        <v>0</v>
      </c>
      <c r="DR31" s="58">
        <f t="array" ref="DR31">SUM(IF(DO31:DP31&gt;=DO31, 1))</f>
        <v>2</v>
      </c>
      <c r="DS31" s="58">
        <f t="array" ref="DS31">SUM(IF(DO31:DP31&gt;=DP31, 1))</f>
        <v>1</v>
      </c>
      <c r="DU31" s="109">
        <f t="shared" si="71"/>
        <v>-45196878.83001823</v>
      </c>
      <c r="DV31" s="109">
        <f t="shared" si="72"/>
        <v>0</v>
      </c>
      <c r="DX31" s="58">
        <f t="array" ref="DX31">SUM(IF(DU31:DV31&gt;=DU31, 1))</f>
        <v>2</v>
      </c>
      <c r="DY31" s="58">
        <f t="array" ref="DY31">SUM(IF(DU31:DV31&gt;=DV31, 1))</f>
        <v>1</v>
      </c>
      <c r="EA31" s="109">
        <f t="shared" si="73"/>
        <v>-149241010.80903623</v>
      </c>
      <c r="EB31" s="109">
        <f t="shared" si="74"/>
        <v>0</v>
      </c>
      <c r="ED31" s="58">
        <f t="array" ref="ED31">SUM(IF(EA31:EB31&gt;=EA31, 1))</f>
        <v>2</v>
      </c>
      <c r="EE31" s="58">
        <f t="array" ref="EE31">SUM(IF(EA31:EB31&gt;=EB31, 1))</f>
        <v>1</v>
      </c>
    </row>
    <row r="32" spans="4:135" ht="12" customHeight="1" x14ac:dyDescent="0.25">
      <c r="D32" s="11">
        <v>16</v>
      </c>
      <c r="E32" s="72">
        <v>229.95719919657668</v>
      </c>
      <c r="F32" s="72">
        <v>189.4643054750432</v>
      </c>
      <c r="G32" s="73"/>
      <c r="H32" s="74">
        <v>5.9126493260160977</v>
      </c>
      <c r="I32" s="74">
        <v>5.932931410364529</v>
      </c>
      <c r="J32" s="73"/>
      <c r="K32" s="72">
        <v>245.6267748374303</v>
      </c>
      <c r="L32" s="72">
        <v>204.26529920447558</v>
      </c>
      <c r="M32" s="73"/>
      <c r="N32" s="74">
        <v>6.7191202688611344</v>
      </c>
      <c r="O32" s="74">
        <v>6.737161824022702</v>
      </c>
      <c r="P32" s="73"/>
      <c r="Q32" s="72">
        <v>2843.0557518866185</v>
      </c>
      <c r="R32" s="72">
        <v>1841.3552639728853</v>
      </c>
      <c r="S32" s="73"/>
      <c r="T32" s="74">
        <v>4.902545331773112</v>
      </c>
      <c r="U32" s="74">
        <v>4.9691052497294068</v>
      </c>
      <c r="V32" s="73"/>
      <c r="W32" s="72">
        <v>16403.946244561739</v>
      </c>
      <c r="X32" s="72">
        <v>16405.925328519545</v>
      </c>
      <c r="Y32" s="73"/>
      <c r="Z32" s="74">
        <v>2.9843153980811192</v>
      </c>
      <c r="AA32" s="74">
        <v>3.0399191818427367</v>
      </c>
      <c r="AB32" s="73"/>
      <c r="AC32" s="72">
        <v>50880.280281895692</v>
      </c>
      <c r="AD32" s="72">
        <v>50656.930907276415</v>
      </c>
      <c r="AE32" s="73"/>
      <c r="AF32" s="74">
        <v>4.5184931406182232</v>
      </c>
      <c r="AG32" s="74">
        <v>4.6087926803854282</v>
      </c>
      <c r="AH32" s="73"/>
      <c r="AI32" s="72">
        <v>4384689.7408849513</v>
      </c>
      <c r="AJ32" s="72">
        <v>0</v>
      </c>
      <c r="AK32" s="73"/>
      <c r="AL32" s="74">
        <v>-2196.2038025214756</v>
      </c>
      <c r="AM32" s="74">
        <v>0</v>
      </c>
      <c r="AN32" s="73"/>
      <c r="AO32" s="72">
        <v>257420.13872494563</v>
      </c>
      <c r="AP32" s="72">
        <v>0</v>
      </c>
      <c r="AQ32" s="73"/>
      <c r="AR32" s="74">
        <v>-112.2846697665732</v>
      </c>
      <c r="AS32" s="74">
        <v>0</v>
      </c>
      <c r="AT32" s="73"/>
      <c r="AU32" s="72">
        <v>23495143.523439176</v>
      </c>
      <c r="AV32" s="72">
        <v>0</v>
      </c>
      <c r="AW32" s="73"/>
      <c r="AX32" s="74">
        <v>-1561.1800574725889</v>
      </c>
      <c r="AY32" s="74">
        <v>0</v>
      </c>
      <c r="AZ32" s="73"/>
      <c r="BA32" s="72">
        <v>-17528.62619811637</v>
      </c>
      <c r="BB32" s="72">
        <v>0</v>
      </c>
      <c r="BC32" s="73"/>
      <c r="BD32" s="74">
        <v>-492.47932959805973</v>
      </c>
      <c r="BE32" s="74">
        <v>0</v>
      </c>
      <c r="BF32" s="73"/>
      <c r="BG32" s="72">
        <v>3526172.8000827241</v>
      </c>
      <c r="BH32" s="72">
        <v>0</v>
      </c>
      <c r="BI32" s="73"/>
      <c r="BJ32" s="74">
        <v>-1425.6219948225735</v>
      </c>
      <c r="BK32" s="74">
        <v>0</v>
      </c>
      <c r="BL32" s="73"/>
      <c r="BM32" s="72">
        <v>31645897.576933682</v>
      </c>
      <c r="BN32" s="72">
        <v>0</v>
      </c>
      <c r="BO32" s="73"/>
      <c r="BP32" s="74">
        <v>-5787.7698541812706</v>
      </c>
      <c r="BQ32" s="74">
        <v>0</v>
      </c>
      <c r="BS32" s="109">
        <f t="shared" si="54"/>
        <v>118023.02932112537</v>
      </c>
      <c r="BT32" s="109">
        <f t="shared" si="55"/>
        <v>118469.16390181553</v>
      </c>
      <c r="BV32" s="58">
        <f t="array" ref="BV32">SUM(IF(BS32:BT32&gt;=BS32, 1))</f>
        <v>2</v>
      </c>
      <c r="BW32" s="58">
        <f t="array" ref="BW32">SUM(IF(BS32:BT32&gt;=BT32, 1))</f>
        <v>1</v>
      </c>
      <c r="BY32" s="109">
        <f t="shared" si="56"/>
        <v>134136.77860238525</v>
      </c>
      <c r="BZ32" s="109">
        <f t="shared" si="57"/>
        <v>134538.97118124957</v>
      </c>
      <c r="CB32" s="58">
        <f t="array" ref="CB32">SUM(IF(BY32:BZ32&gt;=BY32, 1))</f>
        <v>2</v>
      </c>
      <c r="CC32" s="58">
        <f t="array" ref="CC32">SUM(IF(BY32:BZ32&gt;=BZ32, 1))</f>
        <v>1</v>
      </c>
      <c r="CE32" s="109">
        <f t="shared" si="58"/>
        <v>95207.850883575622</v>
      </c>
      <c r="CF32" s="109">
        <f t="shared" si="59"/>
        <v>97540.749730615251</v>
      </c>
      <c r="CH32" s="58">
        <f t="array" ref="CH32">SUM(IF(CE32:CF32&gt;=CE32, 1))</f>
        <v>2</v>
      </c>
      <c r="CI32" s="58">
        <f t="array" ref="CI32">SUM(IF(CE32:CF32&gt;=CF32, 1))</f>
        <v>1</v>
      </c>
      <c r="CK32" s="109">
        <f t="shared" si="60"/>
        <v>43282.361717060645</v>
      </c>
      <c r="CL32" s="109">
        <f t="shared" si="61"/>
        <v>44392.45830833519</v>
      </c>
      <c r="CN32" s="58">
        <f t="array" ref="CN32">SUM(IF(CK32:CL32&gt;=CK32, 1))</f>
        <v>2</v>
      </c>
      <c r="CO32" s="58">
        <f t="array" ref="CO32">SUM(IF(CK32:CL32&gt;=CL32, 1))</f>
        <v>1</v>
      </c>
      <c r="CQ32" s="109" cm="1">
        <f t="array" ref="CQ32">AF32*WTP-AC32</f>
        <v>39489.582530468768</v>
      </c>
      <c r="CR32" s="109">
        <f t="shared" si="62"/>
        <v>41518.922700432144</v>
      </c>
      <c r="CT32" s="58">
        <f t="array" ref="CT32">SUM(IF(CQ32:CR32&gt;=CQ32, 1))</f>
        <v>2</v>
      </c>
      <c r="CU32" s="58">
        <f t="array" ref="CU32">SUM(IF(CQ32:CR32&gt;=CR32, 1))</f>
        <v>1</v>
      </c>
      <c r="CW32" s="109">
        <f t="shared" si="63"/>
        <v>-48308765.791314468</v>
      </c>
      <c r="CX32" s="109">
        <f t="shared" si="64"/>
        <v>0</v>
      </c>
      <c r="CZ32" s="58">
        <f t="array" ref="CZ32">SUM(IF(CW32:CX32&gt;=CW32, 1))</f>
        <v>2</v>
      </c>
      <c r="DA32" s="58">
        <f t="array" ref="DA32">SUM(IF(CW32:CX32&gt;=CX32, 1))</f>
        <v>1</v>
      </c>
      <c r="DC32" s="109">
        <f t="shared" si="65"/>
        <v>-2503113.5340564097</v>
      </c>
      <c r="DD32" s="109">
        <f t="shared" si="66"/>
        <v>0</v>
      </c>
      <c r="DF32" s="58">
        <f t="array" ref="DF32">SUM(IF(DC32:DD32&gt;=DC32, 1))</f>
        <v>2</v>
      </c>
      <c r="DG32" s="58">
        <f t="array" ref="DG32">SUM(IF(DC32:DD32&gt;=DD32, 1))</f>
        <v>1</v>
      </c>
      <c r="DI32" s="109">
        <f t="shared" si="67"/>
        <v>-54718744.672890954</v>
      </c>
      <c r="DJ32" s="109">
        <f t="shared" si="68"/>
        <v>0</v>
      </c>
      <c r="DL32" s="58">
        <f t="array" ref="DL32">SUM(IF(DI32:DJ32&gt;=DI32, 1))</f>
        <v>2</v>
      </c>
      <c r="DM32" s="58">
        <f t="array" ref="DM32">SUM(IF(DI32:DJ32&gt;=DJ32, 1))</f>
        <v>1</v>
      </c>
      <c r="DO32" s="109">
        <f t="shared" si="69"/>
        <v>-9832057.9657630771</v>
      </c>
      <c r="DP32" s="109">
        <f t="shared" si="70"/>
        <v>0</v>
      </c>
      <c r="DR32" s="58">
        <f t="array" ref="DR32">SUM(IF(DO32:DP32&gt;=DO32, 1))</f>
        <v>2</v>
      </c>
      <c r="DS32" s="58">
        <f t="array" ref="DS32">SUM(IF(DO32:DP32&gt;=DP32, 1))</f>
        <v>1</v>
      </c>
      <c r="DU32" s="109">
        <f t="shared" si="71"/>
        <v>-32038612.696534194</v>
      </c>
      <c r="DV32" s="109">
        <f t="shared" si="72"/>
        <v>0</v>
      </c>
      <c r="DX32" s="58">
        <f t="array" ref="DX32">SUM(IF(DU32:DV32&gt;=DU32, 1))</f>
        <v>2</v>
      </c>
      <c r="DY32" s="58">
        <f t="array" ref="DY32">SUM(IF(DU32:DV32&gt;=DV32, 1))</f>
        <v>1</v>
      </c>
      <c r="EA32" s="109">
        <f t="shared" si="73"/>
        <v>-147401294.66055909</v>
      </c>
      <c r="EB32" s="109">
        <f t="shared" si="74"/>
        <v>0</v>
      </c>
      <c r="ED32" s="58">
        <f t="array" ref="ED32">SUM(IF(EA32:EB32&gt;=EA32, 1))</f>
        <v>2</v>
      </c>
      <c r="EE32" s="58">
        <f t="array" ref="EE32">SUM(IF(EA32:EB32&gt;=EB32, 1))</f>
        <v>1</v>
      </c>
    </row>
    <row r="33" spans="4:135" ht="12" customHeight="1" x14ac:dyDescent="0.25">
      <c r="D33" s="11">
        <v>17</v>
      </c>
      <c r="E33" s="72">
        <v>205.92070812963439</v>
      </c>
      <c r="F33" s="72">
        <v>188.7725913522747</v>
      </c>
      <c r="G33" s="73"/>
      <c r="H33" s="74">
        <v>5.8310507858844716</v>
      </c>
      <c r="I33" s="74">
        <v>5.8467609163758638</v>
      </c>
      <c r="J33" s="73"/>
      <c r="K33" s="72">
        <v>221.0469795211506</v>
      </c>
      <c r="L33" s="72">
        <v>203.5172346945767</v>
      </c>
      <c r="M33" s="73"/>
      <c r="N33" s="74">
        <v>6.6817642765143805</v>
      </c>
      <c r="O33" s="74">
        <v>6.6955080432316398</v>
      </c>
      <c r="P33" s="73"/>
      <c r="Q33" s="72">
        <v>2380.7091082803563</v>
      </c>
      <c r="R33" s="72">
        <v>1242.3888268085589</v>
      </c>
      <c r="S33" s="73"/>
      <c r="T33" s="74">
        <v>4.7709288999977204</v>
      </c>
      <c r="U33" s="74">
        <v>4.8637183738266812</v>
      </c>
      <c r="V33" s="73"/>
      <c r="W33" s="72">
        <v>14462.579796298358</v>
      </c>
      <c r="X33" s="72">
        <v>14359.348006287721</v>
      </c>
      <c r="Y33" s="73"/>
      <c r="Z33" s="74">
        <v>3.0886823795741316</v>
      </c>
      <c r="AA33" s="74">
        <v>3.1074098306089777</v>
      </c>
      <c r="AB33" s="73"/>
      <c r="AC33" s="72">
        <v>49023.178754750763</v>
      </c>
      <c r="AD33" s="72">
        <v>48889.998474181812</v>
      </c>
      <c r="AE33" s="73"/>
      <c r="AF33" s="74">
        <v>4.40134914039582</v>
      </c>
      <c r="AG33" s="74">
        <v>4.4720709132033356</v>
      </c>
      <c r="AH33" s="73"/>
      <c r="AI33" s="72">
        <v>1845902.1241586888</v>
      </c>
      <c r="AJ33" s="72">
        <v>0</v>
      </c>
      <c r="AK33" s="73"/>
      <c r="AL33" s="74">
        <v>-1691.1106695493472</v>
      </c>
      <c r="AM33" s="74">
        <v>0</v>
      </c>
      <c r="AN33" s="73"/>
      <c r="AO33" s="72">
        <v>120763.14045305473</v>
      </c>
      <c r="AP33" s="72">
        <v>0</v>
      </c>
      <c r="AQ33" s="73"/>
      <c r="AR33" s="74">
        <v>-94.681379954507364</v>
      </c>
      <c r="AS33" s="74">
        <v>0</v>
      </c>
      <c r="AT33" s="73"/>
      <c r="AU33" s="72">
        <v>26301846.876453038</v>
      </c>
      <c r="AV33" s="72">
        <v>0</v>
      </c>
      <c r="AW33" s="73"/>
      <c r="AX33" s="74">
        <v>-2143.9787835814273</v>
      </c>
      <c r="AY33" s="74">
        <v>0</v>
      </c>
      <c r="AZ33" s="73"/>
      <c r="BA33" s="72">
        <v>930881.07086793752</v>
      </c>
      <c r="BB33" s="72">
        <v>0</v>
      </c>
      <c r="BC33" s="73"/>
      <c r="BD33" s="74">
        <v>-168.87268613813669</v>
      </c>
      <c r="BE33" s="74">
        <v>0</v>
      </c>
      <c r="BF33" s="73"/>
      <c r="BG33" s="72">
        <v>2092229.8858877143</v>
      </c>
      <c r="BH33" s="72">
        <v>0</v>
      </c>
      <c r="BI33" s="73"/>
      <c r="BJ33" s="74">
        <v>-1111.0218871647351</v>
      </c>
      <c r="BK33" s="74">
        <v>0</v>
      </c>
      <c r="BL33" s="73"/>
      <c r="BM33" s="72">
        <v>31291623.097820435</v>
      </c>
      <c r="BN33" s="72">
        <v>0</v>
      </c>
      <c r="BO33" s="73"/>
      <c r="BP33" s="74">
        <v>-5209.6654063881533</v>
      </c>
      <c r="BQ33" s="74">
        <v>0</v>
      </c>
      <c r="BS33" s="109">
        <f t="shared" si="54"/>
        <v>116415.09500955979</v>
      </c>
      <c r="BT33" s="109">
        <f t="shared" si="55"/>
        <v>116746.445736165</v>
      </c>
      <c r="BV33" s="58">
        <f t="array" ref="BV33">SUM(IF(BS33:BT33&gt;=BS33, 1))</f>
        <v>2</v>
      </c>
      <c r="BW33" s="58">
        <f t="array" ref="BW33">SUM(IF(BS33:BT33&gt;=BT33, 1))</f>
        <v>1</v>
      </c>
      <c r="BY33" s="109">
        <f t="shared" si="56"/>
        <v>133414.23855076646</v>
      </c>
      <c r="BZ33" s="109">
        <f t="shared" si="57"/>
        <v>133706.64362993822</v>
      </c>
      <c r="CB33" s="58">
        <f t="array" ref="CB33">SUM(IF(BY33:BZ33&gt;=BY33, 1))</f>
        <v>2</v>
      </c>
      <c r="CC33" s="58">
        <f t="array" ref="CC33">SUM(IF(BY33:BZ33&gt;=BZ33, 1))</f>
        <v>1</v>
      </c>
      <c r="CE33" s="109">
        <f t="shared" si="58"/>
        <v>93037.86889167405</v>
      </c>
      <c r="CF33" s="109">
        <f t="shared" si="59"/>
        <v>96031.978649725061</v>
      </c>
      <c r="CH33" s="58">
        <f t="array" ref="CH33">SUM(IF(CE33:CF33&gt;=CE33, 1))</f>
        <v>2</v>
      </c>
      <c r="CI33" s="58">
        <f t="array" ref="CI33">SUM(IF(CE33:CF33&gt;=CF33, 1))</f>
        <v>1</v>
      </c>
      <c r="CK33" s="109">
        <f t="shared" si="60"/>
        <v>47311.067795184274</v>
      </c>
      <c r="CL33" s="109">
        <f t="shared" si="61"/>
        <v>47788.848605891835</v>
      </c>
      <c r="CN33" s="58">
        <f t="array" ref="CN33">SUM(IF(CK33:CL33&gt;=CK33, 1))</f>
        <v>2</v>
      </c>
      <c r="CO33" s="58">
        <f t="array" ref="CO33">SUM(IF(CK33:CL33&gt;=CL33, 1))</f>
        <v>1</v>
      </c>
      <c r="CQ33" s="109" cm="1">
        <f t="array" ref="CQ33">AF33*WTP-AC33</f>
        <v>39003.804053165637</v>
      </c>
      <c r="CR33" s="109">
        <f t="shared" si="62"/>
        <v>40551.419789884902</v>
      </c>
      <c r="CT33" s="58">
        <f t="array" ref="CT33">SUM(IF(CQ33:CR33&gt;=CQ33, 1))</f>
        <v>2</v>
      </c>
      <c r="CU33" s="58">
        <f t="array" ref="CU33">SUM(IF(CQ33:CR33&gt;=CR33, 1))</f>
        <v>1</v>
      </c>
      <c r="CW33" s="109">
        <f t="shared" si="63"/>
        <v>-35668115.51514563</v>
      </c>
      <c r="CX33" s="109">
        <f t="shared" si="64"/>
        <v>0</v>
      </c>
      <c r="CZ33" s="58">
        <f t="array" ref="CZ33">SUM(IF(CW33:CX33&gt;=CW33, 1))</f>
        <v>2</v>
      </c>
      <c r="DA33" s="58">
        <f t="array" ref="DA33">SUM(IF(CW33:CX33&gt;=CX33, 1))</f>
        <v>1</v>
      </c>
      <c r="DC33" s="109">
        <f t="shared" si="65"/>
        <v>-2014390.7395432021</v>
      </c>
      <c r="DD33" s="109">
        <f t="shared" si="66"/>
        <v>0</v>
      </c>
      <c r="DF33" s="58">
        <f t="array" ref="DF33">SUM(IF(DC33:DD33&gt;=DC33, 1))</f>
        <v>2</v>
      </c>
      <c r="DG33" s="58">
        <f t="array" ref="DG33">SUM(IF(DC33:DD33&gt;=DD33, 1))</f>
        <v>1</v>
      </c>
      <c r="DI33" s="109">
        <f t="shared" si="67"/>
        <v>-69181422.548081577</v>
      </c>
      <c r="DJ33" s="109">
        <f t="shared" si="68"/>
        <v>0</v>
      </c>
      <c r="DL33" s="58">
        <f t="array" ref="DL33">SUM(IF(DI33:DJ33&gt;=DI33, 1))</f>
        <v>2</v>
      </c>
      <c r="DM33" s="58">
        <f t="array" ref="DM33">SUM(IF(DI33:DJ33&gt;=DJ33, 1))</f>
        <v>1</v>
      </c>
      <c r="DO33" s="109">
        <f t="shared" si="69"/>
        <v>-4308334.7936306708</v>
      </c>
      <c r="DP33" s="109">
        <f t="shared" si="70"/>
        <v>0</v>
      </c>
      <c r="DR33" s="58">
        <f t="array" ref="DR33">SUM(IF(DO33:DP33&gt;=DO33, 1))</f>
        <v>2</v>
      </c>
      <c r="DS33" s="58">
        <f t="array" ref="DS33">SUM(IF(DO33:DP33&gt;=DP33, 1))</f>
        <v>1</v>
      </c>
      <c r="DU33" s="109">
        <f t="shared" si="71"/>
        <v>-24312667.629182417</v>
      </c>
      <c r="DV33" s="109">
        <f t="shared" si="72"/>
        <v>0</v>
      </c>
      <c r="DX33" s="58">
        <f t="array" ref="DX33">SUM(IF(DU33:DV33&gt;=DU33, 1))</f>
        <v>2</v>
      </c>
      <c r="DY33" s="58">
        <f t="array" ref="DY33">SUM(IF(DU33:DV33&gt;=DV33, 1))</f>
        <v>1</v>
      </c>
      <c r="EA33" s="109">
        <f t="shared" si="73"/>
        <v>-135484931.22558349</v>
      </c>
      <c r="EB33" s="109">
        <f t="shared" si="74"/>
        <v>0</v>
      </c>
      <c r="ED33" s="58">
        <f t="array" ref="ED33">SUM(IF(EA33:EB33&gt;=EA33, 1))</f>
        <v>2</v>
      </c>
      <c r="EE33" s="58">
        <f t="array" ref="EE33">SUM(IF(EA33:EB33&gt;=EB33, 1))</f>
        <v>1</v>
      </c>
    </row>
    <row r="34" spans="4:135" ht="12" customHeight="1" x14ac:dyDescent="0.25">
      <c r="D34" s="11">
        <v>18</v>
      </c>
      <c r="E34" s="72">
        <v>234.82295243151469</v>
      </c>
      <c r="F34" s="72">
        <v>208.45114423001536</v>
      </c>
      <c r="G34" s="73"/>
      <c r="H34" s="74">
        <v>5.7401658236153175</v>
      </c>
      <c r="I34" s="74">
        <v>5.7581268234312732</v>
      </c>
      <c r="J34" s="73"/>
      <c r="K34" s="72">
        <v>251.75487454262563</v>
      </c>
      <c r="L34" s="72">
        <v>224.71194018444231</v>
      </c>
      <c r="M34" s="73"/>
      <c r="N34" s="74">
        <v>6.627680348417516</v>
      </c>
      <c r="O34" s="74">
        <v>6.6425157544957765</v>
      </c>
      <c r="P34" s="73"/>
      <c r="Q34" s="72">
        <v>2249.9360418344572</v>
      </c>
      <c r="R34" s="72">
        <v>1715.9906423924892</v>
      </c>
      <c r="S34" s="73"/>
      <c r="T34" s="74">
        <v>4.7994382042856865</v>
      </c>
      <c r="U34" s="74">
        <v>4.8541917336644023</v>
      </c>
      <c r="V34" s="73"/>
      <c r="W34" s="72">
        <v>12577.941457361985</v>
      </c>
      <c r="X34" s="72">
        <v>12568.897673098278</v>
      </c>
      <c r="Y34" s="73"/>
      <c r="Z34" s="74">
        <v>3.0530066458559113</v>
      </c>
      <c r="AA34" s="74">
        <v>3.0949869251888296</v>
      </c>
      <c r="AB34" s="73"/>
      <c r="AC34" s="72">
        <v>52305.673837384376</v>
      </c>
      <c r="AD34" s="72">
        <v>52164.439268598362</v>
      </c>
      <c r="AE34" s="73"/>
      <c r="AF34" s="74">
        <v>4.7706589529184402</v>
      </c>
      <c r="AG34" s="74">
        <v>4.8433003723618766</v>
      </c>
      <c r="AH34" s="73"/>
      <c r="AI34" s="72">
        <v>2836235.2877825415</v>
      </c>
      <c r="AJ34" s="72">
        <v>0</v>
      </c>
      <c r="AK34" s="73"/>
      <c r="AL34" s="74">
        <v>-1931.6696486126157</v>
      </c>
      <c r="AM34" s="74">
        <v>0</v>
      </c>
      <c r="AN34" s="73"/>
      <c r="AO34" s="72">
        <v>179531.82454085155</v>
      </c>
      <c r="AP34" s="72">
        <v>0</v>
      </c>
      <c r="AQ34" s="73"/>
      <c r="AR34" s="74">
        <v>-98.4888505721119</v>
      </c>
      <c r="AS34" s="74">
        <v>0</v>
      </c>
      <c r="AT34" s="73"/>
      <c r="AU34" s="72">
        <v>12343249.99197554</v>
      </c>
      <c r="AV34" s="72">
        <v>0</v>
      </c>
      <c r="AW34" s="73"/>
      <c r="AX34" s="74">
        <v>-1265.7408449830082</v>
      </c>
      <c r="AY34" s="74">
        <v>0</v>
      </c>
      <c r="AZ34" s="73"/>
      <c r="BA34" s="72">
        <v>82139.155350552697</v>
      </c>
      <c r="BB34" s="72">
        <v>0</v>
      </c>
      <c r="BC34" s="73"/>
      <c r="BD34" s="74">
        <v>-381.28117447735002</v>
      </c>
      <c r="BE34" s="74">
        <v>0</v>
      </c>
      <c r="BF34" s="73"/>
      <c r="BG34" s="72">
        <v>2234478.200505442</v>
      </c>
      <c r="BH34" s="72">
        <v>0</v>
      </c>
      <c r="BI34" s="73"/>
      <c r="BJ34" s="74">
        <v>-1149.2630281334073</v>
      </c>
      <c r="BK34" s="74">
        <v>0</v>
      </c>
      <c r="BL34" s="73"/>
      <c r="BM34" s="72">
        <v>17675634.460154928</v>
      </c>
      <c r="BN34" s="72">
        <v>0</v>
      </c>
      <c r="BO34" s="73"/>
      <c r="BP34" s="74">
        <v>-4826.4435467784933</v>
      </c>
      <c r="BQ34" s="74">
        <v>0</v>
      </c>
      <c r="BS34" s="109">
        <f t="shared" si="54"/>
        <v>114568.49351987484</v>
      </c>
      <c r="BT34" s="109">
        <f t="shared" si="55"/>
        <v>114954.08532439545</v>
      </c>
      <c r="BV34" s="58">
        <f t="array" ref="BV34">SUM(IF(BS34:BT34&gt;=BS34, 1))</f>
        <v>2</v>
      </c>
      <c r="BW34" s="58">
        <f t="array" ref="BW34">SUM(IF(BS34:BT34&gt;=BT34, 1))</f>
        <v>1</v>
      </c>
      <c r="BY34" s="109">
        <f t="shared" si="56"/>
        <v>132301.85209380771</v>
      </c>
      <c r="BZ34" s="109">
        <f t="shared" si="57"/>
        <v>132625.60314973109</v>
      </c>
      <c r="CB34" s="58">
        <f t="array" ref="CB34">SUM(IF(BY34:BZ34&gt;=BY34, 1))</f>
        <v>2</v>
      </c>
      <c r="CC34" s="58">
        <f t="array" ref="CC34">SUM(IF(BY34:BZ34&gt;=BZ34, 1))</f>
        <v>1</v>
      </c>
      <c r="CE34" s="109">
        <f t="shared" si="58"/>
        <v>93738.828043879272</v>
      </c>
      <c r="CF34" s="109">
        <f t="shared" si="59"/>
        <v>95367.844030895561</v>
      </c>
      <c r="CH34" s="58">
        <f t="array" ref="CH34">SUM(IF(CE34:CF34&gt;=CE34, 1))</f>
        <v>2</v>
      </c>
      <c r="CI34" s="58">
        <f t="array" ref="CI34">SUM(IF(CE34:CF34&gt;=CF34, 1))</f>
        <v>1</v>
      </c>
      <c r="CK34" s="109">
        <f t="shared" si="60"/>
        <v>48482.191459756243</v>
      </c>
      <c r="CL34" s="109">
        <f t="shared" si="61"/>
        <v>49330.840830678317</v>
      </c>
      <c r="CN34" s="58">
        <f t="array" ref="CN34">SUM(IF(CK34:CL34&gt;=CK34, 1))</f>
        <v>2</v>
      </c>
      <c r="CO34" s="58">
        <f t="array" ref="CO34">SUM(IF(CK34:CL34&gt;=CL34, 1))</f>
        <v>1</v>
      </c>
      <c r="CQ34" s="109" cm="1">
        <f t="array" ref="CQ34">AF34*WTP-AC34</f>
        <v>43107.505220984422</v>
      </c>
      <c r="CR34" s="109">
        <f t="shared" si="62"/>
        <v>44701.568178639165</v>
      </c>
      <c r="CT34" s="58">
        <f t="array" ref="CT34">SUM(IF(CQ34:CR34&gt;=CQ34, 1))</f>
        <v>2</v>
      </c>
      <c r="CU34" s="58">
        <f t="array" ref="CU34">SUM(IF(CQ34:CR34&gt;=CR34, 1))</f>
        <v>1</v>
      </c>
      <c r="CW34" s="109">
        <f t="shared" si="63"/>
        <v>-41469628.260034859</v>
      </c>
      <c r="CX34" s="109">
        <f t="shared" si="64"/>
        <v>0</v>
      </c>
      <c r="CZ34" s="58">
        <f t="array" ref="CZ34">SUM(IF(CW34:CX34&gt;=CW34, 1))</f>
        <v>2</v>
      </c>
      <c r="DA34" s="58">
        <f t="array" ref="DA34">SUM(IF(CW34:CX34&gt;=CX34, 1))</f>
        <v>1</v>
      </c>
      <c r="DC34" s="109">
        <f t="shared" si="65"/>
        <v>-2149308.8359830896</v>
      </c>
      <c r="DD34" s="109">
        <f t="shared" si="66"/>
        <v>0</v>
      </c>
      <c r="DF34" s="58">
        <f t="array" ref="DF34">SUM(IF(DC34:DD34&gt;=DC34, 1))</f>
        <v>2</v>
      </c>
      <c r="DG34" s="58">
        <f t="array" ref="DG34">SUM(IF(DC34:DD34&gt;=DD34, 1))</f>
        <v>1</v>
      </c>
      <c r="DI34" s="109">
        <f t="shared" si="67"/>
        <v>-37658066.891635701</v>
      </c>
      <c r="DJ34" s="109">
        <f t="shared" si="68"/>
        <v>0</v>
      </c>
      <c r="DL34" s="58">
        <f t="array" ref="DL34">SUM(IF(DI34:DJ34&gt;=DI34, 1))</f>
        <v>2</v>
      </c>
      <c r="DM34" s="58">
        <f t="array" ref="DM34">SUM(IF(DI34:DJ34&gt;=DJ34, 1))</f>
        <v>1</v>
      </c>
      <c r="DO34" s="109">
        <f t="shared" si="69"/>
        <v>-7707762.6448975531</v>
      </c>
      <c r="DP34" s="109">
        <f t="shared" si="70"/>
        <v>0</v>
      </c>
      <c r="DR34" s="58">
        <f t="array" ref="DR34">SUM(IF(DO34:DP34&gt;=DO34, 1))</f>
        <v>2</v>
      </c>
      <c r="DS34" s="58">
        <f t="array" ref="DS34">SUM(IF(DO34:DP34&gt;=DP34, 1))</f>
        <v>1</v>
      </c>
      <c r="DU34" s="109">
        <f t="shared" si="71"/>
        <v>-25219738.763173588</v>
      </c>
      <c r="DV34" s="109">
        <f t="shared" si="72"/>
        <v>0</v>
      </c>
      <c r="DX34" s="58">
        <f t="array" ref="DX34">SUM(IF(DU34:DV34&gt;=DU34, 1))</f>
        <v>2</v>
      </c>
      <c r="DY34" s="58">
        <f t="array" ref="DY34">SUM(IF(DU34:DV34&gt;=DV34, 1))</f>
        <v>1</v>
      </c>
      <c r="EA34" s="109">
        <f t="shared" si="73"/>
        <v>-114204505.3957248</v>
      </c>
      <c r="EB34" s="109">
        <f t="shared" si="74"/>
        <v>0</v>
      </c>
      <c r="ED34" s="58">
        <f t="array" ref="ED34">SUM(IF(EA34:EB34&gt;=EA34, 1))</f>
        <v>2</v>
      </c>
      <c r="EE34" s="58">
        <f t="array" ref="EE34">SUM(IF(EA34:EB34&gt;=EB34, 1))</f>
        <v>1</v>
      </c>
    </row>
    <row r="35" spans="4:135" ht="12" customHeight="1" x14ac:dyDescent="0.25">
      <c r="D35" s="11">
        <v>19</v>
      </c>
      <c r="E35" s="72">
        <v>221.05233740092251</v>
      </c>
      <c r="F35" s="72">
        <v>198.44908684423092</v>
      </c>
      <c r="G35" s="73"/>
      <c r="H35" s="74">
        <v>5.8120561922284848</v>
      </c>
      <c r="I35" s="74">
        <v>5.8275018508775078</v>
      </c>
      <c r="J35" s="73"/>
      <c r="K35" s="72">
        <v>237.12026979111263</v>
      </c>
      <c r="L35" s="72">
        <v>213.97975902384567</v>
      </c>
      <c r="M35" s="73"/>
      <c r="N35" s="74">
        <v>6.6579469083774097</v>
      </c>
      <c r="O35" s="74">
        <v>6.6707816793214869</v>
      </c>
      <c r="P35" s="73"/>
      <c r="Q35" s="72">
        <v>2181.8893499464821</v>
      </c>
      <c r="R35" s="72">
        <v>1290.8810287829401</v>
      </c>
      <c r="S35" s="73"/>
      <c r="T35" s="74">
        <v>4.7767896738572997</v>
      </c>
      <c r="U35" s="74">
        <v>4.8646662009623975</v>
      </c>
      <c r="V35" s="73"/>
      <c r="W35" s="72">
        <v>11135.345855883768</v>
      </c>
      <c r="X35" s="72">
        <v>11104.437255060549</v>
      </c>
      <c r="Y35" s="73"/>
      <c r="Z35" s="74">
        <v>3.0555389138190159</v>
      </c>
      <c r="AA35" s="74">
        <v>3.1068749855663151</v>
      </c>
      <c r="AB35" s="73"/>
      <c r="AC35" s="72">
        <v>50397.555901682863</v>
      </c>
      <c r="AD35" s="72">
        <v>50324.217098747293</v>
      </c>
      <c r="AE35" s="73"/>
      <c r="AF35" s="74">
        <v>5.079936394501436</v>
      </c>
      <c r="AG35" s="74">
        <v>5.1396744123257703</v>
      </c>
      <c r="AH35" s="73"/>
      <c r="AI35" s="72">
        <v>2420535.0140969492</v>
      </c>
      <c r="AJ35" s="72">
        <v>0</v>
      </c>
      <c r="AK35" s="73"/>
      <c r="AL35" s="74">
        <v>-1654.0434076939187</v>
      </c>
      <c r="AM35" s="74">
        <v>0</v>
      </c>
      <c r="AN35" s="73"/>
      <c r="AO35" s="72">
        <v>161152.44840593264</v>
      </c>
      <c r="AP35" s="72">
        <v>0</v>
      </c>
      <c r="AQ35" s="73"/>
      <c r="AR35" s="74">
        <v>-89.382416108685533</v>
      </c>
      <c r="AS35" s="74">
        <v>0</v>
      </c>
      <c r="AT35" s="73"/>
      <c r="AU35" s="72">
        <v>20528863.494644552</v>
      </c>
      <c r="AV35" s="72">
        <v>0</v>
      </c>
      <c r="AW35" s="73"/>
      <c r="AX35" s="74">
        <v>-2024.6783183440846</v>
      </c>
      <c r="AY35" s="74">
        <v>0</v>
      </c>
      <c r="AZ35" s="73"/>
      <c r="BA35" s="72">
        <v>274469.09739893524</v>
      </c>
      <c r="BB35" s="72">
        <v>0</v>
      </c>
      <c r="BC35" s="73"/>
      <c r="BD35" s="74">
        <v>-455.86551643267921</v>
      </c>
      <c r="BE35" s="74">
        <v>0</v>
      </c>
      <c r="BF35" s="73"/>
      <c r="BG35" s="72">
        <v>1177266.3305650912</v>
      </c>
      <c r="BH35" s="72">
        <v>0</v>
      </c>
      <c r="BI35" s="73"/>
      <c r="BJ35" s="74">
        <v>-958.94061839365543</v>
      </c>
      <c r="BK35" s="74">
        <v>0</v>
      </c>
      <c r="BL35" s="73"/>
      <c r="BM35" s="72">
        <v>24562286.385111462</v>
      </c>
      <c r="BN35" s="72">
        <v>0</v>
      </c>
      <c r="BO35" s="73"/>
      <c r="BP35" s="74">
        <v>-5182.9102769730234</v>
      </c>
      <c r="BQ35" s="74">
        <v>0</v>
      </c>
      <c r="BS35" s="109">
        <f t="shared" si="54"/>
        <v>116020.07150716877</v>
      </c>
      <c r="BT35" s="109">
        <f t="shared" si="55"/>
        <v>116351.58793070592</v>
      </c>
      <c r="BV35" s="58">
        <f t="array" ref="BV35">SUM(IF(BS35:BT35&gt;=BS35, 1))</f>
        <v>2</v>
      </c>
      <c r="BW35" s="58">
        <f t="array" ref="BW35">SUM(IF(BS35:BT35&gt;=BT35, 1))</f>
        <v>1</v>
      </c>
      <c r="BY35" s="109">
        <f t="shared" si="56"/>
        <v>132921.81789775708</v>
      </c>
      <c r="BZ35" s="109">
        <f t="shared" si="57"/>
        <v>133201.65382740588</v>
      </c>
      <c r="CB35" s="58">
        <f t="array" ref="CB35">SUM(IF(BY35:BZ35&gt;=BY35, 1))</f>
        <v>2</v>
      </c>
      <c r="CC35" s="58">
        <f t="array" ref="CC35">SUM(IF(BY35:BZ35&gt;=BZ35, 1))</f>
        <v>1</v>
      </c>
      <c r="CE35" s="109">
        <f t="shared" si="58"/>
        <v>93353.904127199523</v>
      </c>
      <c r="CF35" s="109">
        <f t="shared" si="59"/>
        <v>96002.442990465017</v>
      </c>
      <c r="CH35" s="58">
        <f t="array" ref="CH35">SUM(IF(CE35:CF35&gt;=CE35, 1))</f>
        <v>2</v>
      </c>
      <c r="CI35" s="58">
        <f t="array" ref="CI35">SUM(IF(CE35:CF35&gt;=CF35, 1))</f>
        <v>1</v>
      </c>
      <c r="CK35" s="109">
        <f t="shared" si="60"/>
        <v>49975.432420496552</v>
      </c>
      <c r="CL35" s="109">
        <f t="shared" si="61"/>
        <v>51033.062456265754</v>
      </c>
      <c r="CN35" s="58">
        <f t="array" ref="CN35">SUM(IF(CK35:CL35&gt;=CK35, 1))</f>
        <v>2</v>
      </c>
      <c r="CO35" s="58">
        <f t="array" ref="CO35">SUM(IF(CK35:CL35&gt;=CL35, 1))</f>
        <v>1</v>
      </c>
      <c r="CQ35" s="109" cm="1">
        <f t="array" ref="CQ35">AF35*WTP-AC35</f>
        <v>51201.171988345857</v>
      </c>
      <c r="CR35" s="109">
        <f t="shared" si="62"/>
        <v>52469.271147768115</v>
      </c>
      <c r="CT35" s="58">
        <f t="array" ref="CT35">SUM(IF(CQ35:CR35&gt;=CQ35, 1))</f>
        <v>2</v>
      </c>
      <c r="CU35" s="58">
        <f t="array" ref="CU35">SUM(IF(CQ35:CR35&gt;=CR35, 1))</f>
        <v>1</v>
      </c>
      <c r="CW35" s="109">
        <f t="shared" si="63"/>
        <v>-35501403.167975321</v>
      </c>
      <c r="CX35" s="109">
        <f t="shared" si="64"/>
        <v>0</v>
      </c>
      <c r="CZ35" s="58">
        <f t="array" ref="CZ35">SUM(IF(CW35:CX35&gt;=CW35, 1))</f>
        <v>2</v>
      </c>
      <c r="DA35" s="58">
        <f t="array" ref="DA35">SUM(IF(CW35:CX35&gt;=CX35, 1))</f>
        <v>1</v>
      </c>
      <c r="DC35" s="109">
        <f t="shared" si="65"/>
        <v>-1948800.7705796433</v>
      </c>
      <c r="DD35" s="109">
        <f t="shared" si="66"/>
        <v>0</v>
      </c>
      <c r="DF35" s="58">
        <f t="array" ref="DF35">SUM(IF(DC35:DD35&gt;=DC35, 1))</f>
        <v>2</v>
      </c>
      <c r="DG35" s="58">
        <f t="array" ref="DG35">SUM(IF(DC35:DD35&gt;=DD35, 1))</f>
        <v>1</v>
      </c>
      <c r="DI35" s="109">
        <f t="shared" si="67"/>
        <v>-61022429.861526243</v>
      </c>
      <c r="DJ35" s="109">
        <f t="shared" si="68"/>
        <v>0</v>
      </c>
      <c r="DL35" s="58">
        <f t="array" ref="DL35">SUM(IF(DI35:DJ35&gt;=DI35, 1))</f>
        <v>2</v>
      </c>
      <c r="DM35" s="58">
        <f t="array" ref="DM35">SUM(IF(DI35:DJ35&gt;=DJ35, 1))</f>
        <v>1</v>
      </c>
      <c r="DO35" s="109">
        <f t="shared" si="69"/>
        <v>-9391779.4260525201</v>
      </c>
      <c r="DP35" s="109">
        <f t="shared" si="70"/>
        <v>0</v>
      </c>
      <c r="DR35" s="58">
        <f t="array" ref="DR35">SUM(IF(DO35:DP35&gt;=DO35, 1))</f>
        <v>2</v>
      </c>
      <c r="DS35" s="58">
        <f t="array" ref="DS35">SUM(IF(DO35:DP35&gt;=DP35, 1))</f>
        <v>1</v>
      </c>
      <c r="DU35" s="109">
        <f t="shared" si="71"/>
        <v>-20356078.698438201</v>
      </c>
      <c r="DV35" s="109">
        <f t="shared" si="72"/>
        <v>0</v>
      </c>
      <c r="DX35" s="58">
        <f t="array" ref="DX35">SUM(IF(DU35:DV35&gt;=DU35, 1))</f>
        <v>2</v>
      </c>
      <c r="DY35" s="58">
        <f t="array" ref="DY35">SUM(IF(DU35:DV35&gt;=DV35, 1))</f>
        <v>1</v>
      </c>
      <c r="EA35" s="109">
        <f t="shared" si="73"/>
        <v>-128220491.92457193</v>
      </c>
      <c r="EB35" s="109">
        <f t="shared" si="74"/>
        <v>0</v>
      </c>
      <c r="ED35" s="58">
        <f t="array" ref="ED35">SUM(IF(EA35:EB35&gt;=EA35, 1))</f>
        <v>2</v>
      </c>
      <c r="EE35" s="58">
        <f t="array" ref="EE35">SUM(IF(EA35:EB35&gt;=EB35, 1))</f>
        <v>1</v>
      </c>
    </row>
    <row r="36" spans="4:135" ht="12" customHeight="1" x14ac:dyDescent="0.25">
      <c r="D36" s="11">
        <v>20</v>
      </c>
      <c r="E36" s="72">
        <v>335.45759281199446</v>
      </c>
      <c r="F36" s="72">
        <v>305.37385906324238</v>
      </c>
      <c r="G36" s="73"/>
      <c r="H36" s="74">
        <v>5.8036833184948398</v>
      </c>
      <c r="I36" s="74">
        <v>5.8200582733402184</v>
      </c>
      <c r="J36" s="73"/>
      <c r="K36" s="72">
        <v>360.09502372812227</v>
      </c>
      <c r="L36" s="72">
        <v>329.2718597645943</v>
      </c>
      <c r="M36" s="73"/>
      <c r="N36" s="74">
        <v>6.6978292800721402</v>
      </c>
      <c r="O36" s="74">
        <v>6.7120567249623138</v>
      </c>
      <c r="P36" s="73"/>
      <c r="Q36" s="72">
        <v>1870.6101231709097</v>
      </c>
      <c r="R36" s="72">
        <v>1287.2305658593389</v>
      </c>
      <c r="S36" s="73"/>
      <c r="T36" s="74">
        <v>5.0478639352902928</v>
      </c>
      <c r="U36" s="74">
        <v>5.1116090059140893</v>
      </c>
      <c r="V36" s="73"/>
      <c r="W36" s="72">
        <v>10822.94242296694</v>
      </c>
      <c r="X36" s="72">
        <v>10779.714880082278</v>
      </c>
      <c r="Y36" s="73"/>
      <c r="Z36" s="74">
        <v>2.9244937222307903</v>
      </c>
      <c r="AA36" s="74">
        <v>2.964702148744899</v>
      </c>
      <c r="AB36" s="73"/>
      <c r="AC36" s="72">
        <v>49058.938013915693</v>
      </c>
      <c r="AD36" s="72">
        <v>49040.410157520811</v>
      </c>
      <c r="AE36" s="73"/>
      <c r="AF36" s="74">
        <v>4.5664027784919883</v>
      </c>
      <c r="AG36" s="74">
        <v>4.7715600386022823</v>
      </c>
      <c r="AH36" s="73"/>
      <c r="AI36" s="72">
        <v>3222152.9835798778</v>
      </c>
      <c r="AJ36" s="72">
        <v>0</v>
      </c>
      <c r="AK36" s="73"/>
      <c r="AL36" s="74">
        <v>-1753.8584157031798</v>
      </c>
      <c r="AM36" s="74">
        <v>0</v>
      </c>
      <c r="AN36" s="73"/>
      <c r="AO36" s="72">
        <v>211653.63852795688</v>
      </c>
      <c r="AP36" s="72">
        <v>0</v>
      </c>
      <c r="AQ36" s="73"/>
      <c r="AR36" s="74">
        <v>-97.695696701493262</v>
      </c>
      <c r="AS36" s="74">
        <v>0</v>
      </c>
      <c r="AT36" s="73"/>
      <c r="AU36" s="72">
        <v>13751836.415124983</v>
      </c>
      <c r="AV36" s="72">
        <v>0</v>
      </c>
      <c r="AW36" s="73"/>
      <c r="AX36" s="74">
        <v>-1502.6439862390635</v>
      </c>
      <c r="AY36" s="74">
        <v>0</v>
      </c>
      <c r="AZ36" s="73"/>
      <c r="BA36" s="72">
        <v>371587.10346100712</v>
      </c>
      <c r="BB36" s="72">
        <v>0</v>
      </c>
      <c r="BC36" s="73"/>
      <c r="BD36" s="74">
        <v>-345.6345594975657</v>
      </c>
      <c r="BE36" s="74">
        <v>0</v>
      </c>
      <c r="BF36" s="73"/>
      <c r="BG36" s="72">
        <v>279741.98876119661</v>
      </c>
      <c r="BH36" s="72">
        <v>0</v>
      </c>
      <c r="BI36" s="73"/>
      <c r="BJ36" s="74">
        <v>-3097.5574685427168</v>
      </c>
      <c r="BK36" s="74">
        <v>0</v>
      </c>
      <c r="BL36" s="73"/>
      <c r="BM36" s="72">
        <v>17836972.129455023</v>
      </c>
      <c r="BN36" s="72">
        <v>0</v>
      </c>
      <c r="BO36" s="73"/>
      <c r="BP36" s="74">
        <v>-6797.3901266840185</v>
      </c>
      <c r="BQ36" s="74">
        <v>0</v>
      </c>
      <c r="BS36" s="109">
        <f t="shared" si="54"/>
        <v>115738.2087770848</v>
      </c>
      <c r="BT36" s="109">
        <f t="shared" si="55"/>
        <v>116095.79160774112</v>
      </c>
      <c r="BV36" s="58">
        <f t="array" ref="BV36">SUM(IF(BS36:BT36&gt;=BS36, 1))</f>
        <v>2</v>
      </c>
      <c r="BW36" s="58">
        <f t="array" ref="BW36">SUM(IF(BS36:BT36&gt;=BT36, 1))</f>
        <v>1</v>
      </c>
      <c r="BY36" s="109">
        <f t="shared" si="56"/>
        <v>133596.49057771469</v>
      </c>
      <c r="BZ36" s="109">
        <f t="shared" si="57"/>
        <v>133911.8626394817</v>
      </c>
      <c r="CB36" s="58">
        <f t="array" ref="CB36">SUM(IF(BY36:BZ36&gt;=BY36, 1))</f>
        <v>2</v>
      </c>
      <c r="CC36" s="58">
        <f t="array" ref="CC36">SUM(IF(BY36:BZ36&gt;=BZ36, 1))</f>
        <v>1</v>
      </c>
      <c r="CE36" s="109">
        <f t="shared" si="58"/>
        <v>99086.668582634957</v>
      </c>
      <c r="CF36" s="109">
        <f t="shared" si="59"/>
        <v>100944.94955242245</v>
      </c>
      <c r="CH36" s="58">
        <f t="array" ref="CH36">SUM(IF(CE36:CF36&gt;=CE36, 1))</f>
        <v>2</v>
      </c>
      <c r="CI36" s="58">
        <f t="array" ref="CI36">SUM(IF(CE36:CF36&gt;=CF36, 1))</f>
        <v>1</v>
      </c>
      <c r="CK36" s="109">
        <f t="shared" si="60"/>
        <v>47666.93202164887</v>
      </c>
      <c r="CL36" s="109">
        <f t="shared" si="61"/>
        <v>48514.328094815704</v>
      </c>
      <c r="CN36" s="58">
        <f t="array" ref="CN36">SUM(IF(CK36:CL36&gt;=CK36, 1))</f>
        <v>2</v>
      </c>
      <c r="CO36" s="58">
        <f t="array" ref="CO36">SUM(IF(CK36:CL36&gt;=CL36, 1))</f>
        <v>1</v>
      </c>
      <c r="CQ36" s="109" cm="1">
        <f t="array" ref="CQ36">AF36*WTP-AC36</f>
        <v>42269.117555924073</v>
      </c>
      <c r="CR36" s="109">
        <f t="shared" si="62"/>
        <v>46390.790614524834</v>
      </c>
      <c r="CT36" s="58">
        <f t="array" ref="CT36">SUM(IF(CQ36:CR36&gt;=CQ36, 1))</f>
        <v>2</v>
      </c>
      <c r="CU36" s="58">
        <f t="array" ref="CU36">SUM(IF(CQ36:CR36&gt;=CR36, 1))</f>
        <v>1</v>
      </c>
      <c r="CW36" s="109">
        <f t="shared" si="63"/>
        <v>-38299321.297643468</v>
      </c>
      <c r="CX36" s="109">
        <f t="shared" si="64"/>
        <v>0</v>
      </c>
      <c r="CZ36" s="58">
        <f t="array" ref="CZ36">SUM(IF(CW36:CX36&gt;=CW36, 1))</f>
        <v>2</v>
      </c>
      <c r="DA36" s="58">
        <f t="array" ref="DA36">SUM(IF(CW36:CX36&gt;=CX36, 1))</f>
        <v>1</v>
      </c>
      <c r="DC36" s="109">
        <f t="shared" si="65"/>
        <v>-2165567.5725578223</v>
      </c>
      <c r="DD36" s="109">
        <f t="shared" si="66"/>
        <v>0</v>
      </c>
      <c r="DF36" s="58">
        <f t="array" ref="DF36">SUM(IF(DC36:DD36&gt;=DC36, 1))</f>
        <v>2</v>
      </c>
      <c r="DG36" s="58">
        <f t="array" ref="DG36">SUM(IF(DC36:DD36&gt;=DD36, 1))</f>
        <v>1</v>
      </c>
      <c r="DI36" s="109">
        <f t="shared" si="67"/>
        <v>-43804716.13990625</v>
      </c>
      <c r="DJ36" s="109">
        <f t="shared" si="68"/>
        <v>0</v>
      </c>
      <c r="DL36" s="58">
        <f t="array" ref="DL36">SUM(IF(DI36:DJ36&gt;=DI36, 1))</f>
        <v>2</v>
      </c>
      <c r="DM36" s="58">
        <f t="array" ref="DM36">SUM(IF(DI36:DJ36&gt;=DJ36, 1))</f>
        <v>1</v>
      </c>
      <c r="DO36" s="109">
        <f t="shared" si="69"/>
        <v>-7284278.2934123203</v>
      </c>
      <c r="DP36" s="109">
        <f t="shared" si="70"/>
        <v>0</v>
      </c>
      <c r="DR36" s="58">
        <f t="array" ref="DR36">SUM(IF(DO36:DP36&gt;=DO36, 1))</f>
        <v>2</v>
      </c>
      <c r="DS36" s="58">
        <f t="array" ref="DS36">SUM(IF(DO36:DP36&gt;=DP36, 1))</f>
        <v>1</v>
      </c>
      <c r="DU36" s="109">
        <f t="shared" si="71"/>
        <v>-62230891.359615527</v>
      </c>
      <c r="DV36" s="109">
        <f t="shared" si="72"/>
        <v>0</v>
      </c>
      <c r="DX36" s="58">
        <f t="array" ref="DX36">SUM(IF(DU36:DV36&gt;=DU36, 1))</f>
        <v>2</v>
      </c>
      <c r="DY36" s="58">
        <f t="array" ref="DY36">SUM(IF(DU36:DV36&gt;=DV36, 1))</f>
        <v>1</v>
      </c>
      <c r="EA36" s="109">
        <f t="shared" si="73"/>
        <v>-153784774.66313541</v>
      </c>
      <c r="EB36" s="109">
        <f t="shared" si="74"/>
        <v>0</v>
      </c>
      <c r="ED36" s="58">
        <f t="array" ref="ED36">SUM(IF(EA36:EB36&gt;=EA36, 1))</f>
        <v>2</v>
      </c>
      <c r="EE36" s="58">
        <f t="array" ref="EE36">SUM(IF(EA36:EB36&gt;=EB36, 1))</f>
        <v>1</v>
      </c>
    </row>
    <row r="37" spans="4:135" ht="12" customHeight="1" x14ac:dyDescent="0.25">
      <c r="D37" s="11">
        <v>21</v>
      </c>
      <c r="E37" s="72">
        <v>228.98977617223858</v>
      </c>
      <c r="F37" s="72">
        <v>193.65573348438699</v>
      </c>
      <c r="G37" s="73"/>
      <c r="H37" s="74">
        <v>5.8009425068473224</v>
      </c>
      <c r="I37" s="74">
        <v>5.8189247644640805</v>
      </c>
      <c r="J37" s="73"/>
      <c r="K37" s="72">
        <v>244.86463218223491</v>
      </c>
      <c r="L37" s="72">
        <v>208.6977546782019</v>
      </c>
      <c r="M37" s="73"/>
      <c r="N37" s="74">
        <v>6.7530635351606918</v>
      </c>
      <c r="O37" s="74">
        <v>6.7690757601312903</v>
      </c>
      <c r="P37" s="73"/>
      <c r="Q37" s="72">
        <v>2397.1750872562197</v>
      </c>
      <c r="R37" s="72">
        <v>1167.6477085557115</v>
      </c>
      <c r="S37" s="73"/>
      <c r="T37" s="74">
        <v>4.6541550510762519</v>
      </c>
      <c r="U37" s="74">
        <v>4.7704213107867552</v>
      </c>
      <c r="V37" s="73"/>
      <c r="W37" s="72">
        <v>8503.4298575867015</v>
      </c>
      <c r="X37" s="72">
        <v>8441.8769875727558</v>
      </c>
      <c r="Y37" s="73"/>
      <c r="Z37" s="74">
        <v>2.9778974968032803</v>
      </c>
      <c r="AA37" s="74">
        <v>3.0208484069495269</v>
      </c>
      <c r="AB37" s="73"/>
      <c r="AC37" s="72">
        <v>49762.975904315288</v>
      </c>
      <c r="AD37" s="72">
        <v>49581.793839342288</v>
      </c>
      <c r="AE37" s="73"/>
      <c r="AF37" s="74">
        <v>4.939213433842025</v>
      </c>
      <c r="AG37" s="74">
        <v>5.026262321317291</v>
      </c>
      <c r="AH37" s="73"/>
      <c r="AI37" s="72">
        <v>3769465.0835690438</v>
      </c>
      <c r="AJ37" s="72">
        <v>0</v>
      </c>
      <c r="AK37" s="73"/>
      <c r="AL37" s="74">
        <v>-1918.3622097512819</v>
      </c>
      <c r="AM37" s="74">
        <v>0</v>
      </c>
      <c r="AN37" s="73"/>
      <c r="AO37" s="72">
        <v>257448.17185773412</v>
      </c>
      <c r="AP37" s="72">
        <v>0</v>
      </c>
      <c r="AQ37" s="73"/>
      <c r="AR37" s="74">
        <v>-113.98047966943408</v>
      </c>
      <c r="AS37" s="74">
        <v>0</v>
      </c>
      <c r="AT37" s="73"/>
      <c r="AU37" s="72">
        <v>28880460.379443422</v>
      </c>
      <c r="AV37" s="72">
        <v>0</v>
      </c>
      <c r="AW37" s="73"/>
      <c r="AX37" s="74">
        <v>-2730.98685332584</v>
      </c>
      <c r="AY37" s="74">
        <v>0</v>
      </c>
      <c r="AZ37" s="73"/>
      <c r="BA37" s="72">
        <v>562615.01072411553</v>
      </c>
      <c r="BB37" s="72">
        <v>0</v>
      </c>
      <c r="BC37" s="73"/>
      <c r="BD37" s="74">
        <v>-392.58651573949635</v>
      </c>
      <c r="BE37" s="74">
        <v>0</v>
      </c>
      <c r="BF37" s="73"/>
      <c r="BG37" s="72">
        <v>2903217.9560960364</v>
      </c>
      <c r="BH37" s="72">
        <v>0</v>
      </c>
      <c r="BI37" s="73"/>
      <c r="BJ37" s="74">
        <v>-1394.8504959033155</v>
      </c>
      <c r="BK37" s="74">
        <v>0</v>
      </c>
      <c r="BL37" s="73"/>
      <c r="BM37" s="72">
        <v>36373206.601690352</v>
      </c>
      <c r="BN37" s="72">
        <v>0</v>
      </c>
      <c r="BO37" s="73"/>
      <c r="BP37" s="74">
        <v>-6550.7665543893681</v>
      </c>
      <c r="BQ37" s="74">
        <v>0</v>
      </c>
      <c r="BS37" s="109">
        <f t="shared" si="54"/>
        <v>115789.86036077421</v>
      </c>
      <c r="BT37" s="109">
        <f t="shared" si="55"/>
        <v>116184.83955579723</v>
      </c>
      <c r="BV37" s="58">
        <f t="array" ref="BV37">SUM(IF(BS37:BT37&gt;=BS37, 1))</f>
        <v>2</v>
      </c>
      <c r="BW37" s="58">
        <f t="array" ref="BW37">SUM(IF(BS37:BT37&gt;=BT37, 1))</f>
        <v>1</v>
      </c>
      <c r="BY37" s="109">
        <f t="shared" si="56"/>
        <v>134816.40607103161</v>
      </c>
      <c r="BZ37" s="109">
        <f t="shared" si="57"/>
        <v>135172.8174479476</v>
      </c>
      <c r="CB37" s="58">
        <f t="array" ref="CB37">SUM(IF(BY37:BZ37&gt;=BY37, 1))</f>
        <v>2</v>
      </c>
      <c r="CC37" s="58">
        <f t="array" ref="CC37">SUM(IF(BY37:BZ37&gt;=BZ37, 1))</f>
        <v>1</v>
      </c>
      <c r="CE37" s="109">
        <f t="shared" si="58"/>
        <v>90685.925934268816</v>
      </c>
      <c r="CF37" s="109">
        <f t="shared" si="59"/>
        <v>94240.778507179391</v>
      </c>
      <c r="CH37" s="58">
        <f t="array" ref="CH37">SUM(IF(CE37:CF37&gt;=CE37, 1))</f>
        <v>2</v>
      </c>
      <c r="CI37" s="58">
        <f t="array" ref="CI37">SUM(IF(CE37:CF37&gt;=CF37, 1))</f>
        <v>1</v>
      </c>
      <c r="CK37" s="109">
        <f t="shared" si="60"/>
        <v>51054.520078478905</v>
      </c>
      <c r="CL37" s="109">
        <f t="shared" si="61"/>
        <v>51975.091151417786</v>
      </c>
      <c r="CN37" s="58">
        <f t="array" ref="CN37">SUM(IF(CK37:CL37&gt;=CK37, 1))</f>
        <v>2</v>
      </c>
      <c r="CO37" s="58">
        <f t="array" ref="CO37">SUM(IF(CK37:CL37&gt;=CL37, 1))</f>
        <v>1</v>
      </c>
      <c r="CQ37" s="109" cm="1">
        <f t="array" ref="CQ37">AF37*WTP-AC37</f>
        <v>49021.292772525208</v>
      </c>
      <c r="CR37" s="109">
        <f t="shared" si="62"/>
        <v>50943.452587003536</v>
      </c>
      <c r="CT37" s="58">
        <f t="array" ref="CT37">SUM(IF(CQ37:CR37&gt;=CQ37, 1))</f>
        <v>2</v>
      </c>
      <c r="CU37" s="58">
        <f t="array" ref="CU37">SUM(IF(CQ37:CR37&gt;=CR37, 1))</f>
        <v>1</v>
      </c>
      <c r="CW37" s="109">
        <f t="shared" si="63"/>
        <v>-42136709.27859468</v>
      </c>
      <c r="CX37" s="109">
        <f t="shared" si="64"/>
        <v>0</v>
      </c>
      <c r="CZ37" s="58">
        <f t="array" ref="CZ37">SUM(IF(CW37:CX37&gt;=CW37, 1))</f>
        <v>2</v>
      </c>
      <c r="DA37" s="58">
        <f t="array" ref="DA37">SUM(IF(CW37:CX37&gt;=CX37, 1))</f>
        <v>1</v>
      </c>
      <c r="DC37" s="109">
        <f t="shared" si="65"/>
        <v>-2537057.7652464155</v>
      </c>
      <c r="DD37" s="109">
        <f t="shared" si="66"/>
        <v>0</v>
      </c>
      <c r="DF37" s="58">
        <f t="array" ref="DF37">SUM(IF(DC37:DD37&gt;=DC37, 1))</f>
        <v>2</v>
      </c>
      <c r="DG37" s="58">
        <f t="array" ref="DG37">SUM(IF(DC37:DD37&gt;=DD37, 1))</f>
        <v>1</v>
      </c>
      <c r="DI37" s="109">
        <f t="shared" si="67"/>
        <v>-83500197.445960224</v>
      </c>
      <c r="DJ37" s="109">
        <f t="shared" si="68"/>
        <v>0</v>
      </c>
      <c r="DL37" s="58">
        <f t="array" ref="DL37">SUM(IF(DI37:DJ37&gt;=DI37, 1))</f>
        <v>2</v>
      </c>
      <c r="DM37" s="58">
        <f t="array" ref="DM37">SUM(IF(DI37:DJ37&gt;=DJ37, 1))</f>
        <v>1</v>
      </c>
      <c r="DO37" s="109">
        <f t="shared" si="69"/>
        <v>-8414345.3255140428</v>
      </c>
      <c r="DP37" s="109">
        <f t="shared" si="70"/>
        <v>0</v>
      </c>
      <c r="DR37" s="58">
        <f t="array" ref="DR37">SUM(IF(DO37:DP37&gt;=DO37, 1))</f>
        <v>2</v>
      </c>
      <c r="DS37" s="58">
        <f t="array" ref="DS37">SUM(IF(DO37:DP37&gt;=DP37, 1))</f>
        <v>1</v>
      </c>
      <c r="DU37" s="109">
        <f t="shared" si="71"/>
        <v>-30800227.874162346</v>
      </c>
      <c r="DV37" s="109">
        <f t="shared" si="72"/>
        <v>0</v>
      </c>
      <c r="DX37" s="58">
        <f t="array" ref="DX37">SUM(IF(DU37:DV37&gt;=DU37, 1))</f>
        <v>2</v>
      </c>
      <c r="DY37" s="58">
        <f t="array" ref="DY37">SUM(IF(DU37:DV37&gt;=DV37, 1))</f>
        <v>1</v>
      </c>
      <c r="EA37" s="109">
        <f t="shared" si="73"/>
        <v>-167388537.68947771</v>
      </c>
      <c r="EB37" s="109">
        <f t="shared" si="74"/>
        <v>0</v>
      </c>
      <c r="ED37" s="58">
        <f t="array" ref="ED37">SUM(IF(EA37:EB37&gt;=EA37, 1))</f>
        <v>2</v>
      </c>
      <c r="EE37" s="58">
        <f t="array" ref="EE37">SUM(IF(EA37:EB37&gt;=EB37, 1))</f>
        <v>1</v>
      </c>
    </row>
    <row r="38" spans="4:135" ht="12" customHeight="1" x14ac:dyDescent="0.25">
      <c r="D38" s="11">
        <v>22</v>
      </c>
      <c r="E38" s="72">
        <v>247.0912235064088</v>
      </c>
      <c r="F38" s="72">
        <v>200.23476134111135</v>
      </c>
      <c r="G38" s="73"/>
      <c r="H38" s="74">
        <v>5.8778502504876213</v>
      </c>
      <c r="I38" s="74">
        <v>5.8993674366381992</v>
      </c>
      <c r="J38" s="73"/>
      <c r="K38" s="72">
        <v>263.80363283429944</v>
      </c>
      <c r="L38" s="72">
        <v>215.87416165391502</v>
      </c>
      <c r="M38" s="73"/>
      <c r="N38" s="74">
        <v>6.6234881477381577</v>
      </c>
      <c r="O38" s="74">
        <v>6.6418943790907283</v>
      </c>
      <c r="P38" s="73"/>
      <c r="Q38" s="72">
        <v>2256.591969918738</v>
      </c>
      <c r="R38" s="72">
        <v>1448.2166347960274</v>
      </c>
      <c r="S38" s="73"/>
      <c r="T38" s="74">
        <v>4.7225792807646343</v>
      </c>
      <c r="U38" s="74">
        <v>4.8101478599329264</v>
      </c>
      <c r="V38" s="73"/>
      <c r="W38" s="72">
        <v>11988.625113668357</v>
      </c>
      <c r="X38" s="72">
        <v>11988.962290896423</v>
      </c>
      <c r="Y38" s="73"/>
      <c r="Z38" s="74">
        <v>2.9623096366392367</v>
      </c>
      <c r="AA38" s="74">
        <v>2.9985144024611192</v>
      </c>
      <c r="AB38" s="73"/>
      <c r="AC38" s="72">
        <v>51303.754105204942</v>
      </c>
      <c r="AD38" s="72">
        <v>51092.871387101317</v>
      </c>
      <c r="AE38" s="73"/>
      <c r="AF38" s="74">
        <v>4.6234575413935382</v>
      </c>
      <c r="AG38" s="74">
        <v>4.7362530258834372</v>
      </c>
      <c r="AH38" s="73"/>
      <c r="AI38" s="72">
        <v>5082107.8627813645</v>
      </c>
      <c r="AJ38" s="72">
        <v>0</v>
      </c>
      <c r="AK38" s="73"/>
      <c r="AL38" s="74">
        <v>-2333.7797150586007</v>
      </c>
      <c r="AM38" s="74">
        <v>0</v>
      </c>
      <c r="AN38" s="73"/>
      <c r="AO38" s="72">
        <v>322743.72290754307</v>
      </c>
      <c r="AP38" s="72">
        <v>0</v>
      </c>
      <c r="AQ38" s="73"/>
      <c r="AR38" s="74">
        <v>-123.94244053035524</v>
      </c>
      <c r="AS38" s="74">
        <v>0</v>
      </c>
      <c r="AT38" s="73"/>
      <c r="AU38" s="72">
        <v>18901226.407860022</v>
      </c>
      <c r="AV38" s="72">
        <v>0</v>
      </c>
      <c r="AW38" s="73"/>
      <c r="AX38" s="74">
        <v>-2047.5062377098043</v>
      </c>
      <c r="AY38" s="74">
        <v>0</v>
      </c>
      <c r="AZ38" s="73"/>
      <c r="BA38" s="72">
        <v>-3086.8107613644502</v>
      </c>
      <c r="BB38" s="72">
        <v>0</v>
      </c>
      <c r="BC38" s="73"/>
      <c r="BD38" s="74">
        <v>-331.44961002450901</v>
      </c>
      <c r="BE38" s="74">
        <v>0</v>
      </c>
      <c r="BF38" s="73"/>
      <c r="BG38" s="72">
        <v>3247952.3040159624</v>
      </c>
      <c r="BH38" s="72">
        <v>0</v>
      </c>
      <c r="BI38" s="73"/>
      <c r="BJ38" s="74">
        <v>-1737.2421838357698</v>
      </c>
      <c r="BK38" s="74">
        <v>0</v>
      </c>
      <c r="BL38" s="73"/>
      <c r="BM38" s="72">
        <v>27550943.486803524</v>
      </c>
      <c r="BN38" s="72">
        <v>0</v>
      </c>
      <c r="BO38" s="73"/>
      <c r="BP38" s="74">
        <v>-6573.9201871590385</v>
      </c>
      <c r="BQ38" s="74">
        <v>0</v>
      </c>
      <c r="BS38" s="109">
        <f t="shared" si="54"/>
        <v>117309.91378624602</v>
      </c>
      <c r="BT38" s="109">
        <f t="shared" si="55"/>
        <v>117787.11397142288</v>
      </c>
      <c r="BV38" s="58">
        <f t="array" ref="BV38">SUM(IF(BS38:BT38&gt;=BS38, 1))</f>
        <v>2</v>
      </c>
      <c r="BW38" s="58">
        <f t="array" ref="BW38">SUM(IF(BS38:BT38&gt;=BT38, 1))</f>
        <v>1</v>
      </c>
      <c r="BY38" s="109">
        <f t="shared" si="56"/>
        <v>132205.95932192888</v>
      </c>
      <c r="BZ38" s="109">
        <f t="shared" si="57"/>
        <v>132622.01342016066</v>
      </c>
      <c r="CB38" s="58">
        <f t="array" ref="CB38">SUM(IF(BY38:BZ38&gt;=BY38, 1))</f>
        <v>2</v>
      </c>
      <c r="CC38" s="58">
        <f t="array" ref="CC38">SUM(IF(BY38:BZ38&gt;=BZ38, 1))</f>
        <v>1</v>
      </c>
      <c r="CE38" s="109">
        <f t="shared" si="58"/>
        <v>92194.99364537395</v>
      </c>
      <c r="CF38" s="109">
        <f t="shared" si="59"/>
        <v>94754.740563862491</v>
      </c>
      <c r="CH38" s="58">
        <f t="array" ref="CH38">SUM(IF(CE38:CF38&gt;=CE38, 1))</f>
        <v>2</v>
      </c>
      <c r="CI38" s="58">
        <f t="array" ref="CI38">SUM(IF(CE38:CF38&gt;=CF38, 1))</f>
        <v>1</v>
      </c>
      <c r="CK38" s="109">
        <f t="shared" si="60"/>
        <v>47257.56761911638</v>
      </c>
      <c r="CL38" s="109">
        <f t="shared" si="61"/>
        <v>47981.325758325962</v>
      </c>
      <c r="CN38" s="58">
        <f t="array" ref="CN38">SUM(IF(CK38:CL38&gt;=CK38, 1))</f>
        <v>2</v>
      </c>
      <c r="CO38" s="58">
        <f t="array" ref="CO38">SUM(IF(CK38:CL38&gt;=CL38, 1))</f>
        <v>1</v>
      </c>
      <c r="CQ38" s="109" cm="1">
        <f t="array" ref="CQ38">AF38*WTP-AC38</f>
        <v>41165.396722665821</v>
      </c>
      <c r="CR38" s="109">
        <f t="shared" si="62"/>
        <v>43632.189130567422</v>
      </c>
      <c r="CT38" s="58">
        <f t="array" ref="CT38">SUM(IF(CQ38:CR38&gt;=CQ38, 1))</f>
        <v>2</v>
      </c>
      <c r="CU38" s="58">
        <f t="array" ref="CU38">SUM(IF(CQ38:CR38&gt;=CR38, 1))</f>
        <v>1</v>
      </c>
      <c r="CW38" s="109">
        <f t="shared" si="63"/>
        <v>-51757702.163953379</v>
      </c>
      <c r="CX38" s="109">
        <f t="shared" si="64"/>
        <v>0</v>
      </c>
      <c r="CZ38" s="58">
        <f t="array" ref="CZ38">SUM(IF(CW38:CX38&gt;=CW38, 1))</f>
        <v>2</v>
      </c>
      <c r="DA38" s="58">
        <f t="array" ref="DA38">SUM(IF(CW38:CX38&gt;=CX38, 1))</f>
        <v>1</v>
      </c>
      <c r="DC38" s="109">
        <f t="shared" si="65"/>
        <v>-2801592.5335146482</v>
      </c>
      <c r="DD38" s="109">
        <f t="shared" si="66"/>
        <v>0</v>
      </c>
      <c r="DF38" s="58">
        <f t="array" ref="DF38">SUM(IF(DC38:DD38&gt;=DC38, 1))</f>
        <v>2</v>
      </c>
      <c r="DG38" s="58">
        <f t="array" ref="DG38">SUM(IF(DC38:DD38&gt;=DD38, 1))</f>
        <v>1</v>
      </c>
      <c r="DI38" s="109">
        <f t="shared" si="67"/>
        <v>-59851351.162056103</v>
      </c>
      <c r="DJ38" s="109">
        <f t="shared" si="68"/>
        <v>0</v>
      </c>
      <c r="DL38" s="58">
        <f t="array" ref="DL38">SUM(IF(DI38:DJ38&gt;=DI38, 1))</f>
        <v>2</v>
      </c>
      <c r="DM38" s="58">
        <f t="array" ref="DM38">SUM(IF(DI38:DJ38&gt;=DJ38, 1))</f>
        <v>1</v>
      </c>
      <c r="DO38" s="109">
        <f t="shared" si="69"/>
        <v>-6625905.3897288162</v>
      </c>
      <c r="DP38" s="109">
        <f t="shared" si="70"/>
        <v>0</v>
      </c>
      <c r="DR38" s="58">
        <f t="array" ref="DR38">SUM(IF(DO38:DP38&gt;=DO38, 1))</f>
        <v>2</v>
      </c>
      <c r="DS38" s="58">
        <f t="array" ref="DS38">SUM(IF(DO38:DP38&gt;=DP38, 1))</f>
        <v>1</v>
      </c>
      <c r="DU38" s="109">
        <f t="shared" si="71"/>
        <v>-37992795.980731361</v>
      </c>
      <c r="DV38" s="109">
        <f t="shared" si="72"/>
        <v>0</v>
      </c>
      <c r="DX38" s="58">
        <f t="array" ref="DX38">SUM(IF(DU38:DV38&gt;=DU38, 1))</f>
        <v>2</v>
      </c>
      <c r="DY38" s="58">
        <f t="array" ref="DY38">SUM(IF(DU38:DV38&gt;=DV38, 1))</f>
        <v>1</v>
      </c>
      <c r="EA38" s="109">
        <f t="shared" si="73"/>
        <v>-159029347.22998428</v>
      </c>
      <c r="EB38" s="109">
        <f t="shared" si="74"/>
        <v>0</v>
      </c>
      <c r="ED38" s="58">
        <f t="array" ref="ED38">SUM(IF(EA38:EB38&gt;=EA38, 1))</f>
        <v>2</v>
      </c>
      <c r="EE38" s="58">
        <f t="array" ref="EE38">SUM(IF(EA38:EB38&gt;=EB38, 1))</f>
        <v>1</v>
      </c>
    </row>
    <row r="39" spans="4:135" ht="12" customHeight="1" x14ac:dyDescent="0.25">
      <c r="D39" s="11">
        <v>23</v>
      </c>
      <c r="E39" s="72">
        <v>281.52113922776903</v>
      </c>
      <c r="F39" s="72">
        <v>274.13459973289878</v>
      </c>
      <c r="G39" s="73"/>
      <c r="H39" s="74">
        <v>5.7905590014503501</v>
      </c>
      <c r="I39" s="74">
        <v>5.8042767071218044</v>
      </c>
      <c r="J39" s="73"/>
      <c r="K39" s="72">
        <v>303.21147659194747</v>
      </c>
      <c r="L39" s="72">
        <v>295.60583892394186</v>
      </c>
      <c r="M39" s="73"/>
      <c r="N39" s="74">
        <v>6.7396813624913214</v>
      </c>
      <c r="O39" s="74">
        <v>6.7514052326007565</v>
      </c>
      <c r="P39" s="73"/>
      <c r="Q39" s="72">
        <v>3063.9330805720065</v>
      </c>
      <c r="R39" s="72">
        <v>1782.6623421540746</v>
      </c>
      <c r="S39" s="73"/>
      <c r="T39" s="74">
        <v>4.7431114340500145</v>
      </c>
      <c r="U39" s="74">
        <v>4.8550053860635813</v>
      </c>
      <c r="V39" s="73"/>
      <c r="W39" s="72">
        <v>15717.154889929026</v>
      </c>
      <c r="X39" s="72">
        <v>15695.188508042549</v>
      </c>
      <c r="Y39" s="73"/>
      <c r="Z39" s="74">
        <v>3.0060105400637127</v>
      </c>
      <c r="AA39" s="74">
        <v>3.0557669588423297</v>
      </c>
      <c r="AB39" s="73"/>
      <c r="AC39" s="72">
        <v>49829.390516997504</v>
      </c>
      <c r="AD39" s="72">
        <v>49744.202719343346</v>
      </c>
      <c r="AE39" s="73"/>
      <c r="AF39" s="74">
        <v>4.5032344259624946</v>
      </c>
      <c r="AG39" s="74">
        <v>4.5614331707540092</v>
      </c>
      <c r="AH39" s="73"/>
      <c r="AI39" s="72">
        <v>799791.63724518532</v>
      </c>
      <c r="AJ39" s="72">
        <v>0</v>
      </c>
      <c r="AK39" s="73"/>
      <c r="AL39" s="74">
        <v>-1485.3107176695287</v>
      </c>
      <c r="AM39" s="74">
        <v>0</v>
      </c>
      <c r="AN39" s="73"/>
      <c r="AO39" s="72">
        <v>48576.497829341912</v>
      </c>
      <c r="AP39" s="72">
        <v>0</v>
      </c>
      <c r="AQ39" s="73"/>
      <c r="AR39" s="74">
        <v>-74.879264012033687</v>
      </c>
      <c r="AS39" s="74">
        <v>0</v>
      </c>
      <c r="AT39" s="73"/>
      <c r="AU39" s="72">
        <v>30036057.20872324</v>
      </c>
      <c r="AV39" s="72">
        <v>0</v>
      </c>
      <c r="AW39" s="73"/>
      <c r="AX39" s="74">
        <v>-2623.0624357655206</v>
      </c>
      <c r="AY39" s="74">
        <v>0</v>
      </c>
      <c r="AZ39" s="73"/>
      <c r="BA39" s="72">
        <v>189683.92455130705</v>
      </c>
      <c r="BB39" s="72">
        <v>0</v>
      </c>
      <c r="BC39" s="73"/>
      <c r="BD39" s="74">
        <v>-429.65622806350746</v>
      </c>
      <c r="BE39" s="74">
        <v>0</v>
      </c>
      <c r="BF39" s="73"/>
      <c r="BG39" s="72">
        <v>1336286.4181848674</v>
      </c>
      <c r="BH39" s="72">
        <v>0</v>
      </c>
      <c r="BI39" s="73"/>
      <c r="BJ39" s="74">
        <v>-912.92643268037568</v>
      </c>
      <c r="BK39" s="74">
        <v>0</v>
      </c>
      <c r="BL39" s="73"/>
      <c r="BM39" s="72">
        <v>32410395.686533943</v>
      </c>
      <c r="BN39" s="72">
        <v>0</v>
      </c>
      <c r="BO39" s="73"/>
      <c r="BP39" s="74">
        <v>-5525.8350781909658</v>
      </c>
      <c r="BQ39" s="74">
        <v>0</v>
      </c>
      <c r="BS39" s="109">
        <f t="shared" si="54"/>
        <v>115529.65888977922</v>
      </c>
      <c r="BT39" s="109">
        <f t="shared" si="55"/>
        <v>115811.39954270319</v>
      </c>
      <c r="BV39" s="58">
        <f t="array" ref="BV39">SUM(IF(BS39:BT39&gt;=BS39, 1))</f>
        <v>2</v>
      </c>
      <c r="BW39" s="58">
        <f t="array" ref="BW39">SUM(IF(BS39:BT39&gt;=BT39, 1))</f>
        <v>1</v>
      </c>
      <c r="BY39" s="109">
        <f t="shared" si="56"/>
        <v>134490.41577323448</v>
      </c>
      <c r="BZ39" s="109">
        <f t="shared" si="57"/>
        <v>134732.4988130912</v>
      </c>
      <c r="CB39" s="58">
        <f t="array" ref="CB39">SUM(IF(BY39:BZ39&gt;=BY39, 1))</f>
        <v>2</v>
      </c>
      <c r="CC39" s="58">
        <f t="array" ref="CC39">SUM(IF(BY39:BZ39&gt;=BZ39, 1))</f>
        <v>1</v>
      </c>
      <c r="CE39" s="109">
        <f t="shared" si="58"/>
        <v>91798.295600428275</v>
      </c>
      <c r="CF39" s="109">
        <f t="shared" si="59"/>
        <v>95317.445379117562</v>
      </c>
      <c r="CH39" s="58">
        <f t="array" ref="CH39">SUM(IF(CE39:CF39&gt;=CE39, 1))</f>
        <v>2</v>
      </c>
      <c r="CI39" s="58">
        <f t="array" ref="CI39">SUM(IF(CE39:CF39&gt;=CF39, 1))</f>
        <v>1</v>
      </c>
      <c r="CK39" s="109">
        <f t="shared" si="60"/>
        <v>44403.055911345225</v>
      </c>
      <c r="CL39" s="109">
        <f t="shared" si="61"/>
        <v>45420.150668804046</v>
      </c>
      <c r="CN39" s="58">
        <f t="array" ref="CN39">SUM(IF(CK39:CL39&gt;=CK39, 1))</f>
        <v>2</v>
      </c>
      <c r="CO39" s="58">
        <f t="array" ref="CO39">SUM(IF(CK39:CL39&gt;=CL39, 1))</f>
        <v>1</v>
      </c>
      <c r="CQ39" s="109" cm="1">
        <f t="array" ref="CQ39">AF39*WTP-AC39</f>
        <v>40235.298002252384</v>
      </c>
      <c r="CR39" s="109">
        <f t="shared" si="62"/>
        <v>41484.460695736838</v>
      </c>
      <c r="CT39" s="58">
        <f t="array" ref="CT39">SUM(IF(CQ39:CR39&gt;=CQ39, 1))</f>
        <v>2</v>
      </c>
      <c r="CU39" s="58">
        <f t="array" ref="CU39">SUM(IF(CQ39:CR39&gt;=CR39, 1))</f>
        <v>1</v>
      </c>
      <c r="CW39" s="109">
        <f t="shared" si="63"/>
        <v>-30506005.99063576</v>
      </c>
      <c r="CX39" s="109">
        <f t="shared" si="64"/>
        <v>0</v>
      </c>
      <c r="CZ39" s="58">
        <f t="array" ref="CZ39">SUM(IF(CW39:CX39&gt;=CW39, 1))</f>
        <v>2</v>
      </c>
      <c r="DA39" s="58">
        <f t="array" ref="DA39">SUM(IF(CW39:CX39&gt;=CX39, 1))</f>
        <v>1</v>
      </c>
      <c r="DC39" s="109">
        <f t="shared" si="65"/>
        <v>-1546161.7780700158</v>
      </c>
      <c r="DD39" s="109">
        <f t="shared" si="66"/>
        <v>0</v>
      </c>
      <c r="DF39" s="58">
        <f t="array" ref="DF39">SUM(IF(DC39:DD39&gt;=DC39, 1))</f>
        <v>2</v>
      </c>
      <c r="DG39" s="58">
        <f t="array" ref="DG39">SUM(IF(DC39:DD39&gt;=DD39, 1))</f>
        <v>1</v>
      </c>
      <c r="DI39" s="109">
        <f t="shared" si="67"/>
        <v>-82497305.924033642</v>
      </c>
      <c r="DJ39" s="109">
        <f t="shared" si="68"/>
        <v>0</v>
      </c>
      <c r="DL39" s="58">
        <f t="array" ref="DL39">SUM(IF(DI39:DJ39&gt;=DI39, 1))</f>
        <v>2</v>
      </c>
      <c r="DM39" s="58">
        <f t="array" ref="DM39">SUM(IF(DI39:DJ39&gt;=DJ39, 1))</f>
        <v>1</v>
      </c>
      <c r="DO39" s="109">
        <f t="shared" si="69"/>
        <v>-8782808.4858214557</v>
      </c>
      <c r="DP39" s="109">
        <f t="shared" si="70"/>
        <v>0</v>
      </c>
      <c r="DR39" s="58">
        <f t="array" ref="DR39">SUM(IF(DO39:DP39&gt;=DO39, 1))</f>
        <v>2</v>
      </c>
      <c r="DS39" s="58">
        <f t="array" ref="DS39">SUM(IF(DO39:DP39&gt;=DP39, 1))</f>
        <v>1</v>
      </c>
      <c r="DU39" s="109">
        <f t="shared" si="71"/>
        <v>-19594815.071792383</v>
      </c>
      <c r="DV39" s="109">
        <f t="shared" si="72"/>
        <v>0</v>
      </c>
      <c r="DX39" s="58">
        <f t="array" ref="DX39">SUM(IF(DU39:DV39&gt;=DU39, 1))</f>
        <v>2</v>
      </c>
      <c r="DY39" s="58">
        <f t="array" ref="DY39">SUM(IF(DU39:DV39&gt;=DV39, 1))</f>
        <v>1</v>
      </c>
      <c r="EA39" s="109">
        <f t="shared" si="73"/>
        <v>-142927097.25035328</v>
      </c>
      <c r="EB39" s="109">
        <f t="shared" si="74"/>
        <v>0</v>
      </c>
      <c r="ED39" s="58">
        <f t="array" ref="ED39">SUM(IF(EA39:EB39&gt;=EA39, 1))</f>
        <v>2</v>
      </c>
      <c r="EE39" s="58">
        <f t="array" ref="EE39">SUM(IF(EA39:EB39&gt;=EB39, 1))</f>
        <v>1</v>
      </c>
    </row>
    <row r="40" spans="4:135" ht="12" customHeight="1" x14ac:dyDescent="0.25">
      <c r="D40" s="11">
        <v>24</v>
      </c>
      <c r="E40" s="72">
        <v>190.94433526607068</v>
      </c>
      <c r="F40" s="72">
        <v>162.13668804685454</v>
      </c>
      <c r="G40" s="73"/>
      <c r="H40" s="74">
        <v>5.8300232985438996</v>
      </c>
      <c r="I40" s="74">
        <v>5.8463478151347825</v>
      </c>
      <c r="J40" s="73"/>
      <c r="K40" s="72">
        <v>204.25575512006333</v>
      </c>
      <c r="L40" s="72">
        <v>174.78098022270797</v>
      </c>
      <c r="M40" s="73"/>
      <c r="N40" s="74">
        <v>6.693855075469</v>
      </c>
      <c r="O40" s="74">
        <v>6.7074666874700952</v>
      </c>
      <c r="P40" s="73"/>
      <c r="Q40" s="72">
        <v>1702.6541186210068</v>
      </c>
      <c r="R40" s="72">
        <v>1353.0795642313924</v>
      </c>
      <c r="S40" s="73"/>
      <c r="T40" s="74">
        <v>4.9883487076750059</v>
      </c>
      <c r="U40" s="74">
        <v>5.0345073352061007</v>
      </c>
      <c r="V40" s="73"/>
      <c r="W40" s="72">
        <v>11641.405054303823</v>
      </c>
      <c r="X40" s="72">
        <v>11642.830592031558</v>
      </c>
      <c r="Y40" s="73"/>
      <c r="Z40" s="74">
        <v>2.8336366836242792</v>
      </c>
      <c r="AA40" s="74">
        <v>2.8723758387597926</v>
      </c>
      <c r="AB40" s="73"/>
      <c r="AC40" s="72">
        <v>49700.50998036845</v>
      </c>
      <c r="AD40" s="72">
        <v>49650.36827793323</v>
      </c>
      <c r="AE40" s="73"/>
      <c r="AF40" s="74">
        <v>4.2760445794028366</v>
      </c>
      <c r="AG40" s="74">
        <v>4.37447862548186</v>
      </c>
      <c r="AH40" s="73"/>
      <c r="AI40" s="72">
        <v>3102139.7030433821</v>
      </c>
      <c r="AJ40" s="72">
        <v>0</v>
      </c>
      <c r="AK40" s="73"/>
      <c r="AL40" s="74">
        <v>-1757.8988892848015</v>
      </c>
      <c r="AM40" s="74">
        <v>0</v>
      </c>
      <c r="AN40" s="73"/>
      <c r="AO40" s="72">
        <v>194296.99619882004</v>
      </c>
      <c r="AP40" s="72">
        <v>0</v>
      </c>
      <c r="AQ40" s="73"/>
      <c r="AR40" s="74">
        <v>-89.727413846132507</v>
      </c>
      <c r="AS40" s="74">
        <v>0</v>
      </c>
      <c r="AT40" s="73"/>
      <c r="AU40" s="72">
        <v>8151823.4918857105</v>
      </c>
      <c r="AV40" s="72">
        <v>0</v>
      </c>
      <c r="AW40" s="73"/>
      <c r="AX40" s="74">
        <v>-1076.3855078588062</v>
      </c>
      <c r="AY40" s="74">
        <v>0</v>
      </c>
      <c r="AZ40" s="73"/>
      <c r="BA40" s="72">
        <v>-12683.929214357862</v>
      </c>
      <c r="BB40" s="72">
        <v>0</v>
      </c>
      <c r="BC40" s="73"/>
      <c r="BD40" s="74">
        <v>-344.68726572645659</v>
      </c>
      <c r="BE40" s="74">
        <v>0</v>
      </c>
      <c r="BF40" s="73"/>
      <c r="BG40" s="72">
        <v>798895.31882382045</v>
      </c>
      <c r="BH40" s="72">
        <v>0</v>
      </c>
      <c r="BI40" s="73"/>
      <c r="BJ40" s="74">
        <v>-1568.3252623306309</v>
      </c>
      <c r="BK40" s="74">
        <v>0</v>
      </c>
      <c r="BL40" s="73"/>
      <c r="BM40" s="72">
        <v>12234471.580737375</v>
      </c>
      <c r="BN40" s="72">
        <v>0</v>
      </c>
      <c r="BO40" s="73"/>
      <c r="BP40" s="74">
        <v>-4837.0243390468277</v>
      </c>
      <c r="BQ40" s="74">
        <v>0</v>
      </c>
      <c r="BS40" s="109">
        <f t="shared" si="54"/>
        <v>116409.52163561192</v>
      </c>
      <c r="BT40" s="109">
        <f t="shared" si="55"/>
        <v>116764.81961464879</v>
      </c>
      <c r="BV40" s="58">
        <f t="array" ref="BV40">SUM(IF(BS40:BT40&gt;=BS40, 1))</f>
        <v>2</v>
      </c>
      <c r="BW40" s="58">
        <f t="array" ref="BW40">SUM(IF(BS40:BT40&gt;=BT40, 1))</f>
        <v>1</v>
      </c>
      <c r="BY40" s="109">
        <f t="shared" si="56"/>
        <v>133672.84575425994</v>
      </c>
      <c r="BZ40" s="109">
        <f t="shared" si="57"/>
        <v>133974.55276917919</v>
      </c>
      <c r="CB40" s="58">
        <f t="array" ref="CB40">SUM(IF(BY40:BZ40&gt;=BY40, 1))</f>
        <v>2</v>
      </c>
      <c r="CC40" s="58">
        <f t="array" ref="CC40">SUM(IF(BY40:BZ40&gt;=BZ40, 1))</f>
        <v>1</v>
      </c>
      <c r="CE40" s="109">
        <f t="shared" si="58"/>
        <v>98064.320034879114</v>
      </c>
      <c r="CF40" s="109">
        <f t="shared" si="59"/>
        <v>99337.067139890627</v>
      </c>
      <c r="CH40" s="58">
        <f t="array" ref="CH40">SUM(IF(CE40:CF40&gt;=CE40, 1))</f>
        <v>2</v>
      </c>
      <c r="CI40" s="58">
        <f t="array" ref="CI40">SUM(IF(CE40:CF40&gt;=CF40, 1))</f>
        <v>1</v>
      </c>
      <c r="CK40" s="109">
        <f t="shared" si="60"/>
        <v>45031.32861818176</v>
      </c>
      <c r="CL40" s="109">
        <f t="shared" si="61"/>
        <v>45804.686183164289</v>
      </c>
      <c r="CN40" s="58">
        <f t="array" ref="CN40">SUM(IF(CK40:CL40&gt;=CK40, 1))</f>
        <v>2</v>
      </c>
      <c r="CO40" s="58">
        <f t="array" ref="CO40">SUM(IF(CK40:CL40&gt;=CL40, 1))</f>
        <v>1</v>
      </c>
      <c r="CQ40" s="109" cm="1">
        <f t="array" ref="CQ40">AF40*WTP-AC40</f>
        <v>35820.381607688287</v>
      </c>
      <c r="CR40" s="109">
        <f t="shared" si="62"/>
        <v>37839.204231703974</v>
      </c>
      <c r="CT40" s="58">
        <f t="array" ref="CT40">SUM(IF(CQ40:CR40&gt;=CQ40, 1))</f>
        <v>2</v>
      </c>
      <c r="CU40" s="58">
        <f t="array" ref="CU40">SUM(IF(CQ40:CR40&gt;=CR40, 1))</f>
        <v>1</v>
      </c>
      <c r="CW40" s="109">
        <f t="shared" si="63"/>
        <v>-38260117.488739409</v>
      </c>
      <c r="CX40" s="109">
        <f t="shared" si="64"/>
        <v>0</v>
      </c>
      <c r="CZ40" s="58">
        <f t="array" ref="CZ40">SUM(IF(CW40:CX40&gt;=CW40, 1))</f>
        <v>2</v>
      </c>
      <c r="DA40" s="58">
        <f t="array" ref="DA40">SUM(IF(CW40:CX40&gt;=CX40, 1))</f>
        <v>1</v>
      </c>
      <c r="DC40" s="109">
        <f t="shared" si="65"/>
        <v>-1988845.2731214701</v>
      </c>
      <c r="DD40" s="109">
        <f t="shared" si="66"/>
        <v>0</v>
      </c>
      <c r="DF40" s="58">
        <f t="array" ref="DF40">SUM(IF(DC40:DD40&gt;=DC40, 1))</f>
        <v>2</v>
      </c>
      <c r="DG40" s="58">
        <f t="array" ref="DG40">SUM(IF(DC40:DD40&gt;=DD40, 1))</f>
        <v>1</v>
      </c>
      <c r="DI40" s="109">
        <f t="shared" si="67"/>
        <v>-29679533.649061836</v>
      </c>
      <c r="DJ40" s="109">
        <f t="shared" si="68"/>
        <v>0</v>
      </c>
      <c r="DL40" s="58">
        <f t="array" ref="DL40">SUM(IF(DI40:DJ40&gt;=DI40, 1))</f>
        <v>2</v>
      </c>
      <c r="DM40" s="58">
        <f t="array" ref="DM40">SUM(IF(DI40:DJ40&gt;=DJ40, 1))</f>
        <v>1</v>
      </c>
      <c r="DO40" s="109">
        <f t="shared" si="69"/>
        <v>-6881061.3853147747</v>
      </c>
      <c r="DP40" s="109">
        <f t="shared" si="70"/>
        <v>0</v>
      </c>
      <c r="DR40" s="58">
        <f t="array" ref="DR40">SUM(IF(DO40:DP40&gt;=DO40, 1))</f>
        <v>2</v>
      </c>
      <c r="DS40" s="58">
        <f t="array" ref="DS40">SUM(IF(DO40:DP40&gt;=DP40, 1))</f>
        <v>1</v>
      </c>
      <c r="DU40" s="109">
        <f t="shared" si="71"/>
        <v>-32165400.565436441</v>
      </c>
      <c r="DV40" s="109">
        <f t="shared" si="72"/>
        <v>0</v>
      </c>
      <c r="DX40" s="58">
        <f t="array" ref="DX40">SUM(IF(DU40:DV40&gt;=DU40, 1))</f>
        <v>2</v>
      </c>
      <c r="DY40" s="58">
        <f t="array" ref="DY40">SUM(IF(DU40:DV40&gt;=DV40, 1))</f>
        <v>1</v>
      </c>
      <c r="EA40" s="109">
        <f t="shared" si="73"/>
        <v>-108974958.36167392</v>
      </c>
      <c r="EB40" s="109">
        <f t="shared" si="74"/>
        <v>0</v>
      </c>
      <c r="ED40" s="58">
        <f t="array" ref="ED40">SUM(IF(EA40:EB40&gt;=EA40, 1))</f>
        <v>2</v>
      </c>
      <c r="EE40" s="58">
        <f t="array" ref="EE40">SUM(IF(EA40:EB40&gt;=EB40, 1))</f>
        <v>1</v>
      </c>
    </row>
    <row r="41" spans="4:135" ht="12" customHeight="1" x14ac:dyDescent="0.25">
      <c r="D41" s="11">
        <v>25</v>
      </c>
      <c r="E41" s="72">
        <v>239.87676246463894</v>
      </c>
      <c r="F41" s="72">
        <v>229.97546299837339</v>
      </c>
      <c r="G41" s="73"/>
      <c r="H41" s="74">
        <v>5.8357897732070851</v>
      </c>
      <c r="I41" s="74">
        <v>5.8543340489492763</v>
      </c>
      <c r="J41" s="73"/>
      <c r="K41" s="72">
        <v>258.26021561006178</v>
      </c>
      <c r="L41" s="72">
        <v>248.10341188186345</v>
      </c>
      <c r="M41" s="73"/>
      <c r="N41" s="74">
        <v>6.7157051780474193</v>
      </c>
      <c r="O41" s="74">
        <v>6.7325354821151633</v>
      </c>
      <c r="P41" s="73"/>
      <c r="Q41" s="72">
        <v>2609.8047650522317</v>
      </c>
      <c r="R41" s="72">
        <v>1615.6614535261519</v>
      </c>
      <c r="S41" s="73"/>
      <c r="T41" s="74">
        <v>4.7583715262824677</v>
      </c>
      <c r="U41" s="74">
        <v>4.845827538160858</v>
      </c>
      <c r="V41" s="73"/>
      <c r="W41" s="72">
        <v>15628.352120186375</v>
      </c>
      <c r="X41" s="72">
        <v>15611.060427814018</v>
      </c>
      <c r="Y41" s="73"/>
      <c r="Z41" s="74">
        <v>3.0117250080776445</v>
      </c>
      <c r="AA41" s="74">
        <v>3.0539684388507169</v>
      </c>
      <c r="AB41" s="73"/>
      <c r="AC41" s="72">
        <v>50603.545790597935</v>
      </c>
      <c r="AD41" s="72">
        <v>50105.870964800633</v>
      </c>
      <c r="AE41" s="73"/>
      <c r="AF41" s="74">
        <v>4.4071188171498754</v>
      </c>
      <c r="AG41" s="74">
        <v>4.5641325920266613</v>
      </c>
      <c r="AH41" s="73"/>
      <c r="AI41" s="72">
        <v>1057865.8025264374</v>
      </c>
      <c r="AJ41" s="72">
        <v>0</v>
      </c>
      <c r="AK41" s="73"/>
      <c r="AL41" s="74">
        <v>-1981.2909615674575</v>
      </c>
      <c r="AM41" s="74">
        <v>0</v>
      </c>
      <c r="AN41" s="73"/>
      <c r="AO41" s="72">
        <v>71433.059242589676</v>
      </c>
      <c r="AP41" s="72">
        <v>0</v>
      </c>
      <c r="AQ41" s="73"/>
      <c r="AR41" s="74">
        <v>-118.36795705761021</v>
      </c>
      <c r="AS41" s="74">
        <v>0</v>
      </c>
      <c r="AT41" s="73"/>
      <c r="AU41" s="72">
        <v>23605919.897745539</v>
      </c>
      <c r="AV41" s="72">
        <v>0</v>
      </c>
      <c r="AW41" s="73"/>
      <c r="AX41" s="74">
        <v>-2076.6418553965241</v>
      </c>
      <c r="AY41" s="74">
        <v>0</v>
      </c>
      <c r="AZ41" s="73"/>
      <c r="BA41" s="72">
        <v>156193.98189195074</v>
      </c>
      <c r="BB41" s="72">
        <v>0</v>
      </c>
      <c r="BC41" s="73"/>
      <c r="BD41" s="74">
        <v>-381.5803288156568</v>
      </c>
      <c r="BE41" s="74">
        <v>0</v>
      </c>
      <c r="BF41" s="73"/>
      <c r="BG41" s="72">
        <v>8123054.1399718439</v>
      </c>
      <c r="BH41" s="72">
        <v>0</v>
      </c>
      <c r="BI41" s="73"/>
      <c r="BJ41" s="74">
        <v>-2562.7806108178661</v>
      </c>
      <c r="BK41" s="74">
        <v>0</v>
      </c>
      <c r="BL41" s="73"/>
      <c r="BM41" s="72">
        <v>33014466.881378364</v>
      </c>
      <c r="BN41" s="72">
        <v>0</v>
      </c>
      <c r="BO41" s="73"/>
      <c r="BP41" s="74">
        <v>-7120.661713655114</v>
      </c>
      <c r="BQ41" s="74">
        <v>0</v>
      </c>
      <c r="BS41" s="109">
        <f t="shared" si="54"/>
        <v>116475.91870167706</v>
      </c>
      <c r="BT41" s="109">
        <f t="shared" si="55"/>
        <v>116856.70551598715</v>
      </c>
      <c r="BV41" s="58">
        <f t="array" ref="BV41">SUM(IF(BS41:BT41&gt;=BS41, 1))</f>
        <v>2</v>
      </c>
      <c r="BW41" s="58">
        <f t="array" ref="BW41">SUM(IF(BS41:BT41&gt;=BT41, 1))</f>
        <v>1</v>
      </c>
      <c r="BY41" s="109">
        <f t="shared" si="56"/>
        <v>134055.84334533833</v>
      </c>
      <c r="BZ41" s="109">
        <f t="shared" si="57"/>
        <v>134402.6062304214</v>
      </c>
      <c r="CB41" s="58">
        <f t="array" ref="CB41">SUM(IF(BY41:BZ41&gt;=BY41, 1))</f>
        <v>2</v>
      </c>
      <c r="CC41" s="58">
        <f t="array" ref="CC41">SUM(IF(BY41:BZ41&gt;=BZ41, 1))</f>
        <v>1</v>
      </c>
      <c r="CE41" s="109">
        <f t="shared" si="58"/>
        <v>92557.625760597119</v>
      </c>
      <c r="CF41" s="109">
        <f t="shared" si="59"/>
        <v>95300.889309691018</v>
      </c>
      <c r="CH41" s="58">
        <f t="array" ref="CH41">SUM(IF(CE41:CF41&gt;=CE41, 1))</f>
        <v>2</v>
      </c>
      <c r="CI41" s="58">
        <f t="array" ref="CI41">SUM(IF(CE41:CF41&gt;=CF41, 1))</f>
        <v>1</v>
      </c>
      <c r="CK41" s="109">
        <f t="shared" si="60"/>
        <v>44606.148041366512</v>
      </c>
      <c r="CL41" s="109">
        <f t="shared" si="61"/>
        <v>45468.308349200321</v>
      </c>
      <c r="CN41" s="58">
        <f t="array" ref="CN41">SUM(IF(CK41:CL41&gt;=CK41, 1))</f>
        <v>2</v>
      </c>
      <c r="CO41" s="58">
        <f t="array" ref="CO41">SUM(IF(CK41:CL41&gt;=CL41, 1))</f>
        <v>1</v>
      </c>
      <c r="CQ41" s="109" cm="1">
        <f t="array" ref="CQ41">AF41*WTP-AC41</f>
        <v>37538.830552399573</v>
      </c>
      <c r="CR41" s="109">
        <f t="shared" si="62"/>
        <v>41176.780875732598</v>
      </c>
      <c r="CT41" s="58">
        <f t="array" ref="CT41">SUM(IF(CQ41:CR41&gt;=CQ41, 1))</f>
        <v>2</v>
      </c>
      <c r="CU41" s="58">
        <f t="array" ref="CU41">SUM(IF(CQ41:CR41&gt;=CR41, 1))</f>
        <v>1</v>
      </c>
      <c r="CW41" s="109">
        <f t="shared" si="63"/>
        <v>-40683685.033875585</v>
      </c>
      <c r="CX41" s="109">
        <f t="shared" si="64"/>
        <v>0</v>
      </c>
      <c r="CZ41" s="58">
        <f t="array" ref="CZ41">SUM(IF(CW41:CX41&gt;=CW41, 1))</f>
        <v>2</v>
      </c>
      <c r="DA41" s="58">
        <f t="array" ref="DA41">SUM(IF(CW41:CX41&gt;=CX41, 1))</f>
        <v>1</v>
      </c>
      <c r="DC41" s="109">
        <f t="shared" si="65"/>
        <v>-2438792.2003947939</v>
      </c>
      <c r="DD41" s="109">
        <f t="shared" si="66"/>
        <v>0</v>
      </c>
      <c r="DF41" s="58">
        <f t="array" ref="DF41">SUM(IF(DC41:DD41&gt;=DC41, 1))</f>
        <v>2</v>
      </c>
      <c r="DG41" s="58">
        <f t="array" ref="DG41">SUM(IF(DC41:DD41&gt;=DD41, 1))</f>
        <v>1</v>
      </c>
      <c r="DI41" s="109">
        <f t="shared" si="67"/>
        <v>-65138757.005676016</v>
      </c>
      <c r="DJ41" s="109">
        <f t="shared" si="68"/>
        <v>0</v>
      </c>
      <c r="DL41" s="58">
        <f t="array" ref="DL41">SUM(IF(DI41:DJ41&gt;=DI41, 1))</f>
        <v>2</v>
      </c>
      <c r="DM41" s="58">
        <f t="array" ref="DM41">SUM(IF(DI41:DJ41&gt;=DJ41, 1))</f>
        <v>1</v>
      </c>
      <c r="DO41" s="109">
        <f t="shared" si="69"/>
        <v>-7787800.5582050867</v>
      </c>
      <c r="DP41" s="109">
        <f t="shared" si="70"/>
        <v>0</v>
      </c>
      <c r="DR41" s="58">
        <f t="array" ref="DR41">SUM(IF(DO41:DP41&gt;=DO41, 1))</f>
        <v>2</v>
      </c>
      <c r="DS41" s="58">
        <f t="array" ref="DS41">SUM(IF(DO41:DP41&gt;=DP41, 1))</f>
        <v>1</v>
      </c>
      <c r="DU41" s="109">
        <f t="shared" si="71"/>
        <v>-59378666.356329165</v>
      </c>
      <c r="DV41" s="109">
        <f t="shared" si="72"/>
        <v>0</v>
      </c>
      <c r="DX41" s="58">
        <f t="array" ref="DX41">SUM(IF(DU41:DV41&gt;=DU41, 1))</f>
        <v>2</v>
      </c>
      <c r="DY41" s="58">
        <f t="array" ref="DY41">SUM(IF(DU41:DV41&gt;=DV41, 1))</f>
        <v>1</v>
      </c>
      <c r="EA41" s="109">
        <f t="shared" si="73"/>
        <v>-175427701.15448064</v>
      </c>
      <c r="EB41" s="109">
        <f t="shared" si="74"/>
        <v>0</v>
      </c>
      <c r="ED41" s="58">
        <f t="array" ref="ED41">SUM(IF(EA41:EB41&gt;=EA41, 1))</f>
        <v>2</v>
      </c>
      <c r="EE41" s="58">
        <f t="array" ref="EE41">SUM(IF(EA41:EB41&gt;=EB41, 1))</f>
        <v>1</v>
      </c>
    </row>
    <row r="42" spans="4:135" ht="12" customHeight="1" x14ac:dyDescent="0.25">
      <c r="D42" s="11">
        <v>26</v>
      </c>
      <c r="E42" s="72">
        <v>243.1993520452871</v>
      </c>
      <c r="F42" s="72">
        <v>214.08387739052984</v>
      </c>
      <c r="G42" s="73"/>
      <c r="H42" s="74">
        <v>5.8822088573463471</v>
      </c>
      <c r="I42" s="74">
        <v>5.8967352365372907</v>
      </c>
      <c r="J42" s="73"/>
      <c r="K42" s="72">
        <v>260.57570071713695</v>
      </c>
      <c r="L42" s="72">
        <v>230.81584650865341</v>
      </c>
      <c r="M42" s="73"/>
      <c r="N42" s="74">
        <v>6.7297135978038236</v>
      </c>
      <c r="O42" s="74">
        <v>6.7424313606630744</v>
      </c>
      <c r="P42" s="73"/>
      <c r="Q42" s="72">
        <v>2557.4876150075893</v>
      </c>
      <c r="R42" s="72">
        <v>1468.703997576898</v>
      </c>
      <c r="S42" s="73"/>
      <c r="T42" s="74">
        <v>4.7064120571374843</v>
      </c>
      <c r="U42" s="74">
        <v>4.7863943756965606</v>
      </c>
      <c r="V42" s="73"/>
      <c r="W42" s="72">
        <v>11129.308124007528</v>
      </c>
      <c r="X42" s="72">
        <v>11109.184708228651</v>
      </c>
      <c r="Y42" s="73"/>
      <c r="Z42" s="74">
        <v>2.8965870754798222</v>
      </c>
      <c r="AA42" s="74">
        <v>2.9347237812827318</v>
      </c>
      <c r="AB42" s="73"/>
      <c r="AC42" s="72">
        <v>49730.470137401324</v>
      </c>
      <c r="AD42" s="72">
        <v>49817.528589497211</v>
      </c>
      <c r="AE42" s="73"/>
      <c r="AF42" s="74">
        <v>4.6982955832466384</v>
      </c>
      <c r="AG42" s="74">
        <v>4.7923832825960497</v>
      </c>
      <c r="AH42" s="73"/>
      <c r="AI42" s="72">
        <v>3091744.6223717737</v>
      </c>
      <c r="AJ42" s="72">
        <v>0</v>
      </c>
      <c r="AK42" s="73"/>
      <c r="AL42" s="74">
        <v>-1542.5424204373994</v>
      </c>
      <c r="AM42" s="74">
        <v>0</v>
      </c>
      <c r="AN42" s="73"/>
      <c r="AO42" s="72">
        <v>209740.63713964433</v>
      </c>
      <c r="AP42" s="72">
        <v>0</v>
      </c>
      <c r="AQ42" s="73"/>
      <c r="AR42" s="74">
        <v>-89.631880129633174</v>
      </c>
      <c r="AS42" s="74">
        <v>0</v>
      </c>
      <c r="AT42" s="73"/>
      <c r="AU42" s="72">
        <v>25410196.496414516</v>
      </c>
      <c r="AV42" s="72">
        <v>0</v>
      </c>
      <c r="AW42" s="73"/>
      <c r="AX42" s="74">
        <v>-1866.6394298078451</v>
      </c>
      <c r="AY42" s="74">
        <v>0</v>
      </c>
      <c r="AZ42" s="73"/>
      <c r="BA42" s="72">
        <v>178513.24424744016</v>
      </c>
      <c r="BB42" s="72">
        <v>0</v>
      </c>
      <c r="BC42" s="73"/>
      <c r="BD42" s="74">
        <v>-338.30772829997073</v>
      </c>
      <c r="BE42" s="74">
        <v>0</v>
      </c>
      <c r="BF42" s="73"/>
      <c r="BG42" s="72">
        <v>-1373465.8974389525</v>
      </c>
      <c r="BH42" s="72">
        <v>0</v>
      </c>
      <c r="BI42" s="73"/>
      <c r="BJ42" s="74">
        <v>-1484.3618662387203</v>
      </c>
      <c r="BK42" s="74">
        <v>0</v>
      </c>
      <c r="BL42" s="73"/>
      <c r="BM42" s="72">
        <v>27516729.102734424</v>
      </c>
      <c r="BN42" s="72">
        <v>0</v>
      </c>
      <c r="BO42" s="73"/>
      <c r="BP42" s="74">
        <v>-5321.4833249135681</v>
      </c>
      <c r="BQ42" s="74">
        <v>0</v>
      </c>
      <c r="BS42" s="109">
        <f t="shared" si="54"/>
        <v>117400.97779488166</v>
      </c>
      <c r="BT42" s="109">
        <f t="shared" si="55"/>
        <v>117720.62085335529</v>
      </c>
      <c r="BV42" s="58">
        <f t="array" ref="BV42">SUM(IF(BS42:BT42&gt;=BS42, 1))</f>
        <v>2</v>
      </c>
      <c r="BW42" s="58">
        <f t="array" ref="BW42">SUM(IF(BS42:BT42&gt;=BT42, 1))</f>
        <v>1</v>
      </c>
      <c r="BY42" s="109">
        <f t="shared" si="56"/>
        <v>134333.69625535933</v>
      </c>
      <c r="BZ42" s="109">
        <f t="shared" si="57"/>
        <v>134617.81136675284</v>
      </c>
      <c r="CB42" s="58">
        <f t="array" ref="CB42">SUM(IF(BY42:BZ42&gt;=BY42, 1))</f>
        <v>2</v>
      </c>
      <c r="CC42" s="58">
        <f t="array" ref="CC42">SUM(IF(BY42:BZ42&gt;=BZ42, 1))</f>
        <v>1</v>
      </c>
      <c r="CE42" s="109">
        <f t="shared" si="58"/>
        <v>91570.753527742098</v>
      </c>
      <c r="CF42" s="109">
        <f t="shared" si="59"/>
        <v>94259.183516354315</v>
      </c>
      <c r="CH42" s="58">
        <f t="array" ref="CH42">SUM(IF(CE42:CF42&gt;=CE42, 1))</f>
        <v>2</v>
      </c>
      <c r="CI42" s="58">
        <f t="array" ref="CI42">SUM(IF(CE42:CF42&gt;=CF42, 1))</f>
        <v>1</v>
      </c>
      <c r="CK42" s="109">
        <f t="shared" si="60"/>
        <v>46802.43338558892</v>
      </c>
      <c r="CL42" s="109">
        <f t="shared" si="61"/>
        <v>47585.290917425984</v>
      </c>
      <c r="CN42" s="58">
        <f t="array" ref="CN42">SUM(IF(CK42:CL42&gt;=CK42, 1))</f>
        <v>2</v>
      </c>
      <c r="CO42" s="58">
        <f t="array" ref="CO42">SUM(IF(CK42:CL42&gt;=CL42, 1))</f>
        <v>1</v>
      </c>
      <c r="CQ42" s="109" cm="1">
        <f t="array" ref="CQ42">AF42*WTP-AC42</f>
        <v>44235.441527531439</v>
      </c>
      <c r="CR42" s="109">
        <f t="shared" si="62"/>
        <v>46030.137062423782</v>
      </c>
      <c r="CT42" s="58">
        <f t="array" ref="CT42">SUM(IF(CQ42:CR42&gt;=CQ42, 1))</f>
        <v>2</v>
      </c>
      <c r="CU42" s="58">
        <f t="array" ref="CU42">SUM(IF(CQ42:CR42&gt;=CR42, 1))</f>
        <v>1</v>
      </c>
      <c r="CW42" s="109">
        <f t="shared" si="63"/>
        <v>-33942593.031119764</v>
      </c>
      <c r="CX42" s="109">
        <f t="shared" si="64"/>
        <v>0</v>
      </c>
      <c r="CZ42" s="58">
        <f t="array" ref="CZ42">SUM(IF(CW42:CX42&gt;=CW42, 1))</f>
        <v>2</v>
      </c>
      <c r="DA42" s="58">
        <f t="array" ref="DA42">SUM(IF(CW42:CX42&gt;=CX42, 1))</f>
        <v>1</v>
      </c>
      <c r="DC42" s="109">
        <f t="shared" si="65"/>
        <v>-2002378.2397323076</v>
      </c>
      <c r="DD42" s="109">
        <f t="shared" si="66"/>
        <v>0</v>
      </c>
      <c r="DF42" s="58">
        <f t="array" ref="DF42">SUM(IF(DC42:DD42&gt;=DC42, 1))</f>
        <v>2</v>
      </c>
      <c r="DG42" s="58">
        <f t="array" ref="DG42">SUM(IF(DC42:DD42&gt;=DD42, 1))</f>
        <v>1</v>
      </c>
      <c r="DI42" s="109">
        <f t="shared" si="67"/>
        <v>-62742985.092571422</v>
      </c>
      <c r="DJ42" s="109">
        <f t="shared" si="68"/>
        <v>0</v>
      </c>
      <c r="DL42" s="58">
        <f t="array" ref="DL42">SUM(IF(DI42:DJ42&gt;=DI42, 1))</f>
        <v>2</v>
      </c>
      <c r="DM42" s="58">
        <f t="array" ref="DM42">SUM(IF(DI42:DJ42&gt;=DJ42, 1))</f>
        <v>1</v>
      </c>
      <c r="DO42" s="109">
        <f t="shared" si="69"/>
        <v>-6944667.810246855</v>
      </c>
      <c r="DP42" s="109">
        <f t="shared" si="70"/>
        <v>0</v>
      </c>
      <c r="DR42" s="58">
        <f t="array" ref="DR42">SUM(IF(DO42:DP42&gt;=DO42, 1))</f>
        <v>2</v>
      </c>
      <c r="DS42" s="58">
        <f t="array" ref="DS42">SUM(IF(DO42:DP42&gt;=DP42, 1))</f>
        <v>1</v>
      </c>
      <c r="DU42" s="109">
        <f t="shared" si="71"/>
        <v>-28313771.427335456</v>
      </c>
      <c r="DV42" s="109">
        <f t="shared" si="72"/>
        <v>0</v>
      </c>
      <c r="DX42" s="58">
        <f t="array" ref="DX42">SUM(IF(DU42:DV42&gt;=DU42, 1))</f>
        <v>2</v>
      </c>
      <c r="DY42" s="58">
        <f t="array" ref="DY42">SUM(IF(DU42:DV42&gt;=DV42, 1))</f>
        <v>1</v>
      </c>
      <c r="EA42" s="109">
        <f t="shared" si="73"/>
        <v>-133946395.60100579</v>
      </c>
      <c r="EB42" s="109">
        <f t="shared" si="74"/>
        <v>0</v>
      </c>
      <c r="ED42" s="58">
        <f t="array" ref="ED42">SUM(IF(EA42:EB42&gt;=EA42, 1))</f>
        <v>2</v>
      </c>
      <c r="EE42" s="58">
        <f t="array" ref="EE42">SUM(IF(EA42:EB42&gt;=EB42, 1))</f>
        <v>1</v>
      </c>
    </row>
    <row r="43" spans="4:135" ht="12" customHeight="1" x14ac:dyDescent="0.25">
      <c r="D43" s="11">
        <v>27</v>
      </c>
      <c r="E43" s="72">
        <v>277.92308047781853</v>
      </c>
      <c r="F43" s="72">
        <v>250.22329510441401</v>
      </c>
      <c r="G43" s="73"/>
      <c r="H43" s="74">
        <v>5.8113202501378209</v>
      </c>
      <c r="I43" s="74">
        <v>5.8287382566261963</v>
      </c>
      <c r="J43" s="73"/>
      <c r="K43" s="72">
        <v>298.16665177917002</v>
      </c>
      <c r="L43" s="72">
        <v>269.79504351403131</v>
      </c>
      <c r="M43" s="73"/>
      <c r="N43" s="74">
        <v>6.6589053619978227</v>
      </c>
      <c r="O43" s="74">
        <v>6.6735204798297261</v>
      </c>
      <c r="P43" s="73"/>
      <c r="Q43" s="72">
        <v>2072.948618630795</v>
      </c>
      <c r="R43" s="72">
        <v>1253.8985703883152</v>
      </c>
      <c r="S43" s="73"/>
      <c r="T43" s="74">
        <v>4.7247479094985323</v>
      </c>
      <c r="U43" s="74">
        <v>4.8207156328996703</v>
      </c>
      <c r="V43" s="73"/>
      <c r="W43" s="72">
        <v>10400.675351128197</v>
      </c>
      <c r="X43" s="72">
        <v>10373.378718077645</v>
      </c>
      <c r="Y43" s="73"/>
      <c r="Z43" s="74">
        <v>3.0281468048759566</v>
      </c>
      <c r="AA43" s="74">
        <v>3.0710448597813294</v>
      </c>
      <c r="AB43" s="73"/>
      <c r="AC43" s="72">
        <v>50455.70147361415</v>
      </c>
      <c r="AD43" s="72">
        <v>50354.646077557612</v>
      </c>
      <c r="AE43" s="73"/>
      <c r="AF43" s="74">
        <v>4.1777833215331288</v>
      </c>
      <c r="AG43" s="74">
        <v>4.338456143331733</v>
      </c>
      <c r="AH43" s="73"/>
      <c r="AI43" s="72">
        <v>2978799.6259907656</v>
      </c>
      <c r="AJ43" s="72">
        <v>0</v>
      </c>
      <c r="AK43" s="73"/>
      <c r="AL43" s="74">
        <v>-1873.1102249945016</v>
      </c>
      <c r="AM43" s="74">
        <v>0</v>
      </c>
      <c r="AN43" s="73"/>
      <c r="AO43" s="72">
        <v>199461.97472391344</v>
      </c>
      <c r="AP43" s="72">
        <v>0</v>
      </c>
      <c r="AQ43" s="73"/>
      <c r="AR43" s="74">
        <v>-102.74920745878548</v>
      </c>
      <c r="AS43" s="74">
        <v>0</v>
      </c>
      <c r="AT43" s="73"/>
      <c r="AU43" s="72">
        <v>18526116.39751365</v>
      </c>
      <c r="AV43" s="72">
        <v>0</v>
      </c>
      <c r="AW43" s="73"/>
      <c r="AX43" s="74">
        <v>-2170.6966722594311</v>
      </c>
      <c r="AY43" s="74">
        <v>0</v>
      </c>
      <c r="AZ43" s="73"/>
      <c r="BA43" s="72">
        <v>234225.40178210574</v>
      </c>
      <c r="BB43" s="72">
        <v>0</v>
      </c>
      <c r="BC43" s="73"/>
      <c r="BD43" s="74">
        <v>-368.09719818828654</v>
      </c>
      <c r="BE43" s="74">
        <v>0</v>
      </c>
      <c r="BF43" s="73"/>
      <c r="BG43" s="72">
        <v>1579873.2580455237</v>
      </c>
      <c r="BH43" s="72">
        <v>0</v>
      </c>
      <c r="BI43" s="73"/>
      <c r="BJ43" s="74">
        <v>-2511.9162791891986</v>
      </c>
      <c r="BK43" s="74">
        <v>0</v>
      </c>
      <c r="BL43" s="73"/>
      <c r="BM43" s="72">
        <v>23518476.658055961</v>
      </c>
      <c r="BN43" s="72">
        <v>0</v>
      </c>
      <c r="BO43" s="73"/>
      <c r="BP43" s="74">
        <v>-7026.5695820902038</v>
      </c>
      <c r="BQ43" s="74">
        <v>0</v>
      </c>
      <c r="BS43" s="109">
        <f t="shared" si="54"/>
        <v>115948.4819222786</v>
      </c>
      <c r="BT43" s="109">
        <f t="shared" si="55"/>
        <v>116324.54183741951</v>
      </c>
      <c r="BV43" s="58">
        <f t="array" ref="BV43">SUM(IF(BS43:BT43&gt;=BS43, 1))</f>
        <v>2</v>
      </c>
      <c r="BW43" s="58">
        <f t="array" ref="BW43">SUM(IF(BS43:BT43&gt;=BT43, 1))</f>
        <v>1</v>
      </c>
      <c r="BY43" s="109">
        <f t="shared" si="56"/>
        <v>132879.94058817727</v>
      </c>
      <c r="BZ43" s="109">
        <f t="shared" si="57"/>
        <v>133200.61455308049</v>
      </c>
      <c r="CB43" s="58">
        <f t="array" ref="CB43">SUM(IF(BY43:BZ43&gt;=BY43, 1))</f>
        <v>2</v>
      </c>
      <c r="CC43" s="58">
        <f t="array" ref="CC43">SUM(IF(BY43:BZ43&gt;=BZ43, 1))</f>
        <v>1</v>
      </c>
      <c r="CE43" s="109">
        <f t="shared" si="58"/>
        <v>92422.009571339848</v>
      </c>
      <c r="CF43" s="109">
        <f t="shared" si="59"/>
        <v>95160.414087605095</v>
      </c>
      <c r="CH43" s="58">
        <f t="array" ref="CH43">SUM(IF(CE43:CF43&gt;=CE43, 1))</f>
        <v>2</v>
      </c>
      <c r="CI43" s="58">
        <f t="array" ref="CI43">SUM(IF(CE43:CF43&gt;=CF43, 1))</f>
        <v>1</v>
      </c>
      <c r="CK43" s="109">
        <f t="shared" si="60"/>
        <v>50162.260746390937</v>
      </c>
      <c r="CL43" s="109">
        <f t="shared" si="61"/>
        <v>51047.518477548947</v>
      </c>
      <c r="CN43" s="58">
        <f t="array" ref="CN43">SUM(IF(CK43:CL43&gt;=CK43, 1))</f>
        <v>2</v>
      </c>
      <c r="CO43" s="58">
        <f t="array" ref="CO43">SUM(IF(CK43:CL43&gt;=CL43, 1))</f>
        <v>1</v>
      </c>
      <c r="CQ43" s="109" cm="1">
        <f t="array" ref="CQ43">AF43*WTP-AC43</f>
        <v>33099.964957048425</v>
      </c>
      <c r="CR43" s="109">
        <f t="shared" si="62"/>
        <v>36414.476789077045</v>
      </c>
      <c r="CT43" s="58">
        <f t="array" ref="CT43">SUM(IF(CQ43:CR43&gt;=CQ43, 1))</f>
        <v>2</v>
      </c>
      <c r="CU43" s="58">
        <f t="array" ref="CU43">SUM(IF(CQ43:CR43&gt;=CR43, 1))</f>
        <v>1</v>
      </c>
      <c r="CW43" s="109">
        <f t="shared" si="63"/>
        <v>-40441004.125880793</v>
      </c>
      <c r="CX43" s="109">
        <f t="shared" si="64"/>
        <v>0</v>
      </c>
      <c r="CZ43" s="58">
        <f t="array" ref="CZ43">SUM(IF(CW43:CX43&gt;=CW43, 1))</f>
        <v>2</v>
      </c>
      <c r="DA43" s="58">
        <f t="array" ref="DA43">SUM(IF(CW43:CX43&gt;=CX43, 1))</f>
        <v>1</v>
      </c>
      <c r="DC43" s="109">
        <f t="shared" si="65"/>
        <v>-2254446.1238996228</v>
      </c>
      <c r="DD43" s="109">
        <f t="shared" si="66"/>
        <v>0</v>
      </c>
      <c r="DF43" s="58">
        <f t="array" ref="DF43">SUM(IF(DC43:DD43&gt;=DC43, 1))</f>
        <v>2</v>
      </c>
      <c r="DG43" s="58">
        <f t="array" ref="DG43">SUM(IF(DC43:DD43&gt;=DD43, 1))</f>
        <v>1</v>
      </c>
      <c r="DI43" s="109">
        <f t="shared" si="67"/>
        <v>-61940049.84270227</v>
      </c>
      <c r="DJ43" s="109">
        <f t="shared" si="68"/>
        <v>0</v>
      </c>
      <c r="DL43" s="58">
        <f t="array" ref="DL43">SUM(IF(DI43:DJ43&gt;=DI43, 1))</f>
        <v>2</v>
      </c>
      <c r="DM43" s="58">
        <f t="array" ref="DM43">SUM(IF(DI43:DJ43&gt;=DJ43, 1))</f>
        <v>1</v>
      </c>
      <c r="DO43" s="109">
        <f t="shared" si="69"/>
        <v>-7596169.3655478368</v>
      </c>
      <c r="DP43" s="109">
        <f t="shared" si="70"/>
        <v>0</v>
      </c>
      <c r="DR43" s="58">
        <f t="array" ref="DR43">SUM(IF(DO43:DP43&gt;=DO43, 1))</f>
        <v>2</v>
      </c>
      <c r="DS43" s="58">
        <f t="array" ref="DS43">SUM(IF(DO43:DP43&gt;=DP43, 1))</f>
        <v>1</v>
      </c>
      <c r="DU43" s="109">
        <f t="shared" si="71"/>
        <v>-51818198.841829494</v>
      </c>
      <c r="DV43" s="109">
        <f t="shared" si="72"/>
        <v>0</v>
      </c>
      <c r="DX43" s="58">
        <f t="array" ref="DX43">SUM(IF(DU43:DV43&gt;=DU43, 1))</f>
        <v>2</v>
      </c>
      <c r="DY43" s="58">
        <f t="array" ref="DY43">SUM(IF(DU43:DV43&gt;=DV43, 1))</f>
        <v>1</v>
      </c>
      <c r="EA43" s="109">
        <f t="shared" si="73"/>
        <v>-164049868.29986003</v>
      </c>
      <c r="EB43" s="109">
        <f t="shared" si="74"/>
        <v>0</v>
      </c>
      <c r="ED43" s="58">
        <f t="array" ref="ED43">SUM(IF(EA43:EB43&gt;=EA43, 1))</f>
        <v>2</v>
      </c>
      <c r="EE43" s="58">
        <f t="array" ref="EE43">SUM(IF(EA43:EB43&gt;=EB43, 1))</f>
        <v>1</v>
      </c>
    </row>
    <row r="44" spans="4:135" ht="12" customHeight="1" x14ac:dyDescent="0.25">
      <c r="D44" s="11">
        <v>28</v>
      </c>
      <c r="E44" s="72">
        <v>265.43474237222739</v>
      </c>
      <c r="F44" s="72">
        <v>241.48976144796634</v>
      </c>
      <c r="G44" s="73"/>
      <c r="H44" s="74">
        <v>5.7965501512021262</v>
      </c>
      <c r="I44" s="74">
        <v>5.8150650103018569</v>
      </c>
      <c r="J44" s="73"/>
      <c r="K44" s="72">
        <v>284.94133510180905</v>
      </c>
      <c r="L44" s="72">
        <v>260.41914434021083</v>
      </c>
      <c r="M44" s="73"/>
      <c r="N44" s="74">
        <v>6.655915625512355</v>
      </c>
      <c r="O44" s="74">
        <v>6.6723140058382366</v>
      </c>
      <c r="P44" s="73"/>
      <c r="Q44" s="72">
        <v>3065.1786800924788</v>
      </c>
      <c r="R44" s="72">
        <v>1756.1869574483289</v>
      </c>
      <c r="S44" s="73"/>
      <c r="T44" s="74">
        <v>4.8242789578113809</v>
      </c>
      <c r="U44" s="74">
        <v>4.9350505465054253</v>
      </c>
      <c r="V44" s="73"/>
      <c r="W44" s="72">
        <v>10078.088405089275</v>
      </c>
      <c r="X44" s="72">
        <v>10098.101310099933</v>
      </c>
      <c r="Y44" s="73"/>
      <c r="Z44" s="74">
        <v>3.0093740261392026</v>
      </c>
      <c r="AA44" s="74">
        <v>3.0509357252917968</v>
      </c>
      <c r="AB44" s="73"/>
      <c r="AC44" s="72">
        <v>50796.197968248125</v>
      </c>
      <c r="AD44" s="72">
        <v>50817.753916962167</v>
      </c>
      <c r="AE44" s="73"/>
      <c r="AF44" s="74">
        <v>4.0384009142615174</v>
      </c>
      <c r="AG44" s="74">
        <v>4.0926643378279399</v>
      </c>
      <c r="AH44" s="73"/>
      <c r="AI44" s="72">
        <v>2538277.8196943742</v>
      </c>
      <c r="AJ44" s="72">
        <v>0</v>
      </c>
      <c r="AK44" s="73"/>
      <c r="AL44" s="74">
        <v>-1962.659996943099</v>
      </c>
      <c r="AM44" s="74">
        <v>0</v>
      </c>
      <c r="AN44" s="73"/>
      <c r="AO44" s="72">
        <v>175804.42428374366</v>
      </c>
      <c r="AP44" s="72">
        <v>0</v>
      </c>
      <c r="AQ44" s="73"/>
      <c r="AR44" s="74">
        <v>-117.56322428141779</v>
      </c>
      <c r="AS44" s="74">
        <v>0</v>
      </c>
      <c r="AT44" s="73"/>
      <c r="AU44" s="72">
        <v>30292121.030673984</v>
      </c>
      <c r="AV44" s="72">
        <v>0</v>
      </c>
      <c r="AW44" s="73"/>
      <c r="AX44" s="74">
        <v>-2563.4282581267521</v>
      </c>
      <c r="AY44" s="74">
        <v>0</v>
      </c>
      <c r="AZ44" s="73"/>
      <c r="BA44" s="72">
        <v>-181615.0830168839</v>
      </c>
      <c r="BB44" s="72">
        <v>0</v>
      </c>
      <c r="BC44" s="73"/>
      <c r="BD44" s="74">
        <v>-377.16820411134546</v>
      </c>
      <c r="BE44" s="74">
        <v>0</v>
      </c>
      <c r="BF44" s="73"/>
      <c r="BG44" s="72">
        <v>-346625.00042214291</v>
      </c>
      <c r="BH44" s="72">
        <v>0</v>
      </c>
      <c r="BI44" s="73"/>
      <c r="BJ44" s="74">
        <v>-872.56930632636693</v>
      </c>
      <c r="BK44" s="74">
        <v>0</v>
      </c>
      <c r="BL44" s="73"/>
      <c r="BM44" s="72">
        <v>32477963.191213075</v>
      </c>
      <c r="BN44" s="72">
        <v>0</v>
      </c>
      <c r="BO44" s="73"/>
      <c r="BP44" s="74">
        <v>-5893.3889897889812</v>
      </c>
      <c r="BQ44" s="74">
        <v>0</v>
      </c>
      <c r="BS44" s="109">
        <f t="shared" si="54"/>
        <v>115665.5682816703</v>
      </c>
      <c r="BT44" s="109">
        <f t="shared" si="55"/>
        <v>116059.81044458917</v>
      </c>
      <c r="BV44" s="58">
        <f t="array" ref="BV44">SUM(IF(BS44:BT44&gt;=BS44, 1))</f>
        <v>2</v>
      </c>
      <c r="BW44" s="58">
        <f t="array" ref="BW44">SUM(IF(BS44:BT44&gt;=BT44, 1))</f>
        <v>1</v>
      </c>
      <c r="BY44" s="109">
        <f t="shared" si="56"/>
        <v>132833.37117514529</v>
      </c>
      <c r="BZ44" s="109">
        <f t="shared" si="57"/>
        <v>133185.86097242453</v>
      </c>
      <c r="CB44" s="58">
        <f t="array" ref="CB44">SUM(IF(BY44:BZ44&gt;=BY44, 1))</f>
        <v>2</v>
      </c>
      <c r="CC44" s="58">
        <f t="array" ref="CC44">SUM(IF(BY44:BZ44&gt;=BZ44, 1))</f>
        <v>1</v>
      </c>
      <c r="CE44" s="109">
        <f t="shared" si="58"/>
        <v>93420.400476135139</v>
      </c>
      <c r="CF44" s="109">
        <f t="shared" si="59"/>
        <v>96944.823972660175</v>
      </c>
      <c r="CH44" s="58">
        <f t="array" ref="CH44">SUM(IF(CE44:CF44&gt;=CE44, 1))</f>
        <v>2</v>
      </c>
      <c r="CI44" s="58">
        <f t="array" ref="CI44">SUM(IF(CE44:CF44&gt;=CF44, 1))</f>
        <v>1</v>
      </c>
      <c r="CK44" s="109">
        <f t="shared" si="60"/>
        <v>50109.392117694777</v>
      </c>
      <c r="CL44" s="109">
        <f t="shared" si="61"/>
        <v>50920.613195736005</v>
      </c>
      <c r="CN44" s="58">
        <f t="array" ref="CN44">SUM(IF(CK44:CL44&gt;=CK44, 1))</f>
        <v>2</v>
      </c>
      <c r="CO44" s="58">
        <f t="array" ref="CO44">SUM(IF(CK44:CL44&gt;=CL44, 1))</f>
        <v>1</v>
      </c>
      <c r="CQ44" s="109" cm="1">
        <f t="array" ref="CQ44">AF44*WTP-AC44</f>
        <v>29971.820316982215</v>
      </c>
      <c r="CR44" s="109">
        <f t="shared" si="62"/>
        <v>31035.532839596628</v>
      </c>
      <c r="CT44" s="58">
        <f t="array" ref="CT44">SUM(IF(CQ44:CR44&gt;=CQ44, 1))</f>
        <v>2</v>
      </c>
      <c r="CU44" s="58">
        <f t="array" ref="CU44">SUM(IF(CQ44:CR44&gt;=CR44, 1))</f>
        <v>1</v>
      </c>
      <c r="CW44" s="109">
        <f t="shared" si="63"/>
        <v>-41791477.758556359</v>
      </c>
      <c r="CX44" s="109">
        <f t="shared" si="64"/>
        <v>0</v>
      </c>
      <c r="CZ44" s="58">
        <f t="array" ref="CZ44">SUM(IF(CW44:CX44&gt;=CW44, 1))</f>
        <v>2</v>
      </c>
      <c r="DA44" s="58">
        <f t="array" ref="DA44">SUM(IF(CW44:CX44&gt;=CX44, 1))</f>
        <v>1</v>
      </c>
      <c r="DC44" s="109">
        <f t="shared" si="65"/>
        <v>-2527068.9099120996</v>
      </c>
      <c r="DD44" s="109">
        <f t="shared" si="66"/>
        <v>0</v>
      </c>
      <c r="DF44" s="58">
        <f t="array" ref="DF44">SUM(IF(DC44:DD44&gt;=DC44, 1))</f>
        <v>2</v>
      </c>
      <c r="DG44" s="58">
        <f t="array" ref="DG44">SUM(IF(DC44:DD44&gt;=DD44, 1))</f>
        <v>1</v>
      </c>
      <c r="DI44" s="109">
        <f t="shared" si="67"/>
        <v>-81560686.193209022</v>
      </c>
      <c r="DJ44" s="109">
        <f t="shared" si="68"/>
        <v>0</v>
      </c>
      <c r="DL44" s="58">
        <f t="array" ref="DL44">SUM(IF(DI44:DJ44&gt;=DI44, 1))</f>
        <v>2</v>
      </c>
      <c r="DM44" s="58">
        <f t="array" ref="DM44">SUM(IF(DI44:DJ44&gt;=DJ44, 1))</f>
        <v>1</v>
      </c>
      <c r="DO44" s="109">
        <f t="shared" si="69"/>
        <v>-7361748.9992100252</v>
      </c>
      <c r="DP44" s="109">
        <f t="shared" si="70"/>
        <v>0</v>
      </c>
      <c r="DR44" s="58">
        <f t="array" ref="DR44">SUM(IF(DO44:DP44&gt;=DO44, 1))</f>
        <v>2</v>
      </c>
      <c r="DS44" s="58">
        <f t="array" ref="DS44">SUM(IF(DO44:DP44&gt;=DP44, 1))</f>
        <v>1</v>
      </c>
      <c r="DU44" s="109">
        <f t="shared" si="71"/>
        <v>-17104761.126105197</v>
      </c>
      <c r="DV44" s="109">
        <f t="shared" si="72"/>
        <v>0</v>
      </c>
      <c r="DX44" s="58">
        <f t="array" ref="DX44">SUM(IF(DU44:DV44&gt;=DU44, 1))</f>
        <v>2</v>
      </c>
      <c r="DY44" s="58">
        <f t="array" ref="DY44">SUM(IF(DU44:DV44&gt;=DV44, 1))</f>
        <v>1</v>
      </c>
      <c r="EA44" s="109">
        <f t="shared" si="73"/>
        <v>-150345742.98699272</v>
      </c>
      <c r="EB44" s="109">
        <f t="shared" si="74"/>
        <v>0</v>
      </c>
      <c r="ED44" s="58">
        <f t="array" ref="ED44">SUM(IF(EA44:EB44&gt;=EA44, 1))</f>
        <v>2</v>
      </c>
      <c r="EE44" s="58">
        <f t="array" ref="EE44">SUM(IF(EA44:EB44&gt;=EB44, 1))</f>
        <v>1</v>
      </c>
    </row>
    <row r="45" spans="4:135" ht="12" customHeight="1" x14ac:dyDescent="0.25">
      <c r="D45" s="11">
        <v>29</v>
      </c>
      <c r="E45" s="72">
        <v>296.26251900380527</v>
      </c>
      <c r="F45" s="72">
        <v>278.31922965211868</v>
      </c>
      <c r="G45" s="73"/>
      <c r="H45" s="74">
        <v>5.8351580145587096</v>
      </c>
      <c r="I45" s="74">
        <v>5.8523279394818601</v>
      </c>
      <c r="J45" s="73"/>
      <c r="K45" s="72">
        <v>318.55280753531719</v>
      </c>
      <c r="L45" s="72">
        <v>300.18593809850438</v>
      </c>
      <c r="M45" s="73"/>
      <c r="N45" s="74">
        <v>6.7138238559632013</v>
      </c>
      <c r="O45" s="74">
        <v>6.7296324164354129</v>
      </c>
      <c r="P45" s="73"/>
      <c r="Q45" s="72">
        <v>1895.9319981864946</v>
      </c>
      <c r="R45" s="72">
        <v>1033.9575128233873</v>
      </c>
      <c r="S45" s="73"/>
      <c r="T45" s="74">
        <v>4.8028299727558883</v>
      </c>
      <c r="U45" s="74">
        <v>4.8908261024884041</v>
      </c>
      <c r="V45" s="73"/>
      <c r="W45" s="72">
        <v>15929.40176609771</v>
      </c>
      <c r="X45" s="72">
        <v>15905.48550165248</v>
      </c>
      <c r="Y45" s="73"/>
      <c r="Z45" s="74">
        <v>3.1050098062150733</v>
      </c>
      <c r="AA45" s="74">
        <v>3.1534997068833666</v>
      </c>
      <c r="AB45" s="73"/>
      <c r="AC45" s="72">
        <v>49165.495383348862</v>
      </c>
      <c r="AD45" s="72">
        <v>49384.862025527815</v>
      </c>
      <c r="AE45" s="73"/>
      <c r="AF45" s="74">
        <v>4.4949184741584354</v>
      </c>
      <c r="AG45" s="74">
        <v>4.6277922215186305</v>
      </c>
      <c r="AH45" s="73"/>
      <c r="AI45" s="72">
        <v>1928479.6380338741</v>
      </c>
      <c r="AJ45" s="72">
        <v>0</v>
      </c>
      <c r="AK45" s="73"/>
      <c r="AL45" s="74">
        <v>-1845.3612351602474</v>
      </c>
      <c r="AM45" s="74">
        <v>0</v>
      </c>
      <c r="AN45" s="73"/>
      <c r="AO45" s="72">
        <v>120667.97393751817</v>
      </c>
      <c r="AP45" s="72">
        <v>0</v>
      </c>
      <c r="AQ45" s="73"/>
      <c r="AR45" s="74">
        <v>-103.86021252087306</v>
      </c>
      <c r="AS45" s="74">
        <v>0</v>
      </c>
      <c r="AT45" s="73"/>
      <c r="AU45" s="72">
        <v>19824131.778092679</v>
      </c>
      <c r="AV45" s="72">
        <v>0</v>
      </c>
      <c r="AW45" s="73"/>
      <c r="AX45" s="74">
        <v>-2023.7801714567956</v>
      </c>
      <c r="AY45" s="74">
        <v>0</v>
      </c>
      <c r="AZ45" s="73"/>
      <c r="BA45" s="72">
        <v>204468.73107433264</v>
      </c>
      <c r="BB45" s="72">
        <v>0</v>
      </c>
      <c r="BC45" s="73"/>
      <c r="BD45" s="74">
        <v>-414.55756948463761</v>
      </c>
      <c r="BE45" s="74">
        <v>0</v>
      </c>
      <c r="BF45" s="73"/>
      <c r="BG45" s="72">
        <v>-3481567.070858838</v>
      </c>
      <c r="BH45" s="72">
        <v>0</v>
      </c>
      <c r="BI45" s="73"/>
      <c r="BJ45" s="74">
        <v>-2108.8386948708844</v>
      </c>
      <c r="BK45" s="74">
        <v>0</v>
      </c>
      <c r="BL45" s="73"/>
      <c r="BM45" s="72">
        <v>18596181.050279565</v>
      </c>
      <c r="BN45" s="72">
        <v>0</v>
      </c>
      <c r="BO45" s="73"/>
      <c r="BP45" s="74">
        <v>-6496.3978834934387</v>
      </c>
      <c r="BQ45" s="74">
        <v>0</v>
      </c>
      <c r="BS45" s="109">
        <f t="shared" si="54"/>
        <v>116406.89777217038</v>
      </c>
      <c r="BT45" s="109">
        <f t="shared" si="55"/>
        <v>116768.23955998509</v>
      </c>
      <c r="BV45" s="58">
        <f t="array" ref="BV45">SUM(IF(BS45:BT45&gt;=BS45, 1))</f>
        <v>2</v>
      </c>
      <c r="BW45" s="58">
        <f t="array" ref="BW45">SUM(IF(BS45:BT45&gt;=BT45, 1))</f>
        <v>1</v>
      </c>
      <c r="BY45" s="109">
        <f t="shared" si="56"/>
        <v>133957.92431172871</v>
      </c>
      <c r="BZ45" s="109">
        <f t="shared" si="57"/>
        <v>134292.46239060975</v>
      </c>
      <c r="CB45" s="58">
        <f t="array" ref="CB45">SUM(IF(BY45:BZ45&gt;=BY45, 1))</f>
        <v>2</v>
      </c>
      <c r="CC45" s="58">
        <f t="array" ref="CC45">SUM(IF(BY45:BZ45&gt;=BZ45, 1))</f>
        <v>1</v>
      </c>
      <c r="CE45" s="109">
        <f t="shared" si="58"/>
        <v>94160.667456931275</v>
      </c>
      <c r="CF45" s="109">
        <f t="shared" si="59"/>
        <v>96782.564536944701</v>
      </c>
      <c r="CH45" s="58">
        <f t="array" ref="CH45">SUM(IF(CE45:CF45&gt;=CE45, 1))</f>
        <v>2</v>
      </c>
      <c r="CI45" s="58">
        <f t="array" ref="CI45">SUM(IF(CE45:CF45&gt;=CF45, 1))</f>
        <v>1</v>
      </c>
      <c r="CK45" s="109">
        <f t="shared" si="60"/>
        <v>46170.794358203755</v>
      </c>
      <c r="CL45" s="109">
        <f t="shared" si="61"/>
        <v>47164.508636014849</v>
      </c>
      <c r="CN45" s="58">
        <f t="array" ref="CN45">SUM(IF(CK45:CL45&gt;=CK45, 1))</f>
        <v>2</v>
      </c>
      <c r="CO45" s="58">
        <f t="array" ref="CO45">SUM(IF(CK45:CL45&gt;=CL45, 1))</f>
        <v>1</v>
      </c>
      <c r="CQ45" s="109" cm="1">
        <f t="array" ref="CQ45">AF45*WTP-AC45</f>
        <v>40732.874099819841</v>
      </c>
      <c r="CR45" s="109">
        <f t="shared" si="62"/>
        <v>43170.982404844799</v>
      </c>
      <c r="CT45" s="58">
        <f t="array" ref="CT45">SUM(IF(CQ45:CR45&gt;=CQ45, 1))</f>
        <v>2</v>
      </c>
      <c r="CU45" s="58">
        <f t="array" ref="CU45">SUM(IF(CQ45:CR45&gt;=CR45, 1))</f>
        <v>1</v>
      </c>
      <c r="CW45" s="109">
        <f t="shared" si="63"/>
        <v>-38835704.341238819</v>
      </c>
      <c r="CX45" s="109">
        <f t="shared" si="64"/>
        <v>0</v>
      </c>
      <c r="CZ45" s="58">
        <f t="array" ref="CZ45">SUM(IF(CW45:CX45&gt;=CW45, 1))</f>
        <v>2</v>
      </c>
      <c r="DA45" s="58">
        <f t="array" ref="DA45">SUM(IF(CW45:CX45&gt;=CX45, 1))</f>
        <v>1</v>
      </c>
      <c r="DC45" s="109">
        <f t="shared" si="65"/>
        <v>-2197872.2243549791</v>
      </c>
      <c r="DD45" s="109">
        <f t="shared" si="66"/>
        <v>0</v>
      </c>
      <c r="DF45" s="58">
        <f t="array" ref="DF45">SUM(IF(DC45:DD45&gt;=DC45, 1))</f>
        <v>2</v>
      </c>
      <c r="DG45" s="58">
        <f t="array" ref="DG45">SUM(IF(DC45:DD45&gt;=DD45, 1))</f>
        <v>1</v>
      </c>
      <c r="DI45" s="109">
        <f t="shared" si="67"/>
        <v>-60299735.207228586</v>
      </c>
      <c r="DJ45" s="109">
        <f t="shared" si="68"/>
        <v>0</v>
      </c>
      <c r="DL45" s="58">
        <f t="array" ref="DL45">SUM(IF(DI45:DJ45&gt;=DI45, 1))</f>
        <v>2</v>
      </c>
      <c r="DM45" s="58">
        <f t="array" ref="DM45">SUM(IF(DI45:DJ45&gt;=DJ45, 1))</f>
        <v>1</v>
      </c>
      <c r="DO45" s="109">
        <f t="shared" si="69"/>
        <v>-8495620.1207670849</v>
      </c>
      <c r="DP45" s="109">
        <f t="shared" si="70"/>
        <v>0</v>
      </c>
      <c r="DR45" s="58">
        <f t="array" ref="DR45">SUM(IF(DO45:DP45&gt;=DO45, 1))</f>
        <v>2</v>
      </c>
      <c r="DS45" s="58">
        <f t="array" ref="DS45">SUM(IF(DO45:DP45&gt;=DP45, 1))</f>
        <v>1</v>
      </c>
      <c r="DU45" s="109">
        <f t="shared" si="71"/>
        <v>-38695206.826558851</v>
      </c>
      <c r="DV45" s="109">
        <f t="shared" si="72"/>
        <v>0</v>
      </c>
      <c r="DX45" s="58">
        <f t="array" ref="DX45">SUM(IF(DU45:DV45&gt;=DU45, 1))</f>
        <v>2</v>
      </c>
      <c r="DY45" s="58">
        <f t="array" ref="DY45">SUM(IF(DU45:DV45&gt;=DV45, 1))</f>
        <v>1</v>
      </c>
      <c r="EA45" s="109">
        <f t="shared" si="73"/>
        <v>-148524138.72014832</v>
      </c>
      <c r="EB45" s="109">
        <f t="shared" si="74"/>
        <v>0</v>
      </c>
      <c r="ED45" s="58">
        <f t="array" ref="ED45">SUM(IF(EA45:EB45&gt;=EA45, 1))</f>
        <v>2</v>
      </c>
      <c r="EE45" s="58">
        <f t="array" ref="EE45">SUM(IF(EA45:EB45&gt;=EB45, 1))</f>
        <v>1</v>
      </c>
    </row>
    <row r="46" spans="4:135" ht="12" customHeight="1" x14ac:dyDescent="0.25">
      <c r="D46" s="11">
        <v>30</v>
      </c>
      <c r="E46" s="72">
        <v>234.9252706008883</v>
      </c>
      <c r="F46" s="72">
        <v>219.70973253587289</v>
      </c>
      <c r="G46" s="73"/>
      <c r="H46" s="74">
        <v>5.8464226114994453</v>
      </c>
      <c r="I46" s="74">
        <v>5.8669937700584089</v>
      </c>
      <c r="J46" s="73"/>
      <c r="K46" s="72">
        <v>252.57241640610073</v>
      </c>
      <c r="L46" s="72">
        <v>236.95914407761205</v>
      </c>
      <c r="M46" s="73"/>
      <c r="N46" s="74">
        <v>6.7038505626331188</v>
      </c>
      <c r="O46" s="74">
        <v>6.7217229889855199</v>
      </c>
      <c r="P46" s="73"/>
      <c r="Q46" s="72">
        <v>1547.3141080612995</v>
      </c>
      <c r="R46" s="72">
        <v>1018.7117460775183</v>
      </c>
      <c r="S46" s="73"/>
      <c r="T46" s="74">
        <v>4.8454047956616098</v>
      </c>
      <c r="U46" s="74">
        <v>4.9412473970479995</v>
      </c>
      <c r="V46" s="73"/>
      <c r="W46" s="72">
        <v>9436.9758373096411</v>
      </c>
      <c r="X46" s="72">
        <v>9426.7364616685572</v>
      </c>
      <c r="Y46" s="73"/>
      <c r="Z46" s="74">
        <v>2.8802430327603705</v>
      </c>
      <c r="AA46" s="74">
        <v>2.9240563214002031</v>
      </c>
      <c r="AB46" s="73"/>
      <c r="AC46" s="72">
        <v>50274.464971118206</v>
      </c>
      <c r="AD46" s="72">
        <v>50348.96851918145</v>
      </c>
      <c r="AE46" s="73"/>
      <c r="AF46" s="74">
        <v>4.4016246864129664</v>
      </c>
      <c r="AG46" s="74">
        <v>4.4956239760263834</v>
      </c>
      <c r="AH46" s="73"/>
      <c r="AI46" s="72">
        <v>1644767.881984167</v>
      </c>
      <c r="AJ46" s="72">
        <v>0</v>
      </c>
      <c r="AK46" s="73"/>
      <c r="AL46" s="74">
        <v>-2223.699270338805</v>
      </c>
      <c r="AM46" s="74">
        <v>0</v>
      </c>
      <c r="AN46" s="73"/>
      <c r="AO46" s="72">
        <v>104123.44453132847</v>
      </c>
      <c r="AP46" s="72">
        <v>0</v>
      </c>
      <c r="AQ46" s="73"/>
      <c r="AR46" s="74">
        <v>-119.18953021455546</v>
      </c>
      <c r="AS46" s="74">
        <v>0</v>
      </c>
      <c r="AT46" s="73"/>
      <c r="AU46" s="72">
        <v>12168134.580929661</v>
      </c>
      <c r="AV46" s="72">
        <v>0</v>
      </c>
      <c r="AW46" s="73"/>
      <c r="AX46" s="74">
        <v>-2206.2437781762492</v>
      </c>
      <c r="AY46" s="74">
        <v>0</v>
      </c>
      <c r="AZ46" s="73"/>
      <c r="BA46" s="72">
        <v>94071.3000867464</v>
      </c>
      <c r="BB46" s="72">
        <v>0</v>
      </c>
      <c r="BC46" s="73"/>
      <c r="BD46" s="74">
        <v>-402.52190835618802</v>
      </c>
      <c r="BE46" s="74">
        <v>0</v>
      </c>
      <c r="BF46" s="73"/>
      <c r="BG46" s="72">
        <v>-1141264.9262731555</v>
      </c>
      <c r="BH46" s="72">
        <v>0</v>
      </c>
      <c r="BI46" s="73"/>
      <c r="BJ46" s="74">
        <v>-1439.9058181674923</v>
      </c>
      <c r="BK46" s="74">
        <v>0</v>
      </c>
      <c r="BL46" s="73"/>
      <c r="BM46" s="72">
        <v>12869832.281258747</v>
      </c>
      <c r="BN46" s="72">
        <v>0</v>
      </c>
      <c r="BO46" s="73"/>
      <c r="BP46" s="74">
        <v>-6391.5603052532897</v>
      </c>
      <c r="BQ46" s="74">
        <v>0</v>
      </c>
      <c r="BS46" s="109">
        <f t="shared" si="54"/>
        <v>116693.52695938802</v>
      </c>
      <c r="BT46" s="109">
        <f t="shared" si="55"/>
        <v>117120.1656686323</v>
      </c>
      <c r="BV46" s="58">
        <f t="array" ref="BV46">SUM(IF(BS46:BT46&gt;=BS46, 1))</f>
        <v>2</v>
      </c>
      <c r="BW46" s="58">
        <f t="array" ref="BW46">SUM(IF(BS46:BT46&gt;=BT46, 1))</f>
        <v>1</v>
      </c>
      <c r="BY46" s="109">
        <f t="shared" si="56"/>
        <v>133824.43883625627</v>
      </c>
      <c r="BZ46" s="109">
        <f t="shared" si="57"/>
        <v>134197.50063563278</v>
      </c>
      <c r="CB46" s="58">
        <f t="array" ref="CB46">SUM(IF(BY46:BZ46&gt;=BY46, 1))</f>
        <v>2</v>
      </c>
      <c r="CC46" s="58">
        <f t="array" ref="CC46">SUM(IF(BY46:BZ46&gt;=BZ46, 1))</f>
        <v>1</v>
      </c>
      <c r="CE46" s="109">
        <f t="shared" si="58"/>
        <v>95360.781805170904</v>
      </c>
      <c r="CF46" s="109">
        <f t="shared" si="59"/>
        <v>97806.236194882469</v>
      </c>
      <c r="CH46" s="58">
        <f t="array" ref="CH46">SUM(IF(CE46:CF46&gt;=CE46, 1))</f>
        <v>2</v>
      </c>
      <c r="CI46" s="58">
        <f t="array" ref="CI46">SUM(IF(CE46:CF46&gt;=CF46, 1))</f>
        <v>1</v>
      </c>
      <c r="CK46" s="109">
        <f t="shared" si="60"/>
        <v>48167.884817897771</v>
      </c>
      <c r="CL46" s="109">
        <f t="shared" si="61"/>
        <v>49054.389966335504</v>
      </c>
      <c r="CN46" s="58">
        <f t="array" ref="CN46">SUM(IF(CK46:CL46&gt;=CK46, 1))</f>
        <v>2</v>
      </c>
      <c r="CO46" s="58">
        <f t="array" ref="CO46">SUM(IF(CK46:CL46&gt;=CL46, 1))</f>
        <v>1</v>
      </c>
      <c r="CQ46" s="109" cm="1">
        <f t="array" ref="CQ46">AF46*WTP-AC46</f>
        <v>37758.028757141125</v>
      </c>
      <c r="CR46" s="109">
        <f t="shared" si="62"/>
        <v>39563.511001346225</v>
      </c>
      <c r="CT46" s="58">
        <f t="array" ref="CT46">SUM(IF(CQ46:CR46&gt;=CQ46, 1))</f>
        <v>2</v>
      </c>
      <c r="CU46" s="58">
        <f t="array" ref="CU46">SUM(IF(CQ46:CR46&gt;=CR46, 1))</f>
        <v>1</v>
      </c>
      <c r="CW46" s="109">
        <f t="shared" si="63"/>
        <v>-46118753.288760267</v>
      </c>
      <c r="CX46" s="109">
        <f t="shared" si="64"/>
        <v>0</v>
      </c>
      <c r="CZ46" s="58">
        <f t="array" ref="CZ46">SUM(IF(CW46:CX46&gt;=CW46, 1))</f>
        <v>2</v>
      </c>
      <c r="DA46" s="58">
        <f t="array" ref="DA46">SUM(IF(CW46:CX46&gt;=CX46, 1))</f>
        <v>1</v>
      </c>
      <c r="DC46" s="109">
        <f t="shared" si="65"/>
        <v>-2487914.0488224379</v>
      </c>
      <c r="DD46" s="109">
        <f t="shared" si="66"/>
        <v>0</v>
      </c>
      <c r="DF46" s="58">
        <f t="array" ref="DF46">SUM(IF(DC46:DD46&gt;=DC46, 1))</f>
        <v>2</v>
      </c>
      <c r="DG46" s="58">
        <f t="array" ref="DG46">SUM(IF(DC46:DD46&gt;=DD46, 1))</f>
        <v>1</v>
      </c>
      <c r="DI46" s="109">
        <f t="shared" si="67"/>
        <v>-56293010.144454643</v>
      </c>
      <c r="DJ46" s="109">
        <f t="shared" si="68"/>
        <v>0</v>
      </c>
      <c r="DL46" s="58">
        <f t="array" ref="DL46">SUM(IF(DI46:DJ46&gt;=DI46, 1))</f>
        <v>2</v>
      </c>
      <c r="DM46" s="58">
        <f t="array" ref="DM46">SUM(IF(DI46:DJ46&gt;=DJ46, 1))</f>
        <v>1</v>
      </c>
      <c r="DO46" s="109">
        <f t="shared" si="69"/>
        <v>-8144509.4672105061</v>
      </c>
      <c r="DP46" s="109">
        <f t="shared" si="70"/>
        <v>0</v>
      </c>
      <c r="DR46" s="58">
        <f t="array" ref="DR46">SUM(IF(DO46:DP46&gt;=DO46, 1))</f>
        <v>2</v>
      </c>
      <c r="DS46" s="58">
        <f t="array" ref="DS46">SUM(IF(DO46:DP46&gt;=DP46, 1))</f>
        <v>1</v>
      </c>
      <c r="DU46" s="109">
        <f t="shared" si="71"/>
        <v>-27656851.437076688</v>
      </c>
      <c r="DV46" s="109">
        <f t="shared" si="72"/>
        <v>0</v>
      </c>
      <c r="DX46" s="58">
        <f t="array" ref="DX46">SUM(IF(DU46:DV46&gt;=DU46, 1))</f>
        <v>2</v>
      </c>
      <c r="DY46" s="58">
        <f t="array" ref="DY46">SUM(IF(DU46:DV46&gt;=DV46, 1))</f>
        <v>1</v>
      </c>
      <c r="EA46" s="109">
        <f t="shared" si="73"/>
        <v>-140701038.38632452</v>
      </c>
      <c r="EB46" s="109">
        <f t="shared" si="74"/>
        <v>0</v>
      </c>
      <c r="ED46" s="58">
        <f t="array" ref="ED46">SUM(IF(EA46:EB46&gt;=EA46, 1))</f>
        <v>2</v>
      </c>
      <c r="EE46" s="58">
        <f t="array" ref="EE46">SUM(IF(EA46:EB46&gt;=EB46, 1))</f>
        <v>1</v>
      </c>
    </row>
    <row r="47" spans="4:135" ht="12" customHeight="1" x14ac:dyDescent="0.25">
      <c r="D47" s="11">
        <v>31</v>
      </c>
      <c r="E47" s="72">
        <v>333.35157483043332</v>
      </c>
      <c r="F47" s="72">
        <v>296.45580516959785</v>
      </c>
      <c r="G47" s="73"/>
      <c r="H47" s="74">
        <v>5.8553531357658724</v>
      </c>
      <c r="I47" s="74">
        <v>5.8703347897310092</v>
      </c>
      <c r="J47" s="73"/>
      <c r="K47" s="72">
        <v>357.23407595457314</v>
      </c>
      <c r="L47" s="72">
        <v>319.50001854841508</v>
      </c>
      <c r="M47" s="73"/>
      <c r="N47" s="74">
        <v>6.7031033504187256</v>
      </c>
      <c r="O47" s="74">
        <v>6.7160747821018862</v>
      </c>
      <c r="P47" s="73"/>
      <c r="Q47" s="72">
        <v>2111.2437782839088</v>
      </c>
      <c r="R47" s="72">
        <v>1472.6507511203611</v>
      </c>
      <c r="S47" s="73"/>
      <c r="T47" s="74">
        <v>4.9343699139227866</v>
      </c>
      <c r="U47" s="74">
        <v>4.9804991578376221</v>
      </c>
      <c r="V47" s="73"/>
      <c r="W47" s="72">
        <v>11706.810100871018</v>
      </c>
      <c r="X47" s="72">
        <v>11721.119042703482</v>
      </c>
      <c r="Y47" s="73"/>
      <c r="Z47" s="74">
        <v>3.0079420539696247</v>
      </c>
      <c r="AA47" s="74">
        <v>3.0537029344803654</v>
      </c>
      <c r="AB47" s="73"/>
      <c r="AC47" s="72">
        <v>49135.762260404343</v>
      </c>
      <c r="AD47" s="72">
        <v>49166.957638623229</v>
      </c>
      <c r="AE47" s="73"/>
      <c r="AF47" s="74">
        <v>4.318832306694369</v>
      </c>
      <c r="AG47" s="74">
        <v>4.3545775997154959</v>
      </c>
      <c r="AH47" s="73"/>
      <c r="AI47" s="72">
        <v>4010560.2306009089</v>
      </c>
      <c r="AJ47" s="72">
        <v>0</v>
      </c>
      <c r="AK47" s="73"/>
      <c r="AL47" s="74">
        <v>-1628.5017532777408</v>
      </c>
      <c r="AM47" s="74">
        <v>0</v>
      </c>
      <c r="AN47" s="73"/>
      <c r="AO47" s="72">
        <v>257363.22869262961</v>
      </c>
      <c r="AP47" s="72">
        <v>0</v>
      </c>
      <c r="AQ47" s="73"/>
      <c r="AR47" s="74">
        <v>-88.470993267723117</v>
      </c>
      <c r="AS47" s="74">
        <v>0</v>
      </c>
      <c r="AT47" s="73"/>
      <c r="AU47" s="72">
        <v>14741046.520573046</v>
      </c>
      <c r="AV47" s="72">
        <v>0</v>
      </c>
      <c r="AW47" s="73"/>
      <c r="AX47" s="74">
        <v>-1064.8304970190366</v>
      </c>
      <c r="AY47" s="74">
        <v>0</v>
      </c>
      <c r="AZ47" s="73"/>
      <c r="BA47" s="72">
        <v>-125829.30650991409</v>
      </c>
      <c r="BB47" s="72">
        <v>0</v>
      </c>
      <c r="BC47" s="73"/>
      <c r="BD47" s="74">
        <v>-402.40990056203452</v>
      </c>
      <c r="BE47" s="74">
        <v>0</v>
      </c>
      <c r="BF47" s="73"/>
      <c r="BG47" s="72">
        <v>-485837.23604981799</v>
      </c>
      <c r="BH47" s="72">
        <v>0</v>
      </c>
      <c r="BI47" s="73"/>
      <c r="BJ47" s="74">
        <v>-556.69766980613088</v>
      </c>
      <c r="BK47" s="74">
        <v>0</v>
      </c>
      <c r="BL47" s="73"/>
      <c r="BM47" s="72">
        <v>18397303.437306851</v>
      </c>
      <c r="BN47" s="72">
        <v>0</v>
      </c>
      <c r="BO47" s="73"/>
      <c r="BP47" s="74">
        <v>-3740.9108139326659</v>
      </c>
      <c r="BQ47" s="74">
        <v>0</v>
      </c>
      <c r="BS47" s="109">
        <f t="shared" si="54"/>
        <v>116773.71114048701</v>
      </c>
      <c r="BT47" s="109">
        <f t="shared" si="55"/>
        <v>117110.23998945059</v>
      </c>
      <c r="BV47" s="58">
        <f t="array" ref="BV47">SUM(IF(BS47:BT47&gt;=BS47, 1))</f>
        <v>2</v>
      </c>
      <c r="BW47" s="58">
        <f t="array" ref="BW47">SUM(IF(BS47:BT47&gt;=BT47, 1))</f>
        <v>1</v>
      </c>
      <c r="BY47" s="109">
        <f t="shared" si="56"/>
        <v>133704.83293241996</v>
      </c>
      <c r="BZ47" s="109">
        <f t="shared" si="57"/>
        <v>134001.99562348929</v>
      </c>
      <c r="CB47" s="58">
        <f t="array" ref="CB47">SUM(IF(BY47:BZ47&gt;=BY47, 1))</f>
        <v>2</v>
      </c>
      <c r="CC47" s="58">
        <f t="array" ref="CC47">SUM(IF(BY47:BZ47&gt;=BZ47, 1))</f>
        <v>1</v>
      </c>
      <c r="CE47" s="109">
        <f t="shared" si="58"/>
        <v>96576.154500171819</v>
      </c>
      <c r="CF47" s="109">
        <f t="shared" si="59"/>
        <v>98137.332405632071</v>
      </c>
      <c r="CH47" s="58">
        <f t="array" ref="CH47">SUM(IF(CE47:CF47&gt;=CE47, 1))</f>
        <v>2</v>
      </c>
      <c r="CI47" s="58">
        <f t="array" ref="CI47">SUM(IF(CE47:CF47&gt;=CF47, 1))</f>
        <v>1</v>
      </c>
      <c r="CK47" s="109">
        <f t="shared" si="60"/>
        <v>48452.030978521478</v>
      </c>
      <c r="CL47" s="109">
        <f t="shared" si="61"/>
        <v>49352.939646903826</v>
      </c>
      <c r="CN47" s="58">
        <f t="array" ref="CN47">SUM(IF(CK47:CL47&gt;=CK47, 1))</f>
        <v>2</v>
      </c>
      <c r="CO47" s="58">
        <f t="array" ref="CO47">SUM(IF(CK47:CL47&gt;=CL47, 1))</f>
        <v>1</v>
      </c>
      <c r="CQ47" s="109" cm="1">
        <f t="array" ref="CQ47">AF47*WTP-AC47</f>
        <v>37240.883873483035</v>
      </c>
      <c r="CR47" s="109">
        <f t="shared" si="62"/>
        <v>37924.594355686691</v>
      </c>
      <c r="CT47" s="58">
        <f t="array" ref="CT47">SUM(IF(CQ47:CR47&gt;=CQ47, 1))</f>
        <v>2</v>
      </c>
      <c r="CU47" s="58">
        <f t="array" ref="CU47">SUM(IF(CQ47:CR47&gt;=CR47, 1))</f>
        <v>1</v>
      </c>
      <c r="CW47" s="109">
        <f t="shared" si="63"/>
        <v>-36580595.296155728</v>
      </c>
      <c r="CX47" s="109">
        <f t="shared" si="64"/>
        <v>0</v>
      </c>
      <c r="CZ47" s="58">
        <f t="array" ref="CZ47">SUM(IF(CW47:CX47&gt;=CW47, 1))</f>
        <v>2</v>
      </c>
      <c r="DA47" s="58">
        <f t="array" ref="DA47">SUM(IF(CW47:CX47&gt;=CX47, 1))</f>
        <v>1</v>
      </c>
      <c r="DC47" s="109">
        <f t="shared" si="65"/>
        <v>-2026783.0940470919</v>
      </c>
      <c r="DD47" s="109">
        <f t="shared" si="66"/>
        <v>0</v>
      </c>
      <c r="DF47" s="58">
        <f t="array" ref="DF47">SUM(IF(DC47:DD47&gt;=DC47, 1))</f>
        <v>2</v>
      </c>
      <c r="DG47" s="58">
        <f t="array" ref="DG47">SUM(IF(DC47:DD47&gt;=DD47, 1))</f>
        <v>1</v>
      </c>
      <c r="DI47" s="109">
        <f t="shared" si="67"/>
        <v>-36037656.460953772</v>
      </c>
      <c r="DJ47" s="109">
        <f t="shared" si="68"/>
        <v>0</v>
      </c>
      <c r="DL47" s="58">
        <f t="array" ref="DL47">SUM(IF(DI47:DJ47&gt;=DI47, 1))</f>
        <v>2</v>
      </c>
      <c r="DM47" s="58">
        <f t="array" ref="DM47">SUM(IF(DI47:DJ47&gt;=DJ47, 1))</f>
        <v>1</v>
      </c>
      <c r="DO47" s="109">
        <f t="shared" si="69"/>
        <v>-7922368.7047307761</v>
      </c>
      <c r="DP47" s="109">
        <f t="shared" si="70"/>
        <v>0</v>
      </c>
      <c r="DR47" s="58">
        <f t="array" ref="DR47">SUM(IF(DO47:DP47&gt;=DO47, 1))</f>
        <v>2</v>
      </c>
      <c r="DS47" s="58">
        <f t="array" ref="DS47">SUM(IF(DO47:DP47&gt;=DP47, 1))</f>
        <v>1</v>
      </c>
      <c r="DU47" s="109">
        <f t="shared" si="71"/>
        <v>-10648116.1600728</v>
      </c>
      <c r="DV47" s="109">
        <f t="shared" si="72"/>
        <v>0</v>
      </c>
      <c r="DX47" s="58">
        <f t="array" ref="DX47">SUM(IF(DU47:DV47&gt;=DU47, 1))</f>
        <v>2</v>
      </c>
      <c r="DY47" s="58">
        <f t="array" ref="DY47">SUM(IF(DU47:DV47&gt;=DV47, 1))</f>
        <v>1</v>
      </c>
      <c r="EA47" s="109">
        <f t="shared" si="73"/>
        <v>-93215519.715960175</v>
      </c>
      <c r="EB47" s="109">
        <f t="shared" si="74"/>
        <v>0</v>
      </c>
      <c r="ED47" s="58">
        <f t="array" ref="ED47">SUM(IF(EA47:EB47&gt;=EA47, 1))</f>
        <v>2</v>
      </c>
      <c r="EE47" s="58">
        <f t="array" ref="EE47">SUM(IF(EA47:EB47&gt;=EB47, 1))</f>
        <v>1</v>
      </c>
    </row>
    <row r="48" spans="4:135" ht="12" customHeight="1" x14ac:dyDescent="0.25">
      <c r="D48" s="11">
        <v>32</v>
      </c>
      <c r="E48" s="72">
        <v>198.21647239706041</v>
      </c>
      <c r="F48" s="72">
        <v>171.71758581693638</v>
      </c>
      <c r="G48" s="73"/>
      <c r="H48" s="74">
        <v>5.8705999353048952</v>
      </c>
      <c r="I48" s="74">
        <v>5.8893964332310205</v>
      </c>
      <c r="J48" s="73"/>
      <c r="K48" s="72">
        <v>212.21645193656852</v>
      </c>
      <c r="L48" s="72">
        <v>185.12159303483261</v>
      </c>
      <c r="M48" s="73"/>
      <c r="N48" s="74">
        <v>6.7296327339874695</v>
      </c>
      <c r="O48" s="74">
        <v>6.7463221693205213</v>
      </c>
      <c r="P48" s="73"/>
      <c r="Q48" s="72">
        <v>3181.8115025015763</v>
      </c>
      <c r="R48" s="72">
        <v>1651.9160085326989</v>
      </c>
      <c r="S48" s="73"/>
      <c r="T48" s="74">
        <v>4.8660155562791987</v>
      </c>
      <c r="U48" s="74">
        <v>4.9737771059879048</v>
      </c>
      <c r="V48" s="73"/>
      <c r="W48" s="72">
        <v>14018.936932981165</v>
      </c>
      <c r="X48" s="72">
        <v>14037.651648465198</v>
      </c>
      <c r="Y48" s="73"/>
      <c r="Z48" s="74">
        <v>3.0286679619835692</v>
      </c>
      <c r="AA48" s="74">
        <v>3.0808422770548902</v>
      </c>
      <c r="AB48" s="73"/>
      <c r="AC48" s="72">
        <v>49644.22923374192</v>
      </c>
      <c r="AD48" s="72">
        <v>49583.058420149471</v>
      </c>
      <c r="AE48" s="73"/>
      <c r="AF48" s="74">
        <v>4.4261378868100216</v>
      </c>
      <c r="AG48" s="74">
        <v>4.518540595159096</v>
      </c>
      <c r="AH48" s="73"/>
      <c r="AI48" s="72">
        <v>2909276.3369642268</v>
      </c>
      <c r="AJ48" s="72">
        <v>0</v>
      </c>
      <c r="AK48" s="73"/>
      <c r="AL48" s="74">
        <v>-2063.6416729784501</v>
      </c>
      <c r="AM48" s="74">
        <v>0</v>
      </c>
      <c r="AN48" s="73"/>
      <c r="AO48" s="72">
        <v>189605.25528989418</v>
      </c>
      <c r="AP48" s="72">
        <v>0</v>
      </c>
      <c r="AQ48" s="73"/>
      <c r="AR48" s="74">
        <v>-116.7898551693409</v>
      </c>
      <c r="AS48" s="74">
        <v>0</v>
      </c>
      <c r="AT48" s="73"/>
      <c r="AU48" s="72">
        <v>35549848.153163239</v>
      </c>
      <c r="AV48" s="72">
        <v>0</v>
      </c>
      <c r="AW48" s="73"/>
      <c r="AX48" s="74">
        <v>-2504.0316439888711</v>
      </c>
      <c r="AY48" s="74">
        <v>0</v>
      </c>
      <c r="AZ48" s="73"/>
      <c r="BA48" s="72">
        <v>-161224.20777628868</v>
      </c>
      <c r="BB48" s="72">
        <v>0</v>
      </c>
      <c r="BC48" s="73"/>
      <c r="BD48" s="74">
        <v>-449.473176379351</v>
      </c>
      <c r="BE48" s="74">
        <v>0</v>
      </c>
      <c r="BF48" s="73"/>
      <c r="BG48" s="72">
        <v>1009505.5716751919</v>
      </c>
      <c r="BH48" s="72">
        <v>0</v>
      </c>
      <c r="BI48" s="73"/>
      <c r="BJ48" s="74">
        <v>-1524.9273867395952</v>
      </c>
      <c r="BK48" s="74">
        <v>0</v>
      </c>
      <c r="BL48" s="73"/>
      <c r="BM48" s="72">
        <v>39497011.10931626</v>
      </c>
      <c r="BN48" s="72">
        <v>0</v>
      </c>
      <c r="BO48" s="73"/>
      <c r="BP48" s="74">
        <v>-6658.8637352556079</v>
      </c>
      <c r="BQ48" s="74">
        <v>0</v>
      </c>
      <c r="BS48" s="109">
        <f t="shared" si="54"/>
        <v>117213.78223370084</v>
      </c>
      <c r="BT48" s="109">
        <f t="shared" si="55"/>
        <v>117616.21107880348</v>
      </c>
      <c r="BV48" s="58">
        <f t="array" ref="BV48">SUM(IF(BS48:BT48&gt;=BS48, 1))</f>
        <v>2</v>
      </c>
      <c r="BW48" s="58">
        <f t="array" ref="BW48">SUM(IF(BS48:BT48&gt;=BT48, 1))</f>
        <v>1</v>
      </c>
      <c r="BY48" s="109">
        <f t="shared" si="56"/>
        <v>134380.43822781282</v>
      </c>
      <c r="BZ48" s="109">
        <f t="shared" si="57"/>
        <v>134741.3217933756</v>
      </c>
      <c r="CB48" s="58">
        <f t="array" ref="CB48">SUM(IF(BY48:BZ48&gt;=BY48, 1))</f>
        <v>2</v>
      </c>
      <c r="CC48" s="58">
        <f t="array" ref="CC48">SUM(IF(BY48:BZ48&gt;=BZ48, 1))</f>
        <v>1</v>
      </c>
      <c r="CE48" s="109">
        <f t="shared" si="58"/>
        <v>94138.499623082404</v>
      </c>
      <c r="CF48" s="109">
        <f t="shared" si="59"/>
        <v>97823.6261112254</v>
      </c>
      <c r="CH48" s="58">
        <f t="array" ref="CH48">SUM(IF(CE48:CF48&gt;=CE48, 1))</f>
        <v>2</v>
      </c>
      <c r="CI48" s="58">
        <f t="array" ref="CI48">SUM(IF(CE48:CF48&gt;=CF48, 1))</f>
        <v>1</v>
      </c>
      <c r="CK48" s="109">
        <f t="shared" si="60"/>
        <v>46554.42230669022</v>
      </c>
      <c r="CL48" s="109">
        <f t="shared" si="61"/>
        <v>47579.193892632611</v>
      </c>
      <c r="CN48" s="58">
        <f t="array" ref="CN48">SUM(IF(CK48:CL48&gt;=CK48, 1))</f>
        <v>2</v>
      </c>
      <c r="CO48" s="58">
        <f t="array" ref="CO48">SUM(IF(CK48:CL48&gt;=CL48, 1))</f>
        <v>1</v>
      </c>
      <c r="CQ48" s="109" cm="1">
        <f t="array" ref="CQ48">AF48*WTP-AC48</f>
        <v>38878.528502458517</v>
      </c>
      <c r="CR48" s="109">
        <f t="shared" si="62"/>
        <v>40787.753483032451</v>
      </c>
      <c r="CT48" s="58">
        <f t="array" ref="CT48">SUM(IF(CQ48:CR48&gt;=CQ48, 1))</f>
        <v>2</v>
      </c>
      <c r="CU48" s="58">
        <f t="array" ref="CU48">SUM(IF(CQ48:CR48&gt;=CR48, 1))</f>
        <v>1</v>
      </c>
      <c r="CW48" s="109">
        <f t="shared" si="63"/>
        <v>-44182109.796533227</v>
      </c>
      <c r="CX48" s="109">
        <f t="shared" si="64"/>
        <v>0</v>
      </c>
      <c r="CZ48" s="58">
        <f t="array" ref="CZ48">SUM(IF(CW48:CX48&gt;=CW48, 1))</f>
        <v>2</v>
      </c>
      <c r="DA48" s="58">
        <f t="array" ref="DA48">SUM(IF(CW48:CX48&gt;=CX48, 1))</f>
        <v>1</v>
      </c>
      <c r="DC48" s="109">
        <f t="shared" si="65"/>
        <v>-2525402.358676712</v>
      </c>
      <c r="DD48" s="109">
        <f t="shared" si="66"/>
        <v>0</v>
      </c>
      <c r="DF48" s="58">
        <f t="array" ref="DF48">SUM(IF(DC48:DD48&gt;=DC48, 1))</f>
        <v>2</v>
      </c>
      <c r="DG48" s="58">
        <f t="array" ref="DG48">SUM(IF(DC48:DD48&gt;=DD48, 1))</f>
        <v>1</v>
      </c>
      <c r="DI48" s="109">
        <f t="shared" si="67"/>
        <v>-85630481.032940656</v>
      </c>
      <c r="DJ48" s="109">
        <f t="shared" si="68"/>
        <v>0</v>
      </c>
      <c r="DL48" s="58">
        <f t="array" ref="DL48">SUM(IF(DI48:DJ48&gt;=DI48, 1))</f>
        <v>2</v>
      </c>
      <c r="DM48" s="58">
        <f t="array" ref="DM48">SUM(IF(DI48:DJ48&gt;=DJ48, 1))</f>
        <v>1</v>
      </c>
      <c r="DO48" s="109">
        <f t="shared" si="69"/>
        <v>-8828239.3198107313</v>
      </c>
      <c r="DP48" s="109">
        <f t="shared" si="70"/>
        <v>0</v>
      </c>
      <c r="DR48" s="58">
        <f t="array" ref="DR48">SUM(IF(DO48:DP48&gt;=DO48, 1))</f>
        <v>2</v>
      </c>
      <c r="DS48" s="58">
        <f t="array" ref="DS48">SUM(IF(DO48:DP48&gt;=DP48, 1))</f>
        <v>1</v>
      </c>
      <c r="DU48" s="109">
        <f t="shared" si="71"/>
        <v>-31508053.306467097</v>
      </c>
      <c r="DV48" s="109">
        <f t="shared" si="72"/>
        <v>0</v>
      </c>
      <c r="DX48" s="58">
        <f t="array" ref="DX48">SUM(IF(DU48:DV48&gt;=DU48, 1))</f>
        <v>2</v>
      </c>
      <c r="DY48" s="58">
        <f t="array" ref="DY48">SUM(IF(DU48:DV48&gt;=DV48, 1))</f>
        <v>1</v>
      </c>
      <c r="EA48" s="109">
        <f t="shared" si="73"/>
        <v>-172674285.81442842</v>
      </c>
      <c r="EB48" s="109">
        <f t="shared" si="74"/>
        <v>0</v>
      </c>
      <c r="ED48" s="58">
        <f t="array" ref="ED48">SUM(IF(EA48:EB48&gt;=EA48, 1))</f>
        <v>2</v>
      </c>
      <c r="EE48" s="58">
        <f t="array" ref="EE48">SUM(IF(EA48:EB48&gt;=EB48, 1))</f>
        <v>1</v>
      </c>
    </row>
    <row r="49" spans="4:135" ht="12" customHeight="1" x14ac:dyDescent="0.25">
      <c r="D49" s="11">
        <v>33</v>
      </c>
      <c r="E49" s="72">
        <v>206.07654969230936</v>
      </c>
      <c r="F49" s="72">
        <v>180.24099137217345</v>
      </c>
      <c r="G49" s="73"/>
      <c r="H49" s="74">
        <v>5.7783965034101055</v>
      </c>
      <c r="I49" s="74">
        <v>5.7942374468647122</v>
      </c>
      <c r="J49" s="73"/>
      <c r="K49" s="72">
        <v>220.80128476339297</v>
      </c>
      <c r="L49" s="72">
        <v>194.36900037986763</v>
      </c>
      <c r="M49" s="73"/>
      <c r="N49" s="74">
        <v>6.6941005252178156</v>
      </c>
      <c r="O49" s="74">
        <v>6.7073651955160676</v>
      </c>
      <c r="P49" s="73"/>
      <c r="Q49" s="72">
        <v>2299.0495469190873</v>
      </c>
      <c r="R49" s="72">
        <v>1619.6850669290693</v>
      </c>
      <c r="S49" s="73"/>
      <c r="T49" s="74">
        <v>4.6407052952341488</v>
      </c>
      <c r="U49" s="74">
        <v>4.7042411615022139</v>
      </c>
      <c r="V49" s="73"/>
      <c r="W49" s="72">
        <v>12877.401217618513</v>
      </c>
      <c r="X49" s="72">
        <v>12926.852662128786</v>
      </c>
      <c r="Y49" s="73"/>
      <c r="Z49" s="74">
        <v>2.9801548358263332</v>
      </c>
      <c r="AA49" s="74">
        <v>3.0448721581023923</v>
      </c>
      <c r="AB49" s="73"/>
      <c r="AC49" s="72">
        <v>49935.934425652107</v>
      </c>
      <c r="AD49" s="72">
        <v>49695.289827496068</v>
      </c>
      <c r="AE49" s="73"/>
      <c r="AF49" s="74">
        <v>4.193327320374177</v>
      </c>
      <c r="AG49" s="74">
        <v>4.2563388181507573</v>
      </c>
      <c r="AH49" s="73"/>
      <c r="AI49" s="72">
        <v>2757294.6432782067</v>
      </c>
      <c r="AJ49" s="72">
        <v>0</v>
      </c>
      <c r="AK49" s="73"/>
      <c r="AL49" s="74">
        <v>-1690.6214292190443</v>
      </c>
      <c r="AM49" s="74">
        <v>0</v>
      </c>
      <c r="AN49" s="73"/>
      <c r="AO49" s="72">
        <v>178132.39989006499</v>
      </c>
      <c r="AP49" s="72">
        <v>0</v>
      </c>
      <c r="AQ49" s="73"/>
      <c r="AR49" s="74">
        <v>-89.393240466601824</v>
      </c>
      <c r="AS49" s="74">
        <v>0</v>
      </c>
      <c r="AT49" s="73"/>
      <c r="AU49" s="72">
        <v>16114474.884629551</v>
      </c>
      <c r="AV49" s="72">
        <v>0</v>
      </c>
      <c r="AW49" s="73"/>
      <c r="AX49" s="74">
        <v>-1507.0660174417151</v>
      </c>
      <c r="AY49" s="74">
        <v>0</v>
      </c>
      <c r="AZ49" s="73"/>
      <c r="BA49" s="72">
        <v>-446752.31524119823</v>
      </c>
      <c r="BB49" s="72">
        <v>0</v>
      </c>
      <c r="BC49" s="73"/>
      <c r="BD49" s="74">
        <v>-584.66671397302298</v>
      </c>
      <c r="BE49" s="74">
        <v>0</v>
      </c>
      <c r="BF49" s="73"/>
      <c r="BG49" s="72">
        <v>3788028.4742835015</v>
      </c>
      <c r="BH49" s="72">
        <v>0</v>
      </c>
      <c r="BI49" s="73"/>
      <c r="BJ49" s="74">
        <v>-991.87494593236829</v>
      </c>
      <c r="BK49" s="74">
        <v>0</v>
      </c>
      <c r="BL49" s="73"/>
      <c r="BM49" s="72">
        <v>22391178.086840127</v>
      </c>
      <c r="BN49" s="72">
        <v>0</v>
      </c>
      <c r="BO49" s="73"/>
      <c r="BP49" s="74">
        <v>-4863.6223470327523</v>
      </c>
      <c r="BQ49" s="74">
        <v>0</v>
      </c>
      <c r="BS49" s="109">
        <f t="shared" si="54"/>
        <v>115361.8535185098</v>
      </c>
      <c r="BT49" s="109">
        <f t="shared" si="55"/>
        <v>115704.50794592207</v>
      </c>
      <c r="BV49" s="58">
        <f t="array" ref="BV49">SUM(IF(BS49:BT49&gt;=BS49, 1))</f>
        <v>2</v>
      </c>
      <c r="BW49" s="58">
        <f t="array" ref="BW49">SUM(IF(BS49:BT49&gt;=BT49, 1))</f>
        <v>1</v>
      </c>
      <c r="BY49" s="109">
        <f t="shared" si="56"/>
        <v>133661.20921959294</v>
      </c>
      <c r="BZ49" s="109">
        <f t="shared" si="57"/>
        <v>133952.93490994148</v>
      </c>
      <c r="CB49" s="58">
        <f t="array" ref="CB49">SUM(IF(BY49:BZ49&gt;=BY49, 1))</f>
        <v>2</v>
      </c>
      <c r="CC49" s="58">
        <f t="array" ref="CC49">SUM(IF(BY49:BZ49&gt;=BZ49, 1))</f>
        <v>1</v>
      </c>
      <c r="CE49" s="109">
        <f t="shared" si="58"/>
        <v>90515.056357763882</v>
      </c>
      <c r="CF49" s="109">
        <f t="shared" si="59"/>
        <v>92465.138163115203</v>
      </c>
      <c r="CH49" s="58">
        <f t="array" ref="CH49">SUM(IF(CE49:CF49&gt;=CE49, 1))</f>
        <v>2</v>
      </c>
      <c r="CI49" s="58">
        <f t="array" ref="CI49">SUM(IF(CE49:CF49&gt;=CF49, 1))</f>
        <v>1</v>
      </c>
      <c r="CK49" s="109">
        <f t="shared" si="60"/>
        <v>46725.69549890815</v>
      </c>
      <c r="CL49" s="109">
        <f t="shared" si="61"/>
        <v>47970.590499919053</v>
      </c>
      <c r="CN49" s="58">
        <f t="array" ref="CN49">SUM(IF(CK49:CL49&gt;=CK49, 1))</f>
        <v>2</v>
      </c>
      <c r="CO49" s="58">
        <f t="array" ref="CO49">SUM(IF(CK49:CL49&gt;=CL49, 1))</f>
        <v>1</v>
      </c>
      <c r="CQ49" s="109" cm="1">
        <f t="array" ref="CQ49">AF49*WTP-AC49</f>
        <v>33930.611981831426</v>
      </c>
      <c r="CR49" s="109">
        <f t="shared" si="62"/>
        <v>35431.486535519078</v>
      </c>
      <c r="CT49" s="58">
        <f t="array" ref="CT49">SUM(IF(CQ49:CR49&gt;=CQ49, 1))</f>
        <v>2</v>
      </c>
      <c r="CU49" s="58">
        <f t="array" ref="CU49">SUM(IF(CQ49:CR49&gt;=CR49, 1))</f>
        <v>1</v>
      </c>
      <c r="CW49" s="109">
        <f t="shared" si="63"/>
        <v>-36569723.227659091</v>
      </c>
      <c r="CX49" s="109">
        <f t="shared" si="64"/>
        <v>0</v>
      </c>
      <c r="CZ49" s="58">
        <f t="array" ref="CZ49">SUM(IF(CW49:CX49&gt;=CW49, 1))</f>
        <v>2</v>
      </c>
      <c r="DA49" s="58">
        <f t="array" ref="DA49">SUM(IF(CW49:CX49&gt;=CX49, 1))</f>
        <v>1</v>
      </c>
      <c r="DC49" s="109">
        <f t="shared" si="65"/>
        <v>-1965997.2092221014</v>
      </c>
      <c r="DD49" s="109">
        <f t="shared" si="66"/>
        <v>0</v>
      </c>
      <c r="DF49" s="58">
        <f t="array" ref="DF49">SUM(IF(DC49:DD49&gt;=DC49, 1))</f>
        <v>2</v>
      </c>
      <c r="DG49" s="58">
        <f t="array" ref="DG49">SUM(IF(DC49:DD49&gt;=DD49, 1))</f>
        <v>1</v>
      </c>
      <c r="DI49" s="109">
        <f t="shared" si="67"/>
        <v>-46255795.233463854</v>
      </c>
      <c r="DJ49" s="109">
        <f t="shared" si="68"/>
        <v>0</v>
      </c>
      <c r="DL49" s="58">
        <f t="array" ref="DL49">SUM(IF(DI49:DJ49&gt;=DI49, 1))</f>
        <v>2</v>
      </c>
      <c r="DM49" s="58">
        <f t="array" ref="DM49">SUM(IF(DI49:DJ49&gt;=DJ49, 1))</f>
        <v>1</v>
      </c>
      <c r="DO49" s="109">
        <f t="shared" si="69"/>
        <v>-11246581.964219261</v>
      </c>
      <c r="DP49" s="109">
        <f t="shared" si="70"/>
        <v>0</v>
      </c>
      <c r="DR49" s="58">
        <f t="array" ref="DR49">SUM(IF(DO49:DP49&gt;=DO49, 1))</f>
        <v>2</v>
      </c>
      <c r="DS49" s="58">
        <f t="array" ref="DS49">SUM(IF(DO49:DP49&gt;=DP49, 1))</f>
        <v>1</v>
      </c>
      <c r="DU49" s="109">
        <f t="shared" si="71"/>
        <v>-23625527.392930869</v>
      </c>
      <c r="DV49" s="109">
        <f t="shared" si="72"/>
        <v>0</v>
      </c>
      <c r="DX49" s="58">
        <f t="array" ref="DX49">SUM(IF(DU49:DV49&gt;=DU49, 1))</f>
        <v>2</v>
      </c>
      <c r="DY49" s="58">
        <f t="array" ref="DY49">SUM(IF(DU49:DV49&gt;=DV49, 1))</f>
        <v>1</v>
      </c>
      <c r="EA49" s="109">
        <f t="shared" si="73"/>
        <v>-119663625.02749516</v>
      </c>
      <c r="EB49" s="109">
        <f t="shared" si="74"/>
        <v>0</v>
      </c>
      <c r="ED49" s="58">
        <f t="array" ref="ED49">SUM(IF(EA49:EB49&gt;=EA49, 1))</f>
        <v>2</v>
      </c>
      <c r="EE49" s="58">
        <f t="array" ref="EE49">SUM(IF(EA49:EB49&gt;=EB49, 1))</f>
        <v>1</v>
      </c>
    </row>
    <row r="50" spans="4:135" ht="12" customHeight="1" x14ac:dyDescent="0.25">
      <c r="D50" s="11">
        <v>34</v>
      </c>
      <c r="E50" s="72">
        <v>192.16557664339837</v>
      </c>
      <c r="F50" s="72">
        <v>176.61553983569306</v>
      </c>
      <c r="G50" s="73"/>
      <c r="H50" s="74">
        <v>5.8583841083239898</v>
      </c>
      <c r="I50" s="74">
        <v>5.878066433337735</v>
      </c>
      <c r="J50" s="73"/>
      <c r="K50" s="72">
        <v>206.40202519638996</v>
      </c>
      <c r="L50" s="72">
        <v>190.46984918414861</v>
      </c>
      <c r="M50" s="73"/>
      <c r="N50" s="74">
        <v>6.6698727038715253</v>
      </c>
      <c r="O50" s="74">
        <v>6.6876424962455152</v>
      </c>
      <c r="P50" s="73"/>
      <c r="Q50" s="72">
        <v>1523.9110922464799</v>
      </c>
      <c r="R50" s="72">
        <v>1178.2239653448494</v>
      </c>
      <c r="S50" s="73"/>
      <c r="T50" s="74">
        <v>4.9570300216391843</v>
      </c>
      <c r="U50" s="74">
        <v>5.0092260893704585</v>
      </c>
      <c r="V50" s="73"/>
      <c r="W50" s="72">
        <v>8990.0156359731263</v>
      </c>
      <c r="X50" s="72">
        <v>8980.7902499170996</v>
      </c>
      <c r="Y50" s="73"/>
      <c r="Z50" s="74">
        <v>3.0375996817730373</v>
      </c>
      <c r="AA50" s="74">
        <v>3.0720960997688027</v>
      </c>
      <c r="AB50" s="73"/>
      <c r="AC50" s="72">
        <v>49899.861744509326</v>
      </c>
      <c r="AD50" s="72">
        <v>49725.168126158009</v>
      </c>
      <c r="AE50" s="73"/>
      <c r="AF50" s="74">
        <v>4.9710371094917436</v>
      </c>
      <c r="AG50" s="74">
        <v>5.0889636367400541</v>
      </c>
      <c r="AH50" s="73"/>
      <c r="AI50" s="72">
        <v>1641613.4563846202</v>
      </c>
      <c r="AJ50" s="72">
        <v>0</v>
      </c>
      <c r="AK50" s="73"/>
      <c r="AL50" s="74">
        <v>-2077.858078090801</v>
      </c>
      <c r="AM50" s="74">
        <v>0</v>
      </c>
      <c r="AN50" s="73"/>
      <c r="AO50" s="72">
        <v>103690.11242856407</v>
      </c>
      <c r="AP50" s="72">
        <v>0</v>
      </c>
      <c r="AQ50" s="73"/>
      <c r="AR50" s="74">
        <v>-115.64972466256621</v>
      </c>
      <c r="AS50" s="74">
        <v>0</v>
      </c>
      <c r="AT50" s="73"/>
      <c r="AU50" s="72">
        <v>8145844.7426495031</v>
      </c>
      <c r="AV50" s="72">
        <v>0</v>
      </c>
      <c r="AW50" s="73"/>
      <c r="AX50" s="74">
        <v>-1229.9592053850715</v>
      </c>
      <c r="AY50" s="74">
        <v>0</v>
      </c>
      <c r="AZ50" s="73"/>
      <c r="BA50" s="72">
        <v>81301.246736967543</v>
      </c>
      <c r="BB50" s="72">
        <v>0</v>
      </c>
      <c r="BC50" s="73"/>
      <c r="BD50" s="74">
        <v>-304.00915191869939</v>
      </c>
      <c r="BE50" s="74">
        <v>0</v>
      </c>
      <c r="BF50" s="73"/>
      <c r="BG50" s="72">
        <v>2725662.1509250537</v>
      </c>
      <c r="BH50" s="72">
        <v>0</v>
      </c>
      <c r="BI50" s="73"/>
      <c r="BJ50" s="74">
        <v>-1839.9519967829931</v>
      </c>
      <c r="BK50" s="74">
        <v>0</v>
      </c>
      <c r="BL50" s="73"/>
      <c r="BM50" s="72">
        <v>12698111.709124709</v>
      </c>
      <c r="BN50" s="72">
        <v>0</v>
      </c>
      <c r="BO50" s="73"/>
      <c r="BP50" s="74">
        <v>-5567.4281568401311</v>
      </c>
      <c r="BQ50" s="74">
        <v>0</v>
      </c>
      <c r="BS50" s="109">
        <f t="shared" si="54"/>
        <v>116975.51658983639</v>
      </c>
      <c r="BT50" s="109">
        <f t="shared" si="55"/>
        <v>117384.71312691901</v>
      </c>
      <c r="BV50" s="58">
        <f t="array" ref="BV50">SUM(IF(BS50:BT50&gt;=BS50, 1))</f>
        <v>2</v>
      </c>
      <c r="BW50" s="58">
        <f t="array" ref="BW50">SUM(IF(BS50:BT50&gt;=BT50, 1))</f>
        <v>1</v>
      </c>
      <c r="BY50" s="109">
        <f t="shared" si="56"/>
        <v>133191.05205223412</v>
      </c>
      <c r="BZ50" s="109">
        <f t="shared" si="57"/>
        <v>133562.38007572613</v>
      </c>
      <c r="CB50" s="58">
        <f t="array" ref="CB50">SUM(IF(BY50:BZ50&gt;=BY50, 1))</f>
        <v>2</v>
      </c>
      <c r="CC50" s="58">
        <f t="array" ref="CC50">SUM(IF(BY50:BZ50&gt;=BZ50, 1))</f>
        <v>1</v>
      </c>
      <c r="CE50" s="109">
        <f t="shared" si="58"/>
        <v>97616.68934053721</v>
      </c>
      <c r="CF50" s="109">
        <f t="shared" si="59"/>
        <v>99006.297822064327</v>
      </c>
      <c r="CH50" s="58">
        <f t="array" ref="CH50">SUM(IF(CE50:CF50&gt;=CE50, 1))</f>
        <v>2</v>
      </c>
      <c r="CI50" s="58">
        <f t="array" ref="CI50">SUM(IF(CE50:CF50&gt;=CF50, 1))</f>
        <v>1</v>
      </c>
      <c r="CK50" s="109">
        <f t="shared" si="60"/>
        <v>51761.977999487623</v>
      </c>
      <c r="CL50" s="109">
        <f t="shared" si="61"/>
        <v>52461.131745458959</v>
      </c>
      <c r="CN50" s="58">
        <f t="array" ref="CN50">SUM(IF(CK50:CL50&gt;=CK50, 1))</f>
        <v>2</v>
      </c>
      <c r="CO50" s="58">
        <f t="array" ref="CO50">SUM(IF(CK50:CL50&gt;=CL50, 1))</f>
        <v>1</v>
      </c>
      <c r="CQ50" s="109" cm="1">
        <f t="array" ref="CQ50">AF50*WTP-AC50</f>
        <v>49520.880445325543</v>
      </c>
      <c r="CR50" s="109">
        <f t="shared" si="62"/>
        <v>52054.104608643072</v>
      </c>
      <c r="CT50" s="58">
        <f t="array" ref="CT50">SUM(IF(CQ50:CR50&gt;=CQ50, 1))</f>
        <v>2</v>
      </c>
      <c r="CU50" s="58">
        <f t="array" ref="CU50">SUM(IF(CQ50:CR50&gt;=CR50, 1))</f>
        <v>1</v>
      </c>
      <c r="CW50" s="109">
        <f t="shared" si="63"/>
        <v>-43198775.018200643</v>
      </c>
      <c r="CX50" s="109">
        <f t="shared" si="64"/>
        <v>0</v>
      </c>
      <c r="CZ50" s="58">
        <f t="array" ref="CZ50">SUM(IF(CW50:CX50&gt;=CW50, 1))</f>
        <v>2</v>
      </c>
      <c r="DA50" s="58">
        <f t="array" ref="DA50">SUM(IF(CW50:CX50&gt;=CX50, 1))</f>
        <v>1</v>
      </c>
      <c r="DC50" s="109">
        <f t="shared" si="65"/>
        <v>-2416684.6056798883</v>
      </c>
      <c r="DD50" s="109">
        <f t="shared" si="66"/>
        <v>0</v>
      </c>
      <c r="DF50" s="58">
        <f t="array" ref="DF50">SUM(IF(DC50:DD50&gt;=DC50, 1))</f>
        <v>2</v>
      </c>
      <c r="DG50" s="58">
        <f t="array" ref="DG50">SUM(IF(DC50:DD50&gt;=DD50, 1))</f>
        <v>1</v>
      </c>
      <c r="DI50" s="109">
        <f t="shared" si="67"/>
        <v>-32745028.850350935</v>
      </c>
      <c r="DJ50" s="109">
        <f t="shared" si="68"/>
        <v>0</v>
      </c>
      <c r="DL50" s="58">
        <f t="array" ref="DL50">SUM(IF(DI50:DJ50&gt;=DI50, 1))</f>
        <v>2</v>
      </c>
      <c r="DM50" s="58">
        <f t="array" ref="DM50">SUM(IF(DI50:DJ50&gt;=DJ50, 1))</f>
        <v>1</v>
      </c>
      <c r="DO50" s="109">
        <f t="shared" si="69"/>
        <v>-6161484.2851109561</v>
      </c>
      <c r="DP50" s="109">
        <f t="shared" si="70"/>
        <v>0</v>
      </c>
      <c r="DR50" s="58">
        <f t="array" ref="DR50">SUM(IF(DO50:DP50&gt;=DO50, 1))</f>
        <v>2</v>
      </c>
      <c r="DS50" s="58">
        <f t="array" ref="DS50">SUM(IF(DO50:DP50&gt;=DP50, 1))</f>
        <v>1</v>
      </c>
      <c r="DU50" s="109">
        <f t="shared" si="71"/>
        <v>-39524702.086584918</v>
      </c>
      <c r="DV50" s="109">
        <f t="shared" si="72"/>
        <v>0</v>
      </c>
      <c r="DX50" s="58">
        <f t="array" ref="DX50">SUM(IF(DU50:DV50&gt;=DU50, 1))</f>
        <v>2</v>
      </c>
      <c r="DY50" s="58">
        <f t="array" ref="DY50">SUM(IF(DU50:DV50&gt;=DV50, 1))</f>
        <v>1</v>
      </c>
      <c r="EA50" s="109">
        <f t="shared" si="73"/>
        <v>-124046674.84592734</v>
      </c>
      <c r="EB50" s="109">
        <f t="shared" si="74"/>
        <v>0</v>
      </c>
      <c r="ED50" s="58">
        <f t="array" ref="ED50">SUM(IF(EA50:EB50&gt;=EA50, 1))</f>
        <v>2</v>
      </c>
      <c r="EE50" s="58">
        <f t="array" ref="EE50">SUM(IF(EA50:EB50&gt;=EB50, 1))</f>
        <v>1</v>
      </c>
    </row>
    <row r="51" spans="4:135" ht="12" customHeight="1" x14ac:dyDescent="0.25">
      <c r="D51" s="11">
        <v>35</v>
      </c>
      <c r="E51" s="72">
        <v>204.70147122390148</v>
      </c>
      <c r="F51" s="72">
        <v>172.9441229767813</v>
      </c>
      <c r="G51" s="73"/>
      <c r="H51" s="74">
        <v>5.8445193333307222</v>
      </c>
      <c r="I51" s="74">
        <v>5.8633006283562326</v>
      </c>
      <c r="J51" s="73"/>
      <c r="K51" s="72">
        <v>218.95076076985947</v>
      </c>
      <c r="L51" s="72">
        <v>186.45260518982391</v>
      </c>
      <c r="M51" s="73"/>
      <c r="N51" s="74">
        <v>6.7390148455428829</v>
      </c>
      <c r="O51" s="74">
        <v>6.755233537576272</v>
      </c>
      <c r="P51" s="73"/>
      <c r="Q51" s="72">
        <v>2280.9332726203547</v>
      </c>
      <c r="R51" s="72">
        <v>1058.5850499340524</v>
      </c>
      <c r="S51" s="73"/>
      <c r="T51" s="74">
        <v>4.7296468533566829</v>
      </c>
      <c r="U51" s="74">
        <v>4.8987365863475443</v>
      </c>
      <c r="V51" s="73"/>
      <c r="W51" s="72">
        <v>13223.869079431455</v>
      </c>
      <c r="X51" s="72">
        <v>13228.81370618762</v>
      </c>
      <c r="Y51" s="73"/>
      <c r="Z51" s="74">
        <v>3.0042447088363278</v>
      </c>
      <c r="AA51" s="74">
        <v>3.0538271166543502</v>
      </c>
      <c r="AB51" s="73"/>
      <c r="AC51" s="72">
        <v>51686.47377310101</v>
      </c>
      <c r="AD51" s="72">
        <v>51220.580626604307</v>
      </c>
      <c r="AE51" s="73"/>
      <c r="AF51" s="74">
        <v>5.0041600774521875</v>
      </c>
      <c r="AG51" s="74">
        <v>5.1795479741796253</v>
      </c>
      <c r="AH51" s="73"/>
      <c r="AI51" s="72">
        <v>3462734.4847990558</v>
      </c>
      <c r="AJ51" s="72">
        <v>0</v>
      </c>
      <c r="AK51" s="73"/>
      <c r="AL51" s="74">
        <v>-2047.8610949488616</v>
      </c>
      <c r="AM51" s="74">
        <v>0</v>
      </c>
      <c r="AN51" s="73"/>
      <c r="AO51" s="72">
        <v>238501.05786213774</v>
      </c>
      <c r="AP51" s="72">
        <v>0</v>
      </c>
      <c r="AQ51" s="73"/>
      <c r="AR51" s="74">
        <v>-119.027530580223</v>
      </c>
      <c r="AS51" s="74">
        <v>0</v>
      </c>
      <c r="AT51" s="73"/>
      <c r="AU51" s="72">
        <v>27885768.205627702</v>
      </c>
      <c r="AV51" s="72">
        <v>0</v>
      </c>
      <c r="AW51" s="73"/>
      <c r="AX51" s="74">
        <v>-3857.4908627692471</v>
      </c>
      <c r="AY51" s="74">
        <v>0</v>
      </c>
      <c r="AZ51" s="73"/>
      <c r="BA51" s="72">
        <v>-43999.995676805054</v>
      </c>
      <c r="BB51" s="72">
        <v>0</v>
      </c>
      <c r="BC51" s="73"/>
      <c r="BD51" s="74">
        <v>-441.21140729548534</v>
      </c>
      <c r="BE51" s="74">
        <v>0</v>
      </c>
      <c r="BF51" s="73"/>
      <c r="BG51" s="72">
        <v>7579952.8385617258</v>
      </c>
      <c r="BH51" s="72">
        <v>0</v>
      </c>
      <c r="BI51" s="73"/>
      <c r="BJ51" s="74">
        <v>-2853.5126469346378</v>
      </c>
      <c r="BK51" s="74">
        <v>0</v>
      </c>
      <c r="BL51" s="73"/>
      <c r="BM51" s="72">
        <v>39122956.59117382</v>
      </c>
      <c r="BN51" s="72">
        <v>0</v>
      </c>
      <c r="BO51" s="73"/>
      <c r="BP51" s="74">
        <v>-9319.1035425284535</v>
      </c>
      <c r="BQ51" s="74">
        <v>0</v>
      </c>
      <c r="BS51" s="109">
        <f t="shared" si="54"/>
        <v>116685.68519539054</v>
      </c>
      <c r="BT51" s="109">
        <f t="shared" si="55"/>
        <v>117093.06844414787</v>
      </c>
      <c r="BV51" s="58">
        <f t="array" ref="BV51">SUM(IF(BS51:BT51&gt;=BS51, 1))</f>
        <v>2</v>
      </c>
      <c r="BW51" s="58">
        <f t="array" ref="BW51">SUM(IF(BS51:BT51&gt;=BT51, 1))</f>
        <v>1</v>
      </c>
      <c r="BY51" s="109">
        <f t="shared" si="56"/>
        <v>134561.3461500878</v>
      </c>
      <c r="BZ51" s="109">
        <f t="shared" si="57"/>
        <v>134918.21814633562</v>
      </c>
      <c r="CB51" s="58">
        <f t="array" ref="CB51">SUM(IF(BY51:BZ51&gt;=BY51, 1))</f>
        <v>2</v>
      </c>
      <c r="CC51" s="58">
        <f t="array" ref="CC51">SUM(IF(BY51:BZ51&gt;=BZ51, 1))</f>
        <v>1</v>
      </c>
      <c r="CE51" s="109">
        <f t="shared" si="58"/>
        <v>92312.003794513294</v>
      </c>
      <c r="CF51" s="109">
        <f t="shared" si="59"/>
        <v>96916.146677016819</v>
      </c>
      <c r="CH51" s="58">
        <f t="array" ref="CH51">SUM(IF(CE51:CF51&gt;=CE51, 1))</f>
        <v>2</v>
      </c>
      <c r="CI51" s="58">
        <f t="array" ref="CI51">SUM(IF(CE51:CF51&gt;=CF51, 1))</f>
        <v>1</v>
      </c>
      <c r="CK51" s="109">
        <f t="shared" si="60"/>
        <v>46861.025097295103</v>
      </c>
      <c r="CL51" s="109">
        <f t="shared" si="61"/>
        <v>47847.728626899385</v>
      </c>
      <c r="CN51" s="58">
        <f t="array" ref="CN51">SUM(IF(CK51:CL51&gt;=CK51, 1))</f>
        <v>2</v>
      </c>
      <c r="CO51" s="58">
        <f t="array" ref="CO51">SUM(IF(CK51:CL51&gt;=CL51, 1))</f>
        <v>1</v>
      </c>
      <c r="CQ51" s="109" cm="1">
        <f t="array" ref="CQ51">AF51*WTP-AC51</f>
        <v>48396.727775942738</v>
      </c>
      <c r="CR51" s="109">
        <f t="shared" si="62"/>
        <v>52370.378856988202</v>
      </c>
      <c r="CT51" s="58">
        <f t="array" ref="CT51">SUM(IF(CQ51:CR51&gt;=CQ51, 1))</f>
        <v>2</v>
      </c>
      <c r="CU51" s="58">
        <f t="array" ref="CU51">SUM(IF(CQ51:CR51&gt;=CR51, 1))</f>
        <v>1</v>
      </c>
      <c r="CW51" s="109">
        <f t="shared" si="63"/>
        <v>-44419956.383776292</v>
      </c>
      <c r="CX51" s="109">
        <f t="shared" si="64"/>
        <v>0</v>
      </c>
      <c r="CZ51" s="58">
        <f t="array" ref="CZ51">SUM(IF(CW51:CX51&gt;=CW51, 1))</f>
        <v>2</v>
      </c>
      <c r="DA51" s="58">
        <f t="array" ref="DA51">SUM(IF(CW51:CX51&gt;=CX51, 1))</f>
        <v>1</v>
      </c>
      <c r="DC51" s="109">
        <f t="shared" si="65"/>
        <v>-2619051.669466598</v>
      </c>
      <c r="DD51" s="109">
        <f t="shared" si="66"/>
        <v>0</v>
      </c>
      <c r="DF51" s="58">
        <f t="array" ref="DF51">SUM(IF(DC51:DD51&gt;=DC51, 1))</f>
        <v>2</v>
      </c>
      <c r="DG51" s="58">
        <f t="array" ref="DG51">SUM(IF(DC51:DD51&gt;=DD51, 1))</f>
        <v>1</v>
      </c>
      <c r="DI51" s="109">
        <f t="shared" si="67"/>
        <v>-105035585.46101263</v>
      </c>
      <c r="DJ51" s="109">
        <f t="shared" si="68"/>
        <v>0</v>
      </c>
      <c r="DL51" s="58">
        <f t="array" ref="DL51">SUM(IF(DI51:DJ51&gt;=DI51, 1))</f>
        <v>2</v>
      </c>
      <c r="DM51" s="58">
        <f t="array" ref="DM51">SUM(IF(DI51:DJ51&gt;=DJ51, 1))</f>
        <v>1</v>
      </c>
      <c r="DO51" s="109">
        <f t="shared" si="69"/>
        <v>-8780228.1502329018</v>
      </c>
      <c r="DP51" s="109">
        <f t="shared" si="70"/>
        <v>0</v>
      </c>
      <c r="DR51" s="58">
        <f t="array" ref="DR51">SUM(IF(DO51:DP51&gt;=DO51, 1))</f>
        <v>2</v>
      </c>
      <c r="DS51" s="58">
        <f t="array" ref="DS51">SUM(IF(DO51:DP51&gt;=DP51, 1))</f>
        <v>1</v>
      </c>
      <c r="DU51" s="109">
        <f t="shared" si="71"/>
        <v>-64650205.777254485</v>
      </c>
      <c r="DV51" s="109">
        <f t="shared" si="72"/>
        <v>0</v>
      </c>
      <c r="DX51" s="58">
        <f t="array" ref="DX51">SUM(IF(DU51:DV51&gt;=DU51, 1))</f>
        <v>2</v>
      </c>
      <c r="DY51" s="58">
        <f t="array" ref="DY51">SUM(IF(DU51:DV51&gt;=DV51, 1))</f>
        <v>1</v>
      </c>
      <c r="EA51" s="109">
        <f t="shared" si="73"/>
        <v>-225505027.4417429</v>
      </c>
      <c r="EB51" s="109">
        <f t="shared" si="74"/>
        <v>0</v>
      </c>
      <c r="ED51" s="58">
        <f t="array" ref="ED51">SUM(IF(EA51:EB51&gt;=EA51, 1))</f>
        <v>2</v>
      </c>
      <c r="EE51" s="58">
        <f t="array" ref="EE51">SUM(IF(EA51:EB51&gt;=EB51, 1))</f>
        <v>1</v>
      </c>
    </row>
    <row r="52" spans="4:135" ht="12" customHeight="1" x14ac:dyDescent="0.25">
      <c r="D52" s="11">
        <v>36</v>
      </c>
      <c r="E52" s="72">
        <v>295.76785550351383</v>
      </c>
      <c r="F52" s="72">
        <v>259.07379490292692</v>
      </c>
      <c r="G52" s="73"/>
      <c r="H52" s="74">
        <v>5.8671222359137198</v>
      </c>
      <c r="I52" s="74">
        <v>5.8859375708908539</v>
      </c>
      <c r="J52" s="73"/>
      <c r="K52" s="72">
        <v>316.94546449343449</v>
      </c>
      <c r="L52" s="72">
        <v>279.3583494932542</v>
      </c>
      <c r="M52" s="73"/>
      <c r="N52" s="74">
        <v>6.6944090452348304</v>
      </c>
      <c r="O52" s="74">
        <v>6.7104094151393543</v>
      </c>
      <c r="P52" s="73"/>
      <c r="Q52" s="72">
        <v>1853.3733502598902</v>
      </c>
      <c r="R52" s="72">
        <v>1208.7021246269876</v>
      </c>
      <c r="S52" s="73"/>
      <c r="T52" s="74">
        <v>4.9265943641074186</v>
      </c>
      <c r="U52" s="74">
        <v>5.0049873682743318</v>
      </c>
      <c r="V52" s="73"/>
      <c r="W52" s="72">
        <v>12873.118030777878</v>
      </c>
      <c r="X52" s="72">
        <v>12848.408041207729</v>
      </c>
      <c r="Y52" s="73"/>
      <c r="Z52" s="74">
        <v>3.0188895516552847</v>
      </c>
      <c r="AA52" s="74">
        <v>3.0553169669855915</v>
      </c>
      <c r="AB52" s="73"/>
      <c r="AC52" s="72">
        <v>50332.884600654266</v>
      </c>
      <c r="AD52" s="72">
        <v>50064.468015144907</v>
      </c>
      <c r="AE52" s="73"/>
      <c r="AF52" s="74">
        <v>4.8550687002883741</v>
      </c>
      <c r="AG52" s="74">
        <v>5.087921118452444</v>
      </c>
      <c r="AH52" s="73"/>
      <c r="AI52" s="72">
        <v>3910687.9259717255</v>
      </c>
      <c r="AJ52" s="72">
        <v>0</v>
      </c>
      <c r="AK52" s="73"/>
      <c r="AL52" s="74">
        <v>-2005.2537689713945</v>
      </c>
      <c r="AM52" s="74">
        <v>0</v>
      </c>
      <c r="AN52" s="73"/>
      <c r="AO52" s="72">
        <v>258221.69110062803</v>
      </c>
      <c r="AP52" s="72">
        <v>0</v>
      </c>
      <c r="AQ52" s="73"/>
      <c r="AR52" s="74">
        <v>-109.92177970993362</v>
      </c>
      <c r="AS52" s="74">
        <v>0</v>
      </c>
      <c r="AT52" s="73"/>
      <c r="AU52" s="72">
        <v>15376922.381581964</v>
      </c>
      <c r="AV52" s="72">
        <v>0</v>
      </c>
      <c r="AW52" s="73"/>
      <c r="AX52" s="74">
        <v>-1869.8572115580591</v>
      </c>
      <c r="AY52" s="74">
        <v>0</v>
      </c>
      <c r="AZ52" s="73"/>
      <c r="BA52" s="72">
        <v>222858.88476177989</v>
      </c>
      <c r="BB52" s="72">
        <v>0</v>
      </c>
      <c r="BC52" s="73"/>
      <c r="BD52" s="74">
        <v>-328.53810529623536</v>
      </c>
      <c r="BE52" s="74">
        <v>0</v>
      </c>
      <c r="BF52" s="73"/>
      <c r="BG52" s="72">
        <v>4339660.3227077946</v>
      </c>
      <c r="BH52" s="72">
        <v>0</v>
      </c>
      <c r="BI52" s="73"/>
      <c r="BJ52" s="74">
        <v>-3764.6719864035435</v>
      </c>
      <c r="BK52" s="74">
        <v>0</v>
      </c>
      <c r="BL52" s="73"/>
      <c r="BM52" s="72">
        <v>24108351.206123892</v>
      </c>
      <c r="BN52" s="72">
        <v>0</v>
      </c>
      <c r="BO52" s="73"/>
      <c r="BP52" s="74">
        <v>-8078.2428519391669</v>
      </c>
      <c r="BQ52" s="74">
        <v>0</v>
      </c>
      <c r="BS52" s="109">
        <f t="shared" si="54"/>
        <v>117046.67686277088</v>
      </c>
      <c r="BT52" s="109">
        <f t="shared" si="55"/>
        <v>117459.67762291415</v>
      </c>
      <c r="BV52" s="58">
        <f t="array" ref="BV52">SUM(IF(BS52:BT52&gt;=BS52, 1))</f>
        <v>2</v>
      </c>
      <c r="BW52" s="58">
        <f t="array" ref="BW52">SUM(IF(BS52:BT52&gt;=BT52, 1))</f>
        <v>1</v>
      </c>
      <c r="BY52" s="109">
        <f t="shared" si="56"/>
        <v>133571.23544020316</v>
      </c>
      <c r="BZ52" s="109">
        <f t="shared" si="57"/>
        <v>133928.82995329381</v>
      </c>
      <c r="CB52" s="58">
        <f t="array" ref="CB52">SUM(IF(BY52:BZ52&gt;=BY52, 1))</f>
        <v>2</v>
      </c>
      <c r="CC52" s="58">
        <f t="array" ref="CC52">SUM(IF(BY52:BZ52&gt;=BZ52, 1))</f>
        <v>1</v>
      </c>
      <c r="CE52" s="109">
        <f t="shared" si="58"/>
        <v>96678.513931888476</v>
      </c>
      <c r="CF52" s="109">
        <f t="shared" si="59"/>
        <v>98891.045240859647</v>
      </c>
      <c r="CH52" s="58">
        <f t="array" ref="CH52">SUM(IF(CE52:CF52&gt;=CE52, 1))</f>
        <v>2</v>
      </c>
      <c r="CI52" s="58">
        <f t="array" ref="CI52">SUM(IF(CE52:CF52&gt;=CF52, 1))</f>
        <v>1</v>
      </c>
      <c r="CK52" s="109">
        <f t="shared" si="60"/>
        <v>47504.673002327814</v>
      </c>
      <c r="CL52" s="109">
        <f t="shared" si="61"/>
        <v>48257.931298504096</v>
      </c>
      <c r="CN52" s="58">
        <f t="array" ref="CN52">SUM(IF(CK52:CL52&gt;=CK52, 1))</f>
        <v>2</v>
      </c>
      <c r="CO52" s="58">
        <f t="array" ref="CO52">SUM(IF(CK52:CL52&gt;=CL52, 1))</f>
        <v>1</v>
      </c>
      <c r="CQ52" s="109" cm="1">
        <f t="array" ref="CQ52">AF52*WTP-AC52</f>
        <v>46768.489405113221</v>
      </c>
      <c r="CR52" s="109">
        <f t="shared" si="62"/>
        <v>51693.954353903981</v>
      </c>
      <c r="CT52" s="58">
        <f t="array" ref="CT52">SUM(IF(CQ52:CR52&gt;=CQ52, 1))</f>
        <v>2</v>
      </c>
      <c r="CU52" s="58">
        <f t="array" ref="CU52">SUM(IF(CQ52:CR52&gt;=CR52, 1))</f>
        <v>1</v>
      </c>
      <c r="CW52" s="109">
        <f t="shared" si="63"/>
        <v>-44015763.305399612</v>
      </c>
      <c r="CX52" s="109">
        <f t="shared" si="64"/>
        <v>0</v>
      </c>
      <c r="CZ52" s="58">
        <f t="array" ref="CZ52">SUM(IF(CW52:CX52&gt;=CW52, 1))</f>
        <v>2</v>
      </c>
      <c r="DA52" s="58">
        <f t="array" ref="DA52">SUM(IF(CW52:CX52&gt;=CX52, 1))</f>
        <v>1</v>
      </c>
      <c r="DC52" s="109">
        <f t="shared" si="65"/>
        <v>-2456657.2852993002</v>
      </c>
      <c r="DD52" s="109">
        <f t="shared" si="66"/>
        <v>0</v>
      </c>
      <c r="DF52" s="58">
        <f t="array" ref="DF52">SUM(IF(DC52:DD52&gt;=DC52, 1))</f>
        <v>2</v>
      </c>
      <c r="DG52" s="58">
        <f t="array" ref="DG52">SUM(IF(DC52:DD52&gt;=DD52, 1))</f>
        <v>1</v>
      </c>
      <c r="DI52" s="109">
        <f t="shared" si="67"/>
        <v>-52774066.612743147</v>
      </c>
      <c r="DJ52" s="109">
        <f t="shared" si="68"/>
        <v>0</v>
      </c>
      <c r="DL52" s="58">
        <f t="array" ref="DL52">SUM(IF(DI52:DJ52&gt;=DI52, 1))</f>
        <v>2</v>
      </c>
      <c r="DM52" s="58">
        <f t="array" ref="DM52">SUM(IF(DI52:DJ52&gt;=DJ52, 1))</f>
        <v>1</v>
      </c>
      <c r="DO52" s="109">
        <f t="shared" si="69"/>
        <v>-6793620.9906864865</v>
      </c>
      <c r="DP52" s="109">
        <f t="shared" si="70"/>
        <v>0</v>
      </c>
      <c r="DR52" s="58">
        <f t="array" ref="DR52">SUM(IF(DO52:DP52&gt;=DO52, 1))</f>
        <v>2</v>
      </c>
      <c r="DS52" s="58">
        <f t="array" ref="DS52">SUM(IF(DO52:DP52&gt;=DP52, 1))</f>
        <v>1</v>
      </c>
      <c r="DU52" s="109">
        <f t="shared" si="71"/>
        <v>-79633100.050778657</v>
      </c>
      <c r="DV52" s="109">
        <f t="shared" si="72"/>
        <v>0</v>
      </c>
      <c r="DX52" s="58">
        <f t="array" ref="DX52">SUM(IF(DU52:DV52&gt;=DU52, 1))</f>
        <v>2</v>
      </c>
      <c r="DY52" s="58">
        <f t="array" ref="DY52">SUM(IF(DU52:DV52&gt;=DV52, 1))</f>
        <v>1</v>
      </c>
      <c r="EA52" s="109">
        <f t="shared" si="73"/>
        <v>-185673208.24490723</v>
      </c>
      <c r="EB52" s="109">
        <f t="shared" si="74"/>
        <v>0</v>
      </c>
      <c r="ED52" s="58">
        <f t="array" ref="ED52">SUM(IF(EA52:EB52&gt;=EA52, 1))</f>
        <v>2</v>
      </c>
      <c r="EE52" s="58">
        <f t="array" ref="EE52">SUM(IF(EA52:EB52&gt;=EB52, 1))</f>
        <v>1</v>
      </c>
    </row>
    <row r="53" spans="4:135" ht="12" customHeight="1" x14ac:dyDescent="0.25">
      <c r="D53" s="11">
        <v>37</v>
      </c>
      <c r="E53" s="72">
        <v>358.90443222957992</v>
      </c>
      <c r="F53" s="72">
        <v>325.32688474940363</v>
      </c>
      <c r="G53" s="73"/>
      <c r="H53" s="74">
        <v>5.8543813416104147</v>
      </c>
      <c r="I53" s="74">
        <v>5.8707475662771502</v>
      </c>
      <c r="J53" s="73"/>
      <c r="K53" s="72">
        <v>385.11986425911545</v>
      </c>
      <c r="L53" s="72">
        <v>350.71483457589295</v>
      </c>
      <c r="M53" s="73"/>
      <c r="N53" s="74">
        <v>6.7122011419736847</v>
      </c>
      <c r="O53" s="74">
        <v>6.7258990167494028</v>
      </c>
      <c r="P53" s="73"/>
      <c r="Q53" s="72">
        <v>3651.0384235946522</v>
      </c>
      <c r="R53" s="72">
        <v>2134.9700845803118</v>
      </c>
      <c r="S53" s="73"/>
      <c r="T53" s="74">
        <v>4.6822745688166609</v>
      </c>
      <c r="U53" s="74">
        <v>4.7715021964945175</v>
      </c>
      <c r="V53" s="73"/>
      <c r="W53" s="72">
        <v>13664.008864703665</v>
      </c>
      <c r="X53" s="72">
        <v>13614.354387307503</v>
      </c>
      <c r="Y53" s="73"/>
      <c r="Z53" s="74">
        <v>3.1230831890156279</v>
      </c>
      <c r="AA53" s="74">
        <v>3.1755456989098976</v>
      </c>
      <c r="AB53" s="73"/>
      <c r="AC53" s="72">
        <v>48646.544437273238</v>
      </c>
      <c r="AD53" s="72">
        <v>48534.901385912613</v>
      </c>
      <c r="AE53" s="73"/>
      <c r="AF53" s="74">
        <v>4.4955637081188637</v>
      </c>
      <c r="AG53" s="74">
        <v>4.619551949558292</v>
      </c>
      <c r="AH53" s="73"/>
      <c r="AI53" s="72">
        <v>3548418.4404404806</v>
      </c>
      <c r="AJ53" s="72">
        <v>0</v>
      </c>
      <c r="AK53" s="73"/>
      <c r="AL53" s="74">
        <v>-1729.5549486490174</v>
      </c>
      <c r="AM53" s="74">
        <v>0</v>
      </c>
      <c r="AN53" s="73"/>
      <c r="AO53" s="72">
        <v>242354.39272290751</v>
      </c>
      <c r="AP53" s="72">
        <v>0</v>
      </c>
      <c r="AQ53" s="73"/>
      <c r="AR53" s="74">
        <v>-96.489965375105243</v>
      </c>
      <c r="AS53" s="74">
        <v>0</v>
      </c>
      <c r="AT53" s="73"/>
      <c r="AU53" s="72">
        <v>35678914.43008402</v>
      </c>
      <c r="AV53" s="72">
        <v>0</v>
      </c>
      <c r="AW53" s="73"/>
      <c r="AX53" s="74">
        <v>-2099.8689905940491</v>
      </c>
      <c r="AY53" s="74">
        <v>0</v>
      </c>
      <c r="AZ53" s="73"/>
      <c r="BA53" s="72">
        <v>445959.98722933931</v>
      </c>
      <c r="BB53" s="72">
        <v>0</v>
      </c>
      <c r="BC53" s="73"/>
      <c r="BD53" s="74">
        <v>-471.17966937411131</v>
      </c>
      <c r="BE53" s="74">
        <v>0</v>
      </c>
      <c r="BF53" s="73"/>
      <c r="BG53" s="72">
        <v>1752463.4215260867</v>
      </c>
      <c r="BH53" s="72">
        <v>0</v>
      </c>
      <c r="BI53" s="73"/>
      <c r="BJ53" s="74">
        <v>-1946.2461404792543</v>
      </c>
      <c r="BK53" s="74">
        <v>0</v>
      </c>
      <c r="BL53" s="73"/>
      <c r="BM53" s="72">
        <v>41668110.672002837</v>
      </c>
      <c r="BN53" s="72">
        <v>0</v>
      </c>
      <c r="BO53" s="73"/>
      <c r="BP53" s="74">
        <v>-6343.3397144715382</v>
      </c>
      <c r="BQ53" s="74">
        <v>0</v>
      </c>
      <c r="BS53" s="109">
        <f t="shared" si="54"/>
        <v>116728.72239997871</v>
      </c>
      <c r="BT53" s="109">
        <f t="shared" si="55"/>
        <v>117089.6244407936</v>
      </c>
      <c r="BV53" s="58">
        <f t="array" ref="BV53">SUM(IF(BS53:BT53&gt;=BS53, 1))</f>
        <v>2</v>
      </c>
      <c r="BW53" s="58">
        <f t="array" ref="BW53">SUM(IF(BS53:BT53&gt;=BT53, 1))</f>
        <v>1</v>
      </c>
      <c r="BY53" s="109">
        <f t="shared" si="56"/>
        <v>133858.90297521459</v>
      </c>
      <c r="BZ53" s="109">
        <f t="shared" si="57"/>
        <v>134167.26550041218</v>
      </c>
      <c r="CB53" s="58">
        <f t="array" ref="CB53">SUM(IF(BY53:BZ53&gt;=BY53, 1))</f>
        <v>2</v>
      </c>
      <c r="CC53" s="58">
        <f t="array" ref="CC53">SUM(IF(BY53:BZ53&gt;=BZ53, 1))</f>
        <v>1</v>
      </c>
      <c r="CE53" s="109">
        <f t="shared" si="58"/>
        <v>89994.45295273856</v>
      </c>
      <c r="CF53" s="109">
        <f t="shared" si="59"/>
        <v>93295.073845310035</v>
      </c>
      <c r="CH53" s="58">
        <f t="array" ref="CH53">SUM(IF(CE53:CF53&gt;=CE53, 1))</f>
        <v>2</v>
      </c>
      <c r="CI53" s="58">
        <f t="array" ref="CI53">SUM(IF(CE53:CF53&gt;=CF53, 1))</f>
        <v>1</v>
      </c>
      <c r="CK53" s="109">
        <f t="shared" si="60"/>
        <v>48797.654915608888</v>
      </c>
      <c r="CL53" s="109">
        <f t="shared" si="61"/>
        <v>49896.559590890451</v>
      </c>
      <c r="CN53" s="58">
        <f t="array" ref="CN53">SUM(IF(CK53:CL53&gt;=CK53, 1))</f>
        <v>2</v>
      </c>
      <c r="CO53" s="58">
        <f t="array" ref="CO53">SUM(IF(CK53:CL53&gt;=CL53, 1))</f>
        <v>1</v>
      </c>
      <c r="CQ53" s="109" cm="1">
        <f t="array" ref="CQ53">AF53*WTP-AC53</f>
        <v>41264.729725104036</v>
      </c>
      <c r="CR53" s="109">
        <f t="shared" si="62"/>
        <v>43856.137605253229</v>
      </c>
      <c r="CT53" s="58">
        <f t="array" ref="CT53">SUM(IF(CQ53:CR53&gt;=CQ53, 1))</f>
        <v>2</v>
      </c>
      <c r="CU53" s="58">
        <f t="array" ref="CU53">SUM(IF(CQ53:CR53&gt;=CR53, 1))</f>
        <v>1</v>
      </c>
      <c r="CW53" s="109">
        <f t="shared" si="63"/>
        <v>-38139517.413420834</v>
      </c>
      <c r="CX53" s="109">
        <f t="shared" si="64"/>
        <v>0</v>
      </c>
      <c r="CZ53" s="58">
        <f t="array" ref="CZ53">SUM(IF(CW53:CX53&gt;=CW53, 1))</f>
        <v>2</v>
      </c>
      <c r="DA53" s="58">
        <f t="array" ref="DA53">SUM(IF(CW53:CX53&gt;=CX53, 1))</f>
        <v>1</v>
      </c>
      <c r="DC53" s="109">
        <f t="shared" si="65"/>
        <v>-2172153.7002250124</v>
      </c>
      <c r="DD53" s="109">
        <f t="shared" si="66"/>
        <v>0</v>
      </c>
      <c r="DF53" s="58">
        <f t="array" ref="DF53">SUM(IF(DC53:DD53&gt;=DC53, 1))</f>
        <v>2</v>
      </c>
      <c r="DG53" s="58">
        <f t="array" ref="DG53">SUM(IF(DC53:DD53&gt;=DD53, 1))</f>
        <v>1</v>
      </c>
      <c r="DI53" s="109">
        <f t="shared" si="67"/>
        <v>-77676294.241964996</v>
      </c>
      <c r="DJ53" s="109">
        <f t="shared" si="68"/>
        <v>0</v>
      </c>
      <c r="DL53" s="58">
        <f t="array" ref="DL53">SUM(IF(DI53:DJ53&gt;=DI53, 1))</f>
        <v>2</v>
      </c>
      <c r="DM53" s="58">
        <f t="array" ref="DM53">SUM(IF(DI53:DJ53&gt;=DJ53, 1))</f>
        <v>1</v>
      </c>
      <c r="DO53" s="109">
        <f t="shared" si="69"/>
        <v>-9869553.3747115657</v>
      </c>
      <c r="DP53" s="109">
        <f t="shared" si="70"/>
        <v>0</v>
      </c>
      <c r="DR53" s="58">
        <f t="array" ref="DR53">SUM(IF(DO53:DP53&gt;=DO53, 1))</f>
        <v>2</v>
      </c>
      <c r="DS53" s="58">
        <f t="array" ref="DS53">SUM(IF(DO53:DP53&gt;=DP53, 1))</f>
        <v>1</v>
      </c>
      <c r="DU53" s="109">
        <f t="shared" si="71"/>
        <v>-40677386.231111176</v>
      </c>
      <c r="DV53" s="109">
        <f t="shared" si="72"/>
        <v>0</v>
      </c>
      <c r="DX53" s="58">
        <f t="array" ref="DX53">SUM(IF(DU53:DV53&gt;=DU53, 1))</f>
        <v>2</v>
      </c>
      <c r="DY53" s="58">
        <f t="array" ref="DY53">SUM(IF(DU53:DV53&gt;=DV53, 1))</f>
        <v>1</v>
      </c>
      <c r="EA53" s="109">
        <f t="shared" si="73"/>
        <v>-168534904.96143359</v>
      </c>
      <c r="EB53" s="109">
        <f t="shared" si="74"/>
        <v>0</v>
      </c>
      <c r="ED53" s="58">
        <f t="array" ref="ED53">SUM(IF(EA53:EB53&gt;=EA53, 1))</f>
        <v>2</v>
      </c>
      <c r="EE53" s="58">
        <f t="array" ref="EE53">SUM(IF(EA53:EB53&gt;=EB53, 1))</f>
        <v>1</v>
      </c>
    </row>
    <row r="54" spans="4:135" ht="12" customHeight="1" x14ac:dyDescent="0.25">
      <c r="D54" s="11">
        <v>38</v>
      </c>
      <c r="E54" s="72">
        <v>230.78560892090195</v>
      </c>
      <c r="F54" s="72">
        <v>213.19093158164478</v>
      </c>
      <c r="G54" s="73"/>
      <c r="H54" s="74">
        <v>5.8302180216946775</v>
      </c>
      <c r="I54" s="74">
        <v>5.8491798680778135</v>
      </c>
      <c r="J54" s="73"/>
      <c r="K54" s="72">
        <v>248.00605207128837</v>
      </c>
      <c r="L54" s="72">
        <v>229.95624320245651</v>
      </c>
      <c r="M54" s="73"/>
      <c r="N54" s="74">
        <v>6.7112688163868492</v>
      </c>
      <c r="O54" s="74">
        <v>6.727781601526325</v>
      </c>
      <c r="P54" s="73"/>
      <c r="Q54" s="72">
        <v>1937.9210609938577</v>
      </c>
      <c r="R54" s="72">
        <v>1154.9657782320126</v>
      </c>
      <c r="S54" s="73"/>
      <c r="T54" s="74">
        <v>4.8665207729817297</v>
      </c>
      <c r="U54" s="74">
        <v>4.9681632093218235</v>
      </c>
      <c r="V54" s="73"/>
      <c r="W54" s="72">
        <v>13897.690573147212</v>
      </c>
      <c r="X54" s="72">
        <v>13888.605064650423</v>
      </c>
      <c r="Y54" s="73"/>
      <c r="Z54" s="74">
        <v>3.0166914877321687</v>
      </c>
      <c r="AA54" s="74">
        <v>3.059062598969772</v>
      </c>
      <c r="AB54" s="73"/>
      <c r="AC54" s="72">
        <v>48774.328704828476</v>
      </c>
      <c r="AD54" s="72">
        <v>48710.800064449286</v>
      </c>
      <c r="AE54" s="73"/>
      <c r="AF54" s="74">
        <v>4.6131724451142704</v>
      </c>
      <c r="AG54" s="74">
        <v>4.6813036141683337</v>
      </c>
      <c r="AH54" s="73"/>
      <c r="AI54" s="72">
        <v>1873489.6374068966</v>
      </c>
      <c r="AJ54" s="72">
        <v>0</v>
      </c>
      <c r="AK54" s="73"/>
      <c r="AL54" s="74">
        <v>-2019.0664494678711</v>
      </c>
      <c r="AM54" s="74">
        <v>0</v>
      </c>
      <c r="AN54" s="73"/>
      <c r="AO54" s="72">
        <v>129074.0711407928</v>
      </c>
      <c r="AP54" s="72">
        <v>0</v>
      </c>
      <c r="AQ54" s="73"/>
      <c r="AR54" s="74">
        <v>-118.08282399631055</v>
      </c>
      <c r="AS54" s="74">
        <v>0</v>
      </c>
      <c r="AT54" s="73"/>
      <c r="AU54" s="72">
        <v>17945702.769729242</v>
      </c>
      <c r="AV54" s="72">
        <v>0</v>
      </c>
      <c r="AW54" s="73"/>
      <c r="AX54" s="74">
        <v>-2329.6923738942032</v>
      </c>
      <c r="AY54" s="74">
        <v>0</v>
      </c>
      <c r="AZ54" s="73"/>
      <c r="BA54" s="72">
        <v>83481.361254441697</v>
      </c>
      <c r="BB54" s="72">
        <v>0</v>
      </c>
      <c r="BC54" s="73"/>
      <c r="BD54" s="74">
        <v>-389.32306818361468</v>
      </c>
      <c r="BE54" s="74">
        <v>0</v>
      </c>
      <c r="BF54" s="73"/>
      <c r="BG54" s="72">
        <v>1005690.7435694142</v>
      </c>
      <c r="BH54" s="72">
        <v>0</v>
      </c>
      <c r="BI54" s="73"/>
      <c r="BJ54" s="74">
        <v>-1078.5511173741163</v>
      </c>
      <c r="BK54" s="74">
        <v>0</v>
      </c>
      <c r="BL54" s="73"/>
      <c r="BM54" s="72">
        <v>21037438.583100788</v>
      </c>
      <c r="BN54" s="72">
        <v>0</v>
      </c>
      <c r="BO54" s="73"/>
      <c r="BP54" s="74">
        <v>-5934.7158329161157</v>
      </c>
      <c r="BQ54" s="74">
        <v>0</v>
      </c>
      <c r="BS54" s="109">
        <f t="shared" si="54"/>
        <v>116373.57482497265</v>
      </c>
      <c r="BT54" s="109">
        <f t="shared" si="55"/>
        <v>116770.40642997462</v>
      </c>
      <c r="BV54" s="58">
        <f t="array" ref="BV54">SUM(IF(BS54:BT54&gt;=BS54, 1))</f>
        <v>2</v>
      </c>
      <c r="BW54" s="58">
        <f t="array" ref="BW54">SUM(IF(BS54:BT54&gt;=BT54, 1))</f>
        <v>1</v>
      </c>
      <c r="BY54" s="109">
        <f t="shared" si="56"/>
        <v>133977.37027566569</v>
      </c>
      <c r="BZ54" s="109">
        <f t="shared" si="57"/>
        <v>134325.67578732403</v>
      </c>
      <c r="CB54" s="58">
        <f t="array" ref="CB54">SUM(IF(BY54:BZ54&gt;=BY54, 1))</f>
        <v>2</v>
      </c>
      <c r="CC54" s="58">
        <f t="array" ref="CC54">SUM(IF(BY54:BZ54&gt;=BZ54, 1))</f>
        <v>1</v>
      </c>
      <c r="CE54" s="109">
        <f t="shared" si="58"/>
        <v>95392.494398640731</v>
      </c>
      <c r="CF54" s="109">
        <f t="shared" si="59"/>
        <v>98208.298408204457</v>
      </c>
      <c r="CH54" s="58">
        <f t="array" ref="CH54">SUM(IF(CE54:CF54&gt;=CE54, 1))</f>
        <v>2</v>
      </c>
      <c r="CI54" s="58">
        <f t="array" ref="CI54">SUM(IF(CE54:CF54&gt;=CF54, 1))</f>
        <v>1</v>
      </c>
      <c r="CK54" s="109">
        <f t="shared" si="60"/>
        <v>46436.139181496161</v>
      </c>
      <c r="CL54" s="109">
        <f t="shared" si="61"/>
        <v>47292.646914745019</v>
      </c>
      <c r="CN54" s="58">
        <f t="array" ref="CN54">SUM(IF(CK54:CL54&gt;=CK54, 1))</f>
        <v>2</v>
      </c>
      <c r="CO54" s="58">
        <f t="array" ref="CO54">SUM(IF(CK54:CL54&gt;=CL54, 1))</f>
        <v>1</v>
      </c>
      <c r="CQ54" s="109" cm="1">
        <f t="array" ref="CQ54">AF54*WTP-AC54</f>
        <v>43489.120197456934</v>
      </c>
      <c r="CR54" s="109">
        <f t="shared" si="62"/>
        <v>44915.272218917395</v>
      </c>
      <c r="CT54" s="58">
        <f t="array" ref="CT54">SUM(IF(CQ54:CR54&gt;=CQ54, 1))</f>
        <v>2</v>
      </c>
      <c r="CU54" s="58">
        <f t="array" ref="CU54">SUM(IF(CQ54:CR54&gt;=CR54, 1))</f>
        <v>1</v>
      </c>
      <c r="CW54" s="109">
        <f t="shared" si="63"/>
        <v>-42254818.626764312</v>
      </c>
      <c r="CX54" s="109">
        <f t="shared" si="64"/>
        <v>0</v>
      </c>
      <c r="CZ54" s="58">
        <f t="array" ref="CZ54">SUM(IF(CW54:CX54&gt;=CW54, 1))</f>
        <v>2</v>
      </c>
      <c r="DA54" s="58">
        <f t="array" ref="DA54">SUM(IF(CW54:CX54&gt;=CX54, 1))</f>
        <v>1</v>
      </c>
      <c r="DC54" s="109">
        <f t="shared" si="65"/>
        <v>-2490730.5510670035</v>
      </c>
      <c r="DD54" s="109">
        <f t="shared" si="66"/>
        <v>0</v>
      </c>
      <c r="DF54" s="58">
        <f t="array" ref="DF54">SUM(IF(DC54:DD54&gt;=DC54, 1))</f>
        <v>2</v>
      </c>
      <c r="DG54" s="58">
        <f t="array" ref="DG54">SUM(IF(DC54:DD54&gt;=DD54, 1))</f>
        <v>1</v>
      </c>
      <c r="DI54" s="109">
        <f t="shared" si="67"/>
        <v>-64539550.247613303</v>
      </c>
      <c r="DJ54" s="109">
        <f t="shared" si="68"/>
        <v>0</v>
      </c>
      <c r="DL54" s="58">
        <f t="array" ref="DL54">SUM(IF(DI54:DJ54&gt;=DI54, 1))</f>
        <v>2</v>
      </c>
      <c r="DM54" s="58">
        <f t="array" ref="DM54">SUM(IF(DI54:DJ54&gt;=DJ54, 1))</f>
        <v>1</v>
      </c>
      <c r="DO54" s="109">
        <f t="shared" si="69"/>
        <v>-7869942.7249267353</v>
      </c>
      <c r="DP54" s="109">
        <f t="shared" si="70"/>
        <v>0</v>
      </c>
      <c r="DR54" s="58">
        <f t="array" ref="DR54">SUM(IF(DO54:DP54&gt;=DO54, 1))</f>
        <v>2</v>
      </c>
      <c r="DS54" s="58">
        <f t="array" ref="DS54">SUM(IF(DO54:DP54&gt;=DP54, 1))</f>
        <v>1</v>
      </c>
      <c r="DU54" s="109">
        <f t="shared" si="71"/>
        <v>-22576713.091051742</v>
      </c>
      <c r="DV54" s="109">
        <f t="shared" si="72"/>
        <v>0</v>
      </c>
      <c r="DX54" s="58">
        <f t="array" ref="DX54">SUM(IF(DU54:DV54&gt;=DU54, 1))</f>
        <v>2</v>
      </c>
      <c r="DY54" s="58">
        <f t="array" ref="DY54">SUM(IF(DU54:DV54&gt;=DV54, 1))</f>
        <v>1</v>
      </c>
      <c r="EA54" s="109">
        <f t="shared" si="73"/>
        <v>-139731755.2414231</v>
      </c>
      <c r="EB54" s="109">
        <f t="shared" si="74"/>
        <v>0</v>
      </c>
      <c r="ED54" s="58">
        <f t="array" ref="ED54">SUM(IF(EA54:EB54&gt;=EA54, 1))</f>
        <v>2</v>
      </c>
      <c r="EE54" s="58">
        <f t="array" ref="EE54">SUM(IF(EA54:EB54&gt;=EB54, 1))</f>
        <v>1</v>
      </c>
    </row>
    <row r="55" spans="4:135" ht="12" customHeight="1" x14ac:dyDescent="0.25">
      <c r="D55" s="11">
        <v>39</v>
      </c>
      <c r="E55" s="72">
        <v>197.81831908479774</v>
      </c>
      <c r="F55" s="72">
        <v>176.54957638221359</v>
      </c>
      <c r="G55" s="73"/>
      <c r="H55" s="74">
        <v>5.8542418539373644</v>
      </c>
      <c r="I55" s="74">
        <v>5.8701614384662584</v>
      </c>
      <c r="J55" s="73"/>
      <c r="K55" s="72">
        <v>212.12916798858458</v>
      </c>
      <c r="L55" s="72">
        <v>190.33868563716081</v>
      </c>
      <c r="M55" s="73"/>
      <c r="N55" s="74">
        <v>6.6528348423386978</v>
      </c>
      <c r="O55" s="74">
        <v>6.6666831840387433</v>
      </c>
      <c r="P55" s="73"/>
      <c r="Q55" s="72">
        <v>1985.060158823223</v>
      </c>
      <c r="R55" s="72">
        <v>1193.0714253639069</v>
      </c>
      <c r="S55" s="73"/>
      <c r="T55" s="74">
        <v>4.8852872540513514</v>
      </c>
      <c r="U55" s="74">
        <v>4.9598569984242618</v>
      </c>
      <c r="V55" s="73"/>
      <c r="W55" s="72">
        <v>13973.94266655335</v>
      </c>
      <c r="X55" s="72">
        <v>13952.323395726591</v>
      </c>
      <c r="Y55" s="73"/>
      <c r="Z55" s="74">
        <v>3.024300924973212</v>
      </c>
      <c r="AA55" s="74">
        <v>3.0603558537448259</v>
      </c>
      <c r="AB55" s="73"/>
      <c r="AC55" s="72">
        <v>50339.977454721848</v>
      </c>
      <c r="AD55" s="72">
        <v>50333.35768307434</v>
      </c>
      <c r="AE55" s="73"/>
      <c r="AF55" s="74">
        <v>4.8083482267001898</v>
      </c>
      <c r="AG55" s="74">
        <v>4.9356966682403858</v>
      </c>
      <c r="AH55" s="73"/>
      <c r="AI55" s="72">
        <v>2288542.4836207125</v>
      </c>
      <c r="AJ55" s="72">
        <v>0</v>
      </c>
      <c r="AK55" s="73"/>
      <c r="AL55" s="74">
        <v>-1712.9665831886864</v>
      </c>
      <c r="AM55" s="74">
        <v>0</v>
      </c>
      <c r="AN55" s="73"/>
      <c r="AO55" s="72">
        <v>146962.2017886579</v>
      </c>
      <c r="AP55" s="72">
        <v>0</v>
      </c>
      <c r="AQ55" s="73"/>
      <c r="AR55" s="74">
        <v>-93.397785075987002</v>
      </c>
      <c r="AS55" s="74">
        <v>0</v>
      </c>
      <c r="AT55" s="73"/>
      <c r="AU55" s="72">
        <v>17540260.348840453</v>
      </c>
      <c r="AV55" s="72">
        <v>0</v>
      </c>
      <c r="AW55" s="73"/>
      <c r="AX55" s="74">
        <v>-1651.5042136196207</v>
      </c>
      <c r="AY55" s="74">
        <v>0</v>
      </c>
      <c r="AZ55" s="73"/>
      <c r="BA55" s="72">
        <v>197225.93762372871</v>
      </c>
      <c r="BB55" s="72">
        <v>0</v>
      </c>
      <c r="BC55" s="73"/>
      <c r="BD55" s="74">
        <v>-328.91799126438508</v>
      </c>
      <c r="BE55" s="74">
        <v>0</v>
      </c>
      <c r="BF55" s="73"/>
      <c r="BG55" s="72">
        <v>104183.31961159548</v>
      </c>
      <c r="BH55" s="72">
        <v>0</v>
      </c>
      <c r="BI55" s="73"/>
      <c r="BJ55" s="74">
        <v>-2004.2358095565244</v>
      </c>
      <c r="BK55" s="74">
        <v>0</v>
      </c>
      <c r="BL55" s="73"/>
      <c r="BM55" s="72">
        <v>20277174.291485146</v>
      </c>
      <c r="BN55" s="72">
        <v>0</v>
      </c>
      <c r="BO55" s="73"/>
      <c r="BP55" s="74">
        <v>-5791.0223827052032</v>
      </c>
      <c r="BQ55" s="74">
        <v>0</v>
      </c>
      <c r="BS55" s="109">
        <f t="shared" si="54"/>
        <v>116887.01875966249</v>
      </c>
      <c r="BT55" s="109">
        <f t="shared" si="55"/>
        <v>117226.67919294296</v>
      </c>
      <c r="BV55" s="58">
        <f t="array" ref="BV55">SUM(IF(BS55:BT55&gt;=BS55, 1))</f>
        <v>2</v>
      </c>
      <c r="BW55" s="58">
        <f t="array" ref="BW55">SUM(IF(BS55:BT55&gt;=BT55, 1))</f>
        <v>1</v>
      </c>
      <c r="BY55" s="109">
        <f t="shared" si="56"/>
        <v>132844.56767878539</v>
      </c>
      <c r="BZ55" s="109">
        <f t="shared" si="57"/>
        <v>133143.32499513769</v>
      </c>
      <c r="CB55" s="58">
        <f t="array" ref="CB55">SUM(IF(BY55:BZ55&gt;=BY55, 1))</f>
        <v>2</v>
      </c>
      <c r="CC55" s="58">
        <f t="array" ref="CC55">SUM(IF(BY55:BZ55&gt;=BZ55, 1))</f>
        <v>1</v>
      </c>
      <c r="CE55" s="109">
        <f t="shared" si="58"/>
        <v>95720.6849222038</v>
      </c>
      <c r="CF55" s="109">
        <f t="shared" si="59"/>
        <v>98004.068543121335</v>
      </c>
      <c r="CH55" s="58">
        <f t="array" ref="CH55">SUM(IF(CE55:CF55&gt;=CE55, 1))</f>
        <v>2</v>
      </c>
      <c r="CI55" s="58">
        <f t="array" ref="CI55">SUM(IF(CE55:CF55&gt;=CF55, 1))</f>
        <v>1</v>
      </c>
      <c r="CK55" s="109">
        <f t="shared" si="60"/>
        <v>46512.075832910894</v>
      </c>
      <c r="CL55" s="109">
        <f t="shared" si="61"/>
        <v>47254.793679169925</v>
      </c>
      <c r="CN55" s="58">
        <f t="array" ref="CN55">SUM(IF(CK55:CL55&gt;=CK55, 1))</f>
        <v>2</v>
      </c>
      <c r="CO55" s="58">
        <f t="array" ref="CO55">SUM(IF(CK55:CL55&gt;=CL55, 1))</f>
        <v>1</v>
      </c>
      <c r="CQ55" s="109" cm="1">
        <f t="array" ref="CQ55">AF55*WTP-AC55</f>
        <v>45826.987079281949</v>
      </c>
      <c r="CR55" s="109">
        <f t="shared" si="62"/>
        <v>48380.575681733375</v>
      </c>
      <c r="CT55" s="58">
        <f t="array" ref="CT55">SUM(IF(CQ55:CR55&gt;=CQ55, 1))</f>
        <v>2</v>
      </c>
      <c r="CU55" s="58">
        <f t="array" ref="CU55">SUM(IF(CQ55:CR55&gt;=CR55, 1))</f>
        <v>1</v>
      </c>
      <c r="CW55" s="109">
        <f t="shared" si="63"/>
        <v>-36547874.147394441</v>
      </c>
      <c r="CX55" s="109">
        <f t="shared" si="64"/>
        <v>0</v>
      </c>
      <c r="CZ55" s="58">
        <f t="array" ref="CZ55">SUM(IF(CW55:CX55&gt;=CW55, 1))</f>
        <v>2</v>
      </c>
      <c r="DA55" s="58">
        <f t="array" ref="DA55">SUM(IF(CW55:CX55&gt;=CX55, 1))</f>
        <v>1</v>
      </c>
      <c r="DC55" s="109">
        <f t="shared" si="65"/>
        <v>-2014917.9033083979</v>
      </c>
      <c r="DD55" s="109">
        <f t="shared" si="66"/>
        <v>0</v>
      </c>
      <c r="DF55" s="58">
        <f t="array" ref="DF55">SUM(IF(DC55:DD55&gt;=DC55, 1))</f>
        <v>2</v>
      </c>
      <c r="DG55" s="58">
        <f t="array" ref="DG55">SUM(IF(DC55:DD55&gt;=DD55, 1))</f>
        <v>1</v>
      </c>
      <c r="DI55" s="109">
        <f t="shared" si="67"/>
        <v>-50570344.621232867</v>
      </c>
      <c r="DJ55" s="109">
        <f t="shared" si="68"/>
        <v>0</v>
      </c>
      <c r="DL55" s="58">
        <f t="array" ref="DL55">SUM(IF(DI55:DJ55&gt;=DI55, 1))</f>
        <v>2</v>
      </c>
      <c r="DM55" s="58">
        <f t="array" ref="DM55">SUM(IF(DI55:DJ55&gt;=DJ55, 1))</f>
        <v>1</v>
      </c>
      <c r="DO55" s="109">
        <f t="shared" si="69"/>
        <v>-6775585.7629114306</v>
      </c>
      <c r="DP55" s="109">
        <f t="shared" si="70"/>
        <v>0</v>
      </c>
      <c r="DR55" s="58">
        <f t="array" ref="DR55">SUM(IF(DO55:DP55&gt;=DO55, 1))</f>
        <v>2</v>
      </c>
      <c r="DS55" s="58">
        <f t="array" ref="DS55">SUM(IF(DO55:DP55&gt;=DP55, 1))</f>
        <v>1</v>
      </c>
      <c r="DU55" s="109">
        <f t="shared" si="71"/>
        <v>-40188899.510742083</v>
      </c>
      <c r="DV55" s="109">
        <f t="shared" si="72"/>
        <v>0</v>
      </c>
      <c r="DX55" s="58">
        <f t="array" ref="DX55">SUM(IF(DU55:DV55&gt;=DU55, 1))</f>
        <v>2</v>
      </c>
      <c r="DY55" s="58">
        <f t="array" ref="DY55">SUM(IF(DU55:DV55&gt;=DV55, 1))</f>
        <v>1</v>
      </c>
      <c r="EA55" s="109">
        <f t="shared" si="73"/>
        <v>-136097621.94558921</v>
      </c>
      <c r="EB55" s="109">
        <f t="shared" si="74"/>
        <v>0</v>
      </c>
      <c r="ED55" s="58">
        <f t="array" ref="ED55">SUM(IF(EA55:EB55&gt;=EA55, 1))</f>
        <v>2</v>
      </c>
      <c r="EE55" s="58">
        <f t="array" ref="EE55">SUM(IF(EA55:EB55&gt;=EB55, 1))</f>
        <v>1</v>
      </c>
    </row>
    <row r="56" spans="4:135" ht="12" customHeight="1" x14ac:dyDescent="0.25">
      <c r="D56" s="11">
        <v>40</v>
      </c>
      <c r="E56" s="72">
        <v>239.36701991699596</v>
      </c>
      <c r="F56" s="72">
        <v>219.30003318743303</v>
      </c>
      <c r="G56" s="73"/>
      <c r="H56" s="74">
        <v>5.7760176574245508</v>
      </c>
      <c r="I56" s="74">
        <v>5.7964278690807678</v>
      </c>
      <c r="J56" s="73"/>
      <c r="K56" s="72">
        <v>257.0313754727112</v>
      </c>
      <c r="L56" s="72">
        <v>236.47381752902297</v>
      </c>
      <c r="M56" s="73"/>
      <c r="N56" s="74">
        <v>6.7104246302440496</v>
      </c>
      <c r="O56" s="74">
        <v>6.7287944245539757</v>
      </c>
      <c r="P56" s="73"/>
      <c r="Q56" s="72">
        <v>3674.4198521252956</v>
      </c>
      <c r="R56" s="72">
        <v>1826.0685739984769</v>
      </c>
      <c r="S56" s="73"/>
      <c r="T56" s="74">
        <v>4.7773698156964004</v>
      </c>
      <c r="U56" s="74">
        <v>4.8788694236954546</v>
      </c>
      <c r="V56" s="73"/>
      <c r="W56" s="72">
        <v>19332.215681932197</v>
      </c>
      <c r="X56" s="72">
        <v>19350.870643536004</v>
      </c>
      <c r="Y56" s="73"/>
      <c r="Z56" s="74">
        <v>2.9649066621378632</v>
      </c>
      <c r="AA56" s="74">
        <v>3.0064316129347635</v>
      </c>
      <c r="AB56" s="73"/>
      <c r="AC56" s="72">
        <v>50542.359662615068</v>
      </c>
      <c r="AD56" s="72">
        <v>49904.402097350678</v>
      </c>
      <c r="AE56" s="73"/>
      <c r="AF56" s="74">
        <v>3.9181451109561247</v>
      </c>
      <c r="AG56" s="74">
        <v>4.0930075744499002</v>
      </c>
      <c r="AH56" s="73"/>
      <c r="AI56" s="72">
        <v>2119263.9608297711</v>
      </c>
      <c r="AJ56" s="72">
        <v>0</v>
      </c>
      <c r="AK56" s="73"/>
      <c r="AL56" s="74">
        <v>-2155.51176561079</v>
      </c>
      <c r="AM56" s="74">
        <v>0</v>
      </c>
      <c r="AN56" s="73"/>
      <c r="AO56" s="72">
        <v>138105.89101492398</v>
      </c>
      <c r="AP56" s="72">
        <v>0</v>
      </c>
      <c r="AQ56" s="73"/>
      <c r="AR56" s="74">
        <v>-123.40847185655895</v>
      </c>
      <c r="AS56" s="74">
        <v>0</v>
      </c>
      <c r="AT56" s="73"/>
      <c r="AU56" s="72">
        <v>42634410.211021721</v>
      </c>
      <c r="AV56" s="72">
        <v>0</v>
      </c>
      <c r="AW56" s="73"/>
      <c r="AX56" s="74">
        <v>-2341.2086083956333</v>
      </c>
      <c r="AY56" s="74">
        <v>0</v>
      </c>
      <c r="AZ56" s="73"/>
      <c r="BA56" s="72">
        <v>-175785.33638858041</v>
      </c>
      <c r="BB56" s="72">
        <v>0</v>
      </c>
      <c r="BC56" s="73"/>
      <c r="BD56" s="74">
        <v>-391.28879487283092</v>
      </c>
      <c r="BE56" s="74">
        <v>0</v>
      </c>
      <c r="BF56" s="73"/>
      <c r="BG56" s="72">
        <v>10094886.927857038</v>
      </c>
      <c r="BH56" s="72">
        <v>0</v>
      </c>
      <c r="BI56" s="73"/>
      <c r="BJ56" s="74">
        <v>-2766.9815251185678</v>
      </c>
      <c r="BK56" s="74">
        <v>0</v>
      </c>
      <c r="BL56" s="73"/>
      <c r="BM56" s="72">
        <v>54810881.654334873</v>
      </c>
      <c r="BN56" s="72">
        <v>0</v>
      </c>
      <c r="BO56" s="73"/>
      <c r="BP56" s="74">
        <v>-7778.3991658543819</v>
      </c>
      <c r="BQ56" s="74">
        <v>0</v>
      </c>
      <c r="BS56" s="109">
        <f t="shared" si="54"/>
        <v>115280.98612857402</v>
      </c>
      <c r="BT56" s="109">
        <f t="shared" si="55"/>
        <v>115709.25734842793</v>
      </c>
      <c r="BV56" s="58">
        <f t="array" ref="BV56">SUM(IF(BS56:BT56&gt;=BS56, 1))</f>
        <v>2</v>
      </c>
      <c r="BW56" s="58">
        <f t="array" ref="BW56">SUM(IF(BS56:BT56&gt;=BT56, 1))</f>
        <v>1</v>
      </c>
      <c r="BY56" s="109">
        <f t="shared" si="56"/>
        <v>133951.46122940828</v>
      </c>
      <c r="BZ56" s="109">
        <f t="shared" si="57"/>
        <v>134339.41467355049</v>
      </c>
      <c r="CB56" s="58">
        <f t="array" ref="CB56">SUM(IF(BY56:BZ56&gt;=BY56, 1))</f>
        <v>2</v>
      </c>
      <c r="CC56" s="58">
        <f t="array" ref="CC56">SUM(IF(BY56:BZ56&gt;=BZ56, 1))</f>
        <v>1</v>
      </c>
      <c r="CE56" s="109">
        <f t="shared" si="58"/>
        <v>91872.976461802711</v>
      </c>
      <c r="CF56" s="109">
        <f t="shared" si="59"/>
        <v>95751.31989991061</v>
      </c>
      <c r="CH56" s="58">
        <f t="array" ref="CH56">SUM(IF(CE56:CF56&gt;=CE56, 1))</f>
        <v>2</v>
      </c>
      <c r="CI56" s="58">
        <f t="array" ref="CI56">SUM(IF(CE56:CF56&gt;=CF56, 1))</f>
        <v>1</v>
      </c>
      <c r="CK56" s="109">
        <f t="shared" si="60"/>
        <v>39965.917560825066</v>
      </c>
      <c r="CL56" s="109">
        <f t="shared" si="61"/>
        <v>40777.761615159267</v>
      </c>
      <c r="CN56" s="58">
        <f t="array" ref="CN56">SUM(IF(CK56:CL56&gt;=CK56, 1))</f>
        <v>2</v>
      </c>
      <c r="CO56" s="58">
        <f t="array" ref="CO56">SUM(IF(CK56:CL56&gt;=CL56, 1))</f>
        <v>1</v>
      </c>
      <c r="CQ56" s="109" cm="1">
        <f t="array" ref="CQ56">AF56*WTP-AC56</f>
        <v>27820.542556507426</v>
      </c>
      <c r="CR56" s="109">
        <f t="shared" si="62"/>
        <v>31955.749391647325</v>
      </c>
      <c r="CT56" s="58">
        <f t="array" ref="CT56">SUM(IF(CQ56:CR56&gt;=CQ56, 1))</f>
        <v>2</v>
      </c>
      <c r="CU56" s="58">
        <f t="array" ref="CU56">SUM(IF(CQ56:CR56&gt;=CR56, 1))</f>
        <v>1</v>
      </c>
      <c r="CW56" s="109">
        <f t="shared" si="63"/>
        <v>-45229499.27304557</v>
      </c>
      <c r="CX56" s="109">
        <f t="shared" si="64"/>
        <v>0</v>
      </c>
      <c r="CZ56" s="58">
        <f t="array" ref="CZ56">SUM(IF(CW56:CX56&gt;=CW56, 1))</f>
        <v>2</v>
      </c>
      <c r="DA56" s="58">
        <f t="array" ref="DA56">SUM(IF(CW56:CX56&gt;=CX56, 1))</f>
        <v>1</v>
      </c>
      <c r="DC56" s="109">
        <f t="shared" si="65"/>
        <v>-2606275.3281461028</v>
      </c>
      <c r="DD56" s="109">
        <f t="shared" si="66"/>
        <v>0</v>
      </c>
      <c r="DF56" s="58">
        <f t="array" ref="DF56">SUM(IF(DC56:DD56&gt;=DC56, 1))</f>
        <v>2</v>
      </c>
      <c r="DG56" s="58">
        <f t="array" ref="DG56">SUM(IF(DC56:DD56&gt;=DD56, 1))</f>
        <v>1</v>
      </c>
      <c r="DI56" s="109">
        <f t="shared" si="67"/>
        <v>-89458582.378934383</v>
      </c>
      <c r="DJ56" s="109">
        <f t="shared" si="68"/>
        <v>0</v>
      </c>
      <c r="DL56" s="58">
        <f t="array" ref="DL56">SUM(IF(DI56:DJ56&gt;=DI56, 1))</f>
        <v>2</v>
      </c>
      <c r="DM56" s="58">
        <f t="array" ref="DM56">SUM(IF(DI56:DJ56&gt;=DJ56, 1))</f>
        <v>1</v>
      </c>
      <c r="DO56" s="109">
        <f t="shared" si="69"/>
        <v>-7649990.5610680375</v>
      </c>
      <c r="DP56" s="109">
        <f t="shared" si="70"/>
        <v>0</v>
      </c>
      <c r="DR56" s="58">
        <f t="array" ref="DR56">SUM(IF(DO56:DP56&gt;=DO56, 1))</f>
        <v>2</v>
      </c>
      <c r="DS56" s="58">
        <f t="array" ref="DS56">SUM(IF(DO56:DP56&gt;=DP56, 1))</f>
        <v>1</v>
      </c>
      <c r="DU56" s="109">
        <f t="shared" si="71"/>
        <v>-65434517.430228397</v>
      </c>
      <c r="DV56" s="109">
        <f t="shared" si="72"/>
        <v>0</v>
      </c>
      <c r="DX56" s="58">
        <f t="array" ref="DX56">SUM(IF(DU56:DV56&gt;=DU56, 1))</f>
        <v>2</v>
      </c>
      <c r="DY56" s="58">
        <f t="array" ref="DY56">SUM(IF(DU56:DV56&gt;=DV56, 1))</f>
        <v>1</v>
      </c>
      <c r="EA56" s="109">
        <f t="shared" si="73"/>
        <v>-210378864.97142252</v>
      </c>
      <c r="EB56" s="109">
        <f t="shared" si="74"/>
        <v>0</v>
      </c>
      <c r="ED56" s="58">
        <f t="array" ref="ED56">SUM(IF(EA56:EB56&gt;=EA56, 1))</f>
        <v>2</v>
      </c>
      <c r="EE56" s="58">
        <f t="array" ref="EE56">SUM(IF(EA56:EB56&gt;=EB56, 1))</f>
        <v>1</v>
      </c>
    </row>
    <row r="57" spans="4:135" ht="12" customHeight="1" x14ac:dyDescent="0.25">
      <c r="D57" s="11">
        <v>41</v>
      </c>
      <c r="E57" s="72">
        <v>241.30594923723098</v>
      </c>
      <c r="F57" s="72">
        <v>226.43228506896739</v>
      </c>
      <c r="G57" s="73"/>
      <c r="H57" s="74">
        <v>5.8270450898399035</v>
      </c>
      <c r="I57" s="74">
        <v>5.8403391807334888</v>
      </c>
      <c r="J57" s="73"/>
      <c r="K57" s="72">
        <v>259.35056657444784</v>
      </c>
      <c r="L57" s="72">
        <v>244.10406125156479</v>
      </c>
      <c r="M57" s="73"/>
      <c r="N57" s="74">
        <v>6.6833435149748253</v>
      </c>
      <c r="O57" s="74">
        <v>6.6943899703779453</v>
      </c>
      <c r="P57" s="73"/>
      <c r="Q57" s="72">
        <v>1438.6264779740832</v>
      </c>
      <c r="R57" s="72">
        <v>1206.9546289092186</v>
      </c>
      <c r="S57" s="73"/>
      <c r="T57" s="74">
        <v>5.0118539360498957</v>
      </c>
      <c r="U57" s="74">
        <v>5.0552483872931715</v>
      </c>
      <c r="V57" s="73"/>
      <c r="W57" s="72">
        <v>12315.4516875676</v>
      </c>
      <c r="X57" s="72">
        <v>12265.946104530245</v>
      </c>
      <c r="Y57" s="73"/>
      <c r="Z57" s="74">
        <v>3.026429354391027</v>
      </c>
      <c r="AA57" s="74">
        <v>3.0614928772279204</v>
      </c>
      <c r="AB57" s="73"/>
      <c r="AC57" s="72">
        <v>48910.405528296971</v>
      </c>
      <c r="AD57" s="72">
        <v>48933.208991156986</v>
      </c>
      <c r="AE57" s="73"/>
      <c r="AF57" s="74">
        <v>4.6494898145237409</v>
      </c>
      <c r="AG57" s="74">
        <v>4.7133428965009543</v>
      </c>
      <c r="AH57" s="73"/>
      <c r="AI57" s="72">
        <v>1601903.1301295212</v>
      </c>
      <c r="AJ57" s="72">
        <v>0</v>
      </c>
      <c r="AK57" s="73"/>
      <c r="AL57" s="74">
        <v>-1431.7820796371207</v>
      </c>
      <c r="AM57" s="74">
        <v>0</v>
      </c>
      <c r="AN57" s="73"/>
      <c r="AO57" s="72">
        <v>103238.59545258655</v>
      </c>
      <c r="AP57" s="72">
        <v>0</v>
      </c>
      <c r="AQ57" s="73"/>
      <c r="AR57" s="74">
        <v>-74.798815623414924</v>
      </c>
      <c r="AS57" s="74">
        <v>0</v>
      </c>
      <c r="AT57" s="73"/>
      <c r="AU57" s="72">
        <v>5488904.1076375423</v>
      </c>
      <c r="AV57" s="72">
        <v>0</v>
      </c>
      <c r="AW57" s="73"/>
      <c r="AX57" s="74">
        <v>-1028.1265619423816</v>
      </c>
      <c r="AY57" s="74">
        <v>0</v>
      </c>
      <c r="AZ57" s="73"/>
      <c r="BA57" s="72">
        <v>450861.312044847</v>
      </c>
      <c r="BB57" s="72">
        <v>0</v>
      </c>
      <c r="BC57" s="73"/>
      <c r="BD57" s="74">
        <v>-319.33339516933984</v>
      </c>
      <c r="BE57" s="74">
        <v>0</v>
      </c>
      <c r="BF57" s="73"/>
      <c r="BG57" s="72">
        <v>-360568.04666064103</v>
      </c>
      <c r="BH57" s="72">
        <v>0</v>
      </c>
      <c r="BI57" s="73"/>
      <c r="BJ57" s="74">
        <v>-1009.6440695486137</v>
      </c>
      <c r="BK57" s="74">
        <v>0</v>
      </c>
      <c r="BL57" s="73"/>
      <c r="BM57" s="72">
        <v>7284339.0986038558</v>
      </c>
      <c r="BN57" s="72">
        <v>0</v>
      </c>
      <c r="BO57" s="73"/>
      <c r="BP57" s="74">
        <v>-3863.6849219208707</v>
      </c>
      <c r="BQ57" s="74">
        <v>0</v>
      </c>
      <c r="BS57" s="109">
        <f t="shared" si="54"/>
        <v>116299.59584756085</v>
      </c>
      <c r="BT57" s="109">
        <f t="shared" si="55"/>
        <v>116580.35132960082</v>
      </c>
      <c r="BV57" s="58">
        <f t="array" ref="BV57">SUM(IF(BS57:BT57&gt;=BS57, 1))</f>
        <v>2</v>
      </c>
      <c r="BW57" s="58">
        <f t="array" ref="BW57">SUM(IF(BS57:BT57&gt;=BT57, 1))</f>
        <v>1</v>
      </c>
      <c r="BY57" s="109">
        <f t="shared" si="56"/>
        <v>133407.51973292205</v>
      </c>
      <c r="BZ57" s="109">
        <f t="shared" si="57"/>
        <v>133643.69534630733</v>
      </c>
      <c r="CB57" s="58">
        <f t="array" ref="CB57">SUM(IF(BY57:BZ57&gt;=BY57, 1))</f>
        <v>2</v>
      </c>
      <c r="CC57" s="58">
        <f t="array" ref="CC57">SUM(IF(BY57:BZ57&gt;=BZ57, 1))</f>
        <v>1</v>
      </c>
      <c r="CE57" s="109">
        <f t="shared" si="58"/>
        <v>98798.452243023828</v>
      </c>
      <c r="CF57" s="109">
        <f t="shared" si="59"/>
        <v>99898.0131169542</v>
      </c>
      <c r="CH57" s="58">
        <f t="array" ref="CH57">SUM(IF(CE57:CF57&gt;=CE57, 1))</f>
        <v>2</v>
      </c>
      <c r="CI57" s="58">
        <f t="array" ref="CI57">SUM(IF(CE57:CF57&gt;=CF57, 1))</f>
        <v>1</v>
      </c>
      <c r="CK57" s="109">
        <f t="shared" si="60"/>
        <v>48213.135400252941</v>
      </c>
      <c r="CL57" s="109">
        <f t="shared" si="61"/>
        <v>48963.911440028161</v>
      </c>
      <c r="CN57" s="58">
        <f t="array" ref="CN57">SUM(IF(CK57:CL57&gt;=CK57, 1))</f>
        <v>2</v>
      </c>
      <c r="CO57" s="58">
        <f t="array" ref="CO57">SUM(IF(CK57:CL57&gt;=CL57, 1))</f>
        <v>1</v>
      </c>
      <c r="CQ57" s="109" cm="1">
        <f t="array" ref="CQ57">AF57*WTP-AC57</f>
        <v>44079.390762177842</v>
      </c>
      <c r="CR57" s="109">
        <f t="shared" si="62"/>
        <v>45333.648938862105</v>
      </c>
      <c r="CT57" s="58">
        <f t="array" ref="CT57">SUM(IF(CQ57:CR57&gt;=CQ57, 1))</f>
        <v>2</v>
      </c>
      <c r="CU57" s="58">
        <f t="array" ref="CU57">SUM(IF(CQ57:CR57&gt;=CR57, 1))</f>
        <v>1</v>
      </c>
      <c r="CW57" s="109">
        <f t="shared" si="63"/>
        <v>-30237544.722871933</v>
      </c>
      <c r="CX57" s="109">
        <f t="shared" si="64"/>
        <v>0</v>
      </c>
      <c r="CZ57" s="58">
        <f t="array" ref="CZ57">SUM(IF(CW57:CX57&gt;=CW57, 1))</f>
        <v>2</v>
      </c>
      <c r="DA57" s="58">
        <f t="array" ref="DA57">SUM(IF(CW57:CX57&gt;=CX57, 1))</f>
        <v>1</v>
      </c>
      <c r="DC57" s="109">
        <f t="shared" si="65"/>
        <v>-1599214.9079208851</v>
      </c>
      <c r="DD57" s="109">
        <f t="shared" si="66"/>
        <v>0</v>
      </c>
      <c r="DF57" s="58">
        <f t="array" ref="DF57">SUM(IF(DC57:DD57&gt;=DC57, 1))</f>
        <v>2</v>
      </c>
      <c r="DG57" s="58">
        <f t="array" ref="DG57">SUM(IF(DC57:DD57&gt;=DD57, 1))</f>
        <v>1</v>
      </c>
      <c r="DI57" s="109">
        <f t="shared" si="67"/>
        <v>-26051435.346485175</v>
      </c>
      <c r="DJ57" s="109">
        <f t="shared" si="68"/>
        <v>0</v>
      </c>
      <c r="DL57" s="58">
        <f t="array" ref="DL57">SUM(IF(DI57:DJ57&gt;=DI57, 1))</f>
        <v>2</v>
      </c>
      <c r="DM57" s="58">
        <f t="array" ref="DM57">SUM(IF(DI57:DJ57&gt;=DJ57, 1))</f>
        <v>1</v>
      </c>
      <c r="DO57" s="109">
        <f t="shared" si="69"/>
        <v>-6837529.2154316436</v>
      </c>
      <c r="DP57" s="109">
        <f t="shared" si="70"/>
        <v>0</v>
      </c>
      <c r="DR57" s="58">
        <f t="array" ref="DR57">SUM(IF(DO57:DP57&gt;=DO57, 1))</f>
        <v>2</v>
      </c>
      <c r="DS57" s="58">
        <f t="array" ref="DS57">SUM(IF(DO57:DP57&gt;=DP57, 1))</f>
        <v>1</v>
      </c>
      <c r="DU57" s="109">
        <f t="shared" si="71"/>
        <v>-19832313.344311636</v>
      </c>
      <c r="DV57" s="109">
        <f t="shared" si="72"/>
        <v>0</v>
      </c>
      <c r="DX57" s="58">
        <f t="array" ref="DX57">SUM(IF(DU57:DV57&gt;=DU57, 1))</f>
        <v>2</v>
      </c>
      <c r="DY57" s="58">
        <f t="array" ref="DY57">SUM(IF(DU57:DV57&gt;=DV57, 1))</f>
        <v>1</v>
      </c>
      <c r="EA57" s="109">
        <f t="shared" si="73"/>
        <v>-84558037.537021279</v>
      </c>
      <c r="EB57" s="109">
        <f t="shared" si="74"/>
        <v>0</v>
      </c>
      <c r="ED57" s="58">
        <f t="array" ref="ED57">SUM(IF(EA57:EB57&gt;=EA57, 1))</f>
        <v>2</v>
      </c>
      <c r="EE57" s="58">
        <f t="array" ref="EE57">SUM(IF(EA57:EB57&gt;=EB57, 1))</f>
        <v>1</v>
      </c>
    </row>
    <row r="58" spans="4:135" ht="12" customHeight="1" x14ac:dyDescent="0.25">
      <c r="D58" s="11">
        <v>42</v>
      </c>
      <c r="E58" s="72">
        <v>291.8182807053912</v>
      </c>
      <c r="F58" s="72">
        <v>249.96374935084799</v>
      </c>
      <c r="G58" s="73"/>
      <c r="H58" s="74">
        <v>5.8403245295928752</v>
      </c>
      <c r="I58" s="74">
        <v>5.860384154257507</v>
      </c>
      <c r="J58" s="73"/>
      <c r="K58" s="72">
        <v>312.44954701195235</v>
      </c>
      <c r="L58" s="72">
        <v>269.56869813203366</v>
      </c>
      <c r="M58" s="73"/>
      <c r="N58" s="74">
        <v>6.749978719441704</v>
      </c>
      <c r="O58" s="74">
        <v>6.7680715634848081</v>
      </c>
      <c r="P58" s="73"/>
      <c r="Q58" s="72">
        <v>2518.3543010800654</v>
      </c>
      <c r="R58" s="72">
        <v>1441.0298092252744</v>
      </c>
      <c r="S58" s="73"/>
      <c r="T58" s="74">
        <v>4.8304116520420521</v>
      </c>
      <c r="U58" s="74">
        <v>4.9210535322636151</v>
      </c>
      <c r="V58" s="73"/>
      <c r="W58" s="72">
        <v>13192.766404990016</v>
      </c>
      <c r="X58" s="72">
        <v>13216.465312117758</v>
      </c>
      <c r="Y58" s="73"/>
      <c r="Z58" s="74">
        <v>3.1399215610015707</v>
      </c>
      <c r="AA58" s="74">
        <v>3.1811382311031577</v>
      </c>
      <c r="AB58" s="73"/>
      <c r="AC58" s="72">
        <v>51707.157048900859</v>
      </c>
      <c r="AD58" s="72">
        <v>51437.918792518765</v>
      </c>
      <c r="AE58" s="73"/>
      <c r="AF58" s="74">
        <v>4.5480403768582542</v>
      </c>
      <c r="AG58" s="74">
        <v>4.6090091131910711</v>
      </c>
      <c r="AH58" s="73"/>
      <c r="AI58" s="72">
        <v>4474601.549689332</v>
      </c>
      <c r="AJ58" s="72">
        <v>0</v>
      </c>
      <c r="AK58" s="73"/>
      <c r="AL58" s="74">
        <v>-2144.5426505965384</v>
      </c>
      <c r="AM58" s="74">
        <v>0</v>
      </c>
      <c r="AN58" s="73"/>
      <c r="AO58" s="72">
        <v>292063.60483709606</v>
      </c>
      <c r="AP58" s="72">
        <v>0</v>
      </c>
      <c r="AQ58" s="73"/>
      <c r="AR58" s="74">
        <v>-123.23126502887401</v>
      </c>
      <c r="AS58" s="74">
        <v>0</v>
      </c>
      <c r="AT58" s="73"/>
      <c r="AU58" s="72">
        <v>24907357.604713533</v>
      </c>
      <c r="AV58" s="72">
        <v>0</v>
      </c>
      <c r="AW58" s="73"/>
      <c r="AX58" s="74">
        <v>-2095.6079080270092</v>
      </c>
      <c r="AY58" s="74">
        <v>0</v>
      </c>
      <c r="AZ58" s="73"/>
      <c r="BA58" s="72">
        <v>-213466.37228174161</v>
      </c>
      <c r="BB58" s="72">
        <v>0</v>
      </c>
      <c r="BC58" s="73"/>
      <c r="BD58" s="74">
        <v>-371.25648860911645</v>
      </c>
      <c r="BE58" s="74">
        <v>0</v>
      </c>
      <c r="BF58" s="73"/>
      <c r="BG58" s="72">
        <v>4232214.1728658881</v>
      </c>
      <c r="BH58" s="72">
        <v>0</v>
      </c>
      <c r="BI58" s="73"/>
      <c r="BJ58" s="74">
        <v>-958.38070516724622</v>
      </c>
      <c r="BK58" s="74">
        <v>0</v>
      </c>
      <c r="BL58" s="73"/>
      <c r="BM58" s="72">
        <v>33692770.559824109</v>
      </c>
      <c r="BN58" s="72">
        <v>0</v>
      </c>
      <c r="BO58" s="73"/>
      <c r="BP58" s="74">
        <v>-5693.0190174287854</v>
      </c>
      <c r="BQ58" s="74">
        <v>0</v>
      </c>
      <c r="BS58" s="109">
        <f t="shared" si="54"/>
        <v>116514.67231115211</v>
      </c>
      <c r="BT58" s="109">
        <f t="shared" si="55"/>
        <v>116957.71933579929</v>
      </c>
      <c r="BV58" s="58">
        <f t="array" ref="BV58">SUM(IF(BS58:BT58&gt;=BS58, 1))</f>
        <v>2</v>
      </c>
      <c r="BW58" s="58">
        <f t="array" ref="BW58">SUM(IF(BS58:BT58&gt;=BT58, 1))</f>
        <v>1</v>
      </c>
      <c r="BY58" s="109">
        <f t="shared" si="56"/>
        <v>134687.12484182214</v>
      </c>
      <c r="BZ58" s="109">
        <f t="shared" si="57"/>
        <v>135091.86257156412</v>
      </c>
      <c r="CB58" s="58">
        <f t="array" ref="CB58">SUM(IF(BY58:BZ58&gt;=BY58, 1))</f>
        <v>2</v>
      </c>
      <c r="CC58" s="58">
        <f t="array" ref="CC58">SUM(IF(BY58:BZ58&gt;=BZ58, 1))</f>
        <v>1</v>
      </c>
      <c r="CE58" s="109">
        <f t="shared" si="58"/>
        <v>94089.878739760985</v>
      </c>
      <c r="CF58" s="109">
        <f t="shared" si="59"/>
        <v>96980.040836047017</v>
      </c>
      <c r="CH58" s="58">
        <f t="array" ref="CH58">SUM(IF(CE58:CF58&gt;=CE58, 1))</f>
        <v>2</v>
      </c>
      <c r="CI58" s="58">
        <f t="array" ref="CI58">SUM(IF(CE58:CF58&gt;=CF58, 1))</f>
        <v>1</v>
      </c>
      <c r="CK58" s="109">
        <f t="shared" si="60"/>
        <v>49605.664815041397</v>
      </c>
      <c r="CL58" s="109">
        <f t="shared" si="61"/>
        <v>50406.299309945403</v>
      </c>
      <c r="CN58" s="58">
        <f t="array" ref="CN58">SUM(IF(CK58:CL58&gt;=CK58, 1))</f>
        <v>2</v>
      </c>
      <c r="CO58" s="58">
        <f t="array" ref="CO58">SUM(IF(CK58:CL58&gt;=CL58, 1))</f>
        <v>1</v>
      </c>
      <c r="CQ58" s="109" cm="1">
        <f t="array" ref="CQ58">AF58*WTP-AC58</f>
        <v>39253.650488264233</v>
      </c>
      <c r="CR58" s="109">
        <f t="shared" si="62"/>
        <v>40742.263471302656</v>
      </c>
      <c r="CT58" s="58">
        <f t="array" ref="CT58">SUM(IF(CQ58:CR58&gt;=CQ58, 1))</f>
        <v>2</v>
      </c>
      <c r="CU58" s="58">
        <f t="array" ref="CU58">SUM(IF(CQ58:CR58&gt;=CR58, 1))</f>
        <v>1</v>
      </c>
      <c r="CW58" s="109">
        <f t="shared" si="63"/>
        <v>-47365454.561620094</v>
      </c>
      <c r="CX58" s="109">
        <f t="shared" si="64"/>
        <v>0</v>
      </c>
      <c r="CZ58" s="58">
        <f t="array" ref="CZ58">SUM(IF(CW58:CX58&gt;=CW58, 1))</f>
        <v>2</v>
      </c>
      <c r="DA58" s="58">
        <f t="array" ref="DA58">SUM(IF(CW58:CX58&gt;=CX58, 1))</f>
        <v>1</v>
      </c>
      <c r="DC58" s="109">
        <f t="shared" si="65"/>
        <v>-2756688.9054145766</v>
      </c>
      <c r="DD58" s="109">
        <f t="shared" si="66"/>
        <v>0</v>
      </c>
      <c r="DF58" s="58">
        <f t="array" ref="DF58">SUM(IF(DC58:DD58&gt;=DC58, 1))</f>
        <v>2</v>
      </c>
      <c r="DG58" s="58">
        <f t="array" ref="DG58">SUM(IF(DC58:DD58&gt;=DD58, 1))</f>
        <v>1</v>
      </c>
      <c r="DI58" s="109">
        <f t="shared" si="67"/>
        <v>-66819515.765253723</v>
      </c>
      <c r="DJ58" s="109">
        <f t="shared" si="68"/>
        <v>0</v>
      </c>
      <c r="DL58" s="58">
        <f t="array" ref="DL58">SUM(IF(DI58:DJ58&gt;=DI58, 1))</f>
        <v>2</v>
      </c>
      <c r="DM58" s="58">
        <f t="array" ref="DM58">SUM(IF(DI58:DJ58&gt;=DJ58, 1))</f>
        <v>1</v>
      </c>
      <c r="DO58" s="109">
        <f t="shared" si="69"/>
        <v>-7211663.3999005873</v>
      </c>
      <c r="DP58" s="109">
        <f t="shared" si="70"/>
        <v>0</v>
      </c>
      <c r="DR58" s="58">
        <f t="array" ref="DR58">SUM(IF(DO58:DP58&gt;=DO58, 1))</f>
        <v>2</v>
      </c>
      <c r="DS58" s="58">
        <f t="array" ref="DS58">SUM(IF(DO58:DP58&gt;=DP58, 1))</f>
        <v>1</v>
      </c>
      <c r="DU58" s="109">
        <f t="shared" si="71"/>
        <v>-23399828.276210815</v>
      </c>
      <c r="DV58" s="109">
        <f t="shared" si="72"/>
        <v>0</v>
      </c>
      <c r="DX58" s="58">
        <f t="array" ref="DX58">SUM(IF(DU58:DV58&gt;=DU58, 1))</f>
        <v>2</v>
      </c>
      <c r="DY58" s="58">
        <f t="array" ref="DY58">SUM(IF(DU58:DV58&gt;=DV58, 1))</f>
        <v>1</v>
      </c>
      <c r="EA58" s="109">
        <f t="shared" si="73"/>
        <v>-147553150.90839982</v>
      </c>
      <c r="EB58" s="109">
        <f t="shared" si="74"/>
        <v>0</v>
      </c>
      <c r="ED58" s="58">
        <f t="array" ref="ED58">SUM(IF(EA58:EB58&gt;=EA58, 1))</f>
        <v>2</v>
      </c>
      <c r="EE58" s="58">
        <f t="array" ref="EE58">SUM(IF(EA58:EB58&gt;=EB58, 1))</f>
        <v>1</v>
      </c>
    </row>
    <row r="59" spans="4:135" ht="12" customHeight="1" x14ac:dyDescent="0.25">
      <c r="D59" s="11">
        <v>43</v>
      </c>
      <c r="E59" s="72">
        <v>237.26120577624371</v>
      </c>
      <c r="F59" s="72">
        <v>212.17444414844172</v>
      </c>
      <c r="G59" s="73"/>
      <c r="H59" s="74">
        <v>5.8113585192919208</v>
      </c>
      <c r="I59" s="74">
        <v>5.8286787839249499</v>
      </c>
      <c r="J59" s="73"/>
      <c r="K59" s="72">
        <v>254.37716097421915</v>
      </c>
      <c r="L59" s="72">
        <v>228.68754265769451</v>
      </c>
      <c r="M59" s="73"/>
      <c r="N59" s="74">
        <v>6.6478504060788337</v>
      </c>
      <c r="O59" s="74">
        <v>6.6629958669189078</v>
      </c>
      <c r="P59" s="73"/>
      <c r="Q59" s="72">
        <v>2042.3442610850027</v>
      </c>
      <c r="R59" s="72">
        <v>1321.3072800212303</v>
      </c>
      <c r="S59" s="73"/>
      <c r="T59" s="74">
        <v>4.7029586841703628</v>
      </c>
      <c r="U59" s="74">
        <v>4.7670458677652165</v>
      </c>
      <c r="V59" s="73"/>
      <c r="W59" s="72">
        <v>11969.385982239028</v>
      </c>
      <c r="X59" s="72">
        <v>11958.059718147719</v>
      </c>
      <c r="Y59" s="73"/>
      <c r="Z59" s="74">
        <v>3.0188827266937723</v>
      </c>
      <c r="AA59" s="74">
        <v>3.0653795168053604</v>
      </c>
      <c r="AB59" s="73"/>
      <c r="AC59" s="72">
        <v>50127.405574211669</v>
      </c>
      <c r="AD59" s="72">
        <v>49637.869863767584</v>
      </c>
      <c r="AE59" s="73"/>
      <c r="AF59" s="74">
        <v>4.9188790416399755</v>
      </c>
      <c r="AG59" s="74">
        <v>5.0696097149028319</v>
      </c>
      <c r="AH59" s="73"/>
      <c r="AI59" s="72">
        <v>2709159.0077750697</v>
      </c>
      <c r="AJ59" s="72">
        <v>0</v>
      </c>
      <c r="AK59" s="73"/>
      <c r="AL59" s="74">
        <v>-1870.442731660374</v>
      </c>
      <c r="AM59" s="74">
        <v>0</v>
      </c>
      <c r="AN59" s="73"/>
      <c r="AO59" s="72">
        <v>170924.02372052247</v>
      </c>
      <c r="AP59" s="72">
        <v>0</v>
      </c>
      <c r="AQ59" s="73"/>
      <c r="AR59" s="74">
        <v>-100.76923199056984</v>
      </c>
      <c r="AS59" s="74">
        <v>0</v>
      </c>
      <c r="AT59" s="73"/>
      <c r="AU59" s="72">
        <v>16650608.002822837</v>
      </c>
      <c r="AV59" s="72">
        <v>0</v>
      </c>
      <c r="AW59" s="73"/>
      <c r="AX59" s="74">
        <v>-1479.9387549700025</v>
      </c>
      <c r="AY59" s="74">
        <v>0</v>
      </c>
      <c r="AZ59" s="73"/>
      <c r="BA59" s="72">
        <v>96760.336736997473</v>
      </c>
      <c r="BB59" s="72">
        <v>0</v>
      </c>
      <c r="BC59" s="73"/>
      <c r="BD59" s="74">
        <v>-397.22233493028091</v>
      </c>
      <c r="BE59" s="74">
        <v>0</v>
      </c>
      <c r="BF59" s="73"/>
      <c r="BG59" s="72">
        <v>7571325.8752299827</v>
      </c>
      <c r="BH59" s="72">
        <v>0</v>
      </c>
      <c r="BI59" s="73"/>
      <c r="BJ59" s="74">
        <v>-2331.2518827903846</v>
      </c>
      <c r="BK59" s="74">
        <v>0</v>
      </c>
      <c r="BL59" s="73"/>
      <c r="BM59" s="72">
        <v>27198777.246285409</v>
      </c>
      <c r="BN59" s="72">
        <v>0</v>
      </c>
      <c r="BO59" s="73"/>
      <c r="BP59" s="74">
        <v>-6179.6249363416118</v>
      </c>
      <c r="BQ59" s="74">
        <v>0</v>
      </c>
      <c r="BS59" s="109">
        <f t="shared" si="54"/>
        <v>115989.90918006217</v>
      </c>
      <c r="BT59" s="109">
        <f t="shared" si="55"/>
        <v>116361.40123435055</v>
      </c>
      <c r="BV59" s="58">
        <f t="array" ref="BV59">SUM(IF(BS59:BT59&gt;=BS59, 1))</f>
        <v>2</v>
      </c>
      <c r="BW59" s="58">
        <f t="array" ref="BW59">SUM(IF(BS59:BT59&gt;=BT59, 1))</f>
        <v>1</v>
      </c>
      <c r="BY59" s="109">
        <f t="shared" si="56"/>
        <v>132702.63096060246</v>
      </c>
      <c r="BZ59" s="109">
        <f t="shared" si="57"/>
        <v>133031.22979572046</v>
      </c>
      <c r="CB59" s="58">
        <f t="array" ref="CB59">SUM(IF(BY59:BZ59&gt;=BY59, 1))</f>
        <v>2</v>
      </c>
      <c r="CC59" s="58">
        <f t="array" ref="CC59">SUM(IF(BY59:BZ59&gt;=BZ59, 1))</f>
        <v>1</v>
      </c>
      <c r="CE59" s="109">
        <f t="shared" si="58"/>
        <v>92016.829422322247</v>
      </c>
      <c r="CF59" s="109">
        <f t="shared" si="59"/>
        <v>94019.610075283112</v>
      </c>
      <c r="CH59" s="58">
        <f t="array" ref="CH59">SUM(IF(CE59:CF59&gt;=CE59, 1))</f>
        <v>2</v>
      </c>
      <c r="CI59" s="58">
        <f t="array" ref="CI59">SUM(IF(CE59:CF59&gt;=CF59, 1))</f>
        <v>1</v>
      </c>
      <c r="CK59" s="109">
        <f t="shared" si="60"/>
        <v>48408.268551636414</v>
      </c>
      <c r="CL59" s="109">
        <f t="shared" si="61"/>
        <v>49349.530617959485</v>
      </c>
      <c r="CN59" s="58">
        <f t="array" ref="CN59">SUM(IF(CK59:CL59&gt;=CK59, 1))</f>
        <v>2</v>
      </c>
      <c r="CO59" s="58">
        <f t="array" ref="CO59">SUM(IF(CK59:CL59&gt;=CL59, 1))</f>
        <v>1</v>
      </c>
      <c r="CQ59" s="109" cm="1">
        <f t="array" ref="CQ59">AF59*WTP-AC59</f>
        <v>48250.175258587835</v>
      </c>
      <c r="CR59" s="109">
        <f t="shared" si="62"/>
        <v>51754.324434289054</v>
      </c>
      <c r="CT59" s="58">
        <f t="array" ref="CT59">SUM(IF(CQ59:CR59&gt;=CQ59, 1))</f>
        <v>2</v>
      </c>
      <c r="CU59" s="58">
        <f t="array" ref="CU59">SUM(IF(CQ59:CR59&gt;=CR59, 1))</f>
        <v>1</v>
      </c>
      <c r="CW59" s="109">
        <f t="shared" si="63"/>
        <v>-40118013.640982546</v>
      </c>
      <c r="CX59" s="109">
        <f t="shared" si="64"/>
        <v>0</v>
      </c>
      <c r="CZ59" s="58">
        <f t="array" ref="CZ59">SUM(IF(CW59:CX59&gt;=CW59, 1))</f>
        <v>2</v>
      </c>
      <c r="DA59" s="58">
        <f t="array" ref="DA59">SUM(IF(CW59:CX59&gt;=CX59, 1))</f>
        <v>1</v>
      </c>
      <c r="DC59" s="109">
        <f t="shared" si="65"/>
        <v>-2186308.663531919</v>
      </c>
      <c r="DD59" s="109">
        <f t="shared" si="66"/>
        <v>0</v>
      </c>
      <c r="DF59" s="58">
        <f t="array" ref="DF59">SUM(IF(DC59:DD59&gt;=DC59, 1))</f>
        <v>2</v>
      </c>
      <c r="DG59" s="58">
        <f t="array" ref="DG59">SUM(IF(DC59:DD59&gt;=DD59, 1))</f>
        <v>1</v>
      </c>
      <c r="DI59" s="109">
        <f t="shared" si="67"/>
        <v>-46249383.10222289</v>
      </c>
      <c r="DJ59" s="109">
        <f t="shared" si="68"/>
        <v>0</v>
      </c>
      <c r="DL59" s="58">
        <f t="array" ref="DL59">SUM(IF(DI59:DJ59&gt;=DI59, 1))</f>
        <v>2</v>
      </c>
      <c r="DM59" s="58">
        <f t="array" ref="DM59">SUM(IF(DI59:DJ59&gt;=DJ59, 1))</f>
        <v>1</v>
      </c>
      <c r="DO59" s="109">
        <f t="shared" si="69"/>
        <v>-8041207.035342616</v>
      </c>
      <c r="DP59" s="109">
        <f t="shared" si="70"/>
        <v>0</v>
      </c>
      <c r="DR59" s="58">
        <f t="array" ref="DR59">SUM(IF(DO59:DP59&gt;=DO59, 1))</f>
        <v>2</v>
      </c>
      <c r="DS59" s="58">
        <f t="array" ref="DS59">SUM(IF(DO59:DP59&gt;=DP59, 1))</f>
        <v>1</v>
      </c>
      <c r="DU59" s="109">
        <f t="shared" si="71"/>
        <v>-54196363.531037673</v>
      </c>
      <c r="DV59" s="109">
        <f t="shared" si="72"/>
        <v>0</v>
      </c>
      <c r="DX59" s="58">
        <f t="array" ref="DX59">SUM(IF(DU59:DV59&gt;=DU59, 1))</f>
        <v>2</v>
      </c>
      <c r="DY59" s="58">
        <f t="array" ref="DY59">SUM(IF(DU59:DV59&gt;=DV59, 1))</f>
        <v>1</v>
      </c>
      <c r="EA59" s="109">
        <f t="shared" si="73"/>
        <v>-150791275.97311765</v>
      </c>
      <c r="EB59" s="109">
        <f t="shared" si="74"/>
        <v>0</v>
      </c>
      <c r="ED59" s="58">
        <f t="array" ref="ED59">SUM(IF(EA59:EB59&gt;=EA59, 1))</f>
        <v>2</v>
      </c>
      <c r="EE59" s="58">
        <f t="array" ref="EE59">SUM(IF(EA59:EB59&gt;=EB59, 1))</f>
        <v>1</v>
      </c>
    </row>
    <row r="60" spans="4:135" ht="12" customHeight="1" x14ac:dyDescent="0.25">
      <c r="D60" s="11">
        <v>44</v>
      </c>
      <c r="E60" s="72">
        <v>277.6897598002987</v>
      </c>
      <c r="F60" s="72">
        <v>248.08054585124643</v>
      </c>
      <c r="G60" s="73"/>
      <c r="H60" s="74">
        <v>5.79875878375538</v>
      </c>
      <c r="I60" s="74">
        <v>5.8166243580493751</v>
      </c>
      <c r="J60" s="73"/>
      <c r="K60" s="72">
        <v>297.78536721714573</v>
      </c>
      <c r="L60" s="72">
        <v>267.51494669106722</v>
      </c>
      <c r="M60" s="73"/>
      <c r="N60" s="74">
        <v>6.6929509612252636</v>
      </c>
      <c r="O60" s="74">
        <v>6.7087408580357604</v>
      </c>
      <c r="P60" s="73"/>
      <c r="Q60" s="72">
        <v>2802.622882415737</v>
      </c>
      <c r="R60" s="72">
        <v>1336.3279372552411</v>
      </c>
      <c r="S60" s="73"/>
      <c r="T60" s="74">
        <v>4.7283689623258036</v>
      </c>
      <c r="U60" s="74">
        <v>4.8504495637808231</v>
      </c>
      <c r="V60" s="73"/>
      <c r="W60" s="72">
        <v>13134.007286420467</v>
      </c>
      <c r="X60" s="72">
        <v>13119.915636753187</v>
      </c>
      <c r="Y60" s="73"/>
      <c r="Z60" s="74">
        <v>2.8133628552464445</v>
      </c>
      <c r="AA60" s="74">
        <v>2.8597341073461982</v>
      </c>
      <c r="AB60" s="73"/>
      <c r="AC60" s="72">
        <v>50710.421880450798</v>
      </c>
      <c r="AD60" s="72">
        <v>50601.114514954286</v>
      </c>
      <c r="AE60" s="73"/>
      <c r="AF60" s="74">
        <v>4.2384176333545023</v>
      </c>
      <c r="AG60" s="74">
        <v>4.3373547464517683</v>
      </c>
      <c r="AH60" s="73"/>
      <c r="AI60" s="72">
        <v>3127536.1652304446</v>
      </c>
      <c r="AJ60" s="72">
        <v>0</v>
      </c>
      <c r="AK60" s="73"/>
      <c r="AL60" s="74">
        <v>-1887.0892625931838</v>
      </c>
      <c r="AM60" s="74">
        <v>0</v>
      </c>
      <c r="AN60" s="73"/>
      <c r="AO60" s="72">
        <v>208460.55615295551</v>
      </c>
      <c r="AP60" s="72">
        <v>0</v>
      </c>
      <c r="AQ60" s="73"/>
      <c r="AR60" s="74">
        <v>-108.73884847018215</v>
      </c>
      <c r="AS60" s="74">
        <v>0</v>
      </c>
      <c r="AT60" s="73"/>
      <c r="AU60" s="72">
        <v>33591176.47220207</v>
      </c>
      <c r="AV60" s="72">
        <v>0</v>
      </c>
      <c r="AW60" s="73"/>
      <c r="AX60" s="74">
        <v>-2796.7299763549727</v>
      </c>
      <c r="AY60" s="74">
        <v>0</v>
      </c>
      <c r="AZ60" s="73"/>
      <c r="BA60" s="72">
        <v>123807.18886311003</v>
      </c>
      <c r="BB60" s="72">
        <v>0</v>
      </c>
      <c r="BC60" s="73"/>
      <c r="BD60" s="74">
        <v>-407.41109111331673</v>
      </c>
      <c r="BE60" s="74">
        <v>0</v>
      </c>
      <c r="BF60" s="73"/>
      <c r="BG60" s="72">
        <v>1752935.557342679</v>
      </c>
      <c r="BH60" s="72">
        <v>0</v>
      </c>
      <c r="BI60" s="73"/>
      <c r="BJ60" s="74">
        <v>-1586.6303492106945</v>
      </c>
      <c r="BK60" s="74">
        <v>0</v>
      </c>
      <c r="BL60" s="73"/>
      <c r="BM60" s="72">
        <v>38803915.939791262</v>
      </c>
      <c r="BN60" s="72">
        <v>0</v>
      </c>
      <c r="BO60" s="73"/>
      <c r="BP60" s="74">
        <v>-6786.5995277423499</v>
      </c>
      <c r="BQ60" s="74">
        <v>0</v>
      </c>
      <c r="BS60" s="109">
        <f t="shared" si="54"/>
        <v>115697.4859153073</v>
      </c>
      <c r="BT60" s="109">
        <f t="shared" si="55"/>
        <v>116084.40661513625</v>
      </c>
      <c r="BV60" s="58">
        <f t="array" ref="BV60">SUM(IF(BS60:BT60&gt;=BS60, 1))</f>
        <v>2</v>
      </c>
      <c r="BW60" s="58">
        <f t="array" ref="BW60">SUM(IF(BS60:BT60&gt;=BT60, 1))</f>
        <v>1</v>
      </c>
      <c r="BY60" s="109">
        <f t="shared" si="56"/>
        <v>133561.23385728811</v>
      </c>
      <c r="BZ60" s="109">
        <f t="shared" si="57"/>
        <v>133907.30221402412</v>
      </c>
      <c r="CB60" s="58">
        <f t="array" ref="CB60">SUM(IF(BY60:BZ60&gt;=BY60, 1))</f>
        <v>2</v>
      </c>
      <c r="CC60" s="58">
        <f t="array" ref="CC60">SUM(IF(BY60:BZ60&gt;=BZ60, 1))</f>
        <v>1</v>
      </c>
      <c r="CE60" s="109">
        <f t="shared" si="58"/>
        <v>91764.756364100322</v>
      </c>
      <c r="CF60" s="109">
        <f t="shared" si="59"/>
        <v>95672.663338361221</v>
      </c>
      <c r="CH60" s="58">
        <f t="array" ref="CH60">SUM(IF(CE60:CF60&gt;=CE60, 1))</f>
        <v>2</v>
      </c>
      <c r="CI60" s="58">
        <f t="array" ref="CI60">SUM(IF(CE60:CF60&gt;=CF60, 1))</f>
        <v>1</v>
      </c>
      <c r="CK60" s="109">
        <f t="shared" si="60"/>
        <v>43133.249818508426</v>
      </c>
      <c r="CL60" s="109">
        <f t="shared" si="61"/>
        <v>44074.766510170783</v>
      </c>
      <c r="CN60" s="58">
        <f t="array" ref="CN60">SUM(IF(CK60:CL60&gt;=CK60, 1))</f>
        <v>2</v>
      </c>
      <c r="CO60" s="58">
        <f t="array" ref="CO60">SUM(IF(CK60:CL60&gt;=CL60, 1))</f>
        <v>1</v>
      </c>
      <c r="CQ60" s="109" cm="1">
        <f t="array" ref="CQ60">AF60*WTP-AC60</f>
        <v>34057.930786639248</v>
      </c>
      <c r="CR60" s="109">
        <f t="shared" si="62"/>
        <v>36145.980414081074</v>
      </c>
      <c r="CT60" s="58">
        <f t="array" ref="CT60">SUM(IF(CQ60:CR60&gt;=CQ60, 1))</f>
        <v>2</v>
      </c>
      <c r="CU60" s="58">
        <f t="array" ref="CU60">SUM(IF(CQ60:CR60&gt;=CR60, 1))</f>
        <v>1</v>
      </c>
      <c r="CW60" s="109">
        <f t="shared" si="63"/>
        <v>-40869321.417094119</v>
      </c>
      <c r="CX60" s="109">
        <f t="shared" si="64"/>
        <v>0</v>
      </c>
      <c r="CZ60" s="58">
        <f t="array" ref="CZ60">SUM(IF(CW60:CX60&gt;=CW60, 1))</f>
        <v>2</v>
      </c>
      <c r="DA60" s="58">
        <f t="array" ref="DA60">SUM(IF(CW60:CX60&gt;=CX60, 1))</f>
        <v>1</v>
      </c>
      <c r="DC60" s="109">
        <f t="shared" si="65"/>
        <v>-2383237.5255565988</v>
      </c>
      <c r="DD60" s="109">
        <f t="shared" si="66"/>
        <v>0</v>
      </c>
      <c r="DF60" s="58">
        <f t="array" ref="DF60">SUM(IF(DC60:DD60&gt;=DC60, 1))</f>
        <v>2</v>
      </c>
      <c r="DG60" s="58">
        <f t="array" ref="DG60">SUM(IF(DC60:DD60&gt;=DD60, 1))</f>
        <v>1</v>
      </c>
      <c r="DI60" s="109">
        <f t="shared" si="67"/>
        <v>-89525775.999301523</v>
      </c>
      <c r="DJ60" s="109">
        <f t="shared" si="68"/>
        <v>0</v>
      </c>
      <c r="DL60" s="58">
        <f t="array" ref="DL60">SUM(IF(DI60:DJ60&gt;=DI60, 1))</f>
        <v>2</v>
      </c>
      <c r="DM60" s="58">
        <f t="array" ref="DM60">SUM(IF(DI60:DJ60&gt;=DJ60, 1))</f>
        <v>1</v>
      </c>
      <c r="DO60" s="109">
        <f t="shared" si="69"/>
        <v>-8272029.0111294445</v>
      </c>
      <c r="DP60" s="109">
        <f t="shared" si="70"/>
        <v>0</v>
      </c>
      <c r="DR60" s="58">
        <f t="array" ref="DR60">SUM(IF(DO60:DP60&gt;=DO60, 1))</f>
        <v>2</v>
      </c>
      <c r="DS60" s="58">
        <f t="array" ref="DS60">SUM(IF(DO60:DP60&gt;=DP60, 1))</f>
        <v>1</v>
      </c>
      <c r="DU60" s="109">
        <f t="shared" si="71"/>
        <v>-33485542.541556567</v>
      </c>
      <c r="DV60" s="109">
        <f t="shared" si="72"/>
        <v>0</v>
      </c>
      <c r="DX60" s="58">
        <f t="array" ref="DX60">SUM(IF(DU60:DV60&gt;=DU60, 1))</f>
        <v>2</v>
      </c>
      <c r="DY60" s="58">
        <f t="array" ref="DY60">SUM(IF(DU60:DV60&gt;=DV60, 1))</f>
        <v>1</v>
      </c>
      <c r="EA60" s="109">
        <f t="shared" si="73"/>
        <v>-174535906.49463826</v>
      </c>
      <c r="EB60" s="109">
        <f t="shared" si="74"/>
        <v>0</v>
      </c>
      <c r="ED60" s="58">
        <f t="array" ref="ED60">SUM(IF(EA60:EB60&gt;=EA60, 1))</f>
        <v>2</v>
      </c>
      <c r="EE60" s="58">
        <f t="array" ref="EE60">SUM(IF(EA60:EB60&gt;=EB60, 1))</f>
        <v>1</v>
      </c>
    </row>
    <row r="61" spans="4:135" ht="12" customHeight="1" x14ac:dyDescent="0.25">
      <c r="D61" s="11">
        <v>45</v>
      </c>
      <c r="E61" s="72">
        <v>269.81311592702593</v>
      </c>
      <c r="F61" s="72">
        <v>245.04549652149973</v>
      </c>
      <c r="G61" s="73"/>
      <c r="H61" s="74">
        <v>5.862089101068185</v>
      </c>
      <c r="I61" s="74">
        <v>5.8824229193811695</v>
      </c>
      <c r="J61" s="73"/>
      <c r="K61" s="72">
        <v>289.67059236050648</v>
      </c>
      <c r="L61" s="72">
        <v>264.27931273953232</v>
      </c>
      <c r="M61" s="73"/>
      <c r="N61" s="74">
        <v>6.6749225471383573</v>
      </c>
      <c r="O61" s="74">
        <v>6.6924188870703345</v>
      </c>
      <c r="P61" s="73"/>
      <c r="Q61" s="72">
        <v>3616.7664429125248</v>
      </c>
      <c r="R61" s="72">
        <v>1934.6515774221361</v>
      </c>
      <c r="S61" s="73"/>
      <c r="T61" s="74">
        <v>4.8063016513798615</v>
      </c>
      <c r="U61" s="74">
        <v>4.8991377610247895</v>
      </c>
      <c r="V61" s="73"/>
      <c r="W61" s="72">
        <v>13699.826607944766</v>
      </c>
      <c r="X61" s="72">
        <v>13689.376479758026</v>
      </c>
      <c r="Y61" s="73"/>
      <c r="Z61" s="74">
        <v>3.0244797113937043</v>
      </c>
      <c r="AA61" s="74">
        <v>3.0677102855997203</v>
      </c>
      <c r="AB61" s="73"/>
      <c r="AC61" s="72">
        <v>49991.890630713795</v>
      </c>
      <c r="AD61" s="72">
        <v>49720.498027326037</v>
      </c>
      <c r="AE61" s="73"/>
      <c r="AF61" s="74">
        <v>5.0139122129931595</v>
      </c>
      <c r="AG61" s="74">
        <v>5.1185859346095199</v>
      </c>
      <c r="AH61" s="73"/>
      <c r="AI61" s="72">
        <v>2650569.9143951493</v>
      </c>
      <c r="AJ61" s="72">
        <v>0</v>
      </c>
      <c r="AK61" s="73"/>
      <c r="AL61" s="74">
        <v>-2176.0753903198383</v>
      </c>
      <c r="AM61" s="74">
        <v>0</v>
      </c>
      <c r="AN61" s="73"/>
      <c r="AO61" s="72">
        <v>178842.60704449908</v>
      </c>
      <c r="AP61" s="72">
        <v>0</v>
      </c>
      <c r="AQ61" s="73"/>
      <c r="AR61" s="74">
        <v>-123.23487015545393</v>
      </c>
      <c r="AS61" s="74">
        <v>0</v>
      </c>
      <c r="AT61" s="73"/>
      <c r="AU61" s="72">
        <v>38753288.039324254</v>
      </c>
      <c r="AV61" s="72">
        <v>0</v>
      </c>
      <c r="AW61" s="73"/>
      <c r="AX61" s="74">
        <v>-2138.7983492264889</v>
      </c>
      <c r="AY61" s="74">
        <v>0</v>
      </c>
      <c r="AZ61" s="73"/>
      <c r="BA61" s="72">
        <v>95068.66277525475</v>
      </c>
      <c r="BB61" s="72">
        <v>0</v>
      </c>
      <c r="BC61" s="73"/>
      <c r="BD61" s="74">
        <v>-393.28444659534756</v>
      </c>
      <c r="BE61" s="74">
        <v>0</v>
      </c>
      <c r="BF61" s="73"/>
      <c r="BG61" s="72">
        <v>4333868.3119774237</v>
      </c>
      <c r="BH61" s="72">
        <v>0</v>
      </c>
      <c r="BI61" s="73"/>
      <c r="BJ61" s="74">
        <v>-1671.5345943372679</v>
      </c>
      <c r="BK61" s="74">
        <v>0</v>
      </c>
      <c r="BL61" s="73"/>
      <c r="BM61" s="72">
        <v>46011637.535516582</v>
      </c>
      <c r="BN61" s="72">
        <v>0</v>
      </c>
      <c r="BO61" s="73"/>
      <c r="BP61" s="74">
        <v>-6502.9276506343967</v>
      </c>
      <c r="BQ61" s="74">
        <v>0</v>
      </c>
      <c r="BS61" s="109">
        <f t="shared" si="54"/>
        <v>116971.96890543668</v>
      </c>
      <c r="BT61" s="109">
        <f t="shared" si="55"/>
        <v>117403.41289110189</v>
      </c>
      <c r="BV61" s="58">
        <f t="array" ref="BV61">SUM(IF(BS61:BT61&gt;=BS61, 1))</f>
        <v>2</v>
      </c>
      <c r="BW61" s="58">
        <f t="array" ref="BW61">SUM(IF(BS61:BT61&gt;=BT61, 1))</f>
        <v>1</v>
      </c>
      <c r="BY61" s="109">
        <f t="shared" si="56"/>
        <v>133208.78035040663</v>
      </c>
      <c r="BZ61" s="109">
        <f t="shared" si="57"/>
        <v>133584.09842866717</v>
      </c>
      <c r="CB61" s="58">
        <f t="array" ref="CB61">SUM(IF(BY61:BZ61&gt;=BY61, 1))</f>
        <v>2</v>
      </c>
      <c r="CC61" s="58">
        <f t="array" ref="CC61">SUM(IF(BY61:BZ61&gt;=BZ61, 1))</f>
        <v>1</v>
      </c>
      <c r="CE61" s="109">
        <f t="shared" si="58"/>
        <v>92509.266584684709</v>
      </c>
      <c r="CF61" s="109">
        <f t="shared" si="59"/>
        <v>96048.103643073657</v>
      </c>
      <c r="CH61" s="58">
        <f t="array" ref="CH61">SUM(IF(CE61:CF61&gt;=CE61, 1))</f>
        <v>2</v>
      </c>
      <c r="CI61" s="58">
        <f t="array" ref="CI61">SUM(IF(CE61:CF61&gt;=CF61, 1))</f>
        <v>1</v>
      </c>
      <c r="CK61" s="109">
        <f t="shared" si="60"/>
        <v>46789.76761992932</v>
      </c>
      <c r="CL61" s="109">
        <f t="shared" si="61"/>
        <v>47664.829232236385</v>
      </c>
      <c r="CN61" s="58">
        <f t="array" ref="CN61">SUM(IF(CK61:CL61&gt;=CK61, 1))</f>
        <v>2</v>
      </c>
      <c r="CO61" s="58">
        <f t="array" ref="CO61">SUM(IF(CK61:CL61&gt;=CL61, 1))</f>
        <v>1</v>
      </c>
      <c r="CQ61" s="109" cm="1">
        <f t="array" ref="CQ61">AF61*WTP-AC61</f>
        <v>50286.353629149395</v>
      </c>
      <c r="CR61" s="109">
        <f t="shared" si="62"/>
        <v>52651.220664864355</v>
      </c>
      <c r="CT61" s="58">
        <f t="array" ref="CT61">SUM(IF(CQ61:CR61&gt;=CQ61, 1))</f>
        <v>2</v>
      </c>
      <c r="CU61" s="58">
        <f t="array" ref="CU61">SUM(IF(CQ61:CR61&gt;=CR61, 1))</f>
        <v>1</v>
      </c>
      <c r="CW61" s="109">
        <f t="shared" si="63"/>
        <v>-46172077.720791914</v>
      </c>
      <c r="CX61" s="109">
        <f t="shared" si="64"/>
        <v>0</v>
      </c>
      <c r="CZ61" s="58">
        <f t="array" ref="CZ61">SUM(IF(CW61:CX61&gt;=CW61, 1))</f>
        <v>2</v>
      </c>
      <c r="DA61" s="58">
        <f t="array" ref="DA61">SUM(IF(CW61:CX61&gt;=CX61, 1))</f>
        <v>1</v>
      </c>
      <c r="DC61" s="109">
        <f t="shared" si="65"/>
        <v>-2643540.0101535777</v>
      </c>
      <c r="DD61" s="109">
        <f t="shared" si="66"/>
        <v>0</v>
      </c>
      <c r="DF61" s="58">
        <f t="array" ref="DF61">SUM(IF(DC61:DD61&gt;=DC61, 1))</f>
        <v>2</v>
      </c>
      <c r="DG61" s="58">
        <f t="array" ref="DG61">SUM(IF(DC61:DD61&gt;=DD61, 1))</f>
        <v>1</v>
      </c>
      <c r="DI61" s="109">
        <f t="shared" si="67"/>
        <v>-81529255.023854032</v>
      </c>
      <c r="DJ61" s="109">
        <f t="shared" si="68"/>
        <v>0</v>
      </c>
      <c r="DL61" s="58">
        <f t="array" ref="DL61">SUM(IF(DI61:DJ61&gt;=DI61, 1))</f>
        <v>2</v>
      </c>
      <c r="DM61" s="58">
        <f t="array" ref="DM61">SUM(IF(DI61:DJ61&gt;=DJ61, 1))</f>
        <v>1</v>
      </c>
      <c r="DO61" s="109">
        <f t="shared" si="69"/>
        <v>-7960757.5946822064</v>
      </c>
      <c r="DP61" s="109">
        <f t="shared" si="70"/>
        <v>0</v>
      </c>
      <c r="DR61" s="58">
        <f t="array" ref="DR61">SUM(IF(DO61:DP61&gt;=DO61, 1))</f>
        <v>2</v>
      </c>
      <c r="DS61" s="58">
        <f t="array" ref="DS61">SUM(IF(DO61:DP61&gt;=DP61, 1))</f>
        <v>1</v>
      </c>
      <c r="DU61" s="109">
        <f t="shared" si="71"/>
        <v>-37764560.19872278</v>
      </c>
      <c r="DV61" s="109">
        <f t="shared" si="72"/>
        <v>0</v>
      </c>
      <c r="DX61" s="58">
        <f t="array" ref="DX61">SUM(IF(DU61:DV61&gt;=DU61, 1))</f>
        <v>2</v>
      </c>
      <c r="DY61" s="58">
        <f t="array" ref="DY61">SUM(IF(DU61:DV61&gt;=DV61, 1))</f>
        <v>1</v>
      </c>
      <c r="EA61" s="109">
        <f t="shared" si="73"/>
        <v>-176070190.54820451</v>
      </c>
      <c r="EB61" s="109">
        <f t="shared" si="74"/>
        <v>0</v>
      </c>
      <c r="ED61" s="58">
        <f t="array" ref="ED61">SUM(IF(EA61:EB61&gt;=EA61, 1))</f>
        <v>2</v>
      </c>
      <c r="EE61" s="58">
        <f t="array" ref="EE61">SUM(IF(EA61:EB61&gt;=EB61, 1))</f>
        <v>1</v>
      </c>
    </row>
    <row r="62" spans="4:135" ht="12" customHeight="1" x14ac:dyDescent="0.25">
      <c r="D62" s="11">
        <v>46</v>
      </c>
      <c r="E62" s="72">
        <v>227.07626831445103</v>
      </c>
      <c r="F62" s="72">
        <v>202.11840043617127</v>
      </c>
      <c r="G62" s="73"/>
      <c r="H62" s="74">
        <v>5.8015123010750491</v>
      </c>
      <c r="I62" s="74">
        <v>5.8177179017225704</v>
      </c>
      <c r="J62" s="73"/>
      <c r="K62" s="72">
        <v>243.45011569368296</v>
      </c>
      <c r="L62" s="72">
        <v>217.91390624347895</v>
      </c>
      <c r="M62" s="73"/>
      <c r="N62" s="74">
        <v>6.7375664013805636</v>
      </c>
      <c r="O62" s="74">
        <v>6.7517394231110677</v>
      </c>
      <c r="P62" s="73"/>
      <c r="Q62" s="72">
        <v>3122.6245712478344</v>
      </c>
      <c r="R62" s="72">
        <v>1461.6209417721893</v>
      </c>
      <c r="S62" s="73"/>
      <c r="T62" s="74">
        <v>4.7187745002998644</v>
      </c>
      <c r="U62" s="74">
        <v>4.8514602659036257</v>
      </c>
      <c r="V62" s="73"/>
      <c r="W62" s="72">
        <v>8931.8656783595234</v>
      </c>
      <c r="X62" s="72">
        <v>8969.6906931026006</v>
      </c>
      <c r="Y62" s="73"/>
      <c r="Z62" s="74">
        <v>3.0727798237519699</v>
      </c>
      <c r="AA62" s="74">
        <v>3.1296666405687468</v>
      </c>
      <c r="AB62" s="73"/>
      <c r="AC62" s="72">
        <v>48146.821948257631</v>
      </c>
      <c r="AD62" s="72">
        <v>47846.031314741616</v>
      </c>
      <c r="AE62" s="73"/>
      <c r="AF62" s="74">
        <v>4.3730353965033668</v>
      </c>
      <c r="AG62" s="74">
        <v>4.5008944349938327</v>
      </c>
      <c r="AH62" s="73"/>
      <c r="AI62" s="72">
        <v>2677098.6039322237</v>
      </c>
      <c r="AJ62" s="72">
        <v>0</v>
      </c>
      <c r="AK62" s="73"/>
      <c r="AL62" s="74">
        <v>-1738.2891471718415</v>
      </c>
      <c r="AM62" s="74">
        <v>0</v>
      </c>
      <c r="AN62" s="73"/>
      <c r="AO62" s="72">
        <v>184698.848413584</v>
      </c>
      <c r="AP62" s="72">
        <v>0</v>
      </c>
      <c r="AQ62" s="73"/>
      <c r="AR62" s="74">
        <v>-102.51093833129126</v>
      </c>
      <c r="AS62" s="74">
        <v>0</v>
      </c>
      <c r="AT62" s="73"/>
      <c r="AU62" s="72">
        <v>38719136.141719848</v>
      </c>
      <c r="AV62" s="72">
        <v>0</v>
      </c>
      <c r="AW62" s="73"/>
      <c r="AX62" s="74">
        <v>-3092.9963856263139</v>
      </c>
      <c r="AY62" s="74">
        <v>0</v>
      </c>
      <c r="AZ62" s="73"/>
      <c r="BA62" s="72">
        <v>-332847.38944060513</v>
      </c>
      <c r="BB62" s="72">
        <v>0</v>
      </c>
      <c r="BC62" s="73"/>
      <c r="BD62" s="74">
        <v>-500.58482725417974</v>
      </c>
      <c r="BE62" s="74">
        <v>0</v>
      </c>
      <c r="BF62" s="73"/>
      <c r="BG62" s="72">
        <v>4812006.7559077526</v>
      </c>
      <c r="BH62" s="72">
        <v>0</v>
      </c>
      <c r="BI62" s="73"/>
      <c r="BJ62" s="74">
        <v>-2045.4711299620064</v>
      </c>
      <c r="BK62" s="74">
        <v>0</v>
      </c>
      <c r="BL62" s="73"/>
      <c r="BM62" s="72">
        <v>46060092.960532807</v>
      </c>
      <c r="BN62" s="72">
        <v>0</v>
      </c>
      <c r="BO62" s="73"/>
      <c r="BP62" s="74">
        <v>-7479.8524283456327</v>
      </c>
      <c r="BQ62" s="74">
        <v>0</v>
      </c>
      <c r="BS62" s="109">
        <f t="shared" si="54"/>
        <v>115803.16975318652</v>
      </c>
      <c r="BT62" s="109">
        <f t="shared" si="55"/>
        <v>116152.23963401523</v>
      </c>
      <c r="BV62" s="58">
        <f t="array" ref="BV62">SUM(IF(BS62:BT62&gt;=BS62, 1))</f>
        <v>2</v>
      </c>
      <c r="BW62" s="58">
        <f t="array" ref="BW62">SUM(IF(BS62:BT62&gt;=BT62, 1))</f>
        <v>1</v>
      </c>
      <c r="BY62" s="109">
        <f t="shared" si="56"/>
        <v>134507.8779119176</v>
      </c>
      <c r="BZ62" s="109">
        <f t="shared" si="57"/>
        <v>134816.87455597788</v>
      </c>
      <c r="CB62" s="58">
        <f t="array" ref="CB62">SUM(IF(BY62:BZ62&gt;=BY62, 1))</f>
        <v>2</v>
      </c>
      <c r="CC62" s="58">
        <f t="array" ref="CC62">SUM(IF(BY62:BZ62&gt;=BZ62, 1))</f>
        <v>1</v>
      </c>
      <c r="CE62" s="109">
        <f t="shared" si="58"/>
        <v>91252.865434749445</v>
      </c>
      <c r="CF62" s="109">
        <f t="shared" si="59"/>
        <v>95567.584376300336</v>
      </c>
      <c r="CH62" s="58">
        <f t="array" ref="CH62">SUM(IF(CE62:CF62&gt;=CE62, 1))</f>
        <v>2</v>
      </c>
      <c r="CI62" s="58">
        <f t="array" ref="CI62">SUM(IF(CE62:CF62&gt;=CF62, 1))</f>
        <v>1</v>
      </c>
      <c r="CK62" s="109">
        <f t="shared" si="60"/>
        <v>52523.730796679876</v>
      </c>
      <c r="CL62" s="109">
        <f t="shared" si="61"/>
        <v>53623.642118272335</v>
      </c>
      <c r="CN62" s="58">
        <f t="array" ref="CN62">SUM(IF(CK62:CL62&gt;=CK62, 1))</f>
        <v>2</v>
      </c>
      <c r="CO62" s="58">
        <f t="array" ref="CO62">SUM(IF(CK62:CL62&gt;=CL62, 1))</f>
        <v>1</v>
      </c>
      <c r="CQ62" s="109" cm="1">
        <f t="array" ref="CQ62">AF62*WTP-AC62</f>
        <v>39313.885981809704</v>
      </c>
      <c r="CR62" s="109">
        <f t="shared" si="62"/>
        <v>42171.857385135037</v>
      </c>
      <c r="CT62" s="58">
        <f t="array" ref="CT62">SUM(IF(CQ62:CR62&gt;=CQ62, 1))</f>
        <v>2</v>
      </c>
      <c r="CU62" s="58">
        <f t="array" ref="CU62">SUM(IF(CQ62:CR62&gt;=CR62, 1))</f>
        <v>1</v>
      </c>
      <c r="CW62" s="109">
        <f t="shared" si="63"/>
        <v>-37442881.547369055</v>
      </c>
      <c r="CX62" s="109">
        <f t="shared" si="64"/>
        <v>0</v>
      </c>
      <c r="CZ62" s="58">
        <f t="array" ref="CZ62">SUM(IF(CW62:CX62&gt;=CW62, 1))</f>
        <v>2</v>
      </c>
      <c r="DA62" s="58">
        <f t="array" ref="DA62">SUM(IF(CW62:CX62&gt;=CX62, 1))</f>
        <v>1</v>
      </c>
      <c r="DC62" s="109">
        <f t="shared" si="65"/>
        <v>-2234917.6150394091</v>
      </c>
      <c r="DD62" s="109">
        <f t="shared" si="66"/>
        <v>0</v>
      </c>
      <c r="DF62" s="58">
        <f t="array" ref="DF62">SUM(IF(DC62:DD62&gt;=DC62, 1))</f>
        <v>2</v>
      </c>
      <c r="DG62" s="58">
        <f t="array" ref="DG62">SUM(IF(DC62:DD62&gt;=DD62, 1))</f>
        <v>1</v>
      </c>
      <c r="DI62" s="109">
        <f t="shared" si="67"/>
        <v>-100579063.85424612</v>
      </c>
      <c r="DJ62" s="109">
        <f t="shared" si="68"/>
        <v>0</v>
      </c>
      <c r="DL62" s="58">
        <f t="array" ref="DL62">SUM(IF(DI62:DJ62&gt;=DI62, 1))</f>
        <v>2</v>
      </c>
      <c r="DM62" s="58">
        <f t="array" ref="DM62">SUM(IF(DI62:DJ62&gt;=DJ62, 1))</f>
        <v>1</v>
      </c>
      <c r="DO62" s="109">
        <f t="shared" si="69"/>
        <v>-9678849.15564299</v>
      </c>
      <c r="DP62" s="109">
        <f t="shared" si="70"/>
        <v>0</v>
      </c>
      <c r="DR62" s="58">
        <f t="array" ref="DR62">SUM(IF(DO62:DP62&gt;=DO62, 1))</f>
        <v>2</v>
      </c>
      <c r="DS62" s="58">
        <f t="array" ref="DS62">SUM(IF(DO62:DP62&gt;=DP62, 1))</f>
        <v>1</v>
      </c>
      <c r="DU62" s="109">
        <f t="shared" si="71"/>
        <v>-45721429.355147883</v>
      </c>
      <c r="DV62" s="109">
        <f t="shared" si="72"/>
        <v>0</v>
      </c>
      <c r="DX62" s="58">
        <f t="array" ref="DX62">SUM(IF(DU62:DV62&gt;=DU62, 1))</f>
        <v>2</v>
      </c>
      <c r="DY62" s="58">
        <f t="array" ref="DY62">SUM(IF(DU62:DV62&gt;=DV62, 1))</f>
        <v>1</v>
      </c>
      <c r="EA62" s="109">
        <f t="shared" si="73"/>
        <v>-195657141.52744547</v>
      </c>
      <c r="EB62" s="109">
        <f t="shared" si="74"/>
        <v>0</v>
      </c>
      <c r="ED62" s="58">
        <f t="array" ref="ED62">SUM(IF(EA62:EB62&gt;=EA62, 1))</f>
        <v>2</v>
      </c>
      <c r="EE62" s="58">
        <f t="array" ref="EE62">SUM(IF(EA62:EB62&gt;=EB62, 1))</f>
        <v>1</v>
      </c>
    </row>
    <row r="63" spans="4:135" ht="12" customHeight="1" x14ac:dyDescent="0.25">
      <c r="D63" s="11">
        <v>47</v>
      </c>
      <c r="E63" s="72">
        <v>301.77911069449016</v>
      </c>
      <c r="F63" s="72">
        <v>277.80292943788993</v>
      </c>
      <c r="G63" s="73"/>
      <c r="H63" s="74">
        <v>5.7451877962153892</v>
      </c>
      <c r="I63" s="74">
        <v>5.7637128151622479</v>
      </c>
      <c r="J63" s="73"/>
      <c r="K63" s="72">
        <v>324.30879360939457</v>
      </c>
      <c r="L63" s="72">
        <v>299.70234264117977</v>
      </c>
      <c r="M63" s="73"/>
      <c r="N63" s="74">
        <v>6.772682122746704</v>
      </c>
      <c r="O63" s="74">
        <v>6.788011474151511</v>
      </c>
      <c r="P63" s="73"/>
      <c r="Q63" s="72">
        <v>2930.2959385851491</v>
      </c>
      <c r="R63" s="72">
        <v>1165.4515273018724</v>
      </c>
      <c r="S63" s="73"/>
      <c r="T63" s="74">
        <v>4.6940170944028496</v>
      </c>
      <c r="U63" s="74">
        <v>4.9025070440750236</v>
      </c>
      <c r="V63" s="73"/>
      <c r="W63" s="72">
        <v>11621.613678897107</v>
      </c>
      <c r="X63" s="72">
        <v>11587.888277268927</v>
      </c>
      <c r="Y63" s="73"/>
      <c r="Z63" s="74">
        <v>2.9456935110283515</v>
      </c>
      <c r="AA63" s="74">
        <v>2.9953714897796582</v>
      </c>
      <c r="AB63" s="73"/>
      <c r="AC63" s="72">
        <v>50381.251359797425</v>
      </c>
      <c r="AD63" s="72">
        <v>50317.520835789379</v>
      </c>
      <c r="AE63" s="73"/>
      <c r="AF63" s="74">
        <v>3.9329146443177456</v>
      </c>
      <c r="AG63" s="74">
        <v>4.0288864498671009</v>
      </c>
      <c r="AH63" s="73"/>
      <c r="AI63" s="72">
        <v>2632447.299675378</v>
      </c>
      <c r="AJ63" s="72">
        <v>0</v>
      </c>
      <c r="AK63" s="73"/>
      <c r="AL63" s="74">
        <v>-2033.9409174957248</v>
      </c>
      <c r="AM63" s="74">
        <v>0</v>
      </c>
      <c r="AN63" s="73"/>
      <c r="AO63" s="72">
        <v>171644.79583051711</v>
      </c>
      <c r="AP63" s="72">
        <v>0</v>
      </c>
      <c r="AQ63" s="73"/>
      <c r="AR63" s="74">
        <v>-106.93144637116413</v>
      </c>
      <c r="AS63" s="74">
        <v>0</v>
      </c>
      <c r="AT63" s="73"/>
      <c r="AU63" s="72">
        <v>41075005.399140656</v>
      </c>
      <c r="AV63" s="72">
        <v>0</v>
      </c>
      <c r="AW63" s="73"/>
      <c r="AX63" s="74">
        <v>-4852.3970462779434</v>
      </c>
      <c r="AY63" s="74">
        <v>0</v>
      </c>
      <c r="AZ63" s="73"/>
      <c r="BA63" s="72">
        <v>304582.94860595051</v>
      </c>
      <c r="BB63" s="72">
        <v>0</v>
      </c>
      <c r="BC63" s="73"/>
      <c r="BD63" s="74">
        <v>-448.6548571215074</v>
      </c>
      <c r="BE63" s="74">
        <v>0</v>
      </c>
      <c r="BF63" s="73"/>
      <c r="BG63" s="72">
        <v>1012689.0141023729</v>
      </c>
      <c r="BH63" s="72">
        <v>0</v>
      </c>
      <c r="BI63" s="73"/>
      <c r="BJ63" s="74">
        <v>-1525.0085364295944</v>
      </c>
      <c r="BK63" s="74">
        <v>0</v>
      </c>
      <c r="BL63" s="73"/>
      <c r="BM63" s="72">
        <v>45196369.457354866</v>
      </c>
      <c r="BN63" s="72">
        <v>0</v>
      </c>
      <c r="BO63" s="73"/>
      <c r="BP63" s="74">
        <v>-8966.9328036959341</v>
      </c>
      <c r="BQ63" s="74">
        <v>0</v>
      </c>
      <c r="BS63" s="109">
        <f t="shared" si="54"/>
        <v>114601.97681361329</v>
      </c>
      <c r="BT63" s="109">
        <f t="shared" si="55"/>
        <v>114996.45337380706</v>
      </c>
      <c r="BV63" s="58">
        <f t="array" ref="BV63">SUM(IF(BS63:BT63&gt;=BS63, 1))</f>
        <v>2</v>
      </c>
      <c r="BW63" s="58">
        <f t="array" ref="BW63">SUM(IF(BS63:BT63&gt;=BT63, 1))</f>
        <v>1</v>
      </c>
      <c r="BY63" s="109">
        <f t="shared" si="56"/>
        <v>135129.33366132466</v>
      </c>
      <c r="BZ63" s="109">
        <f t="shared" si="57"/>
        <v>135460.52714038902</v>
      </c>
      <c r="CB63" s="58">
        <f t="array" ref="CB63">SUM(IF(BY63:BZ63&gt;=BY63, 1))</f>
        <v>2</v>
      </c>
      <c r="CC63" s="58">
        <f t="array" ref="CC63">SUM(IF(BY63:BZ63&gt;=BZ63, 1))</f>
        <v>1</v>
      </c>
      <c r="CE63" s="109">
        <f t="shared" si="58"/>
        <v>90950.045949471853</v>
      </c>
      <c r="CF63" s="109">
        <f t="shared" si="59"/>
        <v>96884.689354198592</v>
      </c>
      <c r="CH63" s="58">
        <f t="array" ref="CH63">SUM(IF(CE63:CF63&gt;=CE63, 1))</f>
        <v>2</v>
      </c>
      <c r="CI63" s="58">
        <f t="array" ref="CI63">SUM(IF(CE63:CF63&gt;=CF63, 1))</f>
        <v>1</v>
      </c>
      <c r="CK63" s="109">
        <f t="shared" si="60"/>
        <v>47292.256541669922</v>
      </c>
      <c r="CL63" s="109">
        <f t="shared" si="61"/>
        <v>48319.541518324237</v>
      </c>
      <c r="CN63" s="58">
        <f t="array" ref="CN63">SUM(IF(CK63:CL63&gt;=CK63, 1))</f>
        <v>2</v>
      </c>
      <c r="CO63" s="58">
        <f t="array" ref="CO63">SUM(IF(CK63:CL63&gt;=CL63, 1))</f>
        <v>1</v>
      </c>
      <c r="CQ63" s="109" cm="1">
        <f t="array" ref="CQ63">AF63*WTP-AC63</f>
        <v>28277.041526557492</v>
      </c>
      <c r="CR63" s="109">
        <f t="shared" si="62"/>
        <v>30260.208161552633</v>
      </c>
      <c r="CT63" s="58">
        <f t="array" ref="CT63">SUM(IF(CQ63:CR63&gt;=CQ63, 1))</f>
        <v>2</v>
      </c>
      <c r="CU63" s="58">
        <f t="array" ref="CU63">SUM(IF(CQ63:CR63&gt;=CR63, 1))</f>
        <v>1</v>
      </c>
      <c r="CW63" s="109">
        <f t="shared" si="63"/>
        <v>-43311265.649589874</v>
      </c>
      <c r="CX63" s="109">
        <f t="shared" si="64"/>
        <v>0</v>
      </c>
      <c r="CZ63" s="58">
        <f t="array" ref="CZ63">SUM(IF(CW63:CX63&gt;=CW63, 1))</f>
        <v>2</v>
      </c>
      <c r="DA63" s="58">
        <f t="array" ref="DA63">SUM(IF(CW63:CX63&gt;=CX63, 1))</f>
        <v>1</v>
      </c>
      <c r="DC63" s="109">
        <f t="shared" si="65"/>
        <v>-2310273.7232537996</v>
      </c>
      <c r="DD63" s="109">
        <f t="shared" si="66"/>
        <v>0</v>
      </c>
      <c r="DF63" s="58">
        <f t="array" ref="DF63">SUM(IF(DC63:DD63&gt;=DC63, 1))</f>
        <v>2</v>
      </c>
      <c r="DG63" s="58">
        <f t="array" ref="DG63">SUM(IF(DC63:DD63&gt;=DD63, 1))</f>
        <v>1</v>
      </c>
      <c r="DI63" s="109">
        <f t="shared" si="67"/>
        <v>-138122946.32469952</v>
      </c>
      <c r="DJ63" s="109">
        <f t="shared" si="68"/>
        <v>0</v>
      </c>
      <c r="DL63" s="58">
        <f t="array" ref="DL63">SUM(IF(DI63:DJ63&gt;=DI63, 1))</f>
        <v>2</v>
      </c>
      <c r="DM63" s="58">
        <f t="array" ref="DM63">SUM(IF(DI63:DJ63&gt;=DJ63, 1))</f>
        <v>1</v>
      </c>
      <c r="DO63" s="109">
        <f t="shared" si="69"/>
        <v>-9277680.0910360999</v>
      </c>
      <c r="DP63" s="109">
        <f t="shared" si="70"/>
        <v>0</v>
      </c>
      <c r="DR63" s="58">
        <f t="array" ref="DR63">SUM(IF(DO63:DP63&gt;=DO63, 1))</f>
        <v>2</v>
      </c>
      <c r="DS63" s="58">
        <f t="array" ref="DS63">SUM(IF(DO63:DP63&gt;=DP63, 1))</f>
        <v>1</v>
      </c>
      <c r="DU63" s="109">
        <f t="shared" si="71"/>
        <v>-31512859.742694262</v>
      </c>
      <c r="DV63" s="109">
        <f t="shared" si="72"/>
        <v>0</v>
      </c>
      <c r="DX63" s="58">
        <f t="array" ref="DX63">SUM(IF(DU63:DV63&gt;=DU63, 1))</f>
        <v>2</v>
      </c>
      <c r="DY63" s="58">
        <f t="array" ref="DY63">SUM(IF(DU63:DV63&gt;=DV63, 1))</f>
        <v>1</v>
      </c>
      <c r="EA63" s="109">
        <f t="shared" si="73"/>
        <v>-224535025.53127354</v>
      </c>
      <c r="EB63" s="109">
        <f t="shared" si="74"/>
        <v>0</v>
      </c>
      <c r="ED63" s="58">
        <f t="array" ref="ED63">SUM(IF(EA63:EB63&gt;=EA63, 1))</f>
        <v>2</v>
      </c>
      <c r="EE63" s="58">
        <f t="array" ref="EE63">SUM(IF(EA63:EB63&gt;=EB63, 1))</f>
        <v>1</v>
      </c>
    </row>
    <row r="64" spans="4:135" ht="12" customHeight="1" x14ac:dyDescent="0.25">
      <c r="D64" s="11">
        <v>48</v>
      </c>
      <c r="E64" s="72">
        <v>268.2137123526216</v>
      </c>
      <c r="F64" s="72">
        <v>252.02370085413281</v>
      </c>
      <c r="G64" s="73"/>
      <c r="H64" s="74">
        <v>5.8152202826256607</v>
      </c>
      <c r="I64" s="74">
        <v>5.8343465634926988</v>
      </c>
      <c r="J64" s="73"/>
      <c r="K64" s="72">
        <v>288.3611163441613</v>
      </c>
      <c r="L64" s="72">
        <v>271.77230955258705</v>
      </c>
      <c r="M64" s="73"/>
      <c r="N64" s="74">
        <v>6.7275276068377812</v>
      </c>
      <c r="O64" s="74">
        <v>6.7446690976252572</v>
      </c>
      <c r="P64" s="73"/>
      <c r="Q64" s="72">
        <v>2201.7267236535081</v>
      </c>
      <c r="R64" s="72">
        <v>1443.136201411877</v>
      </c>
      <c r="S64" s="73"/>
      <c r="T64" s="74">
        <v>4.8781148556393523</v>
      </c>
      <c r="U64" s="74">
        <v>4.9605213109864534</v>
      </c>
      <c r="V64" s="73"/>
      <c r="W64" s="72">
        <v>12261.310960576397</v>
      </c>
      <c r="X64" s="72">
        <v>12289.700599649845</v>
      </c>
      <c r="Y64" s="73"/>
      <c r="Z64" s="74">
        <v>2.8902742954645602</v>
      </c>
      <c r="AA64" s="74">
        <v>2.9674709818087379</v>
      </c>
      <c r="AB64" s="73"/>
      <c r="AC64" s="72">
        <v>49659.066825229726</v>
      </c>
      <c r="AD64" s="72">
        <v>49390.264976887964</v>
      </c>
      <c r="AE64" s="73"/>
      <c r="AF64" s="74">
        <v>4.2892876698446347</v>
      </c>
      <c r="AG64" s="74">
        <v>4.3647111094086952</v>
      </c>
      <c r="AH64" s="73"/>
      <c r="AI64" s="72">
        <v>1724981.9822274742</v>
      </c>
      <c r="AJ64" s="72">
        <v>0</v>
      </c>
      <c r="AK64" s="73"/>
      <c r="AL64" s="74">
        <v>-2037.8299228349715</v>
      </c>
      <c r="AM64" s="74">
        <v>0</v>
      </c>
      <c r="AN64" s="73"/>
      <c r="AO64" s="72">
        <v>115008.63926996499</v>
      </c>
      <c r="AP64" s="72">
        <v>0</v>
      </c>
      <c r="AQ64" s="73"/>
      <c r="AR64" s="74">
        <v>-118.84034549896506</v>
      </c>
      <c r="AS64" s="74">
        <v>0</v>
      </c>
      <c r="AT64" s="73"/>
      <c r="AU64" s="72">
        <v>17651564.437143374</v>
      </c>
      <c r="AV64" s="72">
        <v>0</v>
      </c>
      <c r="AW64" s="73"/>
      <c r="AX64" s="74">
        <v>-1917.5072900958337</v>
      </c>
      <c r="AY64" s="74">
        <v>0</v>
      </c>
      <c r="AZ64" s="73"/>
      <c r="BA64" s="72">
        <v>-248441.76247089455</v>
      </c>
      <c r="BB64" s="72">
        <v>0</v>
      </c>
      <c r="BC64" s="73"/>
      <c r="BD64" s="74">
        <v>-675.55916306797189</v>
      </c>
      <c r="BE64" s="74">
        <v>0</v>
      </c>
      <c r="BF64" s="73"/>
      <c r="BG64" s="72">
        <v>4306509.7549957754</v>
      </c>
      <c r="BH64" s="72">
        <v>0</v>
      </c>
      <c r="BI64" s="73"/>
      <c r="BJ64" s="74">
        <v>-1208.3688421107379</v>
      </c>
      <c r="BK64" s="74">
        <v>0</v>
      </c>
      <c r="BL64" s="73"/>
      <c r="BM64" s="72">
        <v>23549623.051165696</v>
      </c>
      <c r="BN64" s="72">
        <v>0</v>
      </c>
      <c r="BO64" s="73"/>
      <c r="BP64" s="74">
        <v>-5958.1055636084802</v>
      </c>
      <c r="BQ64" s="74">
        <v>0</v>
      </c>
      <c r="BS64" s="109">
        <f t="shared" si="54"/>
        <v>116036.1919401606</v>
      </c>
      <c r="BT64" s="109">
        <f t="shared" si="55"/>
        <v>116434.90756899984</v>
      </c>
      <c r="BV64" s="58">
        <f t="array" ref="BV64">SUM(IF(BS64:BT64&gt;=BS64, 1))</f>
        <v>2</v>
      </c>
      <c r="BW64" s="58">
        <f t="array" ref="BW64">SUM(IF(BS64:BT64&gt;=BT64, 1))</f>
        <v>1</v>
      </c>
      <c r="BY64" s="109">
        <f t="shared" si="56"/>
        <v>134262.19102041147</v>
      </c>
      <c r="BZ64" s="109">
        <f t="shared" si="57"/>
        <v>134621.60964295256</v>
      </c>
      <c r="CB64" s="58">
        <f t="array" ref="CB64">SUM(IF(BY64:BZ64&gt;=BY64, 1))</f>
        <v>2</v>
      </c>
      <c r="CC64" s="58">
        <f t="array" ref="CC64">SUM(IF(BY64:BZ64&gt;=BZ64, 1))</f>
        <v>1</v>
      </c>
      <c r="CE64" s="109">
        <f t="shared" si="58"/>
        <v>95360.570389133529</v>
      </c>
      <c r="CF64" s="109">
        <f t="shared" si="59"/>
        <v>97767.290018317188</v>
      </c>
      <c r="CH64" s="58">
        <f t="array" ref="CH64">SUM(IF(CE64:CF64&gt;=CE64, 1))</f>
        <v>2</v>
      </c>
      <c r="CI64" s="58">
        <f t="array" ref="CI64">SUM(IF(CE64:CF64&gt;=CF64, 1))</f>
        <v>1</v>
      </c>
      <c r="CK64" s="109">
        <f t="shared" si="60"/>
        <v>45544.174948714804</v>
      </c>
      <c r="CL64" s="109">
        <f t="shared" si="61"/>
        <v>47059.719036524912</v>
      </c>
      <c r="CN64" s="58">
        <f t="array" ref="CN64">SUM(IF(CK64:CL64&gt;=CK64, 1))</f>
        <v>2</v>
      </c>
      <c r="CO64" s="58">
        <f t="array" ref="CO64">SUM(IF(CK64:CL64&gt;=CL64, 1))</f>
        <v>1</v>
      </c>
      <c r="CQ64" s="109" cm="1">
        <f t="array" ref="CQ64">AF64*WTP-AC64</f>
        <v>36126.686571662962</v>
      </c>
      <c r="CR64" s="109">
        <f t="shared" si="62"/>
        <v>37903.957211285946</v>
      </c>
      <c r="CT64" s="58">
        <f t="array" ref="CT64">SUM(IF(CQ64:CR64&gt;=CQ64, 1))</f>
        <v>2</v>
      </c>
      <c r="CU64" s="58">
        <f t="array" ref="CU64">SUM(IF(CQ64:CR64&gt;=CR64, 1))</f>
        <v>1</v>
      </c>
      <c r="CW64" s="109">
        <f t="shared" si="63"/>
        <v>-42481580.438926905</v>
      </c>
      <c r="CX64" s="109">
        <f t="shared" si="64"/>
        <v>0</v>
      </c>
      <c r="CZ64" s="58">
        <f t="array" ref="CZ64">SUM(IF(CW64:CX64&gt;=CW64, 1))</f>
        <v>2</v>
      </c>
      <c r="DA64" s="58">
        <f t="array" ref="DA64">SUM(IF(CW64:CX64&gt;=CX64, 1))</f>
        <v>1</v>
      </c>
      <c r="DC64" s="109">
        <f t="shared" si="65"/>
        <v>-2491815.5492492663</v>
      </c>
      <c r="DD64" s="109">
        <f t="shared" si="66"/>
        <v>0</v>
      </c>
      <c r="DF64" s="58">
        <f t="array" ref="DF64">SUM(IF(DC64:DD64&gt;=DC64, 1))</f>
        <v>2</v>
      </c>
      <c r="DG64" s="58">
        <f t="array" ref="DG64">SUM(IF(DC64:DD64&gt;=DD64, 1))</f>
        <v>1</v>
      </c>
      <c r="DI64" s="109">
        <f t="shared" si="67"/>
        <v>-56001710.239060044</v>
      </c>
      <c r="DJ64" s="109">
        <f t="shared" si="68"/>
        <v>0</v>
      </c>
      <c r="DL64" s="58">
        <f t="array" ref="DL64">SUM(IF(DI64:DJ64&gt;=DI64, 1))</f>
        <v>2</v>
      </c>
      <c r="DM64" s="58">
        <f t="array" ref="DM64">SUM(IF(DI64:DJ64&gt;=DJ64, 1))</f>
        <v>1</v>
      </c>
      <c r="DO64" s="109">
        <f t="shared" si="69"/>
        <v>-13262741.498888543</v>
      </c>
      <c r="DP64" s="109">
        <f t="shared" si="70"/>
        <v>0</v>
      </c>
      <c r="DR64" s="58">
        <f t="array" ref="DR64">SUM(IF(DO64:DP64&gt;=DO64, 1))</f>
        <v>2</v>
      </c>
      <c r="DS64" s="58">
        <f t="array" ref="DS64">SUM(IF(DO64:DP64&gt;=DP64, 1))</f>
        <v>1</v>
      </c>
      <c r="DU64" s="109">
        <f t="shared" si="71"/>
        <v>-28473886.597210534</v>
      </c>
      <c r="DV64" s="109">
        <f t="shared" si="72"/>
        <v>0</v>
      </c>
      <c r="DX64" s="58">
        <f t="array" ref="DX64">SUM(IF(DU64:DV64&gt;=DU64, 1))</f>
        <v>2</v>
      </c>
      <c r="DY64" s="58">
        <f t="array" ref="DY64">SUM(IF(DU64:DV64&gt;=DV64, 1))</f>
        <v>1</v>
      </c>
      <c r="EA64" s="109">
        <f t="shared" si="73"/>
        <v>-142711734.32333529</v>
      </c>
      <c r="EB64" s="109">
        <f t="shared" si="74"/>
        <v>0</v>
      </c>
      <c r="ED64" s="58">
        <f t="array" ref="ED64">SUM(IF(EA64:EB64&gt;=EA64, 1))</f>
        <v>2</v>
      </c>
      <c r="EE64" s="58">
        <f t="array" ref="EE64">SUM(IF(EA64:EB64&gt;=EB64, 1))</f>
        <v>1</v>
      </c>
    </row>
    <row r="65" spans="4:135" ht="12" customHeight="1" x14ac:dyDescent="0.25">
      <c r="D65" s="11">
        <v>49</v>
      </c>
      <c r="E65" s="72">
        <v>270.52586138102106</v>
      </c>
      <c r="F65" s="72">
        <v>263.09768640820033</v>
      </c>
      <c r="G65" s="73"/>
      <c r="H65" s="74">
        <v>5.903983505228954</v>
      </c>
      <c r="I65" s="74">
        <v>5.9191198671849534</v>
      </c>
      <c r="J65" s="73"/>
      <c r="K65" s="72">
        <v>291.48942027225701</v>
      </c>
      <c r="L65" s="72">
        <v>283.84390606210337</v>
      </c>
      <c r="M65" s="73"/>
      <c r="N65" s="74">
        <v>6.7298724662677332</v>
      </c>
      <c r="O65" s="74">
        <v>6.7427106476458594</v>
      </c>
      <c r="P65" s="73"/>
      <c r="Q65" s="72">
        <v>1878.8123899664192</v>
      </c>
      <c r="R65" s="72">
        <v>1347.907740718184</v>
      </c>
      <c r="S65" s="73"/>
      <c r="T65" s="74">
        <v>4.8030325592006209</v>
      </c>
      <c r="U65" s="74">
        <v>4.8756172319119395</v>
      </c>
      <c r="V65" s="73"/>
      <c r="W65" s="72">
        <v>12030.037843721904</v>
      </c>
      <c r="X65" s="72">
        <v>11966.545521182639</v>
      </c>
      <c r="Y65" s="73"/>
      <c r="Z65" s="74">
        <v>2.9622727517072329</v>
      </c>
      <c r="AA65" s="74">
        <v>3.0046587196651173</v>
      </c>
      <c r="AB65" s="73"/>
      <c r="AC65" s="72">
        <v>49100.161665736028</v>
      </c>
      <c r="AD65" s="72">
        <v>49172.346324124788</v>
      </c>
      <c r="AE65" s="73"/>
      <c r="AF65" s="74">
        <v>5.0193009861687123</v>
      </c>
      <c r="AG65" s="74">
        <v>5.0997827773404971</v>
      </c>
      <c r="AH65" s="73"/>
      <c r="AI65" s="72">
        <v>801611.32052730001</v>
      </c>
      <c r="AJ65" s="72">
        <v>0</v>
      </c>
      <c r="AK65" s="73"/>
      <c r="AL65" s="74">
        <v>-1633.4401303043621</v>
      </c>
      <c r="AM65" s="74">
        <v>0</v>
      </c>
      <c r="AN65" s="73"/>
      <c r="AO65" s="72">
        <v>51147.590665643329</v>
      </c>
      <c r="AP65" s="72">
        <v>0</v>
      </c>
      <c r="AQ65" s="73"/>
      <c r="AR65" s="74">
        <v>-85.885923166244254</v>
      </c>
      <c r="AS65" s="74">
        <v>0</v>
      </c>
      <c r="AT65" s="73"/>
      <c r="AU65" s="72">
        <v>12319982.312040916</v>
      </c>
      <c r="AV65" s="72">
        <v>0</v>
      </c>
      <c r="AW65" s="73"/>
      <c r="AX65" s="74">
        <v>-1684.3738045899152</v>
      </c>
      <c r="AY65" s="74">
        <v>0</v>
      </c>
      <c r="AZ65" s="73"/>
      <c r="BA65" s="72">
        <v>540151.92272340762</v>
      </c>
      <c r="BB65" s="72">
        <v>0</v>
      </c>
      <c r="BC65" s="73"/>
      <c r="BD65" s="74">
        <v>-360.59260668540458</v>
      </c>
      <c r="BE65" s="74">
        <v>0</v>
      </c>
      <c r="BF65" s="73"/>
      <c r="BG65" s="72">
        <v>-1158977.1191471461</v>
      </c>
      <c r="BH65" s="72">
        <v>0</v>
      </c>
      <c r="BI65" s="73"/>
      <c r="BJ65" s="74">
        <v>-1292.1936123008875</v>
      </c>
      <c r="BK65" s="74">
        <v>0</v>
      </c>
      <c r="BL65" s="73"/>
      <c r="BM65" s="72">
        <v>12553916.026810121</v>
      </c>
      <c r="BN65" s="72">
        <v>0</v>
      </c>
      <c r="BO65" s="73"/>
      <c r="BP65" s="74">
        <v>-5056.4860770468131</v>
      </c>
      <c r="BQ65" s="74">
        <v>0</v>
      </c>
      <c r="BS65" s="109">
        <f t="shared" si="54"/>
        <v>117809.14424319807</v>
      </c>
      <c r="BT65" s="109">
        <f t="shared" si="55"/>
        <v>118119.29965729086</v>
      </c>
      <c r="BV65" s="58">
        <f t="array" ref="BV65">SUM(IF(BS65:BT65&gt;=BS65, 1))</f>
        <v>2</v>
      </c>
      <c r="BW65" s="58">
        <f t="array" ref="BW65">SUM(IF(BS65:BT65&gt;=BT65, 1))</f>
        <v>1</v>
      </c>
      <c r="BY65" s="109">
        <f t="shared" si="56"/>
        <v>134305.95990508239</v>
      </c>
      <c r="BZ65" s="109">
        <f t="shared" si="57"/>
        <v>134570.36904685508</v>
      </c>
      <c r="CB65" s="58">
        <f t="array" ref="CB65">SUM(IF(BY65:BZ65&gt;=BY65, 1))</f>
        <v>2</v>
      </c>
      <c r="CC65" s="58">
        <f t="array" ref="CC65">SUM(IF(BY65:BZ65&gt;=BZ65, 1))</f>
        <v>1</v>
      </c>
      <c r="CE65" s="109">
        <f t="shared" si="58"/>
        <v>94181.838794045994</v>
      </c>
      <c r="CF65" s="109">
        <f t="shared" si="59"/>
        <v>96164.436897520602</v>
      </c>
      <c r="CH65" s="58">
        <f t="array" ref="CH65">SUM(IF(CE65:CF65&gt;=CE65, 1))</f>
        <v>2</v>
      </c>
      <c r="CI65" s="58">
        <f t="array" ref="CI65">SUM(IF(CE65:CF65&gt;=CF65, 1))</f>
        <v>1</v>
      </c>
      <c r="CK65" s="109">
        <f t="shared" si="60"/>
        <v>47215.417190422755</v>
      </c>
      <c r="CL65" s="109">
        <f t="shared" si="61"/>
        <v>48126.628872119705</v>
      </c>
      <c r="CN65" s="58">
        <f t="array" ref="CN65">SUM(IF(CK65:CL65&gt;=CK65, 1))</f>
        <v>2</v>
      </c>
      <c r="CO65" s="58">
        <f t="array" ref="CO65">SUM(IF(CK65:CL65&gt;=CL65, 1))</f>
        <v>1</v>
      </c>
      <c r="CQ65" s="109" cm="1">
        <f t="array" ref="CQ65">AF65*WTP-AC65</f>
        <v>51285.858057638223</v>
      </c>
      <c r="CR65" s="109">
        <f t="shared" si="62"/>
        <v>52823.309222685151</v>
      </c>
      <c r="CT65" s="58">
        <f t="array" ref="CT65">SUM(IF(CQ65:CR65&gt;=CQ65, 1))</f>
        <v>2</v>
      </c>
      <c r="CU65" s="58">
        <f t="array" ref="CU65">SUM(IF(CQ65:CR65&gt;=CR65, 1))</f>
        <v>1</v>
      </c>
      <c r="CW65" s="109">
        <f t="shared" si="63"/>
        <v>-33470413.926614542</v>
      </c>
      <c r="CX65" s="109">
        <f t="shared" si="64"/>
        <v>0</v>
      </c>
      <c r="CZ65" s="58">
        <f t="array" ref="CZ65">SUM(IF(CW65:CX65&gt;=CW65, 1))</f>
        <v>2</v>
      </c>
      <c r="DA65" s="58">
        <f t="array" ref="DA65">SUM(IF(CW65:CX65&gt;=CX65, 1))</f>
        <v>1</v>
      </c>
      <c r="DC65" s="109">
        <f t="shared" si="65"/>
        <v>-1768866.0539905285</v>
      </c>
      <c r="DD65" s="109">
        <f t="shared" si="66"/>
        <v>0</v>
      </c>
      <c r="DF65" s="58">
        <f t="array" ref="DF65">SUM(IF(DC65:DD65&gt;=DC65, 1))</f>
        <v>2</v>
      </c>
      <c r="DG65" s="58">
        <f t="array" ref="DG65">SUM(IF(DC65:DD65&gt;=DD65, 1))</f>
        <v>1</v>
      </c>
      <c r="DI65" s="109">
        <f t="shared" si="67"/>
        <v>-46007458.403839223</v>
      </c>
      <c r="DJ65" s="109">
        <f t="shared" si="68"/>
        <v>0</v>
      </c>
      <c r="DL65" s="58">
        <f t="array" ref="DL65">SUM(IF(DI65:DJ65&gt;=DI65, 1))</f>
        <v>2</v>
      </c>
      <c r="DM65" s="58">
        <f t="array" ref="DM65">SUM(IF(DI65:DJ65&gt;=DJ65, 1))</f>
        <v>1</v>
      </c>
      <c r="DO65" s="109">
        <f t="shared" si="69"/>
        <v>-7752004.0564314993</v>
      </c>
      <c r="DP65" s="109">
        <f t="shared" si="70"/>
        <v>0</v>
      </c>
      <c r="DR65" s="58">
        <f t="array" ref="DR65">SUM(IF(DO65:DP65&gt;=DO65, 1))</f>
        <v>2</v>
      </c>
      <c r="DS65" s="58">
        <f t="array" ref="DS65">SUM(IF(DO65:DP65&gt;=DP65, 1))</f>
        <v>1</v>
      </c>
      <c r="DU65" s="109">
        <f t="shared" si="71"/>
        <v>-24684895.126870602</v>
      </c>
      <c r="DV65" s="109">
        <f t="shared" si="72"/>
        <v>0</v>
      </c>
      <c r="DX65" s="58">
        <f t="array" ref="DX65">SUM(IF(DU65:DV65&gt;=DU65, 1))</f>
        <v>2</v>
      </c>
      <c r="DY65" s="58">
        <f t="array" ref="DY65">SUM(IF(DU65:DV65&gt;=DV65, 1))</f>
        <v>1</v>
      </c>
      <c r="EA65" s="109">
        <f t="shared" si="73"/>
        <v>-113683637.56774639</v>
      </c>
      <c r="EB65" s="109">
        <f t="shared" si="74"/>
        <v>0</v>
      </c>
      <c r="ED65" s="58">
        <f t="array" ref="ED65">SUM(IF(EA65:EB65&gt;=EA65, 1))</f>
        <v>2</v>
      </c>
      <c r="EE65" s="58">
        <f t="array" ref="EE65">SUM(IF(EA65:EB65&gt;=EB65, 1))</f>
        <v>1</v>
      </c>
    </row>
    <row r="66" spans="4:135" ht="12" customHeight="1" x14ac:dyDescent="0.25">
      <c r="D66" s="11">
        <v>50</v>
      </c>
      <c r="E66" s="72">
        <v>241.88462772287491</v>
      </c>
      <c r="F66" s="72">
        <v>208.75684491189412</v>
      </c>
      <c r="G66" s="73"/>
      <c r="H66" s="74">
        <v>5.8640028342484598</v>
      </c>
      <c r="I66" s="74">
        <v>5.8806166166993954</v>
      </c>
      <c r="J66" s="73"/>
      <c r="K66" s="72">
        <v>258.92957750729266</v>
      </c>
      <c r="L66" s="72">
        <v>225.03807789618139</v>
      </c>
      <c r="M66" s="73"/>
      <c r="N66" s="74">
        <v>6.6128525042234827</v>
      </c>
      <c r="O66" s="74">
        <v>6.6272439069382632</v>
      </c>
      <c r="P66" s="73"/>
      <c r="Q66" s="72">
        <v>3671.7531559624799</v>
      </c>
      <c r="R66" s="72">
        <v>1905.5462305620756</v>
      </c>
      <c r="S66" s="73"/>
      <c r="T66" s="74">
        <v>4.6461313734584504</v>
      </c>
      <c r="U66" s="74">
        <v>4.7484014281204141</v>
      </c>
      <c r="V66" s="73"/>
      <c r="W66" s="72">
        <v>18223.514233026253</v>
      </c>
      <c r="X66" s="72">
        <v>18094.392174677239</v>
      </c>
      <c r="Y66" s="73"/>
      <c r="Z66" s="74">
        <v>2.9149600879810689</v>
      </c>
      <c r="AA66" s="74">
        <v>2.9357442806238412</v>
      </c>
      <c r="AB66" s="73"/>
      <c r="AC66" s="72">
        <v>49211.76422821077</v>
      </c>
      <c r="AD66" s="72">
        <v>49027.948652367995</v>
      </c>
      <c r="AE66" s="73"/>
      <c r="AF66" s="74">
        <v>4.6917851744407724</v>
      </c>
      <c r="AG66" s="74">
        <v>4.7996824018576589</v>
      </c>
      <c r="AH66" s="73"/>
      <c r="AI66" s="72">
        <v>3556690.4914616086</v>
      </c>
      <c r="AJ66" s="72">
        <v>0</v>
      </c>
      <c r="AK66" s="73"/>
      <c r="AL66" s="74">
        <v>-1783.7016865151593</v>
      </c>
      <c r="AM66" s="74">
        <v>0</v>
      </c>
      <c r="AN66" s="73"/>
      <c r="AO66" s="72">
        <v>232598.66717378728</v>
      </c>
      <c r="AP66" s="72">
        <v>0</v>
      </c>
      <c r="AQ66" s="73"/>
      <c r="AR66" s="74">
        <v>-98.768751121349354</v>
      </c>
      <c r="AS66" s="74">
        <v>0</v>
      </c>
      <c r="AT66" s="73"/>
      <c r="AU66" s="72">
        <v>40559510.485504285</v>
      </c>
      <c r="AV66" s="72">
        <v>0</v>
      </c>
      <c r="AW66" s="73"/>
      <c r="AX66" s="74">
        <v>-2348.5489127921091</v>
      </c>
      <c r="AY66" s="74">
        <v>0</v>
      </c>
      <c r="AZ66" s="73"/>
      <c r="BA66" s="72">
        <v>1130724.4242310566</v>
      </c>
      <c r="BB66" s="72">
        <v>0</v>
      </c>
      <c r="BC66" s="73"/>
      <c r="BD66" s="74">
        <v>-182.00758692664965</v>
      </c>
      <c r="BE66" s="74">
        <v>0</v>
      </c>
      <c r="BF66" s="73"/>
      <c r="BG66" s="72">
        <v>2925666.2988073835</v>
      </c>
      <c r="BH66" s="72">
        <v>0</v>
      </c>
      <c r="BI66" s="73"/>
      <c r="BJ66" s="74">
        <v>-1717.3260782772193</v>
      </c>
      <c r="BK66" s="74">
        <v>0</v>
      </c>
      <c r="BL66" s="73"/>
      <c r="BM66" s="72">
        <v>48405190.36717812</v>
      </c>
      <c r="BN66" s="72">
        <v>0</v>
      </c>
      <c r="BO66" s="73"/>
      <c r="BP66" s="74">
        <v>-6130.3530156324869</v>
      </c>
      <c r="BQ66" s="74">
        <v>0</v>
      </c>
      <c r="BS66" s="109">
        <f t="shared" si="54"/>
        <v>117038.17205724632</v>
      </c>
      <c r="BT66" s="109">
        <f t="shared" si="55"/>
        <v>117403.57548907601</v>
      </c>
      <c r="BV66" s="58">
        <f t="array" ref="BV66">SUM(IF(BS66:BT66&gt;=BS66, 1))</f>
        <v>2</v>
      </c>
      <c r="BW66" s="58">
        <f t="array" ref="BW66">SUM(IF(BS66:BT66&gt;=BT66, 1))</f>
        <v>1</v>
      </c>
      <c r="BY66" s="109">
        <f t="shared" si="56"/>
        <v>131998.12050696238</v>
      </c>
      <c r="BZ66" s="109">
        <f t="shared" si="57"/>
        <v>132319.84006086909</v>
      </c>
      <c r="CB66" s="58">
        <f t="array" ref="CB66">SUM(IF(BY66:BZ66&gt;=BY66, 1))</f>
        <v>2</v>
      </c>
      <c r="CC66" s="58">
        <f t="array" ref="CC66">SUM(IF(BY66:BZ66&gt;=BZ66, 1))</f>
        <v>1</v>
      </c>
      <c r="CE66" s="109">
        <f t="shared" si="58"/>
        <v>89250.874313206528</v>
      </c>
      <c r="CF66" s="109">
        <f t="shared" si="59"/>
        <v>93062.4823318462</v>
      </c>
      <c r="CH66" s="58">
        <f t="array" ref="CH66">SUM(IF(CE66:CF66&gt;=CE66, 1))</f>
        <v>2</v>
      </c>
      <c r="CI66" s="58">
        <f t="array" ref="CI66">SUM(IF(CE66:CF66&gt;=CF66, 1))</f>
        <v>1</v>
      </c>
      <c r="CK66" s="109">
        <f t="shared" si="60"/>
        <v>40075.687526595124</v>
      </c>
      <c r="CL66" s="109">
        <f t="shared" si="61"/>
        <v>40620.493437799581</v>
      </c>
      <c r="CN66" s="58">
        <f t="array" ref="CN66">SUM(IF(CK66:CL66&gt;=CK66, 1))</f>
        <v>2</v>
      </c>
      <c r="CO66" s="58">
        <f t="array" ref="CO66">SUM(IF(CK66:CL66&gt;=CL66, 1))</f>
        <v>1</v>
      </c>
      <c r="CQ66" s="109" cm="1">
        <f t="array" ref="CQ66">AF66*WTP-AC66</f>
        <v>44623.939260604675</v>
      </c>
      <c r="CR66" s="109">
        <f t="shared" si="62"/>
        <v>46965.699384785185</v>
      </c>
      <c r="CT66" s="58">
        <f t="array" ref="CT66">SUM(IF(CQ66:CR66&gt;=CQ66, 1))</f>
        <v>2</v>
      </c>
      <c r="CU66" s="58">
        <f t="array" ref="CU66">SUM(IF(CQ66:CR66&gt;=CR66, 1))</f>
        <v>1</v>
      </c>
      <c r="CW66" s="109">
        <f t="shared" si="63"/>
        <v>-39230724.221764788</v>
      </c>
      <c r="CX66" s="109">
        <f t="shared" si="64"/>
        <v>0</v>
      </c>
      <c r="CZ66" s="58">
        <f t="array" ref="CZ66">SUM(IF(CW66:CX66&gt;=CW66, 1))</f>
        <v>2</v>
      </c>
      <c r="DA66" s="58">
        <f t="array" ref="DA66">SUM(IF(CW66:CX66&gt;=CX66, 1))</f>
        <v>1</v>
      </c>
      <c r="DC66" s="109">
        <f t="shared" si="65"/>
        <v>-2207973.6896007746</v>
      </c>
      <c r="DD66" s="109">
        <f t="shared" si="66"/>
        <v>0</v>
      </c>
      <c r="DF66" s="58">
        <f t="array" ref="DF66">SUM(IF(DC66:DD66&gt;=DC66, 1))</f>
        <v>2</v>
      </c>
      <c r="DG66" s="58">
        <f t="array" ref="DG66">SUM(IF(DC66:DD66&gt;=DD66, 1))</f>
        <v>1</v>
      </c>
      <c r="DI66" s="109">
        <f t="shared" si="67"/>
        <v>-87530488.741346478</v>
      </c>
      <c r="DJ66" s="109">
        <f t="shared" si="68"/>
        <v>0</v>
      </c>
      <c r="DL66" s="58">
        <f t="array" ref="DL66">SUM(IF(DI66:DJ66&gt;=DI66, 1))</f>
        <v>2</v>
      </c>
      <c r="DM66" s="58">
        <f t="array" ref="DM66">SUM(IF(DI66:DJ66&gt;=DJ66, 1))</f>
        <v>1</v>
      </c>
      <c r="DO66" s="109">
        <f t="shared" si="69"/>
        <v>-4770876.1627640501</v>
      </c>
      <c r="DP66" s="109">
        <f t="shared" si="70"/>
        <v>0</v>
      </c>
      <c r="DR66" s="58">
        <f t="array" ref="DR66">SUM(IF(DO66:DP66&gt;=DO66, 1))</f>
        <v>2</v>
      </c>
      <c r="DS66" s="58">
        <f t="array" ref="DS66">SUM(IF(DO66:DP66&gt;=DP66, 1))</f>
        <v>1</v>
      </c>
      <c r="DU66" s="109">
        <f t="shared" si="71"/>
        <v>-37272187.864351764</v>
      </c>
      <c r="DV66" s="109">
        <f t="shared" si="72"/>
        <v>0</v>
      </c>
      <c r="DX66" s="58">
        <f t="array" ref="DX66">SUM(IF(DU66:DV66&gt;=DU66, 1))</f>
        <v>2</v>
      </c>
      <c r="DY66" s="58">
        <f t="array" ref="DY66">SUM(IF(DU66:DV66&gt;=DV66, 1))</f>
        <v>1</v>
      </c>
      <c r="EA66" s="109">
        <f t="shared" si="73"/>
        <v>-171012250.67982787</v>
      </c>
      <c r="EB66" s="109">
        <f t="shared" si="74"/>
        <v>0</v>
      </c>
      <c r="ED66" s="58">
        <f t="array" ref="ED66">SUM(IF(EA66:EB66&gt;=EA66, 1))</f>
        <v>2</v>
      </c>
      <c r="EE66" s="58">
        <f t="array" ref="EE66">SUM(IF(EA66:EB66&gt;=EB66, 1))</f>
        <v>1</v>
      </c>
    </row>
    <row r="67" spans="4:135" ht="12" customHeight="1" x14ac:dyDescent="0.25">
      <c r="D67" s="11">
        <v>51</v>
      </c>
      <c r="E67" s="72">
        <v>245.30607048516558</v>
      </c>
      <c r="F67" s="72">
        <v>227.48520746396903</v>
      </c>
      <c r="G67" s="73"/>
      <c r="H67" s="74">
        <v>5.8779586700210347</v>
      </c>
      <c r="I67" s="74">
        <v>5.8934493384132045</v>
      </c>
      <c r="J67" s="73"/>
      <c r="K67" s="72">
        <v>263.55770728773939</v>
      </c>
      <c r="L67" s="72">
        <v>245.31112788477182</v>
      </c>
      <c r="M67" s="73"/>
      <c r="N67" s="74">
        <v>6.6855346195194789</v>
      </c>
      <c r="O67" s="74">
        <v>6.6988982857498982</v>
      </c>
      <c r="P67" s="73"/>
      <c r="Q67" s="72">
        <v>2068.2840699088888</v>
      </c>
      <c r="R67" s="72">
        <v>1334.4096933623305</v>
      </c>
      <c r="S67" s="73"/>
      <c r="T67" s="74">
        <v>4.8457486974009631</v>
      </c>
      <c r="U67" s="74">
        <v>4.8984285489509913</v>
      </c>
      <c r="V67" s="73"/>
      <c r="W67" s="72">
        <v>17526.434060564257</v>
      </c>
      <c r="X67" s="72">
        <v>17557.544727014203</v>
      </c>
      <c r="Y67" s="73"/>
      <c r="Z67" s="74">
        <v>3.1029338843957079</v>
      </c>
      <c r="AA67" s="74">
        <v>3.148044778789667</v>
      </c>
      <c r="AB67" s="73"/>
      <c r="AC67" s="72">
        <v>51776.867247085749</v>
      </c>
      <c r="AD67" s="72">
        <v>51073.425018032445</v>
      </c>
      <c r="AE67" s="73"/>
      <c r="AF67" s="74">
        <v>4.7766766587809215</v>
      </c>
      <c r="AG67" s="74">
        <v>4.9539417300708806</v>
      </c>
      <c r="AH67" s="73"/>
      <c r="AI67" s="72">
        <v>1909606.4273159057</v>
      </c>
      <c r="AJ67" s="72">
        <v>0</v>
      </c>
      <c r="AK67" s="73"/>
      <c r="AL67" s="74">
        <v>-1659.9128723408319</v>
      </c>
      <c r="AM67" s="74">
        <v>0</v>
      </c>
      <c r="AN67" s="73"/>
      <c r="AO67" s="72">
        <v>128967.36259073374</v>
      </c>
      <c r="AP67" s="72">
        <v>0</v>
      </c>
      <c r="AQ67" s="73"/>
      <c r="AR67" s="74">
        <v>-94.454787947801748</v>
      </c>
      <c r="AS67" s="74">
        <v>0</v>
      </c>
      <c r="AT67" s="73"/>
      <c r="AU67" s="72">
        <v>17052754.268320501</v>
      </c>
      <c r="AV67" s="72">
        <v>0</v>
      </c>
      <c r="AW67" s="73"/>
      <c r="AX67" s="74">
        <v>-1224.1012795699394</v>
      </c>
      <c r="AY67" s="74">
        <v>0</v>
      </c>
      <c r="AZ67" s="73"/>
      <c r="BA67" s="72">
        <v>-280685.26596899226</v>
      </c>
      <c r="BB67" s="72">
        <v>0</v>
      </c>
      <c r="BC67" s="73"/>
      <c r="BD67" s="74">
        <v>-406.99749751229217</v>
      </c>
      <c r="BE67" s="74">
        <v>0</v>
      </c>
      <c r="BF67" s="73"/>
      <c r="BG67" s="72">
        <v>11408345.883046109</v>
      </c>
      <c r="BH67" s="72">
        <v>0</v>
      </c>
      <c r="BI67" s="73"/>
      <c r="BJ67" s="74">
        <v>-2874.8647191401951</v>
      </c>
      <c r="BK67" s="74">
        <v>0</v>
      </c>
      <c r="BL67" s="73"/>
      <c r="BM67" s="72">
        <v>30218988.675304256</v>
      </c>
      <c r="BN67" s="72">
        <v>0</v>
      </c>
      <c r="BO67" s="73"/>
      <c r="BP67" s="74">
        <v>-6260.3311565110607</v>
      </c>
      <c r="BQ67" s="74">
        <v>0</v>
      </c>
      <c r="BS67" s="109">
        <f t="shared" si="54"/>
        <v>117313.86732993553</v>
      </c>
      <c r="BT67" s="109">
        <f t="shared" si="55"/>
        <v>117641.50156080013</v>
      </c>
      <c r="BV67" s="58">
        <f t="array" ref="BV67">SUM(IF(BS67:BT67&gt;=BS67, 1))</f>
        <v>2</v>
      </c>
      <c r="BW67" s="58">
        <f t="array" ref="BW67">SUM(IF(BS67:BT67&gt;=BT67, 1))</f>
        <v>1</v>
      </c>
      <c r="BY67" s="109">
        <f t="shared" si="56"/>
        <v>133447.13468310182</v>
      </c>
      <c r="BZ67" s="109">
        <f t="shared" si="57"/>
        <v>133732.65458711318</v>
      </c>
      <c r="CB67" s="58">
        <f t="array" ref="CB67">SUM(IF(BY67:BZ67&gt;=BY67, 1))</f>
        <v>2</v>
      </c>
      <c r="CC67" s="58">
        <f t="array" ref="CC67">SUM(IF(BY67:BZ67&gt;=BZ67, 1))</f>
        <v>1</v>
      </c>
      <c r="CE67" s="109">
        <f t="shared" si="58"/>
        <v>94846.689878110381</v>
      </c>
      <c r="CF67" s="109">
        <f t="shared" si="59"/>
        <v>96634.161285657494</v>
      </c>
      <c r="CH67" s="58">
        <f t="array" ref="CH67">SUM(IF(CE67:CF67&gt;=CE67, 1))</f>
        <v>2</v>
      </c>
      <c r="CI67" s="58">
        <f t="array" ref="CI67">SUM(IF(CE67:CF67&gt;=CF67, 1))</f>
        <v>1</v>
      </c>
      <c r="CK67" s="109">
        <f t="shared" si="60"/>
        <v>44532.243627349904</v>
      </c>
      <c r="CL67" s="109">
        <f t="shared" si="61"/>
        <v>45403.350848779141</v>
      </c>
      <c r="CN67" s="58">
        <f t="array" ref="CN67">SUM(IF(CK67:CL67&gt;=CK67, 1))</f>
        <v>2</v>
      </c>
      <c r="CO67" s="58">
        <f t="array" ref="CO67">SUM(IF(CK67:CL67&gt;=CL67, 1))</f>
        <v>1</v>
      </c>
      <c r="CQ67" s="109" cm="1">
        <f t="array" ref="CQ67">AF67*WTP-AC67</f>
        <v>43756.665928532682</v>
      </c>
      <c r="CR67" s="109">
        <f t="shared" si="62"/>
        <v>48005.409583385161</v>
      </c>
      <c r="CT67" s="58">
        <f t="array" ref="CT67">SUM(IF(CQ67:CR67&gt;=CQ67, 1))</f>
        <v>2</v>
      </c>
      <c r="CU67" s="58">
        <f t="array" ref="CU67">SUM(IF(CQ67:CR67&gt;=CR67, 1))</f>
        <v>1</v>
      </c>
      <c r="CW67" s="109">
        <f t="shared" si="63"/>
        <v>-35107863.874132544</v>
      </c>
      <c r="CX67" s="109">
        <f t="shared" si="64"/>
        <v>0</v>
      </c>
      <c r="CZ67" s="58">
        <f t="array" ref="CZ67">SUM(IF(CW67:CX67&gt;=CW67, 1))</f>
        <v>2</v>
      </c>
      <c r="DA67" s="58">
        <f t="array" ref="DA67">SUM(IF(CW67:CX67&gt;=CX67, 1))</f>
        <v>1</v>
      </c>
      <c r="DC67" s="109">
        <f t="shared" si="65"/>
        <v>-2018063.1215467686</v>
      </c>
      <c r="DD67" s="109">
        <f t="shared" si="66"/>
        <v>0</v>
      </c>
      <c r="DF67" s="58">
        <f t="array" ref="DF67">SUM(IF(DC67:DD67&gt;=DC67, 1))</f>
        <v>2</v>
      </c>
      <c r="DG67" s="58">
        <f t="array" ref="DG67">SUM(IF(DC67:DD67&gt;=DD67, 1))</f>
        <v>1</v>
      </c>
      <c r="DI67" s="109">
        <f t="shared" si="67"/>
        <v>-41534779.859719291</v>
      </c>
      <c r="DJ67" s="109">
        <f t="shared" si="68"/>
        <v>0</v>
      </c>
      <c r="DL67" s="58">
        <f t="array" ref="DL67">SUM(IF(DI67:DJ67&gt;=DI67, 1))</f>
        <v>2</v>
      </c>
      <c r="DM67" s="58">
        <f t="array" ref="DM67">SUM(IF(DI67:DJ67&gt;=DJ67, 1))</f>
        <v>1</v>
      </c>
      <c r="DO67" s="109">
        <f t="shared" si="69"/>
        <v>-7859264.6842768509</v>
      </c>
      <c r="DP67" s="109">
        <f t="shared" si="70"/>
        <v>0</v>
      </c>
      <c r="DR67" s="58">
        <f t="array" ref="DR67">SUM(IF(DO67:DP67&gt;=DO67, 1))</f>
        <v>2</v>
      </c>
      <c r="DS67" s="58">
        <f t="array" ref="DS67">SUM(IF(DO67:DP67&gt;=DP67, 1))</f>
        <v>1</v>
      </c>
      <c r="DU67" s="109">
        <f t="shared" si="71"/>
        <v>-68905640.265850008</v>
      </c>
      <c r="DV67" s="109">
        <f t="shared" si="72"/>
        <v>0</v>
      </c>
      <c r="DX67" s="58">
        <f t="array" ref="DX67">SUM(IF(DU67:DV67&gt;=DU67, 1))</f>
        <v>2</v>
      </c>
      <c r="DY67" s="58">
        <f t="array" ref="DY67">SUM(IF(DU67:DV67&gt;=DV67, 1))</f>
        <v>1</v>
      </c>
      <c r="EA67" s="109">
        <f t="shared" si="73"/>
        <v>-155425611.80552548</v>
      </c>
      <c r="EB67" s="109">
        <f t="shared" si="74"/>
        <v>0</v>
      </c>
      <c r="ED67" s="58">
        <f t="array" ref="ED67">SUM(IF(EA67:EB67&gt;=EA67, 1))</f>
        <v>2</v>
      </c>
      <c r="EE67" s="58">
        <f t="array" ref="EE67">SUM(IF(EA67:EB67&gt;=EB67, 1))</f>
        <v>1</v>
      </c>
    </row>
    <row r="68" spans="4:135" ht="12" customHeight="1" x14ac:dyDescent="0.25">
      <c r="D68" s="11">
        <v>52</v>
      </c>
      <c r="E68" s="72">
        <v>259.94106892082499</v>
      </c>
      <c r="F68" s="72">
        <v>235.63703182874676</v>
      </c>
      <c r="G68" s="73"/>
      <c r="H68" s="74">
        <v>5.79379481404687</v>
      </c>
      <c r="I68" s="74">
        <v>5.8096577802101947</v>
      </c>
      <c r="J68" s="73"/>
      <c r="K68" s="72">
        <v>278.93497070910303</v>
      </c>
      <c r="L68" s="72">
        <v>254.05898234123418</v>
      </c>
      <c r="M68" s="73"/>
      <c r="N68" s="74">
        <v>6.7095813835968352</v>
      </c>
      <c r="O68" s="74">
        <v>6.7237530139795272</v>
      </c>
      <c r="P68" s="73"/>
      <c r="Q68" s="72">
        <v>2253.8615665490988</v>
      </c>
      <c r="R68" s="72">
        <v>1400.417014006515</v>
      </c>
      <c r="S68" s="73"/>
      <c r="T68" s="74">
        <v>4.7439799920159187</v>
      </c>
      <c r="U68" s="74">
        <v>4.8235912261399259</v>
      </c>
      <c r="V68" s="73"/>
      <c r="W68" s="72">
        <v>13000.030853100459</v>
      </c>
      <c r="X68" s="72">
        <v>12984.113936496848</v>
      </c>
      <c r="Y68" s="73"/>
      <c r="Z68" s="74">
        <v>2.9241472027653379</v>
      </c>
      <c r="AA68" s="74">
        <v>2.9618252025708438</v>
      </c>
      <c r="AB68" s="73"/>
      <c r="AC68" s="72">
        <v>49778.716751600441</v>
      </c>
      <c r="AD68" s="72">
        <v>49648.903397801841</v>
      </c>
      <c r="AE68" s="73"/>
      <c r="AF68" s="74">
        <v>4.335806827926584</v>
      </c>
      <c r="AG68" s="74">
        <v>4.4930616784389965</v>
      </c>
      <c r="AH68" s="73"/>
      <c r="AI68" s="72">
        <v>2610239.0449781115</v>
      </c>
      <c r="AJ68" s="72">
        <v>0</v>
      </c>
      <c r="AK68" s="73"/>
      <c r="AL68" s="74">
        <v>-1703.6730766911526</v>
      </c>
      <c r="AM68" s="74">
        <v>0</v>
      </c>
      <c r="AN68" s="73"/>
      <c r="AO68" s="72">
        <v>168801.97316527719</v>
      </c>
      <c r="AP68" s="72">
        <v>0</v>
      </c>
      <c r="AQ68" s="73"/>
      <c r="AR68" s="74">
        <v>-96.164989957033853</v>
      </c>
      <c r="AS68" s="74">
        <v>0</v>
      </c>
      <c r="AT68" s="73"/>
      <c r="AU68" s="72">
        <v>19968879.307595901</v>
      </c>
      <c r="AV68" s="72">
        <v>0</v>
      </c>
      <c r="AW68" s="73"/>
      <c r="AX68" s="74">
        <v>-1862.7421324734939</v>
      </c>
      <c r="AY68" s="74">
        <v>0</v>
      </c>
      <c r="AZ68" s="73"/>
      <c r="BA68" s="72">
        <v>142149.73451100956</v>
      </c>
      <c r="BB68" s="72">
        <v>0</v>
      </c>
      <c r="BC68" s="73"/>
      <c r="BD68" s="74">
        <v>-336.49216130486025</v>
      </c>
      <c r="BE68" s="74">
        <v>0</v>
      </c>
      <c r="BF68" s="73"/>
      <c r="BG68" s="72">
        <v>2012979.4899212127</v>
      </c>
      <c r="BH68" s="72">
        <v>0</v>
      </c>
      <c r="BI68" s="73"/>
      <c r="BJ68" s="74">
        <v>-2438.507129730498</v>
      </c>
      <c r="BK68" s="74">
        <v>0</v>
      </c>
      <c r="BL68" s="73"/>
      <c r="BM68" s="72">
        <v>24903049.550171513</v>
      </c>
      <c r="BN68" s="72">
        <v>0</v>
      </c>
      <c r="BO68" s="73"/>
      <c r="BP68" s="74">
        <v>-6437.5794901570389</v>
      </c>
      <c r="BQ68" s="74">
        <v>0</v>
      </c>
      <c r="BS68" s="109">
        <f t="shared" si="54"/>
        <v>115615.95521201658</v>
      </c>
      <c r="BT68" s="109">
        <f t="shared" si="55"/>
        <v>115957.51857237515</v>
      </c>
      <c r="BV68" s="58">
        <f t="array" ref="BV68">SUM(IF(BS68:BT68&gt;=BS68, 1))</f>
        <v>2</v>
      </c>
      <c r="BW68" s="58">
        <f t="array" ref="BW68">SUM(IF(BS68:BT68&gt;=BT68, 1))</f>
        <v>1</v>
      </c>
      <c r="BY68" s="109">
        <f t="shared" si="56"/>
        <v>133912.69270122758</v>
      </c>
      <c r="BZ68" s="109">
        <f t="shared" si="57"/>
        <v>134221.00129724931</v>
      </c>
      <c r="CB68" s="58">
        <f t="array" ref="CB68">SUM(IF(BY68:BZ68&gt;=BY68, 1))</f>
        <v>2</v>
      </c>
      <c r="CC68" s="58">
        <f t="array" ref="CC68">SUM(IF(BY68:BZ68&gt;=BZ68, 1))</f>
        <v>1</v>
      </c>
      <c r="CE68" s="109">
        <f t="shared" si="58"/>
        <v>92625.738273769282</v>
      </c>
      <c r="CF68" s="109">
        <f t="shared" si="59"/>
        <v>95071.407508792006</v>
      </c>
      <c r="CH68" s="58">
        <f t="array" ref="CH68">SUM(IF(CE68:CF68&gt;=CE68, 1))</f>
        <v>2</v>
      </c>
      <c r="CI68" s="58">
        <f t="array" ref="CI68">SUM(IF(CE68:CF68&gt;=CF68, 1))</f>
        <v>1</v>
      </c>
      <c r="CK68" s="109">
        <f t="shared" si="60"/>
        <v>45482.913202206299</v>
      </c>
      <c r="CL68" s="109">
        <f t="shared" si="61"/>
        <v>46252.390114920032</v>
      </c>
      <c r="CN68" s="58">
        <f t="array" ref="CN68">SUM(IF(CK68:CL68&gt;=CK68, 1))</f>
        <v>2</v>
      </c>
      <c r="CO68" s="58">
        <f t="array" ref="CO68">SUM(IF(CK68:CL68&gt;=CL68, 1))</f>
        <v>1</v>
      </c>
      <c r="CQ68" s="109" cm="1">
        <f t="array" ref="CQ68">AF68*WTP-AC68</f>
        <v>36937.419806931241</v>
      </c>
      <c r="CR68" s="109">
        <f t="shared" si="62"/>
        <v>40212.330170978094</v>
      </c>
      <c r="CT68" s="58">
        <f t="array" ref="CT68">SUM(IF(CQ68:CR68&gt;=CQ68, 1))</f>
        <v>2</v>
      </c>
      <c r="CU68" s="58">
        <f t="array" ref="CU68">SUM(IF(CQ68:CR68&gt;=CR68, 1))</f>
        <v>1</v>
      </c>
      <c r="CW68" s="109">
        <f t="shared" si="63"/>
        <v>-36683700.578801163</v>
      </c>
      <c r="CX68" s="109">
        <f t="shared" si="64"/>
        <v>0</v>
      </c>
      <c r="CZ68" s="58">
        <f t="array" ref="CZ68">SUM(IF(CW68:CX68&gt;=CW68, 1))</f>
        <v>2</v>
      </c>
      <c r="DA68" s="58">
        <f t="array" ref="DA68">SUM(IF(CW68:CX68&gt;=CX68, 1))</f>
        <v>1</v>
      </c>
      <c r="DC68" s="109">
        <f t="shared" si="65"/>
        <v>-2092101.7723059542</v>
      </c>
      <c r="DD68" s="109">
        <f t="shared" si="66"/>
        <v>0</v>
      </c>
      <c r="DF68" s="58">
        <f t="array" ref="DF68">SUM(IF(DC68:DD68&gt;=DC68, 1))</f>
        <v>2</v>
      </c>
      <c r="DG68" s="58">
        <f t="array" ref="DG68">SUM(IF(DC68:DD68&gt;=DD68, 1))</f>
        <v>1</v>
      </c>
      <c r="DI68" s="109">
        <f t="shared" si="67"/>
        <v>-57223721.957065783</v>
      </c>
      <c r="DJ68" s="109">
        <f t="shared" si="68"/>
        <v>0</v>
      </c>
      <c r="DL68" s="58">
        <f t="array" ref="DL68">SUM(IF(DI68:DJ68&gt;=DI68, 1))</f>
        <v>2</v>
      </c>
      <c r="DM68" s="58">
        <f t="array" ref="DM68">SUM(IF(DI68:DJ68&gt;=DJ68, 1))</f>
        <v>1</v>
      </c>
      <c r="DO68" s="109">
        <f t="shared" si="69"/>
        <v>-6871992.9606082141</v>
      </c>
      <c r="DP68" s="109">
        <f t="shared" si="70"/>
        <v>0</v>
      </c>
      <c r="DR68" s="58">
        <f t="array" ref="DR68">SUM(IF(DO68:DP68&gt;=DO68, 1))</f>
        <v>2</v>
      </c>
      <c r="DS68" s="58">
        <f t="array" ref="DS68">SUM(IF(DO68:DP68&gt;=DP68, 1))</f>
        <v>1</v>
      </c>
      <c r="DU68" s="109">
        <f t="shared" si="71"/>
        <v>-50783122.084531173</v>
      </c>
      <c r="DV68" s="109">
        <f t="shared" si="72"/>
        <v>0</v>
      </c>
      <c r="DX68" s="58">
        <f t="array" ref="DX68">SUM(IF(DU68:DV68&gt;=DU68, 1))</f>
        <v>2</v>
      </c>
      <c r="DY68" s="58">
        <f t="array" ref="DY68">SUM(IF(DU68:DV68&gt;=DV68, 1))</f>
        <v>1</v>
      </c>
      <c r="EA68" s="109">
        <f t="shared" si="73"/>
        <v>-153654639.35331228</v>
      </c>
      <c r="EB68" s="109">
        <f t="shared" si="74"/>
        <v>0</v>
      </c>
      <c r="ED68" s="58">
        <f t="array" ref="ED68">SUM(IF(EA68:EB68&gt;=EA68, 1))</f>
        <v>2</v>
      </c>
      <c r="EE68" s="58">
        <f t="array" ref="EE68">SUM(IF(EA68:EB68&gt;=EB68, 1))</f>
        <v>1</v>
      </c>
    </row>
    <row r="69" spans="4:135" ht="12" customHeight="1" x14ac:dyDescent="0.25">
      <c r="D69" s="11">
        <v>53</v>
      </c>
      <c r="E69" s="72">
        <v>303.91569627529827</v>
      </c>
      <c r="F69" s="72">
        <v>265.4841788768116</v>
      </c>
      <c r="G69" s="73"/>
      <c r="H69" s="74">
        <v>5.8325831234630936</v>
      </c>
      <c r="I69" s="74">
        <v>5.8467654731659859</v>
      </c>
      <c r="J69" s="73"/>
      <c r="K69" s="72">
        <v>325.5278228610992</v>
      </c>
      <c r="L69" s="72">
        <v>286.16443266055256</v>
      </c>
      <c r="M69" s="73"/>
      <c r="N69" s="74">
        <v>6.7452400250106228</v>
      </c>
      <c r="O69" s="74">
        <v>6.7564230239899219</v>
      </c>
      <c r="P69" s="73"/>
      <c r="Q69" s="72">
        <v>5689.9607990576178</v>
      </c>
      <c r="R69" s="72">
        <v>2019.2274541769762</v>
      </c>
      <c r="S69" s="73"/>
      <c r="T69" s="74">
        <v>4.7989402809213892</v>
      </c>
      <c r="U69" s="74">
        <v>4.9736461033522428</v>
      </c>
      <c r="V69" s="73"/>
      <c r="W69" s="72">
        <v>10870.693780706679</v>
      </c>
      <c r="X69" s="72">
        <v>10823.954255756953</v>
      </c>
      <c r="Y69" s="73"/>
      <c r="Z69" s="74">
        <v>2.9350315803686446</v>
      </c>
      <c r="AA69" s="74">
        <v>2.9694380361023165</v>
      </c>
      <c r="AB69" s="73"/>
      <c r="AC69" s="72">
        <v>50360.854143544057</v>
      </c>
      <c r="AD69" s="72">
        <v>50080.748493360472</v>
      </c>
      <c r="AE69" s="73"/>
      <c r="AF69" s="74">
        <v>4.9025344822198269</v>
      </c>
      <c r="AG69" s="74">
        <v>5.0299173983148302</v>
      </c>
      <c r="AH69" s="73"/>
      <c r="AI69" s="72">
        <v>4132821.1326209884</v>
      </c>
      <c r="AJ69" s="72">
        <v>0</v>
      </c>
      <c r="AK69" s="73"/>
      <c r="AL69" s="74">
        <v>-1525.131416347419</v>
      </c>
      <c r="AM69" s="74">
        <v>0</v>
      </c>
      <c r="AN69" s="73"/>
      <c r="AO69" s="72">
        <v>260791.96660007787</v>
      </c>
      <c r="AP69" s="72">
        <v>0</v>
      </c>
      <c r="AQ69" s="73"/>
      <c r="AR69" s="74">
        <v>-74.090069006748607</v>
      </c>
      <c r="AS69" s="74">
        <v>0</v>
      </c>
      <c r="AT69" s="73"/>
      <c r="AU69" s="72">
        <v>86279062.086855486</v>
      </c>
      <c r="AV69" s="72">
        <v>0</v>
      </c>
      <c r="AW69" s="73"/>
      <c r="AX69" s="74">
        <v>-4106.3877662126652</v>
      </c>
      <c r="AY69" s="74">
        <v>0</v>
      </c>
      <c r="AZ69" s="73"/>
      <c r="BA69" s="72">
        <v>401780.3861354072</v>
      </c>
      <c r="BB69" s="72">
        <v>0</v>
      </c>
      <c r="BC69" s="73"/>
      <c r="BD69" s="74">
        <v>-295.76336270201142</v>
      </c>
      <c r="BE69" s="74">
        <v>0</v>
      </c>
      <c r="BF69" s="73"/>
      <c r="BG69" s="72">
        <v>4310957.8429323742</v>
      </c>
      <c r="BH69" s="72">
        <v>0</v>
      </c>
      <c r="BI69" s="73"/>
      <c r="BJ69" s="74">
        <v>-1960.483056430445</v>
      </c>
      <c r="BK69" s="74">
        <v>0</v>
      </c>
      <c r="BL69" s="73"/>
      <c r="BM69" s="72">
        <v>95385413.415144339</v>
      </c>
      <c r="BN69" s="72">
        <v>0</v>
      </c>
      <c r="BO69" s="73"/>
      <c r="BP69" s="74">
        <v>-7961.8556706992886</v>
      </c>
      <c r="BQ69" s="74">
        <v>0</v>
      </c>
      <c r="BS69" s="109">
        <f t="shared" si="54"/>
        <v>116347.74677298657</v>
      </c>
      <c r="BT69" s="109">
        <f t="shared" si="55"/>
        <v>116669.82528444291</v>
      </c>
      <c r="BV69" s="58">
        <f t="array" ref="BV69">SUM(IF(BS69:BT69&gt;=BS69, 1))</f>
        <v>2</v>
      </c>
      <c r="BW69" s="58">
        <f t="array" ref="BW69">SUM(IF(BS69:BT69&gt;=BT69, 1))</f>
        <v>1</v>
      </c>
      <c r="BY69" s="109">
        <f t="shared" si="56"/>
        <v>134579.27267735137</v>
      </c>
      <c r="BZ69" s="109">
        <f t="shared" si="57"/>
        <v>134842.29604713788</v>
      </c>
      <c r="CB69" s="58">
        <f t="array" ref="CB69">SUM(IF(BY69:BZ69&gt;=BY69, 1))</f>
        <v>2</v>
      </c>
      <c r="CC69" s="58">
        <f t="array" ref="CC69">SUM(IF(BY69:BZ69&gt;=BZ69, 1))</f>
        <v>1</v>
      </c>
      <c r="CE69" s="109">
        <f t="shared" si="58"/>
        <v>90288.844819370162</v>
      </c>
      <c r="CF69" s="109">
        <f t="shared" si="59"/>
        <v>97453.694612867883</v>
      </c>
      <c r="CH69" s="58">
        <f t="array" ref="CH69">SUM(IF(CE69:CF69&gt;=CE69, 1))</f>
        <v>2</v>
      </c>
      <c r="CI69" s="58">
        <f t="array" ref="CI69">SUM(IF(CE69:CF69&gt;=CF69, 1))</f>
        <v>1</v>
      </c>
      <c r="CK69" s="109">
        <f t="shared" si="60"/>
        <v>47829.937826666217</v>
      </c>
      <c r="CL69" s="109">
        <f t="shared" si="61"/>
        <v>48564.806466289381</v>
      </c>
      <c r="CN69" s="58">
        <f t="array" ref="CN69">SUM(IF(CK69:CL69&gt;=CK69, 1))</f>
        <v>2</v>
      </c>
      <c r="CO69" s="58">
        <f t="array" ref="CO69">SUM(IF(CK69:CL69&gt;=CL69, 1))</f>
        <v>1</v>
      </c>
      <c r="CQ69" s="109" cm="1">
        <f t="array" ref="CQ69">AF69*WTP-AC69</f>
        <v>47689.835500852481</v>
      </c>
      <c r="CR69" s="109">
        <f t="shared" si="62"/>
        <v>50517.599472936126</v>
      </c>
      <c r="CT69" s="58">
        <f t="array" ref="CT69">SUM(IF(CQ69:CR69&gt;=CQ69, 1))</f>
        <v>2</v>
      </c>
      <c r="CU69" s="58">
        <f t="array" ref="CU69">SUM(IF(CQ69:CR69&gt;=CR69, 1))</f>
        <v>1</v>
      </c>
      <c r="CW69" s="109">
        <f t="shared" si="63"/>
        <v>-34635449.459569365</v>
      </c>
      <c r="CX69" s="109">
        <f t="shared" si="64"/>
        <v>0</v>
      </c>
      <c r="CZ69" s="58">
        <f t="array" ref="CZ69">SUM(IF(CW69:CX69&gt;=CW69, 1))</f>
        <v>2</v>
      </c>
      <c r="DA69" s="58">
        <f t="array" ref="DA69">SUM(IF(CW69:CX69&gt;=CX69, 1))</f>
        <v>1</v>
      </c>
      <c r="DC69" s="109">
        <f t="shared" si="65"/>
        <v>-1742593.34673505</v>
      </c>
      <c r="DD69" s="109">
        <f t="shared" si="66"/>
        <v>0</v>
      </c>
      <c r="DF69" s="58">
        <f t="array" ref="DF69">SUM(IF(DC69:DD69&gt;=DC69, 1))</f>
        <v>2</v>
      </c>
      <c r="DG69" s="58">
        <f t="array" ref="DG69">SUM(IF(DC69:DD69&gt;=DD69, 1))</f>
        <v>1</v>
      </c>
      <c r="DI69" s="109">
        <f t="shared" si="67"/>
        <v>-168406817.41110879</v>
      </c>
      <c r="DJ69" s="109">
        <f t="shared" si="68"/>
        <v>0</v>
      </c>
      <c r="DL69" s="58">
        <f t="array" ref="DL69">SUM(IF(DI69:DJ69&gt;=DI69, 1))</f>
        <v>2</v>
      </c>
      <c r="DM69" s="58">
        <f t="array" ref="DM69">SUM(IF(DI69:DJ69&gt;=DJ69, 1))</f>
        <v>1</v>
      </c>
      <c r="DO69" s="109">
        <f t="shared" si="69"/>
        <v>-6317047.640175635</v>
      </c>
      <c r="DP69" s="109">
        <f t="shared" si="70"/>
        <v>0</v>
      </c>
      <c r="DR69" s="58">
        <f t="array" ref="DR69">SUM(IF(DO69:DP69&gt;=DO69, 1))</f>
        <v>2</v>
      </c>
      <c r="DS69" s="58">
        <f t="array" ref="DS69">SUM(IF(DO69:DP69&gt;=DP69, 1))</f>
        <v>1</v>
      </c>
      <c r="DU69" s="109">
        <f t="shared" si="71"/>
        <v>-43520618.971541271</v>
      </c>
      <c r="DV69" s="109">
        <f t="shared" si="72"/>
        <v>0</v>
      </c>
      <c r="DX69" s="58">
        <f t="array" ref="DX69">SUM(IF(DU69:DV69&gt;=DU69, 1))</f>
        <v>2</v>
      </c>
      <c r="DY69" s="58">
        <f t="array" ref="DY69">SUM(IF(DU69:DV69&gt;=DV69, 1))</f>
        <v>1</v>
      </c>
      <c r="EA69" s="109">
        <f t="shared" si="73"/>
        <v>-254622526.82913011</v>
      </c>
      <c r="EB69" s="109">
        <f t="shared" si="74"/>
        <v>0</v>
      </c>
      <c r="ED69" s="58">
        <f t="array" ref="ED69">SUM(IF(EA69:EB69&gt;=EA69, 1))</f>
        <v>2</v>
      </c>
      <c r="EE69" s="58">
        <f t="array" ref="EE69">SUM(IF(EA69:EB69&gt;=EB69, 1))</f>
        <v>1</v>
      </c>
    </row>
    <row r="70" spans="4:135" ht="12" customHeight="1" x14ac:dyDescent="0.25">
      <c r="D70" s="11">
        <v>54</v>
      </c>
      <c r="E70" s="72">
        <v>300.37761702330806</v>
      </c>
      <c r="F70" s="72">
        <v>275.27604425514369</v>
      </c>
      <c r="G70" s="73"/>
      <c r="H70" s="74">
        <v>5.8416978858218149</v>
      </c>
      <c r="I70" s="74">
        <v>5.8562813998430352</v>
      </c>
      <c r="J70" s="73"/>
      <c r="K70" s="72">
        <v>322.45296751158816</v>
      </c>
      <c r="L70" s="72">
        <v>296.74400047646913</v>
      </c>
      <c r="M70" s="73"/>
      <c r="N70" s="74">
        <v>6.6442590454526149</v>
      </c>
      <c r="O70" s="74">
        <v>6.6563273656454447</v>
      </c>
      <c r="P70" s="73"/>
      <c r="Q70" s="72">
        <v>3566.2883512152798</v>
      </c>
      <c r="R70" s="72">
        <v>1280.7193667215988</v>
      </c>
      <c r="S70" s="73"/>
      <c r="T70" s="74">
        <v>4.7283863711840306</v>
      </c>
      <c r="U70" s="74">
        <v>4.929081584448582</v>
      </c>
      <c r="V70" s="73"/>
      <c r="W70" s="72">
        <v>12502.378272732984</v>
      </c>
      <c r="X70" s="72">
        <v>12495.163760246221</v>
      </c>
      <c r="Y70" s="73"/>
      <c r="Z70" s="74">
        <v>2.8945412716915646</v>
      </c>
      <c r="AA70" s="74">
        <v>2.9448541625995794</v>
      </c>
      <c r="AB70" s="73"/>
      <c r="AC70" s="72">
        <v>49841.060697342546</v>
      </c>
      <c r="AD70" s="72">
        <v>49659.04929187704</v>
      </c>
      <c r="AE70" s="73"/>
      <c r="AF70" s="74">
        <v>4.1467278168095643</v>
      </c>
      <c r="AG70" s="74">
        <v>4.2548231442711595</v>
      </c>
      <c r="AH70" s="73"/>
      <c r="AI70" s="72">
        <v>2695894.206066607</v>
      </c>
      <c r="AJ70" s="72">
        <v>0</v>
      </c>
      <c r="AK70" s="73"/>
      <c r="AL70" s="74">
        <v>-1566.2608601068112</v>
      </c>
      <c r="AM70" s="74">
        <v>0</v>
      </c>
      <c r="AN70" s="73"/>
      <c r="AO70" s="72">
        <v>180828.71635513662</v>
      </c>
      <c r="AP70" s="72">
        <v>0</v>
      </c>
      <c r="AQ70" s="73"/>
      <c r="AR70" s="74">
        <v>-84.884734810664042</v>
      </c>
      <c r="AS70" s="74">
        <v>0</v>
      </c>
      <c r="AT70" s="73"/>
      <c r="AU70" s="72">
        <v>54580485.764341049</v>
      </c>
      <c r="AV70" s="72">
        <v>0</v>
      </c>
      <c r="AW70" s="73"/>
      <c r="AX70" s="74">
        <v>-4792.698144258321</v>
      </c>
      <c r="AY70" s="74">
        <v>0</v>
      </c>
      <c r="AZ70" s="73"/>
      <c r="BA70" s="72">
        <v>61595.716090174858</v>
      </c>
      <c r="BB70" s="72">
        <v>0</v>
      </c>
      <c r="BC70" s="73"/>
      <c r="BD70" s="74">
        <v>-429.55896877751741</v>
      </c>
      <c r="BE70" s="74">
        <v>0</v>
      </c>
      <c r="BF70" s="73"/>
      <c r="BG70" s="72">
        <v>2869386.2812800007</v>
      </c>
      <c r="BH70" s="72">
        <v>0</v>
      </c>
      <c r="BI70" s="73"/>
      <c r="BJ70" s="74">
        <v>-1704.1088655708022</v>
      </c>
      <c r="BK70" s="74">
        <v>0</v>
      </c>
      <c r="BL70" s="73"/>
      <c r="BM70" s="72">
        <v>60388190.684132971</v>
      </c>
      <c r="BN70" s="72">
        <v>0</v>
      </c>
      <c r="BO70" s="73"/>
      <c r="BP70" s="74">
        <v>-8577.5115735241161</v>
      </c>
      <c r="BQ70" s="74">
        <v>0</v>
      </c>
      <c r="BS70" s="109">
        <f t="shared" si="54"/>
        <v>116533.580099413</v>
      </c>
      <c r="BT70" s="109">
        <f t="shared" si="55"/>
        <v>116850.35195260556</v>
      </c>
      <c r="BV70" s="58">
        <f t="array" ref="BV70">SUM(IF(BS70:BT70&gt;=BS70, 1))</f>
        <v>2</v>
      </c>
      <c r="BW70" s="58">
        <f t="array" ref="BW70">SUM(IF(BS70:BT70&gt;=BT70, 1))</f>
        <v>1</v>
      </c>
      <c r="BY70" s="109">
        <f t="shared" si="56"/>
        <v>132562.72794154071</v>
      </c>
      <c r="BZ70" s="109">
        <f t="shared" si="57"/>
        <v>132829.80331243243</v>
      </c>
      <c r="CB70" s="58">
        <f t="array" ref="CB70">SUM(IF(BY70:BZ70&gt;=BY70, 1))</f>
        <v>2</v>
      </c>
      <c r="CC70" s="58">
        <f t="array" ref="CC70">SUM(IF(BY70:BZ70&gt;=BZ70, 1))</f>
        <v>1</v>
      </c>
      <c r="CE70" s="109">
        <f t="shared" si="58"/>
        <v>91001.439072465335</v>
      </c>
      <c r="CF70" s="109">
        <f t="shared" si="59"/>
        <v>97300.912322250035</v>
      </c>
      <c r="CH70" s="58">
        <f t="array" ref="CH70">SUM(IF(CE70:CF70&gt;=CE70, 1))</f>
        <v>2</v>
      </c>
      <c r="CI70" s="58">
        <f t="array" ref="CI70">SUM(IF(CE70:CF70&gt;=CF70, 1))</f>
        <v>1</v>
      </c>
      <c r="CK70" s="109">
        <f t="shared" si="60"/>
        <v>45388.447161098309</v>
      </c>
      <c r="CL70" s="109">
        <f t="shared" si="61"/>
        <v>46401.919491745364</v>
      </c>
      <c r="CN70" s="58">
        <f t="array" ref="CN70">SUM(IF(CK70:CL70&gt;=CK70, 1))</f>
        <v>2</v>
      </c>
      <c r="CO70" s="58">
        <f t="array" ref="CO70">SUM(IF(CK70:CL70&gt;=CL70, 1))</f>
        <v>1</v>
      </c>
      <c r="CQ70" s="109" cm="1">
        <f t="array" ref="CQ70">AF70*WTP-AC70</f>
        <v>33093.495638848734</v>
      </c>
      <c r="CR70" s="109">
        <f t="shared" si="62"/>
        <v>35437.413593546145</v>
      </c>
      <c r="CT70" s="58">
        <f t="array" ref="CT70">SUM(IF(CQ70:CR70&gt;=CQ70, 1))</f>
        <v>2</v>
      </c>
      <c r="CU70" s="58">
        <f t="array" ref="CU70">SUM(IF(CQ70:CR70&gt;=CR70, 1))</f>
        <v>1</v>
      </c>
      <c r="CW70" s="109">
        <f t="shared" si="63"/>
        <v>-34021111.408202827</v>
      </c>
      <c r="CX70" s="109">
        <f t="shared" si="64"/>
        <v>0</v>
      </c>
      <c r="CZ70" s="58">
        <f t="array" ref="CZ70">SUM(IF(CW70:CX70&gt;=CW70, 1))</f>
        <v>2</v>
      </c>
      <c r="DA70" s="58">
        <f t="array" ref="DA70">SUM(IF(CW70:CX70&gt;=CX70, 1))</f>
        <v>1</v>
      </c>
      <c r="DC70" s="109">
        <f t="shared" si="65"/>
        <v>-1878523.4125684174</v>
      </c>
      <c r="DD70" s="109">
        <f t="shared" si="66"/>
        <v>0</v>
      </c>
      <c r="DF70" s="58">
        <f t="array" ref="DF70">SUM(IF(DC70:DD70&gt;=DC70, 1))</f>
        <v>2</v>
      </c>
      <c r="DG70" s="58">
        <f t="array" ref="DG70">SUM(IF(DC70:DD70&gt;=DD70, 1))</f>
        <v>1</v>
      </c>
      <c r="DI70" s="109">
        <f t="shared" si="67"/>
        <v>-150434448.64950746</v>
      </c>
      <c r="DJ70" s="109">
        <f t="shared" si="68"/>
        <v>0</v>
      </c>
      <c r="DL70" s="58">
        <f t="array" ref="DL70">SUM(IF(DI70:DJ70&gt;=DI70, 1))</f>
        <v>2</v>
      </c>
      <c r="DM70" s="58">
        <f t="array" ref="DM70">SUM(IF(DI70:DJ70&gt;=DJ70, 1))</f>
        <v>1</v>
      </c>
      <c r="DO70" s="109">
        <f t="shared" si="69"/>
        <v>-8652775.0916405227</v>
      </c>
      <c r="DP70" s="109">
        <f t="shared" si="70"/>
        <v>0</v>
      </c>
      <c r="DR70" s="58">
        <f t="array" ref="DR70">SUM(IF(DO70:DP70&gt;=DO70, 1))</f>
        <v>2</v>
      </c>
      <c r="DS70" s="58">
        <f t="array" ref="DS70">SUM(IF(DO70:DP70&gt;=DP70, 1))</f>
        <v>1</v>
      </c>
      <c r="DU70" s="109">
        <f t="shared" si="71"/>
        <v>-36951563.592696048</v>
      </c>
      <c r="DV70" s="109">
        <f t="shared" si="72"/>
        <v>0</v>
      </c>
      <c r="DX70" s="58">
        <f t="array" ref="DX70">SUM(IF(DU70:DV70&gt;=DU70, 1))</f>
        <v>2</v>
      </c>
      <c r="DY70" s="58">
        <f t="array" ref="DY70">SUM(IF(DU70:DV70&gt;=DV70, 1))</f>
        <v>1</v>
      </c>
      <c r="EA70" s="109">
        <f t="shared" si="73"/>
        <v>-231938422.15461528</v>
      </c>
      <c r="EB70" s="109">
        <f t="shared" si="74"/>
        <v>0</v>
      </c>
      <c r="ED70" s="58">
        <f t="array" ref="ED70">SUM(IF(EA70:EB70&gt;=EA70, 1))</f>
        <v>2</v>
      </c>
      <c r="EE70" s="58">
        <f t="array" ref="EE70">SUM(IF(EA70:EB70&gt;=EB70, 1))</f>
        <v>1</v>
      </c>
    </row>
    <row r="71" spans="4:135" ht="12" customHeight="1" x14ac:dyDescent="0.25">
      <c r="D71" s="11">
        <v>55</v>
      </c>
      <c r="E71" s="72">
        <v>306.65087844764884</v>
      </c>
      <c r="F71" s="72">
        <v>268.28755216921257</v>
      </c>
      <c r="G71" s="73"/>
      <c r="H71" s="74">
        <v>5.8109621608668887</v>
      </c>
      <c r="I71" s="74">
        <v>5.8288033935111079</v>
      </c>
      <c r="J71" s="73"/>
      <c r="K71" s="72">
        <v>328.49594796262534</v>
      </c>
      <c r="L71" s="72">
        <v>289.21170465005247</v>
      </c>
      <c r="M71" s="73"/>
      <c r="N71" s="74">
        <v>6.7379412573875399</v>
      </c>
      <c r="O71" s="74">
        <v>6.7535888363523471</v>
      </c>
      <c r="P71" s="73"/>
      <c r="Q71" s="72">
        <v>2278.6004054855644</v>
      </c>
      <c r="R71" s="72">
        <v>1221.7450610190265</v>
      </c>
      <c r="S71" s="73"/>
      <c r="T71" s="74">
        <v>4.7175783672228659</v>
      </c>
      <c r="U71" s="74">
        <v>4.8151805496782609</v>
      </c>
      <c r="V71" s="73"/>
      <c r="W71" s="72">
        <v>12618.54105222432</v>
      </c>
      <c r="X71" s="72">
        <v>12574.624224894196</v>
      </c>
      <c r="Y71" s="73"/>
      <c r="Z71" s="74">
        <v>2.8877313385496257</v>
      </c>
      <c r="AA71" s="74">
        <v>2.9259208764427651</v>
      </c>
      <c r="AB71" s="73"/>
      <c r="AC71" s="72">
        <v>50567.372682191672</v>
      </c>
      <c r="AD71" s="72">
        <v>50382.558313672154</v>
      </c>
      <c r="AE71" s="73"/>
      <c r="AF71" s="74">
        <v>4.3107956022945553</v>
      </c>
      <c r="AG71" s="74">
        <v>4.3751925080739467</v>
      </c>
      <c r="AH71" s="73"/>
      <c r="AI71" s="72">
        <v>4114277.0389424269</v>
      </c>
      <c r="AJ71" s="72">
        <v>0</v>
      </c>
      <c r="AK71" s="73"/>
      <c r="AL71" s="74">
        <v>-1913.3839772335102</v>
      </c>
      <c r="AM71" s="74">
        <v>0</v>
      </c>
      <c r="AN71" s="73"/>
      <c r="AO71" s="72">
        <v>265631.18728055264</v>
      </c>
      <c r="AP71" s="72">
        <v>0</v>
      </c>
      <c r="AQ71" s="73"/>
      <c r="AR71" s="74">
        <v>-105.80539748254876</v>
      </c>
      <c r="AS71" s="74">
        <v>0</v>
      </c>
      <c r="AT71" s="73"/>
      <c r="AU71" s="72">
        <v>24523681.285283633</v>
      </c>
      <c r="AV71" s="72">
        <v>0</v>
      </c>
      <c r="AW71" s="73"/>
      <c r="AX71" s="74">
        <v>-2264.7988940174141</v>
      </c>
      <c r="AY71" s="74">
        <v>0</v>
      </c>
      <c r="AZ71" s="73"/>
      <c r="BA71" s="72">
        <v>402563.86215281062</v>
      </c>
      <c r="BB71" s="72">
        <v>0</v>
      </c>
      <c r="BC71" s="73"/>
      <c r="BD71" s="74">
        <v>-350.06462904363786</v>
      </c>
      <c r="BE71" s="74">
        <v>0</v>
      </c>
      <c r="BF71" s="73"/>
      <c r="BG71" s="72">
        <v>2867888.1611207365</v>
      </c>
      <c r="BH71" s="72">
        <v>0</v>
      </c>
      <c r="BI71" s="73"/>
      <c r="BJ71" s="74">
        <v>-999.28985596171685</v>
      </c>
      <c r="BK71" s="74">
        <v>0</v>
      </c>
      <c r="BL71" s="73"/>
      <c r="BM71" s="72">
        <v>32174041.53478016</v>
      </c>
      <c r="BN71" s="72">
        <v>0</v>
      </c>
      <c r="BO71" s="73"/>
      <c r="BP71" s="74">
        <v>-5633.3427537388279</v>
      </c>
      <c r="BQ71" s="74">
        <v>0</v>
      </c>
      <c r="BS71" s="109">
        <f t="shared" si="54"/>
        <v>115912.59233889013</v>
      </c>
      <c r="BT71" s="109">
        <f t="shared" si="55"/>
        <v>116307.78031805294</v>
      </c>
      <c r="BV71" s="58">
        <f t="array" ref="BV71">SUM(IF(BS71:BT71&gt;=BS71, 1))</f>
        <v>2</v>
      </c>
      <c r="BW71" s="58">
        <f t="array" ref="BW71">SUM(IF(BS71:BT71&gt;=BT71, 1))</f>
        <v>1</v>
      </c>
      <c r="BY71" s="109">
        <f t="shared" si="56"/>
        <v>134430.32919978816</v>
      </c>
      <c r="BZ71" s="109">
        <f t="shared" si="57"/>
        <v>134782.56502239688</v>
      </c>
      <c r="CB71" s="58">
        <f t="array" ref="CB71">SUM(IF(BY71:BZ71&gt;=BY71, 1))</f>
        <v>2</v>
      </c>
      <c r="CC71" s="58">
        <f t="array" ref="CC71">SUM(IF(BY71:BZ71&gt;=BZ71, 1))</f>
        <v>1</v>
      </c>
      <c r="CE71" s="109">
        <f t="shared" si="58"/>
        <v>92072.96693897176</v>
      </c>
      <c r="CF71" s="109">
        <f t="shared" si="59"/>
        <v>95081.865932546192</v>
      </c>
      <c r="CH71" s="58">
        <f t="array" ref="CH71">SUM(IF(CE71:CF71&gt;=CE71, 1))</f>
        <v>2</v>
      </c>
      <c r="CI71" s="58">
        <f t="array" ref="CI71">SUM(IF(CE71:CF71&gt;=CF71, 1))</f>
        <v>1</v>
      </c>
      <c r="CK71" s="109">
        <f t="shared" si="60"/>
        <v>45136.085718768198</v>
      </c>
      <c r="CL71" s="109">
        <f t="shared" si="61"/>
        <v>45943.793303961109</v>
      </c>
      <c r="CN71" s="58">
        <f t="array" ref="CN71">SUM(IF(CK71:CL71&gt;=CK71, 1))</f>
        <v>2</v>
      </c>
      <c r="CO71" s="58">
        <f t="array" ref="CO71">SUM(IF(CK71:CL71&gt;=CL71, 1))</f>
        <v>1</v>
      </c>
      <c r="CQ71" s="109" cm="1">
        <f t="array" ref="CQ71">AF71*WTP-AC71</f>
        <v>35648.539363699434</v>
      </c>
      <c r="CR71" s="109">
        <f t="shared" si="62"/>
        <v>37121.291847806773</v>
      </c>
      <c r="CT71" s="58">
        <f t="array" ref="CT71">SUM(IF(CQ71:CR71&gt;=CQ71, 1))</f>
        <v>2</v>
      </c>
      <c r="CU71" s="58">
        <f t="array" ref="CU71">SUM(IF(CQ71:CR71&gt;=CR71, 1))</f>
        <v>1</v>
      </c>
      <c r="CW71" s="109">
        <f t="shared" si="63"/>
        <v>-42381956.583612628</v>
      </c>
      <c r="CX71" s="109">
        <f t="shared" si="64"/>
        <v>0</v>
      </c>
      <c r="CZ71" s="58">
        <f t="array" ref="CZ71">SUM(IF(CW71:CX71&gt;=CW71, 1))</f>
        <v>2</v>
      </c>
      <c r="DA71" s="58">
        <f t="array" ref="DA71">SUM(IF(CW71:CX71&gt;=CX71, 1))</f>
        <v>1</v>
      </c>
      <c r="DC71" s="109">
        <f t="shared" si="65"/>
        <v>-2381739.1369315274</v>
      </c>
      <c r="DD71" s="109">
        <f t="shared" si="66"/>
        <v>0</v>
      </c>
      <c r="DF71" s="58">
        <f t="array" ref="DF71">SUM(IF(DC71:DD71&gt;=DC71, 1))</f>
        <v>2</v>
      </c>
      <c r="DG71" s="58">
        <f t="array" ref="DG71">SUM(IF(DC71:DD71&gt;=DD71, 1))</f>
        <v>1</v>
      </c>
      <c r="DI71" s="109">
        <f t="shared" si="67"/>
        <v>-69819659.16563192</v>
      </c>
      <c r="DJ71" s="109">
        <f t="shared" si="68"/>
        <v>0</v>
      </c>
      <c r="DL71" s="58">
        <f t="array" ref="DL71">SUM(IF(DI71:DJ71&gt;=DI71, 1))</f>
        <v>2</v>
      </c>
      <c r="DM71" s="58">
        <f t="array" ref="DM71">SUM(IF(DI71:DJ71&gt;=DJ71, 1))</f>
        <v>1</v>
      </c>
      <c r="DO71" s="109">
        <f t="shared" si="69"/>
        <v>-7403856.4430255676</v>
      </c>
      <c r="DP71" s="109">
        <f t="shared" si="70"/>
        <v>0</v>
      </c>
      <c r="DR71" s="58">
        <f t="array" ref="DR71">SUM(IF(DO71:DP71&gt;=DO71, 1))</f>
        <v>2</v>
      </c>
      <c r="DS71" s="58">
        <f t="array" ref="DS71">SUM(IF(DO71:DP71&gt;=DP71, 1))</f>
        <v>1</v>
      </c>
      <c r="DU71" s="109">
        <f t="shared" si="71"/>
        <v>-22853685.280355074</v>
      </c>
      <c r="DV71" s="109">
        <f t="shared" si="72"/>
        <v>0</v>
      </c>
      <c r="DX71" s="58">
        <f t="array" ref="DX71">SUM(IF(DU71:DV71&gt;=DU71, 1))</f>
        <v>2</v>
      </c>
      <c r="DY71" s="58">
        <f t="array" ref="DY71">SUM(IF(DU71:DV71&gt;=DV71, 1))</f>
        <v>1</v>
      </c>
      <c r="EA71" s="109">
        <f t="shared" si="73"/>
        <v>-144840896.60955673</v>
      </c>
      <c r="EB71" s="109">
        <f t="shared" si="74"/>
        <v>0</v>
      </c>
      <c r="ED71" s="58">
        <f t="array" ref="ED71">SUM(IF(EA71:EB71&gt;=EA71, 1))</f>
        <v>2</v>
      </c>
      <c r="EE71" s="58">
        <f t="array" ref="EE71">SUM(IF(EA71:EB71&gt;=EB71, 1))</f>
        <v>1</v>
      </c>
    </row>
    <row r="72" spans="4:135" ht="12" customHeight="1" x14ac:dyDescent="0.25">
      <c r="D72" s="11">
        <v>56</v>
      </c>
      <c r="E72" s="72">
        <v>238.74065596957354</v>
      </c>
      <c r="F72" s="72">
        <v>222.92637059032816</v>
      </c>
      <c r="G72" s="73"/>
      <c r="H72" s="74">
        <v>5.8215326494626289</v>
      </c>
      <c r="I72" s="74">
        <v>5.8388251069270058</v>
      </c>
      <c r="J72" s="73"/>
      <c r="K72" s="72">
        <v>256.6457432442844</v>
      </c>
      <c r="L72" s="72">
        <v>240.45430757323859</v>
      </c>
      <c r="M72" s="73"/>
      <c r="N72" s="74">
        <v>6.7146151846129998</v>
      </c>
      <c r="O72" s="74">
        <v>6.7298794990344906</v>
      </c>
      <c r="P72" s="73"/>
      <c r="Q72" s="72">
        <v>1724.7857060377378</v>
      </c>
      <c r="R72" s="72">
        <v>1409.8207536399589</v>
      </c>
      <c r="S72" s="73"/>
      <c r="T72" s="74">
        <v>4.8442192003945292</v>
      </c>
      <c r="U72" s="74">
        <v>4.8766926239453889</v>
      </c>
      <c r="V72" s="73"/>
      <c r="W72" s="72">
        <v>14730.135011056709</v>
      </c>
      <c r="X72" s="72">
        <v>14703.242648494854</v>
      </c>
      <c r="Y72" s="73"/>
      <c r="Z72" s="74">
        <v>3.1173695573374847</v>
      </c>
      <c r="AA72" s="74">
        <v>3.1655255866357686</v>
      </c>
      <c r="AB72" s="73"/>
      <c r="AC72" s="72">
        <v>52203.454237667465</v>
      </c>
      <c r="AD72" s="72">
        <v>51514.098726553617</v>
      </c>
      <c r="AE72" s="73"/>
      <c r="AF72" s="74">
        <v>4.8999409821975428</v>
      </c>
      <c r="AG72" s="74">
        <v>5.0686581821201475</v>
      </c>
      <c r="AH72" s="73"/>
      <c r="AI72" s="72">
        <v>1713440.3006038151</v>
      </c>
      <c r="AJ72" s="72">
        <v>0</v>
      </c>
      <c r="AK72" s="73"/>
      <c r="AL72" s="74">
        <v>-1873.5967389855284</v>
      </c>
      <c r="AM72" s="74">
        <v>0</v>
      </c>
      <c r="AN72" s="73"/>
      <c r="AO72" s="72">
        <v>107800.25086598736</v>
      </c>
      <c r="AP72" s="72">
        <v>0</v>
      </c>
      <c r="AQ72" s="73"/>
      <c r="AR72" s="74">
        <v>-101.62761087804961</v>
      </c>
      <c r="AS72" s="74">
        <v>0</v>
      </c>
      <c r="AT72" s="73"/>
      <c r="AU72" s="72">
        <v>7206296.1309734872</v>
      </c>
      <c r="AV72" s="72">
        <v>0</v>
      </c>
      <c r="AW72" s="73"/>
      <c r="AX72" s="74">
        <v>-742.98141654339099</v>
      </c>
      <c r="AY72" s="74">
        <v>0</v>
      </c>
      <c r="AZ72" s="73"/>
      <c r="BA72" s="72">
        <v>240069.70623952395</v>
      </c>
      <c r="BB72" s="72">
        <v>0</v>
      </c>
      <c r="BC72" s="73"/>
      <c r="BD72" s="74">
        <v>-429.89171296161857</v>
      </c>
      <c r="BE72" s="74">
        <v>0</v>
      </c>
      <c r="BF72" s="73"/>
      <c r="BG72" s="72">
        <v>10745828.805563906</v>
      </c>
      <c r="BH72" s="72">
        <v>0</v>
      </c>
      <c r="BI72" s="73"/>
      <c r="BJ72" s="74">
        <v>-2630.0016721313891</v>
      </c>
      <c r="BK72" s="74">
        <v>0</v>
      </c>
      <c r="BL72" s="73"/>
      <c r="BM72" s="72">
        <v>20013435.194246717</v>
      </c>
      <c r="BN72" s="72">
        <v>0</v>
      </c>
      <c r="BO72" s="73"/>
      <c r="BP72" s="74">
        <v>-5778.0991514999769</v>
      </c>
      <c r="BQ72" s="74">
        <v>0</v>
      </c>
      <c r="BS72" s="109">
        <f t="shared" si="54"/>
        <v>116191.91233328301</v>
      </c>
      <c r="BT72" s="109">
        <f t="shared" si="55"/>
        <v>116553.57576794979</v>
      </c>
      <c r="BV72" s="58">
        <f t="array" ref="BV72">SUM(IF(BS72:BT72&gt;=BS72, 1))</f>
        <v>2</v>
      </c>
      <c r="BW72" s="58">
        <f t="array" ref="BW72">SUM(IF(BS72:BT72&gt;=BT72, 1))</f>
        <v>1</v>
      </c>
      <c r="BY72" s="109">
        <f t="shared" si="56"/>
        <v>134035.6579490157</v>
      </c>
      <c r="BZ72" s="109">
        <f t="shared" si="57"/>
        <v>134357.13567311657</v>
      </c>
      <c r="CB72" s="58">
        <f t="array" ref="CB72">SUM(IF(BY72:BZ72&gt;=BY72, 1))</f>
        <v>2</v>
      </c>
      <c r="CC72" s="58">
        <f t="array" ref="CC72">SUM(IF(BY72:BZ72&gt;=BZ72, 1))</f>
        <v>1</v>
      </c>
      <c r="CE72" s="109">
        <f t="shared" si="58"/>
        <v>95159.598301852835</v>
      </c>
      <c r="CF72" s="109">
        <f t="shared" si="59"/>
        <v>96124.031725267821</v>
      </c>
      <c r="CH72" s="58">
        <f t="array" ref="CH72">SUM(IF(CE72:CF72&gt;=CE72, 1))</f>
        <v>2</v>
      </c>
      <c r="CI72" s="58">
        <f t="array" ref="CI72">SUM(IF(CE72:CF72&gt;=CF72, 1))</f>
        <v>1</v>
      </c>
      <c r="CK72" s="109">
        <f t="shared" si="60"/>
        <v>47617.256135692987</v>
      </c>
      <c r="CL72" s="109">
        <f t="shared" si="61"/>
        <v>48607.269084220519</v>
      </c>
      <c r="CN72" s="58">
        <f t="array" ref="CN72">SUM(IF(CK72:CL72&gt;=CK72, 1))</f>
        <v>2</v>
      </c>
      <c r="CO72" s="58">
        <f t="array" ref="CO72">SUM(IF(CK72:CL72&gt;=CL72, 1))</f>
        <v>1</v>
      </c>
      <c r="CQ72" s="109" cm="1">
        <f t="array" ref="CQ72">AF72*WTP-AC72</f>
        <v>45795.365406283396</v>
      </c>
      <c r="CR72" s="109">
        <f t="shared" si="62"/>
        <v>49859.06491584934</v>
      </c>
      <c r="CT72" s="58">
        <f t="array" ref="CT72">SUM(IF(CQ72:CR72&gt;=CQ72, 1))</f>
        <v>2</v>
      </c>
      <c r="CU72" s="58">
        <f t="array" ref="CU72">SUM(IF(CQ72:CR72&gt;=CR72, 1))</f>
        <v>1</v>
      </c>
      <c r="CW72" s="109">
        <f t="shared" si="63"/>
        <v>-39185375.080314383</v>
      </c>
      <c r="CX72" s="109">
        <f t="shared" si="64"/>
        <v>0</v>
      </c>
      <c r="CZ72" s="58">
        <f t="array" ref="CZ72">SUM(IF(CW72:CX72&gt;=CW72, 1))</f>
        <v>2</v>
      </c>
      <c r="DA72" s="58">
        <f t="array" ref="DA72">SUM(IF(CW72:CX72&gt;=CX72, 1))</f>
        <v>1</v>
      </c>
      <c r="DC72" s="109">
        <f t="shared" si="65"/>
        <v>-2140352.4684269796</v>
      </c>
      <c r="DD72" s="109">
        <f t="shared" si="66"/>
        <v>0</v>
      </c>
      <c r="DF72" s="58">
        <f t="array" ref="DF72">SUM(IF(DC72:DD72&gt;=DC72, 1))</f>
        <v>2</v>
      </c>
      <c r="DG72" s="58">
        <f t="array" ref="DG72">SUM(IF(DC72:DD72&gt;=DD72, 1))</f>
        <v>1</v>
      </c>
      <c r="DI72" s="109">
        <f t="shared" si="67"/>
        <v>-22065924.461841308</v>
      </c>
      <c r="DJ72" s="109">
        <f t="shared" si="68"/>
        <v>0</v>
      </c>
      <c r="DL72" s="58">
        <f t="array" ref="DL72">SUM(IF(DI72:DJ72&gt;=DI72, 1))</f>
        <v>2</v>
      </c>
      <c r="DM72" s="58">
        <f t="array" ref="DM72">SUM(IF(DI72:DJ72&gt;=DJ72, 1))</f>
        <v>1</v>
      </c>
      <c r="DO72" s="109">
        <f t="shared" si="69"/>
        <v>-8837903.9654718954</v>
      </c>
      <c r="DP72" s="109">
        <f t="shared" si="70"/>
        <v>0</v>
      </c>
      <c r="DR72" s="58">
        <f t="array" ref="DR72">SUM(IF(DO72:DP72&gt;=DO72, 1))</f>
        <v>2</v>
      </c>
      <c r="DS72" s="58">
        <f t="array" ref="DS72">SUM(IF(DO72:DP72&gt;=DP72, 1))</f>
        <v>1</v>
      </c>
      <c r="DU72" s="109">
        <f t="shared" si="71"/>
        <v>-63345862.248191684</v>
      </c>
      <c r="DV72" s="109">
        <f t="shared" si="72"/>
        <v>0</v>
      </c>
      <c r="DX72" s="58">
        <f t="array" ref="DX72">SUM(IF(DU72:DV72&gt;=DU72, 1))</f>
        <v>2</v>
      </c>
      <c r="DY72" s="58">
        <f t="array" ref="DY72">SUM(IF(DU72:DV72&gt;=DV72, 1))</f>
        <v>1</v>
      </c>
      <c r="EA72" s="109">
        <f t="shared" si="73"/>
        <v>-135575418.22424626</v>
      </c>
      <c r="EB72" s="109">
        <f t="shared" si="74"/>
        <v>0</v>
      </c>
      <c r="ED72" s="58">
        <f t="array" ref="ED72">SUM(IF(EA72:EB72&gt;=EA72, 1))</f>
        <v>2</v>
      </c>
      <c r="EE72" s="58">
        <f t="array" ref="EE72">SUM(IF(EA72:EB72&gt;=EB72, 1))</f>
        <v>1</v>
      </c>
    </row>
    <row r="73" spans="4:135" ht="12" customHeight="1" x14ac:dyDescent="0.25">
      <c r="D73" s="11">
        <v>57</v>
      </c>
      <c r="E73" s="72">
        <v>291.04523221185332</v>
      </c>
      <c r="F73" s="72">
        <v>256.48684819965939</v>
      </c>
      <c r="G73" s="73"/>
      <c r="H73" s="74">
        <v>5.83066560853044</v>
      </c>
      <c r="I73" s="74">
        <v>5.8466522427474139</v>
      </c>
      <c r="J73" s="73"/>
      <c r="K73" s="72">
        <v>311.9189624434772</v>
      </c>
      <c r="L73" s="72">
        <v>276.5440441857919</v>
      </c>
      <c r="M73" s="73"/>
      <c r="N73" s="74">
        <v>6.6732414942230047</v>
      </c>
      <c r="O73" s="74">
        <v>6.6866842894720282</v>
      </c>
      <c r="P73" s="73"/>
      <c r="Q73" s="72">
        <v>1464.1656802736718</v>
      </c>
      <c r="R73" s="72">
        <v>1291.6101819350622</v>
      </c>
      <c r="S73" s="73"/>
      <c r="T73" s="74">
        <v>4.9992178721878915</v>
      </c>
      <c r="U73" s="74">
        <v>5.0292639335625369</v>
      </c>
      <c r="V73" s="73"/>
      <c r="W73" s="72">
        <v>10740.974170837981</v>
      </c>
      <c r="X73" s="72">
        <v>10795.395005053233</v>
      </c>
      <c r="Y73" s="73"/>
      <c r="Z73" s="74">
        <v>3.224310006702698</v>
      </c>
      <c r="AA73" s="74">
        <v>3.2948095604219949</v>
      </c>
      <c r="AB73" s="73"/>
      <c r="AC73" s="72">
        <v>49753.621810432167</v>
      </c>
      <c r="AD73" s="72">
        <v>49745.920500692642</v>
      </c>
      <c r="AE73" s="73"/>
      <c r="AF73" s="74">
        <v>4.6579168314206827</v>
      </c>
      <c r="AG73" s="74">
        <v>4.731490966146076</v>
      </c>
      <c r="AH73" s="73"/>
      <c r="AI73" s="72">
        <v>3673127.9993445268</v>
      </c>
      <c r="AJ73" s="72">
        <v>0</v>
      </c>
      <c r="AK73" s="73"/>
      <c r="AL73" s="74">
        <v>-1699.1811230793182</v>
      </c>
      <c r="AM73" s="74">
        <v>0</v>
      </c>
      <c r="AN73" s="73"/>
      <c r="AO73" s="72">
        <v>256061.01397060393</v>
      </c>
      <c r="AP73" s="72">
        <v>0</v>
      </c>
      <c r="AQ73" s="73"/>
      <c r="AR73" s="74">
        <v>-97.305547308688034</v>
      </c>
      <c r="AS73" s="74">
        <v>0</v>
      </c>
      <c r="AT73" s="73"/>
      <c r="AU73" s="72">
        <v>3966723.4486102615</v>
      </c>
      <c r="AV73" s="72">
        <v>0</v>
      </c>
      <c r="AW73" s="73"/>
      <c r="AX73" s="74">
        <v>-690.70193265769262</v>
      </c>
      <c r="AY73" s="74">
        <v>0</v>
      </c>
      <c r="AZ73" s="73"/>
      <c r="BA73" s="72">
        <v>-496723.25511752319</v>
      </c>
      <c r="BB73" s="72">
        <v>0</v>
      </c>
      <c r="BC73" s="73"/>
      <c r="BD73" s="74">
        <v>-643.48090786831858</v>
      </c>
      <c r="BE73" s="74">
        <v>0</v>
      </c>
      <c r="BF73" s="73"/>
      <c r="BG73" s="72">
        <v>115144.10325333972</v>
      </c>
      <c r="BH73" s="72">
        <v>0</v>
      </c>
      <c r="BI73" s="73"/>
      <c r="BJ73" s="74">
        <v>-1100.0242883515839</v>
      </c>
      <c r="BK73" s="74">
        <v>0</v>
      </c>
      <c r="BL73" s="73"/>
      <c r="BM73" s="72">
        <v>7514333.3100612089</v>
      </c>
      <c r="BN73" s="72">
        <v>0</v>
      </c>
      <c r="BO73" s="73"/>
      <c r="BP73" s="74">
        <v>-4230.6937992656012</v>
      </c>
      <c r="BQ73" s="74">
        <v>0</v>
      </c>
      <c r="BS73" s="109">
        <f t="shared" si="54"/>
        <v>116322.26693839695</v>
      </c>
      <c r="BT73" s="109">
        <f t="shared" si="55"/>
        <v>116676.55800674863</v>
      </c>
      <c r="BV73" s="58">
        <f t="array" ref="BV73">SUM(IF(BS73:BT73&gt;=BS73, 1))</f>
        <v>2</v>
      </c>
      <c r="BW73" s="58">
        <f t="array" ref="BW73">SUM(IF(BS73:BT73&gt;=BT73, 1))</f>
        <v>1</v>
      </c>
      <c r="BY73" s="109">
        <f t="shared" si="56"/>
        <v>133152.91092201663</v>
      </c>
      <c r="BZ73" s="109">
        <f t="shared" si="57"/>
        <v>133457.14174525478</v>
      </c>
      <c r="CB73" s="58">
        <f t="array" ref="CB73">SUM(IF(BY73:BZ73&gt;=BY73, 1))</f>
        <v>2</v>
      </c>
      <c r="CC73" s="58">
        <f t="array" ref="CC73">SUM(IF(BY73:BZ73&gt;=BZ73, 1))</f>
        <v>1</v>
      </c>
      <c r="CE73" s="109">
        <f t="shared" si="58"/>
        <v>98520.191763484167</v>
      </c>
      <c r="CF73" s="109">
        <f t="shared" si="59"/>
        <v>99293.668489315678</v>
      </c>
      <c r="CH73" s="58">
        <f t="array" ref="CH73">SUM(IF(CE73:CF73&gt;=CE73, 1))</f>
        <v>2</v>
      </c>
      <c r="CI73" s="58">
        <f t="array" ref="CI73">SUM(IF(CE73:CF73&gt;=CF73, 1))</f>
        <v>1</v>
      </c>
      <c r="CK73" s="109">
        <f t="shared" si="60"/>
        <v>53745.225963215977</v>
      </c>
      <c r="CL73" s="109">
        <f t="shared" si="61"/>
        <v>55100.796203386664</v>
      </c>
      <c r="CN73" s="58">
        <f t="array" ref="CN73">SUM(IF(CK73:CL73&gt;=CK73, 1))</f>
        <v>2</v>
      </c>
      <c r="CO73" s="58">
        <f t="array" ref="CO73">SUM(IF(CK73:CL73&gt;=CL73, 1))</f>
        <v>1</v>
      </c>
      <c r="CQ73" s="109" cm="1">
        <f t="array" ref="CQ73">AF73*WTP-AC73</f>
        <v>43404.71481798149</v>
      </c>
      <c r="CR73" s="109">
        <f t="shared" si="62"/>
        <v>44883.898822228883</v>
      </c>
      <c r="CT73" s="58">
        <f t="array" ref="CT73">SUM(IF(CQ73:CR73&gt;=CQ73, 1))</f>
        <v>2</v>
      </c>
      <c r="CU73" s="58">
        <f t="array" ref="CU73">SUM(IF(CQ73:CR73&gt;=CR73, 1))</f>
        <v>1</v>
      </c>
      <c r="CW73" s="109">
        <f t="shared" si="63"/>
        <v>-37656750.460930891</v>
      </c>
      <c r="CX73" s="109">
        <f t="shared" si="64"/>
        <v>0</v>
      </c>
      <c r="CZ73" s="58">
        <f t="array" ref="CZ73">SUM(IF(CW73:CX73&gt;=CW73, 1))</f>
        <v>2</v>
      </c>
      <c r="DA73" s="58">
        <f t="array" ref="DA73">SUM(IF(CW73:CX73&gt;=CX73, 1))</f>
        <v>1</v>
      </c>
      <c r="DC73" s="109">
        <f t="shared" si="65"/>
        <v>-2202171.9601443643</v>
      </c>
      <c r="DD73" s="109">
        <f t="shared" si="66"/>
        <v>0</v>
      </c>
      <c r="DF73" s="58">
        <f t="array" ref="DF73">SUM(IF(DC73:DD73&gt;=DC73, 1))</f>
        <v>2</v>
      </c>
      <c r="DG73" s="58">
        <f t="array" ref="DG73">SUM(IF(DC73:DD73&gt;=DD73, 1))</f>
        <v>1</v>
      </c>
      <c r="DI73" s="109">
        <f t="shared" si="67"/>
        <v>-17780762.101764113</v>
      </c>
      <c r="DJ73" s="109">
        <f t="shared" si="68"/>
        <v>0</v>
      </c>
      <c r="DL73" s="58">
        <f t="array" ref="DL73">SUM(IF(DI73:DJ73&gt;=DI73, 1))</f>
        <v>2</v>
      </c>
      <c r="DM73" s="58">
        <f t="array" ref="DM73">SUM(IF(DI73:DJ73&gt;=DJ73, 1))</f>
        <v>1</v>
      </c>
      <c r="DO73" s="109">
        <f t="shared" si="69"/>
        <v>-12372894.902248848</v>
      </c>
      <c r="DP73" s="109">
        <f t="shared" si="70"/>
        <v>0</v>
      </c>
      <c r="DR73" s="58">
        <f t="array" ref="DR73">SUM(IF(DO73:DP73&gt;=DO73, 1))</f>
        <v>2</v>
      </c>
      <c r="DS73" s="58">
        <f t="array" ref="DS73">SUM(IF(DO73:DP73&gt;=DP73, 1))</f>
        <v>1</v>
      </c>
      <c r="DU73" s="109">
        <f t="shared" si="71"/>
        <v>-22115629.870285016</v>
      </c>
      <c r="DV73" s="109">
        <f t="shared" si="72"/>
        <v>0</v>
      </c>
      <c r="DX73" s="58">
        <f t="array" ref="DX73">SUM(IF(DU73:DV73&gt;=DU73, 1))</f>
        <v>2</v>
      </c>
      <c r="DY73" s="58">
        <f t="array" ref="DY73">SUM(IF(DU73:DV73&gt;=DV73, 1))</f>
        <v>1</v>
      </c>
      <c r="EA73" s="109">
        <f t="shared" si="73"/>
        <v>-92128209.295373231</v>
      </c>
      <c r="EB73" s="109">
        <f t="shared" si="74"/>
        <v>0</v>
      </c>
      <c r="ED73" s="58">
        <f t="array" ref="ED73">SUM(IF(EA73:EB73&gt;=EA73, 1))</f>
        <v>2</v>
      </c>
      <c r="EE73" s="58">
        <f t="array" ref="EE73">SUM(IF(EA73:EB73&gt;=EB73, 1))</f>
        <v>1</v>
      </c>
    </row>
    <row r="74" spans="4:135" ht="12" customHeight="1" x14ac:dyDescent="0.25">
      <c r="D74" s="11">
        <v>58</v>
      </c>
      <c r="E74" s="72">
        <v>226.72150248701982</v>
      </c>
      <c r="F74" s="72">
        <v>200.59663940613038</v>
      </c>
      <c r="G74" s="73"/>
      <c r="H74" s="74">
        <v>5.8756397788307844</v>
      </c>
      <c r="I74" s="74">
        <v>5.8933832273155344</v>
      </c>
      <c r="J74" s="73"/>
      <c r="K74" s="72">
        <v>243.04653816918861</v>
      </c>
      <c r="L74" s="72">
        <v>216.33299886435344</v>
      </c>
      <c r="M74" s="73"/>
      <c r="N74" s="74">
        <v>6.6584274230673399</v>
      </c>
      <c r="O74" s="74">
        <v>6.6741093950679193</v>
      </c>
      <c r="P74" s="73"/>
      <c r="Q74" s="72">
        <v>2034.985136247617</v>
      </c>
      <c r="R74" s="72">
        <v>1091.4654160475623</v>
      </c>
      <c r="S74" s="73"/>
      <c r="T74" s="74">
        <v>4.9611293481301599</v>
      </c>
      <c r="U74" s="74">
        <v>5.040041001817027</v>
      </c>
      <c r="V74" s="73"/>
      <c r="W74" s="72">
        <v>10714.028822806349</v>
      </c>
      <c r="X74" s="72">
        <v>10771.779781254167</v>
      </c>
      <c r="Y74" s="73"/>
      <c r="Z74" s="74">
        <v>3.0600663993564634</v>
      </c>
      <c r="AA74" s="74">
        <v>3.1407137080745646</v>
      </c>
      <c r="AB74" s="73"/>
      <c r="AC74" s="72">
        <v>50785.50440109706</v>
      </c>
      <c r="AD74" s="72">
        <v>49672.733727486775</v>
      </c>
      <c r="AE74" s="73"/>
      <c r="AF74" s="74">
        <v>4.2617252781451702</v>
      </c>
      <c r="AG74" s="74">
        <v>4.4027623659431132</v>
      </c>
      <c r="AH74" s="73"/>
      <c r="AI74" s="72">
        <v>2813781.9828048274</v>
      </c>
      <c r="AJ74" s="72">
        <v>0</v>
      </c>
      <c r="AK74" s="73"/>
      <c r="AL74" s="74">
        <v>-1911.0605672699887</v>
      </c>
      <c r="AM74" s="74">
        <v>0</v>
      </c>
      <c r="AN74" s="73"/>
      <c r="AO74" s="72">
        <v>187161.68603232858</v>
      </c>
      <c r="AP74" s="72">
        <v>0</v>
      </c>
      <c r="AQ74" s="73"/>
      <c r="AR74" s="74">
        <v>-109.87178772709326</v>
      </c>
      <c r="AS74" s="74">
        <v>0</v>
      </c>
      <c r="AT74" s="73"/>
      <c r="AU74" s="72">
        <v>22301757.528113507</v>
      </c>
      <c r="AV74" s="72">
        <v>0</v>
      </c>
      <c r="AW74" s="73"/>
      <c r="AX74" s="74">
        <v>-1865.2165174606287</v>
      </c>
      <c r="AY74" s="74">
        <v>0</v>
      </c>
      <c r="AZ74" s="73"/>
      <c r="BA74" s="72">
        <v>-522432.82716232951</v>
      </c>
      <c r="BB74" s="72">
        <v>0</v>
      </c>
      <c r="BC74" s="73"/>
      <c r="BD74" s="74">
        <v>-729.56021214264445</v>
      </c>
      <c r="BE74" s="74">
        <v>0</v>
      </c>
      <c r="BF74" s="73"/>
      <c r="BG74" s="72">
        <v>17809118.420117602</v>
      </c>
      <c r="BH74" s="72">
        <v>0</v>
      </c>
      <c r="BI74" s="73"/>
      <c r="BJ74" s="74">
        <v>-2257.2002100603127</v>
      </c>
      <c r="BK74" s="74">
        <v>0</v>
      </c>
      <c r="BL74" s="73"/>
      <c r="BM74" s="72">
        <v>42589386.789905936</v>
      </c>
      <c r="BN74" s="72">
        <v>0</v>
      </c>
      <c r="BO74" s="73"/>
      <c r="BP74" s="74">
        <v>-6872.909294660667</v>
      </c>
      <c r="BQ74" s="74">
        <v>0</v>
      </c>
      <c r="BS74" s="109">
        <f t="shared" si="54"/>
        <v>117286.07407412866</v>
      </c>
      <c r="BT74" s="109">
        <f t="shared" si="55"/>
        <v>117667.06790690456</v>
      </c>
      <c r="BV74" s="58">
        <f t="array" ref="BV74">SUM(IF(BS74:BT74&gt;=BS74, 1))</f>
        <v>2</v>
      </c>
      <c r="BW74" s="58">
        <f t="array" ref="BW74">SUM(IF(BS74:BT74&gt;=BT74, 1))</f>
        <v>1</v>
      </c>
      <c r="BY74" s="109">
        <f t="shared" si="56"/>
        <v>132925.50192317762</v>
      </c>
      <c r="BZ74" s="109">
        <f t="shared" si="57"/>
        <v>133265.85490249403</v>
      </c>
      <c r="CB74" s="58">
        <f t="array" ref="CB74">SUM(IF(BY74:BZ74&gt;=BY74, 1))</f>
        <v>2</v>
      </c>
      <c r="CC74" s="58">
        <f t="array" ref="CC74">SUM(IF(BY74:BZ74&gt;=BZ74, 1))</f>
        <v>1</v>
      </c>
      <c r="CE74" s="109">
        <f t="shared" si="58"/>
        <v>97187.601826355574</v>
      </c>
      <c r="CF74" s="109">
        <f t="shared" si="59"/>
        <v>99709.354620292972</v>
      </c>
      <c r="CH74" s="58">
        <f t="array" ref="CH74">SUM(IF(CE74:CF74&gt;=CE74, 1))</f>
        <v>2</v>
      </c>
      <c r="CI74" s="58">
        <f t="array" ref="CI74">SUM(IF(CE74:CF74&gt;=CF74, 1))</f>
        <v>1</v>
      </c>
      <c r="CK74" s="109">
        <f t="shared" si="60"/>
        <v>50487.299164322918</v>
      </c>
      <c r="CL74" s="109">
        <f t="shared" si="61"/>
        <v>52042.494380237127</v>
      </c>
      <c r="CN74" s="58">
        <f t="array" ref="CN74">SUM(IF(CK74:CL74&gt;=CK74, 1))</f>
        <v>2</v>
      </c>
      <c r="CO74" s="58">
        <f t="array" ref="CO74">SUM(IF(CK74:CL74&gt;=CL74, 1))</f>
        <v>1</v>
      </c>
      <c r="CQ74" s="109" cm="1">
        <f t="array" ref="CQ74">AF74*WTP-AC74</f>
        <v>34449.001161806344</v>
      </c>
      <c r="CR74" s="109">
        <f t="shared" si="62"/>
        <v>38382.513591375493</v>
      </c>
      <c r="CT74" s="58">
        <f t="array" ref="CT74">SUM(IF(CQ74:CR74&gt;=CQ74, 1))</f>
        <v>2</v>
      </c>
      <c r="CU74" s="58">
        <f t="array" ref="CU74">SUM(IF(CQ74:CR74&gt;=CR74, 1))</f>
        <v>1</v>
      </c>
      <c r="CW74" s="109">
        <f t="shared" si="63"/>
        <v>-41034993.328204602</v>
      </c>
      <c r="CX74" s="109">
        <f t="shared" si="64"/>
        <v>0</v>
      </c>
      <c r="CZ74" s="58">
        <f t="array" ref="CZ74">SUM(IF(CW74:CX74&gt;=CW74, 1))</f>
        <v>2</v>
      </c>
      <c r="DA74" s="58">
        <f t="array" ref="DA74">SUM(IF(CW74:CX74&gt;=CX74, 1))</f>
        <v>1</v>
      </c>
      <c r="DC74" s="109">
        <f t="shared" si="65"/>
        <v>-2384597.4405741938</v>
      </c>
      <c r="DD74" s="109">
        <f t="shared" si="66"/>
        <v>0</v>
      </c>
      <c r="DF74" s="58">
        <f t="array" ref="DF74">SUM(IF(DC74:DD74&gt;=DC74, 1))</f>
        <v>2</v>
      </c>
      <c r="DG74" s="58">
        <f t="array" ref="DG74">SUM(IF(DC74:DD74&gt;=DD74, 1))</f>
        <v>1</v>
      </c>
      <c r="DI74" s="109">
        <f t="shared" si="67"/>
        <v>-59606087.877326079</v>
      </c>
      <c r="DJ74" s="109">
        <f t="shared" si="68"/>
        <v>0</v>
      </c>
      <c r="DL74" s="58">
        <f t="array" ref="DL74">SUM(IF(DI74:DJ74&gt;=DI74, 1))</f>
        <v>2</v>
      </c>
      <c r="DM74" s="58">
        <f t="array" ref="DM74">SUM(IF(DI74:DJ74&gt;=DJ74, 1))</f>
        <v>1</v>
      </c>
      <c r="DO74" s="109">
        <f t="shared" si="69"/>
        <v>-14068771.41569056</v>
      </c>
      <c r="DP74" s="109">
        <f t="shared" si="70"/>
        <v>0</v>
      </c>
      <c r="DR74" s="58">
        <f t="array" ref="DR74">SUM(IF(DO74:DP74&gt;=DO74, 1))</f>
        <v>2</v>
      </c>
      <c r="DS74" s="58">
        <f t="array" ref="DS74">SUM(IF(DO74:DP74&gt;=DP74, 1))</f>
        <v>1</v>
      </c>
      <c r="DU74" s="109">
        <f t="shared" si="71"/>
        <v>-62953122.621323854</v>
      </c>
      <c r="DV74" s="109">
        <f t="shared" si="72"/>
        <v>0</v>
      </c>
      <c r="DX74" s="58">
        <f t="array" ref="DX74">SUM(IF(DU74:DV74&gt;=DU74, 1))</f>
        <v>2</v>
      </c>
      <c r="DY74" s="58">
        <f t="array" ref="DY74">SUM(IF(DU74:DV74&gt;=DV74, 1))</f>
        <v>1</v>
      </c>
      <c r="EA74" s="109">
        <f t="shared" si="73"/>
        <v>-180047572.68311927</v>
      </c>
      <c r="EB74" s="109">
        <f t="shared" si="74"/>
        <v>0</v>
      </c>
      <c r="ED74" s="58">
        <f t="array" ref="ED74">SUM(IF(EA74:EB74&gt;=EA74, 1))</f>
        <v>2</v>
      </c>
      <c r="EE74" s="58">
        <f t="array" ref="EE74">SUM(IF(EA74:EB74&gt;=EB74, 1))</f>
        <v>1</v>
      </c>
    </row>
    <row r="75" spans="4:135" ht="12" customHeight="1" x14ac:dyDescent="0.25">
      <c r="D75" s="11">
        <v>59</v>
      </c>
      <c r="E75" s="72">
        <v>242.50135126313751</v>
      </c>
      <c r="F75" s="72">
        <v>224.73455046430723</v>
      </c>
      <c r="G75" s="73"/>
      <c r="H75" s="74">
        <v>5.8258815294210402</v>
      </c>
      <c r="I75" s="74">
        <v>5.8396981436716171</v>
      </c>
      <c r="J75" s="73"/>
      <c r="K75" s="72">
        <v>260.4112636355751</v>
      </c>
      <c r="L75" s="72">
        <v>242.20228652880053</v>
      </c>
      <c r="M75" s="73"/>
      <c r="N75" s="74">
        <v>6.6632103374516385</v>
      </c>
      <c r="O75" s="74">
        <v>6.6747441711624624</v>
      </c>
      <c r="P75" s="73"/>
      <c r="Q75" s="72">
        <v>3065.7137907518641</v>
      </c>
      <c r="R75" s="72">
        <v>1655.8398662277089</v>
      </c>
      <c r="S75" s="73"/>
      <c r="T75" s="74">
        <v>4.7479002532444632</v>
      </c>
      <c r="U75" s="74">
        <v>4.8412561408261547</v>
      </c>
      <c r="V75" s="73"/>
      <c r="W75" s="72">
        <v>12854.22377789502</v>
      </c>
      <c r="X75" s="72">
        <v>12849.83037982554</v>
      </c>
      <c r="Y75" s="73"/>
      <c r="Z75" s="74">
        <v>2.8081194792081345</v>
      </c>
      <c r="AA75" s="74">
        <v>2.8575603787809962</v>
      </c>
      <c r="AB75" s="73"/>
      <c r="AC75" s="72">
        <v>49544.145119047382</v>
      </c>
      <c r="AD75" s="72">
        <v>49139.659720799922</v>
      </c>
      <c r="AE75" s="73"/>
      <c r="AF75" s="74">
        <v>4.0889748521484188</v>
      </c>
      <c r="AG75" s="74">
        <v>4.2240742987471807</v>
      </c>
      <c r="AH75" s="73"/>
      <c r="AI75" s="72">
        <v>1903835.2223250482</v>
      </c>
      <c r="AJ75" s="72">
        <v>0</v>
      </c>
      <c r="AK75" s="73"/>
      <c r="AL75" s="74">
        <v>-1480.5454938887099</v>
      </c>
      <c r="AM75" s="74">
        <v>0</v>
      </c>
      <c r="AN75" s="73"/>
      <c r="AO75" s="72">
        <v>124653.55781756467</v>
      </c>
      <c r="AP75" s="72">
        <v>0</v>
      </c>
      <c r="AQ75" s="73"/>
      <c r="AR75" s="74">
        <v>-78.957395514296479</v>
      </c>
      <c r="AS75" s="74">
        <v>0</v>
      </c>
      <c r="AT75" s="73"/>
      <c r="AU75" s="72">
        <v>33250312.609894518</v>
      </c>
      <c r="AV75" s="72">
        <v>0</v>
      </c>
      <c r="AW75" s="73"/>
      <c r="AX75" s="74">
        <v>-2201.6950537709099</v>
      </c>
      <c r="AY75" s="74">
        <v>0</v>
      </c>
      <c r="AZ75" s="73"/>
      <c r="BA75" s="72">
        <v>40748.860553155908</v>
      </c>
      <c r="BB75" s="72">
        <v>0</v>
      </c>
      <c r="BC75" s="73"/>
      <c r="BD75" s="74">
        <v>-458.56539527171384</v>
      </c>
      <c r="BE75" s="74">
        <v>0</v>
      </c>
      <c r="BF75" s="73"/>
      <c r="BG75" s="72">
        <v>6324804.8567493372</v>
      </c>
      <c r="BH75" s="72">
        <v>0</v>
      </c>
      <c r="BI75" s="73"/>
      <c r="BJ75" s="74">
        <v>-2112.5055186027671</v>
      </c>
      <c r="BK75" s="74">
        <v>0</v>
      </c>
      <c r="BL75" s="73"/>
      <c r="BM75" s="72">
        <v>41644355.107339621</v>
      </c>
      <c r="BN75" s="72">
        <v>0</v>
      </c>
      <c r="BO75" s="73"/>
      <c r="BP75" s="74">
        <v>-6332.268857048397</v>
      </c>
      <c r="BQ75" s="74">
        <v>0</v>
      </c>
      <c r="BS75" s="109">
        <f t="shared" si="54"/>
        <v>116275.12923715766</v>
      </c>
      <c r="BT75" s="109">
        <f t="shared" si="55"/>
        <v>116569.22832296805</v>
      </c>
      <c r="BV75" s="58">
        <f t="array" ref="BV75">SUM(IF(BS75:BT75&gt;=BS75, 1))</f>
        <v>2</v>
      </c>
      <c r="BW75" s="58">
        <f t="array" ref="BW75">SUM(IF(BS75:BT75&gt;=BT75, 1))</f>
        <v>1</v>
      </c>
      <c r="BY75" s="109">
        <f t="shared" si="56"/>
        <v>133003.79548539719</v>
      </c>
      <c r="BZ75" s="109">
        <f t="shared" si="57"/>
        <v>133252.68113672044</v>
      </c>
      <c r="CB75" s="58">
        <f t="array" ref="CB75">SUM(IF(BY75:BZ75&gt;=BY75, 1))</f>
        <v>2</v>
      </c>
      <c r="CC75" s="58">
        <f t="array" ref="CC75">SUM(IF(BY75:BZ75&gt;=BZ75, 1))</f>
        <v>1</v>
      </c>
      <c r="CE75" s="109">
        <f t="shared" si="58"/>
        <v>91892.291274137402</v>
      </c>
      <c r="CF75" s="109">
        <f t="shared" si="59"/>
        <v>95169.282950295397</v>
      </c>
      <c r="CH75" s="58">
        <f t="array" ref="CH75">SUM(IF(CE75:CF75&gt;=CE75, 1))</f>
        <v>2</v>
      </c>
      <c r="CI75" s="58">
        <f t="array" ref="CI75">SUM(IF(CE75:CF75&gt;=CF75, 1))</f>
        <v>1</v>
      </c>
      <c r="CK75" s="109">
        <f t="shared" si="60"/>
        <v>43308.165806267665</v>
      </c>
      <c r="CL75" s="109">
        <f t="shared" si="61"/>
        <v>44301.377195794383</v>
      </c>
      <c r="CN75" s="58">
        <f t="array" ref="CN75">SUM(IF(CK75:CL75&gt;=CK75, 1))</f>
        <v>2</v>
      </c>
      <c r="CO75" s="58">
        <f t="array" ref="CO75">SUM(IF(CK75:CL75&gt;=CL75, 1))</f>
        <v>1</v>
      </c>
      <c r="CQ75" s="109" cm="1">
        <f t="array" ref="CQ75">AF75*WTP-AC75</f>
        <v>32235.351923920993</v>
      </c>
      <c r="CR75" s="109">
        <f t="shared" si="62"/>
        <v>35341.826254143692</v>
      </c>
      <c r="CT75" s="58">
        <f t="array" ref="CT75">SUM(IF(CQ75:CR75&gt;=CQ75, 1))</f>
        <v>2</v>
      </c>
      <c r="CU75" s="58">
        <f t="array" ref="CU75">SUM(IF(CQ75:CR75&gt;=CR75, 1))</f>
        <v>1</v>
      </c>
      <c r="CW75" s="109">
        <f t="shared" si="63"/>
        <v>-31514745.100099247</v>
      </c>
      <c r="CX75" s="109">
        <f t="shared" si="64"/>
        <v>0</v>
      </c>
      <c r="CZ75" s="58">
        <f t="array" ref="CZ75">SUM(IF(CW75:CX75&gt;=CW75, 1))</f>
        <v>2</v>
      </c>
      <c r="DA75" s="58">
        <f t="array" ref="DA75">SUM(IF(CW75:CX75&gt;=CX75, 1))</f>
        <v>1</v>
      </c>
      <c r="DC75" s="109">
        <f t="shared" si="65"/>
        <v>-1703801.4681034943</v>
      </c>
      <c r="DD75" s="109">
        <f t="shared" si="66"/>
        <v>0</v>
      </c>
      <c r="DF75" s="58">
        <f t="array" ref="DF75">SUM(IF(DC75:DD75&gt;=DC75, 1))</f>
        <v>2</v>
      </c>
      <c r="DG75" s="58">
        <f t="array" ref="DG75">SUM(IF(DC75:DD75&gt;=DD75, 1))</f>
        <v>1</v>
      </c>
      <c r="DI75" s="109">
        <f t="shared" si="67"/>
        <v>-77284213.685312718</v>
      </c>
      <c r="DJ75" s="109">
        <f t="shared" si="68"/>
        <v>0</v>
      </c>
      <c r="DL75" s="58">
        <f t="array" ref="DL75">SUM(IF(DI75:DJ75&gt;=DI75, 1))</f>
        <v>2</v>
      </c>
      <c r="DM75" s="58">
        <f t="array" ref="DM75">SUM(IF(DI75:DJ75&gt;=DJ75, 1))</f>
        <v>1</v>
      </c>
      <c r="DO75" s="109">
        <f t="shared" si="69"/>
        <v>-9212056.7659874335</v>
      </c>
      <c r="DP75" s="109">
        <f t="shared" si="70"/>
        <v>0</v>
      </c>
      <c r="DR75" s="58">
        <f t="array" ref="DR75">SUM(IF(DO75:DP75&gt;=DO75, 1))</f>
        <v>2</v>
      </c>
      <c r="DS75" s="58">
        <f t="array" ref="DS75">SUM(IF(DO75:DP75&gt;=DP75, 1))</f>
        <v>1</v>
      </c>
      <c r="DU75" s="109">
        <f t="shared" si="71"/>
        <v>-48574915.228804678</v>
      </c>
      <c r="DV75" s="109">
        <f t="shared" si="72"/>
        <v>0</v>
      </c>
      <c r="DX75" s="58">
        <f t="array" ref="DX75">SUM(IF(DU75:DV75&gt;=DU75, 1))</f>
        <v>2</v>
      </c>
      <c r="DY75" s="58">
        <f t="array" ref="DY75">SUM(IF(DU75:DV75&gt;=DV75, 1))</f>
        <v>1</v>
      </c>
      <c r="EA75" s="109">
        <f t="shared" si="73"/>
        <v>-168289732.24830756</v>
      </c>
      <c r="EB75" s="109">
        <f t="shared" si="74"/>
        <v>0</v>
      </c>
      <c r="ED75" s="58">
        <f t="array" ref="ED75">SUM(IF(EA75:EB75&gt;=EA75, 1))</f>
        <v>2</v>
      </c>
      <c r="EE75" s="58">
        <f t="array" ref="EE75">SUM(IF(EA75:EB75&gt;=EB75, 1))</f>
        <v>1</v>
      </c>
    </row>
    <row r="76" spans="4:135" ht="12" customHeight="1" x14ac:dyDescent="0.25">
      <c r="D76" s="11">
        <v>60</v>
      </c>
      <c r="E76" s="72">
        <v>217.96427402772355</v>
      </c>
      <c r="F76" s="72">
        <v>205.42303581188193</v>
      </c>
      <c r="G76" s="73"/>
      <c r="H76" s="74">
        <v>5.8626656969459576</v>
      </c>
      <c r="I76" s="74">
        <v>5.8753082152907998</v>
      </c>
      <c r="J76" s="73"/>
      <c r="K76" s="72">
        <v>234.29021337552024</v>
      </c>
      <c r="L76" s="72">
        <v>221.44288668895032</v>
      </c>
      <c r="M76" s="73"/>
      <c r="N76" s="74">
        <v>6.6495130554424717</v>
      </c>
      <c r="O76" s="74">
        <v>6.660260042118658</v>
      </c>
      <c r="P76" s="73"/>
      <c r="Q76" s="72">
        <v>1517.4921782611323</v>
      </c>
      <c r="R76" s="72">
        <v>1256.9029062262312</v>
      </c>
      <c r="S76" s="73"/>
      <c r="T76" s="74">
        <v>4.9384321856726734</v>
      </c>
      <c r="U76" s="74">
        <v>4.9749922089796268</v>
      </c>
      <c r="V76" s="73"/>
      <c r="W76" s="72">
        <v>11271.990521371408</v>
      </c>
      <c r="X76" s="72">
        <v>11266.22433937686</v>
      </c>
      <c r="Y76" s="73"/>
      <c r="Z76" s="74">
        <v>2.8257881054740901</v>
      </c>
      <c r="AA76" s="74">
        <v>2.8710749098342183</v>
      </c>
      <c r="AB76" s="73"/>
      <c r="AC76" s="72">
        <v>50560.628256165139</v>
      </c>
      <c r="AD76" s="72">
        <v>50203.682591534518</v>
      </c>
      <c r="AE76" s="73"/>
      <c r="AF76" s="74">
        <v>4.0430002565177583</v>
      </c>
      <c r="AG76" s="74">
        <v>4.1919766859171022</v>
      </c>
      <c r="AH76" s="73"/>
      <c r="AI76" s="72">
        <v>1348571.1482980466</v>
      </c>
      <c r="AJ76" s="72">
        <v>0</v>
      </c>
      <c r="AK76" s="73"/>
      <c r="AL76" s="74">
        <v>-1359.4618958873527</v>
      </c>
      <c r="AM76" s="74">
        <v>0</v>
      </c>
      <c r="AN76" s="73"/>
      <c r="AO76" s="72">
        <v>86604.622784349805</v>
      </c>
      <c r="AP76" s="72">
        <v>0</v>
      </c>
      <c r="AQ76" s="73"/>
      <c r="AR76" s="74">
        <v>-72.446101034583265</v>
      </c>
      <c r="AS76" s="74">
        <v>0</v>
      </c>
      <c r="AT76" s="73"/>
      <c r="AU76" s="72">
        <v>6084390.3148738062</v>
      </c>
      <c r="AV76" s="72">
        <v>0</v>
      </c>
      <c r="AW76" s="73"/>
      <c r="AX76" s="74">
        <v>-853.62474818455098</v>
      </c>
      <c r="AY76" s="74">
        <v>0</v>
      </c>
      <c r="AZ76" s="73"/>
      <c r="BA76" s="72">
        <v>50408.445746337369</v>
      </c>
      <c r="BB76" s="72">
        <v>0</v>
      </c>
      <c r="BC76" s="73"/>
      <c r="BD76" s="74">
        <v>-395.90103516868157</v>
      </c>
      <c r="BE76" s="74">
        <v>0</v>
      </c>
      <c r="BF76" s="73"/>
      <c r="BG76" s="72">
        <v>5640722.8508887645</v>
      </c>
      <c r="BH76" s="72">
        <v>0</v>
      </c>
      <c r="BI76" s="73"/>
      <c r="BJ76" s="74">
        <v>-2354.2371649934507</v>
      </c>
      <c r="BK76" s="74">
        <v>0</v>
      </c>
      <c r="BL76" s="73"/>
      <c r="BM76" s="72">
        <v>13210697.382591303</v>
      </c>
      <c r="BN76" s="72">
        <v>0</v>
      </c>
      <c r="BO76" s="73"/>
      <c r="BP76" s="74">
        <v>-5035.6709452686191</v>
      </c>
      <c r="BQ76" s="74">
        <v>0</v>
      </c>
      <c r="BS76" s="109">
        <f t="shared" si="54"/>
        <v>117035.34966489143</v>
      </c>
      <c r="BT76" s="109">
        <f t="shared" si="55"/>
        <v>117300.74127000412</v>
      </c>
      <c r="BV76" s="58">
        <f t="array" ref="BV76">SUM(IF(BS76:BT76&gt;=BS76, 1))</f>
        <v>2</v>
      </c>
      <c r="BW76" s="58">
        <f t="array" ref="BW76">SUM(IF(BS76:BT76&gt;=BT76, 1))</f>
        <v>1</v>
      </c>
      <c r="BY76" s="109">
        <f t="shared" si="56"/>
        <v>132755.9708954739</v>
      </c>
      <c r="BZ76" s="109">
        <f t="shared" si="57"/>
        <v>132983.75795568421</v>
      </c>
      <c r="CB76" s="58">
        <f t="array" ref="CB76">SUM(IF(BY76:BZ76&gt;=BY76, 1))</f>
        <v>2</v>
      </c>
      <c r="CC76" s="58">
        <f t="array" ref="CC76">SUM(IF(BY76:BZ76&gt;=BZ76, 1))</f>
        <v>1</v>
      </c>
      <c r="CE76" s="109">
        <f t="shared" si="58"/>
        <v>97251.15153519233</v>
      </c>
      <c r="CF76" s="109">
        <f t="shared" si="59"/>
        <v>98242.941273366305</v>
      </c>
      <c r="CH76" s="58">
        <f t="array" ref="CH76">SUM(IF(CE76:CF76&gt;=CE76, 1))</f>
        <v>2</v>
      </c>
      <c r="CI76" s="58">
        <f t="array" ref="CI76">SUM(IF(CE76:CF76&gt;=CF76, 1))</f>
        <v>1</v>
      </c>
      <c r="CK76" s="109">
        <f t="shared" si="60"/>
        <v>45243.771588110394</v>
      </c>
      <c r="CL76" s="109">
        <f t="shared" si="61"/>
        <v>46155.273857307511</v>
      </c>
      <c r="CN76" s="58">
        <f t="array" ref="CN76">SUM(IF(CK76:CL76&gt;=CK76, 1))</f>
        <v>2</v>
      </c>
      <c r="CO76" s="58">
        <f t="array" ref="CO76">SUM(IF(CK76:CL76&gt;=CL76, 1))</f>
        <v>1</v>
      </c>
      <c r="CQ76" s="109" cm="1">
        <f t="array" ref="CQ76">AF76*WTP-AC76</f>
        <v>30299.37687419002</v>
      </c>
      <c r="CR76" s="109">
        <f t="shared" si="62"/>
        <v>33635.851126807531</v>
      </c>
      <c r="CT76" s="58">
        <f t="array" ref="CT76">SUM(IF(CQ76:CR76&gt;=CQ76, 1))</f>
        <v>2</v>
      </c>
      <c r="CU76" s="58">
        <f t="array" ref="CU76">SUM(IF(CQ76:CR76&gt;=CR76, 1))</f>
        <v>1</v>
      </c>
      <c r="CW76" s="109">
        <f t="shared" si="63"/>
        <v>-28537809.066045102</v>
      </c>
      <c r="CX76" s="109">
        <f t="shared" si="64"/>
        <v>0</v>
      </c>
      <c r="CZ76" s="58">
        <f t="array" ref="CZ76">SUM(IF(CW76:CX76&gt;=CW76, 1))</f>
        <v>2</v>
      </c>
      <c r="DA76" s="58">
        <f t="array" ref="DA76">SUM(IF(CW76:CX76&gt;=CX76, 1))</f>
        <v>1</v>
      </c>
      <c r="DC76" s="109">
        <f t="shared" si="65"/>
        <v>-1535526.6434760152</v>
      </c>
      <c r="DD76" s="109">
        <f t="shared" si="66"/>
        <v>0</v>
      </c>
      <c r="DF76" s="58">
        <f t="array" ref="DF76">SUM(IF(DC76:DD76&gt;=DC76, 1))</f>
        <v>2</v>
      </c>
      <c r="DG76" s="58">
        <f t="array" ref="DG76">SUM(IF(DC76:DD76&gt;=DD76, 1))</f>
        <v>1</v>
      </c>
      <c r="DI76" s="109">
        <f t="shared" si="67"/>
        <v>-23156885.278564826</v>
      </c>
      <c r="DJ76" s="109">
        <f t="shared" si="68"/>
        <v>0</v>
      </c>
      <c r="DL76" s="58">
        <f t="array" ref="DL76">SUM(IF(DI76:DJ76&gt;=DI76, 1))</f>
        <v>2</v>
      </c>
      <c r="DM76" s="58">
        <f t="array" ref="DM76">SUM(IF(DI76:DJ76&gt;=DJ76, 1))</f>
        <v>1</v>
      </c>
      <c r="DO76" s="109">
        <f t="shared" si="69"/>
        <v>-7968429.1491199685</v>
      </c>
      <c r="DP76" s="109">
        <f t="shared" si="70"/>
        <v>0</v>
      </c>
      <c r="DR76" s="58">
        <f t="array" ref="DR76">SUM(IF(DO76:DP76&gt;=DO76, 1))</f>
        <v>2</v>
      </c>
      <c r="DS76" s="58">
        <f t="array" ref="DS76">SUM(IF(DO76:DP76&gt;=DP76, 1))</f>
        <v>1</v>
      </c>
      <c r="DU76" s="109">
        <f t="shared" si="71"/>
        <v>-52725466.150757782</v>
      </c>
      <c r="DV76" s="109">
        <f t="shared" si="72"/>
        <v>0</v>
      </c>
      <c r="DX76" s="58">
        <f t="array" ref="DX76">SUM(IF(DU76:DV76&gt;=DU76, 1))</f>
        <v>2</v>
      </c>
      <c r="DY76" s="58">
        <f t="array" ref="DY76">SUM(IF(DU76:DV76&gt;=DV76, 1))</f>
        <v>1</v>
      </c>
      <c r="EA76" s="109">
        <f t="shared" si="73"/>
        <v>-113924116.28796369</v>
      </c>
      <c r="EB76" s="109">
        <f t="shared" si="74"/>
        <v>0</v>
      </c>
      <c r="ED76" s="58">
        <f t="array" ref="ED76">SUM(IF(EA76:EB76&gt;=EA76, 1))</f>
        <v>2</v>
      </c>
      <c r="EE76" s="58">
        <f t="array" ref="EE76">SUM(IF(EA76:EB76&gt;=EB76, 1))</f>
        <v>1</v>
      </c>
    </row>
    <row r="77" spans="4:135" ht="12" customHeight="1" x14ac:dyDescent="0.25">
      <c r="D77" s="11">
        <v>61</v>
      </c>
      <c r="E77" s="72">
        <v>215.04368972424146</v>
      </c>
      <c r="F77" s="72">
        <v>197.86559378318211</v>
      </c>
      <c r="G77" s="73"/>
      <c r="H77" s="74">
        <v>5.8321235748629352</v>
      </c>
      <c r="I77" s="74">
        <v>5.8467444408290206</v>
      </c>
      <c r="J77" s="73"/>
      <c r="K77" s="72">
        <v>230.92220126320302</v>
      </c>
      <c r="L77" s="72">
        <v>213.32354057502337</v>
      </c>
      <c r="M77" s="73"/>
      <c r="N77" s="74">
        <v>6.6889953568722813</v>
      </c>
      <c r="O77" s="74">
        <v>6.7016481639566603</v>
      </c>
      <c r="P77" s="73"/>
      <c r="Q77" s="72">
        <v>2256.2754392011152</v>
      </c>
      <c r="R77" s="72">
        <v>1466.6010258301685</v>
      </c>
      <c r="S77" s="73"/>
      <c r="T77" s="74">
        <v>4.9004131378234543</v>
      </c>
      <c r="U77" s="74">
        <v>4.9645260264994064</v>
      </c>
      <c r="V77" s="73"/>
      <c r="W77" s="72">
        <v>9292.6753295753097</v>
      </c>
      <c r="X77" s="72">
        <v>9308.1965371467195</v>
      </c>
      <c r="Y77" s="73"/>
      <c r="Z77" s="74">
        <v>2.8885132679915593</v>
      </c>
      <c r="AA77" s="74">
        <v>2.9417727299626497</v>
      </c>
      <c r="AB77" s="73"/>
      <c r="AC77" s="72">
        <v>49956.777027830132</v>
      </c>
      <c r="AD77" s="72">
        <v>49650.559634439604</v>
      </c>
      <c r="AE77" s="73"/>
      <c r="AF77" s="74">
        <v>4.7051149157978092</v>
      </c>
      <c r="AG77" s="74">
        <v>4.7784122242819098</v>
      </c>
      <c r="AH77" s="73"/>
      <c r="AI77" s="72">
        <v>1835209.5575935896</v>
      </c>
      <c r="AJ77" s="72">
        <v>0</v>
      </c>
      <c r="AK77" s="73"/>
      <c r="AL77" s="74">
        <v>-1562.0097275810167</v>
      </c>
      <c r="AM77" s="74">
        <v>0</v>
      </c>
      <c r="AN77" s="73"/>
      <c r="AO77" s="72">
        <v>122326.59292184627</v>
      </c>
      <c r="AP77" s="72">
        <v>0</v>
      </c>
      <c r="AQ77" s="73"/>
      <c r="AR77" s="74">
        <v>-87.948441586186334</v>
      </c>
      <c r="AS77" s="74">
        <v>0</v>
      </c>
      <c r="AT77" s="73"/>
      <c r="AU77" s="72">
        <v>18387676.5009395</v>
      </c>
      <c r="AV77" s="72">
        <v>0</v>
      </c>
      <c r="AW77" s="73"/>
      <c r="AX77" s="74">
        <v>-1492.8773638261173</v>
      </c>
      <c r="AY77" s="74">
        <v>0</v>
      </c>
      <c r="AZ77" s="73"/>
      <c r="BA77" s="72">
        <v>-137280.62922757116</v>
      </c>
      <c r="BB77" s="72">
        <v>0</v>
      </c>
      <c r="BC77" s="73"/>
      <c r="BD77" s="74">
        <v>-471.0646654311235</v>
      </c>
      <c r="BE77" s="74">
        <v>0</v>
      </c>
      <c r="BF77" s="73"/>
      <c r="BG77" s="72">
        <v>4828298.4984370992</v>
      </c>
      <c r="BH77" s="72">
        <v>0</v>
      </c>
      <c r="BI77" s="73"/>
      <c r="BJ77" s="74">
        <v>-1155.7190810579546</v>
      </c>
      <c r="BK77" s="74">
        <v>0</v>
      </c>
      <c r="BL77" s="73"/>
      <c r="BM77" s="72">
        <v>25036230.520664465</v>
      </c>
      <c r="BN77" s="72">
        <v>0</v>
      </c>
      <c r="BO77" s="73"/>
      <c r="BP77" s="74">
        <v>-4769.6192794823983</v>
      </c>
      <c r="BQ77" s="74">
        <v>0</v>
      </c>
      <c r="BS77" s="109">
        <f t="shared" si="54"/>
        <v>116427.42780753446</v>
      </c>
      <c r="BT77" s="109">
        <f t="shared" si="55"/>
        <v>116737.02322279723</v>
      </c>
      <c r="BV77" s="58">
        <f t="array" ref="BV77">SUM(IF(BS77:BT77&gt;=BS77, 1))</f>
        <v>2</v>
      </c>
      <c r="BW77" s="58">
        <f t="array" ref="BW77">SUM(IF(BS77:BT77&gt;=BT77, 1))</f>
        <v>1</v>
      </c>
      <c r="BY77" s="109">
        <f t="shared" si="56"/>
        <v>133548.98493618245</v>
      </c>
      <c r="BZ77" s="109">
        <f t="shared" si="57"/>
        <v>133819.63973855818</v>
      </c>
      <c r="CB77" s="58">
        <f t="array" ref="CB77">SUM(IF(BY77:BZ77&gt;=BY77, 1))</f>
        <v>2</v>
      </c>
      <c r="CC77" s="58">
        <f t="array" ref="CC77">SUM(IF(BY77:BZ77&gt;=BZ77, 1))</f>
        <v>1</v>
      </c>
      <c r="CE77" s="109">
        <f t="shared" si="58"/>
        <v>95751.98731726798</v>
      </c>
      <c r="CF77" s="109">
        <f t="shared" si="59"/>
        <v>97823.919504157966</v>
      </c>
      <c r="CH77" s="58">
        <f t="array" ref="CH77">SUM(IF(CE77:CF77&gt;=CE77, 1))</f>
        <v>2</v>
      </c>
      <c r="CI77" s="58">
        <f t="array" ref="CI77">SUM(IF(CE77:CF77&gt;=CF77, 1))</f>
        <v>1</v>
      </c>
      <c r="CK77" s="109">
        <f t="shared" si="60"/>
        <v>48477.59003025588</v>
      </c>
      <c r="CL77" s="109">
        <f t="shared" si="61"/>
        <v>49527.258062106281</v>
      </c>
      <c r="CN77" s="58">
        <f t="array" ref="CN77">SUM(IF(CK77:CL77&gt;=CK77, 1))</f>
        <v>2</v>
      </c>
      <c r="CO77" s="58">
        <f t="array" ref="CO77">SUM(IF(CK77:CL77&gt;=CL77, 1))</f>
        <v>1</v>
      </c>
      <c r="CQ77" s="109" cm="1">
        <f t="array" ref="CQ77">AF77*WTP-AC77</f>
        <v>44145.521288126052</v>
      </c>
      <c r="CR77" s="109">
        <f t="shared" si="62"/>
        <v>45917.684851198588</v>
      </c>
      <c r="CT77" s="58">
        <f t="array" ref="CT77">SUM(IF(CQ77:CR77&gt;=CQ77, 1))</f>
        <v>2</v>
      </c>
      <c r="CU77" s="58">
        <f t="array" ref="CU77">SUM(IF(CQ77:CR77&gt;=CR77, 1))</f>
        <v>1</v>
      </c>
      <c r="CW77" s="109">
        <f t="shared" si="63"/>
        <v>-33075404.109213926</v>
      </c>
      <c r="CX77" s="109">
        <f t="shared" si="64"/>
        <v>0</v>
      </c>
      <c r="CZ77" s="58">
        <f t="array" ref="CZ77">SUM(IF(CW77:CX77&gt;=CW77, 1))</f>
        <v>2</v>
      </c>
      <c r="DA77" s="58">
        <f t="array" ref="DA77">SUM(IF(CW77:CX77&gt;=CX77, 1))</f>
        <v>1</v>
      </c>
      <c r="DC77" s="109">
        <f t="shared" si="65"/>
        <v>-1881295.4246455729</v>
      </c>
      <c r="DD77" s="109">
        <f t="shared" si="66"/>
        <v>0</v>
      </c>
      <c r="DF77" s="58">
        <f t="array" ref="DF77">SUM(IF(DC77:DD77&gt;=DC77, 1))</f>
        <v>2</v>
      </c>
      <c r="DG77" s="58">
        <f t="array" ref="DG77">SUM(IF(DC77:DD77&gt;=DD77, 1))</f>
        <v>1</v>
      </c>
      <c r="DI77" s="109">
        <f t="shared" si="67"/>
        <v>-48245223.777461842</v>
      </c>
      <c r="DJ77" s="109">
        <f t="shared" si="68"/>
        <v>0</v>
      </c>
      <c r="DL77" s="58">
        <f t="array" ref="DL77">SUM(IF(DI77:DJ77&gt;=DI77, 1))</f>
        <v>2</v>
      </c>
      <c r="DM77" s="58">
        <f t="array" ref="DM77">SUM(IF(DI77:DJ77&gt;=DJ77, 1))</f>
        <v>1</v>
      </c>
      <c r="DO77" s="109">
        <f t="shared" si="69"/>
        <v>-9284012.6793948989</v>
      </c>
      <c r="DP77" s="109">
        <f t="shared" si="70"/>
        <v>0</v>
      </c>
      <c r="DR77" s="58">
        <f t="array" ref="DR77">SUM(IF(DO77:DP77&gt;=DO77, 1))</f>
        <v>2</v>
      </c>
      <c r="DS77" s="58">
        <f t="array" ref="DS77">SUM(IF(DO77:DP77&gt;=DP77, 1))</f>
        <v>1</v>
      </c>
      <c r="DU77" s="109">
        <f t="shared" si="71"/>
        <v>-27942680.119596191</v>
      </c>
      <c r="DV77" s="109">
        <f t="shared" si="72"/>
        <v>0</v>
      </c>
      <c r="DX77" s="58">
        <f t="array" ref="DX77">SUM(IF(DU77:DV77&gt;=DU77, 1))</f>
        <v>2</v>
      </c>
      <c r="DY77" s="58">
        <f t="array" ref="DY77">SUM(IF(DU77:DV77&gt;=DV77, 1))</f>
        <v>1</v>
      </c>
      <c r="EA77" s="109">
        <f t="shared" si="73"/>
        <v>-120428616.11031243</v>
      </c>
      <c r="EB77" s="109">
        <f t="shared" si="74"/>
        <v>0</v>
      </c>
      <c r="ED77" s="58">
        <f t="array" ref="ED77">SUM(IF(EA77:EB77&gt;=EA77, 1))</f>
        <v>2</v>
      </c>
      <c r="EE77" s="58">
        <f t="array" ref="EE77">SUM(IF(EA77:EB77&gt;=EB77, 1))</f>
        <v>1</v>
      </c>
    </row>
    <row r="78" spans="4:135" ht="12" customHeight="1" x14ac:dyDescent="0.25">
      <c r="D78" s="11">
        <v>62</v>
      </c>
      <c r="E78" s="72">
        <v>245.25925988064463</v>
      </c>
      <c r="F78" s="72">
        <v>212.56346676756172</v>
      </c>
      <c r="G78" s="73"/>
      <c r="H78" s="74">
        <v>5.7503102046167553</v>
      </c>
      <c r="I78" s="74">
        <v>5.7682422178035981</v>
      </c>
      <c r="J78" s="73"/>
      <c r="K78" s="72">
        <v>262.59221159459668</v>
      </c>
      <c r="L78" s="72">
        <v>229.13192742170875</v>
      </c>
      <c r="M78" s="73"/>
      <c r="N78" s="74">
        <v>6.7530936417683369</v>
      </c>
      <c r="O78" s="74">
        <v>6.7686658879893207</v>
      </c>
      <c r="P78" s="73"/>
      <c r="Q78" s="72">
        <v>955.38355262173116</v>
      </c>
      <c r="R78" s="72">
        <v>784.18199500032358</v>
      </c>
      <c r="S78" s="73"/>
      <c r="T78" s="74">
        <v>4.926468502741927</v>
      </c>
      <c r="U78" s="74">
        <v>4.9937772265161255</v>
      </c>
      <c r="V78" s="73"/>
      <c r="W78" s="72">
        <v>14710.630928746614</v>
      </c>
      <c r="X78" s="72">
        <v>14693.754274942561</v>
      </c>
      <c r="Y78" s="73"/>
      <c r="Z78" s="74">
        <v>3.0530563767292769</v>
      </c>
      <c r="AA78" s="74">
        <v>3.0930908708380511</v>
      </c>
      <c r="AB78" s="73"/>
      <c r="AC78" s="72">
        <v>52128.014347894408</v>
      </c>
      <c r="AD78" s="72">
        <v>51875.504399297279</v>
      </c>
      <c r="AE78" s="73"/>
      <c r="AF78" s="74">
        <v>4.0331384918392361</v>
      </c>
      <c r="AG78" s="74">
        <v>4.1189351413247817</v>
      </c>
      <c r="AH78" s="73"/>
      <c r="AI78" s="72">
        <v>3540307.9915963812</v>
      </c>
      <c r="AJ78" s="72">
        <v>0</v>
      </c>
      <c r="AK78" s="73"/>
      <c r="AL78" s="74">
        <v>-1941.682508548427</v>
      </c>
      <c r="AM78" s="74">
        <v>0</v>
      </c>
      <c r="AN78" s="73"/>
      <c r="AO78" s="72">
        <v>225918.82585803722</v>
      </c>
      <c r="AP78" s="72">
        <v>0</v>
      </c>
      <c r="AQ78" s="73"/>
      <c r="AR78" s="74">
        <v>-105.14147351645948</v>
      </c>
      <c r="AS78" s="74">
        <v>0</v>
      </c>
      <c r="AT78" s="73"/>
      <c r="AU78" s="72">
        <v>3923410.2481984962</v>
      </c>
      <c r="AV78" s="72">
        <v>0</v>
      </c>
      <c r="AW78" s="73"/>
      <c r="AX78" s="74">
        <v>-1542.5077920893332</v>
      </c>
      <c r="AY78" s="74">
        <v>0</v>
      </c>
      <c r="AZ78" s="73"/>
      <c r="BA78" s="72">
        <v>151910.87705123558</v>
      </c>
      <c r="BB78" s="72">
        <v>0</v>
      </c>
      <c r="BC78" s="73"/>
      <c r="BD78" s="74">
        <v>-360.36024575594422</v>
      </c>
      <c r="BE78" s="74">
        <v>0</v>
      </c>
      <c r="BF78" s="73"/>
      <c r="BG78" s="72">
        <v>3970909.8170284336</v>
      </c>
      <c r="BH78" s="72">
        <v>0</v>
      </c>
      <c r="BI78" s="73"/>
      <c r="BJ78" s="74">
        <v>-1349.2171678901257</v>
      </c>
      <c r="BK78" s="74">
        <v>0</v>
      </c>
      <c r="BL78" s="73"/>
      <c r="BM78" s="72">
        <v>11812457.759732584</v>
      </c>
      <c r="BN78" s="72">
        <v>0</v>
      </c>
      <c r="BO78" s="73"/>
      <c r="BP78" s="74">
        <v>-5298.9091878002891</v>
      </c>
      <c r="BQ78" s="74">
        <v>0</v>
      </c>
      <c r="BS78" s="109">
        <f t="shared" si="54"/>
        <v>114760.94483245445</v>
      </c>
      <c r="BT78" s="109">
        <f t="shared" si="55"/>
        <v>115152.2808893044</v>
      </c>
      <c r="BV78" s="58">
        <f t="array" ref="BV78">SUM(IF(BS78:BT78&gt;=BS78, 1))</f>
        <v>2</v>
      </c>
      <c r="BW78" s="58">
        <f t="array" ref="BW78">SUM(IF(BS78:BT78&gt;=BT78, 1))</f>
        <v>1</v>
      </c>
      <c r="BY78" s="109">
        <f t="shared" si="56"/>
        <v>134799.28062377212</v>
      </c>
      <c r="BZ78" s="109">
        <f t="shared" si="57"/>
        <v>135144.18583236472</v>
      </c>
      <c r="CB78" s="58">
        <f t="array" ref="CB78">SUM(IF(BY78:BZ78&gt;=BY78, 1))</f>
        <v>2</v>
      </c>
      <c r="CC78" s="58">
        <f t="array" ref="CC78">SUM(IF(BY78:BZ78&gt;=BZ78, 1))</f>
        <v>1</v>
      </c>
      <c r="CE78" s="109">
        <f t="shared" si="58"/>
        <v>97573.986502216809</v>
      </c>
      <c r="CF78" s="109">
        <f t="shared" si="59"/>
        <v>99091.362535322187</v>
      </c>
      <c r="CH78" s="58">
        <f t="array" ref="CH78">SUM(IF(CE78:CF78&gt;=CE78, 1))</f>
        <v>2</v>
      </c>
      <c r="CI78" s="58">
        <f t="array" ref="CI78">SUM(IF(CE78:CF78&gt;=CF78, 1))</f>
        <v>1</v>
      </c>
      <c r="CK78" s="109">
        <f t="shared" si="60"/>
        <v>46350.496605838925</v>
      </c>
      <c r="CL78" s="109">
        <f t="shared" si="61"/>
        <v>47168.063141818457</v>
      </c>
      <c r="CN78" s="58">
        <f t="array" ref="CN78">SUM(IF(CK78:CL78&gt;=CK78, 1))</f>
        <v>2</v>
      </c>
      <c r="CO78" s="58">
        <f t="array" ref="CO78">SUM(IF(CK78:CL78&gt;=CL78, 1))</f>
        <v>1</v>
      </c>
      <c r="CQ78" s="109" cm="1">
        <f t="array" ref="CQ78">AF78*WTP-AC78</f>
        <v>28534.755488890311</v>
      </c>
      <c r="CR78" s="109">
        <f t="shared" si="62"/>
        <v>30503.198427198353</v>
      </c>
      <c r="CT78" s="58">
        <f t="array" ref="CT78">SUM(IF(CQ78:CR78&gt;=CQ78, 1))</f>
        <v>2</v>
      </c>
      <c r="CU78" s="58">
        <f t="array" ref="CU78">SUM(IF(CQ78:CR78&gt;=CR78, 1))</f>
        <v>1</v>
      </c>
      <c r="CW78" s="109">
        <f t="shared" si="63"/>
        <v>-42373958.162564918</v>
      </c>
      <c r="CX78" s="109">
        <f t="shared" si="64"/>
        <v>0</v>
      </c>
      <c r="CZ78" s="58">
        <f t="array" ref="CZ78">SUM(IF(CW78:CX78&gt;=CW78, 1))</f>
        <v>2</v>
      </c>
      <c r="DA78" s="58">
        <f t="array" ref="DA78">SUM(IF(CW78:CX78&gt;=CX78, 1))</f>
        <v>1</v>
      </c>
      <c r="DC78" s="109">
        <f t="shared" si="65"/>
        <v>-2328748.2961872267</v>
      </c>
      <c r="DD78" s="109">
        <f t="shared" si="66"/>
        <v>0</v>
      </c>
      <c r="DF78" s="58">
        <f t="array" ref="DF78">SUM(IF(DC78:DD78&gt;=DC78, 1))</f>
        <v>2</v>
      </c>
      <c r="DG78" s="58">
        <f t="array" ref="DG78">SUM(IF(DC78:DD78&gt;=DD78, 1))</f>
        <v>1</v>
      </c>
      <c r="DI78" s="109">
        <f t="shared" si="67"/>
        <v>-34773566.089985162</v>
      </c>
      <c r="DJ78" s="109">
        <f t="shared" si="68"/>
        <v>0</v>
      </c>
      <c r="DL78" s="58">
        <f t="array" ref="DL78">SUM(IF(DI78:DJ78&gt;=DI78, 1))</f>
        <v>2</v>
      </c>
      <c r="DM78" s="58">
        <f t="array" ref="DM78">SUM(IF(DI78:DJ78&gt;=DJ78, 1))</f>
        <v>1</v>
      </c>
      <c r="DO78" s="109">
        <f t="shared" si="69"/>
        <v>-7359115.7921701195</v>
      </c>
      <c r="DP78" s="109">
        <f t="shared" si="70"/>
        <v>0</v>
      </c>
      <c r="DR78" s="58">
        <f t="array" ref="DR78">SUM(IF(DO78:DP78&gt;=DO78, 1))</f>
        <v>2</v>
      </c>
      <c r="DS78" s="58">
        <f t="array" ref="DS78">SUM(IF(DO78:DP78&gt;=DP78, 1))</f>
        <v>1</v>
      </c>
      <c r="DU78" s="109">
        <f t="shared" si="71"/>
        <v>-30955253.174830947</v>
      </c>
      <c r="DV78" s="109">
        <f t="shared" si="72"/>
        <v>0</v>
      </c>
      <c r="DX78" s="58">
        <f t="array" ref="DX78">SUM(IF(DU78:DV78&gt;=DU78, 1))</f>
        <v>2</v>
      </c>
      <c r="DY78" s="58">
        <f t="array" ref="DY78">SUM(IF(DU78:DV78&gt;=DV78, 1))</f>
        <v>1</v>
      </c>
      <c r="EA78" s="109">
        <f t="shared" si="73"/>
        <v>-117790641.51573837</v>
      </c>
      <c r="EB78" s="109">
        <f t="shared" si="74"/>
        <v>0</v>
      </c>
      <c r="ED78" s="58">
        <f t="array" ref="ED78">SUM(IF(EA78:EB78&gt;=EA78, 1))</f>
        <v>2</v>
      </c>
      <c r="EE78" s="58">
        <f t="array" ref="EE78">SUM(IF(EA78:EB78&gt;=EB78, 1))</f>
        <v>1</v>
      </c>
    </row>
    <row r="79" spans="4:135" ht="12" customHeight="1" x14ac:dyDescent="0.25">
      <c r="D79" s="11">
        <v>63</v>
      </c>
      <c r="E79" s="72">
        <v>257.63244302428535</v>
      </c>
      <c r="F79" s="72">
        <v>219.61056124226761</v>
      </c>
      <c r="G79" s="73"/>
      <c r="H79" s="74">
        <v>5.8326399520186927</v>
      </c>
      <c r="I79" s="74">
        <v>5.8523187861151289</v>
      </c>
      <c r="J79" s="73"/>
      <c r="K79" s="72">
        <v>275.63215618541125</v>
      </c>
      <c r="L79" s="72">
        <v>236.74295214571359</v>
      </c>
      <c r="M79" s="73"/>
      <c r="N79" s="74">
        <v>6.7267584556920701</v>
      </c>
      <c r="O79" s="74">
        <v>6.7442064656734688</v>
      </c>
      <c r="P79" s="73"/>
      <c r="Q79" s="72">
        <v>3718.3328939913031</v>
      </c>
      <c r="R79" s="72">
        <v>1355.6378823022078</v>
      </c>
      <c r="S79" s="73"/>
      <c r="T79" s="74">
        <v>4.6246892787260547</v>
      </c>
      <c r="U79" s="74">
        <v>4.8258409569560445</v>
      </c>
      <c r="V79" s="73"/>
      <c r="W79" s="72">
        <v>12873.415497944055</v>
      </c>
      <c r="X79" s="72">
        <v>12888.229387823709</v>
      </c>
      <c r="Y79" s="73"/>
      <c r="Z79" s="74">
        <v>3.0562923330196026</v>
      </c>
      <c r="AA79" s="74">
        <v>3.1015833938504045</v>
      </c>
      <c r="AB79" s="73"/>
      <c r="AC79" s="72">
        <v>49673.192571552354</v>
      </c>
      <c r="AD79" s="72">
        <v>49517.635554936314</v>
      </c>
      <c r="AE79" s="73"/>
      <c r="AF79" s="74">
        <v>4.8171671815980517</v>
      </c>
      <c r="AG79" s="74">
        <v>4.9127669839857457</v>
      </c>
      <c r="AH79" s="73"/>
      <c r="AI79" s="72">
        <v>4040718.019740324</v>
      </c>
      <c r="AJ79" s="72">
        <v>0</v>
      </c>
      <c r="AK79" s="73"/>
      <c r="AL79" s="74">
        <v>-2091.338350816638</v>
      </c>
      <c r="AM79" s="74">
        <v>0</v>
      </c>
      <c r="AN79" s="73"/>
      <c r="AO79" s="72">
        <v>264783.2087150375</v>
      </c>
      <c r="AP79" s="72">
        <v>0</v>
      </c>
      <c r="AQ79" s="73"/>
      <c r="AR79" s="74">
        <v>-118.79749618559366</v>
      </c>
      <c r="AS79" s="74">
        <v>0</v>
      </c>
      <c r="AT79" s="73"/>
      <c r="AU79" s="72">
        <v>53468172.266059987</v>
      </c>
      <c r="AV79" s="72">
        <v>0</v>
      </c>
      <c r="AW79" s="73"/>
      <c r="AX79" s="74">
        <v>-4552.0951836772365</v>
      </c>
      <c r="AY79" s="74">
        <v>0</v>
      </c>
      <c r="AZ79" s="73"/>
      <c r="BA79" s="72">
        <v>-129726.39400613548</v>
      </c>
      <c r="BB79" s="72">
        <v>0</v>
      </c>
      <c r="BC79" s="73"/>
      <c r="BD79" s="74">
        <v>-396.61736721577222</v>
      </c>
      <c r="BE79" s="74">
        <v>0</v>
      </c>
      <c r="BF79" s="73"/>
      <c r="BG79" s="72">
        <v>2392938.4997073221</v>
      </c>
      <c r="BH79" s="72">
        <v>0</v>
      </c>
      <c r="BI79" s="73"/>
      <c r="BJ79" s="74">
        <v>-1470.6147795478932</v>
      </c>
      <c r="BK79" s="74">
        <v>0</v>
      </c>
      <c r="BL79" s="73"/>
      <c r="BM79" s="72">
        <v>60036885.600216538</v>
      </c>
      <c r="BN79" s="72">
        <v>0</v>
      </c>
      <c r="BO79" s="73"/>
      <c r="BP79" s="74">
        <v>-8629.4631774431327</v>
      </c>
      <c r="BQ79" s="74">
        <v>0</v>
      </c>
      <c r="BS79" s="109">
        <f t="shared" si="54"/>
        <v>116395.16659734957</v>
      </c>
      <c r="BT79" s="109">
        <f t="shared" si="55"/>
        <v>116826.76516106031</v>
      </c>
      <c r="BV79" s="58">
        <f t="array" ref="BV79">SUM(IF(BS79:BT79&gt;=BS79, 1))</f>
        <v>2</v>
      </c>
      <c r="BW79" s="58">
        <f t="array" ref="BW79">SUM(IF(BS79:BT79&gt;=BT79, 1))</f>
        <v>1</v>
      </c>
      <c r="BY79" s="109">
        <f t="shared" si="56"/>
        <v>134259.536957656</v>
      </c>
      <c r="BZ79" s="109">
        <f t="shared" si="57"/>
        <v>134647.38636132365</v>
      </c>
      <c r="CB79" s="58">
        <f t="array" ref="CB79">SUM(IF(BY79:BZ79&gt;=BY79, 1))</f>
        <v>2</v>
      </c>
      <c r="CC79" s="58">
        <f t="array" ref="CC79">SUM(IF(BY79:BZ79&gt;=BZ79, 1))</f>
        <v>1</v>
      </c>
      <c r="CE79" s="109">
        <f t="shared" si="58"/>
        <v>88775.452680529794</v>
      </c>
      <c r="CF79" s="109">
        <f t="shared" si="59"/>
        <v>95161.181256818687</v>
      </c>
      <c r="CH79" s="58">
        <f t="array" ref="CH79">SUM(IF(CE79:CF79&gt;=CE79, 1))</f>
        <v>2</v>
      </c>
      <c r="CI79" s="58">
        <f t="array" ref="CI79">SUM(IF(CE79:CF79&gt;=CF79, 1))</f>
        <v>1</v>
      </c>
      <c r="CK79" s="109">
        <f t="shared" si="60"/>
        <v>48252.431162447996</v>
      </c>
      <c r="CL79" s="109">
        <f t="shared" si="61"/>
        <v>49143.43848918438</v>
      </c>
      <c r="CN79" s="58">
        <f t="array" ref="CN79">SUM(IF(CK79:CL79&gt;=CK79, 1))</f>
        <v>2</v>
      </c>
      <c r="CO79" s="58">
        <f t="array" ref="CO79">SUM(IF(CK79:CL79&gt;=CL79, 1))</f>
        <v>1</v>
      </c>
      <c r="CQ79" s="109" cm="1">
        <f t="array" ref="CQ79">AF79*WTP-AC79</f>
        <v>46670.15106040868</v>
      </c>
      <c r="CR79" s="109">
        <f t="shared" si="62"/>
        <v>48737.704124778604</v>
      </c>
      <c r="CT79" s="58">
        <f t="array" ref="CT79">SUM(IF(CQ79:CR79&gt;=CQ79, 1))</f>
        <v>2</v>
      </c>
      <c r="CU79" s="58">
        <f t="array" ref="CU79">SUM(IF(CQ79:CR79&gt;=CR79, 1))</f>
        <v>1</v>
      </c>
      <c r="CW79" s="109">
        <f t="shared" si="63"/>
        <v>-45867485.036073081</v>
      </c>
      <c r="CX79" s="109">
        <f t="shared" si="64"/>
        <v>0</v>
      </c>
      <c r="CZ79" s="58">
        <f t="array" ref="CZ79">SUM(IF(CW79:CX79&gt;=CW79, 1))</f>
        <v>2</v>
      </c>
      <c r="DA79" s="58">
        <f t="array" ref="DA79">SUM(IF(CW79:CX79&gt;=CX79, 1))</f>
        <v>1</v>
      </c>
      <c r="DC79" s="109">
        <f t="shared" si="65"/>
        <v>-2640733.1324269106</v>
      </c>
      <c r="DD79" s="109">
        <f t="shared" si="66"/>
        <v>0</v>
      </c>
      <c r="DF79" s="58">
        <f t="array" ref="DF79">SUM(IF(DC79:DD79&gt;=DC79, 1))</f>
        <v>2</v>
      </c>
      <c r="DG79" s="58">
        <f t="array" ref="DG79">SUM(IF(DC79:DD79&gt;=DD79, 1))</f>
        <v>1</v>
      </c>
      <c r="DI79" s="109">
        <f t="shared" si="67"/>
        <v>-144510075.93960473</v>
      </c>
      <c r="DJ79" s="109">
        <f t="shared" si="68"/>
        <v>0</v>
      </c>
      <c r="DL79" s="58">
        <f t="array" ref="DL79">SUM(IF(DI79:DJ79&gt;=DI79, 1))</f>
        <v>2</v>
      </c>
      <c r="DM79" s="58">
        <f t="array" ref="DM79">SUM(IF(DI79:DJ79&gt;=DJ79, 1))</f>
        <v>1</v>
      </c>
      <c r="DO79" s="109">
        <f t="shared" si="69"/>
        <v>-7802620.9503093082</v>
      </c>
      <c r="DP79" s="109">
        <f t="shared" si="70"/>
        <v>0</v>
      </c>
      <c r="DR79" s="58">
        <f t="array" ref="DR79">SUM(IF(DO79:DP79&gt;=DO79, 1))</f>
        <v>2</v>
      </c>
      <c r="DS79" s="58">
        <f t="array" ref="DS79">SUM(IF(DO79:DP79&gt;=DP79, 1))</f>
        <v>1</v>
      </c>
      <c r="DU79" s="109">
        <f t="shared" si="71"/>
        <v>-31805234.090665188</v>
      </c>
      <c r="DV79" s="109">
        <f t="shared" si="72"/>
        <v>0</v>
      </c>
      <c r="DX79" s="58">
        <f t="array" ref="DX79">SUM(IF(DU79:DV79&gt;=DU79, 1))</f>
        <v>2</v>
      </c>
      <c r="DY79" s="58">
        <f t="array" ref="DY79">SUM(IF(DU79:DV79&gt;=DV79, 1))</f>
        <v>1</v>
      </c>
      <c r="EA79" s="109">
        <f t="shared" si="73"/>
        <v>-232626149.1490792</v>
      </c>
      <c r="EB79" s="109">
        <f t="shared" si="74"/>
        <v>0</v>
      </c>
      <c r="ED79" s="58">
        <f t="array" ref="ED79">SUM(IF(EA79:EB79&gt;=EA79, 1))</f>
        <v>2</v>
      </c>
      <c r="EE79" s="58">
        <f t="array" ref="EE79">SUM(IF(EA79:EB79&gt;=EB79, 1))</f>
        <v>1</v>
      </c>
    </row>
    <row r="80" spans="4:135" ht="12" customHeight="1" x14ac:dyDescent="0.25">
      <c r="D80" s="11">
        <v>64</v>
      </c>
      <c r="E80" s="72">
        <v>289.79287283607755</v>
      </c>
      <c r="F80" s="72">
        <v>262.43776035776528</v>
      </c>
      <c r="G80" s="73"/>
      <c r="H80" s="74">
        <v>5.7740614019447971</v>
      </c>
      <c r="I80" s="74">
        <v>5.7914004178868357</v>
      </c>
      <c r="J80" s="73"/>
      <c r="K80" s="72">
        <v>310.99408178687275</v>
      </c>
      <c r="L80" s="72">
        <v>282.98172968155365</v>
      </c>
      <c r="M80" s="73"/>
      <c r="N80" s="74">
        <v>6.7228574676653938</v>
      </c>
      <c r="O80" s="74">
        <v>6.737923796917209</v>
      </c>
      <c r="P80" s="73"/>
      <c r="Q80" s="72">
        <v>1921.127138213398</v>
      </c>
      <c r="R80" s="72">
        <v>1241.6934335767555</v>
      </c>
      <c r="S80" s="73"/>
      <c r="T80" s="74">
        <v>4.8435683652742867</v>
      </c>
      <c r="U80" s="74">
        <v>4.932807524081924</v>
      </c>
      <c r="V80" s="73"/>
      <c r="W80" s="72">
        <v>13027.130211999765</v>
      </c>
      <c r="X80" s="72">
        <v>12978.723737292827</v>
      </c>
      <c r="Y80" s="73"/>
      <c r="Z80" s="74">
        <v>3.0005031747881814</v>
      </c>
      <c r="AA80" s="74">
        <v>3.0345261894406361</v>
      </c>
      <c r="AB80" s="73"/>
      <c r="AC80" s="72">
        <v>49318.461461913525</v>
      </c>
      <c r="AD80" s="72">
        <v>49093.105449533628</v>
      </c>
      <c r="AE80" s="73"/>
      <c r="AF80" s="74">
        <v>4.6749938630450307</v>
      </c>
      <c r="AG80" s="74">
        <v>4.9084764529662221</v>
      </c>
      <c r="AH80" s="73"/>
      <c r="AI80" s="72">
        <v>2899763.2619856223</v>
      </c>
      <c r="AJ80" s="72">
        <v>0</v>
      </c>
      <c r="AK80" s="73"/>
      <c r="AL80" s="74">
        <v>-1838.0126006635435</v>
      </c>
      <c r="AM80" s="74">
        <v>0</v>
      </c>
      <c r="AN80" s="73"/>
      <c r="AO80" s="72">
        <v>192904.29743263859</v>
      </c>
      <c r="AP80" s="72">
        <v>0</v>
      </c>
      <c r="AQ80" s="73"/>
      <c r="AR80" s="74">
        <v>-103.75278906544746</v>
      </c>
      <c r="AS80" s="74">
        <v>0</v>
      </c>
      <c r="AT80" s="73"/>
      <c r="AU80" s="72">
        <v>15607112.468555026</v>
      </c>
      <c r="AV80" s="72">
        <v>0</v>
      </c>
      <c r="AW80" s="73"/>
      <c r="AX80" s="74">
        <v>-2049.8918122628052</v>
      </c>
      <c r="AY80" s="74">
        <v>0</v>
      </c>
      <c r="AZ80" s="73"/>
      <c r="BA80" s="72">
        <v>409591.12145542051</v>
      </c>
      <c r="BB80" s="72">
        <v>0</v>
      </c>
      <c r="BC80" s="73"/>
      <c r="BD80" s="74">
        <v>-287.88555273155566</v>
      </c>
      <c r="BE80" s="74">
        <v>0</v>
      </c>
      <c r="BF80" s="73"/>
      <c r="BG80" s="72">
        <v>3476634.5489110285</v>
      </c>
      <c r="BH80" s="72">
        <v>0</v>
      </c>
      <c r="BI80" s="73"/>
      <c r="BJ80" s="74">
        <v>-3602.0056892063385</v>
      </c>
      <c r="BK80" s="74">
        <v>0</v>
      </c>
      <c r="BL80" s="73"/>
      <c r="BM80" s="72">
        <v>22586005.698339734</v>
      </c>
      <c r="BN80" s="72">
        <v>0</v>
      </c>
      <c r="BO80" s="73"/>
      <c r="BP80" s="74">
        <v>-7881.5484439296897</v>
      </c>
      <c r="BQ80" s="74">
        <v>0</v>
      </c>
      <c r="BS80" s="109">
        <f t="shared" si="54"/>
        <v>115191.43516605988</v>
      </c>
      <c r="BT80" s="109">
        <f t="shared" si="55"/>
        <v>115565.57059737896</v>
      </c>
      <c r="BV80" s="58">
        <f t="array" ref="BV80">SUM(IF(BS80:BT80&gt;=BS80, 1))</f>
        <v>2</v>
      </c>
      <c r="BW80" s="58">
        <f t="array" ref="BW80">SUM(IF(BS80:BT80&gt;=BT80, 1))</f>
        <v>1</v>
      </c>
      <c r="BY80" s="109">
        <f t="shared" si="56"/>
        <v>134146.15527152101</v>
      </c>
      <c r="BZ80" s="109">
        <f t="shared" si="57"/>
        <v>134475.49420866263</v>
      </c>
      <c r="CB80" s="58">
        <f t="array" ref="CB80">SUM(IF(BY80:BZ80&gt;=BY80, 1))</f>
        <v>2</v>
      </c>
      <c r="CC80" s="58">
        <f t="array" ref="CC80">SUM(IF(BY80:BZ80&gt;=BZ80, 1))</f>
        <v>1</v>
      </c>
      <c r="CE80" s="109">
        <f t="shared" si="58"/>
        <v>94950.240167272335</v>
      </c>
      <c r="CF80" s="109">
        <f t="shared" si="59"/>
        <v>97414.457048061726</v>
      </c>
      <c r="CH80" s="58">
        <f t="array" ref="CH80">SUM(IF(CE80:CF80&gt;=CE80, 1))</f>
        <v>2</v>
      </c>
      <c r="CI80" s="58">
        <f t="array" ref="CI80">SUM(IF(CE80:CF80&gt;=CF80, 1))</f>
        <v>1</v>
      </c>
      <c r="CK80" s="109">
        <f t="shared" si="60"/>
        <v>46982.933283763865</v>
      </c>
      <c r="CL80" s="109">
        <f t="shared" si="61"/>
        <v>47711.800051519895</v>
      </c>
      <c r="CN80" s="58">
        <f t="array" ref="CN80">SUM(IF(CK80:CL80&gt;=CK80, 1))</f>
        <v>2</v>
      </c>
      <c r="CO80" s="58">
        <f t="array" ref="CO80">SUM(IF(CK80:CL80&gt;=CL80, 1))</f>
        <v>1</v>
      </c>
      <c r="CQ80" s="109" cm="1">
        <f t="array" ref="CQ80">AF80*WTP-AC80</f>
        <v>44181.415798987087</v>
      </c>
      <c r="CR80" s="109">
        <f t="shared" si="62"/>
        <v>49076.423609790814</v>
      </c>
      <c r="CT80" s="58">
        <f t="array" ref="CT80">SUM(IF(CQ80:CR80&gt;=CQ80, 1))</f>
        <v>2</v>
      </c>
      <c r="CU80" s="58">
        <f t="array" ref="CU80">SUM(IF(CQ80:CR80&gt;=CR80, 1))</f>
        <v>1</v>
      </c>
      <c r="CW80" s="109">
        <f t="shared" si="63"/>
        <v>-39660015.275256492</v>
      </c>
      <c r="CX80" s="109">
        <f t="shared" si="64"/>
        <v>0</v>
      </c>
      <c r="CZ80" s="58">
        <f t="array" ref="CZ80">SUM(IF(CW80:CX80&gt;=CW80, 1))</f>
        <v>2</v>
      </c>
      <c r="DA80" s="58">
        <f t="array" ref="DA80">SUM(IF(CW80:CX80&gt;=CX80, 1))</f>
        <v>1</v>
      </c>
      <c r="DC80" s="109">
        <f t="shared" si="65"/>
        <v>-2267960.0787415877</v>
      </c>
      <c r="DD80" s="109">
        <f t="shared" si="66"/>
        <v>0</v>
      </c>
      <c r="DF80" s="58">
        <f t="array" ref="DF80">SUM(IF(DC80:DD80&gt;=DC80, 1))</f>
        <v>2</v>
      </c>
      <c r="DG80" s="58">
        <f t="array" ref="DG80">SUM(IF(DC80:DD80&gt;=DD80, 1))</f>
        <v>1</v>
      </c>
      <c r="DI80" s="109">
        <f t="shared" si="67"/>
        <v>-56604948.713811129</v>
      </c>
      <c r="DJ80" s="109">
        <f t="shared" si="68"/>
        <v>0</v>
      </c>
      <c r="DL80" s="58">
        <f t="array" ref="DL80">SUM(IF(DI80:DJ80&gt;=DI80, 1))</f>
        <v>2</v>
      </c>
      <c r="DM80" s="58">
        <f t="array" ref="DM80">SUM(IF(DI80:DJ80&gt;=DJ80, 1))</f>
        <v>1</v>
      </c>
      <c r="DO80" s="109">
        <f t="shared" si="69"/>
        <v>-6167302.1760865338</v>
      </c>
      <c r="DP80" s="109">
        <f t="shared" si="70"/>
        <v>0</v>
      </c>
      <c r="DR80" s="58">
        <f t="array" ref="DR80">SUM(IF(DO80:DP80&gt;=DO80, 1))</f>
        <v>2</v>
      </c>
      <c r="DS80" s="58">
        <f t="array" ref="DS80">SUM(IF(DO80:DP80&gt;=DP80, 1))</f>
        <v>1</v>
      </c>
      <c r="DU80" s="109">
        <f t="shared" si="71"/>
        <v>-75516748.333037809</v>
      </c>
      <c r="DV80" s="109">
        <f t="shared" si="72"/>
        <v>0</v>
      </c>
      <c r="DX80" s="58">
        <f t="array" ref="DX80">SUM(IF(DU80:DV80&gt;=DU80, 1))</f>
        <v>2</v>
      </c>
      <c r="DY80" s="58">
        <f t="array" ref="DY80">SUM(IF(DU80:DV80&gt;=DV80, 1))</f>
        <v>1</v>
      </c>
      <c r="EA80" s="109">
        <f t="shared" si="73"/>
        <v>-180216974.57693353</v>
      </c>
      <c r="EB80" s="109">
        <f t="shared" si="74"/>
        <v>0</v>
      </c>
      <c r="ED80" s="58">
        <f t="array" ref="ED80">SUM(IF(EA80:EB80&gt;=EA80, 1))</f>
        <v>2</v>
      </c>
      <c r="EE80" s="58">
        <f t="array" ref="EE80">SUM(IF(EA80:EB80&gt;=EB80, 1))</f>
        <v>1</v>
      </c>
    </row>
    <row r="81" spans="4:135" ht="12" customHeight="1" x14ac:dyDescent="0.25">
      <c r="D81" s="11">
        <v>65</v>
      </c>
      <c r="E81" s="72">
        <v>331.61713115082091</v>
      </c>
      <c r="F81" s="72">
        <v>292.78244695004605</v>
      </c>
      <c r="G81" s="73"/>
      <c r="H81" s="74">
        <v>5.8361574277446167</v>
      </c>
      <c r="I81" s="74">
        <v>5.8547460531288484</v>
      </c>
      <c r="J81" s="73"/>
      <c r="K81" s="72">
        <v>355.39898157396311</v>
      </c>
      <c r="L81" s="72">
        <v>315.65686775625653</v>
      </c>
      <c r="M81" s="73"/>
      <c r="N81" s="74">
        <v>6.6991661043593806</v>
      </c>
      <c r="O81" s="74">
        <v>6.7156983492695881</v>
      </c>
      <c r="P81" s="73"/>
      <c r="Q81" s="72">
        <v>2860.7428830956969</v>
      </c>
      <c r="R81" s="72">
        <v>1716.3716410192142</v>
      </c>
      <c r="S81" s="73"/>
      <c r="T81" s="74">
        <v>4.5871287183516936</v>
      </c>
      <c r="U81" s="74">
        <v>4.666390479905596</v>
      </c>
      <c r="V81" s="73"/>
      <c r="W81" s="72">
        <v>10958.295024734754</v>
      </c>
      <c r="X81" s="72">
        <v>10927.374618861382</v>
      </c>
      <c r="Y81" s="73"/>
      <c r="Z81" s="74">
        <v>3.2151283545299605</v>
      </c>
      <c r="AA81" s="74">
        <v>3.2543149596383727</v>
      </c>
      <c r="AB81" s="73"/>
      <c r="AC81" s="72">
        <v>51866.266795144693</v>
      </c>
      <c r="AD81" s="72">
        <v>51760.021480515359</v>
      </c>
      <c r="AE81" s="73"/>
      <c r="AF81" s="74">
        <v>4.4119164036594736</v>
      </c>
      <c r="AG81" s="74">
        <v>4.5105353600232316</v>
      </c>
      <c r="AH81" s="73"/>
      <c r="AI81" s="72">
        <v>4192119.8103759466</v>
      </c>
      <c r="AJ81" s="72">
        <v>0</v>
      </c>
      <c r="AK81" s="73"/>
      <c r="AL81" s="74">
        <v>-2006.6017356551704</v>
      </c>
      <c r="AM81" s="74">
        <v>0</v>
      </c>
      <c r="AN81" s="73"/>
      <c r="AO81" s="72">
        <v>279811.5478949509</v>
      </c>
      <c r="AP81" s="72">
        <v>0</v>
      </c>
      <c r="AQ81" s="73"/>
      <c r="AR81" s="74">
        <v>-116.39826355795276</v>
      </c>
      <c r="AS81" s="74">
        <v>0</v>
      </c>
      <c r="AT81" s="73"/>
      <c r="AU81" s="72">
        <v>26355248.437918201</v>
      </c>
      <c r="AV81" s="72">
        <v>0</v>
      </c>
      <c r="AW81" s="73"/>
      <c r="AX81" s="74">
        <v>-1825.4246004903696</v>
      </c>
      <c r="AY81" s="74">
        <v>0</v>
      </c>
      <c r="AZ81" s="73"/>
      <c r="BA81" s="72">
        <v>276537.72907277604</v>
      </c>
      <c r="BB81" s="72">
        <v>0</v>
      </c>
      <c r="BC81" s="73"/>
      <c r="BD81" s="74">
        <v>-350.46677042762025</v>
      </c>
      <c r="BE81" s="74">
        <v>0</v>
      </c>
      <c r="BF81" s="73"/>
      <c r="BG81" s="72">
        <v>1746429.3145438256</v>
      </c>
      <c r="BH81" s="72">
        <v>0</v>
      </c>
      <c r="BI81" s="73"/>
      <c r="BJ81" s="74">
        <v>-1621.0694745858789</v>
      </c>
      <c r="BK81" s="74">
        <v>0</v>
      </c>
      <c r="BL81" s="73"/>
      <c r="BM81" s="72">
        <v>32850146.8398057</v>
      </c>
      <c r="BN81" s="72">
        <v>0</v>
      </c>
      <c r="BO81" s="73"/>
      <c r="BP81" s="74">
        <v>-5919.9608447169921</v>
      </c>
      <c r="BQ81" s="74">
        <v>0</v>
      </c>
      <c r="BS81" s="109">
        <f t="shared" si="54"/>
        <v>116391.53142374152</v>
      </c>
      <c r="BT81" s="109">
        <f t="shared" si="55"/>
        <v>116802.13861562691</v>
      </c>
      <c r="BV81" s="58">
        <f t="array" ref="BV81">SUM(IF(BS81:BT81&gt;=BS81, 1))</f>
        <v>2</v>
      </c>
      <c r="BW81" s="58">
        <f t="array" ref="BW81">SUM(IF(BS81:BT81&gt;=BT81, 1))</f>
        <v>1</v>
      </c>
      <c r="BY81" s="109">
        <f t="shared" si="56"/>
        <v>133627.92310561365</v>
      </c>
      <c r="BZ81" s="109">
        <f t="shared" si="57"/>
        <v>133998.31011763553</v>
      </c>
      <c r="CB81" s="58">
        <f t="array" ref="CB81">SUM(IF(BY81:BZ81&gt;=BY81, 1))</f>
        <v>2</v>
      </c>
      <c r="CC81" s="58">
        <f t="array" ref="CC81">SUM(IF(BY81:BZ81&gt;=BZ81, 1))</f>
        <v>1</v>
      </c>
      <c r="CE81" s="109">
        <f t="shared" si="58"/>
        <v>88881.831483938178</v>
      </c>
      <c r="CF81" s="109">
        <f t="shared" si="59"/>
        <v>91611.437957092712</v>
      </c>
      <c r="CH81" s="58">
        <f t="array" ref="CH81">SUM(IF(CE81:CF81&gt;=CE81, 1))</f>
        <v>2</v>
      </c>
      <c r="CI81" s="58">
        <f t="array" ref="CI81">SUM(IF(CE81:CF81&gt;=CF81, 1))</f>
        <v>1</v>
      </c>
      <c r="CK81" s="109">
        <f t="shared" si="60"/>
        <v>53344.272065864454</v>
      </c>
      <c r="CL81" s="109">
        <f t="shared" si="61"/>
        <v>54158.924573906072</v>
      </c>
      <c r="CN81" s="58">
        <f t="array" ref="CN81">SUM(IF(CK81:CL81&gt;=CK81, 1))</f>
        <v>2</v>
      </c>
      <c r="CO81" s="58">
        <f t="array" ref="CO81">SUM(IF(CK81:CL81&gt;=CL81, 1))</f>
        <v>1</v>
      </c>
      <c r="CQ81" s="109" cm="1">
        <f t="array" ref="CQ81">AF81*WTP-AC81</f>
        <v>36372.061278044785</v>
      </c>
      <c r="CR81" s="109">
        <f t="shared" si="62"/>
        <v>38450.685719949273</v>
      </c>
      <c r="CT81" s="58">
        <f t="array" ref="CT81">SUM(IF(CQ81:CR81&gt;=CQ81, 1))</f>
        <v>2</v>
      </c>
      <c r="CU81" s="58">
        <f t="array" ref="CU81">SUM(IF(CQ81:CR81&gt;=CR81, 1))</f>
        <v>1</v>
      </c>
      <c r="CW81" s="109">
        <f t="shared" si="63"/>
        <v>-44324154.52347935</v>
      </c>
      <c r="CX81" s="109">
        <f t="shared" si="64"/>
        <v>0</v>
      </c>
      <c r="CZ81" s="58">
        <f t="array" ref="CZ81">SUM(IF(CW81:CX81&gt;=CW81, 1))</f>
        <v>2</v>
      </c>
      <c r="DA81" s="58">
        <f t="array" ref="DA81">SUM(IF(CW81:CX81&gt;=CX81, 1))</f>
        <v>1</v>
      </c>
      <c r="DC81" s="109">
        <f t="shared" si="65"/>
        <v>-2607776.8190540061</v>
      </c>
      <c r="DD81" s="109">
        <f t="shared" si="66"/>
        <v>0</v>
      </c>
      <c r="DF81" s="58">
        <f t="array" ref="DF81">SUM(IF(DC81:DD81&gt;=DC81, 1))</f>
        <v>2</v>
      </c>
      <c r="DG81" s="58">
        <f t="array" ref="DG81">SUM(IF(DC81:DD81&gt;=DD81, 1))</f>
        <v>1</v>
      </c>
      <c r="DI81" s="109">
        <f t="shared" si="67"/>
        <v>-62863740.447725594</v>
      </c>
      <c r="DJ81" s="109">
        <f t="shared" si="68"/>
        <v>0</v>
      </c>
      <c r="DL81" s="58">
        <f t="array" ref="DL81">SUM(IF(DI81:DJ81&gt;=DI81, 1))</f>
        <v>2</v>
      </c>
      <c r="DM81" s="58">
        <f t="array" ref="DM81">SUM(IF(DI81:DJ81&gt;=DJ81, 1))</f>
        <v>1</v>
      </c>
      <c r="DO81" s="109">
        <f t="shared" si="69"/>
        <v>-7285873.1376251802</v>
      </c>
      <c r="DP81" s="109">
        <f t="shared" si="70"/>
        <v>0</v>
      </c>
      <c r="DR81" s="58">
        <f t="array" ref="DR81">SUM(IF(DO81:DP81&gt;=DO81, 1))</f>
        <v>2</v>
      </c>
      <c r="DS81" s="58">
        <f t="array" ref="DS81">SUM(IF(DO81:DP81&gt;=DP81, 1))</f>
        <v>1</v>
      </c>
      <c r="DU81" s="109">
        <f t="shared" si="71"/>
        <v>-34167818.806261405</v>
      </c>
      <c r="DV81" s="109">
        <f t="shared" si="72"/>
        <v>0</v>
      </c>
      <c r="DX81" s="58">
        <f t="array" ref="DX81">SUM(IF(DU81:DV81&gt;=DU81, 1))</f>
        <v>2</v>
      </c>
      <c r="DY81" s="58">
        <f t="array" ref="DY81">SUM(IF(DU81:DV81&gt;=DV81, 1))</f>
        <v>1</v>
      </c>
      <c r="EA81" s="109">
        <f t="shared" si="73"/>
        <v>-151249363.73414555</v>
      </c>
      <c r="EB81" s="109">
        <f t="shared" si="74"/>
        <v>0</v>
      </c>
      <c r="ED81" s="58">
        <f t="array" ref="ED81">SUM(IF(EA81:EB81&gt;=EA81, 1))</f>
        <v>2</v>
      </c>
      <c r="EE81" s="58">
        <f t="array" ref="EE81">SUM(IF(EA81:EB81&gt;=EB81, 1))</f>
        <v>1</v>
      </c>
    </row>
    <row r="82" spans="4:135" ht="12" customHeight="1" x14ac:dyDescent="0.25">
      <c r="D82" s="11">
        <v>66</v>
      </c>
      <c r="E82" s="72">
        <v>332.17033875953996</v>
      </c>
      <c r="F82" s="72">
        <v>283.42113612297595</v>
      </c>
      <c r="G82" s="73"/>
      <c r="H82" s="74">
        <v>5.8886585633172945</v>
      </c>
      <c r="I82" s="74">
        <v>5.9073475150699348</v>
      </c>
      <c r="J82" s="73"/>
      <c r="K82" s="72">
        <v>355.42280327946111</v>
      </c>
      <c r="L82" s="72">
        <v>305.50458618582365</v>
      </c>
      <c r="M82" s="73"/>
      <c r="N82" s="74">
        <v>6.726785101781247</v>
      </c>
      <c r="O82" s="74">
        <v>6.7422705451963605</v>
      </c>
      <c r="P82" s="73"/>
      <c r="Q82" s="72">
        <v>2339.5672214819192</v>
      </c>
      <c r="R82" s="72">
        <v>1215.891244839476</v>
      </c>
      <c r="S82" s="73"/>
      <c r="T82" s="74">
        <v>4.63982411397836</v>
      </c>
      <c r="U82" s="74">
        <v>4.7360142303466528</v>
      </c>
      <c r="V82" s="73"/>
      <c r="W82" s="72">
        <v>10791.027200997669</v>
      </c>
      <c r="X82" s="72">
        <v>10767.747192485043</v>
      </c>
      <c r="Y82" s="73"/>
      <c r="Z82" s="74">
        <v>2.9519505972886848</v>
      </c>
      <c r="AA82" s="74">
        <v>2.9912558106547897</v>
      </c>
      <c r="AB82" s="73"/>
      <c r="AC82" s="72">
        <v>50078.033455787991</v>
      </c>
      <c r="AD82" s="72">
        <v>49957.833577910169</v>
      </c>
      <c r="AE82" s="73"/>
      <c r="AF82" s="74">
        <v>4.9812424306716485</v>
      </c>
      <c r="AG82" s="74">
        <v>5.0588470793353872</v>
      </c>
      <c r="AH82" s="73"/>
      <c r="AI82" s="72">
        <v>5191557.4500025855</v>
      </c>
      <c r="AJ82" s="72">
        <v>0</v>
      </c>
      <c r="AK82" s="73"/>
      <c r="AL82" s="74">
        <v>-1990.2841781331172</v>
      </c>
      <c r="AM82" s="74">
        <v>0</v>
      </c>
      <c r="AN82" s="73"/>
      <c r="AO82" s="72">
        <v>339067.65016866673</v>
      </c>
      <c r="AP82" s="72">
        <v>0</v>
      </c>
      <c r="AQ82" s="73"/>
      <c r="AR82" s="74">
        <v>-105.18430377297317</v>
      </c>
      <c r="AS82" s="74">
        <v>0</v>
      </c>
      <c r="AT82" s="73"/>
      <c r="AU82" s="72">
        <v>26334685.256221022</v>
      </c>
      <c r="AV82" s="72">
        <v>0</v>
      </c>
      <c r="AW82" s="73"/>
      <c r="AX82" s="74">
        <v>-2254.3299776571757</v>
      </c>
      <c r="AY82" s="74">
        <v>0</v>
      </c>
      <c r="AZ82" s="73"/>
      <c r="BA82" s="72">
        <v>209678.6619639472</v>
      </c>
      <c r="BB82" s="72">
        <v>0</v>
      </c>
      <c r="BC82" s="73"/>
      <c r="BD82" s="74">
        <v>-354.01467067087725</v>
      </c>
      <c r="BE82" s="74">
        <v>0</v>
      </c>
      <c r="BF82" s="73"/>
      <c r="BG82" s="72">
        <v>1913909.2438756195</v>
      </c>
      <c r="BH82" s="72">
        <v>0</v>
      </c>
      <c r="BI82" s="73"/>
      <c r="BJ82" s="74">
        <v>-1235.6772491584593</v>
      </c>
      <c r="BK82" s="74">
        <v>0</v>
      </c>
      <c r="BL82" s="73"/>
      <c r="BM82" s="72">
        <v>33988898.262231842</v>
      </c>
      <c r="BN82" s="72">
        <v>0</v>
      </c>
      <c r="BO82" s="73"/>
      <c r="BP82" s="74">
        <v>-5939.4903793926023</v>
      </c>
      <c r="BQ82" s="74">
        <v>0</v>
      </c>
      <c r="BS82" s="109">
        <f t="shared" ref="BS82:BS145" si="75">H82*WTP-E82</f>
        <v>117441.00092758636</v>
      </c>
      <c r="BT82" s="109">
        <f t="shared" ref="BT82:BT145" si="76">I82*WTP-F82</f>
        <v>117863.52916527572</v>
      </c>
      <c r="BV82" s="58">
        <f t="array" ref="BV82">SUM(IF(BS82:BT82&gt;=BS82, 1))</f>
        <v>2</v>
      </c>
      <c r="BW82" s="58">
        <f t="array" ref="BW82">SUM(IF(BS82:BT82&gt;=BT82, 1))</f>
        <v>1</v>
      </c>
      <c r="BY82" s="109">
        <f t="shared" ref="BY82:BY145" si="77">N82*WTP-K82</f>
        <v>134180.27923234549</v>
      </c>
      <c r="BZ82" s="109">
        <f t="shared" ref="BZ82:BZ145" si="78">O82*WTP-L82</f>
        <v>134539.90631774138</v>
      </c>
      <c r="CB82" s="58">
        <f t="array" ref="CB82">SUM(IF(BY82:BZ82&gt;=BY82, 1))</f>
        <v>2</v>
      </c>
      <c r="CC82" s="58">
        <f t="array" ref="CC82">SUM(IF(BY82:BZ82&gt;=BZ82, 1))</f>
        <v>1</v>
      </c>
      <c r="CE82" s="109">
        <f t="shared" ref="CE82:CE145" si="79">T82*WTP-Q82</f>
        <v>90456.915058085273</v>
      </c>
      <c r="CF82" s="109">
        <f t="shared" ref="CF82:CF145" si="80">U82*WTP-R82</f>
        <v>93504.393362093586</v>
      </c>
      <c r="CH82" s="58">
        <f t="array" ref="CH82">SUM(IF(CE82:CF82&gt;=CE82, 1))</f>
        <v>2</v>
      </c>
      <c r="CI82" s="58">
        <f t="array" ref="CI82">SUM(IF(CE82:CF82&gt;=CF82, 1))</f>
        <v>1</v>
      </c>
      <c r="CK82" s="109">
        <f t="shared" ref="CK82:CK145" si="81">Z82*WTP-W82</f>
        <v>48247.984744776026</v>
      </c>
      <c r="CL82" s="109">
        <f t="shared" ref="CL82:CL145" si="82">AA82*WTP-X82</f>
        <v>49057.369020610757</v>
      </c>
      <c r="CN82" s="58">
        <f t="array" ref="CN82">SUM(IF(CK82:CL82&gt;=CK82, 1))</f>
        <v>2</v>
      </c>
      <c r="CO82" s="58">
        <f t="array" ref="CO82">SUM(IF(CK82:CL82&gt;=CL82, 1))</f>
        <v>1</v>
      </c>
      <c r="CQ82" s="109" cm="1">
        <f t="array" ref="CQ82">AF82*WTP-AC82</f>
        <v>49546.815157644982</v>
      </c>
      <c r="CR82" s="109">
        <f t="shared" ref="CR82:CR145" si="83">AG82*WTP-AD82</f>
        <v>51219.108008797579</v>
      </c>
      <c r="CT82" s="58">
        <f t="array" ref="CT82">SUM(IF(CQ82:CR82&gt;=CQ82, 1))</f>
        <v>2</v>
      </c>
      <c r="CU82" s="58">
        <f t="array" ref="CU82">SUM(IF(CQ82:CR82&gt;=CR82, 1))</f>
        <v>1</v>
      </c>
      <c r="CW82" s="109">
        <f t="shared" ref="CW82:CW145" si="84">AL82*WTP-AI82</f>
        <v>-44997241.012664929</v>
      </c>
      <c r="CX82" s="109">
        <f t="shared" ref="CX82:CX145" si="85">AM82*WTP-AJ82</f>
        <v>0</v>
      </c>
      <c r="CZ82" s="58">
        <f t="array" ref="CZ82">SUM(IF(CW82:CX82&gt;=CW82, 1))</f>
        <v>2</v>
      </c>
      <c r="DA82" s="58">
        <f t="array" ref="DA82">SUM(IF(CW82:CX82&gt;=CX82, 1))</f>
        <v>1</v>
      </c>
      <c r="DC82" s="109">
        <f t="shared" ref="DC82:DC145" si="86">AR82*WTP-AO82</f>
        <v>-2442753.7256281301</v>
      </c>
      <c r="DD82" s="109">
        <f t="shared" ref="DD82:DD145" si="87">AS82*WTP-AP82</f>
        <v>0</v>
      </c>
      <c r="DF82" s="58">
        <f t="array" ref="DF82">SUM(IF(DC82:DD82&gt;=DC82, 1))</f>
        <v>2</v>
      </c>
      <c r="DG82" s="58">
        <f t="array" ref="DG82">SUM(IF(DC82:DD82&gt;=DD82, 1))</f>
        <v>1</v>
      </c>
      <c r="DI82" s="109">
        <f t="shared" ref="DI82:DI145" si="88">AX82*WTP-AU82</f>
        <v>-71421284.809364542</v>
      </c>
      <c r="DJ82" s="109">
        <f t="shared" ref="DJ82:DJ145" si="89">AY82*WTP-AV82</f>
        <v>0</v>
      </c>
      <c r="DL82" s="58">
        <f t="array" ref="DL82">SUM(IF(DI82:DJ82&gt;=DI82, 1))</f>
        <v>2</v>
      </c>
      <c r="DM82" s="58">
        <f t="array" ref="DM82">SUM(IF(DI82:DJ82&gt;=DJ82, 1))</f>
        <v>1</v>
      </c>
      <c r="DO82" s="109">
        <f t="shared" ref="DO82:DO145" si="90">BD82*WTP-BA82</f>
        <v>-7289972.0753814923</v>
      </c>
      <c r="DP82" s="109">
        <f t="shared" ref="DP82:DP145" si="91">BE82*WTP-BB82</f>
        <v>0</v>
      </c>
      <c r="DR82" s="58">
        <f t="array" ref="DR82">SUM(IF(DO82:DP82&gt;=DO82, 1))</f>
        <v>2</v>
      </c>
      <c r="DS82" s="58">
        <f t="array" ref="DS82">SUM(IF(DO82:DP82&gt;=DP82, 1))</f>
        <v>1</v>
      </c>
      <c r="DU82" s="109">
        <f t="shared" ref="DU82:DU145" si="92">BJ82*WTP-BG82</f>
        <v>-26627454.227044806</v>
      </c>
      <c r="DV82" s="109">
        <f t="shared" ref="DV82:DV145" si="93">BK82*WTP-BH82</f>
        <v>0</v>
      </c>
      <c r="DX82" s="58">
        <f t="array" ref="DX82">SUM(IF(DU82:DV82&gt;=DU82, 1))</f>
        <v>2</v>
      </c>
      <c r="DY82" s="58">
        <f t="array" ref="DY82">SUM(IF(DU82:DV82&gt;=DV82, 1))</f>
        <v>1</v>
      </c>
      <c r="EA82" s="109">
        <f t="shared" ref="EA82:EA145" si="94">BP82*WTP-BM82</f>
        <v>-152778705.85008389</v>
      </c>
      <c r="EB82" s="109">
        <f t="shared" ref="EB82:EB145" si="95">BQ82*WTP-BN82</f>
        <v>0</v>
      </c>
      <c r="ED82" s="58">
        <f t="array" ref="ED82">SUM(IF(EA82:EB82&gt;=EA82, 1))</f>
        <v>2</v>
      </c>
      <c r="EE82" s="58">
        <f t="array" ref="EE82">SUM(IF(EA82:EB82&gt;=EB82, 1))</f>
        <v>1</v>
      </c>
    </row>
    <row r="83" spans="4:135" ht="12" customHeight="1" x14ac:dyDescent="0.25">
      <c r="D83" s="11">
        <v>67</v>
      </c>
      <c r="E83" s="72">
        <v>292.10177186691425</v>
      </c>
      <c r="F83" s="72">
        <v>272.36852109254585</v>
      </c>
      <c r="G83" s="73"/>
      <c r="H83" s="74">
        <v>5.8453403362235319</v>
      </c>
      <c r="I83" s="74">
        <v>5.8578852456530939</v>
      </c>
      <c r="J83" s="73"/>
      <c r="K83" s="72">
        <v>313.85709971930572</v>
      </c>
      <c r="L83" s="72">
        <v>293.67208659931634</v>
      </c>
      <c r="M83" s="73"/>
      <c r="N83" s="74">
        <v>6.7048580642385218</v>
      </c>
      <c r="O83" s="74">
        <v>6.7156043026727712</v>
      </c>
      <c r="P83" s="73"/>
      <c r="Q83" s="72">
        <v>2578.4544295609267</v>
      </c>
      <c r="R83" s="72">
        <v>1778.0541612164325</v>
      </c>
      <c r="S83" s="73"/>
      <c r="T83" s="74">
        <v>4.8011187778900917</v>
      </c>
      <c r="U83" s="74">
        <v>4.8696678546941179</v>
      </c>
      <c r="V83" s="73"/>
      <c r="W83" s="72">
        <v>11576.105683453077</v>
      </c>
      <c r="X83" s="72">
        <v>11653.342676275606</v>
      </c>
      <c r="Y83" s="73"/>
      <c r="Z83" s="74">
        <v>3.1678586107854385</v>
      </c>
      <c r="AA83" s="74">
        <v>3.2338730019893567</v>
      </c>
      <c r="AB83" s="73"/>
      <c r="AC83" s="72">
        <v>50141.936351654149</v>
      </c>
      <c r="AD83" s="72">
        <v>50060.939212684774</v>
      </c>
      <c r="AE83" s="73"/>
      <c r="AF83" s="74">
        <v>5.0746144145591714</v>
      </c>
      <c r="AG83" s="74">
        <v>5.1704757681889513</v>
      </c>
      <c r="AH83" s="73"/>
      <c r="AI83" s="72">
        <v>2133791.4372018408</v>
      </c>
      <c r="AJ83" s="72">
        <v>0</v>
      </c>
      <c r="AK83" s="73"/>
      <c r="AL83" s="74">
        <v>-1356.5033266612795</v>
      </c>
      <c r="AM83" s="74">
        <v>0</v>
      </c>
      <c r="AN83" s="73"/>
      <c r="AO83" s="72">
        <v>140727.15666473316</v>
      </c>
      <c r="AP83" s="72">
        <v>0</v>
      </c>
      <c r="AQ83" s="73"/>
      <c r="AR83" s="74">
        <v>-74.92130773972886</v>
      </c>
      <c r="AS83" s="74">
        <v>0</v>
      </c>
      <c r="AT83" s="73"/>
      <c r="AU83" s="72">
        <v>18919612.135661788</v>
      </c>
      <c r="AV83" s="72">
        <v>0</v>
      </c>
      <c r="AW83" s="73"/>
      <c r="AX83" s="74">
        <v>-1620.3417173664268</v>
      </c>
      <c r="AY83" s="74">
        <v>0</v>
      </c>
      <c r="AZ83" s="73"/>
      <c r="BA83" s="72">
        <v>-660681.3904116716</v>
      </c>
      <c r="BB83" s="72">
        <v>0</v>
      </c>
      <c r="BC83" s="73"/>
      <c r="BD83" s="74">
        <v>-564.68381502112243</v>
      </c>
      <c r="BE83" s="74">
        <v>0</v>
      </c>
      <c r="BF83" s="73"/>
      <c r="BG83" s="72">
        <v>1288197.730031525</v>
      </c>
      <c r="BH83" s="72">
        <v>0</v>
      </c>
      <c r="BI83" s="73"/>
      <c r="BJ83" s="74">
        <v>-1524.6017293317384</v>
      </c>
      <c r="BK83" s="74">
        <v>0</v>
      </c>
      <c r="BL83" s="73"/>
      <c r="BM83" s="72">
        <v>21821647.069148216</v>
      </c>
      <c r="BN83" s="72">
        <v>0</v>
      </c>
      <c r="BO83" s="73"/>
      <c r="BP83" s="74">
        <v>-5141.0518961202961</v>
      </c>
      <c r="BQ83" s="74">
        <v>0</v>
      </c>
      <c r="BS83" s="109">
        <f t="shared" si="75"/>
        <v>116614.70495260372</v>
      </c>
      <c r="BT83" s="109">
        <f t="shared" si="76"/>
        <v>116885.33639196934</v>
      </c>
      <c r="BV83" s="58">
        <f t="array" ref="BV83">SUM(IF(BS83:BT83&gt;=BS83, 1))</f>
        <v>2</v>
      </c>
      <c r="BW83" s="58">
        <f t="array" ref="BW83">SUM(IF(BS83:BT83&gt;=BT83, 1))</f>
        <v>1</v>
      </c>
      <c r="BY83" s="109">
        <f t="shared" si="77"/>
        <v>133783.30418505112</v>
      </c>
      <c r="BZ83" s="109">
        <f t="shared" si="78"/>
        <v>134018.41396685611</v>
      </c>
      <c r="CB83" s="58">
        <f t="array" ref="CB83">SUM(IF(BY83:BZ83&gt;=BY83, 1))</f>
        <v>2</v>
      </c>
      <c r="CC83" s="58">
        <f t="array" ref="CC83">SUM(IF(BY83:BZ83&gt;=BZ83, 1))</f>
        <v>1</v>
      </c>
      <c r="CE83" s="109">
        <f t="shared" si="79"/>
        <v>93443.921128240909</v>
      </c>
      <c r="CF83" s="109">
        <f t="shared" si="80"/>
        <v>95615.302932665916</v>
      </c>
      <c r="CH83" s="58">
        <f t="array" ref="CH83">SUM(IF(CE83:CF83&gt;=CE83, 1))</f>
        <v>2</v>
      </c>
      <c r="CI83" s="58">
        <f t="array" ref="CI83">SUM(IF(CE83:CF83&gt;=CF83, 1))</f>
        <v>1</v>
      </c>
      <c r="CK83" s="109">
        <f t="shared" si="81"/>
        <v>51781.066532255696</v>
      </c>
      <c r="CL83" s="109">
        <f t="shared" si="82"/>
        <v>53024.117363511526</v>
      </c>
      <c r="CN83" s="58">
        <f t="array" ref="CN83">SUM(IF(CK83:CL83&gt;=CK83, 1))</f>
        <v>2</v>
      </c>
      <c r="CO83" s="58">
        <f t="array" ref="CO83">SUM(IF(CK83:CL83&gt;=CL83, 1))</f>
        <v>1</v>
      </c>
      <c r="CQ83" s="109" cm="1">
        <f t="array" ref="CQ83">AF83*WTP-AC83</f>
        <v>51350.351939529282</v>
      </c>
      <c r="CR83" s="109">
        <f t="shared" si="83"/>
        <v>53348.576151094247</v>
      </c>
      <c r="CT83" s="58">
        <f t="array" ref="CT83">SUM(IF(CQ83:CR83&gt;=CQ83, 1))</f>
        <v>2</v>
      </c>
      <c r="CU83" s="58">
        <f t="array" ref="CU83">SUM(IF(CQ83:CR83&gt;=CR83, 1))</f>
        <v>1</v>
      </c>
      <c r="CW83" s="109">
        <f t="shared" si="84"/>
        <v>-29263857.970427431</v>
      </c>
      <c r="CX83" s="109">
        <f t="shared" si="85"/>
        <v>0</v>
      </c>
      <c r="CZ83" s="58">
        <f t="array" ref="CZ83">SUM(IF(CW83:CX83&gt;=CW83, 1))</f>
        <v>2</v>
      </c>
      <c r="DA83" s="58">
        <f t="array" ref="DA83">SUM(IF(CW83:CX83&gt;=CX83, 1))</f>
        <v>1</v>
      </c>
      <c r="DC83" s="109">
        <f t="shared" si="86"/>
        <v>-1639153.3114593104</v>
      </c>
      <c r="DD83" s="109">
        <f t="shared" si="87"/>
        <v>0</v>
      </c>
      <c r="DF83" s="58">
        <f t="array" ref="DF83">SUM(IF(DC83:DD83&gt;=DC83, 1))</f>
        <v>2</v>
      </c>
      <c r="DG83" s="58">
        <f t="array" ref="DG83">SUM(IF(DC83:DD83&gt;=DD83, 1))</f>
        <v>1</v>
      </c>
      <c r="DI83" s="109">
        <f t="shared" si="88"/>
        <v>-51326446.482990324</v>
      </c>
      <c r="DJ83" s="109">
        <f t="shared" si="89"/>
        <v>0</v>
      </c>
      <c r="DL83" s="58">
        <f t="array" ref="DL83">SUM(IF(DI83:DJ83&gt;=DI83, 1))</f>
        <v>2</v>
      </c>
      <c r="DM83" s="58">
        <f t="array" ref="DM83">SUM(IF(DI83:DJ83&gt;=DJ83, 1))</f>
        <v>1</v>
      </c>
      <c r="DO83" s="109">
        <f t="shared" si="90"/>
        <v>-10632994.910010777</v>
      </c>
      <c r="DP83" s="109">
        <f t="shared" si="91"/>
        <v>0</v>
      </c>
      <c r="DR83" s="58">
        <f t="array" ref="DR83">SUM(IF(DO83:DP83&gt;=DO83, 1))</f>
        <v>2</v>
      </c>
      <c r="DS83" s="58">
        <f t="array" ref="DS83">SUM(IF(DO83:DP83&gt;=DP83, 1))</f>
        <v>1</v>
      </c>
      <c r="DU83" s="109">
        <f t="shared" si="92"/>
        <v>-31780232.31666629</v>
      </c>
      <c r="DV83" s="109">
        <f t="shared" si="93"/>
        <v>0</v>
      </c>
      <c r="DX83" s="58">
        <f t="array" ref="DX83">SUM(IF(DU83:DV83&gt;=DU83, 1))</f>
        <v>2</v>
      </c>
      <c r="DY83" s="58">
        <f t="array" ref="DY83">SUM(IF(DU83:DV83&gt;=DV83, 1))</f>
        <v>1</v>
      </c>
      <c r="EA83" s="109">
        <f t="shared" si="94"/>
        <v>-124642684.99155414</v>
      </c>
      <c r="EB83" s="109">
        <f t="shared" si="95"/>
        <v>0</v>
      </c>
      <c r="ED83" s="58">
        <f t="array" ref="ED83">SUM(IF(EA83:EB83&gt;=EA83, 1))</f>
        <v>2</v>
      </c>
      <c r="EE83" s="58">
        <f t="array" ref="EE83">SUM(IF(EA83:EB83&gt;=EB83, 1))</f>
        <v>1</v>
      </c>
    </row>
    <row r="84" spans="4:135" ht="12" customHeight="1" x14ac:dyDescent="0.25">
      <c r="D84" s="11">
        <v>68</v>
      </c>
      <c r="E84" s="72">
        <v>252.8139745713074</v>
      </c>
      <c r="F84" s="72">
        <v>222.34580079340142</v>
      </c>
      <c r="G84" s="73"/>
      <c r="H84" s="74">
        <v>5.8968710098749701</v>
      </c>
      <c r="I84" s="74">
        <v>5.9182786189730567</v>
      </c>
      <c r="J84" s="73"/>
      <c r="K84" s="72">
        <v>270.89910584301799</v>
      </c>
      <c r="L84" s="72">
        <v>239.75083549756781</v>
      </c>
      <c r="M84" s="73"/>
      <c r="N84" s="74">
        <v>6.6838655189023468</v>
      </c>
      <c r="O84" s="74">
        <v>6.7030575599346136</v>
      </c>
      <c r="P84" s="73"/>
      <c r="Q84" s="72">
        <v>1838.2102083314394</v>
      </c>
      <c r="R84" s="72">
        <v>1489.8049602702365</v>
      </c>
      <c r="S84" s="73"/>
      <c r="T84" s="74">
        <v>4.9880705010544357</v>
      </c>
      <c r="U84" s="74">
        <v>5.0288158149273663</v>
      </c>
      <c r="V84" s="73"/>
      <c r="W84" s="72">
        <v>14299.158543251377</v>
      </c>
      <c r="X84" s="72">
        <v>14263.280642589265</v>
      </c>
      <c r="Y84" s="73"/>
      <c r="Z84" s="74">
        <v>3.1433024180022819</v>
      </c>
      <c r="AA84" s="74">
        <v>3.1813323818197965</v>
      </c>
      <c r="AB84" s="73"/>
      <c r="AC84" s="72">
        <v>49859.186761436606</v>
      </c>
      <c r="AD84" s="72">
        <v>49892.248029350711</v>
      </c>
      <c r="AE84" s="73"/>
      <c r="AF84" s="74">
        <v>4.5692749861144959</v>
      </c>
      <c r="AG84" s="74">
        <v>4.6878911932839449</v>
      </c>
      <c r="AH84" s="73"/>
      <c r="AI84" s="72">
        <v>3267733.5118781123</v>
      </c>
      <c r="AJ84" s="72">
        <v>0</v>
      </c>
      <c r="AK84" s="73"/>
      <c r="AL84" s="74">
        <v>-2295.9814450622503</v>
      </c>
      <c r="AM84" s="74">
        <v>0</v>
      </c>
      <c r="AN84" s="73"/>
      <c r="AO84" s="72">
        <v>209823.16926744624</v>
      </c>
      <c r="AP84" s="72">
        <v>0</v>
      </c>
      <c r="AQ84" s="73"/>
      <c r="AR84" s="74">
        <v>-129.28277652146747</v>
      </c>
      <c r="AS84" s="74">
        <v>0</v>
      </c>
      <c r="AT84" s="73"/>
      <c r="AU84" s="72">
        <v>8050652.8710880894</v>
      </c>
      <c r="AV84" s="72">
        <v>0</v>
      </c>
      <c r="AW84" s="73"/>
      <c r="AX84" s="74">
        <v>-941.50814300268746</v>
      </c>
      <c r="AY84" s="74">
        <v>0</v>
      </c>
      <c r="AZ84" s="73"/>
      <c r="BA84" s="72">
        <v>311547.7106052342</v>
      </c>
      <c r="BB84" s="72">
        <v>0</v>
      </c>
      <c r="BC84" s="73"/>
      <c r="BD84" s="74">
        <v>-330.23526859414676</v>
      </c>
      <c r="BE84" s="74">
        <v>0</v>
      </c>
      <c r="BF84" s="73"/>
      <c r="BG84" s="72">
        <v>-515971.80353015929</v>
      </c>
      <c r="BH84" s="72">
        <v>0</v>
      </c>
      <c r="BI84" s="73"/>
      <c r="BJ84" s="74">
        <v>-1851.1878764037554</v>
      </c>
      <c r="BK84" s="74">
        <v>0</v>
      </c>
      <c r="BL84" s="73"/>
      <c r="BM84" s="72">
        <v>11323785.459308723</v>
      </c>
      <c r="BN84" s="72">
        <v>0</v>
      </c>
      <c r="BO84" s="73"/>
      <c r="BP84" s="74">
        <v>-5548.1955095843077</v>
      </c>
      <c r="BQ84" s="74">
        <v>0</v>
      </c>
      <c r="BS84" s="109">
        <f t="shared" si="75"/>
        <v>117684.60622292809</v>
      </c>
      <c r="BT84" s="109">
        <f t="shared" si="76"/>
        <v>118143.22657866775</v>
      </c>
      <c r="BV84" s="58">
        <f t="array" ref="BV84">SUM(IF(BS84:BT84&gt;=BS84, 1))</f>
        <v>2</v>
      </c>
      <c r="BW84" s="58">
        <f t="array" ref="BW84">SUM(IF(BS84:BT84&gt;=BT84, 1))</f>
        <v>1</v>
      </c>
      <c r="BY84" s="109">
        <f t="shared" si="77"/>
        <v>133406.41127220393</v>
      </c>
      <c r="BZ84" s="109">
        <f t="shared" si="78"/>
        <v>133821.4003631947</v>
      </c>
      <c r="CB84" s="58">
        <f t="array" ref="CB84">SUM(IF(BY84:BZ84&gt;=BY84, 1))</f>
        <v>2</v>
      </c>
      <c r="CC84" s="58">
        <f t="array" ref="CC84">SUM(IF(BY84:BZ84&gt;=BZ84, 1))</f>
        <v>1</v>
      </c>
      <c r="CE84" s="109">
        <f t="shared" si="79"/>
        <v>97923.199812757273</v>
      </c>
      <c r="CF84" s="109">
        <f t="shared" si="80"/>
        <v>99086.511338277094</v>
      </c>
      <c r="CH84" s="58">
        <f t="array" ref="CH84">SUM(IF(CE84:CF84&gt;=CE84, 1))</f>
        <v>2</v>
      </c>
      <c r="CI84" s="58">
        <f t="array" ref="CI84">SUM(IF(CE84:CF84&gt;=CF84, 1))</f>
        <v>1</v>
      </c>
      <c r="CK84" s="109">
        <f t="shared" si="81"/>
        <v>48566.889816794261</v>
      </c>
      <c r="CL84" s="109">
        <f t="shared" si="82"/>
        <v>49363.366993806667</v>
      </c>
      <c r="CN84" s="58">
        <f t="array" ref="CN84">SUM(IF(CK84:CL84&gt;=CK84, 1))</f>
        <v>2</v>
      </c>
      <c r="CO84" s="58">
        <f t="array" ref="CO84">SUM(IF(CK84:CL84&gt;=CL84, 1))</f>
        <v>1</v>
      </c>
      <c r="CQ84" s="109" cm="1">
        <f t="array" ref="CQ84">AF84*WTP-AC84</f>
        <v>41526.312960853305</v>
      </c>
      <c r="CR84" s="109">
        <f t="shared" si="83"/>
        <v>43865.575836328193</v>
      </c>
      <c r="CT84" s="58">
        <f t="array" ref="CT84">SUM(IF(CQ84:CR84&gt;=CQ84, 1))</f>
        <v>2</v>
      </c>
      <c r="CU84" s="58">
        <f t="array" ref="CU84">SUM(IF(CQ84:CR84&gt;=CR84, 1))</f>
        <v>1</v>
      </c>
      <c r="CW84" s="109">
        <f t="shared" si="84"/>
        <v>-49187362.413123116</v>
      </c>
      <c r="CX84" s="109">
        <f t="shared" si="85"/>
        <v>0</v>
      </c>
      <c r="CZ84" s="58">
        <f t="array" ref="CZ84">SUM(IF(CW84:CX84&gt;=CW84, 1))</f>
        <v>2</v>
      </c>
      <c r="DA84" s="58">
        <f t="array" ref="DA84">SUM(IF(CW84:CX84&gt;=CX84, 1))</f>
        <v>1</v>
      </c>
      <c r="DC84" s="109">
        <f t="shared" si="86"/>
        <v>-2795478.6996967955</v>
      </c>
      <c r="DD84" s="109">
        <f t="shared" si="87"/>
        <v>0</v>
      </c>
      <c r="DF84" s="58">
        <f t="array" ref="DF84">SUM(IF(DC84:DD84&gt;=DC84, 1))</f>
        <v>2</v>
      </c>
      <c r="DG84" s="58">
        <f t="array" ref="DG84">SUM(IF(DC84:DD84&gt;=DD84, 1))</f>
        <v>1</v>
      </c>
      <c r="DI84" s="109">
        <f t="shared" si="88"/>
        <v>-26880815.731141835</v>
      </c>
      <c r="DJ84" s="109">
        <f t="shared" si="89"/>
        <v>0</v>
      </c>
      <c r="DL84" s="58">
        <f t="array" ref="DL84">SUM(IF(DI84:DJ84&gt;=DI84, 1))</f>
        <v>2</v>
      </c>
      <c r="DM84" s="58">
        <f t="array" ref="DM84">SUM(IF(DI84:DJ84&gt;=DJ84, 1))</f>
        <v>1</v>
      </c>
      <c r="DO84" s="109">
        <f t="shared" si="90"/>
        <v>-6916253.082488169</v>
      </c>
      <c r="DP84" s="109">
        <f t="shared" si="91"/>
        <v>0</v>
      </c>
      <c r="DR84" s="58">
        <f t="array" ref="DR84">SUM(IF(DO84:DP84&gt;=DO84, 1))</f>
        <v>2</v>
      </c>
      <c r="DS84" s="58">
        <f t="array" ref="DS84">SUM(IF(DO84:DP84&gt;=DP84, 1))</f>
        <v>1</v>
      </c>
      <c r="DU84" s="109">
        <f t="shared" si="92"/>
        <v>-36507785.72454495</v>
      </c>
      <c r="DV84" s="109">
        <f t="shared" si="93"/>
        <v>0</v>
      </c>
      <c r="DX84" s="58">
        <f t="array" ref="DX84">SUM(IF(DU84:DV84&gt;=DU84, 1))</f>
        <v>2</v>
      </c>
      <c r="DY84" s="58">
        <f t="array" ref="DY84">SUM(IF(DU84:DV84&gt;=DV84, 1))</f>
        <v>1</v>
      </c>
      <c r="EA84" s="109">
        <f t="shared" si="94"/>
        <v>-122287695.65099488</v>
      </c>
      <c r="EB84" s="109">
        <f t="shared" si="95"/>
        <v>0</v>
      </c>
      <c r="ED84" s="58">
        <f t="array" ref="ED84">SUM(IF(EA84:EB84&gt;=EA84, 1))</f>
        <v>2</v>
      </c>
      <c r="EE84" s="58">
        <f t="array" ref="EE84">SUM(IF(EA84:EB84&gt;=EB84, 1))</f>
        <v>1</v>
      </c>
    </row>
    <row r="85" spans="4:135" ht="12" customHeight="1" x14ac:dyDescent="0.25">
      <c r="D85" s="11">
        <v>69</v>
      </c>
      <c r="E85" s="72">
        <v>294.59621525620918</v>
      </c>
      <c r="F85" s="72">
        <v>261.6813783598497</v>
      </c>
      <c r="G85" s="73"/>
      <c r="H85" s="74">
        <v>5.8216972583856901</v>
      </c>
      <c r="I85" s="74">
        <v>5.8421222876253251</v>
      </c>
      <c r="J85" s="73"/>
      <c r="K85" s="72">
        <v>315.89557170956886</v>
      </c>
      <c r="L85" s="72">
        <v>282.18877763159156</v>
      </c>
      <c r="M85" s="73"/>
      <c r="N85" s="74">
        <v>6.6644976194272196</v>
      </c>
      <c r="O85" s="74">
        <v>6.6828064560099483</v>
      </c>
      <c r="P85" s="73"/>
      <c r="Q85" s="72">
        <v>4645.3869901640637</v>
      </c>
      <c r="R85" s="72">
        <v>1858.2564615312949</v>
      </c>
      <c r="S85" s="73"/>
      <c r="T85" s="74">
        <v>4.8935429678659377</v>
      </c>
      <c r="U85" s="74">
        <v>5.0394351163878497</v>
      </c>
      <c r="V85" s="73"/>
      <c r="W85" s="72">
        <v>9457.7068776958185</v>
      </c>
      <c r="X85" s="72">
        <v>9470.2825946468674</v>
      </c>
      <c r="Y85" s="73"/>
      <c r="Z85" s="74">
        <v>3.1029025016059846</v>
      </c>
      <c r="AA85" s="74">
        <v>3.1624351230743915</v>
      </c>
      <c r="AB85" s="73"/>
      <c r="AC85" s="72">
        <v>48632.206591789378</v>
      </c>
      <c r="AD85" s="72">
        <v>48542.867319204983</v>
      </c>
      <c r="AE85" s="73"/>
      <c r="AF85" s="74">
        <v>4.6584617886676547</v>
      </c>
      <c r="AG85" s="74">
        <v>4.6861297681470981</v>
      </c>
      <c r="AH85" s="73"/>
      <c r="AI85" s="72">
        <v>3540910.8877621656</v>
      </c>
      <c r="AJ85" s="72">
        <v>0</v>
      </c>
      <c r="AK85" s="73"/>
      <c r="AL85" s="74">
        <v>-2197.2829045215071</v>
      </c>
      <c r="AM85" s="74">
        <v>0</v>
      </c>
      <c r="AN85" s="73"/>
      <c r="AO85" s="72">
        <v>227177.12443485027</v>
      </c>
      <c r="AP85" s="72">
        <v>0</v>
      </c>
      <c r="AQ85" s="73"/>
      <c r="AR85" s="74">
        <v>-123.39793683699629</v>
      </c>
      <c r="AS85" s="74">
        <v>0</v>
      </c>
      <c r="AT85" s="73"/>
      <c r="AU85" s="72">
        <v>64554353.055263765</v>
      </c>
      <c r="AV85" s="72">
        <v>0</v>
      </c>
      <c r="AW85" s="73"/>
      <c r="AX85" s="74">
        <v>-3379.0930015374943</v>
      </c>
      <c r="AY85" s="74">
        <v>0</v>
      </c>
      <c r="AZ85" s="73"/>
      <c r="BA85" s="72">
        <v>-111683.72771646825</v>
      </c>
      <c r="BB85" s="72">
        <v>0</v>
      </c>
      <c r="BC85" s="73"/>
      <c r="BD85" s="74">
        <v>-528.70346177524095</v>
      </c>
      <c r="BE85" s="74">
        <v>0</v>
      </c>
      <c r="BF85" s="73"/>
      <c r="BG85" s="72">
        <v>1425990.7774767831</v>
      </c>
      <c r="BH85" s="72">
        <v>0</v>
      </c>
      <c r="BI85" s="73"/>
      <c r="BJ85" s="74">
        <v>-441.62306707649117</v>
      </c>
      <c r="BK85" s="74">
        <v>0</v>
      </c>
      <c r="BL85" s="73"/>
      <c r="BM85" s="72">
        <v>69636748.117221102</v>
      </c>
      <c r="BN85" s="72">
        <v>0</v>
      </c>
      <c r="BO85" s="73"/>
      <c r="BP85" s="74">
        <v>-6670.1003717477297</v>
      </c>
      <c r="BQ85" s="74">
        <v>0</v>
      </c>
      <c r="BS85" s="109">
        <f t="shared" si="75"/>
        <v>116139.34895245759</v>
      </c>
      <c r="BT85" s="109">
        <f t="shared" si="76"/>
        <v>116580.76437414666</v>
      </c>
      <c r="BV85" s="58">
        <f t="array" ref="BV85">SUM(IF(BS85:BT85&gt;=BS85, 1))</f>
        <v>2</v>
      </c>
      <c r="BW85" s="58">
        <f t="array" ref="BW85">SUM(IF(BS85:BT85&gt;=BT85, 1))</f>
        <v>1</v>
      </c>
      <c r="BY85" s="109">
        <f t="shared" si="77"/>
        <v>132974.05681683481</v>
      </c>
      <c r="BZ85" s="109">
        <f t="shared" si="78"/>
        <v>133373.94034256737</v>
      </c>
      <c r="CB85" s="58">
        <f t="array" ref="CB85">SUM(IF(BY85:BZ85&gt;=BY85, 1))</f>
        <v>2</v>
      </c>
      <c r="CC85" s="58">
        <f t="array" ref="CC85">SUM(IF(BY85:BZ85&gt;=BZ85, 1))</f>
        <v>1</v>
      </c>
      <c r="CE85" s="109">
        <f t="shared" si="79"/>
        <v>93225.472367154696</v>
      </c>
      <c r="CF85" s="109">
        <f t="shared" si="80"/>
        <v>98930.445866225695</v>
      </c>
      <c r="CH85" s="58">
        <f t="array" ref="CH85">SUM(IF(CE85:CF85&gt;=CE85, 1))</f>
        <v>2</v>
      </c>
      <c r="CI85" s="58">
        <f t="array" ref="CI85">SUM(IF(CE85:CF85&gt;=CF85, 1))</f>
        <v>1</v>
      </c>
      <c r="CK85" s="109">
        <f t="shared" si="81"/>
        <v>52600.34315442387</v>
      </c>
      <c r="CL85" s="109">
        <f t="shared" si="82"/>
        <v>53778.419866840966</v>
      </c>
      <c r="CN85" s="58">
        <f t="array" ref="CN85">SUM(IF(CK85:CL85&gt;=CK85, 1))</f>
        <v>2</v>
      </c>
      <c r="CO85" s="58">
        <f t="array" ref="CO85">SUM(IF(CK85:CL85&gt;=CL85, 1))</f>
        <v>1</v>
      </c>
      <c r="CQ85" s="109" cm="1">
        <f t="array" ref="CQ85">AF85*WTP-AC85</f>
        <v>44537.029181563717</v>
      </c>
      <c r="CR85" s="109">
        <f t="shared" si="83"/>
        <v>45179.728043736985</v>
      </c>
      <c r="CT85" s="58">
        <f t="array" ref="CT85">SUM(IF(CQ85:CR85&gt;=CQ85, 1))</f>
        <v>2</v>
      </c>
      <c r="CU85" s="58">
        <f t="array" ref="CU85">SUM(IF(CQ85:CR85&gt;=CR85, 1))</f>
        <v>1</v>
      </c>
      <c r="CW85" s="109">
        <f t="shared" si="84"/>
        <v>-47486568.978192307</v>
      </c>
      <c r="CX85" s="109">
        <f t="shared" si="85"/>
        <v>0</v>
      </c>
      <c r="CZ85" s="58">
        <f t="array" ref="CZ85">SUM(IF(CW85:CX85&gt;=CW85, 1))</f>
        <v>2</v>
      </c>
      <c r="DA85" s="58">
        <f t="array" ref="DA85">SUM(IF(CW85:CX85&gt;=CX85, 1))</f>
        <v>1</v>
      </c>
      <c r="DC85" s="109">
        <f t="shared" si="86"/>
        <v>-2695135.8611747762</v>
      </c>
      <c r="DD85" s="109">
        <f t="shared" si="87"/>
        <v>0</v>
      </c>
      <c r="DF85" s="58">
        <f t="array" ref="DF85">SUM(IF(DC85:DD85&gt;=DC85, 1))</f>
        <v>2</v>
      </c>
      <c r="DG85" s="58">
        <f t="array" ref="DG85">SUM(IF(DC85:DD85&gt;=DD85, 1))</f>
        <v>1</v>
      </c>
      <c r="DI85" s="109">
        <f t="shared" si="88"/>
        <v>-132136213.08601364</v>
      </c>
      <c r="DJ85" s="109">
        <f t="shared" si="89"/>
        <v>0</v>
      </c>
      <c r="DL85" s="58">
        <f t="array" ref="DL85">SUM(IF(DI85:DJ85&gt;=DI85, 1))</f>
        <v>2</v>
      </c>
      <c r="DM85" s="58">
        <f t="array" ref="DM85">SUM(IF(DI85:DJ85&gt;=DJ85, 1))</f>
        <v>1</v>
      </c>
      <c r="DO85" s="109">
        <f t="shared" si="90"/>
        <v>-10462385.507788351</v>
      </c>
      <c r="DP85" s="109">
        <f t="shared" si="91"/>
        <v>0</v>
      </c>
      <c r="DR85" s="58">
        <f t="array" ref="DR85">SUM(IF(DO85:DP85&gt;=DO85, 1))</f>
        <v>2</v>
      </c>
      <c r="DS85" s="58">
        <f t="array" ref="DS85">SUM(IF(DO85:DP85&gt;=DP85, 1))</f>
        <v>1</v>
      </c>
      <c r="DU85" s="109">
        <f t="shared" si="92"/>
        <v>-10258452.119006608</v>
      </c>
      <c r="DV85" s="109">
        <f t="shared" si="93"/>
        <v>0</v>
      </c>
      <c r="DX85" s="58">
        <f t="array" ref="DX85">SUM(IF(DU85:DV85&gt;=DU85, 1))</f>
        <v>2</v>
      </c>
      <c r="DY85" s="58">
        <f t="array" ref="DY85">SUM(IF(DU85:DV85&gt;=DV85, 1))</f>
        <v>1</v>
      </c>
      <c r="EA85" s="109">
        <f t="shared" si="94"/>
        <v>-203038755.5521757</v>
      </c>
      <c r="EB85" s="109">
        <f t="shared" si="95"/>
        <v>0</v>
      </c>
      <c r="ED85" s="58">
        <f t="array" ref="ED85">SUM(IF(EA85:EB85&gt;=EA85, 1))</f>
        <v>2</v>
      </c>
      <c r="EE85" s="58">
        <f t="array" ref="EE85">SUM(IF(EA85:EB85&gt;=EB85, 1))</f>
        <v>1</v>
      </c>
    </row>
    <row r="86" spans="4:135" ht="12" customHeight="1" x14ac:dyDescent="0.25">
      <c r="D86" s="11">
        <v>70</v>
      </c>
      <c r="E86" s="72">
        <v>242.03687544196131</v>
      </c>
      <c r="F86" s="72">
        <v>215.31844991338849</v>
      </c>
      <c r="G86" s="73"/>
      <c r="H86" s="74">
        <v>5.7973153956279466</v>
      </c>
      <c r="I86" s="74">
        <v>5.8129102141461244</v>
      </c>
      <c r="J86" s="73"/>
      <c r="K86" s="72">
        <v>259.47298182158437</v>
      </c>
      <c r="L86" s="72">
        <v>232.10703620502306</v>
      </c>
      <c r="M86" s="73"/>
      <c r="N86" s="74">
        <v>6.7002483172490219</v>
      </c>
      <c r="O86" s="74">
        <v>6.713782826358651</v>
      </c>
      <c r="P86" s="73"/>
      <c r="Q86" s="72">
        <v>2323.5012735681375</v>
      </c>
      <c r="R86" s="72">
        <v>1312.6862302679413</v>
      </c>
      <c r="S86" s="73"/>
      <c r="T86" s="74">
        <v>4.6004597669457326</v>
      </c>
      <c r="U86" s="74">
        <v>4.6930006734725254</v>
      </c>
      <c r="V86" s="73"/>
      <c r="W86" s="72">
        <v>17214.104942851998</v>
      </c>
      <c r="X86" s="72">
        <v>17158.302261237481</v>
      </c>
      <c r="Y86" s="73"/>
      <c r="Z86" s="74">
        <v>3.0681976490355947</v>
      </c>
      <c r="AA86" s="74">
        <v>3.1089151706786393</v>
      </c>
      <c r="AB86" s="73"/>
      <c r="AC86" s="72">
        <v>50508.419511370143</v>
      </c>
      <c r="AD86" s="72">
        <v>50348.424739525384</v>
      </c>
      <c r="AE86" s="73"/>
      <c r="AF86" s="74">
        <v>4.8775538802821741</v>
      </c>
      <c r="AG86" s="74">
        <v>5.0367879888352709</v>
      </c>
      <c r="AH86" s="73"/>
      <c r="AI86" s="72">
        <v>2886952.0329592437</v>
      </c>
      <c r="AJ86" s="72">
        <v>0</v>
      </c>
      <c r="AK86" s="73"/>
      <c r="AL86" s="74">
        <v>-1685.0354066162174</v>
      </c>
      <c r="AM86" s="74">
        <v>0</v>
      </c>
      <c r="AN86" s="73"/>
      <c r="AO86" s="72">
        <v>192850.17382749167</v>
      </c>
      <c r="AP86" s="72">
        <v>0</v>
      </c>
      <c r="AQ86" s="73"/>
      <c r="AR86" s="74">
        <v>-95.378850452810028</v>
      </c>
      <c r="AS86" s="74">
        <v>0</v>
      </c>
      <c r="AT86" s="73"/>
      <c r="AU86" s="72">
        <v>23097219.685081836</v>
      </c>
      <c r="AV86" s="72">
        <v>0</v>
      </c>
      <c r="AW86" s="73"/>
      <c r="AX86" s="74">
        <v>-2114.5684980384403</v>
      </c>
      <c r="AY86" s="74">
        <v>0</v>
      </c>
      <c r="AZ86" s="73"/>
      <c r="BA86" s="72">
        <v>495706.83481456141</v>
      </c>
      <c r="BB86" s="72">
        <v>0</v>
      </c>
      <c r="BC86" s="73"/>
      <c r="BD86" s="74">
        <v>-361.70221916209942</v>
      </c>
      <c r="BE86" s="74">
        <v>0</v>
      </c>
      <c r="BF86" s="73"/>
      <c r="BG86" s="72">
        <v>2514769.9289300065</v>
      </c>
      <c r="BH86" s="72">
        <v>0</v>
      </c>
      <c r="BI86" s="73"/>
      <c r="BJ86" s="74">
        <v>-2502.8139559325427</v>
      </c>
      <c r="BK86" s="74">
        <v>0</v>
      </c>
      <c r="BL86" s="73"/>
      <c r="BM86" s="72">
        <v>29187498.655613139</v>
      </c>
      <c r="BN86" s="72">
        <v>0</v>
      </c>
      <c r="BO86" s="73"/>
      <c r="BP86" s="74">
        <v>-6759.4989302021095</v>
      </c>
      <c r="BQ86" s="74">
        <v>0</v>
      </c>
      <c r="BS86" s="109">
        <f t="shared" si="75"/>
        <v>115704.27103711697</v>
      </c>
      <c r="BT86" s="109">
        <f t="shared" si="76"/>
        <v>116042.88583300909</v>
      </c>
      <c r="BV86" s="58">
        <f t="array" ref="BV86">SUM(IF(BS86:BT86&gt;=BS86, 1))</f>
        <v>2</v>
      </c>
      <c r="BW86" s="58">
        <f t="array" ref="BW86">SUM(IF(BS86:BT86&gt;=BT86, 1))</f>
        <v>1</v>
      </c>
      <c r="BY86" s="109">
        <f t="shared" si="77"/>
        <v>133745.49336315886</v>
      </c>
      <c r="BZ86" s="109">
        <f t="shared" si="78"/>
        <v>134043.549490968</v>
      </c>
      <c r="CB86" s="58">
        <f t="array" ref="CB86">SUM(IF(BY86:BZ86&gt;=BY86, 1))</f>
        <v>2</v>
      </c>
      <c r="CC86" s="58">
        <f t="array" ref="CC86">SUM(IF(BY86:BZ86&gt;=BZ86, 1))</f>
        <v>1</v>
      </c>
      <c r="CE86" s="109">
        <f t="shared" si="79"/>
        <v>89685.694065346514</v>
      </c>
      <c r="CF86" s="109">
        <f t="shared" si="80"/>
        <v>92547.327239182574</v>
      </c>
      <c r="CH86" s="58">
        <f t="array" ref="CH86">SUM(IF(CE86:CF86&gt;=CE86, 1))</f>
        <v>2</v>
      </c>
      <c r="CI86" s="58">
        <f t="array" ref="CI86">SUM(IF(CE86:CF86&gt;=CF86, 1))</f>
        <v>1</v>
      </c>
      <c r="CK86" s="109">
        <f t="shared" si="81"/>
        <v>44149.848037859898</v>
      </c>
      <c r="CL86" s="109">
        <f t="shared" si="82"/>
        <v>45020.001152335302</v>
      </c>
      <c r="CN86" s="58">
        <f t="array" ref="CN86">SUM(IF(CK86:CL86&gt;=CK86, 1))</f>
        <v>2</v>
      </c>
      <c r="CO86" s="58">
        <f t="array" ref="CO86">SUM(IF(CK86:CL86&gt;=CL86, 1))</f>
        <v>1</v>
      </c>
      <c r="CQ86" s="109" cm="1">
        <f t="array" ref="CQ86">AF86*WTP-AC86</f>
        <v>47042.658094273342</v>
      </c>
      <c r="CR86" s="109">
        <f t="shared" si="83"/>
        <v>50387.335037180041</v>
      </c>
      <c r="CT86" s="58">
        <f t="array" ref="CT86">SUM(IF(CQ86:CR86&gt;=CQ86, 1))</f>
        <v>2</v>
      </c>
      <c r="CU86" s="58">
        <f t="array" ref="CU86">SUM(IF(CQ86:CR86&gt;=CR86, 1))</f>
        <v>1</v>
      </c>
      <c r="CW86" s="109">
        <f t="shared" si="84"/>
        <v>-36587660.165283591</v>
      </c>
      <c r="CX86" s="109">
        <f t="shared" si="85"/>
        <v>0</v>
      </c>
      <c r="CZ86" s="58">
        <f t="array" ref="CZ86">SUM(IF(CW86:CX86&gt;=CW86, 1))</f>
        <v>2</v>
      </c>
      <c r="DA86" s="58">
        <f t="array" ref="DA86">SUM(IF(CW86:CX86&gt;=CX86, 1))</f>
        <v>1</v>
      </c>
      <c r="DC86" s="109">
        <f t="shared" si="86"/>
        <v>-2100427.182883692</v>
      </c>
      <c r="DD86" s="109">
        <f t="shared" si="87"/>
        <v>0</v>
      </c>
      <c r="DF86" s="58">
        <f t="array" ref="DF86">SUM(IF(DC86:DD86&gt;=DC86, 1))</f>
        <v>2</v>
      </c>
      <c r="DG86" s="58">
        <f t="array" ref="DG86">SUM(IF(DC86:DD86&gt;=DD86, 1))</f>
        <v>1</v>
      </c>
      <c r="DI86" s="109">
        <f t="shared" si="88"/>
        <v>-65388589.645850644</v>
      </c>
      <c r="DJ86" s="109">
        <f t="shared" si="89"/>
        <v>0</v>
      </c>
      <c r="DL86" s="58">
        <f t="array" ref="DL86">SUM(IF(DI86:DJ86&gt;=DI86, 1))</f>
        <v>2</v>
      </c>
      <c r="DM86" s="58">
        <f t="array" ref="DM86">SUM(IF(DI86:DJ86&gt;=DJ86, 1))</f>
        <v>1</v>
      </c>
      <c r="DO86" s="109">
        <f t="shared" si="90"/>
        <v>-7729751.2180565502</v>
      </c>
      <c r="DP86" s="109">
        <f t="shared" si="91"/>
        <v>0</v>
      </c>
      <c r="DR86" s="58">
        <f t="array" ref="DR86">SUM(IF(DO86:DP86&gt;=DO86, 1))</f>
        <v>2</v>
      </c>
      <c r="DS86" s="58">
        <f t="array" ref="DS86">SUM(IF(DO86:DP86&gt;=DP86, 1))</f>
        <v>1</v>
      </c>
      <c r="DU86" s="109">
        <f t="shared" si="92"/>
        <v>-52571049.047580861</v>
      </c>
      <c r="DV86" s="109">
        <f t="shared" si="93"/>
        <v>0</v>
      </c>
      <c r="DX86" s="58">
        <f t="array" ref="DX86">SUM(IF(DU86:DV86&gt;=DU86, 1))</f>
        <v>2</v>
      </c>
      <c r="DY86" s="58">
        <f t="array" ref="DY86">SUM(IF(DU86:DV86&gt;=DV86, 1))</f>
        <v>1</v>
      </c>
      <c r="EA86" s="109">
        <f t="shared" si="94"/>
        <v>-164377477.25965536</v>
      </c>
      <c r="EB86" s="109">
        <f t="shared" si="95"/>
        <v>0</v>
      </c>
      <c r="ED86" s="58">
        <f t="array" ref="ED86">SUM(IF(EA86:EB86&gt;=EA86, 1))</f>
        <v>2</v>
      </c>
      <c r="EE86" s="58">
        <f t="array" ref="EE86">SUM(IF(EA86:EB86&gt;=EB86, 1))</f>
        <v>1</v>
      </c>
    </row>
    <row r="87" spans="4:135" ht="12" customHeight="1" x14ac:dyDescent="0.25">
      <c r="D87" s="11">
        <v>71</v>
      </c>
      <c r="E87" s="72">
        <v>285.14943610596919</v>
      </c>
      <c r="F87" s="72">
        <v>276.25548696275939</v>
      </c>
      <c r="G87" s="73"/>
      <c r="H87" s="74">
        <v>5.8402933197487936</v>
      </c>
      <c r="I87" s="74">
        <v>5.8538991796289022</v>
      </c>
      <c r="J87" s="73"/>
      <c r="K87" s="72">
        <v>307.06852203798638</v>
      </c>
      <c r="L87" s="72">
        <v>297.9068941437925</v>
      </c>
      <c r="M87" s="73"/>
      <c r="N87" s="74">
        <v>6.7339831566376906</v>
      </c>
      <c r="O87" s="74">
        <v>6.7451586325891641</v>
      </c>
      <c r="P87" s="73"/>
      <c r="Q87" s="72">
        <v>1705.508291259797</v>
      </c>
      <c r="R87" s="72">
        <v>1431.2053145265645</v>
      </c>
      <c r="S87" s="73"/>
      <c r="T87" s="74">
        <v>4.8017441990342871</v>
      </c>
      <c r="U87" s="74">
        <v>4.8370460646987343</v>
      </c>
      <c r="V87" s="73"/>
      <c r="W87" s="72">
        <v>10379.156862048716</v>
      </c>
      <c r="X87" s="72">
        <v>10350.068550123393</v>
      </c>
      <c r="Y87" s="73"/>
      <c r="Z87" s="74">
        <v>3.1744201311998097</v>
      </c>
      <c r="AA87" s="74">
        <v>3.217435783883857</v>
      </c>
      <c r="AB87" s="73"/>
      <c r="AC87" s="72">
        <v>49911.851939637541</v>
      </c>
      <c r="AD87" s="72">
        <v>49790.562921868994</v>
      </c>
      <c r="AE87" s="73"/>
      <c r="AF87" s="74">
        <v>4.1541911259520647</v>
      </c>
      <c r="AG87" s="74">
        <v>4.2372720672251507</v>
      </c>
      <c r="AH87" s="73"/>
      <c r="AI87" s="72">
        <v>955919.67808668443</v>
      </c>
      <c r="AJ87" s="72">
        <v>0</v>
      </c>
      <c r="AK87" s="73"/>
      <c r="AL87" s="74">
        <v>-1462.3547973192065</v>
      </c>
      <c r="AM87" s="74">
        <v>0</v>
      </c>
      <c r="AN87" s="73"/>
      <c r="AO87" s="72">
        <v>62358.460735506553</v>
      </c>
      <c r="AP87" s="72">
        <v>0</v>
      </c>
      <c r="AQ87" s="73"/>
      <c r="AR87" s="74">
        <v>-76.065682471365619</v>
      </c>
      <c r="AS87" s="74">
        <v>0</v>
      </c>
      <c r="AT87" s="73"/>
      <c r="AU87" s="72">
        <v>6322071.4388995226</v>
      </c>
      <c r="AV87" s="72">
        <v>0</v>
      </c>
      <c r="AW87" s="73"/>
      <c r="AX87" s="74">
        <v>-813.62921873837183</v>
      </c>
      <c r="AY87" s="74">
        <v>0</v>
      </c>
      <c r="AZ87" s="73"/>
      <c r="BA87" s="72">
        <v>266303.29781116697</v>
      </c>
      <c r="BB87" s="72">
        <v>0</v>
      </c>
      <c r="BC87" s="73"/>
      <c r="BD87" s="74">
        <v>-393.8080077204184</v>
      </c>
      <c r="BE87" s="74">
        <v>0</v>
      </c>
      <c r="BF87" s="73"/>
      <c r="BG87" s="72">
        <v>1939571.5155771803</v>
      </c>
      <c r="BH87" s="72">
        <v>0</v>
      </c>
      <c r="BI87" s="73"/>
      <c r="BJ87" s="74">
        <v>-1328.5739314677246</v>
      </c>
      <c r="BK87" s="74">
        <v>0</v>
      </c>
      <c r="BL87" s="73"/>
      <c r="BM87" s="72">
        <v>9546224.3911100607</v>
      </c>
      <c r="BN87" s="72">
        <v>0</v>
      </c>
      <c r="BO87" s="73"/>
      <c r="BP87" s="74">
        <v>-4074.4316377170871</v>
      </c>
      <c r="BQ87" s="74">
        <v>0</v>
      </c>
      <c r="BS87" s="109">
        <f t="shared" si="75"/>
        <v>116520.7169588699</v>
      </c>
      <c r="BT87" s="109">
        <f t="shared" si="76"/>
        <v>116801.72810561529</v>
      </c>
      <c r="BV87" s="58">
        <f t="array" ref="BV87">SUM(IF(BS87:BT87&gt;=BS87, 1))</f>
        <v>2</v>
      </c>
      <c r="BW87" s="58">
        <f t="array" ref="BW87">SUM(IF(BS87:BT87&gt;=BT87, 1))</f>
        <v>1</v>
      </c>
      <c r="BY87" s="109">
        <f t="shared" si="77"/>
        <v>134372.59461071581</v>
      </c>
      <c r="BZ87" s="109">
        <f t="shared" si="78"/>
        <v>134605.26575763948</v>
      </c>
      <c r="CB87" s="58">
        <f t="array" ref="CB87">SUM(IF(BY87:BZ87&gt;=BY87, 1))</f>
        <v>2</v>
      </c>
      <c r="CC87" s="58">
        <f t="array" ref="CC87">SUM(IF(BY87:BZ87&gt;=BZ87, 1))</f>
        <v>1</v>
      </c>
      <c r="CE87" s="109">
        <f t="shared" si="79"/>
        <v>94329.375689425942</v>
      </c>
      <c r="CF87" s="109">
        <f t="shared" si="80"/>
        <v>95309.715979448112</v>
      </c>
      <c r="CH87" s="58">
        <f t="array" ref="CH87">SUM(IF(CE87:CF87&gt;=CE87, 1))</f>
        <v>2</v>
      </c>
      <c r="CI87" s="58">
        <f t="array" ref="CI87">SUM(IF(CE87:CF87&gt;=CF87, 1))</f>
        <v>1</v>
      </c>
      <c r="CK87" s="109">
        <f t="shared" si="81"/>
        <v>53109.245761947481</v>
      </c>
      <c r="CL87" s="109">
        <f t="shared" si="82"/>
        <v>53998.647127553748</v>
      </c>
      <c r="CN87" s="58">
        <f t="array" ref="CN87">SUM(IF(CK87:CL87&gt;=CK87, 1))</f>
        <v>2</v>
      </c>
      <c r="CO87" s="58">
        <f t="array" ref="CO87">SUM(IF(CK87:CL87&gt;=CL87, 1))</f>
        <v>1</v>
      </c>
      <c r="CQ87" s="109" cm="1">
        <f t="array" ref="CQ87">AF87*WTP-AC87</f>
        <v>33171.970579403751</v>
      </c>
      <c r="CR87" s="109">
        <f t="shared" si="83"/>
        <v>34954.878422634014</v>
      </c>
      <c r="CT87" s="58">
        <f t="array" ref="CT87">SUM(IF(CQ87:CR87&gt;=CQ87, 1))</f>
        <v>2</v>
      </c>
      <c r="CU87" s="58">
        <f t="array" ref="CU87">SUM(IF(CQ87:CR87&gt;=CR87, 1))</f>
        <v>1</v>
      </c>
      <c r="CW87" s="109">
        <f t="shared" si="84"/>
        <v>-30203015.624470811</v>
      </c>
      <c r="CX87" s="109">
        <f t="shared" si="85"/>
        <v>0</v>
      </c>
      <c r="CZ87" s="58">
        <f t="array" ref="CZ87">SUM(IF(CW87:CX87&gt;=CW87, 1))</f>
        <v>2</v>
      </c>
      <c r="DA87" s="58">
        <f t="array" ref="DA87">SUM(IF(CW87:CX87&gt;=CX87, 1))</f>
        <v>1</v>
      </c>
      <c r="DC87" s="109">
        <f t="shared" si="86"/>
        <v>-1583672.110162819</v>
      </c>
      <c r="DD87" s="109">
        <f t="shared" si="87"/>
        <v>0</v>
      </c>
      <c r="DF87" s="58">
        <f t="array" ref="DF87">SUM(IF(DC87:DD87&gt;=DC87, 1))</f>
        <v>2</v>
      </c>
      <c r="DG87" s="58">
        <f t="array" ref="DG87">SUM(IF(DC87:DD87&gt;=DD87, 1))</f>
        <v>1</v>
      </c>
      <c r="DI87" s="109">
        <f t="shared" si="88"/>
        <v>-22594655.813666962</v>
      </c>
      <c r="DJ87" s="109">
        <f t="shared" si="89"/>
        <v>0</v>
      </c>
      <c r="DL87" s="58">
        <f t="array" ref="DL87">SUM(IF(DI87:DJ87&gt;=DI87, 1))</f>
        <v>2</v>
      </c>
      <c r="DM87" s="58">
        <f t="array" ref="DM87">SUM(IF(DI87:DJ87&gt;=DJ87, 1))</f>
        <v>1</v>
      </c>
      <c r="DO87" s="109">
        <f t="shared" si="90"/>
        <v>-8142463.4522195356</v>
      </c>
      <c r="DP87" s="109">
        <f t="shared" si="91"/>
        <v>0</v>
      </c>
      <c r="DR87" s="58">
        <f t="array" ref="DR87">SUM(IF(DO87:DP87&gt;=DO87, 1))</f>
        <v>2</v>
      </c>
      <c r="DS87" s="58">
        <f t="array" ref="DS87">SUM(IF(DO87:DP87&gt;=DP87, 1))</f>
        <v>1</v>
      </c>
      <c r="DU87" s="109">
        <f t="shared" si="92"/>
        <v>-28511050.144931674</v>
      </c>
      <c r="DV87" s="109">
        <f t="shared" si="93"/>
        <v>0</v>
      </c>
      <c r="DX87" s="58">
        <f t="array" ref="DX87">SUM(IF(DU87:DV87&gt;=DU87, 1))</f>
        <v>2</v>
      </c>
      <c r="DY87" s="58">
        <f t="array" ref="DY87">SUM(IF(DU87:DV87&gt;=DV87, 1))</f>
        <v>1</v>
      </c>
      <c r="EA87" s="109">
        <f t="shared" si="94"/>
        <v>-91034857.145451799</v>
      </c>
      <c r="EB87" s="109">
        <f t="shared" si="95"/>
        <v>0</v>
      </c>
      <c r="ED87" s="58">
        <f t="array" ref="ED87">SUM(IF(EA87:EB87&gt;=EA87, 1))</f>
        <v>2</v>
      </c>
      <c r="EE87" s="58">
        <f t="array" ref="EE87">SUM(IF(EA87:EB87&gt;=EB87, 1))</f>
        <v>1</v>
      </c>
    </row>
    <row r="88" spans="4:135" ht="12" customHeight="1" x14ac:dyDescent="0.25">
      <c r="D88" s="11">
        <v>72</v>
      </c>
      <c r="E88" s="72">
        <v>306.95835954821888</v>
      </c>
      <c r="F88" s="72">
        <v>283.95433200550906</v>
      </c>
      <c r="G88" s="73"/>
      <c r="H88" s="74">
        <v>5.8580935558505249</v>
      </c>
      <c r="I88" s="74">
        <v>5.8730567380180627</v>
      </c>
      <c r="J88" s="73"/>
      <c r="K88" s="72">
        <v>329.80873504840361</v>
      </c>
      <c r="L88" s="72">
        <v>306.20717110440671</v>
      </c>
      <c r="M88" s="73"/>
      <c r="N88" s="74">
        <v>6.666633532013079</v>
      </c>
      <c r="O88" s="74">
        <v>6.6791299036994163</v>
      </c>
      <c r="P88" s="73"/>
      <c r="Q88" s="72">
        <v>1672.0509744183673</v>
      </c>
      <c r="R88" s="72">
        <v>1261.739045512049</v>
      </c>
      <c r="S88" s="73"/>
      <c r="T88" s="74">
        <v>4.7198261633455072</v>
      </c>
      <c r="U88" s="74">
        <v>4.7652570162592562</v>
      </c>
      <c r="V88" s="73"/>
      <c r="W88" s="72">
        <v>15963.051765578057</v>
      </c>
      <c r="X88" s="72">
        <v>15913.408911138831</v>
      </c>
      <c r="Y88" s="73"/>
      <c r="Z88" s="74">
        <v>3.1055477720994857</v>
      </c>
      <c r="AA88" s="74">
        <v>3.1485703627369466</v>
      </c>
      <c r="AB88" s="73"/>
      <c r="AC88" s="72">
        <v>49021.505508467017</v>
      </c>
      <c r="AD88" s="72">
        <v>48852.642809049903</v>
      </c>
      <c r="AE88" s="73"/>
      <c r="AF88" s="74">
        <v>4.6329603525425966</v>
      </c>
      <c r="AG88" s="74">
        <v>4.710765439616547</v>
      </c>
      <c r="AH88" s="73"/>
      <c r="AI88" s="72">
        <v>2432237.0596694443</v>
      </c>
      <c r="AJ88" s="72">
        <v>0</v>
      </c>
      <c r="AK88" s="73"/>
      <c r="AL88" s="74">
        <v>-1582.0710582484039</v>
      </c>
      <c r="AM88" s="74">
        <v>0</v>
      </c>
      <c r="AN88" s="73"/>
      <c r="AO88" s="72">
        <v>155132.40180244137</v>
      </c>
      <c r="AP88" s="72">
        <v>0</v>
      </c>
      <c r="AQ88" s="73"/>
      <c r="AR88" s="74">
        <v>-82.138292111384388</v>
      </c>
      <c r="AS88" s="74">
        <v>0</v>
      </c>
      <c r="AT88" s="73"/>
      <c r="AU88" s="72">
        <v>9294049.4573687706</v>
      </c>
      <c r="AV88" s="72">
        <v>0</v>
      </c>
      <c r="AW88" s="73"/>
      <c r="AX88" s="74">
        <v>-1029.062437926912</v>
      </c>
      <c r="AY88" s="74">
        <v>0</v>
      </c>
      <c r="AZ88" s="73"/>
      <c r="BA88" s="72">
        <v>444998.21261754894</v>
      </c>
      <c r="BB88" s="72">
        <v>0</v>
      </c>
      <c r="BC88" s="73"/>
      <c r="BD88" s="74">
        <v>-385.65421251681767</v>
      </c>
      <c r="BE88" s="74">
        <v>0</v>
      </c>
      <c r="BF88" s="73"/>
      <c r="BG88" s="72">
        <v>2494942.756938729</v>
      </c>
      <c r="BH88" s="72">
        <v>0</v>
      </c>
      <c r="BI88" s="73"/>
      <c r="BJ88" s="74">
        <v>-1149.5684903664783</v>
      </c>
      <c r="BK88" s="74">
        <v>0</v>
      </c>
      <c r="BL88" s="73"/>
      <c r="BM88" s="72">
        <v>14821359.888396934</v>
      </c>
      <c r="BN88" s="72">
        <v>0</v>
      </c>
      <c r="BO88" s="73"/>
      <c r="BP88" s="74">
        <v>-4228.4944911699959</v>
      </c>
      <c r="BQ88" s="74">
        <v>0</v>
      </c>
      <c r="BS88" s="109">
        <f t="shared" si="75"/>
        <v>116854.91275746227</v>
      </c>
      <c r="BT88" s="109">
        <f t="shared" si="76"/>
        <v>117177.18042835574</v>
      </c>
      <c r="BV88" s="58">
        <f t="array" ref="BV88">SUM(IF(BS88:BT88&gt;=BS88, 1))</f>
        <v>2</v>
      </c>
      <c r="BW88" s="58">
        <f t="array" ref="BW88">SUM(IF(BS88:BT88&gt;=BT88, 1))</f>
        <v>1</v>
      </c>
      <c r="BY88" s="109">
        <f t="shared" si="77"/>
        <v>133002.86190521318</v>
      </c>
      <c r="BZ88" s="109">
        <f t="shared" si="78"/>
        <v>133276.39090288393</v>
      </c>
      <c r="CB88" s="58">
        <f t="array" ref="CB88">SUM(IF(BY88:BZ88&gt;=BY88, 1))</f>
        <v>2</v>
      </c>
      <c r="CC88" s="58">
        <f t="array" ref="CC88">SUM(IF(BY88:BZ88&gt;=BZ88, 1))</f>
        <v>1</v>
      </c>
      <c r="CE88" s="109">
        <f t="shared" si="79"/>
        <v>92724.472292491773</v>
      </c>
      <c r="CF88" s="109">
        <f t="shared" si="80"/>
        <v>94043.401279673082</v>
      </c>
      <c r="CH88" s="58">
        <f t="array" ref="CH88">SUM(IF(CE88:CF88&gt;=CE88, 1))</f>
        <v>2</v>
      </c>
      <c r="CI88" s="58">
        <f t="array" ref="CI88">SUM(IF(CE88:CF88&gt;=CF88, 1))</f>
        <v>1</v>
      </c>
      <c r="CK88" s="109">
        <f t="shared" si="81"/>
        <v>46147.903676411661</v>
      </c>
      <c r="CL88" s="109">
        <f t="shared" si="82"/>
        <v>47057.998343600098</v>
      </c>
      <c r="CN88" s="58">
        <f t="array" ref="CN88">SUM(IF(CK88:CL88&gt;=CK88, 1))</f>
        <v>2</v>
      </c>
      <c r="CO88" s="58">
        <f t="array" ref="CO88">SUM(IF(CK88:CL88&gt;=CL88, 1))</f>
        <v>1</v>
      </c>
      <c r="CQ88" s="109" cm="1">
        <f t="array" ref="CQ88">AF88*WTP-AC88</f>
        <v>43637.701542384923</v>
      </c>
      <c r="CR88" s="109">
        <f t="shared" si="83"/>
        <v>45362.665983281033</v>
      </c>
      <c r="CT88" s="58">
        <f t="array" ref="CT88">SUM(IF(CQ88:CR88&gt;=CQ88, 1))</f>
        <v>2</v>
      </c>
      <c r="CU88" s="58">
        <f t="array" ref="CU88">SUM(IF(CQ88:CR88&gt;=CR88, 1))</f>
        <v>1</v>
      </c>
      <c r="CW88" s="109">
        <f t="shared" si="84"/>
        <v>-34073658.224637523</v>
      </c>
      <c r="CX88" s="109">
        <f t="shared" si="85"/>
        <v>0</v>
      </c>
      <c r="CZ88" s="58">
        <f t="array" ref="CZ88">SUM(IF(CW88:CX88&gt;=CW88, 1))</f>
        <v>2</v>
      </c>
      <c r="DA88" s="58">
        <f t="array" ref="DA88">SUM(IF(CW88:CX88&gt;=CX88, 1))</f>
        <v>1</v>
      </c>
      <c r="DC88" s="109">
        <f t="shared" si="86"/>
        <v>-1797898.2440301292</v>
      </c>
      <c r="DD88" s="109">
        <f t="shared" si="87"/>
        <v>0</v>
      </c>
      <c r="DF88" s="58">
        <f t="array" ref="DF88">SUM(IF(DC88:DD88&gt;=DC88, 1))</f>
        <v>2</v>
      </c>
      <c r="DG88" s="58">
        <f t="array" ref="DG88">SUM(IF(DC88:DD88&gt;=DD88, 1))</f>
        <v>1</v>
      </c>
      <c r="DI88" s="109">
        <f t="shared" si="88"/>
        <v>-29875298.215907007</v>
      </c>
      <c r="DJ88" s="109">
        <f t="shared" si="89"/>
        <v>0</v>
      </c>
      <c r="DL88" s="58">
        <f t="array" ref="DL88">SUM(IF(DI88:DJ88&gt;=DI88, 1))</f>
        <v>2</v>
      </c>
      <c r="DM88" s="58">
        <f t="array" ref="DM88">SUM(IF(DI88:DJ88&gt;=DJ88, 1))</f>
        <v>1</v>
      </c>
      <c r="DO88" s="109">
        <f t="shared" si="90"/>
        <v>-8158082.4629539028</v>
      </c>
      <c r="DP88" s="109">
        <f t="shared" si="91"/>
        <v>0</v>
      </c>
      <c r="DR88" s="58">
        <f t="array" ref="DR88">SUM(IF(DO88:DP88&gt;=DO88, 1))</f>
        <v>2</v>
      </c>
      <c r="DS88" s="58">
        <f t="array" ref="DS88">SUM(IF(DO88:DP88&gt;=DP88, 1))</f>
        <v>1</v>
      </c>
      <c r="DU88" s="109">
        <f t="shared" si="92"/>
        <v>-25486312.564268295</v>
      </c>
      <c r="DV88" s="109">
        <f t="shared" si="93"/>
        <v>0</v>
      </c>
      <c r="DX88" s="58">
        <f t="array" ref="DX88">SUM(IF(DU88:DV88&gt;=DU88, 1))</f>
        <v>2</v>
      </c>
      <c r="DY88" s="58">
        <f t="array" ref="DY88">SUM(IF(DU88:DV88&gt;=DV88, 1))</f>
        <v>1</v>
      </c>
      <c r="EA88" s="109">
        <f t="shared" si="94"/>
        <v>-99391249.71179685</v>
      </c>
      <c r="EB88" s="109">
        <f t="shared" si="95"/>
        <v>0</v>
      </c>
      <c r="ED88" s="58">
        <f t="array" ref="ED88">SUM(IF(EA88:EB88&gt;=EA88, 1))</f>
        <v>2</v>
      </c>
      <c r="EE88" s="58">
        <f t="array" ref="EE88">SUM(IF(EA88:EB88&gt;=EB88, 1))</f>
        <v>1</v>
      </c>
    </row>
    <row r="89" spans="4:135" ht="12" customHeight="1" x14ac:dyDescent="0.25">
      <c r="D89" s="11">
        <v>73</v>
      </c>
      <c r="E89" s="72">
        <v>238.30196462258962</v>
      </c>
      <c r="F89" s="72">
        <v>218.5265333602128</v>
      </c>
      <c r="G89" s="73"/>
      <c r="H89" s="74">
        <v>5.8084065895844521</v>
      </c>
      <c r="I89" s="74">
        <v>5.8231717868092119</v>
      </c>
      <c r="J89" s="73"/>
      <c r="K89" s="72">
        <v>255.84017638541658</v>
      </c>
      <c r="L89" s="72">
        <v>235.58866397071372</v>
      </c>
      <c r="M89" s="73"/>
      <c r="N89" s="74">
        <v>6.7190151068886852</v>
      </c>
      <c r="O89" s="74">
        <v>6.7319484489318198</v>
      </c>
      <c r="P89" s="73"/>
      <c r="Q89" s="72">
        <v>4313.3908448488528</v>
      </c>
      <c r="R89" s="72">
        <v>1504.2248126662771</v>
      </c>
      <c r="S89" s="73"/>
      <c r="T89" s="74">
        <v>4.6945426675073429</v>
      </c>
      <c r="U89" s="74">
        <v>4.9472804138131607</v>
      </c>
      <c r="V89" s="73"/>
      <c r="W89" s="72">
        <v>12886.050211522714</v>
      </c>
      <c r="X89" s="72">
        <v>12851.342910827154</v>
      </c>
      <c r="Y89" s="73"/>
      <c r="Z89" s="74">
        <v>3.1265242741407491</v>
      </c>
      <c r="AA89" s="74">
        <v>3.1823738367460925</v>
      </c>
      <c r="AB89" s="73"/>
      <c r="AC89" s="72">
        <v>48665.178272258156</v>
      </c>
      <c r="AD89" s="72">
        <v>48376.788499359209</v>
      </c>
      <c r="AE89" s="73"/>
      <c r="AF89" s="74">
        <v>4.6807110272686021</v>
      </c>
      <c r="AG89" s="74">
        <v>4.7989144013922376</v>
      </c>
      <c r="AH89" s="73"/>
      <c r="AI89" s="72">
        <v>2130940.325094223</v>
      </c>
      <c r="AJ89" s="72">
        <v>0</v>
      </c>
      <c r="AK89" s="73"/>
      <c r="AL89" s="74">
        <v>-1591.0527440213334</v>
      </c>
      <c r="AM89" s="74">
        <v>0</v>
      </c>
      <c r="AN89" s="73"/>
      <c r="AO89" s="72">
        <v>134733.94506038137</v>
      </c>
      <c r="AP89" s="72">
        <v>0</v>
      </c>
      <c r="AQ89" s="73"/>
      <c r="AR89" s="74">
        <v>-86.045928847353252</v>
      </c>
      <c r="AS89" s="74">
        <v>0</v>
      </c>
      <c r="AT89" s="73"/>
      <c r="AU89" s="72">
        <v>66750716.303679422</v>
      </c>
      <c r="AV89" s="72">
        <v>0</v>
      </c>
      <c r="AW89" s="73"/>
      <c r="AX89" s="74">
        <v>-6005.4925232680189</v>
      </c>
      <c r="AY89" s="74">
        <v>0</v>
      </c>
      <c r="AZ89" s="73"/>
      <c r="BA89" s="72">
        <v>298312.9209473487</v>
      </c>
      <c r="BB89" s="72">
        <v>0</v>
      </c>
      <c r="BC89" s="73"/>
      <c r="BD89" s="74">
        <v>-480.03289857004899</v>
      </c>
      <c r="BE89" s="74">
        <v>0</v>
      </c>
      <c r="BF89" s="73"/>
      <c r="BG89" s="72">
        <v>4599950.2686903076</v>
      </c>
      <c r="BH89" s="72">
        <v>0</v>
      </c>
      <c r="BI89" s="73"/>
      <c r="BJ89" s="74">
        <v>-1885.3984907108456</v>
      </c>
      <c r="BK89" s="74">
        <v>0</v>
      </c>
      <c r="BL89" s="73"/>
      <c r="BM89" s="72">
        <v>73914653.763471678</v>
      </c>
      <c r="BN89" s="72">
        <v>0</v>
      </c>
      <c r="BO89" s="73"/>
      <c r="BP89" s="74">
        <v>-10048.022585417601</v>
      </c>
      <c r="BQ89" s="74">
        <v>0</v>
      </c>
      <c r="BS89" s="109">
        <f t="shared" si="75"/>
        <v>115929.82982706645</v>
      </c>
      <c r="BT89" s="109">
        <f t="shared" si="76"/>
        <v>116244.90920282403</v>
      </c>
      <c r="BV89" s="58">
        <f t="array" ref="BV89">SUM(IF(BS89:BT89&gt;=BS89, 1))</f>
        <v>2</v>
      </c>
      <c r="BW89" s="58">
        <f t="array" ref="BW89">SUM(IF(BS89:BT89&gt;=BT89, 1))</f>
        <v>1</v>
      </c>
      <c r="BY89" s="109">
        <f t="shared" si="77"/>
        <v>134124.4619613883</v>
      </c>
      <c r="BZ89" s="109">
        <f t="shared" si="78"/>
        <v>134403.3803146657</v>
      </c>
      <c r="CB89" s="58">
        <f t="array" ref="CB89">SUM(IF(BY89:BZ89&gt;=BY89, 1))</f>
        <v>2</v>
      </c>
      <c r="CC89" s="58">
        <f t="array" ref="CC89">SUM(IF(BY89:BZ89&gt;=BZ89, 1))</f>
        <v>1</v>
      </c>
      <c r="CE89" s="109">
        <f t="shared" si="79"/>
        <v>89577.462505298012</v>
      </c>
      <c r="CF89" s="109">
        <f t="shared" si="80"/>
        <v>97441.38346359694</v>
      </c>
      <c r="CH89" s="58">
        <f t="array" ref="CH89">SUM(IF(CE89:CF89&gt;=CE89, 1))</f>
        <v>2</v>
      </c>
      <c r="CI89" s="58">
        <f t="array" ref="CI89">SUM(IF(CE89:CF89&gt;=CF89, 1))</f>
        <v>1</v>
      </c>
      <c r="CK89" s="109">
        <f t="shared" si="81"/>
        <v>49644.43527129227</v>
      </c>
      <c r="CL89" s="109">
        <f t="shared" si="82"/>
        <v>50796.133824094701</v>
      </c>
      <c r="CN89" s="58">
        <f t="array" ref="CN89">SUM(IF(CK89:CL89&gt;=CK89, 1))</f>
        <v>2</v>
      </c>
      <c r="CO89" s="58">
        <f t="array" ref="CO89">SUM(IF(CK89:CL89&gt;=CL89, 1))</f>
        <v>1</v>
      </c>
      <c r="CQ89" s="109" cm="1">
        <f t="array" ref="CQ89">AF89*WTP-AC89</f>
        <v>44949.042273113882</v>
      </c>
      <c r="CR89" s="109">
        <f t="shared" si="83"/>
        <v>47601.499528485547</v>
      </c>
      <c r="CT89" s="58">
        <f t="array" ref="CT89">SUM(IF(CQ89:CR89&gt;=CQ89, 1))</f>
        <v>2</v>
      </c>
      <c r="CU89" s="58">
        <f t="array" ref="CU89">SUM(IF(CQ89:CR89&gt;=CR89, 1))</f>
        <v>1</v>
      </c>
      <c r="CW89" s="109">
        <f t="shared" si="84"/>
        <v>-33951995.205520891</v>
      </c>
      <c r="CX89" s="109">
        <f t="shared" si="85"/>
        <v>0</v>
      </c>
      <c r="CZ89" s="58">
        <f t="array" ref="CZ89">SUM(IF(CW89:CX89&gt;=CW89, 1))</f>
        <v>2</v>
      </c>
      <c r="DA89" s="58">
        <f t="array" ref="DA89">SUM(IF(CW89:CX89&gt;=CX89, 1))</f>
        <v>1</v>
      </c>
      <c r="DC89" s="109">
        <f t="shared" si="86"/>
        <v>-1855652.5220074465</v>
      </c>
      <c r="DD89" s="109">
        <f t="shared" si="87"/>
        <v>0</v>
      </c>
      <c r="DF89" s="58">
        <f t="array" ref="DF89">SUM(IF(DC89:DD89&gt;=DC89, 1))</f>
        <v>2</v>
      </c>
      <c r="DG89" s="58">
        <f t="array" ref="DG89">SUM(IF(DC89:DD89&gt;=DD89, 1))</f>
        <v>1</v>
      </c>
      <c r="DI89" s="109">
        <f t="shared" si="88"/>
        <v>-186860566.76903981</v>
      </c>
      <c r="DJ89" s="109">
        <f t="shared" si="89"/>
        <v>0</v>
      </c>
      <c r="DL89" s="58">
        <f t="array" ref="DL89">SUM(IF(DI89:DJ89&gt;=DI89, 1))</f>
        <v>2</v>
      </c>
      <c r="DM89" s="58">
        <f t="array" ref="DM89">SUM(IF(DI89:DJ89&gt;=DJ89, 1))</f>
        <v>1</v>
      </c>
      <c r="DO89" s="109">
        <f t="shared" si="90"/>
        <v>-9898970.8923483286</v>
      </c>
      <c r="DP89" s="109">
        <f t="shared" si="91"/>
        <v>0</v>
      </c>
      <c r="DR89" s="58">
        <f t="array" ref="DR89">SUM(IF(DO89:DP89&gt;=DO89, 1))</f>
        <v>2</v>
      </c>
      <c r="DS89" s="58">
        <f t="array" ref="DS89">SUM(IF(DO89:DP89&gt;=DP89, 1))</f>
        <v>1</v>
      </c>
      <c r="DU89" s="109">
        <f t="shared" si="92"/>
        <v>-42307920.082907222</v>
      </c>
      <c r="DV89" s="109">
        <f t="shared" si="93"/>
        <v>0</v>
      </c>
      <c r="DX89" s="58">
        <f t="array" ref="DX89">SUM(IF(DU89:DV89&gt;=DU89, 1))</f>
        <v>2</v>
      </c>
      <c r="DY89" s="58">
        <f t="array" ref="DY89">SUM(IF(DU89:DV89&gt;=DV89, 1))</f>
        <v>1</v>
      </c>
      <c r="EA89" s="109">
        <f t="shared" si="94"/>
        <v>-274875105.47182369</v>
      </c>
      <c r="EB89" s="109">
        <f t="shared" si="95"/>
        <v>0</v>
      </c>
      <c r="ED89" s="58">
        <f t="array" ref="ED89">SUM(IF(EA89:EB89&gt;=EA89, 1))</f>
        <v>2</v>
      </c>
      <c r="EE89" s="58">
        <f t="array" ref="EE89">SUM(IF(EA89:EB89&gt;=EB89, 1))</f>
        <v>1</v>
      </c>
    </row>
    <row r="90" spans="4:135" ht="12" customHeight="1" x14ac:dyDescent="0.25">
      <c r="D90" s="11">
        <v>74</v>
      </c>
      <c r="E90" s="72">
        <v>169.21700815583469</v>
      </c>
      <c r="F90" s="72">
        <v>149.27678293829237</v>
      </c>
      <c r="G90" s="73"/>
      <c r="H90" s="74">
        <v>5.8902303187937557</v>
      </c>
      <c r="I90" s="74">
        <v>5.9049754991317238</v>
      </c>
      <c r="J90" s="73"/>
      <c r="K90" s="72">
        <v>181.32810606339936</v>
      </c>
      <c r="L90" s="72">
        <v>160.91207121916651</v>
      </c>
      <c r="M90" s="73"/>
      <c r="N90" s="74">
        <v>6.7113255747908038</v>
      </c>
      <c r="O90" s="74">
        <v>6.7237204869068057</v>
      </c>
      <c r="P90" s="73"/>
      <c r="Q90" s="72">
        <v>2849.4094942699035</v>
      </c>
      <c r="R90" s="72">
        <v>1581.476926856724</v>
      </c>
      <c r="S90" s="73"/>
      <c r="T90" s="74">
        <v>4.7676978609205136</v>
      </c>
      <c r="U90" s="74">
        <v>4.8615074788760166</v>
      </c>
      <c r="V90" s="73"/>
      <c r="W90" s="72">
        <v>15338.275870499941</v>
      </c>
      <c r="X90" s="72">
        <v>15178.445900813589</v>
      </c>
      <c r="Y90" s="73"/>
      <c r="Z90" s="74">
        <v>2.9093852022537585</v>
      </c>
      <c r="AA90" s="74">
        <v>2.9481739406357015</v>
      </c>
      <c r="AB90" s="73"/>
      <c r="AC90" s="72">
        <v>49596.640148928571</v>
      </c>
      <c r="AD90" s="72">
        <v>49399.574152517249</v>
      </c>
      <c r="AE90" s="73"/>
      <c r="AF90" s="74">
        <v>5.1584735634749919</v>
      </c>
      <c r="AG90" s="74">
        <v>5.3170928367756503</v>
      </c>
      <c r="AH90" s="73"/>
      <c r="AI90" s="72">
        <v>2128301.5501063461</v>
      </c>
      <c r="AJ90" s="72">
        <v>0</v>
      </c>
      <c r="AK90" s="73"/>
      <c r="AL90" s="74">
        <v>-1573.813225654384</v>
      </c>
      <c r="AM90" s="74">
        <v>0</v>
      </c>
      <c r="AN90" s="73"/>
      <c r="AO90" s="72">
        <v>143769.45247455323</v>
      </c>
      <c r="AP90" s="72">
        <v>0</v>
      </c>
      <c r="AQ90" s="73"/>
      <c r="AR90" s="74">
        <v>-87.284810296607475</v>
      </c>
      <c r="AS90" s="74">
        <v>0</v>
      </c>
      <c r="AT90" s="73"/>
      <c r="AU90" s="72">
        <v>29253478.882960338</v>
      </c>
      <c r="AV90" s="72">
        <v>0</v>
      </c>
      <c r="AW90" s="73"/>
      <c r="AX90" s="74">
        <v>-2164.3561719364034</v>
      </c>
      <c r="AY90" s="74">
        <v>0</v>
      </c>
      <c r="AZ90" s="73"/>
      <c r="BA90" s="72">
        <v>1408374.2885219671</v>
      </c>
      <c r="BB90" s="72">
        <v>0</v>
      </c>
      <c r="BC90" s="73"/>
      <c r="BD90" s="74">
        <v>-341.79485817670366</v>
      </c>
      <c r="BE90" s="74">
        <v>0</v>
      </c>
      <c r="BF90" s="73"/>
      <c r="BG90" s="72">
        <v>3096774.3616109448</v>
      </c>
      <c r="BH90" s="72">
        <v>0</v>
      </c>
      <c r="BI90" s="73"/>
      <c r="BJ90" s="74">
        <v>-2492.607084733047</v>
      </c>
      <c r="BK90" s="74">
        <v>0</v>
      </c>
      <c r="BL90" s="73"/>
      <c r="BM90" s="72">
        <v>36030698.535674147</v>
      </c>
      <c r="BN90" s="72">
        <v>0</v>
      </c>
      <c r="BO90" s="73"/>
      <c r="BP90" s="74">
        <v>-6659.8561507971444</v>
      </c>
      <c r="BQ90" s="74">
        <v>0</v>
      </c>
      <c r="BS90" s="109">
        <f t="shared" si="75"/>
        <v>117635.38936771928</v>
      </c>
      <c r="BT90" s="109">
        <f t="shared" si="76"/>
        <v>117950.23319969619</v>
      </c>
      <c r="BV90" s="58">
        <f t="array" ref="BV90">SUM(IF(BS90:BT90&gt;=BS90, 1))</f>
        <v>2</v>
      </c>
      <c r="BW90" s="58">
        <f t="array" ref="BW90">SUM(IF(BS90:BT90&gt;=BT90, 1))</f>
        <v>1</v>
      </c>
      <c r="BY90" s="109">
        <f t="shared" si="77"/>
        <v>134045.1833897527</v>
      </c>
      <c r="BZ90" s="109">
        <f t="shared" si="78"/>
        <v>134313.49766691693</v>
      </c>
      <c r="CB90" s="58">
        <f t="array" ref="CB90">SUM(IF(BY90:BZ90&gt;=BY90, 1))</f>
        <v>2</v>
      </c>
      <c r="CC90" s="58">
        <f t="array" ref="CC90">SUM(IF(BY90:BZ90&gt;=BZ90, 1))</f>
        <v>1</v>
      </c>
      <c r="CE90" s="109">
        <f t="shared" si="79"/>
        <v>92504.547724140371</v>
      </c>
      <c r="CF90" s="109">
        <f t="shared" si="80"/>
        <v>95648.672650663619</v>
      </c>
      <c r="CH90" s="58">
        <f t="array" ref="CH90">SUM(IF(CE90:CF90&gt;=CE90, 1))</f>
        <v>2</v>
      </c>
      <c r="CI90" s="58">
        <f t="array" ref="CI90">SUM(IF(CE90:CF90&gt;=CF90, 1))</f>
        <v>1</v>
      </c>
      <c r="CK90" s="109">
        <f t="shared" si="81"/>
        <v>42849.428174575231</v>
      </c>
      <c r="CL90" s="109">
        <f t="shared" si="82"/>
        <v>43785.032911900438</v>
      </c>
      <c r="CN90" s="58">
        <f t="array" ref="CN90">SUM(IF(CK90:CL90&gt;=CK90, 1))</f>
        <v>2</v>
      </c>
      <c r="CO90" s="58">
        <f t="array" ref="CO90">SUM(IF(CK90:CL90&gt;=CL90, 1))</f>
        <v>1</v>
      </c>
      <c r="CQ90" s="109" cm="1">
        <f t="array" ref="CQ90">AF90*WTP-AC90</f>
        <v>53572.83112057126</v>
      </c>
      <c r="CR90" s="109">
        <f t="shared" si="83"/>
        <v>56942.282582995758</v>
      </c>
      <c r="CT90" s="58">
        <f t="array" ref="CT90">SUM(IF(CQ90:CR90&gt;=CQ90, 1))</f>
        <v>2</v>
      </c>
      <c r="CU90" s="58">
        <f t="array" ref="CU90">SUM(IF(CQ90:CR90&gt;=CR90, 1))</f>
        <v>1</v>
      </c>
      <c r="CW90" s="109">
        <f t="shared" si="84"/>
        <v>-33604566.063194029</v>
      </c>
      <c r="CX90" s="109">
        <f t="shared" si="85"/>
        <v>0</v>
      </c>
      <c r="CZ90" s="58">
        <f t="array" ref="CZ90">SUM(IF(CW90:CX90&gt;=CW90, 1))</f>
        <v>2</v>
      </c>
      <c r="DA90" s="58">
        <f t="array" ref="DA90">SUM(IF(CW90:CX90&gt;=CX90, 1))</f>
        <v>1</v>
      </c>
      <c r="DC90" s="109">
        <f t="shared" si="86"/>
        <v>-1889465.6584067026</v>
      </c>
      <c r="DD90" s="109">
        <f t="shared" si="87"/>
        <v>0</v>
      </c>
      <c r="DF90" s="58">
        <f t="array" ref="DF90">SUM(IF(DC90:DD90&gt;=DC90, 1))</f>
        <v>2</v>
      </c>
      <c r="DG90" s="58">
        <f t="array" ref="DG90">SUM(IF(DC90:DD90&gt;=DD90, 1))</f>
        <v>1</v>
      </c>
      <c r="DI90" s="109">
        <f t="shared" si="88"/>
        <v>-72540602.321688399</v>
      </c>
      <c r="DJ90" s="109">
        <f t="shared" si="89"/>
        <v>0</v>
      </c>
      <c r="DL90" s="58">
        <f t="array" ref="DL90">SUM(IF(DI90:DJ90&gt;=DI90, 1))</f>
        <v>2</v>
      </c>
      <c r="DM90" s="58">
        <f t="array" ref="DM90">SUM(IF(DI90:DJ90&gt;=DJ90, 1))</f>
        <v>1</v>
      </c>
      <c r="DO90" s="109">
        <f t="shared" si="90"/>
        <v>-8244271.4520560401</v>
      </c>
      <c r="DP90" s="109">
        <f t="shared" si="91"/>
        <v>0</v>
      </c>
      <c r="DR90" s="58">
        <f t="array" ref="DR90">SUM(IF(DO90:DP90&gt;=DO90, 1))</f>
        <v>2</v>
      </c>
      <c r="DS90" s="58">
        <f t="array" ref="DS90">SUM(IF(DO90:DP90&gt;=DP90, 1))</f>
        <v>1</v>
      </c>
      <c r="DU90" s="109">
        <f t="shared" si="92"/>
        <v>-52948916.056271881</v>
      </c>
      <c r="DV90" s="109">
        <f t="shared" si="93"/>
        <v>0</v>
      </c>
      <c r="DX90" s="58">
        <f t="array" ref="DX90">SUM(IF(DU90:DV90&gt;=DU90, 1))</f>
        <v>2</v>
      </c>
      <c r="DY90" s="58">
        <f t="array" ref="DY90">SUM(IF(DU90:DV90&gt;=DV90, 1))</f>
        <v>1</v>
      </c>
      <c r="EA90" s="109">
        <f t="shared" si="94"/>
        <v>-169227821.55161703</v>
      </c>
      <c r="EB90" s="109">
        <f t="shared" si="95"/>
        <v>0</v>
      </c>
      <c r="ED90" s="58">
        <f t="array" ref="ED90">SUM(IF(EA90:EB90&gt;=EA90, 1))</f>
        <v>2</v>
      </c>
      <c r="EE90" s="58">
        <f t="array" ref="EE90">SUM(IF(EA90:EB90&gt;=EB90, 1))</f>
        <v>1</v>
      </c>
    </row>
    <row r="91" spans="4:135" ht="12" customHeight="1" x14ac:dyDescent="0.25">
      <c r="D91" s="11">
        <v>75</v>
      </c>
      <c r="E91" s="72">
        <v>229.15898344610142</v>
      </c>
      <c r="F91" s="72">
        <v>209.28298709889168</v>
      </c>
      <c r="G91" s="73"/>
      <c r="H91" s="74">
        <v>5.8331492824466187</v>
      </c>
      <c r="I91" s="74">
        <v>5.8536784159997897</v>
      </c>
      <c r="J91" s="73"/>
      <c r="K91" s="72">
        <v>246.0460714470141</v>
      </c>
      <c r="L91" s="72">
        <v>225.67652004433529</v>
      </c>
      <c r="M91" s="73"/>
      <c r="N91" s="74">
        <v>6.7362613904316015</v>
      </c>
      <c r="O91" s="74">
        <v>6.7545861370287774</v>
      </c>
      <c r="P91" s="73"/>
      <c r="Q91" s="72">
        <v>1678.6371329574922</v>
      </c>
      <c r="R91" s="72">
        <v>1057.7785761972293</v>
      </c>
      <c r="S91" s="73"/>
      <c r="T91" s="74">
        <v>4.9236331286912414</v>
      </c>
      <c r="U91" s="74">
        <v>5.0339383370273119</v>
      </c>
      <c r="V91" s="73"/>
      <c r="W91" s="72">
        <v>11465.96956704458</v>
      </c>
      <c r="X91" s="72">
        <v>11445.398558081028</v>
      </c>
      <c r="Y91" s="73"/>
      <c r="Z91" s="74">
        <v>2.9595431965346393</v>
      </c>
      <c r="AA91" s="74">
        <v>3.0117329388010328</v>
      </c>
      <c r="AB91" s="73"/>
      <c r="AC91" s="72">
        <v>49910.582213351328</v>
      </c>
      <c r="AD91" s="72">
        <v>49685.374447496994</v>
      </c>
      <c r="AE91" s="73"/>
      <c r="AF91" s="74">
        <v>4.4689324293378396</v>
      </c>
      <c r="AG91" s="74">
        <v>4.6106782645770386</v>
      </c>
      <c r="AH91" s="73"/>
      <c r="AI91" s="72">
        <v>2141827.8715161351</v>
      </c>
      <c r="AJ91" s="72">
        <v>0</v>
      </c>
      <c r="AK91" s="73"/>
      <c r="AL91" s="74">
        <v>-2212.2096248237303</v>
      </c>
      <c r="AM91" s="74">
        <v>0</v>
      </c>
      <c r="AN91" s="73"/>
      <c r="AO91" s="72">
        <v>137065.25419551323</v>
      </c>
      <c r="AP91" s="72">
        <v>0</v>
      </c>
      <c r="AQ91" s="73"/>
      <c r="AR91" s="74">
        <v>-123.30590894014306</v>
      </c>
      <c r="AS91" s="74">
        <v>0</v>
      </c>
      <c r="AT91" s="73"/>
      <c r="AU91" s="72">
        <v>14157905.888318608</v>
      </c>
      <c r="AV91" s="72">
        <v>0</v>
      </c>
      <c r="AW91" s="73"/>
      <c r="AX91" s="74">
        <v>-2515.3728520109471</v>
      </c>
      <c r="AY91" s="74">
        <v>0</v>
      </c>
      <c r="AZ91" s="73"/>
      <c r="BA91" s="72">
        <v>191782.63086640646</v>
      </c>
      <c r="BB91" s="72">
        <v>0</v>
      </c>
      <c r="BC91" s="73"/>
      <c r="BD91" s="74">
        <v>-486.56272007964037</v>
      </c>
      <c r="BE91" s="74">
        <v>0</v>
      </c>
      <c r="BF91" s="73"/>
      <c r="BG91" s="72">
        <v>3583621.8827410215</v>
      </c>
      <c r="BH91" s="72">
        <v>0</v>
      </c>
      <c r="BI91" s="73"/>
      <c r="BJ91" s="74">
        <v>-2255.532685667461</v>
      </c>
      <c r="BK91" s="74">
        <v>0</v>
      </c>
      <c r="BL91" s="73"/>
      <c r="BM91" s="72">
        <v>20212203.527637683</v>
      </c>
      <c r="BN91" s="72">
        <v>0</v>
      </c>
      <c r="BO91" s="73"/>
      <c r="BP91" s="74">
        <v>-7592.9837915219223</v>
      </c>
      <c r="BQ91" s="74">
        <v>0</v>
      </c>
      <c r="BS91" s="109">
        <f t="shared" si="75"/>
        <v>116433.82666548627</v>
      </c>
      <c r="BT91" s="109">
        <f t="shared" si="76"/>
        <v>116864.28533289691</v>
      </c>
      <c r="BV91" s="58">
        <f t="array" ref="BV91">SUM(IF(BS91:BT91&gt;=BS91, 1))</f>
        <v>2</v>
      </c>
      <c r="BW91" s="58">
        <f t="array" ref="BW91">SUM(IF(BS91:BT91&gt;=BT91, 1))</f>
        <v>1</v>
      </c>
      <c r="BY91" s="109">
        <f t="shared" si="77"/>
        <v>134479.18173718502</v>
      </c>
      <c r="BZ91" s="109">
        <f t="shared" si="78"/>
        <v>134866.04622053122</v>
      </c>
      <c r="CB91" s="58">
        <f t="array" ref="CB91">SUM(IF(BY91:BZ91&gt;=BY91, 1))</f>
        <v>2</v>
      </c>
      <c r="CC91" s="58">
        <f t="array" ref="CC91">SUM(IF(BY91:BZ91&gt;=BZ91, 1))</f>
        <v>1</v>
      </c>
      <c r="CE91" s="109">
        <f t="shared" si="79"/>
        <v>96794.025440867335</v>
      </c>
      <c r="CF91" s="109">
        <f t="shared" si="80"/>
        <v>99620.988164349008</v>
      </c>
      <c r="CH91" s="58">
        <f t="array" ref="CH91">SUM(IF(CE91:CF91&gt;=CE91, 1))</f>
        <v>2</v>
      </c>
      <c r="CI91" s="58">
        <f t="array" ref="CI91">SUM(IF(CE91:CF91&gt;=CF91, 1))</f>
        <v>1</v>
      </c>
      <c r="CK91" s="109">
        <f t="shared" si="81"/>
        <v>47724.894363648207</v>
      </c>
      <c r="CL91" s="109">
        <f t="shared" si="82"/>
        <v>48789.260217939627</v>
      </c>
      <c r="CN91" s="58">
        <f t="array" ref="CN91">SUM(IF(CK91:CL91&gt;=CK91, 1))</f>
        <v>2</v>
      </c>
      <c r="CO91" s="58">
        <f t="array" ref="CO91">SUM(IF(CK91:CL91&gt;=CL91, 1))</f>
        <v>1</v>
      </c>
      <c r="CQ91" s="109" cm="1">
        <f t="array" ref="CQ91">AF91*WTP-AC91</f>
        <v>39468.066373405469</v>
      </c>
      <c r="CR91" s="109">
        <f t="shared" si="83"/>
        <v>42528.190844043776</v>
      </c>
      <c r="CT91" s="58">
        <f t="array" ref="CT91">SUM(IF(CQ91:CR91&gt;=CQ91, 1))</f>
        <v>2</v>
      </c>
      <c r="CU91" s="58">
        <f t="array" ref="CU91">SUM(IF(CQ91:CR91&gt;=CR91, 1))</f>
        <v>1</v>
      </c>
      <c r="CW91" s="109">
        <f t="shared" si="84"/>
        <v>-46386020.367990747</v>
      </c>
      <c r="CX91" s="109">
        <f t="shared" si="85"/>
        <v>0</v>
      </c>
      <c r="CZ91" s="58">
        <f t="array" ref="CZ91">SUM(IF(CW91:CX91&gt;=CW91, 1))</f>
        <v>2</v>
      </c>
      <c r="DA91" s="58">
        <f t="array" ref="DA91">SUM(IF(CW91:CX91&gt;=CX91, 1))</f>
        <v>1</v>
      </c>
      <c r="DC91" s="109">
        <f t="shared" si="86"/>
        <v>-2603183.4329983741</v>
      </c>
      <c r="DD91" s="109">
        <f t="shared" si="87"/>
        <v>0</v>
      </c>
      <c r="DF91" s="58">
        <f t="array" ref="DF91">SUM(IF(DC91:DD91&gt;=DC91, 1))</f>
        <v>2</v>
      </c>
      <c r="DG91" s="58">
        <f t="array" ref="DG91">SUM(IF(DC91:DD91&gt;=DD91, 1))</f>
        <v>1</v>
      </c>
      <c r="DI91" s="109">
        <f t="shared" si="88"/>
        <v>-64465362.928537548</v>
      </c>
      <c r="DJ91" s="109">
        <f t="shared" si="89"/>
        <v>0</v>
      </c>
      <c r="DL91" s="58">
        <f t="array" ref="DL91">SUM(IF(DI91:DJ91&gt;=DI91, 1))</f>
        <v>2</v>
      </c>
      <c r="DM91" s="58">
        <f t="array" ref="DM91">SUM(IF(DI91:DJ91&gt;=DJ91, 1))</f>
        <v>1</v>
      </c>
      <c r="DO91" s="109">
        <f t="shared" si="90"/>
        <v>-9923037.0324592143</v>
      </c>
      <c r="DP91" s="109">
        <f t="shared" si="91"/>
        <v>0</v>
      </c>
      <c r="DR91" s="58">
        <f t="array" ref="DR91">SUM(IF(DO91:DP91&gt;=DO91, 1))</f>
        <v>2</v>
      </c>
      <c r="DS91" s="58">
        <f t="array" ref="DS91">SUM(IF(DO91:DP91&gt;=DP91, 1))</f>
        <v>1</v>
      </c>
      <c r="DU91" s="109">
        <f t="shared" si="92"/>
        <v>-48694275.596090242</v>
      </c>
      <c r="DV91" s="109">
        <f t="shared" si="93"/>
        <v>0</v>
      </c>
      <c r="DX91" s="58">
        <f t="array" ref="DX91">SUM(IF(DU91:DV91&gt;=DU91, 1))</f>
        <v>2</v>
      </c>
      <c r="DY91" s="58">
        <f t="array" ref="DY91">SUM(IF(DU91:DV91&gt;=DV91, 1))</f>
        <v>1</v>
      </c>
      <c r="EA91" s="109">
        <f t="shared" si="94"/>
        <v>-172071879.35807613</v>
      </c>
      <c r="EB91" s="109">
        <f t="shared" si="95"/>
        <v>0</v>
      </c>
      <c r="ED91" s="58">
        <f t="array" ref="ED91">SUM(IF(EA91:EB91&gt;=EA91, 1))</f>
        <v>2</v>
      </c>
      <c r="EE91" s="58">
        <f t="array" ref="EE91">SUM(IF(EA91:EB91&gt;=EB91, 1))</f>
        <v>1</v>
      </c>
    </row>
    <row r="92" spans="4:135" ht="12" customHeight="1" x14ac:dyDescent="0.25">
      <c r="D92" s="11">
        <v>76</v>
      </c>
      <c r="E92" s="72">
        <v>229.77072996408117</v>
      </c>
      <c r="F92" s="72">
        <v>214.7835724527373</v>
      </c>
      <c r="G92" s="73"/>
      <c r="H92" s="74">
        <v>5.8426800348108339</v>
      </c>
      <c r="I92" s="74">
        <v>5.8587664222340408</v>
      </c>
      <c r="J92" s="73"/>
      <c r="K92" s="72">
        <v>247.03713344753453</v>
      </c>
      <c r="L92" s="72">
        <v>231.6602653147919</v>
      </c>
      <c r="M92" s="73"/>
      <c r="N92" s="74">
        <v>6.7575171240542886</v>
      </c>
      <c r="O92" s="74">
        <v>6.7708631257580514</v>
      </c>
      <c r="P92" s="73"/>
      <c r="Q92" s="72">
        <v>1729.266995633548</v>
      </c>
      <c r="R92" s="72">
        <v>1185.2596897477654</v>
      </c>
      <c r="S92" s="73"/>
      <c r="T92" s="74">
        <v>4.8863335667700953</v>
      </c>
      <c r="U92" s="74">
        <v>4.9568524930577658</v>
      </c>
      <c r="V92" s="73"/>
      <c r="W92" s="72">
        <v>10675.803023329143</v>
      </c>
      <c r="X92" s="72">
        <v>10657.400323098138</v>
      </c>
      <c r="Y92" s="73"/>
      <c r="Z92" s="74">
        <v>2.9268851067027222</v>
      </c>
      <c r="AA92" s="74">
        <v>2.9777590943149583</v>
      </c>
      <c r="AB92" s="73"/>
      <c r="AC92" s="72">
        <v>49828.098836798279</v>
      </c>
      <c r="AD92" s="72">
        <v>49763.963051435108</v>
      </c>
      <c r="AE92" s="73"/>
      <c r="AF92" s="74">
        <v>4.692118327847643</v>
      </c>
      <c r="AG92" s="74">
        <v>4.8374892517448558</v>
      </c>
      <c r="AH92" s="73"/>
      <c r="AI92" s="72">
        <v>1619426.6521143797</v>
      </c>
      <c r="AJ92" s="72">
        <v>0</v>
      </c>
      <c r="AK92" s="73"/>
      <c r="AL92" s="74">
        <v>-1738.2031589152818</v>
      </c>
      <c r="AM92" s="74">
        <v>0</v>
      </c>
      <c r="AN92" s="73"/>
      <c r="AO92" s="72">
        <v>101035.56620688038</v>
      </c>
      <c r="AP92" s="72">
        <v>0</v>
      </c>
      <c r="AQ92" s="73"/>
      <c r="AR92" s="74">
        <v>-87.691513453666857</v>
      </c>
      <c r="AS92" s="74">
        <v>0</v>
      </c>
      <c r="AT92" s="73"/>
      <c r="AU92" s="72">
        <v>12658241.670403732</v>
      </c>
      <c r="AV92" s="72">
        <v>0</v>
      </c>
      <c r="AW92" s="73"/>
      <c r="AX92" s="74">
        <v>-1640.8706310171042</v>
      </c>
      <c r="AY92" s="74">
        <v>0</v>
      </c>
      <c r="AZ92" s="73"/>
      <c r="BA92" s="72">
        <v>166670.53534427029</v>
      </c>
      <c r="BB92" s="72">
        <v>0</v>
      </c>
      <c r="BC92" s="73"/>
      <c r="BD92" s="74">
        <v>-460.75818461376673</v>
      </c>
      <c r="BE92" s="74">
        <v>0</v>
      </c>
      <c r="BF92" s="73"/>
      <c r="BG92" s="72">
        <v>1020467.3009703642</v>
      </c>
      <c r="BH92" s="72">
        <v>0</v>
      </c>
      <c r="BI92" s="73"/>
      <c r="BJ92" s="74">
        <v>-2313.003162102746</v>
      </c>
      <c r="BK92" s="74">
        <v>0</v>
      </c>
      <c r="BL92" s="73"/>
      <c r="BM92" s="72">
        <v>15565841.725039627</v>
      </c>
      <c r="BN92" s="72">
        <v>0</v>
      </c>
      <c r="BO92" s="73"/>
      <c r="BP92" s="74">
        <v>-6240.5266501025653</v>
      </c>
      <c r="BQ92" s="74">
        <v>0</v>
      </c>
      <c r="BS92" s="109">
        <f t="shared" si="75"/>
        <v>116623.8299662526</v>
      </c>
      <c r="BT92" s="109">
        <f t="shared" si="76"/>
        <v>116960.54487222807</v>
      </c>
      <c r="BV92" s="58">
        <f t="array" ref="BV92">SUM(IF(BS92:BT92&gt;=BS92, 1))</f>
        <v>2</v>
      </c>
      <c r="BW92" s="58">
        <f t="array" ref="BW92">SUM(IF(BS92:BT92&gt;=BT92, 1))</f>
        <v>1</v>
      </c>
      <c r="BY92" s="109">
        <f t="shared" si="77"/>
        <v>134903.30534763823</v>
      </c>
      <c r="BZ92" s="109">
        <f t="shared" si="78"/>
        <v>135185.60224984624</v>
      </c>
      <c r="CB92" s="58">
        <f t="array" ref="CB92">SUM(IF(BY92:BZ92&gt;=BY92, 1))</f>
        <v>2</v>
      </c>
      <c r="CC92" s="58">
        <f t="array" ref="CC92">SUM(IF(BY92:BZ92&gt;=BZ92, 1))</f>
        <v>1</v>
      </c>
      <c r="CE92" s="109">
        <f t="shared" si="79"/>
        <v>95997.404339768356</v>
      </c>
      <c r="CF92" s="109">
        <f t="shared" si="80"/>
        <v>97951.790171407556</v>
      </c>
      <c r="CH92" s="58">
        <f t="array" ref="CH92">SUM(IF(CE92:CF92&gt;=CE92, 1))</f>
        <v>2</v>
      </c>
      <c r="CI92" s="58">
        <f t="array" ref="CI92">SUM(IF(CE92:CF92&gt;=CF92, 1))</f>
        <v>1</v>
      </c>
      <c r="CK92" s="109">
        <f t="shared" si="81"/>
        <v>47861.899110725302</v>
      </c>
      <c r="CL92" s="109">
        <f t="shared" si="82"/>
        <v>48897.781563201024</v>
      </c>
      <c r="CN92" s="58">
        <f t="array" ref="CN92">SUM(IF(CK92:CL92&gt;=CK92, 1))</f>
        <v>2</v>
      </c>
      <c r="CO92" s="58">
        <f t="array" ref="CO92">SUM(IF(CK92:CL92&gt;=CL92, 1))</f>
        <v>1</v>
      </c>
      <c r="CQ92" s="109" cm="1">
        <f t="array" ref="CQ92">AF92*WTP-AC92</f>
        <v>44014.267720154588</v>
      </c>
      <c r="CR92" s="109">
        <f t="shared" si="83"/>
        <v>46985.821983462003</v>
      </c>
      <c r="CT92" s="58">
        <f t="array" ref="CT92">SUM(IF(CQ92:CR92&gt;=CQ92, 1))</f>
        <v>2</v>
      </c>
      <c r="CU92" s="58">
        <f t="array" ref="CU92">SUM(IF(CQ92:CR92&gt;=CR92, 1))</f>
        <v>1</v>
      </c>
      <c r="CW92" s="109">
        <f t="shared" si="84"/>
        <v>-36383489.83042001</v>
      </c>
      <c r="CX92" s="109">
        <f t="shared" si="85"/>
        <v>0</v>
      </c>
      <c r="CZ92" s="58">
        <f t="array" ref="CZ92">SUM(IF(CW92:CX92&gt;=CW92, 1))</f>
        <v>2</v>
      </c>
      <c r="DA92" s="58">
        <f t="array" ref="DA92">SUM(IF(CW92:CX92&gt;=CX92, 1))</f>
        <v>1</v>
      </c>
      <c r="DC92" s="109">
        <f t="shared" si="86"/>
        <v>-1854865.8352802175</v>
      </c>
      <c r="DD92" s="109">
        <f t="shared" si="87"/>
        <v>0</v>
      </c>
      <c r="DF92" s="58">
        <f t="array" ref="DF92">SUM(IF(DC92:DD92&gt;=DC92, 1))</f>
        <v>2</v>
      </c>
      <c r="DG92" s="58">
        <f t="array" ref="DG92">SUM(IF(DC92:DD92&gt;=DD92, 1))</f>
        <v>1</v>
      </c>
      <c r="DI92" s="109">
        <f t="shared" si="88"/>
        <v>-45475654.290745817</v>
      </c>
      <c r="DJ92" s="109">
        <f t="shared" si="89"/>
        <v>0</v>
      </c>
      <c r="DL92" s="58">
        <f t="array" ref="DL92">SUM(IF(DI92:DJ92&gt;=DI92, 1))</f>
        <v>2</v>
      </c>
      <c r="DM92" s="58">
        <f t="array" ref="DM92">SUM(IF(DI92:DJ92&gt;=DJ92, 1))</f>
        <v>1</v>
      </c>
      <c r="DO92" s="109">
        <f t="shared" si="90"/>
        <v>-9381834.2276196051</v>
      </c>
      <c r="DP92" s="109">
        <f t="shared" si="91"/>
        <v>0</v>
      </c>
      <c r="DR92" s="58">
        <f t="array" ref="DR92">SUM(IF(DO92:DP92&gt;=DO92, 1))</f>
        <v>2</v>
      </c>
      <c r="DS92" s="58">
        <f t="array" ref="DS92">SUM(IF(DO92:DP92&gt;=DP92, 1))</f>
        <v>1</v>
      </c>
      <c r="DU92" s="109">
        <f t="shared" si="92"/>
        <v>-47280530.543025285</v>
      </c>
      <c r="DV92" s="109">
        <f t="shared" si="93"/>
        <v>0</v>
      </c>
      <c r="DX92" s="58">
        <f t="array" ref="DX92">SUM(IF(DU92:DV92&gt;=DU92, 1))</f>
        <v>2</v>
      </c>
      <c r="DY92" s="58">
        <f t="array" ref="DY92">SUM(IF(DU92:DV92&gt;=DV92, 1))</f>
        <v>1</v>
      </c>
      <c r="EA92" s="109">
        <f t="shared" si="94"/>
        <v>-140376374.72709092</v>
      </c>
      <c r="EB92" s="109">
        <f t="shared" si="95"/>
        <v>0</v>
      </c>
      <c r="ED92" s="58">
        <f t="array" ref="ED92">SUM(IF(EA92:EB92&gt;=EA92, 1))</f>
        <v>2</v>
      </c>
      <c r="EE92" s="58">
        <f t="array" ref="EE92">SUM(IF(EA92:EB92&gt;=EB92, 1))</f>
        <v>1</v>
      </c>
    </row>
    <row r="93" spans="4:135" ht="12" customHeight="1" x14ac:dyDescent="0.25">
      <c r="D93" s="11">
        <v>77</v>
      </c>
      <c r="E93" s="72">
        <v>187.78781436210943</v>
      </c>
      <c r="F93" s="72">
        <v>155.65901084553317</v>
      </c>
      <c r="G93" s="73"/>
      <c r="H93" s="74">
        <v>5.8795551166321909</v>
      </c>
      <c r="I93" s="74">
        <v>5.8997123125314701</v>
      </c>
      <c r="J93" s="73"/>
      <c r="K93" s="72">
        <v>200.67058620879621</v>
      </c>
      <c r="L93" s="72">
        <v>167.80867189899493</v>
      </c>
      <c r="M93" s="73"/>
      <c r="N93" s="74">
        <v>6.716708390839373</v>
      </c>
      <c r="O93" s="74">
        <v>6.7344830471294577</v>
      </c>
      <c r="P93" s="73"/>
      <c r="Q93" s="72">
        <v>1676.0573321924558</v>
      </c>
      <c r="R93" s="72">
        <v>1250.7483273426365</v>
      </c>
      <c r="S93" s="73"/>
      <c r="T93" s="74">
        <v>5.073285428581042</v>
      </c>
      <c r="U93" s="74">
        <v>5.1183721822719379</v>
      </c>
      <c r="V93" s="73"/>
      <c r="W93" s="72">
        <v>10796.905967884528</v>
      </c>
      <c r="X93" s="72">
        <v>10785.553343623866</v>
      </c>
      <c r="Y93" s="73"/>
      <c r="Z93" s="74">
        <v>2.9595517282756911</v>
      </c>
      <c r="AA93" s="74">
        <v>3.0081515947482984</v>
      </c>
      <c r="AB93" s="73"/>
      <c r="AC93" s="72">
        <v>49683.770035791465</v>
      </c>
      <c r="AD93" s="72">
        <v>49573.866005564465</v>
      </c>
      <c r="AE93" s="73"/>
      <c r="AF93" s="74">
        <v>4.8445098782486573</v>
      </c>
      <c r="AG93" s="74">
        <v>5.027720738872369</v>
      </c>
      <c r="AH93" s="73"/>
      <c r="AI93" s="72">
        <v>3433193.1296270899</v>
      </c>
      <c r="AJ93" s="72">
        <v>0</v>
      </c>
      <c r="AK93" s="73"/>
      <c r="AL93" s="74">
        <v>-2153.9409781708337</v>
      </c>
      <c r="AM93" s="74">
        <v>0</v>
      </c>
      <c r="AN93" s="73"/>
      <c r="AO93" s="72">
        <v>229024.83699585864</v>
      </c>
      <c r="AP93" s="72">
        <v>0</v>
      </c>
      <c r="AQ93" s="73"/>
      <c r="AR93" s="74">
        <v>-123.87707304926856</v>
      </c>
      <c r="AS93" s="74">
        <v>0</v>
      </c>
      <c r="AT93" s="73"/>
      <c r="AU93" s="72">
        <v>9680877.08594325</v>
      </c>
      <c r="AV93" s="72">
        <v>0</v>
      </c>
      <c r="AW93" s="73"/>
      <c r="AX93" s="74">
        <v>-1026.264000311694</v>
      </c>
      <c r="AY93" s="74">
        <v>0</v>
      </c>
      <c r="AZ93" s="73"/>
      <c r="BA93" s="72">
        <v>103461.31356362715</v>
      </c>
      <c r="BB93" s="72">
        <v>0</v>
      </c>
      <c r="BC93" s="73"/>
      <c r="BD93" s="74">
        <v>-442.91134004108557</v>
      </c>
      <c r="BE93" s="74">
        <v>0</v>
      </c>
      <c r="BF93" s="73"/>
      <c r="BG93" s="72">
        <v>1767725.0024707189</v>
      </c>
      <c r="BH93" s="72">
        <v>0</v>
      </c>
      <c r="BI93" s="73"/>
      <c r="BJ93" s="74">
        <v>-2946.8111258503059</v>
      </c>
      <c r="BK93" s="74">
        <v>0</v>
      </c>
      <c r="BL93" s="73"/>
      <c r="BM93" s="72">
        <v>15214281.368600544</v>
      </c>
      <c r="BN93" s="72">
        <v>0</v>
      </c>
      <c r="BO93" s="73"/>
      <c r="BP93" s="74">
        <v>-6693.8045174231875</v>
      </c>
      <c r="BQ93" s="74">
        <v>0</v>
      </c>
      <c r="BS93" s="109">
        <f t="shared" si="75"/>
        <v>117403.31451828171</v>
      </c>
      <c r="BT93" s="109">
        <f t="shared" si="76"/>
        <v>117838.58723978387</v>
      </c>
      <c r="BV93" s="58">
        <f t="array" ref="BV93">SUM(IF(BS93:BT93&gt;=BS93, 1))</f>
        <v>2</v>
      </c>
      <c r="BW93" s="58">
        <f t="array" ref="BW93">SUM(IF(BS93:BT93&gt;=BT93, 1))</f>
        <v>1</v>
      </c>
      <c r="BY93" s="109">
        <f t="shared" si="77"/>
        <v>134133.49723057868</v>
      </c>
      <c r="BZ93" s="109">
        <f t="shared" si="78"/>
        <v>134521.85227069017</v>
      </c>
      <c r="CB93" s="58">
        <f t="array" ref="CB93">SUM(IF(BY93:BZ93&gt;=BY93, 1))</f>
        <v>2</v>
      </c>
      <c r="CC93" s="58">
        <f t="array" ref="CC93">SUM(IF(BY93:BZ93&gt;=BZ93, 1))</f>
        <v>1</v>
      </c>
      <c r="CE93" s="109">
        <f t="shared" si="79"/>
        <v>99789.651239428378</v>
      </c>
      <c r="CF93" s="109">
        <f t="shared" si="80"/>
        <v>101116.69531809613</v>
      </c>
      <c r="CH93" s="58">
        <f t="array" ref="CH93">SUM(IF(CE93:CF93&gt;=CE93, 1))</f>
        <v>2</v>
      </c>
      <c r="CI93" s="58">
        <f t="array" ref="CI93">SUM(IF(CE93:CF93&gt;=CF93, 1))</f>
        <v>1</v>
      </c>
      <c r="CK93" s="109">
        <f t="shared" si="81"/>
        <v>48394.128597629293</v>
      </c>
      <c r="CL93" s="109">
        <f t="shared" si="82"/>
        <v>49377.478551342108</v>
      </c>
      <c r="CN93" s="58">
        <f t="array" ref="CN93">SUM(IF(CK93:CL93&gt;=CK93, 1))</f>
        <v>2</v>
      </c>
      <c r="CO93" s="58">
        <f t="array" ref="CO93">SUM(IF(CK93:CL93&gt;=CL93, 1))</f>
        <v>1</v>
      </c>
      <c r="CQ93" s="109" cm="1">
        <f t="array" ref="CQ93">AF93*WTP-AC93</f>
        <v>47206.427529181681</v>
      </c>
      <c r="CR93" s="109">
        <f t="shared" si="83"/>
        <v>50980.548771882917</v>
      </c>
      <c r="CT93" s="58">
        <f t="array" ref="CT93">SUM(IF(CQ93:CR93&gt;=CQ93, 1))</f>
        <v>2</v>
      </c>
      <c r="CU93" s="58">
        <f t="array" ref="CU93">SUM(IF(CQ93:CR93&gt;=CR93, 1))</f>
        <v>1</v>
      </c>
      <c r="CW93" s="109">
        <f t="shared" si="84"/>
        <v>-46512012.693043768</v>
      </c>
      <c r="CX93" s="109">
        <f t="shared" si="85"/>
        <v>0</v>
      </c>
      <c r="CZ93" s="58">
        <f t="array" ref="CZ93">SUM(IF(CW93:CX93&gt;=CW93, 1))</f>
        <v>2</v>
      </c>
      <c r="DA93" s="58">
        <f t="array" ref="DA93">SUM(IF(CW93:CX93&gt;=CX93, 1))</f>
        <v>1</v>
      </c>
      <c r="DC93" s="109">
        <f t="shared" si="86"/>
        <v>-2706566.2979812301</v>
      </c>
      <c r="DD93" s="109">
        <f t="shared" si="87"/>
        <v>0</v>
      </c>
      <c r="DF93" s="58">
        <f t="array" ref="DF93">SUM(IF(DC93:DD93&gt;=DC93, 1))</f>
        <v>2</v>
      </c>
      <c r="DG93" s="58">
        <f t="array" ref="DG93">SUM(IF(DC93:DD93&gt;=DD93, 1))</f>
        <v>1</v>
      </c>
      <c r="DI93" s="109">
        <f t="shared" si="88"/>
        <v>-30206157.09217713</v>
      </c>
      <c r="DJ93" s="109">
        <f t="shared" si="89"/>
        <v>0</v>
      </c>
      <c r="DL93" s="58">
        <f t="array" ref="DL93">SUM(IF(DI93:DJ93&gt;=DI93, 1))</f>
        <v>2</v>
      </c>
      <c r="DM93" s="58">
        <f t="array" ref="DM93">SUM(IF(DI93:DJ93&gt;=DJ93, 1))</f>
        <v>1</v>
      </c>
      <c r="DO93" s="109">
        <f t="shared" si="90"/>
        <v>-8961688.1143853385</v>
      </c>
      <c r="DP93" s="109">
        <f t="shared" si="91"/>
        <v>0</v>
      </c>
      <c r="DR93" s="58">
        <f t="array" ref="DR93">SUM(IF(DO93:DP93&gt;=DO93, 1))</f>
        <v>2</v>
      </c>
      <c r="DS93" s="58">
        <f t="array" ref="DS93">SUM(IF(DO93:DP93&gt;=DP93, 1))</f>
        <v>1</v>
      </c>
      <c r="DU93" s="109">
        <f t="shared" si="92"/>
        <v>-60703947.519476831</v>
      </c>
      <c r="DV93" s="109">
        <f t="shared" si="93"/>
        <v>0</v>
      </c>
      <c r="DX93" s="58">
        <f t="array" ref="DX93">SUM(IF(DU93:DV93&gt;=DU93, 1))</f>
        <v>2</v>
      </c>
      <c r="DY93" s="58">
        <f t="array" ref="DY93">SUM(IF(DU93:DV93&gt;=DV93, 1))</f>
        <v>1</v>
      </c>
      <c r="EA93" s="109">
        <f t="shared" si="94"/>
        <v>-149090371.71706429</v>
      </c>
      <c r="EB93" s="109">
        <f t="shared" si="95"/>
        <v>0</v>
      </c>
      <c r="ED93" s="58">
        <f t="array" ref="ED93">SUM(IF(EA93:EB93&gt;=EA93, 1))</f>
        <v>2</v>
      </c>
      <c r="EE93" s="58">
        <f t="array" ref="EE93">SUM(IF(EA93:EB93&gt;=EB93, 1))</f>
        <v>1</v>
      </c>
    </row>
    <row r="94" spans="4:135" ht="12" customHeight="1" x14ac:dyDescent="0.25">
      <c r="D94" s="11">
        <v>78</v>
      </c>
      <c r="E94" s="72">
        <v>291.2501885574153</v>
      </c>
      <c r="F94" s="72">
        <v>252.23770096604042</v>
      </c>
      <c r="G94" s="73"/>
      <c r="H94" s="74">
        <v>5.876648134527267</v>
      </c>
      <c r="I94" s="74">
        <v>5.8932471165140408</v>
      </c>
      <c r="J94" s="73"/>
      <c r="K94" s="72">
        <v>311.86416046385864</v>
      </c>
      <c r="L94" s="72">
        <v>271.94696378070984</v>
      </c>
      <c r="M94" s="73"/>
      <c r="N94" s="74">
        <v>6.7071375800564788</v>
      </c>
      <c r="O94" s="74">
        <v>6.7215473827420693</v>
      </c>
      <c r="P94" s="73"/>
      <c r="Q94" s="72">
        <v>2313.6993114650045</v>
      </c>
      <c r="R94" s="72">
        <v>1409.0111152877785</v>
      </c>
      <c r="S94" s="73"/>
      <c r="T94" s="74">
        <v>4.7620930054091213</v>
      </c>
      <c r="U94" s="74">
        <v>4.8561337300153165</v>
      </c>
      <c r="V94" s="73"/>
      <c r="W94" s="72">
        <v>13770.934471600825</v>
      </c>
      <c r="X94" s="72">
        <v>13732.775934382418</v>
      </c>
      <c r="Y94" s="73"/>
      <c r="Z94" s="74">
        <v>2.8943394320558311</v>
      </c>
      <c r="AA94" s="74">
        <v>2.9255312298062144</v>
      </c>
      <c r="AB94" s="73"/>
      <c r="AC94" s="72">
        <v>49075.193545352173</v>
      </c>
      <c r="AD94" s="72">
        <v>49161.973804095607</v>
      </c>
      <c r="AE94" s="73"/>
      <c r="AF94" s="74">
        <v>4.5915889239231431</v>
      </c>
      <c r="AG94" s="74">
        <v>4.6078072950189588</v>
      </c>
      <c r="AH94" s="73"/>
      <c r="AI94" s="72">
        <v>4164181.2201856603</v>
      </c>
      <c r="AJ94" s="72">
        <v>0</v>
      </c>
      <c r="AK94" s="73"/>
      <c r="AL94" s="74">
        <v>-1771.7703569050336</v>
      </c>
      <c r="AM94" s="74">
        <v>0</v>
      </c>
      <c r="AN94" s="73"/>
      <c r="AO94" s="72">
        <v>271939.12341392389</v>
      </c>
      <c r="AP94" s="72">
        <v>0</v>
      </c>
      <c r="AQ94" s="73"/>
      <c r="AR94" s="74">
        <v>-98.167943555549073</v>
      </c>
      <c r="AS94" s="74">
        <v>0</v>
      </c>
      <c r="AT94" s="73"/>
      <c r="AU94" s="72">
        <v>20946752.95895309</v>
      </c>
      <c r="AV94" s="72">
        <v>0</v>
      </c>
      <c r="AW94" s="73"/>
      <c r="AX94" s="74">
        <v>-2177.3776144427811</v>
      </c>
      <c r="AY94" s="74">
        <v>0</v>
      </c>
      <c r="AZ94" s="73"/>
      <c r="BA94" s="72">
        <v>338136.20271371235</v>
      </c>
      <c r="BB94" s="72">
        <v>0</v>
      </c>
      <c r="BC94" s="73"/>
      <c r="BD94" s="74">
        <v>-276.40147699479775</v>
      </c>
      <c r="BE94" s="74">
        <v>0</v>
      </c>
      <c r="BF94" s="73"/>
      <c r="BG94" s="72">
        <v>-1365795.9889921716</v>
      </c>
      <c r="BH94" s="72">
        <v>0</v>
      </c>
      <c r="BI94" s="73"/>
      <c r="BJ94" s="74">
        <v>-255.25374677829649</v>
      </c>
      <c r="BK94" s="74">
        <v>0</v>
      </c>
      <c r="BL94" s="73"/>
      <c r="BM94" s="72">
        <v>24355213.516274214</v>
      </c>
      <c r="BN94" s="72">
        <v>0</v>
      </c>
      <c r="BO94" s="73"/>
      <c r="BP94" s="74">
        <v>-4578.9711386764584</v>
      </c>
      <c r="BQ94" s="74">
        <v>0</v>
      </c>
      <c r="BS94" s="109">
        <f t="shared" si="75"/>
        <v>117241.71250198792</v>
      </c>
      <c r="BT94" s="109">
        <f t="shared" si="76"/>
        <v>117612.70462931477</v>
      </c>
      <c r="BV94" s="58">
        <f t="array" ref="BV94">SUM(IF(BS94:BT94&gt;=BS94, 1))</f>
        <v>2</v>
      </c>
      <c r="BW94" s="58">
        <f t="array" ref="BW94">SUM(IF(BS94:BT94&gt;=BT94, 1))</f>
        <v>1</v>
      </c>
      <c r="BY94" s="109">
        <f t="shared" si="77"/>
        <v>133830.88744066571</v>
      </c>
      <c r="BZ94" s="109">
        <f t="shared" si="78"/>
        <v>134159.00069106068</v>
      </c>
      <c r="CB94" s="58">
        <f t="array" ref="CB94">SUM(IF(BY94:BZ94&gt;=BY94, 1))</f>
        <v>2</v>
      </c>
      <c r="CC94" s="58">
        <f t="array" ref="CC94">SUM(IF(BY94:BZ94&gt;=BZ94, 1))</f>
        <v>1</v>
      </c>
      <c r="CE94" s="109">
        <f t="shared" si="79"/>
        <v>92928.16079671742</v>
      </c>
      <c r="CF94" s="109">
        <f t="shared" si="80"/>
        <v>95713.663485018551</v>
      </c>
      <c r="CH94" s="58">
        <f t="array" ref="CH94">SUM(IF(CE94:CF94&gt;=CE94, 1))</f>
        <v>2</v>
      </c>
      <c r="CI94" s="58">
        <f t="array" ref="CI94">SUM(IF(CE94:CF94&gt;=CF94, 1))</f>
        <v>1</v>
      </c>
      <c r="CK94" s="109">
        <f t="shared" si="81"/>
        <v>44115.854169515798</v>
      </c>
      <c r="CL94" s="109">
        <f t="shared" si="82"/>
        <v>44777.848661741868</v>
      </c>
      <c r="CN94" s="58">
        <f t="array" ref="CN94">SUM(IF(CK94:CL94&gt;=CK94, 1))</f>
        <v>2</v>
      </c>
      <c r="CO94" s="58">
        <f t="array" ref="CO94">SUM(IF(CK94:CL94&gt;=CL94, 1))</f>
        <v>1</v>
      </c>
      <c r="CQ94" s="109" cm="1">
        <f t="array" ref="CQ94">AF94*WTP-AC94</f>
        <v>42756.584933110687</v>
      </c>
      <c r="CR94" s="109">
        <f t="shared" si="83"/>
        <v>42994.172096283575</v>
      </c>
      <c r="CT94" s="58">
        <f t="array" ref="CT94">SUM(IF(CQ94:CR94&gt;=CQ94, 1))</f>
        <v>2</v>
      </c>
      <c r="CU94" s="58">
        <f t="array" ref="CU94">SUM(IF(CQ94:CR94&gt;=CR94, 1))</f>
        <v>1</v>
      </c>
      <c r="CW94" s="109">
        <f t="shared" si="84"/>
        <v>-39599588.358286329</v>
      </c>
      <c r="CX94" s="109">
        <f t="shared" si="85"/>
        <v>0</v>
      </c>
      <c r="CZ94" s="58">
        <f t="array" ref="CZ94">SUM(IF(CW94:CX94&gt;=CW94, 1))</f>
        <v>2</v>
      </c>
      <c r="DA94" s="58">
        <f t="array" ref="DA94">SUM(IF(CW94:CX94&gt;=CX94, 1))</f>
        <v>1</v>
      </c>
      <c r="DC94" s="109">
        <f t="shared" si="86"/>
        <v>-2235297.9945249055</v>
      </c>
      <c r="DD94" s="109">
        <f t="shared" si="87"/>
        <v>0</v>
      </c>
      <c r="DF94" s="58">
        <f t="array" ref="DF94">SUM(IF(DC94:DD94&gt;=DC94, 1))</f>
        <v>2</v>
      </c>
      <c r="DG94" s="58">
        <f t="array" ref="DG94">SUM(IF(DC94:DD94&gt;=DD94, 1))</f>
        <v>1</v>
      </c>
      <c r="DI94" s="109">
        <f t="shared" si="88"/>
        <v>-64494305.24780871</v>
      </c>
      <c r="DJ94" s="109">
        <f t="shared" si="89"/>
        <v>0</v>
      </c>
      <c r="DL94" s="58">
        <f t="array" ref="DL94">SUM(IF(DI94:DJ94&gt;=DI94, 1))</f>
        <v>2</v>
      </c>
      <c r="DM94" s="58">
        <f t="array" ref="DM94">SUM(IF(DI94:DJ94&gt;=DJ94, 1))</f>
        <v>1</v>
      </c>
      <c r="DO94" s="109">
        <f t="shared" si="90"/>
        <v>-5866165.7426096667</v>
      </c>
      <c r="DP94" s="109">
        <f t="shared" si="91"/>
        <v>0</v>
      </c>
      <c r="DR94" s="58">
        <f t="array" ref="DR94">SUM(IF(DO94:DP94&gt;=DO94, 1))</f>
        <v>2</v>
      </c>
      <c r="DS94" s="58">
        <f t="array" ref="DS94">SUM(IF(DO94:DP94&gt;=DP94, 1))</f>
        <v>1</v>
      </c>
      <c r="DU94" s="109">
        <f t="shared" si="92"/>
        <v>-3739278.9465737585</v>
      </c>
      <c r="DV94" s="109">
        <f t="shared" si="93"/>
        <v>0</v>
      </c>
      <c r="DX94" s="58">
        <f t="array" ref="DX94">SUM(IF(DU94:DV94&gt;=DU94, 1))</f>
        <v>2</v>
      </c>
      <c r="DY94" s="58">
        <f t="array" ref="DY94">SUM(IF(DU94:DV94&gt;=DV94, 1))</f>
        <v>1</v>
      </c>
      <c r="EA94" s="109">
        <f t="shared" si="94"/>
        <v>-115934636.28980339</v>
      </c>
      <c r="EB94" s="109">
        <f t="shared" si="95"/>
        <v>0</v>
      </c>
      <c r="ED94" s="58">
        <f t="array" ref="ED94">SUM(IF(EA94:EB94&gt;=EA94, 1))</f>
        <v>2</v>
      </c>
      <c r="EE94" s="58">
        <f t="array" ref="EE94">SUM(IF(EA94:EB94&gt;=EB94, 1))</f>
        <v>1</v>
      </c>
    </row>
    <row r="95" spans="4:135" ht="12" customHeight="1" x14ac:dyDescent="0.25">
      <c r="D95" s="11">
        <v>79</v>
      </c>
      <c r="E95" s="72">
        <v>223.7485299469696</v>
      </c>
      <c r="F95" s="72">
        <v>205.03395671859843</v>
      </c>
      <c r="G95" s="73"/>
      <c r="H95" s="74">
        <v>5.8664217187036138</v>
      </c>
      <c r="I95" s="74">
        <v>5.8779755119793693</v>
      </c>
      <c r="J95" s="73"/>
      <c r="K95" s="72">
        <v>240.19892029552324</v>
      </c>
      <c r="L95" s="72">
        <v>221.01565483701347</v>
      </c>
      <c r="M95" s="73"/>
      <c r="N95" s="74">
        <v>6.6758811208860935</v>
      </c>
      <c r="O95" s="74">
        <v>6.6853414995138571</v>
      </c>
      <c r="P95" s="73"/>
      <c r="Q95" s="72">
        <v>2988.0843118651187</v>
      </c>
      <c r="R95" s="72">
        <v>1347.8199453081795</v>
      </c>
      <c r="S95" s="73"/>
      <c r="T95" s="74">
        <v>4.9477655871895188</v>
      </c>
      <c r="U95" s="74">
        <v>5.0883083506496263</v>
      </c>
      <c r="V95" s="73"/>
      <c r="W95" s="72">
        <v>11906.060511186366</v>
      </c>
      <c r="X95" s="72">
        <v>11877.442838221581</v>
      </c>
      <c r="Y95" s="73"/>
      <c r="Z95" s="74">
        <v>2.9178555686924348</v>
      </c>
      <c r="AA95" s="74">
        <v>2.9542264276437815</v>
      </c>
      <c r="AB95" s="73"/>
      <c r="AC95" s="72">
        <v>51011.496085963539</v>
      </c>
      <c r="AD95" s="72">
        <v>50841.155553185927</v>
      </c>
      <c r="AE95" s="73"/>
      <c r="AF95" s="74">
        <v>3.8633981028464652</v>
      </c>
      <c r="AG95" s="74">
        <v>3.93237080988572</v>
      </c>
      <c r="AH95" s="73"/>
      <c r="AI95" s="72">
        <v>2004950.9626253494</v>
      </c>
      <c r="AJ95" s="72">
        <v>0</v>
      </c>
      <c r="AK95" s="73"/>
      <c r="AL95" s="74">
        <v>-1237.7941333485778</v>
      </c>
      <c r="AM95" s="74">
        <v>0</v>
      </c>
      <c r="AN95" s="73"/>
      <c r="AO95" s="72">
        <v>133228.46151967396</v>
      </c>
      <c r="AP95" s="72">
        <v>0</v>
      </c>
      <c r="AQ95" s="73"/>
      <c r="AR95" s="74">
        <v>-65.702666352429375</v>
      </c>
      <c r="AS95" s="74">
        <v>0</v>
      </c>
      <c r="AT95" s="73"/>
      <c r="AU95" s="72">
        <v>38287563.956782885</v>
      </c>
      <c r="AV95" s="72">
        <v>0</v>
      </c>
      <c r="AW95" s="73"/>
      <c r="AX95" s="74">
        <v>-3280.5931497110778</v>
      </c>
      <c r="AY95" s="74">
        <v>0</v>
      </c>
      <c r="AZ95" s="73"/>
      <c r="BA95" s="72">
        <v>258940.54604673243</v>
      </c>
      <c r="BB95" s="72">
        <v>0</v>
      </c>
      <c r="BC95" s="73"/>
      <c r="BD95" s="74">
        <v>-329.09349717705669</v>
      </c>
      <c r="BE95" s="74">
        <v>0</v>
      </c>
      <c r="BF95" s="73"/>
      <c r="BG95" s="72">
        <v>2656057.5203295117</v>
      </c>
      <c r="BH95" s="72">
        <v>0</v>
      </c>
      <c r="BI95" s="73"/>
      <c r="BJ95" s="74">
        <v>-1075.4661514900088</v>
      </c>
      <c r="BK95" s="74">
        <v>0</v>
      </c>
      <c r="BL95" s="73"/>
      <c r="BM95" s="72">
        <v>43340741.447304152</v>
      </c>
      <c r="BN95" s="72">
        <v>0</v>
      </c>
      <c r="BO95" s="73"/>
      <c r="BP95" s="74">
        <v>-5988.6495980791506</v>
      </c>
      <c r="BQ95" s="74">
        <v>0</v>
      </c>
      <c r="BS95" s="109">
        <f t="shared" si="75"/>
        <v>117104.68584412531</v>
      </c>
      <c r="BT95" s="109">
        <f t="shared" si="76"/>
        <v>117354.47628286878</v>
      </c>
      <c r="BV95" s="58">
        <f t="array" ref="BV95">SUM(IF(BS95:BT95&gt;=BS95, 1))</f>
        <v>2</v>
      </c>
      <c r="BW95" s="58">
        <f t="array" ref="BW95">SUM(IF(BS95:BT95&gt;=BT95, 1))</f>
        <v>1</v>
      </c>
      <c r="BY95" s="109">
        <f t="shared" si="77"/>
        <v>133277.42349742635</v>
      </c>
      <c r="BZ95" s="109">
        <f t="shared" si="78"/>
        <v>133485.81433544014</v>
      </c>
      <c r="CB95" s="58">
        <f t="array" ref="CB95">SUM(IF(BY95:BZ95&gt;=BY95, 1))</f>
        <v>2</v>
      </c>
      <c r="CC95" s="58">
        <f t="array" ref="CC95">SUM(IF(BY95:BZ95&gt;=BZ95, 1))</f>
        <v>1</v>
      </c>
      <c r="CE95" s="109">
        <f t="shared" si="79"/>
        <v>95967.227431925246</v>
      </c>
      <c r="CF95" s="109">
        <f t="shared" si="80"/>
        <v>100418.34706768434</v>
      </c>
      <c r="CH95" s="58">
        <f t="array" ref="CH95">SUM(IF(CE95:CF95&gt;=CE95, 1))</f>
        <v>2</v>
      </c>
      <c r="CI95" s="58">
        <f t="array" ref="CI95">SUM(IF(CE95:CF95&gt;=CF95, 1))</f>
        <v>1</v>
      </c>
      <c r="CK95" s="109">
        <f t="shared" si="81"/>
        <v>46451.050862662334</v>
      </c>
      <c r="CL95" s="109">
        <f t="shared" si="82"/>
        <v>47207.085714654051</v>
      </c>
      <c r="CN95" s="58">
        <f t="array" ref="CN95">SUM(IF(CK95:CL95&gt;=CK95, 1))</f>
        <v>2</v>
      </c>
      <c r="CO95" s="58">
        <f t="array" ref="CO95">SUM(IF(CK95:CL95&gt;=CL95, 1))</f>
        <v>1</v>
      </c>
      <c r="CQ95" s="109" cm="1">
        <f t="array" ref="CQ95">AF95*WTP-AC95</f>
        <v>26256.465970965764</v>
      </c>
      <c r="CR95" s="109">
        <f t="shared" si="83"/>
        <v>27806.260644528469</v>
      </c>
      <c r="CT95" s="58">
        <f t="array" ref="CT95">SUM(IF(CQ95:CR95&gt;=CQ95, 1))</f>
        <v>2</v>
      </c>
      <c r="CU95" s="58">
        <f t="array" ref="CU95">SUM(IF(CQ95:CR95&gt;=CR95, 1))</f>
        <v>1</v>
      </c>
      <c r="CW95" s="109">
        <f t="shared" si="84"/>
        <v>-26760833.629596908</v>
      </c>
      <c r="CX95" s="109">
        <f t="shared" si="85"/>
        <v>0</v>
      </c>
      <c r="CZ95" s="58">
        <f t="array" ref="CZ95">SUM(IF(CW95:CX95&gt;=CW95, 1))</f>
        <v>2</v>
      </c>
      <c r="DA95" s="58">
        <f t="array" ref="DA95">SUM(IF(CW95:CX95&gt;=CX95, 1))</f>
        <v>1</v>
      </c>
      <c r="DC95" s="109">
        <f t="shared" si="86"/>
        <v>-1447281.7885682615</v>
      </c>
      <c r="DD95" s="109">
        <f t="shared" si="87"/>
        <v>0</v>
      </c>
      <c r="DF95" s="58">
        <f t="array" ref="DF95">SUM(IF(DC95:DD95&gt;=DC95, 1))</f>
        <v>2</v>
      </c>
      <c r="DG95" s="58">
        <f t="array" ref="DG95">SUM(IF(DC95:DD95&gt;=DD95, 1))</f>
        <v>1</v>
      </c>
      <c r="DI95" s="109">
        <f t="shared" si="88"/>
        <v>-103899426.95100445</v>
      </c>
      <c r="DJ95" s="109">
        <f t="shared" si="89"/>
        <v>0</v>
      </c>
      <c r="DL95" s="58">
        <f t="array" ref="DL95">SUM(IF(DI95:DJ95&gt;=DI95, 1))</f>
        <v>2</v>
      </c>
      <c r="DM95" s="58">
        <f t="array" ref="DM95">SUM(IF(DI95:DJ95&gt;=DJ95, 1))</f>
        <v>1</v>
      </c>
      <c r="DO95" s="109">
        <f t="shared" si="90"/>
        <v>-6840810.4895878658</v>
      </c>
      <c r="DP95" s="109">
        <f t="shared" si="91"/>
        <v>0</v>
      </c>
      <c r="DR95" s="58">
        <f t="array" ref="DR95">SUM(IF(DO95:DP95&gt;=DO95, 1))</f>
        <v>2</v>
      </c>
      <c r="DS95" s="58">
        <f t="array" ref="DS95">SUM(IF(DO95:DP95&gt;=DP95, 1))</f>
        <v>1</v>
      </c>
      <c r="DU95" s="109">
        <f t="shared" si="92"/>
        <v>-24165380.550129689</v>
      </c>
      <c r="DV95" s="109">
        <f t="shared" si="93"/>
        <v>0</v>
      </c>
      <c r="DX95" s="58">
        <f t="array" ref="DX95">SUM(IF(DU95:DV95&gt;=DU95, 1))</f>
        <v>2</v>
      </c>
      <c r="DY95" s="58">
        <f t="array" ref="DY95">SUM(IF(DU95:DV95&gt;=DV95, 1))</f>
        <v>1</v>
      </c>
      <c r="EA95" s="109">
        <f t="shared" si="94"/>
        <v>-163113733.40888718</v>
      </c>
      <c r="EB95" s="109">
        <f t="shared" si="95"/>
        <v>0</v>
      </c>
      <c r="ED95" s="58">
        <f t="array" ref="ED95">SUM(IF(EA95:EB95&gt;=EA95, 1))</f>
        <v>2</v>
      </c>
      <c r="EE95" s="58">
        <f t="array" ref="EE95">SUM(IF(EA95:EB95&gt;=EB95, 1))</f>
        <v>1</v>
      </c>
    </row>
    <row r="96" spans="4:135" ht="12" customHeight="1" x14ac:dyDescent="0.25">
      <c r="D96" s="11">
        <v>80</v>
      </c>
      <c r="E96" s="72">
        <v>257.45387970378613</v>
      </c>
      <c r="F96" s="72">
        <v>238.82835208526495</v>
      </c>
      <c r="G96" s="73"/>
      <c r="H96" s="74">
        <v>5.8612687208546426</v>
      </c>
      <c r="I96" s="74">
        <v>5.8786584827532966</v>
      </c>
      <c r="J96" s="73"/>
      <c r="K96" s="72">
        <v>276.73170576164415</v>
      </c>
      <c r="L96" s="72">
        <v>257.60454606848134</v>
      </c>
      <c r="M96" s="73"/>
      <c r="N96" s="74">
        <v>6.7662282772264302</v>
      </c>
      <c r="O96" s="74">
        <v>6.7808668534912293</v>
      </c>
      <c r="P96" s="73"/>
      <c r="Q96" s="72">
        <v>3520.9390131626592</v>
      </c>
      <c r="R96" s="72">
        <v>1646.0147776576559</v>
      </c>
      <c r="S96" s="73"/>
      <c r="T96" s="74">
        <v>4.8598378862635538</v>
      </c>
      <c r="U96" s="74">
        <v>4.974871488776996</v>
      </c>
      <c r="V96" s="73"/>
      <c r="W96" s="72">
        <v>9632.5945890688199</v>
      </c>
      <c r="X96" s="72">
        <v>9705.7330571622551</v>
      </c>
      <c r="Y96" s="73"/>
      <c r="Z96" s="74">
        <v>2.9916793336138596</v>
      </c>
      <c r="AA96" s="74">
        <v>3.0706806615838471</v>
      </c>
      <c r="AB96" s="73"/>
      <c r="AC96" s="72">
        <v>49822.800084187344</v>
      </c>
      <c r="AD96" s="72">
        <v>49349.932405627798</v>
      </c>
      <c r="AE96" s="73"/>
      <c r="AF96" s="74">
        <v>4.5849382875157447</v>
      </c>
      <c r="AG96" s="74">
        <v>4.7075016106893521</v>
      </c>
      <c r="AH96" s="73"/>
      <c r="AI96" s="72">
        <v>2034040.2537420562</v>
      </c>
      <c r="AJ96" s="72">
        <v>0</v>
      </c>
      <c r="AK96" s="73"/>
      <c r="AL96" s="74">
        <v>-1899.0858368854426</v>
      </c>
      <c r="AM96" s="74">
        <v>0</v>
      </c>
      <c r="AN96" s="73"/>
      <c r="AO96" s="72">
        <v>131761.63240582275</v>
      </c>
      <c r="AP96" s="72">
        <v>0</v>
      </c>
      <c r="AQ96" s="73"/>
      <c r="AR96" s="74">
        <v>-100.84104151838788</v>
      </c>
      <c r="AS96" s="74">
        <v>0</v>
      </c>
      <c r="AT96" s="73"/>
      <c r="AU96" s="72">
        <v>43565948.177116171</v>
      </c>
      <c r="AV96" s="72">
        <v>0</v>
      </c>
      <c r="AW96" s="73"/>
      <c r="AX96" s="74">
        <v>-2672.9335889019339</v>
      </c>
      <c r="AY96" s="74">
        <v>0</v>
      </c>
      <c r="AZ96" s="73"/>
      <c r="BA96" s="72">
        <v>-630735.06778250332</v>
      </c>
      <c r="BB96" s="72">
        <v>0</v>
      </c>
      <c r="BC96" s="73"/>
      <c r="BD96" s="74">
        <v>-681.29548308833648</v>
      </c>
      <c r="BE96" s="74">
        <v>0</v>
      </c>
      <c r="BF96" s="73"/>
      <c r="BG96" s="72">
        <v>7440065.6505213305</v>
      </c>
      <c r="BH96" s="72">
        <v>0</v>
      </c>
      <c r="BI96" s="73"/>
      <c r="BJ96" s="74">
        <v>-1928.402409603206</v>
      </c>
      <c r="BK96" s="74">
        <v>0</v>
      </c>
      <c r="BL96" s="73"/>
      <c r="BM96" s="72">
        <v>52541080.646002874</v>
      </c>
      <c r="BN96" s="72">
        <v>0</v>
      </c>
      <c r="BO96" s="73"/>
      <c r="BP96" s="74">
        <v>-7282.558359997307</v>
      </c>
      <c r="BQ96" s="74">
        <v>0</v>
      </c>
      <c r="BS96" s="109">
        <f t="shared" si="75"/>
        <v>116967.92053738907</v>
      </c>
      <c r="BT96" s="109">
        <f t="shared" si="76"/>
        <v>117334.34130298065</v>
      </c>
      <c r="BV96" s="58">
        <f t="array" ref="BV96">SUM(IF(BS96:BT96&gt;=BS96, 1))</f>
        <v>2</v>
      </c>
      <c r="BW96" s="58">
        <f t="array" ref="BW96">SUM(IF(BS96:BT96&gt;=BT96, 1))</f>
        <v>1</v>
      </c>
      <c r="BY96" s="109">
        <f t="shared" si="77"/>
        <v>135047.83383876696</v>
      </c>
      <c r="BZ96" s="109">
        <f t="shared" si="78"/>
        <v>135359.73252375613</v>
      </c>
      <c r="CB96" s="58">
        <f t="array" ref="CB96">SUM(IF(BY96:BZ96&gt;=BY96, 1))</f>
        <v>2</v>
      </c>
      <c r="CC96" s="58">
        <f t="array" ref="CC96">SUM(IF(BY96:BZ96&gt;=BZ96, 1))</f>
        <v>1</v>
      </c>
      <c r="CE96" s="109">
        <f t="shared" si="79"/>
        <v>93675.818712108419</v>
      </c>
      <c r="CF96" s="109">
        <f t="shared" si="80"/>
        <v>97851.414997882268</v>
      </c>
      <c r="CH96" s="58">
        <f t="array" ref="CH96">SUM(IF(CE96:CF96&gt;=CE96, 1))</f>
        <v>2</v>
      </c>
      <c r="CI96" s="58">
        <f t="array" ref="CI96">SUM(IF(CE96:CF96&gt;=CF96, 1))</f>
        <v>1</v>
      </c>
      <c r="CK96" s="109">
        <f t="shared" si="81"/>
        <v>50200.992083208374</v>
      </c>
      <c r="CL96" s="109">
        <f t="shared" si="82"/>
        <v>51707.880174514692</v>
      </c>
      <c r="CN96" s="58">
        <f t="array" ref="CN96">SUM(IF(CK96:CL96&gt;=CK96, 1))</f>
        <v>2</v>
      </c>
      <c r="CO96" s="58">
        <f t="array" ref="CO96">SUM(IF(CK96:CL96&gt;=CL96, 1))</f>
        <v>1</v>
      </c>
      <c r="CQ96" s="109" cm="1">
        <f t="array" ref="CQ96">AF96*WTP-AC96</f>
        <v>41875.965666127551</v>
      </c>
      <c r="CR96" s="109">
        <f t="shared" si="83"/>
        <v>44800.099808159241</v>
      </c>
      <c r="CT96" s="58">
        <f t="array" ref="CT96">SUM(IF(CQ96:CR96&gt;=CQ96, 1))</f>
        <v>2</v>
      </c>
      <c r="CU96" s="58">
        <f t="array" ref="CU96">SUM(IF(CQ96:CR96&gt;=CR96, 1))</f>
        <v>1</v>
      </c>
      <c r="CW96" s="109">
        <f t="shared" si="84"/>
        <v>-40015756.991450906</v>
      </c>
      <c r="CX96" s="109">
        <f t="shared" si="85"/>
        <v>0</v>
      </c>
      <c r="CZ96" s="58">
        <f t="array" ref="CZ96">SUM(IF(CW96:CX96&gt;=CW96, 1))</f>
        <v>2</v>
      </c>
      <c r="DA96" s="58">
        <f t="array" ref="DA96">SUM(IF(CW96:CX96&gt;=CX96, 1))</f>
        <v>1</v>
      </c>
      <c r="DC96" s="109">
        <f t="shared" si="86"/>
        <v>-2148582.4627735806</v>
      </c>
      <c r="DD96" s="109">
        <f t="shared" si="87"/>
        <v>0</v>
      </c>
      <c r="DF96" s="58">
        <f t="array" ref="DF96">SUM(IF(DC96:DD96&gt;=DC96, 1))</f>
        <v>2</v>
      </c>
      <c r="DG96" s="58">
        <f t="array" ref="DG96">SUM(IF(DC96:DD96&gt;=DD96, 1))</f>
        <v>1</v>
      </c>
      <c r="DI96" s="109">
        <f t="shared" si="88"/>
        <v>-97024619.955154851</v>
      </c>
      <c r="DJ96" s="109">
        <f t="shared" si="89"/>
        <v>0</v>
      </c>
      <c r="DL96" s="58">
        <f t="array" ref="DL96">SUM(IF(DI96:DJ96&gt;=DI96, 1))</f>
        <v>2</v>
      </c>
      <c r="DM96" s="58">
        <f t="array" ref="DM96">SUM(IF(DI96:DJ96&gt;=DJ96, 1))</f>
        <v>1</v>
      </c>
      <c r="DO96" s="109">
        <f t="shared" si="90"/>
        <v>-12995174.593984228</v>
      </c>
      <c r="DP96" s="109">
        <f t="shared" si="91"/>
        <v>0</v>
      </c>
      <c r="DR96" s="58">
        <f t="array" ref="DR96">SUM(IF(DO96:DP96&gt;=DO96, 1))</f>
        <v>2</v>
      </c>
      <c r="DS96" s="58">
        <f t="array" ref="DS96">SUM(IF(DO96:DP96&gt;=DP96, 1))</f>
        <v>1</v>
      </c>
      <c r="DU96" s="109">
        <f t="shared" si="92"/>
        <v>-46008113.842585452</v>
      </c>
      <c r="DV96" s="109">
        <f t="shared" si="93"/>
        <v>0</v>
      </c>
      <c r="DX96" s="58">
        <f t="array" ref="DX96">SUM(IF(DU96:DV96&gt;=DU96, 1))</f>
        <v>2</v>
      </c>
      <c r="DY96" s="58">
        <f t="array" ref="DY96">SUM(IF(DU96:DV96&gt;=DV96, 1))</f>
        <v>1</v>
      </c>
      <c r="EA96" s="109">
        <f t="shared" si="94"/>
        <v>-198192247.84594899</v>
      </c>
      <c r="EB96" s="109">
        <f t="shared" si="95"/>
        <v>0</v>
      </c>
      <c r="ED96" s="58">
        <f t="array" ref="ED96">SUM(IF(EA96:EB96&gt;=EA96, 1))</f>
        <v>2</v>
      </c>
      <c r="EE96" s="58">
        <f t="array" ref="EE96">SUM(IF(EA96:EB96&gt;=EB96, 1))</f>
        <v>1</v>
      </c>
    </row>
    <row r="97" spans="4:135" ht="12" customHeight="1" x14ac:dyDescent="0.25">
      <c r="D97" s="11">
        <v>81</v>
      </c>
      <c r="E97" s="72">
        <v>226.15448183667334</v>
      </c>
      <c r="F97" s="72">
        <v>204.88990943409866</v>
      </c>
      <c r="G97" s="73"/>
      <c r="H97" s="74">
        <v>5.8529368182313934</v>
      </c>
      <c r="I97" s="74">
        <v>5.8727678883829313</v>
      </c>
      <c r="J97" s="73"/>
      <c r="K97" s="72">
        <v>242.72344389847854</v>
      </c>
      <c r="L97" s="72">
        <v>220.93278703622275</v>
      </c>
      <c r="M97" s="73"/>
      <c r="N97" s="74">
        <v>6.7159834110520551</v>
      </c>
      <c r="O97" s="74">
        <v>6.7335781679616211</v>
      </c>
      <c r="P97" s="73"/>
      <c r="Q97" s="72">
        <v>3585.1551590904842</v>
      </c>
      <c r="R97" s="72">
        <v>1469.4848954347513</v>
      </c>
      <c r="S97" s="73"/>
      <c r="T97" s="74">
        <v>4.9092022513689892</v>
      </c>
      <c r="U97" s="74">
        <v>5.0676281665660623</v>
      </c>
      <c r="V97" s="73"/>
      <c r="W97" s="72">
        <v>11392.528200721941</v>
      </c>
      <c r="X97" s="72">
        <v>11417.882597157786</v>
      </c>
      <c r="Y97" s="73"/>
      <c r="Z97" s="74">
        <v>2.9517421288613779</v>
      </c>
      <c r="AA97" s="74">
        <v>2.9990223358758259</v>
      </c>
      <c r="AB97" s="73"/>
      <c r="AC97" s="72">
        <v>49481.606323935885</v>
      </c>
      <c r="AD97" s="72">
        <v>48996.101077443229</v>
      </c>
      <c r="AE97" s="73"/>
      <c r="AF97" s="74">
        <v>4.6095146248205623</v>
      </c>
      <c r="AG97" s="74">
        <v>4.7524650661768577</v>
      </c>
      <c r="AH97" s="73"/>
      <c r="AI97" s="72">
        <v>2297973.7842480363</v>
      </c>
      <c r="AJ97" s="72">
        <v>0</v>
      </c>
      <c r="AK97" s="73"/>
      <c r="AL97" s="74">
        <v>-2143.0611657302825</v>
      </c>
      <c r="AM97" s="74">
        <v>0</v>
      </c>
      <c r="AN97" s="73"/>
      <c r="AO97" s="72">
        <v>152342.94198203913</v>
      </c>
      <c r="AP97" s="72">
        <v>0</v>
      </c>
      <c r="AQ97" s="73"/>
      <c r="AR97" s="74">
        <v>-123.00854664482186</v>
      </c>
      <c r="AS97" s="74">
        <v>0</v>
      </c>
      <c r="AT97" s="73"/>
      <c r="AU97" s="72">
        <v>49123451.508041836</v>
      </c>
      <c r="AV97" s="72">
        <v>0</v>
      </c>
      <c r="AW97" s="73"/>
      <c r="AX97" s="74">
        <v>-3678.4691341046055</v>
      </c>
      <c r="AY97" s="74">
        <v>0</v>
      </c>
      <c r="AZ97" s="73"/>
      <c r="BA97" s="72">
        <v>-235940.25646558567</v>
      </c>
      <c r="BB97" s="72">
        <v>0</v>
      </c>
      <c r="BC97" s="73"/>
      <c r="BD97" s="74">
        <v>-439.9751418639143</v>
      </c>
      <c r="BE97" s="74">
        <v>0</v>
      </c>
      <c r="BF97" s="73"/>
      <c r="BG97" s="72">
        <v>7639865.1432844736</v>
      </c>
      <c r="BH97" s="72">
        <v>0</v>
      </c>
      <c r="BI97" s="73"/>
      <c r="BJ97" s="74">
        <v>-2249.4547731970047</v>
      </c>
      <c r="BK97" s="74">
        <v>0</v>
      </c>
      <c r="BL97" s="73"/>
      <c r="BM97" s="72">
        <v>58977693.1210908</v>
      </c>
      <c r="BN97" s="72">
        <v>0</v>
      </c>
      <c r="BO97" s="73"/>
      <c r="BP97" s="74">
        <v>-8633.9687615406292</v>
      </c>
      <c r="BQ97" s="74">
        <v>0</v>
      </c>
      <c r="BS97" s="109">
        <f t="shared" si="75"/>
        <v>116832.5818827912</v>
      </c>
      <c r="BT97" s="109">
        <f t="shared" si="76"/>
        <v>117250.46785822453</v>
      </c>
      <c r="BV97" s="58">
        <f t="array" ref="BV97">SUM(IF(BS97:BT97&gt;=BS97, 1))</f>
        <v>2</v>
      </c>
      <c r="BW97" s="58">
        <f t="array" ref="BW97">SUM(IF(BS97:BT97&gt;=BT97, 1))</f>
        <v>1</v>
      </c>
      <c r="BY97" s="109">
        <f t="shared" si="77"/>
        <v>134076.94477714261</v>
      </c>
      <c r="BZ97" s="109">
        <f t="shared" si="78"/>
        <v>134450.63057219618</v>
      </c>
      <c r="CB97" s="58">
        <f t="array" ref="CB97">SUM(IF(BY97:BZ97&gt;=BY97, 1))</f>
        <v>2</v>
      </c>
      <c r="CC97" s="58">
        <f t="array" ref="CC97">SUM(IF(BY97:BZ97&gt;=BZ97, 1))</f>
        <v>1</v>
      </c>
      <c r="CE97" s="109">
        <f t="shared" si="79"/>
        <v>94598.889868289305</v>
      </c>
      <c r="CF97" s="109">
        <f t="shared" si="80"/>
        <v>99883.078435886491</v>
      </c>
      <c r="CH97" s="58">
        <f t="array" ref="CH97">SUM(IF(CE97:CF97&gt;=CE97, 1))</f>
        <v>2</v>
      </c>
      <c r="CI97" s="58">
        <f t="array" ref="CI97">SUM(IF(CE97:CF97&gt;=CF97, 1))</f>
        <v>1</v>
      </c>
      <c r="CK97" s="109">
        <f t="shared" si="81"/>
        <v>47642.314376505616</v>
      </c>
      <c r="CL97" s="109">
        <f t="shared" si="82"/>
        <v>48562.564120358729</v>
      </c>
      <c r="CN97" s="58">
        <f t="array" ref="CN97">SUM(IF(CK97:CL97&gt;=CK97, 1))</f>
        <v>2</v>
      </c>
      <c r="CO97" s="58">
        <f t="array" ref="CO97">SUM(IF(CK97:CL97&gt;=CL97, 1))</f>
        <v>1</v>
      </c>
      <c r="CQ97" s="109" cm="1">
        <f t="array" ref="CQ97">AF97*WTP-AC97</f>
        <v>42708.686172475362</v>
      </c>
      <c r="CR97" s="109">
        <f t="shared" si="83"/>
        <v>46053.200246093918</v>
      </c>
      <c r="CT97" s="58">
        <f t="array" ref="CT97">SUM(IF(CQ97:CR97&gt;=CQ97, 1))</f>
        <v>2</v>
      </c>
      <c r="CU97" s="58">
        <f t="array" ref="CU97">SUM(IF(CQ97:CR97&gt;=CR97, 1))</f>
        <v>1</v>
      </c>
      <c r="CW97" s="109">
        <f t="shared" si="84"/>
        <v>-45159197.098853692</v>
      </c>
      <c r="CX97" s="109">
        <f t="shared" si="85"/>
        <v>0</v>
      </c>
      <c r="CZ97" s="58">
        <f t="array" ref="CZ97">SUM(IF(CW97:CX97&gt;=CW97, 1))</f>
        <v>2</v>
      </c>
      <c r="DA97" s="58">
        <f t="array" ref="DA97">SUM(IF(CW97:CX97&gt;=CX97, 1))</f>
        <v>1</v>
      </c>
      <c r="DC97" s="109">
        <f t="shared" si="86"/>
        <v>-2612513.8748784764</v>
      </c>
      <c r="DD97" s="109">
        <f t="shared" si="87"/>
        <v>0</v>
      </c>
      <c r="DF97" s="58">
        <f t="array" ref="DF97">SUM(IF(DC97:DD97&gt;=DC97, 1))</f>
        <v>2</v>
      </c>
      <c r="DG97" s="58">
        <f t="array" ref="DG97">SUM(IF(DC97:DD97&gt;=DD97, 1))</f>
        <v>1</v>
      </c>
      <c r="DI97" s="109">
        <f t="shared" si="88"/>
        <v>-122692834.19013396</v>
      </c>
      <c r="DJ97" s="109">
        <f t="shared" si="89"/>
        <v>0</v>
      </c>
      <c r="DL97" s="58">
        <f t="array" ref="DL97">SUM(IF(DI97:DJ97&gt;=DI97, 1))</f>
        <v>2</v>
      </c>
      <c r="DM97" s="58">
        <f t="array" ref="DM97">SUM(IF(DI97:DJ97&gt;=DJ97, 1))</f>
        <v>1</v>
      </c>
      <c r="DO97" s="109">
        <f t="shared" si="90"/>
        <v>-8563562.5808127001</v>
      </c>
      <c r="DP97" s="109">
        <f t="shared" si="91"/>
        <v>0</v>
      </c>
      <c r="DR97" s="58">
        <f t="array" ref="DR97">SUM(IF(DO97:DP97&gt;=DO97, 1))</f>
        <v>2</v>
      </c>
      <c r="DS97" s="58">
        <f t="array" ref="DS97">SUM(IF(DO97:DP97&gt;=DP97, 1))</f>
        <v>1</v>
      </c>
      <c r="DU97" s="109">
        <f t="shared" si="92"/>
        <v>-52628960.607224569</v>
      </c>
      <c r="DV97" s="109">
        <f t="shared" si="93"/>
        <v>0</v>
      </c>
      <c r="DX97" s="58">
        <f t="array" ref="DX97">SUM(IF(DU97:DV97&gt;=DU97, 1))</f>
        <v>2</v>
      </c>
      <c r="DY97" s="58">
        <f t="array" ref="DY97">SUM(IF(DU97:DV97&gt;=DV97, 1))</f>
        <v>1</v>
      </c>
      <c r="EA97" s="109">
        <f t="shared" si="94"/>
        <v>-231657068.35190338</v>
      </c>
      <c r="EB97" s="109">
        <f t="shared" si="95"/>
        <v>0</v>
      </c>
      <c r="ED97" s="58">
        <f t="array" ref="ED97">SUM(IF(EA97:EB97&gt;=EA97, 1))</f>
        <v>2</v>
      </c>
      <c r="EE97" s="58">
        <f t="array" ref="EE97">SUM(IF(EA97:EB97&gt;=EB97, 1))</f>
        <v>1</v>
      </c>
    </row>
    <row r="98" spans="4:135" ht="12" customHeight="1" x14ac:dyDescent="0.25">
      <c r="D98" s="11">
        <v>82</v>
      </c>
      <c r="E98" s="72">
        <v>223.54217357016353</v>
      </c>
      <c r="F98" s="72">
        <v>180.94926145545651</v>
      </c>
      <c r="G98" s="73"/>
      <c r="H98" s="74">
        <v>5.9114517888142082</v>
      </c>
      <c r="I98" s="74">
        <v>5.926759696509853</v>
      </c>
      <c r="J98" s="73"/>
      <c r="K98" s="72">
        <v>238.54130113690988</v>
      </c>
      <c r="L98" s="72">
        <v>194.9616610712292</v>
      </c>
      <c r="M98" s="73"/>
      <c r="N98" s="74">
        <v>6.7020007272060704</v>
      </c>
      <c r="O98" s="74">
        <v>6.715279188353521</v>
      </c>
      <c r="P98" s="73"/>
      <c r="Q98" s="72">
        <v>1704.7758746614845</v>
      </c>
      <c r="R98" s="72">
        <v>1366.1246594372678</v>
      </c>
      <c r="S98" s="73"/>
      <c r="T98" s="74">
        <v>4.9652058876801126</v>
      </c>
      <c r="U98" s="74">
        <v>5.0105157572809977</v>
      </c>
      <c r="V98" s="73"/>
      <c r="W98" s="72">
        <v>10287.520031649217</v>
      </c>
      <c r="X98" s="72">
        <v>10274.496531183324</v>
      </c>
      <c r="Y98" s="73"/>
      <c r="Z98" s="74">
        <v>2.9633044261509132</v>
      </c>
      <c r="AA98" s="74">
        <v>3.012898820518179</v>
      </c>
      <c r="AB98" s="73"/>
      <c r="AC98" s="72">
        <v>50908.772443768154</v>
      </c>
      <c r="AD98" s="72">
        <v>50634.794164129809</v>
      </c>
      <c r="AE98" s="73"/>
      <c r="AF98" s="74">
        <v>4.3457274357248465</v>
      </c>
      <c r="AG98" s="74">
        <v>4.4142709514368708</v>
      </c>
      <c r="AH98" s="73"/>
      <c r="AI98" s="72">
        <v>4616792.4508947069</v>
      </c>
      <c r="AJ98" s="72">
        <v>0</v>
      </c>
      <c r="AK98" s="73"/>
      <c r="AL98" s="74">
        <v>-1659.2768416002018</v>
      </c>
      <c r="AM98" s="74">
        <v>0</v>
      </c>
      <c r="AN98" s="73"/>
      <c r="AO98" s="72">
        <v>281727.84751612932</v>
      </c>
      <c r="AP98" s="72">
        <v>0</v>
      </c>
      <c r="AQ98" s="73"/>
      <c r="AR98" s="74">
        <v>-85.84082548088324</v>
      </c>
      <c r="AS98" s="74">
        <v>0</v>
      </c>
      <c r="AT98" s="73"/>
      <c r="AU98" s="72">
        <v>7872714.0120055554</v>
      </c>
      <c r="AV98" s="72">
        <v>0</v>
      </c>
      <c r="AW98" s="73"/>
      <c r="AX98" s="74">
        <v>-1053.3304746975693</v>
      </c>
      <c r="AY98" s="74">
        <v>0</v>
      </c>
      <c r="AZ98" s="73"/>
      <c r="BA98" s="72">
        <v>118130.84854768102</v>
      </c>
      <c r="BB98" s="72">
        <v>0</v>
      </c>
      <c r="BC98" s="73"/>
      <c r="BD98" s="74">
        <v>-449.85047646416552</v>
      </c>
      <c r="BE98" s="74">
        <v>0</v>
      </c>
      <c r="BF98" s="73"/>
      <c r="BG98" s="72">
        <v>4334434.2737768432</v>
      </c>
      <c r="BH98" s="72">
        <v>0</v>
      </c>
      <c r="BI98" s="73"/>
      <c r="BJ98" s="74">
        <v>-1084.3829085266636</v>
      </c>
      <c r="BK98" s="74">
        <v>0</v>
      </c>
      <c r="BL98" s="73"/>
      <c r="BM98" s="72">
        <v>17223799.432740916</v>
      </c>
      <c r="BN98" s="72">
        <v>0</v>
      </c>
      <c r="BO98" s="73"/>
      <c r="BP98" s="74">
        <v>-4332.6815267694838</v>
      </c>
      <c r="BQ98" s="74">
        <v>0</v>
      </c>
      <c r="BS98" s="109">
        <f t="shared" si="75"/>
        <v>118005.49360271399</v>
      </c>
      <c r="BT98" s="109">
        <f t="shared" si="76"/>
        <v>118354.24466874159</v>
      </c>
      <c r="BV98" s="58">
        <f t="array" ref="BV98">SUM(IF(BS98:BT98&gt;=BS98, 1))</f>
        <v>2</v>
      </c>
      <c r="BW98" s="58">
        <f t="array" ref="BW98">SUM(IF(BS98:BT98&gt;=BT98, 1))</f>
        <v>1</v>
      </c>
      <c r="BY98" s="109">
        <f t="shared" si="77"/>
        <v>133801.47324298447</v>
      </c>
      <c r="BZ98" s="109">
        <f t="shared" si="78"/>
        <v>134110.62210599918</v>
      </c>
      <c r="CB98" s="58">
        <f t="array" ref="CB98">SUM(IF(BY98:BZ98&gt;=BY98, 1))</f>
        <v>2</v>
      </c>
      <c r="CC98" s="58">
        <f t="array" ref="CC98">SUM(IF(BY98:BZ98&gt;=BZ98, 1))</f>
        <v>1</v>
      </c>
      <c r="CE98" s="109">
        <f t="shared" si="79"/>
        <v>97599.341878940773</v>
      </c>
      <c r="CF98" s="109">
        <f t="shared" si="80"/>
        <v>98844.190486182692</v>
      </c>
      <c r="CH98" s="58">
        <f t="array" ref="CH98">SUM(IF(CE98:CF98&gt;=CE98, 1))</f>
        <v>2</v>
      </c>
      <c r="CI98" s="58">
        <f t="array" ref="CI98">SUM(IF(CE98:CF98&gt;=CF98, 1))</f>
        <v>1</v>
      </c>
      <c r="CK98" s="109">
        <f t="shared" si="81"/>
        <v>48978.568491369042</v>
      </c>
      <c r="CL98" s="109">
        <f t="shared" si="82"/>
        <v>49983.47987918026</v>
      </c>
      <c r="CN98" s="58">
        <f t="array" ref="CN98">SUM(IF(CK98:CL98&gt;=CK98, 1))</f>
        <v>2</v>
      </c>
      <c r="CO98" s="58">
        <f t="array" ref="CO98">SUM(IF(CK98:CL98&gt;=CL98, 1))</f>
        <v>1</v>
      </c>
      <c r="CQ98" s="109" cm="1">
        <f t="array" ref="CQ98">AF98*WTP-AC98</f>
        <v>36005.776270728784</v>
      </c>
      <c r="CR98" s="109">
        <f t="shared" si="83"/>
        <v>37650.624864607613</v>
      </c>
      <c r="CT98" s="58">
        <f t="array" ref="CT98">SUM(IF(CQ98:CR98&gt;=CQ98, 1))</f>
        <v>2</v>
      </c>
      <c r="CU98" s="58">
        <f t="array" ref="CU98">SUM(IF(CQ98:CR98&gt;=CR98, 1))</f>
        <v>1</v>
      </c>
      <c r="CW98" s="109">
        <f t="shared" si="84"/>
        <v>-37802329.282898746</v>
      </c>
      <c r="CX98" s="109">
        <f t="shared" si="85"/>
        <v>0</v>
      </c>
      <c r="CZ98" s="58">
        <f t="array" ref="CZ98">SUM(IF(CW98:CX98&gt;=CW98, 1))</f>
        <v>2</v>
      </c>
      <c r="DA98" s="58">
        <f t="array" ref="DA98">SUM(IF(CW98:CX98&gt;=CX98, 1))</f>
        <v>1</v>
      </c>
      <c r="DC98" s="109">
        <f t="shared" si="86"/>
        <v>-1998544.3571337941</v>
      </c>
      <c r="DD98" s="109">
        <f t="shared" si="87"/>
        <v>0</v>
      </c>
      <c r="DF98" s="58">
        <f t="array" ref="DF98">SUM(IF(DC98:DD98&gt;=DC98, 1))</f>
        <v>2</v>
      </c>
      <c r="DG98" s="58">
        <f t="array" ref="DG98">SUM(IF(DC98:DD98&gt;=DD98, 1))</f>
        <v>1</v>
      </c>
      <c r="DI98" s="109">
        <f t="shared" si="88"/>
        <v>-28939323.505956944</v>
      </c>
      <c r="DJ98" s="109">
        <f t="shared" si="89"/>
        <v>0</v>
      </c>
      <c r="DL98" s="58">
        <f t="array" ref="DL98">SUM(IF(DI98:DJ98&gt;=DI98, 1))</f>
        <v>2</v>
      </c>
      <c r="DM98" s="58">
        <f t="array" ref="DM98">SUM(IF(DI98:DJ98&gt;=DJ98, 1))</f>
        <v>1</v>
      </c>
      <c r="DO98" s="109">
        <f t="shared" si="90"/>
        <v>-9115140.3778309915</v>
      </c>
      <c r="DP98" s="109">
        <f t="shared" si="91"/>
        <v>0</v>
      </c>
      <c r="DR98" s="58">
        <f t="array" ref="DR98">SUM(IF(DO98:DP98&gt;=DO98, 1))</f>
        <v>2</v>
      </c>
      <c r="DS98" s="58">
        <f t="array" ref="DS98">SUM(IF(DO98:DP98&gt;=DP98, 1))</f>
        <v>1</v>
      </c>
      <c r="DU98" s="109">
        <f t="shared" si="92"/>
        <v>-26022092.444310118</v>
      </c>
      <c r="DV98" s="109">
        <f t="shared" si="93"/>
        <v>0</v>
      </c>
      <c r="DX98" s="58">
        <f t="array" ref="DX98">SUM(IF(DU98:DV98&gt;=DU98, 1))</f>
        <v>2</v>
      </c>
      <c r="DY98" s="58">
        <f t="array" ref="DY98">SUM(IF(DU98:DV98&gt;=DV98, 1))</f>
        <v>1</v>
      </c>
      <c r="EA98" s="109">
        <f t="shared" si="94"/>
        <v>-103877429.96813059</v>
      </c>
      <c r="EB98" s="109">
        <f t="shared" si="95"/>
        <v>0</v>
      </c>
      <c r="ED98" s="58">
        <f t="array" ref="ED98">SUM(IF(EA98:EB98&gt;=EA98, 1))</f>
        <v>2</v>
      </c>
      <c r="EE98" s="58">
        <f t="array" ref="EE98">SUM(IF(EA98:EB98&gt;=EB98, 1))</f>
        <v>1</v>
      </c>
    </row>
    <row r="99" spans="4:135" ht="12" customHeight="1" x14ac:dyDescent="0.25">
      <c r="D99" s="11">
        <v>83</v>
      </c>
      <c r="E99" s="72">
        <v>225.87002944289947</v>
      </c>
      <c r="F99" s="72">
        <v>208.30654009342993</v>
      </c>
      <c r="G99" s="73"/>
      <c r="H99" s="74">
        <v>5.8671187482690392</v>
      </c>
      <c r="I99" s="74">
        <v>5.8860468123748539</v>
      </c>
      <c r="J99" s="73"/>
      <c r="K99" s="72">
        <v>242.66675628632299</v>
      </c>
      <c r="L99" s="72">
        <v>224.67269990027037</v>
      </c>
      <c r="M99" s="73"/>
      <c r="N99" s="74">
        <v>6.7368732118900496</v>
      </c>
      <c r="O99" s="74">
        <v>6.7538514476852303</v>
      </c>
      <c r="P99" s="73"/>
      <c r="Q99" s="72">
        <v>2360.0667433997151</v>
      </c>
      <c r="R99" s="72">
        <v>1207.5911607674359</v>
      </c>
      <c r="S99" s="73"/>
      <c r="T99" s="74">
        <v>4.8255531309013353</v>
      </c>
      <c r="U99" s="74">
        <v>4.9470043224838651</v>
      </c>
      <c r="V99" s="73"/>
      <c r="W99" s="72">
        <v>12272.143311826501</v>
      </c>
      <c r="X99" s="72">
        <v>12279.619470841411</v>
      </c>
      <c r="Y99" s="73"/>
      <c r="Z99" s="74">
        <v>3.0845502202318373</v>
      </c>
      <c r="AA99" s="74">
        <v>3.1385686991124104</v>
      </c>
      <c r="AB99" s="73"/>
      <c r="AC99" s="72">
        <v>49909.37841327551</v>
      </c>
      <c r="AD99" s="72">
        <v>49740.65531666288</v>
      </c>
      <c r="AE99" s="73"/>
      <c r="AF99" s="74">
        <v>4.1845581853789025</v>
      </c>
      <c r="AG99" s="74">
        <v>4.2477429642282978</v>
      </c>
      <c r="AH99" s="73"/>
      <c r="AI99" s="72">
        <v>1873018.7323105866</v>
      </c>
      <c r="AJ99" s="72">
        <v>0</v>
      </c>
      <c r="AK99" s="73"/>
      <c r="AL99" s="74">
        <v>-2018.5407313517319</v>
      </c>
      <c r="AM99" s="74">
        <v>0</v>
      </c>
      <c r="AN99" s="73"/>
      <c r="AO99" s="72">
        <v>128349.28740280979</v>
      </c>
      <c r="AP99" s="72">
        <v>0</v>
      </c>
      <c r="AQ99" s="73"/>
      <c r="AR99" s="74">
        <v>-121.10356991864224</v>
      </c>
      <c r="AS99" s="74">
        <v>0</v>
      </c>
      <c r="AT99" s="73"/>
      <c r="AU99" s="72">
        <v>26057617.911184844</v>
      </c>
      <c r="AV99" s="72">
        <v>0</v>
      </c>
      <c r="AW99" s="73"/>
      <c r="AX99" s="74">
        <v>-2746.0267209196413</v>
      </c>
      <c r="AY99" s="74">
        <v>0</v>
      </c>
      <c r="AZ99" s="73"/>
      <c r="BA99" s="72">
        <v>-64950.749017278627</v>
      </c>
      <c r="BB99" s="72">
        <v>0</v>
      </c>
      <c r="BC99" s="73"/>
      <c r="BD99" s="74">
        <v>-469.29722295499727</v>
      </c>
      <c r="BE99" s="74">
        <v>0</v>
      </c>
      <c r="BF99" s="73"/>
      <c r="BG99" s="72">
        <v>2674498.0712105487</v>
      </c>
      <c r="BH99" s="72">
        <v>0</v>
      </c>
      <c r="BI99" s="73"/>
      <c r="BJ99" s="74">
        <v>-1001.5674946421246</v>
      </c>
      <c r="BK99" s="74">
        <v>0</v>
      </c>
      <c r="BL99" s="73"/>
      <c r="BM99" s="72">
        <v>30668533.25309151</v>
      </c>
      <c r="BN99" s="72">
        <v>0</v>
      </c>
      <c r="BO99" s="73"/>
      <c r="BP99" s="74">
        <v>-6356.5357397871376</v>
      </c>
      <c r="BQ99" s="74">
        <v>0</v>
      </c>
      <c r="BS99" s="109">
        <f t="shared" si="75"/>
        <v>117116.50493593789</v>
      </c>
      <c r="BT99" s="109">
        <f t="shared" si="76"/>
        <v>117512.62970740366</v>
      </c>
      <c r="BV99" s="58">
        <f t="array" ref="BV99">SUM(IF(BS99:BT99&gt;=BS99, 1))</f>
        <v>2</v>
      </c>
      <c r="BW99" s="58">
        <f t="array" ref="BW99">SUM(IF(BS99:BT99&gt;=BT99, 1))</f>
        <v>1</v>
      </c>
      <c r="BY99" s="109">
        <f t="shared" si="77"/>
        <v>134494.79748151469</v>
      </c>
      <c r="BZ99" s="109">
        <f t="shared" si="78"/>
        <v>134852.35625380435</v>
      </c>
      <c r="CB99" s="58">
        <f t="array" ref="CB99">SUM(IF(BY99:BZ99&gt;=BY99, 1))</f>
        <v>2</v>
      </c>
      <c r="CC99" s="58">
        <f t="array" ref="CC99">SUM(IF(BY99:BZ99&gt;=BZ99, 1))</f>
        <v>1</v>
      </c>
      <c r="CE99" s="109">
        <f t="shared" si="79"/>
        <v>94150.995874626984</v>
      </c>
      <c r="CF99" s="109">
        <f t="shared" si="80"/>
        <v>97732.495288909864</v>
      </c>
      <c r="CH99" s="58">
        <f t="array" ref="CH99">SUM(IF(CE99:CF99&gt;=CE99, 1))</f>
        <v>2</v>
      </c>
      <c r="CI99" s="58">
        <f t="array" ref="CI99">SUM(IF(CE99:CF99&gt;=CF99, 1))</f>
        <v>1</v>
      </c>
      <c r="CK99" s="109">
        <f t="shared" si="81"/>
        <v>49418.861092810243</v>
      </c>
      <c r="CL99" s="109">
        <f t="shared" si="82"/>
        <v>50491.754511406798</v>
      </c>
      <c r="CN99" s="58">
        <f t="array" ref="CN99">SUM(IF(CK99:CL99&gt;=CK99, 1))</f>
        <v>2</v>
      </c>
      <c r="CO99" s="58">
        <f t="array" ref="CO99">SUM(IF(CK99:CL99&gt;=CL99, 1))</f>
        <v>1</v>
      </c>
      <c r="CQ99" s="109" cm="1">
        <f t="array" ref="CQ99">AF99*WTP-AC99</f>
        <v>33781.785294302535</v>
      </c>
      <c r="CR99" s="109">
        <f t="shared" si="83"/>
        <v>35214.203967903079</v>
      </c>
      <c r="CT99" s="58">
        <f t="array" ref="CT99">SUM(IF(CQ99:CR99&gt;=CQ99, 1))</f>
        <v>2</v>
      </c>
      <c r="CU99" s="58">
        <f t="array" ref="CU99">SUM(IF(CQ99:CR99&gt;=CR99, 1))</f>
        <v>1</v>
      </c>
      <c r="CW99" s="109">
        <f t="shared" si="84"/>
        <v>-42243833.35934522</v>
      </c>
      <c r="CX99" s="109">
        <f t="shared" si="85"/>
        <v>0</v>
      </c>
      <c r="CZ99" s="58">
        <f t="array" ref="CZ99">SUM(IF(CW99:CX99&gt;=CW99, 1))</f>
        <v>2</v>
      </c>
      <c r="DA99" s="58">
        <f t="array" ref="DA99">SUM(IF(CW99:CX99&gt;=CX99, 1))</f>
        <v>1</v>
      </c>
      <c r="DC99" s="109">
        <f t="shared" si="86"/>
        <v>-2550420.6857756544</v>
      </c>
      <c r="DD99" s="109">
        <f t="shared" si="87"/>
        <v>0</v>
      </c>
      <c r="DF99" s="58">
        <f t="array" ref="DF99">SUM(IF(DC99:DD99&gt;=DC99, 1))</f>
        <v>2</v>
      </c>
      <c r="DG99" s="58">
        <f t="array" ref="DG99">SUM(IF(DC99:DD99&gt;=DD99, 1))</f>
        <v>1</v>
      </c>
      <c r="DI99" s="109">
        <f t="shared" si="88"/>
        <v>-80978152.32957767</v>
      </c>
      <c r="DJ99" s="109">
        <f t="shared" si="89"/>
        <v>0</v>
      </c>
      <c r="DL99" s="58">
        <f t="array" ref="DL99">SUM(IF(DI99:DJ99&gt;=DI99, 1))</f>
        <v>2</v>
      </c>
      <c r="DM99" s="58">
        <f t="array" ref="DM99">SUM(IF(DI99:DJ99&gt;=DJ99, 1))</f>
        <v>1</v>
      </c>
      <c r="DO99" s="109">
        <f t="shared" si="90"/>
        <v>-9320993.7100826669</v>
      </c>
      <c r="DP99" s="109">
        <f t="shared" si="91"/>
        <v>0</v>
      </c>
      <c r="DR99" s="58">
        <f t="array" ref="DR99">SUM(IF(DO99:DP99&gt;=DO99, 1))</f>
        <v>2</v>
      </c>
      <c r="DS99" s="58">
        <f t="array" ref="DS99">SUM(IF(DO99:DP99&gt;=DP99, 1))</f>
        <v>1</v>
      </c>
      <c r="DU99" s="109">
        <f t="shared" si="92"/>
        <v>-22705847.964053042</v>
      </c>
      <c r="DV99" s="109">
        <f t="shared" si="93"/>
        <v>0</v>
      </c>
      <c r="DX99" s="58">
        <f t="array" ref="DX99">SUM(IF(DU99:DV99&gt;=DU99, 1))</f>
        <v>2</v>
      </c>
      <c r="DY99" s="58">
        <f t="array" ref="DY99">SUM(IF(DU99:DV99&gt;=DV99, 1))</f>
        <v>1</v>
      </c>
      <c r="EA99" s="109">
        <f t="shared" si="94"/>
        <v>-157799248.04883426</v>
      </c>
      <c r="EB99" s="109">
        <f t="shared" si="95"/>
        <v>0</v>
      </c>
      <c r="ED99" s="58">
        <f t="array" ref="ED99">SUM(IF(EA99:EB99&gt;=EA99, 1))</f>
        <v>2</v>
      </c>
      <c r="EE99" s="58">
        <f t="array" ref="EE99">SUM(IF(EA99:EB99&gt;=EB99, 1))</f>
        <v>1</v>
      </c>
    </row>
    <row r="100" spans="4:135" ht="12" customHeight="1" x14ac:dyDescent="0.25">
      <c r="D100" s="11">
        <v>84</v>
      </c>
      <c r="E100" s="72">
        <v>309.22877859309966</v>
      </c>
      <c r="F100" s="72">
        <v>286.0065806101008</v>
      </c>
      <c r="G100" s="73"/>
      <c r="H100" s="74">
        <v>5.8183947500021578</v>
      </c>
      <c r="I100" s="74">
        <v>5.8334636048400057</v>
      </c>
      <c r="J100" s="73"/>
      <c r="K100" s="72">
        <v>332.23900129750552</v>
      </c>
      <c r="L100" s="72">
        <v>308.36849240615788</v>
      </c>
      <c r="M100" s="73"/>
      <c r="N100" s="74">
        <v>6.6975684173410519</v>
      </c>
      <c r="O100" s="74">
        <v>6.7093489727299414</v>
      </c>
      <c r="P100" s="73"/>
      <c r="Q100" s="72">
        <v>2503.082465225114</v>
      </c>
      <c r="R100" s="72">
        <v>1083.5298132269961</v>
      </c>
      <c r="S100" s="73"/>
      <c r="T100" s="74">
        <v>4.470603839334113</v>
      </c>
      <c r="U100" s="74">
        <v>4.6110709569463832</v>
      </c>
      <c r="V100" s="73"/>
      <c r="W100" s="72">
        <v>12224.958732327636</v>
      </c>
      <c r="X100" s="72">
        <v>12235.788819814936</v>
      </c>
      <c r="Y100" s="73"/>
      <c r="Z100" s="74">
        <v>3.1367600137475615</v>
      </c>
      <c r="AA100" s="74">
        <v>3.1863884772122448</v>
      </c>
      <c r="AB100" s="73"/>
      <c r="AC100" s="72">
        <v>51771.717045694124</v>
      </c>
      <c r="AD100" s="72">
        <v>51439.539742115092</v>
      </c>
      <c r="AE100" s="73"/>
      <c r="AF100" s="74">
        <v>4.2083434237722734</v>
      </c>
      <c r="AG100" s="74">
        <v>4.2664231833832948</v>
      </c>
      <c r="AH100" s="73"/>
      <c r="AI100" s="72">
        <v>2500859.2209314513</v>
      </c>
      <c r="AJ100" s="72">
        <v>0</v>
      </c>
      <c r="AK100" s="73"/>
      <c r="AL100" s="74">
        <v>-1622.8043787112229</v>
      </c>
      <c r="AM100" s="74">
        <v>0</v>
      </c>
      <c r="AN100" s="73"/>
      <c r="AO100" s="72">
        <v>158055.26758379774</v>
      </c>
      <c r="AP100" s="72">
        <v>0</v>
      </c>
      <c r="AQ100" s="73"/>
      <c r="AR100" s="74">
        <v>-78.003315419537813</v>
      </c>
      <c r="AS100" s="74">
        <v>0</v>
      </c>
      <c r="AT100" s="73"/>
      <c r="AU100" s="72">
        <v>32611566.47318418</v>
      </c>
      <c r="AV100" s="72">
        <v>0</v>
      </c>
      <c r="AW100" s="73"/>
      <c r="AX100" s="74">
        <v>-3226.9692405288856</v>
      </c>
      <c r="AY100" s="74">
        <v>0</v>
      </c>
      <c r="AZ100" s="73"/>
      <c r="BA100" s="72">
        <v>-96443.622397566418</v>
      </c>
      <c r="BB100" s="72">
        <v>0</v>
      </c>
      <c r="BC100" s="73"/>
      <c r="BD100" s="74">
        <v>-441.94922674188706</v>
      </c>
      <c r="BE100" s="74">
        <v>0</v>
      </c>
      <c r="BF100" s="73"/>
      <c r="BG100" s="72">
        <v>5431511.01128083</v>
      </c>
      <c r="BH100" s="72">
        <v>0</v>
      </c>
      <c r="BI100" s="73"/>
      <c r="BJ100" s="74">
        <v>-949.67612314533574</v>
      </c>
      <c r="BK100" s="74">
        <v>0</v>
      </c>
      <c r="BL100" s="73"/>
      <c r="BM100" s="72">
        <v>40605548.350582689</v>
      </c>
      <c r="BN100" s="72">
        <v>0</v>
      </c>
      <c r="BO100" s="73"/>
      <c r="BP100" s="74">
        <v>-6319.4022845468689</v>
      </c>
      <c r="BQ100" s="74">
        <v>0</v>
      </c>
      <c r="BS100" s="109">
        <f t="shared" si="75"/>
        <v>116058.66622145005</v>
      </c>
      <c r="BT100" s="109">
        <f t="shared" si="76"/>
        <v>116383.26551619</v>
      </c>
      <c r="BV100" s="58">
        <f t="array" ref="BV100">SUM(IF(BS100:BT100&gt;=BS100, 1))</f>
        <v>2</v>
      </c>
      <c r="BW100" s="58">
        <f t="array" ref="BW100">SUM(IF(BS100:BT100&gt;=BT100, 1))</f>
        <v>1</v>
      </c>
      <c r="BY100" s="109">
        <f t="shared" si="77"/>
        <v>133619.12934552354</v>
      </c>
      <c r="BZ100" s="109">
        <f t="shared" si="78"/>
        <v>133878.61096219267</v>
      </c>
      <c r="CB100" s="58">
        <f t="array" ref="CB100">SUM(IF(BY100:BZ100&gt;=BY100, 1))</f>
        <v>2</v>
      </c>
      <c r="CC100" s="58">
        <f t="array" ref="CC100">SUM(IF(BY100:BZ100&gt;=BZ100, 1))</f>
        <v>1</v>
      </c>
      <c r="CE100" s="109">
        <f t="shared" si="79"/>
        <v>86908.994321457139</v>
      </c>
      <c r="CF100" s="109">
        <f t="shared" si="80"/>
        <v>91137.889325700671</v>
      </c>
      <c r="CH100" s="58">
        <f t="array" ref="CH100">SUM(IF(CE100:CF100&gt;=CE100, 1))</f>
        <v>2</v>
      </c>
      <c r="CI100" s="58">
        <f t="array" ref="CI100">SUM(IF(CE100:CF100&gt;=CF100, 1))</f>
        <v>1</v>
      </c>
      <c r="CK100" s="109">
        <f t="shared" si="81"/>
        <v>50510.241542623597</v>
      </c>
      <c r="CL100" s="109">
        <f t="shared" si="82"/>
        <v>51491.980724429959</v>
      </c>
      <c r="CN100" s="58">
        <f t="array" ref="CN100">SUM(IF(CK100:CL100&gt;=CK100, 1))</f>
        <v>2</v>
      </c>
      <c r="CO100" s="58">
        <f t="array" ref="CO100">SUM(IF(CK100:CL100&gt;=CL100, 1))</f>
        <v>1</v>
      </c>
      <c r="CQ100" s="109" cm="1">
        <f t="array" ref="CQ100">AF100*WTP-AC100</f>
        <v>32395.151429751349</v>
      </c>
      <c r="CR100" s="109">
        <f t="shared" si="83"/>
        <v>33888.923925550807</v>
      </c>
      <c r="CT100" s="58">
        <f t="array" ref="CT100">SUM(IF(CQ100:CR100&gt;=CQ100, 1))</f>
        <v>2</v>
      </c>
      <c r="CU100" s="58">
        <f t="array" ref="CU100">SUM(IF(CQ100:CR100&gt;=CR100, 1))</f>
        <v>1</v>
      </c>
      <c r="CW100" s="109">
        <f t="shared" si="84"/>
        <v>-34956946.795155905</v>
      </c>
      <c r="CX100" s="109">
        <f t="shared" si="85"/>
        <v>0</v>
      </c>
      <c r="CZ100" s="58">
        <f t="array" ref="CZ100">SUM(IF(CW100:CX100&gt;=CW100, 1))</f>
        <v>2</v>
      </c>
      <c r="DA100" s="58">
        <f t="array" ref="DA100">SUM(IF(CW100:CX100&gt;=CX100, 1))</f>
        <v>1</v>
      </c>
      <c r="DC100" s="109">
        <f t="shared" si="86"/>
        <v>-1718121.5759745541</v>
      </c>
      <c r="DD100" s="109">
        <f t="shared" si="87"/>
        <v>0</v>
      </c>
      <c r="DF100" s="58">
        <f t="array" ref="DF100">SUM(IF(DC100:DD100&gt;=DC100, 1))</f>
        <v>2</v>
      </c>
      <c r="DG100" s="58">
        <f t="array" ref="DG100">SUM(IF(DC100:DD100&gt;=DD100, 1))</f>
        <v>1</v>
      </c>
      <c r="DI100" s="109">
        <f t="shared" si="88"/>
        <v>-97150951.283761889</v>
      </c>
      <c r="DJ100" s="109">
        <f t="shared" si="89"/>
        <v>0</v>
      </c>
      <c r="DL100" s="58">
        <f t="array" ref="DL100">SUM(IF(DI100:DJ100&gt;=DI100, 1))</f>
        <v>2</v>
      </c>
      <c r="DM100" s="58">
        <f t="array" ref="DM100">SUM(IF(DI100:DJ100&gt;=DJ100, 1))</f>
        <v>1</v>
      </c>
      <c r="DO100" s="109">
        <f t="shared" si="90"/>
        <v>-8742540.9124401752</v>
      </c>
      <c r="DP100" s="109">
        <f t="shared" si="91"/>
        <v>0</v>
      </c>
      <c r="DR100" s="58">
        <f t="array" ref="DR100">SUM(IF(DO100:DP100&gt;=DO100, 1))</f>
        <v>2</v>
      </c>
      <c r="DS100" s="58">
        <f t="array" ref="DS100">SUM(IF(DO100:DP100&gt;=DP100, 1))</f>
        <v>1</v>
      </c>
      <c r="DU100" s="109">
        <f t="shared" si="92"/>
        <v>-24425033.474187545</v>
      </c>
      <c r="DV100" s="109">
        <f t="shared" si="93"/>
        <v>0</v>
      </c>
      <c r="DX100" s="58">
        <f t="array" ref="DX100">SUM(IF(DU100:DV100&gt;=DU100, 1))</f>
        <v>2</v>
      </c>
      <c r="DY100" s="58">
        <f t="array" ref="DY100">SUM(IF(DU100:DV100&gt;=DV100, 1))</f>
        <v>1</v>
      </c>
      <c r="EA100" s="109">
        <f t="shared" si="94"/>
        <v>-166993594.04152006</v>
      </c>
      <c r="EB100" s="109">
        <f t="shared" si="95"/>
        <v>0</v>
      </c>
      <c r="ED100" s="58">
        <f t="array" ref="ED100">SUM(IF(EA100:EB100&gt;=EA100, 1))</f>
        <v>2</v>
      </c>
      <c r="EE100" s="58">
        <f t="array" ref="EE100">SUM(IF(EA100:EB100&gt;=EB100, 1))</f>
        <v>1</v>
      </c>
    </row>
    <row r="101" spans="4:135" ht="12" customHeight="1" x14ac:dyDescent="0.25">
      <c r="D101" s="11">
        <v>85</v>
      </c>
      <c r="E101" s="72">
        <v>263.75024018736696</v>
      </c>
      <c r="F101" s="72">
        <v>243.97956210062762</v>
      </c>
      <c r="G101" s="73"/>
      <c r="H101" s="74">
        <v>5.8631153489666223</v>
      </c>
      <c r="I101" s="74">
        <v>5.8771670769109363</v>
      </c>
      <c r="J101" s="73"/>
      <c r="K101" s="72">
        <v>283.34895715501932</v>
      </c>
      <c r="L101" s="72">
        <v>263.09626558823624</v>
      </c>
      <c r="M101" s="73"/>
      <c r="N101" s="74">
        <v>6.6982255184375337</v>
      </c>
      <c r="O101" s="74">
        <v>6.7103995623884121</v>
      </c>
      <c r="P101" s="73"/>
      <c r="Q101" s="72">
        <v>1758.6602074640609</v>
      </c>
      <c r="R101" s="72">
        <v>1363.4586985472354</v>
      </c>
      <c r="S101" s="73"/>
      <c r="T101" s="74">
        <v>4.8220733269158158</v>
      </c>
      <c r="U101" s="74">
        <v>4.861714400459439</v>
      </c>
      <c r="V101" s="73"/>
      <c r="W101" s="72">
        <v>11630.380742141155</v>
      </c>
      <c r="X101" s="72">
        <v>11589.742146511284</v>
      </c>
      <c r="Y101" s="73"/>
      <c r="Z101" s="74">
        <v>3.1063259844348239</v>
      </c>
      <c r="AA101" s="74">
        <v>3.1378038976925273</v>
      </c>
      <c r="AB101" s="73"/>
      <c r="AC101" s="72">
        <v>48814.389389842661</v>
      </c>
      <c r="AD101" s="72">
        <v>48773.324764001773</v>
      </c>
      <c r="AE101" s="73"/>
      <c r="AF101" s="74">
        <v>4.7114788642810517</v>
      </c>
      <c r="AG101" s="74">
        <v>4.8063137959239368</v>
      </c>
      <c r="AH101" s="73"/>
      <c r="AI101" s="72">
        <v>2140074.078932913</v>
      </c>
      <c r="AJ101" s="72">
        <v>0</v>
      </c>
      <c r="AK101" s="73"/>
      <c r="AL101" s="74">
        <v>-1521.0271800446455</v>
      </c>
      <c r="AM101" s="74">
        <v>0</v>
      </c>
      <c r="AN101" s="73"/>
      <c r="AO101" s="72">
        <v>145157.56066436763</v>
      </c>
      <c r="AP101" s="72">
        <v>0</v>
      </c>
      <c r="AQ101" s="73"/>
      <c r="AR101" s="74">
        <v>-87.255292339940667</v>
      </c>
      <c r="AS101" s="74">
        <v>0</v>
      </c>
      <c r="AT101" s="73"/>
      <c r="AU101" s="72">
        <v>9258434.4015707187</v>
      </c>
      <c r="AV101" s="72">
        <v>0</v>
      </c>
      <c r="AW101" s="73"/>
      <c r="AX101" s="74">
        <v>-928.67631001054269</v>
      </c>
      <c r="AY101" s="74">
        <v>0</v>
      </c>
      <c r="AZ101" s="73"/>
      <c r="BA101" s="72">
        <v>355652.01879657654</v>
      </c>
      <c r="BB101" s="72">
        <v>0</v>
      </c>
      <c r="BC101" s="73"/>
      <c r="BD101" s="74">
        <v>-275.48155205877401</v>
      </c>
      <c r="BE101" s="74">
        <v>0</v>
      </c>
      <c r="BF101" s="73"/>
      <c r="BG101" s="72">
        <v>639181.47646095848</v>
      </c>
      <c r="BH101" s="72">
        <v>0</v>
      </c>
      <c r="BI101" s="73"/>
      <c r="BJ101" s="74">
        <v>-1476.1301335714659</v>
      </c>
      <c r="BK101" s="74">
        <v>0</v>
      </c>
      <c r="BL101" s="73"/>
      <c r="BM101" s="72">
        <v>12538499.536425535</v>
      </c>
      <c r="BN101" s="72">
        <v>0</v>
      </c>
      <c r="BO101" s="73"/>
      <c r="BP101" s="74">
        <v>-4288.5704680253684</v>
      </c>
      <c r="BQ101" s="74">
        <v>0</v>
      </c>
      <c r="BS101" s="109">
        <f t="shared" si="75"/>
        <v>116998.55673914509</v>
      </c>
      <c r="BT101" s="109">
        <f t="shared" si="76"/>
        <v>117299.36197611809</v>
      </c>
      <c r="BV101" s="58">
        <f t="array" ref="BV101">SUM(IF(BS101:BT101&gt;=BS101, 1))</f>
        <v>2</v>
      </c>
      <c r="BW101" s="58">
        <f t="array" ref="BW101">SUM(IF(BS101:BT101&gt;=BT101, 1))</f>
        <v>1</v>
      </c>
      <c r="BY101" s="109">
        <f t="shared" si="77"/>
        <v>133681.16141159565</v>
      </c>
      <c r="BZ101" s="109">
        <f t="shared" si="78"/>
        <v>133944.89498218001</v>
      </c>
      <c r="CB101" s="58">
        <f t="array" ref="CB101">SUM(IF(BY101:BZ101&gt;=BY101, 1))</f>
        <v>2</v>
      </c>
      <c r="CC101" s="58">
        <f t="array" ref="CC101">SUM(IF(BY101:BZ101&gt;=BZ101, 1))</f>
        <v>1</v>
      </c>
      <c r="CE101" s="109">
        <f t="shared" si="79"/>
        <v>94682.806330852269</v>
      </c>
      <c r="CF101" s="109">
        <f t="shared" si="80"/>
        <v>95870.829310641537</v>
      </c>
      <c r="CH101" s="58">
        <f t="array" ref="CH101">SUM(IF(CE101:CF101&gt;=CE101, 1))</f>
        <v>2</v>
      </c>
      <c r="CI101" s="58">
        <f t="array" ref="CI101">SUM(IF(CE101:CF101&gt;=CF101, 1))</f>
        <v>1</v>
      </c>
      <c r="CK101" s="109">
        <f t="shared" si="81"/>
        <v>50496.138946555322</v>
      </c>
      <c r="CL101" s="109">
        <f t="shared" si="82"/>
        <v>51166.335807339259</v>
      </c>
      <c r="CN101" s="58">
        <f t="array" ref="CN101">SUM(IF(CK101:CL101&gt;=CK101, 1))</f>
        <v>2</v>
      </c>
      <c r="CO101" s="58">
        <f t="array" ref="CO101">SUM(IF(CK101:CL101&gt;=CL101, 1))</f>
        <v>1</v>
      </c>
      <c r="CQ101" s="109" cm="1">
        <f t="array" ref="CQ101">AF101*WTP-AC101</f>
        <v>45415.187895778377</v>
      </c>
      <c r="CR101" s="109">
        <f t="shared" si="83"/>
        <v>47352.95115447697</v>
      </c>
      <c r="CT101" s="58">
        <f t="array" ref="CT101">SUM(IF(CQ101:CR101&gt;=CQ101, 1))</f>
        <v>2</v>
      </c>
      <c r="CU101" s="58">
        <f t="array" ref="CU101">SUM(IF(CQ101:CR101&gt;=CR101, 1))</f>
        <v>1</v>
      </c>
      <c r="CW101" s="109">
        <f t="shared" si="84"/>
        <v>-32560617.679825827</v>
      </c>
      <c r="CX101" s="109">
        <f t="shared" si="85"/>
        <v>0</v>
      </c>
      <c r="CZ101" s="58">
        <f t="array" ref="CZ101">SUM(IF(CW101:CX101&gt;=CW101, 1))</f>
        <v>2</v>
      </c>
      <c r="DA101" s="58">
        <f t="array" ref="DA101">SUM(IF(CW101:CX101&gt;=CX101, 1))</f>
        <v>1</v>
      </c>
      <c r="DC101" s="109">
        <f t="shared" si="86"/>
        <v>-1890263.4074631811</v>
      </c>
      <c r="DD101" s="109">
        <f t="shared" si="87"/>
        <v>0</v>
      </c>
      <c r="DF101" s="58">
        <f t="array" ref="DF101">SUM(IF(DC101:DD101&gt;=DC101, 1))</f>
        <v>2</v>
      </c>
      <c r="DG101" s="58">
        <f t="array" ref="DG101">SUM(IF(DC101:DD101&gt;=DD101, 1))</f>
        <v>1</v>
      </c>
      <c r="DI101" s="109">
        <f t="shared" si="88"/>
        <v>-27831960.601781573</v>
      </c>
      <c r="DJ101" s="109">
        <f t="shared" si="89"/>
        <v>0</v>
      </c>
      <c r="DL101" s="58">
        <f t="array" ref="DL101">SUM(IF(DI101:DJ101&gt;=DI101, 1))</f>
        <v>2</v>
      </c>
      <c r="DM101" s="58">
        <f t="array" ref="DM101">SUM(IF(DI101:DJ101&gt;=DJ101, 1))</f>
        <v>1</v>
      </c>
      <c r="DO101" s="109">
        <f t="shared" si="90"/>
        <v>-5865283.0599720562</v>
      </c>
      <c r="DP101" s="109">
        <f t="shared" si="91"/>
        <v>0</v>
      </c>
      <c r="DR101" s="58">
        <f t="array" ref="DR101">SUM(IF(DO101:DP101&gt;=DO101, 1))</f>
        <v>2</v>
      </c>
      <c r="DS101" s="58">
        <f t="array" ref="DS101">SUM(IF(DO101:DP101&gt;=DP101, 1))</f>
        <v>1</v>
      </c>
      <c r="DU101" s="109">
        <f t="shared" si="92"/>
        <v>-30161784.147890277</v>
      </c>
      <c r="DV101" s="109">
        <f t="shared" si="93"/>
        <v>0</v>
      </c>
      <c r="DX101" s="58">
        <f t="array" ref="DX101">SUM(IF(DU101:DV101&gt;=DU101, 1))</f>
        <v>2</v>
      </c>
      <c r="DY101" s="58">
        <f t="array" ref="DY101">SUM(IF(DU101:DV101&gt;=DV101, 1))</f>
        <v>1</v>
      </c>
      <c r="EA101" s="109">
        <f t="shared" si="94"/>
        <v>-98309908.8969329</v>
      </c>
      <c r="EB101" s="109">
        <f t="shared" si="95"/>
        <v>0</v>
      </c>
      <c r="ED101" s="58">
        <f t="array" ref="ED101">SUM(IF(EA101:EB101&gt;=EA101, 1))</f>
        <v>2</v>
      </c>
      <c r="EE101" s="58">
        <f t="array" ref="EE101">SUM(IF(EA101:EB101&gt;=EB101, 1))</f>
        <v>1</v>
      </c>
    </row>
    <row r="102" spans="4:135" ht="12" customHeight="1" x14ac:dyDescent="0.25">
      <c r="D102" s="11">
        <v>86</v>
      </c>
      <c r="E102" s="72">
        <v>238.0592641239451</v>
      </c>
      <c r="F102" s="72">
        <v>211.2172065898221</v>
      </c>
      <c r="G102" s="73"/>
      <c r="H102" s="74">
        <v>5.8233817618808938</v>
      </c>
      <c r="I102" s="74">
        <v>5.8444556822690492</v>
      </c>
      <c r="J102" s="73"/>
      <c r="K102" s="72">
        <v>255.27434358685031</v>
      </c>
      <c r="L102" s="72">
        <v>227.79588369164293</v>
      </c>
      <c r="M102" s="73"/>
      <c r="N102" s="74">
        <v>6.7570338854928949</v>
      </c>
      <c r="O102" s="74">
        <v>6.7758353632662702</v>
      </c>
      <c r="P102" s="73"/>
      <c r="Q102" s="72">
        <v>3925.7632131526079</v>
      </c>
      <c r="R102" s="72">
        <v>1620.9181212955984</v>
      </c>
      <c r="S102" s="73"/>
      <c r="T102" s="74">
        <v>4.930019253906857</v>
      </c>
      <c r="U102" s="74">
        <v>5.0642074820484577</v>
      </c>
      <c r="V102" s="73"/>
      <c r="W102" s="72">
        <v>13256.659246852525</v>
      </c>
      <c r="X102" s="72">
        <v>13169.729132166211</v>
      </c>
      <c r="Y102" s="73"/>
      <c r="Z102" s="74">
        <v>3.1514414961269841</v>
      </c>
      <c r="AA102" s="74">
        <v>3.1886447150923991</v>
      </c>
      <c r="AB102" s="73"/>
      <c r="AC102" s="72">
        <v>50041.160326665158</v>
      </c>
      <c r="AD102" s="72">
        <v>49965.722066981638</v>
      </c>
      <c r="AE102" s="73"/>
      <c r="AF102" s="74">
        <v>4.8802036977783825</v>
      </c>
      <c r="AG102" s="74">
        <v>4.993270439559935</v>
      </c>
      <c r="AH102" s="73"/>
      <c r="AI102" s="72">
        <v>2878131.2414815598</v>
      </c>
      <c r="AJ102" s="72">
        <v>0</v>
      </c>
      <c r="AK102" s="73"/>
      <c r="AL102" s="74">
        <v>-2259.6445362856148</v>
      </c>
      <c r="AM102" s="74">
        <v>0</v>
      </c>
      <c r="AN102" s="73"/>
      <c r="AO102" s="72">
        <v>188584.02164879133</v>
      </c>
      <c r="AP102" s="72">
        <v>0</v>
      </c>
      <c r="AQ102" s="73"/>
      <c r="AR102" s="74">
        <v>-129.03409816144398</v>
      </c>
      <c r="AS102" s="74">
        <v>0</v>
      </c>
      <c r="AT102" s="73"/>
      <c r="AU102" s="72">
        <v>53496353.622719124</v>
      </c>
      <c r="AV102" s="72">
        <v>0</v>
      </c>
      <c r="AW102" s="73"/>
      <c r="AX102" s="74">
        <v>-3114.5611173744478</v>
      </c>
      <c r="AY102" s="74">
        <v>0</v>
      </c>
      <c r="AZ102" s="73"/>
      <c r="BA102" s="72">
        <v>776177.80642298656</v>
      </c>
      <c r="BB102" s="72">
        <v>0</v>
      </c>
      <c r="BC102" s="73"/>
      <c r="BD102" s="74">
        <v>-332.17847454417205</v>
      </c>
      <c r="BE102" s="74">
        <v>0</v>
      </c>
      <c r="BF102" s="73"/>
      <c r="BG102" s="72">
        <v>1207367.6729254576</v>
      </c>
      <c r="BH102" s="72">
        <v>0</v>
      </c>
      <c r="BI102" s="73"/>
      <c r="BJ102" s="74">
        <v>-1809.600718292794</v>
      </c>
      <c r="BK102" s="74">
        <v>0</v>
      </c>
      <c r="BL102" s="73"/>
      <c r="BM102" s="72">
        <v>58546614.365197919</v>
      </c>
      <c r="BN102" s="72">
        <v>0</v>
      </c>
      <c r="BO102" s="73"/>
      <c r="BP102" s="74">
        <v>-7645.0189446584727</v>
      </c>
      <c r="BQ102" s="74">
        <v>0</v>
      </c>
      <c r="BS102" s="109">
        <f t="shared" si="75"/>
        <v>116229.57597349393</v>
      </c>
      <c r="BT102" s="109">
        <f t="shared" si="76"/>
        <v>116677.89643879117</v>
      </c>
      <c r="BV102" s="58">
        <f t="array" ref="BV102">SUM(IF(BS102:BT102&gt;=BS102, 1))</f>
        <v>2</v>
      </c>
      <c r="BW102" s="58">
        <f t="array" ref="BW102">SUM(IF(BS102:BT102&gt;=BT102, 1))</f>
        <v>1</v>
      </c>
      <c r="BY102" s="109">
        <f t="shared" si="77"/>
        <v>134885.40336627106</v>
      </c>
      <c r="BZ102" s="109">
        <f t="shared" si="78"/>
        <v>135288.91138163378</v>
      </c>
      <c r="CB102" s="58">
        <f t="array" ref="CB102">SUM(IF(BY102:BZ102&gt;=BY102, 1))</f>
        <v>2</v>
      </c>
      <c r="CC102" s="58">
        <f t="array" ref="CC102">SUM(IF(BY102:BZ102&gt;=BZ102, 1))</f>
        <v>1</v>
      </c>
      <c r="CE102" s="109">
        <f t="shared" si="79"/>
        <v>94674.62186498454</v>
      </c>
      <c r="CF102" s="109">
        <f t="shared" si="80"/>
        <v>99663.231519673558</v>
      </c>
      <c r="CH102" s="58">
        <f t="array" ref="CH102">SUM(IF(CE102:CF102&gt;=CE102, 1))</f>
        <v>2</v>
      </c>
      <c r="CI102" s="58">
        <f t="array" ref="CI102">SUM(IF(CE102:CF102&gt;=CF102, 1))</f>
        <v>1</v>
      </c>
      <c r="CK102" s="109">
        <f t="shared" si="81"/>
        <v>49772.170675687157</v>
      </c>
      <c r="CL102" s="109">
        <f t="shared" si="82"/>
        <v>50603.165169681772</v>
      </c>
      <c r="CN102" s="58">
        <f t="array" ref="CN102">SUM(IF(CK102:CL102&gt;=CK102, 1))</f>
        <v>2</v>
      </c>
      <c r="CO102" s="58">
        <f t="array" ref="CO102">SUM(IF(CK102:CL102&gt;=CL102, 1))</f>
        <v>1</v>
      </c>
      <c r="CQ102" s="109" cm="1">
        <f t="array" ref="CQ102">AF102*WTP-AC102</f>
        <v>47562.913628902497</v>
      </c>
      <c r="CR102" s="109">
        <f t="shared" si="83"/>
        <v>49899.686724217063</v>
      </c>
      <c r="CT102" s="58">
        <f t="array" ref="CT102">SUM(IF(CQ102:CR102&gt;=CQ102, 1))</f>
        <v>2</v>
      </c>
      <c r="CU102" s="58">
        <f t="array" ref="CU102">SUM(IF(CQ102:CR102&gt;=CR102, 1))</f>
        <v>1</v>
      </c>
      <c r="CW102" s="109">
        <f t="shared" si="84"/>
        <v>-48071021.967193849</v>
      </c>
      <c r="CX102" s="109">
        <f t="shared" si="85"/>
        <v>0</v>
      </c>
      <c r="CZ102" s="58">
        <f t="array" ref="CZ102">SUM(IF(CW102:CX102&gt;=CW102, 1))</f>
        <v>2</v>
      </c>
      <c r="DA102" s="58">
        <f t="array" ref="DA102">SUM(IF(CW102:CX102&gt;=CX102, 1))</f>
        <v>1</v>
      </c>
      <c r="DC102" s="109">
        <f t="shared" si="86"/>
        <v>-2769265.9848776706</v>
      </c>
      <c r="DD102" s="109">
        <f t="shared" si="87"/>
        <v>0</v>
      </c>
      <c r="DF102" s="58">
        <f t="array" ref="DF102">SUM(IF(DC102:DD102&gt;=DC102, 1))</f>
        <v>2</v>
      </c>
      <c r="DG102" s="58">
        <f t="array" ref="DG102">SUM(IF(DC102:DD102&gt;=DD102, 1))</f>
        <v>1</v>
      </c>
      <c r="DI102" s="109">
        <f t="shared" si="88"/>
        <v>-115787575.97020808</v>
      </c>
      <c r="DJ102" s="109">
        <f t="shared" si="89"/>
        <v>0</v>
      </c>
      <c r="DL102" s="58">
        <f t="array" ref="DL102">SUM(IF(DI102:DJ102&gt;=DI102, 1))</f>
        <v>2</v>
      </c>
      <c r="DM102" s="58">
        <f t="array" ref="DM102">SUM(IF(DI102:DJ102&gt;=DJ102, 1))</f>
        <v>1</v>
      </c>
      <c r="DO102" s="109">
        <f t="shared" si="90"/>
        <v>-7419747.2973064277</v>
      </c>
      <c r="DP102" s="109">
        <f t="shared" si="91"/>
        <v>0</v>
      </c>
      <c r="DR102" s="58">
        <f t="array" ref="DR102">SUM(IF(DO102:DP102&gt;=DO102, 1))</f>
        <v>2</v>
      </c>
      <c r="DS102" s="58">
        <f t="array" ref="DS102">SUM(IF(DO102:DP102&gt;=DP102, 1))</f>
        <v>1</v>
      </c>
      <c r="DU102" s="109">
        <f t="shared" si="92"/>
        <v>-37399382.038781337</v>
      </c>
      <c r="DV102" s="109">
        <f t="shared" si="93"/>
        <v>0</v>
      </c>
      <c r="DX102" s="58">
        <f t="array" ref="DX102">SUM(IF(DU102:DV102&gt;=DU102, 1))</f>
        <v>2</v>
      </c>
      <c r="DY102" s="58">
        <f t="array" ref="DY102">SUM(IF(DU102:DV102&gt;=DV102, 1))</f>
        <v>1</v>
      </c>
      <c r="EA102" s="109">
        <f t="shared" si="94"/>
        <v>-211446993.25836739</v>
      </c>
      <c r="EB102" s="109">
        <f t="shared" si="95"/>
        <v>0</v>
      </c>
      <c r="ED102" s="58">
        <f t="array" ref="ED102">SUM(IF(EA102:EB102&gt;=EA102, 1))</f>
        <v>2</v>
      </c>
      <c r="EE102" s="58">
        <f t="array" ref="EE102">SUM(IF(EA102:EB102&gt;=EB102, 1))</f>
        <v>1</v>
      </c>
    </row>
    <row r="103" spans="4:135" ht="12" customHeight="1" x14ac:dyDescent="0.25">
      <c r="D103" s="11">
        <v>87</v>
      </c>
      <c r="E103" s="72">
        <v>274.96340547417054</v>
      </c>
      <c r="F103" s="72">
        <v>255.88856964347866</v>
      </c>
      <c r="G103" s="73"/>
      <c r="H103" s="74">
        <v>5.7869452248211557</v>
      </c>
      <c r="I103" s="74">
        <v>5.8048767621140991</v>
      </c>
      <c r="J103" s="73"/>
      <c r="K103" s="72">
        <v>295.49604004860811</v>
      </c>
      <c r="L103" s="72">
        <v>275.95499431102434</v>
      </c>
      <c r="M103" s="73"/>
      <c r="N103" s="74">
        <v>6.6983200713173705</v>
      </c>
      <c r="O103" s="74">
        <v>6.7141563641136086</v>
      </c>
      <c r="P103" s="73"/>
      <c r="Q103" s="72">
        <v>1507.1068527248467</v>
      </c>
      <c r="R103" s="72">
        <v>1013.7345363814334</v>
      </c>
      <c r="S103" s="73"/>
      <c r="T103" s="74">
        <v>4.7720243267838924</v>
      </c>
      <c r="U103" s="74">
        <v>4.8435573193945061</v>
      </c>
      <c r="V103" s="73"/>
      <c r="W103" s="72">
        <v>12524.574974245283</v>
      </c>
      <c r="X103" s="72">
        <v>12559.829422325116</v>
      </c>
      <c r="Y103" s="73"/>
      <c r="Z103" s="74">
        <v>3.0269960061265939</v>
      </c>
      <c r="AA103" s="74">
        <v>3.1022797254525267</v>
      </c>
      <c r="AB103" s="73"/>
      <c r="AC103" s="72">
        <v>50570.871812874349</v>
      </c>
      <c r="AD103" s="72">
        <v>50310.492587344525</v>
      </c>
      <c r="AE103" s="73"/>
      <c r="AF103" s="74">
        <v>4.9442924958630776</v>
      </c>
      <c r="AG103" s="74">
        <v>5.0564486838394256</v>
      </c>
      <c r="AH103" s="73"/>
      <c r="AI103" s="72">
        <v>2054658.8509273361</v>
      </c>
      <c r="AJ103" s="72">
        <v>0</v>
      </c>
      <c r="AK103" s="73"/>
      <c r="AL103" s="74">
        <v>-1931.5076751747522</v>
      </c>
      <c r="AM103" s="74">
        <v>0</v>
      </c>
      <c r="AN103" s="73"/>
      <c r="AO103" s="72">
        <v>136523.92386797391</v>
      </c>
      <c r="AP103" s="72">
        <v>0</v>
      </c>
      <c r="AQ103" s="73"/>
      <c r="AR103" s="74">
        <v>-110.64059012493193</v>
      </c>
      <c r="AS103" s="74">
        <v>0</v>
      </c>
      <c r="AT103" s="73"/>
      <c r="AU103" s="72">
        <v>11444176.55802197</v>
      </c>
      <c r="AV103" s="72">
        <v>0</v>
      </c>
      <c r="AW103" s="73"/>
      <c r="AX103" s="74">
        <v>-1659.2665823384566</v>
      </c>
      <c r="AY103" s="74">
        <v>0</v>
      </c>
      <c r="AZ103" s="73"/>
      <c r="BA103" s="72">
        <v>-319875.2702613346</v>
      </c>
      <c r="BB103" s="72">
        <v>0</v>
      </c>
      <c r="BC103" s="73"/>
      <c r="BD103" s="74">
        <v>-683.07409071130962</v>
      </c>
      <c r="BE103" s="74">
        <v>0</v>
      </c>
      <c r="BF103" s="73"/>
      <c r="BG103" s="72">
        <v>4156494.3699765569</v>
      </c>
      <c r="BH103" s="72">
        <v>0</v>
      </c>
      <c r="BI103" s="73"/>
      <c r="BJ103" s="74">
        <v>-1790.3754146788679</v>
      </c>
      <c r="BK103" s="74">
        <v>0</v>
      </c>
      <c r="BL103" s="73"/>
      <c r="BM103" s="72">
        <v>17471978.432532504</v>
      </c>
      <c r="BN103" s="72">
        <v>0</v>
      </c>
      <c r="BO103" s="73"/>
      <c r="BP103" s="74">
        <v>-6174.864353028318</v>
      </c>
      <c r="BQ103" s="74">
        <v>0</v>
      </c>
      <c r="BS103" s="109">
        <f t="shared" si="75"/>
        <v>115463.94109094894</v>
      </c>
      <c r="BT103" s="109">
        <f t="shared" si="76"/>
        <v>115841.64667263851</v>
      </c>
      <c r="BV103" s="58">
        <f t="array" ref="BV103">SUM(IF(BS103:BT103&gt;=BS103, 1))</f>
        <v>2</v>
      </c>
      <c r="BW103" s="58">
        <f t="array" ref="BW103">SUM(IF(BS103:BT103&gt;=BT103, 1))</f>
        <v>1</v>
      </c>
      <c r="BY103" s="109">
        <f t="shared" si="77"/>
        <v>133670.90538629881</v>
      </c>
      <c r="BZ103" s="109">
        <f t="shared" si="78"/>
        <v>134007.17228796115</v>
      </c>
      <c r="CB103" s="58">
        <f t="array" ref="CB103">SUM(IF(BY103:BZ103&gt;=BY103, 1))</f>
        <v>2</v>
      </c>
      <c r="CC103" s="58">
        <f t="array" ref="CC103">SUM(IF(BY103:BZ103&gt;=BZ103, 1))</f>
        <v>1</v>
      </c>
      <c r="CE103" s="109">
        <f t="shared" si="79"/>
        <v>93933.379682953004</v>
      </c>
      <c r="CF103" s="109">
        <f t="shared" si="80"/>
        <v>95857.411851508688</v>
      </c>
      <c r="CH103" s="58">
        <f t="array" ref="CH103">SUM(IF(CE103:CF103&gt;=CE103, 1))</f>
        <v>2</v>
      </c>
      <c r="CI103" s="58">
        <f t="array" ref="CI103">SUM(IF(CE103:CF103&gt;=CF103, 1))</f>
        <v>1</v>
      </c>
      <c r="CK103" s="109">
        <f t="shared" si="81"/>
        <v>48015.345148286593</v>
      </c>
      <c r="CL103" s="109">
        <f t="shared" si="82"/>
        <v>49485.76508672542</v>
      </c>
      <c r="CN103" s="58">
        <f t="array" ref="CN103">SUM(IF(CK103:CL103&gt;=CK103, 1))</f>
        <v>2</v>
      </c>
      <c r="CO103" s="58">
        <f t="array" ref="CO103">SUM(IF(CK103:CL103&gt;=CL103, 1))</f>
        <v>1</v>
      </c>
      <c r="CQ103" s="109" cm="1">
        <f t="array" ref="CQ103">AF103*WTP-AC103</f>
        <v>48314.978104387206</v>
      </c>
      <c r="CR103" s="109">
        <f t="shared" si="83"/>
        <v>50818.481089443994</v>
      </c>
      <c r="CT103" s="58">
        <f t="array" ref="CT103">SUM(IF(CQ103:CR103&gt;=CQ103, 1))</f>
        <v>2</v>
      </c>
      <c r="CU103" s="58">
        <f t="array" ref="CU103">SUM(IF(CQ103:CR103&gt;=CR103, 1))</f>
        <v>1</v>
      </c>
      <c r="CW103" s="109">
        <f t="shared" si="84"/>
        <v>-40684812.354422383</v>
      </c>
      <c r="CX103" s="109">
        <f t="shared" si="85"/>
        <v>0</v>
      </c>
      <c r="CZ103" s="58">
        <f t="array" ref="CZ103">SUM(IF(CW103:CX103&gt;=CW103, 1))</f>
        <v>2</v>
      </c>
      <c r="DA103" s="58">
        <f t="array" ref="DA103">SUM(IF(CW103:CX103&gt;=CX103, 1))</f>
        <v>1</v>
      </c>
      <c r="DC103" s="109">
        <f t="shared" si="86"/>
        <v>-2349335.7263666126</v>
      </c>
      <c r="DD103" s="109">
        <f t="shared" si="87"/>
        <v>0</v>
      </c>
      <c r="DF103" s="58">
        <f t="array" ref="DF103">SUM(IF(DC103:DD103&gt;=DC103, 1))</f>
        <v>2</v>
      </c>
      <c r="DG103" s="58">
        <f t="array" ref="DG103">SUM(IF(DC103:DD103&gt;=DD103, 1))</f>
        <v>1</v>
      </c>
      <c r="DI103" s="109">
        <f t="shared" si="88"/>
        <v>-44629508.204791099</v>
      </c>
      <c r="DJ103" s="109">
        <f t="shared" si="89"/>
        <v>0</v>
      </c>
      <c r="DL103" s="58">
        <f t="array" ref="DL103">SUM(IF(DI103:DJ103&gt;=DI103, 1))</f>
        <v>2</v>
      </c>
      <c r="DM103" s="58">
        <f t="array" ref="DM103">SUM(IF(DI103:DJ103&gt;=DJ103, 1))</f>
        <v>1</v>
      </c>
      <c r="DO103" s="109">
        <f t="shared" si="90"/>
        <v>-13341606.543964859</v>
      </c>
      <c r="DP103" s="109">
        <f t="shared" si="91"/>
        <v>0</v>
      </c>
      <c r="DR103" s="58">
        <f t="array" ref="DR103">SUM(IF(DO103:DP103&gt;=DO103, 1))</f>
        <v>2</v>
      </c>
      <c r="DS103" s="58">
        <f t="array" ref="DS103">SUM(IF(DO103:DP103&gt;=DP103, 1))</f>
        <v>1</v>
      </c>
      <c r="DU103" s="109">
        <f t="shared" si="92"/>
        <v>-39964002.663553916</v>
      </c>
      <c r="DV103" s="109">
        <f t="shared" si="93"/>
        <v>0</v>
      </c>
      <c r="DX103" s="58">
        <f t="array" ref="DX103">SUM(IF(DU103:DV103&gt;=DU103, 1))</f>
        <v>2</v>
      </c>
      <c r="DY103" s="58">
        <f t="array" ref="DY103">SUM(IF(DU103:DV103&gt;=DV103, 1))</f>
        <v>1</v>
      </c>
      <c r="EA103" s="109">
        <f t="shared" si="94"/>
        <v>-140969265.49309886</v>
      </c>
      <c r="EB103" s="109">
        <f t="shared" si="95"/>
        <v>0</v>
      </c>
      <c r="ED103" s="58">
        <f t="array" ref="ED103">SUM(IF(EA103:EB103&gt;=EA103, 1))</f>
        <v>2</v>
      </c>
      <c r="EE103" s="58">
        <f t="array" ref="EE103">SUM(IF(EA103:EB103&gt;=EB103, 1))</f>
        <v>1</v>
      </c>
    </row>
    <row r="104" spans="4:135" ht="12" customHeight="1" x14ac:dyDescent="0.25">
      <c r="D104" s="11">
        <v>88</v>
      </c>
      <c r="E104" s="72">
        <v>223.53605394707523</v>
      </c>
      <c r="F104" s="72">
        <v>194.24403950138432</v>
      </c>
      <c r="G104" s="73"/>
      <c r="H104" s="74">
        <v>5.7790316111046147</v>
      </c>
      <c r="I104" s="74">
        <v>5.7994447989213072</v>
      </c>
      <c r="J104" s="73"/>
      <c r="K104" s="72">
        <v>239.37983171798797</v>
      </c>
      <c r="L104" s="72">
        <v>209.38810002110483</v>
      </c>
      <c r="M104" s="73"/>
      <c r="N104" s="74">
        <v>6.7204011826778896</v>
      </c>
      <c r="O104" s="74">
        <v>6.7385433606371956</v>
      </c>
      <c r="P104" s="73"/>
      <c r="Q104" s="72">
        <v>1306.3202011822191</v>
      </c>
      <c r="R104" s="72">
        <v>1041.0202977949384</v>
      </c>
      <c r="S104" s="73"/>
      <c r="T104" s="74">
        <v>4.718804705461503</v>
      </c>
      <c r="U104" s="74">
        <v>4.7563400233173212</v>
      </c>
      <c r="V104" s="73"/>
      <c r="W104" s="72">
        <v>9170.706064130216</v>
      </c>
      <c r="X104" s="72">
        <v>9170.7929541062294</v>
      </c>
      <c r="Y104" s="73"/>
      <c r="Z104" s="74">
        <v>3.0583072176463575</v>
      </c>
      <c r="AA104" s="74">
        <v>3.1210881062498212</v>
      </c>
      <c r="AB104" s="73"/>
      <c r="AC104" s="72">
        <v>51011.021757825707</v>
      </c>
      <c r="AD104" s="72">
        <v>50785.868750613008</v>
      </c>
      <c r="AE104" s="73"/>
      <c r="AF104" s="74">
        <v>4.4304546782169156</v>
      </c>
      <c r="AG104" s="74">
        <v>4.5610388098335948</v>
      </c>
      <c r="AH104" s="73"/>
      <c r="AI104" s="72">
        <v>3175589.5861160867</v>
      </c>
      <c r="AJ104" s="72">
        <v>0</v>
      </c>
      <c r="AK104" s="73"/>
      <c r="AL104" s="74">
        <v>-2213.0231695163043</v>
      </c>
      <c r="AM104" s="74">
        <v>0</v>
      </c>
      <c r="AN104" s="73"/>
      <c r="AO104" s="72">
        <v>203415.95718489916</v>
      </c>
      <c r="AP104" s="72">
        <v>0</v>
      </c>
      <c r="AQ104" s="73"/>
      <c r="AR104" s="74">
        <v>-123.04752964279636</v>
      </c>
      <c r="AS104" s="74">
        <v>0</v>
      </c>
      <c r="AT104" s="73"/>
      <c r="AU104" s="72">
        <v>6170501.2824994717</v>
      </c>
      <c r="AV104" s="72">
        <v>0</v>
      </c>
      <c r="AW104" s="73"/>
      <c r="AX104" s="74">
        <v>-873.01851229944987</v>
      </c>
      <c r="AY104" s="74">
        <v>0</v>
      </c>
      <c r="AZ104" s="73"/>
      <c r="BA104" s="72">
        <v>-788.92269134980972</v>
      </c>
      <c r="BB104" s="72">
        <v>0</v>
      </c>
      <c r="BC104" s="73"/>
      <c r="BD104" s="74">
        <v>-570.02280210887375</v>
      </c>
      <c r="BE104" s="74">
        <v>0</v>
      </c>
      <c r="BF104" s="73"/>
      <c r="BG104" s="72">
        <v>3631216.9092531423</v>
      </c>
      <c r="BH104" s="72">
        <v>0</v>
      </c>
      <c r="BI104" s="73"/>
      <c r="BJ104" s="74">
        <v>-2106.0314169318322</v>
      </c>
      <c r="BK104" s="74">
        <v>0</v>
      </c>
      <c r="BL104" s="73"/>
      <c r="BM104" s="72">
        <v>13179934.812362252</v>
      </c>
      <c r="BN104" s="72">
        <v>0</v>
      </c>
      <c r="BO104" s="73"/>
      <c r="BP104" s="74">
        <v>-5885.1434304992563</v>
      </c>
      <c r="BQ104" s="74">
        <v>0</v>
      </c>
      <c r="BS104" s="109">
        <f t="shared" si="75"/>
        <v>115357.09616814522</v>
      </c>
      <c r="BT104" s="109">
        <f t="shared" si="76"/>
        <v>115794.65193892476</v>
      </c>
      <c r="BV104" s="58">
        <f t="array" ref="BV104">SUM(IF(BS104:BT104&gt;=BS104, 1))</f>
        <v>2</v>
      </c>
      <c r="BW104" s="58">
        <f t="array" ref="BW104">SUM(IF(BS104:BT104&gt;=BT104, 1))</f>
        <v>1</v>
      </c>
      <c r="BY104" s="109">
        <f t="shared" si="77"/>
        <v>134168.6438218398</v>
      </c>
      <c r="BZ104" s="109">
        <f t="shared" si="78"/>
        <v>134561.47911272279</v>
      </c>
      <c r="CB104" s="58">
        <f t="array" ref="CB104">SUM(IF(BY104:BZ104&gt;=BY104, 1))</f>
        <v>2</v>
      </c>
      <c r="CC104" s="58">
        <f t="array" ref="CC104">SUM(IF(BY104:BZ104&gt;=BZ104, 1))</f>
        <v>1</v>
      </c>
      <c r="CE104" s="109">
        <f t="shared" si="79"/>
        <v>93069.77390804785</v>
      </c>
      <c r="CF104" s="109">
        <f t="shared" si="80"/>
        <v>94085.780168551486</v>
      </c>
      <c r="CH104" s="58">
        <f t="array" ref="CH104">SUM(IF(CE104:CF104&gt;=CE104, 1))</f>
        <v>2</v>
      </c>
      <c r="CI104" s="58">
        <f t="array" ref="CI104">SUM(IF(CE104:CF104&gt;=CF104, 1))</f>
        <v>1</v>
      </c>
      <c r="CK104" s="109">
        <f t="shared" si="81"/>
        <v>51995.438288796933</v>
      </c>
      <c r="CL104" s="109">
        <f t="shared" si="82"/>
        <v>53250.969170890196</v>
      </c>
      <c r="CN104" s="58">
        <f t="array" ref="CN104">SUM(IF(CK104:CL104&gt;=CK104, 1))</f>
        <v>2</v>
      </c>
      <c r="CO104" s="58">
        <f t="array" ref="CO104">SUM(IF(CK104:CL104&gt;=CL104, 1))</f>
        <v>1</v>
      </c>
      <c r="CQ104" s="109" cm="1">
        <f t="array" ref="CQ104">AF104*WTP-AC104</f>
        <v>37598.071806512606</v>
      </c>
      <c r="CR104" s="109">
        <f t="shared" si="83"/>
        <v>40434.907446058889</v>
      </c>
      <c r="CT104" s="58">
        <f t="array" ref="CT104">SUM(IF(CQ104:CR104&gt;=CQ104, 1))</f>
        <v>2</v>
      </c>
      <c r="CU104" s="58">
        <f t="array" ref="CU104">SUM(IF(CQ104:CR104&gt;=CR104, 1))</f>
        <v>1</v>
      </c>
      <c r="CW104" s="109">
        <f t="shared" si="84"/>
        <v>-47436052.976442173</v>
      </c>
      <c r="CX104" s="109">
        <f t="shared" si="85"/>
        <v>0</v>
      </c>
      <c r="CZ104" s="58">
        <f t="array" ref="CZ104">SUM(IF(CW104:CX104&gt;=CW104, 1))</f>
        <v>2</v>
      </c>
      <c r="DA104" s="58">
        <f t="array" ref="DA104">SUM(IF(CW104:CX104&gt;=CX104, 1))</f>
        <v>1</v>
      </c>
      <c r="DC104" s="109">
        <f t="shared" si="86"/>
        <v>-2664366.5500408262</v>
      </c>
      <c r="DD104" s="109">
        <f t="shared" si="87"/>
        <v>0</v>
      </c>
      <c r="DF104" s="58">
        <f t="array" ref="DF104">SUM(IF(DC104:DD104&gt;=DC104, 1))</f>
        <v>2</v>
      </c>
      <c r="DG104" s="58">
        <f t="array" ref="DG104">SUM(IF(DC104:DD104&gt;=DD104, 1))</f>
        <v>1</v>
      </c>
      <c r="DI104" s="109">
        <f t="shared" si="88"/>
        <v>-23630871.528488472</v>
      </c>
      <c r="DJ104" s="109">
        <f t="shared" si="89"/>
        <v>0</v>
      </c>
      <c r="DL104" s="58">
        <f t="array" ref="DL104">SUM(IF(DI104:DJ104&gt;=DI104, 1))</f>
        <v>2</v>
      </c>
      <c r="DM104" s="58">
        <f t="array" ref="DM104">SUM(IF(DI104:DJ104&gt;=DJ104, 1))</f>
        <v>1</v>
      </c>
      <c r="DO104" s="109">
        <f t="shared" si="90"/>
        <v>-11399667.119486125</v>
      </c>
      <c r="DP104" s="109">
        <f t="shared" si="91"/>
        <v>0</v>
      </c>
      <c r="DR104" s="58">
        <f t="array" ref="DR104">SUM(IF(DO104:DP104&gt;=DO104, 1))</f>
        <v>2</v>
      </c>
      <c r="DS104" s="58">
        <f t="array" ref="DS104">SUM(IF(DO104:DP104&gt;=DP104, 1))</f>
        <v>1</v>
      </c>
      <c r="DU104" s="109">
        <f t="shared" si="92"/>
        <v>-45751845.247889787</v>
      </c>
      <c r="DV104" s="109">
        <f t="shared" si="93"/>
        <v>0</v>
      </c>
      <c r="DX104" s="58">
        <f t="array" ref="DX104">SUM(IF(DU104:DV104&gt;=DU104, 1))</f>
        <v>2</v>
      </c>
      <c r="DY104" s="58">
        <f t="array" ref="DY104">SUM(IF(DU104:DV104&gt;=DV104, 1))</f>
        <v>1</v>
      </c>
      <c r="EA104" s="109">
        <f t="shared" si="94"/>
        <v>-130882803.42234738</v>
      </c>
      <c r="EB104" s="109">
        <f t="shared" si="95"/>
        <v>0</v>
      </c>
      <c r="ED104" s="58">
        <f t="array" ref="ED104">SUM(IF(EA104:EB104&gt;=EA104, 1))</f>
        <v>2</v>
      </c>
      <c r="EE104" s="58">
        <f t="array" ref="EE104">SUM(IF(EA104:EB104&gt;=EB104, 1))</f>
        <v>1</v>
      </c>
    </row>
    <row r="105" spans="4:135" ht="12" customHeight="1" x14ac:dyDescent="0.25">
      <c r="D105" s="11">
        <v>89</v>
      </c>
      <c r="E105" s="72">
        <v>274.06817682852198</v>
      </c>
      <c r="F105" s="72">
        <v>235.22001556631724</v>
      </c>
      <c r="G105" s="73"/>
      <c r="H105" s="74">
        <v>5.8058017866345724</v>
      </c>
      <c r="I105" s="74">
        <v>5.8254838132434408</v>
      </c>
      <c r="J105" s="73"/>
      <c r="K105" s="72">
        <v>293.32472116802359</v>
      </c>
      <c r="L105" s="72">
        <v>253.62174137307517</v>
      </c>
      <c r="M105" s="73"/>
      <c r="N105" s="74">
        <v>6.7412359990901614</v>
      </c>
      <c r="O105" s="74">
        <v>6.7589234925960762</v>
      </c>
      <c r="P105" s="73"/>
      <c r="Q105" s="72">
        <v>2081.0916282476242</v>
      </c>
      <c r="R105" s="72">
        <v>1212.4204041481592</v>
      </c>
      <c r="S105" s="73"/>
      <c r="T105" s="74">
        <v>4.7004168103509976</v>
      </c>
      <c r="U105" s="74">
        <v>4.7747468763271117</v>
      </c>
      <c r="V105" s="73"/>
      <c r="W105" s="72">
        <v>14755.198525030262</v>
      </c>
      <c r="X105" s="72">
        <v>14749.241509504738</v>
      </c>
      <c r="Y105" s="73"/>
      <c r="Z105" s="74">
        <v>3.16089708966043</v>
      </c>
      <c r="AA105" s="74">
        <v>3.2099186726601951</v>
      </c>
      <c r="AB105" s="73"/>
      <c r="AC105" s="72">
        <v>51995.759242004708</v>
      </c>
      <c r="AD105" s="72">
        <v>51477.568247898918</v>
      </c>
      <c r="AE105" s="73"/>
      <c r="AF105" s="74">
        <v>4.7432365188302335</v>
      </c>
      <c r="AG105" s="74">
        <v>4.8639770281069286</v>
      </c>
      <c r="AH105" s="73"/>
      <c r="AI105" s="72">
        <v>4132174.6827065181</v>
      </c>
      <c r="AJ105" s="72">
        <v>0</v>
      </c>
      <c r="AK105" s="73"/>
      <c r="AL105" s="74">
        <v>-2093.5243629316224</v>
      </c>
      <c r="AM105" s="74">
        <v>0</v>
      </c>
      <c r="AN105" s="73"/>
      <c r="AO105" s="72">
        <v>274320.59065653727</v>
      </c>
      <c r="AP105" s="72">
        <v>0</v>
      </c>
      <c r="AQ105" s="73"/>
      <c r="AR105" s="74">
        <v>-122.20855187281343</v>
      </c>
      <c r="AS105" s="74">
        <v>0</v>
      </c>
      <c r="AT105" s="73"/>
      <c r="AU105" s="72">
        <v>19975629.550535515</v>
      </c>
      <c r="AV105" s="72">
        <v>0</v>
      </c>
      <c r="AW105" s="73"/>
      <c r="AX105" s="74">
        <v>-1709.2656245692649</v>
      </c>
      <c r="AY105" s="74">
        <v>0</v>
      </c>
      <c r="AZ105" s="73"/>
      <c r="BA105" s="72">
        <v>51974.381116063814</v>
      </c>
      <c r="BB105" s="72">
        <v>0</v>
      </c>
      <c r="BC105" s="73"/>
      <c r="BD105" s="74">
        <v>-427.70854412341805</v>
      </c>
      <c r="BE105" s="74">
        <v>0</v>
      </c>
      <c r="BF105" s="73"/>
      <c r="BG105" s="72">
        <v>8364667.1544858702</v>
      </c>
      <c r="BH105" s="72">
        <v>0</v>
      </c>
      <c r="BI105" s="73"/>
      <c r="BJ105" s="74">
        <v>-1948.9998545912297</v>
      </c>
      <c r="BK105" s="74">
        <v>0</v>
      </c>
      <c r="BL105" s="73"/>
      <c r="BM105" s="72">
        <v>32798766.359500501</v>
      </c>
      <c r="BN105" s="72">
        <v>0</v>
      </c>
      <c r="BO105" s="73"/>
      <c r="BP105" s="74">
        <v>-6301.7069380883477</v>
      </c>
      <c r="BQ105" s="74">
        <v>0</v>
      </c>
      <c r="BS105" s="109">
        <f t="shared" si="75"/>
        <v>115841.96755586292</v>
      </c>
      <c r="BT105" s="109">
        <f t="shared" si="76"/>
        <v>116274.4562493025</v>
      </c>
      <c r="BV105" s="58">
        <f t="array" ref="BV105">SUM(IF(BS105:BT105&gt;=BS105, 1))</f>
        <v>2</v>
      </c>
      <c r="BW105" s="58">
        <f t="array" ref="BW105">SUM(IF(BS105:BT105&gt;=BT105, 1))</f>
        <v>1</v>
      </c>
      <c r="BY105" s="109">
        <f t="shared" si="77"/>
        <v>134531.39526063521</v>
      </c>
      <c r="BZ105" s="109">
        <f t="shared" si="78"/>
        <v>134924.84811054845</v>
      </c>
      <c r="CB105" s="58">
        <f t="array" ref="CB105">SUM(IF(BY105:BZ105&gt;=BY105, 1))</f>
        <v>2</v>
      </c>
      <c r="CC105" s="58">
        <f t="array" ref="CC105">SUM(IF(BY105:BZ105&gt;=BZ105, 1))</f>
        <v>1</v>
      </c>
      <c r="CE105" s="109">
        <f t="shared" si="79"/>
        <v>91927.244578772326</v>
      </c>
      <c r="CF105" s="109">
        <f t="shared" si="80"/>
        <v>94282.517122394071</v>
      </c>
      <c r="CH105" s="58">
        <f t="array" ref="CH105">SUM(IF(CE105:CF105&gt;=CE105, 1))</f>
        <v>2</v>
      </c>
      <c r="CI105" s="58">
        <f t="array" ref="CI105">SUM(IF(CE105:CF105&gt;=CF105, 1))</f>
        <v>1</v>
      </c>
      <c r="CK105" s="109">
        <f t="shared" si="81"/>
        <v>48462.743268178339</v>
      </c>
      <c r="CL105" s="109">
        <f t="shared" si="82"/>
        <v>49449.131943699162</v>
      </c>
      <c r="CN105" s="58">
        <f t="array" ref="CN105">SUM(IF(CK105:CL105&gt;=CK105, 1))</f>
        <v>2</v>
      </c>
      <c r="CO105" s="58">
        <f t="array" ref="CO105">SUM(IF(CK105:CL105&gt;=CL105, 1))</f>
        <v>1</v>
      </c>
      <c r="CQ105" s="109" cm="1">
        <f t="array" ref="CQ105">AF105*WTP-AC105</f>
        <v>42868.97113459996</v>
      </c>
      <c r="CR105" s="109">
        <f t="shared" si="83"/>
        <v>45801.972314239654</v>
      </c>
      <c r="CT105" s="58">
        <f t="array" ref="CT105">SUM(IF(CQ105:CR105&gt;=CQ105, 1))</f>
        <v>2</v>
      </c>
      <c r="CU105" s="58">
        <f t="array" ref="CU105">SUM(IF(CQ105:CR105&gt;=CR105, 1))</f>
        <v>1</v>
      </c>
      <c r="CW105" s="109">
        <f t="shared" si="84"/>
        <v>-46002661.941338964</v>
      </c>
      <c r="CX105" s="109">
        <f t="shared" si="85"/>
        <v>0</v>
      </c>
      <c r="CZ105" s="58">
        <f t="array" ref="CZ105">SUM(IF(CW105:CX105&gt;=CW105, 1))</f>
        <v>2</v>
      </c>
      <c r="DA105" s="58">
        <f t="array" ref="DA105">SUM(IF(CW105:CX105&gt;=CX105, 1))</f>
        <v>1</v>
      </c>
      <c r="DC105" s="109">
        <f t="shared" si="86"/>
        <v>-2718491.6281128055</v>
      </c>
      <c r="DD105" s="109">
        <f t="shared" si="87"/>
        <v>0</v>
      </c>
      <c r="DF105" s="58">
        <f t="array" ref="DF105">SUM(IF(DC105:DD105&gt;=DC105, 1))</f>
        <v>2</v>
      </c>
      <c r="DG105" s="58">
        <f t="array" ref="DG105">SUM(IF(DC105:DD105&gt;=DD105, 1))</f>
        <v>1</v>
      </c>
      <c r="DI105" s="109">
        <f t="shared" si="88"/>
        <v>-54160942.041920811</v>
      </c>
      <c r="DJ105" s="109">
        <f t="shared" si="89"/>
        <v>0</v>
      </c>
      <c r="DL105" s="58">
        <f t="array" ref="DL105">SUM(IF(DI105:DJ105&gt;=DI105, 1))</f>
        <v>2</v>
      </c>
      <c r="DM105" s="58">
        <f t="array" ref="DM105">SUM(IF(DI105:DJ105&gt;=DJ105, 1))</f>
        <v>1</v>
      </c>
      <c r="DO105" s="109">
        <f t="shared" si="90"/>
        <v>-8606145.2635844257</v>
      </c>
      <c r="DP105" s="109">
        <f t="shared" si="91"/>
        <v>0</v>
      </c>
      <c r="DR105" s="58">
        <f t="array" ref="DR105">SUM(IF(DO105:DP105&gt;=DO105, 1))</f>
        <v>2</v>
      </c>
      <c r="DS105" s="58">
        <f t="array" ref="DS105">SUM(IF(DO105:DP105&gt;=DP105, 1))</f>
        <v>1</v>
      </c>
      <c r="DU105" s="109">
        <f t="shared" si="92"/>
        <v>-47344664.246310458</v>
      </c>
      <c r="DV105" s="109">
        <f t="shared" si="93"/>
        <v>0</v>
      </c>
      <c r="DX105" s="58">
        <f t="array" ref="DX105">SUM(IF(DU105:DV105&gt;=DU105, 1))</f>
        <v>2</v>
      </c>
      <c r="DY105" s="58">
        <f t="array" ref="DY105">SUM(IF(DU105:DV105&gt;=DV105, 1))</f>
        <v>1</v>
      </c>
      <c r="EA105" s="109">
        <f t="shared" si="94"/>
        <v>-158832905.12126747</v>
      </c>
      <c r="EB105" s="109">
        <f t="shared" si="95"/>
        <v>0</v>
      </c>
      <c r="ED105" s="58">
        <f t="array" ref="ED105">SUM(IF(EA105:EB105&gt;=EA105, 1))</f>
        <v>2</v>
      </c>
      <c r="EE105" s="58">
        <f t="array" ref="EE105">SUM(IF(EA105:EB105&gt;=EB105, 1))</f>
        <v>1</v>
      </c>
    </row>
    <row r="106" spans="4:135" ht="12" customHeight="1" x14ac:dyDescent="0.25">
      <c r="D106" s="11">
        <v>90</v>
      </c>
      <c r="E106" s="72">
        <v>259.91779679983199</v>
      </c>
      <c r="F106" s="72">
        <v>246.44644072080038</v>
      </c>
      <c r="G106" s="73"/>
      <c r="H106" s="74">
        <v>5.9031737850776684</v>
      </c>
      <c r="I106" s="74">
        <v>5.9171938811276128</v>
      </c>
      <c r="J106" s="73"/>
      <c r="K106" s="72">
        <v>279.64058557414751</v>
      </c>
      <c r="L106" s="72">
        <v>265.82717824763233</v>
      </c>
      <c r="M106" s="73"/>
      <c r="N106" s="74">
        <v>6.674172250127052</v>
      </c>
      <c r="O106" s="74">
        <v>6.6861207521239301</v>
      </c>
      <c r="P106" s="73"/>
      <c r="Q106" s="72">
        <v>2108.2109157764344</v>
      </c>
      <c r="R106" s="72">
        <v>1426.9664149959058</v>
      </c>
      <c r="S106" s="73"/>
      <c r="T106" s="74">
        <v>5.0037231735344454</v>
      </c>
      <c r="U106" s="74">
        <v>5.0720894995498114</v>
      </c>
      <c r="V106" s="73"/>
      <c r="W106" s="72">
        <v>16377.611178511848</v>
      </c>
      <c r="X106" s="72">
        <v>16317.687415817729</v>
      </c>
      <c r="Y106" s="73"/>
      <c r="Z106" s="74">
        <v>3.1903987202489819</v>
      </c>
      <c r="AA106" s="74">
        <v>3.2369341163060334</v>
      </c>
      <c r="AB106" s="73"/>
      <c r="AC106" s="72">
        <v>50517.571446317357</v>
      </c>
      <c r="AD106" s="72">
        <v>50355.546863189018</v>
      </c>
      <c r="AE106" s="73"/>
      <c r="AF106" s="74">
        <v>4.8769459242872264</v>
      </c>
      <c r="AG106" s="74">
        <v>5.0179919295549427</v>
      </c>
      <c r="AH106" s="73"/>
      <c r="AI106" s="72">
        <v>1435546.2174268556</v>
      </c>
      <c r="AJ106" s="72">
        <v>0</v>
      </c>
      <c r="AK106" s="73"/>
      <c r="AL106" s="74">
        <v>-1494.0215175357184</v>
      </c>
      <c r="AM106" s="74">
        <v>0</v>
      </c>
      <c r="AN106" s="73"/>
      <c r="AO106" s="72">
        <v>94843.344317006806</v>
      </c>
      <c r="AP106" s="72">
        <v>0</v>
      </c>
      <c r="AQ106" s="73"/>
      <c r="AR106" s="74">
        <v>-82.038838222563825</v>
      </c>
      <c r="AS106" s="74">
        <v>0</v>
      </c>
      <c r="AT106" s="73"/>
      <c r="AU106" s="72">
        <v>15613733.054833731</v>
      </c>
      <c r="AV106" s="72">
        <v>0</v>
      </c>
      <c r="AW106" s="73"/>
      <c r="AX106" s="74">
        <v>-1566.916963176415</v>
      </c>
      <c r="AY106" s="74">
        <v>0</v>
      </c>
      <c r="AZ106" s="73"/>
      <c r="BA106" s="72">
        <v>524812.89818411705</v>
      </c>
      <c r="BB106" s="72">
        <v>0</v>
      </c>
      <c r="BC106" s="73"/>
      <c r="BD106" s="74">
        <v>-407.55745258372514</v>
      </c>
      <c r="BE106" s="74">
        <v>0</v>
      </c>
      <c r="BF106" s="73"/>
      <c r="BG106" s="72">
        <v>2453423.4947394463</v>
      </c>
      <c r="BH106" s="72">
        <v>0</v>
      </c>
      <c r="BI106" s="73"/>
      <c r="BJ106" s="74">
        <v>-2135.7597500427278</v>
      </c>
      <c r="BK106" s="74">
        <v>0</v>
      </c>
      <c r="BL106" s="73"/>
      <c r="BM106" s="72">
        <v>20122359.009501155</v>
      </c>
      <c r="BN106" s="72">
        <v>0</v>
      </c>
      <c r="BO106" s="73"/>
      <c r="BP106" s="74">
        <v>-5686.2945215611498</v>
      </c>
      <c r="BQ106" s="74">
        <v>0</v>
      </c>
      <c r="BS106" s="109">
        <f t="shared" si="75"/>
        <v>117803.55790475354</v>
      </c>
      <c r="BT106" s="109">
        <f t="shared" si="76"/>
        <v>118097.43118183146</v>
      </c>
      <c r="BV106" s="58">
        <f t="array" ref="BV106">SUM(IF(BS106:BT106&gt;=BS106, 1))</f>
        <v>2</v>
      </c>
      <c r="BW106" s="58">
        <f t="array" ref="BW106">SUM(IF(BS106:BT106&gt;=BT106, 1))</f>
        <v>1</v>
      </c>
      <c r="BY106" s="109">
        <f t="shared" si="77"/>
        <v>133203.80441696689</v>
      </c>
      <c r="BZ106" s="109">
        <f t="shared" si="78"/>
        <v>133456.58786423097</v>
      </c>
      <c r="CB106" s="58">
        <f t="array" ref="CB106">SUM(IF(BY106:BZ106&gt;=BY106, 1))</f>
        <v>2</v>
      </c>
      <c r="CC106" s="58">
        <f t="array" ref="CC106">SUM(IF(BY106:BZ106&gt;=BZ106, 1))</f>
        <v>1</v>
      </c>
      <c r="CE106" s="109">
        <f t="shared" si="79"/>
        <v>97966.252554912469</v>
      </c>
      <c r="CF106" s="109">
        <f t="shared" si="80"/>
        <v>100014.82357600033</v>
      </c>
      <c r="CH106" s="58">
        <f t="array" ref="CH106">SUM(IF(CE106:CF106&gt;=CE106, 1))</f>
        <v>2</v>
      </c>
      <c r="CI106" s="58">
        <f t="array" ref="CI106">SUM(IF(CE106:CF106&gt;=CF106, 1))</f>
        <v>1</v>
      </c>
      <c r="CK106" s="109">
        <f t="shared" si="81"/>
        <v>47430.363226467787</v>
      </c>
      <c r="CL106" s="109">
        <f t="shared" si="82"/>
        <v>48420.994910302936</v>
      </c>
      <c r="CN106" s="58">
        <f t="array" ref="CN106">SUM(IF(CK106:CL106&gt;=CK106, 1))</f>
        <v>2</v>
      </c>
      <c r="CO106" s="58">
        <f t="array" ref="CO106">SUM(IF(CK106:CL106&gt;=CL106, 1))</f>
        <v>1</v>
      </c>
      <c r="CQ106" s="109" cm="1">
        <f t="array" ref="CQ106">AF106*WTP-AC106</f>
        <v>47021.347039427164</v>
      </c>
      <c r="CR106" s="109">
        <f t="shared" si="83"/>
        <v>50004.29172790984</v>
      </c>
      <c r="CT106" s="58">
        <f t="array" ref="CT106">SUM(IF(CQ106:CR106&gt;=CQ106, 1))</f>
        <v>2</v>
      </c>
      <c r="CU106" s="58">
        <f t="array" ref="CU106">SUM(IF(CQ106:CR106&gt;=CR106, 1))</f>
        <v>1</v>
      </c>
      <c r="CW106" s="109">
        <f t="shared" si="84"/>
        <v>-31315976.568141222</v>
      </c>
      <c r="CX106" s="109">
        <f t="shared" si="85"/>
        <v>0</v>
      </c>
      <c r="CZ106" s="58">
        <f t="array" ref="CZ106">SUM(IF(CW106:CX106&gt;=CW106, 1))</f>
        <v>2</v>
      </c>
      <c r="DA106" s="58">
        <f t="array" ref="DA106">SUM(IF(CW106:CX106&gt;=CX106, 1))</f>
        <v>1</v>
      </c>
      <c r="DC106" s="109">
        <f t="shared" si="86"/>
        <v>-1735620.1087682834</v>
      </c>
      <c r="DD106" s="109">
        <f t="shared" si="87"/>
        <v>0</v>
      </c>
      <c r="DF106" s="58">
        <f t="array" ref="DF106">SUM(IF(DC106:DD106&gt;=DC106, 1))</f>
        <v>2</v>
      </c>
      <c r="DG106" s="58">
        <f t="array" ref="DG106">SUM(IF(DC106:DD106&gt;=DD106, 1))</f>
        <v>1</v>
      </c>
      <c r="DI106" s="109">
        <f t="shared" si="88"/>
        <v>-46952072.318362035</v>
      </c>
      <c r="DJ106" s="109">
        <f t="shared" si="89"/>
        <v>0</v>
      </c>
      <c r="DL106" s="58">
        <f t="array" ref="DL106">SUM(IF(DI106:DJ106&gt;=DI106, 1))</f>
        <v>2</v>
      </c>
      <c r="DM106" s="58">
        <f t="array" ref="DM106">SUM(IF(DI106:DJ106&gt;=DJ106, 1))</f>
        <v>1</v>
      </c>
      <c r="DO106" s="109">
        <f t="shared" si="90"/>
        <v>-8675961.9498586208</v>
      </c>
      <c r="DP106" s="109">
        <f t="shared" si="91"/>
        <v>0</v>
      </c>
      <c r="DR106" s="58">
        <f t="array" ref="DR106">SUM(IF(DO106:DP106&gt;=DO106, 1))</f>
        <v>2</v>
      </c>
      <c r="DS106" s="58">
        <f t="array" ref="DS106">SUM(IF(DO106:DP106&gt;=DP106, 1))</f>
        <v>1</v>
      </c>
      <c r="DU106" s="109">
        <f t="shared" si="92"/>
        <v>-45168618.495593995</v>
      </c>
      <c r="DV106" s="109">
        <f t="shared" si="93"/>
        <v>0</v>
      </c>
      <c r="DX106" s="58">
        <f t="array" ref="DX106">SUM(IF(DU106:DV106&gt;=DU106, 1))</f>
        <v>2</v>
      </c>
      <c r="DY106" s="58">
        <f t="array" ref="DY106">SUM(IF(DU106:DV106&gt;=DV106, 1))</f>
        <v>1</v>
      </c>
      <c r="EA106" s="109">
        <f t="shared" si="94"/>
        <v>-133848249.44072415</v>
      </c>
      <c r="EB106" s="109">
        <f t="shared" si="95"/>
        <v>0</v>
      </c>
      <c r="ED106" s="58">
        <f t="array" ref="ED106">SUM(IF(EA106:EB106&gt;=EA106, 1))</f>
        <v>2</v>
      </c>
      <c r="EE106" s="58">
        <f t="array" ref="EE106">SUM(IF(EA106:EB106&gt;=EB106, 1))</f>
        <v>1</v>
      </c>
    </row>
    <row r="107" spans="4:135" ht="12" customHeight="1" x14ac:dyDescent="0.25">
      <c r="D107" s="11">
        <v>91</v>
      </c>
      <c r="E107" s="72">
        <v>252.95499855487813</v>
      </c>
      <c r="F107" s="72">
        <v>232.28527090386248</v>
      </c>
      <c r="G107" s="73"/>
      <c r="H107" s="74">
        <v>5.7982947671204963</v>
      </c>
      <c r="I107" s="74">
        <v>5.8176466244315739</v>
      </c>
      <c r="J107" s="73"/>
      <c r="K107" s="72">
        <v>271.70005494846453</v>
      </c>
      <c r="L107" s="72">
        <v>250.5192000163178</v>
      </c>
      <c r="M107" s="73"/>
      <c r="N107" s="74">
        <v>6.7293166468008776</v>
      </c>
      <c r="O107" s="74">
        <v>6.7462697836134984</v>
      </c>
      <c r="P107" s="73"/>
      <c r="Q107" s="72">
        <v>2701.8320311939256</v>
      </c>
      <c r="R107" s="72">
        <v>1641.393407591883</v>
      </c>
      <c r="S107" s="73"/>
      <c r="T107" s="74">
        <v>4.8744949234867327</v>
      </c>
      <c r="U107" s="74">
        <v>4.9742553832088126</v>
      </c>
      <c r="V107" s="73"/>
      <c r="W107" s="72">
        <v>9021.3786009384075</v>
      </c>
      <c r="X107" s="72">
        <v>9068.432577270718</v>
      </c>
      <c r="Y107" s="73"/>
      <c r="Z107" s="74">
        <v>2.9778744101829391</v>
      </c>
      <c r="AA107" s="74">
        <v>3.0343910306253936</v>
      </c>
      <c r="AB107" s="73"/>
      <c r="AC107" s="72">
        <v>51407.036016755599</v>
      </c>
      <c r="AD107" s="72">
        <v>51279.461180534207</v>
      </c>
      <c r="AE107" s="73"/>
      <c r="AF107" s="74">
        <v>4.019119290607561</v>
      </c>
      <c r="AG107" s="74">
        <v>4.1312242401426413</v>
      </c>
      <c r="AH107" s="73"/>
      <c r="AI107" s="72">
        <v>2258542.2186209541</v>
      </c>
      <c r="AJ107" s="72">
        <v>0</v>
      </c>
      <c r="AK107" s="73"/>
      <c r="AL107" s="74">
        <v>-2114.5410081709356</v>
      </c>
      <c r="AM107" s="74">
        <v>0</v>
      </c>
      <c r="AN107" s="73"/>
      <c r="AO107" s="72">
        <v>148877.98937412561</v>
      </c>
      <c r="AP107" s="72">
        <v>0</v>
      </c>
      <c r="AQ107" s="73"/>
      <c r="AR107" s="74">
        <v>-119.16180580684646</v>
      </c>
      <c r="AS107" s="74">
        <v>0</v>
      </c>
      <c r="AT107" s="73"/>
      <c r="AU107" s="72">
        <v>24351193.789125558</v>
      </c>
      <c r="AV107" s="72">
        <v>0</v>
      </c>
      <c r="AW107" s="73"/>
      <c r="AX107" s="74">
        <v>-2290.8315796089619</v>
      </c>
      <c r="AY107" s="74">
        <v>0</v>
      </c>
      <c r="AZ107" s="73"/>
      <c r="BA107" s="72">
        <v>-421908.27842897666</v>
      </c>
      <c r="BB107" s="72">
        <v>0</v>
      </c>
      <c r="BC107" s="73"/>
      <c r="BD107" s="74">
        <v>-506.75483544897446</v>
      </c>
      <c r="BE107" s="74">
        <v>0</v>
      </c>
      <c r="BF107" s="73"/>
      <c r="BG107" s="72">
        <v>2033521.703257282</v>
      </c>
      <c r="BH107" s="72">
        <v>0</v>
      </c>
      <c r="BI107" s="73"/>
      <c r="BJ107" s="74">
        <v>-1786.9342785322815</v>
      </c>
      <c r="BK107" s="74">
        <v>0</v>
      </c>
      <c r="BL107" s="73"/>
      <c r="BM107" s="72">
        <v>28370227.421948943</v>
      </c>
      <c r="BN107" s="72">
        <v>0</v>
      </c>
      <c r="BO107" s="73"/>
      <c r="BP107" s="74">
        <v>-6818.2235075680001</v>
      </c>
      <c r="BQ107" s="74">
        <v>0</v>
      </c>
      <c r="BS107" s="109">
        <f t="shared" si="75"/>
        <v>115712.94034385505</v>
      </c>
      <c r="BT107" s="109">
        <f t="shared" si="76"/>
        <v>116120.64721772762</v>
      </c>
      <c r="BV107" s="58">
        <f t="array" ref="BV107">SUM(IF(BS107:BT107&gt;=BS107, 1))</f>
        <v>2</v>
      </c>
      <c r="BW107" s="58">
        <f t="array" ref="BW107">SUM(IF(BS107:BT107&gt;=BT107, 1))</f>
        <v>1</v>
      </c>
      <c r="BY107" s="109">
        <f t="shared" si="77"/>
        <v>134314.63288106909</v>
      </c>
      <c r="BZ107" s="109">
        <f t="shared" si="78"/>
        <v>134674.87647225367</v>
      </c>
      <c r="CB107" s="58">
        <f t="array" ref="CB107">SUM(IF(BY107:BZ107&gt;=BY107, 1))</f>
        <v>2</v>
      </c>
      <c r="CC107" s="58">
        <f t="array" ref="CC107">SUM(IF(BY107:BZ107&gt;=BZ107, 1))</f>
        <v>1</v>
      </c>
      <c r="CE107" s="109">
        <f t="shared" si="79"/>
        <v>94788.066438540729</v>
      </c>
      <c r="CF107" s="109">
        <f t="shared" si="80"/>
        <v>97843.714256584368</v>
      </c>
      <c r="CH107" s="58">
        <f t="array" ref="CH107">SUM(IF(CE107:CF107&gt;=CE107, 1))</f>
        <v>2</v>
      </c>
      <c r="CI107" s="58">
        <f t="array" ref="CI107">SUM(IF(CE107:CF107&gt;=CF107, 1))</f>
        <v>1</v>
      </c>
      <c r="CK107" s="109">
        <f t="shared" si="81"/>
        <v>50536.109602720375</v>
      </c>
      <c r="CL107" s="109">
        <f t="shared" si="82"/>
        <v>51619.388035237156</v>
      </c>
      <c r="CN107" s="58">
        <f t="array" ref="CN107">SUM(IF(CK107:CL107&gt;=CK107, 1))</f>
        <v>2</v>
      </c>
      <c r="CO107" s="58">
        <f t="array" ref="CO107">SUM(IF(CK107:CL107&gt;=CL107, 1))</f>
        <v>1</v>
      </c>
      <c r="CQ107" s="109" cm="1">
        <f t="array" ref="CQ107">AF107*WTP-AC107</f>
        <v>28975.349795395618</v>
      </c>
      <c r="CR107" s="109">
        <f t="shared" si="83"/>
        <v>31345.023622318615</v>
      </c>
      <c r="CT107" s="58">
        <f t="array" ref="CT107">SUM(IF(CQ107:CR107&gt;=CQ107, 1))</f>
        <v>2</v>
      </c>
      <c r="CU107" s="58">
        <f t="array" ref="CU107">SUM(IF(CQ107:CR107&gt;=CR107, 1))</f>
        <v>1</v>
      </c>
      <c r="CW107" s="109">
        <f t="shared" si="84"/>
        <v>-44549362.382039666</v>
      </c>
      <c r="CX107" s="109">
        <f t="shared" si="85"/>
        <v>0</v>
      </c>
      <c r="CZ107" s="58">
        <f t="array" ref="CZ107">SUM(IF(CW107:CX107&gt;=CW107, 1))</f>
        <v>2</v>
      </c>
      <c r="DA107" s="58">
        <f t="array" ref="DA107">SUM(IF(CW107:CX107&gt;=CX107, 1))</f>
        <v>1</v>
      </c>
      <c r="DC107" s="109">
        <f t="shared" si="86"/>
        <v>-2532114.1055110544</v>
      </c>
      <c r="DD107" s="109">
        <f t="shared" si="87"/>
        <v>0</v>
      </c>
      <c r="DF107" s="58">
        <f t="array" ref="DF107">SUM(IF(DC107:DD107&gt;=DC107, 1))</f>
        <v>2</v>
      </c>
      <c r="DG107" s="58">
        <f t="array" ref="DG107">SUM(IF(DC107:DD107&gt;=DD107, 1))</f>
        <v>1</v>
      </c>
      <c r="DI107" s="109">
        <f t="shared" si="88"/>
        <v>-70167825.381304801</v>
      </c>
      <c r="DJ107" s="109">
        <f t="shared" si="89"/>
        <v>0</v>
      </c>
      <c r="DL107" s="58">
        <f t="array" ref="DL107">SUM(IF(DI107:DJ107&gt;=DI107, 1))</f>
        <v>2</v>
      </c>
      <c r="DM107" s="58">
        <f t="array" ref="DM107">SUM(IF(DI107:DJ107&gt;=DJ107, 1))</f>
        <v>1</v>
      </c>
      <c r="DO107" s="109">
        <f t="shared" si="90"/>
        <v>-9713188.4305505119</v>
      </c>
      <c r="DP107" s="109">
        <f t="shared" si="91"/>
        <v>0</v>
      </c>
      <c r="DR107" s="58">
        <f t="array" ref="DR107">SUM(IF(DO107:DP107&gt;=DO107, 1))</f>
        <v>2</v>
      </c>
      <c r="DS107" s="58">
        <f t="array" ref="DS107">SUM(IF(DO107:DP107&gt;=DP107, 1))</f>
        <v>1</v>
      </c>
      <c r="DU107" s="109">
        <f t="shared" si="92"/>
        <v>-37772207.273902915</v>
      </c>
      <c r="DV107" s="109">
        <f t="shared" si="93"/>
        <v>0</v>
      </c>
      <c r="DX107" s="58">
        <f t="array" ref="DX107">SUM(IF(DU107:DV107&gt;=DU107, 1))</f>
        <v>2</v>
      </c>
      <c r="DY107" s="58">
        <f t="array" ref="DY107">SUM(IF(DU107:DV107&gt;=DV107, 1))</f>
        <v>1</v>
      </c>
      <c r="EA107" s="109">
        <f t="shared" si="94"/>
        <v>-164734697.57330894</v>
      </c>
      <c r="EB107" s="109">
        <f t="shared" si="95"/>
        <v>0</v>
      </c>
      <c r="ED107" s="58">
        <f t="array" ref="ED107">SUM(IF(EA107:EB107&gt;=EA107, 1))</f>
        <v>2</v>
      </c>
      <c r="EE107" s="58">
        <f t="array" ref="EE107">SUM(IF(EA107:EB107&gt;=EB107, 1))</f>
        <v>1</v>
      </c>
    </row>
    <row r="108" spans="4:135" ht="12" customHeight="1" x14ac:dyDescent="0.25">
      <c r="D108" s="11">
        <v>92</v>
      </c>
      <c r="E108" s="72">
        <v>288.2718308457213</v>
      </c>
      <c r="F108" s="72">
        <v>253.32026943639278</v>
      </c>
      <c r="G108" s="73"/>
      <c r="H108" s="74">
        <v>5.8726684673808949</v>
      </c>
      <c r="I108" s="74">
        <v>5.8888233600297468</v>
      </c>
      <c r="J108" s="73"/>
      <c r="K108" s="72">
        <v>308.8199509812888</v>
      </c>
      <c r="L108" s="72">
        <v>273.03785402440934</v>
      </c>
      <c r="M108" s="73"/>
      <c r="N108" s="74">
        <v>6.7379480294120819</v>
      </c>
      <c r="O108" s="74">
        <v>6.7522802337909642</v>
      </c>
      <c r="P108" s="73"/>
      <c r="Q108" s="72">
        <v>3686.8579734651435</v>
      </c>
      <c r="R108" s="72">
        <v>1650.9104792178557</v>
      </c>
      <c r="S108" s="73"/>
      <c r="T108" s="74">
        <v>4.8484500864916953</v>
      </c>
      <c r="U108" s="74">
        <v>4.9643974519728395</v>
      </c>
      <c r="V108" s="73"/>
      <c r="W108" s="72">
        <v>10693.229133398359</v>
      </c>
      <c r="X108" s="72">
        <v>10670.338977710338</v>
      </c>
      <c r="Y108" s="73"/>
      <c r="Z108" s="74">
        <v>2.8699490074823104</v>
      </c>
      <c r="AA108" s="74">
        <v>2.9067689775429315</v>
      </c>
      <c r="AB108" s="73"/>
      <c r="AC108" s="72">
        <v>50350.510649457756</v>
      </c>
      <c r="AD108" s="72">
        <v>50326.984311668581</v>
      </c>
      <c r="AE108" s="73"/>
      <c r="AF108" s="74">
        <v>3.9421340843467116</v>
      </c>
      <c r="AG108" s="74">
        <v>4.0834523617300214</v>
      </c>
      <c r="AH108" s="73"/>
      <c r="AI108" s="72">
        <v>3785250.9678681931</v>
      </c>
      <c r="AJ108" s="72">
        <v>0</v>
      </c>
      <c r="AK108" s="73"/>
      <c r="AL108" s="74">
        <v>-1749.5734258828468</v>
      </c>
      <c r="AM108" s="74">
        <v>0</v>
      </c>
      <c r="AN108" s="73"/>
      <c r="AO108" s="72">
        <v>233472.8043153935</v>
      </c>
      <c r="AP108" s="72">
        <v>0</v>
      </c>
      <c r="AQ108" s="73"/>
      <c r="AR108" s="74">
        <v>-93.515479330108732</v>
      </c>
      <c r="AS108" s="74">
        <v>0</v>
      </c>
      <c r="AT108" s="73"/>
      <c r="AU108" s="72">
        <v>46518858.999644548</v>
      </c>
      <c r="AV108" s="72">
        <v>0</v>
      </c>
      <c r="AW108" s="73"/>
      <c r="AX108" s="74">
        <v>-2649.2525772093786</v>
      </c>
      <c r="AY108" s="74">
        <v>0</v>
      </c>
      <c r="AZ108" s="73"/>
      <c r="BA108" s="72">
        <v>207367.93420918984</v>
      </c>
      <c r="BB108" s="72">
        <v>0</v>
      </c>
      <c r="BC108" s="73"/>
      <c r="BD108" s="74">
        <v>-333.56178233033876</v>
      </c>
      <c r="BE108" s="74">
        <v>0</v>
      </c>
      <c r="BF108" s="73"/>
      <c r="BG108" s="72">
        <v>377956.8678731203</v>
      </c>
      <c r="BH108" s="72">
        <v>0</v>
      </c>
      <c r="BI108" s="73"/>
      <c r="BJ108" s="74">
        <v>-2270.3156764839259</v>
      </c>
      <c r="BK108" s="74">
        <v>0</v>
      </c>
      <c r="BL108" s="73"/>
      <c r="BM108" s="72">
        <v>51122907.573910445</v>
      </c>
      <c r="BN108" s="72">
        <v>0</v>
      </c>
      <c r="BO108" s="73"/>
      <c r="BP108" s="74">
        <v>-7096.2189412365997</v>
      </c>
      <c r="BQ108" s="74">
        <v>0</v>
      </c>
      <c r="BS108" s="109">
        <f t="shared" si="75"/>
        <v>117165.09751677218</v>
      </c>
      <c r="BT108" s="109">
        <f t="shared" si="76"/>
        <v>117523.14693115855</v>
      </c>
      <c r="BV108" s="58">
        <f t="array" ref="BV108">SUM(IF(BS108:BT108&gt;=BS108, 1))</f>
        <v>2</v>
      </c>
      <c r="BW108" s="58">
        <f t="array" ref="BW108">SUM(IF(BS108:BT108&gt;=BT108, 1))</f>
        <v>1</v>
      </c>
      <c r="BY108" s="109">
        <f t="shared" si="77"/>
        <v>134450.14063726034</v>
      </c>
      <c r="BZ108" s="109">
        <f t="shared" si="78"/>
        <v>134772.56682179487</v>
      </c>
      <c r="CB108" s="58">
        <f t="array" ref="CB108">SUM(IF(BY108:BZ108&gt;=BY108, 1))</f>
        <v>2</v>
      </c>
      <c r="CC108" s="58">
        <f t="array" ref="CC108">SUM(IF(BY108:BZ108&gt;=BZ108, 1))</f>
        <v>1</v>
      </c>
      <c r="CE108" s="109">
        <f t="shared" si="79"/>
        <v>93282.143756368765</v>
      </c>
      <c r="CF108" s="109">
        <f t="shared" si="80"/>
        <v>97637.038560238929</v>
      </c>
      <c r="CH108" s="58">
        <f t="array" ref="CH108">SUM(IF(CE108:CF108&gt;=CE108, 1))</f>
        <v>2</v>
      </c>
      <c r="CI108" s="58">
        <f t="array" ref="CI108">SUM(IF(CE108:CF108&gt;=CF108, 1))</f>
        <v>1</v>
      </c>
      <c r="CK108" s="109">
        <f t="shared" si="81"/>
        <v>46705.75101624785</v>
      </c>
      <c r="CL108" s="109">
        <f t="shared" si="82"/>
        <v>47465.040573148297</v>
      </c>
      <c r="CN108" s="58">
        <f t="array" ref="CN108">SUM(IF(CK108:CL108&gt;=CK108, 1))</f>
        <v>2</v>
      </c>
      <c r="CO108" s="58">
        <f t="array" ref="CO108">SUM(IF(CK108:CL108&gt;=CL108, 1))</f>
        <v>1</v>
      </c>
      <c r="CQ108" s="109" cm="1">
        <f t="array" ref="CQ108">AF108*WTP-AC108</f>
        <v>28492.171037476473</v>
      </c>
      <c r="CR108" s="109">
        <f t="shared" si="83"/>
        <v>31342.062922931844</v>
      </c>
      <c r="CT108" s="58">
        <f t="array" ref="CT108">SUM(IF(CQ108:CR108&gt;=CQ108, 1))</f>
        <v>2</v>
      </c>
      <c r="CU108" s="58">
        <f t="array" ref="CU108">SUM(IF(CQ108:CR108&gt;=CR108, 1))</f>
        <v>1</v>
      </c>
      <c r="CW108" s="109">
        <f t="shared" si="84"/>
        <v>-38776719.485525131</v>
      </c>
      <c r="CX108" s="109">
        <f t="shared" si="85"/>
        <v>0</v>
      </c>
      <c r="CZ108" s="58">
        <f t="array" ref="CZ108">SUM(IF(CW108:CX108&gt;=CW108, 1))</f>
        <v>2</v>
      </c>
      <c r="DA108" s="58">
        <f t="array" ref="DA108">SUM(IF(CW108:CX108&gt;=CX108, 1))</f>
        <v>1</v>
      </c>
      <c r="DC108" s="109">
        <f t="shared" si="86"/>
        <v>-2103782.390917568</v>
      </c>
      <c r="DD108" s="109">
        <f t="shared" si="87"/>
        <v>0</v>
      </c>
      <c r="DF108" s="58">
        <f t="array" ref="DF108">SUM(IF(DC108:DD108&gt;=DC108, 1))</f>
        <v>2</v>
      </c>
      <c r="DG108" s="58">
        <f t="array" ref="DG108">SUM(IF(DC108:DD108&gt;=DD108, 1))</f>
        <v>1</v>
      </c>
      <c r="DI108" s="109">
        <f t="shared" si="88"/>
        <v>-99503910.543832123</v>
      </c>
      <c r="DJ108" s="109">
        <f t="shared" si="89"/>
        <v>0</v>
      </c>
      <c r="DL108" s="58">
        <f t="array" ref="DL108">SUM(IF(DI108:DJ108&gt;=DI108, 1))</f>
        <v>2</v>
      </c>
      <c r="DM108" s="58">
        <f t="array" ref="DM108">SUM(IF(DI108:DJ108&gt;=DJ108, 1))</f>
        <v>1</v>
      </c>
      <c r="DO108" s="109">
        <f t="shared" si="90"/>
        <v>-6878603.5808159653</v>
      </c>
      <c r="DP108" s="109">
        <f t="shared" si="91"/>
        <v>0</v>
      </c>
      <c r="DR108" s="58">
        <f t="array" ref="DR108">SUM(IF(DO108:DP108&gt;=DO108, 1))</f>
        <v>2</v>
      </c>
      <c r="DS108" s="58">
        <f t="array" ref="DS108">SUM(IF(DO108:DP108&gt;=DP108, 1))</f>
        <v>1</v>
      </c>
      <c r="DU108" s="109">
        <f t="shared" si="92"/>
        <v>-45784270.397551633</v>
      </c>
      <c r="DV108" s="109">
        <f t="shared" si="93"/>
        <v>0</v>
      </c>
      <c r="DX108" s="58">
        <f t="array" ref="DX108">SUM(IF(DU108:DV108&gt;=DU108, 1))</f>
        <v>2</v>
      </c>
      <c r="DY108" s="58">
        <f t="array" ref="DY108">SUM(IF(DU108:DV108&gt;=DV108, 1))</f>
        <v>1</v>
      </c>
      <c r="EA108" s="109">
        <f t="shared" si="94"/>
        <v>-193047286.39864245</v>
      </c>
      <c r="EB108" s="109">
        <f t="shared" si="95"/>
        <v>0</v>
      </c>
      <c r="ED108" s="58">
        <f t="array" ref="ED108">SUM(IF(EA108:EB108&gt;=EA108, 1))</f>
        <v>2</v>
      </c>
      <c r="EE108" s="58">
        <f t="array" ref="EE108">SUM(IF(EA108:EB108&gt;=EB108, 1))</f>
        <v>1</v>
      </c>
    </row>
    <row r="109" spans="4:135" ht="12" customHeight="1" x14ac:dyDescent="0.25">
      <c r="D109" s="11">
        <v>93</v>
      </c>
      <c r="E109" s="72">
        <v>226.92974002622344</v>
      </c>
      <c r="F109" s="72">
        <v>209.45180676381958</v>
      </c>
      <c r="G109" s="73"/>
      <c r="H109" s="74">
        <v>5.8804894460835824</v>
      </c>
      <c r="I109" s="74">
        <v>5.8986662181765706</v>
      </c>
      <c r="J109" s="73"/>
      <c r="K109" s="72">
        <v>243.81486145629165</v>
      </c>
      <c r="L109" s="72">
        <v>225.9199061760057</v>
      </c>
      <c r="M109" s="73"/>
      <c r="N109" s="74">
        <v>6.6916721392073581</v>
      </c>
      <c r="O109" s="74">
        <v>6.7079088394254827</v>
      </c>
      <c r="P109" s="73"/>
      <c r="Q109" s="72">
        <v>2244.3890671993408</v>
      </c>
      <c r="R109" s="72">
        <v>1891.0358090575489</v>
      </c>
      <c r="S109" s="73"/>
      <c r="T109" s="74">
        <v>5.0067681030897733</v>
      </c>
      <c r="U109" s="74">
        <v>5.0407848063395129</v>
      </c>
      <c r="V109" s="73"/>
      <c r="W109" s="72">
        <v>11835.634919784801</v>
      </c>
      <c r="X109" s="72">
        <v>11859.151090994015</v>
      </c>
      <c r="Y109" s="73"/>
      <c r="Z109" s="74">
        <v>2.8953123645528729</v>
      </c>
      <c r="AA109" s="74">
        <v>2.9346587989897222</v>
      </c>
      <c r="AB109" s="73"/>
      <c r="AC109" s="72">
        <v>50411.645204741799</v>
      </c>
      <c r="AD109" s="72">
        <v>50276.265754087741</v>
      </c>
      <c r="AE109" s="73"/>
      <c r="AF109" s="74">
        <v>4.0239522516916688</v>
      </c>
      <c r="AG109" s="74">
        <v>4.0857466508706741</v>
      </c>
      <c r="AH109" s="73"/>
      <c r="AI109" s="72">
        <v>1866414.9132023884</v>
      </c>
      <c r="AJ109" s="72">
        <v>0</v>
      </c>
      <c r="AK109" s="73"/>
      <c r="AL109" s="74">
        <v>-1941.0417695786607</v>
      </c>
      <c r="AM109" s="74">
        <v>0</v>
      </c>
      <c r="AN109" s="73"/>
      <c r="AO109" s="72">
        <v>121447.40746804276</v>
      </c>
      <c r="AP109" s="72">
        <v>0</v>
      </c>
      <c r="AQ109" s="73"/>
      <c r="AR109" s="74">
        <v>-110.19335429686058</v>
      </c>
      <c r="AS109" s="74">
        <v>0</v>
      </c>
      <c r="AT109" s="73"/>
      <c r="AU109" s="72">
        <v>8203986.8603917528</v>
      </c>
      <c r="AV109" s="72">
        <v>0</v>
      </c>
      <c r="AW109" s="73"/>
      <c r="AX109" s="74">
        <v>-789.78353832731375</v>
      </c>
      <c r="AY109" s="74">
        <v>0</v>
      </c>
      <c r="AZ109" s="73"/>
      <c r="BA109" s="72">
        <v>-218416.86571343162</v>
      </c>
      <c r="BB109" s="72">
        <v>0</v>
      </c>
      <c r="BC109" s="73"/>
      <c r="BD109" s="74">
        <v>-365.44745359433392</v>
      </c>
      <c r="BE109" s="74">
        <v>0</v>
      </c>
      <c r="BF109" s="73"/>
      <c r="BG109" s="72">
        <v>2152305.9769967203</v>
      </c>
      <c r="BH109" s="72">
        <v>0</v>
      </c>
      <c r="BI109" s="73"/>
      <c r="BJ109" s="74">
        <v>-982.42720040102074</v>
      </c>
      <c r="BK109" s="74">
        <v>0</v>
      </c>
      <c r="BL109" s="73"/>
      <c r="BM109" s="72">
        <v>12125738.292345472</v>
      </c>
      <c r="BN109" s="72">
        <v>0</v>
      </c>
      <c r="BO109" s="73"/>
      <c r="BP109" s="74">
        <v>-4188.8933161981895</v>
      </c>
      <c r="BQ109" s="74">
        <v>0</v>
      </c>
      <c r="BS109" s="109">
        <f t="shared" si="75"/>
        <v>117382.85918164541</v>
      </c>
      <c r="BT109" s="109">
        <f t="shared" si="76"/>
        <v>117763.8725567676</v>
      </c>
      <c r="BV109" s="58">
        <f t="array" ref="BV109">SUM(IF(BS109:BT109&gt;=BS109, 1))</f>
        <v>2</v>
      </c>
      <c r="BW109" s="58">
        <f t="array" ref="BW109">SUM(IF(BS109:BT109&gt;=BT109, 1))</f>
        <v>1</v>
      </c>
      <c r="BY109" s="109">
        <f t="shared" si="77"/>
        <v>133589.62792269088</v>
      </c>
      <c r="BZ109" s="109">
        <f t="shared" si="78"/>
        <v>133932.25688233363</v>
      </c>
      <c r="CB109" s="58">
        <f t="array" ref="CB109">SUM(IF(BY109:BZ109&gt;=BY109, 1))</f>
        <v>2</v>
      </c>
      <c r="CC109" s="58">
        <f t="array" ref="CC109">SUM(IF(BY109:BZ109&gt;=BZ109, 1))</f>
        <v>1</v>
      </c>
      <c r="CE109" s="109">
        <f t="shared" si="79"/>
        <v>97890.972994596115</v>
      </c>
      <c r="CF109" s="109">
        <f t="shared" si="80"/>
        <v>98924.660317732705</v>
      </c>
      <c r="CH109" s="58">
        <f t="array" ref="CH109">SUM(IF(CE109:CF109&gt;=CE109, 1))</f>
        <v>2</v>
      </c>
      <c r="CI109" s="58">
        <f t="array" ref="CI109">SUM(IF(CE109:CF109&gt;=CF109, 1))</f>
        <v>1</v>
      </c>
      <c r="CK109" s="109">
        <f t="shared" si="81"/>
        <v>46070.612371272655</v>
      </c>
      <c r="CL109" s="109">
        <f t="shared" si="82"/>
        <v>46834.024888800428</v>
      </c>
      <c r="CN109" s="58">
        <f t="array" ref="CN109">SUM(IF(CK109:CL109&gt;=CK109, 1))</f>
        <v>2</v>
      </c>
      <c r="CO109" s="58">
        <f t="array" ref="CO109">SUM(IF(CK109:CL109&gt;=CL109, 1))</f>
        <v>1</v>
      </c>
      <c r="CQ109" s="109" cm="1">
        <f t="array" ref="CQ109">AF109*WTP-AC109</f>
        <v>30067.399829091577</v>
      </c>
      <c r="CR109" s="109">
        <f t="shared" si="83"/>
        <v>31438.66726332574</v>
      </c>
      <c r="CT109" s="58">
        <f t="array" ref="CT109">SUM(IF(CQ109:CR109&gt;=CQ109, 1))</f>
        <v>2</v>
      </c>
      <c r="CU109" s="58">
        <f t="array" ref="CU109">SUM(IF(CQ109:CR109&gt;=CR109, 1))</f>
        <v>1</v>
      </c>
      <c r="CW109" s="109">
        <f t="shared" si="84"/>
        <v>-40687250.304775603</v>
      </c>
      <c r="CX109" s="109">
        <f t="shared" si="85"/>
        <v>0</v>
      </c>
      <c r="CZ109" s="58">
        <f t="array" ref="CZ109">SUM(IF(CW109:CX109&gt;=CW109, 1))</f>
        <v>2</v>
      </c>
      <c r="DA109" s="58">
        <f t="array" ref="DA109">SUM(IF(CW109:CX109&gt;=CX109, 1))</f>
        <v>1</v>
      </c>
      <c r="DC109" s="109">
        <f t="shared" si="86"/>
        <v>-2325314.4934052546</v>
      </c>
      <c r="DD109" s="109">
        <f t="shared" si="87"/>
        <v>0</v>
      </c>
      <c r="DF109" s="58">
        <f t="array" ref="DF109">SUM(IF(DC109:DD109&gt;=DC109, 1))</f>
        <v>2</v>
      </c>
      <c r="DG109" s="58">
        <f t="array" ref="DG109">SUM(IF(DC109:DD109&gt;=DD109, 1))</f>
        <v>1</v>
      </c>
      <c r="DI109" s="109">
        <f t="shared" si="88"/>
        <v>-23999657.62693803</v>
      </c>
      <c r="DJ109" s="109">
        <f t="shared" si="89"/>
        <v>0</v>
      </c>
      <c r="DL109" s="58">
        <f t="array" ref="DL109">SUM(IF(DI109:DJ109&gt;=DI109, 1))</f>
        <v>2</v>
      </c>
      <c r="DM109" s="58">
        <f t="array" ref="DM109">SUM(IF(DI109:DJ109&gt;=DJ109, 1))</f>
        <v>1</v>
      </c>
      <c r="DO109" s="109">
        <f t="shared" si="90"/>
        <v>-7090532.2061732467</v>
      </c>
      <c r="DP109" s="109">
        <f t="shared" si="91"/>
        <v>0</v>
      </c>
      <c r="DR109" s="58">
        <f t="array" ref="DR109">SUM(IF(DO109:DP109&gt;=DO109, 1))</f>
        <v>2</v>
      </c>
      <c r="DS109" s="58">
        <f t="array" ref="DS109">SUM(IF(DO109:DP109&gt;=DP109, 1))</f>
        <v>1</v>
      </c>
      <c r="DU109" s="109">
        <f t="shared" si="92"/>
        <v>-21800849.985017136</v>
      </c>
      <c r="DV109" s="109">
        <f t="shared" si="93"/>
        <v>0</v>
      </c>
      <c r="DX109" s="58">
        <f t="array" ref="DX109">SUM(IF(DU109:DV109&gt;=DU109, 1))</f>
        <v>2</v>
      </c>
      <c r="DY109" s="58">
        <f t="array" ref="DY109">SUM(IF(DU109:DV109&gt;=DV109, 1))</f>
        <v>1</v>
      </c>
      <c r="EA109" s="109">
        <f t="shared" si="94"/>
        <v>-95903604.616309255</v>
      </c>
      <c r="EB109" s="109">
        <f t="shared" si="95"/>
        <v>0</v>
      </c>
      <c r="ED109" s="58">
        <f t="array" ref="ED109">SUM(IF(EA109:EB109&gt;=EA109, 1))</f>
        <v>2</v>
      </c>
      <c r="EE109" s="58">
        <f t="array" ref="EE109">SUM(IF(EA109:EB109&gt;=EB109, 1))</f>
        <v>1</v>
      </c>
    </row>
    <row r="110" spans="4:135" ht="12" customHeight="1" x14ac:dyDescent="0.25">
      <c r="D110" s="11">
        <v>94</v>
      </c>
      <c r="E110" s="72">
        <v>240.81108453203552</v>
      </c>
      <c r="F110" s="72">
        <v>237.05174101446477</v>
      </c>
      <c r="G110" s="73"/>
      <c r="H110" s="74">
        <v>5.8597160050509443</v>
      </c>
      <c r="I110" s="74">
        <v>5.8720130392774355</v>
      </c>
      <c r="J110" s="73"/>
      <c r="K110" s="72">
        <v>259.56593647907835</v>
      </c>
      <c r="L110" s="72">
        <v>255.65916760957651</v>
      </c>
      <c r="M110" s="73"/>
      <c r="N110" s="74">
        <v>6.7137418613826831</v>
      </c>
      <c r="O110" s="74">
        <v>6.7235429150324455</v>
      </c>
      <c r="P110" s="73"/>
      <c r="Q110" s="72">
        <v>2719.832648030394</v>
      </c>
      <c r="R110" s="72">
        <v>1292.7321344322165</v>
      </c>
      <c r="S110" s="73"/>
      <c r="T110" s="74">
        <v>5.0400611467346117</v>
      </c>
      <c r="U110" s="74">
        <v>5.1424407631170039</v>
      </c>
      <c r="V110" s="73"/>
      <c r="W110" s="72">
        <v>15941.34166767522</v>
      </c>
      <c r="X110" s="72">
        <v>15895.306321993497</v>
      </c>
      <c r="Y110" s="73"/>
      <c r="Z110" s="74">
        <v>2.8886754183751702</v>
      </c>
      <c r="AA110" s="74">
        <v>2.9266435257154648</v>
      </c>
      <c r="AB110" s="73"/>
      <c r="AC110" s="72">
        <v>50278.523156480231</v>
      </c>
      <c r="AD110" s="72">
        <v>49904.835778613342</v>
      </c>
      <c r="AE110" s="73"/>
      <c r="AF110" s="74">
        <v>4.2493631645647376</v>
      </c>
      <c r="AG110" s="74">
        <v>4.3602098518584809</v>
      </c>
      <c r="AH110" s="73"/>
      <c r="AI110" s="72">
        <v>402056.58593635622</v>
      </c>
      <c r="AJ110" s="72">
        <v>0</v>
      </c>
      <c r="AK110" s="73"/>
      <c r="AL110" s="74">
        <v>-1315.1507903274546</v>
      </c>
      <c r="AM110" s="74">
        <v>0</v>
      </c>
      <c r="AN110" s="73"/>
      <c r="AO110" s="72">
        <v>27275.433377854552</v>
      </c>
      <c r="AP110" s="72">
        <v>0</v>
      </c>
      <c r="AQ110" s="73"/>
      <c r="AR110" s="74">
        <v>-68.426875196985876</v>
      </c>
      <c r="AS110" s="74">
        <v>0</v>
      </c>
      <c r="AT110" s="73"/>
      <c r="AU110" s="72">
        <v>33684930.035970308</v>
      </c>
      <c r="AV110" s="72">
        <v>0</v>
      </c>
      <c r="AW110" s="73"/>
      <c r="AX110" s="74">
        <v>-2416.5433212936136</v>
      </c>
      <c r="AY110" s="74">
        <v>0</v>
      </c>
      <c r="AZ110" s="73"/>
      <c r="BA110" s="72">
        <v>392102.66186942148</v>
      </c>
      <c r="BB110" s="72">
        <v>0</v>
      </c>
      <c r="BC110" s="73"/>
      <c r="BD110" s="74">
        <v>-323.39055423198647</v>
      </c>
      <c r="BE110" s="74">
        <v>0</v>
      </c>
      <c r="BF110" s="73"/>
      <c r="BG110" s="72">
        <v>5900208.4036314189</v>
      </c>
      <c r="BH110" s="72">
        <v>0</v>
      </c>
      <c r="BI110" s="73"/>
      <c r="BJ110" s="74">
        <v>-1750.1756672076199</v>
      </c>
      <c r="BK110" s="74">
        <v>0</v>
      </c>
      <c r="BL110" s="73"/>
      <c r="BM110" s="72">
        <v>40406573.120785356</v>
      </c>
      <c r="BN110" s="72">
        <v>0</v>
      </c>
      <c r="BO110" s="73"/>
      <c r="BP110" s="74">
        <v>-5873.6872082576601</v>
      </c>
      <c r="BQ110" s="74">
        <v>0</v>
      </c>
      <c r="BS110" s="109">
        <f t="shared" si="75"/>
        <v>116953.50901648685</v>
      </c>
      <c r="BT110" s="109">
        <f t="shared" si="76"/>
        <v>117203.20904453425</v>
      </c>
      <c r="BV110" s="58">
        <f t="array" ref="BV110">SUM(IF(BS110:BT110&gt;=BS110, 1))</f>
        <v>2</v>
      </c>
      <c r="BW110" s="58">
        <f t="array" ref="BW110">SUM(IF(BS110:BT110&gt;=BT110, 1))</f>
        <v>1</v>
      </c>
      <c r="BY110" s="109">
        <f t="shared" si="77"/>
        <v>134015.27129117458</v>
      </c>
      <c r="BZ110" s="109">
        <f t="shared" si="78"/>
        <v>134215.19913303934</v>
      </c>
      <c r="CB110" s="58">
        <f t="array" ref="CB110">SUM(IF(BY110:BZ110&gt;=BY110, 1))</f>
        <v>2</v>
      </c>
      <c r="CC110" s="58">
        <f t="array" ref="CC110">SUM(IF(BY110:BZ110&gt;=BZ110, 1))</f>
        <v>1</v>
      </c>
      <c r="CE110" s="109">
        <f t="shared" si="79"/>
        <v>98081.390286661845</v>
      </c>
      <c r="CF110" s="109">
        <f t="shared" si="80"/>
        <v>101556.08312790787</v>
      </c>
      <c r="CH110" s="58">
        <f t="array" ref="CH110">SUM(IF(CE110:CF110&gt;=CE110, 1))</f>
        <v>2</v>
      </c>
      <c r="CI110" s="58">
        <f t="array" ref="CI110">SUM(IF(CE110:CF110&gt;=CF110, 1))</f>
        <v>1</v>
      </c>
      <c r="CK110" s="109">
        <f t="shared" si="81"/>
        <v>41832.166699828187</v>
      </c>
      <c r="CL110" s="109">
        <f t="shared" si="82"/>
        <v>42637.564192315796</v>
      </c>
      <c r="CN110" s="58">
        <f t="array" ref="CN110">SUM(IF(CK110:CL110&gt;=CK110, 1))</f>
        <v>2</v>
      </c>
      <c r="CO110" s="58">
        <f t="array" ref="CO110">SUM(IF(CK110:CL110&gt;=CL110, 1))</f>
        <v>1</v>
      </c>
      <c r="CQ110" s="109" cm="1">
        <f t="array" ref="CQ110">AF110*WTP-AC110</f>
        <v>34708.740134814529</v>
      </c>
      <c r="CR110" s="109">
        <f t="shared" si="83"/>
        <v>37299.361258556281</v>
      </c>
      <c r="CT110" s="58">
        <f t="array" ref="CT110">SUM(IF(CQ110:CR110&gt;=CQ110, 1))</f>
        <v>2</v>
      </c>
      <c r="CU110" s="58">
        <f t="array" ref="CU110">SUM(IF(CQ110:CR110&gt;=CR110, 1))</f>
        <v>1</v>
      </c>
      <c r="CW110" s="109">
        <f t="shared" si="84"/>
        <v>-26705072.392485447</v>
      </c>
      <c r="CX110" s="109">
        <f t="shared" si="85"/>
        <v>0</v>
      </c>
      <c r="CZ110" s="58">
        <f t="array" ref="CZ110">SUM(IF(CW110:CX110&gt;=CW110, 1))</f>
        <v>2</v>
      </c>
      <c r="DA110" s="58">
        <f t="array" ref="DA110">SUM(IF(CW110:CX110&gt;=CX110, 1))</f>
        <v>1</v>
      </c>
      <c r="DC110" s="109">
        <f t="shared" si="86"/>
        <v>-1395812.9373175721</v>
      </c>
      <c r="DD110" s="109">
        <f t="shared" si="87"/>
        <v>0</v>
      </c>
      <c r="DF110" s="58">
        <f t="array" ref="DF110">SUM(IF(DC110:DD110&gt;=DC110, 1))</f>
        <v>2</v>
      </c>
      <c r="DG110" s="58">
        <f t="array" ref="DG110">SUM(IF(DC110:DD110&gt;=DD110, 1))</f>
        <v>1</v>
      </c>
      <c r="DI110" s="109">
        <f t="shared" si="88"/>
        <v>-82015796.461842582</v>
      </c>
      <c r="DJ110" s="109">
        <f t="shared" si="89"/>
        <v>0</v>
      </c>
      <c r="DL110" s="58">
        <f t="array" ref="DL110">SUM(IF(DI110:DJ110&gt;=DI110, 1))</f>
        <v>2</v>
      </c>
      <c r="DM110" s="58">
        <f t="array" ref="DM110">SUM(IF(DI110:DJ110&gt;=DJ110, 1))</f>
        <v>1</v>
      </c>
      <c r="DO110" s="109">
        <f t="shared" si="90"/>
        <v>-6859913.7465091506</v>
      </c>
      <c r="DP110" s="109">
        <f t="shared" si="91"/>
        <v>0</v>
      </c>
      <c r="DR110" s="58">
        <f t="array" ref="DR110">SUM(IF(DO110:DP110&gt;=DO110, 1))</f>
        <v>2</v>
      </c>
      <c r="DS110" s="58">
        <f t="array" ref="DS110">SUM(IF(DO110:DP110&gt;=DP110, 1))</f>
        <v>1</v>
      </c>
      <c r="DU110" s="109">
        <f t="shared" si="92"/>
        <v>-40903721.747783817</v>
      </c>
      <c r="DV110" s="109">
        <f t="shared" si="93"/>
        <v>0</v>
      </c>
      <c r="DX110" s="58">
        <f t="array" ref="DX110">SUM(IF(DU110:DV110&gt;=DU110, 1))</f>
        <v>2</v>
      </c>
      <c r="DY110" s="58">
        <f t="array" ref="DY110">SUM(IF(DU110:DV110&gt;=DV110, 1))</f>
        <v>1</v>
      </c>
      <c r="EA110" s="109">
        <f t="shared" si="94"/>
        <v>-157880317.28593856</v>
      </c>
      <c r="EB110" s="109">
        <f t="shared" si="95"/>
        <v>0</v>
      </c>
      <c r="ED110" s="58">
        <f t="array" ref="ED110">SUM(IF(EA110:EB110&gt;=EA110, 1))</f>
        <v>2</v>
      </c>
      <c r="EE110" s="58">
        <f t="array" ref="EE110">SUM(IF(EA110:EB110&gt;=EB110, 1))</f>
        <v>1</v>
      </c>
    </row>
    <row r="111" spans="4:135" ht="12" customHeight="1" x14ac:dyDescent="0.25">
      <c r="D111" s="11">
        <v>95</v>
      </c>
      <c r="E111" s="72">
        <v>263.66743859746566</v>
      </c>
      <c r="F111" s="72">
        <v>242.66973617183601</v>
      </c>
      <c r="G111" s="73"/>
      <c r="H111" s="74">
        <v>5.7362014684669154</v>
      </c>
      <c r="I111" s="74">
        <v>5.7510337033510313</v>
      </c>
      <c r="J111" s="73"/>
      <c r="K111" s="72">
        <v>283.18897274791073</v>
      </c>
      <c r="L111" s="72">
        <v>261.69365565287711</v>
      </c>
      <c r="M111" s="73"/>
      <c r="N111" s="74">
        <v>6.7184645350965546</v>
      </c>
      <c r="O111" s="74">
        <v>6.7314119199850495</v>
      </c>
      <c r="P111" s="73"/>
      <c r="Q111" s="72">
        <v>2126.1794043863274</v>
      </c>
      <c r="R111" s="72">
        <v>1312.3847807901382</v>
      </c>
      <c r="S111" s="73"/>
      <c r="T111" s="74">
        <v>4.6661863335115976</v>
      </c>
      <c r="U111" s="74">
        <v>4.7192221589881189</v>
      </c>
      <c r="V111" s="73"/>
      <c r="W111" s="72">
        <v>14022.912980310522</v>
      </c>
      <c r="X111" s="72">
        <v>13870.57727515799</v>
      </c>
      <c r="Y111" s="73"/>
      <c r="Z111" s="74">
        <v>3.0799085722319592</v>
      </c>
      <c r="AA111" s="74">
        <v>3.100298204916712</v>
      </c>
      <c r="AB111" s="73"/>
      <c r="AC111" s="72">
        <v>49796.533979404114</v>
      </c>
      <c r="AD111" s="72">
        <v>49822.398645133435</v>
      </c>
      <c r="AE111" s="73"/>
      <c r="AF111" s="74">
        <v>4.1452586109842819</v>
      </c>
      <c r="AG111" s="74">
        <v>4.2298823317418464</v>
      </c>
      <c r="AH111" s="73"/>
      <c r="AI111" s="72">
        <v>2238668.3719295915</v>
      </c>
      <c r="AJ111" s="72">
        <v>0</v>
      </c>
      <c r="AK111" s="73"/>
      <c r="AL111" s="74">
        <v>-1581.3375409860025</v>
      </c>
      <c r="AM111" s="74">
        <v>0</v>
      </c>
      <c r="AN111" s="73"/>
      <c r="AO111" s="72">
        <v>147488.11212184699</v>
      </c>
      <c r="AP111" s="72">
        <v>0</v>
      </c>
      <c r="AQ111" s="73"/>
      <c r="AR111" s="74">
        <v>-88.837273052382315</v>
      </c>
      <c r="AS111" s="74">
        <v>0</v>
      </c>
      <c r="AT111" s="73"/>
      <c r="AU111" s="72">
        <v>19227845.993514348</v>
      </c>
      <c r="AV111" s="72">
        <v>0</v>
      </c>
      <c r="AW111" s="73"/>
      <c r="AX111" s="74">
        <v>-1253.098330749689</v>
      </c>
      <c r="AY111" s="74">
        <v>0</v>
      </c>
      <c r="AZ111" s="73"/>
      <c r="BA111" s="72">
        <v>1375887.8079759199</v>
      </c>
      <c r="BB111" s="72">
        <v>0</v>
      </c>
      <c r="BC111" s="73"/>
      <c r="BD111" s="74">
        <v>-184.15805402921515</v>
      </c>
      <c r="BE111" s="74">
        <v>0</v>
      </c>
      <c r="BF111" s="73"/>
      <c r="BG111" s="72">
        <v>-410857.45656620263</v>
      </c>
      <c r="BH111" s="72">
        <v>0</v>
      </c>
      <c r="BI111" s="73"/>
      <c r="BJ111" s="74">
        <v>-1344.2387788606477</v>
      </c>
      <c r="BK111" s="74">
        <v>0</v>
      </c>
      <c r="BL111" s="73"/>
      <c r="BM111" s="72">
        <v>22579032.828975502</v>
      </c>
      <c r="BN111" s="72">
        <v>0</v>
      </c>
      <c r="BO111" s="73"/>
      <c r="BP111" s="74">
        <v>-4451.6699776779369</v>
      </c>
      <c r="BQ111" s="74">
        <v>0</v>
      </c>
      <c r="BS111" s="109">
        <f t="shared" si="75"/>
        <v>114460.36193074085</v>
      </c>
      <c r="BT111" s="109">
        <f t="shared" si="76"/>
        <v>114778.00433084878</v>
      </c>
      <c r="BV111" s="58">
        <f t="array" ref="BV111">SUM(IF(BS111:BT111&gt;=BS111, 1))</f>
        <v>2</v>
      </c>
      <c r="BW111" s="58">
        <f t="array" ref="BW111">SUM(IF(BS111:BT111&gt;=BT111, 1))</f>
        <v>1</v>
      </c>
      <c r="BY111" s="109">
        <f t="shared" si="77"/>
        <v>134086.10172918317</v>
      </c>
      <c r="BZ111" s="109">
        <f t="shared" si="78"/>
        <v>134366.54474404812</v>
      </c>
      <c r="CB111" s="58">
        <f t="array" ref="CB111">SUM(IF(BY111:BZ111&gt;=BY111, 1))</f>
        <v>2</v>
      </c>
      <c r="CC111" s="58">
        <f t="array" ref="CC111">SUM(IF(BY111:BZ111&gt;=BZ111, 1))</f>
        <v>1</v>
      </c>
      <c r="CE111" s="109">
        <f t="shared" si="79"/>
        <v>91197.547265845613</v>
      </c>
      <c r="CF111" s="109">
        <f t="shared" si="80"/>
        <v>93072.058398972251</v>
      </c>
      <c r="CH111" s="58">
        <f t="array" ref="CH111">SUM(IF(CE111:CF111&gt;=CE111, 1))</f>
        <v>2</v>
      </c>
      <c r="CI111" s="58">
        <f t="array" ref="CI111">SUM(IF(CE111:CF111&gt;=CF111, 1))</f>
        <v>1</v>
      </c>
      <c r="CK111" s="109">
        <f t="shared" si="81"/>
        <v>47575.258464328661</v>
      </c>
      <c r="CL111" s="109">
        <f t="shared" si="82"/>
        <v>48135.386823176246</v>
      </c>
      <c r="CN111" s="58">
        <f t="array" ref="CN111">SUM(IF(CK111:CL111&gt;=CK111, 1))</f>
        <v>2</v>
      </c>
      <c r="CO111" s="58">
        <f t="array" ref="CO111">SUM(IF(CK111:CL111&gt;=CL111, 1))</f>
        <v>1</v>
      </c>
      <c r="CQ111" s="109" cm="1">
        <f t="array" ref="CQ111">AF111*WTP-AC111</f>
        <v>33108.638240281529</v>
      </c>
      <c r="CR111" s="109">
        <f t="shared" si="83"/>
        <v>34775.247989703494</v>
      </c>
      <c r="CT111" s="58">
        <f t="array" ref="CT111">SUM(IF(CQ111:CR111&gt;=CQ111, 1))</f>
        <v>2</v>
      </c>
      <c r="CU111" s="58">
        <f t="array" ref="CU111">SUM(IF(CQ111:CR111&gt;=CR111, 1))</f>
        <v>1</v>
      </c>
      <c r="CW111" s="109">
        <f t="shared" si="84"/>
        <v>-33865419.191649646</v>
      </c>
      <c r="CX111" s="109">
        <f t="shared" si="85"/>
        <v>0</v>
      </c>
      <c r="CZ111" s="58">
        <f t="array" ref="CZ111">SUM(IF(CW111:CX111&gt;=CW111, 1))</f>
        <v>2</v>
      </c>
      <c r="DA111" s="58">
        <f t="array" ref="DA111">SUM(IF(CW111:CX111&gt;=CX111, 1))</f>
        <v>1</v>
      </c>
      <c r="DC111" s="109">
        <f t="shared" si="86"/>
        <v>-1924233.5731694933</v>
      </c>
      <c r="DD111" s="109">
        <f t="shared" si="87"/>
        <v>0</v>
      </c>
      <c r="DF111" s="58">
        <f t="array" ref="DF111">SUM(IF(DC111:DD111&gt;=DC111, 1))</f>
        <v>2</v>
      </c>
      <c r="DG111" s="58">
        <f t="array" ref="DG111">SUM(IF(DC111:DD111&gt;=DD111, 1))</f>
        <v>1</v>
      </c>
      <c r="DI111" s="109">
        <f t="shared" si="88"/>
        <v>-44289812.608508125</v>
      </c>
      <c r="DJ111" s="109">
        <f t="shared" si="89"/>
        <v>0</v>
      </c>
      <c r="DL111" s="58">
        <f t="array" ref="DL111">SUM(IF(DI111:DJ111&gt;=DI111, 1))</f>
        <v>2</v>
      </c>
      <c r="DM111" s="58">
        <f t="array" ref="DM111">SUM(IF(DI111:DJ111&gt;=DJ111, 1))</f>
        <v>1</v>
      </c>
      <c r="DO111" s="109">
        <f t="shared" si="90"/>
        <v>-5059048.8885602225</v>
      </c>
      <c r="DP111" s="109">
        <f t="shared" si="91"/>
        <v>0</v>
      </c>
      <c r="DR111" s="58">
        <f t="array" ref="DR111">SUM(IF(DO111:DP111&gt;=DO111, 1))</f>
        <v>2</v>
      </c>
      <c r="DS111" s="58">
        <f t="array" ref="DS111">SUM(IF(DO111:DP111&gt;=DP111, 1))</f>
        <v>1</v>
      </c>
      <c r="DU111" s="109">
        <f t="shared" si="92"/>
        <v>-26473918.120646752</v>
      </c>
      <c r="DV111" s="109">
        <f t="shared" si="93"/>
        <v>0</v>
      </c>
      <c r="DX111" s="58">
        <f t="array" ref="DX111">SUM(IF(DU111:DV111&gt;=DU111, 1))</f>
        <v>2</v>
      </c>
      <c r="DY111" s="58">
        <f t="array" ref="DY111">SUM(IF(DU111:DV111&gt;=DV111, 1))</f>
        <v>1</v>
      </c>
      <c r="EA111" s="109">
        <f t="shared" si="94"/>
        <v>-111612432.38253424</v>
      </c>
      <c r="EB111" s="109">
        <f t="shared" si="95"/>
        <v>0</v>
      </c>
      <c r="ED111" s="58">
        <f t="array" ref="ED111">SUM(IF(EA111:EB111&gt;=EA111, 1))</f>
        <v>2</v>
      </c>
      <c r="EE111" s="58">
        <f t="array" ref="EE111">SUM(IF(EA111:EB111&gt;=EB111, 1))</f>
        <v>1</v>
      </c>
    </row>
    <row r="112" spans="4:135" ht="12" customHeight="1" x14ac:dyDescent="0.25">
      <c r="D112" s="11">
        <v>96</v>
      </c>
      <c r="E112" s="72">
        <v>271.56875206073852</v>
      </c>
      <c r="F112" s="72">
        <v>259.02242770929109</v>
      </c>
      <c r="G112" s="73"/>
      <c r="H112" s="74">
        <v>5.7781640048991489</v>
      </c>
      <c r="I112" s="74">
        <v>5.7960874327047849</v>
      </c>
      <c r="J112" s="73"/>
      <c r="K112" s="72">
        <v>292.25486181352528</v>
      </c>
      <c r="L112" s="72">
        <v>279.36182249983494</v>
      </c>
      <c r="M112" s="73"/>
      <c r="N112" s="74">
        <v>6.7093027592991925</v>
      </c>
      <c r="O112" s="74">
        <v>6.7247105368527489</v>
      </c>
      <c r="P112" s="73"/>
      <c r="Q112" s="72">
        <v>3494.7112458814327</v>
      </c>
      <c r="R112" s="72">
        <v>1781.6896197068284</v>
      </c>
      <c r="S112" s="73"/>
      <c r="T112" s="74">
        <v>4.8072448568544779</v>
      </c>
      <c r="U112" s="74">
        <v>4.9176657385571634</v>
      </c>
      <c r="V112" s="73"/>
      <c r="W112" s="72">
        <v>14090.713245712755</v>
      </c>
      <c r="X112" s="72">
        <v>14063.184485076456</v>
      </c>
      <c r="Y112" s="73"/>
      <c r="Z112" s="74">
        <v>2.9236831717318505</v>
      </c>
      <c r="AA112" s="74">
        <v>2.9689172243006188</v>
      </c>
      <c r="AB112" s="73"/>
      <c r="AC112" s="72">
        <v>48995.901180361929</v>
      </c>
      <c r="AD112" s="72">
        <v>48942.817292595428</v>
      </c>
      <c r="AE112" s="73"/>
      <c r="AF112" s="74">
        <v>3.4567294560900841</v>
      </c>
      <c r="AG112" s="74">
        <v>3.4974598447265075</v>
      </c>
      <c r="AH112" s="73"/>
      <c r="AI112" s="72">
        <v>1340928.8349019377</v>
      </c>
      <c r="AJ112" s="72">
        <v>0</v>
      </c>
      <c r="AK112" s="73"/>
      <c r="AL112" s="74">
        <v>-1915.624089703027</v>
      </c>
      <c r="AM112" s="74">
        <v>0</v>
      </c>
      <c r="AN112" s="73"/>
      <c r="AO112" s="72">
        <v>91721.099232976718</v>
      </c>
      <c r="AP112" s="72">
        <v>0</v>
      </c>
      <c r="AQ112" s="73"/>
      <c r="AR112" s="74">
        <v>-109.61095049549449</v>
      </c>
      <c r="AS112" s="74">
        <v>0</v>
      </c>
      <c r="AT112" s="73"/>
      <c r="AU112" s="72">
        <v>39838370.794261217</v>
      </c>
      <c r="AV112" s="72">
        <v>0</v>
      </c>
      <c r="AW112" s="73"/>
      <c r="AX112" s="74">
        <v>-2567.9699318941698</v>
      </c>
      <c r="AY112" s="74">
        <v>0</v>
      </c>
      <c r="AZ112" s="73"/>
      <c r="BA112" s="72">
        <v>249819.43803102846</v>
      </c>
      <c r="BB112" s="72">
        <v>0</v>
      </c>
      <c r="BC112" s="73"/>
      <c r="BD112" s="74">
        <v>-410.49234805343315</v>
      </c>
      <c r="BE112" s="74">
        <v>0</v>
      </c>
      <c r="BF112" s="73"/>
      <c r="BG112" s="72">
        <v>859504.42362670752</v>
      </c>
      <c r="BH112" s="72">
        <v>0</v>
      </c>
      <c r="BI112" s="73"/>
      <c r="BJ112" s="74">
        <v>-659.48352093255971</v>
      </c>
      <c r="BK112" s="74">
        <v>0</v>
      </c>
      <c r="BL112" s="73"/>
      <c r="BM112" s="72">
        <v>42380344.590053864</v>
      </c>
      <c r="BN112" s="72">
        <v>0</v>
      </c>
      <c r="BO112" s="73"/>
      <c r="BP112" s="74">
        <v>-5663.1808410786853</v>
      </c>
      <c r="BQ112" s="74">
        <v>0</v>
      </c>
      <c r="BS112" s="109">
        <f t="shared" si="75"/>
        <v>115291.71134592225</v>
      </c>
      <c r="BT112" s="109">
        <f t="shared" si="76"/>
        <v>115662.72622638641</v>
      </c>
      <c r="BV112" s="58">
        <f t="array" ref="BV112">SUM(IF(BS112:BT112&gt;=BS112, 1))</f>
        <v>2</v>
      </c>
      <c r="BW112" s="58">
        <f t="array" ref="BW112">SUM(IF(BS112:BT112&gt;=BT112, 1))</f>
        <v>1</v>
      </c>
      <c r="BY112" s="109">
        <f t="shared" si="77"/>
        <v>133893.80032417033</v>
      </c>
      <c r="BZ112" s="109">
        <f t="shared" si="78"/>
        <v>134214.84891455513</v>
      </c>
      <c r="CB112" s="58">
        <f t="array" ref="CB112">SUM(IF(BY112:BZ112&gt;=BY112, 1))</f>
        <v>2</v>
      </c>
      <c r="CC112" s="58">
        <f t="array" ref="CC112">SUM(IF(BY112:BZ112&gt;=BZ112, 1))</f>
        <v>1</v>
      </c>
      <c r="CE112" s="109">
        <f t="shared" si="79"/>
        <v>92650.185891208122</v>
      </c>
      <c r="CF112" s="109">
        <f t="shared" si="80"/>
        <v>96571.625151436441</v>
      </c>
      <c r="CH112" s="58">
        <f t="array" ref="CH112">SUM(IF(CE112:CF112&gt;=CE112, 1))</f>
        <v>2</v>
      </c>
      <c r="CI112" s="58">
        <f t="array" ref="CI112">SUM(IF(CE112:CF112&gt;=CF112, 1))</f>
        <v>1</v>
      </c>
      <c r="CK112" s="109">
        <f t="shared" si="81"/>
        <v>44382.950188924253</v>
      </c>
      <c r="CL112" s="109">
        <f t="shared" si="82"/>
        <v>45315.160000935924</v>
      </c>
      <c r="CN112" s="58">
        <f t="array" ref="CN112">SUM(IF(CK112:CL112&gt;=CK112, 1))</f>
        <v>2</v>
      </c>
      <c r="CO112" s="58">
        <f t="array" ref="CO112">SUM(IF(CK112:CL112&gt;=CL112, 1))</f>
        <v>1</v>
      </c>
      <c r="CQ112" s="109" cm="1">
        <f t="array" ref="CQ112">AF112*WTP-AC112</f>
        <v>20138.687941439748</v>
      </c>
      <c r="CR112" s="109">
        <f t="shared" si="83"/>
        <v>21006.379601934721</v>
      </c>
      <c r="CT112" s="58">
        <f t="array" ref="CT112">SUM(IF(CQ112:CR112&gt;=CQ112, 1))</f>
        <v>2</v>
      </c>
      <c r="CU112" s="58">
        <f t="array" ref="CU112">SUM(IF(CQ112:CR112&gt;=CR112, 1))</f>
        <v>1</v>
      </c>
      <c r="CW112" s="109">
        <f t="shared" si="84"/>
        <v>-39653410.62896248</v>
      </c>
      <c r="CX112" s="109">
        <f t="shared" si="85"/>
        <v>0</v>
      </c>
      <c r="CZ112" s="58">
        <f t="array" ref="CZ112">SUM(IF(CW112:CX112&gt;=CW112, 1))</f>
        <v>2</v>
      </c>
      <c r="DA112" s="58">
        <f t="array" ref="DA112">SUM(IF(CW112:CX112&gt;=CX112, 1))</f>
        <v>1</v>
      </c>
      <c r="DC112" s="109">
        <f t="shared" si="86"/>
        <v>-2283940.1091428665</v>
      </c>
      <c r="DD112" s="109">
        <f t="shared" si="87"/>
        <v>0</v>
      </c>
      <c r="DF112" s="58">
        <f t="array" ref="DF112">SUM(IF(DC112:DD112&gt;=DC112, 1))</f>
        <v>2</v>
      </c>
      <c r="DG112" s="58">
        <f t="array" ref="DG112">SUM(IF(DC112:DD112&gt;=DD112, 1))</f>
        <v>1</v>
      </c>
      <c r="DI112" s="109">
        <f t="shared" si="88"/>
        <v>-91197769.432144612</v>
      </c>
      <c r="DJ112" s="109">
        <f t="shared" si="89"/>
        <v>0</v>
      </c>
      <c r="DL112" s="58">
        <f t="array" ref="DL112">SUM(IF(DI112:DJ112&gt;=DI112, 1))</f>
        <v>2</v>
      </c>
      <c r="DM112" s="58">
        <f t="array" ref="DM112">SUM(IF(DI112:DJ112&gt;=DJ112, 1))</f>
        <v>1</v>
      </c>
      <c r="DO112" s="109">
        <f t="shared" si="90"/>
        <v>-8459666.3990996908</v>
      </c>
      <c r="DP112" s="109">
        <f t="shared" si="91"/>
        <v>0</v>
      </c>
      <c r="DR112" s="58">
        <f t="array" ref="DR112">SUM(IF(DO112:DP112&gt;=DO112, 1))</f>
        <v>2</v>
      </c>
      <c r="DS112" s="58">
        <f t="array" ref="DS112">SUM(IF(DO112:DP112&gt;=DP112, 1))</f>
        <v>1</v>
      </c>
      <c r="DU112" s="109">
        <f t="shared" si="92"/>
        <v>-14049174.842277901</v>
      </c>
      <c r="DV112" s="109">
        <f t="shared" si="93"/>
        <v>0</v>
      </c>
      <c r="DX112" s="58">
        <f t="array" ref="DX112">SUM(IF(DU112:DV112&gt;=DU112, 1))</f>
        <v>2</v>
      </c>
      <c r="DY112" s="58">
        <f t="array" ref="DY112">SUM(IF(DU112:DV112&gt;=DV112, 1))</f>
        <v>1</v>
      </c>
      <c r="EA112" s="109">
        <f t="shared" si="94"/>
        <v>-155643961.41162756</v>
      </c>
      <c r="EB112" s="109">
        <f t="shared" si="95"/>
        <v>0</v>
      </c>
      <c r="ED112" s="58">
        <f t="array" ref="ED112">SUM(IF(EA112:EB112&gt;=EA112, 1))</f>
        <v>2</v>
      </c>
      <c r="EE112" s="58">
        <f t="array" ref="EE112">SUM(IF(EA112:EB112&gt;=EB112, 1))</f>
        <v>1</v>
      </c>
    </row>
    <row r="113" spans="4:135" ht="12" customHeight="1" x14ac:dyDescent="0.25">
      <c r="D113" s="11">
        <v>97</v>
      </c>
      <c r="E113" s="72">
        <v>232.15450139774728</v>
      </c>
      <c r="F113" s="72">
        <v>198.91207829951873</v>
      </c>
      <c r="G113" s="73"/>
      <c r="H113" s="74">
        <v>5.7738614494844755</v>
      </c>
      <c r="I113" s="74">
        <v>5.7942876114126101</v>
      </c>
      <c r="J113" s="73"/>
      <c r="K113" s="72">
        <v>248.37268882698282</v>
      </c>
      <c r="L113" s="72">
        <v>214.38614786160036</v>
      </c>
      <c r="M113" s="73"/>
      <c r="N113" s="74">
        <v>6.7710904869566955</v>
      </c>
      <c r="O113" s="74">
        <v>6.7899740285488761</v>
      </c>
      <c r="P113" s="73"/>
      <c r="Q113" s="72">
        <v>1972.0794944530426</v>
      </c>
      <c r="R113" s="72">
        <v>1262.5531061822887</v>
      </c>
      <c r="S113" s="73"/>
      <c r="T113" s="74">
        <v>4.8432488708954828</v>
      </c>
      <c r="U113" s="74">
        <v>4.9079415398868607</v>
      </c>
      <c r="V113" s="73"/>
      <c r="W113" s="72">
        <v>10592.401173123342</v>
      </c>
      <c r="X113" s="72">
        <v>10657.739636051214</v>
      </c>
      <c r="Y113" s="73"/>
      <c r="Z113" s="74">
        <v>3.0092351722299755</v>
      </c>
      <c r="AA113" s="74">
        <v>3.0768934025567951</v>
      </c>
      <c r="AB113" s="73"/>
      <c r="AC113" s="72">
        <v>49898.774184668109</v>
      </c>
      <c r="AD113" s="72">
        <v>49680.214484185199</v>
      </c>
      <c r="AE113" s="73"/>
      <c r="AF113" s="74">
        <v>4.0468799209845985</v>
      </c>
      <c r="AG113" s="74">
        <v>4.1411467514043894</v>
      </c>
      <c r="AH113" s="73"/>
      <c r="AI113" s="72">
        <v>3540741.4563392531</v>
      </c>
      <c r="AJ113" s="72">
        <v>0</v>
      </c>
      <c r="AK113" s="73"/>
      <c r="AL113" s="74">
        <v>-2175.6464057729427</v>
      </c>
      <c r="AM113" s="74">
        <v>0</v>
      </c>
      <c r="AN113" s="73"/>
      <c r="AO113" s="72">
        <v>231942.31774865196</v>
      </c>
      <c r="AP113" s="72">
        <v>0</v>
      </c>
      <c r="AQ113" s="73"/>
      <c r="AR113" s="74">
        <v>-128.87137907487136</v>
      </c>
      <c r="AS113" s="74">
        <v>0</v>
      </c>
      <c r="AT113" s="73"/>
      <c r="AU113" s="72">
        <v>16795636.570203181</v>
      </c>
      <c r="AV113" s="72">
        <v>0</v>
      </c>
      <c r="AW113" s="73"/>
      <c r="AX113" s="74">
        <v>-1531.3800516761157</v>
      </c>
      <c r="AY113" s="74">
        <v>0</v>
      </c>
      <c r="AZ113" s="73"/>
      <c r="BA113" s="72">
        <v>-595921.84536103753</v>
      </c>
      <c r="BB113" s="72">
        <v>0</v>
      </c>
      <c r="BC113" s="73"/>
      <c r="BD113" s="74">
        <v>-617.07936892744726</v>
      </c>
      <c r="BE113" s="74">
        <v>0</v>
      </c>
      <c r="BF113" s="73"/>
      <c r="BG113" s="72">
        <v>3410050.4346157452</v>
      </c>
      <c r="BH113" s="72">
        <v>0</v>
      </c>
      <c r="BI113" s="73"/>
      <c r="BJ113" s="74">
        <v>-1470.7864502586633</v>
      </c>
      <c r="BK113" s="74">
        <v>0</v>
      </c>
      <c r="BL113" s="73"/>
      <c r="BM113" s="72">
        <v>23382448.933545794</v>
      </c>
      <c r="BN113" s="72">
        <v>0</v>
      </c>
      <c r="BO113" s="73"/>
      <c r="BP113" s="74">
        <v>-5923.7636557100404</v>
      </c>
      <c r="BQ113" s="74">
        <v>0</v>
      </c>
      <c r="BS113" s="109">
        <f t="shared" si="75"/>
        <v>115245.07448829176</v>
      </c>
      <c r="BT113" s="109">
        <f t="shared" si="76"/>
        <v>115686.84014995268</v>
      </c>
      <c r="BV113" s="58">
        <f t="array" ref="BV113">SUM(IF(BS113:BT113&gt;=BS113, 1))</f>
        <v>2</v>
      </c>
      <c r="BW113" s="58">
        <f t="array" ref="BW113">SUM(IF(BS113:BT113&gt;=BT113, 1))</f>
        <v>1</v>
      </c>
      <c r="BY113" s="109">
        <f t="shared" si="77"/>
        <v>135173.43705030691</v>
      </c>
      <c r="BZ113" s="109">
        <f t="shared" si="78"/>
        <v>135585.09442311592</v>
      </c>
      <c r="CB113" s="58">
        <f t="array" ref="CB113">SUM(IF(BY113:BZ113&gt;=BY113, 1))</f>
        <v>2</v>
      </c>
      <c r="CC113" s="58">
        <f t="array" ref="CC113">SUM(IF(BY113:BZ113&gt;=BZ113, 1))</f>
        <v>1</v>
      </c>
      <c r="CE113" s="109">
        <f t="shared" si="79"/>
        <v>94892.897923456621</v>
      </c>
      <c r="CF113" s="109">
        <f t="shared" si="80"/>
        <v>96896.277691554933</v>
      </c>
      <c r="CH113" s="58">
        <f t="array" ref="CH113">SUM(IF(CE113:CF113&gt;=CE113, 1))</f>
        <v>2</v>
      </c>
      <c r="CI113" s="58">
        <f t="array" ref="CI113">SUM(IF(CE113:CF113&gt;=CF113, 1))</f>
        <v>1</v>
      </c>
      <c r="CK113" s="109">
        <f t="shared" si="81"/>
        <v>49592.302271476168</v>
      </c>
      <c r="CL113" s="109">
        <f t="shared" si="82"/>
        <v>50880.128415084691</v>
      </c>
      <c r="CN113" s="58">
        <f t="array" ref="CN113">SUM(IF(CK113:CL113&gt;=CK113, 1))</f>
        <v>2</v>
      </c>
      <c r="CO113" s="58">
        <f t="array" ref="CO113">SUM(IF(CK113:CL113&gt;=CL113, 1))</f>
        <v>1</v>
      </c>
      <c r="CQ113" s="109" cm="1">
        <f t="array" ref="CQ113">AF113*WTP-AC113</f>
        <v>31038.824235023865</v>
      </c>
      <c r="CR113" s="109">
        <f t="shared" si="83"/>
        <v>33142.720543902586</v>
      </c>
      <c r="CT113" s="58">
        <f t="array" ref="CT113">SUM(IF(CQ113:CR113&gt;=CQ113, 1))</f>
        <v>2</v>
      </c>
      <c r="CU113" s="58">
        <f t="array" ref="CU113">SUM(IF(CQ113:CR113&gt;=CR113, 1))</f>
        <v>1</v>
      </c>
      <c r="CW113" s="109">
        <f t="shared" si="84"/>
        <v>-47053669.571798109</v>
      </c>
      <c r="CX113" s="109">
        <f t="shared" si="85"/>
        <v>0</v>
      </c>
      <c r="CZ113" s="58">
        <f t="array" ref="CZ113">SUM(IF(CW113:CX113&gt;=CW113, 1))</f>
        <v>2</v>
      </c>
      <c r="DA113" s="58">
        <f t="array" ref="DA113">SUM(IF(CW113:CX113&gt;=CX113, 1))</f>
        <v>1</v>
      </c>
      <c r="DC113" s="109">
        <f t="shared" si="86"/>
        <v>-2809369.8992460789</v>
      </c>
      <c r="DD113" s="109">
        <f t="shared" si="87"/>
        <v>0</v>
      </c>
      <c r="DF113" s="58">
        <f t="array" ref="DF113">SUM(IF(DC113:DD113&gt;=DC113, 1))</f>
        <v>2</v>
      </c>
      <c r="DG113" s="58">
        <f t="array" ref="DG113">SUM(IF(DC113:DD113&gt;=DD113, 1))</f>
        <v>1</v>
      </c>
      <c r="DI113" s="109">
        <f t="shared" si="88"/>
        <v>-47423237.603725493</v>
      </c>
      <c r="DJ113" s="109">
        <f t="shared" si="89"/>
        <v>0</v>
      </c>
      <c r="DL113" s="58">
        <f t="array" ref="DL113">SUM(IF(DI113:DJ113&gt;=DI113, 1))</f>
        <v>2</v>
      </c>
      <c r="DM113" s="58">
        <f t="array" ref="DM113">SUM(IF(DI113:DJ113&gt;=DJ113, 1))</f>
        <v>1</v>
      </c>
      <c r="DO113" s="109">
        <f t="shared" si="90"/>
        <v>-11745665.533187907</v>
      </c>
      <c r="DP113" s="109">
        <f t="shared" si="91"/>
        <v>0</v>
      </c>
      <c r="DR113" s="58">
        <f t="array" ref="DR113">SUM(IF(DO113:DP113&gt;=DO113, 1))</f>
        <v>2</v>
      </c>
      <c r="DS113" s="58">
        <f t="array" ref="DS113">SUM(IF(DO113:DP113&gt;=DP113, 1))</f>
        <v>1</v>
      </c>
      <c r="DU113" s="109">
        <f t="shared" si="92"/>
        <v>-32825779.439789012</v>
      </c>
      <c r="DV113" s="109">
        <f t="shared" si="93"/>
        <v>0</v>
      </c>
      <c r="DX113" s="58">
        <f t="array" ref="DX113">SUM(IF(DU113:DV113&gt;=DU113, 1))</f>
        <v>2</v>
      </c>
      <c r="DY113" s="58">
        <f t="array" ref="DY113">SUM(IF(DU113:DV113&gt;=DV113, 1))</f>
        <v>1</v>
      </c>
      <c r="EA113" s="109">
        <f t="shared" si="94"/>
        <v>-141857722.0477466</v>
      </c>
      <c r="EB113" s="109">
        <f t="shared" si="95"/>
        <v>0</v>
      </c>
      <c r="ED113" s="58">
        <f t="array" ref="ED113">SUM(IF(EA113:EB113&gt;=EA113, 1))</f>
        <v>2</v>
      </c>
      <c r="EE113" s="58">
        <f t="array" ref="EE113">SUM(IF(EA113:EB113&gt;=EB113, 1))</f>
        <v>1</v>
      </c>
    </row>
    <row r="114" spans="4:135" ht="12" customHeight="1" x14ac:dyDescent="0.25">
      <c r="D114" s="11">
        <v>98</v>
      </c>
      <c r="E114" s="72">
        <v>254.13023868765347</v>
      </c>
      <c r="F114" s="72">
        <v>225.92075419122062</v>
      </c>
      <c r="G114" s="73"/>
      <c r="H114" s="74">
        <v>5.8342116758843714</v>
      </c>
      <c r="I114" s="74">
        <v>5.8496373125704242</v>
      </c>
      <c r="J114" s="73"/>
      <c r="K114" s="72">
        <v>272.4333246244388</v>
      </c>
      <c r="L114" s="72">
        <v>243.54751834631978</v>
      </c>
      <c r="M114" s="73"/>
      <c r="N114" s="74">
        <v>6.7069945787901126</v>
      </c>
      <c r="O114" s="74">
        <v>6.720126868818082</v>
      </c>
      <c r="P114" s="73"/>
      <c r="Q114" s="72">
        <v>1885.3321345143484</v>
      </c>
      <c r="R114" s="72">
        <v>1330.6089608060831</v>
      </c>
      <c r="S114" s="73"/>
      <c r="T114" s="74">
        <v>4.8865675305279046</v>
      </c>
      <c r="U114" s="74">
        <v>4.9403630699124159</v>
      </c>
      <c r="V114" s="73"/>
      <c r="W114" s="72">
        <v>13614.752170955695</v>
      </c>
      <c r="X114" s="72">
        <v>13630.796076860475</v>
      </c>
      <c r="Y114" s="73"/>
      <c r="Z114" s="74">
        <v>2.9758930296519992</v>
      </c>
      <c r="AA114" s="74">
        <v>3.0322979166768129</v>
      </c>
      <c r="AB114" s="73"/>
      <c r="AC114" s="72">
        <v>50042.973387034042</v>
      </c>
      <c r="AD114" s="72">
        <v>49826.711013713721</v>
      </c>
      <c r="AE114" s="73"/>
      <c r="AF114" s="74">
        <v>4.5683216674318841</v>
      </c>
      <c r="AG114" s="74">
        <v>4.6558060933156185</v>
      </c>
      <c r="AH114" s="73"/>
      <c r="AI114" s="72">
        <v>3026463.8385791616</v>
      </c>
      <c r="AJ114" s="72">
        <v>0</v>
      </c>
      <c r="AK114" s="73"/>
      <c r="AL114" s="74">
        <v>-1654.9445142573343</v>
      </c>
      <c r="AM114" s="74">
        <v>0</v>
      </c>
      <c r="AN114" s="73"/>
      <c r="AO114" s="72">
        <v>196269.0262985859</v>
      </c>
      <c r="AP114" s="72">
        <v>0</v>
      </c>
      <c r="AQ114" s="73"/>
      <c r="AR114" s="74">
        <v>-89.229352023059064</v>
      </c>
      <c r="AS114" s="74">
        <v>0</v>
      </c>
      <c r="AT114" s="73"/>
      <c r="AU114" s="72">
        <v>12964343.280824097</v>
      </c>
      <c r="AV114" s="72">
        <v>0</v>
      </c>
      <c r="AW114" s="73"/>
      <c r="AX114" s="74">
        <v>-1257.246627891338</v>
      </c>
      <c r="AY114" s="74">
        <v>0</v>
      </c>
      <c r="AZ114" s="73"/>
      <c r="BA114" s="72">
        <v>-139130.21381649861</v>
      </c>
      <c r="BB114" s="72">
        <v>0</v>
      </c>
      <c r="BC114" s="73"/>
      <c r="BD114" s="74">
        <v>-489.13425687192279</v>
      </c>
      <c r="BE114" s="74">
        <v>0</v>
      </c>
      <c r="BF114" s="73"/>
      <c r="BG114" s="72">
        <v>3411735.9453640357</v>
      </c>
      <c r="BH114" s="72">
        <v>0</v>
      </c>
      <c r="BI114" s="73"/>
      <c r="BJ114" s="74">
        <v>-1380.1465130736426</v>
      </c>
      <c r="BK114" s="74">
        <v>0</v>
      </c>
      <c r="BL114" s="73"/>
      <c r="BM114" s="72">
        <v>19459681.877249382</v>
      </c>
      <c r="BN114" s="72">
        <v>0</v>
      </c>
      <c r="BO114" s="73"/>
      <c r="BP114" s="74">
        <v>-4870.7012641172969</v>
      </c>
      <c r="BQ114" s="74">
        <v>0</v>
      </c>
      <c r="BS114" s="109">
        <f t="shared" si="75"/>
        <v>116430.10327899978</v>
      </c>
      <c r="BT114" s="109">
        <f t="shared" si="76"/>
        <v>116766.82549721727</v>
      </c>
      <c r="BV114" s="58">
        <f t="array" ref="BV114">SUM(IF(BS114:BT114&gt;=BS114, 1))</f>
        <v>2</v>
      </c>
      <c r="BW114" s="58">
        <f t="array" ref="BW114">SUM(IF(BS114:BT114&gt;=BT114, 1))</f>
        <v>1</v>
      </c>
      <c r="BY114" s="109">
        <f t="shared" si="77"/>
        <v>133867.45825117783</v>
      </c>
      <c r="BZ114" s="109">
        <f t="shared" si="78"/>
        <v>134158.98985801532</v>
      </c>
      <c r="CB114" s="58">
        <f t="array" ref="CB114">SUM(IF(BY114:BZ114&gt;=BY114, 1))</f>
        <v>2</v>
      </c>
      <c r="CC114" s="58">
        <f t="array" ref="CC114">SUM(IF(BY114:BZ114&gt;=BZ114, 1))</f>
        <v>1</v>
      </c>
      <c r="CE114" s="109">
        <f t="shared" si="79"/>
        <v>95846.018476043741</v>
      </c>
      <c r="CF114" s="109">
        <f t="shared" si="80"/>
        <v>97476.65243744223</v>
      </c>
      <c r="CH114" s="58">
        <f t="array" ref="CH114">SUM(IF(CE114:CF114&gt;=CE114, 1))</f>
        <v>2</v>
      </c>
      <c r="CI114" s="58">
        <f t="array" ref="CI114">SUM(IF(CE114:CF114&gt;=CF114, 1))</f>
        <v>1</v>
      </c>
      <c r="CK114" s="109">
        <f t="shared" si="81"/>
        <v>45903.108422084289</v>
      </c>
      <c r="CL114" s="109">
        <f t="shared" si="82"/>
        <v>47015.16225667578</v>
      </c>
      <c r="CN114" s="58">
        <f t="array" ref="CN114">SUM(IF(CK114:CL114&gt;=CK114, 1))</f>
        <v>2</v>
      </c>
      <c r="CO114" s="58">
        <f t="array" ref="CO114">SUM(IF(CK114:CL114&gt;=CL114, 1))</f>
        <v>1</v>
      </c>
      <c r="CQ114" s="109" cm="1">
        <f t="array" ref="CQ114">AF114*WTP-AC114</f>
        <v>41323.459961603643</v>
      </c>
      <c r="CR114" s="109">
        <f t="shared" si="83"/>
        <v>43289.410852598652</v>
      </c>
      <c r="CT114" s="58">
        <f t="array" ref="CT114">SUM(IF(CQ114:CR114&gt;=CQ114, 1))</f>
        <v>2</v>
      </c>
      <c r="CU114" s="58">
        <f t="array" ref="CU114">SUM(IF(CQ114:CR114&gt;=CR114, 1))</f>
        <v>1</v>
      </c>
      <c r="CW114" s="109">
        <f t="shared" si="84"/>
        <v>-36125354.123725846</v>
      </c>
      <c r="CX114" s="109">
        <f t="shared" si="85"/>
        <v>0</v>
      </c>
      <c r="CZ114" s="58">
        <f t="array" ref="CZ114">SUM(IF(CW114:CX114&gt;=CW114, 1))</f>
        <v>2</v>
      </c>
      <c r="DA114" s="58">
        <f t="array" ref="DA114">SUM(IF(CW114:CX114&gt;=CX114, 1))</f>
        <v>1</v>
      </c>
      <c r="DC114" s="109">
        <f t="shared" si="86"/>
        <v>-1980856.066759767</v>
      </c>
      <c r="DD114" s="109">
        <f t="shared" si="87"/>
        <v>0</v>
      </c>
      <c r="DF114" s="58">
        <f t="array" ref="DF114">SUM(IF(DC114:DD114&gt;=DC114, 1))</f>
        <v>2</v>
      </c>
      <c r="DG114" s="58">
        <f t="array" ref="DG114">SUM(IF(DC114:DD114&gt;=DD114, 1))</f>
        <v>1</v>
      </c>
      <c r="DI114" s="109">
        <f t="shared" si="88"/>
        <v>-38109275.83865086</v>
      </c>
      <c r="DJ114" s="109">
        <f t="shared" si="89"/>
        <v>0</v>
      </c>
      <c r="DL114" s="58">
        <f t="array" ref="DL114">SUM(IF(DI114:DJ114&gt;=DI114, 1))</f>
        <v>2</v>
      </c>
      <c r="DM114" s="58">
        <f t="array" ref="DM114">SUM(IF(DI114:DJ114&gt;=DJ114, 1))</f>
        <v>1</v>
      </c>
      <c r="DO114" s="109">
        <f t="shared" si="90"/>
        <v>-9643554.9236219563</v>
      </c>
      <c r="DP114" s="109">
        <f t="shared" si="91"/>
        <v>0</v>
      </c>
      <c r="DR114" s="58">
        <f t="array" ref="DR114">SUM(IF(DO114:DP114&gt;=DO114, 1))</f>
        <v>2</v>
      </c>
      <c r="DS114" s="58">
        <f t="array" ref="DS114">SUM(IF(DO114:DP114&gt;=DP114, 1))</f>
        <v>1</v>
      </c>
      <c r="DU114" s="109">
        <f t="shared" si="92"/>
        <v>-31014666.206836887</v>
      </c>
      <c r="DV114" s="109">
        <f t="shared" si="93"/>
        <v>0</v>
      </c>
      <c r="DX114" s="58">
        <f t="array" ref="DX114">SUM(IF(DU114:DV114&gt;=DU114, 1))</f>
        <v>2</v>
      </c>
      <c r="DY114" s="58">
        <f t="array" ref="DY114">SUM(IF(DU114:DV114&gt;=DV114, 1))</f>
        <v>1</v>
      </c>
      <c r="EA114" s="109">
        <f t="shared" si="94"/>
        <v>-116873707.15959531</v>
      </c>
      <c r="EB114" s="109">
        <f t="shared" si="95"/>
        <v>0</v>
      </c>
      <c r="ED114" s="58">
        <f t="array" ref="ED114">SUM(IF(EA114:EB114&gt;=EA114, 1))</f>
        <v>2</v>
      </c>
      <c r="EE114" s="58">
        <f t="array" ref="EE114">SUM(IF(EA114:EB114&gt;=EB114, 1))</f>
        <v>1</v>
      </c>
    </row>
    <row r="115" spans="4:135" ht="12" customHeight="1" x14ac:dyDescent="0.25">
      <c r="D115" s="11">
        <v>99</v>
      </c>
      <c r="E115" s="72">
        <v>305.34842458689917</v>
      </c>
      <c r="F115" s="72">
        <v>251.47380548829946</v>
      </c>
      <c r="G115" s="73"/>
      <c r="H115" s="74">
        <v>5.7940730540117551</v>
      </c>
      <c r="I115" s="74">
        <v>5.8119604192399796</v>
      </c>
      <c r="J115" s="73"/>
      <c r="K115" s="72">
        <v>326.11316278676998</v>
      </c>
      <c r="L115" s="72">
        <v>270.96005232856731</v>
      </c>
      <c r="M115" s="73"/>
      <c r="N115" s="74">
        <v>6.701085527334512</v>
      </c>
      <c r="O115" s="74">
        <v>6.7167730037711735</v>
      </c>
      <c r="P115" s="73"/>
      <c r="Q115" s="72">
        <v>2735.1502263963166</v>
      </c>
      <c r="R115" s="72">
        <v>1640.9800508526023</v>
      </c>
      <c r="S115" s="73"/>
      <c r="T115" s="74">
        <v>4.8236755423859465</v>
      </c>
      <c r="U115" s="74">
        <v>4.9094996261920318</v>
      </c>
      <c r="V115" s="73"/>
      <c r="W115" s="72">
        <v>12381.583700668118</v>
      </c>
      <c r="X115" s="72">
        <v>12378.159222112668</v>
      </c>
      <c r="Y115" s="73"/>
      <c r="Z115" s="74">
        <v>3.0179297094020927</v>
      </c>
      <c r="AA115" s="74">
        <v>3.0637315901785374</v>
      </c>
      <c r="AB115" s="73"/>
      <c r="AC115" s="72">
        <v>49766.635577605914</v>
      </c>
      <c r="AD115" s="72">
        <v>49938.648078516919</v>
      </c>
      <c r="AE115" s="73"/>
      <c r="AF115" s="74">
        <v>4.0880397052717905</v>
      </c>
      <c r="AG115" s="74">
        <v>4.113287331244714</v>
      </c>
      <c r="AH115" s="73"/>
      <c r="AI115" s="72">
        <v>5747252.9466222841</v>
      </c>
      <c r="AJ115" s="72">
        <v>0</v>
      </c>
      <c r="AK115" s="73"/>
      <c r="AL115" s="74">
        <v>-1908.1937698171957</v>
      </c>
      <c r="AM115" s="74">
        <v>0</v>
      </c>
      <c r="AN115" s="73"/>
      <c r="AO115" s="72">
        <v>387256.19415313011</v>
      </c>
      <c r="AP115" s="72">
        <v>0</v>
      </c>
      <c r="AQ115" s="73"/>
      <c r="AR115" s="74">
        <v>-110.14922585975218</v>
      </c>
      <c r="AS115" s="74">
        <v>0</v>
      </c>
      <c r="AT115" s="73"/>
      <c r="AU115" s="72">
        <v>25926495.957233835</v>
      </c>
      <c r="AV115" s="72">
        <v>0</v>
      </c>
      <c r="AW115" s="73"/>
      <c r="AX115" s="74">
        <v>-2033.6121487921789</v>
      </c>
      <c r="AY115" s="74">
        <v>0</v>
      </c>
      <c r="AZ115" s="73"/>
      <c r="BA115" s="72">
        <v>29972.660490545499</v>
      </c>
      <c r="BB115" s="72">
        <v>0</v>
      </c>
      <c r="BC115" s="73"/>
      <c r="BD115" s="74">
        <v>-400.87978362613114</v>
      </c>
      <c r="BE115" s="74">
        <v>0</v>
      </c>
      <c r="BF115" s="73"/>
      <c r="BG115" s="72">
        <v>-2680618.1131275981</v>
      </c>
      <c r="BH115" s="72">
        <v>0</v>
      </c>
      <c r="BI115" s="73"/>
      <c r="BJ115" s="74">
        <v>-393.45537759203364</v>
      </c>
      <c r="BK115" s="74">
        <v>0</v>
      </c>
      <c r="BL115" s="73"/>
      <c r="BM115" s="72">
        <v>29410359.645372201</v>
      </c>
      <c r="BN115" s="72">
        <v>0</v>
      </c>
      <c r="BO115" s="73"/>
      <c r="BP115" s="74">
        <v>-4846.2903056872919</v>
      </c>
      <c r="BQ115" s="74">
        <v>0</v>
      </c>
      <c r="BS115" s="109">
        <f t="shared" si="75"/>
        <v>115576.1126556482</v>
      </c>
      <c r="BT115" s="109">
        <f t="shared" si="76"/>
        <v>115987.73457931129</v>
      </c>
      <c r="BV115" s="58">
        <f t="array" ref="BV115">SUM(IF(BS115:BT115&gt;=BS115, 1))</f>
        <v>2</v>
      </c>
      <c r="BW115" s="58">
        <f t="array" ref="BW115">SUM(IF(BS115:BT115&gt;=BT115, 1))</f>
        <v>1</v>
      </c>
      <c r="BY115" s="109">
        <f t="shared" si="77"/>
        <v>133695.59738390349</v>
      </c>
      <c r="BZ115" s="109">
        <f t="shared" si="78"/>
        <v>134064.50002309491</v>
      </c>
      <c r="CB115" s="58">
        <f t="array" ref="CB115">SUM(IF(BY115:BZ115&gt;=BY115, 1))</f>
        <v>2</v>
      </c>
      <c r="CC115" s="58">
        <f t="array" ref="CC115">SUM(IF(BY115:BZ115&gt;=BZ115, 1))</f>
        <v>1</v>
      </c>
      <c r="CE115" s="109">
        <f t="shared" si="79"/>
        <v>93738.360621322616</v>
      </c>
      <c r="CF115" s="109">
        <f t="shared" si="80"/>
        <v>96549.012472988048</v>
      </c>
      <c r="CH115" s="58">
        <f t="array" ref="CH115">SUM(IF(CE115:CF115&gt;=CE115, 1))</f>
        <v>2</v>
      </c>
      <c r="CI115" s="58">
        <f t="array" ref="CI115">SUM(IF(CE115:CF115&gt;=CF115, 1))</f>
        <v>1</v>
      </c>
      <c r="CK115" s="109">
        <f t="shared" si="81"/>
        <v>47977.010487373736</v>
      </c>
      <c r="CL115" s="109">
        <f t="shared" si="82"/>
        <v>48896.472581458074</v>
      </c>
      <c r="CN115" s="58">
        <f t="array" ref="CN115">SUM(IF(CK115:CL115&gt;=CK115, 1))</f>
        <v>2</v>
      </c>
      <c r="CO115" s="58">
        <f t="array" ref="CO115">SUM(IF(CK115:CL115&gt;=CL115, 1))</f>
        <v>1</v>
      </c>
      <c r="CQ115" s="109" cm="1">
        <f t="array" ref="CQ115">AF115*WTP-AC115</f>
        <v>31994.158527829895</v>
      </c>
      <c r="CR115" s="109">
        <f t="shared" si="83"/>
        <v>32327.098546377361</v>
      </c>
      <c r="CT115" s="58">
        <f t="array" ref="CT115">SUM(IF(CQ115:CR115&gt;=CQ115, 1))</f>
        <v>2</v>
      </c>
      <c r="CU115" s="58">
        <f t="array" ref="CU115">SUM(IF(CQ115:CR115&gt;=CR115, 1))</f>
        <v>1</v>
      </c>
      <c r="CW115" s="109">
        <f t="shared" si="84"/>
        <v>-43911128.342966199</v>
      </c>
      <c r="CX115" s="109">
        <f t="shared" si="85"/>
        <v>0</v>
      </c>
      <c r="CZ115" s="58">
        <f t="array" ref="CZ115">SUM(IF(CW115:CX115&gt;=CW115, 1))</f>
        <v>2</v>
      </c>
      <c r="DA115" s="58">
        <f t="array" ref="DA115">SUM(IF(CW115:CX115&gt;=CX115, 1))</f>
        <v>1</v>
      </c>
      <c r="DC115" s="109">
        <f t="shared" si="86"/>
        <v>-2590240.7113481737</v>
      </c>
      <c r="DD115" s="109">
        <f t="shared" si="87"/>
        <v>0</v>
      </c>
      <c r="DF115" s="58">
        <f t="array" ref="DF115">SUM(IF(DC115:DD115&gt;=DC115, 1))</f>
        <v>2</v>
      </c>
      <c r="DG115" s="58">
        <f t="array" ref="DG115">SUM(IF(DC115:DD115&gt;=DD115, 1))</f>
        <v>1</v>
      </c>
      <c r="DI115" s="109">
        <f t="shared" si="88"/>
        <v>-66598738.93307741</v>
      </c>
      <c r="DJ115" s="109">
        <f t="shared" si="89"/>
        <v>0</v>
      </c>
      <c r="DL115" s="58">
        <f t="array" ref="DL115">SUM(IF(DI115:DJ115&gt;=DI115, 1))</f>
        <v>2</v>
      </c>
      <c r="DM115" s="58">
        <f t="array" ref="DM115">SUM(IF(DI115:DJ115&gt;=DJ115, 1))</f>
        <v>1</v>
      </c>
      <c r="DO115" s="109">
        <f t="shared" si="90"/>
        <v>-8047568.3330131685</v>
      </c>
      <c r="DP115" s="109">
        <f t="shared" si="91"/>
        <v>0</v>
      </c>
      <c r="DR115" s="58">
        <f t="array" ref="DR115">SUM(IF(DO115:DP115&gt;=DO115, 1))</f>
        <v>2</v>
      </c>
      <c r="DS115" s="58">
        <f t="array" ref="DS115">SUM(IF(DO115:DP115&gt;=DP115, 1))</f>
        <v>1</v>
      </c>
      <c r="DU115" s="109">
        <f t="shared" si="92"/>
        <v>-5188489.4387130756</v>
      </c>
      <c r="DV115" s="109">
        <f t="shared" si="93"/>
        <v>0</v>
      </c>
      <c r="DX115" s="58">
        <f t="array" ref="DX115">SUM(IF(DU115:DV115&gt;=DU115, 1))</f>
        <v>2</v>
      </c>
      <c r="DY115" s="58">
        <f t="array" ref="DY115">SUM(IF(DU115:DV115&gt;=DV115, 1))</f>
        <v>1</v>
      </c>
      <c r="EA115" s="109">
        <f t="shared" si="94"/>
        <v>-126336165.75911804</v>
      </c>
      <c r="EB115" s="109">
        <f t="shared" si="95"/>
        <v>0</v>
      </c>
      <c r="ED115" s="58">
        <f t="array" ref="ED115">SUM(IF(EA115:EB115&gt;=EA115, 1))</f>
        <v>2</v>
      </c>
      <c r="EE115" s="58">
        <f t="array" ref="EE115">SUM(IF(EA115:EB115&gt;=EB115, 1))</f>
        <v>1</v>
      </c>
    </row>
    <row r="116" spans="4:135" ht="12" customHeight="1" x14ac:dyDescent="0.25">
      <c r="D116" s="11">
        <v>100</v>
      </c>
      <c r="E116" s="72">
        <v>243.90764672780074</v>
      </c>
      <c r="F116" s="72">
        <v>235.96352131819387</v>
      </c>
      <c r="G116" s="73"/>
      <c r="H116" s="74">
        <v>5.7805461738845159</v>
      </c>
      <c r="I116" s="74">
        <v>5.7931366116142131</v>
      </c>
      <c r="J116" s="73"/>
      <c r="K116" s="72">
        <v>262.61329319639185</v>
      </c>
      <c r="L116" s="72">
        <v>254.45525440304479</v>
      </c>
      <c r="M116" s="73"/>
      <c r="N116" s="74">
        <v>6.7427594828372959</v>
      </c>
      <c r="O116" s="74">
        <v>6.7534398678264633</v>
      </c>
      <c r="P116" s="73"/>
      <c r="Q116" s="72">
        <v>3998.6564549499258</v>
      </c>
      <c r="R116" s="72">
        <v>1673.7049208317394</v>
      </c>
      <c r="S116" s="73"/>
      <c r="T116" s="74">
        <v>4.7645126957732478</v>
      </c>
      <c r="U116" s="74">
        <v>4.9223131163241609</v>
      </c>
      <c r="V116" s="73"/>
      <c r="W116" s="72">
        <v>9794.3086954301307</v>
      </c>
      <c r="X116" s="72">
        <v>9778.9078662509801</v>
      </c>
      <c r="Y116" s="73"/>
      <c r="Z116" s="74">
        <v>3.0303824776732937</v>
      </c>
      <c r="AA116" s="74">
        <v>3.0655439167872847</v>
      </c>
      <c r="AB116" s="73"/>
      <c r="AC116" s="72">
        <v>49205.807824025185</v>
      </c>
      <c r="AD116" s="72">
        <v>49354.981796541077</v>
      </c>
      <c r="AE116" s="73"/>
      <c r="AF116" s="74">
        <v>4.4935933647887509</v>
      </c>
      <c r="AG116" s="74">
        <v>4.6358530730248084</v>
      </c>
      <c r="AH116" s="73"/>
      <c r="AI116" s="72">
        <v>858072.89163575764</v>
      </c>
      <c r="AJ116" s="72">
        <v>0</v>
      </c>
      <c r="AK116" s="73"/>
      <c r="AL116" s="74">
        <v>-1359.9374069065586</v>
      </c>
      <c r="AM116" s="74">
        <v>0</v>
      </c>
      <c r="AN116" s="73"/>
      <c r="AO116" s="72">
        <v>56799.895625839192</v>
      </c>
      <c r="AP116" s="72">
        <v>0</v>
      </c>
      <c r="AQ116" s="73"/>
      <c r="AR116" s="74">
        <v>-74.361592043815051</v>
      </c>
      <c r="AS116" s="74">
        <v>0</v>
      </c>
      <c r="AT116" s="73"/>
      <c r="AU116" s="72">
        <v>53527792.801900491</v>
      </c>
      <c r="AV116" s="72">
        <v>0</v>
      </c>
      <c r="AW116" s="73"/>
      <c r="AX116" s="74">
        <v>-3633.0685140521559</v>
      </c>
      <c r="AY116" s="74">
        <v>0</v>
      </c>
      <c r="AZ116" s="73"/>
      <c r="BA116" s="72">
        <v>140067.71595014932</v>
      </c>
      <c r="BB116" s="72">
        <v>0</v>
      </c>
      <c r="BC116" s="73"/>
      <c r="BD116" s="74">
        <v>-319.78683802845597</v>
      </c>
      <c r="BE116" s="74">
        <v>0</v>
      </c>
      <c r="BF116" s="73"/>
      <c r="BG116" s="72">
        <v>-2344197.4364478271</v>
      </c>
      <c r="BH116" s="72">
        <v>0</v>
      </c>
      <c r="BI116" s="73"/>
      <c r="BJ116" s="74">
        <v>-2235.5430892695167</v>
      </c>
      <c r="BK116" s="74">
        <v>0</v>
      </c>
      <c r="BL116" s="73"/>
      <c r="BM116" s="72">
        <v>52238535.868664406</v>
      </c>
      <c r="BN116" s="72">
        <v>0</v>
      </c>
      <c r="BO116" s="73"/>
      <c r="BP116" s="74">
        <v>-7622.6974403005024</v>
      </c>
      <c r="BQ116" s="74">
        <v>0</v>
      </c>
      <c r="BS116" s="109">
        <f t="shared" si="75"/>
        <v>115367.01583096251</v>
      </c>
      <c r="BT116" s="109">
        <f t="shared" si="76"/>
        <v>115626.76871096608</v>
      </c>
      <c r="BV116" s="58">
        <f t="array" ref="BV116">SUM(IF(BS116:BT116&gt;=BS116, 1))</f>
        <v>2</v>
      </c>
      <c r="BW116" s="58">
        <f t="array" ref="BW116">SUM(IF(BS116:BT116&gt;=BT116, 1))</f>
        <v>1</v>
      </c>
      <c r="BY116" s="109">
        <f t="shared" si="77"/>
        <v>134592.57636354951</v>
      </c>
      <c r="BZ116" s="109">
        <f t="shared" si="78"/>
        <v>134814.34210212625</v>
      </c>
      <c r="CB116" s="58">
        <f t="array" ref="CB116">SUM(IF(BY116:BZ116&gt;=BY116, 1))</f>
        <v>2</v>
      </c>
      <c r="CC116" s="58">
        <f t="array" ref="CC116">SUM(IF(BY116:BZ116&gt;=BZ116, 1))</f>
        <v>1</v>
      </c>
      <c r="CE116" s="109">
        <f t="shared" si="79"/>
        <v>91291.597460515026</v>
      </c>
      <c r="CF116" s="109">
        <f t="shared" si="80"/>
        <v>96772.557405651489</v>
      </c>
      <c r="CH116" s="58">
        <f t="array" ref="CH116">SUM(IF(CE116:CF116&gt;=CE116, 1))</f>
        <v>2</v>
      </c>
      <c r="CI116" s="58">
        <f t="array" ref="CI116">SUM(IF(CE116:CF116&gt;=CF116, 1))</f>
        <v>1</v>
      </c>
      <c r="CK116" s="109">
        <f t="shared" si="81"/>
        <v>50813.340858035743</v>
      </c>
      <c r="CL116" s="109">
        <f t="shared" si="82"/>
        <v>51531.970469494714</v>
      </c>
      <c r="CN116" s="58">
        <f t="array" ref="CN116">SUM(IF(CK116:CL116&gt;=CK116, 1))</f>
        <v>2</v>
      </c>
      <c r="CO116" s="58">
        <f t="array" ref="CO116">SUM(IF(CK116:CL116&gt;=CL116, 1))</f>
        <v>1</v>
      </c>
      <c r="CQ116" s="109" cm="1">
        <f t="array" ref="CQ116">AF116*WTP-AC116</f>
        <v>40666.059471749839</v>
      </c>
      <c r="CR116" s="109">
        <f t="shared" si="83"/>
        <v>43362.079663955097</v>
      </c>
      <c r="CT116" s="58">
        <f t="array" ref="CT116">SUM(IF(CQ116:CR116&gt;=CQ116, 1))</f>
        <v>2</v>
      </c>
      <c r="CU116" s="58">
        <f t="array" ref="CU116">SUM(IF(CQ116:CR116&gt;=CR116, 1))</f>
        <v>1</v>
      </c>
      <c r="CW116" s="109">
        <f t="shared" si="84"/>
        <v>-28056821.029766928</v>
      </c>
      <c r="CX116" s="109">
        <f t="shared" si="85"/>
        <v>0</v>
      </c>
      <c r="CZ116" s="58">
        <f t="array" ref="CZ116">SUM(IF(CW116:CX116&gt;=CW116, 1))</f>
        <v>2</v>
      </c>
      <c r="DA116" s="58">
        <f t="array" ref="DA116">SUM(IF(CW116:CX116&gt;=CX116, 1))</f>
        <v>1</v>
      </c>
      <c r="DC116" s="109">
        <f t="shared" si="86"/>
        <v>-1544031.7365021403</v>
      </c>
      <c r="DD116" s="109">
        <f t="shared" si="87"/>
        <v>0</v>
      </c>
      <c r="DF116" s="58">
        <f t="array" ref="DF116">SUM(IF(DC116:DD116&gt;=DC116, 1))</f>
        <v>2</v>
      </c>
      <c r="DG116" s="58">
        <f t="array" ref="DG116">SUM(IF(DC116:DD116&gt;=DD116, 1))</f>
        <v>1</v>
      </c>
      <c r="DI116" s="109">
        <f t="shared" si="88"/>
        <v>-126189163.0829436</v>
      </c>
      <c r="DJ116" s="109">
        <f t="shared" si="89"/>
        <v>0</v>
      </c>
      <c r="DL116" s="58">
        <f t="array" ref="DL116">SUM(IF(DI116:DJ116&gt;=DI116, 1))</f>
        <v>2</v>
      </c>
      <c r="DM116" s="58">
        <f t="array" ref="DM116">SUM(IF(DI116:DJ116&gt;=DJ116, 1))</f>
        <v>1</v>
      </c>
      <c r="DO116" s="109">
        <f t="shared" si="90"/>
        <v>-6535804.4765192689</v>
      </c>
      <c r="DP116" s="109">
        <f t="shared" si="91"/>
        <v>0</v>
      </c>
      <c r="DR116" s="58">
        <f t="array" ref="DR116">SUM(IF(DO116:DP116&gt;=DO116, 1))</f>
        <v>2</v>
      </c>
      <c r="DS116" s="58">
        <f t="array" ref="DS116">SUM(IF(DO116:DP116&gt;=DP116, 1))</f>
        <v>1</v>
      </c>
      <c r="DU116" s="109">
        <f t="shared" si="92"/>
        <v>-42366664.348942503</v>
      </c>
      <c r="DV116" s="109">
        <f t="shared" si="93"/>
        <v>0</v>
      </c>
      <c r="DX116" s="58">
        <f t="array" ref="DX116">SUM(IF(DU116:DV116&gt;=DU116, 1))</f>
        <v>2</v>
      </c>
      <c r="DY116" s="58">
        <f t="array" ref="DY116">SUM(IF(DU116:DV116&gt;=DV116, 1))</f>
        <v>1</v>
      </c>
      <c r="EA116" s="109">
        <f t="shared" si="94"/>
        <v>-204692484.67467445</v>
      </c>
      <c r="EB116" s="109">
        <f t="shared" si="95"/>
        <v>0</v>
      </c>
      <c r="ED116" s="58">
        <f t="array" ref="ED116">SUM(IF(EA116:EB116&gt;=EA116, 1))</f>
        <v>2</v>
      </c>
      <c r="EE116" s="58">
        <f t="array" ref="EE116">SUM(IF(EA116:EB116&gt;=EB116, 1))</f>
        <v>1</v>
      </c>
    </row>
    <row r="117" spans="4:135" ht="12" customHeight="1" x14ac:dyDescent="0.25">
      <c r="D117" s="11">
        <v>101</v>
      </c>
      <c r="E117" s="72">
        <v>265.26114356711975</v>
      </c>
      <c r="F117" s="72">
        <v>228.53934080780169</v>
      </c>
      <c r="G117" s="73"/>
      <c r="H117" s="74">
        <v>5.8272772299061355</v>
      </c>
      <c r="I117" s="74">
        <v>5.8456784789160512</v>
      </c>
      <c r="J117" s="73"/>
      <c r="K117" s="72">
        <v>283.97291410549229</v>
      </c>
      <c r="L117" s="72">
        <v>246.40089752613389</v>
      </c>
      <c r="M117" s="73"/>
      <c r="N117" s="74">
        <v>6.6703747419863717</v>
      </c>
      <c r="O117" s="74">
        <v>6.6865959318673083</v>
      </c>
      <c r="P117" s="73"/>
      <c r="Q117" s="72">
        <v>2080.063785846874</v>
      </c>
      <c r="R117" s="72">
        <v>1324.25699845229</v>
      </c>
      <c r="S117" s="73"/>
      <c r="T117" s="74">
        <v>4.7501774394790468</v>
      </c>
      <c r="U117" s="74">
        <v>4.8132505354759916</v>
      </c>
      <c r="V117" s="73"/>
      <c r="W117" s="72">
        <v>13213.633421448698</v>
      </c>
      <c r="X117" s="72">
        <v>13151.350634461256</v>
      </c>
      <c r="Y117" s="73"/>
      <c r="Z117" s="74">
        <v>3.1550414930883846</v>
      </c>
      <c r="AA117" s="74">
        <v>3.1849914017492922</v>
      </c>
      <c r="AB117" s="73"/>
      <c r="AC117" s="72">
        <v>50034.196178848593</v>
      </c>
      <c r="AD117" s="72">
        <v>49894.074594058708</v>
      </c>
      <c r="AE117" s="73"/>
      <c r="AF117" s="74">
        <v>4.6279315539346859</v>
      </c>
      <c r="AG117" s="74">
        <v>4.7381863265064803</v>
      </c>
      <c r="AH117" s="73"/>
      <c r="AI117" s="72">
        <v>3990821.8284509652</v>
      </c>
      <c r="AJ117" s="72">
        <v>0</v>
      </c>
      <c r="AK117" s="73"/>
      <c r="AL117" s="74">
        <v>-1999.795780747693</v>
      </c>
      <c r="AM117" s="74">
        <v>0</v>
      </c>
      <c r="AN117" s="73"/>
      <c r="AO117" s="72">
        <v>261489.74155336482</v>
      </c>
      <c r="AP117" s="72">
        <v>0</v>
      </c>
      <c r="AQ117" s="73"/>
      <c r="AR117" s="74">
        <v>-112.89451926795122</v>
      </c>
      <c r="AS117" s="74">
        <v>0</v>
      </c>
      <c r="AT117" s="73"/>
      <c r="AU117" s="72">
        <v>17210170.326830514</v>
      </c>
      <c r="AV117" s="72">
        <v>0</v>
      </c>
      <c r="AW117" s="73"/>
      <c r="AX117" s="74">
        <v>-1436.2119304192554</v>
      </c>
      <c r="AY117" s="74">
        <v>0</v>
      </c>
      <c r="AZ117" s="73"/>
      <c r="BA117" s="72">
        <v>563162.18033431447</v>
      </c>
      <c r="BB117" s="72">
        <v>0</v>
      </c>
      <c r="BC117" s="73"/>
      <c r="BD117" s="74">
        <v>-270.80766096242883</v>
      </c>
      <c r="BE117" s="74">
        <v>0</v>
      </c>
      <c r="BF117" s="73"/>
      <c r="BG117" s="72">
        <v>2255649.4366385499</v>
      </c>
      <c r="BH117" s="72">
        <v>0</v>
      </c>
      <c r="BI117" s="73"/>
      <c r="BJ117" s="74">
        <v>-1774.8594266272601</v>
      </c>
      <c r="BK117" s="74">
        <v>0</v>
      </c>
      <c r="BL117" s="73"/>
      <c r="BM117" s="72">
        <v>24281293.513807707</v>
      </c>
      <c r="BN117" s="72">
        <v>0</v>
      </c>
      <c r="BO117" s="73"/>
      <c r="BP117" s="74">
        <v>-5594.5693180245889</v>
      </c>
      <c r="BQ117" s="74">
        <v>0</v>
      </c>
      <c r="BS117" s="109">
        <f t="shared" si="75"/>
        <v>116280.2834545556</v>
      </c>
      <c r="BT117" s="109">
        <f t="shared" si="76"/>
        <v>116685.03023751322</v>
      </c>
      <c r="BV117" s="58">
        <f t="array" ref="BV117">SUM(IF(BS117:BT117&gt;=BS117, 1))</f>
        <v>2</v>
      </c>
      <c r="BW117" s="58">
        <f t="array" ref="BW117">SUM(IF(BS117:BT117&gt;=BT117, 1))</f>
        <v>1</v>
      </c>
      <c r="BY117" s="109">
        <f t="shared" si="77"/>
        <v>133123.52192562196</v>
      </c>
      <c r="BZ117" s="109">
        <f t="shared" si="78"/>
        <v>133485.51773982003</v>
      </c>
      <c r="CB117" s="58">
        <f t="array" ref="CB117">SUM(IF(BY117:BZ117&gt;=BY117, 1))</f>
        <v>2</v>
      </c>
      <c r="CC117" s="58">
        <f t="array" ref="CC117">SUM(IF(BY117:BZ117&gt;=BZ117, 1))</f>
        <v>1</v>
      </c>
      <c r="CE117" s="109">
        <f t="shared" si="79"/>
        <v>92923.485003734066</v>
      </c>
      <c r="CF117" s="109">
        <f t="shared" si="80"/>
        <v>94940.753711067548</v>
      </c>
      <c r="CH117" s="58">
        <f t="array" ref="CH117">SUM(IF(CE117:CF117&gt;=CE117, 1))</f>
        <v>2</v>
      </c>
      <c r="CI117" s="58">
        <f t="array" ref="CI117">SUM(IF(CE117:CF117&gt;=CF117, 1))</f>
        <v>1</v>
      </c>
      <c r="CK117" s="109">
        <f t="shared" si="81"/>
        <v>49887.196440318992</v>
      </c>
      <c r="CL117" s="109">
        <f t="shared" si="82"/>
        <v>50548.477400524593</v>
      </c>
      <c r="CN117" s="58">
        <f t="array" ref="CN117">SUM(IF(CK117:CL117&gt;=CK117, 1))</f>
        <v>2</v>
      </c>
      <c r="CO117" s="58">
        <f t="array" ref="CO117">SUM(IF(CK117:CL117&gt;=CL117, 1))</f>
        <v>1</v>
      </c>
      <c r="CQ117" s="109" cm="1">
        <f t="array" ref="CQ117">AF117*WTP-AC117</f>
        <v>42524.434899845131</v>
      </c>
      <c r="CR117" s="109">
        <f t="shared" si="83"/>
        <v>44869.651936070892</v>
      </c>
      <c r="CT117" s="58">
        <f t="array" ref="CT117">SUM(IF(CQ117:CR117&gt;=CQ117, 1))</f>
        <v>2</v>
      </c>
      <c r="CU117" s="58">
        <f t="array" ref="CU117">SUM(IF(CQ117:CR117&gt;=CR117, 1))</f>
        <v>1</v>
      </c>
      <c r="CW117" s="109">
        <f t="shared" si="84"/>
        <v>-43986737.443404824</v>
      </c>
      <c r="CX117" s="109">
        <f t="shared" si="85"/>
        <v>0</v>
      </c>
      <c r="CZ117" s="58">
        <f t="array" ref="CZ117">SUM(IF(CW117:CX117&gt;=CW117, 1))</f>
        <v>2</v>
      </c>
      <c r="DA117" s="58">
        <f t="array" ref="DA117">SUM(IF(CW117:CX117&gt;=CX117, 1))</f>
        <v>1</v>
      </c>
      <c r="DC117" s="109">
        <f t="shared" si="86"/>
        <v>-2519380.1269123894</v>
      </c>
      <c r="DD117" s="109">
        <f t="shared" si="87"/>
        <v>0</v>
      </c>
      <c r="DF117" s="58">
        <f t="array" ref="DF117">SUM(IF(DC117:DD117&gt;=DC117, 1))</f>
        <v>2</v>
      </c>
      <c r="DG117" s="58">
        <f t="array" ref="DG117">SUM(IF(DC117:DD117&gt;=DD117, 1))</f>
        <v>1</v>
      </c>
      <c r="DI117" s="109">
        <f t="shared" si="88"/>
        <v>-45934408.935215622</v>
      </c>
      <c r="DJ117" s="109">
        <f t="shared" si="89"/>
        <v>0</v>
      </c>
      <c r="DL117" s="58">
        <f t="array" ref="DL117">SUM(IF(DI117:DJ117&gt;=DI117, 1))</f>
        <v>2</v>
      </c>
      <c r="DM117" s="58">
        <f t="array" ref="DM117">SUM(IF(DI117:DJ117&gt;=DJ117, 1))</f>
        <v>1</v>
      </c>
      <c r="DO117" s="109">
        <f t="shared" si="90"/>
        <v>-5979315.3995828908</v>
      </c>
      <c r="DP117" s="109">
        <f t="shared" si="91"/>
        <v>0</v>
      </c>
      <c r="DR117" s="58">
        <f t="array" ref="DR117">SUM(IF(DO117:DP117&gt;=DO117, 1))</f>
        <v>2</v>
      </c>
      <c r="DS117" s="58">
        <f t="array" ref="DS117">SUM(IF(DO117:DP117&gt;=DP117, 1))</f>
        <v>1</v>
      </c>
      <c r="DU117" s="109">
        <f t="shared" si="92"/>
        <v>-37752837.96918375</v>
      </c>
      <c r="DV117" s="109">
        <f t="shared" si="93"/>
        <v>0</v>
      </c>
      <c r="DX117" s="58">
        <f t="array" ref="DX117">SUM(IF(DU117:DV117&gt;=DU117, 1))</f>
        <v>2</v>
      </c>
      <c r="DY117" s="58">
        <f t="array" ref="DY117">SUM(IF(DU117:DV117&gt;=DV117, 1))</f>
        <v>1</v>
      </c>
      <c r="EA117" s="109">
        <f t="shared" si="94"/>
        <v>-136172679.8742995</v>
      </c>
      <c r="EB117" s="109">
        <f t="shared" si="95"/>
        <v>0</v>
      </c>
      <c r="ED117" s="58">
        <f t="array" ref="ED117">SUM(IF(EA117:EB117&gt;=EA117, 1))</f>
        <v>2</v>
      </c>
      <c r="EE117" s="58">
        <f t="array" ref="EE117">SUM(IF(EA117:EB117&gt;=EB117, 1))</f>
        <v>1</v>
      </c>
    </row>
    <row r="118" spans="4:135" ht="12" customHeight="1" x14ac:dyDescent="0.25">
      <c r="D118" s="11">
        <v>102</v>
      </c>
      <c r="E118" s="72">
        <v>253.92473784925298</v>
      </c>
      <c r="F118" s="72">
        <v>241.0977116118913</v>
      </c>
      <c r="G118" s="73"/>
      <c r="H118" s="74">
        <v>5.8164920118539483</v>
      </c>
      <c r="I118" s="74">
        <v>5.8319747346792274</v>
      </c>
      <c r="J118" s="73"/>
      <c r="K118" s="72">
        <v>273.17586728522673</v>
      </c>
      <c r="L118" s="72">
        <v>260.02728112397295</v>
      </c>
      <c r="M118" s="73"/>
      <c r="N118" s="74">
        <v>6.7160231159177037</v>
      </c>
      <c r="O118" s="74">
        <v>6.7293025724131645</v>
      </c>
      <c r="P118" s="73"/>
      <c r="Q118" s="72">
        <v>3448.1074112919587</v>
      </c>
      <c r="R118" s="72">
        <v>1495.4925434074351</v>
      </c>
      <c r="S118" s="73"/>
      <c r="T118" s="74">
        <v>4.6354342354209184</v>
      </c>
      <c r="U118" s="74">
        <v>4.7647906010678174</v>
      </c>
      <c r="V118" s="73"/>
      <c r="W118" s="72">
        <v>12218.6006643362</v>
      </c>
      <c r="X118" s="72">
        <v>12159.203367016726</v>
      </c>
      <c r="Y118" s="73"/>
      <c r="Z118" s="74">
        <v>3.095112636337658</v>
      </c>
      <c r="AA118" s="74">
        <v>3.1345870464060082</v>
      </c>
      <c r="AB118" s="73"/>
      <c r="AC118" s="72">
        <v>49547.550437574333</v>
      </c>
      <c r="AD118" s="72">
        <v>49605.29693045601</v>
      </c>
      <c r="AE118" s="73"/>
      <c r="AF118" s="74">
        <v>4.8789112198989892</v>
      </c>
      <c r="AG118" s="74">
        <v>4.9597633142233111</v>
      </c>
      <c r="AH118" s="73"/>
      <c r="AI118" s="72">
        <v>1381728.5853448773</v>
      </c>
      <c r="AJ118" s="72">
        <v>0</v>
      </c>
      <c r="AK118" s="73"/>
      <c r="AL118" s="74">
        <v>-1667.8004948916391</v>
      </c>
      <c r="AM118" s="74">
        <v>0</v>
      </c>
      <c r="AN118" s="73"/>
      <c r="AO118" s="72">
        <v>87026.154541518044</v>
      </c>
      <c r="AP118" s="72">
        <v>0</v>
      </c>
      <c r="AQ118" s="73"/>
      <c r="AR118" s="74">
        <v>-87.892342114077195</v>
      </c>
      <c r="AS118" s="74">
        <v>0</v>
      </c>
      <c r="AT118" s="73"/>
      <c r="AU118" s="72">
        <v>45272583.260904238</v>
      </c>
      <c r="AV118" s="72">
        <v>0</v>
      </c>
      <c r="AW118" s="73"/>
      <c r="AX118" s="74">
        <v>-2999.2073349425841</v>
      </c>
      <c r="AY118" s="74">
        <v>0</v>
      </c>
      <c r="AZ118" s="73"/>
      <c r="BA118" s="72">
        <v>547853.91413266864</v>
      </c>
      <c r="BB118" s="72">
        <v>0</v>
      </c>
      <c r="BC118" s="73"/>
      <c r="BD118" s="74">
        <v>-364.09417667112041</v>
      </c>
      <c r="BE118" s="74">
        <v>0</v>
      </c>
      <c r="BF118" s="73"/>
      <c r="BG118" s="72">
        <v>-951062.51432645589</v>
      </c>
      <c r="BH118" s="72">
        <v>0</v>
      </c>
      <c r="BI118" s="73"/>
      <c r="BJ118" s="74">
        <v>-1331.6028780173438</v>
      </c>
      <c r="BK118" s="74">
        <v>0</v>
      </c>
      <c r="BL118" s="73"/>
      <c r="BM118" s="72">
        <v>46338129.40059685</v>
      </c>
      <c r="BN118" s="72">
        <v>0</v>
      </c>
      <c r="BO118" s="73"/>
      <c r="BP118" s="74">
        <v>-6450.5972266367644</v>
      </c>
      <c r="BQ118" s="74">
        <v>0</v>
      </c>
      <c r="BS118" s="109">
        <f t="shared" si="75"/>
        <v>116075.91549922971</v>
      </c>
      <c r="BT118" s="109">
        <f t="shared" si="76"/>
        <v>116398.39698197266</v>
      </c>
      <c r="BV118" s="58">
        <f t="array" ref="BV118">SUM(IF(BS118:BT118&gt;=BS118, 1))</f>
        <v>2</v>
      </c>
      <c r="BW118" s="58">
        <f t="array" ref="BW118">SUM(IF(BS118:BT118&gt;=BT118, 1))</f>
        <v>1</v>
      </c>
      <c r="BY118" s="109">
        <f t="shared" si="77"/>
        <v>134047.28645106885</v>
      </c>
      <c r="BZ118" s="109">
        <f t="shared" si="78"/>
        <v>134326.02416713932</v>
      </c>
      <c r="CB118" s="58">
        <f t="array" ref="CB118">SUM(IF(BY118:BZ118&gt;=BY118, 1))</f>
        <v>2</v>
      </c>
      <c r="CC118" s="58">
        <f t="array" ref="CC118">SUM(IF(BY118:BZ118&gt;=BZ118, 1))</f>
        <v>1</v>
      </c>
      <c r="CE118" s="109">
        <f t="shared" si="79"/>
        <v>89260.577297126409</v>
      </c>
      <c r="CF118" s="109">
        <f t="shared" si="80"/>
        <v>93800.319477948913</v>
      </c>
      <c r="CH118" s="58">
        <f t="array" ref="CH118">SUM(IF(CE118:CF118&gt;=CE118, 1))</f>
        <v>2</v>
      </c>
      <c r="CI118" s="58">
        <f t="array" ref="CI118">SUM(IF(CE118:CF118&gt;=CF118, 1))</f>
        <v>1</v>
      </c>
      <c r="CK118" s="109">
        <f t="shared" si="81"/>
        <v>49683.652062416964</v>
      </c>
      <c r="CL118" s="109">
        <f t="shared" si="82"/>
        <v>50532.53756110344</v>
      </c>
      <c r="CN118" s="58">
        <f t="array" ref="CN118">SUM(IF(CK118:CL118&gt;=CK118, 1))</f>
        <v>2</v>
      </c>
      <c r="CO118" s="58">
        <f t="array" ref="CO118">SUM(IF(CK118:CL118&gt;=CL118, 1))</f>
        <v>1</v>
      </c>
      <c r="CQ118" s="109" cm="1">
        <f t="array" ref="CQ118">AF118*WTP-AC118</f>
        <v>48030.673960405446</v>
      </c>
      <c r="CR118" s="109">
        <f t="shared" si="83"/>
        <v>49589.969354010216</v>
      </c>
      <c r="CT118" s="58">
        <f t="array" ref="CT118">SUM(IF(CQ118:CR118&gt;=CQ118, 1))</f>
        <v>2</v>
      </c>
      <c r="CU118" s="58">
        <f t="array" ref="CU118">SUM(IF(CQ118:CR118&gt;=CR118, 1))</f>
        <v>1</v>
      </c>
      <c r="CW118" s="109">
        <f t="shared" si="84"/>
        <v>-34737738.483177662</v>
      </c>
      <c r="CX118" s="109">
        <f t="shared" si="85"/>
        <v>0</v>
      </c>
      <c r="CZ118" s="58">
        <f t="array" ref="CZ118">SUM(IF(CW118:CX118&gt;=CW118, 1))</f>
        <v>2</v>
      </c>
      <c r="DA118" s="58">
        <f t="array" ref="DA118">SUM(IF(CW118:CX118&gt;=CX118, 1))</f>
        <v>1</v>
      </c>
      <c r="DC118" s="109">
        <f t="shared" si="86"/>
        <v>-1844872.996823062</v>
      </c>
      <c r="DD118" s="109">
        <f t="shared" si="87"/>
        <v>0</v>
      </c>
      <c r="DF118" s="58">
        <f t="array" ref="DF118">SUM(IF(DC118:DD118&gt;=DC118, 1))</f>
        <v>2</v>
      </c>
      <c r="DG118" s="58">
        <f t="array" ref="DG118">SUM(IF(DC118:DD118&gt;=DD118, 1))</f>
        <v>1</v>
      </c>
      <c r="DI118" s="109">
        <f t="shared" si="88"/>
        <v>-105256729.95975593</v>
      </c>
      <c r="DJ118" s="109">
        <f t="shared" si="89"/>
        <v>0</v>
      </c>
      <c r="DL118" s="58">
        <f t="array" ref="DL118">SUM(IF(DI118:DJ118&gt;=DI118, 1))</f>
        <v>2</v>
      </c>
      <c r="DM118" s="58">
        <f t="array" ref="DM118">SUM(IF(DI118:DJ118&gt;=DJ118, 1))</f>
        <v>1</v>
      </c>
      <c r="DO118" s="109">
        <f t="shared" si="90"/>
        <v>-7829737.4475550773</v>
      </c>
      <c r="DP118" s="109">
        <f t="shared" si="91"/>
        <v>0</v>
      </c>
      <c r="DR118" s="58">
        <f t="array" ref="DR118">SUM(IF(DO118:DP118&gt;=DO118, 1))</f>
        <v>2</v>
      </c>
      <c r="DS118" s="58">
        <f t="array" ref="DS118">SUM(IF(DO118:DP118&gt;=DP118, 1))</f>
        <v>1</v>
      </c>
      <c r="DU118" s="109">
        <f t="shared" si="92"/>
        <v>-25680995.046020418</v>
      </c>
      <c r="DV118" s="109">
        <f t="shared" si="93"/>
        <v>0</v>
      </c>
      <c r="DX118" s="58">
        <f t="array" ref="DX118">SUM(IF(DU118:DV118&gt;=DU118, 1))</f>
        <v>2</v>
      </c>
      <c r="DY118" s="58">
        <f t="array" ref="DY118">SUM(IF(DU118:DV118&gt;=DV118, 1))</f>
        <v>1</v>
      </c>
      <c r="EA118" s="109">
        <f t="shared" si="94"/>
        <v>-175350073.93333215</v>
      </c>
      <c r="EB118" s="109">
        <f t="shared" si="95"/>
        <v>0</v>
      </c>
      <c r="ED118" s="58">
        <f t="array" ref="ED118">SUM(IF(EA118:EB118&gt;=EA118, 1))</f>
        <v>2</v>
      </c>
      <c r="EE118" s="58">
        <f t="array" ref="EE118">SUM(IF(EA118:EB118&gt;=EB118, 1))</f>
        <v>1</v>
      </c>
    </row>
    <row r="119" spans="4:135" ht="12" customHeight="1" x14ac:dyDescent="0.25">
      <c r="D119" s="11">
        <v>103</v>
      </c>
      <c r="E119" s="72">
        <v>267.35833623051093</v>
      </c>
      <c r="F119" s="72">
        <v>252.37640525357742</v>
      </c>
      <c r="G119" s="73"/>
      <c r="H119" s="74">
        <v>5.9094293690442719</v>
      </c>
      <c r="I119" s="74">
        <v>5.9266502946779003</v>
      </c>
      <c r="J119" s="73"/>
      <c r="K119" s="72">
        <v>287.51749058311901</v>
      </c>
      <c r="L119" s="72">
        <v>272.14094872764491</v>
      </c>
      <c r="M119" s="73"/>
      <c r="N119" s="74">
        <v>6.724284222504437</v>
      </c>
      <c r="O119" s="74">
        <v>6.7392263881613363</v>
      </c>
      <c r="P119" s="73"/>
      <c r="Q119" s="72">
        <v>2529.0025670486812</v>
      </c>
      <c r="R119" s="72">
        <v>1227.3427867454448</v>
      </c>
      <c r="S119" s="73"/>
      <c r="T119" s="74">
        <v>4.7943942464561742</v>
      </c>
      <c r="U119" s="74">
        <v>4.8995475032106137</v>
      </c>
      <c r="V119" s="73"/>
      <c r="W119" s="72">
        <v>9469.4862293502829</v>
      </c>
      <c r="X119" s="72">
        <v>9420.9434112033086</v>
      </c>
      <c r="Y119" s="73"/>
      <c r="Z119" s="74">
        <v>3.0318383175378152</v>
      </c>
      <c r="AA119" s="74">
        <v>3.0726533580786581</v>
      </c>
      <c r="AB119" s="73"/>
      <c r="AC119" s="72">
        <v>50000.784332759569</v>
      </c>
      <c r="AD119" s="72">
        <v>50048.442092578109</v>
      </c>
      <c r="AE119" s="73"/>
      <c r="AF119" s="74">
        <v>4.8960693678106244</v>
      </c>
      <c r="AG119" s="74">
        <v>5.0112154897647905</v>
      </c>
      <c r="AH119" s="73"/>
      <c r="AI119" s="72">
        <v>1619431.6072228446</v>
      </c>
      <c r="AJ119" s="72">
        <v>0</v>
      </c>
      <c r="AK119" s="73"/>
      <c r="AL119" s="74">
        <v>-1861.4497236483785</v>
      </c>
      <c r="AM119" s="74">
        <v>0</v>
      </c>
      <c r="AN119" s="73"/>
      <c r="AO119" s="72">
        <v>106793.87409049665</v>
      </c>
      <c r="AP119" s="72">
        <v>0</v>
      </c>
      <c r="AQ119" s="73"/>
      <c r="AR119" s="74">
        <v>-103.77702430108907</v>
      </c>
      <c r="AS119" s="74">
        <v>0</v>
      </c>
      <c r="AT119" s="73"/>
      <c r="AU119" s="72">
        <v>29732025.784630384</v>
      </c>
      <c r="AV119" s="72">
        <v>0</v>
      </c>
      <c r="AW119" s="73"/>
      <c r="AX119" s="74">
        <v>-2401.8713556875214</v>
      </c>
      <c r="AY119" s="74">
        <v>0</v>
      </c>
      <c r="AZ119" s="73"/>
      <c r="BA119" s="72">
        <v>447351.44298338704</v>
      </c>
      <c r="BB119" s="72">
        <v>0</v>
      </c>
      <c r="BC119" s="73"/>
      <c r="BD119" s="74">
        <v>-376.13529618509858</v>
      </c>
      <c r="BE119" s="74">
        <v>0</v>
      </c>
      <c r="BF119" s="73"/>
      <c r="BG119" s="72">
        <v>-735635.54330656119</v>
      </c>
      <c r="BH119" s="72">
        <v>0</v>
      </c>
      <c r="BI119" s="73"/>
      <c r="BJ119" s="74">
        <v>-1777.3722538767954</v>
      </c>
      <c r="BK119" s="74">
        <v>0</v>
      </c>
      <c r="BL119" s="73"/>
      <c r="BM119" s="72">
        <v>31169967.165620551</v>
      </c>
      <c r="BN119" s="72">
        <v>0</v>
      </c>
      <c r="BO119" s="73"/>
      <c r="BP119" s="74">
        <v>-6520.6056536988826</v>
      </c>
      <c r="BQ119" s="74">
        <v>0</v>
      </c>
      <c r="BS119" s="109">
        <f t="shared" si="75"/>
        <v>117921.22904465493</v>
      </c>
      <c r="BT119" s="109">
        <f t="shared" si="76"/>
        <v>118280.62948830442</v>
      </c>
      <c r="BV119" s="58">
        <f t="array" ref="BV119">SUM(IF(BS119:BT119&gt;=BS119, 1))</f>
        <v>2</v>
      </c>
      <c r="BW119" s="58">
        <f t="array" ref="BW119">SUM(IF(BS119:BT119&gt;=BT119, 1))</f>
        <v>1</v>
      </c>
      <c r="BY119" s="109">
        <f t="shared" si="77"/>
        <v>134198.16695950562</v>
      </c>
      <c r="BZ119" s="109">
        <f t="shared" si="78"/>
        <v>134512.3868144991</v>
      </c>
      <c r="CB119" s="58">
        <f t="array" ref="CB119">SUM(IF(BY119:BZ119&gt;=BY119, 1))</f>
        <v>2</v>
      </c>
      <c r="CC119" s="58">
        <f t="array" ref="CC119">SUM(IF(BY119:BZ119&gt;=BZ119, 1))</f>
        <v>1</v>
      </c>
      <c r="CE119" s="109">
        <f t="shared" si="79"/>
        <v>93358.882362074801</v>
      </c>
      <c r="CF119" s="109">
        <f t="shared" si="80"/>
        <v>96763.607277466828</v>
      </c>
      <c r="CH119" s="58">
        <f t="array" ref="CH119">SUM(IF(CE119:CF119&gt;=CE119, 1))</f>
        <v>2</v>
      </c>
      <c r="CI119" s="58">
        <f t="array" ref="CI119">SUM(IF(CE119:CF119&gt;=CF119, 1))</f>
        <v>1</v>
      </c>
      <c r="CK119" s="109">
        <f t="shared" si="81"/>
        <v>51167.280121406024</v>
      </c>
      <c r="CL119" s="109">
        <f t="shared" si="82"/>
        <v>52032.12375036985</v>
      </c>
      <c r="CN119" s="58">
        <f t="array" ref="CN119">SUM(IF(CK119:CL119&gt;=CK119, 1))</f>
        <v>2</v>
      </c>
      <c r="CO119" s="58">
        <f t="array" ref="CO119">SUM(IF(CK119:CL119&gt;=CL119, 1))</f>
        <v>1</v>
      </c>
      <c r="CQ119" s="109" cm="1">
        <f t="array" ref="CQ119">AF119*WTP-AC119</f>
        <v>47920.603023452924</v>
      </c>
      <c r="CR119" s="109">
        <f t="shared" si="83"/>
        <v>50175.867702717696</v>
      </c>
      <c r="CT119" s="58">
        <f t="array" ref="CT119">SUM(IF(CQ119:CR119&gt;=CQ119, 1))</f>
        <v>2</v>
      </c>
      <c r="CU119" s="58">
        <f t="array" ref="CU119">SUM(IF(CQ119:CR119&gt;=CR119, 1))</f>
        <v>1</v>
      </c>
      <c r="CW119" s="109">
        <f t="shared" si="84"/>
        <v>-38848426.08019042</v>
      </c>
      <c r="CX119" s="109">
        <f t="shared" si="85"/>
        <v>0</v>
      </c>
      <c r="CZ119" s="58">
        <f t="array" ref="CZ119">SUM(IF(CW119:CX119&gt;=CW119, 1))</f>
        <v>2</v>
      </c>
      <c r="DA119" s="58">
        <f t="array" ref="DA119">SUM(IF(CW119:CX119&gt;=CX119, 1))</f>
        <v>1</v>
      </c>
      <c r="DC119" s="109">
        <f t="shared" si="86"/>
        <v>-2182334.3601122778</v>
      </c>
      <c r="DD119" s="109">
        <f t="shared" si="87"/>
        <v>0</v>
      </c>
      <c r="DF119" s="58">
        <f t="array" ref="DF119">SUM(IF(DC119:DD119&gt;=DC119, 1))</f>
        <v>2</v>
      </c>
      <c r="DG119" s="58">
        <f t="array" ref="DG119">SUM(IF(DC119:DD119&gt;=DD119, 1))</f>
        <v>1</v>
      </c>
      <c r="DI119" s="109">
        <f t="shared" si="88"/>
        <v>-77769452.898380816</v>
      </c>
      <c r="DJ119" s="109">
        <f t="shared" si="89"/>
        <v>0</v>
      </c>
      <c r="DL119" s="58">
        <f t="array" ref="DL119">SUM(IF(DI119:DJ119&gt;=DI119, 1))</f>
        <v>2</v>
      </c>
      <c r="DM119" s="58">
        <f t="array" ref="DM119">SUM(IF(DI119:DJ119&gt;=DJ119, 1))</f>
        <v>1</v>
      </c>
      <c r="DO119" s="109">
        <f t="shared" si="90"/>
        <v>-7970057.3666853588</v>
      </c>
      <c r="DP119" s="109">
        <f t="shared" si="91"/>
        <v>0</v>
      </c>
      <c r="DR119" s="58">
        <f t="array" ref="DR119">SUM(IF(DO119:DP119&gt;=DO119, 1))</f>
        <v>2</v>
      </c>
      <c r="DS119" s="58">
        <f t="array" ref="DS119">SUM(IF(DO119:DP119&gt;=DP119, 1))</f>
        <v>1</v>
      </c>
      <c r="DU119" s="109">
        <f t="shared" si="92"/>
        <v>-34811809.534229346</v>
      </c>
      <c r="DV119" s="109">
        <f t="shared" si="93"/>
        <v>0</v>
      </c>
      <c r="DX119" s="58">
        <f t="array" ref="DX119">SUM(IF(DU119:DV119&gt;=DU119, 1))</f>
        <v>2</v>
      </c>
      <c r="DY119" s="58">
        <f t="array" ref="DY119">SUM(IF(DU119:DV119&gt;=DV119, 1))</f>
        <v>1</v>
      </c>
      <c r="EA119" s="109">
        <f t="shared" si="94"/>
        <v>-161582080.23959821</v>
      </c>
      <c r="EB119" s="109">
        <f t="shared" si="95"/>
        <v>0</v>
      </c>
      <c r="ED119" s="58">
        <f t="array" ref="ED119">SUM(IF(EA119:EB119&gt;=EA119, 1))</f>
        <v>2</v>
      </c>
      <c r="EE119" s="58">
        <f t="array" ref="EE119">SUM(IF(EA119:EB119&gt;=EB119, 1))</f>
        <v>1</v>
      </c>
    </row>
    <row r="120" spans="4:135" ht="12" customHeight="1" x14ac:dyDescent="0.25">
      <c r="D120" s="11">
        <v>104</v>
      </c>
      <c r="E120" s="72">
        <v>277.5924716678947</v>
      </c>
      <c r="F120" s="72">
        <v>245.63238279393178</v>
      </c>
      <c r="G120" s="73"/>
      <c r="H120" s="74">
        <v>5.8068564506830951</v>
      </c>
      <c r="I120" s="74">
        <v>5.8202565448259982</v>
      </c>
      <c r="J120" s="73"/>
      <c r="K120" s="72">
        <v>297.44354543820873</v>
      </c>
      <c r="L120" s="72">
        <v>264.67617293568378</v>
      </c>
      <c r="M120" s="73"/>
      <c r="N120" s="74">
        <v>6.708850923433749</v>
      </c>
      <c r="O120" s="74">
        <v>6.7195061540373304</v>
      </c>
      <c r="P120" s="73"/>
      <c r="Q120" s="72">
        <v>2967.0038380491583</v>
      </c>
      <c r="R120" s="72">
        <v>1759.8760464648683</v>
      </c>
      <c r="S120" s="73"/>
      <c r="T120" s="74">
        <v>4.8202207309861365</v>
      </c>
      <c r="U120" s="74">
        <v>4.9135263902356474</v>
      </c>
      <c r="V120" s="73"/>
      <c r="W120" s="72">
        <v>11192.124844412456</v>
      </c>
      <c r="X120" s="72">
        <v>11155.315059440611</v>
      </c>
      <c r="Y120" s="73"/>
      <c r="Z120" s="74">
        <v>3.0330181991105025</v>
      </c>
      <c r="AA120" s="74">
        <v>3.0691006005342785</v>
      </c>
      <c r="AB120" s="73"/>
      <c r="AC120" s="72">
        <v>52068.468385778571</v>
      </c>
      <c r="AD120" s="72">
        <v>51749.43590496284</v>
      </c>
      <c r="AE120" s="73"/>
      <c r="AF120" s="74">
        <v>4.5530491022579707</v>
      </c>
      <c r="AG120" s="74">
        <v>4.6456632581136263</v>
      </c>
      <c r="AH120" s="73"/>
      <c r="AI120" s="72">
        <v>3400731.2539921342</v>
      </c>
      <c r="AJ120" s="72">
        <v>0</v>
      </c>
      <c r="AK120" s="73"/>
      <c r="AL120" s="74">
        <v>-1425.8445631336267</v>
      </c>
      <c r="AM120" s="74">
        <v>0</v>
      </c>
      <c r="AN120" s="73"/>
      <c r="AO120" s="72">
        <v>226821.96340325053</v>
      </c>
      <c r="AP120" s="72">
        <v>0</v>
      </c>
      <c r="AQ120" s="73"/>
      <c r="AR120" s="74">
        <v>-73.757525899658461</v>
      </c>
      <c r="AS120" s="74">
        <v>0</v>
      </c>
      <c r="AT120" s="73"/>
      <c r="AU120" s="72">
        <v>28126254.121951692</v>
      </c>
      <c r="AV120" s="72">
        <v>0</v>
      </c>
      <c r="AW120" s="73"/>
      <c r="AX120" s="74">
        <v>-2174.0355092178556</v>
      </c>
      <c r="AY120" s="74">
        <v>0</v>
      </c>
      <c r="AZ120" s="73"/>
      <c r="BA120" s="72">
        <v>326957.6021226403</v>
      </c>
      <c r="BB120" s="72">
        <v>0</v>
      </c>
      <c r="BC120" s="73"/>
      <c r="BD120" s="74">
        <v>-320.49672274282131</v>
      </c>
      <c r="BE120" s="74">
        <v>0</v>
      </c>
      <c r="BF120" s="73"/>
      <c r="BG120" s="72">
        <v>5083672.9834484523</v>
      </c>
      <c r="BH120" s="72">
        <v>0</v>
      </c>
      <c r="BI120" s="73"/>
      <c r="BJ120" s="74">
        <v>-1475.7747574931734</v>
      </c>
      <c r="BK120" s="74">
        <v>0</v>
      </c>
      <c r="BL120" s="73"/>
      <c r="BM120" s="72">
        <v>37164437.924918167</v>
      </c>
      <c r="BN120" s="72">
        <v>0</v>
      </c>
      <c r="BO120" s="73"/>
      <c r="BP120" s="74">
        <v>-5469.909078487136</v>
      </c>
      <c r="BQ120" s="74">
        <v>0</v>
      </c>
      <c r="BS120" s="109">
        <f t="shared" si="75"/>
        <v>115859.53654199401</v>
      </c>
      <c r="BT120" s="109">
        <f t="shared" si="76"/>
        <v>116159.49851372602</v>
      </c>
      <c r="BV120" s="58">
        <f t="array" ref="BV120">SUM(IF(BS120:BT120&gt;=BS120, 1))</f>
        <v>2</v>
      </c>
      <c r="BW120" s="58">
        <f t="array" ref="BW120">SUM(IF(BS120:BT120&gt;=BT120, 1))</f>
        <v>1</v>
      </c>
      <c r="BY120" s="109">
        <f t="shared" si="77"/>
        <v>133879.57492323677</v>
      </c>
      <c r="BZ120" s="109">
        <f t="shared" si="78"/>
        <v>134125.44690781093</v>
      </c>
      <c r="CB120" s="58">
        <f t="array" ref="CB120">SUM(IF(BY120:BZ120&gt;=BY120, 1))</f>
        <v>2</v>
      </c>
      <c r="CC120" s="58">
        <f t="array" ref="CC120">SUM(IF(BY120:BZ120&gt;=BZ120, 1))</f>
        <v>1</v>
      </c>
      <c r="CE120" s="109">
        <f t="shared" si="79"/>
        <v>93437.410781673563</v>
      </c>
      <c r="CF120" s="109">
        <f t="shared" si="80"/>
        <v>96510.651758248088</v>
      </c>
      <c r="CH120" s="58">
        <f t="array" ref="CH120">SUM(IF(CE120:CF120&gt;=CE120, 1))</f>
        <v>2</v>
      </c>
      <c r="CI120" s="58">
        <f t="array" ref="CI120">SUM(IF(CE120:CF120&gt;=CF120, 1))</f>
        <v>1</v>
      </c>
      <c r="CK120" s="109">
        <f t="shared" si="81"/>
        <v>49468.239137797595</v>
      </c>
      <c r="CL120" s="109">
        <f t="shared" si="82"/>
        <v>50226.696951244958</v>
      </c>
      <c r="CN120" s="58">
        <f t="array" ref="CN120">SUM(IF(CK120:CL120&gt;=CK120, 1))</f>
        <v>2</v>
      </c>
      <c r="CO120" s="58">
        <f t="array" ref="CO120">SUM(IF(CK120:CL120&gt;=CL120, 1))</f>
        <v>1</v>
      </c>
      <c r="CQ120" s="109" cm="1">
        <f t="array" ref="CQ120">AF120*WTP-AC120</f>
        <v>38992.513659380842</v>
      </c>
      <c r="CR120" s="109">
        <f t="shared" si="83"/>
        <v>41163.829257309684</v>
      </c>
      <c r="CT120" s="58">
        <f t="array" ref="CT120">SUM(IF(CQ120:CR120&gt;=CQ120, 1))</f>
        <v>2</v>
      </c>
      <c r="CU120" s="58">
        <f t="array" ref="CU120">SUM(IF(CQ120:CR120&gt;=CR120, 1))</f>
        <v>1</v>
      </c>
      <c r="CW120" s="109">
        <f t="shared" si="84"/>
        <v>-31917622.516664665</v>
      </c>
      <c r="CX120" s="109">
        <f t="shared" si="85"/>
        <v>0</v>
      </c>
      <c r="CZ120" s="58">
        <f t="array" ref="CZ120">SUM(IF(CW120:CX120&gt;=CW120, 1))</f>
        <v>2</v>
      </c>
      <c r="DA120" s="58">
        <f t="array" ref="DA120">SUM(IF(CW120:CX120&gt;=CX120, 1))</f>
        <v>1</v>
      </c>
      <c r="DC120" s="109">
        <f t="shared" si="86"/>
        <v>-1701972.4813964197</v>
      </c>
      <c r="DD120" s="109">
        <f t="shared" si="87"/>
        <v>0</v>
      </c>
      <c r="DF120" s="58">
        <f t="array" ref="DF120">SUM(IF(DC120:DD120&gt;=DC120, 1))</f>
        <v>2</v>
      </c>
      <c r="DG120" s="58">
        <f t="array" ref="DG120">SUM(IF(DC120:DD120&gt;=DD120, 1))</f>
        <v>1</v>
      </c>
      <c r="DI120" s="109">
        <f t="shared" si="88"/>
        <v>-71606964.306308806</v>
      </c>
      <c r="DJ120" s="109">
        <f t="shared" si="89"/>
        <v>0</v>
      </c>
      <c r="DL120" s="58">
        <f t="array" ref="DL120">SUM(IF(DI120:DJ120&gt;=DI120, 1))</f>
        <v>2</v>
      </c>
      <c r="DM120" s="58">
        <f t="array" ref="DM120">SUM(IF(DI120:DJ120&gt;=DJ120, 1))</f>
        <v>1</v>
      </c>
      <c r="DO120" s="109">
        <f t="shared" si="90"/>
        <v>-6736892.0569790667</v>
      </c>
      <c r="DP120" s="109">
        <f t="shared" si="91"/>
        <v>0</v>
      </c>
      <c r="DR120" s="58">
        <f t="array" ref="DR120">SUM(IF(DO120:DP120&gt;=DO120, 1))</f>
        <v>2</v>
      </c>
      <c r="DS120" s="58">
        <f t="array" ref="DS120">SUM(IF(DO120:DP120&gt;=DP120, 1))</f>
        <v>1</v>
      </c>
      <c r="DU120" s="109">
        <f t="shared" si="92"/>
        <v>-34599168.13331192</v>
      </c>
      <c r="DV120" s="109">
        <f t="shared" si="93"/>
        <v>0</v>
      </c>
      <c r="DX120" s="58">
        <f t="array" ref="DX120">SUM(IF(DU120:DV120&gt;=DU120, 1))</f>
        <v>2</v>
      </c>
      <c r="DY120" s="58">
        <f t="array" ref="DY120">SUM(IF(DU120:DV120&gt;=DV120, 1))</f>
        <v>1</v>
      </c>
      <c r="EA120" s="109">
        <f t="shared" si="94"/>
        <v>-146562619.49466088</v>
      </c>
      <c r="EB120" s="109">
        <f t="shared" si="95"/>
        <v>0</v>
      </c>
      <c r="ED120" s="58">
        <f t="array" ref="ED120">SUM(IF(EA120:EB120&gt;=EA120, 1))</f>
        <v>2</v>
      </c>
      <c r="EE120" s="58">
        <f t="array" ref="EE120">SUM(IF(EA120:EB120&gt;=EB120, 1))</f>
        <v>1</v>
      </c>
    </row>
    <row r="121" spans="4:135" ht="12" customHeight="1" x14ac:dyDescent="0.25">
      <c r="D121" s="11">
        <v>105</v>
      </c>
      <c r="E121" s="72">
        <v>219.78253218057708</v>
      </c>
      <c r="F121" s="72">
        <v>191.16819666430959</v>
      </c>
      <c r="G121" s="73"/>
      <c r="H121" s="74">
        <v>5.8162219049040678</v>
      </c>
      <c r="I121" s="74">
        <v>5.8361531800846942</v>
      </c>
      <c r="J121" s="73"/>
      <c r="K121" s="72">
        <v>235.44858137655964</v>
      </c>
      <c r="L121" s="72">
        <v>206.13914116068233</v>
      </c>
      <c r="M121" s="73"/>
      <c r="N121" s="74">
        <v>6.7663715602102208</v>
      </c>
      <c r="O121" s="74">
        <v>6.7833776477558168</v>
      </c>
      <c r="P121" s="73"/>
      <c r="Q121" s="72">
        <v>1411.5576516085159</v>
      </c>
      <c r="R121" s="72">
        <v>1209.2332238513877</v>
      </c>
      <c r="S121" s="73"/>
      <c r="T121" s="74">
        <v>4.8090011700942208</v>
      </c>
      <c r="U121" s="74">
        <v>4.8531651883028788</v>
      </c>
      <c r="V121" s="73"/>
      <c r="W121" s="72">
        <v>13490.522996036974</v>
      </c>
      <c r="X121" s="72">
        <v>13489.684560254147</v>
      </c>
      <c r="Y121" s="73"/>
      <c r="Z121" s="74">
        <v>3.117359085669082</v>
      </c>
      <c r="AA121" s="74">
        <v>3.152359985278248</v>
      </c>
      <c r="AB121" s="73"/>
      <c r="AC121" s="72">
        <v>48041.604752208426</v>
      </c>
      <c r="AD121" s="72">
        <v>48262.801687144973</v>
      </c>
      <c r="AE121" s="73"/>
      <c r="AF121" s="74">
        <v>3.8496751905084339</v>
      </c>
      <c r="AG121" s="74">
        <v>3.9607110673046768</v>
      </c>
      <c r="AH121" s="73"/>
      <c r="AI121" s="72">
        <v>3084846.021776814</v>
      </c>
      <c r="AJ121" s="72">
        <v>0</v>
      </c>
      <c r="AK121" s="73"/>
      <c r="AL121" s="74">
        <v>-2148.7451600943068</v>
      </c>
      <c r="AM121" s="74">
        <v>0</v>
      </c>
      <c r="AN121" s="73"/>
      <c r="AO121" s="72">
        <v>194772.43050743369</v>
      </c>
      <c r="AP121" s="72">
        <v>0</v>
      </c>
      <c r="AQ121" s="73"/>
      <c r="AR121" s="74">
        <v>-113.01195042556958</v>
      </c>
      <c r="AS121" s="74">
        <v>0</v>
      </c>
      <c r="AT121" s="73"/>
      <c r="AU121" s="72">
        <v>4650266.6675290484</v>
      </c>
      <c r="AV121" s="72">
        <v>0</v>
      </c>
      <c r="AW121" s="73"/>
      <c r="AX121" s="74">
        <v>-1015.0749667578518</v>
      </c>
      <c r="AY121" s="74">
        <v>0</v>
      </c>
      <c r="AZ121" s="73"/>
      <c r="BA121" s="72">
        <v>7467.2872186670847</v>
      </c>
      <c r="BB121" s="72">
        <v>0</v>
      </c>
      <c r="BC121" s="73"/>
      <c r="BD121" s="74">
        <v>-311.72544832480645</v>
      </c>
      <c r="BE121" s="74">
        <v>0</v>
      </c>
      <c r="BF121" s="73"/>
      <c r="BG121" s="72">
        <v>-3471717.1727291434</v>
      </c>
      <c r="BH121" s="72">
        <v>0</v>
      </c>
      <c r="BI121" s="73"/>
      <c r="BJ121" s="74">
        <v>-1742.7237876200061</v>
      </c>
      <c r="BK121" s="74">
        <v>0</v>
      </c>
      <c r="BL121" s="73"/>
      <c r="BM121" s="72">
        <v>4465635.2343028188</v>
      </c>
      <c r="BN121" s="72">
        <v>0</v>
      </c>
      <c r="BO121" s="73"/>
      <c r="BP121" s="74">
        <v>-5331.2813132225401</v>
      </c>
      <c r="BQ121" s="74">
        <v>0</v>
      </c>
      <c r="BS121" s="109">
        <f t="shared" si="75"/>
        <v>116104.65556590079</v>
      </c>
      <c r="BT121" s="109">
        <f t="shared" si="76"/>
        <v>116531.89540502957</v>
      </c>
      <c r="BV121" s="58">
        <f t="array" ref="BV121">SUM(IF(BS121:BT121&gt;=BS121, 1))</f>
        <v>2</v>
      </c>
      <c r="BW121" s="58">
        <f t="array" ref="BW121">SUM(IF(BS121:BT121&gt;=BT121, 1))</f>
        <v>1</v>
      </c>
      <c r="BY121" s="109">
        <f t="shared" si="77"/>
        <v>135091.98262282787</v>
      </c>
      <c r="BZ121" s="109">
        <f t="shared" si="78"/>
        <v>135461.41381395567</v>
      </c>
      <c r="CB121" s="58">
        <f t="array" ref="CB121">SUM(IF(BY121:BZ121&gt;=BY121, 1))</f>
        <v>2</v>
      </c>
      <c r="CC121" s="58">
        <f t="array" ref="CC121">SUM(IF(BY121:BZ121&gt;=BZ121, 1))</f>
        <v>1</v>
      </c>
      <c r="CE121" s="109">
        <f t="shared" si="79"/>
        <v>94768.465750275907</v>
      </c>
      <c r="CF121" s="109">
        <f t="shared" si="80"/>
        <v>95854.070542206187</v>
      </c>
      <c r="CH121" s="58">
        <f t="array" ref="CH121">SUM(IF(CE121:CF121&gt;=CE121, 1))</f>
        <v>2</v>
      </c>
      <c r="CI121" s="58">
        <f t="array" ref="CI121">SUM(IF(CE121:CF121&gt;=CF121, 1))</f>
        <v>1</v>
      </c>
      <c r="CK121" s="109">
        <f t="shared" si="81"/>
        <v>48856.658717344668</v>
      </c>
      <c r="CL121" s="109">
        <f t="shared" si="82"/>
        <v>49557.515145310812</v>
      </c>
      <c r="CN121" s="58">
        <f t="array" ref="CN121">SUM(IF(CK121:CL121&gt;=CK121, 1))</f>
        <v>2</v>
      </c>
      <c r="CO121" s="58">
        <f t="array" ref="CO121">SUM(IF(CK121:CL121&gt;=CL121, 1))</f>
        <v>1</v>
      </c>
      <c r="CQ121" s="109" cm="1">
        <f t="array" ref="CQ121">AF121*WTP-AC121</f>
        <v>28951.899057960254</v>
      </c>
      <c r="CR121" s="109">
        <f t="shared" si="83"/>
        <v>30951.419658948558</v>
      </c>
      <c r="CT121" s="58">
        <f t="array" ref="CT121">SUM(IF(CQ121:CR121&gt;=CQ121, 1))</f>
        <v>2</v>
      </c>
      <c r="CU121" s="58">
        <f t="array" ref="CU121">SUM(IF(CQ121:CR121&gt;=CR121, 1))</f>
        <v>1</v>
      </c>
      <c r="CW121" s="109">
        <f t="shared" si="84"/>
        <v>-46059749.223662958</v>
      </c>
      <c r="CX121" s="109">
        <f t="shared" si="85"/>
        <v>0</v>
      </c>
      <c r="CZ121" s="58">
        <f t="array" ref="CZ121">SUM(IF(CW121:CX121&gt;=CW121, 1))</f>
        <v>2</v>
      </c>
      <c r="DA121" s="58">
        <f t="array" ref="DA121">SUM(IF(CW121:CX121&gt;=CX121, 1))</f>
        <v>1</v>
      </c>
      <c r="DC121" s="109">
        <f t="shared" si="86"/>
        <v>-2455011.4390188251</v>
      </c>
      <c r="DD121" s="109">
        <f t="shared" si="87"/>
        <v>0</v>
      </c>
      <c r="DF121" s="58">
        <f t="array" ref="DF121">SUM(IF(DC121:DD121&gt;=DC121, 1))</f>
        <v>2</v>
      </c>
      <c r="DG121" s="58">
        <f t="array" ref="DG121">SUM(IF(DC121:DD121&gt;=DD121, 1))</f>
        <v>1</v>
      </c>
      <c r="DI121" s="109">
        <f t="shared" si="88"/>
        <v>-24951766.002686083</v>
      </c>
      <c r="DJ121" s="109">
        <f t="shared" si="89"/>
        <v>0</v>
      </c>
      <c r="DL121" s="58">
        <f t="array" ref="DL121">SUM(IF(DI121:DJ121&gt;=DI121, 1))</f>
        <v>2</v>
      </c>
      <c r="DM121" s="58">
        <f t="array" ref="DM121">SUM(IF(DI121:DJ121&gt;=DJ121, 1))</f>
        <v>1</v>
      </c>
      <c r="DO121" s="109">
        <f t="shared" si="90"/>
        <v>-6241976.2537147952</v>
      </c>
      <c r="DP121" s="109">
        <f t="shared" si="91"/>
        <v>0</v>
      </c>
      <c r="DR121" s="58">
        <f t="array" ref="DR121">SUM(IF(DO121:DP121&gt;=DO121, 1))</f>
        <v>2</v>
      </c>
      <c r="DS121" s="58">
        <f t="array" ref="DS121">SUM(IF(DO121:DP121&gt;=DP121, 1))</f>
        <v>1</v>
      </c>
      <c r="DU121" s="109">
        <f t="shared" si="92"/>
        <v>-31382758.579670981</v>
      </c>
      <c r="DV121" s="109">
        <f t="shared" si="93"/>
        <v>0</v>
      </c>
      <c r="DX121" s="58">
        <f t="array" ref="DX121">SUM(IF(DU121:DV121&gt;=DU121, 1))</f>
        <v>2</v>
      </c>
      <c r="DY121" s="58">
        <f t="array" ref="DY121">SUM(IF(DU121:DV121&gt;=DV121, 1))</f>
        <v>1</v>
      </c>
      <c r="EA121" s="109">
        <f t="shared" si="94"/>
        <v>-111091261.49875362</v>
      </c>
      <c r="EB121" s="109">
        <f t="shared" si="95"/>
        <v>0</v>
      </c>
      <c r="ED121" s="58">
        <f t="array" ref="ED121">SUM(IF(EA121:EB121&gt;=EA121, 1))</f>
        <v>2</v>
      </c>
      <c r="EE121" s="58">
        <f t="array" ref="EE121">SUM(IF(EA121:EB121&gt;=EB121, 1))</f>
        <v>1</v>
      </c>
    </row>
    <row r="122" spans="4:135" ht="12" customHeight="1" x14ac:dyDescent="0.25">
      <c r="D122" s="11">
        <v>106</v>
      </c>
      <c r="E122" s="72">
        <v>209.51647217086784</v>
      </c>
      <c r="F122" s="72">
        <v>198.18448492091116</v>
      </c>
      <c r="G122" s="73"/>
      <c r="H122" s="74">
        <v>5.8219903183070407</v>
      </c>
      <c r="I122" s="74">
        <v>5.8377427957058554</v>
      </c>
      <c r="J122" s="73"/>
      <c r="K122" s="72">
        <v>225.29532789384325</v>
      </c>
      <c r="L122" s="72">
        <v>213.69095613199255</v>
      </c>
      <c r="M122" s="73"/>
      <c r="N122" s="74">
        <v>6.7052121531687332</v>
      </c>
      <c r="O122" s="74">
        <v>6.7194667350958559</v>
      </c>
      <c r="P122" s="73"/>
      <c r="Q122" s="72">
        <v>2360.8705961057044</v>
      </c>
      <c r="R122" s="72">
        <v>1054.8676735136612</v>
      </c>
      <c r="S122" s="73"/>
      <c r="T122" s="74">
        <v>4.7017509304671545</v>
      </c>
      <c r="U122" s="74">
        <v>4.8203656966067054</v>
      </c>
      <c r="V122" s="73"/>
      <c r="W122" s="72">
        <v>6724.7170433789879</v>
      </c>
      <c r="X122" s="72">
        <v>6703.7141479638694</v>
      </c>
      <c r="Y122" s="73"/>
      <c r="Z122" s="74">
        <v>2.9608007155227205</v>
      </c>
      <c r="AA122" s="74">
        <v>3.0137960127790828</v>
      </c>
      <c r="AB122" s="73"/>
      <c r="AC122" s="72">
        <v>48163.526882400663</v>
      </c>
      <c r="AD122" s="72">
        <v>47829.866743459534</v>
      </c>
      <c r="AE122" s="73"/>
      <c r="AF122" s="74">
        <v>4.1624005159781792</v>
      </c>
      <c r="AG122" s="74">
        <v>4.3114686559264142</v>
      </c>
      <c r="AH122" s="73"/>
      <c r="AI122" s="72">
        <v>1219591.9076220007</v>
      </c>
      <c r="AJ122" s="72">
        <v>0</v>
      </c>
      <c r="AK122" s="73"/>
      <c r="AL122" s="74">
        <v>-1695.342002848291</v>
      </c>
      <c r="AM122" s="74">
        <v>0</v>
      </c>
      <c r="AN122" s="73"/>
      <c r="AO122" s="72">
        <v>79638.751978707878</v>
      </c>
      <c r="AP122" s="72">
        <v>0</v>
      </c>
      <c r="AQ122" s="73"/>
      <c r="AR122" s="74">
        <v>-97.826675838352202</v>
      </c>
      <c r="AS122" s="74">
        <v>0</v>
      </c>
      <c r="AT122" s="73"/>
      <c r="AU122" s="72">
        <v>30321114.114403706</v>
      </c>
      <c r="AV122" s="72">
        <v>0</v>
      </c>
      <c r="AW122" s="73"/>
      <c r="AX122" s="74">
        <v>-2753.846716232872</v>
      </c>
      <c r="AY122" s="74">
        <v>0</v>
      </c>
      <c r="AZ122" s="73"/>
      <c r="BA122" s="72">
        <v>183215.85336350155</v>
      </c>
      <c r="BB122" s="72">
        <v>0</v>
      </c>
      <c r="BC122" s="73"/>
      <c r="BD122" s="74">
        <v>-462.29714613955684</v>
      </c>
      <c r="BE122" s="74">
        <v>0</v>
      </c>
      <c r="BF122" s="73"/>
      <c r="BG122" s="72">
        <v>5218456.6544976979</v>
      </c>
      <c r="BH122" s="72">
        <v>0</v>
      </c>
      <c r="BI122" s="73"/>
      <c r="BJ122" s="74">
        <v>-2331.4311063801142</v>
      </c>
      <c r="BK122" s="74">
        <v>0</v>
      </c>
      <c r="BL122" s="73"/>
      <c r="BM122" s="72">
        <v>37022017.281865612</v>
      </c>
      <c r="BN122" s="72">
        <v>0</v>
      </c>
      <c r="BO122" s="73"/>
      <c r="BP122" s="74">
        <v>-7340.743647439187</v>
      </c>
      <c r="BQ122" s="74">
        <v>0</v>
      </c>
      <c r="BS122" s="109">
        <f t="shared" si="75"/>
        <v>116230.28989396994</v>
      </c>
      <c r="BT122" s="109">
        <f t="shared" si="76"/>
        <v>116556.6714291962</v>
      </c>
      <c r="BV122" s="58">
        <f t="array" ref="BV122">SUM(IF(BS122:BT122&gt;=BS122, 1))</f>
        <v>2</v>
      </c>
      <c r="BW122" s="58">
        <f t="array" ref="BW122">SUM(IF(BS122:BT122&gt;=BT122, 1))</f>
        <v>1</v>
      </c>
      <c r="BY122" s="109">
        <f t="shared" si="77"/>
        <v>133878.94773548082</v>
      </c>
      <c r="BZ122" s="109">
        <f t="shared" si="78"/>
        <v>134175.64374578511</v>
      </c>
      <c r="CB122" s="58">
        <f t="array" ref="CB122">SUM(IF(BY122:BZ122&gt;=BY122, 1))</f>
        <v>2</v>
      </c>
      <c r="CC122" s="58">
        <f t="array" ref="CC122">SUM(IF(BY122:BZ122&gt;=BZ122, 1))</f>
        <v>1</v>
      </c>
      <c r="CE122" s="109">
        <f t="shared" si="79"/>
        <v>91674.148013237398</v>
      </c>
      <c r="CF122" s="109">
        <f t="shared" si="80"/>
        <v>95352.446258620461</v>
      </c>
      <c r="CH122" s="58">
        <f t="array" ref="CH122">SUM(IF(CE122:CF122&gt;=CE122, 1))</f>
        <v>2</v>
      </c>
      <c r="CI122" s="58">
        <f t="array" ref="CI122">SUM(IF(CE122:CF122&gt;=CF122, 1))</f>
        <v>1</v>
      </c>
      <c r="CK122" s="109">
        <f t="shared" si="81"/>
        <v>52491.297267075424</v>
      </c>
      <c r="CL122" s="109">
        <f t="shared" si="82"/>
        <v>53572.206107617792</v>
      </c>
      <c r="CN122" s="58">
        <f t="array" ref="CN122">SUM(IF(CK122:CL122&gt;=CK122, 1))</f>
        <v>2</v>
      </c>
      <c r="CO122" s="58">
        <f t="array" ref="CO122">SUM(IF(CK122:CL122&gt;=CL122, 1))</f>
        <v>1</v>
      </c>
      <c r="CQ122" s="109" cm="1">
        <f t="array" ref="CQ122">AF122*WTP-AC122</f>
        <v>35084.483437162926</v>
      </c>
      <c r="CR122" s="109">
        <f t="shared" si="83"/>
        <v>38399.506375068748</v>
      </c>
      <c r="CT122" s="58">
        <f t="array" ref="CT122">SUM(IF(CQ122:CR122&gt;=CQ122, 1))</f>
        <v>2</v>
      </c>
      <c r="CU122" s="58">
        <f t="array" ref="CU122">SUM(IF(CQ122:CR122&gt;=CR122, 1))</f>
        <v>1</v>
      </c>
      <c r="CW122" s="109">
        <f t="shared" si="84"/>
        <v>-35126431.964587823</v>
      </c>
      <c r="CX122" s="109">
        <f t="shared" si="85"/>
        <v>0</v>
      </c>
      <c r="CZ122" s="58">
        <f t="array" ref="CZ122">SUM(IF(CW122:CX122&gt;=CW122, 1))</f>
        <v>2</v>
      </c>
      <c r="DA122" s="58">
        <f t="array" ref="DA122">SUM(IF(CW122:CX122&gt;=CX122, 1))</f>
        <v>1</v>
      </c>
      <c r="DC122" s="109">
        <f t="shared" si="86"/>
        <v>-2036172.2687457521</v>
      </c>
      <c r="DD122" s="109">
        <f t="shared" si="87"/>
        <v>0</v>
      </c>
      <c r="DF122" s="58">
        <f t="array" ref="DF122">SUM(IF(DC122:DD122&gt;=DC122, 1))</f>
        <v>2</v>
      </c>
      <c r="DG122" s="58">
        <f t="array" ref="DG122">SUM(IF(DC122:DD122&gt;=DD122, 1))</f>
        <v>1</v>
      </c>
      <c r="DI122" s="109">
        <f t="shared" si="88"/>
        <v>-85398048.43906115</v>
      </c>
      <c r="DJ122" s="109">
        <f t="shared" si="89"/>
        <v>0</v>
      </c>
      <c r="DL122" s="58">
        <f t="array" ref="DL122">SUM(IF(DI122:DJ122&gt;=DI122, 1))</f>
        <v>2</v>
      </c>
      <c r="DM122" s="58">
        <f t="array" ref="DM122">SUM(IF(DI122:DJ122&gt;=DJ122, 1))</f>
        <v>1</v>
      </c>
      <c r="DO122" s="109">
        <f t="shared" si="90"/>
        <v>-9429158.7761546373</v>
      </c>
      <c r="DP122" s="109">
        <f t="shared" si="91"/>
        <v>0</v>
      </c>
      <c r="DR122" s="58">
        <f t="array" ref="DR122">SUM(IF(DO122:DP122&gt;=DO122, 1))</f>
        <v>2</v>
      </c>
      <c r="DS122" s="58">
        <f t="array" ref="DS122">SUM(IF(DO122:DP122&gt;=DP122, 1))</f>
        <v>1</v>
      </c>
      <c r="DU122" s="109">
        <f t="shared" si="92"/>
        <v>-51847078.782099985</v>
      </c>
      <c r="DV122" s="109">
        <f t="shared" si="93"/>
        <v>0</v>
      </c>
      <c r="DX122" s="58">
        <f t="array" ref="DX122">SUM(IF(DU122:DV122&gt;=DU122, 1))</f>
        <v>2</v>
      </c>
      <c r="DY122" s="58">
        <f t="array" ref="DY122">SUM(IF(DU122:DV122&gt;=DV122, 1))</f>
        <v>1</v>
      </c>
      <c r="EA122" s="109">
        <f t="shared" si="94"/>
        <v>-183836890.23064935</v>
      </c>
      <c r="EB122" s="109">
        <f t="shared" si="95"/>
        <v>0</v>
      </c>
      <c r="ED122" s="58">
        <f t="array" ref="ED122">SUM(IF(EA122:EB122&gt;=EA122, 1))</f>
        <v>2</v>
      </c>
      <c r="EE122" s="58">
        <f t="array" ref="EE122">SUM(IF(EA122:EB122&gt;=EB122, 1))</f>
        <v>1</v>
      </c>
    </row>
    <row r="123" spans="4:135" ht="12" customHeight="1" x14ac:dyDescent="0.25">
      <c r="D123" s="11">
        <v>107</v>
      </c>
      <c r="E123" s="72">
        <v>264.89415238174627</v>
      </c>
      <c r="F123" s="72">
        <v>224.58261512017634</v>
      </c>
      <c r="G123" s="73"/>
      <c r="H123" s="74">
        <v>5.7867207866558008</v>
      </c>
      <c r="I123" s="74">
        <v>5.8027039103631628</v>
      </c>
      <c r="J123" s="73"/>
      <c r="K123" s="72">
        <v>283.3155956128474</v>
      </c>
      <c r="L123" s="72">
        <v>242.04950655479888</v>
      </c>
      <c r="M123" s="73"/>
      <c r="N123" s="74">
        <v>6.7251357445401583</v>
      </c>
      <c r="O123" s="74">
        <v>6.7392341660396999</v>
      </c>
      <c r="P123" s="73"/>
      <c r="Q123" s="72">
        <v>2694.7183815695812</v>
      </c>
      <c r="R123" s="72">
        <v>1296.0365034599433</v>
      </c>
      <c r="S123" s="73"/>
      <c r="T123" s="74">
        <v>4.6371442240403402</v>
      </c>
      <c r="U123" s="74">
        <v>4.7652306221039709</v>
      </c>
      <c r="V123" s="73"/>
      <c r="W123" s="72">
        <v>14499.774715042071</v>
      </c>
      <c r="X123" s="72">
        <v>14469.74765989556</v>
      </c>
      <c r="Y123" s="73"/>
      <c r="Z123" s="74">
        <v>3.0188052236914098</v>
      </c>
      <c r="AA123" s="74">
        <v>3.09155446094486</v>
      </c>
      <c r="AB123" s="73"/>
      <c r="AC123" s="72">
        <v>51259.626609518658</v>
      </c>
      <c r="AD123" s="72">
        <v>51094.951206003869</v>
      </c>
      <c r="AE123" s="73"/>
      <c r="AF123" s="74">
        <v>4.3830151312205476</v>
      </c>
      <c r="AG123" s="74">
        <v>4.4640768491854637</v>
      </c>
      <c r="AH123" s="73"/>
      <c r="AI123" s="72">
        <v>4341161.1754920352</v>
      </c>
      <c r="AJ123" s="72">
        <v>0</v>
      </c>
      <c r="AK123" s="73"/>
      <c r="AL123" s="74">
        <v>-1721.227241999354</v>
      </c>
      <c r="AM123" s="74">
        <v>0</v>
      </c>
      <c r="AN123" s="73"/>
      <c r="AO123" s="72">
        <v>284794.47425659472</v>
      </c>
      <c r="AP123" s="72">
        <v>0</v>
      </c>
      <c r="AQ123" s="73"/>
      <c r="AR123" s="74">
        <v>-97.299080927241988</v>
      </c>
      <c r="AS123" s="74">
        <v>0</v>
      </c>
      <c r="AT123" s="73"/>
      <c r="AU123" s="72">
        <v>32770239.402771391</v>
      </c>
      <c r="AV123" s="72">
        <v>0</v>
      </c>
      <c r="AW123" s="73"/>
      <c r="AX123" s="74">
        <v>-3000.9839939134672</v>
      </c>
      <c r="AY123" s="74">
        <v>0</v>
      </c>
      <c r="AZ123" s="73"/>
      <c r="BA123" s="72">
        <v>257865.72463112662</v>
      </c>
      <c r="BB123" s="72">
        <v>0</v>
      </c>
      <c r="BC123" s="73"/>
      <c r="BD123" s="74">
        <v>-624.75439863114468</v>
      </c>
      <c r="BE123" s="74">
        <v>0</v>
      </c>
      <c r="BF123" s="73"/>
      <c r="BG123" s="72">
        <v>2602127.1152464617</v>
      </c>
      <c r="BH123" s="72">
        <v>0</v>
      </c>
      <c r="BI123" s="73"/>
      <c r="BJ123" s="74">
        <v>-1280.9010321084477</v>
      </c>
      <c r="BK123" s="74">
        <v>0</v>
      </c>
      <c r="BL123" s="73"/>
      <c r="BM123" s="72">
        <v>40256187.892397605</v>
      </c>
      <c r="BN123" s="72">
        <v>0</v>
      </c>
      <c r="BO123" s="73"/>
      <c r="BP123" s="74">
        <v>-6725.1657475796555</v>
      </c>
      <c r="BQ123" s="74">
        <v>0</v>
      </c>
      <c r="BS123" s="109">
        <f t="shared" si="75"/>
        <v>115469.52158073426</v>
      </c>
      <c r="BT123" s="109">
        <f t="shared" si="76"/>
        <v>115829.49559214308</v>
      </c>
      <c r="BV123" s="58">
        <f t="array" ref="BV123">SUM(IF(BS123:BT123&gt;=BS123, 1))</f>
        <v>2</v>
      </c>
      <c r="BW123" s="58">
        <f t="array" ref="BW123">SUM(IF(BS123:BT123&gt;=BT123, 1))</f>
        <v>1</v>
      </c>
      <c r="BY123" s="109">
        <f t="shared" si="77"/>
        <v>134219.39929519029</v>
      </c>
      <c r="BZ123" s="109">
        <f t="shared" si="78"/>
        <v>134542.63381423921</v>
      </c>
      <c r="CB123" s="58">
        <f t="array" ref="CB123">SUM(IF(BY123:BZ123&gt;=BY123, 1))</f>
        <v>2</v>
      </c>
      <c r="CC123" s="58">
        <f t="array" ref="CC123">SUM(IF(BY123:BZ123&gt;=BZ123, 1))</f>
        <v>1</v>
      </c>
      <c r="CE123" s="109">
        <f t="shared" si="79"/>
        <v>90048.166099237234</v>
      </c>
      <c r="CF123" s="109">
        <f t="shared" si="80"/>
        <v>94008.575938619484</v>
      </c>
      <c r="CH123" s="58">
        <f t="array" ref="CH123">SUM(IF(CE123:CF123&gt;=CE123, 1))</f>
        <v>2</v>
      </c>
      <c r="CI123" s="58">
        <f t="array" ref="CI123">SUM(IF(CE123:CF123&gt;=CF123, 1))</f>
        <v>1</v>
      </c>
      <c r="CK123" s="109">
        <f t="shared" si="81"/>
        <v>45876.329758786123</v>
      </c>
      <c r="CL123" s="109">
        <f t="shared" si="82"/>
        <v>47361.341559001638</v>
      </c>
      <c r="CN123" s="58">
        <f t="array" ref="CN123">SUM(IF(CK123:CL123&gt;=CK123, 1))</f>
        <v>2</v>
      </c>
      <c r="CO123" s="58">
        <f t="array" ref="CO123">SUM(IF(CK123:CL123&gt;=CL123, 1))</f>
        <v>1</v>
      </c>
      <c r="CQ123" s="109" cm="1">
        <f t="array" ref="CQ123">AF123*WTP-AC123</f>
        <v>36400.676014892291</v>
      </c>
      <c r="CR123" s="109">
        <f t="shared" si="83"/>
        <v>38186.585777705404</v>
      </c>
      <c r="CT123" s="58">
        <f t="array" ref="CT123">SUM(IF(CQ123:CR123&gt;=CQ123, 1))</f>
        <v>2</v>
      </c>
      <c r="CU123" s="58">
        <f t="array" ref="CU123">SUM(IF(CQ123:CR123&gt;=CR123, 1))</f>
        <v>1</v>
      </c>
      <c r="CW123" s="109">
        <f t="shared" si="84"/>
        <v>-38765706.01547911</v>
      </c>
      <c r="CX123" s="109">
        <f t="shared" si="85"/>
        <v>0</v>
      </c>
      <c r="CZ123" s="58">
        <f t="array" ref="CZ123">SUM(IF(CW123:CX123&gt;=CW123, 1))</f>
        <v>2</v>
      </c>
      <c r="DA123" s="58">
        <f t="array" ref="DA123">SUM(IF(CW123:CX123&gt;=CX123, 1))</f>
        <v>1</v>
      </c>
      <c r="DC123" s="109">
        <f t="shared" si="86"/>
        <v>-2230776.0928014345</v>
      </c>
      <c r="DD123" s="109">
        <f t="shared" si="87"/>
        <v>0</v>
      </c>
      <c r="DF123" s="58">
        <f t="array" ref="DF123">SUM(IF(DC123:DD123&gt;=DC123, 1))</f>
        <v>2</v>
      </c>
      <c r="DG123" s="58">
        <f t="array" ref="DG123">SUM(IF(DC123:DD123&gt;=DD123, 1))</f>
        <v>1</v>
      </c>
      <c r="DI123" s="109">
        <f t="shared" si="88"/>
        <v>-92789919.281040728</v>
      </c>
      <c r="DJ123" s="109">
        <f t="shared" si="89"/>
        <v>0</v>
      </c>
      <c r="DL123" s="58">
        <f t="array" ref="DL123">SUM(IF(DI123:DJ123&gt;=DI123, 1))</f>
        <v>2</v>
      </c>
      <c r="DM123" s="58">
        <f t="array" ref="DM123">SUM(IF(DI123:DJ123&gt;=DJ123, 1))</f>
        <v>1</v>
      </c>
      <c r="DO123" s="109">
        <f t="shared" si="90"/>
        <v>-12752953.697254021</v>
      </c>
      <c r="DP123" s="109">
        <f t="shared" si="91"/>
        <v>0</v>
      </c>
      <c r="DR123" s="58">
        <f t="array" ref="DR123">SUM(IF(DO123:DP123&gt;=DO123, 1))</f>
        <v>2</v>
      </c>
      <c r="DS123" s="58">
        <f t="array" ref="DS123">SUM(IF(DO123:DP123&gt;=DP123, 1))</f>
        <v>1</v>
      </c>
      <c r="DU123" s="109">
        <f t="shared" si="92"/>
        <v>-28220147.757415414</v>
      </c>
      <c r="DV123" s="109">
        <f t="shared" si="93"/>
        <v>0</v>
      </c>
      <c r="DX123" s="58">
        <f t="array" ref="DX123">SUM(IF(DU123:DV123&gt;=DU123, 1))</f>
        <v>2</v>
      </c>
      <c r="DY123" s="58">
        <f t="array" ref="DY123">SUM(IF(DU123:DV123&gt;=DV123, 1))</f>
        <v>1</v>
      </c>
      <c r="EA123" s="109">
        <f t="shared" si="94"/>
        <v>-174759502.84399071</v>
      </c>
      <c r="EB123" s="109">
        <f t="shared" si="95"/>
        <v>0</v>
      </c>
      <c r="ED123" s="58">
        <f t="array" ref="ED123">SUM(IF(EA123:EB123&gt;=EA123, 1))</f>
        <v>2</v>
      </c>
      <c r="EE123" s="58">
        <f t="array" ref="EE123">SUM(IF(EA123:EB123&gt;=EB123, 1))</f>
        <v>1</v>
      </c>
    </row>
    <row r="124" spans="4:135" ht="12" customHeight="1" x14ac:dyDescent="0.25">
      <c r="D124" s="11">
        <v>108</v>
      </c>
      <c r="E124" s="72">
        <v>243.88329865239024</v>
      </c>
      <c r="F124" s="72">
        <v>215.72021303704852</v>
      </c>
      <c r="G124" s="73"/>
      <c r="H124" s="74">
        <v>5.7617471645820375</v>
      </c>
      <c r="I124" s="74">
        <v>5.7772833494886058</v>
      </c>
      <c r="J124" s="73"/>
      <c r="K124" s="72">
        <v>261.41010328159723</v>
      </c>
      <c r="L124" s="72">
        <v>232.59552139288476</v>
      </c>
      <c r="M124" s="73"/>
      <c r="N124" s="74">
        <v>6.7504106442363359</v>
      </c>
      <c r="O124" s="74">
        <v>6.7643358203449004</v>
      </c>
      <c r="P124" s="73"/>
      <c r="Q124" s="72">
        <v>1689.8682795498828</v>
      </c>
      <c r="R124" s="72">
        <v>1067.2049230337786</v>
      </c>
      <c r="S124" s="73"/>
      <c r="T124" s="74">
        <v>4.8020463416898123</v>
      </c>
      <c r="U124" s="74">
        <v>4.8731593087808625</v>
      </c>
      <c r="V124" s="73"/>
      <c r="W124" s="72">
        <v>15107.599977403223</v>
      </c>
      <c r="X124" s="72">
        <v>15022.829387558631</v>
      </c>
      <c r="Y124" s="73"/>
      <c r="Z124" s="74">
        <v>3.0914706507582443</v>
      </c>
      <c r="AA124" s="74">
        <v>3.13476940236297</v>
      </c>
      <c r="AB124" s="73"/>
      <c r="AC124" s="72">
        <v>50284.876961033522</v>
      </c>
      <c r="AD124" s="72">
        <v>49994.580801123069</v>
      </c>
      <c r="AE124" s="73"/>
      <c r="AF124" s="74">
        <v>4.5688968667762744</v>
      </c>
      <c r="AG124" s="74">
        <v>4.6804248582769592</v>
      </c>
      <c r="AH124" s="73"/>
      <c r="AI124" s="72">
        <v>3062237.108243207</v>
      </c>
      <c r="AJ124" s="72">
        <v>0</v>
      </c>
      <c r="AK124" s="73"/>
      <c r="AL124" s="74">
        <v>-1689.285136977493</v>
      </c>
      <c r="AM124" s="74">
        <v>0</v>
      </c>
      <c r="AN124" s="73"/>
      <c r="AO124" s="72">
        <v>204374.00300388018</v>
      </c>
      <c r="AP124" s="72">
        <v>0</v>
      </c>
      <c r="AQ124" s="73"/>
      <c r="AR124" s="74">
        <v>-98.767491918950256</v>
      </c>
      <c r="AS124" s="74">
        <v>0</v>
      </c>
      <c r="AT124" s="73"/>
      <c r="AU124" s="72">
        <v>14148720.529643007</v>
      </c>
      <c r="AV124" s="72">
        <v>0</v>
      </c>
      <c r="AW124" s="73"/>
      <c r="AX124" s="74">
        <v>-1615.8932220366605</v>
      </c>
      <c r="AY124" s="74">
        <v>0</v>
      </c>
      <c r="AZ124" s="73"/>
      <c r="BA124" s="72">
        <v>771761.39038617723</v>
      </c>
      <c r="BB124" s="72">
        <v>0</v>
      </c>
      <c r="BC124" s="73"/>
      <c r="BD124" s="74">
        <v>-394.19691194446671</v>
      </c>
      <c r="BE124" s="74">
        <v>0</v>
      </c>
      <c r="BF124" s="73"/>
      <c r="BG124" s="72">
        <v>4582585.746935579</v>
      </c>
      <c r="BH124" s="72">
        <v>0</v>
      </c>
      <c r="BI124" s="73"/>
      <c r="BJ124" s="74">
        <v>-1760.5695658979596</v>
      </c>
      <c r="BK124" s="74">
        <v>0</v>
      </c>
      <c r="BL124" s="73"/>
      <c r="BM124" s="72">
        <v>22769678.778211851</v>
      </c>
      <c r="BN124" s="72">
        <v>0</v>
      </c>
      <c r="BO124" s="73"/>
      <c r="BP124" s="74">
        <v>-5558.7123287755303</v>
      </c>
      <c r="BQ124" s="74">
        <v>0</v>
      </c>
      <c r="BS124" s="109">
        <f t="shared" si="75"/>
        <v>114991.05999298836</v>
      </c>
      <c r="BT124" s="109">
        <f t="shared" si="76"/>
        <v>115329.94677673507</v>
      </c>
      <c r="BV124" s="58">
        <f t="array" ref="BV124">SUM(IF(BS124:BT124&gt;=BS124, 1))</f>
        <v>2</v>
      </c>
      <c r="BW124" s="58">
        <f t="array" ref="BW124">SUM(IF(BS124:BT124&gt;=BT124, 1))</f>
        <v>1</v>
      </c>
      <c r="BY124" s="109">
        <f t="shared" si="77"/>
        <v>134746.80278144512</v>
      </c>
      <c r="BZ124" s="109">
        <f t="shared" si="78"/>
        <v>135054.12088550514</v>
      </c>
      <c r="CB124" s="58">
        <f t="array" ref="CB124">SUM(IF(BY124:BZ124&gt;=BY124, 1))</f>
        <v>2</v>
      </c>
      <c r="CC124" s="58">
        <f t="array" ref="CC124">SUM(IF(BY124:BZ124&gt;=BZ124, 1))</f>
        <v>1</v>
      </c>
      <c r="CE124" s="109">
        <f t="shared" si="79"/>
        <v>94351.058554246352</v>
      </c>
      <c r="CF124" s="109">
        <f t="shared" si="80"/>
        <v>96395.981252583471</v>
      </c>
      <c r="CH124" s="58">
        <f t="array" ref="CH124">SUM(IF(CE124:CF124&gt;=CE124, 1))</f>
        <v>2</v>
      </c>
      <c r="CI124" s="58">
        <f t="array" ref="CI124">SUM(IF(CE124:CF124&gt;=CF124, 1))</f>
        <v>1</v>
      </c>
      <c r="CK124" s="109">
        <f t="shared" si="81"/>
        <v>46721.813037761662</v>
      </c>
      <c r="CL124" s="109">
        <f t="shared" si="82"/>
        <v>47672.558659700771</v>
      </c>
      <c r="CN124" s="58">
        <f t="array" ref="CN124">SUM(IF(CK124:CL124&gt;=CK124, 1))</f>
        <v>2</v>
      </c>
      <c r="CO124" s="58">
        <f t="array" ref="CO124">SUM(IF(CK124:CL124&gt;=CL124, 1))</f>
        <v>1</v>
      </c>
      <c r="CQ124" s="109" cm="1">
        <f t="array" ref="CQ124">AF124*WTP-AC124</f>
        <v>41093.060374491972</v>
      </c>
      <c r="CR124" s="109">
        <f t="shared" si="83"/>
        <v>43613.916364416116</v>
      </c>
      <c r="CT124" s="58">
        <f t="array" ref="CT124">SUM(IF(CQ124:CR124&gt;=CQ124, 1))</f>
        <v>2</v>
      </c>
      <c r="CU124" s="58">
        <f t="array" ref="CU124">SUM(IF(CQ124:CR124&gt;=CR124, 1))</f>
        <v>1</v>
      </c>
      <c r="CW124" s="109">
        <f t="shared" si="84"/>
        <v>-36847939.847793065</v>
      </c>
      <c r="CX124" s="109">
        <f t="shared" si="85"/>
        <v>0</v>
      </c>
      <c r="CZ124" s="58">
        <f t="array" ref="CZ124">SUM(IF(CW124:CX124&gt;=CW124, 1))</f>
        <v>2</v>
      </c>
      <c r="DA124" s="58">
        <f t="array" ref="DA124">SUM(IF(CW124:CX124&gt;=CX124, 1))</f>
        <v>1</v>
      </c>
      <c r="DC124" s="109">
        <f t="shared" si="86"/>
        <v>-2179723.8413828854</v>
      </c>
      <c r="DD124" s="109">
        <f t="shared" si="87"/>
        <v>0</v>
      </c>
      <c r="DF124" s="58">
        <f t="array" ref="DF124">SUM(IF(DC124:DD124&gt;=DC124, 1))</f>
        <v>2</v>
      </c>
      <c r="DG124" s="58">
        <f t="array" ref="DG124">SUM(IF(DC124:DD124&gt;=DD124, 1))</f>
        <v>1</v>
      </c>
      <c r="DI124" s="109">
        <f t="shared" si="88"/>
        <v>-46466584.970376216</v>
      </c>
      <c r="DJ124" s="109">
        <f t="shared" si="89"/>
        <v>0</v>
      </c>
      <c r="DL124" s="58">
        <f t="array" ref="DL124">SUM(IF(DI124:DJ124&gt;=DI124, 1))</f>
        <v>2</v>
      </c>
      <c r="DM124" s="58">
        <f t="array" ref="DM124">SUM(IF(DI124:DJ124&gt;=DJ124, 1))</f>
        <v>1</v>
      </c>
      <c r="DO124" s="109">
        <f t="shared" si="90"/>
        <v>-8655699.629275512</v>
      </c>
      <c r="DP124" s="109">
        <f t="shared" si="91"/>
        <v>0</v>
      </c>
      <c r="DR124" s="58">
        <f t="array" ref="DR124">SUM(IF(DO124:DP124&gt;=DO124, 1))</f>
        <v>2</v>
      </c>
      <c r="DS124" s="58">
        <f t="array" ref="DS124">SUM(IF(DO124:DP124&gt;=DP124, 1))</f>
        <v>1</v>
      </c>
      <c r="DU124" s="109">
        <f t="shared" si="92"/>
        <v>-39793977.064894766</v>
      </c>
      <c r="DV124" s="109">
        <f t="shared" si="93"/>
        <v>0</v>
      </c>
      <c r="DX124" s="58">
        <f t="array" ref="DX124">SUM(IF(DU124:DV124&gt;=DU124, 1))</f>
        <v>2</v>
      </c>
      <c r="DY124" s="58">
        <f t="array" ref="DY124">SUM(IF(DU124:DV124&gt;=DV124, 1))</f>
        <v>1</v>
      </c>
      <c r="EA124" s="109">
        <f t="shared" si="94"/>
        <v>-133943925.35372245</v>
      </c>
      <c r="EB124" s="109">
        <f t="shared" si="95"/>
        <v>0</v>
      </c>
      <c r="ED124" s="58">
        <f t="array" ref="ED124">SUM(IF(EA124:EB124&gt;=EA124, 1))</f>
        <v>2</v>
      </c>
      <c r="EE124" s="58">
        <f t="array" ref="EE124">SUM(IF(EA124:EB124&gt;=EB124, 1))</f>
        <v>1</v>
      </c>
    </row>
    <row r="125" spans="4:135" ht="12" customHeight="1" x14ac:dyDescent="0.25">
      <c r="D125" s="11">
        <v>109</v>
      </c>
      <c r="E125" s="72">
        <v>288.48826567987237</v>
      </c>
      <c r="F125" s="72">
        <v>259.0659046077144</v>
      </c>
      <c r="G125" s="73"/>
      <c r="H125" s="74">
        <v>5.8768220513260925</v>
      </c>
      <c r="I125" s="74">
        <v>5.8955185188335051</v>
      </c>
      <c r="J125" s="73"/>
      <c r="K125" s="72">
        <v>309.51760356571032</v>
      </c>
      <c r="L125" s="72">
        <v>279.35849781284617</v>
      </c>
      <c r="M125" s="73"/>
      <c r="N125" s="74">
        <v>6.7739595431990427</v>
      </c>
      <c r="O125" s="74">
        <v>6.7900767756795943</v>
      </c>
      <c r="P125" s="73"/>
      <c r="Q125" s="72">
        <v>2156.6527148953401</v>
      </c>
      <c r="R125" s="72">
        <v>1209.2517653514562</v>
      </c>
      <c r="S125" s="73"/>
      <c r="T125" s="74">
        <v>4.7837018737719923</v>
      </c>
      <c r="U125" s="74">
        <v>4.8815692178599237</v>
      </c>
      <c r="V125" s="73"/>
      <c r="W125" s="72">
        <v>10896.046171133261</v>
      </c>
      <c r="X125" s="72">
        <v>10875.493025190846</v>
      </c>
      <c r="Y125" s="73"/>
      <c r="Z125" s="74">
        <v>3.0078623850501547</v>
      </c>
      <c r="AA125" s="74">
        <v>3.0556177188365248</v>
      </c>
      <c r="AB125" s="73"/>
      <c r="AC125" s="72">
        <v>49425.470697664205</v>
      </c>
      <c r="AD125" s="72">
        <v>49246.348507129398</v>
      </c>
      <c r="AE125" s="73"/>
      <c r="AF125" s="74">
        <v>3.9756182975444658</v>
      </c>
      <c r="AG125" s="74">
        <v>4.0473603323167175</v>
      </c>
      <c r="AH125" s="73"/>
      <c r="AI125" s="72">
        <v>3160944.4055902441</v>
      </c>
      <c r="AJ125" s="72">
        <v>0</v>
      </c>
      <c r="AK125" s="73"/>
      <c r="AL125" s="74">
        <v>-2008.6251482985115</v>
      </c>
      <c r="AM125" s="74">
        <v>0</v>
      </c>
      <c r="AN125" s="73"/>
      <c r="AO125" s="72">
        <v>204895.03942861428</v>
      </c>
      <c r="AP125" s="72">
        <v>0</v>
      </c>
      <c r="AQ125" s="73"/>
      <c r="AR125" s="74">
        <v>-109.49731108221448</v>
      </c>
      <c r="AS125" s="74">
        <v>0</v>
      </c>
      <c r="AT125" s="73"/>
      <c r="AU125" s="72">
        <v>21900108.698814981</v>
      </c>
      <c r="AV125" s="72">
        <v>0</v>
      </c>
      <c r="AW125" s="73"/>
      <c r="AX125" s="74">
        <v>-2262.3003223945439</v>
      </c>
      <c r="AY125" s="74">
        <v>0</v>
      </c>
      <c r="AZ125" s="73"/>
      <c r="BA125" s="72">
        <v>180930.77246079658</v>
      </c>
      <c r="BB125" s="72">
        <v>0</v>
      </c>
      <c r="BC125" s="73"/>
      <c r="BD125" s="74">
        <v>-420.39352298181672</v>
      </c>
      <c r="BE125" s="74">
        <v>0</v>
      </c>
      <c r="BF125" s="73"/>
      <c r="BG125" s="72">
        <v>2789601.2884172704</v>
      </c>
      <c r="BH125" s="72">
        <v>0</v>
      </c>
      <c r="BI125" s="73"/>
      <c r="BJ125" s="74">
        <v>-1117.2913419427</v>
      </c>
      <c r="BK125" s="74">
        <v>0</v>
      </c>
      <c r="BL125" s="73"/>
      <c r="BM125" s="72">
        <v>28236480.204711907</v>
      </c>
      <c r="BN125" s="72">
        <v>0</v>
      </c>
      <c r="BO125" s="73"/>
      <c r="BP125" s="74">
        <v>-5918.1076466997874</v>
      </c>
      <c r="BQ125" s="74">
        <v>0</v>
      </c>
      <c r="BS125" s="109">
        <f t="shared" si="75"/>
        <v>117247.95276084197</v>
      </c>
      <c r="BT125" s="109">
        <f t="shared" si="76"/>
        <v>117651.30447206239</v>
      </c>
      <c r="BV125" s="58">
        <f t="array" ref="BV125">SUM(IF(BS125:BT125&gt;=BS125, 1))</f>
        <v>2</v>
      </c>
      <c r="BW125" s="58">
        <f t="array" ref="BW125">SUM(IF(BS125:BT125&gt;=BT125, 1))</f>
        <v>1</v>
      </c>
      <c r="BY125" s="109">
        <f t="shared" si="77"/>
        <v>135169.67326041515</v>
      </c>
      <c r="BZ125" s="109">
        <f t="shared" si="78"/>
        <v>135522.17701577905</v>
      </c>
      <c r="CB125" s="58">
        <f t="array" ref="CB125">SUM(IF(BY125:BZ125&gt;=BY125, 1))</f>
        <v>2</v>
      </c>
      <c r="CC125" s="58">
        <f t="array" ref="CC125">SUM(IF(BY125:BZ125&gt;=BZ125, 1))</f>
        <v>1</v>
      </c>
      <c r="CE125" s="109">
        <f t="shared" si="79"/>
        <v>93517.384760544504</v>
      </c>
      <c r="CF125" s="109">
        <f t="shared" si="80"/>
        <v>96422.132591847025</v>
      </c>
      <c r="CH125" s="58">
        <f t="array" ref="CH125">SUM(IF(CE125:CF125&gt;=CE125, 1))</f>
        <v>2</v>
      </c>
      <c r="CI125" s="58">
        <f t="array" ref="CI125">SUM(IF(CE125:CF125&gt;=CF125, 1))</f>
        <v>1</v>
      </c>
      <c r="CK125" s="109">
        <f t="shared" si="81"/>
        <v>49261.201529869832</v>
      </c>
      <c r="CL125" s="109">
        <f t="shared" si="82"/>
        <v>50236.86135153965</v>
      </c>
      <c r="CN125" s="58">
        <f t="array" ref="CN125">SUM(IF(CK125:CL125&gt;=CK125, 1))</f>
        <v>2</v>
      </c>
      <c r="CO125" s="58">
        <f t="array" ref="CO125">SUM(IF(CK125:CL125&gt;=CL125, 1))</f>
        <v>1</v>
      </c>
      <c r="CQ125" s="109" cm="1">
        <f t="array" ref="CQ125">AF125*WTP-AC125</f>
        <v>30086.895253225113</v>
      </c>
      <c r="CR125" s="109">
        <f t="shared" si="83"/>
        <v>31700.858139204953</v>
      </c>
      <c r="CT125" s="58">
        <f t="array" ref="CT125">SUM(IF(CQ125:CR125&gt;=CQ125, 1))</f>
        <v>2</v>
      </c>
      <c r="CU125" s="58">
        <f t="array" ref="CU125">SUM(IF(CQ125:CR125&gt;=CR125, 1))</f>
        <v>1</v>
      </c>
      <c r="CW125" s="109">
        <f t="shared" si="84"/>
        <v>-43333447.371560477</v>
      </c>
      <c r="CX125" s="109">
        <f t="shared" si="85"/>
        <v>0</v>
      </c>
      <c r="CZ125" s="58">
        <f t="array" ref="CZ125">SUM(IF(CW125:CX125&gt;=CW125, 1))</f>
        <v>2</v>
      </c>
      <c r="DA125" s="58">
        <f t="array" ref="DA125">SUM(IF(CW125:CX125&gt;=CX125, 1))</f>
        <v>1</v>
      </c>
      <c r="DC125" s="109">
        <f t="shared" si="86"/>
        <v>-2394841.2610729039</v>
      </c>
      <c r="DD125" s="109">
        <f t="shared" si="87"/>
        <v>0</v>
      </c>
      <c r="DF125" s="58">
        <f t="array" ref="DF125">SUM(IF(DC125:DD125&gt;=DC125, 1))</f>
        <v>2</v>
      </c>
      <c r="DG125" s="58">
        <f t="array" ref="DG125">SUM(IF(DC125:DD125&gt;=DD125, 1))</f>
        <v>1</v>
      </c>
      <c r="DI125" s="109">
        <f t="shared" si="88"/>
        <v>-67146115.146705866</v>
      </c>
      <c r="DJ125" s="109">
        <f t="shared" si="89"/>
        <v>0</v>
      </c>
      <c r="DL125" s="58">
        <f t="array" ref="DL125">SUM(IF(DI125:DJ125&gt;=DI125, 1))</f>
        <v>2</v>
      </c>
      <c r="DM125" s="58">
        <f t="array" ref="DM125">SUM(IF(DI125:DJ125&gt;=DJ125, 1))</f>
        <v>1</v>
      </c>
      <c r="DO125" s="109">
        <f t="shared" si="90"/>
        <v>-8588801.2320971303</v>
      </c>
      <c r="DP125" s="109">
        <f t="shared" si="91"/>
        <v>0</v>
      </c>
      <c r="DR125" s="58">
        <f t="array" ref="DR125">SUM(IF(DO125:DP125&gt;=DO125, 1))</f>
        <v>2</v>
      </c>
      <c r="DS125" s="58">
        <f t="array" ref="DS125">SUM(IF(DO125:DP125&gt;=DP125, 1))</f>
        <v>1</v>
      </c>
      <c r="DU125" s="109">
        <f t="shared" si="92"/>
        <v>-25135428.127271272</v>
      </c>
      <c r="DV125" s="109">
        <f t="shared" si="93"/>
        <v>0</v>
      </c>
      <c r="DX125" s="58">
        <f t="array" ref="DX125">SUM(IF(DU125:DV125&gt;=DU125, 1))</f>
        <v>2</v>
      </c>
      <c r="DY125" s="58">
        <f t="array" ref="DY125">SUM(IF(DU125:DV125&gt;=DV125, 1))</f>
        <v>1</v>
      </c>
      <c r="EA125" s="109">
        <f t="shared" si="94"/>
        <v>-146598633.13870767</v>
      </c>
      <c r="EB125" s="109">
        <f t="shared" si="95"/>
        <v>0</v>
      </c>
      <c r="ED125" s="58">
        <f t="array" ref="ED125">SUM(IF(EA125:EB125&gt;=EA125, 1))</f>
        <v>2</v>
      </c>
      <c r="EE125" s="58">
        <f t="array" ref="EE125">SUM(IF(EA125:EB125&gt;=EB125, 1))</f>
        <v>1</v>
      </c>
    </row>
    <row r="126" spans="4:135" ht="12" customHeight="1" x14ac:dyDescent="0.25">
      <c r="D126" s="11">
        <v>110</v>
      </c>
      <c r="E126" s="72">
        <v>219.92873965870348</v>
      </c>
      <c r="F126" s="72">
        <v>209.1908088778745</v>
      </c>
      <c r="G126" s="73"/>
      <c r="H126" s="74">
        <v>5.8276891732695555</v>
      </c>
      <c r="I126" s="74">
        <v>5.8453964806889083</v>
      </c>
      <c r="J126" s="73"/>
      <c r="K126" s="72">
        <v>236.6485423852055</v>
      </c>
      <c r="L126" s="72">
        <v>225.64089652768504</v>
      </c>
      <c r="M126" s="73"/>
      <c r="N126" s="74">
        <v>6.6777479553791013</v>
      </c>
      <c r="O126" s="74">
        <v>6.6938211761271429</v>
      </c>
      <c r="P126" s="73"/>
      <c r="Q126" s="72">
        <v>2361.8898932216566</v>
      </c>
      <c r="R126" s="72">
        <v>1282.3877829507219</v>
      </c>
      <c r="S126" s="73"/>
      <c r="T126" s="74">
        <v>4.6737256544693588</v>
      </c>
      <c r="U126" s="74">
        <v>4.757360874099259</v>
      </c>
      <c r="V126" s="73"/>
      <c r="W126" s="72">
        <v>16913.278070712888</v>
      </c>
      <c r="X126" s="72">
        <v>16748.978327574674</v>
      </c>
      <c r="Y126" s="73"/>
      <c r="Z126" s="74">
        <v>3.1793779374996984</v>
      </c>
      <c r="AA126" s="74">
        <v>3.1998694820716729</v>
      </c>
      <c r="AB126" s="73"/>
      <c r="AC126" s="72">
        <v>50024.492157735338</v>
      </c>
      <c r="AD126" s="72">
        <v>50037.268116937455</v>
      </c>
      <c r="AE126" s="73"/>
      <c r="AF126" s="74">
        <v>4.5522626299212678</v>
      </c>
      <c r="AG126" s="74">
        <v>4.5731564854304745</v>
      </c>
      <c r="AH126" s="73"/>
      <c r="AI126" s="72">
        <v>1146319.6763305252</v>
      </c>
      <c r="AJ126" s="72">
        <v>0</v>
      </c>
      <c r="AK126" s="73"/>
      <c r="AL126" s="74">
        <v>-1890.3302064376458</v>
      </c>
      <c r="AM126" s="74">
        <v>0</v>
      </c>
      <c r="AN126" s="73"/>
      <c r="AO126" s="72">
        <v>76279.11996519177</v>
      </c>
      <c r="AP126" s="72">
        <v>0</v>
      </c>
      <c r="AQ126" s="73"/>
      <c r="AR126" s="74">
        <v>-111.38177495320079</v>
      </c>
      <c r="AS126" s="74">
        <v>0</v>
      </c>
      <c r="AT126" s="73"/>
      <c r="AU126" s="72">
        <v>24920565.492163721</v>
      </c>
      <c r="AV126" s="72">
        <v>0</v>
      </c>
      <c r="AW126" s="73"/>
      <c r="AX126" s="74">
        <v>-1930.7391327982859</v>
      </c>
      <c r="AY126" s="74">
        <v>0</v>
      </c>
      <c r="AZ126" s="73"/>
      <c r="BA126" s="72">
        <v>1501895.7932257501</v>
      </c>
      <c r="BB126" s="72">
        <v>0</v>
      </c>
      <c r="BC126" s="73"/>
      <c r="BD126" s="74">
        <v>-187.31718018242165</v>
      </c>
      <c r="BE126" s="74">
        <v>0</v>
      </c>
      <c r="BF126" s="73"/>
      <c r="BG126" s="72">
        <v>-197038.2112564976</v>
      </c>
      <c r="BH126" s="72">
        <v>0</v>
      </c>
      <c r="BI126" s="73"/>
      <c r="BJ126" s="74">
        <v>-322.23709004201032</v>
      </c>
      <c r="BK126" s="74">
        <v>0</v>
      </c>
      <c r="BL126" s="73"/>
      <c r="BM126" s="72">
        <v>27448021.870428693</v>
      </c>
      <c r="BN126" s="72">
        <v>0</v>
      </c>
      <c r="BO126" s="73"/>
      <c r="BP126" s="74">
        <v>-4442.0053844135646</v>
      </c>
      <c r="BQ126" s="74">
        <v>0</v>
      </c>
      <c r="BS126" s="109">
        <f t="shared" si="75"/>
        <v>116333.85472573241</v>
      </c>
      <c r="BT126" s="109">
        <f t="shared" si="76"/>
        <v>116698.73880490029</v>
      </c>
      <c r="BV126" s="58">
        <f t="array" ref="BV126">SUM(IF(BS126:BT126&gt;=BS126, 1))</f>
        <v>2</v>
      </c>
      <c r="BW126" s="58">
        <f t="array" ref="BW126">SUM(IF(BS126:BT126&gt;=BT126, 1))</f>
        <v>1</v>
      </c>
      <c r="BY126" s="109">
        <f t="shared" si="77"/>
        <v>133318.31056519682</v>
      </c>
      <c r="BZ126" s="109">
        <f t="shared" si="78"/>
        <v>133650.78262601519</v>
      </c>
      <c r="CB126" s="58">
        <f t="array" ref="CB126">SUM(IF(BY126:BZ126&gt;=BY126, 1))</f>
        <v>2</v>
      </c>
      <c r="CC126" s="58">
        <f t="array" ref="CC126">SUM(IF(BY126:BZ126&gt;=BZ126, 1))</f>
        <v>1</v>
      </c>
      <c r="CE126" s="109">
        <f t="shared" si="79"/>
        <v>91112.623196165528</v>
      </c>
      <c r="CF126" s="109">
        <f t="shared" si="80"/>
        <v>93864.829699034453</v>
      </c>
      <c r="CH126" s="58">
        <f t="array" ref="CH126">SUM(IF(CE126:CF126&gt;=CE126, 1))</f>
        <v>2</v>
      </c>
      <c r="CI126" s="58">
        <f t="array" ref="CI126">SUM(IF(CE126:CF126&gt;=CF126, 1))</f>
        <v>1</v>
      </c>
      <c r="CK126" s="109">
        <f t="shared" si="81"/>
        <v>46674.280679281088</v>
      </c>
      <c r="CL126" s="109">
        <f t="shared" si="82"/>
        <v>47248.411313858785</v>
      </c>
      <c r="CN126" s="58">
        <f t="array" ref="CN126">SUM(IF(CK126:CL126&gt;=CK126, 1))</f>
        <v>2</v>
      </c>
      <c r="CO126" s="58">
        <f t="array" ref="CO126">SUM(IF(CK126:CL126&gt;=CL126, 1))</f>
        <v>1</v>
      </c>
      <c r="CQ126" s="109" cm="1">
        <f t="array" ref="CQ126">AF126*WTP-AC126</f>
        <v>41020.760440690021</v>
      </c>
      <c r="CR126" s="109">
        <f t="shared" si="83"/>
        <v>41425.86159167203</v>
      </c>
      <c r="CT126" s="58">
        <f t="array" ref="CT126">SUM(IF(CQ126:CR126&gt;=CQ126, 1))</f>
        <v>2</v>
      </c>
      <c r="CU126" s="58">
        <f t="array" ref="CU126">SUM(IF(CQ126:CR126&gt;=CR126, 1))</f>
        <v>1</v>
      </c>
      <c r="CW126" s="109">
        <f t="shared" si="84"/>
        <v>-38952923.805083439</v>
      </c>
      <c r="CX126" s="109">
        <f t="shared" si="85"/>
        <v>0</v>
      </c>
      <c r="CZ126" s="58">
        <f t="array" ref="CZ126">SUM(IF(CW126:CX126&gt;=CW126, 1))</f>
        <v>2</v>
      </c>
      <c r="DA126" s="58">
        <f t="array" ref="DA126">SUM(IF(CW126:CX126&gt;=CX126, 1))</f>
        <v>1</v>
      </c>
      <c r="DC126" s="109">
        <f t="shared" si="86"/>
        <v>-2303914.6190292076</v>
      </c>
      <c r="DD126" s="109">
        <f t="shared" si="87"/>
        <v>0</v>
      </c>
      <c r="DF126" s="58">
        <f t="array" ref="DF126">SUM(IF(DC126:DD126&gt;=DC126, 1))</f>
        <v>2</v>
      </c>
      <c r="DG126" s="58">
        <f t="array" ref="DG126">SUM(IF(DC126:DD126&gt;=DD126, 1))</f>
        <v>1</v>
      </c>
      <c r="DI126" s="109">
        <f t="shared" si="88"/>
        <v>-63535348.148129433</v>
      </c>
      <c r="DJ126" s="109">
        <f t="shared" si="89"/>
        <v>0</v>
      </c>
      <c r="DL126" s="58">
        <f t="array" ref="DL126">SUM(IF(DI126:DJ126&gt;=DI126, 1))</f>
        <v>2</v>
      </c>
      <c r="DM126" s="58">
        <f t="array" ref="DM126">SUM(IF(DI126:DJ126&gt;=DJ126, 1))</f>
        <v>1</v>
      </c>
      <c r="DO126" s="109">
        <f t="shared" si="90"/>
        <v>-5248239.3968741829</v>
      </c>
      <c r="DP126" s="109">
        <f t="shared" si="91"/>
        <v>0</v>
      </c>
      <c r="DR126" s="58">
        <f t="array" ref="DR126">SUM(IF(DO126:DP126&gt;=DO126, 1))</f>
        <v>2</v>
      </c>
      <c r="DS126" s="58">
        <f t="array" ref="DS126">SUM(IF(DO126:DP126&gt;=DP126, 1))</f>
        <v>1</v>
      </c>
      <c r="DU126" s="109">
        <f t="shared" si="92"/>
        <v>-6247703.5895837089</v>
      </c>
      <c r="DV126" s="109">
        <f t="shared" si="93"/>
        <v>0</v>
      </c>
      <c r="DX126" s="58">
        <f t="array" ref="DX126">SUM(IF(DU126:DV126&gt;=DU126, 1))</f>
        <v>2</v>
      </c>
      <c r="DY126" s="58">
        <f t="array" ref="DY126">SUM(IF(DU126:DV126&gt;=DV126, 1))</f>
        <v>1</v>
      </c>
      <c r="EA126" s="109">
        <f t="shared" si="94"/>
        <v>-116288129.55869998</v>
      </c>
      <c r="EB126" s="109">
        <f t="shared" si="95"/>
        <v>0</v>
      </c>
      <c r="ED126" s="58">
        <f t="array" ref="ED126">SUM(IF(EA126:EB126&gt;=EA126, 1))</f>
        <v>2</v>
      </c>
      <c r="EE126" s="58">
        <f t="array" ref="EE126">SUM(IF(EA126:EB126&gt;=EB126, 1))</f>
        <v>1</v>
      </c>
    </row>
    <row r="127" spans="4:135" ht="12" customHeight="1" x14ac:dyDescent="0.25">
      <c r="D127" s="11">
        <v>111</v>
      </c>
      <c r="E127" s="72">
        <v>258.63755260445589</v>
      </c>
      <c r="F127" s="72">
        <v>237.50664333806216</v>
      </c>
      <c r="G127" s="73"/>
      <c r="H127" s="74">
        <v>5.8609653642568258</v>
      </c>
      <c r="I127" s="74">
        <v>5.874866066996332</v>
      </c>
      <c r="J127" s="73"/>
      <c r="K127" s="72">
        <v>277.72296743526994</v>
      </c>
      <c r="L127" s="72">
        <v>256.07085580987848</v>
      </c>
      <c r="M127" s="73"/>
      <c r="N127" s="74">
        <v>6.6854459246875955</v>
      </c>
      <c r="O127" s="74">
        <v>6.6971272380226932</v>
      </c>
      <c r="P127" s="73"/>
      <c r="Q127" s="72">
        <v>1948.1084552531238</v>
      </c>
      <c r="R127" s="72">
        <v>1356.1598072066538</v>
      </c>
      <c r="S127" s="73"/>
      <c r="T127" s="74">
        <v>4.7298328617874672</v>
      </c>
      <c r="U127" s="74">
        <v>4.7834543045310491</v>
      </c>
      <c r="V127" s="73"/>
      <c r="W127" s="72">
        <v>10551.587203196654</v>
      </c>
      <c r="X127" s="72">
        <v>10558.204201734638</v>
      </c>
      <c r="Y127" s="73"/>
      <c r="Z127" s="74">
        <v>2.8884684561371379</v>
      </c>
      <c r="AA127" s="74">
        <v>2.9383504300246184</v>
      </c>
      <c r="AB127" s="73"/>
      <c r="AC127" s="72">
        <v>50051.906968953743</v>
      </c>
      <c r="AD127" s="72">
        <v>49920.972335317136</v>
      </c>
      <c r="AE127" s="73"/>
      <c r="AF127" s="74">
        <v>4.6097593325794364</v>
      </c>
      <c r="AG127" s="74">
        <v>4.7199006827210006</v>
      </c>
      <c r="AH127" s="73"/>
      <c r="AI127" s="72">
        <v>2271810.1106072138</v>
      </c>
      <c r="AJ127" s="72">
        <v>0</v>
      </c>
      <c r="AK127" s="73"/>
      <c r="AL127" s="74">
        <v>-1494.4816917263215</v>
      </c>
      <c r="AM127" s="74">
        <v>0</v>
      </c>
      <c r="AN127" s="73"/>
      <c r="AO127" s="72">
        <v>151983.38856078486</v>
      </c>
      <c r="AP127" s="72">
        <v>0</v>
      </c>
      <c r="AQ127" s="73"/>
      <c r="AR127" s="74">
        <v>-81.995031903791684</v>
      </c>
      <c r="AS127" s="74">
        <v>0</v>
      </c>
      <c r="AT127" s="73"/>
      <c r="AU127" s="72">
        <v>13747392.858667761</v>
      </c>
      <c r="AV127" s="72">
        <v>0</v>
      </c>
      <c r="AW127" s="73"/>
      <c r="AX127" s="74">
        <v>-1245.3023441768405</v>
      </c>
      <c r="AY127" s="74">
        <v>0</v>
      </c>
      <c r="AZ127" s="73"/>
      <c r="BA127" s="72">
        <v>-56648.567464148917</v>
      </c>
      <c r="BB127" s="72">
        <v>0</v>
      </c>
      <c r="BC127" s="73"/>
      <c r="BD127" s="74">
        <v>-427.04291784094153</v>
      </c>
      <c r="BE127" s="74">
        <v>0</v>
      </c>
      <c r="BF127" s="73"/>
      <c r="BG127" s="72">
        <v>2068252.943801173</v>
      </c>
      <c r="BH127" s="72">
        <v>0</v>
      </c>
      <c r="BI127" s="73"/>
      <c r="BJ127" s="74">
        <v>-1739.8007336756853</v>
      </c>
      <c r="BK127" s="74">
        <v>0</v>
      </c>
      <c r="BL127" s="73"/>
      <c r="BM127" s="72">
        <v>18182790.734172784</v>
      </c>
      <c r="BN127" s="72">
        <v>0</v>
      </c>
      <c r="BO127" s="73"/>
      <c r="BP127" s="74">
        <v>-4988.6227193235809</v>
      </c>
      <c r="BQ127" s="74">
        <v>0</v>
      </c>
      <c r="BS127" s="109">
        <f t="shared" si="75"/>
        <v>116960.66973253206</v>
      </c>
      <c r="BT127" s="109">
        <f t="shared" si="76"/>
        <v>117259.81469658858</v>
      </c>
      <c r="BV127" s="58">
        <f t="array" ref="BV127">SUM(IF(BS127:BT127&gt;=BS127, 1))</f>
        <v>2</v>
      </c>
      <c r="BW127" s="58">
        <f t="array" ref="BW127">SUM(IF(BS127:BT127&gt;=BT127, 1))</f>
        <v>1</v>
      </c>
      <c r="BY127" s="109">
        <f t="shared" si="77"/>
        <v>133431.19552631665</v>
      </c>
      <c r="BZ127" s="109">
        <f t="shared" si="78"/>
        <v>133686.47390464399</v>
      </c>
      <c r="CB127" s="58">
        <f t="array" ref="CB127">SUM(IF(BY127:BZ127&gt;=BY127, 1))</f>
        <v>2</v>
      </c>
      <c r="CC127" s="58">
        <f t="array" ref="CC127">SUM(IF(BY127:BZ127&gt;=BZ127, 1))</f>
        <v>1</v>
      </c>
      <c r="CE127" s="109">
        <f t="shared" si="79"/>
        <v>92648.548780496218</v>
      </c>
      <c r="CF127" s="109">
        <f t="shared" si="80"/>
        <v>94312.92628341433</v>
      </c>
      <c r="CH127" s="58">
        <f t="array" ref="CH127">SUM(IF(CE127:CF127&gt;=CE127, 1))</f>
        <v>2</v>
      </c>
      <c r="CI127" s="58">
        <f t="array" ref="CI127">SUM(IF(CE127:CF127&gt;=CF127, 1))</f>
        <v>1</v>
      </c>
      <c r="CK127" s="109">
        <f t="shared" si="81"/>
        <v>47217.781919546105</v>
      </c>
      <c r="CL127" s="109">
        <f t="shared" si="82"/>
        <v>48208.804398757726</v>
      </c>
      <c r="CN127" s="58">
        <f t="array" ref="CN127">SUM(IF(CK127:CL127&gt;=CK127, 1))</f>
        <v>2</v>
      </c>
      <c r="CO127" s="58">
        <f t="array" ref="CO127">SUM(IF(CK127:CL127&gt;=CL127, 1))</f>
        <v>1</v>
      </c>
      <c r="CQ127" s="109" cm="1">
        <f t="array" ref="CQ127">AF127*WTP-AC127</f>
        <v>42143.27968263498</v>
      </c>
      <c r="CR127" s="109">
        <f t="shared" si="83"/>
        <v>44477.041319102871</v>
      </c>
      <c r="CT127" s="58">
        <f t="array" ref="CT127">SUM(IF(CQ127:CR127&gt;=CQ127, 1))</f>
        <v>2</v>
      </c>
      <c r="CU127" s="58">
        <f t="array" ref="CU127">SUM(IF(CQ127:CR127&gt;=CR127, 1))</f>
        <v>1</v>
      </c>
      <c r="CW127" s="109">
        <f t="shared" si="84"/>
        <v>-32161443.945133645</v>
      </c>
      <c r="CX127" s="109">
        <f t="shared" si="85"/>
        <v>0</v>
      </c>
      <c r="CZ127" s="58">
        <f t="array" ref="CZ127">SUM(IF(CW127:CX127&gt;=CW127, 1))</f>
        <v>2</v>
      </c>
      <c r="DA127" s="58">
        <f t="array" ref="DA127">SUM(IF(CW127:CX127&gt;=CX127, 1))</f>
        <v>1</v>
      </c>
      <c r="DC127" s="109">
        <f t="shared" si="86"/>
        <v>-1791884.0266366187</v>
      </c>
      <c r="DD127" s="109">
        <f t="shared" si="87"/>
        <v>0</v>
      </c>
      <c r="DF127" s="58">
        <f t="array" ref="DF127">SUM(IF(DC127:DD127&gt;=DC127, 1))</f>
        <v>2</v>
      </c>
      <c r="DG127" s="58">
        <f t="array" ref="DG127">SUM(IF(DC127:DD127&gt;=DD127, 1))</f>
        <v>1</v>
      </c>
      <c r="DI127" s="109">
        <f t="shared" si="88"/>
        <v>-38653439.742204577</v>
      </c>
      <c r="DJ127" s="109">
        <f t="shared" si="89"/>
        <v>0</v>
      </c>
      <c r="DL127" s="58">
        <f t="array" ref="DL127">SUM(IF(DI127:DJ127&gt;=DI127, 1))</f>
        <v>2</v>
      </c>
      <c r="DM127" s="58">
        <f t="array" ref="DM127">SUM(IF(DI127:DJ127&gt;=DJ127, 1))</f>
        <v>1</v>
      </c>
      <c r="DO127" s="109">
        <f t="shared" si="90"/>
        <v>-8484209.789354682</v>
      </c>
      <c r="DP127" s="109">
        <f t="shared" si="91"/>
        <v>0</v>
      </c>
      <c r="DR127" s="58">
        <f t="array" ref="DR127">SUM(IF(DO127:DP127&gt;=DO127, 1))</f>
        <v>2</v>
      </c>
      <c r="DS127" s="58">
        <f t="array" ref="DS127">SUM(IF(DO127:DP127&gt;=DP127, 1))</f>
        <v>1</v>
      </c>
      <c r="DU127" s="109">
        <f t="shared" si="92"/>
        <v>-36864267.617314875</v>
      </c>
      <c r="DV127" s="109">
        <f t="shared" si="93"/>
        <v>0</v>
      </c>
      <c r="DX127" s="58">
        <f t="array" ref="DX127">SUM(IF(DU127:DV127&gt;=DU127, 1))</f>
        <v>2</v>
      </c>
      <c r="DY127" s="58">
        <f t="array" ref="DY127">SUM(IF(DU127:DV127&gt;=DV127, 1))</f>
        <v>1</v>
      </c>
      <c r="EA127" s="109">
        <f t="shared" si="94"/>
        <v>-117955245.12064439</v>
      </c>
      <c r="EB127" s="109">
        <f t="shared" si="95"/>
        <v>0</v>
      </c>
      <c r="ED127" s="58">
        <f t="array" ref="ED127">SUM(IF(EA127:EB127&gt;=EA127, 1))</f>
        <v>2</v>
      </c>
      <c r="EE127" s="58">
        <f t="array" ref="EE127">SUM(IF(EA127:EB127&gt;=EB127, 1))</f>
        <v>1</v>
      </c>
    </row>
    <row r="128" spans="4:135" ht="12" customHeight="1" x14ac:dyDescent="0.25">
      <c r="D128" s="11">
        <v>112</v>
      </c>
      <c r="E128" s="72">
        <v>292.72124235247963</v>
      </c>
      <c r="F128" s="72">
        <v>260.28614322253543</v>
      </c>
      <c r="G128" s="73"/>
      <c r="H128" s="74">
        <v>5.835924685785443</v>
      </c>
      <c r="I128" s="74">
        <v>5.852158972821293</v>
      </c>
      <c r="J128" s="73"/>
      <c r="K128" s="72">
        <v>313.80304343893999</v>
      </c>
      <c r="L128" s="72">
        <v>280.62251858002236</v>
      </c>
      <c r="M128" s="73"/>
      <c r="N128" s="74">
        <v>6.7136425184981947</v>
      </c>
      <c r="O128" s="74">
        <v>6.7280534631258533</v>
      </c>
      <c r="P128" s="73"/>
      <c r="Q128" s="72">
        <v>1901.916216730561</v>
      </c>
      <c r="R128" s="72">
        <v>1382.8286183254572</v>
      </c>
      <c r="S128" s="73"/>
      <c r="T128" s="74">
        <v>4.7663173588266323</v>
      </c>
      <c r="U128" s="74">
        <v>4.8225660339062788</v>
      </c>
      <c r="V128" s="73"/>
      <c r="W128" s="72">
        <v>16252.154149468764</v>
      </c>
      <c r="X128" s="72">
        <v>16173.772325809576</v>
      </c>
      <c r="Y128" s="73"/>
      <c r="Z128" s="74">
        <v>3.0518547387508748</v>
      </c>
      <c r="AA128" s="74">
        <v>3.0887111917284238</v>
      </c>
      <c r="AB128" s="73"/>
      <c r="AC128" s="72">
        <v>50904.201702284903</v>
      </c>
      <c r="AD128" s="72">
        <v>50554.308666264784</v>
      </c>
      <c r="AE128" s="73"/>
      <c r="AF128" s="74">
        <v>4.6132307124917169</v>
      </c>
      <c r="AG128" s="74">
        <v>4.7247543796384752</v>
      </c>
      <c r="AH128" s="73"/>
      <c r="AI128" s="72">
        <v>3470604.3353162236</v>
      </c>
      <c r="AJ128" s="72">
        <v>0</v>
      </c>
      <c r="AK128" s="73"/>
      <c r="AL128" s="74">
        <v>-1737.0931021873555</v>
      </c>
      <c r="AM128" s="74">
        <v>0</v>
      </c>
      <c r="AN128" s="73"/>
      <c r="AO128" s="72">
        <v>228462.13352486872</v>
      </c>
      <c r="AP128" s="72">
        <v>0</v>
      </c>
      <c r="AQ128" s="73"/>
      <c r="AR128" s="74">
        <v>-99.225529726928514</v>
      </c>
      <c r="AS128" s="74">
        <v>0</v>
      </c>
      <c r="AT128" s="73"/>
      <c r="AU128" s="72">
        <v>12036864.575299453</v>
      </c>
      <c r="AV128" s="72">
        <v>0</v>
      </c>
      <c r="AW128" s="73"/>
      <c r="AX128" s="74">
        <v>-1304.3225970991891</v>
      </c>
      <c r="AY128" s="74">
        <v>0</v>
      </c>
      <c r="AZ128" s="73"/>
      <c r="BA128" s="72">
        <v>723173.82829896745</v>
      </c>
      <c r="BB128" s="72">
        <v>0</v>
      </c>
      <c r="BC128" s="73"/>
      <c r="BD128" s="74">
        <v>-340.04850809783869</v>
      </c>
      <c r="BE128" s="74">
        <v>0</v>
      </c>
      <c r="BF128" s="73"/>
      <c r="BG128" s="72">
        <v>5382344.1712928526</v>
      </c>
      <c r="BH128" s="72">
        <v>0</v>
      </c>
      <c r="BI128" s="73"/>
      <c r="BJ128" s="74">
        <v>-1715.5493194612859</v>
      </c>
      <c r="BK128" s="74">
        <v>0</v>
      </c>
      <c r="BL128" s="73"/>
      <c r="BM128" s="72">
        <v>21841449.043732367</v>
      </c>
      <c r="BN128" s="72">
        <v>0</v>
      </c>
      <c r="BO128" s="73"/>
      <c r="BP128" s="74">
        <v>-5196.2390565725982</v>
      </c>
      <c r="BQ128" s="74">
        <v>0</v>
      </c>
      <c r="BS128" s="109">
        <f t="shared" si="75"/>
        <v>116425.77247335638</v>
      </c>
      <c r="BT128" s="109">
        <f t="shared" si="76"/>
        <v>116782.89331320333</v>
      </c>
      <c r="BV128" s="58">
        <f t="array" ref="BV128">SUM(IF(BS128:BT128&gt;=BS128, 1))</f>
        <v>2</v>
      </c>
      <c r="BW128" s="58">
        <f t="array" ref="BW128">SUM(IF(BS128:BT128&gt;=BT128, 1))</f>
        <v>1</v>
      </c>
      <c r="BY128" s="109">
        <f t="shared" si="77"/>
        <v>133959.04732652495</v>
      </c>
      <c r="BZ128" s="109">
        <f t="shared" si="78"/>
        <v>134280.44674393703</v>
      </c>
      <c r="CB128" s="58">
        <f t="array" ref="CB128">SUM(IF(BY128:BZ128&gt;=BY128, 1))</f>
        <v>2</v>
      </c>
      <c r="CC128" s="58">
        <f t="array" ref="CC128">SUM(IF(BY128:BZ128&gt;=BZ128, 1))</f>
        <v>1</v>
      </c>
      <c r="CE128" s="109">
        <f t="shared" si="79"/>
        <v>93424.430959802077</v>
      </c>
      <c r="CF128" s="109">
        <f t="shared" si="80"/>
        <v>95068.492059800119</v>
      </c>
      <c r="CH128" s="58">
        <f t="array" ref="CH128">SUM(IF(CE128:CF128&gt;=CE128, 1))</f>
        <v>2</v>
      </c>
      <c r="CI128" s="58">
        <f t="array" ref="CI128">SUM(IF(CE128:CF128&gt;=CF128, 1))</f>
        <v>1</v>
      </c>
      <c r="CK128" s="109">
        <f t="shared" si="81"/>
        <v>44784.940625548734</v>
      </c>
      <c r="CL128" s="109">
        <f t="shared" si="82"/>
        <v>45600.451508758895</v>
      </c>
      <c r="CN128" s="58">
        <f t="array" ref="CN128">SUM(IF(CK128:CL128&gt;=CK128, 1))</f>
        <v>2</v>
      </c>
      <c r="CO128" s="58">
        <f t="array" ref="CO128">SUM(IF(CK128:CL128&gt;=CL128, 1))</f>
        <v>1</v>
      </c>
      <c r="CQ128" s="109" cm="1">
        <f t="array" ref="CQ128">AF128*WTP-AC128</f>
        <v>41360.412547549437</v>
      </c>
      <c r="CR128" s="109">
        <f t="shared" si="83"/>
        <v>43940.778926504718</v>
      </c>
      <c r="CT128" s="58">
        <f t="array" ref="CT128">SUM(IF(CQ128:CR128&gt;=CQ128, 1))</f>
        <v>2</v>
      </c>
      <c r="CU128" s="58">
        <f t="array" ref="CU128">SUM(IF(CQ128:CR128&gt;=CR128, 1))</f>
        <v>1</v>
      </c>
      <c r="CW128" s="109">
        <f t="shared" si="84"/>
        <v>-38212466.379063338</v>
      </c>
      <c r="CX128" s="109">
        <f t="shared" si="85"/>
        <v>0</v>
      </c>
      <c r="CZ128" s="58">
        <f t="array" ref="CZ128">SUM(IF(CW128:CX128&gt;=CW128, 1))</f>
        <v>2</v>
      </c>
      <c r="DA128" s="58">
        <f t="array" ref="DA128">SUM(IF(CW128:CX128&gt;=CX128, 1))</f>
        <v>1</v>
      </c>
      <c r="DC128" s="109">
        <f t="shared" si="86"/>
        <v>-2212972.728063439</v>
      </c>
      <c r="DD128" s="109">
        <f t="shared" si="87"/>
        <v>0</v>
      </c>
      <c r="DF128" s="58">
        <f t="array" ref="DF128">SUM(IF(DC128:DD128&gt;=DC128, 1))</f>
        <v>2</v>
      </c>
      <c r="DG128" s="58">
        <f t="array" ref="DG128">SUM(IF(DC128:DD128&gt;=DD128, 1))</f>
        <v>1</v>
      </c>
      <c r="DI128" s="109">
        <f t="shared" si="88"/>
        <v>-38123316.517283231</v>
      </c>
      <c r="DJ128" s="109">
        <f t="shared" si="89"/>
        <v>0</v>
      </c>
      <c r="DL128" s="58">
        <f t="array" ref="DL128">SUM(IF(DI128:DJ128&gt;=DI128, 1))</f>
        <v>2</v>
      </c>
      <c r="DM128" s="58">
        <f t="array" ref="DM128">SUM(IF(DI128:DJ128&gt;=DJ128, 1))</f>
        <v>1</v>
      </c>
      <c r="DO128" s="109">
        <f t="shared" si="90"/>
        <v>-7524143.9902557414</v>
      </c>
      <c r="DP128" s="109">
        <f t="shared" si="91"/>
        <v>0</v>
      </c>
      <c r="DR128" s="58">
        <f t="array" ref="DR128">SUM(IF(DO128:DP128&gt;=DO128, 1))</f>
        <v>2</v>
      </c>
      <c r="DS128" s="58">
        <f t="array" ref="DS128">SUM(IF(DO128:DP128&gt;=DP128, 1))</f>
        <v>1</v>
      </c>
      <c r="DU128" s="109">
        <f t="shared" si="92"/>
        <v>-39693330.560518578</v>
      </c>
      <c r="DV128" s="109">
        <f t="shared" si="93"/>
        <v>0</v>
      </c>
      <c r="DX128" s="58">
        <f t="array" ref="DX128">SUM(IF(DU128:DV128&gt;=DU128, 1))</f>
        <v>2</v>
      </c>
      <c r="DY128" s="58">
        <f t="array" ref="DY128">SUM(IF(DU128:DV128&gt;=DV128, 1))</f>
        <v>1</v>
      </c>
      <c r="EA128" s="109">
        <f t="shared" si="94"/>
        <v>-125766230.17518434</v>
      </c>
      <c r="EB128" s="109">
        <f t="shared" si="95"/>
        <v>0</v>
      </c>
      <c r="ED128" s="58">
        <f t="array" ref="ED128">SUM(IF(EA128:EB128&gt;=EA128, 1))</f>
        <v>2</v>
      </c>
      <c r="EE128" s="58">
        <f t="array" ref="EE128">SUM(IF(EA128:EB128&gt;=EB128, 1))</f>
        <v>1</v>
      </c>
    </row>
    <row r="129" spans="4:135" ht="12" customHeight="1" x14ac:dyDescent="0.25">
      <c r="D129" s="11">
        <v>113</v>
      </c>
      <c r="E129" s="72">
        <v>212.32423412474853</v>
      </c>
      <c r="F129" s="72">
        <v>182.66333114821305</v>
      </c>
      <c r="G129" s="73"/>
      <c r="H129" s="74">
        <v>5.8480119605042402</v>
      </c>
      <c r="I129" s="74">
        <v>5.8672856957617787</v>
      </c>
      <c r="J129" s="73"/>
      <c r="K129" s="72">
        <v>227.27670903419846</v>
      </c>
      <c r="L129" s="72">
        <v>196.90081240926921</v>
      </c>
      <c r="M129" s="73"/>
      <c r="N129" s="74">
        <v>6.7426797558666536</v>
      </c>
      <c r="O129" s="74">
        <v>6.7598481345255221</v>
      </c>
      <c r="P129" s="73"/>
      <c r="Q129" s="72">
        <v>1464.905460507216</v>
      </c>
      <c r="R129" s="72">
        <v>895.63238723050199</v>
      </c>
      <c r="S129" s="73"/>
      <c r="T129" s="74">
        <v>4.9370073520693118</v>
      </c>
      <c r="U129" s="74">
        <v>5.0012766385485046</v>
      </c>
      <c r="V129" s="73"/>
      <c r="W129" s="72">
        <v>13562.647885114322</v>
      </c>
      <c r="X129" s="72">
        <v>13512.619779670049</v>
      </c>
      <c r="Y129" s="73"/>
      <c r="Z129" s="74">
        <v>3.0441664717435128</v>
      </c>
      <c r="AA129" s="74">
        <v>3.1021765587556662</v>
      </c>
      <c r="AB129" s="73"/>
      <c r="AC129" s="72">
        <v>49928.174663759302</v>
      </c>
      <c r="AD129" s="72">
        <v>49864.076571858757</v>
      </c>
      <c r="AE129" s="73"/>
      <c r="AF129" s="74">
        <v>4.223671431020569</v>
      </c>
      <c r="AG129" s="74">
        <v>4.3012529987863646</v>
      </c>
      <c r="AH129" s="73"/>
      <c r="AI129" s="72">
        <v>3142639.8828110239</v>
      </c>
      <c r="AJ129" s="72">
        <v>0</v>
      </c>
      <c r="AK129" s="73"/>
      <c r="AL129" s="74">
        <v>-2042.0959253667463</v>
      </c>
      <c r="AM129" s="74">
        <v>0</v>
      </c>
      <c r="AN129" s="73"/>
      <c r="AO129" s="72">
        <v>207026.9572501214</v>
      </c>
      <c r="AP129" s="72">
        <v>0</v>
      </c>
      <c r="AQ129" s="73"/>
      <c r="AR129" s="74">
        <v>-117.01110385483987</v>
      </c>
      <c r="AS129" s="74">
        <v>0</v>
      </c>
      <c r="AT129" s="73"/>
      <c r="AU129" s="72">
        <v>13168755.859029254</v>
      </c>
      <c r="AV129" s="72">
        <v>0</v>
      </c>
      <c r="AW129" s="73"/>
      <c r="AX129" s="74">
        <v>-1486.7145182310494</v>
      </c>
      <c r="AY129" s="74">
        <v>0</v>
      </c>
      <c r="AZ129" s="73"/>
      <c r="BA129" s="72">
        <v>435211.10450441315</v>
      </c>
      <c r="BB129" s="72">
        <v>0</v>
      </c>
      <c r="BC129" s="73"/>
      <c r="BD129" s="74">
        <v>-504.64901312481135</v>
      </c>
      <c r="BE129" s="74">
        <v>0</v>
      </c>
      <c r="BF129" s="73"/>
      <c r="BG129" s="72">
        <v>1018150.9666941195</v>
      </c>
      <c r="BH129" s="72">
        <v>0</v>
      </c>
      <c r="BI129" s="73"/>
      <c r="BJ129" s="74">
        <v>-1232.326047099046</v>
      </c>
      <c r="BK129" s="74">
        <v>0</v>
      </c>
      <c r="BL129" s="73"/>
      <c r="BM129" s="72">
        <v>17971784.770288933</v>
      </c>
      <c r="BN129" s="72">
        <v>0</v>
      </c>
      <c r="BO129" s="73"/>
      <c r="BP129" s="74">
        <v>-5382.7966076764933</v>
      </c>
      <c r="BQ129" s="74">
        <v>0</v>
      </c>
      <c r="BS129" s="109">
        <f t="shared" si="75"/>
        <v>116747.91497596006</v>
      </c>
      <c r="BT129" s="109">
        <f t="shared" si="76"/>
        <v>117163.05058408737</v>
      </c>
      <c r="BV129" s="58">
        <f t="array" ref="BV129">SUM(IF(BS129:BT129&gt;=BS129, 1))</f>
        <v>2</v>
      </c>
      <c r="BW129" s="58">
        <f t="array" ref="BW129">SUM(IF(BS129:BT129&gt;=BT129, 1))</f>
        <v>1</v>
      </c>
      <c r="BY129" s="109">
        <f t="shared" si="77"/>
        <v>134626.31840829889</v>
      </c>
      <c r="BZ129" s="109">
        <f t="shared" si="78"/>
        <v>135000.06187810117</v>
      </c>
      <c r="CB129" s="58">
        <f t="array" ref="CB129">SUM(IF(BY129:BZ129&gt;=BY129, 1))</f>
        <v>2</v>
      </c>
      <c r="CC129" s="58">
        <f t="array" ref="CC129">SUM(IF(BY129:BZ129&gt;=BZ129, 1))</f>
        <v>1</v>
      </c>
      <c r="CE129" s="109">
        <f t="shared" si="79"/>
        <v>97275.241580879025</v>
      </c>
      <c r="CF129" s="109">
        <f t="shared" si="80"/>
        <v>99129.900383739587</v>
      </c>
      <c r="CH129" s="58">
        <f t="array" ref="CH129">SUM(IF(CE129:CF129&gt;=CE129, 1))</f>
        <v>2</v>
      </c>
      <c r="CI129" s="58">
        <f t="array" ref="CI129">SUM(IF(CE129:CF129&gt;=CF129, 1))</f>
        <v>1</v>
      </c>
      <c r="CK129" s="109">
        <f t="shared" si="81"/>
        <v>47320.681549755929</v>
      </c>
      <c r="CL129" s="109">
        <f t="shared" si="82"/>
        <v>48530.911395443276</v>
      </c>
      <c r="CN129" s="58">
        <f t="array" ref="CN129">SUM(IF(CK129:CL129&gt;=CK129, 1))</f>
        <v>2</v>
      </c>
      <c r="CO129" s="58">
        <f t="array" ref="CO129">SUM(IF(CK129:CL129&gt;=CL129, 1))</f>
        <v>1</v>
      </c>
      <c r="CQ129" s="109" cm="1">
        <f t="array" ref="CQ129">AF129*WTP-AC129</f>
        <v>34545.253956652072</v>
      </c>
      <c r="CR129" s="109">
        <f t="shared" si="83"/>
        <v>36160.983403868529</v>
      </c>
      <c r="CT129" s="58">
        <f t="array" ref="CT129">SUM(IF(CQ129:CR129&gt;=CQ129, 1))</f>
        <v>2</v>
      </c>
      <c r="CU129" s="58">
        <f t="array" ref="CU129">SUM(IF(CQ129:CR129&gt;=CR129, 1))</f>
        <v>1</v>
      </c>
      <c r="CW129" s="109">
        <f t="shared" si="84"/>
        <v>-43984558.39014595</v>
      </c>
      <c r="CX129" s="109">
        <f t="shared" si="85"/>
        <v>0</v>
      </c>
      <c r="CZ129" s="58">
        <f t="array" ref="CZ129">SUM(IF(CW129:CX129&gt;=CW129, 1))</f>
        <v>2</v>
      </c>
      <c r="DA129" s="58">
        <f t="array" ref="DA129">SUM(IF(CW129:CX129&gt;=CX129, 1))</f>
        <v>1</v>
      </c>
      <c r="DC129" s="109">
        <f t="shared" si="86"/>
        <v>-2547249.034346919</v>
      </c>
      <c r="DD129" s="109">
        <f t="shared" si="87"/>
        <v>0</v>
      </c>
      <c r="DF129" s="58">
        <f t="array" ref="DF129">SUM(IF(DC129:DD129&gt;=DC129, 1))</f>
        <v>2</v>
      </c>
      <c r="DG129" s="58">
        <f t="array" ref="DG129">SUM(IF(DC129:DD129&gt;=DD129, 1))</f>
        <v>1</v>
      </c>
      <c r="DI129" s="109">
        <f t="shared" si="88"/>
        <v>-42903046.223650239</v>
      </c>
      <c r="DJ129" s="109">
        <f t="shared" si="89"/>
        <v>0</v>
      </c>
      <c r="DL129" s="58">
        <f t="array" ref="DL129">SUM(IF(DI129:DJ129&gt;=DI129, 1))</f>
        <v>2</v>
      </c>
      <c r="DM129" s="58">
        <f t="array" ref="DM129">SUM(IF(DI129:DJ129&gt;=DJ129, 1))</f>
        <v>1</v>
      </c>
      <c r="DO129" s="109">
        <f t="shared" si="90"/>
        <v>-10528191.367000641</v>
      </c>
      <c r="DP129" s="109">
        <f t="shared" si="91"/>
        <v>0</v>
      </c>
      <c r="DR129" s="58">
        <f t="array" ref="DR129">SUM(IF(DO129:DP129&gt;=DO129, 1))</f>
        <v>2</v>
      </c>
      <c r="DS129" s="58">
        <f t="array" ref="DS129">SUM(IF(DO129:DP129&gt;=DP129, 1))</f>
        <v>1</v>
      </c>
      <c r="DU129" s="109">
        <f t="shared" si="92"/>
        <v>-25664671.908675041</v>
      </c>
      <c r="DV129" s="109">
        <f t="shared" si="93"/>
        <v>0</v>
      </c>
      <c r="DX129" s="58">
        <f t="array" ref="DX129">SUM(IF(DU129:DV129&gt;=DU129, 1))</f>
        <v>2</v>
      </c>
      <c r="DY129" s="58">
        <f t="array" ref="DY129">SUM(IF(DU129:DV129&gt;=DV129, 1))</f>
        <v>1</v>
      </c>
      <c r="EA129" s="109">
        <f t="shared" si="94"/>
        <v>-125627716.9238188</v>
      </c>
      <c r="EB129" s="109">
        <f t="shared" si="95"/>
        <v>0</v>
      </c>
      <c r="ED129" s="58">
        <f t="array" ref="ED129">SUM(IF(EA129:EB129&gt;=EA129, 1))</f>
        <v>2</v>
      </c>
      <c r="EE129" s="58">
        <f t="array" ref="EE129">SUM(IF(EA129:EB129&gt;=EB129, 1))</f>
        <v>1</v>
      </c>
    </row>
    <row r="130" spans="4:135" ht="12" customHeight="1" x14ac:dyDescent="0.25">
      <c r="D130" s="11">
        <v>114</v>
      </c>
      <c r="E130" s="72">
        <v>235.84973394761619</v>
      </c>
      <c r="F130" s="72">
        <v>192.27315110805796</v>
      </c>
      <c r="G130" s="73"/>
      <c r="H130" s="74">
        <v>5.8847555093768156</v>
      </c>
      <c r="I130" s="74">
        <v>5.905156222053467</v>
      </c>
      <c r="J130" s="73"/>
      <c r="K130" s="72">
        <v>251.76490738463085</v>
      </c>
      <c r="L130" s="72">
        <v>207.15453557864694</v>
      </c>
      <c r="M130" s="73"/>
      <c r="N130" s="74">
        <v>6.7557730100125202</v>
      </c>
      <c r="O130" s="74">
        <v>6.7740190478263074</v>
      </c>
      <c r="P130" s="73"/>
      <c r="Q130" s="72">
        <v>2886.4597461370909</v>
      </c>
      <c r="R130" s="72">
        <v>1546.7887910322804</v>
      </c>
      <c r="S130" s="73"/>
      <c r="T130" s="74">
        <v>4.9654930459031856</v>
      </c>
      <c r="U130" s="74">
        <v>5.0627523272903279</v>
      </c>
      <c r="V130" s="73"/>
      <c r="W130" s="72">
        <v>13650.108928302216</v>
      </c>
      <c r="X130" s="72">
        <v>13616.60083466242</v>
      </c>
      <c r="Y130" s="73"/>
      <c r="Z130" s="74">
        <v>2.9036576971416888</v>
      </c>
      <c r="AA130" s="74">
        <v>2.9434405228026654</v>
      </c>
      <c r="AB130" s="73"/>
      <c r="AC130" s="72">
        <v>49447.860697376462</v>
      </c>
      <c r="AD130" s="72">
        <v>49472.678141576449</v>
      </c>
      <c r="AE130" s="73"/>
      <c r="AF130" s="74">
        <v>4.8491870028723882</v>
      </c>
      <c r="AG130" s="74">
        <v>4.9058859678441236</v>
      </c>
      <c r="AH130" s="73"/>
      <c r="AI130" s="72">
        <v>4645475.234344651</v>
      </c>
      <c r="AJ130" s="72">
        <v>0</v>
      </c>
      <c r="AK130" s="73"/>
      <c r="AL130" s="74">
        <v>-2174.814988391734</v>
      </c>
      <c r="AM130" s="74">
        <v>0</v>
      </c>
      <c r="AN130" s="73"/>
      <c r="AO130" s="72">
        <v>294636.58326686092</v>
      </c>
      <c r="AP130" s="72">
        <v>0</v>
      </c>
      <c r="AQ130" s="73"/>
      <c r="AR130" s="74">
        <v>-120.50897632041459</v>
      </c>
      <c r="AS130" s="74">
        <v>0</v>
      </c>
      <c r="AT130" s="73"/>
      <c r="AU130" s="72">
        <v>31078995.869976114</v>
      </c>
      <c r="AV130" s="72">
        <v>0</v>
      </c>
      <c r="AW130" s="73"/>
      <c r="AX130" s="74">
        <v>-2256.315846088753</v>
      </c>
      <c r="AY130" s="74">
        <v>0</v>
      </c>
      <c r="AZ130" s="73"/>
      <c r="BA130" s="72">
        <v>310355.4324859936</v>
      </c>
      <c r="BB130" s="72">
        <v>0</v>
      </c>
      <c r="BC130" s="73"/>
      <c r="BD130" s="74">
        <v>-368.47265010814613</v>
      </c>
      <c r="BE130" s="74">
        <v>0</v>
      </c>
      <c r="BF130" s="73"/>
      <c r="BG130" s="72">
        <v>-398789.59251240839</v>
      </c>
      <c r="BH130" s="72">
        <v>0</v>
      </c>
      <c r="BI130" s="73"/>
      <c r="BJ130" s="74">
        <v>-911.09128541791142</v>
      </c>
      <c r="BK130" s="74">
        <v>0</v>
      </c>
      <c r="BL130" s="73"/>
      <c r="BM130" s="72">
        <v>35930673.52756121</v>
      </c>
      <c r="BN130" s="72">
        <v>0</v>
      </c>
      <c r="BO130" s="73"/>
      <c r="BP130" s="74">
        <v>-5831.2037463269589</v>
      </c>
      <c r="BQ130" s="74">
        <v>0</v>
      </c>
      <c r="BS130" s="109">
        <f t="shared" si="75"/>
        <v>117459.26045358869</v>
      </c>
      <c r="BT130" s="109">
        <f t="shared" si="76"/>
        <v>117910.85128996128</v>
      </c>
      <c r="BV130" s="58">
        <f t="array" ref="BV130">SUM(IF(BS130:BT130&gt;=BS130, 1))</f>
        <v>2</v>
      </c>
      <c r="BW130" s="58">
        <f t="array" ref="BW130">SUM(IF(BS130:BT130&gt;=BT130, 1))</f>
        <v>1</v>
      </c>
      <c r="BY130" s="109">
        <f t="shared" si="77"/>
        <v>134863.69529286577</v>
      </c>
      <c r="BZ130" s="109">
        <f t="shared" si="78"/>
        <v>135273.2264209475</v>
      </c>
      <c r="CB130" s="58">
        <f t="array" ref="CB130">SUM(IF(BY130:BZ130&gt;=BY130, 1))</f>
        <v>2</v>
      </c>
      <c r="CC130" s="58">
        <f t="array" ref="CC130">SUM(IF(BY130:BZ130&gt;=BZ130, 1))</f>
        <v>1</v>
      </c>
      <c r="CE130" s="109">
        <f t="shared" si="79"/>
        <v>96423.401171926627</v>
      </c>
      <c r="CF130" s="109">
        <f t="shared" si="80"/>
        <v>99708.257754774284</v>
      </c>
      <c r="CH130" s="58">
        <f t="array" ref="CH130">SUM(IF(CE130:CF130&gt;=CE130, 1))</f>
        <v>2</v>
      </c>
      <c r="CI130" s="58">
        <f t="array" ref="CI130">SUM(IF(CE130:CF130&gt;=CF130, 1))</f>
        <v>1</v>
      </c>
      <c r="CK130" s="109">
        <f t="shared" si="81"/>
        <v>44423.045014531563</v>
      </c>
      <c r="CL130" s="109">
        <f t="shared" si="82"/>
        <v>45252.209621390888</v>
      </c>
      <c r="CN130" s="58">
        <f t="array" ref="CN130">SUM(IF(CK130:CL130&gt;=CK130, 1))</f>
        <v>2</v>
      </c>
      <c r="CO130" s="58">
        <f t="array" ref="CO130">SUM(IF(CK130:CL130&gt;=CL130, 1))</f>
        <v>1</v>
      </c>
      <c r="CQ130" s="109" cm="1">
        <f t="array" ref="CQ130">AF130*WTP-AC130</f>
        <v>47535.879360071303</v>
      </c>
      <c r="CR130" s="109">
        <f t="shared" si="83"/>
        <v>48645.041215306024</v>
      </c>
      <c r="CT130" s="58">
        <f t="array" ref="CT130">SUM(IF(CQ130:CR130&gt;=CQ130, 1))</f>
        <v>2</v>
      </c>
      <c r="CU130" s="58">
        <f t="array" ref="CU130">SUM(IF(CQ130:CR130&gt;=CR130, 1))</f>
        <v>1</v>
      </c>
      <c r="CW130" s="109">
        <f t="shared" si="84"/>
        <v>-48141775.002179332</v>
      </c>
      <c r="CX130" s="109">
        <f t="shared" si="85"/>
        <v>0</v>
      </c>
      <c r="CZ130" s="58">
        <f t="array" ref="CZ130">SUM(IF(CW130:CX130&gt;=CW130, 1))</f>
        <v>2</v>
      </c>
      <c r="DA130" s="58">
        <f t="array" ref="DA130">SUM(IF(CW130:CX130&gt;=CX130, 1))</f>
        <v>1</v>
      </c>
      <c r="DC130" s="109">
        <f t="shared" si="86"/>
        <v>-2704816.1096751527</v>
      </c>
      <c r="DD130" s="109">
        <f t="shared" si="87"/>
        <v>0</v>
      </c>
      <c r="DF130" s="58">
        <f t="array" ref="DF130">SUM(IF(DC130:DD130&gt;=DC130, 1))</f>
        <v>2</v>
      </c>
      <c r="DG130" s="58">
        <f t="array" ref="DG130">SUM(IF(DC130:DD130&gt;=DD130, 1))</f>
        <v>1</v>
      </c>
      <c r="DI130" s="109">
        <f t="shared" si="88"/>
        <v>-76205312.791751176</v>
      </c>
      <c r="DJ130" s="109">
        <f t="shared" si="89"/>
        <v>0</v>
      </c>
      <c r="DL130" s="58">
        <f t="array" ref="DL130">SUM(IF(DI130:DJ130&gt;=DI130, 1))</f>
        <v>2</v>
      </c>
      <c r="DM130" s="58">
        <f t="array" ref="DM130">SUM(IF(DI130:DJ130&gt;=DJ130, 1))</f>
        <v>1</v>
      </c>
      <c r="DO130" s="109">
        <f t="shared" si="90"/>
        <v>-7679808.4346489161</v>
      </c>
      <c r="DP130" s="109">
        <f t="shared" si="91"/>
        <v>0</v>
      </c>
      <c r="DR130" s="58">
        <f t="array" ref="DR130">SUM(IF(DO130:DP130&gt;=DO130, 1))</f>
        <v>2</v>
      </c>
      <c r="DS130" s="58">
        <f t="array" ref="DS130">SUM(IF(DO130:DP130&gt;=DP130, 1))</f>
        <v>1</v>
      </c>
      <c r="DU130" s="109">
        <f t="shared" si="92"/>
        <v>-17823036.115845818</v>
      </c>
      <c r="DV130" s="109">
        <f t="shared" si="93"/>
        <v>0</v>
      </c>
      <c r="DX130" s="58">
        <f t="array" ref="DX130">SUM(IF(DU130:DV130&gt;=DU130, 1))</f>
        <v>2</v>
      </c>
      <c r="DY130" s="58">
        <f t="array" ref="DY130">SUM(IF(DU130:DV130&gt;=DV130, 1))</f>
        <v>1</v>
      </c>
      <c r="EA130" s="109">
        <f t="shared" si="94"/>
        <v>-152554748.4541004</v>
      </c>
      <c r="EB130" s="109">
        <f t="shared" si="95"/>
        <v>0</v>
      </c>
      <c r="ED130" s="58">
        <f t="array" ref="ED130">SUM(IF(EA130:EB130&gt;=EA130, 1))</f>
        <v>2</v>
      </c>
      <c r="EE130" s="58">
        <f t="array" ref="EE130">SUM(IF(EA130:EB130&gt;=EB130, 1))</f>
        <v>1</v>
      </c>
    </row>
    <row r="131" spans="4:135" ht="12" customHeight="1" x14ac:dyDescent="0.25">
      <c r="D131" s="11">
        <v>115</v>
      </c>
      <c r="E131" s="72">
        <v>229.54087023553922</v>
      </c>
      <c r="F131" s="72">
        <v>212.70474024576745</v>
      </c>
      <c r="G131" s="73"/>
      <c r="H131" s="74">
        <v>5.862430963494127</v>
      </c>
      <c r="I131" s="74">
        <v>5.8829271554687139</v>
      </c>
      <c r="J131" s="73"/>
      <c r="K131" s="72">
        <v>246.71592006082705</v>
      </c>
      <c r="L131" s="72">
        <v>229.45141430747429</v>
      </c>
      <c r="M131" s="73"/>
      <c r="N131" s="74">
        <v>6.6963092980769838</v>
      </c>
      <c r="O131" s="74">
        <v>6.7139791918456284</v>
      </c>
      <c r="P131" s="73"/>
      <c r="Q131" s="72">
        <v>3736.6912388846463</v>
      </c>
      <c r="R131" s="72">
        <v>1605.2565042756546</v>
      </c>
      <c r="S131" s="73"/>
      <c r="T131" s="74">
        <v>4.8436267791578693</v>
      </c>
      <c r="U131" s="74">
        <v>4.9638882544814447</v>
      </c>
      <c r="V131" s="73"/>
      <c r="W131" s="72">
        <v>10685.635616390507</v>
      </c>
      <c r="X131" s="72">
        <v>10657.944676317697</v>
      </c>
      <c r="Y131" s="73"/>
      <c r="Z131" s="74">
        <v>3.2044606471277457</v>
      </c>
      <c r="AA131" s="74">
        <v>3.2402836141280491</v>
      </c>
      <c r="AB131" s="73"/>
      <c r="AC131" s="72">
        <v>49736.620876218782</v>
      </c>
      <c r="AD131" s="72">
        <v>49471.333538628525</v>
      </c>
      <c r="AE131" s="73"/>
      <c r="AF131" s="74">
        <v>4.3831975169947084</v>
      </c>
      <c r="AG131" s="74">
        <v>4.5592998525412511</v>
      </c>
      <c r="AH131" s="73"/>
      <c r="AI131" s="72">
        <v>1795975.7811917264</v>
      </c>
      <c r="AJ131" s="72">
        <v>0</v>
      </c>
      <c r="AK131" s="73"/>
      <c r="AL131" s="74">
        <v>-2186.4088965443675</v>
      </c>
      <c r="AM131" s="74">
        <v>0</v>
      </c>
      <c r="AN131" s="73"/>
      <c r="AO131" s="72">
        <v>121894.44835070398</v>
      </c>
      <c r="AP131" s="72">
        <v>0</v>
      </c>
      <c r="AQ131" s="73"/>
      <c r="AR131" s="74">
        <v>-124.75665299171368</v>
      </c>
      <c r="AS131" s="74">
        <v>0</v>
      </c>
      <c r="AT131" s="73"/>
      <c r="AU131" s="72">
        <v>49188385.31544736</v>
      </c>
      <c r="AV131" s="72">
        <v>0</v>
      </c>
      <c r="AW131" s="73"/>
      <c r="AX131" s="74">
        <v>-2775.3454941726714</v>
      </c>
      <c r="AY131" s="74">
        <v>0</v>
      </c>
      <c r="AZ131" s="73"/>
      <c r="BA131" s="72">
        <v>249661.18524662731</v>
      </c>
      <c r="BB131" s="72">
        <v>0</v>
      </c>
      <c r="BC131" s="73"/>
      <c r="BD131" s="74">
        <v>-322.97944298135548</v>
      </c>
      <c r="BE131" s="74">
        <v>0</v>
      </c>
      <c r="BF131" s="73"/>
      <c r="BG131" s="72">
        <v>4219517.4433619976</v>
      </c>
      <c r="BH131" s="72">
        <v>0</v>
      </c>
      <c r="BI131" s="73"/>
      <c r="BJ131" s="74">
        <v>-2800.9888576103549</v>
      </c>
      <c r="BK131" s="74">
        <v>0</v>
      </c>
      <c r="BL131" s="73"/>
      <c r="BM131" s="72">
        <v>55575434.173598416</v>
      </c>
      <c r="BN131" s="72">
        <v>0</v>
      </c>
      <c r="BO131" s="73"/>
      <c r="BP131" s="74">
        <v>-8210.4793443004637</v>
      </c>
      <c r="BQ131" s="74">
        <v>0</v>
      </c>
      <c r="BS131" s="109">
        <f t="shared" si="75"/>
        <v>117019.078399647</v>
      </c>
      <c r="BT131" s="109">
        <f t="shared" si="76"/>
        <v>117445.83836912851</v>
      </c>
      <c r="BV131" s="58">
        <f t="array" ref="BV131">SUM(IF(BS131:BT131&gt;=BS131, 1))</f>
        <v>2</v>
      </c>
      <c r="BW131" s="58">
        <f t="array" ref="BW131">SUM(IF(BS131:BT131&gt;=BT131, 1))</f>
        <v>1</v>
      </c>
      <c r="BY131" s="109">
        <f t="shared" si="77"/>
        <v>133679.47004147887</v>
      </c>
      <c r="BZ131" s="109">
        <f t="shared" si="78"/>
        <v>134050.13242260509</v>
      </c>
      <c r="CB131" s="58">
        <f t="array" ref="CB131">SUM(IF(BY131:BZ131&gt;=BY131, 1))</f>
        <v>2</v>
      </c>
      <c r="CC131" s="58">
        <f t="array" ref="CC131">SUM(IF(BY131:BZ131&gt;=BZ131, 1))</f>
        <v>1</v>
      </c>
      <c r="CE131" s="109">
        <f t="shared" si="79"/>
        <v>93135.844344272744</v>
      </c>
      <c r="CF131" s="109">
        <f t="shared" si="80"/>
        <v>97672.508585353236</v>
      </c>
      <c r="CH131" s="58">
        <f t="array" ref="CH131">SUM(IF(CE131:CF131&gt;=CE131, 1))</f>
        <v>2</v>
      </c>
      <c r="CI131" s="58">
        <f t="array" ref="CI131">SUM(IF(CE131:CF131&gt;=CF131, 1))</f>
        <v>1</v>
      </c>
      <c r="CK131" s="109">
        <f t="shared" si="81"/>
        <v>53403.577326164406</v>
      </c>
      <c r="CL131" s="109">
        <f t="shared" si="82"/>
        <v>54147.727606243287</v>
      </c>
      <c r="CN131" s="58">
        <f t="array" ref="CN131">SUM(IF(CK131:CL131&gt;=CK131, 1))</f>
        <v>2</v>
      </c>
      <c r="CO131" s="58">
        <f t="array" ref="CO131">SUM(IF(CK131:CL131&gt;=CL131, 1))</f>
        <v>1</v>
      </c>
      <c r="CQ131" s="109" cm="1">
        <f t="array" ref="CQ131">AF131*WTP-AC131</f>
        <v>37927.329463675393</v>
      </c>
      <c r="CR131" s="109">
        <f t="shared" si="83"/>
        <v>41714.663512196501</v>
      </c>
      <c r="CT131" s="58">
        <f t="array" ref="CT131">SUM(IF(CQ131:CR131&gt;=CQ131, 1))</f>
        <v>2</v>
      </c>
      <c r="CU131" s="58">
        <f t="array" ref="CU131">SUM(IF(CQ131:CR131&gt;=CR131, 1))</f>
        <v>1</v>
      </c>
      <c r="CW131" s="109">
        <f t="shared" si="84"/>
        <v>-45524153.712079078</v>
      </c>
      <c r="CX131" s="109">
        <f t="shared" si="85"/>
        <v>0</v>
      </c>
      <c r="CZ131" s="58">
        <f t="array" ref="CZ131">SUM(IF(CW131:CX131&gt;=CW131, 1))</f>
        <v>2</v>
      </c>
      <c r="DA131" s="58">
        <f t="array" ref="DA131">SUM(IF(CW131:CX131&gt;=CX131, 1))</f>
        <v>1</v>
      </c>
      <c r="DC131" s="109">
        <f t="shared" si="86"/>
        <v>-2617027.5081849773</v>
      </c>
      <c r="DD131" s="109">
        <f t="shared" si="87"/>
        <v>0</v>
      </c>
      <c r="DF131" s="58">
        <f t="array" ref="DF131">SUM(IF(DC131:DD131&gt;=DC131, 1))</f>
        <v>2</v>
      </c>
      <c r="DG131" s="58">
        <f t="array" ref="DG131">SUM(IF(DC131:DD131&gt;=DD131, 1))</f>
        <v>1</v>
      </c>
      <c r="DI131" s="109">
        <f t="shared" si="88"/>
        <v>-104695295.19890079</v>
      </c>
      <c r="DJ131" s="109">
        <f t="shared" si="89"/>
        <v>0</v>
      </c>
      <c r="DL131" s="58">
        <f t="array" ref="DL131">SUM(IF(DI131:DJ131&gt;=DI131, 1))</f>
        <v>2</v>
      </c>
      <c r="DM131" s="58">
        <f t="array" ref="DM131">SUM(IF(DI131:DJ131&gt;=DJ131, 1))</f>
        <v>1</v>
      </c>
      <c r="DO131" s="109">
        <f t="shared" si="90"/>
        <v>-6709250.0448737368</v>
      </c>
      <c r="DP131" s="109">
        <f t="shared" si="91"/>
        <v>0</v>
      </c>
      <c r="DR131" s="58">
        <f t="array" ref="DR131">SUM(IF(DO131:DP131&gt;=DO131, 1))</f>
        <v>2</v>
      </c>
      <c r="DS131" s="58">
        <f t="array" ref="DS131">SUM(IF(DO131:DP131&gt;=DP131, 1))</f>
        <v>1</v>
      </c>
      <c r="DU131" s="109">
        <f t="shared" si="92"/>
        <v>-60239294.595569097</v>
      </c>
      <c r="DV131" s="109">
        <f t="shared" si="93"/>
        <v>0</v>
      </c>
      <c r="DX131" s="58">
        <f t="array" ref="DX131">SUM(IF(DU131:DV131&gt;=DU131, 1))</f>
        <v>2</v>
      </c>
      <c r="DY131" s="58">
        <f t="array" ref="DY131">SUM(IF(DU131:DV131&gt;=DV131, 1))</f>
        <v>1</v>
      </c>
      <c r="EA131" s="109">
        <f t="shared" si="94"/>
        <v>-219785021.05960768</v>
      </c>
      <c r="EB131" s="109">
        <f t="shared" si="95"/>
        <v>0</v>
      </c>
      <c r="ED131" s="58">
        <f t="array" ref="ED131">SUM(IF(EA131:EB131&gt;=EA131, 1))</f>
        <v>2</v>
      </c>
      <c r="EE131" s="58">
        <f t="array" ref="EE131">SUM(IF(EA131:EB131&gt;=EB131, 1))</f>
        <v>1</v>
      </c>
    </row>
    <row r="132" spans="4:135" ht="12" customHeight="1" x14ac:dyDescent="0.25">
      <c r="D132" s="11">
        <v>116</v>
      </c>
      <c r="E132" s="72">
        <v>184.80842977289333</v>
      </c>
      <c r="F132" s="72">
        <v>152.82043910681372</v>
      </c>
      <c r="G132" s="73"/>
      <c r="H132" s="74">
        <v>5.8508586884651663</v>
      </c>
      <c r="I132" s="74">
        <v>5.8739231462716264</v>
      </c>
      <c r="J132" s="73"/>
      <c r="K132" s="72">
        <v>197.44515057672575</v>
      </c>
      <c r="L132" s="72">
        <v>164.72268914297842</v>
      </c>
      <c r="M132" s="73"/>
      <c r="N132" s="74">
        <v>6.7390731556299359</v>
      </c>
      <c r="O132" s="74">
        <v>6.7597377877556886</v>
      </c>
      <c r="P132" s="73"/>
      <c r="Q132" s="72">
        <v>2593.7753054186364</v>
      </c>
      <c r="R132" s="72">
        <v>1365.4231354562464</v>
      </c>
      <c r="S132" s="73"/>
      <c r="T132" s="74">
        <v>4.7794707902707048</v>
      </c>
      <c r="U132" s="74">
        <v>4.9141131817173216</v>
      </c>
      <c r="V132" s="73"/>
      <c r="W132" s="72">
        <v>10087.312723725401</v>
      </c>
      <c r="X132" s="72">
        <v>10120.625638569965</v>
      </c>
      <c r="Y132" s="73"/>
      <c r="Z132" s="74">
        <v>3.0797925986959114</v>
      </c>
      <c r="AA132" s="74">
        <v>3.1378695499453517</v>
      </c>
      <c r="AB132" s="73"/>
      <c r="AC132" s="72">
        <v>52471.258048660355</v>
      </c>
      <c r="AD132" s="72">
        <v>52207.738449337055</v>
      </c>
      <c r="AE132" s="73"/>
      <c r="AF132" s="74">
        <v>4.326998715090129</v>
      </c>
      <c r="AG132" s="74">
        <v>4.4278692235691235</v>
      </c>
      <c r="AH132" s="73"/>
      <c r="AI132" s="72">
        <v>3454690.6702121114</v>
      </c>
      <c r="AJ132" s="72">
        <v>0</v>
      </c>
      <c r="AK132" s="73"/>
      <c r="AL132" s="74">
        <v>-2490.9525587042422</v>
      </c>
      <c r="AM132" s="74">
        <v>0</v>
      </c>
      <c r="AN132" s="73"/>
      <c r="AO132" s="72">
        <v>223020.40399492029</v>
      </c>
      <c r="AP132" s="72">
        <v>0</v>
      </c>
      <c r="AQ132" s="73"/>
      <c r="AR132" s="74">
        <v>-140.84009585962218</v>
      </c>
      <c r="AS132" s="74">
        <v>0</v>
      </c>
      <c r="AT132" s="73"/>
      <c r="AU132" s="72">
        <v>28455530.962895617</v>
      </c>
      <c r="AV132" s="72">
        <v>0</v>
      </c>
      <c r="AW132" s="73"/>
      <c r="AX132" s="74">
        <v>-3119.0735299021171</v>
      </c>
      <c r="AY132" s="74">
        <v>0</v>
      </c>
      <c r="AZ132" s="73"/>
      <c r="BA132" s="72">
        <v>-290316.93914309732</v>
      </c>
      <c r="BB132" s="72">
        <v>0</v>
      </c>
      <c r="BC132" s="73"/>
      <c r="BD132" s="74">
        <v>-506.13171498715786</v>
      </c>
      <c r="BE132" s="74">
        <v>0</v>
      </c>
      <c r="BF132" s="73"/>
      <c r="BG132" s="72">
        <v>4408831.8976962091</v>
      </c>
      <c r="BH132" s="72">
        <v>0</v>
      </c>
      <c r="BI132" s="73"/>
      <c r="BJ132" s="74">
        <v>-1687.6206417323078</v>
      </c>
      <c r="BK132" s="74">
        <v>0</v>
      </c>
      <c r="BL132" s="73"/>
      <c r="BM132" s="72">
        <v>36251756.99565576</v>
      </c>
      <c r="BN132" s="72">
        <v>0</v>
      </c>
      <c r="BO132" s="73"/>
      <c r="BP132" s="74">
        <v>-7944.6185411854476</v>
      </c>
      <c r="BQ132" s="74">
        <v>0</v>
      </c>
      <c r="BS132" s="109">
        <f t="shared" si="75"/>
        <v>116832.36533953043</v>
      </c>
      <c r="BT132" s="109">
        <f t="shared" si="76"/>
        <v>117325.64248632571</v>
      </c>
      <c r="BV132" s="58">
        <f t="array" ref="BV132">SUM(IF(BS132:BT132&gt;=BS132, 1))</f>
        <v>2</v>
      </c>
      <c r="BW132" s="58">
        <f t="array" ref="BW132">SUM(IF(BS132:BT132&gt;=BT132, 1))</f>
        <v>1</v>
      </c>
      <c r="BY132" s="109">
        <f t="shared" si="77"/>
        <v>134584.01796202199</v>
      </c>
      <c r="BZ132" s="109">
        <f t="shared" si="78"/>
        <v>135030.03306597078</v>
      </c>
      <c r="CB132" s="58">
        <f t="array" ref="CB132">SUM(IF(BY132:BZ132&gt;=BY132, 1))</f>
        <v>2</v>
      </c>
      <c r="CC132" s="58">
        <f t="array" ref="CC132">SUM(IF(BY132:BZ132&gt;=BZ132, 1))</f>
        <v>1</v>
      </c>
      <c r="CE132" s="109">
        <f t="shared" si="79"/>
        <v>92995.640499995468</v>
      </c>
      <c r="CF132" s="109">
        <f t="shared" si="80"/>
        <v>96916.840498890175</v>
      </c>
      <c r="CH132" s="58">
        <f t="array" ref="CH132">SUM(IF(CE132:CF132&gt;=CE132, 1))</f>
        <v>2</v>
      </c>
      <c r="CI132" s="58">
        <f t="array" ref="CI132">SUM(IF(CE132:CF132&gt;=CF132, 1))</f>
        <v>1</v>
      </c>
      <c r="CK132" s="109">
        <f t="shared" si="81"/>
        <v>51508.539250192829</v>
      </c>
      <c r="CL132" s="109">
        <f t="shared" si="82"/>
        <v>52636.765360337071</v>
      </c>
      <c r="CN132" s="58">
        <f t="array" ref="CN132">SUM(IF(CK132:CL132&gt;=CK132, 1))</f>
        <v>2</v>
      </c>
      <c r="CO132" s="58">
        <f t="array" ref="CO132">SUM(IF(CK132:CL132&gt;=CL132, 1))</f>
        <v>1</v>
      </c>
      <c r="CQ132" s="109" cm="1">
        <f t="array" ref="CQ132">AF132*WTP-AC132</f>
        <v>34068.716253142222</v>
      </c>
      <c r="CR132" s="109">
        <f t="shared" si="83"/>
        <v>36349.64602204541</v>
      </c>
      <c r="CT132" s="58">
        <f t="array" ref="CT132">SUM(IF(CQ132:CR132&gt;=CQ132, 1))</f>
        <v>2</v>
      </c>
      <c r="CU132" s="58">
        <f t="array" ref="CU132">SUM(IF(CQ132:CR132&gt;=CR132, 1))</f>
        <v>1</v>
      </c>
      <c r="CW132" s="109">
        <f t="shared" si="84"/>
        <v>-53273741.844296955</v>
      </c>
      <c r="CX132" s="109">
        <f t="shared" si="85"/>
        <v>0</v>
      </c>
      <c r="CZ132" s="58">
        <f t="array" ref="CZ132">SUM(IF(CW132:CX132&gt;=CW132, 1))</f>
        <v>2</v>
      </c>
      <c r="DA132" s="58">
        <f t="array" ref="DA132">SUM(IF(CW132:CX132&gt;=CX132, 1))</f>
        <v>1</v>
      </c>
      <c r="DC132" s="109">
        <f t="shared" si="86"/>
        <v>-3039822.3211873639</v>
      </c>
      <c r="DD132" s="109">
        <f t="shared" si="87"/>
        <v>0</v>
      </c>
      <c r="DF132" s="58">
        <f t="array" ref="DF132">SUM(IF(DC132:DD132&gt;=DC132, 1))</f>
        <v>2</v>
      </c>
      <c r="DG132" s="58">
        <f t="array" ref="DG132">SUM(IF(DC132:DD132&gt;=DD132, 1))</f>
        <v>1</v>
      </c>
      <c r="DI132" s="109">
        <f t="shared" si="88"/>
        <v>-90837001.560937956</v>
      </c>
      <c r="DJ132" s="109">
        <f t="shared" si="89"/>
        <v>0</v>
      </c>
      <c r="DL132" s="58">
        <f t="array" ref="DL132">SUM(IF(DI132:DJ132&gt;=DI132, 1))</f>
        <v>2</v>
      </c>
      <c r="DM132" s="58">
        <f t="array" ref="DM132">SUM(IF(DI132:DJ132&gt;=DJ132, 1))</f>
        <v>1</v>
      </c>
      <c r="DO132" s="109">
        <f t="shared" si="90"/>
        <v>-9832317.3606000599</v>
      </c>
      <c r="DP132" s="109">
        <f t="shared" si="91"/>
        <v>0</v>
      </c>
      <c r="DR132" s="58">
        <f t="array" ref="DR132">SUM(IF(DO132:DP132&gt;=DO132, 1))</f>
        <v>2</v>
      </c>
      <c r="DS132" s="58">
        <f t="array" ref="DS132">SUM(IF(DO132:DP132&gt;=DP132, 1))</f>
        <v>1</v>
      </c>
      <c r="DU132" s="109">
        <f t="shared" si="92"/>
        <v>-38161244.73234237</v>
      </c>
      <c r="DV132" s="109">
        <f t="shared" si="93"/>
        <v>0</v>
      </c>
      <c r="DX132" s="58">
        <f t="array" ref="DX132">SUM(IF(DU132:DV132&gt;=DU132, 1))</f>
        <v>2</v>
      </c>
      <c r="DY132" s="58">
        <f t="array" ref="DY132">SUM(IF(DU132:DV132&gt;=DV132, 1))</f>
        <v>1</v>
      </c>
      <c r="EA132" s="109">
        <f t="shared" si="94"/>
        <v>-195144127.81936473</v>
      </c>
      <c r="EB132" s="109">
        <f t="shared" si="95"/>
        <v>0</v>
      </c>
      <c r="ED132" s="58">
        <f t="array" ref="ED132">SUM(IF(EA132:EB132&gt;=EA132, 1))</f>
        <v>2</v>
      </c>
      <c r="EE132" s="58">
        <f t="array" ref="EE132">SUM(IF(EA132:EB132&gt;=EB132, 1))</f>
        <v>1</v>
      </c>
    </row>
    <row r="133" spans="4:135" ht="12" customHeight="1" x14ac:dyDescent="0.25">
      <c r="D133" s="11">
        <v>117</v>
      </c>
      <c r="E133" s="72">
        <v>237.09371677419946</v>
      </c>
      <c r="F133" s="72">
        <v>216.44348211531579</v>
      </c>
      <c r="G133" s="73"/>
      <c r="H133" s="74">
        <v>5.8420048943438445</v>
      </c>
      <c r="I133" s="74">
        <v>5.8567107266427829</v>
      </c>
      <c r="J133" s="73"/>
      <c r="K133" s="72">
        <v>254.49375616452969</v>
      </c>
      <c r="L133" s="72">
        <v>233.3302230580102</v>
      </c>
      <c r="M133" s="73"/>
      <c r="N133" s="74">
        <v>6.6378929761368868</v>
      </c>
      <c r="O133" s="74">
        <v>6.6502761404988791</v>
      </c>
      <c r="P133" s="73"/>
      <c r="Q133" s="72">
        <v>1681.7111023559212</v>
      </c>
      <c r="R133" s="72">
        <v>1208.2250200278008</v>
      </c>
      <c r="S133" s="73"/>
      <c r="T133" s="74">
        <v>4.7546339428768283</v>
      </c>
      <c r="U133" s="74">
        <v>4.835131556326143</v>
      </c>
      <c r="V133" s="73"/>
      <c r="W133" s="72">
        <v>13406.380384150616</v>
      </c>
      <c r="X133" s="72">
        <v>13385.86665899766</v>
      </c>
      <c r="Y133" s="73"/>
      <c r="Z133" s="74">
        <v>2.8308346910306592</v>
      </c>
      <c r="AA133" s="74">
        <v>2.863859478895515</v>
      </c>
      <c r="AB133" s="73"/>
      <c r="AC133" s="72">
        <v>49852.721516847305</v>
      </c>
      <c r="AD133" s="72">
        <v>49852.234005550781</v>
      </c>
      <c r="AE133" s="73"/>
      <c r="AF133" s="74">
        <v>5.2010065497443323</v>
      </c>
      <c r="AG133" s="74">
        <v>5.3408954389967533</v>
      </c>
      <c r="AH133" s="73"/>
      <c r="AI133" s="72">
        <v>2219926.1802811744</v>
      </c>
      <c r="AJ133" s="72">
        <v>0</v>
      </c>
      <c r="AK133" s="73"/>
      <c r="AL133" s="74">
        <v>-1580.8954553063002</v>
      </c>
      <c r="AM133" s="74">
        <v>0</v>
      </c>
      <c r="AN133" s="73"/>
      <c r="AO133" s="72">
        <v>142266.78600425064</v>
      </c>
      <c r="AP133" s="72">
        <v>0</v>
      </c>
      <c r="AQ133" s="73"/>
      <c r="AR133" s="74">
        <v>-83.242858622708766</v>
      </c>
      <c r="AS133" s="74">
        <v>0</v>
      </c>
      <c r="AT133" s="73"/>
      <c r="AU133" s="72">
        <v>11053663.757755628</v>
      </c>
      <c r="AV133" s="72">
        <v>0</v>
      </c>
      <c r="AW133" s="73"/>
      <c r="AX133" s="74">
        <v>-1879.2390855406297</v>
      </c>
      <c r="AY133" s="74">
        <v>0</v>
      </c>
      <c r="AZ133" s="73"/>
      <c r="BA133" s="72">
        <v>187840.33142970622</v>
      </c>
      <c r="BB133" s="72">
        <v>0</v>
      </c>
      <c r="BC133" s="73"/>
      <c r="BD133" s="74">
        <v>-302.40178474051442</v>
      </c>
      <c r="BE133" s="74">
        <v>0</v>
      </c>
      <c r="BF133" s="73"/>
      <c r="BG133" s="72">
        <v>7864.0249583135255</v>
      </c>
      <c r="BH133" s="72">
        <v>0</v>
      </c>
      <c r="BI133" s="73"/>
      <c r="BJ133" s="74">
        <v>-2256.5420008031278</v>
      </c>
      <c r="BK133" s="74">
        <v>0</v>
      </c>
      <c r="BL133" s="73"/>
      <c r="BM133" s="72">
        <v>13611561.080429073</v>
      </c>
      <c r="BN133" s="72">
        <v>0</v>
      </c>
      <c r="BO133" s="73"/>
      <c r="BP133" s="74">
        <v>-6102.3211850132811</v>
      </c>
      <c r="BQ133" s="74">
        <v>0</v>
      </c>
      <c r="BS133" s="109">
        <f t="shared" si="75"/>
        <v>116603.00417010269</v>
      </c>
      <c r="BT133" s="109">
        <f t="shared" si="76"/>
        <v>116917.77105074035</v>
      </c>
      <c r="BV133" s="58">
        <f t="array" ref="BV133">SUM(IF(BS133:BT133&gt;=BS133, 1))</f>
        <v>2</v>
      </c>
      <c r="BW133" s="58">
        <f t="array" ref="BW133">SUM(IF(BS133:BT133&gt;=BT133, 1))</f>
        <v>1</v>
      </c>
      <c r="BY133" s="109">
        <f t="shared" si="77"/>
        <v>132503.3657665732</v>
      </c>
      <c r="BZ133" s="109">
        <f t="shared" si="78"/>
        <v>132772.19258691958</v>
      </c>
      <c r="CB133" s="58">
        <f t="array" ref="CB133">SUM(IF(BY133:BZ133&gt;=BY133, 1))</f>
        <v>2</v>
      </c>
      <c r="CC133" s="58">
        <f t="array" ref="CC133">SUM(IF(BY133:BZ133&gt;=BZ133, 1))</f>
        <v>1</v>
      </c>
      <c r="CE133" s="109">
        <f t="shared" si="79"/>
        <v>93410.967755180638</v>
      </c>
      <c r="CF133" s="109">
        <f t="shared" si="80"/>
        <v>95494.406106495051</v>
      </c>
      <c r="CH133" s="58">
        <f t="array" ref="CH133">SUM(IF(CE133:CF133&gt;=CE133, 1))</f>
        <v>2</v>
      </c>
      <c r="CI133" s="58">
        <f t="array" ref="CI133">SUM(IF(CE133:CF133&gt;=CF133, 1))</f>
        <v>1</v>
      </c>
      <c r="CK133" s="109">
        <f t="shared" si="81"/>
        <v>43210.313436462566</v>
      </c>
      <c r="CL133" s="109">
        <f t="shared" si="82"/>
        <v>43891.322918912643</v>
      </c>
      <c r="CN133" s="58">
        <f t="array" ref="CN133">SUM(IF(CK133:CL133&gt;=CK133, 1))</f>
        <v>2</v>
      </c>
      <c r="CO133" s="58">
        <f t="array" ref="CO133">SUM(IF(CK133:CL133&gt;=CL133, 1))</f>
        <v>1</v>
      </c>
      <c r="CQ133" s="109" cm="1">
        <f t="array" ref="CQ133">AF133*WTP-AC133</f>
        <v>54167.409478039335</v>
      </c>
      <c r="CR133" s="109">
        <f t="shared" si="83"/>
        <v>56965.674774384286</v>
      </c>
      <c r="CT133" s="58">
        <f t="array" ref="CT133">SUM(IF(CQ133:CR133&gt;=CQ133, 1))</f>
        <v>2</v>
      </c>
      <c r="CU133" s="58">
        <f t="array" ref="CU133">SUM(IF(CQ133:CR133&gt;=CR133, 1))</f>
        <v>1</v>
      </c>
      <c r="CW133" s="109">
        <f t="shared" si="84"/>
        <v>-33837835.28640718</v>
      </c>
      <c r="CX133" s="109">
        <f t="shared" si="85"/>
        <v>0</v>
      </c>
      <c r="CZ133" s="58">
        <f t="array" ref="CZ133">SUM(IF(CW133:CX133&gt;=CW133, 1))</f>
        <v>2</v>
      </c>
      <c r="DA133" s="58">
        <f t="array" ref="DA133">SUM(IF(CW133:CX133&gt;=CX133, 1))</f>
        <v>1</v>
      </c>
      <c r="DC133" s="109">
        <f t="shared" si="86"/>
        <v>-1807123.9584584259</v>
      </c>
      <c r="DD133" s="109">
        <f t="shared" si="87"/>
        <v>0</v>
      </c>
      <c r="DF133" s="58">
        <f t="array" ref="DF133">SUM(IF(DC133:DD133&gt;=DC133, 1))</f>
        <v>2</v>
      </c>
      <c r="DG133" s="58">
        <f t="array" ref="DG133">SUM(IF(DC133:DD133&gt;=DD133, 1))</f>
        <v>1</v>
      </c>
      <c r="DI133" s="109">
        <f t="shared" si="88"/>
        <v>-48638445.468568221</v>
      </c>
      <c r="DJ133" s="109">
        <f t="shared" si="89"/>
        <v>0</v>
      </c>
      <c r="DL133" s="58">
        <f t="array" ref="DL133">SUM(IF(DI133:DJ133&gt;=DI133, 1))</f>
        <v>2</v>
      </c>
      <c r="DM133" s="58">
        <f t="array" ref="DM133">SUM(IF(DI133:DJ133&gt;=DJ133, 1))</f>
        <v>1</v>
      </c>
      <c r="DO133" s="109">
        <f t="shared" si="90"/>
        <v>-6235876.026239994</v>
      </c>
      <c r="DP133" s="109">
        <f t="shared" si="91"/>
        <v>0</v>
      </c>
      <c r="DR133" s="58">
        <f t="array" ref="DR133">SUM(IF(DO133:DP133&gt;=DO133, 1))</f>
        <v>2</v>
      </c>
      <c r="DS133" s="58">
        <f t="array" ref="DS133">SUM(IF(DO133:DP133&gt;=DP133, 1))</f>
        <v>1</v>
      </c>
      <c r="DU133" s="109">
        <f t="shared" si="92"/>
        <v>-45138704.04102087</v>
      </c>
      <c r="DV133" s="109">
        <f t="shared" si="93"/>
        <v>0</v>
      </c>
      <c r="DX133" s="58">
        <f t="array" ref="DX133">SUM(IF(DU133:DV133&gt;=DU133, 1))</f>
        <v>2</v>
      </c>
      <c r="DY133" s="58">
        <f t="array" ref="DY133">SUM(IF(DU133:DV133&gt;=DV133, 1))</f>
        <v>1</v>
      </c>
      <c r="EA133" s="109">
        <f t="shared" si="94"/>
        <v>-135657984.78069469</v>
      </c>
      <c r="EB133" s="109">
        <f t="shared" si="95"/>
        <v>0</v>
      </c>
      <c r="ED133" s="58">
        <f t="array" ref="ED133">SUM(IF(EA133:EB133&gt;=EA133, 1))</f>
        <v>2</v>
      </c>
      <c r="EE133" s="58">
        <f t="array" ref="EE133">SUM(IF(EA133:EB133&gt;=EB133, 1))</f>
        <v>1</v>
      </c>
    </row>
    <row r="134" spans="4:135" ht="12" customHeight="1" x14ac:dyDescent="0.25">
      <c r="D134" s="11">
        <v>118</v>
      </c>
      <c r="E134" s="72">
        <v>242.26159906870785</v>
      </c>
      <c r="F134" s="72">
        <v>225.21995614770546</v>
      </c>
      <c r="G134" s="73"/>
      <c r="H134" s="74">
        <v>5.943271692675018</v>
      </c>
      <c r="I134" s="74">
        <v>5.9608119819859935</v>
      </c>
      <c r="J134" s="73"/>
      <c r="K134" s="72">
        <v>260.35709857041348</v>
      </c>
      <c r="L134" s="72">
        <v>242.91070859783795</v>
      </c>
      <c r="M134" s="73"/>
      <c r="N134" s="74">
        <v>6.7261408173713928</v>
      </c>
      <c r="O134" s="74">
        <v>6.7420204688765466</v>
      </c>
      <c r="P134" s="73"/>
      <c r="Q134" s="72">
        <v>1712.8919268847019</v>
      </c>
      <c r="R134" s="72">
        <v>968.72299776582452</v>
      </c>
      <c r="S134" s="73"/>
      <c r="T134" s="74">
        <v>4.954824270117232</v>
      </c>
      <c r="U134" s="74">
        <v>5.0341884668082173</v>
      </c>
      <c r="V134" s="73"/>
      <c r="W134" s="72">
        <v>10204.616781136236</v>
      </c>
      <c r="X134" s="72">
        <v>10210.051256983132</v>
      </c>
      <c r="Y134" s="73"/>
      <c r="Z134" s="74">
        <v>3.0835284261154907</v>
      </c>
      <c r="AA134" s="74">
        <v>3.1548910338218215</v>
      </c>
      <c r="AB134" s="73"/>
      <c r="AC134" s="72">
        <v>48340.91591397499</v>
      </c>
      <c r="AD134" s="72">
        <v>47674.433105126096</v>
      </c>
      <c r="AE134" s="73"/>
      <c r="AF134" s="74">
        <v>4.8534902126866042</v>
      </c>
      <c r="AG134" s="74">
        <v>4.9827316782744964</v>
      </c>
      <c r="AH134" s="73"/>
      <c r="AI134" s="72">
        <v>1837006.2089824644</v>
      </c>
      <c r="AJ134" s="72">
        <v>0</v>
      </c>
      <c r="AK134" s="73"/>
      <c r="AL134" s="74">
        <v>-1890.7578641904486</v>
      </c>
      <c r="AM134" s="74">
        <v>0</v>
      </c>
      <c r="AN134" s="73"/>
      <c r="AO134" s="72">
        <v>122588.03407454377</v>
      </c>
      <c r="AP134" s="72">
        <v>0</v>
      </c>
      <c r="AQ134" s="73"/>
      <c r="AR134" s="74">
        <v>-111.57925868134762</v>
      </c>
      <c r="AS134" s="74">
        <v>0</v>
      </c>
      <c r="AT134" s="73"/>
      <c r="AU134" s="72">
        <v>17013469.473327823</v>
      </c>
      <c r="AV134" s="72">
        <v>0</v>
      </c>
      <c r="AW134" s="73"/>
      <c r="AX134" s="74">
        <v>-1814.454063912638</v>
      </c>
      <c r="AY134" s="74">
        <v>0</v>
      </c>
      <c r="AZ134" s="73"/>
      <c r="BA134" s="72">
        <v>-48225.450995585015</v>
      </c>
      <c r="BB134" s="72">
        <v>0</v>
      </c>
      <c r="BC134" s="73"/>
      <c r="BD134" s="74">
        <v>-633.2706295538087</v>
      </c>
      <c r="BE134" s="74">
        <v>0</v>
      </c>
      <c r="BF134" s="73"/>
      <c r="BG134" s="72">
        <v>10470480.030754942</v>
      </c>
      <c r="BH134" s="72">
        <v>0</v>
      </c>
      <c r="BI134" s="73"/>
      <c r="BJ134" s="74">
        <v>-2030.3902315510909</v>
      </c>
      <c r="BK134" s="74">
        <v>0</v>
      </c>
      <c r="BL134" s="73"/>
      <c r="BM134" s="72">
        <v>29395318.296144187</v>
      </c>
      <c r="BN134" s="72">
        <v>0</v>
      </c>
      <c r="BO134" s="73"/>
      <c r="BP134" s="74">
        <v>-6480.4520478893337</v>
      </c>
      <c r="BQ134" s="74">
        <v>0</v>
      </c>
      <c r="BS134" s="109">
        <f t="shared" si="75"/>
        <v>118623.17225443166</v>
      </c>
      <c r="BT134" s="109">
        <f t="shared" si="76"/>
        <v>118991.01968357217</v>
      </c>
      <c r="BV134" s="58">
        <f t="array" ref="BV134">SUM(IF(BS134:BT134&gt;=BS134, 1))</f>
        <v>2</v>
      </c>
      <c r="BW134" s="58">
        <f t="array" ref="BW134">SUM(IF(BS134:BT134&gt;=BT134, 1))</f>
        <v>1</v>
      </c>
      <c r="BY134" s="109">
        <f t="shared" si="77"/>
        <v>134262.45924885746</v>
      </c>
      <c r="BZ134" s="109">
        <f t="shared" si="78"/>
        <v>134597.49866893311</v>
      </c>
      <c r="CB134" s="58">
        <f t="array" ref="CB134">SUM(IF(BY134:BZ134&gt;=BY134, 1))</f>
        <v>2</v>
      </c>
      <c r="CC134" s="58">
        <f t="array" ref="CC134">SUM(IF(BY134:BZ134&gt;=BZ134, 1))</f>
        <v>1</v>
      </c>
      <c r="CE134" s="109">
        <f t="shared" si="79"/>
        <v>97383.593475459944</v>
      </c>
      <c r="CF134" s="109">
        <f t="shared" si="80"/>
        <v>99715.046338398519</v>
      </c>
      <c r="CH134" s="58">
        <f t="array" ref="CH134">SUM(IF(CE134:CF134&gt;=CE134, 1))</f>
        <v>2</v>
      </c>
      <c r="CI134" s="58">
        <f t="array" ref="CI134">SUM(IF(CE134:CF134&gt;=CF134, 1))</f>
        <v>1</v>
      </c>
      <c r="CK134" s="109">
        <f t="shared" si="81"/>
        <v>51465.951741173572</v>
      </c>
      <c r="CL134" s="109">
        <f t="shared" si="82"/>
        <v>52887.769419453296</v>
      </c>
      <c r="CN134" s="58">
        <f t="array" ref="CN134">SUM(IF(CK134:CL134&gt;=CK134, 1))</f>
        <v>2</v>
      </c>
      <c r="CO134" s="58">
        <f t="array" ref="CO134">SUM(IF(CK134:CL134&gt;=CL134, 1))</f>
        <v>1</v>
      </c>
      <c r="CQ134" s="109" cm="1">
        <f t="array" ref="CQ134">AF134*WTP-AC134</f>
        <v>48728.888339757097</v>
      </c>
      <c r="CR134" s="109">
        <f t="shared" si="83"/>
        <v>51980.200460363834</v>
      </c>
      <c r="CT134" s="58">
        <f t="array" ref="CT134">SUM(IF(CQ134:CR134&gt;=CQ134, 1))</f>
        <v>2</v>
      </c>
      <c r="CU134" s="58">
        <f t="array" ref="CU134">SUM(IF(CQ134:CR134&gt;=CR134, 1))</f>
        <v>1</v>
      </c>
      <c r="CW134" s="109">
        <f t="shared" si="84"/>
        <v>-39652163.492791437</v>
      </c>
      <c r="CX134" s="109">
        <f t="shared" si="85"/>
        <v>0</v>
      </c>
      <c r="CZ134" s="58">
        <f t="array" ref="CZ134">SUM(IF(CW134:CX134&gt;=CW134, 1))</f>
        <v>2</v>
      </c>
      <c r="DA134" s="58">
        <f t="array" ref="DA134">SUM(IF(CW134:CX134&gt;=CX134, 1))</f>
        <v>1</v>
      </c>
      <c r="DC134" s="109">
        <f t="shared" si="86"/>
        <v>-2354173.2077014963</v>
      </c>
      <c r="DD134" s="109">
        <f t="shared" si="87"/>
        <v>0</v>
      </c>
      <c r="DF134" s="58">
        <f t="array" ref="DF134">SUM(IF(DC134:DD134&gt;=DC134, 1))</f>
        <v>2</v>
      </c>
      <c r="DG134" s="58">
        <f t="array" ref="DG134">SUM(IF(DC134:DD134&gt;=DD134, 1))</f>
        <v>1</v>
      </c>
      <c r="DI134" s="109">
        <f t="shared" si="88"/>
        <v>-53302550.751580581</v>
      </c>
      <c r="DJ134" s="109">
        <f t="shared" si="89"/>
        <v>0</v>
      </c>
      <c r="DL134" s="58">
        <f t="array" ref="DL134">SUM(IF(DI134:DJ134&gt;=DI134, 1))</f>
        <v>2</v>
      </c>
      <c r="DM134" s="58">
        <f t="array" ref="DM134">SUM(IF(DI134:DJ134&gt;=DJ134, 1))</f>
        <v>1</v>
      </c>
      <c r="DO134" s="109">
        <f t="shared" si="90"/>
        <v>-12617187.14008059</v>
      </c>
      <c r="DP134" s="109">
        <f t="shared" si="91"/>
        <v>0</v>
      </c>
      <c r="DR134" s="58">
        <f t="array" ref="DR134">SUM(IF(DO134:DP134&gt;=DO134, 1))</f>
        <v>2</v>
      </c>
      <c r="DS134" s="58">
        <f t="array" ref="DS134">SUM(IF(DO134:DP134&gt;=DP134, 1))</f>
        <v>1</v>
      </c>
      <c r="DU134" s="109">
        <f t="shared" si="92"/>
        <v>-51078284.661776766</v>
      </c>
      <c r="DV134" s="109">
        <f t="shared" si="93"/>
        <v>0</v>
      </c>
      <c r="DX134" s="58">
        <f t="array" ref="DX134">SUM(IF(DU134:DV134&gt;=DU134, 1))</f>
        <v>2</v>
      </c>
      <c r="DY134" s="58">
        <f t="array" ref="DY134">SUM(IF(DU134:DV134&gt;=DV134, 1))</f>
        <v>1</v>
      </c>
      <c r="EA134" s="109">
        <f t="shared" si="94"/>
        <v>-159004359.25393087</v>
      </c>
      <c r="EB134" s="109">
        <f t="shared" si="95"/>
        <v>0</v>
      </c>
      <c r="ED134" s="58">
        <f t="array" ref="ED134">SUM(IF(EA134:EB134&gt;=EA134, 1))</f>
        <v>2</v>
      </c>
      <c r="EE134" s="58">
        <f t="array" ref="EE134">SUM(IF(EA134:EB134&gt;=EB134, 1))</f>
        <v>1</v>
      </c>
    </row>
    <row r="135" spans="4:135" ht="12" customHeight="1" x14ac:dyDescent="0.25">
      <c r="D135" s="11">
        <v>119</v>
      </c>
      <c r="E135" s="72">
        <v>216.43265044343829</v>
      </c>
      <c r="F135" s="72">
        <v>192.60755401687547</v>
      </c>
      <c r="G135" s="73"/>
      <c r="H135" s="74">
        <v>5.7345200423876523</v>
      </c>
      <c r="I135" s="74">
        <v>5.7572631035373334</v>
      </c>
      <c r="J135" s="73"/>
      <c r="K135" s="72">
        <v>232.12052485154805</v>
      </c>
      <c r="L135" s="72">
        <v>207.73789579221605</v>
      </c>
      <c r="M135" s="73"/>
      <c r="N135" s="74">
        <v>6.7537873782899656</v>
      </c>
      <c r="O135" s="74">
        <v>6.7743740295803976</v>
      </c>
      <c r="P135" s="73"/>
      <c r="Q135" s="72">
        <v>1965.5147909249959</v>
      </c>
      <c r="R135" s="72">
        <v>1489.6694682945667</v>
      </c>
      <c r="S135" s="73"/>
      <c r="T135" s="74">
        <v>4.678729556416398</v>
      </c>
      <c r="U135" s="74">
        <v>4.7181708627640218</v>
      </c>
      <c r="V135" s="73"/>
      <c r="W135" s="72">
        <v>14296.913335463349</v>
      </c>
      <c r="X135" s="72">
        <v>14216.186287430766</v>
      </c>
      <c r="Y135" s="73"/>
      <c r="Z135" s="74">
        <v>3.0238331639826326</v>
      </c>
      <c r="AA135" s="74">
        <v>3.059367090312922</v>
      </c>
      <c r="AB135" s="73"/>
      <c r="AC135" s="72">
        <v>50385.571056454988</v>
      </c>
      <c r="AD135" s="72">
        <v>50143.298310315804</v>
      </c>
      <c r="AE135" s="73"/>
      <c r="AF135" s="74">
        <v>4.4930395044889044</v>
      </c>
      <c r="AG135" s="74">
        <v>4.5906291375006001</v>
      </c>
      <c r="AH135" s="73"/>
      <c r="AI135" s="72">
        <v>2563392.1586870681</v>
      </c>
      <c r="AJ135" s="72">
        <v>0</v>
      </c>
      <c r="AK135" s="73"/>
      <c r="AL135" s="74">
        <v>-2446.9737109073935</v>
      </c>
      <c r="AM135" s="74">
        <v>0</v>
      </c>
      <c r="AN135" s="73"/>
      <c r="AO135" s="72">
        <v>164493.79757664996</v>
      </c>
      <c r="AP135" s="72">
        <v>0</v>
      </c>
      <c r="AQ135" s="73"/>
      <c r="AR135" s="74">
        <v>-138.88479547915409</v>
      </c>
      <c r="AS135" s="74">
        <v>0</v>
      </c>
      <c r="AT135" s="73"/>
      <c r="AU135" s="72">
        <v>11090031.093637172</v>
      </c>
      <c r="AV135" s="72">
        <v>0</v>
      </c>
      <c r="AW135" s="73"/>
      <c r="AX135" s="74">
        <v>-919.21742836701753</v>
      </c>
      <c r="AY135" s="74">
        <v>0</v>
      </c>
      <c r="AZ135" s="73"/>
      <c r="BA135" s="72">
        <v>728639.88097467029</v>
      </c>
      <c r="BB135" s="72">
        <v>0</v>
      </c>
      <c r="BC135" s="73"/>
      <c r="BD135" s="74">
        <v>-320.72813862108126</v>
      </c>
      <c r="BE135" s="74">
        <v>0</v>
      </c>
      <c r="BF135" s="73"/>
      <c r="BG135" s="72">
        <v>3801000.2322381204</v>
      </c>
      <c r="BH135" s="72">
        <v>0</v>
      </c>
      <c r="BI135" s="73"/>
      <c r="BJ135" s="74">
        <v>-1531.0769521239772</v>
      </c>
      <c r="BK135" s="74">
        <v>0</v>
      </c>
      <c r="BL135" s="73"/>
      <c r="BM135" s="72">
        <v>18347557.16311368</v>
      </c>
      <c r="BN135" s="72">
        <v>0</v>
      </c>
      <c r="BO135" s="73"/>
      <c r="BP135" s="74">
        <v>-5356.8810254986238</v>
      </c>
      <c r="BQ135" s="74">
        <v>0</v>
      </c>
      <c r="BS135" s="109">
        <f t="shared" si="75"/>
        <v>114473.9681973096</v>
      </c>
      <c r="BT135" s="109">
        <f t="shared" si="76"/>
        <v>114952.65451672979</v>
      </c>
      <c r="BV135" s="58">
        <f t="array" ref="BV135">SUM(IF(BS135:BT135&gt;=BS135, 1))</f>
        <v>2</v>
      </c>
      <c r="BW135" s="58">
        <f t="array" ref="BW135">SUM(IF(BS135:BT135&gt;=BT135, 1))</f>
        <v>1</v>
      </c>
      <c r="BY135" s="109">
        <f t="shared" si="77"/>
        <v>134843.62704094776</v>
      </c>
      <c r="BZ135" s="109">
        <f t="shared" si="78"/>
        <v>135279.74269581574</v>
      </c>
      <c r="CB135" s="58">
        <f t="array" ref="CB135">SUM(IF(BY135:BZ135&gt;=BY135, 1))</f>
        <v>2</v>
      </c>
      <c r="CC135" s="58">
        <f t="array" ref="CC135">SUM(IF(BY135:BZ135&gt;=BZ135, 1))</f>
        <v>1</v>
      </c>
      <c r="CE135" s="109">
        <f t="shared" si="79"/>
        <v>91609.076337402963</v>
      </c>
      <c r="CF135" s="109">
        <f t="shared" si="80"/>
        <v>92873.74778698587</v>
      </c>
      <c r="CH135" s="58">
        <f t="array" ref="CH135">SUM(IF(CE135:CF135&gt;=CE135, 1))</f>
        <v>2</v>
      </c>
      <c r="CI135" s="58">
        <f t="array" ref="CI135">SUM(IF(CE135:CF135&gt;=CF135, 1))</f>
        <v>1</v>
      </c>
      <c r="CK135" s="109">
        <f t="shared" si="81"/>
        <v>46179.749944189301</v>
      </c>
      <c r="CL135" s="109">
        <f t="shared" si="82"/>
        <v>46971.155518827669</v>
      </c>
      <c r="CN135" s="58">
        <f t="array" ref="CN135">SUM(IF(CK135:CL135&gt;=CK135, 1))</f>
        <v>2</v>
      </c>
      <c r="CO135" s="58">
        <f t="array" ref="CO135">SUM(IF(CK135:CL135&gt;=CL135, 1))</f>
        <v>1</v>
      </c>
      <c r="CQ135" s="109" cm="1">
        <f t="array" ref="CQ135">AF135*WTP-AC135</f>
        <v>39475.219033323105</v>
      </c>
      <c r="CR135" s="109">
        <f t="shared" si="83"/>
        <v>41669.284439696203</v>
      </c>
      <c r="CT135" s="58">
        <f t="array" ref="CT135">SUM(IF(CQ135:CR135&gt;=CQ135, 1))</f>
        <v>2</v>
      </c>
      <c r="CU135" s="58">
        <f t="array" ref="CU135">SUM(IF(CQ135:CR135&gt;=CR135, 1))</f>
        <v>1</v>
      </c>
      <c r="CW135" s="109">
        <f t="shared" si="84"/>
        <v>-51502866.376834944</v>
      </c>
      <c r="CX135" s="109">
        <f t="shared" si="85"/>
        <v>0</v>
      </c>
      <c r="CZ135" s="58">
        <f t="array" ref="CZ135">SUM(IF(CW135:CX135&gt;=CW135, 1))</f>
        <v>2</v>
      </c>
      <c r="DA135" s="58">
        <f t="array" ref="DA135">SUM(IF(CW135:CX135&gt;=CX135, 1))</f>
        <v>1</v>
      </c>
      <c r="DC135" s="109">
        <f t="shared" si="86"/>
        <v>-2942189.707159732</v>
      </c>
      <c r="DD135" s="109">
        <f t="shared" si="87"/>
        <v>0</v>
      </c>
      <c r="DF135" s="58">
        <f t="array" ref="DF135">SUM(IF(DC135:DD135&gt;=DC135, 1))</f>
        <v>2</v>
      </c>
      <c r="DG135" s="58">
        <f t="array" ref="DG135">SUM(IF(DC135:DD135&gt;=DD135, 1))</f>
        <v>1</v>
      </c>
      <c r="DI135" s="109">
        <f t="shared" si="88"/>
        <v>-29474379.660977524</v>
      </c>
      <c r="DJ135" s="109">
        <f t="shared" si="89"/>
        <v>0</v>
      </c>
      <c r="DL135" s="58">
        <f t="array" ref="DL135">SUM(IF(DI135:DJ135&gt;=DI135, 1))</f>
        <v>2</v>
      </c>
      <c r="DM135" s="58">
        <f t="array" ref="DM135">SUM(IF(DI135:DJ135&gt;=DJ135, 1))</f>
        <v>1</v>
      </c>
      <c r="DO135" s="109">
        <f t="shared" si="90"/>
        <v>-7143202.6533962954</v>
      </c>
      <c r="DP135" s="109">
        <f t="shared" si="91"/>
        <v>0</v>
      </c>
      <c r="DR135" s="58">
        <f t="array" ref="DR135">SUM(IF(DO135:DP135&gt;=DO135, 1))</f>
        <v>2</v>
      </c>
      <c r="DS135" s="58">
        <f t="array" ref="DS135">SUM(IF(DO135:DP135&gt;=DP135, 1))</f>
        <v>1</v>
      </c>
      <c r="DU135" s="109">
        <f t="shared" si="92"/>
        <v>-34422539.274717666</v>
      </c>
      <c r="DV135" s="109">
        <f t="shared" si="93"/>
        <v>0</v>
      </c>
      <c r="DX135" s="58">
        <f t="array" ref="DX135">SUM(IF(DU135:DV135&gt;=DU135, 1))</f>
        <v>2</v>
      </c>
      <c r="DY135" s="58">
        <f t="array" ref="DY135">SUM(IF(DU135:DV135&gt;=DV135, 1))</f>
        <v>1</v>
      </c>
      <c r="EA135" s="109">
        <f t="shared" si="94"/>
        <v>-125485177.67308617</v>
      </c>
      <c r="EB135" s="109">
        <f t="shared" si="95"/>
        <v>0</v>
      </c>
      <c r="ED135" s="58">
        <f t="array" ref="ED135">SUM(IF(EA135:EB135&gt;=EA135, 1))</f>
        <v>2</v>
      </c>
      <c r="EE135" s="58">
        <f t="array" ref="EE135">SUM(IF(EA135:EB135&gt;=EB135, 1))</f>
        <v>1</v>
      </c>
    </row>
    <row r="136" spans="4:135" ht="12" customHeight="1" x14ac:dyDescent="0.25">
      <c r="D136" s="11">
        <v>120</v>
      </c>
      <c r="E136" s="72">
        <v>255.5521320540245</v>
      </c>
      <c r="F136" s="72">
        <v>238.76220672461693</v>
      </c>
      <c r="G136" s="73"/>
      <c r="H136" s="74">
        <v>5.8887432090109844</v>
      </c>
      <c r="I136" s="74">
        <v>5.903306916919143</v>
      </c>
      <c r="J136" s="73"/>
      <c r="K136" s="72">
        <v>274.70177785291605</v>
      </c>
      <c r="L136" s="72">
        <v>257.50514889375381</v>
      </c>
      <c r="M136" s="73"/>
      <c r="N136" s="74">
        <v>6.7450827824548991</v>
      </c>
      <c r="O136" s="74">
        <v>6.7573532387468873</v>
      </c>
      <c r="P136" s="73"/>
      <c r="Q136" s="72">
        <v>4247.2743062735844</v>
      </c>
      <c r="R136" s="72">
        <v>1677.3700834717085</v>
      </c>
      <c r="S136" s="73"/>
      <c r="T136" s="74">
        <v>4.5333635011802436</v>
      </c>
      <c r="U136" s="74">
        <v>4.7656867860703729</v>
      </c>
      <c r="V136" s="73"/>
      <c r="W136" s="72">
        <v>8332.2744483818606</v>
      </c>
      <c r="X136" s="72">
        <v>8369.9946596715799</v>
      </c>
      <c r="Y136" s="73"/>
      <c r="Z136" s="74">
        <v>3.0209371797961793</v>
      </c>
      <c r="AA136" s="74">
        <v>3.0758001864442295</v>
      </c>
      <c r="AB136" s="73"/>
      <c r="AC136" s="72">
        <v>50269.205035773106</v>
      </c>
      <c r="AD136" s="72">
        <v>50103.038429504326</v>
      </c>
      <c r="AE136" s="73"/>
      <c r="AF136" s="74">
        <v>4.3406054007167727</v>
      </c>
      <c r="AG136" s="74">
        <v>4.4364576114524237</v>
      </c>
      <c r="AH136" s="73"/>
      <c r="AI136" s="72">
        <v>1814868.5330956383</v>
      </c>
      <c r="AJ136" s="72">
        <v>0</v>
      </c>
      <c r="AK136" s="73"/>
      <c r="AL136" s="74">
        <v>-1574.2306585139438</v>
      </c>
      <c r="AM136" s="74">
        <v>0</v>
      </c>
      <c r="AN136" s="73"/>
      <c r="AO136" s="72">
        <v>110675.81792820548</v>
      </c>
      <c r="AP136" s="72">
        <v>0</v>
      </c>
      <c r="AQ136" s="73"/>
      <c r="AR136" s="74">
        <v>-78.97145363158711</v>
      </c>
      <c r="AS136" s="74">
        <v>0</v>
      </c>
      <c r="AT136" s="73"/>
      <c r="AU136" s="72">
        <v>59034442.703837939</v>
      </c>
      <c r="AV136" s="72">
        <v>0</v>
      </c>
      <c r="AW136" s="73"/>
      <c r="AX136" s="74">
        <v>-5336.8042002984421</v>
      </c>
      <c r="AY136" s="74">
        <v>0</v>
      </c>
      <c r="AZ136" s="73"/>
      <c r="BA136" s="72">
        <v>-348249.01798390679</v>
      </c>
      <c r="BB136" s="72">
        <v>0</v>
      </c>
      <c r="BC136" s="73"/>
      <c r="BD136" s="74">
        <v>-506.51858872368956</v>
      </c>
      <c r="BE136" s="74">
        <v>0</v>
      </c>
      <c r="BF136" s="73"/>
      <c r="BG136" s="72">
        <v>2587100.7722108094</v>
      </c>
      <c r="BH136" s="72">
        <v>0</v>
      </c>
      <c r="BI136" s="73"/>
      <c r="BJ136" s="74">
        <v>-1492.3535719999063</v>
      </c>
      <c r="BK136" s="74">
        <v>0</v>
      </c>
      <c r="BL136" s="73"/>
      <c r="BM136" s="72">
        <v>63198838.809088685</v>
      </c>
      <c r="BN136" s="72">
        <v>0</v>
      </c>
      <c r="BO136" s="73"/>
      <c r="BP136" s="74">
        <v>-8988.8784731675696</v>
      </c>
      <c r="BQ136" s="74">
        <v>0</v>
      </c>
      <c r="BS136" s="109">
        <f t="shared" si="75"/>
        <v>117519.31204816567</v>
      </c>
      <c r="BT136" s="109">
        <f t="shared" si="76"/>
        <v>117827.37613165825</v>
      </c>
      <c r="BV136" s="58">
        <f t="array" ref="BV136">SUM(IF(BS136:BT136&gt;=BS136, 1))</f>
        <v>2</v>
      </c>
      <c r="BW136" s="58">
        <f t="array" ref="BW136">SUM(IF(BS136:BT136&gt;=BT136, 1))</f>
        <v>1</v>
      </c>
      <c r="BY136" s="109">
        <f t="shared" si="77"/>
        <v>134626.95387124506</v>
      </c>
      <c r="BZ136" s="109">
        <f t="shared" si="78"/>
        <v>134889.55962604401</v>
      </c>
      <c r="CB136" s="58">
        <f t="array" ref="CB136">SUM(IF(BY136:BZ136&gt;=BY136, 1))</f>
        <v>2</v>
      </c>
      <c r="CC136" s="58">
        <f t="array" ref="CC136">SUM(IF(BY136:BZ136&gt;=BZ136, 1))</f>
        <v>1</v>
      </c>
      <c r="CE136" s="109">
        <f t="shared" si="79"/>
        <v>86419.995717331287</v>
      </c>
      <c r="CF136" s="109">
        <f t="shared" si="80"/>
        <v>93636.365637935756</v>
      </c>
      <c r="CH136" s="58">
        <f t="array" ref="CH136">SUM(IF(CE136:CF136&gt;=CE136, 1))</f>
        <v>2</v>
      </c>
      <c r="CI136" s="58">
        <f t="array" ref="CI136">SUM(IF(CE136:CF136&gt;=CF136, 1))</f>
        <v>1</v>
      </c>
      <c r="CK136" s="109">
        <f t="shared" si="81"/>
        <v>52086.469147541728</v>
      </c>
      <c r="CL136" s="109">
        <f t="shared" si="82"/>
        <v>53146.009069213011</v>
      </c>
      <c r="CN136" s="58">
        <f t="array" ref="CN136">SUM(IF(CK136:CL136&gt;=CK136, 1))</f>
        <v>2</v>
      </c>
      <c r="CO136" s="58">
        <f t="array" ref="CO136">SUM(IF(CK136:CL136&gt;=CL136, 1))</f>
        <v>1</v>
      </c>
      <c r="CQ136" s="109" cm="1">
        <f t="array" ref="CQ136">AF136*WTP-AC136</f>
        <v>36542.902978562342</v>
      </c>
      <c r="CR136" s="109">
        <f t="shared" si="83"/>
        <v>38626.113799544146</v>
      </c>
      <c r="CT136" s="58">
        <f t="array" ref="CT136">SUM(IF(CQ136:CR136&gt;=CQ136, 1))</f>
        <v>2</v>
      </c>
      <c r="CU136" s="58">
        <f t="array" ref="CU136">SUM(IF(CQ136:CR136&gt;=CR136, 1))</f>
        <v>1</v>
      </c>
      <c r="CW136" s="109">
        <f t="shared" si="84"/>
        <v>-33299481.703374516</v>
      </c>
      <c r="CX136" s="109">
        <f t="shared" si="85"/>
        <v>0</v>
      </c>
      <c r="CZ136" s="58">
        <f t="array" ref="CZ136">SUM(IF(CW136:CX136&gt;=CW136, 1))</f>
        <v>2</v>
      </c>
      <c r="DA136" s="58">
        <f t="array" ref="DA136">SUM(IF(CW136:CX136&gt;=CX136, 1))</f>
        <v>1</v>
      </c>
      <c r="DC136" s="109">
        <f t="shared" si="86"/>
        <v>-1690104.8905599476</v>
      </c>
      <c r="DD136" s="109">
        <f t="shared" si="87"/>
        <v>0</v>
      </c>
      <c r="DF136" s="58">
        <f t="array" ref="DF136">SUM(IF(DC136:DD136&gt;=DC136, 1))</f>
        <v>2</v>
      </c>
      <c r="DG136" s="58">
        <f t="array" ref="DG136">SUM(IF(DC136:DD136&gt;=DD136, 1))</f>
        <v>1</v>
      </c>
      <c r="DI136" s="109">
        <f t="shared" si="88"/>
        <v>-165770526.70980677</v>
      </c>
      <c r="DJ136" s="109">
        <f t="shared" si="89"/>
        <v>0</v>
      </c>
      <c r="DL136" s="58">
        <f t="array" ref="DL136">SUM(IF(DI136:DJ136&gt;=DI136, 1))</f>
        <v>2</v>
      </c>
      <c r="DM136" s="58">
        <f t="array" ref="DM136">SUM(IF(DI136:DJ136&gt;=DJ136, 1))</f>
        <v>1</v>
      </c>
      <c r="DO136" s="109">
        <f t="shared" si="90"/>
        <v>-9782122.756489886</v>
      </c>
      <c r="DP136" s="109">
        <f t="shared" si="91"/>
        <v>0</v>
      </c>
      <c r="DR136" s="58">
        <f t="array" ref="DR136">SUM(IF(DO136:DP136&gt;=DO136, 1))</f>
        <v>2</v>
      </c>
      <c r="DS136" s="58">
        <f t="array" ref="DS136">SUM(IF(DO136:DP136&gt;=DP136, 1))</f>
        <v>1</v>
      </c>
      <c r="DU136" s="109">
        <f t="shared" si="92"/>
        <v>-32434172.212208938</v>
      </c>
      <c r="DV136" s="109">
        <f t="shared" si="93"/>
        <v>0</v>
      </c>
      <c r="DX136" s="58">
        <f t="array" ref="DX136">SUM(IF(DU136:DV136&gt;=DU136, 1))</f>
        <v>2</v>
      </c>
      <c r="DY136" s="58">
        <f t="array" ref="DY136">SUM(IF(DU136:DV136&gt;=DV136, 1))</f>
        <v>1</v>
      </c>
      <c r="EA136" s="109">
        <f t="shared" si="94"/>
        <v>-242976408.27244008</v>
      </c>
      <c r="EB136" s="109">
        <f t="shared" si="95"/>
        <v>0</v>
      </c>
      <c r="ED136" s="58">
        <f t="array" ref="ED136">SUM(IF(EA136:EB136&gt;=EA136, 1))</f>
        <v>2</v>
      </c>
      <c r="EE136" s="58">
        <f t="array" ref="EE136">SUM(IF(EA136:EB136&gt;=EB136, 1))</f>
        <v>1</v>
      </c>
    </row>
    <row r="137" spans="4:135" ht="12" customHeight="1" x14ac:dyDescent="0.25">
      <c r="D137" s="11">
        <v>121</v>
      </c>
      <c r="E137" s="72">
        <v>252.2982695372481</v>
      </c>
      <c r="F137" s="72">
        <v>234.94667974885178</v>
      </c>
      <c r="G137" s="73"/>
      <c r="H137" s="74">
        <v>5.8219994282183691</v>
      </c>
      <c r="I137" s="74">
        <v>5.8378182764772601</v>
      </c>
      <c r="J137" s="73"/>
      <c r="K137" s="72">
        <v>271.07403105650536</v>
      </c>
      <c r="L137" s="72">
        <v>253.28188957534687</v>
      </c>
      <c r="M137" s="73"/>
      <c r="N137" s="74">
        <v>6.6937088024433429</v>
      </c>
      <c r="O137" s="74">
        <v>6.7073001491481454</v>
      </c>
      <c r="P137" s="73"/>
      <c r="Q137" s="72">
        <v>1628.3230404961689</v>
      </c>
      <c r="R137" s="72">
        <v>1244.5701541584781</v>
      </c>
      <c r="S137" s="73"/>
      <c r="T137" s="74">
        <v>4.7019993345010436</v>
      </c>
      <c r="U137" s="74">
        <v>4.7523642242651079</v>
      </c>
      <c r="V137" s="73"/>
      <c r="W137" s="72">
        <v>8963.8949286513634</v>
      </c>
      <c r="X137" s="72">
        <v>8978.3628357401049</v>
      </c>
      <c r="Y137" s="73"/>
      <c r="Z137" s="74">
        <v>3.014671446883773</v>
      </c>
      <c r="AA137" s="74">
        <v>3.0576242039346599</v>
      </c>
      <c r="AB137" s="73"/>
      <c r="AC137" s="72">
        <v>49398.805389573885</v>
      </c>
      <c r="AD137" s="72">
        <v>49444.237157566458</v>
      </c>
      <c r="AE137" s="73"/>
      <c r="AF137" s="74">
        <v>4.7972661030001209</v>
      </c>
      <c r="AG137" s="74">
        <v>4.9322051282566033</v>
      </c>
      <c r="AH137" s="73"/>
      <c r="AI137" s="72">
        <v>1865908.7845159755</v>
      </c>
      <c r="AJ137" s="72">
        <v>0</v>
      </c>
      <c r="AK137" s="73"/>
      <c r="AL137" s="74">
        <v>-1701.0849315334108</v>
      </c>
      <c r="AM137" s="74">
        <v>0</v>
      </c>
      <c r="AN137" s="73"/>
      <c r="AO137" s="72">
        <v>121209.574609858</v>
      </c>
      <c r="AP137" s="72">
        <v>0</v>
      </c>
      <c r="AQ137" s="73"/>
      <c r="AR137" s="74">
        <v>-92.591515990853395</v>
      </c>
      <c r="AS137" s="74">
        <v>0</v>
      </c>
      <c r="AT137" s="73"/>
      <c r="AU137" s="72">
        <v>8928352.8180860747</v>
      </c>
      <c r="AV137" s="72">
        <v>0</v>
      </c>
      <c r="AW137" s="73"/>
      <c r="AX137" s="74">
        <v>-1171.7840346401385</v>
      </c>
      <c r="AY137" s="74">
        <v>0</v>
      </c>
      <c r="AZ137" s="73"/>
      <c r="BA137" s="72">
        <v>-130716.97675199319</v>
      </c>
      <c r="BB137" s="72">
        <v>0</v>
      </c>
      <c r="BC137" s="73"/>
      <c r="BD137" s="74">
        <v>-388.07648614387335</v>
      </c>
      <c r="BE137" s="74">
        <v>0</v>
      </c>
      <c r="BF137" s="73"/>
      <c r="BG137" s="72">
        <v>-738837.313274913</v>
      </c>
      <c r="BH137" s="72">
        <v>0</v>
      </c>
      <c r="BI137" s="73"/>
      <c r="BJ137" s="74">
        <v>-2194.4553619998305</v>
      </c>
      <c r="BK137" s="74">
        <v>0</v>
      </c>
      <c r="BL137" s="73"/>
      <c r="BM137" s="72">
        <v>10045916.887185004</v>
      </c>
      <c r="BN137" s="72">
        <v>0</v>
      </c>
      <c r="BO137" s="73"/>
      <c r="BP137" s="74">
        <v>-5547.9923303081068</v>
      </c>
      <c r="BQ137" s="74">
        <v>0</v>
      </c>
      <c r="BS137" s="109">
        <f t="shared" si="75"/>
        <v>116187.69029483013</v>
      </c>
      <c r="BT137" s="109">
        <f t="shared" si="76"/>
        <v>116521.41884979635</v>
      </c>
      <c r="BV137" s="58">
        <f t="array" ref="BV137">SUM(IF(BS137:BT137&gt;=BS137, 1))</f>
        <v>2</v>
      </c>
      <c r="BW137" s="58">
        <f t="array" ref="BW137">SUM(IF(BS137:BT137&gt;=BT137, 1))</f>
        <v>1</v>
      </c>
      <c r="BY137" s="109">
        <f t="shared" si="77"/>
        <v>133603.10201781034</v>
      </c>
      <c r="BZ137" s="109">
        <f t="shared" si="78"/>
        <v>133892.72109338755</v>
      </c>
      <c r="CB137" s="58">
        <f t="array" ref="CB137">SUM(IF(BY137:BZ137&gt;=BY137, 1))</f>
        <v>2</v>
      </c>
      <c r="CC137" s="58">
        <f t="array" ref="CC137">SUM(IF(BY137:BZ137&gt;=BZ137, 1))</f>
        <v>1</v>
      </c>
      <c r="CE137" s="109">
        <f t="shared" si="79"/>
        <v>92411.663649524708</v>
      </c>
      <c r="CF137" s="109">
        <f t="shared" si="80"/>
        <v>93802.714331143681</v>
      </c>
      <c r="CH137" s="58">
        <f t="array" ref="CH137">SUM(IF(CE137:CF137&gt;=CE137, 1))</f>
        <v>2</v>
      </c>
      <c r="CI137" s="58">
        <f t="array" ref="CI137">SUM(IF(CE137:CF137&gt;=CF137, 1))</f>
        <v>1</v>
      </c>
      <c r="CK137" s="109">
        <f t="shared" si="81"/>
        <v>51329.534009024093</v>
      </c>
      <c r="CL137" s="109">
        <f t="shared" si="82"/>
        <v>52174.121242953093</v>
      </c>
      <c r="CN137" s="58">
        <f t="array" ref="CN137">SUM(IF(CK137:CL137&gt;=CK137, 1))</f>
        <v>2</v>
      </c>
      <c r="CO137" s="58">
        <f t="array" ref="CO137">SUM(IF(CK137:CL137&gt;=CL137, 1))</f>
        <v>1</v>
      </c>
      <c r="CQ137" s="109" cm="1">
        <f t="array" ref="CQ137">AF137*WTP-AC137</f>
        <v>46546.516670428537</v>
      </c>
      <c r="CR137" s="109">
        <f t="shared" si="83"/>
        <v>49199.865407565609</v>
      </c>
      <c r="CT137" s="58">
        <f t="array" ref="CT137">SUM(IF(CQ137:CR137&gt;=CQ137, 1))</f>
        <v>2</v>
      </c>
      <c r="CU137" s="58">
        <f t="array" ref="CU137">SUM(IF(CQ137:CR137&gt;=CR137, 1))</f>
        <v>1</v>
      </c>
      <c r="CW137" s="109">
        <f t="shared" si="84"/>
        <v>-35887607.415184192</v>
      </c>
      <c r="CX137" s="109">
        <f t="shared" si="85"/>
        <v>0</v>
      </c>
      <c r="CZ137" s="58">
        <f t="array" ref="CZ137">SUM(IF(CW137:CX137&gt;=CW137, 1))</f>
        <v>2</v>
      </c>
      <c r="DA137" s="58">
        <f t="array" ref="DA137">SUM(IF(CW137:CX137&gt;=CX137, 1))</f>
        <v>1</v>
      </c>
      <c r="DC137" s="109">
        <f t="shared" si="86"/>
        <v>-1973039.8944269258</v>
      </c>
      <c r="DD137" s="109">
        <f t="shared" si="87"/>
        <v>0</v>
      </c>
      <c r="DF137" s="58">
        <f t="array" ref="DF137">SUM(IF(DC137:DD137&gt;=DC137, 1))</f>
        <v>2</v>
      </c>
      <c r="DG137" s="58">
        <f t="array" ref="DG137">SUM(IF(DC137:DD137&gt;=DD137, 1))</f>
        <v>1</v>
      </c>
      <c r="DI137" s="109">
        <f t="shared" si="88"/>
        <v>-32364033.510888845</v>
      </c>
      <c r="DJ137" s="109">
        <f t="shared" si="89"/>
        <v>0</v>
      </c>
      <c r="DL137" s="58">
        <f t="array" ref="DL137">SUM(IF(DI137:DJ137&gt;=DI137, 1))</f>
        <v>2</v>
      </c>
      <c r="DM137" s="58">
        <f t="array" ref="DM137">SUM(IF(DI137:DJ137&gt;=DJ137, 1))</f>
        <v>1</v>
      </c>
      <c r="DO137" s="109">
        <f t="shared" si="90"/>
        <v>-7630812.7461254736</v>
      </c>
      <c r="DP137" s="109">
        <f t="shared" si="91"/>
        <v>0</v>
      </c>
      <c r="DR137" s="58">
        <f t="array" ref="DR137">SUM(IF(DO137:DP137&gt;=DO137, 1))</f>
        <v>2</v>
      </c>
      <c r="DS137" s="58">
        <f t="array" ref="DS137">SUM(IF(DO137:DP137&gt;=DP137, 1))</f>
        <v>1</v>
      </c>
      <c r="DU137" s="109">
        <f t="shared" si="92"/>
        <v>-43150269.9267217</v>
      </c>
      <c r="DV137" s="109">
        <f t="shared" si="93"/>
        <v>0</v>
      </c>
      <c r="DX137" s="58">
        <f t="array" ref="DX137">SUM(IF(DU137:DV137&gt;=DU137, 1))</f>
        <v>2</v>
      </c>
      <c r="DY137" s="58">
        <f t="array" ref="DY137">SUM(IF(DU137:DV137&gt;=DV137, 1))</f>
        <v>1</v>
      </c>
      <c r="EA137" s="109">
        <f t="shared" si="94"/>
        <v>-121005763.49334714</v>
      </c>
      <c r="EB137" s="109">
        <f t="shared" si="95"/>
        <v>0</v>
      </c>
      <c r="ED137" s="58">
        <f t="array" ref="ED137">SUM(IF(EA137:EB137&gt;=EA137, 1))</f>
        <v>2</v>
      </c>
      <c r="EE137" s="58">
        <f t="array" ref="EE137">SUM(IF(EA137:EB137&gt;=EB137, 1))</f>
        <v>1</v>
      </c>
    </row>
    <row r="138" spans="4:135" ht="12" customHeight="1" x14ac:dyDescent="0.25">
      <c r="D138" s="11">
        <v>122</v>
      </c>
      <c r="E138" s="72">
        <v>265.23071995306225</v>
      </c>
      <c r="F138" s="72">
        <v>244.72589389025495</v>
      </c>
      <c r="G138" s="73"/>
      <c r="H138" s="74">
        <v>5.8778817374420891</v>
      </c>
      <c r="I138" s="74">
        <v>5.8908822871239934</v>
      </c>
      <c r="J138" s="73"/>
      <c r="K138" s="72">
        <v>284.87509911188585</v>
      </c>
      <c r="L138" s="72">
        <v>263.89164565145614</v>
      </c>
      <c r="M138" s="73"/>
      <c r="N138" s="74">
        <v>6.6640588988444156</v>
      </c>
      <c r="O138" s="74">
        <v>6.6751683117423708</v>
      </c>
      <c r="P138" s="73"/>
      <c r="Q138" s="72">
        <v>3186.5331611801489</v>
      </c>
      <c r="R138" s="72">
        <v>1632.8763942922919</v>
      </c>
      <c r="S138" s="73"/>
      <c r="T138" s="74">
        <v>4.8998772855478778</v>
      </c>
      <c r="U138" s="74">
        <v>4.9802633752547472</v>
      </c>
      <c r="V138" s="73"/>
      <c r="W138" s="72">
        <v>14831.229540981796</v>
      </c>
      <c r="X138" s="72">
        <v>14832.418482692412</v>
      </c>
      <c r="Y138" s="73"/>
      <c r="Z138" s="74">
        <v>3.0274401442559897</v>
      </c>
      <c r="AA138" s="74">
        <v>3.0790648719502505</v>
      </c>
      <c r="AB138" s="73"/>
      <c r="AC138" s="72">
        <v>48213.377742536606</v>
      </c>
      <c r="AD138" s="72">
        <v>48182.887860932991</v>
      </c>
      <c r="AE138" s="73"/>
      <c r="AF138" s="74">
        <v>4.6699979256810238</v>
      </c>
      <c r="AG138" s="74">
        <v>4.7318725821930512</v>
      </c>
      <c r="AH138" s="73"/>
      <c r="AI138" s="72">
        <v>2209733.3226344935</v>
      </c>
      <c r="AJ138" s="72">
        <v>0</v>
      </c>
      <c r="AK138" s="73"/>
      <c r="AL138" s="74">
        <v>-1401.0237276178188</v>
      </c>
      <c r="AM138" s="74">
        <v>0</v>
      </c>
      <c r="AN138" s="73"/>
      <c r="AO138" s="72">
        <v>133704.89939403097</v>
      </c>
      <c r="AP138" s="72">
        <v>0</v>
      </c>
      <c r="AQ138" s="73"/>
      <c r="AR138" s="74">
        <v>-70.78829691446947</v>
      </c>
      <c r="AS138" s="74">
        <v>0</v>
      </c>
      <c r="AT138" s="73"/>
      <c r="AU138" s="72">
        <v>35398398.969176538</v>
      </c>
      <c r="AV138" s="72">
        <v>0</v>
      </c>
      <c r="AW138" s="73"/>
      <c r="AX138" s="74">
        <v>-1831.5106242646498</v>
      </c>
      <c r="AY138" s="74">
        <v>0</v>
      </c>
      <c r="AZ138" s="73"/>
      <c r="BA138" s="72">
        <v>-10991.019790364951</v>
      </c>
      <c r="BB138" s="72">
        <v>0</v>
      </c>
      <c r="BC138" s="73"/>
      <c r="BD138" s="74">
        <v>-477.23820158174181</v>
      </c>
      <c r="BE138" s="74">
        <v>0</v>
      </c>
      <c r="BF138" s="73"/>
      <c r="BG138" s="72">
        <v>469962.46518220368</v>
      </c>
      <c r="BH138" s="72">
        <v>0</v>
      </c>
      <c r="BI138" s="73"/>
      <c r="BJ138" s="74">
        <v>-953.71856423499537</v>
      </c>
      <c r="BK138" s="74">
        <v>0</v>
      </c>
      <c r="BL138" s="73"/>
      <c r="BM138" s="72">
        <v>38200808.636596896</v>
      </c>
      <c r="BN138" s="72">
        <v>0</v>
      </c>
      <c r="BO138" s="73"/>
      <c r="BP138" s="74">
        <v>-4734.2794146136748</v>
      </c>
      <c r="BQ138" s="74">
        <v>0</v>
      </c>
      <c r="BS138" s="109">
        <f t="shared" si="75"/>
        <v>117292.40402888872</v>
      </c>
      <c r="BT138" s="109">
        <f t="shared" si="76"/>
        <v>117572.91984858962</v>
      </c>
      <c r="BV138" s="58">
        <f t="array" ref="BV138">SUM(IF(BS138:BT138&gt;=BS138, 1))</f>
        <v>2</v>
      </c>
      <c r="BW138" s="58">
        <f t="array" ref="BW138">SUM(IF(BS138:BT138&gt;=BT138, 1))</f>
        <v>1</v>
      </c>
      <c r="BY138" s="109">
        <f t="shared" si="77"/>
        <v>132996.30287777644</v>
      </c>
      <c r="BZ138" s="109">
        <f t="shared" si="78"/>
        <v>133239.47458919595</v>
      </c>
      <c r="CB138" s="58">
        <f t="array" ref="CB138">SUM(IF(BY138:BZ138&gt;=BY138, 1))</f>
        <v>2</v>
      </c>
      <c r="CC138" s="58">
        <f t="array" ref="CC138">SUM(IF(BY138:BZ138&gt;=BZ138, 1))</f>
        <v>1</v>
      </c>
      <c r="CE138" s="109">
        <f t="shared" si="79"/>
        <v>94811.012549777399</v>
      </c>
      <c r="CF138" s="109">
        <f t="shared" si="80"/>
        <v>97972.391110802651</v>
      </c>
      <c r="CH138" s="58">
        <f t="array" ref="CH138">SUM(IF(CE138:CF138&gt;=CE138, 1))</f>
        <v>2</v>
      </c>
      <c r="CI138" s="58">
        <f t="array" ref="CI138">SUM(IF(CE138:CF138&gt;=CF138, 1))</f>
        <v>1</v>
      </c>
      <c r="CK138" s="109">
        <f t="shared" si="81"/>
        <v>45717.573344138</v>
      </c>
      <c r="CL138" s="109">
        <f t="shared" si="82"/>
        <v>46748.878956312597</v>
      </c>
      <c r="CN138" s="58">
        <f t="array" ref="CN138">SUM(IF(CK138:CL138&gt;=CK138, 1))</f>
        <v>2</v>
      </c>
      <c r="CO138" s="58">
        <f t="array" ref="CO138">SUM(IF(CK138:CL138&gt;=CL138, 1))</f>
        <v>1</v>
      </c>
      <c r="CQ138" s="109" cm="1">
        <f t="array" ref="CQ138">AF138*WTP-AC138</f>
        <v>45186.580771083864</v>
      </c>
      <c r="CR138" s="109">
        <f t="shared" si="83"/>
        <v>46454.563782928039</v>
      </c>
      <c r="CT138" s="58">
        <f t="array" ref="CT138">SUM(IF(CQ138:CR138&gt;=CQ138, 1))</f>
        <v>2</v>
      </c>
      <c r="CU138" s="58">
        <f t="array" ref="CU138">SUM(IF(CQ138:CR138&gt;=CR138, 1))</f>
        <v>1</v>
      </c>
      <c r="CW138" s="109">
        <f t="shared" si="84"/>
        <v>-30230207.874990869</v>
      </c>
      <c r="CX138" s="109">
        <f t="shared" si="85"/>
        <v>0</v>
      </c>
      <c r="CZ138" s="58">
        <f t="array" ref="CZ138">SUM(IF(CW138:CX138&gt;=CW138, 1))</f>
        <v>2</v>
      </c>
      <c r="DA138" s="58">
        <f t="array" ref="DA138">SUM(IF(CW138:CX138&gt;=CX138, 1))</f>
        <v>1</v>
      </c>
      <c r="DC138" s="109">
        <f t="shared" si="86"/>
        <v>-1549470.8376834204</v>
      </c>
      <c r="DD138" s="109">
        <f t="shared" si="87"/>
        <v>0</v>
      </c>
      <c r="DF138" s="58">
        <f t="array" ref="DF138">SUM(IF(DC138:DD138&gt;=DC138, 1))</f>
        <v>2</v>
      </c>
      <c r="DG138" s="58">
        <f t="array" ref="DG138">SUM(IF(DC138:DD138&gt;=DD138, 1))</f>
        <v>1</v>
      </c>
      <c r="DI138" s="109">
        <f t="shared" si="88"/>
        <v>-72028611.454469532</v>
      </c>
      <c r="DJ138" s="109">
        <f t="shared" si="89"/>
        <v>0</v>
      </c>
      <c r="DL138" s="58">
        <f t="array" ref="DL138">SUM(IF(DI138:DJ138&gt;=DI138, 1))</f>
        <v>2</v>
      </c>
      <c r="DM138" s="58">
        <f t="array" ref="DM138">SUM(IF(DI138:DJ138&gt;=DJ138, 1))</f>
        <v>1</v>
      </c>
      <c r="DO138" s="109">
        <f t="shared" si="90"/>
        <v>-9533773.0118444711</v>
      </c>
      <c r="DP138" s="109">
        <f t="shared" si="91"/>
        <v>0</v>
      </c>
      <c r="DR138" s="58">
        <f t="array" ref="DR138">SUM(IF(DO138:DP138&gt;=DO138, 1))</f>
        <v>2</v>
      </c>
      <c r="DS138" s="58">
        <f t="array" ref="DS138">SUM(IF(DO138:DP138&gt;=DP138, 1))</f>
        <v>1</v>
      </c>
      <c r="DU138" s="109">
        <f t="shared" si="92"/>
        <v>-19544333.749882109</v>
      </c>
      <c r="DV138" s="109">
        <f t="shared" si="93"/>
        <v>0</v>
      </c>
      <c r="DX138" s="58">
        <f t="array" ref="DX138">SUM(IF(DU138:DV138&gt;=DU138, 1))</f>
        <v>2</v>
      </c>
      <c r="DY138" s="58">
        <f t="array" ref="DY138">SUM(IF(DU138:DV138&gt;=DV138, 1))</f>
        <v>1</v>
      </c>
      <c r="EA138" s="109">
        <f t="shared" si="94"/>
        <v>-132886396.92887038</v>
      </c>
      <c r="EB138" s="109">
        <f t="shared" si="95"/>
        <v>0</v>
      </c>
      <c r="ED138" s="58">
        <f t="array" ref="ED138">SUM(IF(EA138:EB138&gt;=EA138, 1))</f>
        <v>2</v>
      </c>
      <c r="EE138" s="58">
        <f t="array" ref="EE138">SUM(IF(EA138:EB138&gt;=EB138, 1))</f>
        <v>1</v>
      </c>
    </row>
    <row r="139" spans="4:135" ht="12" customHeight="1" x14ac:dyDescent="0.25">
      <c r="D139" s="11">
        <v>123</v>
      </c>
      <c r="E139" s="72">
        <v>261.5742218194689</v>
      </c>
      <c r="F139" s="72">
        <v>235.74998903939695</v>
      </c>
      <c r="G139" s="73"/>
      <c r="H139" s="74">
        <v>5.8038883774972314</v>
      </c>
      <c r="I139" s="74">
        <v>5.8214414789962516</v>
      </c>
      <c r="J139" s="73"/>
      <c r="K139" s="72">
        <v>280.67668087871414</v>
      </c>
      <c r="L139" s="72">
        <v>254.21782851486302</v>
      </c>
      <c r="M139" s="73"/>
      <c r="N139" s="74">
        <v>6.6718084855177624</v>
      </c>
      <c r="O139" s="74">
        <v>6.6865780849943963</v>
      </c>
      <c r="P139" s="73"/>
      <c r="Q139" s="72">
        <v>2581.3077454933327</v>
      </c>
      <c r="R139" s="72">
        <v>1588.5618655089527</v>
      </c>
      <c r="S139" s="73"/>
      <c r="T139" s="74">
        <v>4.845189397103999</v>
      </c>
      <c r="U139" s="74">
        <v>4.9377888060430273</v>
      </c>
      <c r="V139" s="73"/>
      <c r="W139" s="72">
        <v>13639.211532975629</v>
      </c>
      <c r="X139" s="72">
        <v>13602.488519093318</v>
      </c>
      <c r="Y139" s="73"/>
      <c r="Z139" s="74">
        <v>3.0587778360301159</v>
      </c>
      <c r="AA139" s="74">
        <v>3.1270038678771321</v>
      </c>
      <c r="AB139" s="73"/>
      <c r="AC139" s="72">
        <v>50214.70335971305</v>
      </c>
      <c r="AD139" s="72">
        <v>50253.211082728332</v>
      </c>
      <c r="AE139" s="73"/>
      <c r="AF139" s="74">
        <v>4.5110921069914482</v>
      </c>
      <c r="AG139" s="74">
        <v>4.5729880958753073</v>
      </c>
      <c r="AH139" s="73"/>
      <c r="AI139" s="72">
        <v>2761255.1356819281</v>
      </c>
      <c r="AJ139" s="72">
        <v>0</v>
      </c>
      <c r="AK139" s="73"/>
      <c r="AL139" s="74">
        <v>-1876.864729112805</v>
      </c>
      <c r="AM139" s="74">
        <v>0</v>
      </c>
      <c r="AN139" s="73"/>
      <c r="AO139" s="72">
        <v>178284.22497163626</v>
      </c>
      <c r="AP139" s="72">
        <v>0</v>
      </c>
      <c r="AQ139" s="73"/>
      <c r="AR139" s="74">
        <v>-99.52006079563381</v>
      </c>
      <c r="AS139" s="74">
        <v>0</v>
      </c>
      <c r="AT139" s="73"/>
      <c r="AU139" s="72">
        <v>22997473.623202864</v>
      </c>
      <c r="AV139" s="72">
        <v>0</v>
      </c>
      <c r="AW139" s="73"/>
      <c r="AX139" s="74">
        <v>-2145.1133744649592</v>
      </c>
      <c r="AY139" s="74">
        <v>0</v>
      </c>
      <c r="AZ139" s="73"/>
      <c r="BA139" s="72">
        <v>330620.53963473288</v>
      </c>
      <c r="BB139" s="72">
        <v>0</v>
      </c>
      <c r="BC139" s="73"/>
      <c r="BD139" s="74">
        <v>-614.24499466974839</v>
      </c>
      <c r="BE139" s="74">
        <v>0</v>
      </c>
      <c r="BF139" s="73"/>
      <c r="BG139" s="72">
        <v>-607562.58306049474</v>
      </c>
      <c r="BH139" s="72">
        <v>0</v>
      </c>
      <c r="BI139" s="73"/>
      <c r="BJ139" s="74">
        <v>-976.5751891493843</v>
      </c>
      <c r="BK139" s="74">
        <v>0</v>
      </c>
      <c r="BL139" s="73"/>
      <c r="BM139" s="72">
        <v>25660070.940430667</v>
      </c>
      <c r="BN139" s="72">
        <v>0</v>
      </c>
      <c r="BO139" s="73"/>
      <c r="BP139" s="74">
        <v>-5712.3183481925307</v>
      </c>
      <c r="BQ139" s="74">
        <v>0</v>
      </c>
      <c r="BS139" s="109">
        <f t="shared" si="75"/>
        <v>115816.19332812517</v>
      </c>
      <c r="BT139" s="109">
        <f t="shared" si="76"/>
        <v>116193.07959088564</v>
      </c>
      <c r="BV139" s="58">
        <f t="array" ref="BV139">SUM(IF(BS139:BT139&gt;=BS139, 1))</f>
        <v>2</v>
      </c>
      <c r="BW139" s="58">
        <f t="array" ref="BW139">SUM(IF(BS139:BT139&gt;=BT139, 1))</f>
        <v>1</v>
      </c>
      <c r="BY139" s="109">
        <f t="shared" si="77"/>
        <v>133155.49302947655</v>
      </c>
      <c r="BZ139" s="109">
        <f t="shared" si="78"/>
        <v>133477.34387137304</v>
      </c>
      <c r="CB139" s="58">
        <f t="array" ref="CB139">SUM(IF(BY139:BZ139&gt;=BY139, 1))</f>
        <v>2</v>
      </c>
      <c r="CC139" s="58">
        <f t="array" ref="CC139">SUM(IF(BY139:BZ139&gt;=BZ139, 1))</f>
        <v>1</v>
      </c>
      <c r="CE139" s="109">
        <f t="shared" si="79"/>
        <v>94322.480196586635</v>
      </c>
      <c r="CF139" s="109">
        <f t="shared" si="80"/>
        <v>97167.214255351602</v>
      </c>
      <c r="CH139" s="58">
        <f t="array" ref="CH139">SUM(IF(CE139:CF139&gt;=CE139, 1))</f>
        <v>2</v>
      </c>
      <c r="CI139" s="58">
        <f t="array" ref="CI139">SUM(IF(CE139:CF139&gt;=CF139, 1))</f>
        <v>1</v>
      </c>
      <c r="CK139" s="109">
        <f t="shared" si="81"/>
        <v>47536.345187626692</v>
      </c>
      <c r="CL139" s="109">
        <f t="shared" si="82"/>
        <v>48937.588838449323</v>
      </c>
      <c r="CN139" s="58">
        <f t="array" ref="CN139">SUM(IF(CK139:CL139&gt;=CK139, 1))</f>
        <v>2</v>
      </c>
      <c r="CO139" s="58">
        <f t="array" ref="CO139">SUM(IF(CK139:CL139&gt;=CL139, 1))</f>
        <v>1</v>
      </c>
      <c r="CQ139" s="109" cm="1">
        <f t="array" ref="CQ139">AF139*WTP-AC139</f>
        <v>40007.138780115914</v>
      </c>
      <c r="CR139" s="109">
        <f t="shared" si="83"/>
        <v>41206.550834777809</v>
      </c>
      <c r="CT139" s="58">
        <f t="array" ref="CT139">SUM(IF(CQ139:CR139&gt;=CQ139, 1))</f>
        <v>2</v>
      </c>
      <c r="CU139" s="58">
        <f t="array" ref="CU139">SUM(IF(CQ139:CR139&gt;=CR139, 1))</f>
        <v>1</v>
      </c>
      <c r="CW139" s="109">
        <f t="shared" si="84"/>
        <v>-40298549.717938028</v>
      </c>
      <c r="CX139" s="109">
        <f t="shared" si="85"/>
        <v>0</v>
      </c>
      <c r="CZ139" s="58">
        <f t="array" ref="CZ139">SUM(IF(CW139:CX139&gt;=CW139, 1))</f>
        <v>2</v>
      </c>
      <c r="DA139" s="58">
        <f t="array" ref="DA139">SUM(IF(CW139:CX139&gt;=CX139, 1))</f>
        <v>1</v>
      </c>
      <c r="DC139" s="109">
        <f t="shared" si="86"/>
        <v>-2168685.4408843126</v>
      </c>
      <c r="DD139" s="109">
        <f t="shared" si="87"/>
        <v>0</v>
      </c>
      <c r="DF139" s="58">
        <f t="array" ref="DF139">SUM(IF(DC139:DD139&gt;=DC139, 1))</f>
        <v>2</v>
      </c>
      <c r="DG139" s="58">
        <f t="array" ref="DG139">SUM(IF(DC139:DD139&gt;=DD139, 1))</f>
        <v>1</v>
      </c>
      <c r="DI139" s="109">
        <f t="shared" si="88"/>
        <v>-65899741.112502053</v>
      </c>
      <c r="DJ139" s="109">
        <f t="shared" si="89"/>
        <v>0</v>
      </c>
      <c r="DL139" s="58">
        <f t="array" ref="DL139">SUM(IF(DI139:DJ139&gt;=DI139, 1))</f>
        <v>2</v>
      </c>
      <c r="DM139" s="58">
        <f t="array" ref="DM139">SUM(IF(DI139:DJ139&gt;=DJ139, 1))</f>
        <v>1</v>
      </c>
      <c r="DO139" s="109">
        <f t="shared" si="90"/>
        <v>-12615520.4330297</v>
      </c>
      <c r="DP139" s="109">
        <f t="shared" si="91"/>
        <v>0</v>
      </c>
      <c r="DR139" s="58">
        <f t="array" ref="DR139">SUM(IF(DO139:DP139&gt;=DO139, 1))</f>
        <v>2</v>
      </c>
      <c r="DS139" s="58">
        <f t="array" ref="DS139">SUM(IF(DO139:DP139&gt;=DP139, 1))</f>
        <v>1</v>
      </c>
      <c r="DU139" s="109">
        <f t="shared" si="92"/>
        <v>-18923941.199927192</v>
      </c>
      <c r="DV139" s="109">
        <f t="shared" si="93"/>
        <v>0</v>
      </c>
      <c r="DX139" s="58">
        <f t="array" ref="DX139">SUM(IF(DU139:DV139&gt;=DU139, 1))</f>
        <v>2</v>
      </c>
      <c r="DY139" s="58">
        <f t="array" ref="DY139">SUM(IF(DU139:DV139&gt;=DV139, 1))</f>
        <v>1</v>
      </c>
      <c r="EA139" s="109">
        <f t="shared" si="94"/>
        <v>-139906437.90428129</v>
      </c>
      <c r="EB139" s="109">
        <f t="shared" si="95"/>
        <v>0</v>
      </c>
      <c r="ED139" s="58">
        <f t="array" ref="ED139">SUM(IF(EA139:EB139&gt;=EA139, 1))</f>
        <v>2</v>
      </c>
      <c r="EE139" s="58">
        <f t="array" ref="EE139">SUM(IF(EA139:EB139&gt;=EB139, 1))</f>
        <v>1</v>
      </c>
    </row>
    <row r="140" spans="4:135" ht="12" customHeight="1" x14ac:dyDescent="0.25">
      <c r="D140" s="11">
        <v>124</v>
      </c>
      <c r="E140" s="72">
        <v>243.13413396792643</v>
      </c>
      <c r="F140" s="72">
        <v>221.8523140461848</v>
      </c>
      <c r="G140" s="73"/>
      <c r="H140" s="74">
        <v>5.7882260197767019</v>
      </c>
      <c r="I140" s="74">
        <v>5.8022382759490858</v>
      </c>
      <c r="J140" s="73"/>
      <c r="K140" s="72">
        <v>260.99231089111862</v>
      </c>
      <c r="L140" s="72">
        <v>239.18127387524953</v>
      </c>
      <c r="M140" s="73"/>
      <c r="N140" s="74">
        <v>6.7375714603088976</v>
      </c>
      <c r="O140" s="74">
        <v>6.7490742449911103</v>
      </c>
      <c r="P140" s="73"/>
      <c r="Q140" s="72">
        <v>1869.227496242557</v>
      </c>
      <c r="R140" s="72">
        <v>1552.7287820516788</v>
      </c>
      <c r="S140" s="73"/>
      <c r="T140" s="74">
        <v>4.9359780193800145</v>
      </c>
      <c r="U140" s="74">
        <v>4.9727635075916599</v>
      </c>
      <c r="V140" s="73"/>
      <c r="W140" s="72">
        <v>9876.6665414365016</v>
      </c>
      <c r="X140" s="72">
        <v>9880.2164805881039</v>
      </c>
      <c r="Y140" s="73"/>
      <c r="Z140" s="74">
        <v>2.8682516276863819</v>
      </c>
      <c r="AA140" s="74">
        <v>2.9208562837539995</v>
      </c>
      <c r="AB140" s="73"/>
      <c r="AC140" s="72">
        <v>47688.340480508021</v>
      </c>
      <c r="AD140" s="72">
        <v>47688.48450766749</v>
      </c>
      <c r="AE140" s="73"/>
      <c r="AF140" s="74">
        <v>4.4960804180492371</v>
      </c>
      <c r="AG140" s="74">
        <v>4.5800952083034652</v>
      </c>
      <c r="AH140" s="73"/>
      <c r="AI140" s="72">
        <v>2295940.2866785205</v>
      </c>
      <c r="AJ140" s="72">
        <v>0</v>
      </c>
      <c r="AK140" s="73"/>
      <c r="AL140" s="74">
        <v>-1511.6800899423804</v>
      </c>
      <c r="AM140" s="74">
        <v>0</v>
      </c>
      <c r="AN140" s="73"/>
      <c r="AO140" s="72">
        <v>152531.00586722998</v>
      </c>
      <c r="AP140" s="72">
        <v>0</v>
      </c>
      <c r="AQ140" s="73"/>
      <c r="AR140" s="74">
        <v>-80.442361203436406</v>
      </c>
      <c r="AS140" s="74">
        <v>0</v>
      </c>
      <c r="AT140" s="73"/>
      <c r="AU140" s="72">
        <v>7279638.4105398739</v>
      </c>
      <c r="AV140" s="72">
        <v>0</v>
      </c>
      <c r="AW140" s="73"/>
      <c r="AX140" s="74">
        <v>-846.08575305129443</v>
      </c>
      <c r="AY140" s="74">
        <v>0</v>
      </c>
      <c r="AZ140" s="73"/>
      <c r="BA140" s="72">
        <v>-31459.965220965405</v>
      </c>
      <c r="BB140" s="72">
        <v>0</v>
      </c>
      <c r="BC140" s="73"/>
      <c r="BD140" s="74">
        <v>-466.18845554046288</v>
      </c>
      <c r="BE140" s="74">
        <v>0</v>
      </c>
      <c r="BF140" s="73"/>
      <c r="BG140" s="72">
        <v>-2221.009460554445</v>
      </c>
      <c r="BH140" s="72">
        <v>0</v>
      </c>
      <c r="BI140" s="73"/>
      <c r="BJ140" s="74">
        <v>-1295.5726174754104</v>
      </c>
      <c r="BK140" s="74">
        <v>0</v>
      </c>
      <c r="BL140" s="73"/>
      <c r="BM140" s="72">
        <v>9694428.7284041047</v>
      </c>
      <c r="BN140" s="72">
        <v>0</v>
      </c>
      <c r="BO140" s="73"/>
      <c r="BP140" s="74">
        <v>-4199.9692772129838</v>
      </c>
      <c r="BQ140" s="74">
        <v>0</v>
      </c>
      <c r="BS140" s="109">
        <f t="shared" si="75"/>
        <v>115521.38626156612</v>
      </c>
      <c r="BT140" s="109">
        <f t="shared" si="76"/>
        <v>115822.91320493552</v>
      </c>
      <c r="BV140" s="58">
        <f t="array" ref="BV140">SUM(IF(BS140:BT140&gt;=BS140, 1))</f>
        <v>2</v>
      </c>
      <c r="BW140" s="58">
        <f t="array" ref="BW140">SUM(IF(BS140:BT140&gt;=BT140, 1))</f>
        <v>1</v>
      </c>
      <c r="BY140" s="109">
        <f t="shared" si="77"/>
        <v>134490.43689528681</v>
      </c>
      <c r="BZ140" s="109">
        <f t="shared" si="78"/>
        <v>134742.30362594695</v>
      </c>
      <c r="CB140" s="58">
        <f t="array" ref="CB140">SUM(IF(BY140:BZ140&gt;=BY140, 1))</f>
        <v>2</v>
      </c>
      <c r="CC140" s="58">
        <f t="array" ref="CC140">SUM(IF(BY140:BZ140&gt;=BZ140, 1))</f>
        <v>1</v>
      </c>
      <c r="CE140" s="109">
        <f t="shared" si="79"/>
        <v>96850.332891357728</v>
      </c>
      <c r="CF140" s="109">
        <f t="shared" si="80"/>
        <v>97902.541369781524</v>
      </c>
      <c r="CH140" s="58">
        <f t="array" ref="CH140">SUM(IF(CE140:CF140&gt;=CE140, 1))</f>
        <v>2</v>
      </c>
      <c r="CI140" s="58">
        <f t="array" ref="CI140">SUM(IF(CE140:CF140&gt;=CF140, 1))</f>
        <v>1</v>
      </c>
      <c r="CK140" s="109">
        <f t="shared" si="81"/>
        <v>47488.366012291139</v>
      </c>
      <c r="CL140" s="109">
        <f t="shared" si="82"/>
        <v>48536.909194491884</v>
      </c>
      <c r="CN140" s="58">
        <f t="array" ref="CN140">SUM(IF(CK140:CL140&gt;=CK140, 1))</f>
        <v>2</v>
      </c>
      <c r="CO140" s="58">
        <f t="array" ref="CO140">SUM(IF(CK140:CL140&gt;=CL140, 1))</f>
        <v>1</v>
      </c>
      <c r="CQ140" s="109" cm="1">
        <f t="array" ref="CQ140">AF140*WTP-AC140</f>
        <v>42233.26788047672</v>
      </c>
      <c r="CR140" s="109">
        <f t="shared" si="83"/>
        <v>43913.419658401814</v>
      </c>
      <c r="CT140" s="58">
        <f t="array" ref="CT140">SUM(IF(CQ140:CR140&gt;=CQ140, 1))</f>
        <v>2</v>
      </c>
      <c r="CU140" s="58">
        <f t="array" ref="CU140">SUM(IF(CQ140:CR140&gt;=CR140, 1))</f>
        <v>1</v>
      </c>
      <c r="CW140" s="109">
        <f t="shared" si="84"/>
        <v>-32529542.085526127</v>
      </c>
      <c r="CX140" s="109">
        <f t="shared" si="85"/>
        <v>0</v>
      </c>
      <c r="CZ140" s="58">
        <f t="array" ref="CZ140">SUM(IF(CW140:CX140&gt;=CW140, 1))</f>
        <v>2</v>
      </c>
      <c r="DA140" s="58">
        <f t="array" ref="DA140">SUM(IF(CW140:CX140&gt;=CX140, 1))</f>
        <v>1</v>
      </c>
      <c r="DC140" s="109">
        <f t="shared" si="86"/>
        <v>-1761378.2299359581</v>
      </c>
      <c r="DD140" s="109">
        <f t="shared" si="87"/>
        <v>0</v>
      </c>
      <c r="DF140" s="58">
        <f t="array" ref="DF140">SUM(IF(DC140:DD140&gt;=DC140, 1))</f>
        <v>2</v>
      </c>
      <c r="DG140" s="58">
        <f t="array" ref="DG140">SUM(IF(DC140:DD140&gt;=DD140, 1))</f>
        <v>1</v>
      </c>
      <c r="DI140" s="109">
        <f t="shared" si="88"/>
        <v>-24201353.471565761</v>
      </c>
      <c r="DJ140" s="109">
        <f t="shared" si="89"/>
        <v>0</v>
      </c>
      <c r="DL140" s="58">
        <f t="array" ref="DL140">SUM(IF(DI140:DJ140&gt;=DI140, 1))</f>
        <v>2</v>
      </c>
      <c r="DM140" s="58">
        <f t="array" ref="DM140">SUM(IF(DI140:DJ140&gt;=DJ140, 1))</f>
        <v>1</v>
      </c>
      <c r="DO140" s="109">
        <f t="shared" si="90"/>
        <v>-9292309.1455882918</v>
      </c>
      <c r="DP140" s="109">
        <f t="shared" si="91"/>
        <v>0</v>
      </c>
      <c r="DR140" s="58">
        <f t="array" ref="DR140">SUM(IF(DO140:DP140&gt;=DO140, 1))</f>
        <v>2</v>
      </c>
      <c r="DS140" s="58">
        <f t="array" ref="DS140">SUM(IF(DO140:DP140&gt;=DP140, 1))</f>
        <v>1</v>
      </c>
      <c r="DU140" s="109">
        <f t="shared" si="92"/>
        <v>-25909231.340047654</v>
      </c>
      <c r="DV140" s="109">
        <f t="shared" si="93"/>
        <v>0</v>
      </c>
      <c r="DX140" s="58">
        <f t="array" ref="DX140">SUM(IF(DU140:DV140&gt;=DU140, 1))</f>
        <v>2</v>
      </c>
      <c r="DY140" s="58">
        <f t="array" ref="DY140">SUM(IF(DU140:DV140&gt;=DV140, 1))</f>
        <v>1</v>
      </c>
      <c r="EA140" s="109">
        <f t="shared" si="94"/>
        <v>-93693814.272663787</v>
      </c>
      <c r="EB140" s="109">
        <f t="shared" si="95"/>
        <v>0</v>
      </c>
      <c r="ED140" s="58">
        <f t="array" ref="ED140">SUM(IF(EA140:EB140&gt;=EA140, 1))</f>
        <v>2</v>
      </c>
      <c r="EE140" s="58">
        <f t="array" ref="EE140">SUM(IF(EA140:EB140&gt;=EB140, 1))</f>
        <v>1</v>
      </c>
    </row>
    <row r="141" spans="4:135" ht="12" customHeight="1" x14ac:dyDescent="0.25">
      <c r="D141" s="11">
        <v>125</v>
      </c>
      <c r="E141" s="72">
        <v>251.48711939104328</v>
      </c>
      <c r="F141" s="72">
        <v>237.46478448737571</v>
      </c>
      <c r="G141" s="73"/>
      <c r="H141" s="74">
        <v>5.8694765598624787</v>
      </c>
      <c r="I141" s="74">
        <v>5.8926928980922426</v>
      </c>
      <c r="J141" s="73"/>
      <c r="K141" s="72">
        <v>270.51554935765375</v>
      </c>
      <c r="L141" s="72">
        <v>256.14181591691198</v>
      </c>
      <c r="M141" s="73"/>
      <c r="N141" s="74">
        <v>6.7386608916425041</v>
      </c>
      <c r="O141" s="74">
        <v>6.7599617578959279</v>
      </c>
      <c r="P141" s="73"/>
      <c r="Q141" s="72">
        <v>2187.5964397702655</v>
      </c>
      <c r="R141" s="72">
        <v>1375.5727304275351</v>
      </c>
      <c r="S141" s="73"/>
      <c r="T141" s="74">
        <v>4.7251608877110716</v>
      </c>
      <c r="U141" s="74">
        <v>4.8068593610911181</v>
      </c>
      <c r="V141" s="73"/>
      <c r="W141" s="72">
        <v>10965.908595920624</v>
      </c>
      <c r="X141" s="72">
        <v>10962.822599211764</v>
      </c>
      <c r="Y141" s="73"/>
      <c r="Z141" s="74">
        <v>3.002695491598335</v>
      </c>
      <c r="AA141" s="74">
        <v>3.053929666604831</v>
      </c>
      <c r="AB141" s="73"/>
      <c r="AC141" s="72">
        <v>49996.685031938563</v>
      </c>
      <c r="AD141" s="72">
        <v>49866.482312418011</v>
      </c>
      <c r="AE141" s="73"/>
      <c r="AF141" s="74">
        <v>4.4291786211083277</v>
      </c>
      <c r="AG141" s="74">
        <v>4.5767258962000135</v>
      </c>
      <c r="AH141" s="73"/>
      <c r="AI141" s="72">
        <v>1525508.0280689055</v>
      </c>
      <c r="AJ141" s="72">
        <v>0</v>
      </c>
      <c r="AK141" s="73"/>
      <c r="AL141" s="74">
        <v>-2525.7355921947437</v>
      </c>
      <c r="AM141" s="74">
        <v>0</v>
      </c>
      <c r="AN141" s="73"/>
      <c r="AO141" s="72">
        <v>99299.903723195079</v>
      </c>
      <c r="AP141" s="72">
        <v>0</v>
      </c>
      <c r="AQ141" s="73"/>
      <c r="AR141" s="74">
        <v>-147.15550256346467</v>
      </c>
      <c r="AS141" s="74">
        <v>0</v>
      </c>
      <c r="AT141" s="73"/>
      <c r="AU141" s="72">
        <v>18946374.232662391</v>
      </c>
      <c r="AV141" s="72">
        <v>0</v>
      </c>
      <c r="AW141" s="73"/>
      <c r="AX141" s="74">
        <v>-1906.2126303534458</v>
      </c>
      <c r="AY141" s="74">
        <v>0</v>
      </c>
      <c r="AZ141" s="73"/>
      <c r="BA141" s="72">
        <v>27173.011162396433</v>
      </c>
      <c r="BB141" s="72">
        <v>0</v>
      </c>
      <c r="BC141" s="73"/>
      <c r="BD141" s="74">
        <v>-451.13036101130228</v>
      </c>
      <c r="BE141" s="74">
        <v>0</v>
      </c>
      <c r="BF141" s="73"/>
      <c r="BG141" s="72">
        <v>2068823.6951141271</v>
      </c>
      <c r="BH141" s="72">
        <v>0</v>
      </c>
      <c r="BI141" s="73"/>
      <c r="BJ141" s="74">
        <v>-2344.4156925694606</v>
      </c>
      <c r="BK141" s="74">
        <v>0</v>
      </c>
      <c r="BL141" s="73"/>
      <c r="BM141" s="72">
        <v>22667178.870731015</v>
      </c>
      <c r="BN141" s="72">
        <v>0</v>
      </c>
      <c r="BO141" s="73"/>
      <c r="BP141" s="74">
        <v>-7374.6497786924174</v>
      </c>
      <c r="BQ141" s="74">
        <v>0</v>
      </c>
      <c r="BS141" s="109">
        <f t="shared" si="75"/>
        <v>117138.04407785853</v>
      </c>
      <c r="BT141" s="109">
        <f t="shared" si="76"/>
        <v>117616.39317735749</v>
      </c>
      <c r="BV141" s="58">
        <f t="array" ref="BV141">SUM(IF(BS141:BT141&gt;=BS141, 1))</f>
        <v>2</v>
      </c>
      <c r="BW141" s="58">
        <f t="array" ref="BW141">SUM(IF(BS141:BT141&gt;=BT141, 1))</f>
        <v>1</v>
      </c>
      <c r="BY141" s="109">
        <f t="shared" si="77"/>
        <v>134502.70228349243</v>
      </c>
      <c r="BZ141" s="109">
        <f t="shared" si="78"/>
        <v>134943.09334200164</v>
      </c>
      <c r="CB141" s="58">
        <f t="array" ref="CB141">SUM(IF(BY141:BZ141&gt;=BY141, 1))</f>
        <v>2</v>
      </c>
      <c r="CC141" s="58">
        <f t="array" ref="CC141">SUM(IF(BY141:BZ141&gt;=BZ141, 1))</f>
        <v>1</v>
      </c>
      <c r="CE141" s="109">
        <f t="shared" si="79"/>
        <v>92315.621314451171</v>
      </c>
      <c r="CF141" s="109">
        <f t="shared" si="80"/>
        <v>94761.614491394823</v>
      </c>
      <c r="CH141" s="58">
        <f t="array" ref="CH141">SUM(IF(CE141:CF141&gt;=CE141, 1))</f>
        <v>2</v>
      </c>
      <c r="CI141" s="58">
        <f t="array" ref="CI141">SUM(IF(CE141:CF141&gt;=CF141, 1))</f>
        <v>1</v>
      </c>
      <c r="CK141" s="109">
        <f t="shared" si="81"/>
        <v>49088.001236046082</v>
      </c>
      <c r="CL141" s="109">
        <f t="shared" si="82"/>
        <v>50115.770732884856</v>
      </c>
      <c r="CN141" s="58">
        <f t="array" ref="CN141">SUM(IF(CK141:CL141&gt;=CK141, 1))</f>
        <v>2</v>
      </c>
      <c r="CO141" s="58">
        <f t="array" ref="CO141">SUM(IF(CK141:CL141&gt;=CL141, 1))</f>
        <v>1</v>
      </c>
      <c r="CQ141" s="109" cm="1">
        <f t="array" ref="CQ141">AF141*WTP-AC141</f>
        <v>38586.887390227996</v>
      </c>
      <c r="CR141" s="109">
        <f t="shared" si="83"/>
        <v>41668.035611582265</v>
      </c>
      <c r="CT141" s="58">
        <f t="array" ref="CT141">SUM(IF(CQ141:CR141&gt;=CQ141, 1))</f>
        <v>2</v>
      </c>
      <c r="CU141" s="58">
        <f t="array" ref="CU141">SUM(IF(CQ141:CR141&gt;=CR141, 1))</f>
        <v>1</v>
      </c>
      <c r="CW141" s="109">
        <f t="shared" si="84"/>
        <v>-52040219.871963784</v>
      </c>
      <c r="CX141" s="109">
        <f t="shared" si="85"/>
        <v>0</v>
      </c>
      <c r="CZ141" s="58">
        <f t="array" ref="CZ141">SUM(IF(CW141:CX141&gt;=CW141, 1))</f>
        <v>2</v>
      </c>
      <c r="DA141" s="58">
        <f t="array" ref="DA141">SUM(IF(CW141:CX141&gt;=CX141, 1))</f>
        <v>1</v>
      </c>
      <c r="DC141" s="109">
        <f t="shared" si="86"/>
        <v>-3042409.9549924885</v>
      </c>
      <c r="DD141" s="109">
        <f t="shared" si="87"/>
        <v>0</v>
      </c>
      <c r="DF141" s="58">
        <f t="array" ref="DF141">SUM(IF(DC141:DD141&gt;=DC141, 1))</f>
        <v>2</v>
      </c>
      <c r="DG141" s="58">
        <f t="array" ref="DG141">SUM(IF(DC141:DD141&gt;=DD141, 1))</f>
        <v>1</v>
      </c>
      <c r="DI141" s="109">
        <f t="shared" si="88"/>
        <v>-57070626.839731306</v>
      </c>
      <c r="DJ141" s="109">
        <f t="shared" si="89"/>
        <v>0</v>
      </c>
      <c r="DL141" s="58">
        <f t="array" ref="DL141">SUM(IF(DI141:DJ141&gt;=DI141, 1))</f>
        <v>2</v>
      </c>
      <c r="DM141" s="58">
        <f t="array" ref="DM141">SUM(IF(DI141:DJ141&gt;=DJ141, 1))</f>
        <v>1</v>
      </c>
      <c r="DO141" s="109">
        <f t="shared" si="90"/>
        <v>-9049780.2313884422</v>
      </c>
      <c r="DP141" s="109">
        <f t="shared" si="91"/>
        <v>0</v>
      </c>
      <c r="DR141" s="58">
        <f t="array" ref="DR141">SUM(IF(DO141:DP141&gt;=DO141, 1))</f>
        <v>2</v>
      </c>
      <c r="DS141" s="58">
        <f t="array" ref="DS141">SUM(IF(DO141:DP141&gt;=DP141, 1))</f>
        <v>1</v>
      </c>
      <c r="DU141" s="109">
        <f t="shared" si="92"/>
        <v>-48957137.546503343</v>
      </c>
      <c r="DV141" s="109">
        <f t="shared" si="93"/>
        <v>0</v>
      </c>
      <c r="DX141" s="58">
        <f t="array" ref="DX141">SUM(IF(DU141:DV141&gt;=DU141, 1))</f>
        <v>2</v>
      </c>
      <c r="DY141" s="58">
        <f t="array" ref="DY141">SUM(IF(DU141:DV141&gt;=DV141, 1))</f>
        <v>1</v>
      </c>
      <c r="EA141" s="109">
        <f t="shared" si="94"/>
        <v>-170160174.44457936</v>
      </c>
      <c r="EB141" s="109">
        <f t="shared" si="95"/>
        <v>0</v>
      </c>
      <c r="ED141" s="58">
        <f t="array" ref="ED141">SUM(IF(EA141:EB141&gt;=EA141, 1))</f>
        <v>2</v>
      </c>
      <c r="EE141" s="58">
        <f t="array" ref="EE141">SUM(IF(EA141:EB141&gt;=EB141, 1))</f>
        <v>1</v>
      </c>
    </row>
    <row r="142" spans="4:135" ht="12" customHeight="1" x14ac:dyDescent="0.25">
      <c r="D142" s="11">
        <v>126</v>
      </c>
      <c r="E142" s="72">
        <v>218.28249769621283</v>
      </c>
      <c r="F142" s="72">
        <v>200.10035325581646</v>
      </c>
      <c r="G142" s="73"/>
      <c r="H142" s="74">
        <v>5.8727957343013832</v>
      </c>
      <c r="I142" s="74">
        <v>5.8895864590529978</v>
      </c>
      <c r="J142" s="73"/>
      <c r="K142" s="72">
        <v>234.37227785996996</v>
      </c>
      <c r="L142" s="72">
        <v>215.74969939806428</v>
      </c>
      <c r="M142" s="73"/>
      <c r="N142" s="74">
        <v>6.7027571231841474</v>
      </c>
      <c r="O142" s="74">
        <v>6.7171631870821225</v>
      </c>
      <c r="P142" s="73"/>
      <c r="Q142" s="72">
        <v>2627.3836984825034</v>
      </c>
      <c r="R142" s="72">
        <v>1397.8475332467083</v>
      </c>
      <c r="S142" s="73"/>
      <c r="T142" s="74">
        <v>4.845985525047162</v>
      </c>
      <c r="U142" s="74">
        <v>4.9553726380583329</v>
      </c>
      <c r="V142" s="73"/>
      <c r="W142" s="72">
        <v>8350.8507013239214</v>
      </c>
      <c r="X142" s="72">
        <v>8322.0219164660448</v>
      </c>
      <c r="Y142" s="73"/>
      <c r="Z142" s="74">
        <v>3.0423774425678434</v>
      </c>
      <c r="AA142" s="74">
        <v>3.079339307072416</v>
      </c>
      <c r="AB142" s="73"/>
      <c r="AC142" s="72">
        <v>50428.743706225265</v>
      </c>
      <c r="AD142" s="72">
        <v>50477.725590599548</v>
      </c>
      <c r="AE142" s="73"/>
      <c r="AF142" s="74">
        <v>4.7356144492793728</v>
      </c>
      <c r="AG142" s="74">
        <v>4.7804870752222213</v>
      </c>
      <c r="AH142" s="73"/>
      <c r="AI142" s="72">
        <v>1966669.0423919603</v>
      </c>
      <c r="AJ142" s="72">
        <v>0</v>
      </c>
      <c r="AK142" s="73"/>
      <c r="AL142" s="74">
        <v>-1816.1663315663859</v>
      </c>
      <c r="AM142" s="74">
        <v>0</v>
      </c>
      <c r="AN142" s="73"/>
      <c r="AO142" s="72">
        <v>132059.57155250313</v>
      </c>
      <c r="AP142" s="72">
        <v>0</v>
      </c>
      <c r="AQ142" s="73"/>
      <c r="AR142" s="74">
        <v>-102.15871180332174</v>
      </c>
      <c r="AS142" s="74">
        <v>0</v>
      </c>
      <c r="AT142" s="73"/>
      <c r="AU142" s="72">
        <v>29120820.940423027</v>
      </c>
      <c r="AV142" s="72">
        <v>0</v>
      </c>
      <c r="AW142" s="73"/>
      <c r="AX142" s="74">
        <v>-2590.7676579624949</v>
      </c>
      <c r="AY142" s="74">
        <v>0</v>
      </c>
      <c r="AZ142" s="73"/>
      <c r="BA142" s="72">
        <v>251663.70204637275</v>
      </c>
      <c r="BB142" s="72">
        <v>0</v>
      </c>
      <c r="BC142" s="73"/>
      <c r="BD142" s="74">
        <v>-322.66221769717373</v>
      </c>
      <c r="BE142" s="74">
        <v>0</v>
      </c>
      <c r="BF142" s="73"/>
      <c r="BG142" s="72">
        <v>-791642.53073751496</v>
      </c>
      <c r="BH142" s="72">
        <v>0</v>
      </c>
      <c r="BI142" s="73"/>
      <c r="BJ142" s="74">
        <v>-725.22892118223524</v>
      </c>
      <c r="BK142" s="74">
        <v>0</v>
      </c>
      <c r="BL142" s="73"/>
      <c r="BM142" s="72">
        <v>30679570.725676347</v>
      </c>
      <c r="BN142" s="72">
        <v>0</v>
      </c>
      <c r="BO142" s="73"/>
      <c r="BP142" s="74">
        <v>-5556.983840211612</v>
      </c>
      <c r="BQ142" s="74">
        <v>0</v>
      </c>
      <c r="BS142" s="109">
        <f t="shared" si="75"/>
        <v>117237.63218833145</v>
      </c>
      <c r="BT142" s="109">
        <f t="shared" si="76"/>
        <v>117591.62882780415</v>
      </c>
      <c r="BV142" s="58">
        <f t="array" ref="BV142">SUM(IF(BS142:BT142&gt;=BS142, 1))</f>
        <v>2</v>
      </c>
      <c r="BW142" s="58">
        <f t="array" ref="BW142">SUM(IF(BS142:BT142&gt;=BT142, 1))</f>
        <v>1</v>
      </c>
      <c r="BY142" s="109">
        <f t="shared" si="77"/>
        <v>133820.77018582297</v>
      </c>
      <c r="BZ142" s="109">
        <f t="shared" si="78"/>
        <v>134127.51404224438</v>
      </c>
      <c r="CB142" s="58">
        <f t="array" ref="CB142">SUM(IF(BY142:BZ142&gt;=BY142, 1))</f>
        <v>2</v>
      </c>
      <c r="CC142" s="58">
        <f t="array" ref="CC142">SUM(IF(BY142:BZ142&gt;=BZ142, 1))</f>
        <v>1</v>
      </c>
      <c r="CE142" s="109">
        <f t="shared" si="79"/>
        <v>94292.326802460739</v>
      </c>
      <c r="CF142" s="109">
        <f t="shared" si="80"/>
        <v>97709.60522791995</v>
      </c>
      <c r="CH142" s="58">
        <f t="array" ref="CH142">SUM(IF(CE142:CF142&gt;=CE142, 1))</f>
        <v>2</v>
      </c>
      <c r="CI142" s="58">
        <f t="array" ref="CI142">SUM(IF(CE142:CF142&gt;=CF142, 1))</f>
        <v>1</v>
      </c>
      <c r="CK142" s="109">
        <f t="shared" si="81"/>
        <v>52496.698150032949</v>
      </c>
      <c r="CL142" s="109">
        <f t="shared" si="82"/>
        <v>53264.764224982275</v>
      </c>
      <c r="CN142" s="58">
        <f t="array" ref="CN142">SUM(IF(CK142:CL142&gt;=CK142, 1))</f>
        <v>2</v>
      </c>
      <c r="CO142" s="58">
        <f t="array" ref="CO142">SUM(IF(CK142:CL142&gt;=CL142, 1))</f>
        <v>1</v>
      </c>
      <c r="CQ142" s="109" cm="1">
        <f t="array" ref="CQ142">AF142*WTP-AC142</f>
        <v>44283.545279362188</v>
      </c>
      <c r="CR142" s="109">
        <f t="shared" si="83"/>
        <v>45132.015913844873</v>
      </c>
      <c r="CT142" s="58">
        <f t="array" ref="CT142">SUM(IF(CQ142:CR142&gt;=CQ142, 1))</f>
        <v>2</v>
      </c>
      <c r="CU142" s="58">
        <f t="array" ref="CU142">SUM(IF(CQ142:CR142&gt;=CR142, 1))</f>
        <v>1</v>
      </c>
      <c r="CW142" s="109">
        <f t="shared" si="84"/>
        <v>-38289995.673719682</v>
      </c>
      <c r="CX142" s="109">
        <f t="shared" si="85"/>
        <v>0</v>
      </c>
      <c r="CZ142" s="58">
        <f t="array" ref="CZ142">SUM(IF(CW142:CX142&gt;=CW142, 1))</f>
        <v>2</v>
      </c>
      <c r="DA142" s="58">
        <f t="array" ref="DA142">SUM(IF(CW142:CX142&gt;=CX142, 1))</f>
        <v>1</v>
      </c>
      <c r="DC142" s="109">
        <f t="shared" si="86"/>
        <v>-2175233.8076189379</v>
      </c>
      <c r="DD142" s="109">
        <f t="shared" si="87"/>
        <v>0</v>
      </c>
      <c r="DF142" s="58">
        <f t="array" ref="DF142">SUM(IF(DC142:DD142&gt;=DC142, 1))</f>
        <v>2</v>
      </c>
      <c r="DG142" s="58">
        <f t="array" ref="DG142">SUM(IF(DC142:DD142&gt;=DD142, 1))</f>
        <v>1</v>
      </c>
      <c r="DI142" s="109">
        <f t="shared" si="88"/>
        <v>-80936174.099672928</v>
      </c>
      <c r="DJ142" s="109">
        <f t="shared" si="89"/>
        <v>0</v>
      </c>
      <c r="DL142" s="58">
        <f t="array" ref="DL142">SUM(IF(DI142:DJ142&gt;=DI142, 1))</f>
        <v>2</v>
      </c>
      <c r="DM142" s="58">
        <f t="array" ref="DM142">SUM(IF(DI142:DJ142&gt;=DJ142, 1))</f>
        <v>1</v>
      </c>
      <c r="DO142" s="109">
        <f t="shared" si="90"/>
        <v>-6704908.0559898475</v>
      </c>
      <c r="DP142" s="109">
        <f t="shared" si="91"/>
        <v>0</v>
      </c>
      <c r="DR142" s="58">
        <f t="array" ref="DR142">SUM(IF(DO142:DP142&gt;=DO142, 1))</f>
        <v>2</v>
      </c>
      <c r="DS142" s="58">
        <f t="array" ref="DS142">SUM(IF(DO142:DP142&gt;=DP142, 1))</f>
        <v>1</v>
      </c>
      <c r="DU142" s="109">
        <f t="shared" si="92"/>
        <v>-13712935.892907189</v>
      </c>
      <c r="DV142" s="109">
        <f t="shared" si="93"/>
        <v>0</v>
      </c>
      <c r="DX142" s="58">
        <f t="array" ref="DX142">SUM(IF(DU142:DV142&gt;=DU142, 1))</f>
        <v>2</v>
      </c>
      <c r="DY142" s="58">
        <f t="array" ref="DY142">SUM(IF(DU142:DV142&gt;=DV142, 1))</f>
        <v>1</v>
      </c>
      <c r="EA142" s="109">
        <f t="shared" si="94"/>
        <v>-141819247.5299086</v>
      </c>
      <c r="EB142" s="109">
        <f t="shared" si="95"/>
        <v>0</v>
      </c>
      <c r="ED142" s="58">
        <f t="array" ref="ED142">SUM(IF(EA142:EB142&gt;=EA142, 1))</f>
        <v>2</v>
      </c>
      <c r="EE142" s="58">
        <f t="array" ref="EE142">SUM(IF(EA142:EB142&gt;=EB142, 1))</f>
        <v>1</v>
      </c>
    </row>
    <row r="143" spans="4:135" ht="12" customHeight="1" x14ac:dyDescent="0.25">
      <c r="D143" s="11">
        <v>127</v>
      </c>
      <c r="E143" s="72">
        <v>218.72676082044194</v>
      </c>
      <c r="F143" s="72">
        <v>199.75038371766601</v>
      </c>
      <c r="G143" s="73"/>
      <c r="H143" s="74">
        <v>5.8704262724565108</v>
      </c>
      <c r="I143" s="74">
        <v>5.8905212496390691</v>
      </c>
      <c r="J143" s="73"/>
      <c r="K143" s="72">
        <v>234.87149695761832</v>
      </c>
      <c r="L143" s="72">
        <v>215.42875175168518</v>
      </c>
      <c r="M143" s="73"/>
      <c r="N143" s="74">
        <v>6.6842192199791786</v>
      </c>
      <c r="O143" s="74">
        <v>6.7022097485089596</v>
      </c>
      <c r="P143" s="73"/>
      <c r="Q143" s="72">
        <v>4168.883655381911</v>
      </c>
      <c r="R143" s="72">
        <v>2001.7940704465041</v>
      </c>
      <c r="S143" s="73"/>
      <c r="T143" s="74">
        <v>4.9543205295743613</v>
      </c>
      <c r="U143" s="74">
        <v>5.0904392663753981</v>
      </c>
      <c r="V143" s="73"/>
      <c r="W143" s="72">
        <v>15521.785077416162</v>
      </c>
      <c r="X143" s="72">
        <v>15480.847639226469</v>
      </c>
      <c r="Y143" s="73"/>
      <c r="Z143" s="74">
        <v>3.0544791977820838</v>
      </c>
      <c r="AA143" s="74">
        <v>3.0844482809184877</v>
      </c>
      <c r="AB143" s="73"/>
      <c r="AC143" s="72">
        <v>52040.170047095999</v>
      </c>
      <c r="AD143" s="72">
        <v>51974.0083727866</v>
      </c>
      <c r="AE143" s="73"/>
      <c r="AF143" s="74">
        <v>4.6525754266960604</v>
      </c>
      <c r="AG143" s="74">
        <v>4.7173286241148213</v>
      </c>
      <c r="AH143" s="73"/>
      <c r="AI143" s="72">
        <v>2036603.9177947715</v>
      </c>
      <c r="AJ143" s="72">
        <v>0</v>
      </c>
      <c r="AK143" s="73"/>
      <c r="AL143" s="74">
        <v>-2156.6555637223278</v>
      </c>
      <c r="AM143" s="74">
        <v>0</v>
      </c>
      <c r="AN143" s="73"/>
      <c r="AO143" s="72">
        <v>130221.21570252824</v>
      </c>
      <c r="AP143" s="72">
        <v>0</v>
      </c>
      <c r="AQ143" s="73"/>
      <c r="AR143" s="74">
        <v>-120.49473834405795</v>
      </c>
      <c r="AS143" s="74">
        <v>0</v>
      </c>
      <c r="AT143" s="73"/>
      <c r="AU143" s="72">
        <v>50324532.17706088</v>
      </c>
      <c r="AV143" s="72">
        <v>0</v>
      </c>
      <c r="AW143" s="73"/>
      <c r="AX143" s="74">
        <v>-3160.9730385229254</v>
      </c>
      <c r="AY143" s="74">
        <v>0</v>
      </c>
      <c r="AZ143" s="73"/>
      <c r="BA143" s="72">
        <v>368119.85131806519</v>
      </c>
      <c r="BB143" s="72">
        <v>0</v>
      </c>
      <c r="BC143" s="73"/>
      <c r="BD143" s="74">
        <v>-269.48961430345554</v>
      </c>
      <c r="BE143" s="74">
        <v>0</v>
      </c>
      <c r="BF143" s="73"/>
      <c r="BG143" s="72">
        <v>1041201.5196850525</v>
      </c>
      <c r="BH143" s="72">
        <v>0</v>
      </c>
      <c r="BI143" s="73"/>
      <c r="BJ143" s="74">
        <v>-1019.0359941858817</v>
      </c>
      <c r="BK143" s="74">
        <v>0</v>
      </c>
      <c r="BL143" s="73"/>
      <c r="BM143" s="72">
        <v>53900678.681561299</v>
      </c>
      <c r="BN143" s="72">
        <v>0</v>
      </c>
      <c r="BO143" s="73"/>
      <c r="BP143" s="74">
        <v>-6726.648949078648</v>
      </c>
      <c r="BQ143" s="74">
        <v>0</v>
      </c>
      <c r="BS143" s="109">
        <f t="shared" si="75"/>
        <v>117189.79868830978</v>
      </c>
      <c r="BT143" s="109">
        <f t="shared" si="76"/>
        <v>117610.67460906372</v>
      </c>
      <c r="BV143" s="58">
        <f t="array" ref="BV143">SUM(IF(BS143:BT143&gt;=BS143, 1))</f>
        <v>2</v>
      </c>
      <c r="BW143" s="58">
        <f t="array" ref="BW143">SUM(IF(BS143:BT143&gt;=BT143, 1))</f>
        <v>1</v>
      </c>
      <c r="BY143" s="109">
        <f t="shared" si="77"/>
        <v>133449.51290262595</v>
      </c>
      <c r="BZ143" s="109">
        <f t="shared" si="78"/>
        <v>133828.76621842751</v>
      </c>
      <c r="CB143" s="58">
        <f t="array" ref="CB143">SUM(IF(BY143:BZ143&gt;=BY143, 1))</f>
        <v>2</v>
      </c>
      <c r="CC143" s="58">
        <f t="array" ref="CC143">SUM(IF(BY143:BZ143&gt;=BZ143, 1))</f>
        <v>1</v>
      </c>
      <c r="CE143" s="109">
        <f t="shared" si="79"/>
        <v>94917.526936105307</v>
      </c>
      <c r="CF143" s="109">
        <f t="shared" si="80"/>
        <v>99806.991257061469</v>
      </c>
      <c r="CH143" s="58">
        <f t="array" ref="CH143">SUM(IF(CE143:CF143&gt;=CE143, 1))</f>
        <v>2</v>
      </c>
      <c r="CI143" s="58">
        <f t="array" ref="CI143">SUM(IF(CE143:CF143&gt;=CF143, 1))</f>
        <v>1</v>
      </c>
      <c r="CK143" s="109">
        <f t="shared" si="81"/>
        <v>45567.798878225512</v>
      </c>
      <c r="CL143" s="109">
        <f t="shared" si="82"/>
        <v>46208.117979143281</v>
      </c>
      <c r="CN143" s="58">
        <f t="array" ref="CN143">SUM(IF(CK143:CL143&gt;=CK143, 1))</f>
        <v>2</v>
      </c>
      <c r="CO143" s="58">
        <f t="array" ref="CO143">SUM(IF(CK143:CL143&gt;=CL143, 1))</f>
        <v>1</v>
      </c>
      <c r="CQ143" s="109" cm="1">
        <f t="array" ref="CQ143">AF143*WTP-AC143</f>
        <v>41011.338486825211</v>
      </c>
      <c r="CR143" s="109">
        <f t="shared" si="83"/>
        <v>42372.564109509825</v>
      </c>
      <c r="CT143" s="58">
        <f t="array" ref="CT143">SUM(IF(CQ143:CR143&gt;=CQ143, 1))</f>
        <v>2</v>
      </c>
      <c r="CU143" s="58">
        <f t="array" ref="CU143">SUM(IF(CQ143:CR143&gt;=CR143, 1))</f>
        <v>1</v>
      </c>
      <c r="CW143" s="109">
        <f t="shared" si="84"/>
        <v>-45169715.192241326</v>
      </c>
      <c r="CX143" s="109">
        <f t="shared" si="85"/>
        <v>0</v>
      </c>
      <c r="CZ143" s="58">
        <f t="array" ref="CZ143">SUM(IF(CW143:CX143&gt;=CW143, 1))</f>
        <v>2</v>
      </c>
      <c r="DA143" s="58">
        <f t="array" ref="DA143">SUM(IF(CW143:CX143&gt;=CX143, 1))</f>
        <v>1</v>
      </c>
      <c r="DC143" s="109">
        <f t="shared" si="86"/>
        <v>-2540115.9825836872</v>
      </c>
      <c r="DD143" s="109">
        <f t="shared" si="87"/>
        <v>0</v>
      </c>
      <c r="DF143" s="58">
        <f t="array" ref="DF143">SUM(IF(DC143:DD143&gt;=DC143, 1))</f>
        <v>2</v>
      </c>
      <c r="DG143" s="58">
        <f t="array" ref="DG143">SUM(IF(DC143:DD143&gt;=DD143, 1))</f>
        <v>1</v>
      </c>
      <c r="DI143" s="109">
        <f t="shared" si="88"/>
        <v>-113543992.94751939</v>
      </c>
      <c r="DJ143" s="109">
        <f t="shared" si="89"/>
        <v>0</v>
      </c>
      <c r="DL143" s="58">
        <f t="array" ref="DL143">SUM(IF(DI143:DJ143&gt;=DI143, 1))</f>
        <v>2</v>
      </c>
      <c r="DM143" s="58">
        <f t="array" ref="DM143">SUM(IF(DI143:DJ143&gt;=DJ143, 1))</f>
        <v>1</v>
      </c>
      <c r="DO143" s="109">
        <f t="shared" si="90"/>
        <v>-5757912.137387176</v>
      </c>
      <c r="DP143" s="109">
        <f t="shared" si="91"/>
        <v>0</v>
      </c>
      <c r="DR143" s="58">
        <f t="array" ref="DR143">SUM(IF(DO143:DP143&gt;=DO143, 1))</f>
        <v>2</v>
      </c>
      <c r="DS143" s="58">
        <f t="array" ref="DS143">SUM(IF(DO143:DP143&gt;=DP143, 1))</f>
        <v>1</v>
      </c>
      <c r="DU143" s="109">
        <f t="shared" si="92"/>
        <v>-21421921.403402686</v>
      </c>
      <c r="DV143" s="109">
        <f t="shared" si="93"/>
        <v>0</v>
      </c>
      <c r="DX143" s="58">
        <f t="array" ref="DX143">SUM(IF(DU143:DV143&gt;=DU143, 1))</f>
        <v>2</v>
      </c>
      <c r="DY143" s="58">
        <f t="array" ref="DY143">SUM(IF(DU143:DV143&gt;=DV143, 1))</f>
        <v>1</v>
      </c>
      <c r="EA143" s="109">
        <f t="shared" si="94"/>
        <v>-188433657.66313425</v>
      </c>
      <c r="EB143" s="109">
        <f t="shared" si="95"/>
        <v>0</v>
      </c>
      <c r="ED143" s="58">
        <f t="array" ref="ED143">SUM(IF(EA143:EB143&gt;=EA143, 1))</f>
        <v>2</v>
      </c>
      <c r="EE143" s="58">
        <f t="array" ref="EE143">SUM(IF(EA143:EB143&gt;=EB143, 1))</f>
        <v>1</v>
      </c>
    </row>
    <row r="144" spans="4:135" ht="12" customHeight="1" x14ac:dyDescent="0.25">
      <c r="D144" s="11">
        <v>128</v>
      </c>
      <c r="E144" s="72">
        <v>270.71770914092968</v>
      </c>
      <c r="F144" s="72">
        <v>249.00652465997868</v>
      </c>
      <c r="G144" s="73"/>
      <c r="H144" s="74">
        <v>5.8137064307803161</v>
      </c>
      <c r="I144" s="74">
        <v>5.8284108017071947</v>
      </c>
      <c r="J144" s="73"/>
      <c r="K144" s="72">
        <v>290.76331906713671</v>
      </c>
      <c r="L144" s="72">
        <v>268.54634748316062</v>
      </c>
      <c r="M144" s="73"/>
      <c r="N144" s="74">
        <v>6.690915191015959</v>
      </c>
      <c r="O144" s="74">
        <v>6.703958239564189</v>
      </c>
      <c r="P144" s="73"/>
      <c r="Q144" s="72">
        <v>2815.6654446371317</v>
      </c>
      <c r="R144" s="72">
        <v>1699.0197597412912</v>
      </c>
      <c r="S144" s="73"/>
      <c r="T144" s="74">
        <v>4.8625987489039995</v>
      </c>
      <c r="U144" s="74">
        <v>4.9541833400220918</v>
      </c>
      <c r="V144" s="73"/>
      <c r="W144" s="72">
        <v>12999.938449587184</v>
      </c>
      <c r="X144" s="72">
        <v>12979.272593440757</v>
      </c>
      <c r="Y144" s="73"/>
      <c r="Z144" s="74">
        <v>2.9738427674756331</v>
      </c>
      <c r="AA144" s="74">
        <v>3.0050867025589341</v>
      </c>
      <c r="AB144" s="73"/>
      <c r="AC144" s="72">
        <v>50402.425063619135</v>
      </c>
      <c r="AD144" s="72">
        <v>50254.793410029684</v>
      </c>
      <c r="AE144" s="73"/>
      <c r="AF144" s="74">
        <v>4.4750773650809323</v>
      </c>
      <c r="AG144" s="74">
        <v>4.5632210529103165</v>
      </c>
      <c r="AH144" s="73"/>
      <c r="AI144" s="72">
        <v>2325265.7519458798</v>
      </c>
      <c r="AJ144" s="72">
        <v>0</v>
      </c>
      <c r="AK144" s="73"/>
      <c r="AL144" s="74">
        <v>-1574.8366999588875</v>
      </c>
      <c r="AM144" s="74">
        <v>0</v>
      </c>
      <c r="AN144" s="73"/>
      <c r="AO144" s="72">
        <v>151607.8386700947</v>
      </c>
      <c r="AP144" s="72">
        <v>0</v>
      </c>
      <c r="AQ144" s="73"/>
      <c r="AR144" s="74">
        <v>-89.005308063340294</v>
      </c>
      <c r="AS144" s="74">
        <v>0</v>
      </c>
      <c r="AT144" s="73"/>
      <c r="AU144" s="72">
        <v>26571829.682440218</v>
      </c>
      <c r="AV144" s="72">
        <v>0</v>
      </c>
      <c r="AW144" s="73"/>
      <c r="AX144" s="74">
        <v>-2179.3575076170005</v>
      </c>
      <c r="AY144" s="74">
        <v>0</v>
      </c>
      <c r="AZ144" s="73"/>
      <c r="BA144" s="72">
        <v>178499.064033754</v>
      </c>
      <c r="BB144" s="72">
        <v>0</v>
      </c>
      <c r="BC144" s="73"/>
      <c r="BD144" s="74">
        <v>-269.86605972600677</v>
      </c>
      <c r="BE144" s="74">
        <v>0</v>
      </c>
      <c r="BF144" s="73"/>
      <c r="BG144" s="72">
        <v>2288942.1700093355</v>
      </c>
      <c r="BH144" s="72">
        <v>0</v>
      </c>
      <c r="BI144" s="73"/>
      <c r="BJ144" s="74">
        <v>-1366.6161638606229</v>
      </c>
      <c r="BK144" s="74">
        <v>0</v>
      </c>
      <c r="BL144" s="73"/>
      <c r="BM144" s="72">
        <v>31516144.507099278</v>
      </c>
      <c r="BN144" s="72">
        <v>0</v>
      </c>
      <c r="BO144" s="73"/>
      <c r="BP144" s="74">
        <v>-5479.6817392258572</v>
      </c>
      <c r="BQ144" s="74">
        <v>0</v>
      </c>
      <c r="BS144" s="109">
        <f t="shared" si="75"/>
        <v>116003.4109064654</v>
      </c>
      <c r="BT144" s="109">
        <f t="shared" si="76"/>
        <v>116319.20950948392</v>
      </c>
      <c r="BV144" s="58">
        <f t="array" ref="BV144">SUM(IF(BS144:BT144&gt;=BS144, 1))</f>
        <v>2</v>
      </c>
      <c r="BW144" s="58">
        <f t="array" ref="BW144">SUM(IF(BS144:BT144&gt;=BT144, 1))</f>
        <v>1</v>
      </c>
      <c r="BY144" s="109">
        <f t="shared" si="77"/>
        <v>133527.54050125205</v>
      </c>
      <c r="BZ144" s="109">
        <f t="shared" si="78"/>
        <v>133810.61844380063</v>
      </c>
      <c r="CB144" s="58">
        <f t="array" ref="CB144">SUM(IF(BY144:BZ144&gt;=BY144, 1))</f>
        <v>2</v>
      </c>
      <c r="CC144" s="58">
        <f t="array" ref="CC144">SUM(IF(BY144:BZ144&gt;=BZ144, 1))</f>
        <v>1</v>
      </c>
      <c r="CE144" s="109">
        <f t="shared" si="79"/>
        <v>94436.309533442865</v>
      </c>
      <c r="CF144" s="109">
        <f t="shared" si="80"/>
        <v>97384.64704070054</v>
      </c>
      <c r="CH144" s="58">
        <f t="array" ref="CH144">SUM(IF(CE144:CF144&gt;=CE144, 1))</f>
        <v>2</v>
      </c>
      <c r="CI144" s="58">
        <f t="array" ref="CI144">SUM(IF(CE144:CF144&gt;=CF144, 1))</f>
        <v>1</v>
      </c>
      <c r="CK144" s="109">
        <f t="shared" si="81"/>
        <v>46476.916899925476</v>
      </c>
      <c r="CL144" s="109">
        <f t="shared" si="82"/>
        <v>47122.461457737925</v>
      </c>
      <c r="CN144" s="58">
        <f t="array" ref="CN144">SUM(IF(CK144:CL144&gt;=CK144, 1))</f>
        <v>2</v>
      </c>
      <c r="CO144" s="58">
        <f t="array" ref="CO144">SUM(IF(CK144:CL144&gt;=CL144, 1))</f>
        <v>1</v>
      </c>
      <c r="CQ144" s="109" cm="1">
        <f t="array" ref="CQ144">AF144*WTP-AC144</f>
        <v>39099.122237999509</v>
      </c>
      <c r="CR144" s="109">
        <f t="shared" si="83"/>
        <v>41009.62764817664</v>
      </c>
      <c r="CT144" s="58">
        <f t="array" ref="CT144">SUM(IF(CQ144:CR144&gt;=CQ144, 1))</f>
        <v>2</v>
      </c>
      <c r="CU144" s="58">
        <f t="array" ref="CU144">SUM(IF(CQ144:CR144&gt;=CR144, 1))</f>
        <v>1</v>
      </c>
      <c r="CW144" s="109">
        <f t="shared" si="84"/>
        <v>-33821999.75112363</v>
      </c>
      <c r="CX144" s="109">
        <f t="shared" si="85"/>
        <v>0</v>
      </c>
      <c r="CZ144" s="58">
        <f t="array" ref="CZ144">SUM(IF(CW144:CX144&gt;=CW144, 1))</f>
        <v>2</v>
      </c>
      <c r="DA144" s="58">
        <f t="array" ref="DA144">SUM(IF(CW144:CX144&gt;=CX144, 1))</f>
        <v>1</v>
      </c>
      <c r="DC144" s="109">
        <f t="shared" si="86"/>
        <v>-1931713.9999369006</v>
      </c>
      <c r="DD144" s="109">
        <f t="shared" si="87"/>
        <v>0</v>
      </c>
      <c r="DF144" s="58">
        <f t="array" ref="DF144">SUM(IF(DC144:DD144&gt;=DC144, 1))</f>
        <v>2</v>
      </c>
      <c r="DG144" s="58">
        <f t="array" ref="DG144">SUM(IF(DC144:DD144&gt;=DD144, 1))</f>
        <v>1</v>
      </c>
      <c r="DI144" s="109">
        <f t="shared" si="88"/>
        <v>-70158979.834780231</v>
      </c>
      <c r="DJ144" s="109">
        <f t="shared" si="89"/>
        <v>0</v>
      </c>
      <c r="DL144" s="58">
        <f t="array" ref="DL144">SUM(IF(DI144:DJ144&gt;=DI144, 1))</f>
        <v>2</v>
      </c>
      <c r="DM144" s="58">
        <f t="array" ref="DM144">SUM(IF(DI144:DJ144&gt;=DJ144, 1))</f>
        <v>1</v>
      </c>
      <c r="DO144" s="109">
        <f t="shared" si="90"/>
        <v>-5575820.2585538896</v>
      </c>
      <c r="DP144" s="109">
        <f t="shared" si="91"/>
        <v>0</v>
      </c>
      <c r="DR144" s="58">
        <f t="array" ref="DR144">SUM(IF(DO144:DP144&gt;=DO144, 1))</f>
        <v>2</v>
      </c>
      <c r="DS144" s="58">
        <f t="array" ref="DS144">SUM(IF(DO144:DP144&gt;=DP144, 1))</f>
        <v>1</v>
      </c>
      <c r="DU144" s="109">
        <f t="shared" si="92"/>
        <v>-29621265.447221793</v>
      </c>
      <c r="DV144" s="109">
        <f t="shared" si="93"/>
        <v>0</v>
      </c>
      <c r="DX144" s="58">
        <f t="array" ref="DX144">SUM(IF(DU144:DV144&gt;=DU144, 1))</f>
        <v>2</v>
      </c>
      <c r="DY144" s="58">
        <f t="array" ref="DY144">SUM(IF(DU144:DV144&gt;=DV144, 1))</f>
        <v>1</v>
      </c>
      <c r="EA144" s="109">
        <f t="shared" si="94"/>
        <v>-141109779.29161641</v>
      </c>
      <c r="EB144" s="109">
        <f t="shared" si="95"/>
        <v>0</v>
      </c>
      <c r="ED144" s="58">
        <f t="array" ref="ED144">SUM(IF(EA144:EB144&gt;=EA144, 1))</f>
        <v>2</v>
      </c>
      <c r="EE144" s="58">
        <f t="array" ref="EE144">SUM(IF(EA144:EB144&gt;=EB144, 1))</f>
        <v>1</v>
      </c>
    </row>
    <row r="145" spans="4:135" ht="12" customHeight="1" x14ac:dyDescent="0.25">
      <c r="D145" s="11">
        <v>129</v>
      </c>
      <c r="E145" s="72">
        <v>246.9304682429842</v>
      </c>
      <c r="F145" s="72">
        <v>222.90175841358086</v>
      </c>
      <c r="G145" s="73"/>
      <c r="H145" s="74">
        <v>5.8438084558865935</v>
      </c>
      <c r="I145" s="74">
        <v>5.8625639954889825</v>
      </c>
      <c r="J145" s="73"/>
      <c r="K145" s="72">
        <v>265.02306708088372</v>
      </c>
      <c r="L145" s="72">
        <v>240.38508071738988</v>
      </c>
      <c r="M145" s="73"/>
      <c r="N145" s="74">
        <v>6.7382533732640146</v>
      </c>
      <c r="O145" s="74">
        <v>6.7546793786208497</v>
      </c>
      <c r="P145" s="73"/>
      <c r="Q145" s="72">
        <v>2124.069123331808</v>
      </c>
      <c r="R145" s="72">
        <v>1378.4689883102008</v>
      </c>
      <c r="S145" s="73"/>
      <c r="T145" s="74">
        <v>4.8123065740864259</v>
      </c>
      <c r="U145" s="74">
        <v>4.940421265838526</v>
      </c>
      <c r="V145" s="73"/>
      <c r="W145" s="72">
        <v>11488.035601904267</v>
      </c>
      <c r="X145" s="72">
        <v>11448.169756051071</v>
      </c>
      <c r="Y145" s="73"/>
      <c r="Z145" s="74">
        <v>3.0609495165727223</v>
      </c>
      <c r="AA145" s="74">
        <v>3.1047726035585037</v>
      </c>
      <c r="AB145" s="73"/>
      <c r="AC145" s="72">
        <v>50541.471544523323</v>
      </c>
      <c r="AD145" s="72">
        <v>50691.728930133075</v>
      </c>
      <c r="AE145" s="73"/>
      <c r="AF145" s="74">
        <v>4.2503462800824252</v>
      </c>
      <c r="AG145" s="74">
        <v>4.3137766782557243</v>
      </c>
      <c r="AH145" s="73"/>
      <c r="AI145" s="72">
        <v>2555669.2080782573</v>
      </c>
      <c r="AJ145" s="72">
        <v>0</v>
      </c>
      <c r="AK145" s="73"/>
      <c r="AL145" s="74">
        <v>-1994.8201706636657</v>
      </c>
      <c r="AM145" s="74">
        <v>0</v>
      </c>
      <c r="AN145" s="73"/>
      <c r="AO145" s="72">
        <v>163001.48898503158</v>
      </c>
      <c r="AP145" s="72">
        <v>0</v>
      </c>
      <c r="AQ145" s="73"/>
      <c r="AR145" s="74">
        <v>-108.67216548213607</v>
      </c>
      <c r="AS145" s="74">
        <v>0</v>
      </c>
      <c r="AT145" s="73"/>
      <c r="AU145" s="72">
        <v>16716952.247963352</v>
      </c>
      <c r="AV145" s="72">
        <v>0</v>
      </c>
      <c r="AW145" s="73"/>
      <c r="AX145" s="74">
        <v>-2872.4340081031992</v>
      </c>
      <c r="AY145" s="74">
        <v>0</v>
      </c>
      <c r="AZ145" s="73"/>
      <c r="BA145" s="72">
        <v>356764.5412940614</v>
      </c>
      <c r="BB145" s="72">
        <v>0</v>
      </c>
      <c r="BC145" s="73"/>
      <c r="BD145" s="74">
        <v>-392.17839712082468</v>
      </c>
      <c r="BE145" s="74">
        <v>0</v>
      </c>
      <c r="BF145" s="73"/>
      <c r="BG145" s="72">
        <v>-2367102.4447340746</v>
      </c>
      <c r="BH145" s="72">
        <v>0</v>
      </c>
      <c r="BI145" s="73"/>
      <c r="BJ145" s="74">
        <v>-999.26036898067639</v>
      </c>
      <c r="BK145" s="74">
        <v>0</v>
      </c>
      <c r="BL145" s="73"/>
      <c r="BM145" s="72">
        <v>17425285.041586626</v>
      </c>
      <c r="BN145" s="72">
        <v>0</v>
      </c>
      <c r="BO145" s="73"/>
      <c r="BP145" s="74">
        <v>-6367.3651103505017</v>
      </c>
      <c r="BQ145" s="74">
        <v>0</v>
      </c>
      <c r="BS145" s="109">
        <f t="shared" si="75"/>
        <v>116629.23864948889</v>
      </c>
      <c r="BT145" s="109">
        <f t="shared" si="76"/>
        <v>117028.37815136607</v>
      </c>
      <c r="BV145" s="58">
        <f t="array" ref="BV145">SUM(IF(BS145:BT145&gt;=BS145, 1))</f>
        <v>2</v>
      </c>
      <c r="BW145" s="58">
        <f t="array" ref="BW145">SUM(IF(BS145:BT145&gt;=BT145, 1))</f>
        <v>1</v>
      </c>
      <c r="BY145" s="109">
        <f t="shared" si="77"/>
        <v>134500.04439819942</v>
      </c>
      <c r="BZ145" s="109">
        <f t="shared" si="78"/>
        <v>134853.2024916996</v>
      </c>
      <c r="CB145" s="58">
        <f t="array" ref="CB145">SUM(IF(BY145:BZ145&gt;=BY145, 1))</f>
        <v>2</v>
      </c>
      <c r="CC145" s="58">
        <f t="array" ref="CC145">SUM(IF(BY145:BZ145&gt;=BZ145, 1))</f>
        <v>1</v>
      </c>
      <c r="CE145" s="109">
        <f t="shared" si="79"/>
        <v>94122.06235839671</v>
      </c>
      <c r="CF145" s="109">
        <f t="shared" si="80"/>
        <v>97429.956328460321</v>
      </c>
      <c r="CH145" s="58">
        <f t="array" ref="CH145">SUM(IF(CE145:CF145&gt;=CE145, 1))</f>
        <v>2</v>
      </c>
      <c r="CI145" s="58">
        <f t="array" ref="CI145">SUM(IF(CE145:CF145&gt;=CF145, 1))</f>
        <v>1</v>
      </c>
      <c r="CK145" s="109">
        <f t="shared" si="81"/>
        <v>49730.954729550176</v>
      </c>
      <c r="CL145" s="109">
        <f t="shared" si="82"/>
        <v>50647.282315119002</v>
      </c>
      <c r="CN145" s="58">
        <f t="array" ref="CN145">SUM(IF(CK145:CL145&gt;=CK145, 1))</f>
        <v>2</v>
      </c>
      <c r="CO145" s="58">
        <f t="array" ref="CO145">SUM(IF(CK145:CL145&gt;=CL145, 1))</f>
        <v>1</v>
      </c>
      <c r="CQ145" s="109" cm="1">
        <f t="array" ref="CQ145">AF145*WTP-AC145</f>
        <v>34465.454057125178</v>
      </c>
      <c r="CR145" s="109">
        <f t="shared" si="83"/>
        <v>35583.80463498141</v>
      </c>
      <c r="CT145" s="58">
        <f t="array" ref="CT145">SUM(IF(CQ145:CR145&gt;=CQ145, 1))</f>
        <v>2</v>
      </c>
      <c r="CU145" s="58">
        <f t="array" ref="CU145">SUM(IF(CQ145:CR145&gt;=CR145, 1))</f>
        <v>1</v>
      </c>
      <c r="CW145" s="109">
        <f t="shared" si="84"/>
        <v>-42452072.62135157</v>
      </c>
      <c r="CX145" s="109">
        <f t="shared" si="85"/>
        <v>0</v>
      </c>
      <c r="CZ145" s="58">
        <f t="array" ref="CZ145">SUM(IF(CW145:CX145&gt;=CW145, 1))</f>
        <v>2</v>
      </c>
      <c r="DA145" s="58">
        <f t="array" ref="DA145">SUM(IF(CW145:CX145&gt;=CX145, 1))</f>
        <v>1</v>
      </c>
      <c r="DC145" s="109">
        <f t="shared" si="86"/>
        <v>-2336444.7986277528</v>
      </c>
      <c r="DD145" s="109">
        <f t="shared" si="87"/>
        <v>0</v>
      </c>
      <c r="DF145" s="58">
        <f t="array" ref="DF145">SUM(IF(DC145:DD145&gt;=DC145, 1))</f>
        <v>2</v>
      </c>
      <c r="DG145" s="58">
        <f t="array" ref="DG145">SUM(IF(DC145:DD145&gt;=DD145, 1))</f>
        <v>1</v>
      </c>
      <c r="DI145" s="109">
        <f t="shared" si="88"/>
        <v>-74165632.41002734</v>
      </c>
      <c r="DJ145" s="109">
        <f t="shared" si="89"/>
        <v>0</v>
      </c>
      <c r="DL145" s="58">
        <f t="array" ref="DL145">SUM(IF(DI145:DJ145&gt;=DI145, 1))</f>
        <v>2</v>
      </c>
      <c r="DM145" s="58">
        <f t="array" ref="DM145">SUM(IF(DI145:DJ145&gt;=DJ145, 1))</f>
        <v>1</v>
      </c>
      <c r="DO145" s="109">
        <f t="shared" si="90"/>
        <v>-8200332.4837105554</v>
      </c>
      <c r="DP145" s="109">
        <f t="shared" si="91"/>
        <v>0</v>
      </c>
      <c r="DR145" s="58">
        <f t="array" ref="DR145">SUM(IF(DO145:DP145&gt;=DO145, 1))</f>
        <v>2</v>
      </c>
      <c r="DS145" s="58">
        <f t="array" ref="DS145">SUM(IF(DO145:DP145&gt;=DP145, 1))</f>
        <v>1</v>
      </c>
      <c r="DU145" s="109">
        <f t="shared" si="92"/>
        <v>-17618104.934879452</v>
      </c>
      <c r="DV145" s="109">
        <f t="shared" si="93"/>
        <v>0</v>
      </c>
      <c r="DX145" s="58">
        <f t="array" ref="DX145">SUM(IF(DU145:DV145&gt;=DU145, 1))</f>
        <v>2</v>
      </c>
      <c r="DY145" s="58">
        <f t="array" ref="DY145">SUM(IF(DU145:DV145&gt;=DV145, 1))</f>
        <v>1</v>
      </c>
      <c r="EA145" s="109">
        <f t="shared" si="94"/>
        <v>-144772587.24859667</v>
      </c>
      <c r="EB145" s="109">
        <f t="shared" si="95"/>
        <v>0</v>
      </c>
      <c r="ED145" s="58">
        <f t="array" ref="ED145">SUM(IF(EA145:EB145&gt;=EA145, 1))</f>
        <v>2</v>
      </c>
      <c r="EE145" s="58">
        <f t="array" ref="EE145">SUM(IF(EA145:EB145&gt;=EB145, 1))</f>
        <v>1</v>
      </c>
    </row>
    <row r="146" spans="4:135" ht="12" customHeight="1" x14ac:dyDescent="0.25">
      <c r="D146" s="11">
        <v>130</v>
      </c>
      <c r="E146" s="72">
        <v>268.70334513668013</v>
      </c>
      <c r="F146" s="72">
        <v>241.4836868836656</v>
      </c>
      <c r="G146" s="73"/>
      <c r="H146" s="74">
        <v>5.825012609494876</v>
      </c>
      <c r="I146" s="74">
        <v>5.8426944367431322</v>
      </c>
      <c r="J146" s="73"/>
      <c r="K146" s="72">
        <v>288.27643925093565</v>
      </c>
      <c r="L146" s="72">
        <v>260.41795578146014</v>
      </c>
      <c r="M146" s="73"/>
      <c r="N146" s="74">
        <v>6.6936370014488427</v>
      </c>
      <c r="O146" s="74">
        <v>6.7091103245046249</v>
      </c>
      <c r="P146" s="73"/>
      <c r="Q146" s="72">
        <v>3296.3564255410556</v>
      </c>
      <c r="R146" s="72">
        <v>1721.8228703777693</v>
      </c>
      <c r="S146" s="73"/>
      <c r="T146" s="74">
        <v>4.7530031043551757</v>
      </c>
      <c r="U146" s="74">
        <v>4.839731653419542</v>
      </c>
      <c r="V146" s="73"/>
      <c r="W146" s="72">
        <v>8611.5347297021071</v>
      </c>
      <c r="X146" s="72">
        <v>8607.5772648343336</v>
      </c>
      <c r="Y146" s="73"/>
      <c r="Z146" s="74">
        <v>3.0454660399898095</v>
      </c>
      <c r="AA146" s="74">
        <v>3.1090711678253413</v>
      </c>
      <c r="AB146" s="73"/>
      <c r="AC146" s="72">
        <v>52847.333712628482</v>
      </c>
      <c r="AD146" s="72">
        <v>52400.24010120616</v>
      </c>
      <c r="AE146" s="73"/>
      <c r="AF146" s="74">
        <v>4.1009528280505334</v>
      </c>
      <c r="AG146" s="74">
        <v>4.1863569754748768</v>
      </c>
      <c r="AH146" s="73"/>
      <c r="AI146" s="72">
        <v>2922222.3245510464</v>
      </c>
      <c r="AJ146" s="72">
        <v>0</v>
      </c>
      <c r="AK146" s="73"/>
      <c r="AL146" s="74">
        <v>-1898.268885061656</v>
      </c>
      <c r="AM146" s="74">
        <v>0</v>
      </c>
      <c r="AN146" s="73"/>
      <c r="AO146" s="72">
        <v>195341.97474494038</v>
      </c>
      <c r="AP146" s="72">
        <v>0</v>
      </c>
      <c r="AQ146" s="73"/>
      <c r="AR146" s="74">
        <v>-108.49799074291874</v>
      </c>
      <c r="AS146" s="74">
        <v>0</v>
      </c>
      <c r="AT146" s="73"/>
      <c r="AU146" s="72">
        <v>36875652.490520053</v>
      </c>
      <c r="AV146" s="72">
        <v>0</v>
      </c>
      <c r="AW146" s="73"/>
      <c r="AX146" s="74">
        <v>-2031.1868399482448</v>
      </c>
      <c r="AY146" s="74">
        <v>0</v>
      </c>
      <c r="AZ146" s="73"/>
      <c r="BA146" s="72">
        <v>34744.112739802149</v>
      </c>
      <c r="BB146" s="72">
        <v>0</v>
      </c>
      <c r="BC146" s="73"/>
      <c r="BD146" s="74">
        <v>-558.4139862726164</v>
      </c>
      <c r="BE146" s="74">
        <v>0</v>
      </c>
      <c r="BF146" s="73"/>
      <c r="BG146" s="72">
        <v>6916567.6476410106</v>
      </c>
      <c r="BH146" s="72">
        <v>0</v>
      </c>
      <c r="BI146" s="73"/>
      <c r="BJ146" s="74">
        <v>-1321.2077917427491</v>
      </c>
      <c r="BK146" s="74">
        <v>0</v>
      </c>
      <c r="BL146" s="73"/>
      <c r="BM146" s="72">
        <v>46944528.550196849</v>
      </c>
      <c r="BN146" s="72">
        <v>0</v>
      </c>
      <c r="BO146" s="73"/>
      <c r="BP146" s="74">
        <v>-5917.575493768185</v>
      </c>
      <c r="BQ146" s="74">
        <v>0</v>
      </c>
      <c r="BS146" s="109">
        <f t="shared" ref="BS146:BS209" si="96">H146*WTP-E146</f>
        <v>116231.54884476085</v>
      </c>
      <c r="BT146" s="109">
        <f t="shared" ref="BT146:BT209" si="97">I146*WTP-F146</f>
        <v>116612.40504797897</v>
      </c>
      <c r="BV146" s="58">
        <f t="array" ref="BV146">SUM(IF(BS146:BT146&gt;=BS146, 1))</f>
        <v>2</v>
      </c>
      <c r="BW146" s="58">
        <f t="array" ref="BW146">SUM(IF(BS146:BT146&gt;=BT146, 1))</f>
        <v>1</v>
      </c>
      <c r="BY146" s="109">
        <f t="shared" ref="BY146:BY209" si="98">N146*WTP-K146</f>
        <v>133584.4635897259</v>
      </c>
      <c r="BZ146" s="109">
        <f t="shared" ref="BZ146:BZ209" si="99">O146*WTP-L146</f>
        <v>133921.78853431105</v>
      </c>
      <c r="CB146" s="58">
        <f t="array" ref="CB146">SUM(IF(BY146:BZ146&gt;=BY146, 1))</f>
        <v>2</v>
      </c>
      <c r="CC146" s="58">
        <f t="array" ref="CC146">SUM(IF(BY146:BZ146&gt;=BZ146, 1))</f>
        <v>1</v>
      </c>
      <c r="CE146" s="109">
        <f t="shared" ref="CE146:CE209" si="100">T146*WTP-Q146</f>
        <v>91763.705661562461</v>
      </c>
      <c r="CF146" s="109">
        <f t="shared" ref="CF146:CF209" si="101">U146*WTP-R146</f>
        <v>95072.810198013074</v>
      </c>
      <c r="CH146" s="58">
        <f t="array" ref="CH146">SUM(IF(CE146:CF146&gt;=CE146, 1))</f>
        <v>2</v>
      </c>
      <c r="CI146" s="58">
        <f t="array" ref="CI146">SUM(IF(CE146:CF146&gt;=CF146, 1))</f>
        <v>1</v>
      </c>
      <c r="CK146" s="109">
        <f t="shared" ref="CK146:CK209" si="102">Z146*WTP-W146</f>
        <v>52297.78607009408</v>
      </c>
      <c r="CL146" s="109">
        <f t="shared" ref="CL146:CL209" si="103">AA146*WTP-X146</f>
        <v>53573.846091672494</v>
      </c>
      <c r="CN146" s="58">
        <f t="array" ref="CN146">SUM(IF(CK146:CL146&gt;=CK146, 1))</f>
        <v>2</v>
      </c>
      <c r="CO146" s="58">
        <f t="array" ref="CO146">SUM(IF(CK146:CL146&gt;=CL146, 1))</f>
        <v>1</v>
      </c>
      <c r="CQ146" s="109" cm="1">
        <f t="array" ref="CQ146">AF146*WTP-AC146</f>
        <v>29171.722848382189</v>
      </c>
      <c r="CR146" s="109">
        <f t="shared" ref="CR146:CR209" si="104">AG146*WTP-AD146</f>
        <v>31326.89940829137</v>
      </c>
      <c r="CT146" s="58">
        <f t="array" ref="CT146">SUM(IF(CQ146:CR146&gt;=CQ146, 1))</f>
        <v>2</v>
      </c>
      <c r="CU146" s="58">
        <f t="array" ref="CU146">SUM(IF(CQ146:CR146&gt;=CR146, 1))</f>
        <v>1</v>
      </c>
      <c r="CW146" s="109">
        <f t="shared" ref="CW146:CW209" si="105">AL146*WTP-AI146</f>
        <v>-40887600.025784165</v>
      </c>
      <c r="CX146" s="109">
        <f t="shared" ref="CX146:CX209" si="106">AM146*WTP-AJ146</f>
        <v>0</v>
      </c>
      <c r="CZ146" s="58">
        <f t="array" ref="CZ146">SUM(IF(CW146:CX146&gt;=CW146, 1))</f>
        <v>2</v>
      </c>
      <c r="DA146" s="58">
        <f t="array" ref="DA146">SUM(IF(CW146:CX146&gt;=CX146, 1))</f>
        <v>1</v>
      </c>
      <c r="DC146" s="109">
        <f t="shared" ref="DC146:DC209" si="107">AR146*WTP-AO146</f>
        <v>-2365301.7896033153</v>
      </c>
      <c r="DD146" s="109">
        <f t="shared" ref="DD146:DD209" si="108">AS146*WTP-AP146</f>
        <v>0</v>
      </c>
      <c r="DF146" s="58">
        <f t="array" ref="DF146">SUM(IF(DC146:DD146&gt;=DC146, 1))</f>
        <v>2</v>
      </c>
      <c r="DG146" s="58">
        <f t="array" ref="DG146">SUM(IF(DC146:DD146&gt;=DD146, 1))</f>
        <v>1</v>
      </c>
      <c r="DI146" s="109">
        <f t="shared" ref="DI146:DI209" si="109">AX146*WTP-AU146</f>
        <v>-77499389.289484948</v>
      </c>
      <c r="DJ146" s="109">
        <f t="shared" ref="DJ146:DJ209" si="110">AY146*WTP-AV146</f>
        <v>0</v>
      </c>
      <c r="DL146" s="58">
        <f t="array" ref="DL146">SUM(IF(DI146:DJ146&gt;=DI146, 1))</f>
        <v>2</v>
      </c>
      <c r="DM146" s="58">
        <f t="array" ref="DM146">SUM(IF(DI146:DJ146&gt;=DJ146, 1))</f>
        <v>1</v>
      </c>
      <c r="DO146" s="109">
        <f t="shared" ref="DO146:DO209" si="111">BD146*WTP-BA146</f>
        <v>-11203023.83819213</v>
      </c>
      <c r="DP146" s="109">
        <f t="shared" ref="DP146:DP209" si="112">BE146*WTP-BB146</f>
        <v>0</v>
      </c>
      <c r="DR146" s="58">
        <f t="array" ref="DR146">SUM(IF(DO146:DP146&gt;=DO146, 1))</f>
        <v>2</v>
      </c>
      <c r="DS146" s="58">
        <f t="array" ref="DS146">SUM(IF(DO146:DP146&gt;=DP146, 1))</f>
        <v>1</v>
      </c>
      <c r="DU146" s="109">
        <f t="shared" ref="DU146:DU209" si="113">BJ146*WTP-BG146</f>
        <v>-33340723.482495993</v>
      </c>
      <c r="DV146" s="109">
        <f t="shared" ref="DV146:DV209" si="114">BK146*WTP-BH146</f>
        <v>0</v>
      </c>
      <c r="DX146" s="58">
        <f t="array" ref="DX146">SUM(IF(DU146:DV146&gt;=DU146, 1))</f>
        <v>2</v>
      </c>
      <c r="DY146" s="58">
        <f t="array" ref="DY146">SUM(IF(DU146:DV146&gt;=DV146, 1))</f>
        <v>1</v>
      </c>
      <c r="EA146" s="109">
        <f t="shared" ref="EA146:EA209" si="115">BP146*WTP-BM146</f>
        <v>-165296038.42556053</v>
      </c>
      <c r="EB146" s="109">
        <f t="shared" ref="EB146:EB209" si="116">BQ146*WTP-BN146</f>
        <v>0</v>
      </c>
      <c r="ED146" s="58">
        <f t="array" ref="ED146">SUM(IF(EA146:EB146&gt;=EA146, 1))</f>
        <v>2</v>
      </c>
      <c r="EE146" s="58">
        <f t="array" ref="EE146">SUM(IF(EA146:EB146&gt;=EB146, 1))</f>
        <v>1</v>
      </c>
    </row>
    <row r="147" spans="4:135" ht="12" customHeight="1" x14ac:dyDescent="0.25">
      <c r="D147" s="11">
        <v>131</v>
      </c>
      <c r="E147" s="72">
        <v>262.23621541752357</v>
      </c>
      <c r="F147" s="72">
        <v>237.01869445727135</v>
      </c>
      <c r="G147" s="73"/>
      <c r="H147" s="74">
        <v>5.8496829810839781</v>
      </c>
      <c r="I147" s="74">
        <v>5.8675248347778757</v>
      </c>
      <c r="J147" s="73"/>
      <c r="K147" s="72">
        <v>281.35845892536656</v>
      </c>
      <c r="L147" s="72">
        <v>255.53814697244638</v>
      </c>
      <c r="M147" s="73"/>
      <c r="N147" s="74">
        <v>6.7295670338656226</v>
      </c>
      <c r="O147" s="74">
        <v>6.7454138333025773</v>
      </c>
      <c r="P147" s="73"/>
      <c r="Q147" s="72">
        <v>4859.2664771637992</v>
      </c>
      <c r="R147" s="72">
        <v>2016.2597862833445</v>
      </c>
      <c r="S147" s="73"/>
      <c r="T147" s="74">
        <v>4.7155395745329605</v>
      </c>
      <c r="U147" s="74">
        <v>4.8645274601306223</v>
      </c>
      <c r="V147" s="73"/>
      <c r="W147" s="72">
        <v>17002.286891156418</v>
      </c>
      <c r="X147" s="72">
        <v>16966.142535732561</v>
      </c>
      <c r="Y147" s="73"/>
      <c r="Z147" s="74">
        <v>3.02062484102282</v>
      </c>
      <c r="AA147" s="74">
        <v>3.0632150343582181</v>
      </c>
      <c r="AB147" s="73"/>
      <c r="AC147" s="72">
        <v>50092.858222335824</v>
      </c>
      <c r="AD147" s="72">
        <v>50160.828627942181</v>
      </c>
      <c r="AE147" s="73"/>
      <c r="AF147" s="74">
        <v>4.1454762182641112</v>
      </c>
      <c r="AG147" s="74">
        <v>4.2500365709329913</v>
      </c>
      <c r="AH147" s="73"/>
      <c r="AI147" s="72">
        <v>2712380.8561147875</v>
      </c>
      <c r="AJ147" s="72">
        <v>0</v>
      </c>
      <c r="AK147" s="73"/>
      <c r="AL147" s="74">
        <v>-1919.058676434016</v>
      </c>
      <c r="AM147" s="74">
        <v>0</v>
      </c>
      <c r="AN147" s="73"/>
      <c r="AO147" s="72">
        <v>174503.25647643805</v>
      </c>
      <c r="AP147" s="72">
        <v>0</v>
      </c>
      <c r="AQ147" s="73"/>
      <c r="AR147" s="74">
        <v>-107.09855525834676</v>
      </c>
      <c r="AS147" s="74">
        <v>0</v>
      </c>
      <c r="AT147" s="73"/>
      <c r="AU147" s="72">
        <v>66651261.153838105</v>
      </c>
      <c r="AV147" s="72">
        <v>0</v>
      </c>
      <c r="AW147" s="73"/>
      <c r="AX147" s="74">
        <v>-3492.8621531497729</v>
      </c>
      <c r="AY147" s="74">
        <v>0</v>
      </c>
      <c r="AZ147" s="73"/>
      <c r="BA147" s="72">
        <v>327733.70572780533</v>
      </c>
      <c r="BB147" s="72">
        <v>0</v>
      </c>
      <c r="BC147" s="73"/>
      <c r="BD147" s="74">
        <v>-386.1804070314206</v>
      </c>
      <c r="BE147" s="74">
        <v>0</v>
      </c>
      <c r="BF147" s="73"/>
      <c r="BG147" s="72">
        <v>-1120134.2904404646</v>
      </c>
      <c r="BH147" s="72">
        <v>0</v>
      </c>
      <c r="BI147" s="73"/>
      <c r="BJ147" s="74">
        <v>-1723.1269314951339</v>
      </c>
      <c r="BK147" s="74">
        <v>0</v>
      </c>
      <c r="BL147" s="73"/>
      <c r="BM147" s="72">
        <v>68745744.681716666</v>
      </c>
      <c r="BN147" s="72">
        <v>0</v>
      </c>
      <c r="BO147" s="73"/>
      <c r="BP147" s="74">
        <v>-7628.3267233686902</v>
      </c>
      <c r="BQ147" s="74">
        <v>0</v>
      </c>
      <c r="BS147" s="109">
        <f t="shared" si="96"/>
        <v>116731.42340626204</v>
      </c>
      <c r="BT147" s="109">
        <f t="shared" si="97"/>
        <v>117113.47800110023</v>
      </c>
      <c r="BV147" s="58">
        <f t="array" ref="BV147">SUM(IF(BS147:BT147&gt;=BS147, 1))</f>
        <v>2</v>
      </c>
      <c r="BW147" s="58">
        <f t="array" ref="BW147">SUM(IF(BS147:BT147&gt;=BT147, 1))</f>
        <v>1</v>
      </c>
      <c r="BY147" s="109">
        <f t="shared" si="98"/>
        <v>134309.9822183871</v>
      </c>
      <c r="BZ147" s="109">
        <f t="shared" si="99"/>
        <v>134652.73851907908</v>
      </c>
      <c r="CB147" s="58">
        <f t="array" ref="CB147">SUM(IF(BY147:BZ147&gt;=BY147, 1))</f>
        <v>2</v>
      </c>
      <c r="CC147" s="58">
        <f t="array" ref="CC147">SUM(IF(BY147:BZ147&gt;=BZ147, 1))</f>
        <v>1</v>
      </c>
      <c r="CE147" s="109">
        <f t="shared" si="100"/>
        <v>89451.525013495411</v>
      </c>
      <c r="CF147" s="109">
        <f t="shared" si="101"/>
        <v>95274.289416329091</v>
      </c>
      <c r="CH147" s="58">
        <f t="array" ref="CH147">SUM(IF(CE147:CF147&gt;=CE147, 1))</f>
        <v>2</v>
      </c>
      <c r="CI147" s="58">
        <f t="array" ref="CI147">SUM(IF(CE147:CF147&gt;=CF147, 1))</f>
        <v>1</v>
      </c>
      <c r="CK147" s="109">
        <f t="shared" si="102"/>
        <v>43410.209929299977</v>
      </c>
      <c r="CL147" s="109">
        <f t="shared" si="103"/>
        <v>44298.158151431795</v>
      </c>
      <c r="CN147" s="58">
        <f t="array" ref="CN147">SUM(IF(CK147:CL147&gt;=CK147, 1))</f>
        <v>2</v>
      </c>
      <c r="CO147" s="58">
        <f t="array" ref="CO147">SUM(IF(CK147:CL147&gt;=CL147, 1))</f>
        <v>1</v>
      </c>
      <c r="CQ147" s="109" cm="1">
        <f t="array" ref="CQ147">AF147*WTP-AC147</f>
        <v>32816.6661429464</v>
      </c>
      <c r="CR147" s="109">
        <f t="shared" si="104"/>
        <v>34839.902790717642</v>
      </c>
      <c r="CT147" s="58">
        <f t="array" ref="CT147">SUM(IF(CQ147:CR147&gt;=CQ147, 1))</f>
        <v>2</v>
      </c>
      <c r="CU147" s="58">
        <f t="array" ref="CU147">SUM(IF(CQ147:CR147&gt;=CR147, 1))</f>
        <v>1</v>
      </c>
      <c r="CW147" s="109">
        <f t="shared" si="105"/>
        <v>-41093554.384795107</v>
      </c>
      <c r="CX147" s="109">
        <f t="shared" si="106"/>
        <v>0</v>
      </c>
      <c r="CZ147" s="58">
        <f t="array" ref="CZ147">SUM(IF(CW147:CX147&gt;=CW147, 1))</f>
        <v>2</v>
      </c>
      <c r="DA147" s="58">
        <f t="array" ref="DA147">SUM(IF(CW147:CX147&gt;=CX147, 1))</f>
        <v>1</v>
      </c>
      <c r="DC147" s="109">
        <f t="shared" si="107"/>
        <v>-2316474.3616433735</v>
      </c>
      <c r="DD147" s="109">
        <f t="shared" si="108"/>
        <v>0</v>
      </c>
      <c r="DF147" s="58">
        <f t="array" ref="DF147">SUM(IF(DC147:DD147&gt;=DC147, 1))</f>
        <v>2</v>
      </c>
      <c r="DG147" s="58">
        <f t="array" ref="DG147">SUM(IF(DC147:DD147&gt;=DD147, 1))</f>
        <v>1</v>
      </c>
      <c r="DI147" s="109">
        <f t="shared" si="109"/>
        <v>-136508504.21683356</v>
      </c>
      <c r="DJ147" s="109">
        <f t="shared" si="110"/>
        <v>0</v>
      </c>
      <c r="DL147" s="58">
        <f t="array" ref="DL147">SUM(IF(DI147:DJ147&gt;=DI147, 1))</f>
        <v>2</v>
      </c>
      <c r="DM147" s="58">
        <f t="array" ref="DM147">SUM(IF(DI147:DJ147&gt;=DJ147, 1))</f>
        <v>1</v>
      </c>
      <c r="DO147" s="109">
        <f t="shared" si="111"/>
        <v>-8051341.8463562177</v>
      </c>
      <c r="DP147" s="109">
        <f t="shared" si="112"/>
        <v>0</v>
      </c>
      <c r="DR147" s="58">
        <f t="array" ref="DR147">SUM(IF(DO147:DP147&gt;=DO147, 1))</f>
        <v>2</v>
      </c>
      <c r="DS147" s="58">
        <f t="array" ref="DS147">SUM(IF(DO147:DP147&gt;=DP147, 1))</f>
        <v>1</v>
      </c>
      <c r="DU147" s="109">
        <f t="shared" si="113"/>
        <v>-33342404.339462209</v>
      </c>
      <c r="DV147" s="109">
        <f t="shared" si="114"/>
        <v>0</v>
      </c>
      <c r="DX147" s="58">
        <f t="array" ref="DX147">SUM(IF(DU147:DV147&gt;=DU147, 1))</f>
        <v>2</v>
      </c>
      <c r="DY147" s="58">
        <f t="array" ref="DY147">SUM(IF(DU147:DV147&gt;=DV147, 1))</f>
        <v>1</v>
      </c>
      <c r="EA147" s="109">
        <f t="shared" si="115"/>
        <v>-221312279.14909047</v>
      </c>
      <c r="EB147" s="109">
        <f t="shared" si="116"/>
        <v>0</v>
      </c>
      <c r="ED147" s="58">
        <f t="array" ref="ED147">SUM(IF(EA147:EB147&gt;=EA147, 1))</f>
        <v>2</v>
      </c>
      <c r="EE147" s="58">
        <f t="array" ref="EE147">SUM(IF(EA147:EB147&gt;=EB147, 1))</f>
        <v>1</v>
      </c>
    </row>
    <row r="148" spans="4:135" ht="12" customHeight="1" x14ac:dyDescent="0.25">
      <c r="D148" s="11">
        <v>132</v>
      </c>
      <c r="E148" s="72">
        <v>261.2338434489065</v>
      </c>
      <c r="F148" s="72">
        <v>245.69094371613551</v>
      </c>
      <c r="G148" s="73"/>
      <c r="H148" s="74">
        <v>5.8223896852040395</v>
      </c>
      <c r="I148" s="74">
        <v>5.8395652451313413</v>
      </c>
      <c r="J148" s="73"/>
      <c r="K148" s="72">
        <v>280.95173738827066</v>
      </c>
      <c r="L148" s="72">
        <v>265.00274898517193</v>
      </c>
      <c r="M148" s="73"/>
      <c r="N148" s="74">
        <v>6.6841686412989016</v>
      </c>
      <c r="O148" s="74">
        <v>6.6985875101367309</v>
      </c>
      <c r="P148" s="73"/>
      <c r="Q148" s="72">
        <v>2575.3607806261352</v>
      </c>
      <c r="R148" s="72">
        <v>1457.1908059915713</v>
      </c>
      <c r="S148" s="73"/>
      <c r="T148" s="74">
        <v>4.7206168514485016</v>
      </c>
      <c r="U148" s="74">
        <v>4.8202764189365706</v>
      </c>
      <c r="V148" s="73"/>
      <c r="W148" s="72">
        <v>13173.90352285876</v>
      </c>
      <c r="X148" s="72">
        <v>13170.511689272691</v>
      </c>
      <c r="Y148" s="73"/>
      <c r="Z148" s="74">
        <v>2.9434273116028011</v>
      </c>
      <c r="AA148" s="74">
        <v>2.9859263193767527</v>
      </c>
      <c r="AB148" s="73"/>
      <c r="AC148" s="72">
        <v>53290.119543447676</v>
      </c>
      <c r="AD148" s="72">
        <v>52660.936771261353</v>
      </c>
      <c r="AE148" s="73"/>
      <c r="AF148" s="74">
        <v>4.3265687132503468</v>
      </c>
      <c r="AG148" s="74">
        <v>4.4797637770711471</v>
      </c>
      <c r="AH148" s="73"/>
      <c r="AI148" s="72">
        <v>1659698.8068706519</v>
      </c>
      <c r="AJ148" s="72">
        <v>0</v>
      </c>
      <c r="AK148" s="73"/>
      <c r="AL148" s="74">
        <v>-1834.0372008303545</v>
      </c>
      <c r="AM148" s="74">
        <v>0</v>
      </c>
      <c r="AN148" s="73"/>
      <c r="AO148" s="72">
        <v>103587.19519080638</v>
      </c>
      <c r="AP148" s="72">
        <v>0</v>
      </c>
      <c r="AQ148" s="73"/>
      <c r="AR148" s="74">
        <v>-93.649211033639233</v>
      </c>
      <c r="AS148" s="74">
        <v>0</v>
      </c>
      <c r="AT148" s="73"/>
      <c r="AU148" s="72">
        <v>26014727.880890504</v>
      </c>
      <c r="AV148" s="72">
        <v>0</v>
      </c>
      <c r="AW148" s="73"/>
      <c r="AX148" s="74">
        <v>-2318.6247062095049</v>
      </c>
      <c r="AY148" s="74">
        <v>0</v>
      </c>
      <c r="AZ148" s="73"/>
      <c r="BA148" s="72">
        <v>29470.126379879406</v>
      </c>
      <c r="BB148" s="72">
        <v>0</v>
      </c>
      <c r="BC148" s="73"/>
      <c r="BD148" s="74">
        <v>-369.25488775803467</v>
      </c>
      <c r="BE148" s="74">
        <v>0</v>
      </c>
      <c r="BF148" s="73"/>
      <c r="BG148" s="72">
        <v>9944803.7160603385</v>
      </c>
      <c r="BH148" s="72">
        <v>0</v>
      </c>
      <c r="BI148" s="73"/>
      <c r="BJ148" s="74">
        <v>-2421.3867691787927</v>
      </c>
      <c r="BK148" s="74">
        <v>0</v>
      </c>
      <c r="BL148" s="73"/>
      <c r="BM148" s="72">
        <v>37752287.725392178</v>
      </c>
      <c r="BN148" s="72">
        <v>0</v>
      </c>
      <c r="BO148" s="73"/>
      <c r="BP148" s="74">
        <v>-7036.9527750103261</v>
      </c>
      <c r="BQ148" s="74">
        <v>0</v>
      </c>
      <c r="BS148" s="109">
        <f t="shared" si="96"/>
        <v>116186.55986063188</v>
      </c>
      <c r="BT148" s="109">
        <f t="shared" si="97"/>
        <v>116545.61395891069</v>
      </c>
      <c r="BV148" s="58">
        <f t="array" ref="BV148">SUM(IF(BS148:BT148&gt;=BS148, 1))</f>
        <v>2</v>
      </c>
      <c r="BW148" s="58">
        <f t="array" ref="BW148">SUM(IF(BS148:BT148&gt;=BT148, 1))</f>
        <v>1</v>
      </c>
      <c r="BY148" s="109">
        <f t="shared" si="98"/>
        <v>133402.42108858976</v>
      </c>
      <c r="BZ148" s="109">
        <f t="shared" si="99"/>
        <v>133706.74745374944</v>
      </c>
      <c r="CB148" s="58">
        <f t="array" ref="CB148">SUM(IF(BY148:BZ148&gt;=BY148, 1))</f>
        <v>2</v>
      </c>
      <c r="CC148" s="58">
        <f t="array" ref="CC148">SUM(IF(BY148:BZ148&gt;=BZ148, 1))</f>
        <v>1</v>
      </c>
      <c r="CE148" s="109">
        <f t="shared" si="100"/>
        <v>91836.976248343912</v>
      </c>
      <c r="CF148" s="109">
        <f t="shared" si="101"/>
        <v>94948.337572739838</v>
      </c>
      <c r="CH148" s="58">
        <f t="array" ref="CH148">SUM(IF(CE148:CF148&gt;=CE148, 1))</f>
        <v>2</v>
      </c>
      <c r="CI148" s="58">
        <f t="array" ref="CI148">SUM(IF(CE148:CF148&gt;=CF148, 1))</f>
        <v>1</v>
      </c>
      <c r="CK148" s="109">
        <f t="shared" si="102"/>
        <v>45694.642709197266</v>
      </c>
      <c r="CL148" s="109">
        <f t="shared" si="103"/>
        <v>46548.014698262356</v>
      </c>
      <c r="CN148" s="58">
        <f t="array" ref="CN148">SUM(IF(CK148:CL148&gt;=CK148, 1))</f>
        <v>2</v>
      </c>
      <c r="CO148" s="58">
        <f t="array" ref="CO148">SUM(IF(CK148:CL148&gt;=CL148, 1))</f>
        <v>1</v>
      </c>
      <c r="CQ148" s="109" cm="1">
        <f t="array" ref="CQ148">AF148*WTP-AC148</f>
        <v>33241.254721559257</v>
      </c>
      <c r="CR148" s="109">
        <f t="shared" si="104"/>
        <v>36934.338770161594</v>
      </c>
      <c r="CT148" s="58">
        <f t="array" ref="CT148">SUM(IF(CQ148:CR148&gt;=CQ148, 1))</f>
        <v>2</v>
      </c>
      <c r="CU148" s="58">
        <f t="array" ref="CU148">SUM(IF(CQ148:CR148&gt;=CR148, 1))</f>
        <v>1</v>
      </c>
      <c r="CW148" s="109">
        <f t="shared" si="105"/>
        <v>-38340442.823477745</v>
      </c>
      <c r="CX148" s="109">
        <f t="shared" si="106"/>
        <v>0</v>
      </c>
      <c r="CZ148" s="58">
        <f t="array" ref="CZ148">SUM(IF(CW148:CX148&gt;=CW148, 1))</f>
        <v>2</v>
      </c>
      <c r="DA148" s="58">
        <f t="array" ref="DA148">SUM(IF(CW148:CX148&gt;=CX148, 1))</f>
        <v>1</v>
      </c>
      <c r="DC148" s="109">
        <f t="shared" si="107"/>
        <v>-1976571.415863591</v>
      </c>
      <c r="DD148" s="109">
        <f t="shared" si="108"/>
        <v>0</v>
      </c>
      <c r="DF148" s="58">
        <f t="array" ref="DF148">SUM(IF(DC148:DD148&gt;=DC148, 1))</f>
        <v>2</v>
      </c>
      <c r="DG148" s="58">
        <f t="array" ref="DG148">SUM(IF(DC148:DD148&gt;=DD148, 1))</f>
        <v>1</v>
      </c>
      <c r="DI148" s="109">
        <f t="shared" si="109"/>
        <v>-72387222.005080611</v>
      </c>
      <c r="DJ148" s="109">
        <f t="shared" si="110"/>
        <v>0</v>
      </c>
      <c r="DL148" s="58">
        <f t="array" ref="DL148">SUM(IF(DI148:DJ148&gt;=DI148, 1))</f>
        <v>2</v>
      </c>
      <c r="DM148" s="58">
        <f t="array" ref="DM148">SUM(IF(DI148:DJ148&gt;=DJ148, 1))</f>
        <v>1</v>
      </c>
      <c r="DO148" s="109">
        <f t="shared" si="111"/>
        <v>-7414567.8815405723</v>
      </c>
      <c r="DP148" s="109">
        <f t="shared" si="112"/>
        <v>0</v>
      </c>
      <c r="DR148" s="58">
        <f t="array" ref="DR148">SUM(IF(DO148:DP148&gt;=DO148, 1))</f>
        <v>2</v>
      </c>
      <c r="DS148" s="58">
        <f t="array" ref="DS148">SUM(IF(DO148:DP148&gt;=DP148, 1))</f>
        <v>1</v>
      </c>
      <c r="DU148" s="109">
        <f t="shared" si="113"/>
        <v>-58372539.099636197</v>
      </c>
      <c r="DV148" s="109">
        <f t="shared" si="114"/>
        <v>0</v>
      </c>
      <c r="DX148" s="58">
        <f t="array" ref="DX148">SUM(IF(DU148:DV148&gt;=DU148, 1))</f>
        <v>2</v>
      </c>
      <c r="DY148" s="58">
        <f t="array" ref="DY148">SUM(IF(DU148:DV148&gt;=DV148, 1))</f>
        <v>1</v>
      </c>
      <c r="EA148" s="109">
        <f t="shared" si="115"/>
        <v>-178491343.22559869</v>
      </c>
      <c r="EB148" s="109">
        <f t="shared" si="116"/>
        <v>0</v>
      </c>
      <c r="ED148" s="58">
        <f t="array" ref="ED148">SUM(IF(EA148:EB148&gt;=EA148, 1))</f>
        <v>2</v>
      </c>
      <c r="EE148" s="58">
        <f t="array" ref="EE148">SUM(IF(EA148:EB148&gt;=EB148, 1))</f>
        <v>1</v>
      </c>
    </row>
    <row r="149" spans="4:135" ht="12" customHeight="1" x14ac:dyDescent="0.25">
      <c r="D149" s="11">
        <v>133</v>
      </c>
      <c r="E149" s="72">
        <v>236.72515884349983</v>
      </c>
      <c r="F149" s="72">
        <v>232.8547367775453</v>
      </c>
      <c r="G149" s="73"/>
      <c r="H149" s="74">
        <v>5.8345979636610776</v>
      </c>
      <c r="I149" s="74">
        <v>5.8488375119736933</v>
      </c>
      <c r="J149" s="73"/>
      <c r="K149" s="72">
        <v>255.22181383272743</v>
      </c>
      <c r="L149" s="72">
        <v>251.2005557952107</v>
      </c>
      <c r="M149" s="73"/>
      <c r="N149" s="74">
        <v>6.691584324423725</v>
      </c>
      <c r="O149" s="74">
        <v>6.7032026549365575</v>
      </c>
      <c r="P149" s="73"/>
      <c r="Q149" s="72">
        <v>1999.6777949785442</v>
      </c>
      <c r="R149" s="72">
        <v>1465.0064441905406</v>
      </c>
      <c r="S149" s="73"/>
      <c r="T149" s="74">
        <v>4.8743764467187942</v>
      </c>
      <c r="U149" s="74">
        <v>4.9214115614835299</v>
      </c>
      <c r="V149" s="73"/>
      <c r="W149" s="72">
        <v>14172.97248736365</v>
      </c>
      <c r="X149" s="72">
        <v>14251.342546477066</v>
      </c>
      <c r="Y149" s="73"/>
      <c r="Z149" s="74">
        <v>3.0647624922366892</v>
      </c>
      <c r="AA149" s="74">
        <v>3.1209843125505454</v>
      </c>
      <c r="AB149" s="73"/>
      <c r="AC149" s="72">
        <v>51256.787693360682</v>
      </c>
      <c r="AD149" s="72">
        <v>51139.485115615913</v>
      </c>
      <c r="AE149" s="73"/>
      <c r="AF149" s="74">
        <v>4.7753689624182574</v>
      </c>
      <c r="AG149" s="74">
        <v>4.8613417660002964</v>
      </c>
      <c r="AH149" s="73"/>
      <c r="AI149" s="72">
        <v>416708.31882405578</v>
      </c>
      <c r="AJ149" s="72">
        <v>0</v>
      </c>
      <c r="AK149" s="73"/>
      <c r="AL149" s="74">
        <v>-1533.0984934069716</v>
      </c>
      <c r="AM149" s="74">
        <v>0</v>
      </c>
      <c r="AN149" s="73"/>
      <c r="AO149" s="72">
        <v>26209.026953579058</v>
      </c>
      <c r="AP149" s="72">
        <v>0</v>
      </c>
      <c r="AQ149" s="73"/>
      <c r="AR149" s="74">
        <v>-75.72384928435514</v>
      </c>
      <c r="AS149" s="74">
        <v>0</v>
      </c>
      <c r="AT149" s="73"/>
      <c r="AU149" s="72">
        <v>12208754.565789131</v>
      </c>
      <c r="AV149" s="72">
        <v>0</v>
      </c>
      <c r="AW149" s="73"/>
      <c r="AX149" s="74">
        <v>-1074.0058753663568</v>
      </c>
      <c r="AY149" s="74">
        <v>0</v>
      </c>
      <c r="AZ149" s="73"/>
      <c r="BA149" s="72">
        <v>-691001.61259806156</v>
      </c>
      <c r="BB149" s="72">
        <v>0</v>
      </c>
      <c r="BC149" s="73"/>
      <c r="BD149" s="74">
        <v>-495.71697328759956</v>
      </c>
      <c r="BE149" s="74">
        <v>0</v>
      </c>
      <c r="BF149" s="73"/>
      <c r="BG149" s="72">
        <v>1852449.9717268278</v>
      </c>
      <c r="BH149" s="72">
        <v>0</v>
      </c>
      <c r="BI149" s="73"/>
      <c r="BJ149" s="74">
        <v>-1357.6881312135201</v>
      </c>
      <c r="BK149" s="74">
        <v>0</v>
      </c>
      <c r="BL149" s="73"/>
      <c r="BM149" s="72">
        <v>13813120.270695532</v>
      </c>
      <c r="BN149" s="72">
        <v>0</v>
      </c>
      <c r="BO149" s="73"/>
      <c r="BP149" s="74">
        <v>-4536.2333225588027</v>
      </c>
      <c r="BQ149" s="74">
        <v>0</v>
      </c>
      <c r="BS149" s="109">
        <f t="shared" si="96"/>
        <v>116455.23411437805</v>
      </c>
      <c r="BT149" s="109">
        <f t="shared" si="97"/>
        <v>116743.89550269632</v>
      </c>
      <c r="BV149" s="58">
        <f t="array" ref="BV149">SUM(IF(BS149:BT149&gt;=BS149, 1))</f>
        <v>2</v>
      </c>
      <c r="BW149" s="58">
        <f t="array" ref="BW149">SUM(IF(BS149:BT149&gt;=BT149, 1))</f>
        <v>1</v>
      </c>
      <c r="BY149" s="109">
        <f t="shared" si="98"/>
        <v>133576.46467464176</v>
      </c>
      <c r="BZ149" s="109">
        <f t="shared" si="99"/>
        <v>133812.85254293593</v>
      </c>
      <c r="CB149" s="58">
        <f t="array" ref="CB149">SUM(IF(BY149:BZ149&gt;=BY149, 1))</f>
        <v>2</v>
      </c>
      <c r="CC149" s="58">
        <f t="array" ref="CC149">SUM(IF(BY149:BZ149&gt;=BZ149, 1))</f>
        <v>1</v>
      </c>
      <c r="CE149" s="109">
        <f t="shared" si="100"/>
        <v>95487.851139397331</v>
      </c>
      <c r="CF149" s="109">
        <f t="shared" si="101"/>
        <v>96963.224785480052</v>
      </c>
      <c r="CH149" s="58">
        <f t="array" ref="CH149">SUM(IF(CE149:CF149&gt;=CE149, 1))</f>
        <v>2</v>
      </c>
      <c r="CI149" s="58">
        <f t="array" ref="CI149">SUM(IF(CE149:CF149&gt;=CF149, 1))</f>
        <v>1</v>
      </c>
      <c r="CK149" s="109">
        <f t="shared" si="102"/>
        <v>47122.277357370134</v>
      </c>
      <c r="CL149" s="109">
        <f t="shared" si="103"/>
        <v>48168.343704533836</v>
      </c>
      <c r="CN149" s="58">
        <f t="array" ref="CN149">SUM(IF(CK149:CL149&gt;=CK149, 1))</f>
        <v>2</v>
      </c>
      <c r="CO149" s="58">
        <f t="array" ref="CO149">SUM(IF(CK149:CL149&gt;=CL149, 1))</f>
        <v>1</v>
      </c>
      <c r="CQ149" s="109" cm="1">
        <f t="array" ref="CQ149">AF149*WTP-AC149</f>
        <v>44250.591555004466</v>
      </c>
      <c r="CR149" s="109">
        <f t="shared" si="104"/>
        <v>46087.350204390023</v>
      </c>
      <c r="CT149" s="58">
        <f t="array" ref="CT149">SUM(IF(CQ149:CR149&gt;=CQ149, 1))</f>
        <v>2</v>
      </c>
      <c r="CU149" s="58">
        <f t="array" ref="CU149">SUM(IF(CQ149:CR149&gt;=CR149, 1))</f>
        <v>1</v>
      </c>
      <c r="CW149" s="109">
        <f t="shared" si="105"/>
        <v>-31078678.186963487</v>
      </c>
      <c r="CX149" s="109">
        <f t="shared" si="106"/>
        <v>0</v>
      </c>
      <c r="CZ149" s="58">
        <f t="array" ref="CZ149">SUM(IF(CW149:CX149&gt;=CW149, 1))</f>
        <v>2</v>
      </c>
      <c r="DA149" s="58">
        <f t="array" ref="DA149">SUM(IF(CW149:CX149&gt;=CX149, 1))</f>
        <v>1</v>
      </c>
      <c r="DC149" s="109">
        <f t="shared" si="107"/>
        <v>-1540686.012640682</v>
      </c>
      <c r="DD149" s="109">
        <f t="shared" si="108"/>
        <v>0</v>
      </c>
      <c r="DF149" s="58">
        <f t="array" ref="DF149">SUM(IF(DC149:DD149&gt;=DC149, 1))</f>
        <v>2</v>
      </c>
      <c r="DG149" s="58">
        <f t="array" ref="DG149">SUM(IF(DC149:DD149&gt;=DD149, 1))</f>
        <v>1</v>
      </c>
      <c r="DI149" s="109">
        <f t="shared" si="109"/>
        <v>-33688872.073116265</v>
      </c>
      <c r="DJ149" s="109">
        <f t="shared" si="110"/>
        <v>0</v>
      </c>
      <c r="DL149" s="58">
        <f t="array" ref="DL149">SUM(IF(DI149:DJ149&gt;=DI149, 1))</f>
        <v>2</v>
      </c>
      <c r="DM149" s="58">
        <f t="array" ref="DM149">SUM(IF(DI149:DJ149&gt;=DJ149, 1))</f>
        <v>1</v>
      </c>
      <c r="DO149" s="109">
        <f t="shared" si="111"/>
        <v>-9223337.8531539291</v>
      </c>
      <c r="DP149" s="109">
        <f t="shared" si="112"/>
        <v>0</v>
      </c>
      <c r="DR149" s="58">
        <f t="array" ref="DR149">SUM(IF(DO149:DP149&gt;=DO149, 1))</f>
        <v>2</v>
      </c>
      <c r="DS149" s="58">
        <f t="array" ref="DS149">SUM(IF(DO149:DP149&gt;=DP149, 1))</f>
        <v>1</v>
      </c>
      <c r="DU149" s="109">
        <f t="shared" si="113"/>
        <v>-29006212.595997229</v>
      </c>
      <c r="DV149" s="109">
        <f t="shared" si="114"/>
        <v>0</v>
      </c>
      <c r="DX149" s="58">
        <f t="array" ref="DX149">SUM(IF(DU149:DV149&gt;=DU149, 1))</f>
        <v>2</v>
      </c>
      <c r="DY149" s="58">
        <f t="array" ref="DY149">SUM(IF(DU149:DV149&gt;=DV149, 1))</f>
        <v>1</v>
      </c>
      <c r="EA149" s="109">
        <f t="shared" si="115"/>
        <v>-104537786.72187158</v>
      </c>
      <c r="EB149" s="109">
        <f t="shared" si="116"/>
        <v>0</v>
      </c>
      <c r="ED149" s="58">
        <f t="array" ref="ED149">SUM(IF(EA149:EB149&gt;=EA149, 1))</f>
        <v>2</v>
      </c>
      <c r="EE149" s="58">
        <f t="array" ref="EE149">SUM(IF(EA149:EB149&gt;=EB149, 1))</f>
        <v>1</v>
      </c>
    </row>
    <row r="150" spans="4:135" ht="12" customHeight="1" x14ac:dyDescent="0.25">
      <c r="D150" s="11">
        <v>134</v>
      </c>
      <c r="E150" s="72">
        <v>229.00390532468401</v>
      </c>
      <c r="F150" s="72">
        <v>200.39634748861661</v>
      </c>
      <c r="G150" s="73"/>
      <c r="H150" s="74">
        <v>5.8352233047453019</v>
      </c>
      <c r="I150" s="74">
        <v>5.8557385441642014</v>
      </c>
      <c r="J150" s="73"/>
      <c r="K150" s="72">
        <v>245.37996584891508</v>
      </c>
      <c r="L150" s="72">
        <v>216.1054599663498</v>
      </c>
      <c r="M150" s="73"/>
      <c r="N150" s="74">
        <v>6.7002289750070343</v>
      </c>
      <c r="O150" s="74">
        <v>6.7182782655308886</v>
      </c>
      <c r="P150" s="73"/>
      <c r="Q150" s="72">
        <v>1173.5852115846808</v>
      </c>
      <c r="R150" s="72">
        <v>1045.938053795807</v>
      </c>
      <c r="S150" s="73"/>
      <c r="T150" s="74">
        <v>4.9956883224246127</v>
      </c>
      <c r="U150" s="74">
        <v>5.0212953993420264</v>
      </c>
      <c r="V150" s="73"/>
      <c r="W150" s="72">
        <v>12356.23447788152</v>
      </c>
      <c r="X150" s="72">
        <v>12316.986640136673</v>
      </c>
      <c r="Y150" s="73"/>
      <c r="Z150" s="74">
        <v>2.7025584222157919</v>
      </c>
      <c r="AA150" s="74">
        <v>2.7458334785788194</v>
      </c>
      <c r="AB150" s="73"/>
      <c r="AC150" s="72">
        <v>50066.270494043638</v>
      </c>
      <c r="AD150" s="72">
        <v>49863.262150345123</v>
      </c>
      <c r="AE150" s="73"/>
      <c r="AF150" s="74">
        <v>4.672851427124658</v>
      </c>
      <c r="AG150" s="74">
        <v>4.8356280992473293</v>
      </c>
      <c r="AH150" s="73"/>
      <c r="AI150" s="72">
        <v>3059720.177665127</v>
      </c>
      <c r="AJ150" s="72">
        <v>0</v>
      </c>
      <c r="AK150" s="73"/>
      <c r="AL150" s="74">
        <v>-2194.206592514453</v>
      </c>
      <c r="AM150" s="74">
        <v>0</v>
      </c>
      <c r="AN150" s="73"/>
      <c r="AO150" s="72">
        <v>195637.3775747529</v>
      </c>
      <c r="AP150" s="72">
        <v>0</v>
      </c>
      <c r="AQ150" s="73"/>
      <c r="AR150" s="74">
        <v>-120.62085281086441</v>
      </c>
      <c r="AS150" s="74">
        <v>0</v>
      </c>
      <c r="AT150" s="73"/>
      <c r="AU150" s="72">
        <v>2906609.6316752858</v>
      </c>
      <c r="AV150" s="72">
        <v>0</v>
      </c>
      <c r="AW150" s="73"/>
      <c r="AX150" s="74">
        <v>-583.08996217769425</v>
      </c>
      <c r="AY150" s="74">
        <v>0</v>
      </c>
      <c r="AZ150" s="73"/>
      <c r="BA150" s="72">
        <v>354113.09206266375</v>
      </c>
      <c r="BB150" s="72">
        <v>0</v>
      </c>
      <c r="BC150" s="73"/>
      <c r="BD150" s="74">
        <v>-390.4486182785796</v>
      </c>
      <c r="BE150" s="74">
        <v>0</v>
      </c>
      <c r="BF150" s="73"/>
      <c r="BG150" s="72">
        <v>3168393.7700220277</v>
      </c>
      <c r="BH150" s="72">
        <v>0</v>
      </c>
      <c r="BI150" s="73"/>
      <c r="BJ150" s="74">
        <v>-2540.4896393042318</v>
      </c>
      <c r="BK150" s="74">
        <v>0</v>
      </c>
      <c r="BL150" s="73"/>
      <c r="BM150" s="72">
        <v>9684474.0489998572</v>
      </c>
      <c r="BN150" s="72">
        <v>0</v>
      </c>
      <c r="BO150" s="73"/>
      <c r="BP150" s="74">
        <v>-5828.8556650858227</v>
      </c>
      <c r="BQ150" s="74">
        <v>0</v>
      </c>
      <c r="BS150" s="109">
        <f t="shared" si="96"/>
        <v>116475.46218958135</v>
      </c>
      <c r="BT150" s="109">
        <f t="shared" si="97"/>
        <v>116914.37453579542</v>
      </c>
      <c r="BV150" s="58">
        <f t="array" ref="BV150">SUM(IF(BS150:BT150&gt;=BS150, 1))</f>
        <v>2</v>
      </c>
      <c r="BW150" s="58">
        <f t="array" ref="BW150">SUM(IF(BS150:BT150&gt;=BT150, 1))</f>
        <v>1</v>
      </c>
      <c r="BY150" s="109">
        <f t="shared" si="98"/>
        <v>133759.19953429178</v>
      </c>
      <c r="BZ150" s="109">
        <f t="shared" si="99"/>
        <v>134149.45985065142</v>
      </c>
      <c r="CB150" s="58">
        <f t="array" ref="CB150">SUM(IF(BY150:BZ150&gt;=BY150, 1))</f>
        <v>2</v>
      </c>
      <c r="CC150" s="58">
        <f t="array" ref="CC150">SUM(IF(BY150:BZ150&gt;=BZ150, 1))</f>
        <v>1</v>
      </c>
      <c r="CE150" s="109">
        <f t="shared" si="100"/>
        <v>98740.181236907578</v>
      </c>
      <c r="CF150" s="109">
        <f t="shared" si="101"/>
        <v>99379.969933044718</v>
      </c>
      <c r="CH150" s="58">
        <f t="array" ref="CH150">SUM(IF(CE150:CF150&gt;=CE150, 1))</f>
        <v>2</v>
      </c>
      <c r="CI150" s="58">
        <f t="array" ref="CI150">SUM(IF(CE150:CF150&gt;=CF150, 1))</f>
        <v>1</v>
      </c>
      <c r="CK150" s="109">
        <f t="shared" si="102"/>
        <v>41694.933966434313</v>
      </c>
      <c r="CL150" s="109">
        <f t="shared" si="103"/>
        <v>42599.682931439711</v>
      </c>
      <c r="CN150" s="58">
        <f t="array" ref="CN150">SUM(IF(CK150:CL150&gt;=CK150, 1))</f>
        <v>2</v>
      </c>
      <c r="CO150" s="58">
        <f t="array" ref="CO150">SUM(IF(CK150:CL150&gt;=CL150, 1))</f>
        <v>1</v>
      </c>
      <c r="CQ150" s="109" cm="1">
        <f t="array" ref="CQ150">AF150*WTP-AC150</f>
        <v>43390.758048449527</v>
      </c>
      <c r="CR150" s="109">
        <f t="shared" si="104"/>
        <v>46849.299834601465</v>
      </c>
      <c r="CT150" s="58">
        <f t="array" ref="CT150">SUM(IF(CQ150:CR150&gt;=CQ150, 1))</f>
        <v>2</v>
      </c>
      <c r="CU150" s="58">
        <f t="array" ref="CU150">SUM(IF(CQ150:CR150&gt;=CR150, 1))</f>
        <v>1</v>
      </c>
      <c r="CW150" s="109">
        <f t="shared" si="105"/>
        <v>-46943852.027954191</v>
      </c>
      <c r="CX150" s="109">
        <f t="shared" si="106"/>
        <v>0</v>
      </c>
      <c r="CZ150" s="58">
        <f t="array" ref="CZ150">SUM(IF(CW150:CX150&gt;=CW150, 1))</f>
        <v>2</v>
      </c>
      <c r="DA150" s="58">
        <f t="array" ref="DA150">SUM(IF(CW150:CX150&gt;=CX150, 1))</f>
        <v>1</v>
      </c>
      <c r="DC150" s="109">
        <f t="shared" si="107"/>
        <v>-2608054.4337920411</v>
      </c>
      <c r="DD150" s="109">
        <f t="shared" si="108"/>
        <v>0</v>
      </c>
      <c r="DF150" s="58">
        <f t="array" ref="DF150">SUM(IF(DC150:DD150&gt;=DC150, 1))</f>
        <v>2</v>
      </c>
      <c r="DG150" s="58">
        <f t="array" ref="DG150">SUM(IF(DC150:DD150&gt;=DD150, 1))</f>
        <v>1</v>
      </c>
      <c r="DI150" s="109">
        <f t="shared" si="109"/>
        <v>-14568408.875229171</v>
      </c>
      <c r="DJ150" s="109">
        <f t="shared" si="110"/>
        <v>0</v>
      </c>
      <c r="DL150" s="58">
        <f t="array" ref="DL150">SUM(IF(DI150:DJ150&gt;=DI150, 1))</f>
        <v>2</v>
      </c>
      <c r="DM150" s="58">
        <f t="array" ref="DM150">SUM(IF(DI150:DJ150&gt;=DJ150, 1))</f>
        <v>1</v>
      </c>
      <c r="DO150" s="109">
        <f t="shared" si="111"/>
        <v>-8163085.4576342553</v>
      </c>
      <c r="DP150" s="109">
        <f t="shared" si="112"/>
        <v>0</v>
      </c>
      <c r="DR150" s="58">
        <f t="array" ref="DR150">SUM(IF(DO150:DP150&gt;=DO150, 1))</f>
        <v>2</v>
      </c>
      <c r="DS150" s="58">
        <f t="array" ref="DS150">SUM(IF(DO150:DP150&gt;=DP150, 1))</f>
        <v>1</v>
      </c>
      <c r="DU150" s="109">
        <f t="shared" si="113"/>
        <v>-53978186.556106664</v>
      </c>
      <c r="DV150" s="109">
        <f t="shared" si="114"/>
        <v>0</v>
      </c>
      <c r="DX150" s="58">
        <f t="array" ref="DX150">SUM(IF(DU150:DV150&gt;=DU150, 1))</f>
        <v>2</v>
      </c>
      <c r="DY150" s="58">
        <f t="array" ref="DY150">SUM(IF(DU150:DV150&gt;=DV150, 1))</f>
        <v>1</v>
      </c>
      <c r="EA150" s="109">
        <f t="shared" si="115"/>
        <v>-126261587.35071631</v>
      </c>
      <c r="EB150" s="109">
        <f t="shared" si="116"/>
        <v>0</v>
      </c>
      <c r="ED150" s="58">
        <f t="array" ref="ED150">SUM(IF(EA150:EB150&gt;=EA150, 1))</f>
        <v>2</v>
      </c>
      <c r="EE150" s="58">
        <f t="array" ref="EE150">SUM(IF(EA150:EB150&gt;=EB150, 1))</f>
        <v>1</v>
      </c>
    </row>
    <row r="151" spans="4:135" ht="12" customHeight="1" x14ac:dyDescent="0.25">
      <c r="D151" s="11">
        <v>135</v>
      </c>
      <c r="E151" s="72">
        <v>240.56487130083684</v>
      </c>
      <c r="F151" s="72">
        <v>217.27619885001272</v>
      </c>
      <c r="G151" s="73"/>
      <c r="H151" s="74">
        <v>5.8069513103256067</v>
      </c>
      <c r="I151" s="74">
        <v>5.8227224981289991</v>
      </c>
      <c r="J151" s="73"/>
      <c r="K151" s="72">
        <v>258.09399041418243</v>
      </c>
      <c r="L151" s="72">
        <v>234.23374961066895</v>
      </c>
      <c r="M151" s="73"/>
      <c r="N151" s="74">
        <v>6.7156061009270012</v>
      </c>
      <c r="O151" s="74">
        <v>6.7294441734603856</v>
      </c>
      <c r="P151" s="73"/>
      <c r="Q151" s="72">
        <v>2927.0469113931113</v>
      </c>
      <c r="R151" s="72">
        <v>1402.046564350358</v>
      </c>
      <c r="S151" s="73"/>
      <c r="T151" s="74">
        <v>4.6445816012353971</v>
      </c>
      <c r="U151" s="74">
        <v>4.7494536908451197</v>
      </c>
      <c r="V151" s="73"/>
      <c r="W151" s="72">
        <v>8301.0403908447406</v>
      </c>
      <c r="X151" s="72">
        <v>8297.9087693917936</v>
      </c>
      <c r="Y151" s="73"/>
      <c r="Z151" s="74">
        <v>2.8029317438893027</v>
      </c>
      <c r="AA151" s="74">
        <v>2.851237608187938</v>
      </c>
      <c r="AB151" s="73"/>
      <c r="AC151" s="72">
        <v>50703.346220215892</v>
      </c>
      <c r="AD151" s="72">
        <v>50620.974625426948</v>
      </c>
      <c r="AE151" s="73"/>
      <c r="AF151" s="74">
        <v>4.1647917719225473</v>
      </c>
      <c r="AG151" s="74">
        <v>4.2660789687082135</v>
      </c>
      <c r="AH151" s="73"/>
      <c r="AI151" s="72">
        <v>2483797.2621487947</v>
      </c>
      <c r="AJ151" s="72">
        <v>0</v>
      </c>
      <c r="AK151" s="73"/>
      <c r="AL151" s="74">
        <v>-1682.0380453036184</v>
      </c>
      <c r="AM151" s="74">
        <v>0</v>
      </c>
      <c r="AN151" s="73"/>
      <c r="AO151" s="72">
        <v>155010.69267056428</v>
      </c>
      <c r="AP151" s="72">
        <v>0</v>
      </c>
      <c r="AQ151" s="73"/>
      <c r="AR151" s="74">
        <v>-89.900568325763359</v>
      </c>
      <c r="AS151" s="74">
        <v>0</v>
      </c>
      <c r="AT151" s="73"/>
      <c r="AU151" s="72">
        <v>35839186.681598254</v>
      </c>
      <c r="AV151" s="72">
        <v>0</v>
      </c>
      <c r="AW151" s="73"/>
      <c r="AX151" s="74">
        <v>-2464.6095356637838</v>
      </c>
      <c r="AY151" s="74">
        <v>0</v>
      </c>
      <c r="AZ151" s="73"/>
      <c r="BA151" s="72">
        <v>28505.94771351057</v>
      </c>
      <c r="BB151" s="72">
        <v>0</v>
      </c>
      <c r="BC151" s="73"/>
      <c r="BD151" s="74">
        <v>-439.70973588043711</v>
      </c>
      <c r="BE151" s="74">
        <v>0</v>
      </c>
      <c r="BF151" s="73"/>
      <c r="BG151" s="72">
        <v>1280853.763494733</v>
      </c>
      <c r="BH151" s="72">
        <v>0</v>
      </c>
      <c r="BI151" s="73"/>
      <c r="BJ151" s="74">
        <v>-1574.9857402805364</v>
      </c>
      <c r="BK151" s="74">
        <v>0</v>
      </c>
      <c r="BL151" s="73"/>
      <c r="BM151" s="72">
        <v>39787354.347625852</v>
      </c>
      <c r="BN151" s="72">
        <v>0</v>
      </c>
      <c r="BO151" s="73"/>
      <c r="BP151" s="74">
        <v>-6251.243625454139</v>
      </c>
      <c r="BQ151" s="74">
        <v>0</v>
      </c>
      <c r="BS151" s="109">
        <f t="shared" si="96"/>
        <v>115898.46133521129</v>
      </c>
      <c r="BT151" s="109">
        <f t="shared" si="97"/>
        <v>116237.17376372997</v>
      </c>
      <c r="BV151" s="58">
        <f t="array" ref="BV151">SUM(IF(BS151:BT151&gt;=BS151, 1))</f>
        <v>2</v>
      </c>
      <c r="BW151" s="58">
        <f t="array" ref="BW151">SUM(IF(BS151:BT151&gt;=BT151, 1))</f>
        <v>1</v>
      </c>
      <c r="BY151" s="109">
        <f t="shared" si="98"/>
        <v>134054.02802812585</v>
      </c>
      <c r="BZ151" s="109">
        <f t="shared" si="99"/>
        <v>134354.64971959704</v>
      </c>
      <c r="CB151" s="58">
        <f t="array" ref="CB151">SUM(IF(BY151:BZ151&gt;=BY151, 1))</f>
        <v>2</v>
      </c>
      <c r="CC151" s="58">
        <f t="array" ref="CC151">SUM(IF(BY151:BZ151&gt;=BZ151, 1))</f>
        <v>1</v>
      </c>
      <c r="CE151" s="109">
        <f t="shared" si="100"/>
        <v>89964.585113314824</v>
      </c>
      <c r="CF151" s="109">
        <f t="shared" si="101"/>
        <v>93587.027252552041</v>
      </c>
      <c r="CH151" s="58">
        <f t="array" ref="CH151">SUM(IF(CE151:CF151&gt;=CE151, 1))</f>
        <v>2</v>
      </c>
      <c r="CI151" s="58">
        <f t="array" ref="CI151">SUM(IF(CE151:CF151&gt;=CF151, 1))</f>
        <v>1</v>
      </c>
      <c r="CK151" s="109">
        <f t="shared" si="102"/>
        <v>47757.594486941314</v>
      </c>
      <c r="CL151" s="109">
        <f t="shared" si="103"/>
        <v>48726.843394366966</v>
      </c>
      <c r="CN151" s="58">
        <f t="array" ref="CN151">SUM(IF(CK151:CL151&gt;=CK151, 1))</f>
        <v>2</v>
      </c>
      <c r="CO151" s="58">
        <f t="array" ref="CO151">SUM(IF(CK151:CL151&gt;=CL151, 1))</f>
        <v>1</v>
      </c>
      <c r="CQ151" s="109" cm="1">
        <f t="array" ref="CQ151">AF151*WTP-AC151</f>
        <v>32592.489218235052</v>
      </c>
      <c r="CR151" s="109">
        <f t="shared" si="104"/>
        <v>34700.604748737322</v>
      </c>
      <c r="CT151" s="58">
        <f t="array" ref="CT151">SUM(IF(CQ151:CR151&gt;=CQ151, 1))</f>
        <v>2</v>
      </c>
      <c r="CU151" s="58">
        <f t="array" ref="CU151">SUM(IF(CQ151:CR151&gt;=CR151, 1))</f>
        <v>1</v>
      </c>
      <c r="CW151" s="109">
        <f t="shared" si="105"/>
        <v>-36124558.168221168</v>
      </c>
      <c r="CX151" s="109">
        <f t="shared" si="106"/>
        <v>0</v>
      </c>
      <c r="CZ151" s="58">
        <f t="array" ref="CZ151">SUM(IF(CW151:CX151&gt;=CW151, 1))</f>
        <v>2</v>
      </c>
      <c r="DA151" s="58">
        <f t="array" ref="DA151">SUM(IF(CW151:CX151&gt;=CX151, 1))</f>
        <v>1</v>
      </c>
      <c r="DC151" s="109">
        <f t="shared" si="107"/>
        <v>-1953022.0591858313</v>
      </c>
      <c r="DD151" s="109">
        <f t="shared" si="108"/>
        <v>0</v>
      </c>
      <c r="DF151" s="58">
        <f t="array" ref="DF151">SUM(IF(DC151:DD151&gt;=DC151, 1))</f>
        <v>2</v>
      </c>
      <c r="DG151" s="58">
        <f t="array" ref="DG151">SUM(IF(DC151:DD151&gt;=DD151, 1))</f>
        <v>1</v>
      </c>
      <c r="DI151" s="109">
        <f t="shared" si="109"/>
        <v>-85131377.394873932</v>
      </c>
      <c r="DJ151" s="109">
        <f t="shared" si="110"/>
        <v>0</v>
      </c>
      <c r="DL151" s="58">
        <f t="array" ref="DL151">SUM(IF(DI151:DJ151&gt;=DI151, 1))</f>
        <v>2</v>
      </c>
      <c r="DM151" s="58">
        <f t="array" ref="DM151">SUM(IF(DI151:DJ151&gt;=DJ151, 1))</f>
        <v>1</v>
      </c>
      <c r="DO151" s="109">
        <f t="shared" si="111"/>
        <v>-8822700.6653222535</v>
      </c>
      <c r="DP151" s="109">
        <f t="shared" si="112"/>
        <v>0</v>
      </c>
      <c r="DR151" s="58">
        <f t="array" ref="DR151">SUM(IF(DO151:DP151&gt;=DO151, 1))</f>
        <v>2</v>
      </c>
      <c r="DS151" s="58">
        <f t="array" ref="DS151">SUM(IF(DO151:DP151&gt;=DP151, 1))</f>
        <v>1</v>
      </c>
      <c r="DU151" s="109">
        <f t="shared" si="113"/>
        <v>-32780568.569105461</v>
      </c>
      <c r="DV151" s="109">
        <f t="shared" si="114"/>
        <v>0</v>
      </c>
      <c r="DX151" s="58">
        <f t="array" ref="DX151">SUM(IF(DU151:DV151&gt;=DU151, 1))</f>
        <v>2</v>
      </c>
      <c r="DY151" s="58">
        <f t="array" ref="DY151">SUM(IF(DU151:DV151&gt;=DV151, 1))</f>
        <v>1</v>
      </c>
      <c r="EA151" s="109">
        <f t="shared" si="115"/>
        <v>-164812226.85670865</v>
      </c>
      <c r="EB151" s="109">
        <f t="shared" si="116"/>
        <v>0</v>
      </c>
      <c r="ED151" s="58">
        <f t="array" ref="ED151">SUM(IF(EA151:EB151&gt;=EA151, 1))</f>
        <v>2</v>
      </c>
      <c r="EE151" s="58">
        <f t="array" ref="EE151">SUM(IF(EA151:EB151&gt;=EB151, 1))</f>
        <v>1</v>
      </c>
    </row>
    <row r="152" spans="4:135" ht="12" customHeight="1" x14ac:dyDescent="0.25">
      <c r="D152" s="11">
        <v>136</v>
      </c>
      <c r="E152" s="72">
        <v>277.33043847664572</v>
      </c>
      <c r="F152" s="72">
        <v>255.54262151190724</v>
      </c>
      <c r="G152" s="73"/>
      <c r="H152" s="74">
        <v>5.840550989846462</v>
      </c>
      <c r="I152" s="74">
        <v>5.8615382658736683</v>
      </c>
      <c r="J152" s="73"/>
      <c r="K152" s="72">
        <v>297.85886085363751</v>
      </c>
      <c r="L152" s="72">
        <v>275.55325110734918</v>
      </c>
      <c r="M152" s="73"/>
      <c r="N152" s="74">
        <v>6.6875385495123343</v>
      </c>
      <c r="O152" s="74">
        <v>6.706675881202222</v>
      </c>
      <c r="P152" s="73"/>
      <c r="Q152" s="72">
        <v>2592.2215087844197</v>
      </c>
      <c r="R152" s="72">
        <v>1345.9344316302715</v>
      </c>
      <c r="S152" s="73"/>
      <c r="T152" s="74">
        <v>4.8099042736437987</v>
      </c>
      <c r="U152" s="74">
        <v>4.9248758657273353</v>
      </c>
      <c r="V152" s="73"/>
      <c r="W152" s="72">
        <v>14841.664012303374</v>
      </c>
      <c r="X152" s="72">
        <v>14803.923455420931</v>
      </c>
      <c r="Y152" s="73"/>
      <c r="Z152" s="74">
        <v>2.9620335661239343</v>
      </c>
      <c r="AA152" s="74">
        <v>3.0044539719266994</v>
      </c>
      <c r="AB152" s="73"/>
      <c r="AC152" s="72">
        <v>50265.684114100637</v>
      </c>
      <c r="AD152" s="72">
        <v>49817.332997070567</v>
      </c>
      <c r="AE152" s="73"/>
      <c r="AF152" s="74">
        <v>4.5153340800850508</v>
      </c>
      <c r="AG152" s="74">
        <v>4.6529567876044915</v>
      </c>
      <c r="AH152" s="73"/>
      <c r="AI152" s="72">
        <v>2338254.6543960581</v>
      </c>
      <c r="AJ152" s="72">
        <v>0</v>
      </c>
      <c r="AK152" s="73"/>
      <c r="AL152" s="74">
        <v>-2252.3411103154981</v>
      </c>
      <c r="AM152" s="74">
        <v>0</v>
      </c>
      <c r="AN152" s="73"/>
      <c r="AO152" s="72">
        <v>147753.77352372778</v>
      </c>
      <c r="AP152" s="72">
        <v>0</v>
      </c>
      <c r="AQ152" s="73"/>
      <c r="AR152" s="74">
        <v>-126.766898754097</v>
      </c>
      <c r="AS152" s="74">
        <v>0</v>
      </c>
      <c r="AT152" s="73"/>
      <c r="AU152" s="72">
        <v>28917270.412158985</v>
      </c>
      <c r="AV152" s="72">
        <v>0</v>
      </c>
      <c r="AW152" s="73"/>
      <c r="AX152" s="74">
        <v>-2667.655533737714</v>
      </c>
      <c r="AY152" s="74">
        <v>0</v>
      </c>
      <c r="AZ152" s="73"/>
      <c r="BA152" s="72">
        <v>337210.17228353192</v>
      </c>
      <c r="BB152" s="72">
        <v>0</v>
      </c>
      <c r="BC152" s="73"/>
      <c r="BD152" s="74">
        <v>-379.02441115653352</v>
      </c>
      <c r="BE152" s="74">
        <v>0</v>
      </c>
      <c r="BF152" s="73"/>
      <c r="BG152" s="72">
        <v>7061493.7374861939</v>
      </c>
      <c r="BH152" s="72">
        <v>0</v>
      </c>
      <c r="BI152" s="73"/>
      <c r="BJ152" s="74">
        <v>-2167.5464839295737</v>
      </c>
      <c r="BK152" s="74">
        <v>0</v>
      </c>
      <c r="BL152" s="73"/>
      <c r="BM152" s="72">
        <v>38801982.749848492</v>
      </c>
      <c r="BN152" s="72">
        <v>0</v>
      </c>
      <c r="BO152" s="73"/>
      <c r="BP152" s="74">
        <v>-7593.3344378934162</v>
      </c>
      <c r="BQ152" s="74">
        <v>0</v>
      </c>
      <c r="BS152" s="109">
        <f t="shared" si="96"/>
        <v>116533.68935845258</v>
      </c>
      <c r="BT152" s="109">
        <f t="shared" si="97"/>
        <v>116975.22269596146</v>
      </c>
      <c r="BV152" s="58">
        <f t="array" ref="BV152">SUM(IF(BS152:BT152&gt;=BS152, 1))</f>
        <v>2</v>
      </c>
      <c r="BW152" s="58">
        <f t="array" ref="BW152">SUM(IF(BS152:BT152&gt;=BT152, 1))</f>
        <v>1</v>
      </c>
      <c r="BY152" s="109">
        <f t="shared" si="98"/>
        <v>133452.91212939302</v>
      </c>
      <c r="BZ152" s="109">
        <f t="shared" si="99"/>
        <v>133857.9643729371</v>
      </c>
      <c r="CB152" s="58">
        <f t="array" ref="CB152">SUM(IF(BY152:BZ152&gt;=BY152, 1))</f>
        <v>2</v>
      </c>
      <c r="CC152" s="58">
        <f t="array" ref="CC152">SUM(IF(BY152:BZ152&gt;=BZ152, 1))</f>
        <v>1</v>
      </c>
      <c r="CE152" s="109">
        <f t="shared" si="100"/>
        <v>93605.86396409155</v>
      </c>
      <c r="CF152" s="109">
        <f t="shared" si="101"/>
        <v>97151.582882916438</v>
      </c>
      <c r="CH152" s="58">
        <f t="array" ref="CH152">SUM(IF(CE152:CF152&gt;=CE152, 1))</f>
        <v>2</v>
      </c>
      <c r="CI152" s="58">
        <f t="array" ref="CI152">SUM(IF(CE152:CF152&gt;=CF152, 1))</f>
        <v>1</v>
      </c>
      <c r="CK152" s="109">
        <f t="shared" si="102"/>
        <v>44399.007310175315</v>
      </c>
      <c r="CL152" s="109">
        <f t="shared" si="103"/>
        <v>45285.155983113058</v>
      </c>
      <c r="CN152" s="58">
        <f t="array" ref="CN152">SUM(IF(CK152:CL152&gt;=CK152, 1))</f>
        <v>2</v>
      </c>
      <c r="CO152" s="58">
        <f t="array" ref="CO152">SUM(IF(CK152:CL152&gt;=CL152, 1))</f>
        <v>1</v>
      </c>
      <c r="CQ152" s="109" cm="1">
        <f t="array" ref="CQ152">AF152*WTP-AC152</f>
        <v>40040.997487600376</v>
      </c>
      <c r="CR152" s="109">
        <f t="shared" si="104"/>
        <v>43241.802755019264</v>
      </c>
      <c r="CT152" s="58">
        <f t="array" ref="CT152">SUM(IF(CQ152:CR152&gt;=CQ152, 1))</f>
        <v>2</v>
      </c>
      <c r="CU152" s="58">
        <f t="array" ref="CU152">SUM(IF(CQ152:CR152&gt;=CR152, 1))</f>
        <v>1</v>
      </c>
      <c r="CW152" s="109">
        <f t="shared" si="105"/>
        <v>-47385076.860706016</v>
      </c>
      <c r="CX152" s="109">
        <f t="shared" si="106"/>
        <v>0</v>
      </c>
      <c r="CZ152" s="58">
        <f t="array" ref="CZ152">SUM(IF(CW152:CX152&gt;=CW152, 1))</f>
        <v>2</v>
      </c>
      <c r="DA152" s="58">
        <f t="array" ref="DA152">SUM(IF(CW152:CX152&gt;=CX152, 1))</f>
        <v>1</v>
      </c>
      <c r="DC152" s="109">
        <f t="shared" si="107"/>
        <v>-2683091.7486056681</v>
      </c>
      <c r="DD152" s="109">
        <f t="shared" si="108"/>
        <v>0</v>
      </c>
      <c r="DF152" s="58">
        <f t="array" ref="DF152">SUM(IF(DC152:DD152&gt;=DC152, 1))</f>
        <v>2</v>
      </c>
      <c r="DG152" s="58">
        <f t="array" ref="DG152">SUM(IF(DC152:DD152&gt;=DD152, 1))</f>
        <v>1</v>
      </c>
      <c r="DI152" s="109">
        <f t="shared" si="109"/>
        <v>-82270381.086913258</v>
      </c>
      <c r="DJ152" s="109">
        <f t="shared" si="110"/>
        <v>0</v>
      </c>
      <c r="DL152" s="58">
        <f t="array" ref="DL152">SUM(IF(DI152:DJ152&gt;=DI152, 1))</f>
        <v>2</v>
      </c>
      <c r="DM152" s="58">
        <f t="array" ref="DM152">SUM(IF(DI152:DJ152&gt;=DJ152, 1))</f>
        <v>1</v>
      </c>
      <c r="DO152" s="109">
        <f t="shared" si="111"/>
        <v>-7917698.3954142025</v>
      </c>
      <c r="DP152" s="109">
        <f t="shared" si="112"/>
        <v>0</v>
      </c>
      <c r="DR152" s="58">
        <f t="array" ref="DR152">SUM(IF(DO152:DP152&gt;=DO152, 1))</f>
        <v>2</v>
      </c>
      <c r="DS152" s="58">
        <f t="array" ref="DS152">SUM(IF(DO152:DP152&gt;=DP152, 1))</f>
        <v>1</v>
      </c>
      <c r="DU152" s="109">
        <f t="shared" si="113"/>
        <v>-50412423.416077666</v>
      </c>
      <c r="DV152" s="109">
        <f t="shared" si="114"/>
        <v>0</v>
      </c>
      <c r="DX152" s="58">
        <f t="array" ref="DX152">SUM(IF(DU152:DV152&gt;=DU152, 1))</f>
        <v>2</v>
      </c>
      <c r="DY152" s="58">
        <f t="array" ref="DY152">SUM(IF(DU152:DV152&gt;=DV152, 1))</f>
        <v>1</v>
      </c>
      <c r="EA152" s="109">
        <f t="shared" si="115"/>
        <v>-190668671.5077168</v>
      </c>
      <c r="EB152" s="109">
        <f t="shared" si="116"/>
        <v>0</v>
      </c>
      <c r="ED152" s="58">
        <f t="array" ref="ED152">SUM(IF(EA152:EB152&gt;=EA152, 1))</f>
        <v>2</v>
      </c>
      <c r="EE152" s="58">
        <f t="array" ref="EE152">SUM(IF(EA152:EB152&gt;=EB152, 1))</f>
        <v>1</v>
      </c>
    </row>
    <row r="153" spans="4:135" ht="12" customHeight="1" x14ac:dyDescent="0.25">
      <c r="D153" s="11">
        <v>137</v>
      </c>
      <c r="E153" s="72">
        <v>259.39685467063231</v>
      </c>
      <c r="F153" s="72">
        <v>241.01439802784853</v>
      </c>
      <c r="G153" s="73"/>
      <c r="H153" s="74">
        <v>5.8065656520193407</v>
      </c>
      <c r="I153" s="74">
        <v>5.8214039374502988</v>
      </c>
      <c r="J153" s="73"/>
      <c r="K153" s="72">
        <v>278.68092386009124</v>
      </c>
      <c r="L153" s="72">
        <v>259.86854596467288</v>
      </c>
      <c r="M153" s="73"/>
      <c r="N153" s="74">
        <v>6.6879245084513741</v>
      </c>
      <c r="O153" s="74">
        <v>6.7011621955361003</v>
      </c>
      <c r="P153" s="73"/>
      <c r="Q153" s="72">
        <v>2665.8826384878357</v>
      </c>
      <c r="R153" s="72">
        <v>1679.0438093593712</v>
      </c>
      <c r="S153" s="73"/>
      <c r="T153" s="74">
        <v>4.7988868479641171</v>
      </c>
      <c r="U153" s="74">
        <v>4.8776601018271011</v>
      </c>
      <c r="V153" s="73"/>
      <c r="W153" s="72">
        <v>11903.671897014727</v>
      </c>
      <c r="X153" s="72">
        <v>11964.891853550349</v>
      </c>
      <c r="Y153" s="73"/>
      <c r="Z153" s="74">
        <v>3.1098183959698904</v>
      </c>
      <c r="AA153" s="74">
        <v>3.1765769532640866</v>
      </c>
      <c r="AB153" s="73"/>
      <c r="AC153" s="72">
        <v>50792.397075150526</v>
      </c>
      <c r="AD153" s="72">
        <v>50563.576523215655</v>
      </c>
      <c r="AE153" s="73"/>
      <c r="AF153" s="74">
        <v>4.6392918603721682</v>
      </c>
      <c r="AG153" s="74">
        <v>4.8549600894588876</v>
      </c>
      <c r="AH153" s="73"/>
      <c r="AI153" s="72">
        <v>1986160.6997861364</v>
      </c>
      <c r="AJ153" s="72">
        <v>0</v>
      </c>
      <c r="AK153" s="73"/>
      <c r="AL153" s="74">
        <v>-1603.2252896267494</v>
      </c>
      <c r="AM153" s="74">
        <v>0</v>
      </c>
      <c r="AN153" s="73"/>
      <c r="AO153" s="72">
        <v>130660.36555190255</v>
      </c>
      <c r="AP153" s="72">
        <v>0</v>
      </c>
      <c r="AQ153" s="73"/>
      <c r="AR153" s="74">
        <v>-91.941648374672695</v>
      </c>
      <c r="AS153" s="74">
        <v>0</v>
      </c>
      <c r="AT153" s="73"/>
      <c r="AU153" s="72">
        <v>23178191.037830546</v>
      </c>
      <c r="AV153" s="72">
        <v>0</v>
      </c>
      <c r="AW153" s="73"/>
      <c r="AX153" s="74">
        <v>-1850.1719559619025</v>
      </c>
      <c r="AY153" s="74">
        <v>0</v>
      </c>
      <c r="AZ153" s="73"/>
      <c r="BA153" s="72">
        <v>-529441.34250681917</v>
      </c>
      <c r="BB153" s="72">
        <v>0</v>
      </c>
      <c r="BC153" s="73"/>
      <c r="BD153" s="74">
        <v>-577.34017137192006</v>
      </c>
      <c r="BE153" s="74">
        <v>0</v>
      </c>
      <c r="BF153" s="73"/>
      <c r="BG153" s="72">
        <v>3610366.6130643529</v>
      </c>
      <c r="BH153" s="72">
        <v>0</v>
      </c>
      <c r="BI153" s="73"/>
      <c r="BJ153" s="74">
        <v>-3402.8471971129247</v>
      </c>
      <c r="BK153" s="74">
        <v>0</v>
      </c>
      <c r="BL153" s="73"/>
      <c r="BM153" s="72">
        <v>28375937.373726118</v>
      </c>
      <c r="BN153" s="72">
        <v>0</v>
      </c>
      <c r="BO153" s="73"/>
      <c r="BP153" s="74">
        <v>-7525.5262624481693</v>
      </c>
      <c r="BQ153" s="74">
        <v>0</v>
      </c>
      <c r="BS153" s="109">
        <f t="shared" si="96"/>
        <v>115871.91618571618</v>
      </c>
      <c r="BT153" s="109">
        <f t="shared" si="97"/>
        <v>116187.06435097812</v>
      </c>
      <c r="BV153" s="58">
        <f t="array" ref="BV153">SUM(IF(BS153:BT153&gt;=BS153, 1))</f>
        <v>2</v>
      </c>
      <c r="BW153" s="58">
        <f t="array" ref="BW153">SUM(IF(BS153:BT153&gt;=BT153, 1))</f>
        <v>1</v>
      </c>
      <c r="BY153" s="109">
        <f t="shared" si="98"/>
        <v>133479.80924516739</v>
      </c>
      <c r="BZ153" s="109">
        <f t="shared" si="99"/>
        <v>133763.37536475732</v>
      </c>
      <c r="CB153" s="58">
        <f t="array" ref="CB153">SUM(IF(BY153:BZ153&gt;=BY153, 1))</f>
        <v>2</v>
      </c>
      <c r="CC153" s="58">
        <f t="array" ref="CC153">SUM(IF(BY153:BZ153&gt;=BZ153, 1))</f>
        <v>1</v>
      </c>
      <c r="CE153" s="109">
        <f t="shared" si="100"/>
        <v>93311.854320794504</v>
      </c>
      <c r="CF153" s="109">
        <f t="shared" si="101"/>
        <v>95874.158227182648</v>
      </c>
      <c r="CH153" s="58">
        <f t="array" ref="CH153">SUM(IF(CE153:CF153&gt;=CE153, 1))</f>
        <v>2</v>
      </c>
      <c r="CI153" s="58">
        <f t="array" ref="CI153">SUM(IF(CE153:CF153&gt;=CF153, 1))</f>
        <v>1</v>
      </c>
      <c r="CK153" s="109">
        <f t="shared" si="102"/>
        <v>50292.696022383083</v>
      </c>
      <c r="CL153" s="109">
        <f t="shared" si="103"/>
        <v>51566.647211731382</v>
      </c>
      <c r="CN153" s="58">
        <f t="array" ref="CN153">SUM(IF(CK153:CL153&gt;=CK153, 1))</f>
        <v>2</v>
      </c>
      <c r="CO153" s="58">
        <f t="array" ref="CO153">SUM(IF(CK153:CL153&gt;=CL153, 1))</f>
        <v>1</v>
      </c>
      <c r="CQ153" s="109" cm="1">
        <f t="array" ref="CQ153">AF153*WTP-AC153</f>
        <v>41993.440132292846</v>
      </c>
      <c r="CR153" s="109">
        <f t="shared" si="104"/>
        <v>46535.625265962095</v>
      </c>
      <c r="CT153" s="58">
        <f t="array" ref="CT153">SUM(IF(CQ153:CR153&gt;=CQ153, 1))</f>
        <v>2</v>
      </c>
      <c r="CU153" s="58">
        <f t="array" ref="CU153">SUM(IF(CQ153:CR153&gt;=CR153, 1))</f>
        <v>1</v>
      </c>
      <c r="CW153" s="109">
        <f t="shared" si="105"/>
        <v>-34050666.492321126</v>
      </c>
      <c r="CX153" s="109">
        <f t="shared" si="106"/>
        <v>0</v>
      </c>
      <c r="CZ153" s="58">
        <f t="array" ref="CZ153">SUM(IF(CW153:CX153&gt;=CW153, 1))</f>
        <v>2</v>
      </c>
      <c r="DA153" s="58">
        <f t="array" ref="DA153">SUM(IF(CW153:CX153&gt;=CX153, 1))</f>
        <v>1</v>
      </c>
      <c r="DC153" s="109">
        <f t="shared" si="107"/>
        <v>-1969493.3330453564</v>
      </c>
      <c r="DD153" s="109">
        <f t="shared" si="108"/>
        <v>0</v>
      </c>
      <c r="DF153" s="58">
        <f t="array" ref="DF153">SUM(IF(DC153:DD153&gt;=DC153, 1))</f>
        <v>2</v>
      </c>
      <c r="DG153" s="58">
        <f t="array" ref="DG153">SUM(IF(DC153:DD153&gt;=DD153, 1))</f>
        <v>1</v>
      </c>
      <c r="DI153" s="109">
        <f t="shared" si="109"/>
        <v>-60181630.157068595</v>
      </c>
      <c r="DJ153" s="109">
        <f t="shared" si="110"/>
        <v>0</v>
      </c>
      <c r="DL153" s="58">
        <f t="array" ref="DL153">SUM(IF(DI153:DJ153&gt;=DI153, 1))</f>
        <v>2</v>
      </c>
      <c r="DM153" s="58">
        <f t="array" ref="DM153">SUM(IF(DI153:DJ153&gt;=DJ153, 1))</f>
        <v>1</v>
      </c>
      <c r="DO153" s="109">
        <f t="shared" si="111"/>
        <v>-11017362.084931582</v>
      </c>
      <c r="DP153" s="109">
        <f t="shared" si="112"/>
        <v>0</v>
      </c>
      <c r="DR153" s="58">
        <f t="array" ref="DR153">SUM(IF(DO153:DP153&gt;=DO153, 1))</f>
        <v>2</v>
      </c>
      <c r="DS153" s="58">
        <f t="array" ref="DS153">SUM(IF(DO153:DP153&gt;=DP153, 1))</f>
        <v>1</v>
      </c>
      <c r="DU153" s="109">
        <f t="shared" si="113"/>
        <v>-71667310.555322841</v>
      </c>
      <c r="DV153" s="109">
        <f t="shared" si="114"/>
        <v>0</v>
      </c>
      <c r="DX153" s="58">
        <f t="array" ref="DX153">SUM(IF(DU153:DV153&gt;=DU153, 1))</f>
        <v>2</v>
      </c>
      <c r="DY153" s="58">
        <f t="array" ref="DY153">SUM(IF(DU153:DV153&gt;=DV153, 1))</f>
        <v>1</v>
      </c>
      <c r="EA153" s="109">
        <f t="shared" si="115"/>
        <v>-178886462.62268952</v>
      </c>
      <c r="EB153" s="109">
        <f t="shared" si="116"/>
        <v>0</v>
      </c>
      <c r="ED153" s="58">
        <f t="array" ref="ED153">SUM(IF(EA153:EB153&gt;=EA153, 1))</f>
        <v>2</v>
      </c>
      <c r="EE153" s="58">
        <f t="array" ref="EE153">SUM(IF(EA153:EB153&gt;=EB153, 1))</f>
        <v>1</v>
      </c>
    </row>
    <row r="154" spans="4:135" ht="12" customHeight="1" x14ac:dyDescent="0.25">
      <c r="D154" s="11">
        <v>138</v>
      </c>
      <c r="E154" s="72">
        <v>225.0272641324477</v>
      </c>
      <c r="F154" s="72">
        <v>198.64382500342222</v>
      </c>
      <c r="G154" s="73"/>
      <c r="H154" s="74">
        <v>5.8247848624668972</v>
      </c>
      <c r="I154" s="74">
        <v>5.842043483056262</v>
      </c>
      <c r="J154" s="73"/>
      <c r="K154" s="72">
        <v>241.15729828216487</v>
      </c>
      <c r="L154" s="72">
        <v>214.12906023682848</v>
      </c>
      <c r="M154" s="73"/>
      <c r="N154" s="74">
        <v>6.6991292738907093</v>
      </c>
      <c r="O154" s="74">
        <v>6.7139519081513086</v>
      </c>
      <c r="P154" s="73"/>
      <c r="Q154" s="72">
        <v>1790.523480023543</v>
      </c>
      <c r="R154" s="72">
        <v>1280.3186611975477</v>
      </c>
      <c r="S154" s="73"/>
      <c r="T154" s="74">
        <v>4.8112942660935962</v>
      </c>
      <c r="U154" s="74">
        <v>4.8763665161926451</v>
      </c>
      <c r="V154" s="73"/>
      <c r="W154" s="72">
        <v>11605.360429618368</v>
      </c>
      <c r="X154" s="72">
        <v>11609.390735515526</v>
      </c>
      <c r="Y154" s="73"/>
      <c r="Z154" s="74">
        <v>2.9550032488908111</v>
      </c>
      <c r="AA154" s="74">
        <v>3.00786400864681</v>
      </c>
      <c r="AB154" s="73"/>
      <c r="AC154" s="72">
        <v>50348.674400624557</v>
      </c>
      <c r="AD154" s="72">
        <v>50258.275642897279</v>
      </c>
      <c r="AE154" s="73"/>
      <c r="AF154" s="74">
        <v>4.6247307542855545</v>
      </c>
      <c r="AG154" s="74">
        <v>4.7338408006284807</v>
      </c>
      <c r="AH154" s="73"/>
      <c r="AI154" s="72">
        <v>2803455.4774237229</v>
      </c>
      <c r="AJ154" s="72">
        <v>0</v>
      </c>
      <c r="AK154" s="73"/>
      <c r="AL154" s="74">
        <v>-1833.8691247724264</v>
      </c>
      <c r="AM154" s="74">
        <v>0</v>
      </c>
      <c r="AN154" s="73"/>
      <c r="AO154" s="72">
        <v>188010.35853374968</v>
      </c>
      <c r="AP154" s="72">
        <v>0</v>
      </c>
      <c r="AQ154" s="73"/>
      <c r="AR154" s="74">
        <v>-103.10730492588515</v>
      </c>
      <c r="AS154" s="74">
        <v>0</v>
      </c>
      <c r="AT154" s="73"/>
      <c r="AU154" s="72">
        <v>11802039.583844513</v>
      </c>
      <c r="AV154" s="72">
        <v>0</v>
      </c>
      <c r="AW154" s="73"/>
      <c r="AX154" s="74">
        <v>-1505.2489571658173</v>
      </c>
      <c r="AY154" s="74">
        <v>0</v>
      </c>
      <c r="AZ154" s="73"/>
      <c r="BA154" s="72">
        <v>-36163.63739055839</v>
      </c>
      <c r="BB154" s="72">
        <v>0</v>
      </c>
      <c r="BC154" s="73"/>
      <c r="BD154" s="74">
        <v>-474.31569632297999</v>
      </c>
      <c r="BE154" s="74">
        <v>0</v>
      </c>
      <c r="BF154" s="73"/>
      <c r="BG154" s="72">
        <v>1431049.7805274981</v>
      </c>
      <c r="BH154" s="72">
        <v>0</v>
      </c>
      <c r="BI154" s="73"/>
      <c r="BJ154" s="74">
        <v>-1727.2572300545353</v>
      </c>
      <c r="BK154" s="74">
        <v>0</v>
      </c>
      <c r="BL154" s="73"/>
      <c r="BM154" s="72">
        <v>16188391.562938927</v>
      </c>
      <c r="BN154" s="72">
        <v>0</v>
      </c>
      <c r="BO154" s="73"/>
      <c r="BP154" s="74">
        <v>-5643.7983132416439</v>
      </c>
      <c r="BQ154" s="74">
        <v>0</v>
      </c>
      <c r="BS154" s="109">
        <f t="shared" si="96"/>
        <v>116270.6699852055</v>
      </c>
      <c r="BT154" s="109">
        <f t="shared" si="97"/>
        <v>116642.22583612181</v>
      </c>
      <c r="BV154" s="58">
        <f t="array" ref="BV154">SUM(IF(BS154:BT154&gt;=BS154, 1))</f>
        <v>2</v>
      </c>
      <c r="BW154" s="58">
        <f t="array" ref="BW154">SUM(IF(BS154:BT154&gt;=BT154, 1))</f>
        <v>1</v>
      </c>
      <c r="BY154" s="109">
        <f t="shared" si="98"/>
        <v>133741.42817953203</v>
      </c>
      <c r="BZ154" s="109">
        <f t="shared" si="99"/>
        <v>134064.90910278936</v>
      </c>
      <c r="CB154" s="58">
        <f t="array" ref="CB154">SUM(IF(BY154:BZ154&gt;=BY154, 1))</f>
        <v>2</v>
      </c>
      <c r="CC154" s="58">
        <f t="array" ref="CC154">SUM(IF(BY154:BZ154&gt;=BZ154, 1))</f>
        <v>1</v>
      </c>
      <c r="CE154" s="109">
        <f t="shared" si="100"/>
        <v>94435.361841848382</v>
      </c>
      <c r="CF154" s="109">
        <f t="shared" si="101"/>
        <v>96247.01166265535</v>
      </c>
      <c r="CH154" s="58">
        <f t="array" ref="CH154">SUM(IF(CE154:CF154&gt;=CE154, 1))</f>
        <v>2</v>
      </c>
      <c r="CI154" s="58">
        <f t="array" ref="CI154">SUM(IF(CE154:CF154&gt;=CF154, 1))</f>
        <v>1</v>
      </c>
      <c r="CK154" s="109">
        <f t="shared" si="102"/>
        <v>47494.704548197849</v>
      </c>
      <c r="CL154" s="109">
        <f t="shared" si="103"/>
        <v>48547.889437420679</v>
      </c>
      <c r="CN154" s="58">
        <f t="array" ref="CN154">SUM(IF(CK154:CL154&gt;=CK154, 1))</f>
        <v>2</v>
      </c>
      <c r="CO154" s="58">
        <f t="array" ref="CO154">SUM(IF(CK154:CL154&gt;=CL154, 1))</f>
        <v>1</v>
      </c>
      <c r="CQ154" s="109" cm="1">
        <f t="array" ref="CQ154">AF154*WTP-AC154</f>
        <v>42145.940685086534</v>
      </c>
      <c r="CR154" s="109">
        <f t="shared" si="104"/>
        <v>44418.540369672337</v>
      </c>
      <c r="CT154" s="58">
        <f t="array" ref="CT154">SUM(IF(CQ154:CR154&gt;=CQ154, 1))</f>
        <v>2</v>
      </c>
      <c r="CU154" s="58">
        <f t="array" ref="CU154">SUM(IF(CQ154:CR154&gt;=CR154, 1))</f>
        <v>1</v>
      </c>
      <c r="CW154" s="109">
        <f t="shared" si="105"/>
        <v>-39480837.97287225</v>
      </c>
      <c r="CX154" s="109">
        <f t="shared" si="106"/>
        <v>0</v>
      </c>
      <c r="CZ154" s="58">
        <f t="array" ref="CZ154">SUM(IF(CW154:CX154&gt;=CW154, 1))</f>
        <v>2</v>
      </c>
      <c r="DA154" s="58">
        <f t="array" ref="DA154">SUM(IF(CW154:CX154&gt;=CX154, 1))</f>
        <v>1</v>
      </c>
      <c r="DC154" s="109">
        <f t="shared" si="107"/>
        <v>-2250156.4570514527</v>
      </c>
      <c r="DD154" s="109">
        <f t="shared" si="108"/>
        <v>0</v>
      </c>
      <c r="DF154" s="58">
        <f t="array" ref="DF154">SUM(IF(DC154:DD154&gt;=DC154, 1))</f>
        <v>2</v>
      </c>
      <c r="DG154" s="58">
        <f t="array" ref="DG154">SUM(IF(DC154:DD154&gt;=DD154, 1))</f>
        <v>1</v>
      </c>
      <c r="DI154" s="109">
        <f t="shared" si="109"/>
        <v>-41907018.727160856</v>
      </c>
      <c r="DJ154" s="109">
        <f t="shared" si="110"/>
        <v>0</v>
      </c>
      <c r="DL154" s="58">
        <f t="array" ref="DL154">SUM(IF(DI154:DJ154&gt;=DI154, 1))</f>
        <v>2</v>
      </c>
      <c r="DM154" s="58">
        <f t="array" ref="DM154">SUM(IF(DI154:DJ154&gt;=DJ154, 1))</f>
        <v>1</v>
      </c>
      <c r="DO154" s="109">
        <f t="shared" si="111"/>
        <v>-9450150.2890690416</v>
      </c>
      <c r="DP154" s="109">
        <f t="shared" si="112"/>
        <v>0</v>
      </c>
      <c r="DR154" s="58">
        <f t="array" ref="DR154">SUM(IF(DO154:DP154&gt;=DO154, 1))</f>
        <v>2</v>
      </c>
      <c r="DS154" s="58">
        <f t="array" ref="DS154">SUM(IF(DO154:DP154&gt;=DP154, 1))</f>
        <v>1</v>
      </c>
      <c r="DU154" s="109">
        <f t="shared" si="113"/>
        <v>-35976194.381618202</v>
      </c>
      <c r="DV154" s="109">
        <f t="shared" si="114"/>
        <v>0</v>
      </c>
      <c r="DX154" s="58">
        <f t="array" ref="DX154">SUM(IF(DU154:DV154&gt;=DU154, 1))</f>
        <v>2</v>
      </c>
      <c r="DY154" s="58">
        <f t="array" ref="DY154">SUM(IF(DU154:DV154&gt;=DV154, 1))</f>
        <v>1</v>
      </c>
      <c r="EA154" s="109">
        <f t="shared" si="115"/>
        <v>-129064357.82777181</v>
      </c>
      <c r="EB154" s="109">
        <f t="shared" si="116"/>
        <v>0</v>
      </c>
      <c r="ED154" s="58">
        <f t="array" ref="ED154">SUM(IF(EA154:EB154&gt;=EA154, 1))</f>
        <v>2</v>
      </c>
      <c r="EE154" s="58">
        <f t="array" ref="EE154">SUM(IF(EA154:EB154&gt;=EB154, 1))</f>
        <v>1</v>
      </c>
    </row>
    <row r="155" spans="4:135" ht="12" customHeight="1" x14ac:dyDescent="0.25">
      <c r="D155" s="11">
        <v>139</v>
      </c>
      <c r="E155" s="72">
        <v>268.44244854151884</v>
      </c>
      <c r="F155" s="72">
        <v>258.59404610057015</v>
      </c>
      <c r="G155" s="73"/>
      <c r="H155" s="74">
        <v>5.8206685790559307</v>
      </c>
      <c r="I155" s="74">
        <v>5.8376652372220814</v>
      </c>
      <c r="J155" s="73"/>
      <c r="K155" s="72">
        <v>289.05349733698097</v>
      </c>
      <c r="L155" s="72">
        <v>278.95639625403822</v>
      </c>
      <c r="M155" s="73"/>
      <c r="N155" s="74">
        <v>6.684515846375918</v>
      </c>
      <c r="O155" s="74">
        <v>6.7000905768192265</v>
      </c>
      <c r="P155" s="73"/>
      <c r="Q155" s="72">
        <v>3170.1278302256183</v>
      </c>
      <c r="R155" s="72">
        <v>1446.9608048349126</v>
      </c>
      <c r="S155" s="73"/>
      <c r="T155" s="74">
        <v>4.8276475415735218</v>
      </c>
      <c r="U155" s="74">
        <v>4.9484385525471621</v>
      </c>
      <c r="V155" s="73"/>
      <c r="W155" s="72">
        <v>13958.747989016225</v>
      </c>
      <c r="X155" s="72">
        <v>13972.637227851345</v>
      </c>
      <c r="Y155" s="73"/>
      <c r="Z155" s="74">
        <v>2.9166433095716409</v>
      </c>
      <c r="AA155" s="74">
        <v>2.9689785413340042</v>
      </c>
      <c r="AB155" s="73"/>
      <c r="AC155" s="72">
        <v>50528.413187706159</v>
      </c>
      <c r="AD155" s="72">
        <v>50181.927854214468</v>
      </c>
      <c r="AE155" s="73"/>
      <c r="AF155" s="74">
        <v>4.7392325715218027</v>
      </c>
      <c r="AG155" s="74">
        <v>4.9065322150816337</v>
      </c>
      <c r="AH155" s="73"/>
      <c r="AI155" s="72">
        <v>1060506.0865269136</v>
      </c>
      <c r="AJ155" s="72">
        <v>0</v>
      </c>
      <c r="AK155" s="73"/>
      <c r="AL155" s="74">
        <v>-1830.252118950152</v>
      </c>
      <c r="AM155" s="74">
        <v>0</v>
      </c>
      <c r="AN155" s="73"/>
      <c r="AO155" s="72">
        <v>69049.4776506341</v>
      </c>
      <c r="AP155" s="72">
        <v>0</v>
      </c>
      <c r="AQ155" s="73"/>
      <c r="AR155" s="74">
        <v>-106.5084911823476</v>
      </c>
      <c r="AS155" s="74">
        <v>0</v>
      </c>
      <c r="AT155" s="73"/>
      <c r="AU155" s="72">
        <v>40704217.008620702</v>
      </c>
      <c r="AV155" s="72">
        <v>0</v>
      </c>
      <c r="AW155" s="73"/>
      <c r="AX155" s="74">
        <v>-2853.2948059674841</v>
      </c>
      <c r="AY155" s="74">
        <v>0</v>
      </c>
      <c r="AZ155" s="73"/>
      <c r="BA155" s="72">
        <v>-119914.61593274327</v>
      </c>
      <c r="BB155" s="72">
        <v>0</v>
      </c>
      <c r="BC155" s="73"/>
      <c r="BD155" s="74">
        <v>-451.84327888914572</v>
      </c>
      <c r="BE155" s="74">
        <v>0</v>
      </c>
      <c r="BF155" s="73"/>
      <c r="BG155" s="72">
        <v>5568857.4174645422</v>
      </c>
      <c r="BH155" s="72">
        <v>0</v>
      </c>
      <c r="BI155" s="73"/>
      <c r="BJ155" s="74">
        <v>-2688.9099506420516</v>
      </c>
      <c r="BK155" s="74">
        <v>0</v>
      </c>
      <c r="BL155" s="73"/>
      <c r="BM155" s="72">
        <v>47282715.374330051</v>
      </c>
      <c r="BN155" s="72">
        <v>0</v>
      </c>
      <c r="BO155" s="73"/>
      <c r="BP155" s="74">
        <v>-7930.8086456311812</v>
      </c>
      <c r="BQ155" s="74">
        <v>0</v>
      </c>
      <c r="BS155" s="109">
        <f t="shared" si="96"/>
        <v>116144.92913257709</v>
      </c>
      <c r="BT155" s="109">
        <f t="shared" si="97"/>
        <v>116494.71069834106</v>
      </c>
      <c r="BV155" s="58">
        <f t="array" ref="BV155">SUM(IF(BS155:BT155&gt;=BS155, 1))</f>
        <v>2</v>
      </c>
      <c r="BW155" s="58">
        <f t="array" ref="BW155">SUM(IF(BS155:BT155&gt;=BT155, 1))</f>
        <v>1</v>
      </c>
      <c r="BY155" s="109">
        <f t="shared" si="98"/>
        <v>133401.26343018137</v>
      </c>
      <c r="BZ155" s="109">
        <f t="shared" si="99"/>
        <v>133722.8551401305</v>
      </c>
      <c r="CB155" s="58">
        <f t="array" ref="CB155">SUM(IF(BY155:BZ155&gt;=BY155, 1))</f>
        <v>2</v>
      </c>
      <c r="CC155" s="58">
        <f t="array" ref="CC155">SUM(IF(BY155:BZ155&gt;=BZ155, 1))</f>
        <v>1</v>
      </c>
      <c r="CE155" s="109">
        <f t="shared" si="100"/>
        <v>93382.823001244818</v>
      </c>
      <c r="CF155" s="109">
        <f t="shared" si="101"/>
        <v>97521.810246108318</v>
      </c>
      <c r="CH155" s="58">
        <f t="array" ref="CH155">SUM(IF(CE155:CF155&gt;=CE155, 1))</f>
        <v>2</v>
      </c>
      <c r="CI155" s="58">
        <f t="array" ref="CI155">SUM(IF(CE155:CF155&gt;=CF155, 1))</f>
        <v>1</v>
      </c>
      <c r="CK155" s="109">
        <f t="shared" si="102"/>
        <v>44374.11820241659</v>
      </c>
      <c r="CL155" s="109">
        <f t="shared" si="103"/>
        <v>45406.933598828742</v>
      </c>
      <c r="CN155" s="58">
        <f t="array" ref="CN155">SUM(IF(CK155:CL155&gt;=CK155, 1))</f>
        <v>2</v>
      </c>
      <c r="CO155" s="58">
        <f t="array" ref="CO155">SUM(IF(CK155:CL155&gt;=CL155, 1))</f>
        <v>1</v>
      </c>
      <c r="CQ155" s="109" cm="1">
        <f t="array" ref="CQ155">AF155*WTP-AC155</f>
        <v>44256.238242729887</v>
      </c>
      <c r="CR155" s="109">
        <f t="shared" si="104"/>
        <v>47948.716447418214</v>
      </c>
      <c r="CT155" s="58">
        <f t="array" ref="CT155">SUM(IF(CQ155:CR155&gt;=CQ155, 1))</f>
        <v>2</v>
      </c>
      <c r="CU155" s="58">
        <f t="array" ref="CU155">SUM(IF(CQ155:CR155&gt;=CR155, 1))</f>
        <v>1</v>
      </c>
      <c r="CW155" s="109">
        <f t="shared" si="105"/>
        <v>-37665548.465529956</v>
      </c>
      <c r="CX155" s="109">
        <f t="shared" si="106"/>
        <v>0</v>
      </c>
      <c r="CZ155" s="58">
        <f t="array" ref="CZ155">SUM(IF(CW155:CX155&gt;=CW155, 1))</f>
        <v>2</v>
      </c>
      <c r="DA155" s="58">
        <f t="array" ref="DA155">SUM(IF(CW155:CX155&gt;=CX155, 1))</f>
        <v>1</v>
      </c>
      <c r="DC155" s="109">
        <f t="shared" si="107"/>
        <v>-2199219.3012975859</v>
      </c>
      <c r="DD155" s="109">
        <f t="shared" si="108"/>
        <v>0</v>
      </c>
      <c r="DF155" s="58">
        <f t="array" ref="DF155">SUM(IF(DC155:DD155&gt;=DC155, 1))</f>
        <v>2</v>
      </c>
      <c r="DG155" s="58">
        <f t="array" ref="DG155">SUM(IF(DC155:DD155&gt;=DD155, 1))</f>
        <v>1</v>
      </c>
      <c r="DI155" s="109">
        <f t="shared" si="109"/>
        <v>-97770113.127970383</v>
      </c>
      <c r="DJ155" s="109">
        <f t="shared" si="110"/>
        <v>0</v>
      </c>
      <c r="DL155" s="58">
        <f t="array" ref="DL155">SUM(IF(DI155:DJ155&gt;=DI155, 1))</f>
        <v>2</v>
      </c>
      <c r="DM155" s="58">
        <f t="array" ref="DM155">SUM(IF(DI155:DJ155&gt;=DJ155, 1))</f>
        <v>1</v>
      </c>
      <c r="DO155" s="109">
        <f t="shared" si="111"/>
        <v>-8916950.96185017</v>
      </c>
      <c r="DP155" s="109">
        <f t="shared" si="112"/>
        <v>0</v>
      </c>
      <c r="DR155" s="58">
        <f t="array" ref="DR155">SUM(IF(DO155:DP155&gt;=DO155, 1))</f>
        <v>2</v>
      </c>
      <c r="DS155" s="58">
        <f t="array" ref="DS155">SUM(IF(DO155:DP155&gt;=DP155, 1))</f>
        <v>1</v>
      </c>
      <c r="DU155" s="109">
        <f t="shared" si="113"/>
        <v>-59347056.43030557</v>
      </c>
      <c r="DV155" s="109">
        <f t="shared" si="114"/>
        <v>0</v>
      </c>
      <c r="DX155" s="58">
        <f t="array" ref="DX155">SUM(IF(DU155:DV155&gt;=DU155, 1))</f>
        <v>2</v>
      </c>
      <c r="DY155" s="58">
        <f t="array" ref="DY155">SUM(IF(DU155:DV155&gt;=DV155, 1))</f>
        <v>1</v>
      </c>
      <c r="EA155" s="109">
        <f t="shared" si="115"/>
        <v>-205898888.28695366</v>
      </c>
      <c r="EB155" s="109">
        <f t="shared" si="116"/>
        <v>0</v>
      </c>
      <c r="ED155" s="58">
        <f t="array" ref="ED155">SUM(IF(EA155:EB155&gt;=EA155, 1))</f>
        <v>2</v>
      </c>
      <c r="EE155" s="58">
        <f t="array" ref="EE155">SUM(IF(EA155:EB155&gt;=EB155, 1))</f>
        <v>1</v>
      </c>
    </row>
    <row r="156" spans="4:135" ht="12" customHeight="1" x14ac:dyDescent="0.25">
      <c r="D156" s="11">
        <v>140</v>
      </c>
      <c r="E156" s="72">
        <v>276.1727898137832</v>
      </c>
      <c r="F156" s="72">
        <v>255.42615906932065</v>
      </c>
      <c r="G156" s="73"/>
      <c r="H156" s="74">
        <v>5.8800121660519151</v>
      </c>
      <c r="I156" s="74">
        <v>5.8948895073756011</v>
      </c>
      <c r="J156" s="73"/>
      <c r="K156" s="72">
        <v>296.68845664667941</v>
      </c>
      <c r="L156" s="72">
        <v>275.44896357130347</v>
      </c>
      <c r="M156" s="73"/>
      <c r="N156" s="74">
        <v>6.7138439231233029</v>
      </c>
      <c r="O156" s="74">
        <v>6.7267869730233985</v>
      </c>
      <c r="P156" s="73"/>
      <c r="Q156" s="72">
        <v>2841.5488645977434</v>
      </c>
      <c r="R156" s="72">
        <v>1922.9597262346579</v>
      </c>
      <c r="S156" s="73"/>
      <c r="T156" s="74">
        <v>4.7225286626985623</v>
      </c>
      <c r="U156" s="74">
        <v>4.7886135251489961</v>
      </c>
      <c r="V156" s="73"/>
      <c r="W156" s="72">
        <v>14667.234947978102</v>
      </c>
      <c r="X156" s="72">
        <v>14714.98444058715</v>
      </c>
      <c r="Y156" s="73"/>
      <c r="Z156" s="74">
        <v>3.1749784179159928</v>
      </c>
      <c r="AA156" s="74">
        <v>3.232468436452486</v>
      </c>
      <c r="AB156" s="73"/>
      <c r="AC156" s="72">
        <v>50534.139047561868</v>
      </c>
      <c r="AD156" s="72">
        <v>50584.60346453575</v>
      </c>
      <c r="AE156" s="73"/>
      <c r="AF156" s="74">
        <v>4.7321886706945273</v>
      </c>
      <c r="AG156" s="74">
        <v>4.86062268238119</v>
      </c>
      <c r="AH156" s="73"/>
      <c r="AI156" s="72">
        <v>2235096.3650051211</v>
      </c>
      <c r="AJ156" s="72">
        <v>0</v>
      </c>
      <c r="AK156" s="73"/>
      <c r="AL156" s="74">
        <v>-1602.7803224090446</v>
      </c>
      <c r="AM156" s="74">
        <v>0</v>
      </c>
      <c r="AN156" s="73"/>
      <c r="AO156" s="72">
        <v>140862.86924319371</v>
      </c>
      <c r="AP156" s="72">
        <v>0</v>
      </c>
      <c r="AQ156" s="73"/>
      <c r="AR156" s="74">
        <v>-85.839861583090908</v>
      </c>
      <c r="AS156" s="74">
        <v>0</v>
      </c>
      <c r="AT156" s="73"/>
      <c r="AU156" s="72">
        <v>21321008.811094686</v>
      </c>
      <c r="AV156" s="72">
        <v>0</v>
      </c>
      <c r="AW156" s="73"/>
      <c r="AX156" s="74">
        <v>-1533.8695786197648</v>
      </c>
      <c r="AY156" s="74">
        <v>0</v>
      </c>
      <c r="AZ156" s="73"/>
      <c r="BA156" s="72">
        <v>-429690.75186927232</v>
      </c>
      <c r="BB156" s="72">
        <v>0</v>
      </c>
      <c r="BC156" s="73"/>
      <c r="BD156" s="74">
        <v>-517.34433059176581</v>
      </c>
      <c r="BE156" s="74">
        <v>0</v>
      </c>
      <c r="BF156" s="73"/>
      <c r="BG156" s="72">
        <v>-789234.58714552026</v>
      </c>
      <c r="BH156" s="72">
        <v>0</v>
      </c>
      <c r="BI156" s="73"/>
      <c r="BJ156" s="74">
        <v>-2008.6344055342461</v>
      </c>
      <c r="BK156" s="74">
        <v>0</v>
      </c>
      <c r="BL156" s="73"/>
      <c r="BM156" s="72">
        <v>22478042.706328209</v>
      </c>
      <c r="BN156" s="72">
        <v>0</v>
      </c>
      <c r="BO156" s="73"/>
      <c r="BP156" s="74">
        <v>-5748.4684987379114</v>
      </c>
      <c r="BQ156" s="74">
        <v>0</v>
      </c>
      <c r="BS156" s="109">
        <f t="shared" si="96"/>
        <v>117324.07053122453</v>
      </c>
      <c r="BT156" s="109">
        <f t="shared" si="97"/>
        <v>117642.3639884427</v>
      </c>
      <c r="BV156" s="58">
        <f t="array" ref="BV156">SUM(IF(BS156:BT156&gt;=BS156, 1))</f>
        <v>2</v>
      </c>
      <c r="BW156" s="58">
        <f t="array" ref="BW156">SUM(IF(BS156:BT156&gt;=BT156, 1))</f>
        <v>1</v>
      </c>
      <c r="BY156" s="109">
        <f t="shared" si="98"/>
        <v>133980.19000581937</v>
      </c>
      <c r="BZ156" s="109">
        <f t="shared" si="99"/>
        <v>134260.29049689666</v>
      </c>
      <c r="CB156" s="58">
        <f t="array" ref="CB156">SUM(IF(BY156:BZ156&gt;=BY156, 1))</f>
        <v>2</v>
      </c>
      <c r="CC156" s="58">
        <f t="array" ref="CC156">SUM(IF(BY156:BZ156&gt;=BZ156, 1))</f>
        <v>1</v>
      </c>
      <c r="CE156" s="109">
        <f t="shared" si="100"/>
        <v>91609.024389373502</v>
      </c>
      <c r="CF156" s="109">
        <f t="shared" si="101"/>
        <v>93849.31077674526</v>
      </c>
      <c r="CH156" s="58">
        <f t="array" ref="CH156">SUM(IF(CE156:CF156&gt;=CE156, 1))</f>
        <v>2</v>
      </c>
      <c r="CI156" s="58">
        <f t="array" ref="CI156">SUM(IF(CE156:CF156&gt;=CF156, 1))</f>
        <v>1</v>
      </c>
      <c r="CK156" s="109">
        <f t="shared" si="102"/>
        <v>48832.333410341751</v>
      </c>
      <c r="CL156" s="109">
        <f t="shared" si="103"/>
        <v>49934.38428846257</v>
      </c>
      <c r="CN156" s="58">
        <f t="array" ref="CN156">SUM(IF(CK156:CL156&gt;=CK156, 1))</f>
        <v>2</v>
      </c>
      <c r="CO156" s="58">
        <f t="array" ref="CO156">SUM(IF(CK156:CL156&gt;=CL156, 1))</f>
        <v>1</v>
      </c>
      <c r="CQ156" s="109" cm="1">
        <f t="array" ref="CQ156">AF156*WTP-AC156</f>
        <v>44109.634366328683</v>
      </c>
      <c r="CR156" s="109">
        <f t="shared" si="104"/>
        <v>46627.850183088049</v>
      </c>
      <c r="CT156" s="58">
        <f t="array" ref="CT156">SUM(IF(CQ156:CR156&gt;=CQ156, 1))</f>
        <v>2</v>
      </c>
      <c r="CU156" s="58">
        <f t="array" ref="CU156">SUM(IF(CQ156:CR156&gt;=CR156, 1))</f>
        <v>1</v>
      </c>
      <c r="CW156" s="109">
        <f t="shared" si="105"/>
        <v>-34290702.813186012</v>
      </c>
      <c r="CX156" s="109">
        <f t="shared" si="106"/>
        <v>0</v>
      </c>
      <c r="CZ156" s="58">
        <f t="array" ref="CZ156">SUM(IF(CW156:CX156&gt;=CW156, 1))</f>
        <v>2</v>
      </c>
      <c r="DA156" s="58">
        <f t="array" ref="DA156">SUM(IF(CW156:CX156&gt;=CX156, 1))</f>
        <v>1</v>
      </c>
      <c r="DC156" s="109">
        <f t="shared" si="107"/>
        <v>-1857660.1009050119</v>
      </c>
      <c r="DD156" s="109">
        <f t="shared" si="108"/>
        <v>0</v>
      </c>
      <c r="DF156" s="58">
        <f t="array" ref="DF156">SUM(IF(DC156:DD156&gt;=DC156, 1))</f>
        <v>2</v>
      </c>
      <c r="DG156" s="58">
        <f t="array" ref="DG156">SUM(IF(DC156:DD156&gt;=DD156, 1))</f>
        <v>1</v>
      </c>
      <c r="DI156" s="109">
        <f t="shared" si="109"/>
        <v>-51998400.383489981</v>
      </c>
      <c r="DJ156" s="109">
        <f t="shared" si="110"/>
        <v>0</v>
      </c>
      <c r="DL156" s="58">
        <f t="array" ref="DL156">SUM(IF(DI156:DJ156&gt;=DI156, 1))</f>
        <v>2</v>
      </c>
      <c r="DM156" s="58">
        <f t="array" ref="DM156">SUM(IF(DI156:DJ156&gt;=DJ156, 1))</f>
        <v>1</v>
      </c>
      <c r="DO156" s="109">
        <f t="shared" si="111"/>
        <v>-9917195.8599660434</v>
      </c>
      <c r="DP156" s="109">
        <f t="shared" si="112"/>
        <v>0</v>
      </c>
      <c r="DR156" s="58">
        <f t="array" ref="DR156">SUM(IF(DO156:DP156&gt;=DO156, 1))</f>
        <v>2</v>
      </c>
      <c r="DS156" s="58">
        <f t="array" ref="DS156">SUM(IF(DO156:DP156&gt;=DP156, 1))</f>
        <v>1</v>
      </c>
      <c r="DU156" s="109">
        <f t="shared" si="113"/>
        <v>-39383453.523539402</v>
      </c>
      <c r="DV156" s="109">
        <f t="shared" si="114"/>
        <v>0</v>
      </c>
      <c r="DX156" s="58">
        <f t="array" ref="DX156">SUM(IF(DU156:DV156&gt;=DU156, 1))</f>
        <v>2</v>
      </c>
      <c r="DY156" s="58">
        <f t="array" ref="DY156">SUM(IF(DU156:DV156&gt;=DV156, 1))</f>
        <v>1</v>
      </c>
      <c r="EA156" s="109">
        <f t="shared" si="115"/>
        <v>-137447412.68108642</v>
      </c>
      <c r="EB156" s="109">
        <f t="shared" si="116"/>
        <v>0</v>
      </c>
      <c r="ED156" s="58">
        <f t="array" ref="ED156">SUM(IF(EA156:EB156&gt;=EA156, 1))</f>
        <v>2</v>
      </c>
      <c r="EE156" s="58">
        <f t="array" ref="EE156">SUM(IF(EA156:EB156&gt;=EB156, 1))</f>
        <v>1</v>
      </c>
    </row>
    <row r="157" spans="4:135" ht="12" customHeight="1" x14ac:dyDescent="0.25">
      <c r="D157" s="11">
        <v>141</v>
      </c>
      <c r="E157" s="72">
        <v>251.3789074175929</v>
      </c>
      <c r="F157" s="72">
        <v>229.02264892714729</v>
      </c>
      <c r="G157" s="73"/>
      <c r="H157" s="74">
        <v>5.8657554676442265</v>
      </c>
      <c r="I157" s="74">
        <v>5.8839984467864674</v>
      </c>
      <c r="J157" s="73"/>
      <c r="K157" s="72">
        <v>269.86046886244787</v>
      </c>
      <c r="L157" s="72">
        <v>246.9709877739144</v>
      </c>
      <c r="M157" s="73"/>
      <c r="N157" s="74">
        <v>6.734117625743739</v>
      </c>
      <c r="O157" s="74">
        <v>6.7501810941778775</v>
      </c>
      <c r="P157" s="73"/>
      <c r="Q157" s="72">
        <v>2351.9994713370588</v>
      </c>
      <c r="R157" s="72">
        <v>1395.8628739570408</v>
      </c>
      <c r="S157" s="73"/>
      <c r="T157" s="74">
        <v>4.7978666749528811</v>
      </c>
      <c r="U157" s="74">
        <v>4.8748068023281759</v>
      </c>
      <c r="V157" s="73"/>
      <c r="W157" s="72">
        <v>13972.399746477089</v>
      </c>
      <c r="X157" s="72">
        <v>14021.063067620182</v>
      </c>
      <c r="Y157" s="73"/>
      <c r="Z157" s="74">
        <v>2.9501446285767017</v>
      </c>
      <c r="AA157" s="74">
        <v>3.0050947660049125</v>
      </c>
      <c r="AB157" s="73"/>
      <c r="AC157" s="72">
        <v>49479.302824281534</v>
      </c>
      <c r="AD157" s="72">
        <v>49511.105655632804</v>
      </c>
      <c r="AE157" s="73"/>
      <c r="AF157" s="74">
        <v>4.625495357526721</v>
      </c>
      <c r="AG157" s="74">
        <v>4.6871017510676269</v>
      </c>
      <c r="AH157" s="73"/>
      <c r="AI157" s="72">
        <v>2417735.3998290128</v>
      </c>
      <c r="AJ157" s="72">
        <v>0</v>
      </c>
      <c r="AK157" s="73"/>
      <c r="AL157" s="74">
        <v>-1972.9015250645853</v>
      </c>
      <c r="AM157" s="74">
        <v>0</v>
      </c>
      <c r="AN157" s="73"/>
      <c r="AO157" s="72">
        <v>161971.61495056431</v>
      </c>
      <c r="AP157" s="72">
        <v>0</v>
      </c>
      <c r="AQ157" s="73"/>
      <c r="AR157" s="74">
        <v>-113.66906545068947</v>
      </c>
      <c r="AS157" s="74">
        <v>0</v>
      </c>
      <c r="AT157" s="73"/>
      <c r="AU157" s="72">
        <v>21867693.285039477</v>
      </c>
      <c r="AV157" s="72">
        <v>0</v>
      </c>
      <c r="AW157" s="73"/>
      <c r="AX157" s="74">
        <v>-1759.6890563180712</v>
      </c>
      <c r="AY157" s="74">
        <v>0</v>
      </c>
      <c r="AZ157" s="73"/>
      <c r="BA157" s="72">
        <v>-423797.69924919086</v>
      </c>
      <c r="BB157" s="72">
        <v>0</v>
      </c>
      <c r="BC157" s="73"/>
      <c r="BD157" s="74">
        <v>-478.54813992300092</v>
      </c>
      <c r="BE157" s="74">
        <v>0</v>
      </c>
      <c r="BF157" s="73"/>
      <c r="BG157" s="72">
        <v>-502096.93041006126</v>
      </c>
      <c r="BH157" s="72">
        <v>0</v>
      </c>
      <c r="BI157" s="73"/>
      <c r="BJ157" s="74">
        <v>-972.62978723082381</v>
      </c>
      <c r="BK157" s="74">
        <v>0</v>
      </c>
      <c r="BL157" s="73"/>
      <c r="BM157" s="72">
        <v>23521505.670159802</v>
      </c>
      <c r="BN157" s="72">
        <v>0</v>
      </c>
      <c r="BO157" s="73"/>
      <c r="BP157" s="74">
        <v>-5297.4375739871712</v>
      </c>
      <c r="BQ157" s="74">
        <v>0</v>
      </c>
      <c r="BS157" s="109">
        <f t="shared" si="96"/>
        <v>117063.73044546694</v>
      </c>
      <c r="BT157" s="109">
        <f t="shared" si="97"/>
        <v>117450.94628680221</v>
      </c>
      <c r="BV157" s="58">
        <f t="array" ref="BV157">SUM(IF(BS157:BT157&gt;=BS157, 1))</f>
        <v>2</v>
      </c>
      <c r="BW157" s="58">
        <f t="array" ref="BW157">SUM(IF(BS157:BT157&gt;=BT157, 1))</f>
        <v>1</v>
      </c>
      <c r="BY157" s="109">
        <f t="shared" si="98"/>
        <v>134412.49204601231</v>
      </c>
      <c r="BZ157" s="109">
        <f t="shared" si="99"/>
        <v>134756.65089578365</v>
      </c>
      <c r="CB157" s="58">
        <f t="array" ref="CB157">SUM(IF(BY157:BZ157&gt;=BY157, 1))</f>
        <v>2</v>
      </c>
      <c r="CC157" s="58">
        <f t="array" ref="CC157">SUM(IF(BY157:BZ157&gt;=BZ157, 1))</f>
        <v>1</v>
      </c>
      <c r="CE157" s="109">
        <f t="shared" si="100"/>
        <v>93605.334027720572</v>
      </c>
      <c r="CF157" s="109">
        <f t="shared" si="101"/>
        <v>96100.273172606481</v>
      </c>
      <c r="CH157" s="58">
        <f t="array" ref="CH157">SUM(IF(CE157:CF157&gt;=CE157, 1))</f>
        <v>2</v>
      </c>
      <c r="CI157" s="58">
        <f t="array" ref="CI157">SUM(IF(CE157:CF157&gt;=CF157, 1))</f>
        <v>1</v>
      </c>
      <c r="CK157" s="109">
        <f t="shared" si="102"/>
        <v>45030.492825056943</v>
      </c>
      <c r="CL157" s="109">
        <f t="shared" si="103"/>
        <v>46080.832252478067</v>
      </c>
      <c r="CN157" s="58">
        <f t="array" ref="CN157">SUM(IF(CK157:CL157&gt;=CK157, 1))</f>
        <v>2</v>
      </c>
      <c r="CO157" s="58">
        <f t="array" ref="CO157">SUM(IF(CK157:CL157&gt;=CL157, 1))</f>
        <v>1</v>
      </c>
      <c r="CQ157" s="109" cm="1">
        <f t="array" ref="CQ157">AF157*WTP-AC157</f>
        <v>43030.604326252884</v>
      </c>
      <c r="CR157" s="109">
        <f t="shared" si="104"/>
        <v>44230.929365719734</v>
      </c>
      <c r="CT157" s="58">
        <f t="array" ref="CT157">SUM(IF(CQ157:CR157&gt;=CQ157, 1))</f>
        <v>2</v>
      </c>
      <c r="CU157" s="58">
        <f t="array" ref="CU157">SUM(IF(CQ157:CR157&gt;=CR157, 1))</f>
        <v>1</v>
      </c>
      <c r="CW157" s="109">
        <f t="shared" si="105"/>
        <v>-41875765.901120722</v>
      </c>
      <c r="CX157" s="109">
        <f t="shared" si="106"/>
        <v>0</v>
      </c>
      <c r="CZ157" s="58">
        <f t="array" ref="CZ157">SUM(IF(CW157:CX157&gt;=CW157, 1))</f>
        <v>2</v>
      </c>
      <c r="DA157" s="58">
        <f t="array" ref="DA157">SUM(IF(CW157:CX157&gt;=CX157, 1))</f>
        <v>1</v>
      </c>
      <c r="DC157" s="109">
        <f t="shared" si="107"/>
        <v>-2435352.9239643537</v>
      </c>
      <c r="DD157" s="109">
        <f t="shared" si="108"/>
        <v>0</v>
      </c>
      <c r="DF157" s="58">
        <f t="array" ref="DF157">SUM(IF(DC157:DD157&gt;=DC157, 1))</f>
        <v>2</v>
      </c>
      <c r="DG157" s="58">
        <f t="array" ref="DG157">SUM(IF(DC157:DD157&gt;=DD157, 1))</f>
        <v>1</v>
      </c>
      <c r="DI157" s="109">
        <f t="shared" si="109"/>
        <v>-57061474.411400899</v>
      </c>
      <c r="DJ157" s="109">
        <f t="shared" si="110"/>
        <v>0</v>
      </c>
      <c r="DL157" s="58">
        <f t="array" ref="DL157">SUM(IF(DI157:DJ157&gt;=DI157, 1))</f>
        <v>2</v>
      </c>
      <c r="DM157" s="58">
        <f t="array" ref="DM157">SUM(IF(DI157:DJ157&gt;=DJ157, 1))</f>
        <v>1</v>
      </c>
      <c r="DO157" s="109">
        <f t="shared" si="111"/>
        <v>-9147165.0992108267</v>
      </c>
      <c r="DP157" s="109">
        <f t="shared" si="112"/>
        <v>0</v>
      </c>
      <c r="DR157" s="58">
        <f t="array" ref="DR157">SUM(IF(DO157:DP157&gt;=DO157, 1))</f>
        <v>2</v>
      </c>
      <c r="DS157" s="58">
        <f t="array" ref="DS157">SUM(IF(DO157:DP157&gt;=DP157, 1))</f>
        <v>1</v>
      </c>
      <c r="DU157" s="109">
        <f t="shared" si="113"/>
        <v>-18950498.814206414</v>
      </c>
      <c r="DV157" s="109">
        <f t="shared" si="114"/>
        <v>0</v>
      </c>
      <c r="DX157" s="58">
        <f t="array" ref="DX157">SUM(IF(DU157:DV157&gt;=DU157, 1))</f>
        <v>2</v>
      </c>
      <c r="DY157" s="58">
        <f t="array" ref="DY157">SUM(IF(DU157:DV157&gt;=DV157, 1))</f>
        <v>1</v>
      </c>
      <c r="EA157" s="109">
        <f t="shared" si="115"/>
        <v>-129470257.14990322</v>
      </c>
      <c r="EB157" s="109">
        <f t="shared" si="116"/>
        <v>0</v>
      </c>
      <c r="ED157" s="58">
        <f t="array" ref="ED157">SUM(IF(EA157:EB157&gt;=EA157, 1))</f>
        <v>2</v>
      </c>
      <c r="EE157" s="58">
        <f t="array" ref="EE157">SUM(IF(EA157:EB157&gt;=EB157, 1))</f>
        <v>1</v>
      </c>
    </row>
    <row r="158" spans="4:135" ht="12" customHeight="1" x14ac:dyDescent="0.25">
      <c r="D158" s="11">
        <v>142</v>
      </c>
      <c r="E158" s="72">
        <v>241.83201322228555</v>
      </c>
      <c r="F158" s="72">
        <v>225.96262006876503</v>
      </c>
      <c r="G158" s="73"/>
      <c r="H158" s="74">
        <v>5.7872429641609386</v>
      </c>
      <c r="I158" s="74">
        <v>5.8021535666560524</v>
      </c>
      <c r="J158" s="73"/>
      <c r="K158" s="72">
        <v>259.98368532485256</v>
      </c>
      <c r="L158" s="72">
        <v>243.7265040207171</v>
      </c>
      <c r="M158" s="73"/>
      <c r="N158" s="74">
        <v>6.6887739533700117</v>
      </c>
      <c r="O158" s="74">
        <v>6.7017676677884692</v>
      </c>
      <c r="P158" s="73"/>
      <c r="Q158" s="72">
        <v>1853.518058398394</v>
      </c>
      <c r="R158" s="72">
        <v>1116.4601762438883</v>
      </c>
      <c r="S158" s="73"/>
      <c r="T158" s="74">
        <v>4.7112819178482637</v>
      </c>
      <c r="U158" s="74">
        <v>4.8224340980963625</v>
      </c>
      <c r="V158" s="73"/>
      <c r="W158" s="72">
        <v>15821.480811582345</v>
      </c>
      <c r="X158" s="72">
        <v>15826.777573729923</v>
      </c>
      <c r="Y158" s="73"/>
      <c r="Z158" s="74">
        <v>3.1151921196316312</v>
      </c>
      <c r="AA158" s="74">
        <v>3.1726642585335494</v>
      </c>
      <c r="AB158" s="73"/>
      <c r="AC158" s="72">
        <v>51127.06715022069</v>
      </c>
      <c r="AD158" s="72">
        <v>50958.259973222113</v>
      </c>
      <c r="AE158" s="73"/>
      <c r="AF158" s="74">
        <v>4.2373173340936088</v>
      </c>
      <c r="AG158" s="74">
        <v>4.3230761979599261</v>
      </c>
      <c r="AH158" s="73"/>
      <c r="AI158" s="72">
        <v>1711254.9777469386</v>
      </c>
      <c r="AJ158" s="72">
        <v>0</v>
      </c>
      <c r="AK158" s="73"/>
      <c r="AL158" s="74">
        <v>-1607.8650578588038</v>
      </c>
      <c r="AM158" s="74">
        <v>0</v>
      </c>
      <c r="AN158" s="73"/>
      <c r="AO158" s="72">
        <v>115966.1713684306</v>
      </c>
      <c r="AP158" s="72">
        <v>0</v>
      </c>
      <c r="AQ158" s="73"/>
      <c r="AR158" s="74">
        <v>-92.6871199117396</v>
      </c>
      <c r="AS158" s="74">
        <v>0</v>
      </c>
      <c r="AT158" s="73"/>
      <c r="AU158" s="72">
        <v>17023785.616054591</v>
      </c>
      <c r="AV158" s="72">
        <v>0</v>
      </c>
      <c r="AW158" s="73"/>
      <c r="AX158" s="74">
        <v>-2567.2758315391479</v>
      </c>
      <c r="AY158" s="74">
        <v>0</v>
      </c>
      <c r="AZ158" s="73"/>
      <c r="BA158" s="72">
        <v>-45367.471981843664</v>
      </c>
      <c r="BB158" s="72">
        <v>0</v>
      </c>
      <c r="BC158" s="73"/>
      <c r="BD158" s="74">
        <v>-492.25651043469065</v>
      </c>
      <c r="BE158" s="74">
        <v>0</v>
      </c>
      <c r="BF158" s="73"/>
      <c r="BG158" s="72">
        <v>2679999.4987825332</v>
      </c>
      <c r="BH158" s="72">
        <v>0</v>
      </c>
      <c r="BI158" s="73"/>
      <c r="BJ158" s="74">
        <v>-1361.5162356505045</v>
      </c>
      <c r="BK158" s="74">
        <v>0</v>
      </c>
      <c r="BL158" s="73"/>
      <c r="BM158" s="72">
        <v>21485638.791970652</v>
      </c>
      <c r="BN158" s="72">
        <v>0</v>
      </c>
      <c r="BO158" s="73"/>
      <c r="BP158" s="74">
        <v>-6121.6007553948857</v>
      </c>
      <c r="BQ158" s="74">
        <v>0</v>
      </c>
      <c r="BS158" s="109">
        <f t="shared" si="96"/>
        <v>115503.02726999648</v>
      </c>
      <c r="BT158" s="109">
        <f t="shared" si="97"/>
        <v>115817.10871305228</v>
      </c>
      <c r="BV158" s="58">
        <f t="array" ref="BV158">SUM(IF(BS158:BT158&gt;=BS158, 1))</f>
        <v>2</v>
      </c>
      <c r="BW158" s="58">
        <f t="array" ref="BW158">SUM(IF(BS158:BT158&gt;=BT158, 1))</f>
        <v>1</v>
      </c>
      <c r="BY158" s="109">
        <f t="shared" si="98"/>
        <v>133515.4953820754</v>
      </c>
      <c r="BZ158" s="109">
        <f t="shared" si="99"/>
        <v>133791.62685174868</v>
      </c>
      <c r="CB158" s="58">
        <f t="array" ref="CB158">SUM(IF(BY158:BZ158&gt;=BY158, 1))</f>
        <v>2</v>
      </c>
      <c r="CC158" s="58">
        <f t="array" ref="CC158">SUM(IF(BY158:BZ158&gt;=BZ158, 1))</f>
        <v>1</v>
      </c>
      <c r="CE158" s="109">
        <f t="shared" si="100"/>
        <v>92372.120298566879</v>
      </c>
      <c r="CF158" s="109">
        <f t="shared" si="101"/>
        <v>95332.221785683359</v>
      </c>
      <c r="CH158" s="58">
        <f t="array" ref="CH158">SUM(IF(CE158:CF158&gt;=CE158, 1))</f>
        <v>2</v>
      </c>
      <c r="CI158" s="58">
        <f t="array" ref="CI158">SUM(IF(CE158:CF158&gt;=CF158, 1))</f>
        <v>1</v>
      </c>
      <c r="CK158" s="109">
        <f t="shared" si="102"/>
        <v>46482.361581050274</v>
      </c>
      <c r="CL158" s="109">
        <f t="shared" si="103"/>
        <v>47626.507596941061</v>
      </c>
      <c r="CN158" s="58">
        <f t="array" ref="CN158">SUM(IF(CK158:CL158&gt;=CK158, 1))</f>
        <v>2</v>
      </c>
      <c r="CO158" s="58">
        <f t="array" ref="CO158">SUM(IF(CK158:CL158&gt;=CL158, 1))</f>
        <v>1</v>
      </c>
      <c r="CQ158" s="109" cm="1">
        <f t="array" ref="CQ158">AF158*WTP-AC158</f>
        <v>33619.279531651489</v>
      </c>
      <c r="CR158" s="109">
        <f t="shared" si="104"/>
        <v>35503.263985976417</v>
      </c>
      <c r="CT158" s="58">
        <f t="array" ref="CT158">SUM(IF(CQ158:CR158&gt;=CQ158, 1))</f>
        <v>2</v>
      </c>
      <c r="CU158" s="58">
        <f t="array" ref="CU158">SUM(IF(CQ158:CR158&gt;=CR158, 1))</f>
        <v>1</v>
      </c>
      <c r="CW158" s="109">
        <f t="shared" si="105"/>
        <v>-33868556.134923011</v>
      </c>
      <c r="CX158" s="109">
        <f t="shared" si="106"/>
        <v>0</v>
      </c>
      <c r="CZ158" s="58">
        <f t="array" ref="CZ158">SUM(IF(CW158:CX158&gt;=CW158, 1))</f>
        <v>2</v>
      </c>
      <c r="DA158" s="58">
        <f t="array" ref="DA158">SUM(IF(CW158:CX158&gt;=CX158, 1))</f>
        <v>1</v>
      </c>
      <c r="DC158" s="109">
        <f t="shared" si="107"/>
        <v>-1969708.5696032227</v>
      </c>
      <c r="DD158" s="109">
        <f t="shared" si="108"/>
        <v>0</v>
      </c>
      <c r="DF158" s="58">
        <f t="array" ref="DF158">SUM(IF(DC158:DD158&gt;=DC158, 1))</f>
        <v>2</v>
      </c>
      <c r="DG158" s="58">
        <f t="array" ref="DG158">SUM(IF(DC158:DD158&gt;=DD158, 1))</f>
        <v>1</v>
      </c>
      <c r="DI158" s="109">
        <f t="shared" si="109"/>
        <v>-68369302.246837556</v>
      </c>
      <c r="DJ158" s="109">
        <f t="shared" si="110"/>
        <v>0</v>
      </c>
      <c r="DL158" s="58">
        <f t="array" ref="DL158">SUM(IF(DI158:DJ158&gt;=DI158, 1))</f>
        <v>2</v>
      </c>
      <c r="DM158" s="58">
        <f t="array" ref="DM158">SUM(IF(DI158:DJ158&gt;=DJ158, 1))</f>
        <v>1</v>
      </c>
      <c r="DO158" s="109">
        <f t="shared" si="111"/>
        <v>-9799762.7367119696</v>
      </c>
      <c r="DP158" s="109">
        <f t="shared" si="112"/>
        <v>0</v>
      </c>
      <c r="DR158" s="58">
        <f t="array" ref="DR158">SUM(IF(DO158:DP158&gt;=DO158, 1))</f>
        <v>2</v>
      </c>
      <c r="DS158" s="58">
        <f t="array" ref="DS158">SUM(IF(DO158:DP158&gt;=DP158, 1))</f>
        <v>1</v>
      </c>
      <c r="DU158" s="109">
        <f t="shared" si="113"/>
        <v>-29910324.211792625</v>
      </c>
      <c r="DV158" s="109">
        <f t="shared" si="114"/>
        <v>0</v>
      </c>
      <c r="DX158" s="58">
        <f t="array" ref="DX158">SUM(IF(DU158:DV158&gt;=DU158, 1))</f>
        <v>2</v>
      </c>
      <c r="DY158" s="58">
        <f t="array" ref="DY158">SUM(IF(DU158:DV158&gt;=DV158, 1))</f>
        <v>1</v>
      </c>
      <c r="EA158" s="109">
        <f t="shared" si="115"/>
        <v>-143917653.89986837</v>
      </c>
      <c r="EB158" s="109">
        <f t="shared" si="116"/>
        <v>0</v>
      </c>
      <c r="ED158" s="58">
        <f t="array" ref="ED158">SUM(IF(EA158:EB158&gt;=EA158, 1))</f>
        <v>2</v>
      </c>
      <c r="EE158" s="58">
        <f t="array" ref="EE158">SUM(IF(EA158:EB158&gt;=EB158, 1))</f>
        <v>1</v>
      </c>
    </row>
    <row r="159" spans="4:135" ht="12" customHeight="1" x14ac:dyDescent="0.25">
      <c r="D159" s="11">
        <v>143</v>
      </c>
      <c r="E159" s="72">
        <v>284.80761371211821</v>
      </c>
      <c r="F159" s="72">
        <v>263.02554892940441</v>
      </c>
      <c r="G159" s="73"/>
      <c r="H159" s="74">
        <v>5.8080315746005073</v>
      </c>
      <c r="I159" s="74">
        <v>5.823301733394473</v>
      </c>
      <c r="J159" s="73"/>
      <c r="K159" s="72">
        <v>305.88976893103967</v>
      </c>
      <c r="L159" s="72">
        <v>283.58936747886469</v>
      </c>
      <c r="M159" s="73"/>
      <c r="N159" s="74">
        <v>6.6870658039610227</v>
      </c>
      <c r="O159" s="74">
        <v>6.7006493292272786</v>
      </c>
      <c r="P159" s="73"/>
      <c r="Q159" s="72">
        <v>2245.7230132413192</v>
      </c>
      <c r="R159" s="72">
        <v>1203.4072819644086</v>
      </c>
      <c r="S159" s="73"/>
      <c r="T159" s="74">
        <v>4.8115420645475089</v>
      </c>
      <c r="U159" s="74">
        <v>4.9167991519105509</v>
      </c>
      <c r="V159" s="73"/>
      <c r="W159" s="72">
        <v>9442.6247244732367</v>
      </c>
      <c r="X159" s="72">
        <v>9423.3244462753973</v>
      </c>
      <c r="Y159" s="73"/>
      <c r="Z159" s="74">
        <v>2.9563162044907201</v>
      </c>
      <c r="AA159" s="74">
        <v>2.9918093378714334</v>
      </c>
      <c r="AB159" s="73"/>
      <c r="AC159" s="72">
        <v>52155.274407545854</v>
      </c>
      <c r="AD159" s="72">
        <v>51485.539657449583</v>
      </c>
      <c r="AE159" s="73"/>
      <c r="AF159" s="74">
        <v>4.2461715571550638</v>
      </c>
      <c r="AG159" s="74">
        <v>4.3447478261780645</v>
      </c>
      <c r="AH159" s="73"/>
      <c r="AI159" s="72">
        <v>2324878.797297325</v>
      </c>
      <c r="AJ159" s="72">
        <v>0</v>
      </c>
      <c r="AK159" s="73"/>
      <c r="AL159" s="74">
        <v>-1629.8394466087418</v>
      </c>
      <c r="AM159" s="74">
        <v>0</v>
      </c>
      <c r="AN159" s="73"/>
      <c r="AO159" s="72">
        <v>154153.46909874925</v>
      </c>
      <c r="AP159" s="72">
        <v>0</v>
      </c>
      <c r="AQ159" s="73"/>
      <c r="AR159" s="74">
        <v>-93.897302560875687</v>
      </c>
      <c r="AS159" s="74">
        <v>0</v>
      </c>
      <c r="AT159" s="73"/>
      <c r="AU159" s="72">
        <v>24104285.814820036</v>
      </c>
      <c r="AV159" s="72">
        <v>0</v>
      </c>
      <c r="AW159" s="73"/>
      <c r="AX159" s="74">
        <v>-2434.1443208633755</v>
      </c>
      <c r="AY159" s="74">
        <v>0</v>
      </c>
      <c r="AZ159" s="73"/>
      <c r="BA159" s="72">
        <v>171453.85202892596</v>
      </c>
      <c r="BB159" s="72">
        <v>0</v>
      </c>
      <c r="BC159" s="73"/>
      <c r="BD159" s="74">
        <v>-315.30293896908785</v>
      </c>
      <c r="BE159" s="74">
        <v>0</v>
      </c>
      <c r="BF159" s="73"/>
      <c r="BG159" s="72">
        <v>10809701.048181793</v>
      </c>
      <c r="BH159" s="72">
        <v>0</v>
      </c>
      <c r="BI159" s="73"/>
      <c r="BJ159" s="74">
        <v>-1591.047796804047</v>
      </c>
      <c r="BK159" s="74">
        <v>0</v>
      </c>
      <c r="BL159" s="73"/>
      <c r="BM159" s="72">
        <v>37564472.981426828</v>
      </c>
      <c r="BN159" s="72">
        <v>0</v>
      </c>
      <c r="BO159" s="73"/>
      <c r="BP159" s="74">
        <v>-6064.2318058061282</v>
      </c>
      <c r="BQ159" s="74">
        <v>0</v>
      </c>
      <c r="BS159" s="109">
        <f t="shared" si="96"/>
        <v>115875.82387829802</v>
      </c>
      <c r="BT159" s="109">
        <f t="shared" si="97"/>
        <v>116203.00911896005</v>
      </c>
      <c r="BV159" s="58">
        <f t="array" ref="BV159">SUM(IF(BS159:BT159&gt;=BS159, 1))</f>
        <v>2</v>
      </c>
      <c r="BW159" s="58">
        <f t="array" ref="BW159">SUM(IF(BS159:BT159&gt;=BT159, 1))</f>
        <v>1</v>
      </c>
      <c r="BY159" s="109">
        <f t="shared" si="98"/>
        <v>133435.42631028942</v>
      </c>
      <c r="BZ159" s="109">
        <f t="shared" si="99"/>
        <v>133729.39721706673</v>
      </c>
      <c r="CB159" s="58">
        <f t="array" ref="CB159">SUM(IF(BY159:BZ159&gt;=BY159, 1))</f>
        <v>2</v>
      </c>
      <c r="CC159" s="58">
        <f t="array" ref="CC159">SUM(IF(BY159:BZ159&gt;=BZ159, 1))</f>
        <v>1</v>
      </c>
      <c r="CE159" s="109">
        <f t="shared" si="100"/>
        <v>93985.118277708854</v>
      </c>
      <c r="CF159" s="109">
        <f t="shared" si="101"/>
        <v>97132.575756246617</v>
      </c>
      <c r="CH159" s="58">
        <f t="array" ref="CH159">SUM(IF(CE159:CF159&gt;=CE159, 1))</f>
        <v>2</v>
      </c>
      <c r="CI159" s="58">
        <f t="array" ref="CI159">SUM(IF(CE159:CF159&gt;=CF159, 1))</f>
        <v>1</v>
      </c>
      <c r="CK159" s="109">
        <f t="shared" si="102"/>
        <v>49683.699365341163</v>
      </c>
      <c r="CL159" s="109">
        <f t="shared" si="103"/>
        <v>50412.862311153265</v>
      </c>
      <c r="CN159" s="58">
        <f t="array" ref="CN159">SUM(IF(CK159:CL159&gt;=CK159, 1))</f>
        <v>2</v>
      </c>
      <c r="CO159" s="58">
        <f t="array" ref="CO159">SUM(IF(CK159:CL159&gt;=CL159, 1))</f>
        <v>1</v>
      </c>
      <c r="CQ159" s="109" cm="1">
        <f t="array" ref="CQ159">AF159*WTP-AC159</f>
        <v>32768.156735555422</v>
      </c>
      <c r="CR159" s="109">
        <f t="shared" si="104"/>
        <v>35409.416866111715</v>
      </c>
      <c r="CT159" s="58">
        <f t="array" ref="CT159">SUM(IF(CQ159:CR159&gt;=CQ159, 1))</f>
        <v>2</v>
      </c>
      <c r="CU159" s="58">
        <f t="array" ref="CU159">SUM(IF(CQ159:CR159&gt;=CR159, 1))</f>
        <v>1</v>
      </c>
      <c r="CW159" s="109">
        <f t="shared" si="105"/>
        <v>-34921667.72947216</v>
      </c>
      <c r="CX159" s="109">
        <f t="shared" si="106"/>
        <v>0</v>
      </c>
      <c r="CZ159" s="58">
        <f t="array" ref="CZ159">SUM(IF(CW159:CX159&gt;=CW159, 1))</f>
        <v>2</v>
      </c>
      <c r="DA159" s="58">
        <f t="array" ref="DA159">SUM(IF(CW159:CX159&gt;=CX159, 1))</f>
        <v>1</v>
      </c>
      <c r="DC159" s="109">
        <f t="shared" si="107"/>
        <v>-2032099.520316263</v>
      </c>
      <c r="DD159" s="109">
        <f t="shared" si="108"/>
        <v>0</v>
      </c>
      <c r="DF159" s="58">
        <f t="array" ref="DF159">SUM(IF(DC159:DD159&gt;=DC159, 1))</f>
        <v>2</v>
      </c>
      <c r="DG159" s="58">
        <f t="array" ref="DG159">SUM(IF(DC159:DD159&gt;=DD159, 1))</f>
        <v>1</v>
      </c>
      <c r="DI159" s="109">
        <f t="shared" si="109"/>
        <v>-72787172.232087553</v>
      </c>
      <c r="DJ159" s="109">
        <f t="shared" si="110"/>
        <v>0</v>
      </c>
      <c r="DL159" s="58">
        <f t="array" ref="DL159">SUM(IF(DI159:DJ159&gt;=DI159, 1))</f>
        <v>2</v>
      </c>
      <c r="DM159" s="58">
        <f t="array" ref="DM159">SUM(IF(DI159:DJ159&gt;=DJ159, 1))</f>
        <v>1</v>
      </c>
      <c r="DO159" s="109">
        <f t="shared" si="111"/>
        <v>-6477512.6314106826</v>
      </c>
      <c r="DP159" s="109">
        <f t="shared" si="112"/>
        <v>0</v>
      </c>
      <c r="DR159" s="58">
        <f t="array" ref="DR159">SUM(IF(DO159:DP159&gt;=DO159, 1))</f>
        <v>2</v>
      </c>
      <c r="DS159" s="58">
        <f t="array" ref="DS159">SUM(IF(DO159:DP159&gt;=DP159, 1))</f>
        <v>1</v>
      </c>
      <c r="DU159" s="109">
        <f t="shared" si="113"/>
        <v>-42630656.984262735</v>
      </c>
      <c r="DV159" s="109">
        <f t="shared" si="114"/>
        <v>0</v>
      </c>
      <c r="DX159" s="58">
        <f t="array" ref="DX159">SUM(IF(DU159:DV159&gt;=DU159, 1))</f>
        <v>2</v>
      </c>
      <c r="DY159" s="58">
        <f t="array" ref="DY159">SUM(IF(DU159:DV159&gt;=DV159, 1))</f>
        <v>1</v>
      </c>
      <c r="EA159" s="109">
        <f t="shared" si="115"/>
        <v>-158849109.09754938</v>
      </c>
      <c r="EB159" s="109">
        <f t="shared" si="116"/>
        <v>0</v>
      </c>
      <c r="ED159" s="58">
        <f t="array" ref="ED159">SUM(IF(EA159:EB159&gt;=EA159, 1))</f>
        <v>2</v>
      </c>
      <c r="EE159" s="58">
        <f t="array" ref="EE159">SUM(IF(EA159:EB159&gt;=EB159, 1))</f>
        <v>1</v>
      </c>
    </row>
    <row r="160" spans="4:135" ht="12" customHeight="1" x14ac:dyDescent="0.25">
      <c r="D160" s="11">
        <v>144</v>
      </c>
      <c r="E160" s="72">
        <v>239.18756755814979</v>
      </c>
      <c r="F160" s="72">
        <v>227.92911632119561</v>
      </c>
      <c r="G160" s="73"/>
      <c r="H160" s="74">
        <v>5.7833403547152278</v>
      </c>
      <c r="I160" s="74">
        <v>5.7991309147753389</v>
      </c>
      <c r="J160" s="73"/>
      <c r="K160" s="72">
        <v>257.4223595473261</v>
      </c>
      <c r="L160" s="72">
        <v>245.85104550479087</v>
      </c>
      <c r="M160" s="73"/>
      <c r="N160" s="74">
        <v>6.6578344026756433</v>
      </c>
      <c r="O160" s="74">
        <v>6.6709155498937562</v>
      </c>
      <c r="P160" s="73"/>
      <c r="Q160" s="72">
        <v>1694.7107113517711</v>
      </c>
      <c r="R160" s="72">
        <v>1316.547708973618</v>
      </c>
      <c r="S160" s="73"/>
      <c r="T160" s="74">
        <v>4.6647233532419463</v>
      </c>
      <c r="U160" s="74">
        <v>4.7097149178864361</v>
      </c>
      <c r="V160" s="73"/>
      <c r="W160" s="72">
        <v>9194.7756162964906</v>
      </c>
      <c r="X160" s="72">
        <v>9218.9772460329368</v>
      </c>
      <c r="Y160" s="73"/>
      <c r="Z160" s="74">
        <v>2.7908831845173396</v>
      </c>
      <c r="AA160" s="74">
        <v>2.8394031218706139</v>
      </c>
      <c r="AB160" s="73"/>
      <c r="AC160" s="72">
        <v>50129.0664367555</v>
      </c>
      <c r="AD160" s="72">
        <v>49696.068563780049</v>
      </c>
      <c r="AE160" s="73"/>
      <c r="AF160" s="74">
        <v>4.6545011287014795</v>
      </c>
      <c r="AG160" s="74">
        <v>4.7911168490183869</v>
      </c>
      <c r="AH160" s="73"/>
      <c r="AI160" s="72">
        <v>1216437.5831157747</v>
      </c>
      <c r="AJ160" s="72">
        <v>0</v>
      </c>
      <c r="AK160" s="73"/>
      <c r="AL160" s="74">
        <v>-1706.1166150915974</v>
      </c>
      <c r="AM160" s="74">
        <v>0</v>
      </c>
      <c r="AN160" s="73"/>
      <c r="AO160" s="72">
        <v>76602.039181038912</v>
      </c>
      <c r="AP160" s="72">
        <v>0</v>
      </c>
      <c r="AQ160" s="73"/>
      <c r="AR160" s="74">
        <v>-86.59712700315599</v>
      </c>
      <c r="AS160" s="74">
        <v>0</v>
      </c>
      <c r="AT160" s="73"/>
      <c r="AU160" s="72">
        <v>8779011.1851744875</v>
      </c>
      <c r="AV160" s="72">
        <v>0</v>
      </c>
      <c r="AW160" s="73"/>
      <c r="AX160" s="74">
        <v>-1044.4740674485818</v>
      </c>
      <c r="AY160" s="74">
        <v>0</v>
      </c>
      <c r="AZ160" s="73"/>
      <c r="BA160" s="72">
        <v>-213013.47165539081</v>
      </c>
      <c r="BB160" s="72">
        <v>0</v>
      </c>
      <c r="BC160" s="73"/>
      <c r="BD160" s="74">
        <v>-427.05389730669856</v>
      </c>
      <c r="BE160" s="74">
        <v>0</v>
      </c>
      <c r="BF160" s="73"/>
      <c r="BG160" s="72">
        <v>6879585.3144435696</v>
      </c>
      <c r="BH160" s="72">
        <v>0</v>
      </c>
      <c r="BI160" s="73"/>
      <c r="BJ160" s="74">
        <v>-2170.5868824616869</v>
      </c>
      <c r="BK160" s="74">
        <v>0</v>
      </c>
      <c r="BL160" s="73"/>
      <c r="BM160" s="72">
        <v>16738622.65025948</v>
      </c>
      <c r="BN160" s="72">
        <v>0</v>
      </c>
      <c r="BO160" s="73"/>
      <c r="BP160" s="74">
        <v>-5434.8285893117209</v>
      </c>
      <c r="BQ160" s="74">
        <v>0</v>
      </c>
      <c r="BS160" s="109">
        <f t="shared" si="96"/>
        <v>115427.61952674641</v>
      </c>
      <c r="BT160" s="109">
        <f t="shared" si="97"/>
        <v>115754.68917918559</v>
      </c>
      <c r="BV160" s="58">
        <f t="array" ref="BV160">SUM(IF(BS160:BT160&gt;=BS160, 1))</f>
        <v>2</v>
      </c>
      <c r="BW160" s="58">
        <f t="array" ref="BW160">SUM(IF(BS160:BT160&gt;=BT160, 1))</f>
        <v>1</v>
      </c>
      <c r="BY160" s="109">
        <f t="shared" si="98"/>
        <v>132899.26569396554</v>
      </c>
      <c r="BZ160" s="109">
        <f t="shared" si="99"/>
        <v>133172.45995237032</v>
      </c>
      <c r="CB160" s="58">
        <f t="array" ref="CB160">SUM(IF(BY160:BZ160&gt;=BY160, 1))</f>
        <v>2</v>
      </c>
      <c r="CC160" s="58">
        <f t="array" ref="CC160">SUM(IF(BY160:BZ160&gt;=BZ160, 1))</f>
        <v>1</v>
      </c>
      <c r="CE160" s="109">
        <f t="shared" si="100"/>
        <v>91599.756353487159</v>
      </c>
      <c r="CF160" s="109">
        <f t="shared" si="101"/>
        <v>92877.7506487551</v>
      </c>
      <c r="CH160" s="58">
        <f t="array" ref="CH160">SUM(IF(CE160:CF160&gt;=CE160, 1))</f>
        <v>2</v>
      </c>
      <c r="CI160" s="58">
        <f t="array" ref="CI160">SUM(IF(CE160:CF160&gt;=CF160, 1))</f>
        <v>1</v>
      </c>
      <c r="CK160" s="109">
        <f t="shared" si="102"/>
        <v>46622.888074050308</v>
      </c>
      <c r="CL160" s="109">
        <f t="shared" si="103"/>
        <v>47569.085191379345</v>
      </c>
      <c r="CN160" s="58">
        <f t="array" ref="CN160">SUM(IF(CK160:CL160&gt;=CK160, 1))</f>
        <v>2</v>
      </c>
      <c r="CO160" s="58">
        <f t="array" ref="CO160">SUM(IF(CK160:CL160&gt;=CL160, 1))</f>
        <v>1</v>
      </c>
      <c r="CQ160" s="109" cm="1">
        <f t="array" ref="CQ160">AF160*WTP-AC160</f>
        <v>42960.956137274086</v>
      </c>
      <c r="CR160" s="109">
        <f t="shared" si="104"/>
        <v>46126.268416587685</v>
      </c>
      <c r="CT160" s="58">
        <f t="array" ref="CT160">SUM(IF(CQ160:CR160&gt;=CQ160, 1))</f>
        <v>2</v>
      </c>
      <c r="CU160" s="58">
        <f t="array" ref="CU160">SUM(IF(CQ160:CR160&gt;=CR160, 1))</f>
        <v>1</v>
      </c>
      <c r="CW160" s="109">
        <f t="shared" si="105"/>
        <v>-35338769.884947717</v>
      </c>
      <c r="CX160" s="109">
        <f t="shared" si="106"/>
        <v>0</v>
      </c>
      <c r="CZ160" s="58">
        <f t="array" ref="CZ160">SUM(IF(CW160:CX160&gt;=CW160, 1))</f>
        <v>2</v>
      </c>
      <c r="DA160" s="58">
        <f t="array" ref="DA160">SUM(IF(CW160:CX160&gt;=CX160, 1))</f>
        <v>1</v>
      </c>
      <c r="DC160" s="109">
        <f t="shared" si="107"/>
        <v>-1808544.5792441587</v>
      </c>
      <c r="DD160" s="109">
        <f t="shared" si="108"/>
        <v>0</v>
      </c>
      <c r="DF160" s="58">
        <f t="array" ref="DF160">SUM(IF(DC160:DD160&gt;=DC160, 1))</f>
        <v>2</v>
      </c>
      <c r="DG160" s="58">
        <f t="array" ref="DG160">SUM(IF(DC160:DD160&gt;=DD160, 1))</f>
        <v>1</v>
      </c>
      <c r="DI160" s="109">
        <f t="shared" si="109"/>
        <v>-29668492.534146123</v>
      </c>
      <c r="DJ160" s="109">
        <f t="shared" si="110"/>
        <v>0</v>
      </c>
      <c r="DL160" s="58">
        <f t="array" ref="DL160">SUM(IF(DI160:DJ160&gt;=DI160, 1))</f>
        <v>2</v>
      </c>
      <c r="DM160" s="58">
        <f t="array" ref="DM160">SUM(IF(DI160:DJ160&gt;=DJ160, 1))</f>
        <v>1</v>
      </c>
      <c r="DO160" s="109">
        <f t="shared" si="111"/>
        <v>-8328064.4744785801</v>
      </c>
      <c r="DP160" s="109">
        <f t="shared" si="112"/>
        <v>0</v>
      </c>
      <c r="DR160" s="58">
        <f t="array" ref="DR160">SUM(IF(DO160:DP160&gt;=DO160, 1))</f>
        <v>2</v>
      </c>
      <c r="DS160" s="58">
        <f t="array" ref="DS160">SUM(IF(DO160:DP160&gt;=DP160, 1))</f>
        <v>1</v>
      </c>
      <c r="DU160" s="109">
        <f t="shared" si="113"/>
        <v>-50291322.963677302</v>
      </c>
      <c r="DV160" s="109">
        <f t="shared" si="114"/>
        <v>0</v>
      </c>
      <c r="DX160" s="58">
        <f t="array" ref="DX160">SUM(IF(DU160:DV160&gt;=DU160, 1))</f>
        <v>2</v>
      </c>
      <c r="DY160" s="58">
        <f t="array" ref="DY160">SUM(IF(DU160:DV160&gt;=DV160, 1))</f>
        <v>1</v>
      </c>
      <c r="EA160" s="109">
        <f t="shared" si="115"/>
        <v>-125435194.4364939</v>
      </c>
      <c r="EB160" s="109">
        <f t="shared" si="116"/>
        <v>0</v>
      </c>
      <c r="ED160" s="58">
        <f t="array" ref="ED160">SUM(IF(EA160:EB160&gt;=EA160, 1))</f>
        <v>2</v>
      </c>
      <c r="EE160" s="58">
        <f t="array" ref="EE160">SUM(IF(EA160:EB160&gt;=EB160, 1))</f>
        <v>1</v>
      </c>
    </row>
    <row r="161" spans="4:135" ht="12" customHeight="1" x14ac:dyDescent="0.25">
      <c r="D161" s="11">
        <v>145</v>
      </c>
      <c r="E161" s="72">
        <v>272.76725493395202</v>
      </c>
      <c r="F161" s="72">
        <v>268.23282750864416</v>
      </c>
      <c r="G161" s="73"/>
      <c r="H161" s="74">
        <v>5.8474482449140943</v>
      </c>
      <c r="I161" s="74">
        <v>5.857563325730653</v>
      </c>
      <c r="J161" s="73"/>
      <c r="K161" s="72">
        <v>293.91788633111128</v>
      </c>
      <c r="L161" s="72">
        <v>289.22930344361731</v>
      </c>
      <c r="M161" s="73"/>
      <c r="N161" s="74">
        <v>6.676352362042417</v>
      </c>
      <c r="O161" s="74">
        <v>6.6844642150372477</v>
      </c>
      <c r="P161" s="73"/>
      <c r="Q161" s="72">
        <v>1427.3562273265718</v>
      </c>
      <c r="R161" s="72">
        <v>1061.8256656117717</v>
      </c>
      <c r="S161" s="73"/>
      <c r="T161" s="74">
        <v>4.8563962175854547</v>
      </c>
      <c r="U161" s="74">
        <v>4.9507958150975782</v>
      </c>
      <c r="V161" s="73"/>
      <c r="W161" s="72">
        <v>11457.72787839183</v>
      </c>
      <c r="X161" s="72">
        <v>11390.329668638518</v>
      </c>
      <c r="Y161" s="73"/>
      <c r="Z161" s="74">
        <v>3.0613185682762158</v>
      </c>
      <c r="AA161" s="74">
        <v>3.1014877147441906</v>
      </c>
      <c r="AB161" s="73"/>
      <c r="AC161" s="72">
        <v>48310.801368252738</v>
      </c>
      <c r="AD161" s="72">
        <v>48193.934843555151</v>
      </c>
      <c r="AE161" s="73"/>
      <c r="AF161" s="74">
        <v>4.683127682351393</v>
      </c>
      <c r="AG161" s="74">
        <v>4.8579448380346948</v>
      </c>
      <c r="AH161" s="73"/>
      <c r="AI161" s="72">
        <v>484054.11065268237</v>
      </c>
      <c r="AJ161" s="72">
        <v>0</v>
      </c>
      <c r="AK161" s="73"/>
      <c r="AL161" s="74">
        <v>-1079.7937621654378</v>
      </c>
      <c r="AM161" s="74">
        <v>0</v>
      </c>
      <c r="AN161" s="73"/>
      <c r="AO161" s="72">
        <v>33575.835842001587</v>
      </c>
      <c r="AP161" s="72">
        <v>0</v>
      </c>
      <c r="AQ161" s="73"/>
      <c r="AR161" s="74">
        <v>-58.090525658694929</v>
      </c>
      <c r="AS161" s="74">
        <v>0</v>
      </c>
      <c r="AT161" s="73"/>
      <c r="AU161" s="72">
        <v>8554690.4517819826</v>
      </c>
      <c r="AV161" s="72">
        <v>0</v>
      </c>
      <c r="AW161" s="73"/>
      <c r="AX161" s="74">
        <v>-2209.2799346258525</v>
      </c>
      <c r="AY161" s="74">
        <v>0</v>
      </c>
      <c r="AZ161" s="73"/>
      <c r="BA161" s="72">
        <v>606507.6844316565</v>
      </c>
      <c r="BB161" s="72">
        <v>0</v>
      </c>
      <c r="BC161" s="73"/>
      <c r="BD161" s="74">
        <v>-361.47690122719217</v>
      </c>
      <c r="BE161" s="74">
        <v>0</v>
      </c>
      <c r="BF161" s="73"/>
      <c r="BG161" s="72">
        <v>1869853.5881688085</v>
      </c>
      <c r="BH161" s="72">
        <v>0</v>
      </c>
      <c r="BI161" s="73"/>
      <c r="BJ161" s="74">
        <v>-2797.0583250743002</v>
      </c>
      <c r="BK161" s="74">
        <v>0</v>
      </c>
      <c r="BL161" s="73"/>
      <c r="BM161" s="72">
        <v>11548681.670877133</v>
      </c>
      <c r="BN161" s="72">
        <v>0</v>
      </c>
      <c r="BO161" s="73"/>
      <c r="BP161" s="74">
        <v>-6505.6994487514785</v>
      </c>
      <c r="BQ161" s="74">
        <v>0</v>
      </c>
      <c r="BS161" s="109">
        <f t="shared" si="96"/>
        <v>116676.19764334794</v>
      </c>
      <c r="BT161" s="109">
        <f t="shared" si="97"/>
        <v>116883.03368710441</v>
      </c>
      <c r="BV161" s="58">
        <f t="array" ref="BV161">SUM(IF(BS161:BT161&gt;=BS161, 1))</f>
        <v>2</v>
      </c>
      <c r="BW161" s="58">
        <f t="array" ref="BW161">SUM(IF(BS161:BT161&gt;=BT161, 1))</f>
        <v>1</v>
      </c>
      <c r="BY161" s="109">
        <f t="shared" si="98"/>
        <v>133233.12935451721</v>
      </c>
      <c r="BZ161" s="109">
        <f t="shared" si="99"/>
        <v>133400.05499730131</v>
      </c>
      <c r="CB161" s="58">
        <f t="array" ref="CB161">SUM(IF(BY161:BZ161&gt;=BY161, 1))</f>
        <v>2</v>
      </c>
      <c r="CC161" s="58">
        <f t="array" ref="CC161">SUM(IF(BY161:BZ161&gt;=BZ161, 1))</f>
        <v>1</v>
      </c>
      <c r="CE161" s="109">
        <f t="shared" si="100"/>
        <v>95700.568124382524</v>
      </c>
      <c r="CF161" s="109">
        <f t="shared" si="101"/>
        <v>97954.090636339795</v>
      </c>
      <c r="CH161" s="58">
        <f t="array" ref="CH161">SUM(IF(CE161:CF161&gt;=CE161, 1))</f>
        <v>2</v>
      </c>
      <c r="CI161" s="58">
        <f t="array" ref="CI161">SUM(IF(CE161:CF161&gt;=CF161, 1))</f>
        <v>1</v>
      </c>
      <c r="CK161" s="109">
        <f t="shared" si="102"/>
        <v>49768.643487132489</v>
      </c>
      <c r="CL161" s="109">
        <f t="shared" si="103"/>
        <v>50639.424626245294</v>
      </c>
      <c r="CN161" s="58">
        <f t="array" ref="CN161">SUM(IF(CK161:CL161&gt;=CK161, 1))</f>
        <v>2</v>
      </c>
      <c r="CO161" s="58">
        <f t="array" ref="CO161">SUM(IF(CK161:CL161&gt;=CL161, 1))</f>
        <v>1</v>
      </c>
      <c r="CQ161" s="109" cm="1">
        <f t="array" ref="CQ161">AF161*WTP-AC161</f>
        <v>45351.752278775122</v>
      </c>
      <c r="CR161" s="109">
        <f t="shared" si="104"/>
        <v>48964.961917138746</v>
      </c>
      <c r="CT161" s="58">
        <f t="array" ref="CT161">SUM(IF(CQ161:CR161&gt;=CQ161, 1))</f>
        <v>2</v>
      </c>
      <c r="CU161" s="58">
        <f t="array" ref="CU161">SUM(IF(CQ161:CR161&gt;=CR161, 1))</f>
        <v>1</v>
      </c>
      <c r="CW161" s="109">
        <f t="shared" si="105"/>
        <v>-22079929.353961438</v>
      </c>
      <c r="CX161" s="109">
        <f t="shared" si="106"/>
        <v>0</v>
      </c>
      <c r="CZ161" s="58">
        <f t="array" ref="CZ161">SUM(IF(CW161:CX161&gt;=CW161, 1))</f>
        <v>2</v>
      </c>
      <c r="DA161" s="58">
        <f t="array" ref="DA161">SUM(IF(CW161:CX161&gt;=CX161, 1))</f>
        <v>1</v>
      </c>
      <c r="DC161" s="109">
        <f t="shared" si="107"/>
        <v>-1195386.3490159002</v>
      </c>
      <c r="DD161" s="109">
        <f t="shared" si="108"/>
        <v>0</v>
      </c>
      <c r="DF161" s="58">
        <f t="array" ref="DF161">SUM(IF(DC161:DD161&gt;=DC161, 1))</f>
        <v>2</v>
      </c>
      <c r="DG161" s="58">
        <f t="array" ref="DG161">SUM(IF(DC161:DD161&gt;=DD161, 1))</f>
        <v>1</v>
      </c>
      <c r="DI161" s="109">
        <f t="shared" si="109"/>
        <v>-52740289.14429903</v>
      </c>
      <c r="DJ161" s="109">
        <f t="shared" si="110"/>
        <v>0</v>
      </c>
      <c r="DL161" s="58">
        <f t="array" ref="DL161">SUM(IF(DI161:DJ161&gt;=DI161, 1))</f>
        <v>2</v>
      </c>
      <c r="DM161" s="58">
        <f t="array" ref="DM161">SUM(IF(DI161:DJ161&gt;=DJ161, 1))</f>
        <v>1</v>
      </c>
      <c r="DO161" s="109">
        <f t="shared" si="111"/>
        <v>-7836045.7089754995</v>
      </c>
      <c r="DP161" s="109">
        <f t="shared" si="112"/>
        <v>0</v>
      </c>
      <c r="DR161" s="58">
        <f t="array" ref="DR161">SUM(IF(DO161:DP161&gt;=DO161, 1))</f>
        <v>2</v>
      </c>
      <c r="DS161" s="58">
        <f t="array" ref="DS161">SUM(IF(DO161:DP161&gt;=DP161, 1))</f>
        <v>1</v>
      </c>
      <c r="DU161" s="109">
        <f t="shared" si="113"/>
        <v>-57811020.089654811</v>
      </c>
      <c r="DV161" s="109">
        <f t="shared" si="114"/>
        <v>0</v>
      </c>
      <c r="DX161" s="58">
        <f t="array" ref="DX161">SUM(IF(DU161:DV161&gt;=DU161, 1))</f>
        <v>2</v>
      </c>
      <c r="DY161" s="58">
        <f t="array" ref="DY161">SUM(IF(DU161:DV161&gt;=DV161, 1))</f>
        <v>1</v>
      </c>
      <c r="EA161" s="109">
        <f t="shared" si="115"/>
        <v>-141662670.64590672</v>
      </c>
      <c r="EB161" s="109">
        <f t="shared" si="116"/>
        <v>0</v>
      </c>
      <c r="ED161" s="58">
        <f t="array" ref="ED161">SUM(IF(EA161:EB161&gt;=EA161, 1))</f>
        <v>2</v>
      </c>
      <c r="EE161" s="58">
        <f t="array" ref="EE161">SUM(IF(EA161:EB161&gt;=EB161, 1))</f>
        <v>1</v>
      </c>
    </row>
    <row r="162" spans="4:135" ht="12" customHeight="1" x14ac:dyDescent="0.25">
      <c r="D162" s="11">
        <v>146</v>
      </c>
      <c r="E162" s="72">
        <v>234.19512149972346</v>
      </c>
      <c r="F162" s="72">
        <v>203.08346906841885</v>
      </c>
      <c r="G162" s="73"/>
      <c r="H162" s="74">
        <v>5.8416745597997384</v>
      </c>
      <c r="I162" s="74">
        <v>5.8567285369414304</v>
      </c>
      <c r="J162" s="73"/>
      <c r="K162" s="72">
        <v>250.71415490952279</v>
      </c>
      <c r="L162" s="72">
        <v>218.84118900979678</v>
      </c>
      <c r="M162" s="73"/>
      <c r="N162" s="74">
        <v>6.7137138231804405</v>
      </c>
      <c r="O162" s="74">
        <v>6.7261380207420345</v>
      </c>
      <c r="P162" s="73"/>
      <c r="Q162" s="72">
        <v>2268.0165597338982</v>
      </c>
      <c r="R162" s="72">
        <v>1152.1068973715446</v>
      </c>
      <c r="S162" s="73"/>
      <c r="T162" s="74">
        <v>4.8102916755911789</v>
      </c>
      <c r="U162" s="74">
        <v>4.9359079710558289</v>
      </c>
      <c r="V162" s="73"/>
      <c r="W162" s="72">
        <v>11511.699391928863</v>
      </c>
      <c r="X162" s="72">
        <v>11584.233456818483</v>
      </c>
      <c r="Y162" s="73"/>
      <c r="Z162" s="74">
        <v>2.9473674203653077</v>
      </c>
      <c r="AA162" s="74">
        <v>2.9993953762956531</v>
      </c>
      <c r="AB162" s="73"/>
      <c r="AC162" s="72">
        <v>51290.851820992859</v>
      </c>
      <c r="AD162" s="72">
        <v>50785.963444022469</v>
      </c>
      <c r="AE162" s="73"/>
      <c r="AF162" s="74">
        <v>3.7438630056790472</v>
      </c>
      <c r="AG162" s="74">
        <v>3.8550933366714566</v>
      </c>
      <c r="AH162" s="73"/>
      <c r="AI162" s="72">
        <v>3335441.0636213487</v>
      </c>
      <c r="AJ162" s="72">
        <v>0</v>
      </c>
      <c r="AK162" s="73"/>
      <c r="AL162" s="74">
        <v>-1613.9179248059975</v>
      </c>
      <c r="AM162" s="74">
        <v>0</v>
      </c>
      <c r="AN162" s="73"/>
      <c r="AO162" s="72">
        <v>220299.49482155402</v>
      </c>
      <c r="AP162" s="72">
        <v>0</v>
      </c>
      <c r="AQ162" s="73"/>
      <c r="AR162" s="74">
        <v>-85.873541075318059</v>
      </c>
      <c r="AS162" s="74">
        <v>0</v>
      </c>
      <c r="AT162" s="73"/>
      <c r="AU162" s="72">
        <v>26280363.816067524</v>
      </c>
      <c r="AV162" s="72">
        <v>0</v>
      </c>
      <c r="AW162" s="73"/>
      <c r="AX162" s="74">
        <v>-2958.3415731422078</v>
      </c>
      <c r="AY162" s="74">
        <v>0</v>
      </c>
      <c r="AZ162" s="73"/>
      <c r="BA162" s="72">
        <v>-681956.64073358802</v>
      </c>
      <c r="BB162" s="72">
        <v>0</v>
      </c>
      <c r="BC162" s="73"/>
      <c r="BD162" s="74">
        <v>-489.16064616655751</v>
      </c>
      <c r="BE162" s="74">
        <v>0</v>
      </c>
      <c r="BF162" s="73"/>
      <c r="BG162" s="72">
        <v>7985588.0972149931</v>
      </c>
      <c r="BH162" s="72">
        <v>0</v>
      </c>
      <c r="BI162" s="73"/>
      <c r="BJ162" s="74">
        <v>-1759.2791748389986</v>
      </c>
      <c r="BK162" s="74">
        <v>0</v>
      </c>
      <c r="BL162" s="73"/>
      <c r="BM162" s="72">
        <v>37139735.830991834</v>
      </c>
      <c r="BN162" s="72">
        <v>0</v>
      </c>
      <c r="BO162" s="73"/>
      <c r="BP162" s="74">
        <v>-6906.5728600290804</v>
      </c>
      <c r="BQ162" s="74">
        <v>0</v>
      </c>
      <c r="BS162" s="109">
        <f t="shared" si="96"/>
        <v>116599.29607449504</v>
      </c>
      <c r="BT162" s="109">
        <f t="shared" si="97"/>
        <v>116931.4872697602</v>
      </c>
      <c r="BV162" s="58">
        <f t="array" ref="BV162">SUM(IF(BS162:BT162&gt;=BS162, 1))</f>
        <v>2</v>
      </c>
      <c r="BW162" s="58">
        <f t="array" ref="BW162">SUM(IF(BS162:BT162&gt;=BT162, 1))</f>
        <v>1</v>
      </c>
      <c r="BY162" s="109">
        <f t="shared" si="98"/>
        <v>134023.5623086993</v>
      </c>
      <c r="BZ162" s="109">
        <f t="shared" si="99"/>
        <v>134303.91922583088</v>
      </c>
      <c r="CB162" s="58">
        <f t="array" ref="CB162">SUM(IF(BY162:BZ162&gt;=BY162, 1))</f>
        <v>2</v>
      </c>
      <c r="CC162" s="58">
        <f t="array" ref="CC162">SUM(IF(BY162:BZ162&gt;=BZ162, 1))</f>
        <v>1</v>
      </c>
      <c r="CE162" s="109">
        <f t="shared" si="100"/>
        <v>93937.816952089692</v>
      </c>
      <c r="CF162" s="109">
        <f t="shared" si="101"/>
        <v>97566.052523745035</v>
      </c>
      <c r="CH162" s="58">
        <f t="array" ref="CH162">SUM(IF(CE162:CF162&gt;=CE162, 1))</f>
        <v>2</v>
      </c>
      <c r="CI162" s="58">
        <f t="array" ref="CI162">SUM(IF(CE162:CF162&gt;=CF162, 1))</f>
        <v>1</v>
      </c>
      <c r="CK162" s="109">
        <f t="shared" si="102"/>
        <v>47435.64901537729</v>
      </c>
      <c r="CL162" s="109">
        <f t="shared" si="103"/>
        <v>48403.674069094581</v>
      </c>
      <c r="CN162" s="58">
        <f t="array" ref="CN162">SUM(IF(CK162:CL162&gt;=CK162, 1))</f>
        <v>2</v>
      </c>
      <c r="CO162" s="58">
        <f t="array" ref="CO162">SUM(IF(CK162:CL162&gt;=CL162, 1))</f>
        <v>1</v>
      </c>
      <c r="CQ162" s="109" cm="1">
        <f t="array" ref="CQ162">AF162*WTP-AC162</f>
        <v>23586.408292588079</v>
      </c>
      <c r="CR162" s="109">
        <f t="shared" si="104"/>
        <v>26315.90328940667</v>
      </c>
      <c r="CT162" s="58">
        <f t="array" ref="CT162">SUM(IF(CQ162:CR162&gt;=CQ162, 1))</f>
        <v>2</v>
      </c>
      <c r="CU162" s="58">
        <f t="array" ref="CU162">SUM(IF(CQ162:CR162&gt;=CR162, 1))</f>
        <v>1</v>
      </c>
      <c r="CW162" s="109">
        <f t="shared" si="105"/>
        <v>-35613799.559741296</v>
      </c>
      <c r="CX162" s="109">
        <f t="shared" si="106"/>
        <v>0</v>
      </c>
      <c r="CZ162" s="58">
        <f t="array" ref="CZ162">SUM(IF(CW162:CX162&gt;=CW162, 1))</f>
        <v>2</v>
      </c>
      <c r="DA162" s="58">
        <f t="array" ref="DA162">SUM(IF(CW162:CX162&gt;=CX162, 1))</f>
        <v>1</v>
      </c>
      <c r="DC162" s="109">
        <f t="shared" si="107"/>
        <v>-1937770.3163279153</v>
      </c>
      <c r="DD162" s="109">
        <f t="shared" si="108"/>
        <v>0</v>
      </c>
      <c r="DF162" s="58">
        <f t="array" ref="DF162">SUM(IF(DC162:DD162&gt;=DC162, 1))</f>
        <v>2</v>
      </c>
      <c r="DG162" s="58">
        <f t="array" ref="DG162">SUM(IF(DC162:DD162&gt;=DD162, 1))</f>
        <v>1</v>
      </c>
      <c r="DI162" s="109">
        <f t="shared" si="109"/>
        <v>-85447195.27891168</v>
      </c>
      <c r="DJ162" s="109">
        <f t="shared" si="110"/>
        <v>0</v>
      </c>
      <c r="DL162" s="58">
        <f t="array" ref="DL162">SUM(IF(DI162:DJ162&gt;=DI162, 1))</f>
        <v>2</v>
      </c>
      <c r="DM162" s="58">
        <f t="array" ref="DM162">SUM(IF(DI162:DJ162&gt;=DJ162, 1))</f>
        <v>1</v>
      </c>
      <c r="DO162" s="109">
        <f t="shared" si="111"/>
        <v>-9101256.2825975623</v>
      </c>
      <c r="DP162" s="109">
        <f t="shared" si="112"/>
        <v>0</v>
      </c>
      <c r="DR162" s="58">
        <f t="array" ref="DR162">SUM(IF(DO162:DP162&gt;=DO162, 1))</f>
        <v>2</v>
      </c>
      <c r="DS162" s="58">
        <f t="array" ref="DS162">SUM(IF(DO162:DP162&gt;=DP162, 1))</f>
        <v>1</v>
      </c>
      <c r="DU162" s="109">
        <f t="shared" si="113"/>
        <v>-43171171.59399496</v>
      </c>
      <c r="DV162" s="109">
        <f t="shared" si="114"/>
        <v>0</v>
      </c>
      <c r="DX162" s="58">
        <f t="array" ref="DX162">SUM(IF(DU162:DV162&gt;=DU162, 1))</f>
        <v>2</v>
      </c>
      <c r="DY162" s="58">
        <f t="array" ref="DY162">SUM(IF(DU162:DV162&gt;=DV162, 1))</f>
        <v>1</v>
      </c>
      <c r="EA162" s="109">
        <f t="shared" si="115"/>
        <v>-175271193.03157344</v>
      </c>
      <c r="EB162" s="109">
        <f t="shared" si="116"/>
        <v>0</v>
      </c>
      <c r="ED162" s="58">
        <f t="array" ref="ED162">SUM(IF(EA162:EB162&gt;=EA162, 1))</f>
        <v>2</v>
      </c>
      <c r="EE162" s="58">
        <f t="array" ref="EE162">SUM(IF(EA162:EB162&gt;=EB162, 1))</f>
        <v>1</v>
      </c>
    </row>
    <row r="163" spans="4:135" ht="12" customHeight="1" x14ac:dyDescent="0.25">
      <c r="D163" s="11">
        <v>147</v>
      </c>
      <c r="E163" s="72">
        <v>252.52621966305961</v>
      </c>
      <c r="F163" s="72">
        <v>213.20698324399805</v>
      </c>
      <c r="G163" s="73"/>
      <c r="H163" s="74">
        <v>5.8664200576149845</v>
      </c>
      <c r="I163" s="74">
        <v>5.8859852720825101</v>
      </c>
      <c r="J163" s="73"/>
      <c r="K163" s="72">
        <v>270.10901612989369</v>
      </c>
      <c r="L163" s="72">
        <v>229.88325703000069</v>
      </c>
      <c r="M163" s="73"/>
      <c r="N163" s="74">
        <v>6.6874761994340135</v>
      </c>
      <c r="O163" s="74">
        <v>6.7043681118509664</v>
      </c>
      <c r="P163" s="73"/>
      <c r="Q163" s="72">
        <v>2167.4902493461018</v>
      </c>
      <c r="R163" s="72">
        <v>1434.0079625650812</v>
      </c>
      <c r="S163" s="73"/>
      <c r="T163" s="74">
        <v>4.8258071254401056</v>
      </c>
      <c r="U163" s="74">
        <v>4.8969293182236804</v>
      </c>
      <c r="V163" s="73"/>
      <c r="W163" s="72">
        <v>15666.684738738852</v>
      </c>
      <c r="X163" s="72">
        <v>15649.434676876657</v>
      </c>
      <c r="Y163" s="73"/>
      <c r="Z163" s="74">
        <v>2.9803373269067963</v>
      </c>
      <c r="AA163" s="74">
        <v>3.0169479473105936</v>
      </c>
      <c r="AB163" s="73"/>
      <c r="AC163" s="72">
        <v>49900.243706923357</v>
      </c>
      <c r="AD163" s="72">
        <v>49918.610551367987</v>
      </c>
      <c r="AE163" s="73"/>
      <c r="AF163" s="74">
        <v>4.8288485879446341</v>
      </c>
      <c r="AG163" s="74">
        <v>4.9027135281766627</v>
      </c>
      <c r="AH163" s="73"/>
      <c r="AI163" s="72">
        <v>4230763.6324913157</v>
      </c>
      <c r="AJ163" s="72">
        <v>0</v>
      </c>
      <c r="AK163" s="73"/>
      <c r="AL163" s="74">
        <v>-2105.223940487595</v>
      </c>
      <c r="AM163" s="74">
        <v>0</v>
      </c>
      <c r="AN163" s="73"/>
      <c r="AO163" s="72">
        <v>283841.51705905679</v>
      </c>
      <c r="AP163" s="72">
        <v>0</v>
      </c>
      <c r="AQ163" s="73"/>
      <c r="AR163" s="74">
        <v>-119.19292895256699</v>
      </c>
      <c r="AS163" s="74">
        <v>0</v>
      </c>
      <c r="AT163" s="73"/>
      <c r="AU163" s="72">
        <v>16653831.32438154</v>
      </c>
      <c r="AV163" s="72">
        <v>0</v>
      </c>
      <c r="AW163" s="73"/>
      <c r="AX163" s="74">
        <v>-1614.8406353968537</v>
      </c>
      <c r="AY163" s="74">
        <v>0</v>
      </c>
      <c r="AZ163" s="73"/>
      <c r="BA163" s="72">
        <v>150450.12970169817</v>
      </c>
      <c r="BB163" s="72">
        <v>0</v>
      </c>
      <c r="BC163" s="73"/>
      <c r="BD163" s="74">
        <v>-319.30741073355574</v>
      </c>
      <c r="BE163" s="74">
        <v>0</v>
      </c>
      <c r="BF163" s="73"/>
      <c r="BG163" s="72">
        <v>-285467.70415810798</v>
      </c>
      <c r="BH163" s="72">
        <v>0</v>
      </c>
      <c r="BI163" s="73"/>
      <c r="BJ163" s="74">
        <v>-1148.0499532393983</v>
      </c>
      <c r="BK163" s="74">
        <v>0</v>
      </c>
      <c r="BL163" s="73"/>
      <c r="BM163" s="72">
        <v>21033418.8994755</v>
      </c>
      <c r="BN163" s="72">
        <v>0</v>
      </c>
      <c r="BO163" s="73"/>
      <c r="BP163" s="74">
        <v>-5306.6148688099693</v>
      </c>
      <c r="BQ163" s="74">
        <v>0</v>
      </c>
      <c r="BS163" s="109">
        <f t="shared" si="96"/>
        <v>117075.87493263662</v>
      </c>
      <c r="BT163" s="109">
        <f t="shared" si="97"/>
        <v>117506.4984584062</v>
      </c>
      <c r="BV163" s="58">
        <f t="array" ref="BV163">SUM(IF(BS163:BT163&gt;=BS163, 1))</f>
        <v>2</v>
      </c>
      <c r="BW163" s="58">
        <f t="array" ref="BW163">SUM(IF(BS163:BT163&gt;=BT163, 1))</f>
        <v>1</v>
      </c>
      <c r="BY163" s="109">
        <f t="shared" si="98"/>
        <v>133479.41497255038</v>
      </c>
      <c r="BZ163" s="109">
        <f t="shared" si="99"/>
        <v>133857.4789799893</v>
      </c>
      <c r="CB163" s="58">
        <f t="array" ref="CB163">SUM(IF(BY163:BZ163&gt;=BY163, 1))</f>
        <v>2</v>
      </c>
      <c r="CC163" s="58">
        <f t="array" ref="CC163">SUM(IF(BY163:BZ163&gt;=BZ163, 1))</f>
        <v>1</v>
      </c>
      <c r="CE163" s="109">
        <f t="shared" si="100"/>
        <v>94348.652259456008</v>
      </c>
      <c r="CF163" s="109">
        <f t="shared" si="101"/>
        <v>96504.578401908526</v>
      </c>
      <c r="CH163" s="58">
        <f t="array" ref="CH163">SUM(IF(CE163:CF163&gt;=CE163, 1))</f>
        <v>2</v>
      </c>
      <c r="CI163" s="58">
        <f t="array" ref="CI163">SUM(IF(CE163:CF163&gt;=CF163, 1))</f>
        <v>1</v>
      </c>
      <c r="CK163" s="109">
        <f t="shared" si="102"/>
        <v>43940.061799397081</v>
      </c>
      <c r="CL163" s="109">
        <f t="shared" si="103"/>
        <v>44689.524269335219</v>
      </c>
      <c r="CN163" s="58">
        <f t="array" ref="CN163">SUM(IF(CK163:CL163&gt;=CK163, 1))</f>
        <v>2</v>
      </c>
      <c r="CO163" s="58">
        <f t="array" ref="CO163">SUM(IF(CK163:CL163&gt;=CL163, 1))</f>
        <v>1</v>
      </c>
      <c r="CQ163" s="109" cm="1">
        <f t="array" ref="CQ163">AF163*WTP-AC163</f>
        <v>46676.72805196933</v>
      </c>
      <c r="CR163" s="109">
        <f t="shared" si="104"/>
        <v>48135.660012165266</v>
      </c>
      <c r="CT163" s="58">
        <f t="array" ref="CT163">SUM(IF(CQ163:CR163&gt;=CQ163, 1))</f>
        <v>2</v>
      </c>
      <c r="CU163" s="58">
        <f t="array" ref="CU163">SUM(IF(CQ163:CR163&gt;=CR163, 1))</f>
        <v>1</v>
      </c>
      <c r="CW163" s="109">
        <f t="shared" si="105"/>
        <v>-46335242.442243211</v>
      </c>
      <c r="CX163" s="109">
        <f t="shared" si="106"/>
        <v>0</v>
      </c>
      <c r="CZ163" s="58">
        <f t="array" ref="CZ163">SUM(IF(CW163:CX163&gt;=CW163, 1))</f>
        <v>2</v>
      </c>
      <c r="DA163" s="58">
        <f t="array" ref="DA163">SUM(IF(CW163:CX163&gt;=CX163, 1))</f>
        <v>1</v>
      </c>
      <c r="DC163" s="109">
        <f t="shared" si="107"/>
        <v>-2667700.0961103961</v>
      </c>
      <c r="DD163" s="109">
        <f t="shared" si="108"/>
        <v>0</v>
      </c>
      <c r="DF163" s="58">
        <f t="array" ref="DF163">SUM(IF(DC163:DD163&gt;=DC163, 1))</f>
        <v>2</v>
      </c>
      <c r="DG163" s="58">
        <f t="array" ref="DG163">SUM(IF(DC163:DD163&gt;=DD163, 1))</f>
        <v>1</v>
      </c>
      <c r="DI163" s="109">
        <f t="shared" si="109"/>
        <v>-48950644.032318614</v>
      </c>
      <c r="DJ163" s="109">
        <f t="shared" si="110"/>
        <v>0</v>
      </c>
      <c r="DL163" s="58">
        <f t="array" ref="DL163">SUM(IF(DI163:DJ163&gt;=DI163, 1))</f>
        <v>2</v>
      </c>
      <c r="DM163" s="58">
        <f t="array" ref="DM163">SUM(IF(DI163:DJ163&gt;=DJ163, 1))</f>
        <v>1</v>
      </c>
      <c r="DO163" s="109">
        <f t="shared" si="111"/>
        <v>-6536598.3443728127</v>
      </c>
      <c r="DP163" s="109">
        <f t="shared" si="112"/>
        <v>0</v>
      </c>
      <c r="DR163" s="58">
        <f t="array" ref="DR163">SUM(IF(DO163:DP163&gt;=DO163, 1))</f>
        <v>2</v>
      </c>
      <c r="DS163" s="58">
        <f t="array" ref="DS163">SUM(IF(DO163:DP163&gt;=DP163, 1))</f>
        <v>1</v>
      </c>
      <c r="DU163" s="109">
        <f t="shared" si="113"/>
        <v>-22675531.360629857</v>
      </c>
      <c r="DV163" s="109">
        <f t="shared" si="114"/>
        <v>0</v>
      </c>
      <c r="DX163" s="58">
        <f t="array" ref="DX163">SUM(IF(DU163:DV163&gt;=DU163, 1))</f>
        <v>2</v>
      </c>
      <c r="DY163" s="58">
        <f t="array" ref="DY163">SUM(IF(DU163:DV163&gt;=DV163, 1))</f>
        <v>1</v>
      </c>
      <c r="EA163" s="109">
        <f t="shared" si="115"/>
        <v>-127165716.27567488</v>
      </c>
      <c r="EB163" s="109">
        <f t="shared" si="116"/>
        <v>0</v>
      </c>
      <c r="ED163" s="58">
        <f t="array" ref="ED163">SUM(IF(EA163:EB163&gt;=EA163, 1))</f>
        <v>2</v>
      </c>
      <c r="EE163" s="58">
        <f t="array" ref="EE163">SUM(IF(EA163:EB163&gt;=EB163, 1))</f>
        <v>1</v>
      </c>
    </row>
    <row r="164" spans="4:135" ht="12" customHeight="1" x14ac:dyDescent="0.25">
      <c r="D164" s="11">
        <v>148</v>
      </c>
      <c r="E164" s="72">
        <v>231.96720298262386</v>
      </c>
      <c r="F164" s="72">
        <v>225.41296813917558</v>
      </c>
      <c r="G164" s="73"/>
      <c r="H164" s="74">
        <v>5.8507283489853759</v>
      </c>
      <c r="I164" s="74">
        <v>5.869710235587462</v>
      </c>
      <c r="J164" s="73"/>
      <c r="K164" s="72">
        <v>249.90708780452024</v>
      </c>
      <c r="L164" s="72">
        <v>243.17467900682456</v>
      </c>
      <c r="M164" s="73"/>
      <c r="N164" s="74">
        <v>6.7044569718409539</v>
      </c>
      <c r="O164" s="74">
        <v>6.7215860265882208</v>
      </c>
      <c r="P164" s="73"/>
      <c r="Q164" s="72">
        <v>1998.0579369580894</v>
      </c>
      <c r="R164" s="72">
        <v>1752.3172540611026</v>
      </c>
      <c r="S164" s="73"/>
      <c r="T164" s="74">
        <v>4.857312411803159</v>
      </c>
      <c r="U164" s="74">
        <v>4.8933968605793092</v>
      </c>
      <c r="V164" s="73"/>
      <c r="W164" s="72">
        <v>11728.635742850227</v>
      </c>
      <c r="X164" s="72">
        <v>11764.657706640521</v>
      </c>
      <c r="Y164" s="73"/>
      <c r="Z164" s="74">
        <v>3.1582178985182163</v>
      </c>
      <c r="AA164" s="74">
        <v>3.2194829256309418</v>
      </c>
      <c r="AB164" s="73"/>
      <c r="AC164" s="72">
        <v>50656.905723610616</v>
      </c>
      <c r="AD164" s="72">
        <v>50071.460209159835</v>
      </c>
      <c r="AE164" s="73"/>
      <c r="AF164" s="74">
        <v>4.5834055169881891</v>
      </c>
      <c r="AG164" s="74">
        <v>4.8048470400417242</v>
      </c>
      <c r="AH164" s="73"/>
      <c r="AI164" s="72">
        <v>706955.06853169564</v>
      </c>
      <c r="AJ164" s="72">
        <v>0</v>
      </c>
      <c r="AK164" s="73"/>
      <c r="AL164" s="74">
        <v>-2047.430594747889</v>
      </c>
      <c r="AM164" s="74">
        <v>0</v>
      </c>
      <c r="AN164" s="73"/>
      <c r="AO164" s="72">
        <v>45923.549066647793</v>
      </c>
      <c r="AP164" s="72">
        <v>0</v>
      </c>
      <c r="AQ164" s="73"/>
      <c r="AR164" s="74">
        <v>-116.8418332559734</v>
      </c>
      <c r="AS164" s="74">
        <v>0</v>
      </c>
      <c r="AT164" s="73"/>
      <c r="AU164" s="72">
        <v>5715442.4828743851</v>
      </c>
      <c r="AV164" s="72">
        <v>0</v>
      </c>
      <c r="AW164" s="73"/>
      <c r="AX164" s="74">
        <v>-839.2529436925505</v>
      </c>
      <c r="AY164" s="74">
        <v>0</v>
      </c>
      <c r="AZ164" s="73"/>
      <c r="BA164" s="72">
        <v>-326071.43347380724</v>
      </c>
      <c r="BB164" s="72">
        <v>0</v>
      </c>
      <c r="BC164" s="73"/>
      <c r="BD164" s="74">
        <v>-554.57207521375881</v>
      </c>
      <c r="BE164" s="74">
        <v>0</v>
      </c>
      <c r="BF164" s="73"/>
      <c r="BG164" s="72">
        <v>9329890.5887563191</v>
      </c>
      <c r="BH164" s="72">
        <v>0</v>
      </c>
      <c r="BI164" s="73"/>
      <c r="BJ164" s="74">
        <v>-3528.9794368571179</v>
      </c>
      <c r="BK164" s="74">
        <v>0</v>
      </c>
      <c r="BL164" s="73"/>
      <c r="BM164" s="72">
        <v>15472140.255755242</v>
      </c>
      <c r="BN164" s="72">
        <v>0</v>
      </c>
      <c r="BO164" s="73"/>
      <c r="BP164" s="74">
        <v>-7087.0768837672895</v>
      </c>
      <c r="BQ164" s="74">
        <v>0</v>
      </c>
      <c r="BS164" s="109">
        <f t="shared" si="96"/>
        <v>116782.59977672491</v>
      </c>
      <c r="BT164" s="109">
        <f t="shared" si="97"/>
        <v>117168.79174361005</v>
      </c>
      <c r="BV164" s="58">
        <f t="array" ref="BV164">SUM(IF(BS164:BT164&gt;=BS164, 1))</f>
        <v>2</v>
      </c>
      <c r="BW164" s="58">
        <f t="array" ref="BW164">SUM(IF(BS164:BT164&gt;=BT164, 1))</f>
        <v>1</v>
      </c>
      <c r="BY164" s="109">
        <f t="shared" si="98"/>
        <v>133839.23234901455</v>
      </c>
      <c r="BZ164" s="109">
        <f t="shared" si="99"/>
        <v>134188.54585275758</v>
      </c>
      <c r="CB164" s="58">
        <f t="array" ref="CB164">SUM(IF(BY164:BZ164&gt;=BY164, 1))</f>
        <v>2</v>
      </c>
      <c r="CC164" s="58">
        <f t="array" ref="CC164">SUM(IF(BY164:BZ164&gt;=BZ164, 1))</f>
        <v>1</v>
      </c>
      <c r="CE164" s="109">
        <f t="shared" si="100"/>
        <v>95148.190299105088</v>
      </c>
      <c r="CF164" s="109">
        <f t="shared" si="101"/>
        <v>96115.619957525094</v>
      </c>
      <c r="CH164" s="58">
        <f t="array" ref="CH164">SUM(IF(CE164:CF164&gt;=CE164, 1))</f>
        <v>2</v>
      </c>
      <c r="CI164" s="58">
        <f t="array" ref="CI164">SUM(IF(CE164:CF164&gt;=CF164, 1))</f>
        <v>1</v>
      </c>
      <c r="CK164" s="109">
        <f t="shared" si="102"/>
        <v>51435.722227514096</v>
      </c>
      <c r="CL164" s="109">
        <f t="shared" si="103"/>
        <v>52625.000805978314</v>
      </c>
      <c r="CN164" s="58">
        <f t="array" ref="CN164">SUM(IF(CK164:CL164&gt;=CK164, 1))</f>
        <v>2</v>
      </c>
      <c r="CO164" s="58">
        <f t="array" ref="CO164">SUM(IF(CK164:CL164&gt;=CL164, 1))</f>
        <v>1</v>
      </c>
      <c r="CQ164" s="109" cm="1">
        <f t="array" ref="CQ164">AF164*WTP-AC164</f>
        <v>41011.204616153162</v>
      </c>
      <c r="CR164" s="109">
        <f t="shared" si="104"/>
        <v>46025.480591674655</v>
      </c>
      <c r="CT164" s="58">
        <f t="array" ref="CT164">SUM(IF(CQ164:CR164&gt;=CQ164, 1))</f>
        <v>2</v>
      </c>
      <c r="CU164" s="58">
        <f t="array" ref="CU164">SUM(IF(CQ164:CR164&gt;=CR164, 1))</f>
        <v>1</v>
      </c>
      <c r="CW164" s="109">
        <f t="shared" si="105"/>
        <v>-41655566.963489473</v>
      </c>
      <c r="CX164" s="109">
        <f t="shared" si="106"/>
        <v>0</v>
      </c>
      <c r="CZ164" s="58">
        <f t="array" ref="CZ164">SUM(IF(CW164:CX164&gt;=CW164, 1))</f>
        <v>2</v>
      </c>
      <c r="DA164" s="58">
        <f t="array" ref="DA164">SUM(IF(CW164:CX164&gt;=CX164, 1))</f>
        <v>1</v>
      </c>
      <c r="DC164" s="109">
        <f t="shared" si="107"/>
        <v>-2382760.2141861157</v>
      </c>
      <c r="DD164" s="109">
        <f t="shared" si="108"/>
        <v>0</v>
      </c>
      <c r="DF164" s="58">
        <f t="array" ref="DF164">SUM(IF(DC164:DD164&gt;=DC164, 1))</f>
        <v>2</v>
      </c>
      <c r="DG164" s="58">
        <f t="array" ref="DG164">SUM(IF(DC164:DD164&gt;=DD164, 1))</f>
        <v>1</v>
      </c>
      <c r="DI164" s="109">
        <f t="shared" si="109"/>
        <v>-22500501.356725395</v>
      </c>
      <c r="DJ164" s="109">
        <f t="shared" si="110"/>
        <v>0</v>
      </c>
      <c r="DL164" s="58">
        <f t="array" ref="DL164">SUM(IF(DI164:DJ164&gt;=DI164, 1))</f>
        <v>2</v>
      </c>
      <c r="DM164" s="58">
        <f t="array" ref="DM164">SUM(IF(DI164:DJ164&gt;=DJ164, 1))</f>
        <v>1</v>
      </c>
      <c r="DO164" s="109">
        <f t="shared" si="111"/>
        <v>-10765370.07080137</v>
      </c>
      <c r="DP164" s="109">
        <f t="shared" si="112"/>
        <v>0</v>
      </c>
      <c r="DR164" s="58">
        <f t="array" ref="DR164">SUM(IF(DO164:DP164&gt;=DO164, 1))</f>
        <v>2</v>
      </c>
      <c r="DS164" s="58">
        <f t="array" ref="DS164">SUM(IF(DO164:DP164&gt;=DP164, 1))</f>
        <v>1</v>
      </c>
      <c r="DU164" s="109">
        <f t="shared" si="113"/>
        <v>-79909479.325898677</v>
      </c>
      <c r="DV164" s="109">
        <f t="shared" si="114"/>
        <v>0</v>
      </c>
      <c r="DX164" s="58">
        <f t="array" ref="DX164">SUM(IF(DU164:DV164&gt;=DU164, 1))</f>
        <v>2</v>
      </c>
      <c r="DY164" s="58">
        <f t="array" ref="DY164">SUM(IF(DU164:DV164&gt;=DV164, 1))</f>
        <v>1</v>
      </c>
      <c r="EA164" s="109">
        <f t="shared" si="115"/>
        <v>-157213677.93110102</v>
      </c>
      <c r="EB164" s="109">
        <f t="shared" si="116"/>
        <v>0</v>
      </c>
      <c r="ED164" s="58">
        <f t="array" ref="ED164">SUM(IF(EA164:EB164&gt;=EA164, 1))</f>
        <v>2</v>
      </c>
      <c r="EE164" s="58">
        <f t="array" ref="EE164">SUM(IF(EA164:EB164&gt;=EB164, 1))</f>
        <v>1</v>
      </c>
    </row>
    <row r="165" spans="4:135" ht="12" customHeight="1" x14ac:dyDescent="0.25">
      <c r="D165" s="11">
        <v>149</v>
      </c>
      <c r="E165" s="72">
        <v>254.77624651776355</v>
      </c>
      <c r="F165" s="72">
        <v>241.61887333613839</v>
      </c>
      <c r="G165" s="73"/>
      <c r="H165" s="74">
        <v>5.8302572260543748</v>
      </c>
      <c r="I165" s="74">
        <v>5.8440683095526049</v>
      </c>
      <c r="J165" s="73"/>
      <c r="K165" s="72">
        <v>274.054853667614</v>
      </c>
      <c r="L165" s="72">
        <v>260.55637797686478</v>
      </c>
      <c r="M165" s="73"/>
      <c r="N165" s="74">
        <v>6.7460415025835978</v>
      </c>
      <c r="O165" s="74">
        <v>6.7579464609569619</v>
      </c>
      <c r="P165" s="73"/>
      <c r="Q165" s="72">
        <v>2387.1355227062422</v>
      </c>
      <c r="R165" s="72">
        <v>1391.9878309603457</v>
      </c>
      <c r="S165" s="73"/>
      <c r="T165" s="74">
        <v>4.8909460527088973</v>
      </c>
      <c r="U165" s="74">
        <v>4.9780659314408338</v>
      </c>
      <c r="V165" s="73"/>
      <c r="W165" s="72">
        <v>12984.958621581449</v>
      </c>
      <c r="X165" s="72">
        <v>12940.739618648495</v>
      </c>
      <c r="Y165" s="73"/>
      <c r="Z165" s="74">
        <v>3.0296687306298722</v>
      </c>
      <c r="AA165" s="74">
        <v>3.0748356102728733</v>
      </c>
      <c r="AB165" s="73"/>
      <c r="AC165" s="72">
        <v>50197.144335754012</v>
      </c>
      <c r="AD165" s="72">
        <v>50231.601349052049</v>
      </c>
      <c r="AE165" s="73"/>
      <c r="AF165" s="74">
        <v>4.6779426095621259</v>
      </c>
      <c r="AG165" s="74">
        <v>4.7645489036689446</v>
      </c>
      <c r="AH165" s="73"/>
      <c r="AI165" s="72">
        <v>1409386.6463489777</v>
      </c>
      <c r="AJ165" s="72">
        <v>0</v>
      </c>
      <c r="AK165" s="73"/>
      <c r="AL165" s="74">
        <v>-1479.4105468711791</v>
      </c>
      <c r="AM165" s="74">
        <v>0</v>
      </c>
      <c r="AN165" s="73"/>
      <c r="AO165" s="72">
        <v>96375.034751801388</v>
      </c>
      <c r="AP165" s="72">
        <v>0</v>
      </c>
      <c r="AQ165" s="73"/>
      <c r="AR165" s="74">
        <v>-84.99780295474504</v>
      </c>
      <c r="AS165" s="74">
        <v>0</v>
      </c>
      <c r="AT165" s="73"/>
      <c r="AU165" s="72">
        <v>23701079.049970195</v>
      </c>
      <c r="AV165" s="72">
        <v>0</v>
      </c>
      <c r="AW165" s="73"/>
      <c r="AX165" s="74">
        <v>-2074.9032025858169</v>
      </c>
      <c r="AY165" s="74">
        <v>0</v>
      </c>
      <c r="AZ165" s="73"/>
      <c r="BA165" s="72">
        <v>392592.98232109105</v>
      </c>
      <c r="BB165" s="72">
        <v>0</v>
      </c>
      <c r="BC165" s="73"/>
      <c r="BD165" s="74">
        <v>-401.0085891821127</v>
      </c>
      <c r="BE165" s="74">
        <v>0</v>
      </c>
      <c r="BF165" s="73"/>
      <c r="BG165" s="72">
        <v>-546135.00015284854</v>
      </c>
      <c r="BH165" s="72">
        <v>0</v>
      </c>
      <c r="BI165" s="73"/>
      <c r="BJ165" s="74">
        <v>-1372.6879934761948</v>
      </c>
      <c r="BK165" s="74">
        <v>0</v>
      </c>
      <c r="BL165" s="73"/>
      <c r="BM165" s="72">
        <v>25053298.713239215</v>
      </c>
      <c r="BN165" s="72">
        <v>0</v>
      </c>
      <c r="BO165" s="73"/>
      <c r="BP165" s="74">
        <v>-5413.0081350700484</v>
      </c>
      <c r="BQ165" s="74">
        <v>0</v>
      </c>
      <c r="BS165" s="109">
        <f t="shared" si="96"/>
        <v>116350.36827456973</v>
      </c>
      <c r="BT165" s="109">
        <f t="shared" si="97"/>
        <v>116639.74731771597</v>
      </c>
      <c r="BV165" s="58">
        <f t="array" ref="BV165">SUM(IF(BS165:BT165&gt;=BS165, 1))</f>
        <v>2</v>
      </c>
      <c r="BW165" s="58">
        <f t="array" ref="BW165">SUM(IF(BS165:BT165&gt;=BT165, 1))</f>
        <v>1</v>
      </c>
      <c r="BY165" s="109">
        <f t="shared" si="98"/>
        <v>134646.77519800432</v>
      </c>
      <c r="BZ165" s="109">
        <f t="shared" si="99"/>
        <v>134898.37284116237</v>
      </c>
      <c r="CB165" s="58">
        <f t="array" ref="CB165">SUM(IF(BY165:BZ165&gt;=BY165, 1))</f>
        <v>2</v>
      </c>
      <c r="CC165" s="58">
        <f t="array" ref="CC165">SUM(IF(BY165:BZ165&gt;=BZ165, 1))</f>
        <v>1</v>
      </c>
      <c r="CE165" s="109">
        <f t="shared" si="100"/>
        <v>95431.785531471702</v>
      </c>
      <c r="CF165" s="109">
        <f t="shared" si="101"/>
        <v>98169.330797856324</v>
      </c>
      <c r="CH165" s="58">
        <f t="array" ref="CH165">SUM(IF(CE165:CF165&gt;=CE165, 1))</f>
        <v>2</v>
      </c>
      <c r="CI165" s="58">
        <f t="array" ref="CI165">SUM(IF(CE165:CF165&gt;=CF165, 1))</f>
        <v>1</v>
      </c>
      <c r="CK165" s="109">
        <f t="shared" si="102"/>
        <v>47608.415991015994</v>
      </c>
      <c r="CL165" s="109">
        <f t="shared" si="103"/>
        <v>48555.972586808974</v>
      </c>
      <c r="CN165" s="58">
        <f t="array" ref="CN165">SUM(IF(CK165:CL165&gt;=CK165, 1))</f>
        <v>2</v>
      </c>
      <c r="CO165" s="58">
        <f t="array" ref="CO165">SUM(IF(CK165:CL165&gt;=CL165, 1))</f>
        <v>1</v>
      </c>
      <c r="CQ165" s="109" cm="1">
        <f t="array" ref="CQ165">AF165*WTP-AC165</f>
        <v>43361.707855488508</v>
      </c>
      <c r="CR165" s="109">
        <f t="shared" si="104"/>
        <v>45059.376724326845</v>
      </c>
      <c r="CT165" s="58">
        <f t="array" ref="CT165">SUM(IF(CQ165:CR165&gt;=CQ165, 1))</f>
        <v>2</v>
      </c>
      <c r="CU165" s="58">
        <f t="array" ref="CU165">SUM(IF(CQ165:CR165&gt;=CR165, 1))</f>
        <v>1</v>
      </c>
      <c r="CW165" s="109">
        <f t="shared" si="105"/>
        <v>-30997597.583772562</v>
      </c>
      <c r="CX165" s="109">
        <f t="shared" si="106"/>
        <v>0</v>
      </c>
      <c r="CZ165" s="58">
        <f t="array" ref="CZ165">SUM(IF(CW165:CX165&gt;=CW165, 1))</f>
        <v>2</v>
      </c>
      <c r="DA165" s="58">
        <f t="array" ref="DA165">SUM(IF(CW165:CX165&gt;=CX165, 1))</f>
        <v>1</v>
      </c>
      <c r="DC165" s="109">
        <f t="shared" si="107"/>
        <v>-1796331.093846702</v>
      </c>
      <c r="DD165" s="109">
        <f t="shared" si="108"/>
        <v>0</v>
      </c>
      <c r="DF165" s="58">
        <f t="array" ref="DF165">SUM(IF(DC165:DD165&gt;=DC165, 1))</f>
        <v>2</v>
      </c>
      <c r="DG165" s="58">
        <f t="array" ref="DG165">SUM(IF(DC165:DD165&gt;=DD165, 1))</f>
        <v>1</v>
      </c>
      <c r="DI165" s="109">
        <f t="shared" si="109"/>
        <v>-65199143.10168653</v>
      </c>
      <c r="DJ165" s="109">
        <f t="shared" si="110"/>
        <v>0</v>
      </c>
      <c r="DL165" s="58">
        <f t="array" ref="DL165">SUM(IF(DI165:DJ165&gt;=DI165, 1))</f>
        <v>2</v>
      </c>
      <c r="DM165" s="58">
        <f t="array" ref="DM165">SUM(IF(DI165:DJ165&gt;=DJ165, 1))</f>
        <v>1</v>
      </c>
      <c r="DO165" s="109">
        <f t="shared" si="111"/>
        <v>-8412764.7659633458</v>
      </c>
      <c r="DP165" s="109">
        <f t="shared" si="112"/>
        <v>0</v>
      </c>
      <c r="DR165" s="58">
        <f t="array" ref="DR165">SUM(IF(DO165:DP165&gt;=DO165, 1))</f>
        <v>2</v>
      </c>
      <c r="DS165" s="58">
        <f t="array" ref="DS165">SUM(IF(DO165:DP165&gt;=DP165, 1))</f>
        <v>1</v>
      </c>
      <c r="DU165" s="109">
        <f t="shared" si="113"/>
        <v>-26907624.869371049</v>
      </c>
      <c r="DV165" s="109">
        <f t="shared" si="114"/>
        <v>0</v>
      </c>
      <c r="DX165" s="58">
        <f t="array" ref="DX165">SUM(IF(DU165:DV165&gt;=DU165, 1))</f>
        <v>2</v>
      </c>
      <c r="DY165" s="58">
        <f t="array" ref="DY165">SUM(IF(DU165:DV165&gt;=DV165, 1))</f>
        <v>1</v>
      </c>
      <c r="EA165" s="109">
        <f t="shared" si="115"/>
        <v>-133313461.41464019</v>
      </c>
      <c r="EB165" s="109">
        <f t="shared" si="116"/>
        <v>0</v>
      </c>
      <c r="ED165" s="58">
        <f t="array" ref="ED165">SUM(IF(EA165:EB165&gt;=EA165, 1))</f>
        <v>2</v>
      </c>
      <c r="EE165" s="58">
        <f t="array" ref="EE165">SUM(IF(EA165:EB165&gt;=EB165, 1))</f>
        <v>1</v>
      </c>
    </row>
    <row r="166" spans="4:135" ht="12" customHeight="1" x14ac:dyDescent="0.25">
      <c r="D166" s="11">
        <v>150</v>
      </c>
      <c r="E166" s="72">
        <v>315.88075593286936</v>
      </c>
      <c r="F166" s="72">
        <v>283.34896034749278</v>
      </c>
      <c r="G166" s="73"/>
      <c r="H166" s="74">
        <v>5.8280425578677502</v>
      </c>
      <c r="I166" s="74">
        <v>5.8468153865090216</v>
      </c>
      <c r="J166" s="73"/>
      <c r="K166" s="72">
        <v>338.89649108501584</v>
      </c>
      <c r="L166" s="72">
        <v>305.57589627342838</v>
      </c>
      <c r="M166" s="73"/>
      <c r="N166" s="74">
        <v>6.6275437991419546</v>
      </c>
      <c r="O166" s="74">
        <v>6.6437246222755837</v>
      </c>
      <c r="P166" s="73"/>
      <c r="Q166" s="72">
        <v>2555.4162042586509</v>
      </c>
      <c r="R166" s="72">
        <v>1736.7241933877497</v>
      </c>
      <c r="S166" s="73"/>
      <c r="T166" s="74">
        <v>4.9741497502057159</v>
      </c>
      <c r="U166" s="74">
        <v>5.0392303762289323</v>
      </c>
      <c r="V166" s="73"/>
      <c r="W166" s="72">
        <v>12044.332816787568</v>
      </c>
      <c r="X166" s="72">
        <v>12091.639664562803</v>
      </c>
      <c r="Y166" s="73"/>
      <c r="Z166" s="74">
        <v>2.972562067507289</v>
      </c>
      <c r="AA166" s="74">
        <v>3.0337424755027946</v>
      </c>
      <c r="AB166" s="73"/>
      <c r="AC166" s="72">
        <v>51485.635996933503</v>
      </c>
      <c r="AD166" s="72">
        <v>51410.164770801319</v>
      </c>
      <c r="AE166" s="73"/>
      <c r="AF166" s="74">
        <v>4.6936483391331842</v>
      </c>
      <c r="AG166" s="74">
        <v>4.798131279273445</v>
      </c>
      <c r="AH166" s="73"/>
      <c r="AI166" s="72">
        <v>3494751.3652162766</v>
      </c>
      <c r="AJ166" s="72">
        <v>0</v>
      </c>
      <c r="AK166" s="73"/>
      <c r="AL166" s="74">
        <v>-2016.6845187157521</v>
      </c>
      <c r="AM166" s="74">
        <v>0</v>
      </c>
      <c r="AN166" s="73"/>
      <c r="AO166" s="72">
        <v>229794.78067908317</v>
      </c>
      <c r="AP166" s="72">
        <v>0</v>
      </c>
      <c r="AQ166" s="73"/>
      <c r="AR166" s="74">
        <v>-111.5907061150747</v>
      </c>
      <c r="AS166" s="74">
        <v>0</v>
      </c>
      <c r="AT166" s="73"/>
      <c r="AU166" s="72">
        <v>19170141.772002686</v>
      </c>
      <c r="AV166" s="72">
        <v>0</v>
      </c>
      <c r="AW166" s="73"/>
      <c r="AX166" s="74">
        <v>-1523.9000880790072</v>
      </c>
      <c r="AY166" s="74">
        <v>0</v>
      </c>
      <c r="AZ166" s="73"/>
      <c r="BA166" s="72">
        <v>-435346.00824348099</v>
      </c>
      <c r="BB166" s="72">
        <v>0</v>
      </c>
      <c r="BC166" s="73"/>
      <c r="BD166" s="74">
        <v>-563.01883672524298</v>
      </c>
      <c r="BE166" s="74">
        <v>0</v>
      </c>
      <c r="BF166" s="73"/>
      <c r="BG166" s="72">
        <v>1201377.0661652035</v>
      </c>
      <c r="BH166" s="72">
        <v>0</v>
      </c>
      <c r="BI166" s="73"/>
      <c r="BJ166" s="74">
        <v>-1663.1955583996141</v>
      </c>
      <c r="BK166" s="74">
        <v>0</v>
      </c>
      <c r="BL166" s="73"/>
      <c r="BM166" s="72">
        <v>23660718.975819767</v>
      </c>
      <c r="BN166" s="72">
        <v>0</v>
      </c>
      <c r="BO166" s="73"/>
      <c r="BP166" s="74">
        <v>-5878.3897080346915</v>
      </c>
      <c r="BQ166" s="74">
        <v>0</v>
      </c>
      <c r="BS166" s="109">
        <f t="shared" si="96"/>
        <v>116244.97040142214</v>
      </c>
      <c r="BT166" s="109">
        <f t="shared" si="97"/>
        <v>116652.95876983294</v>
      </c>
      <c r="BV166" s="58">
        <f t="array" ref="BV166">SUM(IF(BS166:BT166&gt;=BS166, 1))</f>
        <v>2</v>
      </c>
      <c r="BW166" s="58">
        <f t="array" ref="BW166">SUM(IF(BS166:BT166&gt;=BT166, 1))</f>
        <v>1</v>
      </c>
      <c r="BY166" s="109">
        <f t="shared" si="98"/>
        <v>132211.97949175409</v>
      </c>
      <c r="BZ166" s="109">
        <f t="shared" si="99"/>
        <v>132568.91654923826</v>
      </c>
      <c r="CB166" s="58">
        <f t="array" ref="CB166">SUM(IF(BY166:BZ166&gt;=BY166, 1))</f>
        <v>2</v>
      </c>
      <c r="CC166" s="58">
        <f t="array" ref="CC166">SUM(IF(BY166:BZ166&gt;=BZ166, 1))</f>
        <v>1</v>
      </c>
      <c r="CE166" s="109">
        <f t="shared" si="100"/>
        <v>96927.578799855663</v>
      </c>
      <c r="CF166" s="109">
        <f t="shared" si="101"/>
        <v>99047.883331190897</v>
      </c>
      <c r="CH166" s="58">
        <f t="array" ref="CH166">SUM(IF(CE166:CF166&gt;=CE166, 1))</f>
        <v>2</v>
      </c>
      <c r="CI166" s="58">
        <f t="array" ref="CI166">SUM(IF(CE166:CF166&gt;=CF166, 1))</f>
        <v>1</v>
      </c>
      <c r="CK166" s="109">
        <f t="shared" si="102"/>
        <v>47406.908533358212</v>
      </c>
      <c r="CL166" s="109">
        <f t="shared" si="103"/>
        <v>48583.209845493089</v>
      </c>
      <c r="CN166" s="58">
        <f t="array" ref="CN166">SUM(IF(CK166:CL166&gt;=CK166, 1))</f>
        <v>2</v>
      </c>
      <c r="CO166" s="58">
        <f t="array" ref="CO166">SUM(IF(CK166:CL166&gt;=CL166, 1))</f>
        <v>1</v>
      </c>
      <c r="CQ166" s="109" cm="1">
        <f t="array" ref="CQ166">AF166*WTP-AC166</f>
        <v>42387.330785730184</v>
      </c>
      <c r="CR166" s="109">
        <f t="shared" si="104"/>
        <v>44552.460814667575</v>
      </c>
      <c r="CT166" s="58">
        <f t="array" ref="CT166">SUM(IF(CQ166:CR166&gt;=CQ166, 1))</f>
        <v>2</v>
      </c>
      <c r="CU166" s="58">
        <f t="array" ref="CU166">SUM(IF(CQ166:CR166&gt;=CR166, 1))</f>
        <v>1</v>
      </c>
      <c r="CW166" s="109">
        <f t="shared" si="105"/>
        <v>-43828441.739531323</v>
      </c>
      <c r="CX166" s="109">
        <f t="shared" si="106"/>
        <v>0</v>
      </c>
      <c r="CZ166" s="58">
        <f t="array" ref="CZ166">SUM(IF(CW166:CX166&gt;=CW166, 1))</f>
        <v>2</v>
      </c>
      <c r="DA166" s="58">
        <f t="array" ref="DA166">SUM(IF(CW166:CX166&gt;=CX166, 1))</f>
        <v>1</v>
      </c>
      <c r="DC166" s="109">
        <f t="shared" si="107"/>
        <v>-2461608.9029805767</v>
      </c>
      <c r="DD166" s="109">
        <f t="shared" si="108"/>
        <v>0</v>
      </c>
      <c r="DF166" s="58">
        <f t="array" ref="DF166">SUM(IF(DC166:DD166&gt;=DC166, 1))</f>
        <v>2</v>
      </c>
      <c r="DG166" s="58">
        <f t="array" ref="DG166">SUM(IF(DC166:DD166&gt;=DD166, 1))</f>
        <v>1</v>
      </c>
      <c r="DI166" s="109">
        <f t="shared" si="109"/>
        <v>-49648143.533582829</v>
      </c>
      <c r="DJ166" s="109">
        <f t="shared" si="110"/>
        <v>0</v>
      </c>
      <c r="DL166" s="58">
        <f t="array" ref="DL166">SUM(IF(DI166:DJ166&gt;=DI166, 1))</f>
        <v>2</v>
      </c>
      <c r="DM166" s="58">
        <f t="array" ref="DM166">SUM(IF(DI166:DJ166&gt;=DJ166, 1))</f>
        <v>1</v>
      </c>
      <c r="DO166" s="109">
        <f t="shared" si="111"/>
        <v>-10825030.726261379</v>
      </c>
      <c r="DP166" s="109">
        <f t="shared" si="112"/>
        <v>0</v>
      </c>
      <c r="DR166" s="58">
        <f t="array" ref="DR166">SUM(IF(DO166:DP166&gt;=DO166, 1))</f>
        <v>2</v>
      </c>
      <c r="DS166" s="58">
        <f t="array" ref="DS166">SUM(IF(DO166:DP166&gt;=DP166, 1))</f>
        <v>1</v>
      </c>
      <c r="DU166" s="109">
        <f t="shared" si="113"/>
        <v>-34465288.234157488</v>
      </c>
      <c r="DV166" s="109">
        <f t="shared" si="114"/>
        <v>0</v>
      </c>
      <c r="DX166" s="58">
        <f t="array" ref="DX166">SUM(IF(DU166:DV166&gt;=DU166, 1))</f>
        <v>2</v>
      </c>
      <c r="DY166" s="58">
        <f t="array" ref="DY166">SUM(IF(DU166:DV166&gt;=DV166, 1))</f>
        <v>1</v>
      </c>
      <c r="EA166" s="109">
        <f t="shared" si="115"/>
        <v>-141228513.13651359</v>
      </c>
      <c r="EB166" s="109">
        <f t="shared" si="116"/>
        <v>0</v>
      </c>
      <c r="ED166" s="58">
        <f t="array" ref="ED166">SUM(IF(EA166:EB166&gt;=EA166, 1))</f>
        <v>2</v>
      </c>
      <c r="EE166" s="58">
        <f t="array" ref="EE166">SUM(IF(EA166:EB166&gt;=EB166, 1))</f>
        <v>1</v>
      </c>
    </row>
    <row r="167" spans="4:135" ht="12" customHeight="1" x14ac:dyDescent="0.25">
      <c r="D167" s="11">
        <v>151</v>
      </c>
      <c r="E167" s="72">
        <v>249.61023844756667</v>
      </c>
      <c r="F167" s="72">
        <v>233.11321683889304</v>
      </c>
      <c r="G167" s="73"/>
      <c r="H167" s="74">
        <v>5.8647946303822147</v>
      </c>
      <c r="I167" s="74">
        <v>5.885727103001523</v>
      </c>
      <c r="J167" s="73"/>
      <c r="K167" s="72">
        <v>268.38305368740805</v>
      </c>
      <c r="L167" s="72">
        <v>251.48085133984432</v>
      </c>
      <c r="M167" s="73"/>
      <c r="N167" s="74">
        <v>6.7027833270482589</v>
      </c>
      <c r="O167" s="74">
        <v>6.721648516626864</v>
      </c>
      <c r="P167" s="73"/>
      <c r="Q167" s="72">
        <v>1546.3817667319754</v>
      </c>
      <c r="R167" s="72">
        <v>1086.6087122706476</v>
      </c>
      <c r="S167" s="73"/>
      <c r="T167" s="74">
        <v>4.871571043763991</v>
      </c>
      <c r="U167" s="74">
        <v>4.9308290959985541</v>
      </c>
      <c r="V167" s="73"/>
      <c r="W167" s="72">
        <v>15125.908658373412</v>
      </c>
      <c r="X167" s="72">
        <v>15125.513775039113</v>
      </c>
      <c r="Y167" s="73"/>
      <c r="Z167" s="74">
        <v>2.8841159200058439</v>
      </c>
      <c r="AA167" s="74">
        <v>2.9272567637351536</v>
      </c>
      <c r="AB167" s="73"/>
      <c r="AC167" s="72">
        <v>50343.25065422224</v>
      </c>
      <c r="AD167" s="72">
        <v>50314.805250555204</v>
      </c>
      <c r="AE167" s="73"/>
      <c r="AF167" s="74">
        <v>4.6797756759121096</v>
      </c>
      <c r="AG167" s="74">
        <v>4.7278388937900617</v>
      </c>
      <c r="AH167" s="73"/>
      <c r="AI167" s="72">
        <v>1764095.8672115763</v>
      </c>
      <c r="AJ167" s="72">
        <v>0</v>
      </c>
      <c r="AK167" s="73"/>
      <c r="AL167" s="74">
        <v>-2238.3972885642715</v>
      </c>
      <c r="AM167" s="74">
        <v>0</v>
      </c>
      <c r="AN167" s="73"/>
      <c r="AO167" s="72">
        <v>115194.71937871349</v>
      </c>
      <c r="AP167" s="72">
        <v>0</v>
      </c>
      <c r="AQ167" s="73"/>
      <c r="AR167" s="74">
        <v>-128.57319861910727</v>
      </c>
      <c r="AS167" s="74">
        <v>0</v>
      </c>
      <c r="AT167" s="73"/>
      <c r="AU167" s="72">
        <v>10766319.808598926</v>
      </c>
      <c r="AV167" s="72">
        <v>0</v>
      </c>
      <c r="AW167" s="73"/>
      <c r="AX167" s="74">
        <v>-1387.6218612668383</v>
      </c>
      <c r="AY167" s="74">
        <v>0</v>
      </c>
      <c r="AZ167" s="73"/>
      <c r="BA167" s="72">
        <v>3490.3423517954234</v>
      </c>
      <c r="BB167" s="72">
        <v>0</v>
      </c>
      <c r="BC167" s="73"/>
      <c r="BD167" s="74">
        <v>-381.31848290874933</v>
      </c>
      <c r="BE167" s="74">
        <v>0</v>
      </c>
      <c r="BF167" s="73"/>
      <c r="BG167" s="72">
        <v>455715.52715803031</v>
      </c>
      <c r="BH167" s="72">
        <v>0</v>
      </c>
      <c r="BI167" s="73"/>
      <c r="BJ167" s="74">
        <v>-770.00681475808392</v>
      </c>
      <c r="BK167" s="74">
        <v>0</v>
      </c>
      <c r="BL167" s="73"/>
      <c r="BM167" s="72">
        <v>13104816.264699042</v>
      </c>
      <c r="BN167" s="72">
        <v>0</v>
      </c>
      <c r="BO167" s="73"/>
      <c r="BP167" s="74">
        <v>-4905.9176461170509</v>
      </c>
      <c r="BQ167" s="74">
        <v>0</v>
      </c>
      <c r="BS167" s="109">
        <f t="shared" si="96"/>
        <v>117046.28236919672</v>
      </c>
      <c r="BT167" s="109">
        <f t="shared" si="97"/>
        <v>117481.42884319158</v>
      </c>
      <c r="BV167" s="58">
        <f t="array" ref="BV167">SUM(IF(BS167:BT167&gt;=BS167, 1))</f>
        <v>2</v>
      </c>
      <c r="BW167" s="58">
        <f t="array" ref="BW167">SUM(IF(BS167:BT167&gt;=BT167, 1))</f>
        <v>1</v>
      </c>
      <c r="BY167" s="109">
        <f t="shared" si="98"/>
        <v>133787.28348727777</v>
      </c>
      <c r="BZ167" s="109">
        <f t="shared" si="99"/>
        <v>134181.48948119744</v>
      </c>
      <c r="CB167" s="58">
        <f t="array" ref="CB167">SUM(IF(BY167:BZ167&gt;=BY167, 1))</f>
        <v>2</v>
      </c>
      <c r="CC167" s="58">
        <f t="array" ref="CC167">SUM(IF(BY167:BZ167&gt;=BZ167, 1))</f>
        <v>1</v>
      </c>
      <c r="CE167" s="109">
        <f t="shared" si="100"/>
        <v>95885.039108547833</v>
      </c>
      <c r="CF167" s="109">
        <f t="shared" si="101"/>
        <v>97529.97320770043</v>
      </c>
      <c r="CH167" s="58">
        <f t="array" ref="CH167">SUM(IF(CE167:CF167&gt;=CE167, 1))</f>
        <v>2</v>
      </c>
      <c r="CI167" s="58">
        <f t="array" ref="CI167">SUM(IF(CE167:CF167&gt;=CF167, 1))</f>
        <v>1</v>
      </c>
      <c r="CK167" s="109">
        <f t="shared" si="102"/>
        <v>42556.409741743468</v>
      </c>
      <c r="CL167" s="109">
        <f t="shared" si="103"/>
        <v>43419.621499663961</v>
      </c>
      <c r="CN167" s="58">
        <f t="array" ref="CN167">SUM(IF(CK167:CL167&gt;=CK167, 1))</f>
        <v>2</v>
      </c>
      <c r="CO167" s="58">
        <f t="array" ref="CO167">SUM(IF(CK167:CL167&gt;=CL167, 1))</f>
        <v>1</v>
      </c>
      <c r="CQ167" s="109" cm="1">
        <f t="array" ref="CQ167">AF167*WTP-AC167</f>
        <v>43252.262864019955</v>
      </c>
      <c r="CR167" s="109">
        <f t="shared" si="104"/>
        <v>44241.972625246024</v>
      </c>
      <c r="CT167" s="58">
        <f t="array" ref="CT167">SUM(IF(CQ167:CR167&gt;=CQ167, 1))</f>
        <v>2</v>
      </c>
      <c r="CU167" s="58">
        <f t="array" ref="CU167">SUM(IF(CQ167:CR167&gt;=CR167, 1))</f>
        <v>1</v>
      </c>
      <c r="CW167" s="109">
        <f t="shared" si="105"/>
        <v>-46532041.638497002</v>
      </c>
      <c r="CX167" s="109">
        <f t="shared" si="106"/>
        <v>0</v>
      </c>
      <c r="CZ167" s="58">
        <f t="array" ref="CZ167">SUM(IF(CW167:CX167&gt;=CW167, 1))</f>
        <v>2</v>
      </c>
      <c r="DA167" s="58">
        <f t="array" ref="DA167">SUM(IF(CW167:CX167&gt;=CX167, 1))</f>
        <v>1</v>
      </c>
      <c r="DC167" s="109">
        <f t="shared" si="107"/>
        <v>-2686658.691760859</v>
      </c>
      <c r="DD167" s="109">
        <f t="shared" si="108"/>
        <v>0</v>
      </c>
      <c r="DF167" s="58">
        <f t="array" ref="DF167">SUM(IF(DC167:DD167&gt;=DC167, 1))</f>
        <v>2</v>
      </c>
      <c r="DG167" s="58">
        <f t="array" ref="DG167">SUM(IF(DC167:DD167&gt;=DD167, 1))</f>
        <v>1</v>
      </c>
      <c r="DI167" s="109">
        <f t="shared" si="109"/>
        <v>-38518757.033935696</v>
      </c>
      <c r="DJ167" s="109">
        <f t="shared" si="110"/>
        <v>0</v>
      </c>
      <c r="DL167" s="58">
        <f t="array" ref="DL167">SUM(IF(DI167:DJ167&gt;=DI167, 1))</f>
        <v>2</v>
      </c>
      <c r="DM167" s="58">
        <f t="array" ref="DM167">SUM(IF(DI167:DJ167&gt;=DJ167, 1))</f>
        <v>1</v>
      </c>
      <c r="DO167" s="109">
        <f t="shared" si="111"/>
        <v>-7629860.0005267821</v>
      </c>
      <c r="DP167" s="109">
        <f t="shared" si="112"/>
        <v>0</v>
      </c>
      <c r="DR167" s="58">
        <f t="array" ref="DR167">SUM(IF(DO167:DP167&gt;=DO167, 1))</f>
        <v>2</v>
      </c>
      <c r="DS167" s="58">
        <f t="array" ref="DS167">SUM(IF(DO167:DP167&gt;=DP167, 1))</f>
        <v>1</v>
      </c>
      <c r="DU167" s="109">
        <f t="shared" si="113"/>
        <v>-15855851.822319709</v>
      </c>
      <c r="DV167" s="109">
        <f t="shared" si="114"/>
        <v>0</v>
      </c>
      <c r="DX167" s="58">
        <f t="array" ref="DX167">SUM(IF(DU167:DV167&gt;=DU167, 1))</f>
        <v>2</v>
      </c>
      <c r="DY167" s="58">
        <f t="array" ref="DY167">SUM(IF(DU167:DV167&gt;=DV167, 1))</f>
        <v>1</v>
      </c>
      <c r="EA167" s="109">
        <f t="shared" si="115"/>
        <v>-111223169.18704006</v>
      </c>
      <c r="EB167" s="109">
        <f t="shared" si="116"/>
        <v>0</v>
      </c>
      <c r="ED167" s="58">
        <f t="array" ref="ED167">SUM(IF(EA167:EB167&gt;=EA167, 1))</f>
        <v>2</v>
      </c>
      <c r="EE167" s="58">
        <f t="array" ref="EE167">SUM(IF(EA167:EB167&gt;=EB167, 1))</f>
        <v>1</v>
      </c>
    </row>
    <row r="168" spans="4:135" ht="12" customHeight="1" x14ac:dyDescent="0.25">
      <c r="D168" s="11">
        <v>152</v>
      </c>
      <c r="E168" s="72">
        <v>285.07273209890627</v>
      </c>
      <c r="F168" s="72">
        <v>265.38468655980654</v>
      </c>
      <c r="G168" s="73"/>
      <c r="H168" s="74">
        <v>5.8553399620544742</v>
      </c>
      <c r="I168" s="74">
        <v>5.8762167164520847</v>
      </c>
      <c r="J168" s="73"/>
      <c r="K168" s="72">
        <v>306.41469018901142</v>
      </c>
      <c r="L168" s="72">
        <v>286.2492829137899</v>
      </c>
      <c r="M168" s="73"/>
      <c r="N168" s="74">
        <v>6.6965120472420097</v>
      </c>
      <c r="O168" s="74">
        <v>6.715343450489125</v>
      </c>
      <c r="P168" s="73"/>
      <c r="Q168" s="72">
        <v>3138.7354029389835</v>
      </c>
      <c r="R168" s="72">
        <v>1856.8522185149275</v>
      </c>
      <c r="S168" s="73"/>
      <c r="T168" s="74">
        <v>4.8097650043871791</v>
      </c>
      <c r="U168" s="74">
        <v>4.8948718650133864</v>
      </c>
      <c r="V168" s="73"/>
      <c r="W168" s="72">
        <v>10634.324663432066</v>
      </c>
      <c r="X168" s="72">
        <v>10612.803006736094</v>
      </c>
      <c r="Y168" s="73"/>
      <c r="Z168" s="74">
        <v>2.9668790040620507</v>
      </c>
      <c r="AA168" s="74">
        <v>3.0086335770884158</v>
      </c>
      <c r="AB168" s="73"/>
      <c r="AC168" s="72">
        <v>49774.10842901867</v>
      </c>
      <c r="AD168" s="72">
        <v>49705.7731204109</v>
      </c>
      <c r="AE168" s="73"/>
      <c r="AF168" s="74">
        <v>4.1213979065324802</v>
      </c>
      <c r="AG168" s="74">
        <v>4.1636767271544173</v>
      </c>
      <c r="AH168" s="73"/>
      <c r="AI168" s="72">
        <v>2107349.8616481367</v>
      </c>
      <c r="AJ168" s="72">
        <v>0</v>
      </c>
      <c r="AK168" s="73"/>
      <c r="AL168" s="74">
        <v>-2234.5857238137178</v>
      </c>
      <c r="AM168" s="74">
        <v>0</v>
      </c>
      <c r="AN168" s="73"/>
      <c r="AO168" s="72">
        <v>140285.05471693483</v>
      </c>
      <c r="AP168" s="72">
        <v>0</v>
      </c>
      <c r="AQ168" s="73"/>
      <c r="AR168" s="74">
        <v>-131.00476468751177</v>
      </c>
      <c r="AS168" s="74">
        <v>0</v>
      </c>
      <c r="AT168" s="73"/>
      <c r="AU168" s="72">
        <v>29686541.815044925</v>
      </c>
      <c r="AV168" s="72">
        <v>0</v>
      </c>
      <c r="AW168" s="73"/>
      <c r="AX168" s="74">
        <v>-1970.9505572945486</v>
      </c>
      <c r="AY168" s="74">
        <v>0</v>
      </c>
      <c r="AZ168" s="73"/>
      <c r="BA168" s="72">
        <v>189010.61159693214</v>
      </c>
      <c r="BB168" s="72">
        <v>0</v>
      </c>
      <c r="BC168" s="73"/>
      <c r="BD168" s="74">
        <v>-366.70306083635529</v>
      </c>
      <c r="BE168" s="74">
        <v>0</v>
      </c>
      <c r="BF168" s="73"/>
      <c r="BG168" s="72">
        <v>1091885.9357657984</v>
      </c>
      <c r="BH168" s="72">
        <v>0</v>
      </c>
      <c r="BI168" s="73"/>
      <c r="BJ168" s="74">
        <v>-675.54607652140533</v>
      </c>
      <c r="BK168" s="74">
        <v>0</v>
      </c>
      <c r="BL168" s="73"/>
      <c r="BM168" s="72">
        <v>33215073.278772727</v>
      </c>
      <c r="BN168" s="72">
        <v>0</v>
      </c>
      <c r="BO168" s="73"/>
      <c r="BP168" s="74">
        <v>-5378.7901831535401</v>
      </c>
      <c r="BQ168" s="74">
        <v>0</v>
      </c>
      <c r="BS168" s="109">
        <f t="shared" si="96"/>
        <v>116821.72650899057</v>
      </c>
      <c r="BT168" s="109">
        <f t="shared" si="97"/>
        <v>117258.94964248189</v>
      </c>
      <c r="BV168" s="58">
        <f t="array" ref="BV168">SUM(IF(BS168:BT168&gt;=BS168, 1))</f>
        <v>2</v>
      </c>
      <c r="BW168" s="58">
        <f t="array" ref="BW168">SUM(IF(BS168:BT168&gt;=BT168, 1))</f>
        <v>1</v>
      </c>
      <c r="BY168" s="109">
        <f t="shared" si="98"/>
        <v>133623.82625465118</v>
      </c>
      <c r="BZ168" s="109">
        <f t="shared" si="99"/>
        <v>134020.61972686872</v>
      </c>
      <c r="CB168" s="58">
        <f t="array" ref="CB168">SUM(IF(BY168:BZ168&gt;=BY168, 1))</f>
        <v>2</v>
      </c>
      <c r="CC168" s="58">
        <f t="array" ref="CC168">SUM(IF(BY168:BZ168&gt;=BZ168, 1))</f>
        <v>1</v>
      </c>
      <c r="CE168" s="109">
        <f t="shared" si="100"/>
        <v>93056.564684804602</v>
      </c>
      <c r="CF168" s="109">
        <f t="shared" si="101"/>
        <v>96040.585081752797</v>
      </c>
      <c r="CH168" s="58">
        <f t="array" ref="CH168">SUM(IF(CE168:CF168&gt;=CE168, 1))</f>
        <v>2</v>
      </c>
      <c r="CI168" s="58">
        <f t="array" ref="CI168">SUM(IF(CE168:CF168&gt;=CF168, 1))</f>
        <v>1</v>
      </c>
      <c r="CK168" s="109">
        <f t="shared" si="102"/>
        <v>48703.255417808949</v>
      </c>
      <c r="CL168" s="109">
        <f t="shared" si="103"/>
        <v>49559.868535032219</v>
      </c>
      <c r="CN168" s="58">
        <f t="array" ref="CN168">SUM(IF(CK168:CL168&gt;=CK168, 1))</f>
        <v>2</v>
      </c>
      <c r="CO168" s="58">
        <f t="array" ref="CO168">SUM(IF(CK168:CL168&gt;=CL168, 1))</f>
        <v>1</v>
      </c>
      <c r="CQ168" s="109" cm="1">
        <f t="array" ref="CQ168">AF168*WTP-AC168</f>
        <v>32653.849701630927</v>
      </c>
      <c r="CR168" s="109">
        <f t="shared" si="104"/>
        <v>33567.761422677446</v>
      </c>
      <c r="CT168" s="58">
        <f t="array" ref="CT168">SUM(IF(CQ168:CR168&gt;=CQ168, 1))</f>
        <v>2</v>
      </c>
      <c r="CU168" s="58">
        <f t="array" ref="CU168">SUM(IF(CQ168:CR168&gt;=CR168, 1))</f>
        <v>1</v>
      </c>
      <c r="CW168" s="109">
        <f t="shared" si="105"/>
        <v>-46799064.337922491</v>
      </c>
      <c r="CX168" s="109">
        <f t="shared" si="106"/>
        <v>0</v>
      </c>
      <c r="CZ168" s="58">
        <f t="array" ref="CZ168">SUM(IF(CW168:CX168&gt;=CW168, 1))</f>
        <v>2</v>
      </c>
      <c r="DA168" s="58">
        <f t="array" ref="DA168">SUM(IF(CW168:CX168&gt;=CX168, 1))</f>
        <v>1</v>
      </c>
      <c r="DC168" s="109">
        <f t="shared" si="107"/>
        <v>-2760380.3484671703</v>
      </c>
      <c r="DD168" s="109">
        <f t="shared" si="108"/>
        <v>0</v>
      </c>
      <c r="DF168" s="58">
        <f t="array" ref="DF168">SUM(IF(DC168:DD168&gt;=DC168, 1))</f>
        <v>2</v>
      </c>
      <c r="DG168" s="58">
        <f t="array" ref="DG168">SUM(IF(DC168:DD168&gt;=DD168, 1))</f>
        <v>1</v>
      </c>
      <c r="DI168" s="109">
        <f t="shared" si="109"/>
        <v>-69105552.960935891</v>
      </c>
      <c r="DJ168" s="109">
        <f t="shared" si="110"/>
        <v>0</v>
      </c>
      <c r="DL168" s="58">
        <f t="array" ref="DL168">SUM(IF(DI168:DJ168&gt;=DI168, 1))</f>
        <v>2</v>
      </c>
      <c r="DM168" s="58">
        <f t="array" ref="DM168">SUM(IF(DI168:DJ168&gt;=DJ168, 1))</f>
        <v>1</v>
      </c>
      <c r="DO168" s="109">
        <f t="shared" si="111"/>
        <v>-7523071.8283240376</v>
      </c>
      <c r="DP168" s="109">
        <f t="shared" si="112"/>
        <v>0</v>
      </c>
      <c r="DR168" s="58">
        <f t="array" ref="DR168">SUM(IF(DO168:DP168&gt;=DO168, 1))</f>
        <v>2</v>
      </c>
      <c r="DS168" s="58">
        <f t="array" ref="DS168">SUM(IF(DO168:DP168&gt;=DP168, 1))</f>
        <v>1</v>
      </c>
      <c r="DU168" s="109">
        <f t="shared" si="113"/>
        <v>-14602807.466193905</v>
      </c>
      <c r="DV168" s="109">
        <f t="shared" si="114"/>
        <v>0</v>
      </c>
      <c r="DX168" s="58">
        <f t="array" ref="DX168">SUM(IF(DU168:DV168&gt;=DU168, 1))</f>
        <v>2</v>
      </c>
      <c r="DY168" s="58">
        <f t="array" ref="DY168">SUM(IF(DU168:DV168&gt;=DV168, 1))</f>
        <v>1</v>
      </c>
      <c r="EA168" s="109">
        <f t="shared" si="115"/>
        <v>-140790876.94184351</v>
      </c>
      <c r="EB168" s="109">
        <f t="shared" si="116"/>
        <v>0</v>
      </c>
      <c r="ED168" s="58">
        <f t="array" ref="ED168">SUM(IF(EA168:EB168&gt;=EA168, 1))</f>
        <v>2</v>
      </c>
      <c r="EE168" s="58">
        <f t="array" ref="EE168">SUM(IF(EA168:EB168&gt;=EB168, 1))</f>
        <v>1</v>
      </c>
    </row>
    <row r="169" spans="4:135" ht="12" customHeight="1" x14ac:dyDescent="0.25">
      <c r="D169" s="11">
        <v>153</v>
      </c>
      <c r="E169" s="72">
        <v>230.31173720841838</v>
      </c>
      <c r="F169" s="72">
        <v>217.18401081230812</v>
      </c>
      <c r="G169" s="73"/>
      <c r="H169" s="74">
        <v>5.8322590453625951</v>
      </c>
      <c r="I169" s="74">
        <v>5.8500396434553608</v>
      </c>
      <c r="J169" s="73"/>
      <c r="K169" s="72">
        <v>247.66651507331829</v>
      </c>
      <c r="L169" s="72">
        <v>234.23293862562224</v>
      </c>
      <c r="M169" s="73"/>
      <c r="N169" s="74">
        <v>6.7353888877987567</v>
      </c>
      <c r="O169" s="74">
        <v>6.7516002122499588</v>
      </c>
      <c r="P169" s="73"/>
      <c r="Q169" s="72">
        <v>2029.8846546920722</v>
      </c>
      <c r="R169" s="72">
        <v>1584.5938862773462</v>
      </c>
      <c r="S169" s="73"/>
      <c r="T169" s="74">
        <v>4.8517273258587821</v>
      </c>
      <c r="U169" s="74">
        <v>4.9011434837080508</v>
      </c>
      <c r="V169" s="73"/>
      <c r="W169" s="72">
        <v>10581.484988861834</v>
      </c>
      <c r="X169" s="72">
        <v>10594.545949245807</v>
      </c>
      <c r="Y169" s="73"/>
      <c r="Z169" s="74">
        <v>2.9257548339528854</v>
      </c>
      <c r="AA169" s="74">
        <v>2.9809046790317146</v>
      </c>
      <c r="AB169" s="73"/>
      <c r="AC169" s="72">
        <v>49680.721694790031</v>
      </c>
      <c r="AD169" s="72">
        <v>49622.65181407905</v>
      </c>
      <c r="AE169" s="73"/>
      <c r="AF169" s="74">
        <v>5.0495502018866771</v>
      </c>
      <c r="AG169" s="74">
        <v>5.182061660837288</v>
      </c>
      <c r="AH169" s="73"/>
      <c r="AI169" s="72">
        <v>1402581.6108505244</v>
      </c>
      <c r="AJ169" s="72">
        <v>0</v>
      </c>
      <c r="AK169" s="73"/>
      <c r="AL169" s="74">
        <v>-1899.6998537558159</v>
      </c>
      <c r="AM169" s="74">
        <v>0</v>
      </c>
      <c r="AN169" s="73"/>
      <c r="AO169" s="72">
        <v>88543.360682326093</v>
      </c>
      <c r="AP169" s="72">
        <v>0</v>
      </c>
      <c r="AQ169" s="73"/>
      <c r="AR169" s="74">
        <v>-106.85204745063859</v>
      </c>
      <c r="AS169" s="74">
        <v>0</v>
      </c>
      <c r="AT169" s="73"/>
      <c r="AU169" s="72">
        <v>10222531.568509739</v>
      </c>
      <c r="AV169" s="72">
        <v>0</v>
      </c>
      <c r="AW169" s="73"/>
      <c r="AX169" s="74">
        <v>-1134.4457811398531</v>
      </c>
      <c r="AY169" s="74">
        <v>0</v>
      </c>
      <c r="AZ169" s="73"/>
      <c r="BA169" s="72">
        <v>-119677.37080838108</v>
      </c>
      <c r="BB169" s="72">
        <v>0</v>
      </c>
      <c r="BC169" s="73"/>
      <c r="BD169" s="74">
        <v>-505.33714715365488</v>
      </c>
      <c r="BE169" s="74">
        <v>0</v>
      </c>
      <c r="BF169" s="73"/>
      <c r="BG169" s="72">
        <v>915051.58776418446</v>
      </c>
      <c r="BH169" s="72">
        <v>0</v>
      </c>
      <c r="BI169" s="73"/>
      <c r="BJ169" s="74">
        <v>-2088.0845530439919</v>
      </c>
      <c r="BK169" s="74">
        <v>0</v>
      </c>
      <c r="BL169" s="73"/>
      <c r="BM169" s="72">
        <v>12509030.756998394</v>
      </c>
      <c r="BN169" s="72">
        <v>0</v>
      </c>
      <c r="BO169" s="73"/>
      <c r="BP169" s="74">
        <v>-5734.4193825439543</v>
      </c>
      <c r="BQ169" s="74">
        <v>0</v>
      </c>
      <c r="BS169" s="109">
        <f t="shared" si="96"/>
        <v>116414.86917004347</v>
      </c>
      <c r="BT169" s="109">
        <f t="shared" si="97"/>
        <v>116783.6088582949</v>
      </c>
      <c r="BV169" s="58">
        <f t="array" ref="BV169">SUM(IF(BS169:BT169&gt;=BS169, 1))</f>
        <v>2</v>
      </c>
      <c r="BW169" s="58">
        <f t="array" ref="BW169">SUM(IF(BS169:BT169&gt;=BT169, 1))</f>
        <v>1</v>
      </c>
      <c r="BY169" s="109">
        <f t="shared" si="98"/>
        <v>134460.11124090181</v>
      </c>
      <c r="BZ169" s="109">
        <f t="shared" si="99"/>
        <v>134797.77130637356</v>
      </c>
      <c r="CB169" s="58">
        <f t="array" ref="CB169">SUM(IF(BY169:BZ169&gt;=BY169, 1))</f>
        <v>2</v>
      </c>
      <c r="CC169" s="58">
        <f t="array" ref="CC169">SUM(IF(BY169:BZ169&gt;=BZ169, 1))</f>
        <v>1</v>
      </c>
      <c r="CE169" s="109">
        <f t="shared" si="100"/>
        <v>95004.661862483568</v>
      </c>
      <c r="CF169" s="109">
        <f t="shared" si="101"/>
        <v>96438.275787883671</v>
      </c>
      <c r="CH169" s="58">
        <f t="array" ref="CH169">SUM(IF(CE169:CF169&gt;=CE169, 1))</f>
        <v>2</v>
      </c>
      <c r="CI169" s="58">
        <f t="array" ref="CI169">SUM(IF(CE169:CF169&gt;=CF169, 1))</f>
        <v>1</v>
      </c>
      <c r="CK169" s="109">
        <f t="shared" si="102"/>
        <v>47933.611690195874</v>
      </c>
      <c r="CL169" s="109">
        <f t="shared" si="103"/>
        <v>49023.547631388486</v>
      </c>
      <c r="CN169" s="58">
        <f t="array" ref="CN169">SUM(IF(CK169:CL169&gt;=CK169, 1))</f>
        <v>2</v>
      </c>
      <c r="CO169" s="58">
        <f t="array" ref="CO169">SUM(IF(CK169:CL169&gt;=CL169, 1))</f>
        <v>1</v>
      </c>
      <c r="CQ169" s="109" cm="1">
        <f t="array" ref="CQ169">AF169*WTP-AC169</f>
        <v>51310.282342943508</v>
      </c>
      <c r="CR169" s="109">
        <f t="shared" si="104"/>
        <v>54018.581402666714</v>
      </c>
      <c r="CT169" s="58">
        <f t="array" ref="CT169">SUM(IF(CQ169:CR169&gt;=CQ169, 1))</f>
        <v>2</v>
      </c>
      <c r="CU169" s="58">
        <f t="array" ref="CU169">SUM(IF(CQ169:CR169&gt;=CR169, 1))</f>
        <v>1</v>
      </c>
      <c r="CW169" s="109">
        <f t="shared" si="105"/>
        <v>-39396578.685966842</v>
      </c>
      <c r="CX169" s="109">
        <f t="shared" si="106"/>
        <v>0</v>
      </c>
      <c r="CZ169" s="58">
        <f t="array" ref="CZ169">SUM(IF(CW169:CX169&gt;=CW169, 1))</f>
        <v>2</v>
      </c>
      <c r="DA169" s="58">
        <f t="array" ref="DA169">SUM(IF(CW169:CX169&gt;=CX169, 1))</f>
        <v>1</v>
      </c>
      <c r="DC169" s="109">
        <f t="shared" si="107"/>
        <v>-2225584.3096950976</v>
      </c>
      <c r="DD169" s="109">
        <f t="shared" si="108"/>
        <v>0</v>
      </c>
      <c r="DF169" s="58">
        <f t="array" ref="DF169">SUM(IF(DC169:DD169&gt;=DC169, 1))</f>
        <v>2</v>
      </c>
      <c r="DG169" s="58">
        <f t="array" ref="DG169">SUM(IF(DC169:DD169&gt;=DD169, 1))</f>
        <v>1</v>
      </c>
      <c r="DI169" s="109">
        <f t="shared" si="109"/>
        <v>-32911447.1913068</v>
      </c>
      <c r="DJ169" s="109">
        <f t="shared" si="110"/>
        <v>0</v>
      </c>
      <c r="DL169" s="58">
        <f t="array" ref="DL169">SUM(IF(DI169:DJ169&gt;=DI169, 1))</f>
        <v>2</v>
      </c>
      <c r="DM169" s="58">
        <f t="array" ref="DM169">SUM(IF(DI169:DJ169&gt;=DJ169, 1))</f>
        <v>1</v>
      </c>
      <c r="DO169" s="109">
        <f t="shared" si="111"/>
        <v>-9987065.572264716</v>
      </c>
      <c r="DP169" s="109">
        <f t="shared" si="112"/>
        <v>0</v>
      </c>
      <c r="DR169" s="58">
        <f t="array" ref="DR169">SUM(IF(DO169:DP169&gt;=DO169, 1))</f>
        <v>2</v>
      </c>
      <c r="DS169" s="58">
        <f t="array" ref="DS169">SUM(IF(DO169:DP169&gt;=DP169, 1))</f>
        <v>1</v>
      </c>
      <c r="DU169" s="109">
        <f t="shared" si="113"/>
        <v>-42676742.648644023</v>
      </c>
      <c r="DV169" s="109">
        <f t="shared" si="114"/>
        <v>0</v>
      </c>
      <c r="DX169" s="58">
        <f t="array" ref="DX169">SUM(IF(DU169:DV169&gt;=DU169, 1))</f>
        <v>2</v>
      </c>
      <c r="DY169" s="58">
        <f t="array" ref="DY169">SUM(IF(DU169:DV169&gt;=DV169, 1))</f>
        <v>1</v>
      </c>
      <c r="EA169" s="109">
        <f t="shared" si="115"/>
        <v>-127197418.40787748</v>
      </c>
      <c r="EB169" s="109">
        <f t="shared" si="116"/>
        <v>0</v>
      </c>
      <c r="ED169" s="58">
        <f t="array" ref="ED169">SUM(IF(EA169:EB169&gt;=EA169, 1))</f>
        <v>2</v>
      </c>
      <c r="EE169" s="58">
        <f t="array" ref="EE169">SUM(IF(EA169:EB169&gt;=EB169, 1))</f>
        <v>1</v>
      </c>
    </row>
    <row r="170" spans="4:135" ht="12" customHeight="1" x14ac:dyDescent="0.25">
      <c r="D170" s="11">
        <v>154</v>
      </c>
      <c r="E170" s="72">
        <v>205.7064784505601</v>
      </c>
      <c r="F170" s="72">
        <v>181.65430095423014</v>
      </c>
      <c r="G170" s="73"/>
      <c r="H170" s="74">
        <v>5.8834681776340707</v>
      </c>
      <c r="I170" s="74">
        <v>5.9049707648104937</v>
      </c>
      <c r="J170" s="73"/>
      <c r="K170" s="72">
        <v>220.52538994392094</v>
      </c>
      <c r="L170" s="72">
        <v>195.91904483382291</v>
      </c>
      <c r="M170" s="73"/>
      <c r="N170" s="74">
        <v>6.6847029069536932</v>
      </c>
      <c r="O170" s="74">
        <v>6.7034612264143076</v>
      </c>
      <c r="P170" s="73"/>
      <c r="Q170" s="72">
        <v>2402.8756005577807</v>
      </c>
      <c r="R170" s="72">
        <v>1110.237959402227</v>
      </c>
      <c r="S170" s="73"/>
      <c r="T170" s="74">
        <v>4.9452488607202136</v>
      </c>
      <c r="U170" s="74">
        <v>5.0583846395512273</v>
      </c>
      <c r="V170" s="73"/>
      <c r="W170" s="72">
        <v>11352.820724286204</v>
      </c>
      <c r="X170" s="72">
        <v>11282.826010351591</v>
      </c>
      <c r="Y170" s="73"/>
      <c r="Z170" s="74">
        <v>2.9231466964642361</v>
      </c>
      <c r="AA170" s="74">
        <v>2.9508532144129531</v>
      </c>
      <c r="AB170" s="73"/>
      <c r="AC170" s="72">
        <v>49343.792333784426</v>
      </c>
      <c r="AD170" s="72">
        <v>48539.601079587716</v>
      </c>
      <c r="AE170" s="73"/>
      <c r="AF170" s="74">
        <v>4.542343765923949</v>
      </c>
      <c r="AG170" s="74">
        <v>4.7629051093685728</v>
      </c>
      <c r="AH170" s="73"/>
      <c r="AI170" s="72">
        <v>2559154.673452876</v>
      </c>
      <c r="AJ170" s="72">
        <v>0</v>
      </c>
      <c r="AK170" s="73"/>
      <c r="AL170" s="74">
        <v>-2287.8779466959809</v>
      </c>
      <c r="AM170" s="74">
        <v>0</v>
      </c>
      <c r="AN170" s="73"/>
      <c r="AO170" s="72">
        <v>171520.61438199418</v>
      </c>
      <c r="AP170" s="72">
        <v>0</v>
      </c>
      <c r="AQ170" s="73"/>
      <c r="AR170" s="74">
        <v>-130.75645587600602</v>
      </c>
      <c r="AS170" s="74">
        <v>0</v>
      </c>
      <c r="AT170" s="73"/>
      <c r="AU170" s="72">
        <v>29881904.136389509</v>
      </c>
      <c r="AV170" s="72">
        <v>0</v>
      </c>
      <c r="AW170" s="73"/>
      <c r="AX170" s="74">
        <v>-2615.3597804887745</v>
      </c>
      <c r="AY170" s="74">
        <v>0</v>
      </c>
      <c r="AZ170" s="73"/>
      <c r="BA170" s="72">
        <v>636689.64312935423</v>
      </c>
      <c r="BB170" s="72">
        <v>0</v>
      </c>
      <c r="BC170" s="73"/>
      <c r="BD170" s="74">
        <v>-252.02550354880862</v>
      </c>
      <c r="BE170" s="74">
        <v>0</v>
      </c>
      <c r="BF170" s="73"/>
      <c r="BG170" s="72">
        <v>13001036.295670906</v>
      </c>
      <c r="BH170" s="72">
        <v>0</v>
      </c>
      <c r="BI170" s="73"/>
      <c r="BJ170" s="74">
        <v>-3565.7264569605427</v>
      </c>
      <c r="BK170" s="74">
        <v>0</v>
      </c>
      <c r="BL170" s="73"/>
      <c r="BM170" s="72">
        <v>46250305.363024637</v>
      </c>
      <c r="BN170" s="72">
        <v>0</v>
      </c>
      <c r="BO170" s="73"/>
      <c r="BP170" s="74">
        <v>-8851.7461435701134</v>
      </c>
      <c r="BQ170" s="74">
        <v>0</v>
      </c>
      <c r="BS170" s="109">
        <f t="shared" si="96"/>
        <v>117463.65707423085</v>
      </c>
      <c r="BT170" s="109">
        <f t="shared" si="97"/>
        <v>117917.76099525564</v>
      </c>
      <c r="BV170" s="58">
        <f t="array" ref="BV170">SUM(IF(BS170:BT170&gt;=BS170, 1))</f>
        <v>2</v>
      </c>
      <c r="BW170" s="58">
        <f t="array" ref="BW170">SUM(IF(BS170:BT170&gt;=BT170, 1))</f>
        <v>1</v>
      </c>
      <c r="BY170" s="109">
        <f t="shared" si="98"/>
        <v>133473.53274912995</v>
      </c>
      <c r="BZ170" s="109">
        <f t="shared" si="99"/>
        <v>133873.30548345231</v>
      </c>
      <c r="CB170" s="58">
        <f t="array" ref="CB170">SUM(IF(BY170:BZ170&gt;=BY170, 1))</f>
        <v>2</v>
      </c>
      <c r="CC170" s="58">
        <f t="array" ref="CC170">SUM(IF(BY170:BZ170&gt;=BZ170, 1))</f>
        <v>1</v>
      </c>
      <c r="CE170" s="109">
        <f t="shared" si="100"/>
        <v>96502.101613846506</v>
      </c>
      <c r="CF170" s="109">
        <f t="shared" si="101"/>
        <v>100057.45483162232</v>
      </c>
      <c r="CH170" s="58">
        <f t="array" ref="CH170">SUM(IF(CE170:CF170&gt;=CE170, 1))</f>
        <v>2</v>
      </c>
      <c r="CI170" s="58">
        <f t="array" ref="CI170">SUM(IF(CE170:CF170&gt;=CF170, 1))</f>
        <v>1</v>
      </c>
      <c r="CK170" s="109">
        <f t="shared" si="102"/>
        <v>47110.113204998517</v>
      </c>
      <c r="CL170" s="109">
        <f t="shared" si="103"/>
        <v>47734.238277907469</v>
      </c>
      <c r="CN170" s="58">
        <f t="array" ref="CN170">SUM(IF(CK170:CL170&gt;=CK170, 1))</f>
        <v>2</v>
      </c>
      <c r="CO170" s="58">
        <f t="array" ref="CO170">SUM(IF(CK170:CL170&gt;=CL170, 1))</f>
        <v>1</v>
      </c>
      <c r="CQ170" s="109" cm="1">
        <f t="array" ref="CQ170">AF170*WTP-AC170</f>
        <v>41503.082984694556</v>
      </c>
      <c r="CR170" s="109">
        <f t="shared" si="104"/>
        <v>46718.501107783733</v>
      </c>
      <c r="CT170" s="58">
        <f t="array" ref="CT170">SUM(IF(CQ170:CR170&gt;=CQ170, 1))</f>
        <v>2</v>
      </c>
      <c r="CU170" s="58">
        <f t="array" ref="CU170">SUM(IF(CQ170:CR170&gt;=CR170, 1))</f>
        <v>1</v>
      </c>
      <c r="CW170" s="109">
        <f t="shared" si="105"/>
        <v>-48316713.607372493</v>
      </c>
      <c r="CX170" s="109">
        <f t="shared" si="106"/>
        <v>0</v>
      </c>
      <c r="CZ170" s="58">
        <f t="array" ref="CZ170">SUM(IF(CW170:CX170&gt;=CW170, 1))</f>
        <v>2</v>
      </c>
      <c r="DA170" s="58">
        <f t="array" ref="DA170">SUM(IF(CW170:CX170&gt;=CX170, 1))</f>
        <v>1</v>
      </c>
      <c r="DC170" s="109">
        <f t="shared" si="107"/>
        <v>-2786649.7319021146</v>
      </c>
      <c r="DD170" s="109">
        <f t="shared" si="108"/>
        <v>0</v>
      </c>
      <c r="DF170" s="58">
        <f t="array" ref="DF170">SUM(IF(DC170:DD170&gt;=DC170, 1))</f>
        <v>2</v>
      </c>
      <c r="DG170" s="58">
        <f t="array" ref="DG170">SUM(IF(DC170:DD170&gt;=DD170, 1))</f>
        <v>1</v>
      </c>
      <c r="DI170" s="109">
        <f t="shared" si="109"/>
        <v>-82189099.746165007</v>
      </c>
      <c r="DJ170" s="109">
        <f t="shared" si="110"/>
        <v>0</v>
      </c>
      <c r="DL170" s="58">
        <f t="array" ref="DL170">SUM(IF(DI170:DJ170&gt;=DI170, 1))</f>
        <v>2</v>
      </c>
      <c r="DM170" s="58">
        <f t="array" ref="DM170">SUM(IF(DI170:DJ170&gt;=DJ170, 1))</f>
        <v>1</v>
      </c>
      <c r="DO170" s="109">
        <f t="shared" si="111"/>
        <v>-5677199.7141055269</v>
      </c>
      <c r="DP170" s="109">
        <f t="shared" si="112"/>
        <v>0</v>
      </c>
      <c r="DR170" s="58">
        <f t="array" ref="DR170">SUM(IF(DO170:DP170&gt;=DO170, 1))</f>
        <v>2</v>
      </c>
      <c r="DS170" s="58">
        <f t="array" ref="DS170">SUM(IF(DO170:DP170&gt;=DP170, 1))</f>
        <v>1</v>
      </c>
      <c r="DU170" s="109">
        <f t="shared" si="113"/>
        <v>-84315565.434881762</v>
      </c>
      <c r="DV170" s="109">
        <f t="shared" si="114"/>
        <v>0</v>
      </c>
      <c r="DX170" s="58">
        <f t="array" ref="DX170">SUM(IF(DU170:DV170&gt;=DU170, 1))</f>
        <v>2</v>
      </c>
      <c r="DY170" s="58">
        <f t="array" ref="DY170">SUM(IF(DU170:DV170&gt;=DV170, 1))</f>
        <v>1</v>
      </c>
      <c r="EA170" s="109">
        <f t="shared" si="115"/>
        <v>-223285228.23442692</v>
      </c>
      <c r="EB170" s="109">
        <f t="shared" si="116"/>
        <v>0</v>
      </c>
      <c r="ED170" s="58">
        <f t="array" ref="ED170">SUM(IF(EA170:EB170&gt;=EA170, 1))</f>
        <v>2</v>
      </c>
      <c r="EE170" s="58">
        <f t="array" ref="EE170">SUM(IF(EA170:EB170&gt;=EB170, 1))</f>
        <v>1</v>
      </c>
    </row>
    <row r="171" spans="4:135" ht="12" customHeight="1" x14ac:dyDescent="0.25">
      <c r="D171" s="11">
        <v>155</v>
      </c>
      <c r="E171" s="72">
        <v>235.14176703780632</v>
      </c>
      <c r="F171" s="72">
        <v>225.14281707969255</v>
      </c>
      <c r="G171" s="73"/>
      <c r="H171" s="74">
        <v>5.7721584445278422</v>
      </c>
      <c r="I171" s="74">
        <v>5.7877110988319611</v>
      </c>
      <c r="J171" s="73"/>
      <c r="K171" s="72">
        <v>253.04267714164848</v>
      </c>
      <c r="L171" s="72">
        <v>242.78746538234756</v>
      </c>
      <c r="M171" s="73"/>
      <c r="N171" s="74">
        <v>6.691752329966314</v>
      </c>
      <c r="O171" s="74">
        <v>6.7053029814393108</v>
      </c>
      <c r="P171" s="73"/>
      <c r="Q171" s="72">
        <v>1880.3480548249102</v>
      </c>
      <c r="R171" s="72">
        <v>1420.3474036413913</v>
      </c>
      <c r="S171" s="73"/>
      <c r="T171" s="74">
        <v>4.8796896980082485</v>
      </c>
      <c r="U171" s="74">
        <v>4.9370510517660362</v>
      </c>
      <c r="V171" s="73"/>
      <c r="W171" s="72">
        <v>14261.285140903601</v>
      </c>
      <c r="X171" s="72">
        <v>14272.229308746655</v>
      </c>
      <c r="Y171" s="73"/>
      <c r="Z171" s="74">
        <v>3.0867847371376618</v>
      </c>
      <c r="AA171" s="74">
        <v>3.1374609110980893</v>
      </c>
      <c r="AB171" s="73"/>
      <c r="AC171" s="72">
        <v>50593.625424457176</v>
      </c>
      <c r="AD171" s="72">
        <v>50373.473840210871</v>
      </c>
      <c r="AE171" s="73"/>
      <c r="AF171" s="74">
        <v>5.0437215539574751</v>
      </c>
      <c r="AG171" s="74">
        <v>5.2657635953968454</v>
      </c>
      <c r="AH171" s="73"/>
      <c r="AI171" s="72">
        <v>1073056.0288224304</v>
      </c>
      <c r="AJ171" s="72">
        <v>0</v>
      </c>
      <c r="AK171" s="73"/>
      <c r="AL171" s="74">
        <v>-1669.0622050451925</v>
      </c>
      <c r="AM171" s="74">
        <v>0</v>
      </c>
      <c r="AN171" s="73"/>
      <c r="AO171" s="72">
        <v>69342.444848951767</v>
      </c>
      <c r="AP171" s="72">
        <v>0</v>
      </c>
      <c r="AQ171" s="73"/>
      <c r="AR171" s="74">
        <v>-91.625148703677596</v>
      </c>
      <c r="AS171" s="74">
        <v>0</v>
      </c>
      <c r="AT171" s="73"/>
      <c r="AU171" s="72">
        <v>10620060.925485166</v>
      </c>
      <c r="AV171" s="72">
        <v>0</v>
      </c>
      <c r="AW171" s="73"/>
      <c r="AX171" s="74">
        <v>-1324.3048028490252</v>
      </c>
      <c r="AY171" s="74">
        <v>0</v>
      </c>
      <c r="AZ171" s="73"/>
      <c r="BA171" s="72">
        <v>-97969.957441958628</v>
      </c>
      <c r="BB171" s="72">
        <v>0</v>
      </c>
      <c r="BC171" s="73"/>
      <c r="BD171" s="74">
        <v>-453.64276913711689</v>
      </c>
      <c r="BE171" s="74">
        <v>0</v>
      </c>
      <c r="BF171" s="73"/>
      <c r="BG171" s="72">
        <v>3400915.3559904634</v>
      </c>
      <c r="BH171" s="72">
        <v>0</v>
      </c>
      <c r="BI171" s="73"/>
      <c r="BJ171" s="74">
        <v>-3430.1192562019883</v>
      </c>
      <c r="BK171" s="74">
        <v>0</v>
      </c>
      <c r="BL171" s="73"/>
      <c r="BM171" s="72">
        <v>15065404.797705052</v>
      </c>
      <c r="BN171" s="72">
        <v>0</v>
      </c>
      <c r="BO171" s="73"/>
      <c r="BP171" s="74">
        <v>-6968.7541819369999</v>
      </c>
      <c r="BQ171" s="74">
        <v>0</v>
      </c>
      <c r="BS171" s="109">
        <f t="shared" si="96"/>
        <v>115208.02712351904</v>
      </c>
      <c r="BT171" s="109">
        <f t="shared" si="97"/>
        <v>115529.07915955954</v>
      </c>
      <c r="BV171" s="58">
        <f t="array" ref="BV171">SUM(IF(BS171:BT171&gt;=BS171, 1))</f>
        <v>2</v>
      </c>
      <c r="BW171" s="58">
        <f t="array" ref="BW171">SUM(IF(BS171:BT171&gt;=BT171, 1))</f>
        <v>1</v>
      </c>
      <c r="BY171" s="109">
        <f t="shared" si="98"/>
        <v>133582.00392218464</v>
      </c>
      <c r="BZ171" s="109">
        <f t="shared" si="99"/>
        <v>133863.27216340389</v>
      </c>
      <c r="CB171" s="58">
        <f t="array" ref="CB171">SUM(IF(BY171:BZ171&gt;=BY171, 1))</f>
        <v>2</v>
      </c>
      <c r="CC171" s="58">
        <f t="array" ref="CC171">SUM(IF(BY171:BZ171&gt;=BZ171, 1))</f>
        <v>1</v>
      </c>
      <c r="CE171" s="109">
        <f t="shared" si="100"/>
        <v>95713.445905340064</v>
      </c>
      <c r="CF171" s="109">
        <f t="shared" si="101"/>
        <v>97320.673631679325</v>
      </c>
      <c r="CH171" s="58">
        <f t="array" ref="CH171">SUM(IF(CE171:CF171&gt;=CE171, 1))</f>
        <v>2</v>
      </c>
      <c r="CI171" s="58">
        <f t="array" ref="CI171">SUM(IF(CE171:CF171&gt;=CF171, 1))</f>
        <v>1</v>
      </c>
      <c r="CK171" s="109">
        <f t="shared" si="102"/>
        <v>47474.409601849635</v>
      </c>
      <c r="CL171" s="109">
        <f t="shared" si="103"/>
        <v>48476.988913215137</v>
      </c>
      <c r="CN171" s="58">
        <f t="array" ref="CN171">SUM(IF(CK171:CL171&gt;=CK171, 1))</f>
        <v>2</v>
      </c>
      <c r="CO171" s="58">
        <f t="array" ref="CO171">SUM(IF(CK171:CL171&gt;=CL171, 1))</f>
        <v>1</v>
      </c>
      <c r="CQ171" s="109" cm="1">
        <f t="array" ref="CQ171">AF171*WTP-AC171</f>
        <v>50280.805654692333</v>
      </c>
      <c r="CR171" s="109">
        <f t="shared" si="104"/>
        <v>54941.798067726042</v>
      </c>
      <c r="CT171" s="58">
        <f t="array" ref="CT171">SUM(IF(CQ171:CR171&gt;=CQ171, 1))</f>
        <v>2</v>
      </c>
      <c r="CU171" s="58">
        <f t="array" ref="CU171">SUM(IF(CQ171:CR171&gt;=CR171, 1))</f>
        <v>1</v>
      </c>
      <c r="CW171" s="109">
        <f t="shared" si="105"/>
        <v>-34454300.129726283</v>
      </c>
      <c r="CX171" s="109">
        <f t="shared" si="106"/>
        <v>0</v>
      </c>
      <c r="CZ171" s="58">
        <f t="array" ref="CZ171">SUM(IF(CW171:CX171&gt;=CW171, 1))</f>
        <v>2</v>
      </c>
      <c r="DA171" s="58">
        <f t="array" ref="DA171">SUM(IF(CW171:CX171&gt;=CX171, 1))</f>
        <v>1</v>
      </c>
      <c r="DC171" s="109">
        <f t="shared" si="107"/>
        <v>-1901845.4189225035</v>
      </c>
      <c r="DD171" s="109">
        <f t="shared" si="108"/>
        <v>0</v>
      </c>
      <c r="DF171" s="58">
        <f t="array" ref="DF171">SUM(IF(DC171:DD171&gt;=DC171, 1))</f>
        <v>2</v>
      </c>
      <c r="DG171" s="58">
        <f t="array" ref="DG171">SUM(IF(DC171:DD171&gt;=DD171, 1))</f>
        <v>1</v>
      </c>
      <c r="DI171" s="109">
        <f t="shared" si="109"/>
        <v>-37106156.98246567</v>
      </c>
      <c r="DJ171" s="109">
        <f t="shared" si="110"/>
        <v>0</v>
      </c>
      <c r="DL171" s="58">
        <f t="array" ref="DL171">SUM(IF(DI171:DJ171&gt;=DI171, 1))</f>
        <v>2</v>
      </c>
      <c r="DM171" s="58">
        <f t="array" ref="DM171">SUM(IF(DI171:DJ171&gt;=DJ171, 1))</f>
        <v>1</v>
      </c>
      <c r="DO171" s="109">
        <f t="shared" si="111"/>
        <v>-8974885.4253003784</v>
      </c>
      <c r="DP171" s="109">
        <f t="shared" si="112"/>
        <v>0</v>
      </c>
      <c r="DR171" s="58">
        <f t="array" ref="DR171">SUM(IF(DO171:DP171&gt;=DO171, 1))</f>
        <v>2</v>
      </c>
      <c r="DS171" s="58">
        <f t="array" ref="DS171">SUM(IF(DO171:DP171&gt;=DP171, 1))</f>
        <v>1</v>
      </c>
      <c r="DU171" s="109">
        <f t="shared" si="113"/>
        <v>-72003300.480030239</v>
      </c>
      <c r="DV171" s="109">
        <f t="shared" si="114"/>
        <v>0</v>
      </c>
      <c r="DX171" s="58">
        <f t="array" ref="DX171">SUM(IF(DU171:DV171&gt;=DU171, 1))</f>
        <v>2</v>
      </c>
      <c r="DY171" s="58">
        <f t="array" ref="DY171">SUM(IF(DU171:DV171&gt;=DV171, 1))</f>
        <v>1</v>
      </c>
      <c r="EA171" s="109">
        <f t="shared" si="115"/>
        <v>-154440488.43644506</v>
      </c>
      <c r="EB171" s="109">
        <f t="shared" si="116"/>
        <v>0</v>
      </c>
      <c r="ED171" s="58">
        <f t="array" ref="ED171">SUM(IF(EA171:EB171&gt;=EA171, 1))</f>
        <v>2</v>
      </c>
      <c r="EE171" s="58">
        <f t="array" ref="EE171">SUM(IF(EA171:EB171&gt;=EB171, 1))</f>
        <v>1</v>
      </c>
    </row>
    <row r="172" spans="4:135" ht="12" customHeight="1" x14ac:dyDescent="0.25">
      <c r="D172" s="11">
        <v>156</v>
      </c>
      <c r="E172" s="72">
        <v>260.87133007606013</v>
      </c>
      <c r="F172" s="72">
        <v>232.86444775824083</v>
      </c>
      <c r="G172" s="73"/>
      <c r="H172" s="74">
        <v>5.8486451990864996</v>
      </c>
      <c r="I172" s="74">
        <v>5.8650641369566214</v>
      </c>
      <c r="J172" s="73"/>
      <c r="K172" s="72">
        <v>279.73016196072683</v>
      </c>
      <c r="L172" s="72">
        <v>251.05951792501568</v>
      </c>
      <c r="M172" s="73"/>
      <c r="N172" s="74">
        <v>6.7049740735164391</v>
      </c>
      <c r="O172" s="74">
        <v>6.7191521570927026</v>
      </c>
      <c r="P172" s="73"/>
      <c r="Q172" s="72">
        <v>2290.1831339847172</v>
      </c>
      <c r="R172" s="72">
        <v>1588.2619266344548</v>
      </c>
      <c r="S172" s="73"/>
      <c r="T172" s="74">
        <v>4.8916424610782876</v>
      </c>
      <c r="U172" s="74">
        <v>4.9598461249709791</v>
      </c>
      <c r="V172" s="73"/>
      <c r="W172" s="72">
        <v>11664.594392397399</v>
      </c>
      <c r="X172" s="72">
        <v>11612.395513887101</v>
      </c>
      <c r="Y172" s="73"/>
      <c r="Z172" s="74">
        <v>2.9712491219326864</v>
      </c>
      <c r="AA172" s="74">
        <v>3.0210857533680153</v>
      </c>
      <c r="AB172" s="73"/>
      <c r="AC172" s="72">
        <v>50080.341285252223</v>
      </c>
      <c r="AD172" s="72">
        <v>50061.461301579147</v>
      </c>
      <c r="AE172" s="73"/>
      <c r="AF172" s="74">
        <v>4.813685324601245</v>
      </c>
      <c r="AG172" s="74">
        <v>4.8688570202175008</v>
      </c>
      <c r="AH172" s="73"/>
      <c r="AI172" s="72">
        <v>2997715.5421892377</v>
      </c>
      <c r="AJ172" s="72">
        <v>0</v>
      </c>
      <c r="AK172" s="73"/>
      <c r="AL172" s="74">
        <v>-1757.4003661302929</v>
      </c>
      <c r="AM172" s="74">
        <v>0</v>
      </c>
      <c r="AN172" s="73"/>
      <c r="AO172" s="72">
        <v>193450.26740640859</v>
      </c>
      <c r="AP172" s="72">
        <v>0</v>
      </c>
      <c r="AQ172" s="73"/>
      <c r="AR172" s="74">
        <v>-95.664194209320982</v>
      </c>
      <c r="AS172" s="74">
        <v>0</v>
      </c>
      <c r="AT172" s="73"/>
      <c r="AU172" s="72">
        <v>16327999.49320286</v>
      </c>
      <c r="AV172" s="72">
        <v>0</v>
      </c>
      <c r="AW172" s="73"/>
      <c r="AX172" s="74">
        <v>-1586.5447258366394</v>
      </c>
      <c r="AY172" s="74">
        <v>0</v>
      </c>
      <c r="AZ172" s="73"/>
      <c r="BA172" s="72">
        <v>450333.80132016359</v>
      </c>
      <c r="BB172" s="72">
        <v>0</v>
      </c>
      <c r="BC172" s="73"/>
      <c r="BD172" s="74">
        <v>-429.95405877993591</v>
      </c>
      <c r="BE172" s="74">
        <v>0</v>
      </c>
      <c r="BF172" s="73"/>
      <c r="BG172" s="72">
        <v>290156.10481078003</v>
      </c>
      <c r="BH172" s="72">
        <v>0</v>
      </c>
      <c r="BI172" s="73"/>
      <c r="BJ172" s="74">
        <v>-847.90350315015348</v>
      </c>
      <c r="BK172" s="74">
        <v>0</v>
      </c>
      <c r="BL172" s="73"/>
      <c r="BM172" s="72">
        <v>20259655.208929453</v>
      </c>
      <c r="BN172" s="72">
        <v>0</v>
      </c>
      <c r="BO172" s="73"/>
      <c r="BP172" s="74">
        <v>-4717.4668481063436</v>
      </c>
      <c r="BQ172" s="74">
        <v>0</v>
      </c>
      <c r="BS172" s="109">
        <f t="shared" si="96"/>
        <v>116712.03265165394</v>
      </c>
      <c r="BT172" s="109">
        <f t="shared" si="97"/>
        <v>117068.41829137418</v>
      </c>
      <c r="BV172" s="58">
        <f t="array" ref="BV172">SUM(IF(BS172:BT172&gt;=BS172, 1))</f>
        <v>2</v>
      </c>
      <c r="BW172" s="58">
        <f t="array" ref="BW172">SUM(IF(BS172:BT172&gt;=BT172, 1))</f>
        <v>1</v>
      </c>
      <c r="BY172" s="109">
        <f t="shared" si="98"/>
        <v>133819.75130836805</v>
      </c>
      <c r="BZ172" s="109">
        <f t="shared" si="99"/>
        <v>134131.98362392903</v>
      </c>
      <c r="CB172" s="58">
        <f t="array" ref="CB172">SUM(IF(BY172:BZ172&gt;=BY172, 1))</f>
        <v>2</v>
      </c>
      <c r="CC172" s="58">
        <f t="array" ref="CC172">SUM(IF(BY172:BZ172&gt;=BZ172, 1))</f>
        <v>1</v>
      </c>
      <c r="CE172" s="109">
        <f t="shared" si="100"/>
        <v>95542.666087581034</v>
      </c>
      <c r="CF172" s="109">
        <f t="shared" si="101"/>
        <v>97608.660572785127</v>
      </c>
      <c r="CH172" s="58">
        <f t="array" ref="CH172">SUM(IF(CE172:CF172&gt;=CE172, 1))</f>
        <v>2</v>
      </c>
      <c r="CI172" s="58">
        <f t="array" ref="CI172">SUM(IF(CE172:CF172&gt;=CF172, 1))</f>
        <v>1</v>
      </c>
      <c r="CK172" s="109">
        <f t="shared" si="102"/>
        <v>47760.388046256332</v>
      </c>
      <c r="CL172" s="109">
        <f t="shared" si="103"/>
        <v>48809.319553473208</v>
      </c>
      <c r="CN172" s="58">
        <f t="array" ref="CN172">SUM(IF(CK172:CL172&gt;=CK172, 1))</f>
        <v>2</v>
      </c>
      <c r="CO172" s="58">
        <f t="array" ref="CO172">SUM(IF(CK172:CL172&gt;=CL172, 1))</f>
        <v>1</v>
      </c>
      <c r="CQ172" s="109" cm="1">
        <f t="array" ref="CQ172">AF172*WTP-AC172</f>
        <v>46193.365206772673</v>
      </c>
      <c r="CR172" s="109">
        <f t="shared" si="104"/>
        <v>47315.679102770875</v>
      </c>
      <c r="CT172" s="58">
        <f t="array" ref="CT172">SUM(IF(CQ172:CR172&gt;=CQ172, 1))</f>
        <v>2</v>
      </c>
      <c r="CU172" s="58">
        <f t="array" ref="CU172">SUM(IF(CQ172:CR172&gt;=CR172, 1))</f>
        <v>1</v>
      </c>
      <c r="CW172" s="109">
        <f t="shared" si="105"/>
        <v>-38145722.864795096</v>
      </c>
      <c r="CX172" s="109">
        <f t="shared" si="106"/>
        <v>0</v>
      </c>
      <c r="CZ172" s="58">
        <f t="array" ref="CZ172">SUM(IF(CW172:CX172&gt;=CW172, 1))</f>
        <v>2</v>
      </c>
      <c r="DA172" s="58">
        <f t="array" ref="DA172">SUM(IF(CW172:CX172&gt;=CX172, 1))</f>
        <v>1</v>
      </c>
      <c r="DC172" s="109">
        <f t="shared" si="107"/>
        <v>-2106734.1515928283</v>
      </c>
      <c r="DD172" s="109">
        <f t="shared" si="108"/>
        <v>0</v>
      </c>
      <c r="DF172" s="58">
        <f t="array" ref="DF172">SUM(IF(DC172:DD172&gt;=DC172, 1))</f>
        <v>2</v>
      </c>
      <c r="DG172" s="58">
        <f t="array" ref="DG172">SUM(IF(DC172:DD172&gt;=DD172, 1))</f>
        <v>1</v>
      </c>
      <c r="DI172" s="109">
        <f t="shared" si="109"/>
        <v>-48058894.009935647</v>
      </c>
      <c r="DJ172" s="109">
        <f t="shared" si="110"/>
        <v>0</v>
      </c>
      <c r="DL172" s="58">
        <f t="array" ref="DL172">SUM(IF(DI172:DJ172&gt;=DI172, 1))</f>
        <v>2</v>
      </c>
      <c r="DM172" s="58">
        <f t="array" ref="DM172">SUM(IF(DI172:DJ172&gt;=DJ172, 1))</f>
        <v>1</v>
      </c>
      <c r="DO172" s="109">
        <f t="shared" si="111"/>
        <v>-9049414.9769188818</v>
      </c>
      <c r="DP172" s="109">
        <f t="shared" si="112"/>
        <v>0</v>
      </c>
      <c r="DR172" s="58">
        <f t="array" ref="DR172">SUM(IF(DO172:DP172&gt;=DO172, 1))</f>
        <v>2</v>
      </c>
      <c r="DS172" s="58">
        <f t="array" ref="DS172">SUM(IF(DO172:DP172&gt;=DP172, 1))</f>
        <v>1</v>
      </c>
      <c r="DU172" s="109">
        <f t="shared" si="113"/>
        <v>-17248226.167813852</v>
      </c>
      <c r="DV172" s="109">
        <f t="shared" si="114"/>
        <v>0</v>
      </c>
      <c r="DX172" s="58">
        <f t="array" ref="DX172">SUM(IF(DU172:DV172&gt;=DU172, 1))</f>
        <v>2</v>
      </c>
      <c r="DY172" s="58">
        <f t="array" ref="DY172">SUM(IF(DU172:DV172&gt;=DV172, 1))</f>
        <v>1</v>
      </c>
      <c r="EA172" s="109">
        <f t="shared" si="115"/>
        <v>-114608992.17105632</v>
      </c>
      <c r="EB172" s="109">
        <f t="shared" si="116"/>
        <v>0</v>
      </c>
      <c r="ED172" s="58">
        <f t="array" ref="ED172">SUM(IF(EA172:EB172&gt;=EA172, 1))</f>
        <v>2</v>
      </c>
      <c r="EE172" s="58">
        <f t="array" ref="EE172">SUM(IF(EA172:EB172&gt;=EB172, 1))</f>
        <v>1</v>
      </c>
    </row>
    <row r="173" spans="4:135" ht="12" customHeight="1" x14ac:dyDescent="0.25">
      <c r="D173" s="11">
        <v>157</v>
      </c>
      <c r="E173" s="72">
        <v>278.23463226069322</v>
      </c>
      <c r="F173" s="72">
        <v>242.61830263339468</v>
      </c>
      <c r="G173" s="73"/>
      <c r="H173" s="74">
        <v>5.822017895934203</v>
      </c>
      <c r="I173" s="74">
        <v>5.8387678468033837</v>
      </c>
      <c r="J173" s="73"/>
      <c r="K173" s="72">
        <v>297.99201347461099</v>
      </c>
      <c r="L173" s="72">
        <v>261.50757597489496</v>
      </c>
      <c r="M173" s="73"/>
      <c r="N173" s="74">
        <v>6.6916265499372223</v>
      </c>
      <c r="O173" s="74">
        <v>6.705206679653128</v>
      </c>
      <c r="P173" s="73"/>
      <c r="Q173" s="72">
        <v>2782.8025237161228</v>
      </c>
      <c r="R173" s="72">
        <v>1319.4803456870272</v>
      </c>
      <c r="S173" s="73"/>
      <c r="T173" s="74">
        <v>4.668119648466706</v>
      </c>
      <c r="U173" s="74">
        <v>4.7996797210357913</v>
      </c>
      <c r="V173" s="73"/>
      <c r="W173" s="72">
        <v>14706.745396734977</v>
      </c>
      <c r="X173" s="72">
        <v>14717.515739764443</v>
      </c>
      <c r="Y173" s="73"/>
      <c r="Z173" s="74">
        <v>2.9417649253404852</v>
      </c>
      <c r="AA173" s="74">
        <v>2.9889193345911034</v>
      </c>
      <c r="AB173" s="73"/>
      <c r="AC173" s="72">
        <v>50843.756231700208</v>
      </c>
      <c r="AD173" s="72">
        <v>50394.43018270938</v>
      </c>
      <c r="AE173" s="73"/>
      <c r="AF173" s="74">
        <v>4.7218125854883564</v>
      </c>
      <c r="AG173" s="74">
        <v>4.8635454247605141</v>
      </c>
      <c r="AH173" s="73"/>
      <c r="AI173" s="72">
        <v>3816967.4956478523</v>
      </c>
      <c r="AJ173" s="72">
        <v>0</v>
      </c>
      <c r="AK173" s="73"/>
      <c r="AL173" s="74">
        <v>-1795.0759859420775</v>
      </c>
      <c r="AM173" s="74">
        <v>0</v>
      </c>
      <c r="AN173" s="73"/>
      <c r="AO173" s="72">
        <v>259816.62963519149</v>
      </c>
      <c r="AP173" s="72">
        <v>0</v>
      </c>
      <c r="AQ173" s="73"/>
      <c r="AR173" s="74">
        <v>-96.70817955800463</v>
      </c>
      <c r="AS173" s="74">
        <v>0</v>
      </c>
      <c r="AT173" s="73"/>
      <c r="AU173" s="72">
        <v>33533666.632182162</v>
      </c>
      <c r="AV173" s="72">
        <v>0</v>
      </c>
      <c r="AW173" s="73"/>
      <c r="AX173" s="74">
        <v>-3014.84641036424</v>
      </c>
      <c r="AY173" s="74">
        <v>0</v>
      </c>
      <c r="AZ173" s="73"/>
      <c r="BA173" s="72">
        <v>-95161.156217673328</v>
      </c>
      <c r="BB173" s="72">
        <v>0</v>
      </c>
      <c r="BC173" s="73"/>
      <c r="BD173" s="74">
        <v>-416.63186518514084</v>
      </c>
      <c r="BE173" s="74">
        <v>0</v>
      </c>
      <c r="BF173" s="73"/>
      <c r="BG173" s="72">
        <v>7019455.2726845769</v>
      </c>
      <c r="BH173" s="72">
        <v>0</v>
      </c>
      <c r="BI173" s="73"/>
      <c r="BJ173" s="74">
        <v>-2214.1768281095401</v>
      </c>
      <c r="BK173" s="74">
        <v>0</v>
      </c>
      <c r="BL173" s="73"/>
      <c r="BM173" s="72">
        <v>44534744.873932108</v>
      </c>
      <c r="BN173" s="72">
        <v>0</v>
      </c>
      <c r="BO173" s="73"/>
      <c r="BP173" s="74">
        <v>-7537.4392691590028</v>
      </c>
      <c r="BQ173" s="74">
        <v>0</v>
      </c>
      <c r="BS173" s="109">
        <f t="shared" si="96"/>
        <v>116162.12328642338</v>
      </c>
      <c r="BT173" s="109">
        <f t="shared" si="97"/>
        <v>116532.73863343429</v>
      </c>
      <c r="BV173" s="58">
        <f t="array" ref="BV173">SUM(IF(BS173:BT173&gt;=BS173, 1))</f>
        <v>2</v>
      </c>
      <c r="BW173" s="58">
        <f t="array" ref="BW173">SUM(IF(BS173:BT173&gt;=BT173, 1))</f>
        <v>1</v>
      </c>
      <c r="BY173" s="109">
        <f t="shared" si="98"/>
        <v>133534.53898526984</v>
      </c>
      <c r="BZ173" s="109">
        <f t="shared" si="99"/>
        <v>133842.62601708766</v>
      </c>
      <c r="CB173" s="58">
        <f t="array" ref="CB173">SUM(IF(BY173:BZ173&gt;=BY173, 1))</f>
        <v>2</v>
      </c>
      <c r="CC173" s="58">
        <f t="array" ref="CC173">SUM(IF(BY173:BZ173&gt;=BZ173, 1))</f>
        <v>1</v>
      </c>
      <c r="CE173" s="109">
        <f t="shared" si="100"/>
        <v>90579.590445618</v>
      </c>
      <c r="CF173" s="109">
        <f t="shared" si="101"/>
        <v>94674.114075028803</v>
      </c>
      <c r="CH173" s="58">
        <f t="array" ref="CH173">SUM(IF(CE173:CF173&gt;=CE173, 1))</f>
        <v>2</v>
      </c>
      <c r="CI173" s="58">
        <f t="array" ref="CI173">SUM(IF(CE173:CF173&gt;=CF173, 1))</f>
        <v>1</v>
      </c>
      <c r="CK173" s="109">
        <f t="shared" si="102"/>
        <v>44128.553110074725</v>
      </c>
      <c r="CL173" s="109">
        <f t="shared" si="103"/>
        <v>45060.870952057623</v>
      </c>
      <c r="CN173" s="58">
        <f t="array" ref="CN173">SUM(IF(CK173:CL173&gt;=CK173, 1))</f>
        <v>2</v>
      </c>
      <c r="CO173" s="58">
        <f t="array" ref="CO173">SUM(IF(CK173:CL173&gt;=CL173, 1))</f>
        <v>1</v>
      </c>
      <c r="CQ173" s="109" cm="1">
        <f t="array" ref="CQ173">AF173*WTP-AC173</f>
        <v>43592.495478066914</v>
      </c>
      <c r="CR173" s="109">
        <f t="shared" si="104"/>
        <v>46876.478312500905</v>
      </c>
      <c r="CT173" s="58">
        <f t="array" ref="CT173">SUM(IF(CQ173:CR173&gt;=CQ173, 1))</f>
        <v>2</v>
      </c>
      <c r="CU173" s="58">
        <f t="array" ref="CU173">SUM(IF(CQ173:CR173&gt;=CR173, 1))</f>
        <v>1</v>
      </c>
      <c r="CW173" s="109">
        <f t="shared" si="105"/>
        <v>-39718487.214489408</v>
      </c>
      <c r="CX173" s="109">
        <f t="shared" si="106"/>
        <v>0</v>
      </c>
      <c r="CZ173" s="58">
        <f t="array" ref="CZ173">SUM(IF(CW173:CX173&gt;=CW173, 1))</f>
        <v>2</v>
      </c>
      <c r="DA173" s="58">
        <f t="array" ref="DA173">SUM(IF(CW173:CX173&gt;=CX173, 1))</f>
        <v>1</v>
      </c>
      <c r="DC173" s="109">
        <f t="shared" si="107"/>
        <v>-2193980.220795284</v>
      </c>
      <c r="DD173" s="109">
        <f t="shared" si="108"/>
        <v>0</v>
      </c>
      <c r="DF173" s="58">
        <f t="array" ref="DF173">SUM(IF(DC173:DD173&gt;=DC173, 1))</f>
        <v>2</v>
      </c>
      <c r="DG173" s="58">
        <f t="array" ref="DG173">SUM(IF(DC173:DD173&gt;=DD173, 1))</f>
        <v>1</v>
      </c>
      <c r="DI173" s="109">
        <f t="shared" si="109"/>
        <v>-93830594.839466959</v>
      </c>
      <c r="DJ173" s="109">
        <f t="shared" si="110"/>
        <v>0</v>
      </c>
      <c r="DL173" s="58">
        <f t="array" ref="DL173">SUM(IF(DI173:DJ173&gt;=DI173, 1))</f>
        <v>2</v>
      </c>
      <c r="DM173" s="58">
        <f t="array" ref="DM173">SUM(IF(DI173:DJ173&gt;=DJ173, 1))</f>
        <v>1</v>
      </c>
      <c r="DO173" s="109">
        <f t="shared" si="111"/>
        <v>-8237476.1474851426</v>
      </c>
      <c r="DP173" s="109">
        <f t="shared" si="112"/>
        <v>0</v>
      </c>
      <c r="DR173" s="58">
        <f t="array" ref="DR173">SUM(IF(DO173:DP173&gt;=DO173, 1))</f>
        <v>2</v>
      </c>
      <c r="DS173" s="58">
        <f t="array" ref="DS173">SUM(IF(DO173:DP173&gt;=DP173, 1))</f>
        <v>1</v>
      </c>
      <c r="DU173" s="109">
        <f t="shared" si="113"/>
        <v>-51302991.834875375</v>
      </c>
      <c r="DV173" s="109">
        <f t="shared" si="114"/>
        <v>0</v>
      </c>
      <c r="DX173" s="58">
        <f t="array" ref="DX173">SUM(IF(DU173:DV173&gt;=DU173, 1))</f>
        <v>2</v>
      </c>
      <c r="DY173" s="58">
        <f t="array" ref="DY173">SUM(IF(DU173:DV173&gt;=DV173, 1))</f>
        <v>1</v>
      </c>
      <c r="EA173" s="109">
        <f t="shared" si="115"/>
        <v>-195283530.25711215</v>
      </c>
      <c r="EB173" s="109">
        <f t="shared" si="116"/>
        <v>0</v>
      </c>
      <c r="ED173" s="58">
        <f t="array" ref="ED173">SUM(IF(EA173:EB173&gt;=EA173, 1))</f>
        <v>2</v>
      </c>
      <c r="EE173" s="58">
        <f t="array" ref="EE173">SUM(IF(EA173:EB173&gt;=EB173, 1))</f>
        <v>1</v>
      </c>
    </row>
    <row r="174" spans="4:135" ht="12" customHeight="1" x14ac:dyDescent="0.25">
      <c r="D174" s="11">
        <v>158</v>
      </c>
      <c r="E174" s="72">
        <v>249.31951007453992</v>
      </c>
      <c r="F174" s="72">
        <v>240.38401443481749</v>
      </c>
      <c r="G174" s="73"/>
      <c r="H174" s="74">
        <v>5.848732981201012</v>
      </c>
      <c r="I174" s="74">
        <v>5.8660602526372561</v>
      </c>
      <c r="J174" s="73"/>
      <c r="K174" s="72">
        <v>268.47332163977393</v>
      </c>
      <c r="L174" s="72">
        <v>259.29090257659595</v>
      </c>
      <c r="M174" s="73"/>
      <c r="N174" s="74">
        <v>6.7228594886032713</v>
      </c>
      <c r="O174" s="74">
        <v>6.738147091618476</v>
      </c>
      <c r="P174" s="73"/>
      <c r="Q174" s="72">
        <v>1878.3775508480139</v>
      </c>
      <c r="R174" s="72">
        <v>1387.986984991373</v>
      </c>
      <c r="S174" s="73"/>
      <c r="T174" s="74">
        <v>4.6655687735453455</v>
      </c>
      <c r="U174" s="74">
        <v>4.74060626810172</v>
      </c>
      <c r="V174" s="73"/>
      <c r="W174" s="72">
        <v>13575.914709893059</v>
      </c>
      <c r="X174" s="72">
        <v>13543.532765766755</v>
      </c>
      <c r="Y174" s="73"/>
      <c r="Z174" s="74">
        <v>2.887494231365578</v>
      </c>
      <c r="AA174" s="74">
        <v>2.9214604325739284</v>
      </c>
      <c r="AB174" s="73"/>
      <c r="AC174" s="72">
        <v>50717.512890712169</v>
      </c>
      <c r="AD174" s="72">
        <v>50438.493125306835</v>
      </c>
      <c r="AE174" s="73"/>
      <c r="AF174" s="74">
        <v>4.7041334574246347</v>
      </c>
      <c r="AG174" s="74">
        <v>4.8609201472273025</v>
      </c>
      <c r="AH174" s="73"/>
      <c r="AI174" s="72">
        <v>957711.96765478584</v>
      </c>
      <c r="AJ174" s="72">
        <v>0</v>
      </c>
      <c r="AK174" s="73"/>
      <c r="AL174" s="74">
        <v>-1857.1477051058478</v>
      </c>
      <c r="AM174" s="74">
        <v>0</v>
      </c>
      <c r="AN174" s="73"/>
      <c r="AO174" s="72">
        <v>60729.19465521723</v>
      </c>
      <c r="AP174" s="72">
        <v>0</v>
      </c>
      <c r="AQ174" s="73"/>
      <c r="AR174" s="74">
        <v>-101.10667057714727</v>
      </c>
      <c r="AS174" s="74">
        <v>0</v>
      </c>
      <c r="AT174" s="73"/>
      <c r="AU174" s="72">
        <v>11210953.342228796</v>
      </c>
      <c r="AV174" s="72">
        <v>0</v>
      </c>
      <c r="AW174" s="73"/>
      <c r="AX174" s="74">
        <v>-1715.4527614529763</v>
      </c>
      <c r="AY174" s="74">
        <v>0</v>
      </c>
      <c r="AZ174" s="73"/>
      <c r="BA174" s="72">
        <v>286996.32629086642</v>
      </c>
      <c r="BB174" s="72">
        <v>0</v>
      </c>
      <c r="BC174" s="73"/>
      <c r="BD174" s="74">
        <v>-301.03735979627163</v>
      </c>
      <c r="BE174" s="74">
        <v>0</v>
      </c>
      <c r="BF174" s="73"/>
      <c r="BG174" s="72">
        <v>4527191.1931129415</v>
      </c>
      <c r="BH174" s="72">
        <v>0</v>
      </c>
      <c r="BI174" s="73"/>
      <c r="BJ174" s="74">
        <v>-2543.9177050444177</v>
      </c>
      <c r="BK174" s="74">
        <v>0</v>
      </c>
      <c r="BL174" s="73"/>
      <c r="BM174" s="72">
        <v>17043582.023942605</v>
      </c>
      <c r="BN174" s="72">
        <v>0</v>
      </c>
      <c r="BO174" s="73"/>
      <c r="BP174" s="74">
        <v>-6518.662201976661</v>
      </c>
      <c r="BQ174" s="74">
        <v>0</v>
      </c>
      <c r="BS174" s="109">
        <f t="shared" si="96"/>
        <v>116725.3401139457</v>
      </c>
      <c r="BT174" s="109">
        <f t="shared" si="97"/>
        <v>117080.8210383103</v>
      </c>
      <c r="BV174" s="58">
        <f t="array" ref="BV174">SUM(IF(BS174:BT174&gt;=BS174, 1))</f>
        <v>2</v>
      </c>
      <c r="BW174" s="58">
        <f t="array" ref="BW174">SUM(IF(BS174:BT174&gt;=BT174, 1))</f>
        <v>1</v>
      </c>
      <c r="BY174" s="109">
        <f t="shared" si="98"/>
        <v>134188.71645042565</v>
      </c>
      <c r="BZ174" s="109">
        <f t="shared" si="99"/>
        <v>134503.65092979293</v>
      </c>
      <c r="CB174" s="58">
        <f t="array" ref="CB174">SUM(IF(BY174:BZ174&gt;=BY174, 1))</f>
        <v>2</v>
      </c>
      <c r="CC174" s="58">
        <f t="array" ref="CC174">SUM(IF(BY174:BZ174&gt;=BZ174, 1))</f>
        <v>1</v>
      </c>
      <c r="CE174" s="109">
        <f t="shared" si="100"/>
        <v>91432.997920058886</v>
      </c>
      <c r="CF174" s="109">
        <f t="shared" si="101"/>
        <v>93424.13837704304</v>
      </c>
      <c r="CH174" s="58">
        <f t="array" ref="CH174">SUM(IF(CE174:CF174&gt;=CE174, 1))</f>
        <v>2</v>
      </c>
      <c r="CI174" s="58">
        <f t="array" ref="CI174">SUM(IF(CE174:CF174&gt;=CF174, 1))</f>
        <v>1</v>
      </c>
      <c r="CK174" s="109">
        <f t="shared" si="102"/>
        <v>44173.969917418508</v>
      </c>
      <c r="CL174" s="109">
        <f t="shared" si="103"/>
        <v>44885.675885711811</v>
      </c>
      <c r="CN174" s="58">
        <f t="array" ref="CN174">SUM(IF(CK174:CL174&gt;=CK174, 1))</f>
        <v>2</v>
      </c>
      <c r="CO174" s="58">
        <f t="array" ref="CO174">SUM(IF(CK174:CL174&gt;=CL174, 1))</f>
        <v>1</v>
      </c>
      <c r="CQ174" s="109" cm="1">
        <f t="array" ref="CQ174">AF174*WTP-AC174</f>
        <v>43365.156257780531</v>
      </c>
      <c r="CR174" s="109">
        <f t="shared" si="104"/>
        <v>46779.909819239212</v>
      </c>
      <c r="CT174" s="58">
        <f t="array" ref="CT174">SUM(IF(CQ174:CR174&gt;=CQ174, 1))</f>
        <v>2</v>
      </c>
      <c r="CU174" s="58">
        <f t="array" ref="CU174">SUM(IF(CQ174:CR174&gt;=CR174, 1))</f>
        <v>1</v>
      </c>
      <c r="CW174" s="109">
        <f t="shared" si="105"/>
        <v>-38100666.069771744</v>
      </c>
      <c r="CX174" s="109">
        <f t="shared" si="106"/>
        <v>0</v>
      </c>
      <c r="CZ174" s="58">
        <f t="array" ref="CZ174">SUM(IF(CW174:CX174&gt;=CW174, 1))</f>
        <v>2</v>
      </c>
      <c r="DA174" s="58">
        <f t="array" ref="DA174">SUM(IF(CW174:CX174&gt;=CX174, 1))</f>
        <v>1</v>
      </c>
      <c r="DC174" s="109">
        <f t="shared" si="107"/>
        <v>-2082862.6061981625</v>
      </c>
      <c r="DD174" s="109">
        <f t="shared" si="108"/>
        <v>0</v>
      </c>
      <c r="DF174" s="58">
        <f t="array" ref="DF174">SUM(IF(DC174:DD174&gt;=DC174, 1))</f>
        <v>2</v>
      </c>
      <c r="DG174" s="58">
        <f t="array" ref="DG174">SUM(IF(DC174:DD174&gt;=DD174, 1))</f>
        <v>1</v>
      </c>
      <c r="DI174" s="109">
        <f t="shared" si="109"/>
        <v>-45520008.571288317</v>
      </c>
      <c r="DJ174" s="109">
        <f t="shared" si="110"/>
        <v>0</v>
      </c>
      <c r="DL174" s="58">
        <f t="array" ref="DL174">SUM(IF(DI174:DJ174&gt;=DI174, 1))</f>
        <v>2</v>
      </c>
      <c r="DM174" s="58">
        <f t="array" ref="DM174">SUM(IF(DI174:DJ174&gt;=DJ174, 1))</f>
        <v>1</v>
      </c>
      <c r="DO174" s="109">
        <f t="shared" si="111"/>
        <v>-6307743.5222162986</v>
      </c>
      <c r="DP174" s="109">
        <f t="shared" si="112"/>
        <v>0</v>
      </c>
      <c r="DR174" s="58">
        <f t="array" ref="DR174">SUM(IF(DO174:DP174&gt;=DO174, 1))</f>
        <v>2</v>
      </c>
      <c r="DS174" s="58">
        <f t="array" ref="DS174">SUM(IF(DO174:DP174&gt;=DP174, 1))</f>
        <v>1</v>
      </c>
      <c r="DU174" s="109">
        <f t="shared" si="113"/>
        <v>-55405545.294001296</v>
      </c>
      <c r="DV174" s="109">
        <f t="shared" si="114"/>
        <v>0</v>
      </c>
      <c r="DX174" s="58">
        <f t="array" ref="DX174">SUM(IF(DU174:DV174&gt;=DU174, 1))</f>
        <v>2</v>
      </c>
      <c r="DY174" s="58">
        <f t="array" ref="DY174">SUM(IF(DU174:DV174&gt;=DV174, 1))</f>
        <v>1</v>
      </c>
      <c r="EA174" s="109">
        <f t="shared" si="115"/>
        <v>-147416826.06347582</v>
      </c>
      <c r="EB174" s="109">
        <f t="shared" si="116"/>
        <v>0</v>
      </c>
      <c r="ED174" s="58">
        <f t="array" ref="ED174">SUM(IF(EA174:EB174&gt;=EA174, 1))</f>
        <v>2</v>
      </c>
      <c r="EE174" s="58">
        <f t="array" ref="EE174">SUM(IF(EA174:EB174&gt;=EB174, 1))</f>
        <v>1</v>
      </c>
    </row>
    <row r="175" spans="4:135" ht="12" customHeight="1" x14ac:dyDescent="0.25">
      <c r="D175" s="11">
        <v>159</v>
      </c>
      <c r="E175" s="72">
        <v>238.8921623818039</v>
      </c>
      <c r="F175" s="72">
        <v>213.48256027761306</v>
      </c>
      <c r="G175" s="73"/>
      <c r="H175" s="74">
        <v>5.8245120225178519</v>
      </c>
      <c r="I175" s="74">
        <v>5.8430559638085269</v>
      </c>
      <c r="J175" s="73"/>
      <c r="K175" s="72">
        <v>256.20294245272601</v>
      </c>
      <c r="L175" s="72">
        <v>230.20633932488352</v>
      </c>
      <c r="M175" s="73"/>
      <c r="N175" s="74">
        <v>6.7178514767245492</v>
      </c>
      <c r="O175" s="74">
        <v>6.7344344732418824</v>
      </c>
      <c r="P175" s="73"/>
      <c r="Q175" s="72">
        <v>2601.6260366502524</v>
      </c>
      <c r="R175" s="72">
        <v>1805.0669886486673</v>
      </c>
      <c r="S175" s="73"/>
      <c r="T175" s="74">
        <v>4.8412958559148569</v>
      </c>
      <c r="U175" s="74">
        <v>4.905164007346702</v>
      </c>
      <c r="V175" s="73"/>
      <c r="W175" s="72">
        <v>11181.044480746616</v>
      </c>
      <c r="X175" s="72">
        <v>11158.659397392619</v>
      </c>
      <c r="Y175" s="73"/>
      <c r="Z175" s="74">
        <v>2.9755415505674541</v>
      </c>
      <c r="AA175" s="74">
        <v>3.0109170107599725</v>
      </c>
      <c r="AB175" s="73"/>
      <c r="AC175" s="72">
        <v>49735.62020807965</v>
      </c>
      <c r="AD175" s="72">
        <v>49783.571358575355</v>
      </c>
      <c r="AE175" s="73"/>
      <c r="AF175" s="74">
        <v>4.6684176293887285</v>
      </c>
      <c r="AG175" s="74">
        <v>4.77104149342117</v>
      </c>
      <c r="AH175" s="73"/>
      <c r="AI175" s="72">
        <v>2718309.8462993302</v>
      </c>
      <c r="AJ175" s="72">
        <v>0</v>
      </c>
      <c r="AK175" s="73"/>
      <c r="AL175" s="74">
        <v>-1983.8239887796003</v>
      </c>
      <c r="AM175" s="74">
        <v>0</v>
      </c>
      <c r="AN175" s="73"/>
      <c r="AO175" s="72">
        <v>176942.90789844905</v>
      </c>
      <c r="AP175" s="72">
        <v>0</v>
      </c>
      <c r="AQ175" s="73"/>
      <c r="AR175" s="74">
        <v>-112.87027043560929</v>
      </c>
      <c r="AS175" s="74">
        <v>0</v>
      </c>
      <c r="AT175" s="73"/>
      <c r="AU175" s="72">
        <v>18490185.57717054</v>
      </c>
      <c r="AV175" s="72">
        <v>0</v>
      </c>
      <c r="AW175" s="73"/>
      <c r="AX175" s="74">
        <v>-1482.5441697114416</v>
      </c>
      <c r="AY175" s="74">
        <v>0</v>
      </c>
      <c r="AZ175" s="73"/>
      <c r="BA175" s="72">
        <v>207251.36176721926</v>
      </c>
      <c r="BB175" s="72">
        <v>0</v>
      </c>
      <c r="BC175" s="73"/>
      <c r="BD175" s="74">
        <v>-327.52222460376083</v>
      </c>
      <c r="BE175" s="74">
        <v>0</v>
      </c>
      <c r="BF175" s="73"/>
      <c r="BG175" s="72">
        <v>-763296.85306098266</v>
      </c>
      <c r="BH175" s="72">
        <v>0</v>
      </c>
      <c r="BI175" s="73"/>
      <c r="BJ175" s="74">
        <v>-1633.5890099641686</v>
      </c>
      <c r="BK175" s="74">
        <v>0</v>
      </c>
      <c r="BL175" s="73"/>
      <c r="BM175" s="72">
        <v>20829392.840074554</v>
      </c>
      <c r="BN175" s="72">
        <v>0</v>
      </c>
      <c r="BO175" s="73"/>
      <c r="BP175" s="74">
        <v>-5540.3496634945805</v>
      </c>
      <c r="BQ175" s="74">
        <v>0</v>
      </c>
      <c r="BS175" s="109">
        <f t="shared" si="96"/>
        <v>116251.34828797524</v>
      </c>
      <c r="BT175" s="109">
        <f t="shared" si="97"/>
        <v>116647.63671589292</v>
      </c>
      <c r="BV175" s="58">
        <f t="array" ref="BV175">SUM(IF(BS175:BT175&gt;=BS175, 1))</f>
        <v>2</v>
      </c>
      <c r="BW175" s="58">
        <f t="array" ref="BW175">SUM(IF(BS175:BT175&gt;=BT175, 1))</f>
        <v>1</v>
      </c>
      <c r="BY175" s="109">
        <f t="shared" si="98"/>
        <v>134100.82659203827</v>
      </c>
      <c r="BZ175" s="109">
        <f t="shared" si="99"/>
        <v>134458.48312551278</v>
      </c>
      <c r="CB175" s="58">
        <f t="array" ref="CB175">SUM(IF(BY175:BZ175&gt;=BY175, 1))</f>
        <v>2</v>
      </c>
      <c r="CC175" s="58">
        <f t="array" ref="CC175">SUM(IF(BY175:BZ175&gt;=BZ175, 1))</f>
        <v>1</v>
      </c>
      <c r="CE175" s="109">
        <f t="shared" si="100"/>
        <v>94224.291081646879</v>
      </c>
      <c r="CF175" s="109">
        <f t="shared" si="101"/>
        <v>96298.213158285362</v>
      </c>
      <c r="CH175" s="58">
        <f t="array" ref="CH175">SUM(IF(CE175:CF175&gt;=CE175, 1))</f>
        <v>2</v>
      </c>
      <c r="CI175" s="58">
        <f t="array" ref="CI175">SUM(IF(CE175:CF175&gt;=CF175, 1))</f>
        <v>1</v>
      </c>
      <c r="CK175" s="109">
        <f t="shared" si="102"/>
        <v>48329.786530602461</v>
      </c>
      <c r="CL175" s="109">
        <f t="shared" si="103"/>
        <v>49059.680817806831</v>
      </c>
      <c r="CN175" s="58">
        <f t="array" ref="CN175">SUM(IF(CK175:CL175&gt;=CK175, 1))</f>
        <v>2</v>
      </c>
      <c r="CO175" s="58">
        <f t="array" ref="CO175">SUM(IF(CK175:CL175&gt;=CL175, 1))</f>
        <v>1</v>
      </c>
      <c r="CQ175" s="109" cm="1">
        <f t="array" ref="CQ175">AF175*WTP-AC175</f>
        <v>43632.73237969492</v>
      </c>
      <c r="CR175" s="109">
        <f t="shared" si="104"/>
        <v>45637.258509848049</v>
      </c>
      <c r="CT175" s="58">
        <f t="array" ref="CT175">SUM(IF(CQ175:CR175&gt;=CQ175, 1))</f>
        <v>2</v>
      </c>
      <c r="CU175" s="58">
        <f t="array" ref="CU175">SUM(IF(CQ175:CR175&gt;=CR175, 1))</f>
        <v>1</v>
      </c>
      <c r="CW175" s="109">
        <f t="shared" si="105"/>
        <v>-42394789.621891335</v>
      </c>
      <c r="CX175" s="109">
        <f t="shared" si="106"/>
        <v>0</v>
      </c>
      <c r="CZ175" s="58">
        <f t="array" ref="CZ175">SUM(IF(CW175:CX175&gt;=CW175, 1))</f>
        <v>2</v>
      </c>
      <c r="DA175" s="58">
        <f t="array" ref="DA175">SUM(IF(CW175:CX175&gt;=CX175, 1))</f>
        <v>1</v>
      </c>
      <c r="DC175" s="109">
        <f t="shared" si="107"/>
        <v>-2434348.3166106348</v>
      </c>
      <c r="DD175" s="109">
        <f t="shared" si="108"/>
        <v>0</v>
      </c>
      <c r="DF175" s="58">
        <f t="array" ref="DF175">SUM(IF(DC175:DD175&gt;=DC175, 1))</f>
        <v>2</v>
      </c>
      <c r="DG175" s="58">
        <f t="array" ref="DG175">SUM(IF(DC175:DD175&gt;=DD175, 1))</f>
        <v>1</v>
      </c>
      <c r="DI175" s="109">
        <f t="shared" si="109"/>
        <v>-48141068.971399367</v>
      </c>
      <c r="DJ175" s="109">
        <f t="shared" si="110"/>
        <v>0</v>
      </c>
      <c r="DL175" s="58">
        <f t="array" ref="DL175">SUM(IF(DI175:DJ175&gt;=DI175, 1))</f>
        <v>2</v>
      </c>
      <c r="DM175" s="58">
        <f t="array" ref="DM175">SUM(IF(DI175:DJ175&gt;=DJ175, 1))</f>
        <v>1</v>
      </c>
      <c r="DO175" s="109">
        <f t="shared" si="111"/>
        <v>-6757695.8538424363</v>
      </c>
      <c r="DP175" s="109">
        <f t="shared" si="112"/>
        <v>0</v>
      </c>
      <c r="DR175" s="58">
        <f t="array" ref="DR175">SUM(IF(DO175:DP175&gt;=DO175, 1))</f>
        <v>2</v>
      </c>
      <c r="DS175" s="58">
        <f t="array" ref="DS175">SUM(IF(DO175:DP175&gt;=DP175, 1))</f>
        <v>1</v>
      </c>
      <c r="DU175" s="109">
        <f t="shared" si="113"/>
        <v>-31908483.346222389</v>
      </c>
      <c r="DV175" s="109">
        <f t="shared" si="114"/>
        <v>0</v>
      </c>
      <c r="DX175" s="58">
        <f t="array" ref="DX175">SUM(IF(DU175:DV175&gt;=DU175, 1))</f>
        <v>2</v>
      </c>
      <c r="DY175" s="58">
        <f t="array" ref="DY175">SUM(IF(DU175:DV175&gt;=DV175, 1))</f>
        <v>1</v>
      </c>
      <c r="EA175" s="109">
        <f t="shared" si="115"/>
        <v>-131636386.10996616</v>
      </c>
      <c r="EB175" s="109">
        <f t="shared" si="116"/>
        <v>0</v>
      </c>
      <c r="ED175" s="58">
        <f t="array" ref="ED175">SUM(IF(EA175:EB175&gt;=EA175, 1))</f>
        <v>2</v>
      </c>
      <c r="EE175" s="58">
        <f t="array" ref="EE175">SUM(IF(EA175:EB175&gt;=EB175, 1))</f>
        <v>1</v>
      </c>
    </row>
    <row r="176" spans="4:135" ht="12" customHeight="1" x14ac:dyDescent="0.25">
      <c r="D176" s="11">
        <v>160</v>
      </c>
      <c r="E176" s="72">
        <v>235.13474427067544</v>
      </c>
      <c r="F176" s="72">
        <v>214.92730967396216</v>
      </c>
      <c r="G176" s="73"/>
      <c r="H176" s="74">
        <v>5.8711697153165101</v>
      </c>
      <c r="I176" s="74">
        <v>5.8875643251675509</v>
      </c>
      <c r="J176" s="73"/>
      <c r="K176" s="72">
        <v>252.4311351672566</v>
      </c>
      <c r="L176" s="72">
        <v>231.73816333943944</v>
      </c>
      <c r="M176" s="73"/>
      <c r="N176" s="74">
        <v>6.6738571177185753</v>
      </c>
      <c r="O176" s="74">
        <v>6.6886716935445598</v>
      </c>
      <c r="P176" s="73"/>
      <c r="Q176" s="72">
        <v>2656.3049724541165</v>
      </c>
      <c r="R176" s="72">
        <v>1565.3261321809866</v>
      </c>
      <c r="S176" s="73"/>
      <c r="T176" s="74">
        <v>4.9713370081604467</v>
      </c>
      <c r="U176" s="74">
        <v>5.0602087897832568</v>
      </c>
      <c r="V176" s="73"/>
      <c r="W176" s="72">
        <v>11838.707272551464</v>
      </c>
      <c r="X176" s="72">
        <v>11761.391277018209</v>
      </c>
      <c r="Y176" s="73"/>
      <c r="Z176" s="74">
        <v>2.9687592908074754</v>
      </c>
      <c r="AA176" s="74">
        <v>3.0024524824002072</v>
      </c>
      <c r="AB176" s="73"/>
      <c r="AC176" s="72">
        <v>49160.510115792444</v>
      </c>
      <c r="AD176" s="72">
        <v>49170.815483091719</v>
      </c>
      <c r="AE176" s="73"/>
      <c r="AF176" s="74">
        <v>4.4716747658480198</v>
      </c>
      <c r="AG176" s="74">
        <v>4.5028545942651466</v>
      </c>
      <c r="AH176" s="73"/>
      <c r="AI176" s="72">
        <v>2201967.0582482317</v>
      </c>
      <c r="AJ176" s="72">
        <v>0</v>
      </c>
      <c r="AK176" s="73"/>
      <c r="AL176" s="74">
        <v>-1786.4905439652132</v>
      </c>
      <c r="AM176" s="74">
        <v>0</v>
      </c>
      <c r="AN176" s="73"/>
      <c r="AO176" s="72">
        <v>139369.83022759765</v>
      </c>
      <c r="AP176" s="72">
        <v>0</v>
      </c>
      <c r="AQ176" s="73"/>
      <c r="AR176" s="74">
        <v>-99.778076099528477</v>
      </c>
      <c r="AS176" s="74">
        <v>0</v>
      </c>
      <c r="AT176" s="73"/>
      <c r="AU176" s="72">
        <v>25624121.037050091</v>
      </c>
      <c r="AV176" s="72">
        <v>0</v>
      </c>
      <c r="AW176" s="73"/>
      <c r="AX176" s="74">
        <v>-2087.3560558801055</v>
      </c>
      <c r="AY176" s="74">
        <v>0</v>
      </c>
      <c r="AZ176" s="73"/>
      <c r="BA176" s="72">
        <v>679679.98666838766</v>
      </c>
      <c r="BB176" s="72">
        <v>0</v>
      </c>
      <c r="BC176" s="73"/>
      <c r="BD176" s="74">
        <v>-296.19469884098237</v>
      </c>
      <c r="BE176" s="74">
        <v>0</v>
      </c>
      <c r="BF176" s="73"/>
      <c r="BG176" s="72">
        <v>-166721.90643524023</v>
      </c>
      <c r="BH176" s="72">
        <v>0</v>
      </c>
      <c r="BI176" s="73"/>
      <c r="BJ176" s="74">
        <v>-504.4323297814426</v>
      </c>
      <c r="BK176" s="74">
        <v>0</v>
      </c>
      <c r="BL176" s="73"/>
      <c r="BM176" s="72">
        <v>28478416.005759068</v>
      </c>
      <c r="BN176" s="72">
        <v>0</v>
      </c>
      <c r="BO176" s="73"/>
      <c r="BP176" s="74">
        <v>-4774.2517045672721</v>
      </c>
      <c r="BQ176" s="74">
        <v>0</v>
      </c>
      <c r="BS176" s="109">
        <f t="shared" si="96"/>
        <v>117188.25956205952</v>
      </c>
      <c r="BT176" s="109">
        <f t="shared" si="97"/>
        <v>117536.35919367705</v>
      </c>
      <c r="BV176" s="58">
        <f t="array" ref="BV176">SUM(IF(BS176:BT176&gt;=BS176, 1))</f>
        <v>2</v>
      </c>
      <c r="BW176" s="58">
        <f t="array" ref="BW176">SUM(IF(BS176:BT176&gt;=BT176, 1))</f>
        <v>1</v>
      </c>
      <c r="BY176" s="109">
        <f t="shared" si="98"/>
        <v>133224.71121920424</v>
      </c>
      <c r="BZ176" s="109">
        <f t="shared" si="99"/>
        <v>133541.69570755176</v>
      </c>
      <c r="CB176" s="58">
        <f t="array" ref="CB176">SUM(IF(BY176:BZ176&gt;=BY176, 1))</f>
        <v>2</v>
      </c>
      <c r="CC176" s="58">
        <f t="array" ref="CC176">SUM(IF(BY176:BZ176&gt;=BZ176, 1))</f>
        <v>1</v>
      </c>
      <c r="CE176" s="109">
        <f t="shared" si="100"/>
        <v>96770.435190754812</v>
      </c>
      <c r="CF176" s="109">
        <f t="shared" si="101"/>
        <v>99638.849663484158</v>
      </c>
      <c r="CH176" s="58">
        <f t="array" ref="CH176">SUM(IF(CE176:CF176&gt;=CE176, 1))</f>
        <v>2</v>
      </c>
      <c r="CI176" s="58">
        <f t="array" ref="CI176">SUM(IF(CE176:CF176&gt;=CF176, 1))</f>
        <v>1</v>
      </c>
      <c r="CK176" s="109">
        <f t="shared" si="102"/>
        <v>47536.478543598038</v>
      </c>
      <c r="CL176" s="109">
        <f t="shared" si="103"/>
        <v>48287.658370985941</v>
      </c>
      <c r="CN176" s="58">
        <f t="array" ref="CN176">SUM(IF(CK176:CL176&gt;=CK176, 1))</f>
        <v>2</v>
      </c>
      <c r="CO176" s="58">
        <f t="array" ref="CO176">SUM(IF(CK176:CL176&gt;=CL176, 1))</f>
        <v>1</v>
      </c>
      <c r="CQ176" s="109" cm="1">
        <f t="array" ref="CQ176">AF176*WTP-AC176</f>
        <v>40272.985201167954</v>
      </c>
      <c r="CR176" s="109">
        <f t="shared" si="104"/>
        <v>40886.27640221121</v>
      </c>
      <c r="CT176" s="58">
        <f t="array" ref="CT176">SUM(IF(CQ176:CR176&gt;=CQ176, 1))</f>
        <v>2</v>
      </c>
      <c r="CU176" s="58">
        <f t="array" ref="CU176">SUM(IF(CQ176:CR176&gt;=CR176, 1))</f>
        <v>1</v>
      </c>
      <c r="CW176" s="109">
        <f t="shared" si="105"/>
        <v>-37931777.937552497</v>
      </c>
      <c r="CX176" s="109">
        <f t="shared" si="106"/>
        <v>0</v>
      </c>
      <c r="CZ176" s="58">
        <f t="array" ref="CZ176">SUM(IF(CW176:CX176&gt;=CW176, 1))</f>
        <v>2</v>
      </c>
      <c r="DA176" s="58">
        <f t="array" ref="DA176">SUM(IF(CW176:CX176&gt;=CX176, 1))</f>
        <v>1</v>
      </c>
      <c r="DC176" s="109">
        <f t="shared" si="107"/>
        <v>-2134931.3522181674</v>
      </c>
      <c r="DD176" s="109">
        <f t="shared" si="108"/>
        <v>0</v>
      </c>
      <c r="DF176" s="58">
        <f t="array" ref="DF176">SUM(IF(DC176:DD176&gt;=DC176, 1))</f>
        <v>2</v>
      </c>
      <c r="DG176" s="58">
        <f t="array" ref="DG176">SUM(IF(DC176:DD176&gt;=DD176, 1))</f>
        <v>1</v>
      </c>
      <c r="DI176" s="109">
        <f t="shared" si="109"/>
        <v>-67371242.154652208</v>
      </c>
      <c r="DJ176" s="109">
        <f t="shared" si="110"/>
        <v>0</v>
      </c>
      <c r="DL176" s="58">
        <f t="array" ref="DL176">SUM(IF(DI176:DJ176&gt;=DI176, 1))</f>
        <v>2</v>
      </c>
      <c r="DM176" s="58">
        <f t="array" ref="DM176">SUM(IF(DI176:DJ176&gt;=DJ176, 1))</f>
        <v>1</v>
      </c>
      <c r="DO176" s="109">
        <f t="shared" si="111"/>
        <v>-6603573.9634880349</v>
      </c>
      <c r="DP176" s="109">
        <f t="shared" si="112"/>
        <v>0</v>
      </c>
      <c r="DR176" s="58">
        <f t="array" ref="DR176">SUM(IF(DO176:DP176&gt;=DO176, 1))</f>
        <v>2</v>
      </c>
      <c r="DS176" s="58">
        <f t="array" ref="DS176">SUM(IF(DO176:DP176&gt;=DP176, 1))</f>
        <v>1</v>
      </c>
      <c r="DU176" s="109">
        <f t="shared" si="113"/>
        <v>-9921924.689193612</v>
      </c>
      <c r="DV176" s="109">
        <f t="shared" si="114"/>
        <v>0</v>
      </c>
      <c r="DX176" s="58">
        <f t="array" ref="DX176">SUM(IF(DU176:DV176&gt;=DU176, 1))</f>
        <v>2</v>
      </c>
      <c r="DY176" s="58">
        <f t="array" ref="DY176">SUM(IF(DU176:DV176&gt;=DV176, 1))</f>
        <v>1</v>
      </c>
      <c r="EA176" s="109">
        <f t="shared" si="115"/>
        <v>-123963450.09710452</v>
      </c>
      <c r="EB176" s="109">
        <f t="shared" si="116"/>
        <v>0</v>
      </c>
      <c r="ED176" s="58">
        <f t="array" ref="ED176">SUM(IF(EA176:EB176&gt;=EA176, 1))</f>
        <v>2</v>
      </c>
      <c r="EE176" s="58">
        <f t="array" ref="EE176">SUM(IF(EA176:EB176&gt;=EB176, 1))</f>
        <v>1</v>
      </c>
    </row>
    <row r="177" spans="4:135" ht="12" customHeight="1" x14ac:dyDescent="0.25">
      <c r="D177" s="11">
        <v>161</v>
      </c>
      <c r="E177" s="72">
        <v>241.61426217967605</v>
      </c>
      <c r="F177" s="72">
        <v>223.96087315391631</v>
      </c>
      <c r="G177" s="73"/>
      <c r="H177" s="74">
        <v>5.8171761484683007</v>
      </c>
      <c r="I177" s="74">
        <v>5.832312553343777</v>
      </c>
      <c r="J177" s="73"/>
      <c r="K177" s="72">
        <v>259.56284543472043</v>
      </c>
      <c r="L177" s="72">
        <v>241.48396409093016</v>
      </c>
      <c r="M177" s="73"/>
      <c r="N177" s="74">
        <v>6.7084780766363892</v>
      </c>
      <c r="O177" s="74">
        <v>6.722003635805792</v>
      </c>
      <c r="P177" s="73"/>
      <c r="Q177" s="72">
        <v>4485.4929649297692</v>
      </c>
      <c r="R177" s="72">
        <v>2022.3521130086651</v>
      </c>
      <c r="S177" s="73"/>
      <c r="T177" s="74">
        <v>4.7831086801874747</v>
      </c>
      <c r="U177" s="74">
        <v>4.9383183859305806</v>
      </c>
      <c r="V177" s="73"/>
      <c r="W177" s="72">
        <v>9609.0861255658456</v>
      </c>
      <c r="X177" s="72">
        <v>9602.1561247688242</v>
      </c>
      <c r="Y177" s="73"/>
      <c r="Z177" s="74">
        <v>3.0024230945529835</v>
      </c>
      <c r="AA177" s="74">
        <v>3.0412279533792854</v>
      </c>
      <c r="AB177" s="73"/>
      <c r="AC177" s="72">
        <v>49263.012299174625</v>
      </c>
      <c r="AD177" s="72">
        <v>49051.035033160944</v>
      </c>
      <c r="AE177" s="73"/>
      <c r="AF177" s="74">
        <v>4.7195662220373515</v>
      </c>
      <c r="AG177" s="74">
        <v>4.8214155478533263</v>
      </c>
      <c r="AH177" s="73"/>
      <c r="AI177" s="72">
        <v>1884390.1041536897</v>
      </c>
      <c r="AJ177" s="72">
        <v>0</v>
      </c>
      <c r="AK177" s="73"/>
      <c r="AL177" s="74">
        <v>-1615.7176119662197</v>
      </c>
      <c r="AM177" s="74">
        <v>0</v>
      </c>
      <c r="AN177" s="73"/>
      <c r="AO177" s="72">
        <v>121223.56871888654</v>
      </c>
      <c r="AP177" s="72">
        <v>0</v>
      </c>
      <c r="AQ177" s="73"/>
      <c r="AR177" s="74">
        <v>-90.692367533937045</v>
      </c>
      <c r="AS177" s="74">
        <v>0</v>
      </c>
      <c r="AT177" s="73"/>
      <c r="AU177" s="72">
        <v>57079423.817038804</v>
      </c>
      <c r="AV177" s="72">
        <v>0</v>
      </c>
      <c r="AW177" s="73"/>
      <c r="AX177" s="74">
        <v>-3596.7413587894935</v>
      </c>
      <c r="AY177" s="74">
        <v>0</v>
      </c>
      <c r="AZ177" s="73"/>
      <c r="BA177" s="72">
        <v>62888.786873485806</v>
      </c>
      <c r="BB177" s="72">
        <v>0</v>
      </c>
      <c r="BC177" s="73"/>
      <c r="BD177" s="74">
        <v>-352.1486602760433</v>
      </c>
      <c r="BE177" s="74">
        <v>0</v>
      </c>
      <c r="BF177" s="73"/>
      <c r="BG177" s="72">
        <v>3300229.7045366038</v>
      </c>
      <c r="BH177" s="72">
        <v>0</v>
      </c>
      <c r="BI177" s="73"/>
      <c r="BJ177" s="74">
        <v>-1585.6708446424334</v>
      </c>
      <c r="BK177" s="74">
        <v>0</v>
      </c>
      <c r="BL177" s="73"/>
      <c r="BM177" s="72">
        <v>62448155.981321461</v>
      </c>
      <c r="BN177" s="72">
        <v>0</v>
      </c>
      <c r="BO177" s="73"/>
      <c r="BP177" s="74">
        <v>-7240.970843208127</v>
      </c>
      <c r="BQ177" s="74">
        <v>0</v>
      </c>
      <c r="BS177" s="109">
        <f t="shared" si="96"/>
        <v>116101.90870718633</v>
      </c>
      <c r="BT177" s="109">
        <f t="shared" si="97"/>
        <v>116422.29019372162</v>
      </c>
      <c r="BV177" s="58">
        <f t="array" ref="BV177">SUM(IF(BS177:BT177&gt;=BS177, 1))</f>
        <v>2</v>
      </c>
      <c r="BW177" s="58">
        <f t="array" ref="BW177">SUM(IF(BS177:BT177&gt;=BT177, 1))</f>
        <v>1</v>
      </c>
      <c r="BY177" s="109">
        <f t="shared" si="98"/>
        <v>133909.99868729306</v>
      </c>
      <c r="BZ177" s="109">
        <f t="shared" si="99"/>
        <v>134198.58875202489</v>
      </c>
      <c r="CB177" s="58">
        <f t="array" ref="CB177">SUM(IF(BY177:BZ177&gt;=BY177, 1))</f>
        <v>2</v>
      </c>
      <c r="CC177" s="58">
        <f t="array" ref="CC177">SUM(IF(BY177:BZ177&gt;=BZ177, 1))</f>
        <v>1</v>
      </c>
      <c r="CE177" s="109">
        <f t="shared" si="100"/>
        <v>91176.680638819729</v>
      </c>
      <c r="CF177" s="109">
        <f t="shared" si="101"/>
        <v>96744.015605602952</v>
      </c>
      <c r="CH177" s="58">
        <f t="array" ref="CH177">SUM(IF(CE177:CF177&gt;=CE177, 1))</f>
        <v>2</v>
      </c>
      <c r="CI177" s="58">
        <f t="array" ref="CI177">SUM(IF(CE177:CF177&gt;=CF177, 1))</f>
        <v>1</v>
      </c>
      <c r="CK177" s="109">
        <f t="shared" si="102"/>
        <v>50439.375765493824</v>
      </c>
      <c r="CL177" s="109">
        <f t="shared" si="103"/>
        <v>51222.402942816887</v>
      </c>
      <c r="CN177" s="58">
        <f t="array" ref="CN177">SUM(IF(CK177:CL177&gt;=CK177, 1))</f>
        <v>2</v>
      </c>
      <c r="CO177" s="58">
        <f t="array" ref="CO177">SUM(IF(CK177:CL177&gt;=CL177, 1))</f>
        <v>1</v>
      </c>
      <c r="CQ177" s="109" cm="1">
        <f t="array" ref="CQ177">AF177*WTP-AC177</f>
        <v>45128.312141572409</v>
      </c>
      <c r="CR177" s="109">
        <f t="shared" si="104"/>
        <v>47377.275923905581</v>
      </c>
      <c r="CT177" s="58">
        <f t="array" ref="CT177">SUM(IF(CQ177:CR177&gt;=CQ177, 1))</f>
        <v>2</v>
      </c>
      <c r="CU177" s="58">
        <f t="array" ref="CU177">SUM(IF(CQ177:CR177&gt;=CR177, 1))</f>
        <v>1</v>
      </c>
      <c r="CW177" s="109">
        <f t="shared" si="105"/>
        <v>-34198742.343478084</v>
      </c>
      <c r="CX177" s="109">
        <f t="shared" si="106"/>
        <v>0</v>
      </c>
      <c r="CZ177" s="58">
        <f t="array" ref="CZ177">SUM(IF(CW177:CX177&gt;=CW177, 1))</f>
        <v>2</v>
      </c>
      <c r="DA177" s="58">
        <f t="array" ref="DA177">SUM(IF(CW177:CX177&gt;=CX177, 1))</f>
        <v>1</v>
      </c>
      <c r="DC177" s="109">
        <f t="shared" si="107"/>
        <v>-1935070.9193976275</v>
      </c>
      <c r="DD177" s="109">
        <f t="shared" si="108"/>
        <v>0</v>
      </c>
      <c r="DF177" s="58">
        <f t="array" ref="DF177">SUM(IF(DC177:DD177&gt;=DC177, 1))</f>
        <v>2</v>
      </c>
      <c r="DG177" s="58">
        <f t="array" ref="DG177">SUM(IF(DC177:DD177&gt;=DD177, 1))</f>
        <v>1</v>
      </c>
      <c r="DI177" s="109">
        <f t="shared" si="109"/>
        <v>-129014250.99282867</v>
      </c>
      <c r="DJ177" s="109">
        <f t="shared" si="110"/>
        <v>0</v>
      </c>
      <c r="DL177" s="58">
        <f t="array" ref="DL177">SUM(IF(DI177:DJ177&gt;=DI177, 1))</f>
        <v>2</v>
      </c>
      <c r="DM177" s="58">
        <f t="array" ref="DM177">SUM(IF(DI177:DJ177&gt;=DJ177, 1))</f>
        <v>1</v>
      </c>
      <c r="DO177" s="109">
        <f t="shared" si="111"/>
        <v>-7105861.9923943523</v>
      </c>
      <c r="DP177" s="109">
        <f t="shared" si="112"/>
        <v>0</v>
      </c>
      <c r="DR177" s="58">
        <f t="array" ref="DR177">SUM(IF(DO177:DP177&gt;=DO177, 1))</f>
        <v>2</v>
      </c>
      <c r="DS177" s="58">
        <f t="array" ref="DS177">SUM(IF(DO177:DP177&gt;=DP177, 1))</f>
        <v>1</v>
      </c>
      <c r="DU177" s="109">
        <f t="shared" si="113"/>
        <v>-35013646.597385272</v>
      </c>
      <c r="DV177" s="109">
        <f t="shared" si="114"/>
        <v>0</v>
      </c>
      <c r="DX177" s="58">
        <f t="array" ref="DX177">SUM(IF(DU177:DV177&gt;=DU177, 1))</f>
        <v>2</v>
      </c>
      <c r="DY177" s="58">
        <f t="array" ref="DY177">SUM(IF(DU177:DV177&gt;=DV177, 1))</f>
        <v>1</v>
      </c>
      <c r="EA177" s="109">
        <f t="shared" si="115"/>
        <v>-207267572.84548399</v>
      </c>
      <c r="EB177" s="109">
        <f t="shared" si="116"/>
        <v>0</v>
      </c>
      <c r="ED177" s="58">
        <f t="array" ref="ED177">SUM(IF(EA177:EB177&gt;=EA177, 1))</f>
        <v>2</v>
      </c>
      <c r="EE177" s="58">
        <f t="array" ref="EE177">SUM(IF(EA177:EB177&gt;=EB177, 1))</f>
        <v>1</v>
      </c>
    </row>
    <row r="178" spans="4:135" ht="12" customHeight="1" x14ac:dyDescent="0.25">
      <c r="D178" s="11">
        <v>162</v>
      </c>
      <c r="E178" s="72">
        <v>309.77506246957199</v>
      </c>
      <c r="F178" s="72">
        <v>286.42078856507055</v>
      </c>
      <c r="G178" s="73"/>
      <c r="H178" s="74">
        <v>5.8838128781742931</v>
      </c>
      <c r="I178" s="74">
        <v>5.9019464498634973</v>
      </c>
      <c r="J178" s="73"/>
      <c r="K178" s="72">
        <v>332.80047365863254</v>
      </c>
      <c r="L178" s="72">
        <v>308.86363993847817</v>
      </c>
      <c r="M178" s="73"/>
      <c r="N178" s="74">
        <v>6.7262535818066977</v>
      </c>
      <c r="O178" s="74">
        <v>6.74229860587673</v>
      </c>
      <c r="P178" s="73"/>
      <c r="Q178" s="72">
        <v>3586.0680675901945</v>
      </c>
      <c r="R178" s="72">
        <v>1689.5019421180766</v>
      </c>
      <c r="S178" s="73"/>
      <c r="T178" s="74">
        <v>4.8124305659671656</v>
      </c>
      <c r="U178" s="74">
        <v>4.9502762250203451</v>
      </c>
      <c r="V178" s="73"/>
      <c r="W178" s="72">
        <v>14909.836411167553</v>
      </c>
      <c r="X178" s="72">
        <v>14944.182401797698</v>
      </c>
      <c r="Y178" s="73"/>
      <c r="Z178" s="74">
        <v>3.0697029410812422</v>
      </c>
      <c r="AA178" s="74">
        <v>3.1271086148074234</v>
      </c>
      <c r="AB178" s="73"/>
      <c r="AC178" s="72">
        <v>50004.102393223133</v>
      </c>
      <c r="AD178" s="72">
        <v>49970.975022387553</v>
      </c>
      <c r="AE178" s="73"/>
      <c r="AF178" s="74">
        <v>4.1388167247494723</v>
      </c>
      <c r="AG178" s="74">
        <v>4.3033595514824956</v>
      </c>
      <c r="AH178" s="73"/>
      <c r="AI178" s="72">
        <v>2490736.3401635247</v>
      </c>
      <c r="AJ178" s="72">
        <v>0</v>
      </c>
      <c r="AK178" s="73"/>
      <c r="AL178" s="74">
        <v>-1933.9477719560234</v>
      </c>
      <c r="AM178" s="74">
        <v>0</v>
      </c>
      <c r="AN178" s="73"/>
      <c r="AO178" s="72">
        <v>168749.47495270908</v>
      </c>
      <c r="AP178" s="72">
        <v>0</v>
      </c>
      <c r="AQ178" s="73"/>
      <c r="AR178" s="74">
        <v>-113.11393223832216</v>
      </c>
      <c r="AS178" s="74">
        <v>0</v>
      </c>
      <c r="AT178" s="73"/>
      <c r="AU178" s="72">
        <v>43242214.660157435</v>
      </c>
      <c r="AV178" s="72">
        <v>0</v>
      </c>
      <c r="AW178" s="73"/>
      <c r="AX178" s="74">
        <v>-3142.9178759926644</v>
      </c>
      <c r="AY178" s="74">
        <v>0</v>
      </c>
      <c r="AZ178" s="73"/>
      <c r="BA178" s="72">
        <v>-319196.19063035253</v>
      </c>
      <c r="BB178" s="72">
        <v>0</v>
      </c>
      <c r="BC178" s="73"/>
      <c r="BD178" s="74">
        <v>-533.50251478504481</v>
      </c>
      <c r="BE178" s="74">
        <v>0</v>
      </c>
      <c r="BF178" s="73"/>
      <c r="BG178" s="72">
        <v>514829.53179232386</v>
      </c>
      <c r="BH178" s="72">
        <v>0</v>
      </c>
      <c r="BI178" s="73"/>
      <c r="BJ178" s="74">
        <v>-2557.1454754798733</v>
      </c>
      <c r="BK178" s="74">
        <v>0</v>
      </c>
      <c r="BL178" s="73"/>
      <c r="BM178" s="72">
        <v>46097333.816435635</v>
      </c>
      <c r="BN178" s="72">
        <v>0</v>
      </c>
      <c r="BO178" s="73"/>
      <c r="BP178" s="74">
        <v>-8280.6275704519285</v>
      </c>
      <c r="BQ178" s="74">
        <v>0</v>
      </c>
      <c r="BS178" s="109">
        <f t="shared" si="96"/>
        <v>117366.48250101629</v>
      </c>
      <c r="BT178" s="109">
        <f t="shared" si="97"/>
        <v>117752.50820870488</v>
      </c>
      <c r="BV178" s="58">
        <f t="array" ref="BV178">SUM(IF(BS178:BT178&gt;=BS178, 1))</f>
        <v>2</v>
      </c>
      <c r="BW178" s="58">
        <f t="array" ref="BW178">SUM(IF(BS178:BT178&gt;=BT178, 1))</f>
        <v>1</v>
      </c>
      <c r="BY178" s="109">
        <f t="shared" si="98"/>
        <v>134192.27116247531</v>
      </c>
      <c r="BZ178" s="109">
        <f t="shared" si="99"/>
        <v>134537.10847759614</v>
      </c>
      <c r="CB178" s="58">
        <f t="array" ref="CB178">SUM(IF(BY178:BZ178&gt;=BY178, 1))</f>
        <v>2</v>
      </c>
      <c r="CC178" s="58">
        <f t="array" ref="CC178">SUM(IF(BY178:BZ178&gt;=BZ178, 1))</f>
        <v>1</v>
      </c>
      <c r="CE178" s="109">
        <f t="shared" si="100"/>
        <v>92662.543251753115</v>
      </c>
      <c r="CF178" s="109">
        <f t="shared" si="101"/>
        <v>97316.022558288823</v>
      </c>
      <c r="CH178" s="58">
        <f t="array" ref="CH178">SUM(IF(CE178:CF178&gt;=CE178, 1))</f>
        <v>2</v>
      </c>
      <c r="CI178" s="58">
        <f t="array" ref="CI178">SUM(IF(CE178:CF178&gt;=CF178, 1))</f>
        <v>1</v>
      </c>
      <c r="CK178" s="109">
        <f t="shared" si="102"/>
        <v>46484.222410457289</v>
      </c>
      <c r="CL178" s="109">
        <f t="shared" si="103"/>
        <v>47597.989894350772</v>
      </c>
      <c r="CN178" s="58">
        <f t="array" ref="CN178">SUM(IF(CK178:CL178&gt;=CK178, 1))</f>
        <v>2</v>
      </c>
      <c r="CO178" s="58">
        <f t="array" ref="CO178">SUM(IF(CK178:CL178&gt;=CL178, 1))</f>
        <v>1</v>
      </c>
      <c r="CQ178" s="109" cm="1">
        <f t="array" ref="CQ178">AF178*WTP-AC178</f>
        <v>32772.232101766305</v>
      </c>
      <c r="CR178" s="109">
        <f t="shared" si="104"/>
        <v>36096.216007262359</v>
      </c>
      <c r="CT178" s="58">
        <f t="array" ref="CT178">SUM(IF(CQ178:CR178&gt;=CQ178, 1))</f>
        <v>2</v>
      </c>
      <c r="CU178" s="58">
        <f t="array" ref="CU178">SUM(IF(CQ178:CR178&gt;=CR178, 1))</f>
        <v>1</v>
      </c>
      <c r="CW178" s="109">
        <f t="shared" si="105"/>
        <v>-41169691.779283993</v>
      </c>
      <c r="CX178" s="109">
        <f t="shared" si="106"/>
        <v>0</v>
      </c>
      <c r="CZ178" s="58">
        <f t="array" ref="CZ178">SUM(IF(CW178:CX178&gt;=CW178, 1))</f>
        <v>2</v>
      </c>
      <c r="DA178" s="58">
        <f t="array" ref="DA178">SUM(IF(CW178:CX178&gt;=CX178, 1))</f>
        <v>1</v>
      </c>
      <c r="DC178" s="109">
        <f t="shared" si="107"/>
        <v>-2431028.1197191523</v>
      </c>
      <c r="DD178" s="109">
        <f t="shared" si="108"/>
        <v>0</v>
      </c>
      <c r="DF178" s="58">
        <f t="array" ref="DF178">SUM(IF(DC178:DD178&gt;=DC178, 1))</f>
        <v>2</v>
      </c>
      <c r="DG178" s="58">
        <f t="array" ref="DG178">SUM(IF(DC178:DD178&gt;=DD178, 1))</f>
        <v>1</v>
      </c>
      <c r="DI178" s="109">
        <f t="shared" si="109"/>
        <v>-106100572.18001072</v>
      </c>
      <c r="DJ178" s="109">
        <f t="shared" si="110"/>
        <v>0</v>
      </c>
      <c r="DL178" s="58">
        <f t="array" ref="DL178">SUM(IF(DI178:DJ178&gt;=DI178, 1))</f>
        <v>2</v>
      </c>
      <c r="DM178" s="58">
        <f t="array" ref="DM178">SUM(IF(DI178:DJ178&gt;=DJ178, 1))</f>
        <v>1</v>
      </c>
      <c r="DO178" s="109">
        <f t="shared" si="111"/>
        <v>-10350854.105070544</v>
      </c>
      <c r="DP178" s="109">
        <f t="shared" si="112"/>
        <v>0</v>
      </c>
      <c r="DR178" s="58">
        <f t="array" ref="DR178">SUM(IF(DO178:DP178&gt;=DO178, 1))</f>
        <v>2</v>
      </c>
      <c r="DS178" s="58">
        <f t="array" ref="DS178">SUM(IF(DO178:DP178&gt;=DP178, 1))</f>
        <v>1</v>
      </c>
      <c r="DU178" s="109">
        <f t="shared" si="113"/>
        <v>-51657739.041389786</v>
      </c>
      <c r="DV178" s="109">
        <f t="shared" si="114"/>
        <v>0</v>
      </c>
      <c r="DX178" s="58">
        <f t="array" ref="DX178">SUM(IF(DU178:DV178&gt;=DU178, 1))</f>
        <v>2</v>
      </c>
      <c r="DY178" s="58">
        <f t="array" ref="DY178">SUM(IF(DU178:DV178&gt;=DV178, 1))</f>
        <v>1</v>
      </c>
      <c r="EA178" s="109">
        <f t="shared" si="115"/>
        <v>-211709885.22547421</v>
      </c>
      <c r="EB178" s="109">
        <f t="shared" si="116"/>
        <v>0</v>
      </c>
      <c r="ED178" s="58">
        <f t="array" ref="ED178">SUM(IF(EA178:EB178&gt;=EA178, 1))</f>
        <v>2</v>
      </c>
      <c r="EE178" s="58">
        <f t="array" ref="EE178">SUM(IF(EA178:EB178&gt;=EB178, 1))</f>
        <v>1</v>
      </c>
    </row>
    <row r="179" spans="4:135" ht="12" customHeight="1" x14ac:dyDescent="0.25">
      <c r="D179" s="11">
        <v>163</v>
      </c>
      <c r="E179" s="72">
        <v>335.01599350314149</v>
      </c>
      <c r="F179" s="72">
        <v>307.19856877675448</v>
      </c>
      <c r="G179" s="73"/>
      <c r="H179" s="74">
        <v>5.8349579684255506</v>
      </c>
      <c r="I179" s="74">
        <v>5.8491107761217771</v>
      </c>
      <c r="J179" s="73"/>
      <c r="K179" s="72">
        <v>359.65922205048213</v>
      </c>
      <c r="L179" s="72">
        <v>331.16261890210438</v>
      </c>
      <c r="M179" s="73"/>
      <c r="N179" s="74">
        <v>6.7053105919376295</v>
      </c>
      <c r="O179" s="74">
        <v>6.716990462798953</v>
      </c>
      <c r="P179" s="73"/>
      <c r="Q179" s="72">
        <v>1905.4884580180542</v>
      </c>
      <c r="R179" s="72">
        <v>1163.6768308235801</v>
      </c>
      <c r="S179" s="73"/>
      <c r="T179" s="74">
        <v>4.6761206790442698</v>
      </c>
      <c r="U179" s="74">
        <v>4.7588643000053885</v>
      </c>
      <c r="V179" s="73"/>
      <c r="W179" s="72">
        <v>15414.747643932316</v>
      </c>
      <c r="X179" s="72">
        <v>15349.862559882151</v>
      </c>
      <c r="Y179" s="73"/>
      <c r="Z179" s="74">
        <v>3.0971325279606718</v>
      </c>
      <c r="AA179" s="74">
        <v>3.1410116198101674</v>
      </c>
      <c r="AB179" s="73"/>
      <c r="AC179" s="72">
        <v>48633.019310996293</v>
      </c>
      <c r="AD179" s="72">
        <v>48700.370821363373</v>
      </c>
      <c r="AE179" s="73"/>
      <c r="AF179" s="74">
        <v>4.5349746939162694</v>
      </c>
      <c r="AG179" s="74">
        <v>4.6276865014334794</v>
      </c>
      <c r="AH179" s="73"/>
      <c r="AI179" s="72">
        <v>2997316.5647365279</v>
      </c>
      <c r="AJ179" s="72">
        <v>0</v>
      </c>
      <c r="AK179" s="73"/>
      <c r="AL179" s="74">
        <v>-1524.9594584214412</v>
      </c>
      <c r="AM179" s="74">
        <v>0</v>
      </c>
      <c r="AN179" s="73"/>
      <c r="AO179" s="72">
        <v>202714.45380257117</v>
      </c>
      <c r="AP179" s="72">
        <v>0</v>
      </c>
      <c r="AQ179" s="73"/>
      <c r="AR179" s="74">
        <v>-83.086346460649835</v>
      </c>
      <c r="AS179" s="74">
        <v>0</v>
      </c>
      <c r="AT179" s="73"/>
      <c r="AU179" s="72">
        <v>16888979.683276154</v>
      </c>
      <c r="AV179" s="72">
        <v>0</v>
      </c>
      <c r="AW179" s="73"/>
      <c r="AX179" s="74">
        <v>-1883.8412369164432</v>
      </c>
      <c r="AY179" s="74">
        <v>0</v>
      </c>
      <c r="AZ179" s="73"/>
      <c r="BA179" s="72">
        <v>585326.6014757778</v>
      </c>
      <c r="BB179" s="72">
        <v>0</v>
      </c>
      <c r="BC179" s="73"/>
      <c r="BD179" s="74">
        <v>-395.83210970724241</v>
      </c>
      <c r="BE179" s="74">
        <v>0</v>
      </c>
      <c r="BF179" s="73"/>
      <c r="BG179" s="72">
        <v>-1042682.1061645271</v>
      </c>
      <c r="BH179" s="72">
        <v>0</v>
      </c>
      <c r="BI179" s="73"/>
      <c r="BJ179" s="74">
        <v>-1435.2899022085603</v>
      </c>
      <c r="BK179" s="74">
        <v>0</v>
      </c>
      <c r="BL179" s="73"/>
      <c r="BM179" s="72">
        <v>19631655.197126508</v>
      </c>
      <c r="BN179" s="72">
        <v>0</v>
      </c>
      <c r="BO179" s="73"/>
      <c r="BP179" s="74">
        <v>-5323.0090537143369</v>
      </c>
      <c r="BQ179" s="74">
        <v>0</v>
      </c>
      <c r="BS179" s="109">
        <f t="shared" si="96"/>
        <v>116364.14337500787</v>
      </c>
      <c r="BT179" s="109">
        <f t="shared" si="97"/>
        <v>116675.01695365878</v>
      </c>
      <c r="BV179" s="58">
        <f t="array" ref="BV179">SUM(IF(BS179:BT179&gt;=BS179, 1))</f>
        <v>2</v>
      </c>
      <c r="BW179" s="58">
        <f t="array" ref="BW179">SUM(IF(BS179:BT179&gt;=BT179, 1))</f>
        <v>1</v>
      </c>
      <c r="BY179" s="109">
        <f t="shared" si="98"/>
        <v>133746.5526167021</v>
      </c>
      <c r="BZ179" s="109">
        <f t="shared" si="99"/>
        <v>134008.64663707695</v>
      </c>
      <c r="CB179" s="58">
        <f t="array" ref="CB179">SUM(IF(BY179:BZ179&gt;=BY179, 1))</f>
        <v>2</v>
      </c>
      <c r="CC179" s="58">
        <f t="array" ref="CC179">SUM(IF(BY179:BZ179&gt;=BZ179, 1))</f>
        <v>1</v>
      </c>
      <c r="CE179" s="109">
        <f t="shared" si="100"/>
        <v>91616.925122867338</v>
      </c>
      <c r="CF179" s="109">
        <f t="shared" si="101"/>
        <v>94013.609169284187</v>
      </c>
      <c r="CH179" s="58">
        <f t="array" ref="CH179">SUM(IF(CE179:CF179&gt;=CE179, 1))</f>
        <v>2</v>
      </c>
      <c r="CI179" s="58">
        <f t="array" ref="CI179">SUM(IF(CE179:CF179&gt;=CF179, 1))</f>
        <v>1</v>
      </c>
      <c r="CK179" s="109">
        <f t="shared" si="102"/>
        <v>46527.90291528112</v>
      </c>
      <c r="CL179" s="109">
        <f t="shared" si="103"/>
        <v>47470.369836321195</v>
      </c>
      <c r="CN179" s="58">
        <f t="array" ref="CN179">SUM(IF(CK179:CL179&gt;=CK179, 1))</f>
        <v>2</v>
      </c>
      <c r="CO179" s="58">
        <f t="array" ref="CO179">SUM(IF(CK179:CL179&gt;=CL179, 1))</f>
        <v>1</v>
      </c>
      <c r="CQ179" s="109" cm="1">
        <f t="array" ref="CQ179">AF179*WTP-AC179</f>
        <v>42066.474567329096</v>
      </c>
      <c r="CR179" s="109">
        <f t="shared" si="104"/>
        <v>43853.35920730621</v>
      </c>
      <c r="CT179" s="58">
        <f t="array" ref="CT179">SUM(IF(CQ179:CR179&gt;=CQ179, 1))</f>
        <v>2</v>
      </c>
      <c r="CU179" s="58">
        <f t="array" ref="CU179">SUM(IF(CQ179:CR179&gt;=CR179, 1))</f>
        <v>1</v>
      </c>
      <c r="CW179" s="109">
        <f t="shared" si="105"/>
        <v>-33496505.73316535</v>
      </c>
      <c r="CX179" s="109">
        <f t="shared" si="106"/>
        <v>0</v>
      </c>
      <c r="CZ179" s="58">
        <f t="array" ref="CZ179">SUM(IF(CW179:CX179&gt;=CW179, 1))</f>
        <v>2</v>
      </c>
      <c r="DA179" s="58">
        <f t="array" ref="DA179">SUM(IF(CW179:CX179&gt;=CX179, 1))</f>
        <v>1</v>
      </c>
      <c r="DC179" s="109">
        <f t="shared" si="107"/>
        <v>-1864441.3830155679</v>
      </c>
      <c r="DD179" s="109">
        <f t="shared" si="108"/>
        <v>0</v>
      </c>
      <c r="DF179" s="58">
        <f t="array" ref="DF179">SUM(IF(DC179:DD179&gt;=DC179, 1))</f>
        <v>2</v>
      </c>
      <c r="DG179" s="58">
        <f t="array" ref="DG179">SUM(IF(DC179:DD179&gt;=DD179, 1))</f>
        <v>1</v>
      </c>
      <c r="DI179" s="109">
        <f t="shared" si="109"/>
        <v>-54565804.421605021</v>
      </c>
      <c r="DJ179" s="109">
        <f t="shared" si="110"/>
        <v>0</v>
      </c>
      <c r="DL179" s="58">
        <f t="array" ref="DL179">SUM(IF(DI179:DJ179&gt;=DI179, 1))</f>
        <v>2</v>
      </c>
      <c r="DM179" s="58">
        <f t="array" ref="DM179">SUM(IF(DI179:DJ179&gt;=DJ179, 1))</f>
        <v>1</v>
      </c>
      <c r="DO179" s="109">
        <f t="shared" si="111"/>
        <v>-8501968.7956206258</v>
      </c>
      <c r="DP179" s="109">
        <f t="shared" si="112"/>
        <v>0</v>
      </c>
      <c r="DR179" s="58">
        <f t="array" ref="DR179">SUM(IF(DO179:DP179&gt;=DO179, 1))</f>
        <v>2</v>
      </c>
      <c r="DS179" s="58">
        <f t="array" ref="DS179">SUM(IF(DO179:DP179&gt;=DP179, 1))</f>
        <v>1</v>
      </c>
      <c r="DU179" s="109">
        <f t="shared" si="113"/>
        <v>-27663115.93800668</v>
      </c>
      <c r="DV179" s="109">
        <f t="shared" si="114"/>
        <v>0</v>
      </c>
      <c r="DX179" s="58">
        <f t="array" ref="DX179">SUM(IF(DU179:DV179&gt;=DU179, 1))</f>
        <v>2</v>
      </c>
      <c r="DY179" s="58">
        <f t="array" ref="DY179">SUM(IF(DU179:DV179&gt;=DV179, 1))</f>
        <v>1</v>
      </c>
      <c r="EA179" s="109">
        <f t="shared" si="115"/>
        <v>-126091836.27141325</v>
      </c>
      <c r="EB179" s="109">
        <f t="shared" si="116"/>
        <v>0</v>
      </c>
      <c r="ED179" s="58">
        <f t="array" ref="ED179">SUM(IF(EA179:EB179&gt;=EA179, 1))</f>
        <v>2</v>
      </c>
      <c r="EE179" s="58">
        <f t="array" ref="EE179">SUM(IF(EA179:EB179&gt;=EB179, 1))</f>
        <v>1</v>
      </c>
    </row>
    <row r="180" spans="4:135" ht="12" customHeight="1" x14ac:dyDescent="0.25">
      <c r="D180" s="11">
        <v>164</v>
      </c>
      <c r="E180" s="72">
        <v>245.06384510464466</v>
      </c>
      <c r="F180" s="72">
        <v>226.73662710852503</v>
      </c>
      <c r="G180" s="73"/>
      <c r="H180" s="74">
        <v>5.8180925000292332</v>
      </c>
      <c r="I180" s="74">
        <v>5.8335432564525265</v>
      </c>
      <c r="J180" s="73"/>
      <c r="K180" s="72">
        <v>263.29403564733383</v>
      </c>
      <c r="L180" s="72">
        <v>244.54116548032678</v>
      </c>
      <c r="M180" s="73"/>
      <c r="N180" s="74">
        <v>6.734332849241806</v>
      </c>
      <c r="O180" s="74">
        <v>6.7480724511284169</v>
      </c>
      <c r="P180" s="73"/>
      <c r="Q180" s="72">
        <v>2579.3183658738531</v>
      </c>
      <c r="R180" s="72">
        <v>1716.8761779016338</v>
      </c>
      <c r="S180" s="73"/>
      <c r="T180" s="74">
        <v>4.9448449715261482</v>
      </c>
      <c r="U180" s="74">
        <v>5.001521269754825</v>
      </c>
      <c r="V180" s="73"/>
      <c r="W180" s="72">
        <v>14004.768447069575</v>
      </c>
      <c r="X180" s="72">
        <v>14026.907382205802</v>
      </c>
      <c r="Y180" s="73"/>
      <c r="Z180" s="74">
        <v>3.0800504379583651</v>
      </c>
      <c r="AA180" s="74">
        <v>3.1307844299032448</v>
      </c>
      <c r="AB180" s="73"/>
      <c r="AC180" s="72">
        <v>51209.199700967569</v>
      </c>
      <c r="AD180" s="72">
        <v>50884.66763914343</v>
      </c>
      <c r="AE180" s="73"/>
      <c r="AF180" s="74">
        <v>4.0899553695381865</v>
      </c>
      <c r="AG180" s="74">
        <v>4.1714309521827806</v>
      </c>
      <c r="AH180" s="73"/>
      <c r="AI180" s="72">
        <v>1991427.7675990977</v>
      </c>
      <c r="AJ180" s="72">
        <v>0</v>
      </c>
      <c r="AK180" s="73"/>
      <c r="AL180" s="74">
        <v>-1678.8726678686883</v>
      </c>
      <c r="AM180" s="74">
        <v>0</v>
      </c>
      <c r="AN180" s="73"/>
      <c r="AO180" s="72">
        <v>127861.0868026324</v>
      </c>
      <c r="AP180" s="72">
        <v>0</v>
      </c>
      <c r="AQ180" s="73"/>
      <c r="AR180" s="74">
        <v>-93.679549520282961</v>
      </c>
      <c r="AS180" s="74">
        <v>0</v>
      </c>
      <c r="AT180" s="73"/>
      <c r="AU180" s="72">
        <v>19692404.400511969</v>
      </c>
      <c r="AV180" s="72">
        <v>0</v>
      </c>
      <c r="AW180" s="73"/>
      <c r="AX180" s="74">
        <v>-1294.1071299715632</v>
      </c>
      <c r="AY180" s="74">
        <v>0</v>
      </c>
      <c r="AZ180" s="73"/>
      <c r="BA180" s="72">
        <v>-188369.53808766502</v>
      </c>
      <c r="BB180" s="72">
        <v>0</v>
      </c>
      <c r="BC180" s="73"/>
      <c r="BD180" s="74">
        <v>-431.67110654578181</v>
      </c>
      <c r="BE180" s="74">
        <v>0</v>
      </c>
      <c r="BF180" s="73"/>
      <c r="BG180" s="72">
        <v>5011716.2148095174</v>
      </c>
      <c r="BH180" s="72">
        <v>0</v>
      </c>
      <c r="BI180" s="73"/>
      <c r="BJ180" s="74">
        <v>-1258.2192845779207</v>
      </c>
      <c r="BK180" s="74">
        <v>0</v>
      </c>
      <c r="BL180" s="73"/>
      <c r="BM180" s="72">
        <v>26635039.931635551</v>
      </c>
      <c r="BN180" s="72">
        <v>0</v>
      </c>
      <c r="BO180" s="73"/>
      <c r="BP180" s="74">
        <v>-4756.5497384842365</v>
      </c>
      <c r="BQ180" s="74">
        <v>0</v>
      </c>
      <c r="BS180" s="109">
        <f t="shared" si="96"/>
        <v>116116.78615548002</v>
      </c>
      <c r="BT180" s="109">
        <f t="shared" si="97"/>
        <v>116444.128501942</v>
      </c>
      <c r="BV180" s="58">
        <f t="array" ref="BV180">SUM(IF(BS180:BT180&gt;=BS180, 1))</f>
        <v>2</v>
      </c>
      <c r="BW180" s="58">
        <f t="array" ref="BW180">SUM(IF(BS180:BT180&gt;=BT180, 1))</f>
        <v>1</v>
      </c>
      <c r="BY180" s="109">
        <f t="shared" si="98"/>
        <v>134423.3629491888</v>
      </c>
      <c r="BZ180" s="109">
        <f t="shared" si="99"/>
        <v>134716.90785708799</v>
      </c>
      <c r="CB180" s="58">
        <f t="array" ref="CB180">SUM(IF(BY180:BZ180&gt;=BY180, 1))</f>
        <v>2</v>
      </c>
      <c r="CC180" s="58">
        <f t="array" ref="CC180">SUM(IF(BY180:BZ180&gt;=BZ180, 1))</f>
        <v>1</v>
      </c>
      <c r="CE180" s="109">
        <f t="shared" si="100"/>
        <v>96317.581064649101</v>
      </c>
      <c r="CF180" s="109">
        <f t="shared" si="101"/>
        <v>98313.549217194872</v>
      </c>
      <c r="CH180" s="58">
        <f t="array" ref="CH180">SUM(IF(CE180:CF180&gt;=CE180, 1))</f>
        <v>2</v>
      </c>
      <c r="CI180" s="58">
        <f t="array" ref="CI180">SUM(IF(CE180:CF180&gt;=CF180, 1))</f>
        <v>1</v>
      </c>
      <c r="CK180" s="109">
        <f t="shared" si="102"/>
        <v>47596.240312097725</v>
      </c>
      <c r="CL180" s="109">
        <f t="shared" si="103"/>
        <v>48588.781215859097</v>
      </c>
      <c r="CN180" s="58">
        <f t="array" ref="CN180">SUM(IF(CK180:CL180&gt;=CK180, 1))</f>
        <v>2</v>
      </c>
      <c r="CO180" s="58">
        <f t="array" ref="CO180">SUM(IF(CK180:CL180&gt;=CL180, 1))</f>
        <v>1</v>
      </c>
      <c r="CQ180" s="109" cm="1">
        <f t="array" ref="CQ180">AF180*WTP-AC180</f>
        <v>30589.907689796164</v>
      </c>
      <c r="CR180" s="109">
        <f t="shared" si="104"/>
        <v>32543.951404512176</v>
      </c>
      <c r="CT180" s="58">
        <f t="array" ref="CT180">SUM(IF(CQ180:CR180&gt;=CQ180, 1))</f>
        <v>2</v>
      </c>
      <c r="CU180" s="58">
        <f t="array" ref="CU180">SUM(IF(CQ180:CR180&gt;=CR180, 1))</f>
        <v>1</v>
      </c>
      <c r="CW180" s="109">
        <f t="shared" si="105"/>
        <v>-35568881.124972865</v>
      </c>
      <c r="CX180" s="109">
        <f t="shared" si="106"/>
        <v>0</v>
      </c>
      <c r="CZ180" s="58">
        <f t="array" ref="CZ180">SUM(IF(CW180:CX180&gt;=CW180, 1))</f>
        <v>2</v>
      </c>
      <c r="DA180" s="58">
        <f t="array" ref="DA180">SUM(IF(CW180:CX180&gt;=CX180, 1))</f>
        <v>1</v>
      </c>
      <c r="DC180" s="109">
        <f t="shared" si="107"/>
        <v>-2001452.0772082915</v>
      </c>
      <c r="DD180" s="109">
        <f t="shared" si="108"/>
        <v>0</v>
      </c>
      <c r="DF180" s="58">
        <f t="array" ref="DF180">SUM(IF(DC180:DD180&gt;=DC180, 1))</f>
        <v>2</v>
      </c>
      <c r="DG180" s="58">
        <f t="array" ref="DG180">SUM(IF(DC180:DD180&gt;=DD180, 1))</f>
        <v>1</v>
      </c>
      <c r="DI180" s="109">
        <f t="shared" si="109"/>
        <v>-45574546.999943227</v>
      </c>
      <c r="DJ180" s="109">
        <f t="shared" si="110"/>
        <v>0</v>
      </c>
      <c r="DL180" s="58">
        <f t="array" ref="DL180">SUM(IF(DI180:DJ180&gt;=DI180, 1))</f>
        <v>2</v>
      </c>
      <c r="DM180" s="58">
        <f t="array" ref="DM180">SUM(IF(DI180:DJ180&gt;=DJ180, 1))</f>
        <v>1</v>
      </c>
      <c r="DO180" s="109">
        <f t="shared" si="111"/>
        <v>-8445052.592827972</v>
      </c>
      <c r="DP180" s="109">
        <f t="shared" si="112"/>
        <v>0</v>
      </c>
      <c r="DR180" s="58">
        <f t="array" ref="DR180">SUM(IF(DO180:DP180&gt;=DO180, 1))</f>
        <v>2</v>
      </c>
      <c r="DS180" s="58">
        <f t="array" ref="DS180">SUM(IF(DO180:DP180&gt;=DP180, 1))</f>
        <v>1</v>
      </c>
      <c r="DU180" s="109">
        <f t="shared" si="113"/>
        <v>-30176101.906367932</v>
      </c>
      <c r="DV180" s="109">
        <f t="shared" si="114"/>
        <v>0</v>
      </c>
      <c r="DX180" s="58">
        <f t="array" ref="DX180">SUM(IF(DU180:DV180&gt;=DU180, 1))</f>
        <v>2</v>
      </c>
      <c r="DY180" s="58">
        <f t="array" ref="DY180">SUM(IF(DU180:DV180&gt;=DV180, 1))</f>
        <v>1</v>
      </c>
      <c r="EA180" s="109">
        <f t="shared" si="115"/>
        <v>-121766034.70132029</v>
      </c>
      <c r="EB180" s="109">
        <f t="shared" si="116"/>
        <v>0</v>
      </c>
      <c r="ED180" s="58">
        <f t="array" ref="ED180">SUM(IF(EA180:EB180&gt;=EA180, 1))</f>
        <v>2</v>
      </c>
      <c r="EE180" s="58">
        <f t="array" ref="EE180">SUM(IF(EA180:EB180&gt;=EB180, 1))</f>
        <v>1</v>
      </c>
    </row>
    <row r="181" spans="4:135" ht="12" customHeight="1" x14ac:dyDescent="0.25">
      <c r="D181" s="11">
        <v>165</v>
      </c>
      <c r="E181" s="72">
        <v>325.93995777460196</v>
      </c>
      <c r="F181" s="72">
        <v>314.82500790865424</v>
      </c>
      <c r="G181" s="73"/>
      <c r="H181" s="74">
        <v>5.7718698878882275</v>
      </c>
      <c r="I181" s="74">
        <v>5.7812916456690919</v>
      </c>
      <c r="J181" s="73"/>
      <c r="K181" s="72">
        <v>350.8100262835049</v>
      </c>
      <c r="L181" s="72">
        <v>339.39275080772643</v>
      </c>
      <c r="M181" s="73"/>
      <c r="N181" s="74">
        <v>6.6725258853409102</v>
      </c>
      <c r="O181" s="74">
        <v>6.6803096967828397</v>
      </c>
      <c r="P181" s="73"/>
      <c r="Q181" s="72">
        <v>2355.0917818783314</v>
      </c>
      <c r="R181" s="72">
        <v>1679.0424802308119</v>
      </c>
      <c r="S181" s="73"/>
      <c r="T181" s="74">
        <v>4.8562373054608381</v>
      </c>
      <c r="U181" s="74">
        <v>4.8957313644671787</v>
      </c>
      <c r="V181" s="73"/>
      <c r="W181" s="72">
        <v>14831.453599292843</v>
      </c>
      <c r="X181" s="72">
        <v>14760.125069141255</v>
      </c>
      <c r="Y181" s="73"/>
      <c r="Z181" s="74">
        <v>3.2063409467030972</v>
      </c>
      <c r="AA181" s="74">
        <v>3.2564197997986399</v>
      </c>
      <c r="AB181" s="73"/>
      <c r="AC181" s="72">
        <v>49745.172895067386</v>
      </c>
      <c r="AD181" s="72">
        <v>49705.830745850224</v>
      </c>
      <c r="AE181" s="73"/>
      <c r="AF181" s="74">
        <v>4.8809248329962074</v>
      </c>
      <c r="AG181" s="74">
        <v>4.9779125496862413</v>
      </c>
      <c r="AH181" s="73"/>
      <c r="AI181" s="72">
        <v>1191244.0989929978</v>
      </c>
      <c r="AJ181" s="72">
        <v>0</v>
      </c>
      <c r="AK181" s="73"/>
      <c r="AL181" s="74">
        <v>-1009.7763367319602</v>
      </c>
      <c r="AM181" s="74">
        <v>0</v>
      </c>
      <c r="AN181" s="73"/>
      <c r="AO181" s="72">
        <v>78765.747127136987</v>
      </c>
      <c r="AP181" s="72">
        <v>0</v>
      </c>
      <c r="AQ181" s="73"/>
      <c r="AR181" s="74">
        <v>-53.699126820668511</v>
      </c>
      <c r="AS181" s="74">
        <v>0</v>
      </c>
      <c r="AT181" s="73"/>
      <c r="AU181" s="72">
        <v>15794604.338741058</v>
      </c>
      <c r="AV181" s="72">
        <v>0</v>
      </c>
      <c r="AW181" s="73"/>
      <c r="AX181" s="74">
        <v>-922.70346883854609</v>
      </c>
      <c r="AY181" s="74">
        <v>0</v>
      </c>
      <c r="AZ181" s="73"/>
      <c r="BA181" s="72">
        <v>651308.20492810511</v>
      </c>
      <c r="BB181" s="72">
        <v>0</v>
      </c>
      <c r="BC181" s="73"/>
      <c r="BD181" s="74">
        <v>-457.27520033286515</v>
      </c>
      <c r="BE181" s="74">
        <v>0</v>
      </c>
      <c r="BF181" s="73"/>
      <c r="BG181" s="72">
        <v>612650.82297965349</v>
      </c>
      <c r="BH181" s="72">
        <v>0</v>
      </c>
      <c r="BI181" s="73"/>
      <c r="BJ181" s="74">
        <v>-1510.3293956077666</v>
      </c>
      <c r="BK181" s="74">
        <v>0</v>
      </c>
      <c r="BL181" s="73"/>
      <c r="BM181" s="72">
        <v>18328573.212768953</v>
      </c>
      <c r="BN181" s="72">
        <v>0</v>
      </c>
      <c r="BO181" s="73"/>
      <c r="BP181" s="74">
        <v>-3953.7835283318063</v>
      </c>
      <c r="BQ181" s="74">
        <v>0</v>
      </c>
      <c r="BS181" s="109">
        <f t="shared" si="96"/>
        <v>115111.45779998995</v>
      </c>
      <c r="BT181" s="109">
        <f t="shared" si="97"/>
        <v>115311.00790547318</v>
      </c>
      <c r="BV181" s="58">
        <f t="array" ref="BV181">SUM(IF(BS181:BT181&gt;=BS181, 1))</f>
        <v>2</v>
      </c>
      <c r="BW181" s="58">
        <f t="array" ref="BW181">SUM(IF(BS181:BT181&gt;=BT181, 1))</f>
        <v>1</v>
      </c>
      <c r="BY181" s="109">
        <f t="shared" si="98"/>
        <v>133099.70768053472</v>
      </c>
      <c r="BZ181" s="109">
        <f t="shared" si="99"/>
        <v>133266.80118484909</v>
      </c>
      <c r="CB181" s="58">
        <f t="array" ref="CB181">SUM(IF(BY181:BZ181&gt;=BY181, 1))</f>
        <v>2</v>
      </c>
      <c r="CC181" s="58">
        <f t="array" ref="CC181">SUM(IF(BY181:BZ181&gt;=BZ181, 1))</f>
        <v>1</v>
      </c>
      <c r="CE181" s="109">
        <f t="shared" si="100"/>
        <v>94769.65432733843</v>
      </c>
      <c r="CF181" s="109">
        <f t="shared" si="101"/>
        <v>96235.584809112755</v>
      </c>
      <c r="CH181" s="58">
        <f t="array" ref="CH181">SUM(IF(CE181:CF181&gt;=CE181, 1))</f>
        <v>2</v>
      </c>
      <c r="CI181" s="58">
        <f t="array" ref="CI181">SUM(IF(CE181:CF181&gt;=CF181, 1))</f>
        <v>1</v>
      </c>
      <c r="CK181" s="109">
        <f t="shared" si="102"/>
        <v>49295.3653347691</v>
      </c>
      <c r="CL181" s="109">
        <f t="shared" si="103"/>
        <v>50368.270926831545</v>
      </c>
      <c r="CN181" s="58">
        <f t="array" ref="CN181">SUM(IF(CK181:CL181&gt;=CK181, 1))</f>
        <v>2</v>
      </c>
      <c r="CO181" s="58">
        <f t="array" ref="CO181">SUM(IF(CK181:CL181&gt;=CL181, 1))</f>
        <v>1</v>
      </c>
      <c r="CQ181" s="109" cm="1">
        <f t="array" ref="CQ181">AF181*WTP-AC181</f>
        <v>47873.323764856759</v>
      </c>
      <c r="CR181" s="109">
        <f t="shared" si="104"/>
        <v>49852.420247874601</v>
      </c>
      <c r="CT181" s="58">
        <f t="array" ref="CT181">SUM(IF(CQ181:CR181&gt;=CQ181, 1))</f>
        <v>2</v>
      </c>
      <c r="CU181" s="58">
        <f t="array" ref="CU181">SUM(IF(CQ181:CR181&gt;=CR181, 1))</f>
        <v>1</v>
      </c>
      <c r="CW181" s="109">
        <f t="shared" si="105"/>
        <v>-21386770.833632201</v>
      </c>
      <c r="CX181" s="109">
        <f t="shared" si="106"/>
        <v>0</v>
      </c>
      <c r="CZ181" s="58">
        <f t="array" ref="CZ181">SUM(IF(CW181:CX181&gt;=CW181, 1))</f>
        <v>2</v>
      </c>
      <c r="DA181" s="58">
        <f t="array" ref="DA181">SUM(IF(CW181:CX181&gt;=CX181, 1))</f>
        <v>1</v>
      </c>
      <c r="DC181" s="109">
        <f t="shared" si="107"/>
        <v>-1152748.2835405071</v>
      </c>
      <c r="DD181" s="109">
        <f t="shared" si="108"/>
        <v>0</v>
      </c>
      <c r="DF181" s="58">
        <f t="array" ref="DF181">SUM(IF(DC181:DD181&gt;=DC181, 1))</f>
        <v>2</v>
      </c>
      <c r="DG181" s="58">
        <f t="array" ref="DG181">SUM(IF(DC181:DD181&gt;=DD181, 1))</f>
        <v>1</v>
      </c>
      <c r="DI181" s="109">
        <f t="shared" si="109"/>
        <v>-34248673.715511978</v>
      </c>
      <c r="DJ181" s="109">
        <f t="shared" si="110"/>
        <v>0</v>
      </c>
      <c r="DL181" s="58">
        <f t="array" ref="DL181">SUM(IF(DI181:DJ181&gt;=DI181, 1))</f>
        <v>2</v>
      </c>
      <c r="DM181" s="58">
        <f t="array" ref="DM181">SUM(IF(DI181:DJ181&gt;=DJ181, 1))</f>
        <v>1</v>
      </c>
      <c r="DO181" s="109">
        <f t="shared" si="111"/>
        <v>-9796812.2115854081</v>
      </c>
      <c r="DP181" s="109">
        <f t="shared" si="112"/>
        <v>0</v>
      </c>
      <c r="DR181" s="58">
        <f t="array" ref="DR181">SUM(IF(DO181:DP181&gt;=DO181, 1))</f>
        <v>2</v>
      </c>
      <c r="DS181" s="58">
        <f t="array" ref="DS181">SUM(IF(DO181:DP181&gt;=DP181, 1))</f>
        <v>1</v>
      </c>
      <c r="DU181" s="109">
        <f t="shared" si="113"/>
        <v>-30819238.735134989</v>
      </c>
      <c r="DV181" s="109">
        <f t="shared" si="114"/>
        <v>0</v>
      </c>
      <c r="DX181" s="58">
        <f t="array" ref="DX181">SUM(IF(DU181:DV181&gt;=DU181, 1))</f>
        <v>2</v>
      </c>
      <c r="DY181" s="58">
        <f t="array" ref="DY181">SUM(IF(DU181:DV181&gt;=DV181, 1))</f>
        <v>1</v>
      </c>
      <c r="EA181" s="109">
        <f t="shared" si="115"/>
        <v>-97404243.779405087</v>
      </c>
      <c r="EB181" s="109">
        <f t="shared" si="116"/>
        <v>0</v>
      </c>
      <c r="ED181" s="58">
        <f t="array" ref="ED181">SUM(IF(EA181:EB181&gt;=EA181, 1))</f>
        <v>2</v>
      </c>
      <c r="EE181" s="58">
        <f t="array" ref="EE181">SUM(IF(EA181:EB181&gt;=EB181, 1))</f>
        <v>1</v>
      </c>
    </row>
    <row r="182" spans="4:135" ht="12" customHeight="1" x14ac:dyDescent="0.25">
      <c r="D182" s="11">
        <v>166</v>
      </c>
      <c r="E182" s="72">
        <v>264.3079708103196</v>
      </c>
      <c r="F182" s="72">
        <v>242.6252758610996</v>
      </c>
      <c r="G182" s="73"/>
      <c r="H182" s="74">
        <v>5.8121310168102127</v>
      </c>
      <c r="I182" s="74">
        <v>5.8293337996654024</v>
      </c>
      <c r="J182" s="73"/>
      <c r="K182" s="72">
        <v>283.81854936716439</v>
      </c>
      <c r="L182" s="72">
        <v>261.56906994555175</v>
      </c>
      <c r="M182" s="73"/>
      <c r="N182" s="74">
        <v>6.7076491742449171</v>
      </c>
      <c r="O182" s="74">
        <v>6.7222444279241209</v>
      </c>
      <c r="P182" s="73"/>
      <c r="Q182" s="72">
        <v>2901.0008524919594</v>
      </c>
      <c r="R182" s="72">
        <v>1439.2618089998</v>
      </c>
      <c r="S182" s="73"/>
      <c r="T182" s="74">
        <v>4.6619644638069557</v>
      </c>
      <c r="U182" s="74">
        <v>4.778567171554168</v>
      </c>
      <c r="V182" s="73"/>
      <c r="W182" s="72">
        <v>12219.070228361661</v>
      </c>
      <c r="X182" s="72">
        <v>12147.280747989043</v>
      </c>
      <c r="Y182" s="73"/>
      <c r="Z182" s="74">
        <v>2.9519441314346135</v>
      </c>
      <c r="AA182" s="74">
        <v>2.9963017481612546</v>
      </c>
      <c r="AB182" s="73"/>
      <c r="AC182" s="72">
        <v>50835.435867701875</v>
      </c>
      <c r="AD182" s="72">
        <v>50492.993499863645</v>
      </c>
      <c r="AE182" s="73"/>
      <c r="AF182" s="74">
        <v>4.0045869113573351</v>
      </c>
      <c r="AG182" s="74">
        <v>4.0859042568552102</v>
      </c>
      <c r="AH182" s="73"/>
      <c r="AI182" s="72">
        <v>2331891.6257064654</v>
      </c>
      <c r="AJ182" s="72">
        <v>0</v>
      </c>
      <c r="AK182" s="73"/>
      <c r="AL182" s="74">
        <v>-1850.0940668496901</v>
      </c>
      <c r="AM182" s="74">
        <v>0</v>
      </c>
      <c r="AN182" s="73"/>
      <c r="AO182" s="72">
        <v>149245.60160183161</v>
      </c>
      <c r="AP182" s="72">
        <v>0</v>
      </c>
      <c r="AQ182" s="73"/>
      <c r="AR182" s="74">
        <v>-97.902399180098755</v>
      </c>
      <c r="AS182" s="74">
        <v>0</v>
      </c>
      <c r="AT182" s="73"/>
      <c r="AU182" s="72">
        <v>33659085.181467712</v>
      </c>
      <c r="AV182" s="72">
        <v>0</v>
      </c>
      <c r="AW182" s="73"/>
      <c r="AX182" s="74">
        <v>-2684.9802568568075</v>
      </c>
      <c r="AY182" s="74">
        <v>0</v>
      </c>
      <c r="AZ182" s="73"/>
      <c r="BA182" s="72">
        <v>631281.07513637876</v>
      </c>
      <c r="BB182" s="72">
        <v>0</v>
      </c>
      <c r="BC182" s="73"/>
      <c r="BD182" s="74">
        <v>-390.05887537197066</v>
      </c>
      <c r="BE182" s="74">
        <v>0</v>
      </c>
      <c r="BF182" s="73"/>
      <c r="BG182" s="72">
        <v>5422425.6066579884</v>
      </c>
      <c r="BH182" s="72">
        <v>0</v>
      </c>
      <c r="BI182" s="73"/>
      <c r="BJ182" s="74">
        <v>-1287.6247155884387</v>
      </c>
      <c r="BK182" s="74">
        <v>0</v>
      </c>
      <c r="BL182" s="73"/>
      <c r="BM182" s="72">
        <v>42193929.090570375</v>
      </c>
      <c r="BN182" s="72">
        <v>0</v>
      </c>
      <c r="BO182" s="73"/>
      <c r="BP182" s="74">
        <v>-6310.6603138470055</v>
      </c>
      <c r="BQ182" s="74">
        <v>0</v>
      </c>
      <c r="BS182" s="109">
        <f t="shared" si="96"/>
        <v>115978.31236539394</v>
      </c>
      <c r="BT182" s="109">
        <f t="shared" si="97"/>
        <v>116344.05071744695</v>
      </c>
      <c r="BV182" s="58">
        <f t="array" ref="BV182">SUM(IF(BS182:BT182&gt;=BS182, 1))</f>
        <v>2</v>
      </c>
      <c r="BW182" s="58">
        <f t="array" ref="BW182">SUM(IF(BS182:BT182&gt;=BT182, 1))</f>
        <v>1</v>
      </c>
      <c r="BY182" s="109">
        <f t="shared" si="98"/>
        <v>133869.16493553118</v>
      </c>
      <c r="BZ182" s="109">
        <f t="shared" si="99"/>
        <v>134183.31948853689</v>
      </c>
      <c r="CB182" s="58">
        <f t="array" ref="CB182">SUM(IF(BY182:BZ182&gt;=BY182, 1))</f>
        <v>2</v>
      </c>
      <c r="CC182" s="58">
        <f t="array" ref="CC182">SUM(IF(BY182:BZ182&gt;=BZ182, 1))</f>
        <v>1</v>
      </c>
      <c r="CE182" s="109">
        <f t="shared" si="100"/>
        <v>90338.288423647158</v>
      </c>
      <c r="CF182" s="109">
        <f t="shared" si="101"/>
        <v>94132.081622083555</v>
      </c>
      <c r="CH182" s="58">
        <f t="array" ref="CH182">SUM(IF(CE182:CF182&gt;=CE182, 1))</f>
        <v>2</v>
      </c>
      <c r="CI182" s="58">
        <f t="array" ref="CI182">SUM(IF(CE182:CF182&gt;=CF182, 1))</f>
        <v>1</v>
      </c>
      <c r="CK182" s="109">
        <f t="shared" si="102"/>
        <v>46819.812400330607</v>
      </c>
      <c r="CL182" s="109">
        <f t="shared" si="103"/>
        <v>47778.754215236055</v>
      </c>
      <c r="CN182" s="58">
        <f t="array" ref="CN182">SUM(IF(CK182:CL182&gt;=CK182, 1))</f>
        <v>2</v>
      </c>
      <c r="CO182" s="58">
        <f t="array" ref="CO182">SUM(IF(CK182:CL182&gt;=CL182, 1))</f>
        <v>1</v>
      </c>
      <c r="CQ182" s="109" cm="1">
        <f t="array" ref="CQ182">AF182*WTP-AC182</f>
        <v>29256.302359444831</v>
      </c>
      <c r="CR182" s="109">
        <f t="shared" si="104"/>
        <v>31225.091637240563</v>
      </c>
      <c r="CT182" s="58">
        <f t="array" ref="CT182">SUM(IF(CQ182:CR182&gt;=CQ182, 1))</f>
        <v>2</v>
      </c>
      <c r="CU182" s="58">
        <f t="array" ref="CU182">SUM(IF(CQ182:CR182&gt;=CR182, 1))</f>
        <v>1</v>
      </c>
      <c r="CW182" s="109">
        <f t="shared" si="105"/>
        <v>-39333772.962700263</v>
      </c>
      <c r="CX182" s="109">
        <f t="shared" si="106"/>
        <v>0</v>
      </c>
      <c r="CZ182" s="58">
        <f t="array" ref="CZ182">SUM(IF(CW182:CX182&gt;=CW182, 1))</f>
        <v>2</v>
      </c>
      <c r="DA182" s="58">
        <f t="array" ref="DA182">SUM(IF(CW182:CX182&gt;=CX182, 1))</f>
        <v>1</v>
      </c>
      <c r="DC182" s="109">
        <f t="shared" si="107"/>
        <v>-2107293.5852038069</v>
      </c>
      <c r="DD182" s="109">
        <f t="shared" si="108"/>
        <v>0</v>
      </c>
      <c r="DF182" s="58">
        <f t="array" ref="DF182">SUM(IF(DC182:DD182&gt;=DC182, 1))</f>
        <v>2</v>
      </c>
      <c r="DG182" s="58">
        <f t="array" ref="DG182">SUM(IF(DC182:DD182&gt;=DD182, 1))</f>
        <v>1</v>
      </c>
      <c r="DI182" s="109">
        <f t="shared" si="109"/>
        <v>-87358690.318603858</v>
      </c>
      <c r="DJ182" s="109">
        <f t="shared" si="110"/>
        <v>0</v>
      </c>
      <c r="DL182" s="58">
        <f t="array" ref="DL182">SUM(IF(DI182:DJ182&gt;=DI182, 1))</f>
        <v>2</v>
      </c>
      <c r="DM182" s="58">
        <f t="array" ref="DM182">SUM(IF(DI182:DJ182&gt;=DJ182, 1))</f>
        <v>1</v>
      </c>
      <c r="DO182" s="109">
        <f t="shared" si="111"/>
        <v>-8432458.5825757924</v>
      </c>
      <c r="DP182" s="109">
        <f t="shared" si="112"/>
        <v>0</v>
      </c>
      <c r="DR182" s="58">
        <f t="array" ref="DR182">SUM(IF(DO182:DP182&gt;=DO182, 1))</f>
        <v>2</v>
      </c>
      <c r="DS182" s="58">
        <f t="array" ref="DS182">SUM(IF(DO182:DP182&gt;=DP182, 1))</f>
        <v>1</v>
      </c>
      <c r="DU182" s="109">
        <f t="shared" si="113"/>
        <v>-31174919.918426763</v>
      </c>
      <c r="DV182" s="109">
        <f t="shared" si="114"/>
        <v>0</v>
      </c>
      <c r="DX182" s="58">
        <f t="array" ref="DX182">SUM(IF(DU182:DV182&gt;=DU182, 1))</f>
        <v>2</v>
      </c>
      <c r="DY182" s="58">
        <f t="array" ref="DY182">SUM(IF(DU182:DV182&gt;=DV182, 1))</f>
        <v>1</v>
      </c>
      <c r="EA182" s="109">
        <f t="shared" si="115"/>
        <v>-168407135.3675105</v>
      </c>
      <c r="EB182" s="109">
        <f t="shared" si="116"/>
        <v>0</v>
      </c>
      <c r="ED182" s="58">
        <f t="array" ref="ED182">SUM(IF(EA182:EB182&gt;=EA182, 1))</f>
        <v>2</v>
      </c>
      <c r="EE182" s="58">
        <f t="array" ref="EE182">SUM(IF(EA182:EB182&gt;=EB182, 1))</f>
        <v>1</v>
      </c>
    </row>
    <row r="183" spans="4:135" ht="12" customHeight="1" x14ac:dyDescent="0.25">
      <c r="D183" s="11">
        <v>167</v>
      </c>
      <c r="E183" s="72">
        <v>251.07865447641831</v>
      </c>
      <c r="F183" s="72">
        <v>229.37300197960633</v>
      </c>
      <c r="G183" s="73"/>
      <c r="H183" s="74">
        <v>5.8100449714293196</v>
      </c>
      <c r="I183" s="74">
        <v>5.8240563593079191</v>
      </c>
      <c r="J183" s="73"/>
      <c r="K183" s="72">
        <v>269.53403093312909</v>
      </c>
      <c r="L183" s="72">
        <v>247.3322055749928</v>
      </c>
      <c r="M183" s="73"/>
      <c r="N183" s="74">
        <v>6.6810182663170714</v>
      </c>
      <c r="O183" s="74">
        <v>6.6932500328541238</v>
      </c>
      <c r="P183" s="73"/>
      <c r="Q183" s="72">
        <v>1907.986934894642</v>
      </c>
      <c r="R183" s="72">
        <v>1364.0008868170598</v>
      </c>
      <c r="S183" s="73"/>
      <c r="T183" s="74">
        <v>4.9575770619961457</v>
      </c>
      <c r="U183" s="74">
        <v>5.0078789347261807</v>
      </c>
      <c r="V183" s="73"/>
      <c r="W183" s="72">
        <v>11155.336307640468</v>
      </c>
      <c r="X183" s="72">
        <v>11098.074798842017</v>
      </c>
      <c r="Y183" s="73"/>
      <c r="Z183" s="74">
        <v>3.1821749980347986</v>
      </c>
      <c r="AA183" s="74">
        <v>3.2156846020456644</v>
      </c>
      <c r="AB183" s="73"/>
      <c r="AC183" s="72">
        <v>50342.036279815147</v>
      </c>
      <c r="AD183" s="72">
        <v>50026.28075652603</v>
      </c>
      <c r="AE183" s="73"/>
      <c r="AF183" s="74">
        <v>4.6597608473638576</v>
      </c>
      <c r="AG183" s="74">
        <v>4.8142813766033115</v>
      </c>
      <c r="AH183" s="73"/>
      <c r="AI183" s="72">
        <v>2327065.0127201648</v>
      </c>
      <c r="AJ183" s="72">
        <v>0</v>
      </c>
      <c r="AK183" s="73"/>
      <c r="AL183" s="74">
        <v>-1502.1621910112647</v>
      </c>
      <c r="AM183" s="74">
        <v>0</v>
      </c>
      <c r="AN183" s="73"/>
      <c r="AO183" s="72">
        <v>149643.19120540036</v>
      </c>
      <c r="AP183" s="72">
        <v>0</v>
      </c>
      <c r="AQ183" s="73"/>
      <c r="AR183" s="74">
        <v>-82.443697721149832</v>
      </c>
      <c r="AS183" s="74">
        <v>0</v>
      </c>
      <c r="AT183" s="73"/>
      <c r="AU183" s="72">
        <v>12265993.375202131</v>
      </c>
      <c r="AV183" s="72">
        <v>0</v>
      </c>
      <c r="AW183" s="73"/>
      <c r="AX183" s="74">
        <v>-1134.22474684291</v>
      </c>
      <c r="AY183" s="74">
        <v>0</v>
      </c>
      <c r="AZ183" s="73"/>
      <c r="BA183" s="72">
        <v>503390.7888454796</v>
      </c>
      <c r="BB183" s="72">
        <v>0</v>
      </c>
      <c r="BC183" s="73"/>
      <c r="BD183" s="74">
        <v>-294.58577587089093</v>
      </c>
      <c r="BE183" s="74">
        <v>0</v>
      </c>
      <c r="BF183" s="73"/>
      <c r="BG183" s="72">
        <v>4843877.2372109545</v>
      </c>
      <c r="BH183" s="72">
        <v>0</v>
      </c>
      <c r="BI183" s="73"/>
      <c r="BJ183" s="74">
        <v>-2370.4366798342462</v>
      </c>
      <c r="BK183" s="74">
        <v>0</v>
      </c>
      <c r="BL183" s="73"/>
      <c r="BM183" s="72">
        <v>20089969.60518413</v>
      </c>
      <c r="BN183" s="72">
        <v>0</v>
      </c>
      <c r="BO183" s="73"/>
      <c r="BP183" s="74">
        <v>-5383.8530912804617</v>
      </c>
      <c r="BQ183" s="74">
        <v>0</v>
      </c>
      <c r="BS183" s="109">
        <f t="shared" si="96"/>
        <v>115949.82077410998</v>
      </c>
      <c r="BT183" s="109">
        <f t="shared" si="97"/>
        <v>116251.75418417878</v>
      </c>
      <c r="BV183" s="58">
        <f t="array" ref="BV183">SUM(IF(BS183:BT183&gt;=BS183, 1))</f>
        <v>2</v>
      </c>
      <c r="BW183" s="58">
        <f t="array" ref="BW183">SUM(IF(BS183:BT183&gt;=BT183, 1))</f>
        <v>1</v>
      </c>
      <c r="BY183" s="109">
        <f t="shared" si="98"/>
        <v>133350.83129540828</v>
      </c>
      <c r="BZ183" s="109">
        <f t="shared" si="99"/>
        <v>133617.66845150749</v>
      </c>
      <c r="CB183" s="58">
        <f t="array" ref="CB183">SUM(IF(BY183:BZ183&gt;=BY183, 1))</f>
        <v>2</v>
      </c>
      <c r="CC183" s="58">
        <f t="array" ref="CC183">SUM(IF(BY183:BZ183&gt;=BZ183, 1))</f>
        <v>1</v>
      </c>
      <c r="CE183" s="109">
        <f t="shared" si="100"/>
        <v>97243.554305028272</v>
      </c>
      <c r="CF183" s="109">
        <f t="shared" si="101"/>
        <v>98793.577807706562</v>
      </c>
      <c r="CH183" s="58">
        <f t="array" ref="CH183">SUM(IF(CE183:CF183&gt;=CE183, 1))</f>
        <v>2</v>
      </c>
      <c r="CI183" s="58">
        <f t="array" ref="CI183">SUM(IF(CE183:CF183&gt;=CF183, 1))</f>
        <v>1</v>
      </c>
      <c r="CK183" s="109">
        <f t="shared" si="102"/>
        <v>52488.163653055512</v>
      </c>
      <c r="CL183" s="109">
        <f t="shared" si="103"/>
        <v>53215.617242071268</v>
      </c>
      <c r="CN183" s="58">
        <f t="array" ref="CN183">SUM(IF(CK183:CL183&gt;=CK183, 1))</f>
        <v>2</v>
      </c>
      <c r="CO183" s="58">
        <f t="array" ref="CO183">SUM(IF(CK183:CL183&gt;=CL183, 1))</f>
        <v>1</v>
      </c>
      <c r="CQ183" s="109" cm="1">
        <f t="array" ref="CQ183">AF183*WTP-AC183</f>
        <v>42853.180667462002</v>
      </c>
      <c r="CR183" s="109">
        <f t="shared" si="104"/>
        <v>46259.346775540194</v>
      </c>
      <c r="CT183" s="58">
        <f t="array" ref="CT183">SUM(IF(CQ183:CR183&gt;=CQ183, 1))</f>
        <v>2</v>
      </c>
      <c r="CU183" s="58">
        <f t="array" ref="CU183">SUM(IF(CQ183:CR183&gt;=CR183, 1))</f>
        <v>1</v>
      </c>
      <c r="CW183" s="109">
        <f t="shared" si="105"/>
        <v>-32370308.832945459</v>
      </c>
      <c r="CX183" s="109">
        <f t="shared" si="106"/>
        <v>0</v>
      </c>
      <c r="CZ183" s="58">
        <f t="array" ref="CZ183">SUM(IF(CW183:CX183&gt;=CW183, 1))</f>
        <v>2</v>
      </c>
      <c r="DA183" s="58">
        <f t="array" ref="DA183">SUM(IF(CW183:CX183&gt;=CX183, 1))</f>
        <v>1</v>
      </c>
      <c r="DC183" s="109">
        <f t="shared" si="107"/>
        <v>-1798517.1456283969</v>
      </c>
      <c r="DD183" s="109">
        <f t="shared" si="108"/>
        <v>0</v>
      </c>
      <c r="DF183" s="58">
        <f t="array" ref="DF183">SUM(IF(DC183:DD183&gt;=DC183, 1))</f>
        <v>2</v>
      </c>
      <c r="DG183" s="58">
        <f t="array" ref="DG183">SUM(IF(DC183:DD183&gt;=DD183, 1))</f>
        <v>1</v>
      </c>
      <c r="DI183" s="109">
        <f t="shared" si="109"/>
        <v>-34950488.312060326</v>
      </c>
      <c r="DJ183" s="109">
        <f t="shared" si="110"/>
        <v>0</v>
      </c>
      <c r="DL183" s="58">
        <f t="array" ref="DL183">SUM(IF(DI183:DJ183&gt;=DI183, 1))</f>
        <v>2</v>
      </c>
      <c r="DM183" s="58">
        <f t="array" ref="DM183">SUM(IF(DI183:DJ183&gt;=DJ183, 1))</f>
        <v>1</v>
      </c>
      <c r="DO183" s="109">
        <f t="shared" si="111"/>
        <v>-6395106.3062632978</v>
      </c>
      <c r="DP183" s="109">
        <f t="shared" si="112"/>
        <v>0</v>
      </c>
      <c r="DR183" s="58">
        <f t="array" ref="DR183">SUM(IF(DO183:DP183&gt;=DO183, 1))</f>
        <v>2</v>
      </c>
      <c r="DS183" s="58">
        <f t="array" ref="DS183">SUM(IF(DO183:DP183&gt;=DP183, 1))</f>
        <v>1</v>
      </c>
      <c r="DU183" s="109">
        <f t="shared" si="113"/>
        <v>-52252610.833895877</v>
      </c>
      <c r="DV183" s="109">
        <f t="shared" si="114"/>
        <v>0</v>
      </c>
      <c r="DX183" s="58">
        <f t="array" ref="DX183">SUM(IF(DU183:DV183&gt;=DU183, 1))</f>
        <v>2</v>
      </c>
      <c r="DY183" s="58">
        <f t="array" ref="DY183">SUM(IF(DU183:DV183&gt;=DV183, 1))</f>
        <v>1</v>
      </c>
      <c r="EA183" s="109">
        <f t="shared" si="115"/>
        <v>-127767031.43079337</v>
      </c>
      <c r="EB183" s="109">
        <f t="shared" si="116"/>
        <v>0</v>
      </c>
      <c r="ED183" s="58">
        <f t="array" ref="ED183">SUM(IF(EA183:EB183&gt;=EA183, 1))</f>
        <v>2</v>
      </c>
      <c r="EE183" s="58">
        <f t="array" ref="EE183">SUM(IF(EA183:EB183&gt;=EB183, 1))</f>
        <v>1</v>
      </c>
    </row>
    <row r="184" spans="4:135" ht="12" customHeight="1" x14ac:dyDescent="0.25">
      <c r="D184" s="11">
        <v>168</v>
      </c>
      <c r="E184" s="72">
        <v>202.32141659686522</v>
      </c>
      <c r="F184" s="72">
        <v>182.84082259651169</v>
      </c>
      <c r="G184" s="73"/>
      <c r="H184" s="74">
        <v>5.8245653927590846</v>
      </c>
      <c r="I184" s="74">
        <v>5.8438852211377457</v>
      </c>
      <c r="J184" s="73"/>
      <c r="K184" s="72">
        <v>217.12864834301382</v>
      </c>
      <c r="L184" s="72">
        <v>197.16205725216855</v>
      </c>
      <c r="M184" s="73"/>
      <c r="N184" s="74">
        <v>6.734846763602671</v>
      </c>
      <c r="O184" s="74">
        <v>6.7516519834161652</v>
      </c>
      <c r="P184" s="73"/>
      <c r="Q184" s="72">
        <v>3740.5352036885502</v>
      </c>
      <c r="R184" s="72">
        <v>1994.0936815110483</v>
      </c>
      <c r="S184" s="73"/>
      <c r="T184" s="74">
        <v>4.5668941942943215</v>
      </c>
      <c r="U184" s="74">
        <v>4.6503346591987871</v>
      </c>
      <c r="V184" s="73"/>
      <c r="W184" s="72">
        <v>14775.861327887207</v>
      </c>
      <c r="X184" s="72">
        <v>14778.772149464598</v>
      </c>
      <c r="Y184" s="73"/>
      <c r="Z184" s="74">
        <v>2.9297154918041666</v>
      </c>
      <c r="AA184" s="74">
        <v>2.9700333238809038</v>
      </c>
      <c r="AB184" s="73"/>
      <c r="AC184" s="72">
        <v>50650.983855357525</v>
      </c>
      <c r="AD184" s="72">
        <v>50701.729151324398</v>
      </c>
      <c r="AE184" s="73"/>
      <c r="AF184" s="74">
        <v>4.7329832239668255</v>
      </c>
      <c r="AG184" s="74">
        <v>4.8536289119423541</v>
      </c>
      <c r="AH184" s="73"/>
      <c r="AI184" s="72">
        <v>2086162.7332387099</v>
      </c>
      <c r="AJ184" s="72">
        <v>0</v>
      </c>
      <c r="AK184" s="73"/>
      <c r="AL184" s="74">
        <v>-2068.9464589939589</v>
      </c>
      <c r="AM184" s="74">
        <v>0</v>
      </c>
      <c r="AN184" s="73"/>
      <c r="AO184" s="72">
        <v>134647.16546157241</v>
      </c>
      <c r="AP184" s="72">
        <v>0</v>
      </c>
      <c r="AQ184" s="73"/>
      <c r="AR184" s="74">
        <v>-113.32806900037853</v>
      </c>
      <c r="AS184" s="74">
        <v>0</v>
      </c>
      <c r="AT184" s="73"/>
      <c r="AU184" s="72">
        <v>39711852.494768165</v>
      </c>
      <c r="AV184" s="72">
        <v>0</v>
      </c>
      <c r="AW184" s="73"/>
      <c r="AX184" s="74">
        <v>-1897.3297372416896</v>
      </c>
      <c r="AY184" s="74">
        <v>0</v>
      </c>
      <c r="AZ184" s="73"/>
      <c r="BA184" s="72">
        <v>-26182.376219271464</v>
      </c>
      <c r="BB184" s="72">
        <v>0</v>
      </c>
      <c r="BC184" s="73"/>
      <c r="BD184" s="74">
        <v>-362.65247446905704</v>
      </c>
      <c r="BE184" s="74">
        <v>0</v>
      </c>
      <c r="BF184" s="73"/>
      <c r="BG184" s="72">
        <v>-802826.32904942718</v>
      </c>
      <c r="BH184" s="72">
        <v>0</v>
      </c>
      <c r="BI184" s="73"/>
      <c r="BJ184" s="74">
        <v>-1908.6997710342412</v>
      </c>
      <c r="BK184" s="74">
        <v>0</v>
      </c>
      <c r="BL184" s="73"/>
      <c r="BM184" s="72">
        <v>41103653.688199744</v>
      </c>
      <c r="BN184" s="72">
        <v>0</v>
      </c>
      <c r="BO184" s="73"/>
      <c r="BP184" s="74">
        <v>-6350.9565107393255</v>
      </c>
      <c r="BQ184" s="74">
        <v>0</v>
      </c>
      <c r="BS184" s="109">
        <f t="shared" si="96"/>
        <v>116288.98643858482</v>
      </c>
      <c r="BT184" s="109">
        <f t="shared" si="97"/>
        <v>116694.86360015841</v>
      </c>
      <c r="BV184" s="58">
        <f t="array" ref="BV184">SUM(IF(BS184:BT184&gt;=BS184, 1))</f>
        <v>2</v>
      </c>
      <c r="BW184" s="58">
        <f t="array" ref="BW184">SUM(IF(BS184:BT184&gt;=BT184, 1))</f>
        <v>1</v>
      </c>
      <c r="BY184" s="109">
        <f t="shared" si="98"/>
        <v>134479.80662371041</v>
      </c>
      <c r="BZ184" s="109">
        <f t="shared" si="99"/>
        <v>134835.87761107113</v>
      </c>
      <c r="CB184" s="58">
        <f t="array" ref="CB184">SUM(IF(BY184:BZ184&gt;=BY184, 1))</f>
        <v>2</v>
      </c>
      <c r="CC184" s="58">
        <f t="array" ref="CC184">SUM(IF(BY184:BZ184&gt;=BZ184, 1))</f>
        <v>1</v>
      </c>
      <c r="CE184" s="109">
        <f t="shared" si="100"/>
        <v>87597.348682197888</v>
      </c>
      <c r="CF184" s="109">
        <f t="shared" si="101"/>
        <v>91012.599502464698</v>
      </c>
      <c r="CH184" s="58">
        <f t="array" ref="CH184">SUM(IF(CE184:CF184&gt;=CE184, 1))</f>
        <v>2</v>
      </c>
      <c r="CI184" s="58">
        <f t="array" ref="CI184">SUM(IF(CE184:CF184&gt;=CF184, 1))</f>
        <v>1</v>
      </c>
      <c r="CK184" s="109">
        <f t="shared" si="102"/>
        <v>43818.448508196125</v>
      </c>
      <c r="CL184" s="109">
        <f t="shared" si="103"/>
        <v>44621.894328153481</v>
      </c>
      <c r="CN184" s="58">
        <f t="array" ref="CN184">SUM(IF(CK184:CL184&gt;=CK184, 1))</f>
        <v>2</v>
      </c>
      <c r="CO184" s="58">
        <f t="array" ref="CO184">SUM(IF(CK184:CL184&gt;=CL184, 1))</f>
        <v>1</v>
      </c>
      <c r="CQ184" s="109" cm="1">
        <f t="array" ref="CQ184">AF184*WTP-AC184</f>
        <v>44008.680623978988</v>
      </c>
      <c r="CR184" s="109">
        <f t="shared" si="104"/>
        <v>46370.849087522685</v>
      </c>
      <c r="CT184" s="58">
        <f t="array" ref="CT184">SUM(IF(CQ184:CR184&gt;=CQ184, 1))</f>
        <v>2</v>
      </c>
      <c r="CU184" s="58">
        <f t="array" ref="CU184">SUM(IF(CQ184:CR184&gt;=CR184, 1))</f>
        <v>1</v>
      </c>
      <c r="CW184" s="109">
        <f t="shared" si="105"/>
        <v>-43465091.913117893</v>
      </c>
      <c r="CX184" s="109">
        <f t="shared" si="106"/>
        <v>0</v>
      </c>
      <c r="CZ184" s="58">
        <f t="array" ref="CZ184">SUM(IF(CW184:CX184&gt;=CW184, 1))</f>
        <v>2</v>
      </c>
      <c r="DA184" s="58">
        <f t="array" ref="DA184">SUM(IF(CW184:CX184&gt;=CX184, 1))</f>
        <v>1</v>
      </c>
      <c r="DC184" s="109">
        <f t="shared" si="107"/>
        <v>-2401208.545469143</v>
      </c>
      <c r="DD184" s="109">
        <f t="shared" si="108"/>
        <v>0</v>
      </c>
      <c r="DF184" s="58">
        <f t="array" ref="DF184">SUM(IF(DC184:DD184&gt;=DC184, 1))</f>
        <v>2</v>
      </c>
      <c r="DG184" s="58">
        <f t="array" ref="DG184">SUM(IF(DC184:DD184&gt;=DD184, 1))</f>
        <v>1</v>
      </c>
      <c r="DI184" s="109">
        <f t="shared" si="109"/>
        <v>-77658447.239601955</v>
      </c>
      <c r="DJ184" s="109">
        <f t="shared" si="110"/>
        <v>0</v>
      </c>
      <c r="DL184" s="58">
        <f t="array" ref="DL184">SUM(IF(DI184:DJ184&gt;=DI184, 1))</f>
        <v>2</v>
      </c>
      <c r="DM184" s="58">
        <f t="array" ref="DM184">SUM(IF(DI184:DJ184&gt;=DJ184, 1))</f>
        <v>1</v>
      </c>
      <c r="DO184" s="109">
        <f t="shared" si="111"/>
        <v>-7226867.1131618693</v>
      </c>
      <c r="DP184" s="109">
        <f t="shared" si="112"/>
        <v>0</v>
      </c>
      <c r="DR184" s="58">
        <f t="array" ref="DR184">SUM(IF(DO184:DP184&gt;=DO184, 1))</f>
        <v>2</v>
      </c>
      <c r="DS184" s="58">
        <f t="array" ref="DS184">SUM(IF(DO184:DP184&gt;=DP184, 1))</f>
        <v>1</v>
      </c>
      <c r="DU184" s="109">
        <f t="shared" si="113"/>
        <v>-37371169.091635391</v>
      </c>
      <c r="DV184" s="109">
        <f t="shared" si="114"/>
        <v>0</v>
      </c>
      <c r="DX184" s="58">
        <f t="array" ref="DX184">SUM(IF(DU184:DV184&gt;=DU184, 1))</f>
        <v>2</v>
      </c>
      <c r="DY184" s="58">
        <f t="array" ref="DY184">SUM(IF(DU184:DV184&gt;=DV184, 1))</f>
        <v>1</v>
      </c>
      <c r="EA184" s="109">
        <f t="shared" si="115"/>
        <v>-168122783.90298626</v>
      </c>
      <c r="EB184" s="109">
        <f t="shared" si="116"/>
        <v>0</v>
      </c>
      <c r="ED184" s="58">
        <f t="array" ref="ED184">SUM(IF(EA184:EB184&gt;=EA184, 1))</f>
        <v>2</v>
      </c>
      <c r="EE184" s="58">
        <f t="array" ref="EE184">SUM(IF(EA184:EB184&gt;=EB184, 1))</f>
        <v>1</v>
      </c>
    </row>
    <row r="185" spans="4:135" ht="12" customHeight="1" x14ac:dyDescent="0.25">
      <c r="D185" s="11">
        <v>169</v>
      </c>
      <c r="E185" s="72">
        <v>228.20550307768241</v>
      </c>
      <c r="F185" s="72">
        <v>204.32740920459759</v>
      </c>
      <c r="G185" s="73"/>
      <c r="H185" s="74">
        <v>5.8536728569364653</v>
      </c>
      <c r="I185" s="74">
        <v>5.8683724049830772</v>
      </c>
      <c r="J185" s="73"/>
      <c r="K185" s="72">
        <v>244.77149859255843</v>
      </c>
      <c r="L185" s="72">
        <v>220.34069976721995</v>
      </c>
      <c r="M185" s="73"/>
      <c r="N185" s="74">
        <v>6.671167096863412</v>
      </c>
      <c r="O185" s="74">
        <v>6.6836846824355831</v>
      </c>
      <c r="P185" s="73"/>
      <c r="Q185" s="72">
        <v>2131.5886741536528</v>
      </c>
      <c r="R185" s="72">
        <v>1421.5570452850584</v>
      </c>
      <c r="S185" s="73"/>
      <c r="T185" s="74">
        <v>4.7700167909965687</v>
      </c>
      <c r="U185" s="74">
        <v>4.833508321257443</v>
      </c>
      <c r="V185" s="73"/>
      <c r="W185" s="72">
        <v>13171.163161888941</v>
      </c>
      <c r="X185" s="72">
        <v>13138.592255984515</v>
      </c>
      <c r="Y185" s="73"/>
      <c r="Z185" s="74">
        <v>3.0068585617868786</v>
      </c>
      <c r="AA185" s="74">
        <v>3.0556227317293443</v>
      </c>
      <c r="AB185" s="73"/>
      <c r="AC185" s="72">
        <v>49683.724134488526</v>
      </c>
      <c r="AD185" s="72">
        <v>49488.124830940222</v>
      </c>
      <c r="AE185" s="73"/>
      <c r="AF185" s="74">
        <v>4.6055762868637711</v>
      </c>
      <c r="AG185" s="74">
        <v>4.6804237616589672</v>
      </c>
      <c r="AH185" s="73"/>
      <c r="AI185" s="72">
        <v>2560556.3590479004</v>
      </c>
      <c r="AJ185" s="72">
        <v>0</v>
      </c>
      <c r="AK185" s="73"/>
      <c r="AL185" s="74">
        <v>-1576.2992400456467</v>
      </c>
      <c r="AM185" s="74">
        <v>0</v>
      </c>
      <c r="AN185" s="73"/>
      <c r="AO185" s="72">
        <v>167013.1982075726</v>
      </c>
      <c r="AP185" s="72">
        <v>0</v>
      </c>
      <c r="AQ185" s="73"/>
      <c r="AR185" s="74">
        <v>-85.572396350666438</v>
      </c>
      <c r="AS185" s="74">
        <v>0</v>
      </c>
      <c r="AT185" s="73"/>
      <c r="AU185" s="72">
        <v>16869720.082058426</v>
      </c>
      <c r="AV185" s="72">
        <v>0</v>
      </c>
      <c r="AW185" s="73"/>
      <c r="AX185" s="74">
        <v>-1508.5022969881202</v>
      </c>
      <c r="AY185" s="74">
        <v>0</v>
      </c>
      <c r="AZ185" s="73"/>
      <c r="BA185" s="72">
        <v>287946.50747170631</v>
      </c>
      <c r="BB185" s="72">
        <v>0</v>
      </c>
      <c r="BC185" s="73"/>
      <c r="BD185" s="74">
        <v>-431.10475544930489</v>
      </c>
      <c r="BE185" s="74">
        <v>0</v>
      </c>
      <c r="BF185" s="73"/>
      <c r="BG185" s="72">
        <v>3069298.7643354246</v>
      </c>
      <c r="BH185" s="72">
        <v>0</v>
      </c>
      <c r="BI185" s="73"/>
      <c r="BJ185" s="74">
        <v>-1174.4891609278636</v>
      </c>
      <c r="BK185" s="74">
        <v>0</v>
      </c>
      <c r="BL185" s="73"/>
      <c r="BM185" s="72">
        <v>22954534.911121029</v>
      </c>
      <c r="BN185" s="72">
        <v>0</v>
      </c>
      <c r="BO185" s="73"/>
      <c r="BP185" s="74">
        <v>-4775.9678497616014</v>
      </c>
      <c r="BQ185" s="74">
        <v>0</v>
      </c>
      <c r="BS185" s="109">
        <f t="shared" si="96"/>
        <v>116845.25163565163</v>
      </c>
      <c r="BT185" s="109">
        <f t="shared" si="97"/>
        <v>117163.12069045696</v>
      </c>
      <c r="BV185" s="58">
        <f t="array" ref="BV185">SUM(IF(BS185:BT185&gt;=BS185, 1))</f>
        <v>2</v>
      </c>
      <c r="BW185" s="58">
        <f t="array" ref="BW185">SUM(IF(BS185:BT185&gt;=BT185, 1))</f>
        <v>1</v>
      </c>
      <c r="BY185" s="109">
        <f t="shared" si="98"/>
        <v>133178.57043867567</v>
      </c>
      <c r="BZ185" s="109">
        <f t="shared" si="99"/>
        <v>133453.35294894443</v>
      </c>
      <c r="CB185" s="58">
        <f t="array" ref="CB185">SUM(IF(BY185:BZ185&gt;=BY185, 1))</f>
        <v>2</v>
      </c>
      <c r="CC185" s="58">
        <f t="array" ref="CC185">SUM(IF(BY185:BZ185&gt;=BZ185, 1))</f>
        <v>1</v>
      </c>
      <c r="CE185" s="109">
        <f t="shared" si="100"/>
        <v>93268.747145777728</v>
      </c>
      <c r="CF185" s="109">
        <f t="shared" si="101"/>
        <v>95248.609379863803</v>
      </c>
      <c r="CH185" s="58">
        <f t="array" ref="CH185">SUM(IF(CE185:CF185&gt;=CE185, 1))</f>
        <v>2</v>
      </c>
      <c r="CI185" s="58">
        <f t="array" ref="CI185">SUM(IF(CE185:CF185&gt;=CF185, 1))</f>
        <v>1</v>
      </c>
      <c r="CK185" s="109">
        <f t="shared" si="102"/>
        <v>46966.008073848629</v>
      </c>
      <c r="CL185" s="109">
        <f t="shared" si="103"/>
        <v>47973.862378602375</v>
      </c>
      <c r="CN185" s="58">
        <f t="array" ref="CN185">SUM(IF(CK185:CL185&gt;=CK185, 1))</f>
        <v>2</v>
      </c>
      <c r="CO185" s="58">
        <f t="array" ref="CO185">SUM(IF(CK185:CL185&gt;=CL185, 1))</f>
        <v>1</v>
      </c>
      <c r="CQ185" s="109" cm="1">
        <f t="array" ref="CQ185">AF185*WTP-AC185</f>
        <v>42427.801602786902</v>
      </c>
      <c r="CR185" s="109">
        <f t="shared" si="104"/>
        <v>44120.350402239121</v>
      </c>
      <c r="CT185" s="58">
        <f t="array" ref="CT185">SUM(IF(CQ185:CR185&gt;=CQ185, 1))</f>
        <v>2</v>
      </c>
      <c r="CU185" s="58">
        <f t="array" ref="CU185">SUM(IF(CQ185:CR185&gt;=CR185, 1))</f>
        <v>1</v>
      </c>
      <c r="CW185" s="109">
        <f t="shared" si="105"/>
        <v>-34086541.159960836</v>
      </c>
      <c r="CX185" s="109">
        <f t="shared" si="106"/>
        <v>0</v>
      </c>
      <c r="CZ185" s="58">
        <f t="array" ref="CZ185">SUM(IF(CW185:CX185&gt;=CW185, 1))</f>
        <v>2</v>
      </c>
      <c r="DA185" s="58">
        <f t="array" ref="DA185">SUM(IF(CW185:CX185&gt;=CX185, 1))</f>
        <v>1</v>
      </c>
      <c r="DC185" s="109">
        <f t="shared" si="107"/>
        <v>-1878461.1252209013</v>
      </c>
      <c r="DD185" s="109">
        <f t="shared" si="108"/>
        <v>0</v>
      </c>
      <c r="DF185" s="58">
        <f t="array" ref="DF185">SUM(IF(DC185:DD185&gt;=DC185, 1))</f>
        <v>2</v>
      </c>
      <c r="DG185" s="58">
        <f t="array" ref="DG185">SUM(IF(DC185:DD185&gt;=DD185, 1))</f>
        <v>1</v>
      </c>
      <c r="DI185" s="109">
        <f t="shared" si="109"/>
        <v>-47039766.021820828</v>
      </c>
      <c r="DJ185" s="109">
        <f t="shared" si="110"/>
        <v>0</v>
      </c>
      <c r="DL185" s="58">
        <f t="array" ref="DL185">SUM(IF(DI185:DJ185&gt;=DI185, 1))</f>
        <v>2</v>
      </c>
      <c r="DM185" s="58">
        <f t="array" ref="DM185">SUM(IF(DI185:DJ185&gt;=DJ185, 1))</f>
        <v>1</v>
      </c>
      <c r="DO185" s="109">
        <f t="shared" si="111"/>
        <v>-8910041.616457805</v>
      </c>
      <c r="DP185" s="109">
        <f t="shared" si="112"/>
        <v>0</v>
      </c>
      <c r="DR185" s="58">
        <f t="array" ref="DR185">SUM(IF(DO185:DP185&gt;=DO185, 1))</f>
        <v>2</v>
      </c>
      <c r="DS185" s="58">
        <f t="array" ref="DS185">SUM(IF(DO185:DP185&gt;=DP185, 1))</f>
        <v>1</v>
      </c>
      <c r="DU185" s="109">
        <f t="shared" si="113"/>
        <v>-26559081.982892696</v>
      </c>
      <c r="DV185" s="109">
        <f t="shared" si="114"/>
        <v>0</v>
      </c>
      <c r="DX185" s="58">
        <f t="array" ref="DX185">SUM(IF(DU185:DV185&gt;=DU185, 1))</f>
        <v>2</v>
      </c>
      <c r="DY185" s="58">
        <f t="array" ref="DY185">SUM(IF(DU185:DV185&gt;=DV185, 1))</f>
        <v>1</v>
      </c>
      <c r="EA185" s="109">
        <f t="shared" si="115"/>
        <v>-118473891.90635306</v>
      </c>
      <c r="EB185" s="109">
        <f t="shared" si="116"/>
        <v>0</v>
      </c>
      <c r="ED185" s="58">
        <f t="array" ref="ED185">SUM(IF(EA185:EB185&gt;=EA185, 1))</f>
        <v>2</v>
      </c>
      <c r="EE185" s="58">
        <f t="array" ref="EE185">SUM(IF(EA185:EB185&gt;=EB185, 1))</f>
        <v>1</v>
      </c>
    </row>
    <row r="186" spans="4:135" ht="12" customHeight="1" x14ac:dyDescent="0.25">
      <c r="D186" s="11">
        <v>170</v>
      </c>
      <c r="E186" s="72">
        <v>278.92569470035517</v>
      </c>
      <c r="F186" s="72">
        <v>244.93874735661549</v>
      </c>
      <c r="G186" s="73"/>
      <c r="H186" s="74">
        <v>5.8797454769179378</v>
      </c>
      <c r="I186" s="74">
        <v>5.8947135700509143</v>
      </c>
      <c r="J186" s="73"/>
      <c r="K186" s="72">
        <v>298.83616410098978</v>
      </c>
      <c r="L186" s="72">
        <v>264.07806302476888</v>
      </c>
      <c r="M186" s="73"/>
      <c r="N186" s="74">
        <v>6.6408832755148044</v>
      </c>
      <c r="O186" s="74">
        <v>6.6538927882796228</v>
      </c>
      <c r="P186" s="73"/>
      <c r="Q186" s="72">
        <v>1965.530876881096</v>
      </c>
      <c r="R186" s="72">
        <v>994.58263681950939</v>
      </c>
      <c r="S186" s="73"/>
      <c r="T186" s="74">
        <v>4.810667933698717</v>
      </c>
      <c r="U186" s="74">
        <v>4.9221538206399664</v>
      </c>
      <c r="V186" s="73"/>
      <c r="W186" s="72">
        <v>9862.4155285887518</v>
      </c>
      <c r="X186" s="72">
        <v>9885.5963701110122</v>
      </c>
      <c r="Y186" s="73"/>
      <c r="Z186" s="74">
        <v>2.9829995615740987</v>
      </c>
      <c r="AA186" s="74">
        <v>3.0311627309126798</v>
      </c>
      <c r="AB186" s="73"/>
      <c r="AC186" s="72">
        <v>51150.307636341691</v>
      </c>
      <c r="AD186" s="72">
        <v>51042.880152047372</v>
      </c>
      <c r="AE186" s="73"/>
      <c r="AF186" s="74">
        <v>4.4468086286560986</v>
      </c>
      <c r="AG186" s="74">
        <v>4.4986317937144671</v>
      </c>
      <c r="AH186" s="73"/>
      <c r="AI186" s="72">
        <v>3641127.3744930387</v>
      </c>
      <c r="AJ186" s="72">
        <v>0</v>
      </c>
      <c r="AK186" s="73"/>
      <c r="AL186" s="74">
        <v>-1603.5783708147903</v>
      </c>
      <c r="AM186" s="74">
        <v>0</v>
      </c>
      <c r="AN186" s="73"/>
      <c r="AO186" s="72">
        <v>234404.5773938444</v>
      </c>
      <c r="AP186" s="72">
        <v>0</v>
      </c>
      <c r="AQ186" s="73"/>
      <c r="AR186" s="74">
        <v>-87.73463587811878</v>
      </c>
      <c r="AS186" s="74">
        <v>0</v>
      </c>
      <c r="AT186" s="73"/>
      <c r="AU186" s="72">
        <v>22476856.38748033</v>
      </c>
      <c r="AV186" s="72">
        <v>0</v>
      </c>
      <c r="AW186" s="73"/>
      <c r="AX186" s="74">
        <v>-2580.8299213255559</v>
      </c>
      <c r="AY186" s="74">
        <v>0</v>
      </c>
      <c r="AZ186" s="73"/>
      <c r="BA186" s="72">
        <v>-203169.40724187664</v>
      </c>
      <c r="BB186" s="72">
        <v>0</v>
      </c>
      <c r="BC186" s="73"/>
      <c r="BD186" s="74">
        <v>-422.12801273900789</v>
      </c>
      <c r="BE186" s="74">
        <v>0</v>
      </c>
      <c r="BF186" s="73"/>
      <c r="BG186" s="72">
        <v>1739587.5952810361</v>
      </c>
      <c r="BH186" s="72">
        <v>0</v>
      </c>
      <c r="BI186" s="73"/>
      <c r="BJ186" s="74">
        <v>-839.17943044028186</v>
      </c>
      <c r="BK186" s="74">
        <v>0</v>
      </c>
      <c r="BL186" s="73"/>
      <c r="BM186" s="72">
        <v>27888806.527406368</v>
      </c>
      <c r="BN186" s="72">
        <v>0</v>
      </c>
      <c r="BO186" s="73"/>
      <c r="BP186" s="74">
        <v>-5533.450371197755</v>
      </c>
      <c r="BQ186" s="74">
        <v>0</v>
      </c>
      <c r="BS186" s="109">
        <f t="shared" si="96"/>
        <v>117315.9838436584</v>
      </c>
      <c r="BT186" s="109">
        <f t="shared" si="97"/>
        <v>117649.33265366167</v>
      </c>
      <c r="BV186" s="58">
        <f t="array" ref="BV186">SUM(IF(BS186:BT186&gt;=BS186, 1))</f>
        <v>2</v>
      </c>
      <c r="BW186" s="58">
        <f t="array" ref="BW186">SUM(IF(BS186:BT186&gt;=BT186, 1))</f>
        <v>1</v>
      </c>
      <c r="BY186" s="109">
        <f t="shared" si="98"/>
        <v>132518.8293461951</v>
      </c>
      <c r="BZ186" s="109">
        <f t="shared" si="99"/>
        <v>132813.77770256769</v>
      </c>
      <c r="CB186" s="58">
        <f t="array" ref="CB186">SUM(IF(BY186:BZ186&gt;=BY186, 1))</f>
        <v>2</v>
      </c>
      <c r="CC186" s="58">
        <f t="array" ref="CC186">SUM(IF(BY186:BZ186&gt;=BZ186, 1))</f>
        <v>1</v>
      </c>
      <c r="CE186" s="109">
        <f t="shared" si="100"/>
        <v>94247.827797093254</v>
      </c>
      <c r="CF186" s="109">
        <f t="shared" si="101"/>
        <v>97448.493775979819</v>
      </c>
      <c r="CH186" s="58">
        <f t="array" ref="CH186">SUM(IF(CE186:CF186&gt;=CE186, 1))</f>
        <v>2</v>
      </c>
      <c r="CI186" s="58">
        <f t="array" ref="CI186">SUM(IF(CE186:CF186&gt;=CF186, 1))</f>
        <v>1</v>
      </c>
      <c r="CK186" s="109">
        <f t="shared" si="102"/>
        <v>49797.57570289322</v>
      </c>
      <c r="CL186" s="109">
        <f t="shared" si="103"/>
        <v>50737.658248142587</v>
      </c>
      <c r="CN186" s="58">
        <f t="array" ref="CN186">SUM(IF(CK186:CL186&gt;=CK186, 1))</f>
        <v>2</v>
      </c>
      <c r="CO186" s="58">
        <f t="array" ref="CO186">SUM(IF(CK186:CL186&gt;=CL186, 1))</f>
        <v>1</v>
      </c>
      <c r="CQ186" s="109" cm="1">
        <f t="array" ref="CQ186">AF186*WTP-AC186</f>
        <v>37785.864936780286</v>
      </c>
      <c r="CR186" s="109">
        <f t="shared" si="104"/>
        <v>38929.755722241964</v>
      </c>
      <c r="CT186" s="58">
        <f t="array" ref="CT186">SUM(IF(CQ186:CR186&gt;=CQ186, 1))</f>
        <v>2</v>
      </c>
      <c r="CU186" s="58">
        <f t="array" ref="CU186">SUM(IF(CQ186:CR186&gt;=CR186, 1))</f>
        <v>1</v>
      </c>
      <c r="CW186" s="109">
        <f t="shared" si="105"/>
        <v>-35712694.790788844</v>
      </c>
      <c r="CX186" s="109">
        <f t="shared" si="106"/>
        <v>0</v>
      </c>
      <c r="CZ186" s="58">
        <f t="array" ref="CZ186">SUM(IF(CW186:CX186&gt;=CW186, 1))</f>
        <v>2</v>
      </c>
      <c r="DA186" s="58">
        <f t="array" ref="DA186">SUM(IF(CW186:CX186&gt;=CX186, 1))</f>
        <v>1</v>
      </c>
      <c r="DC186" s="109">
        <f t="shared" si="107"/>
        <v>-1989097.2949562201</v>
      </c>
      <c r="DD186" s="109">
        <f t="shared" si="108"/>
        <v>0</v>
      </c>
      <c r="DF186" s="58">
        <f t="array" ref="DF186">SUM(IF(DC186:DD186&gt;=DC186, 1))</f>
        <v>2</v>
      </c>
      <c r="DG186" s="58">
        <f t="array" ref="DG186">SUM(IF(DC186:DD186&gt;=DD186, 1))</f>
        <v>1</v>
      </c>
      <c r="DI186" s="109">
        <f t="shared" si="109"/>
        <v>-74093454.813991442</v>
      </c>
      <c r="DJ186" s="109">
        <f t="shared" si="110"/>
        <v>0</v>
      </c>
      <c r="DL186" s="58">
        <f t="array" ref="DL186">SUM(IF(DI186:DJ186&gt;=DI186, 1))</f>
        <v>2</v>
      </c>
      <c r="DM186" s="58">
        <f t="array" ref="DM186">SUM(IF(DI186:DJ186&gt;=DJ186, 1))</f>
        <v>1</v>
      </c>
      <c r="DO186" s="109">
        <f t="shared" si="111"/>
        <v>-8239390.8475382822</v>
      </c>
      <c r="DP186" s="109">
        <f t="shared" si="112"/>
        <v>0</v>
      </c>
      <c r="DR186" s="58">
        <f t="array" ref="DR186">SUM(IF(DO186:DP186&gt;=DO186, 1))</f>
        <v>2</v>
      </c>
      <c r="DS186" s="58">
        <f t="array" ref="DS186">SUM(IF(DO186:DP186&gt;=DP186, 1))</f>
        <v>1</v>
      </c>
      <c r="DU186" s="109">
        <f t="shared" si="113"/>
        <v>-18523176.204086673</v>
      </c>
      <c r="DV186" s="109">
        <f t="shared" si="114"/>
        <v>0</v>
      </c>
      <c r="DX186" s="58">
        <f t="array" ref="DX186">SUM(IF(DU186:DV186&gt;=DU186, 1))</f>
        <v>2</v>
      </c>
      <c r="DY186" s="58">
        <f t="array" ref="DY186">SUM(IF(DU186:DV186&gt;=DV186, 1))</f>
        <v>1</v>
      </c>
      <c r="EA186" s="109">
        <f t="shared" si="115"/>
        <v>-138557813.95136148</v>
      </c>
      <c r="EB186" s="109">
        <f t="shared" si="116"/>
        <v>0</v>
      </c>
      <c r="ED186" s="58">
        <f t="array" ref="ED186">SUM(IF(EA186:EB186&gt;=EA186, 1))</f>
        <v>2</v>
      </c>
      <c r="EE186" s="58">
        <f t="array" ref="EE186">SUM(IF(EA186:EB186&gt;=EB186, 1))</f>
        <v>1</v>
      </c>
    </row>
    <row r="187" spans="4:135" ht="12" customHeight="1" x14ac:dyDescent="0.25">
      <c r="D187" s="11">
        <v>171</v>
      </c>
      <c r="E187" s="72">
        <v>273.61480153619107</v>
      </c>
      <c r="F187" s="72">
        <v>236.80940954239367</v>
      </c>
      <c r="G187" s="73"/>
      <c r="H187" s="74">
        <v>5.8224318669243109</v>
      </c>
      <c r="I187" s="74">
        <v>5.8381423259823224</v>
      </c>
      <c r="J187" s="73"/>
      <c r="K187" s="72">
        <v>292.84828303642882</v>
      </c>
      <c r="L187" s="72">
        <v>255.18400591066748</v>
      </c>
      <c r="M187" s="73"/>
      <c r="N187" s="74">
        <v>6.7492711646444015</v>
      </c>
      <c r="O187" s="74">
        <v>6.7625577705772715</v>
      </c>
      <c r="P187" s="73"/>
      <c r="Q187" s="72">
        <v>2026.1416876207791</v>
      </c>
      <c r="R187" s="72">
        <v>1242.3554356982252</v>
      </c>
      <c r="S187" s="73"/>
      <c r="T187" s="74">
        <v>4.9583477705013861</v>
      </c>
      <c r="U187" s="74">
        <v>5.0427413896141173</v>
      </c>
      <c r="V187" s="73"/>
      <c r="W187" s="72">
        <v>12582.399136778424</v>
      </c>
      <c r="X187" s="72">
        <v>12577.002475307516</v>
      </c>
      <c r="Y187" s="73"/>
      <c r="Z187" s="74">
        <v>3.0039029291014745</v>
      </c>
      <c r="AA187" s="74">
        <v>3.0572941584246367</v>
      </c>
      <c r="AB187" s="73"/>
      <c r="AC187" s="72">
        <v>52091.758258251422</v>
      </c>
      <c r="AD187" s="72">
        <v>51845.549843738358</v>
      </c>
      <c r="AE187" s="73"/>
      <c r="AF187" s="74">
        <v>4.7293266821692752</v>
      </c>
      <c r="AG187" s="74">
        <v>4.9012505266545023</v>
      </c>
      <c r="AH187" s="73"/>
      <c r="AI187" s="72">
        <v>3952743.4488290534</v>
      </c>
      <c r="AJ187" s="72">
        <v>0</v>
      </c>
      <c r="AK187" s="73"/>
      <c r="AL187" s="74">
        <v>-1687.2368627432975</v>
      </c>
      <c r="AM187" s="74">
        <v>0</v>
      </c>
      <c r="AN187" s="73"/>
      <c r="AO187" s="72">
        <v>259890.18230161496</v>
      </c>
      <c r="AP187" s="72">
        <v>0</v>
      </c>
      <c r="AQ187" s="73"/>
      <c r="AR187" s="74">
        <v>-91.67993392076832</v>
      </c>
      <c r="AS187" s="74">
        <v>0</v>
      </c>
      <c r="AT187" s="73"/>
      <c r="AU187" s="72">
        <v>18084041.43719345</v>
      </c>
      <c r="AV187" s="72">
        <v>0</v>
      </c>
      <c r="AW187" s="73"/>
      <c r="AX187" s="74">
        <v>-1947.1861127007301</v>
      </c>
      <c r="AY187" s="74">
        <v>0</v>
      </c>
      <c r="AZ187" s="73"/>
      <c r="BA187" s="72">
        <v>47756.877349003444</v>
      </c>
      <c r="BB187" s="72">
        <v>0</v>
      </c>
      <c r="BC187" s="73"/>
      <c r="BD187" s="74">
        <v>-472.47699416465304</v>
      </c>
      <c r="BE187" s="74">
        <v>0</v>
      </c>
      <c r="BF187" s="73"/>
      <c r="BG187" s="72">
        <v>4036947.4909800198</v>
      </c>
      <c r="BH187" s="72">
        <v>0</v>
      </c>
      <c r="BI187" s="73"/>
      <c r="BJ187" s="74">
        <v>-2818.9431868399765</v>
      </c>
      <c r="BK187" s="74">
        <v>0</v>
      </c>
      <c r="BL187" s="73"/>
      <c r="BM187" s="72">
        <v>26381379.436653145</v>
      </c>
      <c r="BN187" s="72">
        <v>0</v>
      </c>
      <c r="BO187" s="73"/>
      <c r="BP187" s="74">
        <v>-7017.5230903694246</v>
      </c>
      <c r="BQ187" s="74">
        <v>0</v>
      </c>
      <c r="BS187" s="109">
        <f t="shared" si="96"/>
        <v>116175.02253695003</v>
      </c>
      <c r="BT187" s="109">
        <f t="shared" si="97"/>
        <v>116526.03711010407</v>
      </c>
      <c r="BV187" s="58">
        <f t="array" ref="BV187">SUM(IF(BS187:BT187&gt;=BS187, 1))</f>
        <v>2</v>
      </c>
      <c r="BW187" s="58">
        <f t="array" ref="BW187">SUM(IF(BS187:BT187&gt;=BT187, 1))</f>
        <v>1</v>
      </c>
      <c r="BY187" s="109">
        <f t="shared" si="98"/>
        <v>134692.5750098516</v>
      </c>
      <c r="BZ187" s="109">
        <f t="shared" si="99"/>
        <v>134995.97140563474</v>
      </c>
      <c r="CB187" s="58">
        <f t="array" ref="CB187">SUM(IF(BY187:BZ187&gt;=BY187, 1))</f>
        <v>2</v>
      </c>
      <c r="CC187" s="58">
        <f t="array" ref="CC187">SUM(IF(BY187:BZ187&gt;=BZ187, 1))</f>
        <v>1</v>
      </c>
      <c r="CE187" s="109">
        <f t="shared" si="100"/>
        <v>97140.813722406936</v>
      </c>
      <c r="CF187" s="109">
        <f t="shared" si="101"/>
        <v>99612.472356584127</v>
      </c>
      <c r="CH187" s="58">
        <f t="array" ref="CH187">SUM(IF(CE187:CF187&gt;=CE187, 1))</f>
        <v>2</v>
      </c>
      <c r="CI187" s="58">
        <f t="array" ref="CI187">SUM(IF(CE187:CF187&gt;=CF187, 1))</f>
        <v>1</v>
      </c>
      <c r="CK187" s="109">
        <f t="shared" si="102"/>
        <v>47495.659445251062</v>
      </c>
      <c r="CL187" s="109">
        <f t="shared" si="103"/>
        <v>48568.880693185216</v>
      </c>
      <c r="CN187" s="58">
        <f t="array" ref="CN187">SUM(IF(CK187:CL187&gt;=CK187, 1))</f>
        <v>2</v>
      </c>
      <c r="CO187" s="58">
        <f t="array" ref="CO187">SUM(IF(CK187:CL187&gt;=CL187, 1))</f>
        <v>1</v>
      </c>
      <c r="CQ187" s="109" cm="1">
        <f t="array" ref="CQ187">AF187*WTP-AC187</f>
        <v>42494.775385134075</v>
      </c>
      <c r="CR187" s="109">
        <f t="shared" si="104"/>
        <v>46179.460689351683</v>
      </c>
      <c r="CT187" s="58">
        <f t="array" ref="CT187">SUM(IF(CQ187:CR187&gt;=CQ187, 1))</f>
        <v>2</v>
      </c>
      <c r="CU187" s="58">
        <f t="array" ref="CU187">SUM(IF(CQ187:CR187&gt;=CR187, 1))</f>
        <v>1</v>
      </c>
      <c r="CW187" s="109">
        <f t="shared" si="105"/>
        <v>-37697480.703695007</v>
      </c>
      <c r="CX187" s="109">
        <f t="shared" si="106"/>
        <v>0</v>
      </c>
      <c r="CZ187" s="58">
        <f t="array" ref="CZ187">SUM(IF(CW187:CX187&gt;=CW187, 1))</f>
        <v>2</v>
      </c>
      <c r="DA187" s="58">
        <f t="array" ref="DA187">SUM(IF(CW187:CX187&gt;=CX187, 1))</f>
        <v>1</v>
      </c>
      <c r="DC187" s="109">
        <f t="shared" si="107"/>
        <v>-2093488.8607169813</v>
      </c>
      <c r="DD187" s="109">
        <f t="shared" si="108"/>
        <v>0</v>
      </c>
      <c r="DF187" s="58">
        <f t="array" ref="DF187">SUM(IF(DC187:DD187&gt;=DC187, 1))</f>
        <v>2</v>
      </c>
      <c r="DG187" s="58">
        <f t="array" ref="DG187">SUM(IF(DC187:DD187&gt;=DD187, 1))</f>
        <v>1</v>
      </c>
      <c r="DI187" s="109">
        <f t="shared" si="109"/>
        <v>-57027763.69120805</v>
      </c>
      <c r="DJ187" s="109">
        <f t="shared" si="110"/>
        <v>0</v>
      </c>
      <c r="DL187" s="58">
        <f t="array" ref="DL187">SUM(IF(DI187:DJ187&gt;=DI187, 1))</f>
        <v>2</v>
      </c>
      <c r="DM187" s="58">
        <f t="array" ref="DM187">SUM(IF(DI187:DJ187&gt;=DJ187, 1))</f>
        <v>1</v>
      </c>
      <c r="DO187" s="109">
        <f t="shared" si="111"/>
        <v>-9497296.7606420647</v>
      </c>
      <c r="DP187" s="109">
        <f t="shared" si="112"/>
        <v>0</v>
      </c>
      <c r="DR187" s="58">
        <f t="array" ref="DR187">SUM(IF(DO187:DP187&gt;=DO187, 1))</f>
        <v>2</v>
      </c>
      <c r="DS187" s="58">
        <f t="array" ref="DS187">SUM(IF(DO187:DP187&gt;=DP187, 1))</f>
        <v>1</v>
      </c>
      <c r="DU187" s="109">
        <f t="shared" si="113"/>
        <v>-60415811.227779552</v>
      </c>
      <c r="DV187" s="109">
        <f t="shared" si="114"/>
        <v>0</v>
      </c>
      <c r="DX187" s="58">
        <f t="array" ref="DX187">SUM(IF(DU187:DV187&gt;=DU187, 1))</f>
        <v>2</v>
      </c>
      <c r="DY187" s="58">
        <f t="array" ref="DY187">SUM(IF(DU187:DV187&gt;=DV187, 1))</f>
        <v>1</v>
      </c>
      <c r="EA187" s="109">
        <f t="shared" si="115"/>
        <v>-166731841.24404162</v>
      </c>
      <c r="EB187" s="109">
        <f t="shared" si="116"/>
        <v>0</v>
      </c>
      <c r="ED187" s="58">
        <f t="array" ref="ED187">SUM(IF(EA187:EB187&gt;=EA187, 1))</f>
        <v>2</v>
      </c>
      <c r="EE187" s="58">
        <f t="array" ref="EE187">SUM(IF(EA187:EB187&gt;=EB187, 1))</f>
        <v>1</v>
      </c>
    </row>
    <row r="188" spans="4:135" ht="12" customHeight="1" x14ac:dyDescent="0.25">
      <c r="D188" s="11">
        <v>172</v>
      </c>
      <c r="E188" s="72">
        <v>188.61543640369985</v>
      </c>
      <c r="F188" s="72">
        <v>165.48472846170759</v>
      </c>
      <c r="G188" s="73"/>
      <c r="H188" s="74">
        <v>5.8260678563433403</v>
      </c>
      <c r="I188" s="74">
        <v>5.847256741811548</v>
      </c>
      <c r="J188" s="73"/>
      <c r="K188" s="72">
        <v>202.11390078811812</v>
      </c>
      <c r="L188" s="72">
        <v>178.43845167937383</v>
      </c>
      <c r="M188" s="73"/>
      <c r="N188" s="74">
        <v>6.7032443937280961</v>
      </c>
      <c r="O188" s="74">
        <v>6.7221130525082771</v>
      </c>
      <c r="P188" s="73"/>
      <c r="Q188" s="72">
        <v>3280.1226964480325</v>
      </c>
      <c r="R188" s="72">
        <v>1526.2950679019877</v>
      </c>
      <c r="S188" s="73"/>
      <c r="T188" s="74">
        <v>4.7240051444438906</v>
      </c>
      <c r="U188" s="74">
        <v>4.8390682745042355</v>
      </c>
      <c r="V188" s="73"/>
      <c r="W188" s="72">
        <v>14641.894118496182</v>
      </c>
      <c r="X188" s="72">
        <v>14669.995180534499</v>
      </c>
      <c r="Y188" s="73"/>
      <c r="Z188" s="74">
        <v>3.0070223023252658</v>
      </c>
      <c r="AA188" s="74">
        <v>3.0682346533740028</v>
      </c>
      <c r="AB188" s="73"/>
      <c r="AC188" s="72">
        <v>49990.039362287833</v>
      </c>
      <c r="AD188" s="72">
        <v>50175.436834259446</v>
      </c>
      <c r="AE188" s="73"/>
      <c r="AF188" s="74">
        <v>4.3258888327326366</v>
      </c>
      <c r="AG188" s="74">
        <v>4.4032461206849405</v>
      </c>
      <c r="AH188" s="73"/>
      <c r="AI188" s="72">
        <v>2493206.2002749005</v>
      </c>
      <c r="AJ188" s="72">
        <v>0</v>
      </c>
      <c r="AK188" s="73"/>
      <c r="AL188" s="74">
        <v>-2283.9015891227359</v>
      </c>
      <c r="AM188" s="74">
        <v>0</v>
      </c>
      <c r="AN188" s="73"/>
      <c r="AO188" s="72">
        <v>158322.84438698788</v>
      </c>
      <c r="AP188" s="72">
        <v>0</v>
      </c>
      <c r="AQ188" s="73"/>
      <c r="AR188" s="74">
        <v>-126.17879872624754</v>
      </c>
      <c r="AS188" s="74">
        <v>0</v>
      </c>
      <c r="AT188" s="73"/>
      <c r="AU188" s="72">
        <v>40521656.525862992</v>
      </c>
      <c r="AV188" s="72">
        <v>0</v>
      </c>
      <c r="AW188" s="73"/>
      <c r="AX188" s="74">
        <v>-2658.4987938417494</v>
      </c>
      <c r="AY188" s="74">
        <v>0</v>
      </c>
      <c r="AZ188" s="73"/>
      <c r="BA188" s="72">
        <v>-249286.90001198815</v>
      </c>
      <c r="BB188" s="72">
        <v>0</v>
      </c>
      <c r="BC188" s="73"/>
      <c r="BD188" s="74">
        <v>-543.01994759409683</v>
      </c>
      <c r="BE188" s="74">
        <v>0</v>
      </c>
      <c r="BF188" s="73"/>
      <c r="BG188" s="72">
        <v>-2879529.5072753644</v>
      </c>
      <c r="BH188" s="72">
        <v>0</v>
      </c>
      <c r="BI188" s="73"/>
      <c r="BJ188" s="74">
        <v>-1201.4866809810774</v>
      </c>
      <c r="BK188" s="74">
        <v>0</v>
      </c>
      <c r="BL188" s="73"/>
      <c r="BM188" s="72">
        <v>40044369.163237527</v>
      </c>
      <c r="BN188" s="72">
        <v>0</v>
      </c>
      <c r="BO188" s="73"/>
      <c r="BP188" s="74">
        <v>-6813.0858102659076</v>
      </c>
      <c r="BQ188" s="74">
        <v>0</v>
      </c>
      <c r="BS188" s="109">
        <f t="shared" si="96"/>
        <v>116332.7416904631</v>
      </c>
      <c r="BT188" s="109">
        <f t="shared" si="97"/>
        <v>116779.65010776925</v>
      </c>
      <c r="BV188" s="58">
        <f t="array" ref="BV188">SUM(IF(BS188:BT188&gt;=BS188, 1))</f>
        <v>2</v>
      </c>
      <c r="BW188" s="58">
        <f t="array" ref="BW188">SUM(IF(BS188:BT188&gt;=BT188, 1))</f>
        <v>1</v>
      </c>
      <c r="BY188" s="109">
        <f t="shared" si="98"/>
        <v>133862.77397377379</v>
      </c>
      <c r="BZ188" s="109">
        <f t="shared" si="99"/>
        <v>134263.82259848618</v>
      </c>
      <c r="CB188" s="58">
        <f t="array" ref="CB188">SUM(IF(BY188:BZ188&gt;=BY188, 1))</f>
        <v>2</v>
      </c>
      <c r="CC188" s="58">
        <f t="array" ref="CC188">SUM(IF(BY188:BZ188&gt;=BZ188, 1))</f>
        <v>1</v>
      </c>
      <c r="CE188" s="109">
        <f t="shared" si="100"/>
        <v>91199.980192429779</v>
      </c>
      <c r="CF188" s="109">
        <f t="shared" si="101"/>
        <v>95255.070422182718</v>
      </c>
      <c r="CH188" s="58">
        <f t="array" ref="CH188">SUM(IF(CE188:CF188&gt;=CE188, 1))</f>
        <v>2</v>
      </c>
      <c r="CI188" s="58">
        <f t="array" ref="CI188">SUM(IF(CE188:CF188&gt;=CF188, 1))</f>
        <v>1</v>
      </c>
      <c r="CK188" s="109">
        <f t="shared" si="102"/>
        <v>45498.551928009132</v>
      </c>
      <c r="CL188" s="109">
        <f t="shared" si="103"/>
        <v>46694.697886945556</v>
      </c>
      <c r="CN188" s="58">
        <f t="array" ref="CN188">SUM(IF(CK188:CL188&gt;=CK188, 1))</f>
        <v>2</v>
      </c>
      <c r="CO188" s="58">
        <f t="array" ref="CO188">SUM(IF(CK188:CL188&gt;=CL188, 1))</f>
        <v>1</v>
      </c>
      <c r="CQ188" s="109" cm="1">
        <f t="array" ref="CQ188">AF188*WTP-AC188</f>
        <v>36527.737292364895</v>
      </c>
      <c r="CR188" s="109">
        <f t="shared" si="104"/>
        <v>37889.485579439359</v>
      </c>
      <c r="CT188" s="58">
        <f t="array" ref="CT188">SUM(IF(CQ188:CR188&gt;=CQ188, 1))</f>
        <v>2</v>
      </c>
      <c r="CU188" s="58">
        <f t="array" ref="CU188">SUM(IF(CQ188:CR188&gt;=CR188, 1))</f>
        <v>1</v>
      </c>
      <c r="CW188" s="109">
        <f t="shared" si="105"/>
        <v>-48171237.982729621</v>
      </c>
      <c r="CX188" s="109">
        <f t="shared" si="106"/>
        <v>0</v>
      </c>
      <c r="CZ188" s="58">
        <f t="array" ref="CZ188">SUM(IF(CW188:CX188&gt;=CW188, 1))</f>
        <v>2</v>
      </c>
      <c r="DA188" s="58">
        <f t="array" ref="DA188">SUM(IF(CW188:CX188&gt;=CX188, 1))</f>
        <v>1</v>
      </c>
      <c r="DC188" s="109">
        <f t="shared" si="107"/>
        <v>-2681898.8189119385</v>
      </c>
      <c r="DD188" s="109">
        <f t="shared" si="108"/>
        <v>0</v>
      </c>
      <c r="DF188" s="58">
        <f t="array" ref="DF188">SUM(IF(DC188:DD188&gt;=DC188, 1))</f>
        <v>2</v>
      </c>
      <c r="DG188" s="58">
        <f t="array" ref="DG188">SUM(IF(DC188:DD188&gt;=DD188, 1))</f>
        <v>1</v>
      </c>
      <c r="DI188" s="109">
        <f t="shared" si="109"/>
        <v>-93691632.40269798</v>
      </c>
      <c r="DJ188" s="109">
        <f t="shared" si="110"/>
        <v>0</v>
      </c>
      <c r="DL188" s="58">
        <f t="array" ref="DL188">SUM(IF(DI188:DJ188&gt;=DI188, 1))</f>
        <v>2</v>
      </c>
      <c r="DM188" s="58">
        <f t="array" ref="DM188">SUM(IF(DI188:DJ188&gt;=DJ188, 1))</f>
        <v>1</v>
      </c>
      <c r="DO188" s="109">
        <f t="shared" si="111"/>
        <v>-10611112.051869947</v>
      </c>
      <c r="DP188" s="109">
        <f t="shared" si="112"/>
        <v>0</v>
      </c>
      <c r="DR188" s="58">
        <f t="array" ref="DR188">SUM(IF(DO188:DP188&gt;=DO188, 1))</f>
        <v>2</v>
      </c>
      <c r="DS188" s="58">
        <f t="array" ref="DS188">SUM(IF(DO188:DP188&gt;=DP188, 1))</f>
        <v>1</v>
      </c>
      <c r="DU188" s="109">
        <f t="shared" si="113"/>
        <v>-21150204.112346184</v>
      </c>
      <c r="DV188" s="109">
        <f t="shared" si="114"/>
        <v>0</v>
      </c>
      <c r="DX188" s="58">
        <f t="array" ref="DX188">SUM(IF(DU188:DV188&gt;=DU188, 1))</f>
        <v>2</v>
      </c>
      <c r="DY188" s="58">
        <f t="array" ref="DY188">SUM(IF(DU188:DV188&gt;=DV188, 1))</f>
        <v>1</v>
      </c>
      <c r="EA188" s="109">
        <f t="shared" si="115"/>
        <v>-176306085.36855567</v>
      </c>
      <c r="EB188" s="109">
        <f t="shared" si="116"/>
        <v>0</v>
      </c>
      <c r="ED188" s="58">
        <f t="array" ref="ED188">SUM(IF(EA188:EB188&gt;=EA188, 1))</f>
        <v>2</v>
      </c>
      <c r="EE188" s="58">
        <f t="array" ref="EE188">SUM(IF(EA188:EB188&gt;=EB188, 1))</f>
        <v>1</v>
      </c>
    </row>
    <row r="189" spans="4:135" ht="12" customHeight="1" x14ac:dyDescent="0.25">
      <c r="D189" s="11">
        <v>173</v>
      </c>
      <c r="E189" s="72">
        <v>237.98965292260593</v>
      </c>
      <c r="F189" s="72">
        <v>236.34884257065426</v>
      </c>
      <c r="G189" s="73"/>
      <c r="H189" s="74">
        <v>5.8796511565120504</v>
      </c>
      <c r="I189" s="74">
        <v>5.8953748761795559</v>
      </c>
      <c r="J189" s="73"/>
      <c r="K189" s="72">
        <v>256.71236968958425</v>
      </c>
      <c r="L189" s="72">
        <v>254.96948929086261</v>
      </c>
      <c r="M189" s="73"/>
      <c r="N189" s="74">
        <v>6.6706442786213316</v>
      </c>
      <c r="O189" s="74">
        <v>6.683710943351084</v>
      </c>
      <c r="P189" s="73"/>
      <c r="Q189" s="72">
        <v>2629.8934001957305</v>
      </c>
      <c r="R189" s="72">
        <v>1464.8909916311432</v>
      </c>
      <c r="S189" s="73"/>
      <c r="T189" s="74">
        <v>4.6538732935070675</v>
      </c>
      <c r="U189" s="74">
        <v>4.7888770262553209</v>
      </c>
      <c r="V189" s="73"/>
      <c r="W189" s="72">
        <v>11489.138809551047</v>
      </c>
      <c r="X189" s="72">
        <v>11486.607676166643</v>
      </c>
      <c r="Y189" s="73"/>
      <c r="Z189" s="74">
        <v>2.9315176723979275</v>
      </c>
      <c r="AA189" s="74">
        <v>2.9845099270821351</v>
      </c>
      <c r="AB189" s="73"/>
      <c r="AC189" s="72">
        <v>49655.125963199629</v>
      </c>
      <c r="AD189" s="72">
        <v>49581.738873303504</v>
      </c>
      <c r="AE189" s="73"/>
      <c r="AF189" s="74">
        <v>4.614097736347138</v>
      </c>
      <c r="AG189" s="74">
        <v>4.6753977256044896</v>
      </c>
      <c r="AH189" s="73"/>
      <c r="AI189" s="72">
        <v>175914.25698734104</v>
      </c>
      <c r="AJ189" s="72">
        <v>0</v>
      </c>
      <c r="AK189" s="73"/>
      <c r="AL189" s="74">
        <v>-1685.768534490539</v>
      </c>
      <c r="AM189" s="74">
        <v>0</v>
      </c>
      <c r="AN189" s="73"/>
      <c r="AO189" s="72">
        <v>11877.074544346819</v>
      </c>
      <c r="AP189" s="72">
        <v>0</v>
      </c>
      <c r="AQ189" s="73"/>
      <c r="AR189" s="74">
        <v>-89.044406693131265</v>
      </c>
      <c r="AS189" s="74">
        <v>0</v>
      </c>
      <c r="AT189" s="73"/>
      <c r="AU189" s="72">
        <v>26952157.919706818</v>
      </c>
      <c r="AV189" s="72">
        <v>0</v>
      </c>
      <c r="AW189" s="73"/>
      <c r="AX189" s="74">
        <v>-3123.2913323020789</v>
      </c>
      <c r="AY189" s="74">
        <v>0</v>
      </c>
      <c r="AZ189" s="73"/>
      <c r="BA189" s="72">
        <v>22513.338839009106</v>
      </c>
      <c r="BB189" s="72">
        <v>0</v>
      </c>
      <c r="BC189" s="73"/>
      <c r="BD189" s="74">
        <v>-471.34323023029793</v>
      </c>
      <c r="BE189" s="74">
        <v>0</v>
      </c>
      <c r="BF189" s="73"/>
      <c r="BG189" s="72">
        <v>1153538.8656363373</v>
      </c>
      <c r="BH189" s="72">
        <v>0</v>
      </c>
      <c r="BI189" s="73"/>
      <c r="BJ189" s="74">
        <v>-963.54713303843369</v>
      </c>
      <c r="BK189" s="74">
        <v>0</v>
      </c>
      <c r="BL189" s="73"/>
      <c r="BM189" s="72">
        <v>28316001.455713853</v>
      </c>
      <c r="BN189" s="72">
        <v>0</v>
      </c>
      <c r="BO189" s="73"/>
      <c r="BP189" s="74">
        <v>-6332.9946367544808</v>
      </c>
      <c r="BQ189" s="74">
        <v>0</v>
      </c>
      <c r="BS189" s="109">
        <f t="shared" si="96"/>
        <v>117355.0334773184</v>
      </c>
      <c r="BT189" s="109">
        <f t="shared" si="97"/>
        <v>117671.14868102045</v>
      </c>
      <c r="BV189" s="58">
        <f t="array" ref="BV189">SUM(IF(BS189:BT189&gt;=BS189, 1))</f>
        <v>2</v>
      </c>
      <c r="BW189" s="58">
        <f t="array" ref="BW189">SUM(IF(BS189:BT189&gt;=BT189, 1))</f>
        <v>1</v>
      </c>
      <c r="BY189" s="109">
        <f t="shared" si="98"/>
        <v>133156.17320273706</v>
      </c>
      <c r="BZ189" s="109">
        <f t="shared" si="99"/>
        <v>133419.2493777308</v>
      </c>
      <c r="CB189" s="58">
        <f t="array" ref="CB189">SUM(IF(BY189:BZ189&gt;=BY189, 1))</f>
        <v>2</v>
      </c>
      <c r="CC189" s="58">
        <f t="array" ref="CC189">SUM(IF(BY189:BZ189&gt;=BZ189, 1))</f>
        <v>1</v>
      </c>
      <c r="CE189" s="109">
        <f t="shared" si="100"/>
        <v>90447.572469945619</v>
      </c>
      <c r="CF189" s="109">
        <f t="shared" si="101"/>
        <v>94312.649533475284</v>
      </c>
      <c r="CH189" s="58">
        <f t="array" ref="CH189">SUM(IF(CE189:CF189&gt;=CE189, 1))</f>
        <v>2</v>
      </c>
      <c r="CI189" s="58">
        <f t="array" ref="CI189">SUM(IF(CE189:CF189&gt;=CF189, 1))</f>
        <v>1</v>
      </c>
      <c r="CK189" s="109">
        <f t="shared" si="102"/>
        <v>47141.214638407502</v>
      </c>
      <c r="CL189" s="109">
        <f t="shared" si="103"/>
        <v>48203.590865476064</v>
      </c>
      <c r="CN189" s="58">
        <f t="array" ref="CN189">SUM(IF(CK189:CL189&gt;=CK189, 1))</f>
        <v>2</v>
      </c>
      <c r="CO189" s="58">
        <f t="array" ref="CO189">SUM(IF(CK189:CL189&gt;=CL189, 1))</f>
        <v>1</v>
      </c>
      <c r="CQ189" s="109" cm="1">
        <f t="array" ref="CQ189">AF189*WTP-AC189</f>
        <v>42626.828763743128</v>
      </c>
      <c r="CR189" s="109">
        <f t="shared" si="104"/>
        <v>43926.215638786292</v>
      </c>
      <c r="CT189" s="58">
        <f t="array" ref="CT189">SUM(IF(CQ189:CR189&gt;=CQ189, 1))</f>
        <v>2</v>
      </c>
      <c r="CU189" s="58">
        <f t="array" ref="CU189">SUM(IF(CQ189:CR189&gt;=CR189, 1))</f>
        <v>1</v>
      </c>
      <c r="CW189" s="109">
        <f t="shared" si="105"/>
        <v>-33891284.946798123</v>
      </c>
      <c r="CX189" s="109">
        <f t="shared" si="106"/>
        <v>0</v>
      </c>
      <c r="CZ189" s="58">
        <f t="array" ref="CZ189">SUM(IF(CW189:CX189&gt;=CW189, 1))</f>
        <v>2</v>
      </c>
      <c r="DA189" s="58">
        <f t="array" ref="DA189">SUM(IF(CW189:CX189&gt;=CX189, 1))</f>
        <v>1</v>
      </c>
      <c r="DC189" s="109">
        <f t="shared" si="107"/>
        <v>-1792765.2084069722</v>
      </c>
      <c r="DD189" s="109">
        <f t="shared" si="108"/>
        <v>0</v>
      </c>
      <c r="DF189" s="58">
        <f t="array" ref="DF189">SUM(IF(DC189:DD189&gt;=DC189, 1))</f>
        <v>2</v>
      </c>
      <c r="DG189" s="58">
        <f t="array" ref="DG189">SUM(IF(DC189:DD189&gt;=DD189, 1))</f>
        <v>1</v>
      </c>
      <c r="DI189" s="109">
        <f t="shared" si="109"/>
        <v>-89417984.565748394</v>
      </c>
      <c r="DJ189" s="109">
        <f t="shared" si="110"/>
        <v>0</v>
      </c>
      <c r="DL189" s="58">
        <f t="array" ref="DL189">SUM(IF(DI189:DJ189&gt;=DI189, 1))</f>
        <v>2</v>
      </c>
      <c r="DM189" s="58">
        <f t="array" ref="DM189">SUM(IF(DI189:DJ189&gt;=DJ189, 1))</f>
        <v>1</v>
      </c>
      <c r="DO189" s="109">
        <f t="shared" si="111"/>
        <v>-9449377.9434449673</v>
      </c>
      <c r="DP189" s="109">
        <f t="shared" si="112"/>
        <v>0</v>
      </c>
      <c r="DR189" s="58">
        <f t="array" ref="DR189">SUM(IF(DO189:DP189&gt;=DO189, 1))</f>
        <v>2</v>
      </c>
      <c r="DS189" s="58">
        <f t="array" ref="DS189">SUM(IF(DO189:DP189&gt;=DP189, 1))</f>
        <v>1</v>
      </c>
      <c r="DU189" s="109">
        <f t="shared" si="113"/>
        <v>-20424481.52640501</v>
      </c>
      <c r="DV189" s="109">
        <f t="shared" si="114"/>
        <v>0</v>
      </c>
      <c r="DX189" s="58">
        <f t="array" ref="DX189">SUM(IF(DU189:DV189&gt;=DU189, 1))</f>
        <v>2</v>
      </c>
      <c r="DY189" s="58">
        <f t="array" ref="DY189">SUM(IF(DU189:DV189&gt;=DV189, 1))</f>
        <v>1</v>
      </c>
      <c r="EA189" s="109">
        <f t="shared" si="115"/>
        <v>-154975894.19080347</v>
      </c>
      <c r="EB189" s="109">
        <f t="shared" si="116"/>
        <v>0</v>
      </c>
      <c r="ED189" s="58">
        <f t="array" ref="ED189">SUM(IF(EA189:EB189&gt;=EA189, 1))</f>
        <v>2</v>
      </c>
      <c r="EE189" s="58">
        <f t="array" ref="EE189">SUM(IF(EA189:EB189&gt;=EB189, 1))</f>
        <v>1</v>
      </c>
    </row>
    <row r="190" spans="4:135" ht="12" customHeight="1" x14ac:dyDescent="0.25">
      <c r="D190" s="11">
        <v>174</v>
      </c>
      <c r="E190" s="72">
        <v>267.47974886470354</v>
      </c>
      <c r="F190" s="72">
        <v>250.18090967213982</v>
      </c>
      <c r="G190" s="73"/>
      <c r="H190" s="74">
        <v>5.8635602231425814</v>
      </c>
      <c r="I190" s="74">
        <v>5.8848851384730452</v>
      </c>
      <c r="J190" s="73"/>
      <c r="K190" s="72">
        <v>287.64419912362104</v>
      </c>
      <c r="L190" s="72">
        <v>269.91262309234691</v>
      </c>
      <c r="M190" s="73"/>
      <c r="N190" s="74">
        <v>6.7107406742955131</v>
      </c>
      <c r="O190" s="74">
        <v>6.7302226310644384</v>
      </c>
      <c r="P190" s="73"/>
      <c r="Q190" s="72">
        <v>2507.5216955108708</v>
      </c>
      <c r="R190" s="72">
        <v>1426.7686771904855</v>
      </c>
      <c r="S190" s="73"/>
      <c r="T190" s="74">
        <v>5.0423299910489172</v>
      </c>
      <c r="U190" s="74">
        <v>5.1515769589949567</v>
      </c>
      <c r="V190" s="73"/>
      <c r="W190" s="72">
        <v>7359.051692060274</v>
      </c>
      <c r="X190" s="72">
        <v>7346.2840674131967</v>
      </c>
      <c r="Y190" s="73"/>
      <c r="Z190" s="74">
        <v>2.9819358230073627</v>
      </c>
      <c r="AA190" s="74">
        <v>3.0166249860197234</v>
      </c>
      <c r="AB190" s="73"/>
      <c r="AC190" s="72">
        <v>50694.20348158179</v>
      </c>
      <c r="AD190" s="72">
        <v>50207.35143155972</v>
      </c>
      <c r="AE190" s="73"/>
      <c r="AF190" s="74">
        <v>3.7771678768652874</v>
      </c>
      <c r="AG190" s="74">
        <v>3.8301333351016265</v>
      </c>
      <c r="AH190" s="73"/>
      <c r="AI190" s="72">
        <v>1854057.3961051668</v>
      </c>
      <c r="AJ190" s="72">
        <v>0</v>
      </c>
      <c r="AK190" s="73"/>
      <c r="AL190" s="74">
        <v>-2285.5647451049144</v>
      </c>
      <c r="AM190" s="74">
        <v>0</v>
      </c>
      <c r="AN190" s="73"/>
      <c r="AO190" s="72">
        <v>124838.9956447413</v>
      </c>
      <c r="AP190" s="72">
        <v>0</v>
      </c>
      <c r="AQ190" s="73"/>
      <c r="AR190" s="74">
        <v>-137.16253490029663</v>
      </c>
      <c r="AS190" s="74">
        <v>0</v>
      </c>
      <c r="AT190" s="73"/>
      <c r="AU190" s="72">
        <v>24664964.900923971</v>
      </c>
      <c r="AV190" s="72">
        <v>0</v>
      </c>
      <c r="AW190" s="73"/>
      <c r="AX190" s="74">
        <v>-2493.2362753047005</v>
      </c>
      <c r="AY190" s="74">
        <v>0</v>
      </c>
      <c r="AZ190" s="73"/>
      <c r="BA190" s="72">
        <v>118965.29643652294</v>
      </c>
      <c r="BB190" s="72">
        <v>0</v>
      </c>
      <c r="BC190" s="73"/>
      <c r="BD190" s="74">
        <v>-323.22430169851731</v>
      </c>
      <c r="BE190" s="74">
        <v>0</v>
      </c>
      <c r="BF190" s="73"/>
      <c r="BG190" s="72">
        <v>7532954.8401882891</v>
      </c>
      <c r="BH190" s="72">
        <v>0</v>
      </c>
      <c r="BI190" s="73"/>
      <c r="BJ190" s="74">
        <v>-819.52290221666817</v>
      </c>
      <c r="BK190" s="74">
        <v>0</v>
      </c>
      <c r="BL190" s="73"/>
      <c r="BM190" s="72">
        <v>34295781.429298691</v>
      </c>
      <c r="BN190" s="72">
        <v>0</v>
      </c>
      <c r="BO190" s="73"/>
      <c r="BP190" s="74">
        <v>-6058.7107592250977</v>
      </c>
      <c r="BQ190" s="74">
        <v>0</v>
      </c>
      <c r="BS190" s="109">
        <f t="shared" si="96"/>
        <v>117003.72471398693</v>
      </c>
      <c r="BT190" s="109">
        <f t="shared" si="97"/>
        <v>117447.52185978876</v>
      </c>
      <c r="BV190" s="58">
        <f t="array" ref="BV190">SUM(IF(BS190:BT190&gt;=BS190, 1))</f>
        <v>2</v>
      </c>
      <c r="BW190" s="58">
        <f t="array" ref="BW190">SUM(IF(BS190:BT190&gt;=BT190, 1))</f>
        <v>1</v>
      </c>
      <c r="BY190" s="109">
        <f t="shared" si="98"/>
        <v>133927.16928678664</v>
      </c>
      <c r="BZ190" s="109">
        <f t="shared" si="99"/>
        <v>134334.53999819641</v>
      </c>
      <c r="CB190" s="58">
        <f t="array" ref="CB190">SUM(IF(BY190:BZ190&gt;=BY190, 1))</f>
        <v>2</v>
      </c>
      <c r="CC190" s="58">
        <f t="array" ref="CC190">SUM(IF(BY190:BZ190&gt;=BZ190, 1))</f>
        <v>1</v>
      </c>
      <c r="CE190" s="109">
        <f t="shared" si="100"/>
        <v>98339.078125467466</v>
      </c>
      <c r="CF190" s="109">
        <f t="shared" si="101"/>
        <v>101604.77050270865</v>
      </c>
      <c r="CH190" s="58">
        <f t="array" ref="CH190">SUM(IF(CE190:CF190&gt;=CE190, 1))</f>
        <v>2</v>
      </c>
      <c r="CI190" s="58">
        <f t="array" ref="CI190">SUM(IF(CE190:CF190&gt;=CF190, 1))</f>
        <v>1</v>
      </c>
      <c r="CK190" s="109">
        <f t="shared" si="102"/>
        <v>52279.664768086979</v>
      </c>
      <c r="CL190" s="109">
        <f t="shared" si="103"/>
        <v>52986.215652981271</v>
      </c>
      <c r="CN190" s="58">
        <f t="array" ref="CN190">SUM(IF(CK190:CL190&gt;=CK190, 1))</f>
        <v>2</v>
      </c>
      <c r="CO190" s="58">
        <f t="array" ref="CO190">SUM(IF(CK190:CL190&gt;=CL190, 1))</f>
        <v>1</v>
      </c>
      <c r="CQ190" s="109" cm="1">
        <f t="array" ref="CQ190">AF190*WTP-AC190</f>
        <v>24849.154055723964</v>
      </c>
      <c r="CR190" s="109">
        <f t="shared" si="104"/>
        <v>26395.315270472805</v>
      </c>
      <c r="CT190" s="58">
        <f t="array" ref="CT190">SUM(IF(CQ190:CR190&gt;=CQ190, 1))</f>
        <v>2</v>
      </c>
      <c r="CU190" s="58">
        <f t="array" ref="CU190">SUM(IF(CQ190:CR190&gt;=CR190, 1))</f>
        <v>1</v>
      </c>
      <c r="CW190" s="109">
        <f t="shared" si="105"/>
        <v>-47565352.298203461</v>
      </c>
      <c r="CX190" s="109">
        <f t="shared" si="106"/>
        <v>0</v>
      </c>
      <c r="CZ190" s="58">
        <f t="array" ref="CZ190">SUM(IF(CW190:CX190&gt;=CW190, 1))</f>
        <v>2</v>
      </c>
      <c r="DA190" s="58">
        <f t="array" ref="DA190">SUM(IF(CW190:CX190&gt;=CX190, 1))</f>
        <v>1</v>
      </c>
      <c r="DC190" s="109">
        <f t="shared" si="107"/>
        <v>-2868089.6936506741</v>
      </c>
      <c r="DD190" s="109">
        <f t="shared" si="108"/>
        <v>0</v>
      </c>
      <c r="DF190" s="58">
        <f t="array" ref="DF190">SUM(IF(DC190:DD190&gt;=DC190, 1))</f>
        <v>2</v>
      </c>
      <c r="DG190" s="58">
        <f t="array" ref="DG190">SUM(IF(DC190:DD190&gt;=DD190, 1))</f>
        <v>1</v>
      </c>
      <c r="DI190" s="109">
        <f t="shared" si="109"/>
        <v>-74529690.407017976</v>
      </c>
      <c r="DJ190" s="109">
        <f t="shared" si="110"/>
        <v>0</v>
      </c>
      <c r="DL190" s="58">
        <f t="array" ref="DL190">SUM(IF(DI190:DJ190&gt;=DI190, 1))</f>
        <v>2</v>
      </c>
      <c r="DM190" s="58">
        <f t="array" ref="DM190">SUM(IF(DI190:DJ190&gt;=DJ190, 1))</f>
        <v>1</v>
      </c>
      <c r="DO190" s="109">
        <f t="shared" si="111"/>
        <v>-6583451.3304068688</v>
      </c>
      <c r="DP190" s="109">
        <f t="shared" si="112"/>
        <v>0</v>
      </c>
      <c r="DR190" s="58">
        <f t="array" ref="DR190">SUM(IF(DO190:DP190&gt;=DO190, 1))</f>
        <v>2</v>
      </c>
      <c r="DS190" s="58">
        <f t="array" ref="DS190">SUM(IF(DO190:DP190&gt;=DP190, 1))</f>
        <v>1</v>
      </c>
      <c r="DU190" s="109">
        <f t="shared" si="113"/>
        <v>-23923412.884521652</v>
      </c>
      <c r="DV190" s="109">
        <f t="shared" si="114"/>
        <v>0</v>
      </c>
      <c r="DX190" s="58">
        <f t="array" ref="DX190">SUM(IF(DU190:DV190&gt;=DU190, 1))</f>
        <v>2</v>
      </c>
      <c r="DY190" s="58">
        <f t="array" ref="DY190">SUM(IF(DU190:DV190&gt;=DV190, 1))</f>
        <v>1</v>
      </c>
      <c r="EA190" s="109">
        <f t="shared" si="115"/>
        <v>-155469996.61380064</v>
      </c>
      <c r="EB190" s="109">
        <f t="shared" si="116"/>
        <v>0</v>
      </c>
      <c r="ED190" s="58">
        <f t="array" ref="ED190">SUM(IF(EA190:EB190&gt;=EA190, 1))</f>
        <v>2</v>
      </c>
      <c r="EE190" s="58">
        <f t="array" ref="EE190">SUM(IF(EA190:EB190&gt;=EB190, 1))</f>
        <v>1</v>
      </c>
    </row>
    <row r="191" spans="4:135" ht="12" customHeight="1" x14ac:dyDescent="0.25">
      <c r="D191" s="11">
        <v>175</v>
      </c>
      <c r="E191" s="72">
        <v>241.13996912050314</v>
      </c>
      <c r="F191" s="72">
        <v>225.53854716802257</v>
      </c>
      <c r="G191" s="73"/>
      <c r="H191" s="74">
        <v>5.7891500994420557</v>
      </c>
      <c r="I191" s="74">
        <v>5.8036207357801333</v>
      </c>
      <c r="J191" s="73"/>
      <c r="K191" s="72">
        <v>259.15638014347905</v>
      </c>
      <c r="L191" s="72">
        <v>243.16811784734912</v>
      </c>
      <c r="M191" s="73"/>
      <c r="N191" s="74">
        <v>6.6955345208761514</v>
      </c>
      <c r="O191" s="74">
        <v>6.7078611177832643</v>
      </c>
      <c r="P191" s="73"/>
      <c r="Q191" s="72">
        <v>1676.580491028677</v>
      </c>
      <c r="R191" s="72">
        <v>1121.7841420157001</v>
      </c>
      <c r="S191" s="73"/>
      <c r="T191" s="74">
        <v>4.7441926223156354</v>
      </c>
      <c r="U191" s="74">
        <v>4.842028588691603</v>
      </c>
      <c r="V191" s="73"/>
      <c r="W191" s="72">
        <v>12085.003443537289</v>
      </c>
      <c r="X191" s="72">
        <v>12065.426362785198</v>
      </c>
      <c r="Y191" s="73"/>
      <c r="Z191" s="74">
        <v>2.9799696895194274</v>
      </c>
      <c r="AA191" s="74">
        <v>3.0273115906017272</v>
      </c>
      <c r="AB191" s="73"/>
      <c r="AC191" s="72">
        <v>50629.221917315183</v>
      </c>
      <c r="AD191" s="72">
        <v>50601.568800596615</v>
      </c>
      <c r="AE191" s="73"/>
      <c r="AF191" s="74">
        <v>4.263349140262088</v>
      </c>
      <c r="AG191" s="74">
        <v>4.3139487179387919</v>
      </c>
      <c r="AH191" s="73"/>
      <c r="AI191" s="72">
        <v>1683601.4890561283</v>
      </c>
      <c r="AJ191" s="72">
        <v>0</v>
      </c>
      <c r="AK191" s="73"/>
      <c r="AL191" s="74">
        <v>-1561.5746411181126</v>
      </c>
      <c r="AM191" s="74">
        <v>0</v>
      </c>
      <c r="AN191" s="73"/>
      <c r="AO191" s="72">
        <v>117251.36460986006</v>
      </c>
      <c r="AP191" s="72">
        <v>0</v>
      </c>
      <c r="AQ191" s="73"/>
      <c r="AR191" s="74">
        <v>-90.398210986600844</v>
      </c>
      <c r="AS191" s="74">
        <v>0</v>
      </c>
      <c r="AT191" s="73"/>
      <c r="AU191" s="72">
        <v>12900253.423687788</v>
      </c>
      <c r="AV191" s="72">
        <v>0</v>
      </c>
      <c r="AW191" s="73"/>
      <c r="AX191" s="74">
        <v>-2274.9045887680454</v>
      </c>
      <c r="AY191" s="74">
        <v>0</v>
      </c>
      <c r="AZ191" s="73"/>
      <c r="BA191" s="72">
        <v>172735.44090836984</v>
      </c>
      <c r="BB191" s="72">
        <v>0</v>
      </c>
      <c r="BC191" s="73"/>
      <c r="BD191" s="74">
        <v>-417.71417610452215</v>
      </c>
      <c r="BE191" s="74">
        <v>0</v>
      </c>
      <c r="BF191" s="73"/>
      <c r="BG191" s="72">
        <v>435594.03582093713</v>
      </c>
      <c r="BH191" s="72">
        <v>0</v>
      </c>
      <c r="BI191" s="73"/>
      <c r="BJ191" s="74">
        <v>-797.04846565201615</v>
      </c>
      <c r="BK191" s="74">
        <v>0</v>
      </c>
      <c r="BL191" s="73"/>
      <c r="BM191" s="72">
        <v>15309435.754083084</v>
      </c>
      <c r="BN191" s="72">
        <v>0</v>
      </c>
      <c r="BO191" s="73"/>
      <c r="BP191" s="74">
        <v>-5141.6400826292975</v>
      </c>
      <c r="BQ191" s="74">
        <v>0</v>
      </c>
      <c r="BS191" s="109">
        <f t="shared" si="96"/>
        <v>115541.86201972062</v>
      </c>
      <c r="BT191" s="109">
        <f t="shared" si="97"/>
        <v>115846.87616843464</v>
      </c>
      <c r="BV191" s="58">
        <f t="array" ref="BV191">SUM(IF(BS191:BT191&gt;=BS191, 1))</f>
        <v>2</v>
      </c>
      <c r="BW191" s="58">
        <f t="array" ref="BW191">SUM(IF(BS191:BT191&gt;=BT191, 1))</f>
        <v>1</v>
      </c>
      <c r="BY191" s="109">
        <f t="shared" si="98"/>
        <v>133651.53403737955</v>
      </c>
      <c r="BZ191" s="109">
        <f t="shared" si="99"/>
        <v>133914.05423781794</v>
      </c>
      <c r="CB191" s="58">
        <f t="array" ref="CB191">SUM(IF(BY191:BZ191&gt;=BY191, 1))</f>
        <v>2</v>
      </c>
      <c r="CC191" s="58">
        <f t="array" ref="CC191">SUM(IF(BY191:BZ191&gt;=BZ191, 1))</f>
        <v>1</v>
      </c>
      <c r="CE191" s="109">
        <f t="shared" si="100"/>
        <v>93207.271955284028</v>
      </c>
      <c r="CF191" s="109">
        <f t="shared" si="101"/>
        <v>95718.787631816362</v>
      </c>
      <c r="CH191" s="58">
        <f t="array" ref="CH191">SUM(IF(CE191:CF191&gt;=CE191, 1))</f>
        <v>2</v>
      </c>
      <c r="CI191" s="58">
        <f t="array" ref="CI191">SUM(IF(CE191:CF191&gt;=CF191, 1))</f>
        <v>1</v>
      </c>
      <c r="CK191" s="109">
        <f t="shared" si="102"/>
        <v>47514.390346851258</v>
      </c>
      <c r="CL191" s="109">
        <f t="shared" si="103"/>
        <v>48480.805449249347</v>
      </c>
      <c r="CN191" s="58">
        <f t="array" ref="CN191">SUM(IF(CK191:CL191&gt;=CK191, 1))</f>
        <v>2</v>
      </c>
      <c r="CO191" s="58">
        <f t="array" ref="CO191">SUM(IF(CK191:CL191&gt;=CL191, 1))</f>
        <v>1</v>
      </c>
      <c r="CQ191" s="109" cm="1">
        <f t="array" ref="CQ191">AF191*WTP-AC191</f>
        <v>34637.760887926575</v>
      </c>
      <c r="CR191" s="109">
        <f t="shared" si="104"/>
        <v>35677.405558179227</v>
      </c>
      <c r="CT191" s="58">
        <f t="array" ref="CT191">SUM(IF(CQ191:CR191&gt;=CQ191, 1))</f>
        <v>2</v>
      </c>
      <c r="CU191" s="58">
        <f t="array" ref="CU191">SUM(IF(CQ191:CR191&gt;=CR191, 1))</f>
        <v>1</v>
      </c>
      <c r="CW191" s="109">
        <f t="shared" si="105"/>
        <v>-32915094.311418381</v>
      </c>
      <c r="CX191" s="109">
        <f t="shared" si="106"/>
        <v>0</v>
      </c>
      <c r="CZ191" s="58">
        <f t="array" ref="CZ191">SUM(IF(CW191:CX191&gt;=CW191, 1))</f>
        <v>2</v>
      </c>
      <c r="DA191" s="58">
        <f t="array" ref="DA191">SUM(IF(CW191:CX191&gt;=CX191, 1))</f>
        <v>1</v>
      </c>
      <c r="DC191" s="109">
        <f t="shared" si="107"/>
        <v>-1925215.5843418769</v>
      </c>
      <c r="DD191" s="109">
        <f t="shared" si="108"/>
        <v>0</v>
      </c>
      <c r="DF191" s="58">
        <f t="array" ref="DF191">SUM(IF(DC191:DD191&gt;=DC191, 1))</f>
        <v>2</v>
      </c>
      <c r="DG191" s="58">
        <f t="array" ref="DG191">SUM(IF(DC191:DD191&gt;=DD191, 1))</f>
        <v>1</v>
      </c>
      <c r="DI191" s="109">
        <f t="shared" si="109"/>
        <v>-58398345.19904869</v>
      </c>
      <c r="DJ191" s="109">
        <f t="shared" si="110"/>
        <v>0</v>
      </c>
      <c r="DL191" s="58">
        <f t="array" ref="DL191">SUM(IF(DI191:DJ191&gt;=DI191, 1))</f>
        <v>2</v>
      </c>
      <c r="DM191" s="58">
        <f t="array" ref="DM191">SUM(IF(DI191:DJ191&gt;=DJ191, 1))</f>
        <v>1</v>
      </c>
      <c r="DO191" s="109">
        <f t="shared" si="111"/>
        <v>-8527018.962998813</v>
      </c>
      <c r="DP191" s="109">
        <f t="shared" si="112"/>
        <v>0</v>
      </c>
      <c r="DR191" s="58">
        <f t="array" ref="DR191">SUM(IF(DO191:DP191&gt;=DO191, 1))</f>
        <v>2</v>
      </c>
      <c r="DS191" s="58">
        <f t="array" ref="DS191">SUM(IF(DO191:DP191&gt;=DP191, 1))</f>
        <v>1</v>
      </c>
      <c r="DU191" s="109">
        <f t="shared" si="113"/>
        <v>-16376563.34886126</v>
      </c>
      <c r="DV191" s="109">
        <f t="shared" si="114"/>
        <v>0</v>
      </c>
      <c r="DX191" s="58">
        <f t="array" ref="DX191">SUM(IF(DU191:DV191&gt;=DU191, 1))</f>
        <v>2</v>
      </c>
      <c r="DY191" s="58">
        <f t="array" ref="DY191">SUM(IF(DU191:DV191&gt;=DV191, 1))</f>
        <v>1</v>
      </c>
      <c r="EA191" s="109">
        <f t="shared" si="115"/>
        <v>-118142237.40666904</v>
      </c>
      <c r="EB191" s="109">
        <f t="shared" si="116"/>
        <v>0</v>
      </c>
      <c r="ED191" s="58">
        <f t="array" ref="ED191">SUM(IF(EA191:EB191&gt;=EA191, 1))</f>
        <v>2</v>
      </c>
      <c r="EE191" s="58">
        <f t="array" ref="EE191">SUM(IF(EA191:EB191&gt;=EB191, 1))</f>
        <v>1</v>
      </c>
    </row>
    <row r="192" spans="4:135" ht="12" customHeight="1" x14ac:dyDescent="0.25">
      <c r="D192" s="11">
        <v>176</v>
      </c>
      <c r="E192" s="72">
        <v>218.20394234783691</v>
      </c>
      <c r="F192" s="72">
        <v>189.28004329271033</v>
      </c>
      <c r="G192" s="73"/>
      <c r="H192" s="74">
        <v>5.8681465047996646</v>
      </c>
      <c r="I192" s="74">
        <v>5.8878662869276823</v>
      </c>
      <c r="J192" s="73"/>
      <c r="K192" s="72">
        <v>233.73462569134097</v>
      </c>
      <c r="L192" s="72">
        <v>204.09593783831392</v>
      </c>
      <c r="M192" s="73"/>
      <c r="N192" s="74">
        <v>6.6567911288533779</v>
      </c>
      <c r="O192" s="74">
        <v>6.6738562355723241</v>
      </c>
      <c r="P192" s="73"/>
      <c r="Q192" s="72">
        <v>2817.7579394972886</v>
      </c>
      <c r="R192" s="72">
        <v>1613.3852092285611</v>
      </c>
      <c r="S192" s="73"/>
      <c r="T192" s="74">
        <v>4.7337528272650511</v>
      </c>
      <c r="U192" s="74">
        <v>4.8135742050724764</v>
      </c>
      <c r="V192" s="73"/>
      <c r="W192" s="72">
        <v>14227.412410084395</v>
      </c>
      <c r="X192" s="72">
        <v>14270.821853411026</v>
      </c>
      <c r="Y192" s="73"/>
      <c r="Z192" s="74">
        <v>2.9632972040266514</v>
      </c>
      <c r="AA192" s="74">
        <v>3.0138158075490611</v>
      </c>
      <c r="AB192" s="73"/>
      <c r="AC192" s="72">
        <v>49132.602225781091</v>
      </c>
      <c r="AD192" s="72">
        <v>49056.790353799013</v>
      </c>
      <c r="AE192" s="73"/>
      <c r="AF192" s="74">
        <v>4.0481776216201446</v>
      </c>
      <c r="AG192" s="74">
        <v>4.2071667458586228</v>
      </c>
      <c r="AH192" s="73"/>
      <c r="AI192" s="72">
        <v>3096530.9104232606</v>
      </c>
      <c r="AJ192" s="72">
        <v>0</v>
      </c>
      <c r="AK192" s="73"/>
      <c r="AL192" s="74">
        <v>-2111.1577934163774</v>
      </c>
      <c r="AM192" s="74">
        <v>0</v>
      </c>
      <c r="AN192" s="73"/>
      <c r="AO192" s="72">
        <v>208748.73958396603</v>
      </c>
      <c r="AP192" s="72">
        <v>0</v>
      </c>
      <c r="AQ192" s="73"/>
      <c r="AR192" s="74">
        <v>-120.19153938631834</v>
      </c>
      <c r="AS192" s="74">
        <v>0</v>
      </c>
      <c r="AT192" s="73"/>
      <c r="AU192" s="72">
        <v>27633008.10811656</v>
      </c>
      <c r="AV192" s="72">
        <v>0</v>
      </c>
      <c r="AW192" s="73"/>
      <c r="AX192" s="74">
        <v>-1831.4137515065343</v>
      </c>
      <c r="AY192" s="74">
        <v>0</v>
      </c>
      <c r="AZ192" s="73"/>
      <c r="BA192" s="72">
        <v>-398222.81768407719</v>
      </c>
      <c r="BB192" s="72">
        <v>0</v>
      </c>
      <c r="BC192" s="73"/>
      <c r="BD192" s="74">
        <v>-463.43972874254507</v>
      </c>
      <c r="BE192" s="74">
        <v>0</v>
      </c>
      <c r="BF192" s="73"/>
      <c r="BG192" s="72">
        <v>1222564.6043496307</v>
      </c>
      <c r="BH192" s="72">
        <v>0</v>
      </c>
      <c r="BI192" s="73"/>
      <c r="BJ192" s="74">
        <v>-2563.9055030386326</v>
      </c>
      <c r="BK192" s="74">
        <v>0</v>
      </c>
      <c r="BL192" s="73"/>
      <c r="BM192" s="72">
        <v>31762629.54478934</v>
      </c>
      <c r="BN192" s="72">
        <v>0</v>
      </c>
      <c r="BO192" s="73"/>
      <c r="BP192" s="74">
        <v>-7090.1083160904082</v>
      </c>
      <c r="BQ192" s="74">
        <v>0</v>
      </c>
      <c r="BS192" s="109">
        <f t="shared" si="96"/>
        <v>117144.72615364545</v>
      </c>
      <c r="BT192" s="109">
        <f t="shared" si="97"/>
        <v>117568.04569526094</v>
      </c>
      <c r="BV192" s="58">
        <f t="array" ref="BV192">SUM(IF(BS192:BT192&gt;=BS192, 1))</f>
        <v>2</v>
      </c>
      <c r="BW192" s="58">
        <f t="array" ref="BW192">SUM(IF(BS192:BT192&gt;=BT192, 1))</f>
        <v>1</v>
      </c>
      <c r="BY192" s="109">
        <f t="shared" si="98"/>
        <v>132902.08795137622</v>
      </c>
      <c r="BZ192" s="109">
        <f t="shared" si="99"/>
        <v>133273.02877360818</v>
      </c>
      <c r="CB192" s="58">
        <f t="array" ref="CB192">SUM(IF(BY192:BZ192&gt;=BY192, 1))</f>
        <v>2</v>
      </c>
      <c r="CC192" s="58">
        <f t="array" ref="CC192">SUM(IF(BY192:BZ192&gt;=BZ192, 1))</f>
        <v>1</v>
      </c>
      <c r="CE192" s="109">
        <f t="shared" si="100"/>
        <v>91857.298605803735</v>
      </c>
      <c r="CF192" s="109">
        <f t="shared" si="101"/>
        <v>94658.098892220965</v>
      </c>
      <c r="CH192" s="58">
        <f t="array" ref="CH192">SUM(IF(CE192:CF192&gt;=CE192, 1))</f>
        <v>2</v>
      </c>
      <c r="CI192" s="58">
        <f t="array" ref="CI192">SUM(IF(CE192:CF192&gt;=CF192, 1))</f>
        <v>1</v>
      </c>
      <c r="CK192" s="109">
        <f t="shared" si="102"/>
        <v>45038.531670448632</v>
      </c>
      <c r="CL192" s="109">
        <f t="shared" si="103"/>
        <v>46005.494297570192</v>
      </c>
      <c r="CN192" s="58">
        <f t="array" ref="CN192">SUM(IF(CK192:CL192&gt;=CK192, 1))</f>
        <v>2</v>
      </c>
      <c r="CO192" s="58">
        <f t="array" ref="CO192">SUM(IF(CK192:CL192&gt;=CL192, 1))</f>
        <v>1</v>
      </c>
      <c r="CQ192" s="109" cm="1">
        <f t="array" ref="CQ192">AF192*WTP-AC192</f>
        <v>31830.950206621805</v>
      </c>
      <c r="CR192" s="109">
        <f t="shared" si="104"/>
        <v>35086.544563373442</v>
      </c>
      <c r="CT192" s="58">
        <f t="array" ref="CT192">SUM(IF(CQ192:CR192&gt;=CQ192, 1))</f>
        <v>2</v>
      </c>
      <c r="CU192" s="58">
        <f t="array" ref="CU192">SUM(IF(CQ192:CR192&gt;=CR192, 1))</f>
        <v>1</v>
      </c>
      <c r="CW192" s="109">
        <f t="shared" si="105"/>
        <v>-45319686.778750814</v>
      </c>
      <c r="CX192" s="109">
        <f t="shared" si="106"/>
        <v>0</v>
      </c>
      <c r="CZ192" s="58">
        <f t="array" ref="CZ192">SUM(IF(CW192:CX192&gt;=CW192, 1))</f>
        <v>2</v>
      </c>
      <c r="DA192" s="58">
        <f t="array" ref="DA192">SUM(IF(CW192:CX192&gt;=CX192, 1))</f>
        <v>1</v>
      </c>
      <c r="DC192" s="109">
        <f t="shared" si="107"/>
        <v>-2612579.5273103327</v>
      </c>
      <c r="DD192" s="109">
        <f t="shared" si="108"/>
        <v>0</v>
      </c>
      <c r="DF192" s="58">
        <f t="array" ref="DF192">SUM(IF(DC192:DD192&gt;=DC192, 1))</f>
        <v>2</v>
      </c>
      <c r="DG192" s="58">
        <f t="array" ref="DG192">SUM(IF(DC192:DD192&gt;=DD192, 1))</f>
        <v>1</v>
      </c>
      <c r="DI192" s="109">
        <f t="shared" si="109"/>
        <v>-64261283.138247244</v>
      </c>
      <c r="DJ192" s="109">
        <f t="shared" si="110"/>
        <v>0</v>
      </c>
      <c r="DL192" s="58">
        <f t="array" ref="DL192">SUM(IF(DI192:DJ192&gt;=DI192, 1))</f>
        <v>2</v>
      </c>
      <c r="DM192" s="58">
        <f t="array" ref="DM192">SUM(IF(DI192:DJ192&gt;=DJ192, 1))</f>
        <v>1</v>
      </c>
      <c r="DO192" s="109">
        <f t="shared" si="111"/>
        <v>-8870571.7571668252</v>
      </c>
      <c r="DP192" s="109">
        <f t="shared" si="112"/>
        <v>0</v>
      </c>
      <c r="DR192" s="58">
        <f t="array" ref="DR192">SUM(IF(DO192:DP192&gt;=DO192, 1))</f>
        <v>2</v>
      </c>
      <c r="DS192" s="58">
        <f t="array" ref="DS192">SUM(IF(DO192:DP192&gt;=DP192, 1))</f>
        <v>1</v>
      </c>
      <c r="DU192" s="109">
        <f t="shared" si="113"/>
        <v>-52500674.665122278</v>
      </c>
      <c r="DV192" s="109">
        <f t="shared" si="114"/>
        <v>0</v>
      </c>
      <c r="DX192" s="58">
        <f t="array" ref="DX192">SUM(IF(DU192:DV192&gt;=DU192, 1))</f>
        <v>2</v>
      </c>
      <c r="DY192" s="58">
        <f t="array" ref="DY192">SUM(IF(DU192:DV192&gt;=DV192, 1))</f>
        <v>1</v>
      </c>
      <c r="EA192" s="109">
        <f t="shared" si="115"/>
        <v>-173564795.8665975</v>
      </c>
      <c r="EB192" s="109">
        <f t="shared" si="116"/>
        <v>0</v>
      </c>
      <c r="ED192" s="58">
        <f t="array" ref="ED192">SUM(IF(EA192:EB192&gt;=EA192, 1))</f>
        <v>2</v>
      </c>
      <c r="EE192" s="58">
        <f t="array" ref="EE192">SUM(IF(EA192:EB192&gt;=EB192, 1))</f>
        <v>1</v>
      </c>
    </row>
    <row r="193" spans="4:135" ht="12" customHeight="1" x14ac:dyDescent="0.25">
      <c r="D193" s="11">
        <v>177</v>
      </c>
      <c r="E193" s="72">
        <v>261.62769054921836</v>
      </c>
      <c r="F193" s="72">
        <v>232.33758299611549</v>
      </c>
      <c r="G193" s="73"/>
      <c r="H193" s="74">
        <v>5.8390283306852275</v>
      </c>
      <c r="I193" s="74">
        <v>5.8566571884396712</v>
      </c>
      <c r="J193" s="73"/>
      <c r="K193" s="72">
        <v>280.48102573045639</v>
      </c>
      <c r="L193" s="72">
        <v>250.46987731414808</v>
      </c>
      <c r="M193" s="73"/>
      <c r="N193" s="74">
        <v>6.7355617365730316</v>
      </c>
      <c r="O193" s="74">
        <v>6.7507785212396465</v>
      </c>
      <c r="P193" s="73"/>
      <c r="Q193" s="72">
        <v>2115.1536105086393</v>
      </c>
      <c r="R193" s="72">
        <v>1451.362173823487</v>
      </c>
      <c r="S193" s="73"/>
      <c r="T193" s="74">
        <v>4.7864332512002727</v>
      </c>
      <c r="U193" s="74">
        <v>4.8437977841613984</v>
      </c>
      <c r="V193" s="73"/>
      <c r="W193" s="72">
        <v>12692.646766700289</v>
      </c>
      <c r="X193" s="72">
        <v>12697.295758293412</v>
      </c>
      <c r="Y193" s="73"/>
      <c r="Z193" s="74">
        <v>2.8851497929244441</v>
      </c>
      <c r="AA193" s="74">
        <v>2.9340923504099106</v>
      </c>
      <c r="AB193" s="73"/>
      <c r="AC193" s="72">
        <v>50048.094115463777</v>
      </c>
      <c r="AD193" s="72">
        <v>50001.859442110494</v>
      </c>
      <c r="AE193" s="73"/>
      <c r="AF193" s="74">
        <v>4.5858720893749645</v>
      </c>
      <c r="AG193" s="74">
        <v>4.6860236451314448</v>
      </c>
      <c r="AH193" s="73"/>
      <c r="AI193" s="72">
        <v>3113165.315028938</v>
      </c>
      <c r="AJ193" s="72">
        <v>0</v>
      </c>
      <c r="AK193" s="73"/>
      <c r="AL193" s="74">
        <v>-1873.7230105834503</v>
      </c>
      <c r="AM193" s="74">
        <v>0</v>
      </c>
      <c r="AN193" s="73"/>
      <c r="AO193" s="72">
        <v>208259.76548740984</v>
      </c>
      <c r="AP193" s="72">
        <v>0</v>
      </c>
      <c r="AQ193" s="73"/>
      <c r="AR193" s="74">
        <v>-105.59555942949353</v>
      </c>
      <c r="AS193" s="74">
        <v>0</v>
      </c>
      <c r="AT193" s="73"/>
      <c r="AU193" s="72">
        <v>15418146.14035177</v>
      </c>
      <c r="AV193" s="72">
        <v>0</v>
      </c>
      <c r="AW193" s="73"/>
      <c r="AX193" s="74">
        <v>-1332.4286870654123</v>
      </c>
      <c r="AY193" s="74">
        <v>0</v>
      </c>
      <c r="AZ193" s="73"/>
      <c r="BA193" s="72">
        <v>-41641.591178701216</v>
      </c>
      <c r="BB193" s="72">
        <v>0</v>
      </c>
      <c r="BC193" s="73"/>
      <c r="BD193" s="74">
        <v>-438.38452473531964</v>
      </c>
      <c r="BE193" s="74">
        <v>0</v>
      </c>
      <c r="BF193" s="73"/>
      <c r="BG193" s="72">
        <v>731033.22840277723</v>
      </c>
      <c r="BH193" s="72">
        <v>0</v>
      </c>
      <c r="BI193" s="73"/>
      <c r="BJ193" s="74">
        <v>-1583.5326568609046</v>
      </c>
      <c r="BK193" s="74">
        <v>0</v>
      </c>
      <c r="BL193" s="73"/>
      <c r="BM193" s="72">
        <v>19428962.858092196</v>
      </c>
      <c r="BN193" s="72">
        <v>0</v>
      </c>
      <c r="BO193" s="73"/>
      <c r="BP193" s="74">
        <v>-5333.6644386745802</v>
      </c>
      <c r="BQ193" s="74">
        <v>0</v>
      </c>
      <c r="BS193" s="109">
        <f t="shared" si="96"/>
        <v>116518.93892315534</v>
      </c>
      <c r="BT193" s="109">
        <f t="shared" si="97"/>
        <v>116900.80618579731</v>
      </c>
      <c r="BV193" s="58">
        <f t="array" ref="BV193">SUM(IF(BS193:BT193&gt;=BS193, 1))</f>
        <v>2</v>
      </c>
      <c r="BW193" s="58">
        <f t="array" ref="BW193">SUM(IF(BS193:BT193&gt;=BT193, 1))</f>
        <v>1</v>
      </c>
      <c r="BY193" s="109">
        <f t="shared" si="98"/>
        <v>134430.75370573017</v>
      </c>
      <c r="BZ193" s="109">
        <f t="shared" si="99"/>
        <v>134765.1005474788</v>
      </c>
      <c r="CB193" s="58">
        <f t="array" ref="CB193">SUM(IF(BY193:BZ193&gt;=BY193, 1))</f>
        <v>2</v>
      </c>
      <c r="CC193" s="58">
        <f t="array" ref="CC193">SUM(IF(BY193:BZ193&gt;=BZ193, 1))</f>
        <v>1</v>
      </c>
      <c r="CE193" s="109">
        <f t="shared" si="100"/>
        <v>93613.511413496817</v>
      </c>
      <c r="CF193" s="109">
        <f t="shared" si="101"/>
        <v>95424.593509404483</v>
      </c>
      <c r="CH193" s="58">
        <f t="array" ref="CH193">SUM(IF(CE193:CF193&gt;=CE193, 1))</f>
        <v>2</v>
      </c>
      <c r="CI193" s="58">
        <f t="array" ref="CI193">SUM(IF(CE193:CF193&gt;=CF193, 1))</f>
        <v>1</v>
      </c>
      <c r="CK193" s="109">
        <f t="shared" si="102"/>
        <v>45010.349091788594</v>
      </c>
      <c r="CL193" s="109">
        <f t="shared" si="103"/>
        <v>45984.551249904798</v>
      </c>
      <c r="CN193" s="58">
        <f t="array" ref="CN193">SUM(IF(CK193:CL193&gt;=CK193, 1))</f>
        <v>2</v>
      </c>
      <c r="CO193" s="58">
        <f t="array" ref="CO193">SUM(IF(CK193:CL193&gt;=CL193, 1))</f>
        <v>1</v>
      </c>
      <c r="CQ193" s="109" cm="1">
        <f t="array" ref="CQ193">AF193*WTP-AC193</f>
        <v>41669.347672035517</v>
      </c>
      <c r="CR193" s="109">
        <f t="shared" si="104"/>
        <v>43718.613460518405</v>
      </c>
      <c r="CT193" s="58">
        <f t="array" ref="CT193">SUM(IF(CQ193:CR193&gt;=CQ193, 1))</f>
        <v>2</v>
      </c>
      <c r="CU193" s="58">
        <f t="array" ref="CU193">SUM(IF(CQ193:CR193&gt;=CR193, 1))</f>
        <v>1</v>
      </c>
      <c r="CW193" s="109">
        <f t="shared" si="105"/>
        <v>-40587625.526697941</v>
      </c>
      <c r="CX193" s="109">
        <f t="shared" si="106"/>
        <v>0</v>
      </c>
      <c r="CZ193" s="58">
        <f t="array" ref="CZ193">SUM(IF(CW193:CX193&gt;=CW193, 1))</f>
        <v>2</v>
      </c>
      <c r="DA193" s="58">
        <f t="array" ref="DA193">SUM(IF(CW193:CX193&gt;=CX193, 1))</f>
        <v>1</v>
      </c>
      <c r="DC193" s="109">
        <f t="shared" si="107"/>
        <v>-2320170.9540772801</v>
      </c>
      <c r="DD193" s="109">
        <f t="shared" si="108"/>
        <v>0</v>
      </c>
      <c r="DF193" s="58">
        <f t="array" ref="DF193">SUM(IF(DC193:DD193&gt;=DC193, 1))</f>
        <v>2</v>
      </c>
      <c r="DG193" s="58">
        <f t="array" ref="DG193">SUM(IF(DC193:DD193&gt;=DD193, 1))</f>
        <v>1</v>
      </c>
      <c r="DI193" s="109">
        <f t="shared" si="109"/>
        <v>-42066719.881660014</v>
      </c>
      <c r="DJ193" s="109">
        <f t="shared" si="110"/>
        <v>0</v>
      </c>
      <c r="DL193" s="58">
        <f t="array" ref="DL193">SUM(IF(DI193:DJ193&gt;=DI193, 1))</f>
        <v>2</v>
      </c>
      <c r="DM193" s="58">
        <f t="array" ref="DM193">SUM(IF(DI193:DJ193&gt;=DJ193, 1))</f>
        <v>1</v>
      </c>
      <c r="DO193" s="109">
        <f t="shared" si="111"/>
        <v>-8726048.903527692</v>
      </c>
      <c r="DP193" s="109">
        <f t="shared" si="112"/>
        <v>0</v>
      </c>
      <c r="DR193" s="58">
        <f t="array" ref="DR193">SUM(IF(DO193:DP193&gt;=DO193, 1))</f>
        <v>2</v>
      </c>
      <c r="DS193" s="58">
        <f t="array" ref="DS193">SUM(IF(DO193:DP193&gt;=DP193, 1))</f>
        <v>1</v>
      </c>
      <c r="DU193" s="109">
        <f t="shared" si="113"/>
        <v>-32401686.36562087</v>
      </c>
      <c r="DV193" s="109">
        <f t="shared" si="114"/>
        <v>0</v>
      </c>
      <c r="DX193" s="58">
        <f t="array" ref="DX193">SUM(IF(DU193:DV193&gt;=DU193, 1))</f>
        <v>2</v>
      </c>
      <c r="DY193" s="58">
        <f t="array" ref="DY193">SUM(IF(DU193:DV193&gt;=DV193, 1))</f>
        <v>1</v>
      </c>
      <c r="EA193" s="109">
        <f t="shared" si="115"/>
        <v>-126102251.63158381</v>
      </c>
      <c r="EB193" s="109">
        <f t="shared" si="116"/>
        <v>0</v>
      </c>
      <c r="ED193" s="58">
        <f t="array" ref="ED193">SUM(IF(EA193:EB193&gt;=EA193, 1))</f>
        <v>2</v>
      </c>
      <c r="EE193" s="58">
        <f t="array" ref="EE193">SUM(IF(EA193:EB193&gt;=EB193, 1))</f>
        <v>1</v>
      </c>
    </row>
    <row r="194" spans="4:135" ht="12" customHeight="1" x14ac:dyDescent="0.25">
      <c r="D194" s="11">
        <v>178</v>
      </c>
      <c r="E194" s="72">
        <v>290.05392938391782</v>
      </c>
      <c r="F194" s="72">
        <v>261.99392773639852</v>
      </c>
      <c r="G194" s="73"/>
      <c r="H194" s="74">
        <v>5.816083342708902</v>
      </c>
      <c r="I194" s="74">
        <v>5.832437083936588</v>
      </c>
      <c r="J194" s="73"/>
      <c r="K194" s="72">
        <v>311.19800173369413</v>
      </c>
      <c r="L194" s="72">
        <v>282.50283046191248</v>
      </c>
      <c r="M194" s="73"/>
      <c r="N194" s="74">
        <v>6.7085939949073436</v>
      </c>
      <c r="O194" s="74">
        <v>6.7227751627887997</v>
      </c>
      <c r="P194" s="73"/>
      <c r="Q194" s="72">
        <v>3391.3548180543362</v>
      </c>
      <c r="R194" s="72">
        <v>1551.408088039364</v>
      </c>
      <c r="S194" s="73"/>
      <c r="T194" s="74">
        <v>4.849697736615</v>
      </c>
      <c r="U194" s="74">
        <v>4.9667662679319777</v>
      </c>
      <c r="V194" s="73"/>
      <c r="W194" s="72">
        <v>14687.577340185891</v>
      </c>
      <c r="X194" s="72">
        <v>14709.008961279857</v>
      </c>
      <c r="Y194" s="73"/>
      <c r="Z194" s="74">
        <v>2.9997341603055308</v>
      </c>
      <c r="AA194" s="74">
        <v>3.0386178351985365</v>
      </c>
      <c r="AB194" s="73"/>
      <c r="AC194" s="72">
        <v>52303.226784516512</v>
      </c>
      <c r="AD194" s="72">
        <v>51836.159422016608</v>
      </c>
      <c r="AE194" s="73"/>
      <c r="AF194" s="74">
        <v>4.1908952773800019</v>
      </c>
      <c r="AG194" s="74">
        <v>4.2906021540005206</v>
      </c>
      <c r="AH194" s="73"/>
      <c r="AI194" s="72">
        <v>3035856.7654471919</v>
      </c>
      <c r="AJ194" s="72">
        <v>0</v>
      </c>
      <c r="AK194" s="73"/>
      <c r="AL194" s="74">
        <v>-1769.3375991242067</v>
      </c>
      <c r="AM194" s="74">
        <v>0</v>
      </c>
      <c r="AN194" s="73"/>
      <c r="AO194" s="72">
        <v>196313.33002204815</v>
      </c>
      <c r="AP194" s="72">
        <v>0</v>
      </c>
      <c r="AQ194" s="73"/>
      <c r="AR194" s="74">
        <v>-97.018145110290618</v>
      </c>
      <c r="AS194" s="74">
        <v>0</v>
      </c>
      <c r="AT194" s="73"/>
      <c r="AU194" s="72">
        <v>43234004.011072882</v>
      </c>
      <c r="AV194" s="72">
        <v>0</v>
      </c>
      <c r="AW194" s="73"/>
      <c r="AX194" s="74">
        <v>-2750.8086348170741</v>
      </c>
      <c r="AY194" s="74">
        <v>0</v>
      </c>
      <c r="AZ194" s="73"/>
      <c r="BA194" s="72">
        <v>-187047.07416522579</v>
      </c>
      <c r="BB194" s="72">
        <v>0</v>
      </c>
      <c r="BC194" s="73"/>
      <c r="BD194" s="74">
        <v>-339.3619917802946</v>
      </c>
      <c r="BE194" s="74">
        <v>0</v>
      </c>
      <c r="BF194" s="73"/>
      <c r="BG194" s="72">
        <v>7239903.6205389844</v>
      </c>
      <c r="BH194" s="72">
        <v>0</v>
      </c>
      <c r="BI194" s="73"/>
      <c r="BJ194" s="74">
        <v>-1545.5333320098473</v>
      </c>
      <c r="BK194" s="74">
        <v>0</v>
      </c>
      <c r="BL194" s="73"/>
      <c r="BM194" s="72">
        <v>53519030.652915888</v>
      </c>
      <c r="BN194" s="72">
        <v>0</v>
      </c>
      <c r="BO194" s="73"/>
      <c r="BP194" s="74">
        <v>-6502.0597028417133</v>
      </c>
      <c r="BQ194" s="74">
        <v>0</v>
      </c>
      <c r="BS194" s="109">
        <f t="shared" si="96"/>
        <v>116031.61292479411</v>
      </c>
      <c r="BT194" s="109">
        <f t="shared" si="97"/>
        <v>116386.74775099536</v>
      </c>
      <c r="BV194" s="58">
        <f t="array" ref="BV194">SUM(IF(BS194:BT194&gt;=BS194, 1))</f>
        <v>2</v>
      </c>
      <c r="BW194" s="58">
        <f t="array" ref="BW194">SUM(IF(BS194:BT194&gt;=BT194, 1))</f>
        <v>1</v>
      </c>
      <c r="BY194" s="109">
        <f t="shared" si="98"/>
        <v>133860.68189641318</v>
      </c>
      <c r="BZ194" s="109">
        <f t="shared" si="99"/>
        <v>134173.00042531407</v>
      </c>
      <c r="CB194" s="58">
        <f t="array" ref="CB194">SUM(IF(BY194:BZ194&gt;=BY194, 1))</f>
        <v>2</v>
      </c>
      <c r="CC194" s="58">
        <f t="array" ref="CC194">SUM(IF(BY194:BZ194&gt;=BZ194, 1))</f>
        <v>1</v>
      </c>
      <c r="CE194" s="109">
        <f t="shared" si="100"/>
        <v>93602.599914245671</v>
      </c>
      <c r="CF194" s="109">
        <f t="shared" si="101"/>
        <v>97783.917270600199</v>
      </c>
      <c r="CH194" s="58">
        <f t="array" ref="CH194">SUM(IF(CE194:CF194&gt;=CE194, 1))</f>
        <v>2</v>
      </c>
      <c r="CI194" s="58">
        <f t="array" ref="CI194">SUM(IF(CE194:CF194&gt;=CF194, 1))</f>
        <v>1</v>
      </c>
      <c r="CK194" s="109">
        <f t="shared" si="102"/>
        <v>45307.105865924728</v>
      </c>
      <c r="CL194" s="109">
        <f t="shared" si="103"/>
        <v>46063.347742690872</v>
      </c>
      <c r="CN194" s="58">
        <f t="array" ref="CN194">SUM(IF(CK194:CL194&gt;=CK194, 1))</f>
        <v>2</v>
      </c>
      <c r="CO194" s="58">
        <f t="array" ref="CO194">SUM(IF(CK194:CL194&gt;=CL194, 1))</f>
        <v>1</v>
      </c>
      <c r="CQ194" s="109" cm="1">
        <f t="array" ref="CQ194">AF194*WTP-AC194</f>
        <v>31514.678763083524</v>
      </c>
      <c r="CR194" s="109">
        <f t="shared" si="104"/>
        <v>33975.8836579938</v>
      </c>
      <c r="CT194" s="58">
        <f t="array" ref="CT194">SUM(IF(CQ194:CR194&gt;=CQ194, 1))</f>
        <v>2</v>
      </c>
      <c r="CU194" s="58">
        <f t="array" ref="CU194">SUM(IF(CQ194:CR194&gt;=CR194, 1))</f>
        <v>1</v>
      </c>
      <c r="CW194" s="109">
        <f t="shared" si="105"/>
        <v>-38422608.747931324</v>
      </c>
      <c r="CX194" s="109">
        <f t="shared" si="106"/>
        <v>0</v>
      </c>
      <c r="CZ194" s="58">
        <f t="array" ref="CZ194">SUM(IF(CW194:CX194&gt;=CW194, 1))</f>
        <v>2</v>
      </c>
      <c r="DA194" s="58">
        <f t="array" ref="DA194">SUM(IF(CW194:CX194&gt;=CX194, 1))</f>
        <v>1</v>
      </c>
      <c r="DC194" s="109">
        <f t="shared" si="107"/>
        <v>-2136676.2322278605</v>
      </c>
      <c r="DD194" s="109">
        <f t="shared" si="108"/>
        <v>0</v>
      </c>
      <c r="DF194" s="58">
        <f t="array" ref="DF194">SUM(IF(DC194:DD194&gt;=DC194, 1))</f>
        <v>2</v>
      </c>
      <c r="DG194" s="58">
        <f t="array" ref="DG194">SUM(IF(DC194:DD194&gt;=DD194, 1))</f>
        <v>1</v>
      </c>
      <c r="DI194" s="109">
        <f t="shared" si="109"/>
        <v>-98250176.707414359</v>
      </c>
      <c r="DJ194" s="109">
        <f t="shared" si="110"/>
        <v>0</v>
      </c>
      <c r="DL194" s="58">
        <f t="array" ref="DL194">SUM(IF(DI194:DJ194&gt;=DI194, 1))</f>
        <v>2</v>
      </c>
      <c r="DM194" s="58">
        <f t="array" ref="DM194">SUM(IF(DI194:DJ194&gt;=DJ194, 1))</f>
        <v>1</v>
      </c>
      <c r="DO194" s="109">
        <f t="shared" si="111"/>
        <v>-6600192.7614406664</v>
      </c>
      <c r="DP194" s="109">
        <f t="shared" si="112"/>
        <v>0</v>
      </c>
      <c r="DR194" s="58">
        <f t="array" ref="DR194">SUM(IF(DO194:DP194&gt;=DO194, 1))</f>
        <v>2</v>
      </c>
      <c r="DS194" s="58">
        <f t="array" ref="DS194">SUM(IF(DO194:DP194&gt;=DP194, 1))</f>
        <v>1</v>
      </c>
      <c r="DU194" s="109">
        <f t="shared" si="113"/>
        <v>-38150570.260735929</v>
      </c>
      <c r="DV194" s="109">
        <f t="shared" si="114"/>
        <v>0</v>
      </c>
      <c r="DX194" s="58">
        <f t="array" ref="DX194">SUM(IF(DU194:DV194&gt;=DU194, 1))</f>
        <v>2</v>
      </c>
      <c r="DY194" s="58">
        <f t="array" ref="DY194">SUM(IF(DU194:DV194&gt;=DV194, 1))</f>
        <v>1</v>
      </c>
      <c r="EA194" s="109">
        <f t="shared" si="115"/>
        <v>-183560224.70975015</v>
      </c>
      <c r="EB194" s="109">
        <f t="shared" si="116"/>
        <v>0</v>
      </c>
      <c r="ED194" s="58">
        <f t="array" ref="ED194">SUM(IF(EA194:EB194&gt;=EA194, 1))</f>
        <v>2</v>
      </c>
      <c r="EE194" s="58">
        <f t="array" ref="EE194">SUM(IF(EA194:EB194&gt;=EB194, 1))</f>
        <v>1</v>
      </c>
    </row>
    <row r="195" spans="4:135" ht="12" customHeight="1" x14ac:dyDescent="0.25">
      <c r="D195" s="11">
        <v>179</v>
      </c>
      <c r="E195" s="72">
        <v>254.08768888209784</v>
      </c>
      <c r="F195" s="72">
        <v>226.74818398048617</v>
      </c>
      <c r="G195" s="73"/>
      <c r="H195" s="74">
        <v>5.8706228563266318</v>
      </c>
      <c r="I195" s="74">
        <v>5.8914424831865606</v>
      </c>
      <c r="J195" s="73"/>
      <c r="K195" s="72">
        <v>272.50666980704955</v>
      </c>
      <c r="L195" s="72">
        <v>244.53759155020998</v>
      </c>
      <c r="M195" s="73"/>
      <c r="N195" s="74">
        <v>6.7641285274025718</v>
      </c>
      <c r="O195" s="74">
        <v>6.7828774636674032</v>
      </c>
      <c r="P195" s="73"/>
      <c r="Q195" s="72">
        <v>2592.1281587365565</v>
      </c>
      <c r="R195" s="72">
        <v>1507.2758623208158</v>
      </c>
      <c r="S195" s="73"/>
      <c r="T195" s="74">
        <v>4.8025329680501505</v>
      </c>
      <c r="U195" s="74">
        <v>4.8899159630606643</v>
      </c>
      <c r="V195" s="73"/>
      <c r="W195" s="72">
        <v>12562.880286667685</v>
      </c>
      <c r="X195" s="72">
        <v>12499.610993040749</v>
      </c>
      <c r="Y195" s="73"/>
      <c r="Z195" s="74">
        <v>3.304730840390917</v>
      </c>
      <c r="AA195" s="74">
        <v>3.345908993656479</v>
      </c>
      <c r="AB195" s="73"/>
      <c r="AC195" s="72">
        <v>48597.466787164172</v>
      </c>
      <c r="AD195" s="72">
        <v>48650.742471260499</v>
      </c>
      <c r="AE195" s="73"/>
      <c r="AF195" s="74">
        <v>4.1905088560283641</v>
      </c>
      <c r="AG195" s="74">
        <v>4.2603003142543159</v>
      </c>
      <c r="AH195" s="73"/>
      <c r="AI195" s="72">
        <v>2924326.334989036</v>
      </c>
      <c r="AJ195" s="72">
        <v>0</v>
      </c>
      <c r="AK195" s="73"/>
      <c r="AL195" s="74">
        <v>-2226.9380272334679</v>
      </c>
      <c r="AM195" s="74">
        <v>0</v>
      </c>
      <c r="AN195" s="73"/>
      <c r="AO195" s="72">
        <v>195226.85832451101</v>
      </c>
      <c r="AP195" s="72">
        <v>0</v>
      </c>
      <c r="AQ195" s="73"/>
      <c r="AR195" s="74">
        <v>-130.8693797592147</v>
      </c>
      <c r="AS195" s="74">
        <v>0</v>
      </c>
      <c r="AT195" s="73"/>
      <c r="AU195" s="72">
        <v>24885367.189005308</v>
      </c>
      <c r="AV195" s="72">
        <v>0</v>
      </c>
      <c r="AW195" s="73"/>
      <c r="AX195" s="74">
        <v>-2004.4737187690978</v>
      </c>
      <c r="AY195" s="74">
        <v>0</v>
      </c>
      <c r="AZ195" s="73"/>
      <c r="BA195" s="72">
        <v>566126.50143281464</v>
      </c>
      <c r="BB195" s="72">
        <v>0</v>
      </c>
      <c r="BC195" s="73"/>
      <c r="BD195" s="74">
        <v>-368.45746976653595</v>
      </c>
      <c r="BE195" s="74">
        <v>0</v>
      </c>
      <c r="BF195" s="73"/>
      <c r="BG195" s="72">
        <v>-824248.31433117413</v>
      </c>
      <c r="BH195" s="72">
        <v>0</v>
      </c>
      <c r="BI195" s="73"/>
      <c r="BJ195" s="74">
        <v>-1079.7701197688</v>
      </c>
      <c r="BK195" s="74">
        <v>0</v>
      </c>
      <c r="BL195" s="73"/>
      <c r="BM195" s="72">
        <v>27746798.569420494</v>
      </c>
      <c r="BN195" s="72">
        <v>0</v>
      </c>
      <c r="BO195" s="73"/>
      <c r="BP195" s="74">
        <v>-5810.5087152971164</v>
      </c>
      <c r="BQ195" s="74">
        <v>0</v>
      </c>
      <c r="BS195" s="109">
        <f t="shared" si="96"/>
        <v>117158.36943765054</v>
      </c>
      <c r="BT195" s="109">
        <f t="shared" si="97"/>
        <v>117602.10147975072</v>
      </c>
      <c r="BV195" s="58">
        <f t="array" ref="BV195">SUM(IF(BS195:BT195&gt;=BS195, 1))</f>
        <v>2</v>
      </c>
      <c r="BW195" s="58">
        <f t="array" ref="BW195">SUM(IF(BS195:BT195&gt;=BT195, 1))</f>
        <v>1</v>
      </c>
      <c r="BY195" s="109">
        <f t="shared" si="98"/>
        <v>135010.0638782444</v>
      </c>
      <c r="BZ195" s="109">
        <f t="shared" si="99"/>
        <v>135413.01168179786</v>
      </c>
      <c r="CB195" s="58">
        <f t="array" ref="CB195">SUM(IF(BY195:BZ195&gt;=BY195, 1))</f>
        <v>2</v>
      </c>
      <c r="CC195" s="58">
        <f t="array" ref="CC195">SUM(IF(BY195:BZ195&gt;=BZ195, 1))</f>
        <v>1</v>
      </c>
      <c r="CE195" s="109">
        <f t="shared" si="100"/>
        <v>93458.531202266458</v>
      </c>
      <c r="CF195" s="109">
        <f t="shared" si="101"/>
        <v>96291.043398892463</v>
      </c>
      <c r="CH195" s="58">
        <f t="array" ref="CH195">SUM(IF(CE195:CF195&gt;=CE195, 1))</f>
        <v>2</v>
      </c>
      <c r="CI195" s="58">
        <f t="array" ref="CI195">SUM(IF(CE195:CF195&gt;=CF195, 1))</f>
        <v>1</v>
      </c>
      <c r="CK195" s="109">
        <f t="shared" si="102"/>
        <v>53531.736521150655</v>
      </c>
      <c r="CL195" s="109">
        <f t="shared" si="103"/>
        <v>54418.568880088838</v>
      </c>
      <c r="CN195" s="58">
        <f t="array" ref="CN195">SUM(IF(CK195:CL195&gt;=CK195, 1))</f>
        <v>2</v>
      </c>
      <c r="CO195" s="58">
        <f t="array" ref="CO195">SUM(IF(CK195:CL195&gt;=CL195, 1))</f>
        <v>1</v>
      </c>
      <c r="CQ195" s="109" cm="1">
        <f t="array" ref="CQ195">AF195*WTP-AC195</f>
        <v>35212.710333403113</v>
      </c>
      <c r="CR195" s="109">
        <f t="shared" si="104"/>
        <v>36555.263813825819</v>
      </c>
      <c r="CT195" s="58">
        <f t="array" ref="CT195">SUM(IF(CQ195:CR195&gt;=CQ195, 1))</f>
        <v>2</v>
      </c>
      <c r="CU195" s="58">
        <f t="array" ref="CU195">SUM(IF(CQ195:CR195&gt;=CR195, 1))</f>
        <v>1</v>
      </c>
      <c r="CW195" s="109">
        <f t="shared" si="105"/>
        <v>-47463086.879658394</v>
      </c>
      <c r="CX195" s="109">
        <f t="shared" si="106"/>
        <v>0</v>
      </c>
      <c r="CZ195" s="58">
        <f t="array" ref="CZ195">SUM(IF(CW195:CX195&gt;=CW195, 1))</f>
        <v>2</v>
      </c>
      <c r="DA195" s="58">
        <f t="array" ref="DA195">SUM(IF(CW195:CX195&gt;=CX195, 1))</f>
        <v>1</v>
      </c>
      <c r="DC195" s="109">
        <f t="shared" si="107"/>
        <v>-2812614.453508805</v>
      </c>
      <c r="DD195" s="109">
        <f t="shared" si="108"/>
        <v>0</v>
      </c>
      <c r="DF195" s="58">
        <f t="array" ref="DF195">SUM(IF(DC195:DD195&gt;=DC195, 1))</f>
        <v>2</v>
      </c>
      <c r="DG195" s="58">
        <f t="array" ref="DG195">SUM(IF(DC195:DD195&gt;=DD195, 1))</f>
        <v>1</v>
      </c>
      <c r="DI195" s="109">
        <f t="shared" si="109"/>
        <v>-64974841.564387262</v>
      </c>
      <c r="DJ195" s="109">
        <f t="shared" si="110"/>
        <v>0</v>
      </c>
      <c r="DL195" s="58">
        <f t="array" ref="DL195">SUM(IF(DI195:DJ195&gt;=DI195, 1))</f>
        <v>2</v>
      </c>
      <c r="DM195" s="58">
        <f t="array" ref="DM195">SUM(IF(DI195:DJ195&gt;=DJ195, 1))</f>
        <v>1</v>
      </c>
      <c r="DO195" s="109">
        <f t="shared" si="111"/>
        <v>-7935275.8967635334</v>
      </c>
      <c r="DP195" s="109">
        <f t="shared" si="112"/>
        <v>0</v>
      </c>
      <c r="DR195" s="58">
        <f t="array" ref="DR195">SUM(IF(DO195:DP195&gt;=DO195, 1))</f>
        <v>2</v>
      </c>
      <c r="DS195" s="58">
        <f t="array" ref="DS195">SUM(IF(DO195:DP195&gt;=DP195, 1))</f>
        <v>1</v>
      </c>
      <c r="DU195" s="109">
        <f t="shared" si="113"/>
        <v>-20771154.081044827</v>
      </c>
      <c r="DV195" s="109">
        <f t="shared" si="114"/>
        <v>0</v>
      </c>
      <c r="DX195" s="58">
        <f t="array" ref="DX195">SUM(IF(DU195:DV195&gt;=DU195, 1))</f>
        <v>2</v>
      </c>
      <c r="DY195" s="58">
        <f t="array" ref="DY195">SUM(IF(DU195:DV195&gt;=DV195, 1))</f>
        <v>1</v>
      </c>
      <c r="EA195" s="109">
        <f t="shared" si="115"/>
        <v>-143956972.87536281</v>
      </c>
      <c r="EB195" s="109">
        <f t="shared" si="116"/>
        <v>0</v>
      </c>
      <c r="ED195" s="58">
        <f t="array" ref="ED195">SUM(IF(EA195:EB195&gt;=EA195, 1))</f>
        <v>2</v>
      </c>
      <c r="EE195" s="58">
        <f t="array" ref="EE195">SUM(IF(EA195:EB195&gt;=EB195, 1))</f>
        <v>1</v>
      </c>
    </row>
    <row r="196" spans="4:135" ht="12" customHeight="1" x14ac:dyDescent="0.25">
      <c r="D196" s="11">
        <v>180</v>
      </c>
      <c r="E196" s="72">
        <v>269.73188581354844</v>
      </c>
      <c r="F196" s="72">
        <v>243.34628264920639</v>
      </c>
      <c r="G196" s="73"/>
      <c r="H196" s="74">
        <v>5.85672773037449</v>
      </c>
      <c r="I196" s="74">
        <v>5.8746781477235928</v>
      </c>
      <c r="J196" s="73"/>
      <c r="K196" s="72">
        <v>289.36982680342709</v>
      </c>
      <c r="L196" s="72">
        <v>262.37042328378226</v>
      </c>
      <c r="M196" s="73"/>
      <c r="N196" s="74">
        <v>6.6745694758866776</v>
      </c>
      <c r="O196" s="74">
        <v>6.6904308350108623</v>
      </c>
      <c r="P196" s="73"/>
      <c r="Q196" s="72">
        <v>2187.9019590564235</v>
      </c>
      <c r="R196" s="72">
        <v>1461.8987468429557</v>
      </c>
      <c r="S196" s="73"/>
      <c r="T196" s="74">
        <v>4.7909106097515446</v>
      </c>
      <c r="U196" s="74">
        <v>4.8538445562756865</v>
      </c>
      <c r="V196" s="73"/>
      <c r="W196" s="72">
        <v>13249.266299638146</v>
      </c>
      <c r="X196" s="72">
        <v>13230.602567004935</v>
      </c>
      <c r="Y196" s="73"/>
      <c r="Z196" s="74">
        <v>2.8940397785163241</v>
      </c>
      <c r="AA196" s="74">
        <v>2.9280860026123245</v>
      </c>
      <c r="AB196" s="73"/>
      <c r="AC196" s="72">
        <v>49021.004646876834</v>
      </c>
      <c r="AD196" s="72">
        <v>48960.698739607709</v>
      </c>
      <c r="AE196" s="73"/>
      <c r="AF196" s="74">
        <v>4.7181347678262577</v>
      </c>
      <c r="AG196" s="74">
        <v>4.8296886289362257</v>
      </c>
      <c r="AH196" s="73"/>
      <c r="AI196" s="72">
        <v>2836648.2885819268</v>
      </c>
      <c r="AJ196" s="72">
        <v>0</v>
      </c>
      <c r="AK196" s="73"/>
      <c r="AL196" s="74">
        <v>-1929.8031709002746</v>
      </c>
      <c r="AM196" s="74">
        <v>0</v>
      </c>
      <c r="AN196" s="73"/>
      <c r="AO196" s="72">
        <v>184166.83205791432</v>
      </c>
      <c r="AP196" s="72">
        <v>0</v>
      </c>
      <c r="AQ196" s="73"/>
      <c r="AR196" s="74">
        <v>-108.19262210398729</v>
      </c>
      <c r="AS196" s="74">
        <v>0</v>
      </c>
      <c r="AT196" s="73"/>
      <c r="AU196" s="72">
        <v>16345822.849703705</v>
      </c>
      <c r="AV196" s="72">
        <v>0</v>
      </c>
      <c r="AW196" s="73"/>
      <c r="AX196" s="74">
        <v>-1416.9457156807687</v>
      </c>
      <c r="AY196" s="74">
        <v>0</v>
      </c>
      <c r="AZ196" s="73"/>
      <c r="BA196" s="72">
        <v>172617.38906499997</v>
      </c>
      <c r="BB196" s="72">
        <v>0</v>
      </c>
      <c r="BC196" s="73"/>
      <c r="BD196" s="74">
        <v>-314.8871893136602</v>
      </c>
      <c r="BE196" s="74">
        <v>0</v>
      </c>
      <c r="BF196" s="73"/>
      <c r="BG196" s="72">
        <v>970784.04332996823</v>
      </c>
      <c r="BH196" s="72">
        <v>0</v>
      </c>
      <c r="BI196" s="73"/>
      <c r="BJ196" s="74">
        <v>-1795.7562242471834</v>
      </c>
      <c r="BK196" s="74">
        <v>0</v>
      </c>
      <c r="BL196" s="73"/>
      <c r="BM196" s="72">
        <v>20510039.402738515</v>
      </c>
      <c r="BN196" s="72">
        <v>0</v>
      </c>
      <c r="BO196" s="73"/>
      <c r="BP196" s="74">
        <v>-5565.5849222458737</v>
      </c>
      <c r="BQ196" s="74">
        <v>0</v>
      </c>
      <c r="BS196" s="109">
        <f t="shared" si="96"/>
        <v>116864.82272167625</v>
      </c>
      <c r="BT196" s="109">
        <f t="shared" si="97"/>
        <v>117250.21667182265</v>
      </c>
      <c r="BV196" s="58">
        <f t="array" ref="BV196">SUM(IF(BS196:BT196&gt;=BS196, 1))</f>
        <v>2</v>
      </c>
      <c r="BW196" s="58">
        <f t="array" ref="BW196">SUM(IF(BS196:BT196&gt;=BT196, 1))</f>
        <v>1</v>
      </c>
      <c r="BY196" s="109">
        <f t="shared" si="98"/>
        <v>133202.01969093014</v>
      </c>
      <c r="BZ196" s="109">
        <f t="shared" si="99"/>
        <v>133546.24627693347</v>
      </c>
      <c r="CB196" s="58">
        <f t="array" ref="CB196">SUM(IF(BY196:BZ196&gt;=BY196, 1))</f>
        <v>2</v>
      </c>
      <c r="CC196" s="58">
        <f t="array" ref="CC196">SUM(IF(BY196:BZ196&gt;=BZ196, 1))</f>
        <v>1</v>
      </c>
      <c r="CE196" s="109">
        <f t="shared" si="100"/>
        <v>93630.310235974466</v>
      </c>
      <c r="CF196" s="109">
        <f t="shared" si="101"/>
        <v>95614.99237867078</v>
      </c>
      <c r="CH196" s="58">
        <f t="array" ref="CH196">SUM(IF(CE196:CF196&gt;=CE196, 1))</f>
        <v>2</v>
      </c>
      <c r="CI196" s="58">
        <f t="array" ref="CI196">SUM(IF(CE196:CF196&gt;=CF196, 1))</f>
        <v>1</v>
      </c>
      <c r="CK196" s="109">
        <f t="shared" si="102"/>
        <v>44631.529270688334</v>
      </c>
      <c r="CL196" s="109">
        <f t="shared" si="103"/>
        <v>45331.117485241557</v>
      </c>
      <c r="CN196" s="58">
        <f t="array" ref="CN196">SUM(IF(CK196:CL196&gt;=CK196, 1))</f>
        <v>2</v>
      </c>
      <c r="CO196" s="58">
        <f t="array" ref="CO196">SUM(IF(CK196:CL196&gt;=CL196, 1))</f>
        <v>1</v>
      </c>
      <c r="CQ196" s="109" cm="1">
        <f t="array" ref="CQ196">AF196*WTP-AC196</f>
        <v>45341.690709648326</v>
      </c>
      <c r="CR196" s="109">
        <f t="shared" si="104"/>
        <v>47633.073839116805</v>
      </c>
      <c r="CT196" s="58">
        <f t="array" ref="CT196">SUM(IF(CQ196:CR196&gt;=CQ196, 1))</f>
        <v>2</v>
      </c>
      <c r="CU196" s="58">
        <f t="array" ref="CU196">SUM(IF(CQ196:CR196&gt;=CR196, 1))</f>
        <v>1</v>
      </c>
      <c r="CW196" s="109">
        <f t="shared" si="105"/>
        <v>-41432711.706587419</v>
      </c>
      <c r="CX196" s="109">
        <f t="shared" si="106"/>
        <v>0</v>
      </c>
      <c r="CZ196" s="58">
        <f t="array" ref="CZ196">SUM(IF(CW196:CX196&gt;=CW196, 1))</f>
        <v>2</v>
      </c>
      <c r="DA196" s="58">
        <f t="array" ref="DA196">SUM(IF(CW196:CX196&gt;=CX196, 1))</f>
        <v>1</v>
      </c>
      <c r="DC196" s="109">
        <f t="shared" si="107"/>
        <v>-2348019.2741376599</v>
      </c>
      <c r="DD196" s="109">
        <f t="shared" si="108"/>
        <v>0</v>
      </c>
      <c r="DF196" s="58">
        <f t="array" ref="DF196">SUM(IF(DC196:DD196&gt;=DC196, 1))</f>
        <v>2</v>
      </c>
      <c r="DG196" s="58">
        <f t="array" ref="DG196">SUM(IF(DC196:DD196&gt;=DD196, 1))</f>
        <v>1</v>
      </c>
      <c r="DI196" s="109">
        <f t="shared" si="109"/>
        <v>-44684737.163319081</v>
      </c>
      <c r="DJ196" s="109">
        <f t="shared" si="110"/>
        <v>0</v>
      </c>
      <c r="DL196" s="58">
        <f t="array" ref="DL196">SUM(IF(DI196:DJ196&gt;=DI196, 1))</f>
        <v>2</v>
      </c>
      <c r="DM196" s="58">
        <f t="array" ref="DM196">SUM(IF(DI196:DJ196&gt;=DJ196, 1))</f>
        <v>1</v>
      </c>
      <c r="DO196" s="109">
        <f t="shared" si="111"/>
        <v>-6470361.175338204</v>
      </c>
      <c r="DP196" s="109">
        <f t="shared" si="112"/>
        <v>0</v>
      </c>
      <c r="DR196" s="58">
        <f t="array" ref="DR196">SUM(IF(DO196:DP196&gt;=DO196, 1))</f>
        <v>2</v>
      </c>
      <c r="DS196" s="58">
        <f t="array" ref="DS196">SUM(IF(DO196:DP196&gt;=DP196, 1))</f>
        <v>1</v>
      </c>
      <c r="DU196" s="109">
        <f t="shared" si="113"/>
        <v>-36885908.528273635</v>
      </c>
      <c r="DV196" s="109">
        <f t="shared" si="114"/>
        <v>0</v>
      </c>
      <c r="DX196" s="58">
        <f t="array" ref="DX196">SUM(IF(DU196:DV196&gt;=DU196, 1))</f>
        <v>2</v>
      </c>
      <c r="DY196" s="58">
        <f t="array" ref="DY196">SUM(IF(DU196:DV196&gt;=DV196, 1))</f>
        <v>1</v>
      </c>
      <c r="EA196" s="109">
        <f t="shared" si="115"/>
        <v>-131821737.84765598</v>
      </c>
      <c r="EB196" s="109">
        <f t="shared" si="116"/>
        <v>0</v>
      </c>
      <c r="ED196" s="58">
        <f t="array" ref="ED196">SUM(IF(EA196:EB196&gt;=EA196, 1))</f>
        <v>2</v>
      </c>
      <c r="EE196" s="58">
        <f t="array" ref="EE196">SUM(IF(EA196:EB196&gt;=EB196, 1))</f>
        <v>1</v>
      </c>
    </row>
    <row r="197" spans="4:135" ht="12" customHeight="1" x14ac:dyDescent="0.25">
      <c r="D197" s="11">
        <v>181</v>
      </c>
      <c r="E197" s="72">
        <v>266.56699592061472</v>
      </c>
      <c r="F197" s="72">
        <v>239.25684356002267</v>
      </c>
      <c r="G197" s="73"/>
      <c r="H197" s="74">
        <v>5.8698963414984497</v>
      </c>
      <c r="I197" s="74">
        <v>5.8910196593251634</v>
      </c>
      <c r="J197" s="73"/>
      <c r="K197" s="72">
        <v>285.98344580971087</v>
      </c>
      <c r="L197" s="72">
        <v>258.04743908367732</v>
      </c>
      <c r="M197" s="73"/>
      <c r="N197" s="74">
        <v>6.7473563832004864</v>
      </c>
      <c r="O197" s="74">
        <v>6.7667019813621181</v>
      </c>
      <c r="P197" s="73"/>
      <c r="Q197" s="72">
        <v>3307.7156442965288</v>
      </c>
      <c r="R197" s="72">
        <v>1805.4322660253772</v>
      </c>
      <c r="S197" s="73"/>
      <c r="T197" s="74">
        <v>4.8317250709470647</v>
      </c>
      <c r="U197" s="74">
        <v>4.915107745481782</v>
      </c>
      <c r="V197" s="73"/>
      <c r="W197" s="72">
        <v>11176.088520359761</v>
      </c>
      <c r="X197" s="72">
        <v>11127.254752842038</v>
      </c>
      <c r="Y197" s="73"/>
      <c r="Z197" s="74">
        <v>3.112843256413063</v>
      </c>
      <c r="AA197" s="74">
        <v>3.1540565746284743</v>
      </c>
      <c r="AB197" s="73"/>
      <c r="AC197" s="72">
        <v>48583.194936670407</v>
      </c>
      <c r="AD197" s="72">
        <v>48435.246885710316</v>
      </c>
      <c r="AE197" s="73"/>
      <c r="AF197" s="74">
        <v>4.3251319232057979</v>
      </c>
      <c r="AG197" s="74">
        <v>4.4280135098059992</v>
      </c>
      <c r="AH197" s="73"/>
      <c r="AI197" s="72">
        <v>2950160.7236316921</v>
      </c>
      <c r="AJ197" s="72">
        <v>0</v>
      </c>
      <c r="AK197" s="73"/>
      <c r="AL197" s="74">
        <v>-2281.8321107238498</v>
      </c>
      <c r="AM197" s="74">
        <v>0</v>
      </c>
      <c r="AN197" s="73"/>
      <c r="AO197" s="72">
        <v>189832.86348017055</v>
      </c>
      <c r="AP197" s="72">
        <v>0</v>
      </c>
      <c r="AQ197" s="73"/>
      <c r="AR197" s="74">
        <v>-131.45867019486855</v>
      </c>
      <c r="AS197" s="74">
        <v>0</v>
      </c>
      <c r="AT197" s="73"/>
      <c r="AU197" s="72">
        <v>33942228.228408583</v>
      </c>
      <c r="AV197" s="72">
        <v>0</v>
      </c>
      <c r="AW197" s="73"/>
      <c r="AX197" s="74">
        <v>-1883.9280326788355</v>
      </c>
      <c r="AY197" s="74">
        <v>0</v>
      </c>
      <c r="AZ197" s="73"/>
      <c r="BA197" s="72">
        <v>416949.90630938101</v>
      </c>
      <c r="BB197" s="72">
        <v>0</v>
      </c>
      <c r="BC197" s="73"/>
      <c r="BD197" s="74">
        <v>-351.88538673322921</v>
      </c>
      <c r="BE197" s="74">
        <v>0</v>
      </c>
      <c r="BF197" s="73"/>
      <c r="BG197" s="72">
        <v>2302752.0470500891</v>
      </c>
      <c r="BH197" s="72">
        <v>0</v>
      </c>
      <c r="BI197" s="73"/>
      <c r="BJ197" s="74">
        <v>-1601.3106128128827</v>
      </c>
      <c r="BK197" s="74">
        <v>0</v>
      </c>
      <c r="BL197" s="73"/>
      <c r="BM197" s="72">
        <v>39801923.768879913</v>
      </c>
      <c r="BN197" s="72">
        <v>0</v>
      </c>
      <c r="BO197" s="73"/>
      <c r="BP197" s="74">
        <v>-6250.4148131436659</v>
      </c>
      <c r="BQ197" s="74">
        <v>0</v>
      </c>
      <c r="BS197" s="109">
        <f t="shared" si="96"/>
        <v>117131.35983404839</v>
      </c>
      <c r="BT197" s="109">
        <f t="shared" si="97"/>
        <v>117581.13634294324</v>
      </c>
      <c r="BV197" s="58">
        <f t="array" ref="BV197">SUM(IF(BS197:BT197&gt;=BS197, 1))</f>
        <v>2</v>
      </c>
      <c r="BW197" s="58">
        <f t="array" ref="BW197">SUM(IF(BS197:BT197&gt;=BT197, 1))</f>
        <v>1</v>
      </c>
      <c r="BY197" s="109">
        <f t="shared" si="98"/>
        <v>134661.1442182</v>
      </c>
      <c r="BZ197" s="109">
        <f t="shared" si="99"/>
        <v>135075.99218815868</v>
      </c>
      <c r="CB197" s="58">
        <f t="array" ref="CB197">SUM(IF(BY197:BZ197&gt;=BY197, 1))</f>
        <v>2</v>
      </c>
      <c r="CC197" s="58">
        <f t="array" ref="CC197">SUM(IF(BY197:BZ197&gt;=BZ197, 1))</f>
        <v>1</v>
      </c>
      <c r="CE197" s="109">
        <f t="shared" si="100"/>
        <v>93326.785774644755</v>
      </c>
      <c r="CF197" s="109">
        <f t="shared" si="101"/>
        <v>96496.722643610265</v>
      </c>
      <c r="CH197" s="58">
        <f t="array" ref="CH197">SUM(IF(CE197:CF197&gt;=CE197, 1))</f>
        <v>2</v>
      </c>
      <c r="CI197" s="58">
        <f t="array" ref="CI197">SUM(IF(CE197:CF197&gt;=CF197, 1))</f>
        <v>1</v>
      </c>
      <c r="CK197" s="109">
        <f t="shared" si="102"/>
        <v>51080.776607901498</v>
      </c>
      <c r="CL197" s="109">
        <f t="shared" si="103"/>
        <v>51953.87673972745</v>
      </c>
      <c r="CN197" s="58">
        <f t="array" ref="CN197">SUM(IF(CK197:CL197&gt;=CK197, 1))</f>
        <v>2</v>
      </c>
      <c r="CO197" s="58">
        <f t="array" ref="CO197">SUM(IF(CK197:CL197&gt;=CL197, 1))</f>
        <v>1</v>
      </c>
      <c r="CQ197" s="109" cm="1">
        <f t="array" ref="CQ197">AF197*WTP-AC197</f>
        <v>37919.443527445546</v>
      </c>
      <c r="CR197" s="109">
        <f t="shared" si="104"/>
        <v>40125.023310409662</v>
      </c>
      <c r="CT197" s="58">
        <f t="array" ref="CT197">SUM(IF(CQ197:CR197&gt;=CQ197, 1))</f>
        <v>2</v>
      </c>
      <c r="CU197" s="58">
        <f t="array" ref="CU197">SUM(IF(CQ197:CR197&gt;=CR197, 1))</f>
        <v>1</v>
      </c>
      <c r="CW197" s="109">
        <f t="shared" si="105"/>
        <v>-48586802.93810869</v>
      </c>
      <c r="CX197" s="109">
        <f t="shared" si="106"/>
        <v>0</v>
      </c>
      <c r="CZ197" s="58">
        <f t="array" ref="CZ197">SUM(IF(CW197:CX197&gt;=CW197, 1))</f>
        <v>2</v>
      </c>
      <c r="DA197" s="58">
        <f t="array" ref="DA197">SUM(IF(CW197:CX197&gt;=CX197, 1))</f>
        <v>1</v>
      </c>
      <c r="DC197" s="109">
        <f t="shared" si="107"/>
        <v>-2819006.2673775419</v>
      </c>
      <c r="DD197" s="109">
        <f t="shared" si="108"/>
        <v>0</v>
      </c>
      <c r="DF197" s="58">
        <f t="array" ref="DF197">SUM(IF(DC197:DD197&gt;=DC197, 1))</f>
        <v>2</v>
      </c>
      <c r="DG197" s="58">
        <f t="array" ref="DG197">SUM(IF(DC197:DD197&gt;=DD197, 1))</f>
        <v>1</v>
      </c>
      <c r="DI197" s="109">
        <f t="shared" si="109"/>
        <v>-71620788.881985292</v>
      </c>
      <c r="DJ197" s="109">
        <f t="shared" si="110"/>
        <v>0</v>
      </c>
      <c r="DL197" s="58">
        <f t="array" ref="DL197">SUM(IF(DI197:DJ197&gt;=DI197, 1))</f>
        <v>2</v>
      </c>
      <c r="DM197" s="58">
        <f t="array" ref="DM197">SUM(IF(DI197:DJ197&gt;=DJ197, 1))</f>
        <v>1</v>
      </c>
      <c r="DO197" s="109">
        <f t="shared" si="111"/>
        <v>-7454657.6409739656</v>
      </c>
      <c r="DP197" s="109">
        <f t="shared" si="112"/>
        <v>0</v>
      </c>
      <c r="DR197" s="58">
        <f t="array" ref="DR197">SUM(IF(DO197:DP197&gt;=DO197, 1))</f>
        <v>2</v>
      </c>
      <c r="DS197" s="58">
        <f t="array" ref="DS197">SUM(IF(DO197:DP197&gt;=DP197, 1))</f>
        <v>1</v>
      </c>
      <c r="DU197" s="109">
        <f t="shared" si="113"/>
        <v>-34328964.303307742</v>
      </c>
      <c r="DV197" s="109">
        <f t="shared" si="114"/>
        <v>0</v>
      </c>
      <c r="DX197" s="58">
        <f t="array" ref="DX197">SUM(IF(DU197:DV197&gt;=DU197, 1))</f>
        <v>2</v>
      </c>
      <c r="DY197" s="58">
        <f t="array" ref="DY197">SUM(IF(DU197:DV197&gt;=DV197, 1))</f>
        <v>1</v>
      </c>
      <c r="EA197" s="109">
        <f t="shared" si="115"/>
        <v>-164810220.03175324</v>
      </c>
      <c r="EB197" s="109">
        <f t="shared" si="116"/>
        <v>0</v>
      </c>
      <c r="ED197" s="58">
        <f t="array" ref="ED197">SUM(IF(EA197:EB197&gt;=EA197, 1))</f>
        <v>2</v>
      </c>
      <c r="EE197" s="58">
        <f t="array" ref="EE197">SUM(IF(EA197:EB197&gt;=EB197, 1))</f>
        <v>1</v>
      </c>
    </row>
    <row r="198" spans="4:135" ht="12" customHeight="1" x14ac:dyDescent="0.25">
      <c r="D198" s="11">
        <v>182</v>
      </c>
      <c r="E198" s="72">
        <v>232.69359613968678</v>
      </c>
      <c r="F198" s="72">
        <v>212.75239316282386</v>
      </c>
      <c r="G198" s="73"/>
      <c r="H198" s="74">
        <v>5.8192225359078957</v>
      </c>
      <c r="I198" s="74">
        <v>5.8343471737357735</v>
      </c>
      <c r="J198" s="73"/>
      <c r="K198" s="72">
        <v>249.76049168331238</v>
      </c>
      <c r="L198" s="72">
        <v>229.34820201641449</v>
      </c>
      <c r="M198" s="73"/>
      <c r="N198" s="74">
        <v>6.6961448671446018</v>
      </c>
      <c r="O198" s="74">
        <v>6.7093522128135836</v>
      </c>
      <c r="P198" s="73"/>
      <c r="Q198" s="72">
        <v>2818.4957674293041</v>
      </c>
      <c r="R198" s="72">
        <v>1426.0253932418161</v>
      </c>
      <c r="S198" s="73"/>
      <c r="T198" s="74">
        <v>4.7583291889343888</v>
      </c>
      <c r="U198" s="74">
        <v>4.8590947753045679</v>
      </c>
      <c r="V198" s="73"/>
      <c r="W198" s="72">
        <v>10390.286795772106</v>
      </c>
      <c r="X198" s="72">
        <v>10355.8170578551</v>
      </c>
      <c r="Y198" s="73"/>
      <c r="Z198" s="74">
        <v>2.9165349276362753</v>
      </c>
      <c r="AA198" s="74">
        <v>2.9556915491261302</v>
      </c>
      <c r="AB198" s="73"/>
      <c r="AC198" s="72">
        <v>49654.602143477241</v>
      </c>
      <c r="AD198" s="72">
        <v>49537.927752972479</v>
      </c>
      <c r="AE198" s="73"/>
      <c r="AF198" s="74">
        <v>4.2664585763239158</v>
      </c>
      <c r="AG198" s="74">
        <v>4.3141869604536378</v>
      </c>
      <c r="AH198" s="73"/>
      <c r="AI198" s="72">
        <v>2170377.9480307251</v>
      </c>
      <c r="AJ198" s="72">
        <v>0</v>
      </c>
      <c r="AK198" s="73"/>
      <c r="AL198" s="74">
        <v>-1646.1484521101511</v>
      </c>
      <c r="AM198" s="74">
        <v>0</v>
      </c>
      <c r="AN198" s="73"/>
      <c r="AO198" s="72">
        <v>138928.00845671617</v>
      </c>
      <c r="AP198" s="72">
        <v>0</v>
      </c>
      <c r="AQ198" s="73"/>
      <c r="AR198" s="74">
        <v>-89.890466024820739</v>
      </c>
      <c r="AS198" s="74">
        <v>0</v>
      </c>
      <c r="AT198" s="73"/>
      <c r="AU198" s="72">
        <v>32416981.628498279</v>
      </c>
      <c r="AV198" s="72">
        <v>0</v>
      </c>
      <c r="AW198" s="73"/>
      <c r="AX198" s="74">
        <v>-2345.8424844786928</v>
      </c>
      <c r="AY198" s="74">
        <v>0</v>
      </c>
      <c r="AZ198" s="73"/>
      <c r="BA198" s="72">
        <v>310242.49710351386</v>
      </c>
      <c r="BB198" s="72">
        <v>0</v>
      </c>
      <c r="BC198" s="73"/>
      <c r="BD198" s="74">
        <v>-352.4264692234903</v>
      </c>
      <c r="BE198" s="74">
        <v>0</v>
      </c>
      <c r="BF198" s="73"/>
      <c r="BG198" s="72">
        <v>1870409.7876821831</v>
      </c>
      <c r="BH198" s="72">
        <v>0</v>
      </c>
      <c r="BI198" s="73"/>
      <c r="BJ198" s="74">
        <v>-765.13480327838658</v>
      </c>
      <c r="BK198" s="74">
        <v>0</v>
      </c>
      <c r="BL198" s="73"/>
      <c r="BM198" s="72">
        <v>36906939.869771414</v>
      </c>
      <c r="BN198" s="72">
        <v>0</v>
      </c>
      <c r="BO198" s="73"/>
      <c r="BP198" s="74">
        <v>-5199.4426751155415</v>
      </c>
      <c r="BQ198" s="74">
        <v>0</v>
      </c>
      <c r="BS198" s="109">
        <f t="shared" si="96"/>
        <v>116151.75712201823</v>
      </c>
      <c r="BT198" s="109">
        <f t="shared" si="97"/>
        <v>116474.19108155265</v>
      </c>
      <c r="BV198" s="58">
        <f t="array" ref="BV198">SUM(IF(BS198:BT198&gt;=BS198, 1))</f>
        <v>2</v>
      </c>
      <c r="BW198" s="58">
        <f t="array" ref="BW198">SUM(IF(BS198:BT198&gt;=BT198, 1))</f>
        <v>1</v>
      </c>
      <c r="BY198" s="109">
        <f t="shared" si="98"/>
        <v>133673.13685120872</v>
      </c>
      <c r="BZ198" s="109">
        <f t="shared" si="99"/>
        <v>133957.69605425527</v>
      </c>
      <c r="CB198" s="58">
        <f t="array" ref="CB198">SUM(IF(BY198:BZ198&gt;=BY198, 1))</f>
        <v>2</v>
      </c>
      <c r="CC198" s="58">
        <f t="array" ref="CC198">SUM(IF(BY198:BZ198&gt;=BZ198, 1))</f>
        <v>1</v>
      </c>
      <c r="CE198" s="109">
        <f t="shared" si="100"/>
        <v>92348.088011258471</v>
      </c>
      <c r="CF198" s="109">
        <f t="shared" si="101"/>
        <v>95755.870112849545</v>
      </c>
      <c r="CH198" s="58">
        <f t="array" ref="CH198">SUM(IF(CE198:CF198&gt;=CE198, 1))</f>
        <v>2</v>
      </c>
      <c r="CI198" s="58">
        <f t="array" ref="CI198">SUM(IF(CE198:CF198&gt;=CF198, 1))</f>
        <v>1</v>
      </c>
      <c r="CK198" s="109">
        <f t="shared" si="102"/>
        <v>47940.411756953399</v>
      </c>
      <c r="CL198" s="109">
        <f t="shared" si="103"/>
        <v>48758.013924667503</v>
      </c>
      <c r="CN198" s="58">
        <f t="array" ref="CN198">SUM(IF(CK198:CL198&gt;=CK198, 1))</f>
        <v>2</v>
      </c>
      <c r="CO198" s="58">
        <f t="array" ref="CO198">SUM(IF(CK198:CL198&gt;=CL198, 1))</f>
        <v>1</v>
      </c>
      <c r="CQ198" s="109" cm="1">
        <f t="array" ref="CQ198">AF198*WTP-AC198</f>
        <v>35674.569383001071</v>
      </c>
      <c r="CR198" s="109">
        <f t="shared" si="104"/>
        <v>36745.811456100273</v>
      </c>
      <c r="CT198" s="58">
        <f t="array" ref="CT198">SUM(IF(CQ198:CR198&gt;=CQ198, 1))</f>
        <v>2</v>
      </c>
      <c r="CU198" s="58">
        <f t="array" ref="CU198">SUM(IF(CQ198:CR198&gt;=CR198, 1))</f>
        <v>1</v>
      </c>
      <c r="CW198" s="109">
        <f t="shared" si="105"/>
        <v>-35093346.990233749</v>
      </c>
      <c r="CX198" s="109">
        <f t="shared" si="106"/>
        <v>0</v>
      </c>
      <c r="CZ198" s="58">
        <f t="array" ref="CZ198">SUM(IF(CW198:CX198&gt;=CW198, 1))</f>
        <v>2</v>
      </c>
      <c r="DA198" s="58">
        <f t="array" ref="DA198">SUM(IF(CW198:CX198&gt;=CX198, 1))</f>
        <v>1</v>
      </c>
      <c r="DC198" s="109">
        <f t="shared" si="107"/>
        <v>-1936737.3289531309</v>
      </c>
      <c r="DD198" s="109">
        <f t="shared" si="108"/>
        <v>0</v>
      </c>
      <c r="DF198" s="58">
        <f t="array" ref="DF198">SUM(IF(DC198:DD198&gt;=DC198, 1))</f>
        <v>2</v>
      </c>
      <c r="DG198" s="58">
        <f t="array" ref="DG198">SUM(IF(DC198:DD198&gt;=DD198, 1))</f>
        <v>1</v>
      </c>
      <c r="DI198" s="109">
        <f t="shared" si="109"/>
        <v>-79333831.31807214</v>
      </c>
      <c r="DJ198" s="109">
        <f t="shared" si="110"/>
        <v>0</v>
      </c>
      <c r="DL198" s="58">
        <f t="array" ref="DL198">SUM(IF(DI198:DJ198&gt;=DI198, 1))</f>
        <v>2</v>
      </c>
      <c r="DM198" s="58">
        <f t="array" ref="DM198">SUM(IF(DI198:DJ198&gt;=DJ198, 1))</f>
        <v>1</v>
      </c>
      <c r="DO198" s="109">
        <f t="shared" si="111"/>
        <v>-7358771.8815733204</v>
      </c>
      <c r="DP198" s="109">
        <f t="shared" si="112"/>
        <v>0</v>
      </c>
      <c r="DR198" s="58">
        <f t="array" ref="DR198">SUM(IF(DO198:DP198&gt;=DO198, 1))</f>
        <v>2</v>
      </c>
      <c r="DS198" s="58">
        <f t="array" ref="DS198">SUM(IF(DO198:DP198&gt;=DP198, 1))</f>
        <v>1</v>
      </c>
      <c r="DU198" s="109">
        <f t="shared" si="113"/>
        <v>-17173105.853249915</v>
      </c>
      <c r="DV198" s="109">
        <f t="shared" si="114"/>
        <v>0</v>
      </c>
      <c r="DX198" s="58">
        <f t="array" ref="DX198">SUM(IF(DU198:DV198&gt;=DU198, 1))</f>
        <v>2</v>
      </c>
      <c r="DY198" s="58">
        <f t="array" ref="DY198">SUM(IF(DU198:DV198&gt;=DV198, 1))</f>
        <v>1</v>
      </c>
      <c r="EA198" s="109">
        <f t="shared" si="115"/>
        <v>-140895793.37208223</v>
      </c>
      <c r="EB198" s="109">
        <f t="shared" si="116"/>
        <v>0</v>
      </c>
      <c r="ED198" s="58">
        <f t="array" ref="ED198">SUM(IF(EA198:EB198&gt;=EA198, 1))</f>
        <v>2</v>
      </c>
      <c r="EE198" s="58">
        <f t="array" ref="EE198">SUM(IF(EA198:EB198&gt;=EB198, 1))</f>
        <v>1</v>
      </c>
    </row>
    <row r="199" spans="4:135" ht="12" customHeight="1" x14ac:dyDescent="0.25">
      <c r="D199" s="11">
        <v>183</v>
      </c>
      <c r="E199" s="72">
        <v>219.81435085334158</v>
      </c>
      <c r="F199" s="72">
        <v>199.45888836501348</v>
      </c>
      <c r="G199" s="73"/>
      <c r="H199" s="74">
        <v>5.7825237605186777</v>
      </c>
      <c r="I199" s="74">
        <v>5.7982596376549465</v>
      </c>
      <c r="J199" s="73"/>
      <c r="K199" s="72">
        <v>235.91682301109358</v>
      </c>
      <c r="L199" s="72">
        <v>215.0735366094267</v>
      </c>
      <c r="M199" s="73"/>
      <c r="N199" s="74">
        <v>6.7608826168354081</v>
      </c>
      <c r="O199" s="74">
        <v>6.7746780242492433</v>
      </c>
      <c r="P199" s="73"/>
      <c r="Q199" s="72">
        <v>2336.3903748973894</v>
      </c>
      <c r="R199" s="72">
        <v>1547.8679067438375</v>
      </c>
      <c r="S199" s="73"/>
      <c r="T199" s="74">
        <v>4.7197183971757406</v>
      </c>
      <c r="U199" s="74">
        <v>4.7712026054995942</v>
      </c>
      <c r="V199" s="73"/>
      <c r="W199" s="72">
        <v>11924.580286419496</v>
      </c>
      <c r="X199" s="72">
        <v>11885.253552744136</v>
      </c>
      <c r="Y199" s="73"/>
      <c r="Z199" s="74">
        <v>3.1643128044575595</v>
      </c>
      <c r="AA199" s="74">
        <v>3.2063335006087184</v>
      </c>
      <c r="AB199" s="73"/>
      <c r="AC199" s="72">
        <v>49491.210248324387</v>
      </c>
      <c r="AD199" s="72">
        <v>49445.955573196457</v>
      </c>
      <c r="AE199" s="73"/>
      <c r="AF199" s="74">
        <v>4.2832336186804767</v>
      </c>
      <c r="AG199" s="74">
        <v>4.3222175523710629</v>
      </c>
      <c r="AH199" s="73"/>
      <c r="AI199" s="72">
        <v>2218245.9471991975</v>
      </c>
      <c r="AJ199" s="72">
        <v>0</v>
      </c>
      <c r="AK199" s="73"/>
      <c r="AL199" s="74">
        <v>-1714.8244950547303</v>
      </c>
      <c r="AM199" s="74">
        <v>0</v>
      </c>
      <c r="AN199" s="73"/>
      <c r="AO199" s="72">
        <v>150282.10609083207</v>
      </c>
      <c r="AP199" s="72">
        <v>0</v>
      </c>
      <c r="AQ199" s="73"/>
      <c r="AR199" s="74">
        <v>-99.466218550181267</v>
      </c>
      <c r="AS199" s="74">
        <v>0</v>
      </c>
      <c r="AT199" s="73"/>
      <c r="AU199" s="72">
        <v>18074046.068426762</v>
      </c>
      <c r="AV199" s="72">
        <v>0</v>
      </c>
      <c r="AW199" s="73"/>
      <c r="AX199" s="74">
        <v>-1180.0906006150799</v>
      </c>
      <c r="AY199" s="74">
        <v>0</v>
      </c>
      <c r="AZ199" s="73"/>
      <c r="BA199" s="72">
        <v>345431.06690105249</v>
      </c>
      <c r="BB199" s="72">
        <v>0</v>
      </c>
      <c r="BC199" s="73"/>
      <c r="BD199" s="74">
        <v>-369.09380838089635</v>
      </c>
      <c r="BE199" s="74">
        <v>0</v>
      </c>
      <c r="BF199" s="73"/>
      <c r="BG199" s="72">
        <v>723160.6660413458</v>
      </c>
      <c r="BH199" s="72">
        <v>0</v>
      </c>
      <c r="BI199" s="73"/>
      <c r="BJ199" s="74">
        <v>-622.95547085249143</v>
      </c>
      <c r="BK199" s="74">
        <v>0</v>
      </c>
      <c r="BL199" s="73"/>
      <c r="BM199" s="72">
        <v>21511165.854659189</v>
      </c>
      <c r="BN199" s="72">
        <v>0</v>
      </c>
      <c r="BO199" s="73"/>
      <c r="BP199" s="74">
        <v>-3986.4305934533795</v>
      </c>
      <c r="BQ199" s="74">
        <v>0</v>
      </c>
      <c r="BS199" s="109">
        <f t="shared" si="96"/>
        <v>115430.66085952021</v>
      </c>
      <c r="BT199" s="109">
        <f t="shared" si="97"/>
        <v>115765.73386473392</v>
      </c>
      <c r="BV199" s="58">
        <f t="array" ref="BV199">SUM(IF(BS199:BT199&gt;=BS199, 1))</f>
        <v>2</v>
      </c>
      <c r="BW199" s="58">
        <f t="array" ref="BW199">SUM(IF(BS199:BT199&gt;=BT199, 1))</f>
        <v>1</v>
      </c>
      <c r="BY199" s="109">
        <f t="shared" si="98"/>
        <v>134981.73551369706</v>
      </c>
      <c r="BZ199" s="109">
        <f t="shared" si="99"/>
        <v>135278.48694837544</v>
      </c>
      <c r="CB199" s="58">
        <f t="array" ref="CB199">SUM(IF(BY199:BZ199&gt;=BY199, 1))</f>
        <v>2</v>
      </c>
      <c r="CC199" s="58">
        <f t="array" ref="CC199">SUM(IF(BY199:BZ199&gt;=BZ199, 1))</f>
        <v>1</v>
      </c>
      <c r="CE199" s="109">
        <f t="shared" si="100"/>
        <v>92057.977568617425</v>
      </c>
      <c r="CF199" s="109">
        <f t="shared" si="101"/>
        <v>93876.184203248049</v>
      </c>
      <c r="CH199" s="58">
        <f t="array" ref="CH199">SUM(IF(CE199:CF199&gt;=CE199, 1))</f>
        <v>2</v>
      </c>
      <c r="CI199" s="58">
        <f t="array" ref="CI199">SUM(IF(CE199:CF199&gt;=CF199, 1))</f>
        <v>1</v>
      </c>
      <c r="CK199" s="109">
        <f t="shared" si="102"/>
        <v>51361.675802731697</v>
      </c>
      <c r="CL199" s="109">
        <f t="shared" si="103"/>
        <v>52241.416459430235</v>
      </c>
      <c r="CN199" s="58">
        <f t="array" ref="CN199">SUM(IF(CK199:CL199&gt;=CK199, 1))</f>
        <v>2</v>
      </c>
      <c r="CO199" s="58">
        <f t="array" ref="CO199">SUM(IF(CK199:CL199&gt;=CL199, 1))</f>
        <v>1</v>
      </c>
      <c r="CQ199" s="109" cm="1">
        <f t="array" ref="CQ199">AF199*WTP-AC199</f>
        <v>36173.462125285143</v>
      </c>
      <c r="CR199" s="109">
        <f t="shared" si="104"/>
        <v>36998.395474224795</v>
      </c>
      <c r="CT199" s="58">
        <f t="array" ref="CT199">SUM(IF(CQ199:CR199&gt;=CQ199, 1))</f>
        <v>2</v>
      </c>
      <c r="CU199" s="58">
        <f t="array" ref="CU199">SUM(IF(CQ199:CR199&gt;=CR199, 1))</f>
        <v>1</v>
      </c>
      <c r="CW199" s="109">
        <f t="shared" si="105"/>
        <v>-36514735.848293804</v>
      </c>
      <c r="CX199" s="109">
        <f t="shared" si="106"/>
        <v>0</v>
      </c>
      <c r="CZ199" s="58">
        <f t="array" ref="CZ199">SUM(IF(CW199:CX199&gt;=CW199, 1))</f>
        <v>2</v>
      </c>
      <c r="DA199" s="58">
        <f t="array" ref="DA199">SUM(IF(CW199:CX199&gt;=CX199, 1))</f>
        <v>1</v>
      </c>
      <c r="DC199" s="109">
        <f t="shared" si="107"/>
        <v>-2139606.4770944575</v>
      </c>
      <c r="DD199" s="109">
        <f t="shared" si="108"/>
        <v>0</v>
      </c>
      <c r="DF199" s="58">
        <f t="array" ref="DF199">SUM(IF(DC199:DD199&gt;=DC199, 1))</f>
        <v>2</v>
      </c>
      <c r="DG199" s="58">
        <f t="array" ref="DG199">SUM(IF(DC199:DD199&gt;=DD199, 1))</f>
        <v>1</v>
      </c>
      <c r="DI199" s="109">
        <f t="shared" si="109"/>
        <v>-41675858.08072836</v>
      </c>
      <c r="DJ199" s="109">
        <f t="shared" si="110"/>
        <v>0</v>
      </c>
      <c r="DL199" s="58">
        <f t="array" ref="DL199">SUM(IF(DI199:DJ199&gt;=DI199, 1))</f>
        <v>2</v>
      </c>
      <c r="DM199" s="58">
        <f t="array" ref="DM199">SUM(IF(DI199:DJ199&gt;=DJ199, 1))</f>
        <v>1</v>
      </c>
      <c r="DO199" s="109">
        <f t="shared" si="111"/>
        <v>-7727307.2345189797</v>
      </c>
      <c r="DP199" s="109">
        <f t="shared" si="112"/>
        <v>0</v>
      </c>
      <c r="DR199" s="58">
        <f t="array" ref="DR199">SUM(IF(DO199:DP199&gt;=DO199, 1))</f>
        <v>2</v>
      </c>
      <c r="DS199" s="58">
        <f t="array" ref="DS199">SUM(IF(DO199:DP199&gt;=DP199, 1))</f>
        <v>1</v>
      </c>
      <c r="DU199" s="109">
        <f t="shared" si="113"/>
        <v>-13182270.083091175</v>
      </c>
      <c r="DV199" s="109">
        <f t="shared" si="114"/>
        <v>0</v>
      </c>
      <c r="DX199" s="58">
        <f t="array" ref="DX199">SUM(IF(DU199:DV199&gt;=DU199, 1))</f>
        <v>2</v>
      </c>
      <c r="DY199" s="58">
        <f t="array" ref="DY199">SUM(IF(DU199:DV199&gt;=DV199, 1))</f>
        <v>1</v>
      </c>
      <c r="EA199" s="109">
        <f t="shared" si="115"/>
        <v>-101239777.72372678</v>
      </c>
      <c r="EB199" s="109">
        <f t="shared" si="116"/>
        <v>0</v>
      </c>
      <c r="ED199" s="58">
        <f t="array" ref="ED199">SUM(IF(EA199:EB199&gt;=EA199, 1))</f>
        <v>2</v>
      </c>
      <c r="EE199" s="58">
        <f t="array" ref="EE199">SUM(IF(EA199:EB199&gt;=EB199, 1))</f>
        <v>1</v>
      </c>
    </row>
    <row r="200" spans="4:135" ht="12" customHeight="1" x14ac:dyDescent="0.25">
      <c r="D200" s="11">
        <v>184</v>
      </c>
      <c r="E200" s="72">
        <v>261.09114584310862</v>
      </c>
      <c r="F200" s="72">
        <v>249.49460068530757</v>
      </c>
      <c r="G200" s="73"/>
      <c r="H200" s="74">
        <v>5.8133866037138198</v>
      </c>
      <c r="I200" s="74">
        <v>5.8303878830816629</v>
      </c>
      <c r="J200" s="73"/>
      <c r="K200" s="72">
        <v>281.01050695991705</v>
      </c>
      <c r="L200" s="72">
        <v>269.10350113320794</v>
      </c>
      <c r="M200" s="73"/>
      <c r="N200" s="74">
        <v>6.6640115311086729</v>
      </c>
      <c r="O200" s="74">
        <v>6.678669800623652</v>
      </c>
      <c r="P200" s="73"/>
      <c r="Q200" s="72">
        <v>2215.3040833383034</v>
      </c>
      <c r="R200" s="72">
        <v>1344.4001985944942</v>
      </c>
      <c r="S200" s="73"/>
      <c r="T200" s="74">
        <v>4.7271490353638903</v>
      </c>
      <c r="U200" s="74">
        <v>4.8000354552627087</v>
      </c>
      <c r="V200" s="73"/>
      <c r="W200" s="72">
        <v>8929.4936665020177</v>
      </c>
      <c r="X200" s="72">
        <v>8905.6571738958446</v>
      </c>
      <c r="Y200" s="73"/>
      <c r="Z200" s="74">
        <v>3.181609874359709</v>
      </c>
      <c r="AA200" s="74">
        <v>3.2276209079182281</v>
      </c>
      <c r="AB200" s="73"/>
      <c r="AC200" s="72">
        <v>48744.882553323747</v>
      </c>
      <c r="AD200" s="72">
        <v>48972.908838740113</v>
      </c>
      <c r="AE200" s="73"/>
      <c r="AF200" s="74">
        <v>4.2947533869853514</v>
      </c>
      <c r="AG200" s="74">
        <v>4.4690624909122389</v>
      </c>
      <c r="AH200" s="73"/>
      <c r="AI200" s="72">
        <v>1249419.7617333115</v>
      </c>
      <c r="AJ200" s="72">
        <v>0</v>
      </c>
      <c r="AK200" s="73"/>
      <c r="AL200" s="74">
        <v>-1831.7295477129769</v>
      </c>
      <c r="AM200" s="74">
        <v>0</v>
      </c>
      <c r="AN200" s="73"/>
      <c r="AO200" s="72">
        <v>78507.981523373426</v>
      </c>
      <c r="AP200" s="72">
        <v>0</v>
      </c>
      <c r="AQ200" s="73"/>
      <c r="AR200" s="74">
        <v>-96.648239615808009</v>
      </c>
      <c r="AS200" s="74">
        <v>0</v>
      </c>
      <c r="AT200" s="73"/>
      <c r="AU200" s="72">
        <v>19883354.794596031</v>
      </c>
      <c r="AV200" s="72">
        <v>0</v>
      </c>
      <c r="AW200" s="73"/>
      <c r="AX200" s="74">
        <v>-1664.048779599168</v>
      </c>
      <c r="AY200" s="74">
        <v>0</v>
      </c>
      <c r="AZ200" s="73"/>
      <c r="BA200" s="72">
        <v>208378.16285023297</v>
      </c>
      <c r="BB200" s="72">
        <v>0</v>
      </c>
      <c r="BC200" s="73"/>
      <c r="BD200" s="74">
        <v>-402.22757610243491</v>
      </c>
      <c r="BE200" s="74">
        <v>0</v>
      </c>
      <c r="BF200" s="73"/>
      <c r="BG200" s="72">
        <v>-3713365.8053541328</v>
      </c>
      <c r="BH200" s="72">
        <v>0</v>
      </c>
      <c r="BI200" s="73"/>
      <c r="BJ200" s="74">
        <v>-2838.5914584458083</v>
      </c>
      <c r="BK200" s="74">
        <v>0</v>
      </c>
      <c r="BL200" s="73"/>
      <c r="BM200" s="72">
        <v>17706294.895348817</v>
      </c>
      <c r="BN200" s="72">
        <v>0</v>
      </c>
      <c r="BO200" s="73"/>
      <c r="BP200" s="74">
        <v>-6833.2456014761956</v>
      </c>
      <c r="BQ200" s="74">
        <v>0</v>
      </c>
      <c r="BS200" s="109">
        <f t="shared" si="96"/>
        <v>116006.64092843329</v>
      </c>
      <c r="BT200" s="109">
        <f t="shared" si="97"/>
        <v>116358.26306094794</v>
      </c>
      <c r="BV200" s="58">
        <f t="array" ref="BV200">SUM(IF(BS200:BT200&gt;=BS200, 1))</f>
        <v>2</v>
      </c>
      <c r="BW200" s="58">
        <f t="array" ref="BW200">SUM(IF(BS200:BT200&gt;=BT200, 1))</f>
        <v>1</v>
      </c>
      <c r="BY200" s="109">
        <f t="shared" si="98"/>
        <v>132999.22011521354</v>
      </c>
      <c r="BZ200" s="109">
        <f t="shared" si="99"/>
        <v>133304.29251133982</v>
      </c>
      <c r="CB200" s="58">
        <f t="array" ref="CB200">SUM(IF(BY200:BZ200&gt;=BY200, 1))</f>
        <v>2</v>
      </c>
      <c r="CC200" s="58">
        <f t="array" ref="CC200">SUM(IF(BY200:BZ200&gt;=BZ200, 1))</f>
        <v>1</v>
      </c>
      <c r="CE200" s="109">
        <f t="shared" si="100"/>
        <v>92327.676623939507</v>
      </c>
      <c r="CF200" s="109">
        <f t="shared" si="101"/>
        <v>94656.308906659688</v>
      </c>
      <c r="CH200" s="58">
        <f t="array" ref="CH200">SUM(IF(CE200:CF200&gt;=CE200, 1))</f>
        <v>2</v>
      </c>
      <c r="CI200" s="58">
        <f t="array" ref="CI200">SUM(IF(CE200:CF200&gt;=CF200, 1))</f>
        <v>1</v>
      </c>
      <c r="CK200" s="109">
        <f t="shared" si="102"/>
        <v>54702.703820692157</v>
      </c>
      <c r="CL200" s="109">
        <f t="shared" si="103"/>
        <v>55646.760984468718</v>
      </c>
      <c r="CN200" s="58">
        <f t="array" ref="CN200">SUM(IF(CK200:CL200&gt;=CK200, 1))</f>
        <v>2</v>
      </c>
      <c r="CO200" s="58">
        <f t="array" ref="CO200">SUM(IF(CK200:CL200&gt;=CL200, 1))</f>
        <v>1</v>
      </c>
      <c r="CQ200" s="109" cm="1">
        <f t="array" ref="CQ200">AF200*WTP-AC200</f>
        <v>37150.185186383278</v>
      </c>
      <c r="CR200" s="109">
        <f t="shared" si="104"/>
        <v>40408.340979504661</v>
      </c>
      <c r="CT200" s="58">
        <f t="array" ref="CT200">SUM(IF(CQ200:CR200&gt;=CQ200, 1))</f>
        <v>2</v>
      </c>
      <c r="CU200" s="58">
        <f t="array" ref="CU200">SUM(IF(CQ200:CR200&gt;=CR200, 1))</f>
        <v>1</v>
      </c>
      <c r="CW200" s="109">
        <f t="shared" si="105"/>
        <v>-37884010.715992846</v>
      </c>
      <c r="CX200" s="109">
        <f t="shared" si="106"/>
        <v>0</v>
      </c>
      <c r="CZ200" s="58">
        <f t="array" ref="CZ200">SUM(IF(CW200:CX200&gt;=CW200, 1))</f>
        <v>2</v>
      </c>
      <c r="DA200" s="58">
        <f t="array" ref="DA200">SUM(IF(CW200:CX200&gt;=CX200, 1))</f>
        <v>1</v>
      </c>
      <c r="DC200" s="109">
        <f t="shared" si="107"/>
        <v>-2011472.7738395336</v>
      </c>
      <c r="DD200" s="109">
        <f t="shared" si="108"/>
        <v>0</v>
      </c>
      <c r="DF200" s="58">
        <f t="array" ref="DF200">SUM(IF(DC200:DD200&gt;=DC200, 1))</f>
        <v>2</v>
      </c>
      <c r="DG200" s="58">
        <f t="array" ref="DG200">SUM(IF(DC200:DD200&gt;=DD200, 1))</f>
        <v>1</v>
      </c>
      <c r="DI200" s="109">
        <f t="shared" si="109"/>
        <v>-53164330.386579394</v>
      </c>
      <c r="DJ200" s="109">
        <f t="shared" si="110"/>
        <v>0</v>
      </c>
      <c r="DL200" s="58">
        <f t="array" ref="DL200">SUM(IF(DI200:DJ200&gt;=DI200, 1))</f>
        <v>2</v>
      </c>
      <c r="DM200" s="58">
        <f t="array" ref="DM200">SUM(IF(DI200:DJ200&gt;=DJ200, 1))</f>
        <v>1</v>
      </c>
      <c r="DO200" s="109">
        <f t="shared" si="111"/>
        <v>-8252929.6848989306</v>
      </c>
      <c r="DP200" s="109">
        <f t="shared" si="112"/>
        <v>0</v>
      </c>
      <c r="DR200" s="58">
        <f t="array" ref="DR200">SUM(IF(DO200:DP200&gt;=DO200, 1))</f>
        <v>2</v>
      </c>
      <c r="DS200" s="58">
        <f t="array" ref="DS200">SUM(IF(DO200:DP200&gt;=DP200, 1))</f>
        <v>1</v>
      </c>
      <c r="DU200" s="109">
        <f t="shared" si="113"/>
        <v>-53058463.363562033</v>
      </c>
      <c r="DV200" s="109">
        <f t="shared" si="114"/>
        <v>0</v>
      </c>
      <c r="DX200" s="58">
        <f t="array" ref="DX200">SUM(IF(DU200:DV200&gt;=DU200, 1))</f>
        <v>2</v>
      </c>
      <c r="DY200" s="58">
        <f t="array" ref="DY200">SUM(IF(DU200:DV200&gt;=DV200, 1))</f>
        <v>1</v>
      </c>
      <c r="EA200" s="109">
        <f t="shared" si="115"/>
        <v>-154371206.92487273</v>
      </c>
      <c r="EB200" s="109">
        <f t="shared" si="116"/>
        <v>0</v>
      </c>
      <c r="ED200" s="58">
        <f t="array" ref="ED200">SUM(IF(EA200:EB200&gt;=EA200, 1))</f>
        <v>2</v>
      </c>
      <c r="EE200" s="58">
        <f t="array" ref="EE200">SUM(IF(EA200:EB200&gt;=EB200, 1))</f>
        <v>1</v>
      </c>
    </row>
    <row r="201" spans="4:135" ht="12" customHeight="1" x14ac:dyDescent="0.25">
      <c r="D201" s="11">
        <v>185</v>
      </c>
      <c r="E201" s="72">
        <v>361.08093839981132</v>
      </c>
      <c r="F201" s="72">
        <v>328.4679788989103</v>
      </c>
      <c r="G201" s="73"/>
      <c r="H201" s="74">
        <v>5.8308551319801651</v>
      </c>
      <c r="I201" s="74">
        <v>5.8488814386553045</v>
      </c>
      <c r="J201" s="73"/>
      <c r="K201" s="72">
        <v>387.59708310131509</v>
      </c>
      <c r="L201" s="72">
        <v>354.20704477906833</v>
      </c>
      <c r="M201" s="73"/>
      <c r="N201" s="74">
        <v>6.6814486015555286</v>
      </c>
      <c r="O201" s="74">
        <v>6.6974436149603482</v>
      </c>
      <c r="P201" s="73"/>
      <c r="Q201" s="72">
        <v>3487.5080262923902</v>
      </c>
      <c r="R201" s="72">
        <v>1791.5054147221595</v>
      </c>
      <c r="S201" s="73"/>
      <c r="T201" s="74">
        <v>4.8235496652220498</v>
      </c>
      <c r="U201" s="74">
        <v>4.9340420353783285</v>
      </c>
      <c r="V201" s="73"/>
      <c r="W201" s="72">
        <v>9882.3618656708732</v>
      </c>
      <c r="X201" s="72">
        <v>9897.4166324965718</v>
      </c>
      <c r="Y201" s="73"/>
      <c r="Z201" s="74">
        <v>3.1804575826464476</v>
      </c>
      <c r="AA201" s="74">
        <v>3.2388884489469865</v>
      </c>
      <c r="AB201" s="73"/>
      <c r="AC201" s="72">
        <v>49102.204352073524</v>
      </c>
      <c r="AD201" s="72">
        <v>48904.874885563695</v>
      </c>
      <c r="AE201" s="73"/>
      <c r="AF201" s="74">
        <v>4.7676541111298851</v>
      </c>
      <c r="AG201" s="74">
        <v>4.9281431775891109</v>
      </c>
      <c r="AH201" s="73"/>
      <c r="AI201" s="72">
        <v>3494390.714775308</v>
      </c>
      <c r="AJ201" s="72">
        <v>0</v>
      </c>
      <c r="AK201" s="73"/>
      <c r="AL201" s="74">
        <v>-1931.4701772330391</v>
      </c>
      <c r="AM201" s="74">
        <v>0</v>
      </c>
      <c r="AN201" s="73"/>
      <c r="AO201" s="72">
        <v>237617.35573354084</v>
      </c>
      <c r="AP201" s="72">
        <v>0</v>
      </c>
      <c r="AQ201" s="73"/>
      <c r="AR201" s="74">
        <v>-113.82714669253633</v>
      </c>
      <c r="AS201" s="74">
        <v>0</v>
      </c>
      <c r="AT201" s="73"/>
      <c r="AU201" s="72">
        <v>39133787.90089345</v>
      </c>
      <c r="AV201" s="72">
        <v>0</v>
      </c>
      <c r="AW201" s="73"/>
      <c r="AX201" s="74">
        <v>-2549.5155189410325</v>
      </c>
      <c r="AY201" s="74">
        <v>0</v>
      </c>
      <c r="AZ201" s="73"/>
      <c r="BA201" s="72">
        <v>-134320.77730303165</v>
      </c>
      <c r="BB201" s="72">
        <v>0</v>
      </c>
      <c r="BC201" s="73"/>
      <c r="BD201" s="74">
        <v>-521.32852476867845</v>
      </c>
      <c r="BE201" s="74">
        <v>0</v>
      </c>
      <c r="BF201" s="73"/>
      <c r="BG201" s="72">
        <v>3155052.3402269543</v>
      </c>
      <c r="BH201" s="72">
        <v>0</v>
      </c>
      <c r="BI201" s="73"/>
      <c r="BJ201" s="74">
        <v>-2566.0202384817048</v>
      </c>
      <c r="BK201" s="74">
        <v>0</v>
      </c>
      <c r="BL201" s="73"/>
      <c r="BM201" s="72">
        <v>45886527.534326226</v>
      </c>
      <c r="BN201" s="72">
        <v>0</v>
      </c>
      <c r="BO201" s="73"/>
      <c r="BP201" s="74">
        <v>-7682.1616061169907</v>
      </c>
      <c r="BQ201" s="74">
        <v>0</v>
      </c>
      <c r="BS201" s="109">
        <f t="shared" si="96"/>
        <v>116256.02170120348</v>
      </c>
      <c r="BT201" s="109">
        <f t="shared" si="97"/>
        <v>116649.16079420717</v>
      </c>
      <c r="BV201" s="58">
        <f t="array" ref="BV201">SUM(IF(BS201:BT201&gt;=BS201, 1))</f>
        <v>2</v>
      </c>
      <c r="BW201" s="58">
        <f t="array" ref="BW201">SUM(IF(BS201:BT201&gt;=BT201, 1))</f>
        <v>1</v>
      </c>
      <c r="BY201" s="109">
        <f t="shared" si="98"/>
        <v>133241.37494800927</v>
      </c>
      <c r="BZ201" s="109">
        <f t="shared" si="99"/>
        <v>133594.66525442791</v>
      </c>
      <c r="CB201" s="58">
        <f t="array" ref="CB201">SUM(IF(BY201:BZ201&gt;=BY201, 1))</f>
        <v>2</v>
      </c>
      <c r="CC201" s="58">
        <f t="array" ref="CC201">SUM(IF(BY201:BZ201&gt;=BZ201, 1))</f>
        <v>1</v>
      </c>
      <c r="CE201" s="109">
        <f t="shared" si="100"/>
        <v>92983.485278148612</v>
      </c>
      <c r="CF201" s="109">
        <f t="shared" si="101"/>
        <v>96889.335292844422</v>
      </c>
      <c r="CH201" s="58">
        <f t="array" ref="CH201">SUM(IF(CE201:CF201&gt;=CE201, 1))</f>
        <v>2</v>
      </c>
      <c r="CI201" s="58">
        <f t="array" ref="CI201">SUM(IF(CE201:CF201&gt;=CF201, 1))</f>
        <v>1</v>
      </c>
      <c r="CK201" s="109">
        <f t="shared" si="102"/>
        <v>53726.78978725808</v>
      </c>
      <c r="CL201" s="109">
        <f t="shared" si="103"/>
        <v>54880.352346443156</v>
      </c>
      <c r="CN201" s="58">
        <f t="array" ref="CN201">SUM(IF(CK201:CL201&gt;=CK201, 1))</f>
        <v>2</v>
      </c>
      <c r="CO201" s="58">
        <f t="array" ref="CO201">SUM(IF(CK201:CL201&gt;=CL201, 1))</f>
        <v>1</v>
      </c>
      <c r="CQ201" s="109" cm="1">
        <f t="array" ref="CQ201">AF201*WTP-AC201</f>
        <v>46250.877870524178</v>
      </c>
      <c r="CR201" s="109">
        <f t="shared" si="104"/>
        <v>49657.988666218516</v>
      </c>
      <c r="CT201" s="58">
        <f t="array" ref="CT201">SUM(IF(CQ201:CR201&gt;=CQ201, 1))</f>
        <v>2</v>
      </c>
      <c r="CU201" s="58">
        <f t="array" ref="CU201">SUM(IF(CQ201:CR201&gt;=CR201, 1))</f>
        <v>1</v>
      </c>
      <c r="CW201" s="109">
        <f t="shared" si="105"/>
        <v>-42123794.259436093</v>
      </c>
      <c r="CX201" s="109">
        <f t="shared" si="106"/>
        <v>0</v>
      </c>
      <c r="CZ201" s="58">
        <f t="array" ref="CZ201">SUM(IF(CW201:CX201&gt;=CW201, 1))</f>
        <v>2</v>
      </c>
      <c r="DA201" s="58">
        <f t="array" ref="DA201">SUM(IF(CW201:CX201&gt;=CX201, 1))</f>
        <v>1</v>
      </c>
      <c r="DC201" s="109">
        <f t="shared" si="107"/>
        <v>-2514160.2895842674</v>
      </c>
      <c r="DD201" s="109">
        <f t="shared" si="108"/>
        <v>0</v>
      </c>
      <c r="DF201" s="58">
        <f t="array" ref="DF201">SUM(IF(DC201:DD201&gt;=DC201, 1))</f>
        <v>2</v>
      </c>
      <c r="DG201" s="58">
        <f t="array" ref="DG201">SUM(IF(DC201:DD201&gt;=DD201, 1))</f>
        <v>1</v>
      </c>
      <c r="DI201" s="109">
        <f t="shared" si="109"/>
        <v>-90124098.279714108</v>
      </c>
      <c r="DJ201" s="109">
        <f t="shared" si="110"/>
        <v>0</v>
      </c>
      <c r="DL201" s="58">
        <f t="array" ref="DL201">SUM(IF(DI201:DJ201&gt;=DI201, 1))</f>
        <v>2</v>
      </c>
      <c r="DM201" s="58">
        <f t="array" ref="DM201">SUM(IF(DI201:DJ201&gt;=DJ201, 1))</f>
        <v>1</v>
      </c>
      <c r="DO201" s="109">
        <f t="shared" si="111"/>
        <v>-10292249.718070537</v>
      </c>
      <c r="DP201" s="109">
        <f t="shared" si="112"/>
        <v>0</v>
      </c>
      <c r="DR201" s="58">
        <f t="array" ref="DR201">SUM(IF(DO201:DP201&gt;=DO201, 1))</f>
        <v>2</v>
      </c>
      <c r="DS201" s="58">
        <f t="array" ref="DS201">SUM(IF(DO201:DP201&gt;=DP201, 1))</f>
        <v>1</v>
      </c>
      <c r="DU201" s="109">
        <f t="shared" si="113"/>
        <v>-54475457.109861054</v>
      </c>
      <c r="DV201" s="109">
        <f t="shared" si="114"/>
        <v>0</v>
      </c>
      <c r="DX201" s="58">
        <f t="array" ref="DX201">SUM(IF(DU201:DV201&gt;=DU201, 1))</f>
        <v>2</v>
      </c>
      <c r="DY201" s="58">
        <f t="array" ref="DY201">SUM(IF(DU201:DV201&gt;=DV201, 1))</f>
        <v>1</v>
      </c>
      <c r="EA201" s="109">
        <f t="shared" si="115"/>
        <v>-199529759.65666604</v>
      </c>
      <c r="EB201" s="109">
        <f t="shared" si="116"/>
        <v>0</v>
      </c>
      <c r="ED201" s="58">
        <f t="array" ref="ED201">SUM(IF(EA201:EB201&gt;=EA201, 1))</f>
        <v>2</v>
      </c>
      <c r="EE201" s="58">
        <f t="array" ref="EE201">SUM(IF(EA201:EB201&gt;=EB201, 1))</f>
        <v>1</v>
      </c>
    </row>
    <row r="202" spans="4:135" ht="12" customHeight="1" x14ac:dyDescent="0.25">
      <c r="D202" s="11">
        <v>186</v>
      </c>
      <c r="E202" s="72">
        <v>265.24025847942409</v>
      </c>
      <c r="F202" s="72">
        <v>227.10812218252812</v>
      </c>
      <c r="G202" s="73"/>
      <c r="H202" s="74">
        <v>5.8109066384453882</v>
      </c>
      <c r="I202" s="74">
        <v>5.8288305274153922</v>
      </c>
      <c r="J202" s="73"/>
      <c r="K202" s="72">
        <v>283.79226495851077</v>
      </c>
      <c r="L202" s="72">
        <v>244.79700335818998</v>
      </c>
      <c r="M202" s="73"/>
      <c r="N202" s="74">
        <v>6.7137887551037014</v>
      </c>
      <c r="O202" s="74">
        <v>6.7298530938173009</v>
      </c>
      <c r="P202" s="73"/>
      <c r="Q202" s="72">
        <v>2206.4085960794005</v>
      </c>
      <c r="R202" s="72">
        <v>1187.519558809538</v>
      </c>
      <c r="S202" s="73"/>
      <c r="T202" s="74">
        <v>4.7689458287299731</v>
      </c>
      <c r="U202" s="74">
        <v>4.8839215971985173</v>
      </c>
      <c r="V202" s="73"/>
      <c r="W202" s="72">
        <v>13247.037360419712</v>
      </c>
      <c r="X202" s="72">
        <v>13194.442497802062</v>
      </c>
      <c r="Y202" s="73"/>
      <c r="Z202" s="74">
        <v>3.01241755752485</v>
      </c>
      <c r="AA202" s="74">
        <v>3.050015664205493</v>
      </c>
      <c r="AB202" s="73"/>
      <c r="AC202" s="72">
        <v>50914.864719652011</v>
      </c>
      <c r="AD202" s="72">
        <v>50092.826731503592</v>
      </c>
      <c r="AE202" s="73"/>
      <c r="AF202" s="74">
        <v>4.797092394054383</v>
      </c>
      <c r="AG202" s="74">
        <v>4.9166270521469952</v>
      </c>
      <c r="AH202" s="73"/>
      <c r="AI202" s="72">
        <v>4098162.3652801919</v>
      </c>
      <c r="AJ202" s="72">
        <v>0</v>
      </c>
      <c r="AK202" s="73"/>
      <c r="AL202" s="74">
        <v>-1926.3281407685092</v>
      </c>
      <c r="AM202" s="74">
        <v>0</v>
      </c>
      <c r="AN202" s="73"/>
      <c r="AO202" s="72">
        <v>268354.05613552069</v>
      </c>
      <c r="AP202" s="72">
        <v>0</v>
      </c>
      <c r="AQ202" s="73"/>
      <c r="AR202" s="74">
        <v>-110.55010983421192</v>
      </c>
      <c r="AS202" s="74">
        <v>0</v>
      </c>
      <c r="AT202" s="73"/>
      <c r="AU202" s="72">
        <v>23683436.324067507</v>
      </c>
      <c r="AV202" s="72">
        <v>0</v>
      </c>
      <c r="AW202" s="73"/>
      <c r="AX202" s="74">
        <v>-2672.5395913885732</v>
      </c>
      <c r="AY202" s="74">
        <v>0</v>
      </c>
      <c r="AZ202" s="73"/>
      <c r="BA202" s="72">
        <v>464984.97558548942</v>
      </c>
      <c r="BB202" s="72">
        <v>0</v>
      </c>
      <c r="BC202" s="73"/>
      <c r="BD202" s="74">
        <v>-332.40042557107813</v>
      </c>
      <c r="BE202" s="74">
        <v>0</v>
      </c>
      <c r="BF202" s="73"/>
      <c r="BG202" s="72">
        <v>12816240.861655364</v>
      </c>
      <c r="BH202" s="72">
        <v>0</v>
      </c>
      <c r="BI202" s="73"/>
      <c r="BJ202" s="74">
        <v>-1863.642546351447</v>
      </c>
      <c r="BK202" s="74">
        <v>0</v>
      </c>
      <c r="BL202" s="73"/>
      <c r="BM202" s="72">
        <v>41331178.582724072</v>
      </c>
      <c r="BN202" s="72">
        <v>0</v>
      </c>
      <c r="BO202" s="73"/>
      <c r="BP202" s="74">
        <v>-6905.460813913819</v>
      </c>
      <c r="BQ202" s="74">
        <v>0</v>
      </c>
      <c r="BS202" s="109">
        <f t="shared" si="96"/>
        <v>115952.89251042834</v>
      </c>
      <c r="BT202" s="109">
        <f t="shared" si="97"/>
        <v>116349.50242612531</v>
      </c>
      <c r="BV202" s="58">
        <f t="array" ref="BV202">SUM(IF(BS202:BT202&gt;=BS202, 1))</f>
        <v>2</v>
      </c>
      <c r="BW202" s="58">
        <f t="array" ref="BW202">SUM(IF(BS202:BT202&gt;=BT202, 1))</f>
        <v>1</v>
      </c>
      <c r="BY202" s="109">
        <f t="shared" si="98"/>
        <v>133991.9828371155</v>
      </c>
      <c r="BZ202" s="109">
        <f t="shared" si="99"/>
        <v>134352.26487298781</v>
      </c>
      <c r="CB202" s="58">
        <f t="array" ref="CB202">SUM(IF(BY202:BZ202&gt;=BY202, 1))</f>
        <v>2</v>
      </c>
      <c r="CC202" s="58">
        <f t="array" ref="CC202">SUM(IF(BY202:BZ202&gt;=BZ202, 1))</f>
        <v>1</v>
      </c>
      <c r="CE202" s="109">
        <f t="shared" si="100"/>
        <v>93172.507978520065</v>
      </c>
      <c r="CF202" s="109">
        <f t="shared" si="101"/>
        <v>96490.912385160802</v>
      </c>
      <c r="CH202" s="58">
        <f t="array" ref="CH202">SUM(IF(CE202:CF202&gt;=CE202, 1))</f>
        <v>2</v>
      </c>
      <c r="CI202" s="58">
        <f t="array" ref="CI202">SUM(IF(CE202:CF202&gt;=CF202, 1))</f>
        <v>1</v>
      </c>
      <c r="CK202" s="109">
        <f t="shared" si="102"/>
        <v>47001.313790077285</v>
      </c>
      <c r="CL202" s="109">
        <f t="shared" si="103"/>
        <v>47805.870786307794</v>
      </c>
      <c r="CN202" s="58">
        <f t="array" ref="CN202">SUM(IF(CK202:CL202&gt;=CK202, 1))</f>
        <v>2</v>
      </c>
      <c r="CO202" s="58">
        <f t="array" ref="CO202">SUM(IF(CK202:CL202&gt;=CL202, 1))</f>
        <v>1</v>
      </c>
      <c r="CQ202" s="109" cm="1">
        <f t="array" ref="CQ202">AF202*WTP-AC202</f>
        <v>45026.983161435644</v>
      </c>
      <c r="CR202" s="109">
        <f t="shared" si="104"/>
        <v>48239.714311436313</v>
      </c>
      <c r="CT202" s="58">
        <f t="array" ref="CT202">SUM(IF(CQ202:CR202&gt;=CQ202, 1))</f>
        <v>2</v>
      </c>
      <c r="CU202" s="58">
        <f t="array" ref="CU202">SUM(IF(CQ202:CR202&gt;=CR202, 1))</f>
        <v>1</v>
      </c>
      <c r="CW202" s="109">
        <f t="shared" si="105"/>
        <v>-42624725.180650376</v>
      </c>
      <c r="CX202" s="109">
        <f t="shared" si="106"/>
        <v>0</v>
      </c>
      <c r="CZ202" s="58">
        <f t="array" ref="CZ202">SUM(IF(CW202:CX202&gt;=CW202, 1))</f>
        <v>2</v>
      </c>
      <c r="DA202" s="58">
        <f t="array" ref="DA202">SUM(IF(CW202:CX202&gt;=CX202, 1))</f>
        <v>1</v>
      </c>
      <c r="DC202" s="109">
        <f t="shared" si="107"/>
        <v>-2479356.2528197593</v>
      </c>
      <c r="DD202" s="109">
        <f t="shared" si="108"/>
        <v>0</v>
      </c>
      <c r="DF202" s="58">
        <f t="array" ref="DF202">SUM(IF(DC202:DD202&gt;=DC202, 1))</f>
        <v>2</v>
      </c>
      <c r="DG202" s="58">
        <f t="array" ref="DG202">SUM(IF(DC202:DD202&gt;=DD202, 1))</f>
        <v>1</v>
      </c>
      <c r="DI202" s="109">
        <f t="shared" si="109"/>
        <v>-77134228.151838973</v>
      </c>
      <c r="DJ202" s="109">
        <f t="shared" si="110"/>
        <v>0</v>
      </c>
      <c r="DL202" s="58">
        <f t="array" ref="DL202">SUM(IF(DI202:DJ202&gt;=DI202, 1))</f>
        <v>2</v>
      </c>
      <c r="DM202" s="58">
        <f t="array" ref="DM202">SUM(IF(DI202:DJ202&gt;=DJ202, 1))</f>
        <v>1</v>
      </c>
      <c r="DO202" s="109">
        <f t="shared" si="111"/>
        <v>-7112993.4870070517</v>
      </c>
      <c r="DP202" s="109">
        <f t="shared" si="112"/>
        <v>0</v>
      </c>
      <c r="DR202" s="58">
        <f t="array" ref="DR202">SUM(IF(DO202:DP202&gt;=DO202, 1))</f>
        <v>2</v>
      </c>
      <c r="DS202" s="58">
        <f t="array" ref="DS202">SUM(IF(DO202:DP202&gt;=DP202, 1))</f>
        <v>1</v>
      </c>
      <c r="DU202" s="109">
        <f t="shared" si="113"/>
        <v>-50089091.788684301</v>
      </c>
      <c r="DV202" s="109">
        <f t="shared" si="114"/>
        <v>0</v>
      </c>
      <c r="DX202" s="58">
        <f t="array" ref="DX202">SUM(IF(DU202:DV202&gt;=DU202, 1))</f>
        <v>2</v>
      </c>
      <c r="DY202" s="58">
        <f t="array" ref="DY202">SUM(IF(DU202:DV202&gt;=DV202, 1))</f>
        <v>1</v>
      </c>
      <c r="EA202" s="109">
        <f t="shared" si="115"/>
        <v>-179440394.86100045</v>
      </c>
      <c r="EB202" s="109">
        <f t="shared" si="116"/>
        <v>0</v>
      </c>
      <c r="ED202" s="58">
        <f t="array" ref="ED202">SUM(IF(EA202:EB202&gt;=EA202, 1))</f>
        <v>2</v>
      </c>
      <c r="EE202" s="58">
        <f t="array" ref="EE202">SUM(IF(EA202:EB202&gt;=EB202, 1))</f>
        <v>1</v>
      </c>
    </row>
    <row r="203" spans="4:135" ht="12" customHeight="1" x14ac:dyDescent="0.25">
      <c r="D203" s="11">
        <v>187</v>
      </c>
      <c r="E203" s="72">
        <v>246.71035061912985</v>
      </c>
      <c r="F203" s="72">
        <v>228.99687147151954</v>
      </c>
      <c r="G203" s="73"/>
      <c r="H203" s="74">
        <v>5.8529047270901229</v>
      </c>
      <c r="I203" s="74">
        <v>5.8683394662375834</v>
      </c>
      <c r="J203" s="73"/>
      <c r="K203" s="72">
        <v>265.09638536564302</v>
      </c>
      <c r="L203" s="72">
        <v>246.95132512873121</v>
      </c>
      <c r="M203" s="73"/>
      <c r="N203" s="74">
        <v>6.7377528920060952</v>
      </c>
      <c r="O203" s="74">
        <v>6.7509804134887883</v>
      </c>
      <c r="P203" s="73"/>
      <c r="Q203" s="72">
        <v>2077.0515164983449</v>
      </c>
      <c r="R203" s="72">
        <v>1479.0463413436548</v>
      </c>
      <c r="S203" s="73"/>
      <c r="T203" s="74">
        <v>4.5847425748510622</v>
      </c>
      <c r="U203" s="74">
        <v>4.6481618563894136</v>
      </c>
      <c r="V203" s="73"/>
      <c r="W203" s="72">
        <v>14432.526833361746</v>
      </c>
      <c r="X203" s="72">
        <v>14337.541976936402</v>
      </c>
      <c r="Y203" s="73"/>
      <c r="Z203" s="74">
        <v>3.1148707417047943</v>
      </c>
      <c r="AA203" s="74">
        <v>3.1595654201024974</v>
      </c>
      <c r="AB203" s="73"/>
      <c r="AC203" s="72">
        <v>51308.624519074008</v>
      </c>
      <c r="AD203" s="72">
        <v>50857.075137374595</v>
      </c>
      <c r="AE203" s="73"/>
      <c r="AF203" s="74">
        <v>4.3471172569182936</v>
      </c>
      <c r="AG203" s="74">
        <v>4.5470792249812204</v>
      </c>
      <c r="AH203" s="73"/>
      <c r="AI203" s="72">
        <v>1910828.4941379318</v>
      </c>
      <c r="AJ203" s="72">
        <v>0</v>
      </c>
      <c r="AK203" s="73"/>
      <c r="AL203" s="74">
        <v>-1665.0110978640027</v>
      </c>
      <c r="AM203" s="74">
        <v>0</v>
      </c>
      <c r="AN203" s="73"/>
      <c r="AO203" s="72">
        <v>130677.53656267599</v>
      </c>
      <c r="AP203" s="72">
        <v>0</v>
      </c>
      <c r="AQ203" s="73"/>
      <c r="AR203" s="74">
        <v>-95.262286243167736</v>
      </c>
      <c r="AS203" s="74">
        <v>0</v>
      </c>
      <c r="AT203" s="73"/>
      <c r="AU203" s="72">
        <v>13946843.744560713</v>
      </c>
      <c r="AV203" s="72">
        <v>0</v>
      </c>
      <c r="AW203" s="73"/>
      <c r="AX203" s="74">
        <v>-1479.0821998804472</v>
      </c>
      <c r="AY203" s="74">
        <v>0</v>
      </c>
      <c r="AZ203" s="73"/>
      <c r="BA203" s="72">
        <v>872271.17359068058</v>
      </c>
      <c r="BB203" s="72">
        <v>0</v>
      </c>
      <c r="BC203" s="73"/>
      <c r="BD203" s="74">
        <v>-410.44310689530238</v>
      </c>
      <c r="BE203" s="74">
        <v>0</v>
      </c>
      <c r="BF203" s="73"/>
      <c r="BG203" s="72">
        <v>7233798.9374732086</v>
      </c>
      <c r="BH203" s="72">
        <v>0</v>
      </c>
      <c r="BI203" s="73"/>
      <c r="BJ203" s="74">
        <v>-3203.3809163125943</v>
      </c>
      <c r="BK203" s="74">
        <v>0</v>
      </c>
      <c r="BL203" s="73"/>
      <c r="BM203" s="72">
        <v>24094419.88632521</v>
      </c>
      <c r="BN203" s="72">
        <v>0</v>
      </c>
      <c r="BO203" s="73"/>
      <c r="BP203" s="74">
        <v>-6853.1796071955141</v>
      </c>
      <c r="BQ203" s="74">
        <v>0</v>
      </c>
      <c r="BS203" s="109">
        <f t="shared" si="96"/>
        <v>116811.38419118333</v>
      </c>
      <c r="BT203" s="109">
        <f t="shared" si="97"/>
        <v>117137.79245328014</v>
      </c>
      <c r="BV203" s="58">
        <f t="array" ref="BV203">SUM(IF(BS203:BT203&gt;=BS203, 1))</f>
        <v>2</v>
      </c>
      <c r="BW203" s="58">
        <f t="array" ref="BW203">SUM(IF(BS203:BT203&gt;=BT203, 1))</f>
        <v>1</v>
      </c>
      <c r="BY203" s="109">
        <f t="shared" si="98"/>
        <v>134489.96145475627</v>
      </c>
      <c r="BZ203" s="109">
        <f t="shared" si="99"/>
        <v>134772.65694464702</v>
      </c>
      <c r="CB203" s="58">
        <f t="array" ref="CB203">SUM(IF(BY203:BZ203&gt;=BY203, 1))</f>
        <v>2</v>
      </c>
      <c r="CC203" s="58">
        <f t="array" ref="CC203">SUM(IF(BY203:BZ203&gt;=BZ203, 1))</f>
        <v>1</v>
      </c>
      <c r="CE203" s="109">
        <f t="shared" si="100"/>
        <v>89617.79998052289</v>
      </c>
      <c r="CF203" s="109">
        <f t="shared" si="101"/>
        <v>91484.190786444626</v>
      </c>
      <c r="CH203" s="58">
        <f t="array" ref="CH203">SUM(IF(CE203:CF203&gt;=CE203, 1))</f>
        <v>2</v>
      </c>
      <c r="CI203" s="58">
        <f t="array" ref="CI203">SUM(IF(CE203:CF203&gt;=CF203, 1))</f>
        <v>1</v>
      </c>
      <c r="CK203" s="109">
        <f t="shared" si="102"/>
        <v>47864.888000734136</v>
      </c>
      <c r="CL203" s="109">
        <f t="shared" si="103"/>
        <v>48853.76642511355</v>
      </c>
      <c r="CN203" s="58">
        <f t="array" ref="CN203">SUM(IF(CK203:CL203&gt;=CK203, 1))</f>
        <v>2</v>
      </c>
      <c r="CO203" s="58">
        <f t="array" ref="CO203">SUM(IF(CK203:CL203&gt;=CL203, 1))</f>
        <v>1</v>
      </c>
      <c r="CQ203" s="109" cm="1">
        <f t="array" ref="CQ203">AF203*WTP-AC203</f>
        <v>35633.72061929186</v>
      </c>
      <c r="CR203" s="109">
        <f t="shared" si="104"/>
        <v>40084.509362249817</v>
      </c>
      <c r="CT203" s="58">
        <f t="array" ref="CT203">SUM(IF(CQ203:CR203&gt;=CQ203, 1))</f>
        <v>2</v>
      </c>
      <c r="CU203" s="58">
        <f t="array" ref="CU203">SUM(IF(CQ203:CR203&gt;=CR203, 1))</f>
        <v>1</v>
      </c>
      <c r="CW203" s="109">
        <f t="shared" si="105"/>
        <v>-35211050.45141799</v>
      </c>
      <c r="CX203" s="109">
        <f t="shared" si="106"/>
        <v>0</v>
      </c>
      <c r="CZ203" s="58">
        <f t="array" ref="CZ203">SUM(IF(CW203:CX203&gt;=CW203, 1))</f>
        <v>2</v>
      </c>
      <c r="DA203" s="58">
        <f t="array" ref="DA203">SUM(IF(CW203:CX203&gt;=CX203, 1))</f>
        <v>1</v>
      </c>
      <c r="DC203" s="109">
        <f t="shared" si="107"/>
        <v>-2035923.2614260309</v>
      </c>
      <c r="DD203" s="109">
        <f t="shared" si="108"/>
        <v>0</v>
      </c>
      <c r="DF203" s="58">
        <f t="array" ref="DF203">SUM(IF(DC203:DD203&gt;=DC203, 1))</f>
        <v>2</v>
      </c>
      <c r="DG203" s="58">
        <f t="array" ref="DG203">SUM(IF(DC203:DD203&gt;=DD203, 1))</f>
        <v>1</v>
      </c>
      <c r="DI203" s="109">
        <f t="shared" si="109"/>
        <v>-43528487.742169656</v>
      </c>
      <c r="DJ203" s="109">
        <f t="shared" si="110"/>
        <v>0</v>
      </c>
      <c r="DL203" s="58">
        <f t="array" ref="DL203">SUM(IF(DI203:DJ203&gt;=DI203, 1))</f>
        <v>2</v>
      </c>
      <c r="DM203" s="58">
        <f t="array" ref="DM203">SUM(IF(DI203:DJ203&gt;=DJ203, 1))</f>
        <v>1</v>
      </c>
      <c r="DO203" s="109">
        <f t="shared" si="111"/>
        <v>-9081133.3114967272</v>
      </c>
      <c r="DP203" s="109">
        <f t="shared" si="112"/>
        <v>0</v>
      </c>
      <c r="DR203" s="58">
        <f t="array" ref="DR203">SUM(IF(DO203:DP203&gt;=DO203, 1))</f>
        <v>2</v>
      </c>
      <c r="DS203" s="58">
        <f t="array" ref="DS203">SUM(IF(DO203:DP203&gt;=DP203, 1))</f>
        <v>1</v>
      </c>
      <c r="DU203" s="109">
        <f t="shared" si="113"/>
        <v>-71301417.263725102</v>
      </c>
      <c r="DV203" s="109">
        <f t="shared" si="114"/>
        <v>0</v>
      </c>
      <c r="DX203" s="58">
        <f t="array" ref="DX203">SUM(IF(DU203:DV203&gt;=DU203, 1))</f>
        <v>2</v>
      </c>
      <c r="DY203" s="58">
        <f t="array" ref="DY203">SUM(IF(DU203:DV203&gt;=DV203, 1))</f>
        <v>1</v>
      </c>
      <c r="EA203" s="109">
        <f t="shared" si="115"/>
        <v>-161158012.0302355</v>
      </c>
      <c r="EB203" s="109">
        <f t="shared" si="116"/>
        <v>0</v>
      </c>
      <c r="ED203" s="58">
        <f t="array" ref="ED203">SUM(IF(EA203:EB203&gt;=EA203, 1))</f>
        <v>2</v>
      </c>
      <c r="EE203" s="58">
        <f t="array" ref="EE203">SUM(IF(EA203:EB203&gt;=EB203, 1))</f>
        <v>1</v>
      </c>
    </row>
    <row r="204" spans="4:135" ht="12" customHeight="1" x14ac:dyDescent="0.25">
      <c r="D204" s="11">
        <v>188</v>
      </c>
      <c r="E204" s="72">
        <v>286.39074260120941</v>
      </c>
      <c r="F204" s="72">
        <v>259.37636509417462</v>
      </c>
      <c r="G204" s="73"/>
      <c r="H204" s="74">
        <v>5.8626787731355545</v>
      </c>
      <c r="I204" s="74">
        <v>5.8802036744656663</v>
      </c>
      <c r="J204" s="73"/>
      <c r="K204" s="72">
        <v>307.39195050768927</v>
      </c>
      <c r="L204" s="72">
        <v>279.72276953336433</v>
      </c>
      <c r="M204" s="73"/>
      <c r="N204" s="74">
        <v>6.6957667500143057</v>
      </c>
      <c r="O204" s="74">
        <v>6.7108852609474283</v>
      </c>
      <c r="P204" s="73"/>
      <c r="Q204" s="72">
        <v>2726.1881571909439</v>
      </c>
      <c r="R204" s="72">
        <v>1373.435156419612</v>
      </c>
      <c r="S204" s="73"/>
      <c r="T204" s="74">
        <v>4.7414496932334815</v>
      </c>
      <c r="U204" s="74">
        <v>4.8275468387086464</v>
      </c>
      <c r="V204" s="73"/>
      <c r="W204" s="72">
        <v>18638.130789455703</v>
      </c>
      <c r="X204" s="72">
        <v>18570.61165682942</v>
      </c>
      <c r="Y204" s="73"/>
      <c r="Z204" s="74">
        <v>2.9533992963990428</v>
      </c>
      <c r="AA204" s="74">
        <v>2.9936176307889992</v>
      </c>
      <c r="AB204" s="73"/>
      <c r="AC204" s="72">
        <v>50153.257332746791</v>
      </c>
      <c r="AD204" s="72">
        <v>50145.936717007484</v>
      </c>
      <c r="AE204" s="73"/>
      <c r="AF204" s="74">
        <v>4.7346324506448729</v>
      </c>
      <c r="AG204" s="74">
        <v>4.7981525891363184</v>
      </c>
      <c r="AH204" s="73"/>
      <c r="AI204" s="72">
        <v>2894554.1370466501</v>
      </c>
      <c r="AJ204" s="72">
        <v>0</v>
      </c>
      <c r="AK204" s="73"/>
      <c r="AL204" s="74">
        <v>-1877.76955560792</v>
      </c>
      <c r="AM204" s="74">
        <v>0</v>
      </c>
      <c r="AN204" s="73"/>
      <c r="AO204" s="72">
        <v>182065.37360989375</v>
      </c>
      <c r="AP204" s="72">
        <v>0</v>
      </c>
      <c r="AQ204" s="73"/>
      <c r="AR204" s="74">
        <v>-99.480983698737631</v>
      </c>
      <c r="AS204" s="74">
        <v>0</v>
      </c>
      <c r="AT204" s="73"/>
      <c r="AU204" s="72">
        <v>32094834.77884157</v>
      </c>
      <c r="AV204" s="72">
        <v>0</v>
      </c>
      <c r="AW204" s="73"/>
      <c r="AX204" s="74">
        <v>-2042.7037732532856</v>
      </c>
      <c r="AY204" s="74">
        <v>0</v>
      </c>
      <c r="AZ204" s="73"/>
      <c r="BA204" s="72">
        <v>600007.27242287283</v>
      </c>
      <c r="BB204" s="72">
        <v>0</v>
      </c>
      <c r="BC204" s="73"/>
      <c r="BD204" s="74">
        <v>-357.39933527101181</v>
      </c>
      <c r="BE204" s="74">
        <v>0</v>
      </c>
      <c r="BF204" s="73"/>
      <c r="BG204" s="72">
        <v>117882.07679252562</v>
      </c>
      <c r="BH204" s="72">
        <v>0</v>
      </c>
      <c r="BI204" s="73"/>
      <c r="BJ204" s="74">
        <v>-1022.8491851191347</v>
      </c>
      <c r="BK204" s="74">
        <v>0</v>
      </c>
      <c r="BL204" s="73"/>
      <c r="BM204" s="72">
        <v>35889343.638713509</v>
      </c>
      <c r="BN204" s="72">
        <v>0</v>
      </c>
      <c r="BO204" s="73"/>
      <c r="BP204" s="74">
        <v>-5400.2028329500899</v>
      </c>
      <c r="BQ204" s="74">
        <v>0</v>
      </c>
      <c r="BS204" s="109">
        <f t="shared" si="96"/>
        <v>116967.18472010987</v>
      </c>
      <c r="BT204" s="109">
        <f t="shared" si="97"/>
        <v>117344.69712421915</v>
      </c>
      <c r="BV204" s="58">
        <f t="array" ref="BV204">SUM(IF(BS204:BT204&gt;=BS204, 1))</f>
        <v>2</v>
      </c>
      <c r="BW204" s="58">
        <f t="array" ref="BW204">SUM(IF(BS204:BT204&gt;=BT204, 1))</f>
        <v>1</v>
      </c>
      <c r="BY204" s="109">
        <f t="shared" si="98"/>
        <v>133607.94304977843</v>
      </c>
      <c r="BZ204" s="109">
        <f t="shared" si="99"/>
        <v>133937.9824494152</v>
      </c>
      <c r="CB204" s="58">
        <f t="array" ref="CB204">SUM(IF(BY204:BZ204&gt;=BY204, 1))</f>
        <v>2</v>
      </c>
      <c r="CC204" s="58">
        <f t="array" ref="CC204">SUM(IF(BY204:BZ204&gt;=BZ204, 1))</f>
        <v>1</v>
      </c>
      <c r="CE204" s="109">
        <f t="shared" si="100"/>
        <v>92102.805707478678</v>
      </c>
      <c r="CF204" s="109">
        <f t="shared" si="101"/>
        <v>95177.501617753311</v>
      </c>
      <c r="CH204" s="58">
        <f t="array" ref="CH204">SUM(IF(CE204:CF204&gt;=CE204, 1))</f>
        <v>2</v>
      </c>
      <c r="CI204" s="58">
        <f t="array" ref="CI204">SUM(IF(CE204:CF204&gt;=CF204, 1))</f>
        <v>1</v>
      </c>
      <c r="CK204" s="109">
        <f t="shared" si="102"/>
        <v>40429.855138525149</v>
      </c>
      <c r="CL204" s="109">
        <f t="shared" si="103"/>
        <v>41301.74095895057</v>
      </c>
      <c r="CN204" s="58">
        <f t="array" ref="CN204">SUM(IF(CK204:CL204&gt;=CK204, 1))</f>
        <v>2</v>
      </c>
      <c r="CO204" s="58">
        <f t="array" ref="CO204">SUM(IF(CK204:CL204&gt;=CL204, 1))</f>
        <v>1</v>
      </c>
      <c r="CQ204" s="109" cm="1">
        <f t="array" ref="CQ204">AF204*WTP-AC204</f>
        <v>44539.391680150664</v>
      </c>
      <c r="CR204" s="109">
        <f t="shared" si="104"/>
        <v>45817.115065718885</v>
      </c>
      <c r="CT204" s="58">
        <f t="array" ref="CT204">SUM(IF(CQ204:CR204&gt;=CQ204, 1))</f>
        <v>2</v>
      </c>
      <c r="CU204" s="58">
        <f t="array" ref="CU204">SUM(IF(CQ204:CR204&gt;=CR204, 1))</f>
        <v>1</v>
      </c>
      <c r="CW204" s="109">
        <f t="shared" si="105"/>
        <v>-40449945.249205053</v>
      </c>
      <c r="CX204" s="109">
        <f t="shared" si="106"/>
        <v>0</v>
      </c>
      <c r="CZ204" s="58">
        <f t="array" ref="CZ204">SUM(IF(CW204:CX204&gt;=CW204, 1))</f>
        <v>2</v>
      </c>
      <c r="DA204" s="58">
        <f t="array" ref="DA204">SUM(IF(CW204:CX204&gt;=CX204, 1))</f>
        <v>1</v>
      </c>
      <c r="DC204" s="109">
        <f t="shared" si="107"/>
        <v>-2171685.0475846464</v>
      </c>
      <c r="DD204" s="109">
        <f t="shared" si="108"/>
        <v>0</v>
      </c>
      <c r="DF204" s="58">
        <f t="array" ref="DF204">SUM(IF(DC204:DD204&gt;=DC204, 1))</f>
        <v>2</v>
      </c>
      <c r="DG204" s="58">
        <f t="array" ref="DG204">SUM(IF(DC204:DD204&gt;=DD204, 1))</f>
        <v>1</v>
      </c>
      <c r="DI204" s="109">
        <f t="shared" si="109"/>
        <v>-72948910.243907273</v>
      </c>
      <c r="DJ204" s="109">
        <f t="shared" si="110"/>
        <v>0</v>
      </c>
      <c r="DL204" s="58">
        <f t="array" ref="DL204">SUM(IF(DI204:DJ204&gt;=DI204, 1))</f>
        <v>2</v>
      </c>
      <c r="DM204" s="58">
        <f t="array" ref="DM204">SUM(IF(DI204:DJ204&gt;=DJ204, 1))</f>
        <v>1</v>
      </c>
      <c r="DO204" s="109">
        <f t="shared" si="111"/>
        <v>-7747993.9778431086</v>
      </c>
      <c r="DP204" s="109">
        <f t="shared" si="112"/>
        <v>0</v>
      </c>
      <c r="DR204" s="58">
        <f t="array" ref="DR204">SUM(IF(DO204:DP204&gt;=DO204, 1))</f>
        <v>2</v>
      </c>
      <c r="DS204" s="58">
        <f t="array" ref="DS204">SUM(IF(DO204:DP204&gt;=DP204, 1))</f>
        <v>1</v>
      </c>
      <c r="DU204" s="109">
        <f t="shared" si="113"/>
        <v>-20574865.779175222</v>
      </c>
      <c r="DV204" s="109">
        <f t="shared" si="114"/>
        <v>0</v>
      </c>
      <c r="DX204" s="58">
        <f t="array" ref="DX204">SUM(IF(DU204:DV204&gt;=DU204, 1))</f>
        <v>2</v>
      </c>
      <c r="DY204" s="58">
        <f t="array" ref="DY204">SUM(IF(DU204:DV204&gt;=DV204, 1))</f>
        <v>1</v>
      </c>
      <c r="EA204" s="109">
        <f t="shared" si="115"/>
        <v>-143893400.29771531</v>
      </c>
      <c r="EB204" s="109">
        <f t="shared" si="116"/>
        <v>0</v>
      </c>
      <c r="ED204" s="58">
        <f t="array" ref="ED204">SUM(IF(EA204:EB204&gt;=EA204, 1))</f>
        <v>2</v>
      </c>
      <c r="EE204" s="58">
        <f t="array" ref="EE204">SUM(IF(EA204:EB204&gt;=EB204, 1))</f>
        <v>1</v>
      </c>
    </row>
    <row r="205" spans="4:135" ht="12" customHeight="1" x14ac:dyDescent="0.25">
      <c r="D205" s="11">
        <v>189</v>
      </c>
      <c r="E205" s="72">
        <v>257.49834242086268</v>
      </c>
      <c r="F205" s="72">
        <v>235.62200847911203</v>
      </c>
      <c r="G205" s="73"/>
      <c r="H205" s="74">
        <v>5.8032105821772904</v>
      </c>
      <c r="I205" s="74">
        <v>5.8220784158533174</v>
      </c>
      <c r="J205" s="73"/>
      <c r="K205" s="72">
        <v>276.53045815013547</v>
      </c>
      <c r="L205" s="72">
        <v>254.13172617767989</v>
      </c>
      <c r="M205" s="73"/>
      <c r="N205" s="74">
        <v>6.7618570106552083</v>
      </c>
      <c r="O205" s="74">
        <v>6.7783563362485069</v>
      </c>
      <c r="P205" s="73"/>
      <c r="Q205" s="72">
        <v>2317.6054357908079</v>
      </c>
      <c r="R205" s="72">
        <v>1300.407957014871</v>
      </c>
      <c r="S205" s="73"/>
      <c r="T205" s="74">
        <v>4.6575777276534085</v>
      </c>
      <c r="U205" s="74">
        <v>4.7393961178335466</v>
      </c>
      <c r="V205" s="73"/>
      <c r="W205" s="72">
        <v>20446.199348861956</v>
      </c>
      <c r="X205" s="72">
        <v>20375.804902946977</v>
      </c>
      <c r="Y205" s="73"/>
      <c r="Z205" s="74">
        <v>3.29966464259248</v>
      </c>
      <c r="AA205" s="74">
        <v>3.3345900584469503</v>
      </c>
      <c r="AB205" s="73"/>
      <c r="AC205" s="72">
        <v>50614.580723359744</v>
      </c>
      <c r="AD205" s="72">
        <v>50292.125824518451</v>
      </c>
      <c r="AE205" s="73"/>
      <c r="AF205" s="74">
        <v>4.654187178383884</v>
      </c>
      <c r="AG205" s="74">
        <v>4.8754327421584707</v>
      </c>
      <c r="AH205" s="73"/>
      <c r="AI205" s="72">
        <v>2329336.4656499997</v>
      </c>
      <c r="AJ205" s="72">
        <v>0</v>
      </c>
      <c r="AK205" s="73"/>
      <c r="AL205" s="74">
        <v>-2008.9989998512456</v>
      </c>
      <c r="AM205" s="74">
        <v>0</v>
      </c>
      <c r="AN205" s="73"/>
      <c r="AO205" s="72">
        <v>146673.7131000084</v>
      </c>
      <c r="AP205" s="72">
        <v>0</v>
      </c>
      <c r="AQ205" s="73"/>
      <c r="AR205" s="74">
        <v>-108.04260488455658</v>
      </c>
      <c r="AS205" s="74">
        <v>0</v>
      </c>
      <c r="AT205" s="73"/>
      <c r="AU205" s="72">
        <v>23698185.681522146</v>
      </c>
      <c r="AV205" s="72">
        <v>0</v>
      </c>
      <c r="AW205" s="73"/>
      <c r="AX205" s="74">
        <v>-1906.1661507315273</v>
      </c>
      <c r="AY205" s="74">
        <v>0</v>
      </c>
      <c r="AZ205" s="73"/>
      <c r="BA205" s="72">
        <v>602005.7231819249</v>
      </c>
      <c r="BB205" s="72">
        <v>0</v>
      </c>
      <c r="BC205" s="73"/>
      <c r="BD205" s="74">
        <v>-298.67839650721635</v>
      </c>
      <c r="BE205" s="74">
        <v>0</v>
      </c>
      <c r="BF205" s="73"/>
      <c r="BG205" s="72">
        <v>5146655.5283885691</v>
      </c>
      <c r="BH205" s="72">
        <v>0</v>
      </c>
      <c r="BI205" s="73"/>
      <c r="BJ205" s="74">
        <v>-3531.2681184985122</v>
      </c>
      <c r="BK205" s="74">
        <v>0</v>
      </c>
      <c r="BL205" s="73"/>
      <c r="BM205" s="72">
        <v>31922857.111842647</v>
      </c>
      <c r="BN205" s="72">
        <v>0</v>
      </c>
      <c r="BO205" s="73"/>
      <c r="BP205" s="74">
        <v>-7853.1542704730582</v>
      </c>
      <c r="BQ205" s="74">
        <v>0</v>
      </c>
      <c r="BS205" s="109">
        <f t="shared" si="96"/>
        <v>115806.71330112494</v>
      </c>
      <c r="BT205" s="109">
        <f t="shared" si="97"/>
        <v>116205.94630858724</v>
      </c>
      <c r="BV205" s="58">
        <f t="array" ref="BV205">SUM(IF(BS205:BT205&gt;=BS205, 1))</f>
        <v>2</v>
      </c>
      <c r="BW205" s="58">
        <f t="array" ref="BW205">SUM(IF(BS205:BT205&gt;=BT205, 1))</f>
        <v>1</v>
      </c>
      <c r="BY205" s="109">
        <f t="shared" si="98"/>
        <v>134960.60975495403</v>
      </c>
      <c r="BZ205" s="109">
        <f t="shared" si="99"/>
        <v>135312.99499879248</v>
      </c>
      <c r="CB205" s="58">
        <f t="array" ref="CB205">SUM(IF(BY205:BZ205&gt;=BY205, 1))</f>
        <v>2</v>
      </c>
      <c r="CC205" s="58">
        <f t="array" ref="CC205">SUM(IF(BY205:BZ205&gt;=BZ205, 1))</f>
        <v>1</v>
      </c>
      <c r="CE205" s="109">
        <f t="shared" si="100"/>
        <v>90833.949117277356</v>
      </c>
      <c r="CF205" s="109">
        <f t="shared" si="101"/>
        <v>93487.514399656051</v>
      </c>
      <c r="CH205" s="58">
        <f t="array" ref="CH205">SUM(IF(CE205:CF205&gt;=CE205, 1))</f>
        <v>2</v>
      </c>
      <c r="CI205" s="58">
        <f t="array" ref="CI205">SUM(IF(CE205:CF205&gt;=CF205, 1))</f>
        <v>1</v>
      </c>
      <c r="CK205" s="109">
        <f t="shared" si="102"/>
        <v>45547.093502987649</v>
      </c>
      <c r="CL205" s="109">
        <f t="shared" si="103"/>
        <v>46315.996265992035</v>
      </c>
      <c r="CN205" s="58">
        <f t="array" ref="CN205">SUM(IF(CK205:CL205&gt;=CK205, 1))</f>
        <v>2</v>
      </c>
      <c r="CO205" s="58">
        <f t="array" ref="CO205">SUM(IF(CK205:CL205&gt;=CL205, 1))</f>
        <v>1</v>
      </c>
      <c r="CQ205" s="109" cm="1">
        <f t="array" ref="CQ205">AF205*WTP-AC205</f>
        <v>42469.162844317936</v>
      </c>
      <c r="CR205" s="109">
        <f t="shared" si="104"/>
        <v>47216.529018650959</v>
      </c>
      <c r="CT205" s="58">
        <f t="array" ref="CT205">SUM(IF(CQ205:CR205&gt;=CQ205, 1))</f>
        <v>2</v>
      </c>
      <c r="CU205" s="58">
        <f t="array" ref="CU205">SUM(IF(CQ205:CR205&gt;=CR205, 1))</f>
        <v>1</v>
      </c>
      <c r="CW205" s="109">
        <f t="shared" si="105"/>
        <v>-42509316.462674908</v>
      </c>
      <c r="CX205" s="109">
        <f t="shared" si="106"/>
        <v>0</v>
      </c>
      <c r="CZ205" s="58">
        <f t="array" ref="CZ205">SUM(IF(CW205:CX205&gt;=CW205, 1))</f>
        <v>2</v>
      </c>
      <c r="DA205" s="58">
        <f t="array" ref="DA205">SUM(IF(CW205:CX205&gt;=CX205, 1))</f>
        <v>1</v>
      </c>
      <c r="DC205" s="109">
        <f t="shared" si="107"/>
        <v>-2307525.81079114</v>
      </c>
      <c r="DD205" s="109">
        <f t="shared" si="108"/>
        <v>0</v>
      </c>
      <c r="DF205" s="58">
        <f t="array" ref="DF205">SUM(IF(DC205:DD205&gt;=DC205, 1))</f>
        <v>2</v>
      </c>
      <c r="DG205" s="58">
        <f t="array" ref="DG205">SUM(IF(DC205:DD205&gt;=DD205, 1))</f>
        <v>1</v>
      </c>
      <c r="DI205" s="109">
        <f t="shared" si="109"/>
        <v>-61821508.696152695</v>
      </c>
      <c r="DJ205" s="109">
        <f t="shared" si="110"/>
        <v>0</v>
      </c>
      <c r="DL205" s="58">
        <f t="array" ref="DL205">SUM(IF(DI205:DJ205&gt;=DI205, 1))</f>
        <v>2</v>
      </c>
      <c r="DM205" s="58">
        <f t="array" ref="DM205">SUM(IF(DI205:DJ205&gt;=DJ205, 1))</f>
        <v>1</v>
      </c>
      <c r="DO205" s="109">
        <f t="shared" si="111"/>
        <v>-6575573.6533262515</v>
      </c>
      <c r="DP205" s="109">
        <f t="shared" si="112"/>
        <v>0</v>
      </c>
      <c r="DR205" s="58">
        <f t="array" ref="DR205">SUM(IF(DO205:DP205&gt;=DO205, 1))</f>
        <v>2</v>
      </c>
      <c r="DS205" s="58">
        <f t="array" ref="DS205">SUM(IF(DO205:DP205&gt;=DP205, 1))</f>
        <v>1</v>
      </c>
      <c r="DU205" s="109">
        <f t="shared" si="113"/>
        <v>-75772017.898358822</v>
      </c>
      <c r="DV205" s="109">
        <f t="shared" si="114"/>
        <v>0</v>
      </c>
      <c r="DX205" s="58">
        <f t="array" ref="DX205">SUM(IF(DU205:DV205&gt;=DU205, 1))</f>
        <v>2</v>
      </c>
      <c r="DY205" s="58">
        <f t="array" ref="DY205">SUM(IF(DU205:DV205&gt;=DV205, 1))</f>
        <v>1</v>
      </c>
      <c r="EA205" s="109">
        <f t="shared" si="115"/>
        <v>-188985942.52130383</v>
      </c>
      <c r="EB205" s="109">
        <f t="shared" si="116"/>
        <v>0</v>
      </c>
      <c r="ED205" s="58">
        <f t="array" ref="ED205">SUM(IF(EA205:EB205&gt;=EA205, 1))</f>
        <v>2</v>
      </c>
      <c r="EE205" s="58">
        <f t="array" ref="EE205">SUM(IF(EA205:EB205&gt;=EB205, 1))</f>
        <v>1</v>
      </c>
    </row>
    <row r="206" spans="4:135" ht="12" customHeight="1" x14ac:dyDescent="0.25">
      <c r="D206" s="11">
        <v>190</v>
      </c>
      <c r="E206" s="72">
        <v>241.23911941390483</v>
      </c>
      <c r="F206" s="72">
        <v>213.51120729381941</v>
      </c>
      <c r="G206" s="73"/>
      <c r="H206" s="74">
        <v>5.8231496133679714</v>
      </c>
      <c r="I206" s="74">
        <v>5.8418623724266787</v>
      </c>
      <c r="J206" s="73"/>
      <c r="K206" s="72">
        <v>258.59505033241527</v>
      </c>
      <c r="L206" s="72">
        <v>230.19360744701498</v>
      </c>
      <c r="M206" s="73"/>
      <c r="N206" s="74">
        <v>6.7295578742322144</v>
      </c>
      <c r="O206" s="74">
        <v>6.7456045986524042</v>
      </c>
      <c r="P206" s="73"/>
      <c r="Q206" s="72">
        <v>2503.2056009418429</v>
      </c>
      <c r="R206" s="72">
        <v>1565.1275108584434</v>
      </c>
      <c r="S206" s="73"/>
      <c r="T206" s="74">
        <v>4.7696925366452465</v>
      </c>
      <c r="U206" s="74">
        <v>4.8267280305757136</v>
      </c>
      <c r="V206" s="73"/>
      <c r="W206" s="72">
        <v>13141.831310276157</v>
      </c>
      <c r="X206" s="72">
        <v>13124.941156829986</v>
      </c>
      <c r="Y206" s="73"/>
      <c r="Z206" s="74">
        <v>2.9166947685188904</v>
      </c>
      <c r="AA206" s="74">
        <v>2.9662070877375832</v>
      </c>
      <c r="AB206" s="73"/>
      <c r="AC206" s="72">
        <v>51179.657702255565</v>
      </c>
      <c r="AD206" s="72">
        <v>50798.037264905055</v>
      </c>
      <c r="AE206" s="73"/>
      <c r="AF206" s="74">
        <v>4.265513395366531</v>
      </c>
      <c r="AG206" s="74">
        <v>4.3592239465305118</v>
      </c>
      <c r="AH206" s="73"/>
      <c r="AI206" s="72">
        <v>2976256.4122882783</v>
      </c>
      <c r="AJ206" s="72">
        <v>0</v>
      </c>
      <c r="AK206" s="73"/>
      <c r="AL206" s="74">
        <v>-2008.5886344013538</v>
      </c>
      <c r="AM206" s="74">
        <v>0</v>
      </c>
      <c r="AN206" s="73"/>
      <c r="AO206" s="72">
        <v>192626.82997025058</v>
      </c>
      <c r="AP206" s="72">
        <v>0</v>
      </c>
      <c r="AQ206" s="73"/>
      <c r="AR206" s="74">
        <v>-108.83354303299549</v>
      </c>
      <c r="AS206" s="74">
        <v>0</v>
      </c>
      <c r="AT206" s="73"/>
      <c r="AU206" s="72">
        <v>22485296.999806486</v>
      </c>
      <c r="AV206" s="72">
        <v>0</v>
      </c>
      <c r="AW206" s="73"/>
      <c r="AX206" s="74">
        <v>-1367.114352327744</v>
      </c>
      <c r="AY206" s="74">
        <v>0</v>
      </c>
      <c r="AZ206" s="73"/>
      <c r="BA206" s="72">
        <v>153334.04532323623</v>
      </c>
      <c r="BB206" s="72">
        <v>0</v>
      </c>
      <c r="BC206" s="73"/>
      <c r="BD206" s="74">
        <v>-449.48817210767436</v>
      </c>
      <c r="BE206" s="74">
        <v>0</v>
      </c>
      <c r="BF206" s="73"/>
      <c r="BG206" s="72">
        <v>6159102.4245494157</v>
      </c>
      <c r="BH206" s="72">
        <v>0</v>
      </c>
      <c r="BI206" s="73"/>
      <c r="BJ206" s="74">
        <v>-1512.4265536906148</v>
      </c>
      <c r="BK206" s="74">
        <v>0</v>
      </c>
      <c r="BL206" s="73"/>
      <c r="BM206" s="72">
        <v>31966616.71193767</v>
      </c>
      <c r="BN206" s="72">
        <v>0</v>
      </c>
      <c r="BO206" s="73"/>
      <c r="BP206" s="74">
        <v>-5446.4512555603824</v>
      </c>
      <c r="BQ206" s="74">
        <v>0</v>
      </c>
      <c r="BS206" s="109">
        <f t="shared" si="96"/>
        <v>116221.75314794552</v>
      </c>
      <c r="BT206" s="109">
        <f t="shared" si="97"/>
        <v>116623.73624123975</v>
      </c>
      <c r="BV206" s="58">
        <f t="array" ref="BV206">SUM(IF(BS206:BT206&gt;=BS206, 1))</f>
        <v>2</v>
      </c>
      <c r="BW206" s="58">
        <f t="array" ref="BW206">SUM(IF(BS206:BT206&gt;=BT206, 1))</f>
        <v>1</v>
      </c>
      <c r="BY206" s="109">
        <f t="shared" si="98"/>
        <v>134332.56243431187</v>
      </c>
      <c r="BZ206" s="109">
        <f t="shared" si="99"/>
        <v>134681.89836560105</v>
      </c>
      <c r="CB206" s="58">
        <f t="array" ref="CB206">SUM(IF(BY206:BZ206&gt;=BY206, 1))</f>
        <v>2</v>
      </c>
      <c r="CC206" s="58">
        <f t="array" ref="CC206">SUM(IF(BY206:BZ206&gt;=BZ206, 1))</f>
        <v>1</v>
      </c>
      <c r="CE206" s="109">
        <f t="shared" si="100"/>
        <v>92890.645131963087</v>
      </c>
      <c r="CF206" s="109">
        <f t="shared" si="101"/>
        <v>94969.433100655835</v>
      </c>
      <c r="CH206" s="58">
        <f t="array" ref="CH206">SUM(IF(CE206:CF206&gt;=CE206, 1))</f>
        <v>2</v>
      </c>
      <c r="CI206" s="58">
        <f t="array" ref="CI206">SUM(IF(CE206:CF206&gt;=CF206, 1))</f>
        <v>1</v>
      </c>
      <c r="CK206" s="109">
        <f t="shared" si="102"/>
        <v>45192.064060101649</v>
      </c>
      <c r="CL206" s="109">
        <f t="shared" si="103"/>
        <v>46199.200597921677</v>
      </c>
      <c r="CN206" s="58">
        <f t="array" ref="CN206">SUM(IF(CK206:CL206&gt;=CK206, 1))</f>
        <v>2</v>
      </c>
      <c r="CO206" s="58">
        <f t="array" ref="CO206">SUM(IF(CK206:CL206&gt;=CL206, 1))</f>
        <v>1</v>
      </c>
      <c r="CQ206" s="109" cm="1">
        <f t="array" ref="CQ206">AF206*WTP-AC206</f>
        <v>34130.610205075056</v>
      </c>
      <c r="CR206" s="109">
        <f t="shared" si="104"/>
        <v>36386.441665705177</v>
      </c>
      <c r="CT206" s="58">
        <f t="array" ref="CT206">SUM(IF(CQ206:CR206&gt;=CQ206, 1))</f>
        <v>2</v>
      </c>
      <c r="CU206" s="58">
        <f t="array" ref="CU206">SUM(IF(CQ206:CR206&gt;=CR206, 1))</f>
        <v>1</v>
      </c>
      <c r="CW206" s="109">
        <f t="shared" si="105"/>
        <v>-43148029.100315355</v>
      </c>
      <c r="CX206" s="109">
        <f t="shared" si="106"/>
        <v>0</v>
      </c>
      <c r="CZ206" s="58">
        <f t="array" ref="CZ206">SUM(IF(CW206:CX206&gt;=CW206, 1))</f>
        <v>2</v>
      </c>
      <c r="DA206" s="58">
        <f t="array" ref="DA206">SUM(IF(CW206:CX206&gt;=CX206, 1))</f>
        <v>1</v>
      </c>
      <c r="DC206" s="109">
        <f t="shared" si="107"/>
        <v>-2369297.6906301603</v>
      </c>
      <c r="DD206" s="109">
        <f t="shared" si="108"/>
        <v>0</v>
      </c>
      <c r="DF206" s="58">
        <f t="array" ref="DF206">SUM(IF(DC206:DD206&gt;=DC206, 1))</f>
        <v>2</v>
      </c>
      <c r="DG206" s="58">
        <f t="array" ref="DG206">SUM(IF(DC206:DD206&gt;=DD206, 1))</f>
        <v>1</v>
      </c>
      <c r="DI206" s="109">
        <f t="shared" si="109"/>
        <v>-49827584.046361364</v>
      </c>
      <c r="DJ206" s="109">
        <f t="shared" si="110"/>
        <v>0</v>
      </c>
      <c r="DL206" s="58">
        <f t="array" ref="DL206">SUM(IF(DI206:DJ206&gt;=DI206, 1))</f>
        <v>2</v>
      </c>
      <c r="DM206" s="58">
        <f t="array" ref="DM206">SUM(IF(DI206:DJ206&gt;=DJ206, 1))</f>
        <v>1</v>
      </c>
      <c r="DO206" s="109">
        <f t="shared" si="111"/>
        <v>-9143097.4874767233</v>
      </c>
      <c r="DP206" s="109">
        <f t="shared" si="112"/>
        <v>0</v>
      </c>
      <c r="DR206" s="58">
        <f t="array" ref="DR206">SUM(IF(DO206:DP206&gt;=DO206, 1))</f>
        <v>2</v>
      </c>
      <c r="DS206" s="58">
        <f t="array" ref="DS206">SUM(IF(DO206:DP206&gt;=DP206, 1))</f>
        <v>1</v>
      </c>
      <c r="DU206" s="109">
        <f t="shared" si="113"/>
        <v>-36407633.498361707</v>
      </c>
      <c r="DV206" s="109">
        <f t="shared" si="114"/>
        <v>0</v>
      </c>
      <c r="DX206" s="58">
        <f t="array" ref="DX206">SUM(IF(DU206:DV206&gt;=DU206, 1))</f>
        <v>2</v>
      </c>
      <c r="DY206" s="58">
        <f t="array" ref="DY206">SUM(IF(DU206:DV206&gt;=DV206, 1))</f>
        <v>1</v>
      </c>
      <c r="EA206" s="109">
        <f t="shared" si="115"/>
        <v>-140895641.82314533</v>
      </c>
      <c r="EB206" s="109">
        <f t="shared" si="116"/>
        <v>0</v>
      </c>
      <c r="ED206" s="58">
        <f t="array" ref="ED206">SUM(IF(EA206:EB206&gt;=EA206, 1))</f>
        <v>2</v>
      </c>
      <c r="EE206" s="58">
        <f t="array" ref="EE206">SUM(IF(EA206:EB206&gt;=EB206, 1))</f>
        <v>1</v>
      </c>
    </row>
    <row r="207" spans="4:135" ht="12" customHeight="1" x14ac:dyDescent="0.25">
      <c r="D207" s="11">
        <v>191</v>
      </c>
      <c r="E207" s="72">
        <v>231.90624388215036</v>
      </c>
      <c r="F207" s="72">
        <v>195.53397418467026</v>
      </c>
      <c r="G207" s="73"/>
      <c r="H207" s="74">
        <v>5.8117541335501297</v>
      </c>
      <c r="I207" s="74">
        <v>5.8306855543796843</v>
      </c>
      <c r="J207" s="73"/>
      <c r="K207" s="72">
        <v>248.01362520390774</v>
      </c>
      <c r="L207" s="72">
        <v>210.75810184415747</v>
      </c>
      <c r="M207" s="73"/>
      <c r="N207" s="74">
        <v>6.7000000588593016</v>
      </c>
      <c r="O207" s="74">
        <v>6.7160547031689823</v>
      </c>
      <c r="P207" s="73"/>
      <c r="Q207" s="72">
        <v>2274.8867219328895</v>
      </c>
      <c r="R207" s="72">
        <v>1180.5058889415004</v>
      </c>
      <c r="S207" s="73"/>
      <c r="T207" s="74">
        <v>4.8167200316319692</v>
      </c>
      <c r="U207" s="74">
        <v>4.8893785761309525</v>
      </c>
      <c r="V207" s="73"/>
      <c r="W207" s="72">
        <v>12203.055055921226</v>
      </c>
      <c r="X207" s="72">
        <v>12174.788857934827</v>
      </c>
      <c r="Y207" s="73"/>
      <c r="Z207" s="74">
        <v>2.9663630516512716</v>
      </c>
      <c r="AA207" s="74">
        <v>3.0075429616531899</v>
      </c>
      <c r="AB207" s="73"/>
      <c r="AC207" s="72">
        <v>51471.545857749057</v>
      </c>
      <c r="AD207" s="72">
        <v>51235.467753866098</v>
      </c>
      <c r="AE207" s="73"/>
      <c r="AF207" s="74">
        <v>4.6147291625784819</v>
      </c>
      <c r="AG207" s="74">
        <v>4.7050126732940063</v>
      </c>
      <c r="AH207" s="73"/>
      <c r="AI207" s="72">
        <v>3873952.1718001883</v>
      </c>
      <c r="AJ207" s="72">
        <v>0</v>
      </c>
      <c r="AK207" s="73"/>
      <c r="AL207" s="74">
        <v>-2016.3553016598589</v>
      </c>
      <c r="AM207" s="74">
        <v>0</v>
      </c>
      <c r="AN207" s="73"/>
      <c r="AO207" s="72">
        <v>251573.89771850393</v>
      </c>
      <c r="AP207" s="72">
        <v>0</v>
      </c>
      <c r="AQ207" s="73"/>
      <c r="AR207" s="74">
        <v>-108.41156105819513</v>
      </c>
      <c r="AS207" s="74">
        <v>0</v>
      </c>
      <c r="AT207" s="73"/>
      <c r="AU207" s="72">
        <v>24802275.163029656</v>
      </c>
      <c r="AV207" s="72">
        <v>0</v>
      </c>
      <c r="AW207" s="73"/>
      <c r="AX207" s="74">
        <v>-1646.6819952275237</v>
      </c>
      <c r="AY207" s="74">
        <v>0</v>
      </c>
      <c r="AZ207" s="73"/>
      <c r="BA207" s="72">
        <v>253380.88568294738</v>
      </c>
      <c r="BB207" s="72">
        <v>0</v>
      </c>
      <c r="BC207" s="73"/>
      <c r="BD207" s="74">
        <v>-369.14062774381262</v>
      </c>
      <c r="BE207" s="74">
        <v>0</v>
      </c>
      <c r="BF207" s="73"/>
      <c r="BG207" s="72">
        <v>3639458.9933699644</v>
      </c>
      <c r="BH207" s="72">
        <v>0</v>
      </c>
      <c r="BI207" s="73"/>
      <c r="BJ207" s="74">
        <v>-1391.8407917641155</v>
      </c>
      <c r="BK207" s="74">
        <v>0</v>
      </c>
      <c r="BL207" s="73"/>
      <c r="BM207" s="72">
        <v>32820641.11160126</v>
      </c>
      <c r="BN207" s="72">
        <v>0</v>
      </c>
      <c r="BO207" s="73"/>
      <c r="BP207" s="74">
        <v>-5532.4302774535054</v>
      </c>
      <c r="BQ207" s="74">
        <v>0</v>
      </c>
      <c r="BS207" s="109">
        <f t="shared" si="96"/>
        <v>116003.17642712044</v>
      </c>
      <c r="BT207" s="109">
        <f t="shared" si="97"/>
        <v>116418.17711340902</v>
      </c>
      <c r="BV207" s="58">
        <f t="array" ref="BV207">SUM(IF(BS207:BT207&gt;=BS207, 1))</f>
        <v>2</v>
      </c>
      <c r="BW207" s="58">
        <f t="array" ref="BW207">SUM(IF(BS207:BT207&gt;=BT207, 1))</f>
        <v>1</v>
      </c>
      <c r="BY207" s="109">
        <f t="shared" si="98"/>
        <v>133751.98755198214</v>
      </c>
      <c r="BZ207" s="109">
        <f t="shared" si="99"/>
        <v>134110.33596153549</v>
      </c>
      <c r="CB207" s="58">
        <f t="array" ref="CB207">SUM(IF(BY207:BZ207&gt;=BY207, 1))</f>
        <v>2</v>
      </c>
      <c r="CC207" s="58">
        <f t="array" ref="CC207">SUM(IF(BY207:BZ207&gt;=BZ207, 1))</f>
        <v>1</v>
      </c>
      <c r="CE207" s="109">
        <f t="shared" si="100"/>
        <v>94059.513910706504</v>
      </c>
      <c r="CF207" s="109">
        <f t="shared" si="101"/>
        <v>96607.065633677557</v>
      </c>
      <c r="CH207" s="58">
        <f t="array" ref="CH207">SUM(IF(CE207:CF207&gt;=CE207, 1))</f>
        <v>2</v>
      </c>
      <c r="CI207" s="58">
        <f t="array" ref="CI207">SUM(IF(CE207:CF207&gt;=CF207, 1))</f>
        <v>1</v>
      </c>
      <c r="CK207" s="109">
        <f t="shared" si="102"/>
        <v>47124.205977104204</v>
      </c>
      <c r="CL207" s="109">
        <f t="shared" si="103"/>
        <v>47976.070375128969</v>
      </c>
      <c r="CN207" s="58">
        <f t="array" ref="CN207">SUM(IF(CK207:CL207&gt;=CK207, 1))</f>
        <v>2</v>
      </c>
      <c r="CO207" s="58">
        <f t="array" ref="CO207">SUM(IF(CK207:CL207&gt;=CL207, 1))</f>
        <v>1</v>
      </c>
      <c r="CQ207" s="109" cm="1">
        <f t="array" ref="CQ207">AF207*WTP-AC207</f>
        <v>40823.037393820581</v>
      </c>
      <c r="CR207" s="109">
        <f t="shared" si="104"/>
        <v>42864.785712014032</v>
      </c>
      <c r="CT207" s="58">
        <f t="array" ref="CT207">SUM(IF(CQ207:CR207&gt;=CQ207, 1))</f>
        <v>2</v>
      </c>
      <c r="CU207" s="58">
        <f t="array" ref="CU207">SUM(IF(CQ207:CR207&gt;=CR207, 1))</f>
        <v>1</v>
      </c>
      <c r="CW207" s="109">
        <f t="shared" si="105"/>
        <v>-44201058.204997368</v>
      </c>
      <c r="CX207" s="109">
        <f t="shared" si="106"/>
        <v>0</v>
      </c>
      <c r="CZ207" s="58">
        <f t="array" ref="CZ207">SUM(IF(CW207:CX207&gt;=CW207, 1))</f>
        <v>2</v>
      </c>
      <c r="DA207" s="58">
        <f t="array" ref="DA207">SUM(IF(CW207:CX207&gt;=CX207, 1))</f>
        <v>1</v>
      </c>
      <c r="DC207" s="109">
        <f t="shared" si="107"/>
        <v>-2419805.1188824065</v>
      </c>
      <c r="DD207" s="109">
        <f t="shared" si="108"/>
        <v>0</v>
      </c>
      <c r="DF207" s="58">
        <f t="array" ref="DF207">SUM(IF(DC207:DD207&gt;=DC207, 1))</f>
        <v>2</v>
      </c>
      <c r="DG207" s="58">
        <f t="array" ref="DG207">SUM(IF(DC207:DD207&gt;=DD207, 1))</f>
        <v>1</v>
      </c>
      <c r="DI207" s="109">
        <f t="shared" si="109"/>
        <v>-57735915.067580134</v>
      </c>
      <c r="DJ207" s="109">
        <f t="shared" si="110"/>
        <v>0</v>
      </c>
      <c r="DL207" s="58">
        <f t="array" ref="DL207">SUM(IF(DI207:DJ207&gt;=DI207, 1))</f>
        <v>2</v>
      </c>
      <c r="DM207" s="58">
        <f t="array" ref="DM207">SUM(IF(DI207:DJ207&gt;=DJ207, 1))</f>
        <v>1</v>
      </c>
      <c r="DO207" s="109">
        <f t="shared" si="111"/>
        <v>-7636193.4405591991</v>
      </c>
      <c r="DP207" s="109">
        <f t="shared" si="112"/>
        <v>0</v>
      </c>
      <c r="DR207" s="58">
        <f t="array" ref="DR207">SUM(IF(DO207:DP207&gt;=DO207, 1))</f>
        <v>2</v>
      </c>
      <c r="DS207" s="58">
        <f t="array" ref="DS207">SUM(IF(DO207:DP207&gt;=DP207, 1))</f>
        <v>1</v>
      </c>
      <c r="DU207" s="109">
        <f t="shared" si="113"/>
        <v>-31476274.828652274</v>
      </c>
      <c r="DV207" s="109">
        <f t="shared" si="114"/>
        <v>0</v>
      </c>
      <c r="DX207" s="58">
        <f t="array" ref="DX207">SUM(IF(DU207:DV207&gt;=DU207, 1))</f>
        <v>2</v>
      </c>
      <c r="DY207" s="58">
        <f t="array" ref="DY207">SUM(IF(DU207:DV207&gt;=DV207, 1))</f>
        <v>1</v>
      </c>
      <c r="EA207" s="109">
        <f t="shared" si="115"/>
        <v>-143469246.66067135</v>
      </c>
      <c r="EB207" s="109">
        <f t="shared" si="116"/>
        <v>0</v>
      </c>
      <c r="ED207" s="58">
        <f t="array" ref="ED207">SUM(IF(EA207:EB207&gt;=EA207, 1))</f>
        <v>2</v>
      </c>
      <c r="EE207" s="58">
        <f t="array" ref="EE207">SUM(IF(EA207:EB207&gt;=EB207, 1))</f>
        <v>1</v>
      </c>
    </row>
    <row r="208" spans="4:135" ht="12" customHeight="1" x14ac:dyDescent="0.25">
      <c r="D208" s="11">
        <v>192</v>
      </c>
      <c r="E208" s="72">
        <v>252.0709148068521</v>
      </c>
      <c r="F208" s="72">
        <v>230.30896465783056</v>
      </c>
      <c r="G208" s="73"/>
      <c r="H208" s="74">
        <v>5.7650691106983363</v>
      </c>
      <c r="I208" s="74">
        <v>5.783893074198736</v>
      </c>
      <c r="J208" s="73"/>
      <c r="K208" s="72">
        <v>270.65492922589215</v>
      </c>
      <c r="L208" s="72">
        <v>248.35855984791797</v>
      </c>
      <c r="M208" s="73"/>
      <c r="N208" s="74">
        <v>6.6838310352473753</v>
      </c>
      <c r="O208" s="74">
        <v>6.7003869301598478</v>
      </c>
      <c r="P208" s="73"/>
      <c r="Q208" s="72">
        <v>2504.4439979455792</v>
      </c>
      <c r="R208" s="72">
        <v>1676.1019752210652</v>
      </c>
      <c r="S208" s="73"/>
      <c r="T208" s="74">
        <v>4.8870839193812818</v>
      </c>
      <c r="U208" s="74">
        <v>4.9586964502231314</v>
      </c>
      <c r="V208" s="73"/>
      <c r="W208" s="72">
        <v>11610.396787444859</v>
      </c>
      <c r="X208" s="72">
        <v>11576.160834307755</v>
      </c>
      <c r="Y208" s="73"/>
      <c r="Z208" s="74">
        <v>2.8882753216329116</v>
      </c>
      <c r="AA208" s="74">
        <v>2.9166294070096579</v>
      </c>
      <c r="AB208" s="73"/>
      <c r="AC208" s="72">
        <v>49897.801846160321</v>
      </c>
      <c r="AD208" s="72">
        <v>49823.611798825739</v>
      </c>
      <c r="AE208" s="73"/>
      <c r="AF208" s="74">
        <v>4.678340416653092</v>
      </c>
      <c r="AG208" s="74">
        <v>4.7792146825250672</v>
      </c>
      <c r="AH208" s="73"/>
      <c r="AI208" s="72">
        <v>2302125.9940162827</v>
      </c>
      <c r="AJ208" s="72">
        <v>0</v>
      </c>
      <c r="AK208" s="73"/>
      <c r="AL208" s="74">
        <v>-1991.3259330130556</v>
      </c>
      <c r="AM208" s="74">
        <v>0</v>
      </c>
      <c r="AN208" s="73"/>
      <c r="AO208" s="72">
        <v>149118.05908116122</v>
      </c>
      <c r="AP208" s="72">
        <v>0</v>
      </c>
      <c r="AQ208" s="73"/>
      <c r="AR208" s="74">
        <v>-110.72578112822214</v>
      </c>
      <c r="AS208" s="74">
        <v>0</v>
      </c>
      <c r="AT208" s="73"/>
      <c r="AU208" s="72">
        <v>18629244.604157183</v>
      </c>
      <c r="AV208" s="72">
        <v>0</v>
      </c>
      <c r="AW208" s="73"/>
      <c r="AX208" s="74">
        <v>-1610.551338911428</v>
      </c>
      <c r="AY208" s="74">
        <v>0</v>
      </c>
      <c r="AZ208" s="73"/>
      <c r="BA208" s="72">
        <v>299463.03847896069</v>
      </c>
      <c r="BB208" s="72">
        <v>0</v>
      </c>
      <c r="BC208" s="73"/>
      <c r="BD208" s="74">
        <v>-248.01414250710675</v>
      </c>
      <c r="BE208" s="74">
        <v>0</v>
      </c>
      <c r="BF208" s="73"/>
      <c r="BG208" s="72">
        <v>1149311.6572176805</v>
      </c>
      <c r="BH208" s="72">
        <v>0</v>
      </c>
      <c r="BI208" s="73"/>
      <c r="BJ208" s="74">
        <v>-1562.6889838348561</v>
      </c>
      <c r="BK208" s="74">
        <v>0</v>
      </c>
      <c r="BL208" s="73"/>
      <c r="BM208" s="72">
        <v>22529263.35295127</v>
      </c>
      <c r="BN208" s="72">
        <v>0</v>
      </c>
      <c r="BO208" s="73"/>
      <c r="BP208" s="74">
        <v>-5523.306179394669</v>
      </c>
      <c r="BQ208" s="74">
        <v>0</v>
      </c>
      <c r="BS208" s="109">
        <f t="shared" si="96"/>
        <v>115049.31129915988</v>
      </c>
      <c r="BT208" s="109">
        <f t="shared" si="97"/>
        <v>115447.55251931689</v>
      </c>
      <c r="BV208" s="58">
        <f t="array" ref="BV208">SUM(IF(BS208:BT208&gt;=BS208, 1))</f>
        <v>2</v>
      </c>
      <c r="BW208" s="58">
        <f t="array" ref="BW208">SUM(IF(BS208:BT208&gt;=BT208, 1))</f>
        <v>1</v>
      </c>
      <c r="BY208" s="109">
        <f t="shared" si="98"/>
        <v>133405.96577572162</v>
      </c>
      <c r="BZ208" s="109">
        <f t="shared" si="99"/>
        <v>133759.38004334903</v>
      </c>
      <c r="CB208" s="58">
        <f t="array" ref="CB208">SUM(IF(BY208:BZ208&gt;=BY208, 1))</f>
        <v>2</v>
      </c>
      <c r="CC208" s="58">
        <f t="array" ref="CC208">SUM(IF(BY208:BZ208&gt;=BZ208, 1))</f>
        <v>1</v>
      </c>
      <c r="CE208" s="109">
        <f t="shared" si="100"/>
        <v>95237.234389680059</v>
      </c>
      <c r="CF208" s="109">
        <f t="shared" si="101"/>
        <v>97497.827029241555</v>
      </c>
      <c r="CH208" s="58">
        <f t="array" ref="CH208">SUM(IF(CE208:CF208&gt;=CE208, 1))</f>
        <v>2</v>
      </c>
      <c r="CI208" s="58">
        <f t="array" ref="CI208">SUM(IF(CE208:CF208&gt;=CF208, 1))</f>
        <v>1</v>
      </c>
      <c r="CK208" s="109">
        <f t="shared" si="102"/>
        <v>46155.109645213372</v>
      </c>
      <c r="CL208" s="109">
        <f t="shared" si="103"/>
        <v>46756.427305885401</v>
      </c>
      <c r="CN208" s="58">
        <f t="array" ref="CN208">SUM(IF(CK208:CL208&gt;=CK208, 1))</f>
        <v>2</v>
      </c>
      <c r="CO208" s="58">
        <f t="array" ref="CO208">SUM(IF(CK208:CL208&gt;=CL208, 1))</f>
        <v>1</v>
      </c>
      <c r="CQ208" s="109" cm="1">
        <f t="array" ref="CQ208">AF208*WTP-AC208</f>
        <v>43669.006486901519</v>
      </c>
      <c r="CR208" s="109">
        <f t="shared" si="104"/>
        <v>45760.68185167561</v>
      </c>
      <c r="CT208" s="58">
        <f t="array" ref="CT208">SUM(IF(CQ208:CR208&gt;=CQ208, 1))</f>
        <v>2</v>
      </c>
      <c r="CU208" s="58">
        <f t="array" ref="CU208">SUM(IF(CQ208:CR208&gt;=CR208, 1))</f>
        <v>1</v>
      </c>
      <c r="CW208" s="109">
        <f t="shared" si="105"/>
        <v>-42128644.654277392</v>
      </c>
      <c r="CX208" s="109">
        <f t="shared" si="106"/>
        <v>0</v>
      </c>
      <c r="CZ208" s="58">
        <f t="array" ref="CZ208">SUM(IF(CW208:CX208&gt;=CW208, 1))</f>
        <v>2</v>
      </c>
      <c r="DA208" s="58">
        <f t="array" ref="DA208">SUM(IF(CW208:CX208&gt;=CX208, 1))</f>
        <v>1</v>
      </c>
      <c r="DC208" s="109">
        <f t="shared" si="107"/>
        <v>-2363633.6816456043</v>
      </c>
      <c r="DD208" s="109">
        <f t="shared" si="108"/>
        <v>0</v>
      </c>
      <c r="DF208" s="58">
        <f t="array" ref="DF208">SUM(IF(DC208:DD208&gt;=DC208, 1))</f>
        <v>2</v>
      </c>
      <c r="DG208" s="58">
        <f t="array" ref="DG208">SUM(IF(DC208:DD208&gt;=DD208, 1))</f>
        <v>1</v>
      </c>
      <c r="DI208" s="109">
        <f t="shared" si="109"/>
        <v>-50840271.382385746</v>
      </c>
      <c r="DJ208" s="109">
        <f t="shared" si="110"/>
        <v>0</v>
      </c>
      <c r="DL208" s="58">
        <f t="array" ref="DL208">SUM(IF(DI208:DJ208&gt;=DI208, 1))</f>
        <v>2</v>
      </c>
      <c r="DM208" s="58">
        <f t="array" ref="DM208">SUM(IF(DI208:DJ208&gt;=DJ208, 1))</f>
        <v>1</v>
      </c>
      <c r="DO208" s="109">
        <f t="shared" si="111"/>
        <v>-5259745.8886210956</v>
      </c>
      <c r="DP208" s="109">
        <f t="shared" si="112"/>
        <v>0</v>
      </c>
      <c r="DR208" s="58">
        <f t="array" ref="DR208">SUM(IF(DO208:DP208&gt;=DO208, 1))</f>
        <v>2</v>
      </c>
      <c r="DS208" s="58">
        <f t="array" ref="DS208">SUM(IF(DO208:DP208&gt;=DP208, 1))</f>
        <v>1</v>
      </c>
      <c r="DU208" s="109">
        <f t="shared" si="113"/>
        <v>-32403091.333914805</v>
      </c>
      <c r="DV208" s="109">
        <f t="shared" si="114"/>
        <v>0</v>
      </c>
      <c r="DX208" s="58">
        <f t="array" ref="DX208">SUM(IF(DU208:DV208&gt;=DU208, 1))</f>
        <v>2</v>
      </c>
      <c r="DY208" s="58">
        <f t="array" ref="DY208">SUM(IF(DU208:DV208&gt;=DV208, 1))</f>
        <v>1</v>
      </c>
      <c r="EA208" s="109">
        <f t="shared" si="115"/>
        <v>-132995386.94084466</v>
      </c>
      <c r="EB208" s="109">
        <f t="shared" si="116"/>
        <v>0</v>
      </c>
      <c r="ED208" s="58">
        <f t="array" ref="ED208">SUM(IF(EA208:EB208&gt;=EA208, 1))</f>
        <v>2</v>
      </c>
      <c r="EE208" s="58">
        <f t="array" ref="EE208">SUM(IF(EA208:EB208&gt;=EB208, 1))</f>
        <v>1</v>
      </c>
    </row>
    <row r="209" spans="4:135" ht="12" customHeight="1" x14ac:dyDescent="0.25">
      <c r="D209" s="11">
        <v>193</v>
      </c>
      <c r="E209" s="72">
        <v>248.91658648467981</v>
      </c>
      <c r="F209" s="72">
        <v>227.34414847089135</v>
      </c>
      <c r="G209" s="73"/>
      <c r="H209" s="74">
        <v>5.7702224427191444</v>
      </c>
      <c r="I209" s="74">
        <v>5.7891259705124218</v>
      </c>
      <c r="J209" s="73"/>
      <c r="K209" s="72">
        <v>267.26296486796133</v>
      </c>
      <c r="L209" s="72">
        <v>245.17094971917774</v>
      </c>
      <c r="M209" s="73"/>
      <c r="N209" s="74">
        <v>6.7085142720586886</v>
      </c>
      <c r="O209" s="74">
        <v>6.725014951409821</v>
      </c>
      <c r="P209" s="73"/>
      <c r="Q209" s="72">
        <v>2365.2975247857185</v>
      </c>
      <c r="R209" s="72">
        <v>1499.7188416365577</v>
      </c>
      <c r="S209" s="73"/>
      <c r="T209" s="74">
        <v>4.691646210737729</v>
      </c>
      <c r="U209" s="74">
        <v>4.7616238200263252</v>
      </c>
      <c r="V209" s="73"/>
      <c r="W209" s="72">
        <v>11432.617259198905</v>
      </c>
      <c r="X209" s="72">
        <v>11376.348062549534</v>
      </c>
      <c r="Y209" s="73"/>
      <c r="Z209" s="74">
        <v>3.1570981830500844</v>
      </c>
      <c r="AA209" s="74">
        <v>3.1784697054583528</v>
      </c>
      <c r="AB209" s="73"/>
      <c r="AC209" s="72">
        <v>51414.7080225346</v>
      </c>
      <c r="AD209" s="72">
        <v>51396.723204470312</v>
      </c>
      <c r="AE209" s="73"/>
      <c r="AF209" s="74">
        <v>4.1689537972373536</v>
      </c>
      <c r="AG209" s="74">
        <v>4.2051681451951346</v>
      </c>
      <c r="AH209" s="73"/>
      <c r="AI209" s="72">
        <v>2310577.0595622216</v>
      </c>
      <c r="AJ209" s="72">
        <v>0</v>
      </c>
      <c r="AK209" s="73"/>
      <c r="AL209" s="74">
        <v>-2024.7158729127402</v>
      </c>
      <c r="AM209" s="74">
        <v>0</v>
      </c>
      <c r="AN209" s="73"/>
      <c r="AO209" s="72">
        <v>148167.38151071026</v>
      </c>
      <c r="AP209" s="72">
        <v>0</v>
      </c>
      <c r="AQ209" s="73"/>
      <c r="AR209" s="74">
        <v>-110.66724498148612</v>
      </c>
      <c r="AS209" s="74">
        <v>0</v>
      </c>
      <c r="AT209" s="73"/>
      <c r="AU209" s="72">
        <v>20595637.438475959</v>
      </c>
      <c r="AV209" s="72">
        <v>0</v>
      </c>
      <c r="AW209" s="73"/>
      <c r="AX209" s="74">
        <v>-1665.051944758781</v>
      </c>
      <c r="AY209" s="74">
        <v>0</v>
      </c>
      <c r="AZ209" s="73"/>
      <c r="BA209" s="72">
        <v>498397.5249991779</v>
      </c>
      <c r="BB209" s="72">
        <v>0</v>
      </c>
      <c r="BC209" s="73"/>
      <c r="BD209" s="74">
        <v>-189.29564500659154</v>
      </c>
      <c r="BE209" s="74">
        <v>0</v>
      </c>
      <c r="BF209" s="73"/>
      <c r="BG209" s="72">
        <v>275694.20818859502</v>
      </c>
      <c r="BH209" s="72">
        <v>0</v>
      </c>
      <c r="BI209" s="73"/>
      <c r="BJ209" s="74">
        <v>-555.13967111583418</v>
      </c>
      <c r="BK209" s="74">
        <v>0</v>
      </c>
      <c r="BL209" s="73"/>
      <c r="BM209" s="72">
        <v>23828473.612736665</v>
      </c>
      <c r="BN209" s="72">
        <v>0</v>
      </c>
      <c r="BO209" s="73"/>
      <c r="BP209" s="74">
        <v>-4544.8703787754339</v>
      </c>
      <c r="BQ209" s="74">
        <v>0</v>
      </c>
      <c r="BS209" s="109">
        <f t="shared" si="96"/>
        <v>115155.53226789822</v>
      </c>
      <c r="BT209" s="109">
        <f t="shared" si="97"/>
        <v>115555.17526177755</v>
      </c>
      <c r="BV209" s="58">
        <f t="array" ref="BV209">SUM(IF(BS209:BT209&gt;=BS209, 1))</f>
        <v>2</v>
      </c>
      <c r="BW209" s="58">
        <f t="array" ref="BW209">SUM(IF(BS209:BT209&gt;=BT209, 1))</f>
        <v>1</v>
      </c>
      <c r="BY209" s="109">
        <f t="shared" si="98"/>
        <v>133903.02247630581</v>
      </c>
      <c r="BZ209" s="109">
        <f t="shared" si="99"/>
        <v>134255.12807847725</v>
      </c>
      <c r="CB209" s="58">
        <f t="array" ref="CB209">SUM(IF(BY209:BZ209&gt;=BY209, 1))</f>
        <v>2</v>
      </c>
      <c r="CC209" s="58">
        <f t="array" ref="CC209">SUM(IF(BY209:BZ209&gt;=BZ209, 1))</f>
        <v>1</v>
      </c>
      <c r="CE209" s="109">
        <f t="shared" si="100"/>
        <v>91467.626689968849</v>
      </c>
      <c r="CF209" s="109">
        <f t="shared" si="101"/>
        <v>93732.757558889949</v>
      </c>
      <c r="CH209" s="58">
        <f t="array" ref="CH209">SUM(IF(CE209:CF209&gt;=CE209, 1))</f>
        <v>2</v>
      </c>
      <c r="CI209" s="58">
        <f t="array" ref="CI209">SUM(IF(CE209:CF209&gt;=CF209, 1))</f>
        <v>1</v>
      </c>
      <c r="CK209" s="109">
        <f t="shared" si="102"/>
        <v>51709.346401802788</v>
      </c>
      <c r="CL209" s="109">
        <f t="shared" si="103"/>
        <v>52193.046046617521</v>
      </c>
      <c r="CN209" s="58">
        <f t="array" ref="CN209">SUM(IF(CK209:CL209&gt;=CK209, 1))</f>
        <v>2</v>
      </c>
      <c r="CO209" s="58">
        <f t="array" ref="CO209">SUM(IF(CK209:CL209&gt;=CL209, 1))</f>
        <v>1</v>
      </c>
      <c r="CQ209" s="109" cm="1">
        <f t="array" ref="CQ209">AF209*WTP-AC209</f>
        <v>31964.367922212477</v>
      </c>
      <c r="CR209" s="109">
        <f t="shared" si="104"/>
        <v>32706.639699432373</v>
      </c>
      <c r="CT209" s="58">
        <f t="array" ref="CT209">SUM(IF(CQ209:CR209&gt;=CQ209, 1))</f>
        <v>2</v>
      </c>
      <c r="CU209" s="58">
        <f t="array" ref="CU209">SUM(IF(CQ209:CR209&gt;=CR209, 1))</f>
        <v>1</v>
      </c>
      <c r="CW209" s="109">
        <f t="shared" si="105"/>
        <v>-42804894.517817028</v>
      </c>
      <c r="CX209" s="109">
        <f t="shared" si="106"/>
        <v>0</v>
      </c>
      <c r="CZ209" s="58">
        <f t="array" ref="CZ209">SUM(IF(CW209:CX209&gt;=CW209, 1))</f>
        <v>2</v>
      </c>
      <c r="DA209" s="58">
        <f t="array" ref="DA209">SUM(IF(CW209:CX209&gt;=CX209, 1))</f>
        <v>1</v>
      </c>
      <c r="DC209" s="109">
        <f t="shared" si="107"/>
        <v>-2361512.2811404327</v>
      </c>
      <c r="DD209" s="109">
        <f t="shared" si="108"/>
        <v>0</v>
      </c>
      <c r="DF209" s="58">
        <f t="array" ref="DF209">SUM(IF(DC209:DD209&gt;=DC209, 1))</f>
        <v>2</v>
      </c>
      <c r="DG209" s="58">
        <f t="array" ref="DG209">SUM(IF(DC209:DD209&gt;=DD209, 1))</f>
        <v>1</v>
      </c>
      <c r="DI209" s="109">
        <f t="shared" si="109"/>
        <v>-53896676.33365158</v>
      </c>
      <c r="DJ209" s="109">
        <f t="shared" si="110"/>
        <v>0</v>
      </c>
      <c r="DL209" s="58">
        <f t="array" ref="DL209">SUM(IF(DI209:DJ209&gt;=DI209, 1))</f>
        <v>2</v>
      </c>
      <c r="DM209" s="58">
        <f t="array" ref="DM209">SUM(IF(DI209:DJ209&gt;=DJ209, 1))</f>
        <v>1</v>
      </c>
      <c r="DO209" s="109">
        <f t="shared" si="111"/>
        <v>-4284310.425131009</v>
      </c>
      <c r="DP209" s="109">
        <f t="shared" si="112"/>
        <v>0</v>
      </c>
      <c r="DR209" s="58">
        <f t="array" ref="DR209">SUM(IF(DO209:DP209&gt;=DO209, 1))</f>
        <v>2</v>
      </c>
      <c r="DS209" s="58">
        <f t="array" ref="DS209">SUM(IF(DO209:DP209&gt;=DP209, 1))</f>
        <v>1</v>
      </c>
      <c r="DU209" s="109">
        <f t="shared" si="113"/>
        <v>-11378487.630505279</v>
      </c>
      <c r="DV209" s="109">
        <f t="shared" si="114"/>
        <v>0</v>
      </c>
      <c r="DX209" s="58">
        <f t="array" ref="DX209">SUM(IF(DU209:DV209&gt;=DU209, 1))</f>
        <v>2</v>
      </c>
      <c r="DY209" s="58">
        <f t="array" ref="DY209">SUM(IF(DU209:DV209&gt;=DV209, 1))</f>
        <v>1</v>
      </c>
      <c r="EA209" s="109">
        <f t="shared" si="115"/>
        <v>-114725881.18824536</v>
      </c>
      <c r="EB209" s="109">
        <f t="shared" si="116"/>
        <v>0</v>
      </c>
      <c r="ED209" s="58">
        <f t="array" ref="ED209">SUM(IF(EA209:EB209&gt;=EA209, 1))</f>
        <v>2</v>
      </c>
      <c r="EE209" s="58">
        <f t="array" ref="EE209">SUM(IF(EA209:EB209&gt;=EB209, 1))</f>
        <v>1</v>
      </c>
    </row>
    <row r="210" spans="4:135" ht="12" customHeight="1" x14ac:dyDescent="0.25">
      <c r="D210" s="11">
        <v>194</v>
      </c>
      <c r="E210" s="72">
        <v>226.75326677921547</v>
      </c>
      <c r="F210" s="72">
        <v>209.47278487625221</v>
      </c>
      <c r="G210" s="73"/>
      <c r="H210" s="74">
        <v>5.7699823646080848</v>
      </c>
      <c r="I210" s="74">
        <v>5.7865303719285999</v>
      </c>
      <c r="J210" s="73"/>
      <c r="K210" s="72">
        <v>243.56470615754901</v>
      </c>
      <c r="L210" s="72">
        <v>225.87938200923261</v>
      </c>
      <c r="M210" s="73"/>
      <c r="N210" s="74">
        <v>6.7194335006918822</v>
      </c>
      <c r="O210" s="74">
        <v>6.7341677281998908</v>
      </c>
      <c r="P210" s="73"/>
      <c r="Q210" s="72">
        <v>1610.1084017246562</v>
      </c>
      <c r="R210" s="72">
        <v>997.47417773295945</v>
      </c>
      <c r="S210" s="73"/>
      <c r="T210" s="74">
        <v>4.669260165421715</v>
      </c>
      <c r="U210" s="74">
        <v>4.7486744466271427</v>
      </c>
      <c r="V210" s="73"/>
      <c r="W210" s="72">
        <v>11330.04239165103</v>
      </c>
      <c r="X210" s="72">
        <v>11352.093621523465</v>
      </c>
      <c r="Y210" s="73"/>
      <c r="Z210" s="74">
        <v>2.9956265096129853</v>
      </c>
      <c r="AA210" s="74">
        <v>3.0431530790311165</v>
      </c>
      <c r="AB210" s="73"/>
      <c r="AC210" s="72">
        <v>49290.164056406844</v>
      </c>
      <c r="AD210" s="72">
        <v>49124.280727725025</v>
      </c>
      <c r="AE210" s="73"/>
      <c r="AF210" s="74">
        <v>4.2000651634502333</v>
      </c>
      <c r="AG210" s="74">
        <v>4.2347819385345131</v>
      </c>
      <c r="AH210" s="73"/>
      <c r="AI210" s="72">
        <v>1856304.2608774547</v>
      </c>
      <c r="AJ210" s="72">
        <v>0</v>
      </c>
      <c r="AK210" s="73"/>
      <c r="AL210" s="74">
        <v>-1777.6203621286697</v>
      </c>
      <c r="AM210" s="74">
        <v>0</v>
      </c>
      <c r="AN210" s="73"/>
      <c r="AO210" s="72">
        <v>125056.46412466529</v>
      </c>
      <c r="AP210" s="72">
        <v>0</v>
      </c>
      <c r="AQ210" s="73"/>
      <c r="AR210" s="74">
        <v>-104.1886695605382</v>
      </c>
      <c r="AS210" s="74">
        <v>0</v>
      </c>
      <c r="AT210" s="73"/>
      <c r="AU210" s="72">
        <v>14274021.780089192</v>
      </c>
      <c r="AV210" s="72">
        <v>0</v>
      </c>
      <c r="AW210" s="73"/>
      <c r="AX210" s="74">
        <v>-1850.3066514804539</v>
      </c>
      <c r="AY210" s="74">
        <v>0</v>
      </c>
      <c r="AZ210" s="73"/>
      <c r="BA210" s="72">
        <v>-197021.73267272575</v>
      </c>
      <c r="BB210" s="72">
        <v>0</v>
      </c>
      <c r="BC210" s="73"/>
      <c r="BD210" s="74">
        <v>-424.63695262892469</v>
      </c>
      <c r="BE210" s="74">
        <v>0</v>
      </c>
      <c r="BF210" s="73"/>
      <c r="BG210" s="72">
        <v>2565188.0540170544</v>
      </c>
      <c r="BH210" s="72">
        <v>0</v>
      </c>
      <c r="BI210" s="73"/>
      <c r="BJ210" s="74">
        <v>-536.85356706946834</v>
      </c>
      <c r="BK210" s="74">
        <v>0</v>
      </c>
      <c r="BL210" s="73"/>
      <c r="BM210" s="72">
        <v>18623548.82643564</v>
      </c>
      <c r="BN210" s="72">
        <v>0</v>
      </c>
      <c r="BO210" s="73"/>
      <c r="BP210" s="74">
        <v>-4693.6062028680544</v>
      </c>
      <c r="BQ210" s="74">
        <v>0</v>
      </c>
      <c r="BS210" s="109">
        <f t="shared" ref="BS210:BS273" si="117">H210*WTP-E210</f>
        <v>115172.89402538248</v>
      </c>
      <c r="BT210" s="109">
        <f t="shared" ref="BT210:BT273" si="118">I210*WTP-F210</f>
        <v>115521.13465369574</v>
      </c>
      <c r="BV210" s="58">
        <f t="array" ref="BV210">SUM(IF(BS210:BT210&gt;=BS210, 1))</f>
        <v>2</v>
      </c>
      <c r="BW210" s="58">
        <f t="array" ref="BW210">SUM(IF(BS210:BT210&gt;=BT210, 1))</f>
        <v>1</v>
      </c>
      <c r="BY210" s="109">
        <f t="shared" ref="BY210:BY273" si="119">N210*WTP-K210</f>
        <v>134145.10530768009</v>
      </c>
      <c r="BZ210" s="109">
        <f t="shared" ref="BZ210:BZ273" si="120">O210*WTP-L210</f>
        <v>134457.47518198859</v>
      </c>
      <c r="CB210" s="58">
        <f t="array" ref="CB210">SUM(IF(BY210:BZ210&gt;=BY210, 1))</f>
        <v>2</v>
      </c>
      <c r="CC210" s="58">
        <f t="array" ref="CC210">SUM(IF(BY210:BZ210&gt;=BZ210, 1))</f>
        <v>1</v>
      </c>
      <c r="CE210" s="109">
        <f t="shared" ref="CE210:CE273" si="121">T210*WTP-Q210</f>
        <v>91775.094906709637</v>
      </c>
      <c r="CF210" s="109">
        <f t="shared" ref="CF210:CF273" si="122">U210*WTP-R210</f>
        <v>93976.01475480989</v>
      </c>
      <c r="CH210" s="58">
        <f t="array" ref="CH210">SUM(IF(CE210:CF210&gt;=CE210, 1))</f>
        <v>2</v>
      </c>
      <c r="CI210" s="58">
        <f t="array" ref="CI210">SUM(IF(CE210:CF210&gt;=CF210, 1))</f>
        <v>1</v>
      </c>
      <c r="CK210" s="109">
        <f t="shared" ref="CK210:CK273" si="123">Z210*WTP-W210</f>
        <v>48582.48780060868</v>
      </c>
      <c r="CL210" s="109">
        <f t="shared" ref="CL210:CL273" si="124">AA210*WTP-X210</f>
        <v>49510.967959098867</v>
      </c>
      <c r="CN210" s="58">
        <f t="array" ref="CN210">SUM(IF(CK210:CL210&gt;=CK210, 1))</f>
        <v>2</v>
      </c>
      <c r="CO210" s="58">
        <f t="array" ref="CO210">SUM(IF(CK210:CL210&gt;=CL210, 1))</f>
        <v>1</v>
      </c>
      <c r="CQ210" s="109" cm="1">
        <f t="array" ref="CQ210">AF210*WTP-AC210</f>
        <v>34711.139212597824</v>
      </c>
      <c r="CR210" s="109">
        <f t="shared" ref="CR210:CR273" si="125">AG210*WTP-AD210</f>
        <v>35571.358042965236</v>
      </c>
      <c r="CT210" s="58">
        <f t="array" ref="CT210">SUM(IF(CQ210:CR210&gt;=CQ210, 1))</f>
        <v>2</v>
      </c>
      <c r="CU210" s="58">
        <f t="array" ref="CU210">SUM(IF(CQ210:CR210&gt;=CR210, 1))</f>
        <v>1</v>
      </c>
      <c r="CW210" s="109">
        <f t="shared" ref="CW210:CW273" si="126">AL210*WTP-AI210</f>
        <v>-37408711.503450848</v>
      </c>
      <c r="CX210" s="109">
        <f t="shared" ref="CX210:CX273" si="127">AM210*WTP-AJ210</f>
        <v>0</v>
      </c>
      <c r="CZ210" s="58">
        <f t="array" ref="CZ210">SUM(IF(CW210:CX210&gt;=CW210, 1))</f>
        <v>2</v>
      </c>
      <c r="DA210" s="58">
        <f t="array" ref="DA210">SUM(IF(CW210:CX210&gt;=CX210, 1))</f>
        <v>1</v>
      </c>
      <c r="DC210" s="109">
        <f t="shared" ref="DC210:DC273" si="128">AR210*WTP-AO210</f>
        <v>-2208829.8553354293</v>
      </c>
      <c r="DD210" s="109">
        <f t="shared" ref="DD210:DD273" si="129">AS210*WTP-AP210</f>
        <v>0</v>
      </c>
      <c r="DF210" s="58">
        <f t="array" ref="DF210">SUM(IF(DC210:DD210&gt;=DC210, 1))</f>
        <v>2</v>
      </c>
      <c r="DG210" s="58">
        <f t="array" ref="DG210">SUM(IF(DC210:DD210&gt;=DD210, 1))</f>
        <v>1</v>
      </c>
      <c r="DI210" s="109">
        <f t="shared" ref="DI210:DI273" si="130">AX210*WTP-AU210</f>
        <v>-51280154.809698269</v>
      </c>
      <c r="DJ210" s="109">
        <f t="shared" ref="DJ210:DJ273" si="131">AY210*WTP-AV210</f>
        <v>0</v>
      </c>
      <c r="DL210" s="58">
        <f t="array" ref="DL210">SUM(IF(DI210:DJ210&gt;=DI210, 1))</f>
        <v>2</v>
      </c>
      <c r="DM210" s="58">
        <f t="array" ref="DM210">SUM(IF(DI210:DJ210&gt;=DJ210, 1))</f>
        <v>1</v>
      </c>
      <c r="DO210" s="109">
        <f t="shared" ref="DO210:DO273" si="132">BD210*WTP-BA210</f>
        <v>-8295717.3199057681</v>
      </c>
      <c r="DP210" s="109">
        <f t="shared" ref="DP210:DP273" si="133">BE210*WTP-BB210</f>
        <v>0</v>
      </c>
      <c r="DR210" s="58">
        <f t="array" ref="DR210">SUM(IF(DO210:DP210&gt;=DO210, 1))</f>
        <v>2</v>
      </c>
      <c r="DS210" s="58">
        <f t="array" ref="DS210">SUM(IF(DO210:DP210&gt;=DP210, 1))</f>
        <v>1</v>
      </c>
      <c r="DU210" s="109">
        <f t="shared" ref="DU210:DU273" si="134">BJ210*WTP-BG210</f>
        <v>-13302259.395406421</v>
      </c>
      <c r="DV210" s="109">
        <f t="shared" ref="DV210:DV273" si="135">BK210*WTP-BH210</f>
        <v>0</v>
      </c>
      <c r="DX210" s="58">
        <f t="array" ref="DX210">SUM(IF(DU210:DV210&gt;=DU210, 1))</f>
        <v>2</v>
      </c>
      <c r="DY210" s="58">
        <f t="array" ref="DY210">SUM(IF(DU210:DV210&gt;=DV210, 1))</f>
        <v>1</v>
      </c>
      <c r="EA210" s="109">
        <f t="shared" ref="EA210:EA273" si="136">BP210*WTP-BM210</f>
        <v>-112495672.88379672</v>
      </c>
      <c r="EB210" s="109">
        <f t="shared" ref="EB210:EB273" si="137">BQ210*WTP-BN210</f>
        <v>0</v>
      </c>
      <c r="ED210" s="58">
        <f t="array" ref="ED210">SUM(IF(EA210:EB210&gt;=EA210, 1))</f>
        <v>2</v>
      </c>
      <c r="EE210" s="58">
        <f t="array" ref="EE210">SUM(IF(EA210:EB210&gt;=EB210, 1))</f>
        <v>1</v>
      </c>
    </row>
    <row r="211" spans="4:135" ht="12" customHeight="1" x14ac:dyDescent="0.25">
      <c r="D211" s="11">
        <v>195</v>
      </c>
      <c r="E211" s="72">
        <v>229.01055277314322</v>
      </c>
      <c r="F211" s="72">
        <v>196.52113079967322</v>
      </c>
      <c r="G211" s="73"/>
      <c r="H211" s="74">
        <v>5.8299613923635993</v>
      </c>
      <c r="I211" s="74">
        <v>5.8455584255576447</v>
      </c>
      <c r="J211" s="73"/>
      <c r="K211" s="72">
        <v>245.10886955583914</v>
      </c>
      <c r="L211" s="72">
        <v>211.82731315681897</v>
      </c>
      <c r="M211" s="73"/>
      <c r="N211" s="74">
        <v>6.7154103719491891</v>
      </c>
      <c r="O211" s="74">
        <v>6.7285402421883882</v>
      </c>
      <c r="P211" s="73"/>
      <c r="Q211" s="72">
        <v>1918.1324919563099</v>
      </c>
      <c r="R211" s="72">
        <v>1269.8627408642508</v>
      </c>
      <c r="S211" s="73"/>
      <c r="T211" s="74">
        <v>4.9936200098718739</v>
      </c>
      <c r="U211" s="74">
        <v>5.0603655683307913</v>
      </c>
      <c r="V211" s="73"/>
      <c r="W211" s="72">
        <v>13084.103860629952</v>
      </c>
      <c r="X211" s="72">
        <v>13066.702250777653</v>
      </c>
      <c r="Y211" s="73"/>
      <c r="Z211" s="74">
        <v>2.9780734151303401</v>
      </c>
      <c r="AA211" s="74">
        <v>3.0339711551777961</v>
      </c>
      <c r="AB211" s="73"/>
      <c r="AC211" s="72">
        <v>52331.195752934917</v>
      </c>
      <c r="AD211" s="72">
        <v>52218.222511405191</v>
      </c>
      <c r="AE211" s="73"/>
      <c r="AF211" s="74">
        <v>4.3553858060666508</v>
      </c>
      <c r="AG211" s="74">
        <v>4.4112100254709024</v>
      </c>
      <c r="AH211" s="73"/>
      <c r="AI211" s="72">
        <v>3458111.6820598617</v>
      </c>
      <c r="AJ211" s="72">
        <v>0</v>
      </c>
      <c r="AK211" s="73"/>
      <c r="AL211" s="74">
        <v>-1660.1182605786794</v>
      </c>
      <c r="AM211" s="74">
        <v>0</v>
      </c>
      <c r="AN211" s="73"/>
      <c r="AO211" s="72">
        <v>224611.44829390361</v>
      </c>
      <c r="AP211" s="72">
        <v>0</v>
      </c>
      <c r="AQ211" s="73"/>
      <c r="AR211" s="74">
        <v>-88.611215622847368</v>
      </c>
      <c r="AS211" s="74">
        <v>0</v>
      </c>
      <c r="AT211" s="73"/>
      <c r="AU211" s="72">
        <v>15130988.590800466</v>
      </c>
      <c r="AV211" s="72">
        <v>0</v>
      </c>
      <c r="AW211" s="73"/>
      <c r="AX211" s="74">
        <v>-1557.8796971896156</v>
      </c>
      <c r="AY211" s="74">
        <v>0</v>
      </c>
      <c r="AZ211" s="73"/>
      <c r="BA211" s="72">
        <v>150513.31865019232</v>
      </c>
      <c r="BB211" s="72">
        <v>0</v>
      </c>
      <c r="BC211" s="73"/>
      <c r="BD211" s="74">
        <v>-483.48138080322002</v>
      </c>
      <c r="BE211" s="74">
        <v>0</v>
      </c>
      <c r="BF211" s="73"/>
      <c r="BG211" s="72">
        <v>1723576.7928178799</v>
      </c>
      <c r="BH211" s="72">
        <v>0</v>
      </c>
      <c r="BI211" s="73"/>
      <c r="BJ211" s="74">
        <v>-851.68246692314813</v>
      </c>
      <c r="BK211" s="74">
        <v>0</v>
      </c>
      <c r="BL211" s="73"/>
      <c r="BM211" s="72">
        <v>20687801.832622305</v>
      </c>
      <c r="BN211" s="72">
        <v>0</v>
      </c>
      <c r="BO211" s="73"/>
      <c r="BP211" s="74">
        <v>-4641.7730211175103</v>
      </c>
      <c r="BQ211" s="74">
        <v>0</v>
      </c>
      <c r="BS211" s="109">
        <f t="shared" si="117"/>
        <v>116370.21729449884</v>
      </c>
      <c r="BT211" s="109">
        <f t="shared" si="118"/>
        <v>116714.64738035321</v>
      </c>
      <c r="BV211" s="58">
        <f t="array" ref="BV211">SUM(IF(BS211:BT211&gt;=BS211, 1))</f>
        <v>2</v>
      </c>
      <c r="BW211" s="58">
        <f t="array" ref="BW211">SUM(IF(BS211:BT211&gt;=BT211, 1))</f>
        <v>1</v>
      </c>
      <c r="BY211" s="109">
        <f t="shared" si="119"/>
        <v>134063.09856942794</v>
      </c>
      <c r="BZ211" s="109">
        <f t="shared" si="120"/>
        <v>134358.97753061092</v>
      </c>
      <c r="CB211" s="58">
        <f t="array" ref="CB211">SUM(IF(BY211:BZ211&gt;=BY211, 1))</f>
        <v>2</v>
      </c>
      <c r="CC211" s="58">
        <f t="array" ref="CC211">SUM(IF(BY211:BZ211&gt;=BZ211, 1))</f>
        <v>1</v>
      </c>
      <c r="CE211" s="109">
        <f t="shared" si="121"/>
        <v>97954.267705481179</v>
      </c>
      <c r="CF211" s="109">
        <f t="shared" si="122"/>
        <v>99937.448625751582</v>
      </c>
      <c r="CH211" s="58">
        <f t="array" ref="CH211">SUM(IF(CE211:CF211&gt;=CE211, 1))</f>
        <v>2</v>
      </c>
      <c r="CI211" s="58">
        <f t="array" ref="CI211">SUM(IF(CE211:CF211&gt;=CF211, 1))</f>
        <v>1</v>
      </c>
      <c r="CK211" s="109">
        <f t="shared" si="123"/>
        <v>46477.364441976853</v>
      </c>
      <c r="CL211" s="109">
        <f t="shared" si="124"/>
        <v>47612.720852778264</v>
      </c>
      <c r="CN211" s="58">
        <f t="array" ref="CN211">SUM(IF(CK211:CL211&gt;=CK211, 1))</f>
        <v>2</v>
      </c>
      <c r="CO211" s="58">
        <f t="array" ref="CO211">SUM(IF(CK211:CL211&gt;=CL211, 1))</f>
        <v>1</v>
      </c>
      <c r="CQ211" s="109" cm="1">
        <f t="array" ref="CQ211">AF211*WTP-AC211</f>
        <v>34776.520368398094</v>
      </c>
      <c r="CR211" s="109">
        <f t="shared" si="125"/>
        <v>36005.977998012859</v>
      </c>
      <c r="CT211" s="58">
        <f t="array" ref="CT211">SUM(IF(CQ211:CR211&gt;=CQ211, 1))</f>
        <v>2</v>
      </c>
      <c r="CU211" s="58">
        <f t="array" ref="CU211">SUM(IF(CQ211:CR211&gt;=CR211, 1))</f>
        <v>1</v>
      </c>
      <c r="CW211" s="109">
        <f t="shared" si="126"/>
        <v>-36660476.893633448</v>
      </c>
      <c r="CX211" s="109">
        <f t="shared" si="127"/>
        <v>0</v>
      </c>
      <c r="CZ211" s="58">
        <f t="array" ref="CZ211">SUM(IF(CW211:CX211&gt;=CW211, 1))</f>
        <v>2</v>
      </c>
      <c r="DA211" s="58">
        <f t="array" ref="DA211">SUM(IF(CW211:CX211&gt;=CX211, 1))</f>
        <v>1</v>
      </c>
      <c r="DC211" s="109">
        <f t="shared" si="128"/>
        <v>-1996835.7607508509</v>
      </c>
      <c r="DD211" s="109">
        <f t="shared" si="129"/>
        <v>0</v>
      </c>
      <c r="DF211" s="58">
        <f t="array" ref="DF211">SUM(IF(DC211:DD211&gt;=DC211, 1))</f>
        <v>2</v>
      </c>
      <c r="DG211" s="58">
        <f t="array" ref="DG211">SUM(IF(DC211:DD211&gt;=DD211, 1))</f>
        <v>1</v>
      </c>
      <c r="DI211" s="109">
        <f t="shared" si="130"/>
        <v>-46288582.534592777</v>
      </c>
      <c r="DJ211" s="109">
        <f t="shared" si="131"/>
        <v>0</v>
      </c>
      <c r="DL211" s="58">
        <f t="array" ref="DL211">SUM(IF(DI211:DJ211&gt;=DI211, 1))</f>
        <v>2</v>
      </c>
      <c r="DM211" s="58">
        <f t="array" ref="DM211">SUM(IF(DI211:DJ211&gt;=DJ211, 1))</f>
        <v>1</v>
      </c>
      <c r="DO211" s="109">
        <f t="shared" si="132"/>
        <v>-9820140.9347145911</v>
      </c>
      <c r="DP211" s="109">
        <f t="shared" si="133"/>
        <v>0</v>
      </c>
      <c r="DR211" s="58">
        <f t="array" ref="DR211">SUM(IF(DO211:DP211&gt;=DO211, 1))</f>
        <v>2</v>
      </c>
      <c r="DS211" s="58">
        <f t="array" ref="DS211">SUM(IF(DO211:DP211&gt;=DP211, 1))</f>
        <v>1</v>
      </c>
      <c r="DU211" s="109">
        <f t="shared" si="134"/>
        <v>-18757226.131280843</v>
      </c>
      <c r="DV211" s="109">
        <f t="shared" si="135"/>
        <v>0</v>
      </c>
      <c r="DX211" s="58">
        <f t="array" ref="DX211">SUM(IF(DU211:DV211&gt;=DU211, 1))</f>
        <v>2</v>
      </c>
      <c r="DY211" s="58">
        <f t="array" ref="DY211">SUM(IF(DU211:DV211&gt;=DV211, 1))</f>
        <v>1</v>
      </c>
      <c r="EA211" s="109">
        <f t="shared" si="136"/>
        <v>-113523262.25497252</v>
      </c>
      <c r="EB211" s="109">
        <f t="shared" si="137"/>
        <v>0</v>
      </c>
      <c r="ED211" s="58">
        <f t="array" ref="ED211">SUM(IF(EA211:EB211&gt;=EA211, 1))</f>
        <v>2</v>
      </c>
      <c r="EE211" s="58">
        <f t="array" ref="EE211">SUM(IF(EA211:EB211&gt;=EB211, 1))</f>
        <v>1</v>
      </c>
    </row>
    <row r="212" spans="4:135" ht="12" customHeight="1" x14ac:dyDescent="0.25">
      <c r="D212" s="11">
        <v>196</v>
      </c>
      <c r="E212" s="72">
        <v>216.15211904959293</v>
      </c>
      <c r="F212" s="72">
        <v>195.61824715805429</v>
      </c>
      <c r="G212" s="73"/>
      <c r="H212" s="74">
        <v>5.7914377966228381</v>
      </c>
      <c r="I212" s="74">
        <v>5.8097394992736913</v>
      </c>
      <c r="J212" s="73"/>
      <c r="K212" s="72">
        <v>231.90136028945113</v>
      </c>
      <c r="L212" s="72">
        <v>210.89594445146699</v>
      </c>
      <c r="M212" s="73"/>
      <c r="N212" s="74">
        <v>6.7239010190666972</v>
      </c>
      <c r="O212" s="74">
        <v>6.7407622854188087</v>
      </c>
      <c r="P212" s="73"/>
      <c r="Q212" s="72">
        <v>3050.7380318978271</v>
      </c>
      <c r="R212" s="72">
        <v>1819.3986142566853</v>
      </c>
      <c r="S212" s="73"/>
      <c r="T212" s="74">
        <v>4.857848051059416</v>
      </c>
      <c r="U212" s="74">
        <v>4.9433870144177163</v>
      </c>
      <c r="V212" s="73"/>
      <c r="W212" s="72">
        <v>12548.794706461711</v>
      </c>
      <c r="X212" s="72">
        <v>12567.420999166545</v>
      </c>
      <c r="Y212" s="73"/>
      <c r="Z212" s="74">
        <v>3.0618742883831063</v>
      </c>
      <c r="AA212" s="74">
        <v>3.1198569951295627</v>
      </c>
      <c r="AB212" s="73"/>
      <c r="AC212" s="72">
        <v>48969.075799744911</v>
      </c>
      <c r="AD212" s="72">
        <v>48951.34891816818</v>
      </c>
      <c r="AE212" s="73"/>
      <c r="AF212" s="74">
        <v>3.8399303131903211</v>
      </c>
      <c r="AG212" s="74">
        <v>3.9340790961639063</v>
      </c>
      <c r="AH212" s="73"/>
      <c r="AI212" s="72">
        <v>2192831.9343276154</v>
      </c>
      <c r="AJ212" s="72">
        <v>0</v>
      </c>
      <c r="AK212" s="73"/>
      <c r="AL212" s="74">
        <v>-1954.4564336108763</v>
      </c>
      <c r="AM212" s="74">
        <v>0</v>
      </c>
      <c r="AN212" s="73"/>
      <c r="AO212" s="72">
        <v>144479.57061384834</v>
      </c>
      <c r="AP212" s="72">
        <v>0</v>
      </c>
      <c r="AQ212" s="73"/>
      <c r="AR212" s="74">
        <v>-115.97525806433103</v>
      </c>
      <c r="AS212" s="74">
        <v>0</v>
      </c>
      <c r="AT212" s="73"/>
      <c r="AU212" s="72">
        <v>28163779.421232518</v>
      </c>
      <c r="AV212" s="72">
        <v>0</v>
      </c>
      <c r="AW212" s="73"/>
      <c r="AX212" s="74">
        <v>-1956.4877575016149</v>
      </c>
      <c r="AY212" s="74">
        <v>0</v>
      </c>
      <c r="AZ212" s="73"/>
      <c r="BA212" s="72">
        <v>-160863.94749089234</v>
      </c>
      <c r="BB212" s="72">
        <v>0</v>
      </c>
      <c r="BC212" s="73"/>
      <c r="BD212" s="74">
        <v>-500.76132922689544</v>
      </c>
      <c r="BE212" s="74">
        <v>0</v>
      </c>
      <c r="BF212" s="73"/>
      <c r="BG212" s="72">
        <v>276352.02799780667</v>
      </c>
      <c r="BH212" s="72">
        <v>0</v>
      </c>
      <c r="BI212" s="73"/>
      <c r="BJ212" s="74">
        <v>-1467.7261195464864</v>
      </c>
      <c r="BK212" s="74">
        <v>0</v>
      </c>
      <c r="BL212" s="73"/>
      <c r="BM212" s="72">
        <v>30616579.006680895</v>
      </c>
      <c r="BN212" s="72">
        <v>0</v>
      </c>
      <c r="BO212" s="73"/>
      <c r="BP212" s="74">
        <v>-5995.4068979502035</v>
      </c>
      <c r="BQ212" s="74">
        <v>0</v>
      </c>
      <c r="BS212" s="109">
        <f t="shared" si="117"/>
        <v>115612.60381340716</v>
      </c>
      <c r="BT212" s="109">
        <f t="shared" si="118"/>
        <v>115999.17173831577</v>
      </c>
      <c r="BV212" s="58">
        <f t="array" ref="BV212">SUM(IF(BS212:BT212&gt;=BS212, 1))</f>
        <v>2</v>
      </c>
      <c r="BW212" s="58">
        <f t="array" ref="BW212">SUM(IF(BS212:BT212&gt;=BT212, 1))</f>
        <v>1</v>
      </c>
      <c r="BY212" s="109">
        <f t="shared" si="119"/>
        <v>134246.11902104449</v>
      </c>
      <c r="BZ212" s="109">
        <f t="shared" si="120"/>
        <v>134604.34976392469</v>
      </c>
      <c r="CB212" s="58">
        <f t="array" ref="CB212">SUM(IF(BY212:BZ212&gt;=BY212, 1))</f>
        <v>2</v>
      </c>
      <c r="CC212" s="58">
        <f t="array" ref="CC212">SUM(IF(BY212:BZ212&gt;=BZ212, 1))</f>
        <v>1</v>
      </c>
      <c r="CE212" s="109">
        <f t="shared" si="121"/>
        <v>94106.222989290502</v>
      </c>
      <c r="CF212" s="109">
        <f t="shared" si="122"/>
        <v>97048.341674097639</v>
      </c>
      <c r="CH212" s="58">
        <f t="array" ref="CH212">SUM(IF(CE212:CF212&gt;=CE212, 1))</f>
        <v>2</v>
      </c>
      <c r="CI212" s="58">
        <f t="array" ref="CI212">SUM(IF(CE212:CF212&gt;=CF212, 1))</f>
        <v>1</v>
      </c>
      <c r="CK212" s="109">
        <f t="shared" si="123"/>
        <v>48688.691061200414</v>
      </c>
      <c r="CL212" s="109">
        <f t="shared" si="124"/>
        <v>49829.718903424713</v>
      </c>
      <c r="CN212" s="58">
        <f t="array" ref="CN212">SUM(IF(CK212:CL212&gt;=CK212, 1))</f>
        <v>2</v>
      </c>
      <c r="CO212" s="58">
        <f t="array" ref="CO212">SUM(IF(CK212:CL212&gt;=CL212, 1))</f>
        <v>1</v>
      </c>
      <c r="CQ212" s="109" cm="1">
        <f t="array" ref="CQ212">AF212*WTP-AC212</f>
        <v>27829.530464061507</v>
      </c>
      <c r="CR212" s="109">
        <f t="shared" si="125"/>
        <v>29730.233005109942</v>
      </c>
      <c r="CT212" s="58">
        <f t="array" ref="CT212">SUM(IF(CQ212:CR212&gt;=CQ212, 1))</f>
        <v>2</v>
      </c>
      <c r="CU212" s="58">
        <f t="array" ref="CU212">SUM(IF(CQ212:CR212&gt;=CR212, 1))</f>
        <v>1</v>
      </c>
      <c r="CW212" s="109">
        <f t="shared" si="126"/>
        <v>-41281960.606545143</v>
      </c>
      <c r="CX212" s="109">
        <f t="shared" si="127"/>
        <v>0</v>
      </c>
      <c r="CZ212" s="58">
        <f t="array" ref="CZ212">SUM(IF(CW212:CX212&gt;=CW212, 1))</f>
        <v>2</v>
      </c>
      <c r="DA212" s="58">
        <f t="array" ref="DA212">SUM(IF(CW212:CX212&gt;=CX212, 1))</f>
        <v>1</v>
      </c>
      <c r="DC212" s="109">
        <f t="shared" si="128"/>
        <v>-2463984.7319004689</v>
      </c>
      <c r="DD212" s="109">
        <f t="shared" si="129"/>
        <v>0</v>
      </c>
      <c r="DF212" s="58">
        <f t="array" ref="DF212">SUM(IF(DC212:DD212&gt;=DC212, 1))</f>
        <v>2</v>
      </c>
      <c r="DG212" s="58">
        <f t="array" ref="DG212">SUM(IF(DC212:DD212&gt;=DD212, 1))</f>
        <v>1</v>
      </c>
      <c r="DI212" s="109">
        <f t="shared" si="130"/>
        <v>-67293534.571264818</v>
      </c>
      <c r="DJ212" s="109">
        <f t="shared" si="131"/>
        <v>0</v>
      </c>
      <c r="DL212" s="58">
        <f t="array" ref="DL212">SUM(IF(DI212:DJ212&gt;=DI212, 1))</f>
        <v>2</v>
      </c>
      <c r="DM212" s="58">
        <f t="array" ref="DM212">SUM(IF(DI212:DJ212&gt;=DJ212, 1))</f>
        <v>1</v>
      </c>
      <c r="DO212" s="109">
        <f t="shared" si="132"/>
        <v>-9854362.637047017</v>
      </c>
      <c r="DP212" s="109">
        <f t="shared" si="133"/>
        <v>0</v>
      </c>
      <c r="DR212" s="58">
        <f t="array" ref="DR212">SUM(IF(DO212:DP212&gt;=DO212, 1))</f>
        <v>2</v>
      </c>
      <c r="DS212" s="58">
        <f t="array" ref="DS212">SUM(IF(DO212:DP212&gt;=DP212, 1))</f>
        <v>1</v>
      </c>
      <c r="DU212" s="109">
        <f t="shared" si="134"/>
        <v>-29630874.418927535</v>
      </c>
      <c r="DV212" s="109">
        <f t="shared" si="135"/>
        <v>0</v>
      </c>
      <c r="DX212" s="58">
        <f t="array" ref="DX212">SUM(IF(DU212:DV212&gt;=DU212, 1))</f>
        <v>2</v>
      </c>
      <c r="DY212" s="58">
        <f t="array" ref="DY212">SUM(IF(DU212:DV212&gt;=DV212, 1))</f>
        <v>1</v>
      </c>
      <c r="EA212" s="109">
        <f t="shared" si="136"/>
        <v>-150524716.96568498</v>
      </c>
      <c r="EB212" s="109">
        <f t="shared" si="137"/>
        <v>0</v>
      </c>
      <c r="ED212" s="58">
        <f t="array" ref="ED212">SUM(IF(EA212:EB212&gt;=EA212, 1))</f>
        <v>2</v>
      </c>
      <c r="EE212" s="58">
        <f t="array" ref="EE212">SUM(IF(EA212:EB212&gt;=EB212, 1))</f>
        <v>1</v>
      </c>
    </row>
    <row r="213" spans="4:135" ht="12" customHeight="1" x14ac:dyDescent="0.25">
      <c r="D213" s="11">
        <v>197</v>
      </c>
      <c r="E213" s="72">
        <v>251.06868089984494</v>
      </c>
      <c r="F213" s="72">
        <v>234.6467495425477</v>
      </c>
      <c r="G213" s="73"/>
      <c r="H213" s="74">
        <v>5.8228511108498013</v>
      </c>
      <c r="I213" s="74">
        <v>5.8382921395433494</v>
      </c>
      <c r="J213" s="73"/>
      <c r="K213" s="72">
        <v>269.84260688678376</v>
      </c>
      <c r="L213" s="72">
        <v>252.99581990084016</v>
      </c>
      <c r="M213" s="73"/>
      <c r="N213" s="74">
        <v>6.6792856126698092</v>
      </c>
      <c r="O213" s="74">
        <v>6.6922452756785598</v>
      </c>
      <c r="P213" s="73"/>
      <c r="Q213" s="72">
        <v>1966.5984736028495</v>
      </c>
      <c r="R213" s="72">
        <v>1674.4068423556851</v>
      </c>
      <c r="S213" s="73"/>
      <c r="T213" s="74">
        <v>4.8986555371258174</v>
      </c>
      <c r="U213" s="74">
        <v>4.9332218011198341</v>
      </c>
      <c r="V213" s="73"/>
      <c r="W213" s="72">
        <v>16457.727028897396</v>
      </c>
      <c r="X213" s="72">
        <v>16356.246149647523</v>
      </c>
      <c r="Y213" s="73"/>
      <c r="Z213" s="74">
        <v>2.9771747382932898</v>
      </c>
      <c r="AA213" s="74">
        <v>3.0221231539767368</v>
      </c>
      <c r="AB213" s="73"/>
      <c r="AC213" s="72">
        <v>50234.914027880397</v>
      </c>
      <c r="AD213" s="72">
        <v>50094.583769532677</v>
      </c>
      <c r="AE213" s="73"/>
      <c r="AF213" s="74">
        <v>5.0729117253814113</v>
      </c>
      <c r="AG213" s="74">
        <v>5.2111655772974546</v>
      </c>
      <c r="AH213" s="73"/>
      <c r="AI213" s="72">
        <v>1773026.0507702248</v>
      </c>
      <c r="AJ213" s="72">
        <v>0</v>
      </c>
      <c r="AK213" s="73"/>
      <c r="AL213" s="74">
        <v>-1667.1209694337072</v>
      </c>
      <c r="AM213" s="74">
        <v>0</v>
      </c>
      <c r="AN213" s="73"/>
      <c r="AO213" s="72">
        <v>115587.86454826806</v>
      </c>
      <c r="AP213" s="72">
        <v>0</v>
      </c>
      <c r="AQ213" s="73"/>
      <c r="AR213" s="74">
        <v>-88.917831851053805</v>
      </c>
      <c r="AS213" s="74">
        <v>0</v>
      </c>
      <c r="AT213" s="73"/>
      <c r="AU213" s="72">
        <v>6572083.9064494846</v>
      </c>
      <c r="AV213" s="72">
        <v>0</v>
      </c>
      <c r="AW213" s="73"/>
      <c r="AX213" s="74">
        <v>-777.47739157182423</v>
      </c>
      <c r="AY213" s="74">
        <v>0</v>
      </c>
      <c r="AZ213" s="73"/>
      <c r="BA213" s="72">
        <v>961590.84723282652</v>
      </c>
      <c r="BB213" s="72">
        <v>0</v>
      </c>
      <c r="BC213" s="73"/>
      <c r="BD213" s="74">
        <v>-425.91259987405931</v>
      </c>
      <c r="BE213" s="74">
        <v>0</v>
      </c>
      <c r="BF213" s="73"/>
      <c r="BG213" s="72">
        <v>2195847.8743706886</v>
      </c>
      <c r="BH213" s="72">
        <v>0</v>
      </c>
      <c r="BI213" s="73"/>
      <c r="BJ213" s="74">
        <v>-2163.3568585127341</v>
      </c>
      <c r="BK213" s="74">
        <v>0</v>
      </c>
      <c r="BL213" s="73"/>
      <c r="BM213" s="72">
        <v>11618136.543371493</v>
      </c>
      <c r="BN213" s="72">
        <v>0</v>
      </c>
      <c r="BO213" s="73"/>
      <c r="BP213" s="74">
        <v>-5122.7856512433782</v>
      </c>
      <c r="BQ213" s="74">
        <v>0</v>
      </c>
      <c r="BS213" s="109">
        <f t="shared" si="117"/>
        <v>116205.95353609619</v>
      </c>
      <c r="BT213" s="109">
        <f t="shared" si="118"/>
        <v>116531.19604132444</v>
      </c>
      <c r="BV213" s="58">
        <f t="array" ref="BV213">SUM(IF(BS213:BT213&gt;=BS213, 1))</f>
        <v>2</v>
      </c>
      <c r="BW213" s="58">
        <f t="array" ref="BW213">SUM(IF(BS213:BT213&gt;=BT213, 1))</f>
        <v>1</v>
      </c>
      <c r="BY213" s="109">
        <f t="shared" si="119"/>
        <v>133315.86964650941</v>
      </c>
      <c r="BZ213" s="109">
        <f t="shared" si="120"/>
        <v>133591.90969367034</v>
      </c>
      <c r="CB213" s="58">
        <f t="array" ref="CB213">SUM(IF(BY213:BZ213&gt;=BY213, 1))</f>
        <v>2</v>
      </c>
      <c r="CC213" s="58">
        <f t="array" ref="CC213">SUM(IF(BY213:BZ213&gt;=BZ213, 1))</f>
        <v>1</v>
      </c>
      <c r="CE213" s="109">
        <f t="shared" si="121"/>
        <v>96006.512268913502</v>
      </c>
      <c r="CF213" s="109">
        <f t="shared" si="122"/>
        <v>96990.02918004099</v>
      </c>
      <c r="CH213" s="58">
        <f t="array" ref="CH213">SUM(IF(CE213:CF213&gt;=CE213, 1))</f>
        <v>2</v>
      </c>
      <c r="CI213" s="58">
        <f t="array" ref="CI213">SUM(IF(CE213:CF213&gt;=CF213, 1))</f>
        <v>1</v>
      </c>
      <c r="CK213" s="109">
        <f t="shared" si="123"/>
        <v>43085.767736968402</v>
      </c>
      <c r="CL213" s="109">
        <f t="shared" si="124"/>
        <v>44086.21692988721</v>
      </c>
      <c r="CN213" s="58">
        <f t="array" ref="CN213">SUM(IF(CK213:CL213&gt;=CK213, 1))</f>
        <v>2</v>
      </c>
      <c r="CO213" s="58">
        <f t="array" ref="CO213">SUM(IF(CK213:CL213&gt;=CL213, 1))</f>
        <v>1</v>
      </c>
      <c r="CQ213" s="109" cm="1">
        <f t="array" ref="CQ213">AF213*WTP-AC213</f>
        <v>51223.320479747825</v>
      </c>
      <c r="CR213" s="109">
        <f t="shared" si="125"/>
        <v>54128.727776416417</v>
      </c>
      <c r="CT213" s="58">
        <f t="array" ref="CT213">SUM(IF(CQ213:CR213&gt;=CQ213, 1))</f>
        <v>2</v>
      </c>
      <c r="CU213" s="58">
        <f t="array" ref="CU213">SUM(IF(CQ213:CR213&gt;=CR213, 1))</f>
        <v>1</v>
      </c>
      <c r="CW213" s="109">
        <f t="shared" si="126"/>
        <v>-35115445.439444371</v>
      </c>
      <c r="CX213" s="109">
        <f t="shared" si="127"/>
        <v>0</v>
      </c>
      <c r="CZ213" s="58">
        <f t="array" ref="CZ213">SUM(IF(CW213:CX213&gt;=CW213, 1))</f>
        <v>2</v>
      </c>
      <c r="DA213" s="58">
        <f t="array" ref="DA213">SUM(IF(CW213:CX213&gt;=CX213, 1))</f>
        <v>1</v>
      </c>
      <c r="DC213" s="109">
        <f t="shared" si="128"/>
        <v>-1893944.5015693442</v>
      </c>
      <c r="DD213" s="109">
        <f t="shared" si="129"/>
        <v>0</v>
      </c>
      <c r="DF213" s="58">
        <f t="array" ref="DF213">SUM(IF(DC213:DD213&gt;=DC213, 1))</f>
        <v>2</v>
      </c>
      <c r="DG213" s="58">
        <f t="array" ref="DG213">SUM(IF(DC213:DD213&gt;=DD213, 1))</f>
        <v>1</v>
      </c>
      <c r="DI213" s="109">
        <f t="shared" si="130"/>
        <v>-22121631.737885971</v>
      </c>
      <c r="DJ213" s="109">
        <f t="shared" si="131"/>
        <v>0</v>
      </c>
      <c r="DL213" s="58">
        <f t="array" ref="DL213">SUM(IF(DI213:DJ213&gt;=DI213, 1))</f>
        <v>2</v>
      </c>
      <c r="DM213" s="58">
        <f t="array" ref="DM213">SUM(IF(DI213:DJ213&gt;=DJ213, 1))</f>
        <v>1</v>
      </c>
      <c r="DO213" s="109">
        <f t="shared" si="132"/>
        <v>-9479842.844714012</v>
      </c>
      <c r="DP213" s="109">
        <f t="shared" si="133"/>
        <v>0</v>
      </c>
      <c r="DR213" s="58">
        <f t="array" ref="DR213">SUM(IF(DO213:DP213&gt;=DO213, 1))</f>
        <v>2</v>
      </c>
      <c r="DS213" s="58">
        <f t="array" ref="DS213">SUM(IF(DO213:DP213&gt;=DP213, 1))</f>
        <v>1</v>
      </c>
      <c r="DU213" s="109">
        <f t="shared" si="134"/>
        <v>-45462985.044625372</v>
      </c>
      <c r="DV213" s="109">
        <f t="shared" si="135"/>
        <v>0</v>
      </c>
      <c r="DX213" s="58">
        <f t="array" ref="DX213">SUM(IF(DU213:DV213&gt;=DU213, 1))</f>
        <v>2</v>
      </c>
      <c r="DY213" s="58">
        <f t="array" ref="DY213">SUM(IF(DU213:DV213&gt;=DV213, 1))</f>
        <v>1</v>
      </c>
      <c r="EA213" s="109">
        <f t="shared" si="136"/>
        <v>-114073849.56823906</v>
      </c>
      <c r="EB213" s="109">
        <f t="shared" si="137"/>
        <v>0</v>
      </c>
      <c r="ED213" s="58">
        <f t="array" ref="ED213">SUM(IF(EA213:EB213&gt;=EA213, 1))</f>
        <v>2</v>
      </c>
      <c r="EE213" s="58">
        <f t="array" ref="EE213">SUM(IF(EA213:EB213&gt;=EB213, 1))</f>
        <v>1</v>
      </c>
    </row>
    <row r="214" spans="4:135" ht="12" customHeight="1" x14ac:dyDescent="0.25">
      <c r="D214" s="11">
        <v>198</v>
      </c>
      <c r="E214" s="72">
        <v>286.42258673581375</v>
      </c>
      <c r="F214" s="72">
        <v>258.27587556257407</v>
      </c>
      <c r="G214" s="73"/>
      <c r="H214" s="74">
        <v>5.8231058267604325</v>
      </c>
      <c r="I214" s="74">
        <v>5.842257134281283</v>
      </c>
      <c r="J214" s="73"/>
      <c r="K214" s="72">
        <v>307.31355473231798</v>
      </c>
      <c r="L214" s="72">
        <v>278.50495403406347</v>
      </c>
      <c r="M214" s="73"/>
      <c r="N214" s="74">
        <v>6.6987442205784102</v>
      </c>
      <c r="O214" s="74">
        <v>6.7154313146569979</v>
      </c>
      <c r="P214" s="73"/>
      <c r="Q214" s="72">
        <v>3284.130358524641</v>
      </c>
      <c r="R214" s="72">
        <v>1586.9327609783995</v>
      </c>
      <c r="S214" s="73"/>
      <c r="T214" s="74">
        <v>4.7860253191874209</v>
      </c>
      <c r="U214" s="74">
        <v>4.8803996408802082</v>
      </c>
      <c r="V214" s="73"/>
      <c r="W214" s="72">
        <v>11544.28501328353</v>
      </c>
      <c r="X214" s="72">
        <v>11445.670439332478</v>
      </c>
      <c r="Y214" s="73"/>
      <c r="Z214" s="74">
        <v>3.0810992710779339</v>
      </c>
      <c r="AA214" s="74">
        <v>3.1215893780931063</v>
      </c>
      <c r="AB214" s="73"/>
      <c r="AC214" s="72">
        <v>50983.606396307499</v>
      </c>
      <c r="AD214" s="72">
        <v>50737.024747289834</v>
      </c>
      <c r="AE214" s="73"/>
      <c r="AF214" s="74">
        <v>4.4801228868717455</v>
      </c>
      <c r="AG214" s="74">
        <v>4.5989714595634634</v>
      </c>
      <c r="AH214" s="73"/>
      <c r="AI214" s="72">
        <v>3024989.7793582142</v>
      </c>
      <c r="AJ214" s="72">
        <v>0</v>
      </c>
      <c r="AK214" s="73"/>
      <c r="AL214" s="74">
        <v>-2058.2337011010291</v>
      </c>
      <c r="AM214" s="74">
        <v>0</v>
      </c>
      <c r="AN214" s="73"/>
      <c r="AO214" s="72">
        <v>185379.38634129558</v>
      </c>
      <c r="AP214" s="72">
        <v>0</v>
      </c>
      <c r="AQ214" s="73"/>
      <c r="AR214" s="74">
        <v>-107.37915709649464</v>
      </c>
      <c r="AS214" s="74">
        <v>0</v>
      </c>
      <c r="AT214" s="73"/>
      <c r="AU214" s="72">
        <v>39131661.396099672</v>
      </c>
      <c r="AV214" s="72">
        <v>0</v>
      </c>
      <c r="AW214" s="73"/>
      <c r="AX214" s="74">
        <v>-2175.9540588014033</v>
      </c>
      <c r="AY214" s="74">
        <v>0</v>
      </c>
      <c r="AZ214" s="73"/>
      <c r="BA214" s="72">
        <v>891715.50413853908</v>
      </c>
      <c r="BB214" s="72">
        <v>0</v>
      </c>
      <c r="BC214" s="73"/>
      <c r="BD214" s="74">
        <v>-366.12900855383828</v>
      </c>
      <c r="BE214" s="74">
        <v>0</v>
      </c>
      <c r="BF214" s="73"/>
      <c r="BG214" s="72">
        <v>3951007.0766630378</v>
      </c>
      <c r="BH214" s="72">
        <v>0</v>
      </c>
      <c r="BI214" s="73"/>
      <c r="BJ214" s="74">
        <v>-1904.3248093560987</v>
      </c>
      <c r="BK214" s="74">
        <v>0</v>
      </c>
      <c r="BL214" s="73"/>
      <c r="BM214" s="72">
        <v>47184753.14260076</v>
      </c>
      <c r="BN214" s="72">
        <v>0</v>
      </c>
      <c r="BO214" s="73"/>
      <c r="BP214" s="74">
        <v>-6612.0207349088641</v>
      </c>
      <c r="BQ214" s="74">
        <v>0</v>
      </c>
      <c r="BS214" s="109">
        <f t="shared" si="117"/>
        <v>116175.69394847284</v>
      </c>
      <c r="BT214" s="109">
        <f t="shared" si="118"/>
        <v>116586.86681006309</v>
      </c>
      <c r="BV214" s="58">
        <f t="array" ref="BV214">SUM(IF(BS214:BT214&gt;=BS214, 1))</f>
        <v>2</v>
      </c>
      <c r="BW214" s="58">
        <f t="array" ref="BW214">SUM(IF(BS214:BT214&gt;=BT214, 1))</f>
        <v>1</v>
      </c>
      <c r="BY214" s="109">
        <f t="shared" si="119"/>
        <v>133667.5708568359</v>
      </c>
      <c r="BZ214" s="109">
        <f t="shared" si="120"/>
        <v>134030.12133910591</v>
      </c>
      <c r="CB214" s="58">
        <f t="array" ref="CB214">SUM(IF(BY214:BZ214&gt;=BY214, 1))</f>
        <v>2</v>
      </c>
      <c r="CC214" s="58">
        <f t="array" ref="CC214">SUM(IF(BY214:BZ214&gt;=BZ214, 1))</f>
        <v>1</v>
      </c>
      <c r="CE214" s="109">
        <f t="shared" si="121"/>
        <v>92436.376025223784</v>
      </c>
      <c r="CF214" s="109">
        <f t="shared" si="122"/>
        <v>96021.060056625764</v>
      </c>
      <c r="CH214" s="58">
        <f t="array" ref="CH214">SUM(IF(CE214:CF214&gt;=CE214, 1))</f>
        <v>2</v>
      </c>
      <c r="CI214" s="58">
        <f t="array" ref="CI214">SUM(IF(CE214:CF214&gt;=CF214, 1))</f>
        <v>1</v>
      </c>
      <c r="CK214" s="109">
        <f t="shared" si="123"/>
        <v>50077.700408275145</v>
      </c>
      <c r="CL214" s="109">
        <f t="shared" si="124"/>
        <v>50986.117122529649</v>
      </c>
      <c r="CN214" s="58">
        <f t="array" ref="CN214">SUM(IF(CK214:CL214&gt;=CK214, 1))</f>
        <v>2</v>
      </c>
      <c r="CO214" s="58">
        <f t="array" ref="CO214">SUM(IF(CK214:CL214&gt;=CL214, 1))</f>
        <v>1</v>
      </c>
      <c r="CQ214" s="109" cm="1">
        <f t="array" ref="CQ214">AF214*WTP-AC214</f>
        <v>38618.851341127418</v>
      </c>
      <c r="CR214" s="109">
        <f t="shared" si="125"/>
        <v>41242.404443979438</v>
      </c>
      <c r="CT214" s="58">
        <f t="array" ref="CT214">SUM(IF(CQ214:CR214&gt;=CQ214, 1))</f>
        <v>2</v>
      </c>
      <c r="CU214" s="58">
        <f t="array" ref="CU214">SUM(IF(CQ214:CR214&gt;=CR214, 1))</f>
        <v>1</v>
      </c>
      <c r="CW214" s="109">
        <f t="shared" si="126"/>
        <v>-44189663.801378794</v>
      </c>
      <c r="CX214" s="109">
        <f t="shared" si="127"/>
        <v>0</v>
      </c>
      <c r="CZ214" s="58">
        <f t="array" ref="CZ214">SUM(IF(CW214:CX214&gt;=CW214, 1))</f>
        <v>2</v>
      </c>
      <c r="DA214" s="58">
        <f t="array" ref="DA214">SUM(IF(CW214:CX214&gt;=CX214, 1))</f>
        <v>1</v>
      </c>
      <c r="DC214" s="109">
        <f t="shared" si="128"/>
        <v>-2332962.5282711885</v>
      </c>
      <c r="DD214" s="109">
        <f t="shared" si="129"/>
        <v>0</v>
      </c>
      <c r="DF214" s="58">
        <f t="array" ref="DF214">SUM(IF(DC214:DD214&gt;=DC214, 1))</f>
        <v>2</v>
      </c>
      <c r="DG214" s="58">
        <f t="array" ref="DG214">SUM(IF(DC214:DD214&gt;=DD214, 1))</f>
        <v>1</v>
      </c>
      <c r="DI214" s="109">
        <f t="shared" si="130"/>
        <v>-82650742.57212773</v>
      </c>
      <c r="DJ214" s="109">
        <f t="shared" si="131"/>
        <v>0</v>
      </c>
      <c r="DL214" s="58">
        <f t="array" ref="DL214">SUM(IF(DI214:DJ214&gt;=DI214, 1))</f>
        <v>2</v>
      </c>
      <c r="DM214" s="58">
        <f t="array" ref="DM214">SUM(IF(DI214:DJ214&gt;=DJ214, 1))</f>
        <v>1</v>
      </c>
      <c r="DO214" s="109">
        <f t="shared" si="132"/>
        <v>-8214295.6752153039</v>
      </c>
      <c r="DP214" s="109">
        <f t="shared" si="133"/>
        <v>0</v>
      </c>
      <c r="DR214" s="58">
        <f t="array" ref="DR214">SUM(IF(DO214:DP214&gt;=DO214, 1))</f>
        <v>2</v>
      </c>
      <c r="DS214" s="58">
        <f t="array" ref="DS214">SUM(IF(DO214:DP214&gt;=DP214, 1))</f>
        <v>1</v>
      </c>
      <c r="DU214" s="109">
        <f t="shared" si="134"/>
        <v>-42037503.263785012</v>
      </c>
      <c r="DV214" s="109">
        <f t="shared" si="135"/>
        <v>0</v>
      </c>
      <c r="DX214" s="58">
        <f t="array" ref="DX214">SUM(IF(DU214:DV214&gt;=DU214, 1))</f>
        <v>2</v>
      </c>
      <c r="DY214" s="58">
        <f t="array" ref="DY214">SUM(IF(DU214:DV214&gt;=DV214, 1))</f>
        <v>1</v>
      </c>
      <c r="EA214" s="109">
        <f t="shared" si="136"/>
        <v>-179425167.84077805</v>
      </c>
      <c r="EB214" s="109">
        <f t="shared" si="137"/>
        <v>0</v>
      </c>
      <c r="ED214" s="58">
        <f t="array" ref="ED214">SUM(IF(EA214:EB214&gt;=EA214, 1))</f>
        <v>2</v>
      </c>
      <c r="EE214" s="58">
        <f t="array" ref="EE214">SUM(IF(EA214:EB214&gt;=EB214, 1))</f>
        <v>1</v>
      </c>
    </row>
    <row r="215" spans="4:135" ht="12" customHeight="1" x14ac:dyDescent="0.25">
      <c r="D215" s="11">
        <v>199</v>
      </c>
      <c r="E215" s="72">
        <v>236.08816580164952</v>
      </c>
      <c r="F215" s="72">
        <v>226.76487344939403</v>
      </c>
      <c r="G215" s="73"/>
      <c r="H215" s="74">
        <v>5.8062860678974673</v>
      </c>
      <c r="I215" s="74">
        <v>5.8200062058576414</v>
      </c>
      <c r="J215" s="73"/>
      <c r="K215" s="72">
        <v>254.04966609135835</v>
      </c>
      <c r="L215" s="72">
        <v>244.48366574906106</v>
      </c>
      <c r="M215" s="73"/>
      <c r="N215" s="74">
        <v>6.6852789502702743</v>
      </c>
      <c r="O215" s="74">
        <v>6.6971445585230009</v>
      </c>
      <c r="P215" s="73"/>
      <c r="Q215" s="72">
        <v>2690.939504333161</v>
      </c>
      <c r="R215" s="72">
        <v>1428.5441764490456</v>
      </c>
      <c r="S215" s="73"/>
      <c r="T215" s="74">
        <v>4.8075747404285121</v>
      </c>
      <c r="U215" s="74">
        <v>4.9099318129016609</v>
      </c>
      <c r="V215" s="73"/>
      <c r="W215" s="72">
        <v>14768.136155818094</v>
      </c>
      <c r="X215" s="72">
        <v>14686.933989345596</v>
      </c>
      <c r="Y215" s="73"/>
      <c r="Z215" s="74">
        <v>3.0187996349631754</v>
      </c>
      <c r="AA215" s="74">
        <v>3.0551386299034102</v>
      </c>
      <c r="AB215" s="73"/>
      <c r="AC215" s="72">
        <v>50581.139769570371</v>
      </c>
      <c r="AD215" s="72">
        <v>50219.383298300563</v>
      </c>
      <c r="AE215" s="73"/>
      <c r="AF215" s="74">
        <v>5.04257479245212</v>
      </c>
      <c r="AG215" s="74">
        <v>5.2120735809984966</v>
      </c>
      <c r="AH215" s="73"/>
      <c r="AI215" s="72">
        <v>993529.5713101154</v>
      </c>
      <c r="AJ215" s="72">
        <v>0</v>
      </c>
      <c r="AK215" s="73"/>
      <c r="AL215" s="74">
        <v>-1462.0760854495506</v>
      </c>
      <c r="AM215" s="74">
        <v>0</v>
      </c>
      <c r="AN215" s="73"/>
      <c r="AO215" s="72">
        <v>64036.88898428221</v>
      </c>
      <c r="AP215" s="72">
        <v>0</v>
      </c>
      <c r="AQ215" s="73"/>
      <c r="AR215" s="74">
        <v>-79.430965003327955</v>
      </c>
      <c r="AS215" s="74">
        <v>0</v>
      </c>
      <c r="AT215" s="73"/>
      <c r="AU215" s="72">
        <v>28910623.267310001</v>
      </c>
      <c r="AV215" s="72">
        <v>0</v>
      </c>
      <c r="AW215" s="73"/>
      <c r="AX215" s="74">
        <v>-2344.1204951034169</v>
      </c>
      <c r="AY215" s="74">
        <v>0</v>
      </c>
      <c r="AZ215" s="73"/>
      <c r="BA215" s="72">
        <v>755361.84902059939</v>
      </c>
      <c r="BB215" s="72">
        <v>0</v>
      </c>
      <c r="BC215" s="73"/>
      <c r="BD215" s="74">
        <v>-338.0339663585529</v>
      </c>
      <c r="BE215" s="74">
        <v>0</v>
      </c>
      <c r="BF215" s="73"/>
      <c r="BG215" s="72">
        <v>5743333.5616252795</v>
      </c>
      <c r="BH215" s="72">
        <v>0</v>
      </c>
      <c r="BI215" s="73"/>
      <c r="BJ215" s="74">
        <v>-2691.0039162428075</v>
      </c>
      <c r="BK215" s="74">
        <v>0</v>
      </c>
      <c r="BL215" s="73"/>
      <c r="BM215" s="72">
        <v>36466885.138250276</v>
      </c>
      <c r="BN215" s="72">
        <v>0</v>
      </c>
      <c r="BO215" s="73"/>
      <c r="BP215" s="74">
        <v>-6914.6654281576557</v>
      </c>
      <c r="BQ215" s="74">
        <v>0</v>
      </c>
      <c r="BS215" s="109">
        <f t="shared" si="117"/>
        <v>115889.6331921477</v>
      </c>
      <c r="BT215" s="109">
        <f t="shared" si="118"/>
        <v>116173.35924370342</v>
      </c>
      <c r="BV215" s="58">
        <f t="array" ref="BV215">SUM(IF(BS215:BT215&gt;=BS215, 1))</f>
        <v>2</v>
      </c>
      <c r="BW215" s="58">
        <f t="array" ref="BW215">SUM(IF(BS215:BT215&gt;=BT215, 1))</f>
        <v>1</v>
      </c>
      <c r="BY215" s="109">
        <f t="shared" si="119"/>
        <v>133451.52933931412</v>
      </c>
      <c r="BZ215" s="109">
        <f t="shared" si="120"/>
        <v>133698.40750471098</v>
      </c>
      <c r="CB215" s="58">
        <f t="array" ref="CB215">SUM(IF(BY215:BZ215&gt;=BY215, 1))</f>
        <v>2</v>
      </c>
      <c r="CC215" s="58">
        <f t="array" ref="CC215">SUM(IF(BY215:BZ215&gt;=BZ215, 1))</f>
        <v>1</v>
      </c>
      <c r="CE215" s="109">
        <f t="shared" si="121"/>
        <v>93460.555304237074</v>
      </c>
      <c r="CF215" s="109">
        <f t="shared" si="122"/>
        <v>96770.092081584182</v>
      </c>
      <c r="CH215" s="58">
        <f t="array" ref="CH215">SUM(IF(CE215:CF215&gt;=CE215, 1))</f>
        <v>2</v>
      </c>
      <c r="CI215" s="58">
        <f t="array" ref="CI215">SUM(IF(CE215:CF215&gt;=CF215, 1))</f>
        <v>1</v>
      </c>
      <c r="CK215" s="109">
        <f t="shared" si="123"/>
        <v>45607.856543445414</v>
      </c>
      <c r="CL215" s="109">
        <f t="shared" si="124"/>
        <v>46415.83860872261</v>
      </c>
      <c r="CN215" s="58">
        <f t="array" ref="CN215">SUM(IF(CK215:CL215&gt;=CK215, 1))</f>
        <v>2</v>
      </c>
      <c r="CO215" s="58">
        <f t="array" ref="CO215">SUM(IF(CK215:CL215&gt;=CL215, 1))</f>
        <v>1</v>
      </c>
      <c r="CQ215" s="109" cm="1">
        <f t="array" ref="CQ215">AF215*WTP-AC215</f>
        <v>50270.356079472032</v>
      </c>
      <c r="CR215" s="109">
        <f t="shared" si="125"/>
        <v>54022.088321669369</v>
      </c>
      <c r="CT215" s="58">
        <f t="array" ref="CT215">SUM(IF(CQ215:CR215&gt;=CQ215, 1))</f>
        <v>2</v>
      </c>
      <c r="CU215" s="58">
        <f t="array" ref="CU215">SUM(IF(CQ215:CR215&gt;=CR215, 1))</f>
        <v>1</v>
      </c>
      <c r="CW215" s="109">
        <f t="shared" si="126"/>
        <v>-30235051.280301128</v>
      </c>
      <c r="CX215" s="109">
        <f t="shared" si="127"/>
        <v>0</v>
      </c>
      <c r="CZ215" s="58">
        <f t="array" ref="CZ215">SUM(IF(CW215:CX215&gt;=CW215, 1))</f>
        <v>2</v>
      </c>
      <c r="DA215" s="58">
        <f t="array" ref="DA215">SUM(IF(CW215:CX215&gt;=CX215, 1))</f>
        <v>1</v>
      </c>
      <c r="DC215" s="109">
        <f t="shared" si="128"/>
        <v>-1652656.1890508414</v>
      </c>
      <c r="DD215" s="109">
        <f t="shared" si="129"/>
        <v>0</v>
      </c>
      <c r="DF215" s="58">
        <f t="array" ref="DF215">SUM(IF(DC215:DD215&gt;=DC215, 1))</f>
        <v>2</v>
      </c>
      <c r="DG215" s="58">
        <f t="array" ref="DG215">SUM(IF(DC215:DD215&gt;=DD215, 1))</f>
        <v>1</v>
      </c>
      <c r="DI215" s="109">
        <f t="shared" si="130"/>
        <v>-75793033.16937834</v>
      </c>
      <c r="DJ215" s="109">
        <f t="shared" si="131"/>
        <v>0</v>
      </c>
      <c r="DL215" s="58">
        <f t="array" ref="DL215">SUM(IF(DI215:DJ215&gt;=DI215, 1))</f>
        <v>2</v>
      </c>
      <c r="DM215" s="58">
        <f t="array" ref="DM215">SUM(IF(DI215:DJ215&gt;=DJ215, 1))</f>
        <v>1</v>
      </c>
      <c r="DO215" s="109">
        <f t="shared" si="132"/>
        <v>-7516041.1761916578</v>
      </c>
      <c r="DP215" s="109">
        <f t="shared" si="133"/>
        <v>0</v>
      </c>
      <c r="DR215" s="58">
        <f t="array" ref="DR215">SUM(IF(DO215:DP215&gt;=DO215, 1))</f>
        <v>2</v>
      </c>
      <c r="DS215" s="58">
        <f t="array" ref="DS215">SUM(IF(DO215:DP215&gt;=DP215, 1))</f>
        <v>1</v>
      </c>
      <c r="DU215" s="109">
        <f t="shared" si="134"/>
        <v>-59563411.886481427</v>
      </c>
      <c r="DV215" s="109">
        <f t="shared" si="135"/>
        <v>0</v>
      </c>
      <c r="DX215" s="58">
        <f t="array" ref="DX215">SUM(IF(DU215:DV215&gt;=DU215, 1))</f>
        <v>2</v>
      </c>
      <c r="DY215" s="58">
        <f t="array" ref="DY215">SUM(IF(DU215:DV215&gt;=DV215, 1))</f>
        <v>1</v>
      </c>
      <c r="EA215" s="109">
        <f t="shared" si="136"/>
        <v>-174760193.70140338</v>
      </c>
      <c r="EB215" s="109">
        <f t="shared" si="137"/>
        <v>0</v>
      </c>
      <c r="ED215" s="58">
        <f t="array" ref="ED215">SUM(IF(EA215:EB215&gt;=EA215, 1))</f>
        <v>2</v>
      </c>
      <c r="EE215" s="58">
        <f t="array" ref="EE215">SUM(IF(EA215:EB215&gt;=EB215, 1))</f>
        <v>1</v>
      </c>
    </row>
    <row r="216" spans="4:135" ht="12" customHeight="1" x14ac:dyDescent="0.25">
      <c r="D216" s="11">
        <v>200</v>
      </c>
      <c r="E216" s="72">
        <v>288.27366175273647</v>
      </c>
      <c r="F216" s="72">
        <v>259.52332591441939</v>
      </c>
      <c r="G216" s="73"/>
      <c r="H216" s="74">
        <v>5.8984919123084687</v>
      </c>
      <c r="I216" s="74">
        <v>5.9136332404207721</v>
      </c>
      <c r="J216" s="73"/>
      <c r="K216" s="72">
        <v>309.20974186014274</v>
      </c>
      <c r="L216" s="72">
        <v>279.79007138450635</v>
      </c>
      <c r="M216" s="73"/>
      <c r="N216" s="74">
        <v>6.7175767779098372</v>
      </c>
      <c r="O216" s="74">
        <v>6.7310057417361744</v>
      </c>
      <c r="P216" s="73"/>
      <c r="Q216" s="72">
        <v>3215.3035257831834</v>
      </c>
      <c r="R216" s="72">
        <v>1546.0906483331848</v>
      </c>
      <c r="S216" s="73"/>
      <c r="T216" s="74">
        <v>4.8359575251733151</v>
      </c>
      <c r="U216" s="74">
        <v>4.9565100890672786</v>
      </c>
      <c r="V216" s="73"/>
      <c r="W216" s="72">
        <v>15265.025052769906</v>
      </c>
      <c r="X216" s="72">
        <v>15256.469184939748</v>
      </c>
      <c r="Y216" s="73"/>
      <c r="Z216" s="74">
        <v>3.1906203511194908</v>
      </c>
      <c r="AA216" s="74">
        <v>3.2351211948747154</v>
      </c>
      <c r="AB216" s="73"/>
      <c r="AC216" s="72">
        <v>50939.538890774304</v>
      </c>
      <c r="AD216" s="72">
        <v>50647.600535171339</v>
      </c>
      <c r="AE216" s="73"/>
      <c r="AF216" s="74">
        <v>4.7212849031494724</v>
      </c>
      <c r="AG216" s="74">
        <v>4.8912586080379823</v>
      </c>
      <c r="AH216" s="73"/>
      <c r="AI216" s="72">
        <v>3082752.032904062</v>
      </c>
      <c r="AJ216" s="72">
        <v>0</v>
      </c>
      <c r="AK216" s="73"/>
      <c r="AL216" s="74">
        <v>-1623.5274704812971</v>
      </c>
      <c r="AM216" s="74">
        <v>0</v>
      </c>
      <c r="AN216" s="73"/>
      <c r="AO216" s="72">
        <v>204474.21982740876</v>
      </c>
      <c r="AP216" s="72">
        <v>0</v>
      </c>
      <c r="AQ216" s="73"/>
      <c r="AR216" s="74">
        <v>-93.334726633147014</v>
      </c>
      <c r="AS216" s="74">
        <v>0</v>
      </c>
      <c r="AT216" s="73"/>
      <c r="AU216" s="72">
        <v>38453867.785810508</v>
      </c>
      <c r="AV216" s="72">
        <v>0</v>
      </c>
      <c r="AW216" s="73"/>
      <c r="AX216" s="74">
        <v>-2777.184633454764</v>
      </c>
      <c r="AY216" s="74">
        <v>0</v>
      </c>
      <c r="AZ216" s="73"/>
      <c r="BA216" s="72">
        <v>74908.444335748514</v>
      </c>
      <c r="BB216" s="72">
        <v>0</v>
      </c>
      <c r="BC216" s="73"/>
      <c r="BD216" s="74">
        <v>-389.61436098648647</v>
      </c>
      <c r="BE216" s="74">
        <v>0</v>
      </c>
      <c r="BF216" s="73"/>
      <c r="BG216" s="72">
        <v>4592891.893480056</v>
      </c>
      <c r="BH216" s="72">
        <v>0</v>
      </c>
      <c r="BI216" s="73"/>
      <c r="BJ216" s="74">
        <v>-2674.0948433268559</v>
      </c>
      <c r="BK216" s="74">
        <v>0</v>
      </c>
      <c r="BL216" s="73"/>
      <c r="BM216" s="72">
        <v>46408894.376357786</v>
      </c>
      <c r="BN216" s="72">
        <v>0</v>
      </c>
      <c r="BO216" s="73"/>
      <c r="BP216" s="74">
        <v>-7557.7560348825509</v>
      </c>
      <c r="BQ216" s="74">
        <v>0</v>
      </c>
      <c r="BS216" s="109">
        <f t="shared" si="117"/>
        <v>117681.56458441663</v>
      </c>
      <c r="BT216" s="109">
        <f t="shared" si="118"/>
        <v>118013.14148250103</v>
      </c>
      <c r="BV216" s="58">
        <f t="array" ref="BV216">SUM(IF(BS216:BT216&gt;=BS216, 1))</f>
        <v>2</v>
      </c>
      <c r="BW216" s="58">
        <f t="array" ref="BW216">SUM(IF(BS216:BT216&gt;=BT216, 1))</f>
        <v>1</v>
      </c>
      <c r="BY216" s="109">
        <f t="shared" si="119"/>
        <v>134042.32581633661</v>
      </c>
      <c r="BZ216" s="109">
        <f t="shared" si="120"/>
        <v>134340.32476333898</v>
      </c>
      <c r="CB216" s="58">
        <f t="array" ref="CB216">SUM(IF(BY216:BZ216&gt;=BY216, 1))</f>
        <v>2</v>
      </c>
      <c r="CC216" s="58">
        <f t="array" ref="CC216">SUM(IF(BY216:BZ216&gt;=BZ216, 1))</f>
        <v>1</v>
      </c>
      <c r="CE216" s="109">
        <f t="shared" si="121"/>
        <v>93503.846977683119</v>
      </c>
      <c r="CF216" s="109">
        <f t="shared" si="122"/>
        <v>97584.111133012397</v>
      </c>
      <c r="CH216" s="58">
        <f t="array" ref="CH216">SUM(IF(CE216:CF216&gt;=CE216, 1))</f>
        <v>2</v>
      </c>
      <c r="CI216" s="58">
        <f t="array" ref="CI216">SUM(IF(CE216:CF216&gt;=CF216, 1))</f>
        <v>1</v>
      </c>
      <c r="CK216" s="109">
        <f t="shared" si="123"/>
        <v>48547.381969619906</v>
      </c>
      <c r="CL216" s="109">
        <f t="shared" si="124"/>
        <v>49445.954712554558</v>
      </c>
      <c r="CN216" s="58">
        <f t="array" ref="CN216">SUM(IF(CK216:CL216&gt;=CK216, 1))</f>
        <v>2</v>
      </c>
      <c r="CO216" s="58">
        <f t="array" ref="CO216">SUM(IF(CK216:CL216&gt;=CL216, 1))</f>
        <v>1</v>
      </c>
      <c r="CQ216" s="109" cm="1">
        <f t="array" ref="CQ216">AF216*WTP-AC216</f>
        <v>43486.15917221515</v>
      </c>
      <c r="CR216" s="109">
        <f t="shared" si="125"/>
        <v>47177.571625588302</v>
      </c>
      <c r="CT216" s="58">
        <f t="array" ref="CT216">SUM(IF(CQ216:CR216&gt;=CQ216, 1))</f>
        <v>2</v>
      </c>
      <c r="CU216" s="58">
        <f t="array" ref="CU216">SUM(IF(CQ216:CR216&gt;=CR216, 1))</f>
        <v>1</v>
      </c>
      <c r="CW216" s="109">
        <f t="shared" si="126"/>
        <v>-35553301.442529999</v>
      </c>
      <c r="CX216" s="109">
        <f t="shared" si="127"/>
        <v>0</v>
      </c>
      <c r="CZ216" s="58">
        <f t="array" ref="CZ216">SUM(IF(CW216:CX216&gt;=CW216, 1))</f>
        <v>2</v>
      </c>
      <c r="DA216" s="58">
        <f t="array" ref="DA216">SUM(IF(CW216:CX216&gt;=CX216, 1))</f>
        <v>1</v>
      </c>
      <c r="DC216" s="109">
        <f t="shared" si="128"/>
        <v>-2071168.7524903489</v>
      </c>
      <c r="DD216" s="109">
        <f t="shared" si="129"/>
        <v>0</v>
      </c>
      <c r="DF216" s="58">
        <f t="array" ref="DF216">SUM(IF(DC216:DD216&gt;=DC216, 1))</f>
        <v>2</v>
      </c>
      <c r="DG216" s="58">
        <f t="array" ref="DG216">SUM(IF(DC216:DD216&gt;=DD216, 1))</f>
        <v>1</v>
      </c>
      <c r="DI216" s="109">
        <f t="shared" si="130"/>
        <v>-93997560.454905778</v>
      </c>
      <c r="DJ216" s="109">
        <f t="shared" si="131"/>
        <v>0</v>
      </c>
      <c r="DL216" s="58">
        <f t="array" ref="DL216">SUM(IF(DI216:DJ216&gt;=DI216, 1))</f>
        <v>2</v>
      </c>
      <c r="DM216" s="58">
        <f t="array" ref="DM216">SUM(IF(DI216:DJ216&gt;=DJ216, 1))</f>
        <v>1</v>
      </c>
      <c r="DO216" s="109">
        <f t="shared" si="132"/>
        <v>-7867195.6640654784</v>
      </c>
      <c r="DP216" s="109">
        <f t="shared" si="133"/>
        <v>0</v>
      </c>
      <c r="DR216" s="58">
        <f t="array" ref="DR216">SUM(IF(DO216:DP216&gt;=DO216, 1))</f>
        <v>2</v>
      </c>
      <c r="DS216" s="58">
        <f t="array" ref="DS216">SUM(IF(DO216:DP216&gt;=DP216, 1))</f>
        <v>1</v>
      </c>
      <c r="DU216" s="109">
        <f t="shared" si="134"/>
        <v>-58074788.760017172</v>
      </c>
      <c r="DV216" s="109">
        <f t="shared" si="135"/>
        <v>0</v>
      </c>
      <c r="DX216" s="58">
        <f t="array" ref="DX216">SUM(IF(DU216:DV216&gt;=DU216, 1))</f>
        <v>2</v>
      </c>
      <c r="DY216" s="58">
        <f t="array" ref="DY216">SUM(IF(DU216:DV216&gt;=DV216, 1))</f>
        <v>1</v>
      </c>
      <c r="EA216" s="109">
        <f t="shared" si="136"/>
        <v>-197564015.07400882</v>
      </c>
      <c r="EB216" s="109">
        <f t="shared" si="137"/>
        <v>0</v>
      </c>
      <c r="ED216" s="58">
        <f t="array" ref="ED216">SUM(IF(EA216:EB216&gt;=EA216, 1))</f>
        <v>2</v>
      </c>
      <c r="EE216" s="58">
        <f t="array" ref="EE216">SUM(IF(EA216:EB216&gt;=EB216, 1))</f>
        <v>1</v>
      </c>
    </row>
    <row r="217" spans="4:135" ht="12" customHeight="1" x14ac:dyDescent="0.25">
      <c r="D217" s="11">
        <v>201</v>
      </c>
      <c r="E217" s="72">
        <v>252.35379301203392</v>
      </c>
      <c r="F217" s="72">
        <v>228.55947658544724</v>
      </c>
      <c r="G217" s="73"/>
      <c r="H217" s="74">
        <v>5.8285643053654024</v>
      </c>
      <c r="I217" s="74">
        <v>5.8465963440630579</v>
      </c>
      <c r="J217" s="73"/>
      <c r="K217" s="72">
        <v>270.80373765300311</v>
      </c>
      <c r="L217" s="72">
        <v>246.44849684455488</v>
      </c>
      <c r="M217" s="73"/>
      <c r="N217" s="74">
        <v>6.7480041865377851</v>
      </c>
      <c r="O217" s="74">
        <v>6.7638942248973706</v>
      </c>
      <c r="P217" s="73"/>
      <c r="Q217" s="72">
        <v>3966.1982254419877</v>
      </c>
      <c r="R217" s="72">
        <v>1507.7451260569683</v>
      </c>
      <c r="S217" s="73"/>
      <c r="T217" s="74">
        <v>4.7768399838039795</v>
      </c>
      <c r="U217" s="74">
        <v>4.9645839387991471</v>
      </c>
      <c r="V217" s="73"/>
      <c r="W217" s="72">
        <v>13254.812210392254</v>
      </c>
      <c r="X217" s="72">
        <v>13167.281563033437</v>
      </c>
      <c r="Y217" s="73"/>
      <c r="Z217" s="74">
        <v>3.0089069093160781</v>
      </c>
      <c r="AA217" s="74">
        <v>3.0423663709296331</v>
      </c>
      <c r="AB217" s="73"/>
      <c r="AC217" s="72">
        <v>51544.451566494812</v>
      </c>
      <c r="AD217" s="72">
        <v>51328.874494396456</v>
      </c>
      <c r="AE217" s="73"/>
      <c r="AF217" s="74">
        <v>4.5353360517868513</v>
      </c>
      <c r="AG217" s="74">
        <v>4.679659773776641</v>
      </c>
      <c r="AH217" s="73"/>
      <c r="AI217" s="72">
        <v>2538908.6734089209</v>
      </c>
      <c r="AJ217" s="72">
        <v>0</v>
      </c>
      <c r="AK217" s="73"/>
      <c r="AL217" s="74">
        <v>-1924.0602935568538</v>
      </c>
      <c r="AM217" s="74">
        <v>0</v>
      </c>
      <c r="AN217" s="73"/>
      <c r="AO217" s="72">
        <v>166231.01048553514</v>
      </c>
      <c r="AP217" s="72">
        <v>0</v>
      </c>
      <c r="AQ217" s="73"/>
      <c r="AR217" s="74">
        <v>-108.45374734507102</v>
      </c>
      <c r="AS217" s="74">
        <v>0</v>
      </c>
      <c r="AT217" s="73"/>
      <c r="AU217" s="72">
        <v>56493371.554544456</v>
      </c>
      <c r="AV217" s="72">
        <v>0</v>
      </c>
      <c r="AW217" s="73"/>
      <c r="AX217" s="74">
        <v>-4314.2124652753528</v>
      </c>
      <c r="AY217" s="74">
        <v>0</v>
      </c>
      <c r="AZ217" s="73"/>
      <c r="BA217" s="72">
        <v>768714.84109199292</v>
      </c>
      <c r="BB217" s="72">
        <v>0</v>
      </c>
      <c r="BC217" s="73"/>
      <c r="BD217" s="74">
        <v>-293.8489031373162</v>
      </c>
      <c r="BE217" s="74">
        <v>0</v>
      </c>
      <c r="BF217" s="73"/>
      <c r="BG217" s="72">
        <v>3378203.3210133729</v>
      </c>
      <c r="BH217" s="72">
        <v>0</v>
      </c>
      <c r="BI217" s="73"/>
      <c r="BJ217" s="74">
        <v>-2261.6267684741206</v>
      </c>
      <c r="BK217" s="74">
        <v>0</v>
      </c>
      <c r="BL217" s="73"/>
      <c r="BM217" s="72">
        <v>63345429.400544278</v>
      </c>
      <c r="BN217" s="72">
        <v>0</v>
      </c>
      <c r="BO217" s="73"/>
      <c r="BP217" s="74">
        <v>-8902.2021777887148</v>
      </c>
      <c r="BQ217" s="74">
        <v>0</v>
      </c>
      <c r="BS217" s="109">
        <f t="shared" si="117"/>
        <v>116318.93231429601</v>
      </c>
      <c r="BT217" s="109">
        <f t="shared" si="118"/>
        <v>116703.36740467571</v>
      </c>
      <c r="BV217" s="58">
        <f t="array" ref="BV217">SUM(IF(BS217:BT217&gt;=BS217, 1))</f>
        <v>2</v>
      </c>
      <c r="BW217" s="58">
        <f t="array" ref="BW217">SUM(IF(BS217:BT217&gt;=BT217, 1))</f>
        <v>1</v>
      </c>
      <c r="BY217" s="109">
        <f t="shared" si="119"/>
        <v>134689.27999310268</v>
      </c>
      <c r="BZ217" s="109">
        <f t="shared" si="120"/>
        <v>135031.43600110285</v>
      </c>
      <c r="CB217" s="58">
        <f t="array" ref="CB217">SUM(IF(BY217:BZ217&gt;=BY217, 1))</f>
        <v>2</v>
      </c>
      <c r="CC217" s="58">
        <f t="array" ref="CC217">SUM(IF(BY217:BZ217&gt;=BZ217, 1))</f>
        <v>1</v>
      </c>
      <c r="CE217" s="109">
        <f t="shared" si="121"/>
        <v>91570.601450637609</v>
      </c>
      <c r="CF217" s="109">
        <f t="shared" si="122"/>
        <v>97783.933649925981</v>
      </c>
      <c r="CH217" s="58">
        <f t="array" ref="CH217">SUM(IF(CE217:CF217&gt;=CE217, 1))</f>
        <v>2</v>
      </c>
      <c r="CI217" s="58">
        <f t="array" ref="CI217">SUM(IF(CE217:CF217&gt;=CF217, 1))</f>
        <v>1</v>
      </c>
      <c r="CK217" s="109">
        <f t="shared" si="123"/>
        <v>46923.325975929314</v>
      </c>
      <c r="CL217" s="109">
        <f t="shared" si="124"/>
        <v>47680.045855559227</v>
      </c>
      <c r="CN217" s="58">
        <f t="array" ref="CN217">SUM(IF(CK217:CL217&gt;=CK217, 1))</f>
        <v>2</v>
      </c>
      <c r="CO217" s="58">
        <f t="array" ref="CO217">SUM(IF(CK217:CL217&gt;=CL217, 1))</f>
        <v>1</v>
      </c>
      <c r="CQ217" s="109" cm="1">
        <f t="array" ref="CQ217">AF217*WTP-AC217</f>
        <v>39162.269469242208</v>
      </c>
      <c r="CR217" s="109">
        <f t="shared" si="125"/>
        <v>42264.320981136363</v>
      </c>
      <c r="CT217" s="58">
        <f t="array" ref="CT217">SUM(IF(CQ217:CR217&gt;=CQ217, 1))</f>
        <v>2</v>
      </c>
      <c r="CU217" s="58">
        <f t="array" ref="CU217">SUM(IF(CQ217:CR217&gt;=CR217, 1))</f>
        <v>1</v>
      </c>
      <c r="CW217" s="109">
        <f t="shared" si="126"/>
        <v>-41020114.544545993</v>
      </c>
      <c r="CX217" s="109">
        <f t="shared" si="127"/>
        <v>0</v>
      </c>
      <c r="CZ217" s="58">
        <f t="array" ref="CZ217">SUM(IF(CW217:CX217&gt;=CW217, 1))</f>
        <v>2</v>
      </c>
      <c r="DA217" s="58">
        <f t="array" ref="DA217">SUM(IF(CW217:CX217&gt;=CX217, 1))</f>
        <v>1</v>
      </c>
      <c r="DC217" s="109">
        <f t="shared" si="128"/>
        <v>-2335305.9573869556</v>
      </c>
      <c r="DD217" s="109">
        <f t="shared" si="129"/>
        <v>0</v>
      </c>
      <c r="DF217" s="58">
        <f t="array" ref="DF217">SUM(IF(DC217:DD217&gt;=DC217, 1))</f>
        <v>2</v>
      </c>
      <c r="DG217" s="58">
        <f t="array" ref="DG217">SUM(IF(DC217:DD217&gt;=DD217, 1))</f>
        <v>1</v>
      </c>
      <c r="DI217" s="109">
        <f t="shared" si="130"/>
        <v>-142777620.86005151</v>
      </c>
      <c r="DJ217" s="109">
        <f t="shared" si="131"/>
        <v>0</v>
      </c>
      <c r="DL217" s="58">
        <f t="array" ref="DL217">SUM(IF(DI217:DJ217&gt;=DI217, 1))</f>
        <v>2</v>
      </c>
      <c r="DM217" s="58">
        <f t="array" ref="DM217">SUM(IF(DI217:DJ217&gt;=DJ217, 1))</f>
        <v>1</v>
      </c>
      <c r="DO217" s="109">
        <f t="shared" si="132"/>
        <v>-6645692.9038383169</v>
      </c>
      <c r="DP217" s="109">
        <f t="shared" si="133"/>
        <v>0</v>
      </c>
      <c r="DR217" s="58">
        <f t="array" ref="DR217">SUM(IF(DO217:DP217&gt;=DO217, 1))</f>
        <v>2</v>
      </c>
      <c r="DS217" s="58">
        <f t="array" ref="DS217">SUM(IF(DO217:DP217&gt;=DP217, 1))</f>
        <v>1</v>
      </c>
      <c r="DU217" s="109">
        <f t="shared" si="134"/>
        <v>-48610738.690495789</v>
      </c>
      <c r="DV217" s="109">
        <f t="shared" si="135"/>
        <v>0</v>
      </c>
      <c r="DX217" s="58">
        <f t="array" ref="DX217">SUM(IF(DU217:DV217&gt;=DU217, 1))</f>
        <v>2</v>
      </c>
      <c r="DY217" s="58">
        <f t="array" ref="DY217">SUM(IF(DU217:DV217&gt;=DV217, 1))</f>
        <v>1</v>
      </c>
      <c r="EA217" s="109">
        <f t="shared" si="136"/>
        <v>-241389472.95631859</v>
      </c>
      <c r="EB217" s="109">
        <f t="shared" si="137"/>
        <v>0</v>
      </c>
      <c r="ED217" s="58">
        <f t="array" ref="ED217">SUM(IF(EA217:EB217&gt;=EA217, 1))</f>
        <v>2</v>
      </c>
      <c r="EE217" s="58">
        <f t="array" ref="EE217">SUM(IF(EA217:EB217&gt;=EB217, 1))</f>
        <v>1</v>
      </c>
    </row>
    <row r="218" spans="4:135" ht="12" customHeight="1" x14ac:dyDescent="0.25">
      <c r="D218" s="11">
        <v>202</v>
      </c>
      <c r="E218" s="72">
        <v>208.6394385595716</v>
      </c>
      <c r="F218" s="72">
        <v>179.52536269757613</v>
      </c>
      <c r="G218" s="73"/>
      <c r="H218" s="74">
        <v>5.789329471499185</v>
      </c>
      <c r="I218" s="74">
        <v>5.8066223350241826</v>
      </c>
      <c r="J218" s="73"/>
      <c r="K218" s="72">
        <v>223.29427821360585</v>
      </c>
      <c r="L218" s="72">
        <v>193.51275168629451</v>
      </c>
      <c r="M218" s="73"/>
      <c r="N218" s="74">
        <v>6.664215474216876</v>
      </c>
      <c r="O218" s="74">
        <v>6.678919099242985</v>
      </c>
      <c r="P218" s="73"/>
      <c r="Q218" s="72">
        <v>2950.5059676785168</v>
      </c>
      <c r="R218" s="72">
        <v>1770.0012232889223</v>
      </c>
      <c r="S218" s="73"/>
      <c r="T218" s="74">
        <v>4.7265724613577262</v>
      </c>
      <c r="U218" s="74">
        <v>4.8164035747005158</v>
      </c>
      <c r="V218" s="73"/>
      <c r="W218" s="72">
        <v>12493.577312784329</v>
      </c>
      <c r="X218" s="72">
        <v>12445.632535760131</v>
      </c>
      <c r="Y218" s="73"/>
      <c r="Z218" s="74">
        <v>2.9585404409869045</v>
      </c>
      <c r="AA218" s="74">
        <v>2.9858135750373997</v>
      </c>
      <c r="AB218" s="73"/>
      <c r="AC218" s="72">
        <v>49603.453263362251</v>
      </c>
      <c r="AD218" s="72">
        <v>49529.735129261157</v>
      </c>
      <c r="AE218" s="73"/>
      <c r="AF218" s="74">
        <v>4.2526880270939982</v>
      </c>
      <c r="AG218" s="74">
        <v>4.3471664364295179</v>
      </c>
      <c r="AH218" s="73"/>
      <c r="AI218" s="72">
        <v>3119117.0728440336</v>
      </c>
      <c r="AJ218" s="72">
        <v>0</v>
      </c>
      <c r="AK218" s="73"/>
      <c r="AL218" s="74">
        <v>-1852.6593842393358</v>
      </c>
      <c r="AM218" s="74">
        <v>0</v>
      </c>
      <c r="AN218" s="73"/>
      <c r="AO218" s="72">
        <v>206609.95524838191</v>
      </c>
      <c r="AP218" s="72">
        <v>0</v>
      </c>
      <c r="AQ218" s="73"/>
      <c r="AR218" s="74">
        <v>-102.00670223695315</v>
      </c>
      <c r="AS218" s="74">
        <v>0</v>
      </c>
      <c r="AT218" s="73"/>
      <c r="AU218" s="72">
        <v>27959891.807988547</v>
      </c>
      <c r="AV218" s="72">
        <v>0</v>
      </c>
      <c r="AW218" s="73"/>
      <c r="AX218" s="74">
        <v>-2127.622292068183</v>
      </c>
      <c r="AY218" s="74">
        <v>0</v>
      </c>
      <c r="AZ218" s="73"/>
      <c r="BA218" s="72">
        <v>423311.09976025345</v>
      </c>
      <c r="BB218" s="72">
        <v>0</v>
      </c>
      <c r="BC218" s="73"/>
      <c r="BD218" s="74">
        <v>-240.79829097957784</v>
      </c>
      <c r="BE218" s="74">
        <v>0</v>
      </c>
      <c r="BF218" s="73"/>
      <c r="BG218" s="72">
        <v>1148070.7129699604</v>
      </c>
      <c r="BH218" s="72">
        <v>0</v>
      </c>
      <c r="BI218" s="73"/>
      <c r="BJ218" s="74">
        <v>-1471.3868722904549</v>
      </c>
      <c r="BK218" s="74">
        <v>0</v>
      </c>
      <c r="BL218" s="73"/>
      <c r="BM218" s="72">
        <v>32857000.648811173</v>
      </c>
      <c r="BN218" s="72">
        <v>0</v>
      </c>
      <c r="BO218" s="73"/>
      <c r="BP218" s="74">
        <v>-5794.4735418145046</v>
      </c>
      <c r="BQ218" s="74">
        <v>0</v>
      </c>
      <c r="BS218" s="109">
        <f t="shared" si="117"/>
        <v>115577.94999142412</v>
      </c>
      <c r="BT218" s="109">
        <f t="shared" si="118"/>
        <v>115952.92133778607</v>
      </c>
      <c r="BV218" s="58">
        <f t="array" ref="BV218">SUM(IF(BS218:BT218&gt;=BS218, 1))</f>
        <v>2</v>
      </c>
      <c r="BW218" s="58">
        <f t="array" ref="BW218">SUM(IF(BS218:BT218&gt;=BT218, 1))</f>
        <v>1</v>
      </c>
      <c r="BY218" s="109">
        <f t="shared" si="119"/>
        <v>133061.01520612391</v>
      </c>
      <c r="BZ218" s="109">
        <f t="shared" si="120"/>
        <v>133384.86923317341</v>
      </c>
      <c r="CB218" s="58">
        <f t="array" ref="CB218">SUM(IF(BY218:BZ218&gt;=BY218, 1))</f>
        <v>2</v>
      </c>
      <c r="CC218" s="58">
        <f t="array" ref="CC218">SUM(IF(BY218:BZ218&gt;=BZ218, 1))</f>
        <v>1</v>
      </c>
      <c r="CE218" s="109">
        <f t="shared" si="121"/>
        <v>91580.943259476015</v>
      </c>
      <c r="CF218" s="109">
        <f t="shared" si="122"/>
        <v>94558.070270721393</v>
      </c>
      <c r="CH218" s="58">
        <f t="array" ref="CH218">SUM(IF(CE218:CF218&gt;=CE218, 1))</f>
        <v>2</v>
      </c>
      <c r="CI218" s="58">
        <f t="array" ref="CI218">SUM(IF(CE218:CF218&gt;=CF218, 1))</f>
        <v>1</v>
      </c>
      <c r="CK218" s="109">
        <f t="shared" si="123"/>
        <v>46677.231506953765</v>
      </c>
      <c r="CL218" s="109">
        <f t="shared" si="124"/>
        <v>47270.638964987862</v>
      </c>
      <c r="CN218" s="58">
        <f t="array" ref="CN218">SUM(IF(CK218:CL218&gt;=CK218, 1))</f>
        <v>2</v>
      </c>
      <c r="CO218" s="58">
        <f t="array" ref="CO218">SUM(IF(CK218:CL218&gt;=CL218, 1))</f>
        <v>1</v>
      </c>
      <c r="CQ218" s="109" cm="1">
        <f t="array" ref="CQ218">AF218*WTP-AC218</f>
        <v>35450.307278517714</v>
      </c>
      <c r="CR218" s="109">
        <f t="shared" si="125"/>
        <v>37413.593599329208</v>
      </c>
      <c r="CT218" s="58">
        <f t="array" ref="CT218">SUM(IF(CQ218:CR218&gt;=CQ218, 1))</f>
        <v>2</v>
      </c>
      <c r="CU218" s="58">
        <f t="array" ref="CU218">SUM(IF(CQ218:CR218&gt;=CR218, 1))</f>
        <v>1</v>
      </c>
      <c r="CW218" s="109">
        <f t="shared" si="126"/>
        <v>-40172304.757630751</v>
      </c>
      <c r="CX218" s="109">
        <f t="shared" si="127"/>
        <v>0</v>
      </c>
      <c r="CZ218" s="58">
        <f t="array" ref="CZ218">SUM(IF(CW218:CX218&gt;=CW218, 1))</f>
        <v>2</v>
      </c>
      <c r="DA218" s="58">
        <f t="array" ref="DA218">SUM(IF(CW218:CX218&gt;=CX218, 1))</f>
        <v>1</v>
      </c>
      <c r="DC218" s="109">
        <f t="shared" si="128"/>
        <v>-2246743.9999874448</v>
      </c>
      <c r="DD218" s="109">
        <f t="shared" si="129"/>
        <v>0</v>
      </c>
      <c r="DF218" s="58">
        <f t="array" ref="DF218">SUM(IF(DC218:DD218&gt;=DC218, 1))</f>
        <v>2</v>
      </c>
      <c r="DG218" s="58">
        <f t="array" ref="DG218">SUM(IF(DC218:DD218&gt;=DD218, 1))</f>
        <v>1</v>
      </c>
      <c r="DI218" s="109">
        <f t="shared" si="130"/>
        <v>-70512337.649352208</v>
      </c>
      <c r="DJ218" s="109">
        <f t="shared" si="131"/>
        <v>0</v>
      </c>
      <c r="DL218" s="58">
        <f t="array" ref="DL218">SUM(IF(DI218:DJ218&gt;=DI218, 1))</f>
        <v>2</v>
      </c>
      <c r="DM218" s="58">
        <f t="array" ref="DM218">SUM(IF(DI218:DJ218&gt;=DJ218, 1))</f>
        <v>1</v>
      </c>
      <c r="DO218" s="109">
        <f t="shared" si="132"/>
        <v>-5239276.9193518106</v>
      </c>
      <c r="DP218" s="109">
        <f t="shared" si="133"/>
        <v>0</v>
      </c>
      <c r="DR218" s="58">
        <f t="array" ref="DR218">SUM(IF(DO218:DP218&gt;=DO218, 1))</f>
        <v>2</v>
      </c>
      <c r="DS218" s="58">
        <f t="array" ref="DS218">SUM(IF(DO218:DP218&gt;=DP218, 1))</f>
        <v>1</v>
      </c>
      <c r="DU218" s="109">
        <f t="shared" si="134"/>
        <v>-30575808.158779059</v>
      </c>
      <c r="DV218" s="109">
        <f t="shared" si="135"/>
        <v>0</v>
      </c>
      <c r="DX218" s="58">
        <f t="array" ref="DX218">SUM(IF(DU218:DV218&gt;=DU218, 1))</f>
        <v>2</v>
      </c>
      <c r="DY218" s="58">
        <f t="array" ref="DY218">SUM(IF(DU218:DV218&gt;=DV218, 1))</f>
        <v>1</v>
      </c>
      <c r="EA218" s="109">
        <f t="shared" si="136"/>
        <v>-148746471.48510125</v>
      </c>
      <c r="EB218" s="109">
        <f t="shared" si="137"/>
        <v>0</v>
      </c>
      <c r="ED218" s="58">
        <f t="array" ref="ED218">SUM(IF(EA218:EB218&gt;=EA218, 1))</f>
        <v>2</v>
      </c>
      <c r="EE218" s="58">
        <f t="array" ref="EE218">SUM(IF(EA218:EB218&gt;=EB218, 1))</f>
        <v>1</v>
      </c>
    </row>
    <row r="219" spans="4:135" ht="12" customHeight="1" x14ac:dyDescent="0.25">
      <c r="D219" s="11">
        <v>203</v>
      </c>
      <c r="E219" s="72">
        <v>272.51141626878842</v>
      </c>
      <c r="F219" s="72">
        <v>266.50784770863146</v>
      </c>
      <c r="G219" s="73"/>
      <c r="H219" s="74">
        <v>5.8250352751254191</v>
      </c>
      <c r="I219" s="74">
        <v>5.8369355939888923</v>
      </c>
      <c r="J219" s="73"/>
      <c r="K219" s="72">
        <v>293.58017895475098</v>
      </c>
      <c r="L219" s="72">
        <v>287.37929123625838</v>
      </c>
      <c r="M219" s="73"/>
      <c r="N219" s="74">
        <v>6.688275714695143</v>
      </c>
      <c r="O219" s="74">
        <v>6.697958535904843</v>
      </c>
      <c r="P219" s="73"/>
      <c r="Q219" s="72">
        <v>2506.434473053338</v>
      </c>
      <c r="R219" s="72">
        <v>1370.6912236937203</v>
      </c>
      <c r="S219" s="73"/>
      <c r="T219" s="74">
        <v>4.6549505709080758</v>
      </c>
      <c r="U219" s="74">
        <v>4.7426917295742737</v>
      </c>
      <c r="V219" s="73"/>
      <c r="W219" s="72">
        <v>8121.398959987102</v>
      </c>
      <c r="X219" s="72">
        <v>8113.1885193230719</v>
      </c>
      <c r="Y219" s="73"/>
      <c r="Z219" s="74">
        <v>2.933782990844541</v>
      </c>
      <c r="AA219" s="74">
        <v>2.9762289505025263</v>
      </c>
      <c r="AB219" s="73"/>
      <c r="AC219" s="72">
        <v>49429.63205541762</v>
      </c>
      <c r="AD219" s="72">
        <v>49321.361149142584</v>
      </c>
      <c r="AE219" s="73"/>
      <c r="AF219" s="74">
        <v>4.7322640476662494</v>
      </c>
      <c r="AG219" s="74">
        <v>4.8470980637452969</v>
      </c>
      <c r="AH219" s="73"/>
      <c r="AI219" s="72">
        <v>642058.31965286576</v>
      </c>
      <c r="AJ219" s="72">
        <v>0</v>
      </c>
      <c r="AK219" s="73"/>
      <c r="AL219" s="74">
        <v>-1272.692841974497</v>
      </c>
      <c r="AM219" s="74">
        <v>0</v>
      </c>
      <c r="AN219" s="73"/>
      <c r="AO219" s="72">
        <v>40123.692695578829</v>
      </c>
      <c r="AP219" s="72">
        <v>0</v>
      </c>
      <c r="AQ219" s="73"/>
      <c r="AR219" s="74">
        <v>-62.654019921308965</v>
      </c>
      <c r="AS219" s="74">
        <v>0</v>
      </c>
      <c r="AT219" s="73"/>
      <c r="AU219" s="72">
        <v>25815827.937478788</v>
      </c>
      <c r="AV219" s="72">
        <v>0</v>
      </c>
      <c r="AW219" s="73"/>
      <c r="AX219" s="74">
        <v>-1994.3861928642393</v>
      </c>
      <c r="AY219" s="74">
        <v>0</v>
      </c>
      <c r="AZ219" s="73"/>
      <c r="BA219" s="72">
        <v>73864.085943633341</v>
      </c>
      <c r="BB219" s="72">
        <v>0</v>
      </c>
      <c r="BC219" s="73"/>
      <c r="BD219" s="74">
        <v>-381.85916449927709</v>
      </c>
      <c r="BE219" s="74">
        <v>0</v>
      </c>
      <c r="BF219" s="73"/>
      <c r="BG219" s="72">
        <v>1757637.6965122584</v>
      </c>
      <c r="BH219" s="72">
        <v>0</v>
      </c>
      <c r="BI219" s="73"/>
      <c r="BJ219" s="74">
        <v>-1864.1812694327232</v>
      </c>
      <c r="BK219" s="74">
        <v>0</v>
      </c>
      <c r="BL219" s="73"/>
      <c r="BM219" s="72">
        <v>28329511.732283123</v>
      </c>
      <c r="BN219" s="72">
        <v>0</v>
      </c>
      <c r="BO219" s="73"/>
      <c r="BP219" s="74">
        <v>-5575.7734886920452</v>
      </c>
      <c r="BQ219" s="74">
        <v>0</v>
      </c>
      <c r="BS219" s="109">
        <f t="shared" si="117"/>
        <v>116228.1940862396</v>
      </c>
      <c r="BT219" s="109">
        <f t="shared" si="118"/>
        <v>116472.2040320692</v>
      </c>
      <c r="BV219" s="58">
        <f t="array" ref="BV219">SUM(IF(BS219:BT219&gt;=BS219, 1))</f>
        <v>2</v>
      </c>
      <c r="BW219" s="58">
        <f t="array" ref="BW219">SUM(IF(BS219:BT219&gt;=BT219, 1))</f>
        <v>1</v>
      </c>
      <c r="BY219" s="109">
        <f t="shared" si="119"/>
        <v>133471.93411494812</v>
      </c>
      <c r="BZ219" s="109">
        <f t="shared" si="120"/>
        <v>133671.79142686061</v>
      </c>
      <c r="CB219" s="58">
        <f t="array" ref="CB219">SUM(IF(BY219:BZ219&gt;=BY219, 1))</f>
        <v>2</v>
      </c>
      <c r="CC219" s="58">
        <f t="array" ref="CC219">SUM(IF(BY219:BZ219&gt;=BZ219, 1))</f>
        <v>1</v>
      </c>
      <c r="CE219" s="109">
        <f t="shared" si="121"/>
        <v>90592.576945108187</v>
      </c>
      <c r="CF219" s="109">
        <f t="shared" si="122"/>
        <v>93483.143367791752</v>
      </c>
      <c r="CH219" s="58">
        <f t="array" ref="CH219">SUM(IF(CE219:CF219&gt;=CE219, 1))</f>
        <v>2</v>
      </c>
      <c r="CI219" s="58">
        <f t="array" ref="CI219">SUM(IF(CE219:CF219&gt;=CF219, 1))</f>
        <v>1</v>
      </c>
      <c r="CK219" s="109">
        <f t="shared" si="123"/>
        <v>50554.260856903711</v>
      </c>
      <c r="CL219" s="109">
        <f t="shared" si="124"/>
        <v>51411.390490727455</v>
      </c>
      <c r="CN219" s="58">
        <f t="array" ref="CN219">SUM(IF(CK219:CL219&gt;=CK219, 1))</f>
        <v>2</v>
      </c>
      <c r="CO219" s="58">
        <f t="array" ref="CO219">SUM(IF(CK219:CL219&gt;=CL219, 1))</f>
        <v>1</v>
      </c>
      <c r="CQ219" s="109" cm="1">
        <f t="array" ref="CQ219">AF219*WTP-AC219</f>
        <v>45215.648897907362</v>
      </c>
      <c r="CR219" s="109">
        <f t="shared" si="125"/>
        <v>47620.600125763362</v>
      </c>
      <c r="CT219" s="58">
        <f t="array" ref="CT219">SUM(IF(CQ219:CR219&gt;=CQ219, 1))</f>
        <v>2</v>
      </c>
      <c r="CU219" s="58">
        <f t="array" ref="CU219">SUM(IF(CQ219:CR219&gt;=CR219, 1))</f>
        <v>1</v>
      </c>
      <c r="CW219" s="109">
        <f t="shared" si="126"/>
        <v>-26095915.159142807</v>
      </c>
      <c r="CX219" s="109">
        <f t="shared" si="127"/>
        <v>0</v>
      </c>
      <c r="CZ219" s="58">
        <f t="array" ref="CZ219">SUM(IF(CW219:CX219&gt;=CW219, 1))</f>
        <v>2</v>
      </c>
      <c r="DA219" s="58">
        <f t="array" ref="DA219">SUM(IF(CW219:CX219&gt;=CX219, 1))</f>
        <v>1</v>
      </c>
      <c r="DC219" s="109">
        <f t="shared" si="128"/>
        <v>-1293204.0911217581</v>
      </c>
      <c r="DD219" s="109">
        <f t="shared" si="129"/>
        <v>0</v>
      </c>
      <c r="DF219" s="58">
        <f t="array" ref="DF219">SUM(IF(DC219:DD219&gt;=DC219, 1))</f>
        <v>2</v>
      </c>
      <c r="DG219" s="58">
        <f t="array" ref="DG219">SUM(IF(DC219:DD219&gt;=DD219, 1))</f>
        <v>1</v>
      </c>
      <c r="DI219" s="109">
        <f t="shared" si="130"/>
        <v>-65703551.794763573</v>
      </c>
      <c r="DJ219" s="109">
        <f t="shared" si="131"/>
        <v>0</v>
      </c>
      <c r="DL219" s="58">
        <f t="array" ref="DL219">SUM(IF(DI219:DJ219&gt;=DI219, 1))</f>
        <v>2</v>
      </c>
      <c r="DM219" s="58">
        <f t="array" ref="DM219">SUM(IF(DI219:DJ219&gt;=DJ219, 1))</f>
        <v>1</v>
      </c>
      <c r="DO219" s="109">
        <f t="shared" si="132"/>
        <v>-7711047.3759291749</v>
      </c>
      <c r="DP219" s="109">
        <f t="shared" si="133"/>
        <v>0</v>
      </c>
      <c r="DR219" s="58">
        <f t="array" ref="DR219">SUM(IF(DO219:DP219&gt;=DO219, 1))</f>
        <v>2</v>
      </c>
      <c r="DS219" s="58">
        <f t="array" ref="DS219">SUM(IF(DO219:DP219&gt;=DP219, 1))</f>
        <v>1</v>
      </c>
      <c r="DU219" s="109">
        <f t="shared" si="134"/>
        <v>-39041263.085166723</v>
      </c>
      <c r="DV219" s="109">
        <f t="shared" si="135"/>
        <v>0</v>
      </c>
      <c r="DX219" s="58">
        <f t="array" ref="DX219">SUM(IF(DU219:DV219&gt;=DU219, 1))</f>
        <v>2</v>
      </c>
      <c r="DY219" s="58">
        <f t="array" ref="DY219">SUM(IF(DU219:DV219&gt;=DV219, 1))</f>
        <v>1</v>
      </c>
      <c r="EA219" s="109">
        <f t="shared" si="136"/>
        <v>-139844981.50612402</v>
      </c>
      <c r="EB219" s="109">
        <f t="shared" si="137"/>
        <v>0</v>
      </c>
      <c r="ED219" s="58">
        <f t="array" ref="ED219">SUM(IF(EA219:EB219&gt;=EA219, 1))</f>
        <v>2</v>
      </c>
      <c r="EE219" s="58">
        <f t="array" ref="EE219">SUM(IF(EA219:EB219&gt;=EB219, 1))</f>
        <v>1</v>
      </c>
    </row>
    <row r="220" spans="4:135" ht="12" customHeight="1" x14ac:dyDescent="0.25">
      <c r="D220" s="11">
        <v>204</v>
      </c>
      <c r="E220" s="72">
        <v>267.5300873459758</v>
      </c>
      <c r="F220" s="72">
        <v>232.06759457804566</v>
      </c>
      <c r="G220" s="73"/>
      <c r="H220" s="74">
        <v>5.8517366608084576</v>
      </c>
      <c r="I220" s="74">
        <v>5.8689831707199609</v>
      </c>
      <c r="J220" s="73"/>
      <c r="K220" s="72">
        <v>286.44238180257582</v>
      </c>
      <c r="L220" s="72">
        <v>250.15290357877655</v>
      </c>
      <c r="M220" s="73"/>
      <c r="N220" s="74">
        <v>6.74652802761024</v>
      </c>
      <c r="O220" s="74">
        <v>6.7614209233702782</v>
      </c>
      <c r="P220" s="73"/>
      <c r="Q220" s="72">
        <v>2329.5728244946486</v>
      </c>
      <c r="R220" s="72">
        <v>1382.2527981123039</v>
      </c>
      <c r="S220" s="73"/>
      <c r="T220" s="74">
        <v>5.0014437336943507</v>
      </c>
      <c r="U220" s="74">
        <v>5.0963193290336477</v>
      </c>
      <c r="V220" s="73"/>
      <c r="W220" s="72">
        <v>11348.689862573465</v>
      </c>
      <c r="X220" s="72">
        <v>11316.171902024053</v>
      </c>
      <c r="Y220" s="73"/>
      <c r="Z220" s="74">
        <v>3.0329376175017106</v>
      </c>
      <c r="AA220" s="74">
        <v>3.0721126366632627</v>
      </c>
      <c r="AB220" s="73"/>
      <c r="AC220" s="72">
        <v>50667.376168468763</v>
      </c>
      <c r="AD220" s="72">
        <v>50211.387547334634</v>
      </c>
      <c r="AE220" s="73"/>
      <c r="AF220" s="74">
        <v>4.0702859212750138</v>
      </c>
      <c r="AG220" s="74">
        <v>4.2085925357260612</v>
      </c>
      <c r="AH220" s="73"/>
      <c r="AI220" s="72">
        <v>3789753.0534266122</v>
      </c>
      <c r="AJ220" s="72">
        <v>0</v>
      </c>
      <c r="AK220" s="73"/>
      <c r="AL220" s="74">
        <v>-1843.0744286870672</v>
      </c>
      <c r="AM220" s="74">
        <v>0</v>
      </c>
      <c r="AN220" s="73"/>
      <c r="AO220" s="72">
        <v>250178.94432588638</v>
      </c>
      <c r="AP220" s="72">
        <v>0</v>
      </c>
      <c r="AQ220" s="73"/>
      <c r="AR220" s="74">
        <v>-102.67132848326104</v>
      </c>
      <c r="AS220" s="74">
        <v>0</v>
      </c>
      <c r="AT220" s="73"/>
      <c r="AU220" s="72">
        <v>21674313.123539746</v>
      </c>
      <c r="AV220" s="72">
        <v>0</v>
      </c>
      <c r="AW220" s="73"/>
      <c r="AX220" s="74">
        <v>-2170.7166574099319</v>
      </c>
      <c r="AY220" s="74">
        <v>0</v>
      </c>
      <c r="AZ220" s="73"/>
      <c r="BA220" s="72">
        <v>282034.52879418479</v>
      </c>
      <c r="BB220" s="72">
        <v>0</v>
      </c>
      <c r="BC220" s="73"/>
      <c r="BD220" s="74">
        <v>-339.77247905638438</v>
      </c>
      <c r="BE220" s="74">
        <v>0</v>
      </c>
      <c r="BF220" s="73"/>
      <c r="BG220" s="72">
        <v>7329895.3133083833</v>
      </c>
      <c r="BH220" s="72">
        <v>0</v>
      </c>
      <c r="BI220" s="73"/>
      <c r="BJ220" s="74">
        <v>-2223.2418926218788</v>
      </c>
      <c r="BK220" s="74">
        <v>0</v>
      </c>
      <c r="BL220" s="73"/>
      <c r="BM220" s="72">
        <v>33326174.963394813</v>
      </c>
      <c r="BN220" s="72">
        <v>0</v>
      </c>
      <c r="BO220" s="73"/>
      <c r="BP220" s="74">
        <v>-6679.4767862585231</v>
      </c>
      <c r="BQ220" s="74">
        <v>0</v>
      </c>
      <c r="BS220" s="109">
        <f t="shared" si="117"/>
        <v>116767.20312882317</v>
      </c>
      <c r="BT220" s="109">
        <f t="shared" si="118"/>
        <v>117147.59581982117</v>
      </c>
      <c r="BV220" s="58">
        <f t="array" ref="BV220">SUM(IF(BS220:BT220&gt;=BS220, 1))</f>
        <v>2</v>
      </c>
      <c r="BW220" s="58">
        <f t="array" ref="BW220">SUM(IF(BS220:BT220&gt;=BT220, 1))</f>
        <v>1</v>
      </c>
      <c r="BY220" s="109">
        <f t="shared" si="119"/>
        <v>134644.11817040225</v>
      </c>
      <c r="BZ220" s="109">
        <f t="shared" si="120"/>
        <v>134978.2655638268</v>
      </c>
      <c r="CB220" s="58">
        <f t="array" ref="CB220">SUM(IF(BY220:BZ220&gt;=BY220, 1))</f>
        <v>2</v>
      </c>
      <c r="CC220" s="58">
        <f t="array" ref="CC220">SUM(IF(BY220:BZ220&gt;=BZ220, 1))</f>
        <v>1</v>
      </c>
      <c r="CE220" s="109">
        <f t="shared" si="121"/>
        <v>97699.301849392359</v>
      </c>
      <c r="CF220" s="109">
        <f t="shared" si="122"/>
        <v>100544.13378256066</v>
      </c>
      <c r="CH220" s="58">
        <f t="array" ref="CH220">SUM(IF(CE220:CF220&gt;=CE220, 1))</f>
        <v>2</v>
      </c>
      <c r="CI220" s="58">
        <f t="array" ref="CI220">SUM(IF(CE220:CF220&gt;=CF220, 1))</f>
        <v>1</v>
      </c>
      <c r="CK220" s="109">
        <f t="shared" si="123"/>
        <v>49310.062487460746</v>
      </c>
      <c r="CL220" s="109">
        <f t="shared" si="124"/>
        <v>50126.080831241197</v>
      </c>
      <c r="CN220" s="58">
        <f t="array" ref="CN220">SUM(IF(CK220:CL220&gt;=CK220, 1))</f>
        <v>2</v>
      </c>
      <c r="CO220" s="58">
        <f t="array" ref="CO220">SUM(IF(CK220:CL220&gt;=CL220, 1))</f>
        <v>1</v>
      </c>
      <c r="CQ220" s="109" cm="1">
        <f t="array" ref="CQ220">AF220*WTP-AC220</f>
        <v>30738.342257031516</v>
      </c>
      <c r="CR220" s="109">
        <f t="shared" si="125"/>
        <v>33960.463167186586</v>
      </c>
      <c r="CT220" s="58">
        <f t="array" ref="CT220">SUM(IF(CQ220:CR220&gt;=CQ220, 1))</f>
        <v>2</v>
      </c>
      <c r="CU220" s="58">
        <f t="array" ref="CU220">SUM(IF(CQ220:CR220&gt;=CR220, 1))</f>
        <v>1</v>
      </c>
      <c r="CW220" s="109">
        <f t="shared" si="126"/>
        <v>-40651241.627167955</v>
      </c>
      <c r="CX220" s="109">
        <f t="shared" si="127"/>
        <v>0</v>
      </c>
      <c r="CZ220" s="58">
        <f t="array" ref="CZ220">SUM(IF(CW220:CX220&gt;=CW220, 1))</f>
        <v>2</v>
      </c>
      <c r="DA220" s="58">
        <f t="array" ref="DA220">SUM(IF(CW220:CX220&gt;=CX220, 1))</f>
        <v>1</v>
      </c>
      <c r="DC220" s="109">
        <f t="shared" si="128"/>
        <v>-2303605.5139911072</v>
      </c>
      <c r="DD220" s="109">
        <f t="shared" si="129"/>
        <v>0</v>
      </c>
      <c r="DF220" s="58">
        <f t="array" ref="DF220">SUM(IF(DC220:DD220&gt;=DC220, 1))</f>
        <v>2</v>
      </c>
      <c r="DG220" s="58">
        <f t="array" ref="DG220">SUM(IF(DC220:DD220&gt;=DD220, 1))</f>
        <v>1</v>
      </c>
      <c r="DI220" s="109">
        <f t="shared" si="130"/>
        <v>-65088646.271738388</v>
      </c>
      <c r="DJ220" s="109">
        <f t="shared" si="131"/>
        <v>0</v>
      </c>
      <c r="DL220" s="58">
        <f t="array" ref="DL220">SUM(IF(DI220:DJ220&gt;=DI220, 1))</f>
        <v>2</v>
      </c>
      <c r="DM220" s="58">
        <f t="array" ref="DM220">SUM(IF(DI220:DJ220&gt;=DJ220, 1))</f>
        <v>1</v>
      </c>
      <c r="DO220" s="109">
        <f t="shared" si="132"/>
        <v>-7077484.1099218726</v>
      </c>
      <c r="DP220" s="109">
        <f t="shared" si="133"/>
        <v>0</v>
      </c>
      <c r="DR220" s="58">
        <f t="array" ref="DR220">SUM(IF(DO220:DP220&gt;=DO220, 1))</f>
        <v>2</v>
      </c>
      <c r="DS220" s="58">
        <f t="array" ref="DS220">SUM(IF(DO220:DP220&gt;=DP220, 1))</f>
        <v>1</v>
      </c>
      <c r="DU220" s="109">
        <f t="shared" si="134"/>
        <v>-51794733.165745959</v>
      </c>
      <c r="DV220" s="109">
        <f t="shared" si="135"/>
        <v>0</v>
      </c>
      <c r="DX220" s="58">
        <f t="array" ref="DX220">SUM(IF(DU220:DV220&gt;=DU220, 1))</f>
        <v>2</v>
      </c>
      <c r="DY220" s="58">
        <f t="array" ref="DY220">SUM(IF(DU220:DV220&gt;=DV220, 1))</f>
        <v>1</v>
      </c>
      <c r="EA220" s="109">
        <f t="shared" si="136"/>
        <v>-166915710.68856528</v>
      </c>
      <c r="EB220" s="109">
        <f t="shared" si="137"/>
        <v>0</v>
      </c>
      <c r="ED220" s="58">
        <f t="array" ref="ED220">SUM(IF(EA220:EB220&gt;=EA220, 1))</f>
        <v>2</v>
      </c>
      <c r="EE220" s="58">
        <f t="array" ref="EE220">SUM(IF(EA220:EB220&gt;=EB220, 1))</f>
        <v>1</v>
      </c>
    </row>
    <row r="221" spans="4:135" ht="12" customHeight="1" x14ac:dyDescent="0.25">
      <c r="D221" s="11">
        <v>205</v>
      </c>
      <c r="E221" s="72">
        <v>281.03151761810886</v>
      </c>
      <c r="F221" s="72">
        <v>257.96298956212644</v>
      </c>
      <c r="G221" s="73"/>
      <c r="H221" s="74">
        <v>5.7532405144059942</v>
      </c>
      <c r="I221" s="74">
        <v>5.768128177279527</v>
      </c>
      <c r="J221" s="73"/>
      <c r="K221" s="72">
        <v>301.79179909245568</v>
      </c>
      <c r="L221" s="72">
        <v>278.13600819413625</v>
      </c>
      <c r="M221" s="73"/>
      <c r="N221" s="74">
        <v>6.6566910651509845</v>
      </c>
      <c r="O221" s="74">
        <v>6.6692606156586889</v>
      </c>
      <c r="P221" s="73"/>
      <c r="Q221" s="72">
        <v>3661.9042705631759</v>
      </c>
      <c r="R221" s="72">
        <v>1762.1963593164121</v>
      </c>
      <c r="S221" s="73"/>
      <c r="T221" s="74">
        <v>4.7066830066644956</v>
      </c>
      <c r="U221" s="74">
        <v>4.8379927109598464</v>
      </c>
      <c r="V221" s="73"/>
      <c r="W221" s="72">
        <v>11635.932122088907</v>
      </c>
      <c r="X221" s="72">
        <v>11623.299188902049</v>
      </c>
      <c r="Y221" s="73"/>
      <c r="Z221" s="74">
        <v>3.0723058761261757</v>
      </c>
      <c r="AA221" s="74">
        <v>3.1316958115778415</v>
      </c>
      <c r="AB221" s="73"/>
      <c r="AC221" s="72">
        <v>50478.517331352341</v>
      </c>
      <c r="AD221" s="72">
        <v>50255.114354834375</v>
      </c>
      <c r="AE221" s="73"/>
      <c r="AF221" s="74">
        <v>4.7389526448761536</v>
      </c>
      <c r="AG221" s="74">
        <v>4.8375699466177213</v>
      </c>
      <c r="AH221" s="73"/>
      <c r="AI221" s="72">
        <v>2469697.3741736766</v>
      </c>
      <c r="AJ221" s="72">
        <v>0</v>
      </c>
      <c r="AK221" s="73"/>
      <c r="AL221" s="74">
        <v>-1593.8607707053852</v>
      </c>
      <c r="AM221" s="74">
        <v>0</v>
      </c>
      <c r="AN221" s="73"/>
      <c r="AO221" s="72">
        <v>161897.76062273153</v>
      </c>
      <c r="AP221" s="72">
        <v>0</v>
      </c>
      <c r="AQ221" s="73"/>
      <c r="AR221" s="74">
        <v>-86.024690021090166</v>
      </c>
      <c r="AS221" s="74">
        <v>0</v>
      </c>
      <c r="AT221" s="73"/>
      <c r="AU221" s="72">
        <v>43995177.951964065</v>
      </c>
      <c r="AV221" s="72">
        <v>0</v>
      </c>
      <c r="AW221" s="73"/>
      <c r="AX221" s="74">
        <v>-3040.9905507538483</v>
      </c>
      <c r="AY221" s="74">
        <v>0</v>
      </c>
      <c r="AZ221" s="73"/>
      <c r="BA221" s="72">
        <v>115024.06811009994</v>
      </c>
      <c r="BB221" s="72">
        <v>0</v>
      </c>
      <c r="BC221" s="73"/>
      <c r="BD221" s="74">
        <v>-540.75105752583625</v>
      </c>
      <c r="BE221" s="74">
        <v>0</v>
      </c>
      <c r="BF221" s="73"/>
      <c r="BG221" s="72">
        <v>3581399.4207720244</v>
      </c>
      <c r="BH221" s="72">
        <v>0</v>
      </c>
      <c r="BI221" s="73"/>
      <c r="BJ221" s="74">
        <v>-1580.9455757495139</v>
      </c>
      <c r="BK221" s="74">
        <v>0</v>
      </c>
      <c r="BL221" s="73"/>
      <c r="BM221" s="72">
        <v>50323196.575642601</v>
      </c>
      <c r="BN221" s="72">
        <v>0</v>
      </c>
      <c r="BO221" s="73"/>
      <c r="BP221" s="74">
        <v>-6842.5726447556735</v>
      </c>
      <c r="BQ221" s="74">
        <v>0</v>
      </c>
      <c r="BS221" s="109">
        <f t="shared" si="117"/>
        <v>114783.77877050178</v>
      </c>
      <c r="BT221" s="109">
        <f t="shared" si="118"/>
        <v>115104.60055602841</v>
      </c>
      <c r="BV221" s="58">
        <f t="array" ref="BV221">SUM(IF(BS221:BT221&gt;=BS221, 1))</f>
        <v>2</v>
      </c>
      <c r="BW221" s="58">
        <f t="array" ref="BW221">SUM(IF(BS221:BT221&gt;=BT221, 1))</f>
        <v>1</v>
      </c>
      <c r="BY221" s="109">
        <f t="shared" si="119"/>
        <v>132832.02950392722</v>
      </c>
      <c r="BZ221" s="109">
        <f t="shared" si="120"/>
        <v>133107.07630497965</v>
      </c>
      <c r="CB221" s="58">
        <f t="array" ref="CB221">SUM(IF(BY221:BZ221&gt;=BY221, 1))</f>
        <v>2</v>
      </c>
      <c r="CC221" s="58">
        <f t="array" ref="CC221">SUM(IF(BY221:BZ221&gt;=BZ221, 1))</f>
        <v>1</v>
      </c>
      <c r="CE221" s="109">
        <f t="shared" si="121"/>
        <v>90471.755862726743</v>
      </c>
      <c r="CF221" s="109">
        <f t="shared" si="122"/>
        <v>94997.657859880521</v>
      </c>
      <c r="CH221" s="58">
        <f t="array" ref="CH221">SUM(IF(CE221:CF221&gt;=CE221, 1))</f>
        <v>2</v>
      </c>
      <c r="CI221" s="58">
        <f t="array" ref="CI221">SUM(IF(CE221:CF221&gt;=CF221, 1))</f>
        <v>1</v>
      </c>
      <c r="CK221" s="109">
        <f t="shared" si="123"/>
        <v>49810.18540043461</v>
      </c>
      <c r="CL221" s="109">
        <f t="shared" si="124"/>
        <v>51010.617042654783</v>
      </c>
      <c r="CN221" s="58">
        <f t="array" ref="CN221">SUM(IF(CK221:CL221&gt;=CK221, 1))</f>
        <v>2</v>
      </c>
      <c r="CO221" s="58">
        <f t="array" ref="CO221">SUM(IF(CK221:CL221&gt;=CL221, 1))</f>
        <v>1</v>
      </c>
      <c r="CQ221" s="109" cm="1">
        <f t="array" ref="CQ221">AF221*WTP-AC221</f>
        <v>44300.535566170729</v>
      </c>
      <c r="CR221" s="109">
        <f t="shared" si="125"/>
        <v>46496.284577520048</v>
      </c>
      <c r="CT221" s="58">
        <f t="array" ref="CT221">SUM(IF(CQ221:CR221&gt;=CQ221, 1))</f>
        <v>2</v>
      </c>
      <c r="CU221" s="58">
        <f t="array" ref="CU221">SUM(IF(CQ221:CR221&gt;=CR221, 1))</f>
        <v>1</v>
      </c>
      <c r="CW221" s="109">
        <f t="shared" si="126"/>
        <v>-34346912.788281381</v>
      </c>
      <c r="CX221" s="109">
        <f t="shared" si="127"/>
        <v>0</v>
      </c>
      <c r="CZ221" s="58">
        <f t="array" ref="CZ221">SUM(IF(CW221:CX221&gt;=CW221, 1))</f>
        <v>2</v>
      </c>
      <c r="DA221" s="58">
        <f t="array" ref="DA221">SUM(IF(CW221:CX221&gt;=CX221, 1))</f>
        <v>1</v>
      </c>
      <c r="DC221" s="109">
        <f t="shared" si="128"/>
        <v>-1882391.5610445347</v>
      </c>
      <c r="DD221" s="109">
        <f t="shared" si="129"/>
        <v>0</v>
      </c>
      <c r="DF221" s="58">
        <f t="array" ref="DF221">SUM(IF(DC221:DD221&gt;=DC221, 1))</f>
        <v>2</v>
      </c>
      <c r="DG221" s="58">
        <f t="array" ref="DG221">SUM(IF(DC221:DD221&gt;=DD221, 1))</f>
        <v>1</v>
      </c>
      <c r="DI221" s="109">
        <f t="shared" si="130"/>
        <v>-104814988.96704103</v>
      </c>
      <c r="DJ221" s="109">
        <f t="shared" si="131"/>
        <v>0</v>
      </c>
      <c r="DL221" s="58">
        <f t="array" ref="DL221">SUM(IF(DI221:DJ221&gt;=DI221, 1))</f>
        <v>2</v>
      </c>
      <c r="DM221" s="58">
        <f t="array" ref="DM221">SUM(IF(DI221:DJ221&gt;=DJ221, 1))</f>
        <v>1</v>
      </c>
      <c r="DO221" s="109">
        <f t="shared" si="132"/>
        <v>-10930045.218626823</v>
      </c>
      <c r="DP221" s="109">
        <f t="shared" si="133"/>
        <v>0</v>
      </c>
      <c r="DR221" s="58">
        <f t="array" ref="DR221">SUM(IF(DO221:DP221&gt;=DO221, 1))</f>
        <v>2</v>
      </c>
      <c r="DS221" s="58">
        <f t="array" ref="DS221">SUM(IF(DO221:DP221&gt;=DP221, 1))</f>
        <v>1</v>
      </c>
      <c r="DU221" s="109">
        <f t="shared" si="134"/>
        <v>-35200310.935762301</v>
      </c>
      <c r="DV221" s="109">
        <f t="shared" si="135"/>
        <v>0</v>
      </c>
      <c r="DX221" s="58">
        <f t="array" ref="DX221">SUM(IF(DU221:DV221&gt;=DU221, 1))</f>
        <v>2</v>
      </c>
      <c r="DY221" s="58">
        <f t="array" ref="DY221">SUM(IF(DU221:DV221&gt;=DV221, 1))</f>
        <v>1</v>
      </c>
      <c r="EA221" s="109">
        <f t="shared" si="136"/>
        <v>-187174649.47075605</v>
      </c>
      <c r="EB221" s="109">
        <f t="shared" si="137"/>
        <v>0</v>
      </c>
      <c r="ED221" s="58">
        <f t="array" ref="ED221">SUM(IF(EA221:EB221&gt;=EA221, 1))</f>
        <v>2</v>
      </c>
      <c r="EE221" s="58">
        <f t="array" ref="EE221">SUM(IF(EA221:EB221&gt;=EB221, 1))</f>
        <v>1</v>
      </c>
    </row>
    <row r="222" spans="4:135" ht="12" customHeight="1" x14ac:dyDescent="0.25">
      <c r="D222" s="11">
        <v>206</v>
      </c>
      <c r="E222" s="72">
        <v>215.8410817829531</v>
      </c>
      <c r="F222" s="72">
        <v>185.50327879282392</v>
      </c>
      <c r="G222" s="73"/>
      <c r="H222" s="74">
        <v>5.8003647499103215</v>
      </c>
      <c r="I222" s="74">
        <v>5.8205827358597428</v>
      </c>
      <c r="J222" s="73"/>
      <c r="K222" s="72">
        <v>231.06135276096916</v>
      </c>
      <c r="L222" s="72">
        <v>199.99744937175865</v>
      </c>
      <c r="M222" s="73"/>
      <c r="N222" s="74">
        <v>6.687318834070715</v>
      </c>
      <c r="O222" s="74">
        <v>6.7055362504971141</v>
      </c>
      <c r="P222" s="73"/>
      <c r="Q222" s="72">
        <v>1814.571762337644</v>
      </c>
      <c r="R222" s="72">
        <v>1181.0237459621455</v>
      </c>
      <c r="S222" s="73"/>
      <c r="T222" s="74">
        <v>4.6637937807781809</v>
      </c>
      <c r="U222" s="74">
        <v>4.7235165741379035</v>
      </c>
      <c r="V222" s="73"/>
      <c r="W222" s="72">
        <v>7394.9032115400296</v>
      </c>
      <c r="X222" s="72">
        <v>7413.1538603206054</v>
      </c>
      <c r="Y222" s="73"/>
      <c r="Z222" s="74">
        <v>2.9023691701640941</v>
      </c>
      <c r="AA222" s="74">
        <v>2.9601887092628609</v>
      </c>
      <c r="AB222" s="73"/>
      <c r="AC222" s="72">
        <v>50083.36848793814</v>
      </c>
      <c r="AD222" s="72">
        <v>49542.511352975271</v>
      </c>
      <c r="AE222" s="73"/>
      <c r="AF222" s="74">
        <v>4.7541430883987479</v>
      </c>
      <c r="AG222" s="74">
        <v>4.9041456075132031</v>
      </c>
      <c r="AH222" s="73"/>
      <c r="AI222" s="72">
        <v>3188352.1153053255</v>
      </c>
      <c r="AJ222" s="72">
        <v>0</v>
      </c>
      <c r="AK222" s="73"/>
      <c r="AL222" s="74">
        <v>-2124.8097065573465</v>
      </c>
      <c r="AM222" s="74">
        <v>0</v>
      </c>
      <c r="AN222" s="73"/>
      <c r="AO222" s="72">
        <v>212255.94928327308</v>
      </c>
      <c r="AP222" s="72">
        <v>0</v>
      </c>
      <c r="AQ222" s="73"/>
      <c r="AR222" s="74">
        <v>-124.47743506751553</v>
      </c>
      <c r="AS222" s="74">
        <v>0</v>
      </c>
      <c r="AT222" s="73"/>
      <c r="AU222" s="72">
        <v>14399762.571427582</v>
      </c>
      <c r="AV222" s="72">
        <v>0</v>
      </c>
      <c r="AW222" s="73"/>
      <c r="AX222" s="74">
        <v>-1357.4252025954204</v>
      </c>
      <c r="AY222" s="74">
        <v>0</v>
      </c>
      <c r="AZ222" s="73"/>
      <c r="BA222" s="72">
        <v>-161999.10148801425</v>
      </c>
      <c r="BB222" s="72">
        <v>0</v>
      </c>
      <c r="BC222" s="73"/>
      <c r="BD222" s="74">
        <v>-513.2263239003496</v>
      </c>
      <c r="BE222" s="74">
        <v>0</v>
      </c>
      <c r="BF222" s="73"/>
      <c r="BG222" s="72">
        <v>8814504.321488928</v>
      </c>
      <c r="BH222" s="72">
        <v>0</v>
      </c>
      <c r="BI222" s="73"/>
      <c r="BJ222" s="74">
        <v>-2444.6342065162212</v>
      </c>
      <c r="BK222" s="74">
        <v>0</v>
      </c>
      <c r="BL222" s="73"/>
      <c r="BM222" s="72">
        <v>26452875.856017094</v>
      </c>
      <c r="BN222" s="72">
        <v>0</v>
      </c>
      <c r="BO222" s="73"/>
      <c r="BP222" s="74">
        <v>-6564.5728746368532</v>
      </c>
      <c r="BQ222" s="74">
        <v>0</v>
      </c>
      <c r="BS222" s="109">
        <f t="shared" si="117"/>
        <v>115791.45391642347</v>
      </c>
      <c r="BT222" s="109">
        <f t="shared" si="118"/>
        <v>116226.15143840204</v>
      </c>
      <c r="BV222" s="58">
        <f t="array" ref="BV222">SUM(IF(BS222:BT222&gt;=BS222, 1))</f>
        <v>2</v>
      </c>
      <c r="BW222" s="58">
        <f t="array" ref="BW222">SUM(IF(BS222:BT222&gt;=BT222, 1))</f>
        <v>1</v>
      </c>
      <c r="BY222" s="109">
        <f t="shared" si="119"/>
        <v>133515.31532865332</v>
      </c>
      <c r="BZ222" s="109">
        <f t="shared" si="120"/>
        <v>133910.72756057052</v>
      </c>
      <c r="CB222" s="58">
        <f t="array" ref="CB222">SUM(IF(BY222:BZ222&gt;=BY222, 1))</f>
        <v>2</v>
      </c>
      <c r="CC222" s="58">
        <f t="array" ref="CC222">SUM(IF(BY222:BZ222&gt;=BZ222, 1))</f>
        <v>1</v>
      </c>
      <c r="CE222" s="109">
        <f t="shared" si="121"/>
        <v>91461.303853225982</v>
      </c>
      <c r="CF222" s="109">
        <f t="shared" si="122"/>
        <v>93289.307736795934</v>
      </c>
      <c r="CH222" s="58">
        <f t="array" ref="CH222">SUM(IF(CE222:CF222&gt;=CE222, 1))</f>
        <v>2</v>
      </c>
      <c r="CI222" s="58">
        <f t="array" ref="CI222">SUM(IF(CE222:CF222&gt;=CF222, 1))</f>
        <v>1</v>
      </c>
      <c r="CK222" s="109">
        <f t="shared" si="123"/>
        <v>50652.480191741852</v>
      </c>
      <c r="CL222" s="109">
        <f t="shared" si="124"/>
        <v>51790.620324936615</v>
      </c>
      <c r="CN222" s="58">
        <f t="array" ref="CN222">SUM(IF(CK222:CL222&gt;=CK222, 1))</f>
        <v>2</v>
      </c>
      <c r="CO222" s="58">
        <f t="array" ref="CO222">SUM(IF(CK222:CL222&gt;=CL222, 1))</f>
        <v>1</v>
      </c>
      <c r="CQ222" s="109" cm="1">
        <f t="array" ref="CQ222">AF222*WTP-AC222</f>
        <v>44999.493280036819</v>
      </c>
      <c r="CR222" s="109">
        <f t="shared" si="125"/>
        <v>48540.400797288792</v>
      </c>
      <c r="CT222" s="58">
        <f t="array" ref="CT222">SUM(IF(CQ222:CR222&gt;=CQ222, 1))</f>
        <v>2</v>
      </c>
      <c r="CU222" s="58">
        <f t="array" ref="CU222">SUM(IF(CQ222:CR222&gt;=CR222, 1))</f>
        <v>1</v>
      </c>
      <c r="CW222" s="109">
        <f t="shared" si="126"/>
        <v>-45684546.246452257</v>
      </c>
      <c r="CX222" s="109">
        <f t="shared" si="127"/>
        <v>0</v>
      </c>
      <c r="CZ222" s="58">
        <f t="array" ref="CZ222">SUM(IF(CW222:CX222&gt;=CW222, 1))</f>
        <v>2</v>
      </c>
      <c r="DA222" s="58">
        <f t="array" ref="DA222">SUM(IF(CW222:CX222&gt;=CX222, 1))</f>
        <v>1</v>
      </c>
      <c r="DC222" s="109">
        <f t="shared" si="128"/>
        <v>-2701804.6506335833</v>
      </c>
      <c r="DD222" s="109">
        <f t="shared" si="129"/>
        <v>0</v>
      </c>
      <c r="DF222" s="58">
        <f t="array" ref="DF222">SUM(IF(DC222:DD222&gt;=DC222, 1))</f>
        <v>2</v>
      </c>
      <c r="DG222" s="58">
        <f t="array" ref="DG222">SUM(IF(DC222:DD222&gt;=DD222, 1))</f>
        <v>1</v>
      </c>
      <c r="DI222" s="109">
        <f t="shared" si="130"/>
        <v>-41548266.623335987</v>
      </c>
      <c r="DJ222" s="109">
        <f t="shared" si="131"/>
        <v>0</v>
      </c>
      <c r="DL222" s="58">
        <f t="array" ref="DL222">SUM(IF(DI222:DJ222&gt;=DI222, 1))</f>
        <v>2</v>
      </c>
      <c r="DM222" s="58">
        <f t="array" ref="DM222">SUM(IF(DI222:DJ222&gt;=DJ222, 1))</f>
        <v>1</v>
      </c>
      <c r="DO222" s="109">
        <f t="shared" si="132"/>
        <v>-10102527.376518978</v>
      </c>
      <c r="DP222" s="109">
        <f t="shared" si="133"/>
        <v>0</v>
      </c>
      <c r="DR222" s="58">
        <f t="array" ref="DR222">SUM(IF(DO222:DP222&gt;=DO222, 1))</f>
        <v>2</v>
      </c>
      <c r="DS222" s="58">
        <f t="array" ref="DS222">SUM(IF(DO222:DP222&gt;=DP222, 1))</f>
        <v>1</v>
      </c>
      <c r="DU222" s="109">
        <f t="shared" si="134"/>
        <v>-57707188.451813355</v>
      </c>
      <c r="DV222" s="109">
        <f t="shared" si="135"/>
        <v>0</v>
      </c>
      <c r="DX222" s="58">
        <f t="array" ref="DX222">SUM(IF(DU222:DV222&gt;=DU222, 1))</f>
        <v>2</v>
      </c>
      <c r="DY222" s="58">
        <f t="array" ref="DY222">SUM(IF(DU222:DV222&gt;=DV222, 1))</f>
        <v>1</v>
      </c>
      <c r="EA222" s="109">
        <f t="shared" si="136"/>
        <v>-157744333.34875417</v>
      </c>
      <c r="EB222" s="109">
        <f t="shared" si="137"/>
        <v>0</v>
      </c>
      <c r="ED222" s="58">
        <f t="array" ref="ED222">SUM(IF(EA222:EB222&gt;=EA222, 1))</f>
        <v>2</v>
      </c>
      <c r="EE222" s="58">
        <f t="array" ref="EE222">SUM(IF(EA222:EB222&gt;=EB222, 1))</f>
        <v>1</v>
      </c>
    </row>
    <row r="223" spans="4:135" ht="12" customHeight="1" x14ac:dyDescent="0.25">
      <c r="D223" s="11">
        <v>207</v>
      </c>
      <c r="E223" s="72">
        <v>304.61492864852249</v>
      </c>
      <c r="F223" s="72">
        <v>272.41855413629361</v>
      </c>
      <c r="G223" s="73"/>
      <c r="H223" s="74">
        <v>5.7852142490653646</v>
      </c>
      <c r="I223" s="74">
        <v>5.8016944514581423</v>
      </c>
      <c r="J223" s="73"/>
      <c r="K223" s="72">
        <v>326.70270405222726</v>
      </c>
      <c r="L223" s="72">
        <v>293.74847795921301</v>
      </c>
      <c r="M223" s="73"/>
      <c r="N223" s="74">
        <v>6.7089802878981164</v>
      </c>
      <c r="O223" s="74">
        <v>6.7236405464735594</v>
      </c>
      <c r="P223" s="73"/>
      <c r="Q223" s="72">
        <v>1900.1493345368892</v>
      </c>
      <c r="R223" s="72">
        <v>1447.6061148886865</v>
      </c>
      <c r="S223" s="73"/>
      <c r="T223" s="74">
        <v>4.8037477759084872</v>
      </c>
      <c r="U223" s="74">
        <v>4.8535962671852717</v>
      </c>
      <c r="V223" s="73"/>
      <c r="W223" s="72">
        <v>10430.269664720696</v>
      </c>
      <c r="X223" s="72">
        <v>10359.582168761093</v>
      </c>
      <c r="Y223" s="73"/>
      <c r="Z223" s="74">
        <v>3.0382472304019026</v>
      </c>
      <c r="AA223" s="74">
        <v>3.0723214861413002</v>
      </c>
      <c r="AB223" s="73"/>
      <c r="AC223" s="72">
        <v>50440.01093590587</v>
      </c>
      <c r="AD223" s="72">
        <v>50224.475302256331</v>
      </c>
      <c r="AE223" s="73"/>
      <c r="AF223" s="74">
        <v>4.4444826291073314</v>
      </c>
      <c r="AG223" s="74">
        <v>4.5357491754331596</v>
      </c>
      <c r="AH223" s="73"/>
      <c r="AI223" s="72">
        <v>3446025.0459450614</v>
      </c>
      <c r="AJ223" s="72">
        <v>0</v>
      </c>
      <c r="AK223" s="73"/>
      <c r="AL223" s="74">
        <v>-1763.9001616838923</v>
      </c>
      <c r="AM223" s="74">
        <v>0</v>
      </c>
      <c r="AN223" s="73"/>
      <c r="AO223" s="72">
        <v>236466.02269467912</v>
      </c>
      <c r="AP223" s="72">
        <v>0</v>
      </c>
      <c r="AQ223" s="73"/>
      <c r="AR223" s="74">
        <v>-105.1960081607084</v>
      </c>
      <c r="AS223" s="74">
        <v>0</v>
      </c>
      <c r="AT223" s="73"/>
      <c r="AU223" s="72">
        <v>10433156.55489661</v>
      </c>
      <c r="AV223" s="72">
        <v>0</v>
      </c>
      <c r="AW223" s="73"/>
      <c r="AX223" s="74">
        <v>-1149.2319207000542</v>
      </c>
      <c r="AY223" s="74">
        <v>0</v>
      </c>
      <c r="AZ223" s="73"/>
      <c r="BA223" s="72">
        <v>627295.91935984755</v>
      </c>
      <c r="BB223" s="72">
        <v>0</v>
      </c>
      <c r="BC223" s="73"/>
      <c r="BD223" s="74">
        <v>-302.38221470970558</v>
      </c>
      <c r="BE223" s="74">
        <v>0</v>
      </c>
      <c r="BF223" s="73"/>
      <c r="BG223" s="72">
        <v>3363385.5478599365</v>
      </c>
      <c r="BH223" s="72">
        <v>0</v>
      </c>
      <c r="BI223" s="73"/>
      <c r="BJ223" s="74">
        <v>-1424.1941238101945</v>
      </c>
      <c r="BK223" s="74">
        <v>0</v>
      </c>
      <c r="BL223" s="73"/>
      <c r="BM223" s="72">
        <v>18106329.090756133</v>
      </c>
      <c r="BN223" s="72">
        <v>0</v>
      </c>
      <c r="BO223" s="73"/>
      <c r="BP223" s="74">
        <v>-4744.9044290645552</v>
      </c>
      <c r="BQ223" s="74">
        <v>0</v>
      </c>
      <c r="BS223" s="109">
        <f t="shared" si="117"/>
        <v>115399.67005265878</v>
      </c>
      <c r="BT223" s="109">
        <f t="shared" si="118"/>
        <v>115761.47047502655</v>
      </c>
      <c r="BV223" s="58">
        <f t="array" ref="BV223">SUM(IF(BS223:BT223&gt;=BS223, 1))</f>
        <v>2</v>
      </c>
      <c r="BW223" s="58">
        <f t="array" ref="BW223">SUM(IF(BS223:BT223&gt;=BT223, 1))</f>
        <v>1</v>
      </c>
      <c r="BY223" s="109">
        <f t="shared" si="119"/>
        <v>133852.90305391009</v>
      </c>
      <c r="BZ223" s="109">
        <f t="shared" si="120"/>
        <v>134179.06245151197</v>
      </c>
      <c r="CB223" s="58">
        <f t="array" ref="CB223">SUM(IF(BY223:BZ223&gt;=BY223, 1))</f>
        <v>2</v>
      </c>
      <c r="CC223" s="58">
        <f t="array" ref="CC223">SUM(IF(BY223:BZ223&gt;=BZ223, 1))</f>
        <v>1</v>
      </c>
      <c r="CE223" s="109">
        <f t="shared" si="121"/>
        <v>94174.806183632856</v>
      </c>
      <c r="CF223" s="109">
        <f t="shared" si="122"/>
        <v>95624.319228816748</v>
      </c>
      <c r="CH223" s="58">
        <f t="array" ref="CH223">SUM(IF(CE223:CF223&gt;=CE223, 1))</f>
        <v>2</v>
      </c>
      <c r="CI223" s="58">
        <f t="array" ref="CI223">SUM(IF(CE223:CF223&gt;=CF223, 1))</f>
        <v>1</v>
      </c>
      <c r="CK223" s="109">
        <f t="shared" si="123"/>
        <v>50334.674943317354</v>
      </c>
      <c r="CL223" s="109">
        <f t="shared" si="124"/>
        <v>51086.847554064909</v>
      </c>
      <c r="CN223" s="58">
        <f t="array" ref="CN223">SUM(IF(CK223:CL223&gt;=CK223, 1))</f>
        <v>2</v>
      </c>
      <c r="CO223" s="58">
        <f t="array" ref="CO223">SUM(IF(CK223:CL223&gt;=CL223, 1))</f>
        <v>1</v>
      </c>
      <c r="CQ223" s="109" cm="1">
        <f t="array" ref="CQ223">AF223*WTP-AC223</f>
        <v>38449.641646240765</v>
      </c>
      <c r="CR223" s="109">
        <f t="shared" si="125"/>
        <v>40490.508206406863</v>
      </c>
      <c r="CT223" s="58">
        <f t="array" ref="CT223">SUM(IF(CQ223:CR223&gt;=CQ223, 1))</f>
        <v>2</v>
      </c>
      <c r="CU223" s="58">
        <f t="array" ref="CU223">SUM(IF(CQ223:CR223&gt;=CR223, 1))</f>
        <v>1</v>
      </c>
      <c r="CW223" s="109">
        <f t="shared" si="126"/>
        <v>-38724028.279622912</v>
      </c>
      <c r="CX223" s="109">
        <f t="shared" si="127"/>
        <v>0</v>
      </c>
      <c r="CZ223" s="58">
        <f t="array" ref="CZ223">SUM(IF(CW223:CX223&gt;=CW223, 1))</f>
        <v>2</v>
      </c>
      <c r="DA223" s="58">
        <f t="array" ref="DA223">SUM(IF(CW223:CX223&gt;=CX223, 1))</f>
        <v>1</v>
      </c>
      <c r="DC223" s="109">
        <f t="shared" si="128"/>
        <v>-2340386.185908847</v>
      </c>
      <c r="DD223" s="109">
        <f t="shared" si="129"/>
        <v>0</v>
      </c>
      <c r="DF223" s="58">
        <f t="array" ref="DF223">SUM(IF(DC223:DD223&gt;=DC223, 1))</f>
        <v>2</v>
      </c>
      <c r="DG223" s="58">
        <f t="array" ref="DG223">SUM(IF(DC223:DD223&gt;=DD223, 1))</f>
        <v>1</v>
      </c>
      <c r="DI223" s="109">
        <f t="shared" si="130"/>
        <v>-33417794.968897693</v>
      </c>
      <c r="DJ223" s="109">
        <f t="shared" si="131"/>
        <v>0</v>
      </c>
      <c r="DL223" s="58">
        <f t="array" ref="DL223">SUM(IF(DI223:DJ223&gt;=DI223, 1))</f>
        <v>2</v>
      </c>
      <c r="DM223" s="58">
        <f t="array" ref="DM223">SUM(IF(DI223:DJ223&gt;=DJ223, 1))</f>
        <v>1</v>
      </c>
      <c r="DO223" s="109">
        <f t="shared" si="132"/>
        <v>-6674940.2135539595</v>
      </c>
      <c r="DP223" s="109">
        <f t="shared" si="133"/>
        <v>0</v>
      </c>
      <c r="DR223" s="58">
        <f t="array" ref="DR223">SUM(IF(DO223:DP223&gt;=DO223, 1))</f>
        <v>2</v>
      </c>
      <c r="DS223" s="58">
        <f t="array" ref="DS223">SUM(IF(DO223:DP223&gt;=DP223, 1))</f>
        <v>1</v>
      </c>
      <c r="DU223" s="109">
        <f t="shared" si="134"/>
        <v>-31847268.024063826</v>
      </c>
      <c r="DV223" s="109">
        <f t="shared" si="135"/>
        <v>0</v>
      </c>
      <c r="DX223" s="58">
        <f t="array" ref="DX223">SUM(IF(DU223:DV223&gt;=DU223, 1))</f>
        <v>2</v>
      </c>
      <c r="DY223" s="58">
        <f t="array" ref="DY223">SUM(IF(DU223:DV223&gt;=DV223, 1))</f>
        <v>1</v>
      </c>
      <c r="EA223" s="109">
        <f t="shared" si="136"/>
        <v>-113004417.67204724</v>
      </c>
      <c r="EB223" s="109">
        <f t="shared" si="137"/>
        <v>0</v>
      </c>
      <c r="ED223" s="58">
        <f t="array" ref="ED223">SUM(IF(EA223:EB223&gt;=EA223, 1))</f>
        <v>2</v>
      </c>
      <c r="EE223" s="58">
        <f t="array" ref="EE223">SUM(IF(EA223:EB223&gt;=EB223, 1))</f>
        <v>1</v>
      </c>
    </row>
    <row r="224" spans="4:135" ht="12" customHeight="1" x14ac:dyDescent="0.25">
      <c r="D224" s="11">
        <v>208</v>
      </c>
      <c r="E224" s="72">
        <v>228.94950910803848</v>
      </c>
      <c r="F224" s="72">
        <v>209.56235096112957</v>
      </c>
      <c r="G224" s="73"/>
      <c r="H224" s="74">
        <v>5.8438799039288636</v>
      </c>
      <c r="I224" s="74">
        <v>5.8611623539090081</v>
      </c>
      <c r="J224" s="73"/>
      <c r="K224" s="72">
        <v>245.85553602769161</v>
      </c>
      <c r="L224" s="72">
        <v>225.96633163852829</v>
      </c>
      <c r="M224" s="73"/>
      <c r="N224" s="74">
        <v>6.6864602891944074</v>
      </c>
      <c r="O224" s="74">
        <v>6.7006085562836208</v>
      </c>
      <c r="P224" s="73"/>
      <c r="Q224" s="72">
        <v>3820.6471904361015</v>
      </c>
      <c r="R224" s="72">
        <v>1511.9025936551413</v>
      </c>
      <c r="S224" s="73"/>
      <c r="T224" s="74">
        <v>4.7881600955835344</v>
      </c>
      <c r="U224" s="74">
        <v>4.9376622311030998</v>
      </c>
      <c r="V224" s="73"/>
      <c r="W224" s="72">
        <v>9887.8127970121695</v>
      </c>
      <c r="X224" s="72">
        <v>9865.5869101341959</v>
      </c>
      <c r="Y224" s="73"/>
      <c r="Z224" s="74">
        <v>3.02830417900672</v>
      </c>
      <c r="AA224" s="74">
        <v>3.0763909642525964</v>
      </c>
      <c r="AB224" s="73"/>
      <c r="AC224" s="72">
        <v>50624.809758717762</v>
      </c>
      <c r="AD224" s="72">
        <v>50434.966093040457</v>
      </c>
      <c r="AE224" s="73"/>
      <c r="AF224" s="74">
        <v>4.7350850792430847</v>
      </c>
      <c r="AG224" s="74">
        <v>4.8807518214144938</v>
      </c>
      <c r="AH224" s="73"/>
      <c r="AI224" s="72">
        <v>2059303.987676891</v>
      </c>
      <c r="AJ224" s="72">
        <v>0</v>
      </c>
      <c r="AK224" s="73"/>
      <c r="AL224" s="74">
        <v>-1835.7418808497418</v>
      </c>
      <c r="AM224" s="74">
        <v>0</v>
      </c>
      <c r="AN224" s="73"/>
      <c r="AO224" s="72">
        <v>132999.51654073905</v>
      </c>
      <c r="AP224" s="72">
        <v>0</v>
      </c>
      <c r="AQ224" s="73"/>
      <c r="AR224" s="74">
        <v>-94.609751397592092</v>
      </c>
      <c r="AS224" s="74">
        <v>0</v>
      </c>
      <c r="AT224" s="73"/>
      <c r="AU224" s="72">
        <v>53304498.597714551</v>
      </c>
      <c r="AV224" s="72">
        <v>0</v>
      </c>
      <c r="AW224" s="73"/>
      <c r="AX224" s="74">
        <v>-3451.7184725712941</v>
      </c>
      <c r="AY224" s="74">
        <v>0</v>
      </c>
      <c r="AZ224" s="73"/>
      <c r="BA224" s="72">
        <v>207570.6976247979</v>
      </c>
      <c r="BB224" s="72">
        <v>0</v>
      </c>
      <c r="BC224" s="73"/>
      <c r="BD224" s="74">
        <v>-449.08928110815765</v>
      </c>
      <c r="BE224" s="74">
        <v>0</v>
      </c>
      <c r="BF224" s="73"/>
      <c r="BG224" s="72">
        <v>3001347.8117303429</v>
      </c>
      <c r="BH224" s="72">
        <v>0</v>
      </c>
      <c r="BI224" s="73"/>
      <c r="BJ224" s="74">
        <v>-2302.9293934999719</v>
      </c>
      <c r="BK224" s="74">
        <v>0</v>
      </c>
      <c r="BL224" s="73"/>
      <c r="BM224" s="72">
        <v>58705720.611287318</v>
      </c>
      <c r="BN224" s="72">
        <v>0</v>
      </c>
      <c r="BO224" s="73"/>
      <c r="BP224" s="74">
        <v>-8134.0887794267583</v>
      </c>
      <c r="BQ224" s="74">
        <v>0</v>
      </c>
      <c r="BS224" s="109">
        <f t="shared" si="117"/>
        <v>116648.64856946924</v>
      </c>
      <c r="BT224" s="109">
        <f t="shared" si="118"/>
        <v>117013.68472721904</v>
      </c>
      <c r="BV224" s="58">
        <f t="array" ref="BV224">SUM(IF(BS224:BT224&gt;=BS224, 1))</f>
        <v>2</v>
      </c>
      <c r="BW224" s="58">
        <f t="array" ref="BW224">SUM(IF(BS224:BT224&gt;=BT224, 1))</f>
        <v>1</v>
      </c>
      <c r="BY224" s="109">
        <f t="shared" si="119"/>
        <v>133483.35024786045</v>
      </c>
      <c r="BZ224" s="109">
        <f t="shared" si="120"/>
        <v>133786.20479403387</v>
      </c>
      <c r="CB224" s="58">
        <f t="array" ref="CB224">SUM(IF(BY224:BZ224&gt;=BY224, 1))</f>
        <v>2</v>
      </c>
      <c r="CC224" s="58">
        <f t="array" ref="CC224">SUM(IF(BY224:BZ224&gt;=BZ224, 1))</f>
        <v>1</v>
      </c>
      <c r="CE224" s="109">
        <f t="shared" si="121"/>
        <v>91942.554721234599</v>
      </c>
      <c r="CF224" s="109">
        <f t="shared" si="122"/>
        <v>97241.342028406842</v>
      </c>
      <c r="CH224" s="58">
        <f t="array" ref="CH224">SUM(IF(CE224:CF224&gt;=CE224, 1))</f>
        <v>2</v>
      </c>
      <c r="CI224" s="58">
        <f t="array" ref="CI224">SUM(IF(CE224:CF224&gt;=CF224, 1))</f>
        <v>1</v>
      </c>
      <c r="CK224" s="109">
        <f t="shared" si="123"/>
        <v>50678.270783122229</v>
      </c>
      <c r="CL224" s="109">
        <f t="shared" si="124"/>
        <v>51662.23237491773</v>
      </c>
      <c r="CN224" s="58">
        <f t="array" ref="CN224">SUM(IF(CK224:CL224&gt;=CK224, 1))</f>
        <v>2</v>
      </c>
      <c r="CO224" s="58">
        <f t="array" ref="CO224">SUM(IF(CK224:CL224&gt;=CL224, 1))</f>
        <v>1</v>
      </c>
      <c r="CQ224" s="109" cm="1">
        <f t="array" ref="CQ224">AF224*WTP-AC224</f>
        <v>44076.891826143939</v>
      </c>
      <c r="CR224" s="109">
        <f t="shared" si="125"/>
        <v>47180.070335249424</v>
      </c>
      <c r="CT224" s="58">
        <f t="array" ref="CT224">SUM(IF(CQ224:CR224&gt;=CQ224, 1))</f>
        <v>2</v>
      </c>
      <c r="CU224" s="58">
        <f t="array" ref="CU224">SUM(IF(CQ224:CR224&gt;=CR224, 1))</f>
        <v>1</v>
      </c>
      <c r="CW224" s="109">
        <f t="shared" si="126"/>
        <v>-38774141.604671724</v>
      </c>
      <c r="CX224" s="109">
        <f t="shared" si="127"/>
        <v>0</v>
      </c>
      <c r="CZ224" s="58">
        <f t="array" ref="CZ224">SUM(IF(CW224:CX224&gt;=CW224, 1))</f>
        <v>2</v>
      </c>
      <c r="DA224" s="58">
        <f t="array" ref="DA224">SUM(IF(CW224:CX224&gt;=CX224, 1))</f>
        <v>1</v>
      </c>
      <c r="DC224" s="109">
        <f t="shared" si="128"/>
        <v>-2025194.5444925809</v>
      </c>
      <c r="DD224" s="109">
        <f t="shared" si="129"/>
        <v>0</v>
      </c>
      <c r="DF224" s="58">
        <f t="array" ref="DF224">SUM(IF(DC224:DD224&gt;=DC224, 1))</f>
        <v>2</v>
      </c>
      <c r="DG224" s="58">
        <f t="array" ref="DG224">SUM(IF(DC224:DD224&gt;=DD224, 1))</f>
        <v>1</v>
      </c>
      <c r="DI224" s="109">
        <f t="shared" si="130"/>
        <v>-122338868.04914042</v>
      </c>
      <c r="DJ224" s="109">
        <f t="shared" si="131"/>
        <v>0</v>
      </c>
      <c r="DL224" s="58">
        <f t="array" ref="DL224">SUM(IF(DI224:DJ224&gt;=DI224, 1))</f>
        <v>2</v>
      </c>
      <c r="DM224" s="58">
        <f t="array" ref="DM224">SUM(IF(DI224:DJ224&gt;=DJ224, 1))</f>
        <v>1</v>
      </c>
      <c r="DO224" s="109">
        <f t="shared" si="132"/>
        <v>-9189356.3197879493</v>
      </c>
      <c r="DP224" s="109">
        <f t="shared" si="133"/>
        <v>0</v>
      </c>
      <c r="DR224" s="58">
        <f t="array" ref="DR224">SUM(IF(DO224:DP224&gt;=DO224, 1))</f>
        <v>2</v>
      </c>
      <c r="DS224" s="58">
        <f t="array" ref="DS224">SUM(IF(DO224:DP224&gt;=DP224, 1))</f>
        <v>1</v>
      </c>
      <c r="DU224" s="109">
        <f t="shared" si="134"/>
        <v>-49059935.681729779</v>
      </c>
      <c r="DV224" s="109">
        <f t="shared" si="135"/>
        <v>0</v>
      </c>
      <c r="DX224" s="58">
        <f t="array" ref="DX224">SUM(IF(DU224:DV224&gt;=DU224, 1))</f>
        <v>2</v>
      </c>
      <c r="DY224" s="58">
        <f t="array" ref="DY224">SUM(IF(DU224:DV224&gt;=DV224, 1))</f>
        <v>1</v>
      </c>
      <c r="EA224" s="109">
        <f t="shared" si="136"/>
        <v>-221387496.19982249</v>
      </c>
      <c r="EB224" s="109">
        <f t="shared" si="137"/>
        <v>0</v>
      </c>
      <c r="ED224" s="58">
        <f t="array" ref="ED224">SUM(IF(EA224:EB224&gt;=EA224, 1))</f>
        <v>2</v>
      </c>
      <c r="EE224" s="58">
        <f t="array" ref="EE224">SUM(IF(EA224:EB224&gt;=EB224, 1))</f>
        <v>1</v>
      </c>
    </row>
    <row r="225" spans="4:135" ht="12" customHeight="1" x14ac:dyDescent="0.25">
      <c r="D225" s="11">
        <v>209</v>
      </c>
      <c r="E225" s="72">
        <v>240.59435837364143</v>
      </c>
      <c r="F225" s="72">
        <v>224.83083842353966</v>
      </c>
      <c r="G225" s="73"/>
      <c r="H225" s="74">
        <v>5.863918080675246</v>
      </c>
      <c r="I225" s="74">
        <v>5.8806315137661249</v>
      </c>
      <c r="J225" s="73"/>
      <c r="K225" s="72">
        <v>258.63828961717923</v>
      </c>
      <c r="L225" s="72">
        <v>242.47227603615332</v>
      </c>
      <c r="M225" s="73"/>
      <c r="N225" s="74">
        <v>6.7574227702623695</v>
      </c>
      <c r="O225" s="74">
        <v>6.7721821552922083</v>
      </c>
      <c r="P225" s="73"/>
      <c r="Q225" s="72">
        <v>1555.8536065630806</v>
      </c>
      <c r="R225" s="72">
        <v>1238.7434369163141</v>
      </c>
      <c r="S225" s="73"/>
      <c r="T225" s="74">
        <v>4.9248865830878579</v>
      </c>
      <c r="U225" s="74">
        <v>4.9894164125973655</v>
      </c>
      <c r="V225" s="73"/>
      <c r="W225" s="72">
        <v>13191.79599339346</v>
      </c>
      <c r="X225" s="72">
        <v>13229.569601095085</v>
      </c>
      <c r="Y225" s="73"/>
      <c r="Z225" s="74">
        <v>3.1174783841791625</v>
      </c>
      <c r="AA225" s="74">
        <v>3.1779108240549512</v>
      </c>
      <c r="AB225" s="73"/>
      <c r="AC225" s="72">
        <v>51679.269729030297</v>
      </c>
      <c r="AD225" s="72">
        <v>51592.270126604577</v>
      </c>
      <c r="AE225" s="73"/>
      <c r="AF225" s="74">
        <v>4.8704297738858235</v>
      </c>
      <c r="AG225" s="74">
        <v>4.9713087249107391</v>
      </c>
      <c r="AH225" s="73"/>
      <c r="AI225" s="72">
        <v>1703178.9126894751</v>
      </c>
      <c r="AJ225" s="72">
        <v>0</v>
      </c>
      <c r="AK225" s="73"/>
      <c r="AL225" s="74">
        <v>-1805.8128444115473</v>
      </c>
      <c r="AM225" s="74">
        <v>0</v>
      </c>
      <c r="AN225" s="73"/>
      <c r="AO225" s="72">
        <v>114717.64993561634</v>
      </c>
      <c r="AP225" s="72">
        <v>0</v>
      </c>
      <c r="AQ225" s="73"/>
      <c r="AR225" s="74">
        <v>-104.73589896678672</v>
      </c>
      <c r="AS225" s="74">
        <v>0</v>
      </c>
      <c r="AT225" s="73"/>
      <c r="AU225" s="72">
        <v>7387469.495821638</v>
      </c>
      <c r="AV225" s="72">
        <v>0</v>
      </c>
      <c r="AW225" s="73"/>
      <c r="AX225" s="74">
        <v>-1503.3013529748184</v>
      </c>
      <c r="AY225" s="74">
        <v>0</v>
      </c>
      <c r="AZ225" s="73"/>
      <c r="BA225" s="72">
        <v>-356062.58186991274</v>
      </c>
      <c r="BB225" s="72">
        <v>0</v>
      </c>
      <c r="BC225" s="73"/>
      <c r="BD225" s="74">
        <v>-569.64986614042152</v>
      </c>
      <c r="BE225" s="74">
        <v>0</v>
      </c>
      <c r="BF225" s="73"/>
      <c r="BG225" s="72">
        <v>1355043.8643792102</v>
      </c>
      <c r="BH225" s="72">
        <v>0</v>
      </c>
      <c r="BI225" s="73"/>
      <c r="BJ225" s="74">
        <v>-1571.2187161778477</v>
      </c>
      <c r="BK225" s="74">
        <v>0</v>
      </c>
      <c r="BL225" s="73"/>
      <c r="BM225" s="72">
        <v>10204347.340956027</v>
      </c>
      <c r="BN225" s="72">
        <v>0</v>
      </c>
      <c r="BO225" s="73"/>
      <c r="BP225" s="74">
        <v>-5554.7186786714219</v>
      </c>
      <c r="BQ225" s="74">
        <v>0</v>
      </c>
      <c r="BS225" s="109">
        <f t="shared" si="117"/>
        <v>117037.76725513129</v>
      </c>
      <c r="BT225" s="109">
        <f t="shared" si="118"/>
        <v>117387.79943689896</v>
      </c>
      <c r="BV225" s="58">
        <f t="array" ref="BV225">SUM(IF(BS225:BT225&gt;=BS225, 1))</f>
        <v>2</v>
      </c>
      <c r="BW225" s="58">
        <f t="array" ref="BW225">SUM(IF(BS225:BT225&gt;=BT225, 1))</f>
        <v>1</v>
      </c>
      <c r="BY225" s="109">
        <f t="shared" si="119"/>
        <v>134889.81711563023</v>
      </c>
      <c r="BZ225" s="109">
        <f t="shared" si="120"/>
        <v>135201.17082980802</v>
      </c>
      <c r="CB225" s="58">
        <f t="array" ref="CB225">SUM(IF(BY225:BZ225&gt;=BY225, 1))</f>
        <v>2</v>
      </c>
      <c r="CC225" s="58">
        <f t="array" ref="CC225">SUM(IF(BY225:BZ225&gt;=BZ225, 1))</f>
        <v>1</v>
      </c>
      <c r="CE225" s="109">
        <f t="shared" si="121"/>
        <v>96941.878055194087</v>
      </c>
      <c r="CF225" s="109">
        <f t="shared" si="122"/>
        <v>98549.584815031005</v>
      </c>
      <c r="CH225" s="58">
        <f t="array" ref="CH225">SUM(IF(CE225:CF225&gt;=CE225, 1))</f>
        <v>2</v>
      </c>
      <c r="CI225" s="58">
        <f t="array" ref="CI225">SUM(IF(CE225:CF225&gt;=CF225, 1))</f>
        <v>1</v>
      </c>
      <c r="CK225" s="109">
        <f t="shared" si="123"/>
        <v>49157.771690189787</v>
      </c>
      <c r="CL225" s="109">
        <f t="shared" si="124"/>
        <v>50328.646880003937</v>
      </c>
      <c r="CN225" s="58">
        <f t="array" ref="CN225">SUM(IF(CK225:CL225&gt;=CK225, 1))</f>
        <v>2</v>
      </c>
      <c r="CO225" s="58">
        <f t="array" ref="CO225">SUM(IF(CK225:CL225&gt;=CL225, 1))</f>
        <v>1</v>
      </c>
      <c r="CQ225" s="109" cm="1">
        <f t="array" ref="CQ225">AF225*WTP-AC225</f>
        <v>45729.325748686177</v>
      </c>
      <c r="CR225" s="109">
        <f t="shared" si="125"/>
        <v>47833.904371610202</v>
      </c>
      <c r="CT225" s="58">
        <f t="array" ref="CT225">SUM(IF(CQ225:CR225&gt;=CQ225, 1))</f>
        <v>2</v>
      </c>
      <c r="CU225" s="58">
        <f t="array" ref="CU225">SUM(IF(CQ225:CR225&gt;=CR225, 1))</f>
        <v>1</v>
      </c>
      <c r="CW225" s="109">
        <f t="shared" si="126"/>
        <v>-37819435.800920427</v>
      </c>
      <c r="CX225" s="109">
        <f t="shared" si="127"/>
        <v>0</v>
      </c>
      <c r="CZ225" s="58">
        <f t="array" ref="CZ225">SUM(IF(CW225:CX225&gt;=CW225, 1))</f>
        <v>2</v>
      </c>
      <c r="DA225" s="58">
        <f t="array" ref="DA225">SUM(IF(CW225:CX225&gt;=CX225, 1))</f>
        <v>1</v>
      </c>
      <c r="DC225" s="109">
        <f t="shared" si="128"/>
        <v>-2209435.6292713508</v>
      </c>
      <c r="DD225" s="109">
        <f t="shared" si="129"/>
        <v>0</v>
      </c>
      <c r="DF225" s="58">
        <f t="array" ref="DF225">SUM(IF(DC225:DD225&gt;=DC225, 1))</f>
        <v>2</v>
      </c>
      <c r="DG225" s="58">
        <f t="array" ref="DG225">SUM(IF(DC225:DD225&gt;=DD225, 1))</f>
        <v>1</v>
      </c>
      <c r="DI225" s="109">
        <f t="shared" si="130"/>
        <v>-37453496.555318005</v>
      </c>
      <c r="DJ225" s="109">
        <f t="shared" si="131"/>
        <v>0</v>
      </c>
      <c r="DL225" s="58">
        <f t="array" ref="DL225">SUM(IF(DI225:DJ225&gt;=DI225, 1))</f>
        <v>2</v>
      </c>
      <c r="DM225" s="58">
        <f t="array" ref="DM225">SUM(IF(DI225:DJ225&gt;=DJ225, 1))</f>
        <v>1</v>
      </c>
      <c r="DO225" s="109">
        <f t="shared" si="132"/>
        <v>-11036934.740938516</v>
      </c>
      <c r="DP225" s="109">
        <f t="shared" si="133"/>
        <v>0</v>
      </c>
      <c r="DR225" s="58">
        <f t="array" ref="DR225">SUM(IF(DO225:DP225&gt;=DO225, 1))</f>
        <v>2</v>
      </c>
      <c r="DS225" s="58">
        <f t="array" ref="DS225">SUM(IF(DO225:DP225&gt;=DP225, 1))</f>
        <v>1</v>
      </c>
      <c r="DU225" s="109">
        <f t="shared" si="134"/>
        <v>-32779418.187936161</v>
      </c>
      <c r="DV225" s="109">
        <f t="shared" si="135"/>
        <v>0</v>
      </c>
      <c r="DX225" s="58">
        <f t="array" ref="DX225">SUM(IF(DU225:DV225&gt;=DU225, 1))</f>
        <v>2</v>
      </c>
      <c r="DY225" s="58">
        <f t="array" ref="DY225">SUM(IF(DU225:DV225&gt;=DV225, 1))</f>
        <v>1</v>
      </c>
      <c r="EA225" s="109">
        <f t="shared" si="136"/>
        <v>-121298720.91438447</v>
      </c>
      <c r="EB225" s="109">
        <f t="shared" si="137"/>
        <v>0</v>
      </c>
      <c r="ED225" s="58">
        <f t="array" ref="ED225">SUM(IF(EA225:EB225&gt;=EA225, 1))</f>
        <v>2</v>
      </c>
      <c r="EE225" s="58">
        <f t="array" ref="EE225">SUM(IF(EA225:EB225&gt;=EB225, 1))</f>
        <v>1</v>
      </c>
    </row>
    <row r="226" spans="4:135" ht="12" customHeight="1" x14ac:dyDescent="0.25">
      <c r="D226" s="11">
        <v>210</v>
      </c>
      <c r="E226" s="72">
        <v>259.99673860759191</v>
      </c>
      <c r="F226" s="72">
        <v>228.78197739549526</v>
      </c>
      <c r="G226" s="73"/>
      <c r="H226" s="74">
        <v>5.8151565004127788</v>
      </c>
      <c r="I226" s="74">
        <v>5.8349409765198219</v>
      </c>
      <c r="J226" s="73"/>
      <c r="K226" s="72">
        <v>278.66082902438518</v>
      </c>
      <c r="L226" s="72">
        <v>246.68833928955559</v>
      </c>
      <c r="M226" s="73"/>
      <c r="N226" s="74">
        <v>6.7111333913065563</v>
      </c>
      <c r="O226" s="74">
        <v>6.7287637254076422</v>
      </c>
      <c r="P226" s="73"/>
      <c r="Q226" s="72">
        <v>1769.7685691363326</v>
      </c>
      <c r="R226" s="72">
        <v>1037.5504198323531</v>
      </c>
      <c r="S226" s="73"/>
      <c r="T226" s="74">
        <v>4.8046305211191562</v>
      </c>
      <c r="U226" s="74">
        <v>4.889153364175236</v>
      </c>
      <c r="V226" s="73"/>
      <c r="W226" s="72">
        <v>11722.99603353272</v>
      </c>
      <c r="X226" s="72">
        <v>11663.159780297268</v>
      </c>
      <c r="Y226" s="73"/>
      <c r="Z226" s="74">
        <v>2.780872098818679</v>
      </c>
      <c r="AA226" s="74">
        <v>2.8100138600631102</v>
      </c>
      <c r="AB226" s="73"/>
      <c r="AC226" s="72">
        <v>50215.129109554051</v>
      </c>
      <c r="AD226" s="72">
        <v>49869.668376897462</v>
      </c>
      <c r="AE226" s="73"/>
      <c r="AF226" s="74">
        <v>4.5065448666819545</v>
      </c>
      <c r="AG226" s="74">
        <v>4.602779127424121</v>
      </c>
      <c r="AH226" s="73"/>
      <c r="AI226" s="72">
        <v>3381647.0587293175</v>
      </c>
      <c r="AJ226" s="72">
        <v>0</v>
      </c>
      <c r="AK226" s="73"/>
      <c r="AL226" s="74">
        <v>-2143.3486221882608</v>
      </c>
      <c r="AM226" s="74">
        <v>0</v>
      </c>
      <c r="AN226" s="73"/>
      <c r="AO226" s="72">
        <v>214195.86643277004</v>
      </c>
      <c r="AP226" s="72">
        <v>0</v>
      </c>
      <c r="AQ226" s="73"/>
      <c r="AR226" s="74">
        <v>-118.11231216590278</v>
      </c>
      <c r="AS226" s="74">
        <v>0</v>
      </c>
      <c r="AT226" s="73"/>
      <c r="AU226" s="72">
        <v>16960401.090116818</v>
      </c>
      <c r="AV226" s="72">
        <v>0</v>
      </c>
      <c r="AW226" s="73"/>
      <c r="AX226" s="74">
        <v>-1957.8063188829481</v>
      </c>
      <c r="AY226" s="74">
        <v>0</v>
      </c>
      <c r="AZ226" s="73"/>
      <c r="BA226" s="72">
        <v>540829.82116934098</v>
      </c>
      <c r="BB226" s="72">
        <v>0</v>
      </c>
      <c r="BC226" s="73"/>
      <c r="BD226" s="74">
        <v>-263.3977341523705</v>
      </c>
      <c r="BE226" s="74">
        <v>0</v>
      </c>
      <c r="BF226" s="73"/>
      <c r="BG226" s="72">
        <v>5476425.9747476326</v>
      </c>
      <c r="BH226" s="72">
        <v>0</v>
      </c>
      <c r="BI226" s="73"/>
      <c r="BJ226" s="74">
        <v>-1525.5563233953112</v>
      </c>
      <c r="BK226" s="74">
        <v>0</v>
      </c>
      <c r="BL226" s="73"/>
      <c r="BM226" s="72">
        <v>26573499.811195876</v>
      </c>
      <c r="BN226" s="72">
        <v>0</v>
      </c>
      <c r="BO226" s="73"/>
      <c r="BP226" s="74">
        <v>-6008.2213107847929</v>
      </c>
      <c r="BQ226" s="74">
        <v>0</v>
      </c>
      <c r="BS226" s="109">
        <f t="shared" si="117"/>
        <v>116043.13326964798</v>
      </c>
      <c r="BT226" s="109">
        <f t="shared" si="118"/>
        <v>116470.03755300093</v>
      </c>
      <c r="BV226" s="58">
        <f t="array" ref="BV226">SUM(IF(BS226:BT226&gt;=BS226, 1))</f>
        <v>2</v>
      </c>
      <c r="BW226" s="58">
        <f t="array" ref="BW226">SUM(IF(BS226:BT226&gt;=BT226, 1))</f>
        <v>1</v>
      </c>
      <c r="BY226" s="109">
        <f t="shared" si="119"/>
        <v>133944.00699710674</v>
      </c>
      <c r="BZ226" s="109">
        <f t="shared" si="120"/>
        <v>134328.58616886329</v>
      </c>
      <c r="CB226" s="58">
        <f t="array" ref="CB226">SUM(IF(BY226:BZ226&gt;=BY226, 1))</f>
        <v>2</v>
      </c>
      <c r="CC226" s="58">
        <f t="array" ref="CC226">SUM(IF(BY226:BZ226&gt;=BZ226, 1))</f>
        <v>1</v>
      </c>
      <c r="CE226" s="109">
        <f t="shared" si="121"/>
        <v>94322.841853246791</v>
      </c>
      <c r="CF226" s="109">
        <f t="shared" si="122"/>
        <v>96745.516863672368</v>
      </c>
      <c r="CH226" s="58">
        <f t="array" ref="CH226">SUM(IF(CE226:CF226&gt;=CE226, 1))</f>
        <v>2</v>
      </c>
      <c r="CI226" s="58">
        <f t="array" ref="CI226">SUM(IF(CE226:CF226&gt;=CF226, 1))</f>
        <v>1</v>
      </c>
      <c r="CK226" s="109">
        <f t="shared" si="123"/>
        <v>43894.445942840859</v>
      </c>
      <c r="CL226" s="109">
        <f t="shared" si="124"/>
        <v>44537.117420964933</v>
      </c>
      <c r="CN226" s="58">
        <f t="array" ref="CN226">SUM(IF(CK226:CL226&gt;=CK226, 1))</f>
        <v>2</v>
      </c>
      <c r="CO226" s="58">
        <f t="array" ref="CO226">SUM(IF(CK226:CL226&gt;=CL226, 1))</f>
        <v>1</v>
      </c>
      <c r="CQ226" s="109" cm="1">
        <f t="array" ref="CQ226">AF226*WTP-AC226</f>
        <v>39915.768224085041</v>
      </c>
      <c r="CR226" s="109">
        <f t="shared" si="125"/>
        <v>42185.914171584955</v>
      </c>
      <c r="CT226" s="58">
        <f t="array" ref="CT226">SUM(IF(CQ226:CR226&gt;=CQ226, 1))</f>
        <v>2</v>
      </c>
      <c r="CU226" s="58">
        <f t="array" ref="CU226">SUM(IF(CQ226:CR226&gt;=CR226, 1))</f>
        <v>1</v>
      </c>
      <c r="CW226" s="109">
        <f t="shared" si="126"/>
        <v>-46248619.502494536</v>
      </c>
      <c r="CX226" s="109">
        <f t="shared" si="127"/>
        <v>0</v>
      </c>
      <c r="CZ226" s="58">
        <f t="array" ref="CZ226">SUM(IF(CW226:CX226&gt;=CW226, 1))</f>
        <v>2</v>
      </c>
      <c r="DA226" s="58">
        <f t="array" ref="DA226">SUM(IF(CW226:CX226&gt;=CX226, 1))</f>
        <v>1</v>
      </c>
      <c r="DC226" s="109">
        <f t="shared" si="128"/>
        <v>-2576442.1097508259</v>
      </c>
      <c r="DD226" s="109">
        <f t="shared" si="129"/>
        <v>0</v>
      </c>
      <c r="DF226" s="58">
        <f t="array" ref="DF226">SUM(IF(DC226:DD226&gt;=DC226, 1))</f>
        <v>2</v>
      </c>
      <c r="DG226" s="58">
        <f t="array" ref="DG226">SUM(IF(DC226:DD226&gt;=DD226, 1))</f>
        <v>1</v>
      </c>
      <c r="DI226" s="109">
        <f t="shared" si="130"/>
        <v>-56116527.467775777</v>
      </c>
      <c r="DJ226" s="109">
        <f t="shared" si="131"/>
        <v>0</v>
      </c>
      <c r="DL226" s="58">
        <f t="array" ref="DL226">SUM(IF(DI226:DJ226&gt;=DI226, 1))</f>
        <v>2</v>
      </c>
      <c r="DM226" s="58">
        <f t="array" ref="DM226">SUM(IF(DI226:DJ226&gt;=DJ226, 1))</f>
        <v>1</v>
      </c>
      <c r="DO226" s="109">
        <f t="shared" si="132"/>
        <v>-5808784.5042167511</v>
      </c>
      <c r="DP226" s="109">
        <f t="shared" si="133"/>
        <v>0</v>
      </c>
      <c r="DR226" s="58">
        <f t="array" ref="DR226">SUM(IF(DO226:DP226&gt;=DO226, 1))</f>
        <v>2</v>
      </c>
      <c r="DS226" s="58">
        <f t="array" ref="DS226">SUM(IF(DO226:DP226&gt;=DP226, 1))</f>
        <v>1</v>
      </c>
      <c r="DU226" s="109">
        <f t="shared" si="134"/>
        <v>-35987552.442653857</v>
      </c>
      <c r="DV226" s="109">
        <f t="shared" si="135"/>
        <v>0</v>
      </c>
      <c r="DX226" s="58">
        <f t="array" ref="DX226">SUM(IF(DU226:DV226&gt;=DU226, 1))</f>
        <v>2</v>
      </c>
      <c r="DY226" s="58">
        <f t="array" ref="DY226">SUM(IF(DU226:DV226&gt;=DV226, 1))</f>
        <v>1</v>
      </c>
      <c r="EA226" s="109">
        <f t="shared" si="136"/>
        <v>-146737926.02689174</v>
      </c>
      <c r="EB226" s="109">
        <f t="shared" si="137"/>
        <v>0</v>
      </c>
      <c r="ED226" s="58">
        <f t="array" ref="ED226">SUM(IF(EA226:EB226&gt;=EA226, 1))</f>
        <v>2</v>
      </c>
      <c r="EE226" s="58">
        <f t="array" ref="EE226">SUM(IF(EA226:EB226&gt;=EB226, 1))</f>
        <v>1</v>
      </c>
    </row>
    <row r="227" spans="4:135" ht="12" customHeight="1" x14ac:dyDescent="0.25">
      <c r="D227" s="11">
        <v>211</v>
      </c>
      <c r="E227" s="72">
        <v>265.21843930220075</v>
      </c>
      <c r="F227" s="72">
        <v>247.43618738623505</v>
      </c>
      <c r="G227" s="73"/>
      <c r="H227" s="74">
        <v>5.8651487889729133</v>
      </c>
      <c r="I227" s="74">
        <v>5.8801398603168069</v>
      </c>
      <c r="J227" s="73"/>
      <c r="K227" s="72">
        <v>285.08282980894825</v>
      </c>
      <c r="L227" s="72">
        <v>266.87894827630254</v>
      </c>
      <c r="M227" s="73"/>
      <c r="N227" s="74">
        <v>6.7373855211770062</v>
      </c>
      <c r="O227" s="74">
        <v>6.750620304172033</v>
      </c>
      <c r="P227" s="73"/>
      <c r="Q227" s="72">
        <v>2636.7883563712044</v>
      </c>
      <c r="R227" s="72">
        <v>1504.7625416656392</v>
      </c>
      <c r="S227" s="73"/>
      <c r="T227" s="74">
        <v>4.9318319429511446</v>
      </c>
      <c r="U227" s="74">
        <v>5.0076200352205387</v>
      </c>
      <c r="V227" s="73"/>
      <c r="W227" s="72">
        <v>14265.519485843955</v>
      </c>
      <c r="X227" s="72">
        <v>14223.677510864822</v>
      </c>
      <c r="Y227" s="73"/>
      <c r="Z227" s="74">
        <v>3.1851255353648491</v>
      </c>
      <c r="AA227" s="74">
        <v>3.2297173554337832</v>
      </c>
      <c r="AB227" s="73"/>
      <c r="AC227" s="72">
        <v>49466.182951858224</v>
      </c>
      <c r="AD227" s="72">
        <v>49234.122671591351</v>
      </c>
      <c r="AE227" s="73"/>
      <c r="AF227" s="74">
        <v>4.6886768680701341</v>
      </c>
      <c r="AG227" s="74">
        <v>4.8023746282558797</v>
      </c>
      <c r="AH227" s="73"/>
      <c r="AI227" s="72">
        <v>1905887.7506322558</v>
      </c>
      <c r="AJ227" s="72">
        <v>0</v>
      </c>
      <c r="AK227" s="73"/>
      <c r="AL227" s="74">
        <v>-1606.7312159450717</v>
      </c>
      <c r="AM227" s="74">
        <v>0</v>
      </c>
      <c r="AN227" s="73"/>
      <c r="AO227" s="72">
        <v>124210.57754336379</v>
      </c>
      <c r="AP227" s="72">
        <v>0</v>
      </c>
      <c r="AQ227" s="73"/>
      <c r="AR227" s="74">
        <v>-90.304918570542142</v>
      </c>
      <c r="AS227" s="74">
        <v>0</v>
      </c>
      <c r="AT227" s="73"/>
      <c r="AU227" s="72">
        <v>26823441.3461264</v>
      </c>
      <c r="AV227" s="72">
        <v>0</v>
      </c>
      <c r="AW227" s="73"/>
      <c r="AX227" s="74">
        <v>-1795.8048494253248</v>
      </c>
      <c r="AY227" s="74">
        <v>0</v>
      </c>
      <c r="AZ227" s="73"/>
      <c r="BA227" s="72">
        <v>377410.80030431465</v>
      </c>
      <c r="BB227" s="72">
        <v>0</v>
      </c>
      <c r="BC227" s="73"/>
      <c r="BD227" s="74">
        <v>-402.21415235860974</v>
      </c>
      <c r="BE227" s="74">
        <v>0</v>
      </c>
      <c r="BF227" s="73"/>
      <c r="BG227" s="72">
        <v>3676016.532463104</v>
      </c>
      <c r="BH227" s="72">
        <v>0</v>
      </c>
      <c r="BI227" s="73"/>
      <c r="BJ227" s="74">
        <v>-1801.0615417087834</v>
      </c>
      <c r="BK227" s="74">
        <v>0</v>
      </c>
      <c r="BL227" s="73"/>
      <c r="BM227" s="72">
        <v>32906967.007069439</v>
      </c>
      <c r="BN227" s="72">
        <v>0</v>
      </c>
      <c r="BO227" s="73"/>
      <c r="BP227" s="74">
        <v>-5696.1166780083313</v>
      </c>
      <c r="BQ227" s="74">
        <v>0</v>
      </c>
      <c r="BS227" s="109">
        <f t="shared" si="117"/>
        <v>117037.75734015607</v>
      </c>
      <c r="BT227" s="109">
        <f t="shared" si="118"/>
        <v>117355.3610189499</v>
      </c>
      <c r="BV227" s="58">
        <f t="array" ref="BV227">SUM(IF(BS227:BT227&gt;=BS227, 1))</f>
        <v>2</v>
      </c>
      <c r="BW227" s="58">
        <f t="array" ref="BW227">SUM(IF(BS227:BT227&gt;=BT227, 1))</f>
        <v>1</v>
      </c>
      <c r="BY227" s="109">
        <f t="shared" si="119"/>
        <v>134462.62759373116</v>
      </c>
      <c r="BZ227" s="109">
        <f t="shared" si="120"/>
        <v>134745.52713516436</v>
      </c>
      <c r="CB227" s="58">
        <f t="array" ref="CB227">SUM(IF(BY227:BZ227&gt;=BY227, 1))</f>
        <v>2</v>
      </c>
      <c r="CC227" s="58">
        <f t="array" ref="CC227">SUM(IF(BY227:BZ227&gt;=BZ227, 1))</f>
        <v>1</v>
      </c>
      <c r="CE227" s="109">
        <f t="shared" si="121"/>
        <v>95999.85050265168</v>
      </c>
      <c r="CF227" s="109">
        <f t="shared" si="122"/>
        <v>98647.638162745134</v>
      </c>
      <c r="CH227" s="58">
        <f t="array" ref="CH227">SUM(IF(CE227:CF227&gt;=CE227, 1))</f>
        <v>2</v>
      </c>
      <c r="CI227" s="58">
        <f t="array" ref="CI227">SUM(IF(CE227:CF227&gt;=CF227, 1))</f>
        <v>1</v>
      </c>
      <c r="CK227" s="109">
        <f t="shared" si="123"/>
        <v>49436.991221453027</v>
      </c>
      <c r="CL227" s="109">
        <f t="shared" si="124"/>
        <v>50370.66959781084</v>
      </c>
      <c r="CN227" s="58">
        <f t="array" ref="CN227">SUM(IF(CK227:CL227&gt;=CK227, 1))</f>
        <v>2</v>
      </c>
      <c r="CO227" s="58">
        <f t="array" ref="CO227">SUM(IF(CK227:CL227&gt;=CL227, 1))</f>
        <v>1</v>
      </c>
      <c r="CQ227" s="109" cm="1">
        <f t="array" ref="CQ227">AF227*WTP-AC227</f>
        <v>44307.354409544452</v>
      </c>
      <c r="CR227" s="109">
        <f t="shared" si="125"/>
        <v>46813.369893526236</v>
      </c>
      <c r="CT227" s="58">
        <f t="array" ref="CT227">SUM(IF(CQ227:CR227&gt;=CQ227, 1))</f>
        <v>2</v>
      </c>
      <c r="CU227" s="58">
        <f t="array" ref="CU227">SUM(IF(CQ227:CR227&gt;=CR227, 1))</f>
        <v>1</v>
      </c>
      <c r="CW227" s="109">
        <f t="shared" si="126"/>
        <v>-34040512.069533691</v>
      </c>
      <c r="CX227" s="109">
        <f t="shared" si="127"/>
        <v>0</v>
      </c>
      <c r="CZ227" s="58">
        <f t="array" ref="CZ227">SUM(IF(CW227:CX227&gt;=CW227, 1))</f>
        <v>2</v>
      </c>
      <c r="DA227" s="58">
        <f t="array" ref="DA227">SUM(IF(CW227:CX227&gt;=CX227, 1))</f>
        <v>1</v>
      </c>
      <c r="DC227" s="109">
        <f t="shared" si="128"/>
        <v>-1930308.9489542064</v>
      </c>
      <c r="DD227" s="109">
        <f t="shared" si="129"/>
        <v>0</v>
      </c>
      <c r="DF227" s="58">
        <f t="array" ref="DF227">SUM(IF(DC227:DD227&gt;=DC227, 1))</f>
        <v>2</v>
      </c>
      <c r="DG227" s="58">
        <f t="array" ref="DG227">SUM(IF(DC227:DD227&gt;=DD227, 1))</f>
        <v>1</v>
      </c>
      <c r="DI227" s="109">
        <f t="shared" si="130"/>
        <v>-62739538.334632896</v>
      </c>
      <c r="DJ227" s="109">
        <f t="shared" si="131"/>
        <v>0</v>
      </c>
      <c r="DL227" s="58">
        <f t="array" ref="DL227">SUM(IF(DI227:DJ227&gt;=DI227, 1))</f>
        <v>2</v>
      </c>
      <c r="DM227" s="58">
        <f t="array" ref="DM227">SUM(IF(DI227:DJ227&gt;=DJ227, 1))</f>
        <v>1</v>
      </c>
      <c r="DO227" s="109">
        <f t="shared" si="132"/>
        <v>-8421693.8474765085</v>
      </c>
      <c r="DP227" s="109">
        <f t="shared" si="133"/>
        <v>0</v>
      </c>
      <c r="DR227" s="58">
        <f t="array" ref="DR227">SUM(IF(DO227:DP227&gt;=DO227, 1))</f>
        <v>2</v>
      </c>
      <c r="DS227" s="58">
        <f t="array" ref="DS227">SUM(IF(DO227:DP227&gt;=DP227, 1))</f>
        <v>1</v>
      </c>
      <c r="DU227" s="109">
        <f t="shared" si="134"/>
        <v>-39697247.366638772</v>
      </c>
      <c r="DV227" s="109">
        <f t="shared" si="135"/>
        <v>0</v>
      </c>
      <c r="DX227" s="58">
        <f t="array" ref="DX227">SUM(IF(DU227:DV227&gt;=DU227, 1))</f>
        <v>2</v>
      </c>
      <c r="DY227" s="58">
        <f t="array" ref="DY227">SUM(IF(DU227:DV227&gt;=DV227, 1))</f>
        <v>1</v>
      </c>
      <c r="EA227" s="109">
        <f t="shared" si="136"/>
        <v>-146829300.56723607</v>
      </c>
      <c r="EB227" s="109">
        <f t="shared" si="137"/>
        <v>0</v>
      </c>
      <c r="ED227" s="58">
        <f t="array" ref="ED227">SUM(IF(EA227:EB227&gt;=EA227, 1))</f>
        <v>2</v>
      </c>
      <c r="EE227" s="58">
        <f t="array" ref="EE227">SUM(IF(EA227:EB227&gt;=EB227, 1))</f>
        <v>1</v>
      </c>
    </row>
    <row r="228" spans="4:135" ht="12" customHeight="1" x14ac:dyDescent="0.25">
      <c r="D228" s="11">
        <v>212</v>
      </c>
      <c r="E228" s="72">
        <v>251.26189654134197</v>
      </c>
      <c r="F228" s="72">
        <v>206.99254991389179</v>
      </c>
      <c r="G228" s="73"/>
      <c r="H228" s="74">
        <v>5.8198573029441105</v>
      </c>
      <c r="I228" s="74">
        <v>5.836988986780959</v>
      </c>
      <c r="J228" s="73"/>
      <c r="K228" s="72">
        <v>268.32006139841491</v>
      </c>
      <c r="L228" s="72">
        <v>223.06444552557514</v>
      </c>
      <c r="M228" s="73"/>
      <c r="N228" s="74">
        <v>6.7706846003497931</v>
      </c>
      <c r="O228" s="74">
        <v>6.7855158781189449</v>
      </c>
      <c r="P228" s="73"/>
      <c r="Q228" s="72">
        <v>3051.0548921499853</v>
      </c>
      <c r="R228" s="72">
        <v>1596.1929149556267</v>
      </c>
      <c r="S228" s="73"/>
      <c r="T228" s="74">
        <v>4.7520497643703914</v>
      </c>
      <c r="U228" s="74">
        <v>4.8451611623053426</v>
      </c>
      <c r="V228" s="73"/>
      <c r="W228" s="72">
        <v>15390.141829878445</v>
      </c>
      <c r="X228" s="72">
        <v>15425.546743682007</v>
      </c>
      <c r="Y228" s="73"/>
      <c r="Z228" s="74">
        <v>2.9613227163662845</v>
      </c>
      <c r="AA228" s="74">
        <v>3.0058323439751775</v>
      </c>
      <c r="AB228" s="73"/>
      <c r="AC228" s="72">
        <v>49667.369415776986</v>
      </c>
      <c r="AD228" s="72">
        <v>49327.415408185661</v>
      </c>
      <c r="AE228" s="73"/>
      <c r="AF228" s="74">
        <v>3.6524309913313573</v>
      </c>
      <c r="AG228" s="74">
        <v>3.7349551708927469</v>
      </c>
      <c r="AH228" s="73"/>
      <c r="AI228" s="72">
        <v>4766145.9186377367</v>
      </c>
      <c r="AJ228" s="72">
        <v>0</v>
      </c>
      <c r="AK228" s="73"/>
      <c r="AL228" s="74">
        <v>-1844.4389000256292</v>
      </c>
      <c r="AM228" s="74">
        <v>0</v>
      </c>
      <c r="AN228" s="73"/>
      <c r="AO228" s="72">
        <v>316953.67862061615</v>
      </c>
      <c r="AP228" s="72">
        <v>0</v>
      </c>
      <c r="AQ228" s="73"/>
      <c r="AR228" s="74">
        <v>-103.87281129452073</v>
      </c>
      <c r="AS228" s="74">
        <v>0</v>
      </c>
      <c r="AT228" s="73"/>
      <c r="AU228" s="72">
        <v>34249321.740765631</v>
      </c>
      <c r="AV228" s="72">
        <v>0</v>
      </c>
      <c r="AW228" s="73"/>
      <c r="AX228" s="74">
        <v>-2191.9620387333662</v>
      </c>
      <c r="AY228" s="74">
        <v>0</v>
      </c>
      <c r="AZ228" s="73"/>
      <c r="BA228" s="72">
        <v>-318804.28162090905</v>
      </c>
      <c r="BB228" s="72">
        <v>0</v>
      </c>
      <c r="BC228" s="73"/>
      <c r="BD228" s="74">
        <v>-400.787866164484</v>
      </c>
      <c r="BE228" s="74">
        <v>0</v>
      </c>
      <c r="BF228" s="73"/>
      <c r="BG228" s="72">
        <v>5391612.9641301688</v>
      </c>
      <c r="BH228" s="72">
        <v>0</v>
      </c>
      <c r="BI228" s="73"/>
      <c r="BJ228" s="74">
        <v>-1308.8195062912048</v>
      </c>
      <c r="BK228" s="74">
        <v>0</v>
      </c>
      <c r="BL228" s="73"/>
      <c r="BM228" s="72">
        <v>44405230.020533241</v>
      </c>
      <c r="BN228" s="72">
        <v>0</v>
      </c>
      <c r="BO228" s="73"/>
      <c r="BP228" s="74">
        <v>-5849.881122509204</v>
      </c>
      <c r="BQ228" s="74">
        <v>0</v>
      </c>
      <c r="BS228" s="109">
        <f t="shared" si="117"/>
        <v>116145.88416234087</v>
      </c>
      <c r="BT228" s="109">
        <f t="shared" si="118"/>
        <v>116532.78718570528</v>
      </c>
      <c r="BV228" s="58">
        <f t="array" ref="BV228">SUM(IF(BS228:BT228&gt;=BS228, 1))</f>
        <v>2</v>
      </c>
      <c r="BW228" s="58">
        <f t="array" ref="BW228">SUM(IF(BS228:BT228&gt;=BT228, 1))</f>
        <v>1</v>
      </c>
      <c r="BY228" s="109">
        <f t="shared" si="119"/>
        <v>135145.37194559746</v>
      </c>
      <c r="BZ228" s="109">
        <f t="shared" si="120"/>
        <v>135487.2531168533</v>
      </c>
      <c r="CB228" s="58">
        <f t="array" ref="CB228">SUM(IF(BY228:BZ228&gt;=BY228, 1))</f>
        <v>2</v>
      </c>
      <c r="CC228" s="58">
        <f t="array" ref="CC228">SUM(IF(BY228:BZ228&gt;=BZ228, 1))</f>
        <v>1</v>
      </c>
      <c r="CE228" s="109">
        <f t="shared" si="121"/>
        <v>91989.940395257843</v>
      </c>
      <c r="CF228" s="109">
        <f t="shared" si="122"/>
        <v>95307.030331151225</v>
      </c>
      <c r="CH228" s="58">
        <f t="array" ref="CH228">SUM(IF(CE228:CF228&gt;=CE228, 1))</f>
        <v>2</v>
      </c>
      <c r="CI228" s="58">
        <f t="array" ref="CI228">SUM(IF(CE228:CF228&gt;=CF228, 1))</f>
        <v>1</v>
      </c>
      <c r="CK228" s="109">
        <f t="shared" si="123"/>
        <v>43836.312497447245</v>
      </c>
      <c r="CL228" s="109">
        <f t="shared" si="124"/>
        <v>44691.100135821544</v>
      </c>
      <c r="CN228" s="58">
        <f t="array" ref="CN228">SUM(IF(CK228:CL228&gt;=CK228, 1))</f>
        <v>2</v>
      </c>
      <c r="CO228" s="58">
        <f t="array" ref="CO228">SUM(IF(CK228:CL228&gt;=CL228, 1))</f>
        <v>1</v>
      </c>
      <c r="CQ228" s="109" cm="1">
        <f t="array" ref="CQ228">AF228*WTP-AC228</f>
        <v>23381.250410850153</v>
      </c>
      <c r="CR228" s="109">
        <f t="shared" si="125"/>
        <v>25371.688009669269</v>
      </c>
      <c r="CT228" s="58">
        <f t="array" ref="CT228">SUM(IF(CQ228:CR228&gt;=CQ228, 1))</f>
        <v>2</v>
      </c>
      <c r="CU228" s="58">
        <f t="array" ref="CU228">SUM(IF(CQ228:CR228&gt;=CR228, 1))</f>
        <v>1</v>
      </c>
      <c r="CW228" s="109">
        <f t="shared" si="126"/>
        <v>-41654923.919150323</v>
      </c>
      <c r="CX228" s="109">
        <f t="shared" si="127"/>
        <v>0</v>
      </c>
      <c r="CZ228" s="58">
        <f t="array" ref="CZ228">SUM(IF(CW228:CX228&gt;=CW228, 1))</f>
        <v>2</v>
      </c>
      <c r="DA228" s="58">
        <f t="array" ref="DA228">SUM(IF(CW228:CX228&gt;=CX228, 1))</f>
        <v>1</v>
      </c>
      <c r="DC228" s="109">
        <f t="shared" si="128"/>
        <v>-2394409.9045110308</v>
      </c>
      <c r="DD228" s="109">
        <f t="shared" si="129"/>
        <v>0</v>
      </c>
      <c r="DF228" s="58">
        <f t="array" ref="DF228">SUM(IF(DC228:DD228&gt;=DC228, 1))</f>
        <v>2</v>
      </c>
      <c r="DG228" s="58">
        <f t="array" ref="DG228">SUM(IF(DC228:DD228&gt;=DD228, 1))</f>
        <v>1</v>
      </c>
      <c r="DI228" s="109">
        <f t="shared" si="130"/>
        <v>-78088562.515432954</v>
      </c>
      <c r="DJ228" s="109">
        <f t="shared" si="131"/>
        <v>0</v>
      </c>
      <c r="DL228" s="58">
        <f t="array" ref="DL228">SUM(IF(DI228:DJ228&gt;=DI228, 1))</f>
        <v>2</v>
      </c>
      <c r="DM228" s="58">
        <f t="array" ref="DM228">SUM(IF(DI228:DJ228&gt;=DJ228, 1))</f>
        <v>1</v>
      </c>
      <c r="DO228" s="109">
        <f t="shared" si="132"/>
        <v>-7696953.0416687708</v>
      </c>
      <c r="DP228" s="109">
        <f t="shared" si="133"/>
        <v>0</v>
      </c>
      <c r="DR228" s="58">
        <f t="array" ref="DR228">SUM(IF(DO228:DP228&gt;=DO228, 1))</f>
        <v>2</v>
      </c>
      <c r="DS228" s="58">
        <f t="array" ref="DS228">SUM(IF(DO228:DP228&gt;=DP228, 1))</f>
        <v>1</v>
      </c>
      <c r="DU228" s="109">
        <f t="shared" si="134"/>
        <v>-31568003.089954264</v>
      </c>
      <c r="DV228" s="109">
        <f t="shared" si="135"/>
        <v>0</v>
      </c>
      <c r="DX228" s="58">
        <f t="array" ref="DX228">SUM(IF(DU228:DV228&gt;=DU228, 1))</f>
        <v>2</v>
      </c>
      <c r="DY228" s="58">
        <f t="array" ref="DY228">SUM(IF(DU228:DV228&gt;=DV228, 1))</f>
        <v>1</v>
      </c>
      <c r="EA228" s="109">
        <f t="shared" si="136"/>
        <v>-161402852.47071731</v>
      </c>
      <c r="EB228" s="109">
        <f t="shared" si="137"/>
        <v>0</v>
      </c>
      <c r="ED228" s="58">
        <f t="array" ref="ED228">SUM(IF(EA228:EB228&gt;=EA228, 1))</f>
        <v>2</v>
      </c>
      <c r="EE228" s="58">
        <f t="array" ref="EE228">SUM(IF(EA228:EB228&gt;=EB228, 1))</f>
        <v>1</v>
      </c>
    </row>
    <row r="229" spans="4:135" ht="12" customHeight="1" x14ac:dyDescent="0.25">
      <c r="D229" s="11">
        <v>213</v>
      </c>
      <c r="E229" s="72">
        <v>260.75086354751807</v>
      </c>
      <c r="F229" s="72">
        <v>228.66460695723723</v>
      </c>
      <c r="G229" s="73"/>
      <c r="H229" s="74">
        <v>5.8852819369105038</v>
      </c>
      <c r="I229" s="74">
        <v>5.9064893096621951</v>
      </c>
      <c r="J229" s="73"/>
      <c r="K229" s="72">
        <v>279.46598798247464</v>
      </c>
      <c r="L229" s="72">
        <v>246.61711245724368</v>
      </c>
      <c r="M229" s="73"/>
      <c r="N229" s="74">
        <v>6.7370266142493458</v>
      </c>
      <c r="O229" s="74">
        <v>6.7555123547172533</v>
      </c>
      <c r="P229" s="73"/>
      <c r="Q229" s="72">
        <v>3069.1791144649087</v>
      </c>
      <c r="R229" s="72">
        <v>1596.2778687236394</v>
      </c>
      <c r="S229" s="73"/>
      <c r="T229" s="74">
        <v>4.8249104414138806</v>
      </c>
      <c r="U229" s="74">
        <v>4.9298554505221226</v>
      </c>
      <c r="V229" s="73"/>
      <c r="W229" s="72">
        <v>6910.6283406565044</v>
      </c>
      <c r="X229" s="72">
        <v>6903.7444553945825</v>
      </c>
      <c r="Y229" s="73"/>
      <c r="Z229" s="74">
        <v>3.0756081276875431</v>
      </c>
      <c r="AA229" s="74">
        <v>3.1053308887184765</v>
      </c>
      <c r="AB229" s="73"/>
      <c r="AC229" s="72">
        <v>48725.171211719971</v>
      </c>
      <c r="AD229" s="72">
        <v>48567.099626855284</v>
      </c>
      <c r="AE229" s="73"/>
      <c r="AF229" s="74">
        <v>4.8928752921840539</v>
      </c>
      <c r="AG229" s="74">
        <v>4.9901639092958723</v>
      </c>
      <c r="AH229" s="73"/>
      <c r="AI229" s="72">
        <v>3439877.5611899588</v>
      </c>
      <c r="AJ229" s="72">
        <v>0</v>
      </c>
      <c r="AK229" s="73"/>
      <c r="AL229" s="74">
        <v>-2273.5829421258027</v>
      </c>
      <c r="AM229" s="74">
        <v>0</v>
      </c>
      <c r="AN229" s="73"/>
      <c r="AO229" s="72">
        <v>233520.46536999932</v>
      </c>
      <c r="AP229" s="72">
        <v>0</v>
      </c>
      <c r="AQ229" s="73"/>
      <c r="AR229" s="74">
        <v>-131.41389614567152</v>
      </c>
      <c r="AS229" s="74">
        <v>0</v>
      </c>
      <c r="AT229" s="73"/>
      <c r="AU229" s="72">
        <v>34670942.635052338</v>
      </c>
      <c r="AV229" s="72">
        <v>0</v>
      </c>
      <c r="AW229" s="73"/>
      <c r="AX229" s="74">
        <v>-2470.3233846446565</v>
      </c>
      <c r="AY229" s="74">
        <v>0</v>
      </c>
      <c r="AZ229" s="73"/>
      <c r="BA229" s="72">
        <v>61025.637927225223</v>
      </c>
      <c r="BB229" s="72">
        <v>0</v>
      </c>
      <c r="BC229" s="73"/>
      <c r="BD229" s="74">
        <v>-263.49225529723128</v>
      </c>
      <c r="BE229" s="74">
        <v>0</v>
      </c>
      <c r="BF229" s="73"/>
      <c r="BG229" s="72">
        <v>2537487.424328397</v>
      </c>
      <c r="BH229" s="72">
        <v>0</v>
      </c>
      <c r="BI229" s="73"/>
      <c r="BJ229" s="74">
        <v>-1561.7521812213442</v>
      </c>
      <c r="BK229" s="74">
        <v>0</v>
      </c>
      <c r="BL229" s="73"/>
      <c r="BM229" s="72">
        <v>40942853.723867916</v>
      </c>
      <c r="BN229" s="72">
        <v>0</v>
      </c>
      <c r="BO229" s="73"/>
      <c r="BP229" s="74">
        <v>-6700.5646594347063</v>
      </c>
      <c r="BQ229" s="74">
        <v>0</v>
      </c>
      <c r="BS229" s="109">
        <f t="shared" si="117"/>
        <v>117444.88787466256</v>
      </c>
      <c r="BT229" s="109">
        <f t="shared" si="118"/>
        <v>117901.12158628667</v>
      </c>
      <c r="BV229" s="58">
        <f t="array" ref="BV229">SUM(IF(BS229:BT229&gt;=BS229, 1))</f>
        <v>2</v>
      </c>
      <c r="BW229" s="58">
        <f t="array" ref="BW229">SUM(IF(BS229:BT229&gt;=BT229, 1))</f>
        <v>1</v>
      </c>
      <c r="BY229" s="109">
        <f t="shared" si="119"/>
        <v>134461.06629700447</v>
      </c>
      <c r="BZ229" s="109">
        <f t="shared" si="120"/>
        <v>134863.62998188782</v>
      </c>
      <c r="CB229" s="58">
        <f t="array" ref="CB229">SUM(IF(BY229:BZ229&gt;=BY229, 1))</f>
        <v>2</v>
      </c>
      <c r="CC229" s="58">
        <f t="array" ref="CC229">SUM(IF(BY229:BZ229&gt;=BZ229, 1))</f>
        <v>1</v>
      </c>
      <c r="CE229" s="109">
        <f t="shared" si="121"/>
        <v>93429.029713812706</v>
      </c>
      <c r="CF229" s="109">
        <f t="shared" si="122"/>
        <v>97000.831141718809</v>
      </c>
      <c r="CH229" s="58">
        <f t="array" ref="CH229">SUM(IF(CE229:CF229&gt;=CE229, 1))</f>
        <v>2</v>
      </c>
      <c r="CI229" s="58">
        <f t="array" ref="CI229">SUM(IF(CE229:CF229&gt;=CF229, 1))</f>
        <v>1</v>
      </c>
      <c r="CK229" s="109">
        <f t="shared" si="123"/>
        <v>54601.534213094354</v>
      </c>
      <c r="CL229" s="109">
        <f t="shared" si="124"/>
        <v>55202.873318974947</v>
      </c>
      <c r="CN229" s="58">
        <f t="array" ref="CN229">SUM(IF(CK229:CL229&gt;=CK229, 1))</f>
        <v>2</v>
      </c>
      <c r="CO229" s="58">
        <f t="array" ref="CO229">SUM(IF(CK229:CL229&gt;=CL229, 1))</f>
        <v>1</v>
      </c>
      <c r="CQ229" s="109" cm="1">
        <f t="array" ref="CQ229">AF229*WTP-AC229</f>
        <v>49132.334631961108</v>
      </c>
      <c r="CR229" s="109">
        <f t="shared" si="125"/>
        <v>51236.178559062158</v>
      </c>
      <c r="CT229" s="58">
        <f t="array" ref="CT229">SUM(IF(CQ229:CR229&gt;=CQ229, 1))</f>
        <v>2</v>
      </c>
      <c r="CU229" s="58">
        <f t="array" ref="CU229">SUM(IF(CQ229:CR229&gt;=CR229, 1))</f>
        <v>1</v>
      </c>
      <c r="CW229" s="109">
        <f t="shared" si="126"/>
        <v>-48911536.403706014</v>
      </c>
      <c r="CX229" s="109">
        <f t="shared" si="127"/>
        <v>0</v>
      </c>
      <c r="CZ229" s="58">
        <f t="array" ref="CZ229">SUM(IF(CW229:CX229&gt;=CW229, 1))</f>
        <v>2</v>
      </c>
      <c r="DA229" s="58">
        <f t="array" ref="DA229">SUM(IF(CW229:CX229&gt;=CX229, 1))</f>
        <v>1</v>
      </c>
      <c r="DC229" s="109">
        <f t="shared" si="128"/>
        <v>-2861798.3882834297</v>
      </c>
      <c r="DD229" s="109">
        <f t="shared" si="129"/>
        <v>0</v>
      </c>
      <c r="DF229" s="58">
        <f t="array" ref="DF229">SUM(IF(DC229:DD229&gt;=DC229, 1))</f>
        <v>2</v>
      </c>
      <c r="DG229" s="58">
        <f t="array" ref="DG229">SUM(IF(DC229:DD229&gt;=DD229, 1))</f>
        <v>1</v>
      </c>
      <c r="DI229" s="109">
        <f t="shared" si="130"/>
        <v>-84077410.327945471</v>
      </c>
      <c r="DJ229" s="109">
        <f t="shared" si="131"/>
        <v>0</v>
      </c>
      <c r="DL229" s="58">
        <f t="array" ref="DL229">SUM(IF(DI229:DJ229&gt;=DI229, 1))</f>
        <v>2</v>
      </c>
      <c r="DM229" s="58">
        <f t="array" ref="DM229">SUM(IF(DI229:DJ229&gt;=DJ229, 1))</f>
        <v>1</v>
      </c>
      <c r="DO229" s="109">
        <f t="shared" si="132"/>
        <v>-5330870.7438718509</v>
      </c>
      <c r="DP229" s="109">
        <f t="shared" si="133"/>
        <v>0</v>
      </c>
      <c r="DR229" s="58">
        <f t="array" ref="DR229">SUM(IF(DO229:DP229&gt;=DO229, 1))</f>
        <v>2</v>
      </c>
      <c r="DS229" s="58">
        <f t="array" ref="DS229">SUM(IF(DO229:DP229&gt;=DP229, 1))</f>
        <v>1</v>
      </c>
      <c r="DU229" s="109">
        <f t="shared" si="134"/>
        <v>-33772531.048755281</v>
      </c>
      <c r="DV229" s="109">
        <f t="shared" si="135"/>
        <v>0</v>
      </c>
      <c r="DX229" s="58">
        <f t="array" ref="DX229">SUM(IF(DU229:DV229&gt;=DU229, 1))</f>
        <v>2</v>
      </c>
      <c r="DY229" s="58">
        <f t="array" ref="DY229">SUM(IF(DU229:DV229&gt;=DV229, 1))</f>
        <v>1</v>
      </c>
      <c r="EA229" s="109">
        <f t="shared" si="136"/>
        <v>-174954146.91256204</v>
      </c>
      <c r="EB229" s="109">
        <f t="shared" si="137"/>
        <v>0</v>
      </c>
      <c r="ED229" s="58">
        <f t="array" ref="ED229">SUM(IF(EA229:EB229&gt;=EA229, 1))</f>
        <v>2</v>
      </c>
      <c r="EE229" s="58">
        <f t="array" ref="EE229">SUM(IF(EA229:EB229&gt;=EB229, 1))</f>
        <v>1</v>
      </c>
    </row>
    <row r="230" spans="4:135" ht="12" customHeight="1" x14ac:dyDescent="0.25">
      <c r="D230" s="11">
        <v>214</v>
      </c>
      <c r="E230" s="72">
        <v>248.15828364525902</v>
      </c>
      <c r="F230" s="72">
        <v>214.4196218397681</v>
      </c>
      <c r="G230" s="73"/>
      <c r="H230" s="74">
        <v>5.8870211295816341</v>
      </c>
      <c r="I230" s="74">
        <v>5.9044434010044746</v>
      </c>
      <c r="J230" s="73"/>
      <c r="K230" s="72">
        <v>265.70860519032755</v>
      </c>
      <c r="L230" s="72">
        <v>231.17535507374652</v>
      </c>
      <c r="M230" s="73"/>
      <c r="N230" s="74">
        <v>6.6506287811405747</v>
      </c>
      <c r="O230" s="74">
        <v>6.6650399635310729</v>
      </c>
      <c r="P230" s="73"/>
      <c r="Q230" s="72">
        <v>1967.936305765995</v>
      </c>
      <c r="R230" s="72">
        <v>1193.0968913350566</v>
      </c>
      <c r="S230" s="73"/>
      <c r="T230" s="74">
        <v>4.8882255331330136</v>
      </c>
      <c r="U230" s="74">
        <v>4.9616090932314378</v>
      </c>
      <c r="V230" s="73"/>
      <c r="W230" s="72">
        <v>14276.294520420037</v>
      </c>
      <c r="X230" s="72">
        <v>14257.822004558069</v>
      </c>
      <c r="Y230" s="73"/>
      <c r="Z230" s="74">
        <v>2.9938128880062984</v>
      </c>
      <c r="AA230" s="74">
        <v>3.0501604355456275</v>
      </c>
      <c r="AB230" s="73"/>
      <c r="AC230" s="72">
        <v>50705.534164645345</v>
      </c>
      <c r="AD230" s="72">
        <v>50391.131139660603</v>
      </c>
      <c r="AE230" s="73"/>
      <c r="AF230" s="74">
        <v>5.0370105427181819</v>
      </c>
      <c r="AG230" s="74">
        <v>5.1605626504341329</v>
      </c>
      <c r="AH230" s="73"/>
      <c r="AI230" s="72">
        <v>3602058.8628601274</v>
      </c>
      <c r="AJ230" s="72">
        <v>0</v>
      </c>
      <c r="AK230" s="73"/>
      <c r="AL230" s="74">
        <v>-1860.0633170217732</v>
      </c>
      <c r="AM230" s="74">
        <v>0</v>
      </c>
      <c r="AN230" s="73"/>
      <c r="AO230" s="72">
        <v>241444.32453763133</v>
      </c>
      <c r="AP230" s="72">
        <v>0</v>
      </c>
      <c r="AQ230" s="73"/>
      <c r="AR230" s="74">
        <v>-100.75791262959574</v>
      </c>
      <c r="AS230" s="74">
        <v>0</v>
      </c>
      <c r="AT230" s="73"/>
      <c r="AU230" s="72">
        <v>17922384.425146855</v>
      </c>
      <c r="AV230" s="72">
        <v>0</v>
      </c>
      <c r="AW230" s="73"/>
      <c r="AX230" s="74">
        <v>-1697.3947763560141</v>
      </c>
      <c r="AY230" s="74">
        <v>0</v>
      </c>
      <c r="AZ230" s="73"/>
      <c r="BA230" s="72">
        <v>169098.61694994991</v>
      </c>
      <c r="BB230" s="72">
        <v>0</v>
      </c>
      <c r="BC230" s="73"/>
      <c r="BD230" s="74">
        <v>-515.80913117739192</v>
      </c>
      <c r="BE230" s="74">
        <v>0</v>
      </c>
      <c r="BF230" s="73"/>
      <c r="BG230" s="72">
        <v>4989852.6194885308</v>
      </c>
      <c r="BH230" s="72">
        <v>0</v>
      </c>
      <c r="BI230" s="73"/>
      <c r="BJ230" s="74">
        <v>-1960.880651067801</v>
      </c>
      <c r="BK230" s="74">
        <v>0</v>
      </c>
      <c r="BL230" s="73"/>
      <c r="BM230" s="72">
        <v>26924838.848983094</v>
      </c>
      <c r="BN230" s="72">
        <v>0</v>
      </c>
      <c r="BO230" s="73"/>
      <c r="BP230" s="74">
        <v>-6134.9057882525758</v>
      </c>
      <c r="BQ230" s="74">
        <v>0</v>
      </c>
      <c r="BS230" s="109">
        <f t="shared" si="117"/>
        <v>117492.26430798743</v>
      </c>
      <c r="BT230" s="109">
        <f t="shared" si="118"/>
        <v>117874.44839824972</v>
      </c>
      <c r="BV230" s="58">
        <f t="array" ref="BV230">SUM(IF(BS230:BT230&gt;=BS230, 1))</f>
        <v>2</v>
      </c>
      <c r="BW230" s="58">
        <f t="array" ref="BW230">SUM(IF(BS230:BT230&gt;=BT230, 1))</f>
        <v>1</v>
      </c>
      <c r="BY230" s="109">
        <f t="shared" si="119"/>
        <v>132746.86701762117</v>
      </c>
      <c r="BZ230" s="109">
        <f t="shared" si="120"/>
        <v>133069.62391554774</v>
      </c>
      <c r="CB230" s="58">
        <f t="array" ref="CB230">SUM(IF(BY230:BZ230&gt;=BY230, 1))</f>
        <v>2</v>
      </c>
      <c r="CC230" s="58">
        <f t="array" ref="CC230">SUM(IF(BY230:BZ230&gt;=BZ230, 1))</f>
        <v>1</v>
      </c>
      <c r="CE230" s="109">
        <f t="shared" si="121"/>
        <v>95796.574356894271</v>
      </c>
      <c r="CF230" s="109">
        <f t="shared" si="122"/>
        <v>98039.084973293706</v>
      </c>
      <c r="CH230" s="58">
        <f t="array" ref="CH230">SUM(IF(CE230:CF230&gt;=CE230, 1))</f>
        <v>2</v>
      </c>
      <c r="CI230" s="58">
        <f t="array" ref="CI230">SUM(IF(CE230:CF230&gt;=CF230, 1))</f>
        <v>1</v>
      </c>
      <c r="CK230" s="109">
        <f t="shared" si="123"/>
        <v>45599.963239705932</v>
      </c>
      <c r="CL230" s="109">
        <f t="shared" si="124"/>
        <v>46745.386706354482</v>
      </c>
      <c r="CN230" s="58">
        <f t="array" ref="CN230">SUM(IF(CK230:CL230&gt;=CK230, 1))</f>
        <v>2</v>
      </c>
      <c r="CO230" s="58">
        <f t="array" ref="CO230">SUM(IF(CK230:CL230&gt;=CL230, 1))</f>
        <v>1</v>
      </c>
      <c r="CQ230" s="109" cm="1">
        <f t="array" ref="CQ230">AF230*WTP-AC230</f>
        <v>50034.676689718297</v>
      </c>
      <c r="CR230" s="109">
        <f t="shared" si="125"/>
        <v>52820.121869022056</v>
      </c>
      <c r="CT230" s="58">
        <f t="array" ref="CT230">SUM(IF(CQ230:CR230&gt;=CQ230, 1))</f>
        <v>2</v>
      </c>
      <c r="CU230" s="58">
        <f t="array" ref="CU230">SUM(IF(CQ230:CR230&gt;=CR230, 1))</f>
        <v>1</v>
      </c>
      <c r="CW230" s="109">
        <f t="shared" si="126"/>
        <v>-40803325.203295588</v>
      </c>
      <c r="CX230" s="109">
        <f t="shared" si="127"/>
        <v>0</v>
      </c>
      <c r="CZ230" s="58">
        <f t="array" ref="CZ230">SUM(IF(CW230:CX230&gt;=CW230, 1))</f>
        <v>2</v>
      </c>
      <c r="DA230" s="58">
        <f t="array" ref="DA230">SUM(IF(CW230:CX230&gt;=CX230, 1))</f>
        <v>1</v>
      </c>
      <c r="DC230" s="109">
        <f t="shared" si="128"/>
        <v>-2256602.5771295461</v>
      </c>
      <c r="DD230" s="109">
        <f t="shared" si="129"/>
        <v>0</v>
      </c>
      <c r="DF230" s="58">
        <f t="array" ref="DF230">SUM(IF(DC230:DD230&gt;=DC230, 1))</f>
        <v>2</v>
      </c>
      <c r="DG230" s="58">
        <f t="array" ref="DG230">SUM(IF(DC230:DD230&gt;=DD230, 1))</f>
        <v>1</v>
      </c>
      <c r="DI230" s="109">
        <f t="shared" si="130"/>
        <v>-51870279.95226714</v>
      </c>
      <c r="DJ230" s="109">
        <f t="shared" si="131"/>
        <v>0</v>
      </c>
      <c r="DL230" s="58">
        <f t="array" ref="DL230">SUM(IF(DI230:DJ230&gt;=DI230, 1))</f>
        <v>2</v>
      </c>
      <c r="DM230" s="58">
        <f t="array" ref="DM230">SUM(IF(DI230:DJ230&gt;=DJ230, 1))</f>
        <v>1</v>
      </c>
      <c r="DO230" s="109">
        <f t="shared" si="132"/>
        <v>-10485281.240497788</v>
      </c>
      <c r="DP230" s="109">
        <f t="shared" si="133"/>
        <v>0</v>
      </c>
      <c r="DR230" s="58">
        <f t="array" ref="DR230">SUM(IF(DO230:DP230&gt;=DO230, 1))</f>
        <v>2</v>
      </c>
      <c r="DS230" s="58">
        <f t="array" ref="DS230">SUM(IF(DO230:DP230&gt;=DP230, 1))</f>
        <v>1</v>
      </c>
      <c r="DU230" s="109">
        <f t="shared" si="134"/>
        <v>-44207465.640844546</v>
      </c>
      <c r="DV230" s="109">
        <f t="shared" si="135"/>
        <v>0</v>
      </c>
      <c r="DX230" s="58">
        <f t="array" ref="DX230">SUM(IF(DU230:DV230&gt;=DU230, 1))</f>
        <v>2</v>
      </c>
      <c r="DY230" s="58">
        <f t="array" ref="DY230">SUM(IF(DU230:DV230&gt;=DV230, 1))</f>
        <v>1</v>
      </c>
      <c r="EA230" s="109">
        <f t="shared" si="136"/>
        <v>-149622954.61403459</v>
      </c>
      <c r="EB230" s="109">
        <f t="shared" si="137"/>
        <v>0</v>
      </c>
      <c r="ED230" s="58">
        <f t="array" ref="ED230">SUM(IF(EA230:EB230&gt;=EA230, 1))</f>
        <v>2</v>
      </c>
      <c r="EE230" s="58">
        <f t="array" ref="EE230">SUM(IF(EA230:EB230&gt;=EB230, 1))</f>
        <v>1</v>
      </c>
    </row>
    <row r="231" spans="4:135" ht="12" customHeight="1" x14ac:dyDescent="0.25">
      <c r="D231" s="11">
        <v>215</v>
      </c>
      <c r="E231" s="72">
        <v>229.70144544509452</v>
      </c>
      <c r="F231" s="72">
        <v>194.68983085435653</v>
      </c>
      <c r="G231" s="73"/>
      <c r="H231" s="74">
        <v>5.8711404880536815</v>
      </c>
      <c r="I231" s="74">
        <v>5.8906828831802915</v>
      </c>
      <c r="J231" s="73"/>
      <c r="K231" s="72">
        <v>245.67880404314954</v>
      </c>
      <c r="L231" s="72">
        <v>209.82478758765174</v>
      </c>
      <c r="M231" s="73"/>
      <c r="N231" s="74">
        <v>6.7357869398391648</v>
      </c>
      <c r="O231" s="74">
        <v>6.7530533709763239</v>
      </c>
      <c r="P231" s="73"/>
      <c r="Q231" s="72">
        <v>1157.9347346777652</v>
      </c>
      <c r="R231" s="72">
        <v>760.45679617430642</v>
      </c>
      <c r="S231" s="73"/>
      <c r="T231" s="74">
        <v>4.7722329441441698</v>
      </c>
      <c r="U231" s="74">
        <v>4.8583009504907952</v>
      </c>
      <c r="V231" s="73"/>
      <c r="W231" s="72">
        <v>8182.4814792961888</v>
      </c>
      <c r="X231" s="72">
        <v>8175.8959811158256</v>
      </c>
      <c r="Y231" s="73"/>
      <c r="Z231" s="74">
        <v>3.0069163446045679</v>
      </c>
      <c r="AA231" s="74">
        <v>3.056562783964647</v>
      </c>
      <c r="AB231" s="73"/>
      <c r="AC231" s="72">
        <v>50590.314737715089</v>
      </c>
      <c r="AD231" s="72">
        <v>50197.508321465175</v>
      </c>
      <c r="AE231" s="73"/>
      <c r="AF231" s="74">
        <v>4.2470397430674129</v>
      </c>
      <c r="AG231" s="74">
        <v>4.366836830253086</v>
      </c>
      <c r="AH231" s="73"/>
      <c r="AI231" s="72">
        <v>3740221.2932713176</v>
      </c>
      <c r="AJ231" s="72">
        <v>0</v>
      </c>
      <c r="AK231" s="73"/>
      <c r="AL231" s="74">
        <v>-2087.6752822877406</v>
      </c>
      <c r="AM231" s="74">
        <v>0</v>
      </c>
      <c r="AN231" s="73"/>
      <c r="AO231" s="72">
        <v>243876.52671599499</v>
      </c>
      <c r="AP231" s="72">
        <v>0</v>
      </c>
      <c r="AQ231" s="73"/>
      <c r="AR231" s="74">
        <v>-117.44506392297303</v>
      </c>
      <c r="AS231" s="74">
        <v>0</v>
      </c>
      <c r="AT231" s="73"/>
      <c r="AU231" s="72">
        <v>9239041.4523598216</v>
      </c>
      <c r="AV231" s="72">
        <v>0</v>
      </c>
      <c r="AW231" s="73"/>
      <c r="AX231" s="74">
        <v>-2000.578651867798</v>
      </c>
      <c r="AY231" s="74">
        <v>0</v>
      </c>
      <c r="AZ231" s="73"/>
      <c r="BA231" s="72">
        <v>60191.852415239031</v>
      </c>
      <c r="BB231" s="72">
        <v>0</v>
      </c>
      <c r="BC231" s="73"/>
      <c r="BD231" s="74">
        <v>-453.77146406548627</v>
      </c>
      <c r="BE231" s="74">
        <v>0</v>
      </c>
      <c r="BF231" s="73"/>
      <c r="BG231" s="72">
        <v>6115803.4122267859</v>
      </c>
      <c r="BH231" s="72">
        <v>0</v>
      </c>
      <c r="BI231" s="73"/>
      <c r="BJ231" s="74">
        <v>-1865.1819427481905</v>
      </c>
      <c r="BK231" s="74">
        <v>0</v>
      </c>
      <c r="BL231" s="73"/>
      <c r="BM231" s="72">
        <v>19399134.53698916</v>
      </c>
      <c r="BN231" s="72">
        <v>0</v>
      </c>
      <c r="BO231" s="73"/>
      <c r="BP231" s="74">
        <v>-6524.6524048921883</v>
      </c>
      <c r="BQ231" s="74">
        <v>0</v>
      </c>
      <c r="BS231" s="109">
        <f t="shared" si="117"/>
        <v>117193.10831562853</v>
      </c>
      <c r="BT231" s="109">
        <f t="shared" si="118"/>
        <v>117618.96783275147</v>
      </c>
      <c r="BV231" s="58">
        <f t="array" ref="BV231">SUM(IF(BS231:BT231&gt;=BS231, 1))</f>
        <v>2</v>
      </c>
      <c r="BW231" s="58">
        <f t="array" ref="BW231">SUM(IF(BS231:BT231&gt;=BT231, 1))</f>
        <v>1</v>
      </c>
      <c r="BY231" s="109">
        <f t="shared" si="119"/>
        <v>134470.05999274013</v>
      </c>
      <c r="BZ231" s="109">
        <f t="shared" si="120"/>
        <v>134851.24263193883</v>
      </c>
      <c r="CB231" s="58">
        <f t="array" ref="CB231">SUM(IF(BY231:BZ231&gt;=BY231, 1))</f>
        <v>2</v>
      </c>
      <c r="CC231" s="58">
        <f t="array" ref="CC231">SUM(IF(BY231:BZ231&gt;=BZ231, 1))</f>
        <v>1</v>
      </c>
      <c r="CE231" s="109">
        <f t="shared" si="121"/>
        <v>94286.724148205627</v>
      </c>
      <c r="CF231" s="109">
        <f t="shared" si="122"/>
        <v>96405.562213641606</v>
      </c>
      <c r="CH231" s="58">
        <f t="array" ref="CH231">SUM(IF(CE231:CF231&gt;=CE231, 1))</f>
        <v>2</v>
      </c>
      <c r="CI231" s="58">
        <f t="array" ref="CI231">SUM(IF(CE231:CF231&gt;=CF231, 1))</f>
        <v>1</v>
      </c>
      <c r="CK231" s="109">
        <f t="shared" si="123"/>
        <v>51955.84541279517</v>
      </c>
      <c r="CL231" s="109">
        <f t="shared" si="124"/>
        <v>52955.359698177112</v>
      </c>
      <c r="CN231" s="58">
        <f t="array" ref="CN231">SUM(IF(CK231:CL231&gt;=CK231, 1))</f>
        <v>2</v>
      </c>
      <c r="CO231" s="58">
        <f t="array" ref="CO231">SUM(IF(CK231:CL231&gt;=CL231, 1))</f>
        <v>1</v>
      </c>
      <c r="CQ231" s="109" cm="1">
        <f t="array" ref="CQ231">AF231*WTP-AC231</f>
        <v>34350.48012363317</v>
      </c>
      <c r="CR231" s="109">
        <f t="shared" si="125"/>
        <v>37139.228283596538</v>
      </c>
      <c r="CT231" s="58">
        <f t="array" ref="CT231">SUM(IF(CQ231:CR231&gt;=CQ231, 1))</f>
        <v>2</v>
      </c>
      <c r="CU231" s="58">
        <f t="array" ref="CU231">SUM(IF(CQ231:CR231&gt;=CR231, 1))</f>
        <v>1</v>
      </c>
      <c r="CW231" s="109">
        <f t="shared" si="126"/>
        <v>-45493726.939026132</v>
      </c>
      <c r="CX231" s="109">
        <f t="shared" si="127"/>
        <v>0</v>
      </c>
      <c r="CZ231" s="58">
        <f t="array" ref="CZ231">SUM(IF(CW231:CX231&gt;=CW231, 1))</f>
        <v>2</v>
      </c>
      <c r="DA231" s="58">
        <f t="array" ref="DA231">SUM(IF(CW231:CX231&gt;=CX231, 1))</f>
        <v>1</v>
      </c>
      <c r="DC231" s="109">
        <f t="shared" si="128"/>
        <v>-2592777.8051754553</v>
      </c>
      <c r="DD231" s="109">
        <f t="shared" si="129"/>
        <v>0</v>
      </c>
      <c r="DF231" s="58">
        <f t="array" ref="DF231">SUM(IF(DC231:DD231&gt;=DC231, 1))</f>
        <v>2</v>
      </c>
      <c r="DG231" s="58">
        <f t="array" ref="DG231">SUM(IF(DC231:DD231&gt;=DD231, 1))</f>
        <v>1</v>
      </c>
      <c r="DI231" s="109">
        <f t="shared" si="130"/>
        <v>-49250614.489715785</v>
      </c>
      <c r="DJ231" s="109">
        <f t="shared" si="131"/>
        <v>0</v>
      </c>
      <c r="DL231" s="58">
        <f t="array" ref="DL231">SUM(IF(DI231:DJ231&gt;=DI231, 1))</f>
        <v>2</v>
      </c>
      <c r="DM231" s="58">
        <f t="array" ref="DM231">SUM(IF(DI231:DJ231&gt;=DJ231, 1))</f>
        <v>1</v>
      </c>
      <c r="DO231" s="109">
        <f t="shared" si="132"/>
        <v>-9135621.1337249652</v>
      </c>
      <c r="DP231" s="109">
        <f t="shared" si="133"/>
        <v>0</v>
      </c>
      <c r="DR231" s="58">
        <f t="array" ref="DR231">SUM(IF(DO231:DP231&gt;=DO231, 1))</f>
        <v>2</v>
      </c>
      <c r="DS231" s="58">
        <f t="array" ref="DS231">SUM(IF(DO231:DP231&gt;=DP231, 1))</f>
        <v>1</v>
      </c>
      <c r="DU231" s="109">
        <f t="shared" si="134"/>
        <v>-43419442.267190598</v>
      </c>
      <c r="DV231" s="109">
        <f t="shared" si="135"/>
        <v>0</v>
      </c>
      <c r="DX231" s="58">
        <f t="array" ref="DX231">SUM(IF(DU231:DV231&gt;=DU231, 1))</f>
        <v>2</v>
      </c>
      <c r="DY231" s="58">
        <f t="array" ref="DY231">SUM(IF(DU231:DV231&gt;=DV231, 1))</f>
        <v>1</v>
      </c>
      <c r="EA231" s="109">
        <f t="shared" si="136"/>
        <v>-149892182.63483292</v>
      </c>
      <c r="EB231" s="109">
        <f t="shared" si="137"/>
        <v>0</v>
      </c>
      <c r="ED231" s="58">
        <f t="array" ref="ED231">SUM(IF(EA231:EB231&gt;=EA231, 1))</f>
        <v>2</v>
      </c>
      <c r="EE231" s="58">
        <f t="array" ref="EE231">SUM(IF(EA231:EB231&gt;=EB231, 1))</f>
        <v>1</v>
      </c>
    </row>
    <row r="232" spans="4:135" ht="12" customHeight="1" x14ac:dyDescent="0.25">
      <c r="D232" s="11">
        <v>216</v>
      </c>
      <c r="E232" s="72">
        <v>235.04263633997658</v>
      </c>
      <c r="F232" s="72">
        <v>201.89220732841221</v>
      </c>
      <c r="G232" s="73"/>
      <c r="H232" s="74">
        <v>5.7970366636731754</v>
      </c>
      <c r="I232" s="74">
        <v>5.8143385584970746</v>
      </c>
      <c r="J232" s="73"/>
      <c r="K232" s="72">
        <v>251.48687171186305</v>
      </c>
      <c r="L232" s="72">
        <v>217.58328661430411</v>
      </c>
      <c r="M232" s="73"/>
      <c r="N232" s="74">
        <v>6.6933807681227311</v>
      </c>
      <c r="O232" s="74">
        <v>6.7088546173347812</v>
      </c>
      <c r="P232" s="73"/>
      <c r="Q232" s="72">
        <v>2142.0146918529717</v>
      </c>
      <c r="R232" s="72">
        <v>1430.6229763642684</v>
      </c>
      <c r="S232" s="73"/>
      <c r="T232" s="74">
        <v>4.9118813466002136</v>
      </c>
      <c r="U232" s="74">
        <v>4.9939397358904705</v>
      </c>
      <c r="V232" s="73"/>
      <c r="W232" s="72">
        <v>18075.128204083518</v>
      </c>
      <c r="X232" s="72">
        <v>18052.505009252283</v>
      </c>
      <c r="Y232" s="73"/>
      <c r="Z232" s="74">
        <v>2.997223493018573</v>
      </c>
      <c r="AA232" s="74">
        <v>3.0344224426979243</v>
      </c>
      <c r="AB232" s="73"/>
      <c r="AC232" s="72">
        <v>49828.211571491469</v>
      </c>
      <c r="AD232" s="72">
        <v>49820.032700769851</v>
      </c>
      <c r="AE232" s="73"/>
      <c r="AF232" s="74">
        <v>4.5825132613527293</v>
      </c>
      <c r="AG232" s="74">
        <v>4.6881525670833808</v>
      </c>
      <c r="AH232" s="73"/>
      <c r="AI232" s="72">
        <v>3605703.626192431</v>
      </c>
      <c r="AJ232" s="72">
        <v>0</v>
      </c>
      <c r="AK232" s="73"/>
      <c r="AL232" s="74">
        <v>-1881.8913289107225</v>
      </c>
      <c r="AM232" s="74">
        <v>0</v>
      </c>
      <c r="AN232" s="73"/>
      <c r="AO232" s="72">
        <v>227963.43337706951</v>
      </c>
      <c r="AP232" s="72">
        <v>0</v>
      </c>
      <c r="AQ232" s="73"/>
      <c r="AR232" s="74">
        <v>-104.04421195538927</v>
      </c>
      <c r="AS232" s="74">
        <v>0</v>
      </c>
      <c r="AT232" s="73"/>
      <c r="AU232" s="72">
        <v>16682748.543922938</v>
      </c>
      <c r="AV232" s="72">
        <v>0</v>
      </c>
      <c r="AW232" s="73"/>
      <c r="AX232" s="74">
        <v>-1924.3399165932983</v>
      </c>
      <c r="AY232" s="74">
        <v>0</v>
      </c>
      <c r="AZ232" s="73"/>
      <c r="BA232" s="72">
        <v>212685.55490545035</v>
      </c>
      <c r="BB232" s="72">
        <v>0</v>
      </c>
      <c r="BC232" s="73"/>
      <c r="BD232" s="74">
        <v>-349.71538341391238</v>
      </c>
      <c r="BE232" s="74">
        <v>0</v>
      </c>
      <c r="BF232" s="73"/>
      <c r="BG232" s="72">
        <v>130624.94278454718</v>
      </c>
      <c r="BH232" s="72">
        <v>0</v>
      </c>
      <c r="BI232" s="73"/>
      <c r="BJ232" s="74">
        <v>-1687.1679155402157</v>
      </c>
      <c r="BK232" s="74">
        <v>0</v>
      </c>
      <c r="BL232" s="73"/>
      <c r="BM232" s="72">
        <v>20859726.101182438</v>
      </c>
      <c r="BN232" s="72">
        <v>0</v>
      </c>
      <c r="BO232" s="73"/>
      <c r="BP232" s="74">
        <v>-5947.1587564135389</v>
      </c>
      <c r="BQ232" s="74">
        <v>0</v>
      </c>
      <c r="BS232" s="109">
        <f t="shared" si="117"/>
        <v>115705.69063712354</v>
      </c>
      <c r="BT232" s="109">
        <f t="shared" si="118"/>
        <v>116084.87896261307</v>
      </c>
      <c r="BV232" s="58">
        <f t="array" ref="BV232">SUM(IF(BS232:BT232&gt;=BS232, 1))</f>
        <v>2</v>
      </c>
      <c r="BW232" s="58">
        <f t="array" ref="BW232">SUM(IF(BS232:BT232&gt;=BT232, 1))</f>
        <v>1</v>
      </c>
      <c r="BY232" s="109">
        <f t="shared" si="119"/>
        <v>133616.12849074276</v>
      </c>
      <c r="BZ232" s="109">
        <f t="shared" si="120"/>
        <v>133959.50906008133</v>
      </c>
      <c r="CB232" s="58">
        <f t="array" ref="CB232">SUM(IF(BY232:BZ232&gt;=BY232, 1))</f>
        <v>2</v>
      </c>
      <c r="CC232" s="58">
        <f t="array" ref="CC232">SUM(IF(BY232:BZ232&gt;=BZ232, 1))</f>
        <v>1</v>
      </c>
      <c r="CE232" s="109">
        <f t="shared" si="121"/>
        <v>96095.612240151298</v>
      </c>
      <c r="CF232" s="109">
        <f t="shared" si="122"/>
        <v>98448.171741445141</v>
      </c>
      <c r="CH232" s="58">
        <f t="array" ref="CH232">SUM(IF(CE232:CF232&gt;=CE232, 1))</f>
        <v>2</v>
      </c>
      <c r="CI232" s="58">
        <f t="array" ref="CI232">SUM(IF(CE232:CF232&gt;=CF232, 1))</f>
        <v>1</v>
      </c>
      <c r="CK232" s="109">
        <f t="shared" si="123"/>
        <v>41869.341656287943</v>
      </c>
      <c r="CL232" s="109">
        <f t="shared" si="124"/>
        <v>42635.943844706198</v>
      </c>
      <c r="CN232" s="58">
        <f t="array" ref="CN232">SUM(IF(CK232:CL232&gt;=CK232, 1))</f>
        <v>2</v>
      </c>
      <c r="CO232" s="58">
        <f t="array" ref="CO232">SUM(IF(CK232:CL232&gt;=CL232, 1))</f>
        <v>1</v>
      </c>
      <c r="CQ232" s="109" cm="1">
        <f t="array" ref="CQ232">AF232*WTP-AC232</f>
        <v>41822.053655563112</v>
      </c>
      <c r="CR232" s="109">
        <f t="shared" si="125"/>
        <v>43943.018640897761</v>
      </c>
      <c r="CT232" s="58">
        <f t="array" ref="CT232">SUM(IF(CQ232:CR232&gt;=CQ232, 1))</f>
        <v>2</v>
      </c>
      <c r="CU232" s="58">
        <f t="array" ref="CU232">SUM(IF(CQ232:CR232&gt;=CR232, 1))</f>
        <v>1</v>
      </c>
      <c r="CW232" s="109">
        <f t="shared" si="126"/>
        <v>-41243530.20440688</v>
      </c>
      <c r="CX232" s="109">
        <f t="shared" si="127"/>
        <v>0</v>
      </c>
      <c r="CZ232" s="58">
        <f t="array" ref="CZ232">SUM(IF(CW232:CX232&gt;=CW232, 1))</f>
        <v>2</v>
      </c>
      <c r="DA232" s="58">
        <f t="array" ref="DA232">SUM(IF(CW232:CX232&gt;=CX232, 1))</f>
        <v>1</v>
      </c>
      <c r="DC232" s="109">
        <f t="shared" si="128"/>
        <v>-2308847.6724848552</v>
      </c>
      <c r="DD232" s="109">
        <f t="shared" si="129"/>
        <v>0</v>
      </c>
      <c r="DF232" s="58">
        <f t="array" ref="DF232">SUM(IF(DC232:DD232&gt;=DC232, 1))</f>
        <v>2</v>
      </c>
      <c r="DG232" s="58">
        <f t="array" ref="DG232">SUM(IF(DC232:DD232&gt;=DD232, 1))</f>
        <v>1</v>
      </c>
      <c r="DI232" s="109">
        <f t="shared" si="130"/>
        <v>-55169546.875788905</v>
      </c>
      <c r="DJ232" s="109">
        <f t="shared" si="131"/>
        <v>0</v>
      </c>
      <c r="DL232" s="58">
        <f t="array" ref="DL232">SUM(IF(DI232:DJ232&gt;=DI232, 1))</f>
        <v>2</v>
      </c>
      <c r="DM232" s="58">
        <f t="array" ref="DM232">SUM(IF(DI232:DJ232&gt;=DJ232, 1))</f>
        <v>1</v>
      </c>
      <c r="DO232" s="109">
        <f t="shared" si="132"/>
        <v>-7206993.2231836971</v>
      </c>
      <c r="DP232" s="109">
        <f t="shared" si="133"/>
        <v>0</v>
      </c>
      <c r="DR232" s="58">
        <f t="array" ref="DR232">SUM(IF(DO232:DP232&gt;=DO232, 1))</f>
        <v>2</v>
      </c>
      <c r="DS232" s="58">
        <f t="array" ref="DS232">SUM(IF(DO232:DP232&gt;=DP232, 1))</f>
        <v>1</v>
      </c>
      <c r="DU232" s="109">
        <f t="shared" si="134"/>
        <v>-33873983.253588863</v>
      </c>
      <c r="DV232" s="109">
        <f t="shared" si="135"/>
        <v>0</v>
      </c>
      <c r="DX232" s="58">
        <f t="array" ref="DX232">SUM(IF(DU232:DV232&gt;=DU232, 1))</f>
        <v>2</v>
      </c>
      <c r="DY232" s="58">
        <f t="array" ref="DY232">SUM(IF(DU232:DV232&gt;=DV232, 1))</f>
        <v>1</v>
      </c>
      <c r="EA232" s="109">
        <f t="shared" si="136"/>
        <v>-139802901.22945321</v>
      </c>
      <c r="EB232" s="109">
        <f t="shared" si="137"/>
        <v>0</v>
      </c>
      <c r="ED232" s="58">
        <f t="array" ref="ED232">SUM(IF(EA232:EB232&gt;=EA232, 1))</f>
        <v>2</v>
      </c>
      <c r="EE232" s="58">
        <f t="array" ref="EE232">SUM(IF(EA232:EB232&gt;=EB232, 1))</f>
        <v>1</v>
      </c>
    </row>
    <row r="233" spans="4:135" ht="12" customHeight="1" x14ac:dyDescent="0.25">
      <c r="D233" s="11">
        <v>217</v>
      </c>
      <c r="E233" s="72">
        <v>236.05954683913379</v>
      </c>
      <c r="F233" s="72">
        <v>221.63612842245706</v>
      </c>
      <c r="G233" s="73"/>
      <c r="H233" s="74">
        <v>5.863373475791847</v>
      </c>
      <c r="I233" s="74">
        <v>5.8764156077553951</v>
      </c>
      <c r="J233" s="73"/>
      <c r="K233" s="72">
        <v>253.78338556771735</v>
      </c>
      <c r="L233" s="72">
        <v>238.99863474781853</v>
      </c>
      <c r="M233" s="73"/>
      <c r="N233" s="74">
        <v>6.6746299882970783</v>
      </c>
      <c r="O233" s="74">
        <v>6.6856593990913664</v>
      </c>
      <c r="P233" s="73"/>
      <c r="Q233" s="72">
        <v>3523.745141175345</v>
      </c>
      <c r="R233" s="72">
        <v>1565.5767972495667</v>
      </c>
      <c r="S233" s="73"/>
      <c r="T233" s="74">
        <v>4.7680215409496096</v>
      </c>
      <c r="U233" s="74">
        <v>4.8900298137441887</v>
      </c>
      <c r="V233" s="73"/>
      <c r="W233" s="72">
        <v>10855.247507284132</v>
      </c>
      <c r="X233" s="72">
        <v>10865.577372731181</v>
      </c>
      <c r="Y233" s="73"/>
      <c r="Z233" s="74">
        <v>3.0610215849321167</v>
      </c>
      <c r="AA233" s="74">
        <v>3.1162111306554272</v>
      </c>
      <c r="AB233" s="73"/>
      <c r="AC233" s="72">
        <v>50650.591881215689</v>
      </c>
      <c r="AD233" s="72">
        <v>50488.309390564624</v>
      </c>
      <c r="AE233" s="73"/>
      <c r="AF233" s="74">
        <v>3.9282236164207993</v>
      </c>
      <c r="AG233" s="74">
        <v>4.0348050569570981</v>
      </c>
      <c r="AH233" s="73"/>
      <c r="AI233" s="72">
        <v>1554708.5557788687</v>
      </c>
      <c r="AJ233" s="72">
        <v>0</v>
      </c>
      <c r="AK233" s="73"/>
      <c r="AL233" s="74">
        <v>-1405.8188956011156</v>
      </c>
      <c r="AM233" s="74">
        <v>0</v>
      </c>
      <c r="AN233" s="73"/>
      <c r="AO233" s="72">
        <v>105953.01719283921</v>
      </c>
      <c r="AP233" s="72">
        <v>0</v>
      </c>
      <c r="AQ233" s="73"/>
      <c r="AR233" s="74">
        <v>-79.040855388734286</v>
      </c>
      <c r="AS233" s="74">
        <v>0</v>
      </c>
      <c r="AT233" s="73"/>
      <c r="AU233" s="72">
        <v>44842890.465745196</v>
      </c>
      <c r="AV233" s="72">
        <v>0</v>
      </c>
      <c r="AW233" s="73"/>
      <c r="AX233" s="74">
        <v>-2794.0414979200818</v>
      </c>
      <c r="AY233" s="74">
        <v>0</v>
      </c>
      <c r="AZ233" s="73"/>
      <c r="BA233" s="72">
        <v>-92798.956712366518</v>
      </c>
      <c r="BB233" s="72">
        <v>0</v>
      </c>
      <c r="BC233" s="73"/>
      <c r="BD233" s="74">
        <v>-495.79854556728225</v>
      </c>
      <c r="BE233" s="74">
        <v>0</v>
      </c>
      <c r="BF233" s="73"/>
      <c r="BG233" s="72">
        <v>2647421.3154700678</v>
      </c>
      <c r="BH233" s="72">
        <v>0</v>
      </c>
      <c r="BI233" s="73"/>
      <c r="BJ233" s="74">
        <v>-1738.7333431799975</v>
      </c>
      <c r="BK233" s="74">
        <v>0</v>
      </c>
      <c r="BL233" s="73"/>
      <c r="BM233" s="72">
        <v>49058174.397474609</v>
      </c>
      <c r="BN233" s="72">
        <v>0</v>
      </c>
      <c r="BO233" s="73"/>
      <c r="BP233" s="74">
        <v>-6513.4331376572118</v>
      </c>
      <c r="BQ233" s="74">
        <v>0</v>
      </c>
      <c r="BS233" s="109">
        <f t="shared" si="117"/>
        <v>117031.4099689978</v>
      </c>
      <c r="BT233" s="109">
        <f t="shared" si="118"/>
        <v>117306.67602668544</v>
      </c>
      <c r="BV233" s="58">
        <f t="array" ref="BV233">SUM(IF(BS233:BT233&gt;=BS233, 1))</f>
        <v>2</v>
      </c>
      <c r="BW233" s="58">
        <f t="array" ref="BW233">SUM(IF(BS233:BT233&gt;=BT233, 1))</f>
        <v>1</v>
      </c>
      <c r="BY233" s="109">
        <f t="shared" si="119"/>
        <v>133238.81638037384</v>
      </c>
      <c r="BZ233" s="109">
        <f t="shared" si="120"/>
        <v>133474.18934707952</v>
      </c>
      <c r="CB233" s="58">
        <f t="array" ref="CB233">SUM(IF(BY233:BZ233&gt;=BY233, 1))</f>
        <v>2</v>
      </c>
      <c r="CC233" s="58">
        <f t="array" ref="CC233">SUM(IF(BY233:BZ233&gt;=BZ233, 1))</f>
        <v>1</v>
      </c>
      <c r="CE233" s="109">
        <f t="shared" si="121"/>
        <v>91836.685677816844</v>
      </c>
      <c r="CF233" s="109">
        <f t="shared" si="122"/>
        <v>96235.01947763421</v>
      </c>
      <c r="CH233" s="58">
        <f t="array" ref="CH233">SUM(IF(CE233:CF233&gt;=CE233, 1))</f>
        <v>2</v>
      </c>
      <c r="CI233" s="58">
        <f t="array" ref="CI233">SUM(IF(CE233:CF233&gt;=CF233, 1))</f>
        <v>1</v>
      </c>
      <c r="CK233" s="109">
        <f t="shared" si="123"/>
        <v>50365.184191358203</v>
      </c>
      <c r="CL233" s="109">
        <f t="shared" si="124"/>
        <v>51458.645240377358</v>
      </c>
      <c r="CN233" s="58">
        <f t="array" ref="CN233">SUM(IF(CK233:CL233&gt;=CK233, 1))</f>
        <v>2</v>
      </c>
      <c r="CO233" s="58">
        <f t="array" ref="CO233">SUM(IF(CK233:CL233&gt;=CL233, 1))</f>
        <v>1</v>
      </c>
      <c r="CQ233" s="109" cm="1">
        <f t="array" ref="CQ233">AF233*WTP-AC233</f>
        <v>27913.880447200296</v>
      </c>
      <c r="CR233" s="109">
        <f t="shared" si="125"/>
        <v>30207.791748577336</v>
      </c>
      <c r="CT233" s="58">
        <f t="array" ref="CT233">SUM(IF(CQ233:CR233&gt;=CQ233, 1))</f>
        <v>2</v>
      </c>
      <c r="CU233" s="58">
        <f t="array" ref="CU233">SUM(IF(CQ233:CR233&gt;=CR233, 1))</f>
        <v>1</v>
      </c>
      <c r="CW233" s="109">
        <f t="shared" si="126"/>
        <v>-29671086.46780118</v>
      </c>
      <c r="CX233" s="109">
        <f t="shared" si="127"/>
        <v>0</v>
      </c>
      <c r="CZ233" s="58">
        <f t="array" ref="CZ233">SUM(IF(CW233:CX233&gt;=CW233, 1))</f>
        <v>2</v>
      </c>
      <c r="DA233" s="58">
        <f t="array" ref="DA233">SUM(IF(CW233:CX233&gt;=CX233, 1))</f>
        <v>1</v>
      </c>
      <c r="DC233" s="109">
        <f t="shared" si="128"/>
        <v>-1686770.124967525</v>
      </c>
      <c r="DD233" s="109">
        <f t="shared" si="129"/>
        <v>0</v>
      </c>
      <c r="DF233" s="58">
        <f t="array" ref="DF233">SUM(IF(DC233:DD233&gt;=DC233, 1))</f>
        <v>2</v>
      </c>
      <c r="DG233" s="58">
        <f t="array" ref="DG233">SUM(IF(DC233:DD233&gt;=DD233, 1))</f>
        <v>1</v>
      </c>
      <c r="DI233" s="109">
        <f t="shared" si="130"/>
        <v>-100723720.42414683</v>
      </c>
      <c r="DJ233" s="109">
        <f t="shared" si="131"/>
        <v>0</v>
      </c>
      <c r="DL233" s="58">
        <f t="array" ref="DL233">SUM(IF(DI233:DJ233&gt;=DI233, 1))</f>
        <v>2</v>
      </c>
      <c r="DM233" s="58">
        <f t="array" ref="DM233">SUM(IF(DI233:DJ233&gt;=DJ233, 1))</f>
        <v>1</v>
      </c>
      <c r="DO233" s="109">
        <f t="shared" si="132"/>
        <v>-9823171.9546332788</v>
      </c>
      <c r="DP233" s="109">
        <f t="shared" si="133"/>
        <v>0</v>
      </c>
      <c r="DR233" s="58">
        <f t="array" ref="DR233">SUM(IF(DO233:DP233&gt;=DO233, 1))</f>
        <v>2</v>
      </c>
      <c r="DS233" s="58">
        <f t="array" ref="DS233">SUM(IF(DO233:DP233&gt;=DP233, 1))</f>
        <v>1</v>
      </c>
      <c r="DU233" s="109">
        <f t="shared" si="134"/>
        <v>-37422088.179070018</v>
      </c>
      <c r="DV233" s="109">
        <f t="shared" si="135"/>
        <v>0</v>
      </c>
      <c r="DX233" s="58">
        <f t="array" ref="DX233">SUM(IF(DU233:DV233&gt;=DU233, 1))</f>
        <v>2</v>
      </c>
      <c r="DY233" s="58">
        <f t="array" ref="DY233">SUM(IF(DU233:DV233&gt;=DV233, 1))</f>
        <v>1</v>
      </c>
      <c r="EA233" s="109">
        <f t="shared" si="136"/>
        <v>-179326837.15061885</v>
      </c>
      <c r="EB233" s="109">
        <f t="shared" si="137"/>
        <v>0</v>
      </c>
      <c r="ED233" s="58">
        <f t="array" ref="ED233">SUM(IF(EA233:EB233&gt;=EA233, 1))</f>
        <v>2</v>
      </c>
      <c r="EE233" s="58">
        <f t="array" ref="EE233">SUM(IF(EA233:EB233&gt;=EB233, 1))</f>
        <v>1</v>
      </c>
    </row>
    <row r="234" spans="4:135" ht="12" customHeight="1" x14ac:dyDescent="0.25">
      <c r="D234" s="11">
        <v>218</v>
      </c>
      <c r="E234" s="72">
        <v>251.3444497850538</v>
      </c>
      <c r="F234" s="72">
        <v>229.86835928596051</v>
      </c>
      <c r="G234" s="73"/>
      <c r="H234" s="74">
        <v>5.8194588536907785</v>
      </c>
      <c r="I234" s="74">
        <v>5.8365533784065367</v>
      </c>
      <c r="J234" s="73"/>
      <c r="K234" s="72">
        <v>269.84810190213989</v>
      </c>
      <c r="L234" s="72">
        <v>247.82392454171548</v>
      </c>
      <c r="M234" s="73"/>
      <c r="N234" s="74">
        <v>6.6698391565848807</v>
      </c>
      <c r="O234" s="74">
        <v>6.6849796794481726</v>
      </c>
      <c r="P234" s="73"/>
      <c r="Q234" s="72">
        <v>2927.993727569517</v>
      </c>
      <c r="R234" s="72">
        <v>1542.0919258891693</v>
      </c>
      <c r="S234" s="73"/>
      <c r="T234" s="74">
        <v>4.8315758463130392</v>
      </c>
      <c r="U234" s="74">
        <v>4.9045558776756542</v>
      </c>
      <c r="V234" s="73"/>
      <c r="W234" s="72">
        <v>12175.360062333322</v>
      </c>
      <c r="X234" s="72">
        <v>12133.207193932371</v>
      </c>
      <c r="Y234" s="73"/>
      <c r="Z234" s="74">
        <v>2.9691803928093852</v>
      </c>
      <c r="AA234" s="74">
        <v>3.0138841690435898</v>
      </c>
      <c r="AB234" s="73"/>
      <c r="AC234" s="72">
        <v>52227.392777932095</v>
      </c>
      <c r="AD234" s="72">
        <v>51893.558659677765</v>
      </c>
      <c r="AE234" s="73"/>
      <c r="AF234" s="74">
        <v>4.6512099809230811</v>
      </c>
      <c r="AG234" s="74">
        <v>4.756327012308696</v>
      </c>
      <c r="AH234" s="73"/>
      <c r="AI234" s="72">
        <v>2321694.3154222737</v>
      </c>
      <c r="AJ234" s="72">
        <v>0</v>
      </c>
      <c r="AK234" s="73"/>
      <c r="AL234" s="74">
        <v>-1848.0207493583064</v>
      </c>
      <c r="AM234" s="74">
        <v>0</v>
      </c>
      <c r="AN234" s="73"/>
      <c r="AO234" s="72">
        <v>153585.23181817154</v>
      </c>
      <c r="AP234" s="72">
        <v>0</v>
      </c>
      <c r="AQ234" s="73"/>
      <c r="AR234" s="74">
        <v>-105.58218251481641</v>
      </c>
      <c r="AS234" s="74">
        <v>0</v>
      </c>
      <c r="AT234" s="73"/>
      <c r="AU234" s="72">
        <v>32535096.482358385</v>
      </c>
      <c r="AV234" s="72">
        <v>0</v>
      </c>
      <c r="AW234" s="73"/>
      <c r="AX234" s="74">
        <v>-1713.2616169409293</v>
      </c>
      <c r="AY234" s="74">
        <v>0</v>
      </c>
      <c r="AZ234" s="73"/>
      <c r="BA234" s="72">
        <v>387298.36826264899</v>
      </c>
      <c r="BB234" s="72">
        <v>0</v>
      </c>
      <c r="BC234" s="73"/>
      <c r="BD234" s="74">
        <v>-410.73597711075604</v>
      </c>
      <c r="BE234" s="74">
        <v>0</v>
      </c>
      <c r="BF234" s="73"/>
      <c r="BG234" s="72">
        <v>5334593.7935847975</v>
      </c>
      <c r="BH234" s="72">
        <v>0</v>
      </c>
      <c r="BI234" s="73"/>
      <c r="BJ234" s="74">
        <v>-1679.7464146625955</v>
      </c>
      <c r="BK234" s="74">
        <v>0</v>
      </c>
      <c r="BL234" s="73"/>
      <c r="BM234" s="72">
        <v>40732268.191446275</v>
      </c>
      <c r="BN234" s="72">
        <v>0</v>
      </c>
      <c r="BO234" s="73"/>
      <c r="BP234" s="74">
        <v>-5757.346940587403</v>
      </c>
      <c r="BQ234" s="74">
        <v>0</v>
      </c>
      <c r="BS234" s="109">
        <f t="shared" si="117"/>
        <v>116137.83262403052</v>
      </c>
      <c r="BT234" s="109">
        <f t="shared" si="118"/>
        <v>116501.19920884477</v>
      </c>
      <c r="BV234" s="58">
        <f t="array" ref="BV234">SUM(IF(BS234:BT234&gt;=BS234, 1))</f>
        <v>2</v>
      </c>
      <c r="BW234" s="58">
        <f t="array" ref="BW234">SUM(IF(BS234:BT234&gt;=BT234, 1))</f>
        <v>1</v>
      </c>
      <c r="BY234" s="109">
        <f t="shared" si="119"/>
        <v>133126.93502979548</v>
      </c>
      <c r="BZ234" s="109">
        <f t="shared" si="120"/>
        <v>133451.76966442174</v>
      </c>
      <c r="CB234" s="58">
        <f t="array" ref="CB234">SUM(IF(BY234:BZ234&gt;=BY234, 1))</f>
        <v>2</v>
      </c>
      <c r="CC234" s="58">
        <f t="array" ref="CC234">SUM(IF(BY234:BZ234&gt;=BZ234, 1))</f>
        <v>1</v>
      </c>
      <c r="CE234" s="109">
        <f t="shared" si="121"/>
        <v>93703.523198691269</v>
      </c>
      <c r="CF234" s="109">
        <f t="shared" si="122"/>
        <v>96549.025627623923</v>
      </c>
      <c r="CH234" s="58">
        <f t="array" ref="CH234">SUM(IF(CE234:CF234&gt;=CE234, 1))</f>
        <v>2</v>
      </c>
      <c r="CI234" s="58">
        <f t="array" ref="CI234">SUM(IF(CE234:CF234&gt;=CF234, 1))</f>
        <v>1</v>
      </c>
      <c r="CK234" s="109">
        <f t="shared" si="123"/>
        <v>47208.247793854374</v>
      </c>
      <c r="CL234" s="109">
        <f t="shared" si="124"/>
        <v>48144.476186939421</v>
      </c>
      <c r="CN234" s="58">
        <f t="array" ref="CN234">SUM(IF(CK234:CL234&gt;=CK234, 1))</f>
        <v>2</v>
      </c>
      <c r="CO234" s="58">
        <f t="array" ref="CO234">SUM(IF(CK234:CL234&gt;=CL234, 1))</f>
        <v>1</v>
      </c>
      <c r="CQ234" s="109" cm="1">
        <f t="array" ref="CQ234">AF234*WTP-AC234</f>
        <v>40796.806840529534</v>
      </c>
      <c r="CR234" s="109">
        <f t="shared" si="125"/>
        <v>43232.981586496149</v>
      </c>
      <c r="CT234" s="58">
        <f t="array" ref="CT234">SUM(IF(CQ234:CR234&gt;=CQ234, 1))</f>
        <v>2</v>
      </c>
      <c r="CU234" s="58">
        <f t="array" ref="CU234">SUM(IF(CQ234:CR234&gt;=CR234, 1))</f>
        <v>1</v>
      </c>
      <c r="CW234" s="109">
        <f t="shared" si="126"/>
        <v>-39282109.302588403</v>
      </c>
      <c r="CX234" s="109">
        <f t="shared" si="127"/>
        <v>0</v>
      </c>
      <c r="CZ234" s="58">
        <f t="array" ref="CZ234">SUM(IF(CW234:CX234&gt;=CW234, 1))</f>
        <v>2</v>
      </c>
      <c r="DA234" s="58">
        <f t="array" ref="DA234">SUM(IF(CW234:CX234&gt;=CX234, 1))</f>
        <v>1</v>
      </c>
      <c r="DC234" s="109">
        <f t="shared" si="128"/>
        <v>-2265228.8821144998</v>
      </c>
      <c r="DD234" s="109">
        <f t="shared" si="129"/>
        <v>0</v>
      </c>
      <c r="DF234" s="58">
        <f t="array" ref="DF234">SUM(IF(DC234:DD234&gt;=DC234, 1))</f>
        <v>2</v>
      </c>
      <c r="DG234" s="58">
        <f t="array" ref="DG234">SUM(IF(DC234:DD234&gt;=DD234, 1))</f>
        <v>1</v>
      </c>
      <c r="DI234" s="109">
        <f t="shared" si="130"/>
        <v>-66800328.821176976</v>
      </c>
      <c r="DJ234" s="109">
        <f t="shared" si="131"/>
        <v>0</v>
      </c>
      <c r="DL234" s="58">
        <f t="array" ref="DL234">SUM(IF(DI234:DJ234&gt;=DI234, 1))</f>
        <v>2</v>
      </c>
      <c r="DM234" s="58">
        <f t="array" ref="DM234">SUM(IF(DI234:DJ234&gt;=DJ234, 1))</f>
        <v>1</v>
      </c>
      <c r="DO234" s="109">
        <f t="shared" si="132"/>
        <v>-8602017.9104777705</v>
      </c>
      <c r="DP234" s="109">
        <f t="shared" si="133"/>
        <v>0</v>
      </c>
      <c r="DR234" s="58">
        <f t="array" ref="DR234">SUM(IF(DO234:DP234&gt;=DO234, 1))</f>
        <v>2</v>
      </c>
      <c r="DS234" s="58">
        <f t="array" ref="DS234">SUM(IF(DO234:DP234&gt;=DP234, 1))</f>
        <v>1</v>
      </c>
      <c r="DU234" s="109">
        <f t="shared" si="134"/>
        <v>-38929522.086836711</v>
      </c>
      <c r="DV234" s="109">
        <f t="shared" si="135"/>
        <v>0</v>
      </c>
      <c r="DX234" s="58">
        <f t="array" ref="DX234">SUM(IF(DU234:DV234&gt;=DU234, 1))</f>
        <v>2</v>
      </c>
      <c r="DY234" s="58">
        <f t="array" ref="DY234">SUM(IF(DU234:DV234&gt;=DV234, 1))</f>
        <v>1</v>
      </c>
      <c r="EA234" s="109">
        <f t="shared" si="136"/>
        <v>-155879207.00319433</v>
      </c>
      <c r="EB234" s="109">
        <f t="shared" si="137"/>
        <v>0</v>
      </c>
      <c r="ED234" s="58">
        <f t="array" ref="ED234">SUM(IF(EA234:EB234&gt;=EA234, 1))</f>
        <v>2</v>
      </c>
      <c r="EE234" s="58">
        <f t="array" ref="EE234">SUM(IF(EA234:EB234&gt;=EB234, 1))</f>
        <v>1</v>
      </c>
    </row>
    <row r="235" spans="4:135" ht="12" customHeight="1" x14ac:dyDescent="0.25">
      <c r="D235" s="11">
        <v>219</v>
      </c>
      <c r="E235" s="72">
        <v>286.20630176508018</v>
      </c>
      <c r="F235" s="72">
        <v>278.26344444263248</v>
      </c>
      <c r="G235" s="73"/>
      <c r="H235" s="74">
        <v>5.8062525503818945</v>
      </c>
      <c r="I235" s="74">
        <v>5.8199437940241667</v>
      </c>
      <c r="J235" s="73"/>
      <c r="K235" s="72">
        <v>308.2147524071716</v>
      </c>
      <c r="L235" s="72">
        <v>300.02851126008079</v>
      </c>
      <c r="M235" s="73"/>
      <c r="N235" s="74">
        <v>6.8029345649902879</v>
      </c>
      <c r="O235" s="74">
        <v>6.814367485359166</v>
      </c>
      <c r="P235" s="73"/>
      <c r="Q235" s="72">
        <v>1439.8858013104029</v>
      </c>
      <c r="R235" s="72">
        <v>936.56183255910196</v>
      </c>
      <c r="S235" s="73"/>
      <c r="T235" s="74">
        <v>4.9331464287443758</v>
      </c>
      <c r="U235" s="74">
        <v>4.9838122657667538</v>
      </c>
      <c r="V235" s="73"/>
      <c r="W235" s="72">
        <v>12653.417662771612</v>
      </c>
      <c r="X235" s="72">
        <v>12653.892043755144</v>
      </c>
      <c r="Y235" s="73"/>
      <c r="Z235" s="74">
        <v>2.9546353596410628</v>
      </c>
      <c r="AA235" s="74">
        <v>3.0028468352673774</v>
      </c>
      <c r="AB235" s="73"/>
      <c r="AC235" s="72">
        <v>50247.884468261276</v>
      </c>
      <c r="AD235" s="72">
        <v>50042.71889672101</v>
      </c>
      <c r="AE235" s="73"/>
      <c r="AF235" s="74">
        <v>4.665763064291955</v>
      </c>
      <c r="AG235" s="74">
        <v>4.7851679856953035</v>
      </c>
      <c r="AH235" s="73"/>
      <c r="AI235" s="72">
        <v>866697.55219977314</v>
      </c>
      <c r="AJ235" s="72">
        <v>0</v>
      </c>
      <c r="AK235" s="73"/>
      <c r="AL235" s="74">
        <v>-1493.9418989426511</v>
      </c>
      <c r="AM235" s="74">
        <v>0</v>
      </c>
      <c r="AN235" s="73"/>
      <c r="AO235" s="72">
        <v>58238.919895814113</v>
      </c>
      <c r="AP235" s="72">
        <v>0</v>
      </c>
      <c r="AQ235" s="73"/>
      <c r="AR235" s="74">
        <v>-81.336589232402119</v>
      </c>
      <c r="AS235" s="74">
        <v>0</v>
      </c>
      <c r="AT235" s="73"/>
      <c r="AU235" s="72">
        <v>11914571.645430194</v>
      </c>
      <c r="AV235" s="72">
        <v>0</v>
      </c>
      <c r="AW235" s="73"/>
      <c r="AX235" s="74">
        <v>-1199.3502846217323</v>
      </c>
      <c r="AY235" s="74">
        <v>0</v>
      </c>
      <c r="AZ235" s="73"/>
      <c r="BA235" s="72">
        <v>-4265.1195131407239</v>
      </c>
      <c r="BB235" s="72">
        <v>0</v>
      </c>
      <c r="BC235" s="73"/>
      <c r="BD235" s="74">
        <v>-433.4653213115904</v>
      </c>
      <c r="BE235" s="74">
        <v>0</v>
      </c>
      <c r="BF235" s="73"/>
      <c r="BG235" s="72">
        <v>3342639.5525869848</v>
      </c>
      <c r="BH235" s="72">
        <v>0</v>
      </c>
      <c r="BI235" s="73"/>
      <c r="BJ235" s="74">
        <v>-1945.3927384597209</v>
      </c>
      <c r="BK235" s="74">
        <v>0</v>
      </c>
      <c r="BL235" s="73"/>
      <c r="BM235" s="72">
        <v>16177882.550599627</v>
      </c>
      <c r="BN235" s="72">
        <v>0</v>
      </c>
      <c r="BO235" s="73"/>
      <c r="BP235" s="74">
        <v>-5153.4868325680964</v>
      </c>
      <c r="BQ235" s="74">
        <v>0</v>
      </c>
      <c r="BS235" s="109">
        <f t="shared" si="117"/>
        <v>115838.84470587281</v>
      </c>
      <c r="BT235" s="109">
        <f t="shared" si="118"/>
        <v>116120.6124360407</v>
      </c>
      <c r="BV235" s="58">
        <f t="array" ref="BV235">SUM(IF(BS235:BT235&gt;=BS235, 1))</f>
        <v>2</v>
      </c>
      <c r="BW235" s="58">
        <f t="array" ref="BW235">SUM(IF(BS235:BT235&gt;=BT235, 1))</f>
        <v>1</v>
      </c>
      <c r="BY235" s="109">
        <f t="shared" si="119"/>
        <v>135750.4765473986</v>
      </c>
      <c r="BZ235" s="109">
        <f t="shared" si="120"/>
        <v>135987.32119592323</v>
      </c>
      <c r="CB235" s="58">
        <f t="array" ref="CB235">SUM(IF(BY235:BZ235&gt;=BY235, 1))</f>
        <v>2</v>
      </c>
      <c r="CC235" s="58">
        <f t="array" ref="CC235">SUM(IF(BY235:BZ235&gt;=BZ235, 1))</f>
        <v>1</v>
      </c>
      <c r="CE235" s="109">
        <f t="shared" si="121"/>
        <v>97223.042773577108</v>
      </c>
      <c r="CF235" s="109">
        <f t="shared" si="122"/>
        <v>98739.683482775974</v>
      </c>
      <c r="CH235" s="58">
        <f t="array" ref="CH235">SUM(IF(CE235:CF235&gt;=CE235, 1))</f>
        <v>2</v>
      </c>
      <c r="CI235" s="58">
        <f t="array" ref="CI235">SUM(IF(CE235:CF235&gt;=CF235, 1))</f>
        <v>1</v>
      </c>
      <c r="CK235" s="109">
        <f t="shared" si="123"/>
        <v>46439.289530049646</v>
      </c>
      <c r="CL235" s="109">
        <f t="shared" si="124"/>
        <v>47403.044661592408</v>
      </c>
      <c r="CN235" s="58">
        <f t="array" ref="CN235">SUM(IF(CK235:CL235&gt;=CK235, 1))</f>
        <v>2</v>
      </c>
      <c r="CO235" s="58">
        <f t="array" ref="CO235">SUM(IF(CK235:CL235&gt;=CL235, 1))</f>
        <v>1</v>
      </c>
      <c r="CQ235" s="109" cm="1">
        <f t="array" ref="CQ235">AF235*WTP-AC235</f>
        <v>43067.376817577817</v>
      </c>
      <c r="CR235" s="109">
        <f t="shared" si="125"/>
        <v>45660.640817185063</v>
      </c>
      <c r="CT235" s="58">
        <f t="array" ref="CT235">SUM(IF(CQ235:CR235&gt;=CQ235, 1))</f>
        <v>2</v>
      </c>
      <c r="CU235" s="58">
        <f t="array" ref="CU235">SUM(IF(CQ235:CR235&gt;=CR235, 1))</f>
        <v>1</v>
      </c>
      <c r="CW235" s="109">
        <f t="shared" si="126"/>
        <v>-30745535.531052794</v>
      </c>
      <c r="CX235" s="109">
        <f t="shared" si="127"/>
        <v>0</v>
      </c>
      <c r="CZ235" s="58">
        <f t="array" ref="CZ235">SUM(IF(CW235:CX235&gt;=CW235, 1))</f>
        <v>2</v>
      </c>
      <c r="DA235" s="58">
        <f t="array" ref="DA235">SUM(IF(CW235:CX235&gt;=CX235, 1))</f>
        <v>1</v>
      </c>
      <c r="DC235" s="109">
        <f t="shared" si="128"/>
        <v>-1684970.7045438564</v>
      </c>
      <c r="DD235" s="109">
        <f t="shared" si="129"/>
        <v>0</v>
      </c>
      <c r="DF235" s="58">
        <f t="array" ref="DF235">SUM(IF(DC235:DD235&gt;=DC235, 1))</f>
        <v>2</v>
      </c>
      <c r="DG235" s="58">
        <f t="array" ref="DG235">SUM(IF(DC235:DD235&gt;=DD235, 1))</f>
        <v>1</v>
      </c>
      <c r="DI235" s="109">
        <f t="shared" si="130"/>
        <v>-35901577.337864839</v>
      </c>
      <c r="DJ235" s="109">
        <f t="shared" si="131"/>
        <v>0</v>
      </c>
      <c r="DL235" s="58">
        <f t="array" ref="DL235">SUM(IF(DI235:DJ235&gt;=DI235, 1))</f>
        <v>2</v>
      </c>
      <c r="DM235" s="58">
        <f t="array" ref="DM235">SUM(IF(DI235:DJ235&gt;=DJ235, 1))</f>
        <v>1</v>
      </c>
      <c r="DO235" s="109">
        <f t="shared" si="132"/>
        <v>-8665041.3067186661</v>
      </c>
      <c r="DP235" s="109">
        <f t="shared" si="133"/>
        <v>0</v>
      </c>
      <c r="DR235" s="58">
        <f t="array" ref="DR235">SUM(IF(DO235:DP235&gt;=DO235, 1))</f>
        <v>2</v>
      </c>
      <c r="DS235" s="58">
        <f t="array" ref="DS235">SUM(IF(DO235:DP235&gt;=DP235, 1))</f>
        <v>1</v>
      </c>
      <c r="DU235" s="109">
        <f t="shared" si="134"/>
        <v>-42250494.321781404</v>
      </c>
      <c r="DV235" s="109">
        <f t="shared" si="135"/>
        <v>0</v>
      </c>
      <c r="DX235" s="58">
        <f t="array" ref="DX235">SUM(IF(DU235:DV235&gt;=DU235, 1))</f>
        <v>2</v>
      </c>
      <c r="DY235" s="58">
        <f t="array" ref="DY235">SUM(IF(DU235:DV235&gt;=DV235, 1))</f>
        <v>1</v>
      </c>
      <c r="EA235" s="109">
        <f t="shared" si="136"/>
        <v>-119247619.20196155</v>
      </c>
      <c r="EB235" s="109">
        <f t="shared" si="137"/>
        <v>0</v>
      </c>
      <c r="ED235" s="58">
        <f t="array" ref="ED235">SUM(IF(EA235:EB235&gt;=EA235, 1))</f>
        <v>2</v>
      </c>
      <c r="EE235" s="58">
        <f t="array" ref="EE235">SUM(IF(EA235:EB235&gt;=EB235, 1))</f>
        <v>1</v>
      </c>
    </row>
    <row r="236" spans="4:135" ht="12" customHeight="1" x14ac:dyDescent="0.25">
      <c r="D236" s="11">
        <v>220</v>
      </c>
      <c r="E236" s="72">
        <v>236.25740602177677</v>
      </c>
      <c r="F236" s="72">
        <v>220.94315277634573</v>
      </c>
      <c r="G236" s="73"/>
      <c r="H236" s="74">
        <v>5.9029475033456134</v>
      </c>
      <c r="I236" s="74">
        <v>5.9217422940797295</v>
      </c>
      <c r="J236" s="73"/>
      <c r="K236" s="72">
        <v>254.01172128697786</v>
      </c>
      <c r="L236" s="72">
        <v>238.31971196720289</v>
      </c>
      <c r="M236" s="73"/>
      <c r="N236" s="74">
        <v>6.7290562268295862</v>
      </c>
      <c r="O236" s="74">
        <v>6.7459273447514185</v>
      </c>
      <c r="P236" s="73"/>
      <c r="Q236" s="72">
        <v>2585.5389781806371</v>
      </c>
      <c r="R236" s="72">
        <v>1289.5011172905683</v>
      </c>
      <c r="S236" s="73"/>
      <c r="T236" s="74">
        <v>4.8033060952304316</v>
      </c>
      <c r="U236" s="74">
        <v>4.9330046884341012</v>
      </c>
      <c r="V236" s="73"/>
      <c r="W236" s="72">
        <v>12990.969136015219</v>
      </c>
      <c r="X236" s="72">
        <v>13007.122250917595</v>
      </c>
      <c r="Y236" s="73"/>
      <c r="Z236" s="74">
        <v>2.8766256356697069</v>
      </c>
      <c r="AA236" s="74">
        <v>2.9287526779750501</v>
      </c>
      <c r="AB236" s="73"/>
      <c r="AC236" s="72">
        <v>51430.032216741121</v>
      </c>
      <c r="AD236" s="72">
        <v>51075.210169162106</v>
      </c>
      <c r="AE236" s="73"/>
      <c r="AF236" s="74">
        <v>4.6119074662186339</v>
      </c>
      <c r="AG236" s="74">
        <v>4.7654088706871418</v>
      </c>
      <c r="AH236" s="73"/>
      <c r="AI236" s="72">
        <v>1659235.0011457324</v>
      </c>
      <c r="AJ236" s="72">
        <v>0</v>
      </c>
      <c r="AK236" s="73"/>
      <c r="AL236" s="74">
        <v>-2036.336615666125</v>
      </c>
      <c r="AM236" s="74">
        <v>0</v>
      </c>
      <c r="AN236" s="73"/>
      <c r="AO236" s="72">
        <v>98857.112645175046</v>
      </c>
      <c r="AP236" s="72">
        <v>0</v>
      </c>
      <c r="AQ236" s="73"/>
      <c r="AR236" s="74">
        <v>-106.28530552469317</v>
      </c>
      <c r="AS236" s="74">
        <v>0</v>
      </c>
      <c r="AT236" s="73"/>
      <c r="AU236" s="72">
        <v>30208859.39408059</v>
      </c>
      <c r="AV236" s="72">
        <v>0</v>
      </c>
      <c r="AW236" s="73"/>
      <c r="AX236" s="74">
        <v>-3023.0957628112415</v>
      </c>
      <c r="AY236" s="74">
        <v>0</v>
      </c>
      <c r="AZ236" s="73"/>
      <c r="BA236" s="72">
        <v>-145655.46770258201</v>
      </c>
      <c r="BB236" s="72">
        <v>0</v>
      </c>
      <c r="BC236" s="73"/>
      <c r="BD236" s="74">
        <v>-470.0386750681954</v>
      </c>
      <c r="BE236" s="74">
        <v>0</v>
      </c>
      <c r="BF236" s="73"/>
      <c r="BG236" s="72">
        <v>5689711.1274910709</v>
      </c>
      <c r="BH236" s="72">
        <v>0</v>
      </c>
      <c r="BI236" s="73"/>
      <c r="BJ236" s="74">
        <v>-2461.455411379095</v>
      </c>
      <c r="BK236" s="74">
        <v>0</v>
      </c>
      <c r="BL236" s="73"/>
      <c r="BM236" s="72">
        <v>37511007.167659983</v>
      </c>
      <c r="BN236" s="72">
        <v>0</v>
      </c>
      <c r="BO236" s="73"/>
      <c r="BP236" s="74">
        <v>-8097.2117704493503</v>
      </c>
      <c r="BQ236" s="74">
        <v>0</v>
      </c>
      <c r="BS236" s="109">
        <f t="shared" si="117"/>
        <v>117822.69266089049</v>
      </c>
      <c r="BT236" s="109">
        <f t="shared" si="118"/>
        <v>118213.90272881824</v>
      </c>
      <c r="BV236" s="58">
        <f t="array" ref="BV236">SUM(IF(BS236:BT236&gt;=BS236, 1))</f>
        <v>2</v>
      </c>
      <c r="BW236" s="58">
        <f t="array" ref="BW236">SUM(IF(BS236:BT236&gt;=BT236, 1))</f>
        <v>1</v>
      </c>
      <c r="BY236" s="109">
        <f t="shared" si="119"/>
        <v>134327.11281530475</v>
      </c>
      <c r="BZ236" s="109">
        <f t="shared" si="120"/>
        <v>134680.22718306119</v>
      </c>
      <c r="CB236" s="58">
        <f t="array" ref="CB236">SUM(IF(BY236:BZ236&gt;=BY236, 1))</f>
        <v>2</v>
      </c>
      <c r="CC236" s="58">
        <f t="array" ref="CC236">SUM(IF(BY236:BZ236&gt;=BZ236, 1))</f>
        <v>1</v>
      </c>
      <c r="CE236" s="109">
        <f t="shared" si="121"/>
        <v>93480.582926428004</v>
      </c>
      <c r="CF236" s="109">
        <f t="shared" si="122"/>
        <v>97370.59265139146</v>
      </c>
      <c r="CH236" s="58">
        <f t="array" ref="CH236">SUM(IF(CE236:CF236&gt;=CE236, 1))</f>
        <v>2</v>
      </c>
      <c r="CI236" s="58">
        <f t="array" ref="CI236">SUM(IF(CE236:CF236&gt;=CF236, 1))</f>
        <v>1</v>
      </c>
      <c r="CK236" s="109">
        <f t="shared" si="123"/>
        <v>44541.543577378914</v>
      </c>
      <c r="CL236" s="109">
        <f t="shared" si="124"/>
        <v>45567.931308583407</v>
      </c>
      <c r="CN236" s="58">
        <f t="array" ref="CN236">SUM(IF(CK236:CL236&gt;=CK236, 1))</f>
        <v>2</v>
      </c>
      <c r="CO236" s="58">
        <f t="array" ref="CO236">SUM(IF(CK236:CL236&gt;=CL236, 1))</f>
        <v>1</v>
      </c>
      <c r="CQ236" s="109" cm="1">
        <f t="array" ref="CQ236">AF236*WTP-AC236</f>
        <v>40808.117107631551</v>
      </c>
      <c r="CR236" s="109">
        <f t="shared" si="125"/>
        <v>44232.967244580723</v>
      </c>
      <c r="CT236" s="58">
        <f t="array" ref="CT236">SUM(IF(CQ236:CR236&gt;=CQ236, 1))</f>
        <v>2</v>
      </c>
      <c r="CU236" s="58">
        <f t="array" ref="CU236">SUM(IF(CQ236:CR236&gt;=CR236, 1))</f>
        <v>1</v>
      </c>
      <c r="CW236" s="109">
        <f t="shared" si="126"/>
        <v>-42385967.314468235</v>
      </c>
      <c r="CX236" s="109">
        <f t="shared" si="127"/>
        <v>0</v>
      </c>
      <c r="CZ236" s="58">
        <f t="array" ref="CZ236">SUM(IF(CW236:CX236&gt;=CW236, 1))</f>
        <v>2</v>
      </c>
      <c r="DA236" s="58">
        <f t="array" ref="DA236">SUM(IF(CW236:CX236&gt;=CX236, 1))</f>
        <v>1</v>
      </c>
      <c r="DC236" s="109">
        <f t="shared" si="128"/>
        <v>-2224563.2231390383</v>
      </c>
      <c r="DD236" s="109">
        <f t="shared" si="129"/>
        <v>0</v>
      </c>
      <c r="DF236" s="58">
        <f t="array" ref="DF236">SUM(IF(DC236:DD236&gt;=DC236, 1))</f>
        <v>2</v>
      </c>
      <c r="DG236" s="58">
        <f t="array" ref="DG236">SUM(IF(DC236:DD236&gt;=DD236, 1))</f>
        <v>1</v>
      </c>
      <c r="DI236" s="109">
        <f t="shared" si="130"/>
        <v>-90670774.65030542</v>
      </c>
      <c r="DJ236" s="109">
        <f t="shared" si="131"/>
        <v>0</v>
      </c>
      <c r="DL236" s="58">
        <f t="array" ref="DL236">SUM(IF(DI236:DJ236&gt;=DI236, 1))</f>
        <v>2</v>
      </c>
      <c r="DM236" s="58">
        <f t="array" ref="DM236">SUM(IF(DI236:DJ236&gt;=DJ236, 1))</f>
        <v>1</v>
      </c>
      <c r="DO236" s="109">
        <f t="shared" si="132"/>
        <v>-9255118.0336613264</v>
      </c>
      <c r="DP236" s="109">
        <f t="shared" si="133"/>
        <v>0</v>
      </c>
      <c r="DR236" s="58">
        <f t="array" ref="DR236">SUM(IF(DO236:DP236&gt;=DO236, 1))</f>
        <v>2</v>
      </c>
      <c r="DS236" s="58">
        <f t="array" ref="DS236">SUM(IF(DO236:DP236&gt;=DP236, 1))</f>
        <v>1</v>
      </c>
      <c r="DU236" s="109">
        <f t="shared" si="134"/>
        <v>-54918819.355072975</v>
      </c>
      <c r="DV236" s="109">
        <f t="shared" si="135"/>
        <v>0</v>
      </c>
      <c r="DX236" s="58">
        <f t="array" ref="DX236">SUM(IF(DU236:DV236&gt;=DU236, 1))</f>
        <v>2</v>
      </c>
      <c r="DY236" s="58">
        <f t="array" ref="DY236">SUM(IF(DU236:DV236&gt;=DV236, 1))</f>
        <v>1</v>
      </c>
      <c r="EA236" s="109">
        <f t="shared" si="136"/>
        <v>-199455242.57664698</v>
      </c>
      <c r="EB236" s="109">
        <f t="shared" si="137"/>
        <v>0</v>
      </c>
      <c r="ED236" s="58">
        <f t="array" ref="ED236">SUM(IF(EA236:EB236&gt;=EA236, 1))</f>
        <v>2</v>
      </c>
      <c r="EE236" s="58">
        <f t="array" ref="EE236">SUM(IF(EA236:EB236&gt;=EB236, 1))</f>
        <v>1</v>
      </c>
    </row>
    <row r="237" spans="4:135" ht="12" customHeight="1" x14ac:dyDescent="0.25">
      <c r="D237" s="11">
        <v>221</v>
      </c>
      <c r="E237" s="72">
        <v>262.22655511435931</v>
      </c>
      <c r="F237" s="72">
        <v>244.43426903297478</v>
      </c>
      <c r="G237" s="73"/>
      <c r="H237" s="74">
        <v>5.8372788014633725</v>
      </c>
      <c r="I237" s="74">
        <v>5.8565389133907075</v>
      </c>
      <c r="J237" s="73"/>
      <c r="K237" s="72">
        <v>281.84794622603033</v>
      </c>
      <c r="L237" s="72">
        <v>263.6082024882262</v>
      </c>
      <c r="M237" s="73"/>
      <c r="N237" s="74">
        <v>6.7047467163517078</v>
      </c>
      <c r="O237" s="74">
        <v>6.7216891189078964</v>
      </c>
      <c r="P237" s="73"/>
      <c r="Q237" s="72">
        <v>2320.6562763904076</v>
      </c>
      <c r="R237" s="72">
        <v>1536.2835933486394</v>
      </c>
      <c r="S237" s="73"/>
      <c r="T237" s="74">
        <v>4.90044551793991</v>
      </c>
      <c r="U237" s="74">
        <v>4.9757924926781234</v>
      </c>
      <c r="V237" s="73"/>
      <c r="W237" s="72">
        <v>9949.3335727878984</v>
      </c>
      <c r="X237" s="72">
        <v>9907.1526444840383</v>
      </c>
      <c r="Y237" s="73"/>
      <c r="Z237" s="74">
        <v>2.9934085472570877</v>
      </c>
      <c r="AA237" s="74">
        <v>3.0270532292637267</v>
      </c>
      <c r="AB237" s="73"/>
      <c r="AC237" s="72">
        <v>50496.019743869794</v>
      </c>
      <c r="AD237" s="72">
        <v>50118.229846812654</v>
      </c>
      <c r="AE237" s="73"/>
      <c r="AF237" s="74">
        <v>4.6741717910623244</v>
      </c>
      <c r="AG237" s="74">
        <v>4.7910776300081688</v>
      </c>
      <c r="AH237" s="73"/>
      <c r="AI237" s="72">
        <v>1905518.8933881833</v>
      </c>
      <c r="AJ237" s="72">
        <v>0</v>
      </c>
      <c r="AK237" s="73"/>
      <c r="AL237" s="74">
        <v>-2062.7201585245675</v>
      </c>
      <c r="AM237" s="74">
        <v>0</v>
      </c>
      <c r="AN237" s="73"/>
      <c r="AO237" s="72">
        <v>123999.21067625502</v>
      </c>
      <c r="AP237" s="72">
        <v>0</v>
      </c>
      <c r="AQ237" s="73"/>
      <c r="AR237" s="74">
        <v>-115.17949890778854</v>
      </c>
      <c r="AS237" s="74">
        <v>0</v>
      </c>
      <c r="AT237" s="73"/>
      <c r="AU237" s="72">
        <v>18384817.325628731</v>
      </c>
      <c r="AV237" s="72">
        <v>0</v>
      </c>
      <c r="AW237" s="73"/>
      <c r="AX237" s="74">
        <v>-1766.0487119833203</v>
      </c>
      <c r="AY237" s="74">
        <v>0</v>
      </c>
      <c r="AZ237" s="73"/>
      <c r="BA237" s="72">
        <v>366803.14905399375</v>
      </c>
      <c r="BB237" s="72">
        <v>0</v>
      </c>
      <c r="BC237" s="73"/>
      <c r="BD237" s="74">
        <v>-292.57239717566955</v>
      </c>
      <c r="BE237" s="74">
        <v>0</v>
      </c>
      <c r="BF237" s="73"/>
      <c r="BG237" s="72">
        <v>6107565.3101578671</v>
      </c>
      <c r="BH237" s="72">
        <v>0</v>
      </c>
      <c r="BI237" s="73"/>
      <c r="BJ237" s="74">
        <v>-1889.9659627280826</v>
      </c>
      <c r="BK237" s="74">
        <v>0</v>
      </c>
      <c r="BL237" s="73"/>
      <c r="BM237" s="72">
        <v>26888703.888905033</v>
      </c>
      <c r="BN237" s="72">
        <v>0</v>
      </c>
      <c r="BO237" s="73"/>
      <c r="BP237" s="74">
        <v>-6126.4867293194284</v>
      </c>
      <c r="BQ237" s="74">
        <v>0</v>
      </c>
      <c r="BS237" s="109">
        <f t="shared" si="117"/>
        <v>116483.34947415309</v>
      </c>
      <c r="BT237" s="109">
        <f t="shared" si="118"/>
        <v>116886.34399878117</v>
      </c>
      <c r="BV237" s="58">
        <f t="array" ref="BV237">SUM(IF(BS237:BT237&gt;=BS237, 1))</f>
        <v>2</v>
      </c>
      <c r="BW237" s="58">
        <f t="array" ref="BW237">SUM(IF(BS237:BT237&gt;=BT237, 1))</f>
        <v>1</v>
      </c>
      <c r="BY237" s="109">
        <f t="shared" si="119"/>
        <v>133813.08638080812</v>
      </c>
      <c r="BZ237" s="109">
        <f t="shared" si="120"/>
        <v>134170.1741756697</v>
      </c>
      <c r="CB237" s="58">
        <f t="array" ref="CB237">SUM(IF(BY237:BZ237&gt;=BY237, 1))</f>
        <v>2</v>
      </c>
      <c r="CC237" s="58">
        <f t="array" ref="CC237">SUM(IF(BY237:BZ237&gt;=BZ237, 1))</f>
        <v>1</v>
      </c>
      <c r="CE237" s="109">
        <f t="shared" si="121"/>
        <v>95688.254082407788</v>
      </c>
      <c r="CF237" s="109">
        <f t="shared" si="122"/>
        <v>97979.566260213833</v>
      </c>
      <c r="CH237" s="58">
        <f t="array" ref="CH237">SUM(IF(CE237:CF237&gt;=CE237, 1))</f>
        <v>2</v>
      </c>
      <c r="CI237" s="58">
        <f t="array" ref="CI237">SUM(IF(CE237:CF237&gt;=CF237, 1))</f>
        <v>1</v>
      </c>
      <c r="CK237" s="109">
        <f t="shared" si="123"/>
        <v>49918.837372353853</v>
      </c>
      <c r="CL237" s="109">
        <f t="shared" si="124"/>
        <v>50633.911940790495</v>
      </c>
      <c r="CN237" s="58">
        <f t="array" ref="CN237">SUM(IF(CK237:CL237&gt;=CK237, 1))</f>
        <v>2</v>
      </c>
      <c r="CO237" s="58">
        <f t="array" ref="CO237">SUM(IF(CK237:CL237&gt;=CL237, 1))</f>
        <v>1</v>
      </c>
      <c r="CQ237" s="109" cm="1">
        <f t="array" ref="CQ237">AF237*WTP-AC237</f>
        <v>42987.416077376693</v>
      </c>
      <c r="CR237" s="109">
        <f t="shared" si="125"/>
        <v>45703.322753350716</v>
      </c>
      <c r="CT237" s="58">
        <f t="array" ref="CT237">SUM(IF(CQ237:CR237&gt;=CQ237, 1))</f>
        <v>2</v>
      </c>
      <c r="CU237" s="58">
        <f t="array" ref="CU237">SUM(IF(CQ237:CR237&gt;=CR237, 1))</f>
        <v>1</v>
      </c>
      <c r="CW237" s="109">
        <f t="shared" si="126"/>
        <v>-43159922.063879535</v>
      </c>
      <c r="CX237" s="109">
        <f t="shared" si="127"/>
        <v>0</v>
      </c>
      <c r="CZ237" s="58">
        <f t="array" ref="CZ237">SUM(IF(CW237:CX237&gt;=CW237, 1))</f>
        <v>2</v>
      </c>
      <c r="DA237" s="58">
        <f t="array" ref="DA237">SUM(IF(CW237:CX237&gt;=CX237, 1))</f>
        <v>1</v>
      </c>
      <c r="DC237" s="109">
        <f t="shared" si="128"/>
        <v>-2427589.188832026</v>
      </c>
      <c r="DD237" s="109">
        <f t="shared" si="129"/>
        <v>0</v>
      </c>
      <c r="DF237" s="58">
        <f t="array" ref="DF237">SUM(IF(DC237:DD237&gt;=DC237, 1))</f>
        <v>2</v>
      </c>
      <c r="DG237" s="58">
        <f t="array" ref="DG237">SUM(IF(DC237:DD237&gt;=DD237, 1))</f>
        <v>1</v>
      </c>
      <c r="DI237" s="109">
        <f t="shared" si="130"/>
        <v>-53705791.565295145</v>
      </c>
      <c r="DJ237" s="109">
        <f t="shared" si="131"/>
        <v>0</v>
      </c>
      <c r="DL237" s="58">
        <f t="array" ref="DL237">SUM(IF(DI237:DJ237&gt;=DI237, 1))</f>
        <v>2</v>
      </c>
      <c r="DM237" s="58">
        <f t="array" ref="DM237">SUM(IF(DI237:DJ237&gt;=DJ237, 1))</f>
        <v>1</v>
      </c>
      <c r="DO237" s="109">
        <f t="shared" si="132"/>
        <v>-6218251.0925673842</v>
      </c>
      <c r="DP237" s="109">
        <f t="shared" si="133"/>
        <v>0</v>
      </c>
      <c r="DR237" s="58">
        <f t="array" ref="DR237">SUM(IF(DO237:DP237&gt;=DO237, 1))</f>
        <v>2</v>
      </c>
      <c r="DS237" s="58">
        <f t="array" ref="DS237">SUM(IF(DO237:DP237&gt;=DP237, 1))</f>
        <v>1</v>
      </c>
      <c r="DU237" s="109">
        <f t="shared" si="134"/>
        <v>-43906884.564719513</v>
      </c>
      <c r="DV237" s="109">
        <f t="shared" si="135"/>
        <v>0</v>
      </c>
      <c r="DX237" s="58">
        <f t="array" ref="DX237">SUM(IF(DU237:DV237&gt;=DU237, 1))</f>
        <v>2</v>
      </c>
      <c r="DY237" s="58">
        <f t="array" ref="DY237">SUM(IF(DU237:DV237&gt;=DV237, 1))</f>
        <v>1</v>
      </c>
      <c r="EA237" s="109">
        <f t="shared" si="136"/>
        <v>-149418438.47529361</v>
      </c>
      <c r="EB237" s="109">
        <f t="shared" si="137"/>
        <v>0</v>
      </c>
      <c r="ED237" s="58">
        <f t="array" ref="ED237">SUM(IF(EA237:EB237&gt;=EA237, 1))</f>
        <v>2</v>
      </c>
      <c r="EE237" s="58">
        <f t="array" ref="EE237">SUM(IF(EA237:EB237&gt;=EB237, 1))</f>
        <v>1</v>
      </c>
    </row>
    <row r="238" spans="4:135" ht="12" customHeight="1" x14ac:dyDescent="0.25">
      <c r="D238" s="11">
        <v>222</v>
      </c>
      <c r="E238" s="72">
        <v>272.12089512963536</v>
      </c>
      <c r="F238" s="72">
        <v>267.47679771260408</v>
      </c>
      <c r="G238" s="73"/>
      <c r="H238" s="74">
        <v>5.8390473172664388</v>
      </c>
      <c r="I238" s="74">
        <v>5.8533278257903527</v>
      </c>
      <c r="J238" s="73"/>
      <c r="K238" s="72">
        <v>293.28841826723004</v>
      </c>
      <c r="L238" s="72">
        <v>288.50410313192549</v>
      </c>
      <c r="M238" s="73"/>
      <c r="N238" s="74">
        <v>6.7327019123351102</v>
      </c>
      <c r="O238" s="74">
        <v>6.7452191494674256</v>
      </c>
      <c r="P238" s="73"/>
      <c r="Q238" s="72">
        <v>2948.2224249603814</v>
      </c>
      <c r="R238" s="72">
        <v>1613.8730272727769</v>
      </c>
      <c r="S238" s="73"/>
      <c r="T238" s="74">
        <v>4.9243681486908706</v>
      </c>
      <c r="U238" s="74">
        <v>5.0348913102486765</v>
      </c>
      <c r="V238" s="73"/>
      <c r="W238" s="72">
        <v>14914.892598378305</v>
      </c>
      <c r="X238" s="72">
        <v>14945.18295272907</v>
      </c>
      <c r="Y238" s="73"/>
      <c r="Z238" s="74">
        <v>3.0629310375278407</v>
      </c>
      <c r="AA238" s="74">
        <v>3.1249295803347463</v>
      </c>
      <c r="AB238" s="73"/>
      <c r="AC238" s="72">
        <v>49987.631628668554</v>
      </c>
      <c r="AD238" s="72">
        <v>50087.851784789025</v>
      </c>
      <c r="AE238" s="73"/>
      <c r="AF238" s="74">
        <v>4.5158510885903125</v>
      </c>
      <c r="AG238" s="74">
        <v>4.6236100410562582</v>
      </c>
      <c r="AH238" s="73"/>
      <c r="AI238" s="72">
        <v>495371.36600389431</v>
      </c>
      <c r="AJ238" s="72">
        <v>0</v>
      </c>
      <c r="AK238" s="73"/>
      <c r="AL238" s="74">
        <v>-1523.2572402074275</v>
      </c>
      <c r="AM238" s="74">
        <v>0</v>
      </c>
      <c r="AN238" s="73"/>
      <c r="AO238" s="72">
        <v>32441.971942257907</v>
      </c>
      <c r="AP238" s="72">
        <v>0</v>
      </c>
      <c r="AQ238" s="73"/>
      <c r="AR238" s="74">
        <v>-84.878157971781846</v>
      </c>
      <c r="AS238" s="74">
        <v>0</v>
      </c>
      <c r="AT238" s="73"/>
      <c r="AU238" s="72">
        <v>31252621.004788391</v>
      </c>
      <c r="AV238" s="72">
        <v>0</v>
      </c>
      <c r="AW238" s="73"/>
      <c r="AX238" s="74">
        <v>-2588.6311983975456</v>
      </c>
      <c r="AY238" s="74">
        <v>0</v>
      </c>
      <c r="AZ238" s="73"/>
      <c r="BA238" s="72">
        <v>-272113.72828938952</v>
      </c>
      <c r="BB238" s="72">
        <v>0</v>
      </c>
      <c r="BC238" s="73"/>
      <c r="BD238" s="74">
        <v>-556.96458471011772</v>
      </c>
      <c r="BE238" s="74">
        <v>0</v>
      </c>
      <c r="BF238" s="73"/>
      <c r="BG238" s="72">
        <v>-1588092.5910156521</v>
      </c>
      <c r="BH238" s="72">
        <v>0</v>
      </c>
      <c r="BI238" s="73"/>
      <c r="BJ238" s="74">
        <v>-1707.5526585796322</v>
      </c>
      <c r="BK238" s="74">
        <v>0</v>
      </c>
      <c r="BL238" s="73"/>
      <c r="BM238" s="72">
        <v>29920228.023429502</v>
      </c>
      <c r="BN238" s="72">
        <v>0</v>
      </c>
      <c r="BO238" s="73"/>
      <c r="BP238" s="74">
        <v>-6461.2838398665044</v>
      </c>
      <c r="BQ238" s="74">
        <v>0</v>
      </c>
      <c r="BS238" s="109">
        <f t="shared" si="117"/>
        <v>116508.82545019915</v>
      </c>
      <c r="BT238" s="109">
        <f t="shared" si="118"/>
        <v>116799.07971809445</v>
      </c>
      <c r="BV238" s="58">
        <f t="array" ref="BV238">SUM(IF(BS238:BT238&gt;=BS238, 1))</f>
        <v>2</v>
      </c>
      <c r="BW238" s="58">
        <f t="array" ref="BW238">SUM(IF(BS238:BT238&gt;=BT238, 1))</f>
        <v>1</v>
      </c>
      <c r="BY238" s="109">
        <f t="shared" si="119"/>
        <v>134360.74982843496</v>
      </c>
      <c r="BZ238" s="109">
        <f t="shared" si="120"/>
        <v>134615.87888621661</v>
      </c>
      <c r="CB238" s="58">
        <f t="array" ref="CB238">SUM(IF(BY238:BZ238&gt;=BY238, 1))</f>
        <v>2</v>
      </c>
      <c r="CC238" s="58">
        <f t="array" ref="CC238">SUM(IF(BY238:BZ238&gt;=BZ238, 1))</f>
        <v>1</v>
      </c>
      <c r="CE238" s="109">
        <f t="shared" si="121"/>
        <v>95539.140548857031</v>
      </c>
      <c r="CF238" s="109">
        <f t="shared" si="122"/>
        <v>99083.953177700765</v>
      </c>
      <c r="CH238" s="58">
        <f t="array" ref="CH238">SUM(IF(CE238:CF238&gt;=CE238, 1))</f>
        <v>2</v>
      </c>
      <c r="CI238" s="58">
        <f t="array" ref="CI238">SUM(IF(CE238:CF238&gt;=CF238, 1))</f>
        <v>1</v>
      </c>
      <c r="CK238" s="109">
        <f t="shared" si="123"/>
        <v>46343.728152178512</v>
      </c>
      <c r="CL238" s="109">
        <f t="shared" si="124"/>
        <v>47553.40865396586</v>
      </c>
      <c r="CN238" s="58">
        <f t="array" ref="CN238">SUM(IF(CK238:CL238&gt;=CK238, 1))</f>
        <v>2</v>
      </c>
      <c r="CO238" s="58">
        <f t="array" ref="CO238">SUM(IF(CK238:CL238&gt;=CL238, 1))</f>
        <v>1</v>
      </c>
      <c r="CQ238" s="109" cm="1">
        <f t="array" ref="CQ238">AF238*WTP-AC238</f>
        <v>40329.390143137694</v>
      </c>
      <c r="CR238" s="109">
        <f t="shared" si="125"/>
        <v>42384.349036336142</v>
      </c>
      <c r="CT238" s="58">
        <f t="array" ref="CT238">SUM(IF(CQ238:CR238&gt;=CQ238, 1))</f>
        <v>2</v>
      </c>
      <c r="CU238" s="58">
        <f t="array" ref="CU238">SUM(IF(CQ238:CR238&gt;=CR238, 1))</f>
        <v>1</v>
      </c>
      <c r="CW238" s="109">
        <f t="shared" si="126"/>
        <v>-30960516.170152441</v>
      </c>
      <c r="CX238" s="109">
        <f t="shared" si="127"/>
        <v>0</v>
      </c>
      <c r="CZ238" s="58">
        <f t="array" ref="CZ238">SUM(IF(CW238:CX238&gt;=CW238, 1))</f>
        <v>2</v>
      </c>
      <c r="DA238" s="58">
        <f t="array" ref="DA238">SUM(IF(CW238:CX238&gt;=CX238, 1))</f>
        <v>1</v>
      </c>
      <c r="DC238" s="109">
        <f t="shared" si="128"/>
        <v>-1730005.1313778947</v>
      </c>
      <c r="DD238" s="109">
        <f t="shared" si="129"/>
        <v>0</v>
      </c>
      <c r="DF238" s="58">
        <f t="array" ref="DF238">SUM(IF(DC238:DD238&gt;=DC238, 1))</f>
        <v>2</v>
      </c>
      <c r="DG238" s="58">
        <f t="array" ref="DG238">SUM(IF(DC238:DD238&gt;=DD238, 1))</f>
        <v>1</v>
      </c>
      <c r="DI238" s="109">
        <f t="shared" si="130"/>
        <v>-83025244.972739309</v>
      </c>
      <c r="DJ238" s="109">
        <f t="shared" si="131"/>
        <v>0</v>
      </c>
      <c r="DL238" s="58">
        <f t="array" ref="DL238">SUM(IF(DI238:DJ238&gt;=DI238, 1))</f>
        <v>2</v>
      </c>
      <c r="DM238" s="58">
        <f t="array" ref="DM238">SUM(IF(DI238:DJ238&gt;=DJ238, 1))</f>
        <v>1</v>
      </c>
      <c r="DO238" s="109">
        <f t="shared" si="132"/>
        <v>-10867177.965912964</v>
      </c>
      <c r="DP238" s="109">
        <f t="shared" si="133"/>
        <v>0</v>
      </c>
      <c r="DR238" s="58">
        <f t="array" ref="DR238">SUM(IF(DO238:DP238&gt;=DO238, 1))</f>
        <v>2</v>
      </c>
      <c r="DS238" s="58">
        <f t="array" ref="DS238">SUM(IF(DO238:DP238&gt;=DP238, 1))</f>
        <v>1</v>
      </c>
      <c r="DU238" s="109">
        <f t="shared" si="134"/>
        <v>-32562960.580576994</v>
      </c>
      <c r="DV238" s="109">
        <f t="shared" si="135"/>
        <v>0</v>
      </c>
      <c r="DX238" s="58">
        <f t="array" ref="DX238">SUM(IF(DU238:DV238&gt;=DU238, 1))</f>
        <v>2</v>
      </c>
      <c r="DY238" s="58">
        <f t="array" ref="DY238">SUM(IF(DU238:DV238&gt;=DV238, 1))</f>
        <v>1</v>
      </c>
      <c r="EA238" s="109">
        <f t="shared" si="136"/>
        <v>-159145904.82075959</v>
      </c>
      <c r="EB238" s="109">
        <f t="shared" si="137"/>
        <v>0</v>
      </c>
      <c r="ED238" s="58">
        <f t="array" ref="ED238">SUM(IF(EA238:EB238&gt;=EA238, 1))</f>
        <v>2</v>
      </c>
      <c r="EE238" s="58">
        <f t="array" ref="EE238">SUM(IF(EA238:EB238&gt;=EB238, 1))</f>
        <v>1</v>
      </c>
    </row>
    <row r="239" spans="4:135" ht="12" customHeight="1" x14ac:dyDescent="0.25">
      <c r="D239" s="11">
        <v>223</v>
      </c>
      <c r="E239" s="72">
        <v>263.90032062773969</v>
      </c>
      <c r="F239" s="72">
        <v>236.49374808613595</v>
      </c>
      <c r="G239" s="73"/>
      <c r="H239" s="74">
        <v>5.8127826160629068</v>
      </c>
      <c r="I239" s="74">
        <v>5.8303314777338366</v>
      </c>
      <c r="J239" s="73"/>
      <c r="K239" s="72">
        <v>283.01885154163057</v>
      </c>
      <c r="L239" s="72">
        <v>254.97568922802827</v>
      </c>
      <c r="M239" s="73"/>
      <c r="N239" s="74">
        <v>6.7034670747386258</v>
      </c>
      <c r="O239" s="74">
        <v>6.7189807268507362</v>
      </c>
      <c r="P239" s="73"/>
      <c r="Q239" s="72">
        <v>2235.6791528377839</v>
      </c>
      <c r="R239" s="72">
        <v>1573.2743683213287</v>
      </c>
      <c r="S239" s="73"/>
      <c r="T239" s="74">
        <v>4.8186966179040729</v>
      </c>
      <c r="U239" s="74">
        <v>4.8864040649961558</v>
      </c>
      <c r="V239" s="73"/>
      <c r="W239" s="72">
        <v>10769.868543166836</v>
      </c>
      <c r="X239" s="72">
        <v>10764.761637620826</v>
      </c>
      <c r="Y239" s="73"/>
      <c r="Z239" s="74">
        <v>3.0506036598005783</v>
      </c>
      <c r="AA239" s="74">
        <v>3.0952983954283209</v>
      </c>
      <c r="AB239" s="73"/>
      <c r="AC239" s="72">
        <v>49226.560651389344</v>
      </c>
      <c r="AD239" s="72">
        <v>49250.149157449247</v>
      </c>
      <c r="AE239" s="73"/>
      <c r="AF239" s="74">
        <v>4.8536020773193629</v>
      </c>
      <c r="AG239" s="74">
        <v>4.9371836426369686</v>
      </c>
      <c r="AH239" s="73"/>
      <c r="AI239" s="72">
        <v>2946132.8343553576</v>
      </c>
      <c r="AJ239" s="72">
        <v>0</v>
      </c>
      <c r="AK239" s="73"/>
      <c r="AL239" s="74">
        <v>-1886.4554294705413</v>
      </c>
      <c r="AM239" s="74">
        <v>0</v>
      </c>
      <c r="AN239" s="73"/>
      <c r="AO239" s="72">
        <v>198333.55831996308</v>
      </c>
      <c r="AP239" s="72">
        <v>0</v>
      </c>
      <c r="AQ239" s="73"/>
      <c r="AR239" s="74">
        <v>-109.71936016076316</v>
      </c>
      <c r="AS239" s="74">
        <v>0</v>
      </c>
      <c r="AT239" s="73"/>
      <c r="AU239" s="72">
        <v>15742660.419769447</v>
      </c>
      <c r="AV239" s="72">
        <v>0</v>
      </c>
      <c r="AW239" s="73"/>
      <c r="AX239" s="74">
        <v>-1609.1299042144649</v>
      </c>
      <c r="AY239" s="74">
        <v>0</v>
      </c>
      <c r="AZ239" s="73"/>
      <c r="BA239" s="72">
        <v>46012.047098637238</v>
      </c>
      <c r="BB239" s="72">
        <v>0</v>
      </c>
      <c r="BC239" s="73"/>
      <c r="BD239" s="74">
        <v>-402.6893119986255</v>
      </c>
      <c r="BE239" s="74">
        <v>0</v>
      </c>
      <c r="BF239" s="73"/>
      <c r="BG239" s="72">
        <v>-376519.14790797548</v>
      </c>
      <c r="BH239" s="72">
        <v>0</v>
      </c>
      <c r="BI239" s="73"/>
      <c r="BJ239" s="74">
        <v>-1334.1268698526942</v>
      </c>
      <c r="BK239" s="74">
        <v>0</v>
      </c>
      <c r="BL239" s="73"/>
      <c r="BM239" s="72">
        <v>18556619.711635429</v>
      </c>
      <c r="BN239" s="72">
        <v>0</v>
      </c>
      <c r="BO239" s="73"/>
      <c r="BP239" s="74">
        <v>-5342.1208756970882</v>
      </c>
      <c r="BQ239" s="74">
        <v>0</v>
      </c>
      <c r="BS239" s="109">
        <f t="shared" si="117"/>
        <v>115991.7520006304</v>
      </c>
      <c r="BT239" s="109">
        <f t="shared" si="118"/>
        <v>116370.1358065906</v>
      </c>
      <c r="BV239" s="58">
        <f t="array" ref="BV239">SUM(IF(BS239:BT239&gt;=BS239, 1))</f>
        <v>2</v>
      </c>
      <c r="BW239" s="58">
        <f t="array" ref="BW239">SUM(IF(BS239:BT239&gt;=BT239, 1))</f>
        <v>1</v>
      </c>
      <c r="BY239" s="109">
        <f t="shared" si="119"/>
        <v>133786.3226432309</v>
      </c>
      <c r="BZ239" s="109">
        <f t="shared" si="120"/>
        <v>134124.63884778667</v>
      </c>
      <c r="CB239" s="58">
        <f t="array" ref="CB239">SUM(IF(BY239:BZ239&gt;=BY239, 1))</f>
        <v>2</v>
      </c>
      <c r="CC239" s="58">
        <f t="array" ref="CC239">SUM(IF(BY239:BZ239&gt;=BZ239, 1))</f>
        <v>1</v>
      </c>
      <c r="CE239" s="109">
        <f t="shared" si="121"/>
        <v>94138.253205243673</v>
      </c>
      <c r="CF239" s="109">
        <f t="shared" si="122"/>
        <v>96154.806931601779</v>
      </c>
      <c r="CH239" s="58">
        <f t="array" ref="CH239">SUM(IF(CE239:CF239&gt;=CE239, 1))</f>
        <v>2</v>
      </c>
      <c r="CI239" s="58">
        <f t="array" ref="CI239">SUM(IF(CE239:CF239&gt;=CF239, 1))</f>
        <v>1</v>
      </c>
      <c r="CK239" s="109">
        <f t="shared" si="123"/>
        <v>50242.204652844732</v>
      </c>
      <c r="CL239" s="109">
        <f t="shared" si="124"/>
        <v>51141.206270945593</v>
      </c>
      <c r="CN239" s="58">
        <f t="array" ref="CN239">SUM(IF(CK239:CL239&gt;=CK239, 1))</f>
        <v>2</v>
      </c>
      <c r="CO239" s="58">
        <f t="array" ref="CO239">SUM(IF(CK239:CL239&gt;=CL239, 1))</f>
        <v>1</v>
      </c>
      <c r="CQ239" s="109" cm="1">
        <f t="array" ref="CQ239">AF239*WTP-AC239</f>
        <v>47845.48089499792</v>
      </c>
      <c r="CR239" s="109">
        <f t="shared" si="125"/>
        <v>49493.523695290125</v>
      </c>
      <c r="CT239" s="58">
        <f t="array" ref="CT239">SUM(IF(CQ239:CR239&gt;=CQ239, 1))</f>
        <v>2</v>
      </c>
      <c r="CU239" s="58">
        <f t="array" ref="CU239">SUM(IF(CQ239:CR239&gt;=CR239, 1))</f>
        <v>1</v>
      </c>
      <c r="CW239" s="109">
        <f t="shared" si="126"/>
        <v>-40675241.423766181</v>
      </c>
      <c r="CX239" s="109">
        <f t="shared" si="127"/>
        <v>0</v>
      </c>
      <c r="CZ239" s="58">
        <f t="array" ref="CZ239">SUM(IF(CW239:CX239&gt;=CW239, 1))</f>
        <v>2</v>
      </c>
      <c r="DA239" s="58">
        <f t="array" ref="DA239">SUM(IF(CW239:CX239&gt;=CX239, 1))</f>
        <v>1</v>
      </c>
      <c r="DC239" s="109">
        <f t="shared" si="128"/>
        <v>-2392720.7615352264</v>
      </c>
      <c r="DD239" s="109">
        <f t="shared" si="129"/>
        <v>0</v>
      </c>
      <c r="DF239" s="58">
        <f t="array" ref="DF239">SUM(IF(DC239:DD239&gt;=DC239, 1))</f>
        <v>2</v>
      </c>
      <c r="DG239" s="58">
        <f t="array" ref="DG239">SUM(IF(DC239:DD239&gt;=DD239, 1))</f>
        <v>1</v>
      </c>
      <c r="DI239" s="109">
        <f t="shared" si="130"/>
        <v>-47925258.504058748</v>
      </c>
      <c r="DJ239" s="109">
        <f t="shared" si="131"/>
        <v>0</v>
      </c>
      <c r="DL239" s="58">
        <f t="array" ref="DL239">SUM(IF(DI239:DJ239&gt;=DI239, 1))</f>
        <v>2</v>
      </c>
      <c r="DM239" s="58">
        <f t="array" ref="DM239">SUM(IF(DI239:DJ239&gt;=DJ239, 1))</f>
        <v>1</v>
      </c>
      <c r="DO239" s="109">
        <f t="shared" si="132"/>
        <v>-8099798.2870711479</v>
      </c>
      <c r="DP239" s="109">
        <f t="shared" si="133"/>
        <v>0</v>
      </c>
      <c r="DR239" s="58">
        <f t="array" ref="DR239">SUM(IF(DO239:DP239&gt;=DO239, 1))</f>
        <v>2</v>
      </c>
      <c r="DS239" s="58">
        <f t="array" ref="DS239">SUM(IF(DO239:DP239&gt;=DP239, 1))</f>
        <v>1</v>
      </c>
      <c r="DU239" s="109">
        <f t="shared" si="134"/>
        <v>-26306018.249145906</v>
      </c>
      <c r="DV239" s="109">
        <f t="shared" si="135"/>
        <v>0</v>
      </c>
      <c r="DX239" s="58">
        <f t="array" ref="DX239">SUM(IF(DU239:DV239&gt;=DU239, 1))</f>
        <v>2</v>
      </c>
      <c r="DY239" s="58">
        <f t="array" ref="DY239">SUM(IF(DU239:DV239&gt;=DV239, 1))</f>
        <v>1</v>
      </c>
      <c r="EA239" s="109">
        <f t="shared" si="136"/>
        <v>-125399037.22557719</v>
      </c>
      <c r="EB239" s="109">
        <f t="shared" si="137"/>
        <v>0</v>
      </c>
      <c r="ED239" s="58">
        <f t="array" ref="ED239">SUM(IF(EA239:EB239&gt;=EA239, 1))</f>
        <v>2</v>
      </c>
      <c r="EE239" s="58">
        <f t="array" ref="EE239">SUM(IF(EA239:EB239&gt;=EB239, 1))</f>
        <v>1</v>
      </c>
    </row>
    <row r="240" spans="4:135" ht="12" customHeight="1" x14ac:dyDescent="0.25">
      <c r="D240" s="11">
        <v>224</v>
      </c>
      <c r="E240" s="72">
        <v>329.995709882911</v>
      </c>
      <c r="F240" s="72">
        <v>309.65439046087636</v>
      </c>
      <c r="G240" s="73"/>
      <c r="H240" s="74">
        <v>5.8237200957676869</v>
      </c>
      <c r="I240" s="74">
        <v>5.8409325959654748</v>
      </c>
      <c r="J240" s="73"/>
      <c r="K240" s="72">
        <v>354.84992276997991</v>
      </c>
      <c r="L240" s="72">
        <v>333.979606658325</v>
      </c>
      <c r="M240" s="73"/>
      <c r="N240" s="74">
        <v>6.6761184324506315</v>
      </c>
      <c r="O240" s="74">
        <v>6.6906117247981429</v>
      </c>
      <c r="P240" s="73"/>
      <c r="Q240" s="72">
        <v>2802.3213628499011</v>
      </c>
      <c r="R240" s="72">
        <v>1404.7291609930066</v>
      </c>
      <c r="S240" s="73"/>
      <c r="T240" s="74">
        <v>4.9066778298579461</v>
      </c>
      <c r="U240" s="74">
        <v>5.0104319191923974</v>
      </c>
      <c r="V240" s="73"/>
      <c r="W240" s="72">
        <v>8643.9232614790963</v>
      </c>
      <c r="X240" s="72">
        <v>8624.7191544982597</v>
      </c>
      <c r="Y240" s="73"/>
      <c r="Z240" s="74">
        <v>3.0554559237573438</v>
      </c>
      <c r="AA240" s="74">
        <v>3.0893791838298963</v>
      </c>
      <c r="AB240" s="73"/>
      <c r="AC240" s="72">
        <v>49853.440111259391</v>
      </c>
      <c r="AD240" s="72">
        <v>49277.56783945013</v>
      </c>
      <c r="AE240" s="73"/>
      <c r="AF240" s="74">
        <v>4.4074010941333048</v>
      </c>
      <c r="AG240" s="74">
        <v>4.5521632427553724</v>
      </c>
      <c r="AH240" s="73"/>
      <c r="AI240" s="72">
        <v>2163198.2856120444</v>
      </c>
      <c r="AJ240" s="72">
        <v>0</v>
      </c>
      <c r="AK240" s="73"/>
      <c r="AL240" s="74">
        <v>-1830.4639018950786</v>
      </c>
      <c r="AM240" s="74">
        <v>0</v>
      </c>
      <c r="AN240" s="73"/>
      <c r="AO240" s="72">
        <v>134858.51017888545</v>
      </c>
      <c r="AP240" s="72">
        <v>0</v>
      </c>
      <c r="AQ240" s="73"/>
      <c r="AR240" s="74">
        <v>-93.651854773820332</v>
      </c>
      <c r="AS240" s="74">
        <v>0</v>
      </c>
      <c r="AT240" s="73"/>
      <c r="AU240" s="72">
        <v>32241175.478036739</v>
      </c>
      <c r="AV240" s="72">
        <v>0</v>
      </c>
      <c r="AW240" s="73"/>
      <c r="AX240" s="74">
        <v>-2393.5120676485208</v>
      </c>
      <c r="AY240" s="74">
        <v>0</v>
      </c>
      <c r="AZ240" s="73"/>
      <c r="BA240" s="72">
        <v>171011.98476548743</v>
      </c>
      <c r="BB240" s="72">
        <v>0</v>
      </c>
      <c r="BC240" s="73"/>
      <c r="BD240" s="74">
        <v>-302.08559244707573</v>
      </c>
      <c r="BE240" s="74">
        <v>0</v>
      </c>
      <c r="BF240" s="73"/>
      <c r="BG240" s="72">
        <v>9396801.7491552327</v>
      </c>
      <c r="BH240" s="72">
        <v>0</v>
      </c>
      <c r="BI240" s="73"/>
      <c r="BJ240" s="74">
        <v>-2362.1578568274417</v>
      </c>
      <c r="BK240" s="74">
        <v>0</v>
      </c>
      <c r="BL240" s="73"/>
      <c r="BM240" s="72">
        <v>44107046.007748388</v>
      </c>
      <c r="BN240" s="72">
        <v>0</v>
      </c>
      <c r="BO240" s="73"/>
      <c r="BP240" s="74">
        <v>-6981.871273591938</v>
      </c>
      <c r="BQ240" s="74">
        <v>0</v>
      </c>
      <c r="BS240" s="109">
        <f t="shared" si="117"/>
        <v>116144.40620547082</v>
      </c>
      <c r="BT240" s="109">
        <f t="shared" si="118"/>
        <v>116508.99752884863</v>
      </c>
      <c r="BV240" s="58">
        <f t="array" ref="BV240">SUM(IF(BS240:BT240&gt;=BS240, 1))</f>
        <v>2</v>
      </c>
      <c r="BW240" s="58">
        <f t="array" ref="BW240">SUM(IF(BS240:BT240&gt;=BT240, 1))</f>
        <v>1</v>
      </c>
      <c r="BY240" s="109">
        <f t="shared" si="119"/>
        <v>133167.51872624265</v>
      </c>
      <c r="BZ240" s="109">
        <f t="shared" si="120"/>
        <v>133478.25488930452</v>
      </c>
      <c r="CB240" s="58">
        <f t="array" ref="CB240">SUM(IF(BY240:BZ240&gt;=BY240, 1))</f>
        <v>2</v>
      </c>
      <c r="CC240" s="58">
        <f t="array" ref="CC240">SUM(IF(BY240:BZ240&gt;=BZ240, 1))</f>
        <v>1</v>
      </c>
      <c r="CE240" s="109">
        <f t="shared" si="121"/>
        <v>95331.235234309017</v>
      </c>
      <c r="CF240" s="109">
        <f t="shared" si="122"/>
        <v>98803.909222854942</v>
      </c>
      <c r="CH240" s="58">
        <f t="array" ref="CH240">SUM(IF(CE240:CF240&gt;=CE240, 1))</f>
        <v>2</v>
      </c>
      <c r="CI240" s="58">
        <f t="array" ref="CI240">SUM(IF(CE240:CF240&gt;=CF240, 1))</f>
        <v>1</v>
      </c>
      <c r="CK240" s="109">
        <f t="shared" si="123"/>
        <v>52465.195213667779</v>
      </c>
      <c r="CL240" s="109">
        <f t="shared" si="124"/>
        <v>53162.86452209967</v>
      </c>
      <c r="CN240" s="58">
        <f t="array" ref="CN240">SUM(IF(CK240:CL240&gt;=CK240, 1))</f>
        <v>2</v>
      </c>
      <c r="CO240" s="58">
        <f t="array" ref="CO240">SUM(IF(CK240:CL240&gt;=CL240, 1))</f>
        <v>1</v>
      </c>
      <c r="CQ240" s="109" cm="1">
        <f t="array" ref="CQ240">AF240*WTP-AC240</f>
        <v>38294.581771406709</v>
      </c>
      <c r="CR240" s="109">
        <f t="shared" si="125"/>
        <v>41765.697015657322</v>
      </c>
      <c r="CT240" s="58">
        <f t="array" ref="CT240">SUM(IF(CQ240:CR240&gt;=CQ240, 1))</f>
        <v>2</v>
      </c>
      <c r="CU240" s="58">
        <f t="array" ref="CU240">SUM(IF(CQ240:CR240&gt;=CR240, 1))</f>
        <v>1</v>
      </c>
      <c r="CW240" s="109">
        <f t="shared" si="126"/>
        <v>-38772476.32351362</v>
      </c>
      <c r="CX240" s="109">
        <f t="shared" si="127"/>
        <v>0</v>
      </c>
      <c r="CZ240" s="58">
        <f t="array" ref="CZ240">SUM(IF(CW240:CX240&gt;=CW240, 1))</f>
        <v>2</v>
      </c>
      <c r="DA240" s="58">
        <f t="array" ref="DA240">SUM(IF(CW240:CX240&gt;=CX240, 1))</f>
        <v>1</v>
      </c>
      <c r="DC240" s="109">
        <f t="shared" si="128"/>
        <v>-2007895.605655292</v>
      </c>
      <c r="DD240" s="109">
        <f t="shared" si="129"/>
        <v>0</v>
      </c>
      <c r="DF240" s="58">
        <f t="array" ref="DF240">SUM(IF(DC240:DD240&gt;=DC240, 1))</f>
        <v>2</v>
      </c>
      <c r="DG240" s="58">
        <f t="array" ref="DG240">SUM(IF(DC240:DD240&gt;=DD240, 1))</f>
        <v>1</v>
      </c>
      <c r="DI240" s="109">
        <f t="shared" si="130"/>
        <v>-80111416.831007153</v>
      </c>
      <c r="DJ240" s="109">
        <f t="shared" si="131"/>
        <v>0</v>
      </c>
      <c r="DL240" s="58">
        <f t="array" ref="DL240">SUM(IF(DI240:DJ240&gt;=DI240, 1))</f>
        <v>2</v>
      </c>
      <c r="DM240" s="58">
        <f t="array" ref="DM240">SUM(IF(DI240:DJ240&gt;=DJ240, 1))</f>
        <v>1</v>
      </c>
      <c r="DO240" s="109">
        <f t="shared" si="132"/>
        <v>-6212723.833707002</v>
      </c>
      <c r="DP240" s="109">
        <f t="shared" si="133"/>
        <v>0</v>
      </c>
      <c r="DR240" s="58">
        <f t="array" ref="DR240">SUM(IF(DO240:DP240&gt;=DO240, 1))</f>
        <v>2</v>
      </c>
      <c r="DS240" s="58">
        <f t="array" ref="DS240">SUM(IF(DO240:DP240&gt;=DP240, 1))</f>
        <v>1</v>
      </c>
      <c r="DU240" s="109">
        <f t="shared" si="134"/>
        <v>-56639958.885704063</v>
      </c>
      <c r="DV240" s="109">
        <f t="shared" si="135"/>
        <v>0</v>
      </c>
      <c r="DX240" s="58">
        <f t="array" ref="DX240">SUM(IF(DU240:DV240&gt;=DU240, 1))</f>
        <v>2</v>
      </c>
      <c r="DY240" s="58">
        <f t="array" ref="DY240">SUM(IF(DU240:DV240&gt;=DV240, 1))</f>
        <v>1</v>
      </c>
      <c r="EA240" s="109">
        <f t="shared" si="136"/>
        <v>-183744471.47958717</v>
      </c>
      <c r="EB240" s="109">
        <f t="shared" si="137"/>
        <v>0</v>
      </c>
      <c r="ED240" s="58">
        <f t="array" ref="ED240">SUM(IF(EA240:EB240&gt;=EA240, 1))</f>
        <v>2</v>
      </c>
      <c r="EE240" s="58">
        <f t="array" ref="EE240">SUM(IF(EA240:EB240&gt;=EB240, 1))</f>
        <v>1</v>
      </c>
    </row>
    <row r="241" spans="4:135" ht="12" customHeight="1" x14ac:dyDescent="0.25">
      <c r="D241" s="11">
        <v>225</v>
      </c>
      <c r="E241" s="72">
        <v>274.09620097638515</v>
      </c>
      <c r="F241" s="72">
        <v>265.03149900732961</v>
      </c>
      <c r="G241" s="73"/>
      <c r="H241" s="74">
        <v>5.790223448940945</v>
      </c>
      <c r="I241" s="74">
        <v>5.8044291632287495</v>
      </c>
      <c r="J241" s="73"/>
      <c r="K241" s="72">
        <v>295.02453799438968</v>
      </c>
      <c r="L241" s="72">
        <v>285.71361641585963</v>
      </c>
      <c r="M241" s="73"/>
      <c r="N241" s="74">
        <v>6.7458619580705088</v>
      </c>
      <c r="O241" s="74">
        <v>6.7581992585671582</v>
      </c>
      <c r="P241" s="73"/>
      <c r="Q241" s="72">
        <v>1978.4624304338208</v>
      </c>
      <c r="R241" s="72">
        <v>1259.4794436026357</v>
      </c>
      <c r="S241" s="73"/>
      <c r="T241" s="74">
        <v>4.780370192119503</v>
      </c>
      <c r="U241" s="74">
        <v>4.8466295453911776</v>
      </c>
      <c r="V241" s="73"/>
      <c r="W241" s="72">
        <v>15010.53321443063</v>
      </c>
      <c r="X241" s="72">
        <v>15030.495099427848</v>
      </c>
      <c r="Y241" s="73"/>
      <c r="Z241" s="74">
        <v>3.0234247979353186</v>
      </c>
      <c r="AA241" s="74">
        <v>3.0747435715829732</v>
      </c>
      <c r="AB241" s="73"/>
      <c r="AC241" s="72">
        <v>51159.598501759072</v>
      </c>
      <c r="AD241" s="72">
        <v>50857.847875099156</v>
      </c>
      <c r="AE241" s="73"/>
      <c r="AF241" s="74">
        <v>4.5006950235237246</v>
      </c>
      <c r="AG241" s="74">
        <v>4.608309534976792</v>
      </c>
      <c r="AH241" s="73"/>
      <c r="AI241" s="72">
        <v>974629.17305847409</v>
      </c>
      <c r="AJ241" s="72">
        <v>0</v>
      </c>
      <c r="AK241" s="73"/>
      <c r="AL241" s="74">
        <v>-1527.3865170958729</v>
      </c>
      <c r="AM241" s="74">
        <v>0</v>
      </c>
      <c r="AN241" s="73"/>
      <c r="AO241" s="72">
        <v>65070.796762095204</v>
      </c>
      <c r="AP241" s="72">
        <v>0</v>
      </c>
      <c r="AQ241" s="73"/>
      <c r="AR241" s="74">
        <v>-86.221107807580708</v>
      </c>
      <c r="AS241" s="74">
        <v>0</v>
      </c>
      <c r="AT241" s="73"/>
      <c r="AU241" s="72">
        <v>16671787.534955844</v>
      </c>
      <c r="AV241" s="72">
        <v>0</v>
      </c>
      <c r="AW241" s="73"/>
      <c r="AX241" s="74">
        <v>-1536.4228085807433</v>
      </c>
      <c r="AY241" s="74">
        <v>0</v>
      </c>
      <c r="AZ241" s="73"/>
      <c r="BA241" s="72">
        <v>-170949.86509192627</v>
      </c>
      <c r="BB241" s="72">
        <v>0</v>
      </c>
      <c r="BC241" s="73"/>
      <c r="BD241" s="74">
        <v>-439.48441908028661</v>
      </c>
      <c r="BE241" s="74">
        <v>0</v>
      </c>
      <c r="BF241" s="73"/>
      <c r="BG241" s="72">
        <v>4710850.5508395918</v>
      </c>
      <c r="BH241" s="72">
        <v>0</v>
      </c>
      <c r="BI241" s="73"/>
      <c r="BJ241" s="74">
        <v>-1680.0491391468561</v>
      </c>
      <c r="BK241" s="74">
        <v>0</v>
      </c>
      <c r="BL241" s="73"/>
      <c r="BM241" s="72">
        <v>22251388.190524079</v>
      </c>
      <c r="BN241" s="72">
        <v>0</v>
      </c>
      <c r="BO241" s="73"/>
      <c r="BP241" s="74">
        <v>-5269.5639917113394</v>
      </c>
      <c r="BQ241" s="74">
        <v>0</v>
      </c>
      <c r="BS241" s="109">
        <f t="shared" si="117"/>
        <v>115530.37277784251</v>
      </c>
      <c r="BT241" s="109">
        <f t="shared" si="118"/>
        <v>115823.55176556767</v>
      </c>
      <c r="BV241" s="58">
        <f t="array" ref="BV241">SUM(IF(BS241:BT241&gt;=BS241, 1))</f>
        <v>2</v>
      </c>
      <c r="BW241" s="58">
        <f t="array" ref="BW241">SUM(IF(BS241:BT241&gt;=BT241, 1))</f>
        <v>1</v>
      </c>
      <c r="BY241" s="109">
        <f t="shared" si="119"/>
        <v>134622.21462341578</v>
      </c>
      <c r="BZ241" s="109">
        <f t="shared" si="120"/>
        <v>134878.27155492731</v>
      </c>
      <c r="CB241" s="58">
        <f t="array" ref="CB241">SUM(IF(BY241:BZ241&gt;=BY241, 1))</f>
        <v>2</v>
      </c>
      <c r="CC241" s="58">
        <f t="array" ref="CC241">SUM(IF(BY241:BZ241&gt;=BZ241, 1))</f>
        <v>1</v>
      </c>
      <c r="CE241" s="109">
        <f t="shared" si="121"/>
        <v>93628.941411956243</v>
      </c>
      <c r="CF241" s="109">
        <f t="shared" si="122"/>
        <v>95673.111464220914</v>
      </c>
      <c r="CH241" s="58">
        <f t="array" ref="CH241">SUM(IF(CE241:CF241&gt;=CE241, 1))</f>
        <v>2</v>
      </c>
      <c r="CI241" s="58">
        <f t="array" ref="CI241">SUM(IF(CE241:CF241&gt;=CF241, 1))</f>
        <v>1</v>
      </c>
      <c r="CK241" s="109">
        <f t="shared" si="123"/>
        <v>45457.962744275741</v>
      </c>
      <c r="CL241" s="109">
        <f t="shared" si="124"/>
        <v>46464.376332231615</v>
      </c>
      <c r="CN241" s="58">
        <f t="array" ref="CN241">SUM(IF(CK241:CL241&gt;=CK241, 1))</f>
        <v>2</v>
      </c>
      <c r="CO241" s="58">
        <f t="array" ref="CO241">SUM(IF(CK241:CL241&gt;=CL241, 1))</f>
        <v>1</v>
      </c>
      <c r="CQ241" s="109" cm="1">
        <f t="array" ref="CQ241">AF241*WTP-AC241</f>
        <v>38854.301968715416</v>
      </c>
      <c r="CR241" s="109">
        <f t="shared" si="125"/>
        <v>41308.342824436688</v>
      </c>
      <c r="CT241" s="58">
        <f t="array" ref="CT241">SUM(IF(CQ241:CR241&gt;=CQ241, 1))</f>
        <v>2</v>
      </c>
      <c r="CU241" s="58">
        <f t="array" ref="CU241">SUM(IF(CQ241:CR241&gt;=CR241, 1))</f>
        <v>1</v>
      </c>
      <c r="CW241" s="109">
        <f t="shared" si="126"/>
        <v>-31522359.514975931</v>
      </c>
      <c r="CX241" s="109">
        <f t="shared" si="127"/>
        <v>0</v>
      </c>
      <c r="CZ241" s="58">
        <f t="array" ref="CZ241">SUM(IF(CW241:CX241&gt;=CW241, 1))</f>
        <v>2</v>
      </c>
      <c r="DA241" s="58">
        <f t="array" ref="DA241">SUM(IF(CW241:CX241&gt;=CX241, 1))</f>
        <v>1</v>
      </c>
      <c r="DC241" s="109">
        <f t="shared" si="128"/>
        <v>-1789492.9529137095</v>
      </c>
      <c r="DD241" s="109">
        <f t="shared" si="129"/>
        <v>0</v>
      </c>
      <c r="DF241" s="58">
        <f t="array" ref="DF241">SUM(IF(DC241:DD241&gt;=DC241, 1))</f>
        <v>2</v>
      </c>
      <c r="DG241" s="58">
        <f t="array" ref="DG241">SUM(IF(DC241:DD241&gt;=DD241, 1))</f>
        <v>1</v>
      </c>
      <c r="DI241" s="109">
        <f t="shared" si="130"/>
        <v>-47400243.706570715</v>
      </c>
      <c r="DJ241" s="109">
        <f t="shared" si="131"/>
        <v>0</v>
      </c>
      <c r="DL241" s="58">
        <f t="array" ref="DL241">SUM(IF(DI241:DJ241&gt;=DI241, 1))</f>
        <v>2</v>
      </c>
      <c r="DM241" s="58">
        <f t="array" ref="DM241">SUM(IF(DI241:DJ241&gt;=DJ241, 1))</f>
        <v>1</v>
      </c>
      <c r="DO241" s="109">
        <f t="shared" si="132"/>
        <v>-8618738.5165138077</v>
      </c>
      <c r="DP241" s="109">
        <f t="shared" si="133"/>
        <v>0</v>
      </c>
      <c r="DR241" s="58">
        <f t="array" ref="DR241">SUM(IF(DO241:DP241&gt;=DO241, 1))</f>
        <v>2</v>
      </c>
      <c r="DS241" s="58">
        <f t="array" ref="DS241">SUM(IF(DO241:DP241&gt;=DP241, 1))</f>
        <v>1</v>
      </c>
      <c r="DU241" s="109">
        <f t="shared" si="134"/>
        <v>-38311833.333776712</v>
      </c>
      <c r="DV241" s="109">
        <f t="shared" si="135"/>
        <v>0</v>
      </c>
      <c r="DX241" s="58">
        <f t="array" ref="DX241">SUM(IF(DU241:DV241&gt;=DU241, 1))</f>
        <v>2</v>
      </c>
      <c r="DY241" s="58">
        <f t="array" ref="DY241">SUM(IF(DU241:DV241&gt;=DV241, 1))</f>
        <v>1</v>
      </c>
      <c r="EA241" s="109">
        <f t="shared" si="136"/>
        <v>-127642668.02475086</v>
      </c>
      <c r="EB241" s="109">
        <f t="shared" si="137"/>
        <v>0</v>
      </c>
      <c r="ED241" s="58">
        <f t="array" ref="ED241">SUM(IF(EA241:EB241&gt;=EA241, 1))</f>
        <v>2</v>
      </c>
      <c r="EE241" s="58">
        <f t="array" ref="EE241">SUM(IF(EA241:EB241&gt;=EB241, 1))</f>
        <v>1</v>
      </c>
    </row>
    <row r="242" spans="4:135" ht="12" customHeight="1" x14ac:dyDescent="0.25">
      <c r="D242" s="11">
        <v>226</v>
      </c>
      <c r="E242" s="72">
        <v>269.14415582599287</v>
      </c>
      <c r="F242" s="72">
        <v>242.90876103636356</v>
      </c>
      <c r="G242" s="73"/>
      <c r="H242" s="74">
        <v>5.7728364650282469</v>
      </c>
      <c r="I242" s="74">
        <v>5.7915379962410753</v>
      </c>
      <c r="J242" s="73"/>
      <c r="K242" s="72">
        <v>288.69839894926093</v>
      </c>
      <c r="L242" s="72">
        <v>261.86794699125386</v>
      </c>
      <c r="M242" s="73"/>
      <c r="N242" s="74">
        <v>6.673419112848709</v>
      </c>
      <c r="O242" s="74">
        <v>6.6905903387536654</v>
      </c>
      <c r="P242" s="73"/>
      <c r="Q242" s="72">
        <v>3204.8381175190389</v>
      </c>
      <c r="R242" s="72">
        <v>1856.0871010812625</v>
      </c>
      <c r="S242" s="73"/>
      <c r="T242" s="74">
        <v>4.8988479587445593</v>
      </c>
      <c r="U242" s="74">
        <v>5.0023949017730693</v>
      </c>
      <c r="V242" s="73"/>
      <c r="W242" s="72">
        <v>10943.165622049417</v>
      </c>
      <c r="X242" s="72">
        <v>10971.114162910128</v>
      </c>
      <c r="Y242" s="73"/>
      <c r="Z242" s="74">
        <v>3.0114428648706277</v>
      </c>
      <c r="AA242" s="74">
        <v>3.0610953947885342</v>
      </c>
      <c r="AB242" s="73"/>
      <c r="AC242" s="72">
        <v>51251.985970046211</v>
      </c>
      <c r="AD242" s="72">
        <v>50986.6864827104</v>
      </c>
      <c r="AE242" s="73"/>
      <c r="AF242" s="74">
        <v>4.8411607411605324</v>
      </c>
      <c r="AG242" s="74">
        <v>4.9985127084106962</v>
      </c>
      <c r="AH242" s="73"/>
      <c r="AI242" s="72">
        <v>2803094.8541609258</v>
      </c>
      <c r="AJ242" s="72">
        <v>0</v>
      </c>
      <c r="AK242" s="73"/>
      <c r="AL242" s="74">
        <v>-1998.1466384615483</v>
      </c>
      <c r="AM242" s="74">
        <v>0</v>
      </c>
      <c r="AN242" s="73"/>
      <c r="AO242" s="72">
        <v>180763.30635763271</v>
      </c>
      <c r="AP242" s="72">
        <v>0</v>
      </c>
      <c r="AQ242" s="73"/>
      <c r="AR242" s="74">
        <v>-115.68674182797098</v>
      </c>
      <c r="AS242" s="74">
        <v>0</v>
      </c>
      <c r="AT242" s="73"/>
      <c r="AU242" s="72">
        <v>31648107.774053697</v>
      </c>
      <c r="AV242" s="72">
        <v>0</v>
      </c>
      <c r="AW242" s="73"/>
      <c r="AX242" s="74">
        <v>-2429.7033126953497</v>
      </c>
      <c r="AY242" s="74">
        <v>0</v>
      </c>
      <c r="AZ242" s="73"/>
      <c r="BA242" s="72">
        <v>-251122.93658046969</v>
      </c>
      <c r="BB242" s="72">
        <v>0</v>
      </c>
      <c r="BC242" s="73"/>
      <c r="BD242" s="74">
        <v>-446.13739170772794</v>
      </c>
      <c r="BE242" s="74">
        <v>0</v>
      </c>
      <c r="BF242" s="73"/>
      <c r="BG242" s="72">
        <v>4216650.0896647368</v>
      </c>
      <c r="BH242" s="72">
        <v>0</v>
      </c>
      <c r="BI242" s="73"/>
      <c r="BJ242" s="74">
        <v>-2500.9403277680749</v>
      </c>
      <c r="BK242" s="74">
        <v>0</v>
      </c>
      <c r="BL242" s="73"/>
      <c r="BM242" s="72">
        <v>38597493.08765652</v>
      </c>
      <c r="BN242" s="72">
        <v>0</v>
      </c>
      <c r="BO242" s="73"/>
      <c r="BP242" s="74">
        <v>-7490.6144124606717</v>
      </c>
      <c r="BQ242" s="74">
        <v>0</v>
      </c>
      <c r="BS242" s="109">
        <f t="shared" si="117"/>
        <v>115187.58514473894</v>
      </c>
      <c r="BT242" s="109">
        <f t="shared" si="118"/>
        <v>115587.85116378515</v>
      </c>
      <c r="BV242" s="58">
        <f t="array" ref="BV242">SUM(IF(BS242:BT242&gt;=BS242, 1))</f>
        <v>2</v>
      </c>
      <c r="BW242" s="58">
        <f t="array" ref="BW242">SUM(IF(BS242:BT242&gt;=BT242, 1))</f>
        <v>1</v>
      </c>
      <c r="BY242" s="109">
        <f t="shared" si="119"/>
        <v>133179.68385802492</v>
      </c>
      <c r="BZ242" s="109">
        <f t="shared" si="120"/>
        <v>133549.93882808206</v>
      </c>
      <c r="CB242" s="58">
        <f t="array" ref="CB242">SUM(IF(BY242:BZ242&gt;=BY242, 1))</f>
        <v>2</v>
      </c>
      <c r="CC242" s="58">
        <f t="array" ref="CC242">SUM(IF(BY242:BZ242&gt;=BZ242, 1))</f>
        <v>1</v>
      </c>
      <c r="CE242" s="109">
        <f t="shared" si="121"/>
        <v>94772.121057372147</v>
      </c>
      <c r="CF242" s="109">
        <f t="shared" si="122"/>
        <v>98191.810934380133</v>
      </c>
      <c r="CH242" s="58">
        <f t="array" ref="CH242">SUM(IF(CE242:CF242&gt;=CE242, 1))</f>
        <v>2</v>
      </c>
      <c r="CI242" s="58">
        <f t="array" ref="CI242">SUM(IF(CE242:CF242&gt;=CF242, 1))</f>
        <v>1</v>
      </c>
      <c r="CK242" s="109">
        <f t="shared" si="123"/>
        <v>49285.691675363138</v>
      </c>
      <c r="CL242" s="109">
        <f t="shared" si="124"/>
        <v>50250.793732860555</v>
      </c>
      <c r="CN242" s="58">
        <f t="array" ref="CN242">SUM(IF(CK242:CL242&gt;=CK242, 1))</f>
        <v>2</v>
      </c>
      <c r="CO242" s="58">
        <f t="array" ref="CO242">SUM(IF(CK242:CL242&gt;=CL242, 1))</f>
        <v>1</v>
      </c>
      <c r="CQ242" s="109" cm="1">
        <f t="array" ref="CQ242">AF242*WTP-AC242</f>
        <v>45571.22885316443</v>
      </c>
      <c r="CR242" s="109">
        <f t="shared" si="125"/>
        <v>48983.567685503527</v>
      </c>
      <c r="CT242" s="58">
        <f t="array" ref="CT242">SUM(IF(CQ242:CR242&gt;=CQ242, 1))</f>
        <v>2</v>
      </c>
      <c r="CU242" s="58">
        <f t="array" ref="CU242">SUM(IF(CQ242:CR242&gt;=CR242, 1))</f>
        <v>1</v>
      </c>
      <c r="CW242" s="109">
        <f t="shared" si="126"/>
        <v>-42766027.623391889</v>
      </c>
      <c r="CX242" s="109">
        <f t="shared" si="127"/>
        <v>0</v>
      </c>
      <c r="CZ242" s="58">
        <f t="array" ref="CZ242">SUM(IF(CW242:CX242&gt;=CW242, 1))</f>
        <v>2</v>
      </c>
      <c r="DA242" s="58">
        <f t="array" ref="DA242">SUM(IF(CW242:CX242&gt;=CX242, 1))</f>
        <v>1</v>
      </c>
      <c r="DC242" s="109">
        <f t="shared" si="128"/>
        <v>-2494498.1429170524</v>
      </c>
      <c r="DD242" s="109">
        <f t="shared" si="129"/>
        <v>0</v>
      </c>
      <c r="DF242" s="58">
        <f t="array" ref="DF242">SUM(IF(DC242:DD242&gt;=DC242, 1))</f>
        <v>2</v>
      </c>
      <c r="DG242" s="58">
        <f t="array" ref="DG242">SUM(IF(DC242:DD242&gt;=DD242, 1))</f>
        <v>1</v>
      </c>
      <c r="DI242" s="109">
        <f t="shared" si="130"/>
        <v>-80242174.027960688</v>
      </c>
      <c r="DJ242" s="109">
        <f t="shared" si="131"/>
        <v>0</v>
      </c>
      <c r="DL242" s="58">
        <f t="array" ref="DL242">SUM(IF(DI242:DJ242&gt;=DI242, 1))</f>
        <v>2</v>
      </c>
      <c r="DM242" s="58">
        <f t="array" ref="DM242">SUM(IF(DI242:DJ242&gt;=DJ242, 1))</f>
        <v>1</v>
      </c>
      <c r="DO242" s="109">
        <f t="shared" si="132"/>
        <v>-8671624.8975740895</v>
      </c>
      <c r="DP242" s="109">
        <f t="shared" si="133"/>
        <v>0</v>
      </c>
      <c r="DR242" s="58">
        <f t="array" ref="DR242">SUM(IF(DO242:DP242&gt;=DO242, 1))</f>
        <v>2</v>
      </c>
      <c r="DS242" s="58">
        <f t="array" ref="DS242">SUM(IF(DO242:DP242&gt;=DP242, 1))</f>
        <v>1</v>
      </c>
      <c r="DU242" s="109">
        <f t="shared" si="134"/>
        <v>-54235456.645026229</v>
      </c>
      <c r="DV242" s="109">
        <f t="shared" si="135"/>
        <v>0</v>
      </c>
      <c r="DX242" s="58">
        <f t="array" ref="DX242">SUM(IF(DU242:DV242&gt;=DU242, 1))</f>
        <v>2</v>
      </c>
      <c r="DY242" s="58">
        <f t="array" ref="DY242">SUM(IF(DU242:DV242&gt;=DV242, 1))</f>
        <v>1</v>
      </c>
      <c r="EA242" s="109">
        <f t="shared" si="136"/>
        <v>-188409781.33686996</v>
      </c>
      <c r="EB242" s="109">
        <f t="shared" si="137"/>
        <v>0</v>
      </c>
      <c r="ED242" s="58">
        <f t="array" ref="ED242">SUM(IF(EA242:EB242&gt;=EA242, 1))</f>
        <v>2</v>
      </c>
      <c r="EE242" s="58">
        <f t="array" ref="EE242">SUM(IF(EA242:EB242&gt;=EB242, 1))</f>
        <v>1</v>
      </c>
    </row>
    <row r="243" spans="4:135" ht="12" customHeight="1" x14ac:dyDescent="0.25">
      <c r="D243" s="11">
        <v>227</v>
      </c>
      <c r="E243" s="72">
        <v>260.37247586209622</v>
      </c>
      <c r="F243" s="72">
        <v>230.55326419846602</v>
      </c>
      <c r="G243" s="73"/>
      <c r="H243" s="74">
        <v>5.820310763692131</v>
      </c>
      <c r="I243" s="74">
        <v>5.8397279605316266</v>
      </c>
      <c r="J243" s="73"/>
      <c r="K243" s="72">
        <v>279.12647118425832</v>
      </c>
      <c r="L243" s="72">
        <v>248.55800091933304</v>
      </c>
      <c r="M243" s="73"/>
      <c r="N243" s="74">
        <v>6.7287711861680739</v>
      </c>
      <c r="O243" s="74">
        <v>6.7453307752884148</v>
      </c>
      <c r="P243" s="73"/>
      <c r="Q243" s="72">
        <v>1653.2649039536109</v>
      </c>
      <c r="R243" s="72">
        <v>978.88300085328206</v>
      </c>
      <c r="S243" s="73"/>
      <c r="T243" s="74">
        <v>4.7785536165836255</v>
      </c>
      <c r="U243" s="74">
        <v>4.8953245083122194</v>
      </c>
      <c r="V243" s="73"/>
      <c r="W243" s="72">
        <v>8264.8422302599283</v>
      </c>
      <c r="X243" s="72">
        <v>8258.0258965046796</v>
      </c>
      <c r="Y243" s="73"/>
      <c r="Z243" s="74">
        <v>3.0110524135282741</v>
      </c>
      <c r="AA243" s="74">
        <v>3.0595244593691895</v>
      </c>
      <c r="AB243" s="73"/>
      <c r="AC243" s="72">
        <v>50125.372474133088</v>
      </c>
      <c r="AD243" s="72">
        <v>49687.089648401794</v>
      </c>
      <c r="AE243" s="73"/>
      <c r="AF243" s="74">
        <v>4.1025486687584296</v>
      </c>
      <c r="AG243" s="74">
        <v>4.2595912658622703</v>
      </c>
      <c r="AH243" s="73"/>
      <c r="AI243" s="72">
        <v>3222764.1105913431</v>
      </c>
      <c r="AJ243" s="72">
        <v>0</v>
      </c>
      <c r="AK243" s="73"/>
      <c r="AL243" s="74">
        <v>-2098.5479364277721</v>
      </c>
      <c r="AM243" s="74">
        <v>0</v>
      </c>
      <c r="AN243" s="73"/>
      <c r="AO243" s="72">
        <v>207443.2170561644</v>
      </c>
      <c r="AP243" s="72">
        <v>0</v>
      </c>
      <c r="AQ243" s="73"/>
      <c r="AR243" s="74">
        <v>-112.37639340406758</v>
      </c>
      <c r="AS243" s="74">
        <v>0</v>
      </c>
      <c r="AT243" s="73"/>
      <c r="AU243" s="72">
        <v>15319189.113278994</v>
      </c>
      <c r="AV243" s="72">
        <v>0</v>
      </c>
      <c r="AW243" s="73"/>
      <c r="AX243" s="74">
        <v>-2652.5554216279556</v>
      </c>
      <c r="AY243" s="74">
        <v>0</v>
      </c>
      <c r="AZ243" s="73"/>
      <c r="BA243" s="72">
        <v>60537.358522223316</v>
      </c>
      <c r="BB243" s="72">
        <v>0</v>
      </c>
      <c r="BC243" s="73"/>
      <c r="BD243" s="74">
        <v>-430.4908947742789</v>
      </c>
      <c r="BE243" s="74">
        <v>0</v>
      </c>
      <c r="BF243" s="73"/>
      <c r="BG243" s="72">
        <v>6894353.264310292</v>
      </c>
      <c r="BH243" s="72">
        <v>0</v>
      </c>
      <c r="BI243" s="73"/>
      <c r="BJ243" s="74">
        <v>-2470.3389647360382</v>
      </c>
      <c r="BK243" s="74">
        <v>0</v>
      </c>
      <c r="BL243" s="73"/>
      <c r="BM243" s="72">
        <v>25704287.063759021</v>
      </c>
      <c r="BN243" s="72">
        <v>0</v>
      </c>
      <c r="BO243" s="73"/>
      <c r="BP243" s="74">
        <v>-7764.3096109701128</v>
      </c>
      <c r="BQ243" s="74">
        <v>0</v>
      </c>
      <c r="BS243" s="109">
        <f t="shared" si="117"/>
        <v>116145.84279798053</v>
      </c>
      <c r="BT243" s="109">
        <f t="shared" si="118"/>
        <v>116564.00594643407</v>
      </c>
      <c r="BV243" s="58">
        <f t="array" ref="BV243">SUM(IF(BS243:BT243&gt;=BS243, 1))</f>
        <v>2</v>
      </c>
      <c r="BW243" s="58">
        <f t="array" ref="BW243">SUM(IF(BS243:BT243&gt;=BT243, 1))</f>
        <v>1</v>
      </c>
      <c r="BY243" s="109">
        <f t="shared" si="119"/>
        <v>134296.29725217723</v>
      </c>
      <c r="BZ243" s="109">
        <f t="shared" si="120"/>
        <v>134658.05750484898</v>
      </c>
      <c r="CB243" s="58">
        <f t="array" ref="CB243">SUM(IF(BY243:BZ243&gt;=BY243, 1))</f>
        <v>2</v>
      </c>
      <c r="CC243" s="58">
        <f t="array" ref="CC243">SUM(IF(BY243:BZ243&gt;=BZ243, 1))</f>
        <v>1</v>
      </c>
      <c r="CE243" s="109">
        <f t="shared" si="121"/>
        <v>93917.807427718901</v>
      </c>
      <c r="CF243" s="109">
        <f t="shared" si="122"/>
        <v>96927.607165391106</v>
      </c>
      <c r="CH243" s="58">
        <f t="array" ref="CH243">SUM(IF(CE243:CF243&gt;=CE243, 1))</f>
        <v>2</v>
      </c>
      <c r="CI243" s="58">
        <f t="array" ref="CI243">SUM(IF(CE243:CF243&gt;=CF243, 1))</f>
        <v>1</v>
      </c>
      <c r="CK243" s="109">
        <f t="shared" si="123"/>
        <v>51956.206040305551</v>
      </c>
      <c r="CL243" s="109">
        <f t="shared" si="124"/>
        <v>52932.46329087911</v>
      </c>
      <c r="CN243" s="58">
        <f t="array" ref="CN243">SUM(IF(CK243:CL243&gt;=CK243, 1))</f>
        <v>2</v>
      </c>
      <c r="CO243" s="58">
        <f t="array" ref="CO243">SUM(IF(CK243:CL243&gt;=CL243, 1))</f>
        <v>1</v>
      </c>
      <c r="CQ243" s="109" cm="1">
        <f t="array" ref="CQ243">AF243*WTP-AC243</f>
        <v>31925.600901035497</v>
      </c>
      <c r="CR243" s="109">
        <f t="shared" si="125"/>
        <v>35504.735668843619</v>
      </c>
      <c r="CT243" s="58">
        <f t="array" ref="CT243">SUM(IF(CQ243:CR243&gt;=CQ243, 1))</f>
        <v>2</v>
      </c>
      <c r="CU243" s="58">
        <f t="array" ref="CU243">SUM(IF(CQ243:CR243&gt;=CR243, 1))</f>
        <v>1</v>
      </c>
      <c r="CW243" s="109">
        <f t="shared" si="126"/>
        <v>-45193722.839146785</v>
      </c>
      <c r="CX243" s="109">
        <f t="shared" si="127"/>
        <v>0</v>
      </c>
      <c r="CZ243" s="58">
        <f t="array" ref="CZ243">SUM(IF(CW243:CX243&gt;=CW243, 1))</f>
        <v>2</v>
      </c>
      <c r="DA243" s="58">
        <f t="array" ref="DA243">SUM(IF(CW243:CX243&gt;=CX243, 1))</f>
        <v>1</v>
      </c>
      <c r="DC243" s="109">
        <f t="shared" si="128"/>
        <v>-2454971.0851375163</v>
      </c>
      <c r="DD243" s="109">
        <f t="shared" si="129"/>
        <v>0</v>
      </c>
      <c r="DF243" s="58">
        <f t="array" ref="DF243">SUM(IF(DC243:DD243&gt;=DC243, 1))</f>
        <v>2</v>
      </c>
      <c r="DG243" s="58">
        <f t="array" ref="DG243">SUM(IF(DC243:DD243&gt;=DD243, 1))</f>
        <v>1</v>
      </c>
      <c r="DI243" s="109">
        <f t="shared" si="130"/>
        <v>-68370297.545838103</v>
      </c>
      <c r="DJ243" s="109">
        <f t="shared" si="131"/>
        <v>0</v>
      </c>
      <c r="DL243" s="58">
        <f t="array" ref="DL243">SUM(IF(DI243:DJ243&gt;=DI243, 1))</f>
        <v>2</v>
      </c>
      <c r="DM243" s="58">
        <f t="array" ref="DM243">SUM(IF(DI243:DJ243&gt;=DJ243, 1))</f>
        <v>1</v>
      </c>
      <c r="DO243" s="109">
        <f t="shared" si="132"/>
        <v>-8670355.2540078014</v>
      </c>
      <c r="DP243" s="109">
        <f t="shared" si="133"/>
        <v>0</v>
      </c>
      <c r="DR243" s="58">
        <f t="array" ref="DR243">SUM(IF(DO243:DP243&gt;=DO243, 1))</f>
        <v>2</v>
      </c>
      <c r="DS243" s="58">
        <f t="array" ref="DS243">SUM(IF(DO243:DP243&gt;=DP243, 1))</f>
        <v>1</v>
      </c>
      <c r="DU243" s="109">
        <f t="shared" si="134"/>
        <v>-56301132.559031054</v>
      </c>
      <c r="DV243" s="109">
        <f t="shared" si="135"/>
        <v>0</v>
      </c>
      <c r="DX243" s="58">
        <f t="array" ref="DX243">SUM(IF(DU243:DV243&gt;=DU243, 1))</f>
        <v>2</v>
      </c>
      <c r="DY243" s="58">
        <f t="array" ref="DY243">SUM(IF(DU243:DV243&gt;=DV243, 1))</f>
        <v>1</v>
      </c>
      <c r="EA243" s="109">
        <f t="shared" si="136"/>
        <v>-180990479.28316128</v>
      </c>
      <c r="EB243" s="109">
        <f t="shared" si="137"/>
        <v>0</v>
      </c>
      <c r="ED243" s="58">
        <f t="array" ref="ED243">SUM(IF(EA243:EB243&gt;=EA243, 1))</f>
        <v>2</v>
      </c>
      <c r="EE243" s="58">
        <f t="array" ref="EE243">SUM(IF(EA243:EB243&gt;=EB243, 1))</f>
        <v>1</v>
      </c>
    </row>
    <row r="244" spans="4:135" ht="12" customHeight="1" x14ac:dyDescent="0.25">
      <c r="D244" s="11">
        <v>228</v>
      </c>
      <c r="E244" s="72">
        <v>234.85655372140005</v>
      </c>
      <c r="F244" s="72">
        <v>213.11291180328416</v>
      </c>
      <c r="G244" s="73"/>
      <c r="H244" s="74">
        <v>5.7919784933523983</v>
      </c>
      <c r="I244" s="74">
        <v>5.8084308117826993</v>
      </c>
      <c r="J244" s="73"/>
      <c r="K244" s="72">
        <v>252.04023052628656</v>
      </c>
      <c r="L244" s="72">
        <v>229.78435423477868</v>
      </c>
      <c r="M244" s="73"/>
      <c r="N244" s="74">
        <v>6.6914752260561468</v>
      </c>
      <c r="O244" s="74">
        <v>6.7058586142463312</v>
      </c>
      <c r="P244" s="73"/>
      <c r="Q244" s="72">
        <v>2980.9781844187833</v>
      </c>
      <c r="R244" s="72">
        <v>1430.0201214408085</v>
      </c>
      <c r="S244" s="73"/>
      <c r="T244" s="74">
        <v>4.8391574946525715</v>
      </c>
      <c r="U244" s="74">
        <v>4.9589984019596383</v>
      </c>
      <c r="V244" s="73"/>
      <c r="W244" s="72">
        <v>9928.8794974569191</v>
      </c>
      <c r="X244" s="72">
        <v>9888.1999697075335</v>
      </c>
      <c r="Y244" s="73"/>
      <c r="Z244" s="74">
        <v>3.0014367446539221</v>
      </c>
      <c r="AA244" s="74">
        <v>3.0430895249063803</v>
      </c>
      <c r="AB244" s="73"/>
      <c r="AC244" s="72">
        <v>51864.843002010959</v>
      </c>
      <c r="AD244" s="72">
        <v>51443.029152158917</v>
      </c>
      <c r="AE244" s="73"/>
      <c r="AF244" s="74">
        <v>4.606598776763672</v>
      </c>
      <c r="AG244" s="74">
        <v>4.7216901522803996</v>
      </c>
      <c r="AH244" s="73"/>
      <c r="AI244" s="72">
        <v>2329466.8336104671</v>
      </c>
      <c r="AJ244" s="72">
        <v>0</v>
      </c>
      <c r="AK244" s="73"/>
      <c r="AL244" s="74">
        <v>-1762.5901982617436</v>
      </c>
      <c r="AM244" s="74">
        <v>0</v>
      </c>
      <c r="AN244" s="73"/>
      <c r="AO244" s="72">
        <v>163403.72473177951</v>
      </c>
      <c r="AP244" s="72">
        <v>0</v>
      </c>
      <c r="AQ244" s="73"/>
      <c r="AR244" s="74">
        <v>-105.60353471393213</v>
      </c>
      <c r="AS244" s="74">
        <v>0</v>
      </c>
      <c r="AT244" s="73"/>
      <c r="AU244" s="72">
        <v>36555795.439441957</v>
      </c>
      <c r="AV244" s="72">
        <v>0</v>
      </c>
      <c r="AW244" s="73"/>
      <c r="AX244" s="74">
        <v>-2824.6280781974115</v>
      </c>
      <c r="AY244" s="74">
        <v>0</v>
      </c>
      <c r="AZ244" s="73"/>
      <c r="BA244" s="72">
        <v>356766.46738929587</v>
      </c>
      <c r="BB244" s="72">
        <v>0</v>
      </c>
      <c r="BC244" s="73"/>
      <c r="BD244" s="74">
        <v>-365.30205953132185</v>
      </c>
      <c r="BE244" s="74">
        <v>0</v>
      </c>
      <c r="BF244" s="73"/>
      <c r="BG244" s="72">
        <v>6671948.6580714183</v>
      </c>
      <c r="BH244" s="72">
        <v>0</v>
      </c>
      <c r="BI244" s="73"/>
      <c r="BJ244" s="74">
        <v>-1820.4327541728928</v>
      </c>
      <c r="BK244" s="74">
        <v>0</v>
      </c>
      <c r="BL244" s="73"/>
      <c r="BM244" s="72">
        <v>46077381.123244919</v>
      </c>
      <c r="BN244" s="72">
        <v>0</v>
      </c>
      <c r="BO244" s="73"/>
      <c r="BP244" s="74">
        <v>-6878.5566248773021</v>
      </c>
      <c r="BQ244" s="74">
        <v>0</v>
      </c>
      <c r="BS244" s="109">
        <f t="shared" si="117"/>
        <v>115604.71331332656</v>
      </c>
      <c r="BT244" s="109">
        <f t="shared" si="118"/>
        <v>115955.5033238507</v>
      </c>
      <c r="BV244" s="58">
        <f t="array" ref="BV244">SUM(IF(BS244:BT244&gt;=BS244, 1))</f>
        <v>2</v>
      </c>
      <c r="BW244" s="58">
        <f t="array" ref="BW244">SUM(IF(BS244:BT244&gt;=BT244, 1))</f>
        <v>1</v>
      </c>
      <c r="BY244" s="109">
        <f t="shared" si="119"/>
        <v>133577.46429059663</v>
      </c>
      <c r="BZ244" s="109">
        <f t="shared" si="120"/>
        <v>133887.38793069185</v>
      </c>
      <c r="CB244" s="58">
        <f t="array" ref="CB244">SUM(IF(BY244:BZ244&gt;=BY244, 1))</f>
        <v>2</v>
      </c>
      <c r="CC244" s="58">
        <f t="array" ref="CC244">SUM(IF(BY244:BZ244&gt;=BZ244, 1))</f>
        <v>1</v>
      </c>
      <c r="CE244" s="109">
        <f t="shared" si="121"/>
        <v>93802.171708632653</v>
      </c>
      <c r="CF244" s="109">
        <f t="shared" si="122"/>
        <v>97749.947917751953</v>
      </c>
      <c r="CH244" s="58">
        <f t="array" ref="CH244">SUM(IF(CE244:CF244&gt;=CE244, 1))</f>
        <v>2</v>
      </c>
      <c r="CI244" s="58">
        <f t="array" ref="CI244">SUM(IF(CE244:CF244&gt;=CF244, 1))</f>
        <v>1</v>
      </c>
      <c r="CK244" s="109">
        <f t="shared" si="123"/>
        <v>50099.855395621526</v>
      </c>
      <c r="CL244" s="109">
        <f t="shared" si="124"/>
        <v>50973.590528420071</v>
      </c>
      <c r="CN244" s="58">
        <f t="array" ref="CN244">SUM(IF(CK244:CL244&gt;=CK244, 1))</f>
        <v>2</v>
      </c>
      <c r="CO244" s="58">
        <f t="array" ref="CO244">SUM(IF(CK244:CL244&gt;=CL244, 1))</f>
        <v>1</v>
      </c>
      <c r="CQ244" s="109" cm="1">
        <f t="array" ref="CQ244">AF244*WTP-AC244</f>
        <v>40267.132533262476</v>
      </c>
      <c r="CR244" s="109">
        <f t="shared" si="125"/>
        <v>42990.77389344907</v>
      </c>
      <c r="CT244" s="58">
        <f t="array" ref="CT244">SUM(IF(CQ244:CR244&gt;=CQ244, 1))</f>
        <v>2</v>
      </c>
      <c r="CU244" s="58">
        <f t="array" ref="CU244">SUM(IF(CQ244:CR244&gt;=CR244, 1))</f>
        <v>1</v>
      </c>
      <c r="CW244" s="109">
        <f t="shared" si="126"/>
        <v>-37581270.798845336</v>
      </c>
      <c r="CX244" s="109">
        <f t="shared" si="127"/>
        <v>0</v>
      </c>
      <c r="CZ244" s="58">
        <f t="array" ref="CZ244">SUM(IF(CW244:CX244&gt;=CW244, 1))</f>
        <v>2</v>
      </c>
      <c r="DA244" s="58">
        <f t="array" ref="DA244">SUM(IF(CW244:CX244&gt;=CX244, 1))</f>
        <v>1</v>
      </c>
      <c r="DC244" s="109">
        <f t="shared" si="128"/>
        <v>-2275474.4190104222</v>
      </c>
      <c r="DD244" s="109">
        <f t="shared" si="129"/>
        <v>0</v>
      </c>
      <c r="DF244" s="58">
        <f t="array" ref="DF244">SUM(IF(DC244:DD244&gt;=DC244, 1))</f>
        <v>2</v>
      </c>
      <c r="DG244" s="58">
        <f t="array" ref="DG244">SUM(IF(DC244:DD244&gt;=DD244, 1))</f>
        <v>1</v>
      </c>
      <c r="DI244" s="109">
        <f t="shared" si="130"/>
        <v>-93048357.003390193</v>
      </c>
      <c r="DJ244" s="109">
        <f t="shared" si="131"/>
        <v>0</v>
      </c>
      <c r="DL244" s="58">
        <f t="array" ref="DL244">SUM(IF(DI244:DJ244&gt;=DI244, 1))</f>
        <v>2</v>
      </c>
      <c r="DM244" s="58">
        <f t="array" ref="DM244">SUM(IF(DI244:DJ244&gt;=DJ244, 1))</f>
        <v>1</v>
      </c>
      <c r="DO244" s="109">
        <f t="shared" si="132"/>
        <v>-7662807.6580157327</v>
      </c>
      <c r="DP244" s="109">
        <f t="shared" si="133"/>
        <v>0</v>
      </c>
      <c r="DR244" s="58">
        <f t="array" ref="DR244">SUM(IF(DO244:DP244&gt;=DO244, 1))</f>
        <v>2</v>
      </c>
      <c r="DS244" s="58">
        <f t="array" ref="DS244">SUM(IF(DO244:DP244&gt;=DP244, 1))</f>
        <v>1</v>
      </c>
      <c r="DU244" s="109">
        <f t="shared" si="134"/>
        <v>-43080603.741529278</v>
      </c>
      <c r="DV244" s="109">
        <f t="shared" si="135"/>
        <v>0</v>
      </c>
      <c r="DX244" s="58">
        <f t="array" ref="DX244">SUM(IF(DU244:DV244&gt;=DU244, 1))</f>
        <v>2</v>
      </c>
      <c r="DY244" s="58">
        <f t="array" ref="DY244">SUM(IF(DU244:DV244&gt;=DV244, 1))</f>
        <v>1</v>
      </c>
      <c r="EA244" s="109">
        <f t="shared" si="136"/>
        <v>-183648513.62079096</v>
      </c>
      <c r="EB244" s="109">
        <f t="shared" si="137"/>
        <v>0</v>
      </c>
      <c r="ED244" s="58">
        <f t="array" ref="ED244">SUM(IF(EA244:EB244&gt;=EA244, 1))</f>
        <v>2</v>
      </c>
      <c r="EE244" s="58">
        <f t="array" ref="EE244">SUM(IF(EA244:EB244&gt;=EB244, 1))</f>
        <v>1</v>
      </c>
    </row>
    <row r="245" spans="4:135" ht="12" customHeight="1" x14ac:dyDescent="0.25">
      <c r="D245" s="11">
        <v>229</v>
      </c>
      <c r="E245" s="72">
        <v>259.04924910583838</v>
      </c>
      <c r="F245" s="72">
        <v>231.5104056809534</v>
      </c>
      <c r="G245" s="73"/>
      <c r="H245" s="74">
        <v>5.8615149557350552</v>
      </c>
      <c r="I245" s="74">
        <v>5.878343135334906</v>
      </c>
      <c r="J245" s="73"/>
      <c r="K245" s="72">
        <v>277.82437161390339</v>
      </c>
      <c r="L245" s="72">
        <v>249.57969423618709</v>
      </c>
      <c r="M245" s="73"/>
      <c r="N245" s="74">
        <v>6.6757336454105696</v>
      </c>
      <c r="O245" s="74">
        <v>6.6896800532782068</v>
      </c>
      <c r="P245" s="73"/>
      <c r="Q245" s="72">
        <v>2343.1201185933023</v>
      </c>
      <c r="R245" s="72">
        <v>1418.076152700776</v>
      </c>
      <c r="S245" s="73"/>
      <c r="T245" s="74">
        <v>4.6595537255117474</v>
      </c>
      <c r="U245" s="74">
        <v>4.7339737646074971</v>
      </c>
      <c r="V245" s="73"/>
      <c r="W245" s="72">
        <v>14955.496855673238</v>
      </c>
      <c r="X245" s="72">
        <v>14939.681431458826</v>
      </c>
      <c r="Y245" s="73"/>
      <c r="Z245" s="74">
        <v>3.0235772943430432</v>
      </c>
      <c r="AA245" s="74">
        <v>3.0735185370287508</v>
      </c>
      <c r="AB245" s="73"/>
      <c r="AC245" s="72">
        <v>49689.320291682256</v>
      </c>
      <c r="AD245" s="72">
        <v>49690.671813079178</v>
      </c>
      <c r="AE245" s="73"/>
      <c r="AF245" s="74">
        <v>4.6432210966044281</v>
      </c>
      <c r="AG245" s="74">
        <v>4.6946829882262051</v>
      </c>
      <c r="AH245" s="73"/>
      <c r="AI245" s="72">
        <v>2953597.5734361662</v>
      </c>
      <c r="AJ245" s="72">
        <v>0</v>
      </c>
      <c r="AK245" s="73"/>
      <c r="AL245" s="74">
        <v>-1804.8568585329033</v>
      </c>
      <c r="AM245" s="74">
        <v>0</v>
      </c>
      <c r="AN245" s="73"/>
      <c r="AO245" s="72">
        <v>188039.47547206434</v>
      </c>
      <c r="AP245" s="72">
        <v>0</v>
      </c>
      <c r="AQ245" s="73"/>
      <c r="AR245" s="74">
        <v>-92.848474956169412</v>
      </c>
      <c r="AS245" s="74">
        <v>0</v>
      </c>
      <c r="AT245" s="73"/>
      <c r="AU245" s="72">
        <v>21485752.915007878</v>
      </c>
      <c r="AV245" s="72">
        <v>0</v>
      </c>
      <c r="AW245" s="73"/>
      <c r="AX245" s="74">
        <v>-1728.5346760721163</v>
      </c>
      <c r="AY245" s="74">
        <v>0</v>
      </c>
      <c r="AZ245" s="73"/>
      <c r="BA245" s="72">
        <v>140751.96659889971</v>
      </c>
      <c r="BB245" s="72">
        <v>0</v>
      </c>
      <c r="BC245" s="73"/>
      <c r="BD245" s="74">
        <v>-444.46029566508457</v>
      </c>
      <c r="BE245" s="74">
        <v>0</v>
      </c>
      <c r="BF245" s="73"/>
      <c r="BG245" s="72">
        <v>-21124.633114475419</v>
      </c>
      <c r="BH245" s="72">
        <v>0</v>
      </c>
      <c r="BI245" s="73"/>
      <c r="BJ245" s="74">
        <v>-804.36283314686727</v>
      </c>
      <c r="BK245" s="74">
        <v>0</v>
      </c>
      <c r="BL245" s="73"/>
      <c r="BM245" s="72">
        <v>24747017.29740053</v>
      </c>
      <c r="BN245" s="72">
        <v>0</v>
      </c>
      <c r="BO245" s="73"/>
      <c r="BP245" s="74">
        <v>-4875.0631383731416</v>
      </c>
      <c r="BQ245" s="74">
        <v>0</v>
      </c>
      <c r="BS245" s="109">
        <f t="shared" si="117"/>
        <v>116971.24986559527</v>
      </c>
      <c r="BT245" s="109">
        <f t="shared" si="118"/>
        <v>117335.35230101718</v>
      </c>
      <c r="BV245" s="58">
        <f t="array" ref="BV245">SUM(IF(BS245:BT245&gt;=BS245, 1))</f>
        <v>2</v>
      </c>
      <c r="BW245" s="58">
        <f t="array" ref="BW245">SUM(IF(BS245:BT245&gt;=BT245, 1))</f>
        <v>1</v>
      </c>
      <c r="BY245" s="109">
        <f t="shared" si="119"/>
        <v>133236.84853659748</v>
      </c>
      <c r="BZ245" s="109">
        <f t="shared" si="120"/>
        <v>133544.02137132795</v>
      </c>
      <c r="CB245" s="58">
        <f t="array" ref="CB245">SUM(IF(BY245:BZ245&gt;=BY245, 1))</f>
        <v>2</v>
      </c>
      <c r="CC245" s="58">
        <f t="array" ref="CC245">SUM(IF(BY245:BZ245&gt;=BZ245, 1))</f>
        <v>1</v>
      </c>
      <c r="CE245" s="109">
        <f t="shared" si="121"/>
        <v>90847.954391641644</v>
      </c>
      <c r="CF245" s="109">
        <f t="shared" si="122"/>
        <v>93261.399139449175</v>
      </c>
      <c r="CH245" s="58">
        <f t="array" ref="CH245">SUM(IF(CE245:CF245&gt;=CE245, 1))</f>
        <v>2</v>
      </c>
      <c r="CI245" s="58">
        <f t="array" ref="CI245">SUM(IF(CE245:CF245&gt;=CF245, 1))</f>
        <v>1</v>
      </c>
      <c r="CK245" s="109">
        <f t="shared" si="123"/>
        <v>45516.04903118762</v>
      </c>
      <c r="CL245" s="109">
        <f t="shared" si="124"/>
        <v>46530.689309116191</v>
      </c>
      <c r="CN245" s="58">
        <f t="array" ref="CN245">SUM(IF(CK245:CL245&gt;=CK245, 1))</f>
        <v>2</v>
      </c>
      <c r="CO245" s="58">
        <f t="array" ref="CO245">SUM(IF(CK245:CL245&gt;=CL245, 1))</f>
        <v>1</v>
      </c>
      <c r="CQ245" s="109" cm="1">
        <f t="array" ref="CQ245">AF245*WTP-AC245</f>
        <v>43175.101640406305</v>
      </c>
      <c r="CR245" s="109">
        <f t="shared" si="125"/>
        <v>44202.98795144492</v>
      </c>
      <c r="CT245" s="58">
        <f t="array" ref="CT245">SUM(IF(CQ245:CR245&gt;=CQ245, 1))</f>
        <v>2</v>
      </c>
      <c r="CU245" s="58">
        <f t="array" ref="CU245">SUM(IF(CQ245:CR245&gt;=CR245, 1))</f>
        <v>1</v>
      </c>
      <c r="CW245" s="109">
        <f t="shared" si="126"/>
        <v>-39050734.74409423</v>
      </c>
      <c r="CX245" s="109">
        <f t="shared" si="127"/>
        <v>0</v>
      </c>
      <c r="CZ245" s="58">
        <f t="array" ref="CZ245">SUM(IF(CW245:CX245&gt;=CW245, 1))</f>
        <v>2</v>
      </c>
      <c r="DA245" s="58">
        <f t="array" ref="DA245">SUM(IF(CW245:CX245&gt;=CX245, 1))</f>
        <v>1</v>
      </c>
      <c r="DC245" s="109">
        <f t="shared" si="128"/>
        <v>-2045008.9745954527</v>
      </c>
      <c r="DD245" s="109">
        <f t="shared" si="129"/>
        <v>0</v>
      </c>
      <c r="DF245" s="58">
        <f t="array" ref="DF245">SUM(IF(DC245:DD245&gt;=DC245, 1))</f>
        <v>2</v>
      </c>
      <c r="DG245" s="58">
        <f t="array" ref="DG245">SUM(IF(DC245:DD245&gt;=DD245, 1))</f>
        <v>1</v>
      </c>
      <c r="DI245" s="109">
        <f t="shared" si="130"/>
        <v>-56056446.436450198</v>
      </c>
      <c r="DJ245" s="109">
        <f t="shared" si="131"/>
        <v>0</v>
      </c>
      <c r="DL245" s="58">
        <f t="array" ref="DL245">SUM(IF(DI245:DJ245&gt;=DI245, 1))</f>
        <v>2</v>
      </c>
      <c r="DM245" s="58">
        <f t="array" ref="DM245">SUM(IF(DI245:DJ245&gt;=DJ245, 1))</f>
        <v>1</v>
      </c>
      <c r="DO245" s="109">
        <f t="shared" si="132"/>
        <v>-9029957.8799005914</v>
      </c>
      <c r="DP245" s="109">
        <f t="shared" si="133"/>
        <v>0</v>
      </c>
      <c r="DR245" s="58">
        <f t="array" ref="DR245">SUM(IF(DO245:DP245&gt;=DO245, 1))</f>
        <v>2</v>
      </c>
      <c r="DS245" s="58">
        <f t="array" ref="DS245">SUM(IF(DO245:DP245&gt;=DP245, 1))</f>
        <v>1</v>
      </c>
      <c r="DU245" s="109">
        <f t="shared" si="134"/>
        <v>-16066132.029822869</v>
      </c>
      <c r="DV245" s="109">
        <f t="shared" si="135"/>
        <v>0</v>
      </c>
      <c r="DX245" s="58">
        <f t="array" ref="DX245">SUM(IF(DU245:DV245&gt;=DU245, 1))</f>
        <v>2</v>
      </c>
      <c r="DY245" s="58">
        <f t="array" ref="DY245">SUM(IF(DU245:DV245&gt;=DV245, 1))</f>
        <v>1</v>
      </c>
      <c r="EA245" s="109">
        <f t="shared" si="136"/>
        <v>-122248280.06486337</v>
      </c>
      <c r="EB245" s="109">
        <f t="shared" si="137"/>
        <v>0</v>
      </c>
      <c r="ED245" s="58">
        <f t="array" ref="ED245">SUM(IF(EA245:EB245&gt;=EA245, 1))</f>
        <v>2</v>
      </c>
      <c r="EE245" s="58">
        <f t="array" ref="EE245">SUM(IF(EA245:EB245&gt;=EB245, 1))</f>
        <v>1</v>
      </c>
    </row>
    <row r="246" spans="4:135" ht="12" customHeight="1" x14ac:dyDescent="0.25">
      <c r="D246" s="11">
        <v>230</v>
      </c>
      <c r="E246" s="72">
        <v>337.77638317614594</v>
      </c>
      <c r="F246" s="72">
        <v>323.86896888305614</v>
      </c>
      <c r="G246" s="73"/>
      <c r="H246" s="74">
        <v>5.852200641346637</v>
      </c>
      <c r="I246" s="74">
        <v>5.8660217171314493</v>
      </c>
      <c r="J246" s="73"/>
      <c r="K246" s="72">
        <v>363.60010344175026</v>
      </c>
      <c r="L246" s="72">
        <v>349.30952791618438</v>
      </c>
      <c r="M246" s="73"/>
      <c r="N246" s="74">
        <v>6.63285835841444</v>
      </c>
      <c r="O246" s="74">
        <v>6.6441901486137187</v>
      </c>
      <c r="P246" s="73"/>
      <c r="Q246" s="72">
        <v>2813.7319517674946</v>
      </c>
      <c r="R246" s="72">
        <v>1880.6348121729466</v>
      </c>
      <c r="S246" s="73"/>
      <c r="T246" s="74">
        <v>4.7765189226393829</v>
      </c>
      <c r="U246" s="74">
        <v>4.8375067730581645</v>
      </c>
      <c r="V246" s="73"/>
      <c r="W246" s="72">
        <v>19531.002232682236</v>
      </c>
      <c r="X246" s="72">
        <v>19551.268945386779</v>
      </c>
      <c r="Y246" s="73"/>
      <c r="Z246" s="74">
        <v>2.9972459784866077</v>
      </c>
      <c r="AA246" s="74">
        <v>3.0557088808481474</v>
      </c>
      <c r="AB246" s="73"/>
      <c r="AC246" s="72">
        <v>49571.899494292913</v>
      </c>
      <c r="AD246" s="72">
        <v>49586.122205927139</v>
      </c>
      <c r="AE246" s="73"/>
      <c r="AF246" s="74">
        <v>4.8766317632967375</v>
      </c>
      <c r="AG246" s="74">
        <v>4.9771915032961527</v>
      </c>
      <c r="AH246" s="73"/>
      <c r="AI246" s="72">
        <v>1498025.2658695797</v>
      </c>
      <c r="AJ246" s="72">
        <v>0</v>
      </c>
      <c r="AK246" s="73"/>
      <c r="AL246" s="74">
        <v>-1488.725387107683</v>
      </c>
      <c r="AM246" s="74">
        <v>0</v>
      </c>
      <c r="AN246" s="73"/>
      <c r="AO246" s="72">
        <v>102150.41665562913</v>
      </c>
      <c r="AP246" s="72">
        <v>0</v>
      </c>
      <c r="AQ246" s="73"/>
      <c r="AR246" s="74">
        <v>-81.000732842399117</v>
      </c>
      <c r="AS246" s="74">
        <v>0</v>
      </c>
      <c r="AT246" s="73"/>
      <c r="AU246" s="72">
        <v>21572227.424009215</v>
      </c>
      <c r="AV246" s="72">
        <v>0</v>
      </c>
      <c r="AW246" s="73"/>
      <c r="AX246" s="74">
        <v>-1409.9751499689387</v>
      </c>
      <c r="AY246" s="74">
        <v>0</v>
      </c>
      <c r="AZ246" s="73"/>
      <c r="BA246" s="72">
        <v>-182755.62191555658</v>
      </c>
      <c r="BB246" s="72">
        <v>0</v>
      </c>
      <c r="BC246" s="73"/>
      <c r="BD246" s="74">
        <v>-527.19078006552684</v>
      </c>
      <c r="BE246" s="74">
        <v>0</v>
      </c>
      <c r="BF246" s="73"/>
      <c r="BG246" s="72">
        <v>-224330.90162499662</v>
      </c>
      <c r="BH246" s="72">
        <v>0</v>
      </c>
      <c r="BI246" s="73"/>
      <c r="BJ246" s="74">
        <v>-1586.1009996827074</v>
      </c>
      <c r="BK246" s="74">
        <v>0</v>
      </c>
      <c r="BL246" s="73"/>
      <c r="BM246" s="72">
        <v>22765316.582993872</v>
      </c>
      <c r="BN246" s="72">
        <v>0</v>
      </c>
      <c r="BO246" s="73"/>
      <c r="BP246" s="74">
        <v>-5092.993049667255</v>
      </c>
      <c r="BQ246" s="74">
        <v>0</v>
      </c>
      <c r="BS246" s="109">
        <f t="shared" si="117"/>
        <v>116706.2364437566</v>
      </c>
      <c r="BT246" s="109">
        <f t="shared" si="118"/>
        <v>116996.56537374594</v>
      </c>
      <c r="BV246" s="58">
        <f t="array" ref="BV246">SUM(IF(BS246:BT246&gt;=BS246, 1))</f>
        <v>2</v>
      </c>
      <c r="BW246" s="58">
        <f t="array" ref="BW246">SUM(IF(BS246:BT246&gt;=BT246, 1))</f>
        <v>1</v>
      </c>
      <c r="BY246" s="109">
        <f t="shared" si="119"/>
        <v>132293.56706484707</v>
      </c>
      <c r="BZ246" s="109">
        <f t="shared" si="120"/>
        <v>132534.49344435817</v>
      </c>
      <c r="CB246" s="58">
        <f t="array" ref="CB246">SUM(IF(BY246:BZ246&gt;=BY246, 1))</f>
        <v>2</v>
      </c>
      <c r="CC246" s="58">
        <f t="array" ref="CC246">SUM(IF(BY246:BZ246&gt;=BZ246, 1))</f>
        <v>1</v>
      </c>
      <c r="CE246" s="109">
        <f t="shared" si="121"/>
        <v>92716.646501020165</v>
      </c>
      <c r="CF246" s="109">
        <f t="shared" si="122"/>
        <v>94869.500648990332</v>
      </c>
      <c r="CH246" s="58">
        <f t="array" ref="CH246">SUM(IF(CE246:CF246&gt;=CE246, 1))</f>
        <v>2</v>
      </c>
      <c r="CI246" s="58">
        <f t="array" ref="CI246">SUM(IF(CE246:CF246&gt;=CF246, 1))</f>
        <v>1</v>
      </c>
      <c r="CK246" s="109">
        <f t="shared" si="123"/>
        <v>40413.917337049919</v>
      </c>
      <c r="CL246" s="109">
        <f t="shared" si="124"/>
        <v>41562.908671576166</v>
      </c>
      <c r="CN246" s="58">
        <f t="array" ref="CN246">SUM(IF(CK246:CL246&gt;=CK246, 1))</f>
        <v>2</v>
      </c>
      <c r="CO246" s="58">
        <f t="array" ref="CO246">SUM(IF(CK246:CL246&gt;=CL246, 1))</f>
        <v>1</v>
      </c>
      <c r="CQ246" s="109" cm="1">
        <f t="array" ref="CQ246">AF246*WTP-AC246</f>
        <v>47960.735771641834</v>
      </c>
      <c r="CR246" s="109">
        <f t="shared" si="125"/>
        <v>49957.70785999592</v>
      </c>
      <c r="CT246" s="58">
        <f t="array" ref="CT246">SUM(IF(CQ246:CR246&gt;=CQ246, 1))</f>
        <v>2</v>
      </c>
      <c r="CU246" s="58">
        <f t="array" ref="CU246">SUM(IF(CQ246:CR246&gt;=CR246, 1))</f>
        <v>1</v>
      </c>
      <c r="CW246" s="109">
        <f t="shared" si="126"/>
        <v>-31272533.00802324</v>
      </c>
      <c r="CX246" s="109">
        <f t="shared" si="127"/>
        <v>0</v>
      </c>
      <c r="CZ246" s="58">
        <f t="array" ref="CZ246">SUM(IF(CW246:CX246&gt;=CW246, 1))</f>
        <v>2</v>
      </c>
      <c r="DA246" s="58">
        <f t="array" ref="DA246">SUM(IF(CW246:CX246&gt;=CX246, 1))</f>
        <v>1</v>
      </c>
      <c r="DC246" s="109">
        <f t="shared" si="128"/>
        <v>-1722165.0735036116</v>
      </c>
      <c r="DD246" s="109">
        <f t="shared" si="129"/>
        <v>0</v>
      </c>
      <c r="DF246" s="58">
        <f t="array" ref="DF246">SUM(IF(DC246:DD246&gt;=DC246, 1))</f>
        <v>2</v>
      </c>
      <c r="DG246" s="58">
        <f t="array" ref="DG246">SUM(IF(DC246:DD246&gt;=DD246, 1))</f>
        <v>1</v>
      </c>
      <c r="DI246" s="109">
        <f t="shared" si="130"/>
        <v>-49771730.423387989</v>
      </c>
      <c r="DJ246" s="109">
        <f t="shared" si="131"/>
        <v>0</v>
      </c>
      <c r="DL246" s="58">
        <f t="array" ref="DL246">SUM(IF(DI246:DJ246&gt;=DI246, 1))</f>
        <v>2</v>
      </c>
      <c r="DM246" s="58">
        <f t="array" ref="DM246">SUM(IF(DI246:DJ246&gt;=DJ246, 1))</f>
        <v>1</v>
      </c>
      <c r="DO246" s="109">
        <f t="shared" si="132"/>
        <v>-10361059.97939498</v>
      </c>
      <c r="DP246" s="109">
        <f t="shared" si="133"/>
        <v>0</v>
      </c>
      <c r="DR246" s="58">
        <f t="array" ref="DR246">SUM(IF(DO246:DP246&gt;=DO246, 1))</f>
        <v>2</v>
      </c>
      <c r="DS246" s="58">
        <f t="array" ref="DS246">SUM(IF(DO246:DP246&gt;=DP246, 1))</f>
        <v>1</v>
      </c>
      <c r="DU246" s="109">
        <f t="shared" si="134"/>
        <v>-31497689.092029151</v>
      </c>
      <c r="DV246" s="109">
        <f t="shared" si="135"/>
        <v>0</v>
      </c>
      <c r="DX246" s="58">
        <f t="array" ref="DX246">SUM(IF(DU246:DV246&gt;=DU246, 1))</f>
        <v>2</v>
      </c>
      <c r="DY246" s="58">
        <f t="array" ref="DY246">SUM(IF(DU246:DV246&gt;=DV246, 1))</f>
        <v>1</v>
      </c>
      <c r="EA246" s="109">
        <f t="shared" si="136"/>
        <v>-124625177.57633898</v>
      </c>
      <c r="EB246" s="109">
        <f t="shared" si="137"/>
        <v>0</v>
      </c>
      <c r="ED246" s="58">
        <f t="array" ref="ED246">SUM(IF(EA246:EB246&gt;=EA246, 1))</f>
        <v>2</v>
      </c>
      <c r="EE246" s="58">
        <f t="array" ref="EE246">SUM(IF(EA246:EB246&gt;=EB246, 1))</f>
        <v>1</v>
      </c>
    </row>
    <row r="247" spans="4:135" ht="12" customHeight="1" x14ac:dyDescent="0.25">
      <c r="D247" s="11">
        <v>231</v>
      </c>
      <c r="E247" s="72">
        <v>280.98956433305437</v>
      </c>
      <c r="F247" s="72">
        <v>260.82294386893011</v>
      </c>
      <c r="G247" s="73"/>
      <c r="H247" s="74">
        <v>5.873175307195222</v>
      </c>
      <c r="I247" s="74">
        <v>5.8850721821365539</v>
      </c>
      <c r="J247" s="73"/>
      <c r="K247" s="72">
        <v>301.86496099812655</v>
      </c>
      <c r="L247" s="72">
        <v>281.1901534380421</v>
      </c>
      <c r="M247" s="73"/>
      <c r="N247" s="74">
        <v>6.6109099280559036</v>
      </c>
      <c r="O247" s="74">
        <v>6.6206743562171928</v>
      </c>
      <c r="P247" s="73"/>
      <c r="Q247" s="72">
        <v>2089.4285628916973</v>
      </c>
      <c r="R247" s="72">
        <v>1604.4976482636384</v>
      </c>
      <c r="S247" s="73"/>
      <c r="T247" s="74">
        <v>5.0191240895146807</v>
      </c>
      <c r="U247" s="74">
        <v>5.0704512545120544</v>
      </c>
      <c r="V247" s="73"/>
      <c r="W247" s="72">
        <v>14408.110578061764</v>
      </c>
      <c r="X247" s="72">
        <v>14366.855569916092</v>
      </c>
      <c r="Y247" s="73"/>
      <c r="Z247" s="74">
        <v>2.960749159858322</v>
      </c>
      <c r="AA247" s="74">
        <v>3.0142975852932494</v>
      </c>
      <c r="AB247" s="73"/>
      <c r="AC247" s="72">
        <v>51391.040246227072</v>
      </c>
      <c r="AD247" s="72">
        <v>51329.5032469289</v>
      </c>
      <c r="AE247" s="73"/>
      <c r="AF247" s="74">
        <v>4.6786727023300552</v>
      </c>
      <c r="AG247" s="74">
        <v>4.7661048327170414</v>
      </c>
      <c r="AH247" s="73"/>
      <c r="AI247" s="72">
        <v>2166962.9998084991</v>
      </c>
      <c r="AJ247" s="72">
        <v>0</v>
      </c>
      <c r="AK247" s="73"/>
      <c r="AL247" s="74">
        <v>-1278.3543904680096</v>
      </c>
      <c r="AM247" s="74">
        <v>0</v>
      </c>
      <c r="AN247" s="73"/>
      <c r="AO247" s="72">
        <v>142392.43552856304</v>
      </c>
      <c r="AP247" s="72">
        <v>0</v>
      </c>
      <c r="AQ247" s="73"/>
      <c r="AR247" s="74">
        <v>-67.249995115503665</v>
      </c>
      <c r="AS247" s="74">
        <v>0</v>
      </c>
      <c r="AT247" s="73"/>
      <c r="AU247" s="72">
        <v>11108098.099620065</v>
      </c>
      <c r="AV247" s="72">
        <v>0</v>
      </c>
      <c r="AW247" s="73"/>
      <c r="AX247" s="74">
        <v>-1175.7286796275173</v>
      </c>
      <c r="AY247" s="74">
        <v>0</v>
      </c>
      <c r="AZ247" s="73"/>
      <c r="BA247" s="72">
        <v>354182.63653118454</v>
      </c>
      <c r="BB247" s="72">
        <v>0</v>
      </c>
      <c r="BC247" s="73"/>
      <c r="BD247" s="74">
        <v>-459.72412453943031</v>
      </c>
      <c r="BE247" s="74">
        <v>0</v>
      </c>
      <c r="BF247" s="73"/>
      <c r="BG247" s="72">
        <v>943151.04390292382</v>
      </c>
      <c r="BH247" s="72">
        <v>0</v>
      </c>
      <c r="BI247" s="73"/>
      <c r="BJ247" s="74">
        <v>-1340.0345480867772</v>
      </c>
      <c r="BK247" s="74">
        <v>0</v>
      </c>
      <c r="BL247" s="73"/>
      <c r="BM247" s="72">
        <v>14714787.215391235</v>
      </c>
      <c r="BN247" s="72">
        <v>0</v>
      </c>
      <c r="BO247" s="73"/>
      <c r="BP247" s="74">
        <v>-4321.0917378372378</v>
      </c>
      <c r="BQ247" s="74">
        <v>0</v>
      </c>
      <c r="BS247" s="109">
        <f t="shared" si="117"/>
        <v>117182.51657957138</v>
      </c>
      <c r="BT247" s="109">
        <f t="shared" si="118"/>
        <v>117440.62069886214</v>
      </c>
      <c r="BV247" s="58">
        <f t="array" ref="BV247">SUM(IF(BS247:BT247&gt;=BS247, 1))</f>
        <v>2</v>
      </c>
      <c r="BW247" s="58">
        <f t="array" ref="BW247">SUM(IF(BS247:BT247&gt;=BT247, 1))</f>
        <v>1</v>
      </c>
      <c r="BY247" s="109">
        <f t="shared" si="119"/>
        <v>131916.33360011995</v>
      </c>
      <c r="BZ247" s="109">
        <f t="shared" si="120"/>
        <v>132132.29697090582</v>
      </c>
      <c r="CB247" s="58">
        <f t="array" ref="CB247">SUM(IF(BY247:BZ247&gt;=BY247, 1))</f>
        <v>2</v>
      </c>
      <c r="CC247" s="58">
        <f t="array" ref="CC247">SUM(IF(BY247:BZ247&gt;=BZ247, 1))</f>
        <v>1</v>
      </c>
      <c r="CE247" s="109">
        <f t="shared" si="121"/>
        <v>98293.053227401921</v>
      </c>
      <c r="CF247" s="109">
        <f t="shared" si="122"/>
        <v>99804.527441977451</v>
      </c>
      <c r="CH247" s="58">
        <f t="array" ref="CH247">SUM(IF(CE247:CF247&gt;=CE247, 1))</f>
        <v>2</v>
      </c>
      <c r="CI247" s="58">
        <f t="array" ref="CI247">SUM(IF(CE247:CF247&gt;=CF247, 1))</f>
        <v>1</v>
      </c>
      <c r="CK247" s="109">
        <f t="shared" si="123"/>
        <v>44806.872619104674</v>
      </c>
      <c r="CL247" s="109">
        <f t="shared" si="124"/>
        <v>45919.096135948894</v>
      </c>
      <c r="CN247" s="58">
        <f t="array" ref="CN247">SUM(IF(CK247:CL247&gt;=CK247, 1))</f>
        <v>2</v>
      </c>
      <c r="CO247" s="58">
        <f t="array" ref="CO247">SUM(IF(CK247:CL247&gt;=CL247, 1))</f>
        <v>1</v>
      </c>
      <c r="CQ247" s="109" cm="1">
        <f t="array" ref="CQ247">AF247*WTP-AC247</f>
        <v>42182.413800374037</v>
      </c>
      <c r="CR247" s="109">
        <f t="shared" si="125"/>
        <v>43992.593407411929</v>
      </c>
      <c r="CT247" s="58">
        <f t="array" ref="CT247">SUM(IF(CQ247:CR247&gt;=CQ247, 1))</f>
        <v>2</v>
      </c>
      <c r="CU247" s="58">
        <f t="array" ref="CU247">SUM(IF(CQ247:CR247&gt;=CR247, 1))</f>
        <v>1</v>
      </c>
      <c r="CW247" s="109">
        <f t="shared" si="126"/>
        <v>-27734050.809168689</v>
      </c>
      <c r="CX247" s="109">
        <f t="shared" si="127"/>
        <v>0</v>
      </c>
      <c r="CZ247" s="58">
        <f t="array" ref="CZ247">SUM(IF(CW247:CX247&gt;=CW247, 1))</f>
        <v>2</v>
      </c>
      <c r="DA247" s="58">
        <f t="array" ref="DA247">SUM(IF(CW247:CX247&gt;=CX247, 1))</f>
        <v>1</v>
      </c>
      <c r="DC247" s="109">
        <f t="shared" si="128"/>
        <v>-1487392.3378386365</v>
      </c>
      <c r="DD247" s="109">
        <f t="shared" si="129"/>
        <v>0</v>
      </c>
      <c r="DF247" s="58">
        <f t="array" ref="DF247">SUM(IF(DC247:DD247&gt;=DC247, 1))</f>
        <v>2</v>
      </c>
      <c r="DG247" s="58">
        <f t="array" ref="DG247">SUM(IF(DC247:DD247&gt;=DD247, 1))</f>
        <v>1</v>
      </c>
      <c r="DI247" s="109">
        <f t="shared" si="130"/>
        <v>-34622671.692170411</v>
      </c>
      <c r="DJ247" s="109">
        <f t="shared" si="131"/>
        <v>0</v>
      </c>
      <c r="DL247" s="58">
        <f t="array" ref="DL247">SUM(IF(DI247:DJ247&gt;=DI247, 1))</f>
        <v>2</v>
      </c>
      <c r="DM247" s="58">
        <f t="array" ref="DM247">SUM(IF(DI247:DJ247&gt;=DJ247, 1))</f>
        <v>1</v>
      </c>
      <c r="DO247" s="109">
        <f t="shared" si="132"/>
        <v>-9548665.1273197923</v>
      </c>
      <c r="DP247" s="109">
        <f t="shared" si="133"/>
        <v>0</v>
      </c>
      <c r="DR247" s="58">
        <f t="array" ref="DR247">SUM(IF(DO247:DP247&gt;=DO247, 1))</f>
        <v>2</v>
      </c>
      <c r="DS247" s="58">
        <f t="array" ref="DS247">SUM(IF(DO247:DP247&gt;=DP247, 1))</f>
        <v>1</v>
      </c>
      <c r="DU247" s="109">
        <f t="shared" si="134"/>
        <v>-27743842.005638469</v>
      </c>
      <c r="DV247" s="109">
        <f t="shared" si="135"/>
        <v>0</v>
      </c>
      <c r="DX247" s="58">
        <f t="array" ref="DX247">SUM(IF(DU247:DV247&gt;=DU247, 1))</f>
        <v>2</v>
      </c>
      <c r="DY247" s="58">
        <f t="array" ref="DY247">SUM(IF(DU247:DV247&gt;=DV247, 1))</f>
        <v>1</v>
      </c>
      <c r="EA247" s="109">
        <f t="shared" si="136"/>
        <v>-101136621.97213599</v>
      </c>
      <c r="EB247" s="109">
        <f t="shared" si="137"/>
        <v>0</v>
      </c>
      <c r="ED247" s="58">
        <f t="array" ref="ED247">SUM(IF(EA247:EB247&gt;=EA247, 1))</f>
        <v>2</v>
      </c>
      <c r="EE247" s="58">
        <f t="array" ref="EE247">SUM(IF(EA247:EB247&gt;=EB247, 1))</f>
        <v>1</v>
      </c>
    </row>
    <row r="248" spans="4:135" ht="12" customHeight="1" x14ac:dyDescent="0.25">
      <c r="D248" s="11">
        <v>232</v>
      </c>
      <c r="E248" s="72">
        <v>241.13973074840351</v>
      </c>
      <c r="F248" s="72">
        <v>200.92774636259836</v>
      </c>
      <c r="G248" s="73"/>
      <c r="H248" s="74">
        <v>5.8657620024632644</v>
      </c>
      <c r="I248" s="74">
        <v>5.8824912986327638</v>
      </c>
      <c r="J248" s="73"/>
      <c r="K248" s="72">
        <v>257.68774594036483</v>
      </c>
      <c r="L248" s="72">
        <v>216.60650827279613</v>
      </c>
      <c r="M248" s="73"/>
      <c r="N248" s="74">
        <v>6.7156347575392754</v>
      </c>
      <c r="O248" s="74">
        <v>6.7301064850146251</v>
      </c>
      <c r="P248" s="73"/>
      <c r="Q248" s="72">
        <v>2212.5958579159515</v>
      </c>
      <c r="R248" s="72">
        <v>1388.5278018432916</v>
      </c>
      <c r="S248" s="73"/>
      <c r="T248" s="74">
        <v>4.8790432681602693</v>
      </c>
      <c r="U248" s="74">
        <v>4.9658354085656908</v>
      </c>
      <c r="V248" s="73"/>
      <c r="W248" s="72">
        <v>12991.32088342307</v>
      </c>
      <c r="X248" s="72">
        <v>12998.904829067564</v>
      </c>
      <c r="Y248" s="73"/>
      <c r="Z248" s="74">
        <v>2.8959842978679751</v>
      </c>
      <c r="AA248" s="74">
        <v>2.9427817428986027</v>
      </c>
      <c r="AB248" s="73"/>
      <c r="AC248" s="72">
        <v>50443.612813317246</v>
      </c>
      <c r="AD248" s="72">
        <v>50039.238899653523</v>
      </c>
      <c r="AE248" s="73"/>
      <c r="AF248" s="74">
        <v>4.6917014302772495</v>
      </c>
      <c r="AG248" s="74">
        <v>4.8198399017482103</v>
      </c>
      <c r="AH248" s="73"/>
      <c r="AI248" s="72">
        <v>4330768.6306804419</v>
      </c>
      <c r="AJ248" s="72">
        <v>0</v>
      </c>
      <c r="AK248" s="73"/>
      <c r="AL248" s="74">
        <v>-1801.7193672691631</v>
      </c>
      <c r="AM248" s="74">
        <v>0</v>
      </c>
      <c r="AN248" s="73"/>
      <c r="AO248" s="72">
        <v>285552.18234007485</v>
      </c>
      <c r="AP248" s="72">
        <v>0</v>
      </c>
      <c r="AQ248" s="73"/>
      <c r="AR248" s="74">
        <v>-100.59174449067856</v>
      </c>
      <c r="AS248" s="74">
        <v>0</v>
      </c>
      <c r="AT248" s="73"/>
      <c r="AU248" s="72">
        <v>19463762.752106052</v>
      </c>
      <c r="AV248" s="72">
        <v>0</v>
      </c>
      <c r="AW248" s="73"/>
      <c r="AX248" s="74">
        <v>-2049.9540264301331</v>
      </c>
      <c r="AY248" s="74">
        <v>0</v>
      </c>
      <c r="AZ248" s="73"/>
      <c r="BA248" s="72">
        <v>-66640.082632262813</v>
      </c>
      <c r="BB248" s="72">
        <v>0</v>
      </c>
      <c r="BC248" s="73"/>
      <c r="BD248" s="74">
        <v>-411.20885486356741</v>
      </c>
      <c r="BE248" s="74">
        <v>0</v>
      </c>
      <c r="BF248" s="73"/>
      <c r="BG248" s="72">
        <v>6268327.990609929</v>
      </c>
      <c r="BH248" s="72">
        <v>0</v>
      </c>
      <c r="BI248" s="73"/>
      <c r="BJ248" s="74">
        <v>-1986.3149927701495</v>
      </c>
      <c r="BK248" s="74">
        <v>0</v>
      </c>
      <c r="BL248" s="73"/>
      <c r="BM248" s="72">
        <v>30281771.473104235</v>
      </c>
      <c r="BN248" s="72">
        <v>0</v>
      </c>
      <c r="BO248" s="73"/>
      <c r="BP248" s="74">
        <v>-6349.7889858236922</v>
      </c>
      <c r="BQ248" s="74">
        <v>0</v>
      </c>
      <c r="BS248" s="109">
        <f t="shared" si="117"/>
        <v>117074.10031851688</v>
      </c>
      <c r="BT248" s="109">
        <f t="shared" si="118"/>
        <v>117448.89822629269</v>
      </c>
      <c r="BV248" s="58">
        <f t="array" ref="BV248">SUM(IF(BS248:BT248&gt;=BS248, 1))</f>
        <v>2</v>
      </c>
      <c r="BW248" s="58">
        <f t="array" ref="BW248">SUM(IF(BS248:BT248&gt;=BT248, 1))</f>
        <v>1</v>
      </c>
      <c r="BY248" s="109">
        <f t="shared" si="119"/>
        <v>134055.00740484512</v>
      </c>
      <c r="BZ248" s="109">
        <f t="shared" si="120"/>
        <v>134385.52319201973</v>
      </c>
      <c r="CB248" s="58">
        <f t="array" ref="CB248">SUM(IF(BY248:BZ248&gt;=BY248, 1))</f>
        <v>2</v>
      </c>
      <c r="CC248" s="58">
        <f t="array" ref="CC248">SUM(IF(BY248:BZ248&gt;=BZ248, 1))</f>
        <v>1</v>
      </c>
      <c r="CE248" s="109">
        <f t="shared" si="121"/>
        <v>95368.269505289441</v>
      </c>
      <c r="CF248" s="109">
        <f t="shared" si="122"/>
        <v>97928.18036947053</v>
      </c>
      <c r="CH248" s="58">
        <f t="array" ref="CH248">SUM(IF(CE248:CF248&gt;=CE248, 1))</f>
        <v>2</v>
      </c>
      <c r="CI248" s="58">
        <f t="array" ref="CI248">SUM(IF(CE248:CF248&gt;=CF248, 1))</f>
        <v>1</v>
      </c>
      <c r="CK248" s="109">
        <f t="shared" si="123"/>
        <v>44928.365073936431</v>
      </c>
      <c r="CL248" s="109">
        <f t="shared" si="124"/>
        <v>45856.730028904494</v>
      </c>
      <c r="CN248" s="58">
        <f t="array" ref="CN248">SUM(IF(CK248:CL248&gt;=CK248, 1))</f>
        <v>2</v>
      </c>
      <c r="CO248" s="58">
        <f t="array" ref="CO248">SUM(IF(CK248:CL248&gt;=CL248, 1))</f>
        <v>1</v>
      </c>
      <c r="CQ248" s="109" cm="1">
        <f t="array" ref="CQ248">AF248*WTP-AC248</f>
        <v>43390.415792227737</v>
      </c>
      <c r="CR248" s="109">
        <f t="shared" si="125"/>
        <v>46357.559135310679</v>
      </c>
      <c r="CT248" s="58">
        <f t="array" ref="CT248">SUM(IF(CQ248:CR248&gt;=CQ248, 1))</f>
        <v>2</v>
      </c>
      <c r="CU248" s="58">
        <f t="array" ref="CU248">SUM(IF(CQ248:CR248&gt;=CR248, 1))</f>
        <v>1</v>
      </c>
      <c r="CW248" s="109">
        <f t="shared" si="126"/>
        <v>-40365155.976063706</v>
      </c>
      <c r="CX248" s="109">
        <f t="shared" si="127"/>
        <v>0</v>
      </c>
      <c r="CZ248" s="58">
        <f t="array" ref="CZ248">SUM(IF(CW248:CX248&gt;=CW248, 1))</f>
        <v>2</v>
      </c>
      <c r="DA248" s="58">
        <f t="array" ref="DA248">SUM(IF(CW248:CX248&gt;=CX248, 1))</f>
        <v>1</v>
      </c>
      <c r="DC248" s="109">
        <f t="shared" si="128"/>
        <v>-2297387.072153646</v>
      </c>
      <c r="DD248" s="109">
        <f t="shared" si="129"/>
        <v>0</v>
      </c>
      <c r="DF248" s="58">
        <f t="array" ref="DF248">SUM(IF(DC248:DD248&gt;=DC248, 1))</f>
        <v>2</v>
      </c>
      <c r="DG248" s="58">
        <f t="array" ref="DG248">SUM(IF(DC248:DD248&gt;=DD248, 1))</f>
        <v>1</v>
      </c>
      <c r="DI248" s="109">
        <f t="shared" si="130"/>
        <v>-60462843.280708715</v>
      </c>
      <c r="DJ248" s="109">
        <f t="shared" si="131"/>
        <v>0</v>
      </c>
      <c r="DL248" s="58">
        <f t="array" ref="DL248">SUM(IF(DI248:DJ248&gt;=DI248, 1))</f>
        <v>2</v>
      </c>
      <c r="DM248" s="58">
        <f t="array" ref="DM248">SUM(IF(DI248:DJ248&gt;=DJ248, 1))</f>
        <v>1</v>
      </c>
      <c r="DO248" s="109">
        <f t="shared" si="132"/>
        <v>-8157537.0146390852</v>
      </c>
      <c r="DP248" s="109">
        <f t="shared" si="133"/>
        <v>0</v>
      </c>
      <c r="DR248" s="58">
        <f t="array" ref="DR248">SUM(IF(DO248:DP248&gt;=DO248, 1))</f>
        <v>2</v>
      </c>
      <c r="DS248" s="58">
        <f t="array" ref="DS248">SUM(IF(DO248:DP248&gt;=DP248, 1))</f>
        <v>1</v>
      </c>
      <c r="DU248" s="109">
        <f t="shared" si="134"/>
        <v>-45994627.84601292</v>
      </c>
      <c r="DV248" s="109">
        <f t="shared" si="135"/>
        <v>0</v>
      </c>
      <c r="DX248" s="58">
        <f t="array" ref="DX248">SUM(IF(DU248:DV248&gt;=DU248, 1))</f>
        <v>2</v>
      </c>
      <c r="DY248" s="58">
        <f t="array" ref="DY248">SUM(IF(DU248:DV248&gt;=DV248, 1))</f>
        <v>1</v>
      </c>
      <c r="EA248" s="109">
        <f t="shared" si="136"/>
        <v>-157277551.18957809</v>
      </c>
      <c r="EB248" s="109">
        <f t="shared" si="137"/>
        <v>0</v>
      </c>
      <c r="ED248" s="58">
        <f t="array" ref="ED248">SUM(IF(EA248:EB248&gt;=EA248, 1))</f>
        <v>2</v>
      </c>
      <c r="EE248" s="58">
        <f t="array" ref="EE248">SUM(IF(EA248:EB248&gt;=EB248, 1))</f>
        <v>1</v>
      </c>
    </row>
    <row r="249" spans="4:135" ht="12" customHeight="1" x14ac:dyDescent="0.25">
      <c r="D249" s="11">
        <v>233</v>
      </c>
      <c r="E249" s="72">
        <v>262.84989673080287</v>
      </c>
      <c r="F249" s="72">
        <v>247.17132783242201</v>
      </c>
      <c r="G249" s="73"/>
      <c r="H249" s="74">
        <v>5.874728033911139</v>
      </c>
      <c r="I249" s="74">
        <v>5.8885191570275053</v>
      </c>
      <c r="J249" s="73"/>
      <c r="K249" s="72">
        <v>282.65878641704558</v>
      </c>
      <c r="L249" s="72">
        <v>266.58898093893794</v>
      </c>
      <c r="M249" s="73"/>
      <c r="N249" s="74">
        <v>6.6714944828199032</v>
      </c>
      <c r="O249" s="74">
        <v>6.6832382011538591</v>
      </c>
      <c r="P249" s="73"/>
      <c r="Q249" s="72">
        <v>3450.8780245601606</v>
      </c>
      <c r="R249" s="72">
        <v>1619.0329131932226</v>
      </c>
      <c r="S249" s="73"/>
      <c r="T249" s="74">
        <v>4.9337476043792696</v>
      </c>
      <c r="U249" s="74">
        <v>5.0503217248883248</v>
      </c>
      <c r="V249" s="73"/>
      <c r="W249" s="72">
        <v>10982.55571790847</v>
      </c>
      <c r="X249" s="72">
        <v>10957.017796711611</v>
      </c>
      <c r="Y249" s="73"/>
      <c r="Z249" s="74">
        <v>3.0067836098455891</v>
      </c>
      <c r="AA249" s="74">
        <v>3.0422233628533339</v>
      </c>
      <c r="AB249" s="73"/>
      <c r="AC249" s="72">
        <v>51518.206735533604</v>
      </c>
      <c r="AD249" s="72">
        <v>51002.48409786274</v>
      </c>
      <c r="AE249" s="73"/>
      <c r="AF249" s="74">
        <v>4.8501512282823516</v>
      </c>
      <c r="AG249" s="74">
        <v>4.9887185733278994</v>
      </c>
      <c r="AH249" s="73"/>
      <c r="AI249" s="72">
        <v>1699026.700773041</v>
      </c>
      <c r="AJ249" s="72">
        <v>0</v>
      </c>
      <c r="AK249" s="73"/>
      <c r="AL249" s="74">
        <v>-1494.4914016211317</v>
      </c>
      <c r="AM249" s="74">
        <v>0</v>
      </c>
      <c r="AN249" s="73"/>
      <c r="AO249" s="72">
        <v>110196.18343876617</v>
      </c>
      <c r="AP249" s="72">
        <v>0</v>
      </c>
      <c r="AQ249" s="73"/>
      <c r="AR249" s="74">
        <v>-80.530715915934181</v>
      </c>
      <c r="AS249" s="74">
        <v>0</v>
      </c>
      <c r="AT249" s="73"/>
      <c r="AU249" s="72">
        <v>42230205.065332919</v>
      </c>
      <c r="AV249" s="72">
        <v>0</v>
      </c>
      <c r="AW249" s="73"/>
      <c r="AX249" s="74">
        <v>-2687.4264553593644</v>
      </c>
      <c r="AY249" s="74">
        <v>0</v>
      </c>
      <c r="AZ249" s="73"/>
      <c r="BA249" s="72">
        <v>220794.19369411984</v>
      </c>
      <c r="BB249" s="72">
        <v>0</v>
      </c>
      <c r="BC249" s="73"/>
      <c r="BD249" s="74">
        <v>-306.40284421529543</v>
      </c>
      <c r="BE249" s="74">
        <v>0</v>
      </c>
      <c r="BF249" s="73"/>
      <c r="BG249" s="72">
        <v>8052973.0109520899</v>
      </c>
      <c r="BH249" s="72">
        <v>0</v>
      </c>
      <c r="BI249" s="73"/>
      <c r="BJ249" s="74">
        <v>-2163.7194265713815</v>
      </c>
      <c r="BK249" s="74">
        <v>0</v>
      </c>
      <c r="BL249" s="73"/>
      <c r="BM249" s="72">
        <v>52313195.154190943</v>
      </c>
      <c r="BN249" s="72">
        <v>0</v>
      </c>
      <c r="BO249" s="73"/>
      <c r="BP249" s="74">
        <v>-6732.5708436831073</v>
      </c>
      <c r="BQ249" s="74">
        <v>0</v>
      </c>
      <c r="BS249" s="109">
        <f t="shared" si="117"/>
        <v>117231.71078149199</v>
      </c>
      <c r="BT249" s="109">
        <f t="shared" si="118"/>
        <v>117523.21181271769</v>
      </c>
      <c r="BV249" s="58">
        <f t="array" ref="BV249">SUM(IF(BS249:BT249&gt;=BS249, 1))</f>
        <v>2</v>
      </c>
      <c r="BW249" s="58">
        <f t="array" ref="BW249">SUM(IF(BS249:BT249&gt;=BT249, 1))</f>
        <v>1</v>
      </c>
      <c r="BY249" s="109">
        <f t="shared" si="119"/>
        <v>133147.23086998102</v>
      </c>
      <c r="BZ249" s="109">
        <f t="shared" si="120"/>
        <v>133398.17504213823</v>
      </c>
      <c r="CB249" s="58">
        <f t="array" ref="CB249">SUM(IF(BY249:BZ249&gt;=BY249, 1))</f>
        <v>2</v>
      </c>
      <c r="CC249" s="58">
        <f t="array" ref="CC249">SUM(IF(BY249:BZ249&gt;=BZ249, 1))</f>
        <v>1</v>
      </c>
      <c r="CE249" s="109">
        <f t="shared" si="121"/>
        <v>95224.074063025226</v>
      </c>
      <c r="CF249" s="109">
        <f t="shared" si="122"/>
        <v>99387.401584573279</v>
      </c>
      <c r="CH249" s="58">
        <f t="array" ref="CH249">SUM(IF(CE249:CF249&gt;=CE249, 1))</f>
        <v>2</v>
      </c>
      <c r="CI249" s="58">
        <f t="array" ref="CI249">SUM(IF(CE249:CF249&gt;=CF249, 1))</f>
        <v>1</v>
      </c>
      <c r="CK249" s="109">
        <f t="shared" si="123"/>
        <v>49153.116479003307</v>
      </c>
      <c r="CL249" s="109">
        <f t="shared" si="124"/>
        <v>49887.44946035507</v>
      </c>
      <c r="CN249" s="58">
        <f t="array" ref="CN249">SUM(IF(CK249:CL249&gt;=CK249, 1))</f>
        <v>2</v>
      </c>
      <c r="CO249" s="58">
        <f t="array" ref="CO249">SUM(IF(CK249:CL249&gt;=CL249, 1))</f>
        <v>1</v>
      </c>
      <c r="CQ249" s="109" cm="1">
        <f t="array" ref="CQ249">AF249*WTP-AC249</f>
        <v>45484.817830113432</v>
      </c>
      <c r="CR249" s="109">
        <f t="shared" si="125"/>
        <v>48771.88736869525</v>
      </c>
      <c r="CT249" s="58">
        <f t="array" ref="CT249">SUM(IF(CQ249:CR249&gt;=CQ249, 1))</f>
        <v>2</v>
      </c>
      <c r="CU249" s="58">
        <f t="array" ref="CU249">SUM(IF(CQ249:CR249&gt;=CR249, 1))</f>
        <v>1</v>
      </c>
      <c r="CW249" s="109">
        <f t="shared" si="126"/>
        <v>-31588854.733195674</v>
      </c>
      <c r="CX249" s="109">
        <f t="shared" si="127"/>
        <v>0</v>
      </c>
      <c r="CZ249" s="58">
        <f t="array" ref="CZ249">SUM(IF(CW249:CX249&gt;=CW249, 1))</f>
        <v>2</v>
      </c>
      <c r="DA249" s="58">
        <f t="array" ref="DA249">SUM(IF(CW249:CX249&gt;=CX249, 1))</f>
        <v>1</v>
      </c>
      <c r="DC249" s="109">
        <f t="shared" si="128"/>
        <v>-1720810.5017574499</v>
      </c>
      <c r="DD249" s="109">
        <f t="shared" si="129"/>
        <v>0</v>
      </c>
      <c r="DF249" s="58">
        <f t="array" ref="DF249">SUM(IF(DC249:DD249&gt;=DC249, 1))</f>
        <v>2</v>
      </c>
      <c r="DG249" s="58">
        <f t="array" ref="DG249">SUM(IF(DC249:DD249&gt;=DD249, 1))</f>
        <v>1</v>
      </c>
      <c r="DI249" s="109">
        <f t="shared" si="130"/>
        <v>-95978734.172520205</v>
      </c>
      <c r="DJ249" s="109">
        <f t="shared" si="131"/>
        <v>0</v>
      </c>
      <c r="DL249" s="58">
        <f t="array" ref="DL249">SUM(IF(DI249:DJ249&gt;=DI249, 1))</f>
        <v>2</v>
      </c>
      <c r="DM249" s="58">
        <f t="array" ref="DM249">SUM(IF(DI249:DJ249&gt;=DJ249, 1))</f>
        <v>1</v>
      </c>
      <c r="DO249" s="109">
        <f t="shared" si="132"/>
        <v>-6348851.0780000286</v>
      </c>
      <c r="DP249" s="109">
        <f t="shared" si="133"/>
        <v>0</v>
      </c>
      <c r="DR249" s="58">
        <f t="array" ref="DR249">SUM(IF(DO249:DP249&gt;=DO249, 1))</f>
        <v>2</v>
      </c>
      <c r="DS249" s="58">
        <f t="array" ref="DS249">SUM(IF(DO249:DP249&gt;=DP249, 1))</f>
        <v>1</v>
      </c>
      <c r="DU249" s="109">
        <f t="shared" si="134"/>
        <v>-51327361.542379722</v>
      </c>
      <c r="DV249" s="109">
        <f t="shared" si="135"/>
        <v>0</v>
      </c>
      <c r="DX249" s="58">
        <f t="array" ref="DX249">SUM(IF(DU249:DV249&gt;=DU249, 1))</f>
        <v>2</v>
      </c>
      <c r="DY249" s="58">
        <f t="array" ref="DY249">SUM(IF(DU249:DV249&gt;=DV249, 1))</f>
        <v>1</v>
      </c>
      <c r="EA249" s="109">
        <f t="shared" si="136"/>
        <v>-186964612.02785307</v>
      </c>
      <c r="EB249" s="109">
        <f t="shared" si="137"/>
        <v>0</v>
      </c>
      <c r="ED249" s="58">
        <f t="array" ref="ED249">SUM(IF(EA249:EB249&gt;=EA249, 1))</f>
        <v>2</v>
      </c>
      <c r="EE249" s="58">
        <f t="array" ref="EE249">SUM(IF(EA249:EB249&gt;=EB249, 1))</f>
        <v>1</v>
      </c>
    </row>
    <row r="250" spans="4:135" ht="12" customHeight="1" x14ac:dyDescent="0.25">
      <c r="D250" s="11">
        <v>234</v>
      </c>
      <c r="E250" s="72">
        <v>221.95120202979777</v>
      </c>
      <c r="F250" s="72">
        <v>213.67283609860795</v>
      </c>
      <c r="G250" s="73"/>
      <c r="H250" s="74">
        <v>5.8610663863485764</v>
      </c>
      <c r="I250" s="74">
        <v>5.8773847359680769</v>
      </c>
      <c r="J250" s="73"/>
      <c r="K250" s="72">
        <v>238.96362349342689</v>
      </c>
      <c r="L250" s="72">
        <v>230.46459776732695</v>
      </c>
      <c r="M250" s="73"/>
      <c r="N250" s="74">
        <v>6.7102521793537022</v>
      </c>
      <c r="O250" s="74">
        <v>6.7245668107635144</v>
      </c>
      <c r="P250" s="73"/>
      <c r="Q250" s="72">
        <v>3837.0292445772361</v>
      </c>
      <c r="R250" s="72">
        <v>2169.3048331943742</v>
      </c>
      <c r="S250" s="73"/>
      <c r="T250" s="74">
        <v>4.8653895171749211</v>
      </c>
      <c r="U250" s="74">
        <v>4.9555187050528566</v>
      </c>
      <c r="V250" s="73"/>
      <c r="W250" s="72">
        <v>11959.540663479862</v>
      </c>
      <c r="X250" s="72">
        <v>12002.931048040724</v>
      </c>
      <c r="Y250" s="73"/>
      <c r="Z250" s="74">
        <v>2.9607113084655121</v>
      </c>
      <c r="AA250" s="74">
        <v>3.0251373881516885</v>
      </c>
      <c r="AB250" s="73"/>
      <c r="AC250" s="72">
        <v>51192.805102440936</v>
      </c>
      <c r="AD250" s="72">
        <v>50820.75430448995</v>
      </c>
      <c r="AE250" s="73"/>
      <c r="AF250" s="74">
        <v>4.3453849253357184</v>
      </c>
      <c r="AG250" s="74">
        <v>4.5029218561676307</v>
      </c>
      <c r="AH250" s="73"/>
      <c r="AI250" s="72">
        <v>889296.05781758961</v>
      </c>
      <c r="AJ250" s="72">
        <v>0</v>
      </c>
      <c r="AK250" s="73"/>
      <c r="AL250" s="74">
        <v>-1752.9841163502697</v>
      </c>
      <c r="AM250" s="74">
        <v>0</v>
      </c>
      <c r="AN250" s="73"/>
      <c r="AO250" s="72">
        <v>60076.674953179623</v>
      </c>
      <c r="AP250" s="72">
        <v>0</v>
      </c>
      <c r="AQ250" s="73"/>
      <c r="AR250" s="74">
        <v>-101.18518121917579</v>
      </c>
      <c r="AS250" s="74">
        <v>0</v>
      </c>
      <c r="AT250" s="73"/>
      <c r="AU250" s="72">
        <v>39854787.492668368</v>
      </c>
      <c r="AV250" s="72">
        <v>0</v>
      </c>
      <c r="AW250" s="73"/>
      <c r="AX250" s="74">
        <v>-2153.8808242204618</v>
      </c>
      <c r="AY250" s="74">
        <v>0</v>
      </c>
      <c r="AZ250" s="73"/>
      <c r="BA250" s="72">
        <v>-394395.35983913433</v>
      </c>
      <c r="BB250" s="72">
        <v>0</v>
      </c>
      <c r="BC250" s="73"/>
      <c r="BD250" s="74">
        <v>-585.59856378349423</v>
      </c>
      <c r="BE250" s="74">
        <v>0</v>
      </c>
      <c r="BF250" s="73"/>
      <c r="BG250" s="72">
        <v>5766679.1866275072</v>
      </c>
      <c r="BH250" s="72">
        <v>0</v>
      </c>
      <c r="BI250" s="73"/>
      <c r="BJ250" s="74">
        <v>-2441.7766207109385</v>
      </c>
      <c r="BK250" s="74">
        <v>0</v>
      </c>
      <c r="BL250" s="73"/>
      <c r="BM250" s="72">
        <v>46176444.052227512</v>
      </c>
      <c r="BN250" s="72">
        <v>0</v>
      </c>
      <c r="BO250" s="73"/>
      <c r="BP250" s="74">
        <v>-7035.42530628434</v>
      </c>
      <c r="BQ250" s="74">
        <v>0</v>
      </c>
      <c r="BS250" s="109">
        <f t="shared" si="117"/>
        <v>116999.37652494173</v>
      </c>
      <c r="BT250" s="109">
        <f t="shared" si="118"/>
        <v>117334.02188326293</v>
      </c>
      <c r="BV250" s="58">
        <f t="array" ref="BV250">SUM(IF(BS250:BT250&gt;=BS250, 1))</f>
        <v>2</v>
      </c>
      <c r="BW250" s="58">
        <f t="array" ref="BW250">SUM(IF(BS250:BT250&gt;=BT250, 1))</f>
        <v>1</v>
      </c>
      <c r="BY250" s="109">
        <f t="shared" si="119"/>
        <v>133966.07996358062</v>
      </c>
      <c r="BZ250" s="109">
        <f t="shared" si="120"/>
        <v>134260.87161750294</v>
      </c>
      <c r="CB250" s="58">
        <f t="array" ref="CB250">SUM(IF(BY250:BZ250&gt;=BY250, 1))</f>
        <v>2</v>
      </c>
      <c r="CC250" s="58">
        <f t="array" ref="CC250">SUM(IF(BY250:BZ250&gt;=BZ250, 1))</f>
        <v>1</v>
      </c>
      <c r="CE250" s="109">
        <f t="shared" si="121"/>
        <v>93470.761098921183</v>
      </c>
      <c r="CF250" s="109">
        <f t="shared" si="122"/>
        <v>96941.069267862767</v>
      </c>
      <c r="CH250" s="58">
        <f t="array" ref="CH250">SUM(IF(CE250:CF250&gt;=CE250, 1))</f>
        <v>2</v>
      </c>
      <c r="CI250" s="58">
        <f t="array" ref="CI250">SUM(IF(CE250:CF250&gt;=CF250, 1))</f>
        <v>1</v>
      </c>
      <c r="CK250" s="109">
        <f t="shared" si="123"/>
        <v>47254.685505830377</v>
      </c>
      <c r="CL250" s="109">
        <f t="shared" si="124"/>
        <v>48499.816714993045</v>
      </c>
      <c r="CN250" s="58">
        <f t="array" ref="CN250">SUM(IF(CK250:CL250&gt;=CK250, 1))</f>
        <v>2</v>
      </c>
      <c r="CO250" s="58">
        <f t="array" ref="CO250">SUM(IF(CK250:CL250&gt;=CL250, 1))</f>
        <v>1</v>
      </c>
      <c r="CQ250" s="109" cm="1">
        <f t="array" ref="CQ250">AF250*WTP-AC250</f>
        <v>35714.893404273433</v>
      </c>
      <c r="CR250" s="109">
        <f t="shared" si="125"/>
        <v>39237.682818862668</v>
      </c>
      <c r="CT250" s="58">
        <f t="array" ref="CT250">SUM(IF(CQ250:CR250&gt;=CQ250, 1))</f>
        <v>2</v>
      </c>
      <c r="CU250" s="58">
        <f t="array" ref="CU250">SUM(IF(CQ250:CR250&gt;=CR250, 1))</f>
        <v>1</v>
      </c>
      <c r="CW250" s="109">
        <f t="shared" si="126"/>
        <v>-35948978.384822987</v>
      </c>
      <c r="CX250" s="109">
        <f t="shared" si="127"/>
        <v>0</v>
      </c>
      <c r="CZ250" s="58">
        <f t="array" ref="CZ250">SUM(IF(CW250:CX250&gt;=CW250, 1))</f>
        <v>2</v>
      </c>
      <c r="DA250" s="58">
        <f t="array" ref="DA250">SUM(IF(CW250:CX250&gt;=CX250, 1))</f>
        <v>1</v>
      </c>
      <c r="DC250" s="109">
        <f t="shared" si="128"/>
        <v>-2083780.2993366953</v>
      </c>
      <c r="DD250" s="109">
        <f t="shared" si="129"/>
        <v>0</v>
      </c>
      <c r="DF250" s="58">
        <f t="array" ref="DF250">SUM(IF(DC250:DD250&gt;=DC250, 1))</f>
        <v>2</v>
      </c>
      <c r="DG250" s="58">
        <f t="array" ref="DG250">SUM(IF(DC250:DD250&gt;=DD250, 1))</f>
        <v>1</v>
      </c>
      <c r="DI250" s="109">
        <f t="shared" si="130"/>
        <v>-82932403.977077603</v>
      </c>
      <c r="DJ250" s="109">
        <f t="shared" si="131"/>
        <v>0</v>
      </c>
      <c r="DL250" s="58">
        <f t="array" ref="DL250">SUM(IF(DI250:DJ250&gt;=DI250, 1))</f>
        <v>2</v>
      </c>
      <c r="DM250" s="58">
        <f t="array" ref="DM250">SUM(IF(DI250:DJ250&gt;=DJ250, 1))</f>
        <v>1</v>
      </c>
      <c r="DO250" s="109">
        <f t="shared" si="132"/>
        <v>-11317575.91583075</v>
      </c>
      <c r="DP250" s="109">
        <f t="shared" si="133"/>
        <v>0</v>
      </c>
      <c r="DR250" s="58">
        <f t="array" ref="DR250">SUM(IF(DO250:DP250&gt;=DO250, 1))</f>
        <v>2</v>
      </c>
      <c r="DS250" s="58">
        <f t="array" ref="DS250">SUM(IF(DO250:DP250&gt;=DP250, 1))</f>
        <v>1</v>
      </c>
      <c r="DU250" s="109">
        <f t="shared" si="134"/>
        <v>-54602211.600846276</v>
      </c>
      <c r="DV250" s="109">
        <f t="shared" si="135"/>
        <v>0</v>
      </c>
      <c r="DX250" s="58">
        <f t="array" ref="DX250">SUM(IF(DU250:DV250&gt;=DU250, 1))</f>
        <v>2</v>
      </c>
      <c r="DY250" s="58">
        <f t="array" ref="DY250">SUM(IF(DU250:DV250&gt;=DV250, 1))</f>
        <v>1</v>
      </c>
      <c r="EA250" s="109">
        <f t="shared" si="136"/>
        <v>-186884950.17791432</v>
      </c>
      <c r="EB250" s="109">
        <f t="shared" si="137"/>
        <v>0</v>
      </c>
      <c r="ED250" s="58">
        <f t="array" ref="ED250">SUM(IF(EA250:EB250&gt;=EA250, 1))</f>
        <v>2</v>
      </c>
      <c r="EE250" s="58">
        <f t="array" ref="EE250">SUM(IF(EA250:EB250&gt;=EB250, 1))</f>
        <v>1</v>
      </c>
    </row>
    <row r="251" spans="4:135" ht="12" customHeight="1" x14ac:dyDescent="0.25">
      <c r="D251" s="11">
        <v>235</v>
      </c>
      <c r="E251" s="72">
        <v>302.11566234119186</v>
      </c>
      <c r="F251" s="72">
        <v>260.76750502271352</v>
      </c>
      <c r="G251" s="73"/>
      <c r="H251" s="74">
        <v>5.8405669975198968</v>
      </c>
      <c r="I251" s="74">
        <v>5.8603220450233282</v>
      </c>
      <c r="J251" s="73"/>
      <c r="K251" s="72">
        <v>323.44179503672302</v>
      </c>
      <c r="L251" s="72">
        <v>281.10561783728951</v>
      </c>
      <c r="M251" s="73"/>
      <c r="N251" s="74">
        <v>6.720282260354117</v>
      </c>
      <c r="O251" s="74">
        <v>6.7375622906252692</v>
      </c>
      <c r="P251" s="73"/>
      <c r="Q251" s="72">
        <v>2395.3969291611993</v>
      </c>
      <c r="R251" s="72">
        <v>1528.3061472041768</v>
      </c>
      <c r="S251" s="73"/>
      <c r="T251" s="74">
        <v>4.7206773143411427</v>
      </c>
      <c r="U251" s="74">
        <v>4.8041902931551137</v>
      </c>
      <c r="V251" s="73"/>
      <c r="W251" s="72">
        <v>10673.715413673272</v>
      </c>
      <c r="X251" s="72">
        <v>10683.048245332122</v>
      </c>
      <c r="Y251" s="73"/>
      <c r="Z251" s="74">
        <v>2.8217146690537609</v>
      </c>
      <c r="AA251" s="74">
        <v>2.8661594692868348</v>
      </c>
      <c r="AB251" s="73"/>
      <c r="AC251" s="72">
        <v>50766.657853954755</v>
      </c>
      <c r="AD251" s="72">
        <v>50644.215201320498</v>
      </c>
      <c r="AE251" s="73"/>
      <c r="AF251" s="74">
        <v>4.3255750541236928</v>
      </c>
      <c r="AG251" s="74">
        <v>4.423288693160802</v>
      </c>
      <c r="AH251" s="73"/>
      <c r="AI251" s="72">
        <v>4486259.6479364736</v>
      </c>
      <c r="AJ251" s="72">
        <v>0</v>
      </c>
      <c r="AK251" s="73"/>
      <c r="AL251" s="74">
        <v>-2143.4152863229438</v>
      </c>
      <c r="AM251" s="74">
        <v>0</v>
      </c>
      <c r="AN251" s="73"/>
      <c r="AO251" s="72">
        <v>296507.45193842688</v>
      </c>
      <c r="AP251" s="72">
        <v>0</v>
      </c>
      <c r="AQ251" s="73"/>
      <c r="AR251" s="74">
        <v>-121.02315523156835</v>
      </c>
      <c r="AS251" s="74">
        <v>0</v>
      </c>
      <c r="AT251" s="73"/>
      <c r="AU251" s="72">
        <v>20677202.538830865</v>
      </c>
      <c r="AV251" s="72">
        <v>0</v>
      </c>
      <c r="AW251" s="73"/>
      <c r="AX251" s="74">
        <v>-1991.5040195216372</v>
      </c>
      <c r="AY251" s="74">
        <v>0</v>
      </c>
      <c r="AZ251" s="73"/>
      <c r="BA251" s="72">
        <v>-84485.963824357299</v>
      </c>
      <c r="BB251" s="72">
        <v>0</v>
      </c>
      <c r="BC251" s="73"/>
      <c r="BD251" s="74">
        <v>-402.33896012807736</v>
      </c>
      <c r="BE251" s="74">
        <v>0</v>
      </c>
      <c r="BF251" s="73"/>
      <c r="BG251" s="72">
        <v>1906956.9806053522</v>
      </c>
      <c r="BH251" s="72">
        <v>0</v>
      </c>
      <c r="BI251" s="73"/>
      <c r="BJ251" s="74">
        <v>-1521.8202321927886</v>
      </c>
      <c r="BK251" s="74">
        <v>0</v>
      </c>
      <c r="BL251" s="73"/>
      <c r="BM251" s="72">
        <v>27282440.655486763</v>
      </c>
      <c r="BN251" s="72">
        <v>0</v>
      </c>
      <c r="BO251" s="73"/>
      <c r="BP251" s="74">
        <v>-6180.1016533970151</v>
      </c>
      <c r="BQ251" s="74">
        <v>0</v>
      </c>
      <c r="BS251" s="109">
        <f t="shared" si="117"/>
        <v>116509.22428805674</v>
      </c>
      <c r="BT251" s="109">
        <f t="shared" si="118"/>
        <v>116945.67339544385</v>
      </c>
      <c r="BV251" s="58">
        <f t="array" ref="BV251">SUM(IF(BS251:BT251&gt;=BS251, 1))</f>
        <v>2</v>
      </c>
      <c r="BW251" s="58">
        <f t="array" ref="BW251">SUM(IF(BS251:BT251&gt;=BT251, 1))</f>
        <v>1</v>
      </c>
      <c r="BY251" s="109">
        <f t="shared" si="119"/>
        <v>134082.20341204561</v>
      </c>
      <c r="BZ251" s="109">
        <f t="shared" si="120"/>
        <v>134470.14019466811</v>
      </c>
      <c r="CB251" s="58">
        <f t="array" ref="CB251">SUM(IF(BY251:BZ251&gt;=BY251, 1))</f>
        <v>2</v>
      </c>
      <c r="CC251" s="58">
        <f t="array" ref="CC251">SUM(IF(BY251:BZ251&gt;=BZ251, 1))</f>
        <v>1</v>
      </c>
      <c r="CE251" s="109">
        <f t="shared" si="121"/>
        <v>92018.149357661649</v>
      </c>
      <c r="CF251" s="109">
        <f t="shared" si="122"/>
        <v>94555.499715898099</v>
      </c>
      <c r="CH251" s="58">
        <f t="array" ref="CH251">SUM(IF(CE251:CF251&gt;=CE251, 1))</f>
        <v>2</v>
      </c>
      <c r="CI251" s="58">
        <f t="array" ref="CI251">SUM(IF(CE251:CF251&gt;=CF251, 1))</f>
        <v>1</v>
      </c>
      <c r="CK251" s="109">
        <f t="shared" si="123"/>
        <v>45760.577967401943</v>
      </c>
      <c r="CL251" s="109">
        <f t="shared" si="124"/>
        <v>46640.141140404572</v>
      </c>
      <c r="CN251" s="58">
        <f t="array" ref="CN251">SUM(IF(CK251:CL251&gt;=CK251, 1))</f>
        <v>2</v>
      </c>
      <c r="CO251" s="58">
        <f t="array" ref="CO251">SUM(IF(CK251:CL251&gt;=CL251, 1))</f>
        <v>1</v>
      </c>
      <c r="CQ251" s="109" cm="1">
        <f t="array" ref="CQ251">AF251*WTP-AC251</f>
        <v>35744.843228519101</v>
      </c>
      <c r="CR251" s="109">
        <f t="shared" si="125"/>
        <v>37821.558661895535</v>
      </c>
      <c r="CT251" s="58">
        <f t="array" ref="CT251">SUM(IF(CQ251:CR251&gt;=CQ251, 1))</f>
        <v>2</v>
      </c>
      <c r="CU251" s="58">
        <f t="array" ref="CU251">SUM(IF(CQ251:CR251&gt;=CR251, 1))</f>
        <v>1</v>
      </c>
      <c r="CW251" s="109">
        <f t="shared" si="126"/>
        <v>-47354565.374395348</v>
      </c>
      <c r="CX251" s="109">
        <f t="shared" si="127"/>
        <v>0</v>
      </c>
      <c r="CZ251" s="58">
        <f t="array" ref="CZ251">SUM(IF(CW251:CX251&gt;=CW251, 1))</f>
        <v>2</v>
      </c>
      <c r="DA251" s="58">
        <f t="array" ref="DA251">SUM(IF(CW251:CX251&gt;=CX251, 1))</f>
        <v>1</v>
      </c>
      <c r="DC251" s="109">
        <f t="shared" si="128"/>
        <v>-2716970.5565697942</v>
      </c>
      <c r="DD251" s="109">
        <f t="shared" si="129"/>
        <v>0</v>
      </c>
      <c r="DF251" s="58">
        <f t="array" ref="DF251">SUM(IF(DC251:DD251&gt;=DC251, 1))</f>
        <v>2</v>
      </c>
      <c r="DG251" s="58">
        <f t="array" ref="DG251">SUM(IF(DC251:DD251&gt;=DD251, 1))</f>
        <v>1</v>
      </c>
      <c r="DI251" s="109">
        <f t="shared" si="130"/>
        <v>-60507282.929263607</v>
      </c>
      <c r="DJ251" s="109">
        <f t="shared" si="131"/>
        <v>0</v>
      </c>
      <c r="DL251" s="58">
        <f t="array" ref="DL251">SUM(IF(DI251:DJ251&gt;=DI251, 1))</f>
        <v>2</v>
      </c>
      <c r="DM251" s="58">
        <f t="array" ref="DM251">SUM(IF(DI251:DJ251&gt;=DJ251, 1))</f>
        <v>1</v>
      </c>
      <c r="DO251" s="109">
        <f t="shared" si="132"/>
        <v>-7962293.2387371901</v>
      </c>
      <c r="DP251" s="109">
        <f t="shared" si="133"/>
        <v>0</v>
      </c>
      <c r="DR251" s="58">
        <f t="array" ref="DR251">SUM(IF(DO251:DP251&gt;=DO251, 1))</f>
        <v>2</v>
      </c>
      <c r="DS251" s="58">
        <f t="array" ref="DS251">SUM(IF(DO251:DP251&gt;=DP251, 1))</f>
        <v>1</v>
      </c>
      <c r="DU251" s="109">
        <f t="shared" si="134"/>
        <v>-32343361.624461126</v>
      </c>
      <c r="DV251" s="109">
        <f t="shared" si="135"/>
        <v>0</v>
      </c>
      <c r="DX251" s="58">
        <f t="array" ref="DX251">SUM(IF(DU251:DV251&gt;=DU251, 1))</f>
        <v>2</v>
      </c>
      <c r="DY251" s="58">
        <f t="array" ref="DY251">SUM(IF(DU251:DV251&gt;=DV251, 1))</f>
        <v>1</v>
      </c>
      <c r="EA251" s="109">
        <f t="shared" si="136"/>
        <v>-150884473.72342706</v>
      </c>
      <c r="EB251" s="109">
        <f t="shared" si="137"/>
        <v>0</v>
      </c>
      <c r="ED251" s="58">
        <f t="array" ref="ED251">SUM(IF(EA251:EB251&gt;=EA251, 1))</f>
        <v>2</v>
      </c>
      <c r="EE251" s="58">
        <f t="array" ref="EE251">SUM(IF(EA251:EB251&gt;=EB251, 1))</f>
        <v>1</v>
      </c>
    </row>
    <row r="252" spans="4:135" ht="12" customHeight="1" x14ac:dyDescent="0.25">
      <c r="D252" s="11">
        <v>236</v>
      </c>
      <c r="E252" s="72">
        <v>258.04355704509419</v>
      </c>
      <c r="F252" s="72">
        <v>243.2613032431577</v>
      </c>
      <c r="G252" s="73"/>
      <c r="H252" s="74">
        <v>5.871351125461409</v>
      </c>
      <c r="I252" s="74">
        <v>5.8868905486095011</v>
      </c>
      <c r="J252" s="73"/>
      <c r="K252" s="72">
        <v>277.49354142289394</v>
      </c>
      <c r="L252" s="72">
        <v>262.35171434942657</v>
      </c>
      <c r="M252" s="73"/>
      <c r="N252" s="74">
        <v>6.6610097442602685</v>
      </c>
      <c r="O252" s="74">
        <v>6.6746187447151124</v>
      </c>
      <c r="P252" s="73"/>
      <c r="Q252" s="72">
        <v>3385.6449068063707</v>
      </c>
      <c r="R252" s="72">
        <v>1704.8946088203006</v>
      </c>
      <c r="S252" s="73"/>
      <c r="T252" s="74">
        <v>4.8564157445659513</v>
      </c>
      <c r="U252" s="74">
        <v>4.972991542082787</v>
      </c>
      <c r="V252" s="73"/>
      <c r="W252" s="72">
        <v>18090.876077175075</v>
      </c>
      <c r="X252" s="72">
        <v>18027.441317688288</v>
      </c>
      <c r="Y252" s="73"/>
      <c r="Z252" s="74">
        <v>3.0869708295617055</v>
      </c>
      <c r="AA252" s="74">
        <v>3.1285603987332102</v>
      </c>
      <c r="AB252" s="73"/>
      <c r="AC252" s="72">
        <v>50085.278323830309</v>
      </c>
      <c r="AD252" s="72">
        <v>49656.543542412241</v>
      </c>
      <c r="AE252" s="73"/>
      <c r="AF252" s="74">
        <v>4.4824628694184714</v>
      </c>
      <c r="AG252" s="74">
        <v>4.6054674452320157</v>
      </c>
      <c r="AH252" s="73"/>
      <c r="AI252" s="72">
        <v>1602774.149475012</v>
      </c>
      <c r="AJ252" s="72">
        <v>0</v>
      </c>
      <c r="AK252" s="73"/>
      <c r="AL252" s="74">
        <v>-1684.8706599972513</v>
      </c>
      <c r="AM252" s="74">
        <v>0</v>
      </c>
      <c r="AN252" s="73"/>
      <c r="AO252" s="72">
        <v>105391.22638414716</v>
      </c>
      <c r="AP252" s="72">
        <v>0</v>
      </c>
      <c r="AQ252" s="73"/>
      <c r="AR252" s="74">
        <v>-94.722337062721465</v>
      </c>
      <c r="AS252" s="74">
        <v>0</v>
      </c>
      <c r="AT252" s="73"/>
      <c r="AU252" s="72">
        <v>39806589.73752895</v>
      </c>
      <c r="AV252" s="72">
        <v>0</v>
      </c>
      <c r="AW252" s="73"/>
      <c r="AX252" s="74">
        <v>-2760.9603583817943</v>
      </c>
      <c r="AY252" s="74">
        <v>0</v>
      </c>
      <c r="AZ252" s="73"/>
      <c r="BA252" s="72">
        <v>575467.30183271295</v>
      </c>
      <c r="BB252" s="72">
        <v>0</v>
      </c>
      <c r="BC252" s="73"/>
      <c r="BD252" s="74">
        <v>-377.29215573830663</v>
      </c>
      <c r="BE252" s="74">
        <v>0</v>
      </c>
      <c r="BF252" s="73"/>
      <c r="BG252" s="72">
        <v>6682032.3780501094</v>
      </c>
      <c r="BH252" s="72">
        <v>0</v>
      </c>
      <c r="BI252" s="73"/>
      <c r="BJ252" s="74">
        <v>-1917.0839266081143</v>
      </c>
      <c r="BK252" s="74">
        <v>0</v>
      </c>
      <c r="BL252" s="73"/>
      <c r="BM252" s="72">
        <v>48772254.793270931</v>
      </c>
      <c r="BN252" s="72">
        <v>0</v>
      </c>
      <c r="BO252" s="73"/>
      <c r="BP252" s="74">
        <v>-6834.9294377881888</v>
      </c>
      <c r="BQ252" s="74">
        <v>0</v>
      </c>
      <c r="BS252" s="109">
        <f t="shared" si="117"/>
        <v>117168.97895218308</v>
      </c>
      <c r="BT252" s="109">
        <f t="shared" si="118"/>
        <v>117494.54966894687</v>
      </c>
      <c r="BV252" s="58">
        <f t="array" ref="BV252">SUM(IF(BS252:BT252&gt;=BS252, 1))</f>
        <v>2</v>
      </c>
      <c r="BW252" s="58">
        <f t="array" ref="BW252">SUM(IF(BS252:BT252&gt;=BT252, 1))</f>
        <v>1</v>
      </c>
      <c r="BY252" s="109">
        <f t="shared" si="119"/>
        <v>132942.70134378248</v>
      </c>
      <c r="BZ252" s="109">
        <f t="shared" si="120"/>
        <v>133230.02317995281</v>
      </c>
      <c r="CB252" s="58">
        <f t="array" ref="CB252">SUM(IF(BY252:BZ252&gt;=BY252, 1))</f>
        <v>2</v>
      </c>
      <c r="CC252" s="58">
        <f t="array" ref="CC252">SUM(IF(BY252:BZ252&gt;=BZ252, 1))</f>
        <v>1</v>
      </c>
      <c r="CE252" s="109">
        <f t="shared" si="121"/>
        <v>93742.669984512657</v>
      </c>
      <c r="CF252" s="109">
        <f t="shared" si="122"/>
        <v>97754.936232835447</v>
      </c>
      <c r="CH252" s="58">
        <f t="array" ref="CH252">SUM(IF(CE252:CF252&gt;=CE252, 1))</f>
        <v>2</v>
      </c>
      <c r="CI252" s="58">
        <f t="array" ref="CI252">SUM(IF(CE252:CF252&gt;=CF252, 1))</f>
        <v>1</v>
      </c>
      <c r="CK252" s="109">
        <f t="shared" si="123"/>
        <v>43648.540514059037</v>
      </c>
      <c r="CL252" s="109">
        <f t="shared" si="124"/>
        <v>44543.766656975917</v>
      </c>
      <c r="CN252" s="58">
        <f t="array" ref="CN252">SUM(IF(CK252:CL252&gt;=CK252, 1))</f>
        <v>2</v>
      </c>
      <c r="CO252" s="58">
        <f t="array" ref="CO252">SUM(IF(CK252:CL252&gt;=CL252, 1))</f>
        <v>1</v>
      </c>
      <c r="CQ252" s="109" cm="1">
        <f t="array" ref="CQ252">AF252*WTP-AC252</f>
        <v>39563.979064539119</v>
      </c>
      <c r="CR252" s="109">
        <f t="shared" si="125"/>
        <v>42452.805362228071</v>
      </c>
      <c r="CT252" s="58">
        <f t="array" ref="CT252">SUM(IF(CQ252:CR252&gt;=CQ252, 1))</f>
        <v>2</v>
      </c>
      <c r="CU252" s="58">
        <f t="array" ref="CU252">SUM(IF(CQ252:CR252&gt;=CR252, 1))</f>
        <v>1</v>
      </c>
      <c r="CW252" s="109">
        <f t="shared" si="126"/>
        <v>-35300187.349420041</v>
      </c>
      <c r="CX252" s="109">
        <f t="shared" si="127"/>
        <v>0</v>
      </c>
      <c r="CZ252" s="58">
        <f t="array" ref="CZ252">SUM(IF(CW252:CX252&gt;=CW252, 1))</f>
        <v>2</v>
      </c>
      <c r="DA252" s="58">
        <f t="array" ref="DA252">SUM(IF(CW252:CX252&gt;=CX252, 1))</f>
        <v>1</v>
      </c>
      <c r="DC252" s="109">
        <f t="shared" si="128"/>
        <v>-1999837.9676385764</v>
      </c>
      <c r="DD252" s="109">
        <f t="shared" si="129"/>
        <v>0</v>
      </c>
      <c r="DF252" s="58">
        <f t="array" ref="DF252">SUM(IF(DC252:DD252&gt;=DC252, 1))</f>
        <v>2</v>
      </c>
      <c r="DG252" s="58">
        <f t="array" ref="DG252">SUM(IF(DC252:DD252&gt;=DD252, 1))</f>
        <v>1</v>
      </c>
      <c r="DI252" s="109">
        <f t="shared" si="130"/>
        <v>-95025796.905164838</v>
      </c>
      <c r="DJ252" s="109">
        <f t="shared" si="131"/>
        <v>0</v>
      </c>
      <c r="DL252" s="58">
        <f t="array" ref="DL252">SUM(IF(DI252:DJ252&gt;=DI252, 1))</f>
        <v>2</v>
      </c>
      <c r="DM252" s="58">
        <f t="array" ref="DM252">SUM(IF(DI252:DJ252&gt;=DJ252, 1))</f>
        <v>1</v>
      </c>
      <c r="DO252" s="109">
        <f t="shared" si="132"/>
        <v>-8121310.4165988462</v>
      </c>
      <c r="DP252" s="109">
        <f t="shared" si="133"/>
        <v>0</v>
      </c>
      <c r="DR252" s="58">
        <f t="array" ref="DR252">SUM(IF(DO252:DP252&gt;=DO252, 1))</f>
        <v>2</v>
      </c>
      <c r="DS252" s="58">
        <f t="array" ref="DS252">SUM(IF(DO252:DP252&gt;=DP252, 1))</f>
        <v>1</v>
      </c>
      <c r="DU252" s="109">
        <f t="shared" si="134"/>
        <v>-45023710.910212398</v>
      </c>
      <c r="DV252" s="109">
        <f t="shared" si="135"/>
        <v>0</v>
      </c>
      <c r="DX252" s="58">
        <f t="array" ref="DX252">SUM(IF(DU252:DV252&gt;=DU252, 1))</f>
        <v>2</v>
      </c>
      <c r="DY252" s="58">
        <f t="array" ref="DY252">SUM(IF(DU252:DV252&gt;=DV252, 1))</f>
        <v>1</v>
      </c>
      <c r="EA252" s="109">
        <f t="shared" si="136"/>
        <v>-185470843.54903471</v>
      </c>
      <c r="EB252" s="109">
        <f t="shared" si="137"/>
        <v>0</v>
      </c>
      <c r="ED252" s="58">
        <f t="array" ref="ED252">SUM(IF(EA252:EB252&gt;=EA252, 1))</f>
        <v>2</v>
      </c>
      <c r="EE252" s="58">
        <f t="array" ref="EE252">SUM(IF(EA252:EB252&gt;=EB252, 1))</f>
        <v>1</v>
      </c>
    </row>
    <row r="253" spans="4:135" ht="12" customHeight="1" x14ac:dyDescent="0.25">
      <c r="D253" s="11">
        <v>237</v>
      </c>
      <c r="E253" s="72">
        <v>280.39962226692387</v>
      </c>
      <c r="F253" s="72">
        <v>253.53058405812041</v>
      </c>
      <c r="G253" s="73"/>
      <c r="H253" s="74">
        <v>5.817684146886128</v>
      </c>
      <c r="I253" s="74">
        <v>5.8372400014107946</v>
      </c>
      <c r="J253" s="73"/>
      <c r="K253" s="72">
        <v>300.91477939658961</v>
      </c>
      <c r="L253" s="72">
        <v>273.40186120440273</v>
      </c>
      <c r="M253" s="73"/>
      <c r="N253" s="74">
        <v>6.7148694109610201</v>
      </c>
      <c r="O253" s="74">
        <v>6.7323319315226291</v>
      </c>
      <c r="P253" s="73"/>
      <c r="Q253" s="72">
        <v>2989.1429657908498</v>
      </c>
      <c r="R253" s="72">
        <v>1445.1453490762756</v>
      </c>
      <c r="S253" s="73"/>
      <c r="T253" s="74">
        <v>4.6247359142390216</v>
      </c>
      <c r="U253" s="74">
        <v>4.7509547617117383</v>
      </c>
      <c r="V253" s="73"/>
      <c r="W253" s="72">
        <v>8958.5037294126669</v>
      </c>
      <c r="X253" s="72">
        <v>8979.1088340073456</v>
      </c>
      <c r="Y253" s="73"/>
      <c r="Z253" s="74">
        <v>3.0419801698298463</v>
      </c>
      <c r="AA253" s="74">
        <v>3.0838255076428518</v>
      </c>
      <c r="AB253" s="73"/>
      <c r="AC253" s="72">
        <v>49411.072624178792</v>
      </c>
      <c r="AD253" s="72">
        <v>49119.266291852597</v>
      </c>
      <c r="AE253" s="73"/>
      <c r="AF253" s="74">
        <v>3.6773184034419697</v>
      </c>
      <c r="AG253" s="74">
        <v>3.78384792292607</v>
      </c>
      <c r="AH253" s="73"/>
      <c r="AI253" s="72">
        <v>2914530.1773935356</v>
      </c>
      <c r="AJ253" s="72">
        <v>0</v>
      </c>
      <c r="AK253" s="73"/>
      <c r="AL253" s="74">
        <v>-2121.2567310349145</v>
      </c>
      <c r="AM253" s="74">
        <v>0</v>
      </c>
      <c r="AN253" s="73"/>
      <c r="AO253" s="72">
        <v>181887.98881966458</v>
      </c>
      <c r="AP253" s="72">
        <v>0</v>
      </c>
      <c r="AQ253" s="73"/>
      <c r="AR253" s="74">
        <v>-115.44477843048611</v>
      </c>
      <c r="AS253" s="74">
        <v>0</v>
      </c>
      <c r="AT253" s="73"/>
      <c r="AU253" s="72">
        <v>35943530.927736014</v>
      </c>
      <c r="AV253" s="72">
        <v>0</v>
      </c>
      <c r="AW253" s="73"/>
      <c r="AX253" s="74">
        <v>-2938.3147996383568</v>
      </c>
      <c r="AY253" s="74">
        <v>0</v>
      </c>
      <c r="AZ253" s="73"/>
      <c r="BA253" s="72">
        <v>-184133.83603315105</v>
      </c>
      <c r="BB253" s="72">
        <v>0</v>
      </c>
      <c r="BC253" s="73"/>
      <c r="BD253" s="74">
        <v>-373.94338554348332</v>
      </c>
      <c r="BE253" s="74">
        <v>0</v>
      </c>
      <c r="BF253" s="73"/>
      <c r="BG253" s="72">
        <v>4717101.5618463317</v>
      </c>
      <c r="BH253" s="72">
        <v>0</v>
      </c>
      <c r="BI253" s="73"/>
      <c r="BJ253" s="74">
        <v>-1722.0687390000055</v>
      </c>
      <c r="BK253" s="74">
        <v>0</v>
      </c>
      <c r="BL253" s="73"/>
      <c r="BM253" s="72">
        <v>43572916.819762394</v>
      </c>
      <c r="BN253" s="72">
        <v>0</v>
      </c>
      <c r="BO253" s="73"/>
      <c r="BP253" s="74">
        <v>-7271.0284336472469</v>
      </c>
      <c r="BQ253" s="74">
        <v>0</v>
      </c>
      <c r="BS253" s="109">
        <f t="shared" si="117"/>
        <v>116073.28331545564</v>
      </c>
      <c r="BT253" s="109">
        <f t="shared" si="118"/>
        <v>116491.26944415778</v>
      </c>
      <c r="BV253" s="58">
        <f t="array" ref="BV253">SUM(IF(BS253:BT253&gt;=BS253, 1))</f>
        <v>2</v>
      </c>
      <c r="BW253" s="58">
        <f t="array" ref="BW253">SUM(IF(BS253:BT253&gt;=BT253, 1))</f>
        <v>1</v>
      </c>
      <c r="BY253" s="109">
        <f t="shared" si="119"/>
        <v>133996.47343982381</v>
      </c>
      <c r="BZ253" s="109">
        <f t="shared" si="120"/>
        <v>134373.23676924818</v>
      </c>
      <c r="CB253" s="58">
        <f t="array" ref="CB253">SUM(IF(BY253:BZ253&gt;=BY253, 1))</f>
        <v>2</v>
      </c>
      <c r="CC253" s="58">
        <f t="array" ref="CC253">SUM(IF(BY253:BZ253&gt;=BZ253, 1))</f>
        <v>1</v>
      </c>
      <c r="CE253" s="109">
        <f t="shared" si="121"/>
        <v>89505.575318989591</v>
      </c>
      <c r="CF253" s="109">
        <f t="shared" si="122"/>
        <v>93573.949885158479</v>
      </c>
      <c r="CH253" s="58">
        <f t="array" ref="CH253">SUM(IF(CE253:CF253&gt;=CE253, 1))</f>
        <v>2</v>
      </c>
      <c r="CI253" s="58">
        <f t="array" ref="CI253">SUM(IF(CE253:CF253&gt;=CF253, 1))</f>
        <v>1</v>
      </c>
      <c r="CK253" s="109">
        <f t="shared" si="123"/>
        <v>51881.099667184259</v>
      </c>
      <c r="CL253" s="109">
        <f t="shared" si="124"/>
        <v>52697.40131884969</v>
      </c>
      <c r="CN253" s="58">
        <f t="array" ref="CN253">SUM(IF(CK253:CL253&gt;=CK253, 1))</f>
        <v>2</v>
      </c>
      <c r="CO253" s="58">
        <f t="array" ref="CO253">SUM(IF(CK253:CL253&gt;=CL253, 1))</f>
        <v>1</v>
      </c>
      <c r="CQ253" s="109" cm="1">
        <f t="array" ref="CQ253">AF253*WTP-AC253</f>
        <v>24135.295444660602</v>
      </c>
      <c r="CR253" s="109">
        <f t="shared" si="125"/>
        <v>26557.692166668807</v>
      </c>
      <c r="CT253" s="58">
        <f t="array" ref="CT253">SUM(IF(CQ253:CR253&gt;=CQ253, 1))</f>
        <v>2</v>
      </c>
      <c r="CU253" s="58">
        <f t="array" ref="CU253">SUM(IF(CQ253:CR253&gt;=CR253, 1))</f>
        <v>1</v>
      </c>
      <c r="CW253" s="109">
        <f t="shared" si="126"/>
        <v>-45339664.798091821</v>
      </c>
      <c r="CX253" s="109">
        <f t="shared" si="127"/>
        <v>0</v>
      </c>
      <c r="CZ253" s="58">
        <f t="array" ref="CZ253">SUM(IF(CW253:CX253&gt;=CW253, 1))</f>
        <v>2</v>
      </c>
      <c r="DA253" s="58">
        <f t="array" ref="DA253">SUM(IF(CW253:CX253&gt;=CX253, 1))</f>
        <v>1</v>
      </c>
      <c r="DC253" s="109">
        <f t="shared" si="128"/>
        <v>-2490783.5574293872</v>
      </c>
      <c r="DD253" s="109">
        <f t="shared" si="129"/>
        <v>0</v>
      </c>
      <c r="DF253" s="58">
        <f t="array" ref="DF253">SUM(IF(DC253:DD253&gt;=DC253, 1))</f>
        <v>2</v>
      </c>
      <c r="DG253" s="58">
        <f t="array" ref="DG253">SUM(IF(DC253:DD253&gt;=DD253, 1))</f>
        <v>1</v>
      </c>
      <c r="DI253" s="109">
        <f t="shared" si="130"/>
        <v>-94709826.920503139</v>
      </c>
      <c r="DJ253" s="109">
        <f t="shared" si="131"/>
        <v>0</v>
      </c>
      <c r="DL253" s="58">
        <f t="array" ref="DL253">SUM(IF(DI253:DJ253&gt;=DI253, 1))</f>
        <v>2</v>
      </c>
      <c r="DM253" s="58">
        <f t="array" ref="DM253">SUM(IF(DI253:DJ253&gt;=DJ253, 1))</f>
        <v>1</v>
      </c>
      <c r="DO253" s="109">
        <f t="shared" si="132"/>
        <v>-7294733.8748365147</v>
      </c>
      <c r="DP253" s="109">
        <f t="shared" si="133"/>
        <v>0</v>
      </c>
      <c r="DR253" s="58">
        <f t="array" ref="DR253">SUM(IF(DO253:DP253&gt;=DO253, 1))</f>
        <v>2</v>
      </c>
      <c r="DS253" s="58">
        <f t="array" ref="DS253">SUM(IF(DO253:DP253&gt;=DP253, 1))</f>
        <v>1</v>
      </c>
      <c r="DU253" s="109">
        <f t="shared" si="134"/>
        <v>-39158476.341846444</v>
      </c>
      <c r="DV253" s="109">
        <f t="shared" si="135"/>
        <v>0</v>
      </c>
      <c r="DX253" s="58">
        <f t="array" ref="DX253">SUM(IF(DU253:DV253&gt;=DU253, 1))</f>
        <v>2</v>
      </c>
      <c r="DY253" s="58">
        <f t="array" ref="DY253">SUM(IF(DU253:DV253&gt;=DV253, 1))</f>
        <v>1</v>
      </c>
      <c r="EA253" s="109">
        <f t="shared" si="136"/>
        <v>-188993485.49270731</v>
      </c>
      <c r="EB253" s="109">
        <f t="shared" si="137"/>
        <v>0</v>
      </c>
      <c r="ED253" s="58">
        <f t="array" ref="ED253">SUM(IF(EA253:EB253&gt;=EA253, 1))</f>
        <v>2</v>
      </c>
      <c r="EE253" s="58">
        <f t="array" ref="EE253">SUM(IF(EA253:EB253&gt;=EB253, 1))</f>
        <v>1</v>
      </c>
    </row>
    <row r="254" spans="4:135" ht="12" customHeight="1" x14ac:dyDescent="0.25">
      <c r="D254" s="11">
        <v>238</v>
      </c>
      <c r="E254" s="72">
        <v>257.13577736396041</v>
      </c>
      <c r="F254" s="72">
        <v>214.1940318775948</v>
      </c>
      <c r="G254" s="73"/>
      <c r="H254" s="74">
        <v>5.8248341271351043</v>
      </c>
      <c r="I254" s="74">
        <v>5.8484293067569704</v>
      </c>
      <c r="J254" s="73"/>
      <c r="K254" s="72">
        <v>274.85462242319755</v>
      </c>
      <c r="L254" s="72">
        <v>230.95281025627523</v>
      </c>
      <c r="M254" s="73"/>
      <c r="N254" s="74">
        <v>6.7417489975818699</v>
      </c>
      <c r="O254" s="74">
        <v>6.7635804844593963</v>
      </c>
      <c r="P254" s="73"/>
      <c r="Q254" s="72">
        <v>1980.8525862340994</v>
      </c>
      <c r="R254" s="72">
        <v>1832.911825129449</v>
      </c>
      <c r="S254" s="73"/>
      <c r="T254" s="74">
        <v>4.8415273064983362</v>
      </c>
      <c r="U254" s="74">
        <v>4.8688948902707869</v>
      </c>
      <c r="V254" s="73"/>
      <c r="W254" s="72">
        <v>9181.2262382867375</v>
      </c>
      <c r="X254" s="72">
        <v>9204.5830203528058</v>
      </c>
      <c r="Y254" s="73"/>
      <c r="Z254" s="74">
        <v>2.9451649980542278</v>
      </c>
      <c r="AA254" s="74">
        <v>3.0008916235362544</v>
      </c>
      <c r="AB254" s="73"/>
      <c r="AC254" s="72">
        <v>51054.438663809262</v>
      </c>
      <c r="AD254" s="72">
        <v>50625.772614628717</v>
      </c>
      <c r="AE254" s="73"/>
      <c r="AF254" s="74">
        <v>4.6365926583232442</v>
      </c>
      <c r="AG254" s="74">
        <v>4.8107494342817851</v>
      </c>
      <c r="AH254" s="73"/>
      <c r="AI254" s="72">
        <v>4663146.1991960211</v>
      </c>
      <c r="AJ254" s="72">
        <v>0</v>
      </c>
      <c r="AK254" s="73"/>
      <c r="AL254" s="74">
        <v>-2562.2566322551324</v>
      </c>
      <c r="AM254" s="74">
        <v>0</v>
      </c>
      <c r="AN254" s="73"/>
      <c r="AO254" s="72">
        <v>305831.15395966999</v>
      </c>
      <c r="AP254" s="72">
        <v>0</v>
      </c>
      <c r="AQ254" s="73"/>
      <c r="AR254" s="74">
        <v>-152.08367251500115</v>
      </c>
      <c r="AS254" s="74">
        <v>0</v>
      </c>
      <c r="AT254" s="73"/>
      <c r="AU254" s="72">
        <v>3484013.8448358849</v>
      </c>
      <c r="AV254" s="72">
        <v>0</v>
      </c>
      <c r="AW254" s="73"/>
      <c r="AX254" s="74">
        <v>-644.50824810530912</v>
      </c>
      <c r="AY254" s="74">
        <v>0</v>
      </c>
      <c r="AZ254" s="73"/>
      <c r="BA254" s="72">
        <v>-206531.74310947614</v>
      </c>
      <c r="BB254" s="72">
        <v>0</v>
      </c>
      <c r="BC254" s="73"/>
      <c r="BD254" s="74">
        <v>-492.76124878230303</v>
      </c>
      <c r="BE254" s="74">
        <v>0</v>
      </c>
      <c r="BF254" s="73"/>
      <c r="BG254" s="72">
        <v>6555166.8313825317</v>
      </c>
      <c r="BH254" s="72">
        <v>0</v>
      </c>
      <c r="BI254" s="73"/>
      <c r="BJ254" s="74">
        <v>-2663.207696075593</v>
      </c>
      <c r="BK254" s="74">
        <v>0</v>
      </c>
      <c r="BL254" s="73"/>
      <c r="BM254" s="72">
        <v>14801626.286264632</v>
      </c>
      <c r="BN254" s="72">
        <v>0</v>
      </c>
      <c r="BO254" s="73"/>
      <c r="BP254" s="74">
        <v>-6514.8174977333383</v>
      </c>
      <c r="BQ254" s="74">
        <v>0</v>
      </c>
      <c r="BS254" s="109">
        <f t="shared" si="117"/>
        <v>116239.54676533812</v>
      </c>
      <c r="BT254" s="109">
        <f t="shared" si="118"/>
        <v>116754.39210326182</v>
      </c>
      <c r="BV254" s="58">
        <f t="array" ref="BV254">SUM(IF(BS254:BT254&gt;=BS254, 1))</f>
        <v>2</v>
      </c>
      <c r="BW254" s="58">
        <f t="array" ref="BW254">SUM(IF(BS254:BT254&gt;=BT254, 1))</f>
        <v>1</v>
      </c>
      <c r="BY254" s="109">
        <f t="shared" si="119"/>
        <v>134560.12532921421</v>
      </c>
      <c r="BZ254" s="109">
        <f t="shared" si="120"/>
        <v>135040.65687893165</v>
      </c>
      <c r="CB254" s="58">
        <f t="array" ref="CB254">SUM(IF(BY254:BZ254&gt;=BY254, 1))</f>
        <v>2</v>
      </c>
      <c r="CC254" s="58">
        <f t="array" ref="CC254">SUM(IF(BY254:BZ254&gt;=BZ254, 1))</f>
        <v>1</v>
      </c>
      <c r="CE254" s="109">
        <f t="shared" si="121"/>
        <v>94849.693543732617</v>
      </c>
      <c r="CF254" s="109">
        <f t="shared" si="122"/>
        <v>95544.985980286292</v>
      </c>
      <c r="CH254" s="58">
        <f t="array" ref="CH254">SUM(IF(CE254:CF254&gt;=CE254, 1))</f>
        <v>2</v>
      </c>
      <c r="CI254" s="58">
        <f t="array" ref="CI254">SUM(IF(CE254:CF254&gt;=CF254, 1))</f>
        <v>1</v>
      </c>
      <c r="CK254" s="109">
        <f t="shared" si="123"/>
        <v>49722.073722797824</v>
      </c>
      <c r="CL254" s="109">
        <f t="shared" si="124"/>
        <v>50813.249450372285</v>
      </c>
      <c r="CN254" s="58">
        <f t="array" ref="CN254">SUM(IF(CK254:CL254&gt;=CK254, 1))</f>
        <v>2</v>
      </c>
      <c r="CO254" s="58">
        <f t="array" ref="CO254">SUM(IF(CK254:CL254&gt;=CL254, 1))</f>
        <v>1</v>
      </c>
      <c r="CQ254" s="109" cm="1">
        <f t="array" ref="CQ254">AF254*WTP-AC254</f>
        <v>41677.414502655629</v>
      </c>
      <c r="CR254" s="109">
        <f t="shared" si="125"/>
        <v>45589.216071006987</v>
      </c>
      <c r="CT254" s="58">
        <f t="array" ref="CT254">SUM(IF(CQ254:CR254&gt;=CQ254, 1))</f>
        <v>2</v>
      </c>
      <c r="CU254" s="58">
        <f t="array" ref="CU254">SUM(IF(CQ254:CR254&gt;=CR254, 1))</f>
        <v>1</v>
      </c>
      <c r="CW254" s="109">
        <f t="shared" si="126"/>
        <v>-55908278.844298668</v>
      </c>
      <c r="CX254" s="109">
        <f t="shared" si="127"/>
        <v>0</v>
      </c>
      <c r="CZ254" s="58">
        <f t="array" ref="CZ254">SUM(IF(CW254:CX254&gt;=CW254, 1))</f>
        <v>2</v>
      </c>
      <c r="DA254" s="58">
        <f t="array" ref="DA254">SUM(IF(CW254:CX254&gt;=CX254, 1))</f>
        <v>1</v>
      </c>
      <c r="DC254" s="109">
        <f t="shared" si="128"/>
        <v>-3347504.6042596931</v>
      </c>
      <c r="DD254" s="109">
        <f t="shared" si="129"/>
        <v>0</v>
      </c>
      <c r="DF254" s="58">
        <f t="array" ref="DF254">SUM(IF(DC254:DD254&gt;=DC254, 1))</f>
        <v>2</v>
      </c>
      <c r="DG254" s="58">
        <f t="array" ref="DG254">SUM(IF(DC254:DD254&gt;=DD254, 1))</f>
        <v>1</v>
      </c>
      <c r="DI254" s="109">
        <f t="shared" si="130"/>
        <v>-16374178.806942068</v>
      </c>
      <c r="DJ254" s="109">
        <f t="shared" si="131"/>
        <v>0</v>
      </c>
      <c r="DL254" s="58">
        <f t="array" ref="DL254">SUM(IF(DI254:DJ254&gt;=DI254, 1))</f>
        <v>2</v>
      </c>
      <c r="DM254" s="58">
        <f t="array" ref="DM254">SUM(IF(DI254:DJ254&gt;=DJ254, 1))</f>
        <v>1</v>
      </c>
      <c r="DO254" s="109">
        <f t="shared" si="132"/>
        <v>-9648693.2325365841</v>
      </c>
      <c r="DP254" s="109">
        <f t="shared" si="133"/>
        <v>0</v>
      </c>
      <c r="DR254" s="58">
        <f t="array" ref="DR254">SUM(IF(DO254:DP254&gt;=DO254, 1))</f>
        <v>2</v>
      </c>
      <c r="DS254" s="58">
        <f t="array" ref="DS254">SUM(IF(DO254:DP254&gt;=DP254, 1))</f>
        <v>1</v>
      </c>
      <c r="DU254" s="109">
        <f t="shared" si="134"/>
        <v>-59819320.752894387</v>
      </c>
      <c r="DV254" s="109">
        <f t="shared" si="135"/>
        <v>0</v>
      </c>
      <c r="DX254" s="58">
        <f t="array" ref="DX254">SUM(IF(DU254:DV254&gt;=DU254, 1))</f>
        <v>2</v>
      </c>
      <c r="DY254" s="58">
        <f t="array" ref="DY254">SUM(IF(DU254:DV254&gt;=DV254, 1))</f>
        <v>1</v>
      </c>
      <c r="EA254" s="109">
        <f t="shared" si="136"/>
        <v>-145097976.24093139</v>
      </c>
      <c r="EB254" s="109">
        <f t="shared" si="137"/>
        <v>0</v>
      </c>
      <c r="ED254" s="58">
        <f t="array" ref="ED254">SUM(IF(EA254:EB254&gt;=EA254, 1))</f>
        <v>2</v>
      </c>
      <c r="EE254" s="58">
        <f t="array" ref="EE254">SUM(IF(EA254:EB254&gt;=EB254, 1))</f>
        <v>1</v>
      </c>
    </row>
    <row r="255" spans="4:135" ht="12" customHeight="1" x14ac:dyDescent="0.25">
      <c r="D255" s="11">
        <v>239</v>
      </c>
      <c r="E255" s="72">
        <v>317.88127992574488</v>
      </c>
      <c r="F255" s="72">
        <v>274.19584387408116</v>
      </c>
      <c r="G255" s="73"/>
      <c r="H255" s="74">
        <v>5.884586890871236</v>
      </c>
      <c r="I255" s="74">
        <v>5.9010768696592102</v>
      </c>
      <c r="J255" s="73"/>
      <c r="K255" s="72">
        <v>340.2716876643305</v>
      </c>
      <c r="L255" s="72">
        <v>295.55297967733628</v>
      </c>
      <c r="M255" s="73"/>
      <c r="N255" s="74">
        <v>6.7365595908805789</v>
      </c>
      <c r="O255" s="74">
        <v>6.7505920417200569</v>
      </c>
      <c r="P255" s="73"/>
      <c r="Q255" s="72">
        <v>1909.983448002368</v>
      </c>
      <c r="R255" s="72">
        <v>1331.784590334968</v>
      </c>
      <c r="S255" s="73"/>
      <c r="T255" s="74">
        <v>4.97029854327881</v>
      </c>
      <c r="U255" s="74">
        <v>5.0385684838756823</v>
      </c>
      <c r="V255" s="73"/>
      <c r="W255" s="72">
        <v>14103.993417735488</v>
      </c>
      <c r="X255" s="72">
        <v>14077.384036436242</v>
      </c>
      <c r="Y255" s="73"/>
      <c r="Z255" s="74">
        <v>3.0378876218642197</v>
      </c>
      <c r="AA255" s="74">
        <v>3.0813994421433892</v>
      </c>
      <c r="AB255" s="73"/>
      <c r="AC255" s="72">
        <v>50569.454764767659</v>
      </c>
      <c r="AD255" s="72">
        <v>50555.524605295497</v>
      </c>
      <c r="AE255" s="73"/>
      <c r="AF255" s="74">
        <v>4.8884391308905268</v>
      </c>
      <c r="AG255" s="74">
        <v>4.974810983908827</v>
      </c>
      <c r="AH255" s="73"/>
      <c r="AI255" s="72">
        <v>4661064.7990410188</v>
      </c>
      <c r="AJ255" s="72">
        <v>0</v>
      </c>
      <c r="AK255" s="73"/>
      <c r="AL255" s="74">
        <v>-1759.416103221716</v>
      </c>
      <c r="AM255" s="74">
        <v>0</v>
      </c>
      <c r="AN255" s="73"/>
      <c r="AO255" s="72">
        <v>312638.45484166802</v>
      </c>
      <c r="AP255" s="72">
        <v>0</v>
      </c>
      <c r="AQ255" s="73"/>
      <c r="AR255" s="74">
        <v>-98.103991496623607</v>
      </c>
      <c r="AS255" s="74">
        <v>0</v>
      </c>
      <c r="AT255" s="73"/>
      <c r="AU255" s="72">
        <v>13289146.758139227</v>
      </c>
      <c r="AV255" s="72">
        <v>0</v>
      </c>
      <c r="AW255" s="73"/>
      <c r="AX255" s="74">
        <v>-1569.0955589593439</v>
      </c>
      <c r="AY255" s="74">
        <v>0</v>
      </c>
      <c r="AZ255" s="73"/>
      <c r="BA255" s="72">
        <v>247057.10433057047</v>
      </c>
      <c r="BB255" s="72">
        <v>0</v>
      </c>
      <c r="BC255" s="73"/>
      <c r="BD255" s="74">
        <v>-403.98926233690798</v>
      </c>
      <c r="BE255" s="74">
        <v>0</v>
      </c>
      <c r="BF255" s="73"/>
      <c r="BG255" s="72">
        <v>219861.08249892556</v>
      </c>
      <c r="BH255" s="72">
        <v>0</v>
      </c>
      <c r="BI255" s="73"/>
      <c r="BJ255" s="74">
        <v>-1363.2154850768861</v>
      </c>
      <c r="BK255" s="74">
        <v>0</v>
      </c>
      <c r="BL255" s="73"/>
      <c r="BM255" s="72">
        <v>18729768.19885141</v>
      </c>
      <c r="BN255" s="72">
        <v>0</v>
      </c>
      <c r="BO255" s="73"/>
      <c r="BP255" s="74">
        <v>-5193.8204010914778</v>
      </c>
      <c r="BQ255" s="74">
        <v>0</v>
      </c>
      <c r="BS255" s="109">
        <f t="shared" si="117"/>
        <v>117373.85653749897</v>
      </c>
      <c r="BT255" s="109">
        <f t="shared" si="118"/>
        <v>117747.34154931012</v>
      </c>
      <c r="BV255" s="58">
        <f t="array" ref="BV255">SUM(IF(BS255:BT255&gt;=BS255, 1))</f>
        <v>2</v>
      </c>
      <c r="BW255" s="58">
        <f t="array" ref="BW255">SUM(IF(BS255:BT255&gt;=BT255, 1))</f>
        <v>1</v>
      </c>
      <c r="BY255" s="109">
        <f t="shared" si="119"/>
        <v>134390.92012994725</v>
      </c>
      <c r="BZ255" s="109">
        <f t="shared" si="120"/>
        <v>134716.28785472381</v>
      </c>
      <c r="CB255" s="58">
        <f t="array" ref="CB255">SUM(IF(BY255:BZ255&gt;=BY255, 1))</f>
        <v>2</v>
      </c>
      <c r="CC255" s="58">
        <f t="array" ref="CC255">SUM(IF(BY255:BZ255&gt;=BZ255, 1))</f>
        <v>1</v>
      </c>
      <c r="CE255" s="109">
        <f t="shared" si="121"/>
        <v>97495.987417573837</v>
      </c>
      <c r="CF255" s="109">
        <f t="shared" si="122"/>
        <v>99439.585087178682</v>
      </c>
      <c r="CH255" s="58">
        <f t="array" ref="CH255">SUM(IF(CE255:CF255&gt;=CE255, 1))</f>
        <v>2</v>
      </c>
      <c r="CI255" s="58">
        <f t="array" ref="CI255">SUM(IF(CE255:CF255&gt;=CF255, 1))</f>
        <v>1</v>
      </c>
      <c r="CK255" s="109">
        <f t="shared" si="123"/>
        <v>46653.759019548903</v>
      </c>
      <c r="CL255" s="109">
        <f t="shared" si="124"/>
        <v>47550.604806431547</v>
      </c>
      <c r="CN255" s="58">
        <f t="array" ref="CN255">SUM(IF(CK255:CL255&gt;=CK255, 1))</f>
        <v>2</v>
      </c>
      <c r="CO255" s="58">
        <f t="array" ref="CO255">SUM(IF(CK255:CL255&gt;=CL255, 1))</f>
        <v>1</v>
      </c>
      <c r="CQ255" s="109" cm="1">
        <f t="array" ref="CQ255">AF255*WTP-AC255</f>
        <v>47199.327853042872</v>
      </c>
      <c r="CR255" s="109">
        <f t="shared" si="125"/>
        <v>48940.695072881041</v>
      </c>
      <c r="CT255" s="58">
        <f t="array" ref="CT255">SUM(IF(CQ255:CR255&gt;=CQ255, 1))</f>
        <v>2</v>
      </c>
      <c r="CU255" s="58">
        <f t="array" ref="CU255">SUM(IF(CQ255:CR255&gt;=CR255, 1))</f>
        <v>1</v>
      </c>
      <c r="CW255" s="109">
        <f t="shared" si="126"/>
        <v>-39849386.863475338</v>
      </c>
      <c r="CX255" s="109">
        <f t="shared" si="127"/>
        <v>0</v>
      </c>
      <c r="CZ255" s="58">
        <f t="array" ref="CZ255">SUM(IF(CW255:CX255&gt;=CW255, 1))</f>
        <v>2</v>
      </c>
      <c r="DA255" s="58">
        <f t="array" ref="DA255">SUM(IF(CW255:CX255&gt;=CX255, 1))</f>
        <v>1</v>
      </c>
      <c r="DC255" s="109">
        <f t="shared" si="128"/>
        <v>-2274718.2847741405</v>
      </c>
      <c r="DD255" s="109">
        <f t="shared" si="129"/>
        <v>0</v>
      </c>
      <c r="DF255" s="58">
        <f t="array" ref="DF255">SUM(IF(DC255:DD255&gt;=DC255, 1))</f>
        <v>2</v>
      </c>
      <c r="DG255" s="58">
        <f t="array" ref="DG255">SUM(IF(DC255:DD255&gt;=DD255, 1))</f>
        <v>1</v>
      </c>
      <c r="DI255" s="109">
        <f t="shared" si="130"/>
        <v>-44671057.937326103</v>
      </c>
      <c r="DJ255" s="109">
        <f t="shared" si="131"/>
        <v>0</v>
      </c>
      <c r="DL255" s="58">
        <f t="array" ref="DL255">SUM(IF(DI255:DJ255&gt;=DI255, 1))</f>
        <v>2</v>
      </c>
      <c r="DM255" s="58">
        <f t="array" ref="DM255">SUM(IF(DI255:DJ255&gt;=DJ255, 1))</f>
        <v>1</v>
      </c>
      <c r="DO255" s="109">
        <f t="shared" si="132"/>
        <v>-8326842.3510687305</v>
      </c>
      <c r="DP255" s="109">
        <f t="shared" si="133"/>
        <v>0</v>
      </c>
      <c r="DR255" s="58">
        <f t="array" ref="DR255">SUM(IF(DO255:DP255&gt;=DO255, 1))</f>
        <v>2</v>
      </c>
      <c r="DS255" s="58">
        <f t="array" ref="DS255">SUM(IF(DO255:DP255&gt;=DP255, 1))</f>
        <v>1</v>
      </c>
      <c r="DU255" s="109">
        <f t="shared" si="134"/>
        <v>-27484170.784036648</v>
      </c>
      <c r="DV255" s="109">
        <f t="shared" si="135"/>
        <v>0</v>
      </c>
      <c r="DX255" s="58">
        <f t="array" ref="DX255">SUM(IF(DU255:DV255&gt;=DU255, 1))</f>
        <v>2</v>
      </c>
      <c r="DY255" s="58">
        <f t="array" ref="DY255">SUM(IF(DU255:DV255&gt;=DV255, 1))</f>
        <v>1</v>
      </c>
      <c r="EA255" s="109">
        <f t="shared" si="136"/>
        <v>-122606176.22068097</v>
      </c>
      <c r="EB255" s="109">
        <f t="shared" si="137"/>
        <v>0</v>
      </c>
      <c r="ED255" s="58">
        <f t="array" ref="ED255">SUM(IF(EA255:EB255&gt;=EA255, 1))</f>
        <v>2</v>
      </c>
      <c r="EE255" s="58">
        <f t="array" ref="EE255">SUM(IF(EA255:EB255&gt;=EB255, 1))</f>
        <v>1</v>
      </c>
    </row>
    <row r="256" spans="4:135" ht="12" customHeight="1" x14ac:dyDescent="0.25">
      <c r="D256" s="11">
        <v>240</v>
      </c>
      <c r="E256" s="72">
        <v>296.70004551635822</v>
      </c>
      <c r="F256" s="72">
        <v>284.06788678425301</v>
      </c>
      <c r="G256" s="73"/>
      <c r="H256" s="74">
        <v>5.8360750852630101</v>
      </c>
      <c r="I256" s="74">
        <v>5.8500940676181354</v>
      </c>
      <c r="J256" s="73"/>
      <c r="K256" s="72">
        <v>319.30659226943641</v>
      </c>
      <c r="L256" s="72">
        <v>306.33563218717995</v>
      </c>
      <c r="M256" s="73"/>
      <c r="N256" s="74">
        <v>6.6813108517224009</v>
      </c>
      <c r="O256" s="74">
        <v>6.6930394078588566</v>
      </c>
      <c r="P256" s="73"/>
      <c r="Q256" s="72">
        <v>2452.2028333950952</v>
      </c>
      <c r="R256" s="72">
        <v>1624.2424789095451</v>
      </c>
      <c r="S256" s="73"/>
      <c r="T256" s="74">
        <v>4.9058614746481313</v>
      </c>
      <c r="U256" s="74">
        <v>4.9797309111023651</v>
      </c>
      <c r="V256" s="73"/>
      <c r="W256" s="72">
        <v>13003.191582641508</v>
      </c>
      <c r="X256" s="72">
        <v>13022.605412251996</v>
      </c>
      <c r="Y256" s="73"/>
      <c r="Z256" s="74">
        <v>2.9478049860481779</v>
      </c>
      <c r="AA256" s="74">
        <v>2.989965093859257</v>
      </c>
      <c r="AB256" s="73"/>
      <c r="AC256" s="72">
        <v>51221.551564326481</v>
      </c>
      <c r="AD256" s="72">
        <v>50953.310681658368</v>
      </c>
      <c r="AE256" s="73"/>
      <c r="AF256" s="74">
        <v>4.7934723052995274</v>
      </c>
      <c r="AG256" s="74">
        <v>4.8871303801002535</v>
      </c>
      <c r="AH256" s="73"/>
      <c r="AI256" s="72">
        <v>1379087.5601496121</v>
      </c>
      <c r="AJ256" s="72">
        <v>0</v>
      </c>
      <c r="AK256" s="73"/>
      <c r="AL256" s="74">
        <v>-1530.4909146505199</v>
      </c>
      <c r="AM256" s="74">
        <v>0</v>
      </c>
      <c r="AN256" s="73"/>
      <c r="AO256" s="72">
        <v>88480.958186504809</v>
      </c>
      <c r="AP256" s="72">
        <v>0</v>
      </c>
      <c r="AQ256" s="73"/>
      <c r="AR256" s="74">
        <v>-80.005942391065062</v>
      </c>
      <c r="AS256" s="74">
        <v>0</v>
      </c>
      <c r="AT256" s="73"/>
      <c r="AU256" s="72">
        <v>19090787.793057464</v>
      </c>
      <c r="AV256" s="72">
        <v>0</v>
      </c>
      <c r="AW256" s="73"/>
      <c r="AX256" s="74">
        <v>-1703.252731970191</v>
      </c>
      <c r="AY256" s="74">
        <v>0</v>
      </c>
      <c r="AZ256" s="73"/>
      <c r="BA256" s="72">
        <v>-166634.41969749701</v>
      </c>
      <c r="BB256" s="72">
        <v>0</v>
      </c>
      <c r="BC256" s="73"/>
      <c r="BD256" s="74">
        <v>-361.87219319611353</v>
      </c>
      <c r="BE256" s="74">
        <v>0</v>
      </c>
      <c r="BF256" s="73"/>
      <c r="BG256" s="72">
        <v>4138487.3568255124</v>
      </c>
      <c r="BH256" s="72">
        <v>0</v>
      </c>
      <c r="BI256" s="73"/>
      <c r="BJ256" s="74">
        <v>-1444.9801781594681</v>
      </c>
      <c r="BK256" s="74">
        <v>0</v>
      </c>
      <c r="BL256" s="73"/>
      <c r="BM256" s="72">
        <v>24530209.248521596</v>
      </c>
      <c r="BN256" s="72">
        <v>0</v>
      </c>
      <c r="BO256" s="73"/>
      <c r="BP256" s="74">
        <v>-5120.6019603673576</v>
      </c>
      <c r="BQ256" s="74">
        <v>0</v>
      </c>
      <c r="BS256" s="109">
        <f t="shared" si="117"/>
        <v>116424.80165974384</v>
      </c>
      <c r="BT256" s="109">
        <f t="shared" si="118"/>
        <v>116717.81346557845</v>
      </c>
      <c r="BV256" s="58">
        <f t="array" ref="BV256">SUM(IF(BS256:BT256&gt;=BS256, 1))</f>
        <v>2</v>
      </c>
      <c r="BW256" s="58">
        <f t="array" ref="BW256">SUM(IF(BS256:BT256&gt;=BT256, 1))</f>
        <v>1</v>
      </c>
      <c r="BY256" s="109">
        <f t="shared" si="119"/>
        <v>133306.9104421786</v>
      </c>
      <c r="BZ256" s="109">
        <f t="shared" si="120"/>
        <v>133554.45252498996</v>
      </c>
      <c r="CB256" s="58">
        <f t="array" ref="CB256">SUM(IF(BY256:BZ256&gt;=BY256, 1))</f>
        <v>2</v>
      </c>
      <c r="CC256" s="58">
        <f t="array" ref="CC256">SUM(IF(BY256:BZ256&gt;=BZ256, 1))</f>
        <v>1</v>
      </c>
      <c r="CE256" s="109">
        <f t="shared" si="121"/>
        <v>95665.02665956752</v>
      </c>
      <c r="CF256" s="109">
        <f t="shared" si="122"/>
        <v>97970.37574313776</v>
      </c>
      <c r="CH256" s="58">
        <f t="array" ref="CH256">SUM(IF(CE256:CF256&gt;=CE256, 1))</f>
        <v>2</v>
      </c>
      <c r="CI256" s="58">
        <f t="array" ref="CI256">SUM(IF(CE256:CF256&gt;=CF256, 1))</f>
        <v>1</v>
      </c>
      <c r="CK256" s="109">
        <f t="shared" si="123"/>
        <v>45952.908138322055</v>
      </c>
      <c r="CL256" s="109">
        <f t="shared" si="124"/>
        <v>46776.696464933149</v>
      </c>
      <c r="CN256" s="58">
        <f t="array" ref="CN256">SUM(IF(CK256:CL256&gt;=CK256, 1))</f>
        <v>2</v>
      </c>
      <c r="CO256" s="58">
        <f t="array" ref="CO256">SUM(IF(CK256:CL256&gt;=CL256, 1))</f>
        <v>1</v>
      </c>
      <c r="CQ256" s="109" cm="1">
        <f t="array" ref="CQ256">AF256*WTP-AC256</f>
        <v>44647.894541664064</v>
      </c>
      <c r="CR256" s="109">
        <f t="shared" si="125"/>
        <v>46789.2969203467</v>
      </c>
      <c r="CT256" s="58">
        <f t="array" ref="CT256">SUM(IF(CQ256:CR256&gt;=CQ256, 1))</f>
        <v>2</v>
      </c>
      <c r="CU256" s="58">
        <f t="array" ref="CU256">SUM(IF(CQ256:CR256&gt;=CR256, 1))</f>
        <v>1</v>
      </c>
      <c r="CW256" s="109">
        <f t="shared" si="126"/>
        <v>-31988905.853160013</v>
      </c>
      <c r="CX256" s="109">
        <f t="shared" si="127"/>
        <v>0</v>
      </c>
      <c r="CZ256" s="58">
        <f t="array" ref="CZ256">SUM(IF(CW256:CX256&gt;=CW256, 1))</f>
        <v>2</v>
      </c>
      <c r="DA256" s="58">
        <f t="array" ref="DA256">SUM(IF(CW256:CX256&gt;=CX256, 1))</f>
        <v>1</v>
      </c>
      <c r="DC256" s="109">
        <f t="shared" si="128"/>
        <v>-1688599.8060078062</v>
      </c>
      <c r="DD256" s="109">
        <f t="shared" si="129"/>
        <v>0</v>
      </c>
      <c r="DF256" s="58">
        <f t="array" ref="DF256">SUM(IF(DC256:DD256&gt;=DC256, 1))</f>
        <v>2</v>
      </c>
      <c r="DG256" s="58">
        <f t="array" ref="DG256">SUM(IF(DC256:DD256&gt;=DD256, 1))</f>
        <v>1</v>
      </c>
      <c r="DI256" s="109">
        <f t="shared" si="130"/>
        <v>-53155842.432461284</v>
      </c>
      <c r="DJ256" s="109">
        <f t="shared" si="131"/>
        <v>0</v>
      </c>
      <c r="DL256" s="58">
        <f t="array" ref="DL256">SUM(IF(DI256:DJ256&gt;=DI256, 1))</f>
        <v>2</v>
      </c>
      <c r="DM256" s="58">
        <f t="array" ref="DM256">SUM(IF(DI256:DJ256&gt;=DJ256, 1))</f>
        <v>1</v>
      </c>
      <c r="DO256" s="109">
        <f t="shared" si="132"/>
        <v>-7070809.4442247739</v>
      </c>
      <c r="DP256" s="109">
        <f t="shared" si="133"/>
        <v>0</v>
      </c>
      <c r="DR256" s="58">
        <f t="array" ref="DR256">SUM(IF(DO256:DP256&gt;=DO256, 1))</f>
        <v>2</v>
      </c>
      <c r="DS256" s="58">
        <f t="array" ref="DS256">SUM(IF(DO256:DP256&gt;=DP256, 1))</f>
        <v>1</v>
      </c>
      <c r="DU256" s="109">
        <f t="shared" si="134"/>
        <v>-33038090.920014873</v>
      </c>
      <c r="DV256" s="109">
        <f t="shared" si="135"/>
        <v>0</v>
      </c>
      <c r="DX256" s="58">
        <f t="array" ref="DX256">SUM(IF(DU256:DV256&gt;=DU256, 1))</f>
        <v>2</v>
      </c>
      <c r="DY256" s="58">
        <f t="array" ref="DY256">SUM(IF(DU256:DV256&gt;=DV256, 1))</f>
        <v>1</v>
      </c>
      <c r="EA256" s="109">
        <f t="shared" si="136"/>
        <v>-126942248.45586875</v>
      </c>
      <c r="EB256" s="109">
        <f t="shared" si="137"/>
        <v>0</v>
      </c>
      <c r="ED256" s="58">
        <f t="array" ref="ED256">SUM(IF(EA256:EB256&gt;=EA256, 1))</f>
        <v>2</v>
      </c>
      <c r="EE256" s="58">
        <f t="array" ref="EE256">SUM(IF(EA256:EB256&gt;=EB256, 1))</f>
        <v>1</v>
      </c>
    </row>
    <row r="257" spans="4:135" ht="12" customHeight="1" x14ac:dyDescent="0.25">
      <c r="D257" s="11">
        <v>241</v>
      </c>
      <c r="E257" s="72">
        <v>260.69789522002282</v>
      </c>
      <c r="F257" s="72">
        <v>232.46619770628485</v>
      </c>
      <c r="G257" s="73"/>
      <c r="H257" s="74">
        <v>5.8206524825829407</v>
      </c>
      <c r="I257" s="74">
        <v>5.8352695861636654</v>
      </c>
      <c r="J257" s="73"/>
      <c r="K257" s="72">
        <v>279.50005116953747</v>
      </c>
      <c r="L257" s="72">
        <v>250.63469189057176</v>
      </c>
      <c r="M257" s="73"/>
      <c r="N257" s="74">
        <v>6.6734163952415191</v>
      </c>
      <c r="O257" s="74">
        <v>6.6863292062708002</v>
      </c>
      <c r="P257" s="73"/>
      <c r="Q257" s="72">
        <v>2230.7252167137931</v>
      </c>
      <c r="R257" s="72">
        <v>1070.5908889322586</v>
      </c>
      <c r="S257" s="73"/>
      <c r="T257" s="74">
        <v>4.696530453224911</v>
      </c>
      <c r="U257" s="74">
        <v>4.819962251273032</v>
      </c>
      <c r="V257" s="73"/>
      <c r="W257" s="72">
        <v>10668.420648831067</v>
      </c>
      <c r="X257" s="72">
        <v>10615.302806320764</v>
      </c>
      <c r="Y257" s="73"/>
      <c r="Z257" s="74">
        <v>3.0569277537637083</v>
      </c>
      <c r="AA257" s="74">
        <v>3.1010103119119914</v>
      </c>
      <c r="AB257" s="73"/>
      <c r="AC257" s="72">
        <v>50066.880067742655</v>
      </c>
      <c r="AD257" s="72">
        <v>49760.420244541427</v>
      </c>
      <c r="AE257" s="73"/>
      <c r="AF257" s="74">
        <v>4.3308098669856854</v>
      </c>
      <c r="AG257" s="74">
        <v>4.4312556852422444</v>
      </c>
      <c r="AH257" s="73"/>
      <c r="AI257" s="72">
        <v>3106019.447368124</v>
      </c>
      <c r="AJ257" s="72">
        <v>0</v>
      </c>
      <c r="AK257" s="73"/>
      <c r="AL257" s="74">
        <v>-1608.1572127865336</v>
      </c>
      <c r="AM257" s="74">
        <v>0</v>
      </c>
      <c r="AN257" s="73"/>
      <c r="AO257" s="72">
        <v>200817.54294397871</v>
      </c>
      <c r="AP257" s="72">
        <v>0</v>
      </c>
      <c r="AQ257" s="73"/>
      <c r="AR257" s="74">
        <v>-89.834980342328677</v>
      </c>
      <c r="AS257" s="74">
        <v>0</v>
      </c>
      <c r="AT257" s="73"/>
      <c r="AU257" s="72">
        <v>27639891.799120881</v>
      </c>
      <c r="AV257" s="72">
        <v>0</v>
      </c>
      <c r="AW257" s="73"/>
      <c r="AX257" s="74">
        <v>-2940.7297594106294</v>
      </c>
      <c r="AY257" s="74">
        <v>0</v>
      </c>
      <c r="AZ257" s="73"/>
      <c r="BA257" s="72">
        <v>469860.79694088316</v>
      </c>
      <c r="BB257" s="72">
        <v>0</v>
      </c>
      <c r="BC257" s="73"/>
      <c r="BD257" s="74">
        <v>-389.93801185972029</v>
      </c>
      <c r="BE257" s="74">
        <v>0</v>
      </c>
      <c r="BF257" s="73"/>
      <c r="BG257" s="72">
        <v>4602495.8633904373</v>
      </c>
      <c r="BH257" s="72">
        <v>0</v>
      </c>
      <c r="BI257" s="73"/>
      <c r="BJ257" s="74">
        <v>-1508.5222532322714</v>
      </c>
      <c r="BK257" s="74">
        <v>0</v>
      </c>
      <c r="BL257" s="73"/>
      <c r="BM257" s="72">
        <v>36019085.449764304</v>
      </c>
      <c r="BN257" s="72">
        <v>0</v>
      </c>
      <c r="BO257" s="73"/>
      <c r="BP257" s="74">
        <v>-6537.1822176314836</v>
      </c>
      <c r="BQ257" s="74">
        <v>0</v>
      </c>
      <c r="BS257" s="109">
        <f t="shared" si="117"/>
        <v>116152.35175643879</v>
      </c>
      <c r="BT257" s="109">
        <f t="shared" si="118"/>
        <v>116472.92552556703</v>
      </c>
      <c r="BV257" s="58">
        <f t="array" ref="BV257">SUM(IF(BS257:BT257&gt;=BS257, 1))</f>
        <v>2</v>
      </c>
      <c r="BW257" s="58">
        <f t="array" ref="BW257">SUM(IF(BS257:BT257&gt;=BT257, 1))</f>
        <v>1</v>
      </c>
      <c r="BY257" s="109">
        <f t="shared" si="119"/>
        <v>133188.82785366086</v>
      </c>
      <c r="BZ257" s="109">
        <f t="shared" si="120"/>
        <v>133475.94943352544</v>
      </c>
      <c r="CB257" s="58">
        <f t="array" ref="CB257">SUM(IF(BY257:BZ257&gt;=BY257, 1))</f>
        <v>2</v>
      </c>
      <c r="CC257" s="58">
        <f t="array" ref="CC257">SUM(IF(BY257:BZ257&gt;=BZ257, 1))</f>
        <v>1</v>
      </c>
      <c r="CE257" s="109">
        <f t="shared" si="121"/>
        <v>91699.883847784426</v>
      </c>
      <c r="CF257" s="109">
        <f t="shared" si="122"/>
        <v>95328.654136528377</v>
      </c>
      <c r="CH257" s="58">
        <f t="array" ref="CH257">SUM(IF(CE257:CF257&gt;=CE257, 1))</f>
        <v>2</v>
      </c>
      <c r="CI257" s="58">
        <f t="array" ref="CI257">SUM(IF(CE257:CF257&gt;=CF257, 1))</f>
        <v>1</v>
      </c>
      <c r="CK257" s="109">
        <f t="shared" si="123"/>
        <v>50470.134426443103</v>
      </c>
      <c r="CL257" s="109">
        <f t="shared" si="124"/>
        <v>51404.903431919069</v>
      </c>
      <c r="CN257" s="58">
        <f t="array" ref="CN257">SUM(IF(CK257:CL257&gt;=CK257, 1))</f>
        <v>2</v>
      </c>
      <c r="CO257" s="58">
        <f t="array" ref="CO257">SUM(IF(CK257:CL257&gt;=CL257, 1))</f>
        <v>1</v>
      </c>
      <c r="CQ257" s="109" cm="1">
        <f t="array" ref="CQ257">AF257*WTP-AC257</f>
        <v>36549.317271971049</v>
      </c>
      <c r="CR257" s="109">
        <f t="shared" si="125"/>
        <v>38864.693460303461</v>
      </c>
      <c r="CT257" s="58">
        <f t="array" ref="CT257">SUM(IF(CQ257:CR257&gt;=CQ257, 1))</f>
        <v>2</v>
      </c>
      <c r="CU257" s="58">
        <f t="array" ref="CU257">SUM(IF(CQ257:CR257&gt;=CR257, 1))</f>
        <v>1</v>
      </c>
      <c r="CW257" s="109">
        <f t="shared" si="126"/>
        <v>-35269163.703098796</v>
      </c>
      <c r="CX257" s="109">
        <f t="shared" si="127"/>
        <v>0</v>
      </c>
      <c r="CZ257" s="58">
        <f t="array" ref="CZ257">SUM(IF(CW257:CX257&gt;=CW257, 1))</f>
        <v>2</v>
      </c>
      <c r="DA257" s="58">
        <f t="array" ref="DA257">SUM(IF(CW257:CX257&gt;=CX257, 1))</f>
        <v>1</v>
      </c>
      <c r="DC257" s="109">
        <f t="shared" si="128"/>
        <v>-1997517.1497905522</v>
      </c>
      <c r="DD257" s="109">
        <f t="shared" si="129"/>
        <v>0</v>
      </c>
      <c r="DF257" s="58">
        <f t="array" ref="DF257">SUM(IF(DC257:DD257&gt;=DC257, 1))</f>
        <v>2</v>
      </c>
      <c r="DG257" s="58">
        <f t="array" ref="DG257">SUM(IF(DC257:DD257&gt;=DD257, 1))</f>
        <v>1</v>
      </c>
      <c r="DI257" s="109">
        <f t="shared" si="130"/>
        <v>-86454486.987333477</v>
      </c>
      <c r="DJ257" s="109">
        <f t="shared" si="131"/>
        <v>0</v>
      </c>
      <c r="DL257" s="58">
        <f t="array" ref="DL257">SUM(IF(DI257:DJ257&gt;=DI257, 1))</f>
        <v>2</v>
      </c>
      <c r="DM257" s="58">
        <f t="array" ref="DM257">SUM(IF(DI257:DJ257&gt;=DJ257, 1))</f>
        <v>1</v>
      </c>
      <c r="DO257" s="109">
        <f t="shared" si="132"/>
        <v>-8268621.0341352895</v>
      </c>
      <c r="DP257" s="109">
        <f t="shared" si="133"/>
        <v>0</v>
      </c>
      <c r="DR257" s="58">
        <f t="array" ref="DR257">SUM(IF(DO257:DP257&gt;=DO257, 1))</f>
        <v>2</v>
      </c>
      <c r="DS257" s="58">
        <f t="array" ref="DS257">SUM(IF(DO257:DP257&gt;=DP257, 1))</f>
        <v>1</v>
      </c>
      <c r="DU257" s="109">
        <f t="shared" si="134"/>
        <v>-34772940.928035863</v>
      </c>
      <c r="DV257" s="109">
        <f t="shared" si="135"/>
        <v>0</v>
      </c>
      <c r="DX257" s="58">
        <f t="array" ref="DX257">SUM(IF(DU257:DV257&gt;=DU257, 1))</f>
        <v>2</v>
      </c>
      <c r="DY257" s="58">
        <f t="array" ref="DY257">SUM(IF(DU257:DV257&gt;=DV257, 1))</f>
        <v>1</v>
      </c>
      <c r="EA257" s="109">
        <f t="shared" si="136"/>
        <v>-166762729.80239397</v>
      </c>
      <c r="EB257" s="109">
        <f t="shared" si="137"/>
        <v>0</v>
      </c>
      <c r="ED257" s="58">
        <f t="array" ref="ED257">SUM(IF(EA257:EB257&gt;=EA257, 1))</f>
        <v>2</v>
      </c>
      <c r="EE257" s="58">
        <f t="array" ref="EE257">SUM(IF(EA257:EB257&gt;=EB257, 1))</f>
        <v>1</v>
      </c>
    </row>
    <row r="258" spans="4:135" ht="12" customHeight="1" x14ac:dyDescent="0.25">
      <c r="D258" s="11">
        <v>242</v>
      </c>
      <c r="E258" s="72">
        <v>304.32531812493329</v>
      </c>
      <c r="F258" s="72">
        <v>292.12626650613186</v>
      </c>
      <c r="G258" s="73"/>
      <c r="H258" s="74">
        <v>5.8381780103287921</v>
      </c>
      <c r="I258" s="74">
        <v>5.8549689774551359</v>
      </c>
      <c r="J258" s="73"/>
      <c r="K258" s="72">
        <v>327.5044636048226</v>
      </c>
      <c r="L258" s="72">
        <v>314.96457737363511</v>
      </c>
      <c r="M258" s="73"/>
      <c r="N258" s="74">
        <v>6.7228176275044698</v>
      </c>
      <c r="O258" s="74">
        <v>6.7372649824182007</v>
      </c>
      <c r="P258" s="73"/>
      <c r="Q258" s="72">
        <v>2573.8168853402763</v>
      </c>
      <c r="R258" s="72">
        <v>1278.5708149673144</v>
      </c>
      <c r="S258" s="73"/>
      <c r="T258" s="74">
        <v>4.8018530538655533</v>
      </c>
      <c r="U258" s="74">
        <v>4.927768805438526</v>
      </c>
      <c r="V258" s="73"/>
      <c r="W258" s="72">
        <v>16562.09335834641</v>
      </c>
      <c r="X258" s="72">
        <v>16626.491619138465</v>
      </c>
      <c r="Y258" s="73"/>
      <c r="Z258" s="74">
        <v>3.0170579031854561</v>
      </c>
      <c r="AA258" s="74">
        <v>3.0853049508749613</v>
      </c>
      <c r="AB258" s="73"/>
      <c r="AC258" s="72">
        <v>50389.183413598905</v>
      </c>
      <c r="AD258" s="72">
        <v>49810.112808813981</v>
      </c>
      <c r="AE258" s="73"/>
      <c r="AF258" s="74">
        <v>4.5680861206402055</v>
      </c>
      <c r="AG258" s="74">
        <v>4.7169667221695093</v>
      </c>
      <c r="AH258" s="73"/>
      <c r="AI258" s="72">
        <v>1312107.6267659995</v>
      </c>
      <c r="AJ258" s="72">
        <v>0</v>
      </c>
      <c r="AK258" s="73"/>
      <c r="AL258" s="74">
        <v>-1806.0056400857691</v>
      </c>
      <c r="AM258" s="74">
        <v>0</v>
      </c>
      <c r="AN258" s="73"/>
      <c r="AO258" s="72">
        <v>86599.019059467071</v>
      </c>
      <c r="AP258" s="72">
        <v>0</v>
      </c>
      <c r="AQ258" s="73"/>
      <c r="AR258" s="74">
        <v>-99.771779461717898</v>
      </c>
      <c r="AS258" s="74">
        <v>0</v>
      </c>
      <c r="AT258" s="73"/>
      <c r="AU258" s="72">
        <v>30212355.380898621</v>
      </c>
      <c r="AV258" s="72">
        <v>0</v>
      </c>
      <c r="AW258" s="73"/>
      <c r="AX258" s="74">
        <v>-2937.0569203735836</v>
      </c>
      <c r="AY258" s="74">
        <v>0</v>
      </c>
      <c r="AZ258" s="73"/>
      <c r="BA258" s="72">
        <v>-582450.31932823535</v>
      </c>
      <c r="BB258" s="72">
        <v>0</v>
      </c>
      <c r="BC258" s="73"/>
      <c r="BD258" s="74">
        <v>-617.26068733933255</v>
      </c>
      <c r="BE258" s="74">
        <v>0</v>
      </c>
      <c r="BF258" s="73"/>
      <c r="BG258" s="72">
        <v>9034210.9266160484</v>
      </c>
      <c r="BH258" s="72">
        <v>0</v>
      </c>
      <c r="BI258" s="73"/>
      <c r="BJ258" s="74">
        <v>-2322.7197961408679</v>
      </c>
      <c r="BK258" s="74">
        <v>0</v>
      </c>
      <c r="BL258" s="73"/>
      <c r="BM258" s="72">
        <v>40062822.634011902</v>
      </c>
      <c r="BN258" s="72">
        <v>0</v>
      </c>
      <c r="BO258" s="73"/>
      <c r="BP258" s="74">
        <v>-7782.8148234012715</v>
      </c>
      <c r="BQ258" s="74">
        <v>0</v>
      </c>
      <c r="BS258" s="109">
        <f t="shared" si="117"/>
        <v>116459.23488845091</v>
      </c>
      <c r="BT258" s="109">
        <f t="shared" si="118"/>
        <v>116807.25328259658</v>
      </c>
      <c r="BV258" s="58">
        <f t="array" ref="BV258">SUM(IF(BS258:BT258&gt;=BS258, 1))</f>
        <v>2</v>
      </c>
      <c r="BW258" s="58">
        <f t="array" ref="BW258">SUM(IF(BS258:BT258&gt;=BT258, 1))</f>
        <v>1</v>
      </c>
      <c r="BY258" s="109">
        <f t="shared" si="119"/>
        <v>134128.84808648456</v>
      </c>
      <c r="BZ258" s="109">
        <f t="shared" si="120"/>
        <v>134430.33507099038</v>
      </c>
      <c r="CB258" s="58">
        <f t="array" ref="CB258">SUM(IF(BY258:BZ258&gt;=BY258, 1))</f>
        <v>2</v>
      </c>
      <c r="CC258" s="58">
        <f t="array" ref="CC258">SUM(IF(BY258:BZ258&gt;=BZ258, 1))</f>
        <v>1</v>
      </c>
      <c r="CE258" s="109">
        <f t="shared" si="121"/>
        <v>93463.244191970793</v>
      </c>
      <c r="CF258" s="109">
        <f t="shared" si="122"/>
        <v>97276.805293803205</v>
      </c>
      <c r="CH258" s="58">
        <f t="array" ref="CH258">SUM(IF(CE258:CF258&gt;=CE258, 1))</f>
        <v>2</v>
      </c>
      <c r="CI258" s="58">
        <f t="array" ref="CI258">SUM(IF(CE258:CF258&gt;=CF258, 1))</f>
        <v>1</v>
      </c>
      <c r="CK258" s="109">
        <f t="shared" si="123"/>
        <v>43779.064705362718</v>
      </c>
      <c r="CL258" s="109">
        <f t="shared" si="124"/>
        <v>45079.607398360764</v>
      </c>
      <c r="CN258" s="58">
        <f t="array" ref="CN258">SUM(IF(CK258:CL258&gt;=CK258, 1))</f>
        <v>2</v>
      </c>
      <c r="CO258" s="58">
        <f t="array" ref="CO258">SUM(IF(CK258:CL258&gt;=CL258, 1))</f>
        <v>1</v>
      </c>
      <c r="CQ258" s="109" cm="1">
        <f t="array" ref="CQ258">AF258*WTP-AC258</f>
        <v>40972.538999205208</v>
      </c>
      <c r="CR258" s="109">
        <f t="shared" si="125"/>
        <v>44529.221634576199</v>
      </c>
      <c r="CT258" s="58">
        <f t="array" ref="CT258">SUM(IF(CQ258:CR258&gt;=CQ258, 1))</f>
        <v>2</v>
      </c>
      <c r="CU258" s="58">
        <f t="array" ref="CU258">SUM(IF(CQ258:CR258&gt;=CR258, 1))</f>
        <v>1</v>
      </c>
      <c r="CW258" s="109">
        <f t="shared" si="126"/>
        <v>-37432220.428481378</v>
      </c>
      <c r="CX258" s="109">
        <f t="shared" si="127"/>
        <v>0</v>
      </c>
      <c r="CZ258" s="58">
        <f t="array" ref="CZ258">SUM(IF(CW258:CX258&gt;=CW258, 1))</f>
        <v>2</v>
      </c>
      <c r="DA258" s="58">
        <f t="array" ref="DA258">SUM(IF(CW258:CX258&gt;=CX258, 1))</f>
        <v>1</v>
      </c>
      <c r="DC258" s="109">
        <f t="shared" si="128"/>
        <v>-2082034.6082938251</v>
      </c>
      <c r="DD258" s="109">
        <f t="shared" si="129"/>
        <v>0</v>
      </c>
      <c r="DF258" s="58">
        <f t="array" ref="DF258">SUM(IF(DC258:DD258&gt;=DC258, 1))</f>
        <v>2</v>
      </c>
      <c r="DG258" s="58">
        <f t="array" ref="DG258">SUM(IF(DC258:DD258&gt;=DD258, 1))</f>
        <v>1</v>
      </c>
      <c r="DI258" s="109">
        <f t="shared" si="130"/>
        <v>-88953493.788370296</v>
      </c>
      <c r="DJ258" s="109">
        <f t="shared" si="131"/>
        <v>0</v>
      </c>
      <c r="DL258" s="58">
        <f t="array" ref="DL258">SUM(IF(DI258:DJ258&gt;=DI258, 1))</f>
        <v>2</v>
      </c>
      <c r="DM258" s="58">
        <f t="array" ref="DM258">SUM(IF(DI258:DJ258&gt;=DJ258, 1))</f>
        <v>1</v>
      </c>
      <c r="DO258" s="109">
        <f t="shared" si="132"/>
        <v>-11762763.427458415</v>
      </c>
      <c r="DP258" s="109">
        <f t="shared" si="133"/>
        <v>0</v>
      </c>
      <c r="DR258" s="58">
        <f t="array" ref="DR258">SUM(IF(DO258:DP258&gt;=DO258, 1))</f>
        <v>2</v>
      </c>
      <c r="DS258" s="58">
        <f t="array" ref="DS258">SUM(IF(DO258:DP258&gt;=DP258, 1))</f>
        <v>1</v>
      </c>
      <c r="DU258" s="109">
        <f t="shared" si="134"/>
        <v>-55488606.849433407</v>
      </c>
      <c r="DV258" s="109">
        <f t="shared" si="135"/>
        <v>0</v>
      </c>
      <c r="DX258" s="58">
        <f t="array" ref="DX258">SUM(IF(DU258:DV258&gt;=DU258, 1))</f>
        <v>2</v>
      </c>
      <c r="DY258" s="58">
        <f t="array" ref="DY258">SUM(IF(DU258:DV258&gt;=DV258, 1))</f>
        <v>1</v>
      </c>
      <c r="EA258" s="109">
        <f t="shared" si="136"/>
        <v>-195719119.10203731</v>
      </c>
      <c r="EB258" s="109">
        <f t="shared" si="137"/>
        <v>0</v>
      </c>
      <c r="ED258" s="58">
        <f t="array" ref="ED258">SUM(IF(EA258:EB258&gt;=EA258, 1))</f>
        <v>2</v>
      </c>
      <c r="EE258" s="58">
        <f t="array" ref="EE258">SUM(IF(EA258:EB258&gt;=EB258, 1))</f>
        <v>1</v>
      </c>
    </row>
    <row r="259" spans="4:135" ht="12" customHeight="1" x14ac:dyDescent="0.25">
      <c r="D259" s="11">
        <v>243</v>
      </c>
      <c r="E259" s="72">
        <v>300.42780969269739</v>
      </c>
      <c r="F259" s="72">
        <v>272.35953018843446</v>
      </c>
      <c r="G259" s="73"/>
      <c r="H259" s="74">
        <v>5.8788427068840399</v>
      </c>
      <c r="I259" s="74">
        <v>5.8958572712878903</v>
      </c>
      <c r="J259" s="73"/>
      <c r="K259" s="72">
        <v>322.4147718868615</v>
      </c>
      <c r="L259" s="72">
        <v>293.66277662586072</v>
      </c>
      <c r="M259" s="73"/>
      <c r="N259" s="74">
        <v>6.7268541012449798</v>
      </c>
      <c r="O259" s="74">
        <v>6.7413774792869221</v>
      </c>
      <c r="P259" s="73"/>
      <c r="Q259" s="72">
        <v>1964.5379865117852</v>
      </c>
      <c r="R259" s="72">
        <v>1295.8131577135175</v>
      </c>
      <c r="S259" s="73"/>
      <c r="T259" s="74">
        <v>4.9187373480292083</v>
      </c>
      <c r="U259" s="74">
        <v>5.0142030927097512</v>
      </c>
      <c r="V259" s="73"/>
      <c r="W259" s="72">
        <v>11256.61262157748</v>
      </c>
      <c r="X259" s="72">
        <v>11280.77403226963</v>
      </c>
      <c r="Y259" s="73"/>
      <c r="Z259" s="74">
        <v>2.9781061296273958</v>
      </c>
      <c r="AA259" s="74">
        <v>3.0187753746744521</v>
      </c>
      <c r="AB259" s="73"/>
      <c r="AC259" s="72">
        <v>50707.653440975548</v>
      </c>
      <c r="AD259" s="72">
        <v>49942.790958156824</v>
      </c>
      <c r="AE259" s="73"/>
      <c r="AF259" s="74">
        <v>4.7853581665297602</v>
      </c>
      <c r="AG259" s="74">
        <v>4.979557101908112</v>
      </c>
      <c r="AH259" s="73"/>
      <c r="AI259" s="72">
        <v>3024001.5895536859</v>
      </c>
      <c r="AJ259" s="72">
        <v>0</v>
      </c>
      <c r="AK259" s="73"/>
      <c r="AL259" s="74">
        <v>-1833.1037994328367</v>
      </c>
      <c r="AM259" s="74">
        <v>0</v>
      </c>
      <c r="AN259" s="73"/>
      <c r="AO259" s="72">
        <v>195103.78803047532</v>
      </c>
      <c r="AP259" s="72">
        <v>0</v>
      </c>
      <c r="AQ259" s="73"/>
      <c r="AR259" s="74">
        <v>-98.551980315084847</v>
      </c>
      <c r="AS259" s="74">
        <v>0</v>
      </c>
      <c r="AT259" s="73"/>
      <c r="AU259" s="72">
        <v>15867817.692525299</v>
      </c>
      <c r="AV259" s="72">
        <v>0</v>
      </c>
      <c r="AW259" s="73"/>
      <c r="AX259" s="74">
        <v>-2265.2561520622066</v>
      </c>
      <c r="AY259" s="74">
        <v>0</v>
      </c>
      <c r="AZ259" s="73"/>
      <c r="BA259" s="72">
        <v>-223649.87013609748</v>
      </c>
      <c r="BB259" s="72">
        <v>0</v>
      </c>
      <c r="BC259" s="73"/>
      <c r="BD259" s="74">
        <v>-376.45448310940424</v>
      </c>
      <c r="BE259" s="74">
        <v>0</v>
      </c>
      <c r="BF259" s="73"/>
      <c r="BG259" s="72">
        <v>11974590.07987739</v>
      </c>
      <c r="BH259" s="72">
        <v>0</v>
      </c>
      <c r="BI259" s="73"/>
      <c r="BJ259" s="74">
        <v>-3040.3539163464297</v>
      </c>
      <c r="BK259" s="74">
        <v>0</v>
      </c>
      <c r="BL259" s="73"/>
      <c r="BM259" s="72">
        <v>30837863.279850751</v>
      </c>
      <c r="BN259" s="72">
        <v>0</v>
      </c>
      <c r="BO259" s="73"/>
      <c r="BP259" s="74">
        <v>-7613.7203312659622</v>
      </c>
      <c r="BQ259" s="74">
        <v>0</v>
      </c>
      <c r="BS259" s="109">
        <f t="shared" si="117"/>
        <v>117276.4263279881</v>
      </c>
      <c r="BT259" s="109">
        <f t="shared" si="118"/>
        <v>117644.78589556937</v>
      </c>
      <c r="BV259" s="58">
        <f t="array" ref="BV259">SUM(IF(BS259:BT259&gt;=BS259, 1))</f>
        <v>2</v>
      </c>
      <c r="BW259" s="58">
        <f t="array" ref="BW259">SUM(IF(BS259:BT259&gt;=BT259, 1))</f>
        <v>1</v>
      </c>
      <c r="BY259" s="109">
        <f t="shared" si="119"/>
        <v>134214.66725301274</v>
      </c>
      <c r="BZ259" s="109">
        <f t="shared" si="120"/>
        <v>134533.88680911259</v>
      </c>
      <c r="CB259" s="58">
        <f t="array" ref="CB259">SUM(IF(BY259:BZ259&gt;=BY259, 1))</f>
        <v>2</v>
      </c>
      <c r="CC259" s="58">
        <f t="array" ref="CC259">SUM(IF(BY259:BZ259&gt;=BZ259, 1))</f>
        <v>1</v>
      </c>
      <c r="CE259" s="109">
        <f t="shared" si="121"/>
        <v>96410.208974072375</v>
      </c>
      <c r="CF259" s="109">
        <f t="shared" si="122"/>
        <v>98988.248696481503</v>
      </c>
      <c r="CH259" s="58">
        <f t="array" ref="CH259">SUM(IF(CE259:CF259&gt;=CE259, 1))</f>
        <v>2</v>
      </c>
      <c r="CI259" s="58">
        <f t="array" ref="CI259">SUM(IF(CE259:CF259&gt;=CF259, 1))</f>
        <v>1</v>
      </c>
      <c r="CK259" s="109">
        <f t="shared" si="123"/>
        <v>48305.509970970437</v>
      </c>
      <c r="CL259" s="109">
        <f t="shared" si="124"/>
        <v>49094.73346121941</v>
      </c>
      <c r="CN259" s="58">
        <f t="array" ref="CN259">SUM(IF(CK259:CL259&gt;=CK259, 1))</f>
        <v>2</v>
      </c>
      <c r="CO259" s="58">
        <f t="array" ref="CO259">SUM(IF(CK259:CL259&gt;=CL259, 1))</f>
        <v>1</v>
      </c>
      <c r="CQ259" s="109" cm="1">
        <f t="array" ref="CQ259">AF259*WTP-AC259</f>
        <v>44999.50988961965</v>
      </c>
      <c r="CR259" s="109">
        <f t="shared" si="125"/>
        <v>49648.351080005421</v>
      </c>
      <c r="CT259" s="58">
        <f t="array" ref="CT259">SUM(IF(CQ259:CR259&gt;=CQ259, 1))</f>
        <v>2</v>
      </c>
      <c r="CU259" s="58">
        <f t="array" ref="CU259">SUM(IF(CQ259:CR259&gt;=CR259, 1))</f>
        <v>1</v>
      </c>
      <c r="CW259" s="109">
        <f t="shared" si="126"/>
        <v>-39686077.578210421</v>
      </c>
      <c r="CX259" s="109">
        <f t="shared" si="127"/>
        <v>0</v>
      </c>
      <c r="CZ259" s="58">
        <f t="array" ref="CZ259">SUM(IF(CW259:CX259&gt;=CW259, 1))</f>
        <v>2</v>
      </c>
      <c r="DA259" s="58">
        <f t="array" ref="DA259">SUM(IF(CW259:CX259&gt;=CX259, 1))</f>
        <v>1</v>
      </c>
      <c r="DC259" s="109">
        <f t="shared" si="128"/>
        <v>-2166143.3943321723</v>
      </c>
      <c r="DD259" s="109">
        <f t="shared" si="129"/>
        <v>0</v>
      </c>
      <c r="DF259" s="58">
        <f t="array" ref="DF259">SUM(IF(DC259:DD259&gt;=DC259, 1))</f>
        <v>2</v>
      </c>
      <c r="DG259" s="58">
        <f t="array" ref="DG259">SUM(IF(DC259:DD259&gt;=DD259, 1))</f>
        <v>1</v>
      </c>
      <c r="DI259" s="109">
        <f t="shared" si="130"/>
        <v>-61172940.733769432</v>
      </c>
      <c r="DJ259" s="109">
        <f t="shared" si="131"/>
        <v>0</v>
      </c>
      <c r="DL259" s="58">
        <f t="array" ref="DL259">SUM(IF(DI259:DJ259&gt;=DI259, 1))</f>
        <v>2</v>
      </c>
      <c r="DM259" s="58">
        <f t="array" ref="DM259">SUM(IF(DI259:DJ259&gt;=DJ259, 1))</f>
        <v>1</v>
      </c>
      <c r="DO259" s="109">
        <f t="shared" si="132"/>
        <v>-7305439.7920519877</v>
      </c>
      <c r="DP259" s="109">
        <f t="shared" si="133"/>
        <v>0</v>
      </c>
      <c r="DR259" s="58">
        <f t="array" ref="DR259">SUM(IF(DO259:DP259&gt;=DO259, 1))</f>
        <v>2</v>
      </c>
      <c r="DS259" s="58">
        <f t="array" ref="DS259">SUM(IF(DO259:DP259&gt;=DP259, 1))</f>
        <v>1</v>
      </c>
      <c r="DU259" s="109">
        <f t="shared" si="134"/>
        <v>-72781668.406805977</v>
      </c>
      <c r="DV259" s="109">
        <f t="shared" si="135"/>
        <v>0</v>
      </c>
      <c r="DX259" s="58">
        <f t="array" ref="DX259">SUM(IF(DU259:DV259&gt;=DU259, 1))</f>
        <v>2</v>
      </c>
      <c r="DY259" s="58">
        <f t="array" ref="DY259">SUM(IF(DU259:DV259&gt;=DV259, 1))</f>
        <v>1</v>
      </c>
      <c r="EA259" s="109">
        <f t="shared" si="136"/>
        <v>-183112269.90516999</v>
      </c>
      <c r="EB259" s="109">
        <f t="shared" si="137"/>
        <v>0</v>
      </c>
      <c r="ED259" s="58">
        <f t="array" ref="ED259">SUM(IF(EA259:EB259&gt;=EA259, 1))</f>
        <v>2</v>
      </c>
      <c r="EE259" s="58">
        <f t="array" ref="EE259">SUM(IF(EA259:EB259&gt;=EB259, 1))</f>
        <v>1</v>
      </c>
    </row>
    <row r="260" spans="4:135" ht="12" customHeight="1" x14ac:dyDescent="0.25">
      <c r="D260" s="11">
        <v>244</v>
      </c>
      <c r="E260" s="72">
        <v>215.85576708790748</v>
      </c>
      <c r="F260" s="72">
        <v>192.208623654485</v>
      </c>
      <c r="G260" s="73"/>
      <c r="H260" s="74">
        <v>5.7794464010991424</v>
      </c>
      <c r="I260" s="74">
        <v>5.7983595907723835</v>
      </c>
      <c r="J260" s="73"/>
      <c r="K260" s="72">
        <v>231.44972487362807</v>
      </c>
      <c r="L260" s="72">
        <v>207.24834244185317</v>
      </c>
      <c r="M260" s="73"/>
      <c r="N260" s="74">
        <v>6.6774664765820733</v>
      </c>
      <c r="O260" s="74">
        <v>6.6941270141386715</v>
      </c>
      <c r="P260" s="73"/>
      <c r="Q260" s="72">
        <v>1895.5339434807661</v>
      </c>
      <c r="R260" s="72">
        <v>1287.3327586905011</v>
      </c>
      <c r="S260" s="73"/>
      <c r="T260" s="74">
        <v>4.7989846966953538</v>
      </c>
      <c r="U260" s="74">
        <v>4.8631900695568788</v>
      </c>
      <c r="V260" s="73"/>
      <c r="W260" s="72">
        <v>10208.711562101053</v>
      </c>
      <c r="X260" s="72">
        <v>10213.695357212526</v>
      </c>
      <c r="Y260" s="73"/>
      <c r="Z260" s="74">
        <v>2.9678708754274727</v>
      </c>
      <c r="AA260" s="74">
        <v>3.0070912856196896</v>
      </c>
      <c r="AB260" s="73"/>
      <c r="AC260" s="72">
        <v>50256.897098829584</v>
      </c>
      <c r="AD260" s="72">
        <v>50264.445717658113</v>
      </c>
      <c r="AE260" s="73"/>
      <c r="AF260" s="74">
        <v>4.2773860258693581</v>
      </c>
      <c r="AG260" s="74">
        <v>4.3723489053656444</v>
      </c>
      <c r="AH260" s="73"/>
      <c r="AI260" s="72">
        <v>2548758.8581026378</v>
      </c>
      <c r="AJ260" s="72">
        <v>0</v>
      </c>
      <c r="AK260" s="73"/>
      <c r="AL260" s="74">
        <v>-2038.5193607155159</v>
      </c>
      <c r="AM260" s="74">
        <v>0</v>
      </c>
      <c r="AN260" s="73"/>
      <c r="AO260" s="72">
        <v>165331.97581659583</v>
      </c>
      <c r="AP260" s="72">
        <v>0</v>
      </c>
      <c r="AQ260" s="73"/>
      <c r="AR260" s="74">
        <v>-113.81662184646424</v>
      </c>
      <c r="AS260" s="74">
        <v>0</v>
      </c>
      <c r="AT260" s="73"/>
      <c r="AU260" s="72">
        <v>13941624.579864383</v>
      </c>
      <c r="AV260" s="72">
        <v>0</v>
      </c>
      <c r="AW260" s="73"/>
      <c r="AX260" s="74">
        <v>-1471.7616914118234</v>
      </c>
      <c r="AY260" s="74">
        <v>0</v>
      </c>
      <c r="AZ260" s="73"/>
      <c r="BA260" s="72">
        <v>-46092.869979134928</v>
      </c>
      <c r="BB260" s="72">
        <v>0</v>
      </c>
      <c r="BC260" s="73"/>
      <c r="BD260" s="74">
        <v>-362.73185937288758</v>
      </c>
      <c r="BE260" s="74">
        <v>0</v>
      </c>
      <c r="BF260" s="73"/>
      <c r="BG260" s="72">
        <v>-118978.52824286025</v>
      </c>
      <c r="BH260" s="72">
        <v>0</v>
      </c>
      <c r="BI260" s="73"/>
      <c r="BJ260" s="74">
        <v>-1496.7696603611171</v>
      </c>
      <c r="BK260" s="74">
        <v>0</v>
      </c>
      <c r="BL260" s="73"/>
      <c r="BM260" s="72">
        <v>16490644.015561622</v>
      </c>
      <c r="BN260" s="72">
        <v>0</v>
      </c>
      <c r="BO260" s="73"/>
      <c r="BP260" s="74">
        <v>-5483.5991937078088</v>
      </c>
      <c r="BQ260" s="74">
        <v>0</v>
      </c>
      <c r="BS260" s="109">
        <f t="shared" si="117"/>
        <v>115373.07225489494</v>
      </c>
      <c r="BT260" s="109">
        <f t="shared" si="118"/>
        <v>115774.98319179319</v>
      </c>
      <c r="BV260" s="58">
        <f t="array" ref="BV260">SUM(IF(BS260:BT260&gt;=BS260, 1))</f>
        <v>2</v>
      </c>
      <c r="BW260" s="58">
        <f t="array" ref="BW260">SUM(IF(BS260:BT260&gt;=BT260, 1))</f>
        <v>1</v>
      </c>
      <c r="BY260" s="109">
        <f t="shared" si="119"/>
        <v>133317.87980676786</v>
      </c>
      <c r="BZ260" s="109">
        <f t="shared" si="120"/>
        <v>133675.29194033158</v>
      </c>
      <c r="CB260" s="58">
        <f t="array" ref="CB260">SUM(IF(BY260:BZ260&gt;=BY260, 1))</f>
        <v>2</v>
      </c>
      <c r="CC260" s="58">
        <f t="array" ref="CC260">SUM(IF(BY260:BZ260&gt;=BZ260, 1))</f>
        <v>1</v>
      </c>
      <c r="CE260" s="109">
        <f t="shared" si="121"/>
        <v>94084.159990426313</v>
      </c>
      <c r="CF260" s="109">
        <f t="shared" si="122"/>
        <v>95976.468632447068</v>
      </c>
      <c r="CH260" s="58">
        <f t="array" ref="CH260">SUM(IF(CE260:CF260&gt;=CE260, 1))</f>
        <v>2</v>
      </c>
      <c r="CI260" s="58">
        <f t="array" ref="CI260">SUM(IF(CE260:CF260&gt;=CF260, 1))</f>
        <v>1</v>
      </c>
      <c r="CK260" s="109">
        <f t="shared" si="123"/>
        <v>49148.705946448405</v>
      </c>
      <c r="CL260" s="109">
        <f t="shared" si="124"/>
        <v>49928.130355181267</v>
      </c>
      <c r="CN260" s="58">
        <f t="array" ref="CN260">SUM(IF(CK260:CL260&gt;=CK260, 1))</f>
        <v>2</v>
      </c>
      <c r="CO260" s="58">
        <f t="array" ref="CO260">SUM(IF(CK260:CL260&gt;=CL260, 1))</f>
        <v>1</v>
      </c>
      <c r="CQ260" s="109" cm="1">
        <f t="array" ref="CQ260">AF260*WTP-AC260</f>
        <v>35290.823418557578</v>
      </c>
      <c r="CR260" s="109">
        <f t="shared" si="125"/>
        <v>37182.532389654771</v>
      </c>
      <c r="CT260" s="58">
        <f t="array" ref="CT260">SUM(IF(CQ260:CR260&gt;=CQ260, 1))</f>
        <v>2</v>
      </c>
      <c r="CU260" s="58">
        <f t="array" ref="CU260">SUM(IF(CQ260:CR260&gt;=CR260, 1))</f>
        <v>1</v>
      </c>
      <c r="CW260" s="109">
        <f t="shared" si="126"/>
        <v>-43319146.072412953</v>
      </c>
      <c r="CX260" s="109">
        <f t="shared" si="127"/>
        <v>0</v>
      </c>
      <c r="CZ260" s="58">
        <f t="array" ref="CZ260">SUM(IF(CW260:CX260&gt;=CW260, 1))</f>
        <v>2</v>
      </c>
      <c r="DA260" s="58">
        <f t="array" ref="DA260">SUM(IF(CW260:CX260&gt;=CX260, 1))</f>
        <v>1</v>
      </c>
      <c r="DC260" s="109">
        <f t="shared" si="128"/>
        <v>-2441664.4127458809</v>
      </c>
      <c r="DD260" s="109">
        <f t="shared" si="129"/>
        <v>0</v>
      </c>
      <c r="DF260" s="58">
        <f t="array" ref="DF260">SUM(IF(DC260:DD260&gt;=DC260, 1))</f>
        <v>2</v>
      </c>
      <c r="DG260" s="58">
        <f t="array" ref="DG260">SUM(IF(DC260:DD260&gt;=DD260, 1))</f>
        <v>1</v>
      </c>
      <c r="DI260" s="109">
        <f t="shared" si="130"/>
        <v>-43376858.408100851</v>
      </c>
      <c r="DJ260" s="109">
        <f t="shared" si="131"/>
        <v>0</v>
      </c>
      <c r="DL260" s="58">
        <f t="array" ref="DL260">SUM(IF(DI260:DJ260&gt;=DI260, 1))</f>
        <v>2</v>
      </c>
      <c r="DM260" s="58">
        <f t="array" ref="DM260">SUM(IF(DI260:DJ260&gt;=DJ260, 1))</f>
        <v>1</v>
      </c>
      <c r="DO260" s="109">
        <f t="shared" si="132"/>
        <v>-7208544.3174786167</v>
      </c>
      <c r="DP260" s="109">
        <f t="shared" si="133"/>
        <v>0</v>
      </c>
      <c r="DR260" s="58">
        <f t="array" ref="DR260">SUM(IF(DO260:DP260&gt;=DO260, 1))</f>
        <v>2</v>
      </c>
      <c r="DS260" s="58">
        <f t="array" ref="DS260">SUM(IF(DO260:DP260&gt;=DP260, 1))</f>
        <v>1</v>
      </c>
      <c r="DU260" s="109">
        <f t="shared" si="134"/>
        <v>-29816414.678979483</v>
      </c>
      <c r="DV260" s="109">
        <f t="shared" si="135"/>
        <v>0</v>
      </c>
      <c r="DX260" s="58">
        <f t="array" ref="DX260">SUM(IF(DU260:DV260&gt;=DU260, 1))</f>
        <v>2</v>
      </c>
      <c r="DY260" s="58">
        <f t="array" ref="DY260">SUM(IF(DU260:DV260&gt;=DV260, 1))</f>
        <v>1</v>
      </c>
      <c r="EA260" s="109">
        <f t="shared" si="136"/>
        <v>-126162627.8897178</v>
      </c>
      <c r="EB260" s="109">
        <f t="shared" si="137"/>
        <v>0</v>
      </c>
      <c r="ED260" s="58">
        <f t="array" ref="ED260">SUM(IF(EA260:EB260&gt;=EA260, 1))</f>
        <v>2</v>
      </c>
      <c r="EE260" s="58">
        <f t="array" ref="EE260">SUM(IF(EA260:EB260&gt;=EB260, 1))</f>
        <v>1</v>
      </c>
    </row>
    <row r="261" spans="4:135" ht="12" customHeight="1" x14ac:dyDescent="0.25">
      <c r="D261" s="11">
        <v>245</v>
      </c>
      <c r="E261" s="72">
        <v>257.91793573709765</v>
      </c>
      <c r="F261" s="72">
        <v>216.80634987591415</v>
      </c>
      <c r="G261" s="73"/>
      <c r="H261" s="74">
        <v>5.8584744763160232</v>
      </c>
      <c r="I261" s="74">
        <v>5.8785615981741666</v>
      </c>
      <c r="J261" s="73"/>
      <c r="K261" s="72">
        <v>275.75981367725763</v>
      </c>
      <c r="L261" s="72">
        <v>233.69700666115131</v>
      </c>
      <c r="M261" s="73"/>
      <c r="N261" s="74">
        <v>6.6426139664251949</v>
      </c>
      <c r="O261" s="74">
        <v>6.6602195166424893</v>
      </c>
      <c r="P261" s="73"/>
      <c r="Q261" s="72">
        <v>1800.8171220049792</v>
      </c>
      <c r="R261" s="72">
        <v>1347.9919482916341</v>
      </c>
      <c r="S261" s="73"/>
      <c r="T261" s="74">
        <v>4.8185292828993118</v>
      </c>
      <c r="U261" s="74">
        <v>4.8849231837744016</v>
      </c>
      <c r="V261" s="73"/>
      <c r="W261" s="72">
        <v>13240.396249215637</v>
      </c>
      <c r="X261" s="72">
        <v>13322.708983397002</v>
      </c>
      <c r="Y261" s="73"/>
      <c r="Z261" s="74">
        <v>3.1525418966696508</v>
      </c>
      <c r="AA261" s="74">
        <v>3.224635995208275</v>
      </c>
      <c r="AB261" s="73"/>
      <c r="AC261" s="72">
        <v>51025.92277153438</v>
      </c>
      <c r="AD261" s="72">
        <v>50894.248103543381</v>
      </c>
      <c r="AE261" s="73"/>
      <c r="AF261" s="74">
        <v>4.6788183808551667</v>
      </c>
      <c r="AG261" s="74">
        <v>4.7766652283256663</v>
      </c>
      <c r="AH261" s="73"/>
      <c r="AI261" s="72">
        <v>4403807.9213605523</v>
      </c>
      <c r="AJ261" s="72">
        <v>0</v>
      </c>
      <c r="AK261" s="73"/>
      <c r="AL261" s="74">
        <v>-2151.7006581774249</v>
      </c>
      <c r="AM261" s="74">
        <v>0</v>
      </c>
      <c r="AN261" s="73"/>
      <c r="AO261" s="72">
        <v>292515.07928836771</v>
      </c>
      <c r="AP261" s="72">
        <v>0</v>
      </c>
      <c r="AQ261" s="73"/>
      <c r="AR261" s="74">
        <v>-122.43331539322342</v>
      </c>
      <c r="AS261" s="74">
        <v>0</v>
      </c>
      <c r="AT261" s="73"/>
      <c r="AU261" s="72">
        <v>10461978.41745433</v>
      </c>
      <c r="AV261" s="72">
        <v>0</v>
      </c>
      <c r="AW261" s="73"/>
      <c r="AX261" s="74">
        <v>-1533.9508453333162</v>
      </c>
      <c r="AY261" s="74">
        <v>0</v>
      </c>
      <c r="AZ261" s="73"/>
      <c r="BA261" s="72">
        <v>-715656.58093603561</v>
      </c>
      <c r="BB261" s="72">
        <v>0</v>
      </c>
      <c r="BC261" s="73"/>
      <c r="BD261" s="74">
        <v>-626.81207930884182</v>
      </c>
      <c r="BE261" s="74">
        <v>0</v>
      </c>
      <c r="BF261" s="73"/>
      <c r="BG261" s="72">
        <v>2086093.6388852363</v>
      </c>
      <c r="BH261" s="72">
        <v>0</v>
      </c>
      <c r="BI261" s="73"/>
      <c r="BJ261" s="74">
        <v>-1550.166704100867</v>
      </c>
      <c r="BK261" s="74">
        <v>0</v>
      </c>
      <c r="BL261" s="73"/>
      <c r="BM261" s="72">
        <v>16528738.476052452</v>
      </c>
      <c r="BN261" s="72">
        <v>0</v>
      </c>
      <c r="BO261" s="73"/>
      <c r="BP261" s="74">
        <v>-5985.0636023136731</v>
      </c>
      <c r="BQ261" s="74">
        <v>0</v>
      </c>
      <c r="BS261" s="109">
        <f t="shared" si="117"/>
        <v>116911.57159058336</v>
      </c>
      <c r="BT261" s="109">
        <f t="shared" si="118"/>
        <v>117354.42561360741</v>
      </c>
      <c r="BV261" s="58">
        <f t="array" ref="BV261">SUM(IF(BS261:BT261&gt;=BS261, 1))</f>
        <v>2</v>
      </c>
      <c r="BW261" s="58">
        <f t="array" ref="BW261">SUM(IF(BS261:BT261&gt;=BT261, 1))</f>
        <v>1</v>
      </c>
      <c r="BY261" s="109">
        <f t="shared" si="119"/>
        <v>132576.51951482665</v>
      </c>
      <c r="BZ261" s="109">
        <f t="shared" si="120"/>
        <v>132970.69332618863</v>
      </c>
      <c r="CB261" s="58">
        <f t="array" ref="CB261">SUM(IF(BY261:BZ261&gt;=BY261, 1))</f>
        <v>2</v>
      </c>
      <c r="CC261" s="58">
        <f t="array" ref="CC261">SUM(IF(BY261:BZ261&gt;=BZ261, 1))</f>
        <v>1</v>
      </c>
      <c r="CE261" s="109">
        <f t="shared" si="121"/>
        <v>94569.768535981246</v>
      </c>
      <c r="CF261" s="109">
        <f t="shared" si="122"/>
        <v>96350.471727196404</v>
      </c>
      <c r="CH261" s="58">
        <f t="array" ref="CH261">SUM(IF(CE261:CF261&gt;=CE261, 1))</f>
        <v>2</v>
      </c>
      <c r="CI261" s="58">
        <f t="array" ref="CI261">SUM(IF(CE261:CF261&gt;=CF261, 1))</f>
        <v>1</v>
      </c>
      <c r="CK261" s="109">
        <f t="shared" si="123"/>
        <v>49810.441684177378</v>
      </c>
      <c r="CL261" s="109">
        <f t="shared" si="124"/>
        <v>51170.010920768502</v>
      </c>
      <c r="CN261" s="58">
        <f t="array" ref="CN261">SUM(IF(CK261:CL261&gt;=CK261, 1))</f>
        <v>2</v>
      </c>
      <c r="CO261" s="58">
        <f t="array" ref="CO261">SUM(IF(CK261:CL261&gt;=CL261, 1))</f>
        <v>1</v>
      </c>
      <c r="CQ261" s="109" cm="1">
        <f t="array" ref="CQ261">AF261*WTP-AC261</f>
        <v>42550.444845568949</v>
      </c>
      <c r="CR261" s="109">
        <f t="shared" si="125"/>
        <v>44639.056462969944</v>
      </c>
      <c r="CT261" s="58">
        <f t="array" ref="CT261">SUM(IF(CQ261:CR261&gt;=CQ261, 1))</f>
        <v>2</v>
      </c>
      <c r="CU261" s="58">
        <f t="array" ref="CU261">SUM(IF(CQ261:CR261&gt;=CR261, 1))</f>
        <v>1</v>
      </c>
      <c r="CW261" s="109">
        <f t="shared" si="126"/>
        <v>-47437821.084909052</v>
      </c>
      <c r="CX261" s="109">
        <f t="shared" si="127"/>
        <v>0</v>
      </c>
      <c r="CZ261" s="58">
        <f t="array" ref="CZ261">SUM(IF(CW261:CX261&gt;=CW261, 1))</f>
        <v>2</v>
      </c>
      <c r="DA261" s="58">
        <f t="array" ref="DA261">SUM(IF(CW261:CX261&gt;=CX261, 1))</f>
        <v>1</v>
      </c>
      <c r="DC261" s="109">
        <f t="shared" si="128"/>
        <v>-2741181.3871528362</v>
      </c>
      <c r="DD261" s="109">
        <f t="shared" si="129"/>
        <v>0</v>
      </c>
      <c r="DF261" s="58">
        <f t="array" ref="DF261">SUM(IF(DC261:DD261&gt;=DC261, 1))</f>
        <v>2</v>
      </c>
      <c r="DG261" s="58">
        <f t="array" ref="DG261">SUM(IF(DC261:DD261&gt;=DD261, 1))</f>
        <v>1</v>
      </c>
      <c r="DI261" s="109">
        <f t="shared" si="130"/>
        <v>-41140995.324120656</v>
      </c>
      <c r="DJ261" s="109">
        <f t="shared" si="131"/>
        <v>0</v>
      </c>
      <c r="DL261" s="58">
        <f t="array" ref="DL261">SUM(IF(DI261:DJ261&gt;=DI261, 1))</f>
        <v>2</v>
      </c>
      <c r="DM261" s="58">
        <f t="array" ref="DM261">SUM(IF(DI261:DJ261&gt;=DJ261, 1))</f>
        <v>1</v>
      </c>
      <c r="DO261" s="109">
        <f t="shared" si="132"/>
        <v>-11820585.005240802</v>
      </c>
      <c r="DP261" s="109">
        <f t="shared" si="133"/>
        <v>0</v>
      </c>
      <c r="DR261" s="58">
        <f t="array" ref="DR261">SUM(IF(DO261:DP261&gt;=DO261, 1))</f>
        <v>2</v>
      </c>
      <c r="DS261" s="58">
        <f t="array" ref="DS261">SUM(IF(DO261:DP261&gt;=DP261, 1))</f>
        <v>1</v>
      </c>
      <c r="DU261" s="109">
        <f t="shared" si="134"/>
        <v>-33089427.720902577</v>
      </c>
      <c r="DV261" s="109">
        <f t="shared" si="135"/>
        <v>0</v>
      </c>
      <c r="DX261" s="58">
        <f t="array" ref="DX261">SUM(IF(DU261:DV261&gt;=DU261, 1))</f>
        <v>2</v>
      </c>
      <c r="DY261" s="58">
        <f t="array" ref="DY261">SUM(IF(DU261:DV261&gt;=DV261, 1))</f>
        <v>1</v>
      </c>
      <c r="EA261" s="109">
        <f t="shared" si="136"/>
        <v>-136230010.5223259</v>
      </c>
      <c r="EB261" s="109">
        <f t="shared" si="137"/>
        <v>0</v>
      </c>
      <c r="ED261" s="58">
        <f t="array" ref="ED261">SUM(IF(EA261:EB261&gt;=EA261, 1))</f>
        <v>2</v>
      </c>
      <c r="EE261" s="58">
        <f t="array" ref="EE261">SUM(IF(EA261:EB261&gt;=EB261, 1))</f>
        <v>1</v>
      </c>
    </row>
    <row r="262" spans="4:135" ht="12" customHeight="1" x14ac:dyDescent="0.25">
      <c r="D262" s="11">
        <v>246</v>
      </c>
      <c r="E262" s="72">
        <v>255.08494928094208</v>
      </c>
      <c r="F262" s="72">
        <v>222.31475996299565</v>
      </c>
      <c r="G262" s="73"/>
      <c r="H262" s="74">
        <v>5.8268535720328876</v>
      </c>
      <c r="I262" s="74">
        <v>5.8456115212554627</v>
      </c>
      <c r="J262" s="73"/>
      <c r="K262" s="72">
        <v>273.21606537221163</v>
      </c>
      <c r="L262" s="72">
        <v>239.6836185650013</v>
      </c>
      <c r="M262" s="73"/>
      <c r="N262" s="74">
        <v>6.6336530842692047</v>
      </c>
      <c r="O262" s="74">
        <v>6.6502703777412657</v>
      </c>
      <c r="P262" s="73"/>
      <c r="Q262" s="72">
        <v>2296.5456683986854</v>
      </c>
      <c r="R262" s="72">
        <v>1404.5302355151789</v>
      </c>
      <c r="S262" s="73"/>
      <c r="T262" s="74">
        <v>4.8451047411150867</v>
      </c>
      <c r="U262" s="74">
        <v>4.9244949564298111</v>
      </c>
      <c r="V262" s="73"/>
      <c r="W262" s="72">
        <v>13492.886772844698</v>
      </c>
      <c r="X262" s="72">
        <v>13445.03243236942</v>
      </c>
      <c r="Y262" s="73"/>
      <c r="Z262" s="74">
        <v>2.8665615457844091</v>
      </c>
      <c r="AA262" s="74">
        <v>2.9086655646807271</v>
      </c>
      <c r="AB262" s="73"/>
      <c r="AC262" s="72">
        <v>49781.32803050142</v>
      </c>
      <c r="AD262" s="72">
        <v>49359.275797163013</v>
      </c>
      <c r="AE262" s="73"/>
      <c r="AF262" s="74">
        <v>4.3057283960784485</v>
      </c>
      <c r="AG262" s="74">
        <v>4.4123205374252272</v>
      </c>
      <c r="AH262" s="73"/>
      <c r="AI262" s="72">
        <v>3492208.2361442531</v>
      </c>
      <c r="AJ262" s="72">
        <v>0</v>
      </c>
      <c r="AK262" s="73"/>
      <c r="AL262" s="74">
        <v>-1998.9712031470665</v>
      </c>
      <c r="AM262" s="74">
        <v>0</v>
      </c>
      <c r="AN262" s="73"/>
      <c r="AO262" s="72">
        <v>245737.97760828366</v>
      </c>
      <c r="AP262" s="72">
        <v>0</v>
      </c>
      <c r="AQ262" s="73"/>
      <c r="AR262" s="74">
        <v>-121.77757604820958</v>
      </c>
      <c r="AS262" s="74">
        <v>0</v>
      </c>
      <c r="AT262" s="73"/>
      <c r="AU262" s="72">
        <v>20677149.878000896</v>
      </c>
      <c r="AV262" s="72">
        <v>0</v>
      </c>
      <c r="AW262" s="73"/>
      <c r="AX262" s="74">
        <v>-1840.2858520091308</v>
      </c>
      <c r="AY262" s="74">
        <v>0</v>
      </c>
      <c r="AZ262" s="73"/>
      <c r="BA262" s="72">
        <v>427022.30110661703</v>
      </c>
      <c r="BB262" s="72">
        <v>0</v>
      </c>
      <c r="BC262" s="73"/>
      <c r="BD262" s="74">
        <v>-375.71001619446491</v>
      </c>
      <c r="BE262" s="74">
        <v>0</v>
      </c>
      <c r="BF262" s="73"/>
      <c r="BG262" s="72">
        <v>6786792.4819175657</v>
      </c>
      <c r="BH262" s="72">
        <v>0</v>
      </c>
      <c r="BI262" s="73"/>
      <c r="BJ262" s="74">
        <v>-1714.050267668566</v>
      </c>
      <c r="BK262" s="74">
        <v>0</v>
      </c>
      <c r="BL262" s="73"/>
      <c r="BM262" s="72">
        <v>31628910.874777615</v>
      </c>
      <c r="BN262" s="72">
        <v>0</v>
      </c>
      <c r="BO262" s="73"/>
      <c r="BP262" s="74">
        <v>-6050.7949150674376</v>
      </c>
      <c r="BQ262" s="74">
        <v>0</v>
      </c>
      <c r="BS262" s="109">
        <f t="shared" si="117"/>
        <v>116281.98649137681</v>
      </c>
      <c r="BT262" s="109">
        <f t="shared" si="118"/>
        <v>116689.91566514625</v>
      </c>
      <c r="BV262" s="58">
        <f t="array" ref="BV262">SUM(IF(BS262:BT262&gt;=BS262, 1))</f>
        <v>2</v>
      </c>
      <c r="BW262" s="58">
        <f t="array" ref="BW262">SUM(IF(BS262:BT262&gt;=BT262, 1))</f>
        <v>1</v>
      </c>
      <c r="BY262" s="109">
        <f t="shared" si="119"/>
        <v>132399.84562001188</v>
      </c>
      <c r="BZ262" s="109">
        <f t="shared" si="120"/>
        <v>132765.7239362603</v>
      </c>
      <c r="CB262" s="58">
        <f t="array" ref="CB262">SUM(IF(BY262:BZ262&gt;=BY262, 1))</f>
        <v>2</v>
      </c>
      <c r="CC262" s="58">
        <f t="array" ref="CC262">SUM(IF(BY262:BZ262&gt;=BZ262, 1))</f>
        <v>1</v>
      </c>
      <c r="CE262" s="109">
        <f t="shared" si="121"/>
        <v>94605.549153903048</v>
      </c>
      <c r="CF262" s="109">
        <f t="shared" si="122"/>
        <v>97085.368893081046</v>
      </c>
      <c r="CH262" s="58">
        <f t="array" ref="CH262">SUM(IF(CE262:CF262&gt;=CE262, 1))</f>
        <v>2</v>
      </c>
      <c r="CI262" s="58">
        <f t="array" ref="CI262">SUM(IF(CE262:CF262&gt;=CF262, 1))</f>
        <v>1</v>
      </c>
      <c r="CK262" s="109">
        <f t="shared" si="123"/>
        <v>43838.344142843482</v>
      </c>
      <c r="CL262" s="109">
        <f t="shared" si="124"/>
        <v>44728.278861245119</v>
      </c>
      <c r="CN262" s="58">
        <f t="array" ref="CN262">SUM(IF(CK262:CL262&gt;=CK262, 1))</f>
        <v>2</v>
      </c>
      <c r="CO262" s="58">
        <f t="array" ref="CO262">SUM(IF(CK262:CL262&gt;=CL262, 1))</f>
        <v>1</v>
      </c>
      <c r="CQ262" s="109" cm="1">
        <f t="array" ref="CQ262">AF262*WTP-AC262</f>
        <v>36333.239891067555</v>
      </c>
      <c r="CR262" s="109">
        <f t="shared" si="125"/>
        <v>38887.134951341526</v>
      </c>
      <c r="CT262" s="58">
        <f t="array" ref="CT262">SUM(IF(CQ262:CR262&gt;=CQ262, 1))</f>
        <v>2</v>
      </c>
      <c r="CU262" s="58">
        <f t="array" ref="CU262">SUM(IF(CQ262:CR262&gt;=CR262, 1))</f>
        <v>1</v>
      </c>
      <c r="CW262" s="109">
        <f t="shared" si="126"/>
        <v>-43471632.29908558</v>
      </c>
      <c r="CX262" s="109">
        <f t="shared" si="127"/>
        <v>0</v>
      </c>
      <c r="CZ262" s="58">
        <f t="array" ref="CZ262">SUM(IF(CW262:CX262&gt;=CW262, 1))</f>
        <v>2</v>
      </c>
      <c r="DA262" s="58">
        <f t="array" ref="DA262">SUM(IF(CW262:CX262&gt;=CX262, 1))</f>
        <v>1</v>
      </c>
      <c r="DC262" s="109">
        <f t="shared" si="128"/>
        <v>-2681289.4985724753</v>
      </c>
      <c r="DD262" s="109">
        <f t="shared" si="129"/>
        <v>0</v>
      </c>
      <c r="DF262" s="58">
        <f t="array" ref="DF262">SUM(IF(DC262:DD262&gt;=DC262, 1))</f>
        <v>2</v>
      </c>
      <c r="DG262" s="58">
        <f t="array" ref="DG262">SUM(IF(DC262:DD262&gt;=DD262, 1))</f>
        <v>1</v>
      </c>
      <c r="DI262" s="109">
        <f t="shared" si="130"/>
        <v>-57482866.91818352</v>
      </c>
      <c r="DJ262" s="109">
        <f t="shared" si="131"/>
        <v>0</v>
      </c>
      <c r="DL262" s="58">
        <f t="array" ref="DL262">SUM(IF(DI262:DJ262&gt;=DI262, 1))</f>
        <v>2</v>
      </c>
      <c r="DM262" s="58">
        <f t="array" ref="DM262">SUM(IF(DI262:DJ262&gt;=DJ262, 1))</f>
        <v>1</v>
      </c>
      <c r="DO262" s="109">
        <f t="shared" si="132"/>
        <v>-7941222.6249959152</v>
      </c>
      <c r="DP262" s="109">
        <f t="shared" si="133"/>
        <v>0</v>
      </c>
      <c r="DR262" s="58">
        <f t="array" ref="DR262">SUM(IF(DO262:DP262&gt;=DO262, 1))</f>
        <v>2</v>
      </c>
      <c r="DS262" s="58">
        <f t="array" ref="DS262">SUM(IF(DO262:DP262&gt;=DP262, 1))</f>
        <v>1</v>
      </c>
      <c r="DU262" s="109">
        <f t="shared" si="134"/>
        <v>-41067797.83528889</v>
      </c>
      <c r="DV262" s="109">
        <f t="shared" si="135"/>
        <v>0</v>
      </c>
      <c r="DX262" s="58">
        <f t="array" ref="DX262">SUM(IF(DU262:DV262&gt;=DU262, 1))</f>
        <v>2</v>
      </c>
      <c r="DY262" s="58">
        <f t="array" ref="DY262">SUM(IF(DU262:DV262&gt;=DV262, 1))</f>
        <v>1</v>
      </c>
      <c r="EA262" s="109">
        <f t="shared" si="136"/>
        <v>-152644809.17612636</v>
      </c>
      <c r="EB262" s="109">
        <f t="shared" si="137"/>
        <v>0</v>
      </c>
      <c r="ED262" s="58">
        <f t="array" ref="ED262">SUM(IF(EA262:EB262&gt;=EA262, 1))</f>
        <v>2</v>
      </c>
      <c r="EE262" s="58">
        <f t="array" ref="EE262">SUM(IF(EA262:EB262&gt;=EB262, 1))</f>
        <v>1</v>
      </c>
    </row>
    <row r="263" spans="4:135" ht="12" customHeight="1" x14ac:dyDescent="0.25">
      <c r="D263" s="11">
        <v>247</v>
      </c>
      <c r="E263" s="72">
        <v>194.63986716969822</v>
      </c>
      <c r="F263" s="72">
        <v>173.67175294123291</v>
      </c>
      <c r="G263" s="73"/>
      <c r="H263" s="74">
        <v>5.8194160399201467</v>
      </c>
      <c r="I263" s="74">
        <v>5.8352562069235239</v>
      </c>
      <c r="J263" s="73"/>
      <c r="K263" s="72">
        <v>208.72853680368434</v>
      </c>
      <c r="L263" s="72">
        <v>187.28168083749998</v>
      </c>
      <c r="M263" s="73"/>
      <c r="N263" s="74">
        <v>6.6846543426655192</v>
      </c>
      <c r="O263" s="74">
        <v>6.6986654962397445</v>
      </c>
      <c r="P263" s="73"/>
      <c r="Q263" s="72">
        <v>2331.6667107647677</v>
      </c>
      <c r="R263" s="72">
        <v>1426.4619704747777</v>
      </c>
      <c r="S263" s="73"/>
      <c r="T263" s="74">
        <v>4.7464624963548783</v>
      </c>
      <c r="U263" s="74">
        <v>4.8411516870180309</v>
      </c>
      <c r="V263" s="73"/>
      <c r="W263" s="72">
        <v>17334.576730971927</v>
      </c>
      <c r="X263" s="72">
        <v>17291.937313953043</v>
      </c>
      <c r="Y263" s="73"/>
      <c r="Z263" s="74">
        <v>2.8560104572231042</v>
      </c>
      <c r="AA263" s="74">
        <v>2.8936417498321196</v>
      </c>
      <c r="AB263" s="73"/>
      <c r="AC263" s="72">
        <v>49531.399377298469</v>
      </c>
      <c r="AD263" s="72">
        <v>49466.840280513105</v>
      </c>
      <c r="AE263" s="73"/>
      <c r="AF263" s="74">
        <v>4.7811275198515446</v>
      </c>
      <c r="AG263" s="74">
        <v>4.8376118689857979</v>
      </c>
      <c r="AH263" s="73"/>
      <c r="AI263" s="72">
        <v>2255961.955415295</v>
      </c>
      <c r="AJ263" s="72">
        <v>0</v>
      </c>
      <c r="AK263" s="73"/>
      <c r="AL263" s="74">
        <v>-1704.2454909241094</v>
      </c>
      <c r="AM263" s="74">
        <v>0</v>
      </c>
      <c r="AN263" s="73"/>
      <c r="AO263" s="72">
        <v>143055.67958039313</v>
      </c>
      <c r="AP263" s="72">
        <v>0</v>
      </c>
      <c r="AQ263" s="73"/>
      <c r="AR263" s="74">
        <v>-93.457759003296019</v>
      </c>
      <c r="AS263" s="74">
        <v>0</v>
      </c>
      <c r="AT263" s="73"/>
      <c r="AU263" s="72">
        <v>21574482.395045944</v>
      </c>
      <c r="AV263" s="72">
        <v>0</v>
      </c>
      <c r="AW263" s="73"/>
      <c r="AX263" s="74">
        <v>-2256.8046609089611</v>
      </c>
      <c r="AY263" s="74">
        <v>0</v>
      </c>
      <c r="AZ263" s="73"/>
      <c r="BA263" s="72">
        <v>378348.78641651256</v>
      </c>
      <c r="BB263" s="72">
        <v>0</v>
      </c>
      <c r="BC263" s="73"/>
      <c r="BD263" s="74">
        <v>-333.91061335572084</v>
      </c>
      <c r="BE263" s="74">
        <v>0</v>
      </c>
      <c r="BF263" s="73"/>
      <c r="BG263" s="72">
        <v>1039126.4928410331</v>
      </c>
      <c r="BH263" s="72">
        <v>0</v>
      </c>
      <c r="BI263" s="73"/>
      <c r="BJ263" s="74">
        <v>-909.15744703527798</v>
      </c>
      <c r="BK263" s="74">
        <v>0</v>
      </c>
      <c r="BL263" s="73"/>
      <c r="BM263" s="72">
        <v>25390975.309299175</v>
      </c>
      <c r="BN263" s="72">
        <v>0</v>
      </c>
      <c r="BO263" s="73"/>
      <c r="BP263" s="74">
        <v>-5297.5759712273657</v>
      </c>
      <c r="BQ263" s="74">
        <v>0</v>
      </c>
      <c r="BS263" s="109">
        <f t="shared" si="117"/>
        <v>116193.68093123323</v>
      </c>
      <c r="BT263" s="109">
        <f t="shared" si="118"/>
        <v>116531.45238552925</v>
      </c>
      <c r="BV263" s="58">
        <f t="array" ref="BV263">SUM(IF(BS263:BT263&gt;=BS263, 1))</f>
        <v>2</v>
      </c>
      <c r="BW263" s="58">
        <f t="array" ref="BW263">SUM(IF(BS263:BT263&gt;=BT263, 1))</f>
        <v>1</v>
      </c>
      <c r="BY263" s="109">
        <f t="shared" si="119"/>
        <v>133484.3583165067</v>
      </c>
      <c r="BZ263" s="109">
        <f t="shared" si="120"/>
        <v>133786.02824395738</v>
      </c>
      <c r="CB263" s="58">
        <f t="array" ref="CB263">SUM(IF(BY263:BZ263&gt;=BY263, 1))</f>
        <v>2</v>
      </c>
      <c r="CC263" s="58">
        <f t="array" ref="CC263">SUM(IF(BY263:BZ263&gt;=BZ263, 1))</f>
        <v>1</v>
      </c>
      <c r="CE263" s="109">
        <f t="shared" si="121"/>
        <v>92597.583216332801</v>
      </c>
      <c r="CF263" s="109">
        <f t="shared" si="122"/>
        <v>95396.57176988585</v>
      </c>
      <c r="CH263" s="58">
        <f t="array" ref="CH263">SUM(IF(CE263:CF263&gt;=CE263, 1))</f>
        <v>2</v>
      </c>
      <c r="CI263" s="58">
        <f t="array" ref="CI263">SUM(IF(CE263:CF263&gt;=CF263, 1))</f>
        <v>1</v>
      </c>
      <c r="CK263" s="109">
        <f t="shared" si="123"/>
        <v>39785.632413490152</v>
      </c>
      <c r="CL263" s="109">
        <f t="shared" si="124"/>
        <v>40580.897682689349</v>
      </c>
      <c r="CN263" s="58">
        <f t="array" ref="CN263">SUM(IF(CK263:CL263&gt;=CK263, 1))</f>
        <v>2</v>
      </c>
      <c r="CO263" s="58">
        <f t="array" ref="CO263">SUM(IF(CK263:CL263&gt;=CL263, 1))</f>
        <v>1</v>
      </c>
      <c r="CQ263" s="109" cm="1">
        <f t="array" ref="CQ263">AF263*WTP-AC263</f>
        <v>46091.151019732424</v>
      </c>
      <c r="CR263" s="109">
        <f t="shared" si="125"/>
        <v>47285.397099202848</v>
      </c>
      <c r="CT263" s="58">
        <f t="array" ref="CT263">SUM(IF(CQ263:CR263&gt;=CQ263, 1))</f>
        <v>2</v>
      </c>
      <c r="CU263" s="58">
        <f t="array" ref="CU263">SUM(IF(CQ263:CR263&gt;=CR263, 1))</f>
        <v>1</v>
      </c>
      <c r="CW263" s="109">
        <f t="shared" si="126"/>
        <v>-36340871.773897484</v>
      </c>
      <c r="CX263" s="109">
        <f t="shared" si="127"/>
        <v>0</v>
      </c>
      <c r="CZ263" s="58">
        <f t="array" ref="CZ263">SUM(IF(CW263:CX263&gt;=CW263, 1))</f>
        <v>2</v>
      </c>
      <c r="DA263" s="58">
        <f t="array" ref="DA263">SUM(IF(CW263:CX263&gt;=CX263, 1))</f>
        <v>1</v>
      </c>
      <c r="DC263" s="109">
        <f t="shared" si="128"/>
        <v>-2012210.8596463134</v>
      </c>
      <c r="DD263" s="109">
        <f t="shared" si="129"/>
        <v>0</v>
      </c>
      <c r="DF263" s="58">
        <f t="array" ref="DF263">SUM(IF(DC263:DD263&gt;=DC263, 1))</f>
        <v>2</v>
      </c>
      <c r="DG263" s="58">
        <f t="array" ref="DG263">SUM(IF(DC263:DD263&gt;=DD263, 1))</f>
        <v>1</v>
      </c>
      <c r="DI263" s="109">
        <f t="shared" si="130"/>
        <v>-66710575.613225162</v>
      </c>
      <c r="DJ263" s="109">
        <f t="shared" si="131"/>
        <v>0</v>
      </c>
      <c r="DL263" s="58">
        <f t="array" ref="DL263">SUM(IF(DI263:DJ263&gt;=DI263, 1))</f>
        <v>2</v>
      </c>
      <c r="DM263" s="58">
        <f t="array" ref="DM263">SUM(IF(DI263:DJ263&gt;=DJ263, 1))</f>
        <v>1</v>
      </c>
      <c r="DO263" s="109">
        <f t="shared" si="132"/>
        <v>-7056561.0535309296</v>
      </c>
      <c r="DP263" s="109">
        <f t="shared" si="133"/>
        <v>0</v>
      </c>
      <c r="DR263" s="58">
        <f t="array" ref="DR263">SUM(IF(DO263:DP263&gt;=DO263, 1))</f>
        <v>2</v>
      </c>
      <c r="DS263" s="58">
        <f t="array" ref="DS263">SUM(IF(DO263:DP263&gt;=DP263, 1))</f>
        <v>1</v>
      </c>
      <c r="DU263" s="109">
        <f t="shared" si="134"/>
        <v>-19222275.433546592</v>
      </c>
      <c r="DV263" s="109">
        <f t="shared" si="135"/>
        <v>0</v>
      </c>
      <c r="DX263" s="58">
        <f t="array" ref="DX263">SUM(IF(DU263:DV263&gt;=DU263, 1))</f>
        <v>2</v>
      </c>
      <c r="DY263" s="58">
        <f t="array" ref="DY263">SUM(IF(DU263:DV263&gt;=DV263, 1))</f>
        <v>1</v>
      </c>
      <c r="EA263" s="109">
        <f t="shared" si="136"/>
        <v>-131342494.73384649</v>
      </c>
      <c r="EB263" s="109">
        <f t="shared" si="137"/>
        <v>0</v>
      </c>
      <c r="ED263" s="58">
        <f t="array" ref="ED263">SUM(IF(EA263:EB263&gt;=EA263, 1))</f>
        <v>2</v>
      </c>
      <c r="EE263" s="58">
        <f t="array" ref="EE263">SUM(IF(EA263:EB263&gt;=EB263, 1))</f>
        <v>1</v>
      </c>
    </row>
    <row r="264" spans="4:135" ht="12" customHeight="1" x14ac:dyDescent="0.25">
      <c r="D264" s="11">
        <v>248</v>
      </c>
      <c r="E264" s="72">
        <v>231.40836844856088</v>
      </c>
      <c r="F264" s="72">
        <v>202.91413557755095</v>
      </c>
      <c r="G264" s="73"/>
      <c r="H264" s="74">
        <v>5.9053956272884669</v>
      </c>
      <c r="I264" s="74">
        <v>5.9233005653595878</v>
      </c>
      <c r="J264" s="73"/>
      <c r="K264" s="72">
        <v>247.94545469453661</v>
      </c>
      <c r="L264" s="72">
        <v>218.7592058226985</v>
      </c>
      <c r="M264" s="73"/>
      <c r="N264" s="74">
        <v>6.7013341840867469</v>
      </c>
      <c r="O264" s="74">
        <v>6.7165796473887456</v>
      </c>
      <c r="P264" s="73"/>
      <c r="Q264" s="72">
        <v>2011.5636888330694</v>
      </c>
      <c r="R264" s="72">
        <v>1199.9493937243258</v>
      </c>
      <c r="S264" s="73"/>
      <c r="T264" s="74">
        <v>4.8060402328854286</v>
      </c>
      <c r="U264" s="74">
        <v>4.9094059964428061</v>
      </c>
      <c r="V264" s="73"/>
      <c r="W264" s="72">
        <v>15311.49465302416</v>
      </c>
      <c r="X264" s="72">
        <v>15229.761757569688</v>
      </c>
      <c r="Y264" s="73"/>
      <c r="Z264" s="74">
        <v>3.2254001586862806</v>
      </c>
      <c r="AA264" s="74">
        <v>3.2629776502766088</v>
      </c>
      <c r="AB264" s="73"/>
      <c r="AC264" s="72">
        <v>49496.765240914385</v>
      </c>
      <c r="AD264" s="72">
        <v>49418.222167855798</v>
      </c>
      <c r="AE264" s="73"/>
      <c r="AF264" s="74">
        <v>4.2930322556853264</v>
      </c>
      <c r="AG264" s="74">
        <v>4.3497648450279387</v>
      </c>
      <c r="AH264" s="73"/>
      <c r="AI264" s="72">
        <v>3078438.0289797322</v>
      </c>
      <c r="AJ264" s="72">
        <v>0</v>
      </c>
      <c r="AK264" s="73"/>
      <c r="AL264" s="74">
        <v>-1934.3999367936681</v>
      </c>
      <c r="AM264" s="74">
        <v>0</v>
      </c>
      <c r="AN264" s="73"/>
      <c r="AO264" s="72">
        <v>200207.3891881759</v>
      </c>
      <c r="AP264" s="72">
        <v>0</v>
      </c>
      <c r="AQ264" s="73"/>
      <c r="AR264" s="74">
        <v>-104.57850949124332</v>
      </c>
      <c r="AS264" s="74">
        <v>0</v>
      </c>
      <c r="AT264" s="73"/>
      <c r="AU264" s="72">
        <v>18968197.64065079</v>
      </c>
      <c r="AV264" s="72">
        <v>0</v>
      </c>
      <c r="AW264" s="73"/>
      <c r="AX264" s="74">
        <v>-2415.7561593594369</v>
      </c>
      <c r="AY264" s="74">
        <v>0</v>
      </c>
      <c r="AZ264" s="73"/>
      <c r="BA264" s="72">
        <v>729013.97808872722</v>
      </c>
      <c r="BB264" s="72">
        <v>0</v>
      </c>
      <c r="BC264" s="73"/>
      <c r="BD264" s="74">
        <v>-335.17124871858442</v>
      </c>
      <c r="BE264" s="74">
        <v>0</v>
      </c>
      <c r="BF264" s="73"/>
      <c r="BG264" s="72">
        <v>1271494.9502310965</v>
      </c>
      <c r="BH264" s="72">
        <v>0</v>
      </c>
      <c r="BI264" s="73"/>
      <c r="BJ264" s="74">
        <v>-918.41582018135489</v>
      </c>
      <c r="BK264" s="74">
        <v>0</v>
      </c>
      <c r="BL264" s="73"/>
      <c r="BM264" s="72">
        <v>24247351.987138525</v>
      </c>
      <c r="BN264" s="72">
        <v>0</v>
      </c>
      <c r="BO264" s="73"/>
      <c r="BP264" s="74">
        <v>-5708.3216745442878</v>
      </c>
      <c r="BQ264" s="74">
        <v>0</v>
      </c>
      <c r="BS264" s="109">
        <f t="shared" si="117"/>
        <v>117876.50417732078</v>
      </c>
      <c r="BT264" s="109">
        <f t="shared" si="118"/>
        <v>118263.09717161421</v>
      </c>
      <c r="BV264" s="58">
        <f t="array" ref="BV264">SUM(IF(BS264:BT264&gt;=BS264, 1))</f>
        <v>2</v>
      </c>
      <c r="BW264" s="58">
        <f t="array" ref="BW264">SUM(IF(BS264:BT264&gt;=BT264, 1))</f>
        <v>1</v>
      </c>
      <c r="BY264" s="109">
        <f t="shared" si="119"/>
        <v>133778.73822704039</v>
      </c>
      <c r="BZ264" s="109">
        <f t="shared" si="120"/>
        <v>134112.83374195223</v>
      </c>
      <c r="CB264" s="58">
        <f t="array" ref="CB264">SUM(IF(BY264:BZ264&gt;=BY264, 1))</f>
        <v>2</v>
      </c>
      <c r="CC264" s="58">
        <f t="array" ref="CC264">SUM(IF(BY264:BZ264&gt;=BZ264, 1))</f>
        <v>1</v>
      </c>
      <c r="CE264" s="109">
        <f t="shared" si="121"/>
        <v>94109.240968875514</v>
      </c>
      <c r="CF264" s="109">
        <f t="shared" si="122"/>
        <v>96988.170535131794</v>
      </c>
      <c r="CH264" s="58">
        <f t="array" ref="CH264">SUM(IF(CE264:CF264&gt;=CE264, 1))</f>
        <v>2</v>
      </c>
      <c r="CI264" s="58">
        <f t="array" ref="CI264">SUM(IF(CE264:CF264&gt;=CF264, 1))</f>
        <v>1</v>
      </c>
      <c r="CK264" s="109">
        <f t="shared" si="123"/>
        <v>49196.508520701456</v>
      </c>
      <c r="CL264" s="109">
        <f t="shared" si="124"/>
        <v>50029.791247962487</v>
      </c>
      <c r="CN264" s="58">
        <f t="array" ref="CN264">SUM(IF(CK264:CL264&gt;=CK264, 1))</f>
        <v>2</v>
      </c>
      <c r="CO264" s="58">
        <f t="array" ref="CO264">SUM(IF(CK264:CL264&gt;=CL264, 1))</f>
        <v>1</v>
      </c>
      <c r="CQ264" s="109" cm="1">
        <f t="array" ref="CQ264">AF264*WTP-AC264</f>
        <v>36363.879872792146</v>
      </c>
      <c r="CR264" s="109">
        <f t="shared" si="125"/>
        <v>37577.074732702982</v>
      </c>
      <c r="CT264" s="58">
        <f t="array" ref="CT264">SUM(IF(CQ264:CR264&gt;=CQ264, 1))</f>
        <v>2</v>
      </c>
      <c r="CU264" s="58">
        <f t="array" ref="CU264">SUM(IF(CQ264:CR264&gt;=CR264, 1))</f>
        <v>1</v>
      </c>
      <c r="CW264" s="109">
        <f t="shared" si="126"/>
        <v>-41766436.764853097</v>
      </c>
      <c r="CX264" s="109">
        <f t="shared" si="127"/>
        <v>0</v>
      </c>
      <c r="CZ264" s="58">
        <f t="array" ref="CZ264">SUM(IF(CW264:CX264&gt;=CW264, 1))</f>
        <v>2</v>
      </c>
      <c r="DA264" s="58">
        <f t="array" ref="DA264">SUM(IF(CW264:CX264&gt;=CX264, 1))</f>
        <v>1</v>
      </c>
      <c r="DC264" s="109">
        <f t="shared" si="128"/>
        <v>-2291777.5790130422</v>
      </c>
      <c r="DD264" s="109">
        <f t="shared" si="129"/>
        <v>0</v>
      </c>
      <c r="DF264" s="58">
        <f t="array" ref="DF264">SUM(IF(DC264:DD264&gt;=DC264, 1))</f>
        <v>2</v>
      </c>
      <c r="DG264" s="58">
        <f t="array" ref="DG264">SUM(IF(DC264:DD264&gt;=DD264, 1))</f>
        <v>1</v>
      </c>
      <c r="DI264" s="109">
        <f t="shared" si="130"/>
        <v>-67283320.827839524</v>
      </c>
      <c r="DJ264" s="109">
        <f t="shared" si="131"/>
        <v>0</v>
      </c>
      <c r="DL264" s="58">
        <f t="array" ref="DL264">SUM(IF(DI264:DJ264&gt;=DI264, 1))</f>
        <v>2</v>
      </c>
      <c r="DM264" s="58">
        <f t="array" ref="DM264">SUM(IF(DI264:DJ264&gt;=DJ264, 1))</f>
        <v>1</v>
      </c>
      <c r="DO264" s="109">
        <f t="shared" si="132"/>
        <v>-7432438.9524604157</v>
      </c>
      <c r="DP264" s="109">
        <f t="shared" si="133"/>
        <v>0</v>
      </c>
      <c r="DR264" s="58">
        <f t="array" ref="DR264">SUM(IF(DO264:DP264&gt;=DO264, 1))</f>
        <v>2</v>
      </c>
      <c r="DS264" s="58">
        <f t="array" ref="DS264">SUM(IF(DO264:DP264&gt;=DP264, 1))</f>
        <v>1</v>
      </c>
      <c r="DU264" s="109">
        <f t="shared" si="134"/>
        <v>-19639811.353858195</v>
      </c>
      <c r="DV264" s="109">
        <f t="shared" si="135"/>
        <v>0</v>
      </c>
      <c r="DX264" s="58">
        <f t="array" ref="DX264">SUM(IF(DU264:DV264&gt;=DU264, 1))</f>
        <v>2</v>
      </c>
      <c r="DY264" s="58">
        <f t="array" ref="DY264">SUM(IF(DU264:DV264&gt;=DV264, 1))</f>
        <v>1</v>
      </c>
      <c r="EA264" s="109">
        <f t="shared" si="136"/>
        <v>-138413785.47802427</v>
      </c>
      <c r="EB264" s="109">
        <f t="shared" si="137"/>
        <v>0</v>
      </c>
      <c r="ED264" s="58">
        <f t="array" ref="ED264">SUM(IF(EA264:EB264&gt;=EA264, 1))</f>
        <v>2</v>
      </c>
      <c r="EE264" s="58">
        <f t="array" ref="EE264">SUM(IF(EA264:EB264&gt;=EB264, 1))</f>
        <v>1</v>
      </c>
    </row>
    <row r="265" spans="4:135" ht="12" customHeight="1" x14ac:dyDescent="0.25">
      <c r="D265" s="11">
        <v>249</v>
      </c>
      <c r="E265" s="72">
        <v>291.54540004036579</v>
      </c>
      <c r="F265" s="72">
        <v>289.13712555842204</v>
      </c>
      <c r="G265" s="73"/>
      <c r="H265" s="74">
        <v>5.867995907946125</v>
      </c>
      <c r="I265" s="74">
        <v>5.8826087344485138</v>
      </c>
      <c r="J265" s="73"/>
      <c r="K265" s="72">
        <v>314.42993978858158</v>
      </c>
      <c r="L265" s="72">
        <v>311.90171604100277</v>
      </c>
      <c r="M265" s="73"/>
      <c r="N265" s="74">
        <v>6.6884165988021707</v>
      </c>
      <c r="O265" s="74">
        <v>6.7006914492416731</v>
      </c>
      <c r="P265" s="73"/>
      <c r="Q265" s="72">
        <v>3443.8137212546162</v>
      </c>
      <c r="R265" s="72">
        <v>1664.2215583333302</v>
      </c>
      <c r="S265" s="73"/>
      <c r="T265" s="74">
        <v>4.9261667356433394</v>
      </c>
      <c r="U265" s="74">
        <v>5.0361988006088758</v>
      </c>
      <c r="V265" s="73"/>
      <c r="W265" s="72">
        <v>12365.215169360512</v>
      </c>
      <c r="X265" s="72">
        <v>12416.371711577123</v>
      </c>
      <c r="Y265" s="73"/>
      <c r="Z265" s="74">
        <v>3.0125249934782667</v>
      </c>
      <c r="AA265" s="74">
        <v>3.0752238770874696</v>
      </c>
      <c r="AB265" s="73"/>
      <c r="AC265" s="72">
        <v>47856.313973624194</v>
      </c>
      <c r="AD265" s="72">
        <v>47839.943099823489</v>
      </c>
      <c r="AE265" s="73"/>
      <c r="AF265" s="74">
        <v>4.4087390723175925</v>
      </c>
      <c r="AG265" s="74">
        <v>4.4626362294281448</v>
      </c>
      <c r="AH265" s="73"/>
      <c r="AI265" s="72">
        <v>257482.79198901373</v>
      </c>
      <c r="AJ265" s="72">
        <v>0</v>
      </c>
      <c r="AK265" s="73"/>
      <c r="AL265" s="74">
        <v>-1562.3432440513691</v>
      </c>
      <c r="AM265" s="74">
        <v>0</v>
      </c>
      <c r="AN265" s="73"/>
      <c r="AO265" s="72">
        <v>17720.255630196305</v>
      </c>
      <c r="AP265" s="72">
        <v>0</v>
      </c>
      <c r="AQ265" s="73"/>
      <c r="AR265" s="74">
        <v>-86.03411300867532</v>
      </c>
      <c r="AS265" s="74">
        <v>0</v>
      </c>
      <c r="AT265" s="73"/>
      <c r="AU265" s="72">
        <v>41629193.221540026</v>
      </c>
      <c r="AV265" s="72">
        <v>0</v>
      </c>
      <c r="AW265" s="73"/>
      <c r="AX265" s="74">
        <v>-2573.9302456222181</v>
      </c>
      <c r="AY265" s="74">
        <v>0</v>
      </c>
      <c r="AZ265" s="73"/>
      <c r="BA265" s="72">
        <v>-449029.3630086254</v>
      </c>
      <c r="BB265" s="72">
        <v>0</v>
      </c>
      <c r="BC265" s="73"/>
      <c r="BD265" s="74">
        <v>-550.34289943174383</v>
      </c>
      <c r="BE265" s="74">
        <v>0</v>
      </c>
      <c r="BF265" s="73"/>
      <c r="BG265" s="72">
        <v>268762.95292780106</v>
      </c>
      <c r="BH265" s="72">
        <v>0</v>
      </c>
      <c r="BI265" s="73"/>
      <c r="BJ265" s="74">
        <v>-884.8372588897688</v>
      </c>
      <c r="BK265" s="74">
        <v>0</v>
      </c>
      <c r="BL265" s="73"/>
      <c r="BM265" s="72">
        <v>41724129.859078407</v>
      </c>
      <c r="BN265" s="72">
        <v>0</v>
      </c>
      <c r="BO265" s="73"/>
      <c r="BP265" s="74">
        <v>-5657.4877610037756</v>
      </c>
      <c r="BQ265" s="74">
        <v>0</v>
      </c>
      <c r="BS265" s="109">
        <f t="shared" si="117"/>
        <v>117068.37275888213</v>
      </c>
      <c r="BT265" s="109">
        <f t="shared" si="118"/>
        <v>117363.03756341185</v>
      </c>
      <c r="BV265" s="58">
        <f t="array" ref="BV265">SUM(IF(BS265:BT265&gt;=BS265, 1))</f>
        <v>2</v>
      </c>
      <c r="BW265" s="58">
        <f t="array" ref="BW265">SUM(IF(BS265:BT265&gt;=BT265, 1))</f>
        <v>1</v>
      </c>
      <c r="BY265" s="109">
        <f t="shared" si="119"/>
        <v>133453.90203625482</v>
      </c>
      <c r="BZ265" s="109">
        <f t="shared" si="120"/>
        <v>133701.92726879247</v>
      </c>
      <c r="CB265" s="58">
        <f t="array" ref="CB265">SUM(IF(BY265:BZ265&gt;=BY265, 1))</f>
        <v>2</v>
      </c>
      <c r="CC265" s="58">
        <f t="array" ref="CC265">SUM(IF(BY265:BZ265&gt;=BZ265, 1))</f>
        <v>1</v>
      </c>
      <c r="CE265" s="109">
        <f t="shared" si="121"/>
        <v>95079.520991612168</v>
      </c>
      <c r="CF265" s="109">
        <f t="shared" si="122"/>
        <v>99059.754453844187</v>
      </c>
      <c r="CH265" s="58">
        <f t="array" ref="CH265">SUM(IF(CE265:CF265&gt;=CE265, 1))</f>
        <v>2</v>
      </c>
      <c r="CI265" s="58">
        <f t="array" ref="CI265">SUM(IF(CE265:CF265&gt;=CF265, 1))</f>
        <v>1</v>
      </c>
      <c r="CK265" s="109">
        <f t="shared" si="123"/>
        <v>47885.284700204822</v>
      </c>
      <c r="CL265" s="109">
        <f t="shared" si="124"/>
        <v>49088.105830172273</v>
      </c>
      <c r="CN265" s="58">
        <f t="array" ref="CN265">SUM(IF(CK265:CL265&gt;=CK265, 1))</f>
        <v>2</v>
      </c>
      <c r="CO265" s="58">
        <f t="array" ref="CO265">SUM(IF(CK265:CL265&gt;=CL265, 1))</f>
        <v>1</v>
      </c>
      <c r="CQ265" s="109" cm="1">
        <f t="array" ref="CQ265">AF265*WTP-AC265</f>
        <v>40318.467472727651</v>
      </c>
      <c r="CR265" s="109">
        <f t="shared" si="125"/>
        <v>41412.781488739405</v>
      </c>
      <c r="CT265" s="58">
        <f t="array" ref="CT265">SUM(IF(CQ265:CR265&gt;=CQ265, 1))</f>
        <v>2</v>
      </c>
      <c r="CU265" s="58">
        <f t="array" ref="CU265">SUM(IF(CQ265:CR265&gt;=CR265, 1))</f>
        <v>1</v>
      </c>
      <c r="CW265" s="109">
        <f t="shared" si="126"/>
        <v>-31504347.673016395</v>
      </c>
      <c r="CX265" s="109">
        <f t="shared" si="127"/>
        <v>0</v>
      </c>
      <c r="CZ265" s="58">
        <f t="array" ref="CZ265">SUM(IF(CW265:CX265&gt;=CW265, 1))</f>
        <v>2</v>
      </c>
      <c r="DA265" s="58">
        <f t="array" ref="DA265">SUM(IF(CW265:CX265&gt;=CX265, 1))</f>
        <v>1</v>
      </c>
      <c r="DC265" s="109">
        <f t="shared" si="128"/>
        <v>-1738402.5158037026</v>
      </c>
      <c r="DD265" s="109">
        <f t="shared" si="129"/>
        <v>0</v>
      </c>
      <c r="DF265" s="58">
        <f t="array" ref="DF265">SUM(IF(DC265:DD265&gt;=DC265, 1))</f>
        <v>2</v>
      </c>
      <c r="DG265" s="58">
        <f t="array" ref="DG265">SUM(IF(DC265:DD265&gt;=DD265, 1))</f>
        <v>1</v>
      </c>
      <c r="DI265" s="109">
        <f t="shared" si="130"/>
        <v>-93107798.133984387</v>
      </c>
      <c r="DJ265" s="109">
        <f t="shared" si="131"/>
        <v>0</v>
      </c>
      <c r="DL265" s="58">
        <f t="array" ref="DL265">SUM(IF(DI265:DJ265&gt;=DI265, 1))</f>
        <v>2</v>
      </c>
      <c r="DM265" s="58">
        <f t="array" ref="DM265">SUM(IF(DI265:DJ265&gt;=DJ265, 1))</f>
        <v>1</v>
      </c>
      <c r="DO265" s="109">
        <f t="shared" si="132"/>
        <v>-10557828.625626251</v>
      </c>
      <c r="DP265" s="109">
        <f t="shared" si="133"/>
        <v>0</v>
      </c>
      <c r="DR265" s="58">
        <f t="array" ref="DR265">SUM(IF(DO265:DP265&gt;=DO265, 1))</f>
        <v>2</v>
      </c>
      <c r="DS265" s="58">
        <f t="array" ref="DS265">SUM(IF(DO265:DP265&gt;=DP265, 1))</f>
        <v>1</v>
      </c>
      <c r="DU265" s="109">
        <f t="shared" si="134"/>
        <v>-17965508.130723178</v>
      </c>
      <c r="DV265" s="109">
        <f t="shared" si="135"/>
        <v>0</v>
      </c>
      <c r="DX265" s="58">
        <f t="array" ref="DX265">SUM(IF(DU265:DV265&gt;=DU265, 1))</f>
        <v>2</v>
      </c>
      <c r="DY265" s="58">
        <f t="array" ref="DY265">SUM(IF(DU265:DV265&gt;=DV265, 1))</f>
        <v>1</v>
      </c>
      <c r="EA265" s="109">
        <f t="shared" si="136"/>
        <v>-154873885.07915393</v>
      </c>
      <c r="EB265" s="109">
        <f t="shared" si="137"/>
        <v>0</v>
      </c>
      <c r="ED265" s="58">
        <f t="array" ref="ED265">SUM(IF(EA265:EB265&gt;=EA265, 1))</f>
        <v>2</v>
      </c>
      <c r="EE265" s="58">
        <f t="array" ref="EE265">SUM(IF(EA265:EB265&gt;=EB265, 1))</f>
        <v>1</v>
      </c>
    </row>
    <row r="266" spans="4:135" ht="12" customHeight="1" x14ac:dyDescent="0.25">
      <c r="D266" s="11">
        <v>250</v>
      </c>
      <c r="E266" s="72">
        <v>267.45592294726333</v>
      </c>
      <c r="F266" s="72">
        <v>241.22480120671142</v>
      </c>
      <c r="G266" s="73"/>
      <c r="H266" s="74">
        <v>5.7664421552463283</v>
      </c>
      <c r="I266" s="74">
        <v>5.7822308822798245</v>
      </c>
      <c r="J266" s="73"/>
      <c r="K266" s="72">
        <v>286.87703574153409</v>
      </c>
      <c r="L266" s="72">
        <v>260.01032958937452</v>
      </c>
      <c r="M266" s="73"/>
      <c r="N266" s="74">
        <v>6.715045715605048</v>
      </c>
      <c r="O266" s="74">
        <v>6.7288146100728685</v>
      </c>
      <c r="P266" s="73"/>
      <c r="Q266" s="72">
        <v>3398.1110679098156</v>
      </c>
      <c r="R266" s="72">
        <v>1767.7539214549265</v>
      </c>
      <c r="S266" s="73"/>
      <c r="T266" s="74">
        <v>4.9073026675232478</v>
      </c>
      <c r="U266" s="74">
        <v>5.022294375750838</v>
      </c>
      <c r="V266" s="73"/>
      <c r="W266" s="72">
        <v>12579.24249579191</v>
      </c>
      <c r="X266" s="72">
        <v>12607.023981679469</v>
      </c>
      <c r="Y266" s="73"/>
      <c r="Z266" s="74">
        <v>3.0429366215413443</v>
      </c>
      <c r="AA266" s="74">
        <v>3.0877193793381421</v>
      </c>
      <c r="AB266" s="73"/>
      <c r="AC266" s="72">
        <v>51059.421756534015</v>
      </c>
      <c r="AD266" s="72">
        <v>50704.181656983463</v>
      </c>
      <c r="AE266" s="73"/>
      <c r="AF266" s="74">
        <v>4.0395778540883533</v>
      </c>
      <c r="AG266" s="74">
        <v>4.1762889362094961</v>
      </c>
      <c r="AH266" s="73"/>
      <c r="AI266" s="72">
        <v>2856778.6767300679</v>
      </c>
      <c r="AJ266" s="72">
        <v>0</v>
      </c>
      <c r="AK266" s="73"/>
      <c r="AL266" s="74">
        <v>-1719.5184852607272</v>
      </c>
      <c r="AM266" s="74">
        <v>0</v>
      </c>
      <c r="AN266" s="73"/>
      <c r="AO266" s="72">
        <v>185106.42806361587</v>
      </c>
      <c r="AP266" s="72">
        <v>0</v>
      </c>
      <c r="AQ266" s="73"/>
      <c r="AR266" s="74">
        <v>-94.865029560695248</v>
      </c>
      <c r="AS266" s="74">
        <v>0</v>
      </c>
      <c r="AT266" s="73"/>
      <c r="AU266" s="72">
        <v>38118852.403121546</v>
      </c>
      <c r="AV266" s="72">
        <v>0</v>
      </c>
      <c r="AW266" s="73"/>
      <c r="AX266" s="74">
        <v>-2688.5838866911195</v>
      </c>
      <c r="AY266" s="74">
        <v>0</v>
      </c>
      <c r="AZ266" s="73"/>
      <c r="BA266" s="72">
        <v>-241787.05081879534</v>
      </c>
      <c r="BB266" s="72">
        <v>0</v>
      </c>
      <c r="BC266" s="73"/>
      <c r="BD266" s="74">
        <v>-389.75204490660673</v>
      </c>
      <c r="BE266" s="74">
        <v>0</v>
      </c>
      <c r="BF266" s="73"/>
      <c r="BG266" s="72">
        <v>5847818.3457637876</v>
      </c>
      <c r="BH266" s="72">
        <v>0</v>
      </c>
      <c r="BI266" s="73"/>
      <c r="BJ266" s="74">
        <v>-2250.4823501308351</v>
      </c>
      <c r="BK266" s="74">
        <v>0</v>
      </c>
      <c r="BL266" s="73"/>
      <c r="BM266" s="72">
        <v>46766768.802860223</v>
      </c>
      <c r="BN266" s="72">
        <v>0</v>
      </c>
      <c r="BO266" s="73"/>
      <c r="BP266" s="74">
        <v>-7143.2017965499836</v>
      </c>
      <c r="BQ266" s="74">
        <v>0</v>
      </c>
      <c r="BS266" s="109">
        <f t="shared" si="117"/>
        <v>115061.3871819793</v>
      </c>
      <c r="BT266" s="109">
        <f t="shared" si="118"/>
        <v>115403.39284438977</v>
      </c>
      <c r="BV266" s="58">
        <f t="array" ref="BV266">SUM(IF(BS266:BT266&gt;=BS266, 1))</f>
        <v>2</v>
      </c>
      <c r="BW266" s="58">
        <f t="array" ref="BW266">SUM(IF(BS266:BT266&gt;=BT266, 1))</f>
        <v>1</v>
      </c>
      <c r="BY266" s="109">
        <f t="shared" si="119"/>
        <v>134014.03727635945</v>
      </c>
      <c r="BZ266" s="109">
        <f t="shared" si="120"/>
        <v>134316.28187186801</v>
      </c>
      <c r="CB266" s="58">
        <f t="array" ref="CB266">SUM(IF(BY266:BZ266&gt;=BY266, 1))</f>
        <v>2</v>
      </c>
      <c r="CC266" s="58">
        <f t="array" ref="CC266">SUM(IF(BY266:BZ266&gt;=BZ266, 1))</f>
        <v>1</v>
      </c>
      <c r="CE266" s="109">
        <f t="shared" si="121"/>
        <v>94747.94228255513</v>
      </c>
      <c r="CF266" s="109">
        <f t="shared" si="122"/>
        <v>98678.133593561826</v>
      </c>
      <c r="CH266" s="58">
        <f t="array" ref="CH266">SUM(IF(CE266:CF266&gt;=CE266, 1))</f>
        <v>2</v>
      </c>
      <c r="CI266" s="58">
        <f t="array" ref="CI266">SUM(IF(CE266:CF266&gt;=CF266, 1))</f>
        <v>1</v>
      </c>
      <c r="CK266" s="109">
        <f t="shared" si="123"/>
        <v>48279.489935034973</v>
      </c>
      <c r="CL266" s="109">
        <f t="shared" si="124"/>
        <v>49147.363605083374</v>
      </c>
      <c r="CN266" s="58">
        <f t="array" ref="CN266">SUM(IF(CK266:CL266&gt;=CK266, 1))</f>
        <v>2</v>
      </c>
      <c r="CO266" s="58">
        <f t="array" ref="CO266">SUM(IF(CK266:CL266&gt;=CL266, 1))</f>
        <v>1</v>
      </c>
      <c r="CQ266" s="109" cm="1">
        <f t="array" ref="CQ266">AF266*WTP-AC266</f>
        <v>29732.135325233052</v>
      </c>
      <c r="CR266" s="109">
        <f t="shared" si="125"/>
        <v>32821.597067206458</v>
      </c>
      <c r="CT266" s="58">
        <f t="array" ref="CT266">SUM(IF(CQ266:CR266&gt;=CQ266, 1))</f>
        <v>2</v>
      </c>
      <c r="CU266" s="58">
        <f t="array" ref="CU266">SUM(IF(CQ266:CR266&gt;=CR266, 1))</f>
        <v>1</v>
      </c>
      <c r="CW266" s="109">
        <f t="shared" si="126"/>
        <v>-37247148.381944612</v>
      </c>
      <c r="CX266" s="109">
        <f t="shared" si="127"/>
        <v>0</v>
      </c>
      <c r="CZ266" s="58">
        <f t="array" ref="CZ266">SUM(IF(CW266:CX266&gt;=CW266, 1))</f>
        <v>2</v>
      </c>
      <c r="DA266" s="58">
        <f t="array" ref="DA266">SUM(IF(CW266:CX266&gt;=CX266, 1))</f>
        <v>1</v>
      </c>
      <c r="DC266" s="109">
        <f t="shared" si="128"/>
        <v>-2082407.0192775209</v>
      </c>
      <c r="DD266" s="109">
        <f t="shared" si="129"/>
        <v>0</v>
      </c>
      <c r="DF266" s="58">
        <f t="array" ref="DF266">SUM(IF(DC266:DD266&gt;=DC266, 1))</f>
        <v>2</v>
      </c>
      <c r="DG266" s="58">
        <f t="array" ref="DG266">SUM(IF(DC266:DD266&gt;=DD266, 1))</f>
        <v>1</v>
      </c>
      <c r="DI266" s="109">
        <f t="shared" si="130"/>
        <v>-91890530.136943936</v>
      </c>
      <c r="DJ266" s="109">
        <f t="shared" si="131"/>
        <v>0</v>
      </c>
      <c r="DL266" s="58">
        <f t="array" ref="DL266">SUM(IF(DI266:DJ266&gt;=DI266, 1))</f>
        <v>2</v>
      </c>
      <c r="DM266" s="58">
        <f t="array" ref="DM266">SUM(IF(DI266:DJ266&gt;=DJ266, 1))</f>
        <v>1</v>
      </c>
      <c r="DO266" s="109">
        <f t="shared" si="132"/>
        <v>-7553253.8473133389</v>
      </c>
      <c r="DP266" s="109">
        <f t="shared" si="133"/>
        <v>0</v>
      </c>
      <c r="DR266" s="58">
        <f t="array" ref="DR266">SUM(IF(DO266:DP266&gt;=DO266, 1))</f>
        <v>2</v>
      </c>
      <c r="DS266" s="58">
        <f t="array" ref="DS266">SUM(IF(DO266:DP266&gt;=DP266, 1))</f>
        <v>1</v>
      </c>
      <c r="DU266" s="109">
        <f t="shared" si="134"/>
        <v>-50857465.348380491</v>
      </c>
      <c r="DV266" s="109">
        <f t="shared" si="135"/>
        <v>0</v>
      </c>
      <c r="DX266" s="58">
        <f t="array" ref="DX266">SUM(IF(DU266:DV266&gt;=DU266, 1))</f>
        <v>2</v>
      </c>
      <c r="DY266" s="58">
        <f t="array" ref="DY266">SUM(IF(DU266:DV266&gt;=DV266, 1))</f>
        <v>1</v>
      </c>
      <c r="EA266" s="109">
        <f t="shared" si="136"/>
        <v>-189630804.7338599</v>
      </c>
      <c r="EB266" s="109">
        <f t="shared" si="137"/>
        <v>0</v>
      </c>
      <c r="ED266" s="58">
        <f t="array" ref="ED266">SUM(IF(EA266:EB266&gt;=EA266, 1))</f>
        <v>2</v>
      </c>
      <c r="EE266" s="58">
        <f t="array" ref="EE266">SUM(IF(EA266:EB266&gt;=EB266, 1))</f>
        <v>1</v>
      </c>
    </row>
    <row r="267" spans="4:135" ht="12" customHeight="1" x14ac:dyDescent="0.25">
      <c r="D267" s="11">
        <v>251</v>
      </c>
      <c r="E267" s="72">
        <v>300.00727709837628</v>
      </c>
      <c r="F267" s="72">
        <v>286.06458791852276</v>
      </c>
      <c r="G267" s="73"/>
      <c r="H267" s="74">
        <v>5.8053935295988479</v>
      </c>
      <c r="I267" s="74">
        <v>5.8221112189367927</v>
      </c>
      <c r="J267" s="73"/>
      <c r="K267" s="72">
        <v>322.85959847202486</v>
      </c>
      <c r="L267" s="72">
        <v>308.52859360882775</v>
      </c>
      <c r="M267" s="73"/>
      <c r="N267" s="74">
        <v>6.6690002588268698</v>
      </c>
      <c r="O267" s="74">
        <v>6.6833887079632177</v>
      </c>
      <c r="P267" s="73"/>
      <c r="Q267" s="72">
        <v>2627.56822744386</v>
      </c>
      <c r="R267" s="72">
        <v>1737.9044841826153</v>
      </c>
      <c r="S267" s="73"/>
      <c r="T267" s="74">
        <v>4.8797486053425416</v>
      </c>
      <c r="U267" s="74">
        <v>4.9544780069490182</v>
      </c>
      <c r="V267" s="73"/>
      <c r="W267" s="72">
        <v>14657.675506434527</v>
      </c>
      <c r="X267" s="72">
        <v>14666.507232237749</v>
      </c>
      <c r="Y267" s="73"/>
      <c r="Z267" s="74">
        <v>2.8801673603884308</v>
      </c>
      <c r="AA267" s="74">
        <v>2.9259021231343492</v>
      </c>
      <c r="AB267" s="73"/>
      <c r="AC267" s="72">
        <v>52228.151970163315</v>
      </c>
      <c r="AD267" s="72">
        <v>51539.635178616729</v>
      </c>
      <c r="AE267" s="73"/>
      <c r="AF267" s="74">
        <v>4.3141074223372886</v>
      </c>
      <c r="AG267" s="74">
        <v>4.4436579587371119</v>
      </c>
      <c r="AH267" s="73"/>
      <c r="AI267" s="72">
        <v>1482267.2434294918</v>
      </c>
      <c r="AJ267" s="72">
        <v>0</v>
      </c>
      <c r="AK267" s="73"/>
      <c r="AL267" s="74">
        <v>-1777.2814822030205</v>
      </c>
      <c r="AM267" s="74">
        <v>0</v>
      </c>
      <c r="AN267" s="73"/>
      <c r="AO267" s="72">
        <v>94152.267615659031</v>
      </c>
      <c r="AP267" s="72">
        <v>0</v>
      </c>
      <c r="AQ267" s="73"/>
      <c r="AR267" s="74">
        <v>-94.529666732491052</v>
      </c>
      <c r="AS267" s="74">
        <v>0</v>
      </c>
      <c r="AT267" s="73"/>
      <c r="AU267" s="72">
        <v>20181600.12058096</v>
      </c>
      <c r="AV267" s="72">
        <v>0</v>
      </c>
      <c r="AW267" s="73"/>
      <c r="AX267" s="74">
        <v>-1695.2010373534445</v>
      </c>
      <c r="AY267" s="74">
        <v>0</v>
      </c>
      <c r="AZ267" s="73"/>
      <c r="BA267" s="72">
        <v>-79860.282407951338</v>
      </c>
      <c r="BB267" s="72">
        <v>0</v>
      </c>
      <c r="BC267" s="73"/>
      <c r="BD267" s="74">
        <v>-413.55349454091908</v>
      </c>
      <c r="BE267" s="74">
        <v>0</v>
      </c>
      <c r="BF267" s="73"/>
      <c r="BG267" s="72">
        <v>10755058.409139408</v>
      </c>
      <c r="BH267" s="72">
        <v>0</v>
      </c>
      <c r="BI267" s="73"/>
      <c r="BJ267" s="74">
        <v>-2023.6595577947724</v>
      </c>
      <c r="BK267" s="74">
        <v>0</v>
      </c>
      <c r="BL267" s="73"/>
      <c r="BM267" s="72">
        <v>32433217.75835757</v>
      </c>
      <c r="BN267" s="72">
        <v>0</v>
      </c>
      <c r="BO267" s="73"/>
      <c r="BP267" s="74">
        <v>-6004.2252386246473</v>
      </c>
      <c r="BQ267" s="74">
        <v>0</v>
      </c>
      <c r="BS267" s="109">
        <f t="shared" si="117"/>
        <v>115807.86331487857</v>
      </c>
      <c r="BT267" s="109">
        <f t="shared" si="118"/>
        <v>116156.15979081734</v>
      </c>
      <c r="BV267" s="58">
        <f t="array" ref="BV267">SUM(IF(BS267:BT267&gt;=BS267, 1))</f>
        <v>2</v>
      </c>
      <c r="BW267" s="58">
        <f t="array" ref="BW267">SUM(IF(BS267:BT267&gt;=BT267, 1))</f>
        <v>1</v>
      </c>
      <c r="BY267" s="109">
        <f t="shared" si="119"/>
        <v>133057.14557806539</v>
      </c>
      <c r="BZ267" s="109">
        <f t="shared" si="120"/>
        <v>133359.24556565552</v>
      </c>
      <c r="CB267" s="58">
        <f t="array" ref="CB267">SUM(IF(BY267:BZ267&gt;=BY267, 1))</f>
        <v>2</v>
      </c>
      <c r="CC267" s="58">
        <f t="array" ref="CC267">SUM(IF(BY267:BZ267&gt;=BZ267, 1))</f>
        <v>1</v>
      </c>
      <c r="CE267" s="109">
        <f t="shared" si="121"/>
        <v>94967.403879406978</v>
      </c>
      <c r="CF267" s="109">
        <f t="shared" si="122"/>
        <v>97351.655654797753</v>
      </c>
      <c r="CH267" s="58">
        <f t="array" ref="CH267">SUM(IF(CE267:CF267&gt;=CE267, 1))</f>
        <v>2</v>
      </c>
      <c r="CI267" s="58">
        <f t="array" ref="CI267">SUM(IF(CE267:CF267&gt;=CF267, 1))</f>
        <v>1</v>
      </c>
      <c r="CK267" s="109">
        <f t="shared" si="123"/>
        <v>42945.671701334089</v>
      </c>
      <c r="CL267" s="109">
        <f t="shared" si="124"/>
        <v>43851.535230449241</v>
      </c>
      <c r="CN267" s="58">
        <f t="array" ref="CN267">SUM(IF(CK267:CL267&gt;=CK267, 1))</f>
        <v>2</v>
      </c>
      <c r="CO267" s="58">
        <f t="array" ref="CO267">SUM(IF(CK267:CL267&gt;=CL267, 1))</f>
        <v>1</v>
      </c>
      <c r="CQ267" s="109" cm="1">
        <f t="array" ref="CQ267">AF267*WTP-AC267</f>
        <v>34053.996476582462</v>
      </c>
      <c r="CR267" s="109">
        <f t="shared" si="125"/>
        <v>37333.523996125507</v>
      </c>
      <c r="CT267" s="58">
        <f t="array" ref="CT267">SUM(IF(CQ267:CR267&gt;=CQ267, 1))</f>
        <v>2</v>
      </c>
      <c r="CU267" s="58">
        <f t="array" ref="CU267">SUM(IF(CQ267:CR267&gt;=CR267, 1))</f>
        <v>1</v>
      </c>
      <c r="CW267" s="109">
        <f t="shared" si="126"/>
        <v>-37027896.8874899</v>
      </c>
      <c r="CX267" s="109">
        <f t="shared" si="127"/>
        <v>0</v>
      </c>
      <c r="CZ267" s="58">
        <f t="array" ref="CZ267">SUM(IF(CW267:CX267&gt;=CW267, 1))</f>
        <v>2</v>
      </c>
      <c r="DA267" s="58">
        <f t="array" ref="DA267">SUM(IF(CW267:CX267&gt;=CX267, 1))</f>
        <v>1</v>
      </c>
      <c r="DC267" s="109">
        <f t="shared" si="128"/>
        <v>-1984745.60226548</v>
      </c>
      <c r="DD267" s="109">
        <f t="shared" si="129"/>
        <v>0</v>
      </c>
      <c r="DF267" s="58">
        <f t="array" ref="DF267">SUM(IF(DC267:DD267&gt;=DC267, 1))</f>
        <v>2</v>
      </c>
      <c r="DG267" s="58">
        <f t="array" ref="DG267">SUM(IF(DC267:DD267&gt;=DD267, 1))</f>
        <v>1</v>
      </c>
      <c r="DI267" s="109">
        <f t="shared" si="130"/>
        <v>-54085620.867649853</v>
      </c>
      <c r="DJ267" s="109">
        <f t="shared" si="131"/>
        <v>0</v>
      </c>
      <c r="DL267" s="58">
        <f t="array" ref="DL267">SUM(IF(DI267:DJ267&gt;=DI267, 1))</f>
        <v>2</v>
      </c>
      <c r="DM267" s="58">
        <f t="array" ref="DM267">SUM(IF(DI267:DJ267&gt;=DJ267, 1))</f>
        <v>1</v>
      </c>
      <c r="DO267" s="109">
        <f t="shared" si="132"/>
        <v>-8191209.6084104301</v>
      </c>
      <c r="DP267" s="109">
        <f t="shared" si="133"/>
        <v>0</v>
      </c>
      <c r="DR267" s="58">
        <f t="array" ref="DR267">SUM(IF(DO267:DP267&gt;=DO267, 1))</f>
        <v>2</v>
      </c>
      <c r="DS267" s="58">
        <f t="array" ref="DS267">SUM(IF(DO267:DP267&gt;=DP267, 1))</f>
        <v>1</v>
      </c>
      <c r="DU267" s="109">
        <f t="shared" si="134"/>
        <v>-51228249.565034859</v>
      </c>
      <c r="DV267" s="109">
        <f t="shared" si="135"/>
        <v>0</v>
      </c>
      <c r="DX267" s="58">
        <f t="array" ref="DX267">SUM(IF(DU267:DV267&gt;=DU267, 1))</f>
        <v>2</v>
      </c>
      <c r="DY267" s="58">
        <f t="array" ref="DY267">SUM(IF(DU267:DV267&gt;=DV267, 1))</f>
        <v>1</v>
      </c>
      <c r="EA267" s="109">
        <f t="shared" si="136"/>
        <v>-152517722.53085053</v>
      </c>
      <c r="EB267" s="109">
        <f t="shared" si="137"/>
        <v>0</v>
      </c>
      <c r="ED267" s="58">
        <f t="array" ref="ED267">SUM(IF(EA267:EB267&gt;=EA267, 1))</f>
        <v>2</v>
      </c>
      <c r="EE267" s="58">
        <f t="array" ref="EE267">SUM(IF(EA267:EB267&gt;=EB267, 1))</f>
        <v>1</v>
      </c>
    </row>
    <row r="268" spans="4:135" ht="12" customHeight="1" x14ac:dyDescent="0.25">
      <c r="D268" s="11">
        <v>252</v>
      </c>
      <c r="E268" s="72">
        <v>291.13439980271778</v>
      </c>
      <c r="F268" s="72">
        <v>260.12566195055877</v>
      </c>
      <c r="G268" s="73"/>
      <c r="H268" s="74">
        <v>5.8683247209062888</v>
      </c>
      <c r="I268" s="74">
        <v>5.8829074939676165</v>
      </c>
      <c r="J268" s="73"/>
      <c r="K268" s="72">
        <v>312.17734495283031</v>
      </c>
      <c r="L268" s="72">
        <v>280.41633661700178</v>
      </c>
      <c r="M268" s="73"/>
      <c r="N268" s="74">
        <v>6.7310787809169943</v>
      </c>
      <c r="O268" s="74">
        <v>6.7439351600010511</v>
      </c>
      <c r="P268" s="73"/>
      <c r="Q268" s="72">
        <v>2033.9773158588362</v>
      </c>
      <c r="R268" s="72">
        <v>1416.6296001997212</v>
      </c>
      <c r="S268" s="73"/>
      <c r="T268" s="74">
        <v>4.9255636819742659</v>
      </c>
      <c r="U268" s="74">
        <v>4.9862853080514977</v>
      </c>
      <c r="V268" s="73"/>
      <c r="W268" s="72">
        <v>11572.627227183728</v>
      </c>
      <c r="X268" s="72">
        <v>11546.167337191953</v>
      </c>
      <c r="Y268" s="73"/>
      <c r="Z268" s="74">
        <v>3.1322904674401473</v>
      </c>
      <c r="AA268" s="74">
        <v>3.1790042099595559</v>
      </c>
      <c r="AB268" s="73"/>
      <c r="AC268" s="72">
        <v>49704.878659334892</v>
      </c>
      <c r="AD268" s="72">
        <v>49621.211791030713</v>
      </c>
      <c r="AE268" s="73"/>
      <c r="AF268" s="74">
        <v>4.789615991981413</v>
      </c>
      <c r="AG268" s="74">
        <v>4.8780814828879429</v>
      </c>
      <c r="AH268" s="73"/>
      <c r="AI268" s="72">
        <v>3295650.0665916465</v>
      </c>
      <c r="AJ268" s="72">
        <v>0</v>
      </c>
      <c r="AK268" s="73"/>
      <c r="AL268" s="74">
        <v>-1549.8765941326226</v>
      </c>
      <c r="AM268" s="74">
        <v>0</v>
      </c>
      <c r="AN268" s="73"/>
      <c r="AO268" s="72">
        <v>217554.01087530455</v>
      </c>
      <c r="AP268" s="72">
        <v>0</v>
      </c>
      <c r="AQ268" s="73"/>
      <c r="AR268" s="74">
        <v>-88.062595667492559</v>
      </c>
      <c r="AS268" s="74">
        <v>0</v>
      </c>
      <c r="AT268" s="73"/>
      <c r="AU268" s="72">
        <v>14410215.336825199</v>
      </c>
      <c r="AV268" s="72">
        <v>0</v>
      </c>
      <c r="AW268" s="73"/>
      <c r="AX268" s="74">
        <v>-1417.3725522591105</v>
      </c>
      <c r="AY268" s="74">
        <v>0</v>
      </c>
      <c r="AZ268" s="73"/>
      <c r="BA268" s="72">
        <v>239885.11755813798</v>
      </c>
      <c r="BB268" s="72">
        <v>0</v>
      </c>
      <c r="BC268" s="73"/>
      <c r="BD268" s="74">
        <v>-423.5063569550905</v>
      </c>
      <c r="BE268" s="74">
        <v>0</v>
      </c>
      <c r="BF268" s="73"/>
      <c r="BG268" s="72">
        <v>1298071.2723559302</v>
      </c>
      <c r="BH268" s="72">
        <v>0</v>
      </c>
      <c r="BI268" s="73"/>
      <c r="BJ268" s="74">
        <v>-1372.5207440911895</v>
      </c>
      <c r="BK268" s="74">
        <v>0</v>
      </c>
      <c r="BL268" s="73"/>
      <c r="BM268" s="72">
        <v>19461375.804206215</v>
      </c>
      <c r="BN268" s="72">
        <v>0</v>
      </c>
      <c r="BO268" s="73"/>
      <c r="BP268" s="74">
        <v>-4851.3388431055064</v>
      </c>
      <c r="BQ268" s="74">
        <v>0</v>
      </c>
      <c r="BS268" s="109">
        <f t="shared" si="117"/>
        <v>117075.36001832306</v>
      </c>
      <c r="BT268" s="109">
        <f t="shared" si="118"/>
        <v>117398.02421740178</v>
      </c>
      <c r="BV268" s="58">
        <f t="array" ref="BV268">SUM(IF(BS268:BT268&gt;=BS268, 1))</f>
        <v>2</v>
      </c>
      <c r="BW268" s="58">
        <f t="array" ref="BW268">SUM(IF(BS268:BT268&gt;=BT268, 1))</f>
        <v>1</v>
      </c>
      <c r="BY268" s="109">
        <f t="shared" si="119"/>
        <v>134309.39827338705</v>
      </c>
      <c r="BZ268" s="109">
        <f t="shared" si="120"/>
        <v>134598.28686340404</v>
      </c>
      <c r="CB268" s="58">
        <f t="array" ref="CB268">SUM(IF(BY268:BZ268&gt;=BY268, 1))</f>
        <v>2</v>
      </c>
      <c r="CC268" s="58">
        <f t="array" ref="CC268">SUM(IF(BY268:BZ268&gt;=BZ268, 1))</f>
        <v>1</v>
      </c>
      <c r="CE268" s="109">
        <f t="shared" si="121"/>
        <v>96477.296323626477</v>
      </c>
      <c r="CF268" s="109">
        <f t="shared" si="122"/>
        <v>98309.076560830232</v>
      </c>
      <c r="CH268" s="58">
        <f t="array" ref="CH268">SUM(IF(CE268:CF268&gt;=CE268, 1))</f>
        <v>2</v>
      </c>
      <c r="CI268" s="58">
        <f t="array" ref="CI268">SUM(IF(CE268:CF268&gt;=CF268, 1))</f>
        <v>1</v>
      </c>
      <c r="CK268" s="109">
        <f t="shared" si="123"/>
        <v>51073.182121619218</v>
      </c>
      <c r="CL268" s="109">
        <f t="shared" si="124"/>
        <v>52033.916861999161</v>
      </c>
      <c r="CN268" s="58">
        <f t="array" ref="CN268">SUM(IF(CK268:CL268&gt;=CK268, 1))</f>
        <v>2</v>
      </c>
      <c r="CO268" s="58">
        <f t="array" ref="CO268">SUM(IF(CK268:CL268&gt;=CL268, 1))</f>
        <v>1</v>
      </c>
      <c r="CQ268" s="109" cm="1">
        <f t="array" ref="CQ268">AF268*WTP-AC268</f>
        <v>46087.441180293361</v>
      </c>
      <c r="CR268" s="109">
        <f t="shared" si="125"/>
        <v>47940.417866728138</v>
      </c>
      <c r="CT268" s="58">
        <f t="array" ref="CT268">SUM(IF(CQ268:CR268&gt;=CQ268, 1))</f>
        <v>2</v>
      </c>
      <c r="CU268" s="58">
        <f t="array" ref="CU268">SUM(IF(CQ268:CR268&gt;=CR268, 1))</f>
        <v>1</v>
      </c>
      <c r="CW268" s="109">
        <f t="shared" si="126"/>
        <v>-34293181.949244097</v>
      </c>
      <c r="CX268" s="109">
        <f t="shared" si="127"/>
        <v>0</v>
      </c>
      <c r="CZ268" s="58">
        <f t="array" ref="CZ268">SUM(IF(CW268:CX268&gt;=CW268, 1))</f>
        <v>2</v>
      </c>
      <c r="DA268" s="58">
        <f t="array" ref="DA268">SUM(IF(CW268:CX268&gt;=CX268, 1))</f>
        <v>1</v>
      </c>
      <c r="DC268" s="109">
        <f t="shared" si="128"/>
        <v>-1978805.9242251557</v>
      </c>
      <c r="DD268" s="109">
        <f t="shared" si="129"/>
        <v>0</v>
      </c>
      <c r="DF268" s="58">
        <f t="array" ref="DF268">SUM(IF(DC268:DD268&gt;=DC268, 1))</f>
        <v>2</v>
      </c>
      <c r="DG268" s="58">
        <f t="array" ref="DG268">SUM(IF(DC268:DD268&gt;=DD268, 1))</f>
        <v>1</v>
      </c>
      <c r="DI268" s="109">
        <f t="shared" si="130"/>
        <v>-42757666.382007405</v>
      </c>
      <c r="DJ268" s="109">
        <f t="shared" si="131"/>
        <v>0</v>
      </c>
      <c r="DL268" s="58">
        <f t="array" ref="DL268">SUM(IF(DI268:DJ268&gt;=DI268, 1))</f>
        <v>2</v>
      </c>
      <c r="DM268" s="58">
        <f t="array" ref="DM268">SUM(IF(DI268:DJ268&gt;=DJ268, 1))</f>
        <v>1</v>
      </c>
      <c r="DO268" s="109">
        <f t="shared" si="132"/>
        <v>-8710012.2566599492</v>
      </c>
      <c r="DP268" s="109">
        <f t="shared" si="133"/>
        <v>0</v>
      </c>
      <c r="DR268" s="58">
        <f t="array" ref="DR268">SUM(IF(DO268:DP268&gt;=DO268, 1))</f>
        <v>2</v>
      </c>
      <c r="DS268" s="58">
        <f t="array" ref="DS268">SUM(IF(DO268:DP268&gt;=DP268, 1))</f>
        <v>1</v>
      </c>
      <c r="DU268" s="109">
        <f t="shared" si="134"/>
        <v>-28748486.154179718</v>
      </c>
      <c r="DV268" s="109">
        <f t="shared" si="135"/>
        <v>0</v>
      </c>
      <c r="DX268" s="58">
        <f t="array" ref="DX268">SUM(IF(DU268:DV268&gt;=DU268, 1))</f>
        <v>2</v>
      </c>
      <c r="DY268" s="58">
        <f t="array" ref="DY268">SUM(IF(DU268:DV268&gt;=DV268, 1))</f>
        <v>1</v>
      </c>
      <c r="EA268" s="109">
        <f t="shared" si="136"/>
        <v>-116488152.66631633</v>
      </c>
      <c r="EB268" s="109">
        <f t="shared" si="137"/>
        <v>0</v>
      </c>
      <c r="ED268" s="58">
        <f t="array" ref="ED268">SUM(IF(EA268:EB268&gt;=EA268, 1))</f>
        <v>2</v>
      </c>
      <c r="EE268" s="58">
        <f t="array" ref="EE268">SUM(IF(EA268:EB268&gt;=EB268, 1))</f>
        <v>1</v>
      </c>
    </row>
    <row r="269" spans="4:135" ht="12" customHeight="1" x14ac:dyDescent="0.25">
      <c r="D269" s="11">
        <v>253</v>
      </c>
      <c r="E269" s="72">
        <v>245.280622892498</v>
      </c>
      <c r="F269" s="72">
        <v>224.78900257242361</v>
      </c>
      <c r="G269" s="73"/>
      <c r="H269" s="74">
        <v>5.771022027307839</v>
      </c>
      <c r="I269" s="74">
        <v>5.7893021226245827</v>
      </c>
      <c r="J269" s="73"/>
      <c r="K269" s="72">
        <v>263.37007010567419</v>
      </c>
      <c r="L269" s="72">
        <v>242.39824768393086</v>
      </c>
      <c r="M269" s="73"/>
      <c r="N269" s="74">
        <v>6.7238710189229476</v>
      </c>
      <c r="O269" s="74">
        <v>6.7406350757277789</v>
      </c>
      <c r="P269" s="73"/>
      <c r="Q269" s="72">
        <v>2300.7044693417224</v>
      </c>
      <c r="R269" s="72">
        <v>1334.0479162405511</v>
      </c>
      <c r="S269" s="73"/>
      <c r="T269" s="74">
        <v>4.6270112165097554</v>
      </c>
      <c r="U269" s="74">
        <v>4.7100466077697707</v>
      </c>
      <c r="V269" s="73"/>
      <c r="W269" s="72">
        <v>9524.6045254257078</v>
      </c>
      <c r="X269" s="72">
        <v>9491.5176664634328</v>
      </c>
      <c r="Y269" s="73"/>
      <c r="Z269" s="74">
        <v>2.9922118923426484</v>
      </c>
      <c r="AA269" s="74">
        <v>3.0482909553172872</v>
      </c>
      <c r="AB269" s="73"/>
      <c r="AC269" s="72">
        <v>50036.598979734656</v>
      </c>
      <c r="AD269" s="72">
        <v>49768.432176236405</v>
      </c>
      <c r="AE269" s="73"/>
      <c r="AF269" s="74">
        <v>4.2768442488029343</v>
      </c>
      <c r="AG269" s="74">
        <v>4.3933152121208412</v>
      </c>
      <c r="AH269" s="73"/>
      <c r="AI269" s="72">
        <v>2202382.1491051498</v>
      </c>
      <c r="AJ269" s="72">
        <v>0</v>
      </c>
      <c r="AK269" s="73"/>
      <c r="AL269" s="74">
        <v>-1964.6936152773098</v>
      </c>
      <c r="AM269" s="74">
        <v>0</v>
      </c>
      <c r="AN269" s="73"/>
      <c r="AO269" s="72">
        <v>149291.20346471827</v>
      </c>
      <c r="AP269" s="72">
        <v>0</v>
      </c>
      <c r="AQ269" s="73"/>
      <c r="AR269" s="74">
        <v>-119.33756471013062</v>
      </c>
      <c r="AS269" s="74">
        <v>0</v>
      </c>
      <c r="AT269" s="73"/>
      <c r="AU269" s="72">
        <v>22626798.317709569</v>
      </c>
      <c r="AV269" s="72">
        <v>0</v>
      </c>
      <c r="AW269" s="73"/>
      <c r="AX269" s="74">
        <v>-1943.6324568896073</v>
      </c>
      <c r="AY269" s="74">
        <v>0</v>
      </c>
      <c r="AZ269" s="73"/>
      <c r="BA269" s="72">
        <v>297974.74771305959</v>
      </c>
      <c r="BB269" s="72">
        <v>0</v>
      </c>
      <c r="BC269" s="73"/>
      <c r="BD269" s="74">
        <v>-505.03871222424993</v>
      </c>
      <c r="BE269" s="74">
        <v>0</v>
      </c>
      <c r="BF269" s="73"/>
      <c r="BG269" s="72">
        <v>4157185.0677771885</v>
      </c>
      <c r="BH269" s="72">
        <v>0</v>
      </c>
      <c r="BI269" s="73"/>
      <c r="BJ269" s="74">
        <v>-1805.5603572795917</v>
      </c>
      <c r="BK269" s="74">
        <v>0</v>
      </c>
      <c r="BL269" s="73"/>
      <c r="BM269" s="72">
        <v>29433631.485769682</v>
      </c>
      <c r="BN269" s="72">
        <v>0</v>
      </c>
      <c r="BO269" s="73"/>
      <c r="BP269" s="74">
        <v>-6338.2627063808895</v>
      </c>
      <c r="BQ269" s="74">
        <v>0</v>
      </c>
      <c r="BS269" s="109">
        <f t="shared" si="117"/>
        <v>115175.15992326428</v>
      </c>
      <c r="BT269" s="109">
        <f t="shared" si="118"/>
        <v>115561.25344991924</v>
      </c>
      <c r="BV269" s="58">
        <f t="array" ref="BV269">SUM(IF(BS269:BT269&gt;=BS269, 1))</f>
        <v>2</v>
      </c>
      <c r="BW269" s="58">
        <f t="array" ref="BW269">SUM(IF(BS269:BT269&gt;=BT269, 1))</f>
        <v>1</v>
      </c>
      <c r="BY269" s="109">
        <f t="shared" si="119"/>
        <v>134214.05030835327</v>
      </c>
      <c r="BZ269" s="109">
        <f t="shared" si="120"/>
        <v>134570.30326687163</v>
      </c>
      <c r="CB269" s="58">
        <f t="array" ref="CB269">SUM(IF(BY269:BZ269&gt;=BY269, 1))</f>
        <v>2</v>
      </c>
      <c r="CC269" s="58">
        <f t="array" ref="CC269">SUM(IF(BY269:BZ269&gt;=BZ269, 1))</f>
        <v>1</v>
      </c>
      <c r="CE269" s="109">
        <f t="shared" si="121"/>
        <v>90239.519860853383</v>
      </c>
      <c r="CF269" s="109">
        <f t="shared" si="122"/>
        <v>92866.884239154853</v>
      </c>
      <c r="CH269" s="58">
        <f t="array" ref="CH269">SUM(IF(CE269:CF269&gt;=CE269, 1))</f>
        <v>2</v>
      </c>
      <c r="CI269" s="58">
        <f t="array" ref="CI269">SUM(IF(CE269:CF269&gt;=CF269, 1))</f>
        <v>1</v>
      </c>
      <c r="CK269" s="109">
        <f t="shared" si="123"/>
        <v>50319.63332142726</v>
      </c>
      <c r="CL269" s="109">
        <f t="shared" si="124"/>
        <v>51474.301439882307</v>
      </c>
      <c r="CN269" s="58">
        <f t="array" ref="CN269">SUM(IF(CK269:CL269&gt;=CK269, 1))</f>
        <v>2</v>
      </c>
      <c r="CO269" s="58">
        <f t="array" ref="CO269">SUM(IF(CK269:CL269&gt;=CL269, 1))</f>
        <v>1</v>
      </c>
      <c r="CQ269" s="109" cm="1">
        <f t="array" ref="CQ269">AF269*WTP-AC269</f>
        <v>35500.285996324033</v>
      </c>
      <c r="CR269" s="109">
        <f t="shared" si="125"/>
        <v>38097.872066180418</v>
      </c>
      <c r="CT269" s="58">
        <f t="array" ref="CT269">SUM(IF(CQ269:CR269&gt;=CQ269, 1))</f>
        <v>2</v>
      </c>
      <c r="CU269" s="58">
        <f t="array" ref="CU269">SUM(IF(CQ269:CR269&gt;=CR269, 1))</f>
        <v>1</v>
      </c>
      <c r="CW269" s="109">
        <f t="shared" si="126"/>
        <v>-41496254.454651341</v>
      </c>
      <c r="CX269" s="109">
        <f t="shared" si="127"/>
        <v>0</v>
      </c>
      <c r="CZ269" s="58">
        <f t="array" ref="CZ269">SUM(IF(CW269:CX269&gt;=CW269, 1))</f>
        <v>2</v>
      </c>
      <c r="DA269" s="58">
        <f t="array" ref="DA269">SUM(IF(CW269:CX269&gt;=CX269, 1))</f>
        <v>1</v>
      </c>
      <c r="DC269" s="109">
        <f t="shared" si="128"/>
        <v>-2536042.4976673303</v>
      </c>
      <c r="DD269" s="109">
        <f t="shared" si="129"/>
        <v>0</v>
      </c>
      <c r="DF269" s="58">
        <f t="array" ref="DF269">SUM(IF(DC269:DD269&gt;=DC269, 1))</f>
        <v>2</v>
      </c>
      <c r="DG269" s="58">
        <f t="array" ref="DG269">SUM(IF(DC269:DD269&gt;=DD269, 1))</f>
        <v>1</v>
      </c>
      <c r="DI269" s="109">
        <f t="shared" si="130"/>
        <v>-61499447.45550172</v>
      </c>
      <c r="DJ269" s="109">
        <f t="shared" si="131"/>
        <v>0</v>
      </c>
      <c r="DL269" s="58">
        <f t="array" ref="DL269">SUM(IF(DI269:DJ269&gt;=DI269, 1))</f>
        <v>2</v>
      </c>
      <c r="DM269" s="58">
        <f t="array" ref="DM269">SUM(IF(DI269:DJ269&gt;=DJ269, 1))</f>
        <v>1</v>
      </c>
      <c r="DO269" s="109">
        <f t="shared" si="132"/>
        <v>-10398748.992198057</v>
      </c>
      <c r="DP269" s="109">
        <f t="shared" si="133"/>
        <v>0</v>
      </c>
      <c r="DR269" s="58">
        <f t="array" ref="DR269">SUM(IF(DO269:DP269&gt;=DO269, 1))</f>
        <v>2</v>
      </c>
      <c r="DS269" s="58">
        <f t="array" ref="DS269">SUM(IF(DO269:DP269&gt;=DP269, 1))</f>
        <v>1</v>
      </c>
      <c r="DU269" s="109">
        <f t="shared" si="134"/>
        <v>-40268392.213369019</v>
      </c>
      <c r="DV269" s="109">
        <f t="shared" si="135"/>
        <v>0</v>
      </c>
      <c r="DX269" s="58">
        <f t="array" ref="DX269">SUM(IF(DU269:DV269&gt;=DU269, 1))</f>
        <v>2</v>
      </c>
      <c r="DY269" s="58">
        <f t="array" ref="DY269">SUM(IF(DU269:DV269&gt;=DV269, 1))</f>
        <v>1</v>
      </c>
      <c r="EA269" s="109">
        <f t="shared" si="136"/>
        <v>-156198885.61338747</v>
      </c>
      <c r="EB269" s="109">
        <f t="shared" si="137"/>
        <v>0</v>
      </c>
      <c r="ED269" s="58">
        <f t="array" ref="ED269">SUM(IF(EA269:EB269&gt;=EA269, 1))</f>
        <v>2</v>
      </c>
      <c r="EE269" s="58">
        <f t="array" ref="EE269">SUM(IF(EA269:EB269&gt;=EB269, 1))</f>
        <v>1</v>
      </c>
    </row>
    <row r="270" spans="4:135" ht="12" customHeight="1" x14ac:dyDescent="0.25">
      <c r="D270" s="11">
        <v>254</v>
      </c>
      <c r="E270" s="72">
        <v>267.22683782491146</v>
      </c>
      <c r="F270" s="72">
        <v>248.63173108017978</v>
      </c>
      <c r="G270" s="73"/>
      <c r="H270" s="74">
        <v>5.8467998136581363</v>
      </c>
      <c r="I270" s="74">
        <v>5.8625675392599925</v>
      </c>
      <c r="J270" s="73"/>
      <c r="K270" s="72">
        <v>287.13481713396669</v>
      </c>
      <c r="L270" s="72">
        <v>268.04883802168922</v>
      </c>
      <c r="M270" s="73"/>
      <c r="N270" s="74">
        <v>6.76836787683715</v>
      </c>
      <c r="O270" s="74">
        <v>6.7816689853670038</v>
      </c>
      <c r="P270" s="73"/>
      <c r="Q270" s="72">
        <v>886.48161673706181</v>
      </c>
      <c r="R270" s="72">
        <v>678.0496613820352</v>
      </c>
      <c r="S270" s="73"/>
      <c r="T270" s="74">
        <v>4.8014460319320209</v>
      </c>
      <c r="U270" s="74">
        <v>4.8892728809505313</v>
      </c>
      <c r="V270" s="73"/>
      <c r="W270" s="72">
        <v>15923.62846610305</v>
      </c>
      <c r="X270" s="72">
        <v>15931.136918792716</v>
      </c>
      <c r="Y270" s="73"/>
      <c r="Z270" s="74">
        <v>3.0023605707521472</v>
      </c>
      <c r="AA270" s="74">
        <v>3.0421217676683603</v>
      </c>
      <c r="AB270" s="73"/>
      <c r="AC270" s="72">
        <v>50536.703053377089</v>
      </c>
      <c r="AD270" s="72">
        <v>50155.264904574113</v>
      </c>
      <c r="AE270" s="73"/>
      <c r="AF270" s="74">
        <v>5.0670363703647769</v>
      </c>
      <c r="AG270" s="74">
        <v>5.213112669497117</v>
      </c>
      <c r="AH270" s="73"/>
      <c r="AI270" s="72">
        <v>2012630.9689162818</v>
      </c>
      <c r="AJ270" s="72">
        <v>0</v>
      </c>
      <c r="AK270" s="73"/>
      <c r="AL270" s="74">
        <v>-1706.6109536940928</v>
      </c>
      <c r="AM270" s="74">
        <v>0</v>
      </c>
      <c r="AN270" s="73"/>
      <c r="AO270" s="72">
        <v>128659.71197666155</v>
      </c>
      <c r="AP270" s="72">
        <v>0</v>
      </c>
      <c r="AQ270" s="73"/>
      <c r="AR270" s="74">
        <v>-89.663557858578059</v>
      </c>
      <c r="AS270" s="74">
        <v>0</v>
      </c>
      <c r="AT270" s="73"/>
      <c r="AU270" s="72">
        <v>4877973.6189370379</v>
      </c>
      <c r="AV270" s="72">
        <v>0</v>
      </c>
      <c r="AW270" s="73"/>
      <c r="AX270" s="74">
        <v>-2055.4288415945039</v>
      </c>
      <c r="AY270" s="74">
        <v>0</v>
      </c>
      <c r="AZ270" s="73"/>
      <c r="BA270" s="72">
        <v>-66399.031826637947</v>
      </c>
      <c r="BB270" s="72">
        <v>0</v>
      </c>
      <c r="BC270" s="73"/>
      <c r="BD270" s="74">
        <v>-351.61771521027038</v>
      </c>
      <c r="BE270" s="74">
        <v>0</v>
      </c>
      <c r="BF270" s="73"/>
      <c r="BG270" s="72">
        <v>5833656.6405198202</v>
      </c>
      <c r="BH270" s="72">
        <v>0</v>
      </c>
      <c r="BI270" s="73"/>
      <c r="BJ270" s="74">
        <v>-2234.0685511666038</v>
      </c>
      <c r="BK270" s="74">
        <v>0</v>
      </c>
      <c r="BL270" s="73"/>
      <c r="BM270" s="72">
        <v>12786521.908523165</v>
      </c>
      <c r="BN270" s="72">
        <v>0</v>
      </c>
      <c r="BO270" s="73"/>
      <c r="BP270" s="74">
        <v>-6437.3896195240486</v>
      </c>
      <c r="BQ270" s="74">
        <v>0</v>
      </c>
      <c r="BS270" s="109">
        <f t="shared" si="117"/>
        <v>116668.76943533782</v>
      </c>
      <c r="BT270" s="109">
        <f t="shared" si="118"/>
        <v>117002.71905411966</v>
      </c>
      <c r="BV270" s="58">
        <f t="array" ref="BV270">SUM(IF(BS270:BT270&gt;=BS270, 1))</f>
        <v>2</v>
      </c>
      <c r="BW270" s="58">
        <f t="array" ref="BW270">SUM(IF(BS270:BT270&gt;=BT270, 1))</f>
        <v>1</v>
      </c>
      <c r="BY270" s="109">
        <f t="shared" si="119"/>
        <v>135080.22271960901</v>
      </c>
      <c r="BZ270" s="109">
        <f t="shared" si="120"/>
        <v>135365.33086931836</v>
      </c>
      <c r="CB270" s="58">
        <f t="array" ref="CB270">SUM(IF(BY270:BZ270&gt;=BY270, 1))</f>
        <v>2</v>
      </c>
      <c r="CC270" s="58">
        <f t="array" ref="CC270">SUM(IF(BY270:BZ270&gt;=BZ270, 1))</f>
        <v>1</v>
      </c>
      <c r="CE270" s="109">
        <f t="shared" si="121"/>
        <v>95142.439021903352</v>
      </c>
      <c r="CF270" s="109">
        <f t="shared" si="122"/>
        <v>97107.407957628602</v>
      </c>
      <c r="CH270" s="58">
        <f t="array" ref="CH270">SUM(IF(CE270:CF270&gt;=CE270, 1))</f>
        <v>2</v>
      </c>
      <c r="CI270" s="58">
        <f t="array" ref="CI270">SUM(IF(CE270:CF270&gt;=CF270, 1))</f>
        <v>1</v>
      </c>
      <c r="CK270" s="109">
        <f t="shared" si="123"/>
        <v>44123.582948939897</v>
      </c>
      <c r="CL270" s="109">
        <f t="shared" si="124"/>
        <v>44911.298434574492</v>
      </c>
      <c r="CN270" s="58">
        <f t="array" ref="CN270">SUM(IF(CK270:CL270&gt;=CK270, 1))</f>
        <v>2</v>
      </c>
      <c r="CO270" s="58">
        <f t="array" ref="CO270">SUM(IF(CK270:CL270&gt;=CL270, 1))</f>
        <v>1</v>
      </c>
      <c r="CQ270" s="109" cm="1">
        <f t="array" ref="CQ270">AF270*WTP-AC270</f>
        <v>50804.024353918445</v>
      </c>
      <c r="CR270" s="109">
        <f t="shared" si="125"/>
        <v>54106.988485368231</v>
      </c>
      <c r="CT270" s="58">
        <f t="array" ref="CT270">SUM(IF(CQ270:CR270&gt;=CQ270, 1))</f>
        <v>2</v>
      </c>
      <c r="CU270" s="58">
        <f t="array" ref="CU270">SUM(IF(CQ270:CR270&gt;=CR270, 1))</f>
        <v>1</v>
      </c>
      <c r="CW270" s="109">
        <f t="shared" si="126"/>
        <v>-36144850.042798139</v>
      </c>
      <c r="CX270" s="109">
        <f t="shared" si="127"/>
        <v>0</v>
      </c>
      <c r="CZ270" s="58">
        <f t="array" ref="CZ270">SUM(IF(CW270:CX270&gt;=CW270, 1))</f>
        <v>2</v>
      </c>
      <c r="DA270" s="58">
        <f t="array" ref="DA270">SUM(IF(CW270:CX270&gt;=CX270, 1))</f>
        <v>1</v>
      </c>
      <c r="DC270" s="109">
        <f t="shared" si="128"/>
        <v>-1921930.8691482227</v>
      </c>
      <c r="DD270" s="109">
        <f t="shared" si="129"/>
        <v>0</v>
      </c>
      <c r="DF270" s="58">
        <f t="array" ref="DF270">SUM(IF(DC270:DD270&gt;=DC270, 1))</f>
        <v>2</v>
      </c>
      <c r="DG270" s="58">
        <f t="array" ref="DG270">SUM(IF(DC270:DD270&gt;=DD270, 1))</f>
        <v>1</v>
      </c>
      <c r="DI270" s="109">
        <f t="shared" si="130"/>
        <v>-45986550.450827114</v>
      </c>
      <c r="DJ270" s="109">
        <f t="shared" si="131"/>
        <v>0</v>
      </c>
      <c r="DL270" s="58">
        <f t="array" ref="DL270">SUM(IF(DI270:DJ270&gt;=DI270, 1))</f>
        <v>2</v>
      </c>
      <c r="DM270" s="58">
        <f t="array" ref="DM270">SUM(IF(DI270:DJ270&gt;=DJ270, 1))</f>
        <v>1</v>
      </c>
      <c r="DO270" s="109">
        <f t="shared" si="132"/>
        <v>-6965955.2723787697</v>
      </c>
      <c r="DP270" s="109">
        <f t="shared" si="133"/>
        <v>0</v>
      </c>
      <c r="DR270" s="58">
        <f t="array" ref="DR270">SUM(IF(DO270:DP270&gt;=DO270, 1))</f>
        <v>2</v>
      </c>
      <c r="DS270" s="58">
        <f t="array" ref="DS270">SUM(IF(DO270:DP270&gt;=DP270, 1))</f>
        <v>1</v>
      </c>
      <c r="DU270" s="109">
        <f t="shared" si="134"/>
        <v>-50515027.663851894</v>
      </c>
      <c r="DV270" s="109">
        <f t="shared" si="135"/>
        <v>0</v>
      </c>
      <c r="DX270" s="58">
        <f t="array" ref="DX270">SUM(IF(DU270:DV270&gt;=DU270, 1))</f>
        <v>2</v>
      </c>
      <c r="DY270" s="58">
        <f t="array" ref="DY270">SUM(IF(DU270:DV270&gt;=DV270, 1))</f>
        <v>1</v>
      </c>
      <c r="EA270" s="109">
        <f t="shared" si="136"/>
        <v>-141534314.29900414</v>
      </c>
      <c r="EB270" s="109">
        <f t="shared" si="137"/>
        <v>0</v>
      </c>
      <c r="ED270" s="58">
        <f t="array" ref="ED270">SUM(IF(EA270:EB270&gt;=EA270, 1))</f>
        <v>2</v>
      </c>
      <c r="EE270" s="58">
        <f t="array" ref="EE270">SUM(IF(EA270:EB270&gt;=EB270, 1))</f>
        <v>1</v>
      </c>
    </row>
    <row r="271" spans="4:135" ht="12" customHeight="1" x14ac:dyDescent="0.25">
      <c r="D271" s="11">
        <v>255</v>
      </c>
      <c r="E271" s="72">
        <v>281.02241030274138</v>
      </c>
      <c r="F271" s="72">
        <v>271.54484120261321</v>
      </c>
      <c r="G271" s="73"/>
      <c r="H271" s="74">
        <v>5.799703706138005</v>
      </c>
      <c r="I271" s="74">
        <v>5.8141553545071769</v>
      </c>
      <c r="J271" s="73"/>
      <c r="K271" s="72">
        <v>302.66366212695414</v>
      </c>
      <c r="L271" s="72">
        <v>292.92471679024931</v>
      </c>
      <c r="M271" s="73"/>
      <c r="N271" s="74">
        <v>6.6893845011195596</v>
      </c>
      <c r="O271" s="74">
        <v>6.701771974725105</v>
      </c>
      <c r="P271" s="73"/>
      <c r="Q271" s="72">
        <v>2895.6301164442038</v>
      </c>
      <c r="R271" s="72">
        <v>1556.4372127923023</v>
      </c>
      <c r="S271" s="73"/>
      <c r="T271" s="74">
        <v>4.7771065786679037</v>
      </c>
      <c r="U271" s="74">
        <v>4.9470856097758951</v>
      </c>
      <c r="V271" s="73"/>
      <c r="W271" s="72">
        <v>10864.760806446715</v>
      </c>
      <c r="X271" s="72">
        <v>10857.956205653441</v>
      </c>
      <c r="Y271" s="73"/>
      <c r="Z271" s="74">
        <v>2.7290317983621177</v>
      </c>
      <c r="AA271" s="74">
        <v>2.7690522927496408</v>
      </c>
      <c r="AB271" s="73"/>
      <c r="AC271" s="72">
        <v>50219.846075494759</v>
      </c>
      <c r="AD271" s="72">
        <v>50394.840699290755</v>
      </c>
      <c r="AE271" s="73"/>
      <c r="AF271" s="74">
        <v>4.8123293792235682</v>
      </c>
      <c r="AG271" s="74">
        <v>4.8758188921967571</v>
      </c>
      <c r="AH271" s="73"/>
      <c r="AI271" s="72">
        <v>1007587.929229559</v>
      </c>
      <c r="AJ271" s="72">
        <v>0</v>
      </c>
      <c r="AK271" s="73"/>
      <c r="AL271" s="74">
        <v>-1536.3967595921549</v>
      </c>
      <c r="AM271" s="74">
        <v>0</v>
      </c>
      <c r="AN271" s="73"/>
      <c r="AO271" s="72">
        <v>69581.964759830065</v>
      </c>
      <c r="AP271" s="72">
        <v>0</v>
      </c>
      <c r="AQ271" s="73"/>
      <c r="AR271" s="74">
        <v>-88.504937863838762</v>
      </c>
      <c r="AS271" s="74">
        <v>0</v>
      </c>
      <c r="AT271" s="73"/>
      <c r="AU271" s="72">
        <v>31148822.633416381</v>
      </c>
      <c r="AV271" s="72">
        <v>0</v>
      </c>
      <c r="AW271" s="73"/>
      <c r="AX271" s="74">
        <v>-3953.6101759086341</v>
      </c>
      <c r="AY271" s="74">
        <v>0</v>
      </c>
      <c r="AZ271" s="73"/>
      <c r="BA271" s="72">
        <v>63439.212601311381</v>
      </c>
      <c r="BB271" s="72">
        <v>0</v>
      </c>
      <c r="BC271" s="73"/>
      <c r="BD271" s="74">
        <v>-373.11059516810991</v>
      </c>
      <c r="BE271" s="74">
        <v>0</v>
      </c>
      <c r="BF271" s="73"/>
      <c r="BG271" s="72">
        <v>-2760902.5475750198</v>
      </c>
      <c r="BH271" s="72">
        <v>0</v>
      </c>
      <c r="BI271" s="73"/>
      <c r="BJ271" s="74">
        <v>-1001.6785333720957</v>
      </c>
      <c r="BK271" s="74">
        <v>0</v>
      </c>
      <c r="BL271" s="73"/>
      <c r="BM271" s="72">
        <v>29528529.192432061</v>
      </c>
      <c r="BN271" s="72">
        <v>0</v>
      </c>
      <c r="BO271" s="73"/>
      <c r="BP271" s="74">
        <v>-6953.3010019048334</v>
      </c>
      <c r="BQ271" s="74">
        <v>0</v>
      </c>
      <c r="BS271" s="109">
        <f t="shared" si="117"/>
        <v>115713.05171245735</v>
      </c>
      <c r="BT271" s="109">
        <f t="shared" si="118"/>
        <v>116011.56224894093</v>
      </c>
      <c r="BV271" s="58">
        <f t="array" ref="BV271">SUM(IF(BS271:BT271&gt;=BS271, 1))</f>
        <v>2</v>
      </c>
      <c r="BW271" s="58">
        <f t="array" ref="BW271">SUM(IF(BS271:BT271&gt;=BT271, 1))</f>
        <v>1</v>
      </c>
      <c r="BY271" s="109">
        <f t="shared" si="119"/>
        <v>133485.02636026422</v>
      </c>
      <c r="BZ271" s="109">
        <f t="shared" si="120"/>
        <v>133742.51477771185</v>
      </c>
      <c r="CB271" s="58">
        <f t="array" ref="CB271">SUM(IF(BY271:BZ271&gt;=BY271, 1))</f>
        <v>2</v>
      </c>
      <c r="CC271" s="58">
        <f t="array" ref="CC271">SUM(IF(BY271:BZ271&gt;=BZ271, 1))</f>
        <v>1</v>
      </c>
      <c r="CE271" s="109">
        <f t="shared" si="121"/>
        <v>92646.501456913873</v>
      </c>
      <c r="CF271" s="109">
        <f t="shared" si="122"/>
        <v>97385.274982725605</v>
      </c>
      <c r="CH271" s="58">
        <f t="array" ref="CH271">SUM(IF(CE271:CF271&gt;=CE271, 1))</f>
        <v>2</v>
      </c>
      <c r="CI271" s="58">
        <f t="array" ref="CI271">SUM(IF(CE271:CF271&gt;=CF271, 1))</f>
        <v>1</v>
      </c>
      <c r="CK271" s="109">
        <f t="shared" si="123"/>
        <v>43715.875160795644</v>
      </c>
      <c r="CL271" s="109">
        <f t="shared" si="124"/>
        <v>44523.089649339374</v>
      </c>
      <c r="CN271" s="58">
        <f t="array" ref="CN271">SUM(IF(CK271:CL271&gt;=CK271, 1))</f>
        <v>2</v>
      </c>
      <c r="CO271" s="58">
        <f t="array" ref="CO271">SUM(IF(CK271:CL271&gt;=CL271, 1))</f>
        <v>1</v>
      </c>
      <c r="CQ271" s="109" cm="1">
        <f t="array" ref="CQ271">AF271*WTP-AC271</f>
        <v>46026.7415089766</v>
      </c>
      <c r="CR271" s="109">
        <f t="shared" si="125"/>
        <v>47121.53714464439</v>
      </c>
      <c r="CT271" s="58">
        <f t="array" ref="CT271">SUM(IF(CQ271:CR271&gt;=CQ271, 1))</f>
        <v>2</v>
      </c>
      <c r="CU271" s="58">
        <f t="array" ref="CU271">SUM(IF(CQ271:CR271&gt;=CR271, 1))</f>
        <v>1</v>
      </c>
      <c r="CW271" s="109">
        <f t="shared" si="126"/>
        <v>-31735523.121072657</v>
      </c>
      <c r="CX271" s="109">
        <f t="shared" si="127"/>
        <v>0</v>
      </c>
      <c r="CZ271" s="58">
        <f t="array" ref="CZ271">SUM(IF(CW271:CX271&gt;=CW271, 1))</f>
        <v>2</v>
      </c>
      <c r="DA271" s="58">
        <f t="array" ref="DA271">SUM(IF(CW271:CX271&gt;=CX271, 1))</f>
        <v>1</v>
      </c>
      <c r="DC271" s="109">
        <f t="shared" si="128"/>
        <v>-1839680.7220366055</v>
      </c>
      <c r="DD271" s="109">
        <f t="shared" si="129"/>
        <v>0</v>
      </c>
      <c r="DF271" s="58">
        <f t="array" ref="DF271">SUM(IF(DC271:DD271&gt;=DC271, 1))</f>
        <v>2</v>
      </c>
      <c r="DG271" s="58">
        <f t="array" ref="DG271">SUM(IF(DC271:DD271&gt;=DD271, 1))</f>
        <v>1</v>
      </c>
      <c r="DI271" s="109">
        <f t="shared" si="130"/>
        <v>-110221026.15158907</v>
      </c>
      <c r="DJ271" s="109">
        <f t="shared" si="131"/>
        <v>0</v>
      </c>
      <c r="DL271" s="58">
        <f t="array" ref="DL271">SUM(IF(DI271:DJ271&gt;=DI271, 1))</f>
        <v>2</v>
      </c>
      <c r="DM271" s="58">
        <f t="array" ref="DM271">SUM(IF(DI271:DJ271&gt;=DJ271, 1))</f>
        <v>1</v>
      </c>
      <c r="DO271" s="109">
        <f t="shared" si="132"/>
        <v>-7525651.1159635093</v>
      </c>
      <c r="DP271" s="109">
        <f t="shared" si="133"/>
        <v>0</v>
      </c>
      <c r="DR271" s="58">
        <f t="array" ref="DR271">SUM(IF(DO271:DP271&gt;=DO271, 1))</f>
        <v>2</v>
      </c>
      <c r="DS271" s="58">
        <f t="array" ref="DS271">SUM(IF(DO271:DP271&gt;=DP271, 1))</f>
        <v>1</v>
      </c>
      <c r="DU271" s="109">
        <f t="shared" si="134"/>
        <v>-17272668.119866893</v>
      </c>
      <c r="DV271" s="109">
        <f t="shared" si="135"/>
        <v>0</v>
      </c>
      <c r="DX271" s="58">
        <f t="array" ref="DX271">SUM(IF(DU271:DV271&gt;=DU271, 1))</f>
        <v>2</v>
      </c>
      <c r="DY271" s="58">
        <f t="array" ref="DY271">SUM(IF(DU271:DV271&gt;=DV271, 1))</f>
        <v>1</v>
      </c>
      <c r="EA271" s="109">
        <f t="shared" si="136"/>
        <v>-168594549.23052871</v>
      </c>
      <c r="EB271" s="109">
        <f t="shared" si="137"/>
        <v>0</v>
      </c>
      <c r="ED271" s="58">
        <f t="array" ref="ED271">SUM(IF(EA271:EB271&gt;=EA271, 1))</f>
        <v>2</v>
      </c>
      <c r="EE271" s="58">
        <f t="array" ref="EE271">SUM(IF(EA271:EB271&gt;=EB271, 1))</f>
        <v>1</v>
      </c>
    </row>
    <row r="272" spans="4:135" ht="12" customHeight="1" x14ac:dyDescent="0.25">
      <c r="D272" s="11">
        <v>256</v>
      </c>
      <c r="E272" s="72">
        <v>269.71726114174646</v>
      </c>
      <c r="F272" s="72">
        <v>251.65888781451272</v>
      </c>
      <c r="G272" s="73"/>
      <c r="H272" s="74">
        <v>5.8156526850417789</v>
      </c>
      <c r="I272" s="74">
        <v>5.8292660601368871</v>
      </c>
      <c r="J272" s="73"/>
      <c r="K272" s="72">
        <v>289.75464736594961</v>
      </c>
      <c r="L272" s="72">
        <v>271.2525175285279</v>
      </c>
      <c r="M272" s="73"/>
      <c r="N272" s="74">
        <v>6.7458318463092146</v>
      </c>
      <c r="O272" s="74">
        <v>6.7573486818997139</v>
      </c>
      <c r="P272" s="73"/>
      <c r="Q272" s="72">
        <v>2564.8945995377462</v>
      </c>
      <c r="R272" s="72">
        <v>1393.5738608560457</v>
      </c>
      <c r="S272" s="73"/>
      <c r="T272" s="74">
        <v>4.7942850879386452</v>
      </c>
      <c r="U272" s="74">
        <v>4.9261401250638261</v>
      </c>
      <c r="V272" s="73"/>
      <c r="W272" s="72">
        <v>12569.958712541105</v>
      </c>
      <c r="X272" s="72">
        <v>12538.591452374678</v>
      </c>
      <c r="Y272" s="73"/>
      <c r="Z272" s="74">
        <v>2.9725150360600523</v>
      </c>
      <c r="AA272" s="74">
        <v>3.0148250260541749</v>
      </c>
      <c r="AB272" s="73"/>
      <c r="AC272" s="72">
        <v>49102.185378116272</v>
      </c>
      <c r="AD272" s="72">
        <v>48962.072323744338</v>
      </c>
      <c r="AE272" s="73"/>
      <c r="AF272" s="74">
        <v>4.5094378324330222</v>
      </c>
      <c r="AG272" s="74">
        <v>4.6169826517066941</v>
      </c>
      <c r="AH272" s="73"/>
      <c r="AI272" s="72">
        <v>1968326.6774917711</v>
      </c>
      <c r="AJ272" s="72">
        <v>0</v>
      </c>
      <c r="AK272" s="73"/>
      <c r="AL272" s="74">
        <v>-1483.8307351855028</v>
      </c>
      <c r="AM272" s="74">
        <v>0</v>
      </c>
      <c r="AN272" s="73"/>
      <c r="AO272" s="72">
        <v>122558.90794346273</v>
      </c>
      <c r="AP272" s="72">
        <v>0</v>
      </c>
      <c r="AQ272" s="73"/>
      <c r="AR272" s="74">
        <v>-76.288016857452476</v>
      </c>
      <c r="AS272" s="74">
        <v>0</v>
      </c>
      <c r="AT272" s="73"/>
      <c r="AU272" s="72">
        <v>27978836.693786945</v>
      </c>
      <c r="AV272" s="72">
        <v>0</v>
      </c>
      <c r="AW272" s="73"/>
      <c r="AX272" s="74">
        <v>-3149.5647854154136</v>
      </c>
      <c r="AY272" s="74">
        <v>0</v>
      </c>
      <c r="AZ272" s="73"/>
      <c r="BA272" s="72">
        <v>275476.89664418279</v>
      </c>
      <c r="BB272" s="72">
        <v>0</v>
      </c>
      <c r="BC272" s="73"/>
      <c r="BD272" s="74">
        <v>-371.57930526243933</v>
      </c>
      <c r="BE272" s="74">
        <v>0</v>
      </c>
      <c r="BF272" s="73"/>
      <c r="BG272" s="72">
        <v>2268897.8910340262</v>
      </c>
      <c r="BH272" s="72">
        <v>0</v>
      </c>
      <c r="BI272" s="73"/>
      <c r="BJ272" s="74">
        <v>-1741.5094884302755</v>
      </c>
      <c r="BK272" s="74">
        <v>0</v>
      </c>
      <c r="BL272" s="73"/>
      <c r="BM272" s="72">
        <v>32614097.066900387</v>
      </c>
      <c r="BN272" s="72">
        <v>0</v>
      </c>
      <c r="BO272" s="73"/>
      <c r="BP272" s="74">
        <v>-6822.7723311510836</v>
      </c>
      <c r="BQ272" s="74">
        <v>0</v>
      </c>
      <c r="BS272" s="109">
        <f t="shared" si="117"/>
        <v>116043.33643969383</v>
      </c>
      <c r="BT272" s="109">
        <f t="shared" si="118"/>
        <v>116333.66231492323</v>
      </c>
      <c r="BV272" s="58">
        <f t="array" ref="BV272">SUM(IF(BS272:BT272&gt;=BS272, 1))</f>
        <v>2</v>
      </c>
      <c r="BW272" s="58">
        <f t="array" ref="BW272">SUM(IF(BS272:BT272&gt;=BT272, 1))</f>
        <v>1</v>
      </c>
      <c r="BY272" s="109">
        <f t="shared" si="119"/>
        <v>134626.88227881835</v>
      </c>
      <c r="BZ272" s="109">
        <f t="shared" si="120"/>
        <v>134875.72112046575</v>
      </c>
      <c r="CB272" s="58">
        <f t="array" ref="CB272">SUM(IF(BY272:BZ272&gt;=BY272, 1))</f>
        <v>2</v>
      </c>
      <c r="CC272" s="58">
        <f t="array" ref="CC272">SUM(IF(BY272:BZ272&gt;=BZ272, 1))</f>
        <v>1</v>
      </c>
      <c r="CE272" s="109">
        <f t="shared" si="121"/>
        <v>93320.807159235163</v>
      </c>
      <c r="CF272" s="109">
        <f t="shared" si="122"/>
        <v>97129.228640420479</v>
      </c>
      <c r="CH272" s="58">
        <f t="array" ref="CH272">SUM(IF(CE272:CF272&gt;=CE272, 1))</f>
        <v>2</v>
      </c>
      <c r="CI272" s="58">
        <f t="array" ref="CI272">SUM(IF(CE272:CF272&gt;=CF272, 1))</f>
        <v>1</v>
      </c>
      <c r="CK272" s="109">
        <f t="shared" si="123"/>
        <v>46880.342008659944</v>
      </c>
      <c r="CL272" s="109">
        <f t="shared" si="124"/>
        <v>47757.909068708825</v>
      </c>
      <c r="CN272" s="58">
        <f t="array" ref="CN272">SUM(IF(CK272:CL272&gt;=CK272, 1))</f>
        <v>2</v>
      </c>
      <c r="CO272" s="58">
        <f t="array" ref="CO272">SUM(IF(CK272:CL272&gt;=CL272, 1))</f>
        <v>1</v>
      </c>
      <c r="CQ272" s="109" cm="1">
        <f t="array" ref="CQ272">AF272*WTP-AC272</f>
        <v>41086.571270544177</v>
      </c>
      <c r="CR272" s="109">
        <f t="shared" si="125"/>
        <v>43377.580710389542</v>
      </c>
      <c r="CT272" s="58">
        <f t="array" ref="CT272">SUM(IF(CQ272:CR272&gt;=CQ272, 1))</f>
        <v>2</v>
      </c>
      <c r="CU272" s="58">
        <f t="array" ref="CU272">SUM(IF(CQ272:CR272&gt;=CR272, 1))</f>
        <v>1</v>
      </c>
      <c r="CW272" s="109">
        <f t="shared" si="126"/>
        <v>-31644941.381201826</v>
      </c>
      <c r="CX272" s="109">
        <f t="shared" si="127"/>
        <v>0</v>
      </c>
      <c r="CZ272" s="58">
        <f t="array" ref="CZ272">SUM(IF(CW272:CX272&gt;=CW272, 1))</f>
        <v>2</v>
      </c>
      <c r="DA272" s="58">
        <f t="array" ref="DA272">SUM(IF(CW272:CX272&gt;=CX272, 1))</f>
        <v>1</v>
      </c>
      <c r="DC272" s="109">
        <f t="shared" si="128"/>
        <v>-1648319.2450925123</v>
      </c>
      <c r="DD272" s="109">
        <f t="shared" si="129"/>
        <v>0</v>
      </c>
      <c r="DF272" s="58">
        <f t="array" ref="DF272">SUM(IF(DC272:DD272&gt;=DC272, 1))</f>
        <v>2</v>
      </c>
      <c r="DG272" s="58">
        <f t="array" ref="DG272">SUM(IF(DC272:DD272&gt;=DD272, 1))</f>
        <v>1</v>
      </c>
      <c r="DI272" s="109">
        <f t="shared" si="130"/>
        <v>-90970132.402095214</v>
      </c>
      <c r="DJ272" s="109">
        <f t="shared" si="131"/>
        <v>0</v>
      </c>
      <c r="DL272" s="58">
        <f t="array" ref="DL272">SUM(IF(DI272:DJ272&gt;=DI272, 1))</f>
        <v>2</v>
      </c>
      <c r="DM272" s="58">
        <f t="array" ref="DM272">SUM(IF(DI272:DJ272&gt;=DJ272, 1))</f>
        <v>1</v>
      </c>
      <c r="DO272" s="109">
        <f t="shared" si="132"/>
        <v>-7707063.001892969</v>
      </c>
      <c r="DP272" s="109">
        <f t="shared" si="133"/>
        <v>0</v>
      </c>
      <c r="DR272" s="58">
        <f t="array" ref="DR272">SUM(IF(DO272:DP272&gt;=DO272, 1))</f>
        <v>2</v>
      </c>
      <c r="DS272" s="58">
        <f t="array" ref="DS272">SUM(IF(DO272:DP272&gt;=DP272, 1))</f>
        <v>1</v>
      </c>
      <c r="DU272" s="109">
        <f t="shared" si="134"/>
        <v>-37099087.659639537</v>
      </c>
      <c r="DV272" s="109">
        <f t="shared" si="135"/>
        <v>0</v>
      </c>
      <c r="DX272" s="58">
        <f t="array" ref="DX272">SUM(IF(DU272:DV272&gt;=DU272, 1))</f>
        <v>2</v>
      </c>
      <c r="DY272" s="58">
        <f t="array" ref="DY272">SUM(IF(DU272:DV272&gt;=DV272, 1))</f>
        <v>1</v>
      </c>
      <c r="EA272" s="109">
        <f t="shared" si="136"/>
        <v>-169069543.68992203</v>
      </c>
      <c r="EB272" s="109">
        <f t="shared" si="137"/>
        <v>0</v>
      </c>
      <c r="ED272" s="58">
        <f t="array" ref="ED272">SUM(IF(EA272:EB272&gt;=EA272, 1))</f>
        <v>2</v>
      </c>
      <c r="EE272" s="58">
        <f t="array" ref="EE272">SUM(IF(EA272:EB272&gt;=EB272, 1))</f>
        <v>1</v>
      </c>
    </row>
    <row r="273" spans="4:135" ht="12" customHeight="1" x14ac:dyDescent="0.25">
      <c r="D273" s="11">
        <v>257</v>
      </c>
      <c r="E273" s="72">
        <v>216.34203761226615</v>
      </c>
      <c r="F273" s="72">
        <v>198.0657799423351</v>
      </c>
      <c r="G273" s="73"/>
      <c r="H273" s="74">
        <v>5.8192410714559264</v>
      </c>
      <c r="I273" s="74">
        <v>5.8341759537870628</v>
      </c>
      <c r="J273" s="73"/>
      <c r="K273" s="72">
        <v>232.27913021714599</v>
      </c>
      <c r="L273" s="72">
        <v>213.55529324229565</v>
      </c>
      <c r="M273" s="73"/>
      <c r="N273" s="74">
        <v>6.7361020532337967</v>
      </c>
      <c r="O273" s="74">
        <v>6.748814468376243</v>
      </c>
      <c r="P273" s="73"/>
      <c r="Q273" s="72">
        <v>2854.9698337159998</v>
      </c>
      <c r="R273" s="72">
        <v>1789.9938757354723</v>
      </c>
      <c r="S273" s="73"/>
      <c r="T273" s="74">
        <v>4.781098487396318</v>
      </c>
      <c r="U273" s="74">
        <v>4.8540943573332394</v>
      </c>
      <c r="V273" s="73"/>
      <c r="W273" s="72">
        <v>18380.417900009943</v>
      </c>
      <c r="X273" s="72">
        <v>18298.839186038873</v>
      </c>
      <c r="Y273" s="73"/>
      <c r="Z273" s="74">
        <v>3.1102047816982141</v>
      </c>
      <c r="AA273" s="74">
        <v>3.1372299774013541</v>
      </c>
      <c r="AB273" s="73"/>
      <c r="AC273" s="72">
        <v>49224.786561609486</v>
      </c>
      <c r="AD273" s="72">
        <v>49103.680143358986</v>
      </c>
      <c r="AE273" s="73"/>
      <c r="AF273" s="74">
        <v>4.864289962948833</v>
      </c>
      <c r="AG273" s="74">
        <v>5.0226821474626595</v>
      </c>
      <c r="AH273" s="73"/>
      <c r="AI273" s="72">
        <v>1988959.4272919707</v>
      </c>
      <c r="AJ273" s="72">
        <v>0</v>
      </c>
      <c r="AK273" s="73"/>
      <c r="AL273" s="74">
        <v>-1625.3259033922366</v>
      </c>
      <c r="AM273" s="74">
        <v>0</v>
      </c>
      <c r="AN273" s="73"/>
      <c r="AO273" s="72">
        <v>124702.2552732964</v>
      </c>
      <c r="AP273" s="72">
        <v>0</v>
      </c>
      <c r="AQ273" s="73"/>
      <c r="AR273" s="74">
        <v>-84.665703956019527</v>
      </c>
      <c r="AS273" s="74">
        <v>0</v>
      </c>
      <c r="AT273" s="73"/>
      <c r="AU273" s="72">
        <v>25055506.95276282</v>
      </c>
      <c r="AV273" s="72">
        <v>0</v>
      </c>
      <c r="AW273" s="73"/>
      <c r="AX273" s="74">
        <v>-1717.3613291662157</v>
      </c>
      <c r="AY273" s="74">
        <v>0</v>
      </c>
      <c r="AZ273" s="73"/>
      <c r="BA273" s="72">
        <v>720036.77681312524</v>
      </c>
      <c r="BB273" s="72">
        <v>0</v>
      </c>
      <c r="BC273" s="73"/>
      <c r="BD273" s="74">
        <v>-238.53201233024521</v>
      </c>
      <c r="BE273" s="74">
        <v>0</v>
      </c>
      <c r="BF273" s="73"/>
      <c r="BG273" s="72">
        <v>1889918.7121106496</v>
      </c>
      <c r="BH273" s="72">
        <v>0</v>
      </c>
      <c r="BI273" s="73"/>
      <c r="BJ273" s="74">
        <v>-2471.7794291098876</v>
      </c>
      <c r="BK273" s="74">
        <v>0</v>
      </c>
      <c r="BL273" s="73"/>
      <c r="BM273" s="72">
        <v>29779124.124251861</v>
      </c>
      <c r="BN273" s="72">
        <v>0</v>
      </c>
      <c r="BO273" s="73"/>
      <c r="BP273" s="74">
        <v>-6137.6643779546048</v>
      </c>
      <c r="BQ273" s="74">
        <v>0</v>
      </c>
      <c r="BS273" s="109">
        <f t="shared" si="117"/>
        <v>116168.47939150626</v>
      </c>
      <c r="BT273" s="109">
        <f t="shared" si="118"/>
        <v>116485.45329579891</v>
      </c>
      <c r="BV273" s="58">
        <f t="array" ref="BV273">SUM(IF(BS273:BT273&gt;=BS273, 1))</f>
        <v>2</v>
      </c>
      <c r="BW273" s="58">
        <f t="array" ref="BW273">SUM(IF(BS273:BT273&gt;=BT273, 1))</f>
        <v>1</v>
      </c>
      <c r="BY273" s="109">
        <f t="shared" si="119"/>
        <v>134489.76193445877</v>
      </c>
      <c r="BZ273" s="109">
        <f t="shared" si="120"/>
        <v>134762.73407428255</v>
      </c>
      <c r="CB273" s="58">
        <f t="array" ref="CB273">SUM(IF(BY273:BZ273&gt;=BY273, 1))</f>
        <v>2</v>
      </c>
      <c r="CC273" s="58">
        <f t="array" ref="CC273">SUM(IF(BY273:BZ273&gt;=BZ273, 1))</f>
        <v>1</v>
      </c>
      <c r="CE273" s="109">
        <f t="shared" si="121"/>
        <v>92766.999914210362</v>
      </c>
      <c r="CF273" s="109">
        <f t="shared" si="122"/>
        <v>95291.893270929315</v>
      </c>
      <c r="CH273" s="58">
        <f t="array" ref="CH273">SUM(IF(CE273:CF273&gt;=CE273, 1))</f>
        <v>2</v>
      </c>
      <c r="CI273" s="58">
        <f t="array" ref="CI273">SUM(IF(CE273:CF273&gt;=CF273, 1))</f>
        <v>1</v>
      </c>
      <c r="CK273" s="109">
        <f t="shared" si="123"/>
        <v>43823.677733954333</v>
      </c>
      <c r="CL273" s="109">
        <f t="shared" si="124"/>
        <v>44445.760361988207</v>
      </c>
      <c r="CN273" s="58">
        <f t="array" ref="CN273">SUM(IF(CK273:CL273&gt;=CK273, 1))</f>
        <v>2</v>
      </c>
      <c r="CO273" s="58">
        <f t="array" ref="CO273">SUM(IF(CK273:CL273&gt;=CL273, 1))</f>
        <v>1</v>
      </c>
      <c r="CQ273" s="109" cm="1">
        <f t="array" ref="CQ273">AF273*WTP-AC273</f>
        <v>48061.012697367179</v>
      </c>
      <c r="CR273" s="109">
        <f t="shared" si="125"/>
        <v>51349.962805894203</v>
      </c>
      <c r="CT273" s="58">
        <f t="array" ref="CT273">SUM(IF(CQ273:CR273&gt;=CQ273, 1))</f>
        <v>2</v>
      </c>
      <c r="CU273" s="58">
        <f t="array" ref="CU273">SUM(IF(CQ273:CR273&gt;=CR273, 1))</f>
        <v>1</v>
      </c>
      <c r="CW273" s="109">
        <f t="shared" si="126"/>
        <v>-34495477.495136701</v>
      </c>
      <c r="CX273" s="109">
        <f t="shared" si="127"/>
        <v>0</v>
      </c>
      <c r="CZ273" s="58">
        <f t="array" ref="CZ273">SUM(IF(CW273:CX273&gt;=CW273, 1))</f>
        <v>2</v>
      </c>
      <c r="DA273" s="58">
        <f t="array" ref="DA273">SUM(IF(CW273:CX273&gt;=CX273, 1))</f>
        <v>1</v>
      </c>
      <c r="DC273" s="109">
        <f t="shared" si="128"/>
        <v>-1818016.3343936871</v>
      </c>
      <c r="DD273" s="109">
        <f t="shared" si="129"/>
        <v>0</v>
      </c>
      <c r="DF273" s="58">
        <f t="array" ref="DF273">SUM(IF(DC273:DD273&gt;=DC273, 1))</f>
        <v>2</v>
      </c>
      <c r="DG273" s="58">
        <f t="array" ref="DG273">SUM(IF(DC273:DD273&gt;=DD273, 1))</f>
        <v>1</v>
      </c>
      <c r="DI273" s="109">
        <f t="shared" si="130"/>
        <v>-59402733.536087133</v>
      </c>
      <c r="DJ273" s="109">
        <f t="shared" si="131"/>
        <v>0</v>
      </c>
      <c r="DL273" s="58">
        <f t="array" ref="DL273">SUM(IF(DI273:DJ273&gt;=DI273, 1))</f>
        <v>2</v>
      </c>
      <c r="DM273" s="58">
        <f t="array" ref="DM273">SUM(IF(DI273:DJ273&gt;=DJ273, 1))</f>
        <v>1</v>
      </c>
      <c r="DO273" s="109">
        <f t="shared" si="132"/>
        <v>-5490677.0234180298</v>
      </c>
      <c r="DP273" s="109">
        <f t="shared" si="133"/>
        <v>0</v>
      </c>
      <c r="DR273" s="58">
        <f t="array" ref="DR273">SUM(IF(DO273:DP273&gt;=DO273, 1))</f>
        <v>2</v>
      </c>
      <c r="DS273" s="58">
        <f t="array" ref="DS273">SUM(IF(DO273:DP273&gt;=DP273, 1))</f>
        <v>1</v>
      </c>
      <c r="DU273" s="109">
        <f t="shared" si="134"/>
        <v>-51325507.294308394</v>
      </c>
      <c r="DV273" s="109">
        <f t="shared" si="135"/>
        <v>0</v>
      </c>
      <c r="DX273" s="58">
        <f t="array" ref="DX273">SUM(IF(DU273:DV273&gt;=DU273, 1))</f>
        <v>2</v>
      </c>
      <c r="DY273" s="58">
        <f t="array" ref="DY273">SUM(IF(DU273:DV273&gt;=DV273, 1))</f>
        <v>1</v>
      </c>
      <c r="EA273" s="109">
        <f t="shared" si="136"/>
        <v>-152532411.68334395</v>
      </c>
      <c r="EB273" s="109">
        <f t="shared" si="137"/>
        <v>0</v>
      </c>
      <c r="ED273" s="58">
        <f t="array" ref="ED273">SUM(IF(EA273:EB273&gt;=EA273, 1))</f>
        <v>2</v>
      </c>
      <c r="EE273" s="58">
        <f t="array" ref="EE273">SUM(IF(EA273:EB273&gt;=EB273, 1))</f>
        <v>1</v>
      </c>
    </row>
    <row r="274" spans="4:135" ht="12" customHeight="1" x14ac:dyDescent="0.25">
      <c r="D274" s="11">
        <v>258</v>
      </c>
      <c r="E274" s="72">
        <v>304.7316752472729</v>
      </c>
      <c r="F274" s="72">
        <v>287.27885001279355</v>
      </c>
      <c r="G274" s="73"/>
      <c r="H274" s="74">
        <v>5.848347413231445</v>
      </c>
      <c r="I274" s="74">
        <v>5.8648298723433783</v>
      </c>
      <c r="J274" s="73"/>
      <c r="K274" s="72">
        <v>327.68555794601679</v>
      </c>
      <c r="L274" s="72">
        <v>309.82288221092665</v>
      </c>
      <c r="M274" s="73"/>
      <c r="N274" s="74">
        <v>6.6266092641936414</v>
      </c>
      <c r="O274" s="74">
        <v>6.6412851252063492</v>
      </c>
      <c r="P274" s="73"/>
      <c r="Q274" s="72">
        <v>2065.1369244485841</v>
      </c>
      <c r="R274" s="72">
        <v>1239.5732205931292</v>
      </c>
      <c r="S274" s="73"/>
      <c r="T274" s="74">
        <v>4.6825148297322432</v>
      </c>
      <c r="U274" s="74">
        <v>4.7550272759849745</v>
      </c>
      <c r="V274" s="73"/>
      <c r="W274" s="72">
        <v>15280.181848503213</v>
      </c>
      <c r="X274" s="72">
        <v>15204.226446808256</v>
      </c>
      <c r="Y274" s="73"/>
      <c r="Z274" s="74">
        <v>3.0482720123216849</v>
      </c>
      <c r="AA274" s="74">
        <v>3.0991909679060408</v>
      </c>
      <c r="AB274" s="73"/>
      <c r="AC274" s="72">
        <v>50639.693966162871</v>
      </c>
      <c r="AD274" s="72">
        <v>50488.029290142178</v>
      </c>
      <c r="AE274" s="73"/>
      <c r="AF274" s="74">
        <v>4.4448747228953343</v>
      </c>
      <c r="AG274" s="74">
        <v>4.5408590508839861</v>
      </c>
      <c r="AH274" s="73"/>
      <c r="AI274" s="72">
        <v>1856826.1346923402</v>
      </c>
      <c r="AJ274" s="72">
        <v>0</v>
      </c>
      <c r="AK274" s="73"/>
      <c r="AL274" s="74">
        <v>-1753.5877677026747</v>
      </c>
      <c r="AM274" s="74">
        <v>0</v>
      </c>
      <c r="AN274" s="73"/>
      <c r="AO274" s="72">
        <v>120642.48937059482</v>
      </c>
      <c r="AP274" s="72">
        <v>0</v>
      </c>
      <c r="AQ274" s="73"/>
      <c r="AR274" s="74">
        <v>-99.119103570347178</v>
      </c>
      <c r="AS274" s="74">
        <v>0</v>
      </c>
      <c r="AT274" s="73"/>
      <c r="AU274" s="72">
        <v>18859377.122741375</v>
      </c>
      <c r="AV274" s="72">
        <v>0</v>
      </c>
      <c r="AW274" s="73"/>
      <c r="AX274" s="74">
        <v>-1656.4918777148819</v>
      </c>
      <c r="AY274" s="74">
        <v>0</v>
      </c>
      <c r="AZ274" s="73"/>
      <c r="BA274" s="72">
        <v>685499.55396695423</v>
      </c>
      <c r="BB274" s="72">
        <v>0</v>
      </c>
      <c r="BC274" s="73"/>
      <c r="BD274" s="74">
        <v>-459.54495088736593</v>
      </c>
      <c r="BE274" s="74">
        <v>0</v>
      </c>
      <c r="BF274" s="73"/>
      <c r="BG274" s="72">
        <v>2446419.0170566435</v>
      </c>
      <c r="BH274" s="72">
        <v>0</v>
      </c>
      <c r="BI274" s="73"/>
      <c r="BJ274" s="74">
        <v>-1548.2701146495153</v>
      </c>
      <c r="BK274" s="74">
        <v>0</v>
      </c>
      <c r="BL274" s="73"/>
      <c r="BM274" s="72">
        <v>23968764.31782791</v>
      </c>
      <c r="BN274" s="72">
        <v>0</v>
      </c>
      <c r="BO274" s="73"/>
      <c r="BP274" s="74">
        <v>-5517.0138145247847</v>
      </c>
      <c r="BQ274" s="74">
        <v>0</v>
      </c>
      <c r="BS274" s="109">
        <f t="shared" ref="BS274:BS337" si="138">H274*WTP-E274</f>
        <v>116662.21658938163</v>
      </c>
      <c r="BT274" s="109">
        <f t="shared" ref="BT274:BT337" si="139">I274*WTP-F274</f>
        <v>117009.31859685478</v>
      </c>
      <c r="BV274" s="58">
        <f t="array" ref="BV274">SUM(IF(BS274:BT274&gt;=BS274, 1))</f>
        <v>2</v>
      </c>
      <c r="BW274" s="58">
        <f t="array" ref="BW274">SUM(IF(BS274:BT274&gt;=BT274, 1))</f>
        <v>1</v>
      </c>
      <c r="BY274" s="109">
        <f t="shared" ref="BY274:BY337" si="140">N274*WTP-K274</f>
        <v>132204.49972592681</v>
      </c>
      <c r="BZ274" s="109">
        <f t="shared" ref="BZ274:BZ337" si="141">O274*WTP-L274</f>
        <v>132515.87962191607</v>
      </c>
      <c r="CB274" s="58">
        <f t="array" ref="CB274">SUM(IF(BY274:BZ274&gt;=BY274, 1))</f>
        <v>2</v>
      </c>
      <c r="CC274" s="58">
        <f t="array" ref="CC274">SUM(IF(BY274:BZ274&gt;=BZ274, 1))</f>
        <v>1</v>
      </c>
      <c r="CE274" s="109">
        <f t="shared" ref="CE274:CE337" si="142">T274*WTP-Q274</f>
        <v>91585.159670196284</v>
      </c>
      <c r="CF274" s="109">
        <f t="shared" ref="CF274:CF337" si="143">U274*WTP-R274</f>
        <v>93860.972299106361</v>
      </c>
      <c r="CH274" s="58">
        <f t="array" ref="CH274">SUM(IF(CE274:CF274&gt;=CE274, 1))</f>
        <v>2</v>
      </c>
      <c r="CI274" s="58">
        <f t="array" ref="CI274">SUM(IF(CE274:CF274&gt;=CF274, 1))</f>
        <v>1</v>
      </c>
      <c r="CK274" s="109">
        <f t="shared" ref="CK274:CK337" si="144">Z274*WTP-W274</f>
        <v>45685.258397930484</v>
      </c>
      <c r="CL274" s="109">
        <f t="shared" ref="CL274:CL337" si="145">AA274*WTP-X274</f>
        <v>46779.59291131256</v>
      </c>
      <c r="CN274" s="58">
        <f t="array" ref="CN274">SUM(IF(CK274:CL274&gt;=CK274, 1))</f>
        <v>2</v>
      </c>
      <c r="CO274" s="58">
        <f t="array" ref="CO274">SUM(IF(CK274:CL274&gt;=CL274, 1))</f>
        <v>1</v>
      </c>
      <c r="CQ274" s="109" cm="1">
        <f t="array" ref="CQ274">AF274*WTP-AC274</f>
        <v>38257.800491743808</v>
      </c>
      <c r="CR274" s="109">
        <f t="shared" ref="CR274:CR337" si="146">AG274*WTP-AD274</f>
        <v>40329.151727537537</v>
      </c>
      <c r="CT274" s="58">
        <f t="array" ref="CT274">SUM(IF(CQ274:CR274&gt;=CQ274, 1))</f>
        <v>2</v>
      </c>
      <c r="CU274" s="58">
        <f t="array" ref="CU274">SUM(IF(CQ274:CR274&gt;=CR274, 1))</f>
        <v>1</v>
      </c>
      <c r="CW274" s="109">
        <f t="shared" ref="CW274:CW337" si="147">AL274*WTP-AI274</f>
        <v>-36928581.488745838</v>
      </c>
      <c r="CX274" s="109">
        <f t="shared" ref="CX274:CX337" si="148">AM274*WTP-AJ274</f>
        <v>0</v>
      </c>
      <c r="CZ274" s="58">
        <f t="array" ref="CZ274">SUM(IF(CW274:CX274&gt;=CW274, 1))</f>
        <v>2</v>
      </c>
      <c r="DA274" s="58">
        <f t="array" ref="DA274">SUM(IF(CW274:CX274&gt;=CX274, 1))</f>
        <v>1</v>
      </c>
      <c r="DC274" s="109">
        <f t="shared" ref="DC274:DC337" si="149">AR274*WTP-AO274</f>
        <v>-2103024.5607775385</v>
      </c>
      <c r="DD274" s="109">
        <f t="shared" ref="DD274:DD337" si="150">AS274*WTP-AP274</f>
        <v>0</v>
      </c>
      <c r="DF274" s="58">
        <f t="array" ref="DF274">SUM(IF(DC274:DD274&gt;=DC274, 1))</f>
        <v>2</v>
      </c>
      <c r="DG274" s="58">
        <f t="array" ref="DG274">SUM(IF(DC274:DD274&gt;=DD274, 1))</f>
        <v>1</v>
      </c>
      <c r="DI274" s="109">
        <f t="shared" ref="DI274:DI337" si="151">AX274*WTP-AU274</f>
        <v>-51989214.677039012</v>
      </c>
      <c r="DJ274" s="109">
        <f t="shared" ref="DJ274:DJ337" si="152">AY274*WTP-AV274</f>
        <v>0</v>
      </c>
      <c r="DL274" s="58">
        <f t="array" ref="DL274">SUM(IF(DI274:DJ274&gt;=DI274, 1))</f>
        <v>2</v>
      </c>
      <c r="DM274" s="58">
        <f t="array" ref="DM274">SUM(IF(DI274:DJ274&gt;=DJ274, 1))</f>
        <v>1</v>
      </c>
      <c r="DO274" s="109">
        <f t="shared" ref="DO274:DO337" si="153">BD274*WTP-BA274</f>
        <v>-9876398.5717142727</v>
      </c>
      <c r="DP274" s="109">
        <f t="shared" ref="DP274:DP337" si="154">BE274*WTP-BB274</f>
        <v>0</v>
      </c>
      <c r="DR274" s="58">
        <f t="array" ref="DR274">SUM(IF(DO274:DP274&gt;=DO274, 1))</f>
        <v>2</v>
      </c>
      <c r="DS274" s="58">
        <f t="array" ref="DS274">SUM(IF(DO274:DP274&gt;=DP274, 1))</f>
        <v>1</v>
      </c>
      <c r="DU274" s="109">
        <f t="shared" ref="DU274:DU337" si="155">BJ274*WTP-BG274</f>
        <v>-33411821.310046952</v>
      </c>
      <c r="DV274" s="109">
        <f t="shared" ref="DV274:DV337" si="156">BK274*WTP-BH274</f>
        <v>0</v>
      </c>
      <c r="DX274" s="58">
        <f t="array" ref="DX274">SUM(IF(DU274:DV274&gt;=DU274, 1))</f>
        <v>2</v>
      </c>
      <c r="DY274" s="58">
        <f t="array" ref="DY274">SUM(IF(DU274:DV274&gt;=DV274, 1))</f>
        <v>1</v>
      </c>
      <c r="EA274" s="109">
        <f t="shared" ref="EA274:EA337" si="157">BP274*WTP-BM274</f>
        <v>-134309040.6083236</v>
      </c>
      <c r="EB274" s="109">
        <f t="shared" ref="EB274:EB337" si="158">BQ274*WTP-BN274</f>
        <v>0</v>
      </c>
      <c r="ED274" s="58">
        <f t="array" ref="ED274">SUM(IF(EA274:EB274&gt;=EA274, 1))</f>
        <v>2</v>
      </c>
      <c r="EE274" s="58">
        <f t="array" ref="EE274">SUM(IF(EA274:EB274&gt;=EB274, 1))</f>
        <v>1</v>
      </c>
    </row>
    <row r="275" spans="4:135" ht="12" customHeight="1" x14ac:dyDescent="0.25">
      <c r="D275" s="11">
        <v>259</v>
      </c>
      <c r="E275" s="72">
        <v>271.60838630305255</v>
      </c>
      <c r="F275" s="72">
        <v>236.90528420038979</v>
      </c>
      <c r="G275" s="73"/>
      <c r="H275" s="74">
        <v>5.8882554649125405</v>
      </c>
      <c r="I275" s="74">
        <v>5.9016454548420967</v>
      </c>
      <c r="J275" s="73"/>
      <c r="K275" s="72">
        <v>290.87058416080703</v>
      </c>
      <c r="L275" s="72">
        <v>255.354775754851</v>
      </c>
      <c r="M275" s="73"/>
      <c r="N275" s="74">
        <v>6.7159245143863835</v>
      </c>
      <c r="O275" s="74">
        <v>6.7272456000933047</v>
      </c>
      <c r="P275" s="73"/>
      <c r="Q275" s="72">
        <v>4132.0731499982294</v>
      </c>
      <c r="R275" s="72">
        <v>1972.0347058947798</v>
      </c>
      <c r="S275" s="73"/>
      <c r="T275" s="74">
        <v>4.7636991279717691</v>
      </c>
      <c r="U275" s="74">
        <v>4.8879475978593163</v>
      </c>
      <c r="V275" s="73"/>
      <c r="W275" s="72">
        <v>12325.894911796702</v>
      </c>
      <c r="X275" s="72">
        <v>12347.737071630841</v>
      </c>
      <c r="Y275" s="73"/>
      <c r="Z275" s="74">
        <v>3.1183717861120095</v>
      </c>
      <c r="AA275" s="74">
        <v>3.1762182240997383</v>
      </c>
      <c r="AB275" s="73"/>
      <c r="AC275" s="72">
        <v>52326.469514642071</v>
      </c>
      <c r="AD275" s="72">
        <v>52253.105538030242</v>
      </c>
      <c r="AE275" s="73"/>
      <c r="AF275" s="74">
        <v>4.5644517532660336</v>
      </c>
      <c r="AG275" s="74">
        <v>4.6767893595111332</v>
      </c>
      <c r="AH275" s="73"/>
      <c r="AI275" s="72">
        <v>3766036.5297471611</v>
      </c>
      <c r="AJ275" s="72">
        <v>0</v>
      </c>
      <c r="AK275" s="73"/>
      <c r="AL275" s="74">
        <v>-1453.1032718192071</v>
      </c>
      <c r="AM275" s="74">
        <v>0</v>
      </c>
      <c r="AN275" s="73"/>
      <c r="AO275" s="72">
        <v>247863.94128455163</v>
      </c>
      <c r="AP275" s="72">
        <v>0</v>
      </c>
      <c r="AQ275" s="73"/>
      <c r="AR275" s="74">
        <v>-79.0095748592653</v>
      </c>
      <c r="AS275" s="74">
        <v>0</v>
      </c>
      <c r="AT275" s="73"/>
      <c r="AU275" s="72">
        <v>49192280.019829825</v>
      </c>
      <c r="AV275" s="72">
        <v>0</v>
      </c>
      <c r="AW275" s="73"/>
      <c r="AX275" s="74">
        <v>-2829.6096022867341</v>
      </c>
      <c r="AY275" s="74">
        <v>0</v>
      </c>
      <c r="AZ275" s="73"/>
      <c r="BA275" s="72">
        <v>-196394.80915432418</v>
      </c>
      <c r="BB275" s="72">
        <v>0</v>
      </c>
      <c r="BC275" s="73"/>
      <c r="BD275" s="74">
        <v>-520.12897236932781</v>
      </c>
      <c r="BE275" s="74">
        <v>0</v>
      </c>
      <c r="BF275" s="73"/>
      <c r="BG275" s="72">
        <v>1118082.6204422421</v>
      </c>
      <c r="BH275" s="72">
        <v>0</v>
      </c>
      <c r="BI275" s="73"/>
      <c r="BJ275" s="74">
        <v>-1712.0490323104798</v>
      </c>
      <c r="BK275" s="74">
        <v>0</v>
      </c>
      <c r="BL275" s="73"/>
      <c r="BM275" s="72">
        <v>54127868.302149452</v>
      </c>
      <c r="BN275" s="72">
        <v>0</v>
      </c>
      <c r="BO275" s="73"/>
      <c r="BP275" s="74">
        <v>-6593.9004536450138</v>
      </c>
      <c r="BQ275" s="74">
        <v>0</v>
      </c>
      <c r="BS275" s="109">
        <f t="shared" si="138"/>
        <v>117493.50091194776</v>
      </c>
      <c r="BT275" s="109">
        <f t="shared" si="139"/>
        <v>117796.00381264155</v>
      </c>
      <c r="BV275" s="58">
        <f t="array" ref="BV275">SUM(IF(BS275:BT275&gt;=BS275, 1))</f>
        <v>2</v>
      </c>
      <c r="BW275" s="58">
        <f t="array" ref="BW275">SUM(IF(BS275:BT275&gt;=BT275, 1))</f>
        <v>1</v>
      </c>
      <c r="BY275" s="109">
        <f t="shared" si="140"/>
        <v>134027.61970356686</v>
      </c>
      <c r="BZ275" s="109">
        <f t="shared" si="141"/>
        <v>134289.55722611124</v>
      </c>
      <c r="CB275" s="58">
        <f t="array" ref="CB275">SUM(IF(BY275:BZ275&gt;=BY275, 1))</f>
        <v>2</v>
      </c>
      <c r="CC275" s="58">
        <f t="array" ref="CC275">SUM(IF(BY275:BZ275&gt;=BZ275, 1))</f>
        <v>1</v>
      </c>
      <c r="CE275" s="109">
        <f t="shared" si="142"/>
        <v>91141.909409437139</v>
      </c>
      <c r="CF275" s="109">
        <f t="shared" si="143"/>
        <v>95786.917251291539</v>
      </c>
      <c r="CH275" s="58">
        <f t="array" ref="CH275">SUM(IF(CE275:CF275&gt;=CE275, 1))</f>
        <v>2</v>
      </c>
      <c r="CI275" s="58">
        <f t="array" ref="CI275">SUM(IF(CE275:CF275&gt;=CF275, 1))</f>
        <v>1</v>
      </c>
      <c r="CK275" s="109">
        <f t="shared" si="144"/>
        <v>50041.54081044349</v>
      </c>
      <c r="CL275" s="109">
        <f t="shared" si="145"/>
        <v>51176.627410363923</v>
      </c>
      <c r="CN275" s="58">
        <f t="array" ref="CN275">SUM(IF(CK275:CL275&gt;=CK275, 1))</f>
        <v>2</v>
      </c>
      <c r="CO275" s="58">
        <f t="array" ref="CO275">SUM(IF(CK275:CL275&gt;=CL275, 1))</f>
        <v>1</v>
      </c>
      <c r="CQ275" s="109" cm="1">
        <f t="array" ref="CQ275">AF275*WTP-AC275</f>
        <v>38962.565550678599</v>
      </c>
      <c r="CR275" s="109">
        <f t="shared" si="146"/>
        <v>41282.681652192419</v>
      </c>
      <c r="CT275" s="58">
        <f t="array" ref="CT275">SUM(IF(CQ275:CR275&gt;=CQ275, 1))</f>
        <v>2</v>
      </c>
      <c r="CU275" s="58">
        <f t="array" ref="CU275">SUM(IF(CQ275:CR275&gt;=CR275, 1))</f>
        <v>1</v>
      </c>
      <c r="CW275" s="109">
        <f t="shared" si="147"/>
        <v>-32828101.966131303</v>
      </c>
      <c r="CX275" s="109">
        <f t="shared" si="148"/>
        <v>0</v>
      </c>
      <c r="CZ275" s="58">
        <f t="array" ref="CZ275">SUM(IF(CW275:CX275&gt;=CW275, 1))</f>
        <v>2</v>
      </c>
      <c r="DA275" s="58">
        <f t="array" ref="DA275">SUM(IF(CW275:CX275&gt;=CX275, 1))</f>
        <v>1</v>
      </c>
      <c r="DC275" s="109">
        <f t="shared" si="149"/>
        <v>-1828055.4384698574</v>
      </c>
      <c r="DD275" s="109">
        <f t="shared" si="150"/>
        <v>0</v>
      </c>
      <c r="DF275" s="58">
        <f t="array" ref="DF275">SUM(IF(DC275:DD275&gt;=DC275, 1))</f>
        <v>2</v>
      </c>
      <c r="DG275" s="58">
        <f t="array" ref="DG275">SUM(IF(DC275:DD275&gt;=DD275, 1))</f>
        <v>1</v>
      </c>
      <c r="DI275" s="109">
        <f t="shared" si="151"/>
        <v>-105784472.06556451</v>
      </c>
      <c r="DJ275" s="109">
        <f t="shared" si="152"/>
        <v>0</v>
      </c>
      <c r="DL275" s="58">
        <f t="array" ref="DL275">SUM(IF(DI275:DJ275&gt;=DI275, 1))</f>
        <v>2</v>
      </c>
      <c r="DM275" s="58">
        <f t="array" ref="DM275">SUM(IF(DI275:DJ275&gt;=DJ275, 1))</f>
        <v>1</v>
      </c>
      <c r="DO275" s="109">
        <f t="shared" si="153"/>
        <v>-10206184.638232231</v>
      </c>
      <c r="DP275" s="109">
        <f t="shared" si="154"/>
        <v>0</v>
      </c>
      <c r="DR275" s="58">
        <f t="array" ref="DR275">SUM(IF(DO275:DP275&gt;=DO275, 1))</f>
        <v>2</v>
      </c>
      <c r="DS275" s="58">
        <f t="array" ref="DS275">SUM(IF(DO275:DP275&gt;=DP275, 1))</f>
        <v>1</v>
      </c>
      <c r="DU275" s="109">
        <f t="shared" si="155"/>
        <v>-35359063.266651839</v>
      </c>
      <c r="DV275" s="109">
        <f t="shared" si="156"/>
        <v>0</v>
      </c>
      <c r="DX275" s="58">
        <f t="array" ref="DX275">SUM(IF(DU275:DV275&gt;=DU275, 1))</f>
        <v>2</v>
      </c>
      <c r="DY275" s="58">
        <f t="array" ref="DY275">SUM(IF(DU275:DV275&gt;=DV275, 1))</f>
        <v>1</v>
      </c>
      <c r="EA275" s="109">
        <f t="shared" si="157"/>
        <v>-186005877.37504974</v>
      </c>
      <c r="EB275" s="109">
        <f t="shared" si="158"/>
        <v>0</v>
      </c>
      <c r="ED275" s="58">
        <f t="array" ref="ED275">SUM(IF(EA275:EB275&gt;=EA275, 1))</f>
        <v>2</v>
      </c>
      <c r="EE275" s="58">
        <f t="array" ref="EE275">SUM(IF(EA275:EB275&gt;=EB275, 1))</f>
        <v>1</v>
      </c>
    </row>
    <row r="276" spans="4:135" ht="12" customHeight="1" x14ac:dyDescent="0.25">
      <c r="D276" s="11">
        <v>260</v>
      </c>
      <c r="E276" s="72">
        <v>283.63447969198847</v>
      </c>
      <c r="F276" s="72">
        <v>265.83126504679848</v>
      </c>
      <c r="G276" s="73"/>
      <c r="H276" s="74">
        <v>5.8425241790784002</v>
      </c>
      <c r="I276" s="74">
        <v>5.8559144439456761</v>
      </c>
      <c r="J276" s="73"/>
      <c r="K276" s="72">
        <v>304.90097000192532</v>
      </c>
      <c r="L276" s="72">
        <v>286.63098448797365</v>
      </c>
      <c r="M276" s="73"/>
      <c r="N276" s="74">
        <v>6.6934544265474472</v>
      </c>
      <c r="O276" s="74">
        <v>6.7045435151539863</v>
      </c>
      <c r="P276" s="73"/>
      <c r="Q276" s="72">
        <v>2219.217317605372</v>
      </c>
      <c r="R276" s="72">
        <v>1357.8370400183283</v>
      </c>
      <c r="S276" s="73"/>
      <c r="T276" s="74">
        <v>4.9677445468972294</v>
      </c>
      <c r="U276" s="74">
        <v>5.076625492477449</v>
      </c>
      <c r="V276" s="73"/>
      <c r="W276" s="72">
        <v>7847.2343052844853</v>
      </c>
      <c r="X276" s="72">
        <v>7885.6745771385931</v>
      </c>
      <c r="Y276" s="73"/>
      <c r="Z276" s="74">
        <v>2.9263514259023</v>
      </c>
      <c r="AA276" s="74">
        <v>2.9899787121104149</v>
      </c>
      <c r="AB276" s="73"/>
      <c r="AC276" s="72">
        <v>50855.414187041635</v>
      </c>
      <c r="AD276" s="72">
        <v>50507.982208840447</v>
      </c>
      <c r="AE276" s="73"/>
      <c r="AF276" s="74">
        <v>4.2428405999600294</v>
      </c>
      <c r="AG276" s="74">
        <v>4.3779199036696124</v>
      </c>
      <c r="AH276" s="73"/>
      <c r="AI276" s="72">
        <v>1901066.6233197523</v>
      </c>
      <c r="AJ276" s="72">
        <v>0</v>
      </c>
      <c r="AK276" s="73"/>
      <c r="AL276" s="74">
        <v>-1429.8420888537037</v>
      </c>
      <c r="AM276" s="74">
        <v>0</v>
      </c>
      <c r="AN276" s="73"/>
      <c r="AO276" s="72">
        <v>117580.89594878106</v>
      </c>
      <c r="AP276" s="72">
        <v>0</v>
      </c>
      <c r="AQ276" s="73"/>
      <c r="AR276" s="74">
        <v>-71.366502869781058</v>
      </c>
      <c r="AS276" s="74">
        <v>0</v>
      </c>
      <c r="AT276" s="73"/>
      <c r="AU276" s="72">
        <v>20164617.907115281</v>
      </c>
      <c r="AV276" s="72">
        <v>0</v>
      </c>
      <c r="AW276" s="73"/>
      <c r="AX276" s="74">
        <v>-2548.8657241385195</v>
      </c>
      <c r="AY276" s="74">
        <v>0</v>
      </c>
      <c r="AZ276" s="73"/>
      <c r="BA276" s="72">
        <v>-349988.25479537784</v>
      </c>
      <c r="BB276" s="72">
        <v>0</v>
      </c>
      <c r="BC276" s="73"/>
      <c r="BD276" s="74">
        <v>-579.30919276171721</v>
      </c>
      <c r="BE276" s="74">
        <v>0</v>
      </c>
      <c r="BF276" s="73"/>
      <c r="BG276" s="72">
        <v>5484985.6921012998</v>
      </c>
      <c r="BH276" s="72">
        <v>0</v>
      </c>
      <c r="BI276" s="73"/>
      <c r="BJ276" s="74">
        <v>-2132.5269250748988</v>
      </c>
      <c r="BK276" s="74">
        <v>0</v>
      </c>
      <c r="BL276" s="73"/>
      <c r="BM276" s="72">
        <v>27318262.863689739</v>
      </c>
      <c r="BN276" s="72">
        <v>0</v>
      </c>
      <c r="BO276" s="73"/>
      <c r="BP276" s="74">
        <v>-6761.9104336986202</v>
      </c>
      <c r="BQ276" s="74">
        <v>0</v>
      </c>
      <c r="BS276" s="109">
        <f t="shared" si="138"/>
        <v>116566.84910187601</v>
      </c>
      <c r="BT276" s="109">
        <f t="shared" si="139"/>
        <v>116852.45761386672</v>
      </c>
      <c r="BV276" s="58">
        <f t="array" ref="BV276">SUM(IF(BS276:BT276&gt;=BS276, 1))</f>
        <v>2</v>
      </c>
      <c r="BW276" s="58">
        <f t="array" ref="BW276">SUM(IF(BS276:BT276&gt;=BT276, 1))</f>
        <v>1</v>
      </c>
      <c r="BY276" s="109">
        <f t="shared" si="140"/>
        <v>133564.187560947</v>
      </c>
      <c r="BZ276" s="109">
        <f t="shared" si="141"/>
        <v>133804.23931859175</v>
      </c>
      <c r="CB276" s="58">
        <f t="array" ref="CB276">SUM(IF(BY276:BZ276&gt;=BY276, 1))</f>
        <v>2</v>
      </c>
      <c r="CC276" s="58">
        <f t="array" ref="CC276">SUM(IF(BY276:BZ276&gt;=BZ276, 1))</f>
        <v>1</v>
      </c>
      <c r="CE276" s="109">
        <f t="shared" si="142"/>
        <v>97135.673620339207</v>
      </c>
      <c r="CF276" s="109">
        <f t="shared" si="143"/>
        <v>100174.67280953065</v>
      </c>
      <c r="CH276" s="58">
        <f t="array" ref="CH276">SUM(IF(CE276:CF276&gt;=CE276, 1))</f>
        <v>2</v>
      </c>
      <c r="CI276" s="58">
        <f t="array" ref="CI276">SUM(IF(CE276:CF276&gt;=CF276, 1))</f>
        <v>1</v>
      </c>
      <c r="CK276" s="109">
        <f t="shared" si="144"/>
        <v>50679.79421276151</v>
      </c>
      <c r="CL276" s="109">
        <f t="shared" si="145"/>
        <v>51913.899665069708</v>
      </c>
      <c r="CN276" s="58">
        <f t="array" ref="CN276">SUM(IF(CK276:CL276&gt;=CK276, 1))</f>
        <v>2</v>
      </c>
      <c r="CO276" s="58">
        <f t="array" ref="CO276">SUM(IF(CK276:CL276&gt;=CL276, 1))</f>
        <v>1</v>
      </c>
      <c r="CQ276" s="109" cm="1">
        <f t="array" ref="CQ276">AF276*WTP-AC276</f>
        <v>34001.397812158946</v>
      </c>
      <c r="CR276" s="109">
        <f t="shared" si="146"/>
        <v>37050.415864551804</v>
      </c>
      <c r="CT276" s="58">
        <f t="array" ref="CT276">SUM(IF(CQ276:CR276&gt;=CQ276, 1))</f>
        <v>2</v>
      </c>
      <c r="CU276" s="58">
        <f t="array" ref="CU276">SUM(IF(CQ276:CR276&gt;=CR276, 1))</f>
        <v>1</v>
      </c>
      <c r="CW276" s="109">
        <f t="shared" si="147"/>
        <v>-30497908.400393825</v>
      </c>
      <c r="CX276" s="109">
        <f t="shared" si="148"/>
        <v>0</v>
      </c>
      <c r="CZ276" s="58">
        <f t="array" ref="CZ276">SUM(IF(CW276:CX276&gt;=CW276, 1))</f>
        <v>2</v>
      </c>
      <c r="DA276" s="58">
        <f t="array" ref="DA276">SUM(IF(CW276:CX276&gt;=CX276, 1))</f>
        <v>1</v>
      </c>
      <c r="DC276" s="109">
        <f t="shared" si="149"/>
        <v>-1544910.9533444024</v>
      </c>
      <c r="DD276" s="109">
        <f t="shared" si="150"/>
        <v>0</v>
      </c>
      <c r="DF276" s="58">
        <f t="array" ref="DF276">SUM(IF(DC276:DD276&gt;=DC276, 1))</f>
        <v>2</v>
      </c>
      <c r="DG276" s="58">
        <f t="array" ref="DG276">SUM(IF(DC276:DD276&gt;=DD276, 1))</f>
        <v>1</v>
      </c>
      <c r="DI276" s="109">
        <f t="shared" si="151"/>
        <v>-71141932.389885664</v>
      </c>
      <c r="DJ276" s="109">
        <f t="shared" si="152"/>
        <v>0</v>
      </c>
      <c r="DL276" s="58">
        <f t="array" ref="DL276">SUM(IF(DI276:DJ276&gt;=DI276, 1))</f>
        <v>2</v>
      </c>
      <c r="DM276" s="58">
        <f t="array" ref="DM276">SUM(IF(DI276:DJ276&gt;=DJ276, 1))</f>
        <v>1</v>
      </c>
      <c r="DO276" s="109">
        <f t="shared" si="153"/>
        <v>-11236195.600438965</v>
      </c>
      <c r="DP276" s="109">
        <f t="shared" si="154"/>
        <v>0</v>
      </c>
      <c r="DR276" s="58">
        <f t="array" ref="DR276">SUM(IF(DO276:DP276&gt;=DO276, 1))</f>
        <v>2</v>
      </c>
      <c r="DS276" s="58">
        <f t="array" ref="DS276">SUM(IF(DO276:DP276&gt;=DP276, 1))</f>
        <v>1</v>
      </c>
      <c r="DU276" s="109">
        <f t="shared" si="155"/>
        <v>-48135524.193599276</v>
      </c>
      <c r="DV276" s="109">
        <f t="shared" si="156"/>
        <v>0</v>
      </c>
      <c r="DX276" s="58">
        <f t="array" ref="DX276">SUM(IF(DU276:DV276&gt;=DU276, 1))</f>
        <v>2</v>
      </c>
      <c r="DY276" s="58">
        <f t="array" ref="DY276">SUM(IF(DU276:DV276&gt;=DV276, 1))</f>
        <v>1</v>
      </c>
      <c r="EA276" s="109">
        <f t="shared" si="157"/>
        <v>-162556471.53766215</v>
      </c>
      <c r="EB276" s="109">
        <f t="shared" si="158"/>
        <v>0</v>
      </c>
      <c r="ED276" s="58">
        <f t="array" ref="ED276">SUM(IF(EA276:EB276&gt;=EA276, 1))</f>
        <v>2</v>
      </c>
      <c r="EE276" s="58">
        <f t="array" ref="EE276">SUM(IF(EA276:EB276&gt;=EB276, 1))</f>
        <v>1</v>
      </c>
    </row>
    <row r="277" spans="4:135" ht="12" customHeight="1" x14ac:dyDescent="0.25">
      <c r="D277" s="11">
        <v>261</v>
      </c>
      <c r="E277" s="72">
        <v>215.46794288678956</v>
      </c>
      <c r="F277" s="72">
        <v>178.56125218844048</v>
      </c>
      <c r="G277" s="73"/>
      <c r="H277" s="74">
        <v>5.8471379319151815</v>
      </c>
      <c r="I277" s="74">
        <v>5.8612871034555445</v>
      </c>
      <c r="J277" s="73"/>
      <c r="K277" s="72">
        <v>230.20985990049871</v>
      </c>
      <c r="L277" s="72">
        <v>192.43358091324225</v>
      </c>
      <c r="M277" s="73"/>
      <c r="N277" s="74">
        <v>6.7381308891879632</v>
      </c>
      <c r="O277" s="74">
        <v>6.749881539028129</v>
      </c>
      <c r="P277" s="73"/>
      <c r="Q277" s="72">
        <v>3077.7067234633896</v>
      </c>
      <c r="R277" s="72">
        <v>1492.5200817028292</v>
      </c>
      <c r="S277" s="73"/>
      <c r="T277" s="74">
        <v>4.5830082129722172</v>
      </c>
      <c r="U277" s="74">
        <v>4.6862171402635751</v>
      </c>
      <c r="V277" s="73"/>
      <c r="W277" s="72">
        <v>16702.329228269267</v>
      </c>
      <c r="X277" s="72">
        <v>16665.283378897664</v>
      </c>
      <c r="Y277" s="73"/>
      <c r="Z277" s="74">
        <v>3.0870117847156342</v>
      </c>
      <c r="AA277" s="74">
        <v>3.1306027922824153</v>
      </c>
      <c r="AB277" s="73"/>
      <c r="AC277" s="72">
        <v>51520.584170426322</v>
      </c>
      <c r="AD277" s="72">
        <v>51458.36150974012</v>
      </c>
      <c r="AE277" s="73"/>
      <c r="AF277" s="74">
        <v>4.3457989757296884</v>
      </c>
      <c r="AG277" s="74">
        <v>4.3880144306364812</v>
      </c>
      <c r="AH277" s="73"/>
      <c r="AI277" s="72">
        <v>3989230.8853282412</v>
      </c>
      <c r="AJ277" s="72">
        <v>0</v>
      </c>
      <c r="AK277" s="73"/>
      <c r="AL277" s="74">
        <v>-1529.3788481866866</v>
      </c>
      <c r="AM277" s="74">
        <v>0</v>
      </c>
      <c r="AN277" s="73"/>
      <c r="AO277" s="72">
        <v>255647.72223299742</v>
      </c>
      <c r="AP277" s="72">
        <v>0</v>
      </c>
      <c r="AQ277" s="73"/>
      <c r="AR277" s="74">
        <v>-79.521513154043433</v>
      </c>
      <c r="AS277" s="74">
        <v>0</v>
      </c>
      <c r="AT277" s="73"/>
      <c r="AU277" s="72">
        <v>37014962.946507365</v>
      </c>
      <c r="AV277" s="72">
        <v>0</v>
      </c>
      <c r="AW277" s="73"/>
      <c r="AX277" s="74">
        <v>-2409.9841108902242</v>
      </c>
      <c r="AY277" s="74">
        <v>0</v>
      </c>
      <c r="AZ277" s="73"/>
      <c r="BA277" s="72">
        <v>323348.97333354346</v>
      </c>
      <c r="BB277" s="72">
        <v>0</v>
      </c>
      <c r="BC277" s="73"/>
      <c r="BD277" s="74">
        <v>-380.47737553286402</v>
      </c>
      <c r="BE277" s="74">
        <v>0</v>
      </c>
      <c r="BF277" s="73"/>
      <c r="BG277" s="72">
        <v>986195.36516945402</v>
      </c>
      <c r="BH277" s="72">
        <v>0</v>
      </c>
      <c r="BI277" s="73"/>
      <c r="BJ277" s="74">
        <v>-669.09202384576065</v>
      </c>
      <c r="BK277" s="74">
        <v>0</v>
      </c>
      <c r="BL277" s="73"/>
      <c r="BM277" s="72">
        <v>42569385.892571598</v>
      </c>
      <c r="BN277" s="72">
        <v>0</v>
      </c>
      <c r="BO277" s="73"/>
      <c r="BP277" s="74">
        <v>-5068.4538716095794</v>
      </c>
      <c r="BQ277" s="74">
        <v>0</v>
      </c>
      <c r="BS277" s="109">
        <f t="shared" si="138"/>
        <v>116727.29069541683</v>
      </c>
      <c r="BT277" s="109">
        <f t="shared" si="139"/>
        <v>117047.18081692244</v>
      </c>
      <c r="BV277" s="58">
        <f t="array" ref="BV277">SUM(IF(BS277:BT277&gt;=BS277, 1))</f>
        <v>2</v>
      </c>
      <c r="BW277" s="58">
        <f t="array" ref="BW277">SUM(IF(BS277:BT277&gt;=BT277, 1))</f>
        <v>1</v>
      </c>
      <c r="BY277" s="109">
        <f t="shared" si="140"/>
        <v>134532.40792385876</v>
      </c>
      <c r="BZ277" s="109">
        <f t="shared" si="141"/>
        <v>134805.19719964935</v>
      </c>
      <c r="CB277" s="58">
        <f t="array" ref="CB277">SUM(IF(BY277:BZ277&gt;=BY277, 1))</f>
        <v>2</v>
      </c>
      <c r="CC277" s="58">
        <f t="array" ref="CC277">SUM(IF(BY277:BZ277&gt;=BZ277, 1))</f>
        <v>1</v>
      </c>
      <c r="CE277" s="109">
        <f t="shared" si="142"/>
        <v>88582.457535980953</v>
      </c>
      <c r="CF277" s="109">
        <f t="shared" si="143"/>
        <v>92231.822723568679</v>
      </c>
      <c r="CH277" s="58">
        <f t="array" ref="CH277">SUM(IF(CE277:CF277&gt;=CE277, 1))</f>
        <v>2</v>
      </c>
      <c r="CI277" s="58">
        <f t="array" ref="CI277">SUM(IF(CE277:CF277&gt;=CF277, 1))</f>
        <v>1</v>
      </c>
      <c r="CK277" s="109">
        <f t="shared" si="144"/>
        <v>45037.906466043423</v>
      </c>
      <c r="CL277" s="109">
        <f t="shared" si="145"/>
        <v>45946.772466750641</v>
      </c>
      <c r="CN277" s="58">
        <f t="array" ref="CN277">SUM(IF(CK277:CL277&gt;=CK277, 1))</f>
        <v>2</v>
      </c>
      <c r="CO277" s="58">
        <f t="array" ref="CO277">SUM(IF(CK277:CL277&gt;=CL277, 1))</f>
        <v>1</v>
      </c>
      <c r="CQ277" s="109" cm="1">
        <f t="array" ref="CQ277">AF277*WTP-AC277</f>
        <v>35395.395344167446</v>
      </c>
      <c r="CR277" s="109">
        <f t="shared" si="146"/>
        <v>36301.927102989503</v>
      </c>
      <c r="CT277" s="58">
        <f t="array" ref="CT277">SUM(IF(CQ277:CR277&gt;=CQ277, 1))</f>
        <v>2</v>
      </c>
      <c r="CU277" s="58">
        <f t="array" ref="CU277">SUM(IF(CQ277:CR277&gt;=CR277, 1))</f>
        <v>1</v>
      </c>
      <c r="CW277" s="109">
        <f t="shared" si="147"/>
        <v>-34576807.849061973</v>
      </c>
      <c r="CX277" s="109">
        <f t="shared" si="148"/>
        <v>0</v>
      </c>
      <c r="CZ277" s="58">
        <f t="array" ref="CZ277">SUM(IF(CW277:CX277&gt;=CW277, 1))</f>
        <v>2</v>
      </c>
      <c r="DA277" s="58">
        <f t="array" ref="DA277">SUM(IF(CW277:CX277&gt;=CX277, 1))</f>
        <v>1</v>
      </c>
      <c r="DC277" s="109">
        <f t="shared" si="149"/>
        <v>-1846077.9853138661</v>
      </c>
      <c r="DD277" s="109">
        <f t="shared" si="150"/>
        <v>0</v>
      </c>
      <c r="DF277" s="58">
        <f t="array" ref="DF277">SUM(IF(DC277:DD277&gt;=DC277, 1))</f>
        <v>2</v>
      </c>
      <c r="DG277" s="58">
        <f t="array" ref="DG277">SUM(IF(DC277:DD277&gt;=DD277, 1))</f>
        <v>1</v>
      </c>
      <c r="DI277" s="109">
        <f t="shared" si="151"/>
        <v>-85214645.164311856</v>
      </c>
      <c r="DJ277" s="109">
        <f t="shared" si="152"/>
        <v>0</v>
      </c>
      <c r="DL277" s="58">
        <f t="array" ref="DL277">SUM(IF(DI277:DJ277&gt;=DI277, 1))</f>
        <v>2</v>
      </c>
      <c r="DM277" s="58">
        <f t="array" ref="DM277">SUM(IF(DI277:DJ277&gt;=DJ277, 1))</f>
        <v>1</v>
      </c>
      <c r="DO277" s="109">
        <f t="shared" si="153"/>
        <v>-7932896.4839908239</v>
      </c>
      <c r="DP277" s="109">
        <f t="shared" si="154"/>
        <v>0</v>
      </c>
      <c r="DR277" s="58">
        <f t="array" ref="DR277">SUM(IF(DO277:DP277&gt;=DO277, 1))</f>
        <v>2</v>
      </c>
      <c r="DS277" s="58">
        <f t="array" ref="DS277">SUM(IF(DO277:DP277&gt;=DP277, 1))</f>
        <v>1</v>
      </c>
      <c r="DU277" s="109">
        <f t="shared" si="155"/>
        <v>-14368035.842084667</v>
      </c>
      <c r="DV277" s="109">
        <f t="shared" si="156"/>
        <v>0</v>
      </c>
      <c r="DX277" s="58">
        <f t="array" ref="DX277">SUM(IF(DU277:DV277&gt;=DU277, 1))</f>
        <v>2</v>
      </c>
      <c r="DY277" s="58">
        <f t="array" ref="DY277">SUM(IF(DU277:DV277&gt;=DV277, 1))</f>
        <v>1</v>
      </c>
      <c r="EA277" s="109">
        <f t="shared" si="157"/>
        <v>-143938463.32476318</v>
      </c>
      <c r="EB277" s="109">
        <f t="shared" si="158"/>
        <v>0</v>
      </c>
      <c r="ED277" s="58">
        <f t="array" ref="ED277">SUM(IF(EA277:EB277&gt;=EA277, 1))</f>
        <v>2</v>
      </c>
      <c r="EE277" s="58">
        <f t="array" ref="EE277">SUM(IF(EA277:EB277&gt;=EB277, 1))</f>
        <v>1</v>
      </c>
    </row>
    <row r="278" spans="4:135" ht="12" customHeight="1" x14ac:dyDescent="0.25">
      <c r="D278" s="11">
        <v>262</v>
      </c>
      <c r="E278" s="72">
        <v>336.3266677178076</v>
      </c>
      <c r="F278" s="72">
        <v>318.14522285963466</v>
      </c>
      <c r="G278" s="73"/>
      <c r="H278" s="74">
        <v>5.820504146442997</v>
      </c>
      <c r="I278" s="74">
        <v>5.8335197254659006</v>
      </c>
      <c r="J278" s="73"/>
      <c r="K278" s="72">
        <v>361.51861321127717</v>
      </c>
      <c r="L278" s="72">
        <v>342.87442649482279</v>
      </c>
      <c r="M278" s="73"/>
      <c r="N278" s="74">
        <v>6.7201132118265239</v>
      </c>
      <c r="O278" s="74">
        <v>6.7311011328004264</v>
      </c>
      <c r="P278" s="73"/>
      <c r="Q278" s="72">
        <v>4641.5269488504246</v>
      </c>
      <c r="R278" s="72">
        <v>1821.6156094623796</v>
      </c>
      <c r="S278" s="73"/>
      <c r="T278" s="74">
        <v>4.6956200592857327</v>
      </c>
      <c r="U278" s="74">
        <v>4.9173147278128457</v>
      </c>
      <c r="V278" s="73"/>
      <c r="W278" s="72">
        <v>12180.265298027109</v>
      </c>
      <c r="X278" s="72">
        <v>12134.495922104763</v>
      </c>
      <c r="Y278" s="73"/>
      <c r="Z278" s="74">
        <v>3.0619602334429334</v>
      </c>
      <c r="AA278" s="74">
        <v>3.1112366915866279</v>
      </c>
      <c r="AB278" s="73"/>
      <c r="AC278" s="72">
        <v>50089.270239655598</v>
      </c>
      <c r="AD278" s="72">
        <v>49842.708510918761</v>
      </c>
      <c r="AE278" s="73"/>
      <c r="AF278" s="74">
        <v>4.5144595115793367</v>
      </c>
      <c r="AG278" s="74">
        <v>4.6380246864155668</v>
      </c>
      <c r="AH278" s="73"/>
      <c r="AI278" s="72">
        <v>1972045.6231496648</v>
      </c>
      <c r="AJ278" s="72">
        <v>0</v>
      </c>
      <c r="AK278" s="73"/>
      <c r="AL278" s="74">
        <v>-1411.731347266259</v>
      </c>
      <c r="AM278" s="74">
        <v>0</v>
      </c>
      <c r="AN278" s="73"/>
      <c r="AO278" s="72">
        <v>129181.90223187365</v>
      </c>
      <c r="AP278" s="72">
        <v>0</v>
      </c>
      <c r="AQ278" s="73"/>
      <c r="AR278" s="74">
        <v>-76.133142977457396</v>
      </c>
      <c r="AS278" s="74">
        <v>0</v>
      </c>
      <c r="AT278" s="73"/>
      <c r="AU278" s="72">
        <v>66574454.634545714</v>
      </c>
      <c r="AV278" s="72">
        <v>0</v>
      </c>
      <c r="AW278" s="73"/>
      <c r="AX278" s="74">
        <v>-5233.9240054908469</v>
      </c>
      <c r="AY278" s="74">
        <v>0</v>
      </c>
      <c r="AZ278" s="73"/>
      <c r="BA278" s="72">
        <v>379196.86742690171</v>
      </c>
      <c r="BB278" s="72">
        <v>0</v>
      </c>
      <c r="BC278" s="73"/>
      <c r="BD278" s="74">
        <v>-408.25285880420012</v>
      </c>
      <c r="BE278" s="74">
        <v>0</v>
      </c>
      <c r="BF278" s="73"/>
      <c r="BG278" s="72">
        <v>3939303.356670673</v>
      </c>
      <c r="BH278" s="72">
        <v>0</v>
      </c>
      <c r="BI278" s="73"/>
      <c r="BJ278" s="74">
        <v>-1974.1940912472064</v>
      </c>
      <c r="BK278" s="74">
        <v>0</v>
      </c>
      <c r="BL278" s="73"/>
      <c r="BM278" s="72">
        <v>72994182.384024829</v>
      </c>
      <c r="BN278" s="72">
        <v>0</v>
      </c>
      <c r="BO278" s="73"/>
      <c r="BP278" s="74">
        <v>-9104.2354457859692</v>
      </c>
      <c r="BQ278" s="74">
        <v>0</v>
      </c>
      <c r="BS278" s="109">
        <f t="shared" si="138"/>
        <v>116073.75626114213</v>
      </c>
      <c r="BT278" s="109">
        <f t="shared" si="139"/>
        <v>116352.24928645838</v>
      </c>
      <c r="BV278" s="58">
        <f t="array" ref="BV278">SUM(IF(BS278:BT278&gt;=BS278, 1))</f>
        <v>2</v>
      </c>
      <c r="BW278" s="58">
        <f t="array" ref="BW278">SUM(IF(BS278:BT278&gt;=BT278, 1))</f>
        <v>1</v>
      </c>
      <c r="BY278" s="109">
        <f t="shared" si="140"/>
        <v>134040.74562331918</v>
      </c>
      <c r="BZ278" s="109">
        <f t="shared" si="141"/>
        <v>134279.14822951372</v>
      </c>
      <c r="CB278" s="58">
        <f t="array" ref="CB278">SUM(IF(BY278:BZ278&gt;=BY278, 1))</f>
        <v>2</v>
      </c>
      <c r="CC278" s="58">
        <f t="array" ref="CC278">SUM(IF(BY278:BZ278&gt;=BZ278, 1))</f>
        <v>1</v>
      </c>
      <c r="CE278" s="109">
        <f t="shared" si="142"/>
        <v>89270.874236864227</v>
      </c>
      <c r="CF278" s="109">
        <f t="shared" si="143"/>
        <v>96524.678946794535</v>
      </c>
      <c r="CH278" s="58">
        <f t="array" ref="CH278">SUM(IF(CE278:CF278&gt;=CE278, 1))</f>
        <v>2</v>
      </c>
      <c r="CI278" s="58">
        <f t="array" ref="CI278">SUM(IF(CE278:CF278&gt;=CF278, 1))</f>
        <v>1</v>
      </c>
      <c r="CK278" s="109">
        <f t="shared" si="144"/>
        <v>49058.939370831562</v>
      </c>
      <c r="CL278" s="109">
        <f t="shared" si="145"/>
        <v>50090.237909627795</v>
      </c>
      <c r="CN278" s="58">
        <f t="array" ref="CN278">SUM(IF(CK278:CL278&gt;=CK278, 1))</f>
        <v>2</v>
      </c>
      <c r="CO278" s="58">
        <f t="array" ref="CO278">SUM(IF(CK278:CL278&gt;=CL278, 1))</f>
        <v>1</v>
      </c>
      <c r="CQ278" s="109" cm="1">
        <f t="array" ref="CQ278">AF278*WTP-AC278</f>
        <v>40199.919991931136</v>
      </c>
      <c r="CR278" s="109">
        <f t="shared" si="146"/>
        <v>42917.785217392578</v>
      </c>
      <c r="CT278" s="58">
        <f t="array" ref="CT278">SUM(IF(CQ278:CR278&gt;=CQ278, 1))</f>
        <v>2</v>
      </c>
      <c r="CU278" s="58">
        <f t="array" ref="CU278">SUM(IF(CQ278:CR278&gt;=CR278, 1))</f>
        <v>1</v>
      </c>
      <c r="CW278" s="109">
        <f t="shared" si="147"/>
        <v>-30206672.568474844</v>
      </c>
      <c r="CX278" s="109">
        <f t="shared" si="148"/>
        <v>0</v>
      </c>
      <c r="CZ278" s="58">
        <f t="array" ref="CZ278">SUM(IF(CW278:CX278&gt;=CW278, 1))</f>
        <v>2</v>
      </c>
      <c r="DA278" s="58">
        <f t="array" ref="DA278">SUM(IF(CW278:CX278&gt;=CX278, 1))</f>
        <v>1</v>
      </c>
      <c r="DC278" s="109">
        <f t="shared" si="149"/>
        <v>-1651844.7617810217</v>
      </c>
      <c r="DD278" s="109">
        <f t="shared" si="150"/>
        <v>0</v>
      </c>
      <c r="DF278" s="58">
        <f t="array" ref="DF278">SUM(IF(DC278:DD278&gt;=DC278, 1))</f>
        <v>2</v>
      </c>
      <c r="DG278" s="58">
        <f t="array" ref="DG278">SUM(IF(DC278:DD278&gt;=DD278, 1))</f>
        <v>1</v>
      </c>
      <c r="DI278" s="109">
        <f t="shared" si="151"/>
        <v>-171252934.74436265</v>
      </c>
      <c r="DJ278" s="109">
        <f t="shared" si="152"/>
        <v>0</v>
      </c>
      <c r="DL278" s="58">
        <f t="array" ref="DL278">SUM(IF(DI278:DJ278&gt;=DI278, 1))</f>
        <v>2</v>
      </c>
      <c r="DM278" s="58">
        <f t="array" ref="DM278">SUM(IF(DI278:DJ278&gt;=DJ278, 1))</f>
        <v>1</v>
      </c>
      <c r="DO278" s="109">
        <f t="shared" si="153"/>
        <v>-8544254.0435109045</v>
      </c>
      <c r="DP278" s="109">
        <f t="shared" si="154"/>
        <v>0</v>
      </c>
      <c r="DR278" s="58">
        <f t="array" ref="DR278">SUM(IF(DO278:DP278&gt;=DO278, 1))</f>
        <v>2</v>
      </c>
      <c r="DS278" s="58">
        <f t="array" ref="DS278">SUM(IF(DO278:DP278&gt;=DP278, 1))</f>
        <v>1</v>
      </c>
      <c r="DU278" s="109">
        <f t="shared" si="155"/>
        <v>-43423185.181614801</v>
      </c>
      <c r="DV278" s="109">
        <f t="shared" si="156"/>
        <v>0</v>
      </c>
      <c r="DX278" s="58">
        <f t="array" ref="DX278">SUM(IF(DU278:DV278&gt;=DU278, 1))</f>
        <v>2</v>
      </c>
      <c r="DY278" s="58">
        <f t="array" ref="DY278">SUM(IF(DU278:DV278&gt;=DV278, 1))</f>
        <v>1</v>
      </c>
      <c r="EA278" s="109">
        <f t="shared" si="157"/>
        <v>-255078891.29974422</v>
      </c>
      <c r="EB278" s="109">
        <f t="shared" si="158"/>
        <v>0</v>
      </c>
      <c r="ED278" s="58">
        <f t="array" ref="ED278">SUM(IF(EA278:EB278&gt;=EA278, 1))</f>
        <v>2</v>
      </c>
      <c r="EE278" s="58">
        <f t="array" ref="EE278">SUM(IF(EA278:EB278&gt;=EB278, 1))</f>
        <v>1</v>
      </c>
    </row>
    <row r="279" spans="4:135" ht="12" customHeight="1" x14ac:dyDescent="0.25">
      <c r="D279" s="11">
        <v>263</v>
      </c>
      <c r="E279" s="72">
        <v>228.84169830876752</v>
      </c>
      <c r="F279" s="72">
        <v>204.59518152027184</v>
      </c>
      <c r="G279" s="73"/>
      <c r="H279" s="74">
        <v>5.8129077972863605</v>
      </c>
      <c r="I279" s="74">
        <v>5.8282073656456186</v>
      </c>
      <c r="J279" s="73"/>
      <c r="K279" s="72">
        <v>245.37249796678825</v>
      </c>
      <c r="L279" s="72">
        <v>220.57132101382308</v>
      </c>
      <c r="M279" s="73"/>
      <c r="N279" s="74">
        <v>6.6949547190775531</v>
      </c>
      <c r="O279" s="74">
        <v>6.7089742033672337</v>
      </c>
      <c r="P279" s="73"/>
      <c r="Q279" s="72">
        <v>2576.3214427497205</v>
      </c>
      <c r="R279" s="72">
        <v>1620.0251368440211</v>
      </c>
      <c r="S279" s="73"/>
      <c r="T279" s="74">
        <v>4.7710186983394731</v>
      </c>
      <c r="U279" s="74">
        <v>4.8436742452449346</v>
      </c>
      <c r="V279" s="73"/>
      <c r="W279" s="72">
        <v>11917.127986306125</v>
      </c>
      <c r="X279" s="72">
        <v>11896.126309302999</v>
      </c>
      <c r="Y279" s="73"/>
      <c r="Z279" s="74">
        <v>3.0517976185594478</v>
      </c>
      <c r="AA279" s="74">
        <v>3.1024170296299873</v>
      </c>
      <c r="AB279" s="73"/>
      <c r="AC279" s="72">
        <v>51121.366860805596</v>
      </c>
      <c r="AD279" s="72">
        <v>51042.632068176419</v>
      </c>
      <c r="AE279" s="73"/>
      <c r="AF279" s="74">
        <v>4.6262889578230197</v>
      </c>
      <c r="AG279" s="74">
        <v>4.6716579912278116</v>
      </c>
      <c r="AH279" s="73"/>
      <c r="AI279" s="72">
        <v>2594145.5065227482</v>
      </c>
      <c r="AJ279" s="72">
        <v>0</v>
      </c>
      <c r="AK279" s="73"/>
      <c r="AL279" s="74">
        <v>-1636.9075548921071</v>
      </c>
      <c r="AM279" s="74">
        <v>0</v>
      </c>
      <c r="AN279" s="73"/>
      <c r="AO279" s="72">
        <v>170958.85628029701</v>
      </c>
      <c r="AP279" s="72">
        <v>0</v>
      </c>
      <c r="AQ279" s="73"/>
      <c r="AR279" s="74">
        <v>-96.63876050514753</v>
      </c>
      <c r="AS279" s="74">
        <v>0</v>
      </c>
      <c r="AT279" s="73"/>
      <c r="AU279" s="72">
        <v>21576178.863153215</v>
      </c>
      <c r="AV279" s="72">
        <v>0</v>
      </c>
      <c r="AW279" s="73"/>
      <c r="AX279" s="74">
        <v>-1639.2712862649494</v>
      </c>
      <c r="AY279" s="74">
        <v>0</v>
      </c>
      <c r="AZ279" s="73"/>
      <c r="BA279" s="72">
        <v>193141.20499022101</v>
      </c>
      <c r="BB279" s="72">
        <v>0</v>
      </c>
      <c r="BC279" s="73"/>
      <c r="BD279" s="74">
        <v>-465.51968438541809</v>
      </c>
      <c r="BE279" s="74">
        <v>0</v>
      </c>
      <c r="BF279" s="73"/>
      <c r="BG279" s="72">
        <v>1265081.4673579247</v>
      </c>
      <c r="BH279" s="72">
        <v>0</v>
      </c>
      <c r="BI279" s="73"/>
      <c r="BJ279" s="74">
        <v>-728.97281412379857</v>
      </c>
      <c r="BK279" s="74">
        <v>0</v>
      </c>
      <c r="BL279" s="73"/>
      <c r="BM279" s="72">
        <v>25799505.898304407</v>
      </c>
      <c r="BN279" s="72">
        <v>0</v>
      </c>
      <c r="BO279" s="73"/>
      <c r="BP279" s="74">
        <v>-4567.3101001714203</v>
      </c>
      <c r="BQ279" s="74">
        <v>0</v>
      </c>
      <c r="BS279" s="109">
        <f t="shared" si="138"/>
        <v>116029.31424741844</v>
      </c>
      <c r="BT279" s="109">
        <f t="shared" si="139"/>
        <v>116359.55213139211</v>
      </c>
      <c r="BV279" s="58">
        <f t="array" ref="BV279">SUM(IF(BS279:BT279&gt;=BS279, 1))</f>
        <v>2</v>
      </c>
      <c r="BW279" s="58">
        <f t="array" ref="BW279">SUM(IF(BS279:BT279&gt;=BT279, 1))</f>
        <v>1</v>
      </c>
      <c r="BY279" s="109">
        <f t="shared" si="140"/>
        <v>133653.72188358428</v>
      </c>
      <c r="BZ279" s="109">
        <f t="shared" si="141"/>
        <v>133958.91274633087</v>
      </c>
      <c r="CB279" s="58">
        <f t="array" ref="CB279">SUM(IF(BY279:BZ279&gt;=BY279, 1))</f>
        <v>2</v>
      </c>
      <c r="CC279" s="58">
        <f t="array" ref="CC279">SUM(IF(BY279:BZ279&gt;=BZ279, 1))</f>
        <v>1</v>
      </c>
      <c r="CE279" s="109">
        <f t="shared" si="142"/>
        <v>92844.05252403974</v>
      </c>
      <c r="CF279" s="109">
        <f t="shared" si="143"/>
        <v>95253.459768054672</v>
      </c>
      <c r="CH279" s="58">
        <f t="array" ref="CH279">SUM(IF(CE279:CF279&gt;=CE279, 1))</f>
        <v>2</v>
      </c>
      <c r="CI279" s="58">
        <f t="array" ref="CI279">SUM(IF(CE279:CF279&gt;=CF279, 1))</f>
        <v>1</v>
      </c>
      <c r="CK279" s="109">
        <f t="shared" si="144"/>
        <v>49118.824384882828</v>
      </c>
      <c r="CL279" s="109">
        <f t="shared" si="145"/>
        <v>50152.214283296744</v>
      </c>
      <c r="CN279" s="58">
        <f t="array" ref="CN279">SUM(IF(CK279:CL279&gt;=CK279, 1))</f>
        <v>2</v>
      </c>
      <c r="CO279" s="58">
        <f t="array" ref="CO279">SUM(IF(CK279:CL279&gt;=CL279, 1))</f>
        <v>1</v>
      </c>
      <c r="CQ279" s="109" cm="1">
        <f t="array" ref="CQ279">AF279*WTP-AC279</f>
        <v>41404.412295654802</v>
      </c>
      <c r="CR279" s="109">
        <f t="shared" si="146"/>
        <v>42390.527756379815</v>
      </c>
      <c r="CT279" s="58">
        <f t="array" ref="CT279">SUM(IF(CQ279:CR279&gt;=CQ279, 1))</f>
        <v>2</v>
      </c>
      <c r="CU279" s="58">
        <f t="array" ref="CU279">SUM(IF(CQ279:CR279&gt;=CR279, 1))</f>
        <v>1</v>
      </c>
      <c r="CW279" s="109">
        <f t="shared" si="147"/>
        <v>-35332296.604364887</v>
      </c>
      <c r="CX279" s="109">
        <f t="shared" si="148"/>
        <v>0</v>
      </c>
      <c r="CZ279" s="58">
        <f t="array" ref="CZ279">SUM(IF(CW279:CX279&gt;=CW279, 1))</f>
        <v>2</v>
      </c>
      <c r="DA279" s="58">
        <f t="array" ref="DA279">SUM(IF(CW279:CX279&gt;=CX279, 1))</f>
        <v>1</v>
      </c>
      <c r="DC279" s="109">
        <f t="shared" si="149"/>
        <v>-2103734.0663832477</v>
      </c>
      <c r="DD279" s="109">
        <f t="shared" si="150"/>
        <v>0</v>
      </c>
      <c r="DF279" s="58">
        <f t="array" ref="DF279">SUM(IF(DC279:DD279&gt;=DC279, 1))</f>
        <v>2</v>
      </c>
      <c r="DG279" s="58">
        <f t="array" ref="DG279">SUM(IF(DC279:DD279&gt;=DD279, 1))</f>
        <v>1</v>
      </c>
      <c r="DI279" s="109">
        <f t="shared" si="151"/>
        <v>-54361604.588452205</v>
      </c>
      <c r="DJ279" s="109">
        <f t="shared" si="152"/>
        <v>0</v>
      </c>
      <c r="DL279" s="58">
        <f t="array" ref="DL279">SUM(IF(DI279:DJ279&gt;=DI279, 1))</f>
        <v>2</v>
      </c>
      <c r="DM279" s="58">
        <f t="array" ref="DM279">SUM(IF(DI279:DJ279&gt;=DJ279, 1))</f>
        <v>1</v>
      </c>
      <c r="DO279" s="109">
        <f t="shared" si="153"/>
        <v>-9503534.8926985823</v>
      </c>
      <c r="DP279" s="109">
        <f t="shared" si="154"/>
        <v>0</v>
      </c>
      <c r="DR279" s="58">
        <f t="array" ref="DR279">SUM(IF(DO279:DP279&gt;=DO279, 1))</f>
        <v>2</v>
      </c>
      <c r="DS279" s="58">
        <f t="array" ref="DS279">SUM(IF(DO279:DP279&gt;=DP279, 1))</f>
        <v>1</v>
      </c>
      <c r="DU279" s="109">
        <f t="shared" si="155"/>
        <v>-15844537.749833895</v>
      </c>
      <c r="DV279" s="109">
        <f t="shared" si="156"/>
        <v>0</v>
      </c>
      <c r="DX279" s="58">
        <f t="array" ref="DX279">SUM(IF(DU279:DV279&gt;=DU279, 1))</f>
        <v>2</v>
      </c>
      <c r="DY279" s="58">
        <f t="array" ref="DY279">SUM(IF(DU279:DV279&gt;=DV279, 1))</f>
        <v>1</v>
      </c>
      <c r="EA279" s="109">
        <f t="shared" si="157"/>
        <v>-117145707.9017328</v>
      </c>
      <c r="EB279" s="109">
        <f t="shared" si="158"/>
        <v>0</v>
      </c>
      <c r="ED279" s="58">
        <f t="array" ref="ED279">SUM(IF(EA279:EB279&gt;=EA279, 1))</f>
        <v>2</v>
      </c>
      <c r="EE279" s="58">
        <f t="array" ref="EE279">SUM(IF(EA279:EB279&gt;=EB279, 1))</f>
        <v>1</v>
      </c>
    </row>
    <row r="280" spans="4:135" ht="12" customHeight="1" x14ac:dyDescent="0.25">
      <c r="D280" s="11">
        <v>264</v>
      </c>
      <c r="E280" s="72">
        <v>243.31335044169089</v>
      </c>
      <c r="F280" s="72">
        <v>230.75886535298889</v>
      </c>
      <c r="G280" s="73"/>
      <c r="H280" s="74">
        <v>5.8167584112907509</v>
      </c>
      <c r="I280" s="74">
        <v>5.8311027031582183</v>
      </c>
      <c r="J280" s="73"/>
      <c r="K280" s="72">
        <v>261.74261927846703</v>
      </c>
      <c r="L280" s="72">
        <v>248.84170615749963</v>
      </c>
      <c r="M280" s="73"/>
      <c r="N280" s="74">
        <v>6.769063905890194</v>
      </c>
      <c r="O280" s="74">
        <v>6.7809859436922313</v>
      </c>
      <c r="P280" s="73"/>
      <c r="Q280" s="72">
        <v>3815.2677524865476</v>
      </c>
      <c r="R280" s="72">
        <v>2093.1516700819743</v>
      </c>
      <c r="S280" s="73"/>
      <c r="T280" s="74">
        <v>4.904153031091691</v>
      </c>
      <c r="U280" s="74">
        <v>4.9921364446282341</v>
      </c>
      <c r="V280" s="73"/>
      <c r="W280" s="72">
        <v>12424.686328558048</v>
      </c>
      <c r="X280" s="72">
        <v>12398.110966669165</v>
      </c>
      <c r="Y280" s="73"/>
      <c r="Z280" s="74">
        <v>2.892686977088696</v>
      </c>
      <c r="AA280" s="74">
        <v>2.9303120384719099</v>
      </c>
      <c r="AB280" s="73"/>
      <c r="AC280" s="72">
        <v>50515.171960959808</v>
      </c>
      <c r="AD280" s="72">
        <v>50063.14311946946</v>
      </c>
      <c r="AE280" s="73"/>
      <c r="AF280" s="74">
        <v>4.7470079255426008</v>
      </c>
      <c r="AG280" s="74">
        <v>4.9148704998661632</v>
      </c>
      <c r="AH280" s="73"/>
      <c r="AI280" s="72">
        <v>1355607.4649016899</v>
      </c>
      <c r="AJ280" s="72">
        <v>0</v>
      </c>
      <c r="AK280" s="73"/>
      <c r="AL280" s="74">
        <v>-1548.8671177575075</v>
      </c>
      <c r="AM280" s="74">
        <v>0</v>
      </c>
      <c r="AN280" s="73"/>
      <c r="AO280" s="72">
        <v>90498.64739433951</v>
      </c>
      <c r="AP280" s="72">
        <v>0</v>
      </c>
      <c r="AQ280" s="73"/>
      <c r="AR280" s="74">
        <v>-83.631932495926392</v>
      </c>
      <c r="AS280" s="74">
        <v>0</v>
      </c>
      <c r="AT280" s="73"/>
      <c r="AU280" s="72">
        <v>38855852.889657237</v>
      </c>
      <c r="AV280" s="72">
        <v>0</v>
      </c>
      <c r="AW280" s="73"/>
      <c r="AX280" s="74">
        <v>-1985.1568706868718</v>
      </c>
      <c r="AY280" s="74">
        <v>0</v>
      </c>
      <c r="AZ280" s="73"/>
      <c r="BA280" s="72">
        <v>226544.95100746892</v>
      </c>
      <c r="BB280" s="72">
        <v>0</v>
      </c>
      <c r="BC280" s="73"/>
      <c r="BD280" s="74">
        <v>-320.73947754137123</v>
      </c>
      <c r="BE280" s="74">
        <v>0</v>
      </c>
      <c r="BF280" s="73"/>
      <c r="BG280" s="72">
        <v>7122723.48115848</v>
      </c>
      <c r="BH280" s="72">
        <v>0</v>
      </c>
      <c r="BI280" s="73"/>
      <c r="BJ280" s="74">
        <v>-2645.049585331999</v>
      </c>
      <c r="BK280" s="74">
        <v>0</v>
      </c>
      <c r="BL280" s="73"/>
      <c r="BM280" s="72">
        <v>47651227.434119217</v>
      </c>
      <c r="BN280" s="72">
        <v>0</v>
      </c>
      <c r="BO280" s="73"/>
      <c r="BP280" s="74">
        <v>-6583.4449838136761</v>
      </c>
      <c r="BQ280" s="74">
        <v>0</v>
      </c>
      <c r="BS280" s="109">
        <f t="shared" si="138"/>
        <v>116091.85487537333</v>
      </c>
      <c r="BT280" s="109">
        <f t="shared" si="139"/>
        <v>116391.29519781139</v>
      </c>
      <c r="BV280" s="58">
        <f t="array" ref="BV280">SUM(IF(BS280:BT280&gt;=BS280, 1))</f>
        <v>2</v>
      </c>
      <c r="BW280" s="58">
        <f t="array" ref="BW280">SUM(IF(BS280:BT280&gt;=BT280, 1))</f>
        <v>1</v>
      </c>
      <c r="BY280" s="109">
        <f t="shared" si="140"/>
        <v>135119.53549852542</v>
      </c>
      <c r="BZ280" s="109">
        <f t="shared" si="141"/>
        <v>135370.87716768714</v>
      </c>
      <c r="CB280" s="58">
        <f t="array" ref="CB280">SUM(IF(BY280:BZ280&gt;=BY280, 1))</f>
        <v>2</v>
      </c>
      <c r="CC280" s="58">
        <f t="array" ref="CC280">SUM(IF(BY280:BZ280&gt;=BZ280, 1))</f>
        <v>1</v>
      </c>
      <c r="CE280" s="109">
        <f t="shared" si="142"/>
        <v>94267.792869347279</v>
      </c>
      <c r="CF280" s="109">
        <f t="shared" si="143"/>
        <v>97749.577222482709</v>
      </c>
      <c r="CH280" s="58">
        <f t="array" ref="CH280">SUM(IF(CE280:CF280&gt;=CE280, 1))</f>
        <v>2</v>
      </c>
      <c r="CI280" s="58">
        <f t="array" ref="CI280">SUM(IF(CE280:CF280&gt;=CF280, 1))</f>
        <v>1</v>
      </c>
      <c r="CK280" s="109">
        <f t="shared" si="144"/>
        <v>45429.053213215877</v>
      </c>
      <c r="CL280" s="109">
        <f t="shared" si="145"/>
        <v>46208.129802769035</v>
      </c>
      <c r="CN280" s="58">
        <f t="array" ref="CN280">SUM(IF(CK280:CL280&gt;=CK280, 1))</f>
        <v>2</v>
      </c>
      <c r="CO280" s="58">
        <f t="array" ref="CO280">SUM(IF(CK280:CL280&gt;=CL280, 1))</f>
        <v>1</v>
      </c>
      <c r="CQ280" s="109" cm="1">
        <f t="array" ref="CQ280">AF280*WTP-AC280</f>
        <v>44424.986549892201</v>
      </c>
      <c r="CR280" s="109">
        <f t="shared" si="146"/>
        <v>48234.266877853806</v>
      </c>
      <c r="CT280" s="58">
        <f t="array" ref="CT280">SUM(IF(CQ280:CR280&gt;=CQ280, 1))</f>
        <v>2</v>
      </c>
      <c r="CU280" s="58">
        <f t="array" ref="CU280">SUM(IF(CQ280:CR280&gt;=CR280, 1))</f>
        <v>1</v>
      </c>
      <c r="CW280" s="109">
        <f t="shared" si="147"/>
        <v>-32332949.820051838</v>
      </c>
      <c r="CX280" s="109">
        <f t="shared" si="148"/>
        <v>0</v>
      </c>
      <c r="CZ280" s="58">
        <f t="array" ref="CZ280">SUM(IF(CW280:CX280&gt;=CW280, 1))</f>
        <v>2</v>
      </c>
      <c r="DA280" s="58">
        <f t="array" ref="DA280">SUM(IF(CW280:CX280&gt;=CX280, 1))</f>
        <v>1</v>
      </c>
      <c r="DC280" s="109">
        <f t="shared" si="149"/>
        <v>-1763137.2973128674</v>
      </c>
      <c r="DD280" s="109">
        <f t="shared" si="150"/>
        <v>0</v>
      </c>
      <c r="DF280" s="58">
        <f t="array" ref="DF280">SUM(IF(DC280:DD280&gt;=DC280, 1))</f>
        <v>2</v>
      </c>
      <c r="DG280" s="58">
        <f t="array" ref="DG280">SUM(IF(DC280:DD280&gt;=DD280, 1))</f>
        <v>1</v>
      </c>
      <c r="DI280" s="109">
        <f t="shared" si="151"/>
        <v>-78558990.303394675</v>
      </c>
      <c r="DJ280" s="109">
        <f t="shared" si="152"/>
        <v>0</v>
      </c>
      <c r="DL280" s="58">
        <f t="array" ref="DL280">SUM(IF(DI280:DJ280&gt;=DI280, 1))</f>
        <v>2</v>
      </c>
      <c r="DM280" s="58">
        <f t="array" ref="DM280">SUM(IF(DI280:DJ280&gt;=DJ280, 1))</f>
        <v>1</v>
      </c>
      <c r="DO280" s="109">
        <f t="shared" si="153"/>
        <v>-6641334.5018348936</v>
      </c>
      <c r="DP280" s="109">
        <f t="shared" si="154"/>
        <v>0</v>
      </c>
      <c r="DR280" s="58">
        <f t="array" ref="DR280">SUM(IF(DO280:DP280&gt;=DO280, 1))</f>
        <v>2</v>
      </c>
      <c r="DS280" s="58">
        <f t="array" ref="DS280">SUM(IF(DO280:DP280&gt;=DP280, 1))</f>
        <v>1</v>
      </c>
      <c r="DU280" s="109">
        <f t="shared" si="155"/>
        <v>-60023715.187798463</v>
      </c>
      <c r="DV280" s="109">
        <f t="shared" si="156"/>
        <v>0</v>
      </c>
      <c r="DX280" s="58">
        <f t="array" ref="DX280">SUM(IF(DU280:DV280&gt;=DU280, 1))</f>
        <v>2</v>
      </c>
      <c r="DY280" s="58">
        <f t="array" ref="DY280">SUM(IF(DU280:DV280&gt;=DV280, 1))</f>
        <v>1</v>
      </c>
      <c r="EA280" s="109">
        <f t="shared" si="157"/>
        <v>-179320127.11039275</v>
      </c>
      <c r="EB280" s="109">
        <f t="shared" si="158"/>
        <v>0</v>
      </c>
      <c r="ED280" s="58">
        <f t="array" ref="ED280">SUM(IF(EA280:EB280&gt;=EA280, 1))</f>
        <v>2</v>
      </c>
      <c r="EE280" s="58">
        <f t="array" ref="EE280">SUM(IF(EA280:EB280&gt;=EB280, 1))</f>
        <v>1</v>
      </c>
    </row>
    <row r="281" spans="4:135" ht="12" customHeight="1" x14ac:dyDescent="0.25">
      <c r="D281" s="11">
        <v>265</v>
      </c>
      <c r="E281" s="72">
        <v>249.62010033395927</v>
      </c>
      <c r="F281" s="72">
        <v>233.99113080990057</v>
      </c>
      <c r="G281" s="73"/>
      <c r="H281" s="74">
        <v>5.8216357537467998</v>
      </c>
      <c r="I281" s="74">
        <v>5.8367916251477316</v>
      </c>
      <c r="J281" s="73"/>
      <c r="K281" s="72">
        <v>268.34496504190827</v>
      </c>
      <c r="L281" s="72">
        <v>252.32439128549879</v>
      </c>
      <c r="M281" s="73"/>
      <c r="N281" s="74">
        <v>6.672020438296614</v>
      </c>
      <c r="O281" s="74">
        <v>6.6854109433103526</v>
      </c>
      <c r="P281" s="73"/>
      <c r="Q281" s="72">
        <v>3589.0894845791095</v>
      </c>
      <c r="R281" s="72">
        <v>1429.450685528489</v>
      </c>
      <c r="S281" s="73"/>
      <c r="T281" s="74">
        <v>4.8311571294358542</v>
      </c>
      <c r="U281" s="74">
        <v>4.9683996041605436</v>
      </c>
      <c r="V281" s="73"/>
      <c r="W281" s="72">
        <v>12758.216480495365</v>
      </c>
      <c r="X281" s="72">
        <v>12782.345276252554</v>
      </c>
      <c r="Y281" s="73"/>
      <c r="Z281" s="74">
        <v>2.9664605558529216</v>
      </c>
      <c r="AA281" s="74">
        <v>3.0160683244171596</v>
      </c>
      <c r="AB281" s="73"/>
      <c r="AC281" s="72">
        <v>50350.587475114604</v>
      </c>
      <c r="AD281" s="72">
        <v>50085.914519467784</v>
      </c>
      <c r="AE281" s="73"/>
      <c r="AF281" s="74">
        <v>4.7531518636878456</v>
      </c>
      <c r="AG281" s="74">
        <v>4.9313894676899217</v>
      </c>
      <c r="AH281" s="73"/>
      <c r="AI281" s="72">
        <v>1686747.9263160224</v>
      </c>
      <c r="AJ281" s="72">
        <v>0</v>
      </c>
      <c r="AK281" s="73"/>
      <c r="AL281" s="74">
        <v>-1635.689071994261</v>
      </c>
      <c r="AM281" s="74">
        <v>0</v>
      </c>
      <c r="AN281" s="73"/>
      <c r="AO281" s="72">
        <v>110155.75969422086</v>
      </c>
      <c r="AP281" s="72">
        <v>0</v>
      </c>
      <c r="AQ281" s="73"/>
      <c r="AR281" s="74">
        <v>-92.071687001067588</v>
      </c>
      <c r="AS281" s="74">
        <v>0</v>
      </c>
      <c r="AT281" s="73"/>
      <c r="AU281" s="72">
        <v>49068401.551987782</v>
      </c>
      <c r="AV281" s="72">
        <v>0</v>
      </c>
      <c r="AW281" s="73"/>
      <c r="AX281" s="74">
        <v>-3118.2385048555279</v>
      </c>
      <c r="AY281" s="74">
        <v>0</v>
      </c>
      <c r="AZ281" s="73"/>
      <c r="BA281" s="72">
        <v>-217305.36456538521</v>
      </c>
      <c r="BB281" s="72">
        <v>0</v>
      </c>
      <c r="BC281" s="73"/>
      <c r="BD281" s="74">
        <v>-446.77050365909639</v>
      </c>
      <c r="BE281" s="74">
        <v>0</v>
      </c>
      <c r="BF281" s="73"/>
      <c r="BG281" s="72">
        <v>4131329.1220945911</v>
      </c>
      <c r="BH281" s="72">
        <v>0</v>
      </c>
      <c r="BI281" s="73"/>
      <c r="BJ281" s="74">
        <v>-2782.1437300482571</v>
      </c>
      <c r="BK281" s="74">
        <v>0</v>
      </c>
      <c r="BL281" s="73"/>
      <c r="BM281" s="72">
        <v>54779328.99552723</v>
      </c>
      <c r="BN281" s="72">
        <v>0</v>
      </c>
      <c r="BO281" s="73"/>
      <c r="BP281" s="74">
        <v>-8074.9134975582092</v>
      </c>
      <c r="BQ281" s="74">
        <v>0</v>
      </c>
      <c r="BS281" s="109">
        <f t="shared" si="138"/>
        <v>116183.09497460205</v>
      </c>
      <c r="BT281" s="109">
        <f t="shared" si="139"/>
        <v>116501.84137214474</v>
      </c>
      <c r="BV281" s="58">
        <f t="array" ref="BV281">SUM(IF(BS281:BT281&gt;=BS281, 1))</f>
        <v>2</v>
      </c>
      <c r="BW281" s="58">
        <f t="array" ref="BW281">SUM(IF(BS281:BT281&gt;=BT281, 1))</f>
        <v>1</v>
      </c>
      <c r="BY281" s="109">
        <f t="shared" si="140"/>
        <v>133172.06380089038</v>
      </c>
      <c r="BZ281" s="109">
        <f t="shared" si="141"/>
        <v>133455.89447492154</v>
      </c>
      <c r="CB281" s="58">
        <f t="array" ref="CB281">SUM(IF(BY281:BZ281&gt;=BY281, 1))</f>
        <v>2</v>
      </c>
      <c r="CC281" s="58">
        <f t="array" ref="CC281">SUM(IF(BY281:BZ281&gt;=BZ281, 1))</f>
        <v>1</v>
      </c>
      <c r="CE281" s="109">
        <f t="shared" si="142"/>
        <v>93034.053104137973</v>
      </c>
      <c r="CF281" s="109">
        <f t="shared" si="143"/>
        <v>97938.541397682391</v>
      </c>
      <c r="CH281" s="58">
        <f t="array" ref="CH281">SUM(IF(CE281:CF281&gt;=CE281, 1))</f>
        <v>2</v>
      </c>
      <c r="CI281" s="58">
        <f t="array" ref="CI281">SUM(IF(CE281:CF281&gt;=CF281, 1))</f>
        <v>1</v>
      </c>
      <c r="CK281" s="109">
        <f t="shared" si="144"/>
        <v>46570.994636563068</v>
      </c>
      <c r="CL281" s="109">
        <f t="shared" si="145"/>
        <v>47539.021212090636</v>
      </c>
      <c r="CN281" s="58">
        <f t="array" ref="CN281">SUM(IF(CK281:CL281&gt;=CK281, 1))</f>
        <v>2</v>
      </c>
      <c r="CO281" s="58">
        <f t="array" ref="CO281">SUM(IF(CK281:CL281&gt;=CL281, 1))</f>
        <v>1</v>
      </c>
      <c r="CQ281" s="109" cm="1">
        <f t="array" ref="CQ281">AF281*WTP-AC281</f>
        <v>44712.449798642308</v>
      </c>
      <c r="CR281" s="109">
        <f t="shared" si="146"/>
        <v>48541.874834330651</v>
      </c>
      <c r="CT281" s="58">
        <f t="array" ref="CT281">SUM(IF(CQ281:CR281&gt;=CQ281, 1))</f>
        <v>2</v>
      </c>
      <c r="CU281" s="58">
        <f t="array" ref="CU281">SUM(IF(CQ281:CR281&gt;=CR281, 1))</f>
        <v>1</v>
      </c>
      <c r="CW281" s="109">
        <f t="shared" si="147"/>
        <v>-34400529.366201244</v>
      </c>
      <c r="CX281" s="109">
        <f t="shared" si="148"/>
        <v>0</v>
      </c>
      <c r="CZ281" s="58">
        <f t="array" ref="CZ281">SUM(IF(CW281:CX281&gt;=CW281, 1))</f>
        <v>2</v>
      </c>
      <c r="DA281" s="58">
        <f t="array" ref="DA281">SUM(IF(CW281:CX281&gt;=CX281, 1))</f>
        <v>1</v>
      </c>
      <c r="DC281" s="109">
        <f t="shared" si="149"/>
        <v>-1951589.4997155727</v>
      </c>
      <c r="DD281" s="109">
        <f t="shared" si="150"/>
        <v>0</v>
      </c>
      <c r="DF281" s="58">
        <f t="array" ref="DF281">SUM(IF(DC281:DD281&gt;=DC281, 1))</f>
        <v>2</v>
      </c>
      <c r="DG281" s="58">
        <f t="array" ref="DG281">SUM(IF(DC281:DD281&gt;=DD281, 1))</f>
        <v>1</v>
      </c>
      <c r="DI281" s="109">
        <f t="shared" si="151"/>
        <v>-111433171.64909834</v>
      </c>
      <c r="DJ281" s="109">
        <f t="shared" si="152"/>
        <v>0</v>
      </c>
      <c r="DL281" s="58">
        <f t="array" ref="DL281">SUM(IF(DI281:DJ281&gt;=DI281, 1))</f>
        <v>2</v>
      </c>
      <c r="DM281" s="58">
        <f t="array" ref="DM281">SUM(IF(DI281:DJ281&gt;=DJ281, 1))</f>
        <v>1</v>
      </c>
      <c r="DO281" s="109">
        <f t="shared" si="153"/>
        <v>-8718104.7086165417</v>
      </c>
      <c r="DP281" s="109">
        <f t="shared" si="154"/>
        <v>0</v>
      </c>
      <c r="DR281" s="58">
        <f t="array" ref="DR281">SUM(IF(DO281:DP281&gt;=DO281, 1))</f>
        <v>2</v>
      </c>
      <c r="DS281" s="58">
        <f t="array" ref="DS281">SUM(IF(DO281:DP281&gt;=DP281, 1))</f>
        <v>1</v>
      </c>
      <c r="DU281" s="109">
        <f t="shared" si="155"/>
        <v>-59774203.723059736</v>
      </c>
      <c r="DV281" s="109">
        <f t="shared" si="156"/>
        <v>0</v>
      </c>
      <c r="DX281" s="58">
        <f t="array" ref="DX281">SUM(IF(DU281:DV281&gt;=DU281, 1))</f>
        <v>2</v>
      </c>
      <c r="DY281" s="58">
        <f t="array" ref="DY281">SUM(IF(DU281:DV281&gt;=DV281, 1))</f>
        <v>1</v>
      </c>
      <c r="EA281" s="109">
        <f t="shared" si="157"/>
        <v>-216277598.94669142</v>
      </c>
      <c r="EB281" s="109">
        <f t="shared" si="158"/>
        <v>0</v>
      </c>
      <c r="ED281" s="58">
        <f t="array" ref="ED281">SUM(IF(EA281:EB281&gt;=EA281, 1))</f>
        <v>2</v>
      </c>
      <c r="EE281" s="58">
        <f t="array" ref="EE281">SUM(IF(EA281:EB281&gt;=EB281, 1))</f>
        <v>1</v>
      </c>
    </row>
    <row r="282" spans="4:135" ht="12" customHeight="1" x14ac:dyDescent="0.25">
      <c r="D282" s="11">
        <v>266</v>
      </c>
      <c r="E282" s="72">
        <v>222.16981090533747</v>
      </c>
      <c r="F282" s="72">
        <v>190.34926725175981</v>
      </c>
      <c r="G282" s="73"/>
      <c r="H282" s="74">
        <v>5.7800439636203276</v>
      </c>
      <c r="I282" s="74">
        <v>5.7990520055331567</v>
      </c>
      <c r="J282" s="73"/>
      <c r="K282" s="72">
        <v>237.77178857850717</v>
      </c>
      <c r="L282" s="72">
        <v>205.2001215931412</v>
      </c>
      <c r="M282" s="73"/>
      <c r="N282" s="74">
        <v>6.6833893164279443</v>
      </c>
      <c r="O282" s="74">
        <v>6.6997096940537144</v>
      </c>
      <c r="P282" s="73"/>
      <c r="Q282" s="72">
        <v>3130.1216417091205</v>
      </c>
      <c r="R282" s="72">
        <v>1712.5733092120681</v>
      </c>
      <c r="S282" s="73"/>
      <c r="T282" s="74">
        <v>4.7313996948974859</v>
      </c>
      <c r="U282" s="74">
        <v>4.8240774965416682</v>
      </c>
      <c r="V282" s="73"/>
      <c r="W282" s="72">
        <v>12809.924940071076</v>
      </c>
      <c r="X282" s="72">
        <v>12783.205827950031</v>
      </c>
      <c r="Y282" s="73"/>
      <c r="Z282" s="74">
        <v>3.08451281209922</v>
      </c>
      <c r="AA282" s="74">
        <v>3.1210622380126511</v>
      </c>
      <c r="AB282" s="73"/>
      <c r="AC282" s="72">
        <v>51791.319378748223</v>
      </c>
      <c r="AD282" s="72">
        <v>50913.358351002396</v>
      </c>
      <c r="AE282" s="73"/>
      <c r="AF282" s="74">
        <v>4.4668655873965353</v>
      </c>
      <c r="AG282" s="74">
        <v>4.6205788529988903</v>
      </c>
      <c r="AH282" s="73"/>
      <c r="AI282" s="72">
        <v>3381189.6423291862</v>
      </c>
      <c r="AJ282" s="72">
        <v>0</v>
      </c>
      <c r="AK282" s="73"/>
      <c r="AL282" s="74">
        <v>-2019.7579003145306</v>
      </c>
      <c r="AM282" s="74">
        <v>0</v>
      </c>
      <c r="AN282" s="73"/>
      <c r="AO282" s="72">
        <v>231936.58146240504</v>
      </c>
      <c r="AP282" s="72">
        <v>0</v>
      </c>
      <c r="AQ282" s="73"/>
      <c r="AR282" s="74">
        <v>-116.21427286473619</v>
      </c>
      <c r="AS282" s="74">
        <v>0</v>
      </c>
      <c r="AT282" s="73"/>
      <c r="AU282" s="72">
        <v>31773450.171579711</v>
      </c>
      <c r="AV282" s="72">
        <v>0</v>
      </c>
      <c r="AW282" s="73"/>
      <c r="AX282" s="74">
        <v>-2077.3143638536903</v>
      </c>
      <c r="AY282" s="74">
        <v>0</v>
      </c>
      <c r="AZ282" s="73"/>
      <c r="BA282" s="72">
        <v>237820.99831774706</v>
      </c>
      <c r="BB282" s="72">
        <v>0</v>
      </c>
      <c r="BC282" s="73"/>
      <c r="BD282" s="74">
        <v>-325.3184806177108</v>
      </c>
      <c r="BE282" s="74">
        <v>0</v>
      </c>
      <c r="BF282" s="73"/>
      <c r="BG282" s="72">
        <v>13766846.67604016</v>
      </c>
      <c r="BH282" s="72">
        <v>0</v>
      </c>
      <c r="BI282" s="73"/>
      <c r="BJ282" s="74">
        <v>-2410.2971461663692</v>
      </c>
      <c r="BK282" s="74">
        <v>0</v>
      </c>
      <c r="BL282" s="73"/>
      <c r="BM282" s="72">
        <v>49391244.069729209</v>
      </c>
      <c r="BN282" s="72">
        <v>0</v>
      </c>
      <c r="BO282" s="73"/>
      <c r="BP282" s="74">
        <v>-6948.902163817037</v>
      </c>
      <c r="BQ282" s="74">
        <v>0</v>
      </c>
      <c r="BS282" s="109">
        <f t="shared" si="138"/>
        <v>115378.70946150122</v>
      </c>
      <c r="BT282" s="109">
        <f t="shared" si="139"/>
        <v>115790.69084341137</v>
      </c>
      <c r="BV282" s="58">
        <f t="array" ref="BV282">SUM(IF(BS282:BT282&gt;=BS282, 1))</f>
        <v>2</v>
      </c>
      <c r="BW282" s="58">
        <f t="array" ref="BW282">SUM(IF(BS282:BT282&gt;=BT282, 1))</f>
        <v>1</v>
      </c>
      <c r="BY282" s="109">
        <f t="shared" si="140"/>
        <v>133430.01453998039</v>
      </c>
      <c r="BZ282" s="109">
        <f t="shared" si="141"/>
        <v>133788.99375948115</v>
      </c>
      <c r="CB282" s="58">
        <f t="array" ref="CB282">SUM(IF(BY282:BZ282&gt;=BY282, 1))</f>
        <v>2</v>
      </c>
      <c r="CC282" s="58">
        <f t="array" ref="CC282">SUM(IF(BY282:BZ282&gt;=BZ282, 1))</f>
        <v>1</v>
      </c>
      <c r="CE282" s="109">
        <f t="shared" si="142"/>
        <v>91497.872256240604</v>
      </c>
      <c r="CF282" s="109">
        <f t="shared" si="143"/>
        <v>94768.976621621303</v>
      </c>
      <c r="CH282" s="58">
        <f t="array" ref="CH282">SUM(IF(CE282:CF282&gt;=CE282, 1))</f>
        <v>2</v>
      </c>
      <c r="CI282" s="58">
        <f t="array" ref="CI282">SUM(IF(CE282:CF282&gt;=CF282, 1))</f>
        <v>1</v>
      </c>
      <c r="CK282" s="109">
        <f t="shared" si="144"/>
        <v>48880.331301913327</v>
      </c>
      <c r="CL282" s="109">
        <f t="shared" si="145"/>
        <v>49638.038932302996</v>
      </c>
      <c r="CN282" s="58">
        <f t="array" ref="CN282">SUM(IF(CK282:CL282&gt;=CK282, 1))</f>
        <v>2</v>
      </c>
      <c r="CO282" s="58">
        <f t="array" ref="CO282">SUM(IF(CK282:CL282&gt;=CL282, 1))</f>
        <v>1</v>
      </c>
      <c r="CQ282" s="109" cm="1">
        <f t="array" ref="CQ282">AF282*WTP-AC282</f>
        <v>37545.992369182488</v>
      </c>
      <c r="CR282" s="109">
        <f t="shared" si="146"/>
        <v>41498.218708975408</v>
      </c>
      <c r="CT282" s="58">
        <f t="array" ref="CT282">SUM(IF(CQ282:CR282&gt;=CQ282, 1))</f>
        <v>2</v>
      </c>
      <c r="CU282" s="58">
        <f t="array" ref="CU282">SUM(IF(CQ282:CR282&gt;=CR282, 1))</f>
        <v>1</v>
      </c>
      <c r="CW282" s="109">
        <f t="shared" si="147"/>
        <v>-43776347.648619801</v>
      </c>
      <c r="CX282" s="109">
        <f t="shared" si="148"/>
        <v>0</v>
      </c>
      <c r="CZ282" s="58">
        <f t="array" ref="CZ282">SUM(IF(CW282:CX282&gt;=CW282, 1))</f>
        <v>2</v>
      </c>
      <c r="DA282" s="58">
        <f t="array" ref="DA282">SUM(IF(CW282:CX282&gt;=CX282, 1))</f>
        <v>1</v>
      </c>
      <c r="DC282" s="109">
        <f t="shared" si="149"/>
        <v>-2556222.0387571291</v>
      </c>
      <c r="DD282" s="109">
        <f t="shared" si="150"/>
        <v>0</v>
      </c>
      <c r="DF282" s="58">
        <f t="array" ref="DF282">SUM(IF(DC282:DD282&gt;=DC282, 1))</f>
        <v>2</v>
      </c>
      <c r="DG282" s="58">
        <f t="array" ref="DG282">SUM(IF(DC282:DD282&gt;=DD282, 1))</f>
        <v>1</v>
      </c>
      <c r="DI282" s="109">
        <f t="shared" si="151"/>
        <v>-73319737.448653519</v>
      </c>
      <c r="DJ282" s="109">
        <f t="shared" si="152"/>
        <v>0</v>
      </c>
      <c r="DL282" s="58">
        <f t="array" ref="DL282">SUM(IF(DI282:DJ282&gt;=DI282, 1))</f>
        <v>2</v>
      </c>
      <c r="DM282" s="58">
        <f t="array" ref="DM282">SUM(IF(DI282:DJ282&gt;=DJ282, 1))</f>
        <v>1</v>
      </c>
      <c r="DO282" s="109">
        <f t="shared" si="153"/>
        <v>-6744190.6106719635</v>
      </c>
      <c r="DP282" s="109">
        <f t="shared" si="154"/>
        <v>0</v>
      </c>
      <c r="DR282" s="58">
        <f t="array" ref="DR282">SUM(IF(DO282:DP282&gt;=DO282, 1))</f>
        <v>2</v>
      </c>
      <c r="DS282" s="58">
        <f t="array" ref="DS282">SUM(IF(DO282:DP282&gt;=DP282, 1))</f>
        <v>1</v>
      </c>
      <c r="DU282" s="109">
        <f t="shared" si="155"/>
        <v>-61972789.599367544</v>
      </c>
      <c r="DV282" s="109">
        <f t="shared" si="156"/>
        <v>0</v>
      </c>
      <c r="DX282" s="58">
        <f t="array" ref="DX282">SUM(IF(DU282:DV282&gt;=DU282, 1))</f>
        <v>2</v>
      </c>
      <c r="DY282" s="58">
        <f t="array" ref="DY282">SUM(IF(DU282:DV282&gt;=DV282, 1))</f>
        <v>1</v>
      </c>
      <c r="EA282" s="109">
        <f t="shared" si="157"/>
        <v>-188369287.34606996</v>
      </c>
      <c r="EB282" s="109">
        <f t="shared" si="158"/>
        <v>0</v>
      </c>
      <c r="ED282" s="58">
        <f t="array" ref="ED282">SUM(IF(EA282:EB282&gt;=EA282, 1))</f>
        <v>2</v>
      </c>
      <c r="EE282" s="58">
        <f t="array" ref="EE282">SUM(IF(EA282:EB282&gt;=EB282, 1))</f>
        <v>1</v>
      </c>
    </row>
    <row r="283" spans="4:135" ht="12" customHeight="1" x14ac:dyDescent="0.25">
      <c r="D283" s="11">
        <v>267</v>
      </c>
      <c r="E283" s="72">
        <v>242.05528015862075</v>
      </c>
      <c r="F283" s="72">
        <v>227.68815438023293</v>
      </c>
      <c r="G283" s="73"/>
      <c r="H283" s="74">
        <v>5.8577316807059301</v>
      </c>
      <c r="I283" s="74">
        <v>5.8706749891109187</v>
      </c>
      <c r="J283" s="73"/>
      <c r="K283" s="72">
        <v>260.27829355510721</v>
      </c>
      <c r="L283" s="72">
        <v>245.55068151981862</v>
      </c>
      <c r="M283" s="73"/>
      <c r="N283" s="74">
        <v>6.6318796716898483</v>
      </c>
      <c r="O283" s="74">
        <v>6.6428456430716984</v>
      </c>
      <c r="P283" s="73"/>
      <c r="Q283" s="72">
        <v>3778.9771934421206</v>
      </c>
      <c r="R283" s="72">
        <v>1672.8268549985676</v>
      </c>
      <c r="S283" s="73"/>
      <c r="T283" s="74">
        <v>4.8443543965393081</v>
      </c>
      <c r="U283" s="74">
        <v>4.9676451295156738</v>
      </c>
      <c r="V283" s="73"/>
      <c r="W283" s="72">
        <v>12742.760272131338</v>
      </c>
      <c r="X283" s="72">
        <v>12745.989257356207</v>
      </c>
      <c r="Y283" s="73"/>
      <c r="Z283" s="74">
        <v>2.864758685424273</v>
      </c>
      <c r="AA283" s="74">
        <v>2.9096551287296775</v>
      </c>
      <c r="AB283" s="73"/>
      <c r="AC283" s="72">
        <v>50756.97360738484</v>
      </c>
      <c r="AD283" s="72">
        <v>50626.979644190571</v>
      </c>
      <c r="AE283" s="73"/>
      <c r="AF283" s="74">
        <v>5.0082035888606473</v>
      </c>
      <c r="AG283" s="74">
        <v>5.1074449487728835</v>
      </c>
      <c r="AH283" s="73"/>
      <c r="AI283" s="72">
        <v>1549638.7466299075</v>
      </c>
      <c r="AJ283" s="72">
        <v>0</v>
      </c>
      <c r="AK283" s="73"/>
      <c r="AL283" s="74">
        <v>-1396.0657492205496</v>
      </c>
      <c r="AM283" s="74">
        <v>0</v>
      </c>
      <c r="AN283" s="73"/>
      <c r="AO283" s="72">
        <v>101460.1055292214</v>
      </c>
      <c r="AP283" s="72">
        <v>0</v>
      </c>
      <c r="AQ283" s="73"/>
      <c r="AR283" s="74">
        <v>-75.54575792511632</v>
      </c>
      <c r="AS283" s="74">
        <v>0</v>
      </c>
      <c r="AT283" s="73"/>
      <c r="AU283" s="72">
        <v>48849246.858589813</v>
      </c>
      <c r="AV283" s="72">
        <v>0</v>
      </c>
      <c r="AW283" s="73"/>
      <c r="AX283" s="74">
        <v>-2859.5581904137575</v>
      </c>
      <c r="AY283" s="74">
        <v>0</v>
      </c>
      <c r="AZ283" s="73"/>
      <c r="BA283" s="72">
        <v>-28690.648042466673</v>
      </c>
      <c r="BB283" s="72">
        <v>0</v>
      </c>
      <c r="BC283" s="73"/>
      <c r="BD283" s="74">
        <v>-398.92039248532319</v>
      </c>
      <c r="BE283" s="74">
        <v>0</v>
      </c>
      <c r="BF283" s="73"/>
      <c r="BG283" s="72">
        <v>1967277.1132044436</v>
      </c>
      <c r="BH283" s="72">
        <v>0</v>
      </c>
      <c r="BI283" s="73"/>
      <c r="BJ283" s="74">
        <v>-1501.8794045601849</v>
      </c>
      <c r="BK283" s="74">
        <v>0</v>
      </c>
      <c r="BL283" s="73"/>
      <c r="BM283" s="72">
        <v>52438932.175910912</v>
      </c>
      <c r="BN283" s="72">
        <v>0</v>
      </c>
      <c r="BO283" s="73"/>
      <c r="BP283" s="74">
        <v>-6231.9694946049312</v>
      </c>
      <c r="BQ283" s="74">
        <v>0</v>
      </c>
      <c r="BS283" s="109">
        <f t="shared" si="138"/>
        <v>116912.57833395999</v>
      </c>
      <c r="BT283" s="109">
        <f t="shared" si="139"/>
        <v>117185.81162783815</v>
      </c>
      <c r="BV283" s="58">
        <f t="array" ref="BV283">SUM(IF(BS283:BT283&gt;=BS283, 1))</f>
        <v>2</v>
      </c>
      <c r="BW283" s="58">
        <f t="array" ref="BW283">SUM(IF(BS283:BT283&gt;=BT283, 1))</f>
        <v>1</v>
      </c>
      <c r="BY283" s="109">
        <f t="shared" si="140"/>
        <v>132377.31514024184</v>
      </c>
      <c r="BZ283" s="109">
        <f t="shared" si="141"/>
        <v>132611.36217991414</v>
      </c>
      <c r="CB283" s="58">
        <f t="array" ref="CB283">SUM(IF(BY283:BZ283&gt;=BY283, 1))</f>
        <v>2</v>
      </c>
      <c r="CC283" s="58">
        <f t="array" ref="CC283">SUM(IF(BY283:BZ283&gt;=BZ283, 1))</f>
        <v>1</v>
      </c>
      <c r="CE283" s="109">
        <f t="shared" si="142"/>
        <v>93108.110737344046</v>
      </c>
      <c r="CF283" s="109">
        <f t="shared" si="143"/>
        <v>97680.075735314909</v>
      </c>
      <c r="CH283" s="58">
        <f t="array" ref="CH283">SUM(IF(CE283:CF283&gt;=CE283, 1))</f>
        <v>2</v>
      </c>
      <c r="CI283" s="58">
        <f t="array" ref="CI283">SUM(IF(CE283:CF283&gt;=CF283, 1))</f>
        <v>1</v>
      </c>
      <c r="CK283" s="109">
        <f t="shared" si="144"/>
        <v>44552.413436354123</v>
      </c>
      <c r="CL283" s="109">
        <f t="shared" si="145"/>
        <v>45447.113317237337</v>
      </c>
      <c r="CN283" s="58">
        <f t="array" ref="CN283">SUM(IF(CK283:CL283&gt;=CK283, 1))</f>
        <v>2</v>
      </c>
      <c r="CO283" s="58">
        <f t="array" ref="CO283">SUM(IF(CK283:CL283&gt;=CL283, 1))</f>
        <v>1</v>
      </c>
      <c r="CQ283" s="109" cm="1">
        <f t="array" ref="CQ283">AF283*WTP-AC283</f>
        <v>49407.098169828103</v>
      </c>
      <c r="CR283" s="109">
        <f t="shared" si="146"/>
        <v>51521.919331267105</v>
      </c>
      <c r="CT283" s="58">
        <f t="array" ref="CT283">SUM(IF(CQ283:CR283&gt;=CQ283, 1))</f>
        <v>2</v>
      </c>
      <c r="CU283" s="58">
        <f t="array" ref="CU283">SUM(IF(CQ283:CR283&gt;=CR283, 1))</f>
        <v>1</v>
      </c>
      <c r="CW283" s="109">
        <f t="shared" si="147"/>
        <v>-29470953.731040902</v>
      </c>
      <c r="CX283" s="109">
        <f t="shared" si="148"/>
        <v>0</v>
      </c>
      <c r="CZ283" s="58">
        <f t="array" ref="CZ283">SUM(IF(CW283:CX283&gt;=CW283, 1))</f>
        <v>2</v>
      </c>
      <c r="DA283" s="58">
        <f t="array" ref="DA283">SUM(IF(CW283:CX283&gt;=CX283, 1))</f>
        <v>1</v>
      </c>
      <c r="DC283" s="109">
        <f t="shared" si="149"/>
        <v>-1612375.2640315478</v>
      </c>
      <c r="DD283" s="109">
        <f t="shared" si="150"/>
        <v>0</v>
      </c>
      <c r="DF283" s="58">
        <f t="array" ref="DF283">SUM(IF(DC283:DD283&gt;=DC283, 1))</f>
        <v>2</v>
      </c>
      <c r="DG283" s="58">
        <f t="array" ref="DG283">SUM(IF(DC283:DD283&gt;=DD283, 1))</f>
        <v>1</v>
      </c>
      <c r="DI283" s="109">
        <f t="shared" si="151"/>
        <v>-106040410.66686496</v>
      </c>
      <c r="DJ283" s="109">
        <f t="shared" si="152"/>
        <v>0</v>
      </c>
      <c r="DL283" s="58">
        <f t="array" ref="DL283">SUM(IF(DI283:DJ283&gt;=DI283, 1))</f>
        <v>2</v>
      </c>
      <c r="DM283" s="58">
        <f t="array" ref="DM283">SUM(IF(DI283:DJ283&gt;=DJ283, 1))</f>
        <v>1</v>
      </c>
      <c r="DO283" s="109">
        <f t="shared" si="153"/>
        <v>-7949717.201663997</v>
      </c>
      <c r="DP283" s="109">
        <f t="shared" si="154"/>
        <v>0</v>
      </c>
      <c r="DR283" s="58">
        <f t="array" ref="DR283">SUM(IF(DO283:DP283&gt;=DO283, 1))</f>
        <v>2</v>
      </c>
      <c r="DS283" s="58">
        <f t="array" ref="DS283">SUM(IF(DO283:DP283&gt;=DP283, 1))</f>
        <v>1</v>
      </c>
      <c r="DU283" s="109">
        <f t="shared" si="155"/>
        <v>-32004865.204408139</v>
      </c>
      <c r="DV283" s="109">
        <f t="shared" si="156"/>
        <v>0</v>
      </c>
      <c r="DX283" s="58">
        <f t="array" ref="DX283">SUM(IF(DU283:DV283&gt;=DU283, 1))</f>
        <v>2</v>
      </c>
      <c r="DY283" s="58">
        <f t="array" ref="DY283">SUM(IF(DU283:DV283&gt;=DV283, 1))</f>
        <v>1</v>
      </c>
      <c r="EA283" s="109">
        <f t="shared" si="157"/>
        <v>-177078322.06800953</v>
      </c>
      <c r="EB283" s="109">
        <f t="shared" si="158"/>
        <v>0</v>
      </c>
      <c r="ED283" s="58">
        <f t="array" ref="ED283">SUM(IF(EA283:EB283&gt;=EA283, 1))</f>
        <v>2</v>
      </c>
      <c r="EE283" s="58">
        <f t="array" ref="EE283">SUM(IF(EA283:EB283&gt;=EB283, 1))</f>
        <v>1</v>
      </c>
    </row>
    <row r="284" spans="4:135" ht="12" customHeight="1" x14ac:dyDescent="0.25">
      <c r="D284" s="11">
        <v>268</v>
      </c>
      <c r="E284" s="72">
        <v>196.67373450546754</v>
      </c>
      <c r="F284" s="72">
        <v>179.45528379808735</v>
      </c>
      <c r="G284" s="73"/>
      <c r="H284" s="74">
        <v>5.8532451802325092</v>
      </c>
      <c r="I284" s="74">
        <v>5.871055741786499</v>
      </c>
      <c r="J284" s="73"/>
      <c r="K284" s="72">
        <v>211.16940479920737</v>
      </c>
      <c r="L284" s="72">
        <v>193.52491897955736</v>
      </c>
      <c r="M284" s="73"/>
      <c r="N284" s="74">
        <v>6.7466685219050779</v>
      </c>
      <c r="O284" s="74">
        <v>6.7621147169231914</v>
      </c>
      <c r="P284" s="73"/>
      <c r="Q284" s="72">
        <v>2532.8850284893329</v>
      </c>
      <c r="R284" s="72">
        <v>1463.7564655387037</v>
      </c>
      <c r="S284" s="73"/>
      <c r="T284" s="74">
        <v>4.9192156225634331</v>
      </c>
      <c r="U284" s="74">
        <v>5.0133674263666634</v>
      </c>
      <c r="V284" s="73"/>
      <c r="W284" s="72">
        <v>13937.57978491928</v>
      </c>
      <c r="X284" s="72">
        <v>13923.754121929167</v>
      </c>
      <c r="Y284" s="73"/>
      <c r="Z284" s="74">
        <v>2.9443472283214143</v>
      </c>
      <c r="AA284" s="74">
        <v>2.9821501375814479</v>
      </c>
      <c r="AB284" s="73"/>
      <c r="AC284" s="72">
        <v>49473.455286595738</v>
      </c>
      <c r="AD284" s="72">
        <v>49612.114295266634</v>
      </c>
      <c r="AE284" s="73"/>
      <c r="AF284" s="74">
        <v>4.850943953673589</v>
      </c>
      <c r="AG284" s="74">
        <v>4.9567154613744737</v>
      </c>
      <c r="AH284" s="73"/>
      <c r="AI284" s="72">
        <v>1882619.6082297238</v>
      </c>
      <c r="AJ284" s="72">
        <v>0</v>
      </c>
      <c r="AK284" s="73"/>
      <c r="AL284" s="74">
        <v>-1947.3594334914169</v>
      </c>
      <c r="AM284" s="74">
        <v>0</v>
      </c>
      <c r="AN284" s="73"/>
      <c r="AO284" s="72">
        <v>116903.72971162188</v>
      </c>
      <c r="AP284" s="72">
        <v>0</v>
      </c>
      <c r="AQ284" s="73"/>
      <c r="AR284" s="74">
        <v>-102.33893046968704</v>
      </c>
      <c r="AS284" s="74">
        <v>0</v>
      </c>
      <c r="AT284" s="73"/>
      <c r="AU284" s="72">
        <v>24658775.837464951</v>
      </c>
      <c r="AV284" s="72">
        <v>0</v>
      </c>
      <c r="AW284" s="73"/>
      <c r="AX284" s="74">
        <v>-2171.551958418725</v>
      </c>
      <c r="AY284" s="74">
        <v>0</v>
      </c>
      <c r="AZ284" s="73"/>
      <c r="BA284" s="72">
        <v>127656.95210751898</v>
      </c>
      <c r="BB284" s="72">
        <v>0</v>
      </c>
      <c r="BC284" s="73"/>
      <c r="BD284" s="74">
        <v>-349.0468544173163</v>
      </c>
      <c r="BE284" s="74">
        <v>0</v>
      </c>
      <c r="BF284" s="73"/>
      <c r="BG284" s="72">
        <v>-2151529.6797554665</v>
      </c>
      <c r="BH284" s="72">
        <v>0</v>
      </c>
      <c r="BI284" s="73"/>
      <c r="BJ284" s="74">
        <v>-1641.2243262972543</v>
      </c>
      <c r="BK284" s="74">
        <v>0</v>
      </c>
      <c r="BL284" s="73"/>
      <c r="BM284" s="72">
        <v>24634426.447758347</v>
      </c>
      <c r="BN284" s="72">
        <v>0</v>
      </c>
      <c r="BO284" s="73"/>
      <c r="BP284" s="74">
        <v>-6211.5215030943991</v>
      </c>
      <c r="BQ284" s="74">
        <v>0</v>
      </c>
      <c r="BS284" s="109">
        <f t="shared" si="138"/>
        <v>116868.22987014471</v>
      </c>
      <c r="BT284" s="109">
        <f t="shared" si="139"/>
        <v>117241.65955193189</v>
      </c>
      <c r="BV284" s="58">
        <f t="array" ref="BV284">SUM(IF(BS284:BT284&gt;=BS284, 1))</f>
        <v>2</v>
      </c>
      <c r="BW284" s="58">
        <f t="array" ref="BW284">SUM(IF(BS284:BT284&gt;=BT284, 1))</f>
        <v>1</v>
      </c>
      <c r="BY284" s="109">
        <f t="shared" si="140"/>
        <v>134722.20103330235</v>
      </c>
      <c r="BZ284" s="109">
        <f t="shared" si="141"/>
        <v>135048.76941948428</v>
      </c>
      <c r="CB284" s="58">
        <f t="array" ref="CB284">SUM(IF(BY284:BZ284&gt;=BY284, 1))</f>
        <v>2</v>
      </c>
      <c r="CC284" s="58">
        <f t="array" ref="CC284">SUM(IF(BY284:BZ284&gt;=BZ284, 1))</f>
        <v>1</v>
      </c>
      <c r="CE284" s="109">
        <f t="shared" si="142"/>
        <v>95851.427422779336</v>
      </c>
      <c r="CF284" s="109">
        <f t="shared" si="143"/>
        <v>98803.592061794552</v>
      </c>
      <c r="CH284" s="58">
        <f t="array" ref="CH284">SUM(IF(CE284:CF284&gt;=CE284, 1))</f>
        <v>2</v>
      </c>
      <c r="CI284" s="58">
        <f t="array" ref="CI284">SUM(IF(CE284:CF284&gt;=CF284, 1))</f>
        <v>1</v>
      </c>
      <c r="CK284" s="109">
        <f t="shared" si="144"/>
        <v>44949.364781509001</v>
      </c>
      <c r="CL284" s="109">
        <f t="shared" si="145"/>
        <v>45719.248629699789</v>
      </c>
      <c r="CN284" s="58">
        <f t="array" ref="CN284">SUM(IF(CK284:CL284&gt;=CK284, 1))</f>
        <v>2</v>
      </c>
      <c r="CO284" s="58">
        <f t="array" ref="CO284">SUM(IF(CK284:CL284&gt;=CL284, 1))</f>
        <v>1</v>
      </c>
      <c r="CQ284" s="109" cm="1">
        <f t="array" ref="CQ284">AF284*WTP-AC284</f>
        <v>47545.423786876039</v>
      </c>
      <c r="CR284" s="109">
        <f t="shared" si="146"/>
        <v>49522.194932222839</v>
      </c>
      <c r="CT284" s="58">
        <f t="array" ref="CT284">SUM(IF(CQ284:CR284&gt;=CQ284, 1))</f>
        <v>2</v>
      </c>
      <c r="CU284" s="58">
        <f t="array" ref="CU284">SUM(IF(CQ284:CR284&gt;=CR284, 1))</f>
        <v>1</v>
      </c>
      <c r="CW284" s="109">
        <f t="shared" si="147"/>
        <v>-40829808.278058067</v>
      </c>
      <c r="CX284" s="109">
        <f t="shared" si="148"/>
        <v>0</v>
      </c>
      <c r="CZ284" s="58">
        <f t="array" ref="CZ284">SUM(IF(CW284:CX284&gt;=CW284, 1))</f>
        <v>2</v>
      </c>
      <c r="DA284" s="58">
        <f t="array" ref="DA284">SUM(IF(CW284:CX284&gt;=CX284, 1))</f>
        <v>1</v>
      </c>
      <c r="DC284" s="109">
        <f t="shared" si="149"/>
        <v>-2163682.3391053625</v>
      </c>
      <c r="DD284" s="109">
        <f t="shared" si="150"/>
        <v>0</v>
      </c>
      <c r="DF284" s="58">
        <f t="array" ref="DF284">SUM(IF(DC284:DD284&gt;=DC284, 1))</f>
        <v>2</v>
      </c>
      <c r="DG284" s="58">
        <f t="array" ref="DG284">SUM(IF(DC284:DD284&gt;=DD284, 1))</f>
        <v>1</v>
      </c>
      <c r="DI284" s="109">
        <f t="shared" si="151"/>
        <v>-68089815.005839452</v>
      </c>
      <c r="DJ284" s="109">
        <f t="shared" si="152"/>
        <v>0</v>
      </c>
      <c r="DL284" s="58">
        <f t="array" ref="DL284">SUM(IF(DI284:DJ284&gt;=DI284, 1))</f>
        <v>2</v>
      </c>
      <c r="DM284" s="58">
        <f t="array" ref="DM284">SUM(IF(DI284:DJ284&gt;=DJ284, 1))</f>
        <v>1</v>
      </c>
      <c r="DO284" s="109">
        <f t="shared" si="153"/>
        <v>-7108594.0404538447</v>
      </c>
      <c r="DP284" s="109">
        <f t="shared" si="154"/>
        <v>0</v>
      </c>
      <c r="DR284" s="58">
        <f t="array" ref="DR284">SUM(IF(DO284:DP284&gt;=DO284, 1))</f>
        <v>2</v>
      </c>
      <c r="DS284" s="58">
        <f t="array" ref="DS284">SUM(IF(DO284:DP284&gt;=DP284, 1))</f>
        <v>1</v>
      </c>
      <c r="DU284" s="109">
        <f t="shared" si="155"/>
        <v>-30672956.846189618</v>
      </c>
      <c r="DV284" s="109">
        <f t="shared" si="156"/>
        <v>0</v>
      </c>
      <c r="DX284" s="58">
        <f t="array" ref="DX284">SUM(IF(DU284:DV284&gt;=DU284, 1))</f>
        <v>2</v>
      </c>
      <c r="DY284" s="58">
        <f t="array" ref="DY284">SUM(IF(DU284:DV284&gt;=DV284, 1))</f>
        <v>1</v>
      </c>
      <c r="EA284" s="109">
        <f t="shared" si="157"/>
        <v>-148864856.50964633</v>
      </c>
      <c r="EB284" s="109">
        <f t="shared" si="158"/>
        <v>0</v>
      </c>
      <c r="ED284" s="58">
        <f t="array" ref="ED284">SUM(IF(EA284:EB284&gt;=EA284, 1))</f>
        <v>2</v>
      </c>
      <c r="EE284" s="58">
        <f t="array" ref="EE284">SUM(IF(EA284:EB284&gt;=EB284, 1))</f>
        <v>1</v>
      </c>
    </row>
    <row r="285" spans="4:135" ht="12" customHeight="1" x14ac:dyDescent="0.25">
      <c r="D285" s="11">
        <v>269</v>
      </c>
      <c r="E285" s="72">
        <v>251.72674426506484</v>
      </c>
      <c r="F285" s="72">
        <v>242.82422357243499</v>
      </c>
      <c r="G285" s="73"/>
      <c r="H285" s="74">
        <v>5.8568730527002915</v>
      </c>
      <c r="I285" s="74">
        <v>5.8720040584307007</v>
      </c>
      <c r="J285" s="73"/>
      <c r="K285" s="72">
        <v>271.05761051251477</v>
      </c>
      <c r="L285" s="72">
        <v>261.92741675094146</v>
      </c>
      <c r="M285" s="73"/>
      <c r="N285" s="74">
        <v>6.7401222740645039</v>
      </c>
      <c r="O285" s="74">
        <v>6.7534499709629117</v>
      </c>
      <c r="P285" s="73"/>
      <c r="Q285" s="72">
        <v>2546.1754599515612</v>
      </c>
      <c r="R285" s="72">
        <v>1317.6964279680426</v>
      </c>
      <c r="S285" s="73"/>
      <c r="T285" s="74">
        <v>4.8517898409129803</v>
      </c>
      <c r="U285" s="74">
        <v>4.9641924799308672</v>
      </c>
      <c r="V285" s="73"/>
      <c r="W285" s="72">
        <v>16524.781219531415</v>
      </c>
      <c r="X285" s="72">
        <v>16568.411450909862</v>
      </c>
      <c r="Y285" s="73"/>
      <c r="Z285" s="74">
        <v>2.9049700152030957</v>
      </c>
      <c r="AA285" s="74">
        <v>2.9531537786733275</v>
      </c>
      <c r="AB285" s="73"/>
      <c r="AC285" s="72">
        <v>49058.315922681737</v>
      </c>
      <c r="AD285" s="72">
        <v>49004.39267241583</v>
      </c>
      <c r="AE285" s="73"/>
      <c r="AF285" s="74">
        <v>4.6512756696200608</v>
      </c>
      <c r="AG285" s="74">
        <v>4.7323637155396892</v>
      </c>
      <c r="AH285" s="73"/>
      <c r="AI285" s="72">
        <v>957087.91355441767</v>
      </c>
      <c r="AJ285" s="72">
        <v>0</v>
      </c>
      <c r="AK285" s="73"/>
      <c r="AL285" s="74">
        <v>-1626.696887824854</v>
      </c>
      <c r="AM285" s="74">
        <v>0</v>
      </c>
      <c r="AN285" s="73"/>
      <c r="AO285" s="72">
        <v>61067.875220634996</v>
      </c>
      <c r="AP285" s="72">
        <v>0</v>
      </c>
      <c r="AQ285" s="73"/>
      <c r="AR285" s="74">
        <v>-89.143138954606158</v>
      </c>
      <c r="AS285" s="74">
        <v>0</v>
      </c>
      <c r="AT285" s="73"/>
      <c r="AU285" s="72">
        <v>28445072.135489326</v>
      </c>
      <c r="AV285" s="72">
        <v>0</v>
      </c>
      <c r="AW285" s="73"/>
      <c r="AX285" s="74">
        <v>-2602.6501811111552</v>
      </c>
      <c r="AY285" s="74">
        <v>0</v>
      </c>
      <c r="AZ285" s="73"/>
      <c r="BA285" s="72">
        <v>-398539.39009926253</v>
      </c>
      <c r="BB285" s="72">
        <v>0</v>
      </c>
      <c r="BC285" s="73"/>
      <c r="BD285" s="74">
        <v>-440.1335289640341</v>
      </c>
      <c r="BE285" s="74">
        <v>0</v>
      </c>
      <c r="BF285" s="73"/>
      <c r="BG285" s="72">
        <v>852394.19420204521</v>
      </c>
      <c r="BH285" s="72">
        <v>0</v>
      </c>
      <c r="BI285" s="73"/>
      <c r="BJ285" s="74">
        <v>-1281.8029184116263</v>
      </c>
      <c r="BK285" s="74">
        <v>0</v>
      </c>
      <c r="BL285" s="73"/>
      <c r="BM285" s="72">
        <v>29917082.728367165</v>
      </c>
      <c r="BN285" s="72">
        <v>0</v>
      </c>
      <c r="BO285" s="73"/>
      <c r="BP285" s="74">
        <v>-6040.4266552662757</v>
      </c>
      <c r="BQ285" s="74">
        <v>0</v>
      </c>
      <c r="BS285" s="109">
        <f t="shared" si="138"/>
        <v>116885.73430974077</v>
      </c>
      <c r="BT285" s="109">
        <f t="shared" si="139"/>
        <v>117197.25694504158</v>
      </c>
      <c r="BV285" s="58">
        <f t="array" ref="BV285">SUM(IF(BS285:BT285&gt;=BS285, 1))</f>
        <v>2</v>
      </c>
      <c r="BW285" s="58">
        <f t="array" ref="BW285">SUM(IF(BS285:BT285&gt;=BT285, 1))</f>
        <v>1</v>
      </c>
      <c r="BY285" s="109">
        <f t="shared" si="140"/>
        <v>134531.38787077757</v>
      </c>
      <c r="BZ285" s="109">
        <f t="shared" si="141"/>
        <v>134807.07200250731</v>
      </c>
      <c r="CB285" s="58">
        <f t="array" ref="CB285">SUM(IF(BY285:BZ285&gt;=BY285, 1))</f>
        <v>2</v>
      </c>
      <c r="CC285" s="58">
        <f t="array" ref="CC285">SUM(IF(BY285:BZ285&gt;=BZ285, 1))</f>
        <v>1</v>
      </c>
      <c r="CE285" s="109">
        <f t="shared" si="142"/>
        <v>94489.621358308053</v>
      </c>
      <c r="CF285" s="109">
        <f t="shared" si="143"/>
        <v>97966.153170649312</v>
      </c>
      <c r="CH285" s="58">
        <f t="array" ref="CH285">SUM(IF(CE285:CF285&gt;=CE285, 1))</f>
        <v>2</v>
      </c>
      <c r="CI285" s="58">
        <f t="array" ref="CI285">SUM(IF(CE285:CF285&gt;=CF285, 1))</f>
        <v>1</v>
      </c>
      <c r="CK285" s="109">
        <f t="shared" si="144"/>
        <v>41574.619084530495</v>
      </c>
      <c r="CL285" s="109">
        <f t="shared" si="145"/>
        <v>42494.664122556685</v>
      </c>
      <c r="CN285" s="58">
        <f t="array" ref="CN285">SUM(IF(CK285:CL285&gt;=CK285, 1))</f>
        <v>2</v>
      </c>
      <c r="CO285" s="58">
        <f t="array" ref="CO285">SUM(IF(CK285:CL285&gt;=CL285, 1))</f>
        <v>1</v>
      </c>
      <c r="CQ285" s="109" cm="1">
        <f t="array" ref="CQ285">AF285*WTP-AC285</f>
        <v>43967.197469719482</v>
      </c>
      <c r="CR285" s="109">
        <f t="shared" si="146"/>
        <v>45642.881638377956</v>
      </c>
      <c r="CT285" s="58">
        <f t="array" ref="CT285">SUM(IF(CQ285:CR285&gt;=CQ285, 1))</f>
        <v>2</v>
      </c>
      <c r="CU285" s="58">
        <f t="array" ref="CU285">SUM(IF(CQ285:CR285&gt;=CR285, 1))</f>
        <v>1</v>
      </c>
      <c r="CW285" s="109">
        <f t="shared" si="147"/>
        <v>-33491025.6700515</v>
      </c>
      <c r="CX285" s="109">
        <f t="shared" si="148"/>
        <v>0</v>
      </c>
      <c r="CZ285" s="58">
        <f t="array" ref="CZ285">SUM(IF(CW285:CX285&gt;=CW285, 1))</f>
        <v>2</v>
      </c>
      <c r="DA285" s="58">
        <f t="array" ref="DA285">SUM(IF(CW285:CX285&gt;=CX285, 1))</f>
        <v>1</v>
      </c>
      <c r="DC285" s="109">
        <f t="shared" si="149"/>
        <v>-1843930.6543127582</v>
      </c>
      <c r="DD285" s="109">
        <f t="shared" si="150"/>
        <v>0</v>
      </c>
      <c r="DF285" s="58">
        <f t="array" ref="DF285">SUM(IF(DC285:DD285&gt;=DC285, 1))</f>
        <v>2</v>
      </c>
      <c r="DG285" s="58">
        <f t="array" ref="DG285">SUM(IF(DC285:DD285&gt;=DD285, 1))</f>
        <v>1</v>
      </c>
      <c r="DI285" s="109">
        <f t="shared" si="151"/>
        <v>-80498075.757712424</v>
      </c>
      <c r="DJ285" s="109">
        <f t="shared" si="152"/>
        <v>0</v>
      </c>
      <c r="DL285" s="58">
        <f t="array" ref="DL285">SUM(IF(DI285:DJ285&gt;=DI285, 1))</f>
        <v>2</v>
      </c>
      <c r="DM285" s="58">
        <f t="array" ref="DM285">SUM(IF(DI285:DJ285&gt;=DJ285, 1))</f>
        <v>1</v>
      </c>
      <c r="DO285" s="109">
        <f t="shared" si="153"/>
        <v>-8404131.1891814191</v>
      </c>
      <c r="DP285" s="109">
        <f t="shared" si="154"/>
        <v>0</v>
      </c>
      <c r="DR285" s="58">
        <f t="array" ref="DR285">SUM(IF(DO285:DP285&gt;=DO285, 1))</f>
        <v>2</v>
      </c>
      <c r="DS285" s="58">
        <f t="array" ref="DS285">SUM(IF(DO285:DP285&gt;=DP285, 1))</f>
        <v>1</v>
      </c>
      <c r="DU285" s="109">
        <f t="shared" si="155"/>
        <v>-26488452.562434573</v>
      </c>
      <c r="DV285" s="109">
        <f t="shared" si="156"/>
        <v>0</v>
      </c>
      <c r="DX285" s="58">
        <f t="array" ref="DX285">SUM(IF(DU285:DV285&gt;=DU285, 1))</f>
        <v>2</v>
      </c>
      <c r="DY285" s="58">
        <f t="array" ref="DY285">SUM(IF(DU285:DV285&gt;=DV285, 1))</f>
        <v>1</v>
      </c>
      <c r="EA285" s="109">
        <f t="shared" si="157"/>
        <v>-150725615.83369267</v>
      </c>
      <c r="EB285" s="109">
        <f t="shared" si="158"/>
        <v>0</v>
      </c>
      <c r="ED285" s="58">
        <f t="array" ref="ED285">SUM(IF(EA285:EB285&gt;=EA285, 1))</f>
        <v>2</v>
      </c>
      <c r="EE285" s="58">
        <f t="array" ref="EE285">SUM(IF(EA285:EB285&gt;=EB285, 1))</f>
        <v>1</v>
      </c>
    </row>
    <row r="286" spans="4:135" ht="12" customHeight="1" x14ac:dyDescent="0.25">
      <c r="D286" s="11">
        <v>270</v>
      </c>
      <c r="E286" s="72">
        <v>189.14145402608429</v>
      </c>
      <c r="F286" s="72">
        <v>167.07677225588716</v>
      </c>
      <c r="G286" s="73"/>
      <c r="H286" s="74">
        <v>5.8366802373870659</v>
      </c>
      <c r="I286" s="74">
        <v>5.8529083251855463</v>
      </c>
      <c r="J286" s="73"/>
      <c r="K286" s="72">
        <v>202.71726721600211</v>
      </c>
      <c r="L286" s="72">
        <v>180.11297366381581</v>
      </c>
      <c r="M286" s="73"/>
      <c r="N286" s="74">
        <v>6.6623815099366652</v>
      </c>
      <c r="O286" s="74">
        <v>6.6762200743321962</v>
      </c>
      <c r="P286" s="73"/>
      <c r="Q286" s="72">
        <v>2137.7801119288097</v>
      </c>
      <c r="R286" s="72">
        <v>1111.7601955451603</v>
      </c>
      <c r="S286" s="73"/>
      <c r="T286" s="74">
        <v>4.6446657283863955</v>
      </c>
      <c r="U286" s="74">
        <v>4.750389888129809</v>
      </c>
      <c r="V286" s="73"/>
      <c r="W286" s="72">
        <v>13873.617175981959</v>
      </c>
      <c r="X286" s="72">
        <v>13792.577434013769</v>
      </c>
      <c r="Y286" s="73"/>
      <c r="Z286" s="74">
        <v>2.837112615569731</v>
      </c>
      <c r="AA286" s="74">
        <v>2.8733982978440533</v>
      </c>
      <c r="AB286" s="73"/>
      <c r="AC286" s="72">
        <v>50174.013440427327</v>
      </c>
      <c r="AD286" s="72">
        <v>50180.831768810443</v>
      </c>
      <c r="AE286" s="73"/>
      <c r="AF286" s="74">
        <v>5.0847238570637181</v>
      </c>
      <c r="AG286" s="74">
        <v>5.1317677341343337</v>
      </c>
      <c r="AH286" s="73"/>
      <c r="AI286" s="72">
        <v>2373630.3501407797</v>
      </c>
      <c r="AJ286" s="72">
        <v>0</v>
      </c>
      <c r="AK286" s="73"/>
      <c r="AL286" s="74">
        <v>-1745.7528789402613</v>
      </c>
      <c r="AM286" s="74">
        <v>0</v>
      </c>
      <c r="AN286" s="73"/>
      <c r="AO286" s="72">
        <v>155381.93933556561</v>
      </c>
      <c r="AP286" s="72">
        <v>0</v>
      </c>
      <c r="AQ286" s="73"/>
      <c r="AR286" s="74">
        <v>-95.126307240410966</v>
      </c>
      <c r="AS286" s="74">
        <v>0</v>
      </c>
      <c r="AT286" s="73"/>
      <c r="AU286" s="72">
        <v>23905041.523366675</v>
      </c>
      <c r="AV286" s="72">
        <v>0</v>
      </c>
      <c r="AW286" s="73"/>
      <c r="AX286" s="74">
        <v>-2463.2469490429744</v>
      </c>
      <c r="AY286" s="74">
        <v>0</v>
      </c>
      <c r="AZ286" s="73"/>
      <c r="BA286" s="72">
        <v>736642.38272778038</v>
      </c>
      <c r="BB286" s="72">
        <v>0</v>
      </c>
      <c r="BC286" s="73"/>
      <c r="BD286" s="74">
        <v>-329.8328795265885</v>
      </c>
      <c r="BE286" s="74">
        <v>0</v>
      </c>
      <c r="BF286" s="73"/>
      <c r="BG286" s="72">
        <v>-108023.7755784263</v>
      </c>
      <c r="BH286" s="72">
        <v>0</v>
      </c>
      <c r="BI286" s="73"/>
      <c r="BJ286" s="74">
        <v>-745.32303718294554</v>
      </c>
      <c r="BK286" s="74">
        <v>0</v>
      </c>
      <c r="BL286" s="73"/>
      <c r="BM286" s="72">
        <v>27062672.419992372</v>
      </c>
      <c r="BN286" s="72">
        <v>0</v>
      </c>
      <c r="BO286" s="73"/>
      <c r="BP286" s="74">
        <v>-5379.2820519331817</v>
      </c>
      <c r="BQ286" s="74">
        <v>0</v>
      </c>
      <c r="BS286" s="109">
        <f t="shared" si="138"/>
        <v>116544.46329371523</v>
      </c>
      <c r="BT286" s="109">
        <f t="shared" si="139"/>
        <v>116891.08973145504</v>
      </c>
      <c r="BV286" s="58">
        <f t="array" ref="BV286">SUM(IF(BS286:BT286&gt;=BS286, 1))</f>
        <v>2</v>
      </c>
      <c r="BW286" s="58">
        <f t="array" ref="BW286">SUM(IF(BS286:BT286&gt;=BT286, 1))</f>
        <v>1</v>
      </c>
      <c r="BY286" s="109">
        <f t="shared" si="140"/>
        <v>133044.91293151729</v>
      </c>
      <c r="BZ286" s="109">
        <f t="shared" si="141"/>
        <v>133344.2885129801</v>
      </c>
      <c r="CB286" s="58">
        <f t="array" ref="CB286">SUM(IF(BY286:BZ286&gt;=BY286, 1))</f>
        <v>2</v>
      </c>
      <c r="CC286" s="58">
        <f t="array" ref="CC286">SUM(IF(BY286:BZ286&gt;=BZ286, 1))</f>
        <v>1</v>
      </c>
      <c r="CE286" s="109">
        <f t="shared" si="142"/>
        <v>90755.534455799105</v>
      </c>
      <c r="CF286" s="109">
        <f t="shared" si="143"/>
        <v>93896.037567051026</v>
      </c>
      <c r="CH286" s="58">
        <f t="array" ref="CH286">SUM(IF(CE286:CF286&gt;=CE286, 1))</f>
        <v>2</v>
      </c>
      <c r="CI286" s="58">
        <f t="array" ref="CI286">SUM(IF(CE286:CF286&gt;=CF286, 1))</f>
        <v>1</v>
      </c>
      <c r="CK286" s="109">
        <f t="shared" si="144"/>
        <v>42868.635135412667</v>
      </c>
      <c r="CL286" s="109">
        <f t="shared" si="145"/>
        <v>43675.388522867303</v>
      </c>
      <c r="CN286" s="58">
        <f t="array" ref="CN286">SUM(IF(CK286:CL286&gt;=CK286, 1))</f>
        <v>2</v>
      </c>
      <c r="CO286" s="58">
        <f t="array" ref="CO286">SUM(IF(CK286:CL286&gt;=CL286, 1))</f>
        <v>1</v>
      </c>
      <c r="CQ286" s="109" cm="1">
        <f t="array" ref="CQ286">AF286*WTP-AC286</f>
        <v>51520.463700847031</v>
      </c>
      <c r="CR286" s="109">
        <f t="shared" si="146"/>
        <v>52454.522913876237</v>
      </c>
      <c r="CT286" s="58">
        <f t="array" ref="CT286">SUM(IF(CQ286:CR286&gt;=CQ286, 1))</f>
        <v>2</v>
      </c>
      <c r="CU286" s="58">
        <f t="array" ref="CU286">SUM(IF(CQ286:CR286&gt;=CR286, 1))</f>
        <v>1</v>
      </c>
      <c r="CW286" s="109">
        <f t="shared" si="147"/>
        <v>-37288687.928946003</v>
      </c>
      <c r="CX286" s="109">
        <f t="shared" si="148"/>
        <v>0</v>
      </c>
      <c r="CZ286" s="58">
        <f t="array" ref="CZ286">SUM(IF(CW286:CX286&gt;=CW286, 1))</f>
        <v>2</v>
      </c>
      <c r="DA286" s="58">
        <f t="array" ref="DA286">SUM(IF(CW286:CX286&gt;=CX286, 1))</f>
        <v>1</v>
      </c>
      <c r="DC286" s="109">
        <f t="shared" si="149"/>
        <v>-2057908.0841437848</v>
      </c>
      <c r="DD286" s="109">
        <f t="shared" si="150"/>
        <v>0</v>
      </c>
      <c r="DF286" s="58">
        <f t="array" ref="DF286">SUM(IF(DC286:DD286&gt;=DC286, 1))</f>
        <v>2</v>
      </c>
      <c r="DG286" s="58">
        <f t="array" ref="DG286">SUM(IF(DC286:DD286&gt;=DD286, 1))</f>
        <v>1</v>
      </c>
      <c r="DI286" s="109">
        <f t="shared" si="151"/>
        <v>-73169980.504226163</v>
      </c>
      <c r="DJ286" s="109">
        <f t="shared" si="152"/>
        <v>0</v>
      </c>
      <c r="DL286" s="58">
        <f t="array" ref="DL286">SUM(IF(DI286:DJ286&gt;=DI286, 1))</f>
        <v>2</v>
      </c>
      <c r="DM286" s="58">
        <f t="array" ref="DM286">SUM(IF(DI286:DJ286&gt;=DJ286, 1))</f>
        <v>1</v>
      </c>
      <c r="DO286" s="109">
        <f t="shared" si="153"/>
        <v>-7333299.9732595505</v>
      </c>
      <c r="DP286" s="109">
        <f t="shared" si="154"/>
        <v>0</v>
      </c>
      <c r="DR286" s="58">
        <f t="array" ref="DR286">SUM(IF(DO286:DP286&gt;=DO286, 1))</f>
        <v>2</v>
      </c>
      <c r="DS286" s="58">
        <f t="array" ref="DS286">SUM(IF(DO286:DP286&gt;=DP286, 1))</f>
        <v>1</v>
      </c>
      <c r="DU286" s="109">
        <f t="shared" si="155"/>
        <v>-14798436.968080485</v>
      </c>
      <c r="DV286" s="109">
        <f t="shared" si="156"/>
        <v>0</v>
      </c>
      <c r="DX286" s="58">
        <f t="array" ref="DX286">SUM(IF(DU286:DV286&gt;=DU286, 1))</f>
        <v>2</v>
      </c>
      <c r="DY286" s="58">
        <f t="array" ref="DY286">SUM(IF(DU286:DV286&gt;=DV286, 1))</f>
        <v>1</v>
      </c>
      <c r="EA286" s="109">
        <f t="shared" si="157"/>
        <v>-134648313.45865601</v>
      </c>
      <c r="EB286" s="109">
        <f t="shared" si="158"/>
        <v>0</v>
      </c>
      <c r="ED286" s="58">
        <f t="array" ref="ED286">SUM(IF(EA286:EB286&gt;=EA286, 1))</f>
        <v>2</v>
      </c>
      <c r="EE286" s="58">
        <f t="array" ref="EE286">SUM(IF(EA286:EB286&gt;=EB286, 1))</f>
        <v>1</v>
      </c>
    </row>
    <row r="287" spans="4:135" ht="12" customHeight="1" x14ac:dyDescent="0.25">
      <c r="D287" s="11">
        <v>271</v>
      </c>
      <c r="E287" s="72">
        <v>254.10306845810535</v>
      </c>
      <c r="F287" s="72">
        <v>242.97067684887966</v>
      </c>
      <c r="G287" s="73"/>
      <c r="H287" s="74">
        <v>5.8317069678731279</v>
      </c>
      <c r="I287" s="74">
        <v>5.845262600482279</v>
      </c>
      <c r="J287" s="73"/>
      <c r="K287" s="72">
        <v>273.45232379354718</v>
      </c>
      <c r="L287" s="72">
        <v>261.99279038805452</v>
      </c>
      <c r="M287" s="73"/>
      <c r="N287" s="74">
        <v>6.7256275463816566</v>
      </c>
      <c r="O287" s="74">
        <v>6.736629075360888</v>
      </c>
      <c r="P287" s="73"/>
      <c r="Q287" s="72">
        <v>1798.2671195547221</v>
      </c>
      <c r="R287" s="72">
        <v>1082.9727167741812</v>
      </c>
      <c r="S287" s="73"/>
      <c r="T287" s="74">
        <v>4.7521063595810542</v>
      </c>
      <c r="U287" s="74">
        <v>4.8569717497854592</v>
      </c>
      <c r="V287" s="73"/>
      <c r="W287" s="72">
        <v>12192.040267760814</v>
      </c>
      <c r="X287" s="72">
        <v>12204.490831480125</v>
      </c>
      <c r="Y287" s="73"/>
      <c r="Z287" s="74">
        <v>3.10854926472684</v>
      </c>
      <c r="AA287" s="74">
        <v>3.1625325567602425</v>
      </c>
      <c r="AB287" s="73"/>
      <c r="AC287" s="72">
        <v>50256.07543023194</v>
      </c>
      <c r="AD287" s="72">
        <v>50093.322440107469</v>
      </c>
      <c r="AE287" s="73"/>
      <c r="AF287" s="74">
        <v>4.2094628948918515</v>
      </c>
      <c r="AG287" s="74">
        <v>4.2855526980802257</v>
      </c>
      <c r="AH287" s="73"/>
      <c r="AI287" s="72">
        <v>1202050.4902803397</v>
      </c>
      <c r="AJ287" s="72">
        <v>0</v>
      </c>
      <c r="AK287" s="73"/>
      <c r="AL287" s="74">
        <v>-1463.7065776940931</v>
      </c>
      <c r="AM287" s="74">
        <v>0</v>
      </c>
      <c r="AN287" s="73"/>
      <c r="AO287" s="72">
        <v>80469.744221536384</v>
      </c>
      <c r="AP287" s="72">
        <v>0</v>
      </c>
      <c r="AQ287" s="73"/>
      <c r="AR287" s="74">
        <v>-77.253601144025509</v>
      </c>
      <c r="AS287" s="74">
        <v>0</v>
      </c>
      <c r="AT287" s="73"/>
      <c r="AU287" s="72">
        <v>16238757.484201731</v>
      </c>
      <c r="AV287" s="72">
        <v>0</v>
      </c>
      <c r="AW287" s="73"/>
      <c r="AX287" s="74">
        <v>-2380.6751924745276</v>
      </c>
      <c r="AY287" s="74">
        <v>0</v>
      </c>
      <c r="AZ287" s="73"/>
      <c r="BA287" s="72">
        <v>-109475.10555569411</v>
      </c>
      <c r="BB287" s="72">
        <v>0</v>
      </c>
      <c r="BC287" s="73"/>
      <c r="BD287" s="74">
        <v>-474.66337483455175</v>
      </c>
      <c r="BE287" s="74">
        <v>0</v>
      </c>
      <c r="BF287" s="73"/>
      <c r="BG287" s="72">
        <v>2571414.7638885244</v>
      </c>
      <c r="BH287" s="72">
        <v>0</v>
      </c>
      <c r="BI287" s="73"/>
      <c r="BJ287" s="74">
        <v>-1202.1803295307882</v>
      </c>
      <c r="BK287" s="74">
        <v>0</v>
      </c>
      <c r="BL287" s="73"/>
      <c r="BM287" s="72">
        <v>19983217.377036437</v>
      </c>
      <c r="BN287" s="72">
        <v>0</v>
      </c>
      <c r="BO287" s="73"/>
      <c r="BP287" s="74">
        <v>-5598.4790756779867</v>
      </c>
      <c r="BQ287" s="74">
        <v>0</v>
      </c>
      <c r="BS287" s="109">
        <f t="shared" si="138"/>
        <v>116380.03628900445</v>
      </c>
      <c r="BT287" s="109">
        <f t="shared" si="139"/>
        <v>116662.2813327967</v>
      </c>
      <c r="BV287" s="58">
        <f t="array" ref="BV287">SUM(IF(BS287:BT287&gt;=BS287, 1))</f>
        <v>2</v>
      </c>
      <c r="BW287" s="58">
        <f t="array" ref="BW287">SUM(IF(BS287:BT287&gt;=BT287, 1))</f>
        <v>1</v>
      </c>
      <c r="BY287" s="109">
        <f t="shared" si="140"/>
        <v>134239.09860383958</v>
      </c>
      <c r="BZ287" s="109">
        <f t="shared" si="141"/>
        <v>134470.58871682969</v>
      </c>
      <c r="CB287" s="58">
        <f t="array" ref="CB287">SUM(IF(BY287:BZ287&gt;=BY287, 1))</f>
        <v>2</v>
      </c>
      <c r="CC287" s="58">
        <f t="array" ref="CC287">SUM(IF(BY287:BZ287&gt;=BZ287, 1))</f>
        <v>1</v>
      </c>
      <c r="CE287" s="109">
        <f t="shared" si="142"/>
        <v>93243.860072066367</v>
      </c>
      <c r="CF287" s="109">
        <f t="shared" si="143"/>
        <v>96056.462278935011</v>
      </c>
      <c r="CH287" s="58">
        <f t="array" ref="CH287">SUM(IF(CE287:CF287&gt;=CE287, 1))</f>
        <v>2</v>
      </c>
      <c r="CI287" s="58">
        <f t="array" ref="CI287">SUM(IF(CE287:CF287&gt;=CF287, 1))</f>
        <v>1</v>
      </c>
      <c r="CK287" s="109">
        <f t="shared" si="144"/>
        <v>49978.945026775989</v>
      </c>
      <c r="CL287" s="109">
        <f t="shared" si="145"/>
        <v>51046.160303724726</v>
      </c>
      <c r="CN287" s="58">
        <f t="array" ref="CN287">SUM(IF(CK287:CL287&gt;=CK287, 1))</f>
        <v>2</v>
      </c>
      <c r="CO287" s="58">
        <f t="array" ref="CO287">SUM(IF(CK287:CL287&gt;=CL287, 1))</f>
        <v>1</v>
      </c>
      <c r="CQ287" s="109" cm="1">
        <f t="array" ref="CQ287">AF287*WTP-AC287</f>
        <v>33933.182467605089</v>
      </c>
      <c r="CR287" s="109">
        <f t="shared" si="146"/>
        <v>35617.731521497044</v>
      </c>
      <c r="CT287" s="58">
        <f t="array" ref="CT287">SUM(IF(CQ287:CR287&gt;=CQ287, 1))</f>
        <v>2</v>
      </c>
      <c r="CU287" s="58">
        <f t="array" ref="CU287">SUM(IF(CQ287:CR287&gt;=CR287, 1))</f>
        <v>1</v>
      </c>
      <c r="CW287" s="109">
        <f t="shared" si="147"/>
        <v>-30476182.044162203</v>
      </c>
      <c r="CX287" s="109">
        <f t="shared" si="148"/>
        <v>0</v>
      </c>
      <c r="CZ287" s="58">
        <f t="array" ref="CZ287">SUM(IF(CW287:CX287&gt;=CW287, 1))</f>
        <v>2</v>
      </c>
      <c r="DA287" s="58">
        <f t="array" ref="DA287">SUM(IF(CW287:CX287&gt;=CX287, 1))</f>
        <v>1</v>
      </c>
      <c r="DC287" s="109">
        <f t="shared" si="149"/>
        <v>-1625541.7671020466</v>
      </c>
      <c r="DD287" s="109">
        <f t="shared" si="150"/>
        <v>0</v>
      </c>
      <c r="DF287" s="58">
        <f t="array" ref="DF287">SUM(IF(DC287:DD287&gt;=DC287, 1))</f>
        <v>2</v>
      </c>
      <c r="DG287" s="58">
        <f t="array" ref="DG287">SUM(IF(DC287:DD287&gt;=DD287, 1))</f>
        <v>1</v>
      </c>
      <c r="DI287" s="109">
        <f t="shared" si="151"/>
        <v>-63852261.333692282</v>
      </c>
      <c r="DJ287" s="109">
        <f t="shared" si="152"/>
        <v>0</v>
      </c>
      <c r="DL287" s="58">
        <f t="array" ref="DL287">SUM(IF(DI287:DJ287&gt;=DI287, 1))</f>
        <v>2</v>
      </c>
      <c r="DM287" s="58">
        <f t="array" ref="DM287">SUM(IF(DI287:DJ287&gt;=DJ287, 1))</f>
        <v>1</v>
      </c>
      <c r="DO287" s="109">
        <f t="shared" si="153"/>
        <v>-9383792.3911353406</v>
      </c>
      <c r="DP287" s="109">
        <f t="shared" si="154"/>
        <v>0</v>
      </c>
      <c r="DR287" s="58">
        <f t="array" ref="DR287">SUM(IF(DO287:DP287&gt;=DO287, 1))</f>
        <v>2</v>
      </c>
      <c r="DS287" s="58">
        <f t="array" ref="DS287">SUM(IF(DO287:DP287&gt;=DP287, 1))</f>
        <v>1</v>
      </c>
      <c r="DU287" s="109">
        <f t="shared" si="155"/>
        <v>-26615021.354504287</v>
      </c>
      <c r="DV287" s="109">
        <f t="shared" si="156"/>
        <v>0</v>
      </c>
      <c r="DX287" s="58">
        <f t="array" ref="DX287">SUM(IF(DU287:DV287&gt;=DU287, 1))</f>
        <v>2</v>
      </c>
      <c r="DY287" s="58">
        <f t="array" ref="DY287">SUM(IF(DU287:DV287&gt;=DV287, 1))</f>
        <v>1</v>
      </c>
      <c r="EA287" s="109">
        <f t="shared" si="157"/>
        <v>-131952798.89059617</v>
      </c>
      <c r="EB287" s="109">
        <f t="shared" si="158"/>
        <v>0</v>
      </c>
      <c r="ED287" s="58">
        <f t="array" ref="ED287">SUM(IF(EA287:EB287&gt;=EA287, 1))</f>
        <v>2</v>
      </c>
      <c r="EE287" s="58">
        <f t="array" ref="EE287">SUM(IF(EA287:EB287&gt;=EB287, 1))</f>
        <v>1</v>
      </c>
    </row>
    <row r="288" spans="4:135" ht="12" customHeight="1" x14ac:dyDescent="0.25">
      <c r="D288" s="11">
        <v>272</v>
      </c>
      <c r="E288" s="72">
        <v>259.58499243107735</v>
      </c>
      <c r="F288" s="72">
        <v>251.46118736752197</v>
      </c>
      <c r="G288" s="73"/>
      <c r="H288" s="74">
        <v>5.8489000937293847</v>
      </c>
      <c r="I288" s="74">
        <v>5.8680769844842686</v>
      </c>
      <c r="J288" s="73"/>
      <c r="K288" s="72">
        <v>279.65833271937032</v>
      </c>
      <c r="L288" s="72">
        <v>271.29706419520051</v>
      </c>
      <c r="M288" s="73"/>
      <c r="N288" s="74">
        <v>6.6368095346534597</v>
      </c>
      <c r="O288" s="74">
        <v>6.6534528388120391</v>
      </c>
      <c r="P288" s="73"/>
      <c r="Q288" s="72">
        <v>2331.6045604275832</v>
      </c>
      <c r="R288" s="72">
        <v>1208.2326530106748</v>
      </c>
      <c r="S288" s="73"/>
      <c r="T288" s="74">
        <v>4.894429698293294</v>
      </c>
      <c r="U288" s="74">
        <v>5.0048543526320604</v>
      </c>
      <c r="V288" s="73"/>
      <c r="W288" s="72">
        <v>10919.340823279746</v>
      </c>
      <c r="X288" s="72">
        <v>10891.277220763122</v>
      </c>
      <c r="Y288" s="73"/>
      <c r="Z288" s="74">
        <v>2.8498343932791568</v>
      </c>
      <c r="AA288" s="74">
        <v>2.8860995045357596</v>
      </c>
      <c r="AB288" s="73"/>
      <c r="AC288" s="72">
        <v>51085.023019024215</v>
      </c>
      <c r="AD288" s="72">
        <v>50863.715719461215</v>
      </c>
      <c r="AE288" s="73"/>
      <c r="AF288" s="74">
        <v>4.2600189912554294</v>
      </c>
      <c r="AG288" s="74">
        <v>4.3959915432923369</v>
      </c>
      <c r="AH288" s="73"/>
      <c r="AI288" s="72">
        <v>885082.82763727591</v>
      </c>
      <c r="AJ288" s="72">
        <v>0</v>
      </c>
      <c r="AK288" s="73"/>
      <c r="AL288" s="74">
        <v>-2089.308712092055</v>
      </c>
      <c r="AM288" s="74">
        <v>0</v>
      </c>
      <c r="AN288" s="73"/>
      <c r="AO288" s="72">
        <v>55795.557955738834</v>
      </c>
      <c r="AP288" s="72">
        <v>0</v>
      </c>
      <c r="AQ288" s="73"/>
      <c r="AR288" s="74">
        <v>-111.06238713308255</v>
      </c>
      <c r="AS288" s="74">
        <v>0</v>
      </c>
      <c r="AT288" s="73"/>
      <c r="AU288" s="72">
        <v>26038198.642621599</v>
      </c>
      <c r="AV288" s="72">
        <v>0</v>
      </c>
      <c r="AW288" s="73"/>
      <c r="AX288" s="74">
        <v>-2559.4899300330753</v>
      </c>
      <c r="AY288" s="74">
        <v>0</v>
      </c>
      <c r="AZ288" s="73"/>
      <c r="BA288" s="72">
        <v>252127.42129567883</v>
      </c>
      <c r="BB288" s="72">
        <v>0</v>
      </c>
      <c r="BC288" s="73"/>
      <c r="BD288" s="74">
        <v>-325.81094956400739</v>
      </c>
      <c r="BE288" s="74">
        <v>0</v>
      </c>
      <c r="BF288" s="73"/>
      <c r="BG288" s="72">
        <v>3472242.3819875857</v>
      </c>
      <c r="BH288" s="72">
        <v>0</v>
      </c>
      <c r="BI288" s="73"/>
      <c r="BJ288" s="74">
        <v>-2133.3668564111795</v>
      </c>
      <c r="BK288" s="74">
        <v>0</v>
      </c>
      <c r="BL288" s="73"/>
      <c r="BM288" s="72">
        <v>30703446.831497882</v>
      </c>
      <c r="BN288" s="72">
        <v>0</v>
      </c>
      <c r="BO288" s="73"/>
      <c r="BP288" s="74">
        <v>-7219.0388352333994</v>
      </c>
      <c r="BQ288" s="74">
        <v>0</v>
      </c>
      <c r="BS288" s="109">
        <f t="shared" si="138"/>
        <v>116718.41688215661</v>
      </c>
      <c r="BT288" s="109">
        <f t="shared" si="139"/>
        <v>117110.07850231786</v>
      </c>
      <c r="BV288" s="58">
        <f t="array" ref="BV288">SUM(IF(BS288:BT288&gt;=BS288, 1))</f>
        <v>2</v>
      </c>
      <c r="BW288" s="58">
        <f t="array" ref="BW288">SUM(IF(BS288:BT288&gt;=BT288, 1))</f>
        <v>1</v>
      </c>
      <c r="BY288" s="109">
        <f t="shared" si="140"/>
        <v>132456.53236034981</v>
      </c>
      <c r="BZ288" s="109">
        <f t="shared" si="141"/>
        <v>132797.75971204558</v>
      </c>
      <c r="CB288" s="58">
        <f t="array" ref="CB288">SUM(IF(BY288:BZ288&gt;=BY288, 1))</f>
        <v>2</v>
      </c>
      <c r="CC288" s="58">
        <f t="array" ref="CC288">SUM(IF(BY288:BZ288&gt;=BZ288, 1))</f>
        <v>1</v>
      </c>
      <c r="CE288" s="109">
        <f t="shared" si="142"/>
        <v>95556.989405438289</v>
      </c>
      <c r="CF288" s="109">
        <f t="shared" si="143"/>
        <v>98888.854399630523</v>
      </c>
      <c r="CH288" s="58">
        <f t="array" ref="CH288">SUM(IF(CE288:CF288&gt;=CE288, 1))</f>
        <v>2</v>
      </c>
      <c r="CI288" s="58">
        <f t="array" ref="CI288">SUM(IF(CE288:CF288&gt;=CF288, 1))</f>
        <v>1</v>
      </c>
      <c r="CK288" s="109">
        <f t="shared" si="144"/>
        <v>46077.347042303394</v>
      </c>
      <c r="CL288" s="109">
        <f t="shared" si="145"/>
        <v>46830.712869952069</v>
      </c>
      <c r="CN288" s="58">
        <f t="array" ref="CN288">SUM(IF(CK288:CL288&gt;=CK288, 1))</f>
        <v>2</v>
      </c>
      <c r="CO288" s="58">
        <f t="array" ref="CO288">SUM(IF(CK288:CL288&gt;=CL288, 1))</f>
        <v>1</v>
      </c>
      <c r="CQ288" s="109" cm="1">
        <f t="array" ref="CQ288">AF288*WTP-AC288</f>
        <v>34115.356806084368</v>
      </c>
      <c r="CR288" s="109">
        <f t="shared" si="146"/>
        <v>37056.115146385528</v>
      </c>
      <c r="CT288" s="58">
        <f t="array" ref="CT288">SUM(IF(CQ288:CR288&gt;=CQ288, 1))</f>
        <v>2</v>
      </c>
      <c r="CU288" s="58">
        <f t="array" ref="CU288">SUM(IF(CQ288:CR288&gt;=CR288, 1))</f>
        <v>1</v>
      </c>
      <c r="CW288" s="109">
        <f t="shared" si="147"/>
        <v>-42671257.069478378</v>
      </c>
      <c r="CX288" s="109">
        <f t="shared" si="148"/>
        <v>0</v>
      </c>
      <c r="CZ288" s="58">
        <f t="array" ref="CZ288">SUM(IF(CW288:CX288&gt;=CW288, 1))</f>
        <v>2</v>
      </c>
      <c r="DA288" s="58">
        <f t="array" ref="DA288">SUM(IF(CW288:CX288&gt;=CX288, 1))</f>
        <v>1</v>
      </c>
      <c r="DC288" s="109">
        <f t="shared" si="149"/>
        <v>-2277043.3006173898</v>
      </c>
      <c r="DD288" s="109">
        <f t="shared" si="150"/>
        <v>0</v>
      </c>
      <c r="DF288" s="58">
        <f t="array" ref="DF288">SUM(IF(DC288:DD288&gt;=DC288, 1))</f>
        <v>2</v>
      </c>
      <c r="DG288" s="58">
        <f t="array" ref="DG288">SUM(IF(DC288:DD288&gt;=DD288, 1))</f>
        <v>1</v>
      </c>
      <c r="DI288" s="109">
        <f t="shared" si="151"/>
        <v>-77227997.243283108</v>
      </c>
      <c r="DJ288" s="109">
        <f t="shared" si="152"/>
        <v>0</v>
      </c>
      <c r="DL288" s="58">
        <f t="array" ref="DL288">SUM(IF(DI288:DJ288&gt;=DI288, 1))</f>
        <v>2</v>
      </c>
      <c r="DM288" s="58">
        <f t="array" ref="DM288">SUM(IF(DI288:DJ288&gt;=DJ288, 1))</f>
        <v>1</v>
      </c>
      <c r="DO288" s="109">
        <f t="shared" si="153"/>
        <v>-6768346.412575827</v>
      </c>
      <c r="DP288" s="109">
        <f t="shared" si="154"/>
        <v>0</v>
      </c>
      <c r="DR288" s="58">
        <f t="array" ref="DR288">SUM(IF(DO288:DP288&gt;=DO288, 1))</f>
        <v>2</v>
      </c>
      <c r="DS288" s="58">
        <f t="array" ref="DS288">SUM(IF(DO288:DP288&gt;=DP288, 1))</f>
        <v>1</v>
      </c>
      <c r="DU288" s="109">
        <f t="shared" si="155"/>
        <v>-46139579.510211177</v>
      </c>
      <c r="DV288" s="109">
        <f t="shared" si="156"/>
        <v>0</v>
      </c>
      <c r="DX288" s="58">
        <f t="array" ref="DX288">SUM(IF(DU288:DV288&gt;=DU288, 1))</f>
        <v>2</v>
      </c>
      <c r="DY288" s="58">
        <f t="array" ref="DY288">SUM(IF(DU288:DV288&gt;=DV288, 1))</f>
        <v>1</v>
      </c>
      <c r="EA288" s="109">
        <f t="shared" si="157"/>
        <v>-175084223.53616586</v>
      </c>
      <c r="EB288" s="109">
        <f t="shared" si="158"/>
        <v>0</v>
      </c>
      <c r="ED288" s="58">
        <f t="array" ref="ED288">SUM(IF(EA288:EB288&gt;=EA288, 1))</f>
        <v>2</v>
      </c>
      <c r="EE288" s="58">
        <f t="array" ref="EE288">SUM(IF(EA288:EB288&gt;=EB288, 1))</f>
        <v>1</v>
      </c>
    </row>
    <row r="289" spans="4:135" ht="12" customHeight="1" x14ac:dyDescent="0.25">
      <c r="D289" s="11">
        <v>273</v>
      </c>
      <c r="E289" s="72">
        <v>249.41801210206557</v>
      </c>
      <c r="F289" s="72">
        <v>235.76418325944132</v>
      </c>
      <c r="G289" s="73"/>
      <c r="H289" s="74">
        <v>5.8985574808570247</v>
      </c>
      <c r="I289" s="74">
        <v>5.9167903687185746</v>
      </c>
      <c r="J289" s="73"/>
      <c r="K289" s="72">
        <v>268.30354742810886</v>
      </c>
      <c r="L289" s="72">
        <v>254.31195118641432</v>
      </c>
      <c r="M289" s="73"/>
      <c r="N289" s="74">
        <v>6.7030527917706815</v>
      </c>
      <c r="O289" s="74">
        <v>6.7194377805749426</v>
      </c>
      <c r="P289" s="73"/>
      <c r="Q289" s="72">
        <v>2241.8452618827905</v>
      </c>
      <c r="R289" s="72">
        <v>1253.4958615065325</v>
      </c>
      <c r="S289" s="73"/>
      <c r="T289" s="74">
        <v>4.8199080456176437</v>
      </c>
      <c r="U289" s="74">
        <v>4.9210253822777767</v>
      </c>
      <c r="V289" s="73"/>
      <c r="W289" s="72">
        <v>15560.627225714188</v>
      </c>
      <c r="X289" s="72">
        <v>15523.31291216408</v>
      </c>
      <c r="Y289" s="73"/>
      <c r="Z289" s="74">
        <v>2.949440483348035</v>
      </c>
      <c r="AA289" s="74">
        <v>2.9891984504314468</v>
      </c>
      <c r="AB289" s="73"/>
      <c r="AC289" s="72">
        <v>51439.76598592347</v>
      </c>
      <c r="AD289" s="72">
        <v>50960.665489245184</v>
      </c>
      <c r="AE289" s="73"/>
      <c r="AF289" s="74">
        <v>4.1745170824994986</v>
      </c>
      <c r="AG289" s="74">
        <v>4.2547372168393292</v>
      </c>
      <c r="AH289" s="73"/>
      <c r="AI289" s="72">
        <v>1463702.8254595755</v>
      </c>
      <c r="AJ289" s="72">
        <v>0</v>
      </c>
      <c r="AK289" s="73"/>
      <c r="AL289" s="74">
        <v>-1954.5821019760799</v>
      </c>
      <c r="AM289" s="74">
        <v>0</v>
      </c>
      <c r="AN289" s="73"/>
      <c r="AO289" s="72">
        <v>95200.142275039252</v>
      </c>
      <c r="AP289" s="72">
        <v>0</v>
      </c>
      <c r="AQ289" s="73"/>
      <c r="AR289" s="74">
        <v>-111.48501131645475</v>
      </c>
      <c r="AS289" s="74">
        <v>0</v>
      </c>
      <c r="AT289" s="73"/>
      <c r="AU289" s="72">
        <v>22598165.274994571</v>
      </c>
      <c r="AV289" s="72">
        <v>0</v>
      </c>
      <c r="AW289" s="73"/>
      <c r="AX289" s="74">
        <v>-2312.0025014868665</v>
      </c>
      <c r="AY289" s="74">
        <v>0</v>
      </c>
      <c r="AZ289" s="73"/>
      <c r="BA289" s="72">
        <v>330813.12748593261</v>
      </c>
      <c r="BB289" s="72">
        <v>0</v>
      </c>
      <c r="BC289" s="73"/>
      <c r="BD289" s="74">
        <v>-352.47753963593794</v>
      </c>
      <c r="BE289" s="74">
        <v>0</v>
      </c>
      <c r="BF289" s="73"/>
      <c r="BG289" s="72">
        <v>7615113.9078752063</v>
      </c>
      <c r="BH289" s="72">
        <v>0</v>
      </c>
      <c r="BI289" s="73"/>
      <c r="BJ289" s="74">
        <v>-1275.067475275586</v>
      </c>
      <c r="BK289" s="74">
        <v>0</v>
      </c>
      <c r="BL289" s="73"/>
      <c r="BM289" s="72">
        <v>32102995.278090324</v>
      </c>
      <c r="BN289" s="72">
        <v>0</v>
      </c>
      <c r="BO289" s="73"/>
      <c r="BP289" s="74">
        <v>-6005.6146296909246</v>
      </c>
      <c r="BQ289" s="74">
        <v>0</v>
      </c>
      <c r="BS289" s="109">
        <f t="shared" si="138"/>
        <v>117721.73160503843</v>
      </c>
      <c r="BT289" s="109">
        <f t="shared" si="139"/>
        <v>118100.04319111205</v>
      </c>
      <c r="BV289" s="58">
        <f t="array" ref="BV289">SUM(IF(BS289:BT289&gt;=BS289, 1))</f>
        <v>2</v>
      </c>
      <c r="BW289" s="58">
        <f t="array" ref="BW289">SUM(IF(BS289:BT289&gt;=BT289, 1))</f>
        <v>1</v>
      </c>
      <c r="BY289" s="109">
        <f t="shared" si="140"/>
        <v>133792.75228798552</v>
      </c>
      <c r="BZ289" s="109">
        <f t="shared" si="141"/>
        <v>134134.44366031242</v>
      </c>
      <c r="CB289" s="58">
        <f t="array" ref="CB289">SUM(IF(BY289:BZ289&gt;=BY289, 1))</f>
        <v>2</v>
      </c>
      <c r="CC289" s="58">
        <f t="array" ref="CC289">SUM(IF(BY289:BZ289&gt;=BZ289, 1))</f>
        <v>1</v>
      </c>
      <c r="CE289" s="109">
        <f t="shared" si="142"/>
        <v>94156.315650470089</v>
      </c>
      <c r="CF289" s="109">
        <f t="shared" si="143"/>
        <v>97167.011784049013</v>
      </c>
      <c r="CH289" s="58">
        <f t="array" ref="CH289">SUM(IF(CE289:CF289&gt;=CE289, 1))</f>
        <v>2</v>
      </c>
      <c r="CI289" s="58">
        <f t="array" ref="CI289">SUM(IF(CE289:CF289&gt;=CF289, 1))</f>
        <v>1</v>
      </c>
      <c r="CK289" s="109">
        <f t="shared" si="144"/>
        <v>43428.182441246507</v>
      </c>
      <c r="CL289" s="109">
        <f t="shared" si="145"/>
        <v>44260.656096464852</v>
      </c>
      <c r="CN289" s="58">
        <f t="array" ref="CN289">SUM(IF(CK289:CL289&gt;=CK289, 1))</f>
        <v>2</v>
      </c>
      <c r="CO289" s="58">
        <f t="array" ref="CO289">SUM(IF(CK289:CL289&gt;=CL289, 1))</f>
        <v>1</v>
      </c>
      <c r="CQ289" s="109" cm="1">
        <f t="array" ref="CQ289">AF289*WTP-AC289</f>
        <v>32050.575664066506</v>
      </c>
      <c r="CR289" s="109">
        <f t="shared" si="146"/>
        <v>34134.078847541394</v>
      </c>
      <c r="CT289" s="58">
        <f t="array" ref="CT289">SUM(IF(CQ289:CR289&gt;=CQ289, 1))</f>
        <v>2</v>
      </c>
      <c r="CU289" s="58">
        <f t="array" ref="CU289">SUM(IF(CQ289:CR289&gt;=CR289, 1))</f>
        <v>1</v>
      </c>
      <c r="CW289" s="109">
        <f t="shared" si="147"/>
        <v>-40555344.864981174</v>
      </c>
      <c r="CX289" s="109">
        <f t="shared" si="148"/>
        <v>0</v>
      </c>
      <c r="CZ289" s="58">
        <f t="array" ref="CZ289">SUM(IF(CW289:CX289&gt;=CW289, 1))</f>
        <v>2</v>
      </c>
      <c r="DA289" s="58">
        <f t="array" ref="DA289">SUM(IF(CW289:CX289&gt;=CX289, 1))</f>
        <v>1</v>
      </c>
      <c r="DC289" s="109">
        <f t="shared" si="149"/>
        <v>-2324900.3686041338</v>
      </c>
      <c r="DD289" s="109">
        <f t="shared" si="150"/>
        <v>0</v>
      </c>
      <c r="DF289" s="58">
        <f t="array" ref="DF289">SUM(IF(DC289:DD289&gt;=DC289, 1))</f>
        <v>2</v>
      </c>
      <c r="DG289" s="58">
        <f t="array" ref="DG289">SUM(IF(DC289:DD289&gt;=DD289, 1))</f>
        <v>1</v>
      </c>
      <c r="DI289" s="109">
        <f t="shared" si="151"/>
        <v>-68838215.304731905</v>
      </c>
      <c r="DJ289" s="109">
        <f t="shared" si="152"/>
        <v>0</v>
      </c>
      <c r="DL289" s="58">
        <f t="array" ref="DL289">SUM(IF(DI289:DJ289&gt;=DI289, 1))</f>
        <v>2</v>
      </c>
      <c r="DM289" s="58">
        <f t="array" ref="DM289">SUM(IF(DI289:DJ289&gt;=DJ289, 1))</f>
        <v>1</v>
      </c>
      <c r="DO289" s="109">
        <f t="shared" si="153"/>
        <v>-7380363.9202046916</v>
      </c>
      <c r="DP289" s="109">
        <f t="shared" si="154"/>
        <v>0</v>
      </c>
      <c r="DR289" s="58">
        <f t="array" ref="DR289">SUM(IF(DO289:DP289&gt;=DO289, 1))</f>
        <v>2</v>
      </c>
      <c r="DS289" s="58">
        <f t="array" ref="DS289">SUM(IF(DO289:DP289&gt;=DP289, 1))</f>
        <v>1</v>
      </c>
      <c r="DU289" s="109">
        <f t="shared" si="155"/>
        <v>-33116463.413386926</v>
      </c>
      <c r="DV289" s="109">
        <f t="shared" si="156"/>
        <v>0</v>
      </c>
      <c r="DX289" s="58">
        <f t="array" ref="DX289">SUM(IF(DU289:DV289&gt;=DU289, 1))</f>
        <v>2</v>
      </c>
      <c r="DY289" s="58">
        <f t="array" ref="DY289">SUM(IF(DU289:DV289&gt;=DV289, 1))</f>
        <v>1</v>
      </c>
      <c r="EA289" s="109">
        <f t="shared" si="157"/>
        <v>-152215287.87190881</v>
      </c>
      <c r="EB289" s="109">
        <f t="shared" si="158"/>
        <v>0</v>
      </c>
      <c r="ED289" s="58">
        <f t="array" ref="ED289">SUM(IF(EA289:EB289&gt;=EA289, 1))</f>
        <v>2</v>
      </c>
      <c r="EE289" s="58">
        <f t="array" ref="EE289">SUM(IF(EA289:EB289&gt;=EB289, 1))</f>
        <v>1</v>
      </c>
    </row>
    <row r="290" spans="4:135" ht="12" customHeight="1" x14ac:dyDescent="0.25">
      <c r="D290" s="11">
        <v>274</v>
      </c>
      <c r="E290" s="72">
        <v>259.15729949276641</v>
      </c>
      <c r="F290" s="72">
        <v>238.95660708346279</v>
      </c>
      <c r="G290" s="73"/>
      <c r="H290" s="74">
        <v>5.8007133436608109</v>
      </c>
      <c r="I290" s="74">
        <v>5.8178168488200059</v>
      </c>
      <c r="J290" s="73"/>
      <c r="K290" s="72">
        <v>278.29818917979816</v>
      </c>
      <c r="L290" s="72">
        <v>257.58534658684903</v>
      </c>
      <c r="M290" s="73"/>
      <c r="N290" s="74">
        <v>6.697891316180332</v>
      </c>
      <c r="O290" s="74">
        <v>6.7126802066314815</v>
      </c>
      <c r="P290" s="73"/>
      <c r="Q290" s="72">
        <v>2298.6536651270189</v>
      </c>
      <c r="R290" s="72">
        <v>1483.6326556892573</v>
      </c>
      <c r="S290" s="73"/>
      <c r="T290" s="74">
        <v>4.8118095910950753</v>
      </c>
      <c r="U290" s="74">
        <v>4.8847872895232056</v>
      </c>
      <c r="V290" s="73"/>
      <c r="W290" s="72">
        <v>12555.790174364292</v>
      </c>
      <c r="X290" s="72">
        <v>12480.643934444728</v>
      </c>
      <c r="Y290" s="73"/>
      <c r="Z290" s="74">
        <v>3.0711463124658804</v>
      </c>
      <c r="AA290" s="74">
        <v>3.1074420122270259</v>
      </c>
      <c r="AB290" s="73"/>
      <c r="AC290" s="72">
        <v>50796.014252363559</v>
      </c>
      <c r="AD290" s="72">
        <v>50478.234908096034</v>
      </c>
      <c r="AE290" s="73"/>
      <c r="AF290" s="74">
        <v>4.4989010974835635</v>
      </c>
      <c r="AG290" s="74">
        <v>4.5900359811786666</v>
      </c>
      <c r="AH290" s="73"/>
      <c r="AI290" s="72">
        <v>2160203.6896480145</v>
      </c>
      <c r="AJ290" s="72">
        <v>0</v>
      </c>
      <c r="AK290" s="73"/>
      <c r="AL290" s="74">
        <v>-1828.9994324051277</v>
      </c>
      <c r="AM290" s="74">
        <v>0</v>
      </c>
      <c r="AN290" s="73"/>
      <c r="AO290" s="72">
        <v>138353.43330401334</v>
      </c>
      <c r="AP290" s="72">
        <v>0</v>
      </c>
      <c r="AQ290" s="73"/>
      <c r="AR290" s="74">
        <v>-98.783822620753412</v>
      </c>
      <c r="AS290" s="74">
        <v>0</v>
      </c>
      <c r="AT290" s="73"/>
      <c r="AU290" s="72">
        <v>18778555.763759185</v>
      </c>
      <c r="AV290" s="72">
        <v>0</v>
      </c>
      <c r="AW290" s="73"/>
      <c r="AX290" s="74">
        <v>-1681.4484087825176</v>
      </c>
      <c r="AY290" s="74">
        <v>0</v>
      </c>
      <c r="AZ290" s="73"/>
      <c r="BA290" s="72">
        <v>667568.49227530533</v>
      </c>
      <c r="BB290" s="72">
        <v>0</v>
      </c>
      <c r="BC290" s="73"/>
      <c r="BD290" s="74">
        <v>-322.43616701993858</v>
      </c>
      <c r="BE290" s="74">
        <v>0</v>
      </c>
      <c r="BF290" s="73"/>
      <c r="BG290" s="72">
        <v>5080969.1071643122</v>
      </c>
      <c r="BH290" s="72">
        <v>0</v>
      </c>
      <c r="BI290" s="73"/>
      <c r="BJ290" s="74">
        <v>-1457.154270700511</v>
      </c>
      <c r="BK290" s="74">
        <v>0</v>
      </c>
      <c r="BL290" s="73"/>
      <c r="BM290" s="72">
        <v>26825650.486150831</v>
      </c>
      <c r="BN290" s="72">
        <v>0</v>
      </c>
      <c r="BO290" s="73"/>
      <c r="BP290" s="74">
        <v>-5388.8221015288482</v>
      </c>
      <c r="BQ290" s="74">
        <v>0</v>
      </c>
      <c r="BS290" s="109">
        <f t="shared" si="138"/>
        <v>115755.10957372344</v>
      </c>
      <c r="BT290" s="109">
        <f t="shared" si="139"/>
        <v>116117.38036931666</v>
      </c>
      <c r="BV290" s="58">
        <f t="array" ref="BV290">SUM(IF(BS290:BT290&gt;=BS290, 1))</f>
        <v>2</v>
      </c>
      <c r="BW290" s="58">
        <f t="array" ref="BW290">SUM(IF(BS290:BT290&gt;=BT290, 1))</f>
        <v>1</v>
      </c>
      <c r="BY290" s="109">
        <f t="shared" si="140"/>
        <v>133679.52813442683</v>
      </c>
      <c r="BZ290" s="109">
        <f t="shared" si="141"/>
        <v>133996.01878604278</v>
      </c>
      <c r="CB290" s="58">
        <f t="array" ref="CB290">SUM(IF(BY290:BZ290&gt;=BY290, 1))</f>
        <v>2</v>
      </c>
      <c r="CC290" s="58">
        <f t="array" ref="CC290">SUM(IF(BY290:BZ290&gt;=BZ290, 1))</f>
        <v>1</v>
      </c>
      <c r="CE290" s="109">
        <f t="shared" si="142"/>
        <v>93937.538156774492</v>
      </c>
      <c r="CF290" s="109">
        <f t="shared" si="143"/>
        <v>96212.11313477486</v>
      </c>
      <c r="CH290" s="58">
        <f t="array" ref="CH290">SUM(IF(CE290:CF290&gt;=CE290, 1))</f>
        <v>2</v>
      </c>
      <c r="CI290" s="58">
        <f t="array" ref="CI290">SUM(IF(CE290:CF290&gt;=CF290, 1))</f>
        <v>1</v>
      </c>
      <c r="CK290" s="109">
        <f t="shared" si="144"/>
        <v>48867.136074953312</v>
      </c>
      <c r="CL290" s="109">
        <f t="shared" si="145"/>
        <v>49668.196310095787</v>
      </c>
      <c r="CN290" s="58">
        <f t="array" ref="CN290">SUM(IF(CK290:CL290&gt;=CK290, 1))</f>
        <v>2</v>
      </c>
      <c r="CO290" s="58">
        <f t="array" ref="CO290">SUM(IF(CK290:CL290&gt;=CL290, 1))</f>
        <v>1</v>
      </c>
      <c r="CQ290" s="109" cm="1">
        <f t="array" ref="CQ290">AF290*WTP-AC290</f>
        <v>39182.007697307708</v>
      </c>
      <c r="CR290" s="109">
        <f t="shared" si="146"/>
        <v>41322.484715477294</v>
      </c>
      <c r="CT290" s="58">
        <f t="array" ref="CT290">SUM(IF(CQ290:CR290&gt;=CQ290, 1))</f>
        <v>2</v>
      </c>
      <c r="CU290" s="58">
        <f t="array" ref="CU290">SUM(IF(CQ290:CR290&gt;=CR290, 1))</f>
        <v>1</v>
      </c>
      <c r="CW290" s="109">
        <f t="shared" si="147"/>
        <v>-38740192.337750569</v>
      </c>
      <c r="CX290" s="109">
        <f t="shared" si="148"/>
        <v>0</v>
      </c>
      <c r="CZ290" s="58">
        <f t="array" ref="CZ290">SUM(IF(CW290:CX290&gt;=CW290, 1))</f>
        <v>2</v>
      </c>
      <c r="DA290" s="58">
        <f t="array" ref="DA290">SUM(IF(CW290:CX290&gt;=CX290, 1))</f>
        <v>1</v>
      </c>
      <c r="DC290" s="109">
        <f t="shared" si="149"/>
        <v>-2114029.8857190814</v>
      </c>
      <c r="DD290" s="109">
        <f t="shared" si="150"/>
        <v>0</v>
      </c>
      <c r="DF290" s="58">
        <f t="array" ref="DF290">SUM(IF(DC290:DD290&gt;=DC290, 1))</f>
        <v>2</v>
      </c>
      <c r="DG290" s="58">
        <f t="array" ref="DG290">SUM(IF(DC290:DD290&gt;=DD290, 1))</f>
        <v>1</v>
      </c>
      <c r="DI290" s="109">
        <f t="shared" si="151"/>
        <v>-52407523.939409539</v>
      </c>
      <c r="DJ290" s="109">
        <f t="shared" si="152"/>
        <v>0</v>
      </c>
      <c r="DL290" s="58">
        <f t="array" ref="DL290">SUM(IF(DI290:DJ290&gt;=DI290, 1))</f>
        <v>2</v>
      </c>
      <c r="DM290" s="58">
        <f t="array" ref="DM290">SUM(IF(DI290:DJ290&gt;=DJ290, 1))</f>
        <v>1</v>
      </c>
      <c r="DO290" s="109">
        <f t="shared" si="153"/>
        <v>-7116291.8326740768</v>
      </c>
      <c r="DP290" s="109">
        <f t="shared" si="154"/>
        <v>0</v>
      </c>
      <c r="DR290" s="58">
        <f t="array" ref="DR290">SUM(IF(DO290:DP290&gt;=DO290, 1))</f>
        <v>2</v>
      </c>
      <c r="DS290" s="58">
        <f t="array" ref="DS290">SUM(IF(DO290:DP290&gt;=DP290, 1))</f>
        <v>1</v>
      </c>
      <c r="DU290" s="109">
        <f t="shared" si="155"/>
        <v>-34224054.521174535</v>
      </c>
      <c r="DV290" s="109">
        <f t="shared" si="156"/>
        <v>0</v>
      </c>
      <c r="DX290" s="58">
        <f t="array" ref="DX290">SUM(IF(DU290:DV290&gt;=DU290, 1))</f>
        <v>2</v>
      </c>
      <c r="DY290" s="58">
        <f t="array" ref="DY290">SUM(IF(DU290:DV290&gt;=DV290, 1))</f>
        <v>1</v>
      </c>
      <c r="EA290" s="109">
        <f t="shared" si="157"/>
        <v>-134602092.51672781</v>
      </c>
      <c r="EB290" s="109">
        <f t="shared" si="158"/>
        <v>0</v>
      </c>
      <c r="ED290" s="58">
        <f t="array" ref="ED290">SUM(IF(EA290:EB290&gt;=EA290, 1))</f>
        <v>2</v>
      </c>
      <c r="EE290" s="58">
        <f t="array" ref="EE290">SUM(IF(EA290:EB290&gt;=EB290, 1))</f>
        <v>1</v>
      </c>
    </row>
    <row r="291" spans="4:135" ht="12" customHeight="1" x14ac:dyDescent="0.25">
      <c r="D291" s="11">
        <v>275</v>
      </c>
      <c r="E291" s="72">
        <v>310.80070847258997</v>
      </c>
      <c r="F291" s="72">
        <v>275.60133810504726</v>
      </c>
      <c r="G291" s="73"/>
      <c r="H291" s="74">
        <v>5.8663484393486129</v>
      </c>
      <c r="I291" s="74">
        <v>5.8857064595360713</v>
      </c>
      <c r="J291" s="73"/>
      <c r="K291" s="72">
        <v>333.08549602546725</v>
      </c>
      <c r="L291" s="72">
        <v>297.07845488489738</v>
      </c>
      <c r="M291" s="73"/>
      <c r="N291" s="74">
        <v>6.626864652832408</v>
      </c>
      <c r="O291" s="74">
        <v>6.6447973984997946</v>
      </c>
      <c r="P291" s="73"/>
      <c r="Q291" s="72">
        <v>2112.508815993051</v>
      </c>
      <c r="R291" s="72">
        <v>1488.3805856058091</v>
      </c>
      <c r="S291" s="73"/>
      <c r="T291" s="74">
        <v>4.8407022638121111</v>
      </c>
      <c r="U291" s="74">
        <v>4.9057174364746103</v>
      </c>
      <c r="V291" s="73"/>
      <c r="W291" s="72">
        <v>15357.763873629852</v>
      </c>
      <c r="X291" s="72">
        <v>15376.323992378992</v>
      </c>
      <c r="Y291" s="73"/>
      <c r="Z291" s="74">
        <v>3.0024209932603894</v>
      </c>
      <c r="AA291" s="74">
        <v>3.0570023307430727</v>
      </c>
      <c r="AB291" s="73"/>
      <c r="AC291" s="72">
        <v>50532.875031270727</v>
      </c>
      <c r="AD291" s="72">
        <v>50257.139120742533</v>
      </c>
      <c r="AE291" s="73"/>
      <c r="AF291" s="74">
        <v>4.5804880395490679</v>
      </c>
      <c r="AG291" s="74">
        <v>4.7051443143895639</v>
      </c>
      <c r="AH291" s="73"/>
      <c r="AI291" s="72">
        <v>3768834.6015978716</v>
      </c>
      <c r="AJ291" s="72">
        <v>0</v>
      </c>
      <c r="AK291" s="73"/>
      <c r="AL291" s="74">
        <v>-2072.6841286967133</v>
      </c>
      <c r="AM291" s="74">
        <v>0</v>
      </c>
      <c r="AN291" s="73"/>
      <c r="AO291" s="72">
        <v>262710.28522816329</v>
      </c>
      <c r="AP291" s="72">
        <v>0</v>
      </c>
      <c r="AQ291" s="73"/>
      <c r="AR291" s="74">
        <v>-130.83876319665495</v>
      </c>
      <c r="AS291" s="74">
        <v>0</v>
      </c>
      <c r="AT291" s="73"/>
      <c r="AU291" s="72">
        <v>15077236.019628016</v>
      </c>
      <c r="AV291" s="72">
        <v>0</v>
      </c>
      <c r="AW291" s="73"/>
      <c r="AX291" s="74">
        <v>-1570.5892721455175</v>
      </c>
      <c r="AY291" s="74">
        <v>0</v>
      </c>
      <c r="AZ291" s="73"/>
      <c r="BA291" s="72">
        <v>-159773.96646707336</v>
      </c>
      <c r="BB291" s="72">
        <v>0</v>
      </c>
      <c r="BC291" s="73"/>
      <c r="BD291" s="74">
        <v>-469.86104467088484</v>
      </c>
      <c r="BE291" s="74">
        <v>0</v>
      </c>
      <c r="BF291" s="73"/>
      <c r="BG291" s="72">
        <v>4318585.0848852545</v>
      </c>
      <c r="BH291" s="72">
        <v>0</v>
      </c>
      <c r="BI291" s="73"/>
      <c r="BJ291" s="74">
        <v>-1952.3707602404515</v>
      </c>
      <c r="BK291" s="74">
        <v>0</v>
      </c>
      <c r="BL291" s="73"/>
      <c r="BM291" s="72">
        <v>23267592.024872232</v>
      </c>
      <c r="BN291" s="72">
        <v>0</v>
      </c>
      <c r="BO291" s="73"/>
      <c r="BP291" s="74">
        <v>-6196.3439689502211</v>
      </c>
      <c r="BQ291" s="74">
        <v>0</v>
      </c>
      <c r="BS291" s="109">
        <f t="shared" si="138"/>
        <v>117016.16807849967</v>
      </c>
      <c r="BT291" s="109">
        <f t="shared" si="139"/>
        <v>117438.52785261639</v>
      </c>
      <c r="BV291" s="58">
        <f t="array" ref="BV291">SUM(IF(BS291:BT291&gt;=BS291, 1))</f>
        <v>2</v>
      </c>
      <c r="BW291" s="58">
        <f t="array" ref="BW291">SUM(IF(BS291:BT291&gt;=BT291, 1))</f>
        <v>1</v>
      </c>
      <c r="BY291" s="109">
        <f t="shared" si="140"/>
        <v>132204.20756062269</v>
      </c>
      <c r="BZ291" s="109">
        <f t="shared" si="141"/>
        <v>132598.869515111</v>
      </c>
      <c r="CB291" s="58">
        <f t="array" ref="CB291">SUM(IF(BY291:BZ291&gt;=BY291, 1))</f>
        <v>2</v>
      </c>
      <c r="CC291" s="58">
        <f t="array" ref="CC291">SUM(IF(BY291:BZ291&gt;=BZ291, 1))</f>
        <v>1</v>
      </c>
      <c r="CE291" s="109">
        <f t="shared" si="142"/>
        <v>94701.536460249175</v>
      </c>
      <c r="CF291" s="109">
        <f t="shared" si="143"/>
        <v>96625.968143886406</v>
      </c>
      <c r="CH291" s="58">
        <f t="array" ref="CH291">SUM(IF(CE291:CF291&gt;=CE291, 1))</f>
        <v>2</v>
      </c>
      <c r="CI291" s="58">
        <f t="array" ref="CI291">SUM(IF(CE291:CF291&gt;=CF291, 1))</f>
        <v>1</v>
      </c>
      <c r="CK291" s="109">
        <f t="shared" si="144"/>
        <v>44690.655991577936</v>
      </c>
      <c r="CL291" s="109">
        <f t="shared" si="145"/>
        <v>45763.722622482455</v>
      </c>
      <c r="CN291" s="58">
        <f t="array" ref="CN291">SUM(IF(CK291:CL291&gt;=CK291, 1))</f>
        <v>2</v>
      </c>
      <c r="CO291" s="58">
        <f t="array" ref="CO291">SUM(IF(CK291:CL291&gt;=CL291, 1))</f>
        <v>1</v>
      </c>
      <c r="CQ291" s="109" cm="1">
        <f t="array" ref="CQ291">AF291*WTP-AC291</f>
        <v>41076.885759710625</v>
      </c>
      <c r="CR291" s="109">
        <f t="shared" si="146"/>
        <v>43845.747167048743</v>
      </c>
      <c r="CT291" s="58">
        <f t="array" ref="CT291">SUM(IF(CQ291:CR291&gt;=CQ291, 1))</f>
        <v>2</v>
      </c>
      <c r="CU291" s="58">
        <f t="array" ref="CU291">SUM(IF(CQ291:CR291&gt;=CR291, 1))</f>
        <v>1</v>
      </c>
      <c r="CW291" s="109">
        <f t="shared" si="147"/>
        <v>-45222517.175532132</v>
      </c>
      <c r="CX291" s="109">
        <f t="shared" si="148"/>
        <v>0</v>
      </c>
      <c r="CZ291" s="58">
        <f t="array" ref="CZ291">SUM(IF(CW291:CX291&gt;=CW291, 1))</f>
        <v>2</v>
      </c>
      <c r="DA291" s="58">
        <f t="array" ref="DA291">SUM(IF(CW291:CX291&gt;=CX291, 1))</f>
        <v>1</v>
      </c>
      <c r="DC291" s="109">
        <f t="shared" si="149"/>
        <v>-2879485.5491612623</v>
      </c>
      <c r="DD291" s="109">
        <f t="shared" si="150"/>
        <v>0</v>
      </c>
      <c r="DF291" s="58">
        <f t="array" ref="DF291">SUM(IF(DC291:DD291&gt;=DC291, 1))</f>
        <v>2</v>
      </c>
      <c r="DG291" s="58">
        <f t="array" ref="DG291">SUM(IF(DC291:DD291&gt;=DD291, 1))</f>
        <v>1</v>
      </c>
      <c r="DI291" s="109">
        <f t="shared" si="151"/>
        <v>-46489021.462538369</v>
      </c>
      <c r="DJ291" s="109">
        <f t="shared" si="152"/>
        <v>0</v>
      </c>
      <c r="DL291" s="58">
        <f t="array" ref="DL291">SUM(IF(DI291:DJ291&gt;=DI291, 1))</f>
        <v>2</v>
      </c>
      <c r="DM291" s="58">
        <f t="array" ref="DM291">SUM(IF(DI291:DJ291&gt;=DJ291, 1))</f>
        <v>1</v>
      </c>
      <c r="DO291" s="109">
        <f t="shared" si="153"/>
        <v>-9237446.9269506242</v>
      </c>
      <c r="DP291" s="109">
        <f t="shared" si="154"/>
        <v>0</v>
      </c>
      <c r="DR291" s="58">
        <f t="array" ref="DR291">SUM(IF(DO291:DP291&gt;=DO291, 1))</f>
        <v>2</v>
      </c>
      <c r="DS291" s="58">
        <f t="array" ref="DS291">SUM(IF(DO291:DP291&gt;=DP291, 1))</f>
        <v>1</v>
      </c>
      <c r="DU291" s="109">
        <f t="shared" si="155"/>
        <v>-43366000.289694287</v>
      </c>
      <c r="DV291" s="109">
        <f t="shared" si="156"/>
        <v>0</v>
      </c>
      <c r="DX291" s="58">
        <f t="array" ref="DX291">SUM(IF(DU291:DV291&gt;=DU291, 1))</f>
        <v>2</v>
      </c>
      <c r="DY291" s="58">
        <f t="array" ref="DY291">SUM(IF(DU291:DV291&gt;=DV291, 1))</f>
        <v>1</v>
      </c>
      <c r="EA291" s="109">
        <f t="shared" si="157"/>
        <v>-147194471.40387666</v>
      </c>
      <c r="EB291" s="109">
        <f t="shared" si="158"/>
        <v>0</v>
      </c>
      <c r="ED291" s="58">
        <f t="array" ref="ED291">SUM(IF(EA291:EB291&gt;=EA291, 1))</f>
        <v>2</v>
      </c>
      <c r="EE291" s="58">
        <f t="array" ref="EE291">SUM(IF(EA291:EB291&gt;=EB291, 1))</f>
        <v>1</v>
      </c>
    </row>
    <row r="292" spans="4:135" ht="12" customHeight="1" x14ac:dyDescent="0.25">
      <c r="D292" s="11">
        <v>276</v>
      </c>
      <c r="E292" s="72">
        <v>332.88439303084999</v>
      </c>
      <c r="F292" s="72">
        <v>286.94332716661444</v>
      </c>
      <c r="G292" s="73"/>
      <c r="H292" s="74">
        <v>5.832573581263877</v>
      </c>
      <c r="I292" s="74">
        <v>5.8501083657923507</v>
      </c>
      <c r="J292" s="73"/>
      <c r="K292" s="72">
        <v>356.38423113419913</v>
      </c>
      <c r="L292" s="72">
        <v>309.34299406310691</v>
      </c>
      <c r="M292" s="73"/>
      <c r="N292" s="74">
        <v>6.7350102530379337</v>
      </c>
      <c r="O292" s="74">
        <v>6.7503081578601112</v>
      </c>
      <c r="P292" s="73"/>
      <c r="Q292" s="72">
        <v>2061.177430704468</v>
      </c>
      <c r="R292" s="72">
        <v>1627.5386471823438</v>
      </c>
      <c r="S292" s="73"/>
      <c r="T292" s="74">
        <v>4.8440687760432608</v>
      </c>
      <c r="U292" s="74">
        <v>4.8916374523612642</v>
      </c>
      <c r="V292" s="73"/>
      <c r="W292" s="72">
        <v>10968.184691179884</v>
      </c>
      <c r="X292" s="72">
        <v>10978.004951910803</v>
      </c>
      <c r="Y292" s="73"/>
      <c r="Z292" s="74">
        <v>2.8691522069202606</v>
      </c>
      <c r="AA292" s="74">
        <v>2.9129282527953326</v>
      </c>
      <c r="AB292" s="73"/>
      <c r="AC292" s="72">
        <v>49563.154827631755</v>
      </c>
      <c r="AD292" s="72">
        <v>49422.680929508715</v>
      </c>
      <c r="AE292" s="73"/>
      <c r="AF292" s="74">
        <v>4.4211545687956821</v>
      </c>
      <c r="AG292" s="74">
        <v>4.5283293909362934</v>
      </c>
      <c r="AH292" s="73"/>
      <c r="AI292" s="72">
        <v>4979219.3616379127</v>
      </c>
      <c r="AJ292" s="72">
        <v>0</v>
      </c>
      <c r="AK292" s="73"/>
      <c r="AL292" s="74">
        <v>-1900.4682843959495</v>
      </c>
      <c r="AM292" s="74">
        <v>0</v>
      </c>
      <c r="AN292" s="73"/>
      <c r="AO292" s="72">
        <v>337332.23137775407</v>
      </c>
      <c r="AP292" s="72">
        <v>0</v>
      </c>
      <c r="AQ292" s="73"/>
      <c r="AR292" s="74">
        <v>-109.70111949374869</v>
      </c>
      <c r="AS292" s="74">
        <v>0</v>
      </c>
      <c r="AT292" s="73"/>
      <c r="AU292" s="72">
        <v>10026556.325866463</v>
      </c>
      <c r="AV292" s="72">
        <v>0</v>
      </c>
      <c r="AW292" s="73"/>
      <c r="AX292" s="74">
        <v>-1099.8785869092762</v>
      </c>
      <c r="AY292" s="74">
        <v>0</v>
      </c>
      <c r="AZ292" s="73"/>
      <c r="BA292" s="72">
        <v>-88739.131472093068</v>
      </c>
      <c r="BB292" s="72">
        <v>0</v>
      </c>
      <c r="BC292" s="73"/>
      <c r="BD292" s="74">
        <v>-395.57486269233419</v>
      </c>
      <c r="BE292" s="74">
        <v>0</v>
      </c>
      <c r="BF292" s="73"/>
      <c r="BG292" s="72">
        <v>2262183.1220306628</v>
      </c>
      <c r="BH292" s="72">
        <v>0</v>
      </c>
      <c r="BI292" s="73"/>
      <c r="BJ292" s="74">
        <v>-1725.9368252226418</v>
      </c>
      <c r="BK292" s="74">
        <v>0</v>
      </c>
      <c r="BL292" s="73"/>
      <c r="BM292" s="72">
        <v>17516551.9094407</v>
      </c>
      <c r="BN292" s="72">
        <v>0</v>
      </c>
      <c r="BO292" s="73"/>
      <c r="BP292" s="74">
        <v>-5231.5596787139502</v>
      </c>
      <c r="BQ292" s="74">
        <v>0</v>
      </c>
      <c r="BS292" s="109">
        <f t="shared" si="138"/>
        <v>116318.58723224669</v>
      </c>
      <c r="BT292" s="109">
        <f t="shared" si="139"/>
        <v>116715.22398868039</v>
      </c>
      <c r="BV292" s="58">
        <f t="array" ref="BV292">SUM(IF(BS292:BT292&gt;=BS292, 1))</f>
        <v>2</v>
      </c>
      <c r="BW292" s="58">
        <f t="array" ref="BW292">SUM(IF(BS292:BT292&gt;=BT292, 1))</f>
        <v>1</v>
      </c>
      <c r="BY292" s="109">
        <f t="shared" si="140"/>
        <v>134343.82082962448</v>
      </c>
      <c r="BZ292" s="109">
        <f t="shared" si="141"/>
        <v>134696.82016313911</v>
      </c>
      <c r="CB292" s="58">
        <f t="array" ref="CB292">SUM(IF(BY292:BZ292&gt;=BY292, 1))</f>
        <v>2</v>
      </c>
      <c r="CC292" s="58">
        <f t="array" ref="CC292">SUM(IF(BY292:BZ292&gt;=BZ292, 1))</f>
        <v>1</v>
      </c>
      <c r="CE292" s="109">
        <f t="shared" si="142"/>
        <v>94820.198090160746</v>
      </c>
      <c r="CF292" s="109">
        <f t="shared" si="143"/>
        <v>96205.210400042939</v>
      </c>
      <c r="CH292" s="58">
        <f t="array" ref="CH292">SUM(IF(CE292:CF292&gt;=CE292, 1))</f>
        <v>2</v>
      </c>
      <c r="CI292" s="58">
        <f t="array" ref="CI292">SUM(IF(CE292:CF292&gt;=CF292, 1))</f>
        <v>1</v>
      </c>
      <c r="CK292" s="109">
        <f t="shared" si="144"/>
        <v>46414.859447225324</v>
      </c>
      <c r="CL292" s="109">
        <f t="shared" si="145"/>
        <v>47280.560103995856</v>
      </c>
      <c r="CN292" s="58">
        <f t="array" ref="CN292">SUM(IF(CK292:CL292&gt;=CK292, 1))</f>
        <v>2</v>
      </c>
      <c r="CO292" s="58">
        <f t="array" ref="CO292">SUM(IF(CK292:CL292&gt;=CL292, 1))</f>
        <v>1</v>
      </c>
      <c r="CQ292" s="109" cm="1">
        <f t="array" ref="CQ292">AF292*WTP-AC292</f>
        <v>38859.93654828189</v>
      </c>
      <c r="CR292" s="109">
        <f t="shared" si="146"/>
        <v>41143.906889217149</v>
      </c>
      <c r="CT292" s="58">
        <f t="array" ref="CT292">SUM(IF(CQ292:CR292&gt;=CQ292, 1))</f>
        <v>2</v>
      </c>
      <c r="CU292" s="58">
        <f t="array" ref="CU292">SUM(IF(CQ292:CR292&gt;=CR292, 1))</f>
        <v>1</v>
      </c>
      <c r="CW292" s="109">
        <f t="shared" si="147"/>
        <v>-42988585.049556904</v>
      </c>
      <c r="CX292" s="109">
        <f t="shared" si="148"/>
        <v>0</v>
      </c>
      <c r="CZ292" s="58">
        <f t="array" ref="CZ292">SUM(IF(CW292:CX292&gt;=CW292, 1))</f>
        <v>2</v>
      </c>
      <c r="DA292" s="58">
        <f t="array" ref="DA292">SUM(IF(CW292:CX292&gt;=CX292, 1))</f>
        <v>1</v>
      </c>
      <c r="DC292" s="109">
        <f t="shared" si="149"/>
        <v>-2531354.6212527277</v>
      </c>
      <c r="DD292" s="109">
        <f t="shared" si="150"/>
        <v>0</v>
      </c>
      <c r="DF292" s="58">
        <f t="array" ref="DF292">SUM(IF(DC292:DD292&gt;=DC292, 1))</f>
        <v>2</v>
      </c>
      <c r="DG292" s="58">
        <f t="array" ref="DG292">SUM(IF(DC292:DD292&gt;=DD292, 1))</f>
        <v>1</v>
      </c>
      <c r="DI292" s="109">
        <f t="shared" si="151"/>
        <v>-32024128.064051986</v>
      </c>
      <c r="DJ292" s="109">
        <f t="shared" si="152"/>
        <v>0</v>
      </c>
      <c r="DL292" s="58">
        <f t="array" ref="DL292">SUM(IF(DI292:DJ292&gt;=DI292, 1))</f>
        <v>2</v>
      </c>
      <c r="DM292" s="58">
        <f t="array" ref="DM292">SUM(IF(DI292:DJ292&gt;=DJ292, 1))</f>
        <v>1</v>
      </c>
      <c r="DO292" s="109">
        <f t="shared" si="153"/>
        <v>-7822758.1223745905</v>
      </c>
      <c r="DP292" s="109">
        <f t="shared" si="154"/>
        <v>0</v>
      </c>
      <c r="DR292" s="58">
        <f t="array" ref="DR292">SUM(IF(DO292:DP292&gt;=DO292, 1))</f>
        <v>2</v>
      </c>
      <c r="DS292" s="58">
        <f t="array" ref="DS292">SUM(IF(DO292:DP292&gt;=DP292, 1))</f>
        <v>1</v>
      </c>
      <c r="DU292" s="109">
        <f t="shared" si="155"/>
        <v>-36780919.6264835</v>
      </c>
      <c r="DV292" s="109">
        <f t="shared" si="156"/>
        <v>0</v>
      </c>
      <c r="DX292" s="58">
        <f t="array" ref="DX292">SUM(IF(DU292:DV292&gt;=DU292, 1))</f>
        <v>2</v>
      </c>
      <c r="DY292" s="58">
        <f t="array" ref="DY292">SUM(IF(DU292:DV292&gt;=DV292, 1))</f>
        <v>1</v>
      </c>
      <c r="EA292" s="109">
        <f t="shared" si="157"/>
        <v>-122147745.48371971</v>
      </c>
      <c r="EB292" s="109">
        <f t="shared" si="158"/>
        <v>0</v>
      </c>
      <c r="ED292" s="58">
        <f t="array" ref="ED292">SUM(IF(EA292:EB292&gt;=EA292, 1))</f>
        <v>2</v>
      </c>
      <c r="EE292" s="58">
        <f t="array" ref="EE292">SUM(IF(EA292:EB292&gt;=EB292, 1))</f>
        <v>1</v>
      </c>
    </row>
    <row r="293" spans="4:135" ht="12" customHeight="1" x14ac:dyDescent="0.25">
      <c r="D293" s="11">
        <v>277</v>
      </c>
      <c r="E293" s="72">
        <v>285.66344036678259</v>
      </c>
      <c r="F293" s="72">
        <v>251.57154122391159</v>
      </c>
      <c r="G293" s="73"/>
      <c r="H293" s="74">
        <v>5.8070095959921275</v>
      </c>
      <c r="I293" s="74">
        <v>5.825155264282218</v>
      </c>
      <c r="J293" s="73"/>
      <c r="K293" s="72">
        <v>306.13434100250134</v>
      </c>
      <c r="L293" s="72">
        <v>271.24377158879145</v>
      </c>
      <c r="M293" s="73"/>
      <c r="N293" s="74">
        <v>6.6866520566634762</v>
      </c>
      <c r="O293" s="74">
        <v>6.7027698845178039</v>
      </c>
      <c r="P293" s="73"/>
      <c r="Q293" s="72">
        <v>2053.6025822530546</v>
      </c>
      <c r="R293" s="72">
        <v>1319.564910521616</v>
      </c>
      <c r="S293" s="73"/>
      <c r="T293" s="74">
        <v>4.8072526129752768</v>
      </c>
      <c r="U293" s="74">
        <v>4.8803699865905781</v>
      </c>
      <c r="V293" s="73"/>
      <c r="W293" s="72">
        <v>12589.497867724374</v>
      </c>
      <c r="X293" s="72">
        <v>12624.03599603158</v>
      </c>
      <c r="Y293" s="73"/>
      <c r="Z293" s="74">
        <v>2.9483564122153463</v>
      </c>
      <c r="AA293" s="74">
        <v>3.0123491587766615</v>
      </c>
      <c r="AB293" s="73"/>
      <c r="AC293" s="72">
        <v>50779.438796401744</v>
      </c>
      <c r="AD293" s="72">
        <v>50639.857249989313</v>
      </c>
      <c r="AE293" s="73"/>
      <c r="AF293" s="74">
        <v>4.5214532130166649</v>
      </c>
      <c r="AG293" s="74">
        <v>4.5739837996320025</v>
      </c>
      <c r="AH293" s="73"/>
      <c r="AI293" s="72">
        <v>3620267.9504469931</v>
      </c>
      <c r="AJ293" s="72">
        <v>0</v>
      </c>
      <c r="AK293" s="73"/>
      <c r="AL293" s="74">
        <v>-1926.9146923952972</v>
      </c>
      <c r="AM293" s="74">
        <v>0</v>
      </c>
      <c r="AN293" s="73"/>
      <c r="AO293" s="72">
        <v>235021.16943657884</v>
      </c>
      <c r="AP293" s="72">
        <v>0</v>
      </c>
      <c r="AQ293" s="73"/>
      <c r="AR293" s="74">
        <v>-108.56890027174765</v>
      </c>
      <c r="AS293" s="74">
        <v>0</v>
      </c>
      <c r="AT293" s="73"/>
      <c r="AU293" s="72">
        <v>17141075.149747353</v>
      </c>
      <c r="AV293" s="72">
        <v>0</v>
      </c>
      <c r="AW293" s="73"/>
      <c r="AX293" s="74">
        <v>-1707.4197199385426</v>
      </c>
      <c r="AY293" s="74">
        <v>0</v>
      </c>
      <c r="AZ293" s="73"/>
      <c r="BA293" s="72">
        <v>-304326.2123065131</v>
      </c>
      <c r="BB293" s="72">
        <v>0</v>
      </c>
      <c r="BC293" s="73"/>
      <c r="BD293" s="74">
        <v>-563.86003326163893</v>
      </c>
      <c r="BE293" s="74">
        <v>0</v>
      </c>
      <c r="BF293" s="73"/>
      <c r="BG293" s="72">
        <v>2236311.016525235</v>
      </c>
      <c r="BH293" s="72">
        <v>0</v>
      </c>
      <c r="BI293" s="73"/>
      <c r="BJ293" s="74">
        <v>-841.62077704241449</v>
      </c>
      <c r="BK293" s="74">
        <v>0</v>
      </c>
      <c r="BL293" s="73"/>
      <c r="BM293" s="72">
        <v>22928349.073849645</v>
      </c>
      <c r="BN293" s="72">
        <v>0</v>
      </c>
      <c r="BO293" s="73"/>
      <c r="BP293" s="74">
        <v>-5148.3841229096406</v>
      </c>
      <c r="BQ293" s="74">
        <v>0</v>
      </c>
      <c r="BS293" s="109">
        <f t="shared" si="138"/>
        <v>115854.52847947576</v>
      </c>
      <c r="BT293" s="109">
        <f t="shared" si="139"/>
        <v>116251.53374442045</v>
      </c>
      <c r="BV293" s="58">
        <f t="array" ref="BV293">SUM(IF(BS293:BT293&gt;=BS293, 1))</f>
        <v>2</v>
      </c>
      <c r="BW293" s="58">
        <f t="array" ref="BW293">SUM(IF(BS293:BT293&gt;=BT293, 1))</f>
        <v>1</v>
      </c>
      <c r="BY293" s="109">
        <f t="shared" si="140"/>
        <v>133426.90679226702</v>
      </c>
      <c r="BZ293" s="109">
        <f t="shared" si="141"/>
        <v>133784.15391876729</v>
      </c>
      <c r="CB293" s="58">
        <f t="array" ref="CB293">SUM(IF(BY293:BZ293&gt;=BY293, 1))</f>
        <v>2</v>
      </c>
      <c r="CC293" s="58">
        <f t="array" ref="CC293">SUM(IF(BY293:BZ293&gt;=BZ293, 1))</f>
        <v>1</v>
      </c>
      <c r="CE293" s="109">
        <f t="shared" si="142"/>
        <v>94091.449677252487</v>
      </c>
      <c r="CF293" s="109">
        <f t="shared" si="143"/>
        <v>96287.834821289944</v>
      </c>
      <c r="CH293" s="58">
        <f t="array" ref="CH293">SUM(IF(CE293:CF293&gt;=CE293, 1))</f>
        <v>2</v>
      </c>
      <c r="CI293" s="58">
        <f t="array" ref="CI293">SUM(IF(CE293:CF293&gt;=CF293, 1))</f>
        <v>1</v>
      </c>
      <c r="CK293" s="109">
        <f t="shared" si="144"/>
        <v>46377.630376582558</v>
      </c>
      <c r="CL293" s="109">
        <f t="shared" si="145"/>
        <v>47622.947179501658</v>
      </c>
      <c r="CN293" s="58">
        <f t="array" ref="CN293">SUM(IF(CK293:CL293&gt;=CK293, 1))</f>
        <v>2</v>
      </c>
      <c r="CO293" s="58">
        <f t="array" ref="CO293">SUM(IF(CK293:CL293&gt;=CL293, 1))</f>
        <v>1</v>
      </c>
      <c r="CQ293" s="109" cm="1">
        <f t="array" ref="CQ293">AF293*WTP-AC293</f>
        <v>39649.625463931552</v>
      </c>
      <c r="CR293" s="109">
        <f t="shared" si="146"/>
        <v>40839.818742650743</v>
      </c>
      <c r="CT293" s="58">
        <f t="array" ref="CT293">SUM(IF(CQ293:CR293&gt;=CQ293, 1))</f>
        <v>2</v>
      </c>
      <c r="CU293" s="58">
        <f t="array" ref="CU293">SUM(IF(CQ293:CR293&gt;=CR293, 1))</f>
        <v>1</v>
      </c>
      <c r="CW293" s="109">
        <f t="shared" si="147"/>
        <v>-42158561.798352934</v>
      </c>
      <c r="CX293" s="109">
        <f t="shared" si="148"/>
        <v>0</v>
      </c>
      <c r="CZ293" s="58">
        <f t="array" ref="CZ293">SUM(IF(CW293:CX293&gt;=CW293, 1))</f>
        <v>2</v>
      </c>
      <c r="DA293" s="58">
        <f t="array" ref="DA293">SUM(IF(CW293:CX293&gt;=CX293, 1))</f>
        <v>1</v>
      </c>
      <c r="DC293" s="109">
        <f t="shared" si="149"/>
        <v>-2406399.1748715318</v>
      </c>
      <c r="DD293" s="109">
        <f t="shared" si="150"/>
        <v>0</v>
      </c>
      <c r="DF293" s="58">
        <f t="array" ref="DF293">SUM(IF(DC293:DD293&gt;=DC293, 1))</f>
        <v>2</v>
      </c>
      <c r="DG293" s="58">
        <f t="array" ref="DG293">SUM(IF(DC293:DD293&gt;=DD293, 1))</f>
        <v>1</v>
      </c>
      <c r="DI293" s="109">
        <f t="shared" si="151"/>
        <v>-51289469.548518211</v>
      </c>
      <c r="DJ293" s="109">
        <f t="shared" si="152"/>
        <v>0</v>
      </c>
      <c r="DL293" s="58">
        <f t="array" ref="DL293">SUM(IF(DI293:DJ293&gt;=DI293, 1))</f>
        <v>2</v>
      </c>
      <c r="DM293" s="58">
        <f t="array" ref="DM293">SUM(IF(DI293:DJ293&gt;=DJ293, 1))</f>
        <v>1</v>
      </c>
      <c r="DO293" s="109">
        <f t="shared" si="153"/>
        <v>-10972874.452926267</v>
      </c>
      <c r="DP293" s="109">
        <f t="shared" si="154"/>
        <v>0</v>
      </c>
      <c r="DR293" s="58">
        <f t="array" ref="DR293">SUM(IF(DO293:DP293&gt;=DO293, 1))</f>
        <v>2</v>
      </c>
      <c r="DS293" s="58">
        <f t="array" ref="DS293">SUM(IF(DO293:DP293&gt;=DP293, 1))</f>
        <v>1</v>
      </c>
      <c r="DU293" s="109">
        <f t="shared" si="155"/>
        <v>-19068726.557373524</v>
      </c>
      <c r="DV293" s="109">
        <f t="shared" si="156"/>
        <v>0</v>
      </c>
      <c r="DX293" s="58">
        <f t="array" ref="DX293">SUM(IF(DU293:DV293&gt;=DU293, 1))</f>
        <v>2</v>
      </c>
      <c r="DY293" s="58">
        <f t="array" ref="DY293">SUM(IF(DU293:DV293&gt;=DV293, 1))</f>
        <v>1</v>
      </c>
      <c r="EA293" s="109">
        <f t="shared" si="157"/>
        <v>-125896031.53204246</v>
      </c>
      <c r="EB293" s="109">
        <f t="shared" si="158"/>
        <v>0</v>
      </c>
      <c r="ED293" s="58">
        <f t="array" ref="ED293">SUM(IF(EA293:EB293&gt;=EA293, 1))</f>
        <v>2</v>
      </c>
      <c r="EE293" s="58">
        <f t="array" ref="EE293">SUM(IF(EA293:EB293&gt;=EB293, 1))</f>
        <v>1</v>
      </c>
    </row>
    <row r="294" spans="4:135" ht="12" customHeight="1" x14ac:dyDescent="0.25">
      <c r="D294" s="11">
        <v>278</v>
      </c>
      <c r="E294" s="72">
        <v>272.94783762938579</v>
      </c>
      <c r="F294" s="72">
        <v>254.57829715921659</v>
      </c>
      <c r="G294" s="73"/>
      <c r="H294" s="74">
        <v>5.8448993018859206</v>
      </c>
      <c r="I294" s="74">
        <v>5.8635236335574472</v>
      </c>
      <c r="J294" s="73"/>
      <c r="K294" s="72">
        <v>293.43010967128561</v>
      </c>
      <c r="L294" s="72">
        <v>274.61007383233641</v>
      </c>
      <c r="M294" s="73"/>
      <c r="N294" s="74">
        <v>6.7316973022379738</v>
      </c>
      <c r="O294" s="74">
        <v>6.7483580145938005</v>
      </c>
      <c r="P294" s="73"/>
      <c r="Q294" s="72">
        <v>3678.9346398971929</v>
      </c>
      <c r="R294" s="72">
        <v>1467.5778275203863</v>
      </c>
      <c r="S294" s="73"/>
      <c r="T294" s="74">
        <v>4.6922982965471753</v>
      </c>
      <c r="U294" s="74">
        <v>4.8608463913695301</v>
      </c>
      <c r="V294" s="73"/>
      <c r="W294" s="72">
        <v>13324.587769388354</v>
      </c>
      <c r="X294" s="72">
        <v>13323.878456025977</v>
      </c>
      <c r="Y294" s="73"/>
      <c r="Z294" s="74">
        <v>2.9911597675673778</v>
      </c>
      <c r="AA294" s="74">
        <v>3.0339310198382887</v>
      </c>
      <c r="AB294" s="73"/>
      <c r="AC294" s="72">
        <v>51176.652240086951</v>
      </c>
      <c r="AD294" s="72">
        <v>50754.992371700682</v>
      </c>
      <c r="AE294" s="73"/>
      <c r="AF294" s="74">
        <v>4.1876629093732385</v>
      </c>
      <c r="AG294" s="74">
        <v>4.2859008831117711</v>
      </c>
      <c r="AH294" s="73"/>
      <c r="AI294" s="72">
        <v>1967149.0611492561</v>
      </c>
      <c r="AJ294" s="72">
        <v>0</v>
      </c>
      <c r="AK294" s="73"/>
      <c r="AL294" s="74">
        <v>-1994.4340263531139</v>
      </c>
      <c r="AM294" s="74">
        <v>0</v>
      </c>
      <c r="AN294" s="73"/>
      <c r="AO294" s="72">
        <v>126382.09423834788</v>
      </c>
      <c r="AP294" s="72">
        <v>0</v>
      </c>
      <c r="AQ294" s="73"/>
      <c r="AR294" s="74">
        <v>-111.88159985723271</v>
      </c>
      <c r="AS294" s="74">
        <v>0</v>
      </c>
      <c r="AT294" s="73"/>
      <c r="AU294" s="72">
        <v>51151355.090141267</v>
      </c>
      <c r="AV294" s="72">
        <v>0</v>
      </c>
      <c r="AW294" s="73"/>
      <c r="AX294" s="74">
        <v>-3898.7210927568781</v>
      </c>
      <c r="AY294" s="74">
        <v>0</v>
      </c>
      <c r="AZ294" s="73"/>
      <c r="BA294" s="72">
        <v>6356.4177452729036</v>
      </c>
      <c r="BB294" s="72">
        <v>0</v>
      </c>
      <c r="BC294" s="73"/>
      <c r="BD294" s="74">
        <v>-383.28891198584648</v>
      </c>
      <c r="BE294" s="74">
        <v>0</v>
      </c>
      <c r="BF294" s="73"/>
      <c r="BG294" s="72">
        <v>6669014.0554311806</v>
      </c>
      <c r="BH294" s="72">
        <v>0</v>
      </c>
      <c r="BI294" s="73"/>
      <c r="BJ294" s="74">
        <v>-1553.7414792322415</v>
      </c>
      <c r="BK294" s="74">
        <v>0</v>
      </c>
      <c r="BL294" s="73"/>
      <c r="BM294" s="72">
        <v>59920256.718705319</v>
      </c>
      <c r="BN294" s="72">
        <v>0</v>
      </c>
      <c r="BO294" s="73"/>
      <c r="BP294" s="74">
        <v>-7942.0671101853131</v>
      </c>
      <c r="BQ294" s="74">
        <v>0</v>
      </c>
      <c r="BS294" s="109">
        <f t="shared" si="138"/>
        <v>116625.03820008902</v>
      </c>
      <c r="BT294" s="109">
        <f t="shared" si="139"/>
        <v>117015.89437398974</v>
      </c>
      <c r="BV294" s="58">
        <f t="array" ref="BV294">SUM(IF(BS294:BT294&gt;=BS294, 1))</f>
        <v>2</v>
      </c>
      <c r="BW294" s="58">
        <f t="array" ref="BW294">SUM(IF(BS294:BT294&gt;=BT294, 1))</f>
        <v>1</v>
      </c>
      <c r="BY294" s="109">
        <f t="shared" si="140"/>
        <v>134340.51593508819</v>
      </c>
      <c r="BZ294" s="109">
        <f t="shared" si="141"/>
        <v>134692.55021804367</v>
      </c>
      <c r="CB294" s="58">
        <f t="array" ref="CB294">SUM(IF(BY294:BZ294&gt;=BY294, 1))</f>
        <v>2</v>
      </c>
      <c r="CC294" s="58">
        <f t="array" ref="CC294">SUM(IF(BY294:BZ294&gt;=BZ294, 1))</f>
        <v>1</v>
      </c>
      <c r="CE294" s="109">
        <f t="shared" si="142"/>
        <v>90167.031291046311</v>
      </c>
      <c r="CF294" s="109">
        <f t="shared" si="143"/>
        <v>95749.349999870217</v>
      </c>
      <c r="CH294" s="58">
        <f t="array" ref="CH294">SUM(IF(CE294:CF294&gt;=CE294, 1))</f>
        <v>2</v>
      </c>
      <c r="CI294" s="58">
        <f t="array" ref="CI294">SUM(IF(CE294:CF294&gt;=CF294, 1))</f>
        <v>1</v>
      </c>
      <c r="CK294" s="109">
        <f t="shared" si="144"/>
        <v>46498.607581959201</v>
      </c>
      <c r="CL294" s="109">
        <f t="shared" si="145"/>
        <v>47354.741940739797</v>
      </c>
      <c r="CN294" s="58">
        <f t="array" ref="CN294">SUM(IF(CK294:CL294&gt;=CK294, 1))</f>
        <v>2</v>
      </c>
      <c r="CO294" s="58">
        <f t="array" ref="CO294">SUM(IF(CK294:CL294&gt;=CL294, 1))</f>
        <v>1</v>
      </c>
      <c r="CQ294" s="109" cm="1">
        <f t="array" ref="CQ294">AF294*WTP-AC294</f>
        <v>32576.605947377822</v>
      </c>
      <c r="CR294" s="109">
        <f t="shared" si="146"/>
        <v>34963.025290534737</v>
      </c>
      <c r="CT294" s="58">
        <f t="array" ref="CT294">SUM(IF(CQ294:CR294&gt;=CQ294, 1))</f>
        <v>2</v>
      </c>
      <c r="CU294" s="58">
        <f t="array" ref="CU294">SUM(IF(CQ294:CR294&gt;=CR294, 1))</f>
        <v>1</v>
      </c>
      <c r="CW294" s="109">
        <f t="shared" si="147"/>
        <v>-41855829.588211536</v>
      </c>
      <c r="CX294" s="109">
        <f t="shared" si="148"/>
        <v>0</v>
      </c>
      <c r="CZ294" s="58">
        <f t="array" ref="CZ294">SUM(IF(CW294:CX294&gt;=CW294, 1))</f>
        <v>2</v>
      </c>
      <c r="DA294" s="58">
        <f t="array" ref="DA294">SUM(IF(CW294:CX294&gt;=CX294, 1))</f>
        <v>1</v>
      </c>
      <c r="DC294" s="109">
        <f t="shared" si="149"/>
        <v>-2364014.0913830022</v>
      </c>
      <c r="DD294" s="109">
        <f t="shared" si="150"/>
        <v>0</v>
      </c>
      <c r="DF294" s="58">
        <f t="array" ref="DF294">SUM(IF(DC294:DD294&gt;=DC294, 1))</f>
        <v>2</v>
      </c>
      <c r="DG294" s="58">
        <f t="array" ref="DG294">SUM(IF(DC294:DD294&gt;=DD294, 1))</f>
        <v>1</v>
      </c>
      <c r="DI294" s="109">
        <f t="shared" si="151"/>
        <v>-129125776.94527882</v>
      </c>
      <c r="DJ294" s="109">
        <f t="shared" si="152"/>
        <v>0</v>
      </c>
      <c r="DL294" s="58">
        <f t="array" ref="DL294">SUM(IF(DI294:DJ294&gt;=DI294, 1))</f>
        <v>2</v>
      </c>
      <c r="DM294" s="58">
        <f t="array" ref="DM294">SUM(IF(DI294:DJ294&gt;=DJ294, 1))</f>
        <v>1</v>
      </c>
      <c r="DO294" s="109">
        <f t="shared" si="153"/>
        <v>-7672134.657462202</v>
      </c>
      <c r="DP294" s="109">
        <f t="shared" si="154"/>
        <v>0</v>
      </c>
      <c r="DR294" s="58">
        <f t="array" ref="DR294">SUM(IF(DO294:DP294&gt;=DO294, 1))</f>
        <v>2</v>
      </c>
      <c r="DS294" s="58">
        <f t="array" ref="DS294">SUM(IF(DO294:DP294&gt;=DP294, 1))</f>
        <v>1</v>
      </c>
      <c r="DU294" s="109">
        <f t="shared" si="155"/>
        <v>-37743843.640076011</v>
      </c>
      <c r="DV294" s="109">
        <f t="shared" si="156"/>
        <v>0</v>
      </c>
      <c r="DX294" s="58">
        <f t="array" ref="DX294">SUM(IF(DU294:DV294&gt;=DU294, 1))</f>
        <v>2</v>
      </c>
      <c r="DY294" s="58">
        <f t="array" ref="DY294">SUM(IF(DU294:DV294&gt;=DV294, 1))</f>
        <v>1</v>
      </c>
      <c r="EA294" s="109">
        <f t="shared" si="157"/>
        <v>-218761598.92241159</v>
      </c>
      <c r="EB294" s="109">
        <f t="shared" si="158"/>
        <v>0</v>
      </c>
      <c r="ED294" s="58">
        <f t="array" ref="ED294">SUM(IF(EA294:EB294&gt;=EA294, 1))</f>
        <v>2</v>
      </c>
      <c r="EE294" s="58">
        <f t="array" ref="EE294">SUM(IF(EA294:EB294&gt;=EB294, 1))</f>
        <v>1</v>
      </c>
    </row>
    <row r="295" spans="4:135" ht="12" customHeight="1" x14ac:dyDescent="0.25">
      <c r="D295" s="11">
        <v>279</v>
      </c>
      <c r="E295" s="72">
        <v>243.18712268559889</v>
      </c>
      <c r="F295" s="72">
        <v>215.37887569814271</v>
      </c>
      <c r="G295" s="73"/>
      <c r="H295" s="74">
        <v>5.8100335474791045</v>
      </c>
      <c r="I295" s="74">
        <v>5.8283781691329342</v>
      </c>
      <c r="J295" s="73"/>
      <c r="K295" s="72">
        <v>260.69125572271651</v>
      </c>
      <c r="L295" s="72">
        <v>232.17745699191011</v>
      </c>
      <c r="M295" s="73"/>
      <c r="N295" s="74">
        <v>6.7052468963666616</v>
      </c>
      <c r="O295" s="74">
        <v>6.7213087129504228</v>
      </c>
      <c r="P295" s="73"/>
      <c r="Q295" s="72">
        <v>3015.1918009663709</v>
      </c>
      <c r="R295" s="72">
        <v>1591.4165102373811</v>
      </c>
      <c r="S295" s="73"/>
      <c r="T295" s="74">
        <v>4.6049663622364188</v>
      </c>
      <c r="U295" s="74">
        <v>4.71065457307005</v>
      </c>
      <c r="V295" s="73"/>
      <c r="W295" s="72">
        <v>12003.272157321617</v>
      </c>
      <c r="X295" s="72">
        <v>11921.050301715472</v>
      </c>
      <c r="Y295" s="73"/>
      <c r="Z295" s="74">
        <v>3.0946331639427087</v>
      </c>
      <c r="AA295" s="74">
        <v>3.1371265533186508</v>
      </c>
      <c r="AB295" s="73"/>
      <c r="AC295" s="72">
        <v>50427.641911229992</v>
      </c>
      <c r="AD295" s="72">
        <v>49994.417468659216</v>
      </c>
      <c r="AE295" s="73"/>
      <c r="AF295" s="74">
        <v>4.6406256035675266</v>
      </c>
      <c r="AG295" s="74">
        <v>4.8108111869556742</v>
      </c>
      <c r="AH295" s="73"/>
      <c r="AI295" s="72">
        <v>2998237.9813604644</v>
      </c>
      <c r="AJ295" s="72">
        <v>0</v>
      </c>
      <c r="AK295" s="73"/>
      <c r="AL295" s="74">
        <v>-1977.8859638656813</v>
      </c>
      <c r="AM295" s="74">
        <v>0</v>
      </c>
      <c r="AN295" s="73"/>
      <c r="AO295" s="72">
        <v>190576.06556801111</v>
      </c>
      <c r="AP295" s="72">
        <v>0</v>
      </c>
      <c r="AQ295" s="73"/>
      <c r="AR295" s="74">
        <v>-107.35145601982252</v>
      </c>
      <c r="AS295" s="74">
        <v>0</v>
      </c>
      <c r="AT295" s="73"/>
      <c r="AU295" s="72">
        <v>32045608.919140529</v>
      </c>
      <c r="AV295" s="72">
        <v>0</v>
      </c>
      <c r="AW295" s="73"/>
      <c r="AX295" s="74">
        <v>-2378.7764079007957</v>
      </c>
      <c r="AY295" s="74">
        <v>0</v>
      </c>
      <c r="AZ295" s="73"/>
      <c r="BA295" s="72">
        <v>692227.78785275691</v>
      </c>
      <c r="BB295" s="72">
        <v>0</v>
      </c>
      <c r="BC295" s="73"/>
      <c r="BD295" s="74">
        <v>-357.75287129223739</v>
      </c>
      <c r="BE295" s="74">
        <v>0</v>
      </c>
      <c r="BF295" s="73"/>
      <c r="BG295" s="72">
        <v>6622787.7952337367</v>
      </c>
      <c r="BH295" s="72">
        <v>0</v>
      </c>
      <c r="BI295" s="73"/>
      <c r="BJ295" s="74">
        <v>-2601.6606955495649</v>
      </c>
      <c r="BK295" s="74">
        <v>0</v>
      </c>
      <c r="BL295" s="73"/>
      <c r="BM295" s="72">
        <v>42549438.549155496</v>
      </c>
      <c r="BN295" s="72">
        <v>0</v>
      </c>
      <c r="BO295" s="73"/>
      <c r="BP295" s="74">
        <v>-7423.427394628101</v>
      </c>
      <c r="BQ295" s="74">
        <v>0</v>
      </c>
      <c r="BS295" s="109">
        <f t="shared" si="138"/>
        <v>115957.48382689648</v>
      </c>
      <c r="BT295" s="109">
        <f t="shared" si="139"/>
        <v>116352.18450696055</v>
      </c>
      <c r="BV295" s="58">
        <f t="array" ref="BV295">SUM(IF(BS295:BT295&gt;=BS295, 1))</f>
        <v>2</v>
      </c>
      <c r="BW295" s="58">
        <f t="array" ref="BW295">SUM(IF(BS295:BT295&gt;=BT295, 1))</f>
        <v>1</v>
      </c>
      <c r="BY295" s="109">
        <f t="shared" si="140"/>
        <v>133844.24667161051</v>
      </c>
      <c r="BZ295" s="109">
        <f t="shared" si="141"/>
        <v>134193.99680201654</v>
      </c>
      <c r="CB295" s="58">
        <f t="array" ref="CB295">SUM(IF(BY295:BZ295&gt;=BY295, 1))</f>
        <v>2</v>
      </c>
      <c r="CC295" s="58">
        <f t="array" ref="CC295">SUM(IF(BY295:BZ295&gt;=BZ295, 1))</f>
        <v>1</v>
      </c>
      <c r="CE295" s="109">
        <f t="shared" si="142"/>
        <v>89084.135443762018</v>
      </c>
      <c r="CF295" s="109">
        <f t="shared" si="143"/>
        <v>92621.674951163615</v>
      </c>
      <c r="CH295" s="58">
        <f t="array" ref="CH295">SUM(IF(CE295:CF295&gt;=CE295, 1))</f>
        <v>2</v>
      </c>
      <c r="CI295" s="58">
        <f t="array" ref="CI295">SUM(IF(CE295:CF295&gt;=CF295, 1))</f>
        <v>1</v>
      </c>
      <c r="CK295" s="109">
        <f t="shared" si="144"/>
        <v>49889.391121532557</v>
      </c>
      <c r="CL295" s="109">
        <f t="shared" si="145"/>
        <v>50821.480764657543</v>
      </c>
      <c r="CN295" s="58">
        <f t="array" ref="CN295">SUM(IF(CK295:CL295&gt;=CK295, 1))</f>
        <v>2</v>
      </c>
      <c r="CO295" s="58">
        <f t="array" ref="CO295">SUM(IF(CK295:CL295&gt;=CL295, 1))</f>
        <v>1</v>
      </c>
      <c r="CQ295" s="109" cm="1">
        <f t="array" ref="CQ295">AF295*WTP-AC295</f>
        <v>42384.870160120539</v>
      </c>
      <c r="CR295" s="109">
        <f t="shared" si="146"/>
        <v>46221.806270454268</v>
      </c>
      <c r="CT295" s="58">
        <f t="array" ref="CT295">SUM(IF(CQ295:CR295&gt;=CQ295, 1))</f>
        <v>2</v>
      </c>
      <c r="CU295" s="58">
        <f t="array" ref="CU295">SUM(IF(CQ295:CR295&gt;=CR295, 1))</f>
        <v>1</v>
      </c>
      <c r="CW295" s="109">
        <f t="shared" si="147"/>
        <v>-42555957.258674093</v>
      </c>
      <c r="CX295" s="109">
        <f t="shared" si="148"/>
        <v>0</v>
      </c>
      <c r="CZ295" s="58">
        <f t="array" ref="CZ295">SUM(IF(CW295:CX295&gt;=CW295, 1))</f>
        <v>2</v>
      </c>
      <c r="DA295" s="58">
        <f t="array" ref="DA295">SUM(IF(CW295:CX295&gt;=CX295, 1))</f>
        <v>1</v>
      </c>
      <c r="DC295" s="109">
        <f t="shared" si="149"/>
        <v>-2337605.1859644619</v>
      </c>
      <c r="DD295" s="109">
        <f t="shared" si="150"/>
        <v>0</v>
      </c>
      <c r="DF295" s="58">
        <f t="array" ref="DF295">SUM(IF(DC295:DD295&gt;=DC295, 1))</f>
        <v>2</v>
      </c>
      <c r="DG295" s="58">
        <f t="array" ref="DG295">SUM(IF(DC295:DD295&gt;=DD295, 1))</f>
        <v>1</v>
      </c>
      <c r="DI295" s="109">
        <f t="shared" si="151"/>
        <v>-79621137.077156439</v>
      </c>
      <c r="DJ295" s="109">
        <f t="shared" si="152"/>
        <v>0</v>
      </c>
      <c r="DL295" s="58">
        <f t="array" ref="DL295">SUM(IF(DI295:DJ295&gt;=DI295, 1))</f>
        <v>2</v>
      </c>
      <c r="DM295" s="58">
        <f t="array" ref="DM295">SUM(IF(DI295:DJ295&gt;=DJ295, 1))</f>
        <v>1</v>
      </c>
      <c r="DO295" s="109">
        <f t="shared" si="153"/>
        <v>-7847285.2136975043</v>
      </c>
      <c r="DP295" s="109">
        <f t="shared" si="154"/>
        <v>0</v>
      </c>
      <c r="DR295" s="58">
        <f t="array" ref="DR295">SUM(IF(DO295:DP295&gt;=DO295, 1))</f>
        <v>2</v>
      </c>
      <c r="DS295" s="58">
        <f t="array" ref="DS295">SUM(IF(DO295:DP295&gt;=DP295, 1))</f>
        <v>1</v>
      </c>
      <c r="DU295" s="109">
        <f t="shared" si="155"/>
        <v>-58656001.70622503</v>
      </c>
      <c r="DV295" s="109">
        <f t="shared" si="156"/>
        <v>0</v>
      </c>
      <c r="DX295" s="58">
        <f t="array" ref="DX295">SUM(IF(DU295:DV295&gt;=DU295, 1))</f>
        <v>2</v>
      </c>
      <c r="DY295" s="58">
        <f t="array" ref="DY295">SUM(IF(DU295:DV295&gt;=DV295, 1))</f>
        <v>1</v>
      </c>
      <c r="EA295" s="109">
        <f t="shared" si="157"/>
        <v>-191017986.44171754</v>
      </c>
      <c r="EB295" s="109">
        <f t="shared" si="158"/>
        <v>0</v>
      </c>
      <c r="ED295" s="58">
        <f t="array" ref="ED295">SUM(IF(EA295:EB295&gt;=EA295, 1))</f>
        <v>2</v>
      </c>
      <c r="EE295" s="58">
        <f t="array" ref="EE295">SUM(IF(EA295:EB295&gt;=EB295, 1))</f>
        <v>1</v>
      </c>
    </row>
    <row r="296" spans="4:135" ht="12" customHeight="1" x14ac:dyDescent="0.25">
      <c r="D296" s="11">
        <v>280</v>
      </c>
      <c r="E296" s="72">
        <v>273.55238603336443</v>
      </c>
      <c r="F296" s="72">
        <v>237.46705550104821</v>
      </c>
      <c r="G296" s="73"/>
      <c r="H296" s="74">
        <v>5.7890020402401587</v>
      </c>
      <c r="I296" s="74">
        <v>5.8062427366563902</v>
      </c>
      <c r="J296" s="73"/>
      <c r="K296" s="72">
        <v>292.84678710600582</v>
      </c>
      <c r="L296" s="72">
        <v>255.97314558764467</v>
      </c>
      <c r="M296" s="73"/>
      <c r="N296" s="74">
        <v>6.7002516907867724</v>
      </c>
      <c r="O296" s="74">
        <v>6.7153939530483218</v>
      </c>
      <c r="P296" s="73"/>
      <c r="Q296" s="72">
        <v>2632.0056816986908</v>
      </c>
      <c r="R296" s="72">
        <v>1570.3690911613251</v>
      </c>
      <c r="S296" s="73"/>
      <c r="T296" s="74">
        <v>4.6048998248868918</v>
      </c>
      <c r="U296" s="74">
        <v>4.6887601182134464</v>
      </c>
      <c r="V296" s="73"/>
      <c r="W296" s="72">
        <v>12198.23694895201</v>
      </c>
      <c r="X296" s="72">
        <v>12132.16515470685</v>
      </c>
      <c r="Y296" s="73"/>
      <c r="Z296" s="74">
        <v>2.8709221464523962</v>
      </c>
      <c r="AA296" s="74">
        <v>2.9101038783168387</v>
      </c>
      <c r="AB296" s="73"/>
      <c r="AC296" s="72">
        <v>49951.696683111542</v>
      </c>
      <c r="AD296" s="72">
        <v>49812.424287565213</v>
      </c>
      <c r="AE296" s="73"/>
      <c r="AF296" s="74">
        <v>4.4233321342897396</v>
      </c>
      <c r="AG296" s="74">
        <v>4.4953162228682819</v>
      </c>
      <c r="AH296" s="73"/>
      <c r="AI296" s="72">
        <v>3869902.4057646375</v>
      </c>
      <c r="AJ296" s="72">
        <v>0</v>
      </c>
      <c r="AK296" s="73"/>
      <c r="AL296" s="74">
        <v>-1848.9455840921587</v>
      </c>
      <c r="AM296" s="74">
        <v>0</v>
      </c>
      <c r="AN296" s="73"/>
      <c r="AO296" s="72">
        <v>251300.9395882512</v>
      </c>
      <c r="AP296" s="72">
        <v>0</v>
      </c>
      <c r="AQ296" s="73"/>
      <c r="AR296" s="74">
        <v>-103.19742171177334</v>
      </c>
      <c r="AS296" s="74">
        <v>0</v>
      </c>
      <c r="AT296" s="73"/>
      <c r="AU296" s="72">
        <v>24362292.776518501</v>
      </c>
      <c r="AV296" s="72">
        <v>0</v>
      </c>
      <c r="AW296" s="73"/>
      <c r="AX296" s="74">
        <v>-1924.4146599281498</v>
      </c>
      <c r="AY296" s="74">
        <v>0</v>
      </c>
      <c r="AZ296" s="73"/>
      <c r="BA296" s="72">
        <v>600979.31056392868</v>
      </c>
      <c r="BB296" s="72">
        <v>0</v>
      </c>
      <c r="BC296" s="73"/>
      <c r="BD296" s="74">
        <v>-356.39126304366374</v>
      </c>
      <c r="BE296" s="74">
        <v>0</v>
      </c>
      <c r="BF296" s="73"/>
      <c r="BG296" s="72">
        <v>2174406.720719235</v>
      </c>
      <c r="BH296" s="72">
        <v>0</v>
      </c>
      <c r="BI296" s="73"/>
      <c r="BJ296" s="74">
        <v>-1123.8600827969742</v>
      </c>
      <c r="BK296" s="74">
        <v>0</v>
      </c>
      <c r="BL296" s="73"/>
      <c r="BM296" s="72">
        <v>31258882.153154552</v>
      </c>
      <c r="BN296" s="72">
        <v>0</v>
      </c>
      <c r="BO296" s="73"/>
      <c r="BP296" s="74">
        <v>-5356.8090115727191</v>
      </c>
      <c r="BQ296" s="74">
        <v>0</v>
      </c>
      <c r="BS296" s="109">
        <f t="shared" si="138"/>
        <v>115506.4884187698</v>
      </c>
      <c r="BT296" s="109">
        <f t="shared" si="139"/>
        <v>115887.38767762676</v>
      </c>
      <c r="BV296" s="58">
        <f t="array" ref="BV296">SUM(IF(BS296:BT296&gt;=BS296, 1))</f>
        <v>2</v>
      </c>
      <c r="BW296" s="58">
        <f t="array" ref="BW296">SUM(IF(BS296:BT296&gt;=BT296, 1))</f>
        <v>1</v>
      </c>
      <c r="BY296" s="109">
        <f t="shared" si="140"/>
        <v>133712.18702862944</v>
      </c>
      <c r="BZ296" s="109">
        <f t="shared" si="141"/>
        <v>134051.9059153788</v>
      </c>
      <c r="CB296" s="58">
        <f t="array" ref="CB296">SUM(IF(BY296:BZ296&gt;=BY296, 1))</f>
        <v>2</v>
      </c>
      <c r="CC296" s="58">
        <f t="array" ref="CC296">SUM(IF(BY296:BZ296&gt;=BZ296, 1))</f>
        <v>1</v>
      </c>
      <c r="CE296" s="109">
        <f t="shared" si="142"/>
        <v>89465.99081603915</v>
      </c>
      <c r="CF296" s="109">
        <f t="shared" si="143"/>
        <v>92204.833273107608</v>
      </c>
      <c r="CH296" s="58">
        <f t="array" ref="CH296">SUM(IF(CE296:CF296&gt;=CE296, 1))</f>
        <v>2</v>
      </c>
      <c r="CI296" s="58">
        <f t="array" ref="CI296">SUM(IF(CE296:CF296&gt;=CF296, 1))</f>
        <v>1</v>
      </c>
      <c r="CK296" s="109">
        <f t="shared" si="144"/>
        <v>45220.20598009591</v>
      </c>
      <c r="CL296" s="109">
        <f t="shared" si="145"/>
        <v>46069.912411629921</v>
      </c>
      <c r="CN296" s="58">
        <f t="array" ref="CN296">SUM(IF(CK296:CL296&gt;=CK296, 1))</f>
        <v>2</v>
      </c>
      <c r="CO296" s="58">
        <f t="array" ref="CO296">SUM(IF(CK296:CL296&gt;=CL296, 1))</f>
        <v>1</v>
      </c>
      <c r="CQ296" s="109" cm="1">
        <f t="array" ref="CQ296">AF296*WTP-AC296</f>
        <v>38514.946002683253</v>
      </c>
      <c r="CR296" s="109">
        <f t="shared" si="146"/>
        <v>40093.900169800429</v>
      </c>
      <c r="CT296" s="58">
        <f t="array" ref="CT296">SUM(IF(CQ296:CR296&gt;=CQ296, 1))</f>
        <v>2</v>
      </c>
      <c r="CU296" s="58">
        <f t="array" ref="CU296">SUM(IF(CQ296:CR296&gt;=CR296, 1))</f>
        <v>1</v>
      </c>
      <c r="CW296" s="109">
        <f t="shared" si="147"/>
        <v>-40848814.087607816</v>
      </c>
      <c r="CX296" s="109">
        <f t="shared" si="148"/>
        <v>0</v>
      </c>
      <c r="CZ296" s="58">
        <f t="array" ref="CZ296">SUM(IF(CW296:CX296&gt;=CW296, 1))</f>
        <v>2</v>
      </c>
      <c r="DA296" s="58">
        <f t="array" ref="DA296">SUM(IF(CW296:CX296&gt;=CX296, 1))</f>
        <v>1</v>
      </c>
      <c r="DC296" s="109">
        <f t="shared" si="149"/>
        <v>-2315249.3738237182</v>
      </c>
      <c r="DD296" s="109">
        <f t="shared" si="150"/>
        <v>0</v>
      </c>
      <c r="DF296" s="58">
        <f t="array" ref="DF296">SUM(IF(DC296:DD296&gt;=DC296, 1))</f>
        <v>2</v>
      </c>
      <c r="DG296" s="58">
        <f t="array" ref="DG296">SUM(IF(DC296:DD296&gt;=DD296, 1))</f>
        <v>1</v>
      </c>
      <c r="DI296" s="109">
        <f t="shared" si="151"/>
        <v>-62850585.975081496</v>
      </c>
      <c r="DJ296" s="109">
        <f t="shared" si="152"/>
        <v>0</v>
      </c>
      <c r="DL296" s="58">
        <f t="array" ref="DL296">SUM(IF(DI296:DJ296&gt;=DI296, 1))</f>
        <v>2</v>
      </c>
      <c r="DM296" s="58">
        <f t="array" ref="DM296">SUM(IF(DI296:DJ296&gt;=DJ296, 1))</f>
        <v>1</v>
      </c>
      <c r="DO296" s="109">
        <f t="shared" si="153"/>
        <v>-7728804.5714372033</v>
      </c>
      <c r="DP296" s="109">
        <f t="shared" si="154"/>
        <v>0</v>
      </c>
      <c r="DR296" s="58">
        <f t="array" ref="DR296">SUM(IF(DO296:DP296&gt;=DO296, 1))</f>
        <v>2</v>
      </c>
      <c r="DS296" s="58">
        <f t="array" ref="DS296">SUM(IF(DO296:DP296&gt;=DP296, 1))</f>
        <v>1</v>
      </c>
      <c r="DU296" s="109">
        <f t="shared" si="155"/>
        <v>-24651608.376658723</v>
      </c>
      <c r="DV296" s="109">
        <f t="shared" si="156"/>
        <v>0</v>
      </c>
      <c r="DX296" s="58">
        <f t="array" ref="DX296">SUM(IF(DU296:DV296&gt;=DU296, 1))</f>
        <v>2</v>
      </c>
      <c r="DY296" s="58">
        <f t="array" ref="DY296">SUM(IF(DU296:DV296&gt;=DV296, 1))</f>
        <v>1</v>
      </c>
      <c r="EA296" s="109">
        <f t="shared" si="157"/>
        <v>-138395062.38460892</v>
      </c>
      <c r="EB296" s="109">
        <f t="shared" si="158"/>
        <v>0</v>
      </c>
      <c r="ED296" s="58">
        <f t="array" ref="ED296">SUM(IF(EA296:EB296&gt;=EA296, 1))</f>
        <v>2</v>
      </c>
      <c r="EE296" s="58">
        <f t="array" ref="EE296">SUM(IF(EA296:EB296&gt;=EB296, 1))</f>
        <v>1</v>
      </c>
    </row>
    <row r="297" spans="4:135" ht="12" customHeight="1" x14ac:dyDescent="0.25">
      <c r="D297" s="11">
        <v>281</v>
      </c>
      <c r="E297" s="72">
        <v>349.18687745833324</v>
      </c>
      <c r="F297" s="72">
        <v>302.9555480247887</v>
      </c>
      <c r="G297" s="73"/>
      <c r="H297" s="74">
        <v>5.8868292170860022</v>
      </c>
      <c r="I297" s="74">
        <v>5.9036544667791757</v>
      </c>
      <c r="J297" s="73"/>
      <c r="K297" s="72">
        <v>373.87749060148582</v>
      </c>
      <c r="L297" s="72">
        <v>326.58558242684489</v>
      </c>
      <c r="M297" s="73"/>
      <c r="N297" s="74">
        <v>6.7111855933363378</v>
      </c>
      <c r="O297" s="74">
        <v>6.725747787455421</v>
      </c>
      <c r="P297" s="73"/>
      <c r="Q297" s="72">
        <v>2632.4955381963628</v>
      </c>
      <c r="R297" s="72">
        <v>1514.0831007245647</v>
      </c>
      <c r="S297" s="73"/>
      <c r="T297" s="74">
        <v>5.022499225480523</v>
      </c>
      <c r="U297" s="74">
        <v>5.1066366893373747</v>
      </c>
      <c r="V297" s="73"/>
      <c r="W297" s="72">
        <v>12039.492005364455</v>
      </c>
      <c r="X297" s="72">
        <v>12120.752167083179</v>
      </c>
      <c r="Y297" s="73"/>
      <c r="Z297" s="74">
        <v>3.1292207609176921</v>
      </c>
      <c r="AA297" s="74">
        <v>3.209765834675709</v>
      </c>
      <c r="AB297" s="73"/>
      <c r="AC297" s="72">
        <v>52191.409797320986</v>
      </c>
      <c r="AD297" s="72">
        <v>51652.155099461786</v>
      </c>
      <c r="AE297" s="73"/>
      <c r="AF297" s="74">
        <v>4.846024629546644</v>
      </c>
      <c r="AG297" s="74">
        <v>5.0066749365983769</v>
      </c>
      <c r="AH297" s="73"/>
      <c r="AI297" s="72">
        <v>4933676.7459937632</v>
      </c>
      <c r="AJ297" s="72">
        <v>0</v>
      </c>
      <c r="AK297" s="73"/>
      <c r="AL297" s="74">
        <v>-1795.5430694692163</v>
      </c>
      <c r="AM297" s="74">
        <v>0</v>
      </c>
      <c r="AN297" s="73"/>
      <c r="AO297" s="72">
        <v>341120.84070114215</v>
      </c>
      <c r="AP297" s="72">
        <v>0</v>
      </c>
      <c r="AQ297" s="73"/>
      <c r="AR297" s="74">
        <v>-105.03843241027378</v>
      </c>
      <c r="AS297" s="74">
        <v>0</v>
      </c>
      <c r="AT297" s="73"/>
      <c r="AU297" s="72">
        <v>26239009.774866939</v>
      </c>
      <c r="AV297" s="72">
        <v>0</v>
      </c>
      <c r="AW297" s="73"/>
      <c r="AX297" s="74">
        <v>-1973.9441932199679</v>
      </c>
      <c r="AY297" s="74">
        <v>0</v>
      </c>
      <c r="AZ297" s="73"/>
      <c r="BA297" s="72">
        <v>-739997.72760466265</v>
      </c>
      <c r="BB297" s="72">
        <v>0</v>
      </c>
      <c r="BC297" s="73"/>
      <c r="BD297" s="74">
        <v>-733.48576091927885</v>
      </c>
      <c r="BE297" s="74">
        <v>0</v>
      </c>
      <c r="BF297" s="73"/>
      <c r="BG297" s="72">
        <v>8620504.5858794916</v>
      </c>
      <c r="BH297" s="72">
        <v>0</v>
      </c>
      <c r="BI297" s="73"/>
      <c r="BJ297" s="74">
        <v>-2568.1495481825314</v>
      </c>
      <c r="BK297" s="74">
        <v>0</v>
      </c>
      <c r="BL297" s="73"/>
      <c r="BM297" s="72">
        <v>39394314.219836675</v>
      </c>
      <c r="BN297" s="72">
        <v>0</v>
      </c>
      <c r="BO297" s="73"/>
      <c r="BP297" s="74">
        <v>-7176.161004201268</v>
      </c>
      <c r="BQ297" s="74">
        <v>0</v>
      </c>
      <c r="BS297" s="109">
        <f t="shared" si="138"/>
        <v>117387.39746426171</v>
      </c>
      <c r="BT297" s="109">
        <f t="shared" si="139"/>
        <v>117770.13378755872</v>
      </c>
      <c r="BV297" s="58">
        <f t="array" ref="BV297">SUM(IF(BS297:BT297&gt;=BS297, 1))</f>
        <v>2</v>
      </c>
      <c r="BW297" s="58">
        <f t="array" ref="BW297">SUM(IF(BS297:BT297&gt;=BT297, 1))</f>
        <v>1</v>
      </c>
      <c r="BY297" s="109">
        <f t="shared" si="140"/>
        <v>133849.83437612528</v>
      </c>
      <c r="BZ297" s="109">
        <f t="shared" si="141"/>
        <v>134188.37016668159</v>
      </c>
      <c r="CB297" s="58">
        <f t="array" ref="CB297">SUM(IF(BY297:BZ297&gt;=BY297, 1))</f>
        <v>2</v>
      </c>
      <c r="CC297" s="58">
        <f t="array" ref="CC297">SUM(IF(BY297:BZ297&gt;=BZ297, 1))</f>
        <v>1</v>
      </c>
      <c r="CE297" s="109">
        <f t="shared" si="142"/>
        <v>97817.488971414088</v>
      </c>
      <c r="CF297" s="109">
        <f t="shared" si="143"/>
        <v>100618.65068602294</v>
      </c>
      <c r="CH297" s="58">
        <f t="array" ref="CH297">SUM(IF(CE297:CF297&gt;=CE297, 1))</f>
        <v>2</v>
      </c>
      <c r="CI297" s="58">
        <f t="array" ref="CI297">SUM(IF(CE297:CF297&gt;=CF297, 1))</f>
        <v>1</v>
      </c>
      <c r="CK297" s="109">
        <f t="shared" si="144"/>
        <v>50544.923212989386</v>
      </c>
      <c r="CL297" s="109">
        <f t="shared" si="145"/>
        <v>52074.564526431001</v>
      </c>
      <c r="CN297" s="58">
        <f t="array" ref="CN297">SUM(IF(CK297:CL297&gt;=CK297, 1))</f>
        <v>2</v>
      </c>
      <c r="CO297" s="58">
        <f t="array" ref="CO297">SUM(IF(CK297:CL297&gt;=CL297, 1))</f>
        <v>1</v>
      </c>
      <c r="CQ297" s="109" cm="1">
        <f t="array" ref="CQ297">AF297*WTP-AC297</f>
        <v>44729.082793611888</v>
      </c>
      <c r="CR297" s="109">
        <f t="shared" si="146"/>
        <v>48481.343632505756</v>
      </c>
      <c r="CT297" s="58">
        <f t="array" ref="CT297">SUM(IF(CQ297:CR297&gt;=CQ297, 1))</f>
        <v>2</v>
      </c>
      <c r="CU297" s="58">
        <f t="array" ref="CU297">SUM(IF(CQ297:CR297&gt;=CR297, 1))</f>
        <v>1</v>
      </c>
      <c r="CW297" s="109">
        <f t="shared" si="147"/>
        <v>-40844538.135378093</v>
      </c>
      <c r="CX297" s="109">
        <f t="shared" si="148"/>
        <v>0</v>
      </c>
      <c r="CZ297" s="58">
        <f t="array" ref="CZ297">SUM(IF(CW297:CX297&gt;=CW297, 1))</f>
        <v>2</v>
      </c>
      <c r="DA297" s="58">
        <f t="array" ref="DA297">SUM(IF(CW297:CX297&gt;=CX297, 1))</f>
        <v>1</v>
      </c>
      <c r="DC297" s="109">
        <f t="shared" si="149"/>
        <v>-2441889.4889066182</v>
      </c>
      <c r="DD297" s="109">
        <f t="shared" si="150"/>
        <v>0</v>
      </c>
      <c r="DF297" s="58">
        <f t="array" ref="DF297">SUM(IF(DC297:DD297&gt;=DC297, 1))</f>
        <v>2</v>
      </c>
      <c r="DG297" s="58">
        <f t="array" ref="DG297">SUM(IF(DC297:DD297&gt;=DD297, 1))</f>
        <v>1</v>
      </c>
      <c r="DI297" s="109">
        <f t="shared" si="151"/>
        <v>-65717893.639266297</v>
      </c>
      <c r="DJ297" s="109">
        <f t="shared" si="152"/>
        <v>0</v>
      </c>
      <c r="DL297" s="58">
        <f t="array" ref="DL297">SUM(IF(DI297:DJ297&gt;=DI297, 1))</f>
        <v>2</v>
      </c>
      <c r="DM297" s="58">
        <f t="array" ref="DM297">SUM(IF(DI297:DJ297&gt;=DJ297, 1))</f>
        <v>1</v>
      </c>
      <c r="DO297" s="109">
        <f t="shared" si="153"/>
        <v>-13929717.490780914</v>
      </c>
      <c r="DP297" s="109">
        <f t="shared" si="154"/>
        <v>0</v>
      </c>
      <c r="DR297" s="58">
        <f t="array" ref="DR297">SUM(IF(DO297:DP297&gt;=DO297, 1))</f>
        <v>2</v>
      </c>
      <c r="DS297" s="58">
        <f t="array" ref="DS297">SUM(IF(DO297:DP297&gt;=DP297, 1))</f>
        <v>1</v>
      </c>
      <c r="DU297" s="109">
        <f t="shared" si="155"/>
        <v>-59983495.549530119</v>
      </c>
      <c r="DV297" s="109">
        <f t="shared" si="156"/>
        <v>0</v>
      </c>
      <c r="DX297" s="58">
        <f t="array" ref="DX297">SUM(IF(DU297:DV297&gt;=DU297, 1))</f>
        <v>2</v>
      </c>
      <c r="DY297" s="58">
        <f t="array" ref="DY297">SUM(IF(DU297:DV297&gt;=DV297, 1))</f>
        <v>1</v>
      </c>
      <c r="EA297" s="109">
        <f t="shared" si="157"/>
        <v>-182917534.30386204</v>
      </c>
      <c r="EB297" s="109">
        <f t="shared" si="158"/>
        <v>0</v>
      </c>
      <c r="ED297" s="58">
        <f t="array" ref="ED297">SUM(IF(EA297:EB297&gt;=EA297, 1))</f>
        <v>2</v>
      </c>
      <c r="EE297" s="58">
        <f t="array" ref="EE297">SUM(IF(EA297:EB297&gt;=EB297, 1))</f>
        <v>1</v>
      </c>
    </row>
    <row r="298" spans="4:135" ht="12" customHeight="1" x14ac:dyDescent="0.25">
      <c r="D298" s="11">
        <v>282</v>
      </c>
      <c r="E298" s="72">
        <v>301.16575750988545</v>
      </c>
      <c r="F298" s="72">
        <v>284.91025240463688</v>
      </c>
      <c r="G298" s="73"/>
      <c r="H298" s="74">
        <v>5.8368327311968367</v>
      </c>
      <c r="I298" s="74">
        <v>5.8486074133158805</v>
      </c>
      <c r="J298" s="73"/>
      <c r="K298" s="72">
        <v>323.75283779802464</v>
      </c>
      <c r="L298" s="72">
        <v>307.06171479282165</v>
      </c>
      <c r="M298" s="73"/>
      <c r="N298" s="74">
        <v>6.6509685708376365</v>
      </c>
      <c r="O298" s="74">
        <v>6.6603476497834224</v>
      </c>
      <c r="P298" s="73"/>
      <c r="Q298" s="72">
        <v>2573.7690958790281</v>
      </c>
      <c r="R298" s="72">
        <v>1243.0115060719227</v>
      </c>
      <c r="S298" s="73"/>
      <c r="T298" s="74">
        <v>4.8081351237209207</v>
      </c>
      <c r="U298" s="74">
        <v>4.9539997207920026</v>
      </c>
      <c r="V298" s="73"/>
      <c r="W298" s="72">
        <v>13541.873097318736</v>
      </c>
      <c r="X298" s="72">
        <v>13588.082772130296</v>
      </c>
      <c r="Y298" s="73"/>
      <c r="Z298" s="74">
        <v>3.1270480513048184</v>
      </c>
      <c r="AA298" s="74">
        <v>3.1813317173729643</v>
      </c>
      <c r="AB298" s="73"/>
      <c r="AC298" s="72">
        <v>50522.896031808545</v>
      </c>
      <c r="AD298" s="72">
        <v>49658.073299927048</v>
      </c>
      <c r="AE298" s="73"/>
      <c r="AF298" s="74">
        <v>4.5368214134585756</v>
      </c>
      <c r="AG298" s="74">
        <v>4.7648166143607851</v>
      </c>
      <c r="AH298" s="73"/>
      <c r="AI298" s="72">
        <v>1747037.9994080351</v>
      </c>
      <c r="AJ298" s="72">
        <v>0</v>
      </c>
      <c r="AK298" s="73"/>
      <c r="AL298" s="74">
        <v>-1265.4677267627974</v>
      </c>
      <c r="AM298" s="74">
        <v>0</v>
      </c>
      <c r="AN298" s="73"/>
      <c r="AO298" s="72">
        <v>114910.25189318591</v>
      </c>
      <c r="AP298" s="72">
        <v>0</v>
      </c>
      <c r="AQ298" s="73"/>
      <c r="AR298" s="74">
        <v>-64.570390131950901</v>
      </c>
      <c r="AS298" s="74">
        <v>0</v>
      </c>
      <c r="AT298" s="73"/>
      <c r="AU298" s="72">
        <v>30537375.376829941</v>
      </c>
      <c r="AV298" s="72">
        <v>0</v>
      </c>
      <c r="AW298" s="73"/>
      <c r="AX298" s="74">
        <v>-3347.2076274953542</v>
      </c>
      <c r="AY298" s="74">
        <v>0</v>
      </c>
      <c r="AZ298" s="73"/>
      <c r="BA298" s="72">
        <v>-410403.80408960767</v>
      </c>
      <c r="BB298" s="72">
        <v>0</v>
      </c>
      <c r="BC298" s="73"/>
      <c r="BD298" s="74">
        <v>-482.11166049417375</v>
      </c>
      <c r="BE298" s="74">
        <v>0</v>
      </c>
      <c r="BF298" s="73"/>
      <c r="BG298" s="72">
        <v>13333746.592721593</v>
      </c>
      <c r="BH298" s="72">
        <v>0</v>
      </c>
      <c r="BI298" s="73"/>
      <c r="BJ298" s="74">
        <v>-3515.2062048286598</v>
      </c>
      <c r="BK298" s="74">
        <v>0</v>
      </c>
      <c r="BL298" s="73"/>
      <c r="BM298" s="72">
        <v>45322666.416763142</v>
      </c>
      <c r="BN298" s="72">
        <v>0</v>
      </c>
      <c r="BO298" s="73"/>
      <c r="BP298" s="74">
        <v>-8674.5636097129354</v>
      </c>
      <c r="BQ298" s="74">
        <v>0</v>
      </c>
      <c r="BS298" s="109">
        <f t="shared" si="138"/>
        <v>116435.48886642685</v>
      </c>
      <c r="BT298" s="109">
        <f t="shared" si="139"/>
        <v>116687.23801391298</v>
      </c>
      <c r="BV298" s="58">
        <f t="array" ref="BV298">SUM(IF(BS298:BT298&gt;=BS298, 1))</f>
        <v>2</v>
      </c>
      <c r="BW298" s="58">
        <f t="array" ref="BW298">SUM(IF(BS298:BT298&gt;=BT298, 1))</f>
        <v>1</v>
      </c>
      <c r="BY298" s="109">
        <f t="shared" si="140"/>
        <v>132695.61857895469</v>
      </c>
      <c r="BZ298" s="109">
        <f t="shared" si="141"/>
        <v>132899.89128087563</v>
      </c>
      <c r="CB298" s="58">
        <f t="array" ref="CB298">SUM(IF(BY298:BZ298&gt;=BY298, 1))</f>
        <v>2</v>
      </c>
      <c r="CC298" s="58">
        <f t="array" ref="CC298">SUM(IF(BY298:BZ298&gt;=BZ298, 1))</f>
        <v>1</v>
      </c>
      <c r="CE298" s="109">
        <f t="shared" si="142"/>
        <v>93588.933378539383</v>
      </c>
      <c r="CF298" s="109">
        <f t="shared" si="143"/>
        <v>97836.982909768121</v>
      </c>
      <c r="CH298" s="58">
        <f t="array" ref="CH298">SUM(IF(CE298:CF298&gt;=CE298, 1))</f>
        <v>2</v>
      </c>
      <c r="CI298" s="58">
        <f t="array" ref="CI298">SUM(IF(CE298:CF298&gt;=CF298, 1))</f>
        <v>1</v>
      </c>
      <c r="CK298" s="109">
        <f t="shared" si="144"/>
        <v>48999.087928777633</v>
      </c>
      <c r="CL298" s="109">
        <f t="shared" si="145"/>
        <v>50038.551575328995</v>
      </c>
      <c r="CN298" s="58">
        <f t="array" ref="CN298">SUM(IF(CK298:CL298&gt;=CK298, 1))</f>
        <v>2</v>
      </c>
      <c r="CO298" s="58">
        <f t="array" ref="CO298">SUM(IF(CK298:CL298&gt;=CL298, 1))</f>
        <v>1</v>
      </c>
      <c r="CQ298" s="109" cm="1">
        <f t="array" ref="CQ298">AF298*WTP-AC298</f>
        <v>40213.532237362961</v>
      </c>
      <c r="CR298" s="109">
        <f t="shared" si="146"/>
        <v>45638.258987288653</v>
      </c>
      <c r="CT298" s="58">
        <f t="array" ref="CT298">SUM(IF(CQ298:CR298&gt;=CQ298, 1))</f>
        <v>2</v>
      </c>
      <c r="CU298" s="58">
        <f t="array" ref="CU298">SUM(IF(CQ298:CR298&gt;=CR298, 1))</f>
        <v>1</v>
      </c>
      <c r="CW298" s="109">
        <f t="shared" si="147"/>
        <v>-27056392.534663983</v>
      </c>
      <c r="CX298" s="109">
        <f t="shared" si="148"/>
        <v>0</v>
      </c>
      <c r="CZ298" s="58">
        <f t="array" ref="CZ298">SUM(IF(CW298:CX298&gt;=CW298, 1))</f>
        <v>2</v>
      </c>
      <c r="DA298" s="58">
        <f t="array" ref="DA298">SUM(IF(CW298:CX298&gt;=CX298, 1))</f>
        <v>1</v>
      </c>
      <c r="DC298" s="109">
        <f t="shared" si="149"/>
        <v>-1406318.0545322041</v>
      </c>
      <c r="DD298" s="109">
        <f t="shared" si="150"/>
        <v>0</v>
      </c>
      <c r="DF298" s="58">
        <f t="array" ref="DF298">SUM(IF(DC298:DD298&gt;=DC298, 1))</f>
        <v>2</v>
      </c>
      <c r="DG298" s="58">
        <f t="array" ref="DG298">SUM(IF(DC298:DD298&gt;=DD298, 1))</f>
        <v>1</v>
      </c>
      <c r="DI298" s="109">
        <f t="shared" si="151"/>
        <v>-97481527.926737025</v>
      </c>
      <c r="DJ298" s="109">
        <f t="shared" si="152"/>
        <v>0</v>
      </c>
      <c r="DL298" s="58">
        <f t="array" ref="DL298">SUM(IF(DI298:DJ298&gt;=DI298, 1))</f>
        <v>2</v>
      </c>
      <c r="DM298" s="58">
        <f t="array" ref="DM298">SUM(IF(DI298:DJ298&gt;=DJ298, 1))</f>
        <v>1</v>
      </c>
      <c r="DO298" s="109">
        <f t="shared" si="153"/>
        <v>-9231829.405793868</v>
      </c>
      <c r="DP298" s="109">
        <f t="shared" si="154"/>
        <v>0</v>
      </c>
      <c r="DR298" s="58">
        <f t="array" ref="DR298">SUM(IF(DO298:DP298&gt;=DO298, 1))</f>
        <v>2</v>
      </c>
      <c r="DS298" s="58">
        <f t="array" ref="DS298">SUM(IF(DO298:DP298&gt;=DP298, 1))</f>
        <v>1</v>
      </c>
      <c r="DU298" s="109">
        <f t="shared" si="155"/>
        <v>-83637870.689294785</v>
      </c>
      <c r="DV298" s="109">
        <f t="shared" si="156"/>
        <v>0</v>
      </c>
      <c r="DX298" s="58">
        <f t="array" ref="DX298">SUM(IF(DU298:DV298&gt;=DU298, 1))</f>
        <v>2</v>
      </c>
      <c r="DY298" s="58">
        <f t="array" ref="DY298">SUM(IF(DU298:DV298&gt;=DV298, 1))</f>
        <v>1</v>
      </c>
      <c r="EA298" s="109">
        <f t="shared" si="157"/>
        <v>-218813938.61102188</v>
      </c>
      <c r="EB298" s="109">
        <f t="shared" si="158"/>
        <v>0</v>
      </c>
      <c r="ED298" s="58">
        <f t="array" ref="ED298">SUM(IF(EA298:EB298&gt;=EA298, 1))</f>
        <v>2</v>
      </c>
      <c r="EE298" s="58">
        <f t="array" ref="EE298">SUM(IF(EA298:EB298&gt;=EB298, 1))</f>
        <v>1</v>
      </c>
    </row>
    <row r="299" spans="4:135" ht="12" customHeight="1" x14ac:dyDescent="0.25">
      <c r="D299" s="11">
        <v>283</v>
      </c>
      <c r="E299" s="72">
        <v>278.10915712936327</v>
      </c>
      <c r="F299" s="72">
        <v>254.52517375408689</v>
      </c>
      <c r="G299" s="73"/>
      <c r="H299" s="74">
        <v>5.8095735882936994</v>
      </c>
      <c r="I299" s="74">
        <v>5.8255933687610302</v>
      </c>
      <c r="J299" s="73"/>
      <c r="K299" s="72">
        <v>298.63386498850684</v>
      </c>
      <c r="L299" s="72">
        <v>274.42869901656212</v>
      </c>
      <c r="M299" s="73"/>
      <c r="N299" s="74">
        <v>6.7182231833922934</v>
      </c>
      <c r="O299" s="74">
        <v>6.7313888529296984</v>
      </c>
      <c r="P299" s="73"/>
      <c r="Q299" s="72">
        <v>2668.068311356486</v>
      </c>
      <c r="R299" s="72">
        <v>1419.695424078745</v>
      </c>
      <c r="S299" s="73"/>
      <c r="T299" s="74">
        <v>4.8465800729390978</v>
      </c>
      <c r="U299" s="74">
        <v>4.9478465453667431</v>
      </c>
      <c r="V299" s="73"/>
      <c r="W299" s="72">
        <v>10866.219998743514</v>
      </c>
      <c r="X299" s="72">
        <v>10847.33555109899</v>
      </c>
      <c r="Y299" s="73"/>
      <c r="Z299" s="74">
        <v>3.0882128284106467</v>
      </c>
      <c r="AA299" s="74">
        <v>3.1515808433094668</v>
      </c>
      <c r="AB299" s="73"/>
      <c r="AC299" s="72">
        <v>48991.937098340437</v>
      </c>
      <c r="AD299" s="72">
        <v>48600.858715648537</v>
      </c>
      <c r="AE299" s="73"/>
      <c r="AF299" s="74">
        <v>4.9016739332548562</v>
      </c>
      <c r="AG299" s="74">
        <v>4.9987115438242844</v>
      </c>
      <c r="AH299" s="73"/>
      <c r="AI299" s="72">
        <v>2532784.3822349738</v>
      </c>
      <c r="AJ299" s="72">
        <v>0</v>
      </c>
      <c r="AK299" s="73"/>
      <c r="AL299" s="74">
        <v>-1720.4324277561859</v>
      </c>
      <c r="AM299" s="74">
        <v>0</v>
      </c>
      <c r="AN299" s="73"/>
      <c r="AO299" s="72">
        <v>162612.28029347296</v>
      </c>
      <c r="AP299" s="72">
        <v>0</v>
      </c>
      <c r="AQ299" s="73"/>
      <c r="AR299" s="74">
        <v>-88.448042353816774</v>
      </c>
      <c r="AS299" s="74">
        <v>0</v>
      </c>
      <c r="AT299" s="73"/>
      <c r="AU299" s="72">
        <v>29471264.809214376</v>
      </c>
      <c r="AV299" s="72">
        <v>0</v>
      </c>
      <c r="AW299" s="73"/>
      <c r="AX299" s="74">
        <v>-2390.6727353861161</v>
      </c>
      <c r="AY299" s="74">
        <v>0</v>
      </c>
      <c r="AZ299" s="73"/>
      <c r="BA299" s="72">
        <v>166798.00541425904</v>
      </c>
      <c r="BB299" s="72">
        <v>0</v>
      </c>
      <c r="BC299" s="73"/>
      <c r="BD299" s="74">
        <v>-559.70175517676682</v>
      </c>
      <c r="BE299" s="74">
        <v>0</v>
      </c>
      <c r="BF299" s="73"/>
      <c r="BG299" s="72">
        <v>6239426.4853291325</v>
      </c>
      <c r="BH299" s="72">
        <v>0</v>
      </c>
      <c r="BI299" s="73"/>
      <c r="BJ299" s="74">
        <v>-1548.1782278335199</v>
      </c>
      <c r="BK299" s="74">
        <v>0</v>
      </c>
      <c r="BL299" s="73"/>
      <c r="BM299" s="72">
        <v>38572885.962486215</v>
      </c>
      <c r="BN299" s="72">
        <v>0</v>
      </c>
      <c r="BO299" s="73"/>
      <c r="BP299" s="74">
        <v>-6307.4331885064057</v>
      </c>
      <c r="BQ299" s="74">
        <v>0</v>
      </c>
      <c r="BS299" s="109">
        <f t="shared" si="138"/>
        <v>115913.36260874462</v>
      </c>
      <c r="BT299" s="109">
        <f t="shared" si="139"/>
        <v>116257.34220146653</v>
      </c>
      <c r="BV299" s="58">
        <f t="array" ref="BV299">SUM(IF(BS299:BT299&gt;=BS299, 1))</f>
        <v>2</v>
      </c>
      <c r="BW299" s="58">
        <f t="array" ref="BW299">SUM(IF(BS299:BT299&gt;=BT299, 1))</f>
        <v>1</v>
      </c>
      <c r="BY299" s="109">
        <f t="shared" si="140"/>
        <v>134065.82980285736</v>
      </c>
      <c r="BZ299" s="109">
        <f t="shared" si="141"/>
        <v>134353.34835957739</v>
      </c>
      <c r="CB299" s="58">
        <f t="array" ref="CB299">SUM(IF(BY299:BZ299&gt;=BY299, 1))</f>
        <v>2</v>
      </c>
      <c r="CC299" s="58">
        <f t="array" ref="CC299">SUM(IF(BY299:BZ299&gt;=BZ299, 1))</f>
        <v>1</v>
      </c>
      <c r="CE299" s="109">
        <f t="shared" si="142"/>
        <v>94263.533147425464</v>
      </c>
      <c r="CF299" s="109">
        <f t="shared" si="143"/>
        <v>97537.23548325611</v>
      </c>
      <c r="CH299" s="58">
        <f t="array" ref="CH299">SUM(IF(CE299:CF299&gt;=CE299, 1))</f>
        <v>2</v>
      </c>
      <c r="CI299" s="58">
        <f t="array" ref="CI299">SUM(IF(CE299:CF299&gt;=CF299, 1))</f>
        <v>1</v>
      </c>
      <c r="CK299" s="109">
        <f t="shared" si="144"/>
        <v>50898.036569469419</v>
      </c>
      <c r="CL299" s="109">
        <f t="shared" si="145"/>
        <v>52184.281315090338</v>
      </c>
      <c r="CN299" s="58">
        <f t="array" ref="CN299">SUM(IF(CK299:CL299&gt;=CK299, 1))</f>
        <v>2</v>
      </c>
      <c r="CO299" s="58">
        <f t="array" ref="CO299">SUM(IF(CK299:CL299&gt;=CL299, 1))</f>
        <v>1</v>
      </c>
      <c r="CQ299" s="109" cm="1">
        <f t="array" ref="CQ299">AF299*WTP-AC299</f>
        <v>49041.541566756685</v>
      </c>
      <c r="CR299" s="109">
        <f t="shared" si="146"/>
        <v>51373.372160837149</v>
      </c>
      <c r="CT299" s="58">
        <f t="array" ref="CT299">SUM(IF(CQ299:CR299&gt;=CQ299, 1))</f>
        <v>2</v>
      </c>
      <c r="CU299" s="58">
        <f t="array" ref="CU299">SUM(IF(CQ299:CR299&gt;=CR299, 1))</f>
        <v>1</v>
      </c>
      <c r="CW299" s="109">
        <f t="shared" si="147"/>
        <v>-36941432.937358692</v>
      </c>
      <c r="CX299" s="109">
        <f t="shared" si="148"/>
        <v>0</v>
      </c>
      <c r="CZ299" s="58">
        <f t="array" ref="CZ299">SUM(IF(CW299:CX299&gt;=CW299, 1))</f>
        <v>2</v>
      </c>
      <c r="DA299" s="58">
        <f t="array" ref="DA299">SUM(IF(CW299:CX299&gt;=CX299, 1))</f>
        <v>1</v>
      </c>
      <c r="DC299" s="109">
        <f t="shared" si="149"/>
        <v>-1931573.1273698085</v>
      </c>
      <c r="DD299" s="109">
        <f t="shared" si="150"/>
        <v>0</v>
      </c>
      <c r="DF299" s="58">
        <f t="array" ref="DF299">SUM(IF(DC299:DD299&gt;=DC299, 1))</f>
        <v>2</v>
      </c>
      <c r="DG299" s="58">
        <f t="array" ref="DG299">SUM(IF(DC299:DD299&gt;=DD299, 1))</f>
        <v>1</v>
      </c>
      <c r="DI299" s="109">
        <f t="shared" si="151"/>
        <v>-77284719.51693669</v>
      </c>
      <c r="DJ299" s="109">
        <f t="shared" si="152"/>
        <v>0</v>
      </c>
      <c r="DL299" s="58">
        <f t="array" ref="DL299">SUM(IF(DI299:DJ299&gt;=DI299, 1))</f>
        <v>2</v>
      </c>
      <c r="DM299" s="58">
        <f t="array" ref="DM299">SUM(IF(DI299:DJ299&gt;=DJ299, 1))</f>
        <v>1</v>
      </c>
      <c r="DO299" s="109">
        <f t="shared" si="153"/>
        <v>-11360833.108949596</v>
      </c>
      <c r="DP299" s="109">
        <f t="shared" si="154"/>
        <v>0</v>
      </c>
      <c r="DR299" s="58">
        <f t="array" ref="DR299">SUM(IF(DO299:DP299&gt;=DO299, 1))</f>
        <v>2</v>
      </c>
      <c r="DS299" s="58">
        <f t="array" ref="DS299">SUM(IF(DO299:DP299&gt;=DP299, 1))</f>
        <v>1</v>
      </c>
      <c r="DU299" s="109">
        <f t="shared" si="155"/>
        <v>-37202991.041999534</v>
      </c>
      <c r="DV299" s="109">
        <f t="shared" si="156"/>
        <v>0</v>
      </c>
      <c r="DX299" s="58">
        <f t="array" ref="DX299">SUM(IF(DU299:DV299&gt;=DU299, 1))</f>
        <v>2</v>
      </c>
      <c r="DY299" s="58">
        <f t="array" ref="DY299">SUM(IF(DU299:DV299&gt;=DV299, 1))</f>
        <v>1</v>
      </c>
      <c r="EA299" s="109">
        <f t="shared" si="157"/>
        <v>-164721549.73261434</v>
      </c>
      <c r="EB299" s="109">
        <f t="shared" si="158"/>
        <v>0</v>
      </c>
      <c r="ED299" s="58">
        <f t="array" ref="ED299">SUM(IF(EA299:EB299&gt;=EA299, 1))</f>
        <v>2</v>
      </c>
      <c r="EE299" s="58">
        <f t="array" ref="EE299">SUM(IF(EA299:EB299&gt;=EB299, 1))</f>
        <v>1</v>
      </c>
    </row>
    <row r="300" spans="4:135" ht="12" customHeight="1" x14ac:dyDescent="0.25">
      <c r="D300" s="11">
        <v>284</v>
      </c>
      <c r="E300" s="72">
        <v>281.89216874983634</v>
      </c>
      <c r="F300" s="72">
        <v>243.50751469137231</v>
      </c>
      <c r="G300" s="73"/>
      <c r="H300" s="74">
        <v>5.8849634669520459</v>
      </c>
      <c r="I300" s="74">
        <v>5.9048432720884545</v>
      </c>
      <c r="J300" s="73"/>
      <c r="K300" s="72">
        <v>301.81041040117435</v>
      </c>
      <c r="L300" s="72">
        <v>262.5416331652325</v>
      </c>
      <c r="M300" s="73"/>
      <c r="N300" s="74">
        <v>6.6917348385894879</v>
      </c>
      <c r="O300" s="74">
        <v>6.7092602877188634</v>
      </c>
      <c r="P300" s="73"/>
      <c r="Q300" s="72">
        <v>3327.4941243597973</v>
      </c>
      <c r="R300" s="72">
        <v>1484.7447737752038</v>
      </c>
      <c r="S300" s="73"/>
      <c r="T300" s="74">
        <v>4.6703074329583814</v>
      </c>
      <c r="U300" s="74">
        <v>4.8297888963237252</v>
      </c>
      <c r="V300" s="73"/>
      <c r="W300" s="72">
        <v>12376.955250588431</v>
      </c>
      <c r="X300" s="72">
        <v>12420.9213304846</v>
      </c>
      <c r="Y300" s="73"/>
      <c r="Z300" s="74">
        <v>3.0153625743915651</v>
      </c>
      <c r="AA300" s="74">
        <v>3.080165645918826</v>
      </c>
      <c r="AB300" s="73"/>
      <c r="AC300" s="72">
        <v>51667.389659871085</v>
      </c>
      <c r="AD300" s="72">
        <v>51182.43463267108</v>
      </c>
      <c r="AE300" s="73"/>
      <c r="AF300" s="74">
        <v>4.4252859210337663</v>
      </c>
      <c r="AG300" s="74">
        <v>4.5205833192267022</v>
      </c>
      <c r="AH300" s="73"/>
      <c r="AI300" s="72">
        <v>4089319.5925691975</v>
      </c>
      <c r="AJ300" s="72">
        <v>0</v>
      </c>
      <c r="AK300" s="73"/>
      <c r="AL300" s="74">
        <v>-2117.9004639966947</v>
      </c>
      <c r="AM300" s="74">
        <v>0</v>
      </c>
      <c r="AN300" s="73"/>
      <c r="AO300" s="72">
        <v>284985.97046307492</v>
      </c>
      <c r="AP300" s="72">
        <v>0</v>
      </c>
      <c r="AQ300" s="73"/>
      <c r="AR300" s="74">
        <v>-127.18774251429859</v>
      </c>
      <c r="AS300" s="74">
        <v>0</v>
      </c>
      <c r="AT300" s="73"/>
      <c r="AU300" s="72">
        <v>42983706.147905856</v>
      </c>
      <c r="AV300" s="72">
        <v>0</v>
      </c>
      <c r="AW300" s="73"/>
      <c r="AX300" s="74">
        <v>-3720.0416622907728</v>
      </c>
      <c r="AY300" s="74">
        <v>0</v>
      </c>
      <c r="AZ300" s="73"/>
      <c r="BA300" s="72">
        <v>-396312.34444652929</v>
      </c>
      <c r="BB300" s="72">
        <v>0</v>
      </c>
      <c r="BC300" s="73"/>
      <c r="BD300" s="74">
        <v>-584.13798239362677</v>
      </c>
      <c r="BE300" s="74">
        <v>0</v>
      </c>
      <c r="BF300" s="73"/>
      <c r="BG300" s="72">
        <v>7408430.536151642</v>
      </c>
      <c r="BH300" s="72">
        <v>0</v>
      </c>
      <c r="BI300" s="73"/>
      <c r="BJ300" s="74">
        <v>-1455.8136635156038</v>
      </c>
      <c r="BK300" s="74">
        <v>0</v>
      </c>
      <c r="BL300" s="73"/>
      <c r="BM300" s="72">
        <v>54370129.902643234</v>
      </c>
      <c r="BN300" s="72">
        <v>0</v>
      </c>
      <c r="BO300" s="73"/>
      <c r="BP300" s="74">
        <v>-8005.081514710997</v>
      </c>
      <c r="BQ300" s="74">
        <v>0</v>
      </c>
      <c r="BS300" s="109">
        <f t="shared" si="138"/>
        <v>117417.37717029107</v>
      </c>
      <c r="BT300" s="109">
        <f t="shared" si="139"/>
        <v>117853.35792707771</v>
      </c>
      <c r="BV300" s="58">
        <f t="array" ref="BV300">SUM(IF(BS300:BT300&gt;=BS300, 1))</f>
        <v>2</v>
      </c>
      <c r="BW300" s="58">
        <f t="array" ref="BW300">SUM(IF(BS300:BT300&gt;=BT300, 1))</f>
        <v>1</v>
      </c>
      <c r="BY300" s="109">
        <f t="shared" si="140"/>
        <v>133532.88636138858</v>
      </c>
      <c r="BZ300" s="109">
        <f t="shared" si="141"/>
        <v>133922.66412121203</v>
      </c>
      <c r="CB300" s="58">
        <f t="array" ref="CB300">SUM(IF(BY300:BZ300&gt;=BY300, 1))</f>
        <v>2</v>
      </c>
      <c r="CC300" s="58">
        <f t="array" ref="CC300">SUM(IF(BY300:BZ300&gt;=BZ300, 1))</f>
        <v>1</v>
      </c>
      <c r="CE300" s="109">
        <f t="shared" si="142"/>
        <v>90078.654534807822</v>
      </c>
      <c r="CF300" s="109">
        <f t="shared" si="143"/>
        <v>95111.033152699296</v>
      </c>
      <c r="CH300" s="58">
        <f t="array" ref="CH300">SUM(IF(CE300:CF300&gt;=CE300, 1))</f>
        <v>2</v>
      </c>
      <c r="CI300" s="58">
        <f t="array" ref="CI300">SUM(IF(CE300:CF300&gt;=CF300, 1))</f>
        <v>1</v>
      </c>
      <c r="CK300" s="109">
        <f t="shared" si="144"/>
        <v>47930.296237242874</v>
      </c>
      <c r="CL300" s="109">
        <f t="shared" si="145"/>
        <v>49182.391587891922</v>
      </c>
      <c r="CN300" s="58">
        <f t="array" ref="CN300">SUM(IF(CK300:CL300&gt;=CK300, 1))</f>
        <v>2</v>
      </c>
      <c r="CO300" s="58">
        <f t="array" ref="CO300">SUM(IF(CK300:CL300&gt;=CL300, 1))</f>
        <v>1</v>
      </c>
      <c r="CQ300" s="109" cm="1">
        <f t="array" ref="CQ300">AF300*WTP-AC300</f>
        <v>36838.328760804245</v>
      </c>
      <c r="CR300" s="109">
        <f t="shared" si="146"/>
        <v>39229.231751862957</v>
      </c>
      <c r="CT300" s="58">
        <f t="array" ref="CT300">SUM(IF(CQ300:CR300&gt;=CQ300, 1))</f>
        <v>2</v>
      </c>
      <c r="CU300" s="58">
        <f t="array" ref="CU300">SUM(IF(CQ300:CR300&gt;=CR300, 1))</f>
        <v>1</v>
      </c>
      <c r="CW300" s="109">
        <f t="shared" si="147"/>
        <v>-46447328.872503087</v>
      </c>
      <c r="CX300" s="109">
        <f t="shared" si="148"/>
        <v>0</v>
      </c>
      <c r="CZ300" s="58">
        <f t="array" ref="CZ300">SUM(IF(CW300:CX300&gt;=CW300, 1))</f>
        <v>2</v>
      </c>
      <c r="DA300" s="58">
        <f t="array" ref="DA300">SUM(IF(CW300:CX300&gt;=CX300, 1))</f>
        <v>1</v>
      </c>
      <c r="DC300" s="109">
        <f t="shared" si="149"/>
        <v>-2828740.8207490467</v>
      </c>
      <c r="DD300" s="109">
        <f t="shared" si="150"/>
        <v>0</v>
      </c>
      <c r="DF300" s="58">
        <f t="array" ref="DF300">SUM(IF(DC300:DD300&gt;=DC300, 1))</f>
        <v>2</v>
      </c>
      <c r="DG300" s="58">
        <f t="array" ref="DG300">SUM(IF(DC300:DD300&gt;=DD300, 1))</f>
        <v>1</v>
      </c>
      <c r="DI300" s="109">
        <f t="shared" si="151"/>
        <v>-117384539.39372131</v>
      </c>
      <c r="DJ300" s="109">
        <f t="shared" si="152"/>
        <v>0</v>
      </c>
      <c r="DL300" s="58">
        <f t="array" ref="DL300">SUM(IF(DI300:DJ300&gt;=DI300, 1))</f>
        <v>2</v>
      </c>
      <c r="DM300" s="58">
        <f t="array" ref="DM300">SUM(IF(DI300:DJ300&gt;=DJ300, 1))</f>
        <v>1</v>
      </c>
      <c r="DO300" s="109">
        <f t="shared" si="153"/>
        <v>-11286447.303426007</v>
      </c>
      <c r="DP300" s="109">
        <f t="shared" si="154"/>
        <v>0</v>
      </c>
      <c r="DR300" s="58">
        <f t="array" ref="DR300">SUM(IF(DO300:DP300&gt;=DO300, 1))</f>
        <v>2</v>
      </c>
      <c r="DS300" s="58">
        <f t="array" ref="DS300">SUM(IF(DO300:DP300&gt;=DP300, 1))</f>
        <v>1</v>
      </c>
      <c r="DU300" s="109">
        <f t="shared" si="155"/>
        <v>-36524703.806463718</v>
      </c>
      <c r="DV300" s="109">
        <f t="shared" si="156"/>
        <v>0</v>
      </c>
      <c r="DX300" s="58">
        <f t="array" ref="DX300">SUM(IF(DU300:DV300&gt;=DU300, 1))</f>
        <v>2</v>
      </c>
      <c r="DY300" s="58">
        <f t="array" ref="DY300">SUM(IF(DU300:DV300&gt;=DV300, 1))</f>
        <v>1</v>
      </c>
      <c r="EA300" s="109">
        <f t="shared" si="157"/>
        <v>-214471760.19686317</v>
      </c>
      <c r="EB300" s="109">
        <f t="shared" si="158"/>
        <v>0</v>
      </c>
      <c r="ED300" s="58">
        <f t="array" ref="ED300">SUM(IF(EA300:EB300&gt;=EA300, 1))</f>
        <v>2</v>
      </c>
      <c r="EE300" s="58">
        <f t="array" ref="EE300">SUM(IF(EA300:EB300&gt;=EB300, 1))</f>
        <v>1</v>
      </c>
    </row>
    <row r="301" spans="4:135" ht="12" customHeight="1" x14ac:dyDescent="0.25">
      <c r="D301" s="11">
        <v>285</v>
      </c>
      <c r="E301" s="72">
        <v>249.44028068631829</v>
      </c>
      <c r="F301" s="72">
        <v>218.63934274822819</v>
      </c>
      <c r="G301" s="73"/>
      <c r="H301" s="74">
        <v>5.8339186572706989</v>
      </c>
      <c r="I301" s="74">
        <v>5.8507583888368355</v>
      </c>
      <c r="J301" s="73"/>
      <c r="K301" s="72">
        <v>267.22218798083082</v>
      </c>
      <c r="L301" s="72">
        <v>235.71455019393164</v>
      </c>
      <c r="M301" s="73"/>
      <c r="N301" s="74">
        <v>6.6369855398887179</v>
      </c>
      <c r="O301" s="74">
        <v>6.6518598651986762</v>
      </c>
      <c r="P301" s="73"/>
      <c r="Q301" s="72">
        <v>1383.6033446776084</v>
      </c>
      <c r="R301" s="72">
        <v>1033.8407536123511</v>
      </c>
      <c r="S301" s="73"/>
      <c r="T301" s="74">
        <v>4.8075142034585339</v>
      </c>
      <c r="U301" s="74">
        <v>4.8652473733851345</v>
      </c>
      <c r="V301" s="73"/>
      <c r="W301" s="72">
        <v>14814.060278292947</v>
      </c>
      <c r="X301" s="72">
        <v>14851.501769507729</v>
      </c>
      <c r="Y301" s="73"/>
      <c r="Z301" s="74">
        <v>3.1262729975332131</v>
      </c>
      <c r="AA301" s="74">
        <v>3.1875085948665336</v>
      </c>
      <c r="AB301" s="73"/>
      <c r="AC301" s="72">
        <v>52237.923064728551</v>
      </c>
      <c r="AD301" s="72">
        <v>51393.553424592566</v>
      </c>
      <c r="AE301" s="73"/>
      <c r="AF301" s="74">
        <v>4.5904194236476865</v>
      </c>
      <c r="AG301" s="74">
        <v>4.744680968699698</v>
      </c>
      <c r="AH301" s="73"/>
      <c r="AI301" s="72">
        <v>3310511.8643949493</v>
      </c>
      <c r="AJ301" s="72">
        <v>0</v>
      </c>
      <c r="AK301" s="73"/>
      <c r="AL301" s="74">
        <v>-1809.9491403468021</v>
      </c>
      <c r="AM301" s="74">
        <v>0</v>
      </c>
      <c r="AN301" s="73"/>
      <c r="AO301" s="72">
        <v>217403.40378030049</v>
      </c>
      <c r="AP301" s="72">
        <v>0</v>
      </c>
      <c r="AQ301" s="73"/>
      <c r="AR301" s="74">
        <v>-102.63317653934052</v>
      </c>
      <c r="AS301" s="74">
        <v>0</v>
      </c>
      <c r="AT301" s="73"/>
      <c r="AU301" s="72">
        <v>8081834.545427314</v>
      </c>
      <c r="AV301" s="72">
        <v>0</v>
      </c>
      <c r="AW301" s="73"/>
      <c r="AX301" s="74">
        <v>-1334.0189575699123</v>
      </c>
      <c r="AY301" s="74">
        <v>0</v>
      </c>
      <c r="AZ301" s="73"/>
      <c r="BA301" s="72">
        <v>-334214.6761727095</v>
      </c>
      <c r="BB301" s="72">
        <v>0</v>
      </c>
      <c r="BC301" s="73"/>
      <c r="BD301" s="74">
        <v>-546.60844611119717</v>
      </c>
      <c r="BE301" s="74">
        <v>0</v>
      </c>
      <c r="BF301" s="73"/>
      <c r="BG301" s="72">
        <v>13653945.336117564</v>
      </c>
      <c r="BH301" s="72">
        <v>0</v>
      </c>
      <c r="BI301" s="73"/>
      <c r="BJ301" s="74">
        <v>-2494.4983849324431</v>
      </c>
      <c r="BK301" s="74">
        <v>0</v>
      </c>
      <c r="BL301" s="73"/>
      <c r="BM301" s="72">
        <v>24929480.473547418</v>
      </c>
      <c r="BN301" s="72">
        <v>0</v>
      </c>
      <c r="BO301" s="73"/>
      <c r="BP301" s="74">
        <v>-6287.7081054996952</v>
      </c>
      <c r="BQ301" s="74">
        <v>0</v>
      </c>
      <c r="BS301" s="109">
        <f t="shared" si="138"/>
        <v>116428.93286472766</v>
      </c>
      <c r="BT301" s="109">
        <f t="shared" si="139"/>
        <v>116796.52843398848</v>
      </c>
      <c r="BV301" s="58">
        <f t="array" ref="BV301">SUM(IF(BS301:BT301&gt;=BS301, 1))</f>
        <v>2</v>
      </c>
      <c r="BW301" s="58">
        <f t="array" ref="BW301">SUM(IF(BS301:BT301&gt;=BT301, 1))</f>
        <v>1</v>
      </c>
      <c r="BY301" s="109">
        <f t="shared" si="140"/>
        <v>132472.48860979351</v>
      </c>
      <c r="BZ301" s="109">
        <f t="shared" si="141"/>
        <v>132801.48275377959</v>
      </c>
      <c r="CB301" s="58">
        <f t="array" ref="CB301">SUM(IF(BY301:BZ301&gt;=BY301, 1))</f>
        <v>2</v>
      </c>
      <c r="CC301" s="58">
        <f t="array" ref="CC301">SUM(IF(BY301:BZ301&gt;=BZ301, 1))</f>
        <v>1</v>
      </c>
      <c r="CE301" s="109">
        <f t="shared" si="142"/>
        <v>94766.680724493068</v>
      </c>
      <c r="CF301" s="109">
        <f t="shared" si="143"/>
        <v>96271.106714090332</v>
      </c>
      <c r="CH301" s="58">
        <f t="array" ref="CH301">SUM(IF(CE301:CF301&gt;=CE301, 1))</f>
        <v>2</v>
      </c>
      <c r="CI301" s="58">
        <f t="array" ref="CI301">SUM(IF(CE301:CF301&gt;=CF301, 1))</f>
        <v>1</v>
      </c>
      <c r="CK301" s="109">
        <f t="shared" si="144"/>
        <v>47711.399672371313</v>
      </c>
      <c r="CL301" s="109">
        <f t="shared" si="145"/>
        <v>48898.670127822945</v>
      </c>
      <c r="CN301" s="58">
        <f t="array" ref="CN301">SUM(IF(CK301:CL301&gt;=CK301, 1))</f>
        <v>2</v>
      </c>
      <c r="CO301" s="58">
        <f t="array" ref="CO301">SUM(IF(CK301:CL301&gt;=CL301, 1))</f>
        <v>1</v>
      </c>
      <c r="CQ301" s="109" cm="1">
        <f t="array" ref="CQ301">AF301*WTP-AC301</f>
        <v>39570.465408225173</v>
      </c>
      <c r="CR301" s="109">
        <f t="shared" si="146"/>
        <v>43500.065949401396</v>
      </c>
      <c r="CT301" s="58">
        <f t="array" ref="CT301">SUM(IF(CQ301:CR301&gt;=CQ301, 1))</f>
        <v>2</v>
      </c>
      <c r="CU301" s="58">
        <f t="array" ref="CU301">SUM(IF(CQ301:CR301&gt;=CR301, 1))</f>
        <v>1</v>
      </c>
      <c r="CW301" s="109">
        <f t="shared" si="147"/>
        <v>-39509494.671330988</v>
      </c>
      <c r="CX301" s="109">
        <f t="shared" si="148"/>
        <v>0</v>
      </c>
      <c r="CZ301" s="58">
        <f t="array" ref="CZ301">SUM(IF(CW301:CX301&gt;=CW301, 1))</f>
        <v>2</v>
      </c>
      <c r="DA301" s="58">
        <f t="array" ref="DA301">SUM(IF(CW301:CX301&gt;=CX301, 1))</f>
        <v>1</v>
      </c>
      <c r="DC301" s="109">
        <f t="shared" si="149"/>
        <v>-2270066.9345671111</v>
      </c>
      <c r="DD301" s="109">
        <f t="shared" si="150"/>
        <v>0</v>
      </c>
      <c r="DF301" s="58">
        <f t="array" ref="DF301">SUM(IF(DC301:DD301&gt;=DC301, 1))</f>
        <v>2</v>
      </c>
      <c r="DG301" s="58">
        <f t="array" ref="DG301">SUM(IF(DC301:DD301&gt;=DD301, 1))</f>
        <v>1</v>
      </c>
      <c r="DI301" s="109">
        <f t="shared" si="151"/>
        <v>-34762213.696825556</v>
      </c>
      <c r="DJ301" s="109">
        <f t="shared" si="152"/>
        <v>0</v>
      </c>
      <c r="DL301" s="58">
        <f t="array" ref="DL301">SUM(IF(DI301:DJ301&gt;=DI301, 1))</f>
        <v>2</v>
      </c>
      <c r="DM301" s="58">
        <f t="array" ref="DM301">SUM(IF(DI301:DJ301&gt;=DJ301, 1))</f>
        <v>1</v>
      </c>
      <c r="DO301" s="109">
        <f t="shared" si="153"/>
        <v>-10597954.246051235</v>
      </c>
      <c r="DP301" s="109">
        <f t="shared" si="154"/>
        <v>0</v>
      </c>
      <c r="DR301" s="58">
        <f t="array" ref="DR301">SUM(IF(DO301:DP301&gt;=DO301, 1))</f>
        <v>2</v>
      </c>
      <c r="DS301" s="58">
        <f t="array" ref="DS301">SUM(IF(DO301:DP301&gt;=DP301, 1))</f>
        <v>1</v>
      </c>
      <c r="DU301" s="109">
        <f t="shared" si="155"/>
        <v>-63543913.034766428</v>
      </c>
      <c r="DV301" s="109">
        <f t="shared" si="156"/>
        <v>0</v>
      </c>
      <c r="DX301" s="58">
        <f t="array" ref="DX301">SUM(IF(DU301:DV301&gt;=DU301, 1))</f>
        <v>2</v>
      </c>
      <c r="DY301" s="58">
        <f t="array" ref="DY301">SUM(IF(DU301:DV301&gt;=DV301, 1))</f>
        <v>1</v>
      </c>
      <c r="EA301" s="109">
        <f t="shared" si="157"/>
        <v>-150683642.58354133</v>
      </c>
      <c r="EB301" s="109">
        <f t="shared" si="158"/>
        <v>0</v>
      </c>
      <c r="ED301" s="58">
        <f t="array" ref="ED301">SUM(IF(EA301:EB301&gt;=EA301, 1))</f>
        <v>2</v>
      </c>
      <c r="EE301" s="58">
        <f t="array" ref="EE301">SUM(IF(EA301:EB301&gt;=EB301, 1))</f>
        <v>1</v>
      </c>
    </row>
    <row r="302" spans="4:135" ht="12" customHeight="1" x14ac:dyDescent="0.25">
      <c r="D302" s="11">
        <v>286</v>
      </c>
      <c r="E302" s="72">
        <v>221.92344655595394</v>
      </c>
      <c r="F302" s="72">
        <v>213.88799062390885</v>
      </c>
      <c r="G302" s="73"/>
      <c r="H302" s="74">
        <v>5.8217262891483292</v>
      </c>
      <c r="I302" s="74">
        <v>5.8400666499889082</v>
      </c>
      <c r="J302" s="73"/>
      <c r="K302" s="72">
        <v>238.92677159226139</v>
      </c>
      <c r="L302" s="72">
        <v>230.6853526470145</v>
      </c>
      <c r="M302" s="73"/>
      <c r="N302" s="74">
        <v>6.6332704464562493</v>
      </c>
      <c r="O302" s="74">
        <v>6.6496886468212564</v>
      </c>
      <c r="P302" s="73"/>
      <c r="Q302" s="72">
        <v>4284.3959326988397</v>
      </c>
      <c r="R302" s="72">
        <v>1808.4918016049262</v>
      </c>
      <c r="S302" s="73"/>
      <c r="T302" s="74">
        <v>4.6476334039448641</v>
      </c>
      <c r="U302" s="74">
        <v>4.775174127512293</v>
      </c>
      <c r="V302" s="73"/>
      <c r="W302" s="72">
        <v>11299.648261399987</v>
      </c>
      <c r="X302" s="72">
        <v>11307.714147681714</v>
      </c>
      <c r="Y302" s="73"/>
      <c r="Z302" s="74">
        <v>2.9661061839727867</v>
      </c>
      <c r="AA302" s="74">
        <v>3.0248096351168807</v>
      </c>
      <c r="AB302" s="73"/>
      <c r="AC302" s="72">
        <v>51502.39565952812</v>
      </c>
      <c r="AD302" s="72">
        <v>51204.26144356509</v>
      </c>
      <c r="AE302" s="73"/>
      <c r="AF302" s="74">
        <v>4.5369349838212081</v>
      </c>
      <c r="AG302" s="74">
        <v>4.6063649814648038</v>
      </c>
      <c r="AH302" s="73"/>
      <c r="AI302" s="72">
        <v>868070.75309592218</v>
      </c>
      <c r="AJ302" s="72">
        <v>0</v>
      </c>
      <c r="AK302" s="73"/>
      <c r="AL302" s="74">
        <v>-1981.3102058641243</v>
      </c>
      <c r="AM302" s="74">
        <v>0</v>
      </c>
      <c r="AN302" s="73"/>
      <c r="AO302" s="72">
        <v>57555.375346597437</v>
      </c>
      <c r="AP302" s="72">
        <v>0</v>
      </c>
      <c r="AQ302" s="73"/>
      <c r="AR302" s="74">
        <v>-114.65934334870981</v>
      </c>
      <c r="AS302" s="74">
        <v>0</v>
      </c>
      <c r="AT302" s="73"/>
      <c r="AU302" s="72">
        <v>56278916.050785884</v>
      </c>
      <c r="AV302" s="72">
        <v>0</v>
      </c>
      <c r="AW302" s="73"/>
      <c r="AX302" s="74">
        <v>-2899.0838476191198</v>
      </c>
      <c r="AY302" s="74">
        <v>0</v>
      </c>
      <c r="AZ302" s="73"/>
      <c r="BA302" s="72">
        <v>-69554.082233413763</v>
      </c>
      <c r="BB302" s="72">
        <v>0</v>
      </c>
      <c r="BC302" s="73"/>
      <c r="BD302" s="74">
        <v>-506.21401364304415</v>
      </c>
      <c r="BE302" s="74">
        <v>0</v>
      </c>
      <c r="BF302" s="73"/>
      <c r="BG302" s="72">
        <v>4816181.9179438055</v>
      </c>
      <c r="BH302" s="72">
        <v>0</v>
      </c>
      <c r="BI302" s="73"/>
      <c r="BJ302" s="74">
        <v>-1121.6005453578427</v>
      </c>
      <c r="BK302" s="74">
        <v>0</v>
      </c>
      <c r="BL302" s="73"/>
      <c r="BM302" s="72">
        <v>61951170.014938794</v>
      </c>
      <c r="BN302" s="72">
        <v>0</v>
      </c>
      <c r="BO302" s="73"/>
      <c r="BP302" s="74">
        <v>-6622.8679558328413</v>
      </c>
      <c r="BQ302" s="74">
        <v>0</v>
      </c>
      <c r="BS302" s="109">
        <f t="shared" si="138"/>
        <v>116212.60233641062</v>
      </c>
      <c r="BT302" s="109">
        <f t="shared" si="139"/>
        <v>116587.44500915427</v>
      </c>
      <c r="BV302" s="58">
        <f t="array" ref="BV302">SUM(IF(BS302:BT302&gt;=BS302, 1))</f>
        <v>2</v>
      </c>
      <c r="BW302" s="58">
        <f t="array" ref="BW302">SUM(IF(BS302:BT302&gt;=BT302, 1))</f>
        <v>1</v>
      </c>
      <c r="BY302" s="109">
        <f t="shared" si="140"/>
        <v>132426.48215753274</v>
      </c>
      <c r="BZ302" s="109">
        <f t="shared" si="141"/>
        <v>132763.08758377811</v>
      </c>
      <c r="CB302" s="58">
        <f t="array" ref="CB302">SUM(IF(BY302:BZ302&gt;=BY302, 1))</f>
        <v>2</v>
      </c>
      <c r="CC302" s="58">
        <f t="array" ref="CC302">SUM(IF(BY302:BZ302&gt;=BZ302, 1))</f>
        <v>1</v>
      </c>
      <c r="CE302" s="109">
        <f t="shared" si="142"/>
        <v>88668.272146198447</v>
      </c>
      <c r="CF302" s="109">
        <f t="shared" si="143"/>
        <v>93694.990748640936</v>
      </c>
      <c r="CH302" s="58">
        <f t="array" ref="CH302">SUM(IF(CE302:CF302&gt;=CE302, 1))</f>
        <v>2</v>
      </c>
      <c r="CI302" s="58">
        <f t="array" ref="CI302">SUM(IF(CE302:CF302&gt;=CF302, 1))</f>
        <v>1</v>
      </c>
      <c r="CK302" s="109">
        <f t="shared" si="144"/>
        <v>48022.47541805575</v>
      </c>
      <c r="CL302" s="109">
        <f t="shared" si="145"/>
        <v>49188.4785546559</v>
      </c>
      <c r="CN302" s="58">
        <f t="array" ref="CN302">SUM(IF(CK302:CL302&gt;=CK302, 1))</f>
        <v>2</v>
      </c>
      <c r="CO302" s="58">
        <f t="array" ref="CO302">SUM(IF(CK302:CL302&gt;=CL302, 1))</f>
        <v>1</v>
      </c>
      <c r="CQ302" s="109" cm="1">
        <f t="array" ref="CQ302">AF302*WTP-AC302</f>
        <v>39236.304016896043</v>
      </c>
      <c r="CR302" s="109">
        <f t="shared" si="146"/>
        <v>40923.038185730984</v>
      </c>
      <c r="CT302" s="58">
        <f t="array" ref="CT302">SUM(IF(CQ302:CR302&gt;=CQ302, 1))</f>
        <v>2</v>
      </c>
      <c r="CU302" s="58">
        <f t="array" ref="CU302">SUM(IF(CQ302:CR302&gt;=CR302, 1))</f>
        <v>1</v>
      </c>
      <c r="CW302" s="109">
        <f t="shared" si="147"/>
        <v>-40494274.870378412</v>
      </c>
      <c r="CX302" s="109">
        <f t="shared" si="148"/>
        <v>0</v>
      </c>
      <c r="CZ302" s="58">
        <f t="array" ref="CZ302">SUM(IF(CW302:CX302&gt;=CW302, 1))</f>
        <v>2</v>
      </c>
      <c r="DA302" s="58">
        <f t="array" ref="DA302">SUM(IF(CW302:CX302&gt;=CX302, 1))</f>
        <v>1</v>
      </c>
      <c r="DC302" s="109">
        <f t="shared" si="149"/>
        <v>-2350742.2423207937</v>
      </c>
      <c r="DD302" s="109">
        <f t="shared" si="150"/>
        <v>0</v>
      </c>
      <c r="DF302" s="58">
        <f t="array" ref="DF302">SUM(IF(DC302:DD302&gt;=DC302, 1))</f>
        <v>2</v>
      </c>
      <c r="DG302" s="58">
        <f t="array" ref="DG302">SUM(IF(DC302:DD302&gt;=DD302, 1))</f>
        <v>1</v>
      </c>
      <c r="DI302" s="109">
        <f t="shared" si="151"/>
        <v>-114260593.00316828</v>
      </c>
      <c r="DJ302" s="109">
        <f t="shared" si="152"/>
        <v>0</v>
      </c>
      <c r="DL302" s="58">
        <f t="array" ref="DL302">SUM(IF(DI302:DJ302&gt;=DI302, 1))</f>
        <v>2</v>
      </c>
      <c r="DM302" s="58">
        <f t="array" ref="DM302">SUM(IF(DI302:DJ302&gt;=DJ302, 1))</f>
        <v>1</v>
      </c>
      <c r="DO302" s="109">
        <f t="shared" si="153"/>
        <v>-10054726.190627469</v>
      </c>
      <c r="DP302" s="109">
        <f t="shared" si="154"/>
        <v>0</v>
      </c>
      <c r="DR302" s="58">
        <f t="array" ref="DR302">SUM(IF(DO302:DP302&gt;=DO302, 1))</f>
        <v>2</v>
      </c>
      <c r="DS302" s="58">
        <f t="array" ref="DS302">SUM(IF(DO302:DP302&gt;=DP302, 1))</f>
        <v>1</v>
      </c>
      <c r="DU302" s="109">
        <f t="shared" si="155"/>
        <v>-27248192.82510066</v>
      </c>
      <c r="DV302" s="109">
        <f t="shared" si="156"/>
        <v>0</v>
      </c>
      <c r="DX302" s="58">
        <f t="array" ref="DX302">SUM(IF(DU302:DV302&gt;=DU302, 1))</f>
        <v>2</v>
      </c>
      <c r="DY302" s="58">
        <f t="array" ref="DY302">SUM(IF(DU302:DV302&gt;=DV302, 1))</f>
        <v>1</v>
      </c>
      <c r="EA302" s="109">
        <f t="shared" si="157"/>
        <v>-194408529.13159561</v>
      </c>
      <c r="EB302" s="109">
        <f t="shared" si="158"/>
        <v>0</v>
      </c>
      <c r="ED302" s="58">
        <f t="array" ref="ED302">SUM(IF(EA302:EB302&gt;=EA302, 1))</f>
        <v>2</v>
      </c>
      <c r="EE302" s="58">
        <f t="array" ref="EE302">SUM(IF(EA302:EB302&gt;=EB302, 1))</f>
        <v>1</v>
      </c>
    </row>
    <row r="303" spans="4:135" ht="12" customHeight="1" x14ac:dyDescent="0.25">
      <c r="D303" s="11">
        <v>287</v>
      </c>
      <c r="E303" s="72">
        <v>268.58971151358281</v>
      </c>
      <c r="F303" s="72">
        <v>247.3113580956186</v>
      </c>
      <c r="G303" s="73"/>
      <c r="H303" s="74">
        <v>5.7632068296196914</v>
      </c>
      <c r="I303" s="74">
        <v>5.7818421286706707</v>
      </c>
      <c r="J303" s="73"/>
      <c r="K303" s="72">
        <v>288.42300831961654</v>
      </c>
      <c r="L303" s="72">
        <v>266.63572841821008</v>
      </c>
      <c r="M303" s="73"/>
      <c r="N303" s="74">
        <v>6.6830417698832916</v>
      </c>
      <c r="O303" s="74">
        <v>6.6998390029288855</v>
      </c>
      <c r="P303" s="73"/>
      <c r="Q303" s="72">
        <v>1989.9619728580799</v>
      </c>
      <c r="R303" s="72">
        <v>1714.636144827718</v>
      </c>
      <c r="S303" s="73"/>
      <c r="T303" s="74">
        <v>4.80094961887972</v>
      </c>
      <c r="U303" s="74">
        <v>4.8444654727680021</v>
      </c>
      <c r="V303" s="73"/>
      <c r="W303" s="72">
        <v>13155.912990470493</v>
      </c>
      <c r="X303" s="72">
        <v>13147.129652312411</v>
      </c>
      <c r="Y303" s="73"/>
      <c r="Z303" s="74">
        <v>2.8808512895804008</v>
      </c>
      <c r="AA303" s="74">
        <v>2.9151455297182411</v>
      </c>
      <c r="AB303" s="73"/>
      <c r="AC303" s="72">
        <v>51109.115793959827</v>
      </c>
      <c r="AD303" s="72">
        <v>51157.206895838433</v>
      </c>
      <c r="AE303" s="73"/>
      <c r="AF303" s="74">
        <v>4.5799962337082851</v>
      </c>
      <c r="AG303" s="74">
        <v>4.6668272312892043</v>
      </c>
      <c r="AH303" s="73"/>
      <c r="AI303" s="72">
        <v>2284293.1441253335</v>
      </c>
      <c r="AJ303" s="72">
        <v>0</v>
      </c>
      <c r="AK303" s="73"/>
      <c r="AL303" s="74">
        <v>-2000.5535684419508</v>
      </c>
      <c r="AM303" s="74">
        <v>0</v>
      </c>
      <c r="AN303" s="73"/>
      <c r="AO303" s="72">
        <v>145106.70762261955</v>
      </c>
      <c r="AP303" s="72">
        <v>0</v>
      </c>
      <c r="AQ303" s="73"/>
      <c r="AR303" s="74">
        <v>-111.87221146677658</v>
      </c>
      <c r="AS303" s="74">
        <v>0</v>
      </c>
      <c r="AT303" s="73"/>
      <c r="AU303" s="72">
        <v>6503256.2824743912</v>
      </c>
      <c r="AV303" s="72">
        <v>0</v>
      </c>
      <c r="AW303" s="73"/>
      <c r="AX303" s="74">
        <v>-1027.8539874399301</v>
      </c>
      <c r="AY303" s="74">
        <v>0</v>
      </c>
      <c r="AZ303" s="73"/>
      <c r="BA303" s="72">
        <v>78257.470362652472</v>
      </c>
      <c r="BB303" s="72">
        <v>0</v>
      </c>
      <c r="BC303" s="73"/>
      <c r="BD303" s="74">
        <v>-305.55358713215253</v>
      </c>
      <c r="BE303" s="74">
        <v>0</v>
      </c>
      <c r="BF303" s="73"/>
      <c r="BG303" s="72">
        <v>-751781.97106813057</v>
      </c>
      <c r="BH303" s="72">
        <v>0</v>
      </c>
      <c r="BI303" s="73"/>
      <c r="BJ303" s="74">
        <v>-1357.3816352965441</v>
      </c>
      <c r="BK303" s="74">
        <v>0</v>
      </c>
      <c r="BL303" s="73"/>
      <c r="BM303" s="72">
        <v>8259131.6335168649</v>
      </c>
      <c r="BN303" s="72">
        <v>0</v>
      </c>
      <c r="BO303" s="73"/>
      <c r="BP303" s="74">
        <v>-4803.2149897773543</v>
      </c>
      <c r="BQ303" s="74">
        <v>0</v>
      </c>
      <c r="BS303" s="109">
        <f t="shared" si="138"/>
        <v>114995.54688088024</v>
      </c>
      <c r="BT303" s="109">
        <f t="shared" si="139"/>
        <v>115389.53121531779</v>
      </c>
      <c r="BV303" s="58">
        <f t="array" ref="BV303">SUM(IF(BS303:BT303&gt;=BS303, 1))</f>
        <v>2</v>
      </c>
      <c r="BW303" s="58">
        <f t="array" ref="BW303">SUM(IF(BS303:BT303&gt;=BT303, 1))</f>
        <v>1</v>
      </c>
      <c r="BY303" s="109">
        <f t="shared" si="140"/>
        <v>133372.41238934619</v>
      </c>
      <c r="BZ303" s="109">
        <f t="shared" si="141"/>
        <v>133730.1443301595</v>
      </c>
      <c r="CB303" s="58">
        <f t="array" ref="CB303">SUM(IF(BY303:BZ303&gt;=BY303, 1))</f>
        <v>2</v>
      </c>
      <c r="CC303" s="58">
        <f t="array" ref="CC303">SUM(IF(BY303:BZ303&gt;=BZ303, 1))</f>
        <v>1</v>
      </c>
      <c r="CE303" s="109">
        <f t="shared" si="142"/>
        <v>94029.030404736332</v>
      </c>
      <c r="CF303" s="109">
        <f t="shared" si="143"/>
        <v>95174.673310532322</v>
      </c>
      <c r="CH303" s="58">
        <f t="array" ref="CH303">SUM(IF(CE303:CF303&gt;=CE303, 1))</f>
        <v>2</v>
      </c>
      <c r="CI303" s="58">
        <f t="array" ref="CI303">SUM(IF(CE303:CF303&gt;=CF303, 1))</f>
        <v>1</v>
      </c>
      <c r="CK303" s="109">
        <f t="shared" si="144"/>
        <v>44461.112801137526</v>
      </c>
      <c r="CL303" s="109">
        <f t="shared" si="145"/>
        <v>45155.780942052414</v>
      </c>
      <c r="CN303" s="58">
        <f t="array" ref="CN303">SUM(IF(CK303:CL303&gt;=CK303, 1))</f>
        <v>2</v>
      </c>
      <c r="CO303" s="58">
        <f t="array" ref="CO303">SUM(IF(CK303:CL303&gt;=CL303, 1))</f>
        <v>1</v>
      </c>
      <c r="CQ303" s="109" cm="1">
        <f t="array" ref="CQ303">AF303*WTP-AC303</f>
        <v>40490.80888020587</v>
      </c>
      <c r="CR303" s="109">
        <f t="shared" si="146"/>
        <v>42179.337729945648</v>
      </c>
      <c r="CT303" s="58">
        <f t="array" ref="CT303">SUM(IF(CQ303:CR303&gt;=CQ303, 1))</f>
        <v>2</v>
      </c>
      <c r="CU303" s="58">
        <f t="array" ref="CU303">SUM(IF(CQ303:CR303&gt;=CR303, 1))</f>
        <v>1</v>
      </c>
      <c r="CW303" s="109">
        <f t="shared" si="147"/>
        <v>-42295364.512964353</v>
      </c>
      <c r="CX303" s="109">
        <f t="shared" si="148"/>
        <v>0</v>
      </c>
      <c r="CZ303" s="58">
        <f t="array" ref="CZ303">SUM(IF(CW303:CX303&gt;=CW303, 1))</f>
        <v>2</v>
      </c>
      <c r="DA303" s="58">
        <f t="array" ref="DA303">SUM(IF(CW303:CX303&gt;=CX303, 1))</f>
        <v>1</v>
      </c>
      <c r="DC303" s="109">
        <f t="shared" si="149"/>
        <v>-2382550.9369581509</v>
      </c>
      <c r="DD303" s="109">
        <f t="shared" si="150"/>
        <v>0</v>
      </c>
      <c r="DF303" s="58">
        <f t="array" ref="DF303">SUM(IF(DC303:DD303&gt;=DC303, 1))</f>
        <v>2</v>
      </c>
      <c r="DG303" s="58">
        <f t="array" ref="DG303">SUM(IF(DC303:DD303&gt;=DD303, 1))</f>
        <v>1</v>
      </c>
      <c r="DI303" s="109">
        <f t="shared" si="151"/>
        <v>-27060336.031272992</v>
      </c>
      <c r="DJ303" s="109">
        <f t="shared" si="152"/>
        <v>0</v>
      </c>
      <c r="DL303" s="58">
        <f t="array" ref="DL303">SUM(IF(DI303:DJ303&gt;=DI303, 1))</f>
        <v>2</v>
      </c>
      <c r="DM303" s="58">
        <f t="array" ref="DM303">SUM(IF(DI303:DJ303&gt;=DJ303, 1))</f>
        <v>1</v>
      </c>
      <c r="DO303" s="109">
        <f t="shared" si="153"/>
        <v>-6189329.2130057029</v>
      </c>
      <c r="DP303" s="109">
        <f t="shared" si="154"/>
        <v>0</v>
      </c>
      <c r="DR303" s="58">
        <f t="array" ref="DR303">SUM(IF(DO303:DP303&gt;=DO303, 1))</f>
        <v>2</v>
      </c>
      <c r="DS303" s="58">
        <f t="array" ref="DS303">SUM(IF(DO303:DP303&gt;=DP303, 1))</f>
        <v>1</v>
      </c>
      <c r="DU303" s="109">
        <f t="shared" si="155"/>
        <v>-26395850.734862752</v>
      </c>
      <c r="DV303" s="109">
        <f t="shared" si="156"/>
        <v>0</v>
      </c>
      <c r="DX303" s="58">
        <f t="array" ref="DX303">SUM(IF(DU303:DV303&gt;=DU303, 1))</f>
        <v>2</v>
      </c>
      <c r="DY303" s="58">
        <f t="array" ref="DY303">SUM(IF(DU303:DV303&gt;=DV303, 1))</f>
        <v>1</v>
      </c>
      <c r="EA303" s="109">
        <f t="shared" si="157"/>
        <v>-104323431.42906395</v>
      </c>
      <c r="EB303" s="109">
        <f t="shared" si="158"/>
        <v>0</v>
      </c>
      <c r="ED303" s="58">
        <f t="array" ref="ED303">SUM(IF(EA303:EB303&gt;=EA303, 1))</f>
        <v>2</v>
      </c>
      <c r="EE303" s="58">
        <f t="array" ref="EE303">SUM(IF(EA303:EB303&gt;=EB303, 1))</f>
        <v>1</v>
      </c>
    </row>
    <row r="304" spans="4:135" ht="12" customHeight="1" x14ac:dyDescent="0.25">
      <c r="D304" s="11">
        <v>288</v>
      </c>
      <c r="E304" s="72">
        <v>212.21324934516622</v>
      </c>
      <c r="F304" s="72">
        <v>202.66889727616709</v>
      </c>
      <c r="G304" s="73"/>
      <c r="H304" s="74">
        <v>5.7615331267913108</v>
      </c>
      <c r="I304" s="74">
        <v>5.7781628868805122</v>
      </c>
      <c r="J304" s="73"/>
      <c r="K304" s="72">
        <v>228.37007063385752</v>
      </c>
      <c r="L304" s="72">
        <v>218.58002392345867</v>
      </c>
      <c r="M304" s="73"/>
      <c r="N304" s="74">
        <v>6.7336770597627291</v>
      </c>
      <c r="O304" s="74">
        <v>6.7483450340832993</v>
      </c>
      <c r="P304" s="73"/>
      <c r="Q304" s="72">
        <v>2150.5840011348482</v>
      </c>
      <c r="R304" s="72">
        <v>1799.6665560523923</v>
      </c>
      <c r="S304" s="73"/>
      <c r="T304" s="74">
        <v>4.8233306861622616</v>
      </c>
      <c r="U304" s="74">
        <v>4.8664199703321254</v>
      </c>
      <c r="V304" s="73"/>
      <c r="W304" s="72">
        <v>16254.447180083338</v>
      </c>
      <c r="X304" s="72">
        <v>16275.669991685367</v>
      </c>
      <c r="Y304" s="73"/>
      <c r="Z304" s="74">
        <v>2.9657438423290179</v>
      </c>
      <c r="AA304" s="74">
        <v>3.0217295457926792</v>
      </c>
      <c r="AB304" s="73"/>
      <c r="AC304" s="72">
        <v>51810.143416916791</v>
      </c>
      <c r="AD304" s="72">
        <v>51653.913236080734</v>
      </c>
      <c r="AE304" s="73"/>
      <c r="AF304" s="74">
        <v>5.0779722567220231</v>
      </c>
      <c r="AG304" s="74">
        <v>5.1730246198832273</v>
      </c>
      <c r="AH304" s="73"/>
      <c r="AI304" s="72">
        <v>1027839.7576221054</v>
      </c>
      <c r="AJ304" s="72">
        <v>0</v>
      </c>
      <c r="AK304" s="73"/>
      <c r="AL304" s="74">
        <v>-1790.8736450447095</v>
      </c>
      <c r="AM304" s="74">
        <v>0</v>
      </c>
      <c r="AN304" s="73"/>
      <c r="AO304" s="72">
        <v>66493.708156031527</v>
      </c>
      <c r="AP304" s="72">
        <v>0</v>
      </c>
      <c r="AQ304" s="73"/>
      <c r="AR304" s="74">
        <v>-99.624448438655563</v>
      </c>
      <c r="AS304" s="74">
        <v>0</v>
      </c>
      <c r="AT304" s="73"/>
      <c r="AU304" s="72">
        <v>8004544.7601346811</v>
      </c>
      <c r="AV304" s="72">
        <v>0</v>
      </c>
      <c r="AW304" s="73"/>
      <c r="AX304" s="74">
        <v>-982.88104126254848</v>
      </c>
      <c r="AY304" s="74">
        <v>0</v>
      </c>
      <c r="AZ304" s="73"/>
      <c r="BA304" s="72">
        <v>-186706.02109545775</v>
      </c>
      <c r="BB304" s="72">
        <v>0</v>
      </c>
      <c r="BC304" s="73"/>
      <c r="BD304" s="74">
        <v>-492.52983666552308</v>
      </c>
      <c r="BE304" s="74">
        <v>0</v>
      </c>
      <c r="BF304" s="73"/>
      <c r="BG304" s="72">
        <v>2485443.3350810427</v>
      </c>
      <c r="BH304" s="72">
        <v>0</v>
      </c>
      <c r="BI304" s="73"/>
      <c r="BJ304" s="74">
        <v>-1512.1742882102137</v>
      </c>
      <c r="BK304" s="74">
        <v>0</v>
      </c>
      <c r="BL304" s="73"/>
      <c r="BM304" s="72">
        <v>11397615.539898403</v>
      </c>
      <c r="BN304" s="72">
        <v>0</v>
      </c>
      <c r="BO304" s="73"/>
      <c r="BP304" s="74">
        <v>-4878.0832596216505</v>
      </c>
      <c r="BQ304" s="74">
        <v>0</v>
      </c>
      <c r="BS304" s="109">
        <f t="shared" si="138"/>
        <v>115018.44928648105</v>
      </c>
      <c r="BT304" s="109">
        <f t="shared" si="139"/>
        <v>115360.58884033408</v>
      </c>
      <c r="BV304" s="58">
        <f t="array" ref="BV304">SUM(IF(BS304:BT304&gt;=BS304, 1))</f>
        <v>2</v>
      </c>
      <c r="BW304" s="58">
        <f t="array" ref="BW304">SUM(IF(BS304:BT304&gt;=BT304, 1))</f>
        <v>1</v>
      </c>
      <c r="BY304" s="109">
        <f t="shared" si="140"/>
        <v>134445.17112462071</v>
      </c>
      <c r="BZ304" s="109">
        <f t="shared" si="141"/>
        <v>134748.32065774253</v>
      </c>
      <c r="CB304" s="58">
        <f t="array" ref="CB304">SUM(IF(BY304:BZ304&gt;=BY304, 1))</f>
        <v>2</v>
      </c>
      <c r="CC304" s="58">
        <f t="array" ref="CC304">SUM(IF(BY304:BZ304&gt;=BZ304, 1))</f>
        <v>1</v>
      </c>
      <c r="CE304" s="109">
        <f t="shared" si="142"/>
        <v>94316.029722110383</v>
      </c>
      <c r="CF304" s="109">
        <f t="shared" si="143"/>
        <v>95528.73285059011</v>
      </c>
      <c r="CH304" s="58">
        <f t="array" ref="CH304">SUM(IF(CE304:CF304&gt;=CE304, 1))</f>
        <v>2</v>
      </c>
      <c r="CI304" s="58">
        <f t="array" ref="CI304">SUM(IF(CE304:CF304&gt;=CF304, 1))</f>
        <v>1</v>
      </c>
      <c r="CK304" s="109">
        <f t="shared" si="144"/>
        <v>43060.429666497017</v>
      </c>
      <c r="CL304" s="109">
        <f t="shared" si="145"/>
        <v>44158.920924168211</v>
      </c>
      <c r="CN304" s="58">
        <f t="array" ref="CN304">SUM(IF(CK304:CL304&gt;=CK304, 1))</f>
        <v>2</v>
      </c>
      <c r="CO304" s="58">
        <f t="array" ref="CO304">SUM(IF(CK304:CL304&gt;=CL304, 1))</f>
        <v>1</v>
      </c>
      <c r="CQ304" s="109" cm="1">
        <f t="array" ref="CQ304">AF304*WTP-AC304</f>
        <v>49749.301717523675</v>
      </c>
      <c r="CR304" s="109">
        <f t="shared" si="146"/>
        <v>51806.579161583817</v>
      </c>
      <c r="CT304" s="58">
        <f t="array" ref="CT304">SUM(IF(CQ304:CR304&gt;=CQ304, 1))</f>
        <v>2</v>
      </c>
      <c r="CU304" s="58">
        <f t="array" ref="CU304">SUM(IF(CQ304:CR304&gt;=CR304, 1))</f>
        <v>1</v>
      </c>
      <c r="CW304" s="109">
        <f t="shared" si="147"/>
        <v>-36845312.658516295</v>
      </c>
      <c r="CX304" s="109">
        <f t="shared" si="148"/>
        <v>0</v>
      </c>
      <c r="CZ304" s="58">
        <f t="array" ref="CZ304">SUM(IF(CW304:CX304&gt;=CW304, 1))</f>
        <v>2</v>
      </c>
      <c r="DA304" s="58">
        <f t="array" ref="DA304">SUM(IF(CW304:CX304&gt;=CX304, 1))</f>
        <v>1</v>
      </c>
      <c r="DC304" s="109">
        <f t="shared" si="149"/>
        <v>-2058982.6769291428</v>
      </c>
      <c r="DD304" s="109">
        <f t="shared" si="150"/>
        <v>0</v>
      </c>
      <c r="DF304" s="58">
        <f t="array" ref="DF304">SUM(IF(DC304:DD304&gt;=DC304, 1))</f>
        <v>2</v>
      </c>
      <c r="DG304" s="58">
        <f t="array" ref="DG304">SUM(IF(DC304:DD304&gt;=DD304, 1))</f>
        <v>1</v>
      </c>
      <c r="DI304" s="109">
        <f t="shared" si="151"/>
        <v>-27662165.58538565</v>
      </c>
      <c r="DJ304" s="109">
        <f t="shared" si="152"/>
        <v>0</v>
      </c>
      <c r="DL304" s="58">
        <f t="array" ref="DL304">SUM(IF(DI304:DJ304&gt;=DI304, 1))</f>
        <v>2</v>
      </c>
      <c r="DM304" s="58">
        <f t="array" ref="DM304">SUM(IF(DI304:DJ304&gt;=DJ304, 1))</f>
        <v>1</v>
      </c>
      <c r="DO304" s="109">
        <f t="shared" si="153"/>
        <v>-9663890.7122150026</v>
      </c>
      <c r="DP304" s="109">
        <f t="shared" si="154"/>
        <v>0</v>
      </c>
      <c r="DR304" s="58">
        <f t="array" ref="DR304">SUM(IF(DO304:DP304&gt;=DO304, 1))</f>
        <v>2</v>
      </c>
      <c r="DS304" s="58">
        <f t="array" ref="DS304">SUM(IF(DO304:DP304&gt;=DP304, 1))</f>
        <v>1</v>
      </c>
      <c r="DU304" s="109">
        <f t="shared" si="155"/>
        <v>-32728929.099285319</v>
      </c>
      <c r="DV304" s="109">
        <f t="shared" si="156"/>
        <v>0</v>
      </c>
      <c r="DX304" s="58">
        <f t="array" ref="DX304">SUM(IF(DU304:DV304&gt;=DU304, 1))</f>
        <v>2</v>
      </c>
      <c r="DY304" s="58">
        <f t="array" ref="DY304">SUM(IF(DU304:DV304&gt;=DV304, 1))</f>
        <v>1</v>
      </c>
      <c r="EA304" s="109">
        <f t="shared" si="157"/>
        <v>-108959280.73233142</v>
      </c>
      <c r="EB304" s="109">
        <f t="shared" si="158"/>
        <v>0</v>
      </c>
      <c r="ED304" s="58">
        <f t="array" ref="ED304">SUM(IF(EA304:EB304&gt;=EA304, 1))</f>
        <v>2</v>
      </c>
      <c r="EE304" s="58">
        <f t="array" ref="EE304">SUM(IF(EA304:EB304&gt;=EB304, 1))</f>
        <v>1</v>
      </c>
    </row>
    <row r="305" spans="4:135" ht="12" customHeight="1" x14ac:dyDescent="0.25">
      <c r="D305" s="11">
        <v>289</v>
      </c>
      <c r="E305" s="72">
        <v>290.92074863239088</v>
      </c>
      <c r="F305" s="72">
        <v>251.17716037354387</v>
      </c>
      <c r="G305" s="73"/>
      <c r="H305" s="74">
        <v>5.9010755643545805</v>
      </c>
      <c r="I305" s="74">
        <v>5.9192783111831782</v>
      </c>
      <c r="J305" s="73"/>
      <c r="K305" s="72">
        <v>311.47226320156034</v>
      </c>
      <c r="L305" s="72">
        <v>270.81504779372079</v>
      </c>
      <c r="M305" s="73"/>
      <c r="N305" s="74">
        <v>6.6871007172691543</v>
      </c>
      <c r="O305" s="74">
        <v>6.7037341835671329</v>
      </c>
      <c r="P305" s="73"/>
      <c r="Q305" s="72">
        <v>3220.1934211565185</v>
      </c>
      <c r="R305" s="72">
        <v>1748.1899687756904</v>
      </c>
      <c r="S305" s="73"/>
      <c r="T305" s="74">
        <v>4.8150771412303506</v>
      </c>
      <c r="U305" s="74">
        <v>4.8980575518174829</v>
      </c>
      <c r="V305" s="73"/>
      <c r="W305" s="72">
        <v>10560.098084849462</v>
      </c>
      <c r="X305" s="72">
        <v>10559.330721562004</v>
      </c>
      <c r="Y305" s="73"/>
      <c r="Z305" s="74">
        <v>3.1817835412004087</v>
      </c>
      <c r="AA305" s="74">
        <v>3.2308515344601751</v>
      </c>
      <c r="AB305" s="73"/>
      <c r="AC305" s="72">
        <v>49658.391491255607</v>
      </c>
      <c r="AD305" s="72">
        <v>49620.62073473983</v>
      </c>
      <c r="AE305" s="73"/>
      <c r="AF305" s="74">
        <v>4.37504507369386</v>
      </c>
      <c r="AG305" s="74">
        <v>4.438179079125999</v>
      </c>
      <c r="AH305" s="73"/>
      <c r="AI305" s="72">
        <v>4269355.8146211896</v>
      </c>
      <c r="AJ305" s="72">
        <v>0</v>
      </c>
      <c r="AK305" s="73"/>
      <c r="AL305" s="74">
        <v>-1955.3846650334001</v>
      </c>
      <c r="AM305" s="74">
        <v>0</v>
      </c>
      <c r="AN305" s="73"/>
      <c r="AO305" s="72">
        <v>270005.37438658928</v>
      </c>
      <c r="AP305" s="72">
        <v>0</v>
      </c>
      <c r="AQ305" s="73"/>
      <c r="AR305" s="74">
        <v>-110.46317978447776</v>
      </c>
      <c r="AS305" s="74">
        <v>0</v>
      </c>
      <c r="AT305" s="73"/>
      <c r="AU305" s="72">
        <v>33950411.230406165</v>
      </c>
      <c r="AV305" s="72">
        <v>0</v>
      </c>
      <c r="AW305" s="73"/>
      <c r="AX305" s="74">
        <v>-1913.8671576785393</v>
      </c>
      <c r="AY305" s="74">
        <v>0</v>
      </c>
      <c r="AZ305" s="73"/>
      <c r="BA305" s="72">
        <v>6926.0076142807566</v>
      </c>
      <c r="BB305" s="72">
        <v>0</v>
      </c>
      <c r="BC305" s="73"/>
      <c r="BD305" s="74">
        <v>-442.87406042137025</v>
      </c>
      <c r="BE305" s="74">
        <v>0</v>
      </c>
      <c r="BF305" s="73"/>
      <c r="BG305" s="72">
        <v>590590.48697600258</v>
      </c>
      <c r="BH305" s="72">
        <v>0</v>
      </c>
      <c r="BI305" s="73"/>
      <c r="BJ305" s="74">
        <v>-987.17490599741438</v>
      </c>
      <c r="BK305" s="74">
        <v>0</v>
      </c>
      <c r="BL305" s="73"/>
      <c r="BM305" s="72">
        <v>39087288.914004229</v>
      </c>
      <c r="BN305" s="72">
        <v>0</v>
      </c>
      <c r="BO305" s="73"/>
      <c r="BP305" s="74">
        <v>-5409.763968915202</v>
      </c>
      <c r="BQ305" s="74">
        <v>0</v>
      </c>
      <c r="BS305" s="109">
        <f t="shared" si="138"/>
        <v>117730.59053845922</v>
      </c>
      <c r="BT305" s="109">
        <f t="shared" si="139"/>
        <v>118134.38906329003</v>
      </c>
      <c r="BV305" s="58">
        <f t="array" ref="BV305">SUM(IF(BS305:BT305&gt;=BS305, 1))</f>
        <v>2</v>
      </c>
      <c r="BW305" s="58">
        <f t="array" ref="BW305">SUM(IF(BS305:BT305&gt;=BT305, 1))</f>
        <v>1</v>
      </c>
      <c r="BY305" s="109">
        <f t="shared" si="140"/>
        <v>133430.54208218155</v>
      </c>
      <c r="BZ305" s="109">
        <f t="shared" si="141"/>
        <v>133803.86862354891</v>
      </c>
      <c r="CB305" s="58">
        <f t="array" ref="CB305">SUM(IF(BY305:BZ305&gt;=BY305, 1))</f>
        <v>2</v>
      </c>
      <c r="CC305" s="58">
        <f t="array" ref="CC305">SUM(IF(BY305:BZ305&gt;=BZ305, 1))</f>
        <v>1</v>
      </c>
      <c r="CE305" s="109">
        <f t="shared" si="142"/>
        <v>93081.349403450484</v>
      </c>
      <c r="CF305" s="109">
        <f t="shared" si="143"/>
        <v>96212.961067573968</v>
      </c>
      <c r="CH305" s="58">
        <f t="array" ref="CH305">SUM(IF(CE305:CF305&gt;=CE305, 1))</f>
        <v>2</v>
      </c>
      <c r="CI305" s="58">
        <f t="array" ref="CI305">SUM(IF(CE305:CF305&gt;=CF305, 1))</f>
        <v>1</v>
      </c>
      <c r="CK305" s="109">
        <f t="shared" si="144"/>
        <v>53075.572739158713</v>
      </c>
      <c r="CL305" s="109">
        <f t="shared" si="145"/>
        <v>54057.6999676415</v>
      </c>
      <c r="CN305" s="58">
        <f t="array" ref="CN305">SUM(IF(CK305:CL305&gt;=CK305, 1))</f>
        <v>2</v>
      </c>
      <c r="CO305" s="58">
        <f t="array" ref="CO305">SUM(IF(CK305:CL305&gt;=CL305, 1))</f>
        <v>1</v>
      </c>
      <c r="CQ305" s="109" cm="1">
        <f t="array" ref="CQ305">AF305*WTP-AC305</f>
        <v>37842.509982621588</v>
      </c>
      <c r="CR305" s="109">
        <f t="shared" si="146"/>
        <v>39142.960847780152</v>
      </c>
      <c r="CT305" s="58">
        <f t="array" ref="CT305">SUM(IF(CQ305:CR305&gt;=CQ305, 1))</f>
        <v>2</v>
      </c>
      <c r="CU305" s="58">
        <f t="array" ref="CU305">SUM(IF(CQ305:CR305&gt;=CR305, 1))</f>
        <v>1</v>
      </c>
      <c r="CW305" s="109">
        <f t="shared" si="147"/>
        <v>-43377049.115289189</v>
      </c>
      <c r="CX305" s="109">
        <f t="shared" si="148"/>
        <v>0</v>
      </c>
      <c r="CZ305" s="58">
        <f t="array" ref="CZ305">SUM(IF(CW305:CX305&gt;=CW305, 1))</f>
        <v>2</v>
      </c>
      <c r="DA305" s="58">
        <f t="array" ref="DA305">SUM(IF(CW305:CX305&gt;=CX305, 1))</f>
        <v>1</v>
      </c>
      <c r="DC305" s="109">
        <f t="shared" si="149"/>
        <v>-2479268.9700761447</v>
      </c>
      <c r="DD305" s="109">
        <f t="shared" si="150"/>
        <v>0</v>
      </c>
      <c r="DF305" s="58">
        <f t="array" ref="DF305">SUM(IF(DC305:DD305&gt;=DC305, 1))</f>
        <v>2</v>
      </c>
      <c r="DG305" s="58">
        <f t="array" ref="DG305">SUM(IF(DC305:DD305&gt;=DD305, 1))</f>
        <v>1</v>
      </c>
      <c r="DI305" s="109">
        <f t="shared" si="151"/>
        <v>-72227754.383976951</v>
      </c>
      <c r="DJ305" s="109">
        <f t="shared" si="152"/>
        <v>0</v>
      </c>
      <c r="DL305" s="58">
        <f t="array" ref="DL305">SUM(IF(DI305:DJ305&gt;=DI305, 1))</f>
        <v>2</v>
      </c>
      <c r="DM305" s="58">
        <f t="array" ref="DM305">SUM(IF(DI305:DJ305&gt;=DJ305, 1))</f>
        <v>1</v>
      </c>
      <c r="DO305" s="109">
        <f t="shared" si="153"/>
        <v>-8864407.216041686</v>
      </c>
      <c r="DP305" s="109">
        <f t="shared" si="154"/>
        <v>0</v>
      </c>
      <c r="DR305" s="58">
        <f t="array" ref="DR305">SUM(IF(DO305:DP305&gt;=DO305, 1))</f>
        <v>2</v>
      </c>
      <c r="DS305" s="58">
        <f t="array" ref="DS305">SUM(IF(DO305:DP305&gt;=DP305, 1))</f>
        <v>1</v>
      </c>
      <c r="DU305" s="109">
        <f t="shared" si="155"/>
        <v>-20334088.606924288</v>
      </c>
      <c r="DV305" s="109">
        <f t="shared" si="156"/>
        <v>0</v>
      </c>
      <c r="DX305" s="58">
        <f t="array" ref="DX305">SUM(IF(DU305:DV305&gt;=DU305, 1))</f>
        <v>2</v>
      </c>
      <c r="DY305" s="58">
        <f t="array" ref="DY305">SUM(IF(DU305:DV305&gt;=DV305, 1))</f>
        <v>1</v>
      </c>
      <c r="EA305" s="109">
        <f t="shared" si="157"/>
        <v>-147282568.29230827</v>
      </c>
      <c r="EB305" s="109">
        <f t="shared" si="158"/>
        <v>0</v>
      </c>
      <c r="ED305" s="58">
        <f t="array" ref="ED305">SUM(IF(EA305:EB305&gt;=EA305, 1))</f>
        <v>2</v>
      </c>
      <c r="EE305" s="58">
        <f t="array" ref="EE305">SUM(IF(EA305:EB305&gt;=EB305, 1))</f>
        <v>1</v>
      </c>
    </row>
    <row r="306" spans="4:135" ht="12" customHeight="1" x14ac:dyDescent="0.25">
      <c r="D306" s="11">
        <v>290</v>
      </c>
      <c r="E306" s="72">
        <v>248.6448992891805</v>
      </c>
      <c r="F306" s="72">
        <v>225.34728249236201</v>
      </c>
      <c r="G306" s="73"/>
      <c r="H306" s="74">
        <v>5.8563465344498136</v>
      </c>
      <c r="I306" s="74">
        <v>5.8738851524551796</v>
      </c>
      <c r="J306" s="73"/>
      <c r="K306" s="72">
        <v>266.80194537075079</v>
      </c>
      <c r="L306" s="72">
        <v>242.95757459925593</v>
      </c>
      <c r="M306" s="73"/>
      <c r="N306" s="74">
        <v>6.7728653226444298</v>
      </c>
      <c r="O306" s="74">
        <v>6.7882199064542768</v>
      </c>
      <c r="P306" s="73"/>
      <c r="Q306" s="72">
        <v>1824.0370484846303</v>
      </c>
      <c r="R306" s="72">
        <v>1308.1940124137252</v>
      </c>
      <c r="S306" s="73"/>
      <c r="T306" s="74">
        <v>4.7923833609782047</v>
      </c>
      <c r="U306" s="74">
        <v>4.8463814513387078</v>
      </c>
      <c r="V306" s="73"/>
      <c r="W306" s="72">
        <v>10259.497270330725</v>
      </c>
      <c r="X306" s="72">
        <v>10222.302427729628</v>
      </c>
      <c r="Y306" s="73"/>
      <c r="Z306" s="74">
        <v>3.0355006549010151</v>
      </c>
      <c r="AA306" s="74">
        <v>3.0693752905135869</v>
      </c>
      <c r="AB306" s="73"/>
      <c r="AC306" s="72">
        <v>50584.500790135346</v>
      </c>
      <c r="AD306" s="72">
        <v>50142.656032929306</v>
      </c>
      <c r="AE306" s="73"/>
      <c r="AF306" s="74">
        <v>4.6997854126277154</v>
      </c>
      <c r="AG306" s="74">
        <v>4.7920506451891853</v>
      </c>
      <c r="AH306" s="73"/>
      <c r="AI306" s="72">
        <v>2514308.6040438013</v>
      </c>
      <c r="AJ306" s="72">
        <v>0</v>
      </c>
      <c r="AK306" s="73"/>
      <c r="AL306" s="74">
        <v>-1892.7900882956969</v>
      </c>
      <c r="AM306" s="74">
        <v>0</v>
      </c>
      <c r="AN306" s="73"/>
      <c r="AO306" s="72">
        <v>162164.11662602343</v>
      </c>
      <c r="AP306" s="72">
        <v>0</v>
      </c>
      <c r="AQ306" s="73"/>
      <c r="AR306" s="74">
        <v>-104.42559141299493</v>
      </c>
      <c r="AS306" s="74">
        <v>0</v>
      </c>
      <c r="AT306" s="73"/>
      <c r="AU306" s="72">
        <v>11393908.845065877</v>
      </c>
      <c r="AV306" s="72">
        <v>0</v>
      </c>
      <c r="AW306" s="73"/>
      <c r="AX306" s="74">
        <v>-1192.70645594338</v>
      </c>
      <c r="AY306" s="74">
        <v>0</v>
      </c>
      <c r="AZ306" s="73"/>
      <c r="BA306" s="72">
        <v>338215.61667809368</v>
      </c>
      <c r="BB306" s="72">
        <v>0</v>
      </c>
      <c r="BC306" s="73"/>
      <c r="BD306" s="74">
        <v>-308.02471451012082</v>
      </c>
      <c r="BE306" s="74">
        <v>0</v>
      </c>
      <c r="BF306" s="73"/>
      <c r="BG306" s="72">
        <v>6606407.2990241805</v>
      </c>
      <c r="BH306" s="72">
        <v>0</v>
      </c>
      <c r="BI306" s="73"/>
      <c r="BJ306" s="74">
        <v>-1379.538165609644</v>
      </c>
      <c r="BK306" s="74">
        <v>0</v>
      </c>
      <c r="BL306" s="73"/>
      <c r="BM306" s="72">
        <v>21015004.481437977</v>
      </c>
      <c r="BN306" s="72">
        <v>0</v>
      </c>
      <c r="BO306" s="73"/>
      <c r="BP306" s="74">
        <v>-4877.4850157718365</v>
      </c>
      <c r="BQ306" s="74">
        <v>0</v>
      </c>
      <c r="BS306" s="109">
        <f t="shared" si="138"/>
        <v>116878.28578970709</v>
      </c>
      <c r="BT306" s="109">
        <f t="shared" si="139"/>
        <v>117252.35576661123</v>
      </c>
      <c r="BV306" s="58">
        <f t="array" ref="BV306">SUM(IF(BS306:BT306&gt;=BS306, 1))</f>
        <v>2</v>
      </c>
      <c r="BW306" s="58">
        <f t="array" ref="BW306">SUM(IF(BS306:BT306&gt;=BT306, 1))</f>
        <v>1</v>
      </c>
      <c r="BY306" s="109">
        <f t="shared" si="140"/>
        <v>135190.50450751785</v>
      </c>
      <c r="BZ306" s="109">
        <f t="shared" si="141"/>
        <v>135521.4405544863</v>
      </c>
      <c r="CB306" s="58">
        <f t="array" ref="CB306">SUM(IF(BY306:BZ306&gt;=BY306, 1))</f>
        <v>2</v>
      </c>
      <c r="CC306" s="58">
        <f t="array" ref="CC306">SUM(IF(BY306:BZ306&gt;=BZ306, 1))</f>
        <v>1</v>
      </c>
      <c r="CE306" s="109">
        <f t="shared" si="142"/>
        <v>94023.630171079465</v>
      </c>
      <c r="CF306" s="109">
        <f t="shared" si="143"/>
        <v>95619.435014360439</v>
      </c>
      <c r="CH306" s="58">
        <f t="array" ref="CH306">SUM(IF(CE306:CF306&gt;=CE306, 1))</f>
        <v>2</v>
      </c>
      <c r="CI306" s="58">
        <f t="array" ref="CI306">SUM(IF(CE306:CF306&gt;=CF306, 1))</f>
        <v>1</v>
      </c>
      <c r="CK306" s="109">
        <f t="shared" si="144"/>
        <v>50450.515827689582</v>
      </c>
      <c r="CL306" s="109">
        <f t="shared" si="145"/>
        <v>51165.203382542109</v>
      </c>
      <c r="CN306" s="58">
        <f t="array" ref="CN306">SUM(IF(CK306:CL306&gt;=CK306, 1))</f>
        <v>2</v>
      </c>
      <c r="CO306" s="58">
        <f t="array" ref="CO306">SUM(IF(CK306:CL306&gt;=CL306, 1))</f>
        <v>1</v>
      </c>
      <c r="CQ306" s="109" cm="1">
        <f t="array" ref="CQ306">AF306*WTP-AC306</f>
        <v>43411.207462418963</v>
      </c>
      <c r="CR306" s="109">
        <f t="shared" si="146"/>
        <v>45698.356870854397</v>
      </c>
      <c r="CT306" s="58">
        <f t="array" ref="CT306">SUM(IF(CQ306:CR306&gt;=CQ306, 1))</f>
        <v>2</v>
      </c>
      <c r="CU306" s="58">
        <f t="array" ref="CU306">SUM(IF(CQ306:CR306&gt;=CR306, 1))</f>
        <v>1</v>
      </c>
      <c r="CW306" s="109">
        <f t="shared" si="147"/>
        <v>-40370110.369957745</v>
      </c>
      <c r="CX306" s="109">
        <f t="shared" si="148"/>
        <v>0</v>
      </c>
      <c r="CZ306" s="58">
        <f t="array" ref="CZ306">SUM(IF(CW306:CX306&gt;=CW306, 1))</f>
        <v>2</v>
      </c>
      <c r="DA306" s="58">
        <f t="array" ref="DA306">SUM(IF(CW306:CX306&gt;=CX306, 1))</f>
        <v>1</v>
      </c>
      <c r="DC306" s="109">
        <f t="shared" si="149"/>
        <v>-2250675.9448859221</v>
      </c>
      <c r="DD306" s="109">
        <f t="shared" si="150"/>
        <v>0</v>
      </c>
      <c r="DF306" s="58">
        <f t="array" ref="DF306">SUM(IF(DC306:DD306&gt;=DC306, 1))</f>
        <v>2</v>
      </c>
      <c r="DG306" s="58">
        <f t="array" ref="DG306">SUM(IF(DC306:DD306&gt;=DD306, 1))</f>
        <v>1</v>
      </c>
      <c r="DI306" s="109">
        <f t="shared" si="151"/>
        <v>-35248037.963933475</v>
      </c>
      <c r="DJ306" s="109">
        <f t="shared" si="152"/>
        <v>0</v>
      </c>
      <c r="DL306" s="58">
        <f t="array" ref="DL306">SUM(IF(DI306:DJ306&gt;=DI306, 1))</f>
        <v>2</v>
      </c>
      <c r="DM306" s="58">
        <f t="array" ref="DM306">SUM(IF(DI306:DJ306&gt;=DJ306, 1))</f>
        <v>1</v>
      </c>
      <c r="DO306" s="109">
        <f t="shared" si="153"/>
        <v>-6498709.90688051</v>
      </c>
      <c r="DP306" s="109">
        <f t="shared" si="154"/>
        <v>0</v>
      </c>
      <c r="DR306" s="58">
        <f t="array" ref="DR306">SUM(IF(DO306:DP306&gt;=DO306, 1))</f>
        <v>2</v>
      </c>
      <c r="DS306" s="58">
        <f t="array" ref="DS306">SUM(IF(DO306:DP306&gt;=DP306, 1))</f>
        <v>1</v>
      </c>
      <c r="DU306" s="109">
        <f t="shared" si="155"/>
        <v>-34197170.611217059</v>
      </c>
      <c r="DV306" s="109">
        <f t="shared" si="156"/>
        <v>0</v>
      </c>
      <c r="DX306" s="58">
        <f t="array" ref="DX306">SUM(IF(DU306:DV306&gt;=DU306, 1))</f>
        <v>2</v>
      </c>
      <c r="DY306" s="58">
        <f t="array" ref="DY306">SUM(IF(DU306:DV306&gt;=DV306, 1))</f>
        <v>1</v>
      </c>
      <c r="EA306" s="109">
        <f t="shared" si="157"/>
        <v>-118564704.79687472</v>
      </c>
      <c r="EB306" s="109">
        <f t="shared" si="158"/>
        <v>0</v>
      </c>
      <c r="ED306" s="58">
        <f t="array" ref="ED306">SUM(IF(EA306:EB306&gt;=EA306, 1))</f>
        <v>2</v>
      </c>
      <c r="EE306" s="58">
        <f t="array" ref="EE306">SUM(IF(EA306:EB306&gt;=EB306, 1))</f>
        <v>1</v>
      </c>
    </row>
    <row r="307" spans="4:135" ht="12" customHeight="1" x14ac:dyDescent="0.25">
      <c r="D307" s="11">
        <v>291</v>
      </c>
      <c r="E307" s="72">
        <v>257.44780620945744</v>
      </c>
      <c r="F307" s="72">
        <v>228.34256687296283</v>
      </c>
      <c r="G307" s="73"/>
      <c r="H307" s="74">
        <v>5.8320492986758357</v>
      </c>
      <c r="I307" s="74">
        <v>5.847251016259241</v>
      </c>
      <c r="J307" s="73"/>
      <c r="K307" s="72">
        <v>275.9644324112702</v>
      </c>
      <c r="L307" s="72">
        <v>246.19836833057141</v>
      </c>
      <c r="M307" s="73"/>
      <c r="N307" s="74">
        <v>6.7557402629852694</v>
      </c>
      <c r="O307" s="74">
        <v>6.7688715241182349</v>
      </c>
      <c r="P307" s="73"/>
      <c r="Q307" s="72">
        <v>1756.7443933413981</v>
      </c>
      <c r="R307" s="72">
        <v>1043.6054093758942</v>
      </c>
      <c r="S307" s="73"/>
      <c r="T307" s="74">
        <v>4.804558980142696</v>
      </c>
      <c r="U307" s="74">
        <v>4.9015617789228685</v>
      </c>
      <c r="V307" s="73"/>
      <c r="W307" s="72">
        <v>13331.062689211249</v>
      </c>
      <c r="X307" s="72">
        <v>13277.31378854013</v>
      </c>
      <c r="Y307" s="73"/>
      <c r="Z307" s="74">
        <v>3.1152383006112543</v>
      </c>
      <c r="AA307" s="74">
        <v>3.1514496504418887</v>
      </c>
      <c r="AB307" s="73"/>
      <c r="AC307" s="72">
        <v>50870.022557427292</v>
      </c>
      <c r="AD307" s="72">
        <v>50313.427719562671</v>
      </c>
      <c r="AE307" s="73"/>
      <c r="AF307" s="74">
        <v>3.8630091486287239</v>
      </c>
      <c r="AG307" s="74">
        <v>4.0212094470594604</v>
      </c>
      <c r="AH307" s="73"/>
      <c r="AI307" s="72">
        <v>3106087.9739379119</v>
      </c>
      <c r="AJ307" s="72">
        <v>0</v>
      </c>
      <c r="AK307" s="73"/>
      <c r="AL307" s="74">
        <v>-1622.3151997863904</v>
      </c>
      <c r="AM307" s="74">
        <v>0</v>
      </c>
      <c r="AN307" s="73"/>
      <c r="AO307" s="72">
        <v>206705.39191156783</v>
      </c>
      <c r="AP307" s="72">
        <v>0</v>
      </c>
      <c r="AQ307" s="73"/>
      <c r="AR307" s="74">
        <v>-91.187819505596082</v>
      </c>
      <c r="AS307" s="74">
        <v>0</v>
      </c>
      <c r="AT307" s="73"/>
      <c r="AU307" s="72">
        <v>16152950.312382227</v>
      </c>
      <c r="AV307" s="72">
        <v>0</v>
      </c>
      <c r="AW307" s="73"/>
      <c r="AX307" s="74">
        <v>-2197.1613165014282</v>
      </c>
      <c r="AY307" s="74">
        <v>0</v>
      </c>
      <c r="AZ307" s="73"/>
      <c r="BA307" s="72">
        <v>468732.54838332278</v>
      </c>
      <c r="BB307" s="72">
        <v>0</v>
      </c>
      <c r="BC307" s="73"/>
      <c r="BD307" s="74">
        <v>-315.79135711763183</v>
      </c>
      <c r="BE307" s="74">
        <v>0</v>
      </c>
      <c r="BF307" s="73"/>
      <c r="BG307" s="72">
        <v>8873417.6464382205</v>
      </c>
      <c r="BH307" s="72">
        <v>0</v>
      </c>
      <c r="BI307" s="73"/>
      <c r="BJ307" s="74">
        <v>-2522.0810979000262</v>
      </c>
      <c r="BK307" s="74">
        <v>0</v>
      </c>
      <c r="BL307" s="73"/>
      <c r="BM307" s="72">
        <v>28807893.873053245</v>
      </c>
      <c r="BN307" s="72">
        <v>0</v>
      </c>
      <c r="BO307" s="73"/>
      <c r="BP307" s="74">
        <v>-6748.536790811072</v>
      </c>
      <c r="BQ307" s="74">
        <v>0</v>
      </c>
      <c r="BS307" s="109">
        <f t="shared" si="138"/>
        <v>116383.53816730726</v>
      </c>
      <c r="BT307" s="109">
        <f t="shared" si="139"/>
        <v>116716.67775831185</v>
      </c>
      <c r="BV307" s="58">
        <f t="array" ref="BV307">SUM(IF(BS307:BT307&gt;=BS307, 1))</f>
        <v>2</v>
      </c>
      <c r="BW307" s="58">
        <f t="array" ref="BW307">SUM(IF(BS307:BT307&gt;=BT307, 1))</f>
        <v>1</v>
      </c>
      <c r="BY307" s="109">
        <f t="shared" si="140"/>
        <v>134838.8408272941</v>
      </c>
      <c r="BZ307" s="109">
        <f t="shared" si="141"/>
        <v>135131.23211403412</v>
      </c>
      <c r="CB307" s="58">
        <f t="array" ref="CB307">SUM(IF(BY307:BZ307&gt;=BY307, 1))</f>
        <v>2</v>
      </c>
      <c r="CC307" s="58">
        <f t="array" ref="CC307">SUM(IF(BY307:BZ307&gt;=BZ307, 1))</f>
        <v>1</v>
      </c>
      <c r="CE307" s="109">
        <f t="shared" si="142"/>
        <v>94334.435209512521</v>
      </c>
      <c r="CF307" s="109">
        <f t="shared" si="143"/>
        <v>96987.630169081473</v>
      </c>
      <c r="CH307" s="58">
        <f t="array" ref="CH307">SUM(IF(CE307:CF307&gt;=CE307, 1))</f>
        <v>2</v>
      </c>
      <c r="CI307" s="58">
        <f t="array" ref="CI307">SUM(IF(CE307:CF307&gt;=CF307, 1))</f>
        <v>1</v>
      </c>
      <c r="CK307" s="109">
        <f t="shared" si="144"/>
        <v>48973.70332301384</v>
      </c>
      <c r="CL307" s="109">
        <f t="shared" si="145"/>
        <v>49751.679220297643</v>
      </c>
      <c r="CN307" s="58">
        <f t="array" ref="CN307">SUM(IF(CK307:CL307&gt;=CK307, 1))</f>
        <v>2</v>
      </c>
      <c r="CO307" s="58">
        <f t="array" ref="CO307">SUM(IF(CK307:CL307&gt;=CL307, 1))</f>
        <v>1</v>
      </c>
      <c r="CQ307" s="109" cm="1">
        <f t="array" ref="CQ307">AF307*WTP-AC307</f>
        <v>26390.160415147184</v>
      </c>
      <c r="CR307" s="109">
        <f t="shared" si="146"/>
        <v>30110.761221626533</v>
      </c>
      <c r="CT307" s="58">
        <f t="array" ref="CT307">SUM(IF(CQ307:CR307&gt;=CQ307, 1))</f>
        <v>2</v>
      </c>
      <c r="CU307" s="58">
        <f t="array" ref="CU307">SUM(IF(CQ307:CR307&gt;=CR307, 1))</f>
        <v>1</v>
      </c>
      <c r="CW307" s="109">
        <f t="shared" si="147"/>
        <v>-35552391.969665721</v>
      </c>
      <c r="CX307" s="109">
        <f t="shared" si="148"/>
        <v>0</v>
      </c>
      <c r="CZ307" s="58">
        <f t="array" ref="CZ307">SUM(IF(CW307:CX307&gt;=CW307, 1))</f>
        <v>2</v>
      </c>
      <c r="DA307" s="58">
        <f t="array" ref="DA307">SUM(IF(CW307:CX307&gt;=CX307, 1))</f>
        <v>1</v>
      </c>
      <c r="DC307" s="109">
        <f t="shared" si="149"/>
        <v>-2030461.7820234895</v>
      </c>
      <c r="DD307" s="109">
        <f t="shared" si="150"/>
        <v>0</v>
      </c>
      <c r="DF307" s="58">
        <f t="array" ref="DF307">SUM(IF(DC307:DD307&gt;=DC307, 1))</f>
        <v>2</v>
      </c>
      <c r="DG307" s="58">
        <f t="array" ref="DG307">SUM(IF(DC307:DD307&gt;=DD307, 1))</f>
        <v>1</v>
      </c>
      <c r="DI307" s="109">
        <f t="shared" si="151"/>
        <v>-60096176.642410792</v>
      </c>
      <c r="DJ307" s="109">
        <f t="shared" si="152"/>
        <v>0</v>
      </c>
      <c r="DL307" s="58">
        <f t="array" ref="DL307">SUM(IF(DI307:DJ307&gt;=DI307, 1))</f>
        <v>2</v>
      </c>
      <c r="DM307" s="58">
        <f t="array" ref="DM307">SUM(IF(DI307:DJ307&gt;=DJ307, 1))</f>
        <v>1</v>
      </c>
      <c r="DO307" s="109">
        <f t="shared" si="153"/>
        <v>-6784559.6907359594</v>
      </c>
      <c r="DP307" s="109">
        <f t="shared" si="154"/>
        <v>0</v>
      </c>
      <c r="DR307" s="58">
        <f t="array" ref="DR307">SUM(IF(DO307:DP307&gt;=DO307, 1))</f>
        <v>2</v>
      </c>
      <c r="DS307" s="58">
        <f t="array" ref="DS307">SUM(IF(DO307:DP307&gt;=DP307, 1))</f>
        <v>1</v>
      </c>
      <c r="DU307" s="109">
        <f t="shared" si="155"/>
        <v>-59315039.604438744</v>
      </c>
      <c r="DV307" s="109">
        <f t="shared" si="156"/>
        <v>0</v>
      </c>
      <c r="DX307" s="58">
        <f t="array" ref="DX307">SUM(IF(DU307:DV307&gt;=DU307, 1))</f>
        <v>2</v>
      </c>
      <c r="DY307" s="58">
        <f t="array" ref="DY307">SUM(IF(DU307:DV307&gt;=DV307, 1))</f>
        <v>1</v>
      </c>
      <c r="EA307" s="109">
        <f t="shared" si="157"/>
        <v>-163778629.6892747</v>
      </c>
      <c r="EB307" s="109">
        <f t="shared" si="158"/>
        <v>0</v>
      </c>
      <c r="ED307" s="58">
        <f t="array" ref="ED307">SUM(IF(EA307:EB307&gt;=EA307, 1))</f>
        <v>2</v>
      </c>
      <c r="EE307" s="58">
        <f t="array" ref="EE307">SUM(IF(EA307:EB307&gt;=EB307, 1))</f>
        <v>1</v>
      </c>
    </row>
    <row r="308" spans="4:135" ht="12" customHeight="1" x14ac:dyDescent="0.25">
      <c r="D308" s="11">
        <v>292</v>
      </c>
      <c r="E308" s="72">
        <v>292.55271187492656</v>
      </c>
      <c r="F308" s="72">
        <v>255.81207412198472</v>
      </c>
      <c r="G308" s="73"/>
      <c r="H308" s="74">
        <v>5.8541190660974385</v>
      </c>
      <c r="I308" s="74">
        <v>5.8739247369248524</v>
      </c>
      <c r="J308" s="73"/>
      <c r="K308" s="72">
        <v>313.4139500973771</v>
      </c>
      <c r="L308" s="72">
        <v>275.80508940232795</v>
      </c>
      <c r="M308" s="73"/>
      <c r="N308" s="74">
        <v>6.71230095070998</v>
      </c>
      <c r="O308" s="74">
        <v>6.7301225557230291</v>
      </c>
      <c r="P308" s="73"/>
      <c r="Q308" s="72">
        <v>2269.1095961607575</v>
      </c>
      <c r="R308" s="72">
        <v>1241.8977409322647</v>
      </c>
      <c r="S308" s="73"/>
      <c r="T308" s="74">
        <v>4.8351991189629464</v>
      </c>
      <c r="U308" s="74">
        <v>4.9108448250664596</v>
      </c>
      <c r="V308" s="73"/>
      <c r="W308" s="72">
        <v>11078.655108210407</v>
      </c>
      <c r="X308" s="72">
        <v>11091.878041000065</v>
      </c>
      <c r="Y308" s="73"/>
      <c r="Z308" s="74">
        <v>3.1020494662667035</v>
      </c>
      <c r="AA308" s="74">
        <v>3.1571225896181181</v>
      </c>
      <c r="AB308" s="73"/>
      <c r="AC308" s="72">
        <v>48481.845631073753</v>
      </c>
      <c r="AD308" s="72">
        <v>48321.299239537409</v>
      </c>
      <c r="AE308" s="73"/>
      <c r="AF308" s="74">
        <v>4.7089206726252195</v>
      </c>
      <c r="AG308" s="74">
        <v>4.7664431156686273</v>
      </c>
      <c r="AH308" s="73"/>
      <c r="AI308" s="72">
        <v>3932672.8101702309</v>
      </c>
      <c r="AJ308" s="72">
        <v>0</v>
      </c>
      <c r="AK308" s="73"/>
      <c r="AL308" s="74">
        <v>-2119.9747177474023</v>
      </c>
      <c r="AM308" s="74">
        <v>0</v>
      </c>
      <c r="AN308" s="73"/>
      <c r="AO308" s="72">
        <v>254912.85349060793</v>
      </c>
      <c r="AP308" s="72">
        <v>0</v>
      </c>
      <c r="AQ308" s="73"/>
      <c r="AR308" s="74">
        <v>-120.79483674061154</v>
      </c>
      <c r="AS308" s="74">
        <v>0</v>
      </c>
      <c r="AT308" s="73"/>
      <c r="AU308" s="72">
        <v>23846552.349898405</v>
      </c>
      <c r="AV308" s="72">
        <v>0</v>
      </c>
      <c r="AW308" s="73"/>
      <c r="AX308" s="74">
        <v>-1756.1024840792938</v>
      </c>
      <c r="AY308" s="74">
        <v>0</v>
      </c>
      <c r="AZ308" s="73"/>
      <c r="BA308" s="72">
        <v>-115726.69829124067</v>
      </c>
      <c r="BB308" s="72">
        <v>0</v>
      </c>
      <c r="BC308" s="73"/>
      <c r="BD308" s="74">
        <v>-481.99827008347552</v>
      </c>
      <c r="BE308" s="74">
        <v>0</v>
      </c>
      <c r="BF308" s="73"/>
      <c r="BG308" s="72">
        <v>2505596.9961950113</v>
      </c>
      <c r="BH308" s="72">
        <v>0</v>
      </c>
      <c r="BI308" s="73"/>
      <c r="BJ308" s="74">
        <v>-897.73466176431918</v>
      </c>
      <c r="BK308" s="74">
        <v>0</v>
      </c>
      <c r="BL308" s="73"/>
      <c r="BM308" s="72">
        <v>30424008.311463013</v>
      </c>
      <c r="BN308" s="72">
        <v>0</v>
      </c>
      <c r="BO308" s="73"/>
      <c r="BP308" s="74">
        <v>-5376.6049704151019</v>
      </c>
      <c r="BQ308" s="74">
        <v>0</v>
      </c>
      <c r="BS308" s="109">
        <f t="shared" si="138"/>
        <v>116789.82861007383</v>
      </c>
      <c r="BT308" s="109">
        <f t="shared" si="139"/>
        <v>117222.68266437505</v>
      </c>
      <c r="BV308" s="58">
        <f t="array" ref="BV308">SUM(IF(BS308:BT308&gt;=BS308, 1))</f>
        <v>2</v>
      </c>
      <c r="BW308" s="58">
        <f t="array" ref="BW308">SUM(IF(BS308:BT308&gt;=BT308, 1))</f>
        <v>1</v>
      </c>
      <c r="BY308" s="109">
        <f t="shared" si="140"/>
        <v>133932.60506410224</v>
      </c>
      <c r="BZ308" s="109">
        <f t="shared" si="141"/>
        <v>134326.64602505826</v>
      </c>
      <c r="CB308" s="58">
        <f t="array" ref="CB308">SUM(IF(BY308:BZ308&gt;=BY308, 1))</f>
        <v>2</v>
      </c>
      <c r="CC308" s="58">
        <f t="array" ref="CC308">SUM(IF(BY308:BZ308&gt;=BZ308, 1))</f>
        <v>1</v>
      </c>
      <c r="CE308" s="109">
        <f t="shared" si="142"/>
        <v>94434.872783098166</v>
      </c>
      <c r="CF308" s="109">
        <f t="shared" si="143"/>
        <v>96974.99876039692</v>
      </c>
      <c r="CH308" s="58">
        <f t="array" ref="CH308">SUM(IF(CE308:CF308&gt;=CE308, 1))</f>
        <v>2</v>
      </c>
      <c r="CI308" s="58">
        <f t="array" ref="CI308">SUM(IF(CE308:CF308&gt;=CF308, 1))</f>
        <v>1</v>
      </c>
      <c r="CK308" s="109">
        <f t="shared" si="144"/>
        <v>50962.334217123665</v>
      </c>
      <c r="CL308" s="109">
        <f t="shared" si="145"/>
        <v>52050.573751362303</v>
      </c>
      <c r="CN308" s="58">
        <f t="array" ref="CN308">SUM(IF(CK308:CL308&gt;=CK308, 1))</f>
        <v>2</v>
      </c>
      <c r="CO308" s="58">
        <f t="array" ref="CO308">SUM(IF(CK308:CL308&gt;=CL308, 1))</f>
        <v>1</v>
      </c>
      <c r="CQ308" s="109" cm="1">
        <f t="array" ref="CQ308">AF308*WTP-AC308</f>
        <v>45696.567821430639</v>
      </c>
      <c r="CR308" s="109">
        <f t="shared" si="146"/>
        <v>47007.563073835139</v>
      </c>
      <c r="CT308" s="58">
        <f t="array" ref="CT308">SUM(IF(CQ308:CR308&gt;=CQ308, 1))</f>
        <v>2</v>
      </c>
      <c r="CU308" s="58">
        <f t="array" ref="CU308">SUM(IF(CQ308:CR308&gt;=CR308, 1))</f>
        <v>1</v>
      </c>
      <c r="CW308" s="109">
        <f t="shared" si="147"/>
        <v>-46332167.165118277</v>
      </c>
      <c r="CX308" s="109">
        <f t="shared" si="148"/>
        <v>0</v>
      </c>
      <c r="CZ308" s="58">
        <f t="array" ref="CZ308">SUM(IF(CW308:CX308&gt;=CW308, 1))</f>
        <v>2</v>
      </c>
      <c r="DA308" s="58">
        <f t="array" ref="DA308">SUM(IF(CW308:CX308&gt;=CX308, 1))</f>
        <v>1</v>
      </c>
      <c r="DC308" s="109">
        <f t="shared" si="149"/>
        <v>-2670809.5883028386</v>
      </c>
      <c r="DD308" s="109">
        <f t="shared" si="150"/>
        <v>0</v>
      </c>
      <c r="DF308" s="58">
        <f t="array" ref="DF308">SUM(IF(DC308:DD308&gt;=DC308, 1))</f>
        <v>2</v>
      </c>
      <c r="DG308" s="58">
        <f t="array" ref="DG308">SUM(IF(DC308:DD308&gt;=DD308, 1))</f>
        <v>1</v>
      </c>
      <c r="DI308" s="109">
        <f t="shared" si="151"/>
        <v>-58968602.031484284</v>
      </c>
      <c r="DJ308" s="109">
        <f t="shared" si="152"/>
        <v>0</v>
      </c>
      <c r="DL308" s="58">
        <f t="array" ref="DL308">SUM(IF(DI308:DJ308&gt;=DI308, 1))</f>
        <v>2</v>
      </c>
      <c r="DM308" s="58">
        <f t="array" ref="DM308">SUM(IF(DI308:DJ308&gt;=DJ308, 1))</f>
        <v>1</v>
      </c>
      <c r="DO308" s="109">
        <f t="shared" si="153"/>
        <v>-9524238.7033782694</v>
      </c>
      <c r="DP308" s="109">
        <f t="shared" si="154"/>
        <v>0</v>
      </c>
      <c r="DR308" s="58">
        <f t="array" ref="DR308">SUM(IF(DO308:DP308&gt;=DO308, 1))</f>
        <v>2</v>
      </c>
      <c r="DS308" s="58">
        <f t="array" ref="DS308">SUM(IF(DO308:DP308&gt;=DP308, 1))</f>
        <v>1</v>
      </c>
      <c r="DU308" s="109">
        <f t="shared" si="155"/>
        <v>-20460290.231481396</v>
      </c>
      <c r="DV308" s="109">
        <f t="shared" si="156"/>
        <v>0</v>
      </c>
      <c r="DX308" s="58">
        <f t="array" ref="DX308">SUM(IF(DU308:DV308&gt;=DU308, 1))</f>
        <v>2</v>
      </c>
      <c r="DY308" s="58">
        <f t="array" ref="DY308">SUM(IF(DU308:DV308&gt;=DV308, 1))</f>
        <v>1</v>
      </c>
      <c r="EA308" s="109">
        <f t="shared" si="157"/>
        <v>-137956107.71976507</v>
      </c>
      <c r="EB308" s="109">
        <f t="shared" si="158"/>
        <v>0</v>
      </c>
      <c r="ED308" s="58">
        <f t="array" ref="ED308">SUM(IF(EA308:EB308&gt;=EA308, 1))</f>
        <v>2</v>
      </c>
      <c r="EE308" s="58">
        <f t="array" ref="EE308">SUM(IF(EA308:EB308&gt;=EB308, 1))</f>
        <v>1</v>
      </c>
    </row>
    <row r="309" spans="4:135" ht="12" customHeight="1" x14ac:dyDescent="0.25">
      <c r="D309" s="11">
        <v>293</v>
      </c>
      <c r="E309" s="72">
        <v>250.40639387252583</v>
      </c>
      <c r="F309" s="72">
        <v>231.68474129482411</v>
      </c>
      <c r="G309" s="73"/>
      <c r="H309" s="74">
        <v>5.8464089922326314</v>
      </c>
      <c r="I309" s="74">
        <v>5.8611750793455411</v>
      </c>
      <c r="J309" s="73"/>
      <c r="K309" s="72">
        <v>268.98600754548045</v>
      </c>
      <c r="L309" s="72">
        <v>249.78761508167159</v>
      </c>
      <c r="M309" s="73"/>
      <c r="N309" s="74">
        <v>6.6545089604928211</v>
      </c>
      <c r="O309" s="74">
        <v>6.6666513490174752</v>
      </c>
      <c r="P309" s="73"/>
      <c r="Q309" s="72">
        <v>2276.6197701447809</v>
      </c>
      <c r="R309" s="72">
        <v>1243.9538804504177</v>
      </c>
      <c r="S309" s="73"/>
      <c r="T309" s="74">
        <v>4.8071892200228392</v>
      </c>
      <c r="U309" s="74">
        <v>4.8940475615988221</v>
      </c>
      <c r="V309" s="73"/>
      <c r="W309" s="72">
        <v>10802.195853655783</v>
      </c>
      <c r="X309" s="72">
        <v>10873.224935436578</v>
      </c>
      <c r="Y309" s="73"/>
      <c r="Z309" s="74">
        <v>3.0376919753182801</v>
      </c>
      <c r="AA309" s="74">
        <v>3.1089485253571914</v>
      </c>
      <c r="AB309" s="73"/>
      <c r="AC309" s="72">
        <v>50386.363224822846</v>
      </c>
      <c r="AD309" s="72">
        <v>50114.716773134431</v>
      </c>
      <c r="AE309" s="73"/>
      <c r="AF309" s="74">
        <v>5.2339375046998642</v>
      </c>
      <c r="AG309" s="74">
        <v>5.3673259650899459</v>
      </c>
      <c r="AH309" s="73"/>
      <c r="AI309" s="72">
        <v>1999388.6338005278</v>
      </c>
      <c r="AJ309" s="72">
        <v>0</v>
      </c>
      <c r="AK309" s="73"/>
      <c r="AL309" s="74">
        <v>-1576.9519606630904</v>
      </c>
      <c r="AM309" s="74">
        <v>0</v>
      </c>
      <c r="AN309" s="73"/>
      <c r="AO309" s="72">
        <v>130360.15895320696</v>
      </c>
      <c r="AP309" s="72">
        <v>0</v>
      </c>
      <c r="AQ309" s="73"/>
      <c r="AR309" s="74">
        <v>-82.448762370569298</v>
      </c>
      <c r="AS309" s="74">
        <v>0</v>
      </c>
      <c r="AT309" s="73"/>
      <c r="AU309" s="72">
        <v>23328429.737451695</v>
      </c>
      <c r="AV309" s="72">
        <v>0</v>
      </c>
      <c r="AW309" s="73"/>
      <c r="AX309" s="74">
        <v>-1962.1726047004508</v>
      </c>
      <c r="AY309" s="74">
        <v>0</v>
      </c>
      <c r="AZ309" s="73"/>
      <c r="BA309" s="72">
        <v>-607249.34530601103</v>
      </c>
      <c r="BB309" s="72">
        <v>0</v>
      </c>
      <c r="BC309" s="73"/>
      <c r="BD309" s="74">
        <v>-609.1940410187558</v>
      </c>
      <c r="BE309" s="74">
        <v>0</v>
      </c>
      <c r="BF309" s="73"/>
      <c r="BG309" s="72">
        <v>4316962.0997935375</v>
      </c>
      <c r="BH309" s="72">
        <v>0</v>
      </c>
      <c r="BI309" s="73"/>
      <c r="BJ309" s="74">
        <v>-2119.7881454909921</v>
      </c>
      <c r="BK309" s="74">
        <v>0</v>
      </c>
      <c r="BL309" s="73"/>
      <c r="BM309" s="72">
        <v>29167891.284692954</v>
      </c>
      <c r="BN309" s="72">
        <v>0</v>
      </c>
      <c r="BO309" s="73"/>
      <c r="BP309" s="74">
        <v>-6350.5555142438579</v>
      </c>
      <c r="BQ309" s="74">
        <v>0</v>
      </c>
      <c r="BS309" s="109">
        <f t="shared" si="138"/>
        <v>116677.77345078009</v>
      </c>
      <c r="BT309" s="109">
        <f t="shared" si="139"/>
        <v>116991.81684561599</v>
      </c>
      <c r="BV309" s="58">
        <f t="array" ref="BV309">SUM(IF(BS309:BT309&gt;=BS309, 1))</f>
        <v>2</v>
      </c>
      <c r="BW309" s="58">
        <f t="array" ref="BW309">SUM(IF(BS309:BT309&gt;=BT309, 1))</f>
        <v>1</v>
      </c>
      <c r="BY309" s="109">
        <f t="shared" si="140"/>
        <v>132821.19320231094</v>
      </c>
      <c r="BZ309" s="109">
        <f t="shared" si="141"/>
        <v>133083.23936526783</v>
      </c>
      <c r="CB309" s="58">
        <f t="array" ref="CB309">SUM(IF(BY309:BZ309&gt;=BY309, 1))</f>
        <v>2</v>
      </c>
      <c r="CC309" s="58">
        <f t="array" ref="CC309">SUM(IF(BY309:BZ309&gt;=BZ309, 1))</f>
        <v>1</v>
      </c>
      <c r="CE309" s="109">
        <f t="shared" si="142"/>
        <v>93867.164630312007</v>
      </c>
      <c r="CF309" s="109">
        <f t="shared" si="143"/>
        <v>96636.997351526035</v>
      </c>
      <c r="CH309" s="58">
        <f t="array" ref="CH309">SUM(IF(CE309:CF309&gt;=CE309, 1))</f>
        <v>2</v>
      </c>
      <c r="CI309" s="58">
        <f t="array" ref="CI309">SUM(IF(CE309:CF309&gt;=CF309, 1))</f>
        <v>1</v>
      </c>
      <c r="CK309" s="109">
        <f t="shared" si="144"/>
        <v>49951.643652709812</v>
      </c>
      <c r="CL309" s="109">
        <f t="shared" si="145"/>
        <v>51305.745571707252</v>
      </c>
      <c r="CN309" s="58">
        <f t="array" ref="CN309">SUM(IF(CK309:CL309&gt;=CK309, 1))</f>
        <v>2</v>
      </c>
      <c r="CO309" s="58">
        <f t="array" ref="CO309">SUM(IF(CK309:CL309&gt;=CL309, 1))</f>
        <v>1</v>
      </c>
      <c r="CQ309" s="109" cm="1">
        <f t="array" ref="CQ309">AF309*WTP-AC309</f>
        <v>54292.386869174436</v>
      </c>
      <c r="CR309" s="109">
        <f t="shared" si="146"/>
        <v>57231.802528664492</v>
      </c>
      <c r="CT309" s="58">
        <f t="array" ref="CT309">SUM(IF(CQ309:CR309&gt;=CQ309, 1))</f>
        <v>2</v>
      </c>
      <c r="CU309" s="58">
        <f t="array" ref="CU309">SUM(IF(CQ309:CR309&gt;=CR309, 1))</f>
        <v>1</v>
      </c>
      <c r="CW309" s="109">
        <f t="shared" si="147"/>
        <v>-33538427.847062338</v>
      </c>
      <c r="CX309" s="109">
        <f t="shared" si="148"/>
        <v>0</v>
      </c>
      <c r="CZ309" s="58">
        <f t="array" ref="CZ309">SUM(IF(CW309:CX309&gt;=CW309, 1))</f>
        <v>2</v>
      </c>
      <c r="DA309" s="58">
        <f t="array" ref="DA309">SUM(IF(CW309:CX309&gt;=CX309, 1))</f>
        <v>1</v>
      </c>
      <c r="DC309" s="109">
        <f t="shared" si="149"/>
        <v>-1779335.4063645927</v>
      </c>
      <c r="DD309" s="109">
        <f t="shared" si="150"/>
        <v>0</v>
      </c>
      <c r="DF309" s="58">
        <f t="array" ref="DF309">SUM(IF(DC309:DD309&gt;=DC309, 1))</f>
        <v>2</v>
      </c>
      <c r="DG309" s="58">
        <f t="array" ref="DG309">SUM(IF(DC309:DD309&gt;=DD309, 1))</f>
        <v>1</v>
      </c>
      <c r="DI309" s="109">
        <f t="shared" si="151"/>
        <v>-62571881.831460714</v>
      </c>
      <c r="DJ309" s="109">
        <f t="shared" si="152"/>
        <v>0</v>
      </c>
      <c r="DL309" s="58">
        <f t="array" ref="DL309">SUM(IF(DI309:DJ309&gt;=DI309, 1))</f>
        <v>2</v>
      </c>
      <c r="DM309" s="58">
        <f t="array" ref="DM309">SUM(IF(DI309:DJ309&gt;=DJ309, 1))</f>
        <v>1</v>
      </c>
      <c r="DO309" s="109">
        <f t="shared" si="153"/>
        <v>-11576631.475069106</v>
      </c>
      <c r="DP309" s="109">
        <f t="shared" si="154"/>
        <v>0</v>
      </c>
      <c r="DR309" s="58">
        <f t="array" ref="DR309">SUM(IF(DO309:DP309&gt;=DO309, 1))</f>
        <v>2</v>
      </c>
      <c r="DS309" s="58">
        <f t="array" ref="DS309">SUM(IF(DO309:DP309&gt;=DP309, 1))</f>
        <v>1</v>
      </c>
      <c r="DU309" s="109">
        <f t="shared" si="155"/>
        <v>-46712725.00961338</v>
      </c>
      <c r="DV309" s="109">
        <f t="shared" si="156"/>
        <v>0</v>
      </c>
      <c r="DX309" s="58">
        <f t="array" ref="DX309">SUM(IF(DU309:DV309&gt;=DU309, 1))</f>
        <v>2</v>
      </c>
      <c r="DY309" s="58">
        <f t="array" ref="DY309">SUM(IF(DU309:DV309&gt;=DV309, 1))</f>
        <v>1</v>
      </c>
      <c r="EA309" s="109">
        <f t="shared" si="157"/>
        <v>-156179001.56957012</v>
      </c>
      <c r="EB309" s="109">
        <f t="shared" si="158"/>
        <v>0</v>
      </c>
      <c r="ED309" s="58">
        <f t="array" ref="ED309">SUM(IF(EA309:EB309&gt;=EA309, 1))</f>
        <v>2</v>
      </c>
      <c r="EE309" s="58">
        <f t="array" ref="EE309">SUM(IF(EA309:EB309&gt;=EB309, 1))</f>
        <v>1</v>
      </c>
    </row>
    <row r="310" spans="4:135" ht="12" customHeight="1" x14ac:dyDescent="0.25">
      <c r="D310" s="11">
        <v>294</v>
      </c>
      <c r="E310" s="72">
        <v>311.68289057650355</v>
      </c>
      <c r="F310" s="72">
        <v>265.52958808916037</v>
      </c>
      <c r="G310" s="73"/>
      <c r="H310" s="74">
        <v>5.8430621297165191</v>
      </c>
      <c r="I310" s="74">
        <v>5.8607589364347525</v>
      </c>
      <c r="J310" s="73"/>
      <c r="K310" s="72">
        <v>333.33818533741385</v>
      </c>
      <c r="L310" s="72">
        <v>286.11664637024097</v>
      </c>
      <c r="M310" s="73"/>
      <c r="N310" s="74">
        <v>6.6850735170218361</v>
      </c>
      <c r="O310" s="74">
        <v>6.7001259808958631</v>
      </c>
      <c r="P310" s="73"/>
      <c r="Q310" s="72">
        <v>2456.0807038301432</v>
      </c>
      <c r="R310" s="72">
        <v>1254.5464055335565</v>
      </c>
      <c r="S310" s="73"/>
      <c r="T310" s="74">
        <v>4.6259577696069316</v>
      </c>
      <c r="U310" s="74">
        <v>4.7184470364222539</v>
      </c>
      <c r="V310" s="73"/>
      <c r="W310" s="72">
        <v>11235.241009803487</v>
      </c>
      <c r="X310" s="72">
        <v>11227.231489326046</v>
      </c>
      <c r="Y310" s="73"/>
      <c r="Z310" s="74">
        <v>3.0448550091352069</v>
      </c>
      <c r="AA310" s="74">
        <v>3.1083618329751008</v>
      </c>
      <c r="AB310" s="73"/>
      <c r="AC310" s="72">
        <v>48832.1024058642</v>
      </c>
      <c r="AD310" s="72">
        <v>48788.783007187325</v>
      </c>
      <c r="AE310" s="73"/>
      <c r="AF310" s="74">
        <v>4.208565955843711</v>
      </c>
      <c r="AG310" s="74">
        <v>4.2722826655340915</v>
      </c>
      <c r="AH310" s="73"/>
      <c r="AI310" s="72">
        <v>4924990.0183213521</v>
      </c>
      <c r="AJ310" s="72">
        <v>0</v>
      </c>
      <c r="AK310" s="73"/>
      <c r="AL310" s="74">
        <v>-1888.4151674165346</v>
      </c>
      <c r="AM310" s="74">
        <v>0</v>
      </c>
      <c r="AN310" s="73"/>
      <c r="AO310" s="72">
        <v>330018.46012912388</v>
      </c>
      <c r="AP310" s="72">
        <v>0</v>
      </c>
      <c r="AQ310" s="73"/>
      <c r="AR310" s="74">
        <v>-105.19756571908853</v>
      </c>
      <c r="AS310" s="74">
        <v>0</v>
      </c>
      <c r="AT310" s="73"/>
      <c r="AU310" s="72">
        <v>27465263.461987942</v>
      </c>
      <c r="AV310" s="72">
        <v>0</v>
      </c>
      <c r="AW310" s="73"/>
      <c r="AX310" s="74">
        <v>-2114.1652669343048</v>
      </c>
      <c r="AY310" s="74">
        <v>0</v>
      </c>
      <c r="AZ310" s="73"/>
      <c r="BA310" s="72">
        <v>71177.761109363768</v>
      </c>
      <c r="BB310" s="72">
        <v>0</v>
      </c>
      <c r="BC310" s="73"/>
      <c r="BD310" s="74">
        <v>-564.36256687551474</v>
      </c>
      <c r="BE310" s="74">
        <v>0</v>
      </c>
      <c r="BF310" s="73"/>
      <c r="BG310" s="72">
        <v>666943.58805342671</v>
      </c>
      <c r="BH310" s="72">
        <v>0</v>
      </c>
      <c r="BI310" s="73"/>
      <c r="BJ310" s="74">
        <v>-980.97970603978877</v>
      </c>
      <c r="BK310" s="74">
        <v>0</v>
      </c>
      <c r="BL310" s="73"/>
      <c r="BM310" s="72">
        <v>33458393.289601211</v>
      </c>
      <c r="BN310" s="72">
        <v>0</v>
      </c>
      <c r="BO310" s="73"/>
      <c r="BP310" s="74">
        <v>-5653.1202729852312</v>
      </c>
      <c r="BQ310" s="74">
        <v>0</v>
      </c>
      <c r="BS310" s="109">
        <f t="shared" si="138"/>
        <v>116549.55970375388</v>
      </c>
      <c r="BT310" s="109">
        <f t="shared" si="139"/>
        <v>116949.64914060589</v>
      </c>
      <c r="BV310" s="58">
        <f t="array" ref="BV310">SUM(IF(BS310:BT310&gt;=BS310, 1))</f>
        <v>2</v>
      </c>
      <c r="BW310" s="58">
        <f t="array" ref="BW310">SUM(IF(BS310:BT310&gt;=BT310, 1))</f>
        <v>1</v>
      </c>
      <c r="BY310" s="109">
        <f t="shared" si="140"/>
        <v>133368.13215509933</v>
      </c>
      <c r="BZ310" s="109">
        <f t="shared" si="141"/>
        <v>133716.40297154701</v>
      </c>
      <c r="CB310" s="58">
        <f t="array" ref="CB310">SUM(IF(BY310:BZ310&gt;=BY310, 1))</f>
        <v>2</v>
      </c>
      <c r="CC310" s="58">
        <f t="array" ref="CC310">SUM(IF(BY310:BZ310&gt;=BZ310, 1))</f>
        <v>1</v>
      </c>
      <c r="CE310" s="109">
        <f t="shared" si="142"/>
        <v>90063.074688308494</v>
      </c>
      <c r="CF310" s="109">
        <f t="shared" si="143"/>
        <v>93114.39432291151</v>
      </c>
      <c r="CH310" s="58">
        <f t="array" ref="CH310">SUM(IF(CE310:CF310&gt;=CE310, 1))</f>
        <v>2</v>
      </c>
      <c r="CI310" s="58">
        <f t="array" ref="CI310">SUM(IF(CE310:CF310&gt;=CF310, 1))</f>
        <v>1</v>
      </c>
      <c r="CK310" s="109">
        <f t="shared" si="144"/>
        <v>49661.859172900651</v>
      </c>
      <c r="CL310" s="109">
        <f t="shared" si="145"/>
        <v>50940.005170175966</v>
      </c>
      <c r="CN310" s="58">
        <f t="array" ref="CN310">SUM(IF(CK310:CL310&gt;=CK310, 1))</f>
        <v>2</v>
      </c>
      <c r="CO310" s="58">
        <f t="array" ref="CO310">SUM(IF(CK310:CL310&gt;=CL310, 1))</f>
        <v>1</v>
      </c>
      <c r="CQ310" s="109" cm="1">
        <f t="array" ref="CQ310">AF310*WTP-AC310</f>
        <v>35339.21671101002</v>
      </c>
      <c r="CR310" s="109">
        <f t="shared" si="146"/>
        <v>36656.870303494499</v>
      </c>
      <c r="CT310" s="58">
        <f t="array" ref="CT310">SUM(IF(CQ310:CR310&gt;=CQ310, 1))</f>
        <v>2</v>
      </c>
      <c r="CU310" s="58">
        <f t="array" ref="CU310">SUM(IF(CQ310:CR310&gt;=CR310, 1))</f>
        <v>1</v>
      </c>
      <c r="CW310" s="109">
        <f t="shared" si="147"/>
        <v>-42693293.366652042</v>
      </c>
      <c r="CX310" s="109">
        <f t="shared" si="148"/>
        <v>0</v>
      </c>
      <c r="CZ310" s="58">
        <f t="array" ref="CZ310">SUM(IF(CW310:CX310&gt;=CW310, 1))</f>
        <v>2</v>
      </c>
      <c r="DA310" s="58">
        <f t="array" ref="DA310">SUM(IF(CW310:CX310&gt;=CX310, 1))</f>
        <v>1</v>
      </c>
      <c r="DC310" s="109">
        <f t="shared" si="149"/>
        <v>-2433969.7745108949</v>
      </c>
      <c r="DD310" s="109">
        <f t="shared" si="150"/>
        <v>0</v>
      </c>
      <c r="DF310" s="58">
        <f t="array" ref="DF310">SUM(IF(DC310:DD310&gt;=DC310, 1))</f>
        <v>2</v>
      </c>
      <c r="DG310" s="58">
        <f t="array" ref="DG310">SUM(IF(DC310:DD310&gt;=DD310, 1))</f>
        <v>1</v>
      </c>
      <c r="DI310" s="109">
        <f t="shared" si="151"/>
        <v>-69748568.800674036</v>
      </c>
      <c r="DJ310" s="109">
        <f t="shared" si="152"/>
        <v>0</v>
      </c>
      <c r="DL310" s="58">
        <f t="array" ref="DL310">SUM(IF(DI310:DJ310&gt;=DI310, 1))</f>
        <v>2</v>
      </c>
      <c r="DM310" s="58">
        <f t="array" ref="DM310">SUM(IF(DI310:DJ310&gt;=DJ310, 1))</f>
        <v>1</v>
      </c>
      <c r="DO310" s="109">
        <f t="shared" si="153"/>
        <v>-11358429.098619658</v>
      </c>
      <c r="DP310" s="109">
        <f t="shared" si="154"/>
        <v>0</v>
      </c>
      <c r="DR310" s="58">
        <f t="array" ref="DR310">SUM(IF(DO310:DP310&gt;=DO310, 1))</f>
        <v>2</v>
      </c>
      <c r="DS310" s="58">
        <f t="array" ref="DS310">SUM(IF(DO310:DP310&gt;=DP310, 1))</f>
        <v>1</v>
      </c>
      <c r="DU310" s="109">
        <f t="shared" si="155"/>
        <v>-20286537.708849203</v>
      </c>
      <c r="DV310" s="109">
        <f t="shared" si="156"/>
        <v>0</v>
      </c>
      <c r="DX310" s="58">
        <f t="array" ref="DX310">SUM(IF(DU310:DV310&gt;=DU310, 1))</f>
        <v>2</v>
      </c>
      <c r="DY310" s="58">
        <f t="array" ref="DY310">SUM(IF(DU310:DV310&gt;=DV310, 1))</f>
        <v>1</v>
      </c>
      <c r="EA310" s="109">
        <f t="shared" si="157"/>
        <v>-146520798.74930584</v>
      </c>
      <c r="EB310" s="109">
        <f t="shared" si="158"/>
        <v>0</v>
      </c>
      <c r="ED310" s="58">
        <f t="array" ref="ED310">SUM(IF(EA310:EB310&gt;=EA310, 1))</f>
        <v>2</v>
      </c>
      <c r="EE310" s="58">
        <f t="array" ref="EE310">SUM(IF(EA310:EB310&gt;=EB310, 1))</f>
        <v>1</v>
      </c>
    </row>
    <row r="311" spans="4:135" ht="12" customHeight="1" x14ac:dyDescent="0.25">
      <c r="D311" s="11">
        <v>295</v>
      </c>
      <c r="E311" s="72">
        <v>231.48110183242832</v>
      </c>
      <c r="F311" s="72">
        <v>208.79475304276446</v>
      </c>
      <c r="G311" s="73"/>
      <c r="H311" s="74">
        <v>5.8066249781735531</v>
      </c>
      <c r="I311" s="74">
        <v>5.8250824539500394</v>
      </c>
      <c r="J311" s="73"/>
      <c r="K311" s="72">
        <v>248.35859984159598</v>
      </c>
      <c r="L311" s="72">
        <v>225.11181792850485</v>
      </c>
      <c r="M311" s="73"/>
      <c r="N311" s="74">
        <v>6.6778890879866779</v>
      </c>
      <c r="O311" s="74">
        <v>6.6938734434164271</v>
      </c>
      <c r="P311" s="73"/>
      <c r="Q311" s="72">
        <v>4411.1552487393956</v>
      </c>
      <c r="R311" s="72">
        <v>1737.4695658386302</v>
      </c>
      <c r="S311" s="73"/>
      <c r="T311" s="74">
        <v>4.6137650493833275</v>
      </c>
      <c r="U311" s="74">
        <v>4.7910077703345202</v>
      </c>
      <c r="V311" s="73"/>
      <c r="W311" s="72">
        <v>11394.951382133675</v>
      </c>
      <c r="X311" s="72">
        <v>11372.898656392879</v>
      </c>
      <c r="Y311" s="73"/>
      <c r="Z311" s="74">
        <v>2.8151812457388909</v>
      </c>
      <c r="AA311" s="74">
        <v>2.8592616397666113</v>
      </c>
      <c r="AB311" s="73"/>
      <c r="AC311" s="72">
        <v>51596.461715910496</v>
      </c>
      <c r="AD311" s="72">
        <v>51286.830912253332</v>
      </c>
      <c r="AE311" s="73"/>
      <c r="AF311" s="74">
        <v>4.7106000973625806</v>
      </c>
      <c r="AG311" s="74">
        <v>4.8291021054468075</v>
      </c>
      <c r="AH311" s="73"/>
      <c r="AI311" s="72">
        <v>2422426.2715353356</v>
      </c>
      <c r="AJ311" s="72">
        <v>0</v>
      </c>
      <c r="AK311" s="73"/>
      <c r="AL311" s="74">
        <v>-1970.8713218567307</v>
      </c>
      <c r="AM311" s="74">
        <v>0</v>
      </c>
      <c r="AN311" s="73"/>
      <c r="AO311" s="72">
        <v>161373.17918825478</v>
      </c>
      <c r="AP311" s="72">
        <v>0</v>
      </c>
      <c r="AQ311" s="73"/>
      <c r="AR311" s="74">
        <v>-110.95928299310481</v>
      </c>
      <c r="AS311" s="74">
        <v>0</v>
      </c>
      <c r="AT311" s="73"/>
      <c r="AU311" s="72">
        <v>61940676.523501083</v>
      </c>
      <c r="AV311" s="72">
        <v>0</v>
      </c>
      <c r="AW311" s="73"/>
      <c r="AX311" s="74">
        <v>-4106.142361757361</v>
      </c>
      <c r="AY311" s="74">
        <v>0</v>
      </c>
      <c r="AZ311" s="73"/>
      <c r="BA311" s="72">
        <v>203992.76720915321</v>
      </c>
      <c r="BB311" s="72">
        <v>0</v>
      </c>
      <c r="BC311" s="73"/>
      <c r="BD311" s="74">
        <v>-407.75374722725985</v>
      </c>
      <c r="BE311" s="74">
        <v>0</v>
      </c>
      <c r="BF311" s="73"/>
      <c r="BG311" s="72">
        <v>4871183.368176193</v>
      </c>
      <c r="BH311" s="72">
        <v>0</v>
      </c>
      <c r="BI311" s="73"/>
      <c r="BJ311" s="74">
        <v>-1864.3009805785202</v>
      </c>
      <c r="BK311" s="74">
        <v>0</v>
      </c>
      <c r="BL311" s="73"/>
      <c r="BM311" s="72">
        <v>69599652.109610021</v>
      </c>
      <c r="BN311" s="72">
        <v>0</v>
      </c>
      <c r="BO311" s="73"/>
      <c r="BP311" s="74">
        <v>-8460.0276944129764</v>
      </c>
      <c r="BQ311" s="74">
        <v>0</v>
      </c>
      <c r="BS311" s="109">
        <f t="shared" si="138"/>
        <v>115901.01846163864</v>
      </c>
      <c r="BT311" s="109">
        <f t="shared" si="139"/>
        <v>116292.85432595803</v>
      </c>
      <c r="BV311" s="58">
        <f t="array" ref="BV311">SUM(IF(BS311:BT311&gt;=BS311, 1))</f>
        <v>2</v>
      </c>
      <c r="BW311" s="58">
        <f t="array" ref="BW311">SUM(IF(BS311:BT311&gt;=BT311, 1))</f>
        <v>1</v>
      </c>
      <c r="BY311" s="109">
        <f t="shared" si="140"/>
        <v>133309.42315989197</v>
      </c>
      <c r="BZ311" s="109">
        <f t="shared" si="141"/>
        <v>133652.35705040005</v>
      </c>
      <c r="CB311" s="58">
        <f t="array" ref="CB311">SUM(IF(BY311:BZ311&gt;=BY311, 1))</f>
        <v>2</v>
      </c>
      <c r="CC311" s="58">
        <f t="array" ref="CC311">SUM(IF(BY311:BZ311&gt;=BZ311, 1))</f>
        <v>1</v>
      </c>
      <c r="CE311" s="109">
        <f t="shared" si="142"/>
        <v>87864.145738927153</v>
      </c>
      <c r="CF311" s="109">
        <f t="shared" si="143"/>
        <v>94082.685840851773</v>
      </c>
      <c r="CH311" s="58">
        <f t="array" ref="CH311">SUM(IF(CE311:CF311&gt;=CE311, 1))</f>
        <v>2</v>
      </c>
      <c r="CI311" s="58">
        <f t="array" ref="CI311">SUM(IF(CE311:CF311&gt;=CF311, 1))</f>
        <v>1</v>
      </c>
      <c r="CK311" s="109">
        <f t="shared" si="144"/>
        <v>44908.673532644149</v>
      </c>
      <c r="CL311" s="109">
        <f t="shared" si="145"/>
        <v>45812.334138939346</v>
      </c>
      <c r="CN311" s="58">
        <f t="array" ref="CN311">SUM(IF(CK311:CL311&gt;=CK311, 1))</f>
        <v>2</v>
      </c>
      <c r="CO311" s="58">
        <f t="array" ref="CO311">SUM(IF(CK311:CL311&gt;=CL311, 1))</f>
        <v>1</v>
      </c>
      <c r="CQ311" s="109" cm="1">
        <f t="array" ref="CQ311">AF311*WTP-AC311</f>
        <v>42615.540231341118</v>
      </c>
      <c r="CR311" s="109">
        <f t="shared" si="146"/>
        <v>45295.211196682816</v>
      </c>
      <c r="CT311" s="58">
        <f t="array" ref="CT311">SUM(IF(CQ311:CR311&gt;=CQ311, 1))</f>
        <v>2</v>
      </c>
      <c r="CU311" s="58">
        <f t="array" ref="CU311">SUM(IF(CQ311:CR311&gt;=CR311, 1))</f>
        <v>1</v>
      </c>
      <c r="CW311" s="109">
        <f t="shared" si="147"/>
        <v>-41839852.708669953</v>
      </c>
      <c r="CX311" s="109">
        <f t="shared" si="148"/>
        <v>0</v>
      </c>
      <c r="CZ311" s="58">
        <f t="array" ref="CZ311">SUM(IF(CW311:CX311&gt;=CW311, 1))</f>
        <v>2</v>
      </c>
      <c r="DA311" s="58">
        <f t="array" ref="DA311">SUM(IF(CW311:CX311&gt;=CX311, 1))</f>
        <v>1</v>
      </c>
      <c r="DC311" s="109">
        <f t="shared" si="149"/>
        <v>-2380558.8390503507</v>
      </c>
      <c r="DD311" s="109">
        <f t="shared" si="150"/>
        <v>0</v>
      </c>
      <c r="DF311" s="58">
        <f t="array" ref="DF311">SUM(IF(DC311:DD311&gt;=DC311, 1))</f>
        <v>2</v>
      </c>
      <c r="DG311" s="58">
        <f t="array" ref="DG311">SUM(IF(DC311:DD311&gt;=DD311, 1))</f>
        <v>1</v>
      </c>
      <c r="DI311" s="109">
        <f t="shared" si="151"/>
        <v>-144063523.75864831</v>
      </c>
      <c r="DJ311" s="109">
        <f t="shared" si="152"/>
        <v>0</v>
      </c>
      <c r="DL311" s="58">
        <f t="array" ref="DL311">SUM(IF(DI311:DJ311&gt;=DI311, 1))</f>
        <v>2</v>
      </c>
      <c r="DM311" s="58">
        <f t="array" ref="DM311">SUM(IF(DI311:DJ311&gt;=DJ311, 1))</f>
        <v>1</v>
      </c>
      <c r="DO311" s="109">
        <f t="shared" si="153"/>
        <v>-8359067.7117543509</v>
      </c>
      <c r="DP311" s="109">
        <f t="shared" si="154"/>
        <v>0</v>
      </c>
      <c r="DR311" s="58">
        <f t="array" ref="DR311">SUM(IF(DO311:DP311&gt;=DO311, 1))</f>
        <v>2</v>
      </c>
      <c r="DS311" s="58">
        <f t="array" ref="DS311">SUM(IF(DO311:DP311&gt;=DP311, 1))</f>
        <v>1</v>
      </c>
      <c r="DU311" s="109">
        <f t="shared" si="155"/>
        <v>-42157202.979746595</v>
      </c>
      <c r="DV311" s="109">
        <f t="shared" si="156"/>
        <v>0</v>
      </c>
      <c r="DX311" s="58">
        <f t="array" ref="DX311">SUM(IF(DU311:DV311&gt;=DU311, 1))</f>
        <v>2</v>
      </c>
      <c r="DY311" s="58">
        <f t="array" ref="DY311">SUM(IF(DU311:DV311&gt;=DV311, 1))</f>
        <v>1</v>
      </c>
      <c r="EA311" s="109">
        <f t="shared" si="157"/>
        <v>-238800205.99786955</v>
      </c>
      <c r="EB311" s="109">
        <f t="shared" si="158"/>
        <v>0</v>
      </c>
      <c r="ED311" s="58">
        <f t="array" ref="ED311">SUM(IF(EA311:EB311&gt;=EA311, 1))</f>
        <v>2</v>
      </c>
      <c r="EE311" s="58">
        <f t="array" ref="EE311">SUM(IF(EA311:EB311&gt;=EB311, 1))</f>
        <v>1</v>
      </c>
    </row>
    <row r="312" spans="4:135" ht="12" customHeight="1" x14ac:dyDescent="0.25">
      <c r="D312" s="11">
        <v>296</v>
      </c>
      <c r="E312" s="72">
        <v>365.78303080184031</v>
      </c>
      <c r="F312" s="72">
        <v>342.06618618710274</v>
      </c>
      <c r="G312" s="73"/>
      <c r="H312" s="74">
        <v>5.8223199827298595</v>
      </c>
      <c r="I312" s="74">
        <v>5.8362539109840306</v>
      </c>
      <c r="J312" s="73"/>
      <c r="K312" s="72">
        <v>393.13272737046987</v>
      </c>
      <c r="L312" s="72">
        <v>368.81821600128313</v>
      </c>
      <c r="M312" s="73"/>
      <c r="N312" s="74">
        <v>6.7238764211711821</v>
      </c>
      <c r="O312" s="74">
        <v>6.7356457156719882</v>
      </c>
      <c r="P312" s="73"/>
      <c r="Q312" s="72">
        <v>2850.3821685252155</v>
      </c>
      <c r="R312" s="72">
        <v>1336.8504881369443</v>
      </c>
      <c r="S312" s="73"/>
      <c r="T312" s="74">
        <v>4.7286125141890647</v>
      </c>
      <c r="U312" s="74">
        <v>4.8512039953257498</v>
      </c>
      <c r="V312" s="73"/>
      <c r="W312" s="72">
        <v>11450.052966255773</v>
      </c>
      <c r="X312" s="72">
        <v>11415.502501993231</v>
      </c>
      <c r="Y312" s="73"/>
      <c r="Z312" s="74">
        <v>2.9540632895140706</v>
      </c>
      <c r="AA312" s="74">
        <v>2.9963011604594287</v>
      </c>
      <c r="AB312" s="73"/>
      <c r="AC312" s="72">
        <v>50031.881061340275</v>
      </c>
      <c r="AD312" s="72">
        <v>50054.476066741605</v>
      </c>
      <c r="AE312" s="73"/>
      <c r="AF312" s="74">
        <v>4.7061265044550371</v>
      </c>
      <c r="AG312" s="74">
        <v>4.8257395043653508</v>
      </c>
      <c r="AH312" s="73"/>
      <c r="AI312" s="72">
        <v>2533811.4855992482</v>
      </c>
      <c r="AJ312" s="72">
        <v>0</v>
      </c>
      <c r="AK312" s="73"/>
      <c r="AL312" s="74">
        <v>-1488.6443801211021</v>
      </c>
      <c r="AM312" s="74">
        <v>0</v>
      </c>
      <c r="AN312" s="73"/>
      <c r="AO312" s="72">
        <v>163832.40580142682</v>
      </c>
      <c r="AP312" s="72">
        <v>0</v>
      </c>
      <c r="AQ312" s="73"/>
      <c r="AR312" s="74">
        <v>-79.302100847320503</v>
      </c>
      <c r="AS312" s="74">
        <v>0</v>
      </c>
      <c r="AT312" s="73"/>
      <c r="AU312" s="72">
        <v>34990297.622865826</v>
      </c>
      <c r="AV312" s="72">
        <v>0</v>
      </c>
      <c r="AW312" s="73"/>
      <c r="AX312" s="74">
        <v>-2834.1081105749627</v>
      </c>
      <c r="AY312" s="74">
        <v>0</v>
      </c>
      <c r="AZ312" s="73"/>
      <c r="BA312" s="72">
        <v>306373.30563258671</v>
      </c>
      <c r="BB312" s="72">
        <v>0</v>
      </c>
      <c r="BC312" s="73"/>
      <c r="BD312" s="74">
        <v>-374.5407310905959</v>
      </c>
      <c r="BE312" s="74">
        <v>0</v>
      </c>
      <c r="BF312" s="73"/>
      <c r="BG312" s="72">
        <v>-355410.30399052077</v>
      </c>
      <c r="BH312" s="72">
        <v>0</v>
      </c>
      <c r="BI312" s="73"/>
      <c r="BJ312" s="74">
        <v>-1881.4641512252149</v>
      </c>
      <c r="BK312" s="74">
        <v>0</v>
      </c>
      <c r="BL312" s="73"/>
      <c r="BM312" s="72">
        <v>37638904.515908562</v>
      </c>
      <c r="BN312" s="72">
        <v>0</v>
      </c>
      <c r="BO312" s="73"/>
      <c r="BP312" s="74">
        <v>-6658.0594738591954</v>
      </c>
      <c r="BQ312" s="74">
        <v>0</v>
      </c>
      <c r="BS312" s="109">
        <f t="shared" si="138"/>
        <v>116080.61662379534</v>
      </c>
      <c r="BT312" s="109">
        <f t="shared" si="139"/>
        <v>116383.01203349351</v>
      </c>
      <c r="BV312" s="58">
        <f t="array" ref="BV312">SUM(IF(BS312:BT312&gt;=BS312, 1))</f>
        <v>2</v>
      </c>
      <c r="BW312" s="58">
        <f t="array" ref="BW312">SUM(IF(BS312:BT312&gt;=BT312, 1))</f>
        <v>1</v>
      </c>
      <c r="BY312" s="109">
        <f t="shared" si="140"/>
        <v>134084.39569605317</v>
      </c>
      <c r="BZ312" s="109">
        <f t="shared" si="141"/>
        <v>134344.09609743848</v>
      </c>
      <c r="CB312" s="58">
        <f t="array" ref="CB312">SUM(IF(BY312:BZ312&gt;=BY312, 1))</f>
        <v>2</v>
      </c>
      <c r="CC312" s="58">
        <f t="array" ref="CC312">SUM(IF(BY312:BZ312&gt;=BZ312, 1))</f>
        <v>1</v>
      </c>
      <c r="CE312" s="109">
        <f t="shared" si="142"/>
        <v>91721.868115256075</v>
      </c>
      <c r="CF312" s="109">
        <f t="shared" si="143"/>
        <v>95687.229418378047</v>
      </c>
      <c r="CH312" s="58">
        <f t="array" ref="CH312">SUM(IF(CE312:CF312&gt;=CE312, 1))</f>
        <v>2</v>
      </c>
      <c r="CI312" s="58">
        <f t="array" ref="CI312">SUM(IF(CE312:CF312&gt;=CF312, 1))</f>
        <v>1</v>
      </c>
      <c r="CK312" s="109">
        <f t="shared" si="144"/>
        <v>47631.212824025635</v>
      </c>
      <c r="CL312" s="109">
        <f t="shared" si="145"/>
        <v>48510.520707195348</v>
      </c>
      <c r="CN312" s="58">
        <f t="array" ref="CN312">SUM(IF(CK312:CL312&gt;=CK312, 1))</f>
        <v>2</v>
      </c>
      <c r="CO312" s="58">
        <f t="array" ref="CO312">SUM(IF(CK312:CL312&gt;=CL312, 1))</f>
        <v>1</v>
      </c>
      <c r="CQ312" s="109" cm="1">
        <f t="array" ref="CQ312">AF312*WTP-AC312</f>
        <v>44090.649027760461</v>
      </c>
      <c r="CR312" s="109">
        <f t="shared" si="146"/>
        <v>46460.314020565413</v>
      </c>
      <c r="CT312" s="58">
        <f t="array" ref="CT312">SUM(IF(CQ312:CR312&gt;=CQ312, 1))</f>
        <v>2</v>
      </c>
      <c r="CU312" s="58">
        <f t="array" ref="CU312">SUM(IF(CQ312:CR312&gt;=CR312, 1))</f>
        <v>1</v>
      </c>
      <c r="CW312" s="109">
        <f t="shared" si="147"/>
        <v>-32306699.088021293</v>
      </c>
      <c r="CX312" s="109">
        <f t="shared" si="148"/>
        <v>0</v>
      </c>
      <c r="CZ312" s="58">
        <f t="array" ref="CZ312">SUM(IF(CW312:CX312&gt;=CW312, 1))</f>
        <v>2</v>
      </c>
      <c r="DA312" s="58">
        <f t="array" ref="DA312">SUM(IF(CW312:CX312&gt;=CX312, 1))</f>
        <v>1</v>
      </c>
      <c r="DC312" s="109">
        <f t="shared" si="149"/>
        <v>-1749874.4227478369</v>
      </c>
      <c r="DD312" s="109">
        <f t="shared" si="150"/>
        <v>0</v>
      </c>
      <c r="DF312" s="58">
        <f t="array" ref="DF312">SUM(IF(DC312:DD312&gt;=DC312, 1))</f>
        <v>2</v>
      </c>
      <c r="DG312" s="58">
        <f t="array" ref="DG312">SUM(IF(DC312:DD312&gt;=DD312, 1))</f>
        <v>1</v>
      </c>
      <c r="DI312" s="109">
        <f t="shared" si="151"/>
        <v>-91672459.83436507</v>
      </c>
      <c r="DJ312" s="109">
        <f t="shared" si="152"/>
        <v>0</v>
      </c>
      <c r="DL312" s="58">
        <f t="array" ref="DL312">SUM(IF(DI312:DJ312&gt;=DI312, 1))</f>
        <v>2</v>
      </c>
      <c r="DM312" s="58">
        <f t="array" ref="DM312">SUM(IF(DI312:DJ312&gt;=DJ312, 1))</f>
        <v>1</v>
      </c>
      <c r="DO312" s="109">
        <f t="shared" si="153"/>
        <v>-7797187.9274445046</v>
      </c>
      <c r="DP312" s="109">
        <f t="shared" si="154"/>
        <v>0</v>
      </c>
      <c r="DR312" s="58">
        <f t="array" ref="DR312">SUM(IF(DO312:DP312&gt;=DO312, 1))</f>
        <v>2</v>
      </c>
      <c r="DS312" s="58">
        <f t="array" ref="DS312">SUM(IF(DO312:DP312&gt;=DP312, 1))</f>
        <v>1</v>
      </c>
      <c r="DU312" s="109">
        <f t="shared" si="155"/>
        <v>-37273872.720513776</v>
      </c>
      <c r="DV312" s="109">
        <f t="shared" si="156"/>
        <v>0</v>
      </c>
      <c r="DX312" s="58">
        <f t="array" ref="DX312">SUM(IF(DU312:DV312&gt;=DU312, 1))</f>
        <v>2</v>
      </c>
      <c r="DY312" s="58">
        <f t="array" ref="DY312">SUM(IF(DU312:DV312&gt;=DV312, 1))</f>
        <v>1</v>
      </c>
      <c r="EA312" s="109">
        <f t="shared" si="157"/>
        <v>-170800093.99309248</v>
      </c>
      <c r="EB312" s="109">
        <f t="shared" si="158"/>
        <v>0</v>
      </c>
      <c r="ED312" s="58">
        <f t="array" ref="ED312">SUM(IF(EA312:EB312&gt;=EA312, 1))</f>
        <v>2</v>
      </c>
      <c r="EE312" s="58">
        <f t="array" ref="EE312">SUM(IF(EA312:EB312&gt;=EB312, 1))</f>
        <v>1</v>
      </c>
    </row>
    <row r="313" spans="4:135" ht="12" customHeight="1" x14ac:dyDescent="0.25">
      <c r="D313" s="11">
        <v>297</v>
      </c>
      <c r="E313" s="72">
        <v>228.11065839075761</v>
      </c>
      <c r="F313" s="72">
        <v>216.16623862971855</v>
      </c>
      <c r="G313" s="73"/>
      <c r="H313" s="74">
        <v>5.8170316475019623</v>
      </c>
      <c r="I313" s="74">
        <v>5.8361970464218178</v>
      </c>
      <c r="J313" s="73"/>
      <c r="K313" s="72">
        <v>245.37602729991761</v>
      </c>
      <c r="L313" s="72">
        <v>233.14420671111785</v>
      </c>
      <c r="M313" s="73"/>
      <c r="N313" s="74">
        <v>6.7226996610836487</v>
      </c>
      <c r="O313" s="74">
        <v>6.7401085308319848</v>
      </c>
      <c r="P313" s="73"/>
      <c r="Q313" s="72">
        <v>1642.7485109979393</v>
      </c>
      <c r="R313" s="72">
        <v>1013.7014813095274</v>
      </c>
      <c r="S313" s="73"/>
      <c r="T313" s="74">
        <v>4.9571711039336748</v>
      </c>
      <c r="U313" s="74">
        <v>5.0487590748137468</v>
      </c>
      <c r="V313" s="73"/>
      <c r="W313" s="72">
        <v>13616.981934360587</v>
      </c>
      <c r="X313" s="72">
        <v>13562.989465540451</v>
      </c>
      <c r="Y313" s="73"/>
      <c r="Z313" s="74">
        <v>2.7490885877907432</v>
      </c>
      <c r="AA313" s="74">
        <v>2.7858010846964048</v>
      </c>
      <c r="AB313" s="73"/>
      <c r="AC313" s="72">
        <v>50842.834208917069</v>
      </c>
      <c r="AD313" s="72">
        <v>50847.162123187911</v>
      </c>
      <c r="AE313" s="73"/>
      <c r="AF313" s="74">
        <v>4.8026658979764587</v>
      </c>
      <c r="AG313" s="74">
        <v>4.9074419469254371</v>
      </c>
      <c r="AH313" s="73"/>
      <c r="AI313" s="72">
        <v>1294594.1354296792</v>
      </c>
      <c r="AJ313" s="72">
        <v>0</v>
      </c>
      <c r="AK313" s="73"/>
      <c r="AL313" s="74">
        <v>-2077.2388731469723</v>
      </c>
      <c r="AM313" s="74">
        <v>0</v>
      </c>
      <c r="AN313" s="73"/>
      <c r="AO313" s="72">
        <v>83008.255516592806</v>
      </c>
      <c r="AP313" s="72">
        <v>0</v>
      </c>
      <c r="AQ313" s="73"/>
      <c r="AR313" s="74">
        <v>-118.14103205929737</v>
      </c>
      <c r="AS313" s="74">
        <v>0</v>
      </c>
      <c r="AT313" s="73"/>
      <c r="AU313" s="72">
        <v>14308370.595930478</v>
      </c>
      <c r="AV313" s="72">
        <v>0</v>
      </c>
      <c r="AW313" s="73"/>
      <c r="AX313" s="74">
        <v>-2083.2697201201008</v>
      </c>
      <c r="AY313" s="74">
        <v>0</v>
      </c>
      <c r="AZ313" s="73"/>
      <c r="BA313" s="72">
        <v>482350.8408933747</v>
      </c>
      <c r="BB313" s="72">
        <v>0</v>
      </c>
      <c r="BC313" s="73"/>
      <c r="BD313" s="74">
        <v>-327.97729277267882</v>
      </c>
      <c r="BE313" s="74">
        <v>0</v>
      </c>
      <c r="BF313" s="73"/>
      <c r="BG313" s="72">
        <v>-67799.821160507927</v>
      </c>
      <c r="BH313" s="72">
        <v>0</v>
      </c>
      <c r="BI313" s="73"/>
      <c r="BJ313" s="74">
        <v>-1641.3905026968125</v>
      </c>
      <c r="BK313" s="74">
        <v>0</v>
      </c>
      <c r="BL313" s="73"/>
      <c r="BM313" s="72">
        <v>16100524.006609617</v>
      </c>
      <c r="BN313" s="72">
        <v>0</v>
      </c>
      <c r="BO313" s="73"/>
      <c r="BP313" s="74">
        <v>-6248.0174207958617</v>
      </c>
      <c r="BQ313" s="74">
        <v>0</v>
      </c>
      <c r="BS313" s="109">
        <f t="shared" si="138"/>
        <v>116112.52229164849</v>
      </c>
      <c r="BT313" s="109">
        <f t="shared" si="139"/>
        <v>116507.77468980663</v>
      </c>
      <c r="BV313" s="58">
        <f t="array" ref="BV313">SUM(IF(BS313:BT313&gt;=BS313, 1))</f>
        <v>2</v>
      </c>
      <c r="BW313" s="58">
        <f t="array" ref="BW313">SUM(IF(BS313:BT313&gt;=BT313, 1))</f>
        <v>1</v>
      </c>
      <c r="BY313" s="109">
        <f t="shared" si="140"/>
        <v>134208.61719437307</v>
      </c>
      <c r="BZ313" s="109">
        <f t="shared" si="141"/>
        <v>134569.02640992857</v>
      </c>
      <c r="CB313" s="58">
        <f t="array" ref="CB313">SUM(IF(BY313:BZ313&gt;=BY313, 1))</f>
        <v>2</v>
      </c>
      <c r="CC313" s="58">
        <f t="array" ref="CC313">SUM(IF(BY313:BZ313&gt;=BZ313, 1))</f>
        <v>1</v>
      </c>
      <c r="CE313" s="109">
        <f t="shared" si="142"/>
        <v>97500.673567675549</v>
      </c>
      <c r="CF313" s="109">
        <f t="shared" si="143"/>
        <v>99961.480014965404</v>
      </c>
      <c r="CH313" s="58">
        <f t="array" ref="CH313">SUM(IF(CE313:CF313&gt;=CE313, 1))</f>
        <v>2</v>
      </c>
      <c r="CI313" s="58">
        <f t="array" ref="CI313">SUM(IF(CE313:CF313&gt;=CF313, 1))</f>
        <v>1</v>
      </c>
      <c r="CK313" s="109">
        <f t="shared" si="144"/>
        <v>41364.78982145428</v>
      </c>
      <c r="CL313" s="109">
        <f t="shared" si="145"/>
        <v>42153.032228387645</v>
      </c>
      <c r="CN313" s="58">
        <f t="array" ref="CN313">SUM(IF(CK313:CL313&gt;=CK313, 1))</f>
        <v>2</v>
      </c>
      <c r="CO313" s="58">
        <f t="array" ref="CO313">SUM(IF(CK313:CL313&gt;=CL313, 1))</f>
        <v>1</v>
      </c>
      <c r="CQ313" s="109" cm="1">
        <f t="array" ref="CQ313">AF313*WTP-AC313</f>
        <v>45210.483750612104</v>
      </c>
      <c r="CR313" s="109">
        <f t="shared" si="146"/>
        <v>47301.676815320825</v>
      </c>
      <c r="CT313" s="58">
        <f t="array" ref="CT313">SUM(IF(CQ313:CR313&gt;=CQ313, 1))</f>
        <v>2</v>
      </c>
      <c r="CU313" s="58">
        <f t="array" ref="CU313">SUM(IF(CQ313:CR313&gt;=CR313, 1))</f>
        <v>1</v>
      </c>
      <c r="CW313" s="109">
        <f t="shared" si="147"/>
        <v>-42839371.598369129</v>
      </c>
      <c r="CX313" s="109">
        <f t="shared" si="148"/>
        <v>0</v>
      </c>
      <c r="CZ313" s="58">
        <f t="array" ref="CZ313">SUM(IF(CW313:CX313&gt;=CW313, 1))</f>
        <v>2</v>
      </c>
      <c r="DA313" s="58">
        <f t="array" ref="DA313">SUM(IF(CW313:CX313&gt;=CX313, 1))</f>
        <v>1</v>
      </c>
      <c r="DC313" s="109">
        <f t="shared" si="149"/>
        <v>-2445828.8967025406</v>
      </c>
      <c r="DD313" s="109">
        <f t="shared" si="150"/>
        <v>0</v>
      </c>
      <c r="DF313" s="58">
        <f t="array" ref="DF313">SUM(IF(DC313:DD313&gt;=DC313, 1))</f>
        <v>2</v>
      </c>
      <c r="DG313" s="58">
        <f t="array" ref="DG313">SUM(IF(DC313:DD313&gt;=DD313, 1))</f>
        <v>1</v>
      </c>
      <c r="DI313" s="109">
        <f t="shared" si="151"/>
        <v>-55973764.998332493</v>
      </c>
      <c r="DJ313" s="109">
        <f t="shared" si="152"/>
        <v>0</v>
      </c>
      <c r="DL313" s="58">
        <f t="array" ref="DL313">SUM(IF(DI313:DJ313&gt;=DI313, 1))</f>
        <v>2</v>
      </c>
      <c r="DM313" s="58">
        <f t="array" ref="DM313">SUM(IF(DI313:DJ313&gt;=DJ313, 1))</f>
        <v>1</v>
      </c>
      <c r="DO313" s="109">
        <f t="shared" si="153"/>
        <v>-7041896.6963469516</v>
      </c>
      <c r="DP313" s="109">
        <f t="shared" si="154"/>
        <v>0</v>
      </c>
      <c r="DR313" s="58">
        <f t="array" ref="DR313">SUM(IF(DO313:DP313&gt;=DO313, 1))</f>
        <v>2</v>
      </c>
      <c r="DS313" s="58">
        <f t="array" ref="DS313">SUM(IF(DO313:DP313&gt;=DP313, 1))</f>
        <v>1</v>
      </c>
      <c r="DU313" s="109">
        <f t="shared" si="155"/>
        <v>-32760010.232775744</v>
      </c>
      <c r="DV313" s="109">
        <f t="shared" si="156"/>
        <v>0</v>
      </c>
      <c r="DX313" s="58">
        <f t="array" ref="DX313">SUM(IF(DU313:DV313&gt;=DU313, 1))</f>
        <v>2</v>
      </c>
      <c r="DY313" s="58">
        <f t="array" ref="DY313">SUM(IF(DU313:DV313&gt;=DV313, 1))</f>
        <v>1</v>
      </c>
      <c r="EA313" s="109">
        <f t="shared" si="157"/>
        <v>-141060872.42252684</v>
      </c>
      <c r="EB313" s="109">
        <f t="shared" si="158"/>
        <v>0</v>
      </c>
      <c r="ED313" s="58">
        <f t="array" ref="ED313">SUM(IF(EA313:EB313&gt;=EA313, 1))</f>
        <v>2</v>
      </c>
      <c r="EE313" s="58">
        <f t="array" ref="EE313">SUM(IF(EA313:EB313&gt;=EB313, 1))</f>
        <v>1</v>
      </c>
    </row>
    <row r="314" spans="4:135" ht="12" customHeight="1" x14ac:dyDescent="0.25">
      <c r="D314" s="11">
        <v>298</v>
      </c>
      <c r="E314" s="72">
        <v>239.80749136205816</v>
      </c>
      <c r="F314" s="72">
        <v>211.52706654183444</v>
      </c>
      <c r="G314" s="73"/>
      <c r="H314" s="74">
        <v>5.8261119567689343</v>
      </c>
      <c r="I314" s="74">
        <v>5.84164769672023</v>
      </c>
      <c r="J314" s="73"/>
      <c r="K314" s="72">
        <v>256.93053162926185</v>
      </c>
      <c r="L314" s="72">
        <v>227.99854222579961</v>
      </c>
      <c r="M314" s="73"/>
      <c r="N314" s="74">
        <v>6.7070014157748901</v>
      </c>
      <c r="O314" s="74">
        <v>6.720242942876097</v>
      </c>
      <c r="P314" s="73"/>
      <c r="Q314" s="72">
        <v>1451.6925560383881</v>
      </c>
      <c r="R314" s="72">
        <v>1217.596348472179</v>
      </c>
      <c r="S314" s="73"/>
      <c r="T314" s="74">
        <v>4.9383631926952711</v>
      </c>
      <c r="U314" s="74">
        <v>4.9734956657160572</v>
      </c>
      <c r="V314" s="73"/>
      <c r="W314" s="72">
        <v>10238.565355309911</v>
      </c>
      <c r="X314" s="72">
        <v>10260.953796303647</v>
      </c>
      <c r="Y314" s="73"/>
      <c r="Z314" s="74">
        <v>3.0806721038355329</v>
      </c>
      <c r="AA314" s="74">
        <v>3.1329396477093563</v>
      </c>
      <c r="AB314" s="73"/>
      <c r="AC314" s="72">
        <v>50557.2750661182</v>
      </c>
      <c r="AD314" s="72">
        <v>50159.991869719415</v>
      </c>
      <c r="AE314" s="73"/>
      <c r="AF314" s="74">
        <v>3.8720019234433893</v>
      </c>
      <c r="AG314" s="74">
        <v>4.0320149994278092</v>
      </c>
      <c r="AH314" s="73"/>
      <c r="AI314" s="72">
        <v>3023310.8522103676</v>
      </c>
      <c r="AJ314" s="72">
        <v>0</v>
      </c>
      <c r="AK314" s="73"/>
      <c r="AL314" s="74">
        <v>-1660.8439049431063</v>
      </c>
      <c r="AM314" s="74">
        <v>0</v>
      </c>
      <c r="AN314" s="73"/>
      <c r="AO314" s="72">
        <v>192208.24432810029</v>
      </c>
      <c r="AP314" s="72">
        <v>0</v>
      </c>
      <c r="AQ314" s="73"/>
      <c r="AR314" s="74">
        <v>-87.969432065441652</v>
      </c>
      <c r="AS314" s="74">
        <v>0</v>
      </c>
      <c r="AT314" s="73"/>
      <c r="AU314" s="72">
        <v>5437919.8749905676</v>
      </c>
      <c r="AV314" s="72">
        <v>0</v>
      </c>
      <c r="AW314" s="73"/>
      <c r="AX314" s="74">
        <v>-816.10708385042301</v>
      </c>
      <c r="AY314" s="74">
        <v>0</v>
      </c>
      <c r="AZ314" s="73"/>
      <c r="BA314" s="72">
        <v>-197201.33152074221</v>
      </c>
      <c r="BB314" s="72">
        <v>0</v>
      </c>
      <c r="BC314" s="73"/>
      <c r="BD314" s="74">
        <v>-460.38173225730384</v>
      </c>
      <c r="BE314" s="74">
        <v>0</v>
      </c>
      <c r="BF314" s="73"/>
      <c r="BG314" s="72">
        <v>6243844.3201135695</v>
      </c>
      <c r="BH314" s="72">
        <v>0</v>
      </c>
      <c r="BI314" s="73"/>
      <c r="BJ314" s="74">
        <v>-2514.8225363811966</v>
      </c>
      <c r="BK314" s="74">
        <v>0</v>
      </c>
      <c r="BL314" s="73"/>
      <c r="BM314" s="72">
        <v>14700081.960121863</v>
      </c>
      <c r="BN314" s="72">
        <v>0</v>
      </c>
      <c r="BO314" s="73"/>
      <c r="BP314" s="74">
        <v>-5540.124689497472</v>
      </c>
      <c r="BQ314" s="74">
        <v>0</v>
      </c>
      <c r="BS314" s="109">
        <f t="shared" si="138"/>
        <v>116282.43164401663</v>
      </c>
      <c r="BT314" s="109">
        <f t="shared" si="139"/>
        <v>116621.42686786277</v>
      </c>
      <c r="BV314" s="58">
        <f t="array" ref="BV314">SUM(IF(BS314:BT314&gt;=BS314, 1))</f>
        <v>2</v>
      </c>
      <c r="BW314" s="58">
        <f t="array" ref="BW314">SUM(IF(BS314:BT314&gt;=BT314, 1))</f>
        <v>1</v>
      </c>
      <c r="BY314" s="109">
        <f t="shared" si="140"/>
        <v>133883.09778386852</v>
      </c>
      <c r="BZ314" s="109">
        <f t="shared" si="141"/>
        <v>134176.86031529613</v>
      </c>
      <c r="CB314" s="58">
        <f t="array" ref="CB314">SUM(IF(BY314:BZ314&gt;=BY314, 1))</f>
        <v>2</v>
      </c>
      <c r="CC314" s="58">
        <f t="array" ref="CC314">SUM(IF(BY314:BZ314&gt;=BZ314, 1))</f>
        <v>1</v>
      </c>
      <c r="CE314" s="109">
        <f t="shared" si="142"/>
        <v>97315.571297867034</v>
      </c>
      <c r="CF314" s="109">
        <f t="shared" si="143"/>
        <v>98252.316965848964</v>
      </c>
      <c r="CH314" s="58">
        <f t="array" ref="CH314">SUM(IF(CE314:CF314&gt;=CE314, 1))</f>
        <v>2</v>
      </c>
      <c r="CI314" s="58">
        <f t="array" ref="CI314">SUM(IF(CE314:CF314&gt;=CF314, 1))</f>
        <v>1</v>
      </c>
      <c r="CK314" s="109">
        <f t="shared" si="144"/>
        <v>51374.876721400746</v>
      </c>
      <c r="CL314" s="109">
        <f t="shared" si="145"/>
        <v>52397.839157883478</v>
      </c>
      <c r="CN314" s="58">
        <f t="array" ref="CN314">SUM(IF(CK314:CL314&gt;=CK314, 1))</f>
        <v>2</v>
      </c>
      <c r="CO314" s="58">
        <f t="array" ref="CO314">SUM(IF(CK314:CL314&gt;=CL314, 1))</f>
        <v>1</v>
      </c>
      <c r="CQ314" s="109" cm="1">
        <f t="array" ref="CQ314">AF314*WTP-AC314</f>
        <v>26882.763402749588</v>
      </c>
      <c r="CR314" s="109">
        <f t="shared" si="146"/>
        <v>30480.308118836772</v>
      </c>
      <c r="CT314" s="58">
        <f t="array" ref="CT314">SUM(IF(CQ314:CR314&gt;=CQ314, 1))</f>
        <v>2</v>
      </c>
      <c r="CU314" s="58">
        <f t="array" ref="CU314">SUM(IF(CQ314:CR314&gt;=CR314, 1))</f>
        <v>1</v>
      </c>
      <c r="CW314" s="109">
        <f t="shared" si="147"/>
        <v>-36240188.951072492</v>
      </c>
      <c r="CX314" s="109">
        <f t="shared" si="148"/>
        <v>0</v>
      </c>
      <c r="CZ314" s="58">
        <f t="array" ref="CZ314">SUM(IF(CW314:CX314&gt;=CW314, 1))</f>
        <v>2</v>
      </c>
      <c r="DA314" s="58">
        <f t="array" ref="DA314">SUM(IF(CW314:CX314&gt;=CX314, 1))</f>
        <v>1</v>
      </c>
      <c r="DC314" s="109">
        <f t="shared" si="149"/>
        <v>-1951596.8856369331</v>
      </c>
      <c r="DD314" s="109">
        <f t="shared" si="150"/>
        <v>0</v>
      </c>
      <c r="DF314" s="58">
        <f t="array" ref="DF314">SUM(IF(DC314:DD314&gt;=DC314, 1))</f>
        <v>2</v>
      </c>
      <c r="DG314" s="58">
        <f t="array" ref="DG314">SUM(IF(DC314:DD314&gt;=DD314, 1))</f>
        <v>1</v>
      </c>
      <c r="DI314" s="109">
        <f t="shared" si="151"/>
        <v>-21760061.551999025</v>
      </c>
      <c r="DJ314" s="109">
        <f t="shared" si="152"/>
        <v>0</v>
      </c>
      <c r="DL314" s="58">
        <f t="array" ref="DL314">SUM(IF(DI314:DJ314&gt;=DI314, 1))</f>
        <v>2</v>
      </c>
      <c r="DM314" s="58">
        <f t="array" ref="DM314">SUM(IF(DI314:DJ314&gt;=DJ314, 1))</f>
        <v>1</v>
      </c>
      <c r="DO314" s="109">
        <f t="shared" si="153"/>
        <v>-9010433.3136253357</v>
      </c>
      <c r="DP314" s="109">
        <f t="shared" si="154"/>
        <v>0</v>
      </c>
      <c r="DR314" s="58">
        <f t="array" ref="DR314">SUM(IF(DO314:DP314&gt;=DO314, 1))</f>
        <v>2</v>
      </c>
      <c r="DS314" s="58">
        <f t="array" ref="DS314">SUM(IF(DO314:DP314&gt;=DP314, 1))</f>
        <v>1</v>
      </c>
      <c r="DU314" s="109">
        <f t="shared" si="155"/>
        <v>-56540295.047737502</v>
      </c>
      <c r="DV314" s="109">
        <f t="shared" si="156"/>
        <v>0</v>
      </c>
      <c r="DX314" s="58">
        <f t="array" ref="DX314">SUM(IF(DU314:DV314&gt;=DU314, 1))</f>
        <v>2</v>
      </c>
      <c r="DY314" s="58">
        <f t="array" ref="DY314">SUM(IF(DU314:DV314&gt;=DV314, 1))</f>
        <v>1</v>
      </c>
      <c r="EA314" s="109">
        <f t="shared" si="157"/>
        <v>-125502575.75007132</v>
      </c>
      <c r="EB314" s="109">
        <f t="shared" si="158"/>
        <v>0</v>
      </c>
      <c r="ED314" s="58">
        <f t="array" ref="ED314">SUM(IF(EA314:EB314&gt;=EA314, 1))</f>
        <v>2</v>
      </c>
      <c r="EE314" s="58">
        <f t="array" ref="EE314">SUM(IF(EA314:EB314&gt;=EB314, 1))</f>
        <v>1</v>
      </c>
    </row>
    <row r="315" spans="4:135" ht="12" customHeight="1" x14ac:dyDescent="0.25">
      <c r="D315" s="11">
        <v>299</v>
      </c>
      <c r="E315" s="72">
        <v>211.52967864643713</v>
      </c>
      <c r="F315" s="72">
        <v>195.46663223650006</v>
      </c>
      <c r="G315" s="73"/>
      <c r="H315" s="74">
        <v>5.8663274477459595</v>
      </c>
      <c r="I315" s="74">
        <v>5.8873250900401617</v>
      </c>
      <c r="J315" s="73"/>
      <c r="K315" s="72">
        <v>227.34784523383087</v>
      </c>
      <c r="L315" s="72">
        <v>210.89293083665055</v>
      </c>
      <c r="M315" s="73"/>
      <c r="N315" s="74">
        <v>6.7476824428783013</v>
      </c>
      <c r="O315" s="74">
        <v>6.7662573616197728</v>
      </c>
      <c r="P315" s="73"/>
      <c r="Q315" s="72">
        <v>2706.1114748759737</v>
      </c>
      <c r="R315" s="72">
        <v>1203.2526907488264</v>
      </c>
      <c r="S315" s="73"/>
      <c r="T315" s="74">
        <v>4.8585340042432987</v>
      </c>
      <c r="U315" s="74">
        <v>4.9928316789369962</v>
      </c>
      <c r="V315" s="73"/>
      <c r="W315" s="72">
        <v>14074.058266544533</v>
      </c>
      <c r="X315" s="72">
        <v>14082.020499634533</v>
      </c>
      <c r="Y315" s="73"/>
      <c r="Z315" s="74">
        <v>2.9784911657466178</v>
      </c>
      <c r="AA315" s="74">
        <v>3.0304477319752303</v>
      </c>
      <c r="AB315" s="73"/>
      <c r="AC315" s="72">
        <v>50691.360910181014</v>
      </c>
      <c r="AD315" s="72">
        <v>50405.307620617983</v>
      </c>
      <c r="AE315" s="73"/>
      <c r="AF315" s="74">
        <v>4.6262953587724764</v>
      </c>
      <c r="AG315" s="74">
        <v>4.7181904003149855</v>
      </c>
      <c r="AH315" s="73"/>
      <c r="AI315" s="72">
        <v>1733909.0262709514</v>
      </c>
      <c r="AJ315" s="72">
        <v>0</v>
      </c>
      <c r="AK315" s="73"/>
      <c r="AL315" s="74">
        <v>-2266.5689045013792</v>
      </c>
      <c r="AM315" s="74">
        <v>0</v>
      </c>
      <c r="AN315" s="73"/>
      <c r="AO315" s="72">
        <v>115034.3292191198</v>
      </c>
      <c r="AP315" s="72">
        <v>0</v>
      </c>
      <c r="AQ315" s="73"/>
      <c r="AR315" s="74">
        <v>-129.85502483628682</v>
      </c>
      <c r="AS315" s="74">
        <v>0</v>
      </c>
      <c r="AT315" s="73"/>
      <c r="AU315" s="72">
        <v>33932171.360887006</v>
      </c>
      <c r="AV315" s="72">
        <v>0</v>
      </c>
      <c r="AW315" s="73"/>
      <c r="AX315" s="74">
        <v>-3032.2288156447712</v>
      </c>
      <c r="AY315" s="74">
        <v>0</v>
      </c>
      <c r="AZ315" s="73"/>
      <c r="BA315" s="72">
        <v>-73087.471711196675</v>
      </c>
      <c r="BB315" s="72">
        <v>0</v>
      </c>
      <c r="BC315" s="73"/>
      <c r="BD315" s="74">
        <v>-476.92324772729842</v>
      </c>
      <c r="BE315" s="74">
        <v>0</v>
      </c>
      <c r="BF315" s="73"/>
      <c r="BG315" s="72">
        <v>4461795.8489475772</v>
      </c>
      <c r="BH315" s="72">
        <v>0</v>
      </c>
      <c r="BI315" s="73"/>
      <c r="BJ315" s="74">
        <v>-1433.358502954344</v>
      </c>
      <c r="BK315" s="74">
        <v>0</v>
      </c>
      <c r="BL315" s="73"/>
      <c r="BM315" s="72">
        <v>40169823.093613461</v>
      </c>
      <c r="BN315" s="72">
        <v>0</v>
      </c>
      <c r="BO315" s="73"/>
      <c r="BP315" s="74">
        <v>-7338.9344956640789</v>
      </c>
      <c r="BQ315" s="74">
        <v>0</v>
      </c>
      <c r="BS315" s="109">
        <f t="shared" si="138"/>
        <v>117115.01927627275</v>
      </c>
      <c r="BT315" s="109">
        <f t="shared" si="139"/>
        <v>117551.03516856674</v>
      </c>
      <c r="BV315" s="58">
        <f t="array" ref="BV315">SUM(IF(BS315:BT315&gt;=BS315, 1))</f>
        <v>2</v>
      </c>
      <c r="BW315" s="58">
        <f t="array" ref="BW315">SUM(IF(BS315:BT315&gt;=BT315, 1))</f>
        <v>1</v>
      </c>
      <c r="BY315" s="109">
        <f t="shared" si="140"/>
        <v>134726.3010123322</v>
      </c>
      <c r="BZ315" s="109">
        <f t="shared" si="141"/>
        <v>135114.2543015588</v>
      </c>
      <c r="CB315" s="58">
        <f t="array" ref="CB315">SUM(IF(BY315:BZ315&gt;=BY315, 1))</f>
        <v>2</v>
      </c>
      <c r="CC315" s="58">
        <f t="array" ref="CC315">SUM(IF(BY315:BZ315&gt;=BZ315, 1))</f>
        <v>1</v>
      </c>
      <c r="CE315" s="109">
        <f t="shared" si="142"/>
        <v>94464.568609990005</v>
      </c>
      <c r="CF315" s="109">
        <f t="shared" si="143"/>
        <v>98653.380887991108</v>
      </c>
      <c r="CH315" s="58">
        <f t="array" ref="CH315">SUM(IF(CE315:CF315&gt;=CE315, 1))</f>
        <v>2</v>
      </c>
      <c r="CI315" s="58">
        <f t="array" ref="CI315">SUM(IF(CE315:CF315&gt;=CF315, 1))</f>
        <v>1</v>
      </c>
      <c r="CK315" s="109">
        <f t="shared" si="144"/>
        <v>45495.765048387824</v>
      </c>
      <c r="CL315" s="109">
        <f t="shared" si="145"/>
        <v>46526.934139870071</v>
      </c>
      <c r="CN315" s="58">
        <f t="array" ref="CN315">SUM(IF(CK315:CL315&gt;=CK315, 1))</f>
        <v>2</v>
      </c>
      <c r="CO315" s="58">
        <f t="array" ref="CO315">SUM(IF(CK315:CL315&gt;=CL315, 1))</f>
        <v>1</v>
      </c>
      <c r="CQ315" s="109" cm="1">
        <f t="array" ref="CQ315">AF315*WTP-AC315</f>
        <v>41834.546265268509</v>
      </c>
      <c r="CR315" s="109">
        <f t="shared" si="146"/>
        <v>43958.50038568172</v>
      </c>
      <c r="CT315" s="58">
        <f t="array" ref="CT315">SUM(IF(CQ315:CR315&gt;=CQ315, 1))</f>
        <v>2</v>
      </c>
      <c r="CU315" s="58">
        <f t="array" ref="CU315">SUM(IF(CQ315:CR315&gt;=CR315, 1))</f>
        <v>1</v>
      </c>
      <c r="CW315" s="109">
        <f t="shared" si="147"/>
        <v>-47065287.116298534</v>
      </c>
      <c r="CX315" s="109">
        <f t="shared" si="148"/>
        <v>0</v>
      </c>
      <c r="CZ315" s="58">
        <f t="array" ref="CZ315">SUM(IF(CW315:CX315&gt;=CW315, 1))</f>
        <v>2</v>
      </c>
      <c r="DA315" s="58">
        <f t="array" ref="DA315">SUM(IF(CW315:CX315&gt;=CX315, 1))</f>
        <v>1</v>
      </c>
      <c r="DC315" s="109">
        <f t="shared" si="149"/>
        <v>-2712134.8259448558</v>
      </c>
      <c r="DD315" s="109">
        <f t="shared" si="150"/>
        <v>0</v>
      </c>
      <c r="DF315" s="58">
        <f t="array" ref="DF315">SUM(IF(DC315:DD315&gt;=DC315, 1))</f>
        <v>2</v>
      </c>
      <c r="DG315" s="58">
        <f t="array" ref="DG315">SUM(IF(DC315:DD315&gt;=DD315, 1))</f>
        <v>1</v>
      </c>
      <c r="DI315" s="109">
        <f t="shared" si="151"/>
        <v>-94576747.673782438</v>
      </c>
      <c r="DJ315" s="109">
        <f t="shared" si="152"/>
        <v>0</v>
      </c>
      <c r="DL315" s="58">
        <f t="array" ref="DL315">SUM(IF(DI315:DJ315&gt;=DI315, 1))</f>
        <v>2</v>
      </c>
      <c r="DM315" s="58">
        <f t="array" ref="DM315">SUM(IF(DI315:DJ315&gt;=DJ315, 1))</f>
        <v>1</v>
      </c>
      <c r="DO315" s="109">
        <f t="shared" si="153"/>
        <v>-9465377.4828347731</v>
      </c>
      <c r="DP315" s="109">
        <f t="shared" si="154"/>
        <v>0</v>
      </c>
      <c r="DR315" s="58">
        <f t="array" ref="DR315">SUM(IF(DO315:DP315&gt;=DO315, 1))</f>
        <v>2</v>
      </c>
      <c r="DS315" s="58">
        <f t="array" ref="DS315">SUM(IF(DO315:DP315&gt;=DP315, 1))</f>
        <v>1</v>
      </c>
      <c r="DU315" s="109">
        <f t="shared" si="155"/>
        <v>-33128965.908034455</v>
      </c>
      <c r="DV315" s="109">
        <f t="shared" si="156"/>
        <v>0</v>
      </c>
      <c r="DX315" s="58">
        <f t="array" ref="DX315">SUM(IF(DU315:DV315&gt;=DU315, 1))</f>
        <v>2</v>
      </c>
      <c r="DY315" s="58">
        <f t="array" ref="DY315">SUM(IF(DU315:DV315&gt;=DV315, 1))</f>
        <v>1</v>
      </c>
      <c r="EA315" s="109">
        <f t="shared" si="157"/>
        <v>-186948513.00689507</v>
      </c>
      <c r="EB315" s="109">
        <f t="shared" si="158"/>
        <v>0</v>
      </c>
      <c r="ED315" s="58">
        <f t="array" ref="ED315">SUM(IF(EA315:EB315&gt;=EA315, 1))</f>
        <v>2</v>
      </c>
      <c r="EE315" s="58">
        <f t="array" ref="EE315">SUM(IF(EA315:EB315&gt;=EB315, 1))</f>
        <v>1</v>
      </c>
    </row>
    <row r="316" spans="4:135" ht="12" customHeight="1" x14ac:dyDescent="0.25">
      <c r="D316" s="11">
        <v>300</v>
      </c>
      <c r="E316" s="72">
        <v>245.17786696849677</v>
      </c>
      <c r="F316" s="72">
        <v>217.67794979393082</v>
      </c>
      <c r="G316" s="73"/>
      <c r="H316" s="74">
        <v>5.8309582509006956</v>
      </c>
      <c r="I316" s="74">
        <v>5.848606838595269</v>
      </c>
      <c r="J316" s="73"/>
      <c r="K316" s="72">
        <v>262.89307474472406</v>
      </c>
      <c r="L316" s="72">
        <v>234.73348624767456</v>
      </c>
      <c r="M316" s="73"/>
      <c r="N316" s="74">
        <v>6.6925687298050924</v>
      </c>
      <c r="O316" s="74">
        <v>6.7078418875774126</v>
      </c>
      <c r="P316" s="73"/>
      <c r="Q316" s="72">
        <v>2244.1087111105289</v>
      </c>
      <c r="R316" s="72">
        <v>1331.671596541446</v>
      </c>
      <c r="S316" s="73"/>
      <c r="T316" s="74">
        <v>4.7647914498348758</v>
      </c>
      <c r="U316" s="74">
        <v>4.8896680828687948</v>
      </c>
      <c r="V316" s="73"/>
      <c r="W316" s="72">
        <v>11844.444729674522</v>
      </c>
      <c r="X316" s="72">
        <v>11843.164571953603</v>
      </c>
      <c r="Y316" s="73"/>
      <c r="Z316" s="74">
        <v>3.0829482957828596</v>
      </c>
      <c r="AA316" s="74">
        <v>3.1416754726656535</v>
      </c>
      <c r="AB316" s="73"/>
      <c r="AC316" s="72">
        <v>49889.787236048956</v>
      </c>
      <c r="AD316" s="72">
        <v>49864.886442602605</v>
      </c>
      <c r="AE316" s="73"/>
      <c r="AF316" s="74">
        <v>4.4701183903049593</v>
      </c>
      <c r="AG316" s="74">
        <v>4.5939223306125676</v>
      </c>
      <c r="AH316" s="73"/>
      <c r="AI316" s="72">
        <v>2966719.3368183612</v>
      </c>
      <c r="AJ316" s="72">
        <v>0</v>
      </c>
      <c r="AK316" s="73"/>
      <c r="AL316" s="74">
        <v>-1903.9477845937076</v>
      </c>
      <c r="AM316" s="74">
        <v>0</v>
      </c>
      <c r="AN316" s="73"/>
      <c r="AO316" s="72">
        <v>194049.11292432746</v>
      </c>
      <c r="AP316" s="72">
        <v>0</v>
      </c>
      <c r="AQ316" s="73"/>
      <c r="AR316" s="74">
        <v>-105.24808335116704</v>
      </c>
      <c r="AS316" s="74">
        <v>0</v>
      </c>
      <c r="AT316" s="73"/>
      <c r="AU316" s="72">
        <v>21075880.833019495</v>
      </c>
      <c r="AV316" s="72">
        <v>0</v>
      </c>
      <c r="AW316" s="73"/>
      <c r="AX316" s="74">
        <v>-2884.4563582823403</v>
      </c>
      <c r="AY316" s="74">
        <v>0</v>
      </c>
      <c r="AZ316" s="73"/>
      <c r="BA316" s="72">
        <v>11707.308239282824</v>
      </c>
      <c r="BB316" s="72">
        <v>0</v>
      </c>
      <c r="BC316" s="73"/>
      <c r="BD316" s="74">
        <v>-537.07222989368825</v>
      </c>
      <c r="BE316" s="74">
        <v>0</v>
      </c>
      <c r="BF316" s="73"/>
      <c r="BG316" s="72">
        <v>388307.51123164059</v>
      </c>
      <c r="BH316" s="72">
        <v>0</v>
      </c>
      <c r="BI316" s="73"/>
      <c r="BJ316" s="74">
        <v>-1930.6212087214299</v>
      </c>
      <c r="BK316" s="74">
        <v>0</v>
      </c>
      <c r="BL316" s="73"/>
      <c r="BM316" s="72">
        <v>24636664.102233108</v>
      </c>
      <c r="BN316" s="72">
        <v>0</v>
      </c>
      <c r="BO316" s="73"/>
      <c r="BP316" s="74">
        <v>-7361.3456648423326</v>
      </c>
      <c r="BQ316" s="74">
        <v>0</v>
      </c>
      <c r="BS316" s="109">
        <f t="shared" si="138"/>
        <v>116373.98715104541</v>
      </c>
      <c r="BT316" s="109">
        <f t="shared" si="139"/>
        <v>116754.45882211145</v>
      </c>
      <c r="BV316" s="58">
        <f t="array" ref="BV316">SUM(IF(BS316:BT316&gt;=BS316, 1))</f>
        <v>2</v>
      </c>
      <c r="BW316" s="58">
        <f t="array" ref="BW316">SUM(IF(BS316:BT316&gt;=BT316, 1))</f>
        <v>1</v>
      </c>
      <c r="BY316" s="109">
        <f t="shared" si="140"/>
        <v>133588.48152135711</v>
      </c>
      <c r="BZ316" s="109">
        <f t="shared" si="141"/>
        <v>133922.10426530056</v>
      </c>
      <c r="CB316" s="58">
        <f t="array" ref="CB316">SUM(IF(BY316:BZ316&gt;=BY316, 1))</f>
        <v>2</v>
      </c>
      <c r="CC316" s="58">
        <f t="array" ref="CC316">SUM(IF(BY316:BZ316&gt;=BZ316, 1))</f>
        <v>1</v>
      </c>
      <c r="CE316" s="109">
        <f t="shared" si="142"/>
        <v>93051.720285586984</v>
      </c>
      <c r="CF316" s="109">
        <f t="shared" si="143"/>
        <v>96461.690060834444</v>
      </c>
      <c r="CH316" s="58">
        <f t="array" ref="CH316">SUM(IF(CE316:CF316&gt;=CE316, 1))</f>
        <v>2</v>
      </c>
      <c r="CI316" s="58">
        <f t="array" ref="CI316">SUM(IF(CE316:CF316&gt;=CF316, 1))</f>
        <v>1</v>
      </c>
      <c r="CK316" s="109">
        <f t="shared" si="144"/>
        <v>49814.521185982674</v>
      </c>
      <c r="CL316" s="109">
        <f t="shared" si="145"/>
        <v>50990.344881359466</v>
      </c>
      <c r="CN316" s="58">
        <f t="array" ref="CN316">SUM(IF(CK316:CL316&gt;=CK316, 1))</f>
        <v>2</v>
      </c>
      <c r="CO316" s="58">
        <f t="array" ref="CO316">SUM(IF(CK316:CL316&gt;=CL316, 1))</f>
        <v>1</v>
      </c>
      <c r="CQ316" s="109" cm="1">
        <f t="array" ref="CQ316">AF316*WTP-AC316</f>
        <v>39512.580570050224</v>
      </c>
      <c r="CR316" s="109">
        <f t="shared" si="146"/>
        <v>42013.56016964875</v>
      </c>
      <c r="CT316" s="58">
        <f t="array" ref="CT316">SUM(IF(CQ316:CR316&gt;=CQ316, 1))</f>
        <v>2</v>
      </c>
      <c r="CU316" s="58">
        <f t="array" ref="CU316">SUM(IF(CQ316:CR316&gt;=CR316, 1))</f>
        <v>1</v>
      </c>
      <c r="CW316" s="109">
        <f t="shared" si="147"/>
        <v>-41045675.028692514</v>
      </c>
      <c r="CX316" s="109">
        <f t="shared" si="148"/>
        <v>0</v>
      </c>
      <c r="CZ316" s="58">
        <f t="array" ref="CZ316">SUM(IF(CW316:CX316&gt;=CW316, 1))</f>
        <v>2</v>
      </c>
      <c r="DA316" s="58">
        <f t="array" ref="DA316">SUM(IF(CW316:CX316&gt;=CX316, 1))</f>
        <v>1</v>
      </c>
      <c r="DC316" s="109">
        <f t="shared" si="149"/>
        <v>-2299010.7799476683</v>
      </c>
      <c r="DD316" s="109">
        <f t="shared" si="150"/>
        <v>0</v>
      </c>
      <c r="DF316" s="58">
        <f t="array" ref="DF316">SUM(IF(DC316:DD316&gt;=DC316, 1))</f>
        <v>2</v>
      </c>
      <c r="DG316" s="58">
        <f t="array" ref="DG316">SUM(IF(DC316:DD316&gt;=DD316, 1))</f>
        <v>1</v>
      </c>
      <c r="DI316" s="109">
        <f t="shared" si="151"/>
        <v>-78765007.998666301</v>
      </c>
      <c r="DJ316" s="109">
        <f t="shared" si="152"/>
        <v>0</v>
      </c>
      <c r="DL316" s="58">
        <f t="array" ref="DL316">SUM(IF(DI316:DJ316&gt;=DI316, 1))</f>
        <v>2</v>
      </c>
      <c r="DM316" s="58">
        <f t="array" ref="DM316">SUM(IF(DI316:DJ316&gt;=DJ316, 1))</f>
        <v>1</v>
      </c>
      <c r="DO316" s="109">
        <f t="shared" si="153"/>
        <v>-10753151.906113047</v>
      </c>
      <c r="DP316" s="109">
        <f t="shared" si="154"/>
        <v>0</v>
      </c>
      <c r="DR316" s="58">
        <f t="array" ref="DR316">SUM(IF(DO316:DP316&gt;=DO316, 1))</f>
        <v>2</v>
      </c>
      <c r="DS316" s="58">
        <f t="array" ref="DS316">SUM(IF(DO316:DP316&gt;=DP316, 1))</f>
        <v>1</v>
      </c>
      <c r="DU316" s="109">
        <f t="shared" si="155"/>
        <v>-39000731.685660236</v>
      </c>
      <c r="DV316" s="109">
        <f t="shared" si="156"/>
        <v>0</v>
      </c>
      <c r="DX316" s="58">
        <f t="array" ref="DX316">SUM(IF(DU316:DV316&gt;=DU316, 1))</f>
        <v>2</v>
      </c>
      <c r="DY316" s="58">
        <f t="array" ref="DY316">SUM(IF(DU316:DV316&gt;=DV316, 1))</f>
        <v>1</v>
      </c>
      <c r="EA316" s="109">
        <f t="shared" si="157"/>
        <v>-171863577.39907977</v>
      </c>
      <c r="EB316" s="109">
        <f t="shared" si="158"/>
        <v>0</v>
      </c>
      <c r="ED316" s="58">
        <f t="array" ref="ED316">SUM(IF(EA316:EB316&gt;=EA316, 1))</f>
        <v>2</v>
      </c>
      <c r="EE316" s="58">
        <f t="array" ref="EE316">SUM(IF(EA316:EB316&gt;=EB316, 1))</f>
        <v>1</v>
      </c>
    </row>
    <row r="317" spans="4:135" ht="12" customHeight="1" x14ac:dyDescent="0.25">
      <c r="D317" s="11">
        <v>301</v>
      </c>
      <c r="E317" s="72">
        <v>360.67535628153399</v>
      </c>
      <c r="F317" s="72">
        <v>325.72050494256121</v>
      </c>
      <c r="G317" s="73"/>
      <c r="H317" s="74">
        <v>5.8348848850178827</v>
      </c>
      <c r="I317" s="74">
        <v>5.8504672919227199</v>
      </c>
      <c r="J317" s="73"/>
      <c r="K317" s="72">
        <v>386.98198326413581</v>
      </c>
      <c r="L317" s="72">
        <v>351.15349371510359</v>
      </c>
      <c r="M317" s="73"/>
      <c r="N317" s="74">
        <v>6.6773731032245554</v>
      </c>
      <c r="O317" s="74">
        <v>6.6896334840284819</v>
      </c>
      <c r="P317" s="73"/>
      <c r="Q317" s="72">
        <v>1945.0170790668535</v>
      </c>
      <c r="R317" s="72">
        <v>1251.8567003561889</v>
      </c>
      <c r="S317" s="73"/>
      <c r="T317" s="74">
        <v>4.9416056373803219</v>
      </c>
      <c r="U317" s="74">
        <v>5.0116442376902235</v>
      </c>
      <c r="V317" s="73"/>
      <c r="W317" s="72">
        <v>12312.631389142829</v>
      </c>
      <c r="X317" s="72">
        <v>12313.195531760282</v>
      </c>
      <c r="Y317" s="73"/>
      <c r="Z317" s="74">
        <v>3.0513418672833885</v>
      </c>
      <c r="AA317" s="74">
        <v>3.1005146617780768</v>
      </c>
      <c r="AB317" s="73"/>
      <c r="AC317" s="72">
        <v>49444.264100633482</v>
      </c>
      <c r="AD317" s="72">
        <v>49507.599465826846</v>
      </c>
      <c r="AE317" s="73"/>
      <c r="AF317" s="74">
        <v>4.8494410823819951</v>
      </c>
      <c r="AG317" s="74">
        <v>4.9097433396280508</v>
      </c>
      <c r="AH317" s="73"/>
      <c r="AI317" s="72">
        <v>3738918.9762067376</v>
      </c>
      <c r="AJ317" s="72">
        <v>0</v>
      </c>
      <c r="AK317" s="73"/>
      <c r="AL317" s="74">
        <v>-1666.7602532902833</v>
      </c>
      <c r="AM317" s="74">
        <v>0</v>
      </c>
      <c r="AN317" s="73"/>
      <c r="AO317" s="72">
        <v>252792.28662029805</v>
      </c>
      <c r="AP317" s="72">
        <v>0</v>
      </c>
      <c r="AQ317" s="73"/>
      <c r="AR317" s="74">
        <v>-86.504615105771848</v>
      </c>
      <c r="AS317" s="74">
        <v>0</v>
      </c>
      <c r="AT317" s="73"/>
      <c r="AU317" s="72">
        <v>15477636.27085056</v>
      </c>
      <c r="AV317" s="72">
        <v>0</v>
      </c>
      <c r="AW317" s="73"/>
      <c r="AX317" s="74">
        <v>-1563.8977844240421</v>
      </c>
      <c r="AY317" s="74">
        <v>0</v>
      </c>
      <c r="AZ317" s="73"/>
      <c r="BA317" s="72">
        <v>-5156.4788524829046</v>
      </c>
      <c r="BB317" s="72">
        <v>0</v>
      </c>
      <c r="BC317" s="73"/>
      <c r="BD317" s="74">
        <v>-449.45811056420138</v>
      </c>
      <c r="BE317" s="74">
        <v>0</v>
      </c>
      <c r="BF317" s="73"/>
      <c r="BG317" s="72">
        <v>-987799.01591673342</v>
      </c>
      <c r="BH317" s="72">
        <v>0</v>
      </c>
      <c r="BI317" s="73"/>
      <c r="BJ317" s="74">
        <v>-940.49367495321223</v>
      </c>
      <c r="BK317" s="74">
        <v>0</v>
      </c>
      <c r="BL317" s="73"/>
      <c r="BM317" s="72">
        <v>18476392.038908377</v>
      </c>
      <c r="BN317" s="72">
        <v>0</v>
      </c>
      <c r="BO317" s="73"/>
      <c r="BP317" s="74">
        <v>-4707.1144383375113</v>
      </c>
      <c r="BQ317" s="74">
        <v>0</v>
      </c>
      <c r="BS317" s="109">
        <f t="shared" si="138"/>
        <v>116337.02234407613</v>
      </c>
      <c r="BT317" s="109">
        <f t="shared" si="139"/>
        <v>116683.62533351182</v>
      </c>
      <c r="BV317" s="58">
        <f t="array" ref="BV317">SUM(IF(BS317:BT317&gt;=BS317, 1))</f>
        <v>2</v>
      </c>
      <c r="BW317" s="58">
        <f t="array" ref="BW317">SUM(IF(BS317:BT317&gt;=BT317, 1))</f>
        <v>1</v>
      </c>
      <c r="BY317" s="109">
        <f t="shared" si="140"/>
        <v>133160.480081227</v>
      </c>
      <c r="BZ317" s="109">
        <f t="shared" si="141"/>
        <v>133441.51618685454</v>
      </c>
      <c r="CB317" s="58">
        <f t="array" ref="CB317">SUM(IF(BY317:BZ317&gt;=BY317, 1))</f>
        <v>2</v>
      </c>
      <c r="CC317" s="58">
        <f t="array" ref="CC317">SUM(IF(BY317:BZ317&gt;=BZ317, 1))</f>
        <v>1</v>
      </c>
      <c r="CE317" s="109">
        <f t="shared" si="142"/>
        <v>96887.095668539594</v>
      </c>
      <c r="CF317" s="109">
        <f t="shared" si="143"/>
        <v>98981.028053448274</v>
      </c>
      <c r="CH317" s="58">
        <f t="array" ref="CH317">SUM(IF(CE317:CF317&gt;=CE317, 1))</f>
        <v>2</v>
      </c>
      <c r="CI317" s="58">
        <f t="array" ref="CI317">SUM(IF(CE317:CF317&gt;=CF317, 1))</f>
        <v>1</v>
      </c>
      <c r="CK317" s="109">
        <f t="shared" si="144"/>
        <v>48714.205956524944</v>
      </c>
      <c r="CL317" s="109">
        <f t="shared" si="145"/>
        <v>49697.09770380125</v>
      </c>
      <c r="CN317" s="58">
        <f t="array" ref="CN317">SUM(IF(CK317:CL317&gt;=CK317, 1))</f>
        <v>2</v>
      </c>
      <c r="CO317" s="58">
        <f t="array" ref="CO317">SUM(IF(CK317:CL317&gt;=CL317, 1))</f>
        <v>1</v>
      </c>
      <c r="CQ317" s="109" cm="1">
        <f t="array" ref="CQ317">AF317*WTP-AC317</f>
        <v>47544.557547006414</v>
      </c>
      <c r="CR317" s="109">
        <f t="shared" si="146"/>
        <v>48687.267326734174</v>
      </c>
      <c r="CT317" s="58">
        <f t="array" ref="CT317">SUM(IF(CQ317:CR317&gt;=CQ317, 1))</f>
        <v>2</v>
      </c>
      <c r="CU317" s="58">
        <f t="array" ref="CU317">SUM(IF(CQ317:CR317&gt;=CR317, 1))</f>
        <v>1</v>
      </c>
      <c r="CW317" s="109">
        <f t="shared" si="147"/>
        <v>-37074124.042012401</v>
      </c>
      <c r="CX317" s="109">
        <f t="shared" si="148"/>
        <v>0</v>
      </c>
      <c r="CZ317" s="58">
        <f t="array" ref="CZ317">SUM(IF(CW317:CX317&gt;=CW317, 1))</f>
        <v>2</v>
      </c>
      <c r="DA317" s="58">
        <f t="array" ref="DA317">SUM(IF(CW317:CX317&gt;=CX317, 1))</f>
        <v>1</v>
      </c>
      <c r="DC317" s="109">
        <f t="shared" si="149"/>
        <v>-1982884.588735735</v>
      </c>
      <c r="DD317" s="109">
        <f t="shared" si="150"/>
        <v>0</v>
      </c>
      <c r="DF317" s="58">
        <f t="array" ref="DF317">SUM(IF(DC317:DD317&gt;=DC317, 1))</f>
        <v>2</v>
      </c>
      <c r="DG317" s="58">
        <f t="array" ref="DG317">SUM(IF(DC317:DD317&gt;=DD317, 1))</f>
        <v>1</v>
      </c>
      <c r="DI317" s="109">
        <f t="shared" si="151"/>
        <v>-46755591.959331401</v>
      </c>
      <c r="DJ317" s="109">
        <f t="shared" si="152"/>
        <v>0</v>
      </c>
      <c r="DL317" s="58">
        <f t="array" ref="DL317">SUM(IF(DI317:DJ317&gt;=DI317, 1))</f>
        <v>2</v>
      </c>
      <c r="DM317" s="58">
        <f t="array" ref="DM317">SUM(IF(DI317:DJ317&gt;=DJ317, 1))</f>
        <v>1</v>
      </c>
      <c r="DO317" s="109">
        <f t="shared" si="153"/>
        <v>-8984005.7324315459</v>
      </c>
      <c r="DP317" s="109">
        <f t="shared" si="154"/>
        <v>0</v>
      </c>
      <c r="DR317" s="58">
        <f t="array" ref="DR317">SUM(IF(DO317:DP317&gt;=DO317, 1))</f>
        <v>2</v>
      </c>
      <c r="DS317" s="58">
        <f t="array" ref="DS317">SUM(IF(DO317:DP317&gt;=DP317, 1))</f>
        <v>1</v>
      </c>
      <c r="DU317" s="109">
        <f t="shared" si="155"/>
        <v>-17822074.483147509</v>
      </c>
      <c r="DV317" s="109">
        <f t="shared" si="156"/>
        <v>0</v>
      </c>
      <c r="DX317" s="58">
        <f t="array" ref="DX317">SUM(IF(DU317:DV317&gt;=DU317, 1))</f>
        <v>2</v>
      </c>
      <c r="DY317" s="58">
        <f t="array" ref="DY317">SUM(IF(DU317:DV317&gt;=DV317, 1))</f>
        <v>1</v>
      </c>
      <c r="EA317" s="109">
        <f t="shared" si="157"/>
        <v>-112618680.80565861</v>
      </c>
      <c r="EB317" s="109">
        <f t="shared" si="158"/>
        <v>0</v>
      </c>
      <c r="ED317" s="58">
        <f t="array" ref="ED317">SUM(IF(EA317:EB317&gt;=EA317, 1))</f>
        <v>2</v>
      </c>
      <c r="EE317" s="58">
        <f t="array" ref="EE317">SUM(IF(EA317:EB317&gt;=EB317, 1))</f>
        <v>1</v>
      </c>
    </row>
    <row r="318" spans="4:135" ht="12" customHeight="1" x14ac:dyDescent="0.25">
      <c r="D318" s="11">
        <v>302</v>
      </c>
      <c r="E318" s="72">
        <v>262.78321447603452</v>
      </c>
      <c r="F318" s="72">
        <v>240.81494763157718</v>
      </c>
      <c r="G318" s="73"/>
      <c r="H318" s="74">
        <v>5.9029342382864138</v>
      </c>
      <c r="I318" s="74">
        <v>5.9215806187092204</v>
      </c>
      <c r="J318" s="73"/>
      <c r="K318" s="72">
        <v>282.20092846425433</v>
      </c>
      <c r="L318" s="72">
        <v>259.71480649864213</v>
      </c>
      <c r="M318" s="73"/>
      <c r="N318" s="74">
        <v>6.7023906633328068</v>
      </c>
      <c r="O318" s="74">
        <v>6.7192528568730641</v>
      </c>
      <c r="P318" s="73"/>
      <c r="Q318" s="72">
        <v>1844.9681910729355</v>
      </c>
      <c r="R318" s="72">
        <v>1306.9149147533922</v>
      </c>
      <c r="S318" s="73"/>
      <c r="T318" s="74">
        <v>4.8279317301977596</v>
      </c>
      <c r="U318" s="74">
        <v>4.9057051957240656</v>
      </c>
      <c r="V318" s="73"/>
      <c r="W318" s="72">
        <v>10375.222370490925</v>
      </c>
      <c r="X318" s="72">
        <v>10402.350675206228</v>
      </c>
      <c r="Y318" s="73"/>
      <c r="Z318" s="74">
        <v>2.9076388285836292</v>
      </c>
      <c r="AA318" s="74">
        <v>2.9570908563876128</v>
      </c>
      <c r="AB318" s="73"/>
      <c r="AC318" s="72">
        <v>49829.092460491913</v>
      </c>
      <c r="AD318" s="72">
        <v>49694.401754244827</v>
      </c>
      <c r="AE318" s="73"/>
      <c r="AF318" s="74">
        <v>4.6354449076898812</v>
      </c>
      <c r="AG318" s="74">
        <v>4.7922818573817469</v>
      </c>
      <c r="AH318" s="73"/>
      <c r="AI318" s="72">
        <v>2375488.7402645871</v>
      </c>
      <c r="AJ318" s="72">
        <v>0</v>
      </c>
      <c r="AK318" s="73"/>
      <c r="AL318" s="74">
        <v>-2016.2840817022641</v>
      </c>
      <c r="AM318" s="74">
        <v>0</v>
      </c>
      <c r="AN318" s="73"/>
      <c r="AO318" s="72">
        <v>156213.2781687938</v>
      </c>
      <c r="AP318" s="72">
        <v>0</v>
      </c>
      <c r="AQ318" s="73"/>
      <c r="AR318" s="74">
        <v>-117.14329994600907</v>
      </c>
      <c r="AS318" s="74">
        <v>0</v>
      </c>
      <c r="AT318" s="73"/>
      <c r="AU318" s="72">
        <v>12448426.938534899</v>
      </c>
      <c r="AV318" s="72">
        <v>0</v>
      </c>
      <c r="AW318" s="73"/>
      <c r="AX318" s="74">
        <v>-1799.3707054130205</v>
      </c>
      <c r="AY318" s="74">
        <v>0</v>
      </c>
      <c r="AZ318" s="73"/>
      <c r="BA318" s="72">
        <v>-243073.03367250846</v>
      </c>
      <c r="BB318" s="72">
        <v>0</v>
      </c>
      <c r="BC318" s="73"/>
      <c r="BD318" s="74">
        <v>-443.09640966215204</v>
      </c>
      <c r="BE318" s="74">
        <v>0</v>
      </c>
      <c r="BF318" s="73"/>
      <c r="BG318" s="72">
        <v>2119043.6420214432</v>
      </c>
      <c r="BH318" s="72">
        <v>0</v>
      </c>
      <c r="BI318" s="73"/>
      <c r="BJ318" s="74">
        <v>-2467.4630517484325</v>
      </c>
      <c r="BK318" s="74">
        <v>0</v>
      </c>
      <c r="BL318" s="73"/>
      <c r="BM318" s="72">
        <v>16856099.565317214</v>
      </c>
      <c r="BN318" s="72">
        <v>0</v>
      </c>
      <c r="BO318" s="73"/>
      <c r="BP318" s="74">
        <v>-6843.3575484718785</v>
      </c>
      <c r="BQ318" s="74">
        <v>0</v>
      </c>
      <c r="BS318" s="109">
        <f t="shared" si="138"/>
        <v>117795.90155125225</v>
      </c>
      <c r="BT318" s="109">
        <f t="shared" si="139"/>
        <v>118190.79742655283</v>
      </c>
      <c r="BV318" s="58">
        <f t="array" ref="BV318">SUM(IF(BS318:BT318&gt;=BS318, 1))</f>
        <v>2</v>
      </c>
      <c r="BW318" s="58">
        <f t="array" ref="BW318">SUM(IF(BS318:BT318&gt;=BT318, 1))</f>
        <v>1</v>
      </c>
      <c r="BY318" s="109">
        <f t="shared" si="140"/>
        <v>133765.61233819189</v>
      </c>
      <c r="BZ318" s="109">
        <f t="shared" si="141"/>
        <v>134125.34233096265</v>
      </c>
      <c r="CB318" s="58">
        <f t="array" ref="CB318">SUM(IF(BY318:BZ318&gt;=BY318, 1))</f>
        <v>2</v>
      </c>
      <c r="CC318" s="58">
        <f t="array" ref="CC318">SUM(IF(BY318:BZ318&gt;=BZ318, 1))</f>
        <v>1</v>
      </c>
      <c r="CE318" s="109">
        <f t="shared" si="142"/>
        <v>94713.666412882245</v>
      </c>
      <c r="CF318" s="109">
        <f t="shared" si="143"/>
        <v>96807.188999727921</v>
      </c>
      <c r="CH318" s="58">
        <f t="array" ref="CH318">SUM(IF(CE318:CF318&gt;=CE318, 1))</f>
        <v>2</v>
      </c>
      <c r="CI318" s="58">
        <f t="array" ref="CI318">SUM(IF(CE318:CF318&gt;=CF318, 1))</f>
        <v>1</v>
      </c>
      <c r="CK318" s="109">
        <f t="shared" si="144"/>
        <v>47777.554201181658</v>
      </c>
      <c r="CL318" s="109">
        <f t="shared" si="145"/>
        <v>48739.466452546025</v>
      </c>
      <c r="CN318" s="58">
        <f t="array" ref="CN318">SUM(IF(CK318:CL318&gt;=CK318, 1))</f>
        <v>2</v>
      </c>
      <c r="CO318" s="58">
        <f t="array" ref="CO318">SUM(IF(CK318:CL318&gt;=CL318, 1))</f>
        <v>1</v>
      </c>
      <c r="CQ318" s="109" cm="1">
        <f t="array" ref="CQ318">AF318*WTP-AC318</f>
        <v>42879.805693305709</v>
      </c>
      <c r="CR318" s="109">
        <f t="shared" si="146"/>
        <v>46151.235393390118</v>
      </c>
      <c r="CT318" s="58">
        <f t="array" ref="CT318">SUM(IF(CQ318:CR318&gt;=CQ318, 1))</f>
        <v>2</v>
      </c>
      <c r="CU318" s="58">
        <f t="array" ref="CU318">SUM(IF(CQ318:CR318&gt;=CR318, 1))</f>
        <v>1</v>
      </c>
      <c r="CW318" s="109">
        <f t="shared" si="147"/>
        <v>-42701170.374309868</v>
      </c>
      <c r="CX318" s="109">
        <f t="shared" si="148"/>
        <v>0</v>
      </c>
      <c r="CZ318" s="58">
        <f t="array" ref="CZ318">SUM(IF(CW318:CX318&gt;=CW318, 1))</f>
        <v>2</v>
      </c>
      <c r="DA318" s="58">
        <f t="array" ref="DA318">SUM(IF(CW318:CX318&gt;=CX318, 1))</f>
        <v>1</v>
      </c>
      <c r="DC318" s="109">
        <f t="shared" si="149"/>
        <v>-2499079.2770889751</v>
      </c>
      <c r="DD318" s="109">
        <f t="shared" si="150"/>
        <v>0</v>
      </c>
      <c r="DF318" s="58">
        <f t="array" ref="DF318">SUM(IF(DC318:DD318&gt;=DC318, 1))</f>
        <v>2</v>
      </c>
      <c r="DG318" s="58">
        <f t="array" ref="DG318">SUM(IF(DC318:DD318&gt;=DD318, 1))</f>
        <v>1</v>
      </c>
      <c r="DI318" s="109">
        <f t="shared" si="151"/>
        <v>-48435841.046795309</v>
      </c>
      <c r="DJ318" s="109">
        <f t="shared" si="152"/>
        <v>0</v>
      </c>
      <c r="DL318" s="58">
        <f t="array" ref="DL318">SUM(IF(DI318:DJ318&gt;=DI318, 1))</f>
        <v>2</v>
      </c>
      <c r="DM318" s="58">
        <f t="array" ref="DM318">SUM(IF(DI318:DJ318&gt;=DJ318, 1))</f>
        <v>1</v>
      </c>
      <c r="DO318" s="109">
        <f t="shared" si="153"/>
        <v>-8618855.1595705338</v>
      </c>
      <c r="DP318" s="109">
        <f t="shared" si="154"/>
        <v>0</v>
      </c>
      <c r="DR318" s="58">
        <f t="array" ref="DR318">SUM(IF(DO318:DP318&gt;=DO318, 1))</f>
        <v>2</v>
      </c>
      <c r="DS318" s="58">
        <f t="array" ref="DS318">SUM(IF(DO318:DP318&gt;=DP318, 1))</f>
        <v>1</v>
      </c>
      <c r="DU318" s="109">
        <f t="shared" si="155"/>
        <v>-51468304.676990092</v>
      </c>
      <c r="DV318" s="109">
        <f t="shared" si="156"/>
        <v>0</v>
      </c>
      <c r="DX318" s="58">
        <f t="array" ref="DX318">SUM(IF(DU318:DV318&gt;=DU318, 1))</f>
        <v>2</v>
      </c>
      <c r="DY318" s="58">
        <f t="array" ref="DY318">SUM(IF(DU318:DV318&gt;=DV318, 1))</f>
        <v>1</v>
      </c>
      <c r="EA318" s="109">
        <f t="shared" si="157"/>
        <v>-153723250.53475478</v>
      </c>
      <c r="EB318" s="109">
        <f t="shared" si="158"/>
        <v>0</v>
      </c>
      <c r="ED318" s="58">
        <f t="array" ref="ED318">SUM(IF(EA318:EB318&gt;=EA318, 1))</f>
        <v>2</v>
      </c>
      <c r="EE318" s="58">
        <f t="array" ref="EE318">SUM(IF(EA318:EB318&gt;=EB318, 1))</f>
        <v>1</v>
      </c>
    </row>
    <row r="319" spans="4:135" ht="12" customHeight="1" x14ac:dyDescent="0.25">
      <c r="D319" s="11">
        <v>303</v>
      </c>
      <c r="E319" s="72">
        <v>336.94740232443939</v>
      </c>
      <c r="F319" s="72">
        <v>311.25122708992438</v>
      </c>
      <c r="G319" s="73"/>
      <c r="H319" s="74">
        <v>5.8450242264728933</v>
      </c>
      <c r="I319" s="74">
        <v>5.8576923448358844</v>
      </c>
      <c r="J319" s="73"/>
      <c r="K319" s="72">
        <v>361.97311367279701</v>
      </c>
      <c r="L319" s="72">
        <v>335.66927103133463</v>
      </c>
      <c r="M319" s="73"/>
      <c r="N319" s="74">
        <v>6.6346374220950359</v>
      </c>
      <c r="O319" s="74">
        <v>6.6454155017172569</v>
      </c>
      <c r="P319" s="73"/>
      <c r="Q319" s="72">
        <v>1305.9336390577148</v>
      </c>
      <c r="R319" s="72">
        <v>1082.2515422649767</v>
      </c>
      <c r="S319" s="73"/>
      <c r="T319" s="74">
        <v>4.7534427320082804</v>
      </c>
      <c r="U319" s="74">
        <v>4.786825520134844</v>
      </c>
      <c r="V319" s="73"/>
      <c r="W319" s="72">
        <v>15373.063992686692</v>
      </c>
      <c r="X319" s="72">
        <v>15415.779570826247</v>
      </c>
      <c r="Y319" s="73"/>
      <c r="Z319" s="74">
        <v>3.029487800574977</v>
      </c>
      <c r="AA319" s="74">
        <v>3.0809688031099536</v>
      </c>
      <c r="AB319" s="73"/>
      <c r="AC319" s="72">
        <v>50073.973649381172</v>
      </c>
      <c r="AD319" s="72">
        <v>49844.741274972519</v>
      </c>
      <c r="AE319" s="73"/>
      <c r="AF319" s="74">
        <v>4.4428289288825473</v>
      </c>
      <c r="AG319" s="74">
        <v>4.5333213343211503</v>
      </c>
      <c r="AH319" s="73"/>
      <c r="AI319" s="72">
        <v>2774888.5080108182</v>
      </c>
      <c r="AJ319" s="72">
        <v>0</v>
      </c>
      <c r="AK319" s="73"/>
      <c r="AL319" s="74">
        <v>-1368.0096645810509</v>
      </c>
      <c r="AM319" s="74">
        <v>0</v>
      </c>
      <c r="AN319" s="73"/>
      <c r="AO319" s="72">
        <v>168637.08939755426</v>
      </c>
      <c r="AP319" s="72">
        <v>0</v>
      </c>
      <c r="AQ319" s="73"/>
      <c r="AR319" s="74">
        <v>-69.09956091059513</v>
      </c>
      <c r="AS319" s="74">
        <v>0</v>
      </c>
      <c r="AT319" s="73"/>
      <c r="AU319" s="72">
        <v>5172823.3414282184</v>
      </c>
      <c r="AV319" s="72">
        <v>0</v>
      </c>
      <c r="AW319" s="73"/>
      <c r="AX319" s="74">
        <v>-772.0030708718175</v>
      </c>
      <c r="AY319" s="74">
        <v>0</v>
      </c>
      <c r="AZ319" s="73"/>
      <c r="BA319" s="72">
        <v>-389399.34836886567</v>
      </c>
      <c r="BB319" s="72">
        <v>0</v>
      </c>
      <c r="BC319" s="73"/>
      <c r="BD319" s="74">
        <v>-469.30580630329786</v>
      </c>
      <c r="BE319" s="74">
        <v>0</v>
      </c>
      <c r="BF319" s="73"/>
      <c r="BG319" s="72">
        <v>3577060.6069799676</v>
      </c>
      <c r="BH319" s="72">
        <v>0</v>
      </c>
      <c r="BI319" s="73"/>
      <c r="BJ319" s="74">
        <v>-1412.0903278183159</v>
      </c>
      <c r="BK319" s="74">
        <v>0</v>
      </c>
      <c r="BL319" s="73"/>
      <c r="BM319" s="72">
        <v>11304010.197447693</v>
      </c>
      <c r="BN319" s="72">
        <v>0</v>
      </c>
      <c r="BO319" s="73"/>
      <c r="BP319" s="74">
        <v>-4090.508430485077</v>
      </c>
      <c r="BQ319" s="74">
        <v>0</v>
      </c>
      <c r="BS319" s="109">
        <f t="shared" si="138"/>
        <v>116563.53712713343</v>
      </c>
      <c r="BT319" s="109">
        <f t="shared" si="139"/>
        <v>116842.59566962776</v>
      </c>
      <c r="BV319" s="58">
        <f t="array" ref="BV319">SUM(IF(BS319:BT319&gt;=BS319, 1))</f>
        <v>2</v>
      </c>
      <c r="BW319" s="58">
        <f t="array" ref="BW319">SUM(IF(BS319:BT319&gt;=BT319, 1))</f>
        <v>1</v>
      </c>
      <c r="BY319" s="109">
        <f t="shared" si="140"/>
        <v>132330.7753282279</v>
      </c>
      <c r="BZ319" s="109">
        <f t="shared" si="141"/>
        <v>132572.6407633138</v>
      </c>
      <c r="CB319" s="58">
        <f t="array" ref="CB319">SUM(IF(BY319:BZ319&gt;=BY319, 1))</f>
        <v>2</v>
      </c>
      <c r="CC319" s="58">
        <f t="array" ref="CC319">SUM(IF(BY319:BZ319&gt;=BZ319, 1))</f>
        <v>1</v>
      </c>
      <c r="CE319" s="109">
        <f t="shared" si="142"/>
        <v>93762.921001107898</v>
      </c>
      <c r="CF319" s="109">
        <f t="shared" si="143"/>
        <v>94654.258860431903</v>
      </c>
      <c r="CH319" s="58">
        <f t="array" ref="CH319">SUM(IF(CE319:CF319&gt;=CE319, 1))</f>
        <v>2</v>
      </c>
      <c r="CI319" s="58">
        <f t="array" ref="CI319">SUM(IF(CE319:CF319&gt;=CF319, 1))</f>
        <v>1</v>
      </c>
      <c r="CK319" s="109">
        <f t="shared" si="144"/>
        <v>45216.69201881285</v>
      </c>
      <c r="CL319" s="109">
        <f t="shared" si="145"/>
        <v>46203.596491372824</v>
      </c>
      <c r="CN319" s="58">
        <f t="array" ref="CN319">SUM(IF(CK319:CL319&gt;=CK319, 1))</f>
        <v>2</v>
      </c>
      <c r="CO319" s="58">
        <f t="array" ref="CO319">SUM(IF(CK319:CL319&gt;=CL319, 1))</f>
        <v>1</v>
      </c>
      <c r="CQ319" s="109" cm="1">
        <f t="array" ref="CQ319">AF319*WTP-AC319</f>
        <v>38782.604928269771</v>
      </c>
      <c r="CR319" s="109">
        <f t="shared" si="146"/>
        <v>40821.685411450482</v>
      </c>
      <c r="CT319" s="58">
        <f t="array" ref="CT319">SUM(IF(CQ319:CR319&gt;=CQ319, 1))</f>
        <v>2</v>
      </c>
      <c r="CU319" s="58">
        <f t="array" ref="CU319">SUM(IF(CQ319:CR319&gt;=CR319, 1))</f>
        <v>1</v>
      </c>
      <c r="CW319" s="109">
        <f t="shared" si="147"/>
        <v>-30135081.799631838</v>
      </c>
      <c r="CX319" s="109">
        <f t="shared" si="148"/>
        <v>0</v>
      </c>
      <c r="CZ319" s="58">
        <f t="array" ref="CZ319">SUM(IF(CW319:CX319&gt;=CW319, 1))</f>
        <v>2</v>
      </c>
      <c r="DA319" s="58">
        <f t="array" ref="DA319">SUM(IF(CW319:CX319&gt;=CX319, 1))</f>
        <v>1</v>
      </c>
      <c r="DC319" s="109">
        <f t="shared" si="149"/>
        <v>-1550628.3076094568</v>
      </c>
      <c r="DD319" s="109">
        <f t="shared" si="150"/>
        <v>0</v>
      </c>
      <c r="DF319" s="58">
        <f t="array" ref="DF319">SUM(IF(DC319:DD319&gt;=DC319, 1))</f>
        <v>2</v>
      </c>
      <c r="DG319" s="58">
        <f t="array" ref="DG319">SUM(IF(DC319:DD319&gt;=DD319, 1))</f>
        <v>1</v>
      </c>
      <c r="DI319" s="109">
        <f t="shared" si="151"/>
        <v>-20612884.758864567</v>
      </c>
      <c r="DJ319" s="109">
        <f t="shared" si="152"/>
        <v>0</v>
      </c>
      <c r="DL319" s="58">
        <f t="array" ref="DL319">SUM(IF(DI319:DJ319&gt;=DI319, 1))</f>
        <v>2</v>
      </c>
      <c r="DM319" s="58">
        <f t="array" ref="DM319">SUM(IF(DI319:DJ319&gt;=DJ319, 1))</f>
        <v>1</v>
      </c>
      <c r="DO319" s="109">
        <f t="shared" si="153"/>
        <v>-8996716.7776970901</v>
      </c>
      <c r="DP319" s="109">
        <f t="shared" si="154"/>
        <v>0</v>
      </c>
      <c r="DR319" s="58">
        <f t="array" ref="DR319">SUM(IF(DO319:DP319&gt;=DO319, 1))</f>
        <v>2</v>
      </c>
      <c r="DS319" s="58">
        <f t="array" ref="DS319">SUM(IF(DO319:DP319&gt;=DP319, 1))</f>
        <v>1</v>
      </c>
      <c r="DU319" s="109">
        <f t="shared" si="155"/>
        <v>-31818867.163346283</v>
      </c>
      <c r="DV319" s="109">
        <f t="shared" si="156"/>
        <v>0</v>
      </c>
      <c r="DX319" s="58">
        <f t="array" ref="DX319">SUM(IF(DU319:DV319&gt;=DU319, 1))</f>
        <v>2</v>
      </c>
      <c r="DY319" s="58">
        <f t="array" ref="DY319">SUM(IF(DU319:DV319&gt;=DV319, 1))</f>
        <v>1</v>
      </c>
      <c r="EA319" s="109">
        <f t="shared" si="157"/>
        <v>-93114178.807149231</v>
      </c>
      <c r="EB319" s="109">
        <f t="shared" si="158"/>
        <v>0</v>
      </c>
      <c r="ED319" s="58">
        <f t="array" ref="ED319">SUM(IF(EA319:EB319&gt;=EA319, 1))</f>
        <v>2</v>
      </c>
      <c r="EE319" s="58">
        <f t="array" ref="EE319">SUM(IF(EA319:EB319&gt;=EB319, 1))</f>
        <v>1</v>
      </c>
    </row>
    <row r="320" spans="4:135" ht="12" customHeight="1" x14ac:dyDescent="0.25">
      <c r="D320" s="11">
        <v>304</v>
      </c>
      <c r="E320" s="72">
        <v>200.87611903507445</v>
      </c>
      <c r="F320" s="72">
        <v>183.63944093836707</v>
      </c>
      <c r="G320" s="73"/>
      <c r="H320" s="74">
        <v>5.8115335417745166</v>
      </c>
      <c r="I320" s="74">
        <v>5.8335736605902735</v>
      </c>
      <c r="J320" s="73"/>
      <c r="K320" s="72">
        <v>215.70678207921512</v>
      </c>
      <c r="L320" s="72">
        <v>198.04756099330868</v>
      </c>
      <c r="M320" s="73"/>
      <c r="N320" s="74">
        <v>6.6780916045308931</v>
      </c>
      <c r="O320" s="74">
        <v>6.6976845353877046</v>
      </c>
      <c r="P320" s="73"/>
      <c r="Q320" s="72">
        <v>1896.3722482585749</v>
      </c>
      <c r="R320" s="72">
        <v>1271.5019040243074</v>
      </c>
      <c r="S320" s="73"/>
      <c r="T320" s="74">
        <v>4.9103352052750084</v>
      </c>
      <c r="U320" s="74">
        <v>4.9757757145956338</v>
      </c>
      <c r="V320" s="73"/>
      <c r="W320" s="72">
        <v>14782.910873332616</v>
      </c>
      <c r="X320" s="72">
        <v>14832.858191987401</v>
      </c>
      <c r="Y320" s="73"/>
      <c r="Z320" s="74">
        <v>2.9132571827690708</v>
      </c>
      <c r="AA320" s="74">
        <v>2.9671315854192728</v>
      </c>
      <c r="AB320" s="73"/>
      <c r="AC320" s="72">
        <v>49667.920899820681</v>
      </c>
      <c r="AD320" s="72">
        <v>49485.574159009477</v>
      </c>
      <c r="AE320" s="73"/>
      <c r="AF320" s="74">
        <v>4.3166717215922503</v>
      </c>
      <c r="AG320" s="74">
        <v>4.4981969531810719</v>
      </c>
      <c r="AH320" s="73"/>
      <c r="AI320" s="72">
        <v>1844301.369162085</v>
      </c>
      <c r="AJ320" s="72">
        <v>0</v>
      </c>
      <c r="AK320" s="73"/>
      <c r="AL320" s="74">
        <v>-2358.2630643987168</v>
      </c>
      <c r="AM320" s="74">
        <v>0</v>
      </c>
      <c r="AN320" s="73"/>
      <c r="AO320" s="72">
        <v>127810.13194269987</v>
      </c>
      <c r="AP320" s="72">
        <v>0</v>
      </c>
      <c r="AQ320" s="73"/>
      <c r="AR320" s="74">
        <v>-141.80552277879423</v>
      </c>
      <c r="AS320" s="74">
        <v>0</v>
      </c>
      <c r="AT320" s="73"/>
      <c r="AU320" s="72">
        <v>14282692.773632405</v>
      </c>
      <c r="AV320" s="72">
        <v>0</v>
      </c>
      <c r="AW320" s="73"/>
      <c r="AX320" s="74">
        <v>-1495.7770011023413</v>
      </c>
      <c r="AY320" s="74">
        <v>0</v>
      </c>
      <c r="AZ320" s="73"/>
      <c r="BA320" s="72">
        <v>-437338.19085249933</v>
      </c>
      <c r="BB320" s="72">
        <v>0</v>
      </c>
      <c r="BC320" s="73"/>
      <c r="BD320" s="74">
        <v>-471.72369654403718</v>
      </c>
      <c r="BE320" s="74">
        <v>0</v>
      </c>
      <c r="BF320" s="73"/>
      <c r="BG320" s="72">
        <v>2816913.1368825608</v>
      </c>
      <c r="BH320" s="72">
        <v>0</v>
      </c>
      <c r="BI320" s="73"/>
      <c r="BJ320" s="74">
        <v>-2804.222369225809</v>
      </c>
      <c r="BK320" s="74">
        <v>0</v>
      </c>
      <c r="BL320" s="73"/>
      <c r="BM320" s="72">
        <v>18634379.220767252</v>
      </c>
      <c r="BN320" s="72">
        <v>0</v>
      </c>
      <c r="BO320" s="73"/>
      <c r="BP320" s="74">
        <v>-7271.791654049699</v>
      </c>
      <c r="BQ320" s="74">
        <v>0</v>
      </c>
      <c r="BS320" s="109">
        <f t="shared" si="138"/>
        <v>116029.79471645526</v>
      </c>
      <c r="BT320" s="109">
        <f t="shared" si="139"/>
        <v>116487.8337708671</v>
      </c>
      <c r="BV320" s="58">
        <f t="array" ref="BV320">SUM(IF(BS320:BT320&gt;=BS320, 1))</f>
        <v>2</v>
      </c>
      <c r="BW320" s="58">
        <f t="array" ref="BW320">SUM(IF(BS320:BT320&gt;=BT320, 1))</f>
        <v>1</v>
      </c>
      <c r="BY320" s="109">
        <f t="shared" si="140"/>
        <v>133346.12530853864</v>
      </c>
      <c r="BZ320" s="109">
        <f t="shared" si="141"/>
        <v>133755.64314676076</v>
      </c>
      <c r="CB320" s="58">
        <f t="array" ref="CB320">SUM(IF(BY320:BZ320&gt;=BY320, 1))</f>
        <v>2</v>
      </c>
      <c r="CC320" s="58">
        <f t="array" ref="CC320">SUM(IF(BY320:BZ320&gt;=BZ320, 1))</f>
        <v>1</v>
      </c>
      <c r="CE320" s="109">
        <f t="shared" si="142"/>
        <v>96310.331857241603</v>
      </c>
      <c r="CF320" s="109">
        <f t="shared" si="143"/>
        <v>98244.012387888375</v>
      </c>
      <c r="CH320" s="58">
        <f t="array" ref="CH320">SUM(IF(CE320:CF320&gt;=CE320, 1))</f>
        <v>2</v>
      </c>
      <c r="CI320" s="58">
        <f t="array" ref="CI320">SUM(IF(CE320:CF320&gt;=CF320, 1))</f>
        <v>1</v>
      </c>
      <c r="CK320" s="109">
        <f t="shared" si="144"/>
        <v>43482.232782048799</v>
      </c>
      <c r="CL320" s="109">
        <f t="shared" si="145"/>
        <v>44509.773516398054</v>
      </c>
      <c r="CN320" s="58">
        <f t="array" ref="CN320">SUM(IF(CK320:CL320&gt;=CK320, 1))</f>
        <v>2</v>
      </c>
      <c r="CO320" s="58">
        <f t="array" ref="CO320">SUM(IF(CK320:CL320&gt;=CL320, 1))</f>
        <v>1</v>
      </c>
      <c r="CQ320" s="109" cm="1">
        <f t="array" ref="CQ320">AF320*WTP-AC320</f>
        <v>36665.513532024321</v>
      </c>
      <c r="CR320" s="109">
        <f t="shared" si="146"/>
        <v>40478.364904611961</v>
      </c>
      <c r="CT320" s="58">
        <f t="array" ref="CT320">SUM(IF(CQ320:CR320&gt;=CQ320, 1))</f>
        <v>2</v>
      </c>
      <c r="CU320" s="58">
        <f t="array" ref="CU320">SUM(IF(CQ320:CR320&gt;=CR320, 1))</f>
        <v>1</v>
      </c>
      <c r="CW320" s="109">
        <f t="shared" si="147"/>
        <v>-49009562.657136418</v>
      </c>
      <c r="CX320" s="109">
        <f t="shared" si="148"/>
        <v>0</v>
      </c>
      <c r="CZ320" s="58">
        <f t="array" ref="CZ320">SUM(IF(CW320:CX320&gt;=CW320, 1))</f>
        <v>2</v>
      </c>
      <c r="DA320" s="58">
        <f t="array" ref="DA320">SUM(IF(CW320:CX320&gt;=CX320, 1))</f>
        <v>1</v>
      </c>
      <c r="DC320" s="109">
        <f t="shared" si="149"/>
        <v>-2963920.587518584</v>
      </c>
      <c r="DD320" s="109">
        <f t="shared" si="150"/>
        <v>0</v>
      </c>
      <c r="DF320" s="58">
        <f t="array" ref="DF320">SUM(IF(DC320:DD320&gt;=DC320, 1))</f>
        <v>2</v>
      </c>
      <c r="DG320" s="58">
        <f t="array" ref="DG320">SUM(IF(DC320:DD320&gt;=DD320, 1))</f>
        <v>1</v>
      </c>
      <c r="DI320" s="109">
        <f t="shared" si="151"/>
        <v>-44198232.795679234</v>
      </c>
      <c r="DJ320" s="109">
        <f t="shared" si="152"/>
        <v>0</v>
      </c>
      <c r="DL320" s="58">
        <f t="array" ref="DL320">SUM(IF(DI320:DJ320&gt;=DI320, 1))</f>
        <v>2</v>
      </c>
      <c r="DM320" s="58">
        <f t="array" ref="DM320">SUM(IF(DI320:DJ320&gt;=DJ320, 1))</f>
        <v>1</v>
      </c>
      <c r="DO320" s="109">
        <f t="shared" si="153"/>
        <v>-8997135.7400282454</v>
      </c>
      <c r="DP320" s="109">
        <f t="shared" si="154"/>
        <v>0</v>
      </c>
      <c r="DR320" s="58">
        <f t="array" ref="DR320">SUM(IF(DO320:DP320&gt;=DO320, 1))</f>
        <v>2</v>
      </c>
      <c r="DS320" s="58">
        <f t="array" ref="DS320">SUM(IF(DO320:DP320&gt;=DP320, 1))</f>
        <v>1</v>
      </c>
      <c r="DU320" s="109">
        <f t="shared" si="155"/>
        <v>-58901360.521398738</v>
      </c>
      <c r="DV320" s="109">
        <f t="shared" si="156"/>
        <v>0</v>
      </c>
      <c r="DX320" s="58">
        <f t="array" ref="DX320">SUM(IF(DU320:DV320&gt;=DU320, 1))</f>
        <v>2</v>
      </c>
      <c r="DY320" s="58">
        <f t="array" ref="DY320">SUM(IF(DU320:DV320&gt;=DV320, 1))</f>
        <v>1</v>
      </c>
      <c r="EA320" s="109">
        <f t="shared" si="157"/>
        <v>-164070212.30176124</v>
      </c>
      <c r="EB320" s="109">
        <f t="shared" si="158"/>
        <v>0</v>
      </c>
      <c r="ED320" s="58">
        <f t="array" ref="ED320">SUM(IF(EA320:EB320&gt;=EA320, 1))</f>
        <v>2</v>
      </c>
      <c r="EE320" s="58">
        <f t="array" ref="EE320">SUM(IF(EA320:EB320&gt;=EB320, 1))</f>
        <v>1</v>
      </c>
    </row>
    <row r="321" spans="4:135" ht="12" customHeight="1" x14ac:dyDescent="0.25">
      <c r="D321" s="11">
        <v>305</v>
      </c>
      <c r="E321" s="72">
        <v>229.535157918306</v>
      </c>
      <c r="F321" s="72">
        <v>211.11510580161618</v>
      </c>
      <c r="G321" s="73"/>
      <c r="H321" s="74">
        <v>5.7714933202906611</v>
      </c>
      <c r="I321" s="74">
        <v>5.7854660135189411</v>
      </c>
      <c r="J321" s="73"/>
      <c r="K321" s="72">
        <v>246.42682052781541</v>
      </c>
      <c r="L321" s="72">
        <v>227.57166772154878</v>
      </c>
      <c r="M321" s="73"/>
      <c r="N321" s="74">
        <v>6.6907684270650041</v>
      </c>
      <c r="O321" s="74">
        <v>6.7031442602826026</v>
      </c>
      <c r="P321" s="73"/>
      <c r="Q321" s="72">
        <v>3391.2761452506697</v>
      </c>
      <c r="R321" s="72">
        <v>1460.3897264647144</v>
      </c>
      <c r="S321" s="73"/>
      <c r="T321" s="74">
        <v>4.9665747062465755</v>
      </c>
      <c r="U321" s="74">
        <v>5.0740665211627682</v>
      </c>
      <c r="V321" s="73"/>
      <c r="W321" s="72">
        <v>12647.936784070625</v>
      </c>
      <c r="X321" s="72">
        <v>12630.036397712569</v>
      </c>
      <c r="Y321" s="73"/>
      <c r="Z321" s="74">
        <v>3.0496476587660948</v>
      </c>
      <c r="AA321" s="74">
        <v>3.092601706703646</v>
      </c>
      <c r="AB321" s="73"/>
      <c r="AC321" s="72">
        <v>49630.022361423195</v>
      </c>
      <c r="AD321" s="72">
        <v>49595.055030211253</v>
      </c>
      <c r="AE321" s="73"/>
      <c r="AF321" s="74">
        <v>4.8191368853630232</v>
      </c>
      <c r="AG321" s="74">
        <v>4.882735736668268</v>
      </c>
      <c r="AH321" s="73"/>
      <c r="AI321" s="72">
        <v>1994910.1253978715</v>
      </c>
      <c r="AJ321" s="72">
        <v>0</v>
      </c>
      <c r="AK321" s="73"/>
      <c r="AL321" s="74">
        <v>-1513.2566956701517</v>
      </c>
      <c r="AM321" s="74">
        <v>0</v>
      </c>
      <c r="AN321" s="73"/>
      <c r="AO321" s="72">
        <v>125738.67325023441</v>
      </c>
      <c r="AP321" s="72">
        <v>0</v>
      </c>
      <c r="AQ321" s="73"/>
      <c r="AR321" s="74">
        <v>-82.530269849090161</v>
      </c>
      <c r="AS321" s="74">
        <v>0</v>
      </c>
      <c r="AT321" s="73"/>
      <c r="AU321" s="72">
        <v>44616555.732196987</v>
      </c>
      <c r="AV321" s="72">
        <v>0</v>
      </c>
      <c r="AW321" s="73"/>
      <c r="AX321" s="74">
        <v>-2483.7890537231847</v>
      </c>
      <c r="AY321" s="74">
        <v>0</v>
      </c>
      <c r="AZ321" s="73"/>
      <c r="BA321" s="72">
        <v>156643.73187677382</v>
      </c>
      <c r="BB321" s="72">
        <v>0</v>
      </c>
      <c r="BC321" s="73"/>
      <c r="BD321" s="74">
        <v>-375.88475653898644</v>
      </c>
      <c r="BE321" s="74">
        <v>0</v>
      </c>
      <c r="BF321" s="73"/>
      <c r="BG321" s="72">
        <v>541307.31845586305</v>
      </c>
      <c r="BH321" s="72">
        <v>0</v>
      </c>
      <c r="BI321" s="73"/>
      <c r="BJ321" s="74">
        <v>-984.53391962491844</v>
      </c>
      <c r="BK321" s="74">
        <v>0</v>
      </c>
      <c r="BL321" s="73"/>
      <c r="BM321" s="72">
        <v>47435155.581177726</v>
      </c>
      <c r="BN321" s="72">
        <v>0</v>
      </c>
      <c r="BO321" s="73"/>
      <c r="BP321" s="74">
        <v>-5439.9946954063316</v>
      </c>
      <c r="BQ321" s="74">
        <v>0</v>
      </c>
      <c r="BS321" s="109">
        <f t="shared" si="138"/>
        <v>115200.33124789492</v>
      </c>
      <c r="BT321" s="109">
        <f t="shared" si="139"/>
        <v>115498.20516457722</v>
      </c>
      <c r="BV321" s="58">
        <f t="array" ref="BV321">SUM(IF(BS321:BT321&gt;=BS321, 1))</f>
        <v>2</v>
      </c>
      <c r="BW321" s="58">
        <f t="array" ref="BW321">SUM(IF(BS321:BT321&gt;=BT321, 1))</f>
        <v>1</v>
      </c>
      <c r="BY321" s="109">
        <f t="shared" si="140"/>
        <v>133568.94172077227</v>
      </c>
      <c r="BZ321" s="109">
        <f t="shared" si="141"/>
        <v>133835.31353793049</v>
      </c>
      <c r="CB321" s="58">
        <f t="array" ref="CB321">SUM(IF(BY321:BZ321&gt;=BY321, 1))</f>
        <v>2</v>
      </c>
      <c r="CC321" s="58">
        <f t="array" ref="CC321">SUM(IF(BY321:BZ321&gt;=BZ321, 1))</f>
        <v>1</v>
      </c>
      <c r="CE321" s="109">
        <f t="shared" si="142"/>
        <v>95940.217979680849</v>
      </c>
      <c r="CF321" s="109">
        <f t="shared" si="143"/>
        <v>100020.94069679065</v>
      </c>
      <c r="CH321" s="58">
        <f t="array" ref="CH321">SUM(IF(CE321:CF321&gt;=CE321, 1))</f>
        <v>2</v>
      </c>
      <c r="CI321" s="58">
        <f t="array" ref="CI321">SUM(IF(CE321:CF321&gt;=CF321, 1))</f>
        <v>1</v>
      </c>
      <c r="CK321" s="109">
        <f t="shared" si="144"/>
        <v>48345.016391251273</v>
      </c>
      <c r="CL321" s="109">
        <f t="shared" si="145"/>
        <v>49221.997736360354</v>
      </c>
      <c r="CN321" s="58">
        <f t="array" ref="CN321">SUM(IF(CK321:CL321&gt;=CK321, 1))</f>
        <v>2</v>
      </c>
      <c r="CO321" s="58">
        <f t="array" ref="CO321">SUM(IF(CK321:CL321&gt;=CL321, 1))</f>
        <v>1</v>
      </c>
      <c r="CQ321" s="109" cm="1">
        <f t="array" ref="CQ321">AF321*WTP-AC321</f>
        <v>46752.715345837263</v>
      </c>
      <c r="CR321" s="109">
        <f t="shared" si="146"/>
        <v>48059.659703154102</v>
      </c>
      <c r="CT321" s="58">
        <f t="array" ref="CT321">SUM(IF(CQ321:CR321&gt;=CQ321, 1))</f>
        <v>2</v>
      </c>
      <c r="CU321" s="58">
        <f t="array" ref="CU321">SUM(IF(CQ321:CR321&gt;=CR321, 1))</f>
        <v>1</v>
      </c>
      <c r="CW321" s="109">
        <f t="shared" si="147"/>
        <v>-32260044.038800906</v>
      </c>
      <c r="CX321" s="109">
        <f t="shared" si="148"/>
        <v>0</v>
      </c>
      <c r="CZ321" s="58">
        <f t="array" ref="CZ321">SUM(IF(CW321:CX321&gt;=CW321, 1))</f>
        <v>2</v>
      </c>
      <c r="DA321" s="58">
        <f t="array" ref="DA321">SUM(IF(CW321:CX321&gt;=CX321, 1))</f>
        <v>1</v>
      </c>
      <c r="DC321" s="109">
        <f t="shared" si="149"/>
        <v>-1776344.0702320377</v>
      </c>
      <c r="DD321" s="109">
        <f t="shared" si="150"/>
        <v>0</v>
      </c>
      <c r="DF321" s="58">
        <f t="array" ref="DF321">SUM(IF(DC321:DD321&gt;=DC321, 1))</f>
        <v>2</v>
      </c>
      <c r="DG321" s="58">
        <f t="array" ref="DG321">SUM(IF(DC321:DD321&gt;=DD321, 1))</f>
        <v>1</v>
      </c>
      <c r="DI321" s="109">
        <f t="shared" si="151"/>
        <v>-94292336.806660682</v>
      </c>
      <c r="DJ321" s="109">
        <f t="shared" si="152"/>
        <v>0</v>
      </c>
      <c r="DL321" s="58">
        <f t="array" ref="DL321">SUM(IF(DI321:DJ321&gt;=DI321, 1))</f>
        <v>2</v>
      </c>
      <c r="DM321" s="58">
        <f t="array" ref="DM321">SUM(IF(DI321:DJ321&gt;=DJ321, 1))</f>
        <v>1</v>
      </c>
      <c r="DO321" s="109">
        <f t="shared" si="153"/>
        <v>-7674338.8626565021</v>
      </c>
      <c r="DP321" s="109">
        <f t="shared" si="154"/>
        <v>0</v>
      </c>
      <c r="DR321" s="58">
        <f t="array" ref="DR321">SUM(IF(DO321:DP321&gt;=DO321, 1))</f>
        <v>2</v>
      </c>
      <c r="DS321" s="58">
        <f t="array" ref="DS321">SUM(IF(DO321:DP321&gt;=DP321, 1))</f>
        <v>1</v>
      </c>
      <c r="DU321" s="109">
        <f t="shared" si="155"/>
        <v>-20231985.710954234</v>
      </c>
      <c r="DV321" s="109">
        <f t="shared" si="156"/>
        <v>0</v>
      </c>
      <c r="DX321" s="58">
        <f t="array" ref="DX321">SUM(IF(DU321:DV321&gt;=DU321, 1))</f>
        <v>2</v>
      </c>
      <c r="DY321" s="58">
        <f t="array" ref="DY321">SUM(IF(DU321:DV321&gt;=DV321, 1))</f>
        <v>1</v>
      </c>
      <c r="EA321" s="109">
        <f t="shared" si="157"/>
        <v>-156235049.48930436</v>
      </c>
      <c r="EB321" s="109">
        <f t="shared" si="158"/>
        <v>0</v>
      </c>
      <c r="ED321" s="58">
        <f t="array" ref="ED321">SUM(IF(EA321:EB321&gt;=EA321, 1))</f>
        <v>2</v>
      </c>
      <c r="EE321" s="58">
        <f t="array" ref="EE321">SUM(IF(EA321:EB321&gt;=EB321, 1))</f>
        <v>1</v>
      </c>
    </row>
    <row r="322" spans="4:135" ht="12" customHeight="1" x14ac:dyDescent="0.25">
      <c r="D322" s="11">
        <v>306</v>
      </c>
      <c r="E322" s="72">
        <v>257.23966988824583</v>
      </c>
      <c r="F322" s="72">
        <v>230.68860614688836</v>
      </c>
      <c r="G322" s="73"/>
      <c r="H322" s="74">
        <v>5.8128741127625485</v>
      </c>
      <c r="I322" s="74">
        <v>5.8301308763546853</v>
      </c>
      <c r="J322" s="73"/>
      <c r="K322" s="72">
        <v>275.93760859794571</v>
      </c>
      <c r="L322" s="72">
        <v>248.75266348896571</v>
      </c>
      <c r="M322" s="73"/>
      <c r="N322" s="74">
        <v>6.6983514133625039</v>
      </c>
      <c r="O322" s="74">
        <v>6.7134226759645532</v>
      </c>
      <c r="P322" s="73"/>
      <c r="Q322" s="72">
        <v>1865.6546742095047</v>
      </c>
      <c r="R322" s="72">
        <v>1299.4738044870344</v>
      </c>
      <c r="S322" s="73"/>
      <c r="T322" s="74">
        <v>4.8642631348523802</v>
      </c>
      <c r="U322" s="74">
        <v>4.9292951802431642</v>
      </c>
      <c r="V322" s="73"/>
      <c r="W322" s="72">
        <v>10164.47995910964</v>
      </c>
      <c r="X322" s="72">
        <v>10129.673940599321</v>
      </c>
      <c r="Y322" s="73"/>
      <c r="Z322" s="74">
        <v>3.1849252968817203</v>
      </c>
      <c r="AA322" s="74">
        <v>3.2212316063460675</v>
      </c>
      <c r="AB322" s="73"/>
      <c r="AC322" s="72">
        <v>48843.752852195095</v>
      </c>
      <c r="AD322" s="72">
        <v>48461.22316982253</v>
      </c>
      <c r="AE322" s="73"/>
      <c r="AF322" s="74">
        <v>5.0555480223678124</v>
      </c>
      <c r="AG322" s="74">
        <v>5.1990469428613597</v>
      </c>
      <c r="AH322" s="73"/>
      <c r="AI322" s="72">
        <v>2815176.3728252458</v>
      </c>
      <c r="AJ322" s="72">
        <v>0</v>
      </c>
      <c r="AK322" s="73"/>
      <c r="AL322" s="74">
        <v>-1829.7132502582979</v>
      </c>
      <c r="AM322" s="74">
        <v>0</v>
      </c>
      <c r="AN322" s="73"/>
      <c r="AO322" s="72">
        <v>193338.50676634721</v>
      </c>
      <c r="AP322" s="72">
        <v>0</v>
      </c>
      <c r="AQ322" s="73"/>
      <c r="AR322" s="74">
        <v>-107.18636344059291</v>
      </c>
      <c r="AS322" s="74">
        <v>0</v>
      </c>
      <c r="AT322" s="73"/>
      <c r="AU322" s="72">
        <v>13362655.724633887</v>
      </c>
      <c r="AV322" s="72">
        <v>0</v>
      </c>
      <c r="AW322" s="73"/>
      <c r="AX322" s="74">
        <v>-1534.8466896307821</v>
      </c>
      <c r="AY322" s="74">
        <v>0</v>
      </c>
      <c r="AZ322" s="73"/>
      <c r="BA322" s="72">
        <v>309452.63318724657</v>
      </c>
      <c r="BB322" s="72">
        <v>0</v>
      </c>
      <c r="BC322" s="73"/>
      <c r="BD322" s="74">
        <v>-322.79138913066248</v>
      </c>
      <c r="BE322" s="74">
        <v>0</v>
      </c>
      <c r="BF322" s="73"/>
      <c r="BG322" s="72">
        <v>5895332.6926717274</v>
      </c>
      <c r="BH322" s="72">
        <v>0</v>
      </c>
      <c r="BI322" s="73"/>
      <c r="BJ322" s="74">
        <v>-2211.5247948910064</v>
      </c>
      <c r="BK322" s="74">
        <v>0</v>
      </c>
      <c r="BL322" s="73"/>
      <c r="BM322" s="72">
        <v>22575955.930084456</v>
      </c>
      <c r="BN322" s="72">
        <v>0</v>
      </c>
      <c r="BO322" s="73"/>
      <c r="BP322" s="74">
        <v>-6006.0624873513416</v>
      </c>
      <c r="BQ322" s="74">
        <v>0</v>
      </c>
      <c r="BS322" s="109">
        <f t="shared" si="138"/>
        <v>116000.24258536272</v>
      </c>
      <c r="BT322" s="109">
        <f t="shared" si="139"/>
        <v>116371.92892094683</v>
      </c>
      <c r="BV322" s="58">
        <f t="array" ref="BV322">SUM(IF(BS322:BT322&gt;=BS322, 1))</f>
        <v>2</v>
      </c>
      <c r="BW322" s="58">
        <f t="array" ref="BW322">SUM(IF(BS322:BT322&gt;=BT322, 1))</f>
        <v>1</v>
      </c>
      <c r="BY322" s="109">
        <f t="shared" si="140"/>
        <v>133691.09065865213</v>
      </c>
      <c r="BZ322" s="109">
        <f t="shared" si="141"/>
        <v>134019.7008558021</v>
      </c>
      <c r="CB322" s="58">
        <f t="array" ref="CB322">SUM(IF(BY322:BZ322&gt;=BY322, 1))</f>
        <v>2</v>
      </c>
      <c r="CC322" s="58">
        <f t="array" ref="CC322">SUM(IF(BY322:BZ322&gt;=BZ322, 1))</f>
        <v>1</v>
      </c>
      <c r="CE322" s="109">
        <f t="shared" si="142"/>
        <v>95419.608022838089</v>
      </c>
      <c r="CF322" s="109">
        <f t="shared" si="143"/>
        <v>97286.429800376252</v>
      </c>
      <c r="CH322" s="58">
        <f t="array" ref="CH322">SUM(IF(CE322:CF322&gt;=CE322, 1))</f>
        <v>2</v>
      </c>
      <c r="CI322" s="58">
        <f t="array" ref="CI322">SUM(IF(CE322:CF322&gt;=CF322, 1))</f>
        <v>1</v>
      </c>
      <c r="CK322" s="109">
        <f t="shared" si="144"/>
        <v>53534.025978524769</v>
      </c>
      <c r="CL322" s="109">
        <f t="shared" si="145"/>
        <v>54294.95818632203</v>
      </c>
      <c r="CN322" s="58">
        <f t="array" ref="CN322">SUM(IF(CK322:CL322&gt;=CK322, 1))</f>
        <v>2</v>
      </c>
      <c r="CO322" s="58">
        <f t="array" ref="CO322">SUM(IF(CK322:CL322&gt;=CL322, 1))</f>
        <v>1</v>
      </c>
      <c r="CQ322" s="109" cm="1">
        <f t="array" ref="CQ322">AF322*WTP-AC322</f>
        <v>52267.207595161155</v>
      </c>
      <c r="CR322" s="109">
        <f t="shared" si="146"/>
        <v>55519.71568740467</v>
      </c>
      <c r="CT322" s="58">
        <f t="array" ref="CT322">SUM(IF(CQ322:CR322&gt;=CQ322, 1))</f>
        <v>2</v>
      </c>
      <c r="CU322" s="58">
        <f t="array" ref="CU322">SUM(IF(CQ322:CR322&gt;=CR322, 1))</f>
        <v>1</v>
      </c>
      <c r="CW322" s="109">
        <f t="shared" si="147"/>
        <v>-39409441.377991199</v>
      </c>
      <c r="CX322" s="109">
        <f t="shared" si="148"/>
        <v>0</v>
      </c>
      <c r="CZ322" s="58">
        <f t="array" ref="CZ322">SUM(IF(CW322:CX322&gt;=CW322, 1))</f>
        <v>2</v>
      </c>
      <c r="DA322" s="58">
        <f t="array" ref="DA322">SUM(IF(CW322:CX322&gt;=CX322, 1))</f>
        <v>1</v>
      </c>
      <c r="DC322" s="109">
        <f t="shared" si="149"/>
        <v>-2337065.7755782055</v>
      </c>
      <c r="DD322" s="109">
        <f t="shared" si="150"/>
        <v>0</v>
      </c>
      <c r="DF322" s="58">
        <f t="array" ref="DF322">SUM(IF(DC322:DD322&gt;=DC322, 1))</f>
        <v>2</v>
      </c>
      <c r="DG322" s="58">
        <f t="array" ref="DG322">SUM(IF(DC322:DD322&gt;=DD322, 1))</f>
        <v>1</v>
      </c>
      <c r="DI322" s="109">
        <f t="shared" si="151"/>
        <v>-44059589.517249525</v>
      </c>
      <c r="DJ322" s="109">
        <f t="shared" si="152"/>
        <v>0</v>
      </c>
      <c r="DL322" s="58">
        <f t="array" ref="DL322">SUM(IF(DI322:DJ322&gt;=DI322, 1))</f>
        <v>2</v>
      </c>
      <c r="DM322" s="58">
        <f t="array" ref="DM322">SUM(IF(DI322:DJ322&gt;=DJ322, 1))</f>
        <v>1</v>
      </c>
      <c r="DO322" s="109">
        <f t="shared" si="153"/>
        <v>-6765280.415800496</v>
      </c>
      <c r="DP322" s="109">
        <f t="shared" si="154"/>
        <v>0</v>
      </c>
      <c r="DR322" s="58">
        <f t="array" ref="DR322">SUM(IF(DO322:DP322&gt;=DO322, 1))</f>
        <v>2</v>
      </c>
      <c r="DS322" s="58">
        <f t="array" ref="DS322">SUM(IF(DO322:DP322&gt;=DP322, 1))</f>
        <v>1</v>
      </c>
      <c r="DU322" s="109">
        <f t="shared" si="155"/>
        <v>-50125828.590491861</v>
      </c>
      <c r="DV322" s="109">
        <f t="shared" si="156"/>
        <v>0</v>
      </c>
      <c r="DX322" s="58">
        <f t="array" ref="DX322">SUM(IF(DU322:DV322&gt;=DU322, 1))</f>
        <v>2</v>
      </c>
      <c r="DY322" s="58">
        <f t="array" ref="DY322">SUM(IF(DU322:DV322&gt;=DV322, 1))</f>
        <v>1</v>
      </c>
      <c r="EA322" s="109">
        <f t="shared" si="157"/>
        <v>-142697205.6771113</v>
      </c>
      <c r="EB322" s="109">
        <f t="shared" si="158"/>
        <v>0</v>
      </c>
      <c r="ED322" s="58">
        <f t="array" ref="ED322">SUM(IF(EA322:EB322&gt;=EA322, 1))</f>
        <v>2</v>
      </c>
      <c r="EE322" s="58">
        <f t="array" ref="EE322">SUM(IF(EA322:EB322&gt;=EB322, 1))</f>
        <v>1</v>
      </c>
    </row>
    <row r="323" spans="4:135" ht="12" customHeight="1" x14ac:dyDescent="0.25">
      <c r="D323" s="11">
        <v>307</v>
      </c>
      <c r="E323" s="72">
        <v>227.93501574051263</v>
      </c>
      <c r="F323" s="72">
        <v>202.71830349665413</v>
      </c>
      <c r="G323" s="73"/>
      <c r="H323" s="74">
        <v>5.8354278513066777</v>
      </c>
      <c r="I323" s="74">
        <v>5.8493680112052067</v>
      </c>
      <c r="J323" s="73"/>
      <c r="K323" s="72">
        <v>244.35978094596217</v>
      </c>
      <c r="L323" s="72">
        <v>218.55517914152625</v>
      </c>
      <c r="M323" s="73"/>
      <c r="N323" s="74">
        <v>6.65102748560889</v>
      </c>
      <c r="O323" s="74">
        <v>6.6628781840039046</v>
      </c>
      <c r="P323" s="73"/>
      <c r="Q323" s="72">
        <v>1854.5816074289962</v>
      </c>
      <c r="R323" s="72">
        <v>1372.4152007499615</v>
      </c>
      <c r="S323" s="73"/>
      <c r="T323" s="74">
        <v>4.7701471751442499</v>
      </c>
      <c r="U323" s="74">
        <v>4.8246486601125245</v>
      </c>
      <c r="V323" s="73"/>
      <c r="W323" s="72">
        <v>9500.8347455579496</v>
      </c>
      <c r="X323" s="72">
        <v>9447.7052918782902</v>
      </c>
      <c r="Y323" s="73"/>
      <c r="Z323" s="74">
        <v>2.8903997505686347</v>
      </c>
      <c r="AA323" s="74">
        <v>2.9379523795002727</v>
      </c>
      <c r="AB323" s="73"/>
      <c r="AC323" s="72">
        <v>49091.156646348376</v>
      </c>
      <c r="AD323" s="72">
        <v>49288.425271865221</v>
      </c>
      <c r="AE323" s="73"/>
      <c r="AF323" s="74">
        <v>4.9110138739316458</v>
      </c>
      <c r="AG323" s="74">
        <v>4.9670132402428822</v>
      </c>
      <c r="AH323" s="73"/>
      <c r="AI323" s="72">
        <v>2730791.4203323214</v>
      </c>
      <c r="AJ323" s="72">
        <v>0</v>
      </c>
      <c r="AK323" s="73"/>
      <c r="AL323" s="74">
        <v>-1509.6206309858976</v>
      </c>
      <c r="AM323" s="74">
        <v>0</v>
      </c>
      <c r="AN323" s="73"/>
      <c r="AO323" s="72">
        <v>176245.77500694167</v>
      </c>
      <c r="AP323" s="72">
        <v>0</v>
      </c>
      <c r="AQ323" s="73"/>
      <c r="AR323" s="74">
        <v>-80.940428332586279</v>
      </c>
      <c r="AS323" s="74">
        <v>0</v>
      </c>
      <c r="AT323" s="73"/>
      <c r="AU323" s="72">
        <v>10897376.769621914</v>
      </c>
      <c r="AV323" s="72">
        <v>0</v>
      </c>
      <c r="AW323" s="73"/>
      <c r="AX323" s="74">
        <v>-1231.7805802645473</v>
      </c>
      <c r="AY323" s="74">
        <v>0</v>
      </c>
      <c r="AZ323" s="73"/>
      <c r="BA323" s="72">
        <v>453654.02060115809</v>
      </c>
      <c r="BB323" s="72">
        <v>0</v>
      </c>
      <c r="BC323" s="73"/>
      <c r="BD323" s="74">
        <v>-406.03544382485268</v>
      </c>
      <c r="BE323" s="74">
        <v>0</v>
      </c>
      <c r="BF323" s="73"/>
      <c r="BG323" s="72">
        <v>-3047271.6681818198</v>
      </c>
      <c r="BH323" s="72">
        <v>0</v>
      </c>
      <c r="BI323" s="73"/>
      <c r="BJ323" s="74">
        <v>-865.04015501337165</v>
      </c>
      <c r="BK323" s="74">
        <v>0</v>
      </c>
      <c r="BL323" s="73"/>
      <c r="BM323" s="72">
        <v>11210796.317380516</v>
      </c>
      <c r="BN323" s="72">
        <v>0</v>
      </c>
      <c r="BO323" s="73"/>
      <c r="BP323" s="74">
        <v>-4093.4172384212552</v>
      </c>
      <c r="BQ323" s="74">
        <v>0</v>
      </c>
      <c r="BS323" s="109">
        <f t="shared" si="138"/>
        <v>116480.62201039304</v>
      </c>
      <c r="BT323" s="109">
        <f t="shared" si="139"/>
        <v>116784.64192060748</v>
      </c>
      <c r="BV323" s="58">
        <f t="array" ref="BV323">SUM(IF(BS323:BT323&gt;=BS323, 1))</f>
        <v>2</v>
      </c>
      <c r="BW323" s="58">
        <f t="array" ref="BW323">SUM(IF(BS323:BT323&gt;=BT323, 1))</f>
        <v>1</v>
      </c>
      <c r="BY323" s="109">
        <f t="shared" si="140"/>
        <v>132776.18993123184</v>
      </c>
      <c r="BZ323" s="109">
        <f t="shared" si="141"/>
        <v>133039.00850093659</v>
      </c>
      <c r="CB323" s="58">
        <f t="array" ref="CB323">SUM(IF(BY323:BZ323&gt;=BY323, 1))</f>
        <v>2</v>
      </c>
      <c r="CC323" s="58">
        <f t="array" ref="CC323">SUM(IF(BY323:BZ323&gt;=BZ323, 1))</f>
        <v>1</v>
      </c>
      <c r="CE323" s="109">
        <f t="shared" si="142"/>
        <v>93548.361895456008</v>
      </c>
      <c r="CF323" s="109">
        <f t="shared" si="143"/>
        <v>95120.558001500525</v>
      </c>
      <c r="CH323" s="58">
        <f t="array" ref="CH323">SUM(IF(CE323:CF323&gt;=CE323, 1))</f>
        <v>2</v>
      </c>
      <c r="CI323" s="58">
        <f t="array" ref="CI323">SUM(IF(CE323:CF323&gt;=CF323, 1))</f>
        <v>1</v>
      </c>
      <c r="CK323" s="109">
        <f t="shared" si="144"/>
        <v>48307.160265814746</v>
      </c>
      <c r="CL323" s="109">
        <f t="shared" si="145"/>
        <v>49311.342298127158</v>
      </c>
      <c r="CN323" s="58">
        <f t="array" ref="CN323">SUM(IF(CK323:CL323&gt;=CK323, 1))</f>
        <v>2</v>
      </c>
      <c r="CO323" s="58">
        <f t="array" ref="CO323">SUM(IF(CK323:CL323&gt;=CL323, 1))</f>
        <v>1</v>
      </c>
      <c r="CQ323" s="109" cm="1">
        <f t="array" ref="CQ323">AF323*WTP-AC323</f>
        <v>49129.120832284534</v>
      </c>
      <c r="CR323" s="109">
        <f t="shared" si="146"/>
        <v>50051.839532992417</v>
      </c>
      <c r="CT323" s="58">
        <f t="array" ref="CT323">SUM(IF(CQ323:CR323&gt;=CQ323, 1))</f>
        <v>2</v>
      </c>
      <c r="CU323" s="58">
        <f t="array" ref="CU323">SUM(IF(CQ323:CR323&gt;=CR323, 1))</f>
        <v>1</v>
      </c>
      <c r="CW323" s="109">
        <f t="shared" si="147"/>
        <v>-32923204.040050272</v>
      </c>
      <c r="CX323" s="109">
        <f t="shared" si="148"/>
        <v>0</v>
      </c>
      <c r="CZ323" s="58">
        <f t="array" ref="CZ323">SUM(IF(CW323:CX323&gt;=CW323, 1))</f>
        <v>2</v>
      </c>
      <c r="DA323" s="58">
        <f t="array" ref="DA323">SUM(IF(CW323:CX323&gt;=CX323, 1))</f>
        <v>1</v>
      </c>
      <c r="DC323" s="109">
        <f t="shared" si="149"/>
        <v>-1795054.3416586674</v>
      </c>
      <c r="DD323" s="109">
        <f t="shared" si="150"/>
        <v>0</v>
      </c>
      <c r="DF323" s="58">
        <f t="array" ref="DF323">SUM(IF(DC323:DD323&gt;=DC323, 1))</f>
        <v>2</v>
      </c>
      <c r="DG323" s="58">
        <f t="array" ref="DG323">SUM(IF(DC323:DD323&gt;=DD323, 1))</f>
        <v>1</v>
      </c>
      <c r="DI323" s="109">
        <f t="shared" si="151"/>
        <v>-35532988.374912858</v>
      </c>
      <c r="DJ323" s="109">
        <f t="shared" si="152"/>
        <v>0</v>
      </c>
      <c r="DL323" s="58">
        <f t="array" ref="DL323">SUM(IF(DI323:DJ323&gt;=DI323, 1))</f>
        <v>2</v>
      </c>
      <c r="DM323" s="58">
        <f t="array" ref="DM323">SUM(IF(DI323:DJ323&gt;=DJ323, 1))</f>
        <v>1</v>
      </c>
      <c r="DO323" s="109">
        <f t="shared" si="153"/>
        <v>-8574362.8970982116</v>
      </c>
      <c r="DP323" s="109">
        <f t="shared" si="154"/>
        <v>0</v>
      </c>
      <c r="DR323" s="58">
        <f t="array" ref="DR323">SUM(IF(DO323:DP323&gt;=DO323, 1))</f>
        <v>2</v>
      </c>
      <c r="DS323" s="58">
        <f t="array" ref="DS323">SUM(IF(DO323:DP323&gt;=DP323, 1))</f>
        <v>1</v>
      </c>
      <c r="DU323" s="109">
        <f t="shared" si="155"/>
        <v>-14253531.432085613</v>
      </c>
      <c r="DV323" s="109">
        <f t="shared" si="156"/>
        <v>0</v>
      </c>
      <c r="DX323" s="58">
        <f t="array" ref="DX323">SUM(IF(DU323:DV323&gt;=DU323, 1))</f>
        <v>2</v>
      </c>
      <c r="DY323" s="58">
        <f t="array" ref="DY323">SUM(IF(DU323:DV323&gt;=DV323, 1))</f>
        <v>1</v>
      </c>
      <c r="EA323" s="109">
        <f t="shared" si="157"/>
        <v>-93079141.085805625</v>
      </c>
      <c r="EB323" s="109">
        <f t="shared" si="158"/>
        <v>0</v>
      </c>
      <c r="ED323" s="58">
        <f t="array" ref="ED323">SUM(IF(EA323:EB323&gt;=EA323, 1))</f>
        <v>2</v>
      </c>
      <c r="EE323" s="58">
        <f t="array" ref="EE323">SUM(IF(EA323:EB323&gt;=EB323, 1))</f>
        <v>1</v>
      </c>
    </row>
    <row r="324" spans="4:135" ht="12" customHeight="1" x14ac:dyDescent="0.25">
      <c r="D324" s="11">
        <v>308</v>
      </c>
      <c r="E324" s="72">
        <v>302.91622851705876</v>
      </c>
      <c r="F324" s="72">
        <v>285.56923649632694</v>
      </c>
      <c r="G324" s="73"/>
      <c r="H324" s="74">
        <v>5.8690470675004072</v>
      </c>
      <c r="I324" s="74">
        <v>5.8855782533126693</v>
      </c>
      <c r="J324" s="73"/>
      <c r="K324" s="72">
        <v>325.78664239138908</v>
      </c>
      <c r="L324" s="72">
        <v>308.03079118901303</v>
      </c>
      <c r="M324" s="73"/>
      <c r="N324" s="74">
        <v>6.6890301354554813</v>
      </c>
      <c r="O324" s="74">
        <v>6.7039410199697622</v>
      </c>
      <c r="P324" s="73"/>
      <c r="Q324" s="72">
        <v>2320.4346288238762</v>
      </c>
      <c r="R324" s="72">
        <v>1570.005627300435</v>
      </c>
      <c r="S324" s="73"/>
      <c r="T324" s="74">
        <v>5.0363786160654094</v>
      </c>
      <c r="U324" s="74">
        <v>5.0802000283089157</v>
      </c>
      <c r="V324" s="73"/>
      <c r="W324" s="72">
        <v>11935.305509458462</v>
      </c>
      <c r="X324" s="72">
        <v>11880.642589955456</v>
      </c>
      <c r="Y324" s="73"/>
      <c r="Z324" s="74">
        <v>2.983190456538904</v>
      </c>
      <c r="AA324" s="74">
        <v>3.0196194891251427</v>
      </c>
      <c r="AB324" s="73"/>
      <c r="AC324" s="72">
        <v>48149.069807798085</v>
      </c>
      <c r="AD324" s="72">
        <v>47969.397418650959</v>
      </c>
      <c r="AE324" s="73"/>
      <c r="AF324" s="74">
        <v>4.6108514543899597</v>
      </c>
      <c r="AG324" s="74">
        <v>4.7930020734960204</v>
      </c>
      <c r="AH324" s="73"/>
      <c r="AI324" s="72">
        <v>1863481.6940610912</v>
      </c>
      <c r="AJ324" s="72">
        <v>0</v>
      </c>
      <c r="AK324" s="73"/>
      <c r="AL324" s="74">
        <v>-1775.8446020760462</v>
      </c>
      <c r="AM324" s="74">
        <v>0</v>
      </c>
      <c r="AN324" s="73"/>
      <c r="AO324" s="72">
        <v>114661.83146846652</v>
      </c>
      <c r="AP324" s="72">
        <v>0</v>
      </c>
      <c r="AQ324" s="73"/>
      <c r="AR324" s="74">
        <v>-96.289910730579635</v>
      </c>
      <c r="AS324" s="74">
        <v>0</v>
      </c>
      <c r="AT324" s="73"/>
      <c r="AU324" s="72">
        <v>17423479.848645348</v>
      </c>
      <c r="AV324" s="72">
        <v>0</v>
      </c>
      <c r="AW324" s="73"/>
      <c r="AX324" s="74">
        <v>-1017.4466759865262</v>
      </c>
      <c r="AY324" s="74">
        <v>0</v>
      </c>
      <c r="AZ324" s="73"/>
      <c r="BA324" s="72">
        <v>507328.17098367866</v>
      </c>
      <c r="BB324" s="72">
        <v>0</v>
      </c>
      <c r="BC324" s="73"/>
      <c r="BD324" s="74">
        <v>-338.09892776885312</v>
      </c>
      <c r="BE324" s="74">
        <v>0</v>
      </c>
      <c r="BF324" s="73"/>
      <c r="BG324" s="72">
        <v>2835019.6041464186</v>
      </c>
      <c r="BH324" s="72">
        <v>0</v>
      </c>
      <c r="BI324" s="73"/>
      <c r="BJ324" s="74">
        <v>-2874.1231667500647</v>
      </c>
      <c r="BK324" s="74">
        <v>0</v>
      </c>
      <c r="BL324" s="73"/>
      <c r="BM324" s="72">
        <v>22743971.149305001</v>
      </c>
      <c r="BN324" s="72">
        <v>0</v>
      </c>
      <c r="BO324" s="73"/>
      <c r="BP324" s="74">
        <v>-6101.8032833120697</v>
      </c>
      <c r="BQ324" s="74">
        <v>0</v>
      </c>
      <c r="BS324" s="109">
        <f t="shared" si="138"/>
        <v>117078.02512149108</v>
      </c>
      <c r="BT324" s="109">
        <f t="shared" si="139"/>
        <v>117425.99582975706</v>
      </c>
      <c r="BV324" s="58">
        <f t="array" ref="BV324">SUM(IF(BS324:BT324&gt;=BS324, 1))</f>
        <v>2</v>
      </c>
      <c r="BW324" s="58">
        <f t="array" ref="BW324">SUM(IF(BS324:BT324&gt;=BT324, 1))</f>
        <v>1</v>
      </c>
      <c r="BY324" s="109">
        <f t="shared" si="140"/>
        <v>133454.81606671825</v>
      </c>
      <c r="BZ324" s="109">
        <f t="shared" si="141"/>
        <v>133770.78960820622</v>
      </c>
      <c r="CB324" s="58">
        <f t="array" ref="CB324">SUM(IF(BY324:BZ324&gt;=BY324, 1))</f>
        <v>2</v>
      </c>
      <c r="CC324" s="58">
        <f t="array" ref="CC324">SUM(IF(BY324:BZ324&gt;=BZ324, 1))</f>
        <v>1</v>
      </c>
      <c r="CE324" s="109">
        <f t="shared" si="142"/>
        <v>98407.137692484321</v>
      </c>
      <c r="CF324" s="109">
        <f t="shared" si="143"/>
        <v>100033.99493887788</v>
      </c>
      <c r="CH324" s="58">
        <f t="array" ref="CH324">SUM(IF(CE324:CF324&gt;=CE324, 1))</f>
        <v>2</v>
      </c>
      <c r="CI324" s="58">
        <f t="array" ref="CI324">SUM(IF(CE324:CF324&gt;=CF324, 1))</f>
        <v>1</v>
      </c>
      <c r="CK324" s="109">
        <f t="shared" si="144"/>
        <v>47728.503621319614</v>
      </c>
      <c r="CL324" s="109">
        <f t="shared" si="145"/>
        <v>48511.747192547395</v>
      </c>
      <c r="CN324" s="58">
        <f t="array" ref="CN324">SUM(IF(CK324:CL324&gt;=CK324, 1))</f>
        <v>2</v>
      </c>
      <c r="CO324" s="58">
        <f t="array" ref="CO324">SUM(IF(CK324:CL324&gt;=CL324, 1))</f>
        <v>1</v>
      </c>
      <c r="CQ324" s="109" cm="1">
        <f t="array" ref="CQ324">AF324*WTP-AC324</f>
        <v>44067.959280001109</v>
      </c>
      <c r="CR324" s="109">
        <f t="shared" si="146"/>
        <v>47890.644051269453</v>
      </c>
      <c r="CT324" s="58">
        <f t="array" ref="CT324">SUM(IF(CQ324:CR324&gt;=CQ324, 1))</f>
        <v>2</v>
      </c>
      <c r="CU324" s="58">
        <f t="array" ref="CU324">SUM(IF(CQ324:CR324&gt;=CR324, 1))</f>
        <v>1</v>
      </c>
      <c r="CW324" s="109">
        <f t="shared" si="147"/>
        <v>-37380373.735582016</v>
      </c>
      <c r="CX324" s="109">
        <f t="shared" si="148"/>
        <v>0</v>
      </c>
      <c r="CZ324" s="58">
        <f t="array" ref="CZ324">SUM(IF(CW324:CX324&gt;=CW324, 1))</f>
        <v>2</v>
      </c>
      <c r="DA324" s="58">
        <f t="array" ref="DA324">SUM(IF(CW324:CX324&gt;=CX324, 1))</f>
        <v>1</v>
      </c>
      <c r="DC324" s="109">
        <f t="shared" si="149"/>
        <v>-2040460.0460800591</v>
      </c>
      <c r="DD324" s="109">
        <f t="shared" si="150"/>
        <v>0</v>
      </c>
      <c r="DF324" s="58">
        <f t="array" ref="DF324">SUM(IF(DC324:DD324&gt;=DC324, 1))</f>
        <v>2</v>
      </c>
      <c r="DG324" s="58">
        <f t="array" ref="DG324">SUM(IF(DC324:DD324&gt;=DD324, 1))</f>
        <v>1</v>
      </c>
      <c r="DI324" s="109">
        <f t="shared" si="151"/>
        <v>-37772413.368375868</v>
      </c>
      <c r="DJ324" s="109">
        <f t="shared" si="152"/>
        <v>0</v>
      </c>
      <c r="DL324" s="58">
        <f t="array" ref="DL324">SUM(IF(DI324:DJ324&gt;=DI324, 1))</f>
        <v>2</v>
      </c>
      <c r="DM324" s="58">
        <f t="array" ref="DM324">SUM(IF(DI324:DJ324&gt;=DJ324, 1))</f>
        <v>1</v>
      </c>
      <c r="DO324" s="109">
        <f t="shared" si="153"/>
        <v>-7269306.7263607411</v>
      </c>
      <c r="DP324" s="109">
        <f t="shared" si="154"/>
        <v>0</v>
      </c>
      <c r="DR324" s="58">
        <f t="array" ref="DR324">SUM(IF(DO324:DP324&gt;=DO324, 1))</f>
        <v>2</v>
      </c>
      <c r="DS324" s="58">
        <f t="array" ref="DS324">SUM(IF(DO324:DP324&gt;=DP324, 1))</f>
        <v>1</v>
      </c>
      <c r="DU324" s="109">
        <f t="shared" si="155"/>
        <v>-60317482.939147718</v>
      </c>
      <c r="DV324" s="109">
        <f t="shared" si="156"/>
        <v>0</v>
      </c>
      <c r="DX324" s="58">
        <f t="array" ref="DX324">SUM(IF(DU324:DV324&gt;=DU324, 1))</f>
        <v>2</v>
      </c>
      <c r="DY324" s="58">
        <f t="array" ref="DY324">SUM(IF(DU324:DV324&gt;=DV324, 1))</f>
        <v>1</v>
      </c>
      <c r="EA324" s="109">
        <f t="shared" si="157"/>
        <v>-144780036.81554639</v>
      </c>
      <c r="EB324" s="109">
        <f t="shared" si="158"/>
        <v>0</v>
      </c>
      <c r="ED324" s="58">
        <f t="array" ref="ED324">SUM(IF(EA324:EB324&gt;=EA324, 1))</f>
        <v>2</v>
      </c>
      <c r="EE324" s="58">
        <f t="array" ref="EE324">SUM(IF(EA324:EB324&gt;=EB324, 1))</f>
        <v>1</v>
      </c>
    </row>
    <row r="325" spans="4:135" ht="12" customHeight="1" x14ac:dyDescent="0.25">
      <c r="D325" s="11">
        <v>309</v>
      </c>
      <c r="E325" s="72">
        <v>267.06754391572844</v>
      </c>
      <c r="F325" s="72">
        <v>256.04412790103817</v>
      </c>
      <c r="G325" s="73"/>
      <c r="H325" s="74">
        <v>5.8067359138018659</v>
      </c>
      <c r="I325" s="74">
        <v>5.8257481625735359</v>
      </c>
      <c r="J325" s="73"/>
      <c r="K325" s="72">
        <v>287.50508620480377</v>
      </c>
      <c r="L325" s="72">
        <v>276.18630006781905</v>
      </c>
      <c r="M325" s="73"/>
      <c r="N325" s="74">
        <v>6.687966592032784</v>
      </c>
      <c r="O325" s="74">
        <v>6.7050005925782683</v>
      </c>
      <c r="P325" s="73"/>
      <c r="Q325" s="72">
        <v>1936.1965115112641</v>
      </c>
      <c r="R325" s="72">
        <v>1301.2936907960291</v>
      </c>
      <c r="S325" s="73"/>
      <c r="T325" s="74">
        <v>4.7019654008620977</v>
      </c>
      <c r="U325" s="74">
        <v>4.7688522241372295</v>
      </c>
      <c r="V325" s="73"/>
      <c r="W325" s="72">
        <v>11824.264254432725</v>
      </c>
      <c r="X325" s="72">
        <v>11867.400698890548</v>
      </c>
      <c r="Y325" s="73"/>
      <c r="Z325" s="74">
        <v>3.0313567522562983</v>
      </c>
      <c r="AA325" s="74">
        <v>3.0945806339274684</v>
      </c>
      <c r="AB325" s="73"/>
      <c r="AC325" s="72">
        <v>50755.405426656209</v>
      </c>
      <c r="AD325" s="72">
        <v>50711.47697456889</v>
      </c>
      <c r="AE325" s="73"/>
      <c r="AF325" s="74">
        <v>4.9721681589438109</v>
      </c>
      <c r="AG325" s="74">
        <v>5.0493365164340638</v>
      </c>
      <c r="AH325" s="73"/>
      <c r="AI325" s="72">
        <v>1168516.0597292681</v>
      </c>
      <c r="AJ325" s="72">
        <v>0</v>
      </c>
      <c r="AK325" s="73"/>
      <c r="AL325" s="74">
        <v>-2015.3569448579517</v>
      </c>
      <c r="AM325" s="74">
        <v>0</v>
      </c>
      <c r="AN325" s="73"/>
      <c r="AO325" s="72">
        <v>79645.574021229666</v>
      </c>
      <c r="AP325" s="72">
        <v>0</v>
      </c>
      <c r="AQ325" s="73"/>
      <c r="AR325" s="74">
        <v>-119.86115250380124</v>
      </c>
      <c r="AS325" s="74">
        <v>0</v>
      </c>
      <c r="AT325" s="73"/>
      <c r="AU325" s="72">
        <v>14797581.946604658</v>
      </c>
      <c r="AV325" s="72">
        <v>0</v>
      </c>
      <c r="AW325" s="73"/>
      <c r="AX325" s="74">
        <v>-1558.920855709591</v>
      </c>
      <c r="AY325" s="74">
        <v>0</v>
      </c>
      <c r="AZ325" s="73"/>
      <c r="BA325" s="72">
        <v>-383073.39071464451</v>
      </c>
      <c r="BB325" s="72">
        <v>0</v>
      </c>
      <c r="BC325" s="73"/>
      <c r="BD325" s="74">
        <v>-561.45996802303171</v>
      </c>
      <c r="BE325" s="74">
        <v>0</v>
      </c>
      <c r="BF325" s="73"/>
      <c r="BG325" s="72">
        <v>703859.93618342886</v>
      </c>
      <c r="BH325" s="72">
        <v>0</v>
      </c>
      <c r="BI325" s="73"/>
      <c r="BJ325" s="74">
        <v>-1236.4586639771239</v>
      </c>
      <c r="BK325" s="74">
        <v>0</v>
      </c>
      <c r="BL325" s="73"/>
      <c r="BM325" s="72">
        <v>16366530.125823939</v>
      </c>
      <c r="BN325" s="72">
        <v>0</v>
      </c>
      <c r="BO325" s="73"/>
      <c r="BP325" s="74">
        <v>-5492.0575850714995</v>
      </c>
      <c r="BQ325" s="74">
        <v>0</v>
      </c>
      <c r="BS325" s="109">
        <f t="shared" si="138"/>
        <v>115867.65073212159</v>
      </c>
      <c r="BT325" s="109">
        <f t="shared" si="139"/>
        <v>116258.91912356968</v>
      </c>
      <c r="BV325" s="58">
        <f t="array" ref="BV325">SUM(IF(BS325:BT325&gt;=BS325, 1))</f>
        <v>2</v>
      </c>
      <c r="BW325" s="58">
        <f t="array" ref="BW325">SUM(IF(BS325:BT325&gt;=BT325, 1))</f>
        <v>1</v>
      </c>
      <c r="BY325" s="109">
        <f t="shared" si="140"/>
        <v>133471.82675445089</v>
      </c>
      <c r="BZ325" s="109">
        <f t="shared" si="141"/>
        <v>133823.82555149755</v>
      </c>
      <c r="CB325" s="58">
        <f t="array" ref="CB325">SUM(IF(BY325:BZ325&gt;=BY325, 1))</f>
        <v>2</v>
      </c>
      <c r="CC325" s="58">
        <f t="array" ref="CC325">SUM(IF(BY325:BZ325&gt;=BZ325, 1))</f>
        <v>1</v>
      </c>
      <c r="CE325" s="109">
        <f t="shared" si="142"/>
        <v>92103.111505730689</v>
      </c>
      <c r="CF325" s="109">
        <f t="shared" si="143"/>
        <v>94075.750791948565</v>
      </c>
      <c r="CH325" s="58">
        <f t="array" ref="CH325">SUM(IF(CE325:CF325&gt;=CE325, 1))</f>
        <v>2</v>
      </c>
      <c r="CI325" s="58">
        <f t="array" ref="CI325">SUM(IF(CE325:CF325&gt;=CF325, 1))</f>
        <v>1</v>
      </c>
      <c r="CK325" s="109">
        <f t="shared" si="144"/>
        <v>48802.87079069324</v>
      </c>
      <c r="CL325" s="109">
        <f t="shared" si="145"/>
        <v>50024.211979658823</v>
      </c>
      <c r="CN325" s="58">
        <f t="array" ref="CN325">SUM(IF(CK325:CL325&gt;=CK325, 1))</f>
        <v>2</v>
      </c>
      <c r="CO325" s="58">
        <f t="array" ref="CO325">SUM(IF(CK325:CL325&gt;=CL325, 1))</f>
        <v>1</v>
      </c>
      <c r="CQ325" s="109" cm="1">
        <f t="array" ref="CQ325">AF325*WTP-AC325</f>
        <v>48687.957752220005</v>
      </c>
      <c r="CR325" s="109">
        <f t="shared" si="146"/>
        <v>50275.253354112392</v>
      </c>
      <c r="CT325" s="58">
        <f t="array" ref="CT325">SUM(IF(CQ325:CR325&gt;=CQ325, 1))</f>
        <v>2</v>
      </c>
      <c r="CU325" s="58">
        <f t="array" ref="CU325">SUM(IF(CQ325:CR325&gt;=CR325, 1))</f>
        <v>1</v>
      </c>
      <c r="CW325" s="109">
        <f t="shared" si="147"/>
        <v>-41475654.956888303</v>
      </c>
      <c r="CX325" s="109">
        <f t="shared" si="148"/>
        <v>0</v>
      </c>
      <c r="CZ325" s="58">
        <f t="array" ref="CZ325">SUM(IF(CW325:CX325&gt;=CW325, 1))</f>
        <v>2</v>
      </c>
      <c r="DA325" s="58">
        <f t="array" ref="DA325">SUM(IF(CW325:CX325&gt;=CX325, 1))</f>
        <v>1</v>
      </c>
      <c r="DC325" s="109">
        <f t="shared" si="149"/>
        <v>-2476868.6240972541</v>
      </c>
      <c r="DD325" s="109">
        <f t="shared" si="150"/>
        <v>0</v>
      </c>
      <c r="DF325" s="58">
        <f t="array" ref="DF325">SUM(IF(DC325:DD325&gt;=DC325, 1))</f>
        <v>2</v>
      </c>
      <c r="DG325" s="58">
        <f t="array" ref="DG325">SUM(IF(DC325:DD325&gt;=DD325, 1))</f>
        <v>1</v>
      </c>
      <c r="DI325" s="109">
        <f t="shared" si="151"/>
        <v>-45975999.060796477</v>
      </c>
      <c r="DJ325" s="109">
        <f t="shared" si="152"/>
        <v>0</v>
      </c>
      <c r="DL325" s="58">
        <f t="array" ref="DL325">SUM(IF(DI325:DJ325&gt;=DI325, 1))</f>
        <v>2</v>
      </c>
      <c r="DM325" s="58">
        <f t="array" ref="DM325">SUM(IF(DI325:DJ325&gt;=DJ325, 1))</f>
        <v>1</v>
      </c>
      <c r="DO325" s="109">
        <f t="shared" si="153"/>
        <v>-10846125.969745988</v>
      </c>
      <c r="DP325" s="109">
        <f t="shared" si="154"/>
        <v>0</v>
      </c>
      <c r="DR325" s="58">
        <f t="array" ref="DR325">SUM(IF(DO325:DP325&gt;=DO325, 1))</f>
        <v>2</v>
      </c>
      <c r="DS325" s="58">
        <f t="array" ref="DS325">SUM(IF(DO325:DP325&gt;=DP325, 1))</f>
        <v>1</v>
      </c>
      <c r="DU325" s="109">
        <f t="shared" si="155"/>
        <v>-25433033.21572591</v>
      </c>
      <c r="DV325" s="109">
        <f t="shared" si="156"/>
        <v>0</v>
      </c>
      <c r="DX325" s="58">
        <f t="array" ref="DX325">SUM(IF(DU325:DV325&gt;=DU325, 1))</f>
        <v>2</v>
      </c>
      <c r="DY325" s="58">
        <f t="array" ref="DY325">SUM(IF(DU325:DV325&gt;=DV325, 1))</f>
        <v>1</v>
      </c>
      <c r="EA325" s="109">
        <f t="shared" si="157"/>
        <v>-126207681.82725394</v>
      </c>
      <c r="EB325" s="109">
        <f t="shared" si="158"/>
        <v>0</v>
      </c>
      <c r="ED325" s="58">
        <f t="array" ref="ED325">SUM(IF(EA325:EB325&gt;=EA325, 1))</f>
        <v>2</v>
      </c>
      <c r="EE325" s="58">
        <f t="array" ref="EE325">SUM(IF(EA325:EB325&gt;=EB325, 1))</f>
        <v>1</v>
      </c>
    </row>
    <row r="326" spans="4:135" ht="12" customHeight="1" x14ac:dyDescent="0.25">
      <c r="D326" s="11">
        <v>310</v>
      </c>
      <c r="E326" s="72">
        <v>263.4987992922733</v>
      </c>
      <c r="F326" s="72">
        <v>233.17430615969036</v>
      </c>
      <c r="G326" s="73"/>
      <c r="H326" s="74">
        <v>5.8058652503523209</v>
      </c>
      <c r="I326" s="74">
        <v>5.8224936939445513</v>
      </c>
      <c r="J326" s="73"/>
      <c r="K326" s="72">
        <v>282.33338315520342</v>
      </c>
      <c r="L326" s="72">
        <v>251.29837468887567</v>
      </c>
      <c r="M326" s="73"/>
      <c r="N326" s="74">
        <v>6.673596776326578</v>
      </c>
      <c r="O326" s="74">
        <v>6.6880379157781196</v>
      </c>
      <c r="P326" s="73"/>
      <c r="Q326" s="72">
        <v>1696.8061936182012</v>
      </c>
      <c r="R326" s="72">
        <v>1334.4100205799411</v>
      </c>
      <c r="S326" s="73"/>
      <c r="T326" s="74">
        <v>4.8695253199917232</v>
      </c>
      <c r="U326" s="74">
        <v>4.9156685466181127</v>
      </c>
      <c r="V326" s="73"/>
      <c r="W326" s="72">
        <v>14757.005043360308</v>
      </c>
      <c r="X326" s="72">
        <v>14698.957185961392</v>
      </c>
      <c r="Y326" s="73"/>
      <c r="Z326" s="74">
        <v>2.8234076791092795</v>
      </c>
      <c r="AA326" s="74">
        <v>2.8620669444808566</v>
      </c>
      <c r="AB326" s="73"/>
      <c r="AC326" s="72">
        <v>51497.807206534933</v>
      </c>
      <c r="AD326" s="72">
        <v>51118.35412049025</v>
      </c>
      <c r="AE326" s="73"/>
      <c r="AF326" s="74">
        <v>4.2701739718820315</v>
      </c>
      <c r="AG326" s="74">
        <v>4.3567625809668664</v>
      </c>
      <c r="AH326" s="73"/>
      <c r="AI326" s="72">
        <v>3267809.6726473561</v>
      </c>
      <c r="AJ326" s="72">
        <v>0</v>
      </c>
      <c r="AK326" s="73"/>
      <c r="AL326" s="74">
        <v>-1791.9042727007968</v>
      </c>
      <c r="AM326" s="74">
        <v>0</v>
      </c>
      <c r="AN326" s="73"/>
      <c r="AO326" s="72">
        <v>217603.2805157626</v>
      </c>
      <c r="AP326" s="72">
        <v>0</v>
      </c>
      <c r="AQ326" s="73"/>
      <c r="AR326" s="74">
        <v>-101.25466285760866</v>
      </c>
      <c r="AS326" s="74">
        <v>0</v>
      </c>
      <c r="AT326" s="73"/>
      <c r="AU326" s="72">
        <v>8252457.4094311967</v>
      </c>
      <c r="AV326" s="72">
        <v>0</v>
      </c>
      <c r="AW326" s="73"/>
      <c r="AX326" s="74">
        <v>-1050.7699606082988</v>
      </c>
      <c r="AY326" s="74">
        <v>0</v>
      </c>
      <c r="AZ326" s="73"/>
      <c r="BA326" s="72">
        <v>507051.86188063381</v>
      </c>
      <c r="BB326" s="72">
        <v>0</v>
      </c>
      <c r="BC326" s="73"/>
      <c r="BD326" s="74">
        <v>-337.6912320963898</v>
      </c>
      <c r="BE326" s="74">
        <v>0</v>
      </c>
      <c r="BF326" s="73"/>
      <c r="BG326" s="72">
        <v>5853197.7686831234</v>
      </c>
      <c r="BH326" s="72">
        <v>0</v>
      </c>
      <c r="BI326" s="73"/>
      <c r="BJ326" s="74">
        <v>-1335.6598539537233</v>
      </c>
      <c r="BK326" s="74">
        <v>0</v>
      </c>
      <c r="BL326" s="73"/>
      <c r="BM326" s="72">
        <v>18098119.993158072</v>
      </c>
      <c r="BN326" s="72">
        <v>0</v>
      </c>
      <c r="BO326" s="73"/>
      <c r="BP326" s="74">
        <v>-4617.2799822168172</v>
      </c>
      <c r="BQ326" s="74">
        <v>0</v>
      </c>
      <c r="BS326" s="109">
        <f t="shared" si="138"/>
        <v>115853.80620775415</v>
      </c>
      <c r="BT326" s="109">
        <f t="shared" si="139"/>
        <v>116216.69957273133</v>
      </c>
      <c r="BV326" s="58">
        <f t="array" ref="BV326">SUM(IF(BS326:BT326&gt;=BS326, 1))</f>
        <v>2</v>
      </c>
      <c r="BW326" s="58">
        <f t="array" ref="BW326">SUM(IF(BS326:BT326&gt;=BT326, 1))</f>
        <v>1</v>
      </c>
      <c r="BY326" s="109">
        <f t="shared" si="140"/>
        <v>133189.60214337637</v>
      </c>
      <c r="BZ326" s="109">
        <f t="shared" si="141"/>
        <v>133509.45994087352</v>
      </c>
      <c r="CB326" s="58">
        <f t="array" ref="CB326">SUM(IF(BY326:BZ326&gt;=BY326, 1))</f>
        <v>2</v>
      </c>
      <c r="CC326" s="58">
        <f t="array" ref="CC326">SUM(IF(BY326:BZ326&gt;=BZ326, 1))</f>
        <v>1</v>
      </c>
      <c r="CE326" s="109">
        <f t="shared" si="142"/>
        <v>95693.700206216265</v>
      </c>
      <c r="CF326" s="109">
        <f t="shared" si="143"/>
        <v>96978.960911782313</v>
      </c>
      <c r="CH326" s="58">
        <f t="array" ref="CH326">SUM(IF(CE326:CF326&gt;=CE326, 1))</f>
        <v>2</v>
      </c>
      <c r="CI326" s="58">
        <f t="array" ref="CI326">SUM(IF(CE326:CF326&gt;=CF326, 1))</f>
        <v>1</v>
      </c>
      <c r="CK326" s="109">
        <f t="shared" si="144"/>
        <v>41711.148538825277</v>
      </c>
      <c r="CL326" s="109">
        <f t="shared" si="145"/>
        <v>42542.381703655738</v>
      </c>
      <c r="CN326" s="58">
        <f t="array" ref="CN326">SUM(IF(CK326:CL326&gt;=CK326, 1))</f>
        <v>2</v>
      </c>
      <c r="CO326" s="58">
        <f t="array" ref="CO326">SUM(IF(CK326:CL326&gt;=CL326, 1))</f>
        <v>1</v>
      </c>
      <c r="CQ326" s="109" cm="1">
        <f t="array" ref="CQ326">AF326*WTP-AC326</f>
        <v>33905.672231105702</v>
      </c>
      <c r="CR326" s="109">
        <f t="shared" si="146"/>
        <v>36016.89749884708</v>
      </c>
      <c r="CT326" s="58">
        <f t="array" ref="CT326">SUM(IF(CQ326:CR326&gt;=CQ326, 1))</f>
        <v>2</v>
      </c>
      <c r="CU326" s="58">
        <f t="array" ref="CU326">SUM(IF(CQ326:CR326&gt;=CR326, 1))</f>
        <v>1</v>
      </c>
      <c r="CW326" s="109">
        <f t="shared" si="147"/>
        <v>-39105895.12666329</v>
      </c>
      <c r="CX326" s="109">
        <f t="shared" si="148"/>
        <v>0</v>
      </c>
      <c r="CZ326" s="58">
        <f t="array" ref="CZ326">SUM(IF(CW326:CX326&gt;=CW326, 1))</f>
        <v>2</v>
      </c>
      <c r="DA326" s="58">
        <f t="array" ref="DA326">SUM(IF(CW326:CX326&gt;=CX326, 1))</f>
        <v>1</v>
      </c>
      <c r="DC326" s="109">
        <f t="shared" si="149"/>
        <v>-2242696.5376679357</v>
      </c>
      <c r="DD326" s="109">
        <f t="shared" si="150"/>
        <v>0</v>
      </c>
      <c r="DF326" s="58">
        <f t="array" ref="DF326">SUM(IF(DC326:DD326&gt;=DC326, 1))</f>
        <v>2</v>
      </c>
      <c r="DG326" s="58">
        <f t="array" ref="DG326">SUM(IF(DC326:DD326&gt;=DD326, 1))</f>
        <v>1</v>
      </c>
      <c r="DI326" s="109">
        <f t="shared" si="151"/>
        <v>-29267856.621597171</v>
      </c>
      <c r="DJ326" s="109">
        <f t="shared" si="152"/>
        <v>0</v>
      </c>
      <c r="DL326" s="58">
        <f t="array" ref="DL326">SUM(IF(DI326:DJ326&gt;=DI326, 1))</f>
        <v>2</v>
      </c>
      <c r="DM326" s="58">
        <f t="array" ref="DM326">SUM(IF(DI326:DJ326&gt;=DJ326, 1))</f>
        <v>1</v>
      </c>
      <c r="DO326" s="109">
        <f t="shared" si="153"/>
        <v>-7260876.5038084295</v>
      </c>
      <c r="DP326" s="109">
        <f t="shared" si="154"/>
        <v>0</v>
      </c>
      <c r="DR326" s="58">
        <f t="array" ref="DR326">SUM(IF(DO326:DP326&gt;=DO326, 1))</f>
        <v>2</v>
      </c>
      <c r="DS326" s="58">
        <f t="array" ref="DS326">SUM(IF(DO326:DP326&gt;=DP326, 1))</f>
        <v>1</v>
      </c>
      <c r="DU326" s="109">
        <f t="shared" si="155"/>
        <v>-32566394.847757589</v>
      </c>
      <c r="DV326" s="109">
        <f t="shared" si="156"/>
        <v>0</v>
      </c>
      <c r="DX326" s="58">
        <f t="array" ref="DX326">SUM(IF(DU326:DV326&gt;=DU326, 1))</f>
        <v>2</v>
      </c>
      <c r="DY326" s="58">
        <f t="array" ref="DY326">SUM(IF(DU326:DV326&gt;=DV326, 1))</f>
        <v>1</v>
      </c>
      <c r="EA326" s="109">
        <f t="shared" si="157"/>
        <v>-110443719.63749442</v>
      </c>
      <c r="EB326" s="109">
        <f t="shared" si="158"/>
        <v>0</v>
      </c>
      <c r="ED326" s="58">
        <f t="array" ref="ED326">SUM(IF(EA326:EB326&gt;=EA326, 1))</f>
        <v>2</v>
      </c>
      <c r="EE326" s="58">
        <f t="array" ref="EE326">SUM(IF(EA326:EB326&gt;=EB326, 1))</f>
        <v>1</v>
      </c>
    </row>
    <row r="327" spans="4:135" ht="12" customHeight="1" x14ac:dyDescent="0.25">
      <c r="D327" s="11">
        <v>311</v>
      </c>
      <c r="E327" s="72">
        <v>241.36192408468224</v>
      </c>
      <c r="F327" s="72">
        <v>199.78344214972057</v>
      </c>
      <c r="G327" s="73"/>
      <c r="H327" s="74">
        <v>5.8225515961186058</v>
      </c>
      <c r="I327" s="74">
        <v>5.8415583134540681</v>
      </c>
      <c r="J327" s="73"/>
      <c r="K327" s="72">
        <v>257.78813461976938</v>
      </c>
      <c r="L327" s="72">
        <v>215.30180270049533</v>
      </c>
      <c r="M327" s="73"/>
      <c r="N327" s="74">
        <v>6.6909129255658817</v>
      </c>
      <c r="O327" s="74">
        <v>6.7077872156346272</v>
      </c>
      <c r="P327" s="73"/>
      <c r="Q327" s="72">
        <v>2046.3593881458571</v>
      </c>
      <c r="R327" s="72">
        <v>1209.0066503435598</v>
      </c>
      <c r="S327" s="73"/>
      <c r="T327" s="74">
        <v>4.6604594386118263</v>
      </c>
      <c r="U327" s="74">
        <v>4.7573180617505368</v>
      </c>
      <c r="V327" s="73"/>
      <c r="W327" s="72">
        <v>14973.328993769212</v>
      </c>
      <c r="X327" s="72">
        <v>14904.803568862602</v>
      </c>
      <c r="Y327" s="73"/>
      <c r="Z327" s="74">
        <v>3.1479248574196506</v>
      </c>
      <c r="AA327" s="74">
        <v>3.1739182537022228</v>
      </c>
      <c r="AB327" s="73"/>
      <c r="AC327" s="72">
        <v>49384.94584447048</v>
      </c>
      <c r="AD327" s="72">
        <v>49327.518938560228</v>
      </c>
      <c r="AE327" s="73"/>
      <c r="AF327" s="74">
        <v>4.7221009684831303</v>
      </c>
      <c r="AG327" s="74">
        <v>4.788896257027881</v>
      </c>
      <c r="AH327" s="73"/>
      <c r="AI327" s="72">
        <v>4508689.1641293922</v>
      </c>
      <c r="AJ327" s="72">
        <v>0</v>
      </c>
      <c r="AK327" s="73"/>
      <c r="AL327" s="74">
        <v>-2061.0512098569666</v>
      </c>
      <c r="AM327" s="74">
        <v>0</v>
      </c>
      <c r="AN327" s="73"/>
      <c r="AO327" s="72">
        <v>299042.27234686376</v>
      </c>
      <c r="AP327" s="72">
        <v>0</v>
      </c>
      <c r="AQ327" s="73"/>
      <c r="AR327" s="74">
        <v>-118.77057440462605</v>
      </c>
      <c r="AS327" s="74">
        <v>0</v>
      </c>
      <c r="AT327" s="73"/>
      <c r="AU327" s="72">
        <v>19161995.817764077</v>
      </c>
      <c r="AV327" s="72">
        <v>0</v>
      </c>
      <c r="AW327" s="73"/>
      <c r="AX327" s="74">
        <v>-2216.5145555857357</v>
      </c>
      <c r="AY327" s="74">
        <v>0</v>
      </c>
      <c r="AZ327" s="73"/>
      <c r="BA327" s="72">
        <v>623548.88618717471</v>
      </c>
      <c r="BB327" s="72">
        <v>0</v>
      </c>
      <c r="BC327" s="73"/>
      <c r="BD327" s="74">
        <v>-236.52758552477795</v>
      </c>
      <c r="BE327" s="74">
        <v>0</v>
      </c>
      <c r="BF327" s="73"/>
      <c r="BG327" s="72">
        <v>917587.48443612678</v>
      </c>
      <c r="BH327" s="72">
        <v>0</v>
      </c>
      <c r="BI327" s="73"/>
      <c r="BJ327" s="74">
        <v>-1067.2788271711788</v>
      </c>
      <c r="BK327" s="74">
        <v>0</v>
      </c>
      <c r="BL327" s="73"/>
      <c r="BM327" s="72">
        <v>25510863.624863636</v>
      </c>
      <c r="BN327" s="72">
        <v>0</v>
      </c>
      <c r="BO327" s="73"/>
      <c r="BP327" s="74">
        <v>-5700.1427525432855</v>
      </c>
      <c r="BQ327" s="74">
        <v>0</v>
      </c>
      <c r="BS327" s="109">
        <f t="shared" si="138"/>
        <v>116209.66999828743</v>
      </c>
      <c r="BT327" s="109">
        <f t="shared" si="139"/>
        <v>116631.38282693164</v>
      </c>
      <c r="BV327" s="58">
        <f t="array" ref="BV327">SUM(IF(BS327:BT327&gt;=BS327, 1))</f>
        <v>2</v>
      </c>
      <c r="BW327" s="58">
        <f t="array" ref="BW327">SUM(IF(BS327:BT327&gt;=BT327, 1))</f>
        <v>1</v>
      </c>
      <c r="BY327" s="109">
        <f t="shared" si="140"/>
        <v>133560.47037669786</v>
      </c>
      <c r="BZ327" s="109">
        <f t="shared" si="141"/>
        <v>133940.44250999205</v>
      </c>
      <c r="CB327" s="58">
        <f t="array" ref="CB327">SUM(IF(BY327:BZ327&gt;=BY327, 1))</f>
        <v>2</v>
      </c>
      <c r="CC327" s="58">
        <f t="array" ref="CC327">SUM(IF(BY327:BZ327&gt;=BZ327, 1))</f>
        <v>1</v>
      </c>
      <c r="CE327" s="109">
        <f t="shared" si="142"/>
        <v>91162.82938409067</v>
      </c>
      <c r="CF327" s="109">
        <f t="shared" si="143"/>
        <v>93937.354584667177</v>
      </c>
      <c r="CH327" s="58">
        <f t="array" ref="CH327">SUM(IF(CE327:CF327&gt;=CE327, 1))</f>
        <v>2</v>
      </c>
      <c r="CI327" s="58">
        <f t="array" ref="CI327">SUM(IF(CE327:CF327&gt;=CF327, 1))</f>
        <v>1</v>
      </c>
      <c r="CK327" s="109">
        <f t="shared" si="144"/>
        <v>47985.168154623803</v>
      </c>
      <c r="CL327" s="109">
        <f t="shared" si="145"/>
        <v>48573.561505181853</v>
      </c>
      <c r="CN327" s="58">
        <f t="array" ref="CN327">SUM(IF(CK327:CL327&gt;=CK327, 1))</f>
        <v>2</v>
      </c>
      <c r="CO327" s="58">
        <f t="array" ref="CO327">SUM(IF(CK327:CL327&gt;=CL327, 1))</f>
        <v>1</v>
      </c>
      <c r="CQ327" s="109" cm="1">
        <f t="array" ref="CQ327">AF327*WTP-AC327</f>
        <v>45057.073525192129</v>
      </c>
      <c r="CR327" s="109">
        <f t="shared" si="146"/>
        <v>46450.406201997394</v>
      </c>
      <c r="CT327" s="58">
        <f t="array" ref="CT327">SUM(IF(CQ327:CR327&gt;=CQ327, 1))</f>
        <v>2</v>
      </c>
      <c r="CU327" s="58">
        <f t="array" ref="CU327">SUM(IF(CQ327:CR327&gt;=CR327, 1))</f>
        <v>1</v>
      </c>
      <c r="CW327" s="109">
        <f t="shared" si="147"/>
        <v>-45729713.361268722</v>
      </c>
      <c r="CX327" s="109">
        <f t="shared" si="148"/>
        <v>0</v>
      </c>
      <c r="CZ327" s="58">
        <f t="array" ref="CZ327">SUM(IF(CW327:CX327&gt;=CW327, 1))</f>
        <v>2</v>
      </c>
      <c r="DA327" s="58">
        <f t="array" ref="DA327">SUM(IF(CW327:CX327&gt;=CX327, 1))</f>
        <v>1</v>
      </c>
      <c r="DC327" s="109">
        <f t="shared" si="149"/>
        <v>-2674453.7604393847</v>
      </c>
      <c r="DD327" s="109">
        <f t="shared" si="150"/>
        <v>0</v>
      </c>
      <c r="DF327" s="58">
        <f t="array" ref="DF327">SUM(IF(DC327:DD327&gt;=DC327, 1))</f>
        <v>2</v>
      </c>
      <c r="DG327" s="58">
        <f t="array" ref="DG327">SUM(IF(DC327:DD327&gt;=DD327, 1))</f>
        <v>1</v>
      </c>
      <c r="DI327" s="109">
        <f t="shared" si="151"/>
        <v>-63492286.929478794</v>
      </c>
      <c r="DJ327" s="109">
        <f t="shared" si="152"/>
        <v>0</v>
      </c>
      <c r="DL327" s="58">
        <f t="array" ref="DL327">SUM(IF(DI327:DJ327&gt;=DI327, 1))</f>
        <v>2</v>
      </c>
      <c r="DM327" s="58">
        <f t="array" ref="DM327">SUM(IF(DI327:DJ327&gt;=DJ327, 1))</f>
        <v>1</v>
      </c>
      <c r="DO327" s="109">
        <f t="shared" si="153"/>
        <v>-5354100.5966827329</v>
      </c>
      <c r="DP327" s="109">
        <f t="shared" si="154"/>
        <v>0</v>
      </c>
      <c r="DR327" s="58">
        <f t="array" ref="DR327">SUM(IF(DO327:DP327&gt;=DO327, 1))</f>
        <v>2</v>
      </c>
      <c r="DS327" s="58">
        <f t="array" ref="DS327">SUM(IF(DO327:DP327&gt;=DP327, 1))</f>
        <v>1</v>
      </c>
      <c r="DU327" s="109">
        <f t="shared" si="155"/>
        <v>-22263164.027859706</v>
      </c>
      <c r="DV327" s="109">
        <f t="shared" si="156"/>
        <v>0</v>
      </c>
      <c r="DX327" s="58">
        <f t="array" ref="DX327">SUM(IF(DU327:DV327&gt;=DU327, 1))</f>
        <v>2</v>
      </c>
      <c r="DY327" s="58">
        <f t="array" ref="DY327">SUM(IF(DU327:DV327&gt;=DV327, 1))</f>
        <v>1</v>
      </c>
      <c r="EA327" s="109">
        <f t="shared" si="157"/>
        <v>-139513718.67572933</v>
      </c>
      <c r="EB327" s="109">
        <f t="shared" si="158"/>
        <v>0</v>
      </c>
      <c r="ED327" s="58">
        <f t="array" ref="ED327">SUM(IF(EA327:EB327&gt;=EA327, 1))</f>
        <v>2</v>
      </c>
      <c r="EE327" s="58">
        <f t="array" ref="EE327">SUM(IF(EA327:EB327&gt;=EB327, 1))</f>
        <v>1</v>
      </c>
    </row>
    <row r="328" spans="4:135" ht="12" customHeight="1" x14ac:dyDescent="0.25">
      <c r="D328" s="11">
        <v>312</v>
      </c>
      <c r="E328" s="72">
        <v>237.03508208549769</v>
      </c>
      <c r="F328" s="72">
        <v>203.34547147087721</v>
      </c>
      <c r="G328" s="73"/>
      <c r="H328" s="74">
        <v>5.8577209100565213</v>
      </c>
      <c r="I328" s="74">
        <v>5.8771371095452807</v>
      </c>
      <c r="J328" s="73"/>
      <c r="K328" s="72">
        <v>253.74051457048057</v>
      </c>
      <c r="L328" s="72">
        <v>219.2286886173994</v>
      </c>
      <c r="M328" s="73"/>
      <c r="N328" s="74">
        <v>6.753546085684234</v>
      </c>
      <c r="O328" s="74">
        <v>6.7699166275924023</v>
      </c>
      <c r="P328" s="73"/>
      <c r="Q328" s="72">
        <v>2021.7415985248563</v>
      </c>
      <c r="R328" s="72">
        <v>1474.7581045719389</v>
      </c>
      <c r="S328" s="73"/>
      <c r="T328" s="74">
        <v>4.722452988497408</v>
      </c>
      <c r="U328" s="74">
        <v>4.7762560475059122</v>
      </c>
      <c r="V328" s="73"/>
      <c r="W328" s="72">
        <v>17143.898874664923</v>
      </c>
      <c r="X328" s="72">
        <v>16991.935641579264</v>
      </c>
      <c r="Y328" s="73"/>
      <c r="Z328" s="74">
        <v>3.0874888891283461</v>
      </c>
      <c r="AA328" s="74">
        <v>3.122006141142061</v>
      </c>
      <c r="AB328" s="73"/>
      <c r="AC328" s="72">
        <v>51624.968181865486</v>
      </c>
      <c r="AD328" s="72">
        <v>51234.409719240997</v>
      </c>
      <c r="AE328" s="73"/>
      <c r="AF328" s="74">
        <v>4.7554032427256523</v>
      </c>
      <c r="AG328" s="74">
        <v>4.8834268282361881</v>
      </c>
      <c r="AH328" s="73"/>
      <c r="AI328" s="72">
        <v>3613093.4313136451</v>
      </c>
      <c r="AJ328" s="72">
        <v>0</v>
      </c>
      <c r="AK328" s="73"/>
      <c r="AL328" s="74">
        <v>-2082.3197880318448</v>
      </c>
      <c r="AM328" s="74">
        <v>0</v>
      </c>
      <c r="AN328" s="73"/>
      <c r="AO328" s="72">
        <v>228688.4185567119</v>
      </c>
      <c r="AP328" s="72">
        <v>0</v>
      </c>
      <c r="AQ328" s="73"/>
      <c r="AR328" s="74">
        <v>-108.4774055416548</v>
      </c>
      <c r="AS328" s="74">
        <v>0</v>
      </c>
      <c r="AT328" s="73"/>
      <c r="AU328" s="72">
        <v>12332093.465519471</v>
      </c>
      <c r="AV328" s="72">
        <v>0</v>
      </c>
      <c r="AW328" s="73"/>
      <c r="AX328" s="74">
        <v>-1213.0244509368042</v>
      </c>
      <c r="AY328" s="74">
        <v>0</v>
      </c>
      <c r="AZ328" s="73"/>
      <c r="BA328" s="72">
        <v>1372278.8951651533</v>
      </c>
      <c r="BB328" s="72">
        <v>0</v>
      </c>
      <c r="BC328" s="73"/>
      <c r="BD328" s="74">
        <v>-311.70234730935169</v>
      </c>
      <c r="BE328" s="74">
        <v>0</v>
      </c>
      <c r="BF328" s="73"/>
      <c r="BG328" s="72">
        <v>5971674.9391708896</v>
      </c>
      <c r="BH328" s="72">
        <v>0</v>
      </c>
      <c r="BI328" s="73"/>
      <c r="BJ328" s="74">
        <v>-1957.4924380812306</v>
      </c>
      <c r="BK328" s="74">
        <v>0</v>
      </c>
      <c r="BL328" s="73"/>
      <c r="BM328" s="72">
        <v>23517829.149725873</v>
      </c>
      <c r="BN328" s="72">
        <v>0</v>
      </c>
      <c r="BO328" s="73"/>
      <c r="BP328" s="74">
        <v>-5673.0164299008857</v>
      </c>
      <c r="BQ328" s="74">
        <v>0</v>
      </c>
      <c r="BS328" s="109">
        <f t="shared" si="138"/>
        <v>116917.38311904493</v>
      </c>
      <c r="BT328" s="109">
        <f t="shared" si="139"/>
        <v>117339.39671943474</v>
      </c>
      <c r="BV328" s="58">
        <f t="array" ref="BV328">SUM(IF(BS328:BT328&gt;=BS328, 1))</f>
        <v>2</v>
      </c>
      <c r="BW328" s="58">
        <f t="array" ref="BW328">SUM(IF(BS328:BT328&gt;=BT328, 1))</f>
        <v>1</v>
      </c>
      <c r="BY328" s="109">
        <f t="shared" si="140"/>
        <v>134817.18119911422</v>
      </c>
      <c r="BZ328" s="109">
        <f t="shared" si="141"/>
        <v>135179.10386323064</v>
      </c>
      <c r="CB328" s="58">
        <f t="array" ref="CB328">SUM(IF(BY328:BZ328&gt;=BY328, 1))</f>
        <v>2</v>
      </c>
      <c r="CC328" s="58">
        <f t="array" ref="CC328">SUM(IF(BY328:BZ328&gt;=BZ328, 1))</f>
        <v>1</v>
      </c>
      <c r="CE328" s="109">
        <f t="shared" si="142"/>
        <v>92427.318171423307</v>
      </c>
      <c r="CF328" s="109">
        <f t="shared" si="143"/>
        <v>94050.362845546304</v>
      </c>
      <c r="CH328" s="58">
        <f t="array" ref="CH328">SUM(IF(CE328:CF328&gt;=CE328, 1))</f>
        <v>2</v>
      </c>
      <c r="CI328" s="58">
        <f t="array" ref="CI328">SUM(IF(CE328:CF328&gt;=CF328, 1))</f>
        <v>1</v>
      </c>
      <c r="CK328" s="109">
        <f t="shared" si="144"/>
        <v>44605.878907901992</v>
      </c>
      <c r="CL328" s="109">
        <f t="shared" si="145"/>
        <v>45448.187181261957</v>
      </c>
      <c r="CN328" s="58">
        <f t="array" ref="CN328">SUM(IF(CK328:CL328&gt;=CK328, 1))</f>
        <v>2</v>
      </c>
      <c r="CO328" s="58">
        <f t="array" ref="CO328">SUM(IF(CK328:CL328&gt;=CL328, 1))</f>
        <v>1</v>
      </c>
      <c r="CQ328" s="109" cm="1">
        <f t="array" ref="CQ328">AF328*WTP-AC328</f>
        <v>43483.096672647553</v>
      </c>
      <c r="CR328" s="109">
        <f t="shared" si="146"/>
        <v>46434.126845482766</v>
      </c>
      <c r="CT328" s="58">
        <f t="array" ref="CT328">SUM(IF(CQ328:CR328&gt;=CQ328, 1))</f>
        <v>2</v>
      </c>
      <c r="CU328" s="58">
        <f t="array" ref="CU328">SUM(IF(CQ328:CR328&gt;=CR328, 1))</f>
        <v>1</v>
      </c>
      <c r="CW328" s="109">
        <f t="shared" si="147"/>
        <v>-45259489.191950545</v>
      </c>
      <c r="CX328" s="109">
        <f t="shared" si="148"/>
        <v>0</v>
      </c>
      <c r="CZ328" s="58">
        <f t="array" ref="CZ328">SUM(IF(CW328:CX328&gt;=CW328, 1))</f>
        <v>2</v>
      </c>
      <c r="DA328" s="58">
        <f t="array" ref="DA328">SUM(IF(CW328:CX328&gt;=CX328, 1))</f>
        <v>1</v>
      </c>
      <c r="DC328" s="109">
        <f t="shared" si="149"/>
        <v>-2398236.529389808</v>
      </c>
      <c r="DD328" s="109">
        <f t="shared" si="150"/>
        <v>0</v>
      </c>
      <c r="DF328" s="58">
        <f t="array" ref="DF328">SUM(IF(DC328:DD328&gt;=DC328, 1))</f>
        <v>2</v>
      </c>
      <c r="DG328" s="58">
        <f t="array" ref="DG328">SUM(IF(DC328:DD328&gt;=DD328, 1))</f>
        <v>1</v>
      </c>
      <c r="DI328" s="109">
        <f t="shared" si="151"/>
        <v>-36592582.484255552</v>
      </c>
      <c r="DJ328" s="109">
        <f t="shared" si="152"/>
        <v>0</v>
      </c>
      <c r="DL328" s="58">
        <f t="array" ref="DL328">SUM(IF(DI328:DJ328&gt;=DI328, 1))</f>
        <v>2</v>
      </c>
      <c r="DM328" s="58">
        <f t="array" ref="DM328">SUM(IF(DI328:DJ328&gt;=DJ328, 1))</f>
        <v>1</v>
      </c>
      <c r="DO328" s="109">
        <f t="shared" si="153"/>
        <v>-7606325.8413521871</v>
      </c>
      <c r="DP328" s="109">
        <f t="shared" si="154"/>
        <v>0</v>
      </c>
      <c r="DR328" s="58">
        <f t="array" ref="DR328">SUM(IF(DO328:DP328&gt;=DO328, 1))</f>
        <v>2</v>
      </c>
      <c r="DS328" s="58">
        <f t="array" ref="DS328">SUM(IF(DO328:DP328&gt;=DP328, 1))</f>
        <v>1</v>
      </c>
      <c r="DU328" s="109">
        <f t="shared" si="155"/>
        <v>-45121523.700795501</v>
      </c>
      <c r="DV328" s="109">
        <f t="shared" si="156"/>
        <v>0</v>
      </c>
      <c r="DX328" s="58">
        <f t="array" ref="DX328">SUM(IF(DU328:DV328&gt;=DU328, 1))</f>
        <v>2</v>
      </c>
      <c r="DY328" s="58">
        <f t="array" ref="DY328">SUM(IF(DU328:DV328&gt;=DV328, 1))</f>
        <v>1</v>
      </c>
      <c r="EA328" s="109">
        <f t="shared" si="157"/>
        <v>-136978157.74774358</v>
      </c>
      <c r="EB328" s="109">
        <f t="shared" si="158"/>
        <v>0</v>
      </c>
      <c r="ED328" s="58">
        <f t="array" ref="ED328">SUM(IF(EA328:EB328&gt;=EA328, 1))</f>
        <v>2</v>
      </c>
      <c r="EE328" s="58">
        <f t="array" ref="EE328">SUM(IF(EA328:EB328&gt;=EB328, 1))</f>
        <v>1</v>
      </c>
    </row>
    <row r="329" spans="4:135" ht="12" customHeight="1" x14ac:dyDescent="0.25">
      <c r="D329" s="11">
        <v>313</v>
      </c>
      <c r="E329" s="72">
        <v>221.39995073394132</v>
      </c>
      <c r="F329" s="72">
        <v>209.30940616074903</v>
      </c>
      <c r="G329" s="73"/>
      <c r="H329" s="74">
        <v>5.8608398642964286</v>
      </c>
      <c r="I329" s="74">
        <v>5.8747168618988796</v>
      </c>
      <c r="J329" s="73"/>
      <c r="K329" s="72">
        <v>238.10638605994248</v>
      </c>
      <c r="L329" s="72">
        <v>225.69969626105421</v>
      </c>
      <c r="M329" s="73"/>
      <c r="N329" s="74">
        <v>6.617386340568113</v>
      </c>
      <c r="O329" s="74">
        <v>6.6289956664531413</v>
      </c>
      <c r="P329" s="73"/>
      <c r="Q329" s="72">
        <v>1977.6571500566424</v>
      </c>
      <c r="R329" s="72">
        <v>1141.4950853056096</v>
      </c>
      <c r="S329" s="73"/>
      <c r="T329" s="74">
        <v>4.79055564405565</v>
      </c>
      <c r="U329" s="74">
        <v>4.8574898758903933</v>
      </c>
      <c r="V329" s="73"/>
      <c r="W329" s="72">
        <v>14048.957643055299</v>
      </c>
      <c r="X329" s="72">
        <v>14043.399855197447</v>
      </c>
      <c r="Y329" s="73"/>
      <c r="Z329" s="74">
        <v>3.0815962326102291</v>
      </c>
      <c r="AA329" s="74">
        <v>3.1335251643257971</v>
      </c>
      <c r="AB329" s="73"/>
      <c r="AC329" s="72">
        <v>51896.285930376442</v>
      </c>
      <c r="AD329" s="72">
        <v>50718.03586951983</v>
      </c>
      <c r="AE329" s="73"/>
      <c r="AF329" s="74">
        <v>4.380333858976198</v>
      </c>
      <c r="AG329" s="74">
        <v>4.5056778156740354</v>
      </c>
      <c r="AH329" s="73"/>
      <c r="AI329" s="72">
        <v>1304204.0682582804</v>
      </c>
      <c r="AJ329" s="72">
        <v>0</v>
      </c>
      <c r="AK329" s="73"/>
      <c r="AL329" s="74">
        <v>-1496.908316971578</v>
      </c>
      <c r="AM329" s="74">
        <v>0</v>
      </c>
      <c r="AN329" s="73"/>
      <c r="AO329" s="72">
        <v>84690.56481806071</v>
      </c>
      <c r="AP329" s="72">
        <v>0</v>
      </c>
      <c r="AQ329" s="73"/>
      <c r="AR329" s="74">
        <v>-79.247598053759631</v>
      </c>
      <c r="AS329" s="74">
        <v>0</v>
      </c>
      <c r="AT329" s="73"/>
      <c r="AU329" s="72">
        <v>19507032.468501944</v>
      </c>
      <c r="AV329" s="72">
        <v>0</v>
      </c>
      <c r="AW329" s="73"/>
      <c r="AX329" s="74">
        <v>-1561.5253175152609</v>
      </c>
      <c r="AY329" s="74">
        <v>0</v>
      </c>
      <c r="AZ329" s="73"/>
      <c r="BA329" s="72">
        <v>47742.300595528999</v>
      </c>
      <c r="BB329" s="72">
        <v>0</v>
      </c>
      <c r="BC329" s="73"/>
      <c r="BD329" s="74">
        <v>-446.07795960886887</v>
      </c>
      <c r="BE329" s="74">
        <v>0</v>
      </c>
      <c r="BF329" s="73"/>
      <c r="BG329" s="72">
        <v>19146927.115244381</v>
      </c>
      <c r="BH329" s="72">
        <v>0</v>
      </c>
      <c r="BI329" s="73"/>
      <c r="BJ329" s="74">
        <v>-2036.8779794375964</v>
      </c>
      <c r="BK329" s="74">
        <v>0</v>
      </c>
      <c r="BL329" s="73"/>
      <c r="BM329" s="72">
        <v>40090596.517418191</v>
      </c>
      <c r="BN329" s="72">
        <v>0</v>
      </c>
      <c r="BO329" s="73"/>
      <c r="BP329" s="74">
        <v>-5620.6371715870637</v>
      </c>
      <c r="BQ329" s="74">
        <v>0</v>
      </c>
      <c r="BS329" s="109">
        <f t="shared" si="138"/>
        <v>116995.39733519462</v>
      </c>
      <c r="BT329" s="109">
        <f t="shared" si="139"/>
        <v>117285.02783181684</v>
      </c>
      <c r="BV329" s="58">
        <f t="array" ref="BV329">SUM(IF(BS329:BT329&gt;=BS329, 1))</f>
        <v>2</v>
      </c>
      <c r="BW329" s="58">
        <f t="array" ref="BW329">SUM(IF(BS329:BT329&gt;=BT329, 1))</f>
        <v>1</v>
      </c>
      <c r="BY329" s="109">
        <f t="shared" si="140"/>
        <v>132109.6204253023</v>
      </c>
      <c r="BZ329" s="109">
        <f t="shared" si="141"/>
        <v>132354.21363280178</v>
      </c>
      <c r="CB329" s="58">
        <f t="array" ref="CB329">SUM(IF(BY329:BZ329&gt;=BY329, 1))</f>
        <v>2</v>
      </c>
      <c r="CC329" s="58">
        <f t="array" ref="CC329">SUM(IF(BY329:BZ329&gt;=BZ329, 1))</f>
        <v>1</v>
      </c>
      <c r="CE329" s="109">
        <f t="shared" si="142"/>
        <v>93833.455731056369</v>
      </c>
      <c r="CF329" s="109">
        <f t="shared" si="143"/>
        <v>96008.302432502256</v>
      </c>
      <c r="CH329" s="58">
        <f t="array" ref="CH329">SUM(IF(CE329:CF329&gt;=CE329, 1))</f>
        <v>2</v>
      </c>
      <c r="CI329" s="58">
        <f t="array" ref="CI329">SUM(IF(CE329:CF329&gt;=CF329, 1))</f>
        <v>1</v>
      </c>
      <c r="CK329" s="109">
        <f t="shared" si="144"/>
        <v>47582.967009149281</v>
      </c>
      <c r="CL329" s="109">
        <f t="shared" si="145"/>
        <v>48627.103431318494</v>
      </c>
      <c r="CN329" s="58">
        <f t="array" ref="CN329">SUM(IF(CK329:CL329&gt;=CK329, 1))</f>
        <v>2</v>
      </c>
      <c r="CO329" s="58">
        <f t="array" ref="CO329">SUM(IF(CK329:CL329&gt;=CL329, 1))</f>
        <v>1</v>
      </c>
      <c r="CQ329" s="109" cm="1">
        <f t="array" ref="CQ329">AF329*WTP-AC329</f>
        <v>35710.39124914752</v>
      </c>
      <c r="CR329" s="109">
        <f t="shared" si="146"/>
        <v>39395.520443960871</v>
      </c>
      <c r="CT329" s="58">
        <f t="array" ref="CT329">SUM(IF(CQ329:CR329&gt;=CQ329, 1))</f>
        <v>2</v>
      </c>
      <c r="CU329" s="58">
        <f t="array" ref="CU329">SUM(IF(CQ329:CR329&gt;=CR329, 1))</f>
        <v>1</v>
      </c>
      <c r="CW329" s="109">
        <f t="shared" si="147"/>
        <v>-31242370.40768984</v>
      </c>
      <c r="CX329" s="109">
        <f t="shared" si="148"/>
        <v>0</v>
      </c>
      <c r="CZ329" s="58">
        <f t="array" ref="CZ329">SUM(IF(CW329:CX329&gt;=CW329, 1))</f>
        <v>2</v>
      </c>
      <c r="DA329" s="58">
        <f t="array" ref="DA329">SUM(IF(CW329:CX329&gt;=CX329, 1))</f>
        <v>1</v>
      </c>
      <c r="DC329" s="109">
        <f t="shared" si="149"/>
        <v>-1669642.5258932533</v>
      </c>
      <c r="DD329" s="109">
        <f t="shared" si="150"/>
        <v>0</v>
      </c>
      <c r="DF329" s="58">
        <f t="array" ref="DF329">SUM(IF(DC329:DD329&gt;=DC329, 1))</f>
        <v>2</v>
      </c>
      <c r="DG329" s="58">
        <f t="array" ref="DG329">SUM(IF(DC329:DD329&gt;=DD329, 1))</f>
        <v>1</v>
      </c>
      <c r="DI329" s="109">
        <f t="shared" si="151"/>
        <v>-50737538.818807162</v>
      </c>
      <c r="DJ329" s="109">
        <f t="shared" si="152"/>
        <v>0</v>
      </c>
      <c r="DL329" s="58">
        <f t="array" ref="DL329">SUM(IF(DI329:DJ329&gt;=DI329, 1))</f>
        <v>2</v>
      </c>
      <c r="DM329" s="58">
        <f t="array" ref="DM329">SUM(IF(DI329:DJ329&gt;=DJ329, 1))</f>
        <v>1</v>
      </c>
      <c r="DO329" s="109">
        <f t="shared" si="153"/>
        <v>-8969301.492772907</v>
      </c>
      <c r="DP329" s="109">
        <f t="shared" si="154"/>
        <v>0</v>
      </c>
      <c r="DR329" s="58">
        <f t="array" ref="DR329">SUM(IF(DO329:DP329&gt;=DO329, 1))</f>
        <v>2</v>
      </c>
      <c r="DS329" s="58">
        <f t="array" ref="DS329">SUM(IF(DO329:DP329&gt;=DP329, 1))</f>
        <v>1</v>
      </c>
      <c r="DU329" s="109">
        <f t="shared" si="155"/>
        <v>-59884486.703996308</v>
      </c>
      <c r="DV329" s="109">
        <f t="shared" si="156"/>
        <v>0</v>
      </c>
      <c r="DX329" s="58">
        <f t="array" ref="DX329">SUM(IF(DU329:DV329&gt;=DU329, 1))</f>
        <v>2</v>
      </c>
      <c r="DY329" s="58">
        <f t="array" ref="DY329">SUM(IF(DU329:DV329&gt;=DV329, 1))</f>
        <v>1</v>
      </c>
      <c r="EA329" s="109">
        <f t="shared" si="157"/>
        <v>-152503339.94915944</v>
      </c>
      <c r="EB329" s="109">
        <f t="shared" si="158"/>
        <v>0</v>
      </c>
      <c r="ED329" s="58">
        <f t="array" ref="ED329">SUM(IF(EA329:EB329&gt;=EA329, 1))</f>
        <v>2</v>
      </c>
      <c r="EE329" s="58">
        <f t="array" ref="EE329">SUM(IF(EA329:EB329&gt;=EB329, 1))</f>
        <v>1</v>
      </c>
    </row>
    <row r="330" spans="4:135" ht="12" customHeight="1" x14ac:dyDescent="0.25">
      <c r="D330" s="11">
        <v>314</v>
      </c>
      <c r="E330" s="72">
        <v>296.91192255565574</v>
      </c>
      <c r="F330" s="72">
        <v>281.94154776098804</v>
      </c>
      <c r="G330" s="73"/>
      <c r="H330" s="74">
        <v>5.8891003288261308</v>
      </c>
      <c r="I330" s="74">
        <v>5.9049496186002406</v>
      </c>
      <c r="J330" s="73"/>
      <c r="K330" s="72">
        <v>319.51891340233067</v>
      </c>
      <c r="L330" s="72">
        <v>304.13729573809087</v>
      </c>
      <c r="M330" s="73"/>
      <c r="N330" s="74">
        <v>6.6769956496710625</v>
      </c>
      <c r="O330" s="74">
        <v>6.6902407697030197</v>
      </c>
      <c r="P330" s="73"/>
      <c r="Q330" s="72">
        <v>1795.391231454345</v>
      </c>
      <c r="R330" s="72">
        <v>1263.1962892992626</v>
      </c>
      <c r="S330" s="73"/>
      <c r="T330" s="74">
        <v>4.7561585929631773</v>
      </c>
      <c r="U330" s="74">
        <v>4.8102154729919198</v>
      </c>
      <c r="V330" s="73"/>
      <c r="W330" s="72">
        <v>10951.288006614323</v>
      </c>
      <c r="X330" s="72">
        <v>10867.20390533168</v>
      </c>
      <c r="Y330" s="73"/>
      <c r="Z330" s="74">
        <v>3.0806689963792335</v>
      </c>
      <c r="AA330" s="74">
        <v>3.1150352743285725</v>
      </c>
      <c r="AB330" s="73"/>
      <c r="AC330" s="72">
        <v>48480.108050439827</v>
      </c>
      <c r="AD330" s="72">
        <v>48198.775994256939</v>
      </c>
      <c r="AE330" s="73"/>
      <c r="AF330" s="74">
        <v>5.0405632139952097</v>
      </c>
      <c r="AG330" s="74">
        <v>5.2060012506088968</v>
      </c>
      <c r="AH330" s="73"/>
      <c r="AI330" s="72">
        <v>1600292.4165178256</v>
      </c>
      <c r="AJ330" s="72">
        <v>0</v>
      </c>
      <c r="AK330" s="73"/>
      <c r="AL330" s="74">
        <v>-1694.246041303903</v>
      </c>
      <c r="AM330" s="74">
        <v>0</v>
      </c>
      <c r="AN330" s="73"/>
      <c r="AO330" s="72">
        <v>103854.26602512431</v>
      </c>
      <c r="AP330" s="72">
        <v>0</v>
      </c>
      <c r="AQ330" s="73"/>
      <c r="AR330" s="74">
        <v>-89.428969654575766</v>
      </c>
      <c r="AS330" s="74">
        <v>0</v>
      </c>
      <c r="AT330" s="73"/>
      <c r="AU330" s="72">
        <v>12230198.90223882</v>
      </c>
      <c r="AV330" s="72">
        <v>0</v>
      </c>
      <c r="AW330" s="73"/>
      <c r="AX330" s="74">
        <v>-1242.2635812899703</v>
      </c>
      <c r="AY330" s="74">
        <v>0</v>
      </c>
      <c r="AZ330" s="73"/>
      <c r="BA330" s="72">
        <v>751973.924781724</v>
      </c>
      <c r="BB330" s="72">
        <v>0</v>
      </c>
      <c r="BC330" s="73"/>
      <c r="BD330" s="74">
        <v>-307.3416319553246</v>
      </c>
      <c r="BE330" s="74">
        <v>0</v>
      </c>
      <c r="BF330" s="73"/>
      <c r="BG330" s="72">
        <v>4365476.8573424751</v>
      </c>
      <c r="BH330" s="72">
        <v>0</v>
      </c>
      <c r="BI330" s="73"/>
      <c r="BJ330" s="74">
        <v>-2567.1298534559169</v>
      </c>
      <c r="BK330" s="74">
        <v>0</v>
      </c>
      <c r="BL330" s="73"/>
      <c r="BM330" s="72">
        <v>19051796.366905969</v>
      </c>
      <c r="BN330" s="72">
        <v>0</v>
      </c>
      <c r="BO330" s="73"/>
      <c r="BP330" s="74">
        <v>-5900.4100776596897</v>
      </c>
      <c r="BQ330" s="74">
        <v>0</v>
      </c>
      <c r="BS330" s="109">
        <f t="shared" si="138"/>
        <v>117485.09465396697</v>
      </c>
      <c r="BT330" s="109">
        <f t="shared" si="139"/>
        <v>117817.05082424382</v>
      </c>
      <c r="BV330" s="58">
        <f t="array" ref="BV330">SUM(IF(BS330:BT330&gt;=BS330, 1))</f>
        <v>2</v>
      </c>
      <c r="BW330" s="58">
        <f t="array" ref="BW330">SUM(IF(BS330:BT330&gt;=BT330, 1))</f>
        <v>1</v>
      </c>
      <c r="BY330" s="109">
        <f t="shared" si="140"/>
        <v>133220.39408001892</v>
      </c>
      <c r="BZ330" s="109">
        <f t="shared" si="141"/>
        <v>133500.6780983223</v>
      </c>
      <c r="CB330" s="58">
        <f t="array" ref="CB330">SUM(IF(BY330:BZ330&gt;=BY330, 1))</f>
        <v>2</v>
      </c>
      <c r="CC330" s="58">
        <f t="array" ref="CC330">SUM(IF(BY330:BZ330&gt;=BZ330, 1))</f>
        <v>1</v>
      </c>
      <c r="CE330" s="109">
        <f t="shared" si="142"/>
        <v>93327.780627809203</v>
      </c>
      <c r="CF330" s="109">
        <f t="shared" si="143"/>
        <v>94941.113170539131</v>
      </c>
      <c r="CH330" s="58">
        <f t="array" ref="CH330">SUM(IF(CE330:CF330&gt;=CE330, 1))</f>
        <v>2</v>
      </c>
      <c r="CI330" s="58">
        <f t="array" ref="CI330">SUM(IF(CE330:CF330&gt;=CF330, 1))</f>
        <v>1</v>
      </c>
      <c r="CK330" s="109">
        <f t="shared" si="144"/>
        <v>50662.091920970342</v>
      </c>
      <c r="CL330" s="109">
        <f t="shared" si="145"/>
        <v>51433.501581239776</v>
      </c>
      <c r="CN330" s="58">
        <f t="array" ref="CN330">SUM(IF(CK330:CL330&gt;=CK330, 1))</f>
        <v>2</v>
      </c>
      <c r="CO330" s="58">
        <f t="array" ref="CO330">SUM(IF(CK330:CL330&gt;=CL330, 1))</f>
        <v>1</v>
      </c>
      <c r="CQ330" s="109" cm="1">
        <f t="array" ref="CQ330">AF330*WTP-AC330</f>
        <v>52331.156229464366</v>
      </c>
      <c r="CR330" s="109">
        <f t="shared" si="146"/>
        <v>55921.249017921</v>
      </c>
      <c r="CT330" s="58">
        <f t="array" ref="CT330">SUM(IF(CQ330:CR330&gt;=CQ330, 1))</f>
        <v>2</v>
      </c>
      <c r="CU330" s="58">
        <f t="array" ref="CU330">SUM(IF(CQ330:CR330&gt;=CR330, 1))</f>
        <v>1</v>
      </c>
      <c r="CW330" s="109">
        <f t="shared" si="147"/>
        <v>-35485213.242595881</v>
      </c>
      <c r="CX330" s="109">
        <f t="shared" si="148"/>
        <v>0</v>
      </c>
      <c r="CZ330" s="58">
        <f t="array" ref="CZ330">SUM(IF(CW330:CX330&gt;=CW330, 1))</f>
        <v>2</v>
      </c>
      <c r="DA330" s="58">
        <f t="array" ref="DA330">SUM(IF(CW330:CX330&gt;=CX330, 1))</f>
        <v>1</v>
      </c>
      <c r="DC330" s="109">
        <f t="shared" si="149"/>
        <v>-1892433.6591166398</v>
      </c>
      <c r="DD330" s="109">
        <f t="shared" si="150"/>
        <v>0</v>
      </c>
      <c r="DF330" s="58">
        <f t="array" ref="DF330">SUM(IF(DC330:DD330&gt;=DC330, 1))</f>
        <v>2</v>
      </c>
      <c r="DG330" s="58">
        <f t="array" ref="DG330">SUM(IF(DC330:DD330&gt;=DD330, 1))</f>
        <v>1</v>
      </c>
      <c r="DI330" s="109">
        <f t="shared" si="151"/>
        <v>-37075470.528038226</v>
      </c>
      <c r="DJ330" s="109">
        <f t="shared" si="152"/>
        <v>0</v>
      </c>
      <c r="DL330" s="58">
        <f t="array" ref="DL330">SUM(IF(DI330:DJ330&gt;=DI330, 1))</f>
        <v>2</v>
      </c>
      <c r="DM330" s="58">
        <f t="array" ref="DM330">SUM(IF(DI330:DJ330&gt;=DJ330, 1))</f>
        <v>1</v>
      </c>
      <c r="DO330" s="109">
        <f t="shared" si="153"/>
        <v>-6898806.5638882155</v>
      </c>
      <c r="DP330" s="109">
        <f t="shared" si="154"/>
        <v>0</v>
      </c>
      <c r="DR330" s="58">
        <f t="array" ref="DR330">SUM(IF(DO330:DP330&gt;=DO330, 1))</f>
        <v>2</v>
      </c>
      <c r="DS330" s="58">
        <f t="array" ref="DS330">SUM(IF(DO330:DP330&gt;=DP330, 1))</f>
        <v>1</v>
      </c>
      <c r="DU330" s="109">
        <f t="shared" si="155"/>
        <v>-55708073.92646081</v>
      </c>
      <c r="DV330" s="109">
        <f t="shared" si="156"/>
        <v>0</v>
      </c>
      <c r="DX330" s="58">
        <f t="array" ref="DX330">SUM(IF(DU330:DV330&gt;=DU330, 1))</f>
        <v>2</v>
      </c>
      <c r="DY330" s="58">
        <f t="array" ref="DY330">SUM(IF(DU330:DV330&gt;=DV330, 1))</f>
        <v>1</v>
      </c>
      <c r="EA330" s="109">
        <f t="shared" si="157"/>
        <v>-137059997.92009977</v>
      </c>
      <c r="EB330" s="109">
        <f t="shared" si="158"/>
        <v>0</v>
      </c>
      <c r="ED330" s="58">
        <f t="array" ref="ED330">SUM(IF(EA330:EB330&gt;=EA330, 1))</f>
        <v>2</v>
      </c>
      <c r="EE330" s="58">
        <f t="array" ref="EE330">SUM(IF(EA330:EB330&gt;=EB330, 1))</f>
        <v>1</v>
      </c>
    </row>
    <row r="331" spans="4:135" ht="12" customHeight="1" x14ac:dyDescent="0.25">
      <c r="D331" s="11">
        <v>315</v>
      </c>
      <c r="E331" s="72">
        <v>294.53559116247885</v>
      </c>
      <c r="F331" s="72">
        <v>263.53552835088664</v>
      </c>
      <c r="G331" s="73"/>
      <c r="H331" s="74">
        <v>5.8473956651417822</v>
      </c>
      <c r="I331" s="74">
        <v>5.8652162351975239</v>
      </c>
      <c r="J331" s="73"/>
      <c r="K331" s="72">
        <v>315.81095372152663</v>
      </c>
      <c r="L331" s="72">
        <v>284.06760296681057</v>
      </c>
      <c r="M331" s="73"/>
      <c r="N331" s="74">
        <v>6.7130291102073913</v>
      </c>
      <c r="O331" s="74">
        <v>6.7290400910642649</v>
      </c>
      <c r="P331" s="73"/>
      <c r="Q331" s="72">
        <v>2253.5268411832508</v>
      </c>
      <c r="R331" s="72">
        <v>1428.2303559792083</v>
      </c>
      <c r="S331" s="73"/>
      <c r="T331" s="74">
        <v>4.8276513558222796</v>
      </c>
      <c r="U331" s="74">
        <v>4.9014064278534173</v>
      </c>
      <c r="V331" s="73"/>
      <c r="W331" s="72">
        <v>11254.164377301429</v>
      </c>
      <c r="X331" s="72">
        <v>11227.218875292872</v>
      </c>
      <c r="Y331" s="73"/>
      <c r="Z331" s="74">
        <v>3.0760872753467323</v>
      </c>
      <c r="AA331" s="74">
        <v>3.122823461045737</v>
      </c>
      <c r="AB331" s="73"/>
      <c r="AC331" s="72">
        <v>50811.298151384013</v>
      </c>
      <c r="AD331" s="72">
        <v>50769.515790032659</v>
      </c>
      <c r="AE331" s="73"/>
      <c r="AF331" s="74">
        <v>4.7252196665801778</v>
      </c>
      <c r="AG331" s="74">
        <v>4.8092950017320328</v>
      </c>
      <c r="AH331" s="73"/>
      <c r="AI331" s="72">
        <v>3349513.3232893464</v>
      </c>
      <c r="AJ331" s="72">
        <v>0</v>
      </c>
      <c r="AK331" s="73"/>
      <c r="AL331" s="74">
        <v>-1925.4876092701729</v>
      </c>
      <c r="AM331" s="74">
        <v>0</v>
      </c>
      <c r="AN331" s="73"/>
      <c r="AO331" s="72">
        <v>213388.66766698629</v>
      </c>
      <c r="AP331" s="72">
        <v>0</v>
      </c>
      <c r="AQ331" s="73"/>
      <c r="AR331" s="74">
        <v>-107.63078855442765</v>
      </c>
      <c r="AS331" s="74">
        <v>0</v>
      </c>
      <c r="AT331" s="73"/>
      <c r="AU331" s="72">
        <v>18928715.155974645</v>
      </c>
      <c r="AV331" s="72">
        <v>0</v>
      </c>
      <c r="AW331" s="73"/>
      <c r="AX331" s="74">
        <v>-1691.6208596727952</v>
      </c>
      <c r="AY331" s="74">
        <v>0</v>
      </c>
      <c r="AZ331" s="73"/>
      <c r="BA331" s="72">
        <v>245195.56171718703</v>
      </c>
      <c r="BB331" s="72">
        <v>0</v>
      </c>
      <c r="BC331" s="73"/>
      <c r="BD331" s="74">
        <v>-425.28453548006127</v>
      </c>
      <c r="BE331" s="74">
        <v>0</v>
      </c>
      <c r="BF331" s="73"/>
      <c r="BG331" s="72">
        <v>670506.7896777339</v>
      </c>
      <c r="BH331" s="72">
        <v>0</v>
      </c>
      <c r="BI331" s="73"/>
      <c r="BJ331" s="74">
        <v>-1349.2076857432896</v>
      </c>
      <c r="BK331" s="74">
        <v>0</v>
      </c>
      <c r="BL331" s="73"/>
      <c r="BM331" s="72">
        <v>23407319.498325899</v>
      </c>
      <c r="BN331" s="72">
        <v>0</v>
      </c>
      <c r="BO331" s="73"/>
      <c r="BP331" s="74">
        <v>-5499.2314787207461</v>
      </c>
      <c r="BQ331" s="74">
        <v>0</v>
      </c>
      <c r="BS331" s="109">
        <f t="shared" si="138"/>
        <v>116653.37771167317</v>
      </c>
      <c r="BT331" s="109">
        <f t="shared" si="139"/>
        <v>117040.7891755996</v>
      </c>
      <c r="BV331" s="58">
        <f t="array" ref="BV331">SUM(IF(BS331:BT331&gt;=BS331, 1))</f>
        <v>2</v>
      </c>
      <c r="BW331" s="58">
        <f t="array" ref="BW331">SUM(IF(BS331:BT331&gt;=BT331, 1))</f>
        <v>1</v>
      </c>
      <c r="BY331" s="109">
        <f t="shared" si="140"/>
        <v>133944.7712504263</v>
      </c>
      <c r="BZ331" s="109">
        <f t="shared" si="141"/>
        <v>134296.73421831848</v>
      </c>
      <c r="CB331" s="58">
        <f t="array" ref="CB331">SUM(IF(BY331:BZ331&gt;=BY331, 1))</f>
        <v>2</v>
      </c>
      <c r="CC331" s="58">
        <f t="array" ref="CC331">SUM(IF(BY331:BZ331&gt;=BZ331, 1))</f>
        <v>1</v>
      </c>
      <c r="CE331" s="109">
        <f t="shared" si="142"/>
        <v>94299.50027526234</v>
      </c>
      <c r="CF331" s="109">
        <f t="shared" si="143"/>
        <v>96599.898201089134</v>
      </c>
      <c r="CH331" s="58">
        <f t="array" ref="CH331">SUM(IF(CE331:CF331&gt;=CE331, 1))</f>
        <v>2</v>
      </c>
      <c r="CI331" s="58">
        <f t="array" ref="CI331">SUM(IF(CE331:CF331&gt;=CF331, 1))</f>
        <v>1</v>
      </c>
      <c r="CK331" s="109">
        <f t="shared" si="144"/>
        <v>50267.581129633218</v>
      </c>
      <c r="CL331" s="109">
        <f t="shared" si="145"/>
        <v>51229.250345621869</v>
      </c>
      <c r="CN331" s="58">
        <f t="array" ref="CN331">SUM(IF(CK331:CL331&gt;=CK331, 1))</f>
        <v>2</v>
      </c>
      <c r="CO331" s="58">
        <f t="array" ref="CO331">SUM(IF(CK331:CL331&gt;=CL331, 1))</f>
        <v>1</v>
      </c>
      <c r="CQ331" s="109" cm="1">
        <f t="array" ref="CQ331">AF331*WTP-AC331</f>
        <v>43693.095180219541</v>
      </c>
      <c r="CR331" s="109">
        <f t="shared" si="146"/>
        <v>45416.384244607994</v>
      </c>
      <c r="CT331" s="58">
        <f t="array" ref="CT331">SUM(IF(CQ331:CR331&gt;=CQ331, 1))</f>
        <v>2</v>
      </c>
      <c r="CU331" s="58">
        <f t="array" ref="CU331">SUM(IF(CQ331:CR331&gt;=CR331, 1))</f>
        <v>1</v>
      </c>
      <c r="CW331" s="109">
        <f t="shared" si="147"/>
        <v>-41859265.508692808</v>
      </c>
      <c r="CX331" s="109">
        <f t="shared" si="148"/>
        <v>0</v>
      </c>
      <c r="CZ331" s="58">
        <f t="array" ref="CZ331">SUM(IF(CW331:CX331&gt;=CW331, 1))</f>
        <v>2</v>
      </c>
      <c r="DA331" s="58">
        <f t="array" ref="DA331">SUM(IF(CW331:CX331&gt;=CX331, 1))</f>
        <v>1</v>
      </c>
      <c r="DC331" s="109">
        <f t="shared" si="149"/>
        <v>-2366004.4387555392</v>
      </c>
      <c r="DD331" s="109">
        <f t="shared" si="150"/>
        <v>0</v>
      </c>
      <c r="DF331" s="58">
        <f t="array" ref="DF331">SUM(IF(DC331:DD331&gt;=DC331, 1))</f>
        <v>2</v>
      </c>
      <c r="DG331" s="58">
        <f t="array" ref="DG331">SUM(IF(DC331:DD331&gt;=DD331, 1))</f>
        <v>1</v>
      </c>
      <c r="DI331" s="109">
        <f t="shared" si="151"/>
        <v>-52761132.349430546</v>
      </c>
      <c r="DJ331" s="109">
        <f t="shared" si="152"/>
        <v>0</v>
      </c>
      <c r="DL331" s="58">
        <f t="array" ref="DL331">SUM(IF(DI331:DJ331&gt;=DI331, 1))</f>
        <v>2</v>
      </c>
      <c r="DM331" s="58">
        <f t="array" ref="DM331">SUM(IF(DI331:DJ331&gt;=DJ331, 1))</f>
        <v>1</v>
      </c>
      <c r="DO331" s="109">
        <f t="shared" si="153"/>
        <v>-8750886.2713184115</v>
      </c>
      <c r="DP331" s="109">
        <f t="shared" si="154"/>
        <v>0</v>
      </c>
      <c r="DR331" s="58">
        <f t="array" ref="DR331">SUM(IF(DO331:DP331&gt;=DO331, 1))</f>
        <v>2</v>
      </c>
      <c r="DS331" s="58">
        <f t="array" ref="DS331">SUM(IF(DO331:DP331&gt;=DP331, 1))</f>
        <v>1</v>
      </c>
      <c r="DU331" s="109">
        <f t="shared" si="155"/>
        <v>-27654660.504543528</v>
      </c>
      <c r="DV331" s="109">
        <f t="shared" si="156"/>
        <v>0</v>
      </c>
      <c r="DX331" s="58">
        <f t="array" ref="DX331">SUM(IF(DU331:DV331&gt;=DU331, 1))</f>
        <v>2</v>
      </c>
      <c r="DY331" s="58">
        <f t="array" ref="DY331">SUM(IF(DU331:DV331&gt;=DV331, 1))</f>
        <v>1</v>
      </c>
      <c r="EA331" s="109">
        <f t="shared" si="157"/>
        <v>-133391949.07274082</v>
      </c>
      <c r="EB331" s="109">
        <f t="shared" si="158"/>
        <v>0</v>
      </c>
      <c r="ED331" s="58">
        <f t="array" ref="ED331">SUM(IF(EA331:EB331&gt;=EA331, 1))</f>
        <v>2</v>
      </c>
      <c r="EE331" s="58">
        <f t="array" ref="EE331">SUM(IF(EA331:EB331&gt;=EB331, 1))</f>
        <v>1</v>
      </c>
    </row>
    <row r="332" spans="4:135" ht="12" customHeight="1" x14ac:dyDescent="0.25">
      <c r="D332" s="11">
        <v>316</v>
      </c>
      <c r="E332" s="72">
        <v>247.35958857613795</v>
      </c>
      <c r="F332" s="72">
        <v>227.27507221463065</v>
      </c>
      <c r="G332" s="73"/>
      <c r="H332" s="74">
        <v>5.835365567660876</v>
      </c>
      <c r="I332" s="74">
        <v>5.8494199837686383</v>
      </c>
      <c r="J332" s="73"/>
      <c r="K332" s="72">
        <v>265.62984589651626</v>
      </c>
      <c r="L332" s="72">
        <v>245.0602254404354</v>
      </c>
      <c r="M332" s="73"/>
      <c r="N332" s="74">
        <v>6.7428604684178124</v>
      </c>
      <c r="O332" s="74">
        <v>6.7546969745745375</v>
      </c>
      <c r="P332" s="73"/>
      <c r="Q332" s="72">
        <v>1856.9052840713784</v>
      </c>
      <c r="R332" s="72">
        <v>994.41833676395572</v>
      </c>
      <c r="S332" s="73"/>
      <c r="T332" s="74">
        <v>4.7465722313150316</v>
      </c>
      <c r="U332" s="74">
        <v>4.826007407165501</v>
      </c>
      <c r="V332" s="73"/>
      <c r="W332" s="72">
        <v>10206.429470875148</v>
      </c>
      <c r="X332" s="72">
        <v>10192.514372415933</v>
      </c>
      <c r="Y332" s="73"/>
      <c r="Z332" s="74">
        <v>2.8715463970102455</v>
      </c>
      <c r="AA332" s="74">
        <v>2.9046539535171956</v>
      </c>
      <c r="AB332" s="73"/>
      <c r="AC332" s="72">
        <v>48623.634440000424</v>
      </c>
      <c r="AD332" s="72">
        <v>48676.310196408529</v>
      </c>
      <c r="AE332" s="73"/>
      <c r="AF332" s="74">
        <v>4.7598420698269228</v>
      </c>
      <c r="AG332" s="74">
        <v>4.8126056642894603</v>
      </c>
      <c r="AH332" s="73"/>
      <c r="AI332" s="72">
        <v>2175274.1270793937</v>
      </c>
      <c r="AJ332" s="72">
        <v>0</v>
      </c>
      <c r="AK332" s="73"/>
      <c r="AL332" s="74">
        <v>-1522.1779394706191</v>
      </c>
      <c r="AM332" s="74">
        <v>0</v>
      </c>
      <c r="AN332" s="73"/>
      <c r="AO332" s="72">
        <v>139427.36009836505</v>
      </c>
      <c r="AP332" s="72">
        <v>0</v>
      </c>
      <c r="AQ332" s="73"/>
      <c r="AR332" s="74">
        <v>-80.231563326311019</v>
      </c>
      <c r="AS332" s="74">
        <v>0</v>
      </c>
      <c r="AT332" s="73"/>
      <c r="AU332" s="72">
        <v>20369310.27810489</v>
      </c>
      <c r="AV332" s="72">
        <v>0</v>
      </c>
      <c r="AW332" s="73"/>
      <c r="AX332" s="74">
        <v>-1876.0164996645526</v>
      </c>
      <c r="AY332" s="74">
        <v>0</v>
      </c>
      <c r="AZ332" s="73"/>
      <c r="BA332" s="72">
        <v>125079.72265929384</v>
      </c>
      <c r="BB332" s="72">
        <v>0</v>
      </c>
      <c r="BC332" s="73"/>
      <c r="BD332" s="74">
        <v>-297.59645596140774</v>
      </c>
      <c r="BE332" s="74">
        <v>0</v>
      </c>
      <c r="BF332" s="73"/>
      <c r="BG332" s="72">
        <v>-852778.58132885036</v>
      </c>
      <c r="BH332" s="72">
        <v>0</v>
      </c>
      <c r="BI332" s="73"/>
      <c r="BJ332" s="74">
        <v>-854.20060953600137</v>
      </c>
      <c r="BK332" s="74">
        <v>0</v>
      </c>
      <c r="BL332" s="73"/>
      <c r="BM332" s="72">
        <v>21956312.906613093</v>
      </c>
      <c r="BN332" s="72">
        <v>0</v>
      </c>
      <c r="BO332" s="73"/>
      <c r="BP332" s="74">
        <v>-4630.223067958892</v>
      </c>
      <c r="BQ332" s="74">
        <v>0</v>
      </c>
      <c r="BS332" s="109">
        <f t="shared" si="138"/>
        <v>116459.95176464139</v>
      </c>
      <c r="BT332" s="109">
        <f t="shared" si="139"/>
        <v>116761.12460315814</v>
      </c>
      <c r="BV332" s="58">
        <f t="array" ref="BV332">SUM(IF(BS332:BT332&gt;=BS332, 1))</f>
        <v>2</v>
      </c>
      <c r="BW332" s="58">
        <f t="array" ref="BW332">SUM(IF(BS332:BT332&gt;=BT332, 1))</f>
        <v>1</v>
      </c>
      <c r="BY332" s="109">
        <f t="shared" si="140"/>
        <v>134591.57952245974</v>
      </c>
      <c r="BZ332" s="109">
        <f t="shared" si="141"/>
        <v>134848.87926605032</v>
      </c>
      <c r="CB332" s="58">
        <f t="array" ref="CB332">SUM(IF(BY332:BZ332&gt;=BY332, 1))</f>
        <v>2</v>
      </c>
      <c r="CC332" s="58">
        <f t="array" ref="CC332">SUM(IF(BY332:BZ332&gt;=BZ332, 1))</f>
        <v>1</v>
      </c>
      <c r="CE332" s="109">
        <f t="shared" si="142"/>
        <v>93074.53934222924</v>
      </c>
      <c r="CF332" s="109">
        <f t="shared" si="143"/>
        <v>95525.729806546078</v>
      </c>
      <c r="CH332" s="58">
        <f t="array" ref="CH332">SUM(IF(CE332:CF332&gt;=CE332, 1))</f>
        <v>2</v>
      </c>
      <c r="CI332" s="58">
        <f t="array" ref="CI332">SUM(IF(CE332:CF332&gt;=CF332, 1))</f>
        <v>1</v>
      </c>
      <c r="CK332" s="109">
        <f t="shared" si="144"/>
        <v>47224.498469329759</v>
      </c>
      <c r="CL332" s="109">
        <f t="shared" si="145"/>
        <v>47900.564697927977</v>
      </c>
      <c r="CN332" s="58">
        <f t="array" ref="CN332">SUM(IF(CK332:CL332&gt;=CK332, 1))</f>
        <v>2</v>
      </c>
      <c r="CO332" s="58">
        <f t="array" ref="CO332">SUM(IF(CK332:CL332&gt;=CL332, 1))</f>
        <v>1</v>
      </c>
      <c r="CQ332" s="109" cm="1">
        <f t="array" ref="CQ332">AF332*WTP-AC332</f>
        <v>46573.20695653803</v>
      </c>
      <c r="CR332" s="109">
        <f t="shared" si="146"/>
        <v>47575.803089380679</v>
      </c>
      <c r="CT332" s="58">
        <f t="array" ref="CT332">SUM(IF(CQ332:CR332&gt;=CQ332, 1))</f>
        <v>2</v>
      </c>
      <c r="CU332" s="58">
        <f t="array" ref="CU332">SUM(IF(CQ332:CR332&gt;=CR332, 1))</f>
        <v>1</v>
      </c>
      <c r="CW332" s="109">
        <f t="shared" si="147"/>
        <v>-32618832.916491777</v>
      </c>
      <c r="CX332" s="109">
        <f t="shared" si="148"/>
        <v>0</v>
      </c>
      <c r="CZ332" s="58">
        <f t="array" ref="CZ332">SUM(IF(CW332:CX332&gt;=CW332, 1))</f>
        <v>2</v>
      </c>
      <c r="DA332" s="58">
        <f t="array" ref="DA332">SUM(IF(CW332:CX332&gt;=CX332, 1))</f>
        <v>1</v>
      </c>
      <c r="DC332" s="109">
        <f t="shared" si="149"/>
        <v>-1744058.6266245854</v>
      </c>
      <c r="DD332" s="109">
        <f t="shared" si="150"/>
        <v>0</v>
      </c>
      <c r="DF332" s="58">
        <f t="array" ref="DF332">SUM(IF(DC332:DD332&gt;=DC332, 1))</f>
        <v>2</v>
      </c>
      <c r="DG332" s="58">
        <f t="array" ref="DG332">SUM(IF(DC332:DD332&gt;=DD332, 1))</f>
        <v>1</v>
      </c>
      <c r="DI332" s="109">
        <f t="shared" si="151"/>
        <v>-57889640.271395937</v>
      </c>
      <c r="DJ332" s="109">
        <f t="shared" si="152"/>
        <v>0</v>
      </c>
      <c r="DL332" s="58">
        <f t="array" ref="DL332">SUM(IF(DI332:DJ332&gt;=DI332, 1))</f>
        <v>2</v>
      </c>
      <c r="DM332" s="58">
        <f t="array" ref="DM332">SUM(IF(DI332:DJ332&gt;=DJ332, 1))</f>
        <v>1</v>
      </c>
      <c r="DO332" s="109">
        <f t="shared" si="153"/>
        <v>-6077008.841887448</v>
      </c>
      <c r="DP332" s="109">
        <f t="shared" si="154"/>
        <v>0</v>
      </c>
      <c r="DR332" s="58">
        <f t="array" ref="DR332">SUM(IF(DO332:DP332&gt;=DO332, 1))</f>
        <v>2</v>
      </c>
      <c r="DS332" s="58">
        <f t="array" ref="DS332">SUM(IF(DO332:DP332&gt;=DP332, 1))</f>
        <v>1</v>
      </c>
      <c r="DU332" s="109">
        <f t="shared" si="155"/>
        <v>-16231233.609391179</v>
      </c>
      <c r="DV332" s="109">
        <f t="shared" si="156"/>
        <v>0</v>
      </c>
      <c r="DX332" s="58">
        <f t="array" ref="DX332">SUM(IF(DU332:DV332&gt;=DU332, 1))</f>
        <v>2</v>
      </c>
      <c r="DY332" s="58">
        <f t="array" ref="DY332">SUM(IF(DU332:DV332&gt;=DV332, 1))</f>
        <v>1</v>
      </c>
      <c r="EA332" s="109">
        <f t="shared" si="157"/>
        <v>-114560774.26579094</v>
      </c>
      <c r="EB332" s="109">
        <f t="shared" si="158"/>
        <v>0</v>
      </c>
      <c r="ED332" s="58">
        <f t="array" ref="ED332">SUM(IF(EA332:EB332&gt;=EA332, 1))</f>
        <v>2</v>
      </c>
      <c r="EE332" s="58">
        <f t="array" ref="EE332">SUM(IF(EA332:EB332&gt;=EB332, 1))</f>
        <v>1</v>
      </c>
    </row>
    <row r="333" spans="4:135" ht="12" customHeight="1" x14ac:dyDescent="0.25">
      <c r="D333" s="11">
        <v>317</v>
      </c>
      <c r="E333" s="72">
        <v>214.08909654867313</v>
      </c>
      <c r="F333" s="72">
        <v>194.35460571693432</v>
      </c>
      <c r="G333" s="73"/>
      <c r="H333" s="74">
        <v>5.8103936378172678</v>
      </c>
      <c r="I333" s="74">
        <v>5.8257422590265433</v>
      </c>
      <c r="J333" s="73"/>
      <c r="K333" s="72">
        <v>229.73840681612569</v>
      </c>
      <c r="L333" s="72">
        <v>209.54426720616553</v>
      </c>
      <c r="M333" s="73"/>
      <c r="N333" s="74">
        <v>6.7058801813129376</v>
      </c>
      <c r="O333" s="74">
        <v>6.7195052088935174</v>
      </c>
      <c r="P333" s="73"/>
      <c r="Q333" s="72">
        <v>1327.9128439510403</v>
      </c>
      <c r="R333" s="72">
        <v>1178.2299072789808</v>
      </c>
      <c r="S333" s="73"/>
      <c r="T333" s="74">
        <v>4.8785213046605707</v>
      </c>
      <c r="U333" s="74">
        <v>4.8980233430835876</v>
      </c>
      <c r="V333" s="73"/>
      <c r="W333" s="72">
        <v>15902.900146598828</v>
      </c>
      <c r="X333" s="72">
        <v>15848.821924041906</v>
      </c>
      <c r="Y333" s="73"/>
      <c r="Z333" s="74">
        <v>3.0194463878876179</v>
      </c>
      <c r="AA333" s="74">
        <v>3.0610075835785593</v>
      </c>
      <c r="AB333" s="73"/>
      <c r="AC333" s="72">
        <v>48888.465714552709</v>
      </c>
      <c r="AD333" s="72">
        <v>48456.699184598358</v>
      </c>
      <c r="AE333" s="73"/>
      <c r="AF333" s="74">
        <v>4.1390116946637017</v>
      </c>
      <c r="AG333" s="74">
        <v>4.2420205824386583</v>
      </c>
      <c r="AH333" s="73"/>
      <c r="AI333" s="72">
        <v>2107882.9585783808</v>
      </c>
      <c r="AJ333" s="72">
        <v>0</v>
      </c>
      <c r="AK333" s="73"/>
      <c r="AL333" s="74">
        <v>-1639.4188915517041</v>
      </c>
      <c r="AM333" s="74">
        <v>0</v>
      </c>
      <c r="AN333" s="73"/>
      <c r="AO333" s="72">
        <v>135496.27730712987</v>
      </c>
      <c r="AP333" s="72">
        <v>0</v>
      </c>
      <c r="AQ333" s="73"/>
      <c r="AR333" s="74">
        <v>-91.419617326255491</v>
      </c>
      <c r="AS333" s="74">
        <v>0</v>
      </c>
      <c r="AT333" s="73"/>
      <c r="AU333" s="72">
        <v>3424305.4747580495</v>
      </c>
      <c r="AV333" s="72">
        <v>0</v>
      </c>
      <c r="AW333" s="73"/>
      <c r="AX333" s="74">
        <v>-446.14929681122607</v>
      </c>
      <c r="AY333" s="74">
        <v>0</v>
      </c>
      <c r="AZ333" s="73"/>
      <c r="BA333" s="72">
        <v>475714.45209894778</v>
      </c>
      <c r="BB333" s="72">
        <v>0</v>
      </c>
      <c r="BC333" s="73"/>
      <c r="BD333" s="74">
        <v>-365.6048683161215</v>
      </c>
      <c r="BE333" s="74">
        <v>0</v>
      </c>
      <c r="BF333" s="73"/>
      <c r="BG333" s="72">
        <v>6778022.9533046577</v>
      </c>
      <c r="BH333" s="72">
        <v>0</v>
      </c>
      <c r="BI333" s="73"/>
      <c r="BJ333" s="74">
        <v>-1617.0697756652344</v>
      </c>
      <c r="BK333" s="74">
        <v>0</v>
      </c>
      <c r="BL333" s="73"/>
      <c r="BM333" s="72">
        <v>12921422.116047166</v>
      </c>
      <c r="BN333" s="72">
        <v>0</v>
      </c>
      <c r="BO333" s="73"/>
      <c r="BP333" s="74">
        <v>-4159.6624496705417</v>
      </c>
      <c r="BQ333" s="74">
        <v>0</v>
      </c>
      <c r="BS333" s="109">
        <f t="shared" si="138"/>
        <v>115993.78365979668</v>
      </c>
      <c r="BT333" s="109">
        <f t="shared" si="139"/>
        <v>116320.49057481394</v>
      </c>
      <c r="BV333" s="58">
        <f t="array" ref="BV333">SUM(IF(BS333:BT333&gt;=BS333, 1))</f>
        <v>2</v>
      </c>
      <c r="BW333" s="58">
        <f t="array" ref="BW333">SUM(IF(BS333:BT333&gt;=BT333, 1))</f>
        <v>1</v>
      </c>
      <c r="BY333" s="109">
        <f t="shared" si="140"/>
        <v>133887.86521944264</v>
      </c>
      <c r="BZ333" s="109">
        <f t="shared" si="141"/>
        <v>134180.55991066419</v>
      </c>
      <c r="CB333" s="58">
        <f t="array" ref="CB333">SUM(IF(BY333:BZ333&gt;=BY333, 1))</f>
        <v>2</v>
      </c>
      <c r="CC333" s="58">
        <f t="array" ref="CC333">SUM(IF(BY333:BZ333&gt;=BZ333, 1))</f>
        <v>1</v>
      </c>
      <c r="CE333" s="109">
        <f t="shared" si="142"/>
        <v>96242.513249260373</v>
      </c>
      <c r="CF333" s="109">
        <f t="shared" si="143"/>
        <v>96782.236954392778</v>
      </c>
      <c r="CH333" s="58">
        <f t="array" ref="CH333">SUM(IF(CE333:CF333&gt;=CE333, 1))</f>
        <v>2</v>
      </c>
      <c r="CI333" s="58">
        <f t="array" ref="CI333">SUM(IF(CE333:CF333&gt;=CF333, 1))</f>
        <v>1</v>
      </c>
      <c r="CK333" s="109">
        <f t="shared" si="144"/>
        <v>44486.027611153535</v>
      </c>
      <c r="CL333" s="109">
        <f t="shared" si="145"/>
        <v>45371.329747529278</v>
      </c>
      <c r="CN333" s="58">
        <f t="array" ref="CN333">SUM(IF(CK333:CL333&gt;=CK333, 1))</f>
        <v>2</v>
      </c>
      <c r="CO333" s="58">
        <f t="array" ref="CO333">SUM(IF(CK333:CL333&gt;=CL333, 1))</f>
        <v>1</v>
      </c>
      <c r="CQ333" s="109" cm="1">
        <f t="array" ref="CQ333">AF333*WTP-AC333</f>
        <v>33891.76817872133</v>
      </c>
      <c r="CR333" s="109">
        <f t="shared" si="146"/>
        <v>36383.712464174809</v>
      </c>
      <c r="CT333" s="58">
        <f t="array" ref="CT333">SUM(IF(CQ333:CR333&gt;=CQ333, 1))</f>
        <v>2</v>
      </c>
      <c r="CU333" s="58">
        <f t="array" ref="CU333">SUM(IF(CQ333:CR333&gt;=CR333, 1))</f>
        <v>1</v>
      </c>
      <c r="CW333" s="109">
        <f t="shared" si="147"/>
        <v>-34896260.789612465</v>
      </c>
      <c r="CX333" s="109">
        <f t="shared" si="148"/>
        <v>0</v>
      </c>
      <c r="CZ333" s="58">
        <f t="array" ref="CZ333">SUM(IF(CW333:CX333&gt;=CW333, 1))</f>
        <v>2</v>
      </c>
      <c r="DA333" s="58">
        <f t="array" ref="DA333">SUM(IF(CW333:CX333&gt;=CX333, 1))</f>
        <v>1</v>
      </c>
      <c r="DC333" s="109">
        <f t="shared" si="149"/>
        <v>-1963888.6238322398</v>
      </c>
      <c r="DD333" s="109">
        <f t="shared" si="150"/>
        <v>0</v>
      </c>
      <c r="DF333" s="58">
        <f t="array" ref="DF333">SUM(IF(DC333:DD333&gt;=DC333, 1))</f>
        <v>2</v>
      </c>
      <c r="DG333" s="58">
        <f t="array" ref="DG333">SUM(IF(DC333:DD333&gt;=DD333, 1))</f>
        <v>1</v>
      </c>
      <c r="DI333" s="109">
        <f t="shared" si="151"/>
        <v>-12347291.410982572</v>
      </c>
      <c r="DJ333" s="109">
        <f t="shared" si="152"/>
        <v>0</v>
      </c>
      <c r="DL333" s="58">
        <f t="array" ref="DL333">SUM(IF(DI333:DJ333&gt;=DI333, 1))</f>
        <v>2</v>
      </c>
      <c r="DM333" s="58">
        <f t="array" ref="DM333">SUM(IF(DI333:DJ333&gt;=DJ333, 1))</f>
        <v>1</v>
      </c>
      <c r="DO333" s="109">
        <f t="shared" si="153"/>
        <v>-7787811.8184213778</v>
      </c>
      <c r="DP333" s="109">
        <f t="shared" si="154"/>
        <v>0</v>
      </c>
      <c r="DR333" s="58">
        <f t="array" ref="DR333">SUM(IF(DO333:DP333&gt;=DO333, 1))</f>
        <v>2</v>
      </c>
      <c r="DS333" s="58">
        <f t="array" ref="DS333">SUM(IF(DO333:DP333&gt;=DP333, 1))</f>
        <v>1</v>
      </c>
      <c r="DU333" s="109">
        <f t="shared" si="155"/>
        <v>-39119418.466609344</v>
      </c>
      <c r="DV333" s="109">
        <f t="shared" si="156"/>
        <v>0</v>
      </c>
      <c r="DX333" s="58">
        <f t="array" ref="DX333">SUM(IF(DU333:DV333&gt;=DU333, 1))</f>
        <v>2</v>
      </c>
      <c r="DY333" s="58">
        <f t="array" ref="DY333">SUM(IF(DU333:DV333&gt;=DV333, 1))</f>
        <v>1</v>
      </c>
      <c r="EA333" s="109">
        <f t="shared" si="157"/>
        <v>-96114671.109457999</v>
      </c>
      <c r="EB333" s="109">
        <f t="shared" si="158"/>
        <v>0</v>
      </c>
      <c r="ED333" s="58">
        <f t="array" ref="ED333">SUM(IF(EA333:EB333&gt;=EA333, 1))</f>
        <v>2</v>
      </c>
      <c r="EE333" s="58">
        <f t="array" ref="EE333">SUM(IF(EA333:EB333&gt;=EB333, 1))</f>
        <v>1</v>
      </c>
    </row>
    <row r="334" spans="4:135" ht="12" customHeight="1" x14ac:dyDescent="0.25">
      <c r="D334" s="11">
        <v>318</v>
      </c>
      <c r="E334" s="72">
        <v>324.54103186261636</v>
      </c>
      <c r="F334" s="72">
        <v>305.0943177820422</v>
      </c>
      <c r="G334" s="73"/>
      <c r="H334" s="74">
        <v>5.8234238090653365</v>
      </c>
      <c r="I334" s="74">
        <v>5.8363382192537019</v>
      </c>
      <c r="J334" s="73"/>
      <c r="K334" s="72">
        <v>348.84701924744644</v>
      </c>
      <c r="L334" s="72">
        <v>328.86365534729498</v>
      </c>
      <c r="M334" s="73"/>
      <c r="N334" s="74">
        <v>6.7221318840104409</v>
      </c>
      <c r="O334" s="74">
        <v>6.7320376802680535</v>
      </c>
      <c r="P334" s="73"/>
      <c r="Q334" s="72">
        <v>2113.2442702361118</v>
      </c>
      <c r="R334" s="72">
        <v>1308.3126075147388</v>
      </c>
      <c r="S334" s="73"/>
      <c r="T334" s="74">
        <v>4.8471361601298026</v>
      </c>
      <c r="U334" s="74">
        <v>4.9257592920252424</v>
      </c>
      <c r="V334" s="73"/>
      <c r="W334" s="72">
        <v>14260.112240288108</v>
      </c>
      <c r="X334" s="72">
        <v>14268.964617378315</v>
      </c>
      <c r="Y334" s="73"/>
      <c r="Z334" s="74">
        <v>3.2517695962367386</v>
      </c>
      <c r="AA334" s="74">
        <v>3.3107289026742093</v>
      </c>
      <c r="AB334" s="73"/>
      <c r="AC334" s="72">
        <v>51306.341333615455</v>
      </c>
      <c r="AD334" s="72">
        <v>51281.316772150712</v>
      </c>
      <c r="AE334" s="73"/>
      <c r="AF334" s="74">
        <v>5.0699846746564639</v>
      </c>
      <c r="AG334" s="74">
        <v>5.1310231981726497</v>
      </c>
      <c r="AH334" s="73"/>
      <c r="AI334" s="72">
        <v>2099276.598619997</v>
      </c>
      <c r="AJ334" s="72">
        <v>0</v>
      </c>
      <c r="AK334" s="73"/>
      <c r="AL334" s="74">
        <v>-1394.1131124304898</v>
      </c>
      <c r="AM334" s="74">
        <v>0</v>
      </c>
      <c r="AN334" s="73"/>
      <c r="AO334" s="72">
        <v>139531.92781061641</v>
      </c>
      <c r="AP334" s="72">
        <v>0</v>
      </c>
      <c r="AQ334" s="73"/>
      <c r="AR334" s="74">
        <v>-69.166275269270102</v>
      </c>
      <c r="AS334" s="74">
        <v>0</v>
      </c>
      <c r="AT334" s="73"/>
      <c r="AU334" s="72">
        <v>18685467.163643729</v>
      </c>
      <c r="AV334" s="72">
        <v>0</v>
      </c>
      <c r="AW334" s="73"/>
      <c r="AX334" s="74">
        <v>-1825.1362412160477</v>
      </c>
      <c r="AY334" s="74">
        <v>0</v>
      </c>
      <c r="AZ334" s="73"/>
      <c r="BA334" s="72">
        <v>-78512.818945343533</v>
      </c>
      <c r="BB334" s="72">
        <v>0</v>
      </c>
      <c r="BC334" s="73"/>
      <c r="BD334" s="74">
        <v>-522.91732540283647</v>
      </c>
      <c r="BE334" s="74">
        <v>0</v>
      </c>
      <c r="BF334" s="73"/>
      <c r="BG334" s="72">
        <v>403183.758496358</v>
      </c>
      <c r="BH334" s="72">
        <v>0</v>
      </c>
      <c r="BI334" s="73"/>
      <c r="BJ334" s="74">
        <v>-983.4234801275876</v>
      </c>
      <c r="BK334" s="74">
        <v>0</v>
      </c>
      <c r="BL334" s="73"/>
      <c r="BM334" s="72">
        <v>21248946.629625358</v>
      </c>
      <c r="BN334" s="72">
        <v>0</v>
      </c>
      <c r="BO334" s="73"/>
      <c r="BP334" s="74">
        <v>-4794.7564344462317</v>
      </c>
      <c r="BQ334" s="74">
        <v>0</v>
      </c>
      <c r="BS334" s="109">
        <f t="shared" si="138"/>
        <v>116143.93514944412</v>
      </c>
      <c r="BT334" s="109">
        <f t="shared" si="139"/>
        <v>116421.670067292</v>
      </c>
      <c r="BV334" s="58">
        <f t="array" ref="BV334">SUM(IF(BS334:BT334&gt;=BS334, 1))</f>
        <v>2</v>
      </c>
      <c r="BW334" s="58">
        <f t="array" ref="BW334">SUM(IF(BS334:BT334&gt;=BT334, 1))</f>
        <v>1</v>
      </c>
      <c r="BY334" s="109">
        <f t="shared" si="140"/>
        <v>134093.79066096136</v>
      </c>
      <c r="BZ334" s="109">
        <f t="shared" si="141"/>
        <v>134311.88995001378</v>
      </c>
      <c r="CB334" s="58">
        <f t="array" ref="CB334">SUM(IF(BY334:BZ334&gt;=BY334, 1))</f>
        <v>2</v>
      </c>
      <c r="CC334" s="58">
        <f t="array" ref="CC334">SUM(IF(BY334:BZ334&gt;=BZ334, 1))</f>
        <v>1</v>
      </c>
      <c r="CE334" s="109">
        <f t="shared" si="142"/>
        <v>94829.47893235994</v>
      </c>
      <c r="CF334" s="109">
        <f t="shared" si="143"/>
        <v>97206.87323299011</v>
      </c>
      <c r="CH334" s="58">
        <f t="array" ref="CH334">SUM(IF(CE334:CF334&gt;=CE334, 1))</f>
        <v>2</v>
      </c>
      <c r="CI334" s="58">
        <f t="array" ref="CI334">SUM(IF(CE334:CF334&gt;=CF334, 1))</f>
        <v>1</v>
      </c>
      <c r="CK334" s="109">
        <f t="shared" si="144"/>
        <v>50775.279684446665</v>
      </c>
      <c r="CL334" s="109">
        <f t="shared" si="145"/>
        <v>51945.613436105879</v>
      </c>
      <c r="CN334" s="58">
        <f t="array" ref="CN334">SUM(IF(CK334:CL334&gt;=CK334, 1))</f>
        <v>2</v>
      </c>
      <c r="CO334" s="58">
        <f t="array" ref="CO334">SUM(IF(CK334:CL334&gt;=CL334, 1))</f>
        <v>1</v>
      </c>
      <c r="CQ334" s="109" cm="1">
        <f t="array" ref="CQ334">AF334*WTP-AC334</f>
        <v>50093.352159513823</v>
      </c>
      <c r="CR334" s="109">
        <f t="shared" si="146"/>
        <v>51339.147191302276</v>
      </c>
      <c r="CT334" s="58">
        <f t="array" ref="CT334">SUM(IF(CQ334:CR334&gt;=CQ334, 1))</f>
        <v>2</v>
      </c>
      <c r="CU334" s="58">
        <f t="array" ref="CU334">SUM(IF(CQ334:CR334&gt;=CR334, 1))</f>
        <v>1</v>
      </c>
      <c r="CW334" s="109">
        <f t="shared" si="147"/>
        <v>-29981538.847229794</v>
      </c>
      <c r="CX334" s="109">
        <f t="shared" si="148"/>
        <v>0</v>
      </c>
      <c r="CZ334" s="58">
        <f t="array" ref="CZ334">SUM(IF(CW334:CX334&gt;=CW334, 1))</f>
        <v>2</v>
      </c>
      <c r="DA334" s="58">
        <f t="array" ref="DA334">SUM(IF(CW334:CX334&gt;=CX334, 1))</f>
        <v>1</v>
      </c>
      <c r="DC334" s="109">
        <f t="shared" si="149"/>
        <v>-1522857.4331960184</v>
      </c>
      <c r="DD334" s="109">
        <f t="shared" si="150"/>
        <v>0</v>
      </c>
      <c r="DF334" s="58">
        <f t="array" ref="DF334">SUM(IF(DC334:DD334&gt;=DC334, 1))</f>
        <v>2</v>
      </c>
      <c r="DG334" s="58">
        <f t="array" ref="DG334">SUM(IF(DC334:DD334&gt;=DD334, 1))</f>
        <v>1</v>
      </c>
      <c r="DI334" s="109">
        <f t="shared" si="151"/>
        <v>-55188191.987964675</v>
      </c>
      <c r="DJ334" s="109">
        <f t="shared" si="152"/>
        <v>0</v>
      </c>
      <c r="DL334" s="58">
        <f t="array" ref="DL334">SUM(IF(DI334:DJ334&gt;=DI334, 1))</f>
        <v>2</v>
      </c>
      <c r="DM334" s="58">
        <f t="array" ref="DM334">SUM(IF(DI334:DJ334&gt;=DJ334, 1))</f>
        <v>1</v>
      </c>
      <c r="DO334" s="109">
        <f t="shared" si="153"/>
        <v>-10379833.689111387</v>
      </c>
      <c r="DP334" s="109">
        <f t="shared" si="154"/>
        <v>0</v>
      </c>
      <c r="DR334" s="58">
        <f t="array" ref="DR334">SUM(IF(DO334:DP334&gt;=DO334, 1))</f>
        <v>2</v>
      </c>
      <c r="DS334" s="58">
        <f t="array" ref="DS334">SUM(IF(DO334:DP334&gt;=DP334, 1))</f>
        <v>1</v>
      </c>
      <c r="DU334" s="109">
        <f t="shared" si="155"/>
        <v>-20071653.36104811</v>
      </c>
      <c r="DV334" s="109">
        <f t="shared" si="156"/>
        <v>0</v>
      </c>
      <c r="DX334" s="58">
        <f t="array" ref="DX334">SUM(IF(DU334:DV334&gt;=DU334, 1))</f>
        <v>2</v>
      </c>
      <c r="DY334" s="58">
        <f t="array" ref="DY334">SUM(IF(DU334:DV334&gt;=DV334, 1))</f>
        <v>1</v>
      </c>
      <c r="EA334" s="109">
        <f t="shared" si="157"/>
        <v>-117144075.31854999</v>
      </c>
      <c r="EB334" s="109">
        <f t="shared" si="158"/>
        <v>0</v>
      </c>
      <c r="ED334" s="58">
        <f t="array" ref="ED334">SUM(IF(EA334:EB334&gt;=EA334, 1))</f>
        <v>2</v>
      </c>
      <c r="EE334" s="58">
        <f t="array" ref="EE334">SUM(IF(EA334:EB334&gt;=EB334, 1))</f>
        <v>1</v>
      </c>
    </row>
    <row r="335" spans="4:135" ht="12" customHeight="1" x14ac:dyDescent="0.25">
      <c r="D335" s="11">
        <v>319</v>
      </c>
      <c r="E335" s="72">
        <v>271.13717469797734</v>
      </c>
      <c r="F335" s="72">
        <v>236.65971548902101</v>
      </c>
      <c r="G335" s="73"/>
      <c r="H335" s="74">
        <v>5.7689340438737284</v>
      </c>
      <c r="I335" s="74">
        <v>5.7882319960092863</v>
      </c>
      <c r="J335" s="73"/>
      <c r="K335" s="72">
        <v>290.38785456937137</v>
      </c>
      <c r="L335" s="72">
        <v>255.09587319794045</v>
      </c>
      <c r="M335" s="73"/>
      <c r="N335" s="74">
        <v>6.6610260079785704</v>
      </c>
      <c r="O335" s="74">
        <v>6.6775257067709495</v>
      </c>
      <c r="P335" s="73"/>
      <c r="Q335" s="72">
        <v>2970.0043404873645</v>
      </c>
      <c r="R335" s="72">
        <v>1757.2794609201476</v>
      </c>
      <c r="S335" s="73"/>
      <c r="T335" s="74">
        <v>4.750019607977447</v>
      </c>
      <c r="U335" s="74">
        <v>4.8158083430004721</v>
      </c>
      <c r="V335" s="73"/>
      <c r="W335" s="72">
        <v>12136.165597626023</v>
      </c>
      <c r="X335" s="72">
        <v>12146.14313923925</v>
      </c>
      <c r="Y335" s="73"/>
      <c r="Z335" s="74">
        <v>2.9920939099146979</v>
      </c>
      <c r="AA335" s="74">
        <v>3.0426365732344967</v>
      </c>
      <c r="AB335" s="73"/>
      <c r="AC335" s="72">
        <v>49976.64900918903</v>
      </c>
      <c r="AD335" s="72">
        <v>49773.889896283457</v>
      </c>
      <c r="AE335" s="73"/>
      <c r="AF335" s="74">
        <v>4.5402931009595306</v>
      </c>
      <c r="AG335" s="74">
        <v>4.6290784438482744</v>
      </c>
      <c r="AH335" s="73"/>
      <c r="AI335" s="72">
        <v>3729470.3918699888</v>
      </c>
      <c r="AJ335" s="72">
        <v>0</v>
      </c>
      <c r="AK335" s="73"/>
      <c r="AL335" s="74">
        <v>-2087.4839029492932</v>
      </c>
      <c r="AM335" s="74">
        <v>0</v>
      </c>
      <c r="AN335" s="73"/>
      <c r="AO335" s="72">
        <v>247501.99291835789</v>
      </c>
      <c r="AP335" s="72">
        <v>0</v>
      </c>
      <c r="AQ335" s="73"/>
      <c r="AR335" s="74">
        <v>-115.71207325220458</v>
      </c>
      <c r="AS335" s="74">
        <v>0</v>
      </c>
      <c r="AT335" s="73"/>
      <c r="AU335" s="72">
        <v>27800638.329045497</v>
      </c>
      <c r="AV335" s="72">
        <v>0</v>
      </c>
      <c r="AW335" s="73"/>
      <c r="AX335" s="74">
        <v>-1508.1481870424145</v>
      </c>
      <c r="AY335" s="74">
        <v>0</v>
      </c>
      <c r="AZ335" s="73"/>
      <c r="BA335" s="72">
        <v>-87150.053093094859</v>
      </c>
      <c r="BB335" s="72">
        <v>0</v>
      </c>
      <c r="BC335" s="73"/>
      <c r="BD335" s="74">
        <v>-441.47105194204738</v>
      </c>
      <c r="BE335" s="74">
        <v>0</v>
      </c>
      <c r="BF335" s="73"/>
      <c r="BG335" s="72">
        <v>3229111.7574582235</v>
      </c>
      <c r="BH335" s="72">
        <v>0</v>
      </c>
      <c r="BI335" s="73"/>
      <c r="BJ335" s="74">
        <v>-1413.9822891488029</v>
      </c>
      <c r="BK335" s="74">
        <v>0</v>
      </c>
      <c r="BL335" s="73"/>
      <c r="BM335" s="72">
        <v>34919572.418198973</v>
      </c>
      <c r="BN335" s="72">
        <v>0</v>
      </c>
      <c r="BO335" s="73"/>
      <c r="BP335" s="74">
        <v>-5566.7975043347624</v>
      </c>
      <c r="BQ335" s="74">
        <v>0</v>
      </c>
      <c r="BS335" s="109">
        <f t="shared" si="138"/>
        <v>115107.5437027766</v>
      </c>
      <c r="BT335" s="109">
        <f t="shared" si="139"/>
        <v>115527.98020469671</v>
      </c>
      <c r="BV335" s="58">
        <f t="array" ref="BV335">SUM(IF(BS335:BT335&gt;=BS335, 1))</f>
        <v>2</v>
      </c>
      <c r="BW335" s="58">
        <f t="array" ref="BW335">SUM(IF(BS335:BT335&gt;=BT335, 1))</f>
        <v>1</v>
      </c>
      <c r="BY335" s="109">
        <f t="shared" si="140"/>
        <v>132930.13230500204</v>
      </c>
      <c r="BZ335" s="109">
        <f t="shared" si="141"/>
        <v>133295.41826222104</v>
      </c>
      <c r="CB335" s="58">
        <f t="array" ref="CB335">SUM(IF(BY335:BZ335&gt;=BY335, 1))</f>
        <v>2</v>
      </c>
      <c r="CC335" s="58">
        <f t="array" ref="CC335">SUM(IF(BY335:BZ335&gt;=BZ335, 1))</f>
        <v>1</v>
      </c>
      <c r="CE335" s="109">
        <f t="shared" si="142"/>
        <v>92030.38781906158</v>
      </c>
      <c r="CF335" s="109">
        <f t="shared" si="143"/>
        <v>94558.88739908929</v>
      </c>
      <c r="CH335" s="58">
        <f t="array" ref="CH335">SUM(IF(CE335:CF335&gt;=CE335, 1))</f>
        <v>2</v>
      </c>
      <c r="CI335" s="58">
        <f t="array" ref="CI335">SUM(IF(CE335:CF335&gt;=CF335, 1))</f>
        <v>1</v>
      </c>
      <c r="CK335" s="109">
        <f t="shared" si="144"/>
        <v>47705.712600667939</v>
      </c>
      <c r="CL335" s="109">
        <f t="shared" si="145"/>
        <v>48706.588325450684</v>
      </c>
      <c r="CN335" s="58">
        <f t="array" ref="CN335">SUM(IF(CK335:CL335&gt;=CK335, 1))</f>
        <v>2</v>
      </c>
      <c r="CO335" s="58">
        <f t="array" ref="CO335">SUM(IF(CK335:CL335&gt;=CL335, 1))</f>
        <v>1</v>
      </c>
      <c r="CQ335" s="109" cm="1">
        <f t="array" ref="CQ335">AF335*WTP-AC335</f>
        <v>40829.213010001578</v>
      </c>
      <c r="CR335" s="109">
        <f t="shared" si="146"/>
        <v>42807.678980682023</v>
      </c>
      <c r="CT335" s="58">
        <f t="array" ref="CT335">SUM(IF(CQ335:CR335&gt;=CQ335, 1))</f>
        <v>2</v>
      </c>
      <c r="CU335" s="58">
        <f t="array" ref="CU335">SUM(IF(CQ335:CR335&gt;=CR335, 1))</f>
        <v>1</v>
      </c>
      <c r="CW335" s="109">
        <f t="shared" si="147"/>
        <v>-45479148.450855859</v>
      </c>
      <c r="CX335" s="109">
        <f t="shared" si="148"/>
        <v>0</v>
      </c>
      <c r="CZ335" s="58">
        <f t="array" ref="CZ335">SUM(IF(CW335:CX335&gt;=CW335, 1))</f>
        <v>2</v>
      </c>
      <c r="DA335" s="58">
        <f t="array" ref="DA335">SUM(IF(CW335:CX335&gt;=CX335, 1))</f>
        <v>1</v>
      </c>
      <c r="DC335" s="109">
        <f t="shared" si="149"/>
        <v>-2561743.4579624492</v>
      </c>
      <c r="DD335" s="109">
        <f t="shared" si="150"/>
        <v>0</v>
      </c>
      <c r="DF335" s="58">
        <f t="array" ref="DF335">SUM(IF(DC335:DD335&gt;=DC335, 1))</f>
        <v>2</v>
      </c>
      <c r="DG335" s="58">
        <f t="array" ref="DG335">SUM(IF(DC335:DD335&gt;=DD335, 1))</f>
        <v>1</v>
      </c>
      <c r="DI335" s="109">
        <f t="shared" si="151"/>
        <v>-57963602.069893792</v>
      </c>
      <c r="DJ335" s="109">
        <f t="shared" si="152"/>
        <v>0</v>
      </c>
      <c r="DL335" s="58">
        <f t="array" ref="DL335">SUM(IF(DI335:DJ335&gt;=DI335, 1))</f>
        <v>2</v>
      </c>
      <c r="DM335" s="58">
        <f t="array" ref="DM335">SUM(IF(DI335:DJ335&gt;=DJ335, 1))</f>
        <v>1</v>
      </c>
      <c r="DO335" s="109">
        <f t="shared" si="153"/>
        <v>-8742270.9857478533</v>
      </c>
      <c r="DP335" s="109">
        <f t="shared" si="154"/>
        <v>0</v>
      </c>
      <c r="DR335" s="58">
        <f t="array" ref="DR335">SUM(IF(DO335:DP335&gt;=DO335, 1))</f>
        <v>2</v>
      </c>
      <c r="DS335" s="58">
        <f t="array" ref="DS335">SUM(IF(DO335:DP335&gt;=DP335, 1))</f>
        <v>1</v>
      </c>
      <c r="DU335" s="109">
        <f t="shared" si="155"/>
        <v>-31508757.540434282</v>
      </c>
      <c r="DV335" s="109">
        <f t="shared" si="156"/>
        <v>0</v>
      </c>
      <c r="DX335" s="58">
        <f t="array" ref="DX335">SUM(IF(DU335:DV335&gt;=DU335, 1))</f>
        <v>2</v>
      </c>
      <c r="DY335" s="58">
        <f t="array" ref="DY335">SUM(IF(DU335:DV335&gt;=DV335, 1))</f>
        <v>1</v>
      </c>
      <c r="EA335" s="109">
        <f t="shared" si="157"/>
        <v>-146255522.50489423</v>
      </c>
      <c r="EB335" s="109">
        <f t="shared" si="158"/>
        <v>0</v>
      </c>
      <c r="ED335" s="58">
        <f t="array" ref="ED335">SUM(IF(EA335:EB335&gt;=EA335, 1))</f>
        <v>2</v>
      </c>
      <c r="EE335" s="58">
        <f t="array" ref="EE335">SUM(IF(EA335:EB335&gt;=EB335, 1))</f>
        <v>1</v>
      </c>
    </row>
    <row r="336" spans="4:135" ht="12" customHeight="1" x14ac:dyDescent="0.25">
      <c r="D336" s="11">
        <v>320</v>
      </c>
      <c r="E336" s="72">
        <v>255.76746425124773</v>
      </c>
      <c r="F336" s="72">
        <v>228.11105695957099</v>
      </c>
      <c r="G336" s="73"/>
      <c r="H336" s="74">
        <v>5.7610913300782798</v>
      </c>
      <c r="I336" s="74">
        <v>5.7806627834896878</v>
      </c>
      <c r="J336" s="73"/>
      <c r="K336" s="72">
        <v>274.26837814707403</v>
      </c>
      <c r="L336" s="72">
        <v>245.92318030656642</v>
      </c>
      <c r="M336" s="73"/>
      <c r="N336" s="74">
        <v>6.6830581211194504</v>
      </c>
      <c r="O336" s="74">
        <v>6.699776237761963</v>
      </c>
      <c r="P336" s="73"/>
      <c r="Q336" s="72">
        <v>3087.1845885637863</v>
      </c>
      <c r="R336" s="72">
        <v>1498.8110983054164</v>
      </c>
      <c r="S336" s="73"/>
      <c r="T336" s="74">
        <v>4.83682794502616</v>
      </c>
      <c r="U336" s="74">
        <v>4.9452940728077319</v>
      </c>
      <c r="V336" s="73"/>
      <c r="W336" s="72">
        <v>17758.052193993659</v>
      </c>
      <c r="X336" s="72">
        <v>17741.94820732325</v>
      </c>
      <c r="Y336" s="73"/>
      <c r="Z336" s="74">
        <v>3.0436641304076315</v>
      </c>
      <c r="AA336" s="74">
        <v>3.0856935291598142</v>
      </c>
      <c r="AB336" s="73"/>
      <c r="AC336" s="72">
        <v>49159.129194280169</v>
      </c>
      <c r="AD336" s="72">
        <v>49275.519930688133</v>
      </c>
      <c r="AE336" s="73"/>
      <c r="AF336" s="74">
        <v>4.0459454289953181</v>
      </c>
      <c r="AG336" s="74">
        <v>4.078151983094477</v>
      </c>
      <c r="AH336" s="73"/>
      <c r="AI336" s="72">
        <v>2993879.2067930032</v>
      </c>
      <c r="AJ336" s="72">
        <v>0</v>
      </c>
      <c r="AK336" s="73"/>
      <c r="AL336" s="74">
        <v>-2118.6615744108781</v>
      </c>
      <c r="AM336" s="74">
        <v>0</v>
      </c>
      <c r="AN336" s="73"/>
      <c r="AO336" s="72">
        <v>210933.24014584758</v>
      </c>
      <c r="AP336" s="72">
        <v>0</v>
      </c>
      <c r="AQ336" s="73"/>
      <c r="AR336" s="74">
        <v>-124.40931026072666</v>
      </c>
      <c r="AS336" s="74">
        <v>0</v>
      </c>
      <c r="AT336" s="73"/>
      <c r="AU336" s="72">
        <v>36642237.79948926</v>
      </c>
      <c r="AV336" s="72">
        <v>0</v>
      </c>
      <c r="AW336" s="73"/>
      <c r="AX336" s="74">
        <v>-2502.2084992841651</v>
      </c>
      <c r="AY336" s="74">
        <v>0</v>
      </c>
      <c r="AZ336" s="73"/>
      <c r="BA336" s="72">
        <v>142711.51401515206</v>
      </c>
      <c r="BB336" s="72">
        <v>0</v>
      </c>
      <c r="BC336" s="73"/>
      <c r="BD336" s="74">
        <v>-372.45927060360248</v>
      </c>
      <c r="BE336" s="74">
        <v>0</v>
      </c>
      <c r="BF336" s="73"/>
      <c r="BG336" s="72">
        <v>-1822298.4559316095</v>
      </c>
      <c r="BH336" s="72">
        <v>0</v>
      </c>
      <c r="BI336" s="73"/>
      <c r="BJ336" s="74">
        <v>-504.24935537876109</v>
      </c>
      <c r="BK336" s="74">
        <v>0</v>
      </c>
      <c r="BL336" s="73"/>
      <c r="BM336" s="72">
        <v>38167463.304511651</v>
      </c>
      <c r="BN336" s="72">
        <v>0</v>
      </c>
      <c r="BO336" s="73"/>
      <c r="BP336" s="74">
        <v>-5621.9880099381335</v>
      </c>
      <c r="BQ336" s="74">
        <v>0</v>
      </c>
      <c r="BS336" s="109">
        <f t="shared" si="138"/>
        <v>114966.05913731435</v>
      </c>
      <c r="BT336" s="109">
        <f t="shared" si="139"/>
        <v>115385.14461283418</v>
      </c>
      <c r="BV336" s="58">
        <f t="array" ref="BV336">SUM(IF(BS336:BT336&gt;=BS336, 1))</f>
        <v>2</v>
      </c>
      <c r="BW336" s="58">
        <f t="array" ref="BW336">SUM(IF(BS336:BT336&gt;=BT336, 1))</f>
        <v>1</v>
      </c>
      <c r="BY336" s="109">
        <f t="shared" si="140"/>
        <v>133386.89404424193</v>
      </c>
      <c r="BZ336" s="109">
        <f t="shared" si="141"/>
        <v>133749.60157493269</v>
      </c>
      <c r="CB336" s="58">
        <f t="array" ref="CB336">SUM(IF(BY336:BZ336&gt;=BY336, 1))</f>
        <v>2</v>
      </c>
      <c r="CC336" s="58">
        <f t="array" ref="CC336">SUM(IF(BY336:BZ336&gt;=BZ336, 1))</f>
        <v>1</v>
      </c>
      <c r="CE336" s="109">
        <f t="shared" si="142"/>
        <v>93649.374311959415</v>
      </c>
      <c r="CF336" s="109">
        <f t="shared" si="143"/>
        <v>97407.07035784921</v>
      </c>
      <c r="CH336" s="58">
        <f t="array" ref="CH336">SUM(IF(CE336:CF336&gt;=CE336, 1))</f>
        <v>2</v>
      </c>
      <c r="CI336" s="58">
        <f t="array" ref="CI336">SUM(IF(CE336:CF336&gt;=CF336, 1))</f>
        <v>1</v>
      </c>
      <c r="CK336" s="109">
        <f t="shared" si="144"/>
        <v>43115.23041415897</v>
      </c>
      <c r="CL336" s="109">
        <f t="shared" si="145"/>
        <v>43971.922375873037</v>
      </c>
      <c r="CN336" s="58">
        <f t="array" ref="CN336">SUM(IF(CK336:CL336&gt;=CK336, 1))</f>
        <v>2</v>
      </c>
      <c r="CO336" s="58">
        <f t="array" ref="CO336">SUM(IF(CK336:CL336&gt;=CL336, 1))</f>
        <v>1</v>
      </c>
      <c r="CQ336" s="109" cm="1">
        <f t="array" ref="CQ336">AF336*WTP-AC336</f>
        <v>31759.779385626192</v>
      </c>
      <c r="CR336" s="109">
        <f t="shared" si="146"/>
        <v>32287.519731201413</v>
      </c>
      <c r="CT336" s="58">
        <f t="array" ref="CT336">SUM(IF(CQ336:CR336&gt;=CQ336, 1))</f>
        <v>2</v>
      </c>
      <c r="CU336" s="58">
        <f t="array" ref="CU336">SUM(IF(CQ336:CR336&gt;=CR336, 1))</f>
        <v>1</v>
      </c>
      <c r="CW336" s="109">
        <f t="shared" si="147"/>
        <v>-45367110.695010565</v>
      </c>
      <c r="CX336" s="109">
        <f t="shared" si="148"/>
        <v>0</v>
      </c>
      <c r="CZ336" s="58">
        <f t="array" ref="CZ336">SUM(IF(CW336:CX336&gt;=CW336, 1))</f>
        <v>2</v>
      </c>
      <c r="DA336" s="58">
        <f t="array" ref="DA336">SUM(IF(CW336:CX336&gt;=CX336, 1))</f>
        <v>1</v>
      </c>
      <c r="DC336" s="109">
        <f t="shared" si="149"/>
        <v>-2699119.4453603807</v>
      </c>
      <c r="DD336" s="109">
        <f t="shared" si="150"/>
        <v>0</v>
      </c>
      <c r="DF336" s="58">
        <f t="array" ref="DF336">SUM(IF(DC336:DD336&gt;=DC336, 1))</f>
        <v>2</v>
      </c>
      <c r="DG336" s="58">
        <f t="array" ref="DG336">SUM(IF(DC336:DD336&gt;=DD336, 1))</f>
        <v>1</v>
      </c>
      <c r="DI336" s="109">
        <f t="shared" si="151"/>
        <v>-86686407.785172552</v>
      </c>
      <c r="DJ336" s="109">
        <f t="shared" si="152"/>
        <v>0</v>
      </c>
      <c r="DL336" s="58">
        <f t="array" ref="DL336">SUM(IF(DI336:DJ336&gt;=DI336, 1))</f>
        <v>2</v>
      </c>
      <c r="DM336" s="58">
        <f t="array" ref="DM336">SUM(IF(DI336:DJ336&gt;=DJ336, 1))</f>
        <v>1</v>
      </c>
      <c r="DO336" s="109">
        <f t="shared" si="153"/>
        <v>-7591896.9260872016</v>
      </c>
      <c r="DP336" s="109">
        <f t="shared" si="154"/>
        <v>0</v>
      </c>
      <c r="DR336" s="58">
        <f t="array" ref="DR336">SUM(IF(DO336:DP336&gt;=DO336, 1))</f>
        <v>2</v>
      </c>
      <c r="DS336" s="58">
        <f t="array" ref="DS336">SUM(IF(DO336:DP336&gt;=DP336, 1))</f>
        <v>1</v>
      </c>
      <c r="DU336" s="109">
        <f t="shared" si="155"/>
        <v>-8262688.6516436115</v>
      </c>
      <c r="DV336" s="109">
        <f t="shared" si="156"/>
        <v>0</v>
      </c>
      <c r="DX336" s="58">
        <f t="array" ref="DX336">SUM(IF(DU336:DV336&gt;=DU336, 1))</f>
        <v>2</v>
      </c>
      <c r="DY336" s="58">
        <f t="array" ref="DY336">SUM(IF(DU336:DV336&gt;=DV336, 1))</f>
        <v>1</v>
      </c>
      <c r="EA336" s="109">
        <f t="shared" si="157"/>
        <v>-150607223.50327432</v>
      </c>
      <c r="EB336" s="109">
        <f t="shared" si="158"/>
        <v>0</v>
      </c>
      <c r="ED336" s="58">
        <f t="array" ref="ED336">SUM(IF(EA336:EB336&gt;=EA336, 1))</f>
        <v>2</v>
      </c>
      <c r="EE336" s="58">
        <f t="array" ref="EE336">SUM(IF(EA336:EB336&gt;=EB336, 1))</f>
        <v>1</v>
      </c>
    </row>
    <row r="337" spans="4:135" ht="12" customHeight="1" x14ac:dyDescent="0.25">
      <c r="D337" s="11">
        <v>321</v>
      </c>
      <c r="E337" s="72">
        <v>360.88998018169264</v>
      </c>
      <c r="F337" s="72">
        <v>333.23867411028692</v>
      </c>
      <c r="G337" s="73"/>
      <c r="H337" s="74">
        <v>5.8576349169248845</v>
      </c>
      <c r="I337" s="74">
        <v>5.870563316572869</v>
      </c>
      <c r="J337" s="73"/>
      <c r="K337" s="72">
        <v>387.53997930085922</v>
      </c>
      <c r="L337" s="72">
        <v>359.20458623890704</v>
      </c>
      <c r="M337" s="73"/>
      <c r="N337" s="74">
        <v>6.7304067135049106</v>
      </c>
      <c r="O337" s="74">
        <v>6.7410880026978148</v>
      </c>
      <c r="P337" s="73"/>
      <c r="Q337" s="72">
        <v>2252.1052469713027</v>
      </c>
      <c r="R337" s="72">
        <v>1101.0629474684038</v>
      </c>
      <c r="S337" s="73"/>
      <c r="T337" s="74">
        <v>4.807925957611852</v>
      </c>
      <c r="U337" s="74">
        <v>4.9218095475034929</v>
      </c>
      <c r="V337" s="73"/>
      <c r="W337" s="72">
        <v>14703.007932103323</v>
      </c>
      <c r="X337" s="72">
        <v>14765.865403557726</v>
      </c>
      <c r="Y337" s="73"/>
      <c r="Z337" s="74">
        <v>3.0109823026578373</v>
      </c>
      <c r="AA337" s="74">
        <v>3.072967991170735</v>
      </c>
      <c r="AB337" s="73"/>
      <c r="AC337" s="72">
        <v>49692.225912488342</v>
      </c>
      <c r="AD337" s="72">
        <v>49659.078696428631</v>
      </c>
      <c r="AE337" s="73"/>
      <c r="AF337" s="74">
        <v>4.4856103527917206</v>
      </c>
      <c r="AG337" s="74">
        <v>4.5304672581226129</v>
      </c>
      <c r="AH337" s="73"/>
      <c r="AI337" s="72">
        <v>2963116.5581571986</v>
      </c>
      <c r="AJ337" s="72">
        <v>0</v>
      </c>
      <c r="AK337" s="73"/>
      <c r="AL337" s="74">
        <v>-1385.4085216984176</v>
      </c>
      <c r="AM337" s="74">
        <v>0</v>
      </c>
      <c r="AN337" s="73"/>
      <c r="AO337" s="72">
        <v>194778.87256349405</v>
      </c>
      <c r="AP337" s="72">
        <v>0</v>
      </c>
      <c r="AQ337" s="73"/>
      <c r="AR337" s="74">
        <v>-73.423702362969223</v>
      </c>
      <c r="AS337" s="74">
        <v>0</v>
      </c>
      <c r="AT337" s="73"/>
      <c r="AU337" s="72">
        <v>26752277.690008391</v>
      </c>
      <c r="AV337" s="72">
        <v>0</v>
      </c>
      <c r="AW337" s="73"/>
      <c r="AX337" s="74">
        <v>-2646.857915153912</v>
      </c>
      <c r="AY337" s="74">
        <v>0</v>
      </c>
      <c r="AZ337" s="73"/>
      <c r="BA337" s="72">
        <v>-548340.79369059252</v>
      </c>
      <c r="BB337" s="72">
        <v>0</v>
      </c>
      <c r="BC337" s="73"/>
      <c r="BD337" s="74">
        <v>-540.73574469625578</v>
      </c>
      <c r="BE337" s="74">
        <v>0</v>
      </c>
      <c r="BF337" s="73"/>
      <c r="BG337" s="72">
        <v>514263.26073840383</v>
      </c>
      <c r="BH337" s="72">
        <v>0</v>
      </c>
      <c r="BI337" s="73"/>
      <c r="BJ337" s="74">
        <v>-695.93350948518309</v>
      </c>
      <c r="BK337" s="74">
        <v>0</v>
      </c>
      <c r="BL337" s="73"/>
      <c r="BM337" s="72">
        <v>29876095.587776892</v>
      </c>
      <c r="BN337" s="72">
        <v>0</v>
      </c>
      <c r="BO337" s="73"/>
      <c r="BP337" s="74">
        <v>-5342.3593933967377</v>
      </c>
      <c r="BQ337" s="74">
        <v>0</v>
      </c>
      <c r="BS337" s="109">
        <f t="shared" si="138"/>
        <v>116791.808358316</v>
      </c>
      <c r="BT337" s="109">
        <f t="shared" si="139"/>
        <v>117078.02765734709</v>
      </c>
      <c r="BV337" s="58">
        <f t="array" ref="BV337">SUM(IF(BS337:BT337&gt;=BS337, 1))</f>
        <v>2</v>
      </c>
      <c r="BW337" s="58">
        <f t="array" ref="BW337">SUM(IF(BS337:BT337&gt;=BT337, 1))</f>
        <v>1</v>
      </c>
      <c r="BY337" s="109">
        <f t="shared" si="140"/>
        <v>134220.59429079734</v>
      </c>
      <c r="BZ337" s="109">
        <f t="shared" si="141"/>
        <v>134462.55546771738</v>
      </c>
      <c r="CB337" s="58">
        <f t="array" ref="CB337">SUM(IF(BY337:BZ337&gt;=BY337, 1))</f>
        <v>2</v>
      </c>
      <c r="CC337" s="58">
        <f t="array" ref="CC337">SUM(IF(BY337:BZ337&gt;=BZ337, 1))</f>
        <v>1</v>
      </c>
      <c r="CE337" s="109">
        <f t="shared" si="142"/>
        <v>93906.413905265741</v>
      </c>
      <c r="CF337" s="109">
        <f t="shared" si="143"/>
        <v>97335.128002601443</v>
      </c>
      <c r="CH337" s="58">
        <f t="array" ref="CH337">SUM(IF(CE337:CF337&gt;=CE337, 1))</f>
        <v>2</v>
      </c>
      <c r="CI337" s="58">
        <f t="array" ref="CI337">SUM(IF(CE337:CF337&gt;=CF337, 1))</f>
        <v>1</v>
      </c>
      <c r="CK337" s="109">
        <f t="shared" si="144"/>
        <v>45516.638121053416</v>
      </c>
      <c r="CL337" s="109">
        <f t="shared" si="145"/>
        <v>46693.494419856972</v>
      </c>
      <c r="CN337" s="58">
        <f t="array" ref="CN337">SUM(IF(CK337:CL337&gt;=CK337, 1))</f>
        <v>2</v>
      </c>
      <c r="CO337" s="58">
        <f t="array" ref="CO337">SUM(IF(CK337:CL337&gt;=CL337, 1))</f>
        <v>1</v>
      </c>
      <c r="CQ337" s="109" cm="1">
        <f t="array" ref="CQ337">AF337*WTP-AC337</f>
        <v>40019.981143346071</v>
      </c>
      <c r="CR337" s="109">
        <f t="shared" si="146"/>
        <v>40950.266466023626</v>
      </c>
      <c r="CT337" s="58">
        <f t="array" ref="CT337">SUM(IF(CQ337:CR337&gt;=CQ337, 1))</f>
        <v>2</v>
      </c>
      <c r="CU337" s="58">
        <f t="array" ref="CU337">SUM(IF(CQ337:CR337&gt;=CR337, 1))</f>
        <v>1</v>
      </c>
      <c r="CW337" s="109">
        <f t="shared" si="147"/>
        <v>-30671286.992125552</v>
      </c>
      <c r="CX337" s="109">
        <f t="shared" si="148"/>
        <v>0</v>
      </c>
      <c r="CZ337" s="58">
        <f t="array" ref="CZ337">SUM(IF(CW337:CX337&gt;=CW337, 1))</f>
        <v>2</v>
      </c>
      <c r="DA337" s="58">
        <f t="array" ref="DA337">SUM(IF(CW337:CX337&gt;=CX337, 1))</f>
        <v>1</v>
      </c>
      <c r="DC337" s="109">
        <f t="shared" si="149"/>
        <v>-1663252.9198228787</v>
      </c>
      <c r="DD337" s="109">
        <f t="shared" si="150"/>
        <v>0</v>
      </c>
      <c r="DF337" s="58">
        <f t="array" ref="DF337">SUM(IF(DC337:DD337&gt;=DC337, 1))</f>
        <v>2</v>
      </c>
      <c r="DG337" s="58">
        <f t="array" ref="DG337">SUM(IF(DC337:DD337&gt;=DD337, 1))</f>
        <v>1</v>
      </c>
      <c r="DI337" s="109">
        <f t="shared" si="151"/>
        <v>-79689435.993086636</v>
      </c>
      <c r="DJ337" s="109">
        <f t="shared" si="152"/>
        <v>0</v>
      </c>
      <c r="DL337" s="58">
        <f t="array" ref="DL337">SUM(IF(DI337:DJ337&gt;=DI337, 1))</f>
        <v>2</v>
      </c>
      <c r="DM337" s="58">
        <f t="array" ref="DM337">SUM(IF(DI337:DJ337&gt;=DJ337, 1))</f>
        <v>1</v>
      </c>
      <c r="DO337" s="109">
        <f t="shared" si="153"/>
        <v>-10266374.100234523</v>
      </c>
      <c r="DP337" s="109">
        <f t="shared" si="154"/>
        <v>0</v>
      </c>
      <c r="DR337" s="58">
        <f t="array" ref="DR337">SUM(IF(DO337:DP337&gt;=DO337, 1))</f>
        <v>2</v>
      </c>
      <c r="DS337" s="58">
        <f t="array" ref="DS337">SUM(IF(DO337:DP337&gt;=DP337, 1))</f>
        <v>1</v>
      </c>
      <c r="DU337" s="109">
        <f t="shared" si="155"/>
        <v>-14432933.450442066</v>
      </c>
      <c r="DV337" s="109">
        <f t="shared" si="156"/>
        <v>0</v>
      </c>
      <c r="DX337" s="58">
        <f t="array" ref="DX337">SUM(IF(DU337:DV337&gt;=DU337, 1))</f>
        <v>2</v>
      </c>
      <c r="DY337" s="58">
        <f t="array" ref="DY337">SUM(IF(DU337:DV337&gt;=DV337, 1))</f>
        <v>1</v>
      </c>
      <c r="EA337" s="109">
        <f t="shared" si="157"/>
        <v>-136723283.45571163</v>
      </c>
      <c r="EB337" s="109">
        <f t="shared" si="158"/>
        <v>0</v>
      </c>
      <c r="ED337" s="58">
        <f t="array" ref="ED337">SUM(IF(EA337:EB337&gt;=EA337, 1))</f>
        <v>2</v>
      </c>
      <c r="EE337" s="58">
        <f t="array" ref="EE337">SUM(IF(EA337:EB337&gt;=EB337, 1))</f>
        <v>1</v>
      </c>
    </row>
    <row r="338" spans="4:135" ht="12" customHeight="1" x14ac:dyDescent="0.25">
      <c r="D338" s="11">
        <v>322</v>
      </c>
      <c r="E338" s="72">
        <v>197.781060704537</v>
      </c>
      <c r="F338" s="72">
        <v>179.27621549093885</v>
      </c>
      <c r="G338" s="73"/>
      <c r="H338" s="74">
        <v>5.8496602431500291</v>
      </c>
      <c r="I338" s="74">
        <v>5.8650914385431561</v>
      </c>
      <c r="J338" s="73"/>
      <c r="K338" s="72">
        <v>212.24262605723777</v>
      </c>
      <c r="L338" s="72">
        <v>193.29984714471257</v>
      </c>
      <c r="M338" s="73"/>
      <c r="N338" s="74">
        <v>6.755102922964614</v>
      </c>
      <c r="O338" s="74">
        <v>6.7683426336199108</v>
      </c>
      <c r="P338" s="73"/>
      <c r="Q338" s="72">
        <v>2855.4644686469178</v>
      </c>
      <c r="R338" s="72">
        <v>1494.2693761971495</v>
      </c>
      <c r="S338" s="73"/>
      <c r="T338" s="74">
        <v>5.0379438890423938</v>
      </c>
      <c r="U338" s="74">
        <v>5.1333696497181416</v>
      </c>
      <c r="V338" s="73"/>
      <c r="W338" s="72">
        <v>16316.343346647902</v>
      </c>
      <c r="X338" s="72">
        <v>16232.252173262383</v>
      </c>
      <c r="Y338" s="73"/>
      <c r="Z338" s="74">
        <v>2.8993199587932121</v>
      </c>
      <c r="AA338" s="74">
        <v>2.9376307058921247</v>
      </c>
      <c r="AB338" s="73"/>
      <c r="AC338" s="72">
        <v>49676.008592260237</v>
      </c>
      <c r="AD338" s="72">
        <v>49440.423737774479</v>
      </c>
      <c r="AE338" s="73"/>
      <c r="AF338" s="74">
        <v>4.6743422388154494</v>
      </c>
      <c r="AG338" s="74">
        <v>4.7708295345166407</v>
      </c>
      <c r="AH338" s="73"/>
      <c r="AI338" s="72">
        <v>2000584.8622859712</v>
      </c>
      <c r="AJ338" s="72">
        <v>0</v>
      </c>
      <c r="AK338" s="73"/>
      <c r="AL338" s="74">
        <v>-1668.288253920721</v>
      </c>
      <c r="AM338" s="74">
        <v>0</v>
      </c>
      <c r="AN338" s="73"/>
      <c r="AO338" s="72">
        <v>133869.69820683473</v>
      </c>
      <c r="AP338" s="72">
        <v>0</v>
      </c>
      <c r="AQ338" s="73"/>
      <c r="AR338" s="74">
        <v>-93.565789790138496</v>
      </c>
      <c r="AS338" s="74">
        <v>0</v>
      </c>
      <c r="AT338" s="73"/>
      <c r="AU338" s="72">
        <v>31010965.585810777</v>
      </c>
      <c r="AV338" s="72">
        <v>0</v>
      </c>
      <c r="AW338" s="73"/>
      <c r="AX338" s="74">
        <v>-2174.0050318500798</v>
      </c>
      <c r="AY338" s="74">
        <v>0</v>
      </c>
      <c r="AZ338" s="73"/>
      <c r="BA338" s="72">
        <v>722822.01961809664</v>
      </c>
      <c r="BB338" s="72">
        <v>0</v>
      </c>
      <c r="BC338" s="73"/>
      <c r="BD338" s="74">
        <v>-329.30747040667148</v>
      </c>
      <c r="BE338" s="74">
        <v>0</v>
      </c>
      <c r="BF338" s="73"/>
      <c r="BG338" s="72">
        <v>3778699.209401662</v>
      </c>
      <c r="BH338" s="72">
        <v>0</v>
      </c>
      <c r="BI338" s="73"/>
      <c r="BJ338" s="74">
        <v>-1547.62269747454</v>
      </c>
      <c r="BK338" s="74">
        <v>0</v>
      </c>
      <c r="BL338" s="73"/>
      <c r="BM338" s="72">
        <v>37646941.37532334</v>
      </c>
      <c r="BN338" s="72">
        <v>0</v>
      </c>
      <c r="BO338" s="73"/>
      <c r="BP338" s="74">
        <v>-5812.7892434421501</v>
      </c>
      <c r="BQ338" s="74">
        <v>0</v>
      </c>
      <c r="BS338" s="109">
        <f t="shared" ref="BS338:BS401" si="159">H338*WTP-E338</f>
        <v>116795.42380229605</v>
      </c>
      <c r="BT338" s="109">
        <f t="shared" ref="BT338:BT401" si="160">I338*WTP-F338</f>
        <v>117122.55255537218</v>
      </c>
      <c r="BV338" s="58">
        <f t="array" ref="BV338">SUM(IF(BS338:BT338&gt;=BS338, 1))</f>
        <v>2</v>
      </c>
      <c r="BW338" s="58">
        <f t="array" ref="BW338">SUM(IF(BS338:BT338&gt;=BT338, 1))</f>
        <v>1</v>
      </c>
      <c r="BY338" s="109">
        <f t="shared" ref="BY338:BY401" si="161">N338*WTP-K338</f>
        <v>134889.81583323504</v>
      </c>
      <c r="BZ338" s="109">
        <f t="shared" ref="BZ338:BZ401" si="162">O338*WTP-L338</f>
        <v>135173.55282525349</v>
      </c>
      <c r="CB338" s="58">
        <f t="array" ref="CB338">SUM(IF(BY338:BZ338&gt;=BY338, 1))</f>
        <v>2</v>
      </c>
      <c r="CC338" s="58">
        <f t="array" ref="CC338">SUM(IF(BY338:BZ338&gt;=BZ338, 1))</f>
        <v>1</v>
      </c>
      <c r="CE338" s="109">
        <f t="shared" ref="CE338:CE401" si="163">T338*WTP-Q338</f>
        <v>97903.413312200966</v>
      </c>
      <c r="CF338" s="109">
        <f t="shared" ref="CF338:CF401" si="164">U338*WTP-R338</f>
        <v>101173.12361816569</v>
      </c>
      <c r="CH338" s="58">
        <f t="array" ref="CH338">SUM(IF(CE338:CF338&gt;=CE338, 1))</f>
        <v>2</v>
      </c>
      <c r="CI338" s="58">
        <f t="array" ref="CI338">SUM(IF(CE338:CF338&gt;=CF338, 1))</f>
        <v>1</v>
      </c>
      <c r="CK338" s="109">
        <f t="shared" ref="CK338:CK401" si="165">Z338*WTP-W338</f>
        <v>41670.05582921634</v>
      </c>
      <c r="CL338" s="109">
        <f t="shared" ref="CL338:CL401" si="166">AA338*WTP-X338</f>
        <v>42520.361944580116</v>
      </c>
      <c r="CN338" s="58">
        <f t="array" ref="CN338">SUM(IF(CK338:CL338&gt;=CK338, 1))</f>
        <v>2</v>
      </c>
      <c r="CO338" s="58">
        <f t="array" ref="CO338">SUM(IF(CK338:CL338&gt;=CL338, 1))</f>
        <v>1</v>
      </c>
      <c r="CQ338" s="109" cm="1">
        <f t="array" ref="CQ338">AF338*WTP-AC338</f>
        <v>43810.836184048756</v>
      </c>
      <c r="CR338" s="109">
        <f t="shared" ref="CR338:CR401" si="167">AG338*WTP-AD338</f>
        <v>45976.166952558335</v>
      </c>
      <c r="CT338" s="58">
        <f t="array" ref="CT338">SUM(IF(CQ338:CR338&gt;=CQ338, 1))</f>
        <v>2</v>
      </c>
      <c r="CU338" s="58">
        <f t="array" ref="CU338">SUM(IF(CQ338:CR338&gt;=CR338, 1))</f>
        <v>1</v>
      </c>
      <c r="CW338" s="109">
        <f t="shared" ref="CW338:CW401" si="168">AL338*WTP-AI338</f>
        <v>-35366349.940700389</v>
      </c>
      <c r="CX338" s="109">
        <f t="shared" ref="CX338:CX401" si="169">AM338*WTP-AJ338</f>
        <v>0</v>
      </c>
      <c r="CZ338" s="58">
        <f t="array" ref="CZ338">SUM(IF(CW338:CX338&gt;=CW338, 1))</f>
        <v>2</v>
      </c>
      <c r="DA338" s="58">
        <f t="array" ref="DA338">SUM(IF(CW338:CX338&gt;=CX338, 1))</f>
        <v>1</v>
      </c>
      <c r="DC338" s="109">
        <f t="shared" ref="DC338:DC401" si="170">AR338*WTP-AO338</f>
        <v>-2005185.4940096047</v>
      </c>
      <c r="DD338" s="109">
        <f t="shared" ref="DD338:DD401" si="171">AS338*WTP-AP338</f>
        <v>0</v>
      </c>
      <c r="DF338" s="58">
        <f t="array" ref="DF338">SUM(IF(DC338:DD338&gt;=DC338, 1))</f>
        <v>2</v>
      </c>
      <c r="DG338" s="58">
        <f t="array" ref="DG338">SUM(IF(DC338:DD338&gt;=DD338, 1))</f>
        <v>1</v>
      </c>
      <c r="DI338" s="109">
        <f t="shared" ref="DI338:DI401" si="172">AX338*WTP-AU338</f>
        <v>-74491066.222812369</v>
      </c>
      <c r="DJ338" s="109">
        <f t="shared" ref="DJ338:DJ401" si="173">AY338*WTP-AV338</f>
        <v>0</v>
      </c>
      <c r="DL338" s="58">
        <f t="array" ref="DL338">SUM(IF(DI338:DJ338&gt;=DI338, 1))</f>
        <v>2</v>
      </c>
      <c r="DM338" s="58">
        <f t="array" ref="DM338">SUM(IF(DI338:DJ338&gt;=DJ338, 1))</f>
        <v>1</v>
      </c>
      <c r="DO338" s="109">
        <f t="shared" ref="DO338:DO401" si="174">BD338*WTP-BA338</f>
        <v>-7308971.4277515262</v>
      </c>
      <c r="DP338" s="109">
        <f t="shared" ref="DP338:DP401" si="175">BE338*WTP-BB338</f>
        <v>0</v>
      </c>
      <c r="DR338" s="58">
        <f t="array" ref="DR338">SUM(IF(DO338:DP338&gt;=DO338, 1))</f>
        <v>2</v>
      </c>
      <c r="DS338" s="58">
        <f t="array" ref="DS338">SUM(IF(DO338:DP338&gt;=DP338, 1))</f>
        <v>1</v>
      </c>
      <c r="DU338" s="109">
        <f t="shared" ref="DU338:DU401" si="176">BJ338*WTP-BG338</f>
        <v>-34731153.15889246</v>
      </c>
      <c r="DV338" s="109">
        <f t="shared" ref="DV338:DV401" si="177">BK338*WTP-BH338</f>
        <v>0</v>
      </c>
      <c r="DX338" s="58">
        <f t="array" ref="DX338">SUM(IF(DU338:DV338&gt;=DU338, 1))</f>
        <v>2</v>
      </c>
      <c r="DY338" s="58">
        <f t="array" ref="DY338">SUM(IF(DU338:DV338&gt;=DV338, 1))</f>
        <v>1</v>
      </c>
      <c r="EA338" s="109">
        <f t="shared" ref="EA338:EA401" si="178">BP338*WTP-BM338</f>
        <v>-153902726.24416634</v>
      </c>
      <c r="EB338" s="109">
        <f t="shared" ref="EB338:EB401" si="179">BQ338*WTP-BN338</f>
        <v>0</v>
      </c>
      <c r="ED338" s="58">
        <f t="array" ref="ED338">SUM(IF(EA338:EB338&gt;=EA338, 1))</f>
        <v>2</v>
      </c>
      <c r="EE338" s="58">
        <f t="array" ref="EE338">SUM(IF(EA338:EB338&gt;=EB338, 1))</f>
        <v>1</v>
      </c>
    </row>
    <row r="339" spans="4:135" ht="12" customHeight="1" x14ac:dyDescent="0.25">
      <c r="D339" s="11">
        <v>323</v>
      </c>
      <c r="E339" s="72">
        <v>260.71133499935843</v>
      </c>
      <c r="F339" s="72">
        <v>243.5060804207572</v>
      </c>
      <c r="G339" s="73"/>
      <c r="H339" s="74">
        <v>5.897258416339934</v>
      </c>
      <c r="I339" s="74">
        <v>5.913787761749604</v>
      </c>
      <c r="J339" s="73"/>
      <c r="K339" s="72">
        <v>280.29358124987516</v>
      </c>
      <c r="L339" s="72">
        <v>262.62199251367866</v>
      </c>
      <c r="M339" s="73"/>
      <c r="N339" s="74">
        <v>6.7018506693022211</v>
      </c>
      <c r="O339" s="74">
        <v>6.7154744081994506</v>
      </c>
      <c r="P339" s="73"/>
      <c r="Q339" s="72">
        <v>4911.7032584519166</v>
      </c>
      <c r="R339" s="72">
        <v>1948.9301623208519</v>
      </c>
      <c r="S339" s="73"/>
      <c r="T339" s="74">
        <v>4.8263374797604248</v>
      </c>
      <c r="U339" s="74">
        <v>4.9713502352962378</v>
      </c>
      <c r="V339" s="73"/>
      <c r="W339" s="72">
        <v>14360.29319595553</v>
      </c>
      <c r="X339" s="72">
        <v>14369.163724913813</v>
      </c>
      <c r="Y339" s="73"/>
      <c r="Z339" s="74">
        <v>2.8747810278558514</v>
      </c>
      <c r="AA339" s="74">
        <v>2.922699349139295</v>
      </c>
      <c r="AB339" s="73"/>
      <c r="AC339" s="72">
        <v>50800.007604989907</v>
      </c>
      <c r="AD339" s="72">
        <v>50666.708497250889</v>
      </c>
      <c r="AE339" s="73"/>
      <c r="AF339" s="74">
        <v>4.4760623240699244</v>
      </c>
      <c r="AG339" s="74">
        <v>4.5696437632773259</v>
      </c>
      <c r="AH339" s="73"/>
      <c r="AI339" s="72">
        <v>1848108.6772133939</v>
      </c>
      <c r="AJ339" s="72">
        <v>0</v>
      </c>
      <c r="AK339" s="73"/>
      <c r="AL339" s="74">
        <v>-1775.5056480397645</v>
      </c>
      <c r="AM339" s="74">
        <v>0</v>
      </c>
      <c r="AN339" s="73"/>
      <c r="AO339" s="72">
        <v>118041.53271696641</v>
      </c>
      <c r="AP339" s="72">
        <v>0</v>
      </c>
      <c r="AQ339" s="73"/>
      <c r="AR339" s="74">
        <v>-91.002967801686268</v>
      </c>
      <c r="AS339" s="74">
        <v>0</v>
      </c>
      <c r="AT339" s="73"/>
      <c r="AU339" s="72">
        <v>68499486.033484891</v>
      </c>
      <c r="AV339" s="72">
        <v>0</v>
      </c>
      <c r="AW339" s="73"/>
      <c r="AX339" s="74">
        <v>-3352.7033290109089</v>
      </c>
      <c r="AY339" s="74">
        <v>0</v>
      </c>
      <c r="AZ339" s="73"/>
      <c r="BA339" s="72">
        <v>-79068.138233600403</v>
      </c>
      <c r="BB339" s="72">
        <v>0</v>
      </c>
      <c r="BC339" s="73"/>
      <c r="BD339" s="74">
        <v>-427.12362126088101</v>
      </c>
      <c r="BE339" s="74">
        <v>0</v>
      </c>
      <c r="BF339" s="73"/>
      <c r="BG339" s="72">
        <v>2169052.3321313187</v>
      </c>
      <c r="BH339" s="72">
        <v>0</v>
      </c>
      <c r="BI339" s="73"/>
      <c r="BJ339" s="74">
        <v>-1522.7636733655668</v>
      </c>
      <c r="BK339" s="74">
        <v>0</v>
      </c>
      <c r="BL339" s="73"/>
      <c r="BM339" s="72">
        <v>72555620.437312961</v>
      </c>
      <c r="BN339" s="72">
        <v>0</v>
      </c>
      <c r="BO339" s="73"/>
      <c r="BP339" s="74">
        <v>-7169.0992394788082</v>
      </c>
      <c r="BQ339" s="74">
        <v>0</v>
      </c>
      <c r="BS339" s="109">
        <f t="shared" si="159"/>
        <v>117684.45699179932</v>
      </c>
      <c r="BT339" s="109">
        <f t="shared" si="160"/>
        <v>118032.24915457131</v>
      </c>
      <c r="BV339" s="58">
        <f t="array" ref="BV339">SUM(IF(BS339:BT339&gt;=BS339, 1))</f>
        <v>2</v>
      </c>
      <c r="BW339" s="58">
        <f t="array" ref="BW339">SUM(IF(BS339:BT339&gt;=BT339, 1))</f>
        <v>1</v>
      </c>
      <c r="BY339" s="109">
        <f t="shared" si="161"/>
        <v>133756.71980479456</v>
      </c>
      <c r="BZ339" s="109">
        <f t="shared" si="162"/>
        <v>134046.86617147533</v>
      </c>
      <c r="CB339" s="58">
        <f t="array" ref="CB339">SUM(IF(BY339:BZ339&gt;=BY339, 1))</f>
        <v>2</v>
      </c>
      <c r="CC339" s="58">
        <f t="array" ref="CC339">SUM(IF(BY339:BZ339&gt;=BZ339, 1))</f>
        <v>1</v>
      </c>
      <c r="CE339" s="109">
        <f t="shared" si="163"/>
        <v>91615.046336756583</v>
      </c>
      <c r="CF339" s="109">
        <f t="shared" si="164"/>
        <v>97478.074543603914</v>
      </c>
      <c r="CH339" s="58">
        <f t="array" ref="CH339">SUM(IF(CE339:CF339&gt;=CE339, 1))</f>
        <v>2</v>
      </c>
      <c r="CI339" s="58">
        <f t="array" ref="CI339">SUM(IF(CE339:CF339&gt;=CF339, 1))</f>
        <v>1</v>
      </c>
      <c r="CK339" s="109">
        <f t="shared" si="165"/>
        <v>43135.3273611615</v>
      </c>
      <c r="CL339" s="109">
        <f t="shared" si="166"/>
        <v>44084.823257872085</v>
      </c>
      <c r="CN339" s="58">
        <f t="array" ref="CN339">SUM(IF(CK339:CL339&gt;=CK339, 1))</f>
        <v>2</v>
      </c>
      <c r="CO339" s="58">
        <f t="array" ref="CO339">SUM(IF(CK339:CL339&gt;=CL339, 1))</f>
        <v>1</v>
      </c>
      <c r="CQ339" s="109" cm="1">
        <f t="array" ref="CQ339">AF339*WTP-AC339</f>
        <v>38721.238876408577</v>
      </c>
      <c r="CR339" s="109">
        <f t="shared" si="167"/>
        <v>40726.166768295632</v>
      </c>
      <c r="CT339" s="58">
        <f t="array" ref="CT339">SUM(IF(CQ339:CR339&gt;=CQ339, 1))</f>
        <v>2</v>
      </c>
      <c r="CU339" s="58">
        <f t="array" ref="CU339">SUM(IF(CQ339:CR339&gt;=CR339, 1))</f>
        <v>1</v>
      </c>
      <c r="CW339" s="109">
        <f t="shared" si="168"/>
        <v>-37358221.638008684</v>
      </c>
      <c r="CX339" s="109">
        <f t="shared" si="169"/>
        <v>0</v>
      </c>
      <c r="CZ339" s="58">
        <f t="array" ref="CZ339">SUM(IF(CW339:CX339&gt;=CW339, 1))</f>
        <v>2</v>
      </c>
      <c r="DA339" s="58">
        <f t="array" ref="DA339">SUM(IF(CW339:CX339&gt;=CX339, 1))</f>
        <v>1</v>
      </c>
      <c r="DC339" s="109">
        <f t="shared" si="170"/>
        <v>-1938100.8887506919</v>
      </c>
      <c r="DD339" s="109">
        <f t="shared" si="171"/>
        <v>0</v>
      </c>
      <c r="DF339" s="58">
        <f t="array" ref="DF339">SUM(IF(DC339:DD339&gt;=DC339, 1))</f>
        <v>2</v>
      </c>
      <c r="DG339" s="58">
        <f t="array" ref="DG339">SUM(IF(DC339:DD339&gt;=DD339, 1))</f>
        <v>1</v>
      </c>
      <c r="DI339" s="109">
        <f t="shared" si="172"/>
        <v>-135553552.61370307</v>
      </c>
      <c r="DJ339" s="109">
        <f t="shared" si="173"/>
        <v>0</v>
      </c>
      <c r="DL339" s="58">
        <f t="array" ref="DL339">SUM(IF(DI339:DJ339&gt;=DI339, 1))</f>
        <v>2</v>
      </c>
      <c r="DM339" s="58">
        <f t="array" ref="DM339">SUM(IF(DI339:DJ339&gt;=DJ339, 1))</f>
        <v>1</v>
      </c>
      <c r="DO339" s="109">
        <f t="shared" si="174"/>
        <v>-8463404.2869840208</v>
      </c>
      <c r="DP339" s="109">
        <f t="shared" si="175"/>
        <v>0</v>
      </c>
      <c r="DR339" s="58">
        <f t="array" ref="DR339">SUM(IF(DO339:DP339&gt;=DO339, 1))</f>
        <v>2</v>
      </c>
      <c r="DS339" s="58">
        <f t="array" ref="DS339">SUM(IF(DO339:DP339&gt;=DP339, 1))</f>
        <v>1</v>
      </c>
      <c r="DU339" s="109">
        <f t="shared" si="176"/>
        <v>-32624325.799442653</v>
      </c>
      <c r="DV339" s="109">
        <f t="shared" si="177"/>
        <v>0</v>
      </c>
      <c r="DX339" s="58">
        <f t="array" ref="DX339">SUM(IF(DU339:DV339&gt;=DU339, 1))</f>
        <v>2</v>
      </c>
      <c r="DY339" s="58">
        <f t="array" ref="DY339">SUM(IF(DU339:DV339&gt;=DV339, 1))</f>
        <v>1</v>
      </c>
      <c r="EA339" s="109">
        <f t="shared" si="178"/>
        <v>-215937605.22688913</v>
      </c>
      <c r="EB339" s="109">
        <f t="shared" si="179"/>
        <v>0</v>
      </c>
      <c r="ED339" s="58">
        <f t="array" ref="ED339">SUM(IF(EA339:EB339&gt;=EA339, 1))</f>
        <v>2</v>
      </c>
      <c r="EE339" s="58">
        <f t="array" ref="EE339">SUM(IF(EA339:EB339&gt;=EB339, 1))</f>
        <v>1</v>
      </c>
    </row>
    <row r="340" spans="4:135" ht="12" customHeight="1" x14ac:dyDescent="0.25">
      <c r="D340" s="11">
        <v>324</v>
      </c>
      <c r="E340" s="72">
        <v>226.06567291344538</v>
      </c>
      <c r="F340" s="72">
        <v>201.58663443170587</v>
      </c>
      <c r="G340" s="73"/>
      <c r="H340" s="74">
        <v>5.8254073798007173</v>
      </c>
      <c r="I340" s="74">
        <v>5.8425326728106919</v>
      </c>
      <c r="J340" s="73"/>
      <c r="K340" s="72">
        <v>242.41166472250967</v>
      </c>
      <c r="L340" s="72">
        <v>217.36722985756407</v>
      </c>
      <c r="M340" s="73"/>
      <c r="N340" s="74">
        <v>6.6660118672702477</v>
      </c>
      <c r="O340" s="74">
        <v>6.6809308602306468</v>
      </c>
      <c r="P340" s="73"/>
      <c r="Q340" s="72">
        <v>3346.6295742458933</v>
      </c>
      <c r="R340" s="72">
        <v>1646.6811207818334</v>
      </c>
      <c r="S340" s="73"/>
      <c r="T340" s="74">
        <v>4.8232592888565975</v>
      </c>
      <c r="U340" s="74">
        <v>4.9109503611422216</v>
      </c>
      <c r="V340" s="73"/>
      <c r="W340" s="72">
        <v>14587.096265469567</v>
      </c>
      <c r="X340" s="72">
        <v>14510.54979686248</v>
      </c>
      <c r="Y340" s="73"/>
      <c r="Z340" s="74">
        <v>3.0895493637912317</v>
      </c>
      <c r="AA340" s="74">
        <v>3.1276733980256308</v>
      </c>
      <c r="AB340" s="73"/>
      <c r="AC340" s="72">
        <v>49031.257159099441</v>
      </c>
      <c r="AD340" s="72">
        <v>48928.3838991468</v>
      </c>
      <c r="AE340" s="73"/>
      <c r="AF340" s="74">
        <v>4.6990430574211333</v>
      </c>
      <c r="AG340" s="74">
        <v>4.7779499981263358</v>
      </c>
      <c r="AH340" s="73"/>
      <c r="AI340" s="72">
        <v>2632490.0365307024</v>
      </c>
      <c r="AJ340" s="72">
        <v>0</v>
      </c>
      <c r="AK340" s="73"/>
      <c r="AL340" s="74">
        <v>-1841.6639711995472</v>
      </c>
      <c r="AM340" s="74">
        <v>0</v>
      </c>
      <c r="AN340" s="73"/>
      <c r="AO340" s="72">
        <v>172996.42808131565</v>
      </c>
      <c r="AP340" s="72">
        <v>0</v>
      </c>
      <c r="AQ340" s="73"/>
      <c r="AR340" s="74">
        <v>-103.05413185153647</v>
      </c>
      <c r="AS340" s="74">
        <v>0</v>
      </c>
      <c r="AT340" s="73"/>
      <c r="AU340" s="72">
        <v>40023284.381043412</v>
      </c>
      <c r="AV340" s="72">
        <v>0</v>
      </c>
      <c r="AW340" s="73"/>
      <c r="AX340" s="74">
        <v>-2064.5830269819826</v>
      </c>
      <c r="AY340" s="74">
        <v>0</v>
      </c>
      <c r="AZ340" s="73"/>
      <c r="BA340" s="72">
        <v>688166.50273610768</v>
      </c>
      <c r="BB340" s="72">
        <v>0</v>
      </c>
      <c r="BC340" s="73"/>
      <c r="BD340" s="74">
        <v>-342.74191594580378</v>
      </c>
      <c r="BE340" s="74">
        <v>0</v>
      </c>
      <c r="BF340" s="73"/>
      <c r="BG340" s="72">
        <v>1668561.1994600021</v>
      </c>
      <c r="BH340" s="72">
        <v>0</v>
      </c>
      <c r="BI340" s="73"/>
      <c r="BJ340" s="74">
        <v>-1279.8375368818265</v>
      </c>
      <c r="BK340" s="74">
        <v>0</v>
      </c>
      <c r="BL340" s="73"/>
      <c r="BM340" s="72">
        <v>45185498.547851533</v>
      </c>
      <c r="BN340" s="72">
        <v>0</v>
      </c>
      <c r="BO340" s="73"/>
      <c r="BP340" s="74">
        <v>-5631.8805828606964</v>
      </c>
      <c r="BQ340" s="74">
        <v>0</v>
      </c>
      <c r="BS340" s="109">
        <f t="shared" si="159"/>
        <v>116282.08192310089</v>
      </c>
      <c r="BT340" s="109">
        <f t="shared" si="160"/>
        <v>116649.06682178214</v>
      </c>
      <c r="BV340" s="58">
        <f t="array" ref="BV340">SUM(IF(BS340:BT340&gt;=BS340, 1))</f>
        <v>2</v>
      </c>
      <c r="BW340" s="58">
        <f t="array" ref="BW340">SUM(IF(BS340:BT340&gt;=BT340, 1))</f>
        <v>1</v>
      </c>
      <c r="BY340" s="109">
        <f t="shared" si="161"/>
        <v>133077.82568068244</v>
      </c>
      <c r="BZ340" s="109">
        <f t="shared" si="162"/>
        <v>133401.24997475537</v>
      </c>
      <c r="CB340" s="58">
        <f t="array" ref="CB340">SUM(IF(BY340:BZ340&gt;=BY340, 1))</f>
        <v>2</v>
      </c>
      <c r="CC340" s="58">
        <f t="array" ref="CC340">SUM(IF(BY340:BZ340&gt;=BZ340, 1))</f>
        <v>1</v>
      </c>
      <c r="CE340" s="109">
        <f t="shared" si="163"/>
        <v>93118.556202886059</v>
      </c>
      <c r="CF340" s="109">
        <f t="shared" si="164"/>
        <v>96572.326102062594</v>
      </c>
      <c r="CH340" s="58">
        <f t="array" ref="CH340">SUM(IF(CE340:CF340&gt;=CE340, 1))</f>
        <v>2</v>
      </c>
      <c r="CI340" s="58">
        <f t="array" ref="CI340">SUM(IF(CE340:CF340&gt;=CF340, 1))</f>
        <v>1</v>
      </c>
      <c r="CK340" s="109">
        <f t="shared" si="165"/>
        <v>47203.891010355066</v>
      </c>
      <c r="CL340" s="109">
        <f t="shared" si="166"/>
        <v>48042.918163650131</v>
      </c>
      <c r="CN340" s="58">
        <f t="array" ref="CN340">SUM(IF(CK340:CL340&gt;=CK340, 1))</f>
        <v>2</v>
      </c>
      <c r="CO340" s="58">
        <f t="array" ref="CO340">SUM(IF(CK340:CL340&gt;=CL340, 1))</f>
        <v>1</v>
      </c>
      <c r="CQ340" s="109" cm="1">
        <f t="array" ref="CQ340">AF340*WTP-AC340</f>
        <v>44949.60398932323</v>
      </c>
      <c r="CR340" s="109">
        <f t="shared" si="167"/>
        <v>46630.616063379923</v>
      </c>
      <c r="CT340" s="58">
        <f t="array" ref="CT340">SUM(IF(CQ340:CR340&gt;=CQ340, 1))</f>
        <v>2</v>
      </c>
      <c r="CU340" s="58">
        <f t="array" ref="CU340">SUM(IF(CQ340:CR340&gt;=CR340, 1))</f>
        <v>1</v>
      </c>
      <c r="CW340" s="109">
        <f t="shared" si="168"/>
        <v>-39465769.460521646</v>
      </c>
      <c r="CX340" s="109">
        <f t="shared" si="169"/>
        <v>0</v>
      </c>
      <c r="CZ340" s="58">
        <f t="array" ref="CZ340">SUM(IF(CW340:CX340&gt;=CW340, 1))</f>
        <v>2</v>
      </c>
      <c r="DA340" s="58">
        <f t="array" ref="DA340">SUM(IF(CW340:CX340&gt;=CX340, 1))</f>
        <v>1</v>
      </c>
      <c r="DC340" s="109">
        <f t="shared" si="170"/>
        <v>-2234079.065112045</v>
      </c>
      <c r="DD340" s="109">
        <f t="shared" si="171"/>
        <v>0</v>
      </c>
      <c r="DF340" s="58">
        <f t="array" ref="DF340">SUM(IF(DC340:DD340&gt;=DC340, 1))</f>
        <v>2</v>
      </c>
      <c r="DG340" s="58">
        <f t="array" ref="DG340">SUM(IF(DC340:DD340&gt;=DD340, 1))</f>
        <v>1</v>
      </c>
      <c r="DI340" s="109">
        <f t="shared" si="172"/>
        <v>-81314944.920683056</v>
      </c>
      <c r="DJ340" s="109">
        <f t="shared" si="173"/>
        <v>0</v>
      </c>
      <c r="DL340" s="58">
        <f t="array" ref="DL340">SUM(IF(DI340:DJ340&gt;=DI340, 1))</f>
        <v>2</v>
      </c>
      <c r="DM340" s="58">
        <f t="array" ref="DM340">SUM(IF(DI340:DJ340&gt;=DJ340, 1))</f>
        <v>1</v>
      </c>
      <c r="DO340" s="109">
        <f t="shared" si="174"/>
        <v>-7543004.8216521833</v>
      </c>
      <c r="DP340" s="109">
        <f t="shared" si="175"/>
        <v>0</v>
      </c>
      <c r="DR340" s="58">
        <f t="array" ref="DR340">SUM(IF(DO340:DP340&gt;=DO340, 1))</f>
        <v>2</v>
      </c>
      <c r="DS340" s="58">
        <f t="array" ref="DS340">SUM(IF(DO340:DP340&gt;=DP340, 1))</f>
        <v>1</v>
      </c>
      <c r="DU340" s="109">
        <f t="shared" si="176"/>
        <v>-27265311.937096532</v>
      </c>
      <c r="DV340" s="109">
        <f t="shared" si="177"/>
        <v>0</v>
      </c>
      <c r="DX340" s="58">
        <f t="array" ref="DX340">SUM(IF(DU340:DV340&gt;=DU340, 1))</f>
        <v>2</v>
      </c>
      <c r="DY340" s="58">
        <f t="array" ref="DY340">SUM(IF(DU340:DV340&gt;=DV340, 1))</f>
        <v>1</v>
      </c>
      <c r="EA340" s="109">
        <f t="shared" si="178"/>
        <v>-157823110.20506546</v>
      </c>
      <c r="EB340" s="109">
        <f t="shared" si="179"/>
        <v>0</v>
      </c>
      <c r="ED340" s="58">
        <f t="array" ref="ED340">SUM(IF(EA340:EB340&gt;=EA340, 1))</f>
        <v>2</v>
      </c>
      <c r="EE340" s="58">
        <f t="array" ref="EE340">SUM(IF(EA340:EB340&gt;=EB340, 1))</f>
        <v>1</v>
      </c>
    </row>
    <row r="341" spans="4:135" ht="12" customHeight="1" x14ac:dyDescent="0.25">
      <c r="D341" s="11">
        <v>325</v>
      </c>
      <c r="E341" s="72">
        <v>234.09248835751163</v>
      </c>
      <c r="F341" s="72">
        <v>202.2175392056192</v>
      </c>
      <c r="G341" s="73"/>
      <c r="H341" s="74">
        <v>5.7873239080388759</v>
      </c>
      <c r="I341" s="74">
        <v>5.8039447180220876</v>
      </c>
      <c r="J341" s="73"/>
      <c r="K341" s="72">
        <v>250.64440861300614</v>
      </c>
      <c r="L341" s="72">
        <v>218.02520425911007</v>
      </c>
      <c r="M341" s="73"/>
      <c r="N341" s="74">
        <v>6.7227011402394758</v>
      </c>
      <c r="O341" s="74">
        <v>6.7371568829351061</v>
      </c>
      <c r="P341" s="73"/>
      <c r="Q341" s="72">
        <v>1693.5703753984537</v>
      </c>
      <c r="R341" s="72">
        <v>1007.6298855125671</v>
      </c>
      <c r="S341" s="73"/>
      <c r="T341" s="74">
        <v>4.7763651404368312</v>
      </c>
      <c r="U341" s="74">
        <v>4.9057727522590833</v>
      </c>
      <c r="V341" s="73"/>
      <c r="W341" s="72">
        <v>9569.6593134613322</v>
      </c>
      <c r="X341" s="72">
        <v>9559.1216610789088</v>
      </c>
      <c r="Y341" s="73"/>
      <c r="Z341" s="74">
        <v>2.926601552283949</v>
      </c>
      <c r="AA341" s="74">
        <v>2.9644887065172916</v>
      </c>
      <c r="AB341" s="73"/>
      <c r="AC341" s="72">
        <v>48593.333864299442</v>
      </c>
      <c r="AD341" s="72">
        <v>48267.472186876104</v>
      </c>
      <c r="AE341" s="73"/>
      <c r="AF341" s="74">
        <v>4.3029453784556608</v>
      </c>
      <c r="AG341" s="74">
        <v>4.3994558602938509</v>
      </c>
      <c r="AH341" s="73"/>
      <c r="AI341" s="72">
        <v>3386072.885700393</v>
      </c>
      <c r="AJ341" s="72">
        <v>0</v>
      </c>
      <c r="AK341" s="73"/>
      <c r="AL341" s="74">
        <v>-1765.6270996495127</v>
      </c>
      <c r="AM341" s="74">
        <v>0</v>
      </c>
      <c r="AN341" s="73"/>
      <c r="AO341" s="72">
        <v>226082.90829936927</v>
      </c>
      <c r="AP341" s="72">
        <v>0</v>
      </c>
      <c r="AQ341" s="73"/>
      <c r="AR341" s="74">
        <v>-100.1923993852746</v>
      </c>
      <c r="AS341" s="74">
        <v>0</v>
      </c>
      <c r="AT341" s="73"/>
      <c r="AU341" s="72">
        <v>15819966.31606131</v>
      </c>
      <c r="AV341" s="72">
        <v>0</v>
      </c>
      <c r="AW341" s="73"/>
      <c r="AX341" s="74">
        <v>-2984.5505408356071</v>
      </c>
      <c r="AY341" s="74">
        <v>0</v>
      </c>
      <c r="AZ341" s="73"/>
      <c r="BA341" s="72">
        <v>90374.617107025682</v>
      </c>
      <c r="BB341" s="72">
        <v>0</v>
      </c>
      <c r="BC341" s="73"/>
      <c r="BD341" s="74">
        <v>-324.93357465694982</v>
      </c>
      <c r="BE341" s="74">
        <v>0</v>
      </c>
      <c r="BF341" s="73"/>
      <c r="BG341" s="72">
        <v>5279823.3064787397</v>
      </c>
      <c r="BH341" s="72">
        <v>0</v>
      </c>
      <c r="BI341" s="73"/>
      <c r="BJ341" s="74">
        <v>-1563.7257358949423</v>
      </c>
      <c r="BK341" s="74">
        <v>0</v>
      </c>
      <c r="BL341" s="73"/>
      <c r="BM341" s="72">
        <v>24802320.033646837</v>
      </c>
      <c r="BN341" s="72">
        <v>0</v>
      </c>
      <c r="BO341" s="73"/>
      <c r="BP341" s="74">
        <v>-6739.0293504222864</v>
      </c>
      <c r="BQ341" s="74">
        <v>0</v>
      </c>
      <c r="BS341" s="109">
        <f t="shared" si="159"/>
        <v>115512.38567242002</v>
      </c>
      <c r="BT341" s="109">
        <f t="shared" si="160"/>
        <v>115876.67682123613</v>
      </c>
      <c r="BV341" s="58">
        <f t="array" ref="BV341">SUM(IF(BS341:BT341&gt;=BS341, 1))</f>
        <v>2</v>
      </c>
      <c r="BW341" s="58">
        <f t="array" ref="BW341">SUM(IF(BS341:BT341&gt;=BT341, 1))</f>
        <v>1</v>
      </c>
      <c r="BY341" s="109">
        <f t="shared" si="161"/>
        <v>134203.3783961765</v>
      </c>
      <c r="BZ341" s="109">
        <f t="shared" si="162"/>
        <v>134525.11245444301</v>
      </c>
      <c r="CB341" s="58">
        <f t="array" ref="CB341">SUM(IF(BY341:BZ341&gt;=BY341, 1))</f>
        <v>2</v>
      </c>
      <c r="CC341" s="58">
        <f t="array" ref="CC341">SUM(IF(BY341:BZ341&gt;=BZ341, 1))</f>
        <v>1</v>
      </c>
      <c r="CE341" s="109">
        <f t="shared" si="163"/>
        <v>93833.732433338169</v>
      </c>
      <c r="CF341" s="109">
        <f t="shared" si="164"/>
        <v>97107.825159669097</v>
      </c>
      <c r="CH341" s="58">
        <f t="array" ref="CH341">SUM(IF(CE341:CF341&gt;=CE341, 1))</f>
        <v>2</v>
      </c>
      <c r="CI341" s="58">
        <f t="array" ref="CI341">SUM(IF(CE341:CF341&gt;=CF341, 1))</f>
        <v>1</v>
      </c>
      <c r="CK341" s="109">
        <f t="shared" si="165"/>
        <v>48962.371732217653</v>
      </c>
      <c r="CL341" s="109">
        <f t="shared" si="166"/>
        <v>49730.652469266919</v>
      </c>
      <c r="CN341" s="58">
        <f t="array" ref="CN341">SUM(IF(CK341:CL341&gt;=CK341, 1))</f>
        <v>2</v>
      </c>
      <c r="CO341" s="58">
        <f t="array" ref="CO341">SUM(IF(CK341:CL341&gt;=CL341, 1))</f>
        <v>1</v>
      </c>
      <c r="CQ341" s="109" cm="1">
        <f t="array" ref="CQ341">AF341*WTP-AC341</f>
        <v>37465.573704813774</v>
      </c>
      <c r="CR341" s="109">
        <f t="shared" si="167"/>
        <v>39721.645019000913</v>
      </c>
      <c r="CT341" s="58">
        <f t="array" ref="CT341">SUM(IF(CQ341:CR341&gt;=CQ341, 1))</f>
        <v>2</v>
      </c>
      <c r="CU341" s="58">
        <f t="array" ref="CU341">SUM(IF(CQ341:CR341&gt;=CR341, 1))</f>
        <v>1</v>
      </c>
      <c r="CW341" s="109">
        <f t="shared" si="168"/>
        <v>-38698614.878690645</v>
      </c>
      <c r="CX341" s="109">
        <f t="shared" si="169"/>
        <v>0</v>
      </c>
      <c r="CZ341" s="58">
        <f t="array" ref="CZ341">SUM(IF(CW341:CX341&gt;=CW341, 1))</f>
        <v>2</v>
      </c>
      <c r="DA341" s="58">
        <f t="array" ref="DA341">SUM(IF(CW341:CX341&gt;=CX341, 1))</f>
        <v>1</v>
      </c>
      <c r="DC341" s="109">
        <f t="shared" si="170"/>
        <v>-2229930.8960048612</v>
      </c>
      <c r="DD341" s="109">
        <f t="shared" si="171"/>
        <v>0</v>
      </c>
      <c r="DF341" s="58">
        <f t="array" ref="DF341">SUM(IF(DC341:DD341&gt;=DC341, 1))</f>
        <v>2</v>
      </c>
      <c r="DG341" s="58">
        <f t="array" ref="DG341">SUM(IF(DC341:DD341&gt;=DD341, 1))</f>
        <v>1</v>
      </c>
      <c r="DI341" s="109">
        <f t="shared" si="172"/>
        <v>-75510977.132773459</v>
      </c>
      <c r="DJ341" s="109">
        <f t="shared" si="173"/>
        <v>0</v>
      </c>
      <c r="DL341" s="58">
        <f t="array" ref="DL341">SUM(IF(DI341:DJ341&gt;=DI341, 1))</f>
        <v>2</v>
      </c>
      <c r="DM341" s="58">
        <f t="array" ref="DM341">SUM(IF(DI341:DJ341&gt;=DJ341, 1))</f>
        <v>1</v>
      </c>
      <c r="DO341" s="109">
        <f t="shared" si="174"/>
        <v>-6589046.1102460213</v>
      </c>
      <c r="DP341" s="109">
        <f t="shared" si="175"/>
        <v>0</v>
      </c>
      <c r="DR341" s="58">
        <f t="array" ref="DR341">SUM(IF(DO341:DP341&gt;=DO341, 1))</f>
        <v>2</v>
      </c>
      <c r="DS341" s="58">
        <f t="array" ref="DS341">SUM(IF(DO341:DP341&gt;=DP341, 1))</f>
        <v>1</v>
      </c>
      <c r="DU341" s="109">
        <f t="shared" si="176"/>
        <v>-36554338.024377584</v>
      </c>
      <c r="DV341" s="109">
        <f t="shared" si="177"/>
        <v>0</v>
      </c>
      <c r="DX341" s="58">
        <f t="array" ref="DX341">SUM(IF(DU341:DV341&gt;=DU341, 1))</f>
        <v>2</v>
      </c>
      <c r="DY341" s="58">
        <f t="array" ref="DY341">SUM(IF(DU341:DV341&gt;=DV341, 1))</f>
        <v>1</v>
      </c>
      <c r="EA341" s="109">
        <f t="shared" si="178"/>
        <v>-159582907.04209256</v>
      </c>
      <c r="EB341" s="109">
        <f t="shared" si="179"/>
        <v>0</v>
      </c>
      <c r="ED341" s="58">
        <f t="array" ref="ED341">SUM(IF(EA341:EB341&gt;=EA341, 1))</f>
        <v>2</v>
      </c>
      <c r="EE341" s="58">
        <f t="array" ref="EE341">SUM(IF(EA341:EB341&gt;=EB341, 1))</f>
        <v>1</v>
      </c>
    </row>
    <row r="342" spans="4:135" ht="12" customHeight="1" x14ac:dyDescent="0.25">
      <c r="D342" s="11">
        <v>326</v>
      </c>
      <c r="E342" s="72">
        <v>194.90301805051789</v>
      </c>
      <c r="F342" s="72">
        <v>177.13466167664058</v>
      </c>
      <c r="G342" s="73"/>
      <c r="H342" s="74">
        <v>5.7819429499110671</v>
      </c>
      <c r="I342" s="74">
        <v>5.7976743719699426</v>
      </c>
      <c r="J342" s="73"/>
      <c r="K342" s="72">
        <v>209.18405911445899</v>
      </c>
      <c r="L342" s="72">
        <v>190.97996872679772</v>
      </c>
      <c r="M342" s="73"/>
      <c r="N342" s="74">
        <v>6.7241321809012717</v>
      </c>
      <c r="O342" s="74">
        <v>6.7376041266011777</v>
      </c>
      <c r="P342" s="73"/>
      <c r="Q342" s="72">
        <v>2534.2484366622148</v>
      </c>
      <c r="R342" s="72">
        <v>1307.7147883919383</v>
      </c>
      <c r="S342" s="73"/>
      <c r="T342" s="74">
        <v>4.8985495980258031</v>
      </c>
      <c r="U342" s="74">
        <v>5.0390125593564372</v>
      </c>
      <c r="V342" s="73"/>
      <c r="W342" s="72">
        <v>10892.74545042144</v>
      </c>
      <c r="X342" s="72">
        <v>10906.913039083442</v>
      </c>
      <c r="Y342" s="73"/>
      <c r="Z342" s="74">
        <v>2.8731366734411985</v>
      </c>
      <c r="AA342" s="74">
        <v>2.9196623840490123</v>
      </c>
      <c r="AB342" s="73"/>
      <c r="AC342" s="72">
        <v>49843.981497320463</v>
      </c>
      <c r="AD342" s="72">
        <v>49742.245164817607</v>
      </c>
      <c r="AE342" s="73"/>
      <c r="AF342" s="74">
        <v>4.7019157356581172</v>
      </c>
      <c r="AG342" s="74">
        <v>4.8585239528637816</v>
      </c>
      <c r="AH342" s="73"/>
      <c r="AI342" s="72">
        <v>1912997.8776559213</v>
      </c>
      <c r="AJ342" s="72">
        <v>0</v>
      </c>
      <c r="AK342" s="73"/>
      <c r="AL342" s="74">
        <v>-1693.6950372845049</v>
      </c>
      <c r="AM342" s="74">
        <v>0</v>
      </c>
      <c r="AN342" s="73"/>
      <c r="AO342" s="72">
        <v>125509.75816819536</v>
      </c>
      <c r="AP342" s="72">
        <v>0</v>
      </c>
      <c r="AQ342" s="73"/>
      <c r="AR342" s="74">
        <v>-92.883555884578598</v>
      </c>
      <c r="AS342" s="74">
        <v>0</v>
      </c>
      <c r="AT342" s="73"/>
      <c r="AU342" s="72">
        <v>28602487.01459891</v>
      </c>
      <c r="AV342" s="72">
        <v>0</v>
      </c>
      <c r="AW342" s="73"/>
      <c r="AX342" s="74">
        <v>-3275.5644601820673</v>
      </c>
      <c r="AY342" s="74">
        <v>0</v>
      </c>
      <c r="AZ342" s="73"/>
      <c r="BA342" s="72">
        <v>-125213.07157961612</v>
      </c>
      <c r="BB342" s="72">
        <v>0</v>
      </c>
      <c r="BC342" s="73"/>
      <c r="BD342" s="74">
        <v>-411.19397743763426</v>
      </c>
      <c r="BE342" s="74">
        <v>0</v>
      </c>
      <c r="BF342" s="73"/>
      <c r="BG342" s="72">
        <v>1609830.0577743493</v>
      </c>
      <c r="BH342" s="72">
        <v>0</v>
      </c>
      <c r="BI342" s="73"/>
      <c r="BJ342" s="74">
        <v>-2478.0981302334071</v>
      </c>
      <c r="BK342" s="74">
        <v>0</v>
      </c>
      <c r="BL342" s="73"/>
      <c r="BM342" s="72">
        <v>32125611.636617761</v>
      </c>
      <c r="BN342" s="72">
        <v>0</v>
      </c>
      <c r="BO342" s="73"/>
      <c r="BP342" s="74">
        <v>-7951.4351610221911</v>
      </c>
      <c r="BQ342" s="74">
        <v>0</v>
      </c>
      <c r="BS342" s="109">
        <f t="shared" si="159"/>
        <v>115443.95598017082</v>
      </c>
      <c r="BT342" s="109">
        <f t="shared" si="160"/>
        <v>115776.35277772222</v>
      </c>
      <c r="BV342" s="58">
        <f t="array" ref="BV342">SUM(IF(BS342:BT342&gt;=BS342, 1))</f>
        <v>2</v>
      </c>
      <c r="BW342" s="58">
        <f t="array" ref="BW342">SUM(IF(BS342:BT342&gt;=BT342, 1))</f>
        <v>1</v>
      </c>
      <c r="BY342" s="109">
        <f t="shared" si="161"/>
        <v>134273.45955891098</v>
      </c>
      <c r="BZ342" s="109">
        <f t="shared" si="162"/>
        <v>134561.10256329674</v>
      </c>
      <c r="CB342" s="58">
        <f t="array" ref="CB342">SUM(IF(BY342:BZ342&gt;=BY342, 1))</f>
        <v>2</v>
      </c>
      <c r="CC342" s="58">
        <f t="array" ref="CC342">SUM(IF(BY342:BZ342&gt;=BZ342, 1))</f>
        <v>1</v>
      </c>
      <c r="CE342" s="109">
        <f t="shared" si="163"/>
        <v>95436.74352385386</v>
      </c>
      <c r="CF342" s="109">
        <f t="shared" si="164"/>
        <v>99472.536398736804</v>
      </c>
      <c r="CH342" s="58">
        <f t="array" ref="CH342">SUM(IF(CE342:CF342&gt;=CE342, 1))</f>
        <v>2</v>
      </c>
      <c r="CI342" s="58">
        <f t="array" ref="CI342">SUM(IF(CE342:CF342&gt;=CF342, 1))</f>
        <v>1</v>
      </c>
      <c r="CK342" s="109">
        <f t="shared" si="165"/>
        <v>46569.988018402531</v>
      </c>
      <c r="CL342" s="109">
        <f t="shared" si="166"/>
        <v>47486.334641896807</v>
      </c>
      <c r="CN342" s="58">
        <f t="array" ref="CN342">SUM(IF(CK342:CL342&gt;=CK342, 1))</f>
        <v>2</v>
      </c>
      <c r="CO342" s="58">
        <f t="array" ref="CO342">SUM(IF(CK342:CL342&gt;=CL342, 1))</f>
        <v>1</v>
      </c>
      <c r="CQ342" s="109" cm="1">
        <f t="array" ref="CQ342">AF342*WTP-AC342</f>
        <v>44194.333215841878</v>
      </c>
      <c r="CR342" s="109">
        <f t="shared" si="167"/>
        <v>47428.233892458025</v>
      </c>
      <c r="CT342" s="58">
        <f t="array" ref="CT342">SUM(IF(CQ342:CR342&gt;=CQ342, 1))</f>
        <v>2</v>
      </c>
      <c r="CU342" s="58">
        <f t="array" ref="CU342">SUM(IF(CQ342:CR342&gt;=CR342, 1))</f>
        <v>1</v>
      </c>
      <c r="CW342" s="109">
        <f t="shared" si="168"/>
        <v>-35786898.623346023</v>
      </c>
      <c r="CX342" s="109">
        <f t="shared" si="169"/>
        <v>0</v>
      </c>
      <c r="CZ342" s="58">
        <f t="array" ref="CZ342">SUM(IF(CW342:CX342&gt;=CW342, 1))</f>
        <v>2</v>
      </c>
      <c r="DA342" s="58">
        <f t="array" ref="DA342">SUM(IF(CW342:CX342&gt;=CX342, 1))</f>
        <v>1</v>
      </c>
      <c r="DC342" s="109">
        <f t="shared" si="170"/>
        <v>-1983180.8758597674</v>
      </c>
      <c r="DD342" s="109">
        <f t="shared" si="171"/>
        <v>0</v>
      </c>
      <c r="DF342" s="58">
        <f t="array" ref="DF342">SUM(IF(DC342:DD342&gt;=DC342, 1))</f>
        <v>2</v>
      </c>
      <c r="DG342" s="58">
        <f t="array" ref="DG342">SUM(IF(DC342:DD342&gt;=DD342, 1))</f>
        <v>1</v>
      </c>
      <c r="DI342" s="109">
        <f t="shared" si="172"/>
        <v>-94113776.218240261</v>
      </c>
      <c r="DJ342" s="109">
        <f t="shared" si="173"/>
        <v>0</v>
      </c>
      <c r="DL342" s="58">
        <f t="array" ref="DL342">SUM(IF(DI342:DJ342&gt;=DI342, 1))</f>
        <v>2</v>
      </c>
      <c r="DM342" s="58">
        <f t="array" ref="DM342">SUM(IF(DI342:DJ342&gt;=DJ342, 1))</f>
        <v>1</v>
      </c>
      <c r="DO342" s="109">
        <f t="shared" si="174"/>
        <v>-8098666.4771730686</v>
      </c>
      <c r="DP342" s="109">
        <f t="shared" si="175"/>
        <v>0</v>
      </c>
      <c r="DR342" s="58">
        <f t="array" ref="DR342">SUM(IF(DO342:DP342&gt;=DO342, 1))</f>
        <v>2</v>
      </c>
      <c r="DS342" s="58">
        <f t="array" ref="DS342">SUM(IF(DO342:DP342&gt;=DP342, 1))</f>
        <v>1</v>
      </c>
      <c r="DU342" s="109">
        <f t="shared" si="176"/>
        <v>-51171792.66244249</v>
      </c>
      <c r="DV342" s="109">
        <f t="shared" si="177"/>
        <v>0</v>
      </c>
      <c r="DX342" s="58">
        <f t="array" ref="DX342">SUM(IF(DU342:DV342&gt;=DU342, 1))</f>
        <v>2</v>
      </c>
      <c r="DY342" s="58">
        <f t="array" ref="DY342">SUM(IF(DU342:DV342&gt;=DV342, 1))</f>
        <v>1</v>
      </c>
      <c r="EA342" s="109">
        <f t="shared" si="178"/>
        <v>-191154314.85706156</v>
      </c>
      <c r="EB342" s="109">
        <f t="shared" si="179"/>
        <v>0</v>
      </c>
      <c r="ED342" s="58">
        <f t="array" ref="ED342">SUM(IF(EA342:EB342&gt;=EA342, 1))</f>
        <v>2</v>
      </c>
      <c r="EE342" s="58">
        <f t="array" ref="EE342">SUM(IF(EA342:EB342&gt;=EB342, 1))</f>
        <v>1</v>
      </c>
    </row>
    <row r="343" spans="4:135" ht="12" customHeight="1" x14ac:dyDescent="0.25">
      <c r="D343" s="11">
        <v>327</v>
      </c>
      <c r="E343" s="72">
        <v>211.35483593108785</v>
      </c>
      <c r="F343" s="72">
        <v>183.493771165776</v>
      </c>
      <c r="G343" s="73"/>
      <c r="H343" s="74">
        <v>5.888489743035211</v>
      </c>
      <c r="I343" s="74">
        <v>5.908329067996327</v>
      </c>
      <c r="J343" s="73"/>
      <c r="K343" s="72">
        <v>226.36811233034786</v>
      </c>
      <c r="L343" s="72">
        <v>197.86881156547614</v>
      </c>
      <c r="M343" s="73"/>
      <c r="N343" s="74">
        <v>6.7433558669132285</v>
      </c>
      <c r="O343" s="74">
        <v>6.7611691961768656</v>
      </c>
      <c r="P343" s="73"/>
      <c r="Q343" s="72">
        <v>1915.2686521130768</v>
      </c>
      <c r="R343" s="72">
        <v>1780.3190556830289</v>
      </c>
      <c r="S343" s="73"/>
      <c r="T343" s="74">
        <v>4.9131952565386436</v>
      </c>
      <c r="U343" s="74">
        <v>4.9336984062657132</v>
      </c>
      <c r="V343" s="73"/>
      <c r="W343" s="72">
        <v>9036.7399110240658</v>
      </c>
      <c r="X343" s="72">
        <v>9069.9874393635691</v>
      </c>
      <c r="Y343" s="73"/>
      <c r="Z343" s="74">
        <v>3.0146967776378069</v>
      </c>
      <c r="AA343" s="74">
        <v>3.0777755990246667</v>
      </c>
      <c r="AB343" s="73"/>
      <c r="AC343" s="72">
        <v>50611.03128289005</v>
      </c>
      <c r="AD343" s="72">
        <v>50174.328265471158</v>
      </c>
      <c r="AE343" s="73"/>
      <c r="AF343" s="74">
        <v>4.7589782838191281</v>
      </c>
      <c r="AG343" s="74">
        <v>4.9020460120953553</v>
      </c>
      <c r="AH343" s="73"/>
      <c r="AI343" s="72">
        <v>2990406.7747157733</v>
      </c>
      <c r="AJ343" s="72">
        <v>0</v>
      </c>
      <c r="AK343" s="73"/>
      <c r="AL343" s="74">
        <v>-2129.4107841626433</v>
      </c>
      <c r="AM343" s="74">
        <v>0</v>
      </c>
      <c r="AN343" s="73"/>
      <c r="AO343" s="72">
        <v>203098.19614199229</v>
      </c>
      <c r="AP343" s="72">
        <v>0</v>
      </c>
      <c r="AQ343" s="73"/>
      <c r="AR343" s="74">
        <v>-126.94539668101024</v>
      </c>
      <c r="AS343" s="74">
        <v>0</v>
      </c>
      <c r="AT343" s="73"/>
      <c r="AU343" s="72">
        <v>3033109.5796646406</v>
      </c>
      <c r="AV343" s="72">
        <v>0</v>
      </c>
      <c r="AW343" s="73"/>
      <c r="AX343" s="74">
        <v>-460.82612690664047</v>
      </c>
      <c r="AY343" s="74">
        <v>0</v>
      </c>
      <c r="AZ343" s="73"/>
      <c r="BA343" s="72">
        <v>-297857.23333081492</v>
      </c>
      <c r="BB343" s="72">
        <v>0</v>
      </c>
      <c r="BC343" s="73"/>
      <c r="BD343" s="74">
        <v>-565.10917227296591</v>
      </c>
      <c r="BE343" s="74">
        <v>0</v>
      </c>
      <c r="BF343" s="73"/>
      <c r="BG343" s="72">
        <v>6680334.1889301492</v>
      </c>
      <c r="BH343" s="72">
        <v>0</v>
      </c>
      <c r="BI343" s="73"/>
      <c r="BJ343" s="74">
        <v>-2188.5359120829944</v>
      </c>
      <c r="BK343" s="74">
        <v>0</v>
      </c>
      <c r="BL343" s="73"/>
      <c r="BM343" s="72">
        <v>12609091.50612174</v>
      </c>
      <c r="BN343" s="72">
        <v>0</v>
      </c>
      <c r="BO343" s="73"/>
      <c r="BP343" s="74">
        <v>-5470.8273921062546</v>
      </c>
      <c r="BQ343" s="74">
        <v>0</v>
      </c>
      <c r="BS343" s="109">
        <f t="shared" si="159"/>
        <v>117558.44002477314</v>
      </c>
      <c r="BT343" s="109">
        <f t="shared" si="160"/>
        <v>117983.08758876077</v>
      </c>
      <c r="BV343" s="58">
        <f t="array" ref="BV343">SUM(IF(BS343:BT343&gt;=BS343, 1))</f>
        <v>2</v>
      </c>
      <c r="BW343" s="58">
        <f t="array" ref="BW343">SUM(IF(BS343:BT343&gt;=BT343, 1))</f>
        <v>1</v>
      </c>
      <c r="BY343" s="109">
        <f t="shared" si="161"/>
        <v>134640.74922593421</v>
      </c>
      <c r="BZ343" s="109">
        <f t="shared" si="162"/>
        <v>135025.51511197182</v>
      </c>
      <c r="CB343" s="58">
        <f t="array" ref="CB343">SUM(IF(BY343:BZ343&gt;=BY343, 1))</f>
        <v>2</v>
      </c>
      <c r="CC343" s="58">
        <f t="array" ref="CC343">SUM(IF(BY343:BZ343&gt;=BZ343, 1))</f>
        <v>1</v>
      </c>
      <c r="CE343" s="109">
        <f t="shared" si="163"/>
        <v>96348.636478659784</v>
      </c>
      <c r="CF343" s="109">
        <f t="shared" si="164"/>
        <v>96893.649069631239</v>
      </c>
      <c r="CH343" s="58">
        <f t="array" ref="CH343">SUM(IF(CE343:CF343&gt;=CE343, 1))</f>
        <v>2</v>
      </c>
      <c r="CI343" s="58">
        <f t="array" ref="CI343">SUM(IF(CE343:CF343&gt;=CF343, 1))</f>
        <v>1</v>
      </c>
      <c r="CK343" s="109">
        <f t="shared" si="165"/>
        <v>51257.195641732069</v>
      </c>
      <c r="CL343" s="109">
        <f t="shared" si="166"/>
        <v>52485.524541129766</v>
      </c>
      <c r="CN343" s="58">
        <f t="array" ref="CN343">SUM(IF(CK343:CL343&gt;=CK343, 1))</f>
        <v>2</v>
      </c>
      <c r="CO343" s="58">
        <f t="array" ref="CO343">SUM(IF(CK343:CL343&gt;=CL343, 1))</f>
        <v>1</v>
      </c>
      <c r="CQ343" s="109" cm="1">
        <f t="array" ref="CQ343">AF343*WTP-AC343</f>
        <v>44568.534393492519</v>
      </c>
      <c r="CR343" s="109">
        <f t="shared" si="167"/>
        <v>47866.59197643595</v>
      </c>
      <c r="CT343" s="58">
        <f t="array" ref="CT343">SUM(IF(CQ343:CR343&gt;=CQ343, 1))</f>
        <v>2</v>
      </c>
      <c r="CU343" s="58">
        <f t="array" ref="CU343">SUM(IF(CQ343:CR343&gt;=CR343, 1))</f>
        <v>1</v>
      </c>
      <c r="CW343" s="109">
        <f t="shared" si="168"/>
        <v>-45578622.457968637</v>
      </c>
      <c r="CX343" s="109">
        <f t="shared" si="169"/>
        <v>0</v>
      </c>
      <c r="CZ343" s="58">
        <f t="array" ref="CZ343">SUM(IF(CW343:CX343&gt;=CW343, 1))</f>
        <v>2</v>
      </c>
      <c r="DA343" s="58">
        <f t="array" ref="DA343">SUM(IF(CW343:CX343&gt;=CX343, 1))</f>
        <v>1</v>
      </c>
      <c r="DC343" s="109">
        <f t="shared" si="170"/>
        <v>-2742006.1297621969</v>
      </c>
      <c r="DD343" s="109">
        <f t="shared" si="171"/>
        <v>0</v>
      </c>
      <c r="DF343" s="58">
        <f t="array" ref="DF343">SUM(IF(DC343:DD343&gt;=DC343, 1))</f>
        <v>2</v>
      </c>
      <c r="DG343" s="58">
        <f t="array" ref="DG343">SUM(IF(DC343:DD343&gt;=DD343, 1))</f>
        <v>1</v>
      </c>
      <c r="DI343" s="109">
        <f t="shared" si="172"/>
        <v>-12249632.117797449</v>
      </c>
      <c r="DJ343" s="109">
        <f t="shared" si="173"/>
        <v>0</v>
      </c>
      <c r="DL343" s="58">
        <f t="array" ref="DL343">SUM(IF(DI343:DJ343&gt;=DI343, 1))</f>
        <v>2</v>
      </c>
      <c r="DM343" s="58">
        <f t="array" ref="DM343">SUM(IF(DI343:DJ343&gt;=DJ343, 1))</f>
        <v>1</v>
      </c>
      <c r="DO343" s="109">
        <f t="shared" si="174"/>
        <v>-11004326.212128503</v>
      </c>
      <c r="DP343" s="109">
        <f t="shared" si="175"/>
        <v>0</v>
      </c>
      <c r="DR343" s="58">
        <f t="array" ref="DR343">SUM(IF(DO343:DP343&gt;=DO343, 1))</f>
        <v>2</v>
      </c>
      <c r="DS343" s="58">
        <f t="array" ref="DS343">SUM(IF(DO343:DP343&gt;=DP343, 1))</f>
        <v>1</v>
      </c>
      <c r="DU343" s="109">
        <f t="shared" si="176"/>
        <v>-50451052.430590034</v>
      </c>
      <c r="DV343" s="109">
        <f t="shared" si="177"/>
        <v>0</v>
      </c>
      <c r="DX343" s="58">
        <f t="array" ref="DX343">SUM(IF(DU343:DV343&gt;=DU343, 1))</f>
        <v>2</v>
      </c>
      <c r="DY343" s="58">
        <f t="array" ref="DY343">SUM(IF(DU343:DV343&gt;=DV343, 1))</f>
        <v>1</v>
      </c>
      <c r="EA343" s="109">
        <f t="shared" si="178"/>
        <v>-122025639.34824683</v>
      </c>
      <c r="EB343" s="109">
        <f t="shared" si="179"/>
        <v>0</v>
      </c>
      <c r="ED343" s="58">
        <f t="array" ref="ED343">SUM(IF(EA343:EB343&gt;=EA343, 1))</f>
        <v>2</v>
      </c>
      <c r="EE343" s="58">
        <f t="array" ref="EE343">SUM(IF(EA343:EB343&gt;=EB343, 1))</f>
        <v>1</v>
      </c>
    </row>
    <row r="344" spans="4:135" ht="12" customHeight="1" x14ac:dyDescent="0.25">
      <c r="D344" s="11">
        <v>328</v>
      </c>
      <c r="E344" s="72">
        <v>300.22810463504999</v>
      </c>
      <c r="F344" s="72">
        <v>265.60713489015842</v>
      </c>
      <c r="G344" s="73"/>
      <c r="H344" s="74">
        <v>5.8272380961633132</v>
      </c>
      <c r="I344" s="74">
        <v>5.844565492459795</v>
      </c>
      <c r="J344" s="73"/>
      <c r="K344" s="72">
        <v>321.8207051612884</v>
      </c>
      <c r="L344" s="72">
        <v>286.37361653789748</v>
      </c>
      <c r="M344" s="73"/>
      <c r="N344" s="74">
        <v>6.6426813227326562</v>
      </c>
      <c r="O344" s="74">
        <v>6.6576578675011966</v>
      </c>
      <c r="P344" s="73"/>
      <c r="Q344" s="72">
        <v>2415.7051872687953</v>
      </c>
      <c r="R344" s="72">
        <v>1473.148869931488</v>
      </c>
      <c r="S344" s="73"/>
      <c r="T344" s="74">
        <v>4.7807164481234485</v>
      </c>
      <c r="U344" s="74">
        <v>4.8609160394818902</v>
      </c>
      <c r="V344" s="73"/>
      <c r="W344" s="72">
        <v>8645.5566512969035</v>
      </c>
      <c r="X344" s="72">
        <v>8613.0405733062635</v>
      </c>
      <c r="Y344" s="73"/>
      <c r="Z344" s="74">
        <v>3.0386850637434901</v>
      </c>
      <c r="AA344" s="74">
        <v>3.0803894036854103</v>
      </c>
      <c r="AB344" s="73"/>
      <c r="AC344" s="72">
        <v>48367.566985517311</v>
      </c>
      <c r="AD344" s="72">
        <v>48420.695778810157</v>
      </c>
      <c r="AE344" s="73"/>
      <c r="AF344" s="74">
        <v>4.4528907347432813</v>
      </c>
      <c r="AG344" s="74">
        <v>4.5929433098529975</v>
      </c>
      <c r="AH344" s="73"/>
      <c r="AI344" s="72">
        <v>3750768.3613094711</v>
      </c>
      <c r="AJ344" s="72">
        <v>0</v>
      </c>
      <c r="AK344" s="73"/>
      <c r="AL344" s="74">
        <v>-1877.216331362416</v>
      </c>
      <c r="AM344" s="74">
        <v>0</v>
      </c>
      <c r="AN344" s="73"/>
      <c r="AO344" s="72">
        <v>243589.8445726748</v>
      </c>
      <c r="AP344" s="72">
        <v>0</v>
      </c>
      <c r="AQ344" s="73"/>
      <c r="AR344" s="74">
        <v>-102.91773891966731</v>
      </c>
      <c r="AS344" s="74">
        <v>0</v>
      </c>
      <c r="AT344" s="73"/>
      <c r="AU344" s="72">
        <v>21407315.538937863</v>
      </c>
      <c r="AV344" s="72">
        <v>0</v>
      </c>
      <c r="AW344" s="73"/>
      <c r="AX344" s="74">
        <v>-1821.4911159410681</v>
      </c>
      <c r="AY344" s="74">
        <v>0</v>
      </c>
      <c r="AZ344" s="73"/>
      <c r="BA344" s="72">
        <v>280369.9309170011</v>
      </c>
      <c r="BB344" s="72">
        <v>0</v>
      </c>
      <c r="BC344" s="73"/>
      <c r="BD344" s="74">
        <v>-359.59573328065824</v>
      </c>
      <c r="BE344" s="74">
        <v>0</v>
      </c>
      <c r="BF344" s="73"/>
      <c r="BG344" s="72">
        <v>-840262.22433136241</v>
      </c>
      <c r="BH344" s="72">
        <v>0</v>
      </c>
      <c r="BI344" s="73"/>
      <c r="BJ344" s="74">
        <v>-2215.0115030162174</v>
      </c>
      <c r="BK344" s="74">
        <v>0</v>
      </c>
      <c r="BL344" s="73"/>
      <c r="BM344" s="72">
        <v>24841781.451405648</v>
      </c>
      <c r="BN344" s="72">
        <v>0</v>
      </c>
      <c r="BO344" s="73"/>
      <c r="BP344" s="74">
        <v>-6376.2324225200264</v>
      </c>
      <c r="BQ344" s="74">
        <v>0</v>
      </c>
      <c r="BS344" s="109">
        <f t="shared" si="159"/>
        <v>116244.53381863121</v>
      </c>
      <c r="BT344" s="109">
        <f t="shared" si="160"/>
        <v>116625.70271430573</v>
      </c>
      <c r="BV344" s="58">
        <f t="array" ref="BV344">SUM(IF(BS344:BT344&gt;=BS344, 1))</f>
        <v>2</v>
      </c>
      <c r="BW344" s="58">
        <f t="array" ref="BW344">SUM(IF(BS344:BT344&gt;=BT344, 1))</f>
        <v>1</v>
      </c>
      <c r="BY344" s="109">
        <f t="shared" si="161"/>
        <v>132531.80574949185</v>
      </c>
      <c r="BZ344" s="109">
        <f t="shared" si="162"/>
        <v>132866.78373348602</v>
      </c>
      <c r="CB344" s="58">
        <f t="array" ref="CB344">SUM(IF(BY344:BZ344&gt;=BY344, 1))</f>
        <v>2</v>
      </c>
      <c r="CC344" s="58">
        <f t="array" ref="CC344">SUM(IF(BY344:BZ344&gt;=BZ344, 1))</f>
        <v>1</v>
      </c>
      <c r="CE344" s="109">
        <f t="shared" si="163"/>
        <v>93198.623775200162</v>
      </c>
      <c r="CF344" s="109">
        <f t="shared" si="164"/>
        <v>95745.171919706307</v>
      </c>
      <c r="CH344" s="58">
        <f t="array" ref="CH344">SUM(IF(CE344:CF344&gt;=CE344, 1))</f>
        <v>2</v>
      </c>
      <c r="CI344" s="58">
        <f t="array" ref="CI344">SUM(IF(CE344:CF344&gt;=CF344, 1))</f>
        <v>1</v>
      </c>
      <c r="CK344" s="109">
        <f t="shared" si="165"/>
        <v>52128.144623572902</v>
      </c>
      <c r="CL344" s="109">
        <f t="shared" si="166"/>
        <v>52994.747500401943</v>
      </c>
      <c r="CN344" s="58">
        <f t="array" ref="CN344">SUM(IF(CK344:CL344&gt;=CK344, 1))</f>
        <v>2</v>
      </c>
      <c r="CO344" s="58">
        <f t="array" ref="CO344">SUM(IF(CK344:CL344&gt;=CL344, 1))</f>
        <v>1</v>
      </c>
      <c r="CQ344" s="109" cm="1">
        <f t="array" ref="CQ344">AF344*WTP-AC344</f>
        <v>40690.24770934831</v>
      </c>
      <c r="CR344" s="109">
        <f t="shared" si="167"/>
        <v>43438.170418249792</v>
      </c>
      <c r="CT344" s="58">
        <f t="array" ref="CT344">SUM(IF(CQ344:CR344&gt;=CQ344, 1))</f>
        <v>2</v>
      </c>
      <c r="CU344" s="58">
        <f t="array" ref="CU344">SUM(IF(CQ344:CR344&gt;=CR344, 1))</f>
        <v>1</v>
      </c>
      <c r="CW344" s="109">
        <f t="shared" si="168"/>
        <v>-41295094.988557786</v>
      </c>
      <c r="CX344" s="109">
        <f t="shared" si="169"/>
        <v>0</v>
      </c>
      <c r="CZ344" s="58">
        <f t="array" ref="CZ344">SUM(IF(CW344:CX344&gt;=CW344, 1))</f>
        <v>2</v>
      </c>
      <c r="DA344" s="58">
        <f t="array" ref="DA344">SUM(IF(CW344:CX344&gt;=CX344, 1))</f>
        <v>1</v>
      </c>
      <c r="DC344" s="109">
        <f t="shared" si="170"/>
        <v>-2301944.6229660213</v>
      </c>
      <c r="DD344" s="109">
        <f t="shared" si="171"/>
        <v>0</v>
      </c>
      <c r="DF344" s="58">
        <f t="array" ref="DF344">SUM(IF(DC344:DD344&gt;=DC344, 1))</f>
        <v>2</v>
      </c>
      <c r="DG344" s="58">
        <f t="array" ref="DG344">SUM(IF(DC344:DD344&gt;=DD344, 1))</f>
        <v>1</v>
      </c>
      <c r="DI344" s="109">
        <f t="shared" si="172"/>
        <v>-57837137.857759222</v>
      </c>
      <c r="DJ344" s="109">
        <f t="shared" si="173"/>
        <v>0</v>
      </c>
      <c r="DL344" s="58">
        <f t="array" ref="DL344">SUM(IF(DI344:DJ344&gt;=DI344, 1))</f>
        <v>2</v>
      </c>
      <c r="DM344" s="58">
        <f t="array" ref="DM344">SUM(IF(DI344:DJ344&gt;=DJ344, 1))</f>
        <v>1</v>
      </c>
      <c r="DO344" s="109">
        <f t="shared" si="174"/>
        <v>-7472284.5965301665</v>
      </c>
      <c r="DP344" s="109">
        <f t="shared" si="175"/>
        <v>0</v>
      </c>
      <c r="DR344" s="58">
        <f t="array" ref="DR344">SUM(IF(DO344:DP344&gt;=DO344, 1))</f>
        <v>2</v>
      </c>
      <c r="DS344" s="58">
        <f t="array" ref="DS344">SUM(IF(DO344:DP344&gt;=DP344, 1))</f>
        <v>1</v>
      </c>
      <c r="DU344" s="109">
        <f t="shared" si="176"/>
        <v>-43459967.835992984</v>
      </c>
      <c r="DV344" s="109">
        <f t="shared" si="177"/>
        <v>0</v>
      </c>
      <c r="DX344" s="58">
        <f t="array" ref="DX344">SUM(IF(DU344:DV344&gt;=DU344, 1))</f>
        <v>2</v>
      </c>
      <c r="DY344" s="58">
        <f t="array" ref="DY344">SUM(IF(DU344:DV344&gt;=DV344, 1))</f>
        <v>1</v>
      </c>
      <c r="EA344" s="109">
        <f t="shared" si="178"/>
        <v>-152366429.90180618</v>
      </c>
      <c r="EB344" s="109">
        <f t="shared" si="179"/>
        <v>0</v>
      </c>
      <c r="ED344" s="58">
        <f t="array" ref="ED344">SUM(IF(EA344:EB344&gt;=EA344, 1))</f>
        <v>2</v>
      </c>
      <c r="EE344" s="58">
        <f t="array" ref="EE344">SUM(IF(EA344:EB344&gt;=EB344, 1))</f>
        <v>1</v>
      </c>
    </row>
    <row r="345" spans="4:135" ht="12" customHeight="1" x14ac:dyDescent="0.25">
      <c r="D345" s="11">
        <v>329</v>
      </c>
      <c r="E345" s="72">
        <v>309.78387805575403</v>
      </c>
      <c r="F345" s="72">
        <v>291.12800560488449</v>
      </c>
      <c r="G345" s="73"/>
      <c r="H345" s="74">
        <v>5.8373031040353336</v>
      </c>
      <c r="I345" s="74">
        <v>5.8549865210774907</v>
      </c>
      <c r="J345" s="73"/>
      <c r="K345" s="72">
        <v>333.04987035942702</v>
      </c>
      <c r="L345" s="72">
        <v>313.93096270600824</v>
      </c>
      <c r="M345" s="73"/>
      <c r="N345" s="74">
        <v>6.6375769573246668</v>
      </c>
      <c r="O345" s="74">
        <v>6.653112432780433</v>
      </c>
      <c r="P345" s="73"/>
      <c r="Q345" s="72">
        <v>1822.6460264773852</v>
      </c>
      <c r="R345" s="72">
        <v>1082.4842946880638</v>
      </c>
      <c r="S345" s="73"/>
      <c r="T345" s="74">
        <v>4.8423570683098704</v>
      </c>
      <c r="U345" s="74">
        <v>4.9394533235852842</v>
      </c>
      <c r="V345" s="73"/>
      <c r="W345" s="72">
        <v>10920.682633883094</v>
      </c>
      <c r="X345" s="72">
        <v>10916.285026314099</v>
      </c>
      <c r="Y345" s="73"/>
      <c r="Z345" s="74">
        <v>3.112670916332644</v>
      </c>
      <c r="AA345" s="74">
        <v>3.1612771750809685</v>
      </c>
      <c r="AB345" s="73"/>
      <c r="AC345" s="72">
        <v>50410.256568876175</v>
      </c>
      <c r="AD345" s="72">
        <v>50288.163185436613</v>
      </c>
      <c r="AE345" s="73"/>
      <c r="AF345" s="74">
        <v>3.8346724036340918</v>
      </c>
      <c r="AG345" s="74">
        <v>3.8824538904118957</v>
      </c>
      <c r="AH345" s="73"/>
      <c r="AI345" s="72">
        <v>1991386.9350308806</v>
      </c>
      <c r="AJ345" s="72">
        <v>0</v>
      </c>
      <c r="AK345" s="73"/>
      <c r="AL345" s="74">
        <v>-1887.5839635585005</v>
      </c>
      <c r="AM345" s="74">
        <v>0</v>
      </c>
      <c r="AN345" s="73"/>
      <c r="AO345" s="72">
        <v>133217.15279242201</v>
      </c>
      <c r="AP345" s="72">
        <v>0</v>
      </c>
      <c r="AQ345" s="73"/>
      <c r="AR345" s="74">
        <v>-108.24843369770902</v>
      </c>
      <c r="AS345" s="74">
        <v>0</v>
      </c>
      <c r="AT345" s="73"/>
      <c r="AU345" s="72">
        <v>17295046.171897013</v>
      </c>
      <c r="AV345" s="72">
        <v>0</v>
      </c>
      <c r="AW345" s="73"/>
      <c r="AX345" s="74">
        <v>-2268.8071349581323</v>
      </c>
      <c r="AY345" s="74">
        <v>0</v>
      </c>
      <c r="AZ345" s="73"/>
      <c r="BA345" s="72">
        <v>39479.647136335167</v>
      </c>
      <c r="BB345" s="72">
        <v>0</v>
      </c>
      <c r="BC345" s="73"/>
      <c r="BD345" s="74">
        <v>-436.36407157624149</v>
      </c>
      <c r="BE345" s="74">
        <v>0</v>
      </c>
      <c r="BF345" s="73"/>
      <c r="BG345" s="72">
        <v>1945708.0357281407</v>
      </c>
      <c r="BH345" s="72">
        <v>0</v>
      </c>
      <c r="BI345" s="73"/>
      <c r="BJ345" s="74">
        <v>-761.4566831021765</v>
      </c>
      <c r="BK345" s="74">
        <v>0</v>
      </c>
      <c r="BL345" s="73"/>
      <c r="BM345" s="72">
        <v>21404837.94258479</v>
      </c>
      <c r="BN345" s="72">
        <v>0</v>
      </c>
      <c r="BO345" s="73"/>
      <c r="BP345" s="74">
        <v>-5462.4602868927595</v>
      </c>
      <c r="BQ345" s="74">
        <v>0</v>
      </c>
      <c r="BS345" s="109">
        <f t="shared" si="159"/>
        <v>116436.27820265092</v>
      </c>
      <c r="BT345" s="109">
        <f t="shared" si="160"/>
        <v>116808.60241594493</v>
      </c>
      <c r="BV345" s="58">
        <f t="array" ref="BV345">SUM(IF(BS345:BT345&gt;=BS345, 1))</f>
        <v>2</v>
      </c>
      <c r="BW345" s="58">
        <f t="array" ref="BW345">SUM(IF(BS345:BT345&gt;=BT345, 1))</f>
        <v>1</v>
      </c>
      <c r="BY345" s="109">
        <f t="shared" si="161"/>
        <v>132418.48927613391</v>
      </c>
      <c r="BZ345" s="109">
        <f t="shared" si="162"/>
        <v>132748.31769290264</v>
      </c>
      <c r="CB345" s="58">
        <f t="array" ref="CB345">SUM(IF(BY345:BZ345&gt;=BY345, 1))</f>
        <v>2</v>
      </c>
      <c r="CC345" s="58">
        <f t="array" ref="CC345">SUM(IF(BY345:BZ345&gt;=BZ345, 1))</f>
        <v>1</v>
      </c>
      <c r="CE345" s="109">
        <f t="shared" si="163"/>
        <v>95024.495339720015</v>
      </c>
      <c r="CF345" s="109">
        <f t="shared" si="164"/>
        <v>97706.582177017612</v>
      </c>
      <c r="CH345" s="58">
        <f t="array" ref="CH345">SUM(IF(CE345:CF345&gt;=CE345, 1))</f>
        <v>2</v>
      </c>
      <c r="CI345" s="58">
        <f t="array" ref="CI345">SUM(IF(CE345:CF345&gt;=CF345, 1))</f>
        <v>1</v>
      </c>
      <c r="CK345" s="109">
        <f t="shared" si="165"/>
        <v>51332.735692769784</v>
      </c>
      <c r="CL345" s="109">
        <f t="shared" si="166"/>
        <v>52309.258475305272</v>
      </c>
      <c r="CN345" s="58">
        <f t="array" ref="CN345">SUM(IF(CK345:CL345&gt;=CK345, 1))</f>
        <v>2</v>
      </c>
      <c r="CO345" s="58">
        <f t="array" ref="CO345">SUM(IF(CK345:CL345&gt;=CL345, 1))</f>
        <v>1</v>
      </c>
      <c r="CQ345" s="109" cm="1">
        <f t="array" ref="CQ345">AF345*WTP-AC345</f>
        <v>26283.191503805654</v>
      </c>
      <c r="CR345" s="109">
        <f t="shared" si="167"/>
        <v>27360.914622801298</v>
      </c>
      <c r="CT345" s="58">
        <f t="array" ref="CT345">SUM(IF(CQ345:CR345&gt;=CQ345, 1))</f>
        <v>2</v>
      </c>
      <c r="CU345" s="58">
        <f t="array" ref="CU345">SUM(IF(CQ345:CR345&gt;=CR345, 1))</f>
        <v>1</v>
      </c>
      <c r="CW345" s="109">
        <f t="shared" si="168"/>
        <v>-39743066.20620089</v>
      </c>
      <c r="CX345" s="109">
        <f t="shared" si="169"/>
        <v>0</v>
      </c>
      <c r="CZ345" s="58">
        <f t="array" ref="CZ345">SUM(IF(CW345:CX345&gt;=CW345, 1))</f>
        <v>2</v>
      </c>
      <c r="DA345" s="58">
        <f t="array" ref="DA345">SUM(IF(CW345:CX345&gt;=CX345, 1))</f>
        <v>1</v>
      </c>
      <c r="DC345" s="109">
        <f t="shared" si="170"/>
        <v>-2298185.8267466025</v>
      </c>
      <c r="DD345" s="109">
        <f t="shared" si="171"/>
        <v>0</v>
      </c>
      <c r="DF345" s="58">
        <f t="array" ref="DF345">SUM(IF(DC345:DD345&gt;=DC345, 1))</f>
        <v>2</v>
      </c>
      <c r="DG345" s="58">
        <f t="array" ref="DG345">SUM(IF(DC345:DD345&gt;=DD345, 1))</f>
        <v>1</v>
      </c>
      <c r="DI345" s="109">
        <f t="shared" si="172"/>
        <v>-62671188.871059656</v>
      </c>
      <c r="DJ345" s="109">
        <f t="shared" si="173"/>
        <v>0</v>
      </c>
      <c r="DL345" s="58">
        <f t="array" ref="DL345">SUM(IF(DI345:DJ345&gt;=DI345, 1))</f>
        <v>2</v>
      </c>
      <c r="DM345" s="58">
        <f t="array" ref="DM345">SUM(IF(DI345:DJ345&gt;=DJ345, 1))</f>
        <v>1</v>
      </c>
      <c r="DO345" s="109">
        <f t="shared" si="174"/>
        <v>-8766761.0786611643</v>
      </c>
      <c r="DP345" s="109">
        <f t="shared" si="175"/>
        <v>0</v>
      </c>
      <c r="DR345" s="58">
        <f t="array" ref="DR345">SUM(IF(DO345:DP345&gt;=DO345, 1))</f>
        <v>2</v>
      </c>
      <c r="DS345" s="58">
        <f t="array" ref="DS345">SUM(IF(DO345:DP345&gt;=DP345, 1))</f>
        <v>1</v>
      </c>
      <c r="DU345" s="109">
        <f t="shared" si="176"/>
        <v>-17174841.697771672</v>
      </c>
      <c r="DV345" s="109">
        <f t="shared" si="177"/>
        <v>0</v>
      </c>
      <c r="DX345" s="58">
        <f t="array" ref="DX345">SUM(IF(DU345:DV345&gt;=DU345, 1))</f>
        <v>2</v>
      </c>
      <c r="DY345" s="58">
        <f t="array" ref="DY345">SUM(IF(DU345:DV345&gt;=DV345, 1))</f>
        <v>1</v>
      </c>
      <c r="EA345" s="109">
        <f t="shared" si="178"/>
        <v>-130654043.68043998</v>
      </c>
      <c r="EB345" s="109">
        <f t="shared" si="179"/>
        <v>0</v>
      </c>
      <c r="ED345" s="58">
        <f t="array" ref="ED345">SUM(IF(EA345:EB345&gt;=EA345, 1))</f>
        <v>2</v>
      </c>
      <c r="EE345" s="58">
        <f t="array" ref="EE345">SUM(IF(EA345:EB345&gt;=EB345, 1))</f>
        <v>1</v>
      </c>
    </row>
    <row r="346" spans="4:135" ht="12" customHeight="1" x14ac:dyDescent="0.25">
      <c r="D346" s="11">
        <v>330</v>
      </c>
      <c r="E346" s="72">
        <v>257.39012086073382</v>
      </c>
      <c r="F346" s="72">
        <v>236.7886625483691</v>
      </c>
      <c r="G346" s="73"/>
      <c r="H346" s="74">
        <v>5.8679541478833199</v>
      </c>
      <c r="I346" s="74">
        <v>5.8841897283933964</v>
      </c>
      <c r="J346" s="73"/>
      <c r="K346" s="72">
        <v>276.47124246787189</v>
      </c>
      <c r="L346" s="72">
        <v>255.33274360297045</v>
      </c>
      <c r="M346" s="73"/>
      <c r="N346" s="74">
        <v>6.6604727522836544</v>
      </c>
      <c r="O346" s="74">
        <v>6.6741346949987728</v>
      </c>
      <c r="P346" s="73"/>
      <c r="Q346" s="72">
        <v>1711.9976504721915</v>
      </c>
      <c r="R346" s="72">
        <v>1379.4146655262514</v>
      </c>
      <c r="S346" s="73"/>
      <c r="T346" s="74">
        <v>4.8383433953719788</v>
      </c>
      <c r="U346" s="74">
        <v>4.8988572053470962</v>
      </c>
      <c r="V346" s="73"/>
      <c r="W346" s="72">
        <v>18991.516995244692</v>
      </c>
      <c r="X346" s="72">
        <v>18962.33867041015</v>
      </c>
      <c r="Y346" s="73"/>
      <c r="Z346" s="74">
        <v>2.9932669320220278</v>
      </c>
      <c r="AA346" s="74">
        <v>3.0546045375559667</v>
      </c>
      <c r="AB346" s="73"/>
      <c r="AC346" s="72">
        <v>50701.976646403207</v>
      </c>
      <c r="AD346" s="72">
        <v>50845.405224259659</v>
      </c>
      <c r="AE346" s="73"/>
      <c r="AF346" s="74">
        <v>4.5466072113401781</v>
      </c>
      <c r="AG346" s="74">
        <v>4.6922069467457819</v>
      </c>
      <c r="AH346" s="73"/>
      <c r="AI346" s="72">
        <v>2209067.5458546244</v>
      </c>
      <c r="AJ346" s="72">
        <v>0</v>
      </c>
      <c r="AK346" s="73"/>
      <c r="AL346" s="74">
        <v>-1740.9201547345695</v>
      </c>
      <c r="AM346" s="74">
        <v>0</v>
      </c>
      <c r="AN346" s="73"/>
      <c r="AO346" s="72">
        <v>144028.30384803144</v>
      </c>
      <c r="AP346" s="72">
        <v>0</v>
      </c>
      <c r="AQ346" s="73"/>
      <c r="AR346" s="74">
        <v>-93.086384662567596</v>
      </c>
      <c r="AS346" s="74">
        <v>0</v>
      </c>
      <c r="AT346" s="73"/>
      <c r="AU346" s="72">
        <v>7738563.0230528256</v>
      </c>
      <c r="AV346" s="72">
        <v>0</v>
      </c>
      <c r="AW346" s="73"/>
      <c r="AX346" s="74">
        <v>-1408.0393569550999</v>
      </c>
      <c r="AY346" s="74">
        <v>0</v>
      </c>
      <c r="AZ346" s="73"/>
      <c r="BA346" s="72">
        <v>262510.8053226741</v>
      </c>
      <c r="BB346" s="72">
        <v>0</v>
      </c>
      <c r="BC346" s="73"/>
      <c r="BD346" s="74">
        <v>-551.84059799818374</v>
      </c>
      <c r="BE346" s="74">
        <v>0</v>
      </c>
      <c r="BF346" s="73"/>
      <c r="BG346" s="72">
        <v>-2252611.4636615664</v>
      </c>
      <c r="BH346" s="72">
        <v>0</v>
      </c>
      <c r="BI346" s="73"/>
      <c r="BJ346" s="74">
        <v>-2286.7104867274584</v>
      </c>
      <c r="BK346" s="74">
        <v>0</v>
      </c>
      <c r="BL346" s="73"/>
      <c r="BM346" s="72">
        <v>8101558.2144165896</v>
      </c>
      <c r="BN346" s="72">
        <v>0</v>
      </c>
      <c r="BO346" s="73"/>
      <c r="BP346" s="74">
        <v>-6080.5969810778788</v>
      </c>
      <c r="BQ346" s="74">
        <v>0</v>
      </c>
      <c r="BS346" s="109">
        <f t="shared" si="159"/>
        <v>117101.69283680567</v>
      </c>
      <c r="BT346" s="109">
        <f t="shared" si="160"/>
        <v>117447.00590531956</v>
      </c>
      <c r="BV346" s="58">
        <f t="array" ref="BV346">SUM(IF(BS346:BT346&gt;=BS346, 1))</f>
        <v>2</v>
      </c>
      <c r="BW346" s="58">
        <f t="array" ref="BW346">SUM(IF(BS346:BT346&gt;=BT346, 1))</f>
        <v>1</v>
      </c>
      <c r="BY346" s="109">
        <f t="shared" si="161"/>
        <v>132932.98380320522</v>
      </c>
      <c r="BZ346" s="109">
        <f t="shared" si="162"/>
        <v>133227.36115637247</v>
      </c>
      <c r="CB346" s="58">
        <f t="array" ref="CB346">SUM(IF(BY346:BZ346&gt;=BY346, 1))</f>
        <v>2</v>
      </c>
      <c r="CC346" s="58">
        <f t="array" ref="CC346">SUM(IF(BY346:BZ346&gt;=BZ346, 1))</f>
        <v>1</v>
      </c>
      <c r="CE346" s="109">
        <f t="shared" si="163"/>
        <v>95054.870256967391</v>
      </c>
      <c r="CF346" s="109">
        <f t="shared" si="164"/>
        <v>96597.729441415679</v>
      </c>
      <c r="CH346" s="58">
        <f t="array" ref="CH346">SUM(IF(CE346:CF346&gt;=CE346, 1))</f>
        <v>2</v>
      </c>
      <c r="CI346" s="58">
        <f t="array" ref="CI346">SUM(IF(CE346:CF346&gt;=CF346, 1))</f>
        <v>1</v>
      </c>
      <c r="CK346" s="109">
        <f t="shared" si="165"/>
        <v>40873.821645195858</v>
      </c>
      <c r="CL346" s="109">
        <f t="shared" si="166"/>
        <v>42129.752080709186</v>
      </c>
      <c r="CN346" s="58">
        <f t="array" ref="CN346">SUM(IF(CK346:CL346&gt;=CK346, 1))</f>
        <v>2</v>
      </c>
      <c r="CO346" s="58">
        <f t="array" ref="CO346">SUM(IF(CK346:CL346&gt;=CL346, 1))</f>
        <v>1</v>
      </c>
      <c r="CQ346" s="109" cm="1">
        <f t="array" ref="CQ346">AF346*WTP-AC346</f>
        <v>40230.167580400353</v>
      </c>
      <c r="CR346" s="109">
        <f t="shared" si="167"/>
        <v>42998.733710655979</v>
      </c>
      <c r="CT346" s="58">
        <f t="array" ref="CT346">SUM(IF(CQ346:CR346&gt;=CQ346, 1))</f>
        <v>2</v>
      </c>
      <c r="CU346" s="58">
        <f t="array" ref="CU346">SUM(IF(CQ346:CR346&gt;=CR346, 1))</f>
        <v>1</v>
      </c>
      <c r="CW346" s="109">
        <f t="shared" si="168"/>
        <v>-37027470.640546009</v>
      </c>
      <c r="CX346" s="109">
        <f t="shared" si="169"/>
        <v>0</v>
      </c>
      <c r="CZ346" s="58">
        <f t="array" ref="CZ346">SUM(IF(CW346:CX346&gt;=CW346, 1))</f>
        <v>2</v>
      </c>
      <c r="DA346" s="58">
        <f t="array" ref="DA346">SUM(IF(CW346:CX346&gt;=CX346, 1))</f>
        <v>1</v>
      </c>
      <c r="DC346" s="109">
        <f t="shared" si="170"/>
        <v>-2005755.9970993833</v>
      </c>
      <c r="DD346" s="109">
        <f t="shared" si="171"/>
        <v>0</v>
      </c>
      <c r="DF346" s="58">
        <f t="array" ref="DF346">SUM(IF(DC346:DD346&gt;=DC346, 1))</f>
        <v>2</v>
      </c>
      <c r="DG346" s="58">
        <f t="array" ref="DG346">SUM(IF(DC346:DD346&gt;=DD346, 1))</f>
        <v>1</v>
      </c>
      <c r="DI346" s="109">
        <f t="shared" si="172"/>
        <v>-35899350.162154824</v>
      </c>
      <c r="DJ346" s="109">
        <f t="shared" si="173"/>
        <v>0</v>
      </c>
      <c r="DL346" s="58">
        <f t="array" ref="DL346">SUM(IF(DI346:DJ346&gt;=DI346, 1))</f>
        <v>2</v>
      </c>
      <c r="DM346" s="58">
        <f t="array" ref="DM346">SUM(IF(DI346:DJ346&gt;=DJ346, 1))</f>
        <v>1</v>
      </c>
      <c r="DO346" s="109">
        <f t="shared" si="174"/>
        <v>-11299322.765286349</v>
      </c>
      <c r="DP346" s="109">
        <f t="shared" si="175"/>
        <v>0</v>
      </c>
      <c r="DR346" s="58">
        <f t="array" ref="DR346">SUM(IF(DO346:DP346&gt;=DO346, 1))</f>
        <v>2</v>
      </c>
      <c r="DS346" s="58">
        <f t="array" ref="DS346">SUM(IF(DO346:DP346&gt;=DP346, 1))</f>
        <v>1</v>
      </c>
      <c r="DU346" s="109">
        <f t="shared" si="176"/>
        <v>-43481598.270887598</v>
      </c>
      <c r="DV346" s="109">
        <f t="shared" si="177"/>
        <v>0</v>
      </c>
      <c r="DX346" s="58">
        <f t="array" ref="DX346">SUM(IF(DU346:DV346&gt;=DU346, 1))</f>
        <v>2</v>
      </c>
      <c r="DY346" s="58">
        <f t="array" ref="DY346">SUM(IF(DU346:DV346&gt;=DV346, 1))</f>
        <v>1</v>
      </c>
      <c r="EA346" s="109">
        <f t="shared" si="178"/>
        <v>-129713497.83597417</v>
      </c>
      <c r="EB346" s="109">
        <f t="shared" si="179"/>
        <v>0</v>
      </c>
      <c r="ED346" s="58">
        <f t="array" ref="ED346">SUM(IF(EA346:EB346&gt;=EA346, 1))</f>
        <v>2</v>
      </c>
      <c r="EE346" s="58">
        <f t="array" ref="EE346">SUM(IF(EA346:EB346&gt;=EB346, 1))</f>
        <v>1</v>
      </c>
    </row>
    <row r="347" spans="4:135" ht="12" customHeight="1" x14ac:dyDescent="0.25">
      <c r="D347" s="11">
        <v>331</v>
      </c>
      <c r="E347" s="72">
        <v>227.85120091884414</v>
      </c>
      <c r="F347" s="72">
        <v>206.88194483388338</v>
      </c>
      <c r="G347" s="73"/>
      <c r="H347" s="74">
        <v>5.8646559654582422</v>
      </c>
      <c r="I347" s="74">
        <v>5.883297037767611</v>
      </c>
      <c r="J347" s="73"/>
      <c r="K347" s="72">
        <v>244.5679700504657</v>
      </c>
      <c r="L347" s="72">
        <v>223.0891475849281</v>
      </c>
      <c r="M347" s="73"/>
      <c r="N347" s="74">
        <v>6.696407560146258</v>
      </c>
      <c r="O347" s="74">
        <v>6.7130442032284501</v>
      </c>
      <c r="P347" s="73"/>
      <c r="Q347" s="72">
        <v>2422.4845331174943</v>
      </c>
      <c r="R347" s="72">
        <v>1718.9658529180044</v>
      </c>
      <c r="S347" s="73"/>
      <c r="T347" s="74">
        <v>5.0472847133951166</v>
      </c>
      <c r="U347" s="74">
        <v>5.1263792722521746</v>
      </c>
      <c r="V347" s="73"/>
      <c r="W347" s="72">
        <v>14341.512200420848</v>
      </c>
      <c r="X347" s="72">
        <v>14317.470049395195</v>
      </c>
      <c r="Y347" s="73"/>
      <c r="Z347" s="74">
        <v>3.1214723509283493</v>
      </c>
      <c r="AA347" s="74">
        <v>3.1565706644441658</v>
      </c>
      <c r="AB347" s="73"/>
      <c r="AC347" s="72">
        <v>48871.791002730868</v>
      </c>
      <c r="AD347" s="72">
        <v>49022.166848483765</v>
      </c>
      <c r="AE347" s="73"/>
      <c r="AF347" s="74">
        <v>4.5321942881372905</v>
      </c>
      <c r="AG347" s="74">
        <v>4.5548991507436023</v>
      </c>
      <c r="AH347" s="73"/>
      <c r="AI347" s="72">
        <v>2265122.2784663863</v>
      </c>
      <c r="AJ347" s="72">
        <v>0</v>
      </c>
      <c r="AK347" s="73"/>
      <c r="AL347" s="74">
        <v>-2013.6292871513774</v>
      </c>
      <c r="AM347" s="74">
        <v>0</v>
      </c>
      <c r="AN347" s="73"/>
      <c r="AO347" s="72">
        <v>142986.48901404947</v>
      </c>
      <c r="AP347" s="72">
        <v>0</v>
      </c>
      <c r="AQ347" s="73"/>
      <c r="AR347" s="74">
        <v>-110.75165722512402</v>
      </c>
      <c r="AS347" s="74">
        <v>0</v>
      </c>
      <c r="AT347" s="73"/>
      <c r="AU347" s="72">
        <v>16527640.195075823</v>
      </c>
      <c r="AV347" s="72">
        <v>0</v>
      </c>
      <c r="AW347" s="73"/>
      <c r="AX347" s="74">
        <v>-1858.154512410415</v>
      </c>
      <c r="AY347" s="74">
        <v>0</v>
      </c>
      <c r="AZ347" s="73"/>
      <c r="BA347" s="72">
        <v>212558.80032028357</v>
      </c>
      <c r="BB347" s="72">
        <v>0</v>
      </c>
      <c r="BC347" s="73"/>
      <c r="BD347" s="74">
        <v>-310.30731843531299</v>
      </c>
      <c r="BE347" s="74">
        <v>0</v>
      </c>
      <c r="BF347" s="73"/>
      <c r="BG347" s="72">
        <v>-2410324.5538181826</v>
      </c>
      <c r="BH347" s="72">
        <v>0</v>
      </c>
      <c r="BI347" s="73"/>
      <c r="BJ347" s="74">
        <v>-363.92871180248983</v>
      </c>
      <c r="BK347" s="74">
        <v>0</v>
      </c>
      <c r="BL347" s="73"/>
      <c r="BM347" s="72">
        <v>16737983.209058357</v>
      </c>
      <c r="BN347" s="72">
        <v>0</v>
      </c>
      <c r="BO347" s="73"/>
      <c r="BP347" s="74">
        <v>-4656.7714870247191</v>
      </c>
      <c r="BQ347" s="74">
        <v>0</v>
      </c>
      <c r="BS347" s="109">
        <f t="shared" si="159"/>
        <v>117065.268108246</v>
      </c>
      <c r="BT347" s="109">
        <f t="shared" si="160"/>
        <v>117459.05881051834</v>
      </c>
      <c r="BV347" s="58">
        <f t="array" ref="BV347">SUM(IF(BS347:BT347&gt;=BS347, 1))</f>
        <v>2</v>
      </c>
      <c r="BW347" s="58">
        <f t="array" ref="BW347">SUM(IF(BS347:BT347&gt;=BT347, 1))</f>
        <v>1</v>
      </c>
      <c r="BY347" s="109">
        <f t="shared" si="161"/>
        <v>133683.58323287469</v>
      </c>
      <c r="BZ347" s="109">
        <f t="shared" si="162"/>
        <v>134037.79491698407</v>
      </c>
      <c r="CB347" s="58">
        <f t="array" ref="CB347">SUM(IF(BY347:BZ347&gt;=BY347, 1))</f>
        <v>2</v>
      </c>
      <c r="CC347" s="58">
        <f t="array" ref="CC347">SUM(IF(BY347:BZ347&gt;=BZ347, 1))</f>
        <v>1</v>
      </c>
      <c r="CE347" s="109">
        <f t="shared" si="163"/>
        <v>98523.209734784847</v>
      </c>
      <c r="CF347" s="109">
        <f t="shared" si="164"/>
        <v>100808.61959212548</v>
      </c>
      <c r="CH347" s="58">
        <f t="array" ref="CH347">SUM(IF(CE347:CF347&gt;=CE347, 1))</f>
        <v>2</v>
      </c>
      <c r="CI347" s="58">
        <f t="array" ref="CI347">SUM(IF(CE347:CF347&gt;=CF347, 1))</f>
        <v>1</v>
      </c>
      <c r="CK347" s="109">
        <f t="shared" si="165"/>
        <v>48087.934818146139</v>
      </c>
      <c r="CL347" s="109">
        <f t="shared" si="166"/>
        <v>48813.943239488122</v>
      </c>
      <c r="CN347" s="58">
        <f t="array" ref="CN347">SUM(IF(CK347:CL347&gt;=CK347, 1))</f>
        <v>2</v>
      </c>
      <c r="CO347" s="58">
        <f t="array" ref="CO347">SUM(IF(CK347:CL347&gt;=CL347, 1))</f>
        <v>1</v>
      </c>
      <c r="CQ347" s="109" cm="1">
        <f t="array" ref="CQ347">AF347*WTP-AC347</f>
        <v>41772.094760014937</v>
      </c>
      <c r="CR347" s="109">
        <f t="shared" si="167"/>
        <v>42075.816166388286</v>
      </c>
      <c r="CT347" s="58">
        <f t="array" ref="CT347">SUM(IF(CQ347:CR347&gt;=CQ347, 1))</f>
        <v>2</v>
      </c>
      <c r="CU347" s="58">
        <f t="array" ref="CU347">SUM(IF(CQ347:CR347&gt;=CR347, 1))</f>
        <v>1</v>
      </c>
      <c r="CW347" s="109">
        <f t="shared" si="168"/>
        <v>-42537708.021493934</v>
      </c>
      <c r="CX347" s="109">
        <f t="shared" si="169"/>
        <v>0</v>
      </c>
      <c r="CZ347" s="58">
        <f t="array" ref="CZ347">SUM(IF(CW347:CX347&gt;=CW347, 1))</f>
        <v>2</v>
      </c>
      <c r="DA347" s="58">
        <f t="array" ref="DA347">SUM(IF(CW347:CX347&gt;=CX347, 1))</f>
        <v>1</v>
      </c>
      <c r="DC347" s="109">
        <f t="shared" si="170"/>
        <v>-2358019.63351653</v>
      </c>
      <c r="DD347" s="109">
        <f t="shared" si="171"/>
        <v>0</v>
      </c>
      <c r="DF347" s="58">
        <f t="array" ref="DF347">SUM(IF(DC347:DD347&gt;=DC347, 1))</f>
        <v>2</v>
      </c>
      <c r="DG347" s="58">
        <f t="array" ref="DG347">SUM(IF(DC347:DD347&gt;=DD347, 1))</f>
        <v>1</v>
      </c>
      <c r="DI347" s="109">
        <f t="shared" si="172"/>
        <v>-53690730.443284124</v>
      </c>
      <c r="DJ347" s="109">
        <f t="shared" si="173"/>
        <v>0</v>
      </c>
      <c r="DL347" s="58">
        <f t="array" ref="DL347">SUM(IF(DI347:DJ347&gt;=DI347, 1))</f>
        <v>2</v>
      </c>
      <c r="DM347" s="58">
        <f t="array" ref="DM347">SUM(IF(DI347:DJ347&gt;=DJ347, 1))</f>
        <v>1</v>
      </c>
      <c r="DO347" s="109">
        <f t="shared" si="174"/>
        <v>-6418705.1690265434</v>
      </c>
      <c r="DP347" s="109">
        <f t="shared" si="175"/>
        <v>0</v>
      </c>
      <c r="DR347" s="58">
        <f t="array" ref="DR347">SUM(IF(DO347:DP347&gt;=DO347, 1))</f>
        <v>2</v>
      </c>
      <c r="DS347" s="58">
        <f t="array" ref="DS347">SUM(IF(DO347:DP347&gt;=DP347, 1))</f>
        <v>1</v>
      </c>
      <c r="DU347" s="109">
        <f t="shared" si="176"/>
        <v>-4868249.6822316144</v>
      </c>
      <c r="DV347" s="109">
        <f t="shared" si="177"/>
        <v>0</v>
      </c>
      <c r="DX347" s="58">
        <f t="array" ref="DX347">SUM(IF(DU347:DV347&gt;=DU347, 1))</f>
        <v>2</v>
      </c>
      <c r="DY347" s="58">
        <f t="array" ref="DY347">SUM(IF(DU347:DV347&gt;=DV347, 1))</f>
        <v>1</v>
      </c>
      <c r="EA347" s="109">
        <f t="shared" si="178"/>
        <v>-109873412.94955274</v>
      </c>
      <c r="EB347" s="109">
        <f t="shared" si="179"/>
        <v>0</v>
      </c>
      <c r="ED347" s="58">
        <f t="array" ref="ED347">SUM(IF(EA347:EB347&gt;=EA347, 1))</f>
        <v>2</v>
      </c>
      <c r="EE347" s="58">
        <f t="array" ref="EE347">SUM(IF(EA347:EB347&gt;=EB347, 1))</f>
        <v>1</v>
      </c>
    </row>
    <row r="348" spans="4:135" ht="12" customHeight="1" x14ac:dyDescent="0.25">
      <c r="D348" s="11">
        <v>332</v>
      </c>
      <c r="E348" s="72">
        <v>281.64171730458679</v>
      </c>
      <c r="F348" s="72">
        <v>247.76712166739111</v>
      </c>
      <c r="G348" s="73"/>
      <c r="H348" s="74">
        <v>5.832931336393127</v>
      </c>
      <c r="I348" s="74">
        <v>5.8509778172588494</v>
      </c>
      <c r="J348" s="73"/>
      <c r="K348" s="72">
        <v>301.77230576783415</v>
      </c>
      <c r="L348" s="72">
        <v>267.10811655568767</v>
      </c>
      <c r="M348" s="73"/>
      <c r="N348" s="74">
        <v>6.6904212418965567</v>
      </c>
      <c r="O348" s="74">
        <v>6.7060688109707103</v>
      </c>
      <c r="P348" s="73"/>
      <c r="Q348" s="72">
        <v>2128.0105008838418</v>
      </c>
      <c r="R348" s="72">
        <v>1392.1421520804872</v>
      </c>
      <c r="S348" s="73"/>
      <c r="T348" s="74">
        <v>4.8082744400615143</v>
      </c>
      <c r="U348" s="74">
        <v>4.8925588528401569</v>
      </c>
      <c r="V348" s="73"/>
      <c r="W348" s="72">
        <v>13672.896573570571</v>
      </c>
      <c r="X348" s="72">
        <v>13613.318287811764</v>
      </c>
      <c r="Y348" s="73"/>
      <c r="Z348" s="74">
        <v>3.2041269458576598</v>
      </c>
      <c r="AA348" s="74">
        <v>3.2397824303342886</v>
      </c>
      <c r="AB348" s="73"/>
      <c r="AC348" s="72">
        <v>50276.310124499534</v>
      </c>
      <c r="AD348" s="72">
        <v>49870.411541578906</v>
      </c>
      <c r="AE348" s="73"/>
      <c r="AF348" s="74">
        <v>4.1279470740411419</v>
      </c>
      <c r="AG348" s="74">
        <v>4.2446220641370411</v>
      </c>
      <c r="AH348" s="73"/>
      <c r="AI348" s="72">
        <v>3654587.7469593408</v>
      </c>
      <c r="AJ348" s="72">
        <v>0</v>
      </c>
      <c r="AK348" s="73"/>
      <c r="AL348" s="74">
        <v>-1946.9589704913456</v>
      </c>
      <c r="AM348" s="74">
        <v>0</v>
      </c>
      <c r="AN348" s="73"/>
      <c r="AO348" s="72">
        <v>238675.71362497984</v>
      </c>
      <c r="AP348" s="72">
        <v>0</v>
      </c>
      <c r="AQ348" s="73"/>
      <c r="AR348" s="74">
        <v>-107.73927791627416</v>
      </c>
      <c r="AS348" s="74">
        <v>0</v>
      </c>
      <c r="AT348" s="73"/>
      <c r="AU348" s="72">
        <v>17280869.676492747</v>
      </c>
      <c r="AV348" s="72">
        <v>0</v>
      </c>
      <c r="AW348" s="73"/>
      <c r="AX348" s="74">
        <v>-1979.3050691145629</v>
      </c>
      <c r="AY348" s="74">
        <v>0</v>
      </c>
      <c r="AZ348" s="73"/>
      <c r="BA348" s="72">
        <v>538331.67230770562</v>
      </c>
      <c r="BB348" s="72">
        <v>0</v>
      </c>
      <c r="BC348" s="73"/>
      <c r="BD348" s="74">
        <v>-322.17235425253108</v>
      </c>
      <c r="BE348" s="74">
        <v>0</v>
      </c>
      <c r="BF348" s="73"/>
      <c r="BG348" s="72">
        <v>6268689.1640682612</v>
      </c>
      <c r="BH348" s="72">
        <v>0</v>
      </c>
      <c r="BI348" s="73"/>
      <c r="BJ348" s="74">
        <v>-1801.926089194937</v>
      </c>
      <c r="BK348" s="74">
        <v>0</v>
      </c>
      <c r="BL348" s="73"/>
      <c r="BM348" s="72">
        <v>27981153.973453037</v>
      </c>
      <c r="BN348" s="72">
        <v>0</v>
      </c>
      <c r="BO348" s="73"/>
      <c r="BP348" s="74">
        <v>-6158.101760969651</v>
      </c>
      <c r="BQ348" s="74">
        <v>0</v>
      </c>
      <c r="BS348" s="109">
        <f t="shared" si="159"/>
        <v>116376.98501055795</v>
      </c>
      <c r="BT348" s="109">
        <f t="shared" si="160"/>
        <v>116771.78922350959</v>
      </c>
      <c r="BV348" s="58">
        <f t="array" ref="BV348">SUM(IF(BS348:BT348&gt;=BS348, 1))</f>
        <v>2</v>
      </c>
      <c r="BW348" s="58">
        <f t="array" ref="BW348">SUM(IF(BS348:BT348&gt;=BT348, 1))</f>
        <v>1</v>
      </c>
      <c r="BY348" s="109">
        <f t="shared" si="161"/>
        <v>133506.65253216331</v>
      </c>
      <c r="BZ348" s="109">
        <f t="shared" si="162"/>
        <v>133854.26810285851</v>
      </c>
      <c r="CB348" s="58">
        <f t="array" ref="CB348">SUM(IF(BY348:BZ348&gt;=BY348, 1))</f>
        <v>2</v>
      </c>
      <c r="CC348" s="58">
        <f t="array" ref="CC348">SUM(IF(BY348:BZ348&gt;=BZ348, 1))</f>
        <v>1</v>
      </c>
      <c r="CE348" s="109">
        <f t="shared" si="163"/>
        <v>94037.47830034644</v>
      </c>
      <c r="CF348" s="109">
        <f t="shared" si="164"/>
        <v>96459.034904722648</v>
      </c>
      <c r="CH348" s="58">
        <f t="array" ref="CH348">SUM(IF(CE348:CF348&gt;=CE348, 1))</f>
        <v>2</v>
      </c>
      <c r="CI348" s="58">
        <f t="array" ref="CI348">SUM(IF(CE348:CF348&gt;=CF348, 1))</f>
        <v>1</v>
      </c>
      <c r="CK348" s="109">
        <f t="shared" si="165"/>
        <v>50409.642343582622</v>
      </c>
      <c r="CL348" s="109">
        <f t="shared" si="166"/>
        <v>51182.330318874003</v>
      </c>
      <c r="CN348" s="58">
        <f t="array" ref="CN348">SUM(IF(CK348:CL348&gt;=CK348, 1))</f>
        <v>2</v>
      </c>
      <c r="CO348" s="58">
        <f t="array" ref="CO348">SUM(IF(CK348:CL348&gt;=CL348, 1))</f>
        <v>1</v>
      </c>
      <c r="CQ348" s="109" cm="1">
        <f t="array" ref="CQ348">AF348*WTP-AC348</f>
        <v>32282.631356323298</v>
      </c>
      <c r="CR348" s="109">
        <f t="shared" si="167"/>
        <v>35022.029741161918</v>
      </c>
      <c r="CT348" s="58">
        <f t="array" ref="CT348">SUM(IF(CQ348:CR348&gt;=CQ348, 1))</f>
        <v>2</v>
      </c>
      <c r="CU348" s="58">
        <f t="array" ref="CU348">SUM(IF(CQ348:CR348&gt;=CR348, 1))</f>
        <v>1</v>
      </c>
      <c r="CW348" s="109">
        <f t="shared" si="168"/>
        <v>-42593767.156786256</v>
      </c>
      <c r="CX348" s="109">
        <f t="shared" si="169"/>
        <v>0</v>
      </c>
      <c r="CZ348" s="58">
        <f t="array" ref="CZ348">SUM(IF(CW348:CX348&gt;=CW348, 1))</f>
        <v>2</v>
      </c>
      <c r="DA348" s="58">
        <f t="array" ref="DA348">SUM(IF(CW348:CX348&gt;=CX348, 1))</f>
        <v>1</v>
      </c>
      <c r="DC348" s="109">
        <f t="shared" si="170"/>
        <v>-2393461.2719504633</v>
      </c>
      <c r="DD348" s="109">
        <f t="shared" si="171"/>
        <v>0</v>
      </c>
      <c r="DF348" s="58">
        <f t="array" ref="DF348">SUM(IF(DC348:DD348&gt;=DC348, 1))</f>
        <v>2</v>
      </c>
      <c r="DG348" s="58">
        <f t="array" ref="DG348">SUM(IF(DC348:DD348&gt;=DD348, 1))</f>
        <v>1</v>
      </c>
      <c r="DI348" s="109">
        <f t="shared" si="172"/>
        <v>-56866971.058784008</v>
      </c>
      <c r="DJ348" s="109">
        <f t="shared" si="173"/>
        <v>0</v>
      </c>
      <c r="DL348" s="58">
        <f t="array" ref="DL348">SUM(IF(DI348:DJ348&gt;=DI348, 1))</f>
        <v>2</v>
      </c>
      <c r="DM348" s="58">
        <f t="array" ref="DM348">SUM(IF(DI348:DJ348&gt;=DJ348, 1))</f>
        <v>1</v>
      </c>
      <c r="DO348" s="109">
        <f t="shared" si="174"/>
        <v>-6981778.7573583275</v>
      </c>
      <c r="DP348" s="109">
        <f t="shared" si="175"/>
        <v>0</v>
      </c>
      <c r="DR348" s="58">
        <f t="array" ref="DR348">SUM(IF(DO348:DP348&gt;=DO348, 1))</f>
        <v>2</v>
      </c>
      <c r="DS348" s="58">
        <f t="array" ref="DS348">SUM(IF(DO348:DP348&gt;=DP348, 1))</f>
        <v>1</v>
      </c>
      <c r="DU348" s="109">
        <f t="shared" si="176"/>
        <v>-42307210.947967</v>
      </c>
      <c r="DV348" s="109">
        <f t="shared" si="177"/>
        <v>0</v>
      </c>
      <c r="DX348" s="58">
        <f t="array" ref="DX348">SUM(IF(DU348:DV348&gt;=DU348, 1))</f>
        <v>2</v>
      </c>
      <c r="DY348" s="58">
        <f t="array" ref="DY348">SUM(IF(DU348:DV348&gt;=DV348, 1))</f>
        <v>1</v>
      </c>
      <c r="EA348" s="109">
        <f t="shared" si="178"/>
        <v>-151143189.19284606</v>
      </c>
      <c r="EB348" s="109">
        <f t="shared" si="179"/>
        <v>0</v>
      </c>
      <c r="ED348" s="58">
        <f t="array" ref="ED348">SUM(IF(EA348:EB348&gt;=EA348, 1))</f>
        <v>2</v>
      </c>
      <c r="EE348" s="58">
        <f t="array" ref="EE348">SUM(IF(EA348:EB348&gt;=EB348, 1))</f>
        <v>1</v>
      </c>
    </row>
    <row r="349" spans="4:135" ht="12" customHeight="1" x14ac:dyDescent="0.25">
      <c r="D349" s="11">
        <v>333</v>
      </c>
      <c r="E349" s="72">
        <v>344.84340007657573</v>
      </c>
      <c r="F349" s="72">
        <v>296.33808134737023</v>
      </c>
      <c r="G349" s="73"/>
      <c r="H349" s="74">
        <v>5.788910112468062</v>
      </c>
      <c r="I349" s="74">
        <v>5.8069652771863387</v>
      </c>
      <c r="J349" s="73"/>
      <c r="K349" s="72">
        <v>369.0663490384793</v>
      </c>
      <c r="L349" s="72">
        <v>319.41158116005164</v>
      </c>
      <c r="M349" s="73"/>
      <c r="N349" s="74">
        <v>6.692281827252935</v>
      </c>
      <c r="O349" s="74">
        <v>6.7076238539362114</v>
      </c>
      <c r="P349" s="73"/>
      <c r="Q349" s="72">
        <v>3072.5590257334484</v>
      </c>
      <c r="R349" s="72">
        <v>1441.4345792948461</v>
      </c>
      <c r="S349" s="73"/>
      <c r="T349" s="74">
        <v>4.6179645899877197</v>
      </c>
      <c r="U349" s="74">
        <v>4.7432902887060422</v>
      </c>
      <c r="V349" s="73"/>
      <c r="W349" s="72">
        <v>12529.833418424587</v>
      </c>
      <c r="X349" s="72">
        <v>12548.056209218894</v>
      </c>
      <c r="Y349" s="73"/>
      <c r="Z349" s="74">
        <v>2.8514243490401925</v>
      </c>
      <c r="AA349" s="74">
        <v>2.9003531386950141</v>
      </c>
      <c r="AB349" s="73"/>
      <c r="AC349" s="72">
        <v>47839.328724751445</v>
      </c>
      <c r="AD349" s="72">
        <v>47680.117345938888</v>
      </c>
      <c r="AE349" s="73"/>
      <c r="AF349" s="74">
        <v>4.4125139588709024</v>
      </c>
      <c r="AG349" s="74">
        <v>4.4799409404723285</v>
      </c>
      <c r="AH349" s="73"/>
      <c r="AI349" s="72">
        <v>5203248.4263545843</v>
      </c>
      <c r="AJ349" s="72">
        <v>0</v>
      </c>
      <c r="AK349" s="73"/>
      <c r="AL349" s="74">
        <v>-1936.8083721379762</v>
      </c>
      <c r="AM349" s="74">
        <v>0</v>
      </c>
      <c r="AN349" s="73"/>
      <c r="AO349" s="72">
        <v>339370.8575802194</v>
      </c>
      <c r="AP349" s="72">
        <v>0</v>
      </c>
      <c r="AQ349" s="73"/>
      <c r="AR349" s="74">
        <v>-104.85673330041163</v>
      </c>
      <c r="AS349" s="74">
        <v>0</v>
      </c>
      <c r="AT349" s="73"/>
      <c r="AU349" s="72">
        <v>37914283.020779394</v>
      </c>
      <c r="AV349" s="72">
        <v>0</v>
      </c>
      <c r="AW349" s="73"/>
      <c r="AX349" s="74">
        <v>-2913.1033020552941</v>
      </c>
      <c r="AY349" s="74">
        <v>0</v>
      </c>
      <c r="AZ349" s="73"/>
      <c r="BA349" s="72">
        <v>-169130.0381360926</v>
      </c>
      <c r="BB349" s="72">
        <v>0</v>
      </c>
      <c r="BC349" s="73"/>
      <c r="BD349" s="74">
        <v>-454.11968746621045</v>
      </c>
      <c r="BE349" s="74">
        <v>0</v>
      </c>
      <c r="BF349" s="73"/>
      <c r="BG349" s="72">
        <v>2503519.0623728749</v>
      </c>
      <c r="BH349" s="72">
        <v>0</v>
      </c>
      <c r="BI349" s="73"/>
      <c r="BJ349" s="74">
        <v>-1060.255460485477</v>
      </c>
      <c r="BK349" s="74">
        <v>0</v>
      </c>
      <c r="BL349" s="73"/>
      <c r="BM349" s="72">
        <v>45791291.328950979</v>
      </c>
      <c r="BN349" s="72">
        <v>0</v>
      </c>
      <c r="BO349" s="73"/>
      <c r="BP349" s="74">
        <v>-6469.1435554453692</v>
      </c>
      <c r="BQ349" s="74">
        <v>0</v>
      </c>
      <c r="BS349" s="109">
        <f t="shared" si="159"/>
        <v>115433.35884928468</v>
      </c>
      <c r="BT349" s="109">
        <f t="shared" si="160"/>
        <v>115842.96746237941</v>
      </c>
      <c r="BV349" s="58">
        <f t="array" ref="BV349">SUM(IF(BS349:BT349&gt;=BS349, 1))</f>
        <v>2</v>
      </c>
      <c r="BW349" s="58">
        <f t="array" ref="BW349">SUM(IF(BS349:BT349&gt;=BT349, 1))</f>
        <v>1</v>
      </c>
      <c r="BY349" s="109">
        <f t="shared" si="161"/>
        <v>133476.57019602021</v>
      </c>
      <c r="BZ349" s="109">
        <f t="shared" si="162"/>
        <v>133833.06549756415</v>
      </c>
      <c r="CB349" s="58">
        <f t="array" ref="CB349">SUM(IF(BY349:BZ349&gt;=BY349, 1))</f>
        <v>2</v>
      </c>
      <c r="CC349" s="58">
        <f t="array" ref="CC349">SUM(IF(BY349:BZ349&gt;=BZ349, 1))</f>
        <v>1</v>
      </c>
      <c r="CE349" s="109">
        <f t="shared" si="163"/>
        <v>89286.732774020944</v>
      </c>
      <c r="CF349" s="109">
        <f t="shared" si="164"/>
        <v>93424.371194826002</v>
      </c>
      <c r="CH349" s="58">
        <f t="array" ref="CH349">SUM(IF(CE349:CF349&gt;=CE349, 1))</f>
        <v>2</v>
      </c>
      <c r="CI349" s="58">
        <f t="array" ref="CI349">SUM(IF(CE349:CF349&gt;=CF349, 1))</f>
        <v>1</v>
      </c>
      <c r="CK349" s="109">
        <f t="shared" si="165"/>
        <v>44498.653562379259</v>
      </c>
      <c r="CL349" s="109">
        <f t="shared" si="166"/>
        <v>45459.006564681389</v>
      </c>
      <c r="CN349" s="58">
        <f t="array" ref="CN349">SUM(IF(CK349:CL349&gt;=CK349, 1))</f>
        <v>2</v>
      </c>
      <c r="CO349" s="58">
        <f t="array" ref="CO349">SUM(IF(CK349:CL349&gt;=CL349, 1))</f>
        <v>1</v>
      </c>
      <c r="CQ349" s="109" cm="1">
        <f t="array" ref="CQ349">AF349*WTP-AC349</f>
        <v>40410.950452666606</v>
      </c>
      <c r="CR349" s="109">
        <f t="shared" si="167"/>
        <v>41918.701463507685</v>
      </c>
      <c r="CT349" s="58">
        <f t="array" ref="CT349">SUM(IF(CQ349:CR349&gt;=CQ349, 1))</f>
        <v>2</v>
      </c>
      <c r="CU349" s="58">
        <f t="array" ref="CU349">SUM(IF(CQ349:CR349&gt;=CR349, 1))</f>
        <v>1</v>
      </c>
      <c r="CW349" s="109">
        <f t="shared" si="168"/>
        <v>-43939415.869114108</v>
      </c>
      <c r="CX349" s="109">
        <f t="shared" si="169"/>
        <v>0</v>
      </c>
      <c r="CZ349" s="58">
        <f t="array" ref="CZ349">SUM(IF(CW349:CX349&gt;=CW349, 1))</f>
        <v>2</v>
      </c>
      <c r="DA349" s="58">
        <f t="array" ref="DA349">SUM(IF(CW349:CX349&gt;=CX349, 1))</f>
        <v>1</v>
      </c>
      <c r="DC349" s="109">
        <f t="shared" si="170"/>
        <v>-2436505.523588452</v>
      </c>
      <c r="DD349" s="109">
        <f t="shared" si="171"/>
        <v>0</v>
      </c>
      <c r="DF349" s="58">
        <f t="array" ref="DF349">SUM(IF(DC349:DD349&gt;=DC349, 1))</f>
        <v>2</v>
      </c>
      <c r="DG349" s="58">
        <f t="array" ref="DG349">SUM(IF(DC349:DD349&gt;=DD349, 1))</f>
        <v>1</v>
      </c>
      <c r="DI349" s="109">
        <f t="shared" si="172"/>
        <v>-96176349.061885267</v>
      </c>
      <c r="DJ349" s="109">
        <f t="shared" si="173"/>
        <v>0</v>
      </c>
      <c r="DL349" s="58">
        <f t="array" ref="DL349">SUM(IF(DI349:DJ349&gt;=DI349, 1))</f>
        <v>2</v>
      </c>
      <c r="DM349" s="58">
        <f t="array" ref="DM349">SUM(IF(DI349:DJ349&gt;=DJ349, 1))</f>
        <v>1</v>
      </c>
      <c r="DO349" s="109">
        <f t="shared" si="174"/>
        <v>-8913263.7111881152</v>
      </c>
      <c r="DP349" s="109">
        <f t="shared" si="175"/>
        <v>0</v>
      </c>
      <c r="DR349" s="58">
        <f t="array" ref="DR349">SUM(IF(DO349:DP349&gt;=DO349, 1))</f>
        <v>2</v>
      </c>
      <c r="DS349" s="58">
        <f t="array" ref="DS349">SUM(IF(DO349:DP349&gt;=DP349, 1))</f>
        <v>1</v>
      </c>
      <c r="DU349" s="109">
        <f t="shared" si="176"/>
        <v>-23708628.272082414</v>
      </c>
      <c r="DV349" s="109">
        <f t="shared" si="177"/>
        <v>0</v>
      </c>
      <c r="DX349" s="58">
        <f t="array" ref="DX349">SUM(IF(DU349:DV349&gt;=DU349, 1))</f>
        <v>2</v>
      </c>
      <c r="DY349" s="58">
        <f t="array" ref="DY349">SUM(IF(DU349:DV349&gt;=DV349, 1))</f>
        <v>1</v>
      </c>
      <c r="EA349" s="109">
        <f t="shared" si="178"/>
        <v>-175174162.43785837</v>
      </c>
      <c r="EB349" s="109">
        <f t="shared" si="179"/>
        <v>0</v>
      </c>
      <c r="ED349" s="58">
        <f t="array" ref="ED349">SUM(IF(EA349:EB349&gt;=EA349, 1))</f>
        <v>2</v>
      </c>
      <c r="EE349" s="58">
        <f t="array" ref="EE349">SUM(IF(EA349:EB349&gt;=EB349, 1))</f>
        <v>1</v>
      </c>
    </row>
    <row r="350" spans="4:135" ht="12" customHeight="1" x14ac:dyDescent="0.25">
      <c r="D350" s="11">
        <v>334</v>
      </c>
      <c r="E350" s="72">
        <v>206.2456101823449</v>
      </c>
      <c r="F350" s="72">
        <v>187.86385581178197</v>
      </c>
      <c r="G350" s="73"/>
      <c r="H350" s="74">
        <v>5.8775789781592431</v>
      </c>
      <c r="I350" s="74">
        <v>5.8945674252027027</v>
      </c>
      <c r="J350" s="73"/>
      <c r="K350" s="72">
        <v>221.38447494196666</v>
      </c>
      <c r="L350" s="72">
        <v>202.55381162640614</v>
      </c>
      <c r="M350" s="73"/>
      <c r="N350" s="74">
        <v>6.7204468817334577</v>
      </c>
      <c r="O350" s="74">
        <v>6.7350765918889062</v>
      </c>
      <c r="P350" s="73"/>
      <c r="Q350" s="72">
        <v>1559.4745962767038</v>
      </c>
      <c r="R350" s="72">
        <v>1095.3679496185753</v>
      </c>
      <c r="S350" s="73"/>
      <c r="T350" s="74">
        <v>4.8509579923548891</v>
      </c>
      <c r="U350" s="74">
        <v>4.9163582409917037</v>
      </c>
      <c r="V350" s="73"/>
      <c r="W350" s="72">
        <v>11503.208289943714</v>
      </c>
      <c r="X350" s="72">
        <v>11479.158873223996</v>
      </c>
      <c r="Y350" s="73"/>
      <c r="Z350" s="74">
        <v>2.9190113134278506</v>
      </c>
      <c r="AA350" s="74">
        <v>2.9632175970935464</v>
      </c>
      <c r="AB350" s="73"/>
      <c r="AC350" s="72">
        <v>49703.849026565833</v>
      </c>
      <c r="AD350" s="72">
        <v>49620.244745637334</v>
      </c>
      <c r="AE350" s="73"/>
      <c r="AF350" s="74">
        <v>5.2929790151078606</v>
      </c>
      <c r="AG350" s="74">
        <v>5.3536011814800659</v>
      </c>
      <c r="AH350" s="73"/>
      <c r="AI350" s="72">
        <v>1969826.4082698638</v>
      </c>
      <c r="AJ350" s="72">
        <v>0</v>
      </c>
      <c r="AK350" s="73"/>
      <c r="AL350" s="74">
        <v>-1820.5167443261814</v>
      </c>
      <c r="AM350" s="74">
        <v>0</v>
      </c>
      <c r="AN350" s="73"/>
      <c r="AO350" s="72">
        <v>125440.79018760481</v>
      </c>
      <c r="AP350" s="72">
        <v>0</v>
      </c>
      <c r="AQ350" s="73"/>
      <c r="AR350" s="74">
        <v>-97.456067869824523</v>
      </c>
      <c r="AS350" s="74">
        <v>0</v>
      </c>
      <c r="AT350" s="73"/>
      <c r="AU350" s="72">
        <v>10606226.883588804</v>
      </c>
      <c r="AV350" s="72">
        <v>0</v>
      </c>
      <c r="AW350" s="73"/>
      <c r="AX350" s="74">
        <v>-1494.5915562293881</v>
      </c>
      <c r="AY350" s="74">
        <v>0</v>
      </c>
      <c r="AZ350" s="73"/>
      <c r="BA350" s="72">
        <v>208234.87808016082</v>
      </c>
      <c r="BB350" s="72">
        <v>0</v>
      </c>
      <c r="BC350" s="73"/>
      <c r="BD350" s="74">
        <v>-382.76562782314653</v>
      </c>
      <c r="BE350" s="74">
        <v>0</v>
      </c>
      <c r="BF350" s="73"/>
      <c r="BG350" s="72">
        <v>1333657.7073617103</v>
      </c>
      <c r="BH350" s="72">
        <v>0</v>
      </c>
      <c r="BI350" s="73"/>
      <c r="BJ350" s="74">
        <v>-967.04640625281149</v>
      </c>
      <c r="BK350" s="74">
        <v>0</v>
      </c>
      <c r="BL350" s="73"/>
      <c r="BM350" s="72">
        <v>14243386.667488143</v>
      </c>
      <c r="BN350" s="72">
        <v>0</v>
      </c>
      <c r="BO350" s="73"/>
      <c r="BP350" s="74">
        <v>-4762.3764025013515</v>
      </c>
      <c r="BQ350" s="74">
        <v>0</v>
      </c>
      <c r="BS350" s="109">
        <f t="shared" si="159"/>
        <v>117345.33395300251</v>
      </c>
      <c r="BT350" s="109">
        <f t="shared" si="160"/>
        <v>117703.48464824227</v>
      </c>
      <c r="BV350" s="58">
        <f t="array" ref="BV350">SUM(IF(BS350:BT350&gt;=BS350, 1))</f>
        <v>2</v>
      </c>
      <c r="BW350" s="58">
        <f t="array" ref="BW350">SUM(IF(BS350:BT350&gt;=BT350, 1))</f>
        <v>1</v>
      </c>
      <c r="BY350" s="109">
        <f t="shared" si="161"/>
        <v>134187.55315972719</v>
      </c>
      <c r="BZ350" s="109">
        <f t="shared" si="162"/>
        <v>134498.97802615174</v>
      </c>
      <c r="CB350" s="58">
        <f t="array" ref="CB350">SUM(IF(BY350:BZ350&gt;=BY350, 1))</f>
        <v>2</v>
      </c>
      <c r="CC350" s="58">
        <f t="array" ref="CC350">SUM(IF(BY350:BZ350&gt;=BZ350, 1))</f>
        <v>1</v>
      </c>
      <c r="CE350" s="109">
        <f t="shared" si="163"/>
        <v>95459.685250821072</v>
      </c>
      <c r="CF350" s="109">
        <f t="shared" si="164"/>
        <v>97231.79687021549</v>
      </c>
      <c r="CH350" s="58">
        <f t="array" ref="CH350">SUM(IF(CE350:CF350&gt;=CE350, 1))</f>
        <v>2</v>
      </c>
      <c r="CI350" s="58">
        <f t="array" ref="CI350">SUM(IF(CE350:CF350&gt;=CF350, 1))</f>
        <v>1</v>
      </c>
      <c r="CK350" s="109">
        <f t="shared" si="165"/>
        <v>46877.017978613294</v>
      </c>
      <c r="CL350" s="109">
        <f t="shared" si="166"/>
        <v>47785.193068646928</v>
      </c>
      <c r="CN350" s="58">
        <f t="array" ref="CN350">SUM(IF(CK350:CL350&gt;=CK350, 1))</f>
        <v>2</v>
      </c>
      <c r="CO350" s="58">
        <f t="array" ref="CO350">SUM(IF(CK350:CL350&gt;=CL350, 1))</f>
        <v>1</v>
      </c>
      <c r="CQ350" s="109" cm="1">
        <f t="array" ref="CQ350">AF350*WTP-AC350</f>
        <v>56155.731275591374</v>
      </c>
      <c r="CR350" s="109">
        <f t="shared" si="167"/>
        <v>57451.778883963983</v>
      </c>
      <c r="CT350" s="58">
        <f t="array" ref="CT350">SUM(IF(CQ350:CR350&gt;=CQ350, 1))</f>
        <v>2</v>
      </c>
      <c r="CU350" s="58">
        <f t="array" ref="CU350">SUM(IF(CQ350:CR350&gt;=CR350, 1))</f>
        <v>1</v>
      </c>
      <c r="CW350" s="109">
        <f t="shared" si="168"/>
        <v>-38380161.294793494</v>
      </c>
      <c r="CX350" s="109">
        <f t="shared" si="169"/>
        <v>0</v>
      </c>
      <c r="CZ350" s="58">
        <f t="array" ref="CZ350">SUM(IF(CW350:CX350&gt;=CW350, 1))</f>
        <v>2</v>
      </c>
      <c r="DA350" s="58">
        <f t="array" ref="DA350">SUM(IF(CW350:CX350&gt;=CX350, 1))</f>
        <v>1</v>
      </c>
      <c r="DC350" s="109">
        <f t="shared" si="170"/>
        <v>-2074562.1475840951</v>
      </c>
      <c r="DD350" s="109">
        <f t="shared" si="171"/>
        <v>0</v>
      </c>
      <c r="DF350" s="58">
        <f t="array" ref="DF350">SUM(IF(DC350:DD350&gt;=DC350, 1))</f>
        <v>2</v>
      </c>
      <c r="DG350" s="58">
        <f t="array" ref="DG350">SUM(IF(DC350:DD350&gt;=DD350, 1))</f>
        <v>1</v>
      </c>
      <c r="DI350" s="109">
        <f t="shared" si="172"/>
        <v>-40498058.008176565</v>
      </c>
      <c r="DJ350" s="109">
        <f t="shared" si="173"/>
        <v>0</v>
      </c>
      <c r="DL350" s="58">
        <f t="array" ref="DL350">SUM(IF(DI350:DJ350&gt;=DI350, 1))</f>
        <v>2</v>
      </c>
      <c r="DM350" s="58">
        <f t="array" ref="DM350">SUM(IF(DI350:DJ350&gt;=DJ350, 1))</f>
        <v>1</v>
      </c>
      <c r="DO350" s="109">
        <f t="shared" si="174"/>
        <v>-7863547.4345430918</v>
      </c>
      <c r="DP350" s="109">
        <f t="shared" si="175"/>
        <v>0</v>
      </c>
      <c r="DR350" s="58">
        <f t="array" ref="DR350">SUM(IF(DO350:DP350&gt;=DO350, 1))</f>
        <v>2</v>
      </c>
      <c r="DS350" s="58">
        <f t="array" ref="DS350">SUM(IF(DO350:DP350&gt;=DP350, 1))</f>
        <v>1</v>
      </c>
      <c r="DU350" s="109">
        <f t="shared" si="176"/>
        <v>-20674585.832417939</v>
      </c>
      <c r="DV350" s="109">
        <f t="shared" si="177"/>
        <v>0</v>
      </c>
      <c r="DX350" s="58">
        <f t="array" ref="DX350">SUM(IF(DU350:DV350&gt;=DU350, 1))</f>
        <v>2</v>
      </c>
      <c r="DY350" s="58">
        <f t="array" ref="DY350">SUM(IF(DU350:DV350&gt;=DV350, 1))</f>
        <v>1</v>
      </c>
      <c r="EA350" s="109">
        <f t="shared" si="178"/>
        <v>-109490914.71751517</v>
      </c>
      <c r="EB350" s="109">
        <f t="shared" si="179"/>
        <v>0</v>
      </c>
      <c r="ED350" s="58">
        <f t="array" ref="ED350">SUM(IF(EA350:EB350&gt;=EA350, 1))</f>
        <v>2</v>
      </c>
      <c r="EE350" s="58">
        <f t="array" ref="EE350">SUM(IF(EA350:EB350&gt;=EB350, 1))</f>
        <v>1</v>
      </c>
    </row>
    <row r="351" spans="4:135" ht="12" customHeight="1" x14ac:dyDescent="0.25">
      <c r="D351" s="11">
        <v>335</v>
      </c>
      <c r="E351" s="72">
        <v>241.07813937953566</v>
      </c>
      <c r="F351" s="72">
        <v>220.95540291454103</v>
      </c>
      <c r="G351" s="73"/>
      <c r="H351" s="74">
        <v>5.8584381576642084</v>
      </c>
      <c r="I351" s="74">
        <v>5.8762123756642222</v>
      </c>
      <c r="J351" s="73"/>
      <c r="K351" s="72">
        <v>258.91184171156345</v>
      </c>
      <c r="L351" s="72">
        <v>238.3044024512368</v>
      </c>
      <c r="M351" s="73"/>
      <c r="N351" s="74">
        <v>6.7065192674297069</v>
      </c>
      <c r="O351" s="74">
        <v>6.7222832013155571</v>
      </c>
      <c r="P351" s="73"/>
      <c r="Q351" s="72">
        <v>1933.9381977115418</v>
      </c>
      <c r="R351" s="72">
        <v>1354.1338332594426</v>
      </c>
      <c r="S351" s="73"/>
      <c r="T351" s="74">
        <v>4.8593358640329374</v>
      </c>
      <c r="U351" s="74">
        <v>4.9273546886442547</v>
      </c>
      <c r="V351" s="73"/>
      <c r="W351" s="72">
        <v>13185.662053960816</v>
      </c>
      <c r="X351" s="72">
        <v>13143.895199873883</v>
      </c>
      <c r="Y351" s="73"/>
      <c r="Z351" s="74">
        <v>2.9089652659711769</v>
      </c>
      <c r="AA351" s="74">
        <v>2.9396233387770989</v>
      </c>
      <c r="AB351" s="73"/>
      <c r="AC351" s="72">
        <v>49556.269843775648</v>
      </c>
      <c r="AD351" s="72">
        <v>49260.415426247855</v>
      </c>
      <c r="AE351" s="73"/>
      <c r="AF351" s="74">
        <v>4.7681474924604235</v>
      </c>
      <c r="AG351" s="74">
        <v>4.8780157431452569</v>
      </c>
      <c r="AH351" s="73"/>
      <c r="AI351" s="72">
        <v>2158033.5261665103</v>
      </c>
      <c r="AJ351" s="72">
        <v>0</v>
      </c>
      <c r="AK351" s="73"/>
      <c r="AL351" s="74">
        <v>-1906.1700883549399</v>
      </c>
      <c r="AM351" s="74">
        <v>0</v>
      </c>
      <c r="AN351" s="73"/>
      <c r="AO351" s="72">
        <v>147006.5027612056</v>
      </c>
      <c r="AP351" s="72">
        <v>0</v>
      </c>
      <c r="AQ351" s="73"/>
      <c r="AR351" s="74">
        <v>-112.4545733724008</v>
      </c>
      <c r="AS351" s="74">
        <v>0</v>
      </c>
      <c r="AT351" s="73"/>
      <c r="AU351" s="72">
        <v>13399788.729547134</v>
      </c>
      <c r="AV351" s="72">
        <v>0</v>
      </c>
      <c r="AW351" s="73"/>
      <c r="AX351" s="74">
        <v>-1571.9748510086843</v>
      </c>
      <c r="AY351" s="74">
        <v>0</v>
      </c>
      <c r="AZ351" s="73"/>
      <c r="BA351" s="72">
        <v>368573.05412799277</v>
      </c>
      <c r="BB351" s="72">
        <v>0</v>
      </c>
      <c r="BC351" s="73"/>
      <c r="BD351" s="74">
        <v>-270.54322799217783</v>
      </c>
      <c r="BE351" s="74">
        <v>0</v>
      </c>
      <c r="BF351" s="73"/>
      <c r="BG351" s="72">
        <v>4619060.4665852105</v>
      </c>
      <c r="BH351" s="72">
        <v>0</v>
      </c>
      <c r="BI351" s="73"/>
      <c r="BJ351" s="74">
        <v>-1715.3304571614631</v>
      </c>
      <c r="BK351" s="74">
        <v>0</v>
      </c>
      <c r="BL351" s="73"/>
      <c r="BM351" s="72">
        <v>20692462.279188052</v>
      </c>
      <c r="BN351" s="72">
        <v>0</v>
      </c>
      <c r="BO351" s="73"/>
      <c r="BP351" s="74">
        <v>-5576.4731978896652</v>
      </c>
      <c r="BQ351" s="74">
        <v>0</v>
      </c>
      <c r="BS351" s="109">
        <f t="shared" si="159"/>
        <v>116927.68501390463</v>
      </c>
      <c r="BT351" s="109">
        <f t="shared" si="160"/>
        <v>117303.2921103699</v>
      </c>
      <c r="BV351" s="58">
        <f t="array" ref="BV351">SUM(IF(BS351:BT351&gt;=BS351, 1))</f>
        <v>2</v>
      </c>
      <c r="BW351" s="58">
        <f t="array" ref="BW351">SUM(IF(BS351:BT351&gt;=BT351, 1))</f>
        <v>1</v>
      </c>
      <c r="BY351" s="109">
        <f t="shared" si="161"/>
        <v>133871.47350688258</v>
      </c>
      <c r="BZ351" s="109">
        <f t="shared" si="162"/>
        <v>134207.3596238599</v>
      </c>
      <c r="CB351" s="58">
        <f t="array" ref="CB351">SUM(IF(BY351:BZ351&gt;=BY351, 1))</f>
        <v>2</v>
      </c>
      <c r="CC351" s="58">
        <f t="array" ref="CC351">SUM(IF(BY351:BZ351&gt;=BZ351, 1))</f>
        <v>1</v>
      </c>
      <c r="CE351" s="109">
        <f t="shared" si="163"/>
        <v>95252.779082947207</v>
      </c>
      <c r="CF351" s="109">
        <f t="shared" si="164"/>
        <v>97192.959939625653</v>
      </c>
      <c r="CH351" s="58">
        <f t="array" ref="CH351">SUM(IF(CE351:CF351&gt;=CE351, 1))</f>
        <v>2</v>
      </c>
      <c r="CI351" s="58">
        <f t="array" ref="CI351">SUM(IF(CE351:CF351&gt;=CF351, 1))</f>
        <v>1</v>
      </c>
      <c r="CK351" s="109">
        <f t="shared" si="165"/>
        <v>44993.643265462728</v>
      </c>
      <c r="CL351" s="109">
        <f t="shared" si="166"/>
        <v>45648.571575668095</v>
      </c>
      <c r="CN351" s="58">
        <f t="array" ref="CN351">SUM(IF(CK351:CL351&gt;=CK351, 1))</f>
        <v>2</v>
      </c>
      <c r="CO351" s="58">
        <f t="array" ref="CO351">SUM(IF(CK351:CL351&gt;=CL351, 1))</f>
        <v>1</v>
      </c>
      <c r="CQ351" s="109" cm="1">
        <f t="array" ref="CQ351">AF351*WTP-AC351</f>
        <v>45806.68000543282</v>
      </c>
      <c r="CR351" s="109">
        <f t="shared" si="167"/>
        <v>48299.899436657288</v>
      </c>
      <c r="CT351" s="58">
        <f t="array" ref="CT351">SUM(IF(CQ351:CR351&gt;=CQ351, 1))</f>
        <v>2</v>
      </c>
      <c r="CU351" s="58">
        <f t="array" ref="CU351">SUM(IF(CQ351:CR351&gt;=CR351, 1))</f>
        <v>1</v>
      </c>
      <c r="CW351" s="109">
        <f t="shared" si="168"/>
        <v>-40281435.293265313</v>
      </c>
      <c r="CX351" s="109">
        <f t="shared" si="169"/>
        <v>0</v>
      </c>
      <c r="CZ351" s="58">
        <f t="array" ref="CZ351">SUM(IF(CW351:CX351&gt;=CW351, 1))</f>
        <v>2</v>
      </c>
      <c r="DA351" s="58">
        <f t="array" ref="DA351">SUM(IF(CW351:CX351&gt;=CX351, 1))</f>
        <v>1</v>
      </c>
      <c r="DC351" s="109">
        <f t="shared" si="170"/>
        <v>-2396097.9702092218</v>
      </c>
      <c r="DD351" s="109">
        <f t="shared" si="171"/>
        <v>0</v>
      </c>
      <c r="DF351" s="58">
        <f t="array" ref="DF351">SUM(IF(DC351:DD351&gt;=DC351, 1))</f>
        <v>2</v>
      </c>
      <c r="DG351" s="58">
        <f t="array" ref="DG351">SUM(IF(DC351:DD351&gt;=DD351, 1))</f>
        <v>1</v>
      </c>
      <c r="DI351" s="109">
        <f t="shared" si="172"/>
        <v>-44839285.749720819</v>
      </c>
      <c r="DJ351" s="109">
        <f t="shared" si="173"/>
        <v>0</v>
      </c>
      <c r="DL351" s="58">
        <f t="array" ref="DL351">SUM(IF(DI351:DJ351&gt;=DI351, 1))</f>
        <v>2</v>
      </c>
      <c r="DM351" s="58">
        <f t="array" ref="DM351">SUM(IF(DI351:DJ351&gt;=DJ351, 1))</f>
        <v>1</v>
      </c>
      <c r="DO351" s="109">
        <f t="shared" si="174"/>
        <v>-5779437.61397155</v>
      </c>
      <c r="DP351" s="109">
        <f t="shared" si="175"/>
        <v>0</v>
      </c>
      <c r="DR351" s="58">
        <f t="array" ref="DR351">SUM(IF(DO351:DP351&gt;=DO351, 1))</f>
        <v>2</v>
      </c>
      <c r="DS351" s="58">
        <f t="array" ref="DS351">SUM(IF(DO351:DP351&gt;=DP351, 1))</f>
        <v>1</v>
      </c>
      <c r="DU351" s="109">
        <f t="shared" si="176"/>
        <v>-38925669.609814472</v>
      </c>
      <c r="DV351" s="109">
        <f t="shared" si="177"/>
        <v>0</v>
      </c>
      <c r="DX351" s="58">
        <f t="array" ref="DX351">SUM(IF(DU351:DV351&gt;=DU351, 1))</f>
        <v>2</v>
      </c>
      <c r="DY351" s="58">
        <f t="array" ref="DY351">SUM(IF(DU351:DV351&gt;=DV351, 1))</f>
        <v>1</v>
      </c>
      <c r="EA351" s="109">
        <f t="shared" si="178"/>
        <v>-132221926.23698136</v>
      </c>
      <c r="EB351" s="109">
        <f t="shared" si="179"/>
        <v>0</v>
      </c>
      <c r="ED351" s="58">
        <f t="array" ref="ED351">SUM(IF(EA351:EB351&gt;=EA351, 1))</f>
        <v>2</v>
      </c>
      <c r="EE351" s="58">
        <f t="array" ref="EE351">SUM(IF(EA351:EB351&gt;=EB351, 1))</f>
        <v>1</v>
      </c>
    </row>
    <row r="352" spans="4:135" ht="12" customHeight="1" x14ac:dyDescent="0.25">
      <c r="D352" s="11">
        <v>336</v>
      </c>
      <c r="E352" s="72">
        <v>226.49198529351094</v>
      </c>
      <c r="F352" s="72">
        <v>211.35277241692319</v>
      </c>
      <c r="G352" s="73"/>
      <c r="H352" s="74">
        <v>5.8676637125204811</v>
      </c>
      <c r="I352" s="74">
        <v>5.8814587474959286</v>
      </c>
      <c r="J352" s="73"/>
      <c r="K352" s="72">
        <v>243.44403940875918</v>
      </c>
      <c r="L352" s="72">
        <v>227.92947812412234</v>
      </c>
      <c r="M352" s="73"/>
      <c r="N352" s="74">
        <v>6.653856496747264</v>
      </c>
      <c r="O352" s="74">
        <v>6.6655794794816137</v>
      </c>
      <c r="P352" s="73"/>
      <c r="Q352" s="72">
        <v>1805.0770513823832</v>
      </c>
      <c r="R352" s="72">
        <v>1320.9109117195424</v>
      </c>
      <c r="S352" s="73"/>
      <c r="T352" s="74">
        <v>4.7502516420739962</v>
      </c>
      <c r="U352" s="74">
        <v>4.8116458454492594</v>
      </c>
      <c r="V352" s="73"/>
      <c r="W352" s="72">
        <v>9637.8548187982069</v>
      </c>
      <c r="X352" s="72">
        <v>9625.8951733796366</v>
      </c>
      <c r="Y352" s="73"/>
      <c r="Z352" s="74">
        <v>2.9239718677431705</v>
      </c>
      <c r="AA352" s="74">
        <v>2.9646082010341384</v>
      </c>
      <c r="AB352" s="73"/>
      <c r="AC352" s="72">
        <v>50744.215920736679</v>
      </c>
      <c r="AD352" s="72">
        <v>50313.75669287573</v>
      </c>
      <c r="AE352" s="73"/>
      <c r="AF352" s="74">
        <v>5.0518669195451151</v>
      </c>
      <c r="AG352" s="74">
        <v>5.2487615914290577</v>
      </c>
      <c r="AH352" s="73"/>
      <c r="AI352" s="72">
        <v>1629690.4140933405</v>
      </c>
      <c r="AJ352" s="72">
        <v>0</v>
      </c>
      <c r="AK352" s="73"/>
      <c r="AL352" s="74">
        <v>-1484.9937341416264</v>
      </c>
      <c r="AM352" s="74">
        <v>0</v>
      </c>
      <c r="AN352" s="73"/>
      <c r="AO352" s="72">
        <v>102558.05751236485</v>
      </c>
      <c r="AP352" s="72">
        <v>0</v>
      </c>
      <c r="AQ352" s="73"/>
      <c r="AR352" s="74">
        <v>-77.494059640374658</v>
      </c>
      <c r="AS352" s="74">
        <v>0</v>
      </c>
      <c r="AT352" s="73"/>
      <c r="AU352" s="72">
        <v>10922180.126920048</v>
      </c>
      <c r="AV352" s="72">
        <v>0</v>
      </c>
      <c r="AW352" s="73"/>
      <c r="AX352" s="74">
        <v>-1384.9761333585727</v>
      </c>
      <c r="AY352" s="74">
        <v>0</v>
      </c>
      <c r="AZ352" s="73"/>
      <c r="BA352" s="72">
        <v>104628.91259840372</v>
      </c>
      <c r="BB352" s="72">
        <v>0</v>
      </c>
      <c r="BC352" s="73"/>
      <c r="BD352" s="74">
        <v>-355.50680772010287</v>
      </c>
      <c r="BE352" s="74">
        <v>0</v>
      </c>
      <c r="BF352" s="73"/>
      <c r="BG352" s="72">
        <v>6835854.7444707016</v>
      </c>
      <c r="BH352" s="72">
        <v>0</v>
      </c>
      <c r="BI352" s="73"/>
      <c r="BJ352" s="74">
        <v>-3126.7615835468414</v>
      </c>
      <c r="BK352" s="74">
        <v>0</v>
      </c>
      <c r="BL352" s="73"/>
      <c r="BM352" s="72">
        <v>19594912.255594857</v>
      </c>
      <c r="BN352" s="72">
        <v>0</v>
      </c>
      <c r="BO352" s="73"/>
      <c r="BP352" s="74">
        <v>-6429.7323184075185</v>
      </c>
      <c r="BQ352" s="74">
        <v>0</v>
      </c>
      <c r="BS352" s="109">
        <f t="shared" si="159"/>
        <v>117126.78226511611</v>
      </c>
      <c r="BT352" s="109">
        <f t="shared" si="160"/>
        <v>117417.82217750164</v>
      </c>
      <c r="BV352" s="58">
        <f t="array" ref="BV352">SUM(IF(BS352:BT352&gt;=BS352, 1))</f>
        <v>2</v>
      </c>
      <c r="BW352" s="58">
        <f t="array" ref="BW352">SUM(IF(BS352:BT352&gt;=BT352, 1))</f>
        <v>1</v>
      </c>
      <c r="BY352" s="109">
        <f t="shared" si="161"/>
        <v>132833.68589553653</v>
      </c>
      <c r="BZ352" s="109">
        <f t="shared" si="162"/>
        <v>133083.66011150813</v>
      </c>
      <c r="CB352" s="58">
        <f t="array" ref="CB352">SUM(IF(BY352:BZ352&gt;=BY352, 1))</f>
        <v>2</v>
      </c>
      <c r="CC352" s="58">
        <f t="array" ref="CC352">SUM(IF(BY352:BZ352&gt;=BZ352, 1))</f>
        <v>1</v>
      </c>
      <c r="CE352" s="109">
        <f t="shared" si="163"/>
        <v>93199.955790097549</v>
      </c>
      <c r="CF352" s="109">
        <f t="shared" si="164"/>
        <v>94912.005997265645</v>
      </c>
      <c r="CH352" s="58">
        <f t="array" ref="CH352">SUM(IF(CE352:CF352&gt;=CE352, 1))</f>
        <v>2</v>
      </c>
      <c r="CI352" s="58">
        <f t="array" ref="CI352">SUM(IF(CE352:CF352&gt;=CF352, 1))</f>
        <v>1</v>
      </c>
      <c r="CK352" s="109">
        <f t="shared" si="165"/>
        <v>48841.582536065202</v>
      </c>
      <c r="CL352" s="109">
        <f t="shared" si="166"/>
        <v>49666.26884730313</v>
      </c>
      <c r="CN352" s="58">
        <f t="array" ref="CN352">SUM(IF(CK352:CL352&gt;=CK352, 1))</f>
        <v>2</v>
      </c>
      <c r="CO352" s="58">
        <f t="array" ref="CO352">SUM(IF(CK352:CL352&gt;=CL352, 1))</f>
        <v>1</v>
      </c>
      <c r="CQ352" s="109" cm="1">
        <f t="array" ref="CQ352">AF352*WTP-AC352</f>
        <v>50293.122470165617</v>
      </c>
      <c r="CR352" s="109">
        <f t="shared" si="167"/>
        <v>54661.475135705419</v>
      </c>
      <c r="CT352" s="58">
        <f t="array" ref="CT352">SUM(IF(CQ352:CR352&gt;=CQ352, 1))</f>
        <v>2</v>
      </c>
      <c r="CU352" s="58">
        <f t="array" ref="CU352">SUM(IF(CQ352:CR352&gt;=CR352, 1))</f>
        <v>1</v>
      </c>
      <c r="CW352" s="109">
        <f t="shared" si="168"/>
        <v>-31329565.09692587</v>
      </c>
      <c r="CX352" s="109">
        <f t="shared" si="169"/>
        <v>0</v>
      </c>
      <c r="CZ352" s="58">
        <f t="array" ref="CZ352">SUM(IF(CW352:CX352&gt;=CW352, 1))</f>
        <v>2</v>
      </c>
      <c r="DA352" s="58">
        <f t="array" ref="DA352">SUM(IF(CW352:CX352&gt;=CX352, 1))</f>
        <v>1</v>
      </c>
      <c r="DC352" s="109">
        <f t="shared" si="170"/>
        <v>-1652439.2503198581</v>
      </c>
      <c r="DD352" s="109">
        <f t="shared" si="171"/>
        <v>0</v>
      </c>
      <c r="DF352" s="58">
        <f t="array" ref="DF352">SUM(IF(DC352:DD352&gt;=DC352, 1))</f>
        <v>2</v>
      </c>
      <c r="DG352" s="58">
        <f t="array" ref="DG352">SUM(IF(DC352:DD352&gt;=DD352, 1))</f>
        <v>1</v>
      </c>
      <c r="DI352" s="109">
        <f t="shared" si="172"/>
        <v>-38621702.794091508</v>
      </c>
      <c r="DJ352" s="109">
        <f t="shared" si="173"/>
        <v>0</v>
      </c>
      <c r="DL352" s="58">
        <f t="array" ref="DL352">SUM(IF(DI352:DJ352&gt;=DI352, 1))</f>
        <v>2</v>
      </c>
      <c r="DM352" s="58">
        <f t="array" ref="DM352">SUM(IF(DI352:DJ352&gt;=DJ352, 1))</f>
        <v>1</v>
      </c>
      <c r="DO352" s="109">
        <f t="shared" si="174"/>
        <v>-7214765.0670004617</v>
      </c>
      <c r="DP352" s="109">
        <f t="shared" si="175"/>
        <v>0</v>
      </c>
      <c r="DR352" s="58">
        <f t="array" ref="DR352">SUM(IF(DO352:DP352&gt;=DO352, 1))</f>
        <v>2</v>
      </c>
      <c r="DS352" s="58">
        <f t="array" ref="DS352">SUM(IF(DO352:DP352&gt;=DP352, 1))</f>
        <v>1</v>
      </c>
      <c r="DU352" s="109">
        <f t="shared" si="176"/>
        <v>-69371086.415407538</v>
      </c>
      <c r="DV352" s="109">
        <f t="shared" si="177"/>
        <v>0</v>
      </c>
      <c r="DX352" s="58">
        <f t="array" ref="DX352">SUM(IF(DU352:DV352&gt;=DU352, 1))</f>
        <v>2</v>
      </c>
      <c r="DY352" s="58">
        <f t="array" ref="DY352">SUM(IF(DU352:DV352&gt;=DV352, 1))</f>
        <v>1</v>
      </c>
      <c r="EA352" s="109">
        <f t="shared" si="178"/>
        <v>-148189558.62374523</v>
      </c>
      <c r="EB352" s="109">
        <f t="shared" si="179"/>
        <v>0</v>
      </c>
      <c r="ED352" s="58">
        <f t="array" ref="ED352">SUM(IF(EA352:EB352&gt;=EA352, 1))</f>
        <v>2</v>
      </c>
      <c r="EE352" s="58">
        <f t="array" ref="EE352">SUM(IF(EA352:EB352&gt;=EB352, 1))</f>
        <v>1</v>
      </c>
    </row>
    <row r="353" spans="4:135" ht="12" customHeight="1" x14ac:dyDescent="0.25">
      <c r="D353" s="11">
        <v>337</v>
      </c>
      <c r="E353" s="72">
        <v>296.15651272965158</v>
      </c>
      <c r="F353" s="72">
        <v>272.30813048930281</v>
      </c>
      <c r="G353" s="73"/>
      <c r="H353" s="74">
        <v>5.8917451428217484</v>
      </c>
      <c r="I353" s="74">
        <v>5.9075797894183601</v>
      </c>
      <c r="J353" s="73"/>
      <c r="K353" s="72">
        <v>318.01196873835084</v>
      </c>
      <c r="L353" s="72">
        <v>293.57284638002017</v>
      </c>
      <c r="M353" s="73"/>
      <c r="N353" s="74">
        <v>6.7802786617788247</v>
      </c>
      <c r="O353" s="74">
        <v>6.7937999457929825</v>
      </c>
      <c r="P353" s="73"/>
      <c r="Q353" s="72">
        <v>3402.8799333837987</v>
      </c>
      <c r="R353" s="72">
        <v>1594.1310062518382</v>
      </c>
      <c r="S353" s="73"/>
      <c r="T353" s="74">
        <v>4.9155245098395799</v>
      </c>
      <c r="U353" s="74">
        <v>5.0535137453546009</v>
      </c>
      <c r="V353" s="73"/>
      <c r="W353" s="72">
        <v>11349.215484066195</v>
      </c>
      <c r="X353" s="72">
        <v>11346.636344611859</v>
      </c>
      <c r="Y353" s="73"/>
      <c r="Z353" s="74">
        <v>3.0534659560850983</v>
      </c>
      <c r="AA353" s="74">
        <v>3.1101905258536093</v>
      </c>
      <c r="AB353" s="73"/>
      <c r="AC353" s="72">
        <v>50985.444084806179</v>
      </c>
      <c r="AD353" s="72">
        <v>50843.469209147239</v>
      </c>
      <c r="AE353" s="73"/>
      <c r="AF353" s="74">
        <v>4.363301994547081</v>
      </c>
      <c r="AG353" s="74">
        <v>4.4293908828533928</v>
      </c>
      <c r="AH353" s="73"/>
      <c r="AI353" s="72">
        <v>2533415.58961047</v>
      </c>
      <c r="AJ353" s="72">
        <v>0</v>
      </c>
      <c r="AK353" s="73"/>
      <c r="AL353" s="74">
        <v>-1682.1157988635882</v>
      </c>
      <c r="AM353" s="74">
        <v>0</v>
      </c>
      <c r="AN353" s="73"/>
      <c r="AO353" s="72">
        <v>167047.58278353885</v>
      </c>
      <c r="AP353" s="72">
        <v>0</v>
      </c>
      <c r="AQ353" s="73"/>
      <c r="AR353" s="74">
        <v>-92.421396217808251</v>
      </c>
      <c r="AS353" s="74">
        <v>0</v>
      </c>
      <c r="AT353" s="73"/>
      <c r="AU353" s="72">
        <v>41300826.056670271</v>
      </c>
      <c r="AV353" s="72">
        <v>0</v>
      </c>
      <c r="AW353" s="73"/>
      <c r="AX353" s="74">
        <v>-3150.8349932986594</v>
      </c>
      <c r="AY353" s="74">
        <v>0</v>
      </c>
      <c r="AZ353" s="73"/>
      <c r="BA353" s="72">
        <v>22700.824708957014</v>
      </c>
      <c r="BB353" s="72">
        <v>0</v>
      </c>
      <c r="BC353" s="73"/>
      <c r="BD353" s="74">
        <v>-499.27293107057511</v>
      </c>
      <c r="BE353" s="74">
        <v>0</v>
      </c>
      <c r="BF353" s="73"/>
      <c r="BG353" s="72">
        <v>2186302.4262878145</v>
      </c>
      <c r="BH353" s="72">
        <v>0</v>
      </c>
      <c r="BI353" s="73"/>
      <c r="BJ353" s="74">
        <v>-1017.7173685424227</v>
      </c>
      <c r="BK353" s="74">
        <v>0</v>
      </c>
      <c r="BL353" s="73"/>
      <c r="BM353" s="72">
        <v>46210292.480061047</v>
      </c>
      <c r="BN353" s="72">
        <v>0</v>
      </c>
      <c r="BO353" s="73"/>
      <c r="BP353" s="74">
        <v>-6442.3624879930539</v>
      </c>
      <c r="BQ353" s="74">
        <v>0</v>
      </c>
      <c r="BS353" s="109">
        <f t="shared" si="159"/>
        <v>117538.74634370532</v>
      </c>
      <c r="BT353" s="109">
        <f t="shared" si="160"/>
        <v>117879.28765787791</v>
      </c>
      <c r="BV353" s="58">
        <f t="array" ref="BV353">SUM(IF(BS353:BT353&gt;=BS353, 1))</f>
        <v>2</v>
      </c>
      <c r="BW353" s="58">
        <f t="array" ref="BW353">SUM(IF(BS353:BT353&gt;=BT353, 1))</f>
        <v>1</v>
      </c>
      <c r="BY353" s="109">
        <f t="shared" si="161"/>
        <v>135287.56126683817</v>
      </c>
      <c r="BZ353" s="109">
        <f t="shared" si="162"/>
        <v>135582.42606947961</v>
      </c>
      <c r="CB353" s="58">
        <f t="array" ref="CB353">SUM(IF(BY353:BZ353&gt;=BY353, 1))</f>
        <v>2</v>
      </c>
      <c r="CC353" s="58">
        <f t="array" ref="CC353">SUM(IF(BY353:BZ353&gt;=BZ353, 1))</f>
        <v>1</v>
      </c>
      <c r="CE353" s="109">
        <f t="shared" si="163"/>
        <v>94907.610263407798</v>
      </c>
      <c r="CF353" s="109">
        <f t="shared" si="164"/>
        <v>99476.143900840179</v>
      </c>
      <c r="CH353" s="58">
        <f t="array" ref="CH353">SUM(IF(CE353:CF353&gt;=CE353, 1))</f>
        <v>2</v>
      </c>
      <c r="CI353" s="58">
        <f t="array" ref="CI353">SUM(IF(CE353:CF353&gt;=CF353, 1))</f>
        <v>1</v>
      </c>
      <c r="CK353" s="109">
        <f t="shared" si="165"/>
        <v>49720.103637635766</v>
      </c>
      <c r="CL353" s="109">
        <f t="shared" si="166"/>
        <v>50857.174172460334</v>
      </c>
      <c r="CN353" s="58">
        <f t="array" ref="CN353">SUM(IF(CK353:CL353&gt;=CK353, 1))</f>
        <v>2</v>
      </c>
      <c r="CO353" s="58">
        <f t="array" ref="CO353">SUM(IF(CK353:CL353&gt;=CL353, 1))</f>
        <v>1</v>
      </c>
      <c r="CQ353" s="109" cm="1">
        <f t="array" ref="CQ353">AF353*WTP-AC353</f>
        <v>36280.595806135447</v>
      </c>
      <c r="CR353" s="109">
        <f t="shared" si="167"/>
        <v>37744.348447920624</v>
      </c>
      <c r="CT353" s="58">
        <f t="array" ref="CT353">SUM(IF(CQ353:CR353&gt;=CQ353, 1))</f>
        <v>2</v>
      </c>
      <c r="CU353" s="58">
        <f t="array" ref="CU353">SUM(IF(CQ353:CR353&gt;=CR353, 1))</f>
        <v>1</v>
      </c>
      <c r="CW353" s="109">
        <f t="shared" si="168"/>
        <v>-36175731.566882238</v>
      </c>
      <c r="CX353" s="109">
        <f t="shared" si="169"/>
        <v>0</v>
      </c>
      <c r="CZ353" s="58">
        <f t="array" ref="CZ353">SUM(IF(CW353:CX353&gt;=CW353, 1))</f>
        <v>2</v>
      </c>
      <c r="DA353" s="58">
        <f t="array" ref="DA353">SUM(IF(CW353:CX353&gt;=CX353, 1))</f>
        <v>1</v>
      </c>
      <c r="DC353" s="109">
        <f t="shared" si="170"/>
        <v>-2015475.507139704</v>
      </c>
      <c r="DD353" s="109">
        <f t="shared" si="171"/>
        <v>0</v>
      </c>
      <c r="DF353" s="58">
        <f t="array" ref="DF353">SUM(IF(DC353:DD353&gt;=DC353, 1))</f>
        <v>2</v>
      </c>
      <c r="DG353" s="58">
        <f t="array" ref="DG353">SUM(IF(DC353:DD353&gt;=DD353, 1))</f>
        <v>1</v>
      </c>
      <c r="DI353" s="109">
        <f t="shared" si="172"/>
        <v>-104317525.92264345</v>
      </c>
      <c r="DJ353" s="109">
        <f t="shared" si="173"/>
        <v>0</v>
      </c>
      <c r="DL353" s="58">
        <f t="array" ref="DL353">SUM(IF(DI353:DJ353&gt;=DI353, 1))</f>
        <v>2</v>
      </c>
      <c r="DM353" s="58">
        <f t="array" ref="DM353">SUM(IF(DI353:DJ353&gt;=DJ353, 1))</f>
        <v>1</v>
      </c>
      <c r="DO353" s="109">
        <f t="shared" si="174"/>
        <v>-10008159.44612046</v>
      </c>
      <c r="DP353" s="109">
        <f t="shared" si="175"/>
        <v>0</v>
      </c>
      <c r="DR353" s="58">
        <f t="array" ref="DR353">SUM(IF(DO353:DP353&gt;=DO353, 1))</f>
        <v>2</v>
      </c>
      <c r="DS353" s="58">
        <f t="array" ref="DS353">SUM(IF(DO353:DP353&gt;=DP353, 1))</f>
        <v>1</v>
      </c>
      <c r="DU353" s="109">
        <f t="shared" si="176"/>
        <v>-22540649.79713627</v>
      </c>
      <c r="DV353" s="109">
        <f t="shared" si="177"/>
        <v>0</v>
      </c>
      <c r="DX353" s="58">
        <f t="array" ref="DX353">SUM(IF(DU353:DV353&gt;=DU353, 1))</f>
        <v>2</v>
      </c>
      <c r="DY353" s="58">
        <f t="array" ref="DY353">SUM(IF(DU353:DV353&gt;=DV353, 1))</f>
        <v>1</v>
      </c>
      <c r="EA353" s="109">
        <f t="shared" si="178"/>
        <v>-175057542.23992214</v>
      </c>
      <c r="EB353" s="109">
        <f t="shared" si="179"/>
        <v>0</v>
      </c>
      <c r="ED353" s="58">
        <f t="array" ref="ED353">SUM(IF(EA353:EB353&gt;=EA353, 1))</f>
        <v>2</v>
      </c>
      <c r="EE353" s="58">
        <f t="array" ref="EE353">SUM(IF(EA353:EB353&gt;=EB353, 1))</f>
        <v>1</v>
      </c>
    </row>
    <row r="354" spans="4:135" ht="12" customHeight="1" x14ac:dyDescent="0.25">
      <c r="D354" s="11">
        <v>338</v>
      </c>
      <c r="E354" s="72">
        <v>191.13863948807298</v>
      </c>
      <c r="F354" s="72">
        <v>175.27917195336943</v>
      </c>
      <c r="G354" s="73"/>
      <c r="H354" s="74">
        <v>5.8686094505757112</v>
      </c>
      <c r="I354" s="74">
        <v>5.8833020210051972</v>
      </c>
      <c r="J354" s="73"/>
      <c r="K354" s="72">
        <v>205.1826658183121</v>
      </c>
      <c r="L354" s="72">
        <v>188.96719270621693</v>
      </c>
      <c r="M354" s="73"/>
      <c r="N354" s="74">
        <v>6.7213445262686937</v>
      </c>
      <c r="O354" s="74">
        <v>6.7341588115187205</v>
      </c>
      <c r="P354" s="73"/>
      <c r="Q354" s="72">
        <v>2183.2751043676999</v>
      </c>
      <c r="R354" s="72">
        <v>1172.906825493706</v>
      </c>
      <c r="S354" s="73"/>
      <c r="T354" s="74">
        <v>4.6549889645222651</v>
      </c>
      <c r="U354" s="74">
        <v>4.7554113814419452</v>
      </c>
      <c r="V354" s="73"/>
      <c r="W354" s="72">
        <v>11727.21487636597</v>
      </c>
      <c r="X354" s="72">
        <v>11718.786900170544</v>
      </c>
      <c r="Y354" s="73"/>
      <c r="Z354" s="74">
        <v>2.9256805332993006</v>
      </c>
      <c r="AA354" s="74">
        <v>2.9638304812300276</v>
      </c>
      <c r="AB354" s="73"/>
      <c r="AC354" s="72">
        <v>52034.11214729616</v>
      </c>
      <c r="AD354" s="72">
        <v>51794.56519103032</v>
      </c>
      <c r="AE354" s="73"/>
      <c r="AF354" s="74">
        <v>4.6887106646294532</v>
      </c>
      <c r="AG354" s="74">
        <v>4.7896885544568635</v>
      </c>
      <c r="AH354" s="73"/>
      <c r="AI354" s="72">
        <v>1726887.4684246164</v>
      </c>
      <c r="AJ354" s="72">
        <v>0</v>
      </c>
      <c r="AK354" s="73"/>
      <c r="AL354" s="74">
        <v>-1599.8277179297338</v>
      </c>
      <c r="AM354" s="74">
        <v>0</v>
      </c>
      <c r="AN354" s="73"/>
      <c r="AO354" s="72">
        <v>113984.76804866009</v>
      </c>
      <c r="AP354" s="72">
        <v>0</v>
      </c>
      <c r="AQ354" s="73"/>
      <c r="AR354" s="74">
        <v>-90.076516536799772</v>
      </c>
      <c r="AS354" s="74">
        <v>0</v>
      </c>
      <c r="AT354" s="73"/>
      <c r="AU354" s="72">
        <v>24010820.326344039</v>
      </c>
      <c r="AV354" s="72">
        <v>0</v>
      </c>
      <c r="AW354" s="73"/>
      <c r="AX354" s="74">
        <v>-2386.4809097954294</v>
      </c>
      <c r="AY354" s="74">
        <v>0</v>
      </c>
      <c r="AZ354" s="73"/>
      <c r="BA354" s="72">
        <v>75520.031933313832</v>
      </c>
      <c r="BB354" s="72">
        <v>0</v>
      </c>
      <c r="BC354" s="73"/>
      <c r="BD354" s="74">
        <v>-341.84781959237671</v>
      </c>
      <c r="BE354" s="74">
        <v>0</v>
      </c>
      <c r="BF354" s="73"/>
      <c r="BG354" s="72">
        <v>3758241.6211800054</v>
      </c>
      <c r="BH354" s="72">
        <v>0</v>
      </c>
      <c r="BI354" s="73"/>
      <c r="BJ354" s="74">
        <v>-1584.2376554647128</v>
      </c>
      <c r="BK354" s="74">
        <v>0</v>
      </c>
      <c r="BL354" s="73"/>
      <c r="BM354" s="72">
        <v>29685454.215930637</v>
      </c>
      <c r="BN354" s="72">
        <v>0</v>
      </c>
      <c r="BO354" s="73"/>
      <c r="BP354" s="74">
        <v>-6002.4706193190523</v>
      </c>
      <c r="BQ354" s="74">
        <v>0</v>
      </c>
      <c r="BS354" s="109">
        <f t="shared" si="159"/>
        <v>117181.05037202615</v>
      </c>
      <c r="BT354" s="109">
        <f t="shared" si="160"/>
        <v>117490.76124815058</v>
      </c>
      <c r="BV354" s="58">
        <f t="array" ref="BV354">SUM(IF(BS354:BT354&gt;=BS354, 1))</f>
        <v>2</v>
      </c>
      <c r="BW354" s="58">
        <f t="array" ref="BW354">SUM(IF(BS354:BT354&gt;=BT354, 1))</f>
        <v>1</v>
      </c>
      <c r="BY354" s="109">
        <f t="shared" si="161"/>
        <v>134221.70785955555</v>
      </c>
      <c r="BZ354" s="109">
        <f t="shared" si="162"/>
        <v>134494.20903766819</v>
      </c>
      <c r="CB354" s="58">
        <f t="array" ref="CB354">SUM(IF(BY354:BZ354&gt;=BY354, 1))</f>
        <v>2</v>
      </c>
      <c r="CC354" s="58">
        <f t="array" ref="CC354">SUM(IF(BY354:BZ354&gt;=BZ354, 1))</f>
        <v>1</v>
      </c>
      <c r="CE354" s="109">
        <f t="shared" si="163"/>
        <v>90916.504186077596</v>
      </c>
      <c r="CF354" s="109">
        <f t="shared" si="164"/>
        <v>93935.32080334521</v>
      </c>
      <c r="CH354" s="58">
        <f t="array" ref="CH354">SUM(IF(CE354:CF354&gt;=CE354, 1))</f>
        <v>2</v>
      </c>
      <c r="CI354" s="58">
        <f t="array" ref="CI354">SUM(IF(CE354:CF354&gt;=CF354, 1))</f>
        <v>1</v>
      </c>
      <c r="CK354" s="109">
        <f t="shared" si="165"/>
        <v>46786.395789620037</v>
      </c>
      <c r="CL354" s="109">
        <f t="shared" si="166"/>
        <v>47557.822724430007</v>
      </c>
      <c r="CN354" s="58">
        <f t="array" ref="CN354">SUM(IF(CK354:CL354&gt;=CK354, 1))</f>
        <v>2</v>
      </c>
      <c r="CO354" s="58">
        <f t="array" ref="CO354">SUM(IF(CK354:CL354&gt;=CL354, 1))</f>
        <v>1</v>
      </c>
      <c r="CQ354" s="109" cm="1">
        <f t="array" ref="CQ354">AF354*WTP-AC354</f>
        <v>41740.101145292901</v>
      </c>
      <c r="CR354" s="109">
        <f t="shared" si="167"/>
        <v>43999.205898106949</v>
      </c>
      <c r="CT354" s="58">
        <f t="array" ref="CT354">SUM(IF(CQ354:CR354&gt;=CQ354, 1))</f>
        <v>2</v>
      </c>
      <c r="CU354" s="58">
        <f t="array" ref="CU354">SUM(IF(CQ354:CR354&gt;=CR354, 1))</f>
        <v>1</v>
      </c>
      <c r="CW354" s="109">
        <f t="shared" si="168"/>
        <v>-33723441.827019289</v>
      </c>
      <c r="CX354" s="109">
        <f t="shared" si="169"/>
        <v>0</v>
      </c>
      <c r="CZ354" s="58">
        <f t="array" ref="CZ354">SUM(IF(CW354:CX354&gt;=CW354, 1))</f>
        <v>2</v>
      </c>
      <c r="DA354" s="58">
        <f t="array" ref="DA354">SUM(IF(CW354:CX354&gt;=CX354, 1))</f>
        <v>1</v>
      </c>
      <c r="DC354" s="109">
        <f t="shared" si="170"/>
        <v>-1915515.0987846556</v>
      </c>
      <c r="DD354" s="109">
        <f t="shared" si="171"/>
        <v>0</v>
      </c>
      <c r="DF354" s="58">
        <f t="array" ref="DF354">SUM(IF(DC354:DD354&gt;=DC354, 1))</f>
        <v>2</v>
      </c>
      <c r="DG354" s="58">
        <f t="array" ref="DG354">SUM(IF(DC354:DD354&gt;=DD354, 1))</f>
        <v>1</v>
      </c>
      <c r="DI354" s="109">
        <f t="shared" si="172"/>
        <v>-71740438.522252634</v>
      </c>
      <c r="DJ354" s="109">
        <f t="shared" si="173"/>
        <v>0</v>
      </c>
      <c r="DL354" s="58">
        <f t="array" ref="DL354">SUM(IF(DI354:DJ354&gt;=DI354, 1))</f>
        <v>2</v>
      </c>
      <c r="DM354" s="58">
        <f t="array" ref="DM354">SUM(IF(DI354:DJ354&gt;=DJ354, 1))</f>
        <v>1</v>
      </c>
      <c r="DO354" s="109">
        <f t="shared" si="174"/>
        <v>-6912476.4237808483</v>
      </c>
      <c r="DP354" s="109">
        <f t="shared" si="175"/>
        <v>0</v>
      </c>
      <c r="DR354" s="58">
        <f t="array" ref="DR354">SUM(IF(DO354:DP354&gt;=DO354, 1))</f>
        <v>2</v>
      </c>
      <c r="DS354" s="58">
        <f t="array" ref="DS354">SUM(IF(DO354:DP354&gt;=DP354, 1))</f>
        <v>1</v>
      </c>
      <c r="DU354" s="109">
        <f t="shared" si="176"/>
        <v>-35442994.730474263</v>
      </c>
      <c r="DV354" s="109">
        <f t="shared" si="177"/>
        <v>0</v>
      </c>
      <c r="DX354" s="58">
        <f t="array" ref="DX354">SUM(IF(DU354:DV354&gt;=DU354, 1))</f>
        <v>2</v>
      </c>
      <c r="DY354" s="58">
        <f t="array" ref="DY354">SUM(IF(DU354:DV354&gt;=DV354, 1))</f>
        <v>1</v>
      </c>
      <c r="EA354" s="109">
        <f t="shared" si="178"/>
        <v>-149734866.60231167</v>
      </c>
      <c r="EB354" s="109">
        <f t="shared" si="179"/>
        <v>0</v>
      </c>
      <c r="ED354" s="58">
        <f t="array" ref="ED354">SUM(IF(EA354:EB354&gt;=EA354, 1))</f>
        <v>2</v>
      </c>
      <c r="EE354" s="58">
        <f t="array" ref="EE354">SUM(IF(EA354:EB354&gt;=EB354, 1))</f>
        <v>1</v>
      </c>
    </row>
    <row r="355" spans="4:135" ht="12" customHeight="1" x14ac:dyDescent="0.25">
      <c r="D355" s="11">
        <v>339</v>
      </c>
      <c r="E355" s="72">
        <v>246.65967071247834</v>
      </c>
      <c r="F355" s="72">
        <v>225.0452407714113</v>
      </c>
      <c r="G355" s="73"/>
      <c r="H355" s="74">
        <v>5.8130173107952032</v>
      </c>
      <c r="I355" s="74">
        <v>5.8260725393396307</v>
      </c>
      <c r="J355" s="73"/>
      <c r="K355" s="72">
        <v>264.64510394445369</v>
      </c>
      <c r="L355" s="72">
        <v>242.53023737274069</v>
      </c>
      <c r="M355" s="73"/>
      <c r="N355" s="74">
        <v>6.6452403178465191</v>
      </c>
      <c r="O355" s="74">
        <v>6.6561173699664771</v>
      </c>
      <c r="P355" s="73"/>
      <c r="Q355" s="72">
        <v>2135.4488323310798</v>
      </c>
      <c r="R355" s="72">
        <v>1387.3929580935439</v>
      </c>
      <c r="S355" s="73"/>
      <c r="T355" s="74">
        <v>4.779005339635896</v>
      </c>
      <c r="U355" s="74">
        <v>4.8514826760400638</v>
      </c>
      <c r="V355" s="73"/>
      <c r="W355" s="72">
        <v>11211.232435126582</v>
      </c>
      <c r="X355" s="72">
        <v>11230.964963339262</v>
      </c>
      <c r="Y355" s="73"/>
      <c r="Z355" s="74">
        <v>3.0408984684315832</v>
      </c>
      <c r="AA355" s="74">
        <v>3.1000378170957763</v>
      </c>
      <c r="AB355" s="73"/>
      <c r="AC355" s="72">
        <v>50219.337851868928</v>
      </c>
      <c r="AD355" s="72">
        <v>49898.044115196499</v>
      </c>
      <c r="AE355" s="73"/>
      <c r="AF355" s="74">
        <v>4.4814441666438114</v>
      </c>
      <c r="AG355" s="74">
        <v>4.5921784554586518</v>
      </c>
      <c r="AH355" s="73"/>
      <c r="AI355" s="72">
        <v>2342573.4202832086</v>
      </c>
      <c r="AJ355" s="72">
        <v>0</v>
      </c>
      <c r="AK355" s="73"/>
      <c r="AL355" s="74">
        <v>-1414.926577628192</v>
      </c>
      <c r="AM355" s="74">
        <v>0</v>
      </c>
      <c r="AN355" s="73"/>
      <c r="AO355" s="72">
        <v>156006.15798026408</v>
      </c>
      <c r="AP355" s="72">
        <v>0</v>
      </c>
      <c r="AQ355" s="73"/>
      <c r="AR355" s="74">
        <v>-76.730605897310781</v>
      </c>
      <c r="AS355" s="74">
        <v>0</v>
      </c>
      <c r="AT355" s="73"/>
      <c r="AU355" s="72">
        <v>17468504.160368968</v>
      </c>
      <c r="AV355" s="72">
        <v>0</v>
      </c>
      <c r="AW355" s="73"/>
      <c r="AX355" s="74">
        <v>-1692.4813989317604</v>
      </c>
      <c r="AY355" s="74">
        <v>0</v>
      </c>
      <c r="AZ355" s="73"/>
      <c r="BA355" s="72">
        <v>-170239.57958597867</v>
      </c>
      <c r="BB355" s="72">
        <v>0</v>
      </c>
      <c r="BC355" s="73"/>
      <c r="BD355" s="74">
        <v>-510.21631617945093</v>
      </c>
      <c r="BE355" s="74">
        <v>0</v>
      </c>
      <c r="BF355" s="73"/>
      <c r="BG355" s="72">
        <v>5046331.2407432329</v>
      </c>
      <c r="BH355" s="72">
        <v>0</v>
      </c>
      <c r="BI355" s="73"/>
      <c r="BJ355" s="74">
        <v>-1739.2243834417857</v>
      </c>
      <c r="BK355" s="74">
        <v>0</v>
      </c>
      <c r="BL355" s="73"/>
      <c r="BM355" s="72">
        <v>24843175.399789698</v>
      </c>
      <c r="BN355" s="72">
        <v>0</v>
      </c>
      <c r="BO355" s="73"/>
      <c r="BP355" s="74">
        <v>-5433.5792820785</v>
      </c>
      <c r="BQ355" s="74">
        <v>0</v>
      </c>
      <c r="BS355" s="109">
        <f t="shared" si="159"/>
        <v>116013.68654519158</v>
      </c>
      <c r="BT355" s="109">
        <f t="shared" si="160"/>
        <v>116296.4055460212</v>
      </c>
      <c r="BV355" s="58">
        <f t="array" ref="BV355">SUM(IF(BS355:BT355&gt;=BS355, 1))</f>
        <v>2</v>
      </c>
      <c r="BW355" s="58">
        <f t="array" ref="BW355">SUM(IF(BS355:BT355&gt;=BT355, 1))</f>
        <v>1</v>
      </c>
      <c r="BY355" s="109">
        <f t="shared" si="161"/>
        <v>132640.16125298591</v>
      </c>
      <c r="BZ355" s="109">
        <f t="shared" si="162"/>
        <v>132879.8171619568</v>
      </c>
      <c r="CB355" s="58">
        <f t="array" ref="CB355">SUM(IF(BY355:BZ355&gt;=BY355, 1))</f>
        <v>2</v>
      </c>
      <c r="CC355" s="58">
        <f t="array" ref="CC355">SUM(IF(BY355:BZ355&gt;=BZ355, 1))</f>
        <v>1</v>
      </c>
      <c r="CE355" s="109">
        <f t="shared" si="163"/>
        <v>93444.657960386845</v>
      </c>
      <c r="CF355" s="109">
        <f t="shared" si="164"/>
        <v>95642.260562707728</v>
      </c>
      <c r="CH355" s="58">
        <f t="array" ref="CH355">SUM(IF(CE355:CF355&gt;=CE355, 1))</f>
        <v>2</v>
      </c>
      <c r="CI355" s="58">
        <f t="array" ref="CI355">SUM(IF(CE355:CF355&gt;=CF355, 1))</f>
        <v>1</v>
      </c>
      <c r="CK355" s="109">
        <f t="shared" si="165"/>
        <v>49606.736933505075</v>
      </c>
      <c r="CL355" s="109">
        <f t="shared" si="166"/>
        <v>50769.791378576265</v>
      </c>
      <c r="CN355" s="58">
        <f t="array" ref="CN355">SUM(IF(CK355:CL355&gt;=CK355, 1))</f>
        <v>2</v>
      </c>
      <c r="CO355" s="58">
        <f t="array" ref="CO355">SUM(IF(CK355:CL355&gt;=CL355, 1))</f>
        <v>1</v>
      </c>
      <c r="CQ355" s="109" cm="1">
        <f t="array" ref="CQ355">AF355*WTP-AC355</f>
        <v>39409.545481007299</v>
      </c>
      <c r="CR355" s="109">
        <f t="shared" si="167"/>
        <v>41945.524993976542</v>
      </c>
      <c r="CT355" s="58">
        <f t="array" ref="CT355">SUM(IF(CQ355:CR355&gt;=CQ355, 1))</f>
        <v>2</v>
      </c>
      <c r="CU355" s="58">
        <f t="array" ref="CU355">SUM(IF(CQ355:CR355&gt;=CR355, 1))</f>
        <v>1</v>
      </c>
      <c r="CW355" s="109">
        <f t="shared" si="168"/>
        <v>-30641104.972847052</v>
      </c>
      <c r="CX355" s="109">
        <f t="shared" si="169"/>
        <v>0</v>
      </c>
      <c r="CZ355" s="58">
        <f t="array" ref="CZ355">SUM(IF(CW355:CX355&gt;=CW355, 1))</f>
        <v>2</v>
      </c>
      <c r="DA355" s="58">
        <f t="array" ref="DA355">SUM(IF(CW355:CX355&gt;=CX355, 1))</f>
        <v>1</v>
      </c>
      <c r="DC355" s="109">
        <f t="shared" si="170"/>
        <v>-1690618.2759264798</v>
      </c>
      <c r="DD355" s="109">
        <f t="shared" si="171"/>
        <v>0</v>
      </c>
      <c r="DF355" s="58">
        <f t="array" ref="DF355">SUM(IF(DC355:DD355&gt;=DC355, 1))</f>
        <v>2</v>
      </c>
      <c r="DG355" s="58">
        <f t="array" ref="DG355">SUM(IF(DC355:DD355&gt;=DD355, 1))</f>
        <v>1</v>
      </c>
      <c r="DI355" s="109">
        <f t="shared" si="172"/>
        <v>-51318132.139004171</v>
      </c>
      <c r="DJ355" s="109">
        <f t="shared" si="173"/>
        <v>0</v>
      </c>
      <c r="DL355" s="58">
        <f t="array" ref="DL355">SUM(IF(DI355:DJ355&gt;=DI355, 1))</f>
        <v>2</v>
      </c>
      <c r="DM355" s="58">
        <f t="array" ref="DM355">SUM(IF(DI355:DJ355&gt;=DJ355, 1))</f>
        <v>1</v>
      </c>
      <c r="DO355" s="109">
        <f t="shared" si="174"/>
        <v>-10034086.744003041</v>
      </c>
      <c r="DP355" s="109">
        <f t="shared" si="175"/>
        <v>0</v>
      </c>
      <c r="DR355" s="58">
        <f t="array" ref="DR355">SUM(IF(DO355:DP355&gt;=DO355, 1))</f>
        <v>2</v>
      </c>
      <c r="DS355" s="58">
        <f t="array" ref="DS355">SUM(IF(DO355:DP355&gt;=DP355, 1))</f>
        <v>1</v>
      </c>
      <c r="DU355" s="109">
        <f t="shared" si="176"/>
        <v>-39830818.909578949</v>
      </c>
      <c r="DV355" s="109">
        <f t="shared" si="177"/>
        <v>0</v>
      </c>
      <c r="DX355" s="58">
        <f t="array" ref="DX355">SUM(IF(DU355:DV355&gt;=DU355, 1))</f>
        <v>2</v>
      </c>
      <c r="DY355" s="58">
        <f t="array" ref="DY355">SUM(IF(DU355:DV355&gt;=DV355, 1))</f>
        <v>1</v>
      </c>
      <c r="EA355" s="109">
        <f t="shared" si="178"/>
        <v>-133514761.04135969</v>
      </c>
      <c r="EB355" s="109">
        <f t="shared" si="179"/>
        <v>0</v>
      </c>
      <c r="ED355" s="58">
        <f t="array" ref="ED355">SUM(IF(EA355:EB355&gt;=EA355, 1))</f>
        <v>2</v>
      </c>
      <c r="EE355" s="58">
        <f t="array" ref="EE355">SUM(IF(EA355:EB355&gt;=EB355, 1))</f>
        <v>1</v>
      </c>
    </row>
    <row r="356" spans="4:135" ht="12" customHeight="1" x14ac:dyDescent="0.25">
      <c r="D356" s="11">
        <v>340</v>
      </c>
      <c r="E356" s="72">
        <v>264.28309992035514</v>
      </c>
      <c r="F356" s="72">
        <v>245.99356904876768</v>
      </c>
      <c r="G356" s="73"/>
      <c r="H356" s="74">
        <v>5.7999306138977564</v>
      </c>
      <c r="I356" s="74">
        <v>5.8185276549078324</v>
      </c>
      <c r="J356" s="73"/>
      <c r="K356" s="72">
        <v>284.00687772183517</v>
      </c>
      <c r="L356" s="72">
        <v>265.26074383559347</v>
      </c>
      <c r="M356" s="73"/>
      <c r="N356" s="74">
        <v>6.6920451755326145</v>
      </c>
      <c r="O356" s="74">
        <v>6.7090523245242313</v>
      </c>
      <c r="P356" s="73"/>
      <c r="Q356" s="72">
        <v>2382.1373792309664</v>
      </c>
      <c r="R356" s="72">
        <v>1315.978771382016</v>
      </c>
      <c r="S356" s="73"/>
      <c r="T356" s="74">
        <v>4.8809041935972912</v>
      </c>
      <c r="U356" s="74">
        <v>4.9730282658577138</v>
      </c>
      <c r="V356" s="73"/>
      <c r="W356" s="72">
        <v>10657.872623425061</v>
      </c>
      <c r="X356" s="72">
        <v>10724.161299754684</v>
      </c>
      <c r="Y356" s="73"/>
      <c r="Z356" s="74">
        <v>2.8563507249509077</v>
      </c>
      <c r="AA356" s="74">
        <v>2.9335349392948569</v>
      </c>
      <c r="AB356" s="73"/>
      <c r="AC356" s="72">
        <v>50715.10528856</v>
      </c>
      <c r="AD356" s="72">
        <v>50347.071758165344</v>
      </c>
      <c r="AE356" s="73"/>
      <c r="AF356" s="74">
        <v>4.9740396659719321</v>
      </c>
      <c r="AG356" s="74">
        <v>5.0916712482273452</v>
      </c>
      <c r="AH356" s="73"/>
      <c r="AI356" s="72">
        <v>1954486.4802229544</v>
      </c>
      <c r="AJ356" s="72">
        <v>0</v>
      </c>
      <c r="AK356" s="73"/>
      <c r="AL356" s="74">
        <v>-1987.3481436755135</v>
      </c>
      <c r="AM356" s="74">
        <v>0</v>
      </c>
      <c r="AN356" s="73"/>
      <c r="AO356" s="72">
        <v>131262.58923830499</v>
      </c>
      <c r="AP356" s="72">
        <v>0</v>
      </c>
      <c r="AQ356" s="73"/>
      <c r="AR356" s="74">
        <v>-119.08601665539544</v>
      </c>
      <c r="AS356" s="74">
        <v>0</v>
      </c>
      <c r="AT356" s="73"/>
      <c r="AU356" s="72">
        <v>24600249.764542222</v>
      </c>
      <c r="AV356" s="72">
        <v>0</v>
      </c>
      <c r="AW356" s="73"/>
      <c r="AX356" s="74">
        <v>-2125.645443603838</v>
      </c>
      <c r="AY356" s="74">
        <v>0</v>
      </c>
      <c r="AZ356" s="73"/>
      <c r="BA356" s="72">
        <v>-572574.13869333873</v>
      </c>
      <c r="BB356" s="72">
        <v>0</v>
      </c>
      <c r="BC356" s="73"/>
      <c r="BD356" s="74">
        <v>-666.68528466240673</v>
      </c>
      <c r="BE356" s="74">
        <v>0</v>
      </c>
      <c r="BF356" s="73"/>
      <c r="BG356" s="72">
        <v>5844555.4738489604</v>
      </c>
      <c r="BH356" s="72">
        <v>0</v>
      </c>
      <c r="BI356" s="73"/>
      <c r="BJ356" s="74">
        <v>-1868.0480206006025</v>
      </c>
      <c r="BK356" s="74">
        <v>0</v>
      </c>
      <c r="BL356" s="73"/>
      <c r="BM356" s="72">
        <v>31957980.169159103</v>
      </c>
      <c r="BN356" s="72">
        <v>0</v>
      </c>
      <c r="BO356" s="73"/>
      <c r="BP356" s="74">
        <v>-6766.8129091977562</v>
      </c>
      <c r="BQ356" s="74">
        <v>0</v>
      </c>
      <c r="BS356" s="109">
        <f t="shared" si="159"/>
        <v>115734.32917803476</v>
      </c>
      <c r="BT356" s="109">
        <f t="shared" si="160"/>
        <v>116124.55952910789</v>
      </c>
      <c r="BV356" s="58">
        <f t="array" ref="BV356">SUM(IF(BS356:BT356&gt;=BS356, 1))</f>
        <v>2</v>
      </c>
      <c r="BW356" s="58">
        <f t="array" ref="BW356">SUM(IF(BS356:BT356&gt;=BT356, 1))</f>
        <v>1</v>
      </c>
      <c r="BY356" s="109">
        <f t="shared" si="161"/>
        <v>133556.89663293044</v>
      </c>
      <c r="BZ356" s="109">
        <f t="shared" si="162"/>
        <v>133915.78574664902</v>
      </c>
      <c r="CB356" s="58">
        <f t="array" ref="CB356">SUM(IF(BY356:BZ356&gt;=BY356, 1))</f>
        <v>2</v>
      </c>
      <c r="CC356" s="58">
        <f t="array" ref="CC356">SUM(IF(BY356:BZ356&gt;=BZ356, 1))</f>
        <v>1</v>
      </c>
      <c r="CE356" s="109">
        <f t="shared" si="163"/>
        <v>95235.946492714866</v>
      </c>
      <c r="CF356" s="109">
        <f t="shared" si="164"/>
        <v>98144.586545772268</v>
      </c>
      <c r="CH356" s="58">
        <f t="array" ref="CH356">SUM(IF(CE356:CF356&gt;=CE356, 1))</f>
        <v>2</v>
      </c>
      <c r="CI356" s="58">
        <f t="array" ref="CI356">SUM(IF(CE356:CF356&gt;=CF356, 1))</f>
        <v>1</v>
      </c>
      <c r="CK356" s="109">
        <f t="shared" si="165"/>
        <v>46469.141875593094</v>
      </c>
      <c r="CL356" s="109">
        <f t="shared" si="166"/>
        <v>47946.537486142457</v>
      </c>
      <c r="CN356" s="58">
        <f t="array" ref="CN356">SUM(IF(CK356:CL356&gt;=CK356, 1))</f>
        <v>2</v>
      </c>
      <c r="CO356" s="58">
        <f t="array" ref="CO356">SUM(IF(CK356:CL356&gt;=CL356, 1))</f>
        <v>1</v>
      </c>
      <c r="CQ356" s="109" cm="1">
        <f t="array" ref="CQ356">AF356*WTP-AC356</f>
        <v>48765.688030878642</v>
      </c>
      <c r="CR356" s="109">
        <f t="shared" si="167"/>
        <v>51486.353206381566</v>
      </c>
      <c r="CT356" s="58">
        <f t="array" ref="CT356">SUM(IF(CQ356:CR356&gt;=CQ356, 1))</f>
        <v>2</v>
      </c>
      <c r="CU356" s="58">
        <f t="array" ref="CU356">SUM(IF(CQ356:CR356&gt;=CR356, 1))</f>
        <v>1</v>
      </c>
      <c r="CW356" s="109">
        <f t="shared" si="168"/>
        <v>-41701449.353733227</v>
      </c>
      <c r="CX356" s="109">
        <f t="shared" si="169"/>
        <v>0</v>
      </c>
      <c r="CZ356" s="58">
        <f t="array" ref="CZ356">SUM(IF(CW356:CX356&gt;=CW356, 1))</f>
        <v>2</v>
      </c>
      <c r="DA356" s="58">
        <f t="array" ref="DA356">SUM(IF(CW356:CX356&gt;=CX356, 1))</f>
        <v>1</v>
      </c>
      <c r="DC356" s="109">
        <f t="shared" si="170"/>
        <v>-2512982.9223462138</v>
      </c>
      <c r="DD356" s="109">
        <f t="shared" si="171"/>
        <v>0</v>
      </c>
      <c r="DF356" s="58">
        <f t="array" ref="DF356">SUM(IF(DC356:DD356&gt;=DC356, 1))</f>
        <v>2</v>
      </c>
      <c r="DG356" s="58">
        <f t="array" ref="DG356">SUM(IF(DC356:DD356&gt;=DD356, 1))</f>
        <v>1</v>
      </c>
      <c r="DI356" s="109">
        <f t="shared" si="172"/>
        <v>-67113158.636618972</v>
      </c>
      <c r="DJ356" s="109">
        <f t="shared" si="173"/>
        <v>0</v>
      </c>
      <c r="DL356" s="58">
        <f t="array" ref="DL356">SUM(IF(DI356:DJ356&gt;=DI356, 1))</f>
        <v>2</v>
      </c>
      <c r="DM356" s="58">
        <f t="array" ref="DM356">SUM(IF(DI356:DJ356&gt;=DJ356, 1))</f>
        <v>1</v>
      </c>
      <c r="DO356" s="109">
        <f t="shared" si="174"/>
        <v>-12761131.554554796</v>
      </c>
      <c r="DP356" s="109">
        <f t="shared" si="175"/>
        <v>0</v>
      </c>
      <c r="DR356" s="58">
        <f t="array" ref="DR356">SUM(IF(DO356:DP356&gt;=DO356, 1))</f>
        <v>2</v>
      </c>
      <c r="DS356" s="58">
        <f t="array" ref="DS356">SUM(IF(DO356:DP356&gt;=DP356, 1))</f>
        <v>1</v>
      </c>
      <c r="DU356" s="109">
        <f t="shared" si="176"/>
        <v>-43205515.885861009</v>
      </c>
      <c r="DV356" s="109">
        <f t="shared" si="177"/>
        <v>0</v>
      </c>
      <c r="DX356" s="58">
        <f t="array" ref="DX356">SUM(IF(DU356:DV356&gt;=DU356, 1))</f>
        <v>2</v>
      </c>
      <c r="DY356" s="58">
        <f t="array" ref="DY356">SUM(IF(DU356:DV356&gt;=DV356, 1))</f>
        <v>1</v>
      </c>
      <c r="EA356" s="109">
        <f t="shared" si="178"/>
        <v>-167294238.35311425</v>
      </c>
      <c r="EB356" s="109">
        <f t="shared" si="179"/>
        <v>0</v>
      </c>
      <c r="ED356" s="58">
        <f t="array" ref="ED356">SUM(IF(EA356:EB356&gt;=EA356, 1))</f>
        <v>2</v>
      </c>
      <c r="EE356" s="58">
        <f t="array" ref="EE356">SUM(IF(EA356:EB356&gt;=EB356, 1))</f>
        <v>1</v>
      </c>
    </row>
    <row r="357" spans="4:135" ht="12" customHeight="1" x14ac:dyDescent="0.25">
      <c r="D357" s="11">
        <v>341</v>
      </c>
      <c r="E357" s="72">
        <v>278.68811955976827</v>
      </c>
      <c r="F357" s="72">
        <v>250.09460463789534</v>
      </c>
      <c r="G357" s="73"/>
      <c r="H357" s="74">
        <v>5.9257759002521535</v>
      </c>
      <c r="I357" s="74">
        <v>5.9388496593588229</v>
      </c>
      <c r="J357" s="73"/>
      <c r="K357" s="72">
        <v>298.85229416663657</v>
      </c>
      <c r="L357" s="72">
        <v>269.55750638514121</v>
      </c>
      <c r="M357" s="73"/>
      <c r="N357" s="74">
        <v>6.6424873944002734</v>
      </c>
      <c r="O357" s="74">
        <v>6.6530303814991534</v>
      </c>
      <c r="P357" s="73"/>
      <c r="Q357" s="72">
        <v>5670.1002288778091</v>
      </c>
      <c r="R357" s="72">
        <v>1717.4203100204902</v>
      </c>
      <c r="S357" s="73"/>
      <c r="T357" s="74">
        <v>4.8201407574265653</v>
      </c>
      <c r="U357" s="74">
        <v>5.0793307520779489</v>
      </c>
      <c r="V357" s="73"/>
      <c r="W357" s="72">
        <v>16460.757095514778</v>
      </c>
      <c r="X357" s="72">
        <v>16440.208106882914</v>
      </c>
      <c r="Y357" s="73"/>
      <c r="Z357" s="74">
        <v>2.9548012548378177</v>
      </c>
      <c r="AA357" s="74">
        <v>3.001397017879901</v>
      </c>
      <c r="AB357" s="73"/>
      <c r="AC357" s="72">
        <v>49721.424457830602</v>
      </c>
      <c r="AD357" s="72">
        <v>49697.4132371429</v>
      </c>
      <c r="AE357" s="73"/>
      <c r="AF357" s="74">
        <v>4.6174129621809499</v>
      </c>
      <c r="AG357" s="74">
        <v>4.6955748791724243</v>
      </c>
      <c r="AH357" s="73"/>
      <c r="AI357" s="72">
        <v>3042116.3209852865</v>
      </c>
      <c r="AJ357" s="72">
        <v>0</v>
      </c>
      <c r="AK357" s="73"/>
      <c r="AL357" s="74">
        <v>-1390.9411299624828</v>
      </c>
      <c r="AM357" s="74">
        <v>0</v>
      </c>
      <c r="AN357" s="73"/>
      <c r="AO357" s="72">
        <v>200579.79198682442</v>
      </c>
      <c r="AP357" s="72">
        <v>0</v>
      </c>
      <c r="AQ357" s="73"/>
      <c r="AR357" s="74">
        <v>-72.18724965636811</v>
      </c>
      <c r="AS357" s="74">
        <v>0</v>
      </c>
      <c r="AT357" s="73"/>
      <c r="AU357" s="72">
        <v>90031676.127192155</v>
      </c>
      <c r="AV357" s="72">
        <v>0</v>
      </c>
      <c r="AW357" s="73"/>
      <c r="AX357" s="74">
        <v>-5903.6679247754637</v>
      </c>
      <c r="AY357" s="74">
        <v>0</v>
      </c>
      <c r="AZ357" s="73"/>
      <c r="BA357" s="72">
        <v>190835.87599219219</v>
      </c>
      <c r="BB357" s="72">
        <v>0</v>
      </c>
      <c r="BC357" s="73"/>
      <c r="BD357" s="74">
        <v>-432.72899785791981</v>
      </c>
      <c r="BE357" s="74">
        <v>0</v>
      </c>
      <c r="BF357" s="73"/>
      <c r="BG357" s="72">
        <v>387582.7536972118</v>
      </c>
      <c r="BH357" s="72">
        <v>0</v>
      </c>
      <c r="BI357" s="73"/>
      <c r="BJ357" s="74">
        <v>-1261.6689262001807</v>
      </c>
      <c r="BK357" s="74">
        <v>0</v>
      </c>
      <c r="BL357" s="73"/>
      <c r="BM357" s="72">
        <v>93852790.869853675</v>
      </c>
      <c r="BN357" s="72">
        <v>0</v>
      </c>
      <c r="BO357" s="73"/>
      <c r="BP357" s="74">
        <v>-9061.1942284524157</v>
      </c>
      <c r="BQ357" s="74">
        <v>0</v>
      </c>
      <c r="BS357" s="109">
        <f t="shared" si="159"/>
        <v>118236.8298854833</v>
      </c>
      <c r="BT357" s="109">
        <f t="shared" si="160"/>
        <v>118526.89858253856</v>
      </c>
      <c r="BV357" s="58">
        <f t="array" ref="BV357">SUM(IF(BS357:BT357&gt;=BS357, 1))</f>
        <v>2</v>
      </c>
      <c r="BW357" s="58">
        <f t="array" ref="BW357">SUM(IF(BS357:BT357&gt;=BT357, 1))</f>
        <v>1</v>
      </c>
      <c r="BY357" s="109">
        <f t="shared" si="161"/>
        <v>132550.89559383882</v>
      </c>
      <c r="BZ357" s="109">
        <f t="shared" si="162"/>
        <v>132791.05012359793</v>
      </c>
      <c r="CB357" s="58">
        <f t="array" ref="CB357">SUM(IF(BY357:BZ357&gt;=BY357, 1))</f>
        <v>2</v>
      </c>
      <c r="CC357" s="58">
        <f t="array" ref="CC357">SUM(IF(BY357:BZ357&gt;=BZ357, 1))</f>
        <v>1</v>
      </c>
      <c r="CE357" s="109">
        <f t="shared" si="163"/>
        <v>90732.714919653503</v>
      </c>
      <c r="CF357" s="109">
        <f t="shared" si="164"/>
        <v>99869.19473153849</v>
      </c>
      <c r="CH357" s="58">
        <f t="array" ref="CH357">SUM(IF(CE357:CF357&gt;=CE357, 1))</f>
        <v>2</v>
      </c>
      <c r="CI357" s="58">
        <f t="array" ref="CI357">SUM(IF(CE357:CF357&gt;=CF357, 1))</f>
        <v>1</v>
      </c>
      <c r="CK357" s="109">
        <f t="shared" si="165"/>
        <v>42635.26800124158</v>
      </c>
      <c r="CL357" s="109">
        <f t="shared" si="166"/>
        <v>43587.732250715104</v>
      </c>
      <c r="CN357" s="58">
        <f t="array" ref="CN357">SUM(IF(CK357:CL357&gt;=CK357, 1))</f>
        <v>2</v>
      </c>
      <c r="CO357" s="58">
        <f t="array" ref="CO357">SUM(IF(CK357:CL357&gt;=CL357, 1))</f>
        <v>1</v>
      </c>
      <c r="CQ357" s="109" cm="1">
        <f t="array" ref="CQ357">AF357*WTP-AC357</f>
        <v>42626.8347857884</v>
      </c>
      <c r="CR357" s="109">
        <f t="shared" si="167"/>
        <v>44214.084346305579</v>
      </c>
      <c r="CT357" s="58">
        <f t="array" ref="CT357">SUM(IF(CQ357:CR357&gt;=CQ357, 1))</f>
        <v>2</v>
      </c>
      <c r="CU357" s="58">
        <f t="array" ref="CU357">SUM(IF(CQ357:CR357&gt;=CR357, 1))</f>
        <v>1</v>
      </c>
      <c r="CW357" s="109">
        <f t="shared" si="168"/>
        <v>-30860938.920234945</v>
      </c>
      <c r="CX357" s="109">
        <f t="shared" si="169"/>
        <v>0</v>
      </c>
      <c r="CZ357" s="58">
        <f t="array" ref="CZ357">SUM(IF(CW357:CX357&gt;=CW357, 1))</f>
        <v>2</v>
      </c>
      <c r="DA357" s="58">
        <f t="array" ref="DA357">SUM(IF(CW357:CX357&gt;=CX357, 1))</f>
        <v>1</v>
      </c>
      <c r="DC357" s="109">
        <f t="shared" si="170"/>
        <v>-1644324.7851141866</v>
      </c>
      <c r="DD357" s="109">
        <f t="shared" si="171"/>
        <v>0</v>
      </c>
      <c r="DF357" s="58">
        <f t="array" ref="DF357">SUM(IF(DC357:DD357&gt;=DC357, 1))</f>
        <v>2</v>
      </c>
      <c r="DG357" s="58">
        <f t="array" ref="DG357">SUM(IF(DC357:DD357&gt;=DD357, 1))</f>
        <v>1</v>
      </c>
      <c r="DI357" s="109">
        <f t="shared" si="172"/>
        <v>-208105034.62270141</v>
      </c>
      <c r="DJ357" s="109">
        <f t="shared" si="173"/>
        <v>0</v>
      </c>
      <c r="DL357" s="58">
        <f t="array" ref="DL357">SUM(IF(DI357:DJ357&gt;=DI357, 1))</f>
        <v>2</v>
      </c>
      <c r="DM357" s="58">
        <f t="array" ref="DM357">SUM(IF(DI357:DJ357&gt;=DJ357, 1))</f>
        <v>1</v>
      </c>
      <c r="DO357" s="109">
        <f t="shared" si="174"/>
        <v>-8845415.833150588</v>
      </c>
      <c r="DP357" s="109">
        <f t="shared" si="175"/>
        <v>0</v>
      </c>
      <c r="DR357" s="58">
        <f t="array" ref="DR357">SUM(IF(DO357:DP357&gt;=DO357, 1))</f>
        <v>2</v>
      </c>
      <c r="DS357" s="58">
        <f t="array" ref="DS357">SUM(IF(DO357:DP357&gt;=DP357, 1))</f>
        <v>1</v>
      </c>
      <c r="DU357" s="109">
        <f t="shared" si="176"/>
        <v>-25620961.277700827</v>
      </c>
      <c r="DV357" s="109">
        <f t="shared" si="177"/>
        <v>0</v>
      </c>
      <c r="DX357" s="58">
        <f t="array" ref="DX357">SUM(IF(DU357:DV357&gt;=DU357, 1))</f>
        <v>2</v>
      </c>
      <c r="DY357" s="58">
        <f t="array" ref="DY357">SUM(IF(DU357:DV357&gt;=DV357, 1))</f>
        <v>1</v>
      </c>
      <c r="EA357" s="109">
        <f t="shared" si="178"/>
        <v>-275076675.43890202</v>
      </c>
      <c r="EB357" s="109">
        <f t="shared" si="179"/>
        <v>0</v>
      </c>
      <c r="ED357" s="58">
        <f t="array" ref="ED357">SUM(IF(EA357:EB357&gt;=EA357, 1))</f>
        <v>2</v>
      </c>
      <c r="EE357" s="58">
        <f t="array" ref="EE357">SUM(IF(EA357:EB357&gt;=EB357, 1))</f>
        <v>1</v>
      </c>
    </row>
    <row r="358" spans="4:135" ht="12" customHeight="1" x14ac:dyDescent="0.25">
      <c r="D358" s="11">
        <v>342</v>
      </c>
      <c r="E358" s="72">
        <v>213.36614334629417</v>
      </c>
      <c r="F358" s="72">
        <v>189.59183682432655</v>
      </c>
      <c r="G358" s="73"/>
      <c r="H358" s="74">
        <v>5.9149382770440475</v>
      </c>
      <c r="I358" s="74">
        <v>5.9346865227341903</v>
      </c>
      <c r="J358" s="73"/>
      <c r="K358" s="72">
        <v>228.76264596263908</v>
      </c>
      <c r="L358" s="72">
        <v>204.4261337487186</v>
      </c>
      <c r="M358" s="73"/>
      <c r="N358" s="74">
        <v>6.7543196269892167</v>
      </c>
      <c r="O358" s="74">
        <v>6.7716948895690292</v>
      </c>
      <c r="P358" s="73"/>
      <c r="Q358" s="72">
        <v>1298.8481149412503</v>
      </c>
      <c r="R358" s="72">
        <v>1015.8963569903959</v>
      </c>
      <c r="S358" s="73"/>
      <c r="T358" s="74">
        <v>4.9783322117737985</v>
      </c>
      <c r="U358" s="74">
        <v>5.0195249609263479</v>
      </c>
      <c r="V358" s="73"/>
      <c r="W358" s="72">
        <v>14410.313551680887</v>
      </c>
      <c r="X358" s="72">
        <v>14392.427899086026</v>
      </c>
      <c r="Y358" s="73"/>
      <c r="Z358" s="74">
        <v>2.7963824733938352</v>
      </c>
      <c r="AA358" s="74">
        <v>2.8354618482556675</v>
      </c>
      <c r="AB358" s="73"/>
      <c r="AC358" s="72">
        <v>49337.503814430645</v>
      </c>
      <c r="AD358" s="72">
        <v>49238.199376586497</v>
      </c>
      <c r="AE358" s="73"/>
      <c r="AF358" s="74">
        <v>4.4109469740734184</v>
      </c>
      <c r="AG358" s="74">
        <v>4.5307317345480103</v>
      </c>
      <c r="AH358" s="73"/>
      <c r="AI358" s="72">
        <v>2544552.0968618509</v>
      </c>
      <c r="AJ358" s="72">
        <v>0</v>
      </c>
      <c r="AK358" s="73"/>
      <c r="AL358" s="74">
        <v>-2113.6448263491543</v>
      </c>
      <c r="AM358" s="74">
        <v>0</v>
      </c>
      <c r="AN358" s="73"/>
      <c r="AO358" s="72">
        <v>169727.30035550956</v>
      </c>
      <c r="AP358" s="72">
        <v>0</v>
      </c>
      <c r="AQ358" s="73"/>
      <c r="AR358" s="74">
        <v>-121.17826846826547</v>
      </c>
      <c r="AS358" s="74">
        <v>0</v>
      </c>
      <c r="AT358" s="73"/>
      <c r="AU358" s="72">
        <v>6454549.5901498105</v>
      </c>
      <c r="AV358" s="72">
        <v>0</v>
      </c>
      <c r="AW358" s="73"/>
      <c r="AX358" s="74">
        <v>-939.66775144020335</v>
      </c>
      <c r="AY358" s="74">
        <v>0</v>
      </c>
      <c r="AZ358" s="73"/>
      <c r="BA358" s="72">
        <v>164361.49878852465</v>
      </c>
      <c r="BB358" s="72">
        <v>0</v>
      </c>
      <c r="BC358" s="73"/>
      <c r="BD358" s="74">
        <v>-359.12274321233178</v>
      </c>
      <c r="BE358" s="74">
        <v>0</v>
      </c>
      <c r="BF358" s="73"/>
      <c r="BG358" s="72">
        <v>1562830.9212490211</v>
      </c>
      <c r="BH358" s="72">
        <v>0</v>
      </c>
      <c r="BI358" s="73"/>
      <c r="BJ358" s="74">
        <v>-1885.1456352625758</v>
      </c>
      <c r="BK358" s="74">
        <v>0</v>
      </c>
      <c r="BL358" s="73"/>
      <c r="BM358" s="72">
        <v>10896021.407404717</v>
      </c>
      <c r="BN358" s="72">
        <v>0</v>
      </c>
      <c r="BO358" s="73"/>
      <c r="BP358" s="74">
        <v>-5418.759224732531</v>
      </c>
      <c r="BQ358" s="74">
        <v>0</v>
      </c>
      <c r="BS358" s="109">
        <f t="shared" si="159"/>
        <v>118085.39939753465</v>
      </c>
      <c r="BT358" s="109">
        <f t="shared" si="160"/>
        <v>118504.13861785947</v>
      </c>
      <c r="BV358" s="58">
        <f t="array" ref="BV358">SUM(IF(BS358:BT358&gt;=BS358, 1))</f>
        <v>2</v>
      </c>
      <c r="BW358" s="58">
        <f t="array" ref="BW358">SUM(IF(BS358:BT358&gt;=BT358, 1))</f>
        <v>1</v>
      </c>
      <c r="BY358" s="109">
        <f t="shared" si="161"/>
        <v>134857.62989382169</v>
      </c>
      <c r="BZ358" s="109">
        <f t="shared" si="162"/>
        <v>135229.47165763186</v>
      </c>
      <c r="CB358" s="58">
        <f t="array" ref="CB358">SUM(IF(BY358:BZ358&gt;=BY358, 1))</f>
        <v>2</v>
      </c>
      <c r="CC358" s="58">
        <f t="array" ref="CC358">SUM(IF(BY358:BZ358&gt;=BZ358, 1))</f>
        <v>1</v>
      </c>
      <c r="CE358" s="109">
        <f t="shared" si="163"/>
        <v>98267.796120534709</v>
      </c>
      <c r="CF358" s="109">
        <f t="shared" si="164"/>
        <v>99374.602861536565</v>
      </c>
      <c r="CH358" s="58">
        <f t="array" ref="CH358">SUM(IF(CE358:CF358&gt;=CE358, 1))</f>
        <v>2</v>
      </c>
      <c r="CI358" s="58">
        <f t="array" ref="CI358">SUM(IF(CE358:CF358&gt;=CF358, 1))</f>
        <v>1</v>
      </c>
      <c r="CK358" s="109">
        <f t="shared" si="165"/>
        <v>41517.335916195821</v>
      </c>
      <c r="CL358" s="109">
        <f t="shared" si="166"/>
        <v>42316.809066027323</v>
      </c>
      <c r="CN358" s="58">
        <f t="array" ref="CN358">SUM(IF(CK358:CL358&gt;=CK358, 1))</f>
        <v>2</v>
      </c>
      <c r="CO358" s="58">
        <f t="array" ref="CO358">SUM(IF(CK358:CL358&gt;=CL358, 1))</f>
        <v>1</v>
      </c>
      <c r="CQ358" s="109" cm="1">
        <f t="array" ref="CQ358">AF358*WTP-AC358</f>
        <v>38881.435667037716</v>
      </c>
      <c r="CR358" s="109">
        <f t="shared" si="167"/>
        <v>41376.435314373703</v>
      </c>
      <c r="CT358" s="58">
        <f t="array" ref="CT358">SUM(IF(CQ358:CR358&gt;=CQ358, 1))</f>
        <v>2</v>
      </c>
      <c r="CU358" s="58">
        <f t="array" ref="CU358">SUM(IF(CQ358:CR358&gt;=CR358, 1))</f>
        <v>1</v>
      </c>
      <c r="CW358" s="109">
        <f t="shared" si="168"/>
        <v>-44817448.623844936</v>
      </c>
      <c r="CX358" s="109">
        <f t="shared" si="169"/>
        <v>0</v>
      </c>
      <c r="CZ358" s="58">
        <f t="array" ref="CZ358">SUM(IF(CW358:CX358&gt;=CW358, 1))</f>
        <v>2</v>
      </c>
      <c r="DA358" s="58">
        <f t="array" ref="DA358">SUM(IF(CW358:CX358&gt;=CX358, 1))</f>
        <v>1</v>
      </c>
      <c r="DC358" s="109">
        <f t="shared" si="170"/>
        <v>-2593292.6697208188</v>
      </c>
      <c r="DD358" s="109">
        <f t="shared" si="171"/>
        <v>0</v>
      </c>
      <c r="DF358" s="58">
        <f t="array" ref="DF358">SUM(IF(DC358:DD358&gt;=DC358, 1))</f>
        <v>2</v>
      </c>
      <c r="DG358" s="58">
        <f t="array" ref="DG358">SUM(IF(DC358:DD358&gt;=DD358, 1))</f>
        <v>1</v>
      </c>
      <c r="DI358" s="109">
        <f t="shared" si="172"/>
        <v>-25247904.618953876</v>
      </c>
      <c r="DJ358" s="109">
        <f t="shared" si="173"/>
        <v>0</v>
      </c>
      <c r="DL358" s="58">
        <f t="array" ref="DL358">SUM(IF(DI358:DJ358&gt;=DI358, 1))</f>
        <v>2</v>
      </c>
      <c r="DM358" s="58">
        <f t="array" ref="DM358">SUM(IF(DI358:DJ358&gt;=DJ358, 1))</f>
        <v>1</v>
      </c>
      <c r="DO358" s="109">
        <f t="shared" si="174"/>
        <v>-7346816.3630351601</v>
      </c>
      <c r="DP358" s="109">
        <f t="shared" si="175"/>
        <v>0</v>
      </c>
      <c r="DR358" s="58">
        <f t="array" ref="DR358">SUM(IF(DO358:DP358&gt;=DO358, 1))</f>
        <v>2</v>
      </c>
      <c r="DS358" s="58">
        <f t="array" ref="DS358">SUM(IF(DO358:DP358&gt;=DP358, 1))</f>
        <v>1</v>
      </c>
      <c r="DU358" s="109">
        <f t="shared" si="176"/>
        <v>-39265743.626500539</v>
      </c>
      <c r="DV358" s="109">
        <f t="shared" si="177"/>
        <v>0</v>
      </c>
      <c r="DX358" s="58">
        <f t="array" ref="DX358">SUM(IF(DU358:DV358&gt;=DU358, 1))</f>
        <v>2</v>
      </c>
      <c r="DY358" s="58">
        <f t="array" ref="DY358">SUM(IF(DU358:DV358&gt;=DV358, 1))</f>
        <v>1</v>
      </c>
      <c r="EA358" s="109">
        <f t="shared" si="178"/>
        <v>-119271205.90205534</v>
      </c>
      <c r="EB358" s="109">
        <f t="shared" si="179"/>
        <v>0</v>
      </c>
      <c r="ED358" s="58">
        <f t="array" ref="ED358">SUM(IF(EA358:EB358&gt;=EA358, 1))</f>
        <v>2</v>
      </c>
      <c r="EE358" s="58">
        <f t="array" ref="EE358">SUM(IF(EA358:EB358&gt;=EB358, 1))</f>
        <v>1</v>
      </c>
    </row>
    <row r="359" spans="4:135" ht="12" customHeight="1" x14ac:dyDescent="0.25">
      <c r="D359" s="11">
        <v>343</v>
      </c>
      <c r="E359" s="72">
        <v>282.64178543104236</v>
      </c>
      <c r="F359" s="72">
        <v>262.50832420799361</v>
      </c>
      <c r="G359" s="73"/>
      <c r="H359" s="74">
        <v>5.8480176688789367</v>
      </c>
      <c r="I359" s="74">
        <v>5.8600660364103332</v>
      </c>
      <c r="J359" s="73"/>
      <c r="K359" s="72">
        <v>303.56608632316113</v>
      </c>
      <c r="L359" s="72">
        <v>282.91493085323964</v>
      </c>
      <c r="M359" s="73"/>
      <c r="N359" s="74">
        <v>6.6646345752089777</v>
      </c>
      <c r="O359" s="74">
        <v>6.6744335242848329</v>
      </c>
      <c r="P359" s="73"/>
      <c r="Q359" s="72">
        <v>2377.3522216297156</v>
      </c>
      <c r="R359" s="72">
        <v>1273.4628243134828</v>
      </c>
      <c r="S359" s="73"/>
      <c r="T359" s="74">
        <v>4.7327100141909177</v>
      </c>
      <c r="U359" s="74">
        <v>4.8510544074589808</v>
      </c>
      <c r="V359" s="73"/>
      <c r="W359" s="72">
        <v>15216.267007916464</v>
      </c>
      <c r="X359" s="72">
        <v>15247.562844906324</v>
      </c>
      <c r="Y359" s="73"/>
      <c r="Z359" s="74">
        <v>3.0241121060399077</v>
      </c>
      <c r="AA359" s="74">
        <v>3.0853950061439308</v>
      </c>
      <c r="AB359" s="73"/>
      <c r="AC359" s="72">
        <v>50942.618600385344</v>
      </c>
      <c r="AD359" s="72">
        <v>50752.740287226261</v>
      </c>
      <c r="AE359" s="73"/>
      <c r="AF359" s="74">
        <v>4.5578694229241714</v>
      </c>
      <c r="AG359" s="74">
        <v>4.6378832460392418</v>
      </c>
      <c r="AH359" s="73"/>
      <c r="AI359" s="72">
        <v>2173688.5483213705</v>
      </c>
      <c r="AJ359" s="72">
        <v>0</v>
      </c>
      <c r="AK359" s="73"/>
      <c r="AL359" s="74">
        <v>-1300.7896773845316</v>
      </c>
      <c r="AM359" s="74">
        <v>0</v>
      </c>
      <c r="AN359" s="73"/>
      <c r="AO359" s="72">
        <v>145073.27013455675</v>
      </c>
      <c r="AP359" s="72">
        <v>0</v>
      </c>
      <c r="AQ359" s="73"/>
      <c r="AR359" s="74">
        <v>-68.837096712909144</v>
      </c>
      <c r="AS359" s="74">
        <v>0</v>
      </c>
      <c r="AT359" s="73"/>
      <c r="AU359" s="72">
        <v>25163999.416576516</v>
      </c>
      <c r="AV359" s="72">
        <v>0</v>
      </c>
      <c r="AW359" s="73"/>
      <c r="AX359" s="74">
        <v>-2697.7505630480496</v>
      </c>
      <c r="AY359" s="74">
        <v>0</v>
      </c>
      <c r="AZ359" s="73"/>
      <c r="BA359" s="72">
        <v>-287778.96257145662</v>
      </c>
      <c r="BB359" s="72">
        <v>0</v>
      </c>
      <c r="BC359" s="73"/>
      <c r="BD359" s="74">
        <v>-563.52317469635886</v>
      </c>
      <c r="BE359" s="74">
        <v>0</v>
      </c>
      <c r="BF359" s="73"/>
      <c r="BG359" s="72">
        <v>2966619.6685090307</v>
      </c>
      <c r="BH359" s="72">
        <v>0</v>
      </c>
      <c r="BI359" s="73"/>
      <c r="BJ359" s="74">
        <v>-1250.1194973588069</v>
      </c>
      <c r="BK359" s="74">
        <v>0</v>
      </c>
      <c r="BL359" s="73"/>
      <c r="BM359" s="72">
        <v>30161601.940970019</v>
      </c>
      <c r="BN359" s="72">
        <v>0</v>
      </c>
      <c r="BO359" s="73"/>
      <c r="BP359" s="74">
        <v>-5881.0200092006562</v>
      </c>
      <c r="BQ359" s="74">
        <v>0</v>
      </c>
      <c r="BS359" s="109">
        <f t="shared" si="159"/>
        <v>116677.71159214769</v>
      </c>
      <c r="BT359" s="109">
        <f t="shared" si="160"/>
        <v>116938.81240399866</v>
      </c>
      <c r="BV359" s="58">
        <f t="array" ref="BV359">SUM(IF(BS359:BT359&gt;=BS359, 1))</f>
        <v>2</v>
      </c>
      <c r="BW359" s="58">
        <f t="array" ref="BW359">SUM(IF(BS359:BT359&gt;=BT359, 1))</f>
        <v>1</v>
      </c>
      <c r="BY359" s="109">
        <f t="shared" si="161"/>
        <v>132989.12541785638</v>
      </c>
      <c r="BZ359" s="109">
        <f t="shared" si="162"/>
        <v>133205.75555484343</v>
      </c>
      <c r="CB359" s="58">
        <f t="array" ref="CB359">SUM(IF(BY359:BZ359&gt;=BY359, 1))</f>
        <v>2</v>
      </c>
      <c r="CC359" s="58">
        <f t="array" ref="CC359">SUM(IF(BY359:BZ359&gt;=BZ359, 1))</f>
        <v>1</v>
      </c>
      <c r="CE359" s="109">
        <f t="shared" si="163"/>
        <v>92276.848062188641</v>
      </c>
      <c r="CF359" s="109">
        <f t="shared" si="164"/>
        <v>95747.625324866138</v>
      </c>
      <c r="CH359" s="58">
        <f t="array" ref="CH359">SUM(IF(CE359:CF359&gt;=CE359, 1))</f>
        <v>2</v>
      </c>
      <c r="CI359" s="58">
        <f t="array" ref="CI359">SUM(IF(CE359:CF359&gt;=CF359, 1))</f>
        <v>1</v>
      </c>
      <c r="CK359" s="109">
        <f t="shared" si="165"/>
        <v>45265.975112881686</v>
      </c>
      <c r="CL359" s="109">
        <f t="shared" si="166"/>
        <v>46460.337277972292</v>
      </c>
      <c r="CN359" s="58">
        <f t="array" ref="CN359">SUM(IF(CK359:CL359&gt;=CK359, 1))</f>
        <v>2</v>
      </c>
      <c r="CO359" s="58">
        <f t="array" ref="CO359">SUM(IF(CK359:CL359&gt;=CL359, 1))</f>
        <v>1</v>
      </c>
      <c r="CQ359" s="109" cm="1">
        <f t="array" ref="CQ359">AF359*WTP-AC359</f>
        <v>40214.769858098087</v>
      </c>
      <c r="CR359" s="109">
        <f t="shared" si="167"/>
        <v>42004.924633558578</v>
      </c>
      <c r="CT359" s="58">
        <f t="array" ref="CT359">SUM(IF(CQ359:CR359&gt;=CQ359, 1))</f>
        <v>2</v>
      </c>
      <c r="CU359" s="58">
        <f t="array" ref="CU359">SUM(IF(CQ359:CR359&gt;=CR359, 1))</f>
        <v>1</v>
      </c>
      <c r="CW359" s="109">
        <f t="shared" si="168"/>
        <v>-28189482.096012004</v>
      </c>
      <c r="CX359" s="109">
        <f t="shared" si="169"/>
        <v>0</v>
      </c>
      <c r="CZ359" s="58">
        <f t="array" ref="CZ359">SUM(IF(CW359:CX359&gt;=CW359, 1))</f>
        <v>2</v>
      </c>
      <c r="DA359" s="58">
        <f t="array" ref="DA359">SUM(IF(CW359:CX359&gt;=CX359, 1))</f>
        <v>1</v>
      </c>
      <c r="DC359" s="109">
        <f t="shared" si="170"/>
        <v>-1521815.2043927396</v>
      </c>
      <c r="DD359" s="109">
        <f t="shared" si="171"/>
        <v>0</v>
      </c>
      <c r="DF359" s="58">
        <f t="array" ref="DF359">SUM(IF(DC359:DD359&gt;=DC359, 1))</f>
        <v>2</v>
      </c>
      <c r="DG359" s="58">
        <f t="array" ref="DG359">SUM(IF(DC359:DD359&gt;=DD359, 1))</f>
        <v>1</v>
      </c>
      <c r="DI359" s="109">
        <f t="shared" si="172"/>
        <v>-79119010.677537501</v>
      </c>
      <c r="DJ359" s="109">
        <f t="shared" si="173"/>
        <v>0</v>
      </c>
      <c r="DL359" s="58">
        <f t="array" ref="DL359">SUM(IF(DI359:DJ359&gt;=DI359, 1))</f>
        <v>2</v>
      </c>
      <c r="DM359" s="58">
        <f t="array" ref="DM359">SUM(IF(DI359:DJ359&gt;=DJ359, 1))</f>
        <v>1</v>
      </c>
      <c r="DO359" s="109">
        <f t="shared" si="174"/>
        <v>-10982684.53135572</v>
      </c>
      <c r="DP359" s="109">
        <f t="shared" si="175"/>
        <v>0</v>
      </c>
      <c r="DR359" s="58">
        <f t="array" ref="DR359">SUM(IF(DO359:DP359&gt;=DO359, 1))</f>
        <v>2</v>
      </c>
      <c r="DS359" s="58">
        <f t="array" ref="DS359">SUM(IF(DO359:DP359&gt;=DP359, 1))</f>
        <v>1</v>
      </c>
      <c r="DU359" s="109">
        <f t="shared" si="176"/>
        <v>-27969009.615685172</v>
      </c>
      <c r="DV359" s="109">
        <f t="shared" si="177"/>
        <v>0</v>
      </c>
      <c r="DX359" s="58">
        <f t="array" ref="DX359">SUM(IF(DU359:DV359&gt;=DU359, 1))</f>
        <v>2</v>
      </c>
      <c r="DY359" s="58">
        <f t="array" ref="DY359">SUM(IF(DU359:DV359&gt;=DV359, 1))</f>
        <v>1</v>
      </c>
      <c r="EA359" s="109">
        <f t="shared" si="178"/>
        <v>-147782002.12498313</v>
      </c>
      <c r="EB359" s="109">
        <f t="shared" si="179"/>
        <v>0</v>
      </c>
      <c r="ED359" s="58">
        <f t="array" ref="ED359">SUM(IF(EA359:EB359&gt;=EA359, 1))</f>
        <v>2</v>
      </c>
      <c r="EE359" s="58">
        <f t="array" ref="EE359">SUM(IF(EA359:EB359&gt;=EB359, 1))</f>
        <v>1</v>
      </c>
    </row>
    <row r="360" spans="4:135" ht="12" customHeight="1" x14ac:dyDescent="0.25">
      <c r="D360" s="11">
        <v>344</v>
      </c>
      <c r="E360" s="72">
        <v>257.01510850363928</v>
      </c>
      <c r="F360" s="72">
        <v>227.69288957785324</v>
      </c>
      <c r="G360" s="73"/>
      <c r="H360" s="74">
        <v>5.8079436502080251</v>
      </c>
      <c r="I360" s="74">
        <v>5.8242306310038074</v>
      </c>
      <c r="J360" s="73"/>
      <c r="K360" s="72">
        <v>275.44464810064306</v>
      </c>
      <c r="L360" s="72">
        <v>245.42021206773796</v>
      </c>
      <c r="M360" s="73"/>
      <c r="N360" s="74">
        <v>6.7179509649443094</v>
      </c>
      <c r="O360" s="74">
        <v>6.7320745005444449</v>
      </c>
      <c r="P360" s="73"/>
      <c r="Q360" s="72">
        <v>1899.4616919156015</v>
      </c>
      <c r="R360" s="72">
        <v>1343.9080305535729</v>
      </c>
      <c r="S360" s="73"/>
      <c r="T360" s="74">
        <v>4.8214571074414376</v>
      </c>
      <c r="U360" s="74">
        <v>4.8866568813175508</v>
      </c>
      <c r="V360" s="73"/>
      <c r="W360" s="72">
        <v>12135.460689460699</v>
      </c>
      <c r="X360" s="72">
        <v>12137.039879246937</v>
      </c>
      <c r="Y360" s="73"/>
      <c r="Z360" s="74">
        <v>2.9456662980256465</v>
      </c>
      <c r="AA360" s="74">
        <v>2.9896026410096255</v>
      </c>
      <c r="AB360" s="73"/>
      <c r="AC360" s="72">
        <v>50695.530128907238</v>
      </c>
      <c r="AD360" s="72">
        <v>50245.173100841108</v>
      </c>
      <c r="AE360" s="73"/>
      <c r="AF360" s="74">
        <v>4.663410358084894</v>
      </c>
      <c r="AG360" s="74">
        <v>4.7796730108606216</v>
      </c>
      <c r="AH360" s="73"/>
      <c r="AI360" s="72">
        <v>3175516.1855235733</v>
      </c>
      <c r="AJ360" s="72">
        <v>0</v>
      </c>
      <c r="AK360" s="73"/>
      <c r="AL360" s="74">
        <v>-1763.8355153550895</v>
      </c>
      <c r="AM360" s="74">
        <v>0</v>
      </c>
      <c r="AN360" s="73"/>
      <c r="AO360" s="72">
        <v>204360.7232795046</v>
      </c>
      <c r="AP360" s="72">
        <v>0</v>
      </c>
      <c r="AQ360" s="73"/>
      <c r="AR360" s="74">
        <v>-96.131562549394644</v>
      </c>
      <c r="AS360" s="74">
        <v>0</v>
      </c>
      <c r="AT360" s="73"/>
      <c r="AU360" s="72">
        <v>12472127.963142091</v>
      </c>
      <c r="AV360" s="72">
        <v>0</v>
      </c>
      <c r="AW360" s="73"/>
      <c r="AX360" s="74">
        <v>-1463.7288519657525</v>
      </c>
      <c r="AY360" s="74">
        <v>0</v>
      </c>
      <c r="AZ360" s="73"/>
      <c r="BA360" s="72">
        <v>-14085.303824107124</v>
      </c>
      <c r="BB360" s="72">
        <v>0</v>
      </c>
      <c r="BC360" s="73"/>
      <c r="BD360" s="74">
        <v>-391.88243569109159</v>
      </c>
      <c r="BE360" s="74">
        <v>0</v>
      </c>
      <c r="BF360" s="73"/>
      <c r="BG360" s="72">
        <v>7260332.275449425</v>
      </c>
      <c r="BH360" s="72">
        <v>0</v>
      </c>
      <c r="BI360" s="73"/>
      <c r="BJ360" s="74">
        <v>-1874.3029147377651</v>
      </c>
      <c r="BK360" s="74">
        <v>0</v>
      </c>
      <c r="BL360" s="73"/>
      <c r="BM360" s="72">
        <v>23098251.843570486</v>
      </c>
      <c r="BN360" s="72">
        <v>0</v>
      </c>
      <c r="BO360" s="73"/>
      <c r="BP360" s="74">
        <v>-5589.8812802990942</v>
      </c>
      <c r="BQ360" s="74">
        <v>0</v>
      </c>
      <c r="BS360" s="109">
        <f t="shared" si="159"/>
        <v>115901.85789565687</v>
      </c>
      <c r="BT360" s="109">
        <f t="shared" si="160"/>
        <v>116256.9197304983</v>
      </c>
      <c r="BV360" s="58">
        <f t="array" ref="BV360">SUM(IF(BS360:BT360&gt;=BS360, 1))</f>
        <v>2</v>
      </c>
      <c r="BW360" s="58">
        <f t="array" ref="BW360">SUM(IF(BS360:BT360&gt;=BT360, 1))</f>
        <v>1</v>
      </c>
      <c r="BY360" s="109">
        <f t="shared" si="161"/>
        <v>134083.57465078554</v>
      </c>
      <c r="BZ360" s="109">
        <f t="shared" si="162"/>
        <v>134396.06979882115</v>
      </c>
      <c r="CB360" s="58">
        <f t="array" ref="CB360">SUM(IF(BY360:BZ360&gt;=BY360, 1))</f>
        <v>2</v>
      </c>
      <c r="CC360" s="58">
        <f t="array" ref="CC360">SUM(IF(BY360:BZ360&gt;=BZ360, 1))</f>
        <v>1</v>
      </c>
      <c r="CE360" s="109">
        <f t="shared" si="163"/>
        <v>94529.680456913164</v>
      </c>
      <c r="CF360" s="109">
        <f t="shared" si="164"/>
        <v>96389.229595797442</v>
      </c>
      <c r="CH360" s="58">
        <f t="array" ref="CH360">SUM(IF(CE360:CF360&gt;=CE360, 1))</f>
        <v>2</v>
      </c>
      <c r="CI360" s="58">
        <f t="array" ref="CI360">SUM(IF(CE360:CF360&gt;=CF360, 1))</f>
        <v>1</v>
      </c>
      <c r="CK360" s="109">
        <f t="shared" si="165"/>
        <v>46777.865271052229</v>
      </c>
      <c r="CL360" s="109">
        <f t="shared" si="166"/>
        <v>47655.012940945577</v>
      </c>
      <c r="CN360" s="58">
        <f t="array" ref="CN360">SUM(IF(CK360:CL360&gt;=CK360, 1))</f>
        <v>2</v>
      </c>
      <c r="CO360" s="58">
        <f t="array" ref="CO360">SUM(IF(CK360:CL360&gt;=CL360, 1))</f>
        <v>1</v>
      </c>
      <c r="CQ360" s="109" cm="1">
        <f t="array" ref="CQ360">AF360*WTP-AC360</f>
        <v>42572.677032790642</v>
      </c>
      <c r="CR360" s="109">
        <f t="shared" si="167"/>
        <v>45348.287116371321</v>
      </c>
      <c r="CT360" s="58">
        <f t="array" ref="CT360">SUM(IF(CQ360:CR360&gt;=CQ360, 1))</f>
        <v>2</v>
      </c>
      <c r="CU360" s="58">
        <f t="array" ref="CU360">SUM(IF(CQ360:CR360&gt;=CR360, 1))</f>
        <v>1</v>
      </c>
      <c r="CW360" s="109">
        <f t="shared" si="168"/>
        <v>-38452226.492625356</v>
      </c>
      <c r="CX360" s="109">
        <f t="shared" si="169"/>
        <v>0</v>
      </c>
      <c r="CZ360" s="58">
        <f t="array" ref="CZ360">SUM(IF(CW360:CX360&gt;=CW360, 1))</f>
        <v>2</v>
      </c>
      <c r="DA360" s="58">
        <f t="array" ref="DA360">SUM(IF(CW360:CX360&gt;=CX360, 1))</f>
        <v>1</v>
      </c>
      <c r="DC360" s="109">
        <f t="shared" si="170"/>
        <v>-2126991.9742673975</v>
      </c>
      <c r="DD360" s="109">
        <f t="shared" si="171"/>
        <v>0</v>
      </c>
      <c r="DF360" s="58">
        <f t="array" ref="DF360">SUM(IF(DC360:DD360&gt;=DC360, 1))</f>
        <v>2</v>
      </c>
      <c r="DG360" s="58">
        <f t="array" ref="DG360">SUM(IF(DC360:DD360&gt;=DD360, 1))</f>
        <v>1</v>
      </c>
      <c r="DI360" s="109">
        <f t="shared" si="172"/>
        <v>-41746705.002457142</v>
      </c>
      <c r="DJ360" s="109">
        <f t="shared" si="173"/>
        <v>0</v>
      </c>
      <c r="DL360" s="58">
        <f t="array" ref="DL360">SUM(IF(DI360:DJ360&gt;=DI360, 1))</f>
        <v>2</v>
      </c>
      <c r="DM360" s="58">
        <f t="array" ref="DM360">SUM(IF(DI360:DJ360&gt;=DJ360, 1))</f>
        <v>1</v>
      </c>
      <c r="DO360" s="109">
        <f t="shared" si="174"/>
        <v>-7823563.4099977249</v>
      </c>
      <c r="DP360" s="109">
        <f t="shared" si="175"/>
        <v>0</v>
      </c>
      <c r="DR360" s="58">
        <f t="array" ref="DR360">SUM(IF(DO360:DP360&gt;=DO360, 1))</f>
        <v>2</v>
      </c>
      <c r="DS360" s="58">
        <f t="array" ref="DS360">SUM(IF(DO360:DP360&gt;=DP360, 1))</f>
        <v>1</v>
      </c>
      <c r="DU360" s="109">
        <f t="shared" si="176"/>
        <v>-44746390.570204727</v>
      </c>
      <c r="DV360" s="109">
        <f t="shared" si="177"/>
        <v>0</v>
      </c>
      <c r="DX360" s="58">
        <f t="array" ref="DX360">SUM(IF(DU360:DV360&gt;=DU360, 1))</f>
        <v>2</v>
      </c>
      <c r="DY360" s="58">
        <f t="array" ref="DY360">SUM(IF(DU360:DV360&gt;=DV360, 1))</f>
        <v>1</v>
      </c>
      <c r="EA360" s="109">
        <f t="shared" si="178"/>
        <v>-134895877.44955236</v>
      </c>
      <c r="EB360" s="109">
        <f t="shared" si="179"/>
        <v>0</v>
      </c>
      <c r="ED360" s="58">
        <f t="array" ref="ED360">SUM(IF(EA360:EB360&gt;=EA360, 1))</f>
        <v>2</v>
      </c>
      <c r="EE360" s="58">
        <f t="array" ref="EE360">SUM(IF(EA360:EB360&gt;=EB360, 1))</f>
        <v>1</v>
      </c>
    </row>
    <row r="361" spans="4:135" ht="12" customHeight="1" x14ac:dyDescent="0.25">
      <c r="D361" s="11">
        <v>345</v>
      </c>
      <c r="E361" s="72">
        <v>260.60270656601307</v>
      </c>
      <c r="F361" s="72">
        <v>231.87877443455699</v>
      </c>
      <c r="G361" s="73"/>
      <c r="H361" s="74">
        <v>5.7721281072707828</v>
      </c>
      <c r="I361" s="74">
        <v>5.7910129172687874</v>
      </c>
      <c r="J361" s="73"/>
      <c r="K361" s="72">
        <v>279.41668279049736</v>
      </c>
      <c r="L361" s="72">
        <v>250.00187394692782</v>
      </c>
      <c r="M361" s="73"/>
      <c r="N361" s="74">
        <v>6.6732831477625361</v>
      </c>
      <c r="O361" s="74">
        <v>6.6904333386750876</v>
      </c>
      <c r="P361" s="73"/>
      <c r="Q361" s="72">
        <v>3002.5662994537115</v>
      </c>
      <c r="R361" s="72">
        <v>1843.8441703593828</v>
      </c>
      <c r="S361" s="73"/>
      <c r="T361" s="74">
        <v>4.8879983920913359</v>
      </c>
      <c r="U361" s="74">
        <v>4.9646802433698189</v>
      </c>
      <c r="V361" s="73"/>
      <c r="W361" s="72">
        <v>12718.35551801727</v>
      </c>
      <c r="X361" s="72">
        <v>12698.060192310975</v>
      </c>
      <c r="Y361" s="73"/>
      <c r="Z361" s="74">
        <v>2.8658898320268293</v>
      </c>
      <c r="AA361" s="74">
        <v>2.9083700468134661</v>
      </c>
      <c r="AB361" s="73"/>
      <c r="AC361" s="72">
        <v>49587.852449754268</v>
      </c>
      <c r="AD361" s="72">
        <v>49466.538812282066</v>
      </c>
      <c r="AE361" s="73"/>
      <c r="AF361" s="74">
        <v>4.5465553979896978</v>
      </c>
      <c r="AG361" s="74">
        <v>4.6638666857673234</v>
      </c>
      <c r="AH361" s="73"/>
      <c r="AI361" s="72">
        <v>3111835.8666399536</v>
      </c>
      <c r="AJ361" s="72">
        <v>0</v>
      </c>
      <c r="AK361" s="73"/>
      <c r="AL361" s="74">
        <v>-2045.9047465202464</v>
      </c>
      <c r="AM361" s="74">
        <v>0</v>
      </c>
      <c r="AN361" s="73"/>
      <c r="AO361" s="72">
        <v>196096.21785988475</v>
      </c>
      <c r="AP361" s="72">
        <v>0</v>
      </c>
      <c r="AQ361" s="73"/>
      <c r="AR361" s="74">
        <v>-114.33314394159449</v>
      </c>
      <c r="AS361" s="74">
        <v>0</v>
      </c>
      <c r="AT361" s="73"/>
      <c r="AU361" s="72">
        <v>27446792.612531886</v>
      </c>
      <c r="AV361" s="72">
        <v>0</v>
      </c>
      <c r="AW361" s="73"/>
      <c r="AX361" s="74">
        <v>-1816.3723781046394</v>
      </c>
      <c r="AY361" s="74">
        <v>0</v>
      </c>
      <c r="AZ361" s="73"/>
      <c r="BA361" s="72">
        <v>177248.026660401</v>
      </c>
      <c r="BB361" s="72">
        <v>0</v>
      </c>
      <c r="BC361" s="73"/>
      <c r="BD361" s="74">
        <v>-370.99844328716995</v>
      </c>
      <c r="BE361" s="74">
        <v>0</v>
      </c>
      <c r="BF361" s="73"/>
      <c r="BG361" s="72">
        <v>1941194.5688207869</v>
      </c>
      <c r="BH361" s="72">
        <v>0</v>
      </c>
      <c r="BI361" s="73"/>
      <c r="BJ361" s="74">
        <v>-1877.1511549761335</v>
      </c>
      <c r="BK361" s="74">
        <v>0</v>
      </c>
      <c r="BL361" s="73"/>
      <c r="BM361" s="72">
        <v>32873167.292512912</v>
      </c>
      <c r="BN361" s="72">
        <v>0</v>
      </c>
      <c r="BO361" s="73"/>
      <c r="BP361" s="74">
        <v>-6224.7598668297833</v>
      </c>
      <c r="BQ361" s="74">
        <v>0</v>
      </c>
      <c r="BS361" s="109">
        <f t="shared" si="159"/>
        <v>115181.95943884963</v>
      </c>
      <c r="BT361" s="109">
        <f t="shared" si="160"/>
        <v>115588.37957094119</v>
      </c>
      <c r="BV361" s="58">
        <f t="array" ref="BV361">SUM(IF(BS361:BT361&gt;=BS361, 1))</f>
        <v>2</v>
      </c>
      <c r="BW361" s="58">
        <f t="array" ref="BW361">SUM(IF(BS361:BT361&gt;=BT361, 1))</f>
        <v>1</v>
      </c>
      <c r="BY361" s="109">
        <f t="shared" si="161"/>
        <v>133186.24627246021</v>
      </c>
      <c r="BZ361" s="109">
        <f t="shared" si="162"/>
        <v>133558.66489955483</v>
      </c>
      <c r="CB361" s="58">
        <f t="array" ref="CB361">SUM(IF(BY361:BZ361&gt;=BY361, 1))</f>
        <v>2</v>
      </c>
      <c r="CC361" s="58">
        <f t="array" ref="CC361">SUM(IF(BY361:BZ361&gt;=BZ361, 1))</f>
        <v>1</v>
      </c>
      <c r="CE361" s="109">
        <f t="shared" si="163"/>
        <v>94757.401542373002</v>
      </c>
      <c r="CF361" s="109">
        <f t="shared" si="164"/>
        <v>97449.760697036996</v>
      </c>
      <c r="CH361" s="58">
        <f t="array" ref="CH361">SUM(IF(CE361:CF361&gt;=CE361, 1))</f>
        <v>2</v>
      </c>
      <c r="CI361" s="58">
        <f t="array" ref="CI361">SUM(IF(CE361:CF361&gt;=CF361, 1))</f>
        <v>1</v>
      </c>
      <c r="CK361" s="109">
        <f t="shared" si="165"/>
        <v>44599.441122519318</v>
      </c>
      <c r="CL361" s="109">
        <f t="shared" si="166"/>
        <v>45469.340743958353</v>
      </c>
      <c r="CN361" s="58">
        <f t="array" ref="CN361">SUM(IF(CK361:CL361&gt;=CK361, 1))</f>
        <v>2</v>
      </c>
      <c r="CO361" s="58">
        <f t="array" ref="CO361">SUM(IF(CK361:CL361&gt;=CL361, 1))</f>
        <v>1</v>
      </c>
      <c r="CQ361" s="109" cm="1">
        <f t="array" ref="CQ361">AF361*WTP-AC361</f>
        <v>41343.255510039686</v>
      </c>
      <c r="CR361" s="109">
        <f t="shared" si="167"/>
        <v>43810.794903064401</v>
      </c>
      <c r="CT361" s="58">
        <f t="array" ref="CT361">SUM(IF(CQ361:CR361&gt;=CQ361, 1))</f>
        <v>2</v>
      </c>
      <c r="CU361" s="58">
        <f t="array" ref="CU361">SUM(IF(CQ361:CR361&gt;=CR361, 1))</f>
        <v>1</v>
      </c>
      <c r="CW361" s="109">
        <f t="shared" si="168"/>
        <v>-44029930.797044881</v>
      </c>
      <c r="CX361" s="109">
        <f t="shared" si="169"/>
        <v>0</v>
      </c>
      <c r="CZ361" s="58">
        <f t="array" ref="CZ361">SUM(IF(CW361:CX361&gt;=CW361, 1))</f>
        <v>2</v>
      </c>
      <c r="DA361" s="58">
        <f t="array" ref="DA361">SUM(IF(CW361:CX361&gt;=CX361, 1))</f>
        <v>1</v>
      </c>
      <c r="DC361" s="109">
        <f t="shared" si="170"/>
        <v>-2482759.0966917747</v>
      </c>
      <c r="DD361" s="109">
        <f t="shared" si="171"/>
        <v>0</v>
      </c>
      <c r="DF361" s="58">
        <f t="array" ref="DF361">SUM(IF(DC361:DD361&gt;=DC361, 1))</f>
        <v>2</v>
      </c>
      <c r="DG361" s="58">
        <f t="array" ref="DG361">SUM(IF(DC361:DD361&gt;=DD361, 1))</f>
        <v>1</v>
      </c>
      <c r="DI361" s="109">
        <f t="shared" si="172"/>
        <v>-63774240.174624674</v>
      </c>
      <c r="DJ361" s="109">
        <f t="shared" si="173"/>
        <v>0</v>
      </c>
      <c r="DL361" s="58">
        <f t="array" ref="DL361">SUM(IF(DI361:DJ361&gt;=DI361, 1))</f>
        <v>2</v>
      </c>
      <c r="DM361" s="58">
        <f t="array" ref="DM361">SUM(IF(DI361:DJ361&gt;=DJ361, 1))</f>
        <v>1</v>
      </c>
      <c r="DO361" s="109">
        <f t="shared" si="174"/>
        <v>-7597216.8924038</v>
      </c>
      <c r="DP361" s="109">
        <f t="shared" si="175"/>
        <v>0</v>
      </c>
      <c r="DR361" s="58">
        <f t="array" ref="DR361">SUM(IF(DO361:DP361&gt;=DO361, 1))</f>
        <v>2</v>
      </c>
      <c r="DS361" s="58">
        <f t="array" ref="DS361">SUM(IF(DO361:DP361&gt;=DP361, 1))</f>
        <v>1</v>
      </c>
      <c r="DU361" s="109">
        <f t="shared" si="176"/>
        <v>-39484217.668343462</v>
      </c>
      <c r="DV361" s="109">
        <f t="shared" si="177"/>
        <v>0</v>
      </c>
      <c r="DX361" s="58">
        <f t="array" ref="DX361">SUM(IF(DU361:DV361&gt;=DU361, 1))</f>
        <v>2</v>
      </c>
      <c r="DY361" s="58">
        <f t="array" ref="DY361">SUM(IF(DU361:DV361&gt;=DV361, 1))</f>
        <v>1</v>
      </c>
      <c r="EA361" s="109">
        <f t="shared" si="178"/>
        <v>-157368364.62910858</v>
      </c>
      <c r="EB361" s="109">
        <f t="shared" si="179"/>
        <v>0</v>
      </c>
      <c r="ED361" s="58">
        <f t="array" ref="ED361">SUM(IF(EA361:EB361&gt;=EA361, 1))</f>
        <v>2</v>
      </c>
      <c r="EE361" s="58">
        <f t="array" ref="EE361">SUM(IF(EA361:EB361&gt;=EB361, 1))</f>
        <v>1</v>
      </c>
    </row>
    <row r="362" spans="4:135" ht="12" customHeight="1" x14ac:dyDescent="0.25">
      <c r="D362" s="11">
        <v>346</v>
      </c>
      <c r="E362" s="72">
        <v>247.05411240042682</v>
      </c>
      <c r="F362" s="72">
        <v>216.02982813738035</v>
      </c>
      <c r="G362" s="73"/>
      <c r="H362" s="74">
        <v>5.8361436850818427</v>
      </c>
      <c r="I362" s="74">
        <v>5.8576687184942031</v>
      </c>
      <c r="J362" s="73"/>
      <c r="K362" s="72">
        <v>264.63258069329589</v>
      </c>
      <c r="L362" s="72">
        <v>232.91205174861443</v>
      </c>
      <c r="M362" s="73"/>
      <c r="N362" s="74">
        <v>6.6832817234778377</v>
      </c>
      <c r="O362" s="74">
        <v>6.7034394338541921</v>
      </c>
      <c r="P362" s="73"/>
      <c r="Q362" s="72">
        <v>2073.7297859275473</v>
      </c>
      <c r="R362" s="72">
        <v>1193.790940333392</v>
      </c>
      <c r="S362" s="73"/>
      <c r="T362" s="74">
        <v>4.9166859610703559</v>
      </c>
      <c r="U362" s="74">
        <v>5.0050813914149082</v>
      </c>
      <c r="V362" s="73"/>
      <c r="W362" s="72">
        <v>13226.274916487173</v>
      </c>
      <c r="X362" s="72">
        <v>13223.497951122266</v>
      </c>
      <c r="Y362" s="73"/>
      <c r="Z362" s="74">
        <v>2.8811557991313652</v>
      </c>
      <c r="AA362" s="74">
        <v>2.9273197502518156</v>
      </c>
      <c r="AB362" s="73"/>
      <c r="AC362" s="72">
        <v>50563.440346928372</v>
      </c>
      <c r="AD362" s="72">
        <v>50303.161874566889</v>
      </c>
      <c r="AE362" s="73"/>
      <c r="AF362" s="74">
        <v>4.6933912428165838</v>
      </c>
      <c r="AG362" s="74">
        <v>4.7994103816744387</v>
      </c>
      <c r="AH362" s="73"/>
      <c r="AI362" s="72">
        <v>3324037.6133479574</v>
      </c>
      <c r="AJ362" s="72">
        <v>0</v>
      </c>
      <c r="AK362" s="73"/>
      <c r="AL362" s="74">
        <v>-2306.2585452287794</v>
      </c>
      <c r="AM362" s="74">
        <v>0</v>
      </c>
      <c r="AN362" s="73"/>
      <c r="AO362" s="72">
        <v>228071.52506098652</v>
      </c>
      <c r="AP362" s="72">
        <v>0</v>
      </c>
      <c r="AQ362" s="73"/>
      <c r="AR362" s="74">
        <v>-144.93452348447227</v>
      </c>
      <c r="AS362" s="74">
        <v>0</v>
      </c>
      <c r="AT362" s="73"/>
      <c r="AU362" s="72">
        <v>20316071.554750133</v>
      </c>
      <c r="AV362" s="72">
        <v>0</v>
      </c>
      <c r="AW362" s="73"/>
      <c r="AX362" s="74">
        <v>-2040.8780644071414</v>
      </c>
      <c r="AY362" s="74">
        <v>0</v>
      </c>
      <c r="AZ362" s="73"/>
      <c r="BA362" s="72">
        <v>25470.632806071204</v>
      </c>
      <c r="BB362" s="72">
        <v>0</v>
      </c>
      <c r="BC362" s="73"/>
      <c r="BD362" s="74">
        <v>-423.42085455069014</v>
      </c>
      <c r="BE362" s="74">
        <v>0</v>
      </c>
      <c r="BF362" s="73"/>
      <c r="BG362" s="72">
        <v>4135992.7500391053</v>
      </c>
      <c r="BH362" s="72">
        <v>0</v>
      </c>
      <c r="BI362" s="73"/>
      <c r="BJ362" s="74">
        <v>-1684.7124762300093</v>
      </c>
      <c r="BK362" s="74">
        <v>0</v>
      </c>
      <c r="BL362" s="73"/>
      <c r="BM362" s="72">
        <v>28029644.076004252</v>
      </c>
      <c r="BN362" s="72">
        <v>0</v>
      </c>
      <c r="BO362" s="73"/>
      <c r="BP362" s="74">
        <v>-6600.2044639010919</v>
      </c>
      <c r="BQ362" s="74">
        <v>0</v>
      </c>
      <c r="BS362" s="109">
        <f t="shared" si="159"/>
        <v>116475.81958923643</v>
      </c>
      <c r="BT362" s="109">
        <f t="shared" si="160"/>
        <v>116937.34454174667</v>
      </c>
      <c r="BV362" s="58">
        <f t="array" ref="BV362">SUM(IF(BS362:BT362&gt;=BS362, 1))</f>
        <v>2</v>
      </c>
      <c r="BW362" s="58">
        <f t="array" ref="BW362">SUM(IF(BS362:BT362&gt;=BT362, 1))</f>
        <v>1</v>
      </c>
      <c r="BY362" s="109">
        <f t="shared" si="161"/>
        <v>133401.00188886348</v>
      </c>
      <c r="BZ362" s="109">
        <f t="shared" si="162"/>
        <v>133835.87662533525</v>
      </c>
      <c r="CB362" s="58">
        <f t="array" ref="CB362">SUM(IF(BY362:BZ362&gt;=BY362, 1))</f>
        <v>2</v>
      </c>
      <c r="CC362" s="58">
        <f t="array" ref="CC362">SUM(IF(BY362:BZ362&gt;=BZ362, 1))</f>
        <v>1</v>
      </c>
      <c r="CE362" s="109">
        <f t="shared" si="163"/>
        <v>96259.989435479583</v>
      </c>
      <c r="CF362" s="109">
        <f t="shared" si="164"/>
        <v>98907.836887964775</v>
      </c>
      <c r="CH362" s="58">
        <f t="array" ref="CH362">SUM(IF(CE362:CF362&gt;=CE362, 1))</f>
        <v>2</v>
      </c>
      <c r="CI362" s="58">
        <f t="array" ref="CI362">SUM(IF(CE362:CF362&gt;=CF362, 1))</f>
        <v>1</v>
      </c>
      <c r="CK362" s="109">
        <f t="shared" si="165"/>
        <v>44396.841066140136</v>
      </c>
      <c r="CL362" s="109">
        <f t="shared" si="166"/>
        <v>45322.897053914043</v>
      </c>
      <c r="CN362" s="58">
        <f t="array" ref="CN362">SUM(IF(CK362:CL362&gt;=CK362, 1))</f>
        <v>2</v>
      </c>
      <c r="CO362" s="58">
        <f t="array" ref="CO362">SUM(IF(CK362:CL362&gt;=CL362, 1))</f>
        <v>1</v>
      </c>
      <c r="CQ362" s="109" cm="1">
        <f t="array" ref="CQ362">AF362*WTP-AC362</f>
        <v>43304.384509403302</v>
      </c>
      <c r="CR362" s="109">
        <f t="shared" si="167"/>
        <v>45685.045758921879</v>
      </c>
      <c r="CT362" s="58">
        <f t="array" ref="CT362">SUM(IF(CQ362:CR362&gt;=CQ362, 1))</f>
        <v>2</v>
      </c>
      <c r="CU362" s="58">
        <f t="array" ref="CU362">SUM(IF(CQ362:CR362&gt;=CR362, 1))</f>
        <v>1</v>
      </c>
      <c r="CW362" s="109">
        <f t="shared" si="168"/>
        <v>-49449208.517923541</v>
      </c>
      <c r="CX362" s="109">
        <f t="shared" si="169"/>
        <v>0</v>
      </c>
      <c r="CZ362" s="58">
        <f t="array" ref="CZ362">SUM(IF(CW362:CX362&gt;=CW362, 1))</f>
        <v>2</v>
      </c>
      <c r="DA362" s="58">
        <f t="array" ref="DA362">SUM(IF(CW362:CX362&gt;=CX362, 1))</f>
        <v>1</v>
      </c>
      <c r="DC362" s="109">
        <f t="shared" si="170"/>
        <v>-3126761.9947504317</v>
      </c>
      <c r="DD362" s="109">
        <f t="shared" si="171"/>
        <v>0</v>
      </c>
      <c r="DF362" s="58">
        <f t="array" ref="DF362">SUM(IF(DC362:DD362&gt;=DC362, 1))</f>
        <v>2</v>
      </c>
      <c r="DG362" s="58">
        <f t="array" ref="DG362">SUM(IF(DC362:DD362&gt;=DD362, 1))</f>
        <v>1</v>
      </c>
      <c r="DI362" s="109">
        <f t="shared" si="172"/>
        <v>-61133632.84289296</v>
      </c>
      <c r="DJ362" s="109">
        <f t="shared" si="173"/>
        <v>0</v>
      </c>
      <c r="DL362" s="58">
        <f t="array" ref="DL362">SUM(IF(DI362:DJ362&gt;=DI362, 1))</f>
        <v>2</v>
      </c>
      <c r="DM362" s="58">
        <f t="array" ref="DM362">SUM(IF(DI362:DJ362&gt;=DJ362, 1))</f>
        <v>1</v>
      </c>
      <c r="DO362" s="109">
        <f t="shared" si="174"/>
        <v>-8493887.7238198742</v>
      </c>
      <c r="DP362" s="109">
        <f t="shared" si="175"/>
        <v>0</v>
      </c>
      <c r="DR362" s="58">
        <f t="array" ref="DR362">SUM(IF(DO362:DP362&gt;=DO362, 1))</f>
        <v>2</v>
      </c>
      <c r="DS362" s="58">
        <f t="array" ref="DS362">SUM(IF(DO362:DP362&gt;=DP362, 1))</f>
        <v>1</v>
      </c>
      <c r="DU362" s="109">
        <f t="shared" si="176"/>
        <v>-37830242.274639294</v>
      </c>
      <c r="DV362" s="109">
        <f t="shared" si="177"/>
        <v>0</v>
      </c>
      <c r="DX362" s="58">
        <f t="array" ref="DX362">SUM(IF(DU362:DV362&gt;=DU362, 1))</f>
        <v>2</v>
      </c>
      <c r="DY362" s="58">
        <f t="array" ref="DY362">SUM(IF(DU362:DV362&gt;=DV362, 1))</f>
        <v>1</v>
      </c>
      <c r="EA362" s="109">
        <f t="shared" si="178"/>
        <v>-160033733.35402608</v>
      </c>
      <c r="EB362" s="109">
        <f t="shared" si="179"/>
        <v>0</v>
      </c>
      <c r="ED362" s="58">
        <f t="array" ref="ED362">SUM(IF(EA362:EB362&gt;=EA362, 1))</f>
        <v>2</v>
      </c>
      <c r="EE362" s="58">
        <f t="array" ref="EE362">SUM(IF(EA362:EB362&gt;=EB362, 1))</f>
        <v>1</v>
      </c>
    </row>
    <row r="363" spans="4:135" ht="12" customHeight="1" x14ac:dyDescent="0.25">
      <c r="D363" s="11">
        <v>347</v>
      </c>
      <c r="E363" s="72">
        <v>198.78713994735392</v>
      </c>
      <c r="F363" s="72">
        <v>184.35833394784166</v>
      </c>
      <c r="G363" s="73"/>
      <c r="H363" s="74">
        <v>5.7969928380576041</v>
      </c>
      <c r="I363" s="74">
        <v>5.8131010739117368</v>
      </c>
      <c r="J363" s="73"/>
      <c r="K363" s="72">
        <v>213.57143478968504</v>
      </c>
      <c r="L363" s="72">
        <v>198.78896188492993</v>
      </c>
      <c r="M363" s="73"/>
      <c r="N363" s="74">
        <v>6.7935344743522998</v>
      </c>
      <c r="O363" s="74">
        <v>6.8075318462611012</v>
      </c>
      <c r="P363" s="73"/>
      <c r="Q363" s="72">
        <v>2174.8834671337358</v>
      </c>
      <c r="R363" s="72">
        <v>1371.21164982198</v>
      </c>
      <c r="S363" s="73"/>
      <c r="T363" s="74">
        <v>4.7038800599367425</v>
      </c>
      <c r="U363" s="74">
        <v>4.79937290205606</v>
      </c>
      <c r="V363" s="73"/>
      <c r="W363" s="72">
        <v>11329.434598684971</v>
      </c>
      <c r="X363" s="72">
        <v>11403.39216846648</v>
      </c>
      <c r="Y363" s="73"/>
      <c r="Z363" s="74">
        <v>3.0469608206348231</v>
      </c>
      <c r="AA363" s="74">
        <v>3.1055472109010531</v>
      </c>
      <c r="AB363" s="73"/>
      <c r="AC363" s="72">
        <v>49833.843550688798</v>
      </c>
      <c r="AD363" s="72">
        <v>49528.566232832207</v>
      </c>
      <c r="AE363" s="73"/>
      <c r="AF363" s="74">
        <v>3.6382305511362256</v>
      </c>
      <c r="AG363" s="74">
        <v>3.7263946849502068</v>
      </c>
      <c r="AH363" s="73"/>
      <c r="AI363" s="72">
        <v>1563584.0072666781</v>
      </c>
      <c r="AJ363" s="72">
        <v>0</v>
      </c>
      <c r="AK363" s="73"/>
      <c r="AL363" s="74">
        <v>-1745.5761736385491</v>
      </c>
      <c r="AM363" s="74">
        <v>0</v>
      </c>
      <c r="AN363" s="73"/>
      <c r="AO363" s="72">
        <v>101714.18256765124</v>
      </c>
      <c r="AP363" s="72">
        <v>0</v>
      </c>
      <c r="AQ363" s="73"/>
      <c r="AR363" s="74">
        <v>-96.312115771993632</v>
      </c>
      <c r="AS363" s="74">
        <v>0</v>
      </c>
      <c r="AT363" s="73"/>
      <c r="AU363" s="72">
        <v>18734158.441882666</v>
      </c>
      <c r="AV363" s="72">
        <v>0</v>
      </c>
      <c r="AW363" s="73"/>
      <c r="AX363" s="74">
        <v>-2226.0056851477357</v>
      </c>
      <c r="AY363" s="74">
        <v>0</v>
      </c>
      <c r="AZ363" s="73"/>
      <c r="BA363" s="72">
        <v>-651206.54270037811</v>
      </c>
      <c r="BB363" s="72">
        <v>0</v>
      </c>
      <c r="BC363" s="73"/>
      <c r="BD363" s="74">
        <v>-515.861199432023</v>
      </c>
      <c r="BE363" s="74">
        <v>0</v>
      </c>
      <c r="BF363" s="73"/>
      <c r="BG363" s="72">
        <v>4920461.1847347161</v>
      </c>
      <c r="BH363" s="72">
        <v>0</v>
      </c>
      <c r="BI363" s="73"/>
      <c r="BJ363" s="74">
        <v>-1421.029906064753</v>
      </c>
      <c r="BK363" s="74">
        <v>0</v>
      </c>
      <c r="BL363" s="73"/>
      <c r="BM363" s="72">
        <v>24668711.273751337</v>
      </c>
      <c r="BN363" s="72">
        <v>0</v>
      </c>
      <c r="BO363" s="73"/>
      <c r="BP363" s="74">
        <v>-6004.7850800550541</v>
      </c>
      <c r="BQ363" s="74">
        <v>0</v>
      </c>
      <c r="BS363" s="109">
        <f t="shared" si="159"/>
        <v>115741.06962120473</v>
      </c>
      <c r="BT363" s="109">
        <f t="shared" si="160"/>
        <v>116077.6631442869</v>
      </c>
      <c r="BV363" s="58">
        <f t="array" ref="BV363">SUM(IF(BS363:BT363&gt;=BS363, 1))</f>
        <v>2</v>
      </c>
      <c r="BW363" s="58">
        <f t="array" ref="BW363">SUM(IF(BS363:BT363&gt;=BT363, 1))</f>
        <v>1</v>
      </c>
      <c r="BY363" s="109">
        <f t="shared" si="161"/>
        <v>135657.11805225632</v>
      </c>
      <c r="BZ363" s="109">
        <f t="shared" si="162"/>
        <v>135951.84796333709</v>
      </c>
      <c r="CB363" s="58">
        <f t="array" ref="CB363">SUM(IF(BY363:BZ363&gt;=BY363, 1))</f>
        <v>2</v>
      </c>
      <c r="CC363" s="58">
        <f t="array" ref="CC363">SUM(IF(BY363:BZ363&gt;=BZ363, 1))</f>
        <v>1</v>
      </c>
      <c r="CE363" s="109">
        <f t="shared" si="163"/>
        <v>91902.717731601108</v>
      </c>
      <c r="CF363" s="109">
        <f t="shared" si="164"/>
        <v>94616.24639129921</v>
      </c>
      <c r="CH363" s="58">
        <f t="array" ref="CH363">SUM(IF(CE363:CF363&gt;=CE363, 1))</f>
        <v>2</v>
      </c>
      <c r="CI363" s="58">
        <f t="array" ref="CI363">SUM(IF(CE363:CF363&gt;=CF363, 1))</f>
        <v>1</v>
      </c>
      <c r="CK363" s="109">
        <f t="shared" si="165"/>
        <v>49609.78181401149</v>
      </c>
      <c r="CL363" s="109">
        <f t="shared" si="166"/>
        <v>50707.552049554579</v>
      </c>
      <c r="CN363" s="58">
        <f t="array" ref="CN363">SUM(IF(CK363:CL363&gt;=CK363, 1))</f>
        <v>2</v>
      </c>
      <c r="CO363" s="58">
        <f t="array" ref="CO363">SUM(IF(CK363:CL363&gt;=CL363, 1))</f>
        <v>1</v>
      </c>
      <c r="CQ363" s="109" cm="1">
        <f t="array" ref="CQ363">AF363*WTP-AC363</f>
        <v>22930.76747203571</v>
      </c>
      <c r="CR363" s="109">
        <f t="shared" si="167"/>
        <v>24999.327466171933</v>
      </c>
      <c r="CT363" s="58">
        <f t="array" ref="CT363">SUM(IF(CQ363:CR363&gt;=CQ363, 1))</f>
        <v>2</v>
      </c>
      <c r="CU363" s="58">
        <f t="array" ref="CU363">SUM(IF(CQ363:CR363&gt;=CR363, 1))</f>
        <v>1</v>
      </c>
      <c r="CW363" s="109">
        <f t="shared" si="168"/>
        <v>-36475107.480037659</v>
      </c>
      <c r="CX363" s="109">
        <f t="shared" si="169"/>
        <v>0</v>
      </c>
      <c r="CZ363" s="58">
        <f t="array" ref="CZ363">SUM(IF(CW363:CX363&gt;=CW363, 1))</f>
        <v>2</v>
      </c>
      <c r="DA363" s="58">
        <f t="array" ref="DA363">SUM(IF(CW363:CX363&gt;=CX363, 1))</f>
        <v>1</v>
      </c>
      <c r="DC363" s="109">
        <f t="shared" si="170"/>
        <v>-2027956.4980075238</v>
      </c>
      <c r="DD363" s="109">
        <f t="shared" si="171"/>
        <v>0</v>
      </c>
      <c r="DF363" s="58">
        <f t="array" ref="DF363">SUM(IF(DC363:DD363&gt;=DC363, 1))</f>
        <v>2</v>
      </c>
      <c r="DG363" s="58">
        <f t="array" ref="DG363">SUM(IF(DC363:DD363&gt;=DD363, 1))</f>
        <v>1</v>
      </c>
      <c r="DI363" s="109">
        <f t="shared" si="172"/>
        <v>-63254272.144837379</v>
      </c>
      <c r="DJ363" s="109">
        <f t="shared" si="173"/>
        <v>0</v>
      </c>
      <c r="DL363" s="58">
        <f t="array" ref="DL363">SUM(IF(DI363:DJ363&gt;=DI363, 1))</f>
        <v>2</v>
      </c>
      <c r="DM363" s="58">
        <f t="array" ref="DM363">SUM(IF(DI363:DJ363&gt;=DJ363, 1))</f>
        <v>1</v>
      </c>
      <c r="DO363" s="109">
        <f t="shared" si="174"/>
        <v>-9666017.445940081</v>
      </c>
      <c r="DP363" s="109">
        <f t="shared" si="175"/>
        <v>0</v>
      </c>
      <c r="DR363" s="58">
        <f t="array" ref="DR363">SUM(IF(DO363:DP363&gt;=DO363, 1))</f>
        <v>2</v>
      </c>
      <c r="DS363" s="58">
        <f t="array" ref="DS363">SUM(IF(DO363:DP363&gt;=DP363, 1))</f>
        <v>1</v>
      </c>
      <c r="DU363" s="109">
        <f t="shared" si="176"/>
        <v>-33341059.306029778</v>
      </c>
      <c r="DV363" s="109">
        <f t="shared" si="177"/>
        <v>0</v>
      </c>
      <c r="DX363" s="58">
        <f t="array" ref="DX363">SUM(IF(DU363:DV363&gt;=DU363, 1))</f>
        <v>2</v>
      </c>
      <c r="DY363" s="58">
        <f t="array" ref="DY363">SUM(IF(DU363:DV363&gt;=DV363, 1))</f>
        <v>1</v>
      </c>
      <c r="EA363" s="109">
        <f t="shared" si="178"/>
        <v>-144764412.87485242</v>
      </c>
      <c r="EB363" s="109">
        <f t="shared" si="179"/>
        <v>0</v>
      </c>
      <c r="ED363" s="58">
        <f t="array" ref="ED363">SUM(IF(EA363:EB363&gt;=EA363, 1))</f>
        <v>2</v>
      </c>
      <c r="EE363" s="58">
        <f t="array" ref="EE363">SUM(IF(EA363:EB363&gt;=EB363, 1))</f>
        <v>1</v>
      </c>
    </row>
    <row r="364" spans="4:135" ht="12" customHeight="1" x14ac:dyDescent="0.25">
      <c r="D364" s="11">
        <v>348</v>
      </c>
      <c r="E364" s="72">
        <v>254.4025453989731</v>
      </c>
      <c r="F364" s="72">
        <v>239.74839784695845</v>
      </c>
      <c r="G364" s="73"/>
      <c r="H364" s="74">
        <v>5.8788531471221388</v>
      </c>
      <c r="I364" s="74">
        <v>5.8986299137578877</v>
      </c>
      <c r="J364" s="73"/>
      <c r="K364" s="72">
        <v>273.63297869489605</v>
      </c>
      <c r="L364" s="72">
        <v>258.61964674743103</v>
      </c>
      <c r="M364" s="73"/>
      <c r="N364" s="74">
        <v>6.755272603182668</v>
      </c>
      <c r="O364" s="74">
        <v>6.7730931041389626</v>
      </c>
      <c r="P364" s="73"/>
      <c r="Q364" s="72">
        <v>3062.0975701635111</v>
      </c>
      <c r="R364" s="72">
        <v>1628.4561308176851</v>
      </c>
      <c r="S364" s="73"/>
      <c r="T364" s="74">
        <v>4.7716648725711108</v>
      </c>
      <c r="U364" s="74">
        <v>4.8676458905063713</v>
      </c>
      <c r="V364" s="73"/>
      <c r="W364" s="72">
        <v>10452.17575111215</v>
      </c>
      <c r="X364" s="72">
        <v>10414.318813365227</v>
      </c>
      <c r="Y364" s="73"/>
      <c r="Z364" s="74">
        <v>3.203524557917429</v>
      </c>
      <c r="AA364" s="74">
        <v>3.2387794803173375</v>
      </c>
      <c r="AB364" s="73"/>
      <c r="AC364" s="72">
        <v>50629.366940689091</v>
      </c>
      <c r="AD364" s="72">
        <v>50345.16044314282</v>
      </c>
      <c r="AE364" s="73"/>
      <c r="AF364" s="74">
        <v>4.5785038967037446</v>
      </c>
      <c r="AG364" s="74">
        <v>4.7227683459444201</v>
      </c>
      <c r="AH364" s="73"/>
      <c r="AI364" s="72">
        <v>1582137.6021176537</v>
      </c>
      <c r="AJ364" s="72">
        <v>0</v>
      </c>
      <c r="AK364" s="73"/>
      <c r="AL364" s="74">
        <v>-2135.2020669685762</v>
      </c>
      <c r="AM364" s="74">
        <v>0</v>
      </c>
      <c r="AN364" s="73"/>
      <c r="AO364" s="72">
        <v>106614.24703137255</v>
      </c>
      <c r="AP364" s="72">
        <v>0</v>
      </c>
      <c r="AQ364" s="73"/>
      <c r="AR364" s="74">
        <v>-126.54880993942213</v>
      </c>
      <c r="AS364" s="74">
        <v>0</v>
      </c>
      <c r="AT364" s="73"/>
      <c r="AU364" s="72">
        <v>32370549.771719433</v>
      </c>
      <c r="AV364" s="72">
        <v>0</v>
      </c>
      <c r="AW364" s="73"/>
      <c r="AX364" s="74">
        <v>-2167.1794864072549</v>
      </c>
      <c r="AY364" s="74">
        <v>0</v>
      </c>
      <c r="AZ364" s="73"/>
      <c r="BA364" s="72">
        <v>343006.99850010173</v>
      </c>
      <c r="BB364" s="72">
        <v>0</v>
      </c>
      <c r="BC364" s="73"/>
      <c r="BD364" s="74">
        <v>-319.43114880520238</v>
      </c>
      <c r="BE364" s="74">
        <v>0</v>
      </c>
      <c r="BF364" s="73"/>
      <c r="BG364" s="72">
        <v>4487685.0827452615</v>
      </c>
      <c r="BH364" s="72">
        <v>0</v>
      </c>
      <c r="BI364" s="73"/>
      <c r="BJ364" s="74">
        <v>-2277.9683871317434</v>
      </c>
      <c r="BK364" s="74">
        <v>0</v>
      </c>
      <c r="BL364" s="73"/>
      <c r="BM364" s="72">
        <v>38889993.702113822</v>
      </c>
      <c r="BN364" s="72">
        <v>0</v>
      </c>
      <c r="BO364" s="73"/>
      <c r="BP364" s="74">
        <v>-7026.3298992521995</v>
      </c>
      <c r="BQ364" s="74">
        <v>0</v>
      </c>
      <c r="BS364" s="109">
        <f t="shared" si="159"/>
        <v>117322.6603970438</v>
      </c>
      <c r="BT364" s="109">
        <f t="shared" si="160"/>
        <v>117732.8498773108</v>
      </c>
      <c r="BV364" s="58">
        <f t="array" ref="BV364">SUM(IF(BS364:BT364&gt;=BS364, 1))</f>
        <v>2</v>
      </c>
      <c r="BW364" s="58">
        <f t="array" ref="BW364">SUM(IF(BS364:BT364&gt;=BT364, 1))</f>
        <v>1</v>
      </c>
      <c r="BY364" s="109">
        <f t="shared" si="161"/>
        <v>134831.81908495846</v>
      </c>
      <c r="BZ364" s="109">
        <f t="shared" si="162"/>
        <v>135203.24243603184</v>
      </c>
      <c r="CB364" s="58">
        <f t="array" ref="CB364">SUM(IF(BY364:BZ364&gt;=BY364, 1))</f>
        <v>2</v>
      </c>
      <c r="CC364" s="58">
        <f t="array" ref="CC364">SUM(IF(BY364:BZ364&gt;=BZ364, 1))</f>
        <v>1</v>
      </c>
      <c r="CE364" s="109">
        <f t="shared" si="163"/>
        <v>92371.199881258697</v>
      </c>
      <c r="CF364" s="109">
        <f t="shared" si="164"/>
        <v>95724.461679309752</v>
      </c>
      <c r="CH364" s="58">
        <f t="array" ref="CH364">SUM(IF(CE364:CF364&gt;=CE364, 1))</f>
        <v>2</v>
      </c>
      <c r="CI364" s="58">
        <f t="array" ref="CI364">SUM(IF(CE364:CF364&gt;=CF364, 1))</f>
        <v>1</v>
      </c>
      <c r="CK364" s="109">
        <f t="shared" si="165"/>
        <v>53618.315407236427</v>
      </c>
      <c r="CL364" s="109">
        <f t="shared" si="166"/>
        <v>54361.270792981522</v>
      </c>
      <c r="CN364" s="58">
        <f t="array" ref="CN364">SUM(IF(CK364:CL364&gt;=CK364, 1))</f>
        <v>2</v>
      </c>
      <c r="CO364" s="58">
        <f t="array" ref="CO364">SUM(IF(CK364:CL364&gt;=CL364, 1))</f>
        <v>1</v>
      </c>
      <c r="CQ364" s="109" cm="1">
        <f t="array" ref="CQ364">AF364*WTP-AC364</f>
        <v>40940.710993385794</v>
      </c>
      <c r="CR364" s="109">
        <f t="shared" si="167"/>
        <v>44110.206475745588</v>
      </c>
      <c r="CT364" s="58">
        <f t="array" ref="CT364">SUM(IF(CQ364:CR364&gt;=CQ364, 1))</f>
        <v>2</v>
      </c>
      <c r="CU364" s="58">
        <f t="array" ref="CU364">SUM(IF(CQ364:CR364&gt;=CR364, 1))</f>
        <v>1</v>
      </c>
      <c r="CW364" s="109">
        <f t="shared" si="168"/>
        <v>-44286178.941489175</v>
      </c>
      <c r="CX364" s="109">
        <f t="shared" si="169"/>
        <v>0</v>
      </c>
      <c r="CZ364" s="58">
        <f t="array" ref="CZ364">SUM(IF(CW364:CX364&gt;=CW364, 1))</f>
        <v>2</v>
      </c>
      <c r="DA364" s="58">
        <f t="array" ref="DA364">SUM(IF(CW364:CX364&gt;=CX364, 1))</f>
        <v>1</v>
      </c>
      <c r="DC364" s="109">
        <f t="shared" si="170"/>
        <v>-2637590.4458198152</v>
      </c>
      <c r="DD364" s="109">
        <f t="shared" si="171"/>
        <v>0</v>
      </c>
      <c r="DF364" s="58">
        <f t="array" ref="DF364">SUM(IF(DC364:DD364&gt;=DC364, 1))</f>
        <v>2</v>
      </c>
      <c r="DG364" s="58">
        <f t="array" ref="DG364">SUM(IF(DC364:DD364&gt;=DD364, 1))</f>
        <v>1</v>
      </c>
      <c r="DI364" s="109">
        <f t="shared" si="172"/>
        <v>-75714139.499864534</v>
      </c>
      <c r="DJ364" s="109">
        <f t="shared" si="173"/>
        <v>0</v>
      </c>
      <c r="DL364" s="58">
        <f t="array" ref="DL364">SUM(IF(DI364:DJ364&gt;=DI364, 1))</f>
        <v>2</v>
      </c>
      <c r="DM364" s="58">
        <f t="array" ref="DM364">SUM(IF(DI364:DJ364&gt;=DJ364, 1))</f>
        <v>1</v>
      </c>
      <c r="DO364" s="109">
        <f t="shared" si="174"/>
        <v>-6731629.9746041503</v>
      </c>
      <c r="DP364" s="109">
        <f t="shared" si="175"/>
        <v>0</v>
      </c>
      <c r="DR364" s="58">
        <f t="array" ref="DR364">SUM(IF(DO364:DP364&gt;=DO364, 1))</f>
        <v>2</v>
      </c>
      <c r="DS364" s="58">
        <f t="array" ref="DS364">SUM(IF(DO364:DP364&gt;=DP364, 1))</f>
        <v>1</v>
      </c>
      <c r="DU364" s="109">
        <f t="shared" si="176"/>
        <v>-50047052.825380132</v>
      </c>
      <c r="DV364" s="109">
        <f t="shared" si="177"/>
        <v>0</v>
      </c>
      <c r="DX364" s="58">
        <f t="array" ref="DX364">SUM(IF(DU364:DV364&gt;=DU364, 1))</f>
        <v>2</v>
      </c>
      <c r="DY364" s="58">
        <f t="array" ref="DY364">SUM(IF(DU364:DV364&gt;=DV364, 1))</f>
        <v>1</v>
      </c>
      <c r="EA364" s="109">
        <f t="shared" si="178"/>
        <v>-179416591.68715781</v>
      </c>
      <c r="EB364" s="109">
        <f t="shared" si="179"/>
        <v>0</v>
      </c>
      <c r="ED364" s="58">
        <f t="array" ref="ED364">SUM(IF(EA364:EB364&gt;=EA364, 1))</f>
        <v>2</v>
      </c>
      <c r="EE364" s="58">
        <f t="array" ref="EE364">SUM(IF(EA364:EB364&gt;=EB364, 1))</f>
        <v>1</v>
      </c>
    </row>
    <row r="365" spans="4:135" ht="12" customHeight="1" x14ac:dyDescent="0.25">
      <c r="D365" s="11">
        <v>349</v>
      </c>
      <c r="E365" s="72">
        <v>340.95600364301555</v>
      </c>
      <c r="F365" s="72">
        <v>315.69369009515435</v>
      </c>
      <c r="G365" s="73"/>
      <c r="H365" s="74">
        <v>5.8347846541985922</v>
      </c>
      <c r="I365" s="74">
        <v>5.8490093621074015</v>
      </c>
      <c r="J365" s="73"/>
      <c r="K365" s="72">
        <v>366.23784483042323</v>
      </c>
      <c r="L365" s="72">
        <v>340.34772673299915</v>
      </c>
      <c r="M365" s="73"/>
      <c r="N365" s="74">
        <v>6.7376782886430151</v>
      </c>
      <c r="O365" s="74">
        <v>6.7497043887966575</v>
      </c>
      <c r="P365" s="73"/>
      <c r="Q365" s="72">
        <v>2037.4340710021679</v>
      </c>
      <c r="R365" s="72">
        <v>1433.1567696028205</v>
      </c>
      <c r="S365" s="73"/>
      <c r="T365" s="74">
        <v>4.7557425687305539</v>
      </c>
      <c r="U365" s="74">
        <v>4.8469273242687505</v>
      </c>
      <c r="V365" s="73"/>
      <c r="W365" s="72">
        <v>11613.108816412629</v>
      </c>
      <c r="X365" s="72">
        <v>11638.486118911354</v>
      </c>
      <c r="Y365" s="73"/>
      <c r="Z365" s="74">
        <v>3.0240304498791848</v>
      </c>
      <c r="AA365" s="74">
        <v>3.0739297938310064</v>
      </c>
      <c r="AB365" s="73"/>
      <c r="AC365" s="72">
        <v>49698.540937395584</v>
      </c>
      <c r="AD365" s="72">
        <v>49476.393039736977</v>
      </c>
      <c r="AE365" s="73"/>
      <c r="AF365" s="74">
        <v>4.6065580313323053</v>
      </c>
      <c r="AG365" s="74">
        <v>4.7648270397444312</v>
      </c>
      <c r="AH365" s="73"/>
      <c r="AI365" s="72">
        <v>2700601.5593068548</v>
      </c>
      <c r="AJ365" s="72">
        <v>0</v>
      </c>
      <c r="AK365" s="73"/>
      <c r="AL365" s="74">
        <v>-1520.6551959872852</v>
      </c>
      <c r="AM365" s="74">
        <v>0</v>
      </c>
      <c r="AN365" s="73"/>
      <c r="AO365" s="72">
        <v>175312.18603531484</v>
      </c>
      <c r="AP365" s="72">
        <v>0</v>
      </c>
      <c r="AQ365" s="73"/>
      <c r="AR365" s="74">
        <v>-81.433460422277648</v>
      </c>
      <c r="AS365" s="74">
        <v>0</v>
      </c>
      <c r="AT365" s="73"/>
      <c r="AU365" s="72">
        <v>13951450.639840454</v>
      </c>
      <c r="AV365" s="72">
        <v>0</v>
      </c>
      <c r="AW365" s="73"/>
      <c r="AX365" s="74">
        <v>-2105.2579884286256</v>
      </c>
      <c r="AY365" s="74">
        <v>0</v>
      </c>
      <c r="AZ365" s="73"/>
      <c r="BA365" s="72">
        <v>-218248.06773884452</v>
      </c>
      <c r="BB365" s="72">
        <v>0</v>
      </c>
      <c r="BC365" s="73"/>
      <c r="BD365" s="74">
        <v>-429.1407804067378</v>
      </c>
      <c r="BE365" s="74">
        <v>0</v>
      </c>
      <c r="BF365" s="73"/>
      <c r="BG365" s="72">
        <v>3559979.5504836915</v>
      </c>
      <c r="BH365" s="72">
        <v>0</v>
      </c>
      <c r="BI365" s="73"/>
      <c r="BJ365" s="74">
        <v>-2536.3032437442821</v>
      </c>
      <c r="BK365" s="74">
        <v>0</v>
      </c>
      <c r="BL365" s="73"/>
      <c r="BM365" s="72">
        <v>20169095.867927469</v>
      </c>
      <c r="BN365" s="72">
        <v>0</v>
      </c>
      <c r="BO365" s="73"/>
      <c r="BP365" s="74">
        <v>-6672.7906689892079</v>
      </c>
      <c r="BQ365" s="74">
        <v>0</v>
      </c>
      <c r="BS365" s="109">
        <f t="shared" si="159"/>
        <v>116354.73708032882</v>
      </c>
      <c r="BT365" s="109">
        <f t="shared" si="160"/>
        <v>116664.49355205288</v>
      </c>
      <c r="BV365" s="58">
        <f t="array" ref="BV365">SUM(IF(BS365:BT365&gt;=BS365, 1))</f>
        <v>2</v>
      </c>
      <c r="BW365" s="58">
        <f t="array" ref="BW365">SUM(IF(BS365:BT365&gt;=BT365, 1))</f>
        <v>1</v>
      </c>
      <c r="BY365" s="109">
        <f t="shared" si="161"/>
        <v>134387.32792802987</v>
      </c>
      <c r="BZ365" s="109">
        <f t="shared" si="162"/>
        <v>134653.74004920016</v>
      </c>
      <c r="CB365" s="58">
        <f t="array" ref="CB365">SUM(IF(BY365:BZ365&gt;=BY365, 1))</f>
        <v>2</v>
      </c>
      <c r="CC365" s="58">
        <f t="array" ref="CC365">SUM(IF(BY365:BZ365&gt;=BZ365, 1))</f>
        <v>1</v>
      </c>
      <c r="CE365" s="109">
        <f t="shared" si="163"/>
        <v>93077.41730360892</v>
      </c>
      <c r="CF365" s="109">
        <f t="shared" si="164"/>
        <v>95505.389715772195</v>
      </c>
      <c r="CH365" s="58">
        <f t="array" ref="CH365">SUM(IF(CE365:CF365&gt;=CE365, 1))</f>
        <v>2</v>
      </c>
      <c r="CI365" s="58">
        <f t="array" ref="CI365">SUM(IF(CE365:CF365&gt;=CF365, 1))</f>
        <v>1</v>
      </c>
      <c r="CK365" s="109">
        <f t="shared" si="165"/>
        <v>48867.500181171068</v>
      </c>
      <c r="CL365" s="109">
        <f t="shared" si="166"/>
        <v>49840.109757708778</v>
      </c>
      <c r="CN365" s="58">
        <f t="array" ref="CN365">SUM(IF(CK365:CL365&gt;=CK365, 1))</f>
        <v>2</v>
      </c>
      <c r="CO365" s="58">
        <f t="array" ref="CO365">SUM(IF(CK365:CL365&gt;=CL365, 1))</f>
        <v>1</v>
      </c>
      <c r="CQ365" s="109" cm="1">
        <f t="array" ref="CQ365">AF365*WTP-AC365</f>
        <v>42432.619689250518</v>
      </c>
      <c r="CR365" s="109">
        <f t="shared" si="167"/>
        <v>45820.147755151651</v>
      </c>
      <c r="CT365" s="58">
        <f t="array" ref="CT365">SUM(IF(CQ365:CR365&gt;=CQ365, 1))</f>
        <v>2</v>
      </c>
      <c r="CU365" s="58">
        <f t="array" ref="CU365">SUM(IF(CQ365:CR365&gt;=CR365, 1))</f>
        <v>1</v>
      </c>
      <c r="CW365" s="109">
        <f t="shared" si="168"/>
        <v>-33113705.479052559</v>
      </c>
      <c r="CX365" s="109">
        <f t="shared" si="169"/>
        <v>0</v>
      </c>
      <c r="CZ365" s="58">
        <f t="array" ref="CZ365">SUM(IF(CW365:CX365&gt;=CW365, 1))</f>
        <v>2</v>
      </c>
      <c r="DA365" s="58">
        <f t="array" ref="DA365">SUM(IF(CW365:CX365&gt;=CX365, 1))</f>
        <v>1</v>
      </c>
      <c r="DC365" s="109">
        <f t="shared" si="170"/>
        <v>-1803981.3944808678</v>
      </c>
      <c r="DD365" s="109">
        <f t="shared" si="171"/>
        <v>0</v>
      </c>
      <c r="DF365" s="58">
        <f t="array" ref="DF365">SUM(IF(DC365:DD365&gt;=DC365, 1))</f>
        <v>2</v>
      </c>
      <c r="DG365" s="58">
        <f t="array" ref="DG365">SUM(IF(DC365:DD365&gt;=DD365, 1))</f>
        <v>1</v>
      </c>
      <c r="DI365" s="109">
        <f t="shared" si="172"/>
        <v>-56056610.408412963</v>
      </c>
      <c r="DJ365" s="109">
        <f t="shared" si="173"/>
        <v>0</v>
      </c>
      <c r="DL365" s="58">
        <f t="array" ref="DL365">SUM(IF(DI365:DJ365&gt;=DI365, 1))</f>
        <v>2</v>
      </c>
      <c r="DM365" s="58">
        <f t="array" ref="DM365">SUM(IF(DI365:DJ365&gt;=DJ365, 1))</f>
        <v>1</v>
      </c>
      <c r="DO365" s="109">
        <f t="shared" si="174"/>
        <v>-8364567.5403959118</v>
      </c>
      <c r="DP365" s="109">
        <f t="shared" si="175"/>
        <v>0</v>
      </c>
      <c r="DR365" s="58">
        <f t="array" ref="DR365">SUM(IF(DO365:DP365&gt;=DO365, 1))</f>
        <v>2</v>
      </c>
      <c r="DS365" s="58">
        <f t="array" ref="DS365">SUM(IF(DO365:DP365&gt;=DP365, 1))</f>
        <v>1</v>
      </c>
      <c r="DU365" s="109">
        <f t="shared" si="176"/>
        <v>-54286044.42536933</v>
      </c>
      <c r="DV365" s="109">
        <f t="shared" si="177"/>
        <v>0</v>
      </c>
      <c r="DX365" s="58">
        <f t="array" ref="DX365">SUM(IF(DU365:DV365&gt;=DU365, 1))</f>
        <v>2</v>
      </c>
      <c r="DY365" s="58">
        <f t="array" ref="DY365">SUM(IF(DU365:DV365&gt;=DV365, 1))</f>
        <v>1</v>
      </c>
      <c r="EA365" s="109">
        <f t="shared" si="178"/>
        <v>-153624909.24771163</v>
      </c>
      <c r="EB365" s="109">
        <f t="shared" si="179"/>
        <v>0</v>
      </c>
      <c r="ED365" s="58">
        <f t="array" ref="ED365">SUM(IF(EA365:EB365&gt;=EA365, 1))</f>
        <v>2</v>
      </c>
      <c r="EE365" s="58">
        <f t="array" ref="EE365">SUM(IF(EA365:EB365&gt;=EB365, 1))</f>
        <v>1</v>
      </c>
    </row>
    <row r="366" spans="4:135" ht="12" customHeight="1" x14ac:dyDescent="0.25">
      <c r="D366" s="11">
        <v>350</v>
      </c>
      <c r="E366" s="72">
        <v>211.62580814618252</v>
      </c>
      <c r="F366" s="72">
        <v>195.0350449695357</v>
      </c>
      <c r="G366" s="73"/>
      <c r="H366" s="74">
        <v>5.8387305299070169</v>
      </c>
      <c r="I366" s="74">
        <v>5.8576366748132518</v>
      </c>
      <c r="J366" s="73"/>
      <c r="K366" s="72">
        <v>227.32095575887692</v>
      </c>
      <c r="L366" s="72">
        <v>210.33539948940665</v>
      </c>
      <c r="M366" s="73"/>
      <c r="N366" s="74">
        <v>6.7448549934324191</v>
      </c>
      <c r="O366" s="74">
        <v>6.7615928158238603</v>
      </c>
      <c r="P366" s="73"/>
      <c r="Q366" s="72">
        <v>2088.9168082278388</v>
      </c>
      <c r="R366" s="72">
        <v>1324.5802883208905</v>
      </c>
      <c r="S366" s="73"/>
      <c r="T366" s="74">
        <v>4.7783878969834186</v>
      </c>
      <c r="U366" s="74">
        <v>4.8545509655631536</v>
      </c>
      <c r="V366" s="73"/>
      <c r="W366" s="72">
        <v>17162.46525681431</v>
      </c>
      <c r="X366" s="72">
        <v>17126.40479169639</v>
      </c>
      <c r="Y366" s="73"/>
      <c r="Z366" s="74">
        <v>3.020847847324772</v>
      </c>
      <c r="AA366" s="74">
        <v>3.0639139739449561</v>
      </c>
      <c r="AB366" s="73"/>
      <c r="AC366" s="72">
        <v>51309.541795350226</v>
      </c>
      <c r="AD366" s="72">
        <v>51261.174093463087</v>
      </c>
      <c r="AE366" s="73"/>
      <c r="AF366" s="74">
        <v>4.3485557091780001</v>
      </c>
      <c r="AG366" s="74">
        <v>4.4198992804986705</v>
      </c>
      <c r="AH366" s="73"/>
      <c r="AI366" s="72">
        <v>1798229.1820550677</v>
      </c>
      <c r="AJ366" s="72">
        <v>0</v>
      </c>
      <c r="AK366" s="73"/>
      <c r="AL366" s="74">
        <v>-2049.1873175797227</v>
      </c>
      <c r="AM366" s="74">
        <v>0</v>
      </c>
      <c r="AN366" s="73"/>
      <c r="AO366" s="72">
        <v>117238.19213853922</v>
      </c>
      <c r="AP366" s="72">
        <v>0</v>
      </c>
      <c r="AQ366" s="73"/>
      <c r="AR366" s="74">
        <v>-115.52827628233594</v>
      </c>
      <c r="AS366" s="74">
        <v>0</v>
      </c>
      <c r="AT366" s="73"/>
      <c r="AU366" s="72">
        <v>17765604.356568962</v>
      </c>
      <c r="AV366" s="72">
        <v>0</v>
      </c>
      <c r="AW366" s="73"/>
      <c r="AX366" s="74">
        <v>-1770.2712191935134</v>
      </c>
      <c r="AY366" s="74">
        <v>0</v>
      </c>
      <c r="AZ366" s="73"/>
      <c r="BA366" s="72">
        <v>313145.87912082666</v>
      </c>
      <c r="BB366" s="72">
        <v>0</v>
      </c>
      <c r="BC366" s="73"/>
      <c r="BD366" s="74">
        <v>-373.98242193233943</v>
      </c>
      <c r="BE366" s="74">
        <v>0</v>
      </c>
      <c r="BF366" s="73"/>
      <c r="BG366" s="72">
        <v>762224.92456279299</v>
      </c>
      <c r="BH366" s="72">
        <v>0</v>
      </c>
      <c r="BI366" s="73"/>
      <c r="BJ366" s="74">
        <v>-1124.3008484221257</v>
      </c>
      <c r="BK366" s="74">
        <v>0</v>
      </c>
      <c r="BL366" s="73"/>
      <c r="BM366" s="72">
        <v>20756442.534446191</v>
      </c>
      <c r="BN366" s="72">
        <v>0</v>
      </c>
      <c r="BO366" s="73"/>
      <c r="BP366" s="74">
        <v>-5433.2700834100369</v>
      </c>
      <c r="BQ366" s="74">
        <v>0</v>
      </c>
      <c r="BS366" s="109">
        <f t="shared" si="159"/>
        <v>116562.98478999415</v>
      </c>
      <c r="BT366" s="109">
        <f t="shared" si="160"/>
        <v>116957.6984512955</v>
      </c>
      <c r="BV366" s="58">
        <f t="array" ref="BV366">SUM(IF(BS366:BT366&gt;=BS366, 1))</f>
        <v>2</v>
      </c>
      <c r="BW366" s="58">
        <f t="array" ref="BW366">SUM(IF(BS366:BT366&gt;=BT366, 1))</f>
        <v>1</v>
      </c>
      <c r="BY366" s="109">
        <f t="shared" si="161"/>
        <v>134669.77891288951</v>
      </c>
      <c r="BZ366" s="109">
        <f t="shared" si="162"/>
        <v>135021.52091698779</v>
      </c>
      <c r="CB366" s="58">
        <f t="array" ref="CB366">SUM(IF(BY366:BZ366&gt;=BY366, 1))</f>
        <v>2</v>
      </c>
      <c r="CC366" s="58">
        <f t="array" ref="CC366">SUM(IF(BY366:BZ366&gt;=BZ366, 1))</f>
        <v>1</v>
      </c>
      <c r="CE366" s="109">
        <f t="shared" si="163"/>
        <v>93478.841131440538</v>
      </c>
      <c r="CF366" s="109">
        <f t="shared" si="164"/>
        <v>95766.43902294217</v>
      </c>
      <c r="CH366" s="58">
        <f t="array" ref="CH366">SUM(IF(CE366:CF366&gt;=CE366, 1))</f>
        <v>2</v>
      </c>
      <c r="CI366" s="58">
        <f t="array" ref="CI366">SUM(IF(CE366:CF366&gt;=CF366, 1))</f>
        <v>1</v>
      </c>
      <c r="CK366" s="109">
        <f t="shared" si="165"/>
        <v>43254.491689681134</v>
      </c>
      <c r="CL366" s="109">
        <f t="shared" si="166"/>
        <v>44151.874687202733</v>
      </c>
      <c r="CN366" s="58">
        <f t="array" ref="CN366">SUM(IF(CK366:CL366&gt;=CK366, 1))</f>
        <v>2</v>
      </c>
      <c r="CO366" s="58">
        <f t="array" ref="CO366">SUM(IF(CK366:CL366&gt;=CL366, 1))</f>
        <v>1</v>
      </c>
      <c r="CQ366" s="109" cm="1">
        <f t="array" ref="CQ366">AF366*WTP-AC366</f>
        <v>35661.572388209774</v>
      </c>
      <c r="CR366" s="109">
        <f t="shared" si="167"/>
        <v>37136.81151651033</v>
      </c>
      <c r="CT366" s="58">
        <f t="array" ref="CT366">SUM(IF(CQ366:CR366&gt;=CQ366, 1))</f>
        <v>2</v>
      </c>
      <c r="CU366" s="58">
        <f t="array" ref="CU366">SUM(IF(CQ366:CR366&gt;=CR366, 1))</f>
        <v>1</v>
      </c>
      <c r="CW366" s="109">
        <f t="shared" si="168"/>
        <v>-42781975.533649527</v>
      </c>
      <c r="CX366" s="109">
        <f t="shared" si="169"/>
        <v>0</v>
      </c>
      <c r="CZ366" s="58">
        <f t="array" ref="CZ366">SUM(IF(CW366:CX366&gt;=CW366, 1))</f>
        <v>2</v>
      </c>
      <c r="DA366" s="58">
        <f t="array" ref="DA366">SUM(IF(CW366:CX366&gt;=CX366, 1))</f>
        <v>1</v>
      </c>
      <c r="DC366" s="109">
        <f t="shared" si="170"/>
        <v>-2427803.7177852578</v>
      </c>
      <c r="DD366" s="109">
        <f t="shared" si="171"/>
        <v>0</v>
      </c>
      <c r="DF366" s="58">
        <f t="array" ref="DF366">SUM(IF(DC366:DD366&gt;=DC366, 1))</f>
        <v>2</v>
      </c>
      <c r="DG366" s="58">
        <f t="array" ref="DG366">SUM(IF(DC366:DD366&gt;=DD366, 1))</f>
        <v>1</v>
      </c>
      <c r="DI366" s="109">
        <f t="shared" si="172"/>
        <v>-53171028.740439229</v>
      </c>
      <c r="DJ366" s="109">
        <f t="shared" si="173"/>
        <v>0</v>
      </c>
      <c r="DL366" s="58">
        <f t="array" ref="DL366">SUM(IF(DI366:DJ366&gt;=DI366, 1))</f>
        <v>2</v>
      </c>
      <c r="DM366" s="58">
        <f t="array" ref="DM366">SUM(IF(DI366:DJ366&gt;=DJ366, 1))</f>
        <v>1</v>
      </c>
      <c r="DO366" s="109">
        <f t="shared" si="174"/>
        <v>-7792794.3177676154</v>
      </c>
      <c r="DP366" s="109">
        <f t="shared" si="175"/>
        <v>0</v>
      </c>
      <c r="DR366" s="58">
        <f t="array" ref="DR366">SUM(IF(DO366:DP366&gt;=DO366, 1))</f>
        <v>2</v>
      </c>
      <c r="DS366" s="58">
        <f t="array" ref="DS366">SUM(IF(DO366:DP366&gt;=DP366, 1))</f>
        <v>1</v>
      </c>
      <c r="DU366" s="109">
        <f t="shared" si="176"/>
        <v>-23248241.893005308</v>
      </c>
      <c r="DV366" s="109">
        <f t="shared" si="177"/>
        <v>0</v>
      </c>
      <c r="DX366" s="58">
        <f t="array" ref="DX366">SUM(IF(DU366:DV366&gt;=DU366, 1))</f>
        <v>2</v>
      </c>
      <c r="DY366" s="58">
        <f t="array" ref="DY366">SUM(IF(DU366:DV366&gt;=DV366, 1))</f>
        <v>1</v>
      </c>
      <c r="EA366" s="109">
        <f t="shared" si="178"/>
        <v>-129421844.20264693</v>
      </c>
      <c r="EB366" s="109">
        <f t="shared" si="179"/>
        <v>0</v>
      </c>
      <c r="ED366" s="58">
        <f t="array" ref="ED366">SUM(IF(EA366:EB366&gt;=EA366, 1))</f>
        <v>2</v>
      </c>
      <c r="EE366" s="58">
        <f t="array" ref="EE366">SUM(IF(EA366:EB366&gt;=EB366, 1))</f>
        <v>1</v>
      </c>
    </row>
    <row r="367" spans="4:135" ht="12" customHeight="1" x14ac:dyDescent="0.25">
      <c r="D367" s="11">
        <v>351</v>
      </c>
      <c r="E367" s="72">
        <v>373.11385039315229</v>
      </c>
      <c r="F367" s="72">
        <v>332.26754365013591</v>
      </c>
      <c r="G367" s="73"/>
      <c r="H367" s="74">
        <v>5.8624000598743553</v>
      </c>
      <c r="I367" s="74">
        <v>5.8762683847667851</v>
      </c>
      <c r="J367" s="73"/>
      <c r="K367" s="72">
        <v>399.96712186074762</v>
      </c>
      <c r="L367" s="72">
        <v>358.12463311559628</v>
      </c>
      <c r="M367" s="73"/>
      <c r="N367" s="74">
        <v>6.6841723526635946</v>
      </c>
      <c r="O367" s="74">
        <v>6.695398789545032</v>
      </c>
      <c r="P367" s="73"/>
      <c r="Q367" s="72">
        <v>2400.3340318252899</v>
      </c>
      <c r="R367" s="72">
        <v>1590.2096931455228</v>
      </c>
      <c r="S367" s="73"/>
      <c r="T367" s="74">
        <v>5.0186639078187509</v>
      </c>
      <c r="U367" s="74">
        <v>5.0835828817940216</v>
      </c>
      <c r="V367" s="73"/>
      <c r="W367" s="72">
        <v>12792.724605348762</v>
      </c>
      <c r="X367" s="72">
        <v>12772.788722969752</v>
      </c>
      <c r="Y367" s="73"/>
      <c r="Z367" s="74">
        <v>2.896462216929522</v>
      </c>
      <c r="AA367" s="74">
        <v>2.9381644019197366</v>
      </c>
      <c r="AB367" s="73"/>
      <c r="AC367" s="72">
        <v>48930.267464915145</v>
      </c>
      <c r="AD367" s="72">
        <v>49216.837088800552</v>
      </c>
      <c r="AE367" s="73"/>
      <c r="AF367" s="74">
        <v>4.8026743806283161</v>
      </c>
      <c r="AG367" s="74">
        <v>4.9469696083256123</v>
      </c>
      <c r="AH367" s="73"/>
      <c r="AI367" s="72">
        <v>4381752.6425720826</v>
      </c>
      <c r="AJ367" s="72">
        <v>0</v>
      </c>
      <c r="AK367" s="73"/>
      <c r="AL367" s="74">
        <v>-1487.7126989171977</v>
      </c>
      <c r="AM367" s="74">
        <v>0</v>
      </c>
      <c r="AN367" s="73"/>
      <c r="AO367" s="72">
        <v>298161.87337305048</v>
      </c>
      <c r="AP367" s="72">
        <v>0</v>
      </c>
      <c r="AQ367" s="73"/>
      <c r="AR367" s="74">
        <v>-79.997522906941597</v>
      </c>
      <c r="AS367" s="74">
        <v>0</v>
      </c>
      <c r="AT367" s="73"/>
      <c r="AU367" s="72">
        <v>18661688.91831243</v>
      </c>
      <c r="AV367" s="72">
        <v>0</v>
      </c>
      <c r="AW367" s="73"/>
      <c r="AX367" s="74">
        <v>-1495.4466115619487</v>
      </c>
      <c r="AY367" s="74">
        <v>0</v>
      </c>
      <c r="AZ367" s="73"/>
      <c r="BA367" s="72">
        <v>175705.50813202173</v>
      </c>
      <c r="BB367" s="72">
        <v>0</v>
      </c>
      <c r="BC367" s="73"/>
      <c r="BD367" s="74">
        <v>-367.54348087627255</v>
      </c>
      <c r="BE367" s="74">
        <v>0</v>
      </c>
      <c r="BF367" s="73"/>
      <c r="BG367" s="72">
        <v>-4374193.4041667096</v>
      </c>
      <c r="BH367" s="72">
        <v>0</v>
      </c>
      <c r="BI367" s="73"/>
      <c r="BJ367" s="74">
        <v>-2202.5196693514163</v>
      </c>
      <c r="BK367" s="74">
        <v>0</v>
      </c>
      <c r="BL367" s="73"/>
      <c r="BM367" s="72">
        <v>19143115.538222875</v>
      </c>
      <c r="BN367" s="72">
        <v>0</v>
      </c>
      <c r="BO367" s="73"/>
      <c r="BP367" s="74">
        <v>-5633.219983613777</v>
      </c>
      <c r="BQ367" s="74">
        <v>0</v>
      </c>
      <c r="BS367" s="109">
        <f t="shared" si="159"/>
        <v>116874.88734709394</v>
      </c>
      <c r="BT367" s="109">
        <f t="shared" si="160"/>
        <v>117193.10015168558</v>
      </c>
      <c r="BV367" s="58">
        <f t="array" ref="BV367">SUM(IF(BS367:BT367&gt;=BS367, 1))</f>
        <v>2</v>
      </c>
      <c r="BW367" s="58">
        <f t="array" ref="BW367">SUM(IF(BS367:BT367&gt;=BT367, 1))</f>
        <v>1</v>
      </c>
      <c r="BY367" s="109">
        <f t="shared" si="161"/>
        <v>133283.47993141116</v>
      </c>
      <c r="BZ367" s="109">
        <f t="shared" si="162"/>
        <v>133549.85115778504</v>
      </c>
      <c r="CB367" s="58">
        <f t="array" ref="CB367">SUM(IF(BY367:BZ367&gt;=BY367, 1))</f>
        <v>2</v>
      </c>
      <c r="CC367" s="58">
        <f t="array" ref="CC367">SUM(IF(BY367:BZ367&gt;=BZ367, 1))</f>
        <v>1</v>
      </c>
      <c r="CE367" s="109">
        <f t="shared" si="163"/>
        <v>97972.944124549729</v>
      </c>
      <c r="CF367" s="109">
        <f t="shared" si="164"/>
        <v>100081.44794273491</v>
      </c>
      <c r="CH367" s="58">
        <f t="array" ref="CH367">SUM(IF(CE367:CF367&gt;=CE367, 1))</f>
        <v>2</v>
      </c>
      <c r="CI367" s="58">
        <f t="array" ref="CI367">SUM(IF(CE367:CF367&gt;=CF367, 1))</f>
        <v>1</v>
      </c>
      <c r="CK367" s="109">
        <f t="shared" si="165"/>
        <v>45136.519733241679</v>
      </c>
      <c r="CL367" s="109">
        <f t="shared" si="166"/>
        <v>45990.499315424982</v>
      </c>
      <c r="CN367" s="58">
        <f t="array" ref="CN367">SUM(IF(CK367:CL367&gt;=CK367, 1))</f>
        <v>2</v>
      </c>
      <c r="CO367" s="58">
        <f t="array" ref="CO367">SUM(IF(CK367:CL367&gt;=CL367, 1))</f>
        <v>1</v>
      </c>
      <c r="CQ367" s="109" cm="1">
        <f t="array" ref="CQ367">AF367*WTP-AC367</f>
        <v>47123.220147651184</v>
      </c>
      <c r="CR367" s="109">
        <f t="shared" si="167"/>
        <v>49722.555077711695</v>
      </c>
      <c r="CT367" s="58">
        <f t="array" ref="CT367">SUM(IF(CQ367:CR367&gt;=CQ367, 1))</f>
        <v>2</v>
      </c>
      <c r="CU367" s="58">
        <f t="array" ref="CU367">SUM(IF(CQ367:CR367&gt;=CR367, 1))</f>
        <v>1</v>
      </c>
      <c r="CW367" s="109">
        <f t="shared" si="168"/>
        <v>-34136006.620916039</v>
      </c>
      <c r="CX367" s="109">
        <f t="shared" si="169"/>
        <v>0</v>
      </c>
      <c r="CZ367" s="58">
        <f t="array" ref="CZ367">SUM(IF(CW367:CX367&gt;=CW367, 1))</f>
        <v>2</v>
      </c>
      <c r="DA367" s="58">
        <f t="array" ref="DA367">SUM(IF(CW367:CX367&gt;=CX367, 1))</f>
        <v>1</v>
      </c>
      <c r="DC367" s="109">
        <f t="shared" si="170"/>
        <v>-1898112.3315118824</v>
      </c>
      <c r="DD367" s="109">
        <f t="shared" si="171"/>
        <v>0</v>
      </c>
      <c r="DF367" s="58">
        <f t="array" ref="DF367">SUM(IF(DC367:DD367&gt;=DC367, 1))</f>
        <v>2</v>
      </c>
      <c r="DG367" s="58">
        <f t="array" ref="DG367">SUM(IF(DC367:DD367&gt;=DD367, 1))</f>
        <v>1</v>
      </c>
      <c r="DI367" s="109">
        <f t="shared" si="172"/>
        <v>-48570621.149551407</v>
      </c>
      <c r="DJ367" s="109">
        <f t="shared" si="173"/>
        <v>0</v>
      </c>
      <c r="DL367" s="58">
        <f t="array" ref="DL367">SUM(IF(DI367:DJ367&gt;=DI367, 1))</f>
        <v>2</v>
      </c>
      <c r="DM367" s="58">
        <f t="array" ref="DM367">SUM(IF(DI367:DJ367&gt;=DJ367, 1))</f>
        <v>1</v>
      </c>
      <c r="DO367" s="109">
        <f t="shared" si="174"/>
        <v>-7526575.1256574728</v>
      </c>
      <c r="DP367" s="109">
        <f t="shared" si="175"/>
        <v>0</v>
      </c>
      <c r="DR367" s="58">
        <f t="array" ref="DR367">SUM(IF(DO367:DP367&gt;=DO367, 1))</f>
        <v>2</v>
      </c>
      <c r="DS367" s="58">
        <f t="array" ref="DS367">SUM(IF(DO367:DP367&gt;=DP367, 1))</f>
        <v>1</v>
      </c>
      <c r="DU367" s="109">
        <f t="shared" si="176"/>
        <v>-39676199.982861623</v>
      </c>
      <c r="DV367" s="109">
        <f t="shared" si="177"/>
        <v>0</v>
      </c>
      <c r="DX367" s="58">
        <f t="array" ref="DX367">SUM(IF(DU367:DV367&gt;=DU367, 1))</f>
        <v>2</v>
      </c>
      <c r="DY367" s="58">
        <f t="array" ref="DY367">SUM(IF(DU367:DV367&gt;=DV367, 1))</f>
        <v>1</v>
      </c>
      <c r="EA367" s="109">
        <f t="shared" si="178"/>
        <v>-131807515.21049842</v>
      </c>
      <c r="EB367" s="109">
        <f t="shared" si="179"/>
        <v>0</v>
      </c>
      <c r="ED367" s="58">
        <f t="array" ref="ED367">SUM(IF(EA367:EB367&gt;=EA367, 1))</f>
        <v>2</v>
      </c>
      <c r="EE367" s="58">
        <f t="array" ref="EE367">SUM(IF(EA367:EB367&gt;=EB367, 1))</f>
        <v>1</v>
      </c>
    </row>
    <row r="368" spans="4:135" ht="12" customHeight="1" x14ac:dyDescent="0.25">
      <c r="D368" s="11">
        <v>352</v>
      </c>
      <c r="E368" s="72">
        <v>297.27067814890529</v>
      </c>
      <c r="F368" s="72">
        <v>271.72522976390184</v>
      </c>
      <c r="G368" s="73"/>
      <c r="H368" s="74">
        <v>5.7489430777637001</v>
      </c>
      <c r="I368" s="74">
        <v>5.7663326120527696</v>
      </c>
      <c r="J368" s="73"/>
      <c r="K368" s="72">
        <v>319.14820683089391</v>
      </c>
      <c r="L368" s="72">
        <v>292.9887085596614</v>
      </c>
      <c r="M368" s="73"/>
      <c r="N368" s="74">
        <v>6.7127915212261602</v>
      </c>
      <c r="O368" s="74">
        <v>6.7281324849699198</v>
      </c>
      <c r="P368" s="73"/>
      <c r="Q368" s="72">
        <v>1961.8927780820443</v>
      </c>
      <c r="R368" s="72">
        <v>1353.6305084180758</v>
      </c>
      <c r="S368" s="73"/>
      <c r="T368" s="74">
        <v>4.7049220821763331</v>
      </c>
      <c r="U368" s="74">
        <v>4.7546763307230897</v>
      </c>
      <c r="V368" s="73"/>
      <c r="W368" s="72">
        <v>10142.111630935546</v>
      </c>
      <c r="X368" s="72">
        <v>10143.299243070873</v>
      </c>
      <c r="Y368" s="73"/>
      <c r="Z368" s="74">
        <v>2.9803324644380984</v>
      </c>
      <c r="AA368" s="74">
        <v>3.0282354296104321</v>
      </c>
      <c r="AB368" s="73"/>
      <c r="AC368" s="72">
        <v>52751.422941235382</v>
      </c>
      <c r="AD368" s="72">
        <v>52000.360681309285</v>
      </c>
      <c r="AE368" s="73"/>
      <c r="AF368" s="74">
        <v>4.9992853215553872</v>
      </c>
      <c r="AG368" s="74">
        <v>5.2099967055338601</v>
      </c>
      <c r="AH368" s="73"/>
      <c r="AI368" s="72">
        <v>2738063.5450134696</v>
      </c>
      <c r="AJ368" s="72">
        <v>0</v>
      </c>
      <c r="AK368" s="73"/>
      <c r="AL368" s="74">
        <v>-1863.8799830037342</v>
      </c>
      <c r="AM368" s="74">
        <v>0</v>
      </c>
      <c r="AN368" s="73"/>
      <c r="AO368" s="72">
        <v>177481.75024005942</v>
      </c>
      <c r="AP368" s="72">
        <v>0</v>
      </c>
      <c r="AQ368" s="73"/>
      <c r="AR368" s="74">
        <v>-104.08231332960749</v>
      </c>
      <c r="AS368" s="74">
        <v>0</v>
      </c>
      <c r="AT368" s="73"/>
      <c r="AU368" s="72">
        <v>14014493.334534068</v>
      </c>
      <c r="AV368" s="72">
        <v>0</v>
      </c>
      <c r="AW368" s="73"/>
      <c r="AX368" s="74">
        <v>-1146.3485726452845</v>
      </c>
      <c r="AY368" s="74">
        <v>0</v>
      </c>
      <c r="AZ368" s="73"/>
      <c r="BA368" s="72">
        <v>-10798.414738065214</v>
      </c>
      <c r="BB368" s="72">
        <v>0</v>
      </c>
      <c r="BC368" s="73"/>
      <c r="BD368" s="74">
        <v>-435.55978397904613</v>
      </c>
      <c r="BE368" s="74">
        <v>0</v>
      </c>
      <c r="BF368" s="73"/>
      <c r="BG368" s="72">
        <v>11753578.44172976</v>
      </c>
      <c r="BH368" s="72">
        <v>0</v>
      </c>
      <c r="BI368" s="73"/>
      <c r="BJ368" s="74">
        <v>-3297.4799990617485</v>
      </c>
      <c r="BK368" s="74">
        <v>0</v>
      </c>
      <c r="BL368" s="73"/>
      <c r="BM368" s="72">
        <v>28672818.656779289</v>
      </c>
      <c r="BN368" s="72">
        <v>0</v>
      </c>
      <c r="BO368" s="73"/>
      <c r="BP368" s="74">
        <v>-6847.3506520194205</v>
      </c>
      <c r="BQ368" s="74">
        <v>0</v>
      </c>
      <c r="BS368" s="109">
        <f t="shared" si="159"/>
        <v>114681.5908771251</v>
      </c>
      <c r="BT368" s="109">
        <f t="shared" si="160"/>
        <v>115054.92701129148</v>
      </c>
      <c r="BV368" s="58">
        <f t="array" ref="BV368">SUM(IF(BS368:BT368&gt;=BS368, 1))</f>
        <v>2</v>
      </c>
      <c r="BW368" s="58">
        <f t="array" ref="BW368">SUM(IF(BS368:BT368&gt;=BT368, 1))</f>
        <v>1</v>
      </c>
      <c r="BY368" s="109">
        <f t="shared" si="161"/>
        <v>133936.68221769232</v>
      </c>
      <c r="BZ368" s="109">
        <f t="shared" si="162"/>
        <v>134269.66099083875</v>
      </c>
      <c r="CB368" s="58">
        <f t="array" ref="CB368">SUM(IF(BY368:BZ368&gt;=BY368, 1))</f>
        <v>2</v>
      </c>
      <c r="CC368" s="58">
        <f t="array" ref="CC368">SUM(IF(BY368:BZ368&gt;=BZ368, 1))</f>
        <v>1</v>
      </c>
      <c r="CE368" s="109">
        <f t="shared" si="163"/>
        <v>92136.548865444624</v>
      </c>
      <c r="CF368" s="109">
        <f t="shared" si="164"/>
        <v>93739.896106043714</v>
      </c>
      <c r="CH368" s="58">
        <f t="array" ref="CH368">SUM(IF(CE368:CF368&gt;=CE368, 1))</f>
        <v>2</v>
      </c>
      <c r="CI368" s="58">
        <f t="array" ref="CI368">SUM(IF(CE368:CF368&gt;=CF368, 1))</f>
        <v>1</v>
      </c>
      <c r="CK368" s="109">
        <f t="shared" si="165"/>
        <v>49464.537657826426</v>
      </c>
      <c r="CL368" s="109">
        <f t="shared" si="166"/>
        <v>50421.409349137772</v>
      </c>
      <c r="CN368" s="58">
        <f t="array" ref="CN368">SUM(IF(CK368:CL368&gt;=CK368, 1))</f>
        <v>2</v>
      </c>
      <c r="CO368" s="58">
        <f t="array" ref="CO368">SUM(IF(CK368:CL368&gt;=CL368, 1))</f>
        <v>1</v>
      </c>
      <c r="CQ368" s="109" cm="1">
        <f t="array" ref="CQ368">AF368*WTP-AC368</f>
        <v>47234.283489872359</v>
      </c>
      <c r="CR368" s="109">
        <f t="shared" si="167"/>
        <v>52199.57342936792</v>
      </c>
      <c r="CT368" s="58">
        <f t="array" ref="CT368">SUM(IF(CQ368:CR368&gt;=CQ368, 1))</f>
        <v>2</v>
      </c>
      <c r="CU368" s="58">
        <f t="array" ref="CU368">SUM(IF(CQ368:CR368&gt;=CR368, 1))</f>
        <v>1</v>
      </c>
      <c r="CW368" s="109">
        <f t="shared" si="168"/>
        <v>-40015663.205088153</v>
      </c>
      <c r="CX368" s="109">
        <f t="shared" si="169"/>
        <v>0</v>
      </c>
      <c r="CZ368" s="58">
        <f t="array" ref="CZ368">SUM(IF(CW368:CX368&gt;=CW368, 1))</f>
        <v>2</v>
      </c>
      <c r="DA368" s="58">
        <f t="array" ref="DA368">SUM(IF(CW368:CX368&gt;=CX368, 1))</f>
        <v>1</v>
      </c>
      <c r="DC368" s="109">
        <f t="shared" si="170"/>
        <v>-2259128.0168322092</v>
      </c>
      <c r="DD368" s="109">
        <f t="shared" si="171"/>
        <v>0</v>
      </c>
      <c r="DF368" s="58">
        <f t="array" ref="DF368">SUM(IF(DC368:DD368&gt;=DC368, 1))</f>
        <v>2</v>
      </c>
      <c r="DG368" s="58">
        <f t="array" ref="DG368">SUM(IF(DC368:DD368&gt;=DD368, 1))</f>
        <v>1</v>
      </c>
      <c r="DI368" s="109">
        <f t="shared" si="172"/>
        <v>-36941464.787439764</v>
      </c>
      <c r="DJ368" s="109">
        <f t="shared" si="173"/>
        <v>0</v>
      </c>
      <c r="DL368" s="58">
        <f t="array" ref="DL368">SUM(IF(DI368:DJ368&gt;=DI368, 1))</f>
        <v>2</v>
      </c>
      <c r="DM368" s="58">
        <f t="array" ref="DM368">SUM(IF(DI368:DJ368&gt;=DJ368, 1))</f>
        <v>1</v>
      </c>
      <c r="DO368" s="109">
        <f t="shared" si="174"/>
        <v>-8700397.2648428585</v>
      </c>
      <c r="DP368" s="109">
        <f t="shared" si="175"/>
        <v>0</v>
      </c>
      <c r="DR368" s="58">
        <f t="array" ref="DR368">SUM(IF(DO368:DP368&gt;=DO368, 1))</f>
        <v>2</v>
      </c>
      <c r="DS368" s="58">
        <f t="array" ref="DS368">SUM(IF(DO368:DP368&gt;=DP368, 1))</f>
        <v>1</v>
      </c>
      <c r="DU368" s="109">
        <f t="shared" si="176"/>
        <v>-77703178.422964722</v>
      </c>
      <c r="DV368" s="109">
        <f t="shared" si="177"/>
        <v>0</v>
      </c>
      <c r="DX368" s="58">
        <f t="array" ref="DX368">SUM(IF(DU368:DV368&gt;=DU368, 1))</f>
        <v>2</v>
      </c>
      <c r="DY368" s="58">
        <f t="array" ref="DY368">SUM(IF(DU368:DV368&gt;=DV368, 1))</f>
        <v>1</v>
      </c>
      <c r="EA368" s="109">
        <f t="shared" si="178"/>
        <v>-165619831.69716769</v>
      </c>
      <c r="EB368" s="109">
        <f t="shared" si="179"/>
        <v>0</v>
      </c>
      <c r="ED368" s="58">
        <f t="array" ref="ED368">SUM(IF(EA368:EB368&gt;=EA368, 1))</f>
        <v>2</v>
      </c>
      <c r="EE368" s="58">
        <f t="array" ref="EE368">SUM(IF(EA368:EB368&gt;=EB368, 1))</f>
        <v>1</v>
      </c>
    </row>
    <row r="369" spans="4:135" ht="12" customHeight="1" x14ac:dyDescent="0.25">
      <c r="D369" s="11">
        <v>353</v>
      </c>
      <c r="E369" s="72">
        <v>272.7417533554065</v>
      </c>
      <c r="F369" s="72">
        <v>252.17926705347327</v>
      </c>
      <c r="G369" s="73"/>
      <c r="H369" s="74">
        <v>5.7881767532863382</v>
      </c>
      <c r="I369" s="74">
        <v>5.805870070564497</v>
      </c>
      <c r="J369" s="73"/>
      <c r="K369" s="72">
        <v>293.04529098339242</v>
      </c>
      <c r="L369" s="72">
        <v>271.95643122799697</v>
      </c>
      <c r="M369" s="73"/>
      <c r="N369" s="74">
        <v>6.6736313900169328</v>
      </c>
      <c r="O369" s="74">
        <v>6.6890264354278939</v>
      </c>
      <c r="P369" s="73"/>
      <c r="Q369" s="72">
        <v>3196.5916199143599</v>
      </c>
      <c r="R369" s="72">
        <v>1721.5147038988775</v>
      </c>
      <c r="S369" s="73"/>
      <c r="T369" s="74">
        <v>4.7785474511692634</v>
      </c>
      <c r="U369" s="74">
        <v>4.8909780179846694</v>
      </c>
      <c r="V369" s="73"/>
      <c r="W369" s="72">
        <v>9594.7984774160122</v>
      </c>
      <c r="X369" s="72">
        <v>9577.1743857180518</v>
      </c>
      <c r="Y369" s="73"/>
      <c r="Z369" s="74">
        <v>3.0841332373324128</v>
      </c>
      <c r="AA369" s="74">
        <v>3.1138473366580146</v>
      </c>
      <c r="AB369" s="73"/>
      <c r="AC369" s="72">
        <v>49571.178836130784</v>
      </c>
      <c r="AD369" s="72">
        <v>49513.750766462908</v>
      </c>
      <c r="AE369" s="73"/>
      <c r="AF369" s="74">
        <v>4.6425367432783657</v>
      </c>
      <c r="AG369" s="74">
        <v>4.6950058054408261</v>
      </c>
      <c r="AH369" s="73"/>
      <c r="AI369" s="72">
        <v>2206274.8304857947</v>
      </c>
      <c r="AJ369" s="72">
        <v>0</v>
      </c>
      <c r="AK369" s="73"/>
      <c r="AL369" s="74">
        <v>-1898.4241499497618</v>
      </c>
      <c r="AM369" s="74">
        <v>0</v>
      </c>
      <c r="AN369" s="73"/>
      <c r="AO369" s="72">
        <v>139105.46076398305</v>
      </c>
      <c r="AP369" s="72">
        <v>0</v>
      </c>
      <c r="AQ369" s="73"/>
      <c r="AR369" s="74">
        <v>-101.5481590855703</v>
      </c>
      <c r="AS369" s="74">
        <v>0</v>
      </c>
      <c r="AT369" s="73"/>
      <c r="AU369" s="72">
        <v>33618606.829828955</v>
      </c>
      <c r="AV369" s="72">
        <v>0</v>
      </c>
      <c r="AW369" s="73"/>
      <c r="AX369" s="74">
        <v>-2562.4148682578098</v>
      </c>
      <c r="AY369" s="74">
        <v>0</v>
      </c>
      <c r="AZ369" s="73"/>
      <c r="BA369" s="72">
        <v>159856.87677072393</v>
      </c>
      <c r="BB369" s="72">
        <v>0</v>
      </c>
      <c r="BC369" s="73"/>
      <c r="BD369" s="74">
        <v>-269.51761234852529</v>
      </c>
      <c r="BE369" s="74">
        <v>0</v>
      </c>
      <c r="BF369" s="73"/>
      <c r="BG369" s="72">
        <v>925650.63320500113</v>
      </c>
      <c r="BH369" s="72">
        <v>0</v>
      </c>
      <c r="BI369" s="73"/>
      <c r="BJ369" s="74">
        <v>-845.71919089806715</v>
      </c>
      <c r="BK369" s="74">
        <v>0</v>
      </c>
      <c r="BL369" s="73"/>
      <c r="BM369" s="72">
        <v>37049494.631054461</v>
      </c>
      <c r="BN369" s="72">
        <v>0</v>
      </c>
      <c r="BO369" s="73"/>
      <c r="BP369" s="74">
        <v>-5677.6239805397345</v>
      </c>
      <c r="BQ369" s="74">
        <v>0</v>
      </c>
      <c r="BS369" s="109">
        <f t="shared" si="159"/>
        <v>115490.79331237136</v>
      </c>
      <c r="BT369" s="109">
        <f t="shared" si="160"/>
        <v>115865.22214423647</v>
      </c>
      <c r="BV369" s="58">
        <f t="array" ref="BV369">SUM(IF(BS369:BT369&gt;=BS369, 1))</f>
        <v>2</v>
      </c>
      <c r="BW369" s="58">
        <f t="array" ref="BW369">SUM(IF(BS369:BT369&gt;=BT369, 1))</f>
        <v>1</v>
      </c>
      <c r="BY369" s="109">
        <f t="shared" si="161"/>
        <v>133179.58250935527</v>
      </c>
      <c r="BZ369" s="109">
        <f t="shared" si="162"/>
        <v>133508.57227732989</v>
      </c>
      <c r="CB369" s="58">
        <f t="array" ref="CB369">SUM(IF(BY369:BZ369&gt;=BY369, 1))</f>
        <v>2</v>
      </c>
      <c r="CC369" s="58">
        <f t="array" ref="CC369">SUM(IF(BY369:BZ369&gt;=BZ369, 1))</f>
        <v>1</v>
      </c>
      <c r="CE369" s="109">
        <f t="shared" si="163"/>
        <v>92374.357403470916</v>
      </c>
      <c r="CF369" s="109">
        <f t="shared" si="164"/>
        <v>96098.045655794514</v>
      </c>
      <c r="CH369" s="58">
        <f t="array" ref="CH369">SUM(IF(CE369:CF369&gt;=CE369, 1))</f>
        <v>2</v>
      </c>
      <c r="CI369" s="58">
        <f t="array" ref="CI369">SUM(IF(CE369:CF369&gt;=CF369, 1))</f>
        <v>1</v>
      </c>
      <c r="CK369" s="109">
        <f t="shared" si="165"/>
        <v>52087.86626923224</v>
      </c>
      <c r="CL369" s="109">
        <f t="shared" si="166"/>
        <v>52699.772347442238</v>
      </c>
      <c r="CN369" s="58">
        <f t="array" ref="CN369">SUM(IF(CK369:CL369&gt;=CK369, 1))</f>
        <v>2</v>
      </c>
      <c r="CO369" s="58">
        <f t="array" ref="CO369">SUM(IF(CK369:CL369&gt;=CL369, 1))</f>
        <v>1</v>
      </c>
      <c r="CQ369" s="109" cm="1">
        <f t="array" ref="CQ369">AF369*WTP-AC369</f>
        <v>43279.556029436528</v>
      </c>
      <c r="CR369" s="109">
        <f t="shared" si="167"/>
        <v>44386.365342353616</v>
      </c>
      <c r="CT369" s="58">
        <f t="array" ref="CT369">SUM(IF(CQ369:CR369&gt;=CQ369, 1))</f>
        <v>2</v>
      </c>
      <c r="CU369" s="58">
        <f t="array" ref="CU369">SUM(IF(CQ369:CR369&gt;=CR369, 1))</f>
        <v>1</v>
      </c>
      <c r="CW369" s="109">
        <f t="shared" si="168"/>
        <v>-40174757.829481035</v>
      </c>
      <c r="CX369" s="109">
        <f t="shared" si="169"/>
        <v>0</v>
      </c>
      <c r="CZ369" s="58">
        <f t="array" ref="CZ369">SUM(IF(CW369:CX369&gt;=CW369, 1))</f>
        <v>2</v>
      </c>
      <c r="DA369" s="58">
        <f t="array" ref="DA369">SUM(IF(CW369:CX369&gt;=CX369, 1))</f>
        <v>1</v>
      </c>
      <c r="DC369" s="109">
        <f t="shared" si="170"/>
        <v>-2170068.6424753889</v>
      </c>
      <c r="DD369" s="109">
        <f t="shared" si="171"/>
        <v>0</v>
      </c>
      <c r="DF369" s="58">
        <f t="array" ref="DF369">SUM(IF(DC369:DD369&gt;=DC369, 1))</f>
        <v>2</v>
      </c>
      <c r="DG369" s="58">
        <f t="array" ref="DG369">SUM(IF(DC369:DD369&gt;=DD369, 1))</f>
        <v>1</v>
      </c>
      <c r="DI369" s="109">
        <f t="shared" si="172"/>
        <v>-84866904.194985151</v>
      </c>
      <c r="DJ369" s="109">
        <f t="shared" si="173"/>
        <v>0</v>
      </c>
      <c r="DL369" s="58">
        <f t="array" ref="DL369">SUM(IF(DI369:DJ369&gt;=DI369, 1))</f>
        <v>2</v>
      </c>
      <c r="DM369" s="58">
        <f t="array" ref="DM369">SUM(IF(DI369:DJ369&gt;=DJ369, 1))</f>
        <v>1</v>
      </c>
      <c r="DO369" s="109">
        <f t="shared" si="174"/>
        <v>-5550209.1237412291</v>
      </c>
      <c r="DP369" s="109">
        <f t="shared" si="175"/>
        <v>0</v>
      </c>
      <c r="DR369" s="58">
        <f t="array" ref="DR369">SUM(IF(DO369:DP369&gt;=DO369, 1))</f>
        <v>2</v>
      </c>
      <c r="DS369" s="58">
        <f t="array" ref="DS369">SUM(IF(DO369:DP369&gt;=DP369, 1))</f>
        <v>1</v>
      </c>
      <c r="DU369" s="109">
        <f t="shared" si="176"/>
        <v>-17840034.451166343</v>
      </c>
      <c r="DV369" s="109">
        <f t="shared" si="177"/>
        <v>0</v>
      </c>
      <c r="DX369" s="58">
        <f t="array" ref="DX369">SUM(IF(DU369:DV369&gt;=DU369, 1))</f>
        <v>2</v>
      </c>
      <c r="DY369" s="58">
        <f t="array" ref="DY369">SUM(IF(DU369:DV369&gt;=DV369, 1))</f>
        <v>1</v>
      </c>
      <c r="EA369" s="109">
        <f t="shared" si="178"/>
        <v>-150601974.24184915</v>
      </c>
      <c r="EB369" s="109">
        <f t="shared" si="179"/>
        <v>0</v>
      </c>
      <c r="ED369" s="58">
        <f t="array" ref="ED369">SUM(IF(EA369:EB369&gt;=EA369, 1))</f>
        <v>2</v>
      </c>
      <c r="EE369" s="58">
        <f t="array" ref="EE369">SUM(IF(EA369:EB369&gt;=EB369, 1))</f>
        <v>1</v>
      </c>
    </row>
    <row r="370" spans="4:135" ht="12" customHeight="1" x14ac:dyDescent="0.25">
      <c r="D370" s="11">
        <v>354</v>
      </c>
      <c r="E370" s="72">
        <v>255.17453520531004</v>
      </c>
      <c r="F370" s="72">
        <v>227.57778065353148</v>
      </c>
      <c r="G370" s="73"/>
      <c r="H370" s="74">
        <v>5.8711829001910303</v>
      </c>
      <c r="I370" s="74">
        <v>5.8898564270651121</v>
      </c>
      <c r="J370" s="73"/>
      <c r="K370" s="72">
        <v>273.72454620725097</v>
      </c>
      <c r="L370" s="72">
        <v>245.46366668882663</v>
      </c>
      <c r="M370" s="73"/>
      <c r="N370" s="74">
        <v>6.6687635457374856</v>
      </c>
      <c r="O370" s="74">
        <v>6.6845178887078998</v>
      </c>
      <c r="P370" s="73"/>
      <c r="Q370" s="72">
        <v>2349.3118881271089</v>
      </c>
      <c r="R370" s="72">
        <v>1522.9961035422091</v>
      </c>
      <c r="S370" s="73"/>
      <c r="T370" s="74">
        <v>4.812565485783364</v>
      </c>
      <c r="U370" s="74">
        <v>4.9147867874589179</v>
      </c>
      <c r="V370" s="73"/>
      <c r="W370" s="72">
        <v>12702.004473896224</v>
      </c>
      <c r="X370" s="72">
        <v>12729.235762497532</v>
      </c>
      <c r="Y370" s="73"/>
      <c r="Z370" s="74">
        <v>2.9994758146212526</v>
      </c>
      <c r="AA370" s="74">
        <v>3.0652763134333272</v>
      </c>
      <c r="AB370" s="73"/>
      <c r="AC370" s="72">
        <v>49150.008951029922</v>
      </c>
      <c r="AD370" s="72">
        <v>49177.510594057771</v>
      </c>
      <c r="AE370" s="73"/>
      <c r="AF370" s="74">
        <v>4.402901294606834</v>
      </c>
      <c r="AG370" s="74">
        <v>4.5718815700441082</v>
      </c>
      <c r="AH370" s="73"/>
      <c r="AI370" s="72">
        <v>2973790.8853604128</v>
      </c>
      <c r="AJ370" s="72">
        <v>0</v>
      </c>
      <c r="AK370" s="73"/>
      <c r="AL370" s="74">
        <v>-2012.2353123620642</v>
      </c>
      <c r="AM370" s="74">
        <v>0</v>
      </c>
      <c r="AN370" s="73"/>
      <c r="AO370" s="72">
        <v>187625.15114044407</v>
      </c>
      <c r="AP370" s="72">
        <v>0</v>
      </c>
      <c r="AQ370" s="73"/>
      <c r="AR370" s="74">
        <v>-104.59373633489614</v>
      </c>
      <c r="AS370" s="74">
        <v>0</v>
      </c>
      <c r="AT370" s="73"/>
      <c r="AU370" s="72">
        <v>19338264.713011552</v>
      </c>
      <c r="AV370" s="72">
        <v>0</v>
      </c>
      <c r="AW370" s="73"/>
      <c r="AX370" s="74">
        <v>-2392.2846785548363</v>
      </c>
      <c r="AY370" s="74">
        <v>0</v>
      </c>
      <c r="AZ370" s="73"/>
      <c r="BA370" s="72">
        <v>-233804.39031086877</v>
      </c>
      <c r="BB370" s="72">
        <v>0</v>
      </c>
      <c r="BC370" s="73"/>
      <c r="BD370" s="74">
        <v>-564.95473762373808</v>
      </c>
      <c r="BE370" s="74">
        <v>0</v>
      </c>
      <c r="BF370" s="73"/>
      <c r="BG370" s="72">
        <v>-438906.1536017005</v>
      </c>
      <c r="BH370" s="72">
        <v>0</v>
      </c>
      <c r="BI370" s="73"/>
      <c r="BJ370" s="74">
        <v>-2696.8018838593939</v>
      </c>
      <c r="BK370" s="74">
        <v>0</v>
      </c>
      <c r="BL370" s="73"/>
      <c r="BM370" s="72">
        <v>21826970.205599837</v>
      </c>
      <c r="BN370" s="72">
        <v>0</v>
      </c>
      <c r="BO370" s="73"/>
      <c r="BP370" s="74">
        <v>-7770.8703487349285</v>
      </c>
      <c r="BQ370" s="74">
        <v>0</v>
      </c>
      <c r="BS370" s="109">
        <f t="shared" si="159"/>
        <v>117168.48346861529</v>
      </c>
      <c r="BT370" s="109">
        <f t="shared" si="160"/>
        <v>117569.55076064871</v>
      </c>
      <c r="BV370" s="58">
        <f t="array" ref="BV370">SUM(IF(BS370:BT370&gt;=BS370, 1))</f>
        <v>2</v>
      </c>
      <c r="BW370" s="58">
        <f t="array" ref="BW370">SUM(IF(BS370:BT370&gt;=BT370, 1))</f>
        <v>1</v>
      </c>
      <c r="BY370" s="109">
        <f t="shared" si="161"/>
        <v>133101.54636854245</v>
      </c>
      <c r="BZ370" s="109">
        <f t="shared" si="162"/>
        <v>133444.89410746918</v>
      </c>
      <c r="CB370" s="58">
        <f t="array" ref="CB370">SUM(IF(BY370:BZ370&gt;=BY370, 1))</f>
        <v>2</v>
      </c>
      <c r="CC370" s="58">
        <f t="array" ref="CC370">SUM(IF(BY370:BZ370&gt;=BZ370, 1))</f>
        <v>1</v>
      </c>
      <c r="CE370" s="109">
        <f t="shared" si="163"/>
        <v>93901.997827540166</v>
      </c>
      <c r="CF370" s="109">
        <f t="shared" si="164"/>
        <v>96772.73964563616</v>
      </c>
      <c r="CH370" s="58">
        <f t="array" ref="CH370">SUM(IF(CE370:CF370&gt;=CE370, 1))</f>
        <v>2</v>
      </c>
      <c r="CI370" s="58">
        <f t="array" ref="CI370">SUM(IF(CE370:CF370&gt;=CF370, 1))</f>
        <v>1</v>
      </c>
      <c r="CK370" s="109">
        <f t="shared" si="165"/>
        <v>47287.51181852883</v>
      </c>
      <c r="CL370" s="109">
        <f t="shared" si="166"/>
        <v>48576.290506169011</v>
      </c>
      <c r="CN370" s="58">
        <f t="array" ref="CN370">SUM(IF(CK370:CL370&gt;=CK370, 1))</f>
        <v>2</v>
      </c>
      <c r="CO370" s="58">
        <f t="array" ref="CO370">SUM(IF(CK370:CL370&gt;=CL370, 1))</f>
        <v>1</v>
      </c>
      <c r="CQ370" s="109" cm="1">
        <f t="array" ref="CQ370">AF370*WTP-AC370</f>
        <v>38908.016941106755</v>
      </c>
      <c r="CR370" s="109">
        <f t="shared" si="167"/>
        <v>42260.120806824394</v>
      </c>
      <c r="CT370" s="58">
        <f t="array" ref="CT370">SUM(IF(CQ370:CR370&gt;=CQ370, 1))</f>
        <v>2</v>
      </c>
      <c r="CU370" s="58">
        <f t="array" ref="CU370">SUM(IF(CQ370:CR370&gt;=CR370, 1))</f>
        <v>1</v>
      </c>
      <c r="CW370" s="109">
        <f t="shared" si="168"/>
        <v>-43218497.132601693</v>
      </c>
      <c r="CX370" s="109">
        <f t="shared" si="169"/>
        <v>0</v>
      </c>
      <c r="CZ370" s="58">
        <f t="array" ref="CZ370">SUM(IF(CW370:CX370&gt;=CW370, 1))</f>
        <v>2</v>
      </c>
      <c r="DA370" s="58">
        <f t="array" ref="DA370">SUM(IF(CW370:CX370&gt;=CX370, 1))</f>
        <v>1</v>
      </c>
      <c r="DC370" s="109">
        <f t="shared" si="170"/>
        <v>-2279499.8778383667</v>
      </c>
      <c r="DD370" s="109">
        <f t="shared" si="171"/>
        <v>0</v>
      </c>
      <c r="DF370" s="58">
        <f t="array" ref="DF370">SUM(IF(DC370:DD370&gt;=DC370, 1))</f>
        <v>2</v>
      </c>
      <c r="DG370" s="58">
        <f t="array" ref="DG370">SUM(IF(DC370:DD370&gt;=DD370, 1))</f>
        <v>1</v>
      </c>
      <c r="DI370" s="109">
        <f t="shared" si="172"/>
        <v>-67183958.284108281</v>
      </c>
      <c r="DJ370" s="109">
        <f t="shared" si="173"/>
        <v>0</v>
      </c>
      <c r="DL370" s="58">
        <f t="array" ref="DL370">SUM(IF(DI370:DJ370&gt;=DI370, 1))</f>
        <v>2</v>
      </c>
      <c r="DM370" s="58">
        <f t="array" ref="DM370">SUM(IF(DI370:DJ370&gt;=DJ370, 1))</f>
        <v>1</v>
      </c>
      <c r="DO370" s="109">
        <f t="shared" si="174"/>
        <v>-11065290.362163894</v>
      </c>
      <c r="DP370" s="109">
        <f t="shared" si="175"/>
        <v>0</v>
      </c>
      <c r="DR370" s="58">
        <f t="array" ref="DR370">SUM(IF(DO370:DP370&gt;=DO370, 1))</f>
        <v>2</v>
      </c>
      <c r="DS370" s="58">
        <f t="array" ref="DS370">SUM(IF(DO370:DP370&gt;=DP370, 1))</f>
        <v>1</v>
      </c>
      <c r="DU370" s="109">
        <f t="shared" si="176"/>
        <v>-53497131.523586176</v>
      </c>
      <c r="DV370" s="109">
        <f t="shared" si="177"/>
        <v>0</v>
      </c>
      <c r="DX370" s="58">
        <f t="array" ref="DX370">SUM(IF(DU370:DV370&gt;=DU370, 1))</f>
        <v>2</v>
      </c>
      <c r="DY370" s="58">
        <f t="array" ref="DY370">SUM(IF(DU370:DV370&gt;=DV370, 1))</f>
        <v>1</v>
      </c>
      <c r="EA370" s="109">
        <f t="shared" si="178"/>
        <v>-177244377.18029842</v>
      </c>
      <c r="EB370" s="109">
        <f t="shared" si="179"/>
        <v>0</v>
      </c>
      <c r="ED370" s="58">
        <f t="array" ref="ED370">SUM(IF(EA370:EB370&gt;=EA370, 1))</f>
        <v>2</v>
      </c>
      <c r="EE370" s="58">
        <f t="array" ref="EE370">SUM(IF(EA370:EB370&gt;=EB370, 1))</f>
        <v>1</v>
      </c>
    </row>
    <row r="371" spans="4:135" ht="12" customHeight="1" x14ac:dyDescent="0.25">
      <c r="D371" s="11">
        <v>355</v>
      </c>
      <c r="E371" s="72">
        <v>246.10837104259019</v>
      </c>
      <c r="F371" s="72">
        <v>224.50632348671274</v>
      </c>
      <c r="G371" s="73"/>
      <c r="H371" s="74">
        <v>5.8587605095029884</v>
      </c>
      <c r="I371" s="74">
        <v>5.8765345936923357</v>
      </c>
      <c r="J371" s="73"/>
      <c r="K371" s="72">
        <v>264.17757079039825</v>
      </c>
      <c r="L371" s="72">
        <v>242.06461615661527</v>
      </c>
      <c r="M371" s="73"/>
      <c r="N371" s="74">
        <v>6.7364163357352771</v>
      </c>
      <c r="O371" s="74">
        <v>6.7522152340691051</v>
      </c>
      <c r="P371" s="73"/>
      <c r="Q371" s="72">
        <v>1584.854178562917</v>
      </c>
      <c r="R371" s="72">
        <v>1104.4441011054566</v>
      </c>
      <c r="S371" s="73"/>
      <c r="T371" s="74">
        <v>4.8608695415478236</v>
      </c>
      <c r="U371" s="74">
        <v>4.9316534931492946</v>
      </c>
      <c r="V371" s="73"/>
      <c r="W371" s="72">
        <v>15778.329166226675</v>
      </c>
      <c r="X371" s="72">
        <v>15705.508464115137</v>
      </c>
      <c r="Y371" s="73"/>
      <c r="Z371" s="74">
        <v>3.104928089821386</v>
      </c>
      <c r="AA371" s="74">
        <v>3.15739734135339</v>
      </c>
      <c r="AB371" s="73"/>
      <c r="AC371" s="72">
        <v>48805.302372793514</v>
      </c>
      <c r="AD371" s="72">
        <v>48658.043254475626</v>
      </c>
      <c r="AE371" s="73"/>
      <c r="AF371" s="74">
        <v>4.4313577566177758</v>
      </c>
      <c r="AG371" s="74">
        <v>4.5673165763909536</v>
      </c>
      <c r="AH371" s="73"/>
      <c r="AI371" s="72">
        <v>2343901.5769864465</v>
      </c>
      <c r="AJ371" s="72">
        <v>0</v>
      </c>
      <c r="AK371" s="73"/>
      <c r="AL371" s="74">
        <v>-1928.5534786986368</v>
      </c>
      <c r="AM371" s="74">
        <v>0</v>
      </c>
      <c r="AN371" s="73"/>
      <c r="AO371" s="72">
        <v>155336.62861094726</v>
      </c>
      <c r="AP371" s="72">
        <v>0</v>
      </c>
      <c r="AQ371" s="73"/>
      <c r="AR371" s="74">
        <v>-110.98234693588324</v>
      </c>
      <c r="AS371" s="74">
        <v>0</v>
      </c>
      <c r="AT371" s="73"/>
      <c r="AU371" s="72">
        <v>11095615.167138377</v>
      </c>
      <c r="AV371" s="72">
        <v>0</v>
      </c>
      <c r="AW371" s="73"/>
      <c r="AX371" s="74">
        <v>-1634.8355786704237</v>
      </c>
      <c r="AY371" s="74">
        <v>0</v>
      </c>
      <c r="AZ371" s="73"/>
      <c r="BA371" s="72">
        <v>639970.2548420619</v>
      </c>
      <c r="BB371" s="72">
        <v>0</v>
      </c>
      <c r="BC371" s="73"/>
      <c r="BD371" s="74">
        <v>-461.11557978220367</v>
      </c>
      <c r="BE371" s="74">
        <v>0</v>
      </c>
      <c r="BF371" s="73"/>
      <c r="BG371" s="72">
        <v>2360662.2984391223</v>
      </c>
      <c r="BH371" s="72">
        <v>0</v>
      </c>
      <c r="BI371" s="73"/>
      <c r="BJ371" s="74">
        <v>-2179.5109440080928</v>
      </c>
      <c r="BK371" s="74">
        <v>0</v>
      </c>
      <c r="BL371" s="73"/>
      <c r="BM371" s="72">
        <v>16595485.926016955</v>
      </c>
      <c r="BN371" s="72">
        <v>0</v>
      </c>
      <c r="BO371" s="73"/>
      <c r="BP371" s="74">
        <v>-6314.9979280952412</v>
      </c>
      <c r="BQ371" s="74">
        <v>0</v>
      </c>
      <c r="BS371" s="109">
        <f t="shared" si="159"/>
        <v>116929.10181901717</v>
      </c>
      <c r="BT371" s="109">
        <f t="shared" si="160"/>
        <v>117306.18555035999</v>
      </c>
      <c r="BV371" s="58">
        <f t="array" ref="BV371">SUM(IF(BS371:BT371&gt;=BS371, 1))</f>
        <v>2</v>
      </c>
      <c r="BW371" s="58">
        <f t="array" ref="BW371">SUM(IF(BS371:BT371&gt;=BT371, 1))</f>
        <v>1</v>
      </c>
      <c r="BY371" s="109">
        <f t="shared" si="161"/>
        <v>134464.14914391513</v>
      </c>
      <c r="BZ371" s="109">
        <f t="shared" si="162"/>
        <v>134802.24006522549</v>
      </c>
      <c r="CB371" s="58">
        <f t="array" ref="CB371">SUM(IF(BY371:BZ371&gt;=BY371, 1))</f>
        <v>2</v>
      </c>
      <c r="CC371" s="58">
        <f t="array" ref="CC371">SUM(IF(BY371:BZ371&gt;=BZ371, 1))</f>
        <v>1</v>
      </c>
      <c r="CE371" s="109">
        <f t="shared" si="163"/>
        <v>95632.536652393552</v>
      </c>
      <c r="CF371" s="109">
        <f t="shared" si="164"/>
        <v>97528.625761880437</v>
      </c>
      <c r="CH371" s="58">
        <f t="array" ref="CH371">SUM(IF(CE371:CF371&gt;=CE371, 1))</f>
        <v>2</v>
      </c>
      <c r="CI371" s="58">
        <f t="array" ref="CI371">SUM(IF(CE371:CF371&gt;=CF371, 1))</f>
        <v>1</v>
      </c>
      <c r="CK371" s="109">
        <f t="shared" si="165"/>
        <v>46320.232630201048</v>
      </c>
      <c r="CL371" s="109">
        <f t="shared" si="166"/>
        <v>47442.438362952656</v>
      </c>
      <c r="CN371" s="58">
        <f t="array" ref="CN371">SUM(IF(CK371:CL371&gt;=CK371, 1))</f>
        <v>2</v>
      </c>
      <c r="CO371" s="58">
        <f t="array" ref="CO371">SUM(IF(CK371:CL371&gt;=CL371, 1))</f>
        <v>1</v>
      </c>
      <c r="CQ371" s="109" cm="1">
        <f t="array" ref="CQ371">AF371*WTP-AC371</f>
        <v>39821.852759562003</v>
      </c>
      <c r="CR371" s="109">
        <f t="shared" si="167"/>
        <v>42688.288273343445</v>
      </c>
      <c r="CT371" s="58">
        <f t="array" ref="CT371">SUM(IF(CQ371:CR371&gt;=CQ371, 1))</f>
        <v>2</v>
      </c>
      <c r="CU371" s="58">
        <f t="array" ref="CU371">SUM(IF(CQ371:CR371&gt;=CR371, 1))</f>
        <v>1</v>
      </c>
      <c r="CW371" s="109">
        <f t="shared" si="168"/>
        <v>-40914971.150959186</v>
      </c>
      <c r="CX371" s="109">
        <f t="shared" si="169"/>
        <v>0</v>
      </c>
      <c r="CZ371" s="58">
        <f t="array" ref="CZ371">SUM(IF(CW371:CX371&gt;=CW371, 1))</f>
        <v>2</v>
      </c>
      <c r="DA371" s="58">
        <f t="array" ref="DA371">SUM(IF(CW371:CX371&gt;=CX371, 1))</f>
        <v>1</v>
      </c>
      <c r="DC371" s="109">
        <f t="shared" si="170"/>
        <v>-2374983.5673286119</v>
      </c>
      <c r="DD371" s="109">
        <f t="shared" si="171"/>
        <v>0</v>
      </c>
      <c r="DF371" s="58">
        <f t="array" ref="DF371">SUM(IF(DC371:DD371&gt;=DC371, 1))</f>
        <v>2</v>
      </c>
      <c r="DG371" s="58">
        <f t="array" ref="DG371">SUM(IF(DC371:DD371&gt;=DD371, 1))</f>
        <v>1</v>
      </c>
      <c r="DI371" s="109">
        <f t="shared" si="172"/>
        <v>-43792326.740546852</v>
      </c>
      <c r="DJ371" s="109">
        <f t="shared" si="173"/>
        <v>0</v>
      </c>
      <c r="DL371" s="58">
        <f t="array" ref="DL371">SUM(IF(DI371:DJ371&gt;=DI371, 1))</f>
        <v>2</v>
      </c>
      <c r="DM371" s="58">
        <f t="array" ref="DM371">SUM(IF(DI371:DJ371&gt;=DJ371, 1))</f>
        <v>1</v>
      </c>
      <c r="DO371" s="109">
        <f t="shared" si="174"/>
        <v>-9862281.8504861351</v>
      </c>
      <c r="DP371" s="109">
        <f t="shared" si="175"/>
        <v>0</v>
      </c>
      <c r="DR371" s="58">
        <f t="array" ref="DR371">SUM(IF(DO371:DP371&gt;=DO371, 1))</f>
        <v>2</v>
      </c>
      <c r="DS371" s="58">
        <f t="array" ref="DS371">SUM(IF(DO371:DP371&gt;=DP371, 1))</f>
        <v>1</v>
      </c>
      <c r="DU371" s="109">
        <f t="shared" si="176"/>
        <v>-45950881.178600982</v>
      </c>
      <c r="DV371" s="109">
        <f t="shared" si="177"/>
        <v>0</v>
      </c>
      <c r="DX371" s="58">
        <f t="array" ref="DX371">SUM(IF(DU371:DV371&gt;=DU371, 1))</f>
        <v>2</v>
      </c>
      <c r="DY371" s="58">
        <f t="array" ref="DY371">SUM(IF(DU371:DV371&gt;=DV371, 1))</f>
        <v>1</v>
      </c>
      <c r="EA371" s="109">
        <f t="shared" si="178"/>
        <v>-142895444.48792177</v>
      </c>
      <c r="EB371" s="109">
        <f t="shared" si="179"/>
        <v>0</v>
      </c>
      <c r="ED371" s="58">
        <f t="array" ref="ED371">SUM(IF(EA371:EB371&gt;=EA371, 1))</f>
        <v>2</v>
      </c>
      <c r="EE371" s="58">
        <f t="array" ref="EE371">SUM(IF(EA371:EB371&gt;=EB371, 1))</f>
        <v>1</v>
      </c>
    </row>
    <row r="372" spans="4:135" ht="12" customHeight="1" x14ac:dyDescent="0.25">
      <c r="D372" s="11">
        <v>356</v>
      </c>
      <c r="E372" s="72">
        <v>291.84677530416423</v>
      </c>
      <c r="F372" s="72">
        <v>282.32249116856076</v>
      </c>
      <c r="G372" s="73"/>
      <c r="H372" s="74">
        <v>5.8031754526345933</v>
      </c>
      <c r="I372" s="74">
        <v>5.8177366509730586</v>
      </c>
      <c r="J372" s="73"/>
      <c r="K372" s="72">
        <v>314.25571290847586</v>
      </c>
      <c r="L372" s="72">
        <v>304.46839682367295</v>
      </c>
      <c r="M372" s="73"/>
      <c r="N372" s="74">
        <v>6.7275836233194788</v>
      </c>
      <c r="O372" s="74">
        <v>6.7401520696484223</v>
      </c>
      <c r="P372" s="73"/>
      <c r="Q372" s="72">
        <v>2558.2997245304064</v>
      </c>
      <c r="R372" s="72">
        <v>1486.5981685611673</v>
      </c>
      <c r="S372" s="73"/>
      <c r="T372" s="74">
        <v>4.8168575343595137</v>
      </c>
      <c r="U372" s="74">
        <v>4.8860911883124762</v>
      </c>
      <c r="V372" s="73"/>
      <c r="W372" s="72">
        <v>12032.755294365918</v>
      </c>
      <c r="X372" s="72">
        <v>12025.819586906773</v>
      </c>
      <c r="Y372" s="73"/>
      <c r="Z372" s="74">
        <v>3.159277074765932</v>
      </c>
      <c r="AA372" s="74">
        <v>3.2153025565756708</v>
      </c>
      <c r="AB372" s="73"/>
      <c r="AC372" s="72">
        <v>50815.136060249977</v>
      </c>
      <c r="AD372" s="72">
        <v>50396.950731181474</v>
      </c>
      <c r="AE372" s="73"/>
      <c r="AF372" s="74">
        <v>5.1808510556257827</v>
      </c>
      <c r="AG372" s="74">
        <v>5.3191907513082715</v>
      </c>
      <c r="AH372" s="73"/>
      <c r="AI372" s="72">
        <v>1021811.4959356773</v>
      </c>
      <c r="AJ372" s="72">
        <v>0</v>
      </c>
      <c r="AK372" s="73"/>
      <c r="AL372" s="74">
        <v>-1562.1961341140257</v>
      </c>
      <c r="AM372" s="74">
        <v>0</v>
      </c>
      <c r="AN372" s="73"/>
      <c r="AO372" s="72">
        <v>67725.047581569641</v>
      </c>
      <c r="AP372" s="72">
        <v>0</v>
      </c>
      <c r="AQ372" s="73"/>
      <c r="AR372" s="74">
        <v>-86.969565331172532</v>
      </c>
      <c r="AS372" s="74">
        <v>0</v>
      </c>
      <c r="AT372" s="73"/>
      <c r="AU372" s="72">
        <v>24982796.009396359</v>
      </c>
      <c r="AV372" s="72">
        <v>0</v>
      </c>
      <c r="AW372" s="73"/>
      <c r="AX372" s="74">
        <v>-1613.9290309490295</v>
      </c>
      <c r="AY372" s="74">
        <v>0</v>
      </c>
      <c r="AZ372" s="73"/>
      <c r="BA372" s="72">
        <v>61945.455281028015</v>
      </c>
      <c r="BB372" s="72">
        <v>0</v>
      </c>
      <c r="BC372" s="73"/>
      <c r="BD372" s="74">
        <v>-500.38500015849178</v>
      </c>
      <c r="BE372" s="74">
        <v>0</v>
      </c>
      <c r="BF372" s="73"/>
      <c r="BG372" s="72">
        <v>6607602.2467434946</v>
      </c>
      <c r="BH372" s="72">
        <v>0</v>
      </c>
      <c r="BI372" s="73"/>
      <c r="BJ372" s="74">
        <v>-2185.8578492974484</v>
      </c>
      <c r="BK372" s="74">
        <v>0</v>
      </c>
      <c r="BL372" s="73"/>
      <c r="BM372" s="72">
        <v>32741880.254938126</v>
      </c>
      <c r="BN372" s="72">
        <v>0</v>
      </c>
      <c r="BO372" s="73"/>
      <c r="BP372" s="74">
        <v>-5949.3375798501675</v>
      </c>
      <c r="BQ372" s="74">
        <v>0</v>
      </c>
      <c r="BS372" s="109">
        <f t="shared" si="159"/>
        <v>115771.6622773877</v>
      </c>
      <c r="BT372" s="109">
        <f t="shared" si="160"/>
        <v>116072.41052829262</v>
      </c>
      <c r="BV372" s="58">
        <f t="array" ref="BV372">SUM(IF(BS372:BT372&gt;=BS372, 1))</f>
        <v>2</v>
      </c>
      <c r="BW372" s="58">
        <f t="array" ref="BW372">SUM(IF(BS372:BT372&gt;=BT372, 1))</f>
        <v>1</v>
      </c>
      <c r="BY372" s="109">
        <f t="shared" si="161"/>
        <v>134237.41675348108</v>
      </c>
      <c r="BZ372" s="109">
        <f t="shared" si="162"/>
        <v>134498.57299614477</v>
      </c>
      <c r="CB372" s="58">
        <f t="array" ref="CB372">SUM(IF(BY372:BZ372&gt;=BY372, 1))</f>
        <v>2</v>
      </c>
      <c r="CC372" s="58">
        <f t="array" ref="CC372">SUM(IF(BY372:BZ372&gt;=BZ372, 1))</f>
        <v>1</v>
      </c>
      <c r="CE372" s="109">
        <f t="shared" si="163"/>
        <v>93778.850962659868</v>
      </c>
      <c r="CF372" s="109">
        <f t="shared" si="164"/>
        <v>96235.225597688361</v>
      </c>
      <c r="CH372" s="58">
        <f t="array" ref="CH372">SUM(IF(CE372:CF372&gt;=CE372, 1))</f>
        <v>2</v>
      </c>
      <c r="CI372" s="58">
        <f t="array" ref="CI372">SUM(IF(CE372:CF372&gt;=CF372, 1))</f>
        <v>1</v>
      </c>
      <c r="CK372" s="109">
        <f t="shared" si="165"/>
        <v>51152.786200952723</v>
      </c>
      <c r="CL372" s="109">
        <f t="shared" si="166"/>
        <v>52280.231544606642</v>
      </c>
      <c r="CN372" s="58">
        <f t="array" ref="CN372">SUM(IF(CK372:CL372&gt;=CK372, 1))</f>
        <v>2</v>
      </c>
      <c r="CO372" s="58">
        <f t="array" ref="CO372">SUM(IF(CK372:CL372&gt;=CL372, 1))</f>
        <v>1</v>
      </c>
      <c r="CQ372" s="109" cm="1">
        <f t="array" ref="CQ372">AF372*WTP-AC372</f>
        <v>52801.885052265672</v>
      </c>
      <c r="CR372" s="109">
        <f t="shared" si="167"/>
        <v>55986.864294983949</v>
      </c>
      <c r="CT372" s="58">
        <f t="array" ref="CT372">SUM(IF(CQ372:CR372&gt;=CQ372, 1))</f>
        <v>2</v>
      </c>
      <c r="CU372" s="58">
        <f t="array" ref="CU372">SUM(IF(CQ372:CR372&gt;=CR372, 1))</f>
        <v>1</v>
      </c>
      <c r="CW372" s="109">
        <f t="shared" si="168"/>
        <v>-32265734.178216193</v>
      </c>
      <c r="CX372" s="109">
        <f t="shared" si="169"/>
        <v>0</v>
      </c>
      <c r="CZ372" s="58">
        <f t="array" ref="CZ372">SUM(IF(CW372:CX372&gt;=CW372, 1))</f>
        <v>2</v>
      </c>
      <c r="DA372" s="58">
        <f t="array" ref="DA372">SUM(IF(CW372:CX372&gt;=CX372, 1))</f>
        <v>1</v>
      </c>
      <c r="DC372" s="109">
        <f t="shared" si="170"/>
        <v>-1807116.3542050202</v>
      </c>
      <c r="DD372" s="109">
        <f t="shared" si="171"/>
        <v>0</v>
      </c>
      <c r="DF372" s="58">
        <f t="array" ref="DF372">SUM(IF(DC372:DD372&gt;=DC372, 1))</f>
        <v>2</v>
      </c>
      <c r="DG372" s="58">
        <f t="array" ref="DG372">SUM(IF(DC372:DD372&gt;=DD372, 1))</f>
        <v>1</v>
      </c>
      <c r="DI372" s="109">
        <f t="shared" si="172"/>
        <v>-57261376.628376946</v>
      </c>
      <c r="DJ372" s="109">
        <f t="shared" si="173"/>
        <v>0</v>
      </c>
      <c r="DL372" s="58">
        <f t="array" ref="DL372">SUM(IF(DI372:DJ372&gt;=DI372, 1))</f>
        <v>2</v>
      </c>
      <c r="DM372" s="58">
        <f t="array" ref="DM372">SUM(IF(DI372:DJ372&gt;=DJ372, 1))</f>
        <v>1</v>
      </c>
      <c r="DO372" s="109">
        <f t="shared" si="174"/>
        <v>-10069645.458450865</v>
      </c>
      <c r="DP372" s="109">
        <f t="shared" si="175"/>
        <v>0</v>
      </c>
      <c r="DR372" s="58">
        <f t="array" ref="DR372">SUM(IF(DO372:DP372&gt;=DO372, 1))</f>
        <v>2</v>
      </c>
      <c r="DS372" s="58">
        <f t="array" ref="DS372">SUM(IF(DO372:DP372&gt;=DP372, 1))</f>
        <v>1</v>
      </c>
      <c r="DU372" s="109">
        <f t="shared" si="176"/>
        <v>-50324759.232692458</v>
      </c>
      <c r="DV372" s="109">
        <f t="shared" si="177"/>
        <v>0</v>
      </c>
      <c r="DX372" s="58">
        <f t="array" ref="DX372">SUM(IF(DU372:DV372&gt;=DU372, 1))</f>
        <v>2</v>
      </c>
      <c r="DY372" s="58">
        <f t="array" ref="DY372">SUM(IF(DU372:DV372&gt;=DV372, 1))</f>
        <v>1</v>
      </c>
      <c r="EA372" s="109">
        <f t="shared" si="178"/>
        <v>-151728631.85194147</v>
      </c>
      <c r="EB372" s="109">
        <f t="shared" si="179"/>
        <v>0</v>
      </c>
      <c r="ED372" s="58">
        <f t="array" ref="ED372">SUM(IF(EA372:EB372&gt;=EA372, 1))</f>
        <v>2</v>
      </c>
      <c r="EE372" s="58">
        <f t="array" ref="EE372">SUM(IF(EA372:EB372&gt;=EB372, 1))</f>
        <v>1</v>
      </c>
    </row>
    <row r="373" spans="4:135" ht="12" customHeight="1" x14ac:dyDescent="0.25">
      <c r="D373" s="11">
        <v>357</v>
      </c>
      <c r="E373" s="72">
        <v>263.21702986243798</v>
      </c>
      <c r="F373" s="72">
        <v>245.04266423017896</v>
      </c>
      <c r="G373" s="73"/>
      <c r="H373" s="74">
        <v>5.8443398056875937</v>
      </c>
      <c r="I373" s="74">
        <v>5.8604085093563176</v>
      </c>
      <c r="J373" s="73"/>
      <c r="K373" s="72">
        <v>282.94595913299435</v>
      </c>
      <c r="L373" s="72">
        <v>264.30023636165549</v>
      </c>
      <c r="M373" s="73"/>
      <c r="N373" s="74">
        <v>6.7177602839360953</v>
      </c>
      <c r="O373" s="74">
        <v>6.7312244659773253</v>
      </c>
      <c r="P373" s="73"/>
      <c r="Q373" s="72">
        <v>990.0380897493576</v>
      </c>
      <c r="R373" s="72">
        <v>987.80873548611135</v>
      </c>
      <c r="S373" s="73"/>
      <c r="T373" s="74">
        <v>4.9399541416415733</v>
      </c>
      <c r="U373" s="74">
        <v>4.998209009068681</v>
      </c>
      <c r="V373" s="73"/>
      <c r="W373" s="72">
        <v>11974.329327966689</v>
      </c>
      <c r="X373" s="72">
        <v>11940.580352012292</v>
      </c>
      <c r="Y373" s="73"/>
      <c r="Z373" s="74">
        <v>3.0352842616583233</v>
      </c>
      <c r="AA373" s="74">
        <v>3.0710824621753687</v>
      </c>
      <c r="AB373" s="73"/>
      <c r="AC373" s="72">
        <v>50985.002563779766</v>
      </c>
      <c r="AD373" s="72">
        <v>50864.35979151287</v>
      </c>
      <c r="AE373" s="73"/>
      <c r="AF373" s="74">
        <v>5.045308752173792</v>
      </c>
      <c r="AG373" s="74">
        <v>5.1543892580844508</v>
      </c>
      <c r="AH373" s="73"/>
      <c r="AI373" s="72">
        <v>1946581.779443094</v>
      </c>
      <c r="AJ373" s="72">
        <v>0</v>
      </c>
      <c r="AK373" s="73"/>
      <c r="AL373" s="74">
        <v>-1721.0529607310696</v>
      </c>
      <c r="AM373" s="74">
        <v>0</v>
      </c>
      <c r="AN373" s="73"/>
      <c r="AO373" s="72">
        <v>125406.42598264258</v>
      </c>
      <c r="AP373" s="72">
        <v>0</v>
      </c>
      <c r="AQ373" s="73"/>
      <c r="AR373" s="74">
        <v>-90.55669062964914</v>
      </c>
      <c r="AS373" s="74">
        <v>0</v>
      </c>
      <c r="AT373" s="73"/>
      <c r="AU373" s="72">
        <v>51753.607546157749</v>
      </c>
      <c r="AV373" s="72">
        <v>0</v>
      </c>
      <c r="AW373" s="73"/>
      <c r="AX373" s="74">
        <v>-1352.3644923467066</v>
      </c>
      <c r="AY373" s="74">
        <v>0</v>
      </c>
      <c r="AZ373" s="73"/>
      <c r="BA373" s="72">
        <v>304798.27821945236</v>
      </c>
      <c r="BB373" s="72">
        <v>0</v>
      </c>
      <c r="BC373" s="73"/>
      <c r="BD373" s="74">
        <v>-323.30550994180942</v>
      </c>
      <c r="BE373" s="74">
        <v>0</v>
      </c>
      <c r="BF373" s="73"/>
      <c r="BG373" s="72">
        <v>1865364.3843902841</v>
      </c>
      <c r="BH373" s="72">
        <v>0</v>
      </c>
      <c r="BI373" s="73"/>
      <c r="BJ373" s="74">
        <v>-1686.5899791068523</v>
      </c>
      <c r="BK373" s="74">
        <v>0</v>
      </c>
      <c r="BL373" s="73"/>
      <c r="BM373" s="72">
        <v>4293904.4755816311</v>
      </c>
      <c r="BN373" s="72">
        <v>0</v>
      </c>
      <c r="BO373" s="73"/>
      <c r="BP373" s="74">
        <v>-5173.8696327560865</v>
      </c>
      <c r="BQ373" s="74">
        <v>0</v>
      </c>
      <c r="BS373" s="109">
        <f t="shared" si="159"/>
        <v>116623.57908388943</v>
      </c>
      <c r="BT373" s="109">
        <f t="shared" si="160"/>
        <v>116963.12752289617</v>
      </c>
      <c r="BV373" s="58">
        <f t="array" ref="BV373">SUM(IF(BS373:BT373&gt;=BS373, 1))</f>
        <v>2</v>
      </c>
      <c r="BW373" s="58">
        <f t="array" ref="BW373">SUM(IF(BS373:BT373&gt;=BT373, 1))</f>
        <v>1</v>
      </c>
      <c r="BY373" s="109">
        <f t="shared" si="161"/>
        <v>134072.25971958891</v>
      </c>
      <c r="BZ373" s="109">
        <f t="shared" si="162"/>
        <v>134360.18908318484</v>
      </c>
      <c r="CB373" s="58">
        <f t="array" ref="CB373">SUM(IF(BY373:BZ373&gt;=BY373, 1))</f>
        <v>2</v>
      </c>
      <c r="CC373" s="58">
        <f t="array" ref="CC373">SUM(IF(BY373:BZ373&gt;=BZ373, 1))</f>
        <v>1</v>
      </c>
      <c r="CE373" s="109">
        <f t="shared" si="163"/>
        <v>97809.044743082108</v>
      </c>
      <c r="CF373" s="109">
        <f t="shared" si="164"/>
        <v>98976.371445887518</v>
      </c>
      <c r="CH373" s="58">
        <f t="array" ref="CH373">SUM(IF(CE373:CF373&gt;=CE373, 1))</f>
        <v>2</v>
      </c>
      <c r="CI373" s="58">
        <f t="array" ref="CI373">SUM(IF(CE373:CF373&gt;=CF373, 1))</f>
        <v>1</v>
      </c>
      <c r="CK373" s="109">
        <f t="shared" si="165"/>
        <v>48731.355905199773</v>
      </c>
      <c r="CL373" s="109">
        <f t="shared" si="166"/>
        <v>49481.068891495081</v>
      </c>
      <c r="CN373" s="58">
        <f t="array" ref="CN373">SUM(IF(CK373:CL373&gt;=CK373, 1))</f>
        <v>2</v>
      </c>
      <c r="CO373" s="58">
        <f t="array" ref="CO373">SUM(IF(CK373:CL373&gt;=CL373, 1))</f>
        <v>1</v>
      </c>
      <c r="CQ373" s="109" cm="1">
        <f t="array" ref="CQ373">AF373*WTP-AC373</f>
        <v>49921.172479696077</v>
      </c>
      <c r="CR373" s="109">
        <f t="shared" si="167"/>
        <v>52223.425370176141</v>
      </c>
      <c r="CT373" s="58">
        <f t="array" ref="CT373">SUM(IF(CQ373:CR373&gt;=CQ373, 1))</f>
        <v>2</v>
      </c>
      <c r="CU373" s="58">
        <f t="array" ref="CU373">SUM(IF(CQ373:CR373&gt;=CR373, 1))</f>
        <v>1</v>
      </c>
      <c r="CW373" s="109">
        <f t="shared" si="168"/>
        <v>-36367640.994064488</v>
      </c>
      <c r="CX373" s="109">
        <f t="shared" si="169"/>
        <v>0</v>
      </c>
      <c r="CZ373" s="58">
        <f t="array" ref="CZ373">SUM(IF(CW373:CX373&gt;=CW373, 1))</f>
        <v>2</v>
      </c>
      <c r="DA373" s="58">
        <f t="array" ref="DA373">SUM(IF(CW373:CX373&gt;=CX373, 1))</f>
        <v>1</v>
      </c>
      <c r="DC373" s="109">
        <f t="shared" si="170"/>
        <v>-1936540.2385756255</v>
      </c>
      <c r="DD373" s="109">
        <f t="shared" si="171"/>
        <v>0</v>
      </c>
      <c r="DF373" s="58">
        <f t="array" ref="DF373">SUM(IF(DC373:DD373&gt;=DC373, 1))</f>
        <v>2</v>
      </c>
      <c r="DG373" s="58">
        <f t="array" ref="DG373">SUM(IF(DC373:DD373&gt;=DD373, 1))</f>
        <v>1</v>
      </c>
      <c r="DI373" s="109">
        <f t="shared" si="172"/>
        <v>-27099043.45448029</v>
      </c>
      <c r="DJ373" s="109">
        <f t="shared" si="173"/>
        <v>0</v>
      </c>
      <c r="DL373" s="58">
        <f t="array" ref="DL373">SUM(IF(DI373:DJ373&gt;=DI373, 1))</f>
        <v>2</v>
      </c>
      <c r="DM373" s="58">
        <f t="array" ref="DM373">SUM(IF(DI373:DJ373&gt;=DJ373, 1))</f>
        <v>1</v>
      </c>
      <c r="DO373" s="109">
        <f t="shared" si="174"/>
        <v>-6770908.4770556409</v>
      </c>
      <c r="DP373" s="109">
        <f t="shared" si="175"/>
        <v>0</v>
      </c>
      <c r="DR373" s="58">
        <f t="array" ref="DR373">SUM(IF(DO373:DP373&gt;=DO373, 1))</f>
        <v>2</v>
      </c>
      <c r="DS373" s="58">
        <f t="array" ref="DS373">SUM(IF(DO373:DP373&gt;=DP373, 1))</f>
        <v>1</v>
      </c>
      <c r="DU373" s="109">
        <f t="shared" si="176"/>
        <v>-35597163.966527335</v>
      </c>
      <c r="DV373" s="109">
        <f t="shared" si="177"/>
        <v>0</v>
      </c>
      <c r="DX373" s="58">
        <f t="array" ref="DX373">SUM(IF(DU373:DV373&gt;=DU373, 1))</f>
        <v>2</v>
      </c>
      <c r="DY373" s="58">
        <f t="array" ref="DY373">SUM(IF(DU373:DV373&gt;=DV373, 1))</f>
        <v>1</v>
      </c>
      <c r="EA373" s="109">
        <f t="shared" si="178"/>
        <v>-107771297.13070336</v>
      </c>
      <c r="EB373" s="109">
        <f t="shared" si="179"/>
        <v>0</v>
      </c>
      <c r="ED373" s="58">
        <f t="array" ref="ED373">SUM(IF(EA373:EB373&gt;=EA373, 1))</f>
        <v>2</v>
      </c>
      <c r="EE373" s="58">
        <f t="array" ref="EE373">SUM(IF(EA373:EB373&gt;=EB373, 1))</f>
        <v>1</v>
      </c>
    </row>
    <row r="374" spans="4:135" ht="12" customHeight="1" x14ac:dyDescent="0.25">
      <c r="D374" s="11">
        <v>358</v>
      </c>
      <c r="E374" s="72">
        <v>317.54268476044285</v>
      </c>
      <c r="F374" s="72">
        <v>283.05315612136457</v>
      </c>
      <c r="G374" s="73"/>
      <c r="H374" s="74">
        <v>5.8015056277124462</v>
      </c>
      <c r="I374" s="74">
        <v>5.8158157512549922</v>
      </c>
      <c r="J374" s="73"/>
      <c r="K374" s="72">
        <v>340.50659754961072</v>
      </c>
      <c r="L374" s="72">
        <v>305.16133005241483</v>
      </c>
      <c r="M374" s="73"/>
      <c r="N374" s="74">
        <v>6.6989730102562772</v>
      </c>
      <c r="O374" s="74">
        <v>6.7108436623472034</v>
      </c>
      <c r="P374" s="73"/>
      <c r="Q374" s="72">
        <v>4110.914751193347</v>
      </c>
      <c r="R374" s="72">
        <v>1952.312061103326</v>
      </c>
      <c r="S374" s="73"/>
      <c r="T374" s="74">
        <v>4.8784063082767553</v>
      </c>
      <c r="U374" s="74">
        <v>5.0090194454763814</v>
      </c>
      <c r="V374" s="73"/>
      <c r="W374" s="72">
        <v>11733.766325784187</v>
      </c>
      <c r="X374" s="72">
        <v>11712.702488614734</v>
      </c>
      <c r="Y374" s="73"/>
      <c r="Z374" s="74">
        <v>2.9391046314513738</v>
      </c>
      <c r="AA374" s="74">
        <v>2.9729266326071504</v>
      </c>
      <c r="AB374" s="73"/>
      <c r="AC374" s="72">
        <v>50458.861371874118</v>
      </c>
      <c r="AD374" s="72">
        <v>50491.203743730031</v>
      </c>
      <c r="AE374" s="73"/>
      <c r="AF374" s="74">
        <v>4.6777577596259778</v>
      </c>
      <c r="AG374" s="74">
        <v>4.7682328956420656</v>
      </c>
      <c r="AH374" s="73"/>
      <c r="AI374" s="72">
        <v>3658006.3127868031</v>
      </c>
      <c r="AJ374" s="72">
        <v>0</v>
      </c>
      <c r="AK374" s="73"/>
      <c r="AL374" s="74">
        <v>-1517.7511645108789</v>
      </c>
      <c r="AM374" s="74">
        <v>0</v>
      </c>
      <c r="AN374" s="73"/>
      <c r="AO374" s="72">
        <v>243577.35960704004</v>
      </c>
      <c r="AP374" s="72">
        <v>0</v>
      </c>
      <c r="AQ374" s="73"/>
      <c r="AR374" s="74">
        <v>-81.805070320969591</v>
      </c>
      <c r="AS374" s="74">
        <v>0</v>
      </c>
      <c r="AT374" s="73"/>
      <c r="AU374" s="72">
        <v>48048430.429273568</v>
      </c>
      <c r="AV374" s="72">
        <v>0</v>
      </c>
      <c r="AW374" s="73"/>
      <c r="AX374" s="74">
        <v>-2907.3234572980555</v>
      </c>
      <c r="AY374" s="74">
        <v>0</v>
      </c>
      <c r="AZ374" s="73"/>
      <c r="BA374" s="72">
        <v>187515.88579844052</v>
      </c>
      <c r="BB374" s="72">
        <v>0</v>
      </c>
      <c r="BC374" s="73"/>
      <c r="BD374" s="74">
        <v>-301.0924579021513</v>
      </c>
      <c r="BE374" s="74">
        <v>0</v>
      </c>
      <c r="BF374" s="73"/>
      <c r="BG374" s="72">
        <v>-497368.88690514141</v>
      </c>
      <c r="BH374" s="72">
        <v>0</v>
      </c>
      <c r="BI374" s="73"/>
      <c r="BJ374" s="74">
        <v>-1391.3487202913752</v>
      </c>
      <c r="BK374" s="74">
        <v>0</v>
      </c>
      <c r="BL374" s="73"/>
      <c r="BM374" s="72">
        <v>51640161.10056071</v>
      </c>
      <c r="BN374" s="72">
        <v>0</v>
      </c>
      <c r="BO374" s="73"/>
      <c r="BP374" s="74">
        <v>-6199.3208703234304</v>
      </c>
      <c r="BQ374" s="74">
        <v>0</v>
      </c>
      <c r="BS374" s="109">
        <f t="shared" si="159"/>
        <v>115712.56986948848</v>
      </c>
      <c r="BT374" s="109">
        <f t="shared" si="160"/>
        <v>116033.26186897849</v>
      </c>
      <c r="BV374" s="58">
        <f t="array" ref="BV374">SUM(IF(BS374:BT374&gt;=BS374, 1))</f>
        <v>2</v>
      </c>
      <c r="BW374" s="58">
        <f t="array" ref="BW374">SUM(IF(BS374:BT374&gt;=BT374, 1))</f>
        <v>1</v>
      </c>
      <c r="BY374" s="109">
        <f t="shared" si="161"/>
        <v>133638.95360757594</v>
      </c>
      <c r="BZ374" s="109">
        <f t="shared" si="162"/>
        <v>133911.71191689165</v>
      </c>
      <c r="CB374" s="58">
        <f t="array" ref="CB374">SUM(IF(BY374:BZ374&gt;=BY374, 1))</f>
        <v>2</v>
      </c>
      <c r="CC374" s="58">
        <f t="array" ref="CC374">SUM(IF(BY374:BZ374&gt;=BZ374, 1))</f>
        <v>1</v>
      </c>
      <c r="CE374" s="109">
        <f t="shared" si="163"/>
        <v>93457.211414341771</v>
      </c>
      <c r="CF374" s="109">
        <f t="shared" si="164"/>
        <v>98228.076848424302</v>
      </c>
      <c r="CH374" s="58">
        <f t="array" ref="CH374">SUM(IF(CE374:CF374&gt;=CE374, 1))</f>
        <v>2</v>
      </c>
      <c r="CI374" s="58">
        <f t="array" ref="CI374">SUM(IF(CE374:CF374&gt;=CF374, 1))</f>
        <v>1</v>
      </c>
      <c r="CK374" s="109">
        <f t="shared" si="165"/>
        <v>47048.326303243288</v>
      </c>
      <c r="CL374" s="109">
        <f t="shared" si="166"/>
        <v>47745.830163528277</v>
      </c>
      <c r="CN374" s="58">
        <f t="array" ref="CN374">SUM(IF(CK374:CL374&gt;=CK374, 1))</f>
        <v>2</v>
      </c>
      <c r="CO374" s="58">
        <f t="array" ref="CO374">SUM(IF(CK374:CL374&gt;=CL374, 1))</f>
        <v>1</v>
      </c>
      <c r="CQ374" s="109" cm="1">
        <f t="array" ref="CQ374">AF374*WTP-AC374</f>
        <v>43096.293820645435</v>
      </c>
      <c r="CR374" s="109">
        <f t="shared" si="167"/>
        <v>44873.454169111283</v>
      </c>
      <c r="CT374" s="58">
        <f t="array" ref="CT374">SUM(IF(CQ374:CR374&gt;=CQ374, 1))</f>
        <v>2</v>
      </c>
      <c r="CU374" s="58">
        <f t="array" ref="CU374">SUM(IF(CQ374:CR374&gt;=CR374, 1))</f>
        <v>1</v>
      </c>
      <c r="CW374" s="109">
        <f t="shared" si="168"/>
        <v>-34013029.603004381</v>
      </c>
      <c r="CX374" s="109">
        <f t="shared" si="169"/>
        <v>0</v>
      </c>
      <c r="CZ374" s="58">
        <f t="array" ref="CZ374">SUM(IF(CW374:CX374&gt;=CW374, 1))</f>
        <v>2</v>
      </c>
      <c r="DA374" s="58">
        <f t="array" ref="DA374">SUM(IF(CW374:CX374&gt;=CX374, 1))</f>
        <v>1</v>
      </c>
      <c r="DC374" s="109">
        <f t="shared" si="170"/>
        <v>-1879678.7660264317</v>
      </c>
      <c r="DD374" s="109">
        <f t="shared" si="171"/>
        <v>0</v>
      </c>
      <c r="DF374" s="58">
        <f t="array" ref="DF374">SUM(IF(DC374:DD374&gt;=DC374, 1))</f>
        <v>2</v>
      </c>
      <c r="DG374" s="58">
        <f t="array" ref="DG374">SUM(IF(DC374:DD374&gt;=DD374, 1))</f>
        <v>1</v>
      </c>
      <c r="DI374" s="109">
        <f t="shared" si="172"/>
        <v>-106194899.57523468</v>
      </c>
      <c r="DJ374" s="109">
        <f t="shared" si="173"/>
        <v>0</v>
      </c>
      <c r="DL374" s="58">
        <f t="array" ref="DL374">SUM(IF(DI374:DJ374&gt;=DI374, 1))</f>
        <v>2</v>
      </c>
      <c r="DM374" s="58">
        <f t="array" ref="DM374">SUM(IF(DI374:DJ374&gt;=DJ374, 1))</f>
        <v>1</v>
      </c>
      <c r="DO374" s="109">
        <f t="shared" si="174"/>
        <v>-6209365.0438414663</v>
      </c>
      <c r="DP374" s="109">
        <f t="shared" si="175"/>
        <v>0</v>
      </c>
      <c r="DR374" s="58">
        <f t="array" ref="DR374">SUM(IF(DO374:DP374&gt;=DO374, 1))</f>
        <v>2</v>
      </c>
      <c r="DS374" s="58">
        <f t="array" ref="DS374">SUM(IF(DO374:DP374&gt;=DP374, 1))</f>
        <v>1</v>
      </c>
      <c r="DU374" s="109">
        <f t="shared" si="176"/>
        <v>-27329605.518922362</v>
      </c>
      <c r="DV374" s="109">
        <f t="shared" si="177"/>
        <v>0</v>
      </c>
      <c r="DX374" s="58">
        <f t="array" ref="DX374">SUM(IF(DU374:DV374&gt;=DU374, 1))</f>
        <v>2</v>
      </c>
      <c r="DY374" s="58">
        <f t="array" ref="DY374">SUM(IF(DU374:DV374&gt;=DV374, 1))</f>
        <v>1</v>
      </c>
      <c r="EA374" s="109">
        <f t="shared" si="178"/>
        <v>-175626578.50702932</v>
      </c>
      <c r="EB374" s="109">
        <f t="shared" si="179"/>
        <v>0</v>
      </c>
      <c r="ED374" s="58">
        <f t="array" ref="ED374">SUM(IF(EA374:EB374&gt;=EA374, 1))</f>
        <v>2</v>
      </c>
      <c r="EE374" s="58">
        <f t="array" ref="EE374">SUM(IF(EA374:EB374&gt;=EB374, 1))</f>
        <v>1</v>
      </c>
    </row>
    <row r="375" spans="4:135" ht="12" customHeight="1" x14ac:dyDescent="0.25">
      <c r="D375" s="11">
        <v>359</v>
      </c>
      <c r="E375" s="72">
        <v>243.2887657372313</v>
      </c>
      <c r="F375" s="72">
        <v>228.61372680647673</v>
      </c>
      <c r="G375" s="73"/>
      <c r="H375" s="74">
        <v>5.8994272052652965</v>
      </c>
      <c r="I375" s="74">
        <v>5.9176171002384148</v>
      </c>
      <c r="J375" s="73"/>
      <c r="K375" s="72">
        <v>261.59844291988082</v>
      </c>
      <c r="L375" s="72">
        <v>246.55286709927341</v>
      </c>
      <c r="M375" s="73"/>
      <c r="N375" s="74">
        <v>6.7022238896924691</v>
      </c>
      <c r="O375" s="74">
        <v>6.7185562290841601</v>
      </c>
      <c r="P375" s="73"/>
      <c r="Q375" s="72">
        <v>2576.4309916116317</v>
      </c>
      <c r="R375" s="72">
        <v>1186.1934491834438</v>
      </c>
      <c r="S375" s="73"/>
      <c r="T375" s="74">
        <v>4.8556095863523723</v>
      </c>
      <c r="U375" s="74">
        <v>4.9507959588981558</v>
      </c>
      <c r="V375" s="73"/>
      <c r="W375" s="72">
        <v>13436.36013847193</v>
      </c>
      <c r="X375" s="72">
        <v>13437.435118442427</v>
      </c>
      <c r="Y375" s="73"/>
      <c r="Z375" s="74">
        <v>2.8993518101967499</v>
      </c>
      <c r="AA375" s="74">
        <v>2.9431371755881193</v>
      </c>
      <c r="AB375" s="73"/>
      <c r="AC375" s="72">
        <v>51832.599544523466</v>
      </c>
      <c r="AD375" s="72">
        <v>51140.847563950068</v>
      </c>
      <c r="AE375" s="73"/>
      <c r="AF375" s="74">
        <v>4.881875564847368</v>
      </c>
      <c r="AG375" s="74">
        <v>5.0511867026891943</v>
      </c>
      <c r="AH375" s="73"/>
      <c r="AI375" s="72">
        <v>1576918.3623475591</v>
      </c>
      <c r="AJ375" s="72">
        <v>0</v>
      </c>
      <c r="AK375" s="73"/>
      <c r="AL375" s="74">
        <v>-1954.6101054744465</v>
      </c>
      <c r="AM375" s="74">
        <v>0</v>
      </c>
      <c r="AN375" s="73"/>
      <c r="AO375" s="72">
        <v>103234.86534001876</v>
      </c>
      <c r="AP375" s="72">
        <v>0</v>
      </c>
      <c r="AQ375" s="73"/>
      <c r="AR375" s="74">
        <v>-112.06396337980995</v>
      </c>
      <c r="AS375" s="74">
        <v>0</v>
      </c>
      <c r="AT375" s="73"/>
      <c r="AU375" s="72">
        <v>32810472.272053588</v>
      </c>
      <c r="AV375" s="72">
        <v>0</v>
      </c>
      <c r="AW375" s="73"/>
      <c r="AX375" s="74">
        <v>-2246.4577036496744</v>
      </c>
      <c r="AY375" s="74">
        <v>0</v>
      </c>
      <c r="AZ375" s="73"/>
      <c r="BA375" s="72">
        <v>-9998.8813234487243</v>
      </c>
      <c r="BB375" s="72">
        <v>0</v>
      </c>
      <c r="BC375" s="73"/>
      <c r="BD375" s="74">
        <v>-407.26774848617646</v>
      </c>
      <c r="BE375" s="74">
        <v>0</v>
      </c>
      <c r="BF375" s="73"/>
      <c r="BG375" s="72">
        <v>11060793.389129335</v>
      </c>
      <c r="BH375" s="72">
        <v>0</v>
      </c>
      <c r="BI375" s="73"/>
      <c r="BJ375" s="74">
        <v>-2707.2065808825496</v>
      </c>
      <c r="BK375" s="74">
        <v>0</v>
      </c>
      <c r="BL375" s="73"/>
      <c r="BM375" s="72">
        <v>45541420.007547051</v>
      </c>
      <c r="BN375" s="72">
        <v>0</v>
      </c>
      <c r="BO375" s="73"/>
      <c r="BP375" s="74">
        <v>-7427.6061018726559</v>
      </c>
      <c r="BQ375" s="74">
        <v>0</v>
      </c>
      <c r="BS375" s="109">
        <f t="shared" si="159"/>
        <v>117745.2553395687</v>
      </c>
      <c r="BT375" s="109">
        <f t="shared" si="160"/>
        <v>118123.72827796183</v>
      </c>
      <c r="BV375" s="58">
        <f t="array" ref="BV375">SUM(IF(BS375:BT375&gt;=BS375, 1))</f>
        <v>2</v>
      </c>
      <c r="BW375" s="58">
        <f t="array" ref="BW375">SUM(IF(BS375:BT375&gt;=BT375, 1))</f>
        <v>1</v>
      </c>
      <c r="BY375" s="109">
        <f t="shared" si="161"/>
        <v>133782.87935092952</v>
      </c>
      <c r="BZ375" s="109">
        <f t="shared" si="162"/>
        <v>134124.57171458393</v>
      </c>
      <c r="CB375" s="58">
        <f t="array" ref="CB375">SUM(IF(BY375:BZ375&gt;=BY375, 1))</f>
        <v>2</v>
      </c>
      <c r="CC375" s="58">
        <f t="array" ref="CC375">SUM(IF(BY375:BZ375&gt;=BZ375, 1))</f>
        <v>1</v>
      </c>
      <c r="CE375" s="109">
        <f t="shared" si="163"/>
        <v>94535.760735435819</v>
      </c>
      <c r="CF375" s="109">
        <f t="shared" si="164"/>
        <v>97829.725728779682</v>
      </c>
      <c r="CH375" s="58">
        <f t="array" ref="CH375">SUM(IF(CE375:CF375&gt;=CE375, 1))</f>
        <v>2</v>
      </c>
      <c r="CI375" s="58">
        <f t="array" ref="CI375">SUM(IF(CE375:CF375&gt;=CF375, 1))</f>
        <v>1</v>
      </c>
      <c r="CK375" s="109">
        <f t="shared" si="165"/>
        <v>44550.676065463071</v>
      </c>
      <c r="CL375" s="109">
        <f t="shared" si="166"/>
        <v>45425.308393319952</v>
      </c>
      <c r="CN375" s="58">
        <f t="array" ref="CN375">SUM(IF(CK375:CL375&gt;=CK375, 1))</f>
        <v>2</v>
      </c>
      <c r="CO375" s="58">
        <f t="array" ref="CO375">SUM(IF(CK375:CL375&gt;=CL375, 1))</f>
        <v>1</v>
      </c>
      <c r="CQ375" s="109" cm="1">
        <f t="array" ref="CQ375">AF375*WTP-AC375</f>
        <v>45804.91175242389</v>
      </c>
      <c r="CR375" s="109">
        <f t="shared" si="167"/>
        <v>49882.886489833822</v>
      </c>
      <c r="CT375" s="58">
        <f t="array" ref="CT375">SUM(IF(CQ375:CR375&gt;=CQ375, 1))</f>
        <v>2</v>
      </c>
      <c r="CU375" s="58">
        <f t="array" ref="CU375">SUM(IF(CQ375:CR375&gt;=CR375, 1))</f>
        <v>1</v>
      </c>
      <c r="CW375" s="109">
        <f t="shared" si="168"/>
        <v>-40669120.471836485</v>
      </c>
      <c r="CX375" s="109">
        <f t="shared" si="169"/>
        <v>0</v>
      </c>
      <c r="CZ375" s="58">
        <f t="array" ref="CZ375">SUM(IF(CW375:CX375&gt;=CW375, 1))</f>
        <v>2</v>
      </c>
      <c r="DA375" s="58">
        <f t="array" ref="DA375">SUM(IF(CW375:CX375&gt;=CX375, 1))</f>
        <v>1</v>
      </c>
      <c r="DC375" s="109">
        <f t="shared" si="170"/>
        <v>-2344514.1329362178</v>
      </c>
      <c r="DD375" s="109">
        <f t="shared" si="171"/>
        <v>0</v>
      </c>
      <c r="DF375" s="58">
        <f t="array" ref="DF375">SUM(IF(DC375:DD375&gt;=DC375, 1))</f>
        <v>2</v>
      </c>
      <c r="DG375" s="58">
        <f t="array" ref="DG375">SUM(IF(DC375:DD375&gt;=DD375, 1))</f>
        <v>1</v>
      </c>
      <c r="DI375" s="109">
        <f t="shared" si="172"/>
        <v>-77739626.345047072</v>
      </c>
      <c r="DJ375" s="109">
        <f t="shared" si="173"/>
        <v>0</v>
      </c>
      <c r="DL375" s="58">
        <f t="array" ref="DL375">SUM(IF(DI375:DJ375&gt;=DI375, 1))</f>
        <v>2</v>
      </c>
      <c r="DM375" s="58">
        <f t="array" ref="DM375">SUM(IF(DI375:DJ375&gt;=DJ375, 1))</f>
        <v>1</v>
      </c>
      <c r="DO375" s="109">
        <f t="shared" si="174"/>
        <v>-8135356.0884000808</v>
      </c>
      <c r="DP375" s="109">
        <f t="shared" si="175"/>
        <v>0</v>
      </c>
      <c r="DR375" s="58">
        <f t="array" ref="DR375">SUM(IF(DO375:DP375&gt;=DO375, 1))</f>
        <v>2</v>
      </c>
      <c r="DS375" s="58">
        <f t="array" ref="DS375">SUM(IF(DO375:DP375&gt;=DP375, 1))</f>
        <v>1</v>
      </c>
      <c r="DU375" s="109">
        <f t="shared" si="176"/>
        <v>-65204925.006780326</v>
      </c>
      <c r="DV375" s="109">
        <f t="shared" si="177"/>
        <v>0</v>
      </c>
      <c r="DX375" s="58">
        <f t="array" ref="DX375">SUM(IF(DU375:DV375&gt;=DU375, 1))</f>
        <v>2</v>
      </c>
      <c r="DY375" s="58">
        <f t="array" ref="DY375">SUM(IF(DU375:DV375&gt;=DV375, 1))</f>
        <v>1</v>
      </c>
      <c r="EA375" s="109">
        <f t="shared" si="178"/>
        <v>-194093542.04500017</v>
      </c>
      <c r="EB375" s="109">
        <f t="shared" si="179"/>
        <v>0</v>
      </c>
      <c r="ED375" s="58">
        <f t="array" ref="ED375">SUM(IF(EA375:EB375&gt;=EA375, 1))</f>
        <v>2</v>
      </c>
      <c r="EE375" s="58">
        <f t="array" ref="EE375">SUM(IF(EA375:EB375&gt;=EB375, 1))</f>
        <v>1</v>
      </c>
    </row>
    <row r="376" spans="4:135" ht="12" customHeight="1" x14ac:dyDescent="0.25">
      <c r="D376" s="11">
        <v>360</v>
      </c>
      <c r="E376" s="72">
        <v>254.31546931623484</v>
      </c>
      <c r="F376" s="72">
        <v>213.69166984166748</v>
      </c>
      <c r="G376" s="73"/>
      <c r="H376" s="74">
        <v>5.8510498728229106</v>
      </c>
      <c r="I376" s="74">
        <v>5.8681487803464689</v>
      </c>
      <c r="J376" s="73"/>
      <c r="K376" s="72">
        <v>271.8786879511369</v>
      </c>
      <c r="L376" s="72">
        <v>230.29697919753863</v>
      </c>
      <c r="M376" s="73"/>
      <c r="N376" s="74">
        <v>6.6655284860179433</v>
      </c>
      <c r="O376" s="74">
        <v>6.6804075725575753</v>
      </c>
      <c r="P376" s="73"/>
      <c r="Q376" s="72">
        <v>2161.8989112907038</v>
      </c>
      <c r="R376" s="72">
        <v>1449.8782899270632</v>
      </c>
      <c r="S376" s="73"/>
      <c r="T376" s="74">
        <v>4.7673405131135613</v>
      </c>
      <c r="U376" s="74">
        <v>4.8380753417859186</v>
      </c>
      <c r="V376" s="73"/>
      <c r="W376" s="72">
        <v>12046.660624906104</v>
      </c>
      <c r="X376" s="72">
        <v>12032.243468501276</v>
      </c>
      <c r="Y376" s="73"/>
      <c r="Z376" s="74">
        <v>3.017919630045486</v>
      </c>
      <c r="AA376" s="74">
        <v>3.0587692617618072</v>
      </c>
      <c r="AB376" s="73"/>
      <c r="AC376" s="72">
        <v>51592.031214315764</v>
      </c>
      <c r="AD376" s="72">
        <v>51238.1656450765</v>
      </c>
      <c r="AE376" s="73"/>
      <c r="AF376" s="74">
        <v>4.3468343840111618</v>
      </c>
      <c r="AG376" s="74">
        <v>4.4467548510055925</v>
      </c>
      <c r="AH376" s="73"/>
      <c r="AI376" s="72">
        <v>4327954.8407703377</v>
      </c>
      <c r="AJ376" s="72">
        <v>0</v>
      </c>
      <c r="AK376" s="73"/>
      <c r="AL376" s="74">
        <v>-1821.6735151717826</v>
      </c>
      <c r="AM376" s="74">
        <v>0</v>
      </c>
      <c r="AN376" s="73"/>
      <c r="AO376" s="72">
        <v>288490.30639375397</v>
      </c>
      <c r="AP376" s="72">
        <v>0</v>
      </c>
      <c r="AQ376" s="73"/>
      <c r="AR376" s="74">
        <v>-103.2298181903399</v>
      </c>
      <c r="AS376" s="74">
        <v>0</v>
      </c>
      <c r="AT376" s="73"/>
      <c r="AU376" s="72">
        <v>16508841.123914165</v>
      </c>
      <c r="AV376" s="72">
        <v>0</v>
      </c>
      <c r="AW376" s="73"/>
      <c r="AX376" s="74">
        <v>-1640.0508825752745</v>
      </c>
      <c r="AY376" s="74">
        <v>0</v>
      </c>
      <c r="AZ376" s="73"/>
      <c r="BA376" s="72">
        <v>133980.73006460976</v>
      </c>
      <c r="BB376" s="72">
        <v>0</v>
      </c>
      <c r="BC376" s="73"/>
      <c r="BD376" s="74">
        <v>-379.62156520617361</v>
      </c>
      <c r="BE376" s="74">
        <v>0</v>
      </c>
      <c r="BF376" s="73"/>
      <c r="BG376" s="72">
        <v>5559151.3370830491</v>
      </c>
      <c r="BH376" s="72">
        <v>0</v>
      </c>
      <c r="BI376" s="73"/>
      <c r="BJ376" s="74">
        <v>-1569.7288631052784</v>
      </c>
      <c r="BK376" s="74">
        <v>0</v>
      </c>
      <c r="BL376" s="73"/>
      <c r="BM376" s="72">
        <v>26818418.338225916</v>
      </c>
      <c r="BN376" s="72">
        <v>0</v>
      </c>
      <c r="BO376" s="73"/>
      <c r="BP376" s="74">
        <v>-5514.3046442488485</v>
      </c>
      <c r="BQ376" s="74">
        <v>0</v>
      </c>
      <c r="BS376" s="109">
        <f t="shared" si="159"/>
        <v>116766.68198714197</v>
      </c>
      <c r="BT376" s="109">
        <f t="shared" si="160"/>
        <v>117149.28393708772</v>
      </c>
      <c r="BV376" s="58">
        <f t="array" ref="BV376">SUM(IF(BS376:BT376&gt;=BS376, 1))</f>
        <v>2</v>
      </c>
      <c r="BW376" s="58">
        <f t="array" ref="BW376">SUM(IF(BS376:BT376&gt;=BT376, 1))</f>
        <v>1</v>
      </c>
      <c r="BY376" s="109">
        <f t="shared" si="161"/>
        <v>133038.69103240775</v>
      </c>
      <c r="BZ376" s="109">
        <f t="shared" si="162"/>
        <v>133377.85447195396</v>
      </c>
      <c r="CB376" s="58">
        <f t="array" ref="CB376">SUM(IF(BY376:BZ376&gt;=BY376, 1))</f>
        <v>2</v>
      </c>
      <c r="CC376" s="58">
        <f t="array" ref="CC376">SUM(IF(BY376:BZ376&gt;=BZ376, 1))</f>
        <v>1</v>
      </c>
      <c r="CE376" s="109">
        <f t="shared" si="163"/>
        <v>93184.911350980532</v>
      </c>
      <c r="CF376" s="109">
        <f t="shared" si="164"/>
        <v>95311.628545791318</v>
      </c>
      <c r="CH376" s="58">
        <f t="array" ref="CH376">SUM(IF(CE376:CF376&gt;=CE376, 1))</f>
        <v>2</v>
      </c>
      <c r="CI376" s="58">
        <f t="array" ref="CI376">SUM(IF(CE376:CF376&gt;=CF376, 1))</f>
        <v>1</v>
      </c>
      <c r="CK376" s="109">
        <f t="shared" si="165"/>
        <v>48311.731976003619</v>
      </c>
      <c r="CL376" s="109">
        <f t="shared" si="166"/>
        <v>49143.141766734865</v>
      </c>
      <c r="CN376" s="58">
        <f t="array" ref="CN376">SUM(IF(CK376:CL376&gt;=CK376, 1))</f>
        <v>2</v>
      </c>
      <c r="CO376" s="58">
        <f t="array" ref="CO376">SUM(IF(CK376:CL376&gt;=CL376, 1))</f>
        <v>1</v>
      </c>
      <c r="CQ376" s="109" cm="1">
        <f t="array" ref="CQ376">AF376*WTP-AC376</f>
        <v>35344.656465907479</v>
      </c>
      <c r="CR376" s="109">
        <f t="shared" si="167"/>
        <v>37696.931375035347</v>
      </c>
      <c r="CT376" s="58">
        <f t="array" ref="CT376">SUM(IF(CQ376:CR376&gt;=CQ376, 1))</f>
        <v>2</v>
      </c>
      <c r="CU376" s="58">
        <f t="array" ref="CU376">SUM(IF(CQ376:CR376&gt;=CR376, 1))</f>
        <v>1</v>
      </c>
      <c r="CW376" s="109">
        <f t="shared" si="168"/>
        <v>-40761425.144205987</v>
      </c>
      <c r="CX376" s="109">
        <f t="shared" si="169"/>
        <v>0</v>
      </c>
      <c r="CZ376" s="58">
        <f t="array" ref="CZ376">SUM(IF(CW376:CX376&gt;=CW376, 1))</f>
        <v>2</v>
      </c>
      <c r="DA376" s="58">
        <f t="array" ref="DA376">SUM(IF(CW376:CX376&gt;=CX376, 1))</f>
        <v>1</v>
      </c>
      <c r="DC376" s="109">
        <f t="shared" si="170"/>
        <v>-2353086.6702005519</v>
      </c>
      <c r="DD376" s="109">
        <f t="shared" si="171"/>
        <v>0</v>
      </c>
      <c r="DF376" s="58">
        <f t="array" ref="DF376">SUM(IF(DC376:DD376&gt;=DC376, 1))</f>
        <v>2</v>
      </c>
      <c r="DG376" s="58">
        <f t="array" ref="DG376">SUM(IF(DC376:DD376&gt;=DD376, 1))</f>
        <v>1</v>
      </c>
      <c r="DI376" s="109">
        <f t="shared" si="172"/>
        <v>-49309858.775419652</v>
      </c>
      <c r="DJ376" s="109">
        <f t="shared" si="173"/>
        <v>0</v>
      </c>
      <c r="DL376" s="58">
        <f t="array" ref="DL376">SUM(IF(DI376:DJ376&gt;=DI376, 1))</f>
        <v>2</v>
      </c>
      <c r="DM376" s="58">
        <f t="array" ref="DM376">SUM(IF(DI376:DJ376&gt;=DJ376, 1))</f>
        <v>1</v>
      </c>
      <c r="DO376" s="109">
        <f t="shared" si="174"/>
        <v>-7726412.0341880824</v>
      </c>
      <c r="DP376" s="109">
        <f t="shared" si="175"/>
        <v>0</v>
      </c>
      <c r="DR376" s="58">
        <f t="array" ref="DR376">SUM(IF(DO376:DP376&gt;=DO376, 1))</f>
        <v>2</v>
      </c>
      <c r="DS376" s="58">
        <f t="array" ref="DS376">SUM(IF(DO376:DP376&gt;=DP376, 1))</f>
        <v>1</v>
      </c>
      <c r="DU376" s="109">
        <f t="shared" si="176"/>
        <v>-36953728.599188618</v>
      </c>
      <c r="DV376" s="109">
        <f t="shared" si="177"/>
        <v>0</v>
      </c>
      <c r="DX376" s="58">
        <f t="array" ref="DX376">SUM(IF(DU376:DV376&gt;=DU376, 1))</f>
        <v>2</v>
      </c>
      <c r="DY376" s="58">
        <f t="array" ref="DY376">SUM(IF(DU376:DV376&gt;=DV376, 1))</f>
        <v>1</v>
      </c>
      <c r="EA376" s="109">
        <f t="shared" si="178"/>
        <v>-137104511.22320288</v>
      </c>
      <c r="EB376" s="109">
        <f t="shared" si="179"/>
        <v>0</v>
      </c>
      <c r="ED376" s="58">
        <f t="array" ref="ED376">SUM(IF(EA376:EB376&gt;=EA376, 1))</f>
        <v>2</v>
      </c>
      <c r="EE376" s="58">
        <f t="array" ref="EE376">SUM(IF(EA376:EB376&gt;=EB376, 1))</f>
        <v>1</v>
      </c>
    </row>
    <row r="377" spans="4:135" ht="12" customHeight="1" x14ac:dyDescent="0.25">
      <c r="D377" s="11">
        <v>361</v>
      </c>
      <c r="E377" s="72">
        <v>281.89310867672117</v>
      </c>
      <c r="F377" s="72">
        <v>253.63867785193131</v>
      </c>
      <c r="G377" s="73"/>
      <c r="H377" s="74">
        <v>5.8944204881556184</v>
      </c>
      <c r="I377" s="74">
        <v>5.9115769353593404</v>
      </c>
      <c r="J377" s="73"/>
      <c r="K377" s="72">
        <v>302.42707806451119</v>
      </c>
      <c r="L377" s="72">
        <v>273.49945250849663</v>
      </c>
      <c r="M377" s="73"/>
      <c r="N377" s="74">
        <v>6.6632982739235782</v>
      </c>
      <c r="O377" s="74">
        <v>6.6786287734205576</v>
      </c>
      <c r="P377" s="73"/>
      <c r="Q377" s="72">
        <v>1605.3232783522774</v>
      </c>
      <c r="R377" s="72">
        <v>1122.4028269089001</v>
      </c>
      <c r="S377" s="73"/>
      <c r="T377" s="74">
        <v>4.734193415844417</v>
      </c>
      <c r="U377" s="74">
        <v>4.7906581226137606</v>
      </c>
      <c r="V377" s="73"/>
      <c r="W377" s="72">
        <v>13585.795662331597</v>
      </c>
      <c r="X377" s="72">
        <v>13501.161694331859</v>
      </c>
      <c r="Y377" s="73"/>
      <c r="Z377" s="74">
        <v>2.9227427247540358</v>
      </c>
      <c r="AA377" s="74">
        <v>2.9689077594293485</v>
      </c>
      <c r="AB377" s="73"/>
      <c r="AC377" s="72">
        <v>49314.839149346728</v>
      </c>
      <c r="AD377" s="72">
        <v>49437.294305568306</v>
      </c>
      <c r="AE377" s="73"/>
      <c r="AF377" s="74">
        <v>4.9774633881645052</v>
      </c>
      <c r="AG377" s="74">
        <v>5.1783588527097839</v>
      </c>
      <c r="AH377" s="73"/>
      <c r="AI377" s="72">
        <v>3058468.5579948681</v>
      </c>
      <c r="AJ377" s="72">
        <v>0</v>
      </c>
      <c r="AK377" s="73"/>
      <c r="AL377" s="74">
        <v>-1857.140731833269</v>
      </c>
      <c r="AM377" s="74">
        <v>0</v>
      </c>
      <c r="AN377" s="73"/>
      <c r="AO377" s="72">
        <v>209072.50345519095</v>
      </c>
      <c r="AP377" s="72">
        <v>0</v>
      </c>
      <c r="AQ377" s="73"/>
      <c r="AR377" s="74">
        <v>-110.80017275685505</v>
      </c>
      <c r="AS377" s="74">
        <v>0</v>
      </c>
      <c r="AT377" s="73"/>
      <c r="AU377" s="72">
        <v>11089830.358393051</v>
      </c>
      <c r="AV377" s="72">
        <v>0</v>
      </c>
      <c r="AW377" s="73"/>
      <c r="AX377" s="74">
        <v>-1296.6608008355354</v>
      </c>
      <c r="AY377" s="74">
        <v>0</v>
      </c>
      <c r="AZ377" s="73"/>
      <c r="BA377" s="72">
        <v>774342.50238767429</v>
      </c>
      <c r="BB377" s="72">
        <v>0</v>
      </c>
      <c r="BC377" s="73"/>
      <c r="BD377" s="74">
        <v>-422.37826393069429</v>
      </c>
      <c r="BE377" s="74">
        <v>0</v>
      </c>
      <c r="BF377" s="73"/>
      <c r="BG377" s="72">
        <v>-1937253.17274888</v>
      </c>
      <c r="BH377" s="72">
        <v>0</v>
      </c>
      <c r="BI377" s="73"/>
      <c r="BJ377" s="74">
        <v>-3178.1869223782128</v>
      </c>
      <c r="BK377" s="74">
        <v>0</v>
      </c>
      <c r="BL377" s="73"/>
      <c r="BM377" s="72">
        <v>13194460.749481903</v>
      </c>
      <c r="BN377" s="72">
        <v>0</v>
      </c>
      <c r="BO377" s="73"/>
      <c r="BP377" s="74">
        <v>-6865.1668917345669</v>
      </c>
      <c r="BQ377" s="74">
        <v>0</v>
      </c>
      <c r="BS377" s="109">
        <f t="shared" si="159"/>
        <v>117606.51665443565</v>
      </c>
      <c r="BT377" s="109">
        <f t="shared" si="160"/>
        <v>117977.90002933487</v>
      </c>
      <c r="BV377" s="58">
        <f t="array" ref="BV377">SUM(IF(BS377:BT377&gt;=BS377, 1))</f>
        <v>2</v>
      </c>
      <c r="BW377" s="58">
        <f t="array" ref="BW377">SUM(IF(BS377:BT377&gt;=BT377, 1))</f>
        <v>1</v>
      </c>
      <c r="BY377" s="109">
        <f t="shared" si="161"/>
        <v>132963.53840040707</v>
      </c>
      <c r="BZ377" s="109">
        <f t="shared" si="162"/>
        <v>133299.07601590265</v>
      </c>
      <c r="CB377" s="58">
        <f t="array" ref="CB377">SUM(IF(BY377:BZ377&gt;=BY377, 1))</f>
        <v>2</v>
      </c>
      <c r="CC377" s="58">
        <f t="array" ref="CC377">SUM(IF(BY377:BZ377&gt;=BZ377, 1))</f>
        <v>1</v>
      </c>
      <c r="CE377" s="109">
        <f t="shared" si="163"/>
        <v>93078.54503853606</v>
      </c>
      <c r="CF377" s="109">
        <f t="shared" si="164"/>
        <v>94690.759625366307</v>
      </c>
      <c r="CH377" s="58">
        <f t="array" ref="CH377">SUM(IF(CE377:CF377&gt;=CE377, 1))</f>
        <v>2</v>
      </c>
      <c r="CI377" s="58">
        <f t="array" ref="CI377">SUM(IF(CE377:CF377&gt;=CF377, 1))</f>
        <v>1</v>
      </c>
      <c r="CK377" s="109">
        <f t="shared" si="165"/>
        <v>44869.05883274912</v>
      </c>
      <c r="CL377" s="109">
        <f t="shared" si="166"/>
        <v>45876.993494255112</v>
      </c>
      <c r="CN377" s="58">
        <f t="array" ref="CN377">SUM(IF(CK377:CL377&gt;=CK377, 1))</f>
        <v>2</v>
      </c>
      <c r="CO377" s="58">
        <f t="array" ref="CO377">SUM(IF(CK377:CL377&gt;=CL377, 1))</f>
        <v>1</v>
      </c>
      <c r="CQ377" s="109" cm="1">
        <f t="array" ref="CQ377">AF377*WTP-AC377</f>
        <v>50234.428613943375</v>
      </c>
      <c r="CR377" s="109">
        <f t="shared" si="167"/>
        <v>54129.882748627373</v>
      </c>
      <c r="CT377" s="58">
        <f t="array" ref="CT377">SUM(IF(CQ377:CR377&gt;=CQ377, 1))</f>
        <v>2</v>
      </c>
      <c r="CU377" s="58">
        <f t="array" ref="CU377">SUM(IF(CQ377:CR377&gt;=CR377, 1))</f>
        <v>1</v>
      </c>
      <c r="CW377" s="109">
        <f t="shared" si="168"/>
        <v>-40201283.194660246</v>
      </c>
      <c r="CX377" s="109">
        <f t="shared" si="169"/>
        <v>0</v>
      </c>
      <c r="CZ377" s="58">
        <f t="array" ref="CZ377">SUM(IF(CW377:CX377&gt;=CW377, 1))</f>
        <v>2</v>
      </c>
      <c r="DA377" s="58">
        <f t="array" ref="DA377">SUM(IF(CW377:CX377&gt;=CX377, 1))</f>
        <v>1</v>
      </c>
      <c r="DC377" s="109">
        <f t="shared" si="170"/>
        <v>-2425075.9585922919</v>
      </c>
      <c r="DD377" s="109">
        <f t="shared" si="171"/>
        <v>0</v>
      </c>
      <c r="DF377" s="58">
        <f t="array" ref="DF377">SUM(IF(DC377:DD377&gt;=DC377, 1))</f>
        <v>2</v>
      </c>
      <c r="DG377" s="58">
        <f t="array" ref="DG377">SUM(IF(DC377:DD377&gt;=DD377, 1))</f>
        <v>1</v>
      </c>
      <c r="DI377" s="109">
        <f t="shared" si="172"/>
        <v>-37023046.375103757</v>
      </c>
      <c r="DJ377" s="109">
        <f t="shared" si="173"/>
        <v>0</v>
      </c>
      <c r="DL377" s="58">
        <f t="array" ref="DL377">SUM(IF(DI377:DJ377&gt;=DI377, 1))</f>
        <v>2</v>
      </c>
      <c r="DM377" s="58">
        <f t="array" ref="DM377">SUM(IF(DI377:DJ377&gt;=DJ377, 1))</f>
        <v>1</v>
      </c>
      <c r="DO377" s="109">
        <f t="shared" si="174"/>
        <v>-9221907.7810015604</v>
      </c>
      <c r="DP377" s="109">
        <f t="shared" si="175"/>
        <v>0</v>
      </c>
      <c r="DR377" s="58">
        <f t="array" ref="DR377">SUM(IF(DO377:DP377&gt;=DO377, 1))</f>
        <v>2</v>
      </c>
      <c r="DS377" s="58">
        <f t="array" ref="DS377">SUM(IF(DO377:DP377&gt;=DP377, 1))</f>
        <v>1</v>
      </c>
      <c r="DU377" s="109">
        <f t="shared" si="176"/>
        <v>-61626485.274815381</v>
      </c>
      <c r="DV377" s="109">
        <f t="shared" si="177"/>
        <v>0</v>
      </c>
      <c r="DX377" s="58">
        <f t="array" ref="DX377">SUM(IF(DU377:DV377&gt;=DU377, 1))</f>
        <v>2</v>
      </c>
      <c r="DY377" s="58">
        <f t="array" ref="DY377">SUM(IF(DU377:DV377&gt;=DV377, 1))</f>
        <v>1</v>
      </c>
      <c r="EA377" s="109">
        <f t="shared" si="178"/>
        <v>-150497798.58417326</v>
      </c>
      <c r="EB377" s="109">
        <f t="shared" si="179"/>
        <v>0</v>
      </c>
      <c r="ED377" s="58">
        <f t="array" ref="ED377">SUM(IF(EA377:EB377&gt;=EA377, 1))</f>
        <v>2</v>
      </c>
      <c r="EE377" s="58">
        <f t="array" ref="EE377">SUM(IF(EA377:EB377&gt;=EB377, 1))</f>
        <v>1</v>
      </c>
    </row>
    <row r="378" spans="4:135" ht="12" customHeight="1" x14ac:dyDescent="0.25">
      <c r="D378" s="11">
        <v>362</v>
      </c>
      <c r="E378" s="72">
        <v>219.57579036259156</v>
      </c>
      <c r="F378" s="72">
        <v>198.23294732787642</v>
      </c>
      <c r="G378" s="73"/>
      <c r="H378" s="74">
        <v>5.8747162154033372</v>
      </c>
      <c r="I378" s="74">
        <v>5.8921088205357979</v>
      </c>
      <c r="J378" s="73"/>
      <c r="K378" s="72">
        <v>235.67989097329297</v>
      </c>
      <c r="L378" s="72">
        <v>213.82022119784369</v>
      </c>
      <c r="M378" s="73"/>
      <c r="N378" s="74">
        <v>6.738509181483523</v>
      </c>
      <c r="O378" s="74">
        <v>6.7537117366436448</v>
      </c>
      <c r="P378" s="73"/>
      <c r="Q378" s="72">
        <v>2955.9740647222861</v>
      </c>
      <c r="R378" s="72">
        <v>1577.8704625223781</v>
      </c>
      <c r="S378" s="73"/>
      <c r="T378" s="74">
        <v>4.9290518879929035</v>
      </c>
      <c r="U378" s="74">
        <v>5.0221656967597204</v>
      </c>
      <c r="V378" s="73"/>
      <c r="W378" s="72">
        <v>12296.652047559923</v>
      </c>
      <c r="X378" s="72">
        <v>12315.885288587726</v>
      </c>
      <c r="Y378" s="73"/>
      <c r="Z378" s="74">
        <v>2.7729768990793793</v>
      </c>
      <c r="AA378" s="74">
        <v>2.8177276366711648</v>
      </c>
      <c r="AB378" s="73"/>
      <c r="AC378" s="72">
        <v>50251.801747518068</v>
      </c>
      <c r="AD378" s="72">
        <v>50029.226447925226</v>
      </c>
      <c r="AE378" s="73"/>
      <c r="AF378" s="74">
        <v>4.6367414458984921</v>
      </c>
      <c r="AG378" s="74">
        <v>4.8144125388951551</v>
      </c>
      <c r="AH378" s="73"/>
      <c r="AI378" s="72">
        <v>2319965.8500717967</v>
      </c>
      <c r="AJ378" s="72">
        <v>0</v>
      </c>
      <c r="AK378" s="73"/>
      <c r="AL378" s="74">
        <v>-1890.5752099408965</v>
      </c>
      <c r="AM378" s="74">
        <v>0</v>
      </c>
      <c r="AN378" s="73"/>
      <c r="AO378" s="72">
        <v>151020.7989323503</v>
      </c>
      <c r="AP378" s="72">
        <v>0</v>
      </c>
      <c r="AQ378" s="73"/>
      <c r="AR378" s="74">
        <v>-105.02912668302343</v>
      </c>
      <c r="AS378" s="74">
        <v>0</v>
      </c>
      <c r="AT378" s="73"/>
      <c r="AU378" s="72">
        <v>32016331.594206955</v>
      </c>
      <c r="AV378" s="72">
        <v>0</v>
      </c>
      <c r="AW378" s="73"/>
      <c r="AX378" s="74">
        <v>-2163.2354582914259</v>
      </c>
      <c r="AY378" s="74">
        <v>0</v>
      </c>
      <c r="AZ378" s="73"/>
      <c r="BA378" s="72">
        <v>-181056.54660044285</v>
      </c>
      <c r="BB378" s="72">
        <v>0</v>
      </c>
      <c r="BC378" s="73"/>
      <c r="BD378" s="74">
        <v>-421.27138085976378</v>
      </c>
      <c r="BE378" s="74">
        <v>0</v>
      </c>
      <c r="BF378" s="73"/>
      <c r="BG378" s="72">
        <v>3520388.0522709433</v>
      </c>
      <c r="BH378" s="72">
        <v>0</v>
      </c>
      <c r="BI378" s="73"/>
      <c r="BJ378" s="74">
        <v>-2810.1554582361596</v>
      </c>
      <c r="BK378" s="74">
        <v>0</v>
      </c>
      <c r="BL378" s="73"/>
      <c r="BM378" s="72">
        <v>37826649.748881601</v>
      </c>
      <c r="BN378" s="72">
        <v>0</v>
      </c>
      <c r="BO378" s="73"/>
      <c r="BP378" s="74">
        <v>-7390.2666340112692</v>
      </c>
      <c r="BQ378" s="74">
        <v>0</v>
      </c>
      <c r="BS378" s="109">
        <f t="shared" si="159"/>
        <v>117274.74851770415</v>
      </c>
      <c r="BT378" s="109">
        <f t="shared" si="160"/>
        <v>117643.94346338807</v>
      </c>
      <c r="BV378" s="58">
        <f t="array" ref="BV378">SUM(IF(BS378:BT378&gt;=BS378, 1))</f>
        <v>2</v>
      </c>
      <c r="BW378" s="58">
        <f t="array" ref="BW378">SUM(IF(BS378:BT378&gt;=BT378, 1))</f>
        <v>1</v>
      </c>
      <c r="BY378" s="109">
        <f t="shared" si="161"/>
        <v>134534.50373869718</v>
      </c>
      <c r="BZ378" s="109">
        <f t="shared" si="162"/>
        <v>134860.41451167504</v>
      </c>
      <c r="CB378" s="58">
        <f t="array" ref="CB378">SUM(IF(BY378:BZ378&gt;=BY378, 1))</f>
        <v>2</v>
      </c>
      <c r="CC378" s="58">
        <f t="array" ref="CC378">SUM(IF(BY378:BZ378&gt;=BZ378, 1))</f>
        <v>1</v>
      </c>
      <c r="CE378" s="109">
        <f t="shared" si="163"/>
        <v>95625.063695135788</v>
      </c>
      <c r="CF378" s="109">
        <f t="shared" si="164"/>
        <v>98865.443472672036</v>
      </c>
      <c r="CH378" s="58">
        <f t="array" ref="CH378">SUM(IF(CE378:CF378&gt;=CE378, 1))</f>
        <v>2</v>
      </c>
      <c r="CI378" s="58">
        <f t="array" ref="CI378">SUM(IF(CE378:CF378&gt;=CF378, 1))</f>
        <v>1</v>
      </c>
      <c r="CK378" s="109">
        <f t="shared" si="165"/>
        <v>43162.885934027661</v>
      </c>
      <c r="CL378" s="109">
        <f t="shared" si="166"/>
        <v>44038.66744483557</v>
      </c>
      <c r="CN378" s="58">
        <f t="array" ref="CN378">SUM(IF(CK378:CL378&gt;=CK378, 1))</f>
        <v>2</v>
      </c>
      <c r="CO378" s="58">
        <f t="array" ref="CO378">SUM(IF(CK378:CL378&gt;=CL378, 1))</f>
        <v>1</v>
      </c>
      <c r="CQ378" s="109" cm="1">
        <f t="array" ref="CQ378">AF378*WTP-AC378</f>
        <v>42483.02717045178</v>
      </c>
      <c r="CR378" s="109">
        <f t="shared" si="167"/>
        <v>46259.024329977874</v>
      </c>
      <c r="CT378" s="58">
        <f t="array" ref="CT378">SUM(IF(CQ378:CR378&gt;=CQ378, 1))</f>
        <v>2</v>
      </c>
      <c r="CU378" s="58">
        <f t="array" ref="CU378">SUM(IF(CQ378:CR378&gt;=CR378, 1))</f>
        <v>1</v>
      </c>
      <c r="CW378" s="109">
        <f t="shared" si="168"/>
        <v>-40131470.048889726</v>
      </c>
      <c r="CX378" s="109">
        <f t="shared" si="169"/>
        <v>0</v>
      </c>
      <c r="CZ378" s="58">
        <f t="array" ref="CZ378">SUM(IF(CW378:CX378&gt;=CW378, 1))</f>
        <v>2</v>
      </c>
      <c r="DA378" s="58">
        <f t="array" ref="DA378">SUM(IF(CW378:CX378&gt;=CX378, 1))</f>
        <v>1</v>
      </c>
      <c r="DC378" s="109">
        <f t="shared" si="170"/>
        <v>-2251603.3325928189</v>
      </c>
      <c r="DD378" s="109">
        <f t="shared" si="171"/>
        <v>0</v>
      </c>
      <c r="DF378" s="58">
        <f t="array" ref="DF378">SUM(IF(DC378:DD378&gt;=DC378, 1))</f>
        <v>2</v>
      </c>
      <c r="DG378" s="58">
        <f t="array" ref="DG378">SUM(IF(DC378:DD378&gt;=DD378, 1))</f>
        <v>1</v>
      </c>
      <c r="DI378" s="109">
        <f t="shared" si="172"/>
        <v>-75281040.76003547</v>
      </c>
      <c r="DJ378" s="109">
        <f t="shared" si="173"/>
        <v>0</v>
      </c>
      <c r="DL378" s="58">
        <f t="array" ref="DL378">SUM(IF(DI378:DJ378&gt;=DI378, 1))</f>
        <v>2</v>
      </c>
      <c r="DM378" s="58">
        <f t="array" ref="DM378">SUM(IF(DI378:DJ378&gt;=DJ378, 1))</f>
        <v>1</v>
      </c>
      <c r="DO378" s="109">
        <f t="shared" si="174"/>
        <v>-8244371.0705948342</v>
      </c>
      <c r="DP378" s="109">
        <f t="shared" si="175"/>
        <v>0</v>
      </c>
      <c r="DR378" s="58">
        <f t="array" ref="DR378">SUM(IF(DO378:DP378&gt;=DO378, 1))</f>
        <v>2</v>
      </c>
      <c r="DS378" s="58">
        <f t="array" ref="DS378">SUM(IF(DO378:DP378&gt;=DP378, 1))</f>
        <v>1</v>
      </c>
      <c r="DU378" s="109">
        <f t="shared" si="176"/>
        <v>-59723497.216994137</v>
      </c>
      <c r="DV378" s="109">
        <f t="shared" si="177"/>
        <v>0</v>
      </c>
      <c r="DX378" s="58">
        <f t="array" ref="DX378">SUM(IF(DU378:DV378&gt;=DU378, 1))</f>
        <v>2</v>
      </c>
      <c r="DY378" s="58">
        <f t="array" ref="DY378">SUM(IF(DU378:DV378&gt;=DV378, 1))</f>
        <v>1</v>
      </c>
      <c r="EA378" s="109">
        <f t="shared" si="178"/>
        <v>-185631982.42910698</v>
      </c>
      <c r="EB378" s="109">
        <f t="shared" si="179"/>
        <v>0</v>
      </c>
      <c r="ED378" s="58">
        <f t="array" ref="ED378">SUM(IF(EA378:EB378&gt;=EA378, 1))</f>
        <v>2</v>
      </c>
      <c r="EE378" s="58">
        <f t="array" ref="EE378">SUM(IF(EA378:EB378&gt;=EB378, 1))</f>
        <v>1</v>
      </c>
    </row>
    <row r="379" spans="4:135" ht="12" customHeight="1" x14ac:dyDescent="0.25">
      <c r="D379" s="11">
        <v>363</v>
      </c>
      <c r="E379" s="72">
        <v>227.20513262591632</v>
      </c>
      <c r="F379" s="72">
        <v>207.68536592018958</v>
      </c>
      <c r="G379" s="73"/>
      <c r="H379" s="74">
        <v>5.8580240348108434</v>
      </c>
      <c r="I379" s="74">
        <v>5.8720946881415621</v>
      </c>
      <c r="J379" s="73"/>
      <c r="K379" s="72">
        <v>243.90928300009034</v>
      </c>
      <c r="L379" s="72">
        <v>223.89993560706745</v>
      </c>
      <c r="M379" s="73"/>
      <c r="N379" s="74">
        <v>6.6755116867907764</v>
      </c>
      <c r="O379" s="74">
        <v>6.6873838424812631</v>
      </c>
      <c r="P379" s="73"/>
      <c r="Q379" s="72">
        <v>3355.0034888092173</v>
      </c>
      <c r="R379" s="72">
        <v>1872.0628828317952</v>
      </c>
      <c r="S379" s="73"/>
      <c r="T379" s="74">
        <v>4.911128721440182</v>
      </c>
      <c r="U379" s="74">
        <v>5.0184105998759083</v>
      </c>
      <c r="V379" s="73"/>
      <c r="W379" s="72">
        <v>15551.608060645369</v>
      </c>
      <c r="X379" s="72">
        <v>15528.888792714726</v>
      </c>
      <c r="Y379" s="73"/>
      <c r="Z379" s="74">
        <v>2.8851983397679075</v>
      </c>
      <c r="AA379" s="74">
        <v>2.9242543855538403</v>
      </c>
      <c r="AB379" s="73"/>
      <c r="AC379" s="72">
        <v>50048.933485226276</v>
      </c>
      <c r="AD379" s="72">
        <v>50055.258314876788</v>
      </c>
      <c r="AE379" s="73"/>
      <c r="AF379" s="74">
        <v>4.8634650098794463</v>
      </c>
      <c r="AG379" s="74">
        <v>4.9281406195840907</v>
      </c>
      <c r="AH379" s="73"/>
      <c r="AI379" s="72">
        <v>2098004.1355114575</v>
      </c>
      <c r="AJ379" s="72">
        <v>0</v>
      </c>
      <c r="AK379" s="73"/>
      <c r="AL379" s="74">
        <v>-1512.3279556684001</v>
      </c>
      <c r="AM379" s="74">
        <v>0</v>
      </c>
      <c r="AN379" s="73"/>
      <c r="AO379" s="72">
        <v>136986.91454383955</v>
      </c>
      <c r="AP379" s="72">
        <v>0</v>
      </c>
      <c r="AQ379" s="73"/>
      <c r="AR379" s="74">
        <v>-81.27851174151418</v>
      </c>
      <c r="AS379" s="74">
        <v>0</v>
      </c>
      <c r="AT379" s="73"/>
      <c r="AU379" s="72">
        <v>34767129.670044333</v>
      </c>
      <c r="AV379" s="72">
        <v>0</v>
      </c>
      <c r="AW379" s="73"/>
      <c r="AX379" s="74">
        <v>-2515.1937736322384</v>
      </c>
      <c r="AY379" s="74">
        <v>0</v>
      </c>
      <c r="AZ379" s="73"/>
      <c r="BA379" s="72">
        <v>201892.9813866787</v>
      </c>
      <c r="BB379" s="72">
        <v>0</v>
      </c>
      <c r="BC379" s="73"/>
      <c r="BD379" s="74">
        <v>-347.06846844574147</v>
      </c>
      <c r="BE379" s="74">
        <v>0</v>
      </c>
      <c r="BF379" s="73"/>
      <c r="BG379" s="72">
        <v>-99877.487988929744</v>
      </c>
      <c r="BH379" s="72">
        <v>0</v>
      </c>
      <c r="BI379" s="73"/>
      <c r="BJ379" s="74">
        <v>-1021.3140571983224</v>
      </c>
      <c r="BK379" s="74">
        <v>0</v>
      </c>
      <c r="BL379" s="73"/>
      <c r="BM379" s="72">
        <v>37104136.213497378</v>
      </c>
      <c r="BN379" s="72">
        <v>0</v>
      </c>
      <c r="BO379" s="73"/>
      <c r="BP379" s="74">
        <v>-5477.1827666862155</v>
      </c>
      <c r="BQ379" s="74">
        <v>0</v>
      </c>
      <c r="BS379" s="109">
        <f t="shared" si="159"/>
        <v>116933.27556359096</v>
      </c>
      <c r="BT379" s="109">
        <f t="shared" si="160"/>
        <v>117234.20839691105</v>
      </c>
      <c r="BV379" s="58">
        <f t="array" ref="BV379">SUM(IF(BS379:BT379&gt;=BS379, 1))</f>
        <v>2</v>
      </c>
      <c r="BW379" s="58">
        <f t="array" ref="BW379">SUM(IF(BS379:BT379&gt;=BT379, 1))</f>
        <v>1</v>
      </c>
      <c r="BY379" s="109">
        <f t="shared" si="161"/>
        <v>133266.32445281543</v>
      </c>
      <c r="BZ379" s="109">
        <f t="shared" si="162"/>
        <v>133523.77691401818</v>
      </c>
      <c r="CB379" s="58">
        <f t="array" ref="CB379">SUM(IF(BY379:BZ379&gt;=BY379, 1))</f>
        <v>2</v>
      </c>
      <c r="CC379" s="58">
        <f t="array" ref="CC379">SUM(IF(BY379:BZ379&gt;=BZ379, 1))</f>
        <v>1</v>
      </c>
      <c r="CE379" s="109">
        <f t="shared" si="163"/>
        <v>94867.570939994417</v>
      </c>
      <c r="CF379" s="109">
        <f t="shared" si="164"/>
        <v>98496.14911468637</v>
      </c>
      <c r="CH379" s="58">
        <f t="array" ref="CH379">SUM(IF(CE379:CF379&gt;=CE379, 1))</f>
        <v>2</v>
      </c>
      <c r="CI379" s="58">
        <f t="array" ref="CI379">SUM(IF(CE379:CF379&gt;=CF379, 1))</f>
        <v>1</v>
      </c>
      <c r="CK379" s="109">
        <f t="shared" si="165"/>
        <v>42152.358734712783</v>
      </c>
      <c r="CL379" s="109">
        <f t="shared" si="166"/>
        <v>42956.198918362075</v>
      </c>
      <c r="CN379" s="58">
        <f t="array" ref="CN379">SUM(IF(CK379:CL379&gt;=CK379, 1))</f>
        <v>2</v>
      </c>
      <c r="CO379" s="58">
        <f t="array" ref="CO379">SUM(IF(CK379:CL379&gt;=CL379, 1))</f>
        <v>1</v>
      </c>
      <c r="CQ379" s="109" cm="1">
        <f t="array" ref="CQ379">AF379*WTP-AC379</f>
        <v>47220.366712362644</v>
      </c>
      <c r="CR379" s="109">
        <f t="shared" si="167"/>
        <v>48507.554076805027</v>
      </c>
      <c r="CT379" s="58">
        <f t="array" ref="CT379">SUM(IF(CQ379:CR379&gt;=CQ379, 1))</f>
        <v>2</v>
      </c>
      <c r="CU379" s="58">
        <f t="array" ref="CU379">SUM(IF(CQ379:CR379&gt;=CR379, 1))</f>
        <v>1</v>
      </c>
      <c r="CW379" s="109">
        <f t="shared" si="168"/>
        <v>-32344563.248879462</v>
      </c>
      <c r="CX379" s="109">
        <f t="shared" si="169"/>
        <v>0</v>
      </c>
      <c r="CZ379" s="58">
        <f t="array" ref="CZ379">SUM(IF(CW379:CX379&gt;=CW379, 1))</f>
        <v>2</v>
      </c>
      <c r="DA379" s="58">
        <f t="array" ref="DA379">SUM(IF(CW379:CX379&gt;=CX379, 1))</f>
        <v>1</v>
      </c>
      <c r="DC379" s="109">
        <f t="shared" si="170"/>
        <v>-1762557.1493741232</v>
      </c>
      <c r="DD379" s="109">
        <f t="shared" si="171"/>
        <v>0</v>
      </c>
      <c r="DF379" s="58">
        <f t="array" ref="DF379">SUM(IF(DC379:DD379&gt;=DC379, 1))</f>
        <v>2</v>
      </c>
      <c r="DG379" s="58">
        <f t="array" ref="DG379">SUM(IF(DC379:DD379&gt;=DD379, 1))</f>
        <v>1</v>
      </c>
      <c r="DI379" s="109">
        <f t="shared" si="172"/>
        <v>-85071005.142689109</v>
      </c>
      <c r="DJ379" s="109">
        <f t="shared" si="173"/>
        <v>0</v>
      </c>
      <c r="DL379" s="58">
        <f t="array" ref="DL379">SUM(IF(DI379:DJ379&gt;=DI379, 1))</f>
        <v>2</v>
      </c>
      <c r="DM379" s="58">
        <f t="array" ref="DM379">SUM(IF(DI379:DJ379&gt;=DJ379, 1))</f>
        <v>1</v>
      </c>
      <c r="DO379" s="109">
        <f t="shared" si="174"/>
        <v>-7143262.3503015079</v>
      </c>
      <c r="DP379" s="109">
        <f t="shared" si="175"/>
        <v>0</v>
      </c>
      <c r="DR379" s="58">
        <f t="array" ref="DR379">SUM(IF(DO379:DP379&gt;=DO379, 1))</f>
        <v>2</v>
      </c>
      <c r="DS379" s="58">
        <f t="array" ref="DS379">SUM(IF(DO379:DP379&gt;=DP379, 1))</f>
        <v>1</v>
      </c>
      <c r="DU379" s="109">
        <f t="shared" si="176"/>
        <v>-20326403.655977517</v>
      </c>
      <c r="DV379" s="109">
        <f t="shared" si="177"/>
        <v>0</v>
      </c>
      <c r="DX379" s="58">
        <f t="array" ref="DX379">SUM(IF(DU379:DV379&gt;=DU379, 1))</f>
        <v>2</v>
      </c>
      <c r="DY379" s="58">
        <f t="array" ref="DY379">SUM(IF(DU379:DV379&gt;=DV379, 1))</f>
        <v>1</v>
      </c>
      <c r="EA379" s="109">
        <f t="shared" si="178"/>
        <v>-146647791.54722169</v>
      </c>
      <c r="EB379" s="109">
        <f t="shared" si="179"/>
        <v>0</v>
      </c>
      <c r="ED379" s="58">
        <f t="array" ref="ED379">SUM(IF(EA379:EB379&gt;=EA379, 1))</f>
        <v>2</v>
      </c>
      <c r="EE379" s="58">
        <f t="array" ref="EE379">SUM(IF(EA379:EB379&gt;=EB379, 1))</f>
        <v>1</v>
      </c>
    </row>
    <row r="380" spans="4:135" ht="12" customHeight="1" x14ac:dyDescent="0.25">
      <c r="D380" s="11">
        <v>364</v>
      </c>
      <c r="E380" s="72">
        <v>271.90031636650508</v>
      </c>
      <c r="F380" s="72">
        <v>271.77117133310531</v>
      </c>
      <c r="G380" s="73"/>
      <c r="H380" s="74">
        <v>5.8077407128635947</v>
      </c>
      <c r="I380" s="74">
        <v>5.8221876866040718</v>
      </c>
      <c r="J380" s="73"/>
      <c r="K380" s="72">
        <v>293.39251455856441</v>
      </c>
      <c r="L380" s="72">
        <v>293.22041355572236</v>
      </c>
      <c r="M380" s="73"/>
      <c r="N380" s="74">
        <v>6.6548193050181039</v>
      </c>
      <c r="O380" s="74">
        <v>6.6673135259083036</v>
      </c>
      <c r="P380" s="73"/>
      <c r="Q380" s="72">
        <v>2315.0800981460657</v>
      </c>
      <c r="R380" s="72">
        <v>1485.3173674682137</v>
      </c>
      <c r="S380" s="73"/>
      <c r="T380" s="74">
        <v>4.829898868581104</v>
      </c>
      <c r="U380" s="74">
        <v>4.8843737360674648</v>
      </c>
      <c r="V380" s="73"/>
      <c r="W380" s="72">
        <v>16872.614982242634</v>
      </c>
      <c r="X380" s="72">
        <v>16861.788219495989</v>
      </c>
      <c r="Y380" s="73"/>
      <c r="Z380" s="74">
        <v>3.0407976456712382</v>
      </c>
      <c r="AA380" s="74">
        <v>3.0876629948827827</v>
      </c>
      <c r="AB380" s="73"/>
      <c r="AC380" s="72">
        <v>48776.027908509313</v>
      </c>
      <c r="AD380" s="72">
        <v>48596.309268010795</v>
      </c>
      <c r="AE380" s="73"/>
      <c r="AF380" s="74">
        <v>4.4092327391724098</v>
      </c>
      <c r="AG380" s="74">
        <v>4.5173205807746042</v>
      </c>
      <c r="AH380" s="73"/>
      <c r="AI380" s="72">
        <v>13844.316463114961</v>
      </c>
      <c r="AJ380" s="72">
        <v>0</v>
      </c>
      <c r="AK380" s="73"/>
      <c r="AL380" s="74">
        <v>-1548.7121039982569</v>
      </c>
      <c r="AM380" s="74">
        <v>0</v>
      </c>
      <c r="AN380" s="73"/>
      <c r="AO380" s="72">
        <v>1174.0698348157187</v>
      </c>
      <c r="AP380" s="72">
        <v>0</v>
      </c>
      <c r="AQ380" s="73"/>
      <c r="AR380" s="74">
        <v>-85.235342121569985</v>
      </c>
      <c r="AS380" s="74">
        <v>0</v>
      </c>
      <c r="AT380" s="73"/>
      <c r="AU380" s="72">
        <v>19362396.880487062</v>
      </c>
      <c r="AV380" s="72">
        <v>0</v>
      </c>
      <c r="AW380" s="73"/>
      <c r="AX380" s="74">
        <v>-1271.1633883835675</v>
      </c>
      <c r="AY380" s="74">
        <v>0</v>
      </c>
      <c r="AZ380" s="73"/>
      <c r="BA380" s="72">
        <v>96633.5090280937</v>
      </c>
      <c r="BB380" s="72">
        <v>0</v>
      </c>
      <c r="BC380" s="73"/>
      <c r="BD380" s="74">
        <v>-418.29337652586878</v>
      </c>
      <c r="BE380" s="74">
        <v>0</v>
      </c>
      <c r="BF380" s="73"/>
      <c r="BG380" s="72">
        <v>2906894.4814017029</v>
      </c>
      <c r="BH380" s="72">
        <v>0</v>
      </c>
      <c r="BI380" s="73"/>
      <c r="BJ380" s="74">
        <v>-1748.2880428456735</v>
      </c>
      <c r="BK380" s="74">
        <v>0</v>
      </c>
      <c r="BL380" s="73"/>
      <c r="BM380" s="72">
        <v>22380943.257214788</v>
      </c>
      <c r="BN380" s="72">
        <v>0</v>
      </c>
      <c r="BO380" s="73"/>
      <c r="BP380" s="74">
        <v>-5071.6922538749368</v>
      </c>
      <c r="BQ380" s="74">
        <v>0</v>
      </c>
      <c r="BS380" s="109">
        <f t="shared" si="159"/>
        <v>115882.91394090539</v>
      </c>
      <c r="BT380" s="109">
        <f t="shared" si="160"/>
        <v>116171.98256074832</v>
      </c>
      <c r="BV380" s="58">
        <f t="array" ref="BV380">SUM(IF(BS380:BT380&gt;=BS380, 1))</f>
        <v>2</v>
      </c>
      <c r="BW380" s="58">
        <f t="array" ref="BW380">SUM(IF(BS380:BT380&gt;=BT380, 1))</f>
        <v>1</v>
      </c>
      <c r="BY380" s="109">
        <f t="shared" si="161"/>
        <v>132802.99358580352</v>
      </c>
      <c r="BZ380" s="109">
        <f t="shared" si="162"/>
        <v>133053.05010461036</v>
      </c>
      <c r="CB380" s="58">
        <f t="array" ref="CB380">SUM(IF(BY380:BZ380&gt;=BY380, 1))</f>
        <v>2</v>
      </c>
      <c r="CC380" s="58">
        <f t="array" ref="CC380">SUM(IF(BY380:BZ380&gt;=BZ380, 1))</f>
        <v>1</v>
      </c>
      <c r="CE380" s="109">
        <f t="shared" si="163"/>
        <v>94282.897273476017</v>
      </c>
      <c r="CF380" s="109">
        <f t="shared" si="164"/>
        <v>96202.157353881077</v>
      </c>
      <c r="CH380" s="58">
        <f t="array" ref="CH380">SUM(IF(CE380:CF380&gt;=CE380, 1))</f>
        <v>2</v>
      </c>
      <c r="CI380" s="58">
        <f t="array" ref="CI380">SUM(IF(CE380:CF380&gt;=CF380, 1))</f>
        <v>1</v>
      </c>
      <c r="CK380" s="109">
        <f t="shared" si="165"/>
        <v>43943.337931182134</v>
      </c>
      <c r="CL380" s="109">
        <f t="shared" si="166"/>
        <v>44891.471678159665</v>
      </c>
      <c r="CN380" s="58">
        <f t="array" ref="CN380">SUM(IF(CK380:CL380&gt;=CK380, 1))</f>
        <v>2</v>
      </c>
      <c r="CO380" s="58">
        <f t="array" ref="CO380">SUM(IF(CK380:CL380&gt;=CL380, 1))</f>
        <v>1</v>
      </c>
      <c r="CQ380" s="109" cm="1">
        <f t="array" ref="CQ380">AF380*WTP-AC380</f>
        <v>39408.626874938876</v>
      </c>
      <c r="CR380" s="109">
        <f t="shared" si="167"/>
        <v>41750.102347481283</v>
      </c>
      <c r="CT380" s="58">
        <f t="array" ref="CT380">SUM(IF(CQ380:CR380&gt;=CQ380, 1))</f>
        <v>2</v>
      </c>
      <c r="CU380" s="58">
        <f t="array" ref="CU380">SUM(IF(CQ380:CR380&gt;=CR380, 1))</f>
        <v>1</v>
      </c>
      <c r="CW380" s="109">
        <f t="shared" si="168"/>
        <v>-30988086.396428254</v>
      </c>
      <c r="CX380" s="109">
        <f t="shared" si="169"/>
        <v>0</v>
      </c>
      <c r="CZ380" s="58">
        <f t="array" ref="CZ380">SUM(IF(CW380:CX380&gt;=CW380, 1))</f>
        <v>2</v>
      </c>
      <c r="DA380" s="58">
        <f t="array" ref="DA380">SUM(IF(CW380:CX380&gt;=CX380, 1))</f>
        <v>1</v>
      </c>
      <c r="DC380" s="109">
        <f t="shared" si="170"/>
        <v>-1705880.9122662155</v>
      </c>
      <c r="DD380" s="109">
        <f t="shared" si="171"/>
        <v>0</v>
      </c>
      <c r="DF380" s="58">
        <f t="array" ref="DF380">SUM(IF(DC380:DD380&gt;=DC380, 1))</f>
        <v>2</v>
      </c>
      <c r="DG380" s="58">
        <f t="array" ref="DG380">SUM(IF(DC380:DD380&gt;=DD380, 1))</f>
        <v>1</v>
      </c>
      <c r="DI380" s="109">
        <f t="shared" si="172"/>
        <v>-44785664.648158416</v>
      </c>
      <c r="DJ380" s="109">
        <f t="shared" si="173"/>
        <v>0</v>
      </c>
      <c r="DL380" s="58">
        <f t="array" ref="DL380">SUM(IF(DI380:DJ380&gt;=DI380, 1))</f>
        <v>2</v>
      </c>
      <c r="DM380" s="58">
        <f t="array" ref="DM380">SUM(IF(DI380:DJ380&gt;=DJ380, 1))</f>
        <v>1</v>
      </c>
      <c r="DO380" s="109">
        <f t="shared" si="174"/>
        <v>-8462501.039545469</v>
      </c>
      <c r="DP380" s="109">
        <f t="shared" si="175"/>
        <v>0</v>
      </c>
      <c r="DR380" s="58">
        <f t="array" ref="DR380">SUM(IF(DO380:DP380&gt;=DO380, 1))</f>
        <v>2</v>
      </c>
      <c r="DS380" s="58">
        <f t="array" ref="DS380">SUM(IF(DO380:DP380&gt;=DP380, 1))</f>
        <v>1</v>
      </c>
      <c r="DU380" s="109">
        <f t="shared" si="176"/>
        <v>-37872655.338315174</v>
      </c>
      <c r="DV380" s="109">
        <f t="shared" si="177"/>
        <v>0</v>
      </c>
      <c r="DX380" s="58">
        <f t="array" ref="DX380">SUM(IF(DU380:DV380&gt;=DU380, 1))</f>
        <v>2</v>
      </c>
      <c r="DY380" s="58">
        <f t="array" ref="DY380">SUM(IF(DU380:DV380&gt;=DV380, 1))</f>
        <v>1</v>
      </c>
      <c r="EA380" s="109">
        <f t="shared" si="178"/>
        <v>-123814788.33471352</v>
      </c>
      <c r="EB380" s="109">
        <f t="shared" si="179"/>
        <v>0</v>
      </c>
      <c r="ED380" s="58">
        <f t="array" ref="ED380">SUM(IF(EA380:EB380&gt;=EA380, 1))</f>
        <v>2</v>
      </c>
      <c r="EE380" s="58">
        <f t="array" ref="EE380">SUM(IF(EA380:EB380&gt;=EB380, 1))</f>
        <v>1</v>
      </c>
    </row>
    <row r="381" spans="4:135" ht="12" customHeight="1" x14ac:dyDescent="0.25">
      <c r="D381" s="11">
        <v>365</v>
      </c>
      <c r="E381" s="72">
        <v>223.86884479322086</v>
      </c>
      <c r="F381" s="72">
        <v>214.49255675935012</v>
      </c>
      <c r="G381" s="73"/>
      <c r="H381" s="74">
        <v>5.8234084009139133</v>
      </c>
      <c r="I381" s="74">
        <v>5.844190179883153</v>
      </c>
      <c r="J381" s="73"/>
      <c r="K381" s="72">
        <v>241.03271386426783</v>
      </c>
      <c r="L381" s="72">
        <v>231.39289788971877</v>
      </c>
      <c r="M381" s="73"/>
      <c r="N381" s="74">
        <v>6.7305427184310238</v>
      </c>
      <c r="O381" s="74">
        <v>6.7486276221271426</v>
      </c>
      <c r="P381" s="73"/>
      <c r="Q381" s="72">
        <v>1971.3319577993543</v>
      </c>
      <c r="R381" s="72">
        <v>1237.004211622756</v>
      </c>
      <c r="S381" s="73"/>
      <c r="T381" s="74">
        <v>4.6959348638167224</v>
      </c>
      <c r="U381" s="74">
        <v>4.7851215731220531</v>
      </c>
      <c r="V381" s="73"/>
      <c r="W381" s="72">
        <v>10987.490426028779</v>
      </c>
      <c r="X381" s="72">
        <v>11018.079296312533</v>
      </c>
      <c r="Y381" s="73"/>
      <c r="Z381" s="74">
        <v>3.0320896982118164</v>
      </c>
      <c r="AA381" s="74">
        <v>3.0859324840645193</v>
      </c>
      <c r="AB381" s="73"/>
      <c r="AC381" s="72">
        <v>49104.5057772777</v>
      </c>
      <c r="AD381" s="72">
        <v>49112.956627994958</v>
      </c>
      <c r="AE381" s="73"/>
      <c r="AF381" s="74">
        <v>4.3944839670858231</v>
      </c>
      <c r="AG381" s="74">
        <v>4.5361547532579118</v>
      </c>
      <c r="AH381" s="73"/>
      <c r="AI381" s="72">
        <v>1006886.9821628862</v>
      </c>
      <c r="AJ381" s="72">
        <v>0</v>
      </c>
      <c r="AK381" s="73"/>
      <c r="AL381" s="74">
        <v>-2231.683010880763</v>
      </c>
      <c r="AM381" s="74">
        <v>0</v>
      </c>
      <c r="AN381" s="73"/>
      <c r="AO381" s="72">
        <v>64723.196065642856</v>
      </c>
      <c r="AP381" s="72">
        <v>0</v>
      </c>
      <c r="AQ381" s="73"/>
      <c r="AR381" s="74">
        <v>-121.42480425378886</v>
      </c>
      <c r="AS381" s="74">
        <v>0</v>
      </c>
      <c r="AT381" s="73"/>
      <c r="AU381" s="72">
        <v>17144705.870065313</v>
      </c>
      <c r="AV381" s="72">
        <v>0</v>
      </c>
      <c r="AW381" s="73"/>
      <c r="AX381" s="74">
        <v>-2082.2853371949031</v>
      </c>
      <c r="AY381" s="74">
        <v>0</v>
      </c>
      <c r="AZ381" s="73"/>
      <c r="BA381" s="72">
        <v>-277334.37664584385</v>
      </c>
      <c r="BB381" s="72">
        <v>0</v>
      </c>
      <c r="BC381" s="73"/>
      <c r="BD381" s="74">
        <v>-488.16629423759514</v>
      </c>
      <c r="BE381" s="74">
        <v>0</v>
      </c>
      <c r="BF381" s="73"/>
      <c r="BG381" s="72">
        <v>-133994.39850105427</v>
      </c>
      <c r="BH381" s="72">
        <v>0</v>
      </c>
      <c r="BI381" s="73"/>
      <c r="BJ381" s="74">
        <v>-2246.2935878792209</v>
      </c>
      <c r="BK381" s="74">
        <v>0</v>
      </c>
      <c r="BL381" s="73"/>
      <c r="BM381" s="72">
        <v>17804987.273146942</v>
      </c>
      <c r="BN381" s="72">
        <v>0</v>
      </c>
      <c r="BO381" s="73"/>
      <c r="BP381" s="74">
        <v>-7169.8530344462706</v>
      </c>
      <c r="BQ381" s="74">
        <v>0</v>
      </c>
      <c r="BS381" s="109">
        <f t="shared" si="159"/>
        <v>116244.29917348505</v>
      </c>
      <c r="BT381" s="109">
        <f t="shared" si="160"/>
        <v>116669.31104090372</v>
      </c>
      <c r="BV381" s="58">
        <f t="array" ref="BV381">SUM(IF(BS381:BT381&gt;=BS381, 1))</f>
        <v>2</v>
      </c>
      <c r="BW381" s="58">
        <f t="array" ref="BW381">SUM(IF(BS381:BT381&gt;=BT381, 1))</f>
        <v>1</v>
      </c>
      <c r="BY381" s="109">
        <f t="shared" si="161"/>
        <v>134369.8216547562</v>
      </c>
      <c r="BZ381" s="109">
        <f t="shared" si="162"/>
        <v>134741.15954465314</v>
      </c>
      <c r="CB381" s="58">
        <f t="array" ref="CB381">SUM(IF(BY381:BZ381&gt;=BY381, 1))</f>
        <v>2</v>
      </c>
      <c r="CC381" s="58">
        <f t="array" ref="CC381">SUM(IF(BY381:BZ381&gt;=BZ381, 1))</f>
        <v>1</v>
      </c>
      <c r="CE381" s="109">
        <f t="shared" si="163"/>
        <v>91947.3653185351</v>
      </c>
      <c r="CF381" s="109">
        <f t="shared" si="164"/>
        <v>94465.427250818306</v>
      </c>
      <c r="CH381" s="58">
        <f t="array" ref="CH381">SUM(IF(CE381:CF381&gt;=CE381, 1))</f>
        <v>2</v>
      </c>
      <c r="CI381" s="58">
        <f t="array" ref="CI381">SUM(IF(CE381:CF381&gt;=CF381, 1))</f>
        <v>1</v>
      </c>
      <c r="CK381" s="109">
        <f t="shared" si="165"/>
        <v>49654.303538207547</v>
      </c>
      <c r="CL381" s="109">
        <f t="shared" si="166"/>
        <v>50700.570384977851</v>
      </c>
      <c r="CN381" s="58">
        <f t="array" ref="CN381">SUM(IF(CK381:CL381&gt;=CK381, 1))</f>
        <v>2</v>
      </c>
      <c r="CO381" s="58">
        <f t="array" ref="CO381">SUM(IF(CK381:CL381&gt;=CL381, 1))</f>
        <v>1</v>
      </c>
      <c r="CQ381" s="109" cm="1">
        <f t="array" ref="CQ381">AF381*WTP-AC381</f>
        <v>38785.173564438759</v>
      </c>
      <c r="CR381" s="109">
        <f t="shared" si="167"/>
        <v>41610.138437163281</v>
      </c>
      <c r="CT381" s="58">
        <f t="array" ref="CT381">SUM(IF(CQ381:CR381&gt;=CQ381, 1))</f>
        <v>2</v>
      </c>
      <c r="CU381" s="58">
        <f t="array" ref="CU381">SUM(IF(CQ381:CR381&gt;=CR381, 1))</f>
        <v>1</v>
      </c>
      <c r="CW381" s="109">
        <f t="shared" si="168"/>
        <v>-45640547.199778147</v>
      </c>
      <c r="CX381" s="109">
        <f t="shared" si="169"/>
        <v>0</v>
      </c>
      <c r="CZ381" s="58">
        <f t="array" ref="CZ381">SUM(IF(CW381:CX381&gt;=CW381, 1))</f>
        <v>2</v>
      </c>
      <c r="DA381" s="58">
        <f t="array" ref="DA381">SUM(IF(CW381:CX381&gt;=CX381, 1))</f>
        <v>1</v>
      </c>
      <c r="DC381" s="109">
        <f t="shared" si="170"/>
        <v>-2493219.2811414204</v>
      </c>
      <c r="DD381" s="109">
        <f t="shared" si="171"/>
        <v>0</v>
      </c>
      <c r="DF381" s="58">
        <f t="array" ref="DF381">SUM(IF(DC381:DD381&gt;=DC381, 1))</f>
        <v>2</v>
      </c>
      <c r="DG381" s="58">
        <f t="array" ref="DG381">SUM(IF(DC381:DD381&gt;=DD381, 1))</f>
        <v>1</v>
      </c>
      <c r="DI381" s="109">
        <f t="shared" si="172"/>
        <v>-58790412.61396338</v>
      </c>
      <c r="DJ381" s="109">
        <f t="shared" si="173"/>
        <v>0</v>
      </c>
      <c r="DL381" s="58">
        <f t="array" ref="DL381">SUM(IF(DI381:DJ381&gt;=DI381, 1))</f>
        <v>2</v>
      </c>
      <c r="DM381" s="58">
        <f t="array" ref="DM381">SUM(IF(DI381:DJ381&gt;=DJ381, 1))</f>
        <v>1</v>
      </c>
      <c r="DO381" s="109">
        <f t="shared" si="174"/>
        <v>-9485991.5081060585</v>
      </c>
      <c r="DP381" s="109">
        <f t="shared" si="175"/>
        <v>0</v>
      </c>
      <c r="DR381" s="58">
        <f t="array" ref="DR381">SUM(IF(DO381:DP381&gt;=DO381, 1))</f>
        <v>2</v>
      </c>
      <c r="DS381" s="58">
        <f t="array" ref="DS381">SUM(IF(DO381:DP381&gt;=DP381, 1))</f>
        <v>1</v>
      </c>
      <c r="DU381" s="109">
        <f t="shared" si="176"/>
        <v>-44791877.359083362</v>
      </c>
      <c r="DV381" s="109">
        <f t="shared" si="177"/>
        <v>0</v>
      </c>
      <c r="DX381" s="58">
        <f t="array" ref="DX381">SUM(IF(DU381:DV381&gt;=DU381, 1))</f>
        <v>2</v>
      </c>
      <c r="DY381" s="58">
        <f t="array" ref="DY381">SUM(IF(DU381:DV381&gt;=DV381, 1))</f>
        <v>1</v>
      </c>
      <c r="EA381" s="109">
        <f t="shared" si="178"/>
        <v>-161202047.96207237</v>
      </c>
      <c r="EB381" s="109">
        <f t="shared" si="179"/>
        <v>0</v>
      </c>
      <c r="ED381" s="58">
        <f t="array" ref="ED381">SUM(IF(EA381:EB381&gt;=EA381, 1))</f>
        <v>2</v>
      </c>
      <c r="EE381" s="58">
        <f t="array" ref="EE381">SUM(IF(EA381:EB381&gt;=EB381, 1))</f>
        <v>1</v>
      </c>
    </row>
    <row r="382" spans="4:135" ht="12" customHeight="1" x14ac:dyDescent="0.25">
      <c r="D382" s="11">
        <v>366</v>
      </c>
      <c r="E382" s="72">
        <v>219.86846452888352</v>
      </c>
      <c r="F382" s="72">
        <v>200.46777198043458</v>
      </c>
      <c r="G382" s="73"/>
      <c r="H382" s="74">
        <v>5.8379456604800701</v>
      </c>
      <c r="I382" s="74">
        <v>5.8582714124835435</v>
      </c>
      <c r="J382" s="73"/>
      <c r="K382" s="72">
        <v>236.11533751382117</v>
      </c>
      <c r="L382" s="72">
        <v>216.21952149454776</v>
      </c>
      <c r="M382" s="73"/>
      <c r="N382" s="74">
        <v>6.7302978642617077</v>
      </c>
      <c r="O382" s="74">
        <v>6.7482147797214642</v>
      </c>
      <c r="P382" s="73"/>
      <c r="Q382" s="72">
        <v>4976.6869976839353</v>
      </c>
      <c r="R382" s="72">
        <v>2201.0041327809108</v>
      </c>
      <c r="S382" s="73"/>
      <c r="T382" s="74">
        <v>4.8032174262409759</v>
      </c>
      <c r="U382" s="74">
        <v>4.9485785615108888</v>
      </c>
      <c r="V382" s="73"/>
      <c r="W382" s="72">
        <v>8049.3037957101087</v>
      </c>
      <c r="X382" s="72">
        <v>8108.2891794527759</v>
      </c>
      <c r="Y382" s="73"/>
      <c r="Z382" s="74">
        <v>2.7874224387911846</v>
      </c>
      <c r="AA382" s="74">
        <v>2.8574986042740922</v>
      </c>
      <c r="AB382" s="73"/>
      <c r="AC382" s="72">
        <v>51216.447446810584</v>
      </c>
      <c r="AD382" s="72">
        <v>51036.487123944957</v>
      </c>
      <c r="AE382" s="73"/>
      <c r="AF382" s="74">
        <v>4.7105742333850138</v>
      </c>
      <c r="AG382" s="74">
        <v>4.8482411180067855</v>
      </c>
      <c r="AH382" s="73"/>
      <c r="AI382" s="72">
        <v>2073710.4164716592</v>
      </c>
      <c r="AJ382" s="72">
        <v>0</v>
      </c>
      <c r="AK382" s="73"/>
      <c r="AL382" s="74">
        <v>-2172.5886097603425</v>
      </c>
      <c r="AM382" s="74">
        <v>0</v>
      </c>
      <c r="AN382" s="73"/>
      <c r="AO382" s="72">
        <v>135708.2103569434</v>
      </c>
      <c r="AP382" s="72">
        <v>0</v>
      </c>
      <c r="AQ382" s="73"/>
      <c r="AR382" s="74">
        <v>-122.2102440937731</v>
      </c>
      <c r="AS382" s="74">
        <v>0</v>
      </c>
      <c r="AT382" s="73"/>
      <c r="AU382" s="72">
        <v>64936037.654027946</v>
      </c>
      <c r="AV382" s="72">
        <v>0</v>
      </c>
      <c r="AW382" s="73"/>
      <c r="AX382" s="74">
        <v>-3400.6680924079906</v>
      </c>
      <c r="AY382" s="74">
        <v>0</v>
      </c>
      <c r="AZ382" s="73"/>
      <c r="BA382" s="72">
        <v>-528959.96616415842</v>
      </c>
      <c r="BB382" s="72">
        <v>0</v>
      </c>
      <c r="BC382" s="73"/>
      <c r="BD382" s="74">
        <v>-628.41815668209267</v>
      </c>
      <c r="BE382" s="74">
        <v>0</v>
      </c>
      <c r="BF382" s="73"/>
      <c r="BG382" s="72">
        <v>2845467.2467071651</v>
      </c>
      <c r="BH382" s="72">
        <v>0</v>
      </c>
      <c r="BI382" s="73"/>
      <c r="BJ382" s="74">
        <v>-2176.7387661332473</v>
      </c>
      <c r="BK382" s="74">
        <v>0</v>
      </c>
      <c r="BL382" s="73"/>
      <c r="BM382" s="72">
        <v>69461963.561399564</v>
      </c>
      <c r="BN382" s="72">
        <v>0</v>
      </c>
      <c r="BO382" s="73"/>
      <c r="BP382" s="74">
        <v>-8500.6238690774462</v>
      </c>
      <c r="BQ382" s="74">
        <v>0</v>
      </c>
      <c r="BS382" s="109">
        <f t="shared" si="159"/>
        <v>116539.04474507252</v>
      </c>
      <c r="BT382" s="109">
        <f t="shared" si="160"/>
        <v>116964.96047769045</v>
      </c>
      <c r="BV382" s="58">
        <f t="array" ref="BV382">SUM(IF(BS382:BT382&gt;=BS382, 1))</f>
        <v>2</v>
      </c>
      <c r="BW382" s="58">
        <f t="array" ref="BW382">SUM(IF(BS382:BT382&gt;=BT382, 1))</f>
        <v>1</v>
      </c>
      <c r="BY382" s="109">
        <f t="shared" si="161"/>
        <v>134369.84194772033</v>
      </c>
      <c r="BZ382" s="109">
        <f t="shared" si="162"/>
        <v>134748.07607293472</v>
      </c>
      <c r="CB382" s="58">
        <f t="array" ref="CB382">SUM(IF(BY382:BZ382&gt;=BY382, 1))</f>
        <v>2</v>
      </c>
      <c r="CC382" s="58">
        <f t="array" ref="CC382">SUM(IF(BY382:BZ382&gt;=BZ382, 1))</f>
        <v>1</v>
      </c>
      <c r="CE382" s="109">
        <f t="shared" si="163"/>
        <v>91087.661527135584</v>
      </c>
      <c r="CF382" s="109">
        <f t="shared" si="164"/>
        <v>96770.567097436855</v>
      </c>
      <c r="CH382" s="58">
        <f t="array" ref="CH382">SUM(IF(CE382:CF382&gt;=CE382, 1))</f>
        <v>2</v>
      </c>
      <c r="CI382" s="58">
        <f t="array" ref="CI382">SUM(IF(CE382:CF382&gt;=CF382, 1))</f>
        <v>1</v>
      </c>
      <c r="CK382" s="109">
        <f t="shared" si="165"/>
        <v>47699.144980113582</v>
      </c>
      <c r="CL382" s="109">
        <f t="shared" si="166"/>
        <v>49041.682906029069</v>
      </c>
      <c r="CN382" s="58">
        <f t="array" ref="CN382">SUM(IF(CK382:CL382&gt;=CK382, 1))</f>
        <v>2</v>
      </c>
      <c r="CO382" s="58">
        <f t="array" ref="CO382">SUM(IF(CK382:CL382&gt;=CL382, 1))</f>
        <v>1</v>
      </c>
      <c r="CQ382" s="109" cm="1">
        <f t="array" ref="CQ382">AF382*WTP-AC382</f>
        <v>42995.037220889695</v>
      </c>
      <c r="CR382" s="109">
        <f t="shared" si="167"/>
        <v>45928.33523619076</v>
      </c>
      <c r="CT382" s="58">
        <f t="array" ref="CT382">SUM(IF(CQ382:CR382&gt;=CQ382, 1))</f>
        <v>2</v>
      </c>
      <c r="CU382" s="58">
        <f t="array" ref="CU382">SUM(IF(CQ382:CR382&gt;=CR382, 1))</f>
        <v>1</v>
      </c>
      <c r="CW382" s="109">
        <f t="shared" si="168"/>
        <v>-45525482.611678511</v>
      </c>
      <c r="CX382" s="109">
        <f t="shared" si="169"/>
        <v>0</v>
      </c>
      <c r="CZ382" s="58">
        <f t="array" ref="CZ382">SUM(IF(CW382:CX382&gt;=CW382, 1))</f>
        <v>2</v>
      </c>
      <c r="DA382" s="58">
        <f t="array" ref="DA382">SUM(IF(CW382:CX382&gt;=CX382, 1))</f>
        <v>1</v>
      </c>
      <c r="DC382" s="109">
        <f t="shared" si="170"/>
        <v>-2579913.0922324052</v>
      </c>
      <c r="DD382" s="109">
        <f t="shared" si="171"/>
        <v>0</v>
      </c>
      <c r="DF382" s="58">
        <f t="array" ref="DF382">SUM(IF(DC382:DD382&gt;=DC382, 1))</f>
        <v>2</v>
      </c>
      <c r="DG382" s="58">
        <f t="array" ref="DG382">SUM(IF(DC382:DD382&gt;=DD382, 1))</f>
        <v>1</v>
      </c>
      <c r="DI382" s="109">
        <f t="shared" si="172"/>
        <v>-132949399.50218776</v>
      </c>
      <c r="DJ382" s="109">
        <f t="shared" si="173"/>
        <v>0</v>
      </c>
      <c r="DL382" s="58">
        <f t="array" ref="DL382">SUM(IF(DI382:DJ382&gt;=DI382, 1))</f>
        <v>2</v>
      </c>
      <c r="DM382" s="58">
        <f t="array" ref="DM382">SUM(IF(DI382:DJ382&gt;=DJ382, 1))</f>
        <v>1</v>
      </c>
      <c r="DO382" s="109">
        <f t="shared" si="174"/>
        <v>-12039403.167477695</v>
      </c>
      <c r="DP382" s="109">
        <f t="shared" si="175"/>
        <v>0</v>
      </c>
      <c r="DR382" s="58">
        <f t="array" ref="DR382">SUM(IF(DO382:DP382&gt;=DO382, 1))</f>
        <v>2</v>
      </c>
      <c r="DS382" s="58">
        <f t="array" ref="DS382">SUM(IF(DO382:DP382&gt;=DP382, 1))</f>
        <v>1</v>
      </c>
      <c r="DU382" s="109">
        <f t="shared" si="176"/>
        <v>-46380242.56937211</v>
      </c>
      <c r="DV382" s="109">
        <f t="shared" si="177"/>
        <v>0</v>
      </c>
      <c r="DX382" s="58">
        <f t="array" ref="DX382">SUM(IF(DU382:DV382&gt;=DU382, 1))</f>
        <v>2</v>
      </c>
      <c r="DY382" s="58">
        <f t="array" ref="DY382">SUM(IF(DU382:DV382&gt;=DV382, 1))</f>
        <v>1</v>
      </c>
      <c r="EA382" s="109">
        <f t="shared" si="178"/>
        <v>-239474440.94294846</v>
      </c>
      <c r="EB382" s="109">
        <f t="shared" si="179"/>
        <v>0</v>
      </c>
      <c r="ED382" s="58">
        <f t="array" ref="ED382">SUM(IF(EA382:EB382&gt;=EA382, 1))</f>
        <v>2</v>
      </c>
      <c r="EE382" s="58">
        <f t="array" ref="EE382">SUM(IF(EA382:EB382&gt;=EB382, 1))</f>
        <v>1</v>
      </c>
    </row>
    <row r="383" spans="4:135" ht="12" customHeight="1" x14ac:dyDescent="0.25">
      <c r="D383" s="11">
        <v>367</v>
      </c>
      <c r="E383" s="72">
        <v>246.8836187026086</v>
      </c>
      <c r="F383" s="72">
        <v>208.74347425546898</v>
      </c>
      <c r="G383" s="73"/>
      <c r="H383" s="74">
        <v>5.8239496556917318</v>
      </c>
      <c r="I383" s="74">
        <v>5.8449084188727207</v>
      </c>
      <c r="J383" s="73"/>
      <c r="K383" s="72">
        <v>264.03261954923829</v>
      </c>
      <c r="L383" s="72">
        <v>225.02607639224513</v>
      </c>
      <c r="M383" s="73"/>
      <c r="N383" s="74">
        <v>6.5984835618721558</v>
      </c>
      <c r="O383" s="74">
        <v>6.6165407085038934</v>
      </c>
      <c r="P383" s="73"/>
      <c r="Q383" s="72">
        <v>1994.7873963070513</v>
      </c>
      <c r="R383" s="72">
        <v>1356.7362927390029</v>
      </c>
      <c r="S383" s="73"/>
      <c r="T383" s="74">
        <v>4.8924579648058844</v>
      </c>
      <c r="U383" s="74">
        <v>4.9460503834774405</v>
      </c>
      <c r="V383" s="73"/>
      <c r="W383" s="72">
        <v>12615.887012794157</v>
      </c>
      <c r="X383" s="72">
        <v>12551.731436862472</v>
      </c>
      <c r="Y383" s="73"/>
      <c r="Z383" s="74">
        <v>3.1061873794574182</v>
      </c>
      <c r="AA383" s="74">
        <v>3.1465555693051011</v>
      </c>
      <c r="AB383" s="73"/>
      <c r="AC383" s="72">
        <v>50872.93663790272</v>
      </c>
      <c r="AD383" s="72">
        <v>50749.686637424551</v>
      </c>
      <c r="AE383" s="73"/>
      <c r="AF383" s="74">
        <v>4.7817912688856561</v>
      </c>
      <c r="AG383" s="74">
        <v>4.846690213301823</v>
      </c>
      <c r="AH383" s="73"/>
      <c r="AI383" s="72">
        <v>4088761.003656419</v>
      </c>
      <c r="AJ383" s="72">
        <v>0</v>
      </c>
      <c r="AK383" s="73"/>
      <c r="AL383" s="74">
        <v>-2246.8549823681687</v>
      </c>
      <c r="AM383" s="74">
        <v>0</v>
      </c>
      <c r="AN383" s="73"/>
      <c r="AO383" s="72">
        <v>270661.21830418473</v>
      </c>
      <c r="AP383" s="72">
        <v>0</v>
      </c>
      <c r="AQ383" s="73"/>
      <c r="AR383" s="74">
        <v>-125.29614036221501</v>
      </c>
      <c r="AS383" s="74">
        <v>0</v>
      </c>
      <c r="AT383" s="73"/>
      <c r="AU383" s="72">
        <v>14780770.597223034</v>
      </c>
      <c r="AV383" s="72">
        <v>0</v>
      </c>
      <c r="AW383" s="73"/>
      <c r="AX383" s="74">
        <v>-1241.4949863810127</v>
      </c>
      <c r="AY383" s="74">
        <v>0</v>
      </c>
      <c r="AZ383" s="73"/>
      <c r="BA383" s="72">
        <v>560125.53249417187</v>
      </c>
      <c r="BB383" s="72">
        <v>0</v>
      </c>
      <c r="BC383" s="73"/>
      <c r="BD383" s="74">
        <v>-352.44409399950399</v>
      </c>
      <c r="BE383" s="74">
        <v>0</v>
      </c>
      <c r="BF383" s="73"/>
      <c r="BG383" s="72">
        <v>1955415.122994276</v>
      </c>
      <c r="BH383" s="72">
        <v>0</v>
      </c>
      <c r="BI383" s="73"/>
      <c r="BJ383" s="74">
        <v>-1029.6501167171714</v>
      </c>
      <c r="BK383" s="74">
        <v>0</v>
      </c>
      <c r="BL383" s="73"/>
      <c r="BM383" s="72">
        <v>21655733.47467209</v>
      </c>
      <c r="BN383" s="72">
        <v>0</v>
      </c>
      <c r="BO383" s="73"/>
      <c r="BP383" s="74">
        <v>-4995.7403198280717</v>
      </c>
      <c r="BQ383" s="74">
        <v>0</v>
      </c>
      <c r="BS383" s="109">
        <f t="shared" si="159"/>
        <v>116232.10949513204</v>
      </c>
      <c r="BT383" s="109">
        <f t="shared" si="160"/>
        <v>116689.42490319895</v>
      </c>
      <c r="BV383" s="58">
        <f t="array" ref="BV383">SUM(IF(BS383:BT383&gt;=BS383, 1))</f>
        <v>2</v>
      </c>
      <c r="BW383" s="58">
        <f t="array" ref="BW383">SUM(IF(BS383:BT383&gt;=BT383, 1))</f>
        <v>1</v>
      </c>
      <c r="BY383" s="109">
        <f t="shared" si="161"/>
        <v>131705.63861789386</v>
      </c>
      <c r="BZ383" s="109">
        <f t="shared" si="162"/>
        <v>132105.78809368564</v>
      </c>
      <c r="CB383" s="58">
        <f t="array" ref="CB383">SUM(IF(BY383:BZ383&gt;=BY383, 1))</f>
        <v>2</v>
      </c>
      <c r="CC383" s="58">
        <f t="array" ref="CC383">SUM(IF(BY383:BZ383&gt;=BZ383, 1))</f>
        <v>1</v>
      </c>
      <c r="CE383" s="109">
        <f t="shared" si="163"/>
        <v>95854.371899810649</v>
      </c>
      <c r="CF383" s="109">
        <f t="shared" si="164"/>
        <v>97564.271376809804</v>
      </c>
      <c r="CH383" s="58">
        <f t="array" ref="CH383">SUM(IF(CE383:CF383&gt;=CE383, 1))</f>
        <v>2</v>
      </c>
      <c r="CI383" s="58">
        <f t="array" ref="CI383">SUM(IF(CE383:CF383&gt;=CF383, 1))</f>
        <v>1</v>
      </c>
      <c r="CK383" s="109">
        <f t="shared" si="165"/>
        <v>49507.860576354207</v>
      </c>
      <c r="CL383" s="109">
        <f t="shared" si="166"/>
        <v>50379.379949239548</v>
      </c>
      <c r="CN383" s="58">
        <f t="array" ref="CN383">SUM(IF(CK383:CL383&gt;=CK383, 1))</f>
        <v>2</v>
      </c>
      <c r="CO383" s="58">
        <f t="array" ref="CO383">SUM(IF(CK383:CL383&gt;=CL383, 1))</f>
        <v>1</v>
      </c>
      <c r="CQ383" s="109" cm="1">
        <f t="array" ref="CQ383">AF383*WTP-AC383</f>
        <v>44762.888739810398</v>
      </c>
      <c r="CR383" s="109">
        <f t="shared" si="167"/>
        <v>46184.117628611908</v>
      </c>
      <c r="CT383" s="58">
        <f t="array" ref="CT383">SUM(IF(CQ383:CR383&gt;=CQ383, 1))</f>
        <v>2</v>
      </c>
      <c r="CU383" s="58">
        <f t="array" ref="CU383">SUM(IF(CQ383:CR383&gt;=CR383, 1))</f>
        <v>1</v>
      </c>
      <c r="CW383" s="109">
        <f t="shared" si="168"/>
        <v>-49025860.651019789</v>
      </c>
      <c r="CX383" s="109">
        <f t="shared" si="169"/>
        <v>0</v>
      </c>
      <c r="CZ383" s="58">
        <f t="array" ref="CZ383">SUM(IF(CW383:CX383&gt;=CW383, 1))</f>
        <v>2</v>
      </c>
      <c r="DA383" s="58">
        <f t="array" ref="DA383">SUM(IF(CW383:CX383&gt;=CX383, 1))</f>
        <v>1</v>
      </c>
      <c r="DC383" s="109">
        <f t="shared" si="170"/>
        <v>-2776584.0255484851</v>
      </c>
      <c r="DD383" s="109">
        <f t="shared" si="171"/>
        <v>0</v>
      </c>
      <c r="DF383" s="58">
        <f t="array" ref="DF383">SUM(IF(DC383:DD383&gt;=DC383, 1))</f>
        <v>2</v>
      </c>
      <c r="DG383" s="58">
        <f t="array" ref="DG383">SUM(IF(DC383:DD383&gt;=DD383, 1))</f>
        <v>1</v>
      </c>
      <c r="DI383" s="109">
        <f t="shared" si="172"/>
        <v>-39610670.324843287</v>
      </c>
      <c r="DJ383" s="109">
        <f t="shared" si="173"/>
        <v>0</v>
      </c>
      <c r="DL383" s="58">
        <f t="array" ref="DL383">SUM(IF(DI383:DJ383&gt;=DI383, 1))</f>
        <v>2</v>
      </c>
      <c r="DM383" s="58">
        <f t="array" ref="DM383">SUM(IF(DI383:DJ383&gt;=DJ383, 1))</f>
        <v>1</v>
      </c>
      <c r="DO383" s="109">
        <f t="shared" si="174"/>
        <v>-7609007.412484251</v>
      </c>
      <c r="DP383" s="109">
        <f t="shared" si="175"/>
        <v>0</v>
      </c>
      <c r="DR383" s="58">
        <f t="array" ref="DR383">SUM(IF(DO383:DP383&gt;=DO383, 1))</f>
        <v>2</v>
      </c>
      <c r="DS383" s="58">
        <f t="array" ref="DS383">SUM(IF(DO383:DP383&gt;=DP383, 1))</f>
        <v>1</v>
      </c>
      <c r="DU383" s="109">
        <f t="shared" si="176"/>
        <v>-22548417.457337704</v>
      </c>
      <c r="DV383" s="109">
        <f t="shared" si="177"/>
        <v>0</v>
      </c>
      <c r="DX383" s="58">
        <f t="array" ref="DX383">SUM(IF(DU383:DV383&gt;=DU383, 1))</f>
        <v>2</v>
      </c>
      <c r="DY383" s="58">
        <f t="array" ref="DY383">SUM(IF(DU383:DV383&gt;=DV383, 1))</f>
        <v>1</v>
      </c>
      <c r="EA383" s="109">
        <f t="shared" si="178"/>
        <v>-121570539.87123352</v>
      </c>
      <c r="EB383" s="109">
        <f t="shared" si="179"/>
        <v>0</v>
      </c>
      <c r="ED383" s="58">
        <f t="array" ref="ED383">SUM(IF(EA383:EB383&gt;=EA383, 1))</f>
        <v>2</v>
      </c>
      <c r="EE383" s="58">
        <f t="array" ref="EE383">SUM(IF(EA383:EB383&gt;=EB383, 1))</f>
        <v>1</v>
      </c>
    </row>
    <row r="384" spans="4:135" ht="12" customHeight="1" x14ac:dyDescent="0.25">
      <c r="D384" s="11">
        <v>368</v>
      </c>
      <c r="E384" s="72">
        <v>298.81656371445996</v>
      </c>
      <c r="F384" s="72">
        <v>280.50876670330859</v>
      </c>
      <c r="G384" s="73"/>
      <c r="H384" s="74">
        <v>5.8209654185983153</v>
      </c>
      <c r="I384" s="74">
        <v>5.8385974573637585</v>
      </c>
      <c r="J384" s="73"/>
      <c r="K384" s="72">
        <v>321.21969951469652</v>
      </c>
      <c r="L384" s="72">
        <v>302.48113174650905</v>
      </c>
      <c r="M384" s="73"/>
      <c r="N384" s="74">
        <v>6.7013449968026286</v>
      </c>
      <c r="O384" s="74">
        <v>6.7176726584118462</v>
      </c>
      <c r="P384" s="73"/>
      <c r="Q384" s="72">
        <v>2077.0116794164055</v>
      </c>
      <c r="R384" s="72">
        <v>1354.617939433153</v>
      </c>
      <c r="S384" s="73"/>
      <c r="T384" s="74">
        <v>4.813414268314256</v>
      </c>
      <c r="U384" s="74">
        <v>4.9069186157345506</v>
      </c>
      <c r="V384" s="73"/>
      <c r="W384" s="72">
        <v>13436.125544775459</v>
      </c>
      <c r="X384" s="72">
        <v>13389.139771867485</v>
      </c>
      <c r="Y384" s="73"/>
      <c r="Z384" s="74">
        <v>3.1418557471556587</v>
      </c>
      <c r="AA384" s="74">
        <v>3.1831027062474084</v>
      </c>
      <c r="AB384" s="73"/>
      <c r="AC384" s="72">
        <v>51524.51318749741</v>
      </c>
      <c r="AD384" s="72">
        <v>51469.2639343419</v>
      </c>
      <c r="AE384" s="73"/>
      <c r="AF384" s="74">
        <v>4.9353791269849436</v>
      </c>
      <c r="AG384" s="74">
        <v>5.0502766393734611</v>
      </c>
      <c r="AH384" s="73"/>
      <c r="AI384" s="72">
        <v>1956095.4814260362</v>
      </c>
      <c r="AJ384" s="72">
        <v>0</v>
      </c>
      <c r="AK384" s="73"/>
      <c r="AL384" s="74">
        <v>-1883.894131904789</v>
      </c>
      <c r="AM384" s="74">
        <v>0</v>
      </c>
      <c r="AN384" s="73"/>
      <c r="AO384" s="72">
        <v>124556.08403102843</v>
      </c>
      <c r="AP384" s="72">
        <v>0</v>
      </c>
      <c r="AQ384" s="73"/>
      <c r="AR384" s="74">
        <v>-108.53068476666301</v>
      </c>
      <c r="AS384" s="74">
        <v>0</v>
      </c>
      <c r="AT384" s="73"/>
      <c r="AU384" s="72">
        <v>16741112.98019536</v>
      </c>
      <c r="AV384" s="72">
        <v>0</v>
      </c>
      <c r="AW384" s="73"/>
      <c r="AX384" s="74">
        <v>-2166.9164025962909</v>
      </c>
      <c r="AY384" s="74">
        <v>0</v>
      </c>
      <c r="AZ384" s="73"/>
      <c r="BA384" s="72">
        <v>404871.91432725464</v>
      </c>
      <c r="BB384" s="72">
        <v>0</v>
      </c>
      <c r="BC384" s="73"/>
      <c r="BD384" s="74">
        <v>-355.42110417897413</v>
      </c>
      <c r="BE384" s="74">
        <v>0</v>
      </c>
      <c r="BF384" s="73"/>
      <c r="BG384" s="72">
        <v>887753.34581854555</v>
      </c>
      <c r="BH384" s="72">
        <v>0</v>
      </c>
      <c r="BI384" s="73"/>
      <c r="BJ384" s="74">
        <v>-1846.1905858171788</v>
      </c>
      <c r="BK384" s="74">
        <v>0</v>
      </c>
      <c r="BL384" s="73"/>
      <c r="BM384" s="72">
        <v>20114389.805798229</v>
      </c>
      <c r="BN384" s="72">
        <v>0</v>
      </c>
      <c r="BO384" s="73"/>
      <c r="BP384" s="74">
        <v>-6360.952909263895</v>
      </c>
      <c r="BQ384" s="74">
        <v>0</v>
      </c>
      <c r="BS384" s="109">
        <f t="shared" si="159"/>
        <v>116120.49180825186</v>
      </c>
      <c r="BT384" s="109">
        <f t="shared" si="160"/>
        <v>116491.44038057186</v>
      </c>
      <c r="BV384" s="58">
        <f t="array" ref="BV384">SUM(IF(BS384:BT384&gt;=BS384, 1))</f>
        <v>2</v>
      </c>
      <c r="BW384" s="58">
        <f t="array" ref="BW384">SUM(IF(BS384:BT384&gt;=BT384, 1))</f>
        <v>1</v>
      </c>
      <c r="BY384" s="109">
        <f t="shared" si="161"/>
        <v>133705.68023653785</v>
      </c>
      <c r="BZ384" s="109">
        <f t="shared" si="162"/>
        <v>134050.97203649039</v>
      </c>
      <c r="CB384" s="58">
        <f t="array" ref="CB384">SUM(IF(BY384:BZ384&gt;=BY384, 1))</f>
        <v>2</v>
      </c>
      <c r="CC384" s="58">
        <f t="array" ref="CC384">SUM(IF(BY384:BZ384&gt;=BZ384, 1))</f>
        <v>1</v>
      </c>
      <c r="CE384" s="109">
        <f t="shared" si="163"/>
        <v>94191.273686868721</v>
      </c>
      <c r="CF384" s="109">
        <f t="shared" si="164"/>
        <v>96783.754375257849</v>
      </c>
      <c r="CH384" s="58">
        <f t="array" ref="CH384">SUM(IF(CE384:CF384&gt;=CE384, 1))</f>
        <v>2</v>
      </c>
      <c r="CI384" s="58">
        <f t="array" ref="CI384">SUM(IF(CE384:CF384&gt;=CF384, 1))</f>
        <v>1</v>
      </c>
      <c r="CK384" s="109">
        <f t="shared" si="165"/>
        <v>49400.989398337719</v>
      </c>
      <c r="CL384" s="109">
        <f t="shared" si="166"/>
        <v>50272.914353080683</v>
      </c>
      <c r="CN384" s="58">
        <f t="array" ref="CN384">SUM(IF(CK384:CL384&gt;=CK384, 1))</f>
        <v>2</v>
      </c>
      <c r="CO384" s="58">
        <f t="array" ref="CO384">SUM(IF(CK384:CL384&gt;=CL384, 1))</f>
        <v>1</v>
      </c>
      <c r="CQ384" s="109" cm="1">
        <f t="array" ref="CQ384">AF384*WTP-AC384</f>
        <v>47183.069352201455</v>
      </c>
      <c r="CR384" s="109">
        <f t="shared" si="167"/>
        <v>49536.268853127316</v>
      </c>
      <c r="CT384" s="58">
        <f t="array" ref="CT384">SUM(IF(CQ384:CR384&gt;=CQ384, 1))</f>
        <v>2</v>
      </c>
      <c r="CU384" s="58">
        <f t="array" ref="CU384">SUM(IF(CQ384:CR384&gt;=CR384, 1))</f>
        <v>1</v>
      </c>
      <c r="CW384" s="109">
        <f t="shared" si="168"/>
        <v>-39633978.119521819</v>
      </c>
      <c r="CX384" s="109">
        <f t="shared" si="169"/>
        <v>0</v>
      </c>
      <c r="CZ384" s="58">
        <f t="array" ref="CZ384">SUM(IF(CW384:CX384&gt;=CW384, 1))</f>
        <v>2</v>
      </c>
      <c r="DA384" s="58">
        <f t="array" ref="DA384">SUM(IF(CW384:CX384&gt;=CX384, 1))</f>
        <v>1</v>
      </c>
      <c r="DC384" s="109">
        <f t="shared" si="170"/>
        <v>-2295169.7793642883</v>
      </c>
      <c r="DD384" s="109">
        <f t="shared" si="171"/>
        <v>0</v>
      </c>
      <c r="DF384" s="58">
        <f t="array" ref="DF384">SUM(IF(DC384:DD384&gt;=DC384, 1))</f>
        <v>2</v>
      </c>
      <c r="DG384" s="58">
        <f t="array" ref="DG384">SUM(IF(DC384:DD384&gt;=DD384, 1))</f>
        <v>1</v>
      </c>
      <c r="DI384" s="109">
        <f t="shared" si="172"/>
        <v>-60079441.032121174</v>
      </c>
      <c r="DJ384" s="109">
        <f t="shared" si="173"/>
        <v>0</v>
      </c>
      <c r="DL384" s="58">
        <f t="array" ref="DL384">SUM(IF(DI384:DJ384&gt;=DI384, 1))</f>
        <v>2</v>
      </c>
      <c r="DM384" s="58">
        <f t="array" ref="DM384">SUM(IF(DI384:DJ384&gt;=DJ384, 1))</f>
        <v>1</v>
      </c>
      <c r="DO384" s="109">
        <f t="shared" si="174"/>
        <v>-7513293.997906737</v>
      </c>
      <c r="DP384" s="109">
        <f t="shared" si="175"/>
        <v>0</v>
      </c>
      <c r="DR384" s="58">
        <f t="array" ref="DR384">SUM(IF(DO384:DP384&gt;=DO384, 1))</f>
        <v>2</v>
      </c>
      <c r="DS384" s="58">
        <f t="array" ref="DS384">SUM(IF(DO384:DP384&gt;=DP384, 1))</f>
        <v>1</v>
      </c>
      <c r="DU384" s="109">
        <f t="shared" si="176"/>
        <v>-37811565.062162116</v>
      </c>
      <c r="DV384" s="109">
        <f t="shared" si="177"/>
        <v>0</v>
      </c>
      <c r="DX384" s="58">
        <f t="array" ref="DX384">SUM(IF(DU384:DV384&gt;=DU384, 1))</f>
        <v>2</v>
      </c>
      <c r="DY384" s="58">
        <f t="array" ref="DY384">SUM(IF(DU384:DV384&gt;=DV384, 1))</f>
        <v>1</v>
      </c>
      <c r="EA384" s="109">
        <f t="shared" si="178"/>
        <v>-147333447.99107611</v>
      </c>
      <c r="EB384" s="109">
        <f t="shared" si="179"/>
        <v>0</v>
      </c>
      <c r="ED384" s="58">
        <f t="array" ref="ED384">SUM(IF(EA384:EB384&gt;=EA384, 1))</f>
        <v>2</v>
      </c>
      <c r="EE384" s="58">
        <f t="array" ref="EE384">SUM(IF(EA384:EB384&gt;=EB384, 1))</f>
        <v>1</v>
      </c>
    </row>
    <row r="385" spans="4:135" ht="12" customHeight="1" x14ac:dyDescent="0.25">
      <c r="D385" s="11">
        <v>369</v>
      </c>
      <c r="E385" s="72">
        <v>245.52100524061959</v>
      </c>
      <c r="F385" s="72">
        <v>235.70341724707802</v>
      </c>
      <c r="G385" s="73"/>
      <c r="H385" s="74">
        <v>5.8080953105622228</v>
      </c>
      <c r="I385" s="74">
        <v>5.8217763934394346</v>
      </c>
      <c r="J385" s="73"/>
      <c r="K385" s="72">
        <v>264.26572519872298</v>
      </c>
      <c r="L385" s="72">
        <v>254.16292821842151</v>
      </c>
      <c r="M385" s="73"/>
      <c r="N385" s="74">
        <v>6.6136936500268551</v>
      </c>
      <c r="O385" s="74">
        <v>6.6246918387404898</v>
      </c>
      <c r="P385" s="73"/>
      <c r="Q385" s="72">
        <v>1490.3559553006505</v>
      </c>
      <c r="R385" s="72">
        <v>1206.4441025106407</v>
      </c>
      <c r="S385" s="73"/>
      <c r="T385" s="74">
        <v>4.9349584302308003</v>
      </c>
      <c r="U385" s="74">
        <v>4.9833945173831324</v>
      </c>
      <c r="V385" s="73"/>
      <c r="W385" s="72">
        <v>17404.497840041982</v>
      </c>
      <c r="X385" s="72">
        <v>17355.777135957644</v>
      </c>
      <c r="Y385" s="73"/>
      <c r="Z385" s="74">
        <v>3.1141763153896806</v>
      </c>
      <c r="AA385" s="74">
        <v>3.1685666241188146</v>
      </c>
      <c r="AB385" s="73"/>
      <c r="AC385" s="72">
        <v>48887.327797916354</v>
      </c>
      <c r="AD385" s="72">
        <v>48924.651273607633</v>
      </c>
      <c r="AE385" s="73"/>
      <c r="AF385" s="74">
        <v>4.4594761593230219</v>
      </c>
      <c r="AG385" s="74">
        <v>4.5413813791200885</v>
      </c>
      <c r="AH385" s="73"/>
      <c r="AI385" s="72">
        <v>1057325.5293414942</v>
      </c>
      <c r="AJ385" s="72">
        <v>0</v>
      </c>
      <c r="AK385" s="73"/>
      <c r="AL385" s="74">
        <v>-1473.4126350208194</v>
      </c>
      <c r="AM385" s="74">
        <v>0</v>
      </c>
      <c r="AN385" s="73"/>
      <c r="AO385" s="72">
        <v>67867.552431916469</v>
      </c>
      <c r="AP385" s="72">
        <v>0</v>
      </c>
      <c r="AQ385" s="73"/>
      <c r="AR385" s="74">
        <v>-73.8825248724782</v>
      </c>
      <c r="AS385" s="74">
        <v>0</v>
      </c>
      <c r="AT385" s="73"/>
      <c r="AU385" s="72">
        <v>6431417.4673441118</v>
      </c>
      <c r="AV385" s="72">
        <v>0</v>
      </c>
      <c r="AW385" s="73"/>
      <c r="AX385" s="74">
        <v>-1097.2162447607127</v>
      </c>
      <c r="AY385" s="74">
        <v>0</v>
      </c>
      <c r="AZ385" s="73"/>
      <c r="BA385" s="72">
        <v>427883.19814716751</v>
      </c>
      <c r="BB385" s="72">
        <v>0</v>
      </c>
      <c r="BC385" s="73"/>
      <c r="BD385" s="74">
        <v>-477.67575786563179</v>
      </c>
      <c r="BE385" s="74">
        <v>0</v>
      </c>
      <c r="BF385" s="73"/>
      <c r="BG385" s="72">
        <v>-586924.95737771876</v>
      </c>
      <c r="BH385" s="72">
        <v>0</v>
      </c>
      <c r="BI385" s="73"/>
      <c r="BJ385" s="74">
        <v>-1287.9887724293253</v>
      </c>
      <c r="BK385" s="74">
        <v>0</v>
      </c>
      <c r="BL385" s="73"/>
      <c r="BM385" s="72">
        <v>7397568.789886971</v>
      </c>
      <c r="BN385" s="72">
        <v>0</v>
      </c>
      <c r="BO385" s="73"/>
      <c r="BP385" s="74">
        <v>-4410.1759349489676</v>
      </c>
      <c r="BQ385" s="74">
        <v>0</v>
      </c>
      <c r="BS385" s="109">
        <f t="shared" si="159"/>
        <v>115916.38520600383</v>
      </c>
      <c r="BT385" s="109">
        <f t="shared" si="160"/>
        <v>116199.82445154162</v>
      </c>
      <c r="BV385" s="58">
        <f t="array" ref="BV385">SUM(IF(BS385:BT385&gt;=BS385, 1))</f>
        <v>2</v>
      </c>
      <c r="BW385" s="58">
        <f t="array" ref="BW385">SUM(IF(BS385:BT385&gt;=BT385, 1))</f>
        <v>1</v>
      </c>
      <c r="BY385" s="109">
        <f t="shared" si="161"/>
        <v>132009.60727533838</v>
      </c>
      <c r="BZ385" s="109">
        <f t="shared" si="162"/>
        <v>132239.67384659138</v>
      </c>
      <c r="CB385" s="58">
        <f t="array" ref="CB385">SUM(IF(BY385:BZ385&gt;=BY385, 1))</f>
        <v>2</v>
      </c>
      <c r="CC385" s="58">
        <f t="array" ref="CC385">SUM(IF(BY385:BZ385&gt;=BZ385, 1))</f>
        <v>1</v>
      </c>
      <c r="CE385" s="109">
        <f t="shared" si="163"/>
        <v>97208.812649315354</v>
      </c>
      <c r="CF385" s="109">
        <f t="shared" si="164"/>
        <v>98461.446245152008</v>
      </c>
      <c r="CH385" s="58">
        <f t="array" ref="CH385">SUM(IF(CE385:CF385&gt;=CE385, 1))</f>
        <v>2</v>
      </c>
      <c r="CI385" s="58">
        <f t="array" ref="CI385">SUM(IF(CE385:CF385&gt;=CF385, 1))</f>
        <v>1</v>
      </c>
      <c r="CK385" s="109">
        <f t="shared" si="165"/>
        <v>44879.028467751632</v>
      </c>
      <c r="CL385" s="109">
        <f t="shared" si="166"/>
        <v>46015.555346418652</v>
      </c>
      <c r="CN385" s="58">
        <f t="array" ref="CN385">SUM(IF(CK385:CL385&gt;=CK385, 1))</f>
        <v>2</v>
      </c>
      <c r="CO385" s="58">
        <f t="array" ref="CO385">SUM(IF(CK385:CL385&gt;=CL385, 1))</f>
        <v>1</v>
      </c>
      <c r="CQ385" s="109" cm="1">
        <f t="array" ref="CQ385">AF385*WTP-AC385</f>
        <v>40302.195388544089</v>
      </c>
      <c r="CR385" s="109">
        <f t="shared" si="167"/>
        <v>41902.976308794132</v>
      </c>
      <c r="CT385" s="58">
        <f t="array" ref="CT385">SUM(IF(CQ385:CR385&gt;=CQ385, 1))</f>
        <v>2</v>
      </c>
      <c r="CU385" s="58">
        <f t="array" ref="CU385">SUM(IF(CQ385:CR385&gt;=CR385, 1))</f>
        <v>1</v>
      </c>
      <c r="CW385" s="109">
        <f t="shared" si="168"/>
        <v>-30525578.229757879</v>
      </c>
      <c r="CX385" s="109">
        <f t="shared" si="169"/>
        <v>0</v>
      </c>
      <c r="CZ385" s="58">
        <f t="array" ref="CZ385">SUM(IF(CW385:CX385&gt;=CW385, 1))</f>
        <v>2</v>
      </c>
      <c r="DA385" s="58">
        <f t="array" ref="DA385">SUM(IF(CW385:CX385&gt;=CX385, 1))</f>
        <v>1</v>
      </c>
      <c r="DC385" s="109">
        <f t="shared" si="170"/>
        <v>-1545518.0498814806</v>
      </c>
      <c r="DD385" s="109">
        <f t="shared" si="171"/>
        <v>0</v>
      </c>
      <c r="DF385" s="58">
        <f t="array" ref="DF385">SUM(IF(DC385:DD385&gt;=DC385, 1))</f>
        <v>2</v>
      </c>
      <c r="DG385" s="58">
        <f t="array" ref="DG385">SUM(IF(DC385:DD385&gt;=DD385, 1))</f>
        <v>1</v>
      </c>
      <c r="DI385" s="109">
        <f t="shared" si="172"/>
        <v>-28375742.362558365</v>
      </c>
      <c r="DJ385" s="109">
        <f t="shared" si="173"/>
        <v>0</v>
      </c>
      <c r="DL385" s="58">
        <f t="array" ref="DL385">SUM(IF(DI385:DJ385&gt;=DI385, 1))</f>
        <v>2</v>
      </c>
      <c r="DM385" s="58">
        <f t="array" ref="DM385">SUM(IF(DI385:DJ385&gt;=DJ385, 1))</f>
        <v>1</v>
      </c>
      <c r="DO385" s="109">
        <f t="shared" si="174"/>
        <v>-9981398.3554598037</v>
      </c>
      <c r="DP385" s="109">
        <f t="shared" si="175"/>
        <v>0</v>
      </c>
      <c r="DR385" s="58">
        <f t="array" ref="DR385">SUM(IF(DO385:DP385&gt;=DO385, 1))</f>
        <v>2</v>
      </c>
      <c r="DS385" s="58">
        <f t="array" ref="DS385">SUM(IF(DO385:DP385&gt;=DP385, 1))</f>
        <v>1</v>
      </c>
      <c r="DU385" s="109">
        <f t="shared" si="176"/>
        <v>-25172850.491208784</v>
      </c>
      <c r="DV385" s="109">
        <f t="shared" si="177"/>
        <v>0</v>
      </c>
      <c r="DX385" s="58">
        <f t="array" ref="DX385">SUM(IF(DU385:DV385&gt;=DU385, 1))</f>
        <v>2</v>
      </c>
      <c r="DY385" s="58">
        <f t="array" ref="DY385">SUM(IF(DU385:DV385&gt;=DV385, 1))</f>
        <v>1</v>
      </c>
      <c r="EA385" s="109">
        <f t="shared" si="178"/>
        <v>-95601087.488866314</v>
      </c>
      <c r="EB385" s="109">
        <f t="shared" si="179"/>
        <v>0</v>
      </c>
      <c r="ED385" s="58">
        <f t="array" ref="ED385">SUM(IF(EA385:EB385&gt;=EA385, 1))</f>
        <v>2</v>
      </c>
      <c r="EE385" s="58">
        <f t="array" ref="EE385">SUM(IF(EA385:EB385&gt;=EB385, 1))</f>
        <v>1</v>
      </c>
    </row>
    <row r="386" spans="4:135" ht="12" customHeight="1" x14ac:dyDescent="0.25">
      <c r="D386" s="11">
        <v>370</v>
      </c>
      <c r="E386" s="72">
        <v>252.17452673575093</v>
      </c>
      <c r="F386" s="72">
        <v>225.88742228901444</v>
      </c>
      <c r="G386" s="73"/>
      <c r="H386" s="74">
        <v>5.8319104112339417</v>
      </c>
      <c r="I386" s="74">
        <v>5.8501316781131703</v>
      </c>
      <c r="J386" s="73"/>
      <c r="K386" s="72">
        <v>270.508820639649</v>
      </c>
      <c r="L386" s="72">
        <v>243.55246274717544</v>
      </c>
      <c r="M386" s="73"/>
      <c r="N386" s="74">
        <v>6.6737855615763886</v>
      </c>
      <c r="O386" s="74">
        <v>6.6896199458519598</v>
      </c>
      <c r="P386" s="73"/>
      <c r="Q386" s="72">
        <v>2697.4970888727698</v>
      </c>
      <c r="R386" s="72">
        <v>1468.7045716835162</v>
      </c>
      <c r="S386" s="73"/>
      <c r="T386" s="74">
        <v>4.7515883284820353</v>
      </c>
      <c r="U386" s="74">
        <v>4.8600942704057566</v>
      </c>
      <c r="V386" s="73"/>
      <c r="W386" s="72">
        <v>10049.55108905564</v>
      </c>
      <c r="X386" s="72">
        <v>10046.354538200892</v>
      </c>
      <c r="Y386" s="73"/>
      <c r="Z386" s="74">
        <v>3.0427629779614485</v>
      </c>
      <c r="AA386" s="74">
        <v>3.0896842172980219</v>
      </c>
      <c r="AB386" s="73"/>
      <c r="AC386" s="72">
        <v>50553.841250098492</v>
      </c>
      <c r="AD386" s="72">
        <v>50451.657711077642</v>
      </c>
      <c r="AE386" s="73"/>
      <c r="AF386" s="74">
        <v>4.8243391948946295</v>
      </c>
      <c r="AG386" s="74">
        <v>4.9161292909753778</v>
      </c>
      <c r="AH386" s="73"/>
      <c r="AI386" s="72">
        <v>2791562.8085346958</v>
      </c>
      <c r="AJ386" s="72">
        <v>0</v>
      </c>
      <c r="AK386" s="73"/>
      <c r="AL386" s="74">
        <v>-1935.0100368606543</v>
      </c>
      <c r="AM386" s="74">
        <v>0</v>
      </c>
      <c r="AN386" s="73"/>
      <c r="AO386" s="72">
        <v>199208.27242365299</v>
      </c>
      <c r="AP386" s="72">
        <v>0</v>
      </c>
      <c r="AQ386" s="73"/>
      <c r="AR386" s="74">
        <v>-117.01656243811505</v>
      </c>
      <c r="AS386" s="74">
        <v>0</v>
      </c>
      <c r="AT386" s="73"/>
      <c r="AU386" s="72">
        <v>28309066.241434958</v>
      </c>
      <c r="AV386" s="72">
        <v>0</v>
      </c>
      <c r="AW386" s="73"/>
      <c r="AX386" s="74">
        <v>-2499.7726260037357</v>
      </c>
      <c r="AY386" s="74">
        <v>0</v>
      </c>
      <c r="AZ386" s="73"/>
      <c r="BA386" s="72">
        <v>27117.480383628681</v>
      </c>
      <c r="BB386" s="72">
        <v>0</v>
      </c>
      <c r="BC386" s="73"/>
      <c r="BD386" s="74">
        <v>-398.04959942852281</v>
      </c>
      <c r="BE386" s="74">
        <v>0</v>
      </c>
      <c r="BF386" s="73"/>
      <c r="BG386" s="72">
        <v>1644224.1936983666</v>
      </c>
      <c r="BH386" s="72">
        <v>0</v>
      </c>
      <c r="BI386" s="73"/>
      <c r="BJ386" s="74">
        <v>-1476.9844356933825</v>
      </c>
      <c r="BK386" s="74">
        <v>0</v>
      </c>
      <c r="BL386" s="73"/>
      <c r="BM386" s="72">
        <v>32971178.996475298</v>
      </c>
      <c r="BN386" s="72">
        <v>0</v>
      </c>
      <c r="BO386" s="73"/>
      <c r="BP386" s="74">
        <v>-6426.8332604244106</v>
      </c>
      <c r="BQ386" s="74">
        <v>0</v>
      </c>
      <c r="BS386" s="109">
        <f t="shared" si="159"/>
        <v>116386.03369794309</v>
      </c>
      <c r="BT386" s="109">
        <f t="shared" si="160"/>
        <v>116776.74613997439</v>
      </c>
      <c r="BV386" s="58">
        <f t="array" ref="BV386">SUM(IF(BS386:BT386&gt;=BS386, 1))</f>
        <v>2</v>
      </c>
      <c r="BW386" s="58">
        <f t="array" ref="BW386">SUM(IF(BS386:BT386&gt;=BT386, 1))</f>
        <v>1</v>
      </c>
      <c r="BY386" s="109">
        <f t="shared" si="161"/>
        <v>133205.2024108881</v>
      </c>
      <c r="BZ386" s="109">
        <f t="shared" si="162"/>
        <v>133548.84645429201</v>
      </c>
      <c r="CB386" s="58">
        <f t="array" ref="CB386">SUM(IF(BY386:BZ386&gt;=BY386, 1))</f>
        <v>2</v>
      </c>
      <c r="CC386" s="58">
        <f t="array" ref="CC386">SUM(IF(BY386:BZ386&gt;=BZ386, 1))</f>
        <v>1</v>
      </c>
      <c r="CE386" s="109">
        <f t="shared" si="163"/>
        <v>92334.269480767936</v>
      </c>
      <c r="CF386" s="109">
        <f t="shared" si="164"/>
        <v>95733.180836431624</v>
      </c>
      <c r="CH386" s="58">
        <f t="array" ref="CH386">SUM(IF(CE386:CF386&gt;=CE386, 1))</f>
        <v>2</v>
      </c>
      <c r="CI386" s="58">
        <f t="array" ref="CI386">SUM(IF(CE386:CF386&gt;=CF386, 1))</f>
        <v>1</v>
      </c>
      <c r="CK386" s="109">
        <f t="shared" si="165"/>
        <v>50805.708470173333</v>
      </c>
      <c r="CL386" s="109">
        <f t="shared" si="166"/>
        <v>51747.329807759539</v>
      </c>
      <c r="CN386" s="58">
        <f t="array" ref="CN386">SUM(IF(CK386:CL386&gt;=CK386, 1))</f>
        <v>2</v>
      </c>
      <c r="CO386" s="58">
        <f t="array" ref="CO386">SUM(IF(CK386:CL386&gt;=CL386, 1))</f>
        <v>1</v>
      </c>
      <c r="CQ386" s="109" cm="1">
        <f t="array" ref="CQ386">AF386*WTP-AC386</f>
        <v>45932.942647794094</v>
      </c>
      <c r="CR386" s="109">
        <f t="shared" si="167"/>
        <v>47870.928108429915</v>
      </c>
      <c r="CT386" s="58">
        <f t="array" ref="CT386">SUM(IF(CQ386:CR386&gt;=CQ386, 1))</f>
        <v>2</v>
      </c>
      <c r="CU386" s="58">
        <f t="array" ref="CU386">SUM(IF(CQ386:CR386&gt;=CR386, 1))</f>
        <v>1</v>
      </c>
      <c r="CW386" s="109">
        <f t="shared" si="168"/>
        <v>-41491763.545747779</v>
      </c>
      <c r="CX386" s="109">
        <f t="shared" si="169"/>
        <v>0</v>
      </c>
      <c r="CZ386" s="58">
        <f t="array" ref="CZ386">SUM(IF(CW386:CX386&gt;=CW386, 1))</f>
        <v>2</v>
      </c>
      <c r="DA386" s="58">
        <f t="array" ref="DA386">SUM(IF(CW386:CX386&gt;=CX386, 1))</f>
        <v>1</v>
      </c>
      <c r="DC386" s="109">
        <f t="shared" si="170"/>
        <v>-2539539.5211859536</v>
      </c>
      <c r="DD386" s="109">
        <f t="shared" si="171"/>
        <v>0</v>
      </c>
      <c r="DF386" s="58">
        <f t="array" ref="DF386">SUM(IF(DC386:DD386&gt;=DC386, 1))</f>
        <v>2</v>
      </c>
      <c r="DG386" s="58">
        <f t="array" ref="DG386">SUM(IF(DC386:DD386&gt;=DD386, 1))</f>
        <v>1</v>
      </c>
      <c r="DI386" s="109">
        <f t="shared" si="172"/>
        <v>-78304518.761509672</v>
      </c>
      <c r="DJ386" s="109">
        <f t="shared" si="173"/>
        <v>0</v>
      </c>
      <c r="DL386" s="58">
        <f t="array" ref="DL386">SUM(IF(DI386:DJ386&gt;=DI386, 1))</f>
        <v>2</v>
      </c>
      <c r="DM386" s="58">
        <f t="array" ref="DM386">SUM(IF(DI386:DJ386&gt;=DJ386, 1))</f>
        <v>1</v>
      </c>
      <c r="DO386" s="109">
        <f t="shared" si="174"/>
        <v>-7988109.4689540854</v>
      </c>
      <c r="DP386" s="109">
        <f t="shared" si="175"/>
        <v>0</v>
      </c>
      <c r="DR386" s="58">
        <f t="array" ref="DR386">SUM(IF(DO386:DP386&gt;=DO386, 1))</f>
        <v>2</v>
      </c>
      <c r="DS386" s="58">
        <f t="array" ref="DS386">SUM(IF(DO386:DP386&gt;=DP386, 1))</f>
        <v>1</v>
      </c>
      <c r="DU386" s="109">
        <f t="shared" si="176"/>
        <v>-31183912.907566015</v>
      </c>
      <c r="DV386" s="109">
        <f t="shared" si="177"/>
        <v>0</v>
      </c>
      <c r="DX386" s="58">
        <f t="array" ref="DX386">SUM(IF(DU386:DV386&gt;=DU386, 1))</f>
        <v>2</v>
      </c>
      <c r="DY386" s="58">
        <f t="array" ref="DY386">SUM(IF(DU386:DV386&gt;=DV386, 1))</f>
        <v>1</v>
      </c>
      <c r="EA386" s="109">
        <f t="shared" si="178"/>
        <v>-161507844.20496351</v>
      </c>
      <c r="EB386" s="109">
        <f t="shared" si="179"/>
        <v>0</v>
      </c>
      <c r="ED386" s="58">
        <f t="array" ref="ED386">SUM(IF(EA386:EB386&gt;=EA386, 1))</f>
        <v>2</v>
      </c>
      <c r="EE386" s="58">
        <f t="array" ref="EE386">SUM(IF(EA386:EB386&gt;=EB386, 1))</f>
        <v>1</v>
      </c>
    </row>
    <row r="387" spans="4:135" ht="12" customHeight="1" x14ac:dyDescent="0.25">
      <c r="D387" s="11">
        <v>371</v>
      </c>
      <c r="E387" s="72">
        <v>180.8573831039194</v>
      </c>
      <c r="F387" s="72">
        <v>163.25159806063965</v>
      </c>
      <c r="G387" s="73"/>
      <c r="H387" s="74">
        <v>5.8317791435947068</v>
      </c>
      <c r="I387" s="74">
        <v>5.847528789607054</v>
      </c>
      <c r="J387" s="73"/>
      <c r="K387" s="72">
        <v>194.07035594529944</v>
      </c>
      <c r="L387" s="72">
        <v>176.0382336189854</v>
      </c>
      <c r="M387" s="73"/>
      <c r="N387" s="74">
        <v>6.6785433348601391</v>
      </c>
      <c r="O387" s="74">
        <v>6.6918894441942767</v>
      </c>
      <c r="P387" s="73"/>
      <c r="Q387" s="72">
        <v>4065.596173033513</v>
      </c>
      <c r="R387" s="72">
        <v>1446.8229854167307</v>
      </c>
      <c r="S387" s="73"/>
      <c r="T387" s="74">
        <v>4.8833782718640757</v>
      </c>
      <c r="U387" s="74">
        <v>5.0478215985134218</v>
      </c>
      <c r="V387" s="73"/>
      <c r="W387" s="72">
        <v>12336.707265159699</v>
      </c>
      <c r="X387" s="72">
        <v>12280.625289658265</v>
      </c>
      <c r="Y387" s="73"/>
      <c r="Z387" s="74">
        <v>3.0537925107126704</v>
      </c>
      <c r="AA387" s="74">
        <v>3.085951374125913</v>
      </c>
      <c r="AB387" s="73"/>
      <c r="AC387" s="72">
        <v>50294.524354150119</v>
      </c>
      <c r="AD387" s="72">
        <v>49966.463259552576</v>
      </c>
      <c r="AE387" s="73"/>
      <c r="AF387" s="74">
        <v>4.476952061921998</v>
      </c>
      <c r="AG387" s="74">
        <v>4.5687978271603233</v>
      </c>
      <c r="AH387" s="73"/>
      <c r="AI387" s="72">
        <v>1888881.1359119643</v>
      </c>
      <c r="AJ387" s="72">
        <v>0</v>
      </c>
      <c r="AK387" s="73"/>
      <c r="AL387" s="74">
        <v>-1689.7405697548922</v>
      </c>
      <c r="AM387" s="74">
        <v>0</v>
      </c>
      <c r="AN387" s="73"/>
      <c r="AO387" s="72">
        <v>126459.84316300115</v>
      </c>
      <c r="AP387" s="72">
        <v>0</v>
      </c>
      <c r="AQ387" s="73"/>
      <c r="AR387" s="74">
        <v>-93.596686107680185</v>
      </c>
      <c r="AS387" s="74">
        <v>0</v>
      </c>
      <c r="AT387" s="73"/>
      <c r="AU387" s="72">
        <v>60325297.357937142</v>
      </c>
      <c r="AV387" s="72">
        <v>0</v>
      </c>
      <c r="AW387" s="73"/>
      <c r="AX387" s="74">
        <v>-3788.0686367031226</v>
      </c>
      <c r="AY387" s="74">
        <v>0</v>
      </c>
      <c r="AZ387" s="73"/>
      <c r="BA387" s="72">
        <v>505595.2427710155</v>
      </c>
      <c r="BB387" s="72">
        <v>0</v>
      </c>
      <c r="BC387" s="73"/>
      <c r="BD387" s="74">
        <v>-289.92146245351904</v>
      </c>
      <c r="BE387" s="74">
        <v>0</v>
      </c>
      <c r="BF387" s="73"/>
      <c r="BG387" s="72">
        <v>5190608.2778898478</v>
      </c>
      <c r="BH387" s="72">
        <v>0</v>
      </c>
      <c r="BI387" s="73"/>
      <c r="BJ387" s="74">
        <v>-1453.1908756813332</v>
      </c>
      <c r="BK387" s="74">
        <v>0</v>
      </c>
      <c r="BL387" s="73"/>
      <c r="BM387" s="72">
        <v>68036841.85767296</v>
      </c>
      <c r="BN387" s="72">
        <v>0</v>
      </c>
      <c r="BO387" s="73"/>
      <c r="BP387" s="74">
        <v>-7314.5182307005471</v>
      </c>
      <c r="BQ387" s="74">
        <v>0</v>
      </c>
      <c r="BS387" s="109">
        <f t="shared" si="159"/>
        <v>116454.72548879021</v>
      </c>
      <c r="BT387" s="109">
        <f t="shared" si="160"/>
        <v>116787.32419408044</v>
      </c>
      <c r="BV387" s="58">
        <f t="array" ref="BV387">SUM(IF(BS387:BT387&gt;=BS387, 1))</f>
        <v>2</v>
      </c>
      <c r="BW387" s="58">
        <f t="array" ref="BW387">SUM(IF(BS387:BT387&gt;=BT387, 1))</f>
        <v>1</v>
      </c>
      <c r="BY387" s="109">
        <f t="shared" si="161"/>
        <v>133376.79634125749</v>
      </c>
      <c r="BZ387" s="109">
        <f t="shared" si="162"/>
        <v>133661.75065026656</v>
      </c>
      <c r="CB387" s="58">
        <f t="array" ref="CB387">SUM(IF(BY387:BZ387&gt;=BY387, 1))</f>
        <v>2</v>
      </c>
      <c r="CC387" s="58">
        <f t="array" ref="CC387">SUM(IF(BY387:BZ387&gt;=BZ387, 1))</f>
        <v>1</v>
      </c>
      <c r="CE387" s="109">
        <f t="shared" si="163"/>
        <v>93601.969264248008</v>
      </c>
      <c r="CF387" s="109">
        <f t="shared" si="164"/>
        <v>99509.6089848517</v>
      </c>
      <c r="CH387" s="58">
        <f t="array" ref="CH387">SUM(IF(CE387:CF387&gt;=CE387, 1))</f>
        <v>2</v>
      </c>
      <c r="CI387" s="58">
        <f t="array" ref="CI387">SUM(IF(CE387:CF387&gt;=CF387, 1))</f>
        <v>1</v>
      </c>
      <c r="CK387" s="109">
        <f t="shared" si="165"/>
        <v>48739.142949093708</v>
      </c>
      <c r="CL387" s="109">
        <f t="shared" si="166"/>
        <v>49438.402192859998</v>
      </c>
      <c r="CN387" s="58">
        <f t="array" ref="CN387">SUM(IF(CK387:CL387&gt;=CK387, 1))</f>
        <v>2</v>
      </c>
      <c r="CO387" s="58">
        <f t="array" ref="CO387">SUM(IF(CK387:CL387&gt;=CL387, 1))</f>
        <v>1</v>
      </c>
      <c r="CQ387" s="109" cm="1">
        <f t="array" ref="CQ387">AF387*WTP-AC387</f>
        <v>39244.516884289835</v>
      </c>
      <c r="CR387" s="109">
        <f t="shared" si="167"/>
        <v>41409.493283653894</v>
      </c>
      <c r="CT387" s="58">
        <f t="array" ref="CT387">SUM(IF(CQ387:CR387&gt;=CQ387, 1))</f>
        <v>2</v>
      </c>
      <c r="CU387" s="58">
        <f t="array" ref="CU387">SUM(IF(CQ387:CR387&gt;=CR387, 1))</f>
        <v>1</v>
      </c>
      <c r="CW387" s="109">
        <f t="shared" si="168"/>
        <v>-35683692.531009808</v>
      </c>
      <c r="CX387" s="109">
        <f t="shared" si="169"/>
        <v>0</v>
      </c>
      <c r="CZ387" s="58">
        <f t="array" ref="CZ387">SUM(IF(CW387:CX387&gt;=CW387, 1))</f>
        <v>2</v>
      </c>
      <c r="DA387" s="58">
        <f t="array" ref="DA387">SUM(IF(CW387:CX387&gt;=CX387, 1))</f>
        <v>1</v>
      </c>
      <c r="DC387" s="109">
        <f t="shared" si="170"/>
        <v>-1998393.5653166049</v>
      </c>
      <c r="DD387" s="109">
        <f t="shared" si="171"/>
        <v>0</v>
      </c>
      <c r="DF387" s="58">
        <f t="array" ref="DF387">SUM(IF(DC387:DD387&gt;=DC387, 1))</f>
        <v>2</v>
      </c>
      <c r="DG387" s="58">
        <f t="array" ref="DG387">SUM(IF(DC387:DD387&gt;=DD387, 1))</f>
        <v>1</v>
      </c>
      <c r="DI387" s="109">
        <f t="shared" si="172"/>
        <v>-136086670.09199959</v>
      </c>
      <c r="DJ387" s="109">
        <f t="shared" si="173"/>
        <v>0</v>
      </c>
      <c r="DL387" s="58">
        <f t="array" ref="DL387">SUM(IF(DI387:DJ387&gt;=DI387, 1))</f>
        <v>2</v>
      </c>
      <c r="DM387" s="58">
        <f t="array" ref="DM387">SUM(IF(DI387:DJ387&gt;=DJ387, 1))</f>
        <v>1</v>
      </c>
      <c r="DO387" s="109">
        <f t="shared" si="174"/>
        <v>-6304024.4918413963</v>
      </c>
      <c r="DP387" s="109">
        <f t="shared" si="175"/>
        <v>0</v>
      </c>
      <c r="DR387" s="58">
        <f t="array" ref="DR387">SUM(IF(DO387:DP387&gt;=DO387, 1))</f>
        <v>2</v>
      </c>
      <c r="DS387" s="58">
        <f t="array" ref="DS387">SUM(IF(DO387:DP387&gt;=DP387, 1))</f>
        <v>1</v>
      </c>
      <c r="DU387" s="109">
        <f t="shared" si="176"/>
        <v>-34254425.791516513</v>
      </c>
      <c r="DV387" s="109">
        <f t="shared" si="177"/>
        <v>0</v>
      </c>
      <c r="DX387" s="58">
        <f t="array" ref="DX387">SUM(IF(DU387:DV387&gt;=DU387, 1))</f>
        <v>2</v>
      </c>
      <c r="DY387" s="58">
        <f t="array" ref="DY387">SUM(IF(DU387:DV387&gt;=DV387, 1))</f>
        <v>1</v>
      </c>
      <c r="EA387" s="109">
        <f t="shared" si="178"/>
        <v>-214327206.47168389</v>
      </c>
      <c r="EB387" s="109">
        <f t="shared" si="179"/>
        <v>0</v>
      </c>
      <c r="ED387" s="58">
        <f t="array" ref="ED387">SUM(IF(EA387:EB387&gt;=EA387, 1))</f>
        <v>2</v>
      </c>
      <c r="EE387" s="58">
        <f t="array" ref="EE387">SUM(IF(EA387:EB387&gt;=EB387, 1))</f>
        <v>1</v>
      </c>
    </row>
    <row r="388" spans="4:135" ht="12" customHeight="1" x14ac:dyDescent="0.25">
      <c r="D388" s="11">
        <v>372</v>
      </c>
      <c r="E388" s="72">
        <v>262.7477965310668</v>
      </c>
      <c r="F388" s="72">
        <v>241.33913240740131</v>
      </c>
      <c r="G388" s="73"/>
      <c r="H388" s="74">
        <v>5.8484810380034071</v>
      </c>
      <c r="I388" s="74">
        <v>5.8631837435449823</v>
      </c>
      <c r="J388" s="73"/>
      <c r="K388" s="72">
        <v>282.25189512843622</v>
      </c>
      <c r="L388" s="72">
        <v>260.26980485691934</v>
      </c>
      <c r="M388" s="73"/>
      <c r="N388" s="74">
        <v>6.704680142209213</v>
      </c>
      <c r="O388" s="74">
        <v>6.7162222154691564</v>
      </c>
      <c r="P388" s="73"/>
      <c r="Q388" s="72">
        <v>2141.831967073656</v>
      </c>
      <c r="R388" s="72">
        <v>1456.6450843860994</v>
      </c>
      <c r="S388" s="73"/>
      <c r="T388" s="74">
        <v>4.9398460402377156</v>
      </c>
      <c r="U388" s="74">
        <v>5.0121196577614615</v>
      </c>
      <c r="V388" s="73"/>
      <c r="W388" s="72">
        <v>17216.153125398429</v>
      </c>
      <c r="X388" s="72">
        <v>17156.340182784072</v>
      </c>
      <c r="Y388" s="73"/>
      <c r="Z388" s="74">
        <v>2.8619178289055403</v>
      </c>
      <c r="AA388" s="74">
        <v>2.8779469600354735</v>
      </c>
      <c r="AB388" s="73"/>
      <c r="AC388" s="72">
        <v>50015.109726550749</v>
      </c>
      <c r="AD388" s="72">
        <v>49750.912555709619</v>
      </c>
      <c r="AE388" s="73"/>
      <c r="AF388" s="74">
        <v>4.2217893362545373</v>
      </c>
      <c r="AG388" s="74">
        <v>4.3582917675844044</v>
      </c>
      <c r="AH388" s="73"/>
      <c r="AI388" s="72">
        <v>2288437.2794498219</v>
      </c>
      <c r="AJ388" s="72">
        <v>0</v>
      </c>
      <c r="AK388" s="73"/>
      <c r="AL388" s="74">
        <v>-1571.6169526393285</v>
      </c>
      <c r="AM388" s="74">
        <v>0</v>
      </c>
      <c r="AN388" s="73"/>
      <c r="AO388" s="72">
        <v>145602.0432464047</v>
      </c>
      <c r="AP388" s="72">
        <v>0</v>
      </c>
      <c r="AQ388" s="73"/>
      <c r="AR388" s="74">
        <v>-76.450848358356836</v>
      </c>
      <c r="AS388" s="74">
        <v>0</v>
      </c>
      <c r="AT388" s="73"/>
      <c r="AU388" s="72">
        <v>15857664.366543984</v>
      </c>
      <c r="AV388" s="72">
        <v>0</v>
      </c>
      <c r="AW388" s="73"/>
      <c r="AX388" s="74">
        <v>-1672.6688706475857</v>
      </c>
      <c r="AY388" s="74">
        <v>0</v>
      </c>
      <c r="AZ388" s="73"/>
      <c r="BA388" s="72">
        <v>516816.05469125253</v>
      </c>
      <c r="BB388" s="72">
        <v>0</v>
      </c>
      <c r="BC388" s="73"/>
      <c r="BD388" s="74">
        <v>-138.50033034008237</v>
      </c>
      <c r="BE388" s="74">
        <v>0</v>
      </c>
      <c r="BF388" s="73"/>
      <c r="BG388" s="72">
        <v>4229579.0530177904</v>
      </c>
      <c r="BH388" s="72">
        <v>0</v>
      </c>
      <c r="BI388" s="73"/>
      <c r="BJ388" s="74">
        <v>-2185.2914715198976</v>
      </c>
      <c r="BK388" s="74">
        <v>0</v>
      </c>
      <c r="BL388" s="73"/>
      <c r="BM388" s="72">
        <v>23038098.796949252</v>
      </c>
      <c r="BN388" s="72">
        <v>0</v>
      </c>
      <c r="BO388" s="73"/>
      <c r="BP388" s="74">
        <v>-5644.5284735052501</v>
      </c>
      <c r="BQ388" s="74">
        <v>0</v>
      </c>
      <c r="BS388" s="109">
        <f t="shared" si="159"/>
        <v>116706.87296353707</v>
      </c>
      <c r="BT388" s="109">
        <f t="shared" si="160"/>
        <v>117022.33573849224</v>
      </c>
      <c r="BV388" s="58">
        <f t="array" ref="BV388">SUM(IF(BS388:BT388&gt;=BS388, 1))</f>
        <v>2</v>
      </c>
      <c r="BW388" s="58">
        <f t="array" ref="BW388">SUM(IF(BS388:BT388&gt;=BT388, 1))</f>
        <v>1</v>
      </c>
      <c r="BY388" s="109">
        <f t="shared" si="161"/>
        <v>133811.35094905584</v>
      </c>
      <c r="BZ388" s="109">
        <f t="shared" si="162"/>
        <v>134064.17450452622</v>
      </c>
      <c r="CB388" s="58">
        <f t="array" ref="CB388">SUM(IF(BY388:BZ388&gt;=BY388, 1))</f>
        <v>2</v>
      </c>
      <c r="CC388" s="58">
        <f t="array" ref="CC388">SUM(IF(BY388:BZ388&gt;=BZ388, 1))</f>
        <v>1</v>
      </c>
      <c r="CE388" s="109">
        <f t="shared" si="163"/>
        <v>96655.088837680654</v>
      </c>
      <c r="CF388" s="109">
        <f t="shared" si="164"/>
        <v>98785.748070843139</v>
      </c>
      <c r="CH388" s="58">
        <f t="array" ref="CH388">SUM(IF(CE388:CF388&gt;=CE388, 1))</f>
        <v>2</v>
      </c>
      <c r="CI388" s="58">
        <f t="array" ref="CI388">SUM(IF(CE388:CF388&gt;=CF388, 1))</f>
        <v>1</v>
      </c>
      <c r="CK388" s="109">
        <f t="shared" si="165"/>
        <v>40022.203452712376</v>
      </c>
      <c r="CL388" s="109">
        <f t="shared" si="166"/>
        <v>40402.5990179254</v>
      </c>
      <c r="CN388" s="58">
        <f t="array" ref="CN388">SUM(IF(CK388:CL388&gt;=CK388, 1))</f>
        <v>2</v>
      </c>
      <c r="CO388" s="58">
        <f t="array" ref="CO388">SUM(IF(CK388:CL388&gt;=CL388, 1))</f>
        <v>1</v>
      </c>
      <c r="CQ388" s="109" cm="1">
        <f t="array" ref="CQ388">AF388*WTP-AC388</f>
        <v>34420.676998539995</v>
      </c>
      <c r="CR388" s="109">
        <f t="shared" si="167"/>
        <v>37414.922795978469</v>
      </c>
      <c r="CT388" s="58">
        <f t="array" ref="CT388">SUM(IF(CQ388:CR388&gt;=CQ388, 1))</f>
        <v>2</v>
      </c>
      <c r="CU388" s="58">
        <f t="array" ref="CU388">SUM(IF(CQ388:CR388&gt;=CR388, 1))</f>
        <v>1</v>
      </c>
      <c r="CW388" s="109">
        <f t="shared" si="168"/>
        <v>-33720776.332236394</v>
      </c>
      <c r="CX388" s="109">
        <f t="shared" si="169"/>
        <v>0</v>
      </c>
      <c r="CZ388" s="58">
        <f t="array" ref="CZ388">SUM(IF(CW388:CX388&gt;=CW388, 1))</f>
        <v>2</v>
      </c>
      <c r="DA388" s="58">
        <f t="array" ref="DA388">SUM(IF(CW388:CX388&gt;=CX388, 1))</f>
        <v>1</v>
      </c>
      <c r="DC388" s="109">
        <f t="shared" si="170"/>
        <v>-1674619.0104135415</v>
      </c>
      <c r="DD388" s="109">
        <f t="shared" si="171"/>
        <v>0</v>
      </c>
      <c r="DF388" s="58">
        <f t="array" ref="DF388">SUM(IF(DC388:DD388&gt;=DC388, 1))</f>
        <v>2</v>
      </c>
      <c r="DG388" s="58">
        <f t="array" ref="DG388">SUM(IF(DC388:DD388&gt;=DD388, 1))</f>
        <v>1</v>
      </c>
      <c r="DI388" s="109">
        <f t="shared" si="172"/>
        <v>-49311041.779495694</v>
      </c>
      <c r="DJ388" s="109">
        <f t="shared" si="173"/>
        <v>0</v>
      </c>
      <c r="DL388" s="58">
        <f t="array" ref="DL388">SUM(IF(DI388:DJ388&gt;=DI388, 1))</f>
        <v>2</v>
      </c>
      <c r="DM388" s="58">
        <f t="array" ref="DM388">SUM(IF(DI388:DJ388&gt;=DJ388, 1))</f>
        <v>1</v>
      </c>
      <c r="DO388" s="109">
        <f t="shared" si="174"/>
        <v>-3286822.6614929</v>
      </c>
      <c r="DP388" s="109">
        <f t="shared" si="175"/>
        <v>0</v>
      </c>
      <c r="DR388" s="58">
        <f t="array" ref="DR388">SUM(IF(DO388:DP388&gt;=DO388, 1))</f>
        <v>2</v>
      </c>
      <c r="DS388" s="58">
        <f t="array" ref="DS388">SUM(IF(DO388:DP388&gt;=DP388, 1))</f>
        <v>1</v>
      </c>
      <c r="DU388" s="109">
        <f t="shared" si="176"/>
        <v>-47935408.483415738</v>
      </c>
      <c r="DV388" s="109">
        <f t="shared" si="177"/>
        <v>0</v>
      </c>
      <c r="DX388" s="58">
        <f t="array" ref="DX388">SUM(IF(DU388:DV388&gt;=DU388, 1))</f>
        <v>2</v>
      </c>
      <c r="DY388" s="58">
        <f t="array" ref="DY388">SUM(IF(DU388:DV388&gt;=DV388, 1))</f>
        <v>1</v>
      </c>
      <c r="EA388" s="109">
        <f t="shared" si="178"/>
        <v>-135928668.26705426</v>
      </c>
      <c r="EB388" s="109">
        <f t="shared" si="179"/>
        <v>0</v>
      </c>
      <c r="ED388" s="58">
        <f t="array" ref="ED388">SUM(IF(EA388:EB388&gt;=EA388, 1))</f>
        <v>2</v>
      </c>
      <c r="EE388" s="58">
        <f t="array" ref="EE388">SUM(IF(EA388:EB388&gt;=EB388, 1))</f>
        <v>1</v>
      </c>
    </row>
    <row r="389" spans="4:135" ht="12" customHeight="1" x14ac:dyDescent="0.25">
      <c r="D389" s="11">
        <v>373</v>
      </c>
      <c r="E389" s="72">
        <v>258.75962129109098</v>
      </c>
      <c r="F389" s="72">
        <v>230.21417732521596</v>
      </c>
      <c r="G389" s="73"/>
      <c r="H389" s="74">
        <v>5.7520917097536142</v>
      </c>
      <c r="I389" s="74">
        <v>5.7711079348905043</v>
      </c>
      <c r="J389" s="73"/>
      <c r="K389" s="72">
        <v>277.40250353397636</v>
      </c>
      <c r="L389" s="72">
        <v>248.16326611059455</v>
      </c>
      <c r="M389" s="73"/>
      <c r="N389" s="74">
        <v>6.7373739288019161</v>
      </c>
      <c r="O389" s="74">
        <v>6.7542131146800486</v>
      </c>
      <c r="P389" s="73"/>
      <c r="Q389" s="72">
        <v>2370.7345816316938</v>
      </c>
      <c r="R389" s="72">
        <v>1685.1348485450344</v>
      </c>
      <c r="S389" s="73"/>
      <c r="T389" s="74">
        <v>4.7025142956629837</v>
      </c>
      <c r="U389" s="74">
        <v>4.7573961649817518</v>
      </c>
      <c r="V389" s="73"/>
      <c r="W389" s="72">
        <v>13071.605111205112</v>
      </c>
      <c r="X389" s="72">
        <v>13034.325422247925</v>
      </c>
      <c r="Y389" s="73"/>
      <c r="Z389" s="74">
        <v>3.0649006540111752</v>
      </c>
      <c r="AA389" s="74">
        <v>3.093715038511057</v>
      </c>
      <c r="AB389" s="73"/>
      <c r="AC389" s="72">
        <v>48522.751827664062</v>
      </c>
      <c r="AD389" s="72">
        <v>48641.617874938638</v>
      </c>
      <c r="AE389" s="73"/>
      <c r="AF389" s="74">
        <v>3.9933313221318021</v>
      </c>
      <c r="AG389" s="74">
        <v>4.0352890025483994</v>
      </c>
      <c r="AH389" s="73"/>
      <c r="AI389" s="72">
        <v>3076525.8117154692</v>
      </c>
      <c r="AJ389" s="72">
        <v>0</v>
      </c>
      <c r="AK389" s="73"/>
      <c r="AL389" s="74">
        <v>-2049.5007029834351</v>
      </c>
      <c r="AM389" s="74">
        <v>0</v>
      </c>
      <c r="AN389" s="73"/>
      <c r="AO389" s="72">
        <v>212104.85214885022</v>
      </c>
      <c r="AP389" s="72">
        <v>0</v>
      </c>
      <c r="AQ389" s="73"/>
      <c r="AR389" s="74">
        <v>-122.15342620844585</v>
      </c>
      <c r="AS389" s="74">
        <v>0</v>
      </c>
      <c r="AT389" s="73"/>
      <c r="AU389" s="72">
        <v>16253350.801295502</v>
      </c>
      <c r="AV389" s="72">
        <v>0</v>
      </c>
      <c r="AW389" s="73"/>
      <c r="AX389" s="74">
        <v>-1301.0715022493212</v>
      </c>
      <c r="AY389" s="74">
        <v>0</v>
      </c>
      <c r="AZ389" s="73"/>
      <c r="BA389" s="72">
        <v>325248.45569730166</v>
      </c>
      <c r="BB389" s="72">
        <v>0</v>
      </c>
      <c r="BC389" s="73"/>
      <c r="BD389" s="74">
        <v>-251.39249609130638</v>
      </c>
      <c r="BE389" s="74">
        <v>0</v>
      </c>
      <c r="BF389" s="73"/>
      <c r="BG389" s="72">
        <v>-1865750.6208765977</v>
      </c>
      <c r="BH389" s="72">
        <v>0</v>
      </c>
      <c r="BI389" s="73"/>
      <c r="BJ389" s="74">
        <v>-658.57803874792432</v>
      </c>
      <c r="BK389" s="74">
        <v>0</v>
      </c>
      <c r="BL389" s="73"/>
      <c r="BM389" s="72">
        <v>18001479.299980525</v>
      </c>
      <c r="BN389" s="72">
        <v>0</v>
      </c>
      <c r="BO389" s="73"/>
      <c r="BP389" s="74">
        <v>-4382.6961662804333</v>
      </c>
      <c r="BQ389" s="74">
        <v>0</v>
      </c>
      <c r="BS389" s="109">
        <f t="shared" si="159"/>
        <v>114783.0745737812</v>
      </c>
      <c r="BT389" s="109">
        <f t="shared" si="160"/>
        <v>115191.94452048486</v>
      </c>
      <c r="BV389" s="58">
        <f t="array" ref="BV389">SUM(IF(BS389:BT389&gt;=BS389, 1))</f>
        <v>2</v>
      </c>
      <c r="BW389" s="58">
        <f t="array" ref="BW389">SUM(IF(BS389:BT389&gt;=BT389, 1))</f>
        <v>1</v>
      </c>
      <c r="BY389" s="109">
        <f t="shared" si="161"/>
        <v>134470.07607250434</v>
      </c>
      <c r="BZ389" s="109">
        <f t="shared" si="162"/>
        <v>134836.09902749039</v>
      </c>
      <c r="CB389" s="58">
        <f t="array" ref="CB389">SUM(IF(BY389:BZ389&gt;=BY389, 1))</f>
        <v>2</v>
      </c>
      <c r="CC389" s="58">
        <f t="array" ref="CC389">SUM(IF(BY389:BZ389&gt;=BZ389, 1))</f>
        <v>1</v>
      </c>
      <c r="CE389" s="109">
        <f t="shared" si="163"/>
        <v>91679.551331627983</v>
      </c>
      <c r="CF389" s="109">
        <f t="shared" si="164"/>
        <v>93462.788451090004</v>
      </c>
      <c r="CH389" s="58">
        <f t="array" ref="CH389">SUM(IF(CE389:CF389&gt;=CE389, 1))</f>
        <v>2</v>
      </c>
      <c r="CI389" s="58">
        <f t="array" ref="CI389">SUM(IF(CE389:CF389&gt;=CF389, 1))</f>
        <v>1</v>
      </c>
      <c r="CK389" s="109">
        <f t="shared" si="165"/>
        <v>48226.407969018386</v>
      </c>
      <c r="CL389" s="109">
        <f t="shared" si="166"/>
        <v>48839.975347973217</v>
      </c>
      <c r="CN389" s="58">
        <f t="array" ref="CN389">SUM(IF(CK389:CL389&gt;=CK389, 1))</f>
        <v>2</v>
      </c>
      <c r="CO389" s="58">
        <f t="array" ref="CO389">SUM(IF(CK389:CL389&gt;=CL389, 1))</f>
        <v>1</v>
      </c>
      <c r="CQ389" s="109" cm="1">
        <f t="array" ref="CQ389">AF389*WTP-AC389</f>
        <v>31343.874614971981</v>
      </c>
      <c r="CR389" s="109">
        <f t="shared" si="167"/>
        <v>32064.162176029356</v>
      </c>
      <c r="CT389" s="58">
        <f t="array" ref="CT389">SUM(IF(CQ389:CR389&gt;=CQ389, 1))</f>
        <v>2</v>
      </c>
      <c r="CU389" s="58">
        <f t="array" ref="CU389">SUM(IF(CQ389:CR389&gt;=CR389, 1))</f>
        <v>1</v>
      </c>
      <c r="CW389" s="109">
        <f t="shared" si="168"/>
        <v>-44066539.871384174</v>
      </c>
      <c r="CX389" s="109">
        <f t="shared" si="169"/>
        <v>0</v>
      </c>
      <c r="CZ389" s="58">
        <f t="array" ref="CZ389">SUM(IF(CW389:CX389&gt;=CW389, 1))</f>
        <v>2</v>
      </c>
      <c r="DA389" s="58">
        <f t="array" ref="DA389">SUM(IF(CW389:CX389&gt;=CX389, 1))</f>
        <v>1</v>
      </c>
      <c r="DC389" s="109">
        <f t="shared" si="170"/>
        <v>-2655173.3763177674</v>
      </c>
      <c r="DD389" s="109">
        <f t="shared" si="171"/>
        <v>0</v>
      </c>
      <c r="DF389" s="58">
        <f t="array" ref="DF389">SUM(IF(DC389:DD389&gt;=DC389, 1))</f>
        <v>2</v>
      </c>
      <c r="DG389" s="58">
        <f t="array" ref="DG389">SUM(IF(DC389:DD389&gt;=DD389, 1))</f>
        <v>1</v>
      </c>
      <c r="DI389" s="109">
        <f t="shared" si="172"/>
        <v>-42274780.846281923</v>
      </c>
      <c r="DJ389" s="109">
        <f t="shared" si="173"/>
        <v>0</v>
      </c>
      <c r="DL389" s="58">
        <f t="array" ref="DL389">SUM(IF(DI389:DJ389&gt;=DI389, 1))</f>
        <v>2</v>
      </c>
      <c r="DM389" s="58">
        <f t="array" ref="DM389">SUM(IF(DI389:DJ389&gt;=DJ389, 1))</f>
        <v>1</v>
      </c>
      <c r="DO389" s="109">
        <f t="shared" si="174"/>
        <v>-5353098.3775234297</v>
      </c>
      <c r="DP389" s="109">
        <f t="shared" si="175"/>
        <v>0</v>
      </c>
      <c r="DR389" s="58">
        <f t="array" ref="DR389">SUM(IF(DO389:DP389&gt;=DO389, 1))</f>
        <v>2</v>
      </c>
      <c r="DS389" s="58">
        <f t="array" ref="DS389">SUM(IF(DO389:DP389&gt;=DP389, 1))</f>
        <v>1</v>
      </c>
      <c r="DU389" s="109">
        <f t="shared" si="176"/>
        <v>-11305810.154081888</v>
      </c>
      <c r="DV389" s="109">
        <f t="shared" si="177"/>
        <v>0</v>
      </c>
      <c r="DX389" s="58">
        <f t="array" ref="DX389">SUM(IF(DU389:DV389&gt;=DU389, 1))</f>
        <v>2</v>
      </c>
      <c r="DY389" s="58">
        <f t="array" ref="DY389">SUM(IF(DU389:DV389&gt;=DV389, 1))</f>
        <v>1</v>
      </c>
      <c r="EA389" s="109">
        <f t="shared" si="178"/>
        <v>-105655402.62558919</v>
      </c>
      <c r="EB389" s="109">
        <f t="shared" si="179"/>
        <v>0</v>
      </c>
      <c r="ED389" s="58">
        <f t="array" ref="ED389">SUM(IF(EA389:EB389&gt;=EA389, 1))</f>
        <v>2</v>
      </c>
      <c r="EE389" s="58">
        <f t="array" ref="EE389">SUM(IF(EA389:EB389&gt;=EB389, 1))</f>
        <v>1</v>
      </c>
    </row>
    <row r="390" spans="4:135" ht="12" customHeight="1" x14ac:dyDescent="0.25">
      <c r="D390" s="11">
        <v>374</v>
      </c>
      <c r="E390" s="72">
        <v>277.88699011383142</v>
      </c>
      <c r="F390" s="72">
        <v>248.3612759271758</v>
      </c>
      <c r="G390" s="73"/>
      <c r="H390" s="74">
        <v>5.7614251089025199</v>
      </c>
      <c r="I390" s="74">
        <v>5.7827242451925489</v>
      </c>
      <c r="J390" s="73"/>
      <c r="K390" s="72">
        <v>297.94747944514586</v>
      </c>
      <c r="L390" s="72">
        <v>267.70719863484385</v>
      </c>
      <c r="M390" s="73"/>
      <c r="N390" s="74">
        <v>6.7054961034851583</v>
      </c>
      <c r="O390" s="74">
        <v>6.724886686288774</v>
      </c>
      <c r="P390" s="73"/>
      <c r="Q390" s="72">
        <v>2017.4452607645369</v>
      </c>
      <c r="R390" s="72">
        <v>1410.7988139527504</v>
      </c>
      <c r="S390" s="73"/>
      <c r="T390" s="74">
        <v>4.6468001328036834</v>
      </c>
      <c r="U390" s="74">
        <v>4.7187222003948683</v>
      </c>
      <c r="V390" s="73"/>
      <c r="W390" s="72">
        <v>10900.419064513308</v>
      </c>
      <c r="X390" s="72">
        <v>10923.001713924083</v>
      </c>
      <c r="Y390" s="73"/>
      <c r="Z390" s="74">
        <v>2.8832501261803554</v>
      </c>
      <c r="AA390" s="74">
        <v>2.9404723791533764</v>
      </c>
      <c r="AB390" s="73"/>
      <c r="AC390" s="72">
        <v>51100.205972932541</v>
      </c>
      <c r="AD390" s="72">
        <v>50834.134832974349</v>
      </c>
      <c r="AE390" s="73"/>
      <c r="AF390" s="74">
        <v>4.2568646180940002</v>
      </c>
      <c r="AG390" s="74">
        <v>4.3421016257855731</v>
      </c>
      <c r="AH390" s="73"/>
      <c r="AI390" s="72">
        <v>3196260.6049584555</v>
      </c>
      <c r="AJ390" s="72">
        <v>0</v>
      </c>
      <c r="AK390" s="73"/>
      <c r="AL390" s="74">
        <v>-2305.705115652338</v>
      </c>
      <c r="AM390" s="74">
        <v>0</v>
      </c>
      <c r="AN390" s="73"/>
      <c r="AO390" s="72">
        <v>212319.87643903922</v>
      </c>
      <c r="AP390" s="72">
        <v>0</v>
      </c>
      <c r="AQ390" s="73"/>
      <c r="AR390" s="74">
        <v>-136.14311886753634</v>
      </c>
      <c r="AS390" s="74">
        <v>0</v>
      </c>
      <c r="AT390" s="73"/>
      <c r="AU390" s="72">
        <v>14200486.027315816</v>
      </c>
      <c r="AV390" s="72">
        <v>0</v>
      </c>
      <c r="AW390" s="73"/>
      <c r="AX390" s="74">
        <v>-1683.5643252372902</v>
      </c>
      <c r="AY390" s="74">
        <v>0</v>
      </c>
      <c r="AZ390" s="73"/>
      <c r="BA390" s="72">
        <v>-213523.63306030718</v>
      </c>
      <c r="BB390" s="72">
        <v>0</v>
      </c>
      <c r="BC390" s="73"/>
      <c r="BD390" s="74">
        <v>-541.04826782926557</v>
      </c>
      <c r="BE390" s="74">
        <v>0</v>
      </c>
      <c r="BF390" s="73"/>
      <c r="BG390" s="72">
        <v>4171628.8606577017</v>
      </c>
      <c r="BH390" s="72">
        <v>0</v>
      </c>
      <c r="BI390" s="73"/>
      <c r="BJ390" s="74">
        <v>-1336.3988343047647</v>
      </c>
      <c r="BK390" s="74">
        <v>0</v>
      </c>
      <c r="BL390" s="73"/>
      <c r="BM390" s="72">
        <v>21567171.736310709</v>
      </c>
      <c r="BN390" s="72">
        <v>0</v>
      </c>
      <c r="BO390" s="73"/>
      <c r="BP390" s="74">
        <v>-6002.8596618911952</v>
      </c>
      <c r="BQ390" s="74">
        <v>0</v>
      </c>
      <c r="BS390" s="109">
        <f t="shared" si="159"/>
        <v>114950.61518793658</v>
      </c>
      <c r="BT390" s="109">
        <f t="shared" si="160"/>
        <v>115406.12362792379</v>
      </c>
      <c r="BV390" s="58">
        <f t="array" ref="BV390">SUM(IF(BS390:BT390&gt;=BS390, 1))</f>
        <v>2</v>
      </c>
      <c r="BW390" s="58">
        <f t="array" ref="BW390">SUM(IF(BS390:BT390&gt;=BT390, 1))</f>
        <v>1</v>
      </c>
      <c r="BY390" s="109">
        <f t="shared" si="161"/>
        <v>133811.97459025803</v>
      </c>
      <c r="BZ390" s="109">
        <f t="shared" si="162"/>
        <v>134230.02652714064</v>
      </c>
      <c r="CB390" s="58">
        <f t="array" ref="CB390">SUM(IF(BY390:BZ390&gt;=BY390, 1))</f>
        <v>2</v>
      </c>
      <c r="CC390" s="58">
        <f t="array" ref="CC390">SUM(IF(BY390:BZ390&gt;=BZ390, 1))</f>
        <v>1</v>
      </c>
      <c r="CE390" s="109">
        <f t="shared" si="163"/>
        <v>90918.557395309137</v>
      </c>
      <c r="CF390" s="109">
        <f t="shared" si="164"/>
        <v>92963.645193944627</v>
      </c>
      <c r="CH390" s="58">
        <f t="array" ref="CH390">SUM(IF(CE390:CF390&gt;=CE390, 1))</f>
        <v>2</v>
      </c>
      <c r="CI390" s="58">
        <f t="array" ref="CI390">SUM(IF(CE390:CF390&gt;=CF390, 1))</f>
        <v>1</v>
      </c>
      <c r="CK390" s="109">
        <f t="shared" si="165"/>
        <v>46764.583459093803</v>
      </c>
      <c r="CL390" s="109">
        <f t="shared" si="166"/>
        <v>47886.445869143448</v>
      </c>
      <c r="CN390" s="58">
        <f t="array" ref="CN390">SUM(IF(CK390:CL390&gt;=CK390, 1))</f>
        <v>2</v>
      </c>
      <c r="CO390" s="58">
        <f t="array" ref="CO390">SUM(IF(CK390:CL390&gt;=CL390, 1))</f>
        <v>1</v>
      </c>
      <c r="CQ390" s="109" cm="1">
        <f t="array" ref="CQ390">AF390*WTP-AC390</f>
        <v>34037.086388947457</v>
      </c>
      <c r="CR390" s="109">
        <f t="shared" si="167"/>
        <v>36007.897682737108</v>
      </c>
      <c r="CT390" s="58">
        <f t="array" ref="CT390">SUM(IF(CQ390:CR390&gt;=CQ390, 1))</f>
        <v>2</v>
      </c>
      <c r="CU390" s="58">
        <f t="array" ref="CU390">SUM(IF(CQ390:CR390&gt;=CR390, 1))</f>
        <v>1</v>
      </c>
      <c r="CW390" s="109">
        <f t="shared" si="168"/>
        <v>-49310362.918005213</v>
      </c>
      <c r="CX390" s="109">
        <f t="shared" si="169"/>
        <v>0</v>
      </c>
      <c r="CZ390" s="58">
        <f t="array" ref="CZ390">SUM(IF(CW390:CX390&gt;=CW390, 1))</f>
        <v>2</v>
      </c>
      <c r="DA390" s="58">
        <f t="array" ref="DA390">SUM(IF(CW390:CX390&gt;=CX390, 1))</f>
        <v>1</v>
      </c>
      <c r="DC390" s="109">
        <f t="shared" si="170"/>
        <v>-2935182.2537897662</v>
      </c>
      <c r="DD390" s="109">
        <f t="shared" si="171"/>
        <v>0</v>
      </c>
      <c r="DF390" s="58">
        <f t="array" ref="DF390">SUM(IF(DC390:DD390&gt;=DC390, 1))</f>
        <v>2</v>
      </c>
      <c r="DG390" s="58">
        <f t="array" ref="DG390">SUM(IF(DC390:DD390&gt;=DD390, 1))</f>
        <v>1</v>
      </c>
      <c r="DI390" s="109">
        <f t="shared" si="172"/>
        <v>-47871772.532061622</v>
      </c>
      <c r="DJ390" s="109">
        <f t="shared" si="173"/>
        <v>0</v>
      </c>
      <c r="DL390" s="58">
        <f t="array" ref="DL390">SUM(IF(DI390:DJ390&gt;=DI390, 1))</f>
        <v>2</v>
      </c>
      <c r="DM390" s="58">
        <f t="array" ref="DM390">SUM(IF(DI390:DJ390&gt;=DJ390, 1))</f>
        <v>1</v>
      </c>
      <c r="DO390" s="109">
        <f t="shared" si="174"/>
        <v>-10607441.723525004</v>
      </c>
      <c r="DP390" s="109">
        <f t="shared" si="175"/>
        <v>0</v>
      </c>
      <c r="DR390" s="58">
        <f t="array" ref="DR390">SUM(IF(DO390:DP390&gt;=DO390, 1))</f>
        <v>2</v>
      </c>
      <c r="DS390" s="58">
        <f t="array" ref="DS390">SUM(IF(DO390:DP390&gt;=DP390, 1))</f>
        <v>1</v>
      </c>
      <c r="DU390" s="109">
        <f t="shared" si="176"/>
        <v>-30899605.546752997</v>
      </c>
      <c r="DV390" s="109">
        <f t="shared" si="177"/>
        <v>0</v>
      </c>
      <c r="DX390" s="58">
        <f t="array" ref="DX390">SUM(IF(DU390:DV390&gt;=DU390, 1))</f>
        <v>2</v>
      </c>
      <c r="DY390" s="58">
        <f t="array" ref="DY390">SUM(IF(DU390:DV390&gt;=DV390, 1))</f>
        <v>1</v>
      </c>
      <c r="EA390" s="109">
        <f t="shared" si="178"/>
        <v>-141624364.97413462</v>
      </c>
      <c r="EB390" s="109">
        <f t="shared" si="179"/>
        <v>0</v>
      </c>
      <c r="ED390" s="58">
        <f t="array" ref="ED390">SUM(IF(EA390:EB390&gt;=EA390, 1))</f>
        <v>2</v>
      </c>
      <c r="EE390" s="58">
        <f t="array" ref="EE390">SUM(IF(EA390:EB390&gt;=EB390, 1))</f>
        <v>1</v>
      </c>
    </row>
    <row r="391" spans="4:135" ht="12" customHeight="1" x14ac:dyDescent="0.25">
      <c r="D391" s="11">
        <v>375</v>
      </c>
      <c r="E391" s="72">
        <v>331.72255447306907</v>
      </c>
      <c r="F391" s="72">
        <v>313.83618294488826</v>
      </c>
      <c r="G391" s="73"/>
      <c r="H391" s="74">
        <v>5.8961722317934946</v>
      </c>
      <c r="I391" s="74">
        <v>5.9125359064447132</v>
      </c>
      <c r="J391" s="73"/>
      <c r="K391" s="72">
        <v>356.78997307456365</v>
      </c>
      <c r="L391" s="72">
        <v>338.45501355722621</v>
      </c>
      <c r="M391" s="73"/>
      <c r="N391" s="74">
        <v>6.6956292869500285</v>
      </c>
      <c r="O391" s="74">
        <v>6.7101951130504434</v>
      </c>
      <c r="P391" s="73"/>
      <c r="Q391" s="72">
        <v>2743.863860236876</v>
      </c>
      <c r="R391" s="72">
        <v>1730.0081505167668</v>
      </c>
      <c r="S391" s="73"/>
      <c r="T391" s="74">
        <v>5.067474567908465</v>
      </c>
      <c r="U391" s="74">
        <v>5.1521734477397061</v>
      </c>
      <c r="V391" s="73"/>
      <c r="W391" s="72">
        <v>15241.808595905619</v>
      </c>
      <c r="X391" s="72">
        <v>15251.957370656277</v>
      </c>
      <c r="Y391" s="73"/>
      <c r="Z391" s="74">
        <v>3.0916603463577719</v>
      </c>
      <c r="AA391" s="74">
        <v>3.1511957864275919</v>
      </c>
      <c r="AB391" s="73"/>
      <c r="AC391" s="72">
        <v>50980.424730955092</v>
      </c>
      <c r="AD391" s="72">
        <v>50670.466397549484</v>
      </c>
      <c r="AE391" s="73"/>
      <c r="AF391" s="74">
        <v>4.1737483869049239</v>
      </c>
      <c r="AG391" s="74">
        <v>4.3312528908496217</v>
      </c>
      <c r="AH391" s="73"/>
      <c r="AI391" s="72">
        <v>1914562.1119345466</v>
      </c>
      <c r="AJ391" s="72">
        <v>0</v>
      </c>
      <c r="AK391" s="73"/>
      <c r="AL391" s="74">
        <v>-1751.5722207763674</v>
      </c>
      <c r="AM391" s="74">
        <v>0</v>
      </c>
      <c r="AN391" s="73"/>
      <c r="AO391" s="72">
        <v>127085.49264675142</v>
      </c>
      <c r="AP391" s="72">
        <v>0</v>
      </c>
      <c r="AQ391" s="73"/>
      <c r="AR391" s="74">
        <v>-100.9604184851209</v>
      </c>
      <c r="AS391" s="74">
        <v>0</v>
      </c>
      <c r="AT391" s="73"/>
      <c r="AU391" s="72">
        <v>23986880.111784361</v>
      </c>
      <c r="AV391" s="72">
        <v>0</v>
      </c>
      <c r="AW391" s="73"/>
      <c r="AX391" s="74">
        <v>-2003.8964683399415</v>
      </c>
      <c r="AY391" s="74">
        <v>0</v>
      </c>
      <c r="AZ391" s="73"/>
      <c r="BA391" s="72">
        <v>-88247.993918235967</v>
      </c>
      <c r="BB391" s="72">
        <v>0</v>
      </c>
      <c r="BC391" s="73"/>
      <c r="BD391" s="74">
        <v>-517.68644809663522</v>
      </c>
      <c r="BE391" s="74">
        <v>0</v>
      </c>
      <c r="BF391" s="73"/>
      <c r="BG391" s="72">
        <v>4931728.2467280626</v>
      </c>
      <c r="BH391" s="72">
        <v>0</v>
      </c>
      <c r="BI391" s="73"/>
      <c r="BJ391" s="74">
        <v>-2506.0446110816019</v>
      </c>
      <c r="BK391" s="74">
        <v>0</v>
      </c>
      <c r="BL391" s="73"/>
      <c r="BM391" s="72">
        <v>30872007.969175484</v>
      </c>
      <c r="BN391" s="72">
        <v>0</v>
      </c>
      <c r="BO391" s="73"/>
      <c r="BP391" s="74">
        <v>-6880.1601667796667</v>
      </c>
      <c r="BQ391" s="74">
        <v>0</v>
      </c>
      <c r="BS391" s="109">
        <f t="shared" si="159"/>
        <v>117591.72208139682</v>
      </c>
      <c r="BT391" s="109">
        <f t="shared" si="160"/>
        <v>117936.88194594938</v>
      </c>
      <c r="BV391" s="58">
        <f t="array" ref="BV391">SUM(IF(BS391:BT391&gt;=BS391, 1))</f>
        <v>2</v>
      </c>
      <c r="BW391" s="58">
        <f t="array" ref="BW391">SUM(IF(BS391:BT391&gt;=BT391, 1))</f>
        <v>1</v>
      </c>
      <c r="BY391" s="109">
        <f t="shared" si="161"/>
        <v>133555.79576592598</v>
      </c>
      <c r="BZ391" s="109">
        <f t="shared" si="162"/>
        <v>133865.44724745164</v>
      </c>
      <c r="CB391" s="58">
        <f t="array" ref="CB391">SUM(IF(BY391:BZ391&gt;=BY391, 1))</f>
        <v>2</v>
      </c>
      <c r="CC391" s="58">
        <f t="array" ref="CC391">SUM(IF(BY391:BZ391&gt;=BZ391, 1))</f>
        <v>1</v>
      </c>
      <c r="CE391" s="109">
        <f t="shared" si="163"/>
        <v>98605.627497932423</v>
      </c>
      <c r="CF391" s="109">
        <f t="shared" si="164"/>
        <v>101313.46080427736</v>
      </c>
      <c r="CH391" s="58">
        <f t="array" ref="CH391">SUM(IF(CE391:CF391&gt;=CE391, 1))</f>
        <v>2</v>
      </c>
      <c r="CI391" s="58">
        <f t="array" ref="CI391">SUM(IF(CE391:CF391&gt;=CF391, 1))</f>
        <v>1</v>
      </c>
      <c r="CK391" s="109">
        <f t="shared" si="165"/>
        <v>46591.398331249817</v>
      </c>
      <c r="CL391" s="109">
        <f t="shared" si="166"/>
        <v>47771.958357895564</v>
      </c>
      <c r="CN391" s="58">
        <f t="array" ref="CN391">SUM(IF(CK391:CL391&gt;=CK391, 1))</f>
        <v>2</v>
      </c>
      <c r="CO391" s="58">
        <f t="array" ref="CO391">SUM(IF(CK391:CL391&gt;=CL391, 1))</f>
        <v>1</v>
      </c>
      <c r="CQ391" s="109" cm="1">
        <f t="array" ref="CQ391">AF391*WTP-AC391</f>
        <v>32494.543007143388</v>
      </c>
      <c r="CR391" s="109">
        <f t="shared" si="167"/>
        <v>35954.591419442957</v>
      </c>
      <c r="CT391" s="58">
        <f t="array" ref="CT391">SUM(IF(CQ391:CR391&gt;=CQ391, 1))</f>
        <v>2</v>
      </c>
      <c r="CU391" s="58">
        <f t="array" ref="CU391">SUM(IF(CQ391:CR391&gt;=CR391, 1))</f>
        <v>1</v>
      </c>
      <c r="CW391" s="109">
        <f t="shared" si="168"/>
        <v>-36946006.527461901</v>
      </c>
      <c r="CX391" s="109">
        <f t="shared" si="169"/>
        <v>0</v>
      </c>
      <c r="CZ391" s="58">
        <f t="array" ref="CZ391">SUM(IF(CW391:CX391&gt;=CW391, 1))</f>
        <v>2</v>
      </c>
      <c r="DA391" s="58">
        <f t="array" ref="DA391">SUM(IF(CW391:CX391&gt;=CX391, 1))</f>
        <v>1</v>
      </c>
      <c r="DC391" s="109">
        <f t="shared" si="170"/>
        <v>-2146293.8623491693</v>
      </c>
      <c r="DD391" s="109">
        <f t="shared" si="171"/>
        <v>0</v>
      </c>
      <c r="DF391" s="58">
        <f t="array" ref="DF391">SUM(IF(DC391:DD391&gt;=DC391, 1))</f>
        <v>2</v>
      </c>
      <c r="DG391" s="58">
        <f t="array" ref="DG391">SUM(IF(DC391:DD391&gt;=DD391, 1))</f>
        <v>1</v>
      </c>
      <c r="DI391" s="109">
        <f t="shared" si="172"/>
        <v>-64064809.478583194</v>
      </c>
      <c r="DJ391" s="109">
        <f t="shared" si="173"/>
        <v>0</v>
      </c>
      <c r="DL391" s="58">
        <f t="array" ref="DL391">SUM(IF(DI391:DJ391&gt;=DI391, 1))</f>
        <v>2</v>
      </c>
      <c r="DM391" s="58">
        <f t="array" ref="DM391">SUM(IF(DI391:DJ391&gt;=DJ391, 1))</f>
        <v>1</v>
      </c>
      <c r="DO391" s="109">
        <f t="shared" si="174"/>
        <v>-10265480.968014468</v>
      </c>
      <c r="DP391" s="109">
        <f t="shared" si="175"/>
        <v>0</v>
      </c>
      <c r="DR391" s="58">
        <f t="array" ref="DR391">SUM(IF(DO391:DP391&gt;=DO391, 1))</f>
        <v>2</v>
      </c>
      <c r="DS391" s="58">
        <f t="array" ref="DS391">SUM(IF(DO391:DP391&gt;=DP391, 1))</f>
        <v>1</v>
      </c>
      <c r="DU391" s="109">
        <f t="shared" si="176"/>
        <v>-55052620.468360104</v>
      </c>
      <c r="DV391" s="109">
        <f t="shared" si="177"/>
        <v>0</v>
      </c>
      <c r="DX391" s="58">
        <f t="array" ref="DX391">SUM(IF(DU391:DV391&gt;=DU391, 1))</f>
        <v>2</v>
      </c>
      <c r="DY391" s="58">
        <f t="array" ref="DY391">SUM(IF(DU391:DV391&gt;=DV391, 1))</f>
        <v>1</v>
      </c>
      <c r="EA391" s="109">
        <f t="shared" si="178"/>
        <v>-168475211.30476883</v>
      </c>
      <c r="EB391" s="109">
        <f t="shared" si="179"/>
        <v>0</v>
      </c>
      <c r="ED391" s="58">
        <f t="array" ref="ED391">SUM(IF(EA391:EB391&gt;=EA391, 1))</f>
        <v>2</v>
      </c>
      <c r="EE391" s="58">
        <f t="array" ref="EE391">SUM(IF(EA391:EB391&gt;=EB391, 1))</f>
        <v>1</v>
      </c>
    </row>
    <row r="392" spans="4:135" ht="12" customHeight="1" x14ac:dyDescent="0.25">
      <c r="D392" s="11">
        <v>376</v>
      </c>
      <c r="E392" s="72">
        <v>254.842447341525</v>
      </c>
      <c r="F392" s="72">
        <v>237.83539127643186</v>
      </c>
      <c r="G392" s="73"/>
      <c r="H392" s="74">
        <v>5.8134128409433252</v>
      </c>
      <c r="I392" s="74">
        <v>5.831499495253234</v>
      </c>
      <c r="J392" s="73"/>
      <c r="K392" s="72">
        <v>273.92745072371667</v>
      </c>
      <c r="L392" s="72">
        <v>256.50943013837446</v>
      </c>
      <c r="M392" s="73"/>
      <c r="N392" s="74">
        <v>6.6797758061666794</v>
      </c>
      <c r="O392" s="74">
        <v>6.6961054426884283</v>
      </c>
      <c r="P392" s="73"/>
      <c r="Q392" s="72">
        <v>2227.4025371906928</v>
      </c>
      <c r="R392" s="72">
        <v>1311.4309416286367</v>
      </c>
      <c r="S392" s="73"/>
      <c r="T392" s="74">
        <v>4.9377131532198426</v>
      </c>
      <c r="U392" s="74">
        <v>5.0276260528813923</v>
      </c>
      <c r="V392" s="73"/>
      <c r="W392" s="72">
        <v>12741.617920419259</v>
      </c>
      <c r="X392" s="72">
        <v>12702.23311767429</v>
      </c>
      <c r="Y392" s="73"/>
      <c r="Z392" s="74">
        <v>3.2003850085942402</v>
      </c>
      <c r="AA392" s="74">
        <v>3.2411379347618814</v>
      </c>
      <c r="AB392" s="73"/>
      <c r="AC392" s="72">
        <v>49762.726236996896</v>
      </c>
      <c r="AD392" s="72">
        <v>49569.676923257422</v>
      </c>
      <c r="AE392" s="73"/>
      <c r="AF392" s="74">
        <v>4.6380034578092593</v>
      </c>
      <c r="AG392" s="74">
        <v>4.727135407808718</v>
      </c>
      <c r="AH392" s="73"/>
      <c r="AI392" s="72">
        <v>1831973.953119623</v>
      </c>
      <c r="AJ392" s="72">
        <v>0</v>
      </c>
      <c r="AK392" s="73"/>
      <c r="AL392" s="74">
        <v>-1948.2666175740706</v>
      </c>
      <c r="AM392" s="74">
        <v>0</v>
      </c>
      <c r="AN392" s="73"/>
      <c r="AO392" s="72">
        <v>118809.78665902167</v>
      </c>
      <c r="AP392" s="72">
        <v>0</v>
      </c>
      <c r="AQ392" s="73"/>
      <c r="AR392" s="74">
        <v>-111.38582721626962</v>
      </c>
      <c r="AS392" s="74">
        <v>0</v>
      </c>
      <c r="AT392" s="73"/>
      <c r="AU392" s="72">
        <v>21430386.99732339</v>
      </c>
      <c r="AV392" s="72">
        <v>0</v>
      </c>
      <c r="AW392" s="73"/>
      <c r="AX392" s="74">
        <v>-2103.6331750180066</v>
      </c>
      <c r="AY392" s="74">
        <v>0</v>
      </c>
      <c r="AZ392" s="73"/>
      <c r="BA392" s="72">
        <v>360206.11267555505</v>
      </c>
      <c r="BB392" s="72">
        <v>0</v>
      </c>
      <c r="BC392" s="73"/>
      <c r="BD392" s="74">
        <v>-372.71871615187695</v>
      </c>
      <c r="BE392" s="74">
        <v>0</v>
      </c>
      <c r="BF392" s="73"/>
      <c r="BG392" s="72">
        <v>3019361.2354716402</v>
      </c>
      <c r="BH392" s="72">
        <v>0</v>
      </c>
      <c r="BI392" s="73"/>
      <c r="BJ392" s="74">
        <v>-1394.0560028799221</v>
      </c>
      <c r="BK392" s="74">
        <v>0</v>
      </c>
      <c r="BL392" s="73"/>
      <c r="BM392" s="72">
        <v>26760738.08524923</v>
      </c>
      <c r="BN392" s="72">
        <v>0</v>
      </c>
      <c r="BO392" s="73"/>
      <c r="BP392" s="74">
        <v>-5930.0603388401451</v>
      </c>
      <c r="BQ392" s="74">
        <v>0</v>
      </c>
      <c r="BS392" s="109">
        <f t="shared" si="159"/>
        <v>116013.41437152498</v>
      </c>
      <c r="BT392" s="109">
        <f t="shared" si="160"/>
        <v>116392.15451378825</v>
      </c>
      <c r="BV392" s="58">
        <f t="array" ref="BV392">SUM(IF(BS392:BT392&gt;=BS392, 1))</f>
        <v>2</v>
      </c>
      <c r="BW392" s="58">
        <f t="array" ref="BW392">SUM(IF(BS392:BT392&gt;=BT392, 1))</f>
        <v>1</v>
      </c>
      <c r="BY392" s="109">
        <f t="shared" si="161"/>
        <v>133321.58867260988</v>
      </c>
      <c r="BZ392" s="109">
        <f t="shared" si="162"/>
        <v>133665.59942363019</v>
      </c>
      <c r="CB392" s="58">
        <f t="array" ref="CB392">SUM(IF(BY392:BZ392&gt;=BY392, 1))</f>
        <v>2</v>
      </c>
      <c r="CC392" s="58">
        <f t="array" ref="CC392">SUM(IF(BY392:BZ392&gt;=BZ392, 1))</f>
        <v>1</v>
      </c>
      <c r="CE392" s="109">
        <f t="shared" si="163"/>
        <v>96526.860527206169</v>
      </c>
      <c r="CF392" s="109">
        <f t="shared" si="164"/>
        <v>99241.090115999206</v>
      </c>
      <c r="CH392" s="58">
        <f t="array" ref="CH392">SUM(IF(CE392:CF392&gt;=CE392, 1))</f>
        <v>2</v>
      </c>
      <c r="CI392" s="58">
        <f t="array" ref="CI392">SUM(IF(CE392:CF392&gt;=CF392, 1))</f>
        <v>1</v>
      </c>
      <c r="CK392" s="109">
        <f t="shared" si="165"/>
        <v>51266.082251465545</v>
      </c>
      <c r="CL392" s="109">
        <f t="shared" si="166"/>
        <v>52120.525577563341</v>
      </c>
      <c r="CN392" s="58">
        <f t="array" ref="CN392">SUM(IF(CK392:CL392&gt;=CK392, 1))</f>
        <v>2</v>
      </c>
      <c r="CO392" s="58">
        <f t="array" ref="CO392">SUM(IF(CK392:CL392&gt;=CL392, 1))</f>
        <v>1</v>
      </c>
      <c r="CQ392" s="109" cm="1">
        <f t="array" ref="CQ392">AF392*WTP-AC392</f>
        <v>42997.34291918829</v>
      </c>
      <c r="CR392" s="109">
        <f t="shared" si="167"/>
        <v>44973.031232916932</v>
      </c>
      <c r="CT392" s="58">
        <f t="array" ref="CT392">SUM(IF(CQ392:CR392&gt;=CQ392, 1))</f>
        <v>2</v>
      </c>
      <c r="CU392" s="58">
        <f t="array" ref="CU392">SUM(IF(CQ392:CR392&gt;=CR392, 1))</f>
        <v>1</v>
      </c>
      <c r="CW392" s="109">
        <f t="shared" si="168"/>
        <v>-40797306.304601029</v>
      </c>
      <c r="CX392" s="109">
        <f t="shared" si="169"/>
        <v>0</v>
      </c>
      <c r="CZ392" s="58">
        <f t="array" ref="CZ392">SUM(IF(CW392:CX392&gt;=CW392, 1))</f>
        <v>2</v>
      </c>
      <c r="DA392" s="58">
        <f t="array" ref="DA392">SUM(IF(CW392:CX392&gt;=CX392, 1))</f>
        <v>1</v>
      </c>
      <c r="DC392" s="109">
        <f t="shared" si="170"/>
        <v>-2346526.3309844141</v>
      </c>
      <c r="DD392" s="109">
        <f t="shared" si="171"/>
        <v>0</v>
      </c>
      <c r="DF392" s="58">
        <f t="array" ref="DF392">SUM(IF(DC392:DD392&gt;=DC392, 1))</f>
        <v>2</v>
      </c>
      <c r="DG392" s="58">
        <f t="array" ref="DG392">SUM(IF(DC392:DD392&gt;=DD392, 1))</f>
        <v>1</v>
      </c>
      <c r="DI392" s="109">
        <f t="shared" si="172"/>
        <v>-63503050.497683525</v>
      </c>
      <c r="DJ392" s="109">
        <f t="shared" si="173"/>
        <v>0</v>
      </c>
      <c r="DL392" s="58">
        <f t="array" ref="DL392">SUM(IF(DI392:DJ392&gt;=DI392, 1))</f>
        <v>2</v>
      </c>
      <c r="DM392" s="58">
        <f t="array" ref="DM392">SUM(IF(DI392:DJ392&gt;=DJ392, 1))</f>
        <v>1</v>
      </c>
      <c r="DO392" s="109">
        <f t="shared" si="174"/>
        <v>-7814580.4357130937</v>
      </c>
      <c r="DP392" s="109">
        <f t="shared" si="175"/>
        <v>0</v>
      </c>
      <c r="DR392" s="58">
        <f t="array" ref="DR392">SUM(IF(DO392:DP392&gt;=DO392, 1))</f>
        <v>2</v>
      </c>
      <c r="DS392" s="58">
        <f t="array" ref="DS392">SUM(IF(DO392:DP392&gt;=DP392, 1))</f>
        <v>1</v>
      </c>
      <c r="DU392" s="109">
        <f t="shared" si="176"/>
        <v>-30900481.293070082</v>
      </c>
      <c r="DV392" s="109">
        <f t="shared" si="177"/>
        <v>0</v>
      </c>
      <c r="DX392" s="58">
        <f t="array" ref="DX392">SUM(IF(DU392:DV392&gt;=DU392, 1))</f>
        <v>2</v>
      </c>
      <c r="DY392" s="58">
        <f t="array" ref="DY392">SUM(IF(DU392:DV392&gt;=DV392, 1))</f>
        <v>1</v>
      </c>
      <c r="EA392" s="109">
        <f t="shared" si="178"/>
        <v>-145361944.86205214</v>
      </c>
      <c r="EB392" s="109">
        <f t="shared" si="179"/>
        <v>0</v>
      </c>
      <c r="ED392" s="58">
        <f t="array" ref="ED392">SUM(IF(EA392:EB392&gt;=EA392, 1))</f>
        <v>2</v>
      </c>
      <c r="EE392" s="58">
        <f t="array" ref="EE392">SUM(IF(EA392:EB392&gt;=EB392, 1))</f>
        <v>1</v>
      </c>
    </row>
    <row r="393" spans="4:135" ht="12" customHeight="1" x14ac:dyDescent="0.25">
      <c r="D393" s="11">
        <v>377</v>
      </c>
      <c r="E393" s="72">
        <v>237.46734896297764</v>
      </c>
      <c r="F393" s="72">
        <v>210.51137395438204</v>
      </c>
      <c r="G393" s="73"/>
      <c r="H393" s="74">
        <v>5.8508295099405965</v>
      </c>
      <c r="I393" s="74">
        <v>5.8690258798386044</v>
      </c>
      <c r="J393" s="73"/>
      <c r="K393" s="72">
        <v>254.49614206879704</v>
      </c>
      <c r="L393" s="72">
        <v>226.90778857374045</v>
      </c>
      <c r="M393" s="73"/>
      <c r="N393" s="74">
        <v>6.7721804820173093</v>
      </c>
      <c r="O393" s="74">
        <v>6.78803519151404</v>
      </c>
      <c r="P393" s="73"/>
      <c r="Q393" s="72">
        <v>2900.067066288877</v>
      </c>
      <c r="R393" s="72">
        <v>1542.2178518995904</v>
      </c>
      <c r="S393" s="73"/>
      <c r="T393" s="74">
        <v>4.7616273668577271</v>
      </c>
      <c r="U393" s="74">
        <v>4.9055255564864835</v>
      </c>
      <c r="V393" s="73"/>
      <c r="W393" s="72">
        <v>12356.04128760447</v>
      </c>
      <c r="X393" s="72">
        <v>12354.235462716859</v>
      </c>
      <c r="Y393" s="73"/>
      <c r="Z393" s="74">
        <v>3.1348841129215343</v>
      </c>
      <c r="AA393" s="74">
        <v>3.1817047551378748</v>
      </c>
      <c r="AB393" s="73"/>
      <c r="AC393" s="72">
        <v>49588.166300209319</v>
      </c>
      <c r="AD393" s="72">
        <v>49518.053503357638</v>
      </c>
      <c r="AE393" s="73"/>
      <c r="AF393" s="74">
        <v>4.3244337906722894</v>
      </c>
      <c r="AG393" s="74">
        <v>4.4041644988745174</v>
      </c>
      <c r="AH393" s="73"/>
      <c r="AI393" s="72">
        <v>2862631.6514689773</v>
      </c>
      <c r="AJ393" s="72">
        <v>0</v>
      </c>
      <c r="AK393" s="73"/>
      <c r="AL393" s="74">
        <v>-1932.3917756736537</v>
      </c>
      <c r="AM393" s="74">
        <v>0</v>
      </c>
      <c r="AN393" s="73"/>
      <c r="AO393" s="72">
        <v>178563.16996909285</v>
      </c>
      <c r="AP393" s="72">
        <v>0</v>
      </c>
      <c r="AQ393" s="73"/>
      <c r="AR393" s="74">
        <v>-102.61820036424443</v>
      </c>
      <c r="AS393" s="74">
        <v>0</v>
      </c>
      <c r="AT393" s="73"/>
      <c r="AU393" s="72">
        <v>31530824.919627193</v>
      </c>
      <c r="AV393" s="72">
        <v>0</v>
      </c>
      <c r="AW393" s="73"/>
      <c r="AX393" s="74">
        <v>-3341.4819372829384</v>
      </c>
      <c r="AY393" s="74">
        <v>0</v>
      </c>
      <c r="AZ393" s="73"/>
      <c r="BA393" s="72">
        <v>16242.320921383051</v>
      </c>
      <c r="BB393" s="72">
        <v>0</v>
      </c>
      <c r="BC393" s="73"/>
      <c r="BD393" s="74">
        <v>-421.123832017268</v>
      </c>
      <c r="BE393" s="74">
        <v>0</v>
      </c>
      <c r="BF393" s="73"/>
      <c r="BG393" s="72">
        <v>1129677.8398758012</v>
      </c>
      <c r="BH393" s="72">
        <v>0</v>
      </c>
      <c r="BI393" s="73"/>
      <c r="BJ393" s="74">
        <v>-1284.6444337999772</v>
      </c>
      <c r="BK393" s="74">
        <v>0</v>
      </c>
      <c r="BL393" s="73"/>
      <c r="BM393" s="72">
        <v>35717939.90186245</v>
      </c>
      <c r="BN393" s="72">
        <v>0</v>
      </c>
      <c r="BO393" s="73"/>
      <c r="BP393" s="74">
        <v>-7082.2601791380821</v>
      </c>
      <c r="BQ393" s="74">
        <v>0</v>
      </c>
      <c r="BS393" s="109">
        <f t="shared" si="159"/>
        <v>116779.12284984895</v>
      </c>
      <c r="BT393" s="109">
        <f t="shared" si="160"/>
        <v>117170.0062228177</v>
      </c>
      <c r="BV393" s="58">
        <f t="array" ref="BV393">SUM(IF(BS393:BT393&gt;=BS393, 1))</f>
        <v>2</v>
      </c>
      <c r="BW393" s="58">
        <f t="array" ref="BW393">SUM(IF(BS393:BT393&gt;=BT393, 1))</f>
        <v>1</v>
      </c>
      <c r="BY393" s="109">
        <f t="shared" si="161"/>
        <v>135189.11349827741</v>
      </c>
      <c r="BZ393" s="109">
        <f t="shared" si="162"/>
        <v>135533.79604170707</v>
      </c>
      <c r="CB393" s="58">
        <f t="array" ref="CB393">SUM(IF(BY393:BZ393&gt;=BY393, 1))</f>
        <v>2</v>
      </c>
      <c r="CC393" s="58">
        <f t="array" ref="CC393">SUM(IF(BY393:BZ393&gt;=BZ393, 1))</f>
        <v>1</v>
      </c>
      <c r="CE393" s="109">
        <f t="shared" si="163"/>
        <v>92332.480270865664</v>
      </c>
      <c r="CF393" s="109">
        <f t="shared" si="164"/>
        <v>96568.293277830075</v>
      </c>
      <c r="CH393" s="58">
        <f t="array" ref="CH393">SUM(IF(CE393:CF393&gt;=CE393, 1))</f>
        <v>2</v>
      </c>
      <c r="CI393" s="58">
        <f t="array" ref="CI393">SUM(IF(CE393:CF393&gt;=CF393, 1))</f>
        <v>1</v>
      </c>
      <c r="CK393" s="109">
        <f t="shared" si="165"/>
        <v>50341.640970826214</v>
      </c>
      <c r="CL393" s="109">
        <f t="shared" si="166"/>
        <v>51279.859640040631</v>
      </c>
      <c r="CN393" s="58">
        <f t="array" ref="CN393">SUM(IF(CK393:CL393&gt;=CK393, 1))</f>
        <v>2</v>
      </c>
      <c r="CO393" s="58">
        <f t="array" ref="CO393">SUM(IF(CK393:CL393&gt;=CL393, 1))</f>
        <v>1</v>
      </c>
      <c r="CQ393" s="109" cm="1">
        <f t="array" ref="CQ393">AF393*WTP-AC393</f>
        <v>36900.509513236473</v>
      </c>
      <c r="CR393" s="109">
        <f t="shared" si="167"/>
        <v>38565.236474132711</v>
      </c>
      <c r="CT393" s="58">
        <f t="array" ref="CT393">SUM(IF(CQ393:CR393&gt;=CQ393, 1))</f>
        <v>2</v>
      </c>
      <c r="CU393" s="58">
        <f t="array" ref="CU393">SUM(IF(CQ393:CR393&gt;=CR393, 1))</f>
        <v>1</v>
      </c>
      <c r="CW393" s="109">
        <f t="shared" si="168"/>
        <v>-41510467.164942048</v>
      </c>
      <c r="CX393" s="109">
        <f t="shared" si="169"/>
        <v>0</v>
      </c>
      <c r="CZ393" s="58">
        <f t="array" ref="CZ393">SUM(IF(CW393:CX393&gt;=CW393, 1))</f>
        <v>2</v>
      </c>
      <c r="DA393" s="58">
        <f t="array" ref="DA393">SUM(IF(CW393:CX393&gt;=CX393, 1))</f>
        <v>1</v>
      </c>
      <c r="DC393" s="109">
        <f t="shared" si="170"/>
        <v>-2230927.1772539816</v>
      </c>
      <c r="DD393" s="109">
        <f t="shared" si="171"/>
        <v>0</v>
      </c>
      <c r="DF393" s="58">
        <f t="array" ref="DF393">SUM(IF(DC393:DD393&gt;=DC393, 1))</f>
        <v>2</v>
      </c>
      <c r="DG393" s="58">
        <f t="array" ref="DG393">SUM(IF(DC393:DD393&gt;=DD393, 1))</f>
        <v>1</v>
      </c>
      <c r="DI393" s="109">
        <f t="shared" si="172"/>
        <v>-98360463.66528596</v>
      </c>
      <c r="DJ393" s="109">
        <f t="shared" si="173"/>
        <v>0</v>
      </c>
      <c r="DL393" s="58">
        <f t="array" ref="DL393">SUM(IF(DI393:DJ393&gt;=DI393, 1))</f>
        <v>2</v>
      </c>
      <c r="DM393" s="58">
        <f t="array" ref="DM393">SUM(IF(DI393:DJ393&gt;=DJ393, 1))</f>
        <v>1</v>
      </c>
      <c r="DO393" s="109">
        <f t="shared" si="174"/>
        <v>-8438718.961266743</v>
      </c>
      <c r="DP393" s="109">
        <f t="shared" si="175"/>
        <v>0</v>
      </c>
      <c r="DR393" s="58">
        <f t="array" ref="DR393">SUM(IF(DO393:DP393&gt;=DO393, 1))</f>
        <v>2</v>
      </c>
      <c r="DS393" s="58">
        <f t="array" ref="DS393">SUM(IF(DO393:DP393&gt;=DP393, 1))</f>
        <v>1</v>
      </c>
      <c r="DU393" s="109">
        <f t="shared" si="176"/>
        <v>-26822566.515875347</v>
      </c>
      <c r="DV393" s="109">
        <f t="shared" si="177"/>
        <v>0</v>
      </c>
      <c r="DX393" s="58">
        <f t="array" ref="DX393">SUM(IF(DU393:DV393&gt;=DU393, 1))</f>
        <v>2</v>
      </c>
      <c r="DY393" s="58">
        <f t="array" ref="DY393">SUM(IF(DU393:DV393&gt;=DV393, 1))</f>
        <v>1</v>
      </c>
      <c r="EA393" s="109">
        <f t="shared" si="178"/>
        <v>-177363143.48462409</v>
      </c>
      <c r="EB393" s="109">
        <f t="shared" si="179"/>
        <v>0</v>
      </c>
      <c r="ED393" s="58">
        <f t="array" ref="ED393">SUM(IF(EA393:EB393&gt;=EA393, 1))</f>
        <v>2</v>
      </c>
      <c r="EE393" s="58">
        <f t="array" ref="EE393">SUM(IF(EA393:EB393&gt;=EB393, 1))</f>
        <v>1</v>
      </c>
    </row>
    <row r="394" spans="4:135" ht="12" customHeight="1" x14ac:dyDescent="0.25">
      <c r="D394" s="11">
        <v>378</v>
      </c>
      <c r="E394" s="72">
        <v>239.54500266803029</v>
      </c>
      <c r="F394" s="72">
        <v>211.41233210946456</v>
      </c>
      <c r="G394" s="73"/>
      <c r="H394" s="74">
        <v>5.8022491042821907</v>
      </c>
      <c r="I394" s="74">
        <v>5.8201802744877673</v>
      </c>
      <c r="J394" s="73"/>
      <c r="K394" s="72">
        <v>256.65784273693879</v>
      </c>
      <c r="L394" s="72">
        <v>227.87805239669919</v>
      </c>
      <c r="M394" s="73"/>
      <c r="N394" s="74">
        <v>6.7015578418186221</v>
      </c>
      <c r="O394" s="74">
        <v>6.7175865908079144</v>
      </c>
      <c r="P394" s="73"/>
      <c r="Q394" s="72">
        <v>1992.9587725039598</v>
      </c>
      <c r="R394" s="72">
        <v>1689.4461886558113</v>
      </c>
      <c r="S394" s="73"/>
      <c r="T394" s="74">
        <v>4.9093761187028244</v>
      </c>
      <c r="U394" s="74">
        <v>4.9439201093040586</v>
      </c>
      <c r="V394" s="73"/>
      <c r="W394" s="72">
        <v>17221.343912245022</v>
      </c>
      <c r="X394" s="72">
        <v>17234.019422973393</v>
      </c>
      <c r="Y394" s="73"/>
      <c r="Z394" s="74">
        <v>2.9334637777827197</v>
      </c>
      <c r="AA394" s="74">
        <v>2.9972921323833841</v>
      </c>
      <c r="AB394" s="73"/>
      <c r="AC394" s="72">
        <v>50488.027034905368</v>
      </c>
      <c r="AD394" s="72">
        <v>50305.410482974024</v>
      </c>
      <c r="AE394" s="73"/>
      <c r="AF394" s="74">
        <v>4.2181900556495311</v>
      </c>
      <c r="AG394" s="74">
        <v>4.3333768752894688</v>
      </c>
      <c r="AH394" s="73"/>
      <c r="AI394" s="72">
        <v>3022194.4546899693</v>
      </c>
      <c r="AJ394" s="72">
        <v>0</v>
      </c>
      <c r="AK394" s="73"/>
      <c r="AL394" s="74">
        <v>-1926.2829331677422</v>
      </c>
      <c r="AM394" s="74">
        <v>0</v>
      </c>
      <c r="AN394" s="73"/>
      <c r="AO394" s="72">
        <v>199914.17384556541</v>
      </c>
      <c r="AP394" s="72">
        <v>0</v>
      </c>
      <c r="AQ394" s="73"/>
      <c r="AR394" s="74">
        <v>-111.34112076876352</v>
      </c>
      <c r="AS394" s="74">
        <v>0</v>
      </c>
      <c r="AT394" s="73"/>
      <c r="AU394" s="72">
        <v>6930495.2146193124</v>
      </c>
      <c r="AV394" s="72">
        <v>0</v>
      </c>
      <c r="AW394" s="73"/>
      <c r="AX394" s="74">
        <v>-788.78759661407071</v>
      </c>
      <c r="AY394" s="74">
        <v>0</v>
      </c>
      <c r="AZ394" s="73"/>
      <c r="BA394" s="72">
        <v>-109773.85029283205</v>
      </c>
      <c r="BB394" s="72">
        <v>0</v>
      </c>
      <c r="BC394" s="73"/>
      <c r="BD394" s="74">
        <v>-552.7733274437669</v>
      </c>
      <c r="BE394" s="74">
        <v>0</v>
      </c>
      <c r="BF394" s="73"/>
      <c r="BG394" s="72">
        <v>2887784.3034421937</v>
      </c>
      <c r="BH394" s="72">
        <v>0</v>
      </c>
      <c r="BI394" s="73"/>
      <c r="BJ394" s="74">
        <v>-1821.4925547641285</v>
      </c>
      <c r="BK394" s="74">
        <v>0</v>
      </c>
      <c r="BL394" s="73"/>
      <c r="BM394" s="72">
        <v>12930614.296304209</v>
      </c>
      <c r="BN394" s="72">
        <v>0</v>
      </c>
      <c r="BO394" s="73"/>
      <c r="BP394" s="74">
        <v>-5200.6775327584719</v>
      </c>
      <c r="BQ394" s="74">
        <v>0</v>
      </c>
      <c r="BS394" s="109">
        <f t="shared" si="159"/>
        <v>115805.43708297578</v>
      </c>
      <c r="BT394" s="109">
        <f t="shared" si="160"/>
        <v>116192.19315764587</v>
      </c>
      <c r="BV394" s="58">
        <f t="array" ref="BV394">SUM(IF(BS394:BT394&gt;=BS394, 1))</f>
        <v>2</v>
      </c>
      <c r="BW394" s="58">
        <f t="array" ref="BW394">SUM(IF(BS394:BT394&gt;=BT394, 1))</f>
        <v>1</v>
      </c>
      <c r="BY394" s="109">
        <f t="shared" si="161"/>
        <v>133774.4989936355</v>
      </c>
      <c r="BZ394" s="109">
        <f t="shared" si="162"/>
        <v>134123.85376376158</v>
      </c>
      <c r="CB394" s="58">
        <f t="array" ref="CB394">SUM(IF(BY394:BZ394&gt;=BY394, 1))</f>
        <v>2</v>
      </c>
      <c r="CC394" s="58">
        <f t="array" ref="CC394">SUM(IF(BY394:BZ394&gt;=BZ394, 1))</f>
        <v>1</v>
      </c>
      <c r="CE394" s="109">
        <f t="shared" si="163"/>
        <v>96194.563601552523</v>
      </c>
      <c r="CF394" s="109">
        <f t="shared" si="164"/>
        <v>97188.955997425364</v>
      </c>
      <c r="CH394" s="58">
        <f t="array" ref="CH394">SUM(IF(CE394:CF394&gt;=CE394, 1))</f>
        <v>2</v>
      </c>
      <c r="CI394" s="58">
        <f t="array" ref="CI394">SUM(IF(CE394:CF394&gt;=CF394, 1))</f>
        <v>1</v>
      </c>
      <c r="CK394" s="109">
        <f t="shared" si="165"/>
        <v>41447.931643409371</v>
      </c>
      <c r="CL394" s="109">
        <f t="shared" si="166"/>
        <v>42711.823224694293</v>
      </c>
      <c r="CN394" s="58">
        <f t="array" ref="CN394">SUM(IF(CK394:CL394&gt;=CK394, 1))</f>
        <v>2</v>
      </c>
      <c r="CO394" s="58">
        <f t="array" ref="CO394">SUM(IF(CK394:CL394&gt;=CL394, 1))</f>
        <v>1</v>
      </c>
      <c r="CQ394" s="109" cm="1">
        <f t="array" ref="CQ394">AF394*WTP-AC394</f>
        <v>33875.774078085255</v>
      </c>
      <c r="CR394" s="109">
        <f t="shared" si="167"/>
        <v>36362.127022815344</v>
      </c>
      <c r="CT394" s="58">
        <f t="array" ref="CT394">SUM(IF(CQ394:CR394&gt;=CQ394, 1))</f>
        <v>2</v>
      </c>
      <c r="CU394" s="58">
        <f t="array" ref="CU394">SUM(IF(CQ394:CR394&gt;=CR394, 1))</f>
        <v>1</v>
      </c>
      <c r="CW394" s="109">
        <f t="shared" si="168"/>
        <v>-41547853.118044816</v>
      </c>
      <c r="CX394" s="109">
        <f t="shared" si="169"/>
        <v>0</v>
      </c>
      <c r="CZ394" s="58">
        <f t="array" ref="CZ394">SUM(IF(CW394:CX394&gt;=CW394, 1))</f>
        <v>2</v>
      </c>
      <c r="DA394" s="58">
        <f t="array" ref="DA394">SUM(IF(CW394:CX394&gt;=CX394, 1))</f>
        <v>1</v>
      </c>
      <c r="DC394" s="109">
        <f t="shared" si="170"/>
        <v>-2426736.5892208358</v>
      </c>
      <c r="DD394" s="109">
        <f t="shared" si="171"/>
        <v>0</v>
      </c>
      <c r="DF394" s="58">
        <f t="array" ref="DF394">SUM(IF(DC394:DD394&gt;=DC394, 1))</f>
        <v>2</v>
      </c>
      <c r="DG394" s="58">
        <f t="array" ref="DG394">SUM(IF(DC394:DD394&gt;=DD394, 1))</f>
        <v>1</v>
      </c>
      <c r="DI394" s="109">
        <f t="shared" si="172"/>
        <v>-22706247.146900728</v>
      </c>
      <c r="DJ394" s="109">
        <f t="shared" si="173"/>
        <v>0</v>
      </c>
      <c r="DL394" s="58">
        <f t="array" ref="DL394">SUM(IF(DI394:DJ394&gt;=DI394, 1))</f>
        <v>2</v>
      </c>
      <c r="DM394" s="58">
        <f t="array" ref="DM394">SUM(IF(DI394:DJ394&gt;=DJ394, 1))</f>
        <v>1</v>
      </c>
      <c r="DO394" s="109">
        <f t="shared" si="174"/>
        <v>-10945692.698582506</v>
      </c>
      <c r="DP394" s="109">
        <f t="shared" si="175"/>
        <v>0</v>
      </c>
      <c r="DR394" s="58">
        <f t="array" ref="DR394">SUM(IF(DO394:DP394&gt;=DO394, 1))</f>
        <v>2</v>
      </c>
      <c r="DS394" s="58">
        <f t="array" ref="DS394">SUM(IF(DO394:DP394&gt;=DP394, 1))</f>
        <v>1</v>
      </c>
      <c r="DU394" s="109">
        <f t="shared" si="176"/>
        <v>-39317635.398724765</v>
      </c>
      <c r="DV394" s="109">
        <f t="shared" si="177"/>
        <v>0</v>
      </c>
      <c r="DX394" s="58">
        <f t="array" ref="DX394">SUM(IF(DU394:DV394&gt;=DU394, 1))</f>
        <v>2</v>
      </c>
      <c r="DY394" s="58">
        <f t="array" ref="DY394">SUM(IF(DU394:DV394&gt;=DV394, 1))</f>
        <v>1</v>
      </c>
      <c r="EA394" s="109">
        <f t="shared" si="178"/>
        <v>-116944164.95147365</v>
      </c>
      <c r="EB394" s="109">
        <f t="shared" si="179"/>
        <v>0</v>
      </c>
      <c r="ED394" s="58">
        <f t="array" ref="ED394">SUM(IF(EA394:EB394&gt;=EA394, 1))</f>
        <v>2</v>
      </c>
      <c r="EE394" s="58">
        <f t="array" ref="EE394">SUM(IF(EA394:EB394&gt;=EB394, 1))</f>
        <v>1</v>
      </c>
    </row>
    <row r="395" spans="4:135" ht="12" customHeight="1" x14ac:dyDescent="0.25">
      <c r="D395" s="11">
        <v>379</v>
      </c>
      <c r="E395" s="72">
        <v>284.1008778965504</v>
      </c>
      <c r="F395" s="72">
        <v>242.29191662124092</v>
      </c>
      <c r="G395" s="73"/>
      <c r="H395" s="74">
        <v>5.870964928116063</v>
      </c>
      <c r="I395" s="74">
        <v>5.88847562049156</v>
      </c>
      <c r="J395" s="73"/>
      <c r="K395" s="72">
        <v>303.99055601716344</v>
      </c>
      <c r="L395" s="72">
        <v>261.15820480249363</v>
      </c>
      <c r="M395" s="73"/>
      <c r="N395" s="74">
        <v>6.6445322223199339</v>
      </c>
      <c r="O395" s="74">
        <v>6.6595101862796566</v>
      </c>
      <c r="P395" s="73"/>
      <c r="Q395" s="72">
        <v>2182.3273678293067</v>
      </c>
      <c r="R395" s="72">
        <v>1378.7757448537284</v>
      </c>
      <c r="S395" s="73"/>
      <c r="T395" s="74">
        <v>4.8977528365580136</v>
      </c>
      <c r="U395" s="74">
        <v>4.9903987674194186</v>
      </c>
      <c r="V395" s="73"/>
      <c r="W395" s="72">
        <v>11777.901893387705</v>
      </c>
      <c r="X395" s="72">
        <v>11767.043337039111</v>
      </c>
      <c r="Y395" s="73"/>
      <c r="Z395" s="74">
        <v>2.9388078242333573</v>
      </c>
      <c r="AA395" s="74">
        <v>2.9732976507258706</v>
      </c>
      <c r="AB395" s="73"/>
      <c r="AC395" s="72">
        <v>50303.868950112919</v>
      </c>
      <c r="AD395" s="72">
        <v>50111.960446627287</v>
      </c>
      <c r="AE395" s="73"/>
      <c r="AF395" s="74">
        <v>4.6641912625898314</v>
      </c>
      <c r="AG395" s="74">
        <v>4.7836816961304036</v>
      </c>
      <c r="AH395" s="73"/>
      <c r="AI395" s="72">
        <v>4486253.2110835966</v>
      </c>
      <c r="AJ395" s="72">
        <v>0</v>
      </c>
      <c r="AK395" s="73"/>
      <c r="AL395" s="74">
        <v>-1878.9608137015189</v>
      </c>
      <c r="AM395" s="74">
        <v>0</v>
      </c>
      <c r="AN395" s="73"/>
      <c r="AO395" s="72">
        <v>296445.75206126261</v>
      </c>
      <c r="AP395" s="72">
        <v>0</v>
      </c>
      <c r="AQ395" s="73"/>
      <c r="AR395" s="74">
        <v>-103.6635548707811</v>
      </c>
      <c r="AS395" s="74">
        <v>0</v>
      </c>
      <c r="AT395" s="73"/>
      <c r="AU395" s="72">
        <v>19097207.936420433</v>
      </c>
      <c r="AV395" s="72">
        <v>0</v>
      </c>
      <c r="AW395" s="73"/>
      <c r="AX395" s="74">
        <v>-2201.8232003213234</v>
      </c>
      <c r="AY395" s="74">
        <v>0</v>
      </c>
      <c r="AZ395" s="73"/>
      <c r="BA395" s="72">
        <v>94608.43043551578</v>
      </c>
      <c r="BB395" s="72">
        <v>0</v>
      </c>
      <c r="BC395" s="73"/>
      <c r="BD395" s="74">
        <v>-300.50296242856109</v>
      </c>
      <c r="BE395" s="74">
        <v>0</v>
      </c>
      <c r="BF395" s="73"/>
      <c r="BG395" s="72">
        <v>3100730.574553065</v>
      </c>
      <c r="BH395" s="72">
        <v>0</v>
      </c>
      <c r="BI395" s="73"/>
      <c r="BJ395" s="74">
        <v>-1930.6473341010228</v>
      </c>
      <c r="BK395" s="74">
        <v>0</v>
      </c>
      <c r="BL395" s="73"/>
      <c r="BM395" s="72">
        <v>27075245.904553875</v>
      </c>
      <c r="BN395" s="72">
        <v>0</v>
      </c>
      <c r="BO395" s="73"/>
      <c r="BP395" s="74">
        <v>-6415.5978654232076</v>
      </c>
      <c r="BQ395" s="74">
        <v>0</v>
      </c>
      <c r="BS395" s="109">
        <f t="shared" si="159"/>
        <v>117135.19768442471</v>
      </c>
      <c r="BT395" s="109">
        <f t="shared" si="160"/>
        <v>117527.22049320996</v>
      </c>
      <c r="BV395" s="58">
        <f t="array" ref="BV395">SUM(IF(BS395:BT395&gt;=BS395, 1))</f>
        <v>2</v>
      </c>
      <c r="BW395" s="58">
        <f t="array" ref="BW395">SUM(IF(BS395:BT395&gt;=BT395, 1))</f>
        <v>1</v>
      </c>
      <c r="BY395" s="109">
        <f t="shared" si="161"/>
        <v>132586.65389038151</v>
      </c>
      <c r="BZ395" s="109">
        <f t="shared" si="162"/>
        <v>132929.04552079065</v>
      </c>
      <c r="CB395" s="58">
        <f t="array" ref="CB395">SUM(IF(BY395:BZ395&gt;=BY395, 1))</f>
        <v>2</v>
      </c>
      <c r="CC395" s="58">
        <f t="array" ref="CC395">SUM(IF(BY395:BZ395&gt;=BZ395, 1))</f>
        <v>1</v>
      </c>
      <c r="CE395" s="109">
        <f t="shared" si="163"/>
        <v>95772.729363330975</v>
      </c>
      <c r="CF395" s="109">
        <f t="shared" si="164"/>
        <v>98429.199603534638</v>
      </c>
      <c r="CH395" s="58">
        <f t="array" ref="CH395">SUM(IF(CE395:CF395&gt;=CE395, 1))</f>
        <v>2</v>
      </c>
      <c r="CI395" s="58">
        <f t="array" ref="CI395">SUM(IF(CE395:CF395&gt;=CF395, 1))</f>
        <v>1</v>
      </c>
      <c r="CK395" s="109">
        <f t="shared" si="165"/>
        <v>46998.254591279445</v>
      </c>
      <c r="CL395" s="109">
        <f t="shared" si="166"/>
        <v>47698.909677478303</v>
      </c>
      <c r="CN395" s="58">
        <f t="array" ref="CN395">SUM(IF(CK395:CL395&gt;=CK395, 1))</f>
        <v>2</v>
      </c>
      <c r="CO395" s="58">
        <f t="array" ref="CO395">SUM(IF(CK395:CL395&gt;=CL395, 1))</f>
        <v>1</v>
      </c>
      <c r="CQ395" s="109" cm="1">
        <f t="array" ref="CQ395">AF395*WTP-AC395</f>
        <v>42979.956301683713</v>
      </c>
      <c r="CR395" s="109">
        <f t="shared" si="167"/>
        <v>45561.673475980788</v>
      </c>
      <c r="CT395" s="58">
        <f t="array" ref="CT395">SUM(IF(CQ395:CR395&gt;=CQ395, 1))</f>
        <v>2</v>
      </c>
      <c r="CU395" s="58">
        <f t="array" ref="CU395">SUM(IF(CQ395:CR395&gt;=CR395, 1))</f>
        <v>1</v>
      </c>
      <c r="CW395" s="109">
        <f t="shared" si="168"/>
        <v>-42065469.485113978</v>
      </c>
      <c r="CX395" s="109">
        <f t="shared" si="169"/>
        <v>0</v>
      </c>
      <c r="CZ395" s="58">
        <f t="array" ref="CZ395">SUM(IF(CW395:CX395&gt;=CW395, 1))</f>
        <v>2</v>
      </c>
      <c r="DA395" s="58">
        <f t="array" ref="DA395">SUM(IF(CW395:CX395&gt;=CX395, 1))</f>
        <v>1</v>
      </c>
      <c r="DC395" s="109">
        <f t="shared" si="170"/>
        <v>-2369716.8494768846</v>
      </c>
      <c r="DD395" s="109">
        <f t="shared" si="171"/>
        <v>0</v>
      </c>
      <c r="DF395" s="58">
        <f t="array" ref="DF395">SUM(IF(DC395:DD395&gt;=DC395, 1))</f>
        <v>2</v>
      </c>
      <c r="DG395" s="58">
        <f t="array" ref="DG395">SUM(IF(DC395:DD395&gt;=DD395, 1))</f>
        <v>1</v>
      </c>
      <c r="DI395" s="109">
        <f t="shared" si="172"/>
        <v>-63133671.942846902</v>
      </c>
      <c r="DJ395" s="109">
        <f t="shared" si="173"/>
        <v>0</v>
      </c>
      <c r="DL395" s="58">
        <f t="array" ref="DL395">SUM(IF(DI395:DJ395&gt;=DI395, 1))</f>
        <v>2</v>
      </c>
      <c r="DM395" s="58">
        <f t="array" ref="DM395">SUM(IF(DI395:DJ395&gt;=DJ395, 1))</f>
        <v>1</v>
      </c>
      <c r="DO395" s="109">
        <f t="shared" si="174"/>
        <v>-6104667.6790067377</v>
      </c>
      <c r="DP395" s="109">
        <f t="shared" si="175"/>
        <v>0</v>
      </c>
      <c r="DR395" s="58">
        <f t="array" ref="DR395">SUM(IF(DO395:DP395&gt;=DO395, 1))</f>
        <v>2</v>
      </c>
      <c r="DS395" s="58">
        <f t="array" ref="DS395">SUM(IF(DO395:DP395&gt;=DP395, 1))</f>
        <v>1</v>
      </c>
      <c r="DU395" s="109">
        <f t="shared" si="176"/>
        <v>-41713677.256573521</v>
      </c>
      <c r="DV395" s="109">
        <f t="shared" si="177"/>
        <v>0</v>
      </c>
      <c r="DX395" s="58">
        <f t="array" ref="DX395">SUM(IF(DU395:DV395&gt;=DU395, 1))</f>
        <v>2</v>
      </c>
      <c r="DY395" s="58">
        <f t="array" ref="DY395">SUM(IF(DU395:DV395&gt;=DV395, 1))</f>
        <v>1</v>
      </c>
      <c r="EA395" s="109">
        <f t="shared" si="178"/>
        <v>-155387203.21301803</v>
      </c>
      <c r="EB395" s="109">
        <f t="shared" si="179"/>
        <v>0</v>
      </c>
      <c r="ED395" s="58">
        <f t="array" ref="ED395">SUM(IF(EA395:EB395&gt;=EA395, 1))</f>
        <v>2</v>
      </c>
      <c r="EE395" s="58">
        <f t="array" ref="EE395">SUM(IF(EA395:EB395&gt;=EB395, 1))</f>
        <v>1</v>
      </c>
    </row>
    <row r="396" spans="4:135" ht="12" customHeight="1" x14ac:dyDescent="0.25">
      <c r="D396" s="11">
        <v>380</v>
      </c>
      <c r="E396" s="72">
        <v>258.18546653016557</v>
      </c>
      <c r="F396" s="72">
        <v>233.96020257917468</v>
      </c>
      <c r="G396" s="73"/>
      <c r="H396" s="74">
        <v>5.8682787007036596</v>
      </c>
      <c r="I396" s="74">
        <v>5.8872713308784892</v>
      </c>
      <c r="J396" s="73"/>
      <c r="K396" s="72">
        <v>277.11801955046928</v>
      </c>
      <c r="L396" s="72">
        <v>252.27977620887384</v>
      </c>
      <c r="M396" s="73"/>
      <c r="N396" s="74">
        <v>6.7166509169180326</v>
      </c>
      <c r="O396" s="74">
        <v>6.7326191214154516</v>
      </c>
      <c r="P396" s="73"/>
      <c r="Q396" s="72">
        <v>2432.0969587418058</v>
      </c>
      <c r="R396" s="72">
        <v>1388.7927990765522</v>
      </c>
      <c r="S396" s="73"/>
      <c r="T396" s="74">
        <v>4.8548478422566763</v>
      </c>
      <c r="U396" s="74">
        <v>4.957725879784677</v>
      </c>
      <c r="V396" s="73"/>
      <c r="W396" s="72">
        <v>10026.717502018197</v>
      </c>
      <c r="X396" s="72">
        <v>10046.432008567419</v>
      </c>
      <c r="Y396" s="73"/>
      <c r="Z396" s="74">
        <v>3.032960489222452</v>
      </c>
      <c r="AA396" s="74">
        <v>3.0777937974583107</v>
      </c>
      <c r="AB396" s="73"/>
      <c r="AC396" s="72">
        <v>50343.889111111741</v>
      </c>
      <c r="AD396" s="72">
        <v>49716.427418538573</v>
      </c>
      <c r="AE396" s="73"/>
      <c r="AF396" s="74">
        <v>4.4290832953426422</v>
      </c>
      <c r="AG396" s="74">
        <v>4.5723486803216771</v>
      </c>
      <c r="AH396" s="73"/>
      <c r="AI396" s="72">
        <v>2645608.0469461749</v>
      </c>
      <c r="AJ396" s="72">
        <v>0</v>
      </c>
      <c r="AK396" s="73"/>
      <c r="AL396" s="74">
        <v>-2074.1592465144854</v>
      </c>
      <c r="AM396" s="74">
        <v>0</v>
      </c>
      <c r="AN396" s="73"/>
      <c r="AO396" s="72">
        <v>168067.56880261001</v>
      </c>
      <c r="AP396" s="72">
        <v>0</v>
      </c>
      <c r="AQ396" s="73"/>
      <c r="AR396" s="74">
        <v>-108.04859551117215</v>
      </c>
      <c r="AS396" s="74">
        <v>0</v>
      </c>
      <c r="AT396" s="73"/>
      <c r="AU396" s="72">
        <v>23824693.676644381</v>
      </c>
      <c r="AV396" s="72">
        <v>0</v>
      </c>
      <c r="AW396" s="73"/>
      <c r="AX396" s="74">
        <v>-2349.3031322192401</v>
      </c>
      <c r="AY396" s="74">
        <v>0</v>
      </c>
      <c r="AZ396" s="73"/>
      <c r="BA396" s="72">
        <v>-186830.8802208257</v>
      </c>
      <c r="BB396" s="72">
        <v>0</v>
      </c>
      <c r="BC396" s="73"/>
      <c r="BD396" s="74">
        <v>-424.87730646484368</v>
      </c>
      <c r="BE396" s="74">
        <v>0</v>
      </c>
      <c r="BF396" s="73"/>
      <c r="BG396" s="72">
        <v>9560724.2376868855</v>
      </c>
      <c r="BH396" s="72">
        <v>0</v>
      </c>
      <c r="BI396" s="73"/>
      <c r="BJ396" s="74">
        <v>-2182.9553179150912</v>
      </c>
      <c r="BK396" s="74">
        <v>0</v>
      </c>
      <c r="BL396" s="73"/>
      <c r="BM396" s="72">
        <v>36012262.649859227</v>
      </c>
      <c r="BN396" s="72">
        <v>0</v>
      </c>
      <c r="BO396" s="73"/>
      <c r="BP396" s="74">
        <v>-7139.3435986248332</v>
      </c>
      <c r="BQ396" s="74">
        <v>0</v>
      </c>
      <c r="BS396" s="109">
        <f t="shared" si="159"/>
        <v>117107.38854754303</v>
      </c>
      <c r="BT396" s="109">
        <f t="shared" si="160"/>
        <v>117511.46641499062</v>
      </c>
      <c r="BV396" s="58">
        <f t="array" ref="BV396">SUM(IF(BS396:BT396&gt;=BS396, 1))</f>
        <v>2</v>
      </c>
      <c r="BW396" s="58">
        <f t="array" ref="BW396">SUM(IF(BS396:BT396&gt;=BT396, 1))</f>
        <v>1</v>
      </c>
      <c r="BY396" s="109">
        <f t="shared" si="161"/>
        <v>134055.90031881019</v>
      </c>
      <c r="BZ396" s="109">
        <f t="shared" si="162"/>
        <v>134400.10265210018</v>
      </c>
      <c r="CB396" s="58">
        <f t="array" ref="CB396">SUM(IF(BY396:BZ396&gt;=BY396, 1))</f>
        <v>2</v>
      </c>
      <c r="CC396" s="58">
        <f t="array" ref="CC396">SUM(IF(BY396:BZ396&gt;=BZ396, 1))</f>
        <v>1</v>
      </c>
      <c r="CE396" s="109">
        <f t="shared" si="163"/>
        <v>94664.859886391714</v>
      </c>
      <c r="CF396" s="109">
        <f t="shared" si="164"/>
        <v>97765.724796616996</v>
      </c>
      <c r="CH396" s="58">
        <f t="array" ref="CH396">SUM(IF(CE396:CF396&gt;=CE396, 1))</f>
        <v>2</v>
      </c>
      <c r="CI396" s="58">
        <f t="array" ref="CI396">SUM(IF(CE396:CF396&gt;=CF396, 1))</f>
        <v>1</v>
      </c>
      <c r="CK396" s="109">
        <f t="shared" si="165"/>
        <v>50632.492282430845</v>
      </c>
      <c r="CL396" s="109">
        <f t="shared" si="166"/>
        <v>51509.443940598794</v>
      </c>
      <c r="CN396" s="58">
        <f t="array" ref="CN396">SUM(IF(CK396:CL396&gt;=CK396, 1))</f>
        <v>2</v>
      </c>
      <c r="CO396" s="58">
        <f t="array" ref="CO396">SUM(IF(CK396:CL396&gt;=CL396, 1))</f>
        <v>1</v>
      </c>
      <c r="CQ396" s="109" cm="1">
        <f t="array" ref="CQ396">AF396*WTP-AC396</f>
        <v>38237.776795741098</v>
      </c>
      <c r="CR396" s="109">
        <f t="shared" si="167"/>
        <v>41730.546187894972</v>
      </c>
      <c r="CT396" s="58">
        <f t="array" ref="CT396">SUM(IF(CQ396:CR396&gt;=CQ396, 1))</f>
        <v>2</v>
      </c>
      <c r="CU396" s="58">
        <f t="array" ref="CU396">SUM(IF(CQ396:CR396&gt;=CR396, 1))</f>
        <v>1</v>
      </c>
      <c r="CW396" s="109">
        <f t="shared" si="168"/>
        <v>-44128792.977235883</v>
      </c>
      <c r="CX396" s="109">
        <f t="shared" si="169"/>
        <v>0</v>
      </c>
      <c r="CZ396" s="58">
        <f t="array" ref="CZ396">SUM(IF(CW396:CX396&gt;=CW396, 1))</f>
        <v>2</v>
      </c>
      <c r="DA396" s="58">
        <f t="array" ref="DA396">SUM(IF(CW396:CX396&gt;=CX396, 1))</f>
        <v>1</v>
      </c>
      <c r="DC396" s="109">
        <f t="shared" si="170"/>
        <v>-2329039.4790260531</v>
      </c>
      <c r="DD396" s="109">
        <f t="shared" si="171"/>
        <v>0</v>
      </c>
      <c r="DF396" s="58">
        <f t="array" ref="DF396">SUM(IF(DC396:DD396&gt;=DC396, 1))</f>
        <v>2</v>
      </c>
      <c r="DG396" s="58">
        <f t="array" ref="DG396">SUM(IF(DC396:DD396&gt;=DD396, 1))</f>
        <v>1</v>
      </c>
      <c r="DI396" s="109">
        <f t="shared" si="172"/>
        <v>-70810756.321029186</v>
      </c>
      <c r="DJ396" s="109">
        <f t="shared" si="173"/>
        <v>0</v>
      </c>
      <c r="DL396" s="58">
        <f t="array" ref="DL396">SUM(IF(DI396:DJ396&gt;=DI396, 1))</f>
        <v>2</v>
      </c>
      <c r="DM396" s="58">
        <f t="array" ref="DM396">SUM(IF(DI396:DJ396&gt;=DJ396, 1))</f>
        <v>1</v>
      </c>
      <c r="DO396" s="109">
        <f t="shared" si="174"/>
        <v>-8310715.249076047</v>
      </c>
      <c r="DP396" s="109">
        <f t="shared" si="175"/>
        <v>0</v>
      </c>
      <c r="DR396" s="58">
        <f t="array" ref="DR396">SUM(IF(DO396:DP396&gt;=DO396, 1))</f>
        <v>2</v>
      </c>
      <c r="DS396" s="58">
        <f t="array" ref="DS396">SUM(IF(DO396:DP396&gt;=DP396, 1))</f>
        <v>1</v>
      </c>
      <c r="DU396" s="109">
        <f t="shared" si="176"/>
        <v>-53219830.595988713</v>
      </c>
      <c r="DV396" s="109">
        <f t="shared" si="177"/>
        <v>0</v>
      </c>
      <c r="DX396" s="58">
        <f t="array" ref="DX396">SUM(IF(DU396:DV396&gt;=DU396, 1))</f>
        <v>2</v>
      </c>
      <c r="DY396" s="58">
        <f t="array" ref="DY396">SUM(IF(DU396:DV396&gt;=DV396, 1))</f>
        <v>1</v>
      </c>
      <c r="EA396" s="109">
        <f t="shared" si="178"/>
        <v>-178799134.62235588</v>
      </c>
      <c r="EB396" s="109">
        <f t="shared" si="179"/>
        <v>0</v>
      </c>
      <c r="ED396" s="58">
        <f t="array" ref="ED396">SUM(IF(EA396:EB396&gt;=EA396, 1))</f>
        <v>2</v>
      </c>
      <c r="EE396" s="58">
        <f t="array" ref="EE396">SUM(IF(EA396:EB396&gt;=EB396, 1))</f>
        <v>1</v>
      </c>
    </row>
    <row r="397" spans="4:135" ht="12" customHeight="1" x14ac:dyDescent="0.25">
      <c r="D397" s="11">
        <v>381</v>
      </c>
      <c r="E397" s="72">
        <v>282.00981989668628</v>
      </c>
      <c r="F397" s="72">
        <v>272.63184708272735</v>
      </c>
      <c r="G397" s="73"/>
      <c r="H397" s="74">
        <v>5.8300971658254674</v>
      </c>
      <c r="I397" s="74">
        <v>5.8438718158275913</v>
      </c>
      <c r="J397" s="73"/>
      <c r="K397" s="72">
        <v>303.68417979169567</v>
      </c>
      <c r="L397" s="72">
        <v>294.03153083514275</v>
      </c>
      <c r="M397" s="73"/>
      <c r="N397" s="74">
        <v>6.6716319523957601</v>
      </c>
      <c r="O397" s="74">
        <v>6.6832160657276702</v>
      </c>
      <c r="P397" s="73"/>
      <c r="Q397" s="72">
        <v>2716.9805558211797</v>
      </c>
      <c r="R397" s="72">
        <v>1409.554575446386</v>
      </c>
      <c r="S397" s="73"/>
      <c r="T397" s="74">
        <v>4.7500990708023076</v>
      </c>
      <c r="U397" s="74">
        <v>4.8527705668529073</v>
      </c>
      <c r="V397" s="73"/>
      <c r="W397" s="72">
        <v>15331.24114268083</v>
      </c>
      <c r="X397" s="72">
        <v>15369.221610979786</v>
      </c>
      <c r="Y397" s="73"/>
      <c r="Z397" s="74">
        <v>2.9444121937901495</v>
      </c>
      <c r="AA397" s="74">
        <v>2.9942100635017712</v>
      </c>
      <c r="AB397" s="73"/>
      <c r="AC397" s="72">
        <v>49066.186059472471</v>
      </c>
      <c r="AD397" s="72">
        <v>48960.782532950732</v>
      </c>
      <c r="AE397" s="73"/>
      <c r="AF397" s="74">
        <v>4.5263209736416359</v>
      </c>
      <c r="AG397" s="74">
        <v>4.6574233147939816</v>
      </c>
      <c r="AH397" s="73"/>
      <c r="AI397" s="72">
        <v>1008046.9248423942</v>
      </c>
      <c r="AJ397" s="72">
        <v>0</v>
      </c>
      <c r="AK397" s="73"/>
      <c r="AL397" s="74">
        <v>-1480.6498004294635</v>
      </c>
      <c r="AM397" s="74">
        <v>0</v>
      </c>
      <c r="AN397" s="73"/>
      <c r="AO397" s="72">
        <v>69367.66471157741</v>
      </c>
      <c r="AP397" s="72">
        <v>0</v>
      </c>
      <c r="AQ397" s="73"/>
      <c r="AR397" s="74">
        <v>-83.247913935929233</v>
      </c>
      <c r="AS397" s="74">
        <v>0</v>
      </c>
      <c r="AT397" s="73"/>
      <c r="AU397" s="72">
        <v>31366752.163820878</v>
      </c>
      <c r="AV397" s="72">
        <v>0</v>
      </c>
      <c r="AW397" s="73"/>
      <c r="AX397" s="74">
        <v>-2463.2150647524049</v>
      </c>
      <c r="AY397" s="74">
        <v>0</v>
      </c>
      <c r="AZ397" s="73"/>
      <c r="BA397" s="72">
        <v>-331009.62053456594</v>
      </c>
      <c r="BB397" s="72">
        <v>0</v>
      </c>
      <c r="BC397" s="73"/>
      <c r="BD397" s="74">
        <v>-434.00133528966262</v>
      </c>
      <c r="BE397" s="74">
        <v>0</v>
      </c>
      <c r="BF397" s="73"/>
      <c r="BG397" s="72">
        <v>1666379.8904870118</v>
      </c>
      <c r="BH397" s="72">
        <v>0</v>
      </c>
      <c r="BI397" s="73"/>
      <c r="BJ397" s="74">
        <v>-2072.6659923183797</v>
      </c>
      <c r="BK397" s="74">
        <v>0</v>
      </c>
      <c r="BL397" s="73"/>
      <c r="BM397" s="72">
        <v>33779537.023327298</v>
      </c>
      <c r="BN397" s="72">
        <v>0</v>
      </c>
      <c r="BO397" s="73"/>
      <c r="BP397" s="74">
        <v>-6533.7801067258406</v>
      </c>
      <c r="BQ397" s="74">
        <v>0</v>
      </c>
      <c r="BS397" s="109">
        <f t="shared" si="159"/>
        <v>116319.93349661266</v>
      </c>
      <c r="BT397" s="109">
        <f t="shared" si="160"/>
        <v>116604.80446946911</v>
      </c>
      <c r="BV397" s="58">
        <f t="array" ref="BV397">SUM(IF(BS397:BT397&gt;=BS397, 1))</f>
        <v>2</v>
      </c>
      <c r="BW397" s="58">
        <f t="array" ref="BW397">SUM(IF(BS397:BT397&gt;=BT397, 1))</f>
        <v>1</v>
      </c>
      <c r="BY397" s="109">
        <f t="shared" si="161"/>
        <v>133128.95486812352</v>
      </c>
      <c r="BZ397" s="109">
        <f t="shared" si="162"/>
        <v>133370.28978371827</v>
      </c>
      <c r="CB397" s="58">
        <f t="array" ref="CB397">SUM(IF(BY397:BZ397&gt;=BY397, 1))</f>
        <v>2</v>
      </c>
      <c r="CC397" s="58">
        <f t="array" ref="CC397">SUM(IF(BY397:BZ397&gt;=BZ397, 1))</f>
        <v>1</v>
      </c>
      <c r="CE397" s="109">
        <f t="shared" si="163"/>
        <v>92285.000860224973</v>
      </c>
      <c r="CF397" s="109">
        <f t="shared" si="164"/>
        <v>95645.856761611765</v>
      </c>
      <c r="CH397" s="58">
        <f t="array" ref="CH397">SUM(IF(CE397:CF397&gt;=CE397, 1))</f>
        <v>2</v>
      </c>
      <c r="CI397" s="58">
        <f t="array" ref="CI397">SUM(IF(CE397:CF397&gt;=CF397, 1))</f>
        <v>1</v>
      </c>
      <c r="CK397" s="109">
        <f t="shared" si="165"/>
        <v>43557.002733122157</v>
      </c>
      <c r="CL397" s="109">
        <f t="shared" si="166"/>
        <v>44514.979659055636</v>
      </c>
      <c r="CN397" s="58">
        <f t="array" ref="CN397">SUM(IF(CK397:CL397&gt;=CK397, 1))</f>
        <v>2</v>
      </c>
      <c r="CO397" s="58">
        <f t="array" ref="CO397">SUM(IF(CK397:CL397&gt;=CL397, 1))</f>
        <v>1</v>
      </c>
      <c r="CQ397" s="109" cm="1">
        <f t="array" ref="CQ397">AF397*WTP-AC397</f>
        <v>41460.233413360242</v>
      </c>
      <c r="CR397" s="109">
        <f t="shared" si="167"/>
        <v>44187.683762928908</v>
      </c>
      <c r="CT397" s="58">
        <f t="array" ref="CT397">SUM(IF(CQ397:CR397&gt;=CQ397, 1))</f>
        <v>2</v>
      </c>
      <c r="CU397" s="58">
        <f t="array" ref="CU397">SUM(IF(CQ397:CR397&gt;=CR397, 1))</f>
        <v>1</v>
      </c>
      <c r="CW397" s="109">
        <f t="shared" si="168"/>
        <v>-30621042.933431666</v>
      </c>
      <c r="CX397" s="109">
        <f t="shared" si="169"/>
        <v>0</v>
      </c>
      <c r="CZ397" s="58">
        <f t="array" ref="CZ397">SUM(IF(CW397:CX397&gt;=CW397, 1))</f>
        <v>2</v>
      </c>
      <c r="DA397" s="58">
        <f t="array" ref="DA397">SUM(IF(CW397:CX397&gt;=CX397, 1))</f>
        <v>1</v>
      </c>
      <c r="DC397" s="109">
        <f t="shared" si="170"/>
        <v>-1734325.943430162</v>
      </c>
      <c r="DD397" s="109">
        <f t="shared" si="171"/>
        <v>0</v>
      </c>
      <c r="DF397" s="58">
        <f t="array" ref="DF397">SUM(IF(DC397:DD397&gt;=DC397, 1))</f>
        <v>2</v>
      </c>
      <c r="DG397" s="58">
        <f t="array" ref="DG397">SUM(IF(DC397:DD397&gt;=DD397, 1))</f>
        <v>1</v>
      </c>
      <c r="DI397" s="109">
        <f t="shared" si="172"/>
        <v>-80631053.45886898</v>
      </c>
      <c r="DJ397" s="109">
        <f t="shared" si="173"/>
        <v>0</v>
      </c>
      <c r="DL397" s="58">
        <f t="array" ref="DL397">SUM(IF(DI397:DJ397&gt;=DI397, 1))</f>
        <v>2</v>
      </c>
      <c r="DM397" s="58">
        <f t="array" ref="DM397">SUM(IF(DI397:DJ397&gt;=DJ397, 1))</f>
        <v>1</v>
      </c>
      <c r="DO397" s="109">
        <f t="shared" si="174"/>
        <v>-8349017.085258686</v>
      </c>
      <c r="DP397" s="109">
        <f t="shared" si="175"/>
        <v>0</v>
      </c>
      <c r="DR397" s="58">
        <f t="array" ref="DR397">SUM(IF(DO397:DP397&gt;=DO397, 1))</f>
        <v>2</v>
      </c>
      <c r="DS397" s="58">
        <f t="array" ref="DS397">SUM(IF(DO397:DP397&gt;=DP397, 1))</f>
        <v>1</v>
      </c>
      <c r="DU397" s="109">
        <f t="shared" si="176"/>
        <v>-43119699.736854613</v>
      </c>
      <c r="DV397" s="109">
        <f t="shared" si="177"/>
        <v>0</v>
      </c>
      <c r="DX397" s="58">
        <f t="array" ref="DX397">SUM(IF(DU397:DV397&gt;=DU397, 1))</f>
        <v>2</v>
      </c>
      <c r="DY397" s="58">
        <f t="array" ref="DY397">SUM(IF(DU397:DV397&gt;=DV397, 1))</f>
        <v>1</v>
      </c>
      <c r="EA397" s="109">
        <f t="shared" si="178"/>
        <v>-164455139.1578441</v>
      </c>
      <c r="EB397" s="109">
        <f t="shared" si="179"/>
        <v>0</v>
      </c>
      <c r="ED397" s="58">
        <f t="array" ref="ED397">SUM(IF(EA397:EB397&gt;=EA397, 1))</f>
        <v>2</v>
      </c>
      <c r="EE397" s="58">
        <f t="array" ref="EE397">SUM(IF(EA397:EB397&gt;=EB397, 1))</f>
        <v>1</v>
      </c>
    </row>
    <row r="398" spans="4:135" ht="12" customHeight="1" x14ac:dyDescent="0.25">
      <c r="D398" s="11">
        <v>382</v>
      </c>
      <c r="E398" s="72">
        <v>274.5631674292697</v>
      </c>
      <c r="F398" s="72">
        <v>260.51125921539841</v>
      </c>
      <c r="G398" s="73"/>
      <c r="H398" s="74">
        <v>5.8451026363952057</v>
      </c>
      <c r="I398" s="74">
        <v>5.8608498447479773</v>
      </c>
      <c r="J398" s="73"/>
      <c r="K398" s="72">
        <v>295.41511353554245</v>
      </c>
      <c r="L398" s="72">
        <v>281.0027244494554</v>
      </c>
      <c r="M398" s="73"/>
      <c r="N398" s="74">
        <v>6.712751631703382</v>
      </c>
      <c r="O398" s="74">
        <v>6.7266420133997338</v>
      </c>
      <c r="P398" s="73"/>
      <c r="Q398" s="72">
        <v>1879.5680555255915</v>
      </c>
      <c r="R398" s="72">
        <v>965.57762824284532</v>
      </c>
      <c r="S398" s="73"/>
      <c r="T398" s="74">
        <v>4.7141690769133042</v>
      </c>
      <c r="U398" s="74">
        <v>4.8055081359112464</v>
      </c>
      <c r="V398" s="73"/>
      <c r="W398" s="72">
        <v>11574.383648399438</v>
      </c>
      <c r="X398" s="72">
        <v>11555.309646706741</v>
      </c>
      <c r="Y398" s="73"/>
      <c r="Z398" s="74">
        <v>3.009424039897679</v>
      </c>
      <c r="AA398" s="74">
        <v>3.0504467031547291</v>
      </c>
      <c r="AB398" s="73"/>
      <c r="AC398" s="72">
        <v>49556.200989834899</v>
      </c>
      <c r="AD398" s="72">
        <v>49177.709227681968</v>
      </c>
      <c r="AE398" s="73"/>
      <c r="AF398" s="74">
        <v>4.6718684389425311</v>
      </c>
      <c r="AG398" s="74">
        <v>4.8100634085348304</v>
      </c>
      <c r="AH398" s="73"/>
      <c r="AI398" s="72">
        <v>1509256.3349585771</v>
      </c>
      <c r="AJ398" s="72">
        <v>0</v>
      </c>
      <c r="AK398" s="73"/>
      <c r="AL398" s="74">
        <v>-1691.3413895539229</v>
      </c>
      <c r="AM398" s="74">
        <v>0</v>
      </c>
      <c r="AN398" s="73"/>
      <c r="AO398" s="72">
        <v>97607.428490689999</v>
      </c>
      <c r="AP398" s="72">
        <v>0</v>
      </c>
      <c r="AQ398" s="73"/>
      <c r="AR398" s="74">
        <v>-94.072150705664114</v>
      </c>
      <c r="AS398" s="74">
        <v>0</v>
      </c>
      <c r="AT398" s="73"/>
      <c r="AU398" s="72">
        <v>21234529.401956808</v>
      </c>
      <c r="AV398" s="72">
        <v>0</v>
      </c>
      <c r="AW398" s="73"/>
      <c r="AX398" s="74">
        <v>-2122.0593519836352</v>
      </c>
      <c r="AY398" s="74">
        <v>0</v>
      </c>
      <c r="AZ398" s="73"/>
      <c r="BA398" s="72">
        <v>171584.68461601087</v>
      </c>
      <c r="BB398" s="72">
        <v>0</v>
      </c>
      <c r="BC398" s="73"/>
      <c r="BD398" s="74">
        <v>-369.02905066662487</v>
      </c>
      <c r="BE398" s="74">
        <v>0</v>
      </c>
      <c r="BF398" s="73"/>
      <c r="BG398" s="72">
        <v>5956915.8948244136</v>
      </c>
      <c r="BH398" s="72">
        <v>0</v>
      </c>
      <c r="BI398" s="73"/>
      <c r="BJ398" s="74">
        <v>-2174.9900348333608</v>
      </c>
      <c r="BK398" s="74">
        <v>0</v>
      </c>
      <c r="BL398" s="73"/>
      <c r="BM398" s="72">
        <v>28969893.7448465</v>
      </c>
      <c r="BN398" s="72">
        <v>0</v>
      </c>
      <c r="BO398" s="73"/>
      <c r="BP398" s="74">
        <v>-6451.4919777432078</v>
      </c>
      <c r="BQ398" s="74">
        <v>0</v>
      </c>
      <c r="BS398" s="109">
        <f t="shared" si="159"/>
        <v>116627.48956047485</v>
      </c>
      <c r="BT398" s="109">
        <f t="shared" si="160"/>
        <v>116956.48563574415</v>
      </c>
      <c r="BV398" s="58">
        <f t="array" ref="BV398">SUM(IF(BS398:BT398&gt;=BS398, 1))</f>
        <v>2</v>
      </c>
      <c r="BW398" s="58">
        <f t="array" ref="BW398">SUM(IF(BS398:BT398&gt;=BT398, 1))</f>
        <v>1</v>
      </c>
      <c r="BY398" s="109">
        <f t="shared" si="161"/>
        <v>133959.61752053211</v>
      </c>
      <c r="BZ398" s="109">
        <f t="shared" si="162"/>
        <v>134251.83754354523</v>
      </c>
      <c r="CB398" s="58">
        <f t="array" ref="CB398">SUM(IF(BY398:BZ398&gt;=BY398, 1))</f>
        <v>2</v>
      </c>
      <c r="CC398" s="58">
        <f t="array" ref="CC398">SUM(IF(BY398:BZ398&gt;=BZ398, 1))</f>
        <v>1</v>
      </c>
      <c r="CE398" s="109">
        <f t="shared" si="163"/>
        <v>92403.813482740487</v>
      </c>
      <c r="CF398" s="109">
        <f t="shared" si="164"/>
        <v>95144.58508998208</v>
      </c>
      <c r="CH398" s="58">
        <f t="array" ref="CH398">SUM(IF(CE398:CF398&gt;=CE398, 1))</f>
        <v>2</v>
      </c>
      <c r="CI398" s="58">
        <f t="array" ref="CI398">SUM(IF(CE398:CF398&gt;=CF398, 1))</f>
        <v>1</v>
      </c>
      <c r="CK398" s="109">
        <f t="shared" si="165"/>
        <v>48614.097149554145</v>
      </c>
      <c r="CL398" s="109">
        <f t="shared" si="166"/>
        <v>49453.624416387844</v>
      </c>
      <c r="CN398" s="58">
        <f t="array" ref="CN398">SUM(IF(CK398:CL398&gt;=CK398, 1))</f>
        <v>2</v>
      </c>
      <c r="CO398" s="58">
        <f t="array" ref="CO398">SUM(IF(CK398:CL398&gt;=CL398, 1))</f>
        <v>1</v>
      </c>
      <c r="CQ398" s="109" cm="1">
        <f t="array" ref="CQ398">AF398*WTP-AC398</f>
        <v>43881.167789015723</v>
      </c>
      <c r="CR398" s="109">
        <f t="shared" si="167"/>
        <v>47023.558943014643</v>
      </c>
      <c r="CT398" s="58">
        <f t="array" ref="CT398">SUM(IF(CQ398:CR398&gt;=CQ398, 1))</f>
        <v>2</v>
      </c>
      <c r="CU398" s="58">
        <f t="array" ref="CU398">SUM(IF(CQ398:CR398&gt;=CR398, 1))</f>
        <v>1</v>
      </c>
      <c r="CW398" s="109">
        <f t="shared" si="168"/>
        <v>-35336084.126037031</v>
      </c>
      <c r="CX398" s="109">
        <f t="shared" si="169"/>
        <v>0</v>
      </c>
      <c r="CZ398" s="58">
        <f t="array" ref="CZ398">SUM(IF(CW398:CX398&gt;=CW398, 1))</f>
        <v>2</v>
      </c>
      <c r="DA398" s="58">
        <f t="array" ref="DA398">SUM(IF(CW398:CX398&gt;=CX398, 1))</f>
        <v>1</v>
      </c>
      <c r="DC398" s="109">
        <f t="shared" si="170"/>
        <v>-1979050.4426039723</v>
      </c>
      <c r="DD398" s="109">
        <f t="shared" si="171"/>
        <v>0</v>
      </c>
      <c r="DF398" s="58">
        <f t="array" ref="DF398">SUM(IF(DC398:DD398&gt;=DC398, 1))</f>
        <v>2</v>
      </c>
      <c r="DG398" s="58">
        <f t="array" ref="DG398">SUM(IF(DC398:DD398&gt;=DD398, 1))</f>
        <v>1</v>
      </c>
      <c r="DI398" s="109">
        <f t="shared" si="172"/>
        <v>-63675716.441629514</v>
      </c>
      <c r="DJ398" s="109">
        <f t="shared" si="173"/>
        <v>0</v>
      </c>
      <c r="DL398" s="58">
        <f t="array" ref="DL398">SUM(IF(DI398:DJ398&gt;=DI398, 1))</f>
        <v>2</v>
      </c>
      <c r="DM398" s="58">
        <f t="array" ref="DM398">SUM(IF(DI398:DJ398&gt;=DJ398, 1))</f>
        <v>1</v>
      </c>
      <c r="DO398" s="109">
        <f t="shared" si="174"/>
        <v>-7552165.697948508</v>
      </c>
      <c r="DP398" s="109">
        <f t="shared" si="175"/>
        <v>0</v>
      </c>
      <c r="DR398" s="58">
        <f t="array" ref="DR398">SUM(IF(DO398:DP398&gt;=DO398, 1))</f>
        <v>2</v>
      </c>
      <c r="DS398" s="58">
        <f t="array" ref="DS398">SUM(IF(DO398:DP398&gt;=DP398, 1))</f>
        <v>1</v>
      </c>
      <c r="DU398" s="109">
        <f t="shared" si="176"/>
        <v>-49456716.591491632</v>
      </c>
      <c r="DV398" s="109">
        <f t="shared" si="177"/>
        <v>0</v>
      </c>
      <c r="DX398" s="58">
        <f t="array" ref="DX398">SUM(IF(DU398:DV398&gt;=DU398, 1))</f>
        <v>2</v>
      </c>
      <c r="DY398" s="58">
        <f t="array" ref="DY398">SUM(IF(DU398:DV398&gt;=DV398, 1))</f>
        <v>1</v>
      </c>
      <c r="EA398" s="109">
        <f t="shared" si="178"/>
        <v>-157999733.29971066</v>
      </c>
      <c r="EB398" s="109">
        <f t="shared" si="179"/>
        <v>0</v>
      </c>
      <c r="ED398" s="58">
        <f t="array" ref="ED398">SUM(IF(EA398:EB398&gt;=EA398, 1))</f>
        <v>2</v>
      </c>
      <c r="EE398" s="58">
        <f t="array" ref="EE398">SUM(IF(EA398:EB398&gt;=EB398, 1))</f>
        <v>1</v>
      </c>
    </row>
    <row r="399" spans="4:135" ht="12" customHeight="1" x14ac:dyDescent="0.25">
      <c r="D399" s="11">
        <v>383</v>
      </c>
      <c r="E399" s="72">
        <v>265.32972662015254</v>
      </c>
      <c r="F399" s="72">
        <v>232.26264346771177</v>
      </c>
      <c r="G399" s="73"/>
      <c r="H399" s="74">
        <v>5.7594738088405348</v>
      </c>
      <c r="I399" s="74">
        <v>5.7771820176408353</v>
      </c>
      <c r="J399" s="73"/>
      <c r="K399" s="72">
        <v>284.25348720931987</v>
      </c>
      <c r="L399" s="72">
        <v>250.39667872699704</v>
      </c>
      <c r="M399" s="73"/>
      <c r="N399" s="74">
        <v>6.6964778720892646</v>
      </c>
      <c r="O399" s="74">
        <v>6.711611841997394</v>
      </c>
      <c r="P399" s="73"/>
      <c r="Q399" s="72">
        <v>8391.3716058489063</v>
      </c>
      <c r="R399" s="72">
        <v>2018.6029060307897</v>
      </c>
      <c r="S399" s="73"/>
      <c r="T399" s="74">
        <v>4.5775475019394047</v>
      </c>
      <c r="U399" s="74">
        <v>4.8876073707160641</v>
      </c>
      <c r="V399" s="73"/>
      <c r="W399" s="72">
        <v>15500.021595198841</v>
      </c>
      <c r="X399" s="72">
        <v>15467.412763048953</v>
      </c>
      <c r="Y399" s="73"/>
      <c r="Z399" s="74">
        <v>2.9637638620807953</v>
      </c>
      <c r="AA399" s="74">
        <v>3.0064028788897197</v>
      </c>
      <c r="AB399" s="73"/>
      <c r="AC399" s="72">
        <v>51917.043734030151</v>
      </c>
      <c r="AD399" s="72">
        <v>51654.644556265259</v>
      </c>
      <c r="AE399" s="73"/>
      <c r="AF399" s="74">
        <v>4.6707515996240261</v>
      </c>
      <c r="AG399" s="74">
        <v>4.7374799064977848</v>
      </c>
      <c r="AH399" s="73"/>
      <c r="AI399" s="72">
        <v>3569163.6204990367</v>
      </c>
      <c r="AJ399" s="72">
        <v>0</v>
      </c>
      <c r="AK399" s="73"/>
      <c r="AL399" s="74">
        <v>-1911.3719327121237</v>
      </c>
      <c r="AM399" s="74">
        <v>0</v>
      </c>
      <c r="AN399" s="73"/>
      <c r="AO399" s="72">
        <v>224489.20918403767</v>
      </c>
      <c r="AP399" s="72">
        <v>0</v>
      </c>
      <c r="AQ399" s="73"/>
      <c r="AR399" s="74">
        <v>-100.34652079698655</v>
      </c>
      <c r="AS399" s="74">
        <v>0</v>
      </c>
      <c r="AT399" s="73"/>
      <c r="AU399" s="72">
        <v>146855126.1796782</v>
      </c>
      <c r="AV399" s="72">
        <v>0</v>
      </c>
      <c r="AW399" s="73"/>
      <c r="AX399" s="74">
        <v>-7145.0704234331224</v>
      </c>
      <c r="AY399" s="74">
        <v>0</v>
      </c>
      <c r="AZ399" s="73"/>
      <c r="BA399" s="72">
        <v>298098.59083746083</v>
      </c>
      <c r="BB399" s="72">
        <v>0</v>
      </c>
      <c r="BC399" s="73"/>
      <c r="BD399" s="74">
        <v>-389.79104700867703</v>
      </c>
      <c r="BE399" s="74">
        <v>0</v>
      </c>
      <c r="BF399" s="73"/>
      <c r="BG399" s="72">
        <v>4160042.8595418124</v>
      </c>
      <c r="BH399" s="72">
        <v>0</v>
      </c>
      <c r="BI399" s="73"/>
      <c r="BJ399" s="74">
        <v>-1057.9020060353105</v>
      </c>
      <c r="BK399" s="74">
        <v>0</v>
      </c>
      <c r="BL399" s="73"/>
      <c r="BM399" s="72">
        <v>155106920.45974052</v>
      </c>
      <c r="BN399" s="72">
        <v>0</v>
      </c>
      <c r="BO399" s="73"/>
      <c r="BP399" s="74">
        <v>-10604.481929986221</v>
      </c>
      <c r="BQ399" s="74">
        <v>0</v>
      </c>
      <c r="BS399" s="109">
        <f t="shared" si="159"/>
        <v>114924.14645019054</v>
      </c>
      <c r="BT399" s="109">
        <f t="shared" si="160"/>
        <v>115311.37770934899</v>
      </c>
      <c r="BV399" s="58">
        <f t="array" ref="BV399">SUM(IF(BS399:BT399&gt;=BS399, 1))</f>
        <v>2</v>
      </c>
      <c r="BW399" s="58">
        <f t="array" ref="BW399">SUM(IF(BS399:BT399&gt;=BT399, 1))</f>
        <v>1</v>
      </c>
      <c r="BY399" s="109">
        <f t="shared" si="161"/>
        <v>133645.30395457597</v>
      </c>
      <c r="BZ399" s="109">
        <f t="shared" si="162"/>
        <v>133981.84016122087</v>
      </c>
      <c r="CB399" s="58">
        <f t="array" ref="CB399">SUM(IF(BY399:BZ399&gt;=BY399, 1))</f>
        <v>2</v>
      </c>
      <c r="CC399" s="58">
        <f t="array" ref="CC399">SUM(IF(BY399:BZ399&gt;=BZ399, 1))</f>
        <v>1</v>
      </c>
      <c r="CE399" s="109">
        <f t="shared" si="163"/>
        <v>83159.57843293919</v>
      </c>
      <c r="CF399" s="109">
        <f t="shared" si="164"/>
        <v>95733.544508290492</v>
      </c>
      <c r="CH399" s="58">
        <f t="array" ref="CH399">SUM(IF(CE399:CF399&gt;=CE399, 1))</f>
        <v>2</v>
      </c>
      <c r="CI399" s="58">
        <f t="array" ref="CI399">SUM(IF(CE399:CF399&gt;=CF399, 1))</f>
        <v>1</v>
      </c>
      <c r="CK399" s="109">
        <f t="shared" si="165"/>
        <v>43775.255646417063</v>
      </c>
      <c r="CL399" s="109">
        <f t="shared" si="166"/>
        <v>44660.644814745443</v>
      </c>
      <c r="CN399" s="58">
        <f t="array" ref="CN399">SUM(IF(CK399:CL399&gt;=CK399, 1))</f>
        <v>2</v>
      </c>
      <c r="CO399" s="58">
        <f t="array" ref="CO399">SUM(IF(CK399:CL399&gt;=CL399, 1))</f>
        <v>1</v>
      </c>
      <c r="CQ399" s="109" cm="1">
        <f t="array" ref="CQ399">AF399*WTP-AC399</f>
        <v>41497.988258450372</v>
      </c>
      <c r="CR399" s="109">
        <f t="shared" si="167"/>
        <v>43094.953573690444</v>
      </c>
      <c r="CT399" s="58">
        <f t="array" ref="CT399">SUM(IF(CQ399:CR399&gt;=CQ399, 1))</f>
        <v>2</v>
      </c>
      <c r="CU399" s="58">
        <f t="array" ref="CU399">SUM(IF(CQ399:CR399&gt;=CR399, 1))</f>
        <v>1</v>
      </c>
      <c r="CW399" s="109">
        <f t="shared" si="168"/>
        <v>-41796602.274741508</v>
      </c>
      <c r="CX399" s="109">
        <f t="shared" si="169"/>
        <v>0</v>
      </c>
      <c r="CZ399" s="58">
        <f t="array" ref="CZ399">SUM(IF(CW399:CX399&gt;=CW399, 1))</f>
        <v>2</v>
      </c>
      <c r="DA399" s="58">
        <f t="array" ref="DA399">SUM(IF(CW399:CX399&gt;=CX399, 1))</f>
        <v>1</v>
      </c>
      <c r="DC399" s="109">
        <f t="shared" si="170"/>
        <v>-2231419.6251237686</v>
      </c>
      <c r="DD399" s="109">
        <f t="shared" si="171"/>
        <v>0</v>
      </c>
      <c r="DF399" s="58">
        <f t="array" ref="DF399">SUM(IF(DC399:DD399&gt;=DC399, 1))</f>
        <v>2</v>
      </c>
      <c r="DG399" s="58">
        <f t="array" ref="DG399">SUM(IF(DC399:DD399&gt;=DD399, 1))</f>
        <v>1</v>
      </c>
      <c r="DI399" s="109">
        <f t="shared" si="172"/>
        <v>-289756534.64834064</v>
      </c>
      <c r="DJ399" s="109">
        <f t="shared" si="173"/>
        <v>0</v>
      </c>
      <c r="DL399" s="58">
        <f t="array" ref="DL399">SUM(IF(DI399:DJ399&gt;=DI399, 1))</f>
        <v>2</v>
      </c>
      <c r="DM399" s="58">
        <f t="array" ref="DM399">SUM(IF(DI399:DJ399&gt;=DJ399, 1))</f>
        <v>1</v>
      </c>
      <c r="DO399" s="109">
        <f t="shared" si="174"/>
        <v>-8093919.5310110012</v>
      </c>
      <c r="DP399" s="109">
        <f t="shared" si="175"/>
        <v>0</v>
      </c>
      <c r="DR399" s="58">
        <f t="array" ref="DR399">SUM(IF(DO399:DP399&gt;=DO399, 1))</f>
        <v>2</v>
      </c>
      <c r="DS399" s="58">
        <f t="array" ref="DS399">SUM(IF(DO399:DP399&gt;=DP399, 1))</f>
        <v>1</v>
      </c>
      <c r="DU399" s="109">
        <f t="shared" si="176"/>
        <v>-25318082.980248019</v>
      </c>
      <c r="DV399" s="109">
        <f t="shared" si="177"/>
        <v>0</v>
      </c>
      <c r="DX399" s="58">
        <f t="array" ref="DX399">SUM(IF(DU399:DV399&gt;=DU399, 1))</f>
        <v>2</v>
      </c>
      <c r="DY399" s="58">
        <f t="array" ref="DY399">SUM(IF(DU399:DV399&gt;=DV399, 1))</f>
        <v>1</v>
      </c>
      <c r="EA399" s="109">
        <f t="shared" si="178"/>
        <v>-367196559.05946493</v>
      </c>
      <c r="EB399" s="109">
        <f t="shared" si="179"/>
        <v>0</v>
      </c>
      <c r="ED399" s="58">
        <f t="array" ref="ED399">SUM(IF(EA399:EB399&gt;=EA399, 1))</f>
        <v>2</v>
      </c>
      <c r="EE399" s="58">
        <f t="array" ref="EE399">SUM(IF(EA399:EB399&gt;=EB399, 1))</f>
        <v>1</v>
      </c>
    </row>
    <row r="400" spans="4:135" ht="12" customHeight="1" x14ac:dyDescent="0.25">
      <c r="D400" s="11">
        <v>384</v>
      </c>
      <c r="E400" s="72">
        <v>215.8517510401015</v>
      </c>
      <c r="F400" s="72">
        <v>206.66450692428842</v>
      </c>
      <c r="G400" s="73"/>
      <c r="H400" s="74">
        <v>5.7894506983818372</v>
      </c>
      <c r="I400" s="74">
        <v>5.8028423855579581</v>
      </c>
      <c r="J400" s="73"/>
      <c r="K400" s="72">
        <v>232.28580103828722</v>
      </c>
      <c r="L400" s="72">
        <v>222.86159660899355</v>
      </c>
      <c r="M400" s="73"/>
      <c r="N400" s="74">
        <v>6.7296177752818656</v>
      </c>
      <c r="O400" s="74">
        <v>6.7411674765680543</v>
      </c>
      <c r="P400" s="73"/>
      <c r="Q400" s="72">
        <v>3319.2623978403103</v>
      </c>
      <c r="R400" s="72">
        <v>1544.5667361037561</v>
      </c>
      <c r="S400" s="73"/>
      <c r="T400" s="74">
        <v>4.8489050469301604</v>
      </c>
      <c r="U400" s="74">
        <v>5.0039536163711471</v>
      </c>
      <c r="V400" s="73"/>
      <c r="W400" s="72">
        <v>11487.324037204515</v>
      </c>
      <c r="X400" s="72">
        <v>11537.208019985865</v>
      </c>
      <c r="Y400" s="73"/>
      <c r="Z400" s="74">
        <v>2.735259792639944</v>
      </c>
      <c r="AA400" s="74">
        <v>2.801602619162864</v>
      </c>
      <c r="AB400" s="73"/>
      <c r="AC400" s="72">
        <v>49906.015749348131</v>
      </c>
      <c r="AD400" s="72">
        <v>49637.29590109898</v>
      </c>
      <c r="AE400" s="73"/>
      <c r="AF400" s="74">
        <v>5.1233272240339822</v>
      </c>
      <c r="AG400" s="74">
        <v>5.2406069949195055</v>
      </c>
      <c r="AH400" s="73"/>
      <c r="AI400" s="72">
        <v>997497.81679303269</v>
      </c>
      <c r="AJ400" s="72">
        <v>0</v>
      </c>
      <c r="AK400" s="73"/>
      <c r="AL400" s="74">
        <v>-1453.9919210771461</v>
      </c>
      <c r="AM400" s="74">
        <v>0</v>
      </c>
      <c r="AN400" s="73"/>
      <c r="AO400" s="72">
        <v>66246.932330103053</v>
      </c>
      <c r="AP400" s="72">
        <v>0</v>
      </c>
      <c r="AQ400" s="73"/>
      <c r="AR400" s="74">
        <v>-81.187996852100682</v>
      </c>
      <c r="AS400" s="74">
        <v>0</v>
      </c>
      <c r="AT400" s="73"/>
      <c r="AU400" s="72">
        <v>41634151.701836631</v>
      </c>
      <c r="AV400" s="72">
        <v>0</v>
      </c>
      <c r="AW400" s="73"/>
      <c r="AX400" s="74">
        <v>-3637.4212212488369</v>
      </c>
      <c r="AY400" s="74">
        <v>0</v>
      </c>
      <c r="AZ400" s="73"/>
      <c r="BA400" s="72">
        <v>-450175.60885004938</v>
      </c>
      <c r="BB400" s="72">
        <v>0</v>
      </c>
      <c r="BC400" s="73"/>
      <c r="BD400" s="74">
        <v>-598.70765439271759</v>
      </c>
      <c r="BE400" s="74">
        <v>0</v>
      </c>
      <c r="BF400" s="73"/>
      <c r="BG400" s="72">
        <v>4277478.7006161455</v>
      </c>
      <c r="BH400" s="72">
        <v>0</v>
      </c>
      <c r="BI400" s="73"/>
      <c r="BJ400" s="74">
        <v>-1866.8577153662188</v>
      </c>
      <c r="BK400" s="74">
        <v>0</v>
      </c>
      <c r="BL400" s="73"/>
      <c r="BM400" s="72">
        <v>46525199.542725861</v>
      </c>
      <c r="BN400" s="72">
        <v>0</v>
      </c>
      <c r="BO400" s="73"/>
      <c r="BP400" s="74">
        <v>-7638.1665089370208</v>
      </c>
      <c r="BQ400" s="74">
        <v>0</v>
      </c>
      <c r="BS400" s="109">
        <f t="shared" si="159"/>
        <v>115573.16221659664</v>
      </c>
      <c r="BT400" s="109">
        <f t="shared" si="160"/>
        <v>115850.18320423487</v>
      </c>
      <c r="BV400" s="58">
        <f t="array" ref="BV400">SUM(IF(BS400:BT400&gt;=BS400, 1))</f>
        <v>2</v>
      </c>
      <c r="BW400" s="58">
        <f t="array" ref="BW400">SUM(IF(BS400:BT400&gt;=BT400, 1))</f>
        <v>1</v>
      </c>
      <c r="BY400" s="109">
        <f t="shared" si="161"/>
        <v>134360.06970459901</v>
      </c>
      <c r="BZ400" s="109">
        <f t="shared" si="162"/>
        <v>134600.48793475208</v>
      </c>
      <c r="CB400" s="58">
        <f t="array" ref="CB400">SUM(IF(BY400:BZ400&gt;=BY400, 1))</f>
        <v>2</v>
      </c>
      <c r="CC400" s="58">
        <f t="array" ref="CC400">SUM(IF(BY400:BZ400&gt;=BZ400, 1))</f>
        <v>1</v>
      </c>
      <c r="CE400" s="109">
        <f t="shared" si="163"/>
        <v>93658.838540762896</v>
      </c>
      <c r="CF400" s="109">
        <f t="shared" si="164"/>
        <v>98534.505591319175</v>
      </c>
      <c r="CH400" s="58">
        <f t="array" ref="CH400">SUM(IF(CE400:CF400&gt;=CE400, 1))</f>
        <v>2</v>
      </c>
      <c r="CI400" s="58">
        <f t="array" ref="CI400">SUM(IF(CE400:CF400&gt;=CF400, 1))</f>
        <v>1</v>
      </c>
      <c r="CK400" s="109">
        <f t="shared" si="165"/>
        <v>43217.871815594364</v>
      </c>
      <c r="CL400" s="109">
        <f t="shared" si="166"/>
        <v>44494.844363271419</v>
      </c>
      <c r="CN400" s="58">
        <f t="array" ref="CN400">SUM(IF(CK400:CL400&gt;=CK400, 1))</f>
        <v>2</v>
      </c>
      <c r="CO400" s="58">
        <f t="array" ref="CO400">SUM(IF(CK400:CL400&gt;=CL400, 1))</f>
        <v>1</v>
      </c>
      <c r="CQ400" s="109" cm="1">
        <f t="array" ref="CQ400">AF400*WTP-AC400</f>
        <v>52560.528731331513</v>
      </c>
      <c r="CR400" s="109">
        <f t="shared" si="167"/>
        <v>55174.843997291136</v>
      </c>
      <c r="CT400" s="58">
        <f t="array" ref="CT400">SUM(IF(CQ400:CR400&gt;=CQ400, 1))</f>
        <v>2</v>
      </c>
      <c r="CU400" s="58">
        <f t="array" ref="CU400">SUM(IF(CQ400:CR400&gt;=CR400, 1))</f>
        <v>1</v>
      </c>
      <c r="CW400" s="109">
        <f t="shared" si="168"/>
        <v>-30077336.238335956</v>
      </c>
      <c r="CX400" s="109">
        <f t="shared" si="169"/>
        <v>0</v>
      </c>
      <c r="CZ400" s="58">
        <f t="array" ref="CZ400">SUM(IF(CW400:CX400&gt;=CW400, 1))</f>
        <v>2</v>
      </c>
      <c r="DA400" s="58">
        <f t="array" ref="DA400">SUM(IF(CW400:CX400&gt;=CX400, 1))</f>
        <v>1</v>
      </c>
      <c r="DC400" s="109">
        <f t="shared" si="170"/>
        <v>-1690006.8693721169</v>
      </c>
      <c r="DD400" s="109">
        <f t="shared" si="171"/>
        <v>0</v>
      </c>
      <c r="DF400" s="58">
        <f t="array" ref="DF400">SUM(IF(DC400:DD400&gt;=DC400, 1))</f>
        <v>2</v>
      </c>
      <c r="DG400" s="58">
        <f t="array" ref="DG400">SUM(IF(DC400:DD400&gt;=DD400, 1))</f>
        <v>1</v>
      </c>
      <c r="DI400" s="109">
        <f t="shared" si="172"/>
        <v>-114382576.12681337</v>
      </c>
      <c r="DJ400" s="109">
        <f t="shared" si="173"/>
        <v>0</v>
      </c>
      <c r="DL400" s="58">
        <f t="array" ref="DL400">SUM(IF(DI400:DJ400&gt;=DI400, 1))</f>
        <v>2</v>
      </c>
      <c r="DM400" s="58">
        <f t="array" ref="DM400">SUM(IF(DI400:DJ400&gt;=DJ400, 1))</f>
        <v>1</v>
      </c>
      <c r="DO400" s="109">
        <f t="shared" si="174"/>
        <v>-11523977.479004303</v>
      </c>
      <c r="DP400" s="109">
        <f t="shared" si="175"/>
        <v>0</v>
      </c>
      <c r="DR400" s="58">
        <f t="array" ref="DR400">SUM(IF(DO400:DP400&gt;=DO400, 1))</f>
        <v>2</v>
      </c>
      <c r="DS400" s="58">
        <f t="array" ref="DS400">SUM(IF(DO400:DP400&gt;=DP400, 1))</f>
        <v>1</v>
      </c>
      <c r="DU400" s="109">
        <f t="shared" si="176"/>
        <v>-41614633.007940523</v>
      </c>
      <c r="DV400" s="109">
        <f t="shared" si="177"/>
        <v>0</v>
      </c>
      <c r="DX400" s="58">
        <f t="array" ref="DX400">SUM(IF(DU400:DV400&gt;=DU400, 1))</f>
        <v>2</v>
      </c>
      <c r="DY400" s="58">
        <f t="array" ref="DY400">SUM(IF(DU400:DV400&gt;=DV400, 1))</f>
        <v>1</v>
      </c>
      <c r="EA400" s="109">
        <f t="shared" si="178"/>
        <v>-199288529.72146627</v>
      </c>
      <c r="EB400" s="109">
        <f t="shared" si="179"/>
        <v>0</v>
      </c>
      <c r="ED400" s="58">
        <f t="array" ref="ED400">SUM(IF(EA400:EB400&gt;=EA400, 1))</f>
        <v>2</v>
      </c>
      <c r="EE400" s="58">
        <f t="array" ref="EE400">SUM(IF(EA400:EB400&gt;=EB400, 1))</f>
        <v>1</v>
      </c>
    </row>
    <row r="401" spans="4:135" ht="12" customHeight="1" x14ac:dyDescent="0.25">
      <c r="D401" s="11">
        <v>385</v>
      </c>
      <c r="E401" s="72">
        <v>245.8605809078928</v>
      </c>
      <c r="F401" s="72">
        <v>209.51950614717543</v>
      </c>
      <c r="G401" s="73"/>
      <c r="H401" s="74">
        <v>5.8975897274153413</v>
      </c>
      <c r="I401" s="74">
        <v>5.9144657224317694</v>
      </c>
      <c r="J401" s="73"/>
      <c r="K401" s="72">
        <v>263.01173972831646</v>
      </c>
      <c r="L401" s="72">
        <v>225.82645461400932</v>
      </c>
      <c r="M401" s="73"/>
      <c r="N401" s="74">
        <v>6.7377170755788569</v>
      </c>
      <c r="O401" s="74">
        <v>6.7521021488580413</v>
      </c>
      <c r="P401" s="73"/>
      <c r="Q401" s="72">
        <v>2477.2890409953329</v>
      </c>
      <c r="R401" s="72">
        <v>1494.425340528747</v>
      </c>
      <c r="S401" s="73"/>
      <c r="T401" s="74">
        <v>4.9133479988543689</v>
      </c>
      <c r="U401" s="74">
        <v>4.9907541995637326</v>
      </c>
      <c r="V401" s="73"/>
      <c r="W401" s="72">
        <v>10431.75373940518</v>
      </c>
      <c r="X401" s="72">
        <v>10426.433375614575</v>
      </c>
      <c r="Y401" s="73"/>
      <c r="Z401" s="74">
        <v>3.0322349156225727</v>
      </c>
      <c r="AA401" s="74">
        <v>3.0787745957177495</v>
      </c>
      <c r="AB401" s="73"/>
      <c r="AC401" s="72">
        <v>50671.861273885312</v>
      </c>
      <c r="AD401" s="72">
        <v>50553.868578415706</v>
      </c>
      <c r="AE401" s="73"/>
      <c r="AF401" s="74">
        <v>5.0000156859978224</v>
      </c>
      <c r="AG401" s="74">
        <v>5.1151879531781175</v>
      </c>
      <c r="AH401" s="73"/>
      <c r="AI401" s="72">
        <v>3874252.7056394485</v>
      </c>
      <c r="AJ401" s="72">
        <v>0</v>
      </c>
      <c r="AK401" s="73"/>
      <c r="AL401" s="74">
        <v>-1799.1176591020514</v>
      </c>
      <c r="AM401" s="74">
        <v>0</v>
      </c>
      <c r="AN401" s="73"/>
      <c r="AO401" s="72">
        <v>251101.50026134629</v>
      </c>
      <c r="AP401" s="72">
        <v>0</v>
      </c>
      <c r="AQ401" s="73"/>
      <c r="AR401" s="74">
        <v>-97.138248924783127</v>
      </c>
      <c r="AS401" s="74">
        <v>0</v>
      </c>
      <c r="AT401" s="73"/>
      <c r="AU401" s="72">
        <v>22672055.475169826</v>
      </c>
      <c r="AV401" s="72">
        <v>0</v>
      </c>
      <c r="AW401" s="73"/>
      <c r="AX401" s="74">
        <v>-1785.5554903204868</v>
      </c>
      <c r="AY401" s="74">
        <v>0</v>
      </c>
      <c r="AZ401" s="73"/>
      <c r="BA401" s="72">
        <v>48288.740147011413</v>
      </c>
      <c r="BB401" s="72">
        <v>0</v>
      </c>
      <c r="BC401" s="73"/>
      <c r="BD401" s="74">
        <v>-422.40391956086557</v>
      </c>
      <c r="BE401" s="74">
        <v>0</v>
      </c>
      <c r="BF401" s="73"/>
      <c r="BG401" s="72">
        <v>1860014.0618919369</v>
      </c>
      <c r="BH401" s="72">
        <v>0</v>
      </c>
      <c r="BI401" s="73"/>
      <c r="BJ401" s="74">
        <v>-1815.5533750858885</v>
      </c>
      <c r="BK401" s="74">
        <v>0</v>
      </c>
      <c r="BL401" s="73"/>
      <c r="BM401" s="72">
        <v>28705712.483109571</v>
      </c>
      <c r="BN401" s="72">
        <v>0</v>
      </c>
      <c r="BO401" s="73"/>
      <c r="BP401" s="74">
        <v>-5919.7686929940755</v>
      </c>
      <c r="BQ401" s="74">
        <v>0</v>
      </c>
      <c r="BS401" s="109">
        <f t="shared" si="159"/>
        <v>117705.93396739895</v>
      </c>
      <c r="BT401" s="109">
        <f t="shared" si="160"/>
        <v>118079.79494248821</v>
      </c>
      <c r="BV401" s="58">
        <f t="array" ref="BV401">SUM(IF(BS401:BT401&gt;=BS401, 1))</f>
        <v>2</v>
      </c>
      <c r="BW401" s="58">
        <f t="array" ref="BW401">SUM(IF(BS401:BT401&gt;=BT401, 1))</f>
        <v>1</v>
      </c>
      <c r="BY401" s="109">
        <f t="shared" si="161"/>
        <v>134491.32977184883</v>
      </c>
      <c r="BZ401" s="109">
        <f t="shared" si="162"/>
        <v>134816.21652254683</v>
      </c>
      <c r="CB401" s="58">
        <f t="array" ref="CB401">SUM(IF(BY401:BZ401&gt;=BY401, 1))</f>
        <v>2</v>
      </c>
      <c r="CC401" s="58">
        <f t="array" ref="CC401">SUM(IF(BY401:BZ401&gt;=BZ401, 1))</f>
        <v>1</v>
      </c>
      <c r="CE401" s="109">
        <f t="shared" si="163"/>
        <v>95789.670936092036</v>
      </c>
      <c r="CF401" s="109">
        <f t="shared" si="164"/>
        <v>98320.6586507459</v>
      </c>
      <c r="CH401" s="58">
        <f t="array" ref="CH401">SUM(IF(CE401:CF401&gt;=CE401, 1))</f>
        <v>2</v>
      </c>
      <c r="CI401" s="58">
        <f t="array" ref="CI401">SUM(IF(CE401:CF401&gt;=CF401, 1))</f>
        <v>1</v>
      </c>
      <c r="CK401" s="109">
        <f t="shared" si="165"/>
        <v>50212.944573046276</v>
      </c>
      <c r="CL401" s="109">
        <f t="shared" si="166"/>
        <v>51149.058538740413</v>
      </c>
      <c r="CN401" s="58">
        <f t="array" ref="CN401">SUM(IF(CK401:CL401&gt;=CK401, 1))</f>
        <v>2</v>
      </c>
      <c r="CO401" s="58">
        <f t="array" ref="CO401">SUM(IF(CK401:CL401&gt;=CL401, 1))</f>
        <v>1</v>
      </c>
      <c r="CQ401" s="109" cm="1">
        <f t="array" ref="CQ401">AF401*WTP-AC401</f>
        <v>49328.45244607114</v>
      </c>
      <c r="CR401" s="109">
        <f t="shared" si="167"/>
        <v>51749.890485146643</v>
      </c>
      <c r="CT401" s="58">
        <f t="array" ref="CT401">SUM(IF(CQ401:CR401&gt;=CQ401, 1))</f>
        <v>2</v>
      </c>
      <c r="CU401" s="58">
        <f t="array" ref="CU401">SUM(IF(CQ401:CR401&gt;=CR401, 1))</f>
        <v>1</v>
      </c>
      <c r="CW401" s="109">
        <f t="shared" si="168"/>
        <v>-39856605.887680478</v>
      </c>
      <c r="CX401" s="109">
        <f t="shared" si="169"/>
        <v>0</v>
      </c>
      <c r="CZ401" s="58">
        <f t="array" ref="CZ401">SUM(IF(CW401:CX401&gt;=CW401, 1))</f>
        <v>2</v>
      </c>
      <c r="DA401" s="58">
        <f t="array" ref="DA401">SUM(IF(CW401:CX401&gt;=CX401, 1))</f>
        <v>1</v>
      </c>
      <c r="DC401" s="109">
        <f t="shared" si="170"/>
        <v>-2193866.4787570089</v>
      </c>
      <c r="DD401" s="109">
        <f t="shared" si="171"/>
        <v>0</v>
      </c>
      <c r="DF401" s="58">
        <f t="array" ref="DF401">SUM(IF(DC401:DD401&gt;=DC401, 1))</f>
        <v>2</v>
      </c>
      <c r="DG401" s="58">
        <f t="array" ref="DG401">SUM(IF(DC401:DD401&gt;=DD401, 1))</f>
        <v>1</v>
      </c>
      <c r="DI401" s="109">
        <f t="shared" si="172"/>
        <v>-58383165.281579569</v>
      </c>
      <c r="DJ401" s="109">
        <f t="shared" si="173"/>
        <v>0</v>
      </c>
      <c r="DL401" s="58">
        <f t="array" ref="DL401">SUM(IF(DI401:DJ401&gt;=DI401, 1))</f>
        <v>2</v>
      </c>
      <c r="DM401" s="58">
        <f t="array" ref="DM401">SUM(IF(DI401:DJ401&gt;=DJ401, 1))</f>
        <v>1</v>
      </c>
      <c r="DO401" s="109">
        <f t="shared" si="174"/>
        <v>-8496367.1313643232</v>
      </c>
      <c r="DP401" s="109">
        <f t="shared" si="175"/>
        <v>0</v>
      </c>
      <c r="DR401" s="58">
        <f t="array" ref="DR401">SUM(IF(DO401:DP401&gt;=DO401, 1))</f>
        <v>2</v>
      </c>
      <c r="DS401" s="58">
        <f t="array" ref="DS401">SUM(IF(DO401:DP401&gt;=DP401, 1))</f>
        <v>1</v>
      </c>
      <c r="DU401" s="109">
        <f t="shared" si="176"/>
        <v>-38171081.563609704</v>
      </c>
      <c r="DV401" s="109">
        <f t="shared" si="177"/>
        <v>0</v>
      </c>
      <c r="DX401" s="58">
        <f t="array" ref="DX401">SUM(IF(DU401:DV401&gt;=DU401, 1))</f>
        <v>2</v>
      </c>
      <c r="DY401" s="58">
        <f t="array" ref="DY401">SUM(IF(DU401:DV401&gt;=DV401, 1))</f>
        <v>1</v>
      </c>
      <c r="EA401" s="109">
        <f t="shared" si="178"/>
        <v>-147101086.34299108</v>
      </c>
      <c r="EB401" s="109">
        <f t="shared" si="179"/>
        <v>0</v>
      </c>
      <c r="ED401" s="58">
        <f t="array" ref="ED401">SUM(IF(EA401:EB401&gt;=EA401, 1))</f>
        <v>2</v>
      </c>
      <c r="EE401" s="58">
        <f t="array" ref="EE401">SUM(IF(EA401:EB401&gt;=EB401, 1))</f>
        <v>1</v>
      </c>
    </row>
    <row r="402" spans="4:135" ht="12" customHeight="1" x14ac:dyDescent="0.25">
      <c r="D402" s="11">
        <v>386</v>
      </c>
      <c r="E402" s="72">
        <v>240.59561192151298</v>
      </c>
      <c r="F402" s="72">
        <v>209.7824870814124</v>
      </c>
      <c r="G402" s="73"/>
      <c r="H402" s="74">
        <v>5.8106954159147737</v>
      </c>
      <c r="I402" s="74">
        <v>5.8308885761709401</v>
      </c>
      <c r="J402" s="73"/>
      <c r="K402" s="72">
        <v>257.70986599322811</v>
      </c>
      <c r="L402" s="72">
        <v>226.19606240222427</v>
      </c>
      <c r="M402" s="73"/>
      <c r="N402" s="74">
        <v>6.7057889095224601</v>
      </c>
      <c r="O402" s="74">
        <v>6.7243650130957047</v>
      </c>
      <c r="P402" s="73"/>
      <c r="Q402" s="72">
        <v>3444.7410740157989</v>
      </c>
      <c r="R402" s="72">
        <v>2083.4549865265062</v>
      </c>
      <c r="S402" s="73"/>
      <c r="T402" s="74">
        <v>4.7847422808022397</v>
      </c>
      <c r="U402" s="74">
        <v>4.8703340808682274</v>
      </c>
      <c r="V402" s="73"/>
      <c r="W402" s="72">
        <v>12405.219480652333</v>
      </c>
      <c r="X402" s="72">
        <v>12379.582623716871</v>
      </c>
      <c r="Y402" s="73"/>
      <c r="Z402" s="74">
        <v>3.2087409662256454</v>
      </c>
      <c r="AA402" s="74">
        <v>3.2481637482712746</v>
      </c>
      <c r="AB402" s="73"/>
      <c r="AC402" s="72">
        <v>51003.364672052536</v>
      </c>
      <c r="AD402" s="72">
        <v>51049.130939168143</v>
      </c>
      <c r="AE402" s="73"/>
      <c r="AF402" s="74">
        <v>4.8429025029221417</v>
      </c>
      <c r="AG402" s="74">
        <v>4.9202926214520826</v>
      </c>
      <c r="AH402" s="73"/>
      <c r="AI402" s="72">
        <v>3287352.4429029054</v>
      </c>
      <c r="AJ402" s="72">
        <v>0</v>
      </c>
      <c r="AK402" s="73"/>
      <c r="AL402" s="74">
        <v>-2154.3428341824092</v>
      </c>
      <c r="AM402" s="74">
        <v>0</v>
      </c>
      <c r="AN402" s="73"/>
      <c r="AO402" s="72">
        <v>204589.61226282659</v>
      </c>
      <c r="AP402" s="72">
        <v>0</v>
      </c>
      <c r="AQ402" s="73"/>
      <c r="AR402" s="74">
        <v>-120.59724293290725</v>
      </c>
      <c r="AS402" s="74">
        <v>0</v>
      </c>
      <c r="AT402" s="73"/>
      <c r="AU402" s="72">
        <v>31298042.156958692</v>
      </c>
      <c r="AV402" s="72">
        <v>0</v>
      </c>
      <c r="AW402" s="73"/>
      <c r="AX402" s="74">
        <v>-1967.885950921637</v>
      </c>
      <c r="AY402" s="74">
        <v>0</v>
      </c>
      <c r="AZ402" s="73"/>
      <c r="BA402" s="72">
        <v>233028.80357183926</v>
      </c>
      <c r="BB402" s="72">
        <v>0</v>
      </c>
      <c r="BC402" s="73"/>
      <c r="BD402" s="74">
        <v>-358.33736392463481</v>
      </c>
      <c r="BE402" s="74">
        <v>0</v>
      </c>
      <c r="BF402" s="73"/>
      <c r="BG402" s="72">
        <v>-748877.04885716259</v>
      </c>
      <c r="BH402" s="72">
        <v>0</v>
      </c>
      <c r="BI402" s="73"/>
      <c r="BJ402" s="74">
        <v>-1266.3406309500963</v>
      </c>
      <c r="BK402" s="74">
        <v>0</v>
      </c>
      <c r="BL402" s="73"/>
      <c r="BM402" s="72">
        <v>34274135.966839105</v>
      </c>
      <c r="BN402" s="72">
        <v>0</v>
      </c>
      <c r="BO402" s="73"/>
      <c r="BP402" s="74">
        <v>-5867.5040229116839</v>
      </c>
      <c r="BQ402" s="74">
        <v>0</v>
      </c>
      <c r="BS402" s="109">
        <f t="shared" ref="BS402:BS465" si="180">H402*WTP-E402</f>
        <v>115973.31270637397</v>
      </c>
      <c r="BT402" s="109">
        <f t="shared" ref="BT402:BT465" si="181">I402*WTP-F402</f>
        <v>116407.9890363374</v>
      </c>
      <c r="BV402" s="58">
        <f t="array" ref="BV402">SUM(IF(BS402:BT402&gt;=BS402, 1))</f>
        <v>2</v>
      </c>
      <c r="BW402" s="58">
        <f t="array" ref="BW402">SUM(IF(BS402:BT402&gt;=BT402, 1))</f>
        <v>1</v>
      </c>
      <c r="BY402" s="109">
        <f t="shared" ref="BY402:BY465" si="182">N402*WTP-K402</f>
        <v>133858.06832445596</v>
      </c>
      <c r="BZ402" s="109">
        <f t="shared" ref="BZ402:BZ465" si="183">O402*WTP-L402</f>
        <v>134261.10419951187</v>
      </c>
      <c r="CB402" s="58">
        <f t="array" ref="CB402">SUM(IF(BY402:BZ402&gt;=BY402, 1))</f>
        <v>2</v>
      </c>
      <c r="CC402" s="58">
        <f t="array" ref="CC402">SUM(IF(BY402:BZ402&gt;=BZ402, 1))</f>
        <v>1</v>
      </c>
      <c r="CE402" s="109">
        <f t="shared" ref="CE402:CE465" si="184">T402*WTP-Q402</f>
        <v>92250.104542029003</v>
      </c>
      <c r="CF402" s="109">
        <f t="shared" ref="CF402:CF465" si="185">U402*WTP-R402</f>
        <v>95323.226630838049</v>
      </c>
      <c r="CH402" s="58">
        <f t="array" ref="CH402">SUM(IF(CE402:CF402&gt;=CE402, 1))</f>
        <v>2</v>
      </c>
      <c r="CI402" s="58">
        <f t="array" ref="CI402">SUM(IF(CE402:CF402&gt;=CF402, 1))</f>
        <v>1</v>
      </c>
      <c r="CK402" s="109">
        <f t="shared" ref="CK402:CK465" si="186">Z402*WTP-W402</f>
        <v>51769.599843860575</v>
      </c>
      <c r="CL402" s="109">
        <f t="shared" ref="CL402:CL465" si="187">AA402*WTP-X402</f>
        <v>52583.692341708622</v>
      </c>
      <c r="CN402" s="58">
        <f t="array" ref="CN402">SUM(IF(CK402:CL402&gt;=CK402, 1))</f>
        <v>2</v>
      </c>
      <c r="CO402" s="58">
        <f t="array" ref="CO402">SUM(IF(CK402:CL402&gt;=CL402, 1))</f>
        <v>1</v>
      </c>
      <c r="CQ402" s="109" cm="1">
        <f t="array" ref="CQ402">AF402*WTP-AC402</f>
        <v>45854.685386390302</v>
      </c>
      <c r="CR402" s="109">
        <f t="shared" ref="CR402:CR465" si="188">AG402*WTP-AD402</f>
        <v>47356.721489873511</v>
      </c>
      <c r="CT402" s="58">
        <f t="array" ref="CT402">SUM(IF(CQ402:CR402&gt;=CQ402, 1))</f>
        <v>2</v>
      </c>
      <c r="CU402" s="58">
        <f t="array" ref="CU402">SUM(IF(CQ402:CR402&gt;=CR402, 1))</f>
        <v>1</v>
      </c>
      <c r="CW402" s="109">
        <f t="shared" ref="CW402:CW465" si="189">AL402*WTP-AI402</f>
        <v>-46374209.126551092</v>
      </c>
      <c r="CX402" s="109">
        <f t="shared" ref="CX402:CX465" si="190">AM402*WTP-AJ402</f>
        <v>0</v>
      </c>
      <c r="CZ402" s="58">
        <f t="array" ref="CZ402">SUM(IF(CW402:CX402&gt;=CW402, 1))</f>
        <v>2</v>
      </c>
      <c r="DA402" s="58">
        <f t="array" ref="DA402">SUM(IF(CW402:CX402&gt;=CX402, 1))</f>
        <v>1</v>
      </c>
      <c r="DC402" s="109">
        <f t="shared" ref="DC402:DC465" si="191">AR402*WTP-AO402</f>
        <v>-2616534.4709209716</v>
      </c>
      <c r="DD402" s="109">
        <f t="shared" ref="DD402:DD465" si="192">AS402*WTP-AP402</f>
        <v>0</v>
      </c>
      <c r="DF402" s="58">
        <f t="array" ref="DF402">SUM(IF(DC402:DD402&gt;=DC402, 1))</f>
        <v>2</v>
      </c>
      <c r="DG402" s="58">
        <f t="array" ref="DG402">SUM(IF(DC402:DD402&gt;=DD402, 1))</f>
        <v>1</v>
      </c>
      <c r="DI402" s="109">
        <f t="shared" ref="DI402:DI465" si="193">AX402*WTP-AU402</f>
        <v>-70655761.175391436</v>
      </c>
      <c r="DJ402" s="109">
        <f t="shared" ref="DJ402:DJ465" si="194">AY402*WTP-AV402</f>
        <v>0</v>
      </c>
      <c r="DL402" s="58">
        <f t="array" ref="DL402">SUM(IF(DI402:DJ402&gt;=DI402, 1))</f>
        <v>2</v>
      </c>
      <c r="DM402" s="58">
        <f t="array" ref="DM402">SUM(IF(DI402:DJ402&gt;=DJ402, 1))</f>
        <v>1</v>
      </c>
      <c r="DO402" s="109">
        <f t="shared" ref="DO402:DO465" si="195">BD402*WTP-BA402</f>
        <v>-7399776.0820645355</v>
      </c>
      <c r="DP402" s="109">
        <f t="shared" ref="DP402:DP465" si="196">BE402*WTP-BB402</f>
        <v>0</v>
      </c>
      <c r="DR402" s="58">
        <f t="array" ref="DR402">SUM(IF(DO402:DP402&gt;=DO402, 1))</f>
        <v>2</v>
      </c>
      <c r="DS402" s="58">
        <f t="array" ref="DS402">SUM(IF(DO402:DP402&gt;=DP402, 1))</f>
        <v>1</v>
      </c>
      <c r="DU402" s="109">
        <f t="shared" ref="DU402:DU465" si="197">BJ402*WTP-BG402</f>
        <v>-24577935.570144761</v>
      </c>
      <c r="DV402" s="109">
        <f t="shared" ref="DV402:DV465" si="198">BK402*WTP-BH402</f>
        <v>0</v>
      </c>
      <c r="DX402" s="58">
        <f t="array" ref="DX402">SUM(IF(DU402:DV402&gt;=DU402, 1))</f>
        <v>2</v>
      </c>
      <c r="DY402" s="58">
        <f t="array" ref="DY402">SUM(IF(DU402:DV402&gt;=DV402, 1))</f>
        <v>1</v>
      </c>
      <c r="EA402" s="109">
        <f t="shared" ref="EA402:EA465" si="199">BP402*WTP-BM402</f>
        <v>-151624216.42507279</v>
      </c>
      <c r="EB402" s="109">
        <f t="shared" ref="EB402:EB465" si="200">BQ402*WTP-BN402</f>
        <v>0</v>
      </c>
      <c r="ED402" s="58">
        <f t="array" ref="ED402">SUM(IF(EA402:EB402&gt;=EA402, 1))</f>
        <v>2</v>
      </c>
      <c r="EE402" s="58">
        <f t="array" ref="EE402">SUM(IF(EA402:EB402&gt;=EB402, 1))</f>
        <v>1</v>
      </c>
    </row>
    <row r="403" spans="4:135" ht="12" customHeight="1" x14ac:dyDescent="0.25">
      <c r="D403" s="11">
        <v>387</v>
      </c>
      <c r="E403" s="72">
        <v>237.02648618671748</v>
      </c>
      <c r="F403" s="72">
        <v>224.15111898473148</v>
      </c>
      <c r="G403" s="73"/>
      <c r="H403" s="74">
        <v>5.8104163246945459</v>
      </c>
      <c r="I403" s="74">
        <v>5.8294576177725199</v>
      </c>
      <c r="J403" s="73"/>
      <c r="K403" s="72">
        <v>254.96805913889571</v>
      </c>
      <c r="L403" s="72">
        <v>241.75126890661099</v>
      </c>
      <c r="M403" s="73"/>
      <c r="N403" s="74">
        <v>6.7360504297159363</v>
      </c>
      <c r="O403" s="74">
        <v>6.7525615937189158</v>
      </c>
      <c r="P403" s="73"/>
      <c r="Q403" s="72">
        <v>3797.652030262956</v>
      </c>
      <c r="R403" s="72">
        <v>1725.8078645988012</v>
      </c>
      <c r="S403" s="73"/>
      <c r="T403" s="74">
        <v>4.5611830782160334</v>
      </c>
      <c r="U403" s="74">
        <v>4.7071035030967954</v>
      </c>
      <c r="V403" s="73"/>
      <c r="W403" s="72">
        <v>10752.721081033014</v>
      </c>
      <c r="X403" s="72">
        <v>10777.56292687412</v>
      </c>
      <c r="Y403" s="73"/>
      <c r="Z403" s="74">
        <v>3.1334703900718917</v>
      </c>
      <c r="AA403" s="74">
        <v>3.1848793986623773</v>
      </c>
      <c r="AB403" s="73"/>
      <c r="AC403" s="72">
        <v>49805.964715917951</v>
      </c>
      <c r="AD403" s="72">
        <v>49883.334474145791</v>
      </c>
      <c r="AE403" s="73"/>
      <c r="AF403" s="74">
        <v>4.0340734216375846</v>
      </c>
      <c r="AG403" s="74">
        <v>4.1047439947332878</v>
      </c>
      <c r="AH403" s="73"/>
      <c r="AI403" s="72">
        <v>1358760.8606378841</v>
      </c>
      <c r="AJ403" s="72">
        <v>0</v>
      </c>
      <c r="AK403" s="73"/>
      <c r="AL403" s="74">
        <v>-2009.4622051862973</v>
      </c>
      <c r="AM403" s="74">
        <v>0</v>
      </c>
      <c r="AN403" s="73"/>
      <c r="AO403" s="72">
        <v>90173.534450906256</v>
      </c>
      <c r="AP403" s="72">
        <v>0</v>
      </c>
      <c r="AQ403" s="73"/>
      <c r="AR403" s="74">
        <v>-112.64989380026417</v>
      </c>
      <c r="AS403" s="74">
        <v>0</v>
      </c>
      <c r="AT403" s="73"/>
      <c r="AU403" s="72">
        <v>48345245.06487795</v>
      </c>
      <c r="AV403" s="72">
        <v>0</v>
      </c>
      <c r="AW403" s="73"/>
      <c r="AX403" s="74">
        <v>-3404.9658838941327</v>
      </c>
      <c r="AY403" s="74">
        <v>0</v>
      </c>
      <c r="AZ403" s="73"/>
      <c r="BA403" s="72">
        <v>-225184.9490785923</v>
      </c>
      <c r="BB403" s="72">
        <v>0</v>
      </c>
      <c r="BC403" s="73"/>
      <c r="BD403" s="74">
        <v>-466.00945258560608</v>
      </c>
      <c r="BE403" s="74">
        <v>0</v>
      </c>
      <c r="BF403" s="73"/>
      <c r="BG403" s="72">
        <v>-1194991.1221432795</v>
      </c>
      <c r="BH403" s="72">
        <v>0</v>
      </c>
      <c r="BI403" s="73"/>
      <c r="BJ403" s="74">
        <v>-1091.5208911142095</v>
      </c>
      <c r="BK403" s="74">
        <v>0</v>
      </c>
      <c r="BL403" s="73"/>
      <c r="BM403" s="72">
        <v>48374003.388744876</v>
      </c>
      <c r="BN403" s="72">
        <v>0</v>
      </c>
      <c r="BO403" s="73"/>
      <c r="BP403" s="74">
        <v>-7084.6083265805082</v>
      </c>
      <c r="BQ403" s="74">
        <v>0</v>
      </c>
      <c r="BS403" s="109">
        <f t="shared" si="180"/>
        <v>115971.30000770419</v>
      </c>
      <c r="BT403" s="109">
        <f t="shared" si="181"/>
        <v>116365.00123646566</v>
      </c>
      <c r="BV403" s="58">
        <f t="array" ref="BV403">SUM(IF(BS403:BT403&gt;=BS403, 1))</f>
        <v>2</v>
      </c>
      <c r="BW403" s="58">
        <f t="array" ref="BW403">SUM(IF(BS403:BT403&gt;=BT403, 1))</f>
        <v>1</v>
      </c>
      <c r="BY403" s="109">
        <f t="shared" si="182"/>
        <v>134466.04053517984</v>
      </c>
      <c r="BZ403" s="109">
        <f t="shared" si="183"/>
        <v>134809.4806054717</v>
      </c>
      <c r="CB403" s="58">
        <f t="array" ref="CB403">SUM(IF(BY403:BZ403&gt;=BY403, 1))</f>
        <v>2</v>
      </c>
      <c r="CC403" s="58">
        <f t="array" ref="CC403">SUM(IF(BY403:BZ403&gt;=BZ403, 1))</f>
        <v>1</v>
      </c>
      <c r="CE403" s="109">
        <f t="shared" si="184"/>
        <v>87426.009534057725</v>
      </c>
      <c r="CF403" s="109">
        <f t="shared" si="185"/>
        <v>92416.262197337113</v>
      </c>
      <c r="CH403" s="58">
        <f t="array" ref="CH403">SUM(IF(CE403:CF403&gt;=CE403, 1))</f>
        <v>2</v>
      </c>
      <c r="CI403" s="58">
        <f t="array" ref="CI403">SUM(IF(CE403:CF403&gt;=CF403, 1))</f>
        <v>1</v>
      </c>
      <c r="CK403" s="109">
        <f t="shared" si="186"/>
        <v>51916.686720404818</v>
      </c>
      <c r="CL403" s="109">
        <f t="shared" si="187"/>
        <v>52920.025046373426</v>
      </c>
      <c r="CN403" s="58">
        <f t="array" ref="CN403">SUM(IF(CK403:CL403&gt;=CK403, 1))</f>
        <v>2</v>
      </c>
      <c r="CO403" s="58">
        <f t="array" ref="CO403">SUM(IF(CK403:CL403&gt;=CL403, 1))</f>
        <v>1</v>
      </c>
      <c r="CQ403" s="109" cm="1">
        <f t="array" ref="CQ403">AF403*WTP-AC403</f>
        <v>30875.503716833737</v>
      </c>
      <c r="CR403" s="109">
        <f t="shared" si="188"/>
        <v>32211.545420519971</v>
      </c>
      <c r="CT403" s="58">
        <f t="array" ref="CT403">SUM(IF(CQ403:CR403&gt;=CQ403, 1))</f>
        <v>2</v>
      </c>
      <c r="CU403" s="58">
        <f t="array" ref="CU403">SUM(IF(CQ403:CR403&gt;=CR403, 1))</f>
        <v>1</v>
      </c>
      <c r="CW403" s="109">
        <f t="shared" si="189"/>
        <v>-41548004.964363828</v>
      </c>
      <c r="CX403" s="109">
        <f t="shared" si="190"/>
        <v>0</v>
      </c>
      <c r="CZ403" s="58">
        <f t="array" ref="CZ403">SUM(IF(CW403:CX403&gt;=CW403, 1))</f>
        <v>2</v>
      </c>
      <c r="DA403" s="58">
        <f t="array" ref="DA403">SUM(IF(CW403:CX403&gt;=CX403, 1))</f>
        <v>1</v>
      </c>
      <c r="DC403" s="109">
        <f t="shared" si="191"/>
        <v>-2343171.4104561899</v>
      </c>
      <c r="DD403" s="109">
        <f t="shared" si="192"/>
        <v>0</v>
      </c>
      <c r="DF403" s="58">
        <f t="array" ref="DF403">SUM(IF(DC403:DD403&gt;=DC403, 1))</f>
        <v>2</v>
      </c>
      <c r="DG403" s="58">
        <f t="array" ref="DG403">SUM(IF(DC403:DD403&gt;=DD403, 1))</f>
        <v>1</v>
      </c>
      <c r="DI403" s="109">
        <f t="shared" si="193"/>
        <v>-116444562.7427606</v>
      </c>
      <c r="DJ403" s="109">
        <f t="shared" si="194"/>
        <v>0</v>
      </c>
      <c r="DL403" s="58">
        <f t="array" ref="DL403">SUM(IF(DI403:DJ403&gt;=DI403, 1))</f>
        <v>2</v>
      </c>
      <c r="DM403" s="58">
        <f t="array" ref="DM403">SUM(IF(DI403:DJ403&gt;=DJ403, 1))</f>
        <v>1</v>
      </c>
      <c r="DO403" s="109">
        <f t="shared" si="195"/>
        <v>-9095004.1026335303</v>
      </c>
      <c r="DP403" s="109">
        <f t="shared" si="196"/>
        <v>0</v>
      </c>
      <c r="DR403" s="58">
        <f t="array" ref="DR403">SUM(IF(DO403:DP403&gt;=DO403, 1))</f>
        <v>2</v>
      </c>
      <c r="DS403" s="58">
        <f t="array" ref="DS403">SUM(IF(DO403:DP403&gt;=DP403, 1))</f>
        <v>1</v>
      </c>
      <c r="DU403" s="109">
        <f t="shared" si="197"/>
        <v>-20635426.700140908</v>
      </c>
      <c r="DV403" s="109">
        <f t="shared" si="198"/>
        <v>0</v>
      </c>
      <c r="DX403" s="58">
        <f t="array" ref="DX403">SUM(IF(DU403:DV403&gt;=DU403, 1))</f>
        <v>2</v>
      </c>
      <c r="DY403" s="58">
        <f t="array" ref="DY403">SUM(IF(DU403:DV403&gt;=DV403, 1))</f>
        <v>1</v>
      </c>
      <c r="EA403" s="109">
        <f t="shared" si="199"/>
        <v>-190066169.92035502</v>
      </c>
      <c r="EB403" s="109">
        <f t="shared" si="200"/>
        <v>0</v>
      </c>
      <c r="ED403" s="58">
        <f t="array" ref="ED403">SUM(IF(EA403:EB403&gt;=EA403, 1))</f>
        <v>2</v>
      </c>
      <c r="EE403" s="58">
        <f t="array" ref="EE403">SUM(IF(EA403:EB403&gt;=EB403, 1))</f>
        <v>1</v>
      </c>
    </row>
    <row r="404" spans="4:135" ht="12" customHeight="1" x14ac:dyDescent="0.25">
      <c r="D404" s="11">
        <v>388</v>
      </c>
      <c r="E404" s="72">
        <v>298.06094941753241</v>
      </c>
      <c r="F404" s="72">
        <v>280.22075437940794</v>
      </c>
      <c r="G404" s="73"/>
      <c r="H404" s="74">
        <v>5.8212053068546323</v>
      </c>
      <c r="I404" s="74">
        <v>5.8365791969271088</v>
      </c>
      <c r="J404" s="73"/>
      <c r="K404" s="72">
        <v>320.4996916093483</v>
      </c>
      <c r="L404" s="72">
        <v>302.2109591078173</v>
      </c>
      <c r="M404" s="73"/>
      <c r="N404" s="74">
        <v>6.7112690207586612</v>
      </c>
      <c r="O404" s="74">
        <v>6.7248053354076651</v>
      </c>
      <c r="P404" s="73"/>
      <c r="Q404" s="72">
        <v>2363.1983974682371</v>
      </c>
      <c r="R404" s="72">
        <v>1350.460361219172</v>
      </c>
      <c r="S404" s="73"/>
      <c r="T404" s="74">
        <v>4.7370925993629758</v>
      </c>
      <c r="U404" s="74">
        <v>4.8242746480519045</v>
      </c>
      <c r="V404" s="73"/>
      <c r="W404" s="72">
        <v>15309.189014746002</v>
      </c>
      <c r="X404" s="72">
        <v>15224.702529503809</v>
      </c>
      <c r="Y404" s="73"/>
      <c r="Z404" s="74">
        <v>2.9928514075881503</v>
      </c>
      <c r="AA404" s="74">
        <v>3.0267679972028976</v>
      </c>
      <c r="AB404" s="73"/>
      <c r="AC404" s="72">
        <v>49018.182603595174</v>
      </c>
      <c r="AD404" s="72">
        <v>48926.622642421935</v>
      </c>
      <c r="AE404" s="73"/>
      <c r="AF404" s="74">
        <v>3.8097732479326347</v>
      </c>
      <c r="AG404" s="74">
        <v>3.9038387701351636</v>
      </c>
      <c r="AH404" s="73"/>
      <c r="AI404" s="72">
        <v>1923596.1523560169</v>
      </c>
      <c r="AJ404" s="72">
        <v>0</v>
      </c>
      <c r="AK404" s="73"/>
      <c r="AL404" s="74">
        <v>-1657.6699821365351</v>
      </c>
      <c r="AM404" s="74">
        <v>0</v>
      </c>
      <c r="AN404" s="73"/>
      <c r="AO404" s="72">
        <v>121656.01946820752</v>
      </c>
      <c r="AP404" s="72">
        <v>0</v>
      </c>
      <c r="AQ404" s="73"/>
      <c r="AR404" s="74">
        <v>-90.043099396262249</v>
      </c>
      <c r="AS404" s="74">
        <v>0</v>
      </c>
      <c r="AT404" s="73"/>
      <c r="AU404" s="72">
        <v>23553453.37625825</v>
      </c>
      <c r="AV404" s="72">
        <v>0</v>
      </c>
      <c r="AW404" s="73"/>
      <c r="AX404" s="74">
        <v>-2027.6105424526122</v>
      </c>
      <c r="AY404" s="74">
        <v>0</v>
      </c>
      <c r="AZ404" s="73"/>
      <c r="BA404" s="72">
        <v>745148.19712566538</v>
      </c>
      <c r="BB404" s="72">
        <v>0</v>
      </c>
      <c r="BC404" s="73"/>
      <c r="BD404" s="74">
        <v>-299.13524668036229</v>
      </c>
      <c r="BE404" s="74">
        <v>0</v>
      </c>
      <c r="BF404" s="73"/>
      <c r="BG404" s="72">
        <v>1434469.2015558435</v>
      </c>
      <c r="BH404" s="72">
        <v>0</v>
      </c>
      <c r="BI404" s="73"/>
      <c r="BJ404" s="74">
        <v>-1473.7238067684161</v>
      </c>
      <c r="BK404" s="74">
        <v>0</v>
      </c>
      <c r="BL404" s="73"/>
      <c r="BM404" s="72">
        <v>27778322.946763985</v>
      </c>
      <c r="BN404" s="72">
        <v>0</v>
      </c>
      <c r="BO404" s="73"/>
      <c r="BP404" s="74">
        <v>-5548.182677434188</v>
      </c>
      <c r="BQ404" s="74">
        <v>0</v>
      </c>
      <c r="BS404" s="109">
        <f t="shared" si="180"/>
        <v>116126.04518767512</v>
      </c>
      <c r="BT404" s="109">
        <f t="shared" si="181"/>
        <v>116451.36318416276</v>
      </c>
      <c r="BV404" s="58">
        <f t="array" ref="BV404">SUM(IF(BS404:BT404&gt;=BS404, 1))</f>
        <v>2</v>
      </c>
      <c r="BW404" s="58">
        <f t="array" ref="BW404">SUM(IF(BS404:BT404&gt;=BT404, 1))</f>
        <v>1</v>
      </c>
      <c r="BY404" s="109">
        <f t="shared" si="182"/>
        <v>133904.88072356387</v>
      </c>
      <c r="BZ404" s="109">
        <f t="shared" si="183"/>
        <v>134193.89574904548</v>
      </c>
      <c r="CB404" s="58">
        <f t="array" ref="CB404">SUM(IF(BY404:BZ404&gt;=BY404, 1))</f>
        <v>2</v>
      </c>
      <c r="CC404" s="58">
        <f t="array" ref="CC404">SUM(IF(BY404:BZ404&gt;=BZ404, 1))</f>
        <v>1</v>
      </c>
      <c r="CE404" s="109">
        <f t="shared" si="184"/>
        <v>92378.653589791284</v>
      </c>
      <c r="CF404" s="109">
        <f t="shared" si="185"/>
        <v>95135.032599818922</v>
      </c>
      <c r="CH404" s="58">
        <f t="array" ref="CH404">SUM(IF(CE404:CF404&gt;=CE404, 1))</f>
        <v>2</v>
      </c>
      <c r="CI404" s="58">
        <f t="array" ref="CI404">SUM(IF(CE404:CF404&gt;=CF404, 1))</f>
        <v>1</v>
      </c>
      <c r="CK404" s="109">
        <f t="shared" si="186"/>
        <v>44547.839137017007</v>
      </c>
      <c r="CL404" s="109">
        <f t="shared" si="187"/>
        <v>45310.657414554138</v>
      </c>
      <c r="CN404" s="58">
        <f t="array" ref="CN404">SUM(IF(CK404:CL404&gt;=CK404, 1))</f>
        <v>2</v>
      </c>
      <c r="CO404" s="58">
        <f t="array" ref="CO404">SUM(IF(CK404:CL404&gt;=CL404, 1))</f>
        <v>1</v>
      </c>
      <c r="CQ404" s="109" cm="1">
        <f t="array" ref="CQ404">AF404*WTP-AC404</f>
        <v>27177.282355057519</v>
      </c>
      <c r="CR404" s="109">
        <f t="shared" si="188"/>
        <v>29150.152760281329</v>
      </c>
      <c r="CT404" s="58">
        <f t="array" ref="CT404">SUM(IF(CQ404:CR404&gt;=CQ404, 1))</f>
        <v>2</v>
      </c>
      <c r="CU404" s="58">
        <f t="array" ref="CU404">SUM(IF(CQ404:CR404&gt;=CR404, 1))</f>
        <v>1</v>
      </c>
      <c r="CW404" s="109">
        <f t="shared" si="189"/>
        <v>-35076995.795086719</v>
      </c>
      <c r="CX404" s="109">
        <f t="shared" si="190"/>
        <v>0</v>
      </c>
      <c r="CZ404" s="58">
        <f t="array" ref="CZ404">SUM(IF(CW404:CX404&gt;=CW404, 1))</f>
        <v>2</v>
      </c>
      <c r="DA404" s="58">
        <f t="array" ref="DA404">SUM(IF(CW404:CX404&gt;=CX404, 1))</f>
        <v>1</v>
      </c>
      <c r="DC404" s="109">
        <f t="shared" si="191"/>
        <v>-1922518.0073934526</v>
      </c>
      <c r="DD404" s="109">
        <f t="shared" si="192"/>
        <v>0</v>
      </c>
      <c r="DF404" s="58">
        <f t="array" ref="DF404">SUM(IF(DC404:DD404&gt;=DC404, 1))</f>
        <v>2</v>
      </c>
      <c r="DG404" s="58">
        <f t="array" ref="DG404">SUM(IF(DC404:DD404&gt;=DD404, 1))</f>
        <v>1</v>
      </c>
      <c r="DI404" s="109">
        <f t="shared" si="193"/>
        <v>-64105664.22531049</v>
      </c>
      <c r="DJ404" s="109">
        <f t="shared" si="194"/>
        <v>0</v>
      </c>
      <c r="DL404" s="58">
        <f t="array" ref="DL404">SUM(IF(DI404:DJ404&gt;=DI404, 1))</f>
        <v>2</v>
      </c>
      <c r="DM404" s="58">
        <f t="array" ref="DM404">SUM(IF(DI404:DJ404&gt;=DJ404, 1))</f>
        <v>1</v>
      </c>
      <c r="DO404" s="109">
        <f t="shared" si="195"/>
        <v>-6727853.1307329107</v>
      </c>
      <c r="DP404" s="109">
        <f t="shared" si="196"/>
        <v>0</v>
      </c>
      <c r="DR404" s="58">
        <f t="array" ref="DR404">SUM(IF(DO404:DP404&gt;=DO404, 1))</f>
        <v>2</v>
      </c>
      <c r="DS404" s="58">
        <f t="array" ref="DS404">SUM(IF(DO404:DP404&gt;=DP404, 1))</f>
        <v>1</v>
      </c>
      <c r="DU404" s="109">
        <f t="shared" si="197"/>
        <v>-30908945.336924165</v>
      </c>
      <c r="DV404" s="109">
        <f t="shared" si="198"/>
        <v>0</v>
      </c>
      <c r="DX404" s="58">
        <f t="array" ref="DX404">SUM(IF(DU404:DV404&gt;=DU404, 1))</f>
        <v>2</v>
      </c>
      <c r="DY404" s="58">
        <f t="array" ref="DY404">SUM(IF(DU404:DV404&gt;=DV404, 1))</f>
        <v>1</v>
      </c>
      <c r="EA404" s="109">
        <f t="shared" si="199"/>
        <v>-138741976.49544775</v>
      </c>
      <c r="EB404" s="109">
        <f t="shared" si="200"/>
        <v>0</v>
      </c>
      <c r="ED404" s="58">
        <f t="array" ref="ED404">SUM(IF(EA404:EB404&gt;=EA404, 1))</f>
        <v>2</v>
      </c>
      <c r="EE404" s="58">
        <f t="array" ref="EE404">SUM(IF(EA404:EB404&gt;=EB404, 1))</f>
        <v>1</v>
      </c>
    </row>
    <row r="405" spans="4:135" ht="12" customHeight="1" x14ac:dyDescent="0.25">
      <c r="D405" s="11">
        <v>389</v>
      </c>
      <c r="E405" s="72">
        <v>283.47280524310219</v>
      </c>
      <c r="F405" s="72">
        <v>261.2555309160154</v>
      </c>
      <c r="G405" s="73"/>
      <c r="H405" s="74">
        <v>5.8204837010210673</v>
      </c>
      <c r="I405" s="74">
        <v>5.835525453361023</v>
      </c>
      <c r="J405" s="73"/>
      <c r="K405" s="72">
        <v>304.41968462230562</v>
      </c>
      <c r="L405" s="72">
        <v>281.63624445862627</v>
      </c>
      <c r="M405" s="73"/>
      <c r="N405" s="74">
        <v>6.7269670384921332</v>
      </c>
      <c r="O405" s="74">
        <v>6.7395707958190636</v>
      </c>
      <c r="P405" s="73"/>
      <c r="Q405" s="72">
        <v>3677.1224949028392</v>
      </c>
      <c r="R405" s="72">
        <v>2036.2877172433291</v>
      </c>
      <c r="S405" s="73"/>
      <c r="T405" s="74">
        <v>4.7858466462249938</v>
      </c>
      <c r="U405" s="74">
        <v>4.8588379200037517</v>
      </c>
      <c r="V405" s="73"/>
      <c r="W405" s="72">
        <v>12249.714989001119</v>
      </c>
      <c r="X405" s="72">
        <v>12249.640906435052</v>
      </c>
      <c r="Y405" s="73"/>
      <c r="Z405" s="74">
        <v>2.9756028153723588</v>
      </c>
      <c r="AA405" s="74">
        <v>3.0246422673017812</v>
      </c>
      <c r="AB405" s="73"/>
      <c r="AC405" s="72">
        <v>51012.905209536853</v>
      </c>
      <c r="AD405" s="72">
        <v>50716.25178727819</v>
      </c>
      <c r="AE405" s="73"/>
      <c r="AF405" s="74">
        <v>4.3208635899792842</v>
      </c>
      <c r="AG405" s="74">
        <v>4.4076934810742614</v>
      </c>
      <c r="AH405" s="73"/>
      <c r="AI405" s="72">
        <v>2368224.9459015671</v>
      </c>
      <c r="AJ405" s="72">
        <v>0</v>
      </c>
      <c r="AK405" s="73"/>
      <c r="AL405" s="74">
        <v>-1603.3583866823237</v>
      </c>
      <c r="AM405" s="74">
        <v>0</v>
      </c>
      <c r="AN405" s="73"/>
      <c r="AO405" s="72">
        <v>146732.92268247876</v>
      </c>
      <c r="AP405" s="72">
        <v>0</v>
      </c>
      <c r="AQ405" s="73"/>
      <c r="AR405" s="74">
        <v>-81.172383804858384</v>
      </c>
      <c r="AS405" s="74">
        <v>0</v>
      </c>
      <c r="AT405" s="73"/>
      <c r="AU405" s="72">
        <v>38754935.79517255</v>
      </c>
      <c r="AV405" s="72">
        <v>0</v>
      </c>
      <c r="AW405" s="73"/>
      <c r="AX405" s="74">
        <v>-1723.9835280299155</v>
      </c>
      <c r="AY405" s="74">
        <v>0</v>
      </c>
      <c r="AZ405" s="73"/>
      <c r="BA405" s="72">
        <v>674.21846659481992</v>
      </c>
      <c r="BB405" s="72">
        <v>0</v>
      </c>
      <c r="BC405" s="73"/>
      <c r="BD405" s="74">
        <v>-446.30344003829714</v>
      </c>
      <c r="BE405" s="74">
        <v>0</v>
      </c>
      <c r="BF405" s="73"/>
      <c r="BG405" s="72">
        <v>4663043.4851835174</v>
      </c>
      <c r="BH405" s="72">
        <v>0</v>
      </c>
      <c r="BI405" s="73"/>
      <c r="BJ405" s="74">
        <v>-1364.8639375432097</v>
      </c>
      <c r="BK405" s="74">
        <v>0</v>
      </c>
      <c r="BL405" s="73"/>
      <c r="BM405" s="72">
        <v>45933611.367406704</v>
      </c>
      <c r="BN405" s="72">
        <v>0</v>
      </c>
      <c r="BO405" s="73"/>
      <c r="BP405" s="74">
        <v>-5219.6816760986048</v>
      </c>
      <c r="BQ405" s="74">
        <v>0</v>
      </c>
      <c r="BS405" s="109">
        <f t="shared" si="180"/>
        <v>116126.20121517824</v>
      </c>
      <c r="BT405" s="109">
        <f t="shared" si="181"/>
        <v>116449.25353630444</v>
      </c>
      <c r="BV405" s="58">
        <f t="array" ref="BV405">SUM(IF(BS405:BT405&gt;=BS405, 1))</f>
        <v>2</v>
      </c>
      <c r="BW405" s="58">
        <f t="array" ref="BW405">SUM(IF(BS405:BT405&gt;=BT405, 1))</f>
        <v>1</v>
      </c>
      <c r="BY405" s="109">
        <f t="shared" si="182"/>
        <v>134234.92108522038</v>
      </c>
      <c r="BZ405" s="109">
        <f t="shared" si="183"/>
        <v>134509.77967192265</v>
      </c>
      <c r="CB405" s="58">
        <f t="array" ref="CB405">SUM(IF(BY405:BZ405&gt;=BY405, 1))</f>
        <v>2</v>
      </c>
      <c r="CC405" s="58">
        <f t="array" ref="CC405">SUM(IF(BY405:BZ405&gt;=BZ405, 1))</f>
        <v>1</v>
      </c>
      <c r="CE405" s="109">
        <f t="shared" si="184"/>
        <v>92039.810429597041</v>
      </c>
      <c r="CF405" s="109">
        <f t="shared" si="185"/>
        <v>95140.470682831714</v>
      </c>
      <c r="CH405" s="58">
        <f t="array" ref="CH405">SUM(IF(CE405:CF405&gt;=CE405, 1))</f>
        <v>2</v>
      </c>
      <c r="CI405" s="58">
        <f t="array" ref="CI405">SUM(IF(CE405:CF405&gt;=CF405, 1))</f>
        <v>1</v>
      </c>
      <c r="CK405" s="109">
        <f t="shared" si="186"/>
        <v>47262.341318446059</v>
      </c>
      <c r="CL405" s="109">
        <f t="shared" si="187"/>
        <v>48243.204439600573</v>
      </c>
      <c r="CN405" s="58">
        <f t="array" ref="CN405">SUM(IF(CK405:CL405&gt;=CK405, 1))</f>
        <v>2</v>
      </c>
      <c r="CO405" s="58">
        <f t="array" ref="CO405">SUM(IF(CK405:CL405&gt;=CL405, 1))</f>
        <v>1</v>
      </c>
      <c r="CQ405" s="109" cm="1">
        <f t="array" ref="CQ405">AF405*WTP-AC405</f>
        <v>35404.366590048827</v>
      </c>
      <c r="CR405" s="109">
        <f t="shared" si="188"/>
        <v>37437.617834207034</v>
      </c>
      <c r="CT405" s="58">
        <f t="array" ref="CT405">SUM(IF(CQ405:CR405&gt;=CQ405, 1))</f>
        <v>2</v>
      </c>
      <c r="CU405" s="58">
        <f t="array" ref="CU405">SUM(IF(CQ405:CR405&gt;=CR405, 1))</f>
        <v>1</v>
      </c>
      <c r="CW405" s="109">
        <f t="shared" si="189"/>
        <v>-34435392.67954804</v>
      </c>
      <c r="CX405" s="109">
        <f t="shared" si="190"/>
        <v>0</v>
      </c>
      <c r="CZ405" s="58">
        <f t="array" ref="CZ405">SUM(IF(CW405:CX405&gt;=CW405, 1))</f>
        <v>2</v>
      </c>
      <c r="DA405" s="58">
        <f t="array" ref="DA405">SUM(IF(CW405:CX405&gt;=CX405, 1))</f>
        <v>1</v>
      </c>
      <c r="DC405" s="109">
        <f t="shared" si="191"/>
        <v>-1770180.5987796464</v>
      </c>
      <c r="DD405" s="109">
        <f t="shared" si="192"/>
        <v>0</v>
      </c>
      <c r="DF405" s="58">
        <f t="array" ref="DF405">SUM(IF(DC405:DD405&gt;=DC405, 1))</f>
        <v>2</v>
      </c>
      <c r="DG405" s="58">
        <f t="array" ref="DG405">SUM(IF(DC405:DD405&gt;=DD405, 1))</f>
        <v>1</v>
      </c>
      <c r="DI405" s="109">
        <f t="shared" si="193"/>
        <v>-73234606.355770856</v>
      </c>
      <c r="DJ405" s="109">
        <f t="shared" si="194"/>
        <v>0</v>
      </c>
      <c r="DL405" s="58">
        <f t="array" ref="DL405">SUM(IF(DI405:DJ405&gt;=DI405, 1))</f>
        <v>2</v>
      </c>
      <c r="DM405" s="58">
        <f t="array" ref="DM405">SUM(IF(DI405:DJ405&gt;=DJ405, 1))</f>
        <v>1</v>
      </c>
      <c r="DO405" s="109">
        <f t="shared" si="195"/>
        <v>-8926743.0192325376</v>
      </c>
      <c r="DP405" s="109">
        <f t="shared" si="196"/>
        <v>0</v>
      </c>
      <c r="DR405" s="58">
        <f t="array" ref="DR405">SUM(IF(DO405:DP405&gt;=DO405, 1))</f>
        <v>2</v>
      </c>
      <c r="DS405" s="58">
        <f t="array" ref="DS405">SUM(IF(DO405:DP405&gt;=DP405, 1))</f>
        <v>1</v>
      </c>
      <c r="DU405" s="109">
        <f t="shared" si="197"/>
        <v>-31960322.236047711</v>
      </c>
      <c r="DV405" s="109">
        <f t="shared" si="198"/>
        <v>0</v>
      </c>
      <c r="DX405" s="58">
        <f t="array" ref="DX405">SUM(IF(DU405:DV405&gt;=DU405, 1))</f>
        <v>2</v>
      </c>
      <c r="DY405" s="58">
        <f t="array" ref="DY405">SUM(IF(DU405:DV405&gt;=DV405, 1))</f>
        <v>1</v>
      </c>
      <c r="EA405" s="109">
        <f t="shared" si="199"/>
        <v>-150327244.88937879</v>
      </c>
      <c r="EB405" s="109">
        <f t="shared" si="200"/>
        <v>0</v>
      </c>
      <c r="ED405" s="58">
        <f t="array" ref="ED405">SUM(IF(EA405:EB405&gt;=EA405, 1))</f>
        <v>2</v>
      </c>
      <c r="EE405" s="58">
        <f t="array" ref="EE405">SUM(IF(EA405:EB405&gt;=EB405, 1))</f>
        <v>1</v>
      </c>
    </row>
    <row r="406" spans="4:135" ht="12" customHeight="1" x14ac:dyDescent="0.25">
      <c r="D406" s="11">
        <v>390</v>
      </c>
      <c r="E406" s="72">
        <v>232.33820010122358</v>
      </c>
      <c r="F406" s="72">
        <v>227.79896045910857</v>
      </c>
      <c r="G406" s="73"/>
      <c r="H406" s="74">
        <v>5.8630068825504189</v>
      </c>
      <c r="I406" s="74">
        <v>5.8771665142313703</v>
      </c>
      <c r="J406" s="73"/>
      <c r="K406" s="72">
        <v>250.41786177779309</v>
      </c>
      <c r="L406" s="72">
        <v>245.73851142424158</v>
      </c>
      <c r="M406" s="73"/>
      <c r="N406" s="74">
        <v>6.6965728497063806</v>
      </c>
      <c r="O406" s="74">
        <v>6.7086979529603621</v>
      </c>
      <c r="P406" s="73"/>
      <c r="Q406" s="72">
        <v>2384.9218505074587</v>
      </c>
      <c r="R406" s="72">
        <v>1229.7576178933821</v>
      </c>
      <c r="S406" s="73"/>
      <c r="T406" s="74">
        <v>4.8201884320282815</v>
      </c>
      <c r="U406" s="74">
        <v>4.9591949411717415</v>
      </c>
      <c r="V406" s="73"/>
      <c r="W406" s="72">
        <v>12126.986090046064</v>
      </c>
      <c r="X406" s="72">
        <v>12139.358679347024</v>
      </c>
      <c r="Y406" s="73"/>
      <c r="Z406" s="74">
        <v>3.040007617069254</v>
      </c>
      <c r="AA406" s="74">
        <v>3.1078181908487434</v>
      </c>
      <c r="AB406" s="73"/>
      <c r="AC406" s="72">
        <v>51314.621895494085</v>
      </c>
      <c r="AD406" s="72">
        <v>51100.92231802686</v>
      </c>
      <c r="AE406" s="73"/>
      <c r="AF406" s="74">
        <v>4.0329102445244223</v>
      </c>
      <c r="AG406" s="74">
        <v>4.0987316344315676</v>
      </c>
      <c r="AH406" s="73"/>
      <c r="AI406" s="72">
        <v>490320.39774018567</v>
      </c>
      <c r="AJ406" s="72">
        <v>0</v>
      </c>
      <c r="AK406" s="73"/>
      <c r="AL406" s="74">
        <v>-1529.4976218580312</v>
      </c>
      <c r="AM406" s="74">
        <v>0</v>
      </c>
      <c r="AN406" s="73"/>
      <c r="AO406" s="72">
        <v>32115.02529284402</v>
      </c>
      <c r="AP406" s="72">
        <v>0</v>
      </c>
      <c r="AQ406" s="73"/>
      <c r="AR406" s="74">
        <v>-83.21625188514011</v>
      </c>
      <c r="AS406" s="74">
        <v>0</v>
      </c>
      <c r="AT406" s="73"/>
      <c r="AU406" s="72">
        <v>26852683.500277791</v>
      </c>
      <c r="AV406" s="72">
        <v>0</v>
      </c>
      <c r="AW406" s="73"/>
      <c r="AX406" s="74">
        <v>-3231.3135129373786</v>
      </c>
      <c r="AY406" s="74">
        <v>0</v>
      </c>
      <c r="AZ406" s="73"/>
      <c r="BA406" s="72">
        <v>-111839.97533926441</v>
      </c>
      <c r="BB406" s="72">
        <v>0</v>
      </c>
      <c r="BC406" s="73"/>
      <c r="BD406" s="74">
        <v>-612.96247008306273</v>
      </c>
      <c r="BE406" s="74">
        <v>0</v>
      </c>
      <c r="BF406" s="73"/>
      <c r="BG406" s="72">
        <v>3385712.3305857056</v>
      </c>
      <c r="BH406" s="72">
        <v>0</v>
      </c>
      <c r="BI406" s="73"/>
      <c r="BJ406" s="74">
        <v>-1042.8298177570814</v>
      </c>
      <c r="BK406" s="74">
        <v>0</v>
      </c>
      <c r="BL406" s="73"/>
      <c r="BM406" s="72">
        <v>30648991.278557263</v>
      </c>
      <c r="BN406" s="72">
        <v>0</v>
      </c>
      <c r="BO406" s="73"/>
      <c r="BP406" s="74">
        <v>-6499.8196745206942</v>
      </c>
      <c r="BQ406" s="74">
        <v>0</v>
      </c>
      <c r="BS406" s="109">
        <f t="shared" si="180"/>
        <v>117027.79945090716</v>
      </c>
      <c r="BT406" s="109">
        <f t="shared" si="181"/>
        <v>117315.53132416829</v>
      </c>
      <c r="BV406" s="58">
        <f t="array" ref="BV406">SUM(IF(BS406:BT406&gt;=BS406, 1))</f>
        <v>2</v>
      </c>
      <c r="BW406" s="58">
        <f t="array" ref="BW406">SUM(IF(BS406:BT406&gt;=BT406, 1))</f>
        <v>1</v>
      </c>
      <c r="BY406" s="109">
        <f t="shared" si="182"/>
        <v>133681.0391323498</v>
      </c>
      <c r="BZ406" s="109">
        <f t="shared" si="183"/>
        <v>133928.22054778298</v>
      </c>
      <c r="CB406" s="58">
        <f t="array" ref="CB406">SUM(IF(BY406:BZ406&gt;=BY406, 1))</f>
        <v>2</v>
      </c>
      <c r="CC406" s="58">
        <f t="array" ref="CC406">SUM(IF(BY406:BZ406&gt;=BZ406, 1))</f>
        <v>1</v>
      </c>
      <c r="CE406" s="109">
        <f t="shared" si="184"/>
        <v>94018.846790058175</v>
      </c>
      <c r="CF406" s="109">
        <f t="shared" si="185"/>
        <v>97954.141205541455</v>
      </c>
      <c r="CH406" s="58">
        <f t="array" ref="CH406">SUM(IF(CE406:CF406&gt;=CE406, 1))</f>
        <v>2</v>
      </c>
      <c r="CI406" s="58">
        <f t="array" ref="CI406">SUM(IF(CE406:CF406&gt;=CF406, 1))</f>
        <v>1</v>
      </c>
      <c r="CK406" s="109">
        <f t="shared" si="186"/>
        <v>48673.166251339018</v>
      </c>
      <c r="CL406" s="109">
        <f t="shared" si="187"/>
        <v>50017.005137627842</v>
      </c>
      <c r="CN406" s="58">
        <f t="array" ref="CN406">SUM(IF(CK406:CL406&gt;=CK406, 1))</f>
        <v>2</v>
      </c>
      <c r="CO406" s="58">
        <f t="array" ref="CO406">SUM(IF(CK406:CL406&gt;=CL406, 1))</f>
        <v>1</v>
      </c>
      <c r="CQ406" s="109" cm="1">
        <f t="array" ref="CQ406">AF406*WTP-AC406</f>
        <v>29343.582994994358</v>
      </c>
      <c r="CR406" s="109">
        <f t="shared" si="188"/>
        <v>30873.710370604487</v>
      </c>
      <c r="CT406" s="58">
        <f t="array" ref="CT406">SUM(IF(CQ406:CR406&gt;=CQ406, 1))</f>
        <v>2</v>
      </c>
      <c r="CU406" s="58">
        <f t="array" ref="CU406">SUM(IF(CQ406:CR406&gt;=CR406, 1))</f>
        <v>1</v>
      </c>
      <c r="CW406" s="109">
        <f t="shared" si="189"/>
        <v>-31080272.834900808</v>
      </c>
      <c r="CX406" s="109">
        <f t="shared" si="190"/>
        <v>0</v>
      </c>
      <c r="CZ406" s="58">
        <f t="array" ref="CZ406">SUM(IF(CW406:CX406&gt;=CW406, 1))</f>
        <v>2</v>
      </c>
      <c r="DA406" s="58">
        <f t="array" ref="DA406">SUM(IF(CW406:CX406&gt;=CX406, 1))</f>
        <v>1</v>
      </c>
      <c r="DC406" s="109">
        <f t="shared" si="191"/>
        <v>-1696440.0629956461</v>
      </c>
      <c r="DD406" s="109">
        <f t="shared" si="192"/>
        <v>0</v>
      </c>
      <c r="DF406" s="58">
        <f t="array" ref="DF406">SUM(IF(DC406:DD406&gt;=DC406, 1))</f>
        <v>2</v>
      </c>
      <c r="DG406" s="58">
        <f t="array" ref="DG406">SUM(IF(DC406:DD406&gt;=DD406, 1))</f>
        <v>1</v>
      </c>
      <c r="DI406" s="109">
        <f t="shared" si="193"/>
        <v>-91478953.759025365</v>
      </c>
      <c r="DJ406" s="109">
        <f t="shared" si="194"/>
        <v>0</v>
      </c>
      <c r="DL406" s="58">
        <f t="array" ref="DL406">SUM(IF(DI406:DJ406&gt;=DI406, 1))</f>
        <v>2</v>
      </c>
      <c r="DM406" s="58">
        <f t="array" ref="DM406">SUM(IF(DI406:DJ406&gt;=DJ406, 1))</f>
        <v>1</v>
      </c>
      <c r="DO406" s="109">
        <f t="shared" si="195"/>
        <v>-12147409.426321991</v>
      </c>
      <c r="DP406" s="109">
        <f t="shared" si="196"/>
        <v>0</v>
      </c>
      <c r="DR406" s="58">
        <f t="array" ref="DR406">SUM(IF(DO406:DP406&gt;=DO406, 1))</f>
        <v>2</v>
      </c>
      <c r="DS406" s="58">
        <f t="array" ref="DS406">SUM(IF(DO406:DP406&gt;=DP406, 1))</f>
        <v>1</v>
      </c>
      <c r="DU406" s="109">
        <f t="shared" si="197"/>
        <v>-24242308.685727336</v>
      </c>
      <c r="DV406" s="109">
        <f t="shared" si="198"/>
        <v>0</v>
      </c>
      <c r="DX406" s="58">
        <f t="array" ref="DX406">SUM(IF(DU406:DV406&gt;=DU406, 1))</f>
        <v>2</v>
      </c>
      <c r="DY406" s="58">
        <f t="array" ref="DY406">SUM(IF(DU406:DV406&gt;=DV406, 1))</f>
        <v>1</v>
      </c>
      <c r="EA406" s="109">
        <f t="shared" si="199"/>
        <v>-160645384.76897115</v>
      </c>
      <c r="EB406" s="109">
        <f t="shared" si="200"/>
        <v>0</v>
      </c>
      <c r="ED406" s="58">
        <f t="array" ref="ED406">SUM(IF(EA406:EB406&gt;=EA406, 1))</f>
        <v>2</v>
      </c>
      <c r="EE406" s="58">
        <f t="array" ref="EE406">SUM(IF(EA406:EB406&gt;=EB406, 1))</f>
        <v>1</v>
      </c>
    </row>
    <row r="407" spans="4:135" ht="12" customHeight="1" x14ac:dyDescent="0.25">
      <c r="D407" s="11">
        <v>391</v>
      </c>
      <c r="E407" s="72">
        <v>250.29400668700845</v>
      </c>
      <c r="F407" s="72">
        <v>232.85514804275786</v>
      </c>
      <c r="G407" s="73"/>
      <c r="H407" s="74">
        <v>5.7889463023743817</v>
      </c>
      <c r="I407" s="74">
        <v>5.8018238876127439</v>
      </c>
      <c r="J407" s="73"/>
      <c r="K407" s="72">
        <v>268.92053484619504</v>
      </c>
      <c r="L407" s="72">
        <v>251.0537754982368</v>
      </c>
      <c r="M407" s="73"/>
      <c r="N407" s="74">
        <v>6.7115572167334294</v>
      </c>
      <c r="O407" s="74">
        <v>6.7225706559601237</v>
      </c>
      <c r="P407" s="73"/>
      <c r="Q407" s="72">
        <v>3206.5676437442235</v>
      </c>
      <c r="R407" s="72">
        <v>1663.7509339458593</v>
      </c>
      <c r="S407" s="73"/>
      <c r="T407" s="74">
        <v>4.8821362342365004</v>
      </c>
      <c r="U407" s="74">
        <v>4.9737717493584057</v>
      </c>
      <c r="V407" s="73"/>
      <c r="W407" s="72">
        <v>12996.122150285293</v>
      </c>
      <c r="X407" s="72">
        <v>13030.990525443609</v>
      </c>
      <c r="Y407" s="73"/>
      <c r="Z407" s="74">
        <v>3.1232378769233393</v>
      </c>
      <c r="AA407" s="74">
        <v>3.1797030030722606</v>
      </c>
      <c r="AB407" s="73"/>
      <c r="AC407" s="72">
        <v>50169.178318269318</v>
      </c>
      <c r="AD407" s="72">
        <v>49814.175753852367</v>
      </c>
      <c r="AE407" s="73"/>
      <c r="AF407" s="74">
        <v>4.7624766639495686</v>
      </c>
      <c r="AG407" s="74">
        <v>4.8945016456884796</v>
      </c>
      <c r="AH407" s="73"/>
      <c r="AI407" s="72">
        <v>1854120.0511376122</v>
      </c>
      <c r="AJ407" s="72">
        <v>0</v>
      </c>
      <c r="AK407" s="73"/>
      <c r="AL407" s="74">
        <v>-1369.1600745071141</v>
      </c>
      <c r="AM407" s="74">
        <v>0</v>
      </c>
      <c r="AN407" s="73"/>
      <c r="AO407" s="72">
        <v>126852.34964402442</v>
      </c>
      <c r="AP407" s="72">
        <v>0</v>
      </c>
      <c r="AQ407" s="73"/>
      <c r="AR407" s="74">
        <v>-78.194406515443006</v>
      </c>
      <c r="AS407" s="74">
        <v>0</v>
      </c>
      <c r="AT407" s="73"/>
      <c r="AU407" s="72">
        <v>34802172.746256322</v>
      </c>
      <c r="AV407" s="72">
        <v>0</v>
      </c>
      <c r="AW407" s="73"/>
      <c r="AX407" s="74">
        <v>-2067.0731699435159</v>
      </c>
      <c r="AY407" s="74">
        <v>0</v>
      </c>
      <c r="AZ407" s="73"/>
      <c r="BA407" s="72">
        <v>-303350.38606448076</v>
      </c>
      <c r="BB407" s="72">
        <v>0</v>
      </c>
      <c r="BC407" s="73"/>
      <c r="BD407" s="74">
        <v>-491.23934621799708</v>
      </c>
      <c r="BE407" s="74">
        <v>0</v>
      </c>
      <c r="BF407" s="73"/>
      <c r="BG407" s="72">
        <v>5456654.7344837226</v>
      </c>
      <c r="BH407" s="72">
        <v>0</v>
      </c>
      <c r="BI407" s="73"/>
      <c r="BJ407" s="74">
        <v>-2029.3226412573958</v>
      </c>
      <c r="BK407" s="74">
        <v>0</v>
      </c>
      <c r="BL407" s="73"/>
      <c r="BM407" s="72">
        <v>41936449.495457202</v>
      </c>
      <c r="BN407" s="72">
        <v>0</v>
      </c>
      <c r="BO407" s="73"/>
      <c r="BP407" s="74">
        <v>-6034.989638441466</v>
      </c>
      <c r="BQ407" s="74">
        <v>0</v>
      </c>
      <c r="BS407" s="109">
        <f t="shared" si="180"/>
        <v>115528.63204080063</v>
      </c>
      <c r="BT407" s="109">
        <f t="shared" si="181"/>
        <v>115803.62260421213</v>
      </c>
      <c r="BV407" s="58">
        <f t="array" ref="BV407">SUM(IF(BS407:BT407&gt;=BS407, 1))</f>
        <v>2</v>
      </c>
      <c r="BW407" s="58">
        <f t="array" ref="BW407">SUM(IF(BS407:BT407&gt;=BT407, 1))</f>
        <v>1</v>
      </c>
      <c r="BY407" s="109">
        <f t="shared" si="182"/>
        <v>133962.22379982239</v>
      </c>
      <c r="BZ407" s="109">
        <f t="shared" si="183"/>
        <v>134200.35934370424</v>
      </c>
      <c r="CB407" s="58">
        <f t="array" ref="CB407">SUM(IF(BY407:BZ407&gt;=BY407, 1))</f>
        <v>2</v>
      </c>
      <c r="CC407" s="58">
        <f t="array" ref="CC407">SUM(IF(BY407:BZ407&gt;=BZ407, 1))</f>
        <v>1</v>
      </c>
      <c r="CE407" s="109">
        <f t="shared" si="184"/>
        <v>94436.157040985796</v>
      </c>
      <c r="CF407" s="109">
        <f t="shared" si="185"/>
        <v>97811.684053222256</v>
      </c>
      <c r="CH407" s="58">
        <f t="array" ref="CH407">SUM(IF(CE407:CF407&gt;=CE407, 1))</f>
        <v>2</v>
      </c>
      <c r="CI407" s="58">
        <f t="array" ref="CI407">SUM(IF(CE407:CF407&gt;=CF407, 1))</f>
        <v>1</v>
      </c>
      <c r="CK407" s="109">
        <f t="shared" si="186"/>
        <v>49468.635388181494</v>
      </c>
      <c r="CL407" s="109">
        <f t="shared" si="187"/>
        <v>50563.069536001603</v>
      </c>
      <c r="CN407" s="58">
        <f t="array" ref="CN407">SUM(IF(CK407:CL407&gt;=CK407, 1))</f>
        <v>2</v>
      </c>
      <c r="CO407" s="58">
        <f t="array" ref="CO407">SUM(IF(CK407:CL407&gt;=CL407, 1))</f>
        <v>1</v>
      </c>
      <c r="CQ407" s="109" cm="1">
        <f t="array" ref="CQ407">AF407*WTP-AC407</f>
        <v>45080.354960722048</v>
      </c>
      <c r="CR407" s="109">
        <f t="shared" si="188"/>
        <v>48075.857159917228</v>
      </c>
      <c r="CT407" s="58">
        <f t="array" ref="CT407">SUM(IF(CQ407:CR407&gt;=CQ407, 1))</f>
        <v>2</v>
      </c>
      <c r="CU407" s="58">
        <f t="array" ref="CU407">SUM(IF(CQ407:CR407&gt;=CR407, 1))</f>
        <v>1</v>
      </c>
      <c r="CW407" s="109">
        <f t="shared" si="189"/>
        <v>-29237321.541279893</v>
      </c>
      <c r="CX407" s="109">
        <f t="shared" si="190"/>
        <v>0</v>
      </c>
      <c r="CZ407" s="58">
        <f t="array" ref="CZ407">SUM(IF(CW407:CX407&gt;=CW407, 1))</f>
        <v>2</v>
      </c>
      <c r="DA407" s="58">
        <f t="array" ref="DA407">SUM(IF(CW407:CX407&gt;=CX407, 1))</f>
        <v>1</v>
      </c>
      <c r="DC407" s="109">
        <f t="shared" si="191"/>
        <v>-1690740.4799528846</v>
      </c>
      <c r="DD407" s="109">
        <f t="shared" si="192"/>
        <v>0</v>
      </c>
      <c r="DF407" s="58">
        <f t="array" ref="DF407">SUM(IF(DC407:DD407&gt;=DC407, 1))</f>
        <v>2</v>
      </c>
      <c r="DG407" s="58">
        <f t="array" ref="DG407">SUM(IF(DC407:DD407&gt;=DD407, 1))</f>
        <v>1</v>
      </c>
      <c r="DI407" s="109">
        <f t="shared" si="193"/>
        <v>-76143636.145126641</v>
      </c>
      <c r="DJ407" s="109">
        <f t="shared" si="194"/>
        <v>0</v>
      </c>
      <c r="DL407" s="58">
        <f t="array" ref="DL407">SUM(IF(DI407:DJ407&gt;=DI407, 1))</f>
        <v>2</v>
      </c>
      <c r="DM407" s="58">
        <f t="array" ref="DM407">SUM(IF(DI407:DJ407&gt;=DJ407, 1))</f>
        <v>1</v>
      </c>
      <c r="DO407" s="109">
        <f t="shared" si="195"/>
        <v>-9521436.5382954609</v>
      </c>
      <c r="DP407" s="109">
        <f t="shared" si="196"/>
        <v>0</v>
      </c>
      <c r="DR407" s="58">
        <f t="array" ref="DR407">SUM(IF(DO407:DP407&gt;=DO407, 1))</f>
        <v>2</v>
      </c>
      <c r="DS407" s="58">
        <f t="array" ref="DS407">SUM(IF(DO407:DP407&gt;=DP407, 1))</f>
        <v>1</v>
      </c>
      <c r="DU407" s="109">
        <f t="shared" si="197"/>
        <v>-46043107.559631646</v>
      </c>
      <c r="DV407" s="109">
        <f t="shared" si="198"/>
        <v>0</v>
      </c>
      <c r="DX407" s="58">
        <f t="array" ref="DX407">SUM(IF(DU407:DV407&gt;=DU407, 1))</f>
        <v>2</v>
      </c>
      <c r="DY407" s="58">
        <f t="array" ref="DY407">SUM(IF(DU407:DV407&gt;=DV407, 1))</f>
        <v>1</v>
      </c>
      <c r="EA407" s="109">
        <f t="shared" si="199"/>
        <v>-162636242.26428652</v>
      </c>
      <c r="EB407" s="109">
        <f t="shared" si="200"/>
        <v>0</v>
      </c>
      <c r="ED407" s="58">
        <f t="array" ref="ED407">SUM(IF(EA407:EB407&gt;=EA407, 1))</f>
        <v>2</v>
      </c>
      <c r="EE407" s="58">
        <f t="array" ref="EE407">SUM(IF(EA407:EB407&gt;=EB407, 1))</f>
        <v>1</v>
      </c>
    </row>
    <row r="408" spans="4:135" ht="12" customHeight="1" x14ac:dyDescent="0.25">
      <c r="D408" s="11">
        <v>392</v>
      </c>
      <c r="E408" s="72">
        <v>253.06905771227625</v>
      </c>
      <c r="F408" s="72">
        <v>241.21800985984262</v>
      </c>
      <c r="G408" s="73"/>
      <c r="H408" s="74">
        <v>5.8163969156393778</v>
      </c>
      <c r="I408" s="74">
        <v>5.8342881314532926</v>
      </c>
      <c r="J408" s="73"/>
      <c r="K408" s="72">
        <v>272.34077881020698</v>
      </c>
      <c r="L408" s="72">
        <v>260.17222596309676</v>
      </c>
      <c r="M408" s="73"/>
      <c r="N408" s="74">
        <v>6.6428137679988639</v>
      </c>
      <c r="O408" s="74">
        <v>6.6586749851761793</v>
      </c>
      <c r="P408" s="73"/>
      <c r="Q408" s="72">
        <v>2550.7003206103859</v>
      </c>
      <c r="R408" s="72">
        <v>1634.1373506705161</v>
      </c>
      <c r="S408" s="73"/>
      <c r="T408" s="74">
        <v>4.7438242705602374</v>
      </c>
      <c r="U408" s="74">
        <v>4.8374987034719039</v>
      </c>
      <c r="V408" s="73"/>
      <c r="W408" s="72">
        <v>9902.2332997593257</v>
      </c>
      <c r="X408" s="72">
        <v>9946.2980373355349</v>
      </c>
      <c r="Y408" s="73"/>
      <c r="Z408" s="74">
        <v>3.003064389502291</v>
      </c>
      <c r="AA408" s="74">
        <v>3.0658071468041785</v>
      </c>
      <c r="AB408" s="73"/>
      <c r="AC408" s="72">
        <v>49965.013997464412</v>
      </c>
      <c r="AD408" s="72">
        <v>49749.770744731133</v>
      </c>
      <c r="AE408" s="73"/>
      <c r="AF408" s="74">
        <v>4.5806700212455409</v>
      </c>
      <c r="AG408" s="74">
        <v>4.7028350547669149</v>
      </c>
      <c r="AH408" s="73"/>
      <c r="AI408" s="72">
        <v>1275549.5285037248</v>
      </c>
      <c r="AJ408" s="72">
        <v>0</v>
      </c>
      <c r="AK408" s="73"/>
      <c r="AL408" s="74">
        <v>-1925.6636358202807</v>
      </c>
      <c r="AM408" s="74">
        <v>0</v>
      </c>
      <c r="AN408" s="73"/>
      <c r="AO408" s="72">
        <v>81024.366159720856</v>
      </c>
      <c r="AP408" s="72">
        <v>0</v>
      </c>
      <c r="AQ408" s="73"/>
      <c r="AR408" s="74">
        <v>-105.61198890785519</v>
      </c>
      <c r="AS408" s="74">
        <v>0</v>
      </c>
      <c r="AT408" s="73"/>
      <c r="AU408" s="72">
        <v>21188690.450492237</v>
      </c>
      <c r="AV408" s="72">
        <v>0</v>
      </c>
      <c r="AW408" s="73"/>
      <c r="AX408" s="74">
        <v>-2165.5234033957513</v>
      </c>
      <c r="AY408" s="74">
        <v>0</v>
      </c>
      <c r="AZ408" s="73"/>
      <c r="BA408" s="72">
        <v>-399064.12278298056</v>
      </c>
      <c r="BB408" s="72">
        <v>0</v>
      </c>
      <c r="BC408" s="73"/>
      <c r="BD408" s="74">
        <v>-568.21814405134626</v>
      </c>
      <c r="BE408" s="74">
        <v>0</v>
      </c>
      <c r="BF408" s="73"/>
      <c r="BG408" s="72">
        <v>3427100.466158119</v>
      </c>
      <c r="BH408" s="72">
        <v>0</v>
      </c>
      <c r="BI408" s="73"/>
      <c r="BJ408" s="74">
        <v>-1945.1101858608581</v>
      </c>
      <c r="BK408" s="74">
        <v>0</v>
      </c>
      <c r="BL408" s="73"/>
      <c r="BM408" s="72">
        <v>25573300.688530821</v>
      </c>
      <c r="BN408" s="72">
        <v>0</v>
      </c>
      <c r="BO408" s="73"/>
      <c r="BP408" s="74">
        <v>-6710.1273580360912</v>
      </c>
      <c r="BQ408" s="74">
        <v>0</v>
      </c>
      <c r="BS408" s="109">
        <f t="shared" si="180"/>
        <v>116074.86925507529</v>
      </c>
      <c r="BT408" s="109">
        <f t="shared" si="181"/>
        <v>116444.544619206</v>
      </c>
      <c r="BV408" s="58">
        <f t="array" ref="BV408">SUM(IF(BS408:BT408&gt;=BS408, 1))</f>
        <v>2</v>
      </c>
      <c r="BW408" s="58">
        <f t="array" ref="BW408">SUM(IF(BS408:BT408&gt;=BT408, 1))</f>
        <v>1</v>
      </c>
      <c r="BY408" s="109">
        <f t="shared" si="182"/>
        <v>132583.93458116706</v>
      </c>
      <c r="BZ408" s="109">
        <f t="shared" si="183"/>
        <v>132913.3274775605</v>
      </c>
      <c r="CB408" s="58">
        <f t="array" ref="CB408">SUM(IF(BY408:BZ408&gt;=BY408, 1))</f>
        <v>2</v>
      </c>
      <c r="CC408" s="58">
        <f t="array" ref="CC408">SUM(IF(BY408:BZ408&gt;=BZ408, 1))</f>
        <v>1</v>
      </c>
      <c r="CE408" s="109">
        <f t="shared" si="184"/>
        <v>92325.785090594363</v>
      </c>
      <c r="CF408" s="109">
        <f t="shared" si="185"/>
        <v>95115.836718767561</v>
      </c>
      <c r="CH408" s="58">
        <f t="array" ref="CH408">SUM(IF(CE408:CF408&gt;=CE408, 1))</f>
        <v>2</v>
      </c>
      <c r="CI408" s="58">
        <f t="array" ref="CI408">SUM(IF(CE408:CF408&gt;=CF408, 1))</f>
        <v>1</v>
      </c>
      <c r="CK408" s="109">
        <f t="shared" si="186"/>
        <v>50159.054490286493</v>
      </c>
      <c r="CL408" s="109">
        <f t="shared" si="187"/>
        <v>51369.844898748037</v>
      </c>
      <c r="CN408" s="58">
        <f t="array" ref="CN408">SUM(IF(CK408:CL408&gt;=CK408, 1))</f>
        <v>2</v>
      </c>
      <c r="CO408" s="58">
        <f t="array" ref="CO408">SUM(IF(CK408:CL408&gt;=CL408, 1))</f>
        <v>1</v>
      </c>
      <c r="CQ408" s="109" cm="1">
        <f t="array" ref="CQ408">AF408*WTP-AC408</f>
        <v>41648.386427446399</v>
      </c>
      <c r="CR408" s="109">
        <f t="shared" si="188"/>
        <v>44306.930350607166</v>
      </c>
      <c r="CT408" s="58">
        <f t="array" ref="CT408">SUM(IF(CQ408:CR408&gt;=CQ408, 1))</f>
        <v>2</v>
      </c>
      <c r="CU408" s="58">
        <f t="array" ref="CU408">SUM(IF(CQ408:CR408&gt;=CR408, 1))</f>
        <v>1</v>
      </c>
      <c r="CW408" s="109">
        <f t="shared" si="189"/>
        <v>-39788822.244909339</v>
      </c>
      <c r="CX408" s="109">
        <f t="shared" si="190"/>
        <v>0</v>
      </c>
      <c r="CZ408" s="58">
        <f t="array" ref="CZ408">SUM(IF(CW408:CX408&gt;=CW408, 1))</f>
        <v>2</v>
      </c>
      <c r="DA408" s="58">
        <f t="array" ref="DA408">SUM(IF(CW408:CX408&gt;=CX408, 1))</f>
        <v>1</v>
      </c>
      <c r="DC408" s="109">
        <f t="shared" si="191"/>
        <v>-2193264.1443168246</v>
      </c>
      <c r="DD408" s="109">
        <f t="shared" si="192"/>
        <v>0</v>
      </c>
      <c r="DF408" s="58">
        <f t="array" ref="DF408">SUM(IF(DC408:DD408&gt;=DC408, 1))</f>
        <v>2</v>
      </c>
      <c r="DG408" s="58">
        <f t="array" ref="DG408">SUM(IF(DC408:DD408&gt;=DD408, 1))</f>
        <v>1</v>
      </c>
      <c r="DI408" s="109">
        <f t="shared" si="193"/>
        <v>-64499158.518407255</v>
      </c>
      <c r="DJ408" s="109">
        <f t="shared" si="194"/>
        <v>0</v>
      </c>
      <c r="DL408" s="58">
        <f t="array" ref="DL408">SUM(IF(DI408:DJ408&gt;=DI408, 1))</f>
        <v>2</v>
      </c>
      <c r="DM408" s="58">
        <f t="array" ref="DM408">SUM(IF(DI408:DJ408&gt;=DJ408, 1))</f>
        <v>1</v>
      </c>
      <c r="DO408" s="109">
        <f t="shared" si="195"/>
        <v>-10965298.758243944</v>
      </c>
      <c r="DP408" s="109">
        <f t="shared" si="196"/>
        <v>0</v>
      </c>
      <c r="DR408" s="58">
        <f t="array" ref="DR408">SUM(IF(DO408:DP408&gt;=DO408, 1))</f>
        <v>2</v>
      </c>
      <c r="DS408" s="58">
        <f t="array" ref="DS408">SUM(IF(DO408:DP408&gt;=DP408, 1))</f>
        <v>1</v>
      </c>
      <c r="DU408" s="109">
        <f t="shared" si="197"/>
        <v>-42329304.183375284</v>
      </c>
      <c r="DV408" s="109">
        <f t="shared" si="198"/>
        <v>0</v>
      </c>
      <c r="DX408" s="58">
        <f t="array" ref="DX408">SUM(IF(DU408:DV408&gt;=DU408, 1))</f>
        <v>2</v>
      </c>
      <c r="DY408" s="58">
        <f t="array" ref="DY408">SUM(IF(DU408:DV408&gt;=DV408, 1))</f>
        <v>1</v>
      </c>
      <c r="EA408" s="109">
        <f t="shared" si="199"/>
        <v>-159775847.84925264</v>
      </c>
      <c r="EB408" s="109">
        <f t="shared" si="200"/>
        <v>0</v>
      </c>
      <c r="ED408" s="58">
        <f t="array" ref="ED408">SUM(IF(EA408:EB408&gt;=EA408, 1))</f>
        <v>2</v>
      </c>
      <c r="EE408" s="58">
        <f t="array" ref="EE408">SUM(IF(EA408:EB408&gt;=EB408, 1))</f>
        <v>1</v>
      </c>
    </row>
    <row r="409" spans="4:135" ht="12" customHeight="1" x14ac:dyDescent="0.25">
      <c r="D409" s="11">
        <v>393</v>
      </c>
      <c r="E409" s="72">
        <v>219.28798869579418</v>
      </c>
      <c r="F409" s="72">
        <v>188.62039292141412</v>
      </c>
      <c r="G409" s="73"/>
      <c r="H409" s="74">
        <v>5.8245347315538432</v>
      </c>
      <c r="I409" s="74">
        <v>5.8394428942464041</v>
      </c>
      <c r="J409" s="73"/>
      <c r="K409" s="72">
        <v>234.78050844926682</v>
      </c>
      <c r="L409" s="72">
        <v>203.3763229239334</v>
      </c>
      <c r="M409" s="73"/>
      <c r="N409" s="74">
        <v>6.752071599493453</v>
      </c>
      <c r="O409" s="74">
        <v>6.7645399795708503</v>
      </c>
      <c r="P409" s="73"/>
      <c r="Q409" s="72">
        <v>1653.754669389541</v>
      </c>
      <c r="R409" s="72">
        <v>1267.2366605144452</v>
      </c>
      <c r="S409" s="73"/>
      <c r="T409" s="74">
        <v>4.9101553493048726</v>
      </c>
      <c r="U409" s="74">
        <v>4.9686153015873629</v>
      </c>
      <c r="V409" s="73"/>
      <c r="W409" s="72">
        <v>11058.460627591538</v>
      </c>
      <c r="X409" s="72">
        <v>10982.19010293372</v>
      </c>
      <c r="Y409" s="73"/>
      <c r="Z409" s="74">
        <v>3.0932321213395921</v>
      </c>
      <c r="AA409" s="74">
        <v>3.1264409676693852</v>
      </c>
      <c r="AB409" s="73"/>
      <c r="AC409" s="72">
        <v>50587.197130561821</v>
      </c>
      <c r="AD409" s="72">
        <v>50514.733955332493</v>
      </c>
      <c r="AE409" s="73"/>
      <c r="AF409" s="74">
        <v>3.8965776520528457</v>
      </c>
      <c r="AG409" s="74">
        <v>3.964772296759866</v>
      </c>
      <c r="AH409" s="73"/>
      <c r="AI409" s="72">
        <v>3281378.7924508136</v>
      </c>
      <c r="AJ409" s="72">
        <v>0</v>
      </c>
      <c r="AK409" s="73"/>
      <c r="AL409" s="74">
        <v>-1595.1471792465495</v>
      </c>
      <c r="AM409" s="74">
        <v>0</v>
      </c>
      <c r="AN409" s="73"/>
      <c r="AO409" s="72">
        <v>219840.20443247439</v>
      </c>
      <c r="AP409" s="72">
        <v>0</v>
      </c>
      <c r="AQ409" s="73"/>
      <c r="AR409" s="74">
        <v>-87.282990445513306</v>
      </c>
      <c r="AS409" s="74">
        <v>0</v>
      </c>
      <c r="AT409" s="73"/>
      <c r="AU409" s="72">
        <v>9054053.8037805706</v>
      </c>
      <c r="AV409" s="72">
        <v>0</v>
      </c>
      <c r="AW409" s="73"/>
      <c r="AX409" s="74">
        <v>-1369.4046362097342</v>
      </c>
      <c r="AY409" s="74">
        <v>0</v>
      </c>
      <c r="AZ409" s="73"/>
      <c r="BA409" s="72">
        <v>687261.48791510903</v>
      </c>
      <c r="BB409" s="72">
        <v>0</v>
      </c>
      <c r="BC409" s="73"/>
      <c r="BD409" s="74">
        <v>-299.23959803544625</v>
      </c>
      <c r="BE409" s="74">
        <v>0</v>
      </c>
      <c r="BF409" s="73"/>
      <c r="BG409" s="72">
        <v>1158782.3913263723</v>
      </c>
      <c r="BH409" s="72">
        <v>0</v>
      </c>
      <c r="BI409" s="73"/>
      <c r="BJ409" s="74">
        <v>-1090.5229203545916</v>
      </c>
      <c r="BK409" s="74">
        <v>0</v>
      </c>
      <c r="BL409" s="73"/>
      <c r="BM409" s="72">
        <v>14401316.67990534</v>
      </c>
      <c r="BN409" s="72">
        <v>0</v>
      </c>
      <c r="BO409" s="73"/>
      <c r="BP409" s="74">
        <v>-4441.5973242918353</v>
      </c>
      <c r="BQ409" s="74">
        <v>0</v>
      </c>
      <c r="BS409" s="109">
        <f t="shared" si="180"/>
        <v>116271.40664238107</v>
      </c>
      <c r="BT409" s="109">
        <f t="shared" si="181"/>
        <v>116600.23749200666</v>
      </c>
      <c r="BV409" s="58">
        <f t="array" ref="BV409">SUM(IF(BS409:BT409&gt;=BS409, 1))</f>
        <v>2</v>
      </c>
      <c r="BW409" s="58">
        <f t="array" ref="BW409">SUM(IF(BS409:BT409&gt;=BT409, 1))</f>
        <v>1</v>
      </c>
      <c r="BY409" s="109">
        <f t="shared" si="182"/>
        <v>134806.6514814198</v>
      </c>
      <c r="BZ409" s="109">
        <f t="shared" si="183"/>
        <v>135087.42326849309</v>
      </c>
      <c r="CB409" s="58">
        <f t="array" ref="CB409">SUM(IF(BY409:BZ409&gt;=BY409, 1))</f>
        <v>2</v>
      </c>
      <c r="CC409" s="58">
        <f t="array" ref="CC409">SUM(IF(BY409:BZ409&gt;=BZ409, 1))</f>
        <v>1</v>
      </c>
      <c r="CE409" s="109">
        <f t="shared" si="184"/>
        <v>96549.352316707911</v>
      </c>
      <c r="CF409" s="109">
        <f t="shared" si="185"/>
        <v>98105.069371232807</v>
      </c>
      <c r="CH409" s="58">
        <f t="array" ref="CH409">SUM(IF(CE409:CF409&gt;=CE409, 1))</f>
        <v>2</v>
      </c>
      <c r="CI409" s="58">
        <f t="array" ref="CI409">SUM(IF(CE409:CF409&gt;=CF409, 1))</f>
        <v>1</v>
      </c>
      <c r="CK409" s="109">
        <f t="shared" si="186"/>
        <v>50806.181799200305</v>
      </c>
      <c r="CL409" s="109">
        <f t="shared" si="187"/>
        <v>51546.629250453989</v>
      </c>
      <c r="CN409" s="58">
        <f t="array" ref="CN409">SUM(IF(CK409:CL409&gt;=CK409, 1))</f>
        <v>2</v>
      </c>
      <c r="CO409" s="58">
        <f t="array" ref="CO409">SUM(IF(CK409:CL409&gt;=CL409, 1))</f>
        <v>1</v>
      </c>
      <c r="CQ409" s="109" cm="1">
        <f t="array" ref="CQ409">AF409*WTP-AC409</f>
        <v>27344.355910495098</v>
      </c>
      <c r="CR409" s="109">
        <f t="shared" si="188"/>
        <v>28780.711979864827</v>
      </c>
      <c r="CT409" s="58">
        <f t="array" ref="CT409">SUM(IF(CQ409:CR409&gt;=CQ409, 1))</f>
        <v>2</v>
      </c>
      <c r="CU409" s="58">
        <f t="array" ref="CU409">SUM(IF(CQ409:CR409&gt;=CR409, 1))</f>
        <v>1</v>
      </c>
      <c r="CW409" s="109">
        <f t="shared" si="189"/>
        <v>-35184322.377381802</v>
      </c>
      <c r="CX409" s="109">
        <f t="shared" si="190"/>
        <v>0</v>
      </c>
      <c r="CZ409" s="58">
        <f t="array" ref="CZ409">SUM(IF(CW409:CX409&gt;=CW409, 1))</f>
        <v>2</v>
      </c>
      <c r="DA409" s="58">
        <f t="array" ref="DA409">SUM(IF(CW409:CX409&gt;=CX409, 1))</f>
        <v>1</v>
      </c>
      <c r="DC409" s="109">
        <f t="shared" si="191"/>
        <v>-1965500.0133427405</v>
      </c>
      <c r="DD409" s="109">
        <f t="shared" si="192"/>
        <v>0</v>
      </c>
      <c r="DF409" s="58">
        <f t="array" ref="DF409">SUM(IF(DC409:DD409&gt;=DC409, 1))</f>
        <v>2</v>
      </c>
      <c r="DG409" s="58">
        <f t="array" ref="DG409">SUM(IF(DC409:DD409&gt;=DD409, 1))</f>
        <v>1</v>
      </c>
      <c r="DI409" s="109">
        <f t="shared" si="193"/>
        <v>-36442146.527975254</v>
      </c>
      <c r="DJ409" s="109">
        <f t="shared" si="194"/>
        <v>0</v>
      </c>
      <c r="DL409" s="58">
        <f t="array" ref="DL409">SUM(IF(DI409:DJ409&gt;=DI409, 1))</f>
        <v>2</v>
      </c>
      <c r="DM409" s="58">
        <f t="array" ref="DM409">SUM(IF(DI409:DJ409&gt;=DJ409, 1))</f>
        <v>1</v>
      </c>
      <c r="DO409" s="109">
        <f t="shared" si="195"/>
        <v>-6672053.4486240335</v>
      </c>
      <c r="DP409" s="109">
        <f t="shared" si="196"/>
        <v>0</v>
      </c>
      <c r="DR409" s="58">
        <f t="array" ref="DR409">SUM(IF(DO409:DP409&gt;=DO409, 1))</f>
        <v>2</v>
      </c>
      <c r="DS409" s="58">
        <f t="array" ref="DS409">SUM(IF(DO409:DP409&gt;=DP409, 1))</f>
        <v>1</v>
      </c>
      <c r="DU409" s="109">
        <f t="shared" si="197"/>
        <v>-22969240.798418205</v>
      </c>
      <c r="DV409" s="109">
        <f t="shared" si="198"/>
        <v>0</v>
      </c>
      <c r="DX409" s="58">
        <f t="array" ref="DX409">SUM(IF(DU409:DV409&gt;=DU409, 1))</f>
        <v>2</v>
      </c>
      <c r="DY409" s="58">
        <f t="array" ref="DY409">SUM(IF(DU409:DV409&gt;=DV409, 1))</f>
        <v>1</v>
      </c>
      <c r="EA409" s="109">
        <f t="shared" si="199"/>
        <v>-103233263.16574204</v>
      </c>
      <c r="EB409" s="109">
        <f t="shared" si="200"/>
        <v>0</v>
      </c>
      <c r="ED409" s="58">
        <f t="array" ref="ED409">SUM(IF(EA409:EB409&gt;=EA409, 1))</f>
        <v>2</v>
      </c>
      <c r="EE409" s="58">
        <f t="array" ref="EE409">SUM(IF(EA409:EB409&gt;=EB409, 1))</f>
        <v>1</v>
      </c>
    </row>
    <row r="410" spans="4:135" ht="12" customHeight="1" x14ac:dyDescent="0.25">
      <c r="D410" s="11">
        <v>394</v>
      </c>
      <c r="E410" s="72">
        <v>274.39617300875398</v>
      </c>
      <c r="F410" s="72">
        <v>231.35756170300945</v>
      </c>
      <c r="G410" s="73"/>
      <c r="H410" s="74">
        <v>5.831072440220761</v>
      </c>
      <c r="I410" s="74">
        <v>5.8454929948524423</v>
      </c>
      <c r="J410" s="73"/>
      <c r="K410" s="72">
        <v>293.25640160296916</v>
      </c>
      <c r="L410" s="72">
        <v>249.23830527531322</v>
      </c>
      <c r="M410" s="73"/>
      <c r="N410" s="74">
        <v>6.7186678419725929</v>
      </c>
      <c r="O410" s="74">
        <v>6.7305404870046655</v>
      </c>
      <c r="P410" s="73"/>
      <c r="Q410" s="72">
        <v>1304.3958987482404</v>
      </c>
      <c r="R410" s="72">
        <v>944.42596241976128</v>
      </c>
      <c r="S410" s="73"/>
      <c r="T410" s="74">
        <v>5.0018761805677086</v>
      </c>
      <c r="U410" s="74">
        <v>5.0690670885677642</v>
      </c>
      <c r="V410" s="73"/>
      <c r="W410" s="72">
        <v>18432.986122564711</v>
      </c>
      <c r="X410" s="72">
        <v>18356.606182298241</v>
      </c>
      <c r="Y410" s="73"/>
      <c r="Z410" s="74">
        <v>3.0600271219585653</v>
      </c>
      <c r="AA410" s="74">
        <v>3.0958058970997682</v>
      </c>
      <c r="AB410" s="73"/>
      <c r="AC410" s="72">
        <v>48738.670387057529</v>
      </c>
      <c r="AD410" s="72">
        <v>48889.336693070967</v>
      </c>
      <c r="AE410" s="73"/>
      <c r="AF410" s="74">
        <v>4.3589931851670318</v>
      </c>
      <c r="AG410" s="74">
        <v>4.5012285960478886</v>
      </c>
      <c r="AH410" s="73"/>
      <c r="AI410" s="72">
        <v>4590146.0469087474</v>
      </c>
      <c r="AJ410" s="72">
        <v>0</v>
      </c>
      <c r="AK410" s="73"/>
      <c r="AL410" s="74">
        <v>-1537.9783368616452</v>
      </c>
      <c r="AM410" s="74">
        <v>0</v>
      </c>
      <c r="AN410" s="73"/>
      <c r="AO410" s="72">
        <v>296087.23455723224</v>
      </c>
      <c r="AP410" s="72">
        <v>0</v>
      </c>
      <c r="AQ410" s="73"/>
      <c r="AR410" s="74">
        <v>-79.861214539107166</v>
      </c>
      <c r="AS410" s="74">
        <v>0</v>
      </c>
      <c r="AT410" s="73"/>
      <c r="AU410" s="72">
        <v>8241717.6781336768</v>
      </c>
      <c r="AV410" s="72">
        <v>0</v>
      </c>
      <c r="AW410" s="73"/>
      <c r="AX410" s="74">
        <v>-1538.3742873699</v>
      </c>
      <c r="AY410" s="74">
        <v>0</v>
      </c>
      <c r="AZ410" s="73"/>
      <c r="BA410" s="72">
        <v>666780.92191648274</v>
      </c>
      <c r="BB410" s="72">
        <v>0</v>
      </c>
      <c r="BC410" s="73"/>
      <c r="BD410" s="74">
        <v>-312.34123240296123</v>
      </c>
      <c r="BE410" s="74">
        <v>0</v>
      </c>
      <c r="BF410" s="73"/>
      <c r="BG410" s="72">
        <v>-2407866.530778273</v>
      </c>
      <c r="BH410" s="72">
        <v>0</v>
      </c>
      <c r="BI410" s="73"/>
      <c r="BJ410" s="74">
        <v>-2273.1285740885214</v>
      </c>
      <c r="BK410" s="74">
        <v>0</v>
      </c>
      <c r="BL410" s="73"/>
      <c r="BM410" s="72">
        <v>11386865.350737866</v>
      </c>
      <c r="BN410" s="72">
        <v>0</v>
      </c>
      <c r="BO410" s="73"/>
      <c r="BP410" s="74">
        <v>-5741.6836452621355</v>
      </c>
      <c r="BQ410" s="74">
        <v>0</v>
      </c>
      <c r="BS410" s="109">
        <f t="shared" si="180"/>
        <v>116347.05263140646</v>
      </c>
      <c r="BT410" s="109">
        <f t="shared" si="181"/>
        <v>116678.50233534584</v>
      </c>
      <c r="BV410" s="58">
        <f t="array" ref="BV410">SUM(IF(BS410:BT410&gt;=BS410, 1))</f>
        <v>2</v>
      </c>
      <c r="BW410" s="58">
        <f t="array" ref="BW410">SUM(IF(BS410:BT410&gt;=BT410, 1))</f>
        <v>1</v>
      </c>
      <c r="BY410" s="109">
        <f t="shared" si="182"/>
        <v>134080.10043784889</v>
      </c>
      <c r="BZ410" s="109">
        <f t="shared" si="183"/>
        <v>134361.571434818</v>
      </c>
      <c r="CB410" s="58">
        <f t="array" ref="CB410">SUM(IF(BY410:BZ410&gt;=BY410, 1))</f>
        <v>2</v>
      </c>
      <c r="CC410" s="58">
        <f t="array" ref="CC410">SUM(IF(BY410:BZ410&gt;=BZ410, 1))</f>
        <v>1</v>
      </c>
      <c r="CE410" s="109">
        <f t="shared" si="184"/>
        <v>98733.127712605929</v>
      </c>
      <c r="CF410" s="109">
        <f t="shared" si="185"/>
        <v>100436.91580893553</v>
      </c>
      <c r="CH410" s="58">
        <f t="array" ref="CH410">SUM(IF(CE410:CF410&gt;=CE410, 1))</f>
        <v>2</v>
      </c>
      <c r="CI410" s="58">
        <f t="array" ref="CI410">SUM(IF(CE410:CF410&gt;=CF410, 1))</f>
        <v>1</v>
      </c>
      <c r="CK410" s="109">
        <f t="shared" si="186"/>
        <v>42767.556316606599</v>
      </c>
      <c r="CL410" s="109">
        <f t="shared" si="187"/>
        <v>43559.511759697125</v>
      </c>
      <c r="CN410" s="58">
        <f t="array" ref="CN410">SUM(IF(CK410:CL410&gt;=CK410, 1))</f>
        <v>2</v>
      </c>
      <c r="CO410" s="58">
        <f t="array" ref="CO410">SUM(IF(CK410:CL410&gt;=CL410, 1))</f>
        <v>1</v>
      </c>
      <c r="CQ410" s="109" cm="1">
        <f t="array" ref="CQ410">AF410*WTP-AC410</f>
        <v>38441.193316283112</v>
      </c>
      <c r="CR410" s="109">
        <f t="shared" si="188"/>
        <v>41135.235227886798</v>
      </c>
      <c r="CT410" s="58">
        <f t="array" ref="CT410">SUM(IF(CQ410:CR410&gt;=CQ410, 1))</f>
        <v>2</v>
      </c>
      <c r="CU410" s="58">
        <f t="array" ref="CU410">SUM(IF(CQ410:CR410&gt;=CR410, 1))</f>
        <v>1</v>
      </c>
      <c r="CW410" s="109">
        <f t="shared" si="189"/>
        <v>-35349712.784141652</v>
      </c>
      <c r="CX410" s="109">
        <f t="shared" si="190"/>
        <v>0</v>
      </c>
      <c r="CZ410" s="58">
        <f t="array" ref="CZ410">SUM(IF(CW410:CX410&gt;=CW410, 1))</f>
        <v>2</v>
      </c>
      <c r="DA410" s="58">
        <f t="array" ref="DA410">SUM(IF(CW410:CX410&gt;=CX410, 1))</f>
        <v>1</v>
      </c>
      <c r="DC410" s="109">
        <f t="shared" si="191"/>
        <v>-1893311.5253393757</v>
      </c>
      <c r="DD410" s="109">
        <f t="shared" si="192"/>
        <v>0</v>
      </c>
      <c r="DF410" s="58">
        <f t="array" ref="DF410">SUM(IF(DC410:DD410&gt;=DC410, 1))</f>
        <v>2</v>
      </c>
      <c r="DG410" s="58">
        <f t="array" ref="DG410">SUM(IF(DC410:DD410&gt;=DD410, 1))</f>
        <v>1</v>
      </c>
      <c r="DI410" s="109">
        <f t="shared" si="193"/>
        <v>-39009203.425531678</v>
      </c>
      <c r="DJ410" s="109">
        <f t="shared" si="194"/>
        <v>0</v>
      </c>
      <c r="DL410" s="58">
        <f t="array" ref="DL410">SUM(IF(DI410:DJ410&gt;=DI410, 1))</f>
        <v>2</v>
      </c>
      <c r="DM410" s="58">
        <f t="array" ref="DM410">SUM(IF(DI410:DJ410&gt;=DJ410, 1))</f>
        <v>1</v>
      </c>
      <c r="DO410" s="109">
        <f t="shared" si="195"/>
        <v>-6913605.5699757077</v>
      </c>
      <c r="DP410" s="109">
        <f t="shared" si="196"/>
        <v>0</v>
      </c>
      <c r="DR410" s="58">
        <f t="array" ref="DR410">SUM(IF(DO410:DP410&gt;=DO410, 1))</f>
        <v>2</v>
      </c>
      <c r="DS410" s="58">
        <f t="array" ref="DS410">SUM(IF(DO410:DP410&gt;=DP410, 1))</f>
        <v>1</v>
      </c>
      <c r="DU410" s="109">
        <f t="shared" si="197"/>
        <v>-43054704.950992152</v>
      </c>
      <c r="DV410" s="109">
        <f t="shared" si="198"/>
        <v>0</v>
      </c>
      <c r="DX410" s="58">
        <f t="array" ref="DX410">SUM(IF(DU410:DV410&gt;=DU410, 1))</f>
        <v>2</v>
      </c>
      <c r="DY410" s="58">
        <f t="array" ref="DY410">SUM(IF(DU410:DV410&gt;=DV410, 1))</f>
        <v>1</v>
      </c>
      <c r="EA410" s="109">
        <f t="shared" si="199"/>
        <v>-126220538.25598058</v>
      </c>
      <c r="EB410" s="109">
        <f t="shared" si="200"/>
        <v>0</v>
      </c>
      <c r="ED410" s="58">
        <f t="array" ref="ED410">SUM(IF(EA410:EB410&gt;=EA410, 1))</f>
        <v>2</v>
      </c>
      <c r="EE410" s="58">
        <f t="array" ref="EE410">SUM(IF(EA410:EB410&gt;=EB410, 1))</f>
        <v>1</v>
      </c>
    </row>
    <row r="411" spans="4:135" ht="12" customHeight="1" x14ac:dyDescent="0.25">
      <c r="D411" s="11">
        <v>395</v>
      </c>
      <c r="E411" s="72">
        <v>179.78312278703143</v>
      </c>
      <c r="F411" s="72">
        <v>163.7244015747163</v>
      </c>
      <c r="G411" s="73"/>
      <c r="H411" s="74">
        <v>5.9213066466995246</v>
      </c>
      <c r="I411" s="74">
        <v>5.9349238467660745</v>
      </c>
      <c r="J411" s="73"/>
      <c r="K411" s="72">
        <v>192.94588399968291</v>
      </c>
      <c r="L411" s="72">
        <v>176.50249815454208</v>
      </c>
      <c r="M411" s="73"/>
      <c r="N411" s="74">
        <v>6.7011518848525382</v>
      </c>
      <c r="O411" s="74">
        <v>6.7125582208095294</v>
      </c>
      <c r="P411" s="73"/>
      <c r="Q411" s="72">
        <v>2111.6628185504392</v>
      </c>
      <c r="R411" s="72">
        <v>1625.6496895433311</v>
      </c>
      <c r="S411" s="73"/>
      <c r="T411" s="74">
        <v>4.8272087564367485</v>
      </c>
      <c r="U411" s="74">
        <v>4.8885396194268784</v>
      </c>
      <c r="V411" s="73"/>
      <c r="W411" s="72">
        <v>13079.523045860926</v>
      </c>
      <c r="X411" s="72">
        <v>13109.56873546006</v>
      </c>
      <c r="Y411" s="73"/>
      <c r="Z411" s="74">
        <v>2.9138827457040355</v>
      </c>
      <c r="AA411" s="74">
        <v>2.9651883326252766</v>
      </c>
      <c r="AB411" s="73"/>
      <c r="AC411" s="72">
        <v>48644.552028070793</v>
      </c>
      <c r="AD411" s="72">
        <v>48585.420620283287</v>
      </c>
      <c r="AE411" s="73"/>
      <c r="AF411" s="74">
        <v>4.640947767918008</v>
      </c>
      <c r="AG411" s="74">
        <v>4.732138794343963</v>
      </c>
      <c r="AH411" s="73"/>
      <c r="AI411" s="72">
        <v>1739637.2369547111</v>
      </c>
      <c r="AJ411" s="72">
        <v>0</v>
      </c>
      <c r="AK411" s="73"/>
      <c r="AL411" s="74">
        <v>-1475.147864243753</v>
      </c>
      <c r="AM411" s="74">
        <v>0</v>
      </c>
      <c r="AN411" s="73"/>
      <c r="AO411" s="72">
        <v>107831.91615165125</v>
      </c>
      <c r="AP411" s="72">
        <v>0</v>
      </c>
      <c r="AQ411" s="73"/>
      <c r="AR411" s="74">
        <v>-74.800109545279597</v>
      </c>
      <c r="AS411" s="74">
        <v>0</v>
      </c>
      <c r="AT411" s="73"/>
      <c r="AU411" s="72">
        <v>11423505.402856976</v>
      </c>
      <c r="AV411" s="72">
        <v>0</v>
      </c>
      <c r="AW411" s="73"/>
      <c r="AX411" s="74">
        <v>-1441.5525073590825</v>
      </c>
      <c r="AY411" s="74">
        <v>0</v>
      </c>
      <c r="AZ411" s="73"/>
      <c r="BA411" s="72">
        <v>-275669.3864189185</v>
      </c>
      <c r="BB411" s="72">
        <v>0</v>
      </c>
      <c r="BC411" s="73"/>
      <c r="BD411" s="74">
        <v>-470.7290747904413</v>
      </c>
      <c r="BE411" s="74">
        <v>0</v>
      </c>
      <c r="BF411" s="73"/>
      <c r="BG411" s="72">
        <v>906071.98585051822</v>
      </c>
      <c r="BH411" s="72">
        <v>0</v>
      </c>
      <c r="BI411" s="73"/>
      <c r="BJ411" s="74">
        <v>-1397.3222944806873</v>
      </c>
      <c r="BK411" s="74">
        <v>0</v>
      </c>
      <c r="BL411" s="73"/>
      <c r="BM411" s="72">
        <v>13901377.155394938</v>
      </c>
      <c r="BN411" s="72">
        <v>0</v>
      </c>
      <c r="BO411" s="73"/>
      <c r="BP411" s="74">
        <v>-4859.5518504192432</v>
      </c>
      <c r="BQ411" s="74">
        <v>0</v>
      </c>
      <c r="BS411" s="109">
        <f t="shared" si="180"/>
        <v>118246.34981120346</v>
      </c>
      <c r="BT411" s="109">
        <f t="shared" si="181"/>
        <v>118534.75253374678</v>
      </c>
      <c r="BV411" s="58">
        <f t="array" ref="BV411">SUM(IF(BS411:BT411&gt;=BS411, 1))</f>
        <v>2</v>
      </c>
      <c r="BW411" s="58">
        <f t="array" ref="BW411">SUM(IF(BS411:BT411&gt;=BT411, 1))</f>
        <v>1</v>
      </c>
      <c r="BY411" s="109">
        <f t="shared" si="182"/>
        <v>133830.09181305108</v>
      </c>
      <c r="BZ411" s="109">
        <f t="shared" si="183"/>
        <v>134074.66191803606</v>
      </c>
      <c r="CB411" s="58">
        <f t="array" ref="CB411">SUM(IF(BY411:BZ411&gt;=BY411, 1))</f>
        <v>2</v>
      </c>
      <c r="CC411" s="58">
        <f t="array" ref="CC411">SUM(IF(BY411:BZ411&gt;=BZ411, 1))</f>
        <v>1</v>
      </c>
      <c r="CE411" s="109">
        <f t="shared" si="184"/>
        <v>94432.512310184538</v>
      </c>
      <c r="CF411" s="109">
        <f t="shared" si="185"/>
        <v>96145.142698994227</v>
      </c>
      <c r="CH411" s="58">
        <f t="array" ref="CH411">SUM(IF(CE411:CF411&gt;=CE411, 1))</f>
        <v>2</v>
      </c>
      <c r="CI411" s="58">
        <f t="array" ref="CI411">SUM(IF(CE411:CF411&gt;=CF411, 1))</f>
        <v>1</v>
      </c>
      <c r="CK411" s="109">
        <f t="shared" si="186"/>
        <v>45198.131868219789</v>
      </c>
      <c r="CL411" s="109">
        <f t="shared" si="187"/>
        <v>46194.197917045472</v>
      </c>
      <c r="CN411" s="58">
        <f t="array" ref="CN411">SUM(IF(CK411:CL411&gt;=CK411, 1))</f>
        <v>2</v>
      </c>
      <c r="CO411" s="58">
        <f t="array" ref="CO411">SUM(IF(CK411:CL411&gt;=CL411, 1))</f>
        <v>1</v>
      </c>
      <c r="CQ411" s="109" cm="1">
        <f t="array" ref="CQ411">AF411*WTP-AC411</f>
        <v>44174.403330289373</v>
      </c>
      <c r="CR411" s="109">
        <f t="shared" si="188"/>
        <v>46057.355266595972</v>
      </c>
      <c r="CT411" s="58">
        <f t="array" ref="CT411">SUM(IF(CQ411:CR411&gt;=CQ411, 1))</f>
        <v>2</v>
      </c>
      <c r="CU411" s="58">
        <f t="array" ref="CU411">SUM(IF(CQ411:CR411&gt;=CR411, 1))</f>
        <v>1</v>
      </c>
      <c r="CW411" s="109">
        <f t="shared" si="189"/>
        <v>-31242594.521829773</v>
      </c>
      <c r="CX411" s="109">
        <f t="shared" si="190"/>
        <v>0</v>
      </c>
      <c r="CZ411" s="58">
        <f t="array" ref="CZ411">SUM(IF(CW411:CX411&gt;=CW411, 1))</f>
        <v>2</v>
      </c>
      <c r="DA411" s="58">
        <f t="array" ref="DA411">SUM(IF(CW411:CX411&gt;=CX411, 1))</f>
        <v>1</v>
      </c>
      <c r="DC411" s="109">
        <f t="shared" si="191"/>
        <v>-1603834.1070572431</v>
      </c>
      <c r="DD411" s="109">
        <f t="shared" si="192"/>
        <v>0</v>
      </c>
      <c r="DF411" s="58">
        <f t="array" ref="DF411">SUM(IF(DC411:DD411&gt;=DC411, 1))</f>
        <v>2</v>
      </c>
      <c r="DG411" s="58">
        <f t="array" ref="DG411">SUM(IF(DC411:DD411&gt;=DD411, 1))</f>
        <v>1</v>
      </c>
      <c r="DI411" s="109">
        <f t="shared" si="193"/>
        <v>-40254555.550038621</v>
      </c>
      <c r="DJ411" s="109">
        <f t="shared" si="194"/>
        <v>0</v>
      </c>
      <c r="DL411" s="58">
        <f t="array" ref="DL411">SUM(IF(DI411:DJ411&gt;=DI411, 1))</f>
        <v>2</v>
      </c>
      <c r="DM411" s="58">
        <f t="array" ref="DM411">SUM(IF(DI411:DJ411&gt;=DJ411, 1))</f>
        <v>1</v>
      </c>
      <c r="DO411" s="109">
        <f t="shared" si="195"/>
        <v>-9138912.1093899086</v>
      </c>
      <c r="DP411" s="109">
        <f t="shared" si="196"/>
        <v>0</v>
      </c>
      <c r="DR411" s="58">
        <f t="array" ref="DR411">SUM(IF(DO411:DP411&gt;=DO411, 1))</f>
        <v>2</v>
      </c>
      <c r="DS411" s="58">
        <f t="array" ref="DS411">SUM(IF(DO411:DP411&gt;=DP411, 1))</f>
        <v>1</v>
      </c>
      <c r="DU411" s="109">
        <f t="shared" si="197"/>
        <v>-28852517.875464264</v>
      </c>
      <c r="DV411" s="109">
        <f t="shared" si="198"/>
        <v>0</v>
      </c>
      <c r="DX411" s="58">
        <f t="array" ref="DX411">SUM(IF(DU411:DV411&gt;=DU411, 1))</f>
        <v>2</v>
      </c>
      <c r="DY411" s="58">
        <f t="array" ref="DY411">SUM(IF(DU411:DV411&gt;=DV411, 1))</f>
        <v>1</v>
      </c>
      <c r="EA411" s="109">
        <f t="shared" si="199"/>
        <v>-111092414.16377981</v>
      </c>
      <c r="EB411" s="109">
        <f t="shared" si="200"/>
        <v>0</v>
      </c>
      <c r="ED411" s="58">
        <f t="array" ref="ED411">SUM(IF(EA411:EB411&gt;=EA411, 1))</f>
        <v>2</v>
      </c>
      <c r="EE411" s="58">
        <f t="array" ref="EE411">SUM(IF(EA411:EB411&gt;=EB411, 1))</f>
        <v>1</v>
      </c>
    </row>
    <row r="412" spans="4:135" ht="12" customHeight="1" x14ac:dyDescent="0.25">
      <c r="D412" s="11">
        <v>396</v>
      </c>
      <c r="E412" s="72">
        <v>251.81985208080437</v>
      </c>
      <c r="F412" s="72">
        <v>232.92010181096873</v>
      </c>
      <c r="G412" s="73"/>
      <c r="H412" s="74">
        <v>5.7942775974479046</v>
      </c>
      <c r="I412" s="74">
        <v>5.8086639998905474</v>
      </c>
      <c r="J412" s="73"/>
      <c r="K412" s="72">
        <v>270.43970939333775</v>
      </c>
      <c r="L412" s="72">
        <v>251.05776749648462</v>
      </c>
      <c r="M412" s="73"/>
      <c r="N412" s="74">
        <v>6.6838065036097518</v>
      </c>
      <c r="O412" s="74">
        <v>6.6956066565343422</v>
      </c>
      <c r="P412" s="73"/>
      <c r="Q412" s="72">
        <v>1978.531080558824</v>
      </c>
      <c r="R412" s="72">
        <v>1146.2683549955937</v>
      </c>
      <c r="S412" s="73"/>
      <c r="T412" s="74">
        <v>4.6928713600481</v>
      </c>
      <c r="U412" s="74">
        <v>4.8189288493936298</v>
      </c>
      <c r="V412" s="73"/>
      <c r="W412" s="72">
        <v>14935.696770624851</v>
      </c>
      <c r="X412" s="72">
        <v>14942.100645837576</v>
      </c>
      <c r="Y412" s="73"/>
      <c r="Z412" s="74">
        <v>2.7952209580503489</v>
      </c>
      <c r="AA412" s="74">
        <v>2.8400570684842545</v>
      </c>
      <c r="AB412" s="73"/>
      <c r="AC412" s="72">
        <v>50752.473528231712</v>
      </c>
      <c r="AD412" s="72">
        <v>50785.717353232292</v>
      </c>
      <c r="AE412" s="73"/>
      <c r="AF412" s="74">
        <v>4.8719059210092492</v>
      </c>
      <c r="AG412" s="74">
        <v>4.9230590177983826</v>
      </c>
      <c r="AH412" s="73"/>
      <c r="AI412" s="72">
        <v>2021498.52824502</v>
      </c>
      <c r="AJ412" s="72">
        <v>0</v>
      </c>
      <c r="AK412" s="73"/>
      <c r="AL412" s="74">
        <v>-1538.7553247705346</v>
      </c>
      <c r="AM412" s="74">
        <v>0</v>
      </c>
      <c r="AN412" s="73"/>
      <c r="AO412" s="72">
        <v>126016.8784620385</v>
      </c>
      <c r="AP412" s="72">
        <v>0</v>
      </c>
      <c r="AQ412" s="73"/>
      <c r="AR412" s="74">
        <v>-76.721849897455542</v>
      </c>
      <c r="AS412" s="74">
        <v>0</v>
      </c>
      <c r="AT412" s="73"/>
      <c r="AU412" s="72">
        <v>18935629.660806466</v>
      </c>
      <c r="AV412" s="72">
        <v>0</v>
      </c>
      <c r="AW412" s="73"/>
      <c r="AX412" s="74">
        <v>-2868.0581995338439</v>
      </c>
      <c r="AY412" s="74">
        <v>0</v>
      </c>
      <c r="AZ412" s="73"/>
      <c r="BA412" s="72">
        <v>-56605.603652119033</v>
      </c>
      <c r="BB412" s="72">
        <v>0</v>
      </c>
      <c r="BC412" s="73"/>
      <c r="BD412" s="74">
        <v>-396.31863710913979</v>
      </c>
      <c r="BE412" s="74">
        <v>0</v>
      </c>
      <c r="BF412" s="73"/>
      <c r="BG412" s="72">
        <v>-526083.99584729585</v>
      </c>
      <c r="BH412" s="72">
        <v>0</v>
      </c>
      <c r="BI412" s="73"/>
      <c r="BJ412" s="74">
        <v>-809.49847252298446</v>
      </c>
      <c r="BK412" s="74">
        <v>0</v>
      </c>
      <c r="BL412" s="73"/>
      <c r="BM412" s="72">
        <v>20500455.46801411</v>
      </c>
      <c r="BN412" s="72">
        <v>0</v>
      </c>
      <c r="BO412" s="73"/>
      <c r="BP412" s="74">
        <v>-5689.3524838339581</v>
      </c>
      <c r="BQ412" s="74">
        <v>0</v>
      </c>
      <c r="BS412" s="109">
        <f t="shared" si="180"/>
        <v>115633.73209687728</v>
      </c>
      <c r="BT412" s="109">
        <f t="shared" si="181"/>
        <v>115940.35989599998</v>
      </c>
      <c r="BV412" s="58">
        <f t="array" ref="BV412">SUM(IF(BS412:BT412&gt;=BS412, 1))</f>
        <v>2</v>
      </c>
      <c r="BW412" s="58">
        <f t="array" ref="BW412">SUM(IF(BS412:BT412&gt;=BT412, 1))</f>
        <v>1</v>
      </c>
      <c r="BY412" s="109">
        <f t="shared" si="182"/>
        <v>133405.69036280169</v>
      </c>
      <c r="BZ412" s="109">
        <f t="shared" si="183"/>
        <v>133661.07536319038</v>
      </c>
      <c r="CB412" s="58">
        <f t="array" ref="CB412">SUM(IF(BY412:BZ412&gt;=BY412, 1))</f>
        <v>2</v>
      </c>
      <c r="CC412" s="58">
        <f t="array" ref="CC412">SUM(IF(BY412:BZ412&gt;=BZ412, 1))</f>
        <v>1</v>
      </c>
      <c r="CE412" s="109">
        <f t="shared" si="184"/>
        <v>91878.89612040318</v>
      </c>
      <c r="CF412" s="109">
        <f t="shared" si="185"/>
        <v>95232.308632877</v>
      </c>
      <c r="CH412" s="58">
        <f t="array" ref="CH412">SUM(IF(CE412:CF412&gt;=CE412, 1))</f>
        <v>2</v>
      </c>
      <c r="CI412" s="58">
        <f t="array" ref="CI412">SUM(IF(CE412:CF412&gt;=CF412, 1))</f>
        <v>1</v>
      </c>
      <c r="CK412" s="109">
        <f t="shared" si="186"/>
        <v>40968.722390382129</v>
      </c>
      <c r="CL412" s="109">
        <f t="shared" si="187"/>
        <v>41859.040723847516</v>
      </c>
      <c r="CN412" s="58">
        <f t="array" ref="CN412">SUM(IF(CK412:CL412&gt;=CK412, 1))</f>
        <v>2</v>
      </c>
      <c r="CO412" s="58">
        <f t="array" ref="CO412">SUM(IF(CK412:CL412&gt;=CL412, 1))</f>
        <v>1</v>
      </c>
      <c r="CQ412" s="109" cm="1">
        <f t="array" ref="CQ412">AF412*WTP-AC412</f>
        <v>46685.64489195327</v>
      </c>
      <c r="CR412" s="109">
        <f t="shared" si="188"/>
        <v>47675.463002735356</v>
      </c>
      <c r="CT412" s="58">
        <f t="array" ref="CT412">SUM(IF(CQ412:CR412&gt;=CQ412, 1))</f>
        <v>2</v>
      </c>
      <c r="CU412" s="58">
        <f t="array" ref="CU412">SUM(IF(CQ412:CR412&gt;=CR412, 1))</f>
        <v>1</v>
      </c>
      <c r="CW412" s="109">
        <f t="shared" si="189"/>
        <v>-32796605.023655713</v>
      </c>
      <c r="CX412" s="109">
        <f t="shared" si="190"/>
        <v>0</v>
      </c>
      <c r="CZ412" s="58">
        <f t="array" ref="CZ412">SUM(IF(CW412:CX412&gt;=CW412, 1))</f>
        <v>2</v>
      </c>
      <c r="DA412" s="58">
        <f t="array" ref="DA412">SUM(IF(CW412:CX412&gt;=CX412, 1))</f>
        <v>1</v>
      </c>
      <c r="DC412" s="109">
        <f t="shared" si="191"/>
        <v>-1660453.8764111493</v>
      </c>
      <c r="DD412" s="109">
        <f t="shared" si="192"/>
        <v>0</v>
      </c>
      <c r="DF412" s="58">
        <f t="array" ref="DF412">SUM(IF(DC412:DD412&gt;=DC412, 1))</f>
        <v>2</v>
      </c>
      <c r="DG412" s="58">
        <f t="array" ref="DG412">SUM(IF(DC412:DD412&gt;=DD412, 1))</f>
        <v>1</v>
      </c>
      <c r="DI412" s="109">
        <f t="shared" si="193"/>
        <v>-76296793.651483342</v>
      </c>
      <c r="DJ412" s="109">
        <f t="shared" si="194"/>
        <v>0</v>
      </c>
      <c r="DL412" s="58">
        <f t="array" ref="DL412">SUM(IF(DI412:DJ412&gt;=DI412, 1))</f>
        <v>2</v>
      </c>
      <c r="DM412" s="58">
        <f t="array" ref="DM412">SUM(IF(DI412:DJ412&gt;=DJ412, 1))</f>
        <v>1</v>
      </c>
      <c r="DO412" s="109">
        <f t="shared" si="195"/>
        <v>-7869767.1385306772</v>
      </c>
      <c r="DP412" s="109">
        <f t="shared" si="196"/>
        <v>0</v>
      </c>
      <c r="DR412" s="58">
        <f t="array" ref="DR412">SUM(IF(DO412:DP412&gt;=DO412, 1))</f>
        <v>2</v>
      </c>
      <c r="DS412" s="58">
        <f t="array" ref="DS412">SUM(IF(DO412:DP412&gt;=DP412, 1))</f>
        <v>1</v>
      </c>
      <c r="DU412" s="109">
        <f t="shared" si="197"/>
        <v>-15663885.454612393</v>
      </c>
      <c r="DV412" s="109">
        <f t="shared" si="198"/>
        <v>0</v>
      </c>
      <c r="DX412" s="58">
        <f t="array" ref="DX412">SUM(IF(DU412:DV412&gt;=DU412, 1))</f>
        <v>2</v>
      </c>
      <c r="DY412" s="58">
        <f t="array" ref="DY412">SUM(IF(DU412:DV412&gt;=DV412, 1))</f>
        <v>1</v>
      </c>
      <c r="EA412" s="109">
        <f t="shared" si="199"/>
        <v>-134287505.14469329</v>
      </c>
      <c r="EB412" s="109">
        <f t="shared" si="200"/>
        <v>0</v>
      </c>
      <c r="ED412" s="58">
        <f t="array" ref="ED412">SUM(IF(EA412:EB412&gt;=EA412, 1))</f>
        <v>2</v>
      </c>
      <c r="EE412" s="58">
        <f t="array" ref="EE412">SUM(IF(EA412:EB412&gt;=EB412, 1))</f>
        <v>1</v>
      </c>
    </row>
    <row r="413" spans="4:135" ht="12" customHeight="1" x14ac:dyDescent="0.25">
      <c r="D413" s="11">
        <v>397</v>
      </c>
      <c r="E413" s="72">
        <v>355.40264820539903</v>
      </c>
      <c r="F413" s="72">
        <v>321.05705535742169</v>
      </c>
      <c r="G413" s="73"/>
      <c r="H413" s="74">
        <v>5.8930089989364882</v>
      </c>
      <c r="I413" s="74">
        <v>5.9083023993745156</v>
      </c>
      <c r="J413" s="73"/>
      <c r="K413" s="72">
        <v>381.22221516831547</v>
      </c>
      <c r="L413" s="72">
        <v>346.07428898508778</v>
      </c>
      <c r="M413" s="73"/>
      <c r="N413" s="74">
        <v>6.6539896978741906</v>
      </c>
      <c r="O413" s="74">
        <v>6.6673894928703392</v>
      </c>
      <c r="P413" s="73"/>
      <c r="Q413" s="72">
        <v>2853.8381568657805</v>
      </c>
      <c r="R413" s="72">
        <v>1603.3319123040837</v>
      </c>
      <c r="S413" s="73"/>
      <c r="T413" s="74">
        <v>5.0345002753249677</v>
      </c>
      <c r="U413" s="74">
        <v>5.1338630987448797</v>
      </c>
      <c r="V413" s="73"/>
      <c r="W413" s="72">
        <v>14146.522220296361</v>
      </c>
      <c r="X413" s="72">
        <v>14174.714135361819</v>
      </c>
      <c r="Y413" s="73"/>
      <c r="Z413" s="74">
        <v>2.9503750330744967</v>
      </c>
      <c r="AA413" s="74">
        <v>3.0035955864088186</v>
      </c>
      <c r="AB413" s="73"/>
      <c r="AC413" s="72">
        <v>51142.620518374737</v>
      </c>
      <c r="AD413" s="72">
        <v>51140.928306000882</v>
      </c>
      <c r="AE413" s="73"/>
      <c r="AF413" s="74">
        <v>4.2986955628158698</v>
      </c>
      <c r="AG413" s="74">
        <v>4.376606716630401</v>
      </c>
      <c r="AH413" s="73"/>
      <c r="AI413" s="72">
        <v>3704736.6115034078</v>
      </c>
      <c r="AJ413" s="72">
        <v>0</v>
      </c>
      <c r="AK413" s="73"/>
      <c r="AL413" s="74">
        <v>-1649.6445633629248</v>
      </c>
      <c r="AM413" s="74">
        <v>0</v>
      </c>
      <c r="AN413" s="73"/>
      <c r="AO413" s="72">
        <v>245967.90773026017</v>
      </c>
      <c r="AP413" s="72">
        <v>0</v>
      </c>
      <c r="AQ413" s="73"/>
      <c r="AR413" s="74">
        <v>-93.772802470203032</v>
      </c>
      <c r="AS413" s="74">
        <v>0</v>
      </c>
      <c r="AT413" s="73"/>
      <c r="AU413" s="72">
        <v>29168705.38815948</v>
      </c>
      <c r="AV413" s="72">
        <v>0</v>
      </c>
      <c r="AW413" s="73"/>
      <c r="AX413" s="74">
        <v>-2317.6892842202292</v>
      </c>
      <c r="AY413" s="74">
        <v>0</v>
      </c>
      <c r="AZ413" s="73"/>
      <c r="BA413" s="72">
        <v>-259091.80750710971</v>
      </c>
      <c r="BB413" s="72">
        <v>0</v>
      </c>
      <c r="BC413" s="73"/>
      <c r="BD413" s="74">
        <v>-489.11219148830122</v>
      </c>
      <c r="BE413" s="74">
        <v>0</v>
      </c>
      <c r="BF413" s="73"/>
      <c r="BG413" s="72">
        <v>27323.950339835184</v>
      </c>
      <c r="BH413" s="72">
        <v>0</v>
      </c>
      <c r="BI413" s="73"/>
      <c r="BJ413" s="74">
        <v>-1258.0220607286044</v>
      </c>
      <c r="BK413" s="74">
        <v>0</v>
      </c>
      <c r="BL413" s="73"/>
      <c r="BM413" s="72">
        <v>32887642.050225876</v>
      </c>
      <c r="BN413" s="72">
        <v>0</v>
      </c>
      <c r="BO413" s="73"/>
      <c r="BP413" s="74">
        <v>-5808.2409022702632</v>
      </c>
      <c r="BQ413" s="74">
        <v>0</v>
      </c>
      <c r="BS413" s="109">
        <f t="shared" si="180"/>
        <v>117504.77733052436</v>
      </c>
      <c r="BT413" s="109">
        <f t="shared" si="181"/>
        <v>117844.99093213289</v>
      </c>
      <c r="BV413" s="58">
        <f t="array" ref="BV413">SUM(IF(BS413:BT413&gt;=BS413, 1))</f>
        <v>2</v>
      </c>
      <c r="BW413" s="58">
        <f t="array" ref="BW413">SUM(IF(BS413:BT413&gt;=BT413, 1))</f>
        <v>1</v>
      </c>
      <c r="BY413" s="109">
        <f t="shared" si="182"/>
        <v>132698.57174231549</v>
      </c>
      <c r="BZ413" s="109">
        <f t="shared" si="183"/>
        <v>133001.7155684217</v>
      </c>
      <c r="CB413" s="58">
        <f t="array" ref="CB413">SUM(IF(BY413:BZ413&gt;=BY413, 1))</f>
        <v>2</v>
      </c>
      <c r="CC413" s="58">
        <f t="array" ref="CC413">SUM(IF(BY413:BZ413&gt;=BZ413, 1))</f>
        <v>1</v>
      </c>
      <c r="CE413" s="109">
        <f t="shared" si="184"/>
        <v>97836.167349633572</v>
      </c>
      <c r="CF413" s="109">
        <f t="shared" si="185"/>
        <v>101073.93006259351</v>
      </c>
      <c r="CH413" s="58">
        <f t="array" ref="CH413">SUM(IF(CE413:CF413&gt;=CE413, 1))</f>
        <v>2</v>
      </c>
      <c r="CI413" s="58">
        <f t="array" ref="CI413">SUM(IF(CE413:CF413&gt;=CF413, 1))</f>
        <v>1</v>
      </c>
      <c r="CK413" s="109">
        <f t="shared" si="186"/>
        <v>44860.978441193569</v>
      </c>
      <c r="CL413" s="109">
        <f t="shared" si="187"/>
        <v>45897.197592814555</v>
      </c>
      <c r="CN413" s="58">
        <f t="array" ref="CN413">SUM(IF(CK413:CL413&gt;=CK413, 1))</f>
        <v>2</v>
      </c>
      <c r="CO413" s="58">
        <f t="array" ref="CO413">SUM(IF(CK413:CL413&gt;=CL413, 1))</f>
        <v>1</v>
      </c>
      <c r="CQ413" s="109" cm="1">
        <f t="array" ref="CQ413">AF413*WTP-AC413</f>
        <v>34831.290737942662</v>
      </c>
      <c r="CR413" s="109">
        <f t="shared" si="188"/>
        <v>36391.206026607142</v>
      </c>
      <c r="CT413" s="58">
        <f t="array" ref="CT413">SUM(IF(CQ413:CR413&gt;=CQ413, 1))</f>
        <v>2</v>
      </c>
      <c r="CU413" s="58">
        <f t="array" ref="CU413">SUM(IF(CQ413:CR413&gt;=CR413, 1))</f>
        <v>1</v>
      </c>
      <c r="CW413" s="109">
        <f t="shared" si="189"/>
        <v>-36697627.878761902</v>
      </c>
      <c r="CX413" s="109">
        <f t="shared" si="190"/>
        <v>0</v>
      </c>
      <c r="CZ413" s="58">
        <f t="array" ref="CZ413">SUM(IF(CW413:CX413&gt;=CW413, 1))</f>
        <v>2</v>
      </c>
      <c r="DA413" s="58">
        <f t="array" ref="DA413">SUM(IF(CW413:CX413&gt;=CX413, 1))</f>
        <v>1</v>
      </c>
      <c r="DC413" s="109">
        <f t="shared" si="191"/>
        <v>-2121423.9571343209</v>
      </c>
      <c r="DD413" s="109">
        <f t="shared" si="192"/>
        <v>0</v>
      </c>
      <c r="DF413" s="58">
        <f t="array" ref="DF413">SUM(IF(DC413:DD413&gt;=DC413, 1))</f>
        <v>2</v>
      </c>
      <c r="DG413" s="58">
        <f t="array" ref="DG413">SUM(IF(DC413:DD413&gt;=DD413, 1))</f>
        <v>1</v>
      </c>
      <c r="DI413" s="109">
        <f t="shared" si="193"/>
        <v>-75522491.072564065</v>
      </c>
      <c r="DJ413" s="109">
        <f t="shared" si="194"/>
        <v>0</v>
      </c>
      <c r="DL413" s="58">
        <f t="array" ref="DL413">SUM(IF(DI413:DJ413&gt;=DI413, 1))</f>
        <v>2</v>
      </c>
      <c r="DM413" s="58">
        <f t="array" ref="DM413">SUM(IF(DI413:DJ413&gt;=DJ413, 1))</f>
        <v>1</v>
      </c>
      <c r="DO413" s="109">
        <f t="shared" si="195"/>
        <v>-9523152.022258915</v>
      </c>
      <c r="DP413" s="109">
        <f t="shared" si="196"/>
        <v>0</v>
      </c>
      <c r="DR413" s="58">
        <f t="array" ref="DR413">SUM(IF(DO413:DP413&gt;=DO413, 1))</f>
        <v>2</v>
      </c>
      <c r="DS413" s="58">
        <f t="array" ref="DS413">SUM(IF(DO413:DP413&gt;=DP413, 1))</f>
        <v>1</v>
      </c>
      <c r="DU413" s="109">
        <f t="shared" si="197"/>
        <v>-25187765.164911922</v>
      </c>
      <c r="DV413" s="109">
        <f t="shared" si="198"/>
        <v>0</v>
      </c>
      <c r="DX413" s="58">
        <f t="array" ref="DX413">SUM(IF(DU413:DV413&gt;=DU413, 1))</f>
        <v>2</v>
      </c>
      <c r="DY413" s="58">
        <f t="array" ref="DY413">SUM(IF(DU413:DV413&gt;=DV413, 1))</f>
        <v>1</v>
      </c>
      <c r="EA413" s="109">
        <f t="shared" si="199"/>
        <v>-149052460.09563115</v>
      </c>
      <c r="EB413" s="109">
        <f t="shared" si="200"/>
        <v>0</v>
      </c>
      <c r="ED413" s="58">
        <f t="array" ref="ED413">SUM(IF(EA413:EB413&gt;=EA413, 1))</f>
        <v>2</v>
      </c>
      <c r="EE413" s="58">
        <f t="array" ref="EE413">SUM(IF(EA413:EB413&gt;=EB413, 1))</f>
        <v>1</v>
      </c>
    </row>
    <row r="414" spans="4:135" ht="12" customHeight="1" x14ac:dyDescent="0.25">
      <c r="D414" s="11">
        <v>398</v>
      </c>
      <c r="E414" s="72">
        <v>275.74641523270009</v>
      </c>
      <c r="F414" s="72">
        <v>249.83803770043559</v>
      </c>
      <c r="G414" s="73"/>
      <c r="H414" s="74">
        <v>5.8405876890158259</v>
      </c>
      <c r="I414" s="74">
        <v>5.8580914474373111</v>
      </c>
      <c r="J414" s="73"/>
      <c r="K414" s="72">
        <v>295.90496238906746</v>
      </c>
      <c r="L414" s="72">
        <v>269.37082342562815</v>
      </c>
      <c r="M414" s="73"/>
      <c r="N414" s="74">
        <v>6.6367021426938217</v>
      </c>
      <c r="O414" s="74">
        <v>6.6516186763650413</v>
      </c>
      <c r="P414" s="73"/>
      <c r="Q414" s="72">
        <v>2675.9393806775538</v>
      </c>
      <c r="R414" s="72">
        <v>1859.9112675959182</v>
      </c>
      <c r="S414" s="73"/>
      <c r="T414" s="74">
        <v>4.7169125346222707</v>
      </c>
      <c r="U414" s="74">
        <v>4.7776481084401095</v>
      </c>
      <c r="V414" s="73"/>
      <c r="W414" s="72">
        <v>11000.993277142363</v>
      </c>
      <c r="X414" s="72">
        <v>10991.590446018303</v>
      </c>
      <c r="Y414" s="73"/>
      <c r="Z414" s="74">
        <v>2.669678482598671</v>
      </c>
      <c r="AA414" s="74">
        <v>2.707746747761349</v>
      </c>
      <c r="AB414" s="73"/>
      <c r="AC414" s="72">
        <v>50413.438924740833</v>
      </c>
      <c r="AD414" s="72">
        <v>50392.415189387691</v>
      </c>
      <c r="AE414" s="73"/>
      <c r="AF414" s="74">
        <v>4.5617965839919128</v>
      </c>
      <c r="AG414" s="74">
        <v>4.6878757909354389</v>
      </c>
      <c r="AH414" s="73"/>
      <c r="AI414" s="72">
        <v>2789644.3932234216</v>
      </c>
      <c r="AJ414" s="72">
        <v>0</v>
      </c>
      <c r="AK414" s="73"/>
      <c r="AL414" s="74">
        <v>-1884.690057492983</v>
      </c>
      <c r="AM414" s="74">
        <v>0</v>
      </c>
      <c r="AN414" s="73"/>
      <c r="AO414" s="72">
        <v>183771.19827172745</v>
      </c>
      <c r="AP414" s="72">
        <v>0</v>
      </c>
      <c r="AQ414" s="73"/>
      <c r="AR414" s="74">
        <v>-103.30952402856035</v>
      </c>
      <c r="AS414" s="74">
        <v>0</v>
      </c>
      <c r="AT414" s="73"/>
      <c r="AU414" s="72">
        <v>18767549.832521558</v>
      </c>
      <c r="AV414" s="72">
        <v>0</v>
      </c>
      <c r="AW414" s="73"/>
      <c r="AX414" s="74">
        <v>-1396.8365672213665</v>
      </c>
      <c r="AY414" s="74">
        <v>0</v>
      </c>
      <c r="AZ414" s="73"/>
      <c r="BA414" s="72">
        <v>84751.907319648337</v>
      </c>
      <c r="BB414" s="72">
        <v>0</v>
      </c>
      <c r="BC414" s="73"/>
      <c r="BD414" s="74">
        <v>-343.12623914211144</v>
      </c>
      <c r="BE414" s="74">
        <v>0</v>
      </c>
      <c r="BF414" s="73"/>
      <c r="BG414" s="72">
        <v>329487.42280740029</v>
      </c>
      <c r="BH414" s="72">
        <v>0</v>
      </c>
      <c r="BI414" s="73"/>
      <c r="BJ414" s="74">
        <v>-1975.9339749877856</v>
      </c>
      <c r="BK414" s="74">
        <v>0</v>
      </c>
      <c r="BL414" s="73"/>
      <c r="BM414" s="72">
        <v>22155204.754143756</v>
      </c>
      <c r="BN414" s="72">
        <v>0</v>
      </c>
      <c r="BO414" s="73"/>
      <c r="BP414" s="74">
        <v>-5703.896362872807</v>
      </c>
      <c r="BQ414" s="74">
        <v>0</v>
      </c>
      <c r="BS414" s="109">
        <f t="shared" si="180"/>
        <v>116536.00736508382</v>
      </c>
      <c r="BT414" s="109">
        <f t="shared" si="181"/>
        <v>116911.99091104578</v>
      </c>
      <c r="BV414" s="58">
        <f t="array" ref="BV414">SUM(IF(BS414:BT414&gt;=BS414, 1))</f>
        <v>2</v>
      </c>
      <c r="BW414" s="58">
        <f t="array" ref="BW414">SUM(IF(BS414:BT414&gt;=BT414, 1))</f>
        <v>1</v>
      </c>
      <c r="BY414" s="109">
        <f t="shared" si="182"/>
        <v>132438.13789148736</v>
      </c>
      <c r="BZ414" s="109">
        <f t="shared" si="183"/>
        <v>132763.00270387522</v>
      </c>
      <c r="CB414" s="58">
        <f t="array" ref="CB414">SUM(IF(BY414:BZ414&gt;=BY414, 1))</f>
        <v>2</v>
      </c>
      <c r="CC414" s="58">
        <f t="array" ref="CC414">SUM(IF(BY414:BZ414&gt;=BZ414, 1))</f>
        <v>1</v>
      </c>
      <c r="CE414" s="109">
        <f t="shared" si="184"/>
        <v>91662.311311767859</v>
      </c>
      <c r="CF414" s="109">
        <f t="shared" si="185"/>
        <v>93693.050901206268</v>
      </c>
      <c r="CH414" s="58">
        <f t="array" ref="CH414">SUM(IF(CE414:CF414&gt;=CE414, 1))</f>
        <v>2</v>
      </c>
      <c r="CI414" s="58">
        <f t="array" ref="CI414">SUM(IF(CE414:CF414&gt;=CF414, 1))</f>
        <v>1</v>
      </c>
      <c r="CK414" s="109">
        <f t="shared" si="186"/>
        <v>42392.576374831056</v>
      </c>
      <c r="CL414" s="109">
        <f t="shared" si="187"/>
        <v>43163.344509208677</v>
      </c>
      <c r="CN414" s="58">
        <f t="array" ref="CN414">SUM(IF(CK414:CL414&gt;=CK414, 1))</f>
        <v>2</v>
      </c>
      <c r="CO414" s="58">
        <f t="array" ref="CO414">SUM(IF(CK414:CL414&gt;=CL414, 1))</f>
        <v>1</v>
      </c>
      <c r="CQ414" s="109" cm="1">
        <f t="array" ref="CQ414">AF414*WTP-AC414</f>
        <v>40822.492755097417</v>
      </c>
      <c r="CR414" s="109">
        <f t="shared" si="188"/>
        <v>43365.100629321088</v>
      </c>
      <c r="CT414" s="58">
        <f t="array" ref="CT414">SUM(IF(CQ414:CR414&gt;=CQ414, 1))</f>
        <v>2</v>
      </c>
      <c r="CU414" s="58">
        <f t="array" ref="CU414">SUM(IF(CQ414:CR414&gt;=CR414, 1))</f>
        <v>1</v>
      </c>
      <c r="CW414" s="109">
        <f t="shared" si="189"/>
        <v>-40483445.543083079</v>
      </c>
      <c r="CX414" s="109">
        <f t="shared" si="190"/>
        <v>0</v>
      </c>
      <c r="CZ414" s="58">
        <f t="array" ref="CZ414">SUM(IF(CW414:CX414&gt;=CW414, 1))</f>
        <v>2</v>
      </c>
      <c r="DA414" s="58">
        <f t="array" ref="DA414">SUM(IF(CW414:CX414&gt;=CX414, 1))</f>
        <v>1</v>
      </c>
      <c r="DC414" s="109">
        <f t="shared" si="191"/>
        <v>-2249961.6788429343</v>
      </c>
      <c r="DD414" s="109">
        <f t="shared" si="192"/>
        <v>0</v>
      </c>
      <c r="DF414" s="58">
        <f t="array" ref="DF414">SUM(IF(DC414:DD414&gt;=DC414, 1))</f>
        <v>2</v>
      </c>
      <c r="DG414" s="58">
        <f t="array" ref="DG414">SUM(IF(DC414:DD414&gt;=DD414, 1))</f>
        <v>1</v>
      </c>
      <c r="DI414" s="109">
        <f t="shared" si="193"/>
        <v>-46704281.17694889</v>
      </c>
      <c r="DJ414" s="109">
        <f t="shared" si="194"/>
        <v>0</v>
      </c>
      <c r="DL414" s="58">
        <f t="array" ref="DL414">SUM(IF(DI414:DJ414&gt;=DI414, 1))</f>
        <v>2</v>
      </c>
      <c r="DM414" s="58">
        <f t="array" ref="DM414">SUM(IF(DI414:DJ414&gt;=DJ414, 1))</f>
        <v>1</v>
      </c>
      <c r="DO414" s="109">
        <f t="shared" si="195"/>
        <v>-6947276.6901618773</v>
      </c>
      <c r="DP414" s="109">
        <f t="shared" si="196"/>
        <v>0</v>
      </c>
      <c r="DR414" s="58">
        <f t="array" ref="DR414">SUM(IF(DO414:DP414&gt;=DO414, 1))</f>
        <v>2</v>
      </c>
      <c r="DS414" s="58">
        <f t="array" ref="DS414">SUM(IF(DO414:DP414&gt;=DP414, 1))</f>
        <v>1</v>
      </c>
      <c r="DU414" s="109">
        <f t="shared" si="197"/>
        <v>-39848166.922563113</v>
      </c>
      <c r="DV414" s="109">
        <f t="shared" si="198"/>
        <v>0</v>
      </c>
      <c r="DX414" s="58">
        <f t="array" ref="DX414">SUM(IF(DU414:DV414&gt;=DU414, 1))</f>
        <v>2</v>
      </c>
      <c r="DY414" s="58">
        <f t="array" ref="DY414">SUM(IF(DU414:DV414&gt;=DV414, 1))</f>
        <v>1</v>
      </c>
      <c r="EA414" s="109">
        <f t="shared" si="199"/>
        <v>-136233132.0115999</v>
      </c>
      <c r="EB414" s="109">
        <f t="shared" si="200"/>
        <v>0</v>
      </c>
      <c r="ED414" s="58">
        <f t="array" ref="ED414">SUM(IF(EA414:EB414&gt;=EA414, 1))</f>
        <v>2</v>
      </c>
      <c r="EE414" s="58">
        <f t="array" ref="EE414">SUM(IF(EA414:EB414&gt;=EB414, 1))</f>
        <v>1</v>
      </c>
    </row>
    <row r="415" spans="4:135" ht="12" customHeight="1" x14ac:dyDescent="0.25">
      <c r="D415" s="11">
        <v>399</v>
      </c>
      <c r="E415" s="72">
        <v>299.67369314277329</v>
      </c>
      <c r="F415" s="72">
        <v>284.86356392225707</v>
      </c>
      <c r="G415" s="73"/>
      <c r="H415" s="74">
        <v>5.8906919686419013</v>
      </c>
      <c r="I415" s="74">
        <v>5.9080402023325522</v>
      </c>
      <c r="J415" s="73"/>
      <c r="K415" s="72">
        <v>322.42160629085294</v>
      </c>
      <c r="L415" s="72">
        <v>307.19843634153142</v>
      </c>
      <c r="M415" s="73"/>
      <c r="N415" s="74">
        <v>6.7350613017429275</v>
      </c>
      <c r="O415" s="74">
        <v>6.7498485116405558</v>
      </c>
      <c r="P415" s="73"/>
      <c r="Q415" s="72">
        <v>2302.0277647098783</v>
      </c>
      <c r="R415" s="72">
        <v>1386.2486335726237</v>
      </c>
      <c r="S415" s="73"/>
      <c r="T415" s="74">
        <v>4.8862056370673539</v>
      </c>
      <c r="U415" s="74">
        <v>4.9682212702858761</v>
      </c>
      <c r="V415" s="73"/>
      <c r="W415" s="72">
        <v>12159.751769002956</v>
      </c>
      <c r="X415" s="72">
        <v>12180.358951769882</v>
      </c>
      <c r="Y415" s="73"/>
      <c r="Z415" s="74">
        <v>2.8641898405686788</v>
      </c>
      <c r="AA415" s="74">
        <v>2.9015631347135118</v>
      </c>
      <c r="AB415" s="73"/>
      <c r="AC415" s="72">
        <v>49756.642769510618</v>
      </c>
      <c r="AD415" s="72">
        <v>49562.560695657507</v>
      </c>
      <c r="AE415" s="73"/>
      <c r="AF415" s="74">
        <v>4.9727927534409062</v>
      </c>
      <c r="AG415" s="74">
        <v>5.0989276250250599</v>
      </c>
      <c r="AH415" s="73"/>
      <c r="AI415" s="72">
        <v>1581383.0055247978</v>
      </c>
      <c r="AJ415" s="72">
        <v>0</v>
      </c>
      <c r="AK415" s="73"/>
      <c r="AL415" s="74">
        <v>-1852.3945014783574</v>
      </c>
      <c r="AM415" s="74">
        <v>0</v>
      </c>
      <c r="AN415" s="73"/>
      <c r="AO415" s="72">
        <v>105594.39954635091</v>
      </c>
      <c r="AP415" s="72">
        <v>0</v>
      </c>
      <c r="AQ415" s="73"/>
      <c r="AR415" s="74">
        <v>-102.5703946880989</v>
      </c>
      <c r="AS415" s="74">
        <v>0</v>
      </c>
      <c r="AT415" s="73"/>
      <c r="AU415" s="72">
        <v>21054362.271248531</v>
      </c>
      <c r="AV415" s="72">
        <v>0</v>
      </c>
      <c r="AW415" s="73"/>
      <c r="AX415" s="74">
        <v>-1885.5931468368499</v>
      </c>
      <c r="AY415" s="74">
        <v>0</v>
      </c>
      <c r="AZ415" s="73"/>
      <c r="BA415" s="72">
        <v>-183507.41977755507</v>
      </c>
      <c r="BB415" s="72">
        <v>0</v>
      </c>
      <c r="BC415" s="73"/>
      <c r="BD415" s="74">
        <v>-332.81001360910813</v>
      </c>
      <c r="BE415" s="74">
        <v>0</v>
      </c>
      <c r="BF415" s="73"/>
      <c r="BG415" s="72">
        <v>3082825.3161502853</v>
      </c>
      <c r="BH415" s="72">
        <v>0</v>
      </c>
      <c r="BI415" s="73"/>
      <c r="BJ415" s="74">
        <v>-2003.5429735942155</v>
      </c>
      <c r="BK415" s="74">
        <v>0</v>
      </c>
      <c r="BL415" s="73"/>
      <c r="BM415" s="72">
        <v>25640657.572692413</v>
      </c>
      <c r="BN415" s="72">
        <v>0</v>
      </c>
      <c r="BO415" s="73"/>
      <c r="BP415" s="74">
        <v>-6176.9110302066292</v>
      </c>
      <c r="BQ415" s="74">
        <v>0</v>
      </c>
      <c r="BS415" s="109">
        <f t="shared" si="180"/>
        <v>117514.16567969524</v>
      </c>
      <c r="BT415" s="109">
        <f t="shared" si="181"/>
        <v>117875.94048272878</v>
      </c>
      <c r="BV415" s="58">
        <f t="array" ref="BV415">SUM(IF(BS415:BT415&gt;=BS415, 1))</f>
        <v>2</v>
      </c>
      <c r="BW415" s="58">
        <f t="array" ref="BW415">SUM(IF(BS415:BT415&gt;=BT415, 1))</f>
        <v>1</v>
      </c>
      <c r="BY415" s="109">
        <f t="shared" si="182"/>
        <v>134378.8044285677</v>
      </c>
      <c r="BZ415" s="109">
        <f t="shared" si="183"/>
        <v>134689.77179646958</v>
      </c>
      <c r="CB415" s="58">
        <f t="array" ref="CB415">SUM(IF(BY415:BZ415&gt;=BY415, 1))</f>
        <v>2</v>
      </c>
      <c r="CC415" s="58">
        <f t="array" ref="CC415">SUM(IF(BY415:BZ415&gt;=BZ415, 1))</f>
        <v>1</v>
      </c>
      <c r="CE415" s="109">
        <f t="shared" si="184"/>
        <v>95422.084976637198</v>
      </c>
      <c r="CF415" s="109">
        <f t="shared" si="185"/>
        <v>97978.1767721449</v>
      </c>
      <c r="CH415" s="58">
        <f t="array" ref="CH415">SUM(IF(CE415:CF415&gt;=CE415, 1))</f>
        <v>2</v>
      </c>
      <c r="CI415" s="58">
        <f t="array" ref="CI415">SUM(IF(CE415:CF415&gt;=CF415, 1))</f>
        <v>1</v>
      </c>
      <c r="CK415" s="109">
        <f t="shared" si="186"/>
        <v>45124.045042370621</v>
      </c>
      <c r="CL415" s="109">
        <f t="shared" si="187"/>
        <v>45850.903742500348</v>
      </c>
      <c r="CN415" s="58">
        <f t="array" ref="CN415">SUM(IF(CK415:CL415&gt;=CK415, 1))</f>
        <v>2</v>
      </c>
      <c r="CO415" s="58">
        <f t="array" ref="CO415">SUM(IF(CK415:CL415&gt;=CL415, 1))</f>
        <v>1</v>
      </c>
      <c r="CQ415" s="109" cm="1">
        <f t="array" ref="CQ415">AF415*WTP-AC415</f>
        <v>49699.21229930751</v>
      </c>
      <c r="CR415" s="109">
        <f t="shared" si="188"/>
        <v>52415.991804843696</v>
      </c>
      <c r="CT415" s="58">
        <f t="array" ref="CT415">SUM(IF(CQ415:CR415&gt;=CQ415, 1))</f>
        <v>2</v>
      </c>
      <c r="CU415" s="58">
        <f t="array" ref="CU415">SUM(IF(CQ415:CR415&gt;=CR415, 1))</f>
        <v>1</v>
      </c>
      <c r="CW415" s="109">
        <f t="shared" si="189"/>
        <v>-38629273.035091944</v>
      </c>
      <c r="CX415" s="109">
        <f t="shared" si="190"/>
        <v>0</v>
      </c>
      <c r="CZ415" s="58">
        <f t="array" ref="CZ415">SUM(IF(CW415:CX415&gt;=CW415, 1))</f>
        <v>2</v>
      </c>
      <c r="DA415" s="58">
        <f t="array" ref="DA415">SUM(IF(CW415:CX415&gt;=CX415, 1))</f>
        <v>1</v>
      </c>
      <c r="DC415" s="109">
        <f t="shared" si="191"/>
        <v>-2157002.2933083288</v>
      </c>
      <c r="DD415" s="109">
        <f t="shared" si="192"/>
        <v>0</v>
      </c>
      <c r="DF415" s="58">
        <f t="array" ref="DF415">SUM(IF(DC415:DD415&gt;=DC415, 1))</f>
        <v>2</v>
      </c>
      <c r="DG415" s="58">
        <f t="array" ref="DG415">SUM(IF(DC415:DD415&gt;=DD415, 1))</f>
        <v>1</v>
      </c>
      <c r="DI415" s="109">
        <f t="shared" si="193"/>
        <v>-58766225.207985535</v>
      </c>
      <c r="DJ415" s="109">
        <f t="shared" si="194"/>
        <v>0</v>
      </c>
      <c r="DL415" s="58">
        <f t="array" ref="DL415">SUM(IF(DI415:DJ415&gt;=DI415, 1))</f>
        <v>2</v>
      </c>
      <c r="DM415" s="58">
        <f t="array" ref="DM415">SUM(IF(DI415:DJ415&gt;=DJ415, 1))</f>
        <v>1</v>
      </c>
      <c r="DO415" s="109">
        <f t="shared" si="195"/>
        <v>-6472692.8524046075</v>
      </c>
      <c r="DP415" s="109">
        <f t="shared" si="196"/>
        <v>0</v>
      </c>
      <c r="DR415" s="58">
        <f t="array" ref="DR415">SUM(IF(DO415:DP415&gt;=DO415, 1))</f>
        <v>2</v>
      </c>
      <c r="DS415" s="58">
        <f t="array" ref="DS415">SUM(IF(DO415:DP415&gt;=DP415, 1))</f>
        <v>1</v>
      </c>
      <c r="DU415" s="109">
        <f t="shared" si="197"/>
        <v>-43153684.788034596</v>
      </c>
      <c r="DV415" s="109">
        <f t="shared" si="198"/>
        <v>0</v>
      </c>
      <c r="DX415" s="58">
        <f t="array" ref="DX415">SUM(IF(DU415:DV415&gt;=DU415, 1))</f>
        <v>2</v>
      </c>
      <c r="DY415" s="58">
        <f t="array" ref="DY415">SUM(IF(DU415:DV415&gt;=DV415, 1))</f>
        <v>1</v>
      </c>
      <c r="EA415" s="109">
        <f t="shared" si="199"/>
        <v>-149178878.17682499</v>
      </c>
      <c r="EB415" s="109">
        <f t="shared" si="200"/>
        <v>0</v>
      </c>
      <c r="ED415" s="58">
        <f t="array" ref="ED415">SUM(IF(EA415:EB415&gt;=EA415, 1))</f>
        <v>2</v>
      </c>
      <c r="EE415" s="58">
        <f t="array" ref="EE415">SUM(IF(EA415:EB415&gt;=EB415, 1))</f>
        <v>1</v>
      </c>
    </row>
    <row r="416" spans="4:135" ht="12" customHeight="1" x14ac:dyDescent="0.25">
      <c r="D416" s="11">
        <v>400</v>
      </c>
      <c r="E416" s="72">
        <v>228.95715515070856</v>
      </c>
      <c r="F416" s="72">
        <v>197.13185058225542</v>
      </c>
      <c r="G416" s="73"/>
      <c r="H416" s="74">
        <v>5.85579004309347</v>
      </c>
      <c r="I416" s="74">
        <v>5.8760429611390004</v>
      </c>
      <c r="J416" s="73"/>
      <c r="K416" s="72">
        <v>245.11916411360605</v>
      </c>
      <c r="L416" s="72">
        <v>212.51611621902111</v>
      </c>
      <c r="M416" s="73"/>
      <c r="N416" s="74">
        <v>6.7226036348784834</v>
      </c>
      <c r="O416" s="74">
        <v>6.7406159367117935</v>
      </c>
      <c r="P416" s="73"/>
      <c r="Q416" s="72">
        <v>1655.6461191248206</v>
      </c>
      <c r="R416" s="72">
        <v>838.45257286606511</v>
      </c>
      <c r="S416" s="73"/>
      <c r="T416" s="74">
        <v>4.7559975195380852</v>
      </c>
      <c r="U416" s="74">
        <v>4.8928100274426649</v>
      </c>
      <c r="V416" s="73"/>
      <c r="W416" s="72">
        <v>13594.523104016633</v>
      </c>
      <c r="X416" s="72">
        <v>13630.811796835153</v>
      </c>
      <c r="Y416" s="73"/>
      <c r="Z416" s="74">
        <v>3.0714623682877913</v>
      </c>
      <c r="AA416" s="74">
        <v>3.1136351392804484</v>
      </c>
      <c r="AB416" s="73"/>
      <c r="AC416" s="72">
        <v>51566.787701756388</v>
      </c>
      <c r="AD416" s="72">
        <v>51188.626033673769</v>
      </c>
      <c r="AE416" s="73"/>
      <c r="AF416" s="74">
        <v>4.6766684701399486</v>
      </c>
      <c r="AG416" s="74">
        <v>4.7787181826486833</v>
      </c>
      <c r="AH416" s="73"/>
      <c r="AI416" s="72">
        <v>3414302.0615010052</v>
      </c>
      <c r="AJ416" s="72">
        <v>0</v>
      </c>
      <c r="AK416" s="73"/>
      <c r="AL416" s="74">
        <v>-2172.7861138149178</v>
      </c>
      <c r="AM416" s="74">
        <v>0</v>
      </c>
      <c r="AN416" s="73"/>
      <c r="AO416" s="72">
        <v>219625.40990099194</v>
      </c>
      <c r="AP416" s="72">
        <v>0</v>
      </c>
      <c r="AQ416" s="73"/>
      <c r="AR416" s="74">
        <v>-121.33709664789208</v>
      </c>
      <c r="AS416" s="74">
        <v>0</v>
      </c>
      <c r="AT416" s="73"/>
      <c r="AU416" s="72">
        <v>18969610.52458816</v>
      </c>
      <c r="AV416" s="72">
        <v>0</v>
      </c>
      <c r="AW416" s="73"/>
      <c r="AX416" s="74">
        <v>-3175.8449411692341</v>
      </c>
      <c r="AY416" s="74">
        <v>0</v>
      </c>
      <c r="AZ416" s="73"/>
      <c r="BA416" s="72">
        <v>-323338.54344700859</v>
      </c>
      <c r="BB416" s="72">
        <v>0</v>
      </c>
      <c r="BC416" s="73"/>
      <c r="BD416" s="74">
        <v>-375.76669994932627</v>
      </c>
      <c r="BE416" s="74">
        <v>0</v>
      </c>
      <c r="BF416" s="73"/>
      <c r="BG416" s="72">
        <v>5944531.6624157736</v>
      </c>
      <c r="BH416" s="72">
        <v>0</v>
      </c>
      <c r="BI416" s="73"/>
      <c r="BJ416" s="74">
        <v>-1604.1756696928496</v>
      </c>
      <c r="BK416" s="74">
        <v>0</v>
      </c>
      <c r="BL416" s="73"/>
      <c r="BM416" s="72">
        <v>28224731.11495892</v>
      </c>
      <c r="BN416" s="72">
        <v>0</v>
      </c>
      <c r="BO416" s="73"/>
      <c r="BP416" s="74">
        <v>-7449.9105212742197</v>
      </c>
      <c r="BQ416" s="74">
        <v>0</v>
      </c>
      <c r="BS416" s="109">
        <f t="shared" si="180"/>
        <v>116886.84370671869</v>
      </c>
      <c r="BT416" s="109">
        <f t="shared" si="181"/>
        <v>117323.72737219775</v>
      </c>
      <c r="BV416" s="58">
        <f t="array" ref="BV416">SUM(IF(BS416:BT416&gt;=BS416, 1))</f>
        <v>2</v>
      </c>
      <c r="BW416" s="58">
        <f t="array" ref="BW416">SUM(IF(BS416:BT416&gt;=BT416, 1))</f>
        <v>1</v>
      </c>
      <c r="BY416" s="109">
        <f t="shared" si="182"/>
        <v>134206.95353345608</v>
      </c>
      <c r="BZ416" s="109">
        <f t="shared" si="183"/>
        <v>134599.80261801684</v>
      </c>
      <c r="CB416" s="58">
        <f t="array" ref="CB416">SUM(IF(BY416:BZ416&gt;=BY416, 1))</f>
        <v>2</v>
      </c>
      <c r="CC416" s="58">
        <f t="array" ref="CC416">SUM(IF(BY416:BZ416&gt;=BZ416, 1))</f>
        <v>1</v>
      </c>
      <c r="CE416" s="109">
        <f t="shared" si="184"/>
        <v>93464.30427163688</v>
      </c>
      <c r="CF416" s="109">
        <f t="shared" si="185"/>
        <v>97017.747975987237</v>
      </c>
      <c r="CH416" s="58">
        <f t="array" ref="CH416">SUM(IF(CE416:CF416&gt;=CE416, 1))</f>
        <v>2</v>
      </c>
      <c r="CI416" s="58">
        <f t="array" ref="CI416">SUM(IF(CE416:CF416&gt;=CF416, 1))</f>
        <v>1</v>
      </c>
      <c r="CK416" s="109">
        <f t="shared" si="186"/>
        <v>47834.724261739197</v>
      </c>
      <c r="CL416" s="109">
        <f t="shared" si="187"/>
        <v>48641.890988773819</v>
      </c>
      <c r="CN416" s="58">
        <f t="array" ref="CN416">SUM(IF(CK416:CL416&gt;=CK416, 1))</f>
        <v>2</v>
      </c>
      <c r="CO416" s="58">
        <f t="array" ref="CO416">SUM(IF(CK416:CL416&gt;=CL416, 1))</f>
        <v>1</v>
      </c>
      <c r="CQ416" s="109" cm="1">
        <f t="array" ref="CQ416">AF416*WTP-AC416</f>
        <v>41966.581701042582</v>
      </c>
      <c r="CR416" s="109">
        <f t="shared" si="188"/>
        <v>44385.7376192999</v>
      </c>
      <c r="CT416" s="58">
        <f t="array" ref="CT416">SUM(IF(CQ416:CR416&gt;=CQ416, 1))</f>
        <v>2</v>
      </c>
      <c r="CU416" s="58">
        <f t="array" ref="CU416">SUM(IF(CQ416:CR416&gt;=CR416, 1))</f>
        <v>1</v>
      </c>
      <c r="CW416" s="109">
        <f t="shared" si="189"/>
        <v>-46870024.337799363</v>
      </c>
      <c r="CX416" s="109">
        <f t="shared" si="190"/>
        <v>0</v>
      </c>
      <c r="CZ416" s="58">
        <f t="array" ref="CZ416">SUM(IF(CW416:CX416&gt;=CW416, 1))</f>
        <v>2</v>
      </c>
      <c r="DA416" s="58">
        <f t="array" ref="DA416">SUM(IF(CW416:CX416&gt;=CX416, 1))</f>
        <v>1</v>
      </c>
      <c r="DC416" s="109">
        <f t="shared" si="191"/>
        <v>-2646367.3428588333</v>
      </c>
      <c r="DD416" s="109">
        <f t="shared" si="192"/>
        <v>0</v>
      </c>
      <c r="DF416" s="58">
        <f t="array" ref="DF416">SUM(IF(DC416:DD416&gt;=DC416, 1))</f>
        <v>2</v>
      </c>
      <c r="DG416" s="58">
        <f t="array" ref="DG416">SUM(IF(DC416:DD416&gt;=DD416, 1))</f>
        <v>1</v>
      </c>
      <c r="DI416" s="109">
        <f t="shared" si="193"/>
        <v>-82486509.34797284</v>
      </c>
      <c r="DJ416" s="109">
        <f t="shared" si="194"/>
        <v>0</v>
      </c>
      <c r="DL416" s="58">
        <f t="array" ref="DL416">SUM(IF(DI416:DJ416&gt;=DI416, 1))</f>
        <v>2</v>
      </c>
      <c r="DM416" s="58">
        <f t="array" ref="DM416">SUM(IF(DI416:DJ416&gt;=DJ416, 1))</f>
        <v>1</v>
      </c>
      <c r="DO416" s="109">
        <f t="shared" si="195"/>
        <v>-7191995.4555395171</v>
      </c>
      <c r="DP416" s="109">
        <f t="shared" si="196"/>
        <v>0</v>
      </c>
      <c r="DR416" s="58">
        <f t="array" ref="DR416">SUM(IF(DO416:DP416&gt;=DO416, 1))</f>
        <v>2</v>
      </c>
      <c r="DS416" s="58">
        <f t="array" ref="DS416">SUM(IF(DO416:DP416&gt;=DP416, 1))</f>
        <v>1</v>
      </c>
      <c r="DU416" s="109">
        <f t="shared" si="197"/>
        <v>-38028045.056272767</v>
      </c>
      <c r="DV416" s="109">
        <f t="shared" si="198"/>
        <v>0</v>
      </c>
      <c r="DX416" s="58">
        <f t="array" ref="DX416">SUM(IF(DU416:DV416&gt;=DU416, 1))</f>
        <v>2</v>
      </c>
      <c r="DY416" s="58">
        <f t="array" ref="DY416">SUM(IF(DU416:DV416&gt;=DV416, 1))</f>
        <v>1</v>
      </c>
      <c r="EA416" s="109">
        <f t="shared" si="199"/>
        <v>-177222941.5404433</v>
      </c>
      <c r="EB416" s="109">
        <f t="shared" si="200"/>
        <v>0</v>
      </c>
      <c r="ED416" s="58">
        <f t="array" ref="ED416">SUM(IF(EA416:EB416&gt;=EA416, 1))</f>
        <v>2</v>
      </c>
      <c r="EE416" s="58">
        <f t="array" ref="EE416">SUM(IF(EA416:EB416&gt;=EB416, 1))</f>
        <v>1</v>
      </c>
    </row>
    <row r="417" spans="4:135" ht="12" customHeight="1" x14ac:dyDescent="0.25">
      <c r="D417" s="11">
        <v>401</v>
      </c>
      <c r="E417" s="72">
        <v>240.98484067221341</v>
      </c>
      <c r="F417" s="72">
        <v>218.30250771806587</v>
      </c>
      <c r="G417" s="73"/>
      <c r="H417" s="74">
        <v>5.7741225063359467</v>
      </c>
      <c r="I417" s="74">
        <v>5.7901577151928851</v>
      </c>
      <c r="J417" s="73"/>
      <c r="K417" s="72">
        <v>258.58633687503669</v>
      </c>
      <c r="L417" s="72">
        <v>235.33669595482817</v>
      </c>
      <c r="M417" s="73"/>
      <c r="N417" s="74">
        <v>6.6822715108791897</v>
      </c>
      <c r="O417" s="74">
        <v>6.6958709470551305</v>
      </c>
      <c r="P417" s="73"/>
      <c r="Q417" s="72">
        <v>2377.8401433210688</v>
      </c>
      <c r="R417" s="72">
        <v>1414.5335827058009</v>
      </c>
      <c r="S417" s="73"/>
      <c r="T417" s="74">
        <v>4.6720784068823891</v>
      </c>
      <c r="U417" s="74">
        <v>4.7605918085264651</v>
      </c>
      <c r="V417" s="73"/>
      <c r="W417" s="72">
        <v>8190.1092133835955</v>
      </c>
      <c r="X417" s="72">
        <v>8228.3804026834005</v>
      </c>
      <c r="Y417" s="73"/>
      <c r="Z417" s="74">
        <v>2.9804410701483426</v>
      </c>
      <c r="AA417" s="74">
        <v>3.0317623690980717</v>
      </c>
      <c r="AB417" s="73"/>
      <c r="AC417" s="72">
        <v>51115.67372420575</v>
      </c>
      <c r="AD417" s="72">
        <v>50926.441586460482</v>
      </c>
      <c r="AE417" s="73"/>
      <c r="AF417" s="74">
        <v>4.59698434932693</v>
      </c>
      <c r="AG417" s="74">
        <v>4.6939590753750613</v>
      </c>
      <c r="AH417" s="73"/>
      <c r="AI417" s="72">
        <v>2438480.102656892</v>
      </c>
      <c r="AJ417" s="72">
        <v>0</v>
      </c>
      <c r="AK417" s="73"/>
      <c r="AL417" s="74">
        <v>-1723.8763675075181</v>
      </c>
      <c r="AM417" s="74">
        <v>0</v>
      </c>
      <c r="AN417" s="73"/>
      <c r="AO417" s="72">
        <v>156660.07357894327</v>
      </c>
      <c r="AP417" s="72">
        <v>0</v>
      </c>
      <c r="AQ417" s="73"/>
      <c r="AR417" s="74">
        <v>-91.635336617316099</v>
      </c>
      <c r="AS417" s="74">
        <v>0</v>
      </c>
      <c r="AT417" s="73"/>
      <c r="AU417" s="72">
        <v>22032137.580385704</v>
      </c>
      <c r="AV417" s="72">
        <v>0</v>
      </c>
      <c r="AW417" s="73"/>
      <c r="AX417" s="74">
        <v>-2024.4224657669306</v>
      </c>
      <c r="AY417" s="74">
        <v>0</v>
      </c>
      <c r="AZ417" s="73"/>
      <c r="BA417" s="72">
        <v>-344407.76402658323</v>
      </c>
      <c r="BB417" s="72">
        <v>0</v>
      </c>
      <c r="BC417" s="73"/>
      <c r="BD417" s="74">
        <v>-461.84751876279216</v>
      </c>
      <c r="BE417" s="74">
        <v>0</v>
      </c>
      <c r="BF417" s="73"/>
      <c r="BG417" s="72">
        <v>2973278.3137181029</v>
      </c>
      <c r="BH417" s="72">
        <v>0</v>
      </c>
      <c r="BI417" s="73"/>
      <c r="BJ417" s="74">
        <v>-1523.6991632245763</v>
      </c>
      <c r="BK417" s="74">
        <v>0</v>
      </c>
      <c r="BL417" s="73"/>
      <c r="BM417" s="72">
        <v>27256148.30631306</v>
      </c>
      <c r="BN417" s="72">
        <v>0</v>
      </c>
      <c r="BO417" s="73"/>
      <c r="BP417" s="74">
        <v>-5825.4808518791333</v>
      </c>
      <c r="BQ417" s="74">
        <v>0</v>
      </c>
      <c r="BS417" s="109">
        <f t="shared" si="180"/>
        <v>115241.46528604672</v>
      </c>
      <c r="BT417" s="109">
        <f t="shared" si="181"/>
        <v>115584.85179613964</v>
      </c>
      <c r="BV417" s="58">
        <f t="array" ref="BV417">SUM(IF(BS417:BT417&gt;=BS417, 1))</f>
        <v>2</v>
      </c>
      <c r="BW417" s="58">
        <f t="array" ref="BW417">SUM(IF(BS417:BT417&gt;=BT417, 1))</f>
        <v>1</v>
      </c>
      <c r="BY417" s="109">
        <f t="shared" si="182"/>
        <v>133386.84388070874</v>
      </c>
      <c r="BZ417" s="109">
        <f t="shared" si="183"/>
        <v>133682.08224514779</v>
      </c>
      <c r="CB417" s="58">
        <f t="array" ref="CB417">SUM(IF(BY417:BZ417&gt;=BY417, 1))</f>
        <v>2</v>
      </c>
      <c r="CC417" s="58">
        <f t="array" ref="CC417">SUM(IF(BY417:BZ417&gt;=BZ417, 1))</f>
        <v>1</v>
      </c>
      <c r="CE417" s="109">
        <f t="shared" si="184"/>
        <v>91063.72799432672</v>
      </c>
      <c r="CF417" s="109">
        <f t="shared" si="185"/>
        <v>93797.302587823506</v>
      </c>
      <c r="CH417" s="58">
        <f t="array" ref="CH417">SUM(IF(CE417:CF417&gt;=CE417, 1))</f>
        <v>2</v>
      </c>
      <c r="CI417" s="58">
        <f t="array" ref="CI417">SUM(IF(CE417:CF417&gt;=CF417, 1))</f>
        <v>1</v>
      </c>
      <c r="CK417" s="109">
        <f t="shared" si="186"/>
        <v>51418.712189583253</v>
      </c>
      <c r="CL417" s="109">
        <f t="shared" si="187"/>
        <v>52406.866979278027</v>
      </c>
      <c r="CN417" s="58">
        <f t="array" ref="CN417">SUM(IF(CK417:CL417&gt;=CK417, 1))</f>
        <v>2</v>
      </c>
      <c r="CO417" s="58">
        <f t="array" ref="CO417">SUM(IF(CK417:CL417&gt;=CL417, 1))</f>
        <v>1</v>
      </c>
      <c r="CQ417" s="109" cm="1">
        <f t="array" ref="CQ417">AF417*WTP-AC417</f>
        <v>40824.013262332846</v>
      </c>
      <c r="CR417" s="109">
        <f t="shared" si="188"/>
        <v>42952.739921040746</v>
      </c>
      <c r="CT417" s="58">
        <f t="array" ref="CT417">SUM(IF(CQ417:CR417&gt;=CQ417, 1))</f>
        <v>2</v>
      </c>
      <c r="CU417" s="58">
        <f t="array" ref="CU417">SUM(IF(CQ417:CR417&gt;=CR417, 1))</f>
        <v>1</v>
      </c>
      <c r="CW417" s="109">
        <f t="shared" si="189"/>
        <v>-36916007.452807255</v>
      </c>
      <c r="CX417" s="109">
        <f t="shared" si="190"/>
        <v>0</v>
      </c>
      <c r="CZ417" s="58">
        <f t="array" ref="CZ417">SUM(IF(CW417:CX417&gt;=CW417, 1))</f>
        <v>2</v>
      </c>
      <c r="DA417" s="58">
        <f t="array" ref="DA417">SUM(IF(CW417:CX417&gt;=CX417, 1))</f>
        <v>1</v>
      </c>
      <c r="DC417" s="109">
        <f t="shared" si="191"/>
        <v>-1989366.8059252652</v>
      </c>
      <c r="DD417" s="109">
        <f t="shared" si="192"/>
        <v>0</v>
      </c>
      <c r="DF417" s="58">
        <f t="array" ref="DF417">SUM(IF(DC417:DD417&gt;=DC417, 1))</f>
        <v>2</v>
      </c>
      <c r="DG417" s="58">
        <f t="array" ref="DG417">SUM(IF(DC417:DD417&gt;=DD417, 1))</f>
        <v>1</v>
      </c>
      <c r="DI417" s="109">
        <f t="shared" si="193"/>
        <v>-62520586.895724311</v>
      </c>
      <c r="DJ417" s="109">
        <f t="shared" si="194"/>
        <v>0</v>
      </c>
      <c r="DL417" s="58">
        <f t="array" ref="DL417">SUM(IF(DI417:DJ417&gt;=DI417, 1))</f>
        <v>2</v>
      </c>
      <c r="DM417" s="58">
        <f t="array" ref="DM417">SUM(IF(DI417:DJ417&gt;=DJ417, 1))</f>
        <v>1</v>
      </c>
      <c r="DO417" s="109">
        <f t="shared" si="195"/>
        <v>-8892542.6112292595</v>
      </c>
      <c r="DP417" s="109">
        <f t="shared" si="196"/>
        <v>0</v>
      </c>
      <c r="DR417" s="58">
        <f t="array" ref="DR417">SUM(IF(DO417:DP417&gt;=DO417, 1))</f>
        <v>2</v>
      </c>
      <c r="DS417" s="58">
        <f t="array" ref="DS417">SUM(IF(DO417:DP417&gt;=DP417, 1))</f>
        <v>1</v>
      </c>
      <c r="DU417" s="109">
        <f t="shared" si="197"/>
        <v>-33447261.578209627</v>
      </c>
      <c r="DV417" s="109">
        <f t="shared" si="198"/>
        <v>0</v>
      </c>
      <c r="DX417" s="58">
        <f t="array" ref="DX417">SUM(IF(DU417:DV417&gt;=DU417, 1))</f>
        <v>2</v>
      </c>
      <c r="DY417" s="58">
        <f t="array" ref="DY417">SUM(IF(DU417:DV417&gt;=DV417, 1))</f>
        <v>1</v>
      </c>
      <c r="EA417" s="109">
        <f t="shared" si="199"/>
        <v>-143765765.34389573</v>
      </c>
      <c r="EB417" s="109">
        <f t="shared" si="200"/>
        <v>0</v>
      </c>
      <c r="ED417" s="58">
        <f t="array" ref="ED417">SUM(IF(EA417:EB417&gt;=EA417, 1))</f>
        <v>2</v>
      </c>
      <c r="EE417" s="58">
        <f t="array" ref="EE417">SUM(IF(EA417:EB417&gt;=EB417, 1))</f>
        <v>1</v>
      </c>
    </row>
    <row r="418" spans="4:135" ht="12" customHeight="1" x14ac:dyDescent="0.25">
      <c r="D418" s="11">
        <v>402</v>
      </c>
      <c r="E418" s="72">
        <v>248.44194501542057</v>
      </c>
      <c r="F418" s="72">
        <v>226.65184502147505</v>
      </c>
      <c r="G418" s="73"/>
      <c r="H418" s="74">
        <v>5.8515508533154792</v>
      </c>
      <c r="I418" s="74">
        <v>5.8665292082617588</v>
      </c>
      <c r="J418" s="73"/>
      <c r="K418" s="72">
        <v>266.66475215732129</v>
      </c>
      <c r="L418" s="72">
        <v>244.32190118894877</v>
      </c>
      <c r="M418" s="73"/>
      <c r="N418" s="74">
        <v>6.689277130714637</v>
      </c>
      <c r="O418" s="74">
        <v>6.701652124330657</v>
      </c>
      <c r="P418" s="73"/>
      <c r="Q418" s="72">
        <v>1737.9830791313484</v>
      </c>
      <c r="R418" s="72">
        <v>1096.1486140164825</v>
      </c>
      <c r="S418" s="73"/>
      <c r="T418" s="74">
        <v>4.7052662856782117</v>
      </c>
      <c r="U418" s="74">
        <v>4.7644157525117681</v>
      </c>
      <c r="V418" s="73"/>
      <c r="W418" s="72">
        <v>12042.778396961961</v>
      </c>
      <c r="X418" s="72">
        <v>12010.887188545623</v>
      </c>
      <c r="Y418" s="73"/>
      <c r="Z418" s="74">
        <v>2.961966943334013</v>
      </c>
      <c r="AA418" s="74">
        <v>3.0151908717610234</v>
      </c>
      <c r="AB418" s="73"/>
      <c r="AC418" s="72">
        <v>49772.477312805706</v>
      </c>
      <c r="AD418" s="72">
        <v>49557.554161847394</v>
      </c>
      <c r="AE418" s="73"/>
      <c r="AF418" s="74">
        <v>4.718707124800753</v>
      </c>
      <c r="AG418" s="74">
        <v>4.802987658608366</v>
      </c>
      <c r="AH418" s="73"/>
      <c r="AI418" s="72">
        <v>2372862.1401390629</v>
      </c>
      <c r="AJ418" s="72">
        <v>0</v>
      </c>
      <c r="AK418" s="73"/>
      <c r="AL418" s="74">
        <v>-1631.0880346334809</v>
      </c>
      <c r="AM418" s="74">
        <v>0</v>
      </c>
      <c r="AN418" s="73"/>
      <c r="AO418" s="72">
        <v>153640.90165589523</v>
      </c>
      <c r="AP418" s="72">
        <v>0</v>
      </c>
      <c r="AQ418" s="73"/>
      <c r="AR418" s="74">
        <v>-85.096802545147881</v>
      </c>
      <c r="AS418" s="74">
        <v>0</v>
      </c>
      <c r="AT418" s="73"/>
      <c r="AU418" s="72">
        <v>14998067.683965879</v>
      </c>
      <c r="AV418" s="72">
        <v>0</v>
      </c>
      <c r="AW418" s="73"/>
      <c r="AX418" s="74">
        <v>-1382.1752418381095</v>
      </c>
      <c r="AY418" s="74">
        <v>0</v>
      </c>
      <c r="AZ418" s="73"/>
      <c r="BA418" s="72">
        <v>281743.06730357691</v>
      </c>
      <c r="BB418" s="72">
        <v>0</v>
      </c>
      <c r="BC418" s="73"/>
      <c r="BD418" s="74">
        <v>-470.20710702481506</v>
      </c>
      <c r="BE418" s="74">
        <v>0</v>
      </c>
      <c r="BF418" s="73"/>
      <c r="BG418" s="72">
        <v>3402562.7356971554</v>
      </c>
      <c r="BH418" s="72">
        <v>0</v>
      </c>
      <c r="BI418" s="73"/>
      <c r="BJ418" s="74">
        <v>-1334.2899655052636</v>
      </c>
      <c r="BK418" s="74">
        <v>0</v>
      </c>
      <c r="BL418" s="73"/>
      <c r="BM418" s="72">
        <v>21208876.528761566</v>
      </c>
      <c r="BN418" s="72">
        <v>0</v>
      </c>
      <c r="BO418" s="73"/>
      <c r="BP418" s="74">
        <v>-4902.8571515468166</v>
      </c>
      <c r="BQ418" s="74">
        <v>0</v>
      </c>
      <c r="BS418" s="109">
        <f t="shared" si="180"/>
        <v>116782.57512129415</v>
      </c>
      <c r="BT418" s="109">
        <f t="shared" si="181"/>
        <v>117103.9323202137</v>
      </c>
      <c r="BV418" s="58">
        <f t="array" ref="BV418">SUM(IF(BS418:BT418&gt;=BS418, 1))</f>
        <v>2</v>
      </c>
      <c r="BW418" s="58">
        <f t="array" ref="BW418">SUM(IF(BS418:BT418&gt;=BT418, 1))</f>
        <v>1</v>
      </c>
      <c r="BY418" s="109">
        <f t="shared" si="182"/>
        <v>133518.87786213541</v>
      </c>
      <c r="BZ418" s="109">
        <f t="shared" si="183"/>
        <v>133788.72058542419</v>
      </c>
      <c r="CB418" s="58">
        <f t="array" ref="CB418">SUM(IF(BY418:BZ418&gt;=BY418, 1))</f>
        <v>2</v>
      </c>
      <c r="CC418" s="58">
        <f t="array" ref="CC418">SUM(IF(BY418:BZ418&gt;=BZ418, 1))</f>
        <v>1</v>
      </c>
      <c r="CE418" s="109">
        <f t="shared" si="184"/>
        <v>92367.342634432891</v>
      </c>
      <c r="CF418" s="109">
        <f t="shared" si="185"/>
        <v>94192.166436218889</v>
      </c>
      <c r="CH418" s="58">
        <f t="array" ref="CH418">SUM(IF(CE418:CF418&gt;=CE418, 1))</f>
        <v>2</v>
      </c>
      <c r="CI418" s="58">
        <f t="array" ref="CI418">SUM(IF(CE418:CF418&gt;=CF418, 1))</f>
        <v>1</v>
      </c>
      <c r="CK418" s="109">
        <f t="shared" si="186"/>
        <v>47196.560469718293</v>
      </c>
      <c r="CL418" s="109">
        <f t="shared" si="187"/>
        <v>48292.930246674841</v>
      </c>
      <c r="CN418" s="58">
        <f t="array" ref="CN418">SUM(IF(CK418:CL418&gt;=CK418, 1))</f>
        <v>2</v>
      </c>
      <c r="CO418" s="58">
        <f t="array" ref="CO418">SUM(IF(CK418:CL418&gt;=CL418, 1))</f>
        <v>1</v>
      </c>
      <c r="CQ418" s="109" cm="1">
        <f t="array" ref="CQ418">AF418*WTP-AC418</f>
        <v>44601.665183209356</v>
      </c>
      <c r="CR418" s="109">
        <f t="shared" si="188"/>
        <v>46502.19901031992</v>
      </c>
      <c r="CT418" s="58">
        <f t="array" ref="CT418">SUM(IF(CQ418:CR418&gt;=CQ418, 1))</f>
        <v>2</v>
      </c>
      <c r="CU418" s="58">
        <f t="array" ref="CU418">SUM(IF(CQ418:CR418&gt;=CR418, 1))</f>
        <v>1</v>
      </c>
      <c r="CW418" s="109">
        <f t="shared" si="189"/>
        <v>-34994622.832808681</v>
      </c>
      <c r="CX418" s="109">
        <f t="shared" si="190"/>
        <v>0</v>
      </c>
      <c r="CZ418" s="58">
        <f t="array" ref="CZ418">SUM(IF(CW418:CX418&gt;=CW418, 1))</f>
        <v>2</v>
      </c>
      <c r="DA418" s="58">
        <f t="array" ref="DA418">SUM(IF(CW418:CX418&gt;=CX418, 1))</f>
        <v>1</v>
      </c>
      <c r="DC418" s="109">
        <f t="shared" si="191"/>
        <v>-1855576.9525588527</v>
      </c>
      <c r="DD418" s="109">
        <f t="shared" si="192"/>
        <v>0</v>
      </c>
      <c r="DF418" s="58">
        <f t="array" ref="DF418">SUM(IF(DC418:DD418&gt;=DC418, 1))</f>
        <v>2</v>
      </c>
      <c r="DG418" s="58">
        <f t="array" ref="DG418">SUM(IF(DC418:DD418&gt;=DD418, 1))</f>
        <v>1</v>
      </c>
      <c r="DI418" s="109">
        <f t="shared" si="193"/>
        <v>-42641572.520728067</v>
      </c>
      <c r="DJ418" s="109">
        <f t="shared" si="194"/>
        <v>0</v>
      </c>
      <c r="DL418" s="58">
        <f t="array" ref="DL418">SUM(IF(DI418:DJ418&gt;=DI418, 1))</f>
        <v>2</v>
      </c>
      <c r="DM418" s="58">
        <f t="array" ref="DM418">SUM(IF(DI418:DJ418&gt;=DJ418, 1))</f>
        <v>1</v>
      </c>
      <c r="DO418" s="109">
        <f t="shared" si="195"/>
        <v>-9685885.207799878</v>
      </c>
      <c r="DP418" s="109">
        <f t="shared" si="196"/>
        <v>0</v>
      </c>
      <c r="DR418" s="58">
        <f t="array" ref="DR418">SUM(IF(DO418:DP418&gt;=DO418, 1))</f>
        <v>2</v>
      </c>
      <c r="DS418" s="58">
        <f t="array" ref="DS418">SUM(IF(DO418:DP418&gt;=DP418, 1))</f>
        <v>1</v>
      </c>
      <c r="DU418" s="109">
        <f t="shared" si="197"/>
        <v>-30088362.045802426</v>
      </c>
      <c r="DV418" s="109">
        <f t="shared" si="198"/>
        <v>0</v>
      </c>
      <c r="DX418" s="58">
        <f t="array" ref="DX418">SUM(IF(DU418:DV418&gt;=DU418, 1))</f>
        <v>2</v>
      </c>
      <c r="DY418" s="58">
        <f t="array" ref="DY418">SUM(IF(DU418:DV418&gt;=DV418, 1))</f>
        <v>1</v>
      </c>
      <c r="EA418" s="109">
        <f t="shared" si="199"/>
        <v>-119266019.5596979</v>
      </c>
      <c r="EB418" s="109">
        <f t="shared" si="200"/>
        <v>0</v>
      </c>
      <c r="ED418" s="58">
        <f t="array" ref="ED418">SUM(IF(EA418:EB418&gt;=EA418, 1))</f>
        <v>2</v>
      </c>
      <c r="EE418" s="58">
        <f t="array" ref="EE418">SUM(IF(EA418:EB418&gt;=EB418, 1))</f>
        <v>1</v>
      </c>
    </row>
    <row r="419" spans="4:135" ht="12" customHeight="1" x14ac:dyDescent="0.25">
      <c r="D419" s="11">
        <v>403</v>
      </c>
      <c r="E419" s="72">
        <v>317.55210825822257</v>
      </c>
      <c r="F419" s="72">
        <v>275.28537422230698</v>
      </c>
      <c r="G419" s="73"/>
      <c r="H419" s="74">
        <v>5.8546766200516336</v>
      </c>
      <c r="I419" s="74">
        <v>5.8721374931600634</v>
      </c>
      <c r="J419" s="73"/>
      <c r="K419" s="72">
        <v>340.05843913381051</v>
      </c>
      <c r="L419" s="72">
        <v>296.80215728687057</v>
      </c>
      <c r="M419" s="73"/>
      <c r="N419" s="74">
        <v>6.6869229521182838</v>
      </c>
      <c r="O419" s="74">
        <v>6.7022575459696814</v>
      </c>
      <c r="P419" s="73"/>
      <c r="Q419" s="72">
        <v>4759.9684475032773</v>
      </c>
      <c r="R419" s="72">
        <v>1832.2478472959465</v>
      </c>
      <c r="S419" s="73"/>
      <c r="T419" s="74">
        <v>4.6860277731988225</v>
      </c>
      <c r="U419" s="74">
        <v>4.8212839330797834</v>
      </c>
      <c r="V419" s="73"/>
      <c r="W419" s="72">
        <v>13996.205562493107</v>
      </c>
      <c r="X419" s="72">
        <v>14006.689650098626</v>
      </c>
      <c r="Y419" s="73"/>
      <c r="Z419" s="74">
        <v>3.0745861749777914</v>
      </c>
      <c r="AA419" s="74">
        <v>3.1144461136904424</v>
      </c>
      <c r="AB419" s="73"/>
      <c r="AC419" s="72">
        <v>50364.983322295746</v>
      </c>
      <c r="AD419" s="72">
        <v>50280.509577309153</v>
      </c>
      <c r="AE419" s="73"/>
      <c r="AF419" s="74">
        <v>4.5646779361868948</v>
      </c>
      <c r="AG419" s="74">
        <v>4.6756744561088501</v>
      </c>
      <c r="AH419" s="73"/>
      <c r="AI419" s="72">
        <v>4532371.3031734023</v>
      </c>
      <c r="AJ419" s="72">
        <v>0</v>
      </c>
      <c r="AK419" s="73"/>
      <c r="AL419" s="74">
        <v>-1872.3746229777771</v>
      </c>
      <c r="AM419" s="74">
        <v>0</v>
      </c>
      <c r="AN419" s="73"/>
      <c r="AO419" s="72">
        <v>299026.17134837876</v>
      </c>
      <c r="AP419" s="72">
        <v>0</v>
      </c>
      <c r="AQ419" s="73"/>
      <c r="AR419" s="74">
        <v>-106.00645022591537</v>
      </c>
      <c r="AS419" s="74">
        <v>0</v>
      </c>
      <c r="AT419" s="73"/>
      <c r="AU419" s="72">
        <v>66996798.332448065</v>
      </c>
      <c r="AV419" s="72">
        <v>0</v>
      </c>
      <c r="AW419" s="73"/>
      <c r="AX419" s="74">
        <v>-3095.1483779307268</v>
      </c>
      <c r="AY419" s="74">
        <v>0</v>
      </c>
      <c r="AZ419" s="73"/>
      <c r="BA419" s="72">
        <v>-94606.215864062135</v>
      </c>
      <c r="BB419" s="72">
        <v>0</v>
      </c>
      <c r="BC419" s="73"/>
      <c r="BD419" s="74">
        <v>-359.68775806416943</v>
      </c>
      <c r="BE419" s="74">
        <v>0</v>
      </c>
      <c r="BF419" s="73"/>
      <c r="BG419" s="72">
        <v>1316092.9411820113</v>
      </c>
      <c r="BH419" s="72">
        <v>0</v>
      </c>
      <c r="BI419" s="73"/>
      <c r="BJ419" s="74">
        <v>-1729.3152610700308</v>
      </c>
      <c r="BK419" s="74">
        <v>0</v>
      </c>
      <c r="BL419" s="73"/>
      <c r="BM419" s="72">
        <v>73049682.532287806</v>
      </c>
      <c r="BN419" s="72">
        <v>0</v>
      </c>
      <c r="BO419" s="73"/>
      <c r="BP419" s="74">
        <v>-7162.5324702686194</v>
      </c>
      <c r="BQ419" s="74">
        <v>0</v>
      </c>
      <c r="BS419" s="109">
        <f t="shared" si="180"/>
        <v>116775.98029277445</v>
      </c>
      <c r="BT419" s="109">
        <f t="shared" si="181"/>
        <v>117167.46448897896</v>
      </c>
      <c r="BV419" s="58">
        <f t="array" ref="BV419">SUM(IF(BS419:BT419&gt;=BS419, 1))</f>
        <v>2</v>
      </c>
      <c r="BW419" s="58">
        <f t="array" ref="BW419">SUM(IF(BS419:BT419&gt;=BT419, 1))</f>
        <v>1</v>
      </c>
      <c r="BY419" s="109">
        <f t="shared" si="182"/>
        <v>133398.40060323186</v>
      </c>
      <c r="BZ419" s="109">
        <f t="shared" si="183"/>
        <v>133748.34876210676</v>
      </c>
      <c r="CB419" s="58">
        <f t="array" ref="CB419">SUM(IF(BY419:BZ419&gt;=BY419, 1))</f>
        <v>2</v>
      </c>
      <c r="CC419" s="58">
        <f t="array" ref="CC419">SUM(IF(BY419:BZ419&gt;=BZ419, 1))</f>
        <v>1</v>
      </c>
      <c r="CE419" s="109">
        <f t="shared" si="184"/>
        <v>88960.587016473175</v>
      </c>
      <c r="CF419" s="109">
        <f t="shared" si="185"/>
        <v>94593.430814299718</v>
      </c>
      <c r="CH419" s="58">
        <f t="array" ref="CH419">SUM(IF(CE419:CF419&gt;=CE419, 1))</f>
        <v>2</v>
      </c>
      <c r="CI419" s="58">
        <f t="array" ref="CI419">SUM(IF(CE419:CF419&gt;=CF419, 1))</f>
        <v>1</v>
      </c>
      <c r="CK419" s="109">
        <f t="shared" si="186"/>
        <v>47495.517937062716</v>
      </c>
      <c r="CL419" s="109">
        <f t="shared" si="187"/>
        <v>48282.232623710224</v>
      </c>
      <c r="CN419" s="58">
        <f t="array" ref="CN419">SUM(IF(CK419:CL419&gt;=CK419, 1))</f>
        <v>2</v>
      </c>
      <c r="CO419" s="58">
        <f t="array" ref="CO419">SUM(IF(CK419:CL419&gt;=CL419, 1))</f>
        <v>1</v>
      </c>
      <c r="CQ419" s="109" cm="1">
        <f t="array" ref="CQ419">AF419*WTP-AC419</f>
        <v>40928.575401442147</v>
      </c>
      <c r="CR419" s="109">
        <f t="shared" si="188"/>
        <v>43232.979544867856</v>
      </c>
      <c r="CT419" s="58">
        <f t="array" ref="CT419">SUM(IF(CQ419:CR419&gt;=CQ419, 1))</f>
        <v>2</v>
      </c>
      <c r="CU419" s="58">
        <f t="array" ref="CU419">SUM(IF(CQ419:CR419&gt;=CR419, 1))</f>
        <v>1</v>
      </c>
      <c r="CW419" s="109">
        <f t="shared" si="189"/>
        <v>-41979863.762728944</v>
      </c>
      <c r="CX419" s="109">
        <f t="shared" si="190"/>
        <v>0</v>
      </c>
      <c r="CZ419" s="58">
        <f t="array" ref="CZ419">SUM(IF(CW419:CX419&gt;=CW419, 1))</f>
        <v>2</v>
      </c>
      <c r="DA419" s="58">
        <f t="array" ref="DA419">SUM(IF(CW419:CX419&gt;=CX419, 1))</f>
        <v>1</v>
      </c>
      <c r="DC419" s="109">
        <f t="shared" si="191"/>
        <v>-2419155.1758666858</v>
      </c>
      <c r="DD419" s="109">
        <f t="shared" si="192"/>
        <v>0</v>
      </c>
      <c r="DF419" s="58">
        <f t="array" ref="DF419">SUM(IF(DC419:DD419&gt;=DC419, 1))</f>
        <v>2</v>
      </c>
      <c r="DG419" s="58">
        <f t="array" ref="DG419">SUM(IF(DC419:DD419&gt;=DD419, 1))</f>
        <v>1</v>
      </c>
      <c r="DI419" s="109">
        <f t="shared" si="193"/>
        <v>-128899765.8910626</v>
      </c>
      <c r="DJ419" s="109">
        <f t="shared" si="194"/>
        <v>0</v>
      </c>
      <c r="DL419" s="58">
        <f t="array" ref="DL419">SUM(IF(DI419:DJ419&gt;=DI419, 1))</f>
        <v>2</v>
      </c>
      <c r="DM419" s="58">
        <f t="array" ref="DM419">SUM(IF(DI419:DJ419&gt;=DJ419, 1))</f>
        <v>1</v>
      </c>
      <c r="DO419" s="109">
        <f t="shared" si="195"/>
        <v>-7099148.9454193264</v>
      </c>
      <c r="DP419" s="109">
        <f t="shared" si="196"/>
        <v>0</v>
      </c>
      <c r="DR419" s="58">
        <f t="array" ref="DR419">SUM(IF(DO419:DP419&gt;=DO419, 1))</f>
        <v>2</v>
      </c>
      <c r="DS419" s="58">
        <f t="array" ref="DS419">SUM(IF(DO419:DP419&gt;=DP419, 1))</f>
        <v>1</v>
      </c>
      <c r="DU419" s="109">
        <f t="shared" si="197"/>
        <v>-35902398.162582628</v>
      </c>
      <c r="DV419" s="109">
        <f t="shared" si="198"/>
        <v>0</v>
      </c>
      <c r="DX419" s="58">
        <f t="array" ref="DX419">SUM(IF(DU419:DV419&gt;=DU419, 1))</f>
        <v>2</v>
      </c>
      <c r="DY419" s="58">
        <f t="array" ref="DY419">SUM(IF(DU419:DV419&gt;=DV419, 1))</f>
        <v>1</v>
      </c>
      <c r="EA419" s="109">
        <f t="shared" si="199"/>
        <v>-216300331.93766019</v>
      </c>
      <c r="EB419" s="109">
        <f t="shared" si="200"/>
        <v>0</v>
      </c>
      <c r="ED419" s="58">
        <f t="array" ref="ED419">SUM(IF(EA419:EB419&gt;=EA419, 1))</f>
        <v>2</v>
      </c>
      <c r="EE419" s="58">
        <f t="array" ref="EE419">SUM(IF(EA419:EB419&gt;=EB419, 1))</f>
        <v>1</v>
      </c>
    </row>
    <row r="420" spans="4:135" ht="12" customHeight="1" x14ac:dyDescent="0.25">
      <c r="D420" s="11">
        <v>404</v>
      </c>
      <c r="E420" s="72">
        <v>226.0796147274441</v>
      </c>
      <c r="F420" s="72">
        <v>195.99524283687862</v>
      </c>
      <c r="G420" s="73"/>
      <c r="H420" s="74">
        <v>5.8398909958007623</v>
      </c>
      <c r="I420" s="74">
        <v>5.8566418653076502</v>
      </c>
      <c r="J420" s="73"/>
      <c r="K420" s="72">
        <v>242.10971270940317</v>
      </c>
      <c r="L420" s="72">
        <v>211.31742120020124</v>
      </c>
      <c r="M420" s="73"/>
      <c r="N420" s="74">
        <v>6.6695326055217459</v>
      </c>
      <c r="O420" s="74">
        <v>6.6839168885287519</v>
      </c>
      <c r="P420" s="73"/>
      <c r="Q420" s="72">
        <v>2630.5319234798935</v>
      </c>
      <c r="R420" s="72">
        <v>1449.5328565367045</v>
      </c>
      <c r="S420" s="73"/>
      <c r="T420" s="74">
        <v>4.7320352390041176</v>
      </c>
      <c r="U420" s="74">
        <v>4.8203880202567939</v>
      </c>
      <c r="V420" s="73"/>
      <c r="W420" s="72">
        <v>12252.588676726878</v>
      </c>
      <c r="X420" s="72">
        <v>12243.790584015716</v>
      </c>
      <c r="Y420" s="73"/>
      <c r="Z420" s="74">
        <v>3.2477389192433002</v>
      </c>
      <c r="AA420" s="74">
        <v>3.3051499546523555</v>
      </c>
      <c r="AB420" s="73"/>
      <c r="AC420" s="72">
        <v>50658.313025509786</v>
      </c>
      <c r="AD420" s="72">
        <v>50401.752797229739</v>
      </c>
      <c r="AE420" s="73"/>
      <c r="AF420" s="74">
        <v>4.4582438938263804</v>
      </c>
      <c r="AG420" s="74">
        <v>4.5710653171873217</v>
      </c>
      <c r="AH420" s="73"/>
      <c r="AI420" s="72">
        <v>3221107.9508305998</v>
      </c>
      <c r="AJ420" s="72">
        <v>0</v>
      </c>
      <c r="AK420" s="73"/>
      <c r="AL420" s="74">
        <v>-1793.5012619918843</v>
      </c>
      <c r="AM420" s="74">
        <v>0</v>
      </c>
      <c r="AN420" s="73"/>
      <c r="AO420" s="72">
        <v>216322.93988474211</v>
      </c>
      <c r="AP420" s="72">
        <v>0</v>
      </c>
      <c r="AQ420" s="73"/>
      <c r="AR420" s="74">
        <v>-101.05290108986516</v>
      </c>
      <c r="AS420" s="74">
        <v>0</v>
      </c>
      <c r="AT420" s="73"/>
      <c r="AU420" s="72">
        <v>26863363.179859158</v>
      </c>
      <c r="AV420" s="72">
        <v>0</v>
      </c>
      <c r="AW420" s="73"/>
      <c r="AX420" s="74">
        <v>-2009.6991751945798</v>
      </c>
      <c r="AY420" s="74">
        <v>0</v>
      </c>
      <c r="AZ420" s="73"/>
      <c r="BA420" s="72">
        <v>77226.956937495197</v>
      </c>
      <c r="BB420" s="72">
        <v>0</v>
      </c>
      <c r="BC420" s="73"/>
      <c r="BD420" s="74">
        <v>-503.93644450315247</v>
      </c>
      <c r="BE420" s="74">
        <v>0</v>
      </c>
      <c r="BF420" s="73"/>
      <c r="BG420" s="72">
        <v>3923558.652163309</v>
      </c>
      <c r="BH420" s="72">
        <v>0</v>
      </c>
      <c r="BI420" s="73"/>
      <c r="BJ420" s="74">
        <v>-1725.3705874240836</v>
      </c>
      <c r="BK420" s="74">
        <v>0</v>
      </c>
      <c r="BL420" s="73"/>
      <c r="BM420" s="72">
        <v>34301579.679675303</v>
      </c>
      <c r="BN420" s="72">
        <v>0</v>
      </c>
      <c r="BO420" s="73"/>
      <c r="BP420" s="74">
        <v>-6133.560370203566</v>
      </c>
      <c r="BQ420" s="74">
        <v>0</v>
      </c>
      <c r="BS420" s="109">
        <f t="shared" si="180"/>
        <v>116571.74030128781</v>
      </c>
      <c r="BT420" s="109">
        <f t="shared" si="181"/>
        <v>116936.84206331611</v>
      </c>
      <c r="BV420" s="58">
        <f t="array" ref="BV420">SUM(IF(BS420:BT420&gt;=BS420, 1))</f>
        <v>2</v>
      </c>
      <c r="BW420" s="58">
        <f t="array" ref="BW420">SUM(IF(BS420:BT420&gt;=BT420, 1))</f>
        <v>1</v>
      </c>
      <c r="BY420" s="109">
        <f t="shared" si="182"/>
        <v>133148.54239772551</v>
      </c>
      <c r="BZ420" s="109">
        <f t="shared" si="183"/>
        <v>133467.02034937486</v>
      </c>
      <c r="CB420" s="58">
        <f t="array" ref="CB420">SUM(IF(BY420:BZ420&gt;=BY420, 1))</f>
        <v>2</v>
      </c>
      <c r="CC420" s="58">
        <f t="array" ref="CC420">SUM(IF(BY420:BZ420&gt;=BZ420, 1))</f>
        <v>1</v>
      </c>
      <c r="CE420" s="109">
        <f t="shared" si="184"/>
        <v>92010.172856602454</v>
      </c>
      <c r="CF420" s="109">
        <f t="shared" si="185"/>
        <v>94958.22754859917</v>
      </c>
      <c r="CH420" s="58">
        <f t="array" ref="CH420">SUM(IF(CE420:CF420&gt;=CE420, 1))</f>
        <v>2</v>
      </c>
      <c r="CI420" s="58">
        <f t="array" ref="CI420">SUM(IF(CE420:CF420&gt;=CF420, 1))</f>
        <v>1</v>
      </c>
      <c r="CK420" s="109">
        <f t="shared" si="186"/>
        <v>52702.189708139122</v>
      </c>
      <c r="CL420" s="109">
        <f t="shared" si="187"/>
        <v>53859.208509031392</v>
      </c>
      <c r="CN420" s="58">
        <f t="array" ref="CN420">SUM(IF(CK420:CL420&gt;=CK420, 1))</f>
        <v>2</v>
      </c>
      <c r="CO420" s="58">
        <f t="array" ref="CO420">SUM(IF(CK420:CL420&gt;=CL420, 1))</f>
        <v>1</v>
      </c>
      <c r="CQ420" s="109" cm="1">
        <f t="array" ref="CQ420">AF420*WTP-AC420</f>
        <v>38506.564851017822</v>
      </c>
      <c r="CR420" s="109">
        <f t="shared" si="188"/>
        <v>41019.55354651669</v>
      </c>
      <c r="CT420" s="58">
        <f t="array" ref="CT420">SUM(IF(CQ420:CR420&gt;=CQ420, 1))</f>
        <v>2</v>
      </c>
      <c r="CU420" s="58">
        <f t="array" ref="CU420">SUM(IF(CQ420:CR420&gt;=CR420, 1))</f>
        <v>1</v>
      </c>
      <c r="CW420" s="109">
        <f t="shared" si="189"/>
        <v>-39091133.190668285</v>
      </c>
      <c r="CX420" s="109">
        <f t="shared" si="190"/>
        <v>0</v>
      </c>
      <c r="CZ420" s="58">
        <f t="array" ref="CZ420">SUM(IF(CW420:CX420&gt;=CW420, 1))</f>
        <v>2</v>
      </c>
      <c r="DA420" s="58">
        <f t="array" ref="DA420">SUM(IF(CW420:CX420&gt;=CX420, 1))</f>
        <v>1</v>
      </c>
      <c r="DC420" s="109">
        <f t="shared" si="191"/>
        <v>-2237380.9616820454</v>
      </c>
      <c r="DD420" s="109">
        <f t="shared" si="192"/>
        <v>0</v>
      </c>
      <c r="DF420" s="58">
        <f t="array" ref="DF420">SUM(IF(DC420:DD420&gt;=DC420, 1))</f>
        <v>2</v>
      </c>
      <c r="DG420" s="58">
        <f t="array" ref="DG420">SUM(IF(DC420:DD420&gt;=DD420, 1))</f>
        <v>1</v>
      </c>
      <c r="DI420" s="109">
        <f t="shared" si="193"/>
        <v>-67057346.683750749</v>
      </c>
      <c r="DJ420" s="109">
        <f t="shared" si="194"/>
        <v>0</v>
      </c>
      <c r="DL420" s="58">
        <f t="array" ref="DL420">SUM(IF(DI420:DJ420&gt;=DI420, 1))</f>
        <v>2</v>
      </c>
      <c r="DM420" s="58">
        <f t="array" ref="DM420">SUM(IF(DI420:DJ420&gt;=DJ420, 1))</f>
        <v>1</v>
      </c>
      <c r="DO420" s="109">
        <f t="shared" si="195"/>
        <v>-10155955.847000545</v>
      </c>
      <c r="DP420" s="109">
        <f t="shared" si="196"/>
        <v>0</v>
      </c>
      <c r="DR420" s="58">
        <f t="array" ref="DR420">SUM(IF(DO420:DP420&gt;=DO420, 1))</f>
        <v>2</v>
      </c>
      <c r="DS420" s="58">
        <f t="array" ref="DS420">SUM(IF(DO420:DP420&gt;=DP420, 1))</f>
        <v>1</v>
      </c>
      <c r="DU420" s="109">
        <f t="shared" si="197"/>
        <v>-38430970.400644988</v>
      </c>
      <c r="DV420" s="109">
        <f t="shared" si="198"/>
        <v>0</v>
      </c>
      <c r="DX420" s="58">
        <f t="array" ref="DX420">SUM(IF(DU420:DV420&gt;=DU420, 1))</f>
        <v>2</v>
      </c>
      <c r="DY420" s="58">
        <f t="array" ref="DY420">SUM(IF(DU420:DV420&gt;=DV420, 1))</f>
        <v>1</v>
      </c>
      <c r="EA420" s="109">
        <f t="shared" si="199"/>
        <v>-156972787.08374661</v>
      </c>
      <c r="EB420" s="109">
        <f t="shared" si="200"/>
        <v>0</v>
      </c>
      <c r="ED420" s="58">
        <f t="array" ref="ED420">SUM(IF(EA420:EB420&gt;=EA420, 1))</f>
        <v>2</v>
      </c>
      <c r="EE420" s="58">
        <f t="array" ref="EE420">SUM(IF(EA420:EB420&gt;=EB420, 1))</f>
        <v>1</v>
      </c>
    </row>
    <row r="421" spans="4:135" ht="12" customHeight="1" x14ac:dyDescent="0.25">
      <c r="D421" s="11">
        <v>405</v>
      </c>
      <c r="E421" s="72">
        <v>254.87075030205546</v>
      </c>
      <c r="F421" s="72">
        <v>230.00857594925213</v>
      </c>
      <c r="G421" s="73"/>
      <c r="H421" s="74">
        <v>5.8268146768977029</v>
      </c>
      <c r="I421" s="74">
        <v>5.8398857025412561</v>
      </c>
      <c r="J421" s="73"/>
      <c r="K421" s="72">
        <v>273.34173421847316</v>
      </c>
      <c r="L421" s="72">
        <v>247.8939795192239</v>
      </c>
      <c r="M421" s="73"/>
      <c r="N421" s="74">
        <v>6.6458388154261652</v>
      </c>
      <c r="O421" s="74">
        <v>6.6571603540516415</v>
      </c>
      <c r="P421" s="73"/>
      <c r="Q421" s="72">
        <v>1357.8730176256877</v>
      </c>
      <c r="R421" s="72">
        <v>1191.2061835132035</v>
      </c>
      <c r="S421" s="73"/>
      <c r="T421" s="74">
        <v>4.7706596387042079</v>
      </c>
      <c r="U421" s="74">
        <v>4.8085513219828684</v>
      </c>
      <c r="V421" s="73"/>
      <c r="W421" s="72">
        <v>7588.9237431449401</v>
      </c>
      <c r="X421" s="72">
        <v>7608.7170211241937</v>
      </c>
      <c r="Y421" s="73"/>
      <c r="Z421" s="74">
        <v>2.9458237264180509</v>
      </c>
      <c r="AA421" s="74">
        <v>3.0186214228847166</v>
      </c>
      <c r="AB421" s="73"/>
      <c r="AC421" s="72">
        <v>52654.69622308384</v>
      </c>
      <c r="AD421" s="72">
        <v>52587.234714866943</v>
      </c>
      <c r="AE421" s="73"/>
      <c r="AF421" s="74">
        <v>4.9792807406180417</v>
      </c>
      <c r="AG421" s="74">
        <v>5.0751542572387516</v>
      </c>
      <c r="AH421" s="73"/>
      <c r="AI421" s="72">
        <v>2698161.0685244454</v>
      </c>
      <c r="AJ421" s="72">
        <v>0</v>
      </c>
      <c r="AK421" s="73"/>
      <c r="AL421" s="74">
        <v>-1418.5296915972717</v>
      </c>
      <c r="AM421" s="74">
        <v>0</v>
      </c>
      <c r="AN421" s="73"/>
      <c r="AO421" s="72">
        <v>183359.95991100537</v>
      </c>
      <c r="AP421" s="72">
        <v>0</v>
      </c>
      <c r="AQ421" s="73"/>
      <c r="AR421" s="74">
        <v>-81.575639699147445</v>
      </c>
      <c r="AS421" s="74">
        <v>0</v>
      </c>
      <c r="AT421" s="73"/>
      <c r="AU421" s="72">
        <v>3816611.2516461224</v>
      </c>
      <c r="AV421" s="72">
        <v>0</v>
      </c>
      <c r="AW421" s="73"/>
      <c r="AX421" s="74">
        <v>-867.70607670836</v>
      </c>
      <c r="AY421" s="74">
        <v>0</v>
      </c>
      <c r="AZ421" s="73"/>
      <c r="BA421" s="72">
        <v>-169146.46031697685</v>
      </c>
      <c r="BB421" s="72">
        <v>0</v>
      </c>
      <c r="BC421" s="73"/>
      <c r="BD421" s="74">
        <v>-622.10376115934889</v>
      </c>
      <c r="BE421" s="74">
        <v>0</v>
      </c>
      <c r="BF421" s="73"/>
      <c r="BG421" s="72">
        <v>1031353.3362419821</v>
      </c>
      <c r="BH421" s="72">
        <v>0</v>
      </c>
      <c r="BI421" s="73"/>
      <c r="BJ421" s="74">
        <v>-1465.7168782250051</v>
      </c>
      <c r="BK421" s="74">
        <v>0</v>
      </c>
      <c r="BL421" s="73"/>
      <c r="BM421" s="72">
        <v>7560339.1560065793</v>
      </c>
      <c r="BN421" s="72">
        <v>0</v>
      </c>
      <c r="BO421" s="73"/>
      <c r="BP421" s="74">
        <v>-4455.6320473891328</v>
      </c>
      <c r="BQ421" s="74">
        <v>0</v>
      </c>
      <c r="BS421" s="109">
        <f t="shared" si="180"/>
        <v>116281.422787652</v>
      </c>
      <c r="BT421" s="109">
        <f t="shared" si="181"/>
        <v>116567.70547487587</v>
      </c>
      <c r="BV421" s="58">
        <f t="array" ref="BV421">SUM(IF(BS421:BT421&gt;=BS421, 1))</f>
        <v>2</v>
      </c>
      <c r="BW421" s="58">
        <f t="array" ref="BW421">SUM(IF(BS421:BT421&gt;=BT421, 1))</f>
        <v>1</v>
      </c>
      <c r="BY421" s="109">
        <f t="shared" si="182"/>
        <v>132643.43457430485</v>
      </c>
      <c r="BZ421" s="109">
        <f t="shared" si="183"/>
        <v>132895.3131015136</v>
      </c>
      <c r="CB421" s="58">
        <f t="array" ref="CB421">SUM(IF(BY421:BZ421&gt;=BY421, 1))</f>
        <v>2</v>
      </c>
      <c r="CC421" s="58">
        <f t="array" ref="CC421">SUM(IF(BY421:BZ421&gt;=BZ421, 1))</f>
        <v>1</v>
      </c>
      <c r="CE421" s="109">
        <f t="shared" si="184"/>
        <v>94055.31975645847</v>
      </c>
      <c r="CF421" s="109">
        <f t="shared" si="185"/>
        <v>94979.820256144158</v>
      </c>
      <c r="CH421" s="58">
        <f t="array" ref="CH421">SUM(IF(CE421:CF421&gt;=CE421, 1))</f>
        <v>2</v>
      </c>
      <c r="CI421" s="58">
        <f t="array" ref="CI421">SUM(IF(CE421:CF421&gt;=CF421, 1))</f>
        <v>1</v>
      </c>
      <c r="CK421" s="109">
        <f t="shared" si="186"/>
        <v>51327.550785216081</v>
      </c>
      <c r="CL421" s="109">
        <f t="shared" si="187"/>
        <v>52763.711436570142</v>
      </c>
      <c r="CN421" s="58">
        <f t="array" ref="CN421">SUM(IF(CK421:CL421&gt;=CK421, 1))</f>
        <v>2</v>
      </c>
      <c r="CO421" s="58">
        <f t="array" ref="CO421">SUM(IF(CK421:CL421&gt;=CL421, 1))</f>
        <v>1</v>
      </c>
      <c r="CQ421" s="109" cm="1">
        <f t="array" ref="CQ421">AF421*WTP-AC421</f>
        <v>46930.918589276989</v>
      </c>
      <c r="CR421" s="109">
        <f t="shared" si="188"/>
        <v>48915.850429908089</v>
      </c>
      <c r="CT421" s="58">
        <f t="array" ref="CT421">SUM(IF(CQ421:CR421&gt;=CQ421, 1))</f>
        <v>2</v>
      </c>
      <c r="CU421" s="58">
        <f t="array" ref="CU421">SUM(IF(CQ421:CR421&gt;=CR421, 1))</f>
        <v>1</v>
      </c>
      <c r="CW421" s="109">
        <f t="shared" si="189"/>
        <v>-31068754.900469881</v>
      </c>
      <c r="CX421" s="109">
        <f t="shared" si="190"/>
        <v>0</v>
      </c>
      <c r="CZ421" s="58">
        <f t="array" ref="CZ421">SUM(IF(CW421:CX421&gt;=CW421, 1))</f>
        <v>2</v>
      </c>
      <c r="DA421" s="58">
        <f t="array" ref="DA421">SUM(IF(CW421:CX421&gt;=CX421, 1))</f>
        <v>1</v>
      </c>
      <c r="DC421" s="109">
        <f t="shared" si="191"/>
        <v>-1814872.7538939542</v>
      </c>
      <c r="DD421" s="109">
        <f t="shared" si="192"/>
        <v>0</v>
      </c>
      <c r="DF421" s="58">
        <f t="array" ref="DF421">SUM(IF(DC421:DD421&gt;=DC421, 1))</f>
        <v>2</v>
      </c>
      <c r="DG421" s="58">
        <f t="array" ref="DG421">SUM(IF(DC421:DD421&gt;=DD421, 1))</f>
        <v>1</v>
      </c>
      <c r="DI421" s="109">
        <f t="shared" si="193"/>
        <v>-21170732.785813324</v>
      </c>
      <c r="DJ421" s="109">
        <f t="shared" si="194"/>
        <v>0</v>
      </c>
      <c r="DL421" s="58">
        <f t="array" ref="DL421">SUM(IF(DI421:DJ421&gt;=DI421, 1))</f>
        <v>2</v>
      </c>
      <c r="DM421" s="58">
        <f t="array" ref="DM421">SUM(IF(DI421:DJ421&gt;=DJ421, 1))</f>
        <v>1</v>
      </c>
      <c r="DO421" s="109">
        <f t="shared" si="195"/>
        <v>-12272928.762870001</v>
      </c>
      <c r="DP421" s="109">
        <f t="shared" si="196"/>
        <v>0</v>
      </c>
      <c r="DR421" s="58">
        <f t="array" ref="DR421">SUM(IF(DO421:DP421&gt;=DO421, 1))</f>
        <v>2</v>
      </c>
      <c r="DS421" s="58">
        <f t="array" ref="DS421">SUM(IF(DO421:DP421&gt;=DP421, 1))</f>
        <v>1</v>
      </c>
      <c r="DU421" s="109">
        <f t="shared" si="197"/>
        <v>-30345690.900742084</v>
      </c>
      <c r="DV421" s="109">
        <f t="shared" si="198"/>
        <v>0</v>
      </c>
      <c r="DX421" s="58">
        <f t="array" ref="DX421">SUM(IF(DU421:DV421&gt;=DU421, 1))</f>
        <v>2</v>
      </c>
      <c r="DY421" s="58">
        <f t="array" ref="DY421">SUM(IF(DU421:DV421&gt;=DV421, 1))</f>
        <v>1</v>
      </c>
      <c r="EA421" s="109">
        <f t="shared" si="199"/>
        <v>-96672980.103789225</v>
      </c>
      <c r="EB421" s="109">
        <f t="shared" si="200"/>
        <v>0</v>
      </c>
      <c r="ED421" s="58">
        <f t="array" ref="ED421">SUM(IF(EA421:EB421&gt;=EA421, 1))</f>
        <v>2</v>
      </c>
      <c r="EE421" s="58">
        <f t="array" ref="EE421">SUM(IF(EA421:EB421&gt;=EB421, 1))</f>
        <v>1</v>
      </c>
    </row>
    <row r="422" spans="4:135" ht="12" customHeight="1" x14ac:dyDescent="0.25">
      <c r="D422" s="11">
        <v>406</v>
      </c>
      <c r="E422" s="72">
        <v>256.88329976029956</v>
      </c>
      <c r="F422" s="72">
        <v>230.2120450057941</v>
      </c>
      <c r="G422" s="73"/>
      <c r="H422" s="74">
        <v>5.778495057048298</v>
      </c>
      <c r="I422" s="74">
        <v>5.7977889868084782</v>
      </c>
      <c r="J422" s="73"/>
      <c r="K422" s="72">
        <v>275.5605065196234</v>
      </c>
      <c r="L422" s="72">
        <v>248.25190880736437</v>
      </c>
      <c r="M422" s="73"/>
      <c r="N422" s="74">
        <v>6.7003605121059149</v>
      </c>
      <c r="O422" s="74">
        <v>6.7170027102126406</v>
      </c>
      <c r="P422" s="73"/>
      <c r="Q422" s="72">
        <v>2939.6093004144673</v>
      </c>
      <c r="R422" s="72">
        <v>1775.0601320650671</v>
      </c>
      <c r="S422" s="73"/>
      <c r="T422" s="74">
        <v>4.7710214751936331</v>
      </c>
      <c r="U422" s="74">
        <v>4.8434353835869439</v>
      </c>
      <c r="V422" s="73"/>
      <c r="W422" s="72">
        <v>12465.438010955357</v>
      </c>
      <c r="X422" s="72">
        <v>12425.264010833955</v>
      </c>
      <c r="Y422" s="73"/>
      <c r="Z422" s="74">
        <v>2.927285187496198</v>
      </c>
      <c r="AA422" s="74">
        <v>2.9755310457656323</v>
      </c>
      <c r="AB422" s="73"/>
      <c r="AC422" s="72">
        <v>49678.430265657124</v>
      </c>
      <c r="AD422" s="72">
        <v>49688.151649418112</v>
      </c>
      <c r="AE422" s="73"/>
      <c r="AF422" s="74">
        <v>4.0794711187312105</v>
      </c>
      <c r="AG422" s="74">
        <v>4.1339428713573616</v>
      </c>
      <c r="AH422" s="73"/>
      <c r="AI422" s="72">
        <v>2879051.1673219642</v>
      </c>
      <c r="AJ422" s="72">
        <v>0</v>
      </c>
      <c r="AK422" s="73"/>
      <c r="AL422" s="74">
        <v>-2082.6995771127417</v>
      </c>
      <c r="AM422" s="74">
        <v>0</v>
      </c>
      <c r="AN422" s="73"/>
      <c r="AO422" s="72">
        <v>183272.32224007149</v>
      </c>
      <c r="AP422" s="72">
        <v>0</v>
      </c>
      <c r="AQ422" s="73"/>
      <c r="AR422" s="74">
        <v>-111.68842597984279</v>
      </c>
      <c r="AS422" s="74">
        <v>0</v>
      </c>
      <c r="AT422" s="73"/>
      <c r="AU422" s="72">
        <v>26766133.412154831</v>
      </c>
      <c r="AV422" s="72">
        <v>0</v>
      </c>
      <c r="AW422" s="73"/>
      <c r="AX422" s="74">
        <v>-1664.3696853934689</v>
      </c>
      <c r="AY422" s="74">
        <v>0</v>
      </c>
      <c r="AZ422" s="73"/>
      <c r="BA422" s="72">
        <v>347719.85207994608</v>
      </c>
      <c r="BB422" s="72">
        <v>0</v>
      </c>
      <c r="BC422" s="73"/>
      <c r="BD422" s="74">
        <v>-417.58457336143039</v>
      </c>
      <c r="BE422" s="74">
        <v>0</v>
      </c>
      <c r="BF422" s="73"/>
      <c r="BG422" s="72">
        <v>-149524.27601697142</v>
      </c>
      <c r="BH422" s="72">
        <v>0</v>
      </c>
      <c r="BI422" s="73"/>
      <c r="BJ422" s="74">
        <v>-837.82819144384212</v>
      </c>
      <c r="BK422" s="74">
        <v>0</v>
      </c>
      <c r="BL422" s="73"/>
      <c r="BM422" s="72">
        <v>30026652.477779839</v>
      </c>
      <c r="BN422" s="72">
        <v>0</v>
      </c>
      <c r="BO422" s="73"/>
      <c r="BP422" s="74">
        <v>-5114.1704532913254</v>
      </c>
      <c r="BQ422" s="74">
        <v>0</v>
      </c>
      <c r="BS422" s="109">
        <f t="shared" si="180"/>
        <v>115313.01784120566</v>
      </c>
      <c r="BT422" s="109">
        <f t="shared" si="181"/>
        <v>115725.56769116377</v>
      </c>
      <c r="BV422" s="58">
        <f t="array" ref="BV422">SUM(IF(BS422:BT422&gt;=BS422, 1))</f>
        <v>2</v>
      </c>
      <c r="BW422" s="58">
        <f t="array" ref="BW422">SUM(IF(BS422:BT422&gt;=BT422, 1))</f>
        <v>1</v>
      </c>
      <c r="BY422" s="109">
        <f t="shared" si="182"/>
        <v>133731.64973559868</v>
      </c>
      <c r="BZ422" s="109">
        <f t="shared" si="183"/>
        <v>134091.80229544544</v>
      </c>
      <c r="CB422" s="58">
        <f t="array" ref="CB422">SUM(IF(BY422:BZ422&gt;=BY422, 1))</f>
        <v>2</v>
      </c>
      <c r="CC422" s="58">
        <f t="array" ref="CC422">SUM(IF(BY422:BZ422&gt;=BZ422, 1))</f>
        <v>1</v>
      </c>
      <c r="CE422" s="109">
        <f t="shared" si="184"/>
        <v>92480.820203458192</v>
      </c>
      <c r="CF422" s="109">
        <f t="shared" si="185"/>
        <v>95093.647539673824</v>
      </c>
      <c r="CH422" s="58">
        <f t="array" ref="CH422">SUM(IF(CE422:CF422&gt;=CE422, 1))</f>
        <v>2</v>
      </c>
      <c r="CI422" s="58">
        <f t="array" ref="CI422">SUM(IF(CE422:CF422&gt;=CF422, 1))</f>
        <v>1</v>
      </c>
      <c r="CK422" s="109">
        <f t="shared" si="186"/>
        <v>46080.265738968606</v>
      </c>
      <c r="CL422" s="109">
        <f t="shared" si="187"/>
        <v>47085.356904478693</v>
      </c>
      <c r="CN422" s="58">
        <f t="array" ref="CN422">SUM(IF(CK422:CL422&gt;=CK422, 1))</f>
        <v>2</v>
      </c>
      <c r="CO422" s="58">
        <f t="array" ref="CO422">SUM(IF(CK422:CL422&gt;=CL422, 1))</f>
        <v>1</v>
      </c>
      <c r="CQ422" s="109" cm="1">
        <f t="array" ref="CQ422">AF422*WTP-AC422</f>
        <v>31910.992108967082</v>
      </c>
      <c r="CR422" s="109">
        <f t="shared" si="188"/>
        <v>32990.705777729119</v>
      </c>
      <c r="CT422" s="58">
        <f t="array" ref="CT422">SUM(IF(CQ422:CR422&gt;=CQ422, 1))</f>
        <v>2</v>
      </c>
      <c r="CU422" s="58">
        <f t="array" ref="CU422">SUM(IF(CQ422:CR422&gt;=CR422, 1))</f>
        <v>1</v>
      </c>
      <c r="CW422" s="109">
        <f t="shared" si="189"/>
        <v>-44533042.7095768</v>
      </c>
      <c r="CX422" s="109">
        <f t="shared" si="190"/>
        <v>0</v>
      </c>
      <c r="CZ422" s="58">
        <f t="array" ref="CZ422">SUM(IF(CW422:CX422&gt;=CW422, 1))</f>
        <v>2</v>
      </c>
      <c r="DA422" s="58">
        <f t="array" ref="DA422">SUM(IF(CW422:CX422&gt;=CX422, 1))</f>
        <v>1</v>
      </c>
      <c r="DC422" s="109">
        <f t="shared" si="191"/>
        <v>-2417040.841836927</v>
      </c>
      <c r="DD422" s="109">
        <f t="shared" si="192"/>
        <v>0</v>
      </c>
      <c r="DF422" s="58">
        <f t="array" ref="DF422">SUM(IF(DC422:DD422&gt;=DC422, 1))</f>
        <v>2</v>
      </c>
      <c r="DG422" s="58">
        <f t="array" ref="DG422">SUM(IF(DC422:DD422&gt;=DD422, 1))</f>
        <v>1</v>
      </c>
      <c r="DI422" s="109">
        <f t="shared" si="193"/>
        <v>-60053527.120024204</v>
      </c>
      <c r="DJ422" s="109">
        <f t="shared" si="194"/>
        <v>0</v>
      </c>
      <c r="DL422" s="58">
        <f t="array" ref="DL422">SUM(IF(DI422:DJ422&gt;=DI422, 1))</f>
        <v>2</v>
      </c>
      <c r="DM422" s="58">
        <f t="array" ref="DM422">SUM(IF(DI422:DJ422&gt;=DJ422, 1))</f>
        <v>1</v>
      </c>
      <c r="DO422" s="109">
        <f t="shared" si="195"/>
        <v>-8699411.3193085529</v>
      </c>
      <c r="DP422" s="109">
        <f t="shared" si="196"/>
        <v>0</v>
      </c>
      <c r="DR422" s="58">
        <f t="array" ref="DR422">SUM(IF(DO422:DP422&gt;=DO422, 1))</f>
        <v>2</v>
      </c>
      <c r="DS422" s="58">
        <f t="array" ref="DS422">SUM(IF(DO422:DP422&gt;=DP422, 1))</f>
        <v>1</v>
      </c>
      <c r="DU422" s="109">
        <f t="shared" si="197"/>
        <v>-16607039.552859871</v>
      </c>
      <c r="DV422" s="109">
        <f t="shared" si="198"/>
        <v>0</v>
      </c>
      <c r="DX422" s="58">
        <f t="array" ref="DX422">SUM(IF(DU422:DV422&gt;=DU422, 1))</f>
        <v>2</v>
      </c>
      <c r="DY422" s="58">
        <f t="array" ref="DY422">SUM(IF(DU422:DV422&gt;=DV422, 1))</f>
        <v>1</v>
      </c>
      <c r="EA422" s="109">
        <f t="shared" si="199"/>
        <v>-132310061.54360634</v>
      </c>
      <c r="EB422" s="109">
        <f t="shared" si="200"/>
        <v>0</v>
      </c>
      <c r="ED422" s="58">
        <f t="array" ref="ED422">SUM(IF(EA422:EB422&gt;=EA422, 1))</f>
        <v>2</v>
      </c>
      <c r="EE422" s="58">
        <f t="array" ref="EE422">SUM(IF(EA422:EB422&gt;=EB422, 1))</f>
        <v>1</v>
      </c>
    </row>
    <row r="423" spans="4:135" ht="12" customHeight="1" x14ac:dyDescent="0.25">
      <c r="D423" s="11">
        <v>407</v>
      </c>
      <c r="E423" s="72">
        <v>256.90596583945944</v>
      </c>
      <c r="F423" s="72">
        <v>244.60917510061091</v>
      </c>
      <c r="G423" s="73"/>
      <c r="H423" s="74">
        <v>5.8710376315853718</v>
      </c>
      <c r="I423" s="74">
        <v>5.8885834067437974</v>
      </c>
      <c r="J423" s="73"/>
      <c r="K423" s="72">
        <v>276.4506273228572</v>
      </c>
      <c r="L423" s="72">
        <v>263.81957037313288</v>
      </c>
      <c r="M423" s="73"/>
      <c r="N423" s="74">
        <v>6.7686256171740418</v>
      </c>
      <c r="O423" s="74">
        <v>6.7840437232697059</v>
      </c>
      <c r="P423" s="73"/>
      <c r="Q423" s="72">
        <v>1997.8551669337462</v>
      </c>
      <c r="R423" s="72">
        <v>1163.0997299039573</v>
      </c>
      <c r="S423" s="73"/>
      <c r="T423" s="74">
        <v>4.964159794233594</v>
      </c>
      <c r="U423" s="74">
        <v>5.0668492588829448</v>
      </c>
      <c r="V423" s="73"/>
      <c r="W423" s="72">
        <v>11252.469378157602</v>
      </c>
      <c r="X423" s="72">
        <v>11270.610108139153</v>
      </c>
      <c r="Y423" s="73"/>
      <c r="Z423" s="74">
        <v>2.9322363459305185</v>
      </c>
      <c r="AA423" s="74">
        <v>2.9948084533730799</v>
      </c>
      <c r="AB423" s="73"/>
      <c r="AC423" s="72">
        <v>49978.375444859521</v>
      </c>
      <c r="AD423" s="72">
        <v>49829.632739522887</v>
      </c>
      <c r="AE423" s="73"/>
      <c r="AF423" s="74">
        <v>4.0275929393806242</v>
      </c>
      <c r="AG423" s="74">
        <v>4.1711410003572578</v>
      </c>
      <c r="AH423" s="73"/>
      <c r="AI423" s="72">
        <v>1321432.9256503463</v>
      </c>
      <c r="AJ423" s="72">
        <v>0</v>
      </c>
      <c r="AK423" s="73"/>
      <c r="AL423" s="74">
        <v>-1885.4972401175135</v>
      </c>
      <c r="AM423" s="74">
        <v>0</v>
      </c>
      <c r="AN423" s="73"/>
      <c r="AO423" s="72">
        <v>83023.958716420369</v>
      </c>
      <c r="AP423" s="72">
        <v>0</v>
      </c>
      <c r="AQ423" s="73"/>
      <c r="AR423" s="74">
        <v>-101.34323747148891</v>
      </c>
      <c r="AS423" s="74">
        <v>0</v>
      </c>
      <c r="AT423" s="73"/>
      <c r="AU423" s="72">
        <v>19757935.511663873</v>
      </c>
      <c r="AV423" s="72">
        <v>0</v>
      </c>
      <c r="AW423" s="73"/>
      <c r="AX423" s="74">
        <v>-2430.5703566166244</v>
      </c>
      <c r="AY423" s="74">
        <v>0</v>
      </c>
      <c r="AZ423" s="73"/>
      <c r="BA423" s="72">
        <v>-159896.79695851641</v>
      </c>
      <c r="BB423" s="72">
        <v>0</v>
      </c>
      <c r="BC423" s="73"/>
      <c r="BD423" s="74">
        <v>-551.52574175266489</v>
      </c>
      <c r="BE423" s="74">
        <v>0</v>
      </c>
      <c r="BF423" s="73"/>
      <c r="BG423" s="72">
        <v>2361498.1312794285</v>
      </c>
      <c r="BH423" s="72">
        <v>0</v>
      </c>
      <c r="BI423" s="73"/>
      <c r="BJ423" s="74">
        <v>-2279.0258989703643</v>
      </c>
      <c r="BK423" s="74">
        <v>0</v>
      </c>
      <c r="BL423" s="73"/>
      <c r="BM423" s="72">
        <v>23363993.730351549</v>
      </c>
      <c r="BN423" s="72">
        <v>0</v>
      </c>
      <c r="BO423" s="73"/>
      <c r="BP423" s="74">
        <v>-7247.9624749286559</v>
      </c>
      <c r="BQ423" s="74">
        <v>0</v>
      </c>
      <c r="BS423" s="109">
        <f t="shared" si="180"/>
        <v>117163.84666586798</v>
      </c>
      <c r="BT423" s="109">
        <f t="shared" si="181"/>
        <v>117527.05895977533</v>
      </c>
      <c r="BV423" s="58">
        <f t="array" ref="BV423">SUM(IF(BS423:BT423&gt;=BS423, 1))</f>
        <v>2</v>
      </c>
      <c r="BW423" s="58">
        <f t="array" ref="BW423">SUM(IF(BS423:BT423&gt;=BT423, 1))</f>
        <v>1</v>
      </c>
      <c r="BY423" s="109">
        <f t="shared" si="182"/>
        <v>135096.06171615797</v>
      </c>
      <c r="BZ423" s="109">
        <f t="shared" si="183"/>
        <v>135417.05489502099</v>
      </c>
      <c r="CB423" s="58">
        <f t="array" ref="CB423">SUM(IF(BY423:BZ423&gt;=BY423, 1))</f>
        <v>2</v>
      </c>
      <c r="CC423" s="58">
        <f t="array" ref="CC423">SUM(IF(BY423:BZ423&gt;=BZ423, 1))</f>
        <v>1</v>
      </c>
      <c r="CE423" s="109">
        <f t="shared" si="184"/>
        <v>97285.34071773813</v>
      </c>
      <c r="CF423" s="109">
        <f t="shared" si="185"/>
        <v>100173.88544775493</v>
      </c>
      <c r="CH423" s="58">
        <f t="array" ref="CH423">SUM(IF(CE423:CF423&gt;=CE423, 1))</f>
        <v>2</v>
      </c>
      <c r="CI423" s="58">
        <f t="array" ref="CI423">SUM(IF(CE423:CF423&gt;=CF423, 1))</f>
        <v>1</v>
      </c>
      <c r="CK423" s="109">
        <f t="shared" si="186"/>
        <v>47392.257540452774</v>
      </c>
      <c r="CL423" s="109">
        <f t="shared" si="187"/>
        <v>48625.558959322443</v>
      </c>
      <c r="CN423" s="58">
        <f t="array" ref="CN423">SUM(IF(CK423:CL423&gt;=CK423, 1))</f>
        <v>2</v>
      </c>
      <c r="CO423" s="58">
        <f t="array" ref="CO423">SUM(IF(CK423:CL423&gt;=CL423, 1))</f>
        <v>1</v>
      </c>
      <c r="CQ423" s="109" cm="1">
        <f t="array" ref="CQ423">AF423*WTP-AC423</f>
        <v>30573.483342752959</v>
      </c>
      <c r="CR423" s="109">
        <f t="shared" si="188"/>
        <v>33593.18726762227</v>
      </c>
      <c r="CT423" s="58">
        <f t="array" ref="CT423">SUM(IF(CQ423:CR423&gt;=CQ423, 1))</f>
        <v>2</v>
      </c>
      <c r="CU423" s="58">
        <f t="array" ref="CU423">SUM(IF(CQ423:CR423&gt;=CR423, 1))</f>
        <v>1</v>
      </c>
      <c r="CW423" s="109">
        <f t="shared" si="189"/>
        <v>-39031377.728000611</v>
      </c>
      <c r="CX423" s="109">
        <f t="shared" si="190"/>
        <v>0</v>
      </c>
      <c r="CZ423" s="58">
        <f t="array" ref="CZ423">SUM(IF(CW423:CX423&gt;=CW423, 1))</f>
        <v>2</v>
      </c>
      <c r="DA423" s="58">
        <f t="array" ref="DA423">SUM(IF(CW423:CX423&gt;=CX423, 1))</f>
        <v>1</v>
      </c>
      <c r="DC423" s="109">
        <f t="shared" si="191"/>
        <v>-2109888.7081461987</v>
      </c>
      <c r="DD423" s="109">
        <f t="shared" si="192"/>
        <v>0</v>
      </c>
      <c r="DF423" s="58">
        <f t="array" ref="DF423">SUM(IF(DC423:DD423&gt;=DC423, 1))</f>
        <v>2</v>
      </c>
      <c r="DG423" s="58">
        <f t="array" ref="DG423">SUM(IF(DC423:DD423&gt;=DD423, 1))</f>
        <v>1</v>
      </c>
      <c r="DI423" s="109">
        <f t="shared" si="193"/>
        <v>-68369342.643996358</v>
      </c>
      <c r="DJ423" s="109">
        <f t="shared" si="194"/>
        <v>0</v>
      </c>
      <c r="DL423" s="58">
        <f t="array" ref="DL423">SUM(IF(DI423:DJ423&gt;=DI423, 1))</f>
        <v>2</v>
      </c>
      <c r="DM423" s="58">
        <f t="array" ref="DM423">SUM(IF(DI423:DJ423&gt;=DJ423, 1))</f>
        <v>1</v>
      </c>
      <c r="DO423" s="109">
        <f t="shared" si="195"/>
        <v>-10870618.038094781</v>
      </c>
      <c r="DP423" s="109">
        <f t="shared" si="196"/>
        <v>0</v>
      </c>
      <c r="DR423" s="58">
        <f t="array" ref="DR423">SUM(IF(DO423:DP423&gt;=DO423, 1))</f>
        <v>2</v>
      </c>
      <c r="DS423" s="58">
        <f t="array" ref="DS423">SUM(IF(DO423:DP423&gt;=DP423, 1))</f>
        <v>1</v>
      </c>
      <c r="DU423" s="109">
        <f t="shared" si="197"/>
        <v>-47942016.110686719</v>
      </c>
      <c r="DV423" s="109">
        <f t="shared" si="198"/>
        <v>0</v>
      </c>
      <c r="DX423" s="58">
        <f t="array" ref="DX423">SUM(IF(DU423:DV423&gt;=DU423, 1))</f>
        <v>2</v>
      </c>
      <c r="DY423" s="58">
        <f t="array" ref="DY423">SUM(IF(DU423:DV423&gt;=DV423, 1))</f>
        <v>1</v>
      </c>
      <c r="EA423" s="109">
        <f t="shared" si="199"/>
        <v>-168323243.22892466</v>
      </c>
      <c r="EB423" s="109">
        <f t="shared" si="200"/>
        <v>0</v>
      </c>
      <c r="ED423" s="58">
        <f t="array" ref="ED423">SUM(IF(EA423:EB423&gt;=EA423, 1))</f>
        <v>2</v>
      </c>
      <c r="EE423" s="58">
        <f t="array" ref="EE423">SUM(IF(EA423:EB423&gt;=EB423, 1))</f>
        <v>1</v>
      </c>
    </row>
    <row r="424" spans="4:135" ht="12" customHeight="1" x14ac:dyDescent="0.25">
      <c r="D424" s="11">
        <v>408</v>
      </c>
      <c r="E424" s="72">
        <v>269.58101677719304</v>
      </c>
      <c r="F424" s="72">
        <v>243.03555536738958</v>
      </c>
      <c r="G424" s="73"/>
      <c r="H424" s="74">
        <v>5.792276654846864</v>
      </c>
      <c r="I424" s="74">
        <v>5.8086630410935971</v>
      </c>
      <c r="J424" s="73"/>
      <c r="K424" s="72">
        <v>289.17303198342972</v>
      </c>
      <c r="L424" s="72">
        <v>261.99733375210036</v>
      </c>
      <c r="M424" s="73"/>
      <c r="N424" s="74">
        <v>6.6812046241010972</v>
      </c>
      <c r="O424" s="74">
        <v>6.6957788790457595</v>
      </c>
      <c r="P424" s="73"/>
      <c r="Q424" s="72">
        <v>2251.4507707763964</v>
      </c>
      <c r="R424" s="72">
        <v>1238.2981016766619</v>
      </c>
      <c r="S424" s="73"/>
      <c r="T424" s="74">
        <v>4.7557049697287104</v>
      </c>
      <c r="U424" s="74">
        <v>4.8350521896501135</v>
      </c>
      <c r="V424" s="73"/>
      <c r="W424" s="72">
        <v>12576.851605269136</v>
      </c>
      <c r="X424" s="72">
        <v>12568.985738665748</v>
      </c>
      <c r="Y424" s="73"/>
      <c r="Z424" s="74">
        <v>2.9360380214980371</v>
      </c>
      <c r="AA424" s="74">
        <v>2.9945692625727984</v>
      </c>
      <c r="AB424" s="73"/>
      <c r="AC424" s="72">
        <v>49858.696134134982</v>
      </c>
      <c r="AD424" s="72">
        <v>49567.373798052722</v>
      </c>
      <c r="AE424" s="73"/>
      <c r="AF424" s="74">
        <v>4.464646227314188</v>
      </c>
      <c r="AG424" s="74">
        <v>4.5373637002434961</v>
      </c>
      <c r="AH424" s="73"/>
      <c r="AI424" s="72">
        <v>2830699.4047653181</v>
      </c>
      <c r="AJ424" s="72">
        <v>0</v>
      </c>
      <c r="AK424" s="73"/>
      <c r="AL424" s="74">
        <v>-1747.3771911062545</v>
      </c>
      <c r="AM424" s="74">
        <v>0</v>
      </c>
      <c r="AN424" s="73"/>
      <c r="AO424" s="72">
        <v>181822.53928039729</v>
      </c>
      <c r="AP424" s="72">
        <v>0</v>
      </c>
      <c r="AQ424" s="73"/>
      <c r="AR424" s="74">
        <v>-97.510945978324116</v>
      </c>
      <c r="AS424" s="74">
        <v>0</v>
      </c>
      <c r="AT424" s="73"/>
      <c r="AU424" s="72">
        <v>23468428.025213968</v>
      </c>
      <c r="AV424" s="72">
        <v>0</v>
      </c>
      <c r="AW424" s="73"/>
      <c r="AX424" s="74">
        <v>-1837.9801746768762</v>
      </c>
      <c r="AY424" s="74">
        <v>0</v>
      </c>
      <c r="AZ424" s="73"/>
      <c r="BA424" s="72">
        <v>69550.319110618584</v>
      </c>
      <c r="BB424" s="72">
        <v>0</v>
      </c>
      <c r="BC424" s="73"/>
      <c r="BD424" s="74">
        <v>-517.5356638945284</v>
      </c>
      <c r="BE424" s="74">
        <v>0</v>
      </c>
      <c r="BF424" s="73"/>
      <c r="BG424" s="72">
        <v>4474921.9024670972</v>
      </c>
      <c r="BH424" s="72">
        <v>0</v>
      </c>
      <c r="BI424" s="73"/>
      <c r="BJ424" s="74">
        <v>-1116.9930074003516</v>
      </c>
      <c r="BK424" s="74">
        <v>0</v>
      </c>
      <c r="BL424" s="73"/>
      <c r="BM424" s="72">
        <v>31025422.190837398</v>
      </c>
      <c r="BN424" s="72">
        <v>0</v>
      </c>
      <c r="BO424" s="73"/>
      <c r="BP424" s="74">
        <v>-5317.3969830563346</v>
      </c>
      <c r="BQ424" s="74">
        <v>0</v>
      </c>
      <c r="BS424" s="109">
        <f t="shared" si="180"/>
        <v>115575.95208016009</v>
      </c>
      <c r="BT424" s="109">
        <f t="shared" si="181"/>
        <v>115930.22526650455</v>
      </c>
      <c r="BV424" s="58">
        <f t="array" ref="BV424">SUM(IF(BS424:BT424&gt;=BS424, 1))</f>
        <v>2</v>
      </c>
      <c r="BW424" s="58">
        <f t="array" ref="BW424">SUM(IF(BS424:BT424&gt;=BT424, 1))</f>
        <v>1</v>
      </c>
      <c r="BY424" s="109">
        <f t="shared" si="182"/>
        <v>133334.91945003852</v>
      </c>
      <c r="BZ424" s="109">
        <f t="shared" si="183"/>
        <v>133653.58024716307</v>
      </c>
      <c r="CB424" s="58">
        <f t="array" ref="CB424">SUM(IF(BY424:BZ424&gt;=BY424, 1))</f>
        <v>2</v>
      </c>
      <c r="CC424" s="58">
        <f t="array" ref="CC424">SUM(IF(BY424:BZ424&gt;=BZ424, 1))</f>
        <v>1</v>
      </c>
      <c r="CE424" s="109">
        <f t="shared" si="184"/>
        <v>92862.64862379781</v>
      </c>
      <c r="CF424" s="109">
        <f t="shared" si="185"/>
        <v>95462.745691325617</v>
      </c>
      <c r="CH424" s="58">
        <f t="array" ref="CH424">SUM(IF(CE424:CF424&gt;=CE424, 1))</f>
        <v>2</v>
      </c>
      <c r="CI424" s="58">
        <f t="array" ref="CI424">SUM(IF(CE424:CF424&gt;=CF424, 1))</f>
        <v>1</v>
      </c>
      <c r="CK424" s="109">
        <f t="shared" si="186"/>
        <v>46143.908824691607</v>
      </c>
      <c r="CL424" s="109">
        <f t="shared" si="187"/>
        <v>47322.399512790224</v>
      </c>
      <c r="CN424" s="58">
        <f t="array" ref="CN424">SUM(IF(CK424:CL424&gt;=CK424, 1))</f>
        <v>2</v>
      </c>
      <c r="CO424" s="58">
        <f t="array" ref="CO424">SUM(IF(CK424:CL424&gt;=CL424, 1))</f>
        <v>1</v>
      </c>
      <c r="CQ424" s="109" cm="1">
        <f t="array" ref="CQ424">AF424*WTP-AC424</f>
        <v>39434.228412148776</v>
      </c>
      <c r="CR424" s="109">
        <f t="shared" si="188"/>
        <v>41179.900206817198</v>
      </c>
      <c r="CT424" s="58">
        <f t="array" ref="CT424">SUM(IF(CQ424:CR424&gt;=CQ424, 1))</f>
        <v>2</v>
      </c>
      <c r="CU424" s="58">
        <f t="array" ref="CU424">SUM(IF(CQ424:CR424&gt;=CR424, 1))</f>
        <v>1</v>
      </c>
      <c r="CW424" s="109">
        <f t="shared" si="189"/>
        <v>-37778243.226890408</v>
      </c>
      <c r="CX424" s="109">
        <f t="shared" si="190"/>
        <v>0</v>
      </c>
      <c r="CZ424" s="58">
        <f t="array" ref="CZ424">SUM(IF(CW424:CX424&gt;=CW424, 1))</f>
        <v>2</v>
      </c>
      <c r="DA424" s="58">
        <f t="array" ref="DA424">SUM(IF(CW424:CX424&gt;=CX424, 1))</f>
        <v>1</v>
      </c>
      <c r="DC424" s="109">
        <f t="shared" si="191"/>
        <v>-2132041.4588468797</v>
      </c>
      <c r="DD424" s="109">
        <f t="shared" si="192"/>
        <v>0</v>
      </c>
      <c r="DF424" s="58">
        <f t="array" ref="DF424">SUM(IF(DC424:DD424&gt;=DC424, 1))</f>
        <v>2</v>
      </c>
      <c r="DG424" s="58">
        <f t="array" ref="DG424">SUM(IF(DC424:DD424&gt;=DD424, 1))</f>
        <v>1</v>
      </c>
      <c r="DI424" s="109">
        <f t="shared" si="193"/>
        <v>-60228031.518751487</v>
      </c>
      <c r="DJ424" s="109">
        <f t="shared" si="194"/>
        <v>0</v>
      </c>
      <c r="DL424" s="58">
        <f t="array" ref="DL424">SUM(IF(DI424:DJ424&gt;=DI424, 1))</f>
        <v>2</v>
      </c>
      <c r="DM424" s="58">
        <f t="array" ref="DM424">SUM(IF(DI424:DJ424&gt;=DJ424, 1))</f>
        <v>1</v>
      </c>
      <c r="DO424" s="109">
        <f t="shared" si="195"/>
        <v>-10420263.597001188</v>
      </c>
      <c r="DP424" s="109">
        <f t="shared" si="196"/>
        <v>0</v>
      </c>
      <c r="DR424" s="58">
        <f t="array" ref="DR424">SUM(IF(DO424:DP424&gt;=DO424, 1))</f>
        <v>2</v>
      </c>
      <c r="DS424" s="58">
        <f t="array" ref="DS424">SUM(IF(DO424:DP424&gt;=DP424, 1))</f>
        <v>1</v>
      </c>
      <c r="DU424" s="109">
        <f t="shared" si="197"/>
        <v>-26814782.05047413</v>
      </c>
      <c r="DV424" s="109">
        <f t="shared" si="198"/>
        <v>0</v>
      </c>
      <c r="DX424" s="58">
        <f t="array" ref="DX424">SUM(IF(DU424:DV424&gt;=DU424, 1))</f>
        <v>2</v>
      </c>
      <c r="DY424" s="58">
        <f t="array" ref="DY424">SUM(IF(DU424:DV424&gt;=DV424, 1))</f>
        <v>1</v>
      </c>
      <c r="EA424" s="109">
        <f t="shared" si="199"/>
        <v>-137373361.85196409</v>
      </c>
      <c r="EB424" s="109">
        <f t="shared" si="200"/>
        <v>0</v>
      </c>
      <c r="ED424" s="58">
        <f t="array" ref="ED424">SUM(IF(EA424:EB424&gt;=EA424, 1))</f>
        <v>2</v>
      </c>
      <c r="EE424" s="58">
        <f t="array" ref="EE424">SUM(IF(EA424:EB424&gt;=EB424, 1))</f>
        <v>1</v>
      </c>
    </row>
    <row r="425" spans="4:135" ht="12" customHeight="1" x14ac:dyDescent="0.25">
      <c r="D425" s="11">
        <v>409</v>
      </c>
      <c r="E425" s="72">
        <v>293.47956979060262</v>
      </c>
      <c r="F425" s="72">
        <v>266.03573001818819</v>
      </c>
      <c r="G425" s="73"/>
      <c r="H425" s="74">
        <v>5.8888810218789285</v>
      </c>
      <c r="I425" s="74">
        <v>5.9042822471372025</v>
      </c>
      <c r="J425" s="73"/>
      <c r="K425" s="72">
        <v>314.97141584279109</v>
      </c>
      <c r="L425" s="72">
        <v>286.88639615103619</v>
      </c>
      <c r="M425" s="73"/>
      <c r="N425" s="74">
        <v>6.649972172167427</v>
      </c>
      <c r="O425" s="74">
        <v>6.6633734941111609</v>
      </c>
      <c r="P425" s="73"/>
      <c r="Q425" s="72">
        <v>3114.9521118816979</v>
      </c>
      <c r="R425" s="72">
        <v>1263.6654772028519</v>
      </c>
      <c r="S425" s="73"/>
      <c r="T425" s="74">
        <v>4.8381019512253474</v>
      </c>
      <c r="U425" s="74">
        <v>5.0104223543020527</v>
      </c>
      <c r="V425" s="73"/>
      <c r="W425" s="72">
        <v>13262.168232628263</v>
      </c>
      <c r="X425" s="72">
        <v>13227.061263452801</v>
      </c>
      <c r="Y425" s="73"/>
      <c r="Z425" s="74">
        <v>3.0147061733901541</v>
      </c>
      <c r="AA425" s="74">
        <v>3.0744799913992007</v>
      </c>
      <c r="AB425" s="73"/>
      <c r="AC425" s="72">
        <v>50087.442274649497</v>
      </c>
      <c r="AD425" s="72">
        <v>50026.334603727337</v>
      </c>
      <c r="AE425" s="73"/>
      <c r="AF425" s="74">
        <v>4.6687446555416399</v>
      </c>
      <c r="AG425" s="74">
        <v>4.7453064793538848</v>
      </c>
      <c r="AH425" s="73"/>
      <c r="AI425" s="72">
        <v>2999282.7936773286</v>
      </c>
      <c r="AJ425" s="72">
        <v>0</v>
      </c>
      <c r="AK425" s="73"/>
      <c r="AL425" s="74">
        <v>-1683.1693488139788</v>
      </c>
      <c r="AM425" s="74">
        <v>0</v>
      </c>
      <c r="AN425" s="73"/>
      <c r="AO425" s="72">
        <v>192739.91446160065</v>
      </c>
      <c r="AP425" s="72">
        <v>0</v>
      </c>
      <c r="AQ425" s="73"/>
      <c r="AR425" s="74">
        <v>-91.969657613091925</v>
      </c>
      <c r="AS425" s="74">
        <v>0</v>
      </c>
      <c r="AT425" s="73"/>
      <c r="AU425" s="72">
        <v>43282196.084007896</v>
      </c>
      <c r="AV425" s="72">
        <v>0</v>
      </c>
      <c r="AW425" s="73"/>
      <c r="AX425" s="74">
        <v>-4028.768606399567</v>
      </c>
      <c r="AY425" s="74">
        <v>0</v>
      </c>
      <c r="AZ425" s="73"/>
      <c r="BA425" s="72">
        <v>322912.30389356543</v>
      </c>
      <c r="BB425" s="72">
        <v>0</v>
      </c>
      <c r="BC425" s="73"/>
      <c r="BD425" s="74">
        <v>-549.79685626940636</v>
      </c>
      <c r="BE425" s="74">
        <v>0</v>
      </c>
      <c r="BF425" s="73"/>
      <c r="BG425" s="72">
        <v>923888.64426920796</v>
      </c>
      <c r="BH425" s="72">
        <v>0</v>
      </c>
      <c r="BI425" s="73"/>
      <c r="BJ425" s="74">
        <v>-1157.5404288403695</v>
      </c>
      <c r="BK425" s="74">
        <v>0</v>
      </c>
      <c r="BL425" s="73"/>
      <c r="BM425" s="72">
        <v>47721019.740309596</v>
      </c>
      <c r="BN425" s="72">
        <v>0</v>
      </c>
      <c r="BO425" s="73"/>
      <c r="BP425" s="74">
        <v>-7511.2448979364144</v>
      </c>
      <c r="BQ425" s="74">
        <v>0</v>
      </c>
      <c r="BS425" s="109">
        <f t="shared" si="180"/>
        <v>117484.14086778797</v>
      </c>
      <c r="BT425" s="109">
        <f t="shared" si="181"/>
        <v>117819.60921272586</v>
      </c>
      <c r="BV425" s="58">
        <f t="array" ref="BV425">SUM(IF(BS425:BT425&gt;=BS425, 1))</f>
        <v>2</v>
      </c>
      <c r="BW425" s="58">
        <f t="array" ref="BW425">SUM(IF(BS425:BT425&gt;=BT425, 1))</f>
        <v>1</v>
      </c>
      <c r="BY425" s="109">
        <f t="shared" si="182"/>
        <v>132684.47202750575</v>
      </c>
      <c r="BZ425" s="109">
        <f t="shared" si="183"/>
        <v>132980.5834860722</v>
      </c>
      <c r="CB425" s="58">
        <f t="array" ref="CB425">SUM(IF(BY425:BZ425&gt;=BY425, 1))</f>
        <v>2</v>
      </c>
      <c r="CC425" s="58">
        <f t="array" ref="CC425">SUM(IF(BY425:BZ425&gt;=BZ425, 1))</f>
        <v>1</v>
      </c>
      <c r="CE425" s="109">
        <f t="shared" si="184"/>
        <v>93647.086912625251</v>
      </c>
      <c r="CF425" s="109">
        <f t="shared" si="185"/>
        <v>98944.781608838195</v>
      </c>
      <c r="CH425" s="58">
        <f t="array" ref="CH425">SUM(IF(CE425:CF425&gt;=CE425, 1))</f>
        <v>2</v>
      </c>
      <c r="CI425" s="58">
        <f t="array" ref="CI425">SUM(IF(CE425:CF425&gt;=CF425, 1))</f>
        <v>1</v>
      </c>
      <c r="CK425" s="109">
        <f t="shared" si="186"/>
        <v>47031.955235174821</v>
      </c>
      <c r="CL425" s="109">
        <f t="shared" si="187"/>
        <v>48262.538564531213</v>
      </c>
      <c r="CN425" s="58">
        <f t="array" ref="CN425">SUM(IF(CK425:CL425&gt;=CK425, 1))</f>
        <v>2</v>
      </c>
      <c r="CO425" s="58">
        <f t="array" ref="CO425">SUM(IF(CK425:CL425&gt;=CL425, 1))</f>
        <v>1</v>
      </c>
      <c r="CQ425" s="109" cm="1">
        <f t="array" ref="CQ425">AF425*WTP-AC425</f>
        <v>43287.4508361833</v>
      </c>
      <c r="CR425" s="109">
        <f t="shared" si="188"/>
        <v>44879.794983350359</v>
      </c>
      <c r="CT425" s="58">
        <f t="array" ref="CT425">SUM(IF(CQ425:CR425&gt;=CQ425, 1))</f>
        <v>2</v>
      </c>
      <c r="CU425" s="58">
        <f t="array" ref="CU425">SUM(IF(CQ425:CR425&gt;=CR425, 1))</f>
        <v>1</v>
      </c>
      <c r="CW425" s="109">
        <f t="shared" si="189"/>
        <v>-36662669.769956909</v>
      </c>
      <c r="CX425" s="109">
        <f t="shared" si="190"/>
        <v>0</v>
      </c>
      <c r="CZ425" s="58">
        <f t="array" ref="CZ425">SUM(IF(CW425:CX425&gt;=CW425, 1))</f>
        <v>2</v>
      </c>
      <c r="DA425" s="58">
        <f t="array" ref="DA425">SUM(IF(CW425:CX425&gt;=CX425, 1))</f>
        <v>1</v>
      </c>
      <c r="DC425" s="109">
        <f t="shared" si="191"/>
        <v>-2032133.0667234391</v>
      </c>
      <c r="DD425" s="109">
        <f t="shared" si="192"/>
        <v>0</v>
      </c>
      <c r="DF425" s="58">
        <f t="array" ref="DF425">SUM(IF(DC425:DD425&gt;=DC425, 1))</f>
        <v>2</v>
      </c>
      <c r="DG425" s="58">
        <f t="array" ref="DG425">SUM(IF(DC425:DD425&gt;=DD425, 1))</f>
        <v>1</v>
      </c>
      <c r="DI425" s="109">
        <f t="shared" si="193"/>
        <v>-123857568.21199924</v>
      </c>
      <c r="DJ425" s="109">
        <f t="shared" si="194"/>
        <v>0</v>
      </c>
      <c r="DL425" s="58">
        <f t="array" ref="DL425">SUM(IF(DI425:DJ425&gt;=DI425, 1))</f>
        <v>2</v>
      </c>
      <c r="DM425" s="58">
        <f t="array" ref="DM425">SUM(IF(DI425:DJ425&gt;=DJ425, 1))</f>
        <v>1</v>
      </c>
      <c r="DO425" s="109">
        <f t="shared" si="195"/>
        <v>-11318849.429281693</v>
      </c>
      <c r="DP425" s="109">
        <f t="shared" si="196"/>
        <v>0</v>
      </c>
      <c r="DR425" s="58">
        <f t="array" ref="DR425">SUM(IF(DO425:DP425&gt;=DO425, 1))</f>
        <v>2</v>
      </c>
      <c r="DS425" s="58">
        <f t="array" ref="DS425">SUM(IF(DO425:DP425&gt;=DP425, 1))</f>
        <v>1</v>
      </c>
      <c r="DU425" s="109">
        <f t="shared" si="197"/>
        <v>-24074697.2210766</v>
      </c>
      <c r="DV425" s="109">
        <f t="shared" si="198"/>
        <v>0</v>
      </c>
      <c r="DX425" s="58">
        <f t="array" ref="DX425">SUM(IF(DU425:DV425&gt;=DU425, 1))</f>
        <v>2</v>
      </c>
      <c r="DY425" s="58">
        <f t="array" ref="DY425">SUM(IF(DU425:DV425&gt;=DV425, 1))</f>
        <v>1</v>
      </c>
      <c r="EA425" s="109">
        <f t="shared" si="199"/>
        <v>-197945917.69903788</v>
      </c>
      <c r="EB425" s="109">
        <f t="shared" si="200"/>
        <v>0</v>
      </c>
      <c r="ED425" s="58">
        <f t="array" ref="ED425">SUM(IF(EA425:EB425&gt;=EA425, 1))</f>
        <v>2</v>
      </c>
      <c r="EE425" s="58">
        <f t="array" ref="EE425">SUM(IF(EA425:EB425&gt;=EB425, 1))</f>
        <v>1</v>
      </c>
    </row>
    <row r="426" spans="4:135" ht="12" customHeight="1" x14ac:dyDescent="0.25">
      <c r="D426" s="11">
        <v>410</v>
      </c>
      <c r="E426" s="72">
        <v>221.78567431652701</v>
      </c>
      <c r="F426" s="72">
        <v>211.08317989750492</v>
      </c>
      <c r="G426" s="73"/>
      <c r="H426" s="74">
        <v>5.812094155823158</v>
      </c>
      <c r="I426" s="74">
        <v>5.8291670467133967</v>
      </c>
      <c r="J426" s="73"/>
      <c r="K426" s="72">
        <v>238.67140187154041</v>
      </c>
      <c r="L426" s="72">
        <v>227.69593672005527</v>
      </c>
      <c r="M426" s="73"/>
      <c r="N426" s="74">
        <v>6.7718968231858581</v>
      </c>
      <c r="O426" s="74">
        <v>6.7867957288677134</v>
      </c>
      <c r="P426" s="73"/>
      <c r="Q426" s="72">
        <v>2469.1317515069777</v>
      </c>
      <c r="R426" s="72">
        <v>1620.6005822497432</v>
      </c>
      <c r="S426" s="73"/>
      <c r="T426" s="74">
        <v>4.7227801325453989</v>
      </c>
      <c r="U426" s="74">
        <v>4.7972715852233119</v>
      </c>
      <c r="V426" s="73"/>
      <c r="W426" s="72">
        <v>11060.849984403327</v>
      </c>
      <c r="X426" s="72">
        <v>11081.62585724286</v>
      </c>
      <c r="Y426" s="73"/>
      <c r="Z426" s="74">
        <v>2.9358434523051153</v>
      </c>
      <c r="AA426" s="74">
        <v>2.9834859504103508</v>
      </c>
      <c r="AB426" s="73"/>
      <c r="AC426" s="72">
        <v>49865.020953501364</v>
      </c>
      <c r="AD426" s="72">
        <v>49858.676025737848</v>
      </c>
      <c r="AE426" s="73"/>
      <c r="AF426" s="74">
        <v>4.5679444040364272</v>
      </c>
      <c r="AG426" s="74">
        <v>4.6642466541334366</v>
      </c>
      <c r="AH426" s="73"/>
      <c r="AI426" s="72">
        <v>1158703.8231317878</v>
      </c>
      <c r="AJ426" s="72">
        <v>0</v>
      </c>
      <c r="AK426" s="73"/>
      <c r="AL426" s="74">
        <v>-1848.3937642864926</v>
      </c>
      <c r="AM426" s="74">
        <v>0</v>
      </c>
      <c r="AN426" s="73"/>
      <c r="AO426" s="72">
        <v>74470.801699406424</v>
      </c>
      <c r="AP426" s="72">
        <v>0</v>
      </c>
      <c r="AQ426" s="73"/>
      <c r="AR426" s="74">
        <v>-101.09215739448408</v>
      </c>
      <c r="AS426" s="74">
        <v>0</v>
      </c>
      <c r="AT426" s="73"/>
      <c r="AU426" s="72">
        <v>19639499.794362757</v>
      </c>
      <c r="AV426" s="72">
        <v>0</v>
      </c>
      <c r="AW426" s="73"/>
      <c r="AX426" s="74">
        <v>-1724.1262578842886</v>
      </c>
      <c r="AY426" s="74">
        <v>0</v>
      </c>
      <c r="AZ426" s="73"/>
      <c r="BA426" s="72">
        <v>-182516.79760486743</v>
      </c>
      <c r="BB426" s="72">
        <v>0</v>
      </c>
      <c r="BC426" s="73"/>
      <c r="BD426" s="74">
        <v>-418.54107652783671</v>
      </c>
      <c r="BE426" s="74">
        <v>0</v>
      </c>
      <c r="BF426" s="73"/>
      <c r="BG426" s="72">
        <v>102749.4783683727</v>
      </c>
      <c r="BH426" s="72">
        <v>0</v>
      </c>
      <c r="BI426" s="73"/>
      <c r="BJ426" s="74">
        <v>-1559.5143604418131</v>
      </c>
      <c r="BK426" s="74">
        <v>0</v>
      </c>
      <c r="BL426" s="73"/>
      <c r="BM426" s="72">
        <v>20792907.099957459</v>
      </c>
      <c r="BN426" s="72">
        <v>0</v>
      </c>
      <c r="BO426" s="73"/>
      <c r="BP426" s="74">
        <v>-5651.6676165349145</v>
      </c>
      <c r="BQ426" s="74">
        <v>0</v>
      </c>
      <c r="BS426" s="109">
        <f t="shared" si="180"/>
        <v>116020.09744214662</v>
      </c>
      <c r="BT426" s="109">
        <f t="shared" si="181"/>
        <v>116372.25775437044</v>
      </c>
      <c r="BV426" s="58">
        <f t="array" ref="BV426">SUM(IF(BS426:BT426&gt;=BS426, 1))</f>
        <v>2</v>
      </c>
      <c r="BW426" s="58">
        <f t="array" ref="BW426">SUM(IF(BS426:BT426&gt;=BT426, 1))</f>
        <v>1</v>
      </c>
      <c r="BY426" s="109">
        <f t="shared" si="182"/>
        <v>135199.26506184562</v>
      </c>
      <c r="BZ426" s="109">
        <f t="shared" si="183"/>
        <v>135508.21864063421</v>
      </c>
      <c r="CB426" s="58">
        <f t="array" ref="CB426">SUM(IF(BY426:BZ426&gt;=BY426, 1))</f>
        <v>2</v>
      </c>
      <c r="CC426" s="58">
        <f t="array" ref="CC426">SUM(IF(BY426:BZ426&gt;=BZ426, 1))</f>
        <v>1</v>
      </c>
      <c r="CE426" s="109">
        <f t="shared" si="184"/>
        <v>91986.470899401</v>
      </c>
      <c r="CF426" s="109">
        <f t="shared" si="185"/>
        <v>94324.831122216492</v>
      </c>
      <c r="CH426" s="58">
        <f t="array" ref="CH426">SUM(IF(CE426:CF426&gt;=CE426, 1))</f>
        <v>2</v>
      </c>
      <c r="CI426" s="58">
        <f t="array" ref="CI426">SUM(IF(CE426:CF426&gt;=CF426, 1))</f>
        <v>1</v>
      </c>
      <c r="CK426" s="109">
        <f t="shared" si="186"/>
        <v>47656.019061698978</v>
      </c>
      <c r="CL426" s="109">
        <f t="shared" si="187"/>
        <v>48588.093150964152</v>
      </c>
      <c r="CN426" s="58">
        <f t="array" ref="CN426">SUM(IF(CK426:CL426&gt;=CK426, 1))</f>
        <v>2</v>
      </c>
      <c r="CO426" s="58">
        <f t="array" ref="CO426">SUM(IF(CK426:CL426&gt;=CL426, 1))</f>
        <v>1</v>
      </c>
      <c r="CQ426" s="109" cm="1">
        <f t="array" ref="CQ426">AF426*WTP-AC426</f>
        <v>41493.867127227182</v>
      </c>
      <c r="CR426" s="109">
        <f t="shared" si="188"/>
        <v>43426.257056930888</v>
      </c>
      <c r="CT426" s="58">
        <f t="array" ref="CT426">SUM(IF(CQ426:CR426&gt;=CQ426, 1))</f>
        <v>2</v>
      </c>
      <c r="CU426" s="58">
        <f t="array" ref="CU426">SUM(IF(CQ426:CR426&gt;=CR426, 1))</f>
        <v>1</v>
      </c>
      <c r="CW426" s="109">
        <f t="shared" si="189"/>
        <v>-38126579.108861633</v>
      </c>
      <c r="CX426" s="109">
        <f t="shared" si="190"/>
        <v>0</v>
      </c>
      <c r="CZ426" s="58">
        <f t="array" ref="CZ426">SUM(IF(CW426:CX426&gt;=CW426, 1))</f>
        <v>2</v>
      </c>
      <c r="DA426" s="58">
        <f t="array" ref="DA426">SUM(IF(CW426:CX426&gt;=CX426, 1))</f>
        <v>1</v>
      </c>
      <c r="DC426" s="109">
        <f t="shared" si="191"/>
        <v>-2096313.9495890881</v>
      </c>
      <c r="DD426" s="109">
        <f t="shared" si="192"/>
        <v>0</v>
      </c>
      <c r="DF426" s="58">
        <f t="array" ref="DF426">SUM(IF(DC426:DD426&gt;=DC426, 1))</f>
        <v>2</v>
      </c>
      <c r="DG426" s="58">
        <f t="array" ref="DG426">SUM(IF(DC426:DD426&gt;=DD426, 1))</f>
        <v>1</v>
      </c>
      <c r="DI426" s="109">
        <f t="shared" si="193"/>
        <v>-54122024.952048525</v>
      </c>
      <c r="DJ426" s="109">
        <f t="shared" si="194"/>
        <v>0</v>
      </c>
      <c r="DL426" s="58">
        <f t="array" ref="DL426">SUM(IF(DI426:DJ426&gt;=DI426, 1))</f>
        <v>2</v>
      </c>
      <c r="DM426" s="58">
        <f t="array" ref="DM426">SUM(IF(DI426:DJ426&gt;=DJ426, 1))</f>
        <v>1</v>
      </c>
      <c r="DO426" s="109">
        <f t="shared" si="195"/>
        <v>-8188304.7329518665</v>
      </c>
      <c r="DP426" s="109">
        <f t="shared" si="196"/>
        <v>0</v>
      </c>
      <c r="DR426" s="58">
        <f t="array" ref="DR426">SUM(IF(DO426:DP426&gt;=DO426, 1))</f>
        <v>2</v>
      </c>
      <c r="DS426" s="58">
        <f t="array" ref="DS426">SUM(IF(DO426:DP426&gt;=DP426, 1))</f>
        <v>1</v>
      </c>
      <c r="DU426" s="109">
        <f t="shared" si="197"/>
        <v>-31293036.687204633</v>
      </c>
      <c r="DV426" s="109">
        <f t="shared" si="198"/>
        <v>0</v>
      </c>
      <c r="DX426" s="58">
        <f t="array" ref="DX426">SUM(IF(DU426:DV426&gt;=DU426, 1))</f>
        <v>2</v>
      </c>
      <c r="DY426" s="58">
        <f t="array" ref="DY426">SUM(IF(DU426:DV426&gt;=DV426, 1))</f>
        <v>1</v>
      </c>
      <c r="EA426" s="109">
        <f t="shared" si="199"/>
        <v>-133826259.43065575</v>
      </c>
      <c r="EB426" s="109">
        <f t="shared" si="200"/>
        <v>0</v>
      </c>
      <c r="ED426" s="58">
        <f t="array" ref="ED426">SUM(IF(EA426:EB426&gt;=EA426, 1))</f>
        <v>2</v>
      </c>
      <c r="EE426" s="58">
        <f t="array" ref="EE426">SUM(IF(EA426:EB426&gt;=EB426, 1))</f>
        <v>1</v>
      </c>
    </row>
    <row r="427" spans="4:135" ht="12" customHeight="1" x14ac:dyDescent="0.25">
      <c r="D427" s="11">
        <v>411</v>
      </c>
      <c r="E427" s="72">
        <v>242.2539456153182</v>
      </c>
      <c r="F427" s="72">
        <v>217.21581606924155</v>
      </c>
      <c r="G427" s="73"/>
      <c r="H427" s="74">
        <v>5.8075118441608229</v>
      </c>
      <c r="I427" s="74">
        <v>5.8245091661496007</v>
      </c>
      <c r="J427" s="73"/>
      <c r="K427" s="72">
        <v>259.85994585739445</v>
      </c>
      <c r="L427" s="72">
        <v>234.19405316706531</v>
      </c>
      <c r="M427" s="73"/>
      <c r="N427" s="74">
        <v>6.6552675889914816</v>
      </c>
      <c r="O427" s="74">
        <v>6.669813022366605</v>
      </c>
      <c r="P427" s="73"/>
      <c r="Q427" s="72">
        <v>2691.0523919027205</v>
      </c>
      <c r="R427" s="72">
        <v>1398.8134751939872</v>
      </c>
      <c r="S427" s="73"/>
      <c r="T427" s="74">
        <v>4.8782061340315241</v>
      </c>
      <c r="U427" s="74">
        <v>4.9934975204089014</v>
      </c>
      <c r="V427" s="73"/>
      <c r="W427" s="72">
        <v>12909.341342418771</v>
      </c>
      <c r="X427" s="72">
        <v>12875.684747672967</v>
      </c>
      <c r="Y427" s="73"/>
      <c r="Z427" s="74">
        <v>2.9175096217819187</v>
      </c>
      <c r="AA427" s="74">
        <v>2.9524181344780023</v>
      </c>
      <c r="AB427" s="73"/>
      <c r="AC427" s="72">
        <v>51193.290721441801</v>
      </c>
      <c r="AD427" s="72">
        <v>51146.5700927781</v>
      </c>
      <c r="AE427" s="73"/>
      <c r="AF427" s="74">
        <v>4.7035176370458398</v>
      </c>
      <c r="AG427" s="74">
        <v>4.7364530931586231</v>
      </c>
      <c r="AH427" s="73"/>
      <c r="AI427" s="72">
        <v>2704233.210451799</v>
      </c>
      <c r="AJ427" s="72">
        <v>0</v>
      </c>
      <c r="AK427" s="73"/>
      <c r="AL427" s="74">
        <v>-1835.7889923929231</v>
      </c>
      <c r="AM427" s="74">
        <v>0</v>
      </c>
      <c r="AN427" s="73"/>
      <c r="AO427" s="72">
        <v>182151.49566386503</v>
      </c>
      <c r="AP427" s="72">
        <v>0</v>
      </c>
      <c r="AQ427" s="73"/>
      <c r="AR427" s="74">
        <v>-103.22931200270071</v>
      </c>
      <c r="AS427" s="74">
        <v>0</v>
      </c>
      <c r="AT427" s="73"/>
      <c r="AU427" s="72">
        <v>29473027.74930574</v>
      </c>
      <c r="AV427" s="72">
        <v>0</v>
      </c>
      <c r="AW427" s="73"/>
      <c r="AX427" s="74">
        <v>-2629.5340482477241</v>
      </c>
      <c r="AY427" s="74">
        <v>0</v>
      </c>
      <c r="AZ427" s="73"/>
      <c r="BA427" s="72">
        <v>295854.08162636071</v>
      </c>
      <c r="BB427" s="72">
        <v>0</v>
      </c>
      <c r="BC427" s="73"/>
      <c r="BD427" s="74">
        <v>-306.85890960283677</v>
      </c>
      <c r="BE427" s="74">
        <v>0</v>
      </c>
      <c r="BF427" s="73"/>
      <c r="BG427" s="72">
        <v>738279.53382150526</v>
      </c>
      <c r="BH427" s="72">
        <v>0</v>
      </c>
      <c r="BI427" s="73"/>
      <c r="BJ427" s="74">
        <v>-520.44619005813831</v>
      </c>
      <c r="BK427" s="74">
        <v>0</v>
      </c>
      <c r="BL427" s="73"/>
      <c r="BM427" s="72">
        <v>33393546.070869267</v>
      </c>
      <c r="BN427" s="72">
        <v>0</v>
      </c>
      <c r="BO427" s="73"/>
      <c r="BP427" s="74">
        <v>-5395.8574523043235</v>
      </c>
      <c r="BQ427" s="74">
        <v>0</v>
      </c>
      <c r="BS427" s="109">
        <f t="shared" si="180"/>
        <v>115907.98293760115</v>
      </c>
      <c r="BT427" s="109">
        <f t="shared" si="181"/>
        <v>116272.96750692278</v>
      </c>
      <c r="BV427" s="58">
        <f t="array" ref="BV427">SUM(IF(BS427:BT427&gt;=BS427, 1))</f>
        <v>2</v>
      </c>
      <c r="BW427" s="58">
        <f t="array" ref="BW427">SUM(IF(BS427:BT427&gt;=BT427, 1))</f>
        <v>1</v>
      </c>
      <c r="BY427" s="109">
        <f t="shared" si="182"/>
        <v>132845.49183397222</v>
      </c>
      <c r="BZ427" s="109">
        <f t="shared" si="183"/>
        <v>133162.06639416504</v>
      </c>
      <c r="CB427" s="58">
        <f t="array" ref="CB427">SUM(IF(BY427:BZ427&gt;=BY427, 1))</f>
        <v>2</v>
      </c>
      <c r="CC427" s="58">
        <f t="array" ref="CC427">SUM(IF(BY427:BZ427&gt;=BZ427, 1))</f>
        <v>1</v>
      </c>
      <c r="CE427" s="109">
        <f t="shared" si="184"/>
        <v>94873.070288727758</v>
      </c>
      <c r="CF427" s="109">
        <f t="shared" si="185"/>
        <v>98471.136932984038</v>
      </c>
      <c r="CH427" s="58">
        <f t="array" ref="CH427">SUM(IF(CE427:CF427&gt;=CE427, 1))</f>
        <v>2</v>
      </c>
      <c r="CI427" s="58">
        <f t="array" ref="CI427">SUM(IF(CE427:CF427&gt;=CF427, 1))</f>
        <v>1</v>
      </c>
      <c r="CK427" s="109">
        <f t="shared" si="186"/>
        <v>45440.851093219608</v>
      </c>
      <c r="CL427" s="109">
        <f t="shared" si="187"/>
        <v>46172.677941887079</v>
      </c>
      <c r="CN427" s="58">
        <f t="array" ref="CN427">SUM(IF(CK427:CL427&gt;=CK427, 1))</f>
        <v>2</v>
      </c>
      <c r="CO427" s="58">
        <f t="array" ref="CO427">SUM(IF(CK427:CL427&gt;=CL427, 1))</f>
        <v>1</v>
      </c>
      <c r="CQ427" s="109" cm="1">
        <f t="array" ref="CQ427">AF427*WTP-AC427</f>
        <v>42877.062019475001</v>
      </c>
      <c r="CR427" s="109">
        <f t="shared" si="188"/>
        <v>43582.491770394365</v>
      </c>
      <c r="CT427" s="58">
        <f t="array" ref="CT427">SUM(IF(CQ427:CR427&gt;=CQ427, 1))</f>
        <v>2</v>
      </c>
      <c r="CU427" s="58">
        <f t="array" ref="CU427">SUM(IF(CQ427:CR427&gt;=CR427, 1))</f>
        <v>1</v>
      </c>
      <c r="CW427" s="109">
        <f t="shared" si="189"/>
        <v>-39420013.058310255</v>
      </c>
      <c r="CX427" s="109">
        <f t="shared" si="190"/>
        <v>0</v>
      </c>
      <c r="CZ427" s="58">
        <f t="array" ref="CZ427">SUM(IF(CW427:CX427&gt;=CW427, 1))</f>
        <v>2</v>
      </c>
      <c r="DA427" s="58">
        <f t="array" ref="DA427">SUM(IF(CW427:CX427&gt;=CX427, 1))</f>
        <v>1</v>
      </c>
      <c r="DC427" s="109">
        <f t="shared" si="191"/>
        <v>-2246737.7357178791</v>
      </c>
      <c r="DD427" s="109">
        <f t="shared" si="192"/>
        <v>0</v>
      </c>
      <c r="DF427" s="58">
        <f t="array" ref="DF427">SUM(IF(DC427:DD427&gt;=DC427, 1))</f>
        <v>2</v>
      </c>
      <c r="DG427" s="58">
        <f t="array" ref="DG427">SUM(IF(DC427:DD427&gt;=DD427, 1))</f>
        <v>1</v>
      </c>
      <c r="DI427" s="109">
        <f t="shared" si="193"/>
        <v>-82063708.714260221</v>
      </c>
      <c r="DJ427" s="109">
        <f t="shared" si="194"/>
        <v>0</v>
      </c>
      <c r="DL427" s="58">
        <f t="array" ref="DL427">SUM(IF(DI427:DJ427&gt;=DI427, 1))</f>
        <v>2</v>
      </c>
      <c r="DM427" s="58">
        <f t="array" ref="DM427">SUM(IF(DI427:DJ427&gt;=DJ427, 1))</f>
        <v>1</v>
      </c>
      <c r="DO427" s="109">
        <f t="shared" si="195"/>
        <v>-6433032.2736830954</v>
      </c>
      <c r="DP427" s="109">
        <f t="shared" si="196"/>
        <v>0</v>
      </c>
      <c r="DR427" s="58">
        <f t="array" ref="DR427">SUM(IF(DO427:DP427&gt;=DO427, 1))</f>
        <v>2</v>
      </c>
      <c r="DS427" s="58">
        <f t="array" ref="DS427">SUM(IF(DO427:DP427&gt;=DP427, 1))</f>
        <v>1</v>
      </c>
      <c r="DU427" s="109">
        <f t="shared" si="197"/>
        <v>-11147203.334984271</v>
      </c>
      <c r="DV427" s="109">
        <f t="shared" si="198"/>
        <v>0</v>
      </c>
      <c r="DX427" s="58">
        <f t="array" ref="DX427">SUM(IF(DU427:DV427&gt;=DU427, 1))</f>
        <v>2</v>
      </c>
      <c r="DY427" s="58">
        <f t="array" ref="DY427">SUM(IF(DU427:DV427&gt;=DV427, 1))</f>
        <v>1</v>
      </c>
      <c r="EA427" s="109">
        <f t="shared" si="199"/>
        <v>-141310695.11695576</v>
      </c>
      <c r="EB427" s="109">
        <f t="shared" si="200"/>
        <v>0</v>
      </c>
      <c r="ED427" s="58">
        <f t="array" ref="ED427">SUM(IF(EA427:EB427&gt;=EA427, 1))</f>
        <v>2</v>
      </c>
      <c r="EE427" s="58">
        <f t="array" ref="EE427">SUM(IF(EA427:EB427&gt;=EB427, 1))</f>
        <v>1</v>
      </c>
    </row>
    <row r="428" spans="4:135" ht="12" customHeight="1" x14ac:dyDescent="0.25">
      <c r="D428" s="11">
        <v>412</v>
      </c>
      <c r="E428" s="72">
        <v>227.94077818214689</v>
      </c>
      <c r="F428" s="72">
        <v>210.22297954935328</v>
      </c>
      <c r="G428" s="73"/>
      <c r="H428" s="74">
        <v>5.7993829591612904</v>
      </c>
      <c r="I428" s="74">
        <v>5.8161243078673266</v>
      </c>
      <c r="J428" s="73"/>
      <c r="K428" s="72">
        <v>244.89397516149467</v>
      </c>
      <c r="L428" s="72">
        <v>226.73893049957223</v>
      </c>
      <c r="M428" s="73"/>
      <c r="N428" s="74">
        <v>6.7741581276257223</v>
      </c>
      <c r="O428" s="74">
        <v>6.7887127957471263</v>
      </c>
      <c r="P428" s="73"/>
      <c r="Q428" s="72">
        <v>1496.3494898486063</v>
      </c>
      <c r="R428" s="72">
        <v>1305.4968501325363</v>
      </c>
      <c r="S428" s="73"/>
      <c r="T428" s="74">
        <v>4.6892220682921355</v>
      </c>
      <c r="U428" s="74">
        <v>4.7352477915943094</v>
      </c>
      <c r="V428" s="73"/>
      <c r="W428" s="72">
        <v>14604.474767376794</v>
      </c>
      <c r="X428" s="72">
        <v>14633.031952307465</v>
      </c>
      <c r="Y428" s="73"/>
      <c r="Z428" s="74">
        <v>3.1163106453142282</v>
      </c>
      <c r="AA428" s="74">
        <v>3.168658848110983</v>
      </c>
      <c r="AB428" s="73"/>
      <c r="AC428" s="72">
        <v>51479.619374023147</v>
      </c>
      <c r="AD428" s="72">
        <v>51292.093729017892</v>
      </c>
      <c r="AE428" s="73"/>
      <c r="AF428" s="74">
        <v>4.5871183657264423</v>
      </c>
      <c r="AG428" s="74">
        <v>4.6756024615346883</v>
      </c>
      <c r="AH428" s="73"/>
      <c r="AI428" s="72">
        <v>1909018.5649570466</v>
      </c>
      <c r="AJ428" s="72">
        <v>0</v>
      </c>
      <c r="AK428" s="73"/>
      <c r="AL428" s="74">
        <v>-1803.8101766824032</v>
      </c>
      <c r="AM428" s="74">
        <v>0</v>
      </c>
      <c r="AN428" s="73"/>
      <c r="AO428" s="72">
        <v>123233.52199728726</v>
      </c>
      <c r="AP428" s="72">
        <v>0</v>
      </c>
      <c r="AQ428" s="73"/>
      <c r="AR428" s="74">
        <v>-98.794745345028602</v>
      </c>
      <c r="AS428" s="74">
        <v>0</v>
      </c>
      <c r="AT428" s="73"/>
      <c r="AU428" s="72">
        <v>4466982.429147603</v>
      </c>
      <c r="AV428" s="72">
        <v>0</v>
      </c>
      <c r="AW428" s="73"/>
      <c r="AX428" s="74">
        <v>-1077.2504775699415</v>
      </c>
      <c r="AY428" s="74">
        <v>0</v>
      </c>
      <c r="AZ428" s="73"/>
      <c r="BA428" s="72">
        <v>-265603.4445321454</v>
      </c>
      <c r="BB428" s="72">
        <v>0</v>
      </c>
      <c r="BC428" s="73"/>
      <c r="BD428" s="74">
        <v>-486.87792622558084</v>
      </c>
      <c r="BE428" s="74">
        <v>0</v>
      </c>
      <c r="BF428" s="73"/>
      <c r="BG428" s="72">
        <v>3028127.0834900718</v>
      </c>
      <c r="BH428" s="72">
        <v>0</v>
      </c>
      <c r="BI428" s="73"/>
      <c r="BJ428" s="74">
        <v>-1428.8237055127684</v>
      </c>
      <c r="BK428" s="74">
        <v>0</v>
      </c>
      <c r="BL428" s="73"/>
      <c r="BM428" s="72">
        <v>9261758.1550598629</v>
      </c>
      <c r="BN428" s="72">
        <v>0</v>
      </c>
      <c r="BO428" s="73"/>
      <c r="BP428" s="74">
        <v>-4895.5570313357221</v>
      </c>
      <c r="BQ428" s="74">
        <v>0</v>
      </c>
      <c r="BS428" s="109">
        <f t="shared" si="180"/>
        <v>115759.71840504366</v>
      </c>
      <c r="BT428" s="109">
        <f t="shared" si="181"/>
        <v>116112.26317779718</v>
      </c>
      <c r="BV428" s="58">
        <f t="array" ref="BV428">SUM(IF(BS428:BT428&gt;=BS428, 1))</f>
        <v>2</v>
      </c>
      <c r="BW428" s="58">
        <f t="array" ref="BW428">SUM(IF(BS428:BT428&gt;=BT428, 1))</f>
        <v>1</v>
      </c>
      <c r="BY428" s="109">
        <f t="shared" si="182"/>
        <v>135238.26857735295</v>
      </c>
      <c r="BZ428" s="109">
        <f t="shared" si="183"/>
        <v>135547.51698444298</v>
      </c>
      <c r="CB428" s="58">
        <f t="array" ref="CB428">SUM(IF(BY428:BZ428&gt;=BY428, 1))</f>
        <v>2</v>
      </c>
      <c r="CC428" s="58">
        <f t="array" ref="CC428">SUM(IF(BY428:BZ428&gt;=BZ428, 1))</f>
        <v>1</v>
      </c>
      <c r="CE428" s="109">
        <f t="shared" si="184"/>
        <v>92288.091875994098</v>
      </c>
      <c r="CF428" s="109">
        <f t="shared" si="185"/>
        <v>93399.458981753647</v>
      </c>
      <c r="CH428" s="58">
        <f t="array" ref="CH428">SUM(IF(CE428:CF428&gt;=CE428, 1))</f>
        <v>2</v>
      </c>
      <c r="CI428" s="58">
        <f t="array" ref="CI428">SUM(IF(CE428:CF428&gt;=CF428, 1))</f>
        <v>1</v>
      </c>
      <c r="CK428" s="109">
        <f t="shared" si="186"/>
        <v>47721.738138907771</v>
      </c>
      <c r="CL428" s="109">
        <f t="shared" si="187"/>
        <v>48740.145009912194</v>
      </c>
      <c r="CN428" s="58">
        <f t="array" ref="CN428">SUM(IF(CK428:CL428&gt;=CK428, 1))</f>
        <v>2</v>
      </c>
      <c r="CO428" s="58">
        <f t="array" ref="CO428">SUM(IF(CK428:CL428&gt;=CL428, 1))</f>
        <v>1</v>
      </c>
      <c r="CQ428" s="109" cm="1">
        <f t="array" ref="CQ428">AF428*WTP-AC428</f>
        <v>40262.747940505702</v>
      </c>
      <c r="CR428" s="109">
        <f t="shared" si="188"/>
        <v>42219.955501675875</v>
      </c>
      <c r="CT428" s="58">
        <f t="array" ref="CT428">SUM(IF(CQ428:CR428&gt;=CQ428, 1))</f>
        <v>2</v>
      </c>
      <c r="CU428" s="58">
        <f t="array" ref="CU428">SUM(IF(CQ428:CR428&gt;=CR428, 1))</f>
        <v>1</v>
      </c>
      <c r="CW428" s="109">
        <f t="shared" si="189"/>
        <v>-37985222.098605111</v>
      </c>
      <c r="CX428" s="109">
        <f t="shared" si="190"/>
        <v>0</v>
      </c>
      <c r="CZ428" s="58">
        <f t="array" ref="CZ428">SUM(IF(CW428:CX428&gt;=CW428, 1))</f>
        <v>2</v>
      </c>
      <c r="DA428" s="58">
        <f t="array" ref="DA428">SUM(IF(CW428:CX428&gt;=CX428, 1))</f>
        <v>1</v>
      </c>
      <c r="DC428" s="109">
        <f t="shared" si="191"/>
        <v>-2099128.4288978595</v>
      </c>
      <c r="DD428" s="109">
        <f t="shared" si="192"/>
        <v>0</v>
      </c>
      <c r="DF428" s="58">
        <f t="array" ref="DF428">SUM(IF(DC428:DD428&gt;=DC428, 1))</f>
        <v>2</v>
      </c>
      <c r="DG428" s="58">
        <f t="array" ref="DG428">SUM(IF(DC428:DD428&gt;=DD428, 1))</f>
        <v>1</v>
      </c>
      <c r="DI428" s="109">
        <f t="shared" si="193"/>
        <v>-26011991.98054643</v>
      </c>
      <c r="DJ428" s="109">
        <f t="shared" si="194"/>
        <v>0</v>
      </c>
      <c r="DL428" s="58">
        <f t="array" ref="DL428">SUM(IF(DI428:DJ428&gt;=DI428, 1))</f>
        <v>2</v>
      </c>
      <c r="DM428" s="58">
        <f t="array" ref="DM428">SUM(IF(DI428:DJ428&gt;=DJ428, 1))</f>
        <v>1</v>
      </c>
      <c r="DO428" s="109">
        <f t="shared" si="195"/>
        <v>-9471955.0799794719</v>
      </c>
      <c r="DP428" s="109">
        <f t="shared" si="196"/>
        <v>0</v>
      </c>
      <c r="DR428" s="58">
        <f t="array" ref="DR428">SUM(IF(DO428:DP428&gt;=DO428, 1))</f>
        <v>2</v>
      </c>
      <c r="DS428" s="58">
        <f t="array" ref="DS428">SUM(IF(DO428:DP428&gt;=DP428, 1))</f>
        <v>1</v>
      </c>
      <c r="DU428" s="109">
        <f t="shared" si="197"/>
        <v>-31604601.193745442</v>
      </c>
      <c r="DV428" s="109">
        <f t="shared" si="198"/>
        <v>0</v>
      </c>
      <c r="DX428" s="58">
        <f t="array" ref="DX428">SUM(IF(DU428:DV428&gt;=DU428, 1))</f>
        <v>2</v>
      </c>
      <c r="DY428" s="58">
        <f t="array" ref="DY428">SUM(IF(DU428:DV428&gt;=DV428, 1))</f>
        <v>1</v>
      </c>
      <c r="EA428" s="109">
        <f t="shared" si="199"/>
        <v>-107172898.7817743</v>
      </c>
      <c r="EB428" s="109">
        <f t="shared" si="200"/>
        <v>0</v>
      </c>
      <c r="ED428" s="58">
        <f t="array" ref="ED428">SUM(IF(EA428:EB428&gt;=EA428, 1))</f>
        <v>2</v>
      </c>
      <c r="EE428" s="58">
        <f t="array" ref="EE428">SUM(IF(EA428:EB428&gt;=EB428, 1))</f>
        <v>1</v>
      </c>
    </row>
    <row r="429" spans="4:135" ht="12" customHeight="1" x14ac:dyDescent="0.25">
      <c r="D429" s="11">
        <v>413</v>
      </c>
      <c r="E429" s="72">
        <v>284.24947391635419</v>
      </c>
      <c r="F429" s="72">
        <v>261.73183929297988</v>
      </c>
      <c r="G429" s="73"/>
      <c r="H429" s="74">
        <v>5.8415189712327047</v>
      </c>
      <c r="I429" s="74">
        <v>5.8564921410676272</v>
      </c>
      <c r="J429" s="73"/>
      <c r="K429" s="72">
        <v>305.21686938694131</v>
      </c>
      <c r="L429" s="72">
        <v>282.13361130994235</v>
      </c>
      <c r="M429" s="73"/>
      <c r="N429" s="74">
        <v>6.6850475177754873</v>
      </c>
      <c r="O429" s="74">
        <v>6.6980099081295634</v>
      </c>
      <c r="P429" s="73"/>
      <c r="Q429" s="72">
        <v>2856.2280682569767</v>
      </c>
      <c r="R429" s="72">
        <v>1707.1764045377813</v>
      </c>
      <c r="S429" s="73"/>
      <c r="T429" s="74">
        <v>4.8604979693849444</v>
      </c>
      <c r="U429" s="74">
        <v>4.9377312911146465</v>
      </c>
      <c r="V429" s="73"/>
      <c r="W429" s="72">
        <v>11317.390477666238</v>
      </c>
      <c r="X429" s="72">
        <v>11298.63523818951</v>
      </c>
      <c r="Y429" s="73"/>
      <c r="Z429" s="74">
        <v>3.1062105098559907</v>
      </c>
      <c r="AA429" s="74">
        <v>3.1649426340011173</v>
      </c>
      <c r="AB429" s="73"/>
      <c r="AC429" s="72">
        <v>48974.246953246147</v>
      </c>
      <c r="AD429" s="72">
        <v>49003.868302338597</v>
      </c>
      <c r="AE429" s="73"/>
      <c r="AF429" s="74">
        <v>4.6848733649437655</v>
      </c>
      <c r="AG429" s="74">
        <v>4.7746153364065833</v>
      </c>
      <c r="AH429" s="73"/>
      <c r="AI429" s="72">
        <v>2429050.6672904538</v>
      </c>
      <c r="AJ429" s="72">
        <v>0</v>
      </c>
      <c r="AK429" s="73"/>
      <c r="AL429" s="74">
        <v>-1615.2046512566394</v>
      </c>
      <c r="AM429" s="74">
        <v>0</v>
      </c>
      <c r="AN429" s="73"/>
      <c r="AO429" s="72">
        <v>157833.75355964756</v>
      </c>
      <c r="AP429" s="72">
        <v>0</v>
      </c>
      <c r="AQ429" s="73"/>
      <c r="AR429" s="74">
        <v>-88.631453924947195</v>
      </c>
      <c r="AS429" s="74">
        <v>0</v>
      </c>
      <c r="AT429" s="73"/>
      <c r="AU429" s="72">
        <v>26620505.836775612</v>
      </c>
      <c r="AV429" s="72">
        <v>0</v>
      </c>
      <c r="AW429" s="73"/>
      <c r="AX429" s="74">
        <v>-1789.2929942282781</v>
      </c>
      <c r="AY429" s="74">
        <v>0</v>
      </c>
      <c r="AZ429" s="73"/>
      <c r="BA429" s="72">
        <v>167811.60065677328</v>
      </c>
      <c r="BB429" s="72">
        <v>0</v>
      </c>
      <c r="BC429" s="73"/>
      <c r="BD429" s="74">
        <v>-525.50284815053817</v>
      </c>
      <c r="BE429" s="74">
        <v>0</v>
      </c>
      <c r="BF429" s="73"/>
      <c r="BG429" s="72">
        <v>-469939.65312915074</v>
      </c>
      <c r="BH429" s="72">
        <v>0</v>
      </c>
      <c r="BI429" s="73"/>
      <c r="BJ429" s="74">
        <v>-1423.7471361867556</v>
      </c>
      <c r="BK429" s="74">
        <v>0</v>
      </c>
      <c r="BL429" s="73"/>
      <c r="BM429" s="72">
        <v>28905262.205153339</v>
      </c>
      <c r="BN429" s="72">
        <v>0</v>
      </c>
      <c r="BO429" s="73"/>
      <c r="BP429" s="74">
        <v>-5442.3790837471588</v>
      </c>
      <c r="BQ429" s="74">
        <v>0</v>
      </c>
      <c r="BS429" s="109">
        <f t="shared" si="180"/>
        <v>116546.12995073774</v>
      </c>
      <c r="BT429" s="109">
        <f t="shared" si="181"/>
        <v>116868.11098205957</v>
      </c>
      <c r="BV429" s="58">
        <f t="array" ref="BV429">SUM(IF(BS429:BT429&gt;=BS429, 1))</f>
        <v>2</v>
      </c>
      <c r="BW429" s="58">
        <f t="array" ref="BW429">SUM(IF(BS429:BT429&gt;=BT429, 1))</f>
        <v>1</v>
      </c>
      <c r="BY429" s="109">
        <f t="shared" si="182"/>
        <v>133395.7334861228</v>
      </c>
      <c r="BZ429" s="109">
        <f t="shared" si="183"/>
        <v>133678.06455128131</v>
      </c>
      <c r="CB429" s="58">
        <f t="array" ref="CB429">SUM(IF(BY429:BZ429&gt;=BY429, 1))</f>
        <v>2</v>
      </c>
      <c r="CC429" s="58">
        <f t="array" ref="CC429">SUM(IF(BY429:BZ429&gt;=BZ429, 1))</f>
        <v>1</v>
      </c>
      <c r="CE429" s="109">
        <f t="shared" si="184"/>
        <v>94353.731319441911</v>
      </c>
      <c r="CF429" s="109">
        <f t="shared" si="185"/>
        <v>97047.449417755153</v>
      </c>
      <c r="CH429" s="58">
        <f t="array" ref="CH429">SUM(IF(CE429:CF429&gt;=CE429, 1))</f>
        <v>2</v>
      </c>
      <c r="CI429" s="58">
        <f t="array" ref="CI429">SUM(IF(CE429:CF429&gt;=CF429, 1))</f>
        <v>1</v>
      </c>
      <c r="CK429" s="109">
        <f t="shared" si="186"/>
        <v>50806.819719453575</v>
      </c>
      <c r="CL429" s="109">
        <f t="shared" si="187"/>
        <v>52000.217441832836</v>
      </c>
      <c r="CN429" s="58">
        <f t="array" ref="CN429">SUM(IF(CK429:CL429&gt;=CK429, 1))</f>
        <v>2</v>
      </c>
      <c r="CO429" s="58">
        <f t="array" ref="CO429">SUM(IF(CK429:CL429&gt;=CL429, 1))</f>
        <v>1</v>
      </c>
      <c r="CQ429" s="109" cm="1">
        <f t="array" ref="CQ429">AF429*WTP-AC429</f>
        <v>44723.220345629168</v>
      </c>
      <c r="CR429" s="109">
        <f t="shared" si="188"/>
        <v>46488.438425793065</v>
      </c>
      <c r="CT429" s="58">
        <f t="array" ref="CT429">SUM(IF(CQ429:CR429&gt;=CQ429, 1))</f>
        <v>2</v>
      </c>
      <c r="CU429" s="58">
        <f t="array" ref="CU429">SUM(IF(CQ429:CR429&gt;=CR429, 1))</f>
        <v>1</v>
      </c>
      <c r="CW429" s="109">
        <f t="shared" si="189"/>
        <v>-34733143.692423239</v>
      </c>
      <c r="CX429" s="109">
        <f t="shared" si="190"/>
        <v>0</v>
      </c>
      <c r="CZ429" s="58">
        <f t="array" ref="CZ429">SUM(IF(CW429:CX429&gt;=CW429, 1))</f>
        <v>2</v>
      </c>
      <c r="DA429" s="58">
        <f t="array" ref="DA429">SUM(IF(CW429:CX429&gt;=CX429, 1))</f>
        <v>1</v>
      </c>
      <c r="DC429" s="109">
        <f t="shared" si="191"/>
        <v>-1930462.8320585915</v>
      </c>
      <c r="DD429" s="109">
        <f t="shared" si="192"/>
        <v>0</v>
      </c>
      <c r="DF429" s="58">
        <f t="array" ref="DF429">SUM(IF(DC429:DD429&gt;=DC429, 1))</f>
        <v>2</v>
      </c>
      <c r="DG429" s="58">
        <f t="array" ref="DG429">SUM(IF(DC429:DD429&gt;=DD429, 1))</f>
        <v>1</v>
      </c>
      <c r="DI429" s="109">
        <f t="shared" si="193"/>
        <v>-62406365.721341178</v>
      </c>
      <c r="DJ429" s="109">
        <f t="shared" si="194"/>
        <v>0</v>
      </c>
      <c r="DL429" s="58">
        <f t="array" ref="DL429">SUM(IF(DI429:DJ429&gt;=DI429, 1))</f>
        <v>2</v>
      </c>
      <c r="DM429" s="58">
        <f t="array" ref="DM429">SUM(IF(DI429:DJ429&gt;=DJ429, 1))</f>
        <v>1</v>
      </c>
      <c r="DO429" s="109">
        <f t="shared" si="195"/>
        <v>-10677868.563667538</v>
      </c>
      <c r="DP429" s="109">
        <f t="shared" si="196"/>
        <v>0</v>
      </c>
      <c r="DR429" s="58">
        <f t="array" ref="DR429">SUM(IF(DO429:DP429&gt;=DO429, 1))</f>
        <v>2</v>
      </c>
      <c r="DS429" s="58">
        <f t="array" ref="DS429">SUM(IF(DO429:DP429&gt;=DP429, 1))</f>
        <v>1</v>
      </c>
      <c r="DU429" s="109">
        <f t="shared" si="197"/>
        <v>-28005003.070605963</v>
      </c>
      <c r="DV429" s="109">
        <f t="shared" si="198"/>
        <v>0</v>
      </c>
      <c r="DX429" s="58">
        <f t="array" ref="DX429">SUM(IF(DU429:DV429&gt;=DU429, 1))</f>
        <v>2</v>
      </c>
      <c r="DY429" s="58">
        <f t="array" ref="DY429">SUM(IF(DU429:DV429&gt;=DV429, 1))</f>
        <v>1</v>
      </c>
      <c r="EA429" s="109">
        <f t="shared" si="199"/>
        <v>-137752843.88009652</v>
      </c>
      <c r="EB429" s="109">
        <f t="shared" si="200"/>
        <v>0</v>
      </c>
      <c r="ED429" s="58">
        <f t="array" ref="ED429">SUM(IF(EA429:EB429&gt;=EA429, 1))</f>
        <v>2</v>
      </c>
      <c r="EE429" s="58">
        <f t="array" ref="EE429">SUM(IF(EA429:EB429&gt;=EB429, 1))</f>
        <v>1</v>
      </c>
    </row>
    <row r="430" spans="4:135" ht="12" customHeight="1" x14ac:dyDescent="0.25">
      <c r="D430" s="11">
        <v>414</v>
      </c>
      <c r="E430" s="72">
        <v>266.08320157560991</v>
      </c>
      <c r="F430" s="72">
        <v>236.13566430049403</v>
      </c>
      <c r="G430" s="73"/>
      <c r="H430" s="74">
        <v>5.8634743213787575</v>
      </c>
      <c r="I430" s="74">
        <v>5.8804969473068587</v>
      </c>
      <c r="J430" s="73"/>
      <c r="K430" s="72">
        <v>285.23766563644341</v>
      </c>
      <c r="L430" s="72">
        <v>254.56780401736134</v>
      </c>
      <c r="M430" s="73"/>
      <c r="N430" s="74">
        <v>6.6492833019590494</v>
      </c>
      <c r="O430" s="74">
        <v>6.6642207371832303</v>
      </c>
      <c r="P430" s="73"/>
      <c r="Q430" s="72">
        <v>2288.9752132274079</v>
      </c>
      <c r="R430" s="72">
        <v>1360.954826886586</v>
      </c>
      <c r="S430" s="73"/>
      <c r="T430" s="74">
        <v>5.0691755024793856</v>
      </c>
      <c r="U430" s="74">
        <v>5.1470255982456186</v>
      </c>
      <c r="V430" s="73"/>
      <c r="W430" s="72">
        <v>10567.21052737892</v>
      </c>
      <c r="X430" s="72">
        <v>10541.937729514344</v>
      </c>
      <c r="Y430" s="73"/>
      <c r="Z430" s="74">
        <v>3.0855942687776969</v>
      </c>
      <c r="AA430" s="74">
        <v>3.137983599358352</v>
      </c>
      <c r="AB430" s="73"/>
      <c r="AC430" s="72">
        <v>50349.042194169277</v>
      </c>
      <c r="AD430" s="72">
        <v>49791.162355621585</v>
      </c>
      <c r="AE430" s="73"/>
      <c r="AF430" s="74">
        <v>4.4276616951337839</v>
      </c>
      <c r="AG430" s="74">
        <v>4.5639565717938151</v>
      </c>
      <c r="AH430" s="73"/>
      <c r="AI430" s="72">
        <v>3222433.2690868685</v>
      </c>
      <c r="AJ430" s="72">
        <v>0</v>
      </c>
      <c r="AK430" s="73"/>
      <c r="AL430" s="74">
        <v>-1831.6790330373451</v>
      </c>
      <c r="AM430" s="74">
        <v>0</v>
      </c>
      <c r="AN430" s="73"/>
      <c r="AO430" s="72">
        <v>204030.80335214696</v>
      </c>
      <c r="AP430" s="72">
        <v>0</v>
      </c>
      <c r="AQ430" s="73"/>
      <c r="AR430" s="74">
        <v>-99.371068140525281</v>
      </c>
      <c r="AS430" s="74">
        <v>0</v>
      </c>
      <c r="AT430" s="73"/>
      <c r="AU430" s="72">
        <v>20909675.532503892</v>
      </c>
      <c r="AV430" s="72">
        <v>0</v>
      </c>
      <c r="AW430" s="73"/>
      <c r="AX430" s="74">
        <v>-1754.0781071251779</v>
      </c>
      <c r="AY430" s="74">
        <v>0</v>
      </c>
      <c r="AZ430" s="73"/>
      <c r="BA430" s="72">
        <v>228233.0129631038</v>
      </c>
      <c r="BB430" s="72">
        <v>0</v>
      </c>
      <c r="BC430" s="73"/>
      <c r="BD430" s="74">
        <v>-473.1163850403189</v>
      </c>
      <c r="BE430" s="74">
        <v>0</v>
      </c>
      <c r="BF430" s="73"/>
      <c r="BG430" s="72">
        <v>8721111.5614087395</v>
      </c>
      <c r="BH430" s="72">
        <v>0</v>
      </c>
      <c r="BI430" s="73"/>
      <c r="BJ430" s="74">
        <v>-2130.6430927759061</v>
      </c>
      <c r="BK430" s="74">
        <v>0</v>
      </c>
      <c r="BL430" s="73"/>
      <c r="BM430" s="72">
        <v>33285484.179314751</v>
      </c>
      <c r="BN430" s="72">
        <v>0</v>
      </c>
      <c r="BO430" s="73"/>
      <c r="BP430" s="74">
        <v>-6288.887686119273</v>
      </c>
      <c r="BQ430" s="74">
        <v>0</v>
      </c>
      <c r="BS430" s="109">
        <f t="shared" si="180"/>
        <v>117003.40322599953</v>
      </c>
      <c r="BT430" s="109">
        <f t="shared" si="181"/>
        <v>117373.80328183668</v>
      </c>
      <c r="BV430" s="58">
        <f t="array" ref="BV430">SUM(IF(BS430:BT430&gt;=BS430, 1))</f>
        <v>2</v>
      </c>
      <c r="BW430" s="58">
        <f t="array" ref="BW430">SUM(IF(BS430:BT430&gt;=BT430, 1))</f>
        <v>1</v>
      </c>
      <c r="BY430" s="109">
        <f t="shared" si="182"/>
        <v>132700.42837354456</v>
      </c>
      <c r="BZ430" s="109">
        <f t="shared" si="183"/>
        <v>133029.84693964725</v>
      </c>
      <c r="CB430" s="58">
        <f t="array" ref="CB430">SUM(IF(BY430:BZ430&gt;=BY430, 1))</f>
        <v>2</v>
      </c>
      <c r="CC430" s="58">
        <f t="array" ref="CC430">SUM(IF(BY430:BZ430&gt;=BZ430, 1))</f>
        <v>1</v>
      </c>
      <c r="CE430" s="109">
        <f t="shared" si="184"/>
        <v>99094.534836360312</v>
      </c>
      <c r="CF430" s="109">
        <f t="shared" si="185"/>
        <v>101579.55713802578</v>
      </c>
      <c r="CH430" s="58">
        <f t="array" ref="CH430">SUM(IF(CE430:CF430&gt;=CE430, 1))</f>
        <v>2</v>
      </c>
      <c r="CI430" s="58">
        <f t="array" ref="CI430">SUM(IF(CE430:CF430&gt;=CF430, 1))</f>
        <v>1</v>
      </c>
      <c r="CK430" s="109">
        <f t="shared" si="186"/>
        <v>51144.674848175018</v>
      </c>
      <c r="CL430" s="109">
        <f t="shared" si="187"/>
        <v>52217.734257652701</v>
      </c>
      <c r="CN430" s="58">
        <f t="array" ref="CN430">SUM(IF(CK430:CL430&gt;=CK430, 1))</f>
        <v>2</v>
      </c>
      <c r="CO430" s="58">
        <f t="array" ref="CO430">SUM(IF(CK430:CL430&gt;=CL430, 1))</f>
        <v>1</v>
      </c>
      <c r="CQ430" s="109" cm="1">
        <f t="array" ref="CQ430">AF430*WTP-AC430</f>
        <v>38204.191708506405</v>
      </c>
      <c r="CR430" s="109">
        <f t="shared" si="188"/>
        <v>41487.969080254719</v>
      </c>
      <c r="CT430" s="58">
        <f t="array" ref="CT430">SUM(IF(CQ430:CR430&gt;=CQ430, 1))</f>
        <v>2</v>
      </c>
      <c r="CU430" s="58">
        <f t="array" ref="CU430">SUM(IF(CQ430:CR430&gt;=CR430, 1))</f>
        <v>1</v>
      </c>
      <c r="CW430" s="109">
        <f t="shared" si="189"/>
        <v>-39856013.92983377</v>
      </c>
      <c r="CX430" s="109">
        <f t="shared" si="190"/>
        <v>0</v>
      </c>
      <c r="CZ430" s="58">
        <f t="array" ref="CZ430">SUM(IF(CW430:CX430&gt;=CW430, 1))</f>
        <v>2</v>
      </c>
      <c r="DA430" s="58">
        <f t="array" ref="DA430">SUM(IF(CW430:CX430&gt;=CX430, 1))</f>
        <v>1</v>
      </c>
      <c r="DC430" s="109">
        <f t="shared" si="191"/>
        <v>-2191452.1661626524</v>
      </c>
      <c r="DD430" s="109">
        <f t="shared" si="192"/>
        <v>0</v>
      </c>
      <c r="DF430" s="58">
        <f t="array" ref="DF430">SUM(IF(DC430:DD430&gt;=DC430, 1))</f>
        <v>2</v>
      </c>
      <c r="DG430" s="58">
        <f t="array" ref="DG430">SUM(IF(DC430:DD430&gt;=DD430, 1))</f>
        <v>1</v>
      </c>
      <c r="DI430" s="109">
        <f t="shared" si="193"/>
        <v>-55991237.675007448</v>
      </c>
      <c r="DJ430" s="109">
        <f t="shared" si="194"/>
        <v>0</v>
      </c>
      <c r="DL430" s="58">
        <f t="array" ref="DL430">SUM(IF(DI430:DJ430&gt;=DI430, 1))</f>
        <v>2</v>
      </c>
      <c r="DM430" s="58">
        <f t="array" ref="DM430">SUM(IF(DI430:DJ430&gt;=DJ430, 1))</f>
        <v>1</v>
      </c>
      <c r="DO430" s="109">
        <f t="shared" si="195"/>
        <v>-9690560.7137694806</v>
      </c>
      <c r="DP430" s="109">
        <f t="shared" si="196"/>
        <v>0</v>
      </c>
      <c r="DR430" s="58">
        <f t="array" ref="DR430">SUM(IF(DO430:DP430&gt;=DO430, 1))</f>
        <v>2</v>
      </c>
      <c r="DS430" s="58">
        <f t="array" ref="DS430">SUM(IF(DO430:DP430&gt;=DP430, 1))</f>
        <v>1</v>
      </c>
      <c r="DU430" s="109">
        <f t="shared" si="197"/>
        <v>-51333973.416926861</v>
      </c>
      <c r="DV430" s="109">
        <f t="shared" si="198"/>
        <v>0</v>
      </c>
      <c r="DX430" s="58">
        <f t="array" ref="DX430">SUM(IF(DU430:DV430&gt;=DU430, 1))</f>
        <v>2</v>
      </c>
      <c r="DY430" s="58">
        <f t="array" ref="DY430">SUM(IF(DU430:DV430&gt;=DV430, 1))</f>
        <v>1</v>
      </c>
      <c r="EA430" s="109">
        <f t="shared" si="199"/>
        <v>-159063237.90170023</v>
      </c>
      <c r="EB430" s="109">
        <f t="shared" si="200"/>
        <v>0</v>
      </c>
      <c r="ED430" s="58">
        <f t="array" ref="ED430">SUM(IF(EA430:EB430&gt;=EA430, 1))</f>
        <v>2</v>
      </c>
      <c r="EE430" s="58">
        <f t="array" ref="EE430">SUM(IF(EA430:EB430&gt;=EB430, 1))</f>
        <v>1</v>
      </c>
    </row>
    <row r="431" spans="4:135" ht="12" customHeight="1" x14ac:dyDescent="0.25">
      <c r="D431" s="11">
        <v>415</v>
      </c>
      <c r="E431" s="72">
        <v>274.60240406390869</v>
      </c>
      <c r="F431" s="72">
        <v>247.59380429795692</v>
      </c>
      <c r="G431" s="73"/>
      <c r="H431" s="74">
        <v>5.7978063552135328</v>
      </c>
      <c r="I431" s="74">
        <v>5.8098208800922873</v>
      </c>
      <c r="J431" s="73"/>
      <c r="K431" s="72">
        <v>294.59750774823453</v>
      </c>
      <c r="L431" s="72">
        <v>266.92830246992798</v>
      </c>
      <c r="M431" s="73"/>
      <c r="N431" s="74">
        <v>6.6861065333966785</v>
      </c>
      <c r="O431" s="74">
        <v>6.6956360295037873</v>
      </c>
      <c r="P431" s="73"/>
      <c r="Q431" s="72">
        <v>2208.6521356761973</v>
      </c>
      <c r="R431" s="72">
        <v>1401.5547092784359</v>
      </c>
      <c r="S431" s="73"/>
      <c r="T431" s="74">
        <v>4.9085335209255563</v>
      </c>
      <c r="U431" s="74">
        <v>4.9772430977289037</v>
      </c>
      <c r="V431" s="73"/>
      <c r="W431" s="72">
        <v>9956.0708359143919</v>
      </c>
      <c r="X431" s="72">
        <v>9965.7006820002371</v>
      </c>
      <c r="Y431" s="73"/>
      <c r="Z431" s="74">
        <v>2.9410710200969712</v>
      </c>
      <c r="AA431" s="74">
        <v>2.9851580110190996</v>
      </c>
      <c r="AB431" s="73"/>
      <c r="AC431" s="72">
        <v>50463.373466502344</v>
      </c>
      <c r="AD431" s="72">
        <v>50302.748463667886</v>
      </c>
      <c r="AE431" s="73"/>
      <c r="AF431" s="74">
        <v>4.0768327204146386</v>
      </c>
      <c r="AG431" s="74">
        <v>4.1986527075269349</v>
      </c>
      <c r="AH431" s="73"/>
      <c r="AI431" s="72">
        <v>2885871.1208222946</v>
      </c>
      <c r="AJ431" s="72">
        <v>0</v>
      </c>
      <c r="AK431" s="73"/>
      <c r="AL431" s="74">
        <v>-1283.7529778832852</v>
      </c>
      <c r="AM431" s="74">
        <v>0</v>
      </c>
      <c r="AN431" s="73"/>
      <c r="AO431" s="72">
        <v>189846.93670557221</v>
      </c>
      <c r="AP431" s="72">
        <v>0</v>
      </c>
      <c r="AQ431" s="73"/>
      <c r="AR431" s="74">
        <v>-65.384806903027041</v>
      </c>
      <c r="AS431" s="74">
        <v>0</v>
      </c>
      <c r="AT431" s="73"/>
      <c r="AU431" s="72">
        <v>18589252.197111718</v>
      </c>
      <c r="AV431" s="72">
        <v>0</v>
      </c>
      <c r="AW431" s="73"/>
      <c r="AX431" s="74">
        <v>-1582.5346603506225</v>
      </c>
      <c r="AY431" s="74">
        <v>0</v>
      </c>
      <c r="AZ431" s="73"/>
      <c r="BA431" s="72">
        <v>-84149.06061699675</v>
      </c>
      <c r="BB431" s="72">
        <v>0</v>
      </c>
      <c r="BC431" s="73"/>
      <c r="BD431" s="74">
        <v>-385.24799238279394</v>
      </c>
      <c r="BE431" s="74">
        <v>0</v>
      </c>
      <c r="BF431" s="73"/>
      <c r="BG431" s="72">
        <v>2559941.031313648</v>
      </c>
      <c r="BH431" s="72">
        <v>0</v>
      </c>
      <c r="BI431" s="73"/>
      <c r="BJ431" s="74">
        <v>-1941.490913243839</v>
      </c>
      <c r="BK431" s="74">
        <v>0</v>
      </c>
      <c r="BL431" s="73"/>
      <c r="BM431" s="72">
        <v>24140762.225336235</v>
      </c>
      <c r="BN431" s="72">
        <v>0</v>
      </c>
      <c r="BO431" s="73"/>
      <c r="BP431" s="74">
        <v>-5258.4113507635675</v>
      </c>
      <c r="BQ431" s="74">
        <v>0</v>
      </c>
      <c r="BS431" s="109">
        <f t="shared" si="180"/>
        <v>115681.52470020675</v>
      </c>
      <c r="BT431" s="109">
        <f t="shared" si="181"/>
        <v>115948.8237975478</v>
      </c>
      <c r="BV431" s="58">
        <f t="array" ref="BV431">SUM(IF(BS431:BT431&gt;=BS431, 1))</f>
        <v>2</v>
      </c>
      <c r="BW431" s="58">
        <f t="array" ref="BW431">SUM(IF(BS431:BT431&gt;=BT431, 1))</f>
        <v>1</v>
      </c>
      <c r="BY431" s="109">
        <f t="shared" si="182"/>
        <v>133427.53316018535</v>
      </c>
      <c r="BZ431" s="109">
        <f t="shared" si="183"/>
        <v>133645.79228760581</v>
      </c>
      <c r="CB431" s="58">
        <f t="array" ref="CB431">SUM(IF(BY431:BZ431&gt;=BY431, 1))</f>
        <v>2</v>
      </c>
      <c r="CC431" s="58">
        <f t="array" ref="CC431">SUM(IF(BY431:BZ431&gt;=BZ431, 1))</f>
        <v>1</v>
      </c>
      <c r="CE431" s="109">
        <f t="shared" si="184"/>
        <v>95962.018282834935</v>
      </c>
      <c r="CF431" s="109">
        <f t="shared" si="185"/>
        <v>98143.307245299628</v>
      </c>
      <c r="CH431" s="58">
        <f t="array" ref="CH431">SUM(IF(CE431:CF431&gt;=CE431, 1))</f>
        <v>2</v>
      </c>
      <c r="CI431" s="58">
        <f t="array" ref="CI431">SUM(IF(CE431:CF431&gt;=CF431, 1))</f>
        <v>1</v>
      </c>
      <c r="CK431" s="109">
        <f t="shared" si="186"/>
        <v>48865.349566025034</v>
      </c>
      <c r="CL431" s="109">
        <f t="shared" si="187"/>
        <v>49737.459538381758</v>
      </c>
      <c r="CN431" s="58">
        <f t="array" ref="CN431">SUM(IF(CK431:CL431&gt;=CK431, 1))</f>
        <v>2</v>
      </c>
      <c r="CO431" s="58">
        <f t="array" ref="CO431">SUM(IF(CK431:CL431&gt;=CL431, 1))</f>
        <v>1</v>
      </c>
      <c r="CQ431" s="109" cm="1">
        <f t="array" ref="CQ431">AF431*WTP-AC431</f>
        <v>31073.280941790428</v>
      </c>
      <c r="CR431" s="109">
        <f t="shared" si="188"/>
        <v>33670.305686870808</v>
      </c>
      <c r="CT431" s="58">
        <f t="array" ref="CT431">SUM(IF(CQ431:CR431&gt;=CQ431, 1))</f>
        <v>2</v>
      </c>
      <c r="CU431" s="58">
        <f t="array" ref="CU431">SUM(IF(CQ431:CR431&gt;=CR431, 1))</f>
        <v>1</v>
      </c>
      <c r="CW431" s="109">
        <f t="shared" si="189"/>
        <v>-28560930.678488001</v>
      </c>
      <c r="CX431" s="109">
        <f t="shared" si="190"/>
        <v>0</v>
      </c>
      <c r="CZ431" s="58">
        <f t="array" ref="CZ431">SUM(IF(CW431:CX431&gt;=CW431, 1))</f>
        <v>2</v>
      </c>
      <c r="DA431" s="58">
        <f t="array" ref="DA431">SUM(IF(CW431:CX431&gt;=CX431, 1))</f>
        <v>1</v>
      </c>
      <c r="DC431" s="109">
        <f t="shared" si="191"/>
        <v>-1497543.0747661132</v>
      </c>
      <c r="DD431" s="109">
        <f t="shared" si="192"/>
        <v>0</v>
      </c>
      <c r="DF431" s="58">
        <f t="array" ref="DF431">SUM(IF(DC431:DD431&gt;=DC431, 1))</f>
        <v>2</v>
      </c>
      <c r="DG431" s="58">
        <f t="array" ref="DG431">SUM(IF(DC431:DD431&gt;=DD431, 1))</f>
        <v>1</v>
      </c>
      <c r="DI431" s="109">
        <f t="shared" si="193"/>
        <v>-50239945.404124171</v>
      </c>
      <c r="DJ431" s="109">
        <f t="shared" si="194"/>
        <v>0</v>
      </c>
      <c r="DL431" s="58">
        <f t="array" ref="DL431">SUM(IF(DI431:DJ431&gt;=DI431, 1))</f>
        <v>2</v>
      </c>
      <c r="DM431" s="58">
        <f t="array" ref="DM431">SUM(IF(DI431:DJ431&gt;=DJ431, 1))</f>
        <v>1</v>
      </c>
      <c r="DO431" s="109">
        <f t="shared" si="195"/>
        <v>-7620810.7870388813</v>
      </c>
      <c r="DP431" s="109">
        <f t="shared" si="196"/>
        <v>0</v>
      </c>
      <c r="DR431" s="58">
        <f t="array" ref="DR431">SUM(IF(DO431:DP431&gt;=DO431, 1))</f>
        <v>2</v>
      </c>
      <c r="DS431" s="58">
        <f t="array" ref="DS431">SUM(IF(DO431:DP431&gt;=DP431, 1))</f>
        <v>1</v>
      </c>
      <c r="DU431" s="109">
        <f t="shared" si="197"/>
        <v>-41389759.296190433</v>
      </c>
      <c r="DV431" s="109">
        <f t="shared" si="198"/>
        <v>0</v>
      </c>
      <c r="DX431" s="58">
        <f t="array" ref="DX431">SUM(IF(DU431:DV431&gt;=DU431, 1))</f>
        <v>2</v>
      </c>
      <c r="DY431" s="58">
        <f t="array" ref="DY431">SUM(IF(DU431:DV431&gt;=DV431, 1))</f>
        <v>1</v>
      </c>
      <c r="EA431" s="109">
        <f t="shared" si="199"/>
        <v>-129308989.24060759</v>
      </c>
      <c r="EB431" s="109">
        <f t="shared" si="200"/>
        <v>0</v>
      </c>
      <c r="ED431" s="58">
        <f t="array" ref="ED431">SUM(IF(EA431:EB431&gt;=EA431, 1))</f>
        <v>2</v>
      </c>
      <c r="EE431" s="58">
        <f t="array" ref="EE431">SUM(IF(EA431:EB431&gt;=EB431, 1))</f>
        <v>1</v>
      </c>
    </row>
    <row r="432" spans="4:135" ht="12" customHeight="1" x14ac:dyDescent="0.25">
      <c r="D432" s="11">
        <v>416</v>
      </c>
      <c r="E432" s="72">
        <v>269.8113642859542</v>
      </c>
      <c r="F432" s="72">
        <v>256.34671685646862</v>
      </c>
      <c r="G432" s="73"/>
      <c r="H432" s="74">
        <v>5.8267305432847341</v>
      </c>
      <c r="I432" s="74">
        <v>5.8417185118125401</v>
      </c>
      <c r="J432" s="73"/>
      <c r="K432" s="72">
        <v>290.23182828076926</v>
      </c>
      <c r="L432" s="72">
        <v>276.42865768022165</v>
      </c>
      <c r="M432" s="73"/>
      <c r="N432" s="74">
        <v>6.7086432818988646</v>
      </c>
      <c r="O432" s="74">
        <v>6.7216885603175518</v>
      </c>
      <c r="P432" s="73"/>
      <c r="Q432" s="72">
        <v>2484.2954599719892</v>
      </c>
      <c r="R432" s="72">
        <v>1584.7909026219772</v>
      </c>
      <c r="S432" s="73"/>
      <c r="T432" s="74">
        <v>4.9427847914983669</v>
      </c>
      <c r="U432" s="74">
        <v>5.0150495983831052</v>
      </c>
      <c r="V432" s="73"/>
      <c r="W432" s="72">
        <v>15023.24836289419</v>
      </c>
      <c r="X432" s="72">
        <v>15014.265487304194</v>
      </c>
      <c r="Y432" s="73"/>
      <c r="Z432" s="74">
        <v>3.0397464675123502</v>
      </c>
      <c r="AA432" s="74">
        <v>3.0942936203800424</v>
      </c>
      <c r="AB432" s="73"/>
      <c r="AC432" s="72">
        <v>49638.856618556369</v>
      </c>
      <c r="AD432" s="72">
        <v>49559.555357302255</v>
      </c>
      <c r="AE432" s="73"/>
      <c r="AF432" s="74">
        <v>4.6859662553962087</v>
      </c>
      <c r="AG432" s="74">
        <v>4.8043651648802248</v>
      </c>
      <c r="AH432" s="73"/>
      <c r="AI432" s="72">
        <v>1437586.2731388221</v>
      </c>
      <c r="AJ432" s="72">
        <v>0</v>
      </c>
      <c r="AK432" s="73"/>
      <c r="AL432" s="74">
        <v>-1600.2274051845582</v>
      </c>
      <c r="AM432" s="74">
        <v>0</v>
      </c>
      <c r="AN432" s="73"/>
      <c r="AO432" s="72">
        <v>92483.828856409586</v>
      </c>
      <c r="AP432" s="72">
        <v>0</v>
      </c>
      <c r="AQ432" s="73"/>
      <c r="AR432" s="74">
        <v>-87.405809257346618</v>
      </c>
      <c r="AS432" s="74">
        <v>0</v>
      </c>
      <c r="AT432" s="73"/>
      <c r="AU432" s="72">
        <v>20675008.494308412</v>
      </c>
      <c r="AV432" s="72">
        <v>0</v>
      </c>
      <c r="AW432" s="73"/>
      <c r="AX432" s="74">
        <v>-1660.9982506182578</v>
      </c>
      <c r="AY432" s="74">
        <v>0</v>
      </c>
      <c r="AZ432" s="73"/>
      <c r="BA432" s="72">
        <v>76653.169442389437</v>
      </c>
      <c r="BB432" s="72">
        <v>0</v>
      </c>
      <c r="BC432" s="73"/>
      <c r="BD432" s="74">
        <v>-465.46477344332277</v>
      </c>
      <c r="BE432" s="74">
        <v>0</v>
      </c>
      <c r="BF432" s="73"/>
      <c r="BG432" s="72">
        <v>1303119.8344147413</v>
      </c>
      <c r="BH432" s="72">
        <v>0</v>
      </c>
      <c r="BI432" s="73"/>
      <c r="BJ432" s="74">
        <v>-1945.5928554187292</v>
      </c>
      <c r="BK432" s="74">
        <v>0</v>
      </c>
      <c r="BL432" s="73"/>
      <c r="BM432" s="72">
        <v>23584851.600160774</v>
      </c>
      <c r="BN432" s="72">
        <v>0</v>
      </c>
      <c r="BO432" s="73"/>
      <c r="BP432" s="74">
        <v>-5759.6890939222149</v>
      </c>
      <c r="BQ432" s="74">
        <v>0</v>
      </c>
      <c r="BS432" s="109">
        <f t="shared" si="180"/>
        <v>116264.79950140872</v>
      </c>
      <c r="BT432" s="109">
        <f t="shared" si="181"/>
        <v>116578.02351939434</v>
      </c>
      <c r="BV432" s="58">
        <f t="array" ref="BV432">SUM(IF(BS432:BT432&gt;=BS432, 1))</f>
        <v>2</v>
      </c>
      <c r="BW432" s="58">
        <f t="array" ref="BW432">SUM(IF(BS432:BT432&gt;=BT432, 1))</f>
        <v>1</v>
      </c>
      <c r="BY432" s="109">
        <f t="shared" si="182"/>
        <v>133882.6338096965</v>
      </c>
      <c r="BZ432" s="109">
        <f t="shared" si="183"/>
        <v>134157.3425486708</v>
      </c>
      <c r="CB432" s="58">
        <f t="array" ref="CB432">SUM(IF(BY432:BZ432&gt;=BY432, 1))</f>
        <v>2</v>
      </c>
      <c r="CC432" s="58">
        <f t="array" ref="CC432">SUM(IF(BY432:BZ432&gt;=BZ432, 1))</f>
        <v>1</v>
      </c>
      <c r="CE432" s="109">
        <f t="shared" si="184"/>
        <v>96371.400369995346</v>
      </c>
      <c r="CF432" s="109">
        <f t="shared" si="185"/>
        <v>98716.201065040135</v>
      </c>
      <c r="CH432" s="58">
        <f t="array" ref="CH432">SUM(IF(CE432:CF432&gt;=CE432, 1))</f>
        <v>2</v>
      </c>
      <c r="CI432" s="58">
        <f t="array" ref="CI432">SUM(IF(CE432:CF432&gt;=CF432, 1))</f>
        <v>1</v>
      </c>
      <c r="CK432" s="109">
        <f t="shared" si="186"/>
        <v>45771.680987352811</v>
      </c>
      <c r="CL432" s="109">
        <f t="shared" si="187"/>
        <v>46871.606920296661</v>
      </c>
      <c r="CN432" s="58">
        <f t="array" ref="CN432">SUM(IF(CK432:CL432&gt;=CK432, 1))</f>
        <v>2</v>
      </c>
      <c r="CO432" s="58">
        <f t="array" ref="CO432">SUM(IF(CK432:CL432&gt;=CL432, 1))</f>
        <v>1</v>
      </c>
      <c r="CQ432" s="109" cm="1">
        <f t="array" ref="CQ432">AF432*WTP-AC432</f>
        <v>44080.468489367806</v>
      </c>
      <c r="CR432" s="109">
        <f t="shared" si="188"/>
        <v>46527.747940302237</v>
      </c>
      <c r="CT432" s="58">
        <f t="array" ref="CT432">SUM(IF(CQ432:CR432&gt;=CQ432, 1))</f>
        <v>2</v>
      </c>
      <c r="CU432" s="58">
        <f t="array" ref="CU432">SUM(IF(CQ432:CR432&gt;=CR432, 1))</f>
        <v>1</v>
      </c>
      <c r="CW432" s="109">
        <f t="shared" si="189"/>
        <v>-33442134.376829986</v>
      </c>
      <c r="CX432" s="109">
        <f t="shared" si="190"/>
        <v>0</v>
      </c>
      <c r="CZ432" s="58">
        <f t="array" ref="CZ432">SUM(IF(CW432:CX432&gt;=CW432, 1))</f>
        <v>2</v>
      </c>
      <c r="DA432" s="58">
        <f t="array" ref="DA432">SUM(IF(CW432:CX432&gt;=CX432, 1))</f>
        <v>1</v>
      </c>
      <c r="DC432" s="109">
        <f t="shared" si="191"/>
        <v>-1840600.0140033418</v>
      </c>
      <c r="DD432" s="109">
        <f t="shared" si="192"/>
        <v>0</v>
      </c>
      <c r="DF432" s="58">
        <f t="array" ref="DF432">SUM(IF(DC432:DD432&gt;=DC432, 1))</f>
        <v>2</v>
      </c>
      <c r="DG432" s="58">
        <f t="array" ref="DG432">SUM(IF(DC432:DD432&gt;=DD432, 1))</f>
        <v>1</v>
      </c>
      <c r="DI432" s="109">
        <f t="shared" si="193"/>
        <v>-53894973.506673567</v>
      </c>
      <c r="DJ432" s="109">
        <f t="shared" si="194"/>
        <v>0</v>
      </c>
      <c r="DL432" s="58">
        <f t="array" ref="DL432">SUM(IF(DI432:DJ432&gt;=DI432, 1))</f>
        <v>2</v>
      </c>
      <c r="DM432" s="58">
        <f t="array" ref="DM432">SUM(IF(DI432:DJ432&gt;=DJ432, 1))</f>
        <v>1</v>
      </c>
      <c r="DO432" s="109">
        <f t="shared" si="195"/>
        <v>-9385948.6383088455</v>
      </c>
      <c r="DP432" s="109">
        <f t="shared" si="196"/>
        <v>0</v>
      </c>
      <c r="DR432" s="58">
        <f t="array" ref="DR432">SUM(IF(DO432:DP432&gt;=DO432, 1))</f>
        <v>2</v>
      </c>
      <c r="DS432" s="58">
        <f t="array" ref="DS432">SUM(IF(DO432:DP432&gt;=DP432, 1))</f>
        <v>1</v>
      </c>
      <c r="DU432" s="109">
        <f t="shared" si="197"/>
        <v>-40214976.942789324</v>
      </c>
      <c r="DV432" s="109">
        <f t="shared" si="198"/>
        <v>0</v>
      </c>
      <c r="DX432" s="58">
        <f t="array" ref="DX432">SUM(IF(DU432:DV432&gt;=DU432, 1))</f>
        <v>2</v>
      </c>
      <c r="DY432" s="58">
        <f t="array" ref="DY432">SUM(IF(DU432:DV432&gt;=DV432, 1))</f>
        <v>1</v>
      </c>
      <c r="EA432" s="109">
        <f t="shared" si="199"/>
        <v>-138778633.47860506</v>
      </c>
      <c r="EB432" s="109">
        <f t="shared" si="200"/>
        <v>0</v>
      </c>
      <c r="ED432" s="58">
        <f t="array" ref="ED432">SUM(IF(EA432:EB432&gt;=EA432, 1))</f>
        <v>2</v>
      </c>
      <c r="EE432" s="58">
        <f t="array" ref="EE432">SUM(IF(EA432:EB432&gt;=EB432, 1))</f>
        <v>1</v>
      </c>
    </row>
    <row r="433" spans="4:135" ht="12" customHeight="1" x14ac:dyDescent="0.25">
      <c r="D433" s="11">
        <v>417</v>
      </c>
      <c r="E433" s="72">
        <v>296.50557010308029</v>
      </c>
      <c r="F433" s="72">
        <v>268.15403200625849</v>
      </c>
      <c r="G433" s="73"/>
      <c r="H433" s="74">
        <v>5.8387005346271339</v>
      </c>
      <c r="I433" s="74">
        <v>5.8540359803002397</v>
      </c>
      <c r="J433" s="73"/>
      <c r="K433" s="72">
        <v>318.00176453696173</v>
      </c>
      <c r="L433" s="72">
        <v>288.98774399293012</v>
      </c>
      <c r="M433" s="73"/>
      <c r="N433" s="74">
        <v>6.7337473823859249</v>
      </c>
      <c r="O433" s="74">
        <v>6.7472239228399635</v>
      </c>
      <c r="P433" s="73"/>
      <c r="Q433" s="72">
        <v>4150.650177274717</v>
      </c>
      <c r="R433" s="72">
        <v>1793.4516121244139</v>
      </c>
      <c r="S433" s="73"/>
      <c r="T433" s="74">
        <v>4.5506096377195142</v>
      </c>
      <c r="U433" s="74">
        <v>4.6742162359183714</v>
      </c>
      <c r="V433" s="73"/>
      <c r="W433" s="72">
        <v>9993.9075384275948</v>
      </c>
      <c r="X433" s="72">
        <v>9994.2059996285261</v>
      </c>
      <c r="Y433" s="73"/>
      <c r="Z433" s="74">
        <v>3.0190723078301764</v>
      </c>
      <c r="AA433" s="74">
        <v>3.0785090276932752</v>
      </c>
      <c r="AB433" s="73"/>
      <c r="AC433" s="72">
        <v>50549.339810938167</v>
      </c>
      <c r="AD433" s="72">
        <v>50489.744899052173</v>
      </c>
      <c r="AE433" s="73"/>
      <c r="AF433" s="74">
        <v>4.434915149629064</v>
      </c>
      <c r="AG433" s="74">
        <v>4.4793629413354363</v>
      </c>
      <c r="AH433" s="73"/>
      <c r="AI433" s="72">
        <v>3026094.5130162882</v>
      </c>
      <c r="AJ433" s="72">
        <v>0</v>
      </c>
      <c r="AK433" s="73"/>
      <c r="AL433" s="74">
        <v>-1636.8250585758224</v>
      </c>
      <c r="AM433" s="74">
        <v>0</v>
      </c>
      <c r="AN433" s="73"/>
      <c r="AO433" s="72">
        <v>205291.56509134811</v>
      </c>
      <c r="AP433" s="72">
        <v>0</v>
      </c>
      <c r="AQ433" s="73"/>
      <c r="AR433" s="74">
        <v>-95.35459167500936</v>
      </c>
      <c r="AS433" s="74">
        <v>0</v>
      </c>
      <c r="AT433" s="73"/>
      <c r="AU433" s="72">
        <v>55487086.617084444</v>
      </c>
      <c r="AV433" s="72">
        <v>0</v>
      </c>
      <c r="AW433" s="73"/>
      <c r="AX433" s="74">
        <v>-2909.6276071531629</v>
      </c>
      <c r="AY433" s="74">
        <v>0</v>
      </c>
      <c r="AZ433" s="73"/>
      <c r="BA433" s="72">
        <v>-2604.3002046160304</v>
      </c>
      <c r="BB433" s="72">
        <v>0</v>
      </c>
      <c r="BC433" s="73"/>
      <c r="BD433" s="74">
        <v>-518.63043242522383</v>
      </c>
      <c r="BE433" s="74">
        <v>0</v>
      </c>
      <c r="BF433" s="73"/>
      <c r="BG433" s="72">
        <v>956360.74329093297</v>
      </c>
      <c r="BH433" s="72">
        <v>0</v>
      </c>
      <c r="BI433" s="73"/>
      <c r="BJ433" s="74">
        <v>-713.28443601470372</v>
      </c>
      <c r="BK433" s="74">
        <v>0</v>
      </c>
      <c r="BL433" s="73"/>
      <c r="BM433" s="72">
        <v>59672229.138278402</v>
      </c>
      <c r="BN433" s="72">
        <v>0</v>
      </c>
      <c r="BO433" s="73"/>
      <c r="BP433" s="74">
        <v>-5873.7221258439222</v>
      </c>
      <c r="BQ433" s="74">
        <v>0</v>
      </c>
      <c r="BS433" s="109">
        <f t="shared" si="180"/>
        <v>116477.5051224396</v>
      </c>
      <c r="BT433" s="109">
        <f t="shared" si="181"/>
        <v>116812.56557399854</v>
      </c>
      <c r="BV433" s="58">
        <f t="array" ref="BV433">SUM(IF(BS433:BT433&gt;=BS433, 1))</f>
        <v>2</v>
      </c>
      <c r="BW433" s="58">
        <f t="array" ref="BW433">SUM(IF(BS433:BT433&gt;=BT433, 1))</f>
        <v>1</v>
      </c>
      <c r="BY433" s="109">
        <f t="shared" si="182"/>
        <v>134356.94588318156</v>
      </c>
      <c r="BZ433" s="109">
        <f t="shared" si="183"/>
        <v>134655.49071280632</v>
      </c>
      <c r="CB433" s="58">
        <f t="array" ref="CB433">SUM(IF(BY433:BZ433&gt;=BY433, 1))</f>
        <v>2</v>
      </c>
      <c r="CC433" s="58">
        <f t="array" ref="CC433">SUM(IF(BY433:BZ433&gt;=BZ433, 1))</f>
        <v>1</v>
      </c>
      <c r="CE433" s="109">
        <f t="shared" si="184"/>
        <v>86861.542577115571</v>
      </c>
      <c r="CF433" s="109">
        <f t="shared" si="185"/>
        <v>91690.873106243016</v>
      </c>
      <c r="CH433" s="58">
        <f t="array" ref="CH433">SUM(IF(CE433:CF433&gt;=CE433, 1))</f>
        <v>2</v>
      </c>
      <c r="CI433" s="58">
        <f t="array" ref="CI433">SUM(IF(CE433:CF433&gt;=CF433, 1))</f>
        <v>1</v>
      </c>
      <c r="CK433" s="109">
        <f t="shared" si="186"/>
        <v>50387.538618175939</v>
      </c>
      <c r="CL433" s="109">
        <f t="shared" si="187"/>
        <v>51575.974554236978</v>
      </c>
      <c r="CN433" s="58">
        <f t="array" ref="CN433">SUM(IF(CK433:CL433&gt;=CK433, 1))</f>
        <v>2</v>
      </c>
      <c r="CO433" s="58">
        <f t="array" ref="CO433">SUM(IF(CK433:CL433&gt;=CL433, 1))</f>
        <v>1</v>
      </c>
      <c r="CQ433" s="109" cm="1">
        <f t="array" ref="CQ433">AF433*WTP-AC433</f>
        <v>38148.963181643107</v>
      </c>
      <c r="CR433" s="109">
        <f t="shared" si="188"/>
        <v>39097.513927656553</v>
      </c>
      <c r="CT433" s="58">
        <f t="array" ref="CT433">SUM(IF(CQ433:CR433&gt;=CQ433, 1))</f>
        <v>2</v>
      </c>
      <c r="CU433" s="58">
        <f t="array" ref="CU433">SUM(IF(CQ433:CR433&gt;=CR433, 1))</f>
        <v>1</v>
      </c>
      <c r="CW433" s="109">
        <f t="shared" si="189"/>
        <v>-35762595.684532739</v>
      </c>
      <c r="CX433" s="109">
        <f t="shared" si="190"/>
        <v>0</v>
      </c>
      <c r="CZ433" s="58">
        <f t="array" ref="CZ433">SUM(IF(CW433:CX433&gt;=CW433, 1))</f>
        <v>2</v>
      </c>
      <c r="DA433" s="58">
        <f t="array" ref="DA433">SUM(IF(CW433:CX433&gt;=CX433, 1))</f>
        <v>1</v>
      </c>
      <c r="DC433" s="109">
        <f t="shared" si="191"/>
        <v>-2112383.3985915352</v>
      </c>
      <c r="DD433" s="109">
        <f t="shared" si="192"/>
        <v>0</v>
      </c>
      <c r="DF433" s="58">
        <f t="array" ref="DF433">SUM(IF(DC433:DD433&gt;=DC433, 1))</f>
        <v>2</v>
      </c>
      <c r="DG433" s="58">
        <f t="array" ref="DG433">SUM(IF(DC433:DD433&gt;=DD433, 1))</f>
        <v>1</v>
      </c>
      <c r="DI433" s="109">
        <f t="shared" si="193"/>
        <v>-113679638.76014769</v>
      </c>
      <c r="DJ433" s="109">
        <f t="shared" si="194"/>
        <v>0</v>
      </c>
      <c r="DL433" s="58">
        <f t="array" ref="DL433">SUM(IF(DI433:DJ433&gt;=DI433, 1))</f>
        <v>2</v>
      </c>
      <c r="DM433" s="58">
        <f t="array" ref="DM433">SUM(IF(DI433:DJ433&gt;=DJ433, 1))</f>
        <v>1</v>
      </c>
      <c r="DO433" s="109">
        <f t="shared" si="195"/>
        <v>-10370004.348299861</v>
      </c>
      <c r="DP433" s="109">
        <f t="shared" si="196"/>
        <v>0</v>
      </c>
      <c r="DR433" s="58">
        <f t="array" ref="DR433">SUM(IF(DO433:DP433&gt;=DO433, 1))</f>
        <v>2</v>
      </c>
      <c r="DS433" s="58">
        <f t="array" ref="DS433">SUM(IF(DO433:DP433&gt;=DP433, 1))</f>
        <v>1</v>
      </c>
      <c r="DU433" s="109">
        <f t="shared" si="197"/>
        <v>-15222049.463585008</v>
      </c>
      <c r="DV433" s="109">
        <f t="shared" si="198"/>
        <v>0</v>
      </c>
      <c r="DX433" s="58">
        <f t="array" ref="DX433">SUM(IF(DU433:DV433&gt;=DU433, 1))</f>
        <v>2</v>
      </c>
      <c r="DY433" s="58">
        <f t="array" ref="DY433">SUM(IF(DU433:DV433&gt;=DV433, 1))</f>
        <v>1</v>
      </c>
      <c r="EA433" s="109">
        <f t="shared" si="199"/>
        <v>-177146671.65515685</v>
      </c>
      <c r="EB433" s="109">
        <f t="shared" si="200"/>
        <v>0</v>
      </c>
      <c r="ED433" s="58">
        <f t="array" ref="ED433">SUM(IF(EA433:EB433&gt;=EA433, 1))</f>
        <v>2</v>
      </c>
      <c r="EE433" s="58">
        <f t="array" ref="EE433">SUM(IF(EA433:EB433&gt;=EB433, 1))</f>
        <v>1</v>
      </c>
    </row>
    <row r="434" spans="4:135" ht="12" customHeight="1" x14ac:dyDescent="0.25">
      <c r="D434" s="11">
        <v>418</v>
      </c>
      <c r="E434" s="72">
        <v>213.63570489435563</v>
      </c>
      <c r="F434" s="72">
        <v>189.49931094942417</v>
      </c>
      <c r="G434" s="73"/>
      <c r="H434" s="74">
        <v>5.8408106119358365</v>
      </c>
      <c r="I434" s="74">
        <v>5.8562818177648666</v>
      </c>
      <c r="J434" s="73"/>
      <c r="K434" s="72">
        <v>229.00230027763754</v>
      </c>
      <c r="L434" s="72">
        <v>204.30235743825904</v>
      </c>
      <c r="M434" s="73"/>
      <c r="N434" s="74">
        <v>6.6889487139895563</v>
      </c>
      <c r="O434" s="74">
        <v>6.7022903690069633</v>
      </c>
      <c r="P434" s="73"/>
      <c r="Q434" s="72">
        <v>1848.7255043990349</v>
      </c>
      <c r="R434" s="72">
        <v>1181.6195686895403</v>
      </c>
      <c r="S434" s="73"/>
      <c r="T434" s="74">
        <v>4.749034259236141</v>
      </c>
      <c r="U434" s="74">
        <v>4.8141605290397003</v>
      </c>
      <c r="V434" s="73"/>
      <c r="W434" s="72">
        <v>13807.439933060828</v>
      </c>
      <c r="X434" s="72">
        <v>13755.732456311629</v>
      </c>
      <c r="Y434" s="73"/>
      <c r="Z434" s="74">
        <v>3.0528049756541811</v>
      </c>
      <c r="AA434" s="74">
        <v>3.0950776985362061</v>
      </c>
      <c r="AB434" s="73"/>
      <c r="AC434" s="72">
        <v>48538.530344509301</v>
      </c>
      <c r="AD434" s="72">
        <v>48210.190324030875</v>
      </c>
      <c r="AE434" s="73"/>
      <c r="AF434" s="74">
        <v>4.1308921596925501</v>
      </c>
      <c r="AG434" s="74">
        <v>4.2393705839014357</v>
      </c>
      <c r="AH434" s="73"/>
      <c r="AI434" s="72">
        <v>2626460.7018996896</v>
      </c>
      <c r="AJ434" s="72">
        <v>0</v>
      </c>
      <c r="AK434" s="73"/>
      <c r="AL434" s="74">
        <v>-1683.5370773968466</v>
      </c>
      <c r="AM434" s="74">
        <v>0</v>
      </c>
      <c r="AN434" s="73"/>
      <c r="AO434" s="72">
        <v>163432.08780351307</v>
      </c>
      <c r="AP434" s="72">
        <v>0</v>
      </c>
      <c r="AQ434" s="73"/>
      <c r="AR434" s="74">
        <v>-88.277715799924906</v>
      </c>
      <c r="AS434" s="74">
        <v>0</v>
      </c>
      <c r="AT434" s="73"/>
      <c r="AU434" s="72">
        <v>15501269.860727029</v>
      </c>
      <c r="AV434" s="72">
        <v>0</v>
      </c>
      <c r="AW434" s="73"/>
      <c r="AX434" s="74">
        <v>-1513.3126977408817</v>
      </c>
      <c r="AY434" s="74">
        <v>0</v>
      </c>
      <c r="AZ434" s="73"/>
      <c r="BA434" s="72">
        <v>454732.15254690888</v>
      </c>
      <c r="BB434" s="72">
        <v>0</v>
      </c>
      <c r="BC434" s="73"/>
      <c r="BD434" s="74">
        <v>-371.7598977687457</v>
      </c>
      <c r="BE434" s="74">
        <v>0</v>
      </c>
      <c r="BF434" s="73"/>
      <c r="BG434" s="72">
        <v>5233124.0097236233</v>
      </c>
      <c r="BH434" s="72">
        <v>0</v>
      </c>
      <c r="BI434" s="73"/>
      <c r="BJ434" s="74">
        <v>-1728.942592612779</v>
      </c>
      <c r="BK434" s="74">
        <v>0</v>
      </c>
      <c r="BL434" s="73"/>
      <c r="BM434" s="72">
        <v>23979018.812700763</v>
      </c>
      <c r="BN434" s="72">
        <v>0</v>
      </c>
      <c r="BO434" s="73"/>
      <c r="BP434" s="74">
        <v>-5385.8299813191779</v>
      </c>
      <c r="BQ434" s="74">
        <v>0</v>
      </c>
      <c r="BS434" s="109">
        <f t="shared" si="180"/>
        <v>116602.57653382237</v>
      </c>
      <c r="BT434" s="109">
        <f t="shared" si="181"/>
        <v>116936.13704434791</v>
      </c>
      <c r="BV434" s="58">
        <f t="array" ref="BV434">SUM(IF(BS434:BT434&gt;=BS434, 1))</f>
        <v>2</v>
      </c>
      <c r="BW434" s="58">
        <f t="array" ref="BW434">SUM(IF(BS434:BT434&gt;=BT434, 1))</f>
        <v>1</v>
      </c>
      <c r="BY434" s="109">
        <f t="shared" si="182"/>
        <v>133549.97197951347</v>
      </c>
      <c r="BZ434" s="109">
        <f t="shared" si="183"/>
        <v>133841.50502270102</v>
      </c>
      <c r="CB434" s="58">
        <f t="array" ref="CB434">SUM(IF(BY434:BZ434&gt;=BY434, 1))</f>
        <v>2</v>
      </c>
      <c r="CC434" s="58">
        <f t="array" ref="CC434">SUM(IF(BY434:BZ434&gt;=BZ434, 1))</f>
        <v>1</v>
      </c>
      <c r="CE434" s="109">
        <f t="shared" si="184"/>
        <v>93131.959680323795</v>
      </c>
      <c r="CF434" s="109">
        <f t="shared" si="185"/>
        <v>95101.591012104473</v>
      </c>
      <c r="CH434" s="58">
        <f t="array" ref="CH434">SUM(IF(CE434:CF434&gt;=CE434, 1))</f>
        <v>2</v>
      </c>
      <c r="CI434" s="58">
        <f t="array" ref="CI434">SUM(IF(CE434:CF434&gt;=CF434, 1))</f>
        <v>1</v>
      </c>
      <c r="CK434" s="109">
        <f t="shared" si="186"/>
        <v>47248.659580022795</v>
      </c>
      <c r="CL434" s="109">
        <f t="shared" si="187"/>
        <v>48145.821514412492</v>
      </c>
      <c r="CN434" s="58">
        <f t="array" ref="CN434">SUM(IF(CK434:CL434&gt;=CK434, 1))</f>
        <v>2</v>
      </c>
      <c r="CO434" s="58">
        <f t="array" ref="CO434">SUM(IF(CK434:CL434&gt;=CL434, 1))</f>
        <v>1</v>
      </c>
      <c r="CQ434" s="109" cm="1">
        <f t="array" ref="CQ434">AF434*WTP-AC434</f>
        <v>34079.312849341703</v>
      </c>
      <c r="CR434" s="109">
        <f t="shared" si="188"/>
        <v>36577.22135399784</v>
      </c>
      <c r="CT434" s="58">
        <f t="array" ref="CT434">SUM(IF(CQ434:CR434&gt;=CQ434, 1))</f>
        <v>2</v>
      </c>
      <c r="CU434" s="58">
        <f t="array" ref="CU434">SUM(IF(CQ434:CR434&gt;=CR434, 1))</f>
        <v>1</v>
      </c>
      <c r="CW434" s="109">
        <f t="shared" si="189"/>
        <v>-36297202.249836624</v>
      </c>
      <c r="CX434" s="109">
        <f t="shared" si="190"/>
        <v>0</v>
      </c>
      <c r="CZ434" s="58">
        <f t="array" ref="CZ434">SUM(IF(CW434:CX434&gt;=CW434, 1))</f>
        <v>2</v>
      </c>
      <c r="DA434" s="58">
        <f t="array" ref="DA434">SUM(IF(CW434:CX434&gt;=CX434, 1))</f>
        <v>1</v>
      </c>
      <c r="DC434" s="109">
        <f t="shared" si="191"/>
        <v>-1928986.4038020112</v>
      </c>
      <c r="DD434" s="109">
        <f t="shared" si="192"/>
        <v>0</v>
      </c>
      <c r="DF434" s="58">
        <f t="array" ref="DF434">SUM(IF(DC434:DD434&gt;=DC434, 1))</f>
        <v>2</v>
      </c>
      <c r="DG434" s="58">
        <f t="array" ref="DG434">SUM(IF(DC434:DD434&gt;=DD434, 1))</f>
        <v>1</v>
      </c>
      <c r="DI434" s="109">
        <f t="shared" si="193"/>
        <v>-45767523.815544665</v>
      </c>
      <c r="DJ434" s="109">
        <f t="shared" si="194"/>
        <v>0</v>
      </c>
      <c r="DL434" s="58">
        <f t="array" ref="DL434">SUM(IF(DI434:DJ434&gt;=DI434, 1))</f>
        <v>2</v>
      </c>
      <c r="DM434" s="58">
        <f t="array" ref="DM434">SUM(IF(DI434:DJ434&gt;=DJ434, 1))</f>
        <v>1</v>
      </c>
      <c r="DO434" s="109">
        <f t="shared" si="195"/>
        <v>-7889930.1079218229</v>
      </c>
      <c r="DP434" s="109">
        <f t="shared" si="196"/>
        <v>0</v>
      </c>
      <c r="DR434" s="58">
        <f t="array" ref="DR434">SUM(IF(DO434:DP434&gt;=DO434, 1))</f>
        <v>2</v>
      </c>
      <c r="DS434" s="58">
        <f t="array" ref="DS434">SUM(IF(DO434:DP434&gt;=DP434, 1))</f>
        <v>1</v>
      </c>
      <c r="DU434" s="109">
        <f t="shared" si="197"/>
        <v>-39811975.861979209</v>
      </c>
      <c r="DV434" s="109">
        <f t="shared" si="198"/>
        <v>0</v>
      </c>
      <c r="DX434" s="58">
        <f t="array" ref="DX434">SUM(IF(DU434:DV434&gt;=DU434, 1))</f>
        <v>2</v>
      </c>
      <c r="DY434" s="58">
        <f t="array" ref="DY434">SUM(IF(DU434:DV434&gt;=DV434, 1))</f>
        <v>1</v>
      </c>
      <c r="EA434" s="109">
        <f t="shared" si="199"/>
        <v>-131695618.43908432</v>
      </c>
      <c r="EB434" s="109">
        <f t="shared" si="200"/>
        <v>0</v>
      </c>
      <c r="ED434" s="58">
        <f t="array" ref="ED434">SUM(IF(EA434:EB434&gt;=EA434, 1))</f>
        <v>2</v>
      </c>
      <c r="EE434" s="58">
        <f t="array" ref="EE434">SUM(IF(EA434:EB434&gt;=EB434, 1))</f>
        <v>1</v>
      </c>
    </row>
    <row r="435" spans="4:135" ht="12" customHeight="1" x14ac:dyDescent="0.25">
      <c r="D435" s="11">
        <v>419</v>
      </c>
      <c r="E435" s="72">
        <v>217.15979204408677</v>
      </c>
      <c r="F435" s="72">
        <v>182.02897641324455</v>
      </c>
      <c r="G435" s="73"/>
      <c r="H435" s="74">
        <v>5.895497772130371</v>
      </c>
      <c r="I435" s="74">
        <v>5.912558665861952</v>
      </c>
      <c r="J435" s="73"/>
      <c r="K435" s="72">
        <v>232.22971558891922</v>
      </c>
      <c r="L435" s="72">
        <v>196.22408291517232</v>
      </c>
      <c r="M435" s="73"/>
      <c r="N435" s="74">
        <v>6.6865650399366521</v>
      </c>
      <c r="O435" s="74">
        <v>6.7002560876795334</v>
      </c>
      <c r="P435" s="73"/>
      <c r="Q435" s="72">
        <v>5940.7794012369104</v>
      </c>
      <c r="R435" s="72">
        <v>2155.4327611665826</v>
      </c>
      <c r="S435" s="73"/>
      <c r="T435" s="74">
        <v>4.749644358865023</v>
      </c>
      <c r="U435" s="74">
        <v>4.9131119911095578</v>
      </c>
      <c r="V435" s="73"/>
      <c r="W435" s="72">
        <v>8378.5599170252972</v>
      </c>
      <c r="X435" s="72">
        <v>8404.0384095615464</v>
      </c>
      <c r="Y435" s="73"/>
      <c r="Z435" s="74">
        <v>2.9058314544441028</v>
      </c>
      <c r="AA435" s="74">
        <v>2.9552969106605622</v>
      </c>
      <c r="AB435" s="73"/>
      <c r="AC435" s="72">
        <v>52668.859583653728</v>
      </c>
      <c r="AD435" s="72">
        <v>52586.800494384595</v>
      </c>
      <c r="AE435" s="73"/>
      <c r="AF435" s="74">
        <v>5.1111978074748476</v>
      </c>
      <c r="AG435" s="74">
        <v>5.1849848561675351</v>
      </c>
      <c r="AH435" s="73"/>
      <c r="AI435" s="72">
        <v>3727620.05160309</v>
      </c>
      <c r="AJ435" s="72">
        <v>0</v>
      </c>
      <c r="AK435" s="73"/>
      <c r="AL435" s="74">
        <v>-1810.2776274934524</v>
      </c>
      <c r="AM435" s="74">
        <v>0</v>
      </c>
      <c r="AN435" s="73"/>
      <c r="AO435" s="72">
        <v>236772.42219499664</v>
      </c>
      <c r="AP435" s="72">
        <v>0</v>
      </c>
      <c r="AQ435" s="73"/>
      <c r="AR435" s="74">
        <v>-90.032094862562275</v>
      </c>
      <c r="AS435" s="74">
        <v>0</v>
      </c>
      <c r="AT435" s="73"/>
      <c r="AU435" s="72">
        <v>87629649.11234206</v>
      </c>
      <c r="AV435" s="72">
        <v>0</v>
      </c>
      <c r="AW435" s="73"/>
      <c r="AX435" s="74">
        <v>-3784.2270779586561</v>
      </c>
      <c r="AY435" s="74">
        <v>0</v>
      </c>
      <c r="AZ435" s="73"/>
      <c r="BA435" s="72">
        <v>-219116.55309435361</v>
      </c>
      <c r="BB435" s="72">
        <v>0</v>
      </c>
      <c r="BC435" s="73"/>
      <c r="BD435" s="74">
        <v>-425.40586920398175</v>
      </c>
      <c r="BE435" s="74">
        <v>0</v>
      </c>
      <c r="BF435" s="73"/>
      <c r="BG435" s="72">
        <v>1306029.8957905627</v>
      </c>
      <c r="BH435" s="72">
        <v>0</v>
      </c>
      <c r="BI435" s="73"/>
      <c r="BJ435" s="74">
        <v>-1174.3743730659924</v>
      </c>
      <c r="BK435" s="74">
        <v>0</v>
      </c>
      <c r="BL435" s="73"/>
      <c r="BM435" s="72">
        <v>92680954.928836346</v>
      </c>
      <c r="BN435" s="72">
        <v>0</v>
      </c>
      <c r="BO435" s="73"/>
      <c r="BP435" s="74">
        <v>-7284.3170425846447</v>
      </c>
      <c r="BQ435" s="74">
        <v>0</v>
      </c>
      <c r="BS435" s="109">
        <f t="shared" si="180"/>
        <v>117692.79565056333</v>
      </c>
      <c r="BT435" s="109">
        <f t="shared" si="181"/>
        <v>118069.14434082579</v>
      </c>
      <c r="BV435" s="58">
        <f t="array" ref="BV435">SUM(IF(BS435:BT435&gt;=BS435, 1))</f>
        <v>2</v>
      </c>
      <c r="BW435" s="58">
        <f t="array" ref="BW435">SUM(IF(BS435:BT435&gt;=BT435, 1))</f>
        <v>1</v>
      </c>
      <c r="BY435" s="109">
        <f t="shared" si="182"/>
        <v>133499.07108314414</v>
      </c>
      <c r="BZ435" s="109">
        <f t="shared" si="183"/>
        <v>133808.89767067551</v>
      </c>
      <c r="CB435" s="58">
        <f t="array" ref="CB435">SUM(IF(BY435:BZ435&gt;=BY435, 1))</f>
        <v>2</v>
      </c>
      <c r="CC435" s="58">
        <f t="array" ref="CC435">SUM(IF(BY435:BZ435&gt;=BZ435, 1))</f>
        <v>1</v>
      </c>
      <c r="CE435" s="109">
        <f t="shared" si="184"/>
        <v>89052.107776063553</v>
      </c>
      <c r="CF435" s="109">
        <f t="shared" si="185"/>
        <v>96106.807061024578</v>
      </c>
      <c r="CH435" s="58">
        <f t="array" ref="CH435">SUM(IF(CE435:CF435&gt;=CE435, 1))</f>
        <v>2</v>
      </c>
      <c r="CI435" s="58">
        <f t="array" ref="CI435">SUM(IF(CE435:CF435&gt;=CF435, 1))</f>
        <v>1</v>
      </c>
      <c r="CK435" s="109">
        <f t="shared" si="186"/>
        <v>49738.069171856761</v>
      </c>
      <c r="CL435" s="109">
        <f t="shared" si="187"/>
        <v>50701.8998036497</v>
      </c>
      <c r="CN435" s="58">
        <f t="array" ref="CN435">SUM(IF(CK435:CL435&gt;=CK435, 1))</f>
        <v>2</v>
      </c>
      <c r="CO435" s="58">
        <f t="array" ref="CO435">SUM(IF(CK435:CL435&gt;=CL435, 1))</f>
        <v>1</v>
      </c>
      <c r="CQ435" s="109" cm="1">
        <f t="array" ref="CQ435">AF435*WTP-AC435</f>
        <v>49555.096565843225</v>
      </c>
      <c r="CR435" s="109">
        <f t="shared" si="188"/>
        <v>51112.896628966111</v>
      </c>
      <c r="CT435" s="58">
        <f t="array" ref="CT435">SUM(IF(CQ435:CR435&gt;=CQ435, 1))</f>
        <v>2</v>
      </c>
      <c r="CU435" s="58">
        <f t="array" ref="CU435">SUM(IF(CQ435:CR435&gt;=CR435, 1))</f>
        <v>1</v>
      </c>
      <c r="CW435" s="109">
        <f t="shared" si="189"/>
        <v>-39933172.601472139</v>
      </c>
      <c r="CX435" s="109">
        <f t="shared" si="190"/>
        <v>0</v>
      </c>
      <c r="CZ435" s="58">
        <f t="array" ref="CZ435">SUM(IF(CW435:CX435&gt;=CW435, 1))</f>
        <v>2</v>
      </c>
      <c r="DA435" s="58">
        <f t="array" ref="DA435">SUM(IF(CW435:CX435&gt;=CX435, 1))</f>
        <v>1</v>
      </c>
      <c r="DC435" s="109">
        <f t="shared" si="191"/>
        <v>-2037414.3194462422</v>
      </c>
      <c r="DD435" s="109">
        <f t="shared" si="192"/>
        <v>0</v>
      </c>
      <c r="DF435" s="58">
        <f t="array" ref="DF435">SUM(IF(DC435:DD435&gt;=DC435, 1))</f>
        <v>2</v>
      </c>
      <c r="DG435" s="58">
        <f t="array" ref="DG435">SUM(IF(DC435:DD435&gt;=DD435, 1))</f>
        <v>1</v>
      </c>
      <c r="DI435" s="109">
        <f t="shared" si="193"/>
        <v>-163314190.67151517</v>
      </c>
      <c r="DJ435" s="109">
        <f t="shared" si="194"/>
        <v>0</v>
      </c>
      <c r="DL435" s="58">
        <f t="array" ref="DL435">SUM(IF(DI435:DJ435&gt;=DI435, 1))</f>
        <v>2</v>
      </c>
      <c r="DM435" s="58">
        <f t="array" ref="DM435">SUM(IF(DI435:DJ435&gt;=DJ435, 1))</f>
        <v>1</v>
      </c>
      <c r="DO435" s="109">
        <f t="shared" si="195"/>
        <v>-8289000.8309852816</v>
      </c>
      <c r="DP435" s="109">
        <f t="shared" si="196"/>
        <v>0</v>
      </c>
      <c r="DR435" s="58">
        <f t="array" ref="DR435">SUM(IF(DO435:DP435&gt;=DO435, 1))</f>
        <v>2</v>
      </c>
      <c r="DS435" s="58">
        <f t="array" ref="DS435">SUM(IF(DO435:DP435&gt;=DP435, 1))</f>
        <v>1</v>
      </c>
      <c r="DU435" s="109">
        <f t="shared" si="197"/>
        <v>-24793517.357110411</v>
      </c>
      <c r="DV435" s="109">
        <f t="shared" si="198"/>
        <v>0</v>
      </c>
      <c r="DX435" s="58">
        <f t="array" ref="DX435">SUM(IF(DU435:DV435&gt;=DU435, 1))</f>
        <v>2</v>
      </c>
      <c r="DY435" s="58">
        <f t="array" ref="DY435">SUM(IF(DU435:DV435&gt;=DV435, 1))</f>
        <v>1</v>
      </c>
      <c r="EA435" s="109">
        <f t="shared" si="199"/>
        <v>-238367295.78052923</v>
      </c>
      <c r="EB435" s="109">
        <f t="shared" si="200"/>
        <v>0</v>
      </c>
      <c r="ED435" s="58">
        <f t="array" ref="ED435">SUM(IF(EA435:EB435&gt;=EA435, 1))</f>
        <v>2</v>
      </c>
      <c r="EE435" s="58">
        <f t="array" ref="EE435">SUM(IF(EA435:EB435&gt;=EB435, 1))</f>
        <v>1</v>
      </c>
    </row>
    <row r="436" spans="4:135" ht="12" customHeight="1" x14ac:dyDescent="0.25">
      <c r="D436" s="11">
        <v>420</v>
      </c>
      <c r="E436" s="72">
        <v>229.2775302625738</v>
      </c>
      <c r="F436" s="72">
        <v>218.51306551236834</v>
      </c>
      <c r="G436" s="73"/>
      <c r="H436" s="74">
        <v>5.851272699408729</v>
      </c>
      <c r="I436" s="74">
        <v>5.864795546278132</v>
      </c>
      <c r="J436" s="73"/>
      <c r="K436" s="72">
        <v>246.65085047785112</v>
      </c>
      <c r="L436" s="72">
        <v>235.61410266794039</v>
      </c>
      <c r="M436" s="73"/>
      <c r="N436" s="74">
        <v>6.7144129259915486</v>
      </c>
      <c r="O436" s="74">
        <v>6.7260156202388393</v>
      </c>
      <c r="P436" s="73"/>
      <c r="Q436" s="72">
        <v>2038.3874087096656</v>
      </c>
      <c r="R436" s="72">
        <v>1180.8842476120335</v>
      </c>
      <c r="S436" s="73"/>
      <c r="T436" s="74">
        <v>4.832339976120644</v>
      </c>
      <c r="U436" s="74">
        <v>4.9280045832332879</v>
      </c>
      <c r="V436" s="73"/>
      <c r="W436" s="72">
        <v>10454.433804093173</v>
      </c>
      <c r="X436" s="72">
        <v>10402.285177945763</v>
      </c>
      <c r="Y436" s="73"/>
      <c r="Z436" s="74">
        <v>2.9676340961766736</v>
      </c>
      <c r="AA436" s="74">
        <v>2.9920214746912541</v>
      </c>
      <c r="AB436" s="73"/>
      <c r="AC436" s="72">
        <v>50046.297983973927</v>
      </c>
      <c r="AD436" s="72">
        <v>49687.720129079549</v>
      </c>
      <c r="AE436" s="73"/>
      <c r="AF436" s="74">
        <v>5.0440565465931071</v>
      </c>
      <c r="AG436" s="74">
        <v>5.1743262682591844</v>
      </c>
      <c r="AH436" s="73"/>
      <c r="AI436" s="72">
        <v>1153537.2578745191</v>
      </c>
      <c r="AJ436" s="72">
        <v>0</v>
      </c>
      <c r="AK436" s="73"/>
      <c r="AL436" s="74">
        <v>-1449.1298971544791</v>
      </c>
      <c r="AM436" s="74">
        <v>0</v>
      </c>
      <c r="AN436" s="73"/>
      <c r="AO436" s="72">
        <v>79713.559829203368</v>
      </c>
      <c r="AP436" s="72">
        <v>0</v>
      </c>
      <c r="AQ436" s="73"/>
      <c r="AR436" s="74">
        <v>-83.801141241156799</v>
      </c>
      <c r="AS436" s="74">
        <v>0</v>
      </c>
      <c r="AT436" s="73"/>
      <c r="AU436" s="72">
        <v>19519981.799296945</v>
      </c>
      <c r="AV436" s="72">
        <v>0</v>
      </c>
      <c r="AW436" s="73"/>
      <c r="AX436" s="74">
        <v>-2177.6845548713845</v>
      </c>
      <c r="AY436" s="74">
        <v>0</v>
      </c>
      <c r="AZ436" s="73"/>
      <c r="BA436" s="72">
        <v>467556.41046470666</v>
      </c>
      <c r="BB436" s="72">
        <v>0</v>
      </c>
      <c r="BC436" s="73"/>
      <c r="BD436" s="74">
        <v>-218.65341431411517</v>
      </c>
      <c r="BE436" s="74">
        <v>0</v>
      </c>
      <c r="BF436" s="73"/>
      <c r="BG436" s="72">
        <v>5659310.6203856356</v>
      </c>
      <c r="BH436" s="72">
        <v>0</v>
      </c>
      <c r="BI436" s="73"/>
      <c r="BJ436" s="74">
        <v>-2056.0020906942814</v>
      </c>
      <c r="BK436" s="74">
        <v>0</v>
      </c>
      <c r="BL436" s="73"/>
      <c r="BM436" s="72">
        <v>26880099.647851013</v>
      </c>
      <c r="BN436" s="72">
        <v>0</v>
      </c>
      <c r="BO436" s="73"/>
      <c r="BP436" s="74">
        <v>-5985.271098275417</v>
      </c>
      <c r="BQ436" s="74">
        <v>0</v>
      </c>
      <c r="BS436" s="109">
        <f t="shared" si="180"/>
        <v>116796.17645791201</v>
      </c>
      <c r="BT436" s="109">
        <f t="shared" si="181"/>
        <v>117077.39786005027</v>
      </c>
      <c r="BV436" s="58">
        <f t="array" ref="BV436">SUM(IF(BS436:BT436&gt;=BS436, 1))</f>
        <v>2</v>
      </c>
      <c r="BW436" s="58">
        <f t="array" ref="BW436">SUM(IF(BS436:BT436&gt;=BT436, 1))</f>
        <v>1</v>
      </c>
      <c r="BY436" s="109">
        <f t="shared" si="182"/>
        <v>134041.60766935311</v>
      </c>
      <c r="BZ436" s="109">
        <f t="shared" si="183"/>
        <v>134284.69830210882</v>
      </c>
      <c r="CB436" s="58">
        <f t="array" ref="CB436">SUM(IF(BY436:BZ436&gt;=BY436, 1))</f>
        <v>2</v>
      </c>
      <c r="CC436" s="58">
        <f t="array" ref="CC436">SUM(IF(BY436:BZ436&gt;=BZ436, 1))</f>
        <v>1</v>
      </c>
      <c r="CE436" s="109">
        <f t="shared" si="184"/>
        <v>94608.41211370322</v>
      </c>
      <c r="CF436" s="109">
        <f t="shared" si="185"/>
        <v>97379.207417053723</v>
      </c>
      <c r="CH436" s="58">
        <f t="array" ref="CH436">SUM(IF(CE436:CF436&gt;=CE436, 1))</f>
        <v>2</v>
      </c>
      <c r="CI436" s="58">
        <f t="array" ref="CI436">SUM(IF(CE436:CF436&gt;=CF436, 1))</f>
        <v>1</v>
      </c>
      <c r="CK436" s="109">
        <f t="shared" si="186"/>
        <v>48898.248119440294</v>
      </c>
      <c r="CL436" s="109">
        <f t="shared" si="187"/>
        <v>49438.144315879319</v>
      </c>
      <c r="CN436" s="58">
        <f t="array" ref="CN436">SUM(IF(CK436:CL436&gt;=CK436, 1))</f>
        <v>2</v>
      </c>
      <c r="CO436" s="58">
        <f t="array" ref="CO436">SUM(IF(CK436:CL436&gt;=CL436, 1))</f>
        <v>1</v>
      </c>
      <c r="CQ436" s="109" cm="1">
        <f t="array" ref="CQ436">AF436*WTP-AC436</f>
        <v>50834.832947888208</v>
      </c>
      <c r="CR436" s="109">
        <f t="shared" si="188"/>
        <v>53798.805236104134</v>
      </c>
      <c r="CT436" s="58">
        <f t="array" ref="CT436">SUM(IF(CQ436:CR436&gt;=CQ436, 1))</f>
        <v>2</v>
      </c>
      <c r="CU436" s="58">
        <f t="array" ref="CU436">SUM(IF(CQ436:CR436&gt;=CR436, 1))</f>
        <v>1</v>
      </c>
      <c r="CW436" s="109">
        <f t="shared" si="189"/>
        <v>-30136135.200964101</v>
      </c>
      <c r="CX436" s="109">
        <f t="shared" si="190"/>
        <v>0</v>
      </c>
      <c r="CZ436" s="58">
        <f t="array" ref="CZ436">SUM(IF(CW436:CX436&gt;=CW436, 1))</f>
        <v>2</v>
      </c>
      <c r="DA436" s="58">
        <f t="array" ref="DA436">SUM(IF(CW436:CX436&gt;=CX436, 1))</f>
        <v>1</v>
      </c>
      <c r="DC436" s="109">
        <f t="shared" si="191"/>
        <v>-1755736.3846523394</v>
      </c>
      <c r="DD436" s="109">
        <f t="shared" si="192"/>
        <v>0</v>
      </c>
      <c r="DF436" s="58">
        <f t="array" ref="DF436">SUM(IF(DC436:DD436&gt;=DC436, 1))</f>
        <v>2</v>
      </c>
      <c r="DG436" s="58">
        <f t="array" ref="DG436">SUM(IF(DC436:DD436&gt;=DD436, 1))</f>
        <v>1</v>
      </c>
      <c r="DI436" s="109">
        <f t="shared" si="193"/>
        <v>-63073672.896724634</v>
      </c>
      <c r="DJ436" s="109">
        <f t="shared" si="194"/>
        <v>0</v>
      </c>
      <c r="DL436" s="58">
        <f t="array" ref="DL436">SUM(IF(DI436:DJ436&gt;=DI436, 1))</f>
        <v>2</v>
      </c>
      <c r="DM436" s="58">
        <f t="array" ref="DM436">SUM(IF(DI436:DJ436&gt;=DJ436, 1))</f>
        <v>1</v>
      </c>
      <c r="DO436" s="109">
        <f t="shared" si="195"/>
        <v>-4840624.6967470106</v>
      </c>
      <c r="DP436" s="109">
        <f t="shared" si="196"/>
        <v>0</v>
      </c>
      <c r="DR436" s="58">
        <f t="array" ref="DR436">SUM(IF(DO436:DP436&gt;=DO436, 1))</f>
        <v>2</v>
      </c>
      <c r="DS436" s="58">
        <f t="array" ref="DS436">SUM(IF(DO436:DP436&gt;=DP436, 1))</f>
        <v>1</v>
      </c>
      <c r="DU436" s="109">
        <f t="shared" si="197"/>
        <v>-46779352.434271261</v>
      </c>
      <c r="DV436" s="109">
        <f t="shared" si="198"/>
        <v>0</v>
      </c>
      <c r="DX436" s="58">
        <f t="array" ref="DX436">SUM(IF(DU436:DV436&gt;=DU436, 1))</f>
        <v>2</v>
      </c>
      <c r="DY436" s="58">
        <f t="array" ref="DY436">SUM(IF(DU436:DV436&gt;=DV436, 1))</f>
        <v>1</v>
      </c>
      <c r="EA436" s="109">
        <f t="shared" si="199"/>
        <v>-146585521.61335936</v>
      </c>
      <c r="EB436" s="109">
        <f t="shared" si="200"/>
        <v>0</v>
      </c>
      <c r="ED436" s="58">
        <f t="array" ref="ED436">SUM(IF(EA436:EB436&gt;=EA436, 1))</f>
        <v>2</v>
      </c>
      <c r="EE436" s="58">
        <f t="array" ref="EE436">SUM(IF(EA436:EB436&gt;=EB436, 1))</f>
        <v>1</v>
      </c>
    </row>
    <row r="437" spans="4:135" ht="12" customHeight="1" x14ac:dyDescent="0.25">
      <c r="D437" s="11">
        <v>421</v>
      </c>
      <c r="E437" s="72">
        <v>221.30057549925871</v>
      </c>
      <c r="F437" s="72">
        <v>202.27148936389969</v>
      </c>
      <c r="G437" s="73"/>
      <c r="H437" s="74">
        <v>5.7948002367113798</v>
      </c>
      <c r="I437" s="74">
        <v>5.813090459708369</v>
      </c>
      <c r="J437" s="73"/>
      <c r="K437" s="72">
        <v>237.59495037064269</v>
      </c>
      <c r="L437" s="72">
        <v>218.11534855841489</v>
      </c>
      <c r="M437" s="73"/>
      <c r="N437" s="74">
        <v>6.6955023638961064</v>
      </c>
      <c r="O437" s="74">
        <v>6.711586920508128</v>
      </c>
      <c r="P437" s="73"/>
      <c r="Q437" s="72">
        <v>1783.0114394569453</v>
      </c>
      <c r="R437" s="72">
        <v>1197.7222637501945</v>
      </c>
      <c r="S437" s="73"/>
      <c r="T437" s="74">
        <v>4.5811921891613911</v>
      </c>
      <c r="U437" s="74">
        <v>4.6471928843551886</v>
      </c>
      <c r="V437" s="73"/>
      <c r="W437" s="72">
        <v>9890.2799100267584</v>
      </c>
      <c r="X437" s="72">
        <v>9865.0418383718752</v>
      </c>
      <c r="Y437" s="73"/>
      <c r="Z437" s="74">
        <v>2.913419374794926</v>
      </c>
      <c r="AA437" s="74">
        <v>2.965529068049217</v>
      </c>
      <c r="AB437" s="73"/>
      <c r="AC437" s="72">
        <v>51402.96162453034</v>
      </c>
      <c r="AD437" s="72">
        <v>50749.103220260957</v>
      </c>
      <c r="AE437" s="73"/>
      <c r="AF437" s="74">
        <v>4.8724932427567396</v>
      </c>
      <c r="AG437" s="74">
        <v>5.0488732616193639</v>
      </c>
      <c r="AH437" s="73"/>
      <c r="AI437" s="72">
        <v>2035496.9510223165</v>
      </c>
      <c r="AJ437" s="72">
        <v>0</v>
      </c>
      <c r="AK437" s="73"/>
      <c r="AL437" s="74">
        <v>-1956.462484801687</v>
      </c>
      <c r="AM437" s="74">
        <v>0</v>
      </c>
      <c r="AN437" s="73"/>
      <c r="AO437" s="72">
        <v>135086.05453402561</v>
      </c>
      <c r="AP437" s="72">
        <v>0</v>
      </c>
      <c r="AQ437" s="73"/>
      <c r="AR437" s="74">
        <v>-111.54228472387211</v>
      </c>
      <c r="AS437" s="74">
        <v>0</v>
      </c>
      <c r="AT437" s="73"/>
      <c r="AU437" s="72">
        <v>13500211.715617796</v>
      </c>
      <c r="AV437" s="72">
        <v>0</v>
      </c>
      <c r="AW437" s="73"/>
      <c r="AX437" s="74">
        <v>-1522.3643208817107</v>
      </c>
      <c r="AY437" s="74">
        <v>0</v>
      </c>
      <c r="AZ437" s="73"/>
      <c r="BA437" s="72">
        <v>226751.25358269823</v>
      </c>
      <c r="BB437" s="72">
        <v>0</v>
      </c>
      <c r="BC437" s="73"/>
      <c r="BD437" s="74">
        <v>-468.1791236191429</v>
      </c>
      <c r="BE437" s="74">
        <v>0</v>
      </c>
      <c r="BF437" s="73"/>
      <c r="BG437" s="72">
        <v>9992914.1174074207</v>
      </c>
      <c r="BH437" s="72">
        <v>0</v>
      </c>
      <c r="BI437" s="73"/>
      <c r="BJ437" s="74">
        <v>-2695.6147829748638</v>
      </c>
      <c r="BK437" s="74">
        <v>0</v>
      </c>
      <c r="BL437" s="73"/>
      <c r="BM437" s="72">
        <v>25890460.092164256</v>
      </c>
      <c r="BN437" s="72">
        <v>0</v>
      </c>
      <c r="BO437" s="73"/>
      <c r="BP437" s="74">
        <v>-6754.1629970012764</v>
      </c>
      <c r="BQ437" s="74">
        <v>0</v>
      </c>
      <c r="BS437" s="109">
        <f t="shared" si="180"/>
        <v>115674.70415872833</v>
      </c>
      <c r="BT437" s="109">
        <f t="shared" si="181"/>
        <v>116059.53770480347</v>
      </c>
      <c r="BV437" s="58">
        <f t="array" ref="BV437">SUM(IF(BS437:BT437&gt;=BS437, 1))</f>
        <v>2</v>
      </c>
      <c r="BW437" s="58">
        <f t="array" ref="BW437">SUM(IF(BS437:BT437&gt;=BT437, 1))</f>
        <v>1</v>
      </c>
      <c r="BY437" s="109">
        <f t="shared" si="182"/>
        <v>133672.45232755149</v>
      </c>
      <c r="BZ437" s="109">
        <f t="shared" si="183"/>
        <v>134013.62306160416</v>
      </c>
      <c r="CB437" s="58">
        <f t="array" ref="CB437">SUM(IF(BY437:BZ437&gt;=BY437, 1))</f>
        <v>2</v>
      </c>
      <c r="CC437" s="58">
        <f t="array" ref="CC437">SUM(IF(BY437:BZ437&gt;=BZ437, 1))</f>
        <v>1</v>
      </c>
      <c r="CE437" s="109">
        <f t="shared" si="184"/>
        <v>89840.83234377089</v>
      </c>
      <c r="CF437" s="109">
        <f t="shared" si="185"/>
        <v>91746.135423353568</v>
      </c>
      <c r="CH437" s="58">
        <f t="array" ref="CH437">SUM(IF(CE437:CF437&gt;=CE437, 1))</f>
        <v>2</v>
      </c>
      <c r="CI437" s="58">
        <f t="array" ref="CI437">SUM(IF(CE437:CF437&gt;=CF437, 1))</f>
        <v>1</v>
      </c>
      <c r="CK437" s="109">
        <f t="shared" si="186"/>
        <v>48378.10758587176</v>
      </c>
      <c r="CL437" s="109">
        <f t="shared" si="187"/>
        <v>49445.539522612467</v>
      </c>
      <c r="CN437" s="58">
        <f t="array" ref="CN437">SUM(IF(CK437:CL437&gt;=CK437, 1))</f>
        <v>2</v>
      </c>
      <c r="CO437" s="58">
        <f t="array" ref="CO437">SUM(IF(CK437:CL437&gt;=CL437, 1))</f>
        <v>1</v>
      </c>
      <c r="CQ437" s="109" cm="1">
        <f t="array" ref="CQ437">AF437*WTP-AC437</f>
        <v>46046.903230604446</v>
      </c>
      <c r="CR437" s="109">
        <f t="shared" si="188"/>
        <v>50228.362012126316</v>
      </c>
      <c r="CT437" s="58">
        <f t="array" ref="CT437">SUM(IF(CQ437:CR437&gt;=CQ437, 1))</f>
        <v>2</v>
      </c>
      <c r="CU437" s="58">
        <f t="array" ref="CU437">SUM(IF(CQ437:CR437&gt;=CR437, 1))</f>
        <v>1</v>
      </c>
      <c r="CW437" s="109">
        <f t="shared" si="189"/>
        <v>-41164746.647056058</v>
      </c>
      <c r="CX437" s="109">
        <f t="shared" si="190"/>
        <v>0</v>
      </c>
      <c r="CZ437" s="58">
        <f t="array" ref="CZ437">SUM(IF(CW437:CX437&gt;=CW437, 1))</f>
        <v>2</v>
      </c>
      <c r="DA437" s="58">
        <f t="array" ref="DA437">SUM(IF(CW437:CX437&gt;=CX437, 1))</f>
        <v>1</v>
      </c>
      <c r="DC437" s="109">
        <f t="shared" si="191"/>
        <v>-2365931.7490114677</v>
      </c>
      <c r="DD437" s="109">
        <f t="shared" si="192"/>
        <v>0</v>
      </c>
      <c r="DF437" s="58">
        <f t="array" ref="DF437">SUM(IF(DC437:DD437&gt;=DC437, 1))</f>
        <v>2</v>
      </c>
      <c r="DG437" s="58">
        <f t="array" ref="DG437">SUM(IF(DC437:DD437&gt;=DD437, 1))</f>
        <v>1</v>
      </c>
      <c r="DI437" s="109">
        <f t="shared" si="193"/>
        <v>-43947498.13325201</v>
      </c>
      <c r="DJ437" s="109">
        <f t="shared" si="194"/>
        <v>0</v>
      </c>
      <c r="DL437" s="58">
        <f t="array" ref="DL437">SUM(IF(DI437:DJ437&gt;=DI437, 1))</f>
        <v>2</v>
      </c>
      <c r="DM437" s="58">
        <f t="array" ref="DM437">SUM(IF(DI437:DJ437&gt;=DJ437, 1))</f>
        <v>1</v>
      </c>
      <c r="DO437" s="109">
        <f t="shared" si="195"/>
        <v>-9590333.7259655558</v>
      </c>
      <c r="DP437" s="109">
        <f t="shared" si="196"/>
        <v>0</v>
      </c>
      <c r="DR437" s="58">
        <f t="array" ref="DR437">SUM(IF(DO437:DP437&gt;=DO437, 1))</f>
        <v>2</v>
      </c>
      <c r="DS437" s="58">
        <f t="array" ref="DS437">SUM(IF(DO437:DP437&gt;=DP437, 1))</f>
        <v>1</v>
      </c>
      <c r="DU437" s="109">
        <f t="shared" si="197"/>
        <v>-63905209.776904695</v>
      </c>
      <c r="DV437" s="109">
        <f t="shared" si="198"/>
        <v>0</v>
      </c>
      <c r="DX437" s="58">
        <f t="array" ref="DX437">SUM(IF(DU437:DV437&gt;=DU437, 1))</f>
        <v>2</v>
      </c>
      <c r="DY437" s="58">
        <f t="array" ref="DY437">SUM(IF(DU437:DV437&gt;=DV437, 1))</f>
        <v>1</v>
      </c>
      <c r="EA437" s="109">
        <f t="shared" si="199"/>
        <v>-160973720.03218979</v>
      </c>
      <c r="EB437" s="109">
        <f t="shared" si="200"/>
        <v>0</v>
      </c>
      <c r="ED437" s="58">
        <f t="array" ref="ED437">SUM(IF(EA437:EB437&gt;=EA437, 1))</f>
        <v>2</v>
      </c>
      <c r="EE437" s="58">
        <f t="array" ref="EE437">SUM(IF(EA437:EB437&gt;=EB437, 1))</f>
        <v>1</v>
      </c>
    </row>
    <row r="438" spans="4:135" ht="12" customHeight="1" x14ac:dyDescent="0.25">
      <c r="D438" s="11">
        <v>422</v>
      </c>
      <c r="E438" s="72">
        <v>271.65767809942048</v>
      </c>
      <c r="F438" s="72">
        <v>252.99949404228855</v>
      </c>
      <c r="G438" s="73"/>
      <c r="H438" s="74">
        <v>5.815175507020113</v>
      </c>
      <c r="I438" s="74">
        <v>5.8316611117505834</v>
      </c>
      <c r="J438" s="73"/>
      <c r="K438" s="72">
        <v>291.86278936356263</v>
      </c>
      <c r="L438" s="72">
        <v>272.7487633481046</v>
      </c>
      <c r="M438" s="73"/>
      <c r="N438" s="74">
        <v>6.714532570111853</v>
      </c>
      <c r="O438" s="74">
        <v>6.7291774237896416</v>
      </c>
      <c r="P438" s="73"/>
      <c r="Q438" s="72">
        <v>1472.4224965077153</v>
      </c>
      <c r="R438" s="72">
        <v>1172.2923661220939</v>
      </c>
      <c r="S438" s="73"/>
      <c r="T438" s="74">
        <v>4.9712158584745589</v>
      </c>
      <c r="U438" s="74">
        <v>5.0250267408238711</v>
      </c>
      <c r="V438" s="73"/>
      <c r="W438" s="72">
        <v>12742.702885172585</v>
      </c>
      <c r="X438" s="72">
        <v>12721.170250719646</v>
      </c>
      <c r="Y438" s="73"/>
      <c r="Z438" s="74">
        <v>3.0103336076059071</v>
      </c>
      <c r="AA438" s="74">
        <v>3.0571423419972312</v>
      </c>
      <c r="AB438" s="73"/>
      <c r="AC438" s="72">
        <v>49129.201608099909</v>
      </c>
      <c r="AD438" s="72">
        <v>49050.909408777668</v>
      </c>
      <c r="AE438" s="73"/>
      <c r="AF438" s="74">
        <v>4.0999881538378702</v>
      </c>
      <c r="AG438" s="74">
        <v>4.2149118456231891</v>
      </c>
      <c r="AH438" s="73"/>
      <c r="AI438" s="72">
        <v>1983934.5629489592</v>
      </c>
      <c r="AJ438" s="72">
        <v>0</v>
      </c>
      <c r="AK438" s="73"/>
      <c r="AL438" s="74">
        <v>-1752.923055949459</v>
      </c>
      <c r="AM438" s="74">
        <v>0</v>
      </c>
      <c r="AN438" s="73"/>
      <c r="AO438" s="72">
        <v>135353.96142620852</v>
      </c>
      <c r="AP438" s="72">
        <v>0</v>
      </c>
      <c r="AQ438" s="73"/>
      <c r="AR438" s="74">
        <v>-103.70598837695267</v>
      </c>
      <c r="AS438" s="74">
        <v>0</v>
      </c>
      <c r="AT438" s="73"/>
      <c r="AU438" s="72">
        <v>7078971.9558415683</v>
      </c>
      <c r="AV438" s="72">
        <v>0</v>
      </c>
      <c r="AW438" s="73"/>
      <c r="AX438" s="74">
        <v>-1269.2018844640477</v>
      </c>
      <c r="AY438" s="74">
        <v>0</v>
      </c>
      <c r="AZ438" s="73"/>
      <c r="BA438" s="72">
        <v>195250.3346918711</v>
      </c>
      <c r="BB438" s="72">
        <v>0</v>
      </c>
      <c r="BC438" s="73"/>
      <c r="BD438" s="74">
        <v>-424.44509409120178</v>
      </c>
      <c r="BE438" s="74">
        <v>0</v>
      </c>
      <c r="BF438" s="73"/>
      <c r="BG438" s="72">
        <v>1231301.2888665574</v>
      </c>
      <c r="BH438" s="72">
        <v>0</v>
      </c>
      <c r="BI438" s="73"/>
      <c r="BJ438" s="74">
        <v>-1807.4047100675598</v>
      </c>
      <c r="BK438" s="74">
        <v>0</v>
      </c>
      <c r="BL438" s="73"/>
      <c r="BM438" s="72">
        <v>10624812.103775164</v>
      </c>
      <c r="BN438" s="72">
        <v>0</v>
      </c>
      <c r="BO438" s="73"/>
      <c r="BP438" s="74">
        <v>-5357.6807329492212</v>
      </c>
      <c r="BQ438" s="74">
        <v>0</v>
      </c>
      <c r="BS438" s="109">
        <f t="shared" si="180"/>
        <v>116031.85246230284</v>
      </c>
      <c r="BT438" s="109">
        <f t="shared" si="181"/>
        <v>116380.22274096937</v>
      </c>
      <c r="BV438" s="58">
        <f t="array" ref="BV438">SUM(IF(BS438:BT438&gt;=BS438, 1))</f>
        <v>2</v>
      </c>
      <c r="BW438" s="58">
        <f t="array" ref="BW438">SUM(IF(BS438:BT438&gt;=BT438, 1))</f>
        <v>1</v>
      </c>
      <c r="BY438" s="109">
        <f t="shared" si="182"/>
        <v>133998.7886128735</v>
      </c>
      <c r="BZ438" s="109">
        <f t="shared" si="183"/>
        <v>134310.79971244474</v>
      </c>
      <c r="CB438" s="58">
        <f t="array" ref="CB438">SUM(IF(BY438:BZ438&gt;=BY438, 1))</f>
        <v>2</v>
      </c>
      <c r="CC438" s="58">
        <f t="array" ref="CC438">SUM(IF(BY438:BZ438&gt;=BZ438, 1))</f>
        <v>1</v>
      </c>
      <c r="CE438" s="109">
        <f t="shared" si="184"/>
        <v>97951.894672983457</v>
      </c>
      <c r="CF438" s="109">
        <f t="shared" si="185"/>
        <v>99328.242450355319</v>
      </c>
      <c r="CH438" s="58">
        <f t="array" ref="CH438">SUM(IF(CE438:CF438&gt;=CE438, 1))</f>
        <v>2</v>
      </c>
      <c r="CI438" s="58">
        <f t="array" ref="CI438">SUM(IF(CE438:CF438&gt;=CF438, 1))</f>
        <v>1</v>
      </c>
      <c r="CK438" s="109">
        <f t="shared" si="186"/>
        <v>47463.969266945554</v>
      </c>
      <c r="CL438" s="109">
        <f t="shared" si="187"/>
        <v>48421.676589224975</v>
      </c>
      <c r="CN438" s="58">
        <f t="array" ref="CN438">SUM(IF(CK438:CL438&gt;=CK438, 1))</f>
        <v>2</v>
      </c>
      <c r="CO438" s="58">
        <f t="array" ref="CO438">SUM(IF(CK438:CL438&gt;=CL438, 1))</f>
        <v>1</v>
      </c>
      <c r="CQ438" s="109" cm="1">
        <f t="array" ref="CQ438">AF438*WTP-AC438</f>
        <v>32870.561468657492</v>
      </c>
      <c r="CR438" s="109">
        <f t="shared" si="188"/>
        <v>35247.327503686109</v>
      </c>
      <c r="CT438" s="58">
        <f t="array" ref="CT438">SUM(IF(CQ438:CR438&gt;=CQ438, 1))</f>
        <v>2</v>
      </c>
      <c r="CU438" s="58">
        <f t="array" ref="CU438">SUM(IF(CQ438:CR438&gt;=CR438, 1))</f>
        <v>1</v>
      </c>
      <c r="CW438" s="109">
        <f t="shared" si="189"/>
        <v>-37042395.681938134</v>
      </c>
      <c r="CX438" s="109">
        <f t="shared" si="190"/>
        <v>0</v>
      </c>
      <c r="CZ438" s="58">
        <f t="array" ref="CZ438">SUM(IF(CW438:CX438&gt;=CW438, 1))</f>
        <v>2</v>
      </c>
      <c r="DA438" s="58">
        <f t="array" ref="DA438">SUM(IF(CW438:CX438&gt;=CX438, 1))</f>
        <v>1</v>
      </c>
      <c r="DC438" s="109">
        <f t="shared" si="191"/>
        <v>-2209473.728965262</v>
      </c>
      <c r="DD438" s="109">
        <f t="shared" si="192"/>
        <v>0</v>
      </c>
      <c r="DF438" s="58">
        <f t="array" ref="DF438">SUM(IF(DC438:DD438&gt;=DC438, 1))</f>
        <v>2</v>
      </c>
      <c r="DG438" s="58">
        <f t="array" ref="DG438">SUM(IF(DC438:DD438&gt;=DD438, 1))</f>
        <v>1</v>
      </c>
      <c r="DI438" s="109">
        <f t="shared" si="193"/>
        <v>-32463009.645122521</v>
      </c>
      <c r="DJ438" s="109">
        <f t="shared" si="194"/>
        <v>0</v>
      </c>
      <c r="DL438" s="58">
        <f t="array" ref="DL438">SUM(IF(DI438:DJ438&gt;=DI438, 1))</f>
        <v>2</v>
      </c>
      <c r="DM438" s="58">
        <f t="array" ref="DM438">SUM(IF(DI438:DJ438&gt;=DJ438, 1))</f>
        <v>1</v>
      </c>
      <c r="DO438" s="109">
        <f t="shared" si="195"/>
        <v>-8684152.2165159062</v>
      </c>
      <c r="DP438" s="109">
        <f t="shared" si="196"/>
        <v>0</v>
      </c>
      <c r="DR438" s="58">
        <f t="array" ref="DR438">SUM(IF(DO438:DP438&gt;=DO438, 1))</f>
        <v>2</v>
      </c>
      <c r="DS438" s="58">
        <f t="array" ref="DS438">SUM(IF(DO438:DP438&gt;=DP438, 1))</f>
        <v>1</v>
      </c>
      <c r="DU438" s="109">
        <f t="shared" si="197"/>
        <v>-37379395.490217753</v>
      </c>
      <c r="DV438" s="109">
        <f t="shared" si="198"/>
        <v>0</v>
      </c>
      <c r="DX438" s="58">
        <f t="array" ref="DX438">SUM(IF(DU438:DV438&gt;=DU438, 1))</f>
        <v>2</v>
      </c>
      <c r="DY438" s="58">
        <f t="array" ref="DY438">SUM(IF(DU438:DV438&gt;=DV438, 1))</f>
        <v>1</v>
      </c>
      <c r="EA438" s="109">
        <f t="shared" si="199"/>
        <v>-117778426.76275958</v>
      </c>
      <c r="EB438" s="109">
        <f t="shared" si="200"/>
        <v>0</v>
      </c>
      <c r="ED438" s="58">
        <f t="array" ref="ED438">SUM(IF(EA438:EB438&gt;=EA438, 1))</f>
        <v>2</v>
      </c>
      <c r="EE438" s="58">
        <f t="array" ref="EE438">SUM(IF(EA438:EB438&gt;=EB438, 1))</f>
        <v>1</v>
      </c>
    </row>
    <row r="439" spans="4:135" ht="12" customHeight="1" x14ac:dyDescent="0.25">
      <c r="D439" s="11">
        <v>423</v>
      </c>
      <c r="E439" s="72">
        <v>349.48507019085656</v>
      </c>
      <c r="F439" s="72">
        <v>316.60989571711326</v>
      </c>
      <c r="G439" s="73"/>
      <c r="H439" s="74">
        <v>5.8187348082131569</v>
      </c>
      <c r="I439" s="74">
        <v>5.836625071740249</v>
      </c>
      <c r="J439" s="73"/>
      <c r="K439" s="72">
        <v>375.02846092765026</v>
      </c>
      <c r="L439" s="72">
        <v>341.33681454361948</v>
      </c>
      <c r="M439" s="73"/>
      <c r="N439" s="74">
        <v>6.7575844077063323</v>
      </c>
      <c r="O439" s="74">
        <v>6.7731418969029464</v>
      </c>
      <c r="P439" s="73"/>
      <c r="Q439" s="72">
        <v>2827.6779687154817</v>
      </c>
      <c r="R439" s="72">
        <v>1731.3323685651294</v>
      </c>
      <c r="S439" s="73"/>
      <c r="T439" s="74">
        <v>4.6981779046622716</v>
      </c>
      <c r="U439" s="74">
        <v>4.7708721126149074</v>
      </c>
      <c r="V439" s="73"/>
      <c r="W439" s="72">
        <v>11755.316631983818</v>
      </c>
      <c r="X439" s="72">
        <v>11776.995656580873</v>
      </c>
      <c r="Y439" s="73"/>
      <c r="Z439" s="74">
        <v>3.0177830607663969</v>
      </c>
      <c r="AA439" s="74">
        <v>3.066301234677232</v>
      </c>
      <c r="AB439" s="73"/>
      <c r="AC439" s="72">
        <v>50291.024706247445</v>
      </c>
      <c r="AD439" s="72">
        <v>50076.279906945463</v>
      </c>
      <c r="AE439" s="73"/>
      <c r="AF439" s="74">
        <v>4.6569436060514606</v>
      </c>
      <c r="AG439" s="74">
        <v>4.7882007742857002</v>
      </c>
      <c r="AH439" s="73"/>
      <c r="AI439" s="72">
        <v>3548327.1363929641</v>
      </c>
      <c r="AJ439" s="72">
        <v>0</v>
      </c>
      <c r="AK439" s="73"/>
      <c r="AL439" s="74">
        <v>-1930.9557611961197</v>
      </c>
      <c r="AM439" s="74">
        <v>0</v>
      </c>
      <c r="AN439" s="73"/>
      <c r="AO439" s="72">
        <v>238183.1937402453</v>
      </c>
      <c r="AP439" s="72">
        <v>0</v>
      </c>
      <c r="AQ439" s="73"/>
      <c r="AR439" s="74">
        <v>-109.98371587994808</v>
      </c>
      <c r="AS439" s="74">
        <v>0</v>
      </c>
      <c r="AT439" s="73"/>
      <c r="AU439" s="72">
        <v>26370899.879525766</v>
      </c>
      <c r="AV439" s="72">
        <v>0</v>
      </c>
      <c r="AW439" s="73"/>
      <c r="AX439" s="74">
        <v>-1748.5468810906768</v>
      </c>
      <c r="AY439" s="74">
        <v>0</v>
      </c>
      <c r="AZ439" s="73"/>
      <c r="BA439" s="72">
        <v>-190586.29722394477</v>
      </c>
      <c r="BB439" s="72">
        <v>0</v>
      </c>
      <c r="BC439" s="73"/>
      <c r="BD439" s="74">
        <v>-426.53667706939046</v>
      </c>
      <c r="BE439" s="74">
        <v>0</v>
      </c>
      <c r="BF439" s="73"/>
      <c r="BG439" s="72">
        <v>3448369.2032712661</v>
      </c>
      <c r="BH439" s="72">
        <v>0</v>
      </c>
      <c r="BI439" s="73"/>
      <c r="BJ439" s="74">
        <v>-2107.7259059068219</v>
      </c>
      <c r="BK439" s="74">
        <v>0</v>
      </c>
      <c r="BL439" s="73"/>
      <c r="BM439" s="72">
        <v>33415193.115706299</v>
      </c>
      <c r="BN439" s="72">
        <v>0</v>
      </c>
      <c r="BO439" s="73"/>
      <c r="BP439" s="74">
        <v>-6323.7489411429569</v>
      </c>
      <c r="BQ439" s="74">
        <v>0</v>
      </c>
      <c r="BS439" s="109">
        <f t="shared" si="180"/>
        <v>116025.21109407228</v>
      </c>
      <c r="BT439" s="109">
        <f t="shared" si="181"/>
        <v>116415.89153908785</v>
      </c>
      <c r="BV439" s="58">
        <f t="array" ref="BV439">SUM(IF(BS439:BT439&gt;=BS439, 1))</f>
        <v>2</v>
      </c>
      <c r="BW439" s="58">
        <f t="array" ref="BW439">SUM(IF(BS439:BT439&gt;=BT439, 1))</f>
        <v>1</v>
      </c>
      <c r="BY439" s="109">
        <f t="shared" si="182"/>
        <v>134776.65969319898</v>
      </c>
      <c r="BZ439" s="109">
        <f t="shared" si="183"/>
        <v>135121.50112351531</v>
      </c>
      <c r="CB439" s="58">
        <f t="array" ref="CB439">SUM(IF(BY439:BZ439&gt;=BY439, 1))</f>
        <v>2</v>
      </c>
      <c r="CC439" s="58">
        <f t="array" ref="CC439">SUM(IF(BY439:BZ439&gt;=BZ439, 1))</f>
        <v>1</v>
      </c>
      <c r="CE439" s="109">
        <f t="shared" si="184"/>
        <v>91135.880124529955</v>
      </c>
      <c r="CF439" s="109">
        <f t="shared" si="185"/>
        <v>93686.109883733021</v>
      </c>
      <c r="CH439" s="58">
        <f t="array" ref="CH439">SUM(IF(CE439:CF439&gt;=CE439, 1))</f>
        <v>2</v>
      </c>
      <c r="CI439" s="58">
        <f t="array" ref="CI439">SUM(IF(CE439:CF439&gt;=CF439, 1))</f>
        <v>1</v>
      </c>
      <c r="CK439" s="109">
        <f t="shared" si="186"/>
        <v>48600.344583344115</v>
      </c>
      <c r="CL439" s="109">
        <f t="shared" si="187"/>
        <v>49549.029036963766</v>
      </c>
      <c r="CN439" s="58">
        <f t="array" ref="CN439">SUM(IF(CK439:CL439&gt;=CK439, 1))</f>
        <v>2</v>
      </c>
      <c r="CO439" s="58">
        <f t="array" ref="CO439">SUM(IF(CK439:CL439&gt;=CL439, 1))</f>
        <v>1</v>
      </c>
      <c r="CQ439" s="109" cm="1">
        <f t="array" ref="CQ439">AF439*WTP-AC439</f>
        <v>42847.847414781769</v>
      </c>
      <c r="CR439" s="109">
        <f t="shared" si="188"/>
        <v>45687.735578768537</v>
      </c>
      <c r="CT439" s="58">
        <f t="array" ref="CT439">SUM(IF(CQ439:CR439&gt;=CQ439, 1))</f>
        <v>2</v>
      </c>
      <c r="CU439" s="58">
        <f t="array" ref="CU439">SUM(IF(CQ439:CR439&gt;=CR439, 1))</f>
        <v>1</v>
      </c>
      <c r="CW439" s="109">
        <f t="shared" si="189"/>
        <v>-42167442.36031536</v>
      </c>
      <c r="CX439" s="109">
        <f t="shared" si="190"/>
        <v>0</v>
      </c>
      <c r="CZ439" s="58">
        <f t="array" ref="CZ439">SUM(IF(CW439:CX439&gt;=CW439, 1))</f>
        <v>2</v>
      </c>
      <c r="DA439" s="58">
        <f t="array" ref="DA439">SUM(IF(CW439:CX439&gt;=CX439, 1))</f>
        <v>1</v>
      </c>
      <c r="DC439" s="109">
        <f t="shared" si="191"/>
        <v>-2437857.5113392072</v>
      </c>
      <c r="DD439" s="109">
        <f t="shared" si="192"/>
        <v>0</v>
      </c>
      <c r="DF439" s="58">
        <f t="array" ref="DF439">SUM(IF(DC439:DD439&gt;=DC439, 1))</f>
        <v>2</v>
      </c>
      <c r="DG439" s="58">
        <f t="array" ref="DG439">SUM(IF(DC439:DD439&gt;=DD439, 1))</f>
        <v>1</v>
      </c>
      <c r="DI439" s="109">
        <f t="shared" si="193"/>
        <v>-61341837.501339301</v>
      </c>
      <c r="DJ439" s="109">
        <f t="shared" si="194"/>
        <v>0</v>
      </c>
      <c r="DL439" s="58">
        <f t="array" ref="DL439">SUM(IF(DI439:DJ439&gt;=DI439, 1))</f>
        <v>2</v>
      </c>
      <c r="DM439" s="58">
        <f t="array" ref="DM439">SUM(IF(DI439:DJ439&gt;=DJ439, 1))</f>
        <v>1</v>
      </c>
      <c r="DO439" s="109">
        <f t="shared" si="195"/>
        <v>-8340147.2441638643</v>
      </c>
      <c r="DP439" s="109">
        <f t="shared" si="196"/>
        <v>0</v>
      </c>
      <c r="DR439" s="58">
        <f t="array" ref="DR439">SUM(IF(DO439:DP439&gt;=DO439, 1))</f>
        <v>2</v>
      </c>
      <c r="DS439" s="58">
        <f t="array" ref="DS439">SUM(IF(DO439:DP439&gt;=DP439, 1))</f>
        <v>1</v>
      </c>
      <c r="DU439" s="109">
        <f t="shared" si="197"/>
        <v>-45602887.321407706</v>
      </c>
      <c r="DV439" s="109">
        <f t="shared" si="198"/>
        <v>0</v>
      </c>
      <c r="DX439" s="58">
        <f t="array" ref="DX439">SUM(IF(DU439:DV439&gt;=DU439, 1))</f>
        <v>2</v>
      </c>
      <c r="DY439" s="58">
        <f t="array" ref="DY439">SUM(IF(DU439:DV439&gt;=DV439, 1))</f>
        <v>1</v>
      </c>
      <c r="EA439" s="109">
        <f t="shared" si="199"/>
        <v>-159890171.93856543</v>
      </c>
      <c r="EB439" s="109">
        <f t="shared" si="200"/>
        <v>0</v>
      </c>
      <c r="ED439" s="58">
        <f t="array" ref="ED439">SUM(IF(EA439:EB439&gt;=EA439, 1))</f>
        <v>2</v>
      </c>
      <c r="EE439" s="58">
        <f t="array" ref="EE439">SUM(IF(EA439:EB439&gt;=EB439, 1))</f>
        <v>1</v>
      </c>
    </row>
    <row r="440" spans="4:135" ht="12" customHeight="1" x14ac:dyDescent="0.25">
      <c r="D440" s="11">
        <v>424</v>
      </c>
      <c r="E440" s="72">
        <v>221.00520985452212</v>
      </c>
      <c r="F440" s="72">
        <v>198.12798961288138</v>
      </c>
      <c r="G440" s="73"/>
      <c r="H440" s="74">
        <v>5.8455506238058161</v>
      </c>
      <c r="I440" s="74">
        <v>5.8611032685194431</v>
      </c>
      <c r="J440" s="73"/>
      <c r="K440" s="72">
        <v>237.04726349518631</v>
      </c>
      <c r="L440" s="72">
        <v>213.60137246775048</v>
      </c>
      <c r="M440" s="73"/>
      <c r="N440" s="74">
        <v>6.6978644559641358</v>
      </c>
      <c r="O440" s="74">
        <v>6.7106354243433488</v>
      </c>
      <c r="P440" s="73"/>
      <c r="Q440" s="72">
        <v>1805.0169836161381</v>
      </c>
      <c r="R440" s="72">
        <v>1398.1671967048774</v>
      </c>
      <c r="S440" s="73"/>
      <c r="T440" s="74">
        <v>4.9167581213158318</v>
      </c>
      <c r="U440" s="74">
        <v>4.9585515237066389</v>
      </c>
      <c r="V440" s="73"/>
      <c r="W440" s="72">
        <v>16091.792467722536</v>
      </c>
      <c r="X440" s="72">
        <v>16076.292107867592</v>
      </c>
      <c r="Y440" s="73"/>
      <c r="Z440" s="74">
        <v>3.1890569032784764</v>
      </c>
      <c r="AA440" s="74">
        <v>3.2516434327656127</v>
      </c>
      <c r="AB440" s="73"/>
      <c r="AC440" s="72">
        <v>49620.440781791942</v>
      </c>
      <c r="AD440" s="72">
        <v>49538.195443389472</v>
      </c>
      <c r="AE440" s="73"/>
      <c r="AF440" s="74">
        <v>4.8503899828203254</v>
      </c>
      <c r="AG440" s="74">
        <v>4.9541914759219603</v>
      </c>
      <c r="AH440" s="73"/>
      <c r="AI440" s="72">
        <v>2448593.614883672</v>
      </c>
      <c r="AJ440" s="72">
        <v>0</v>
      </c>
      <c r="AK440" s="73"/>
      <c r="AL440" s="74">
        <v>-1664.6299741882449</v>
      </c>
      <c r="AM440" s="74">
        <v>0</v>
      </c>
      <c r="AN440" s="73"/>
      <c r="AO440" s="72">
        <v>159383.21089134217</v>
      </c>
      <c r="AP440" s="72">
        <v>0</v>
      </c>
      <c r="AQ440" s="73"/>
      <c r="AR440" s="74">
        <v>-86.815977438814201</v>
      </c>
      <c r="AS440" s="74">
        <v>0</v>
      </c>
      <c r="AT440" s="73"/>
      <c r="AU440" s="72">
        <v>9532197.5943138096</v>
      </c>
      <c r="AV440" s="72">
        <v>0</v>
      </c>
      <c r="AW440" s="73"/>
      <c r="AX440" s="74">
        <v>-979.1893287011427</v>
      </c>
      <c r="AY440" s="74">
        <v>0</v>
      </c>
      <c r="AZ440" s="73"/>
      <c r="BA440" s="72">
        <v>141259.04281680199</v>
      </c>
      <c r="BB440" s="72">
        <v>0</v>
      </c>
      <c r="BC440" s="73"/>
      <c r="BD440" s="74">
        <v>-570.36825798325867</v>
      </c>
      <c r="BE440" s="74">
        <v>0</v>
      </c>
      <c r="BF440" s="73"/>
      <c r="BG440" s="72">
        <v>1356900.1756136646</v>
      </c>
      <c r="BH440" s="72">
        <v>0</v>
      </c>
      <c r="BI440" s="73"/>
      <c r="BJ440" s="74">
        <v>-1712.5379620827071</v>
      </c>
      <c r="BK440" s="74">
        <v>0</v>
      </c>
      <c r="BL440" s="73"/>
      <c r="BM440" s="72">
        <v>13638333.638519291</v>
      </c>
      <c r="BN440" s="72">
        <v>0</v>
      </c>
      <c r="BO440" s="73"/>
      <c r="BP440" s="74">
        <v>-5013.5415003941671</v>
      </c>
      <c r="BQ440" s="74">
        <v>0</v>
      </c>
      <c r="BS440" s="109">
        <f t="shared" si="180"/>
        <v>116690.00726626179</v>
      </c>
      <c r="BT440" s="109">
        <f t="shared" si="181"/>
        <v>117023.93738077598</v>
      </c>
      <c r="BV440" s="58">
        <f t="array" ref="BV440">SUM(IF(BS440:BT440&gt;=BS440, 1))</f>
        <v>2</v>
      </c>
      <c r="BW440" s="58">
        <f t="array" ref="BW440">SUM(IF(BS440:BT440&gt;=BT440, 1))</f>
        <v>1</v>
      </c>
      <c r="BY440" s="109">
        <f t="shared" si="182"/>
        <v>133720.24185578752</v>
      </c>
      <c r="BZ440" s="109">
        <f t="shared" si="183"/>
        <v>133999.1071143992</v>
      </c>
      <c r="CB440" s="58">
        <f t="array" ref="CB440">SUM(IF(BY440:BZ440&gt;=BY440, 1))</f>
        <v>2</v>
      </c>
      <c r="CC440" s="58">
        <f t="array" ref="CC440">SUM(IF(BY440:BZ440&gt;=BZ440, 1))</f>
        <v>1</v>
      </c>
      <c r="CE440" s="109">
        <f t="shared" si="184"/>
        <v>96530.145442700494</v>
      </c>
      <c r="CF440" s="109">
        <f t="shared" si="185"/>
        <v>97772.863277427896</v>
      </c>
      <c r="CH440" s="58">
        <f t="array" ref="CH440">SUM(IF(CE440:CF440&gt;=CE440, 1))</f>
        <v>2</v>
      </c>
      <c r="CI440" s="58">
        <f t="array" ref="CI440">SUM(IF(CE440:CF440&gt;=CF440, 1))</f>
        <v>1</v>
      </c>
      <c r="CK440" s="109">
        <f t="shared" si="186"/>
        <v>47689.345597846986</v>
      </c>
      <c r="CL440" s="109">
        <f t="shared" si="187"/>
        <v>48956.57654744466</v>
      </c>
      <c r="CN440" s="58">
        <f t="array" ref="CN440">SUM(IF(CK440:CL440&gt;=CK440, 1))</f>
        <v>2</v>
      </c>
      <c r="CO440" s="58">
        <f t="array" ref="CO440">SUM(IF(CK440:CL440&gt;=CL440, 1))</f>
        <v>1</v>
      </c>
      <c r="CQ440" s="109" cm="1">
        <f t="array" ref="CQ440">AF440*WTP-AC440</f>
        <v>47387.358874614569</v>
      </c>
      <c r="CR440" s="109">
        <f t="shared" si="188"/>
        <v>49545.634075049733</v>
      </c>
      <c r="CT440" s="58">
        <f t="array" ref="CT440">SUM(IF(CQ440:CR440&gt;=CQ440, 1))</f>
        <v>2</v>
      </c>
      <c r="CU440" s="58">
        <f t="array" ref="CU440">SUM(IF(CQ440:CR440&gt;=CR440, 1))</f>
        <v>1</v>
      </c>
      <c r="CW440" s="109">
        <f t="shared" si="189"/>
        <v>-35741193.09864857</v>
      </c>
      <c r="CX440" s="109">
        <f t="shared" si="190"/>
        <v>0</v>
      </c>
      <c r="CZ440" s="58">
        <f t="array" ref="CZ440">SUM(IF(CW440:CX440&gt;=CW440, 1))</f>
        <v>2</v>
      </c>
      <c r="DA440" s="58">
        <f t="array" ref="DA440">SUM(IF(CW440:CX440&gt;=CX440, 1))</f>
        <v>1</v>
      </c>
      <c r="DC440" s="109">
        <f t="shared" si="191"/>
        <v>-1895702.7596676263</v>
      </c>
      <c r="DD440" s="109">
        <f t="shared" si="192"/>
        <v>0</v>
      </c>
      <c r="DF440" s="58">
        <f t="array" ref="DF440">SUM(IF(DC440:DD440&gt;=DC440, 1))</f>
        <v>2</v>
      </c>
      <c r="DG440" s="58">
        <f t="array" ref="DG440">SUM(IF(DC440:DD440&gt;=DD440, 1))</f>
        <v>1</v>
      </c>
      <c r="DI440" s="109">
        <f t="shared" si="193"/>
        <v>-29115984.168336667</v>
      </c>
      <c r="DJ440" s="109">
        <f t="shared" si="194"/>
        <v>0</v>
      </c>
      <c r="DL440" s="58">
        <f t="array" ref="DL440">SUM(IF(DI440:DJ440&gt;=DI440, 1))</f>
        <v>2</v>
      </c>
      <c r="DM440" s="58">
        <f t="array" ref="DM440">SUM(IF(DI440:DJ440&gt;=DJ440, 1))</f>
        <v>1</v>
      </c>
      <c r="DO440" s="109">
        <f t="shared" si="195"/>
        <v>-11548624.202481976</v>
      </c>
      <c r="DP440" s="109">
        <f t="shared" si="196"/>
        <v>0</v>
      </c>
      <c r="DR440" s="58">
        <f t="array" ref="DR440">SUM(IF(DO440:DP440&gt;=DO440, 1))</f>
        <v>2</v>
      </c>
      <c r="DS440" s="58">
        <f t="array" ref="DS440">SUM(IF(DO440:DP440&gt;=DP440, 1))</f>
        <v>1</v>
      </c>
      <c r="DU440" s="109">
        <f t="shared" si="197"/>
        <v>-35607659.417267807</v>
      </c>
      <c r="DV440" s="109">
        <f t="shared" si="198"/>
        <v>0</v>
      </c>
      <c r="DX440" s="58">
        <f t="array" ref="DX440">SUM(IF(DU440:DV440&gt;=DU440, 1))</f>
        <v>2</v>
      </c>
      <c r="DY440" s="58">
        <f t="array" ref="DY440">SUM(IF(DU440:DV440&gt;=DV440, 1))</f>
        <v>1</v>
      </c>
      <c r="EA440" s="109">
        <f t="shared" si="199"/>
        <v>-113909163.64640263</v>
      </c>
      <c r="EB440" s="109">
        <f t="shared" si="200"/>
        <v>0</v>
      </c>
      <c r="ED440" s="58">
        <f t="array" ref="ED440">SUM(IF(EA440:EB440&gt;=EA440, 1))</f>
        <v>2</v>
      </c>
      <c r="EE440" s="58">
        <f t="array" ref="EE440">SUM(IF(EA440:EB440&gt;=EB440, 1))</f>
        <v>1</v>
      </c>
    </row>
    <row r="441" spans="4:135" ht="12" customHeight="1" x14ac:dyDescent="0.25">
      <c r="D441" s="11">
        <v>425</v>
      </c>
      <c r="E441" s="72">
        <v>233.55601777698215</v>
      </c>
      <c r="F441" s="72">
        <v>214.46592071130007</v>
      </c>
      <c r="G441" s="73"/>
      <c r="H441" s="74">
        <v>5.7944554065249987</v>
      </c>
      <c r="I441" s="74">
        <v>5.8125485476989134</v>
      </c>
      <c r="J441" s="73"/>
      <c r="K441" s="72">
        <v>250.87492338967462</v>
      </c>
      <c r="L441" s="72">
        <v>231.28348139657186</v>
      </c>
      <c r="M441" s="73"/>
      <c r="N441" s="74">
        <v>6.7358636713840516</v>
      </c>
      <c r="O441" s="74">
        <v>6.7508353098112188</v>
      </c>
      <c r="P441" s="73"/>
      <c r="Q441" s="72">
        <v>1879.8063013054293</v>
      </c>
      <c r="R441" s="72">
        <v>1277.1345088587368</v>
      </c>
      <c r="S441" s="73"/>
      <c r="T441" s="74">
        <v>4.6976205832022355</v>
      </c>
      <c r="U441" s="74">
        <v>4.7620814373218909</v>
      </c>
      <c r="V441" s="73"/>
      <c r="W441" s="72">
        <v>20162.517616967263</v>
      </c>
      <c r="X441" s="72">
        <v>20084.142446227317</v>
      </c>
      <c r="Y441" s="73"/>
      <c r="Z441" s="74">
        <v>3.0400097364661187</v>
      </c>
      <c r="AA441" s="74">
        <v>3.0742527470341061</v>
      </c>
      <c r="AB441" s="73"/>
      <c r="AC441" s="72">
        <v>49832.552336554822</v>
      </c>
      <c r="AD441" s="72">
        <v>49808.303689852059</v>
      </c>
      <c r="AE441" s="73"/>
      <c r="AF441" s="74">
        <v>4.8902307616673344</v>
      </c>
      <c r="AG441" s="74">
        <v>4.9318375510809185</v>
      </c>
      <c r="AH441" s="73"/>
      <c r="AI441" s="72">
        <v>2050165.799049838</v>
      </c>
      <c r="AJ441" s="72">
        <v>0</v>
      </c>
      <c r="AK441" s="73"/>
      <c r="AL441" s="74">
        <v>-1943.0985135651015</v>
      </c>
      <c r="AM441" s="74">
        <v>0</v>
      </c>
      <c r="AN441" s="73"/>
      <c r="AO441" s="72">
        <v>138918.07557465672</v>
      </c>
      <c r="AP441" s="72">
        <v>0</v>
      </c>
      <c r="AQ441" s="73"/>
      <c r="AR441" s="74">
        <v>-106.16018970088368</v>
      </c>
      <c r="AS441" s="74">
        <v>0</v>
      </c>
      <c r="AT441" s="73"/>
      <c r="AU441" s="72">
        <v>14112755.680132542</v>
      </c>
      <c r="AV441" s="72">
        <v>0</v>
      </c>
      <c r="AW441" s="73"/>
      <c r="AX441" s="74">
        <v>-1509.4787851778024</v>
      </c>
      <c r="AY441" s="74">
        <v>0</v>
      </c>
      <c r="AZ441" s="73"/>
      <c r="BA441" s="72">
        <v>687955.24221683329</v>
      </c>
      <c r="BB441" s="72">
        <v>0</v>
      </c>
      <c r="BC441" s="73"/>
      <c r="BD441" s="74">
        <v>-300.57553185688369</v>
      </c>
      <c r="BE441" s="74">
        <v>0</v>
      </c>
      <c r="BF441" s="73"/>
      <c r="BG441" s="72">
        <v>386002.75501299492</v>
      </c>
      <c r="BH441" s="72">
        <v>0</v>
      </c>
      <c r="BI441" s="73"/>
      <c r="BJ441" s="74">
        <v>-662.31883113951392</v>
      </c>
      <c r="BK441" s="74">
        <v>0</v>
      </c>
      <c r="BL441" s="73"/>
      <c r="BM441" s="72">
        <v>17375797.551986866</v>
      </c>
      <c r="BN441" s="72">
        <v>0</v>
      </c>
      <c r="BO441" s="73"/>
      <c r="BP441" s="74">
        <v>-4521.6318514401855</v>
      </c>
      <c r="BQ441" s="74">
        <v>0</v>
      </c>
      <c r="BS441" s="109">
        <f t="shared" si="180"/>
        <v>115655.55211272299</v>
      </c>
      <c r="BT441" s="109">
        <f t="shared" si="181"/>
        <v>116036.50503326696</v>
      </c>
      <c r="BV441" s="58">
        <f t="array" ref="BV441">SUM(IF(BS441:BT441&gt;=BS441, 1))</f>
        <v>2</v>
      </c>
      <c r="BW441" s="58">
        <f t="array" ref="BW441">SUM(IF(BS441:BT441&gt;=BT441, 1))</f>
        <v>1</v>
      </c>
      <c r="BY441" s="109">
        <f t="shared" si="182"/>
        <v>134466.39850429137</v>
      </c>
      <c r="BZ441" s="109">
        <f t="shared" si="183"/>
        <v>134785.42271482782</v>
      </c>
      <c r="CB441" s="58">
        <f t="array" ref="CB441">SUM(IF(BY441:BZ441&gt;=BY441, 1))</f>
        <v>2</v>
      </c>
      <c r="CC441" s="58">
        <f t="array" ref="CC441">SUM(IF(BY441:BZ441&gt;=BZ441, 1))</f>
        <v>1</v>
      </c>
      <c r="CE441" s="109">
        <f t="shared" si="184"/>
        <v>92072.605362739283</v>
      </c>
      <c r="CF441" s="109">
        <f t="shared" si="185"/>
        <v>93964.494237579085</v>
      </c>
      <c r="CH441" s="58">
        <f t="array" ref="CH441">SUM(IF(CE441:CF441&gt;=CE441, 1))</f>
        <v>2</v>
      </c>
      <c r="CI441" s="58">
        <f t="array" ref="CI441">SUM(IF(CE441:CF441&gt;=CF441, 1))</f>
        <v>1</v>
      </c>
      <c r="CK441" s="109">
        <f t="shared" si="186"/>
        <v>40637.677112355108</v>
      </c>
      <c r="CL441" s="109">
        <f t="shared" si="187"/>
        <v>41400.912494454809</v>
      </c>
      <c r="CN441" s="58">
        <f t="array" ref="CN441">SUM(IF(CK441:CL441&gt;=CK441, 1))</f>
        <v>2</v>
      </c>
      <c r="CO441" s="58">
        <f t="array" ref="CO441">SUM(IF(CK441:CL441&gt;=CL441, 1))</f>
        <v>1</v>
      </c>
      <c r="CQ441" s="109" cm="1">
        <f t="array" ref="CQ441">AF441*WTP-AC441</f>
        <v>47972.062896791867</v>
      </c>
      <c r="CR441" s="109">
        <f t="shared" si="188"/>
        <v>48828.447331766314</v>
      </c>
      <c r="CT441" s="58">
        <f t="array" ref="CT441">SUM(IF(CQ441:CR441&gt;=CQ441, 1))</f>
        <v>2</v>
      </c>
      <c r="CU441" s="58">
        <f t="array" ref="CU441">SUM(IF(CQ441:CR441&gt;=CR441, 1))</f>
        <v>1</v>
      </c>
      <c r="CW441" s="109">
        <f t="shared" si="189"/>
        <v>-40912136.070351869</v>
      </c>
      <c r="CX441" s="109">
        <f t="shared" si="190"/>
        <v>0</v>
      </c>
      <c r="CZ441" s="58">
        <f t="array" ref="CZ441">SUM(IF(CW441:CX441&gt;=CW441, 1))</f>
        <v>2</v>
      </c>
      <c r="DA441" s="58">
        <f t="array" ref="DA441">SUM(IF(CW441:CX441&gt;=CX441, 1))</f>
        <v>1</v>
      </c>
      <c r="DC441" s="109">
        <f t="shared" si="191"/>
        <v>-2262121.8695923304</v>
      </c>
      <c r="DD441" s="109">
        <f t="shared" si="192"/>
        <v>0</v>
      </c>
      <c r="DF441" s="58">
        <f t="array" ref="DF441">SUM(IF(DC441:DD441&gt;=DC441, 1))</f>
        <v>2</v>
      </c>
      <c r="DG441" s="58">
        <f t="array" ref="DG441">SUM(IF(DC441:DD441&gt;=DD441, 1))</f>
        <v>1</v>
      </c>
      <c r="DI441" s="109">
        <f t="shared" si="193"/>
        <v>-44302331.383688584</v>
      </c>
      <c r="DJ441" s="109">
        <f t="shared" si="194"/>
        <v>0</v>
      </c>
      <c r="DL441" s="58">
        <f t="array" ref="DL441">SUM(IF(DI441:DJ441&gt;=DI441, 1))</f>
        <v>2</v>
      </c>
      <c r="DM441" s="58">
        <f t="array" ref="DM441">SUM(IF(DI441:DJ441&gt;=DJ441, 1))</f>
        <v>1</v>
      </c>
      <c r="DO441" s="109">
        <f t="shared" si="195"/>
        <v>-6699465.8793545067</v>
      </c>
      <c r="DP441" s="109">
        <f t="shared" si="196"/>
        <v>0</v>
      </c>
      <c r="DR441" s="58">
        <f t="array" ref="DR441">SUM(IF(DO441:DP441&gt;=DO441, 1))</f>
        <v>2</v>
      </c>
      <c r="DS441" s="58">
        <f t="array" ref="DS441">SUM(IF(DO441:DP441&gt;=DP441, 1))</f>
        <v>1</v>
      </c>
      <c r="DU441" s="109">
        <f t="shared" si="197"/>
        <v>-13632379.377803273</v>
      </c>
      <c r="DV441" s="109">
        <f t="shared" si="198"/>
        <v>0</v>
      </c>
      <c r="DX441" s="58">
        <f t="array" ref="DX441">SUM(IF(DU441:DV441&gt;=DU441, 1))</f>
        <v>2</v>
      </c>
      <c r="DY441" s="58">
        <f t="array" ref="DY441">SUM(IF(DU441:DV441&gt;=DV441, 1))</f>
        <v>1</v>
      </c>
      <c r="EA441" s="109">
        <f t="shared" si="199"/>
        <v>-107808434.58079058</v>
      </c>
      <c r="EB441" s="109">
        <f t="shared" si="200"/>
        <v>0</v>
      </c>
      <c r="ED441" s="58">
        <f t="array" ref="ED441">SUM(IF(EA441:EB441&gt;=EA441, 1))</f>
        <v>2</v>
      </c>
      <c r="EE441" s="58">
        <f t="array" ref="EE441">SUM(IF(EA441:EB441&gt;=EB441, 1))</f>
        <v>1</v>
      </c>
    </row>
    <row r="442" spans="4:135" ht="12" customHeight="1" x14ac:dyDescent="0.25">
      <c r="D442" s="11">
        <v>426</v>
      </c>
      <c r="E442" s="72">
        <v>230.80931650650967</v>
      </c>
      <c r="F442" s="72">
        <v>202.97793884096484</v>
      </c>
      <c r="G442" s="73"/>
      <c r="H442" s="74">
        <v>5.8421441520711141</v>
      </c>
      <c r="I442" s="74">
        <v>5.8621411283178153</v>
      </c>
      <c r="J442" s="73"/>
      <c r="K442" s="72">
        <v>247.33821300953778</v>
      </c>
      <c r="L442" s="72">
        <v>218.82824836584322</v>
      </c>
      <c r="M442" s="73"/>
      <c r="N442" s="74">
        <v>6.7143586592497471</v>
      </c>
      <c r="O442" s="74">
        <v>6.7319262815831733</v>
      </c>
      <c r="P442" s="73"/>
      <c r="Q442" s="72">
        <v>2896.5146078626822</v>
      </c>
      <c r="R442" s="72">
        <v>1415.7729971625747</v>
      </c>
      <c r="S442" s="73"/>
      <c r="T442" s="74">
        <v>4.8828838546305553</v>
      </c>
      <c r="U442" s="74">
        <v>4.993781634042854</v>
      </c>
      <c r="V442" s="73"/>
      <c r="W442" s="72">
        <v>10168.818859004927</v>
      </c>
      <c r="X442" s="72">
        <v>10114.291403432444</v>
      </c>
      <c r="Y442" s="73"/>
      <c r="Z442" s="74">
        <v>3.1164027902005609</v>
      </c>
      <c r="AA442" s="74">
        <v>3.1493492132906913</v>
      </c>
      <c r="AB442" s="73"/>
      <c r="AC442" s="72">
        <v>50124.309363982924</v>
      </c>
      <c r="AD442" s="72">
        <v>50162.696054646527</v>
      </c>
      <c r="AE442" s="73"/>
      <c r="AF442" s="74">
        <v>4.4548185774259874</v>
      </c>
      <c r="AG442" s="74">
        <v>4.482515354335181</v>
      </c>
      <c r="AH442" s="73"/>
      <c r="AI442" s="72">
        <v>3012738.9899296225</v>
      </c>
      <c r="AJ442" s="72">
        <v>0</v>
      </c>
      <c r="AK442" s="73"/>
      <c r="AL442" s="74">
        <v>-2164.6671876296323</v>
      </c>
      <c r="AM442" s="74">
        <v>0</v>
      </c>
      <c r="AN442" s="73"/>
      <c r="AO442" s="72">
        <v>197695.15447883413</v>
      </c>
      <c r="AP442" s="72">
        <v>0</v>
      </c>
      <c r="AQ442" s="73"/>
      <c r="AR442" s="74">
        <v>-121.81824335585887</v>
      </c>
      <c r="AS442" s="74">
        <v>0</v>
      </c>
      <c r="AT442" s="73"/>
      <c r="AU442" s="72">
        <v>33710069.960409738</v>
      </c>
      <c r="AV442" s="72">
        <v>0</v>
      </c>
      <c r="AW442" s="73"/>
      <c r="AX442" s="74">
        <v>-2524.6618825516375</v>
      </c>
      <c r="AY442" s="74">
        <v>0</v>
      </c>
      <c r="AZ442" s="73"/>
      <c r="BA442" s="72">
        <v>498189.4567214353</v>
      </c>
      <c r="BB442" s="72">
        <v>0</v>
      </c>
      <c r="BC442" s="73"/>
      <c r="BD442" s="74">
        <v>-301.01460718936829</v>
      </c>
      <c r="BE442" s="74">
        <v>0</v>
      </c>
      <c r="BF442" s="73"/>
      <c r="BG442" s="72">
        <v>-613484.73065126559</v>
      </c>
      <c r="BH442" s="72">
        <v>0</v>
      </c>
      <c r="BI442" s="73"/>
      <c r="BJ442" s="74">
        <v>-442.64169242793355</v>
      </c>
      <c r="BK442" s="74">
        <v>0</v>
      </c>
      <c r="BL442" s="73"/>
      <c r="BM442" s="72">
        <v>36805208.830888361</v>
      </c>
      <c r="BN442" s="72">
        <v>0</v>
      </c>
      <c r="BO442" s="73"/>
      <c r="BP442" s="74">
        <v>-5554.8036131544313</v>
      </c>
      <c r="BQ442" s="74">
        <v>0</v>
      </c>
      <c r="BS442" s="109">
        <f t="shared" si="180"/>
        <v>116612.07372491578</v>
      </c>
      <c r="BT442" s="109">
        <f t="shared" si="181"/>
        <v>117039.84462751534</v>
      </c>
      <c r="BV442" s="58">
        <f t="array" ref="BV442">SUM(IF(BS442:BT442&gt;=BS442, 1))</f>
        <v>2</v>
      </c>
      <c r="BW442" s="58">
        <f t="array" ref="BW442">SUM(IF(BS442:BT442&gt;=BT442, 1))</f>
        <v>1</v>
      </c>
      <c r="BY442" s="109">
        <f t="shared" si="182"/>
        <v>134039.8349719854</v>
      </c>
      <c r="BZ442" s="109">
        <f t="shared" si="183"/>
        <v>134419.69738329764</v>
      </c>
      <c r="CB442" s="58">
        <f t="array" ref="CB442">SUM(IF(BY442:BZ442&gt;=BY442, 1))</f>
        <v>2</v>
      </c>
      <c r="CC442" s="58">
        <f t="array" ref="CC442">SUM(IF(BY442:BZ442&gt;=BZ442, 1))</f>
        <v>1</v>
      </c>
      <c r="CE442" s="109">
        <f t="shared" si="184"/>
        <v>94761.16248474842</v>
      </c>
      <c r="CF442" s="109">
        <f t="shared" si="185"/>
        <v>98459.859683694493</v>
      </c>
      <c r="CH442" s="58">
        <f t="array" ref="CH442">SUM(IF(CE442:CF442&gt;=CE442, 1))</f>
        <v>2</v>
      </c>
      <c r="CI442" s="58">
        <f t="array" ref="CI442">SUM(IF(CE442:CF442&gt;=CF442, 1))</f>
        <v>1</v>
      </c>
      <c r="CK442" s="109">
        <f t="shared" si="186"/>
        <v>52159.236945006291</v>
      </c>
      <c r="CL442" s="109">
        <f t="shared" si="187"/>
        <v>52872.69286238138</v>
      </c>
      <c r="CN442" s="58">
        <f t="array" ref="CN442">SUM(IF(CK442:CL442&gt;=CK442, 1))</f>
        <v>2</v>
      </c>
      <c r="CO442" s="58">
        <f t="array" ref="CO442">SUM(IF(CK442:CL442&gt;=CL442, 1))</f>
        <v>1</v>
      </c>
      <c r="CQ442" s="109" cm="1">
        <f t="array" ref="CQ442">AF442*WTP-AC442</f>
        <v>38972.062184536822</v>
      </c>
      <c r="CR442" s="109">
        <f t="shared" si="188"/>
        <v>39487.611032057088</v>
      </c>
      <c r="CT442" s="58">
        <f t="array" ref="CT442">SUM(IF(CQ442:CR442&gt;=CQ442, 1))</f>
        <v>2</v>
      </c>
      <c r="CU442" s="58">
        <f t="array" ref="CU442">SUM(IF(CQ442:CR442&gt;=CR442, 1))</f>
        <v>1</v>
      </c>
      <c r="CW442" s="109">
        <f t="shared" si="189"/>
        <v>-46306082.742522269</v>
      </c>
      <c r="CX442" s="109">
        <f t="shared" si="190"/>
        <v>0</v>
      </c>
      <c r="CZ442" s="58">
        <f t="array" ref="CZ442">SUM(IF(CW442:CX442&gt;=CW442, 1))</f>
        <v>2</v>
      </c>
      <c r="DA442" s="58">
        <f t="array" ref="DA442">SUM(IF(CW442:CX442&gt;=CX442, 1))</f>
        <v>1</v>
      </c>
      <c r="DC442" s="109">
        <f t="shared" si="191"/>
        <v>-2634060.0215960112</v>
      </c>
      <c r="DD442" s="109">
        <f t="shared" si="192"/>
        <v>0</v>
      </c>
      <c r="DF442" s="58">
        <f t="array" ref="DF442">SUM(IF(DC442:DD442&gt;=DC442, 1))</f>
        <v>2</v>
      </c>
      <c r="DG442" s="58">
        <f t="array" ref="DG442">SUM(IF(DC442:DD442&gt;=DD442, 1))</f>
        <v>1</v>
      </c>
      <c r="DI442" s="109">
        <f t="shared" si="193"/>
        <v>-84203307.611442491</v>
      </c>
      <c r="DJ442" s="109">
        <f t="shared" si="194"/>
        <v>0</v>
      </c>
      <c r="DL442" s="58">
        <f t="array" ref="DL442">SUM(IF(DI442:DJ442&gt;=DI442, 1))</f>
        <v>2</v>
      </c>
      <c r="DM442" s="58">
        <f t="array" ref="DM442">SUM(IF(DI442:DJ442&gt;=DJ442, 1))</f>
        <v>1</v>
      </c>
      <c r="DO442" s="109">
        <f t="shared" si="195"/>
        <v>-6518481.6005088007</v>
      </c>
      <c r="DP442" s="109">
        <f t="shared" si="196"/>
        <v>0</v>
      </c>
      <c r="DR442" s="58">
        <f t="array" ref="DR442">SUM(IF(DO442:DP442&gt;=DO442, 1))</f>
        <v>2</v>
      </c>
      <c r="DS442" s="58">
        <f t="array" ref="DS442">SUM(IF(DO442:DP442&gt;=DP442, 1))</f>
        <v>1</v>
      </c>
      <c r="DU442" s="109">
        <f t="shared" si="197"/>
        <v>-8239349.1179074058</v>
      </c>
      <c r="DV442" s="109">
        <f t="shared" si="198"/>
        <v>0</v>
      </c>
      <c r="DX442" s="58">
        <f t="array" ref="DX442">SUM(IF(DU442:DV442&gt;=DU442, 1))</f>
        <v>2</v>
      </c>
      <c r="DY442" s="58">
        <f t="array" ref="DY442">SUM(IF(DU442:DV442&gt;=DV442, 1))</f>
        <v>1</v>
      </c>
      <c r="EA442" s="109">
        <f t="shared" si="199"/>
        <v>-147901281.09397697</v>
      </c>
      <c r="EB442" s="109">
        <f t="shared" si="200"/>
        <v>0</v>
      </c>
      <c r="ED442" s="58">
        <f t="array" ref="ED442">SUM(IF(EA442:EB442&gt;=EA442, 1))</f>
        <v>2</v>
      </c>
      <c r="EE442" s="58">
        <f t="array" ref="EE442">SUM(IF(EA442:EB442&gt;=EB442, 1))</f>
        <v>1</v>
      </c>
    </row>
    <row r="443" spans="4:135" ht="12" customHeight="1" x14ac:dyDescent="0.25">
      <c r="D443" s="11">
        <v>427</v>
      </c>
      <c r="E443" s="72">
        <v>248.82825533448411</v>
      </c>
      <c r="F443" s="72">
        <v>217.7956745324648</v>
      </c>
      <c r="G443" s="73"/>
      <c r="H443" s="74">
        <v>5.7603741463416336</v>
      </c>
      <c r="I443" s="74">
        <v>5.7824331177707995</v>
      </c>
      <c r="J443" s="73"/>
      <c r="K443" s="72">
        <v>266.64575088277013</v>
      </c>
      <c r="L443" s="72">
        <v>234.88233685157314</v>
      </c>
      <c r="M443" s="73"/>
      <c r="N443" s="74">
        <v>6.7533604221131185</v>
      </c>
      <c r="O443" s="74">
        <v>6.7734791074413829</v>
      </c>
      <c r="P443" s="73"/>
      <c r="Q443" s="72">
        <v>2224.1492616246346</v>
      </c>
      <c r="R443" s="72">
        <v>1521.4176055324497</v>
      </c>
      <c r="S443" s="73"/>
      <c r="T443" s="74">
        <v>4.7727920737140481</v>
      </c>
      <c r="U443" s="74">
        <v>4.82677492967301</v>
      </c>
      <c r="V443" s="73"/>
      <c r="W443" s="72">
        <v>11672.099131034342</v>
      </c>
      <c r="X443" s="72">
        <v>11670.842102227341</v>
      </c>
      <c r="Y443" s="73"/>
      <c r="Z443" s="74">
        <v>2.9766022240574488</v>
      </c>
      <c r="AA443" s="74">
        <v>3.0259486247443852</v>
      </c>
      <c r="AB443" s="73"/>
      <c r="AC443" s="72">
        <v>49173.054491219416</v>
      </c>
      <c r="AD443" s="72">
        <v>49175.448231527451</v>
      </c>
      <c r="AE443" s="73"/>
      <c r="AF443" s="74">
        <v>4.2917201712944184</v>
      </c>
      <c r="AG443" s="74">
        <v>4.3627854991265487</v>
      </c>
      <c r="AH443" s="73"/>
      <c r="AI443" s="72">
        <v>3343719.6068339352</v>
      </c>
      <c r="AJ443" s="72">
        <v>0</v>
      </c>
      <c r="AK443" s="73"/>
      <c r="AL443" s="74">
        <v>-2376.8250454210397</v>
      </c>
      <c r="AM443" s="74">
        <v>0</v>
      </c>
      <c r="AN443" s="73"/>
      <c r="AO443" s="72">
        <v>225503.21682208782</v>
      </c>
      <c r="AP443" s="72">
        <v>0</v>
      </c>
      <c r="AQ443" s="73"/>
      <c r="AR443" s="74">
        <v>-142.83188372947092</v>
      </c>
      <c r="AS443" s="74">
        <v>0</v>
      </c>
      <c r="AT443" s="73"/>
      <c r="AU443" s="72">
        <v>16305616.335787801</v>
      </c>
      <c r="AV443" s="72">
        <v>0</v>
      </c>
      <c r="AW443" s="73"/>
      <c r="AX443" s="74">
        <v>-1252.5744789579546</v>
      </c>
      <c r="AY443" s="74">
        <v>0</v>
      </c>
      <c r="AZ443" s="73"/>
      <c r="BA443" s="72">
        <v>11142.195355383446</v>
      </c>
      <c r="BB443" s="72">
        <v>0</v>
      </c>
      <c r="BC443" s="73"/>
      <c r="BD443" s="74">
        <v>-437.40225639779703</v>
      </c>
      <c r="BE443" s="74">
        <v>0</v>
      </c>
      <c r="BF443" s="73"/>
      <c r="BG443" s="72">
        <v>-37277.29968095068</v>
      </c>
      <c r="BH443" s="72">
        <v>0</v>
      </c>
      <c r="BI443" s="73"/>
      <c r="BJ443" s="74">
        <v>-1106.687936712131</v>
      </c>
      <c r="BK443" s="74">
        <v>0</v>
      </c>
      <c r="BL443" s="73"/>
      <c r="BM443" s="72">
        <v>19848704.055118255</v>
      </c>
      <c r="BN443" s="72">
        <v>0</v>
      </c>
      <c r="BO443" s="73"/>
      <c r="BP443" s="74">
        <v>-5316.321601218393</v>
      </c>
      <c r="BQ443" s="74">
        <v>0</v>
      </c>
      <c r="BS443" s="109">
        <f t="shared" si="180"/>
        <v>114958.65467149818</v>
      </c>
      <c r="BT443" s="109">
        <f t="shared" si="181"/>
        <v>115430.86668088353</v>
      </c>
      <c r="BV443" s="58">
        <f t="array" ref="BV443">SUM(IF(BS443:BT443&gt;=BS443, 1))</f>
        <v>2</v>
      </c>
      <c r="BW443" s="58">
        <f t="array" ref="BW443">SUM(IF(BS443:BT443&gt;=BT443, 1))</f>
        <v>1</v>
      </c>
      <c r="BY443" s="109">
        <f t="shared" si="182"/>
        <v>134800.5626913796</v>
      </c>
      <c r="BZ443" s="109">
        <f t="shared" si="183"/>
        <v>135234.69981197611</v>
      </c>
      <c r="CB443" s="58">
        <f t="array" ref="CB443">SUM(IF(BY443:BZ443&gt;=BY443, 1))</f>
        <v>2</v>
      </c>
      <c r="CC443" s="58">
        <f t="array" ref="CC443">SUM(IF(BY443:BZ443&gt;=BZ443, 1))</f>
        <v>1</v>
      </c>
      <c r="CE443" s="109">
        <f t="shared" si="184"/>
        <v>93231.69221265633</v>
      </c>
      <c r="CF443" s="109">
        <f t="shared" si="185"/>
        <v>95014.080987927751</v>
      </c>
      <c r="CH443" s="58">
        <f t="array" ref="CH443">SUM(IF(CE443:CF443&gt;=CE443, 1))</f>
        <v>2</v>
      </c>
      <c r="CI443" s="58">
        <f t="array" ref="CI443">SUM(IF(CE443:CF443&gt;=CF443, 1))</f>
        <v>1</v>
      </c>
      <c r="CK443" s="109">
        <f t="shared" si="186"/>
        <v>47859.945350114634</v>
      </c>
      <c r="CL443" s="109">
        <f t="shared" si="187"/>
        <v>48848.130392660365</v>
      </c>
      <c r="CN443" s="58">
        <f t="array" ref="CN443">SUM(IF(CK443:CL443&gt;=CK443, 1))</f>
        <v>2</v>
      </c>
      <c r="CO443" s="58">
        <f t="array" ref="CO443">SUM(IF(CK443:CL443&gt;=CL443, 1))</f>
        <v>1</v>
      </c>
      <c r="CQ443" s="109" cm="1">
        <f t="array" ref="CQ443">AF443*WTP-AC443</f>
        <v>36661.348934668946</v>
      </c>
      <c r="CR443" s="109">
        <f t="shared" si="188"/>
        <v>38080.26175100352</v>
      </c>
      <c r="CT443" s="58">
        <f t="array" ref="CT443">SUM(IF(CQ443:CR443&gt;=CQ443, 1))</f>
        <v>2</v>
      </c>
      <c r="CU443" s="58">
        <f t="array" ref="CU443">SUM(IF(CQ443:CR443&gt;=CR443, 1))</f>
        <v>1</v>
      </c>
      <c r="CW443" s="109">
        <f t="shared" si="189"/>
        <v>-50880220.515254728</v>
      </c>
      <c r="CX443" s="109">
        <f t="shared" si="190"/>
        <v>0</v>
      </c>
      <c r="CZ443" s="58">
        <f t="array" ref="CZ443">SUM(IF(CW443:CX443&gt;=CW443, 1))</f>
        <v>2</v>
      </c>
      <c r="DA443" s="58">
        <f t="array" ref="DA443">SUM(IF(CW443:CX443&gt;=CX443, 1))</f>
        <v>1</v>
      </c>
      <c r="DC443" s="109">
        <f t="shared" si="191"/>
        <v>-3082140.8914115061</v>
      </c>
      <c r="DD443" s="109">
        <f t="shared" si="192"/>
        <v>0</v>
      </c>
      <c r="DF443" s="58">
        <f t="array" ref="DF443">SUM(IF(DC443:DD443&gt;=DC443, 1))</f>
        <v>2</v>
      </c>
      <c r="DG443" s="58">
        <f t="array" ref="DG443">SUM(IF(DC443:DD443&gt;=DD443, 1))</f>
        <v>1</v>
      </c>
      <c r="DI443" s="109">
        <f t="shared" si="193"/>
        <v>-41357105.914946891</v>
      </c>
      <c r="DJ443" s="109">
        <f t="shared" si="194"/>
        <v>0</v>
      </c>
      <c r="DL443" s="58">
        <f t="array" ref="DL443">SUM(IF(DI443:DJ443&gt;=DI443, 1))</f>
        <v>2</v>
      </c>
      <c r="DM443" s="58">
        <f t="array" ref="DM443">SUM(IF(DI443:DJ443&gt;=DJ443, 1))</f>
        <v>1</v>
      </c>
      <c r="DO443" s="109">
        <f t="shared" si="195"/>
        <v>-8759187.3233113252</v>
      </c>
      <c r="DP443" s="109">
        <f t="shared" si="196"/>
        <v>0</v>
      </c>
      <c r="DR443" s="58">
        <f t="array" ref="DR443">SUM(IF(DO443:DP443&gt;=DO443, 1))</f>
        <v>2</v>
      </c>
      <c r="DS443" s="58">
        <f t="array" ref="DS443">SUM(IF(DO443:DP443&gt;=DP443, 1))</f>
        <v>1</v>
      </c>
      <c r="DU443" s="109">
        <f t="shared" si="197"/>
        <v>-22096481.434561666</v>
      </c>
      <c r="DV443" s="109">
        <f t="shared" si="198"/>
        <v>0</v>
      </c>
      <c r="DX443" s="58">
        <f t="array" ref="DX443">SUM(IF(DU443:DV443&gt;=DU443, 1))</f>
        <v>2</v>
      </c>
      <c r="DY443" s="58">
        <f t="array" ref="DY443">SUM(IF(DU443:DV443&gt;=DV443, 1))</f>
        <v>1</v>
      </c>
      <c r="EA443" s="109">
        <f t="shared" si="199"/>
        <v>-126175136.0794861</v>
      </c>
      <c r="EB443" s="109">
        <f t="shared" si="200"/>
        <v>0</v>
      </c>
      <c r="ED443" s="58">
        <f t="array" ref="ED443">SUM(IF(EA443:EB443&gt;=EA443, 1))</f>
        <v>2</v>
      </c>
      <c r="EE443" s="58">
        <f t="array" ref="EE443">SUM(IF(EA443:EB443&gt;=EB443, 1))</f>
        <v>1</v>
      </c>
    </row>
    <row r="444" spans="4:135" ht="12" customHeight="1" x14ac:dyDescent="0.25">
      <c r="D444" s="11">
        <v>428</v>
      </c>
      <c r="E444" s="72">
        <v>250.03385528789738</v>
      </c>
      <c r="F444" s="72">
        <v>224.37014050361671</v>
      </c>
      <c r="G444" s="73"/>
      <c r="H444" s="74">
        <v>5.8313091853845966</v>
      </c>
      <c r="I444" s="74">
        <v>5.8492924221102225</v>
      </c>
      <c r="J444" s="73"/>
      <c r="K444" s="72">
        <v>268.20133573747376</v>
      </c>
      <c r="L444" s="72">
        <v>241.94544914094848</v>
      </c>
      <c r="M444" s="73"/>
      <c r="N444" s="74">
        <v>6.6963127691952291</v>
      </c>
      <c r="O444" s="74">
        <v>6.712555291326912</v>
      </c>
      <c r="P444" s="73"/>
      <c r="Q444" s="72">
        <v>3105.8994380522959</v>
      </c>
      <c r="R444" s="72">
        <v>1685.0735332635181</v>
      </c>
      <c r="S444" s="73"/>
      <c r="T444" s="74">
        <v>4.8216406034421411</v>
      </c>
      <c r="U444" s="74">
        <v>4.9039043103522406</v>
      </c>
      <c r="V444" s="73"/>
      <c r="W444" s="72">
        <v>13857.320145188405</v>
      </c>
      <c r="X444" s="72">
        <v>13939.893289433925</v>
      </c>
      <c r="Y444" s="73"/>
      <c r="Z444" s="74">
        <v>3.1349730227216162</v>
      </c>
      <c r="AA444" s="74">
        <v>3.1988529274542667</v>
      </c>
      <c r="AB444" s="73"/>
      <c r="AC444" s="72">
        <v>49806.194223685714</v>
      </c>
      <c r="AD444" s="72">
        <v>49380.553387666609</v>
      </c>
      <c r="AE444" s="73"/>
      <c r="AF444" s="74">
        <v>4.9441989853640269</v>
      </c>
      <c r="AG444" s="74">
        <v>5.0722190609123405</v>
      </c>
      <c r="AH444" s="73"/>
      <c r="AI444" s="72">
        <v>2758734.4350668048</v>
      </c>
      <c r="AJ444" s="72">
        <v>0</v>
      </c>
      <c r="AK444" s="73"/>
      <c r="AL444" s="74">
        <v>-1933.1174315937051</v>
      </c>
      <c r="AM444" s="74">
        <v>0</v>
      </c>
      <c r="AN444" s="73"/>
      <c r="AO444" s="72">
        <v>180325.21336106147</v>
      </c>
      <c r="AP444" s="72">
        <v>0</v>
      </c>
      <c r="AQ444" s="73"/>
      <c r="AR444" s="74">
        <v>-111.55350851131016</v>
      </c>
      <c r="AS444" s="74">
        <v>0</v>
      </c>
      <c r="AT444" s="73"/>
      <c r="AU444" s="72">
        <v>33154954.551811028</v>
      </c>
      <c r="AV444" s="72">
        <v>0</v>
      </c>
      <c r="AW444" s="73"/>
      <c r="AX444" s="74">
        <v>-1919.6225622542545</v>
      </c>
      <c r="AY444" s="74">
        <v>0</v>
      </c>
      <c r="AZ444" s="73"/>
      <c r="BA444" s="72">
        <v>-742534.13622323016</v>
      </c>
      <c r="BB444" s="72">
        <v>0</v>
      </c>
      <c r="BC444" s="73"/>
      <c r="BD444" s="74">
        <v>-574.43628090079051</v>
      </c>
      <c r="BE444" s="74">
        <v>0</v>
      </c>
      <c r="BF444" s="73"/>
      <c r="BG444" s="72">
        <v>6760889.0838448452</v>
      </c>
      <c r="BH444" s="72">
        <v>0</v>
      </c>
      <c r="BI444" s="73"/>
      <c r="BJ444" s="74">
        <v>-2033.4739011008232</v>
      </c>
      <c r="BK444" s="74">
        <v>0</v>
      </c>
      <c r="BL444" s="73"/>
      <c r="BM444" s="72">
        <v>42112369.14786052</v>
      </c>
      <c r="BN444" s="72">
        <v>0</v>
      </c>
      <c r="BO444" s="73"/>
      <c r="BP444" s="74">
        <v>-6572.2036843608839</v>
      </c>
      <c r="BQ444" s="74">
        <v>0</v>
      </c>
      <c r="BS444" s="109">
        <f t="shared" si="180"/>
        <v>116376.14985240404</v>
      </c>
      <c r="BT444" s="109">
        <f t="shared" si="181"/>
        <v>116761.47830170084</v>
      </c>
      <c r="BV444" s="58">
        <f t="array" ref="BV444">SUM(IF(BS444:BT444&gt;=BS444, 1))</f>
        <v>2</v>
      </c>
      <c r="BW444" s="58">
        <f t="array" ref="BW444">SUM(IF(BS444:BT444&gt;=BT444, 1))</f>
        <v>1</v>
      </c>
      <c r="BY444" s="109">
        <f t="shared" si="182"/>
        <v>133658.05404816711</v>
      </c>
      <c r="BZ444" s="109">
        <f t="shared" si="183"/>
        <v>134009.16037739729</v>
      </c>
      <c r="CB444" s="58">
        <f t="array" ref="CB444">SUM(IF(BY444:BZ444&gt;=BY444, 1))</f>
        <v>2</v>
      </c>
      <c r="CC444" s="58">
        <f t="array" ref="CC444">SUM(IF(BY444:BZ444&gt;=BZ444, 1))</f>
        <v>1</v>
      </c>
      <c r="CE444" s="109">
        <f t="shared" si="184"/>
        <v>93326.912630790524</v>
      </c>
      <c r="CF444" s="109">
        <f t="shared" si="185"/>
        <v>96393.012673781283</v>
      </c>
      <c r="CH444" s="58">
        <f t="array" ref="CH444">SUM(IF(CE444:CF444&gt;=CE444, 1))</f>
        <v>2</v>
      </c>
      <c r="CI444" s="58">
        <f t="array" ref="CI444">SUM(IF(CE444:CF444&gt;=CF444, 1))</f>
        <v>1</v>
      </c>
      <c r="CK444" s="109">
        <f t="shared" si="186"/>
        <v>48842.140309243914</v>
      </c>
      <c r="CL444" s="109">
        <f t="shared" si="187"/>
        <v>50037.16525965141</v>
      </c>
      <c r="CN444" s="58">
        <f t="array" ref="CN444">SUM(IF(CK444:CL444&gt;=CK444, 1))</f>
        <v>2</v>
      </c>
      <c r="CO444" s="58">
        <f t="array" ref="CO444">SUM(IF(CK444:CL444&gt;=CL444, 1))</f>
        <v>1</v>
      </c>
      <c r="CQ444" s="109" cm="1">
        <f t="array" ref="CQ444">AF444*WTP-AC444</f>
        <v>49077.785483594824</v>
      </c>
      <c r="CR444" s="109">
        <f t="shared" si="188"/>
        <v>52063.827830580201</v>
      </c>
      <c r="CT444" s="58">
        <f t="array" ref="CT444">SUM(IF(CQ444:CR444&gt;=CQ444, 1))</f>
        <v>2</v>
      </c>
      <c r="CU444" s="58">
        <f t="array" ref="CU444">SUM(IF(CQ444:CR444&gt;=CR444, 1))</f>
        <v>1</v>
      </c>
      <c r="CW444" s="109">
        <f t="shared" si="189"/>
        <v>-41421083.066940904</v>
      </c>
      <c r="CX444" s="109">
        <f t="shared" si="190"/>
        <v>0</v>
      </c>
      <c r="CZ444" s="58">
        <f t="array" ref="CZ444">SUM(IF(CW444:CX444&gt;=CW444, 1))</f>
        <v>2</v>
      </c>
      <c r="DA444" s="58">
        <f t="array" ref="DA444">SUM(IF(CW444:CX444&gt;=CX444, 1))</f>
        <v>1</v>
      </c>
      <c r="DC444" s="109">
        <f t="shared" si="191"/>
        <v>-2411395.3835872649</v>
      </c>
      <c r="DD444" s="109">
        <f t="shared" si="192"/>
        <v>0</v>
      </c>
      <c r="DF444" s="58">
        <f t="array" ref="DF444">SUM(IF(DC444:DD444&gt;=DC444, 1))</f>
        <v>2</v>
      </c>
      <c r="DG444" s="58">
        <f t="array" ref="DG444">SUM(IF(DC444:DD444&gt;=DD444, 1))</f>
        <v>1</v>
      </c>
      <c r="DI444" s="109">
        <f t="shared" si="193"/>
        <v>-71547405.796896115</v>
      </c>
      <c r="DJ444" s="109">
        <f t="shared" si="194"/>
        <v>0</v>
      </c>
      <c r="DL444" s="58">
        <f t="array" ref="DL444">SUM(IF(DI444:DJ444&gt;=DI444, 1))</f>
        <v>2</v>
      </c>
      <c r="DM444" s="58">
        <f t="array" ref="DM444">SUM(IF(DI444:DJ444&gt;=DJ444, 1))</f>
        <v>1</v>
      </c>
      <c r="DO444" s="109">
        <f t="shared" si="195"/>
        <v>-10746191.48179258</v>
      </c>
      <c r="DP444" s="109">
        <f t="shared" si="196"/>
        <v>0</v>
      </c>
      <c r="DR444" s="58">
        <f t="array" ref="DR444">SUM(IF(DO444:DP444&gt;=DO444, 1))</f>
        <v>2</v>
      </c>
      <c r="DS444" s="58">
        <f t="array" ref="DS444">SUM(IF(DO444:DP444&gt;=DP444, 1))</f>
        <v>1</v>
      </c>
      <c r="DU444" s="109">
        <f t="shared" si="197"/>
        <v>-47430367.105861314</v>
      </c>
      <c r="DV444" s="109">
        <f t="shared" si="198"/>
        <v>0</v>
      </c>
      <c r="DX444" s="58">
        <f t="array" ref="DX444">SUM(IF(DU444:DV444&gt;=DU444, 1))</f>
        <v>2</v>
      </c>
      <c r="DY444" s="58">
        <f t="array" ref="DY444">SUM(IF(DU444:DV444&gt;=DV444, 1))</f>
        <v>1</v>
      </c>
      <c r="EA444" s="109">
        <f t="shared" si="199"/>
        <v>-173556442.83507821</v>
      </c>
      <c r="EB444" s="109">
        <f t="shared" si="200"/>
        <v>0</v>
      </c>
      <c r="ED444" s="58">
        <f t="array" ref="ED444">SUM(IF(EA444:EB444&gt;=EA444, 1))</f>
        <v>2</v>
      </c>
      <c r="EE444" s="58">
        <f t="array" ref="EE444">SUM(IF(EA444:EB444&gt;=EB444, 1))</f>
        <v>1</v>
      </c>
    </row>
    <row r="445" spans="4:135" ht="12" customHeight="1" x14ac:dyDescent="0.25">
      <c r="D445" s="11">
        <v>429</v>
      </c>
      <c r="E445" s="72">
        <v>236.34189287564291</v>
      </c>
      <c r="F445" s="72">
        <v>221.18489282207608</v>
      </c>
      <c r="G445" s="73"/>
      <c r="H445" s="74">
        <v>5.8642112268282327</v>
      </c>
      <c r="I445" s="74">
        <v>5.881657045427656</v>
      </c>
      <c r="J445" s="73"/>
      <c r="K445" s="72">
        <v>254.09920908459105</v>
      </c>
      <c r="L445" s="72">
        <v>238.55957321584108</v>
      </c>
      <c r="M445" s="73"/>
      <c r="N445" s="74">
        <v>6.7497164013850988</v>
      </c>
      <c r="O445" s="74">
        <v>6.7650169579868242</v>
      </c>
      <c r="P445" s="73"/>
      <c r="Q445" s="72">
        <v>2849.0736855620726</v>
      </c>
      <c r="R445" s="72">
        <v>1503.927380372807</v>
      </c>
      <c r="S445" s="73"/>
      <c r="T445" s="74">
        <v>4.8843125652006405</v>
      </c>
      <c r="U445" s="74">
        <v>4.9556155026912023</v>
      </c>
      <c r="V445" s="73"/>
      <c r="W445" s="72">
        <v>16987.25795653848</v>
      </c>
      <c r="X445" s="72">
        <v>16907.302642414186</v>
      </c>
      <c r="Y445" s="73"/>
      <c r="Z445" s="74">
        <v>3.0248779166440967</v>
      </c>
      <c r="AA445" s="74">
        <v>3.0685066048621592</v>
      </c>
      <c r="AB445" s="73"/>
      <c r="AC445" s="72">
        <v>50799.46640464355</v>
      </c>
      <c r="AD445" s="72">
        <v>50560.163708556393</v>
      </c>
      <c r="AE445" s="73"/>
      <c r="AF445" s="74">
        <v>4.4931483589124719</v>
      </c>
      <c r="AG445" s="74">
        <v>4.6164257792584928</v>
      </c>
      <c r="AH445" s="73"/>
      <c r="AI445" s="72">
        <v>1642958.6571167149</v>
      </c>
      <c r="AJ445" s="72">
        <v>0</v>
      </c>
      <c r="AK445" s="73"/>
      <c r="AL445" s="74">
        <v>-1891.0575045927517</v>
      </c>
      <c r="AM445" s="74">
        <v>0</v>
      </c>
      <c r="AN445" s="73"/>
      <c r="AO445" s="72">
        <v>113150.52351200208</v>
      </c>
      <c r="AP445" s="72">
        <v>0</v>
      </c>
      <c r="AQ445" s="73"/>
      <c r="AR445" s="74">
        <v>-111.4096883693274</v>
      </c>
      <c r="AS445" s="74">
        <v>0</v>
      </c>
      <c r="AT445" s="73"/>
      <c r="AU445" s="72">
        <v>30476256.97288242</v>
      </c>
      <c r="AV445" s="72">
        <v>0</v>
      </c>
      <c r="AW445" s="73"/>
      <c r="AX445" s="74">
        <v>-1615.4723374703697</v>
      </c>
      <c r="AY445" s="74">
        <v>0</v>
      </c>
      <c r="AZ445" s="73"/>
      <c r="BA445" s="72">
        <v>703128.91345600376</v>
      </c>
      <c r="BB445" s="72">
        <v>0</v>
      </c>
      <c r="BC445" s="73"/>
      <c r="BD445" s="74">
        <v>-383.67171060811467</v>
      </c>
      <c r="BE445" s="74">
        <v>0</v>
      </c>
      <c r="BF445" s="73"/>
      <c r="BG445" s="72">
        <v>3643715.5438171555</v>
      </c>
      <c r="BH445" s="72">
        <v>0</v>
      </c>
      <c r="BI445" s="73"/>
      <c r="BJ445" s="74">
        <v>-1877.0697533339828</v>
      </c>
      <c r="BK445" s="74">
        <v>0</v>
      </c>
      <c r="BL445" s="73"/>
      <c r="BM445" s="72">
        <v>36579210.6107843</v>
      </c>
      <c r="BN445" s="72">
        <v>0</v>
      </c>
      <c r="BO445" s="73"/>
      <c r="BP445" s="74">
        <v>-5878.6809943745466</v>
      </c>
      <c r="BQ445" s="74">
        <v>0</v>
      </c>
      <c r="BS445" s="109">
        <f t="shared" si="180"/>
        <v>117047.88264368901</v>
      </c>
      <c r="BT445" s="109">
        <f t="shared" si="181"/>
        <v>117411.95601573105</v>
      </c>
      <c r="BV445" s="58">
        <f t="array" ref="BV445">SUM(IF(BS445:BT445&gt;=BS445, 1))</f>
        <v>2</v>
      </c>
      <c r="BW445" s="58">
        <f t="array" ref="BW445">SUM(IF(BS445:BT445&gt;=BT445, 1))</f>
        <v>1</v>
      </c>
      <c r="BY445" s="109">
        <f t="shared" si="182"/>
        <v>134740.22881861738</v>
      </c>
      <c r="BZ445" s="109">
        <f t="shared" si="183"/>
        <v>135061.77958652066</v>
      </c>
      <c r="CB445" s="58">
        <f t="array" ref="CB445">SUM(IF(BY445:BZ445&gt;=BY445, 1))</f>
        <v>2</v>
      </c>
      <c r="CC445" s="58">
        <f t="array" ref="CC445">SUM(IF(BY445:BZ445&gt;=BZ445, 1))</f>
        <v>1</v>
      </c>
      <c r="CE445" s="109">
        <f t="shared" si="184"/>
        <v>94837.177618450733</v>
      </c>
      <c r="CF445" s="109">
        <f t="shared" si="185"/>
        <v>97608.382673451226</v>
      </c>
      <c r="CH445" s="58">
        <f t="array" ref="CH445">SUM(IF(CE445:CF445&gt;=CE445, 1))</f>
        <v>2</v>
      </c>
      <c r="CI445" s="58">
        <f t="array" ref="CI445">SUM(IF(CE445:CF445&gt;=CF445, 1))</f>
        <v>1</v>
      </c>
      <c r="CK445" s="109">
        <f t="shared" si="186"/>
        <v>43510.300376343454</v>
      </c>
      <c r="CL445" s="109">
        <f t="shared" si="187"/>
        <v>44462.829454829</v>
      </c>
      <c r="CN445" s="58">
        <f t="array" ref="CN445">SUM(IF(CK445:CL445&gt;=CK445, 1))</f>
        <v>2</v>
      </c>
      <c r="CO445" s="58">
        <f t="array" ref="CO445">SUM(IF(CK445:CL445&gt;=CL445, 1))</f>
        <v>1</v>
      </c>
      <c r="CQ445" s="109" cm="1">
        <f t="array" ref="CQ445">AF445*WTP-AC445</f>
        <v>39063.500773605891</v>
      </c>
      <c r="CR445" s="109">
        <f t="shared" si="188"/>
        <v>41768.351876613458</v>
      </c>
      <c r="CT445" s="58">
        <f t="array" ref="CT445">SUM(IF(CQ445:CR445&gt;=CQ445, 1))</f>
        <v>2</v>
      </c>
      <c r="CU445" s="58">
        <f t="array" ref="CU445">SUM(IF(CQ445:CR445&gt;=CR445, 1))</f>
        <v>1</v>
      </c>
      <c r="CW445" s="109">
        <f t="shared" si="189"/>
        <v>-39464108.748971745</v>
      </c>
      <c r="CX445" s="109">
        <f t="shared" si="190"/>
        <v>0</v>
      </c>
      <c r="CZ445" s="58">
        <f t="array" ref="CZ445">SUM(IF(CW445:CX445&gt;=CW445, 1))</f>
        <v>2</v>
      </c>
      <c r="DA445" s="58">
        <f t="array" ref="DA445">SUM(IF(CW445:CX445&gt;=CX445, 1))</f>
        <v>1</v>
      </c>
      <c r="DC445" s="109">
        <f t="shared" si="191"/>
        <v>-2341344.2908985498</v>
      </c>
      <c r="DD445" s="109">
        <f t="shared" si="192"/>
        <v>0</v>
      </c>
      <c r="DF445" s="58">
        <f t="array" ref="DF445">SUM(IF(DC445:DD445&gt;=DC445, 1))</f>
        <v>2</v>
      </c>
      <c r="DG445" s="58">
        <f t="array" ref="DG445">SUM(IF(DC445:DD445&gt;=DD445, 1))</f>
        <v>1</v>
      </c>
      <c r="DI445" s="109">
        <f t="shared" si="193"/>
        <v>-62785703.722289816</v>
      </c>
      <c r="DJ445" s="109">
        <f t="shared" si="194"/>
        <v>0</v>
      </c>
      <c r="DL445" s="58">
        <f t="array" ref="DL445">SUM(IF(DI445:DJ445&gt;=DI445, 1))</f>
        <v>2</v>
      </c>
      <c r="DM445" s="58">
        <f t="array" ref="DM445">SUM(IF(DI445:DJ445&gt;=DJ445, 1))</f>
        <v>1</v>
      </c>
      <c r="DO445" s="109">
        <f t="shared" si="195"/>
        <v>-8376563.1256182976</v>
      </c>
      <c r="DP445" s="109">
        <f t="shared" si="196"/>
        <v>0</v>
      </c>
      <c r="DR445" s="58">
        <f t="array" ref="DR445">SUM(IF(DO445:DP445&gt;=DO445, 1))</f>
        <v>2</v>
      </c>
      <c r="DS445" s="58">
        <f t="array" ref="DS445">SUM(IF(DO445:DP445&gt;=DP445, 1))</f>
        <v>1</v>
      </c>
      <c r="DU445" s="109">
        <f t="shared" si="197"/>
        <v>-41185110.610496812</v>
      </c>
      <c r="DV445" s="109">
        <f t="shared" si="198"/>
        <v>0</v>
      </c>
      <c r="DX445" s="58">
        <f t="array" ref="DX445">SUM(IF(DU445:DV445&gt;=DU445, 1))</f>
        <v>2</v>
      </c>
      <c r="DY445" s="58">
        <f t="array" ref="DY445">SUM(IF(DU445:DV445&gt;=DV445, 1))</f>
        <v>1</v>
      </c>
      <c r="EA445" s="109">
        <f t="shared" si="199"/>
        <v>-154152830.49827522</v>
      </c>
      <c r="EB445" s="109">
        <f t="shared" si="200"/>
        <v>0</v>
      </c>
      <c r="ED445" s="58">
        <f t="array" ref="ED445">SUM(IF(EA445:EB445&gt;=EA445, 1))</f>
        <v>2</v>
      </c>
      <c r="EE445" s="58">
        <f t="array" ref="EE445">SUM(IF(EA445:EB445&gt;=EB445, 1))</f>
        <v>1</v>
      </c>
    </row>
    <row r="446" spans="4:135" ht="12" customHeight="1" x14ac:dyDescent="0.25">
      <c r="D446" s="11">
        <v>430</v>
      </c>
      <c r="E446" s="72">
        <v>250.92365818191485</v>
      </c>
      <c r="F446" s="72">
        <v>242.1962799292009</v>
      </c>
      <c r="G446" s="73"/>
      <c r="H446" s="74">
        <v>5.8222269227151502</v>
      </c>
      <c r="I446" s="74">
        <v>5.8387749427944176</v>
      </c>
      <c r="J446" s="73"/>
      <c r="K446" s="72">
        <v>270.15485363434209</v>
      </c>
      <c r="L446" s="72">
        <v>261.19942772668065</v>
      </c>
      <c r="M446" s="73"/>
      <c r="N446" s="74">
        <v>6.6735818515500593</v>
      </c>
      <c r="O446" s="74">
        <v>6.6882909686295777</v>
      </c>
      <c r="P446" s="73"/>
      <c r="Q446" s="72">
        <v>4354.1848625640414</v>
      </c>
      <c r="R446" s="72">
        <v>1952.5577000935602</v>
      </c>
      <c r="S446" s="73"/>
      <c r="T446" s="74">
        <v>4.7641248483596357</v>
      </c>
      <c r="U446" s="74">
        <v>4.8828135960807062</v>
      </c>
      <c r="V446" s="73"/>
      <c r="W446" s="72">
        <v>11306.057723533875</v>
      </c>
      <c r="X446" s="72">
        <v>11284.43173327212</v>
      </c>
      <c r="Y446" s="73"/>
      <c r="Z446" s="74">
        <v>3.0250114601224598</v>
      </c>
      <c r="AA446" s="74">
        <v>3.0625135371753505</v>
      </c>
      <c r="AB446" s="73"/>
      <c r="AC446" s="72">
        <v>49357.866775497205</v>
      </c>
      <c r="AD446" s="72">
        <v>49287.310332183675</v>
      </c>
      <c r="AE446" s="73"/>
      <c r="AF446" s="74">
        <v>4.6035648705601648</v>
      </c>
      <c r="AG446" s="74">
        <v>4.7045839961515439</v>
      </c>
      <c r="AH446" s="73"/>
      <c r="AI446" s="72">
        <v>950408.3685841338</v>
      </c>
      <c r="AJ446" s="72">
        <v>0</v>
      </c>
      <c r="AK446" s="73"/>
      <c r="AL446" s="74">
        <v>-1802.0734648395987</v>
      </c>
      <c r="AM446" s="74">
        <v>0</v>
      </c>
      <c r="AN446" s="73"/>
      <c r="AO446" s="72">
        <v>64584.731913184485</v>
      </c>
      <c r="AP446" s="72">
        <v>0</v>
      </c>
      <c r="AQ446" s="73"/>
      <c r="AR446" s="74">
        <v>-106.07919635040687</v>
      </c>
      <c r="AS446" s="74">
        <v>0</v>
      </c>
      <c r="AT446" s="73"/>
      <c r="AU446" s="72">
        <v>56512710.102088861</v>
      </c>
      <c r="AV446" s="72">
        <v>0</v>
      </c>
      <c r="AW446" s="73"/>
      <c r="AX446" s="74">
        <v>-2792.865977348913</v>
      </c>
      <c r="AY446" s="74">
        <v>0</v>
      </c>
      <c r="AZ446" s="73"/>
      <c r="BA446" s="72">
        <v>199424.6043253344</v>
      </c>
      <c r="BB446" s="72">
        <v>0</v>
      </c>
      <c r="BC446" s="73"/>
      <c r="BD446" s="74">
        <v>-345.82633151727174</v>
      </c>
      <c r="BE446" s="74">
        <v>0</v>
      </c>
      <c r="BF446" s="73"/>
      <c r="BG446" s="72">
        <v>1061564.4300119069</v>
      </c>
      <c r="BH446" s="72">
        <v>0</v>
      </c>
      <c r="BI446" s="73"/>
      <c r="BJ446" s="74">
        <v>-1519.8939379948872</v>
      </c>
      <c r="BK446" s="74">
        <v>0</v>
      </c>
      <c r="BL446" s="73"/>
      <c r="BM446" s="72">
        <v>58788692.236923419</v>
      </c>
      <c r="BN446" s="72">
        <v>0</v>
      </c>
      <c r="BO446" s="73"/>
      <c r="BP446" s="74">
        <v>-6566.7389080510775</v>
      </c>
      <c r="BQ446" s="74">
        <v>0</v>
      </c>
      <c r="BS446" s="109">
        <f t="shared" si="180"/>
        <v>116193.6147961211</v>
      </c>
      <c r="BT446" s="109">
        <f t="shared" si="181"/>
        <v>116533.30257595915</v>
      </c>
      <c r="BV446" s="58">
        <f t="array" ref="BV446">SUM(IF(BS446:BT446&gt;=BS446, 1))</f>
        <v>2</v>
      </c>
      <c r="BW446" s="58">
        <f t="array" ref="BW446">SUM(IF(BS446:BT446&gt;=BT446, 1))</f>
        <v>1</v>
      </c>
      <c r="BY446" s="109">
        <f t="shared" si="182"/>
        <v>133201.48217736685</v>
      </c>
      <c r="BZ446" s="109">
        <f t="shared" si="183"/>
        <v>133504.61994486488</v>
      </c>
      <c r="CB446" s="58">
        <f t="array" ref="CB446">SUM(IF(BY446:BZ446&gt;=BY446, 1))</f>
        <v>2</v>
      </c>
      <c r="CC446" s="58">
        <f t="array" ref="CC446">SUM(IF(BY446:BZ446&gt;=BZ446, 1))</f>
        <v>1</v>
      </c>
      <c r="CE446" s="109">
        <f t="shared" si="184"/>
        <v>90928.312104628669</v>
      </c>
      <c r="CF446" s="109">
        <f t="shared" si="185"/>
        <v>95703.714221520568</v>
      </c>
      <c r="CH446" s="58">
        <f t="array" ref="CH446">SUM(IF(CE446:CF446&gt;=CE446, 1))</f>
        <v>2</v>
      </c>
      <c r="CI446" s="58">
        <f t="array" ref="CI446">SUM(IF(CE446:CF446&gt;=CF446, 1))</f>
        <v>1</v>
      </c>
      <c r="CK446" s="109">
        <f t="shared" si="186"/>
        <v>49194.171478915319</v>
      </c>
      <c r="CL446" s="109">
        <f t="shared" si="187"/>
        <v>49965.839010234893</v>
      </c>
      <c r="CN446" s="58">
        <f t="array" ref="CN446">SUM(IF(CK446:CL446&gt;=CK446, 1))</f>
        <v>2</v>
      </c>
      <c r="CO446" s="58">
        <f t="array" ref="CO446">SUM(IF(CK446:CL446&gt;=CL446, 1))</f>
        <v>1</v>
      </c>
      <c r="CQ446" s="109" cm="1">
        <f t="array" ref="CQ446">AF446*WTP-AC446</f>
        <v>42713.430635706092</v>
      </c>
      <c r="CR446" s="109">
        <f t="shared" si="188"/>
        <v>44804.369590847207</v>
      </c>
      <c r="CT446" s="58">
        <f t="array" ref="CT446">SUM(IF(CQ446:CR446&gt;=CQ446, 1))</f>
        <v>2</v>
      </c>
      <c r="CU446" s="58">
        <f t="array" ref="CU446">SUM(IF(CQ446:CR446&gt;=CR446, 1))</f>
        <v>1</v>
      </c>
      <c r="CW446" s="109">
        <f t="shared" si="189"/>
        <v>-36991877.665376112</v>
      </c>
      <c r="CX446" s="109">
        <f t="shared" si="190"/>
        <v>0</v>
      </c>
      <c r="CZ446" s="58">
        <f t="array" ref="CZ446">SUM(IF(CW446:CX446&gt;=CW446, 1))</f>
        <v>2</v>
      </c>
      <c r="DA446" s="58">
        <f t="array" ref="DA446">SUM(IF(CW446:CX446&gt;=CX446, 1))</f>
        <v>1</v>
      </c>
      <c r="DC446" s="109">
        <f t="shared" si="191"/>
        <v>-2186168.6589213219</v>
      </c>
      <c r="DD446" s="109">
        <f t="shared" si="192"/>
        <v>0</v>
      </c>
      <c r="DF446" s="58">
        <f t="array" ref="DF446">SUM(IF(DC446:DD446&gt;=DC446, 1))</f>
        <v>2</v>
      </c>
      <c r="DG446" s="58">
        <f t="array" ref="DG446">SUM(IF(DC446:DD446&gt;=DD446, 1))</f>
        <v>1</v>
      </c>
      <c r="DI446" s="109">
        <f t="shared" si="193"/>
        <v>-112370029.64906712</v>
      </c>
      <c r="DJ446" s="109">
        <f t="shared" si="194"/>
        <v>0</v>
      </c>
      <c r="DL446" s="58">
        <f t="array" ref="DL446">SUM(IF(DI446:DJ446&gt;=DI446, 1))</f>
        <v>2</v>
      </c>
      <c r="DM446" s="58">
        <f t="array" ref="DM446">SUM(IF(DI446:DJ446&gt;=DJ446, 1))</f>
        <v>1</v>
      </c>
      <c r="DO446" s="109">
        <f t="shared" si="195"/>
        <v>-7115951.2346707694</v>
      </c>
      <c r="DP446" s="109">
        <f t="shared" si="196"/>
        <v>0</v>
      </c>
      <c r="DR446" s="58">
        <f t="array" ref="DR446">SUM(IF(DO446:DP446&gt;=DO446, 1))</f>
        <v>2</v>
      </c>
      <c r="DS446" s="58">
        <f t="array" ref="DS446">SUM(IF(DO446:DP446&gt;=DP446, 1))</f>
        <v>1</v>
      </c>
      <c r="DU446" s="109">
        <f t="shared" si="197"/>
        <v>-31459443.189909648</v>
      </c>
      <c r="DV446" s="109">
        <f t="shared" si="198"/>
        <v>0</v>
      </c>
      <c r="DX446" s="58">
        <f t="array" ref="DX446">SUM(IF(DU446:DV446&gt;=DU446, 1))</f>
        <v>2</v>
      </c>
      <c r="DY446" s="58">
        <f t="array" ref="DY446">SUM(IF(DU446:DV446&gt;=DV446, 1))</f>
        <v>1</v>
      </c>
      <c r="EA446" s="109">
        <f t="shared" si="199"/>
        <v>-190123470.39794496</v>
      </c>
      <c r="EB446" s="109">
        <f t="shared" si="200"/>
        <v>0</v>
      </c>
      <c r="ED446" s="58">
        <f t="array" ref="ED446">SUM(IF(EA446:EB446&gt;=EA446, 1))</f>
        <v>2</v>
      </c>
      <c r="EE446" s="58">
        <f t="array" ref="EE446">SUM(IF(EA446:EB446&gt;=EB446, 1))</f>
        <v>1</v>
      </c>
    </row>
    <row r="447" spans="4:135" ht="12" customHeight="1" x14ac:dyDescent="0.25">
      <c r="D447" s="11">
        <v>431</v>
      </c>
      <c r="E447" s="72">
        <v>292.51169974511225</v>
      </c>
      <c r="F447" s="72">
        <v>273.36202648416418</v>
      </c>
      <c r="G447" s="73"/>
      <c r="H447" s="74">
        <v>5.8477715317063899</v>
      </c>
      <c r="I447" s="74">
        <v>5.8682903722114963</v>
      </c>
      <c r="J447" s="73"/>
      <c r="K447" s="72">
        <v>314.42857199493722</v>
      </c>
      <c r="L447" s="72">
        <v>294.78438783059983</v>
      </c>
      <c r="M447" s="73"/>
      <c r="N447" s="74">
        <v>6.6753549434065009</v>
      </c>
      <c r="O447" s="74">
        <v>6.6933203622862072</v>
      </c>
      <c r="P447" s="73"/>
      <c r="Q447" s="72">
        <v>2442.8459854661342</v>
      </c>
      <c r="R447" s="72">
        <v>1656.1769485252594</v>
      </c>
      <c r="S447" s="73"/>
      <c r="T447" s="74">
        <v>4.8737067932655291</v>
      </c>
      <c r="U447" s="74">
        <v>4.9370415199134818</v>
      </c>
      <c r="V447" s="73"/>
      <c r="W447" s="72">
        <v>10114.338267319867</v>
      </c>
      <c r="X447" s="72">
        <v>10148.423554029445</v>
      </c>
      <c r="Y447" s="73"/>
      <c r="Z447" s="74">
        <v>2.9819907509725638</v>
      </c>
      <c r="AA447" s="74">
        <v>3.0389919811316117</v>
      </c>
      <c r="AB447" s="73"/>
      <c r="AC447" s="72">
        <v>49550.716955043274</v>
      </c>
      <c r="AD447" s="72">
        <v>49668.59645974762</v>
      </c>
      <c r="AE447" s="73"/>
      <c r="AF447" s="74">
        <v>4.4559692602657819</v>
      </c>
      <c r="AG447" s="74">
        <v>4.5650298386599788</v>
      </c>
      <c r="AH447" s="73"/>
      <c r="AI447" s="72">
        <v>2094786.4991769895</v>
      </c>
      <c r="AJ447" s="72">
        <v>0</v>
      </c>
      <c r="AK447" s="73"/>
      <c r="AL447" s="74">
        <v>-2244.5599715018279</v>
      </c>
      <c r="AM447" s="74">
        <v>0</v>
      </c>
      <c r="AN447" s="73"/>
      <c r="AO447" s="72">
        <v>130330.85517052974</v>
      </c>
      <c r="AP447" s="72">
        <v>0</v>
      </c>
      <c r="AQ447" s="73"/>
      <c r="AR447" s="74">
        <v>-119.19295739141103</v>
      </c>
      <c r="AS447" s="74">
        <v>0</v>
      </c>
      <c r="AT447" s="73"/>
      <c r="AU447" s="72">
        <v>17929681.567067225</v>
      </c>
      <c r="AV447" s="72">
        <v>0</v>
      </c>
      <c r="AW447" s="73"/>
      <c r="AX447" s="74">
        <v>-1443.5187195760791</v>
      </c>
      <c r="AY447" s="74">
        <v>0</v>
      </c>
      <c r="AZ447" s="73"/>
      <c r="BA447" s="72">
        <v>-311280.19033368962</v>
      </c>
      <c r="BB447" s="72">
        <v>0</v>
      </c>
      <c r="BC447" s="73"/>
      <c r="BD447" s="74">
        <v>-520.55756269102665</v>
      </c>
      <c r="BE447" s="74">
        <v>0</v>
      </c>
      <c r="BF447" s="73"/>
      <c r="BG447" s="72">
        <v>-1921355.8681022015</v>
      </c>
      <c r="BH447" s="72">
        <v>0</v>
      </c>
      <c r="BI447" s="73"/>
      <c r="BJ447" s="74">
        <v>-1777.6133586739195</v>
      </c>
      <c r="BK447" s="74">
        <v>0</v>
      </c>
      <c r="BL447" s="73"/>
      <c r="BM447" s="72">
        <v>17922162.862978853</v>
      </c>
      <c r="BN447" s="72">
        <v>0</v>
      </c>
      <c r="BO447" s="73"/>
      <c r="BP447" s="74">
        <v>-6105.4425698342648</v>
      </c>
      <c r="BQ447" s="74">
        <v>0</v>
      </c>
      <c r="BS447" s="109">
        <f t="shared" si="180"/>
        <v>116662.91893438269</v>
      </c>
      <c r="BT447" s="109">
        <f t="shared" si="181"/>
        <v>117092.44541774577</v>
      </c>
      <c r="BV447" s="58">
        <f t="array" ref="BV447">SUM(IF(BS447:BT447&gt;=BS447, 1))</f>
        <v>2</v>
      </c>
      <c r="BW447" s="58">
        <f t="array" ref="BW447">SUM(IF(BS447:BT447&gt;=BT447, 1))</f>
        <v>1</v>
      </c>
      <c r="BY447" s="109">
        <f t="shared" si="182"/>
        <v>133192.67029613507</v>
      </c>
      <c r="BZ447" s="109">
        <f t="shared" si="183"/>
        <v>133571.62285789356</v>
      </c>
      <c r="CB447" s="58">
        <f t="array" ref="CB447">SUM(IF(BY447:BZ447&gt;=BY447, 1))</f>
        <v>2</v>
      </c>
      <c r="CC447" s="58">
        <f t="array" ref="CC447">SUM(IF(BY447:BZ447&gt;=BZ447, 1))</f>
        <v>1</v>
      </c>
      <c r="CE447" s="109">
        <f t="shared" si="184"/>
        <v>95031.289879844451</v>
      </c>
      <c r="CF447" s="109">
        <f t="shared" si="185"/>
        <v>97084.653449744379</v>
      </c>
      <c r="CH447" s="58">
        <f t="array" ref="CH447">SUM(IF(CE447:CF447&gt;=CE447, 1))</f>
        <v>2</v>
      </c>
      <c r="CI447" s="58">
        <f t="array" ref="CI447">SUM(IF(CE447:CF447&gt;=CF447, 1))</f>
        <v>1</v>
      </c>
      <c r="CK447" s="109">
        <f t="shared" si="186"/>
        <v>49525.476752131413</v>
      </c>
      <c r="CL447" s="109">
        <f t="shared" si="187"/>
        <v>50631.41606860279</v>
      </c>
      <c r="CN447" s="58">
        <f t="array" ref="CN447">SUM(IF(CK447:CL447&gt;=CK447, 1))</f>
        <v>2</v>
      </c>
      <c r="CO447" s="58">
        <f t="array" ref="CO447">SUM(IF(CK447:CL447&gt;=CL447, 1))</f>
        <v>1</v>
      </c>
      <c r="CQ447" s="109" cm="1">
        <f t="array" ref="CQ447">AF447*WTP-AC447</f>
        <v>39568.668250272371</v>
      </c>
      <c r="CR447" s="109">
        <f t="shared" si="188"/>
        <v>41632.000313451957</v>
      </c>
      <c r="CT447" s="58">
        <f t="array" ref="CT447">SUM(IF(CQ447:CR447&gt;=CQ447, 1))</f>
        <v>2</v>
      </c>
      <c r="CU447" s="58">
        <f t="array" ref="CU447">SUM(IF(CQ447:CR447&gt;=CR447, 1))</f>
        <v>1</v>
      </c>
      <c r="CW447" s="109">
        <f t="shared" si="189"/>
        <v>-46985985.929213546</v>
      </c>
      <c r="CX447" s="109">
        <f t="shared" si="190"/>
        <v>0</v>
      </c>
      <c r="CZ447" s="58">
        <f t="array" ref="CZ447">SUM(IF(CW447:CX447&gt;=CW447, 1))</f>
        <v>2</v>
      </c>
      <c r="DA447" s="58">
        <f t="array" ref="DA447">SUM(IF(CW447:CX447&gt;=CX447, 1))</f>
        <v>1</v>
      </c>
      <c r="DC447" s="109">
        <f t="shared" si="191"/>
        <v>-2514190.0029987502</v>
      </c>
      <c r="DD447" s="109">
        <f t="shared" si="192"/>
        <v>0</v>
      </c>
      <c r="DF447" s="58">
        <f t="array" ref="DF447">SUM(IF(DC447:DD447&gt;=DC447, 1))</f>
        <v>2</v>
      </c>
      <c r="DG447" s="58">
        <f t="array" ref="DG447">SUM(IF(DC447:DD447&gt;=DD447, 1))</f>
        <v>1</v>
      </c>
      <c r="DI447" s="109">
        <f t="shared" si="193"/>
        <v>-46800055.958588809</v>
      </c>
      <c r="DJ447" s="109">
        <f t="shared" si="194"/>
        <v>0</v>
      </c>
      <c r="DL447" s="58">
        <f t="array" ref="DL447">SUM(IF(DI447:DJ447&gt;=DI447, 1))</f>
        <v>2</v>
      </c>
      <c r="DM447" s="58">
        <f t="array" ref="DM447">SUM(IF(DI447:DJ447&gt;=DJ447, 1))</f>
        <v>1</v>
      </c>
      <c r="DO447" s="109">
        <f t="shared" si="195"/>
        <v>-10099871.063486842</v>
      </c>
      <c r="DP447" s="109">
        <f t="shared" si="196"/>
        <v>0</v>
      </c>
      <c r="DR447" s="58">
        <f t="array" ref="DR447">SUM(IF(DO447:DP447&gt;=DO447, 1))</f>
        <v>2</v>
      </c>
      <c r="DS447" s="58">
        <f t="array" ref="DS447">SUM(IF(DO447:DP447&gt;=DP447, 1))</f>
        <v>1</v>
      </c>
      <c r="DU447" s="109">
        <f t="shared" si="197"/>
        <v>-33630911.305376187</v>
      </c>
      <c r="DV447" s="109">
        <f t="shared" si="198"/>
        <v>0</v>
      </c>
      <c r="DX447" s="58">
        <f t="array" ref="DX447">SUM(IF(DU447:DV447&gt;=DU447, 1))</f>
        <v>2</v>
      </c>
      <c r="DY447" s="58">
        <f t="array" ref="DY447">SUM(IF(DU447:DV447&gt;=DV447, 1))</f>
        <v>1</v>
      </c>
      <c r="EA447" s="109">
        <f t="shared" si="199"/>
        <v>-140031014.25966415</v>
      </c>
      <c r="EB447" s="109">
        <f t="shared" si="200"/>
        <v>0</v>
      </c>
      <c r="ED447" s="58">
        <f t="array" ref="ED447">SUM(IF(EA447:EB447&gt;=EA447, 1))</f>
        <v>2</v>
      </c>
      <c r="EE447" s="58">
        <f t="array" ref="EE447">SUM(IF(EA447:EB447&gt;=EB447, 1))</f>
        <v>1</v>
      </c>
    </row>
    <row r="448" spans="4:135" ht="12" customHeight="1" x14ac:dyDescent="0.25">
      <c r="D448" s="11">
        <v>432</v>
      </c>
      <c r="E448" s="72">
        <v>236.86329749971793</v>
      </c>
      <c r="F448" s="72">
        <v>222.2042306629256</v>
      </c>
      <c r="G448" s="73"/>
      <c r="H448" s="74">
        <v>5.8005379709330391</v>
      </c>
      <c r="I448" s="74">
        <v>5.8147507843069244</v>
      </c>
      <c r="J448" s="73"/>
      <c r="K448" s="72">
        <v>254.63242089944373</v>
      </c>
      <c r="L448" s="72">
        <v>239.59081497059293</v>
      </c>
      <c r="M448" s="73"/>
      <c r="N448" s="74">
        <v>6.7041763763870001</v>
      </c>
      <c r="O448" s="74">
        <v>6.7159850282836171</v>
      </c>
      <c r="P448" s="73"/>
      <c r="Q448" s="72">
        <v>2085.6884820303944</v>
      </c>
      <c r="R448" s="72">
        <v>1329.990768229223</v>
      </c>
      <c r="S448" s="73"/>
      <c r="T448" s="74">
        <v>4.6741568717925031</v>
      </c>
      <c r="U448" s="74">
        <v>4.7698474476807862</v>
      </c>
      <c r="V448" s="73"/>
      <c r="W448" s="72">
        <v>15554.234818696506</v>
      </c>
      <c r="X448" s="72">
        <v>15499.699928980121</v>
      </c>
      <c r="Y448" s="73"/>
      <c r="Z448" s="74">
        <v>3.0629766425960012</v>
      </c>
      <c r="AA448" s="74">
        <v>3.106300951167742</v>
      </c>
      <c r="AB448" s="73"/>
      <c r="AC448" s="72">
        <v>49346.061619639702</v>
      </c>
      <c r="AD448" s="72">
        <v>48932.032884254222</v>
      </c>
      <c r="AE448" s="73"/>
      <c r="AF448" s="74">
        <v>4.8102147943342031</v>
      </c>
      <c r="AG448" s="74">
        <v>4.9571417787204117</v>
      </c>
      <c r="AH448" s="73"/>
      <c r="AI448" s="72">
        <v>1554971.3205187507</v>
      </c>
      <c r="AJ448" s="72">
        <v>0</v>
      </c>
      <c r="AK448" s="73"/>
      <c r="AL448" s="74">
        <v>-1507.6346554889499</v>
      </c>
      <c r="AM448" s="74">
        <v>0</v>
      </c>
      <c r="AN448" s="73"/>
      <c r="AO448" s="72">
        <v>102197.74702075415</v>
      </c>
      <c r="AP448" s="72">
        <v>0</v>
      </c>
      <c r="AQ448" s="73"/>
      <c r="AR448" s="74">
        <v>-80.231966247157928</v>
      </c>
      <c r="AS448" s="74">
        <v>0</v>
      </c>
      <c r="AT448" s="73"/>
      <c r="AU448" s="72">
        <v>17636271.195779104</v>
      </c>
      <c r="AV448" s="72">
        <v>0</v>
      </c>
      <c r="AW448" s="73"/>
      <c r="AX448" s="74">
        <v>-2233.201075542841</v>
      </c>
      <c r="AY448" s="74">
        <v>0</v>
      </c>
      <c r="AZ448" s="73"/>
      <c r="BA448" s="72">
        <v>482564.64790639112</v>
      </c>
      <c r="BB448" s="72">
        <v>0</v>
      </c>
      <c r="BC448" s="73"/>
      <c r="BD448" s="74">
        <v>-383.36521482738357</v>
      </c>
      <c r="BE448" s="74">
        <v>0</v>
      </c>
      <c r="BF448" s="73"/>
      <c r="BG448" s="72">
        <v>6588363.5567912003</v>
      </c>
      <c r="BH448" s="72">
        <v>0</v>
      </c>
      <c r="BI448" s="73"/>
      <c r="BJ448" s="74">
        <v>-2338.0222354326825</v>
      </c>
      <c r="BK448" s="74">
        <v>0</v>
      </c>
      <c r="BL448" s="73"/>
      <c r="BM448" s="72">
        <v>26364368.468016203</v>
      </c>
      <c r="BN448" s="72">
        <v>0</v>
      </c>
      <c r="BO448" s="73"/>
      <c r="BP448" s="74">
        <v>-6542.4551475390144</v>
      </c>
      <c r="BQ448" s="74">
        <v>0</v>
      </c>
      <c r="BS448" s="109">
        <f t="shared" si="180"/>
        <v>115773.89612116107</v>
      </c>
      <c r="BT448" s="109">
        <f t="shared" si="181"/>
        <v>116072.81145547556</v>
      </c>
      <c r="BV448" s="58">
        <f t="array" ref="BV448">SUM(IF(BS448:BT448&gt;=BS448, 1))</f>
        <v>2</v>
      </c>
      <c r="BW448" s="58">
        <f t="array" ref="BW448">SUM(IF(BS448:BT448&gt;=BT448, 1))</f>
        <v>1</v>
      </c>
      <c r="BY448" s="109">
        <f t="shared" si="182"/>
        <v>133828.89510684056</v>
      </c>
      <c r="BZ448" s="109">
        <f t="shared" si="183"/>
        <v>134080.10975070175</v>
      </c>
      <c r="CB448" s="58">
        <f t="array" ref="CB448">SUM(IF(BY448:BZ448&gt;=BY448, 1))</f>
        <v>2</v>
      </c>
      <c r="CC448" s="58">
        <f t="array" ref="CC448">SUM(IF(BY448:BZ448&gt;=BZ448, 1))</f>
        <v>1</v>
      </c>
      <c r="CE448" s="109">
        <f t="shared" si="184"/>
        <v>91397.448953819665</v>
      </c>
      <c r="CF448" s="109">
        <f t="shared" si="185"/>
        <v>94066.958185386495</v>
      </c>
      <c r="CH448" s="58">
        <f t="array" ref="CH448">SUM(IF(CE448:CF448&gt;=CE448, 1))</f>
        <v>2</v>
      </c>
      <c r="CI448" s="58">
        <f t="array" ref="CI448">SUM(IF(CE448:CF448&gt;=CF448, 1))</f>
        <v>1</v>
      </c>
      <c r="CK448" s="109">
        <f t="shared" si="186"/>
        <v>45705.298033223517</v>
      </c>
      <c r="CL448" s="109">
        <f t="shared" si="187"/>
        <v>46626.319094374718</v>
      </c>
      <c r="CN448" s="58">
        <f t="array" ref="CN448">SUM(IF(CK448:CL448&gt;=CK448, 1))</f>
        <v>2</v>
      </c>
      <c r="CO448" s="58">
        <f t="array" ref="CO448">SUM(IF(CK448:CL448&gt;=CL448, 1))</f>
        <v>1</v>
      </c>
      <c r="CQ448" s="109" cm="1">
        <f t="array" ref="CQ448">AF448*WTP-AC448</f>
        <v>46858.234267044361</v>
      </c>
      <c r="CR448" s="109">
        <f t="shared" si="188"/>
        <v>50210.802690154014</v>
      </c>
      <c r="CT448" s="58">
        <f t="array" ref="CT448">SUM(IF(CQ448:CR448&gt;=CQ448, 1))</f>
        <v>2</v>
      </c>
      <c r="CU448" s="58">
        <f t="array" ref="CU448">SUM(IF(CQ448:CR448&gt;=CR448, 1))</f>
        <v>1</v>
      </c>
      <c r="CW448" s="109">
        <f t="shared" si="189"/>
        <v>-31707664.430297747</v>
      </c>
      <c r="CX448" s="109">
        <f t="shared" si="190"/>
        <v>0</v>
      </c>
      <c r="CZ448" s="58">
        <f t="array" ref="CZ448">SUM(IF(CW448:CX448&gt;=CW448, 1))</f>
        <v>2</v>
      </c>
      <c r="DA448" s="58">
        <f t="array" ref="DA448">SUM(IF(CW448:CX448&gt;=CX448, 1))</f>
        <v>1</v>
      </c>
      <c r="DC448" s="109">
        <f t="shared" si="191"/>
        <v>-1706837.0719639128</v>
      </c>
      <c r="DD448" s="109">
        <f t="shared" si="192"/>
        <v>0</v>
      </c>
      <c r="DF448" s="58">
        <f t="array" ref="DF448">SUM(IF(DC448:DD448&gt;=DC448, 1))</f>
        <v>2</v>
      </c>
      <c r="DG448" s="58">
        <f t="array" ref="DG448">SUM(IF(DC448:DD448&gt;=DD448, 1))</f>
        <v>1</v>
      </c>
      <c r="DI448" s="109">
        <f t="shared" si="193"/>
        <v>-62300292.706635922</v>
      </c>
      <c r="DJ448" s="109">
        <f t="shared" si="194"/>
        <v>0</v>
      </c>
      <c r="DL448" s="58">
        <f t="array" ref="DL448">SUM(IF(DI448:DJ448&gt;=DI448, 1))</f>
        <v>2</v>
      </c>
      <c r="DM448" s="58">
        <f t="array" ref="DM448">SUM(IF(DI448:DJ448&gt;=DJ448, 1))</f>
        <v>1</v>
      </c>
      <c r="DO448" s="109">
        <f t="shared" si="195"/>
        <v>-8149868.9444540627</v>
      </c>
      <c r="DP448" s="109">
        <f t="shared" si="196"/>
        <v>0</v>
      </c>
      <c r="DR448" s="58">
        <f t="array" ref="DR448">SUM(IF(DO448:DP448&gt;=DO448, 1))</f>
        <v>2</v>
      </c>
      <c r="DS448" s="58">
        <f t="array" ref="DS448">SUM(IF(DO448:DP448&gt;=DP448, 1))</f>
        <v>1</v>
      </c>
      <c r="DU448" s="109">
        <f t="shared" si="197"/>
        <v>-53348808.265444852</v>
      </c>
      <c r="DV448" s="109">
        <f t="shared" si="198"/>
        <v>0</v>
      </c>
      <c r="DX448" s="58">
        <f t="array" ref="DX448">SUM(IF(DU448:DV448&gt;=DU448, 1))</f>
        <v>2</v>
      </c>
      <c r="DY448" s="58">
        <f t="array" ref="DY448">SUM(IF(DU448:DV448&gt;=DV448, 1))</f>
        <v>1</v>
      </c>
      <c r="EA448" s="109">
        <f t="shared" si="199"/>
        <v>-157213471.41879648</v>
      </c>
      <c r="EB448" s="109">
        <f t="shared" si="200"/>
        <v>0</v>
      </c>
      <c r="ED448" s="58">
        <f t="array" ref="ED448">SUM(IF(EA448:EB448&gt;=EA448, 1))</f>
        <v>2</v>
      </c>
      <c r="EE448" s="58">
        <f t="array" ref="EE448">SUM(IF(EA448:EB448&gt;=EB448, 1))</f>
        <v>1</v>
      </c>
    </row>
    <row r="449" spans="4:135" ht="12" customHeight="1" x14ac:dyDescent="0.25">
      <c r="D449" s="11">
        <v>433</v>
      </c>
      <c r="E449" s="72">
        <v>292.28324508097694</v>
      </c>
      <c r="F449" s="72">
        <v>252.28485139803956</v>
      </c>
      <c r="G449" s="73"/>
      <c r="H449" s="74">
        <v>5.8194455626423869</v>
      </c>
      <c r="I449" s="74">
        <v>5.8376333132954583</v>
      </c>
      <c r="J449" s="73"/>
      <c r="K449" s="72">
        <v>312.99898067150781</v>
      </c>
      <c r="L449" s="72">
        <v>272.02860902252093</v>
      </c>
      <c r="M449" s="73"/>
      <c r="N449" s="74">
        <v>6.6741852296647162</v>
      </c>
      <c r="O449" s="74">
        <v>6.6902467156012229</v>
      </c>
      <c r="P449" s="73"/>
      <c r="Q449" s="72">
        <v>1271.3088303827003</v>
      </c>
      <c r="R449" s="72">
        <v>1031.9838309656739</v>
      </c>
      <c r="S449" s="73"/>
      <c r="T449" s="74">
        <v>4.8237276905130111</v>
      </c>
      <c r="U449" s="74">
        <v>4.8569636219922465</v>
      </c>
      <c r="V449" s="73"/>
      <c r="W449" s="72">
        <v>10521.408183165306</v>
      </c>
      <c r="X449" s="72">
        <v>10471.109642480296</v>
      </c>
      <c r="Y449" s="73"/>
      <c r="Z449" s="74">
        <v>3.058080160535372</v>
      </c>
      <c r="AA449" s="74">
        <v>3.1104491354960921</v>
      </c>
      <c r="AB449" s="73"/>
      <c r="AC449" s="72">
        <v>49941.79987335889</v>
      </c>
      <c r="AD449" s="72">
        <v>49572.47814819937</v>
      </c>
      <c r="AE449" s="73"/>
      <c r="AF449" s="74">
        <v>4.103586724304896</v>
      </c>
      <c r="AG449" s="74">
        <v>4.2856097737741052</v>
      </c>
      <c r="AH449" s="73"/>
      <c r="AI449" s="72">
        <v>4303148.4767795736</v>
      </c>
      <c r="AJ449" s="72">
        <v>0</v>
      </c>
      <c r="AK449" s="73"/>
      <c r="AL449" s="74">
        <v>-1956.6933647187277</v>
      </c>
      <c r="AM449" s="74">
        <v>0</v>
      </c>
      <c r="AN449" s="73"/>
      <c r="AO449" s="72">
        <v>282859.40373879025</v>
      </c>
      <c r="AP449" s="72">
        <v>0</v>
      </c>
      <c r="AQ449" s="73"/>
      <c r="AR449" s="74">
        <v>-110.88848239119136</v>
      </c>
      <c r="AS449" s="74">
        <v>0</v>
      </c>
      <c r="AT449" s="73"/>
      <c r="AU449" s="72">
        <v>5585074.4153855694</v>
      </c>
      <c r="AV449" s="72">
        <v>0</v>
      </c>
      <c r="AW449" s="73"/>
      <c r="AX449" s="74">
        <v>-775.6195592953153</v>
      </c>
      <c r="AY449" s="74">
        <v>0</v>
      </c>
      <c r="AZ449" s="73"/>
      <c r="BA449" s="72">
        <v>450391.98868330492</v>
      </c>
      <c r="BB449" s="72">
        <v>0</v>
      </c>
      <c r="BC449" s="73"/>
      <c r="BD449" s="74">
        <v>-468.93143333071936</v>
      </c>
      <c r="BE449" s="74">
        <v>0</v>
      </c>
      <c r="BF449" s="73"/>
      <c r="BG449" s="72">
        <v>5918604.2980025876</v>
      </c>
      <c r="BH449" s="72">
        <v>0</v>
      </c>
      <c r="BI449" s="73"/>
      <c r="BJ449" s="74">
        <v>-2917.0295965087771</v>
      </c>
      <c r="BK449" s="74">
        <v>0</v>
      </c>
      <c r="BL449" s="73"/>
      <c r="BM449" s="72">
        <v>16540078.582589826</v>
      </c>
      <c r="BN449" s="72">
        <v>0</v>
      </c>
      <c r="BO449" s="73"/>
      <c r="BP449" s="74">
        <v>-6229.162436244731</v>
      </c>
      <c r="BQ449" s="74">
        <v>0</v>
      </c>
      <c r="BS449" s="109">
        <f t="shared" si="180"/>
        <v>116096.62800776676</v>
      </c>
      <c r="BT449" s="109">
        <f t="shared" si="181"/>
        <v>116500.38141451112</v>
      </c>
      <c r="BV449" s="58">
        <f t="array" ref="BV449">SUM(IF(BS449:BT449&gt;=BS449, 1))</f>
        <v>2</v>
      </c>
      <c r="BW449" s="58">
        <f t="array" ref="BW449">SUM(IF(BS449:BT449&gt;=BT449, 1))</f>
        <v>1</v>
      </c>
      <c r="BY449" s="109">
        <f t="shared" si="182"/>
        <v>133170.70561262281</v>
      </c>
      <c r="BZ449" s="109">
        <f t="shared" si="183"/>
        <v>133532.90570300192</v>
      </c>
      <c r="CB449" s="58">
        <f t="array" ref="CB449">SUM(IF(BY449:BZ449&gt;=BY449, 1))</f>
        <v>2</v>
      </c>
      <c r="CC449" s="58">
        <f t="array" ref="CC449">SUM(IF(BY449:BZ449&gt;=BZ449, 1))</f>
        <v>1</v>
      </c>
      <c r="CE449" s="109">
        <f t="shared" si="184"/>
        <v>95203.24497987752</v>
      </c>
      <c r="CF449" s="109">
        <f t="shared" si="185"/>
        <v>96107.288608879258</v>
      </c>
      <c r="CH449" s="58">
        <f t="array" ref="CH449">SUM(IF(CE449:CF449&gt;=CE449, 1))</f>
        <v>2</v>
      </c>
      <c r="CI449" s="58">
        <f t="array" ref="CI449">SUM(IF(CE449:CF449&gt;=CF449, 1))</f>
        <v>1</v>
      </c>
      <c r="CK449" s="109">
        <f t="shared" si="186"/>
        <v>50640.19502754214</v>
      </c>
      <c r="CL449" s="109">
        <f t="shared" si="187"/>
        <v>51737.873067441549</v>
      </c>
      <c r="CN449" s="58">
        <f t="array" ref="CN449">SUM(IF(CK449:CL449&gt;=CK449, 1))</f>
        <v>2</v>
      </c>
      <c r="CO449" s="58">
        <f t="array" ref="CO449">SUM(IF(CK449:CL449&gt;=CL449, 1))</f>
        <v>1</v>
      </c>
      <c r="CQ449" s="109" cm="1">
        <f t="array" ref="CQ449">AF449*WTP-AC449</f>
        <v>32129.934612739031</v>
      </c>
      <c r="CR449" s="109">
        <f t="shared" si="188"/>
        <v>36139.717327282735</v>
      </c>
      <c r="CT449" s="58">
        <f t="array" ref="CT449">SUM(IF(CQ449:CR449&gt;=CQ449, 1))</f>
        <v>2</v>
      </c>
      <c r="CU449" s="58">
        <f t="array" ref="CU449">SUM(IF(CQ449:CR449&gt;=CR449, 1))</f>
        <v>1</v>
      </c>
      <c r="CW449" s="109">
        <f t="shared" si="189"/>
        <v>-43437015.771154128</v>
      </c>
      <c r="CX449" s="109">
        <f t="shared" si="190"/>
        <v>0</v>
      </c>
      <c r="CZ449" s="58">
        <f t="array" ref="CZ449">SUM(IF(CW449:CX449&gt;=CW449, 1))</f>
        <v>2</v>
      </c>
      <c r="DA449" s="58">
        <f t="array" ref="DA449">SUM(IF(CW449:CX449&gt;=CX449, 1))</f>
        <v>1</v>
      </c>
      <c r="DC449" s="109">
        <f t="shared" si="191"/>
        <v>-2500629.0515626175</v>
      </c>
      <c r="DD449" s="109">
        <f t="shared" si="192"/>
        <v>0</v>
      </c>
      <c r="DF449" s="58">
        <f t="array" ref="DF449">SUM(IF(DC449:DD449&gt;=DC449, 1))</f>
        <v>2</v>
      </c>
      <c r="DG449" s="58">
        <f t="array" ref="DG449">SUM(IF(DC449:DD449&gt;=DD449, 1))</f>
        <v>1</v>
      </c>
      <c r="DI449" s="109">
        <f t="shared" si="193"/>
        <v>-21097465.601291876</v>
      </c>
      <c r="DJ449" s="109">
        <f t="shared" si="194"/>
        <v>0</v>
      </c>
      <c r="DL449" s="58">
        <f t="array" ref="DL449">SUM(IF(DI449:DJ449&gt;=DI449, 1))</f>
        <v>2</v>
      </c>
      <c r="DM449" s="58">
        <f t="array" ref="DM449">SUM(IF(DI449:DJ449&gt;=DJ449, 1))</f>
        <v>1</v>
      </c>
      <c r="DO449" s="109">
        <f t="shared" si="195"/>
        <v>-9829020.6552976929</v>
      </c>
      <c r="DP449" s="109">
        <f t="shared" si="196"/>
        <v>0</v>
      </c>
      <c r="DR449" s="58">
        <f t="array" ref="DR449">SUM(IF(DO449:DP449&gt;=DO449, 1))</f>
        <v>2</v>
      </c>
      <c r="DS449" s="58">
        <f t="array" ref="DS449">SUM(IF(DO449:DP449&gt;=DP449, 1))</f>
        <v>1</v>
      </c>
      <c r="DU449" s="109">
        <f t="shared" si="197"/>
        <v>-64259196.228178129</v>
      </c>
      <c r="DV449" s="109">
        <f t="shared" si="198"/>
        <v>0</v>
      </c>
      <c r="DX449" s="58">
        <f t="array" ref="DX449">SUM(IF(DU449:DV449&gt;=DU449, 1))</f>
        <v>2</v>
      </c>
      <c r="DY449" s="58">
        <f t="array" ref="DY449">SUM(IF(DU449:DV449&gt;=DV449, 1))</f>
        <v>1</v>
      </c>
      <c r="EA449" s="109">
        <f t="shared" si="199"/>
        <v>-141123327.30748445</v>
      </c>
      <c r="EB449" s="109">
        <f t="shared" si="200"/>
        <v>0</v>
      </c>
      <c r="ED449" s="58">
        <f t="array" ref="ED449">SUM(IF(EA449:EB449&gt;=EA449, 1))</f>
        <v>2</v>
      </c>
      <c r="EE449" s="58">
        <f t="array" ref="EE449">SUM(IF(EA449:EB449&gt;=EB449, 1))</f>
        <v>1</v>
      </c>
    </row>
    <row r="450" spans="4:135" ht="12" customHeight="1" x14ac:dyDescent="0.25">
      <c r="D450" s="11">
        <v>434</v>
      </c>
      <c r="E450" s="72">
        <v>237.13698301076781</v>
      </c>
      <c r="F450" s="72">
        <v>214.85103587300182</v>
      </c>
      <c r="G450" s="73"/>
      <c r="H450" s="74">
        <v>5.7990839742106566</v>
      </c>
      <c r="I450" s="74">
        <v>5.8166645067214047</v>
      </c>
      <c r="J450" s="73"/>
      <c r="K450" s="72">
        <v>254.55770018619717</v>
      </c>
      <c r="L450" s="72">
        <v>231.75165851120187</v>
      </c>
      <c r="M450" s="73"/>
      <c r="N450" s="74">
        <v>6.7209652281167083</v>
      </c>
      <c r="O450" s="74">
        <v>6.7365910778074172</v>
      </c>
      <c r="P450" s="73"/>
      <c r="Q450" s="72">
        <v>1965.1160169913853</v>
      </c>
      <c r="R450" s="72">
        <v>1093.5673106089371</v>
      </c>
      <c r="S450" s="73"/>
      <c r="T450" s="74">
        <v>4.6664975666102739</v>
      </c>
      <c r="U450" s="74">
        <v>4.7494658189010162</v>
      </c>
      <c r="V450" s="73"/>
      <c r="W450" s="72">
        <v>11463.21596835594</v>
      </c>
      <c r="X450" s="72">
        <v>11491.273209726352</v>
      </c>
      <c r="Y450" s="73"/>
      <c r="Z450" s="74">
        <v>3.087490641195032</v>
      </c>
      <c r="AA450" s="74">
        <v>3.14201390086403</v>
      </c>
      <c r="AB450" s="73"/>
      <c r="AC450" s="72">
        <v>51380.828251657003</v>
      </c>
      <c r="AD450" s="72">
        <v>50725.959688692019</v>
      </c>
      <c r="AE450" s="73"/>
      <c r="AF450" s="74">
        <v>4.1393615593777362</v>
      </c>
      <c r="AG450" s="74">
        <v>4.2433841900003317</v>
      </c>
      <c r="AH450" s="73"/>
      <c r="AI450" s="72">
        <v>2410945.6460818411</v>
      </c>
      <c r="AJ450" s="72">
        <v>0</v>
      </c>
      <c r="AK450" s="73"/>
      <c r="AL450" s="74">
        <v>-1901.9029368853314</v>
      </c>
      <c r="AM450" s="74">
        <v>0</v>
      </c>
      <c r="AN450" s="73"/>
      <c r="AO450" s="72">
        <v>154953.91197810663</v>
      </c>
      <c r="AP450" s="72">
        <v>0</v>
      </c>
      <c r="AQ450" s="73"/>
      <c r="AR450" s="74">
        <v>-106.16864478555904</v>
      </c>
      <c r="AS450" s="74">
        <v>0</v>
      </c>
      <c r="AT450" s="73"/>
      <c r="AU450" s="72">
        <v>20256533.036954403</v>
      </c>
      <c r="AV450" s="72">
        <v>0</v>
      </c>
      <c r="AW450" s="73"/>
      <c r="AX450" s="74">
        <v>-1928.3479296546559</v>
      </c>
      <c r="AY450" s="74">
        <v>0</v>
      </c>
      <c r="AZ450" s="73"/>
      <c r="BA450" s="72">
        <v>-255299.05223758885</v>
      </c>
      <c r="BB450" s="72">
        <v>0</v>
      </c>
      <c r="BC450" s="73"/>
      <c r="BD450" s="74">
        <v>-496.11921338347361</v>
      </c>
      <c r="BE450" s="74">
        <v>0</v>
      </c>
      <c r="BF450" s="73"/>
      <c r="BG450" s="72">
        <v>10348287.431963634</v>
      </c>
      <c r="BH450" s="72">
        <v>0</v>
      </c>
      <c r="BI450" s="73"/>
      <c r="BJ450" s="74">
        <v>-1643.7742502676197</v>
      </c>
      <c r="BK450" s="74">
        <v>0</v>
      </c>
      <c r="BL450" s="73"/>
      <c r="BM450" s="72">
        <v>32915420.974740393</v>
      </c>
      <c r="BN450" s="72">
        <v>0</v>
      </c>
      <c r="BO450" s="73"/>
      <c r="BP450" s="74">
        <v>-6076.3129749766395</v>
      </c>
      <c r="BQ450" s="74">
        <v>0</v>
      </c>
      <c r="BS450" s="109">
        <f t="shared" si="180"/>
        <v>115744.54250120236</v>
      </c>
      <c r="BT450" s="109">
        <f t="shared" si="181"/>
        <v>116118.4390985551</v>
      </c>
      <c r="BV450" s="58">
        <f t="array" ref="BV450">SUM(IF(BS450:BT450&gt;=BS450, 1))</f>
        <v>2</v>
      </c>
      <c r="BW450" s="58">
        <f t="array" ref="BW450">SUM(IF(BS450:BT450&gt;=BT450, 1))</f>
        <v>1</v>
      </c>
      <c r="BY450" s="109">
        <f t="shared" si="182"/>
        <v>134164.74686214796</v>
      </c>
      <c r="BZ450" s="109">
        <f t="shared" si="183"/>
        <v>134500.06989763715</v>
      </c>
      <c r="CB450" s="58">
        <f t="array" ref="CB450">SUM(IF(BY450:BZ450&gt;=BY450, 1))</f>
        <v>2</v>
      </c>
      <c r="CC450" s="58">
        <f t="array" ref="CC450">SUM(IF(BY450:BZ450&gt;=BZ450, 1))</f>
        <v>1</v>
      </c>
      <c r="CE450" s="109">
        <f t="shared" si="184"/>
        <v>91364.835315214106</v>
      </c>
      <c r="CF450" s="109">
        <f t="shared" si="185"/>
        <v>93895.74906741138</v>
      </c>
      <c r="CH450" s="58">
        <f t="array" ref="CH450">SUM(IF(CE450:CF450&gt;=CE450, 1))</f>
        <v>2</v>
      </c>
      <c r="CI450" s="58">
        <f t="array" ref="CI450">SUM(IF(CE450:CF450&gt;=CF450, 1))</f>
        <v>1</v>
      </c>
      <c r="CK450" s="109">
        <f t="shared" si="186"/>
        <v>50286.596855544703</v>
      </c>
      <c r="CL450" s="109">
        <f t="shared" si="187"/>
        <v>51349.004807554251</v>
      </c>
      <c r="CN450" s="58">
        <f t="array" ref="CN450">SUM(IF(CK450:CL450&gt;=CK450, 1))</f>
        <v>2</v>
      </c>
      <c r="CO450" s="58">
        <f t="array" ref="CO450">SUM(IF(CK450:CL450&gt;=CL450, 1))</f>
        <v>1</v>
      </c>
      <c r="CQ450" s="109" cm="1">
        <f t="array" ref="CQ450">AF450*WTP-AC450</f>
        <v>31406.402935897728</v>
      </c>
      <c r="CR450" s="109">
        <f t="shared" si="188"/>
        <v>34141.724111314616</v>
      </c>
      <c r="CT450" s="58">
        <f t="array" ref="CT450">SUM(IF(CQ450:CR450&gt;=CQ450, 1))</f>
        <v>2</v>
      </c>
      <c r="CU450" s="58">
        <f t="array" ref="CU450">SUM(IF(CQ450:CR450&gt;=CR450, 1))</f>
        <v>1</v>
      </c>
      <c r="CW450" s="109">
        <f t="shared" si="189"/>
        <v>-40449004.383788474</v>
      </c>
      <c r="CX450" s="109">
        <f t="shared" si="190"/>
        <v>0</v>
      </c>
      <c r="CZ450" s="58">
        <f t="array" ref="CZ450">SUM(IF(CW450:CX450&gt;=CW450, 1))</f>
        <v>2</v>
      </c>
      <c r="DA450" s="58">
        <f t="array" ref="DA450">SUM(IF(CW450:CX450&gt;=CX450, 1))</f>
        <v>1</v>
      </c>
      <c r="DC450" s="109">
        <f t="shared" si="191"/>
        <v>-2278326.8076892872</v>
      </c>
      <c r="DD450" s="109">
        <f t="shared" si="192"/>
        <v>0</v>
      </c>
      <c r="DF450" s="58">
        <f t="array" ref="DF450">SUM(IF(DC450:DD450&gt;=DC450, 1))</f>
        <v>2</v>
      </c>
      <c r="DG450" s="58">
        <f t="array" ref="DG450">SUM(IF(DC450:DD450&gt;=DD450, 1))</f>
        <v>1</v>
      </c>
      <c r="DI450" s="109">
        <f t="shared" si="193"/>
        <v>-58823491.630047522</v>
      </c>
      <c r="DJ450" s="109">
        <f t="shared" si="194"/>
        <v>0</v>
      </c>
      <c r="DL450" s="58">
        <f t="array" ref="DL450">SUM(IF(DI450:DJ450&gt;=DI450, 1))</f>
        <v>2</v>
      </c>
      <c r="DM450" s="58">
        <f t="array" ref="DM450">SUM(IF(DI450:DJ450&gt;=DJ450, 1))</f>
        <v>1</v>
      </c>
      <c r="DO450" s="109">
        <f t="shared" si="195"/>
        <v>-9667085.2154318839</v>
      </c>
      <c r="DP450" s="109">
        <f t="shared" si="196"/>
        <v>0</v>
      </c>
      <c r="DR450" s="58">
        <f t="array" ref="DR450">SUM(IF(DO450:DP450&gt;=DO450, 1))</f>
        <v>2</v>
      </c>
      <c r="DS450" s="58">
        <f t="array" ref="DS450">SUM(IF(DO450:DP450&gt;=DP450, 1))</f>
        <v>1</v>
      </c>
      <c r="DU450" s="109">
        <f t="shared" si="197"/>
        <v>-43223772.43731603</v>
      </c>
      <c r="DV450" s="109">
        <f t="shared" si="198"/>
        <v>0</v>
      </c>
      <c r="DX450" s="58">
        <f t="array" ref="DX450">SUM(IF(DU450:DV450&gt;=DU450, 1))</f>
        <v>2</v>
      </c>
      <c r="DY450" s="58">
        <f t="array" ref="DY450">SUM(IF(DU450:DV450&gt;=DV450, 1))</f>
        <v>1</v>
      </c>
      <c r="EA450" s="109">
        <f t="shared" si="199"/>
        <v>-154441680.47427318</v>
      </c>
      <c r="EB450" s="109">
        <f t="shared" si="200"/>
        <v>0</v>
      </c>
      <c r="ED450" s="58">
        <f t="array" ref="ED450">SUM(IF(EA450:EB450&gt;=EA450, 1))</f>
        <v>2</v>
      </c>
      <c r="EE450" s="58">
        <f t="array" ref="EE450">SUM(IF(EA450:EB450&gt;=EB450, 1))</f>
        <v>1</v>
      </c>
    </row>
    <row r="451" spans="4:135" ht="12" customHeight="1" x14ac:dyDescent="0.25">
      <c r="D451" s="11">
        <v>435</v>
      </c>
      <c r="E451" s="72">
        <v>247.13016688424656</v>
      </c>
      <c r="F451" s="72">
        <v>223.79010619654662</v>
      </c>
      <c r="G451" s="73"/>
      <c r="H451" s="74">
        <v>5.8510681486935683</v>
      </c>
      <c r="I451" s="74">
        <v>5.8675649390731355</v>
      </c>
      <c r="J451" s="73"/>
      <c r="K451" s="72">
        <v>265.16268435942391</v>
      </c>
      <c r="L451" s="72">
        <v>241.26104555081017</v>
      </c>
      <c r="M451" s="73"/>
      <c r="N451" s="74">
        <v>6.6885036453821725</v>
      </c>
      <c r="O451" s="74">
        <v>6.702611816479819</v>
      </c>
      <c r="P451" s="73"/>
      <c r="Q451" s="72">
        <v>1804.0575419737297</v>
      </c>
      <c r="R451" s="72">
        <v>1285.2046441769878</v>
      </c>
      <c r="S451" s="73"/>
      <c r="T451" s="74">
        <v>4.8753252652915373</v>
      </c>
      <c r="U451" s="74">
        <v>4.9297876528868487</v>
      </c>
      <c r="V451" s="73"/>
      <c r="W451" s="72">
        <v>10352.720653246564</v>
      </c>
      <c r="X451" s="72">
        <v>10287.076371267005</v>
      </c>
      <c r="Y451" s="73"/>
      <c r="Z451" s="74">
        <v>3.0961183952979736</v>
      </c>
      <c r="AA451" s="74">
        <v>3.122524198525932</v>
      </c>
      <c r="AB451" s="73"/>
      <c r="AC451" s="72">
        <v>50657.237130116868</v>
      </c>
      <c r="AD451" s="72">
        <v>50500.485637104801</v>
      </c>
      <c r="AE451" s="73"/>
      <c r="AF451" s="74">
        <v>4.6546561356775911</v>
      </c>
      <c r="AG451" s="74">
        <v>4.7322617960531996</v>
      </c>
      <c r="AH451" s="73"/>
      <c r="AI451" s="72">
        <v>2521936.9583438989</v>
      </c>
      <c r="AJ451" s="72">
        <v>0</v>
      </c>
      <c r="AK451" s="73"/>
      <c r="AL451" s="74">
        <v>-1782.5088764318227</v>
      </c>
      <c r="AM451" s="74">
        <v>0</v>
      </c>
      <c r="AN451" s="73"/>
      <c r="AO451" s="72">
        <v>173100.18724204935</v>
      </c>
      <c r="AP451" s="72">
        <v>0</v>
      </c>
      <c r="AQ451" s="73"/>
      <c r="AR451" s="74">
        <v>-102.17404246630061</v>
      </c>
      <c r="AS451" s="74">
        <v>0</v>
      </c>
      <c r="AT451" s="73"/>
      <c r="AU451" s="72">
        <v>12444194.45317515</v>
      </c>
      <c r="AV451" s="72">
        <v>0</v>
      </c>
      <c r="AW451" s="73"/>
      <c r="AX451" s="74">
        <v>-1306.22869121134</v>
      </c>
      <c r="AY451" s="74">
        <v>0</v>
      </c>
      <c r="AZ451" s="73"/>
      <c r="BA451" s="72">
        <v>567643.11962541798</v>
      </c>
      <c r="BB451" s="72">
        <v>0</v>
      </c>
      <c r="BC451" s="73"/>
      <c r="BD451" s="74">
        <v>-228.33782423274292</v>
      </c>
      <c r="BE451" s="74">
        <v>0</v>
      </c>
      <c r="BF451" s="73"/>
      <c r="BG451" s="72">
        <v>2413048.1940181018</v>
      </c>
      <c r="BH451" s="72">
        <v>0</v>
      </c>
      <c r="BI451" s="73"/>
      <c r="BJ451" s="74">
        <v>-1194.6693139345628</v>
      </c>
      <c r="BK451" s="74">
        <v>0</v>
      </c>
      <c r="BL451" s="73"/>
      <c r="BM451" s="72">
        <v>18119922.912404619</v>
      </c>
      <c r="BN451" s="72">
        <v>0</v>
      </c>
      <c r="BO451" s="73"/>
      <c r="BP451" s="74">
        <v>-4613.9187482767693</v>
      </c>
      <c r="BQ451" s="74">
        <v>0</v>
      </c>
      <c r="BS451" s="109">
        <f t="shared" si="180"/>
        <v>116774.23280698711</v>
      </c>
      <c r="BT451" s="109">
        <f t="shared" si="181"/>
        <v>117127.50867526616</v>
      </c>
      <c r="BV451" s="58">
        <f t="array" ref="BV451">SUM(IF(BS451:BT451&gt;=BS451, 1))</f>
        <v>2</v>
      </c>
      <c r="BW451" s="58">
        <f t="array" ref="BW451">SUM(IF(BS451:BT451&gt;=BT451, 1))</f>
        <v>1</v>
      </c>
      <c r="BY451" s="109">
        <f t="shared" si="182"/>
        <v>133504.91022328404</v>
      </c>
      <c r="BZ451" s="109">
        <f t="shared" si="183"/>
        <v>133810.97528404556</v>
      </c>
      <c r="CB451" s="58">
        <f t="array" ref="CB451">SUM(IF(BY451:BZ451&gt;=BY451, 1))</f>
        <v>2</v>
      </c>
      <c r="CC451" s="58">
        <f t="array" ref="CC451">SUM(IF(BY451:BZ451&gt;=BZ451, 1))</f>
        <v>1</v>
      </c>
      <c r="CE451" s="109">
        <f t="shared" si="184"/>
        <v>95702.447763857024</v>
      </c>
      <c r="CF451" s="109">
        <f t="shared" si="185"/>
        <v>97310.548413559984</v>
      </c>
      <c r="CH451" s="58">
        <f t="array" ref="CH451">SUM(IF(CE451:CF451&gt;=CE451, 1))</f>
        <v>2</v>
      </c>
      <c r="CI451" s="58">
        <f t="array" ref="CI451">SUM(IF(CE451:CF451&gt;=CF451, 1))</f>
        <v>1</v>
      </c>
      <c r="CK451" s="109">
        <f t="shared" si="186"/>
        <v>51569.647252712908</v>
      </c>
      <c r="CL451" s="109">
        <f t="shared" si="187"/>
        <v>52163.40759925163</v>
      </c>
      <c r="CN451" s="58">
        <f t="array" ref="CN451">SUM(IF(CK451:CL451&gt;=CK451, 1))</f>
        <v>2</v>
      </c>
      <c r="CO451" s="58">
        <f t="array" ref="CO451">SUM(IF(CK451:CL451&gt;=CL451, 1))</f>
        <v>1</v>
      </c>
      <c r="CQ451" s="109" cm="1">
        <f t="array" ref="CQ451">AF451*WTP-AC451</f>
        <v>42435.88558343496</v>
      </c>
      <c r="CR451" s="109">
        <f t="shared" si="188"/>
        <v>44144.750283959198</v>
      </c>
      <c r="CT451" s="58">
        <f t="array" ref="CT451">SUM(IF(CQ451:CR451&gt;=CQ451, 1))</f>
        <v>2</v>
      </c>
      <c r="CU451" s="58">
        <f t="array" ref="CU451">SUM(IF(CQ451:CR451&gt;=CR451, 1))</f>
        <v>1</v>
      </c>
      <c r="CW451" s="109">
        <f t="shared" si="189"/>
        <v>-38172114.486980356</v>
      </c>
      <c r="CX451" s="109">
        <f t="shared" si="190"/>
        <v>0</v>
      </c>
      <c r="CZ451" s="58">
        <f t="array" ref="CZ451">SUM(IF(CW451:CX451&gt;=CW451, 1))</f>
        <v>2</v>
      </c>
      <c r="DA451" s="58">
        <f t="array" ref="DA451">SUM(IF(CW451:CX451&gt;=CX451, 1))</f>
        <v>1</v>
      </c>
      <c r="DC451" s="109">
        <f t="shared" si="191"/>
        <v>-2216581.0365680614</v>
      </c>
      <c r="DD451" s="109">
        <f t="shared" si="192"/>
        <v>0</v>
      </c>
      <c r="DF451" s="58">
        <f t="array" ref="DF451">SUM(IF(DC451:DD451&gt;=DC451, 1))</f>
        <v>2</v>
      </c>
      <c r="DG451" s="58">
        <f t="array" ref="DG451">SUM(IF(DC451:DD451&gt;=DD451, 1))</f>
        <v>1</v>
      </c>
      <c r="DI451" s="109">
        <f t="shared" si="193"/>
        <v>-38568768.277401954</v>
      </c>
      <c r="DJ451" s="109">
        <f t="shared" si="194"/>
        <v>0</v>
      </c>
      <c r="DL451" s="58">
        <f t="array" ref="DL451">SUM(IF(DI451:DJ451&gt;=DI451, 1))</f>
        <v>2</v>
      </c>
      <c r="DM451" s="58">
        <f t="array" ref="DM451">SUM(IF(DI451:DJ451&gt;=DJ451, 1))</f>
        <v>1</v>
      </c>
      <c r="DO451" s="109">
        <f t="shared" si="195"/>
        <v>-5134399.6042802762</v>
      </c>
      <c r="DP451" s="109">
        <f t="shared" si="196"/>
        <v>0</v>
      </c>
      <c r="DR451" s="58">
        <f t="array" ref="DR451">SUM(IF(DO451:DP451&gt;=DO451, 1))</f>
        <v>2</v>
      </c>
      <c r="DS451" s="58">
        <f t="array" ref="DS451">SUM(IF(DO451:DP451&gt;=DP451, 1))</f>
        <v>1</v>
      </c>
      <c r="DU451" s="109">
        <f t="shared" si="197"/>
        <v>-26306434.472709358</v>
      </c>
      <c r="DV451" s="109">
        <f t="shared" si="198"/>
        <v>0</v>
      </c>
      <c r="DX451" s="58">
        <f t="array" ref="DX451">SUM(IF(DU451:DV451&gt;=DU451, 1))</f>
        <v>2</v>
      </c>
      <c r="DY451" s="58">
        <f t="array" ref="DY451">SUM(IF(DU451:DV451&gt;=DV451, 1))</f>
        <v>1</v>
      </c>
      <c r="EA451" s="109">
        <f t="shared" si="199"/>
        <v>-110398297.87794</v>
      </c>
      <c r="EB451" s="109">
        <f t="shared" si="200"/>
        <v>0</v>
      </c>
      <c r="ED451" s="58">
        <f t="array" ref="ED451">SUM(IF(EA451:EB451&gt;=EA451, 1))</f>
        <v>2</v>
      </c>
      <c r="EE451" s="58">
        <f t="array" ref="EE451">SUM(IF(EA451:EB451&gt;=EB451, 1))</f>
        <v>1</v>
      </c>
    </row>
    <row r="452" spans="4:135" ht="12" customHeight="1" x14ac:dyDescent="0.25">
      <c r="D452" s="11">
        <v>436</v>
      </c>
      <c r="E452" s="72">
        <v>259.70516274374643</v>
      </c>
      <c r="F452" s="72">
        <v>226.42535530553749</v>
      </c>
      <c r="G452" s="73"/>
      <c r="H452" s="74">
        <v>5.8413894181395776</v>
      </c>
      <c r="I452" s="74">
        <v>5.8600064771473095</v>
      </c>
      <c r="J452" s="73"/>
      <c r="K452" s="72">
        <v>278.28071013762082</v>
      </c>
      <c r="L452" s="72">
        <v>244.16527109489124</v>
      </c>
      <c r="M452" s="73"/>
      <c r="N452" s="74">
        <v>6.6899005002628318</v>
      </c>
      <c r="O452" s="74">
        <v>6.7053833232209161</v>
      </c>
      <c r="P452" s="73"/>
      <c r="Q452" s="72">
        <v>1844.6922896613414</v>
      </c>
      <c r="R452" s="72">
        <v>1281.3073476446409</v>
      </c>
      <c r="S452" s="73"/>
      <c r="T452" s="74">
        <v>4.9410562519891892</v>
      </c>
      <c r="U452" s="74">
        <v>5.0325523882330749</v>
      </c>
      <c r="V452" s="73"/>
      <c r="W452" s="72">
        <v>12529.96849300047</v>
      </c>
      <c r="X452" s="72">
        <v>12548.89219787627</v>
      </c>
      <c r="Y452" s="73"/>
      <c r="Z452" s="74">
        <v>3.0665346245622036</v>
      </c>
      <c r="AA452" s="74">
        <v>3.1042028370792547</v>
      </c>
      <c r="AB452" s="73"/>
      <c r="AC452" s="72">
        <v>50292.482042877717</v>
      </c>
      <c r="AD452" s="72">
        <v>50439.754195760586</v>
      </c>
      <c r="AE452" s="73"/>
      <c r="AF452" s="74">
        <v>4.4451984494949599</v>
      </c>
      <c r="AG452" s="74">
        <v>4.5398528773862106</v>
      </c>
      <c r="AH452" s="73"/>
      <c r="AI452" s="72">
        <v>3607748.3492199676</v>
      </c>
      <c r="AJ452" s="72">
        <v>0</v>
      </c>
      <c r="AK452" s="73"/>
      <c r="AL452" s="74">
        <v>-2018.210713123354</v>
      </c>
      <c r="AM452" s="74">
        <v>0</v>
      </c>
      <c r="AN452" s="73"/>
      <c r="AO452" s="72">
        <v>221917.23542017976</v>
      </c>
      <c r="AP452" s="72">
        <v>0</v>
      </c>
      <c r="AQ452" s="73"/>
      <c r="AR452" s="74">
        <v>-100.71408616652116</v>
      </c>
      <c r="AS452" s="74">
        <v>0</v>
      </c>
      <c r="AT452" s="73"/>
      <c r="AU452" s="72">
        <v>13354775.948821323</v>
      </c>
      <c r="AV452" s="72">
        <v>0</v>
      </c>
      <c r="AW452" s="73"/>
      <c r="AX452" s="74">
        <v>-2168.8730184125211</v>
      </c>
      <c r="AY452" s="74">
        <v>0</v>
      </c>
      <c r="AZ452" s="73"/>
      <c r="BA452" s="72">
        <v>-172843.4800759377</v>
      </c>
      <c r="BB452" s="72">
        <v>0</v>
      </c>
      <c r="BC452" s="73"/>
      <c r="BD452" s="74">
        <v>-344.05022602170067</v>
      </c>
      <c r="BE452" s="74">
        <v>0</v>
      </c>
      <c r="BF452" s="73"/>
      <c r="BG452" s="72">
        <v>-2385418.9390700818</v>
      </c>
      <c r="BH452" s="72">
        <v>0</v>
      </c>
      <c r="BI452" s="73"/>
      <c r="BJ452" s="74">
        <v>-1533.1511119974675</v>
      </c>
      <c r="BK452" s="74">
        <v>0</v>
      </c>
      <c r="BL452" s="73"/>
      <c r="BM452" s="72">
        <v>14626179.114315452</v>
      </c>
      <c r="BN452" s="72">
        <v>0</v>
      </c>
      <c r="BO452" s="73"/>
      <c r="BP452" s="74">
        <v>-6164.9991557215644</v>
      </c>
      <c r="BQ452" s="74">
        <v>0</v>
      </c>
      <c r="BS452" s="109">
        <f t="shared" si="180"/>
        <v>116568.08320004781</v>
      </c>
      <c r="BT452" s="109">
        <f t="shared" si="181"/>
        <v>116973.70418764066</v>
      </c>
      <c r="BV452" s="58">
        <f t="array" ref="BV452">SUM(IF(BS452:BT452&gt;=BS452, 1))</f>
        <v>2</v>
      </c>
      <c r="BW452" s="58">
        <f t="array" ref="BW452">SUM(IF(BS452:BT452&gt;=BT452, 1))</f>
        <v>1</v>
      </c>
      <c r="BY452" s="109">
        <f t="shared" si="182"/>
        <v>133519.729295119</v>
      </c>
      <c r="BZ452" s="109">
        <f t="shared" si="183"/>
        <v>133863.50119332343</v>
      </c>
      <c r="CB452" s="58">
        <f t="array" ref="CB452">SUM(IF(BY452:BZ452&gt;=BY452, 1))</f>
        <v>2</v>
      </c>
      <c r="CC452" s="58">
        <f t="array" ref="CC452">SUM(IF(BY452:BZ452&gt;=BZ452, 1))</f>
        <v>1</v>
      </c>
      <c r="CE452" s="109">
        <f t="shared" si="184"/>
        <v>96976.432750122447</v>
      </c>
      <c r="CF452" s="109">
        <f t="shared" si="185"/>
        <v>99369.740417016859</v>
      </c>
      <c r="CH452" s="58">
        <f t="array" ref="CH452">SUM(IF(CE452:CF452&gt;=CE452, 1))</f>
        <v>2</v>
      </c>
      <c r="CI452" s="58">
        <f t="array" ref="CI452">SUM(IF(CE452:CF452&gt;=CF452, 1))</f>
        <v>1</v>
      </c>
      <c r="CK452" s="109">
        <f t="shared" si="186"/>
        <v>48800.7239982436</v>
      </c>
      <c r="CL452" s="109">
        <f t="shared" si="187"/>
        <v>49535.16454370883</v>
      </c>
      <c r="CN452" s="58">
        <f t="array" ref="CN452">SUM(IF(CK452:CL452&gt;=CK452, 1))</f>
        <v>2</v>
      </c>
      <c r="CO452" s="58">
        <f t="array" ref="CO452">SUM(IF(CK452:CL452&gt;=CL452, 1))</f>
        <v>1</v>
      </c>
      <c r="CQ452" s="109" cm="1">
        <f t="array" ref="CQ452">AF452*WTP-AC452</f>
        <v>38611.486947021476</v>
      </c>
      <c r="CR452" s="109">
        <f t="shared" si="188"/>
        <v>40357.303351963623</v>
      </c>
      <c r="CT452" s="58">
        <f t="array" ref="CT452">SUM(IF(CQ452:CR452&gt;=CQ452, 1))</f>
        <v>2</v>
      </c>
      <c r="CU452" s="58">
        <f t="array" ref="CU452">SUM(IF(CQ452:CR452&gt;=CR452, 1))</f>
        <v>1</v>
      </c>
      <c r="CW452" s="109">
        <f t="shared" si="189"/>
        <v>-43971962.611687049</v>
      </c>
      <c r="CX452" s="109">
        <f t="shared" si="190"/>
        <v>0</v>
      </c>
      <c r="CZ452" s="58">
        <f t="array" ref="CZ452">SUM(IF(CW452:CX452&gt;=CW452, 1))</f>
        <v>2</v>
      </c>
      <c r="DA452" s="58">
        <f t="array" ref="DA452">SUM(IF(CW452:CX452&gt;=CX452, 1))</f>
        <v>1</v>
      </c>
      <c r="DC452" s="109">
        <f t="shared" si="191"/>
        <v>-2236198.9587506028</v>
      </c>
      <c r="DD452" s="109">
        <f t="shared" si="192"/>
        <v>0</v>
      </c>
      <c r="DF452" s="58">
        <f t="array" ref="DF452">SUM(IF(DC452:DD452&gt;=DC452, 1))</f>
        <v>2</v>
      </c>
      <c r="DG452" s="58">
        <f t="array" ref="DG452">SUM(IF(DC452:DD452&gt;=DD452, 1))</f>
        <v>1</v>
      </c>
      <c r="DI452" s="109">
        <f t="shared" si="193"/>
        <v>-56732236.317071743</v>
      </c>
      <c r="DJ452" s="109">
        <f t="shared" si="194"/>
        <v>0</v>
      </c>
      <c r="DL452" s="58">
        <f t="array" ref="DL452">SUM(IF(DI452:DJ452&gt;=DI452, 1))</f>
        <v>2</v>
      </c>
      <c r="DM452" s="58">
        <f t="array" ref="DM452">SUM(IF(DI452:DJ452&gt;=DJ452, 1))</f>
        <v>1</v>
      </c>
      <c r="DO452" s="109">
        <f t="shared" si="195"/>
        <v>-6708161.0403580759</v>
      </c>
      <c r="DP452" s="109">
        <f t="shared" si="196"/>
        <v>0</v>
      </c>
      <c r="DR452" s="58">
        <f t="array" ref="DR452">SUM(IF(DO452:DP452&gt;=DO452, 1))</f>
        <v>2</v>
      </c>
      <c r="DS452" s="58">
        <f t="array" ref="DS452">SUM(IF(DO452:DP452&gt;=DP452, 1))</f>
        <v>1</v>
      </c>
      <c r="DU452" s="109">
        <f t="shared" si="197"/>
        <v>-28277603.300879266</v>
      </c>
      <c r="DV452" s="109">
        <f t="shared" si="198"/>
        <v>0</v>
      </c>
      <c r="DX452" s="58">
        <f t="array" ref="DX452">SUM(IF(DU452:DV452&gt;=DU452, 1))</f>
        <v>2</v>
      </c>
      <c r="DY452" s="58">
        <f t="array" ref="DY452">SUM(IF(DU452:DV452&gt;=DV452, 1))</f>
        <v>1</v>
      </c>
      <c r="EA452" s="109">
        <f t="shared" si="199"/>
        <v>-137926162.22874674</v>
      </c>
      <c r="EB452" s="109">
        <f t="shared" si="200"/>
        <v>0</v>
      </c>
      <c r="ED452" s="58">
        <f t="array" ref="ED452">SUM(IF(EA452:EB452&gt;=EA452, 1))</f>
        <v>2</v>
      </c>
      <c r="EE452" s="58">
        <f t="array" ref="EE452">SUM(IF(EA452:EB452&gt;=EB452, 1))</f>
        <v>1</v>
      </c>
    </row>
    <row r="453" spans="4:135" ht="12" customHeight="1" x14ac:dyDescent="0.25">
      <c r="D453" s="11">
        <v>437</v>
      </c>
      <c r="E453" s="72">
        <v>295.13677721338507</v>
      </c>
      <c r="F453" s="72">
        <v>272.59048549595661</v>
      </c>
      <c r="G453" s="73"/>
      <c r="H453" s="74">
        <v>5.9035940227322881</v>
      </c>
      <c r="I453" s="74">
        <v>5.9173977658365438</v>
      </c>
      <c r="J453" s="73"/>
      <c r="K453" s="72">
        <v>317.03655783462682</v>
      </c>
      <c r="L453" s="72">
        <v>293.91106171167723</v>
      </c>
      <c r="M453" s="73"/>
      <c r="N453" s="74">
        <v>6.7397495385403428</v>
      </c>
      <c r="O453" s="74">
        <v>6.7508985841245952</v>
      </c>
      <c r="P453" s="73"/>
      <c r="Q453" s="72">
        <v>2449.4670857438023</v>
      </c>
      <c r="R453" s="72">
        <v>1625.3141807535992</v>
      </c>
      <c r="S453" s="73"/>
      <c r="T453" s="74">
        <v>4.8365161594165631</v>
      </c>
      <c r="U453" s="74">
        <v>4.9191748634098538</v>
      </c>
      <c r="V453" s="73"/>
      <c r="W453" s="72">
        <v>9047.6224671554228</v>
      </c>
      <c r="X453" s="72">
        <v>9035.1529554154567</v>
      </c>
      <c r="Y453" s="73"/>
      <c r="Z453" s="74">
        <v>3.0038970842708483</v>
      </c>
      <c r="AA453" s="74">
        <v>3.0444502998872185</v>
      </c>
      <c r="AB453" s="73"/>
      <c r="AC453" s="72">
        <v>49992.88301515815</v>
      </c>
      <c r="AD453" s="72">
        <v>49887.202380293442</v>
      </c>
      <c r="AE453" s="73"/>
      <c r="AF453" s="74">
        <v>4.055581216710654</v>
      </c>
      <c r="AG453" s="74">
        <v>4.12123592223604</v>
      </c>
      <c r="AH453" s="73"/>
      <c r="AI453" s="72">
        <v>2430171.0445536589</v>
      </c>
      <c r="AJ453" s="72">
        <v>0</v>
      </c>
      <c r="AK453" s="73"/>
      <c r="AL453" s="74">
        <v>-1487.8480780273294</v>
      </c>
      <c r="AM453" s="74">
        <v>0</v>
      </c>
      <c r="AN453" s="73"/>
      <c r="AO453" s="72">
        <v>154662.67249337264</v>
      </c>
      <c r="AP453" s="72">
        <v>0</v>
      </c>
      <c r="AQ453" s="73"/>
      <c r="AR453" s="74">
        <v>-74.564505628041175</v>
      </c>
      <c r="AS453" s="74">
        <v>0</v>
      </c>
      <c r="AT453" s="73"/>
      <c r="AU453" s="72">
        <v>19449718.509804457</v>
      </c>
      <c r="AV453" s="72">
        <v>0</v>
      </c>
      <c r="AW453" s="73"/>
      <c r="AX453" s="74">
        <v>-1950.7163237795835</v>
      </c>
      <c r="AY453" s="74">
        <v>0</v>
      </c>
      <c r="AZ453" s="73"/>
      <c r="BA453" s="72">
        <v>116265.2706760177</v>
      </c>
      <c r="BB453" s="72">
        <v>0</v>
      </c>
      <c r="BC453" s="73"/>
      <c r="BD453" s="74">
        <v>-378.11669684774887</v>
      </c>
      <c r="BE453" s="74">
        <v>0</v>
      </c>
      <c r="BF453" s="73"/>
      <c r="BG453" s="72">
        <v>1660385.4260910782</v>
      </c>
      <c r="BH453" s="72">
        <v>0</v>
      </c>
      <c r="BI453" s="73"/>
      <c r="BJ453" s="74">
        <v>-1031.5240474114241</v>
      </c>
      <c r="BK453" s="74">
        <v>0</v>
      </c>
      <c r="BL453" s="73"/>
      <c r="BM453" s="72">
        <v>23811202.923618585</v>
      </c>
      <c r="BN453" s="72">
        <v>0</v>
      </c>
      <c r="BO453" s="73"/>
      <c r="BP453" s="74">
        <v>-4922.7696516941269</v>
      </c>
      <c r="BQ453" s="74">
        <v>0</v>
      </c>
      <c r="BS453" s="109">
        <f t="shared" si="180"/>
        <v>117776.74367743237</v>
      </c>
      <c r="BT453" s="109">
        <f t="shared" si="181"/>
        <v>118075.36483123493</v>
      </c>
      <c r="BV453" s="58">
        <f t="array" ref="BV453">SUM(IF(BS453:BT453&gt;=BS453, 1))</f>
        <v>2</v>
      </c>
      <c r="BW453" s="58">
        <f t="array" ref="BW453">SUM(IF(BS453:BT453&gt;=BT453, 1))</f>
        <v>1</v>
      </c>
      <c r="BY453" s="109">
        <f t="shared" si="182"/>
        <v>134477.95421297222</v>
      </c>
      <c r="BZ453" s="109">
        <f t="shared" si="183"/>
        <v>134724.06062078025</v>
      </c>
      <c r="CB453" s="58">
        <f t="array" ref="CB453">SUM(IF(BY453:BZ453&gt;=BY453, 1))</f>
        <v>2</v>
      </c>
      <c r="CC453" s="58">
        <f t="array" ref="CC453">SUM(IF(BY453:BZ453&gt;=BZ453, 1))</f>
        <v>1</v>
      </c>
      <c r="CE453" s="109">
        <f t="shared" si="184"/>
        <v>94280.856102587466</v>
      </c>
      <c r="CF453" s="109">
        <f t="shared" si="185"/>
        <v>96758.183087443467</v>
      </c>
      <c r="CH453" s="58">
        <f t="array" ref="CH453">SUM(IF(CE453:CF453&gt;=CE453, 1))</f>
        <v>2</v>
      </c>
      <c r="CI453" s="58">
        <f t="array" ref="CI453">SUM(IF(CE453:CF453&gt;=CF453, 1))</f>
        <v>1</v>
      </c>
      <c r="CK453" s="109">
        <f t="shared" si="186"/>
        <v>51030.319218261546</v>
      </c>
      <c r="CL453" s="109">
        <f t="shared" si="187"/>
        <v>51853.853042328912</v>
      </c>
      <c r="CN453" s="58">
        <f t="array" ref="CN453">SUM(IF(CK453:CL453&gt;=CK453, 1))</f>
        <v>2</v>
      </c>
      <c r="CO453" s="58">
        <f t="array" ref="CO453">SUM(IF(CK453:CL453&gt;=CL453, 1))</f>
        <v>1</v>
      </c>
      <c r="CQ453" s="109" cm="1">
        <f t="array" ref="CQ453">AF453*WTP-AC453</f>
        <v>31118.741319054927</v>
      </c>
      <c r="CR453" s="109">
        <f t="shared" si="188"/>
        <v>32537.516064427356</v>
      </c>
      <c r="CT453" s="58">
        <f t="array" ref="CT453">SUM(IF(CQ453:CR453&gt;=CQ453, 1))</f>
        <v>2</v>
      </c>
      <c r="CU453" s="58">
        <f t="array" ref="CU453">SUM(IF(CQ453:CR453&gt;=CR453, 1))</f>
        <v>1</v>
      </c>
      <c r="CW453" s="109">
        <f t="shared" si="189"/>
        <v>-32187132.605100248</v>
      </c>
      <c r="CX453" s="109">
        <f t="shared" si="190"/>
        <v>0</v>
      </c>
      <c r="CZ453" s="58">
        <f t="array" ref="CZ453">SUM(IF(CW453:CX453&gt;=CW453, 1))</f>
        <v>2</v>
      </c>
      <c r="DA453" s="58">
        <f t="array" ref="DA453">SUM(IF(CW453:CX453&gt;=CX453, 1))</f>
        <v>1</v>
      </c>
      <c r="DC453" s="109">
        <f t="shared" si="191"/>
        <v>-1645952.7850541961</v>
      </c>
      <c r="DD453" s="109">
        <f t="shared" si="192"/>
        <v>0</v>
      </c>
      <c r="DF453" s="58">
        <f t="array" ref="DF453">SUM(IF(DC453:DD453&gt;=DC453, 1))</f>
        <v>2</v>
      </c>
      <c r="DG453" s="58">
        <f t="array" ref="DG453">SUM(IF(DC453:DD453&gt;=DD453, 1))</f>
        <v>1</v>
      </c>
      <c r="DI453" s="109">
        <f t="shared" si="193"/>
        <v>-58464044.985396124</v>
      </c>
      <c r="DJ453" s="109">
        <f t="shared" si="194"/>
        <v>0</v>
      </c>
      <c r="DL453" s="58">
        <f t="array" ref="DL453">SUM(IF(DI453:DJ453&gt;=DI453, 1))</f>
        <v>2</v>
      </c>
      <c r="DM453" s="58">
        <f t="array" ref="DM453">SUM(IF(DI453:DJ453&gt;=DJ453, 1))</f>
        <v>1</v>
      </c>
      <c r="DO453" s="109">
        <f t="shared" si="195"/>
        <v>-7678599.2076309947</v>
      </c>
      <c r="DP453" s="109">
        <f t="shared" si="196"/>
        <v>0</v>
      </c>
      <c r="DR453" s="58">
        <f t="array" ref="DR453">SUM(IF(DO453:DP453&gt;=DO453, 1))</f>
        <v>2</v>
      </c>
      <c r="DS453" s="58">
        <f t="array" ref="DS453">SUM(IF(DO453:DP453&gt;=DP453, 1))</f>
        <v>1</v>
      </c>
      <c r="DU453" s="109">
        <f t="shared" si="197"/>
        <v>-22290866.374319561</v>
      </c>
      <c r="DV453" s="109">
        <f t="shared" si="198"/>
        <v>0</v>
      </c>
      <c r="DX453" s="58">
        <f t="array" ref="DX453">SUM(IF(DU453:DV453&gt;=DU453, 1))</f>
        <v>2</v>
      </c>
      <c r="DY453" s="58">
        <f t="array" ref="DY453">SUM(IF(DU453:DV453&gt;=DV453, 1))</f>
        <v>1</v>
      </c>
      <c r="EA453" s="109">
        <f t="shared" si="199"/>
        <v>-122266595.95750113</v>
      </c>
      <c r="EB453" s="109">
        <f t="shared" si="200"/>
        <v>0</v>
      </c>
      <c r="ED453" s="58">
        <f t="array" ref="ED453">SUM(IF(EA453:EB453&gt;=EA453, 1))</f>
        <v>2</v>
      </c>
      <c r="EE453" s="58">
        <f t="array" ref="EE453">SUM(IF(EA453:EB453&gt;=EB453, 1))</f>
        <v>1</v>
      </c>
    </row>
    <row r="454" spans="4:135" ht="12" customHeight="1" x14ac:dyDescent="0.25">
      <c r="D454" s="11">
        <v>438</v>
      </c>
      <c r="E454" s="72">
        <v>253.75006208657939</v>
      </c>
      <c r="F454" s="72">
        <v>228.94570674083366</v>
      </c>
      <c r="G454" s="73"/>
      <c r="H454" s="74">
        <v>5.8843746261437824</v>
      </c>
      <c r="I454" s="74">
        <v>5.8981920439551967</v>
      </c>
      <c r="J454" s="73"/>
      <c r="K454" s="72">
        <v>272.25576813793384</v>
      </c>
      <c r="L454" s="72">
        <v>246.84699897380736</v>
      </c>
      <c r="M454" s="73"/>
      <c r="N454" s="74">
        <v>6.653124956415855</v>
      </c>
      <c r="O454" s="74">
        <v>6.6645934305842891</v>
      </c>
      <c r="P454" s="73"/>
      <c r="Q454" s="72">
        <v>1748.7941284397498</v>
      </c>
      <c r="R454" s="72">
        <v>1186.9049939975935</v>
      </c>
      <c r="S454" s="73"/>
      <c r="T454" s="74">
        <v>5.1132315825015819</v>
      </c>
      <c r="U454" s="74">
        <v>5.1852038367130948</v>
      </c>
      <c r="V454" s="73"/>
      <c r="W454" s="72">
        <v>8688.8289759557265</v>
      </c>
      <c r="X454" s="72">
        <v>8668.9475778661363</v>
      </c>
      <c r="Y454" s="73"/>
      <c r="Z454" s="74">
        <v>2.9257776224919967</v>
      </c>
      <c r="AA454" s="74">
        <v>2.9614030430581324</v>
      </c>
      <c r="AB454" s="73"/>
      <c r="AC454" s="72">
        <v>50300.393786402827</v>
      </c>
      <c r="AD454" s="72">
        <v>50031.103375081664</v>
      </c>
      <c r="AE454" s="73"/>
      <c r="AF454" s="74">
        <v>4.0104496053321999</v>
      </c>
      <c r="AG454" s="74">
        <v>4.138906261846989</v>
      </c>
      <c r="AH454" s="73"/>
      <c r="AI454" s="72">
        <v>2653677.9953057426</v>
      </c>
      <c r="AJ454" s="72">
        <v>0</v>
      </c>
      <c r="AK454" s="73"/>
      <c r="AL454" s="74">
        <v>-1478.2475531816101</v>
      </c>
      <c r="AM454" s="74">
        <v>0</v>
      </c>
      <c r="AN454" s="73"/>
      <c r="AO454" s="72">
        <v>181532.92015113906</v>
      </c>
      <c r="AP454" s="72">
        <v>0</v>
      </c>
      <c r="AQ454" s="73"/>
      <c r="AR454" s="74">
        <v>-81.936499640175398</v>
      </c>
      <c r="AS454" s="74">
        <v>0</v>
      </c>
      <c r="AT454" s="73"/>
      <c r="AU454" s="72">
        <v>13366526.047319656</v>
      </c>
      <c r="AV454" s="72">
        <v>0</v>
      </c>
      <c r="AW454" s="73"/>
      <c r="AX454" s="74">
        <v>-1712.1153473764739</v>
      </c>
      <c r="AY454" s="74">
        <v>0</v>
      </c>
      <c r="AZ454" s="73"/>
      <c r="BA454" s="72">
        <v>180412.97038154185</v>
      </c>
      <c r="BB454" s="72">
        <v>0</v>
      </c>
      <c r="BC454" s="73"/>
      <c r="BD454" s="74">
        <v>-323.28148737152964</v>
      </c>
      <c r="BE454" s="74">
        <v>0</v>
      </c>
      <c r="BF454" s="73"/>
      <c r="BG454" s="72">
        <v>4377948.4896937003</v>
      </c>
      <c r="BH454" s="72">
        <v>0</v>
      </c>
      <c r="BI454" s="73"/>
      <c r="BJ454" s="74">
        <v>-2088.3648349042728</v>
      </c>
      <c r="BK454" s="74">
        <v>0</v>
      </c>
      <c r="BL454" s="73"/>
      <c r="BM454" s="72">
        <v>20760098.422851779</v>
      </c>
      <c r="BN454" s="72">
        <v>0</v>
      </c>
      <c r="BO454" s="73"/>
      <c r="BP454" s="74">
        <v>-5683.9457224740618</v>
      </c>
      <c r="BQ454" s="74">
        <v>0</v>
      </c>
      <c r="BS454" s="109">
        <f t="shared" si="180"/>
        <v>117433.74246078907</v>
      </c>
      <c r="BT454" s="109">
        <f t="shared" si="181"/>
        <v>117734.8951723631</v>
      </c>
      <c r="BV454" s="58">
        <f t="array" ref="BV454">SUM(IF(BS454:BT454&gt;=BS454, 1))</f>
        <v>2</v>
      </c>
      <c r="BW454" s="58">
        <f t="array" ref="BW454">SUM(IF(BS454:BT454&gt;=BT454, 1))</f>
        <v>1</v>
      </c>
      <c r="BY454" s="109">
        <f t="shared" si="182"/>
        <v>132790.24336017919</v>
      </c>
      <c r="BZ454" s="109">
        <f t="shared" si="183"/>
        <v>133045.02161271198</v>
      </c>
      <c r="CB454" s="58">
        <f t="array" ref="CB454">SUM(IF(BY454:BZ454&gt;=BY454, 1))</f>
        <v>2</v>
      </c>
      <c r="CC454" s="58">
        <f t="array" ref="CC454">SUM(IF(BY454:BZ454&gt;=BZ454, 1))</f>
        <v>1</v>
      </c>
      <c r="CE454" s="109">
        <f t="shared" si="184"/>
        <v>100515.83752159188</v>
      </c>
      <c r="CF454" s="109">
        <f t="shared" si="185"/>
        <v>102517.1717402643</v>
      </c>
      <c r="CH454" s="58">
        <f t="array" ref="CH454">SUM(IF(CE454:CF454&gt;=CE454, 1))</f>
        <v>2</v>
      </c>
      <c r="CI454" s="58">
        <f t="array" ref="CI454">SUM(IF(CE454:CF454&gt;=CF454, 1))</f>
        <v>1</v>
      </c>
      <c r="CK454" s="109">
        <f t="shared" si="186"/>
        <v>49826.723473884209</v>
      </c>
      <c r="CL454" s="109">
        <f t="shared" si="187"/>
        <v>50559.113283296509</v>
      </c>
      <c r="CN454" s="58">
        <f t="array" ref="CN454">SUM(IF(CK454:CL454&gt;=CK454, 1))</f>
        <v>2</v>
      </c>
      <c r="CO454" s="58">
        <f t="array" ref="CO454">SUM(IF(CK454:CL454&gt;=CL454, 1))</f>
        <v>1</v>
      </c>
      <c r="CQ454" s="109" cm="1">
        <f t="array" ref="CQ454">AF454*WTP-AC454</f>
        <v>29908.598320241173</v>
      </c>
      <c r="CR454" s="109">
        <f t="shared" si="188"/>
        <v>32747.02186185812</v>
      </c>
      <c r="CT454" s="58">
        <f t="array" ref="CT454">SUM(IF(CQ454:CR454&gt;=CQ454, 1))</f>
        <v>2</v>
      </c>
      <c r="CU454" s="58">
        <f t="array" ref="CU454">SUM(IF(CQ454:CR454&gt;=CR454, 1))</f>
        <v>1</v>
      </c>
      <c r="CW454" s="109">
        <f t="shared" si="189"/>
        <v>-32218629.058937944</v>
      </c>
      <c r="CX454" s="109">
        <f t="shared" si="190"/>
        <v>0</v>
      </c>
      <c r="CZ454" s="58">
        <f t="array" ref="CZ454">SUM(IF(CW454:CX454&gt;=CW454, 1))</f>
        <v>2</v>
      </c>
      <c r="DA454" s="58">
        <f t="array" ref="DA454">SUM(IF(CW454:CX454&gt;=CX454, 1))</f>
        <v>1</v>
      </c>
      <c r="DC454" s="109">
        <f t="shared" si="191"/>
        <v>-1820262.9129546471</v>
      </c>
      <c r="DD454" s="109">
        <f t="shared" si="192"/>
        <v>0</v>
      </c>
      <c r="DF454" s="58">
        <f t="array" ref="DF454">SUM(IF(DC454:DD454&gt;=DC454, 1))</f>
        <v>2</v>
      </c>
      <c r="DG454" s="58">
        <f t="array" ref="DG454">SUM(IF(DC454:DD454&gt;=DD454, 1))</f>
        <v>1</v>
      </c>
      <c r="DI454" s="109">
        <f t="shared" si="193"/>
        <v>-47608832.994849138</v>
      </c>
      <c r="DJ454" s="109">
        <f t="shared" si="194"/>
        <v>0</v>
      </c>
      <c r="DL454" s="58">
        <f t="array" ref="DL454">SUM(IF(DI454:DJ454&gt;=DI454, 1))</f>
        <v>2</v>
      </c>
      <c r="DM454" s="58">
        <f t="array" ref="DM454">SUM(IF(DI454:DJ454&gt;=DJ454, 1))</f>
        <v>1</v>
      </c>
      <c r="DO454" s="109">
        <f t="shared" si="195"/>
        <v>-6646042.7178121349</v>
      </c>
      <c r="DP454" s="109">
        <f t="shared" si="196"/>
        <v>0</v>
      </c>
      <c r="DR454" s="58">
        <f t="array" ref="DR454">SUM(IF(DO454:DP454&gt;=DO454, 1))</f>
        <v>2</v>
      </c>
      <c r="DS454" s="58">
        <f t="array" ref="DS454">SUM(IF(DO454:DP454&gt;=DP454, 1))</f>
        <v>1</v>
      </c>
      <c r="DU454" s="109">
        <f t="shared" si="197"/>
        <v>-46145245.187779158</v>
      </c>
      <c r="DV454" s="109">
        <f t="shared" si="198"/>
        <v>0</v>
      </c>
      <c r="DX454" s="58">
        <f t="array" ref="DX454">SUM(IF(DU454:DV454&gt;=DU454, 1))</f>
        <v>2</v>
      </c>
      <c r="DY454" s="58">
        <f t="array" ref="DY454">SUM(IF(DU454:DV454&gt;=DV454, 1))</f>
        <v>1</v>
      </c>
      <c r="EA454" s="109">
        <f t="shared" si="199"/>
        <v>-134439012.87233302</v>
      </c>
      <c r="EB454" s="109">
        <f t="shared" si="200"/>
        <v>0</v>
      </c>
      <c r="ED454" s="58">
        <f t="array" ref="ED454">SUM(IF(EA454:EB454&gt;=EA454, 1))</f>
        <v>2</v>
      </c>
      <c r="EE454" s="58">
        <f t="array" ref="EE454">SUM(IF(EA454:EB454&gt;=EB454, 1))</f>
        <v>1</v>
      </c>
    </row>
    <row r="455" spans="4:135" ht="12" customHeight="1" x14ac:dyDescent="0.25">
      <c r="D455" s="11">
        <v>439</v>
      </c>
      <c r="E455" s="72">
        <v>211.00803517740408</v>
      </c>
      <c r="F455" s="72">
        <v>189.75213283969472</v>
      </c>
      <c r="G455" s="73"/>
      <c r="H455" s="74">
        <v>5.8715449512031963</v>
      </c>
      <c r="I455" s="74">
        <v>5.8859109086427415</v>
      </c>
      <c r="J455" s="73"/>
      <c r="K455" s="72">
        <v>226.29335344223085</v>
      </c>
      <c r="L455" s="72">
        <v>204.5312560282124</v>
      </c>
      <c r="M455" s="73"/>
      <c r="N455" s="74">
        <v>6.6660383585212655</v>
      </c>
      <c r="O455" s="74">
        <v>6.6781228447437666</v>
      </c>
      <c r="P455" s="73"/>
      <c r="Q455" s="72">
        <v>1683.2315245584145</v>
      </c>
      <c r="R455" s="72">
        <v>1012.4897786543419</v>
      </c>
      <c r="S455" s="73"/>
      <c r="T455" s="74">
        <v>4.79943590366178</v>
      </c>
      <c r="U455" s="74">
        <v>4.8785599376944599</v>
      </c>
      <c r="V455" s="73"/>
      <c r="W455" s="72">
        <v>12004.890153632177</v>
      </c>
      <c r="X455" s="72">
        <v>12023.125975191602</v>
      </c>
      <c r="Y455" s="73"/>
      <c r="Z455" s="74">
        <v>3.0126061330691063</v>
      </c>
      <c r="AA455" s="74">
        <v>3.0760264072708758</v>
      </c>
      <c r="AB455" s="73"/>
      <c r="AC455" s="72">
        <v>51321.913062930056</v>
      </c>
      <c r="AD455" s="72">
        <v>50986.778486308933</v>
      </c>
      <c r="AE455" s="73"/>
      <c r="AF455" s="74">
        <v>4.7436655735004081</v>
      </c>
      <c r="AG455" s="74">
        <v>4.8443460632906907</v>
      </c>
      <c r="AH455" s="73"/>
      <c r="AI455" s="72">
        <v>2270071.5767994723</v>
      </c>
      <c r="AJ455" s="72">
        <v>0</v>
      </c>
      <c r="AK455" s="73"/>
      <c r="AL455" s="74">
        <v>-1534.2445189526027</v>
      </c>
      <c r="AM455" s="74">
        <v>0</v>
      </c>
      <c r="AN455" s="73"/>
      <c r="AO455" s="72">
        <v>150804.07318449809</v>
      </c>
      <c r="AP455" s="72">
        <v>0</v>
      </c>
      <c r="AQ455" s="73"/>
      <c r="AR455" s="74">
        <v>-83.741456993993324</v>
      </c>
      <c r="AS455" s="74">
        <v>0</v>
      </c>
      <c r="AT455" s="73"/>
      <c r="AU455" s="72">
        <v>15539414.626934348</v>
      </c>
      <c r="AV455" s="72">
        <v>0</v>
      </c>
      <c r="AW455" s="73"/>
      <c r="AX455" s="74">
        <v>-1833.1066752557897</v>
      </c>
      <c r="AY455" s="74">
        <v>0</v>
      </c>
      <c r="AZ455" s="73"/>
      <c r="BA455" s="72">
        <v>-158609.17827716577</v>
      </c>
      <c r="BB455" s="72">
        <v>0</v>
      </c>
      <c r="BC455" s="73"/>
      <c r="BD455" s="74">
        <v>-551.60868647874645</v>
      </c>
      <c r="BE455" s="74">
        <v>0</v>
      </c>
      <c r="BF455" s="73"/>
      <c r="BG455" s="72">
        <v>5490111.0102465162</v>
      </c>
      <c r="BH455" s="72">
        <v>0</v>
      </c>
      <c r="BI455" s="73"/>
      <c r="BJ455" s="74">
        <v>-1649.3286699555767</v>
      </c>
      <c r="BK455" s="74">
        <v>0</v>
      </c>
      <c r="BL455" s="73"/>
      <c r="BM455" s="72">
        <v>23291792.108887669</v>
      </c>
      <c r="BN455" s="72">
        <v>0</v>
      </c>
      <c r="BO455" s="73"/>
      <c r="BP455" s="74">
        <v>-5652.0300076367084</v>
      </c>
      <c r="BQ455" s="74">
        <v>0</v>
      </c>
      <c r="BS455" s="109">
        <f t="shared" si="180"/>
        <v>117219.89098888652</v>
      </c>
      <c r="BT455" s="109">
        <f t="shared" si="181"/>
        <v>117528.46604001513</v>
      </c>
      <c r="BV455" s="58">
        <f t="array" ref="BV455">SUM(IF(BS455:BT455&gt;=BS455, 1))</f>
        <v>2</v>
      </c>
      <c r="BW455" s="58">
        <f t="array" ref="BW455">SUM(IF(BS455:BT455&gt;=BT455, 1))</f>
        <v>1</v>
      </c>
      <c r="BY455" s="109">
        <f t="shared" si="182"/>
        <v>133094.47381698308</v>
      </c>
      <c r="BZ455" s="109">
        <f t="shared" si="183"/>
        <v>133357.92563884711</v>
      </c>
      <c r="CB455" s="58">
        <f t="array" ref="CB455">SUM(IF(BY455:BZ455&gt;=BY455, 1))</f>
        <v>2</v>
      </c>
      <c r="CC455" s="58">
        <f t="array" ref="CC455">SUM(IF(BY455:BZ455&gt;=BZ455, 1))</f>
        <v>1</v>
      </c>
      <c r="CE455" s="109">
        <f t="shared" si="184"/>
        <v>94305.486548677189</v>
      </c>
      <c r="CF455" s="109">
        <f t="shared" si="185"/>
        <v>96558.708975234855</v>
      </c>
      <c r="CH455" s="58">
        <f t="array" ref="CH455">SUM(IF(CE455:CF455&gt;=CE455, 1))</f>
        <v>2</v>
      </c>
      <c r="CI455" s="58">
        <f t="array" ref="CI455">SUM(IF(CE455:CF455&gt;=CF455, 1))</f>
        <v>1</v>
      </c>
      <c r="CK455" s="109">
        <f t="shared" si="186"/>
        <v>48247.232507749948</v>
      </c>
      <c r="CL455" s="109">
        <f t="shared" si="187"/>
        <v>49497.40217022592</v>
      </c>
      <c r="CN455" s="58">
        <f t="array" ref="CN455">SUM(IF(CK455:CL455&gt;=CK455, 1))</f>
        <v>2</v>
      </c>
      <c r="CO455" s="58">
        <f t="array" ref="CO455">SUM(IF(CK455:CL455&gt;=CL455, 1))</f>
        <v>1</v>
      </c>
      <c r="CQ455" s="109" cm="1">
        <f t="array" ref="CQ455">AF455*WTP-AC455</f>
        <v>43551.398407078108</v>
      </c>
      <c r="CR455" s="109">
        <f t="shared" si="188"/>
        <v>45900.14277950488</v>
      </c>
      <c r="CT455" s="58">
        <f t="array" ref="CT455">SUM(IF(CQ455:CR455&gt;=CQ455, 1))</f>
        <v>2</v>
      </c>
      <c r="CU455" s="58">
        <f t="array" ref="CU455">SUM(IF(CQ455:CR455&gt;=CR455, 1))</f>
        <v>1</v>
      </c>
      <c r="CW455" s="109">
        <f t="shared" si="189"/>
        <v>-32954961.955851525</v>
      </c>
      <c r="CX455" s="109">
        <f t="shared" si="190"/>
        <v>0</v>
      </c>
      <c r="CZ455" s="58">
        <f t="array" ref="CZ455">SUM(IF(CW455:CX455&gt;=CW455, 1))</f>
        <v>2</v>
      </c>
      <c r="DA455" s="58">
        <f t="array" ref="DA455">SUM(IF(CW455:CX455&gt;=CX455, 1))</f>
        <v>1</v>
      </c>
      <c r="DC455" s="109">
        <f t="shared" si="191"/>
        <v>-1825633.2130643646</v>
      </c>
      <c r="DD455" s="109">
        <f t="shared" si="192"/>
        <v>0</v>
      </c>
      <c r="DF455" s="58">
        <f t="array" ref="DF455">SUM(IF(DC455:DD455&gt;=DC455, 1))</f>
        <v>2</v>
      </c>
      <c r="DG455" s="58">
        <f t="array" ref="DG455">SUM(IF(DC455:DD455&gt;=DD455, 1))</f>
        <v>1</v>
      </c>
      <c r="DI455" s="109">
        <f t="shared" si="193"/>
        <v>-52201548.132050142</v>
      </c>
      <c r="DJ455" s="109">
        <f t="shared" si="194"/>
        <v>0</v>
      </c>
      <c r="DL455" s="58">
        <f t="array" ref="DL455">SUM(IF(DI455:DJ455&gt;=DI455, 1))</f>
        <v>2</v>
      </c>
      <c r="DM455" s="58">
        <f t="array" ref="DM455">SUM(IF(DI455:DJ455&gt;=DJ455, 1))</f>
        <v>1</v>
      </c>
      <c r="DO455" s="109">
        <f t="shared" si="195"/>
        <v>-10873564.551297761</v>
      </c>
      <c r="DP455" s="109">
        <f t="shared" si="196"/>
        <v>0</v>
      </c>
      <c r="DR455" s="58">
        <f t="array" ref="DR455">SUM(IF(DO455:DP455&gt;=DO455, 1))</f>
        <v>2</v>
      </c>
      <c r="DS455" s="58">
        <f t="array" ref="DS455">SUM(IF(DO455:DP455&gt;=DP455, 1))</f>
        <v>1</v>
      </c>
      <c r="DU455" s="109">
        <f t="shared" si="197"/>
        <v>-38476684.409358054</v>
      </c>
      <c r="DV455" s="109">
        <f t="shared" si="198"/>
        <v>0</v>
      </c>
      <c r="DX455" s="58">
        <f t="array" ref="DX455">SUM(IF(DU455:DV455&gt;=DU455, 1))</f>
        <v>2</v>
      </c>
      <c r="DY455" s="58">
        <f t="array" ref="DY455">SUM(IF(DU455:DV455&gt;=DV455, 1))</f>
        <v>1</v>
      </c>
      <c r="EA455" s="109">
        <f t="shared" si="199"/>
        <v>-136332392.26162183</v>
      </c>
      <c r="EB455" s="109">
        <f t="shared" si="200"/>
        <v>0</v>
      </c>
      <c r="ED455" s="58">
        <f t="array" ref="ED455">SUM(IF(EA455:EB455&gt;=EA455, 1))</f>
        <v>2</v>
      </c>
      <c r="EE455" s="58">
        <f t="array" ref="EE455">SUM(IF(EA455:EB455&gt;=EB455, 1))</f>
        <v>1</v>
      </c>
    </row>
    <row r="456" spans="4:135" ht="12" customHeight="1" x14ac:dyDescent="0.25">
      <c r="D456" s="11">
        <v>440</v>
      </c>
      <c r="E456" s="72">
        <v>255.2002281100921</v>
      </c>
      <c r="F456" s="72">
        <v>225.44978943451949</v>
      </c>
      <c r="G456" s="73"/>
      <c r="H456" s="74">
        <v>5.8251906856859312</v>
      </c>
      <c r="I456" s="74">
        <v>5.8415959934078598</v>
      </c>
      <c r="J456" s="73"/>
      <c r="K456" s="72">
        <v>273.46394216100231</v>
      </c>
      <c r="L456" s="72">
        <v>243.01696430225084</v>
      </c>
      <c r="M456" s="73"/>
      <c r="N456" s="74">
        <v>6.7050319070286042</v>
      </c>
      <c r="O456" s="74">
        <v>6.7197115589414462</v>
      </c>
      <c r="P456" s="73"/>
      <c r="Q456" s="72">
        <v>2954.5643493088423</v>
      </c>
      <c r="R456" s="72">
        <v>1679.5375142045398</v>
      </c>
      <c r="S456" s="73"/>
      <c r="T456" s="74">
        <v>4.83910990381621</v>
      </c>
      <c r="U456" s="74">
        <v>4.9189300741628683</v>
      </c>
      <c r="V456" s="73"/>
      <c r="W456" s="72">
        <v>16468.872730253421</v>
      </c>
      <c r="X456" s="72">
        <v>16433.205210351844</v>
      </c>
      <c r="Y456" s="73"/>
      <c r="Z456" s="74">
        <v>2.8666356175545924</v>
      </c>
      <c r="AA456" s="74">
        <v>2.8940183684510936</v>
      </c>
      <c r="AB456" s="73"/>
      <c r="AC456" s="72">
        <v>50547.362980068232</v>
      </c>
      <c r="AD456" s="72">
        <v>50462.451992935756</v>
      </c>
      <c r="AE456" s="73"/>
      <c r="AF456" s="74">
        <v>4.8848716715432134</v>
      </c>
      <c r="AG456" s="74">
        <v>5.0187008782204465</v>
      </c>
      <c r="AH456" s="73"/>
      <c r="AI456" s="72">
        <v>3210089.521499157</v>
      </c>
      <c r="AJ456" s="72">
        <v>0</v>
      </c>
      <c r="AK456" s="73"/>
      <c r="AL456" s="74">
        <v>-1770.1421814116707</v>
      </c>
      <c r="AM456" s="74">
        <v>0</v>
      </c>
      <c r="AN456" s="73"/>
      <c r="AO456" s="72">
        <v>218449.69171067572</v>
      </c>
      <c r="AP456" s="72">
        <v>0</v>
      </c>
      <c r="AQ456" s="73"/>
      <c r="AR456" s="74">
        <v>-105.32294698203174</v>
      </c>
      <c r="AS456" s="74">
        <v>0</v>
      </c>
      <c r="AT456" s="73"/>
      <c r="AU456" s="72">
        <v>29957824.148873005</v>
      </c>
      <c r="AV456" s="72">
        <v>0</v>
      </c>
      <c r="AW456" s="73"/>
      <c r="AX456" s="74">
        <v>-1875.4418032171573</v>
      </c>
      <c r="AY456" s="74">
        <v>0</v>
      </c>
      <c r="AZ456" s="73"/>
      <c r="BA456" s="72">
        <v>317982.99354341254</v>
      </c>
      <c r="BB456" s="72">
        <v>0</v>
      </c>
      <c r="BC456" s="73"/>
      <c r="BD456" s="74">
        <v>-244.12263946442755</v>
      </c>
      <c r="BE456" s="74">
        <v>0</v>
      </c>
      <c r="BF456" s="73"/>
      <c r="BG456" s="72">
        <v>1338503.6317708651</v>
      </c>
      <c r="BH456" s="72">
        <v>0</v>
      </c>
      <c r="BI456" s="73"/>
      <c r="BJ456" s="74">
        <v>-2109.631335400848</v>
      </c>
      <c r="BK456" s="74">
        <v>0</v>
      </c>
      <c r="BL456" s="73"/>
      <c r="BM456" s="72">
        <v>35042849.987397119</v>
      </c>
      <c r="BN456" s="72">
        <v>0</v>
      </c>
      <c r="BO456" s="73"/>
      <c r="BP456" s="74">
        <v>-6104.660906476136</v>
      </c>
      <c r="BQ456" s="74">
        <v>0</v>
      </c>
      <c r="BS456" s="109">
        <f t="shared" si="180"/>
        <v>116248.61348560854</v>
      </c>
      <c r="BT456" s="109">
        <f t="shared" si="181"/>
        <v>116606.47007872268</v>
      </c>
      <c r="BV456" s="58">
        <f t="array" ref="BV456">SUM(IF(BS456:BT456&gt;=BS456, 1))</f>
        <v>2</v>
      </c>
      <c r="BW456" s="58">
        <f t="array" ref="BW456">SUM(IF(BS456:BT456&gt;=BT456, 1))</f>
        <v>1</v>
      </c>
      <c r="BY456" s="109">
        <f t="shared" si="182"/>
        <v>133827.17419841108</v>
      </c>
      <c r="BZ456" s="109">
        <f t="shared" si="183"/>
        <v>134151.21421452667</v>
      </c>
      <c r="CB456" s="58">
        <f t="array" ref="CB456">SUM(IF(BY456:BZ456&gt;=BY456, 1))</f>
        <v>2</v>
      </c>
      <c r="CC456" s="58">
        <f t="array" ref="CC456">SUM(IF(BY456:BZ456&gt;=BZ456, 1))</f>
        <v>1</v>
      </c>
      <c r="CE456" s="109">
        <f t="shared" si="184"/>
        <v>93827.63372701536</v>
      </c>
      <c r="CF456" s="109">
        <f t="shared" si="185"/>
        <v>96699.063969052833</v>
      </c>
      <c r="CH456" s="58">
        <f t="array" ref="CH456">SUM(IF(CE456:CF456&gt;=CE456, 1))</f>
        <v>2</v>
      </c>
      <c r="CI456" s="58">
        <f t="array" ref="CI456">SUM(IF(CE456:CF456&gt;=CF456, 1))</f>
        <v>1</v>
      </c>
      <c r="CK456" s="109">
        <f t="shared" si="186"/>
        <v>40863.839620838422</v>
      </c>
      <c r="CL456" s="109">
        <f t="shared" si="187"/>
        <v>41447.162158670028</v>
      </c>
      <c r="CN456" s="58">
        <f t="array" ref="CN456">SUM(IF(CK456:CL456&gt;=CK456, 1))</f>
        <v>2</v>
      </c>
      <c r="CO456" s="58">
        <f t="array" ref="CO456">SUM(IF(CK456:CL456&gt;=CL456, 1))</f>
        <v>1</v>
      </c>
      <c r="CQ456" s="109" cm="1">
        <f t="array" ref="CQ456">AF456*WTP-AC456</f>
        <v>47150.07045079604</v>
      </c>
      <c r="CR456" s="109">
        <f t="shared" si="188"/>
        <v>49911.565571473177</v>
      </c>
      <c r="CT456" s="58">
        <f t="array" ref="CT456">SUM(IF(CQ456:CR456&gt;=CQ456, 1))</f>
        <v>2</v>
      </c>
      <c r="CU456" s="58">
        <f t="array" ref="CU456">SUM(IF(CQ456:CR456&gt;=CR456, 1))</f>
        <v>1</v>
      </c>
      <c r="CW456" s="109">
        <f t="shared" si="189"/>
        <v>-38612933.149732567</v>
      </c>
      <c r="CX456" s="109">
        <f t="shared" si="190"/>
        <v>0</v>
      </c>
      <c r="CZ456" s="58">
        <f t="array" ref="CZ456">SUM(IF(CW456:CX456&gt;=CW456, 1))</f>
        <v>2</v>
      </c>
      <c r="DA456" s="58">
        <f t="array" ref="DA456">SUM(IF(CW456:CX456&gt;=CX456, 1))</f>
        <v>1</v>
      </c>
      <c r="DC456" s="109">
        <f t="shared" si="191"/>
        <v>-2324908.6313513103</v>
      </c>
      <c r="DD456" s="109">
        <f t="shared" si="192"/>
        <v>0</v>
      </c>
      <c r="DF456" s="58">
        <f t="array" ref="DF456">SUM(IF(DC456:DD456&gt;=DC456, 1))</f>
        <v>2</v>
      </c>
      <c r="DG456" s="58">
        <f t="array" ref="DG456">SUM(IF(DC456:DD456&gt;=DD456, 1))</f>
        <v>1</v>
      </c>
      <c r="DI456" s="109">
        <f t="shared" si="193"/>
        <v>-67466660.213216156</v>
      </c>
      <c r="DJ456" s="109">
        <f t="shared" si="194"/>
        <v>0</v>
      </c>
      <c r="DL456" s="58">
        <f t="array" ref="DL456">SUM(IF(DI456:DJ456&gt;=DI456, 1))</f>
        <v>2</v>
      </c>
      <c r="DM456" s="58">
        <f t="array" ref="DM456">SUM(IF(DI456:DJ456&gt;=DJ456, 1))</f>
        <v>1</v>
      </c>
      <c r="DO456" s="109">
        <f t="shared" si="195"/>
        <v>-5200435.7828319632</v>
      </c>
      <c r="DP456" s="109">
        <f t="shared" si="196"/>
        <v>0</v>
      </c>
      <c r="DR456" s="58">
        <f t="array" ref="DR456">SUM(IF(DO456:DP456&gt;=DO456, 1))</f>
        <v>2</v>
      </c>
      <c r="DS456" s="58">
        <f t="array" ref="DS456">SUM(IF(DO456:DP456&gt;=DP456, 1))</f>
        <v>1</v>
      </c>
      <c r="DU456" s="109">
        <f t="shared" si="197"/>
        <v>-43531130.339787826</v>
      </c>
      <c r="DV456" s="109">
        <f t="shared" si="198"/>
        <v>0</v>
      </c>
      <c r="DX456" s="58">
        <f t="array" ref="DX456">SUM(IF(DU456:DV456&gt;=DU456, 1))</f>
        <v>2</v>
      </c>
      <c r="DY456" s="58">
        <f t="array" ref="DY456">SUM(IF(DU456:DV456&gt;=DV456, 1))</f>
        <v>1</v>
      </c>
      <c r="EA456" s="109">
        <f t="shared" si="199"/>
        <v>-157136068.11691985</v>
      </c>
      <c r="EB456" s="109">
        <f t="shared" si="200"/>
        <v>0</v>
      </c>
      <c r="ED456" s="58">
        <f t="array" ref="ED456">SUM(IF(EA456:EB456&gt;=EA456, 1))</f>
        <v>2</v>
      </c>
      <c r="EE456" s="58">
        <f t="array" ref="EE456">SUM(IF(EA456:EB456&gt;=EB456, 1))</f>
        <v>1</v>
      </c>
    </row>
    <row r="457" spans="4:135" ht="12" customHeight="1" x14ac:dyDescent="0.25">
      <c r="D457" s="11">
        <v>441</v>
      </c>
      <c r="E457" s="72">
        <v>210.66963143568671</v>
      </c>
      <c r="F457" s="72">
        <v>191.82957945415708</v>
      </c>
      <c r="G457" s="73"/>
      <c r="H457" s="74">
        <v>5.8511425075903709</v>
      </c>
      <c r="I457" s="74">
        <v>5.8679423429659856</v>
      </c>
      <c r="J457" s="73"/>
      <c r="K457" s="72">
        <v>226.13625487724747</v>
      </c>
      <c r="L457" s="72">
        <v>206.83729459614528</v>
      </c>
      <c r="M457" s="73"/>
      <c r="N457" s="74">
        <v>6.66528050954373</v>
      </c>
      <c r="O457" s="74">
        <v>6.6799654783666664</v>
      </c>
      <c r="P457" s="73"/>
      <c r="Q457" s="72">
        <v>2272.8352664571239</v>
      </c>
      <c r="R457" s="72">
        <v>1645.7436125093857</v>
      </c>
      <c r="S457" s="73"/>
      <c r="T457" s="74">
        <v>4.8830909603316828</v>
      </c>
      <c r="U457" s="74">
        <v>4.9305891921940077</v>
      </c>
      <c r="V457" s="73"/>
      <c r="W457" s="72">
        <v>13783.878118522231</v>
      </c>
      <c r="X457" s="72">
        <v>13804.972050959053</v>
      </c>
      <c r="Y457" s="73"/>
      <c r="Z457" s="74">
        <v>3.0763098222708036</v>
      </c>
      <c r="AA457" s="74">
        <v>3.1349825986326727</v>
      </c>
      <c r="AB457" s="73"/>
      <c r="AC457" s="72">
        <v>51036.342567112792</v>
      </c>
      <c r="AD457" s="72">
        <v>50729.679655879881</v>
      </c>
      <c r="AE457" s="73"/>
      <c r="AF457" s="74">
        <v>4.2430646304113608</v>
      </c>
      <c r="AG457" s="74">
        <v>4.3266454315900065</v>
      </c>
      <c r="AH457" s="73"/>
      <c r="AI457" s="72">
        <v>2025277.3442093257</v>
      </c>
      <c r="AJ457" s="72">
        <v>0</v>
      </c>
      <c r="AK457" s="73"/>
      <c r="AL457" s="74">
        <v>-1805.9571176361671</v>
      </c>
      <c r="AM457" s="74">
        <v>0</v>
      </c>
      <c r="AN457" s="73"/>
      <c r="AO457" s="72">
        <v>134803.09286352774</v>
      </c>
      <c r="AP457" s="72">
        <v>0</v>
      </c>
      <c r="AQ457" s="73"/>
      <c r="AR457" s="74">
        <v>-102.57439712307951</v>
      </c>
      <c r="AS457" s="74">
        <v>0</v>
      </c>
      <c r="AT457" s="73"/>
      <c r="AU457" s="72">
        <v>14640921.650347976</v>
      </c>
      <c r="AV457" s="72">
        <v>0</v>
      </c>
      <c r="AW457" s="73"/>
      <c r="AX457" s="74">
        <v>-1108.95733797203</v>
      </c>
      <c r="AY457" s="74">
        <v>0</v>
      </c>
      <c r="AZ457" s="73"/>
      <c r="BA457" s="72">
        <v>-187170.09237790349</v>
      </c>
      <c r="BB457" s="72">
        <v>0</v>
      </c>
      <c r="BC457" s="73"/>
      <c r="BD457" s="74">
        <v>-520.61364113163916</v>
      </c>
      <c r="BE457" s="74">
        <v>0</v>
      </c>
      <c r="BF457" s="73"/>
      <c r="BG457" s="72">
        <v>4851750.0211659987</v>
      </c>
      <c r="BH457" s="72">
        <v>0</v>
      </c>
      <c r="BI457" s="73"/>
      <c r="BJ457" s="74">
        <v>-1322.3416951767549</v>
      </c>
      <c r="BK457" s="74">
        <v>0</v>
      </c>
      <c r="BL457" s="73"/>
      <c r="BM457" s="72">
        <v>21465582.016208924</v>
      </c>
      <c r="BN457" s="72">
        <v>0</v>
      </c>
      <c r="BO457" s="73"/>
      <c r="BP457" s="74">
        <v>-4860.4441890396711</v>
      </c>
      <c r="BQ457" s="74">
        <v>0</v>
      </c>
      <c r="BS457" s="109">
        <f t="shared" si="180"/>
        <v>116812.18052037174</v>
      </c>
      <c r="BT457" s="109">
        <f t="shared" si="181"/>
        <v>117167.01727986555</v>
      </c>
      <c r="BV457" s="58">
        <f t="array" ref="BV457">SUM(IF(BS457:BT457&gt;=BS457, 1))</f>
        <v>2</v>
      </c>
      <c r="BW457" s="58">
        <f t="array" ref="BW457">SUM(IF(BS457:BT457&gt;=BT457, 1))</f>
        <v>1</v>
      </c>
      <c r="BY457" s="109">
        <f t="shared" si="182"/>
        <v>133079.47393599735</v>
      </c>
      <c r="BZ457" s="109">
        <f t="shared" si="183"/>
        <v>133392.47227273718</v>
      </c>
      <c r="CB457" s="58">
        <f t="array" ref="CB457">SUM(IF(BY457:BZ457&gt;=BY457, 1))</f>
        <v>2</v>
      </c>
      <c r="CC457" s="58">
        <f t="array" ref="CC457">SUM(IF(BY457:BZ457&gt;=BZ457, 1))</f>
        <v>1</v>
      </c>
      <c r="CE457" s="109">
        <f t="shared" si="184"/>
        <v>95388.98394017652</v>
      </c>
      <c r="CF457" s="109">
        <f t="shared" si="185"/>
        <v>96966.040231370775</v>
      </c>
      <c r="CH457" s="58">
        <f t="array" ref="CH457">SUM(IF(CE457:CF457&gt;=CE457, 1))</f>
        <v>2</v>
      </c>
      <c r="CI457" s="58">
        <f t="array" ref="CI457">SUM(IF(CE457:CF457&gt;=CF457, 1))</f>
        <v>1</v>
      </c>
      <c r="CK457" s="109">
        <f t="shared" si="186"/>
        <v>47742.318326893837</v>
      </c>
      <c r="CL457" s="109">
        <f t="shared" si="187"/>
        <v>48894.679921694398</v>
      </c>
      <c r="CN457" s="58">
        <f t="array" ref="CN457">SUM(IF(CK457:CL457&gt;=CK457, 1))</f>
        <v>2</v>
      </c>
      <c r="CO457" s="58">
        <f t="array" ref="CO457">SUM(IF(CK457:CL457&gt;=CL457, 1))</f>
        <v>1</v>
      </c>
      <c r="CQ457" s="109" cm="1">
        <f t="array" ref="CQ457">AF457*WTP-AC457</f>
        <v>33824.950041114425</v>
      </c>
      <c r="CR457" s="109">
        <f t="shared" si="188"/>
        <v>35803.228975920254</v>
      </c>
      <c r="CT457" s="58">
        <f t="array" ref="CT457">SUM(IF(CQ457:CR457&gt;=CQ457, 1))</f>
        <v>2</v>
      </c>
      <c r="CU457" s="58">
        <f t="array" ref="CU457">SUM(IF(CQ457:CR457&gt;=CR457, 1))</f>
        <v>1</v>
      </c>
      <c r="CW457" s="109">
        <f t="shared" si="189"/>
        <v>-38144419.696932673</v>
      </c>
      <c r="CX457" s="109">
        <f t="shared" si="190"/>
        <v>0</v>
      </c>
      <c r="CZ457" s="58">
        <f t="array" ref="CZ457">SUM(IF(CW457:CX457&gt;=CW457, 1))</f>
        <v>2</v>
      </c>
      <c r="DA457" s="58">
        <f t="array" ref="DA457">SUM(IF(CW457:CX457&gt;=CX457, 1))</f>
        <v>1</v>
      </c>
      <c r="DC457" s="109">
        <f t="shared" si="191"/>
        <v>-2186291.0353251179</v>
      </c>
      <c r="DD457" s="109">
        <f t="shared" si="192"/>
        <v>0</v>
      </c>
      <c r="DF457" s="58">
        <f t="array" ref="DF457">SUM(IF(DC457:DD457&gt;=DC457, 1))</f>
        <v>2</v>
      </c>
      <c r="DG457" s="58">
        <f t="array" ref="DG457">SUM(IF(DC457:DD457&gt;=DD457, 1))</f>
        <v>1</v>
      </c>
      <c r="DI457" s="109">
        <f t="shared" si="193"/>
        <v>-36820068.409788579</v>
      </c>
      <c r="DJ457" s="109">
        <f t="shared" si="194"/>
        <v>0</v>
      </c>
      <c r="DL457" s="58">
        <f t="array" ref="DL457">SUM(IF(DI457:DJ457&gt;=DI457, 1))</f>
        <v>2</v>
      </c>
      <c r="DM457" s="58">
        <f t="array" ref="DM457">SUM(IF(DI457:DJ457&gt;=DJ457, 1))</f>
        <v>1</v>
      </c>
      <c r="DO457" s="109">
        <f t="shared" si="195"/>
        <v>-10225102.730254881</v>
      </c>
      <c r="DP457" s="109">
        <f t="shared" si="196"/>
        <v>0</v>
      </c>
      <c r="DR457" s="58">
        <f t="array" ref="DR457">SUM(IF(DO457:DP457&gt;=DO457, 1))</f>
        <v>2</v>
      </c>
      <c r="DS457" s="58">
        <f t="array" ref="DS457">SUM(IF(DO457:DP457&gt;=DP457, 1))</f>
        <v>1</v>
      </c>
      <c r="DU457" s="109">
        <f t="shared" si="197"/>
        <v>-31298583.924701095</v>
      </c>
      <c r="DV457" s="109">
        <f t="shared" si="198"/>
        <v>0</v>
      </c>
      <c r="DX457" s="58">
        <f t="array" ref="DX457">SUM(IF(DU457:DV457&gt;=DU457, 1))</f>
        <v>2</v>
      </c>
      <c r="DY457" s="58">
        <f t="array" ref="DY457">SUM(IF(DU457:DV457&gt;=DV457, 1))</f>
        <v>1</v>
      </c>
      <c r="EA457" s="109">
        <f t="shared" si="199"/>
        <v>-118674465.79700235</v>
      </c>
      <c r="EB457" s="109">
        <f t="shared" si="200"/>
        <v>0</v>
      </c>
      <c r="ED457" s="58">
        <f t="array" ref="ED457">SUM(IF(EA457:EB457&gt;=EA457, 1))</f>
        <v>2</v>
      </c>
      <c r="EE457" s="58">
        <f t="array" ref="EE457">SUM(IF(EA457:EB457&gt;=EB457, 1))</f>
        <v>1</v>
      </c>
    </row>
    <row r="458" spans="4:135" ht="12" customHeight="1" x14ac:dyDescent="0.25">
      <c r="D458" s="11">
        <v>442</v>
      </c>
      <c r="E458" s="72">
        <v>274.69234459127102</v>
      </c>
      <c r="F458" s="72">
        <v>259.05687852352872</v>
      </c>
      <c r="G458" s="73"/>
      <c r="H458" s="74">
        <v>5.7887228791721412</v>
      </c>
      <c r="I458" s="74">
        <v>5.8052776430085293</v>
      </c>
      <c r="J458" s="73"/>
      <c r="K458" s="72">
        <v>295.49820548040833</v>
      </c>
      <c r="L458" s="72">
        <v>279.43874567471954</v>
      </c>
      <c r="M458" s="73"/>
      <c r="N458" s="74">
        <v>6.7061270044299306</v>
      </c>
      <c r="O458" s="74">
        <v>6.7200887657132959</v>
      </c>
      <c r="P458" s="73"/>
      <c r="Q458" s="72">
        <v>1351.2519415837157</v>
      </c>
      <c r="R458" s="72">
        <v>1026.7893144235925</v>
      </c>
      <c r="S458" s="73"/>
      <c r="T458" s="74">
        <v>4.8002772365149307</v>
      </c>
      <c r="U458" s="74">
        <v>4.8763091416456046</v>
      </c>
      <c r="V458" s="73"/>
      <c r="W458" s="72">
        <v>13359.943385476197</v>
      </c>
      <c r="X458" s="72">
        <v>13435.487515185378</v>
      </c>
      <c r="Y458" s="73"/>
      <c r="Z458" s="74">
        <v>2.8686914606103682</v>
      </c>
      <c r="AA458" s="74">
        <v>2.9333975177031433</v>
      </c>
      <c r="AB458" s="73"/>
      <c r="AC458" s="72">
        <v>50676.496529800635</v>
      </c>
      <c r="AD458" s="72">
        <v>50649.536481416013</v>
      </c>
      <c r="AE458" s="73"/>
      <c r="AF458" s="74">
        <v>4.6993497046361128</v>
      </c>
      <c r="AG458" s="74">
        <v>4.7770160056710695</v>
      </c>
      <c r="AH458" s="73"/>
      <c r="AI458" s="72">
        <v>1675486.1920130865</v>
      </c>
      <c r="AJ458" s="72">
        <v>0</v>
      </c>
      <c r="AK458" s="73"/>
      <c r="AL458" s="74">
        <v>-1773.997532259747</v>
      </c>
      <c r="AM458" s="74">
        <v>0</v>
      </c>
      <c r="AN458" s="73"/>
      <c r="AO458" s="72">
        <v>112997.2923841739</v>
      </c>
      <c r="AP458" s="72">
        <v>0</v>
      </c>
      <c r="AQ458" s="73"/>
      <c r="AR458" s="74">
        <v>-98.23750244548205</v>
      </c>
      <c r="AS458" s="74">
        <v>0</v>
      </c>
      <c r="AT458" s="73"/>
      <c r="AU458" s="72">
        <v>7372055.4349472513</v>
      </c>
      <c r="AV458" s="72">
        <v>0</v>
      </c>
      <c r="AW458" s="73"/>
      <c r="AX458" s="74">
        <v>-1727.5068760734794</v>
      </c>
      <c r="AY458" s="74">
        <v>0</v>
      </c>
      <c r="AZ458" s="73"/>
      <c r="BA458" s="72">
        <v>-658740.89552283136</v>
      </c>
      <c r="BB458" s="72">
        <v>0</v>
      </c>
      <c r="BC458" s="73"/>
      <c r="BD458" s="74">
        <v>-564.23346405784798</v>
      </c>
      <c r="BE458" s="74">
        <v>0</v>
      </c>
      <c r="BF458" s="73"/>
      <c r="BG458" s="72">
        <v>428927.62790213653</v>
      </c>
      <c r="BH458" s="72">
        <v>0</v>
      </c>
      <c r="BI458" s="73"/>
      <c r="BJ458" s="74">
        <v>-1235.6514274602891</v>
      </c>
      <c r="BK458" s="74">
        <v>0</v>
      </c>
      <c r="BL458" s="73"/>
      <c r="BM458" s="72">
        <v>8930725.651723817</v>
      </c>
      <c r="BN458" s="72">
        <v>0</v>
      </c>
      <c r="BO458" s="73"/>
      <c r="BP458" s="74">
        <v>-5399.6268022968452</v>
      </c>
      <c r="BQ458" s="74">
        <v>0</v>
      </c>
      <c r="BS458" s="109">
        <f t="shared" si="180"/>
        <v>115499.76523885156</v>
      </c>
      <c r="BT458" s="109">
        <f t="shared" si="181"/>
        <v>115846.49598164707</v>
      </c>
      <c r="BV458" s="58">
        <f t="array" ref="BV458">SUM(IF(BS458:BT458&gt;=BS458, 1))</f>
        <v>2</v>
      </c>
      <c r="BW458" s="58">
        <f t="array" ref="BW458">SUM(IF(BS458:BT458&gt;=BT458, 1))</f>
        <v>1</v>
      </c>
      <c r="BY458" s="109">
        <f t="shared" si="182"/>
        <v>133827.04188311822</v>
      </c>
      <c r="BZ458" s="109">
        <f t="shared" si="183"/>
        <v>134122.33656859121</v>
      </c>
      <c r="CB458" s="58">
        <f t="array" ref="CB458">SUM(IF(BY458:BZ458&gt;=BY458, 1))</f>
        <v>2</v>
      </c>
      <c r="CC458" s="58">
        <f t="array" ref="CC458">SUM(IF(BY458:BZ458&gt;=BZ458, 1))</f>
        <v>1</v>
      </c>
      <c r="CE458" s="109">
        <f t="shared" si="184"/>
        <v>94654.292788714898</v>
      </c>
      <c r="CF458" s="109">
        <f t="shared" si="185"/>
        <v>96499.393518488505</v>
      </c>
      <c r="CH458" s="58">
        <f t="array" ref="CH458">SUM(IF(CE458:CF458&gt;=CE458, 1))</f>
        <v>2</v>
      </c>
      <c r="CI458" s="58">
        <f t="array" ref="CI458">SUM(IF(CE458:CF458&gt;=CF458, 1))</f>
        <v>1</v>
      </c>
      <c r="CK458" s="109">
        <f t="shared" si="186"/>
        <v>44013.885826731166</v>
      </c>
      <c r="CL458" s="109">
        <f t="shared" si="187"/>
        <v>45232.462838877487</v>
      </c>
      <c r="CN458" s="58">
        <f t="array" ref="CN458">SUM(IF(CK458:CL458&gt;=CK458, 1))</f>
        <v>2</v>
      </c>
      <c r="CO458" s="58">
        <f t="array" ref="CO458">SUM(IF(CK458:CL458&gt;=CL458, 1))</f>
        <v>1</v>
      </c>
      <c r="CQ458" s="109" cm="1">
        <f t="array" ref="CQ458">AF458*WTP-AC458</f>
        <v>43310.497562921613</v>
      </c>
      <c r="CR458" s="109">
        <f t="shared" si="188"/>
        <v>44890.783632005376</v>
      </c>
      <c r="CT458" s="58">
        <f t="array" ref="CT458">SUM(IF(CQ458:CR458&gt;=CQ458, 1))</f>
        <v>2</v>
      </c>
      <c r="CU458" s="58">
        <f t="array" ref="CU458">SUM(IF(CQ458:CR458&gt;=CR458, 1))</f>
        <v>1</v>
      </c>
      <c r="CW458" s="109">
        <f t="shared" si="189"/>
        <v>-37155436.837208025</v>
      </c>
      <c r="CX458" s="109">
        <f t="shared" si="190"/>
        <v>0</v>
      </c>
      <c r="CZ458" s="58">
        <f t="array" ref="CZ458">SUM(IF(CW458:CX458&gt;=CW458, 1))</f>
        <v>2</v>
      </c>
      <c r="DA458" s="58">
        <f t="array" ref="DA458">SUM(IF(CW458:CX458&gt;=CX458, 1))</f>
        <v>1</v>
      </c>
      <c r="DC458" s="109">
        <f t="shared" si="191"/>
        <v>-2077747.3412938151</v>
      </c>
      <c r="DD458" s="109">
        <f t="shared" si="192"/>
        <v>0</v>
      </c>
      <c r="DF458" s="58">
        <f t="array" ref="DF458">SUM(IF(DC458:DD458&gt;=DC458, 1))</f>
        <v>2</v>
      </c>
      <c r="DG458" s="58">
        <f t="array" ref="DG458">SUM(IF(DC458:DD458&gt;=DD458, 1))</f>
        <v>1</v>
      </c>
      <c r="DI458" s="109">
        <f t="shared" si="193"/>
        <v>-41922192.956416838</v>
      </c>
      <c r="DJ458" s="109">
        <f t="shared" si="194"/>
        <v>0</v>
      </c>
      <c r="DL458" s="58">
        <f t="array" ref="DL458">SUM(IF(DI458:DJ458&gt;=DI458, 1))</f>
        <v>2</v>
      </c>
      <c r="DM458" s="58">
        <f t="array" ref="DM458">SUM(IF(DI458:DJ458&gt;=DJ458, 1))</f>
        <v>1</v>
      </c>
      <c r="DO458" s="109">
        <f t="shared" si="195"/>
        <v>-10625928.385634128</v>
      </c>
      <c r="DP458" s="109">
        <f t="shared" si="196"/>
        <v>0</v>
      </c>
      <c r="DR458" s="58">
        <f t="array" ref="DR458">SUM(IF(DO458:DP458&gt;=DO458, 1))</f>
        <v>2</v>
      </c>
      <c r="DS458" s="58">
        <f t="array" ref="DS458">SUM(IF(DO458:DP458&gt;=DP458, 1))</f>
        <v>1</v>
      </c>
      <c r="DU458" s="109">
        <f t="shared" si="197"/>
        <v>-25141956.177107919</v>
      </c>
      <c r="DV458" s="109">
        <f t="shared" si="198"/>
        <v>0</v>
      </c>
      <c r="DX458" s="58">
        <f t="array" ref="DX458">SUM(IF(DU458:DV458&gt;=DU458, 1))</f>
        <v>2</v>
      </c>
      <c r="DY458" s="58">
        <f t="array" ref="DY458">SUM(IF(DU458:DV458&gt;=DV458, 1))</f>
        <v>1</v>
      </c>
      <c r="EA458" s="109">
        <f t="shared" si="199"/>
        <v>-116923261.69766071</v>
      </c>
      <c r="EB458" s="109">
        <f t="shared" si="200"/>
        <v>0</v>
      </c>
      <c r="ED458" s="58">
        <f t="array" ref="ED458">SUM(IF(EA458:EB458&gt;=EA458, 1))</f>
        <v>2</v>
      </c>
      <c r="EE458" s="58">
        <f t="array" ref="EE458">SUM(IF(EA458:EB458&gt;=EB458, 1))</f>
        <v>1</v>
      </c>
    </row>
    <row r="459" spans="4:135" ht="12" customHeight="1" x14ac:dyDescent="0.25">
      <c r="D459" s="11">
        <v>443</v>
      </c>
      <c r="E459" s="72">
        <v>296.45311680131169</v>
      </c>
      <c r="F459" s="72">
        <v>285.65939986878311</v>
      </c>
      <c r="G459" s="73"/>
      <c r="H459" s="74">
        <v>5.9600179182277007</v>
      </c>
      <c r="I459" s="74">
        <v>5.9727266077716203</v>
      </c>
      <c r="J459" s="73"/>
      <c r="K459" s="72">
        <v>319.11104969851675</v>
      </c>
      <c r="L459" s="72">
        <v>308.00374572587583</v>
      </c>
      <c r="M459" s="73"/>
      <c r="N459" s="74">
        <v>6.7410311831900582</v>
      </c>
      <c r="O459" s="74">
        <v>6.7514411989511487</v>
      </c>
      <c r="P459" s="73"/>
      <c r="Q459" s="72">
        <v>2701.5258994918345</v>
      </c>
      <c r="R459" s="72">
        <v>1323.6317590075764</v>
      </c>
      <c r="S459" s="73"/>
      <c r="T459" s="74">
        <v>4.6846420192792841</v>
      </c>
      <c r="U459" s="74">
        <v>4.7969095151206487</v>
      </c>
      <c r="V459" s="73"/>
      <c r="W459" s="72">
        <v>10919.624253603912</v>
      </c>
      <c r="X459" s="72">
        <v>10940.42684314999</v>
      </c>
      <c r="Y459" s="73"/>
      <c r="Z459" s="74">
        <v>3.0708907841097819</v>
      </c>
      <c r="AA459" s="74">
        <v>3.1341021550253023</v>
      </c>
      <c r="AB459" s="73"/>
      <c r="AC459" s="72">
        <v>50787.886022169791</v>
      </c>
      <c r="AD459" s="72">
        <v>50543.518115891129</v>
      </c>
      <c r="AE459" s="73"/>
      <c r="AF459" s="74">
        <v>4.8713958229110457</v>
      </c>
      <c r="AG459" s="74">
        <v>5.0217411381458126</v>
      </c>
      <c r="AH459" s="73"/>
      <c r="AI459" s="72">
        <v>1162799.2264047228</v>
      </c>
      <c r="AJ459" s="72">
        <v>0</v>
      </c>
      <c r="AK459" s="73"/>
      <c r="AL459" s="74">
        <v>-1369.0978244716409</v>
      </c>
      <c r="AM459" s="74">
        <v>0</v>
      </c>
      <c r="AN459" s="73"/>
      <c r="AO459" s="72">
        <v>73927.263000482271</v>
      </c>
      <c r="AP459" s="72">
        <v>0</v>
      </c>
      <c r="AQ459" s="73"/>
      <c r="AR459" s="74">
        <v>-69.286297998588111</v>
      </c>
      <c r="AS459" s="74">
        <v>0</v>
      </c>
      <c r="AT459" s="73"/>
      <c r="AU459" s="72">
        <v>30829677.567761939</v>
      </c>
      <c r="AV459" s="72">
        <v>0</v>
      </c>
      <c r="AW459" s="73"/>
      <c r="AX459" s="74">
        <v>-2511.9278734380141</v>
      </c>
      <c r="AY459" s="74">
        <v>0</v>
      </c>
      <c r="AZ459" s="73"/>
      <c r="BA459" s="72">
        <v>-187640.19924701867</v>
      </c>
      <c r="BB459" s="72">
        <v>0</v>
      </c>
      <c r="BC459" s="73"/>
      <c r="BD459" s="74">
        <v>-570.16912279085807</v>
      </c>
      <c r="BE459" s="74">
        <v>0</v>
      </c>
      <c r="BF459" s="73"/>
      <c r="BG459" s="72">
        <v>3798337.0215253397</v>
      </c>
      <c r="BH459" s="72">
        <v>0</v>
      </c>
      <c r="BI459" s="73"/>
      <c r="BJ459" s="74">
        <v>-2336.8951576558925</v>
      </c>
      <c r="BK459" s="74">
        <v>0</v>
      </c>
      <c r="BL459" s="73"/>
      <c r="BM459" s="72">
        <v>35677100.879445463</v>
      </c>
      <c r="BN459" s="72">
        <v>0</v>
      </c>
      <c r="BO459" s="73"/>
      <c r="BP459" s="74">
        <v>-6857.376276354993</v>
      </c>
      <c r="BQ459" s="74">
        <v>0</v>
      </c>
      <c r="BS459" s="109">
        <f t="shared" si="180"/>
        <v>118903.90524775271</v>
      </c>
      <c r="BT459" s="109">
        <f t="shared" si="181"/>
        <v>119168.87275556361</v>
      </c>
      <c r="BV459" s="58">
        <f t="array" ref="BV459">SUM(IF(BS459:BT459&gt;=BS459, 1))</f>
        <v>2</v>
      </c>
      <c r="BW459" s="58">
        <f t="array" ref="BW459">SUM(IF(BS459:BT459&gt;=BT459, 1))</f>
        <v>1</v>
      </c>
      <c r="BY459" s="109">
        <f t="shared" si="182"/>
        <v>134501.51261410266</v>
      </c>
      <c r="BZ459" s="109">
        <f t="shared" si="183"/>
        <v>134720.8202332971</v>
      </c>
      <c r="CB459" s="58">
        <f t="array" ref="CB459">SUM(IF(BY459:BZ459&gt;=BY459, 1))</f>
        <v>2</v>
      </c>
      <c r="CC459" s="58">
        <f t="array" ref="CC459">SUM(IF(BY459:BZ459&gt;=BZ459, 1))</f>
        <v>1</v>
      </c>
      <c r="CE459" s="109">
        <f t="shared" si="184"/>
        <v>90991.314486093848</v>
      </c>
      <c r="CF459" s="109">
        <f t="shared" si="185"/>
        <v>94614.558543405394</v>
      </c>
      <c r="CH459" s="58">
        <f t="array" ref="CH459">SUM(IF(CE459:CF459&gt;=CE459, 1))</f>
        <v>2</v>
      </c>
      <c r="CI459" s="58">
        <f t="array" ref="CI459">SUM(IF(CE459:CF459&gt;=CF459, 1))</f>
        <v>1</v>
      </c>
      <c r="CK459" s="109">
        <f t="shared" si="186"/>
        <v>50498.191428591723</v>
      </c>
      <c r="CL459" s="109">
        <f t="shared" si="187"/>
        <v>51741.616257356058</v>
      </c>
      <c r="CN459" s="58">
        <f t="array" ref="CN459">SUM(IF(CK459:CL459&gt;=CK459, 1))</f>
        <v>2</v>
      </c>
      <c r="CO459" s="58">
        <f t="array" ref="CO459">SUM(IF(CK459:CL459&gt;=CL459, 1))</f>
        <v>1</v>
      </c>
      <c r="CQ459" s="109" cm="1">
        <f t="array" ref="CQ459">AF459*WTP-AC459</f>
        <v>46640.030436051129</v>
      </c>
      <c r="CR459" s="109">
        <f t="shared" si="188"/>
        <v>49891.304647025128</v>
      </c>
      <c r="CT459" s="58">
        <f t="array" ref="CT459">SUM(IF(CQ459:CR459&gt;=CQ459, 1))</f>
        <v>2</v>
      </c>
      <c r="CU459" s="58">
        <f t="array" ref="CU459">SUM(IF(CQ459:CR459&gt;=CR459, 1))</f>
        <v>1</v>
      </c>
      <c r="CW459" s="109">
        <f t="shared" si="189"/>
        <v>-28544755.715837542</v>
      </c>
      <c r="CX459" s="109">
        <f t="shared" si="190"/>
        <v>0</v>
      </c>
      <c r="CZ459" s="58">
        <f t="array" ref="CZ459">SUM(IF(CW459:CX459&gt;=CW459, 1))</f>
        <v>2</v>
      </c>
      <c r="DA459" s="58">
        <f t="array" ref="DA459">SUM(IF(CW459:CX459&gt;=CX459, 1))</f>
        <v>1</v>
      </c>
      <c r="DC459" s="109">
        <f t="shared" si="191"/>
        <v>-1459653.2229722445</v>
      </c>
      <c r="DD459" s="109">
        <f t="shared" si="192"/>
        <v>0</v>
      </c>
      <c r="DF459" s="58">
        <f t="array" ref="DF459">SUM(IF(DC459:DD459&gt;=DC459, 1))</f>
        <v>2</v>
      </c>
      <c r="DG459" s="58">
        <f t="array" ref="DG459">SUM(IF(DC459:DD459&gt;=DD459, 1))</f>
        <v>1</v>
      </c>
      <c r="DI459" s="109">
        <f t="shared" si="193"/>
        <v>-81068235.036522225</v>
      </c>
      <c r="DJ459" s="109">
        <f t="shared" si="194"/>
        <v>0</v>
      </c>
      <c r="DL459" s="58">
        <f t="array" ref="DL459">SUM(IF(DI459:DJ459&gt;=DI459, 1))</f>
        <v>2</v>
      </c>
      <c r="DM459" s="58">
        <f t="array" ref="DM459">SUM(IF(DI459:DJ459&gt;=DJ459, 1))</f>
        <v>1</v>
      </c>
      <c r="DO459" s="109">
        <f t="shared" si="195"/>
        <v>-11215742.256570142</v>
      </c>
      <c r="DP459" s="109">
        <f t="shared" si="196"/>
        <v>0</v>
      </c>
      <c r="DR459" s="58">
        <f t="array" ref="DR459">SUM(IF(DO459:DP459&gt;=DO459, 1))</f>
        <v>2</v>
      </c>
      <c r="DS459" s="58">
        <f t="array" ref="DS459">SUM(IF(DO459:DP459&gt;=DP459, 1))</f>
        <v>1</v>
      </c>
      <c r="DU459" s="109">
        <f t="shared" si="197"/>
        <v>-50536240.174643189</v>
      </c>
      <c r="DV459" s="109">
        <f t="shared" si="198"/>
        <v>0</v>
      </c>
      <c r="DX459" s="58">
        <f t="array" ref="DX459">SUM(IF(DU459:DV459&gt;=DU459, 1))</f>
        <v>2</v>
      </c>
      <c r="DY459" s="58">
        <f t="array" ref="DY459">SUM(IF(DU459:DV459&gt;=DV459, 1))</f>
        <v>1</v>
      </c>
      <c r="EA459" s="109">
        <f t="shared" si="199"/>
        <v>-172824626.40654531</v>
      </c>
      <c r="EB459" s="109">
        <f t="shared" si="200"/>
        <v>0</v>
      </c>
      <c r="ED459" s="58">
        <f t="array" ref="ED459">SUM(IF(EA459:EB459&gt;=EA459, 1))</f>
        <v>2</v>
      </c>
      <c r="EE459" s="58">
        <f t="array" ref="EE459">SUM(IF(EA459:EB459&gt;=EB459, 1))</f>
        <v>1</v>
      </c>
    </row>
    <row r="460" spans="4:135" ht="12" customHeight="1" x14ac:dyDescent="0.25">
      <c r="D460" s="11">
        <v>444</v>
      </c>
      <c r="E460" s="72">
        <v>279.08100795628866</v>
      </c>
      <c r="F460" s="72">
        <v>244.23235520863636</v>
      </c>
      <c r="G460" s="73"/>
      <c r="H460" s="74">
        <v>5.8803250374568545</v>
      </c>
      <c r="I460" s="74">
        <v>5.8982106788502264</v>
      </c>
      <c r="J460" s="73"/>
      <c r="K460" s="72">
        <v>299.03195717018269</v>
      </c>
      <c r="L460" s="72">
        <v>263.36486235298071</v>
      </c>
      <c r="M460" s="73"/>
      <c r="N460" s="74">
        <v>6.6862571177253809</v>
      </c>
      <c r="O460" s="74">
        <v>6.7017644827087564</v>
      </c>
      <c r="P460" s="73"/>
      <c r="Q460" s="72">
        <v>3092.4953637103026</v>
      </c>
      <c r="R460" s="72">
        <v>1630.5433966821495</v>
      </c>
      <c r="S460" s="73"/>
      <c r="T460" s="74">
        <v>4.91234938361504</v>
      </c>
      <c r="U460" s="74">
        <v>5.0166091009023965</v>
      </c>
      <c r="V460" s="73"/>
      <c r="W460" s="72">
        <v>13504.784166524212</v>
      </c>
      <c r="X460" s="72">
        <v>13574.973404517728</v>
      </c>
      <c r="Y460" s="73"/>
      <c r="Z460" s="74">
        <v>2.8856659055996747</v>
      </c>
      <c r="AA460" s="74">
        <v>2.9379128625863862</v>
      </c>
      <c r="AB460" s="73"/>
      <c r="AC460" s="72">
        <v>51683.970050634802</v>
      </c>
      <c r="AD460" s="72">
        <v>51150.275774632006</v>
      </c>
      <c r="AE460" s="73"/>
      <c r="AF460" s="74">
        <v>4.2041678332039654</v>
      </c>
      <c r="AG460" s="74">
        <v>4.3423232354437351</v>
      </c>
      <c r="AH460" s="73"/>
      <c r="AI460" s="72">
        <v>3755799.9942170479</v>
      </c>
      <c r="AJ460" s="72">
        <v>0</v>
      </c>
      <c r="AK460" s="73"/>
      <c r="AL460" s="74">
        <v>-1927.6180438946767</v>
      </c>
      <c r="AM460" s="74">
        <v>0</v>
      </c>
      <c r="AN460" s="73"/>
      <c r="AO460" s="72">
        <v>255779.24802745186</v>
      </c>
      <c r="AP460" s="72">
        <v>0</v>
      </c>
      <c r="AQ460" s="73"/>
      <c r="AR460" s="74">
        <v>-111.20788431644333</v>
      </c>
      <c r="AS460" s="74">
        <v>0</v>
      </c>
      <c r="AT460" s="73"/>
      <c r="AU460" s="72">
        <v>33041391.068542067</v>
      </c>
      <c r="AV460" s="72">
        <v>0</v>
      </c>
      <c r="AW460" s="73"/>
      <c r="AX460" s="74">
        <v>-2356.360652935763</v>
      </c>
      <c r="AY460" s="74">
        <v>0</v>
      </c>
      <c r="AZ460" s="73"/>
      <c r="BA460" s="72">
        <v>-647856.55842510506</v>
      </c>
      <c r="BB460" s="72">
        <v>0</v>
      </c>
      <c r="BC460" s="73"/>
      <c r="BD460" s="74">
        <v>-482.24677613286235</v>
      </c>
      <c r="BE460" s="74">
        <v>0</v>
      </c>
      <c r="BF460" s="73"/>
      <c r="BG460" s="72">
        <v>8428764.1864482053</v>
      </c>
      <c r="BH460" s="72">
        <v>0</v>
      </c>
      <c r="BI460" s="73"/>
      <c r="BJ460" s="74">
        <v>-2181.922045865856</v>
      </c>
      <c r="BK460" s="74">
        <v>0</v>
      </c>
      <c r="BL460" s="73"/>
      <c r="BM460" s="72">
        <v>44833877.938809663</v>
      </c>
      <c r="BN460" s="72">
        <v>0</v>
      </c>
      <c r="BO460" s="73"/>
      <c r="BP460" s="74">
        <v>-7059.3554031456024</v>
      </c>
      <c r="BQ460" s="74">
        <v>0</v>
      </c>
      <c r="BS460" s="109">
        <f t="shared" si="180"/>
        <v>117327.4197411808</v>
      </c>
      <c r="BT460" s="109">
        <f t="shared" si="181"/>
        <v>117719.9812217959</v>
      </c>
      <c r="BV460" s="58">
        <f t="array" ref="BV460">SUM(IF(BS460:BT460&gt;=BS460, 1))</f>
        <v>2</v>
      </c>
      <c r="BW460" s="58">
        <f t="array" ref="BW460">SUM(IF(BS460:BT460&gt;=BT460, 1))</f>
        <v>1</v>
      </c>
      <c r="BY460" s="109">
        <f t="shared" si="182"/>
        <v>133426.11039733744</v>
      </c>
      <c r="BZ460" s="109">
        <f t="shared" si="183"/>
        <v>133771.92479182215</v>
      </c>
      <c r="CB460" s="58">
        <f t="array" ref="CB460">SUM(IF(BY460:BZ460&gt;=BY460, 1))</f>
        <v>2</v>
      </c>
      <c r="CC460" s="58">
        <f t="array" ref="CC460">SUM(IF(BY460:BZ460&gt;=BZ460, 1))</f>
        <v>1</v>
      </c>
      <c r="CE460" s="109">
        <f t="shared" si="184"/>
        <v>95154.492308590503</v>
      </c>
      <c r="CF460" s="109">
        <f t="shared" si="185"/>
        <v>98701.638621365782</v>
      </c>
      <c r="CH460" s="58">
        <f t="array" ref="CH460">SUM(IF(CE460:CF460&gt;=CE460, 1))</f>
        <v>2</v>
      </c>
      <c r="CI460" s="58">
        <f t="array" ref="CI460">SUM(IF(CE460:CF460&gt;=CF460, 1))</f>
        <v>1</v>
      </c>
      <c r="CK460" s="109">
        <f t="shared" si="186"/>
        <v>44208.533945469288</v>
      </c>
      <c r="CL460" s="109">
        <f t="shared" si="187"/>
        <v>45183.283847209997</v>
      </c>
      <c r="CN460" s="58">
        <f t="array" ref="CN460">SUM(IF(CK460:CL460&gt;=CK460, 1))</f>
        <v>2</v>
      </c>
      <c r="CO460" s="58">
        <f t="array" ref="CO460">SUM(IF(CK460:CL460&gt;=CL460, 1))</f>
        <v>1</v>
      </c>
      <c r="CQ460" s="109" cm="1">
        <f t="array" ref="CQ460">AF460*WTP-AC460</f>
        <v>32399.386613444512</v>
      </c>
      <c r="CR460" s="109">
        <f t="shared" si="188"/>
        <v>35696.188934242695</v>
      </c>
      <c r="CT460" s="58">
        <f t="array" ref="CT460">SUM(IF(CQ460:CR460&gt;=CQ460, 1))</f>
        <v>2</v>
      </c>
      <c r="CU460" s="58">
        <f t="array" ref="CU460">SUM(IF(CQ460:CR460&gt;=CR460, 1))</f>
        <v>1</v>
      </c>
      <c r="CW460" s="109">
        <f t="shared" si="189"/>
        <v>-42308160.872110583</v>
      </c>
      <c r="CX460" s="109">
        <f t="shared" si="190"/>
        <v>0</v>
      </c>
      <c r="CZ460" s="58">
        <f t="array" ref="CZ460">SUM(IF(CW460:CX460&gt;=CW460, 1))</f>
        <v>2</v>
      </c>
      <c r="DA460" s="58">
        <f t="array" ref="DA460">SUM(IF(CW460:CX460&gt;=CX460, 1))</f>
        <v>1</v>
      </c>
      <c r="DC460" s="109">
        <f t="shared" si="191"/>
        <v>-2479936.9343563183</v>
      </c>
      <c r="DD460" s="109">
        <f t="shared" si="192"/>
        <v>0</v>
      </c>
      <c r="DF460" s="58">
        <f t="array" ref="DF460">SUM(IF(DC460:DD460&gt;=DC460, 1))</f>
        <v>2</v>
      </c>
      <c r="DG460" s="58">
        <f t="array" ref="DG460">SUM(IF(DC460:DD460&gt;=DD460, 1))</f>
        <v>1</v>
      </c>
      <c r="DI460" s="109">
        <f t="shared" si="193"/>
        <v>-80168604.127257332</v>
      </c>
      <c r="DJ460" s="109">
        <f t="shared" si="194"/>
        <v>0</v>
      </c>
      <c r="DL460" s="58">
        <f t="array" ref="DL460">SUM(IF(DI460:DJ460&gt;=DI460, 1))</f>
        <v>2</v>
      </c>
      <c r="DM460" s="58">
        <f t="array" ref="DM460">SUM(IF(DI460:DJ460&gt;=DJ460, 1))</f>
        <v>1</v>
      </c>
      <c r="DO460" s="109">
        <f t="shared" si="195"/>
        <v>-8997078.964232143</v>
      </c>
      <c r="DP460" s="109">
        <f t="shared" si="196"/>
        <v>0</v>
      </c>
      <c r="DR460" s="58">
        <f t="array" ref="DR460">SUM(IF(DO460:DP460&gt;=DO460, 1))</f>
        <v>2</v>
      </c>
      <c r="DS460" s="58">
        <f t="array" ref="DS460">SUM(IF(DO460:DP460&gt;=DP460, 1))</f>
        <v>1</v>
      </c>
      <c r="DU460" s="109">
        <f t="shared" si="197"/>
        <v>-52067205.103765324</v>
      </c>
      <c r="DV460" s="109">
        <f t="shared" si="198"/>
        <v>0</v>
      </c>
      <c r="DX460" s="58">
        <f t="array" ref="DX460">SUM(IF(DU460:DV460&gt;=DU460, 1))</f>
        <v>2</v>
      </c>
      <c r="DY460" s="58">
        <f t="array" ref="DY460">SUM(IF(DU460:DV460&gt;=DV460, 1))</f>
        <v>1</v>
      </c>
      <c r="EA460" s="109">
        <f t="shared" si="199"/>
        <v>-186020986.00172171</v>
      </c>
      <c r="EB460" s="109">
        <f t="shared" si="200"/>
        <v>0</v>
      </c>
      <c r="ED460" s="58">
        <f t="array" ref="ED460">SUM(IF(EA460:EB460&gt;=EA460, 1))</f>
        <v>2</v>
      </c>
      <c r="EE460" s="58">
        <f t="array" ref="EE460">SUM(IF(EA460:EB460&gt;=EB460, 1))</f>
        <v>1</v>
      </c>
    </row>
    <row r="461" spans="4:135" ht="12" customHeight="1" x14ac:dyDescent="0.25">
      <c r="D461" s="11">
        <v>445</v>
      </c>
      <c r="E461" s="72">
        <v>250.73681429430968</v>
      </c>
      <c r="F461" s="72">
        <v>229.96332338311396</v>
      </c>
      <c r="G461" s="73"/>
      <c r="H461" s="74">
        <v>5.8331603605963833</v>
      </c>
      <c r="I461" s="74">
        <v>5.854427537135197</v>
      </c>
      <c r="J461" s="73"/>
      <c r="K461" s="72">
        <v>269.32772394508072</v>
      </c>
      <c r="L461" s="72">
        <v>248.02811164730082</v>
      </c>
      <c r="M461" s="73"/>
      <c r="N461" s="74">
        <v>6.6911292676525935</v>
      </c>
      <c r="O461" s="74">
        <v>6.710043450327829</v>
      </c>
      <c r="P461" s="73"/>
      <c r="Q461" s="72">
        <v>3328.7896607583752</v>
      </c>
      <c r="R461" s="72">
        <v>1236.6671859265653</v>
      </c>
      <c r="S461" s="73"/>
      <c r="T461" s="74">
        <v>4.7137186116653993</v>
      </c>
      <c r="U461" s="74">
        <v>4.8715314669081522</v>
      </c>
      <c r="V461" s="73"/>
      <c r="W461" s="72">
        <v>9565.3126166378916</v>
      </c>
      <c r="X461" s="72">
        <v>9589.4395638732967</v>
      </c>
      <c r="Y461" s="73"/>
      <c r="Z461" s="74">
        <v>2.9073932291990858</v>
      </c>
      <c r="AA461" s="74">
        <v>2.9521151228422213</v>
      </c>
      <c r="AB461" s="73"/>
      <c r="AC461" s="72">
        <v>51137.278714896893</v>
      </c>
      <c r="AD461" s="72">
        <v>50582.968943618114</v>
      </c>
      <c r="AE461" s="73"/>
      <c r="AF461" s="74">
        <v>4.6102793355616711</v>
      </c>
      <c r="AG461" s="74">
        <v>4.8258825830240806</v>
      </c>
      <c r="AH461" s="73"/>
      <c r="AI461" s="72">
        <v>2253899.6377743976</v>
      </c>
      <c r="AJ461" s="72">
        <v>0</v>
      </c>
      <c r="AK461" s="73"/>
      <c r="AL461" s="74">
        <v>-2307.4639550102129</v>
      </c>
      <c r="AM461" s="74">
        <v>0</v>
      </c>
      <c r="AN461" s="73"/>
      <c r="AO461" s="72">
        <v>135811.30473007713</v>
      </c>
      <c r="AP461" s="72">
        <v>0</v>
      </c>
      <c r="AQ461" s="73"/>
      <c r="AR461" s="74">
        <v>-120.60124809382084</v>
      </c>
      <c r="AS461" s="74">
        <v>0</v>
      </c>
      <c r="AT461" s="73"/>
      <c r="AU461" s="72">
        <v>48445214.139037453</v>
      </c>
      <c r="AV461" s="72">
        <v>0</v>
      </c>
      <c r="AW461" s="73"/>
      <c r="AX461" s="74">
        <v>-3654.3164456673139</v>
      </c>
      <c r="AY461" s="74">
        <v>0</v>
      </c>
      <c r="AZ461" s="73"/>
      <c r="BA461" s="72">
        <v>-209673.1610221091</v>
      </c>
      <c r="BB461" s="72">
        <v>0</v>
      </c>
      <c r="BC461" s="73"/>
      <c r="BD461" s="74">
        <v>-388.65177245841141</v>
      </c>
      <c r="BE461" s="74">
        <v>0</v>
      </c>
      <c r="BF461" s="73"/>
      <c r="BG461" s="72">
        <v>8539987.3412940651</v>
      </c>
      <c r="BH461" s="72">
        <v>0</v>
      </c>
      <c r="BI461" s="73"/>
      <c r="BJ461" s="74">
        <v>-3321.6968191326555</v>
      </c>
      <c r="BK461" s="74">
        <v>0</v>
      </c>
      <c r="BL461" s="73"/>
      <c r="BM461" s="72">
        <v>59165239.261813879</v>
      </c>
      <c r="BN461" s="72">
        <v>0</v>
      </c>
      <c r="BO461" s="73"/>
      <c r="BP461" s="74">
        <v>-9792.7302403624144</v>
      </c>
      <c r="BQ461" s="74">
        <v>0</v>
      </c>
      <c r="BS461" s="109">
        <f t="shared" si="180"/>
        <v>116412.47039763335</v>
      </c>
      <c r="BT461" s="109">
        <f t="shared" si="181"/>
        <v>116858.58741932083</v>
      </c>
      <c r="BV461" s="58">
        <f t="array" ref="BV461">SUM(IF(BS461:BT461&gt;=BS461, 1))</f>
        <v>2</v>
      </c>
      <c r="BW461" s="58">
        <f t="array" ref="BW461">SUM(IF(BS461:BT461&gt;=BT461, 1))</f>
        <v>1</v>
      </c>
      <c r="BY461" s="109">
        <f t="shared" si="182"/>
        <v>133553.25762910678</v>
      </c>
      <c r="BZ461" s="109">
        <f t="shared" si="183"/>
        <v>133952.84089490928</v>
      </c>
      <c r="CB461" s="58">
        <f t="array" ref="CB461">SUM(IF(BY461:BZ461&gt;=BY461, 1))</f>
        <v>2</v>
      </c>
      <c r="CC461" s="58">
        <f t="array" ref="CC461">SUM(IF(BY461:BZ461&gt;=BZ461, 1))</f>
        <v>1</v>
      </c>
      <c r="CE461" s="109">
        <f t="shared" si="184"/>
        <v>90945.582572549611</v>
      </c>
      <c r="CF461" s="109">
        <f t="shared" si="185"/>
        <v>96193.962152236476</v>
      </c>
      <c r="CH461" s="58">
        <f t="array" ref="CH461">SUM(IF(CE461:CF461&gt;=CE461, 1))</f>
        <v>2</v>
      </c>
      <c r="CI461" s="58">
        <f t="array" ref="CI461">SUM(IF(CE461:CF461&gt;=CF461, 1))</f>
        <v>1</v>
      </c>
      <c r="CK461" s="109">
        <f t="shared" si="186"/>
        <v>48582.551967343825</v>
      </c>
      <c r="CL461" s="109">
        <f t="shared" si="187"/>
        <v>49452.862892971127</v>
      </c>
      <c r="CN461" s="58">
        <f t="array" ref="CN461">SUM(IF(CK461:CL461&gt;=CK461, 1))</f>
        <v>2</v>
      </c>
      <c r="CO461" s="58">
        <f t="array" ref="CO461">SUM(IF(CK461:CL461&gt;=CL461, 1))</f>
        <v>1</v>
      </c>
      <c r="CQ461" s="109" cm="1">
        <f t="array" ref="CQ461">AF461*WTP-AC461</f>
        <v>41068.307996336531</v>
      </c>
      <c r="CR461" s="109">
        <f t="shared" si="188"/>
        <v>45934.682716863499</v>
      </c>
      <c r="CT461" s="58">
        <f t="array" ref="CT461">SUM(IF(CQ461:CR461&gt;=CQ461, 1))</f>
        <v>2</v>
      </c>
      <c r="CU461" s="58">
        <f t="array" ref="CU461">SUM(IF(CQ461:CR461&gt;=CR461, 1))</f>
        <v>1</v>
      </c>
      <c r="CW461" s="109">
        <f t="shared" si="189"/>
        <v>-48403178.73797866</v>
      </c>
      <c r="CX461" s="109">
        <f t="shared" si="190"/>
        <v>0</v>
      </c>
      <c r="CZ461" s="58">
        <f t="array" ref="CZ461">SUM(IF(CW461:CX461&gt;=CW461, 1))</f>
        <v>2</v>
      </c>
      <c r="DA461" s="58">
        <f t="array" ref="DA461">SUM(IF(CW461:CX461&gt;=CX461, 1))</f>
        <v>1</v>
      </c>
      <c r="DC461" s="109">
        <f t="shared" si="191"/>
        <v>-2547836.2666064943</v>
      </c>
      <c r="DD461" s="109">
        <f t="shared" si="192"/>
        <v>0</v>
      </c>
      <c r="DF461" s="58">
        <f t="array" ref="DF461">SUM(IF(DC461:DD461&gt;=DC461, 1))</f>
        <v>2</v>
      </c>
      <c r="DG461" s="58">
        <f t="array" ref="DG461">SUM(IF(DC461:DD461&gt;=DD461, 1))</f>
        <v>1</v>
      </c>
      <c r="DI461" s="109">
        <f t="shared" si="193"/>
        <v>-121531543.05238372</v>
      </c>
      <c r="DJ461" s="109">
        <f t="shared" si="194"/>
        <v>0</v>
      </c>
      <c r="DL461" s="58">
        <f t="array" ref="DL461">SUM(IF(DI461:DJ461&gt;=DI461, 1))</f>
        <v>2</v>
      </c>
      <c r="DM461" s="58">
        <f t="array" ref="DM461">SUM(IF(DI461:DJ461&gt;=DJ461, 1))</f>
        <v>1</v>
      </c>
      <c r="DO461" s="109">
        <f t="shared" si="195"/>
        <v>-7563362.2881461196</v>
      </c>
      <c r="DP461" s="109">
        <f t="shared" si="196"/>
        <v>0</v>
      </c>
      <c r="DR461" s="58">
        <f t="array" ref="DR461">SUM(IF(DO461:DP461&gt;=DO461, 1))</f>
        <v>2</v>
      </c>
      <c r="DS461" s="58">
        <f t="array" ref="DS461">SUM(IF(DO461:DP461&gt;=DP461, 1))</f>
        <v>1</v>
      </c>
      <c r="DU461" s="109">
        <f t="shared" si="197"/>
        <v>-74973923.723947167</v>
      </c>
      <c r="DV461" s="109">
        <f t="shared" si="198"/>
        <v>0</v>
      </c>
      <c r="DX461" s="58">
        <f t="array" ref="DX461">SUM(IF(DU461:DV461&gt;=DU461, 1))</f>
        <v>2</v>
      </c>
      <c r="DY461" s="58">
        <f t="array" ref="DY461">SUM(IF(DU461:DV461&gt;=DV461, 1))</f>
        <v>1</v>
      </c>
      <c r="EA461" s="109">
        <f t="shared" si="199"/>
        <v>-255019844.06906217</v>
      </c>
      <c r="EB461" s="109">
        <f t="shared" si="200"/>
        <v>0</v>
      </c>
      <c r="ED461" s="58">
        <f t="array" ref="ED461">SUM(IF(EA461:EB461&gt;=EA461, 1))</f>
        <v>2</v>
      </c>
      <c r="EE461" s="58">
        <f t="array" ref="EE461">SUM(IF(EA461:EB461&gt;=EB461, 1))</f>
        <v>1</v>
      </c>
    </row>
    <row r="462" spans="4:135" ht="12" customHeight="1" x14ac:dyDescent="0.25">
      <c r="D462" s="11">
        <v>446</v>
      </c>
      <c r="E462" s="72">
        <v>260.26163649279107</v>
      </c>
      <c r="F462" s="72">
        <v>219.03238068250926</v>
      </c>
      <c r="G462" s="73"/>
      <c r="H462" s="74">
        <v>5.8452783079469066</v>
      </c>
      <c r="I462" s="74">
        <v>5.8640138024035586</v>
      </c>
      <c r="J462" s="73"/>
      <c r="K462" s="72">
        <v>278.23232318723177</v>
      </c>
      <c r="L462" s="72">
        <v>236.07190925503613</v>
      </c>
      <c r="M462" s="73"/>
      <c r="N462" s="74">
        <v>6.6866011686432536</v>
      </c>
      <c r="O462" s="74">
        <v>6.7032023911921064</v>
      </c>
      <c r="P462" s="73"/>
      <c r="Q462" s="72">
        <v>1311.9877568895806</v>
      </c>
      <c r="R462" s="72">
        <v>1047.9989462965852</v>
      </c>
      <c r="S462" s="73"/>
      <c r="T462" s="74">
        <v>4.8753188367157172</v>
      </c>
      <c r="U462" s="74">
        <v>4.9278973622668589</v>
      </c>
      <c r="V462" s="73"/>
      <c r="W462" s="72">
        <v>12280.062235039135</v>
      </c>
      <c r="X462" s="72">
        <v>12204.983040565445</v>
      </c>
      <c r="Y462" s="73"/>
      <c r="Z462" s="74">
        <v>3.1812438753496197</v>
      </c>
      <c r="AA462" s="74">
        <v>3.2036472830923906</v>
      </c>
      <c r="AB462" s="73"/>
      <c r="AC462" s="72">
        <v>51586.654328335651</v>
      </c>
      <c r="AD462" s="72">
        <v>51498.26080576727</v>
      </c>
      <c r="AE462" s="73"/>
      <c r="AF462" s="74">
        <v>4.319135431960289</v>
      </c>
      <c r="AG462" s="74">
        <v>4.4114880455604304</v>
      </c>
      <c r="AH462" s="73"/>
      <c r="AI462" s="72">
        <v>4445057.910415194</v>
      </c>
      <c r="AJ462" s="72">
        <v>0</v>
      </c>
      <c r="AK462" s="73"/>
      <c r="AL462" s="74">
        <v>-2019.9335690971282</v>
      </c>
      <c r="AM462" s="74">
        <v>0</v>
      </c>
      <c r="AN462" s="73"/>
      <c r="AO462" s="72">
        <v>282650.57052056165</v>
      </c>
      <c r="AP462" s="72">
        <v>0</v>
      </c>
      <c r="AQ462" s="73"/>
      <c r="AR462" s="74">
        <v>-111.29741354813304</v>
      </c>
      <c r="AS462" s="74">
        <v>0</v>
      </c>
      <c r="AT462" s="73"/>
      <c r="AU462" s="72">
        <v>5971627.8616549261</v>
      </c>
      <c r="AV462" s="72">
        <v>0</v>
      </c>
      <c r="AW462" s="73"/>
      <c r="AX462" s="74">
        <v>-1189.3662742774768</v>
      </c>
      <c r="AY462" s="74">
        <v>0</v>
      </c>
      <c r="AZ462" s="73"/>
      <c r="BA462" s="72">
        <v>688864.86280673044</v>
      </c>
      <c r="BB462" s="72">
        <v>0</v>
      </c>
      <c r="BC462" s="73"/>
      <c r="BD462" s="74">
        <v>-205.55522084796985</v>
      </c>
      <c r="BE462" s="74">
        <v>0</v>
      </c>
      <c r="BF462" s="73"/>
      <c r="BG462" s="72">
        <v>1395116.563564125</v>
      </c>
      <c r="BH462" s="72">
        <v>0</v>
      </c>
      <c r="BI462" s="73"/>
      <c r="BJ462" s="74">
        <v>-1457.6029688410852</v>
      </c>
      <c r="BK462" s="74">
        <v>0</v>
      </c>
      <c r="BL462" s="73"/>
      <c r="BM462" s="72">
        <v>12783317.768961538</v>
      </c>
      <c r="BN462" s="72">
        <v>0</v>
      </c>
      <c r="BO462" s="73"/>
      <c r="BP462" s="74">
        <v>-4983.7554466117926</v>
      </c>
      <c r="BQ462" s="74">
        <v>0</v>
      </c>
      <c r="BS462" s="109">
        <f t="shared" si="180"/>
        <v>116645.30452244534</v>
      </c>
      <c r="BT462" s="109">
        <f t="shared" si="181"/>
        <v>117061.24366738867</v>
      </c>
      <c r="BV462" s="58">
        <f t="array" ref="BV462">SUM(IF(BS462:BT462&gt;=BS462, 1))</f>
        <v>2</v>
      </c>
      <c r="BW462" s="58">
        <f t="array" ref="BW462">SUM(IF(BS462:BT462&gt;=BT462, 1))</f>
        <v>1</v>
      </c>
      <c r="BY462" s="109">
        <f t="shared" si="182"/>
        <v>133453.79104967785</v>
      </c>
      <c r="BZ462" s="109">
        <f t="shared" si="183"/>
        <v>133827.97591458709</v>
      </c>
      <c r="CB462" s="58">
        <f t="array" ref="CB462">SUM(IF(BY462:BZ462&gt;=BY462, 1))</f>
        <v>2</v>
      </c>
      <c r="CC462" s="58">
        <f t="array" ref="CC462">SUM(IF(BY462:BZ462&gt;=BZ462, 1))</f>
        <v>1</v>
      </c>
      <c r="CE462" s="109">
        <f t="shared" si="184"/>
        <v>96194.388977424765</v>
      </c>
      <c r="CF462" s="109">
        <f t="shared" si="185"/>
        <v>97509.948299040596</v>
      </c>
      <c r="CH462" s="58">
        <f t="array" ref="CH462">SUM(IF(CE462:CF462&gt;=CE462, 1))</f>
        <v>2</v>
      </c>
      <c r="CI462" s="58">
        <f t="array" ref="CI462">SUM(IF(CE462:CF462&gt;=CF462, 1))</f>
        <v>1</v>
      </c>
      <c r="CK462" s="109">
        <f t="shared" si="186"/>
        <v>51344.815271953259</v>
      </c>
      <c r="CL462" s="109">
        <f t="shared" si="187"/>
        <v>51867.962621282371</v>
      </c>
      <c r="CN462" s="58">
        <f t="array" ref="CN462">SUM(IF(CK462:CL462&gt;=CK462, 1))</f>
        <v>2</v>
      </c>
      <c r="CO462" s="58">
        <f t="array" ref="CO462">SUM(IF(CK462:CL462&gt;=CL462, 1))</f>
        <v>1</v>
      </c>
      <c r="CQ462" s="109" cm="1">
        <f t="array" ref="CQ462">AF462*WTP-AC462</f>
        <v>34796.054310870131</v>
      </c>
      <c r="CR462" s="109">
        <f t="shared" si="188"/>
        <v>36731.500105441337</v>
      </c>
      <c r="CT462" s="58">
        <f t="array" ref="CT462">SUM(IF(CQ462:CR462&gt;=CQ462, 1))</f>
        <v>2</v>
      </c>
      <c r="CU462" s="58">
        <f t="array" ref="CU462">SUM(IF(CQ462:CR462&gt;=CR462, 1))</f>
        <v>1</v>
      </c>
      <c r="CW462" s="109">
        <f t="shared" si="189"/>
        <v>-44843729.292357758</v>
      </c>
      <c r="CX462" s="109">
        <f t="shared" si="190"/>
        <v>0</v>
      </c>
      <c r="CZ462" s="58">
        <f t="array" ref="CZ462">SUM(IF(CW462:CX462&gt;=CW462, 1))</f>
        <v>2</v>
      </c>
      <c r="DA462" s="58">
        <f t="array" ref="DA462">SUM(IF(CW462:CX462&gt;=CX462, 1))</f>
        <v>1</v>
      </c>
      <c r="DC462" s="109">
        <f t="shared" si="191"/>
        <v>-2508598.8414832223</v>
      </c>
      <c r="DD462" s="109">
        <f t="shared" si="192"/>
        <v>0</v>
      </c>
      <c r="DF462" s="58">
        <f t="array" ref="DF462">SUM(IF(DC462:DD462&gt;=DC462, 1))</f>
        <v>2</v>
      </c>
      <c r="DG462" s="58">
        <f t="array" ref="DG462">SUM(IF(DC462:DD462&gt;=DD462, 1))</f>
        <v>1</v>
      </c>
      <c r="DI462" s="109">
        <f t="shared" si="193"/>
        <v>-29758953.347204462</v>
      </c>
      <c r="DJ462" s="109">
        <f t="shared" si="194"/>
        <v>0</v>
      </c>
      <c r="DL462" s="58">
        <f t="array" ref="DL462">SUM(IF(DI462:DJ462&gt;=DI462, 1))</f>
        <v>2</v>
      </c>
      <c r="DM462" s="58">
        <f t="array" ref="DM462">SUM(IF(DI462:DJ462&gt;=DJ462, 1))</f>
        <v>1</v>
      </c>
      <c r="DO462" s="109">
        <f t="shared" si="195"/>
        <v>-4799969.2797661275</v>
      </c>
      <c r="DP462" s="109">
        <f t="shared" si="196"/>
        <v>0</v>
      </c>
      <c r="DR462" s="58">
        <f t="array" ref="DR462">SUM(IF(DO462:DP462&gt;=DO462, 1))</f>
        <v>2</v>
      </c>
      <c r="DS462" s="58">
        <f t="array" ref="DS462">SUM(IF(DO462:DP462&gt;=DP462, 1))</f>
        <v>1</v>
      </c>
      <c r="DU462" s="109">
        <f t="shared" si="197"/>
        <v>-30547175.94038583</v>
      </c>
      <c r="DV462" s="109">
        <f t="shared" si="198"/>
        <v>0</v>
      </c>
      <c r="DX462" s="58">
        <f t="array" ref="DX462">SUM(IF(DU462:DV462&gt;=DU462, 1))</f>
        <v>2</v>
      </c>
      <c r="DY462" s="58">
        <f t="array" ref="DY462">SUM(IF(DU462:DV462&gt;=DV462, 1))</f>
        <v>1</v>
      </c>
      <c r="EA462" s="109">
        <f t="shared" si="199"/>
        <v>-112458426.70119739</v>
      </c>
      <c r="EB462" s="109">
        <f t="shared" si="200"/>
        <v>0</v>
      </c>
      <c r="ED462" s="58">
        <f t="array" ref="ED462">SUM(IF(EA462:EB462&gt;=EA462, 1))</f>
        <v>2</v>
      </c>
      <c r="EE462" s="58">
        <f t="array" ref="EE462">SUM(IF(EA462:EB462&gt;=EB462, 1))</f>
        <v>1</v>
      </c>
    </row>
    <row r="463" spans="4:135" ht="12" customHeight="1" x14ac:dyDescent="0.25">
      <c r="D463" s="11">
        <v>447</v>
      </c>
      <c r="E463" s="72">
        <v>260.59753810385541</v>
      </c>
      <c r="F463" s="72">
        <v>219.28577816477005</v>
      </c>
      <c r="G463" s="73"/>
      <c r="H463" s="74">
        <v>5.8500563421308627</v>
      </c>
      <c r="I463" s="74">
        <v>5.8694286122310393</v>
      </c>
      <c r="J463" s="73"/>
      <c r="K463" s="72">
        <v>278.69048467138032</v>
      </c>
      <c r="L463" s="72">
        <v>236.39917734415593</v>
      </c>
      <c r="M463" s="73"/>
      <c r="N463" s="74">
        <v>6.7285854119940804</v>
      </c>
      <c r="O463" s="74">
        <v>6.7458803141003649</v>
      </c>
      <c r="P463" s="73"/>
      <c r="Q463" s="72">
        <v>2874.6750943447878</v>
      </c>
      <c r="R463" s="72">
        <v>1386.8787381379525</v>
      </c>
      <c r="S463" s="73"/>
      <c r="T463" s="74">
        <v>5.038674936279147</v>
      </c>
      <c r="U463" s="74">
        <v>5.1446707775176925</v>
      </c>
      <c r="V463" s="73"/>
      <c r="W463" s="72">
        <v>8406.5906876327972</v>
      </c>
      <c r="X463" s="72">
        <v>8376.622969948965</v>
      </c>
      <c r="Y463" s="73"/>
      <c r="Z463" s="74">
        <v>2.9396604861949149</v>
      </c>
      <c r="AA463" s="74">
        <v>2.9806173236237465</v>
      </c>
      <c r="AB463" s="73"/>
      <c r="AC463" s="72">
        <v>50113.137182129001</v>
      </c>
      <c r="AD463" s="72">
        <v>49956.959485024388</v>
      </c>
      <c r="AE463" s="73"/>
      <c r="AF463" s="74">
        <v>4.4555520782932128</v>
      </c>
      <c r="AG463" s="74">
        <v>4.5426146919272155</v>
      </c>
      <c r="AH463" s="73"/>
      <c r="AI463" s="72">
        <v>4407429.205087699</v>
      </c>
      <c r="AJ463" s="72">
        <v>0</v>
      </c>
      <c r="AK463" s="73"/>
      <c r="AL463" s="74">
        <v>-2066.7700706593514</v>
      </c>
      <c r="AM463" s="74">
        <v>0</v>
      </c>
      <c r="AN463" s="73"/>
      <c r="AO463" s="72">
        <v>278954.7858487856</v>
      </c>
      <c r="AP463" s="72">
        <v>0</v>
      </c>
      <c r="AQ463" s="73"/>
      <c r="AR463" s="74">
        <v>-114.07771521474349</v>
      </c>
      <c r="AS463" s="74">
        <v>0</v>
      </c>
      <c r="AT463" s="73"/>
      <c r="AU463" s="72">
        <v>34703312.989145629</v>
      </c>
      <c r="AV463" s="72">
        <v>0</v>
      </c>
      <c r="AW463" s="73"/>
      <c r="AX463" s="74">
        <v>-2472.385981255663</v>
      </c>
      <c r="AY463" s="74">
        <v>0</v>
      </c>
      <c r="AZ463" s="73"/>
      <c r="BA463" s="72">
        <v>266588.29503812623</v>
      </c>
      <c r="BB463" s="72">
        <v>0</v>
      </c>
      <c r="BC463" s="73"/>
      <c r="BD463" s="74">
        <v>-364.34584627032137</v>
      </c>
      <c r="BE463" s="74">
        <v>0</v>
      </c>
      <c r="BF463" s="73"/>
      <c r="BG463" s="72">
        <v>2475071.9326799084</v>
      </c>
      <c r="BH463" s="72">
        <v>0</v>
      </c>
      <c r="BI463" s="73"/>
      <c r="BJ463" s="74">
        <v>-1379.7503445510247</v>
      </c>
      <c r="BK463" s="74">
        <v>0</v>
      </c>
      <c r="BL463" s="73"/>
      <c r="BM463" s="72">
        <v>42131357.207800142</v>
      </c>
      <c r="BN463" s="72">
        <v>0</v>
      </c>
      <c r="BO463" s="73"/>
      <c r="BP463" s="74">
        <v>-6397.3299579511031</v>
      </c>
      <c r="BQ463" s="74">
        <v>0</v>
      </c>
      <c r="BS463" s="109">
        <f t="shared" si="180"/>
        <v>116740.52930451339</v>
      </c>
      <c r="BT463" s="109">
        <f t="shared" si="181"/>
        <v>117169.286466456</v>
      </c>
      <c r="BV463" s="58">
        <f t="array" ref="BV463">SUM(IF(BS463:BT463&gt;=BS463, 1))</f>
        <v>2</v>
      </c>
      <c r="BW463" s="58">
        <f t="array" ref="BW463">SUM(IF(BS463:BT463&gt;=BT463, 1))</f>
        <v>1</v>
      </c>
      <c r="BY463" s="109">
        <f t="shared" si="182"/>
        <v>134293.01775521023</v>
      </c>
      <c r="BZ463" s="109">
        <f t="shared" si="183"/>
        <v>134681.20710466313</v>
      </c>
      <c r="CB463" s="58">
        <f t="array" ref="CB463">SUM(IF(BY463:BZ463&gt;=BY463, 1))</f>
        <v>2</v>
      </c>
      <c r="CC463" s="58">
        <f t="array" ref="CC463">SUM(IF(BY463:BZ463&gt;=BZ463, 1))</f>
        <v>1</v>
      </c>
      <c r="CE463" s="109">
        <f t="shared" si="184"/>
        <v>97898.823631238149</v>
      </c>
      <c r="CF463" s="109">
        <f t="shared" si="185"/>
        <v>101506.5368122159</v>
      </c>
      <c r="CH463" s="58">
        <f t="array" ref="CH463">SUM(IF(CE463:CF463&gt;=CE463, 1))</f>
        <v>2</v>
      </c>
      <c r="CI463" s="58">
        <f t="array" ref="CI463">SUM(IF(CE463:CF463&gt;=CF463, 1))</f>
        <v>1</v>
      </c>
      <c r="CK463" s="109">
        <f t="shared" si="186"/>
        <v>50386.619036265503</v>
      </c>
      <c r="CL463" s="109">
        <f t="shared" si="187"/>
        <v>51235.723502525965</v>
      </c>
      <c r="CN463" s="58">
        <f t="array" ref="CN463">SUM(IF(CK463:CL463&gt;=CK463, 1))</f>
        <v>2</v>
      </c>
      <c r="CO463" s="58">
        <f t="array" ref="CO463">SUM(IF(CK463:CL463&gt;=CL463, 1))</f>
        <v>1</v>
      </c>
      <c r="CQ463" s="109" cm="1">
        <f t="array" ref="CQ463">AF463*WTP-AC463</f>
        <v>38997.904383735258</v>
      </c>
      <c r="CR463" s="109">
        <f t="shared" si="188"/>
        <v>40895.334353519924</v>
      </c>
      <c r="CT463" s="58">
        <f t="array" ref="CT463">SUM(IF(CQ463:CR463&gt;=CQ463, 1))</f>
        <v>2</v>
      </c>
      <c r="CU463" s="58">
        <f t="array" ref="CU463">SUM(IF(CQ463:CR463&gt;=CR463, 1))</f>
        <v>1</v>
      </c>
      <c r="CW463" s="109">
        <f t="shared" si="189"/>
        <v>-45742830.618274726</v>
      </c>
      <c r="CX463" s="109">
        <f t="shared" si="190"/>
        <v>0</v>
      </c>
      <c r="CZ463" s="58">
        <f t="array" ref="CZ463">SUM(IF(CW463:CX463&gt;=CW463, 1))</f>
        <v>2</v>
      </c>
      <c r="DA463" s="58">
        <f t="array" ref="DA463">SUM(IF(CW463:CX463&gt;=CX463, 1))</f>
        <v>1</v>
      </c>
      <c r="DC463" s="109">
        <f t="shared" si="191"/>
        <v>-2560509.0901436554</v>
      </c>
      <c r="DD463" s="109">
        <f t="shared" si="192"/>
        <v>0</v>
      </c>
      <c r="DF463" s="58">
        <f t="array" ref="DF463">SUM(IF(DC463:DD463&gt;=DC463, 1))</f>
        <v>2</v>
      </c>
      <c r="DG463" s="58">
        <f t="array" ref="DG463">SUM(IF(DC463:DD463&gt;=DD463, 1))</f>
        <v>1</v>
      </c>
      <c r="DI463" s="109">
        <f t="shared" si="193"/>
        <v>-84151032.614258885</v>
      </c>
      <c r="DJ463" s="109">
        <f t="shared" si="194"/>
        <v>0</v>
      </c>
      <c r="DL463" s="58">
        <f t="array" ref="DL463">SUM(IF(DI463:DJ463&gt;=DI463, 1))</f>
        <v>2</v>
      </c>
      <c r="DM463" s="58">
        <f t="array" ref="DM463">SUM(IF(DI463:DJ463&gt;=DJ463, 1))</f>
        <v>1</v>
      </c>
      <c r="DO463" s="109">
        <f t="shared" si="195"/>
        <v>-7553505.2204445535</v>
      </c>
      <c r="DP463" s="109">
        <f t="shared" si="196"/>
        <v>0</v>
      </c>
      <c r="DR463" s="58">
        <f t="array" ref="DR463">SUM(IF(DO463:DP463&gt;=DO463, 1))</f>
        <v>2</v>
      </c>
      <c r="DS463" s="58">
        <f t="array" ref="DS463">SUM(IF(DO463:DP463&gt;=DP463, 1))</f>
        <v>1</v>
      </c>
      <c r="DU463" s="109">
        <f t="shared" si="197"/>
        <v>-30070078.823700406</v>
      </c>
      <c r="DV463" s="109">
        <f t="shared" si="198"/>
        <v>0</v>
      </c>
      <c r="DX463" s="58">
        <f t="array" ref="DX463">SUM(IF(DU463:DV463&gt;=DU463, 1))</f>
        <v>2</v>
      </c>
      <c r="DY463" s="58">
        <f t="array" ref="DY463">SUM(IF(DU463:DV463&gt;=DV463, 1))</f>
        <v>1</v>
      </c>
      <c r="EA463" s="109">
        <f t="shared" si="199"/>
        <v>-170077956.36682221</v>
      </c>
      <c r="EB463" s="109">
        <f t="shared" si="200"/>
        <v>0</v>
      </c>
      <c r="ED463" s="58">
        <f t="array" ref="ED463">SUM(IF(EA463:EB463&gt;=EA463, 1))</f>
        <v>2</v>
      </c>
      <c r="EE463" s="58">
        <f t="array" ref="EE463">SUM(IF(EA463:EB463&gt;=EB463, 1))</f>
        <v>1</v>
      </c>
    </row>
    <row r="464" spans="4:135" ht="12" customHeight="1" x14ac:dyDescent="0.25">
      <c r="D464" s="11">
        <v>448</v>
      </c>
      <c r="E464" s="72">
        <v>249.73764109043844</v>
      </c>
      <c r="F464" s="72">
        <v>215.66753659052904</v>
      </c>
      <c r="G464" s="73"/>
      <c r="H464" s="74">
        <v>5.8715809872721154</v>
      </c>
      <c r="I464" s="74">
        <v>5.8894645497796843</v>
      </c>
      <c r="J464" s="73"/>
      <c r="K464" s="72">
        <v>267.38393905016227</v>
      </c>
      <c r="L464" s="72">
        <v>232.50505079862143</v>
      </c>
      <c r="M464" s="73"/>
      <c r="N464" s="74">
        <v>6.6842393671032214</v>
      </c>
      <c r="O464" s="74">
        <v>6.6997849127411628</v>
      </c>
      <c r="P464" s="73"/>
      <c r="Q464" s="72">
        <v>3018.5091807498711</v>
      </c>
      <c r="R464" s="72">
        <v>1617.5226670336135</v>
      </c>
      <c r="S464" s="73"/>
      <c r="T464" s="74">
        <v>4.8090876046032704</v>
      </c>
      <c r="U464" s="74">
        <v>4.9490387864620962</v>
      </c>
      <c r="V464" s="73"/>
      <c r="W464" s="72">
        <v>11314.147052170883</v>
      </c>
      <c r="X464" s="72">
        <v>11314.962466649762</v>
      </c>
      <c r="Y464" s="73"/>
      <c r="Z464" s="74">
        <v>2.9477070885599086</v>
      </c>
      <c r="AA464" s="74">
        <v>2.984936419194177</v>
      </c>
      <c r="AB464" s="73"/>
      <c r="AC464" s="72">
        <v>49342.931970176491</v>
      </c>
      <c r="AD464" s="72">
        <v>49187.131539821647</v>
      </c>
      <c r="AE464" s="73"/>
      <c r="AF464" s="74">
        <v>4.2854635306371813</v>
      </c>
      <c r="AG464" s="74">
        <v>4.3975632541112386</v>
      </c>
      <c r="AH464" s="73"/>
      <c r="AI464" s="72">
        <v>3646904.0233330401</v>
      </c>
      <c r="AJ464" s="72">
        <v>0</v>
      </c>
      <c r="AK464" s="73"/>
      <c r="AL464" s="74">
        <v>-1914.2775467728354</v>
      </c>
      <c r="AM464" s="74">
        <v>0</v>
      </c>
      <c r="AN464" s="73"/>
      <c r="AO464" s="72">
        <v>245852.52804936602</v>
      </c>
      <c r="AP464" s="72">
        <v>0</v>
      </c>
      <c r="AQ464" s="73"/>
      <c r="AR464" s="74">
        <v>-109.57664898696567</v>
      </c>
      <c r="AS464" s="74">
        <v>0</v>
      </c>
      <c r="AT464" s="73"/>
      <c r="AU464" s="72">
        <v>31258848.26627177</v>
      </c>
      <c r="AV464" s="72">
        <v>0</v>
      </c>
      <c r="AW464" s="73"/>
      <c r="AX464" s="74">
        <v>-3122.5944829447885</v>
      </c>
      <c r="AY464" s="74">
        <v>0</v>
      </c>
      <c r="AZ464" s="73"/>
      <c r="BA464" s="72">
        <v>-7220.3153711316736</v>
      </c>
      <c r="BB464" s="72">
        <v>0</v>
      </c>
      <c r="BC464" s="73"/>
      <c r="BD464" s="74">
        <v>-329.65751185238651</v>
      </c>
      <c r="BE464" s="74">
        <v>0</v>
      </c>
      <c r="BF464" s="73"/>
      <c r="BG464" s="72">
        <v>2456127.8889168366</v>
      </c>
      <c r="BH464" s="72">
        <v>0</v>
      </c>
      <c r="BI464" s="73"/>
      <c r="BJ464" s="74">
        <v>-1767.2047281089997</v>
      </c>
      <c r="BK464" s="74">
        <v>0</v>
      </c>
      <c r="BL464" s="73"/>
      <c r="BM464" s="72">
        <v>37600512.391199879</v>
      </c>
      <c r="BN464" s="72">
        <v>0</v>
      </c>
      <c r="BO464" s="73"/>
      <c r="BP464" s="74">
        <v>-7243.3109186659767</v>
      </c>
      <c r="BQ464" s="74">
        <v>0</v>
      </c>
      <c r="BS464" s="109">
        <f t="shared" si="180"/>
        <v>117181.88210435187</v>
      </c>
      <c r="BT464" s="109">
        <f t="shared" si="181"/>
        <v>117573.62345900317</v>
      </c>
      <c r="BV464" s="58">
        <f t="array" ref="BV464">SUM(IF(BS464:BT464&gt;=BS464, 1))</f>
        <v>2</v>
      </c>
      <c r="BW464" s="58">
        <f t="array" ref="BW464">SUM(IF(BS464:BT464&gt;=BT464, 1))</f>
        <v>1</v>
      </c>
      <c r="BY464" s="109">
        <f t="shared" si="182"/>
        <v>133417.40340301426</v>
      </c>
      <c r="BZ464" s="109">
        <f t="shared" si="183"/>
        <v>133763.19320402463</v>
      </c>
      <c r="CB464" s="58">
        <f t="array" ref="CB464">SUM(IF(BY464:BZ464&gt;=BY464, 1))</f>
        <v>2</v>
      </c>
      <c r="CC464" s="58">
        <f t="array" ref="CC464">SUM(IF(BY464:BZ464&gt;=BZ464, 1))</f>
        <v>1</v>
      </c>
      <c r="CE464" s="109">
        <f t="shared" si="184"/>
        <v>93163.242911315538</v>
      </c>
      <c r="CF464" s="109">
        <f t="shared" si="185"/>
        <v>97363.253062208314</v>
      </c>
      <c r="CH464" s="58">
        <f t="array" ref="CH464">SUM(IF(CE464:CF464&gt;=CE464, 1))</f>
        <v>2</v>
      </c>
      <c r="CI464" s="58">
        <f t="array" ref="CI464">SUM(IF(CE464:CF464&gt;=CF464, 1))</f>
        <v>1</v>
      </c>
      <c r="CK464" s="109">
        <f t="shared" si="186"/>
        <v>47639.994719027287</v>
      </c>
      <c r="CL464" s="109">
        <f t="shared" si="187"/>
        <v>48383.765917233774</v>
      </c>
      <c r="CN464" s="58">
        <f t="array" ref="CN464">SUM(IF(CK464:CL464&gt;=CK464, 1))</f>
        <v>2</v>
      </c>
      <c r="CO464" s="58">
        <f t="array" ref="CO464">SUM(IF(CK464:CL464&gt;=CL464, 1))</f>
        <v>1</v>
      </c>
      <c r="CQ464" s="109" cm="1">
        <f t="array" ref="CQ464">AF464*WTP-AC464</f>
        <v>36366.338642567134</v>
      </c>
      <c r="CR464" s="109">
        <f t="shared" si="188"/>
        <v>38764.13354240312</v>
      </c>
      <c r="CT464" s="58">
        <f t="array" ref="CT464">SUM(IF(CQ464:CR464&gt;=CQ464, 1))</f>
        <v>2</v>
      </c>
      <c r="CU464" s="58">
        <f t="array" ref="CU464">SUM(IF(CQ464:CR464&gt;=CR464, 1))</f>
        <v>1</v>
      </c>
      <c r="CW464" s="109">
        <f t="shared" si="189"/>
        <v>-41932454.958789751</v>
      </c>
      <c r="CX464" s="109">
        <f t="shared" si="190"/>
        <v>0</v>
      </c>
      <c r="CZ464" s="58">
        <f t="array" ref="CZ464">SUM(IF(CW464:CX464&gt;=CW464, 1))</f>
        <v>2</v>
      </c>
      <c r="DA464" s="58">
        <f t="array" ref="DA464">SUM(IF(CW464:CX464&gt;=CX464, 1))</f>
        <v>1</v>
      </c>
      <c r="DC464" s="109">
        <f t="shared" si="191"/>
        <v>-2437385.5077886796</v>
      </c>
      <c r="DD464" s="109">
        <f t="shared" si="192"/>
        <v>0</v>
      </c>
      <c r="DF464" s="58">
        <f t="array" ref="DF464">SUM(IF(DC464:DD464&gt;=DC464, 1))</f>
        <v>2</v>
      </c>
      <c r="DG464" s="58">
        <f t="array" ref="DG464">SUM(IF(DC464:DD464&gt;=DD464, 1))</f>
        <v>1</v>
      </c>
      <c r="DI464" s="109">
        <f t="shared" si="193"/>
        <v>-93710737.925167531</v>
      </c>
      <c r="DJ464" s="109">
        <f t="shared" si="194"/>
        <v>0</v>
      </c>
      <c r="DL464" s="58">
        <f t="array" ref="DL464">SUM(IF(DI464:DJ464&gt;=DI464, 1))</f>
        <v>2</v>
      </c>
      <c r="DM464" s="58">
        <f t="array" ref="DM464">SUM(IF(DI464:DJ464&gt;=DJ464, 1))</f>
        <v>1</v>
      </c>
      <c r="DO464" s="109">
        <f t="shared" si="195"/>
        <v>-6585929.9216765985</v>
      </c>
      <c r="DP464" s="109">
        <f t="shared" si="196"/>
        <v>0</v>
      </c>
      <c r="DR464" s="58">
        <f t="array" ref="DR464">SUM(IF(DO464:DP464&gt;=DO464, 1))</f>
        <v>2</v>
      </c>
      <c r="DS464" s="58">
        <f t="array" ref="DS464">SUM(IF(DO464:DP464&gt;=DP464, 1))</f>
        <v>1</v>
      </c>
      <c r="DU464" s="109">
        <f t="shared" si="197"/>
        <v>-37800222.451096825</v>
      </c>
      <c r="DV464" s="109">
        <f t="shared" si="198"/>
        <v>0</v>
      </c>
      <c r="DX464" s="58">
        <f t="array" ref="DX464">SUM(IF(DU464:DV464&gt;=DU464, 1))</f>
        <v>2</v>
      </c>
      <c r="DY464" s="58">
        <f t="array" ref="DY464">SUM(IF(DU464:DV464&gt;=DV464, 1))</f>
        <v>1</v>
      </c>
      <c r="EA464" s="109">
        <f t="shared" si="199"/>
        <v>-182466730.76451942</v>
      </c>
      <c r="EB464" s="109">
        <f t="shared" si="200"/>
        <v>0</v>
      </c>
      <c r="ED464" s="58">
        <f t="array" ref="ED464">SUM(IF(EA464:EB464&gt;=EA464, 1))</f>
        <v>2</v>
      </c>
      <c r="EE464" s="58">
        <f t="array" ref="EE464">SUM(IF(EA464:EB464&gt;=EB464, 1))</f>
        <v>1</v>
      </c>
    </row>
    <row r="465" spans="4:135" ht="12" customHeight="1" x14ac:dyDescent="0.25">
      <c r="D465" s="11">
        <v>449</v>
      </c>
      <c r="E465" s="72">
        <v>224.24713385460961</v>
      </c>
      <c r="F465" s="72">
        <v>205.65521304124348</v>
      </c>
      <c r="G465" s="73"/>
      <c r="H465" s="74">
        <v>5.8265333074707497</v>
      </c>
      <c r="I465" s="74">
        <v>5.8447059350987018</v>
      </c>
      <c r="J465" s="73"/>
      <c r="K465" s="72">
        <v>240.92318240808189</v>
      </c>
      <c r="L465" s="72">
        <v>221.85025344434541</v>
      </c>
      <c r="M465" s="73"/>
      <c r="N465" s="74">
        <v>6.7490814061872699</v>
      </c>
      <c r="O465" s="74">
        <v>6.7645648315484337</v>
      </c>
      <c r="P465" s="73"/>
      <c r="Q465" s="72">
        <v>2633.9468349030453</v>
      </c>
      <c r="R465" s="72">
        <v>1389.3615934311017</v>
      </c>
      <c r="S465" s="73"/>
      <c r="T465" s="74">
        <v>4.8336636177687788</v>
      </c>
      <c r="U465" s="74">
        <v>4.9392263035334789</v>
      </c>
      <c r="V465" s="73"/>
      <c r="W465" s="72">
        <v>13701.757685453818</v>
      </c>
      <c r="X465" s="72">
        <v>13701.432449303464</v>
      </c>
      <c r="Y465" s="73"/>
      <c r="Z465" s="74">
        <v>3.1166118461516787</v>
      </c>
      <c r="AA465" s="74">
        <v>3.1641751071886413</v>
      </c>
      <c r="AB465" s="73"/>
      <c r="AC465" s="72">
        <v>50470.148578154709</v>
      </c>
      <c r="AD465" s="72">
        <v>49878.893939353358</v>
      </c>
      <c r="AE465" s="73"/>
      <c r="AF465" s="74">
        <v>3.9109853671561896</v>
      </c>
      <c r="AG465" s="74">
        <v>3.9978363636589833</v>
      </c>
      <c r="AH465" s="73"/>
      <c r="AI465" s="72">
        <v>2007460.1823090152</v>
      </c>
      <c r="AJ465" s="72">
        <v>0</v>
      </c>
      <c r="AK465" s="73"/>
      <c r="AL465" s="74">
        <v>-1962.1870562624053</v>
      </c>
      <c r="AM465" s="74">
        <v>0</v>
      </c>
      <c r="AN465" s="73"/>
      <c r="AO465" s="72">
        <v>133050.53705835796</v>
      </c>
      <c r="AP465" s="72">
        <v>0</v>
      </c>
      <c r="AQ465" s="73"/>
      <c r="AR465" s="74">
        <v>-108.01057686119856</v>
      </c>
      <c r="AS465" s="74">
        <v>0</v>
      </c>
      <c r="AT465" s="73"/>
      <c r="AU465" s="72">
        <v>29268727.592209119</v>
      </c>
      <c r="AV465" s="72">
        <v>0</v>
      </c>
      <c r="AW465" s="73"/>
      <c r="AX465" s="74">
        <v>-2482.5021144352272</v>
      </c>
      <c r="AY465" s="74">
        <v>0</v>
      </c>
      <c r="AZ465" s="73"/>
      <c r="BA465" s="72">
        <v>2993.2959371728712</v>
      </c>
      <c r="BB465" s="72">
        <v>0</v>
      </c>
      <c r="BC465" s="73"/>
      <c r="BD465" s="74">
        <v>-437.74628332490795</v>
      </c>
      <c r="BE465" s="74">
        <v>0</v>
      </c>
      <c r="BF465" s="73"/>
      <c r="BG465" s="72">
        <v>9387449.1651774477</v>
      </c>
      <c r="BH465" s="72">
        <v>0</v>
      </c>
      <c r="BI465" s="73"/>
      <c r="BJ465" s="74">
        <v>-1378.9478527692488</v>
      </c>
      <c r="BK465" s="74">
        <v>0</v>
      </c>
      <c r="BL465" s="73"/>
      <c r="BM465" s="72">
        <v>40799680.772691116</v>
      </c>
      <c r="BN465" s="72">
        <v>0</v>
      </c>
      <c r="BO465" s="73"/>
      <c r="BP465" s="74">
        <v>-6369.3938836529878</v>
      </c>
      <c r="BQ465" s="74">
        <v>0</v>
      </c>
      <c r="BS465" s="109">
        <f t="shared" si="180"/>
        <v>116306.41901556037</v>
      </c>
      <c r="BT465" s="109">
        <f t="shared" si="181"/>
        <v>116688.46348893279</v>
      </c>
      <c r="BV465" s="58">
        <f t="array" ref="BV465">SUM(IF(BS465:BT465&gt;=BS465, 1))</f>
        <v>2</v>
      </c>
      <c r="BW465" s="58">
        <f t="array" ref="BW465">SUM(IF(BS465:BT465&gt;=BT465, 1))</f>
        <v>1</v>
      </c>
      <c r="BY465" s="109">
        <f t="shared" si="182"/>
        <v>134740.70494133732</v>
      </c>
      <c r="BZ465" s="109">
        <f t="shared" si="183"/>
        <v>135069.44637752432</v>
      </c>
      <c r="CB465" s="58">
        <f t="array" ref="CB465">SUM(IF(BY465:BZ465&gt;=BY465, 1))</f>
        <v>2</v>
      </c>
      <c r="CC465" s="58">
        <f t="array" ref="CC465">SUM(IF(BY465:BZ465&gt;=BZ465, 1))</f>
        <v>1</v>
      </c>
      <c r="CE465" s="109">
        <f t="shared" si="184"/>
        <v>94039.325520472528</v>
      </c>
      <c r="CF465" s="109">
        <f t="shared" si="185"/>
        <v>97395.16447723849</v>
      </c>
      <c r="CH465" s="58">
        <f t="array" ref="CH465">SUM(IF(CE465:CF465&gt;=CE465, 1))</f>
        <v>2</v>
      </c>
      <c r="CI465" s="58">
        <f t="array" ref="CI465">SUM(IF(CE465:CF465&gt;=CF465, 1))</f>
        <v>1</v>
      </c>
      <c r="CK465" s="109">
        <f t="shared" si="186"/>
        <v>48630.479237579755</v>
      </c>
      <c r="CL465" s="109">
        <f t="shared" si="187"/>
        <v>49582.069694469363</v>
      </c>
      <c r="CN465" s="58">
        <f t="array" ref="CN465">SUM(IF(CK465:CL465&gt;=CK465, 1))</f>
        <v>2</v>
      </c>
      <c r="CO465" s="58">
        <f t="array" ref="CO465">SUM(IF(CK465:CL465&gt;=CL465, 1))</f>
        <v>1</v>
      </c>
      <c r="CQ465" s="109" cm="1">
        <f t="array" ref="CQ465">AF465*WTP-AC465</f>
        <v>27749.558764969086</v>
      </c>
      <c r="CR465" s="109">
        <f t="shared" si="188"/>
        <v>30077.833333826311</v>
      </c>
      <c r="CT465" s="58">
        <f t="array" ref="CT465">SUM(IF(CQ465:CR465&gt;=CQ465, 1))</f>
        <v>2</v>
      </c>
      <c r="CU465" s="58">
        <f t="array" ref="CU465">SUM(IF(CQ465:CR465&gt;=CR465, 1))</f>
        <v>1</v>
      </c>
      <c r="CW465" s="109">
        <f t="shared" si="189"/>
        <v>-41251201.307557121</v>
      </c>
      <c r="CX465" s="109">
        <f t="shared" si="190"/>
        <v>0</v>
      </c>
      <c r="CZ465" s="58">
        <f t="array" ref="CZ465">SUM(IF(CW465:CX465&gt;=CW465, 1))</f>
        <v>2</v>
      </c>
      <c r="DA465" s="58">
        <f t="array" ref="DA465">SUM(IF(CW465:CX465&gt;=CX465, 1))</f>
        <v>1</v>
      </c>
      <c r="DC465" s="109">
        <f t="shared" si="191"/>
        <v>-2293262.0742823291</v>
      </c>
      <c r="DD465" s="109">
        <f t="shared" si="192"/>
        <v>0</v>
      </c>
      <c r="DF465" s="58">
        <f t="array" ref="DF465">SUM(IF(DC465:DD465&gt;=DC465, 1))</f>
        <v>2</v>
      </c>
      <c r="DG465" s="58">
        <f t="array" ref="DG465">SUM(IF(DC465:DD465&gt;=DD465, 1))</f>
        <v>1</v>
      </c>
      <c r="DI465" s="109">
        <f t="shared" si="193"/>
        <v>-78918769.88091366</v>
      </c>
      <c r="DJ465" s="109">
        <f t="shared" si="194"/>
        <v>0</v>
      </c>
      <c r="DL465" s="58">
        <f t="array" ref="DL465">SUM(IF(DI465:DJ465&gt;=DI465, 1))</f>
        <v>2</v>
      </c>
      <c r="DM465" s="58">
        <f t="array" ref="DM465">SUM(IF(DI465:DJ465&gt;=DJ465, 1))</f>
        <v>1</v>
      </c>
      <c r="DO465" s="109">
        <f t="shared" si="195"/>
        <v>-8757918.9624353312</v>
      </c>
      <c r="DP465" s="109">
        <f t="shared" si="196"/>
        <v>0</v>
      </c>
      <c r="DR465" s="58">
        <f t="array" ref="DR465">SUM(IF(DO465:DP465&gt;=DO465, 1))</f>
        <v>2</v>
      </c>
      <c r="DS465" s="58">
        <f t="array" ref="DS465">SUM(IF(DO465:DP465&gt;=DP465, 1))</f>
        <v>1</v>
      </c>
      <c r="DU465" s="109">
        <f t="shared" si="197"/>
        <v>-36966406.220562421</v>
      </c>
      <c r="DV465" s="109">
        <f t="shared" si="198"/>
        <v>0</v>
      </c>
      <c r="DX465" s="58">
        <f t="array" ref="DX465">SUM(IF(DU465:DV465&gt;=DU465, 1))</f>
        <v>2</v>
      </c>
      <c r="DY465" s="58">
        <f t="array" ref="DY465">SUM(IF(DU465:DV465&gt;=DV465, 1))</f>
        <v>1</v>
      </c>
      <c r="EA465" s="109">
        <f t="shared" si="199"/>
        <v>-168187558.44575089</v>
      </c>
      <c r="EB465" s="109">
        <f t="shared" si="200"/>
        <v>0</v>
      </c>
      <c r="ED465" s="58">
        <f t="array" ref="ED465">SUM(IF(EA465:EB465&gt;=EA465, 1))</f>
        <v>2</v>
      </c>
      <c r="EE465" s="58">
        <f t="array" ref="EE465">SUM(IF(EA465:EB465&gt;=EB465, 1))</f>
        <v>1</v>
      </c>
    </row>
    <row r="466" spans="4:135" ht="12" customHeight="1" x14ac:dyDescent="0.25">
      <c r="D466" s="11">
        <v>450</v>
      </c>
      <c r="E466" s="72">
        <v>277.55870101391093</v>
      </c>
      <c r="F466" s="72">
        <v>264.72877062433264</v>
      </c>
      <c r="G466" s="73"/>
      <c r="H466" s="74">
        <v>5.80264259251227</v>
      </c>
      <c r="I466" s="74">
        <v>5.8215197429765784</v>
      </c>
      <c r="J466" s="73"/>
      <c r="K466" s="72">
        <v>298.66118709575136</v>
      </c>
      <c r="L466" s="72">
        <v>285.49765518422703</v>
      </c>
      <c r="M466" s="73"/>
      <c r="N466" s="74">
        <v>6.7323684406646898</v>
      </c>
      <c r="O466" s="74">
        <v>6.7491953705707814</v>
      </c>
      <c r="P466" s="73"/>
      <c r="Q466" s="72">
        <v>1997.0594487955875</v>
      </c>
      <c r="R466" s="72">
        <v>1224.9687229268748</v>
      </c>
      <c r="S466" s="73"/>
      <c r="T466" s="74">
        <v>4.8853403546280045</v>
      </c>
      <c r="U466" s="74">
        <v>4.9842818475782318</v>
      </c>
      <c r="V466" s="73"/>
      <c r="W466" s="72">
        <v>10030.995465057482</v>
      </c>
      <c r="X466" s="72">
        <v>10043.317264997979</v>
      </c>
      <c r="Y466" s="73"/>
      <c r="Z466" s="74">
        <v>2.7757465474837351</v>
      </c>
      <c r="AA466" s="74">
        <v>2.8135749296499672</v>
      </c>
      <c r="AB466" s="73"/>
      <c r="AC466" s="72">
        <v>50620.201630990639</v>
      </c>
      <c r="AD466" s="72">
        <v>50714.134508579067</v>
      </c>
      <c r="AE466" s="73"/>
      <c r="AF466" s="74">
        <v>4.3685617385632423</v>
      </c>
      <c r="AG466" s="74">
        <v>4.4162528718922935</v>
      </c>
      <c r="AH466" s="73"/>
      <c r="AI466" s="72">
        <v>1381516.159202453</v>
      </c>
      <c r="AJ466" s="72">
        <v>0</v>
      </c>
      <c r="AK466" s="73"/>
      <c r="AL466" s="74">
        <v>-2032.6757522645689</v>
      </c>
      <c r="AM466" s="74">
        <v>0</v>
      </c>
      <c r="AN466" s="73"/>
      <c r="AO466" s="72">
        <v>93523.404908132594</v>
      </c>
      <c r="AP466" s="72">
        <v>0</v>
      </c>
      <c r="AQ466" s="73"/>
      <c r="AR466" s="74">
        <v>-119.55087658430296</v>
      </c>
      <c r="AS466" s="74">
        <v>0</v>
      </c>
      <c r="AT466" s="73"/>
      <c r="AU466" s="72">
        <v>17572233.884902023</v>
      </c>
      <c r="AV466" s="72">
        <v>0</v>
      </c>
      <c r="AW466" s="73"/>
      <c r="AX466" s="74">
        <v>-2251.8377656804228</v>
      </c>
      <c r="AY466" s="74">
        <v>0</v>
      </c>
      <c r="AZ466" s="73"/>
      <c r="BA466" s="72">
        <v>-107181.87941447968</v>
      </c>
      <c r="BB466" s="72">
        <v>0</v>
      </c>
      <c r="BC466" s="73"/>
      <c r="BD466" s="74">
        <v>-329.05233937943945</v>
      </c>
      <c r="BE466" s="74">
        <v>0</v>
      </c>
      <c r="BF466" s="73"/>
      <c r="BG466" s="72">
        <v>-1495681.0757077115</v>
      </c>
      <c r="BH466" s="72">
        <v>0</v>
      </c>
      <c r="BI466" s="73"/>
      <c r="BJ466" s="74">
        <v>-759.37975531692859</v>
      </c>
      <c r="BK466" s="74">
        <v>0</v>
      </c>
      <c r="BL466" s="73"/>
      <c r="BM466" s="72">
        <v>17444410.493890416</v>
      </c>
      <c r="BN466" s="72">
        <v>0</v>
      </c>
      <c r="BO466" s="73"/>
      <c r="BP466" s="74">
        <v>-5492.4964892256621</v>
      </c>
      <c r="BQ466" s="74">
        <v>0</v>
      </c>
      <c r="BS466" s="109">
        <f t="shared" ref="BS466:BS529" si="201">H466*WTP-E466</f>
        <v>115775.29314923148</v>
      </c>
      <c r="BT466" s="109">
        <f t="shared" ref="BT466:BT529" si="202">I466*WTP-F466</f>
        <v>116165.66608890724</v>
      </c>
      <c r="BV466" s="58">
        <f t="array" ref="BV466">SUM(IF(BS466:BT466&gt;=BS466, 1))</f>
        <v>2</v>
      </c>
      <c r="BW466" s="58">
        <f t="array" ref="BW466">SUM(IF(BS466:BT466&gt;=BT466, 1))</f>
        <v>1</v>
      </c>
      <c r="BY466" s="109">
        <f t="shared" ref="BY466:BY529" si="203">N466*WTP-K466</f>
        <v>134348.70762619804</v>
      </c>
      <c r="BZ466" s="109">
        <f t="shared" ref="BZ466:BZ529" si="204">O466*WTP-L466</f>
        <v>134698.40975623138</v>
      </c>
      <c r="CB466" s="58">
        <f t="array" ref="CB466">SUM(IF(BY466:BZ466&gt;=BY466, 1))</f>
        <v>2</v>
      </c>
      <c r="CC466" s="58">
        <f t="array" ref="CC466">SUM(IF(BY466:BZ466&gt;=BZ466, 1))</f>
        <v>1</v>
      </c>
      <c r="CE466" s="109">
        <f t="shared" ref="CE466:CE529" si="205">T466*WTP-Q466</f>
        <v>95709.747643764509</v>
      </c>
      <c r="CF466" s="109">
        <f t="shared" ref="CF466:CF529" si="206">U466*WTP-R466</f>
        <v>98460.668228637762</v>
      </c>
      <c r="CH466" s="58">
        <f t="array" ref="CH466">SUM(IF(CE466:CF466&gt;=CE466, 1))</f>
        <v>2</v>
      </c>
      <c r="CI466" s="58">
        <f t="array" ref="CI466">SUM(IF(CE466:CF466&gt;=CF466, 1))</f>
        <v>1</v>
      </c>
      <c r="CK466" s="109">
        <f t="shared" ref="CK466:CK529" si="207">Z466*WTP-W466</f>
        <v>45483.935484617221</v>
      </c>
      <c r="CL466" s="109">
        <f t="shared" ref="CL466:CL529" si="208">AA466*WTP-X466</f>
        <v>46228.181328001359</v>
      </c>
      <c r="CN466" s="58">
        <f t="array" ref="CN466">SUM(IF(CK466:CL466&gt;=CK466, 1))</f>
        <v>2</v>
      </c>
      <c r="CO466" s="58">
        <f t="array" ref="CO466">SUM(IF(CK466:CL466&gt;=CL466, 1))</f>
        <v>1</v>
      </c>
      <c r="CQ466" s="109" cm="1">
        <f t="array" ref="CQ466">AF466*WTP-AC466</f>
        <v>36751.033140274209</v>
      </c>
      <c r="CR466" s="109">
        <f t="shared" ref="CR466:CR529" si="209">AG466*WTP-AD466</f>
        <v>37610.922929266802</v>
      </c>
      <c r="CT466" s="58">
        <f t="array" ref="CT466">SUM(IF(CQ466:CR466&gt;=CQ466, 1))</f>
        <v>2</v>
      </c>
      <c r="CU466" s="58">
        <f t="array" ref="CU466">SUM(IF(CQ466:CR466&gt;=CR466, 1))</f>
        <v>1</v>
      </c>
      <c r="CW466" s="109">
        <f t="shared" ref="CW466:CW529" si="210">AL466*WTP-AI466</f>
        <v>-42035031.204493836</v>
      </c>
      <c r="CX466" s="109">
        <f t="shared" ref="CX466:CX529" si="211">AM466*WTP-AJ466</f>
        <v>0</v>
      </c>
      <c r="CZ466" s="58">
        <f t="array" ref="CZ466">SUM(IF(CW466:CX466&gt;=CW466, 1))</f>
        <v>2</v>
      </c>
      <c r="DA466" s="58">
        <f t="array" ref="DA466">SUM(IF(CW466:CX466&gt;=CX466, 1))</f>
        <v>1</v>
      </c>
      <c r="DC466" s="109">
        <f t="shared" ref="DC466:DC529" si="212">AR466*WTP-AO466</f>
        <v>-2484540.9365941919</v>
      </c>
      <c r="DD466" s="109">
        <f t="shared" ref="DD466:DD529" si="213">AS466*WTP-AP466</f>
        <v>0</v>
      </c>
      <c r="DF466" s="58">
        <f t="array" ref="DF466">SUM(IF(DC466:DD466&gt;=DC466, 1))</f>
        <v>2</v>
      </c>
      <c r="DG466" s="58">
        <f t="array" ref="DG466">SUM(IF(DC466:DD466&gt;=DD466, 1))</f>
        <v>1</v>
      </c>
      <c r="DI466" s="109">
        <f t="shared" ref="DI466:DI529" si="214">AX466*WTP-AU466</f>
        <v>-62608989.198510475</v>
      </c>
      <c r="DJ466" s="109">
        <f t="shared" ref="DJ466:DJ529" si="215">AY466*WTP-AV466</f>
        <v>0</v>
      </c>
      <c r="DL466" s="58">
        <f t="array" ref="DL466">SUM(IF(DI466:DJ466&gt;=DI466, 1))</f>
        <v>2</v>
      </c>
      <c r="DM466" s="58">
        <f t="array" ref="DM466">SUM(IF(DI466:DJ466&gt;=DJ466, 1))</f>
        <v>1</v>
      </c>
      <c r="DO466" s="109">
        <f t="shared" ref="DO466:DO529" si="216">BD466*WTP-BA466</f>
        <v>-6473864.9081743099</v>
      </c>
      <c r="DP466" s="109">
        <f t="shared" ref="DP466:DP529" si="217">BE466*WTP-BB466</f>
        <v>0</v>
      </c>
      <c r="DR466" s="58">
        <f t="array" ref="DR466">SUM(IF(DO466:DP466&gt;=DO466, 1))</f>
        <v>2</v>
      </c>
      <c r="DS466" s="58">
        <f t="array" ref="DS466">SUM(IF(DO466:DP466&gt;=DP466, 1))</f>
        <v>1</v>
      </c>
      <c r="DU466" s="109">
        <f t="shared" ref="DU466:DU529" si="218">BJ466*WTP-BG466</f>
        <v>-13691914.03063086</v>
      </c>
      <c r="DV466" s="109">
        <f t="shared" ref="DV466:DV529" si="219">BK466*WTP-BH466</f>
        <v>0</v>
      </c>
      <c r="DX466" s="58">
        <f t="array" ref="DX466">SUM(IF(DU466:DV466&gt;=DU466, 1))</f>
        <v>2</v>
      </c>
      <c r="DY466" s="58">
        <f t="array" ref="DY466">SUM(IF(DU466:DV466&gt;=DV466, 1))</f>
        <v>1</v>
      </c>
      <c r="EA466" s="109">
        <f t="shared" ref="EA466:EA529" si="220">BP466*WTP-BM466</f>
        <v>-127294340.27840365</v>
      </c>
      <c r="EB466" s="109">
        <f t="shared" ref="EB466:EB529" si="221">BQ466*WTP-BN466</f>
        <v>0</v>
      </c>
      <c r="ED466" s="58">
        <f t="array" ref="ED466">SUM(IF(EA466:EB466&gt;=EA466, 1))</f>
        <v>2</v>
      </c>
      <c r="EE466" s="58">
        <f t="array" ref="EE466">SUM(IF(EA466:EB466&gt;=EB466, 1))</f>
        <v>1</v>
      </c>
    </row>
    <row r="467" spans="4:135" ht="12" customHeight="1" x14ac:dyDescent="0.25">
      <c r="D467" s="11">
        <v>451</v>
      </c>
      <c r="E467" s="72">
        <v>201.55808761751854</v>
      </c>
      <c r="F467" s="72">
        <v>177.88895602966892</v>
      </c>
      <c r="G467" s="73"/>
      <c r="H467" s="74">
        <v>5.8703180511356923</v>
      </c>
      <c r="I467" s="74">
        <v>5.8881670268079827</v>
      </c>
      <c r="J467" s="73"/>
      <c r="K467" s="72">
        <v>216.06216205834244</v>
      </c>
      <c r="L467" s="72">
        <v>191.80944961380226</v>
      </c>
      <c r="M467" s="73"/>
      <c r="N467" s="74">
        <v>6.6788914081168382</v>
      </c>
      <c r="O467" s="74">
        <v>6.694628335062383</v>
      </c>
      <c r="P467" s="73"/>
      <c r="Q467" s="72">
        <v>1486.5660042744696</v>
      </c>
      <c r="R467" s="72">
        <v>1233.1955699263165</v>
      </c>
      <c r="S467" s="73"/>
      <c r="T467" s="74">
        <v>4.887699848068416</v>
      </c>
      <c r="U467" s="74">
        <v>4.9315274248452612</v>
      </c>
      <c r="V467" s="73"/>
      <c r="W467" s="72">
        <v>11116.152926574214</v>
      </c>
      <c r="X467" s="72">
        <v>11145.536454671665</v>
      </c>
      <c r="Y467" s="73"/>
      <c r="Z467" s="74">
        <v>2.9295358827379565</v>
      </c>
      <c r="AA467" s="74">
        <v>2.9768025365465949</v>
      </c>
      <c r="AB467" s="73"/>
      <c r="AC467" s="72">
        <v>50636.878332184431</v>
      </c>
      <c r="AD467" s="72">
        <v>50390.187173633778</v>
      </c>
      <c r="AE467" s="73"/>
      <c r="AF467" s="74">
        <v>4.506338777899086</v>
      </c>
      <c r="AG467" s="74">
        <v>4.6027354179428306</v>
      </c>
      <c r="AH467" s="73"/>
      <c r="AI467" s="72">
        <v>2567227.0077165016</v>
      </c>
      <c r="AJ467" s="72">
        <v>0</v>
      </c>
      <c r="AK467" s="73"/>
      <c r="AL467" s="74">
        <v>-1935.9549477303701</v>
      </c>
      <c r="AM467" s="74">
        <v>0</v>
      </c>
      <c r="AN467" s="73"/>
      <c r="AO467" s="72">
        <v>163207.1459662288</v>
      </c>
      <c r="AP467" s="72">
        <v>0</v>
      </c>
      <c r="AQ467" s="73"/>
      <c r="AR467" s="74">
        <v>-105.90068797189726</v>
      </c>
      <c r="AS467" s="74">
        <v>0</v>
      </c>
      <c r="AT467" s="73"/>
      <c r="AU467" s="72">
        <v>5909607.9335091002</v>
      </c>
      <c r="AV467" s="72">
        <v>0</v>
      </c>
      <c r="AW467" s="73"/>
      <c r="AX467" s="74">
        <v>-1022.233695471469</v>
      </c>
      <c r="AY467" s="74">
        <v>0</v>
      </c>
      <c r="AZ467" s="73"/>
      <c r="BA467" s="72">
        <v>-255336.19854776235</v>
      </c>
      <c r="BB467" s="72">
        <v>0</v>
      </c>
      <c r="BC467" s="73"/>
      <c r="BD467" s="74">
        <v>-410.73650725482042</v>
      </c>
      <c r="BE467" s="74">
        <v>0</v>
      </c>
      <c r="BF467" s="73"/>
      <c r="BG467" s="72">
        <v>4006229.1638189554</v>
      </c>
      <c r="BH467" s="72">
        <v>0</v>
      </c>
      <c r="BI467" s="73"/>
      <c r="BJ467" s="74">
        <v>-1565.4676596693344</v>
      </c>
      <c r="BK467" s="74">
        <v>0</v>
      </c>
      <c r="BL467" s="73"/>
      <c r="BM467" s="72">
        <v>12390935.052463025</v>
      </c>
      <c r="BN467" s="72">
        <v>0</v>
      </c>
      <c r="BO467" s="73"/>
      <c r="BP467" s="74">
        <v>-5040.2934980978916</v>
      </c>
      <c r="BQ467" s="74">
        <v>0</v>
      </c>
      <c r="BS467" s="109">
        <f t="shared" si="201"/>
        <v>117204.80293509632</v>
      </c>
      <c r="BT467" s="109">
        <f t="shared" si="202"/>
        <v>117585.45158012999</v>
      </c>
      <c r="BV467" s="58">
        <f t="array" ref="BV467">SUM(IF(BS467:BT467&gt;=BS467, 1))</f>
        <v>2</v>
      </c>
      <c r="BW467" s="58">
        <f t="array" ref="BW467">SUM(IF(BS467:BT467&gt;=BT467, 1))</f>
        <v>1</v>
      </c>
      <c r="BY467" s="109">
        <f t="shared" si="203"/>
        <v>133361.76600027841</v>
      </c>
      <c r="BZ467" s="109">
        <f t="shared" si="204"/>
        <v>133700.75725163386</v>
      </c>
      <c r="CB467" s="58">
        <f t="array" ref="CB467">SUM(IF(BY467:BZ467&gt;=BY467, 1))</f>
        <v>2</v>
      </c>
      <c r="CC467" s="58">
        <f t="array" ref="CC467">SUM(IF(BY467:BZ467&gt;=BZ467, 1))</f>
        <v>1</v>
      </c>
      <c r="CE467" s="109">
        <f t="shared" si="205"/>
        <v>96267.430957093849</v>
      </c>
      <c r="CF467" s="109">
        <f t="shared" si="206"/>
        <v>97397.3529269789</v>
      </c>
      <c r="CH467" s="58">
        <f t="array" ref="CH467">SUM(IF(CE467:CF467&gt;=CE467, 1))</f>
        <v>2</v>
      </c>
      <c r="CI467" s="58">
        <f t="array" ref="CI467">SUM(IF(CE467:CF467&gt;=CF467, 1))</f>
        <v>1</v>
      </c>
      <c r="CK467" s="109">
        <f t="shared" si="207"/>
        <v>47474.564728184916</v>
      </c>
      <c r="CL467" s="109">
        <f t="shared" si="208"/>
        <v>48390.514276260234</v>
      </c>
      <c r="CN467" s="58">
        <f t="array" ref="CN467">SUM(IF(CK467:CL467&gt;=CK467, 1))</f>
        <v>2</v>
      </c>
      <c r="CO467" s="58">
        <f t="array" ref="CO467">SUM(IF(CK467:CL467&gt;=CL467, 1))</f>
        <v>1</v>
      </c>
      <c r="CQ467" s="109" cm="1">
        <f t="array" ref="CQ467">AF467*WTP-AC467</f>
        <v>39489.897225797286</v>
      </c>
      <c r="CR467" s="109">
        <f t="shared" si="209"/>
        <v>41664.521185222839</v>
      </c>
      <c r="CT467" s="58">
        <f t="array" ref="CT467">SUM(IF(CQ467:CR467&gt;=CQ467, 1))</f>
        <v>2</v>
      </c>
      <c r="CU467" s="58">
        <f t="array" ref="CU467">SUM(IF(CQ467:CR467&gt;=CR467, 1))</f>
        <v>1</v>
      </c>
      <c r="CW467" s="109">
        <f t="shared" si="210"/>
        <v>-41286325.962323904</v>
      </c>
      <c r="CX467" s="109">
        <f t="shared" si="211"/>
        <v>0</v>
      </c>
      <c r="CZ467" s="58">
        <f t="array" ref="CZ467">SUM(IF(CW467:CX467&gt;=CW467, 1))</f>
        <v>2</v>
      </c>
      <c r="DA467" s="58">
        <f t="array" ref="DA467">SUM(IF(CW467:CX467&gt;=CX467, 1))</f>
        <v>1</v>
      </c>
      <c r="DC467" s="109">
        <f t="shared" si="212"/>
        <v>-2281220.9054041738</v>
      </c>
      <c r="DD467" s="109">
        <f t="shared" si="213"/>
        <v>0</v>
      </c>
      <c r="DF467" s="58">
        <f t="array" ref="DF467">SUM(IF(DC467:DD467&gt;=DC467, 1))</f>
        <v>2</v>
      </c>
      <c r="DG467" s="58">
        <f t="array" ref="DG467">SUM(IF(DC467:DD467&gt;=DD467, 1))</f>
        <v>1</v>
      </c>
      <c r="DI467" s="109">
        <f t="shared" si="214"/>
        <v>-26354281.842938479</v>
      </c>
      <c r="DJ467" s="109">
        <f t="shared" si="215"/>
        <v>0</v>
      </c>
      <c r="DL467" s="58">
        <f t="array" ref="DL467">SUM(IF(DI467:DJ467&gt;=DI467, 1))</f>
        <v>2</v>
      </c>
      <c r="DM467" s="58">
        <f t="array" ref="DM467">SUM(IF(DI467:DJ467&gt;=DJ467, 1))</f>
        <v>1</v>
      </c>
      <c r="DO467" s="109">
        <f t="shared" si="216"/>
        <v>-7959393.9465486463</v>
      </c>
      <c r="DP467" s="109">
        <f t="shared" si="217"/>
        <v>0</v>
      </c>
      <c r="DR467" s="58">
        <f t="array" ref="DR467">SUM(IF(DO467:DP467&gt;=DO467, 1))</f>
        <v>2</v>
      </c>
      <c r="DS467" s="58">
        <f t="array" ref="DS467">SUM(IF(DO467:DP467&gt;=DP467, 1))</f>
        <v>1</v>
      </c>
      <c r="DU467" s="109">
        <f t="shared" si="218"/>
        <v>-35315582.357205644</v>
      </c>
      <c r="DV467" s="109">
        <f t="shared" si="219"/>
        <v>0</v>
      </c>
      <c r="DX467" s="58">
        <f t="array" ref="DX467">SUM(IF(DU467:DV467&gt;=DU467, 1))</f>
        <v>2</v>
      </c>
      <c r="DY467" s="58">
        <f t="array" ref="DY467">SUM(IF(DU467:DV467&gt;=DV467, 1))</f>
        <v>1</v>
      </c>
      <c r="EA467" s="109">
        <f t="shared" si="220"/>
        <v>-113196805.01442085</v>
      </c>
      <c r="EB467" s="109">
        <f t="shared" si="221"/>
        <v>0</v>
      </c>
      <c r="ED467" s="58">
        <f t="array" ref="ED467">SUM(IF(EA467:EB467&gt;=EA467, 1))</f>
        <v>2</v>
      </c>
      <c r="EE467" s="58">
        <f t="array" ref="EE467">SUM(IF(EA467:EB467&gt;=EB467, 1))</f>
        <v>1</v>
      </c>
    </row>
    <row r="468" spans="4:135" ht="12" customHeight="1" x14ac:dyDescent="0.25">
      <c r="D468" s="11">
        <v>452</v>
      </c>
      <c r="E468" s="72">
        <v>249.84771007569</v>
      </c>
      <c r="F468" s="72">
        <v>233.15366999997144</v>
      </c>
      <c r="G468" s="73"/>
      <c r="H468" s="74">
        <v>5.7598592299602531</v>
      </c>
      <c r="I468" s="74">
        <v>5.7765875242027018</v>
      </c>
      <c r="J468" s="73"/>
      <c r="K468" s="72">
        <v>268.52666968035271</v>
      </c>
      <c r="L468" s="72">
        <v>251.39417273428427</v>
      </c>
      <c r="M468" s="73"/>
      <c r="N468" s="74">
        <v>6.7340325909735901</v>
      </c>
      <c r="O468" s="74">
        <v>6.7482587097567661</v>
      </c>
      <c r="P468" s="73"/>
      <c r="Q468" s="72">
        <v>2173.511339472087</v>
      </c>
      <c r="R468" s="72">
        <v>1294.2335060920448</v>
      </c>
      <c r="S468" s="73"/>
      <c r="T468" s="74">
        <v>4.6692972764239924</v>
      </c>
      <c r="U468" s="74">
        <v>4.7552168392930207</v>
      </c>
      <c r="V468" s="73"/>
      <c r="W468" s="72">
        <v>13826.643432910399</v>
      </c>
      <c r="X468" s="72">
        <v>13848.884449262619</v>
      </c>
      <c r="Y468" s="73"/>
      <c r="Z468" s="74">
        <v>2.8799296078284291</v>
      </c>
      <c r="AA468" s="74">
        <v>2.9211162080139297</v>
      </c>
      <c r="AB468" s="73"/>
      <c r="AC468" s="72">
        <v>51060.100597326906</v>
      </c>
      <c r="AD468" s="72">
        <v>50406.349822020682</v>
      </c>
      <c r="AE468" s="73"/>
      <c r="AF468" s="74">
        <v>4.2913383092846624</v>
      </c>
      <c r="AG468" s="74">
        <v>4.4210279505862218</v>
      </c>
      <c r="AH468" s="73"/>
      <c r="AI468" s="72">
        <v>1794427.3167128235</v>
      </c>
      <c r="AJ468" s="72">
        <v>0</v>
      </c>
      <c r="AK468" s="73"/>
      <c r="AL468" s="74">
        <v>-1798.1092662117471</v>
      </c>
      <c r="AM468" s="74">
        <v>0</v>
      </c>
      <c r="AN468" s="73"/>
      <c r="AO468" s="72">
        <v>120408.15925522205</v>
      </c>
      <c r="AP468" s="72">
        <v>0</v>
      </c>
      <c r="AQ468" s="73"/>
      <c r="AR468" s="74">
        <v>-99.981968852558325</v>
      </c>
      <c r="AS468" s="74">
        <v>0</v>
      </c>
      <c r="AT468" s="73"/>
      <c r="AU468" s="72">
        <v>20518484.101321369</v>
      </c>
      <c r="AV468" s="72">
        <v>0</v>
      </c>
      <c r="AW468" s="73"/>
      <c r="AX468" s="74">
        <v>-2004.9853616162538</v>
      </c>
      <c r="AY468" s="74">
        <v>0</v>
      </c>
      <c r="AZ468" s="73"/>
      <c r="BA468" s="72">
        <v>-198738.92418382061</v>
      </c>
      <c r="BB468" s="72">
        <v>0</v>
      </c>
      <c r="BC468" s="73"/>
      <c r="BD468" s="74">
        <v>-368.0308706233435</v>
      </c>
      <c r="BE468" s="74">
        <v>0</v>
      </c>
      <c r="BF468" s="73"/>
      <c r="BG468" s="72">
        <v>10207600.187427981</v>
      </c>
      <c r="BH468" s="72">
        <v>0</v>
      </c>
      <c r="BI468" s="73"/>
      <c r="BJ468" s="74">
        <v>-2024.9612801410046</v>
      </c>
      <c r="BK468" s="74">
        <v>0</v>
      </c>
      <c r="BL468" s="73"/>
      <c r="BM468" s="72">
        <v>32442180.840533577</v>
      </c>
      <c r="BN468" s="72">
        <v>0</v>
      </c>
      <c r="BO468" s="73"/>
      <c r="BP468" s="74">
        <v>-6296.0687474449078</v>
      </c>
      <c r="BQ468" s="74">
        <v>0</v>
      </c>
      <c r="BS468" s="109">
        <f t="shared" si="201"/>
        <v>114947.33688912938</v>
      </c>
      <c r="BT468" s="109">
        <f t="shared" si="202"/>
        <v>115298.59681405406</v>
      </c>
      <c r="BV468" s="58">
        <f t="array" ref="BV468">SUM(IF(BS468:BT468&gt;=BS468, 1))</f>
        <v>2</v>
      </c>
      <c r="BW468" s="58">
        <f t="array" ref="BW468">SUM(IF(BS468:BT468&gt;=BT468, 1))</f>
        <v>1</v>
      </c>
      <c r="BY468" s="109">
        <f t="shared" si="203"/>
        <v>134412.12514979145</v>
      </c>
      <c r="BZ468" s="109">
        <f t="shared" si="204"/>
        <v>134713.78002240104</v>
      </c>
      <c r="CB468" s="58">
        <f t="array" ref="CB468">SUM(IF(BY468:BZ468&gt;=BY468, 1))</f>
        <v>2</v>
      </c>
      <c r="CC468" s="58">
        <f t="array" ref="CC468">SUM(IF(BY468:BZ468&gt;=BZ468, 1))</f>
        <v>1</v>
      </c>
      <c r="CE468" s="109">
        <f t="shared" si="205"/>
        <v>91212.434189007763</v>
      </c>
      <c r="CF468" s="109">
        <f t="shared" si="206"/>
        <v>93810.103279768373</v>
      </c>
      <c r="CH468" s="58">
        <f t="array" ref="CH468">SUM(IF(CE468:CF468&gt;=CE468, 1))</f>
        <v>2</v>
      </c>
      <c r="CI468" s="58">
        <f t="array" ref="CI468">SUM(IF(CE468:CF468&gt;=CF468, 1))</f>
        <v>1</v>
      </c>
      <c r="CK468" s="109">
        <f t="shared" si="207"/>
        <v>43771.948723658177</v>
      </c>
      <c r="CL468" s="109">
        <f t="shared" si="208"/>
        <v>44573.439711015977</v>
      </c>
      <c r="CN468" s="58">
        <f t="array" ref="CN468">SUM(IF(CK468:CL468&gt;=CK468, 1))</f>
        <v>2</v>
      </c>
      <c r="CO468" s="58">
        <f t="array" ref="CO468">SUM(IF(CK468:CL468&gt;=CL468, 1))</f>
        <v>1</v>
      </c>
      <c r="CQ468" s="109" cm="1">
        <f t="array" ref="CQ468">AF468*WTP-AC468</f>
        <v>34766.665588366348</v>
      </c>
      <c r="CR468" s="109">
        <f t="shared" si="209"/>
        <v>38014.209189703746</v>
      </c>
      <c r="CT468" s="58">
        <f t="array" ref="CT468">SUM(IF(CQ468:CR468&gt;=CQ468, 1))</f>
        <v>2</v>
      </c>
      <c r="CU468" s="58">
        <f t="array" ref="CU468">SUM(IF(CQ468:CR468&gt;=CR468, 1))</f>
        <v>1</v>
      </c>
      <c r="CW468" s="109">
        <f t="shared" si="210"/>
        <v>-37756612.640947767</v>
      </c>
      <c r="CX468" s="109">
        <f t="shared" si="211"/>
        <v>0</v>
      </c>
      <c r="CZ468" s="58">
        <f t="array" ref="CZ468">SUM(IF(CW468:CX468&gt;=CW468, 1))</f>
        <v>2</v>
      </c>
      <c r="DA468" s="58">
        <f t="array" ref="DA468">SUM(IF(CW468:CX468&gt;=CX468, 1))</f>
        <v>1</v>
      </c>
      <c r="DC468" s="109">
        <f t="shared" si="212"/>
        <v>-2120047.5363063887</v>
      </c>
      <c r="DD468" s="109">
        <f t="shared" si="213"/>
        <v>0</v>
      </c>
      <c r="DF468" s="58">
        <f t="array" ref="DF468">SUM(IF(DC468:DD468&gt;=DC468, 1))</f>
        <v>2</v>
      </c>
      <c r="DG468" s="58">
        <f t="array" ref="DG468">SUM(IF(DC468:DD468&gt;=DD468, 1))</f>
        <v>1</v>
      </c>
      <c r="DI468" s="109">
        <f t="shared" si="214"/>
        <v>-60618191.333646446</v>
      </c>
      <c r="DJ468" s="109">
        <f t="shared" si="215"/>
        <v>0</v>
      </c>
      <c r="DL468" s="58">
        <f t="array" ref="DL468">SUM(IF(DI468:DJ468&gt;=DI468, 1))</f>
        <v>2</v>
      </c>
      <c r="DM468" s="58">
        <f t="array" ref="DM468">SUM(IF(DI468:DJ468&gt;=DJ468, 1))</f>
        <v>1</v>
      </c>
      <c r="DO468" s="109">
        <f t="shared" si="216"/>
        <v>-7161878.4882830493</v>
      </c>
      <c r="DP468" s="109">
        <f t="shared" si="217"/>
        <v>0</v>
      </c>
      <c r="DR468" s="58">
        <f t="array" ref="DR468">SUM(IF(DO468:DP468&gt;=DO468, 1))</f>
        <v>2</v>
      </c>
      <c r="DS468" s="58">
        <f t="array" ref="DS468">SUM(IF(DO468:DP468&gt;=DP468, 1))</f>
        <v>1</v>
      </c>
      <c r="DU468" s="109">
        <f t="shared" si="218"/>
        <v>-50706825.790248074</v>
      </c>
      <c r="DV468" s="109">
        <f t="shared" si="219"/>
        <v>0</v>
      </c>
      <c r="DX468" s="58">
        <f t="array" ref="DX468">SUM(IF(DU468:DV468&gt;=DU468, 1))</f>
        <v>2</v>
      </c>
      <c r="DY468" s="58">
        <f t="array" ref="DY468">SUM(IF(DU468:DV468&gt;=DV468, 1))</f>
        <v>1</v>
      </c>
      <c r="EA468" s="109">
        <f t="shared" si="220"/>
        <v>-158363555.78943172</v>
      </c>
      <c r="EB468" s="109">
        <f t="shared" si="221"/>
        <v>0</v>
      </c>
      <c r="ED468" s="58">
        <f t="array" ref="ED468">SUM(IF(EA468:EB468&gt;=EA468, 1))</f>
        <v>2</v>
      </c>
      <c r="EE468" s="58">
        <f t="array" ref="EE468">SUM(IF(EA468:EB468&gt;=EB468, 1))</f>
        <v>1</v>
      </c>
    </row>
    <row r="469" spans="4:135" ht="12" customHeight="1" x14ac:dyDescent="0.25">
      <c r="D469" s="11">
        <v>453</v>
      </c>
      <c r="E469" s="72">
        <v>269.0947012587697</v>
      </c>
      <c r="F469" s="72">
        <v>240.36604115360345</v>
      </c>
      <c r="G469" s="73"/>
      <c r="H469" s="74">
        <v>5.8321327670138858</v>
      </c>
      <c r="I469" s="74">
        <v>5.8496517191812076</v>
      </c>
      <c r="J469" s="73"/>
      <c r="K469" s="72">
        <v>288.6329827542225</v>
      </c>
      <c r="L469" s="72">
        <v>259.19432254361743</v>
      </c>
      <c r="M469" s="73"/>
      <c r="N469" s="74">
        <v>6.7345451421723785</v>
      </c>
      <c r="O469" s="74">
        <v>6.7496122313361484</v>
      </c>
      <c r="P469" s="73"/>
      <c r="Q469" s="72">
        <v>3382.9375243238896</v>
      </c>
      <c r="R469" s="72">
        <v>1858.2203287208677</v>
      </c>
      <c r="S469" s="73"/>
      <c r="T469" s="74">
        <v>4.7957451583407158</v>
      </c>
      <c r="U469" s="74">
        <v>4.8982709472151056</v>
      </c>
      <c r="V469" s="73"/>
      <c r="W469" s="72">
        <v>15127.753274613213</v>
      </c>
      <c r="X469" s="72">
        <v>15032.173990604111</v>
      </c>
      <c r="Y469" s="73"/>
      <c r="Z469" s="74">
        <v>3.2146710951037463</v>
      </c>
      <c r="AA469" s="74">
        <v>3.2517781386874587</v>
      </c>
      <c r="AB469" s="73"/>
      <c r="AC469" s="72">
        <v>48700.676500993002</v>
      </c>
      <c r="AD469" s="72">
        <v>48758.96323017613</v>
      </c>
      <c r="AE469" s="73"/>
      <c r="AF469" s="74">
        <v>4.2817880042398411</v>
      </c>
      <c r="AG469" s="74">
        <v>4.312934832546186</v>
      </c>
      <c r="AH469" s="73"/>
      <c r="AI469" s="72">
        <v>3047717.7559068836</v>
      </c>
      <c r="AJ469" s="72">
        <v>0</v>
      </c>
      <c r="AK469" s="73"/>
      <c r="AL469" s="74">
        <v>-1858.5211210608613</v>
      </c>
      <c r="AM469" s="74">
        <v>0</v>
      </c>
      <c r="AN469" s="73"/>
      <c r="AO469" s="72">
        <v>202276.8783341519</v>
      </c>
      <c r="AP469" s="72">
        <v>0</v>
      </c>
      <c r="AQ469" s="73"/>
      <c r="AR469" s="74">
        <v>-103.52793706731853</v>
      </c>
      <c r="AS469" s="74">
        <v>0</v>
      </c>
      <c r="AT469" s="73"/>
      <c r="AU469" s="72">
        <v>34986992.996870928</v>
      </c>
      <c r="AV469" s="72">
        <v>0</v>
      </c>
      <c r="AW469" s="73"/>
      <c r="AX469" s="74">
        <v>-2352.6127125025737</v>
      </c>
      <c r="AY469" s="74">
        <v>0</v>
      </c>
      <c r="AZ469" s="73"/>
      <c r="BA469" s="72">
        <v>861081.65164302022</v>
      </c>
      <c r="BB469" s="72">
        <v>0</v>
      </c>
      <c r="BC469" s="73"/>
      <c r="BD469" s="74">
        <v>-334.30041570106266</v>
      </c>
      <c r="BE469" s="74">
        <v>0</v>
      </c>
      <c r="BF469" s="73"/>
      <c r="BG469" s="72">
        <v>-954458.00495482876</v>
      </c>
      <c r="BH469" s="72">
        <v>0</v>
      </c>
      <c r="BI469" s="73"/>
      <c r="BJ469" s="74">
        <v>-510.03616127682648</v>
      </c>
      <c r="BK469" s="74">
        <v>0</v>
      </c>
      <c r="BL469" s="73"/>
      <c r="BM469" s="72">
        <v>38143611.277800158</v>
      </c>
      <c r="BN469" s="72">
        <v>0</v>
      </c>
      <c r="BO469" s="73"/>
      <c r="BP469" s="74">
        <v>-5158.9983476086427</v>
      </c>
      <c r="BQ469" s="74">
        <v>0</v>
      </c>
      <c r="BS469" s="109">
        <f t="shared" si="201"/>
        <v>116373.56063901895</v>
      </c>
      <c r="BT469" s="109">
        <f t="shared" si="202"/>
        <v>116752.66834247056</v>
      </c>
      <c r="BV469" s="58">
        <f t="array" ref="BV469">SUM(IF(BS469:BT469&gt;=BS469, 1))</f>
        <v>2</v>
      </c>
      <c r="BW469" s="58">
        <f t="array" ref="BW469">SUM(IF(BS469:BT469&gt;=BT469, 1))</f>
        <v>1</v>
      </c>
      <c r="BY469" s="109">
        <f t="shared" si="203"/>
        <v>134402.26986069334</v>
      </c>
      <c r="BZ469" s="109">
        <f t="shared" si="204"/>
        <v>134733.05030417934</v>
      </c>
      <c r="CB469" s="58">
        <f t="array" ref="CB469">SUM(IF(BY469:BZ469&gt;=BY469, 1))</f>
        <v>2</v>
      </c>
      <c r="CC469" s="58">
        <f t="array" ref="CC469">SUM(IF(BY469:BZ469&gt;=BZ469, 1))</f>
        <v>1</v>
      </c>
      <c r="CE469" s="109">
        <f t="shared" si="205"/>
        <v>92531.965642490424</v>
      </c>
      <c r="CF469" s="109">
        <f t="shared" si="206"/>
        <v>96107.198615581248</v>
      </c>
      <c r="CH469" s="58">
        <f t="array" ref="CH469">SUM(IF(CE469:CF469&gt;=CE469, 1))</f>
        <v>2</v>
      </c>
      <c r="CI469" s="58">
        <f t="array" ref="CI469">SUM(IF(CE469:CF469&gt;=CF469, 1))</f>
        <v>1</v>
      </c>
      <c r="CK469" s="109">
        <f t="shared" si="207"/>
        <v>49165.66862746171</v>
      </c>
      <c r="CL469" s="109">
        <f t="shared" si="208"/>
        <v>50003.388783145063</v>
      </c>
      <c r="CN469" s="58">
        <f t="array" ref="CN469">SUM(IF(CK469:CL469&gt;=CK469, 1))</f>
        <v>2</v>
      </c>
      <c r="CO469" s="58">
        <f t="array" ref="CO469">SUM(IF(CK469:CL469&gt;=CL469, 1))</f>
        <v>1</v>
      </c>
      <c r="CQ469" s="109" cm="1">
        <f t="array" ref="CQ469">AF469*WTP-AC469</f>
        <v>36935.083583803826</v>
      </c>
      <c r="CR469" s="109">
        <f t="shared" si="209"/>
        <v>37499.733420747594</v>
      </c>
      <c r="CT469" s="58">
        <f t="array" ref="CT469">SUM(IF(CQ469:CR469&gt;=CQ469, 1))</f>
        <v>2</v>
      </c>
      <c r="CU469" s="58">
        <f t="array" ref="CU469">SUM(IF(CQ469:CR469&gt;=CR469, 1))</f>
        <v>1</v>
      </c>
      <c r="CW469" s="109">
        <f t="shared" si="210"/>
        <v>-40218140.177124113</v>
      </c>
      <c r="CX469" s="109">
        <f t="shared" si="211"/>
        <v>0</v>
      </c>
      <c r="CZ469" s="58">
        <f t="array" ref="CZ469">SUM(IF(CW469:CX469&gt;=CW469, 1))</f>
        <v>2</v>
      </c>
      <c r="DA469" s="58">
        <f t="array" ref="DA469">SUM(IF(CW469:CX469&gt;=CX469, 1))</f>
        <v>1</v>
      </c>
      <c r="DC469" s="109">
        <f t="shared" si="212"/>
        <v>-2272835.6196805225</v>
      </c>
      <c r="DD469" s="109">
        <f t="shared" si="213"/>
        <v>0</v>
      </c>
      <c r="DF469" s="58">
        <f t="array" ref="DF469">SUM(IF(DC469:DD469&gt;=DC469, 1))</f>
        <v>2</v>
      </c>
      <c r="DG469" s="58">
        <f t="array" ref="DG469">SUM(IF(DC469:DD469&gt;=DD469, 1))</f>
        <v>1</v>
      </c>
      <c r="DI469" s="109">
        <f t="shared" si="214"/>
        <v>-82039247.246922404</v>
      </c>
      <c r="DJ469" s="109">
        <f t="shared" si="215"/>
        <v>0</v>
      </c>
      <c r="DL469" s="58">
        <f t="array" ref="DL469">SUM(IF(DI469:DJ469&gt;=DI469, 1))</f>
        <v>2</v>
      </c>
      <c r="DM469" s="58">
        <f t="array" ref="DM469">SUM(IF(DI469:DJ469&gt;=DJ469, 1))</f>
        <v>1</v>
      </c>
      <c r="DO469" s="109">
        <f t="shared" si="216"/>
        <v>-7547089.9656642731</v>
      </c>
      <c r="DP469" s="109">
        <f t="shared" si="217"/>
        <v>0</v>
      </c>
      <c r="DR469" s="58">
        <f t="array" ref="DR469">SUM(IF(DO469:DP469&gt;=DO469, 1))</f>
        <v>2</v>
      </c>
      <c r="DS469" s="58">
        <f t="array" ref="DS469">SUM(IF(DO469:DP469&gt;=DP469, 1))</f>
        <v>1</v>
      </c>
      <c r="DU469" s="109">
        <f t="shared" si="218"/>
        <v>-9246265.220581701</v>
      </c>
      <c r="DV469" s="109">
        <f t="shared" si="219"/>
        <v>0</v>
      </c>
      <c r="DX469" s="58">
        <f t="array" ref="DX469">SUM(IF(DU469:DV469&gt;=DU469, 1))</f>
        <v>2</v>
      </c>
      <c r="DY469" s="58">
        <f t="array" ref="DY469">SUM(IF(DU469:DV469&gt;=DV469, 1))</f>
        <v>1</v>
      </c>
      <c r="EA469" s="109">
        <f t="shared" si="220"/>
        <v>-141323578.22997302</v>
      </c>
      <c r="EB469" s="109">
        <f t="shared" si="221"/>
        <v>0</v>
      </c>
      <c r="ED469" s="58">
        <f t="array" ref="ED469">SUM(IF(EA469:EB469&gt;=EA469, 1))</f>
        <v>2</v>
      </c>
      <c r="EE469" s="58">
        <f t="array" ref="EE469">SUM(IF(EA469:EB469&gt;=EB469, 1))</f>
        <v>1</v>
      </c>
    </row>
    <row r="470" spans="4:135" ht="12" customHeight="1" x14ac:dyDescent="0.25">
      <c r="D470" s="11">
        <v>454</v>
      </c>
      <c r="E470" s="72">
        <v>248.05529764077548</v>
      </c>
      <c r="F470" s="72">
        <v>221.456163302714</v>
      </c>
      <c r="G470" s="73"/>
      <c r="H470" s="74">
        <v>5.8066550822637604</v>
      </c>
      <c r="I470" s="74">
        <v>5.8210557233398061</v>
      </c>
      <c r="J470" s="73"/>
      <c r="K470" s="72">
        <v>266.03248598689561</v>
      </c>
      <c r="L470" s="72">
        <v>238.80768516890066</v>
      </c>
      <c r="M470" s="73"/>
      <c r="N470" s="74">
        <v>6.7323228721755779</v>
      </c>
      <c r="O470" s="74">
        <v>6.7448775188507408</v>
      </c>
      <c r="P470" s="73"/>
      <c r="Q470" s="72">
        <v>4135.891148615091</v>
      </c>
      <c r="R470" s="72">
        <v>1647.6814502047278</v>
      </c>
      <c r="S470" s="73"/>
      <c r="T470" s="74">
        <v>4.7081851082886983</v>
      </c>
      <c r="U470" s="74">
        <v>4.8566916645268092</v>
      </c>
      <c r="V470" s="73"/>
      <c r="W470" s="72">
        <v>9590.1224082624358</v>
      </c>
      <c r="X470" s="72">
        <v>9586.9238600861427</v>
      </c>
      <c r="Y470" s="73"/>
      <c r="Z470" s="74">
        <v>2.9704132073187255</v>
      </c>
      <c r="AA470" s="74">
        <v>2.9990618467389525</v>
      </c>
      <c r="AB470" s="73"/>
      <c r="AC470" s="72">
        <v>49405.660532741407</v>
      </c>
      <c r="AD470" s="72">
        <v>49413.047629154418</v>
      </c>
      <c r="AE470" s="73"/>
      <c r="AF470" s="74">
        <v>4.5854369945066873</v>
      </c>
      <c r="AG470" s="74">
        <v>4.6231717598244604</v>
      </c>
      <c r="AH470" s="73"/>
      <c r="AI470" s="72">
        <v>2830891.6839207499</v>
      </c>
      <c r="AJ470" s="72">
        <v>0</v>
      </c>
      <c r="AK470" s="73"/>
      <c r="AL470" s="74">
        <v>-1532.6308949450038</v>
      </c>
      <c r="AM470" s="74">
        <v>0</v>
      </c>
      <c r="AN470" s="73"/>
      <c r="AO470" s="72">
        <v>187891.89250581365</v>
      </c>
      <c r="AP470" s="72">
        <v>0</v>
      </c>
      <c r="AQ470" s="73"/>
      <c r="AR470" s="74">
        <v>-86.645861591721768</v>
      </c>
      <c r="AS470" s="74">
        <v>0</v>
      </c>
      <c r="AT470" s="73"/>
      <c r="AU470" s="72">
        <v>57521675.965917267</v>
      </c>
      <c r="AV470" s="72">
        <v>0</v>
      </c>
      <c r="AW470" s="73"/>
      <c r="AX470" s="74">
        <v>-3433.1294553671723</v>
      </c>
      <c r="AY470" s="74">
        <v>0</v>
      </c>
      <c r="AZ470" s="73"/>
      <c r="BA470" s="72">
        <v>28566.267174653025</v>
      </c>
      <c r="BB470" s="72">
        <v>0</v>
      </c>
      <c r="BC470" s="73"/>
      <c r="BD470" s="74">
        <v>-255.86129792703304</v>
      </c>
      <c r="BE470" s="74">
        <v>0</v>
      </c>
      <c r="BF470" s="73"/>
      <c r="BG470" s="72">
        <v>-116673.47981801281</v>
      </c>
      <c r="BH470" s="72">
        <v>0</v>
      </c>
      <c r="BI470" s="73"/>
      <c r="BJ470" s="74">
        <v>-595.99146045883333</v>
      </c>
      <c r="BK470" s="74">
        <v>0</v>
      </c>
      <c r="BL470" s="73"/>
      <c r="BM470" s="72">
        <v>60452352.32970047</v>
      </c>
      <c r="BN470" s="72">
        <v>0</v>
      </c>
      <c r="BO470" s="73"/>
      <c r="BP470" s="74">
        <v>-5904.258970289764</v>
      </c>
      <c r="BQ470" s="74">
        <v>0</v>
      </c>
      <c r="BS470" s="109">
        <f t="shared" si="201"/>
        <v>115885.04634763443</v>
      </c>
      <c r="BT470" s="109">
        <f t="shared" si="202"/>
        <v>116199.6583034934</v>
      </c>
      <c r="BV470" s="58">
        <f t="array" ref="BV470">SUM(IF(BS470:BT470&gt;=BS470, 1))</f>
        <v>2</v>
      </c>
      <c r="BW470" s="58">
        <f t="array" ref="BW470">SUM(IF(BS470:BT470&gt;=BT470, 1))</f>
        <v>1</v>
      </c>
      <c r="BY470" s="109">
        <f t="shared" si="203"/>
        <v>134380.42495752466</v>
      </c>
      <c r="BZ470" s="109">
        <f t="shared" si="204"/>
        <v>134658.74269184592</v>
      </c>
      <c r="CB470" s="58">
        <f t="array" ref="CB470">SUM(IF(BY470:BZ470&gt;=BY470, 1))</f>
        <v>2</v>
      </c>
      <c r="CC470" s="58">
        <f t="array" ref="CC470">SUM(IF(BY470:BZ470&gt;=BZ470, 1))</f>
        <v>1</v>
      </c>
      <c r="CE470" s="109">
        <f t="shared" si="205"/>
        <v>90027.811017158878</v>
      </c>
      <c r="CF470" s="109">
        <f t="shared" si="206"/>
        <v>95486.151840331455</v>
      </c>
      <c r="CH470" s="58">
        <f t="array" ref="CH470">SUM(IF(CE470:CF470&gt;=CE470, 1))</f>
        <v>2</v>
      </c>
      <c r="CI470" s="58">
        <f t="array" ref="CI470">SUM(IF(CE470:CF470&gt;=CF470, 1))</f>
        <v>1</v>
      </c>
      <c r="CK470" s="109">
        <f t="shared" si="207"/>
        <v>49818.14173811207</v>
      </c>
      <c r="CL470" s="109">
        <f t="shared" si="208"/>
        <v>50394.313074692909</v>
      </c>
      <c r="CN470" s="58">
        <f t="array" ref="CN470">SUM(IF(CK470:CL470&gt;=CK470, 1))</f>
        <v>2</v>
      </c>
      <c r="CO470" s="58">
        <f t="array" ref="CO470">SUM(IF(CK470:CL470&gt;=CL470, 1))</f>
        <v>1</v>
      </c>
      <c r="CQ470" s="109" cm="1">
        <f t="array" ref="CQ470">AF470*WTP-AC470</f>
        <v>42303.079357392337</v>
      </c>
      <c r="CR470" s="109">
        <f t="shared" si="209"/>
        <v>43050.387567334794</v>
      </c>
      <c r="CT470" s="58">
        <f t="array" ref="CT470">SUM(IF(CQ470:CR470&gt;=CQ470, 1))</f>
        <v>2</v>
      </c>
      <c r="CU470" s="58">
        <f t="array" ref="CU470">SUM(IF(CQ470:CR470&gt;=CR470, 1))</f>
        <v>1</v>
      </c>
      <c r="CW470" s="109">
        <f t="shared" si="210"/>
        <v>-33483509.582820825</v>
      </c>
      <c r="CX470" s="109">
        <f t="shared" si="211"/>
        <v>0</v>
      </c>
      <c r="CZ470" s="58">
        <f t="array" ref="CZ470">SUM(IF(CW470:CX470&gt;=CW470, 1))</f>
        <v>2</v>
      </c>
      <c r="DA470" s="58">
        <f t="array" ref="DA470">SUM(IF(CW470:CX470&gt;=CX470, 1))</f>
        <v>1</v>
      </c>
      <c r="DC470" s="109">
        <f t="shared" si="212"/>
        <v>-1920809.124340249</v>
      </c>
      <c r="DD470" s="109">
        <f t="shared" si="213"/>
        <v>0</v>
      </c>
      <c r="DF470" s="58">
        <f t="array" ref="DF470">SUM(IF(DC470:DD470&gt;=DC470, 1))</f>
        <v>2</v>
      </c>
      <c r="DG470" s="58">
        <f t="array" ref="DG470">SUM(IF(DC470:DD470&gt;=DD470, 1))</f>
        <v>1</v>
      </c>
      <c r="DI470" s="109">
        <f t="shared" si="214"/>
        <v>-126184265.07326072</v>
      </c>
      <c r="DJ470" s="109">
        <f t="shared" si="215"/>
        <v>0</v>
      </c>
      <c r="DL470" s="58">
        <f t="array" ref="DL470">SUM(IF(DI470:DJ470&gt;=DI470, 1))</f>
        <v>2</v>
      </c>
      <c r="DM470" s="58">
        <f t="array" ref="DM470">SUM(IF(DI470:DJ470&gt;=DJ470, 1))</f>
        <v>1</v>
      </c>
      <c r="DO470" s="109">
        <f t="shared" si="216"/>
        <v>-5145792.2257153131</v>
      </c>
      <c r="DP470" s="109">
        <f t="shared" si="217"/>
        <v>0</v>
      </c>
      <c r="DR470" s="58">
        <f t="array" ref="DR470">SUM(IF(DO470:DP470&gt;=DO470, 1))</f>
        <v>2</v>
      </c>
      <c r="DS470" s="58">
        <f t="array" ref="DS470">SUM(IF(DO470:DP470&gt;=DP470, 1))</f>
        <v>1</v>
      </c>
      <c r="DU470" s="109">
        <f t="shared" si="218"/>
        <v>-11803155.729358654</v>
      </c>
      <c r="DV470" s="109">
        <f t="shared" si="219"/>
        <v>0</v>
      </c>
      <c r="DX470" s="58">
        <f t="array" ref="DX470">SUM(IF(DU470:DV470&gt;=DU470, 1))</f>
        <v>2</v>
      </c>
      <c r="DY470" s="58">
        <f t="array" ref="DY470">SUM(IF(DU470:DV470&gt;=DV470, 1))</f>
        <v>1</v>
      </c>
      <c r="EA470" s="109">
        <f t="shared" si="220"/>
        <v>-178537531.73549575</v>
      </c>
      <c r="EB470" s="109">
        <f t="shared" si="221"/>
        <v>0</v>
      </c>
      <c r="ED470" s="58">
        <f t="array" ref="ED470">SUM(IF(EA470:EB470&gt;=EA470, 1))</f>
        <v>2</v>
      </c>
      <c r="EE470" s="58">
        <f t="array" ref="EE470">SUM(IF(EA470:EB470&gt;=EB470, 1))</f>
        <v>1</v>
      </c>
    </row>
    <row r="471" spans="4:135" ht="12" customHeight="1" x14ac:dyDescent="0.25">
      <c r="D471" s="11">
        <v>455</v>
      </c>
      <c r="E471" s="72">
        <v>275.17838092327133</v>
      </c>
      <c r="F471" s="72">
        <v>260.40655715690315</v>
      </c>
      <c r="G471" s="73"/>
      <c r="H471" s="74">
        <v>5.8482808664567978</v>
      </c>
      <c r="I471" s="74">
        <v>5.8616732220894532</v>
      </c>
      <c r="J471" s="73"/>
      <c r="K471" s="72">
        <v>295.91978935818685</v>
      </c>
      <c r="L471" s="72">
        <v>280.74160900542836</v>
      </c>
      <c r="M471" s="73"/>
      <c r="N471" s="74">
        <v>6.6846381408156397</v>
      </c>
      <c r="O471" s="74">
        <v>6.6954167081285352</v>
      </c>
      <c r="P471" s="73"/>
      <c r="Q471" s="72">
        <v>2234.9694159174142</v>
      </c>
      <c r="R471" s="72">
        <v>1474.3971203498102</v>
      </c>
      <c r="S471" s="73"/>
      <c r="T471" s="74">
        <v>4.6791798804247868</v>
      </c>
      <c r="U471" s="74">
        <v>4.747855384305244</v>
      </c>
      <c r="V471" s="73"/>
      <c r="W471" s="72">
        <v>10314.737475060874</v>
      </c>
      <c r="X471" s="72">
        <v>10360.213576876524</v>
      </c>
      <c r="Y471" s="73"/>
      <c r="Z471" s="74">
        <v>3.0637111363552045</v>
      </c>
      <c r="AA471" s="74">
        <v>3.1207800932823138</v>
      </c>
      <c r="AB471" s="73"/>
      <c r="AC471" s="72">
        <v>51185.315960361251</v>
      </c>
      <c r="AD471" s="72">
        <v>51259.29865626985</v>
      </c>
      <c r="AE471" s="73"/>
      <c r="AF471" s="74">
        <v>4.5743245029049246</v>
      </c>
      <c r="AG471" s="74">
        <v>4.6532312061275691</v>
      </c>
      <c r="AH471" s="73"/>
      <c r="AI471" s="72">
        <v>1578219.2331480272</v>
      </c>
      <c r="AJ471" s="72">
        <v>0</v>
      </c>
      <c r="AK471" s="73"/>
      <c r="AL471" s="74">
        <v>-1430.8370835520464</v>
      </c>
      <c r="AM471" s="74">
        <v>0</v>
      </c>
      <c r="AN471" s="73"/>
      <c r="AO471" s="72">
        <v>105809.38779924627</v>
      </c>
      <c r="AP471" s="72">
        <v>0</v>
      </c>
      <c r="AQ471" s="73"/>
      <c r="AR471" s="74">
        <v>-75.139020766950509</v>
      </c>
      <c r="AS471" s="74">
        <v>0</v>
      </c>
      <c r="AT471" s="73"/>
      <c r="AU471" s="72">
        <v>17359424.007892091</v>
      </c>
      <c r="AV471" s="72">
        <v>0</v>
      </c>
      <c r="AW471" s="73"/>
      <c r="AX471" s="74">
        <v>-1567.4607105256155</v>
      </c>
      <c r="AY471" s="74">
        <v>0</v>
      </c>
      <c r="AZ471" s="73"/>
      <c r="BA471" s="72">
        <v>-404088.03675077308</v>
      </c>
      <c r="BB471" s="72">
        <v>0</v>
      </c>
      <c r="BC471" s="73"/>
      <c r="BD471" s="74">
        <v>-507.09893423965605</v>
      </c>
      <c r="BE471" s="74">
        <v>0</v>
      </c>
      <c r="BF471" s="73"/>
      <c r="BG471" s="72">
        <v>-1184860.1409249133</v>
      </c>
      <c r="BH471" s="72">
        <v>0</v>
      </c>
      <c r="BI471" s="73"/>
      <c r="BJ471" s="74">
        <v>-1263.7199327773712</v>
      </c>
      <c r="BK471" s="74">
        <v>0</v>
      </c>
      <c r="BL471" s="73"/>
      <c r="BM471" s="72">
        <v>17454504.451163679</v>
      </c>
      <c r="BN471" s="72">
        <v>0</v>
      </c>
      <c r="BO471" s="73"/>
      <c r="BP471" s="74">
        <v>-4844.2556818616395</v>
      </c>
      <c r="BQ471" s="74">
        <v>0</v>
      </c>
      <c r="BS471" s="109">
        <f t="shared" si="201"/>
        <v>116690.43894821269</v>
      </c>
      <c r="BT471" s="109">
        <f t="shared" si="202"/>
        <v>116973.05788463216</v>
      </c>
      <c r="BV471" s="58">
        <f t="array" ref="BV471">SUM(IF(BS471:BT471&gt;=BS471, 1))</f>
        <v>2</v>
      </c>
      <c r="BW471" s="58">
        <f t="array" ref="BW471">SUM(IF(BS471:BT471&gt;=BT471, 1))</f>
        <v>1</v>
      </c>
      <c r="BY471" s="109">
        <f t="shared" si="203"/>
        <v>133396.84302695459</v>
      </c>
      <c r="BZ471" s="109">
        <f t="shared" si="204"/>
        <v>133627.59255356528</v>
      </c>
      <c r="CB471" s="58">
        <f t="array" ref="CB471">SUM(IF(BY471:BZ471&gt;=BY471, 1))</f>
        <v>2</v>
      </c>
      <c r="CC471" s="58">
        <f t="array" ref="CC471">SUM(IF(BY471:BZ471&gt;=BZ471, 1))</f>
        <v>1</v>
      </c>
      <c r="CE471" s="109">
        <f t="shared" si="205"/>
        <v>91348.628192578326</v>
      </c>
      <c r="CF471" s="109">
        <f t="shared" si="206"/>
        <v>93482.710565755071</v>
      </c>
      <c r="CH471" s="58">
        <f t="array" ref="CH471">SUM(IF(CE471:CF471&gt;=CE471, 1))</f>
        <v>2</v>
      </c>
      <c r="CI471" s="58">
        <f t="array" ref="CI471">SUM(IF(CE471:CF471&gt;=CF471, 1))</f>
        <v>1</v>
      </c>
      <c r="CK471" s="109">
        <f t="shared" si="207"/>
        <v>50959.485252043218</v>
      </c>
      <c r="CL471" s="109">
        <f t="shared" si="208"/>
        <v>52055.388288769755</v>
      </c>
      <c r="CN471" s="58">
        <f t="array" ref="CN471">SUM(IF(CK471:CL471&gt;=CK471, 1))</f>
        <v>2</v>
      </c>
      <c r="CO471" s="58">
        <f t="array" ref="CO471">SUM(IF(CK471:CL471&gt;=CL471, 1))</f>
        <v>1</v>
      </c>
      <c r="CQ471" s="109" cm="1">
        <f t="array" ref="CQ471">AF471*WTP-AC471</f>
        <v>40301.174097737246</v>
      </c>
      <c r="CR471" s="109">
        <f t="shared" si="209"/>
        <v>41805.325466281531</v>
      </c>
      <c r="CT471" s="58">
        <f t="array" ref="CT471">SUM(IF(CQ471:CR471&gt;=CQ471, 1))</f>
        <v>2</v>
      </c>
      <c r="CU471" s="58">
        <f t="array" ref="CU471">SUM(IF(CQ471:CR471&gt;=CR471, 1))</f>
        <v>1</v>
      </c>
      <c r="CW471" s="109">
        <f t="shared" si="210"/>
        <v>-30194960.904188953</v>
      </c>
      <c r="CX471" s="109">
        <f t="shared" si="211"/>
        <v>0</v>
      </c>
      <c r="CZ471" s="58">
        <f t="array" ref="CZ471">SUM(IF(CW471:CX471&gt;=CW471, 1))</f>
        <v>2</v>
      </c>
      <c r="DA471" s="58">
        <f t="array" ref="DA471">SUM(IF(CW471:CX471&gt;=CX471, 1))</f>
        <v>1</v>
      </c>
      <c r="DC471" s="109">
        <f t="shared" si="212"/>
        <v>-1608589.8031382563</v>
      </c>
      <c r="DD471" s="109">
        <f t="shared" si="213"/>
        <v>0</v>
      </c>
      <c r="DF471" s="58">
        <f t="array" ref="DF471">SUM(IF(DC471:DD471&gt;=DC471, 1))</f>
        <v>2</v>
      </c>
      <c r="DG471" s="58">
        <f t="array" ref="DG471">SUM(IF(DC471:DD471&gt;=DD471, 1))</f>
        <v>1</v>
      </c>
      <c r="DI471" s="109">
        <f t="shared" si="214"/>
        <v>-48708638.218404397</v>
      </c>
      <c r="DJ471" s="109">
        <f t="shared" si="215"/>
        <v>0</v>
      </c>
      <c r="DL471" s="58">
        <f t="array" ref="DL471">SUM(IF(DI471:DJ471&gt;=DI471, 1))</f>
        <v>2</v>
      </c>
      <c r="DM471" s="58">
        <f t="array" ref="DM471">SUM(IF(DI471:DJ471&gt;=DJ471, 1))</f>
        <v>1</v>
      </c>
      <c r="DO471" s="109">
        <f t="shared" si="216"/>
        <v>-9737890.6480423473</v>
      </c>
      <c r="DP471" s="109">
        <f t="shared" si="217"/>
        <v>0</v>
      </c>
      <c r="DR471" s="58">
        <f t="array" ref="DR471">SUM(IF(DO471:DP471&gt;=DO471, 1))</f>
        <v>2</v>
      </c>
      <c r="DS471" s="58">
        <f t="array" ref="DS471">SUM(IF(DO471:DP471&gt;=DP471, 1))</f>
        <v>1</v>
      </c>
      <c r="DU471" s="109">
        <f t="shared" si="218"/>
        <v>-24089538.514622513</v>
      </c>
      <c r="DV471" s="109">
        <f t="shared" si="219"/>
        <v>0</v>
      </c>
      <c r="DX471" s="58">
        <f t="array" ref="DX471">SUM(IF(DU471:DV471&gt;=DU471, 1))</f>
        <v>2</v>
      </c>
      <c r="DY471" s="58">
        <f t="array" ref="DY471">SUM(IF(DU471:DV471&gt;=DV471, 1))</f>
        <v>1</v>
      </c>
      <c r="EA471" s="109">
        <f t="shared" si="220"/>
        <v>-114339618.08839647</v>
      </c>
      <c r="EB471" s="109">
        <f t="shared" si="221"/>
        <v>0</v>
      </c>
      <c r="ED471" s="58">
        <f t="array" ref="ED471">SUM(IF(EA471:EB471&gt;=EA471, 1))</f>
        <v>2</v>
      </c>
      <c r="EE471" s="58">
        <f t="array" ref="EE471">SUM(IF(EA471:EB471&gt;=EB471, 1))</f>
        <v>1</v>
      </c>
    </row>
    <row r="472" spans="4:135" ht="12" customHeight="1" x14ac:dyDescent="0.25">
      <c r="D472" s="11">
        <v>456</v>
      </c>
      <c r="E472" s="72">
        <v>247.97971009957809</v>
      </c>
      <c r="F472" s="72">
        <v>225.13400601981954</v>
      </c>
      <c r="G472" s="73"/>
      <c r="H472" s="74">
        <v>5.8714987509390104</v>
      </c>
      <c r="I472" s="74">
        <v>5.8877924918895603</v>
      </c>
      <c r="J472" s="73"/>
      <c r="K472" s="72">
        <v>266.13397690737298</v>
      </c>
      <c r="L472" s="72">
        <v>242.75076499204965</v>
      </c>
      <c r="M472" s="73"/>
      <c r="N472" s="74">
        <v>6.6614048085305413</v>
      </c>
      <c r="O472" s="74">
        <v>6.6755362608823736</v>
      </c>
      <c r="P472" s="73"/>
      <c r="Q472" s="72">
        <v>3675.6590633057581</v>
      </c>
      <c r="R472" s="72">
        <v>1709.5727318697147</v>
      </c>
      <c r="S472" s="73"/>
      <c r="T472" s="74">
        <v>4.8242724117497087</v>
      </c>
      <c r="U472" s="74">
        <v>4.9450483222299635</v>
      </c>
      <c r="V472" s="73"/>
      <c r="W472" s="72">
        <v>10735.432756790045</v>
      </c>
      <c r="X472" s="72">
        <v>10727.187922720323</v>
      </c>
      <c r="Y472" s="73"/>
      <c r="Z472" s="74">
        <v>3.0375656130809485</v>
      </c>
      <c r="AA472" s="74">
        <v>3.0760572617908175</v>
      </c>
      <c r="AB472" s="73"/>
      <c r="AC472" s="72">
        <v>51690.073793749099</v>
      </c>
      <c r="AD472" s="72">
        <v>51483.763345019848</v>
      </c>
      <c r="AE472" s="73"/>
      <c r="AF472" s="74">
        <v>4.9313412706961088</v>
      </c>
      <c r="AG472" s="74">
        <v>5.0162621251862225</v>
      </c>
      <c r="AH472" s="73"/>
      <c r="AI472" s="72">
        <v>2449235.2998411469</v>
      </c>
      <c r="AJ472" s="72">
        <v>0</v>
      </c>
      <c r="AK472" s="73"/>
      <c r="AL472" s="74">
        <v>-1746.8144279217975</v>
      </c>
      <c r="AM472" s="74">
        <v>0</v>
      </c>
      <c r="AN472" s="73"/>
      <c r="AO472" s="72">
        <v>161828.41121073189</v>
      </c>
      <c r="AP472" s="72">
        <v>0</v>
      </c>
      <c r="AQ472" s="73"/>
      <c r="AR472" s="74">
        <v>-97.799673136373954</v>
      </c>
      <c r="AS472" s="74">
        <v>0</v>
      </c>
      <c r="AT472" s="73"/>
      <c r="AU472" s="72">
        <v>44327551.517738692</v>
      </c>
      <c r="AV472" s="72">
        <v>0</v>
      </c>
      <c r="AW472" s="73"/>
      <c r="AX472" s="74">
        <v>-2723.024064769786</v>
      </c>
      <c r="AY472" s="74">
        <v>0</v>
      </c>
      <c r="AZ472" s="73"/>
      <c r="BA472" s="72">
        <v>73116.132688801037</v>
      </c>
      <c r="BB472" s="72">
        <v>0</v>
      </c>
      <c r="BC472" s="73"/>
      <c r="BD472" s="74">
        <v>-341.34834863645727</v>
      </c>
      <c r="BE472" s="74">
        <v>0</v>
      </c>
      <c r="BF472" s="73"/>
      <c r="BG472" s="72">
        <v>3284666.6426089164</v>
      </c>
      <c r="BH472" s="72">
        <v>0</v>
      </c>
      <c r="BI472" s="73"/>
      <c r="BJ472" s="74">
        <v>-1352.0240963247618</v>
      </c>
      <c r="BK472" s="74">
        <v>0</v>
      </c>
      <c r="BL472" s="73"/>
      <c r="BM472" s="72">
        <v>50296398.00408829</v>
      </c>
      <c r="BN472" s="72">
        <v>0</v>
      </c>
      <c r="BO472" s="73"/>
      <c r="BP472" s="74">
        <v>-6261.0106107891761</v>
      </c>
      <c r="BQ472" s="74">
        <v>0</v>
      </c>
      <c r="BS472" s="109">
        <f t="shared" si="201"/>
        <v>117181.99530868063</v>
      </c>
      <c r="BT472" s="109">
        <f t="shared" si="202"/>
        <v>117530.71583177139</v>
      </c>
      <c r="BV472" s="58">
        <f t="array" ref="BV472">SUM(IF(BS472:BT472&gt;=BS472, 1))</f>
        <v>2</v>
      </c>
      <c r="BW472" s="58">
        <f t="array" ref="BW472">SUM(IF(BS472:BT472&gt;=BT472, 1))</f>
        <v>1</v>
      </c>
      <c r="BY472" s="109">
        <f t="shared" si="203"/>
        <v>132961.96219370345</v>
      </c>
      <c r="BZ472" s="109">
        <f t="shared" si="204"/>
        <v>133267.97445265541</v>
      </c>
      <c r="CB472" s="58">
        <f t="array" ref="CB472">SUM(IF(BY472:BZ472&gt;=BY472, 1))</f>
        <v>2</v>
      </c>
      <c r="CC472" s="58">
        <f t="array" ref="CC472">SUM(IF(BY472:BZ472&gt;=BZ472, 1))</f>
        <v>1</v>
      </c>
      <c r="CE472" s="109">
        <f t="shared" si="205"/>
        <v>92809.789171688404</v>
      </c>
      <c r="CF472" s="109">
        <f t="shared" si="206"/>
        <v>97191.39371272955</v>
      </c>
      <c r="CH472" s="58">
        <f t="array" ref="CH472">SUM(IF(CE472:CF472&gt;=CE472, 1))</f>
        <v>2</v>
      </c>
      <c r="CI472" s="58">
        <f t="array" ref="CI472">SUM(IF(CE472:CF472&gt;=CF472, 1))</f>
        <v>1</v>
      </c>
      <c r="CK472" s="109">
        <f t="shared" si="207"/>
        <v>50015.879504828925</v>
      </c>
      <c r="CL472" s="109">
        <f t="shared" si="208"/>
        <v>50793.957313096027</v>
      </c>
      <c r="CN472" s="58">
        <f t="array" ref="CN472">SUM(IF(CK472:CL472&gt;=CK472, 1))</f>
        <v>2</v>
      </c>
      <c r="CO472" s="58">
        <f t="array" ref="CO472">SUM(IF(CK472:CL472&gt;=CL472, 1))</f>
        <v>1</v>
      </c>
      <c r="CQ472" s="109" cm="1">
        <f t="array" ref="CQ472">AF472*WTP-AC472</f>
        <v>46936.751620173083</v>
      </c>
      <c r="CR472" s="109">
        <f t="shared" si="209"/>
        <v>48841.479158704606</v>
      </c>
      <c r="CT472" s="58">
        <f t="array" ref="CT472">SUM(IF(CQ472:CR472&gt;=CQ472, 1))</f>
        <v>2</v>
      </c>
      <c r="CU472" s="58">
        <f t="array" ref="CU472">SUM(IF(CQ472:CR472&gt;=CR472, 1))</f>
        <v>1</v>
      </c>
      <c r="CW472" s="109">
        <f t="shared" si="210"/>
        <v>-37385523.858277097</v>
      </c>
      <c r="CX472" s="109">
        <f t="shared" si="211"/>
        <v>0</v>
      </c>
      <c r="CZ472" s="58">
        <f t="array" ref="CZ472">SUM(IF(CW472:CX472&gt;=CW472, 1))</f>
        <v>2</v>
      </c>
      <c r="DA472" s="58">
        <f t="array" ref="DA472">SUM(IF(CW472:CX472&gt;=CX472, 1))</f>
        <v>1</v>
      </c>
      <c r="DC472" s="109">
        <f t="shared" si="212"/>
        <v>-2117821.8739382112</v>
      </c>
      <c r="DD472" s="109">
        <f t="shared" si="213"/>
        <v>0</v>
      </c>
      <c r="DF472" s="58">
        <f t="array" ref="DF472">SUM(IF(DC472:DD472&gt;=DC472, 1))</f>
        <v>2</v>
      </c>
      <c r="DG472" s="58">
        <f t="array" ref="DG472">SUM(IF(DC472:DD472&gt;=DD472, 1))</f>
        <v>1</v>
      </c>
      <c r="DI472" s="109">
        <f t="shared" si="214"/>
        <v>-98788032.813134402</v>
      </c>
      <c r="DJ472" s="109">
        <f t="shared" si="215"/>
        <v>0</v>
      </c>
      <c r="DL472" s="58">
        <f t="array" ref="DL472">SUM(IF(DI472:DJ472&gt;=DI472, 1))</f>
        <v>2</v>
      </c>
      <c r="DM472" s="58">
        <f t="array" ref="DM472">SUM(IF(DI472:DJ472&gt;=DJ472, 1))</f>
        <v>1</v>
      </c>
      <c r="DO472" s="109">
        <f t="shared" si="216"/>
        <v>-6900083.1054179464</v>
      </c>
      <c r="DP472" s="109">
        <f t="shared" si="217"/>
        <v>0</v>
      </c>
      <c r="DR472" s="58">
        <f t="array" ref="DR472">SUM(IF(DO472:DP472&gt;=DO472, 1))</f>
        <v>2</v>
      </c>
      <c r="DS472" s="58">
        <f t="array" ref="DS472">SUM(IF(DO472:DP472&gt;=DP472, 1))</f>
        <v>1</v>
      </c>
      <c r="DU472" s="109">
        <f t="shared" si="218"/>
        <v>-30325148.56910415</v>
      </c>
      <c r="DV472" s="109">
        <f t="shared" si="219"/>
        <v>0</v>
      </c>
      <c r="DX472" s="58">
        <f t="array" ref="DX472">SUM(IF(DU472:DV472&gt;=DU472, 1))</f>
        <v>2</v>
      </c>
      <c r="DY472" s="58">
        <f t="array" ref="DY472">SUM(IF(DU472:DV472&gt;=DV472, 1))</f>
        <v>1</v>
      </c>
      <c r="EA472" s="109">
        <f t="shared" si="220"/>
        <v>-175516610.21987182</v>
      </c>
      <c r="EB472" s="109">
        <f t="shared" si="221"/>
        <v>0</v>
      </c>
      <c r="ED472" s="58">
        <f t="array" ref="ED472">SUM(IF(EA472:EB472&gt;=EA472, 1))</f>
        <v>2</v>
      </c>
      <c r="EE472" s="58">
        <f t="array" ref="EE472">SUM(IF(EA472:EB472&gt;=EB472, 1))</f>
        <v>1</v>
      </c>
    </row>
    <row r="473" spans="4:135" ht="12" customHeight="1" x14ac:dyDescent="0.25">
      <c r="D473" s="11">
        <v>457</v>
      </c>
      <c r="E473" s="72">
        <v>229.98948329672692</v>
      </c>
      <c r="F473" s="72">
        <v>209.12255134909248</v>
      </c>
      <c r="G473" s="73"/>
      <c r="H473" s="74">
        <v>5.8607500953581422</v>
      </c>
      <c r="I473" s="74">
        <v>5.8765501242352185</v>
      </c>
      <c r="J473" s="73"/>
      <c r="K473" s="72">
        <v>246.83010432774481</v>
      </c>
      <c r="L473" s="72">
        <v>225.46143418588576</v>
      </c>
      <c r="M473" s="73"/>
      <c r="N473" s="74">
        <v>6.6971004157605654</v>
      </c>
      <c r="O473" s="74">
        <v>6.7109596505148597</v>
      </c>
      <c r="P473" s="73"/>
      <c r="Q473" s="72">
        <v>1793.570689623102</v>
      </c>
      <c r="R473" s="72">
        <v>1264.6311176355027</v>
      </c>
      <c r="S473" s="73"/>
      <c r="T473" s="74">
        <v>4.9470659130577506</v>
      </c>
      <c r="U473" s="74">
        <v>5.022159018255139</v>
      </c>
      <c r="V473" s="73"/>
      <c r="W473" s="72">
        <v>14413.416846491251</v>
      </c>
      <c r="X473" s="72">
        <v>14320.672338740183</v>
      </c>
      <c r="Y473" s="73"/>
      <c r="Z473" s="74">
        <v>3.1479377180500268</v>
      </c>
      <c r="AA473" s="74">
        <v>3.1789423899450679</v>
      </c>
      <c r="AB473" s="73"/>
      <c r="AC473" s="72">
        <v>51125.053501276256</v>
      </c>
      <c r="AD473" s="72">
        <v>51093.581872207229</v>
      </c>
      <c r="AE473" s="73"/>
      <c r="AF473" s="74">
        <v>4.4999432085630806</v>
      </c>
      <c r="AG473" s="74">
        <v>4.5656089763447048</v>
      </c>
      <c r="AH473" s="73"/>
      <c r="AI473" s="72">
        <v>2264909.9684000215</v>
      </c>
      <c r="AJ473" s="72">
        <v>0</v>
      </c>
      <c r="AK473" s="73"/>
      <c r="AL473" s="74">
        <v>-1714.9451100191645</v>
      </c>
      <c r="AM473" s="74">
        <v>0</v>
      </c>
      <c r="AN473" s="73"/>
      <c r="AO473" s="72">
        <v>149562.98535532906</v>
      </c>
      <c r="AP473" s="72">
        <v>0</v>
      </c>
      <c r="AQ473" s="73"/>
      <c r="AR473" s="74">
        <v>-97.003159805070212</v>
      </c>
      <c r="AS473" s="74">
        <v>0</v>
      </c>
      <c r="AT473" s="73"/>
      <c r="AU473" s="72">
        <v>12409817.826306744</v>
      </c>
      <c r="AV473" s="72">
        <v>0</v>
      </c>
      <c r="AW473" s="73"/>
      <c r="AX473" s="74">
        <v>-1761.8113766937563</v>
      </c>
      <c r="AY473" s="74">
        <v>0</v>
      </c>
      <c r="AZ473" s="73"/>
      <c r="BA473" s="72">
        <v>862168.24535798642</v>
      </c>
      <c r="BB473" s="72">
        <v>0</v>
      </c>
      <c r="BC473" s="73"/>
      <c r="BD473" s="74">
        <v>-288.2245451924357</v>
      </c>
      <c r="BE473" s="74">
        <v>0</v>
      </c>
      <c r="BF473" s="73"/>
      <c r="BG473" s="72">
        <v>498766.28817904112</v>
      </c>
      <c r="BH473" s="72">
        <v>0</v>
      </c>
      <c r="BI473" s="73"/>
      <c r="BJ473" s="74">
        <v>-1040.6792474909039</v>
      </c>
      <c r="BK473" s="74">
        <v>0</v>
      </c>
      <c r="BL473" s="73"/>
      <c r="BM473" s="72">
        <v>16185225.313599123</v>
      </c>
      <c r="BN473" s="72">
        <v>0</v>
      </c>
      <c r="BO473" s="73"/>
      <c r="BP473" s="74">
        <v>-4902.6634392013311</v>
      </c>
      <c r="BQ473" s="74">
        <v>0</v>
      </c>
      <c r="BS473" s="109">
        <f t="shared" si="201"/>
        <v>116985.01242386612</v>
      </c>
      <c r="BT473" s="109">
        <f t="shared" si="202"/>
        <v>117321.87993335527</v>
      </c>
      <c r="BV473" s="58">
        <f t="array" ref="BV473">SUM(IF(BS473:BT473&gt;=BS473, 1))</f>
        <v>2</v>
      </c>
      <c r="BW473" s="58">
        <f t="array" ref="BW473">SUM(IF(BS473:BT473&gt;=BT473, 1))</f>
        <v>1</v>
      </c>
      <c r="BY473" s="109">
        <f t="shared" si="203"/>
        <v>133695.17821088358</v>
      </c>
      <c r="BZ473" s="109">
        <f t="shared" si="204"/>
        <v>133993.73157611131</v>
      </c>
      <c r="CB473" s="58">
        <f t="array" ref="CB473">SUM(IF(BY473:BZ473&gt;=BY473, 1))</f>
        <v>2</v>
      </c>
      <c r="CC473" s="58">
        <f t="array" ref="CC473">SUM(IF(BY473:BZ473&gt;=BZ473, 1))</f>
        <v>1</v>
      </c>
      <c r="CE473" s="109">
        <f t="shared" si="205"/>
        <v>97147.747571531916</v>
      </c>
      <c r="CF473" s="109">
        <f t="shared" si="206"/>
        <v>99178.549247467265</v>
      </c>
      <c r="CH473" s="58">
        <f t="array" ref="CH473">SUM(IF(CE473:CF473&gt;=CE473, 1))</f>
        <v>2</v>
      </c>
      <c r="CI473" s="58">
        <f t="array" ref="CI473">SUM(IF(CE473:CF473&gt;=CF473, 1))</f>
        <v>1</v>
      </c>
      <c r="CK473" s="109">
        <f t="shared" si="207"/>
        <v>48545.337514509287</v>
      </c>
      <c r="CL473" s="109">
        <f t="shared" si="208"/>
        <v>49258.175460161176</v>
      </c>
      <c r="CN473" s="58">
        <f t="array" ref="CN473">SUM(IF(CK473:CL473&gt;=CK473, 1))</f>
        <v>2</v>
      </c>
      <c r="CO473" s="58">
        <f t="array" ref="CO473">SUM(IF(CK473:CL473&gt;=CL473, 1))</f>
        <v>1</v>
      </c>
      <c r="CQ473" s="109" cm="1">
        <f t="array" ref="CQ473">AF473*WTP-AC473</f>
        <v>38873.810669985352</v>
      </c>
      <c r="CR473" s="109">
        <f t="shared" si="209"/>
        <v>40218.597654686862</v>
      </c>
      <c r="CT473" s="58">
        <f t="array" ref="CT473">SUM(IF(CQ473:CR473&gt;=CQ473, 1))</f>
        <v>2</v>
      </c>
      <c r="CU473" s="58">
        <f t="array" ref="CU473">SUM(IF(CQ473:CR473&gt;=CR473, 1))</f>
        <v>1</v>
      </c>
      <c r="CW473" s="109">
        <f t="shared" si="210"/>
        <v>-36563812.168783315</v>
      </c>
      <c r="CX473" s="109">
        <f t="shared" si="211"/>
        <v>0</v>
      </c>
      <c r="CZ473" s="58">
        <f t="array" ref="CZ473">SUM(IF(CW473:CX473&gt;=CW473, 1))</f>
        <v>2</v>
      </c>
      <c r="DA473" s="58">
        <f t="array" ref="DA473">SUM(IF(CW473:CX473&gt;=CX473, 1))</f>
        <v>1</v>
      </c>
      <c r="DC473" s="109">
        <f t="shared" si="212"/>
        <v>-2089626.1814567333</v>
      </c>
      <c r="DD473" s="109">
        <f t="shared" si="213"/>
        <v>0</v>
      </c>
      <c r="DF473" s="58">
        <f t="array" ref="DF473">SUM(IF(DC473:DD473&gt;=DC473, 1))</f>
        <v>2</v>
      </c>
      <c r="DG473" s="58">
        <f t="array" ref="DG473">SUM(IF(DC473:DD473&gt;=DD473, 1))</f>
        <v>1</v>
      </c>
      <c r="DI473" s="109">
        <f t="shared" si="214"/>
        <v>-47646045.360181868</v>
      </c>
      <c r="DJ473" s="109">
        <f t="shared" si="215"/>
        <v>0</v>
      </c>
      <c r="DL473" s="58">
        <f t="array" ref="DL473">SUM(IF(DI473:DJ473&gt;=DI473, 1))</f>
        <v>2</v>
      </c>
      <c r="DM473" s="58">
        <f t="array" ref="DM473">SUM(IF(DI473:DJ473&gt;=DJ473, 1))</f>
        <v>1</v>
      </c>
      <c r="DO473" s="109">
        <f t="shared" si="216"/>
        <v>-6626659.1492067007</v>
      </c>
      <c r="DP473" s="109">
        <f t="shared" si="217"/>
        <v>0</v>
      </c>
      <c r="DR473" s="58">
        <f t="array" ref="DR473">SUM(IF(DO473:DP473&gt;=DO473, 1))</f>
        <v>2</v>
      </c>
      <c r="DS473" s="58">
        <f t="array" ref="DS473">SUM(IF(DO473:DP473&gt;=DP473, 1))</f>
        <v>1</v>
      </c>
      <c r="DU473" s="109">
        <f t="shared" si="218"/>
        <v>-21312351.237997118</v>
      </c>
      <c r="DV473" s="109">
        <f t="shared" si="219"/>
        <v>0</v>
      </c>
      <c r="DX473" s="58">
        <f t="array" ref="DX473">SUM(IF(DU473:DV473&gt;=DU473, 1))</f>
        <v>2</v>
      </c>
      <c r="DY473" s="58">
        <f t="array" ref="DY473">SUM(IF(DU473:DV473&gt;=DV473, 1))</f>
        <v>1</v>
      </c>
      <c r="EA473" s="109">
        <f t="shared" si="220"/>
        <v>-114238494.09762575</v>
      </c>
      <c r="EB473" s="109">
        <f t="shared" si="221"/>
        <v>0</v>
      </c>
      <c r="ED473" s="58">
        <f t="array" ref="ED473">SUM(IF(EA473:EB473&gt;=EA473, 1))</f>
        <v>2</v>
      </c>
      <c r="EE473" s="58">
        <f t="array" ref="EE473">SUM(IF(EA473:EB473&gt;=EB473, 1))</f>
        <v>1</v>
      </c>
    </row>
    <row r="474" spans="4:135" ht="12" customHeight="1" x14ac:dyDescent="0.25">
      <c r="D474" s="11">
        <v>458</v>
      </c>
      <c r="E474" s="72">
        <v>244.29028537070292</v>
      </c>
      <c r="F474" s="72">
        <v>201.28244297116581</v>
      </c>
      <c r="G474" s="73"/>
      <c r="H474" s="74">
        <v>5.8413201098981595</v>
      </c>
      <c r="I474" s="74">
        <v>5.8617962607386271</v>
      </c>
      <c r="J474" s="73"/>
      <c r="K474" s="72">
        <v>261.01980254961728</v>
      </c>
      <c r="L474" s="72">
        <v>217.01924428804537</v>
      </c>
      <c r="M474" s="73"/>
      <c r="N474" s="74">
        <v>6.6848545575185616</v>
      </c>
      <c r="O474" s="74">
        <v>6.702710572010556</v>
      </c>
      <c r="P474" s="73"/>
      <c r="Q474" s="72">
        <v>2828.2529099446442</v>
      </c>
      <c r="R474" s="72">
        <v>1462.2523495462146</v>
      </c>
      <c r="S474" s="73"/>
      <c r="T474" s="74">
        <v>4.672947179020329</v>
      </c>
      <c r="U474" s="74">
        <v>4.8021553071315957</v>
      </c>
      <c r="V474" s="73"/>
      <c r="W474" s="72">
        <v>12521.935159369803</v>
      </c>
      <c r="X474" s="72">
        <v>12531.002634568022</v>
      </c>
      <c r="Y474" s="73"/>
      <c r="Z474" s="74">
        <v>3.084157357732479</v>
      </c>
      <c r="AA474" s="74">
        <v>3.1406098064472299</v>
      </c>
      <c r="AB474" s="73"/>
      <c r="AC474" s="72">
        <v>49402.478643723523</v>
      </c>
      <c r="AD474" s="72">
        <v>49241.706196052466</v>
      </c>
      <c r="AE474" s="73"/>
      <c r="AF474" s="74">
        <v>4.3656221213225992</v>
      </c>
      <c r="AG474" s="74">
        <v>4.449975346781005</v>
      </c>
      <c r="AH474" s="73"/>
      <c r="AI474" s="72">
        <v>4612798.8920115745</v>
      </c>
      <c r="AJ474" s="72">
        <v>0</v>
      </c>
      <c r="AK474" s="73"/>
      <c r="AL474" s="74">
        <v>-2196.1661092440072</v>
      </c>
      <c r="AM474" s="74">
        <v>0</v>
      </c>
      <c r="AN474" s="73"/>
      <c r="AO474" s="72">
        <v>291941.27712588612</v>
      </c>
      <c r="AP474" s="72">
        <v>0</v>
      </c>
      <c r="AQ474" s="73"/>
      <c r="AR474" s="74">
        <v>-118.47367126984572</v>
      </c>
      <c r="AS474" s="74">
        <v>0</v>
      </c>
      <c r="AT474" s="73"/>
      <c r="AU474" s="72">
        <v>31549598.729649179</v>
      </c>
      <c r="AV474" s="72">
        <v>0</v>
      </c>
      <c r="AW474" s="73"/>
      <c r="AX474" s="74">
        <v>-2984.2334715664842</v>
      </c>
      <c r="AY474" s="74">
        <v>0</v>
      </c>
      <c r="AZ474" s="73"/>
      <c r="BA474" s="72">
        <v>-81257.832446496177</v>
      </c>
      <c r="BB474" s="72">
        <v>0</v>
      </c>
      <c r="BC474" s="73"/>
      <c r="BD474" s="74">
        <v>-505.89646164775559</v>
      </c>
      <c r="BE474" s="74">
        <v>0</v>
      </c>
      <c r="BF474" s="73"/>
      <c r="BG474" s="72">
        <v>2561657.4540560441</v>
      </c>
      <c r="BH474" s="72">
        <v>0</v>
      </c>
      <c r="BI474" s="73"/>
      <c r="BJ474" s="74">
        <v>-1344.0366922279272</v>
      </c>
      <c r="BK474" s="74">
        <v>0</v>
      </c>
      <c r="BL474" s="73"/>
      <c r="BM474" s="72">
        <v>38934738.520396195</v>
      </c>
      <c r="BN474" s="72">
        <v>0</v>
      </c>
      <c r="BO474" s="73"/>
      <c r="BP474" s="74">
        <v>-7148.8064059560193</v>
      </c>
      <c r="BQ474" s="74">
        <v>0</v>
      </c>
      <c r="BS474" s="109">
        <f t="shared" si="201"/>
        <v>116582.11191259249</v>
      </c>
      <c r="BT474" s="109">
        <f t="shared" si="202"/>
        <v>117034.64277180139</v>
      </c>
      <c r="BV474" s="58">
        <f t="array" ref="BV474">SUM(IF(BS474:BT474&gt;=BS474, 1))</f>
        <v>2</v>
      </c>
      <c r="BW474" s="58">
        <f t="array" ref="BW474">SUM(IF(BS474:BT474&gt;=BT474, 1))</f>
        <v>1</v>
      </c>
      <c r="BY474" s="109">
        <f t="shared" si="203"/>
        <v>133436.07134782162</v>
      </c>
      <c r="BZ474" s="109">
        <f t="shared" si="204"/>
        <v>133837.1921959231</v>
      </c>
      <c r="CB474" s="58">
        <f t="array" ref="CB474">SUM(IF(BY474:BZ474&gt;=BY474, 1))</f>
        <v>2</v>
      </c>
      <c r="CC474" s="58">
        <f t="array" ref="CC474">SUM(IF(BY474:BZ474&gt;=BZ474, 1))</f>
        <v>1</v>
      </c>
      <c r="CE474" s="109">
        <f t="shared" si="205"/>
        <v>90630.690670461932</v>
      </c>
      <c r="CF474" s="109">
        <f t="shared" si="206"/>
        <v>94580.853793085698</v>
      </c>
      <c r="CH474" s="58">
        <f t="array" ref="CH474">SUM(IF(CE474:CF474&gt;=CE474, 1))</f>
        <v>2</v>
      </c>
      <c r="CI474" s="58">
        <f t="array" ref="CI474">SUM(IF(CE474:CF474&gt;=CF474, 1))</f>
        <v>1</v>
      </c>
      <c r="CK474" s="109">
        <f t="shared" si="207"/>
        <v>49161.21199527978</v>
      </c>
      <c r="CL474" s="109">
        <f t="shared" si="208"/>
        <v>50281.193494376574</v>
      </c>
      <c r="CN474" s="58">
        <f t="array" ref="CN474">SUM(IF(CK474:CL474&gt;=CK474, 1))</f>
        <v>2</v>
      </c>
      <c r="CO474" s="58">
        <f t="array" ref="CO474">SUM(IF(CK474:CL474&gt;=CL474, 1))</f>
        <v>1</v>
      </c>
      <c r="CQ474" s="109" cm="1">
        <f t="array" ref="CQ474">AF474*WTP-AC474</f>
        <v>37909.963782728453</v>
      </c>
      <c r="CR474" s="109">
        <f t="shared" si="209"/>
        <v>39757.800739567632</v>
      </c>
      <c r="CT474" s="58">
        <f t="array" ref="CT474">SUM(IF(CQ474:CR474&gt;=CQ474, 1))</f>
        <v>2</v>
      </c>
      <c r="CU474" s="58">
        <f t="array" ref="CU474">SUM(IF(CQ474:CR474&gt;=CR474, 1))</f>
        <v>1</v>
      </c>
      <c r="CW474" s="109">
        <f t="shared" si="210"/>
        <v>-48536121.07689172</v>
      </c>
      <c r="CX474" s="109">
        <f t="shared" si="211"/>
        <v>0</v>
      </c>
      <c r="CZ474" s="58">
        <f t="array" ref="CZ474">SUM(IF(CW474:CX474&gt;=CW474, 1))</f>
        <v>2</v>
      </c>
      <c r="DA474" s="58">
        <f t="array" ref="DA474">SUM(IF(CW474:CX474&gt;=CX474, 1))</f>
        <v>1</v>
      </c>
      <c r="DC474" s="109">
        <f t="shared" si="212"/>
        <v>-2661414.7025228008</v>
      </c>
      <c r="DD474" s="109">
        <f t="shared" si="213"/>
        <v>0</v>
      </c>
      <c r="DF474" s="58">
        <f t="array" ref="DF474">SUM(IF(DC474:DD474&gt;=DC474, 1))</f>
        <v>2</v>
      </c>
      <c r="DG474" s="58">
        <f t="array" ref="DG474">SUM(IF(DC474:DD474&gt;=DD474, 1))</f>
        <v>1</v>
      </c>
      <c r="DI474" s="109">
        <f t="shared" si="214"/>
        <v>-91234268.160978854</v>
      </c>
      <c r="DJ474" s="109">
        <f t="shared" si="215"/>
        <v>0</v>
      </c>
      <c r="DL474" s="58">
        <f t="array" ref="DL474">SUM(IF(DI474:DJ474&gt;=DI474, 1))</f>
        <v>2</v>
      </c>
      <c r="DM474" s="58">
        <f t="array" ref="DM474">SUM(IF(DI474:DJ474&gt;=DJ474, 1))</f>
        <v>1</v>
      </c>
      <c r="DO474" s="109">
        <f t="shared" si="216"/>
        <v>-10036671.400508614</v>
      </c>
      <c r="DP474" s="109">
        <f t="shared" si="217"/>
        <v>0</v>
      </c>
      <c r="DR474" s="58">
        <f t="array" ref="DR474">SUM(IF(DO474:DP474&gt;=DO474, 1))</f>
        <v>2</v>
      </c>
      <c r="DS474" s="58">
        <f t="array" ref="DS474">SUM(IF(DO474:DP474&gt;=DP474, 1))</f>
        <v>1</v>
      </c>
      <c r="DU474" s="109">
        <f t="shared" si="218"/>
        <v>-29442391.298614588</v>
      </c>
      <c r="DV474" s="109">
        <f t="shared" si="219"/>
        <v>0</v>
      </c>
      <c r="DX474" s="58">
        <f t="array" ref="DX474">SUM(IF(DU474:DV474&gt;=DU474, 1))</f>
        <v>2</v>
      </c>
      <c r="DY474" s="58">
        <f t="array" ref="DY474">SUM(IF(DU474:DV474&gt;=DV474, 1))</f>
        <v>1</v>
      </c>
      <c r="EA474" s="109">
        <f t="shared" si="220"/>
        <v>-181910866.63951659</v>
      </c>
      <c r="EB474" s="109">
        <f t="shared" si="221"/>
        <v>0</v>
      </c>
      <c r="ED474" s="58">
        <f t="array" ref="ED474">SUM(IF(EA474:EB474&gt;=EA474, 1))</f>
        <v>2</v>
      </c>
      <c r="EE474" s="58">
        <f t="array" ref="EE474">SUM(IF(EA474:EB474&gt;=EB474, 1))</f>
        <v>1</v>
      </c>
    </row>
    <row r="475" spans="4:135" ht="12" customHeight="1" x14ac:dyDescent="0.25">
      <c r="D475" s="11">
        <v>459</v>
      </c>
      <c r="E475" s="72">
        <v>321.49736963623866</v>
      </c>
      <c r="F475" s="72">
        <v>297.76089924233588</v>
      </c>
      <c r="G475" s="73"/>
      <c r="H475" s="74">
        <v>5.8434026538173063</v>
      </c>
      <c r="I475" s="74">
        <v>5.8592516767339866</v>
      </c>
      <c r="J475" s="73"/>
      <c r="K475" s="72">
        <v>345.28419979038534</v>
      </c>
      <c r="L475" s="72">
        <v>320.99672535162961</v>
      </c>
      <c r="M475" s="73"/>
      <c r="N475" s="74">
        <v>6.6740533984975547</v>
      </c>
      <c r="O475" s="74">
        <v>6.6882292021393308</v>
      </c>
      <c r="P475" s="73"/>
      <c r="Q475" s="72">
        <v>2321.9742005082617</v>
      </c>
      <c r="R475" s="72">
        <v>1368.05423825823</v>
      </c>
      <c r="S475" s="73"/>
      <c r="T475" s="74">
        <v>4.9697453235232869</v>
      </c>
      <c r="U475" s="74">
        <v>5.0449754772381734</v>
      </c>
      <c r="V475" s="73"/>
      <c r="W475" s="72">
        <v>16175.944691923212</v>
      </c>
      <c r="X475" s="72">
        <v>16084.431434989612</v>
      </c>
      <c r="Y475" s="73"/>
      <c r="Z475" s="74">
        <v>3.0546133490079925</v>
      </c>
      <c r="AA475" s="74">
        <v>3.086699771061284</v>
      </c>
      <c r="AB475" s="73"/>
      <c r="AC475" s="72">
        <v>50075.953359401981</v>
      </c>
      <c r="AD475" s="72">
        <v>50014.189986126825</v>
      </c>
      <c r="AE475" s="73"/>
      <c r="AF475" s="74">
        <v>4.9232960129712335</v>
      </c>
      <c r="AG475" s="74">
        <v>4.9911588634189616</v>
      </c>
      <c r="AH475" s="73"/>
      <c r="AI475" s="72">
        <v>2544212.3678013883</v>
      </c>
      <c r="AJ475" s="72">
        <v>0</v>
      </c>
      <c r="AK475" s="73"/>
      <c r="AL475" s="74">
        <v>-1698.7900666370192</v>
      </c>
      <c r="AM475" s="74">
        <v>0</v>
      </c>
      <c r="AN475" s="73"/>
      <c r="AO475" s="72">
        <v>163140.75835912547</v>
      </c>
      <c r="AP475" s="72">
        <v>0</v>
      </c>
      <c r="AQ475" s="73"/>
      <c r="AR475" s="74">
        <v>-95.21991931689206</v>
      </c>
      <c r="AS475" s="74">
        <v>0</v>
      </c>
      <c r="AT475" s="73"/>
      <c r="AU475" s="72">
        <v>22273938.464775745</v>
      </c>
      <c r="AV475" s="72">
        <v>0</v>
      </c>
      <c r="AW475" s="73"/>
      <c r="AX475" s="74">
        <v>-1756.6167821758957</v>
      </c>
      <c r="AY475" s="74">
        <v>0</v>
      </c>
      <c r="AZ475" s="73"/>
      <c r="BA475" s="72">
        <v>820059.00352815504</v>
      </c>
      <c r="BB475" s="72">
        <v>0</v>
      </c>
      <c r="BC475" s="73"/>
      <c r="BD475" s="74">
        <v>-287.5294812739312</v>
      </c>
      <c r="BE475" s="74">
        <v>0</v>
      </c>
      <c r="BF475" s="73"/>
      <c r="BG475" s="72">
        <v>1013886.9438110746</v>
      </c>
      <c r="BH475" s="72">
        <v>0</v>
      </c>
      <c r="BI475" s="73"/>
      <c r="BJ475" s="74">
        <v>-1114.0139275137533</v>
      </c>
      <c r="BK475" s="74">
        <v>0</v>
      </c>
      <c r="BL475" s="73"/>
      <c r="BM475" s="72">
        <v>26815237.538275488</v>
      </c>
      <c r="BN475" s="72">
        <v>0</v>
      </c>
      <c r="BO475" s="73"/>
      <c r="BP475" s="74">
        <v>-4952.1701769174915</v>
      </c>
      <c r="BQ475" s="74">
        <v>0</v>
      </c>
      <c r="BS475" s="109">
        <f t="shared" si="201"/>
        <v>116546.55570670989</v>
      </c>
      <c r="BT475" s="109">
        <f t="shared" si="202"/>
        <v>116887.2726354374</v>
      </c>
      <c r="BV475" s="58">
        <f t="array" ref="BV475">SUM(IF(BS475:BT475&gt;=BS475, 1))</f>
        <v>2</v>
      </c>
      <c r="BW475" s="58">
        <f t="array" ref="BW475">SUM(IF(BS475:BT475&gt;=BT475, 1))</f>
        <v>1</v>
      </c>
      <c r="BY475" s="109">
        <f t="shared" si="203"/>
        <v>133135.78377016072</v>
      </c>
      <c r="BZ475" s="109">
        <f t="shared" si="204"/>
        <v>133443.58731743498</v>
      </c>
      <c r="CB475" s="58">
        <f t="array" ref="CB475">SUM(IF(BY475:BZ475&gt;=BY475, 1))</f>
        <v>2</v>
      </c>
      <c r="CC475" s="58">
        <f t="array" ref="CC475">SUM(IF(BY475:BZ475&gt;=BZ475, 1))</f>
        <v>1</v>
      </c>
      <c r="CE475" s="109">
        <f t="shared" si="205"/>
        <v>97072.93226995747</v>
      </c>
      <c r="CF475" s="109">
        <f t="shared" si="206"/>
        <v>99531.455306505231</v>
      </c>
      <c r="CH475" s="58">
        <f t="array" ref="CH475">SUM(IF(CE475:CF475&gt;=CE475, 1))</f>
        <v>2</v>
      </c>
      <c r="CI475" s="58">
        <f t="array" ref="CI475">SUM(IF(CE475:CF475&gt;=CF475, 1))</f>
        <v>1</v>
      </c>
      <c r="CK475" s="109">
        <f t="shared" si="207"/>
        <v>44916.322288236639</v>
      </c>
      <c r="CL475" s="109">
        <f t="shared" si="208"/>
        <v>45649.563986236069</v>
      </c>
      <c r="CN475" s="58">
        <f t="array" ref="CN475">SUM(IF(CK475:CL475&gt;=CK475, 1))</f>
        <v>2</v>
      </c>
      <c r="CO475" s="58">
        <f t="array" ref="CO475">SUM(IF(CK475:CL475&gt;=CL475, 1))</f>
        <v>1</v>
      </c>
      <c r="CQ475" s="109" cm="1">
        <f t="array" ref="CQ475">AF475*WTP-AC475</f>
        <v>48389.966900022693</v>
      </c>
      <c r="CR475" s="109">
        <f t="shared" si="209"/>
        <v>49808.987282252412</v>
      </c>
      <c r="CT475" s="58">
        <f t="array" ref="CT475">SUM(IF(CQ475:CR475&gt;=CQ475, 1))</f>
        <v>2</v>
      </c>
      <c r="CU475" s="58">
        <f t="array" ref="CU475">SUM(IF(CQ475:CR475&gt;=CR475, 1))</f>
        <v>1</v>
      </c>
      <c r="CW475" s="109">
        <f t="shared" si="210"/>
        <v>-36520013.700541772</v>
      </c>
      <c r="CX475" s="109">
        <f t="shared" si="211"/>
        <v>0</v>
      </c>
      <c r="CZ475" s="58">
        <f t="array" ref="CZ475">SUM(IF(CW475:CX475&gt;=CW475, 1))</f>
        <v>2</v>
      </c>
      <c r="DA475" s="58">
        <f t="array" ref="DA475">SUM(IF(CW475:CX475&gt;=CX475, 1))</f>
        <v>1</v>
      </c>
      <c r="DC475" s="109">
        <f t="shared" si="212"/>
        <v>-2067539.1446969667</v>
      </c>
      <c r="DD475" s="109">
        <f t="shared" si="213"/>
        <v>0</v>
      </c>
      <c r="DF475" s="58">
        <f t="array" ref="DF475">SUM(IF(DC475:DD475&gt;=DC475, 1))</f>
        <v>2</v>
      </c>
      <c r="DG475" s="58">
        <f t="array" ref="DG475">SUM(IF(DC475:DD475&gt;=DD475, 1))</f>
        <v>1</v>
      </c>
      <c r="DI475" s="109">
        <f t="shared" si="214"/>
        <v>-57406274.108293653</v>
      </c>
      <c r="DJ475" s="109">
        <f t="shared" si="215"/>
        <v>0</v>
      </c>
      <c r="DL475" s="58">
        <f t="array" ref="DL475">SUM(IF(DI475:DJ475&gt;=DI475, 1))</f>
        <v>2</v>
      </c>
      <c r="DM475" s="58">
        <f t="array" ref="DM475">SUM(IF(DI475:DJ475&gt;=DJ475, 1))</f>
        <v>1</v>
      </c>
      <c r="DO475" s="109">
        <f t="shared" si="216"/>
        <v>-6570648.6290067798</v>
      </c>
      <c r="DP475" s="109">
        <f t="shared" si="217"/>
        <v>0</v>
      </c>
      <c r="DR475" s="58">
        <f t="array" ref="DR475">SUM(IF(DO475:DP475&gt;=DO475, 1))</f>
        <v>2</v>
      </c>
      <c r="DS475" s="58">
        <f t="array" ref="DS475">SUM(IF(DO475:DP475&gt;=DP475, 1))</f>
        <v>1</v>
      </c>
      <c r="DU475" s="109">
        <f t="shared" si="218"/>
        <v>-23294165.494086139</v>
      </c>
      <c r="DV475" s="109">
        <f t="shared" si="219"/>
        <v>0</v>
      </c>
      <c r="DX475" s="58">
        <f t="array" ref="DX475">SUM(IF(DU475:DV475&gt;=DU475, 1))</f>
        <v>2</v>
      </c>
      <c r="DY475" s="58">
        <f t="array" ref="DY475">SUM(IF(DU475:DV475&gt;=DV475, 1))</f>
        <v>1</v>
      </c>
      <c r="EA475" s="109">
        <f t="shared" si="220"/>
        <v>-125858641.07662532</v>
      </c>
      <c r="EB475" s="109">
        <f t="shared" si="221"/>
        <v>0</v>
      </c>
      <c r="ED475" s="58">
        <f t="array" ref="ED475">SUM(IF(EA475:EB475&gt;=EA475, 1))</f>
        <v>2</v>
      </c>
      <c r="EE475" s="58">
        <f t="array" ref="EE475">SUM(IF(EA475:EB475&gt;=EB475, 1))</f>
        <v>1</v>
      </c>
    </row>
    <row r="476" spans="4:135" ht="12" customHeight="1" x14ac:dyDescent="0.25">
      <c r="D476" s="11">
        <v>460</v>
      </c>
      <c r="E476" s="72">
        <v>250.46541858614344</v>
      </c>
      <c r="F476" s="72">
        <v>216.30219576183632</v>
      </c>
      <c r="G476" s="73"/>
      <c r="H476" s="74">
        <v>5.8515655968992819</v>
      </c>
      <c r="I476" s="74">
        <v>5.87122315554869</v>
      </c>
      <c r="J476" s="73"/>
      <c r="K476" s="72">
        <v>268.16799844244747</v>
      </c>
      <c r="L476" s="72">
        <v>233.2053023718201</v>
      </c>
      <c r="M476" s="73"/>
      <c r="N476" s="74">
        <v>6.7378372376682218</v>
      </c>
      <c r="O476" s="74">
        <v>6.7550065470093976</v>
      </c>
      <c r="P476" s="73"/>
      <c r="Q476" s="72">
        <v>3565.6122270071937</v>
      </c>
      <c r="R476" s="72">
        <v>1826.8127431737109</v>
      </c>
      <c r="S476" s="73"/>
      <c r="T476" s="74">
        <v>4.7980306812969005</v>
      </c>
      <c r="U476" s="74">
        <v>4.9225071571728458</v>
      </c>
      <c r="V476" s="73"/>
      <c r="W476" s="72">
        <v>11117.649762749184</v>
      </c>
      <c r="X476" s="72">
        <v>11117.715192535583</v>
      </c>
      <c r="Y476" s="73"/>
      <c r="Z476" s="74">
        <v>3.2083899380118623</v>
      </c>
      <c r="AA476" s="74">
        <v>3.2626011064300746</v>
      </c>
      <c r="AB476" s="73"/>
      <c r="AC476" s="72">
        <v>49398.928205823453</v>
      </c>
      <c r="AD476" s="72">
        <v>49108.231299738698</v>
      </c>
      <c r="AE476" s="73"/>
      <c r="AF476" s="74">
        <v>4.1646176816165017</v>
      </c>
      <c r="AG476" s="74">
        <v>4.3297011796224556</v>
      </c>
      <c r="AH476" s="73"/>
      <c r="AI476" s="72">
        <v>3609837.212681253</v>
      </c>
      <c r="AJ476" s="72">
        <v>0</v>
      </c>
      <c r="AK476" s="73"/>
      <c r="AL476" s="74">
        <v>-2077.1045837223869</v>
      </c>
      <c r="AM476" s="74">
        <v>0</v>
      </c>
      <c r="AN476" s="73"/>
      <c r="AO476" s="72">
        <v>226994.634041276</v>
      </c>
      <c r="AP476" s="72">
        <v>0</v>
      </c>
      <c r="AQ476" s="73"/>
      <c r="AR476" s="74">
        <v>-111.47141178039371</v>
      </c>
      <c r="AS476" s="74">
        <v>0</v>
      </c>
      <c r="AT476" s="73"/>
      <c r="AU476" s="72">
        <v>41341787.381020285</v>
      </c>
      <c r="AV476" s="72">
        <v>0</v>
      </c>
      <c r="AW476" s="73"/>
      <c r="AX476" s="74">
        <v>-2959.5591944026887</v>
      </c>
      <c r="AY476" s="74">
        <v>0</v>
      </c>
      <c r="AZ476" s="73"/>
      <c r="BA476" s="72">
        <v>-598.59547687205668</v>
      </c>
      <c r="BB476" s="72">
        <v>0</v>
      </c>
      <c r="BC476" s="73"/>
      <c r="BD476" s="74">
        <v>-495.96005118332425</v>
      </c>
      <c r="BE476" s="74">
        <v>0</v>
      </c>
      <c r="BF476" s="73"/>
      <c r="BG476" s="72">
        <v>4640479.3879047912</v>
      </c>
      <c r="BH476" s="72">
        <v>0</v>
      </c>
      <c r="BI476" s="73"/>
      <c r="BJ476" s="74">
        <v>-2635.2759652574282</v>
      </c>
      <c r="BK476" s="74">
        <v>0</v>
      </c>
      <c r="BL476" s="73"/>
      <c r="BM476" s="72">
        <v>49818500.020170733</v>
      </c>
      <c r="BN476" s="72">
        <v>0</v>
      </c>
      <c r="BO476" s="73"/>
      <c r="BP476" s="74">
        <v>-8279.3712063462226</v>
      </c>
      <c r="BQ476" s="74">
        <v>0</v>
      </c>
      <c r="BS476" s="109">
        <f t="shared" si="201"/>
        <v>116780.84651939949</v>
      </c>
      <c r="BT476" s="109">
        <f t="shared" si="202"/>
        <v>117208.16091521196</v>
      </c>
      <c r="BV476" s="58">
        <f t="array" ref="BV476">SUM(IF(BS476:BT476&gt;=BS476, 1))</f>
        <v>2</v>
      </c>
      <c r="BW476" s="58">
        <f t="array" ref="BW476">SUM(IF(BS476:BT476&gt;=BT476, 1))</f>
        <v>1</v>
      </c>
      <c r="BY476" s="109">
        <f t="shared" si="203"/>
        <v>134488.57675492199</v>
      </c>
      <c r="BZ476" s="109">
        <f t="shared" si="204"/>
        <v>134866.92563781614</v>
      </c>
      <c r="CB476" s="58">
        <f t="array" ref="CB476">SUM(IF(BY476:BZ476&gt;=BY476, 1))</f>
        <v>2</v>
      </c>
      <c r="CC476" s="58">
        <f t="array" ref="CC476">SUM(IF(BY476:BZ476&gt;=BZ476, 1))</f>
        <v>1</v>
      </c>
      <c r="CE476" s="109">
        <f t="shared" si="205"/>
        <v>92395.001398930821</v>
      </c>
      <c r="CF476" s="109">
        <f t="shared" si="206"/>
        <v>96623.330400283201</v>
      </c>
      <c r="CH476" s="58">
        <f t="array" ref="CH476">SUM(IF(CE476:CF476&gt;=CE476, 1))</f>
        <v>2</v>
      </c>
      <c r="CI476" s="58">
        <f t="array" ref="CI476">SUM(IF(CE476:CF476&gt;=CF476, 1))</f>
        <v>1</v>
      </c>
      <c r="CK476" s="109">
        <f t="shared" si="207"/>
        <v>53050.148997488061</v>
      </c>
      <c r="CL476" s="109">
        <f t="shared" si="208"/>
        <v>54134.306936065914</v>
      </c>
      <c r="CN476" s="58">
        <f t="array" ref="CN476">SUM(IF(CK476:CL476&gt;=CK476, 1))</f>
        <v>2</v>
      </c>
      <c r="CO476" s="58">
        <f t="array" ref="CO476">SUM(IF(CK476:CL476&gt;=CL476, 1))</f>
        <v>1</v>
      </c>
      <c r="CQ476" s="109" cm="1">
        <f t="array" ref="CQ476">AF476*WTP-AC476</f>
        <v>33893.425426506583</v>
      </c>
      <c r="CR476" s="109">
        <f t="shared" si="209"/>
        <v>37485.792292710415</v>
      </c>
      <c r="CT476" s="58">
        <f t="array" ref="CT476">SUM(IF(CQ476:CR476&gt;=CQ476, 1))</f>
        <v>2</v>
      </c>
      <c r="CU476" s="58">
        <f t="array" ref="CU476">SUM(IF(CQ476:CR476&gt;=CR476, 1))</f>
        <v>1</v>
      </c>
      <c r="CW476" s="109">
        <f t="shared" si="210"/>
        <v>-45151928.887128994</v>
      </c>
      <c r="CX476" s="109">
        <f t="shared" si="211"/>
        <v>0</v>
      </c>
      <c r="CZ476" s="58">
        <f t="array" ref="CZ476">SUM(IF(CW476:CX476&gt;=CW476, 1))</f>
        <v>2</v>
      </c>
      <c r="DA476" s="58">
        <f t="array" ref="DA476">SUM(IF(CW476:CX476&gt;=CX476, 1))</f>
        <v>1</v>
      </c>
      <c r="DC476" s="109">
        <f t="shared" si="212"/>
        <v>-2456422.8696491499</v>
      </c>
      <c r="DD476" s="109">
        <f t="shared" si="213"/>
        <v>0</v>
      </c>
      <c r="DF476" s="58">
        <f t="array" ref="DF476">SUM(IF(DC476:DD476&gt;=DC476, 1))</f>
        <v>2</v>
      </c>
      <c r="DG476" s="58">
        <f t="array" ref="DG476">SUM(IF(DC476:DD476&gt;=DD476, 1))</f>
        <v>1</v>
      </c>
      <c r="DI476" s="109">
        <f t="shared" si="214"/>
        <v>-100532971.26907405</v>
      </c>
      <c r="DJ476" s="109">
        <f t="shared" si="215"/>
        <v>0</v>
      </c>
      <c r="DL476" s="58">
        <f t="array" ref="DL476">SUM(IF(DI476:DJ476&gt;=DI476, 1))</f>
        <v>2</v>
      </c>
      <c r="DM476" s="58">
        <f t="array" ref="DM476">SUM(IF(DI476:DJ476&gt;=DJ476, 1))</f>
        <v>1</v>
      </c>
      <c r="DO476" s="109">
        <f t="shared" si="216"/>
        <v>-9918602.4281896129</v>
      </c>
      <c r="DP476" s="109">
        <f t="shared" si="217"/>
        <v>0</v>
      </c>
      <c r="DR476" s="58">
        <f t="array" ref="DR476">SUM(IF(DO476:DP476&gt;=DO476, 1))</f>
        <v>2</v>
      </c>
      <c r="DS476" s="58">
        <f t="array" ref="DS476">SUM(IF(DO476:DP476&gt;=DP476, 1))</f>
        <v>1</v>
      </c>
      <c r="DU476" s="109">
        <f t="shared" si="218"/>
        <v>-57345998.693053357</v>
      </c>
      <c r="DV476" s="109">
        <f t="shared" si="219"/>
        <v>0</v>
      </c>
      <c r="DX476" s="58">
        <f t="array" ref="DX476">SUM(IF(DU476:DV476&gt;=DU476, 1))</f>
        <v>2</v>
      </c>
      <c r="DY476" s="58">
        <f t="array" ref="DY476">SUM(IF(DU476:DV476&gt;=DV476, 1))</f>
        <v>1</v>
      </c>
      <c r="EA476" s="109">
        <f t="shared" si="220"/>
        <v>-215405924.1470952</v>
      </c>
      <c r="EB476" s="109">
        <f t="shared" si="221"/>
        <v>0</v>
      </c>
      <c r="ED476" s="58">
        <f t="array" ref="ED476">SUM(IF(EA476:EB476&gt;=EA476, 1))</f>
        <v>2</v>
      </c>
      <c r="EE476" s="58">
        <f t="array" ref="EE476">SUM(IF(EA476:EB476&gt;=EB476, 1))</f>
        <v>1</v>
      </c>
    </row>
    <row r="477" spans="4:135" ht="12" customHeight="1" x14ac:dyDescent="0.25">
      <c r="D477" s="11">
        <v>461</v>
      </c>
      <c r="E477" s="72">
        <v>256.52562955460343</v>
      </c>
      <c r="F477" s="72">
        <v>219.97623075532368</v>
      </c>
      <c r="G477" s="73"/>
      <c r="H477" s="74">
        <v>5.8807301502631359</v>
      </c>
      <c r="I477" s="74">
        <v>5.897320591969101</v>
      </c>
      <c r="J477" s="73"/>
      <c r="K477" s="72">
        <v>274.46726788498785</v>
      </c>
      <c r="L477" s="72">
        <v>237.06099588148058</v>
      </c>
      <c r="M477" s="73"/>
      <c r="N477" s="74">
        <v>6.7139314076952674</v>
      </c>
      <c r="O477" s="74">
        <v>6.7283555916799811</v>
      </c>
      <c r="P477" s="73"/>
      <c r="Q477" s="72">
        <v>2244.7807920475193</v>
      </c>
      <c r="R477" s="72">
        <v>1255.1188600169246</v>
      </c>
      <c r="S477" s="73"/>
      <c r="T477" s="74">
        <v>4.8907883048357652</v>
      </c>
      <c r="U477" s="74">
        <v>4.9799241813467727</v>
      </c>
      <c r="V477" s="73"/>
      <c r="W477" s="72">
        <v>12026.195005397432</v>
      </c>
      <c r="X477" s="72">
        <v>12035.563949236455</v>
      </c>
      <c r="Y477" s="73"/>
      <c r="Z477" s="74">
        <v>3.1029436106247483</v>
      </c>
      <c r="AA477" s="74">
        <v>3.15168636488891</v>
      </c>
      <c r="AB477" s="73"/>
      <c r="AC477" s="72">
        <v>49874.20918785299</v>
      </c>
      <c r="AD477" s="72">
        <v>49276.10222597712</v>
      </c>
      <c r="AE477" s="73"/>
      <c r="AF477" s="74">
        <v>4.5293593860913761</v>
      </c>
      <c r="AG477" s="74">
        <v>4.6397829801270412</v>
      </c>
      <c r="AH477" s="73"/>
      <c r="AI477" s="72">
        <v>3923733.32164416</v>
      </c>
      <c r="AJ477" s="72">
        <v>0</v>
      </c>
      <c r="AK477" s="73"/>
      <c r="AL477" s="74">
        <v>-1781.054438131353</v>
      </c>
      <c r="AM477" s="74">
        <v>0</v>
      </c>
      <c r="AN477" s="73"/>
      <c r="AO477" s="72">
        <v>249608.68026780459</v>
      </c>
      <c r="AP477" s="72">
        <v>0</v>
      </c>
      <c r="AQ477" s="73"/>
      <c r="AR477" s="74">
        <v>-96.251279144492273</v>
      </c>
      <c r="AS477" s="74">
        <v>0</v>
      </c>
      <c r="AT477" s="73"/>
      <c r="AU477" s="72">
        <v>23065320.620594237</v>
      </c>
      <c r="AV477" s="72">
        <v>0</v>
      </c>
      <c r="AW477" s="73"/>
      <c r="AX477" s="74">
        <v>-2077.4241223017202</v>
      </c>
      <c r="AY477" s="74">
        <v>0</v>
      </c>
      <c r="AZ477" s="73"/>
      <c r="BA477" s="72">
        <v>-84273.216998351054</v>
      </c>
      <c r="BB477" s="72">
        <v>0</v>
      </c>
      <c r="BC477" s="73"/>
      <c r="BD477" s="74">
        <v>-438.43882275095285</v>
      </c>
      <c r="BE477" s="74">
        <v>0</v>
      </c>
      <c r="BF477" s="73"/>
      <c r="BG477" s="72">
        <v>9192703.2609274276</v>
      </c>
      <c r="BH477" s="72">
        <v>0</v>
      </c>
      <c r="BI477" s="73"/>
      <c r="BJ477" s="74">
        <v>-1697.173578771441</v>
      </c>
      <c r="BK477" s="74">
        <v>0</v>
      </c>
      <c r="BL477" s="73"/>
      <c r="BM477" s="72">
        <v>36347092.666435279</v>
      </c>
      <c r="BN477" s="72">
        <v>0</v>
      </c>
      <c r="BO477" s="73"/>
      <c r="BP477" s="74">
        <v>-6090.3422410999592</v>
      </c>
      <c r="BQ477" s="74">
        <v>0</v>
      </c>
      <c r="BS477" s="109">
        <f t="shared" si="201"/>
        <v>117358.07737570812</v>
      </c>
      <c r="BT477" s="109">
        <f t="shared" si="202"/>
        <v>117726.43560862671</v>
      </c>
      <c r="BV477" s="58">
        <f t="array" ref="BV477">SUM(IF(BS477:BT477&gt;=BS477, 1))</f>
        <v>2</v>
      </c>
      <c r="BW477" s="58">
        <f t="array" ref="BW477">SUM(IF(BS477:BT477&gt;=BT477, 1))</f>
        <v>1</v>
      </c>
      <c r="BY477" s="109">
        <f t="shared" si="203"/>
        <v>134004.16088602037</v>
      </c>
      <c r="BZ477" s="109">
        <f t="shared" si="204"/>
        <v>134330.05083771815</v>
      </c>
      <c r="CB477" s="58">
        <f t="array" ref="CB477">SUM(IF(BY477:BZ477&gt;=BY477, 1))</f>
        <v>2</v>
      </c>
      <c r="CC477" s="58">
        <f t="array" ref="CC477">SUM(IF(BY477:BZ477&gt;=BZ477, 1))</f>
        <v>1</v>
      </c>
      <c r="CE477" s="109">
        <f t="shared" si="205"/>
        <v>95570.985304667789</v>
      </c>
      <c r="CF477" s="109">
        <f t="shared" si="206"/>
        <v>98343.36476691853</v>
      </c>
      <c r="CH477" s="58">
        <f t="array" ref="CH477">SUM(IF(CE477:CF477&gt;=CE477, 1))</f>
        <v>2</v>
      </c>
      <c r="CI477" s="58">
        <f t="array" ref="CI477">SUM(IF(CE477:CF477&gt;=CF477, 1))</f>
        <v>1</v>
      </c>
      <c r="CK477" s="109">
        <f t="shared" si="207"/>
        <v>50032.677207097528</v>
      </c>
      <c r="CL477" s="109">
        <f t="shared" si="208"/>
        <v>50998.163348541741</v>
      </c>
      <c r="CN477" s="58">
        <f t="array" ref="CN477">SUM(IF(CK477:CL477&gt;=CK477, 1))</f>
        <v>2</v>
      </c>
      <c r="CO477" s="58">
        <f t="array" ref="CO477">SUM(IF(CK477:CL477&gt;=CL477, 1))</f>
        <v>1</v>
      </c>
      <c r="CQ477" s="109" cm="1">
        <f t="array" ref="CQ477">AF477*WTP-AC477</f>
        <v>40712.978533974529</v>
      </c>
      <c r="CR477" s="109">
        <f t="shared" si="209"/>
        <v>43519.557376563702</v>
      </c>
      <c r="CT477" s="58">
        <f t="array" ref="CT477">SUM(IF(CQ477:CR477&gt;=CQ477, 1))</f>
        <v>2</v>
      </c>
      <c r="CU477" s="58">
        <f t="array" ref="CU477">SUM(IF(CQ477:CR477&gt;=CR477, 1))</f>
        <v>1</v>
      </c>
      <c r="CW477" s="109">
        <f t="shared" si="210"/>
        <v>-39544822.084271215</v>
      </c>
      <c r="CX477" s="109">
        <f t="shared" si="211"/>
        <v>0</v>
      </c>
      <c r="CZ477" s="58">
        <f t="array" ref="CZ477">SUM(IF(CW477:CX477&gt;=CW477, 1))</f>
        <v>2</v>
      </c>
      <c r="DA477" s="58">
        <f t="array" ref="DA477">SUM(IF(CW477:CX477&gt;=CX477, 1))</f>
        <v>1</v>
      </c>
      <c r="DC477" s="109">
        <f t="shared" si="212"/>
        <v>-2174634.2631576499</v>
      </c>
      <c r="DD477" s="109">
        <f t="shared" si="213"/>
        <v>0</v>
      </c>
      <c r="DF477" s="58">
        <f t="array" ref="DF477">SUM(IF(DC477:DD477&gt;=DC477, 1))</f>
        <v>2</v>
      </c>
      <c r="DG477" s="58">
        <f t="array" ref="DG477">SUM(IF(DC477:DD477&gt;=DD477, 1))</f>
        <v>1</v>
      </c>
      <c r="DI477" s="109">
        <f t="shared" si="214"/>
        <v>-64613803.066628635</v>
      </c>
      <c r="DJ477" s="109">
        <f t="shared" si="215"/>
        <v>0</v>
      </c>
      <c r="DL477" s="58">
        <f t="array" ref="DL477">SUM(IF(DI477:DJ477&gt;=DI477, 1))</f>
        <v>2</v>
      </c>
      <c r="DM477" s="58">
        <f t="array" ref="DM477">SUM(IF(DI477:DJ477&gt;=DJ477, 1))</f>
        <v>1</v>
      </c>
      <c r="DO477" s="109">
        <f t="shared" si="216"/>
        <v>-8684503.2380207051</v>
      </c>
      <c r="DP477" s="109">
        <f t="shared" si="217"/>
        <v>0</v>
      </c>
      <c r="DR477" s="58">
        <f t="array" ref="DR477">SUM(IF(DO477:DP477&gt;=DO477, 1))</f>
        <v>2</v>
      </c>
      <c r="DS477" s="58">
        <f t="array" ref="DS477">SUM(IF(DO477:DP477&gt;=DP477, 1))</f>
        <v>1</v>
      </c>
      <c r="DU477" s="109">
        <f t="shared" si="218"/>
        <v>-43136174.836356252</v>
      </c>
      <c r="DV477" s="109">
        <f t="shared" si="219"/>
        <v>0</v>
      </c>
      <c r="DX477" s="58">
        <f t="array" ref="DX477">SUM(IF(DU477:DV477&gt;=DU477, 1))</f>
        <v>2</v>
      </c>
      <c r="DY477" s="58">
        <f t="array" ref="DY477">SUM(IF(DU477:DV477&gt;=DV477, 1))</f>
        <v>1</v>
      </c>
      <c r="EA477" s="109">
        <f t="shared" si="220"/>
        <v>-158153937.48843446</v>
      </c>
      <c r="EB477" s="109">
        <f t="shared" si="221"/>
        <v>0</v>
      </c>
      <c r="ED477" s="58">
        <f t="array" ref="ED477">SUM(IF(EA477:EB477&gt;=EA477, 1))</f>
        <v>2</v>
      </c>
      <c r="EE477" s="58">
        <f t="array" ref="EE477">SUM(IF(EA477:EB477&gt;=EB477, 1))</f>
        <v>1</v>
      </c>
    </row>
    <row r="478" spans="4:135" ht="12" customHeight="1" x14ac:dyDescent="0.25">
      <c r="D478" s="11">
        <v>462</v>
      </c>
      <c r="E478" s="72">
        <v>269.87249228785902</v>
      </c>
      <c r="F478" s="72">
        <v>242.09214281808448</v>
      </c>
      <c r="G478" s="73"/>
      <c r="H478" s="74">
        <v>5.8588531319045378</v>
      </c>
      <c r="I478" s="74">
        <v>5.8754716075871487</v>
      </c>
      <c r="J478" s="73"/>
      <c r="K478" s="72">
        <v>289.3895104076168</v>
      </c>
      <c r="L478" s="72">
        <v>260.94540807650594</v>
      </c>
      <c r="M478" s="73"/>
      <c r="N478" s="74">
        <v>6.6967031464557145</v>
      </c>
      <c r="O478" s="74">
        <v>6.7111344826845487</v>
      </c>
      <c r="P478" s="73"/>
      <c r="Q478" s="72">
        <v>1309.5537728518791</v>
      </c>
      <c r="R478" s="72">
        <v>878.65150294574528</v>
      </c>
      <c r="S478" s="73"/>
      <c r="T478" s="74">
        <v>4.9548319696867562</v>
      </c>
      <c r="U478" s="74">
        <v>5.0374313549471941</v>
      </c>
      <c r="V478" s="73"/>
      <c r="W478" s="72">
        <v>11711.70016634925</v>
      </c>
      <c r="X478" s="72">
        <v>11667.423210735631</v>
      </c>
      <c r="Y478" s="73"/>
      <c r="Z478" s="74">
        <v>2.819263969749048</v>
      </c>
      <c r="AA478" s="74">
        <v>2.8497195473402632</v>
      </c>
      <c r="AB478" s="73"/>
      <c r="AC478" s="72">
        <v>51185.417053638506</v>
      </c>
      <c r="AD478" s="72">
        <v>50523.921510924803</v>
      </c>
      <c r="AE478" s="73"/>
      <c r="AF478" s="74">
        <v>4.7029441463651622</v>
      </c>
      <c r="AG478" s="74">
        <v>4.8502766883716024</v>
      </c>
      <c r="AH478" s="73"/>
      <c r="AI478" s="72">
        <v>2984468.1008377513</v>
      </c>
      <c r="AJ478" s="72">
        <v>0</v>
      </c>
      <c r="AK478" s="73"/>
      <c r="AL478" s="74">
        <v>-1785.3378919247473</v>
      </c>
      <c r="AM478" s="74">
        <v>0</v>
      </c>
      <c r="AN478" s="73"/>
      <c r="AO478" s="72">
        <v>187300.83961803297</v>
      </c>
      <c r="AP478" s="72">
        <v>0</v>
      </c>
      <c r="AQ478" s="73"/>
      <c r="AR478" s="74">
        <v>-95.028535652340224</v>
      </c>
      <c r="AS478" s="74">
        <v>0</v>
      </c>
      <c r="AT478" s="73"/>
      <c r="AU478" s="72">
        <v>9723718.8013913371</v>
      </c>
      <c r="AV478" s="72">
        <v>0</v>
      </c>
      <c r="AW478" s="73"/>
      <c r="AX478" s="74">
        <v>-1863.9335448737518</v>
      </c>
      <c r="AY478" s="74">
        <v>0</v>
      </c>
      <c r="AZ478" s="73"/>
      <c r="BA478" s="72">
        <v>398046.35312098212</v>
      </c>
      <c r="BB478" s="72">
        <v>0</v>
      </c>
      <c r="BC478" s="73"/>
      <c r="BD478" s="74">
        <v>-273.79325033466182</v>
      </c>
      <c r="BE478" s="74">
        <v>0</v>
      </c>
      <c r="BF478" s="73"/>
      <c r="BG478" s="72">
        <v>10790248.334843013</v>
      </c>
      <c r="BH478" s="72">
        <v>0</v>
      </c>
      <c r="BI478" s="73"/>
      <c r="BJ478" s="74">
        <v>-2403.273511914244</v>
      </c>
      <c r="BK478" s="74">
        <v>0</v>
      </c>
      <c r="BL478" s="73"/>
      <c r="BM478" s="72">
        <v>24083782.429811116</v>
      </c>
      <c r="BN478" s="72">
        <v>0</v>
      </c>
      <c r="BO478" s="73"/>
      <c r="BP478" s="74">
        <v>-6421.3667346997445</v>
      </c>
      <c r="BQ478" s="74">
        <v>0</v>
      </c>
      <c r="BS478" s="109">
        <f t="shared" si="201"/>
        <v>116907.1901458029</v>
      </c>
      <c r="BT478" s="109">
        <f t="shared" si="202"/>
        <v>117267.34000892489</v>
      </c>
      <c r="BV478" s="58">
        <f t="array" ref="BV478">SUM(IF(BS478:BT478&gt;=BS478, 1))</f>
        <v>2</v>
      </c>
      <c r="BW478" s="58">
        <f t="array" ref="BW478">SUM(IF(BS478:BT478&gt;=BT478, 1))</f>
        <v>1</v>
      </c>
      <c r="BY478" s="109">
        <f t="shared" si="203"/>
        <v>133644.67341870669</v>
      </c>
      <c r="BZ478" s="109">
        <f t="shared" si="204"/>
        <v>133961.74424561445</v>
      </c>
      <c r="CB478" s="58">
        <f t="array" ref="CB478">SUM(IF(BY478:BZ478&gt;=BY478, 1))</f>
        <v>2</v>
      </c>
      <c r="CC478" s="58">
        <f t="array" ref="CC478">SUM(IF(BY478:BZ478&gt;=BZ478, 1))</f>
        <v>1</v>
      </c>
      <c r="CE478" s="109">
        <f t="shared" si="205"/>
        <v>97787.085620883241</v>
      </c>
      <c r="CF478" s="109">
        <f t="shared" si="206"/>
        <v>99869.975595998127</v>
      </c>
      <c r="CH478" s="58">
        <f t="array" ref="CH478">SUM(IF(CE478:CF478&gt;=CE478, 1))</f>
        <v>2</v>
      </c>
      <c r="CI478" s="58">
        <f t="array" ref="CI478">SUM(IF(CE478:CF478&gt;=CF478, 1))</f>
        <v>1</v>
      </c>
      <c r="CK478" s="109">
        <f t="shared" si="207"/>
        <v>44673.579228631716</v>
      </c>
      <c r="CL478" s="109">
        <f t="shared" si="208"/>
        <v>45326.967736069637</v>
      </c>
      <c r="CN478" s="58">
        <f t="array" ref="CN478">SUM(IF(CK478:CL478&gt;=CK478, 1))</f>
        <v>2</v>
      </c>
      <c r="CO478" s="58">
        <f t="array" ref="CO478">SUM(IF(CK478:CL478&gt;=CL478, 1))</f>
        <v>1</v>
      </c>
      <c r="CQ478" s="109" cm="1">
        <f t="array" ref="CQ478">AF478*WTP-AC478</f>
        <v>42873.46587366474</v>
      </c>
      <c r="CR478" s="109">
        <f t="shared" si="209"/>
        <v>46481.612256507244</v>
      </c>
      <c r="CT478" s="58">
        <f t="array" ref="CT478">SUM(IF(CQ478:CR478&gt;=CQ478, 1))</f>
        <v>2</v>
      </c>
      <c r="CU478" s="58">
        <f t="array" ref="CU478">SUM(IF(CQ478:CR478&gt;=CR478, 1))</f>
        <v>1</v>
      </c>
      <c r="CW478" s="109">
        <f t="shared" si="210"/>
        <v>-38691225.939332701</v>
      </c>
      <c r="CX478" s="109">
        <f t="shared" si="211"/>
        <v>0</v>
      </c>
      <c r="CZ478" s="58">
        <f t="array" ref="CZ478">SUM(IF(CW478:CX478&gt;=CW478, 1))</f>
        <v>2</v>
      </c>
      <c r="DA478" s="58">
        <f t="array" ref="DA478">SUM(IF(CW478:CX478&gt;=CX478, 1))</f>
        <v>1</v>
      </c>
      <c r="DC478" s="109">
        <f t="shared" si="212"/>
        <v>-2087871.5526648376</v>
      </c>
      <c r="DD478" s="109">
        <f t="shared" si="213"/>
        <v>0</v>
      </c>
      <c r="DF478" s="58">
        <f t="array" ref="DF478">SUM(IF(DC478:DD478&gt;=DC478, 1))</f>
        <v>2</v>
      </c>
      <c r="DG478" s="58">
        <f t="array" ref="DG478">SUM(IF(DC478:DD478&gt;=DD478, 1))</f>
        <v>1</v>
      </c>
      <c r="DI478" s="109">
        <f t="shared" si="214"/>
        <v>-47002389.698866367</v>
      </c>
      <c r="DJ478" s="109">
        <f t="shared" si="215"/>
        <v>0</v>
      </c>
      <c r="DL478" s="58">
        <f t="array" ref="DL478">SUM(IF(DI478:DJ478&gt;=DI478, 1))</f>
        <v>2</v>
      </c>
      <c r="DM478" s="58">
        <f t="array" ref="DM478">SUM(IF(DI478:DJ478&gt;=DJ478, 1))</f>
        <v>1</v>
      </c>
      <c r="DO478" s="109">
        <f t="shared" si="216"/>
        <v>-5873911.3598142182</v>
      </c>
      <c r="DP478" s="109">
        <f t="shared" si="217"/>
        <v>0</v>
      </c>
      <c r="DR478" s="58">
        <f t="array" ref="DR478">SUM(IF(DO478:DP478&gt;=DO478, 1))</f>
        <v>2</v>
      </c>
      <c r="DS478" s="58">
        <f t="array" ref="DS478">SUM(IF(DO478:DP478&gt;=DP478, 1))</f>
        <v>1</v>
      </c>
      <c r="DU478" s="109">
        <f t="shared" si="218"/>
        <v>-58855718.573127896</v>
      </c>
      <c r="DV478" s="109">
        <f t="shared" si="219"/>
        <v>0</v>
      </c>
      <c r="DX478" s="58">
        <f t="array" ref="DX478">SUM(IF(DU478:DV478&gt;=DU478, 1))</f>
        <v>2</v>
      </c>
      <c r="DY478" s="58">
        <f t="array" ref="DY478">SUM(IF(DU478:DV478&gt;=DV478, 1))</f>
        <v>1</v>
      </c>
      <c r="EA478" s="109">
        <f t="shared" si="220"/>
        <v>-152511117.123806</v>
      </c>
      <c r="EB478" s="109">
        <f t="shared" si="221"/>
        <v>0</v>
      </c>
      <c r="ED478" s="58">
        <f t="array" ref="ED478">SUM(IF(EA478:EB478&gt;=EA478, 1))</f>
        <v>2</v>
      </c>
      <c r="EE478" s="58">
        <f t="array" ref="EE478">SUM(IF(EA478:EB478&gt;=EB478, 1))</f>
        <v>1</v>
      </c>
    </row>
    <row r="479" spans="4:135" ht="12" customHeight="1" x14ac:dyDescent="0.25">
      <c r="D479" s="11">
        <v>463</v>
      </c>
      <c r="E479" s="72">
        <v>268.77502763510211</v>
      </c>
      <c r="F479" s="72">
        <v>251.11903259078116</v>
      </c>
      <c r="G479" s="73"/>
      <c r="H479" s="74">
        <v>5.8529115029581238</v>
      </c>
      <c r="I479" s="74">
        <v>5.8680263033735196</v>
      </c>
      <c r="J479" s="73"/>
      <c r="K479" s="72">
        <v>288.90179371475449</v>
      </c>
      <c r="L479" s="72">
        <v>270.8062845043828</v>
      </c>
      <c r="M479" s="73"/>
      <c r="N479" s="74">
        <v>6.6724653143503616</v>
      </c>
      <c r="O479" s="74">
        <v>6.6856082208219529</v>
      </c>
      <c r="P479" s="73"/>
      <c r="Q479" s="72">
        <v>2613.8730842380587</v>
      </c>
      <c r="R479" s="72">
        <v>1316.7036764319398</v>
      </c>
      <c r="S479" s="73"/>
      <c r="T479" s="74">
        <v>4.7126988641015686</v>
      </c>
      <c r="U479" s="74">
        <v>4.8521432808589262</v>
      </c>
      <c r="V479" s="73"/>
      <c r="W479" s="72">
        <v>9829.1412037619502</v>
      </c>
      <c r="X479" s="72">
        <v>9855.4712087902408</v>
      </c>
      <c r="Y479" s="73"/>
      <c r="Z479" s="74">
        <v>3.0672223465696007</v>
      </c>
      <c r="AA479" s="74">
        <v>3.1144758582702234</v>
      </c>
      <c r="AB479" s="73"/>
      <c r="AC479" s="72">
        <v>51457.856535981737</v>
      </c>
      <c r="AD479" s="72">
        <v>51124.724258390161</v>
      </c>
      <c r="AE479" s="73"/>
      <c r="AF479" s="74">
        <v>4.5213639044858516</v>
      </c>
      <c r="AG479" s="74">
        <v>4.637251049235152</v>
      </c>
      <c r="AH479" s="73"/>
      <c r="AI479" s="72">
        <v>1884465.6573440712</v>
      </c>
      <c r="AJ479" s="72">
        <v>0</v>
      </c>
      <c r="AK479" s="73"/>
      <c r="AL479" s="74">
        <v>-1613.2380094649482</v>
      </c>
      <c r="AM479" s="74">
        <v>0</v>
      </c>
      <c r="AN479" s="73"/>
      <c r="AO479" s="72">
        <v>119928.63532663471</v>
      </c>
      <c r="AP479" s="72">
        <v>0</v>
      </c>
      <c r="AQ479" s="73"/>
      <c r="AR479" s="74">
        <v>-87.105083313163547</v>
      </c>
      <c r="AS479" s="74">
        <v>0</v>
      </c>
      <c r="AT479" s="73"/>
      <c r="AU479" s="72">
        <v>29357295.23302675</v>
      </c>
      <c r="AV479" s="72">
        <v>0</v>
      </c>
      <c r="AW479" s="73"/>
      <c r="AX479" s="74">
        <v>-3155.8799388173948</v>
      </c>
      <c r="AY479" s="74">
        <v>0</v>
      </c>
      <c r="AZ479" s="73"/>
      <c r="BA479" s="72">
        <v>-241848.15369914789</v>
      </c>
      <c r="BB479" s="72">
        <v>0</v>
      </c>
      <c r="BC479" s="73"/>
      <c r="BD479" s="74">
        <v>-434.03617083694343</v>
      </c>
      <c r="BE479" s="74">
        <v>0</v>
      </c>
      <c r="BF479" s="73"/>
      <c r="BG479" s="72">
        <v>5287193.6949355099</v>
      </c>
      <c r="BH479" s="72">
        <v>0</v>
      </c>
      <c r="BI479" s="73"/>
      <c r="BJ479" s="74">
        <v>-1839.2627261228015</v>
      </c>
      <c r="BK479" s="74">
        <v>0</v>
      </c>
      <c r="BL479" s="73"/>
      <c r="BM479" s="72">
        <v>36407035.066933818</v>
      </c>
      <c r="BN479" s="72">
        <v>0</v>
      </c>
      <c r="BO479" s="73"/>
      <c r="BP479" s="74">
        <v>-7129.5219285552521</v>
      </c>
      <c r="BQ479" s="74">
        <v>0</v>
      </c>
      <c r="BS479" s="109">
        <f t="shared" si="201"/>
        <v>116789.45503152738</v>
      </c>
      <c r="BT479" s="109">
        <f t="shared" si="202"/>
        <v>117109.40703487961</v>
      </c>
      <c r="BV479" s="58">
        <f t="array" ref="BV479">SUM(IF(BS479:BT479&gt;=BS479, 1))</f>
        <v>2</v>
      </c>
      <c r="BW479" s="58">
        <f t="array" ref="BW479">SUM(IF(BS479:BT479&gt;=BT479, 1))</f>
        <v>1</v>
      </c>
      <c r="BY479" s="109">
        <f t="shared" si="203"/>
        <v>133160.40449329247</v>
      </c>
      <c r="BZ479" s="109">
        <f t="shared" si="204"/>
        <v>133441.35813193466</v>
      </c>
      <c r="CB479" s="58">
        <f t="array" ref="CB479">SUM(IF(BY479:BZ479&gt;=BY479, 1))</f>
        <v>2</v>
      </c>
      <c r="CC479" s="58">
        <f t="array" ref="CC479">SUM(IF(BY479:BZ479&gt;=BZ479, 1))</f>
        <v>1</v>
      </c>
      <c r="CE479" s="109">
        <f t="shared" si="205"/>
        <v>91640.104197793306</v>
      </c>
      <c r="CF479" s="109">
        <f t="shared" si="206"/>
        <v>95726.161940746591</v>
      </c>
      <c r="CH479" s="58">
        <f t="array" ref="CH479">SUM(IF(CE479:CF479&gt;=CE479, 1))</f>
        <v>2</v>
      </c>
      <c r="CI479" s="58">
        <f t="array" ref="CI479">SUM(IF(CE479:CF479&gt;=CF479, 1))</f>
        <v>1</v>
      </c>
      <c r="CK479" s="109">
        <f t="shared" si="207"/>
        <v>51515.305727630061</v>
      </c>
      <c r="CL479" s="109">
        <f t="shared" si="208"/>
        <v>52434.045956614224</v>
      </c>
      <c r="CN479" s="58">
        <f t="array" ref="CN479">SUM(IF(CK479:CL479&gt;=CK479, 1))</f>
        <v>2</v>
      </c>
      <c r="CO479" s="58">
        <f t="array" ref="CO479">SUM(IF(CK479:CL479&gt;=CL479, 1))</f>
        <v>1</v>
      </c>
      <c r="CQ479" s="109" cm="1">
        <f t="array" ref="CQ479">AF479*WTP-AC479</f>
        <v>38969.421553735294</v>
      </c>
      <c r="CR479" s="109">
        <f t="shared" si="209"/>
        <v>41620.296726312874</v>
      </c>
      <c r="CT479" s="58">
        <f t="array" ref="CT479">SUM(IF(CQ479:CR479&gt;=CQ479, 1))</f>
        <v>2</v>
      </c>
      <c r="CU479" s="58">
        <f t="array" ref="CU479">SUM(IF(CQ479:CR479&gt;=CR479, 1))</f>
        <v>1</v>
      </c>
      <c r="CW479" s="109">
        <f t="shared" si="210"/>
        <v>-34149225.846643038</v>
      </c>
      <c r="CX479" s="109">
        <f t="shared" si="211"/>
        <v>0</v>
      </c>
      <c r="CZ479" s="58">
        <f t="array" ref="CZ479">SUM(IF(CW479:CX479&gt;=CW479, 1))</f>
        <v>2</v>
      </c>
      <c r="DA479" s="58">
        <f t="array" ref="DA479">SUM(IF(CW479:CX479&gt;=CX479, 1))</f>
        <v>1</v>
      </c>
      <c r="DC479" s="109">
        <f t="shared" si="212"/>
        <v>-1862030.3015899055</v>
      </c>
      <c r="DD479" s="109">
        <f t="shared" si="213"/>
        <v>0</v>
      </c>
      <c r="DF479" s="58">
        <f t="array" ref="DF479">SUM(IF(DC479:DD479&gt;=DC479, 1))</f>
        <v>2</v>
      </c>
      <c r="DG479" s="58">
        <f t="array" ref="DG479">SUM(IF(DC479:DD479&gt;=DD479, 1))</f>
        <v>1</v>
      </c>
      <c r="DI479" s="109">
        <f t="shared" si="214"/>
        <v>-92474894.009374648</v>
      </c>
      <c r="DJ479" s="109">
        <f t="shared" si="215"/>
        <v>0</v>
      </c>
      <c r="DL479" s="58">
        <f t="array" ref="DL479">SUM(IF(DI479:DJ479&gt;=DI479, 1))</f>
        <v>2</v>
      </c>
      <c r="DM479" s="58">
        <f t="array" ref="DM479">SUM(IF(DI479:DJ479&gt;=DJ479, 1))</f>
        <v>1</v>
      </c>
      <c r="DO479" s="109">
        <f t="shared" si="216"/>
        <v>-8438875.2630397193</v>
      </c>
      <c r="DP479" s="109">
        <f t="shared" si="217"/>
        <v>0</v>
      </c>
      <c r="DR479" s="58">
        <f t="array" ref="DR479">SUM(IF(DO479:DP479&gt;=DO479, 1))</f>
        <v>2</v>
      </c>
      <c r="DS479" s="58">
        <f t="array" ref="DS479">SUM(IF(DO479:DP479&gt;=DP479, 1))</f>
        <v>1</v>
      </c>
      <c r="DU479" s="109">
        <f t="shared" si="218"/>
        <v>-42072448.217391536</v>
      </c>
      <c r="DV479" s="109">
        <f t="shared" si="219"/>
        <v>0</v>
      </c>
      <c r="DX479" s="58">
        <f t="array" ref="DX479">SUM(IF(DU479:DV479&gt;=DU479, 1))</f>
        <v>2</v>
      </c>
      <c r="DY479" s="58">
        <f t="array" ref="DY479">SUM(IF(DU479:DV479&gt;=DV479, 1))</f>
        <v>1</v>
      </c>
      <c r="EA479" s="109">
        <f t="shared" si="220"/>
        <v>-178997473.63803884</v>
      </c>
      <c r="EB479" s="109">
        <f t="shared" si="221"/>
        <v>0</v>
      </c>
      <c r="ED479" s="58">
        <f t="array" ref="ED479">SUM(IF(EA479:EB479&gt;=EA479, 1))</f>
        <v>2</v>
      </c>
      <c r="EE479" s="58">
        <f t="array" ref="EE479">SUM(IF(EA479:EB479&gt;=EB479, 1))</f>
        <v>1</v>
      </c>
    </row>
    <row r="480" spans="4:135" ht="12" customHeight="1" x14ac:dyDescent="0.25">
      <c r="D480" s="11">
        <v>464</v>
      </c>
      <c r="E480" s="72">
        <v>300.10726634749989</v>
      </c>
      <c r="F480" s="72">
        <v>289.95983633291178</v>
      </c>
      <c r="G480" s="73"/>
      <c r="H480" s="74">
        <v>5.8756611612747696</v>
      </c>
      <c r="I480" s="74">
        <v>5.8892742555705766</v>
      </c>
      <c r="J480" s="73"/>
      <c r="K480" s="72">
        <v>323.15144386401528</v>
      </c>
      <c r="L480" s="72">
        <v>312.73037113691998</v>
      </c>
      <c r="M480" s="73"/>
      <c r="N480" s="74">
        <v>6.6606558010405532</v>
      </c>
      <c r="O480" s="74">
        <v>6.6723845048384867</v>
      </c>
      <c r="P480" s="73"/>
      <c r="Q480" s="72">
        <v>3339.9203405313292</v>
      </c>
      <c r="R480" s="72">
        <v>1711.0880681326205</v>
      </c>
      <c r="S480" s="73"/>
      <c r="T480" s="74">
        <v>4.8454242931698772</v>
      </c>
      <c r="U480" s="74">
        <v>4.953945449945647</v>
      </c>
      <c r="V480" s="73"/>
      <c r="W480" s="72">
        <v>15093.618562758389</v>
      </c>
      <c r="X480" s="72">
        <v>15048.5041589021</v>
      </c>
      <c r="Y480" s="73"/>
      <c r="Z480" s="74">
        <v>2.8442430806069563</v>
      </c>
      <c r="AA480" s="74">
        <v>2.87756629728813</v>
      </c>
      <c r="AB480" s="73"/>
      <c r="AC480" s="72">
        <v>51474.89042620152</v>
      </c>
      <c r="AD480" s="72">
        <v>51079.744679905911</v>
      </c>
      <c r="AE480" s="73"/>
      <c r="AF480" s="74">
        <v>4.8427532640641653</v>
      </c>
      <c r="AG480" s="74">
        <v>5.0133156727754002</v>
      </c>
      <c r="AH480" s="73"/>
      <c r="AI480" s="72">
        <v>1094329.0172807288</v>
      </c>
      <c r="AJ480" s="72">
        <v>0</v>
      </c>
      <c r="AK480" s="73"/>
      <c r="AL480" s="74">
        <v>-1468.076555488823</v>
      </c>
      <c r="AM480" s="74">
        <v>0</v>
      </c>
      <c r="AN480" s="73"/>
      <c r="AO480" s="72">
        <v>72207.650636614795</v>
      </c>
      <c r="AP480" s="72">
        <v>0</v>
      </c>
      <c r="AQ480" s="73"/>
      <c r="AR480" s="74">
        <v>-81.268231058356307</v>
      </c>
      <c r="AS480" s="74">
        <v>0</v>
      </c>
      <c r="AT480" s="73"/>
      <c r="AU480" s="72">
        <v>37792210.982832529</v>
      </c>
      <c r="AV480" s="72">
        <v>0</v>
      </c>
      <c r="AW480" s="73"/>
      <c r="AX480" s="74">
        <v>-2517.9108509013045</v>
      </c>
      <c r="AY480" s="74">
        <v>0</v>
      </c>
      <c r="AZ480" s="73"/>
      <c r="BA480" s="72">
        <v>406904.45004474832</v>
      </c>
      <c r="BB480" s="72">
        <v>0</v>
      </c>
      <c r="BC480" s="73"/>
      <c r="BD480" s="74">
        <v>-300.55512205299391</v>
      </c>
      <c r="BE480" s="74">
        <v>0</v>
      </c>
      <c r="BF480" s="73"/>
      <c r="BG480" s="72">
        <v>6192689.3042734722</v>
      </c>
      <c r="BH480" s="72">
        <v>0</v>
      </c>
      <c r="BI480" s="73"/>
      <c r="BJ480" s="74">
        <v>-2673.0390344301195</v>
      </c>
      <c r="BK480" s="74">
        <v>0</v>
      </c>
      <c r="BL480" s="73"/>
      <c r="BM480" s="72">
        <v>45558341.405068092</v>
      </c>
      <c r="BN480" s="72">
        <v>0</v>
      </c>
      <c r="BO480" s="73"/>
      <c r="BP480" s="74">
        <v>-7040.8497939315976</v>
      </c>
      <c r="BQ480" s="74">
        <v>0</v>
      </c>
      <c r="BS480" s="109">
        <f t="shared" si="201"/>
        <v>117213.11595914788</v>
      </c>
      <c r="BT480" s="109">
        <f t="shared" si="202"/>
        <v>117495.52527507862</v>
      </c>
      <c r="BV480" s="58">
        <f t="array" ref="BV480">SUM(IF(BS480:BT480&gt;=BS480, 1))</f>
        <v>2</v>
      </c>
      <c r="BW480" s="58">
        <f t="array" ref="BW480">SUM(IF(BS480:BT480&gt;=BT480, 1))</f>
        <v>1</v>
      </c>
      <c r="BY480" s="109">
        <f t="shared" si="203"/>
        <v>132889.96457694704</v>
      </c>
      <c r="BZ480" s="109">
        <f t="shared" si="204"/>
        <v>133134.95972563283</v>
      </c>
      <c r="CB480" s="58">
        <f t="array" ref="CB480">SUM(IF(BY480:BZ480&gt;=BY480, 1))</f>
        <v>2</v>
      </c>
      <c r="CC480" s="58">
        <f t="array" ref="CC480">SUM(IF(BY480:BZ480&gt;=BZ480, 1))</f>
        <v>1</v>
      </c>
      <c r="CE480" s="109">
        <f t="shared" si="205"/>
        <v>93568.565522866207</v>
      </c>
      <c r="CF480" s="109">
        <f t="shared" si="206"/>
        <v>97367.820930780319</v>
      </c>
      <c r="CH480" s="58">
        <f t="array" ref="CH480">SUM(IF(CE480:CF480&gt;=CE480, 1))</f>
        <v>2</v>
      </c>
      <c r="CI480" s="58">
        <f t="array" ref="CI480">SUM(IF(CE480:CF480&gt;=CF480, 1))</f>
        <v>1</v>
      </c>
      <c r="CK480" s="109">
        <f t="shared" si="207"/>
        <v>41791.243049380733</v>
      </c>
      <c r="CL480" s="109">
        <f t="shared" si="208"/>
        <v>42502.821786860499</v>
      </c>
      <c r="CN480" s="58">
        <f t="array" ref="CN480">SUM(IF(CK480:CL480&gt;=CK480, 1))</f>
        <v>2</v>
      </c>
      <c r="CO480" s="58">
        <f t="array" ref="CO480">SUM(IF(CK480:CL480&gt;=CL480, 1))</f>
        <v>1</v>
      </c>
      <c r="CQ480" s="109" cm="1">
        <f t="array" ref="CQ480">AF480*WTP-AC480</f>
        <v>45380.174855081779</v>
      </c>
      <c r="CR480" s="109">
        <f t="shared" si="209"/>
        <v>49186.568775602093</v>
      </c>
      <c r="CT480" s="58">
        <f t="array" ref="CT480">SUM(IF(CQ480:CR480&gt;=CQ480, 1))</f>
        <v>2</v>
      </c>
      <c r="CU480" s="58">
        <f t="array" ref="CU480">SUM(IF(CQ480:CR480&gt;=CR480, 1))</f>
        <v>1</v>
      </c>
      <c r="CW480" s="109">
        <f t="shared" si="210"/>
        <v>-30455860.127057187</v>
      </c>
      <c r="CX480" s="109">
        <f t="shared" si="211"/>
        <v>0</v>
      </c>
      <c r="CZ480" s="58">
        <f t="array" ref="CZ480">SUM(IF(CW480:CX480&gt;=CW480, 1))</f>
        <v>2</v>
      </c>
      <c r="DA480" s="58">
        <f t="array" ref="DA480">SUM(IF(CW480:CX480&gt;=CX480, 1))</f>
        <v>1</v>
      </c>
      <c r="DC480" s="109">
        <f t="shared" si="212"/>
        <v>-1697572.2718037409</v>
      </c>
      <c r="DD480" s="109">
        <f t="shared" si="213"/>
        <v>0</v>
      </c>
      <c r="DF480" s="58">
        <f t="array" ref="DF480">SUM(IF(DC480:DD480&gt;=DC480, 1))</f>
        <v>2</v>
      </c>
      <c r="DG480" s="58">
        <f t="array" ref="DG480">SUM(IF(DC480:DD480&gt;=DD480, 1))</f>
        <v>1</v>
      </c>
      <c r="DI480" s="109">
        <f t="shared" si="214"/>
        <v>-88150428.00085862</v>
      </c>
      <c r="DJ480" s="109">
        <f t="shared" si="215"/>
        <v>0</v>
      </c>
      <c r="DL480" s="58">
        <f t="array" ref="DL480">SUM(IF(DI480:DJ480&gt;=DI480, 1))</f>
        <v>2</v>
      </c>
      <c r="DM480" s="58">
        <f t="array" ref="DM480">SUM(IF(DI480:DJ480&gt;=DJ480, 1))</f>
        <v>1</v>
      </c>
      <c r="DO480" s="109">
        <f t="shared" si="216"/>
        <v>-6418006.8911046265</v>
      </c>
      <c r="DP480" s="109">
        <f t="shared" si="217"/>
        <v>0</v>
      </c>
      <c r="DR480" s="58">
        <f t="array" ref="DR480">SUM(IF(DO480:DP480&gt;=DO480, 1))</f>
        <v>2</v>
      </c>
      <c r="DS480" s="58">
        <f t="array" ref="DS480">SUM(IF(DO480:DP480&gt;=DP480, 1))</f>
        <v>1</v>
      </c>
      <c r="DU480" s="109">
        <f t="shared" si="218"/>
        <v>-59653469.992875859</v>
      </c>
      <c r="DV480" s="109">
        <f t="shared" si="219"/>
        <v>0</v>
      </c>
      <c r="DX480" s="58">
        <f t="array" ref="DX480">SUM(IF(DU480:DV480&gt;=DU480, 1))</f>
        <v>2</v>
      </c>
      <c r="DY480" s="58">
        <f t="array" ref="DY480">SUM(IF(DU480:DV480&gt;=DV480, 1))</f>
        <v>1</v>
      </c>
      <c r="EA480" s="109">
        <f t="shared" si="220"/>
        <v>-186375337.28370005</v>
      </c>
      <c r="EB480" s="109">
        <f t="shared" si="221"/>
        <v>0</v>
      </c>
      <c r="ED480" s="58">
        <f t="array" ref="ED480">SUM(IF(EA480:EB480&gt;=EA480, 1))</f>
        <v>2</v>
      </c>
      <c r="EE480" s="58">
        <f t="array" ref="EE480">SUM(IF(EA480:EB480&gt;=EB480, 1))</f>
        <v>1</v>
      </c>
    </row>
    <row r="481" spans="4:135" ht="12" customHeight="1" x14ac:dyDescent="0.25">
      <c r="D481" s="11">
        <v>465</v>
      </c>
      <c r="E481" s="72">
        <v>323.40551317319142</v>
      </c>
      <c r="F481" s="72">
        <v>292.47811555086645</v>
      </c>
      <c r="G481" s="73"/>
      <c r="H481" s="74">
        <v>5.7866557206772562</v>
      </c>
      <c r="I481" s="74">
        <v>5.8012570769313543</v>
      </c>
      <c r="J481" s="73"/>
      <c r="K481" s="72">
        <v>346.91571687323102</v>
      </c>
      <c r="L481" s="72">
        <v>315.19208242116378</v>
      </c>
      <c r="M481" s="73"/>
      <c r="N481" s="74">
        <v>6.7400957250554763</v>
      </c>
      <c r="O481" s="74">
        <v>6.7520400709514696</v>
      </c>
      <c r="P481" s="73"/>
      <c r="Q481" s="72">
        <v>3609.3188114036752</v>
      </c>
      <c r="R481" s="72">
        <v>1683.2579104841152</v>
      </c>
      <c r="S481" s="73"/>
      <c r="T481" s="74">
        <v>4.7782324634767379</v>
      </c>
      <c r="U481" s="74">
        <v>4.8838447068422459</v>
      </c>
      <c r="V481" s="73"/>
      <c r="W481" s="72">
        <v>10178.242395629031</v>
      </c>
      <c r="X481" s="72">
        <v>10221.63863665873</v>
      </c>
      <c r="Y481" s="73"/>
      <c r="Z481" s="74">
        <v>3.1092626786058419</v>
      </c>
      <c r="AA481" s="74">
        <v>3.1780265761762196</v>
      </c>
      <c r="AB481" s="73"/>
      <c r="AC481" s="72">
        <v>50459.586937003558</v>
      </c>
      <c r="AD481" s="72">
        <v>50075.183132088772</v>
      </c>
      <c r="AE481" s="73"/>
      <c r="AF481" s="74">
        <v>4.5670191618734126</v>
      </c>
      <c r="AG481" s="74">
        <v>4.668819574192077</v>
      </c>
      <c r="AH481" s="73"/>
      <c r="AI481" s="72">
        <v>3385872.1885950039</v>
      </c>
      <c r="AJ481" s="72">
        <v>0</v>
      </c>
      <c r="AK481" s="73"/>
      <c r="AL481" s="74">
        <v>-1598.5284846867078</v>
      </c>
      <c r="AM481" s="74">
        <v>0</v>
      </c>
      <c r="AN481" s="73"/>
      <c r="AO481" s="72">
        <v>216443.50963597037</v>
      </c>
      <c r="AP481" s="72">
        <v>0</v>
      </c>
      <c r="AQ481" s="73"/>
      <c r="AR481" s="74">
        <v>-81.493693603770993</v>
      </c>
      <c r="AS481" s="74">
        <v>0</v>
      </c>
      <c r="AT481" s="73"/>
      <c r="AU481" s="72">
        <v>43374163.857908018</v>
      </c>
      <c r="AV481" s="72">
        <v>0</v>
      </c>
      <c r="AW481" s="73"/>
      <c r="AX481" s="74">
        <v>-2378.3478222052945</v>
      </c>
      <c r="AY481" s="74">
        <v>0</v>
      </c>
      <c r="AZ481" s="73"/>
      <c r="BA481" s="72">
        <v>-376988.76425893471</v>
      </c>
      <c r="BB481" s="72">
        <v>0</v>
      </c>
      <c r="BC481" s="73"/>
      <c r="BD481" s="74">
        <v>-597.36088093306569</v>
      </c>
      <c r="BE481" s="74">
        <v>0</v>
      </c>
      <c r="BF481" s="73"/>
      <c r="BG481" s="72">
        <v>5953355.5305531286</v>
      </c>
      <c r="BH481" s="72">
        <v>0</v>
      </c>
      <c r="BI481" s="73"/>
      <c r="BJ481" s="74">
        <v>-1576.6078273451515</v>
      </c>
      <c r="BK481" s="74">
        <v>0</v>
      </c>
      <c r="BL481" s="73"/>
      <c r="BM481" s="72">
        <v>52552846.322433189</v>
      </c>
      <c r="BN481" s="72">
        <v>0</v>
      </c>
      <c r="BO481" s="73"/>
      <c r="BP481" s="74">
        <v>-6232.3387087739902</v>
      </c>
      <c r="BQ481" s="74">
        <v>0</v>
      </c>
      <c r="BS481" s="109">
        <f t="shared" si="201"/>
        <v>115409.70890037193</v>
      </c>
      <c r="BT481" s="109">
        <f t="shared" si="202"/>
        <v>115732.66342307621</v>
      </c>
      <c r="BV481" s="58">
        <f t="array" ref="BV481">SUM(IF(BS481:BT481&gt;=BS481, 1))</f>
        <v>2</v>
      </c>
      <c r="BW481" s="58">
        <f t="array" ref="BW481">SUM(IF(BS481:BT481&gt;=BT481, 1))</f>
        <v>1</v>
      </c>
      <c r="BY481" s="109">
        <f t="shared" si="203"/>
        <v>134454.99878423632</v>
      </c>
      <c r="BZ481" s="109">
        <f t="shared" si="204"/>
        <v>134725.60933660824</v>
      </c>
      <c r="CB481" s="58">
        <f t="array" ref="CB481">SUM(IF(BY481:BZ481&gt;=BY481, 1))</f>
        <v>2</v>
      </c>
      <c r="CC481" s="58">
        <f t="array" ref="CC481">SUM(IF(BY481:BZ481&gt;=BZ481, 1))</f>
        <v>1</v>
      </c>
      <c r="CE481" s="109">
        <f t="shared" si="205"/>
        <v>91955.33045813108</v>
      </c>
      <c r="CF481" s="109">
        <f t="shared" si="206"/>
        <v>95993.636226360803</v>
      </c>
      <c r="CH481" s="58">
        <f t="array" ref="CH481">SUM(IF(CE481:CF481&gt;=CE481, 1))</f>
        <v>2</v>
      </c>
      <c r="CI481" s="58">
        <f t="array" ref="CI481">SUM(IF(CE481:CF481&gt;=CF481, 1))</f>
        <v>1</v>
      </c>
      <c r="CK481" s="109">
        <f t="shared" si="207"/>
        <v>52007.011176487809</v>
      </c>
      <c r="CL481" s="109">
        <f t="shared" si="208"/>
        <v>53338.892886865659</v>
      </c>
      <c r="CN481" s="58">
        <f t="array" ref="CN481">SUM(IF(CK481:CL481&gt;=CK481, 1))</f>
        <v>2</v>
      </c>
      <c r="CO481" s="58">
        <f t="array" ref="CO481">SUM(IF(CK481:CL481&gt;=CL481, 1))</f>
        <v>1</v>
      </c>
      <c r="CQ481" s="109" cm="1">
        <f t="array" ref="CQ481">AF481*WTP-AC481</f>
        <v>40880.796300464695</v>
      </c>
      <c r="CR481" s="109">
        <f t="shared" si="209"/>
        <v>43301.208351752764</v>
      </c>
      <c r="CT481" s="58">
        <f t="array" ref="CT481">SUM(IF(CQ481:CR481&gt;=CQ481, 1))</f>
        <v>2</v>
      </c>
      <c r="CU481" s="58">
        <f t="array" ref="CU481">SUM(IF(CQ481:CR481&gt;=CR481, 1))</f>
        <v>1</v>
      </c>
      <c r="CW481" s="109">
        <f t="shared" si="210"/>
        <v>-35356441.882329158</v>
      </c>
      <c r="CX481" s="109">
        <f t="shared" si="211"/>
        <v>0</v>
      </c>
      <c r="CZ481" s="58">
        <f t="array" ref="CZ481">SUM(IF(CW481:CX481&gt;=CW481, 1))</f>
        <v>2</v>
      </c>
      <c r="DA481" s="58">
        <f t="array" ref="DA481">SUM(IF(CW481:CX481&gt;=CX481, 1))</f>
        <v>1</v>
      </c>
      <c r="DC481" s="109">
        <f t="shared" si="212"/>
        <v>-1846317.3817113903</v>
      </c>
      <c r="DD481" s="109">
        <f t="shared" si="213"/>
        <v>0</v>
      </c>
      <c r="DF481" s="58">
        <f t="array" ref="DF481">SUM(IF(DC481:DD481&gt;=DC481, 1))</f>
        <v>2</v>
      </c>
      <c r="DG481" s="58">
        <f t="array" ref="DG481">SUM(IF(DC481:DD481&gt;=DD481, 1))</f>
        <v>1</v>
      </c>
      <c r="DI481" s="109">
        <f t="shared" si="214"/>
        <v>-90941120.302013904</v>
      </c>
      <c r="DJ481" s="109">
        <f t="shared" si="215"/>
        <v>0</v>
      </c>
      <c r="DL481" s="58">
        <f t="array" ref="DL481">SUM(IF(DI481:DJ481&gt;=DI481, 1))</f>
        <v>2</v>
      </c>
      <c r="DM481" s="58">
        <f t="array" ref="DM481">SUM(IF(DI481:DJ481&gt;=DJ481, 1))</f>
        <v>1</v>
      </c>
      <c r="DO481" s="109">
        <f t="shared" si="216"/>
        <v>-11570228.85440238</v>
      </c>
      <c r="DP481" s="109">
        <f t="shared" si="217"/>
        <v>0</v>
      </c>
      <c r="DR481" s="58">
        <f t="array" ref="DR481">SUM(IF(DO481:DP481&gt;=DO481, 1))</f>
        <v>2</v>
      </c>
      <c r="DS481" s="58">
        <f t="array" ref="DS481">SUM(IF(DO481:DP481&gt;=DP481, 1))</f>
        <v>1</v>
      </c>
      <c r="DU481" s="109">
        <f t="shared" si="218"/>
        <v>-37485512.077456161</v>
      </c>
      <c r="DV481" s="109">
        <f t="shared" si="219"/>
        <v>0</v>
      </c>
      <c r="DX481" s="58">
        <f t="array" ref="DX481">SUM(IF(DU481:DV481&gt;=DU481, 1))</f>
        <v>2</v>
      </c>
      <c r="DY481" s="58">
        <f t="array" ref="DY481">SUM(IF(DU481:DV481&gt;=DV481, 1))</f>
        <v>1</v>
      </c>
      <c r="EA481" s="109">
        <f t="shared" si="220"/>
        <v>-177199620.497913</v>
      </c>
      <c r="EB481" s="109">
        <f t="shared" si="221"/>
        <v>0</v>
      </c>
      <c r="ED481" s="58">
        <f t="array" ref="ED481">SUM(IF(EA481:EB481&gt;=EA481, 1))</f>
        <v>2</v>
      </c>
      <c r="EE481" s="58">
        <f t="array" ref="EE481">SUM(IF(EA481:EB481&gt;=EB481, 1))</f>
        <v>1</v>
      </c>
    </row>
    <row r="482" spans="4:135" ht="12" customHeight="1" x14ac:dyDescent="0.25">
      <c r="D482" s="11">
        <v>466</v>
      </c>
      <c r="E482" s="72">
        <v>287.66980754831712</v>
      </c>
      <c r="F482" s="72">
        <v>268.02325423533426</v>
      </c>
      <c r="G482" s="73"/>
      <c r="H482" s="74">
        <v>5.8266827909781584</v>
      </c>
      <c r="I482" s="74">
        <v>5.8418579441777085</v>
      </c>
      <c r="J482" s="73"/>
      <c r="K482" s="72">
        <v>309.06566806644048</v>
      </c>
      <c r="L482" s="72">
        <v>288.95342175189722</v>
      </c>
      <c r="M482" s="73"/>
      <c r="N482" s="74">
        <v>6.7118945711489939</v>
      </c>
      <c r="O482" s="74">
        <v>6.7251348948006475</v>
      </c>
      <c r="P482" s="73"/>
      <c r="Q482" s="72">
        <v>1786.685607815371</v>
      </c>
      <c r="R482" s="72">
        <v>1268.1944276204276</v>
      </c>
      <c r="S482" s="73"/>
      <c r="T482" s="74">
        <v>4.7882623075366135</v>
      </c>
      <c r="U482" s="74">
        <v>4.8273559563984456</v>
      </c>
      <c r="V482" s="73"/>
      <c r="W482" s="72">
        <v>15471.285255491108</v>
      </c>
      <c r="X482" s="72">
        <v>15476.078899154001</v>
      </c>
      <c r="Y482" s="73"/>
      <c r="Z482" s="74">
        <v>3.0699626172167469</v>
      </c>
      <c r="AA482" s="74">
        <v>3.1194603552023379</v>
      </c>
      <c r="AB482" s="73"/>
      <c r="AC482" s="72">
        <v>52238.930095001764</v>
      </c>
      <c r="AD482" s="72">
        <v>51372.61752608294</v>
      </c>
      <c r="AE482" s="73"/>
      <c r="AF482" s="74">
        <v>4.3857892208342344</v>
      </c>
      <c r="AG482" s="74">
        <v>4.512225517707785</v>
      </c>
      <c r="AH482" s="73"/>
      <c r="AI482" s="72">
        <v>2108703.4566975604</v>
      </c>
      <c r="AJ482" s="72">
        <v>0</v>
      </c>
      <c r="AK482" s="73"/>
      <c r="AL482" s="74">
        <v>-1628.7792315540719</v>
      </c>
      <c r="AM482" s="74">
        <v>0</v>
      </c>
      <c r="AN482" s="73"/>
      <c r="AO482" s="72">
        <v>144142.57311426854</v>
      </c>
      <c r="AP482" s="72">
        <v>0</v>
      </c>
      <c r="AQ482" s="73"/>
      <c r="AR482" s="74">
        <v>-94.892151287696791</v>
      </c>
      <c r="AS482" s="74">
        <v>0</v>
      </c>
      <c r="AT482" s="73"/>
      <c r="AU482" s="72">
        <v>11827374.66105504</v>
      </c>
      <c r="AV482" s="72">
        <v>0</v>
      </c>
      <c r="AW482" s="73"/>
      <c r="AX482" s="74">
        <v>-891.77067926742984</v>
      </c>
      <c r="AY482" s="74">
        <v>0</v>
      </c>
      <c r="AZ482" s="73"/>
      <c r="BA482" s="72">
        <v>-42472.526326020947</v>
      </c>
      <c r="BB482" s="72">
        <v>0</v>
      </c>
      <c r="BC482" s="73"/>
      <c r="BD482" s="74">
        <v>-438.55866800132287</v>
      </c>
      <c r="BE482" s="74">
        <v>0</v>
      </c>
      <c r="BF482" s="73"/>
      <c r="BG482" s="72">
        <v>13667163.089214185</v>
      </c>
      <c r="BH482" s="72">
        <v>0</v>
      </c>
      <c r="BI482" s="73"/>
      <c r="BJ482" s="74">
        <v>-1994.6905444575625</v>
      </c>
      <c r="BK482" s="74">
        <v>0</v>
      </c>
      <c r="BL482" s="73"/>
      <c r="BM482" s="72">
        <v>27704911.253755033</v>
      </c>
      <c r="BN482" s="72">
        <v>0</v>
      </c>
      <c r="BO482" s="73"/>
      <c r="BP482" s="74">
        <v>-5048.6912745680838</v>
      </c>
      <c r="BQ482" s="74">
        <v>0</v>
      </c>
      <c r="BS482" s="109">
        <f t="shared" si="201"/>
        <v>116245.98601201485</v>
      </c>
      <c r="BT482" s="109">
        <f t="shared" si="202"/>
        <v>116569.13562931884</v>
      </c>
      <c r="BV482" s="58">
        <f t="array" ref="BV482">SUM(IF(BS482:BT482&gt;=BS482, 1))</f>
        <v>2</v>
      </c>
      <c r="BW482" s="58">
        <f t="array" ref="BW482">SUM(IF(BS482:BT482&gt;=BT482, 1))</f>
        <v>1</v>
      </c>
      <c r="BY482" s="109">
        <f t="shared" si="203"/>
        <v>133928.82575491344</v>
      </c>
      <c r="BZ482" s="109">
        <f t="shared" si="204"/>
        <v>134213.74447426104</v>
      </c>
      <c r="CB482" s="58">
        <f t="array" ref="CB482">SUM(IF(BY482:BZ482&gt;=BY482, 1))</f>
        <v>2</v>
      </c>
      <c r="CC482" s="58">
        <f t="array" ref="CC482">SUM(IF(BY482:BZ482&gt;=BZ482, 1))</f>
        <v>1</v>
      </c>
      <c r="CE482" s="109">
        <f t="shared" si="205"/>
        <v>93978.560542916908</v>
      </c>
      <c r="CF482" s="109">
        <f t="shared" si="206"/>
        <v>95278.924700348478</v>
      </c>
      <c r="CH482" s="58">
        <f t="array" ref="CH482">SUM(IF(CE482:CF482&gt;=CE482, 1))</f>
        <v>2</v>
      </c>
      <c r="CI482" s="58">
        <f t="array" ref="CI482">SUM(IF(CE482:CF482&gt;=CF482, 1))</f>
        <v>1</v>
      </c>
      <c r="CK482" s="109">
        <f t="shared" si="207"/>
        <v>45927.967088843827</v>
      </c>
      <c r="CL482" s="109">
        <f t="shared" si="208"/>
        <v>46913.128204892753</v>
      </c>
      <c r="CN482" s="58">
        <f t="array" ref="CN482">SUM(IF(CK482:CL482&gt;=CK482, 1))</f>
        <v>2</v>
      </c>
      <c r="CO482" s="58">
        <f t="array" ref="CO482">SUM(IF(CK482:CL482&gt;=CL482, 1))</f>
        <v>1</v>
      </c>
      <c r="CQ482" s="109" cm="1">
        <f t="array" ref="CQ482">AF482*WTP-AC482</f>
        <v>35476.854321682928</v>
      </c>
      <c r="CR482" s="109">
        <f t="shared" si="209"/>
        <v>38871.892828072763</v>
      </c>
      <c r="CT482" s="58">
        <f t="array" ref="CT482">SUM(IF(CQ482:CR482&gt;=CQ482, 1))</f>
        <v>2</v>
      </c>
      <c r="CU482" s="58">
        <f t="array" ref="CU482">SUM(IF(CQ482:CR482&gt;=CR482, 1))</f>
        <v>1</v>
      </c>
      <c r="CW482" s="109">
        <f t="shared" si="210"/>
        <v>-34684288.087779</v>
      </c>
      <c r="CX482" s="109">
        <f t="shared" si="211"/>
        <v>0</v>
      </c>
      <c r="CZ482" s="58">
        <f t="array" ref="CZ482">SUM(IF(CW482:CX482&gt;=CW482, 1))</f>
        <v>2</v>
      </c>
      <c r="DA482" s="58">
        <f t="array" ref="DA482">SUM(IF(CW482:CX482&gt;=CX482, 1))</f>
        <v>1</v>
      </c>
      <c r="DC482" s="109">
        <f t="shared" si="212"/>
        <v>-2041985.5988682043</v>
      </c>
      <c r="DD482" s="109">
        <f t="shared" si="213"/>
        <v>0</v>
      </c>
      <c r="DF482" s="58">
        <f t="array" ref="DF482">SUM(IF(DC482:DD482&gt;=DC482, 1))</f>
        <v>2</v>
      </c>
      <c r="DG482" s="58">
        <f t="array" ref="DG482">SUM(IF(DC482:DD482&gt;=DD482, 1))</f>
        <v>1</v>
      </c>
      <c r="DI482" s="109">
        <f t="shared" si="214"/>
        <v>-29662788.246403638</v>
      </c>
      <c r="DJ482" s="109">
        <f t="shared" si="215"/>
        <v>0</v>
      </c>
      <c r="DL482" s="58">
        <f t="array" ref="DL482">SUM(IF(DI482:DJ482&gt;=DI482, 1))</f>
        <v>2</v>
      </c>
      <c r="DM482" s="58">
        <f t="array" ref="DM482">SUM(IF(DI482:DJ482&gt;=DJ482, 1))</f>
        <v>1</v>
      </c>
      <c r="DO482" s="109">
        <f t="shared" si="216"/>
        <v>-8728700.8337004371</v>
      </c>
      <c r="DP482" s="109">
        <f t="shared" si="217"/>
        <v>0</v>
      </c>
      <c r="DR482" s="58">
        <f t="array" ref="DR482">SUM(IF(DO482:DP482&gt;=DO482, 1))</f>
        <v>2</v>
      </c>
      <c r="DS482" s="58">
        <f t="array" ref="DS482">SUM(IF(DO482:DP482&gt;=DP482, 1))</f>
        <v>1</v>
      </c>
      <c r="DU482" s="109">
        <f t="shared" si="218"/>
        <v>-53560973.978365436</v>
      </c>
      <c r="DV482" s="109">
        <f t="shared" si="219"/>
        <v>0</v>
      </c>
      <c r="DX482" s="58">
        <f t="array" ref="DX482">SUM(IF(DU482:DV482&gt;=DU482, 1))</f>
        <v>2</v>
      </c>
      <c r="DY482" s="58">
        <f t="array" ref="DY482">SUM(IF(DU482:DV482&gt;=DV482, 1))</f>
        <v>1</v>
      </c>
      <c r="EA482" s="109">
        <f t="shared" si="220"/>
        <v>-128678736.74511671</v>
      </c>
      <c r="EB482" s="109">
        <f t="shared" si="221"/>
        <v>0</v>
      </c>
      <c r="ED482" s="58">
        <f t="array" ref="ED482">SUM(IF(EA482:EB482&gt;=EA482, 1))</f>
        <v>2</v>
      </c>
      <c r="EE482" s="58">
        <f t="array" ref="EE482">SUM(IF(EA482:EB482&gt;=EB482, 1))</f>
        <v>1</v>
      </c>
    </row>
    <row r="483" spans="4:135" ht="12" customHeight="1" x14ac:dyDescent="0.25">
      <c r="D483" s="11">
        <v>467</v>
      </c>
      <c r="E483" s="72">
        <v>216.93947772898312</v>
      </c>
      <c r="F483" s="72">
        <v>195.40214675160581</v>
      </c>
      <c r="G483" s="73"/>
      <c r="H483" s="74">
        <v>5.9074211335792253</v>
      </c>
      <c r="I483" s="74">
        <v>5.9218064085702888</v>
      </c>
      <c r="J483" s="73"/>
      <c r="K483" s="72">
        <v>232.69525848859979</v>
      </c>
      <c r="L483" s="72">
        <v>210.63651850532918</v>
      </c>
      <c r="M483" s="73"/>
      <c r="N483" s="74">
        <v>6.6562002764722425</v>
      </c>
      <c r="O483" s="74">
        <v>6.6681170704201165</v>
      </c>
      <c r="P483" s="73"/>
      <c r="Q483" s="72">
        <v>3547.5910006281561</v>
      </c>
      <c r="R483" s="72">
        <v>1457.8489184417956</v>
      </c>
      <c r="S483" s="73"/>
      <c r="T483" s="74">
        <v>4.8164778955321621</v>
      </c>
      <c r="U483" s="74">
        <v>4.9357858653905708</v>
      </c>
      <c r="V483" s="73"/>
      <c r="W483" s="72">
        <v>10973.534450230689</v>
      </c>
      <c r="X483" s="72">
        <v>10953.645710585064</v>
      </c>
      <c r="Y483" s="73"/>
      <c r="Z483" s="74">
        <v>3.1522877054547327</v>
      </c>
      <c r="AA483" s="74">
        <v>3.1960649235357783</v>
      </c>
      <c r="AB483" s="73"/>
      <c r="AC483" s="72">
        <v>50996.049339468722</v>
      </c>
      <c r="AD483" s="72">
        <v>50645.743310639336</v>
      </c>
      <c r="AE483" s="73"/>
      <c r="AF483" s="74">
        <v>3.9243780512702426</v>
      </c>
      <c r="AG483" s="74">
        <v>4.0080296622125724</v>
      </c>
      <c r="AH483" s="73"/>
      <c r="AI483" s="72">
        <v>2297076.5641636858</v>
      </c>
      <c r="AJ483" s="72">
        <v>0</v>
      </c>
      <c r="AK483" s="73"/>
      <c r="AL483" s="74">
        <v>-1534.2698724243692</v>
      </c>
      <c r="AM483" s="74">
        <v>0</v>
      </c>
      <c r="AN483" s="73"/>
      <c r="AO483" s="72">
        <v>145580.15927049686</v>
      </c>
      <c r="AP483" s="72">
        <v>0</v>
      </c>
      <c r="AQ483" s="73"/>
      <c r="AR483" s="74">
        <v>-78.64677503070854</v>
      </c>
      <c r="AS483" s="74">
        <v>0</v>
      </c>
      <c r="AT483" s="73"/>
      <c r="AU483" s="72">
        <v>46884271.989446029</v>
      </c>
      <c r="AV483" s="72">
        <v>0</v>
      </c>
      <c r="AW483" s="73"/>
      <c r="AX483" s="74">
        <v>-2676.7261649332222</v>
      </c>
      <c r="AY483" s="74">
        <v>0</v>
      </c>
      <c r="AZ483" s="73"/>
      <c r="BA483" s="72">
        <v>177892.23539188533</v>
      </c>
      <c r="BB483" s="72">
        <v>0</v>
      </c>
      <c r="BC483" s="73"/>
      <c r="BD483" s="74">
        <v>-391.55961224463078</v>
      </c>
      <c r="BE483" s="74">
        <v>0</v>
      </c>
      <c r="BF483" s="73"/>
      <c r="BG483" s="72">
        <v>5325300.6219753716</v>
      </c>
      <c r="BH483" s="72">
        <v>0</v>
      </c>
      <c r="BI483" s="73"/>
      <c r="BJ483" s="74">
        <v>-1271.6594609263607</v>
      </c>
      <c r="BK483" s="74">
        <v>0</v>
      </c>
      <c r="BL483" s="73"/>
      <c r="BM483" s="72">
        <v>54830121.570247464</v>
      </c>
      <c r="BN483" s="72">
        <v>0</v>
      </c>
      <c r="BO483" s="73"/>
      <c r="BP483" s="74">
        <v>-5952.8618855592904</v>
      </c>
      <c r="BQ483" s="74">
        <v>0</v>
      </c>
      <c r="BS483" s="109">
        <f t="shared" si="201"/>
        <v>117931.48319385551</v>
      </c>
      <c r="BT483" s="109">
        <f t="shared" si="202"/>
        <v>118240.72602465417</v>
      </c>
      <c r="BV483" s="58">
        <f t="array" ref="BV483">SUM(IF(BS483:BT483&gt;=BS483, 1))</f>
        <v>2</v>
      </c>
      <c r="BW483" s="58">
        <f t="array" ref="BW483">SUM(IF(BS483:BT483&gt;=BT483, 1))</f>
        <v>1</v>
      </c>
      <c r="BY483" s="109">
        <f t="shared" si="203"/>
        <v>132891.31027095625</v>
      </c>
      <c r="BZ483" s="109">
        <f t="shared" si="204"/>
        <v>133151.704889897</v>
      </c>
      <c r="CB483" s="58">
        <f t="array" ref="CB483">SUM(IF(BY483:BZ483&gt;=BY483, 1))</f>
        <v>2</v>
      </c>
      <c r="CC483" s="58">
        <f t="array" ref="CC483">SUM(IF(BY483:BZ483&gt;=BZ483, 1))</f>
        <v>1</v>
      </c>
      <c r="CE483" s="109">
        <f t="shared" si="205"/>
        <v>92781.966910015079</v>
      </c>
      <c r="CF483" s="109">
        <f t="shared" si="206"/>
        <v>97257.868389369614</v>
      </c>
      <c r="CH483" s="58">
        <f t="array" ref="CH483">SUM(IF(CE483:CF483&gt;=CE483, 1))</f>
        <v>2</v>
      </c>
      <c r="CI483" s="58">
        <f t="array" ref="CI483">SUM(IF(CE483:CF483&gt;=CF483, 1))</f>
        <v>1</v>
      </c>
      <c r="CK483" s="109">
        <f t="shared" si="207"/>
        <v>52072.219658863964</v>
      </c>
      <c r="CL483" s="109">
        <f t="shared" si="208"/>
        <v>52967.652760130499</v>
      </c>
      <c r="CN483" s="58">
        <f t="array" ref="CN483">SUM(IF(CK483:CL483&gt;=CK483, 1))</f>
        <v>2</v>
      </c>
      <c r="CO483" s="58">
        <f t="array" ref="CO483">SUM(IF(CK483:CL483&gt;=CL483, 1))</f>
        <v>1</v>
      </c>
      <c r="CQ483" s="109" cm="1">
        <f t="array" ref="CQ483">AF483*WTP-AC483</f>
        <v>27491.51168593613</v>
      </c>
      <c r="CR483" s="109">
        <f t="shared" si="209"/>
        <v>29514.849933612109</v>
      </c>
      <c r="CT483" s="58">
        <f t="array" ref="CT483">SUM(IF(CQ483:CR483&gt;=CQ483, 1))</f>
        <v>2</v>
      </c>
      <c r="CU483" s="58">
        <f t="array" ref="CU483">SUM(IF(CQ483:CR483&gt;=CR483, 1))</f>
        <v>1</v>
      </c>
      <c r="CW483" s="109">
        <f t="shared" si="210"/>
        <v>-32982474.012651067</v>
      </c>
      <c r="CX483" s="109">
        <f t="shared" si="211"/>
        <v>0</v>
      </c>
      <c r="CZ483" s="58">
        <f t="array" ref="CZ483">SUM(IF(CW483:CX483&gt;=CW483, 1))</f>
        <v>2</v>
      </c>
      <c r="DA483" s="58">
        <f t="array" ref="DA483">SUM(IF(CW483:CX483&gt;=CX483, 1))</f>
        <v>1</v>
      </c>
      <c r="DC483" s="109">
        <f t="shared" si="212"/>
        <v>-1718515.6598846675</v>
      </c>
      <c r="DD483" s="109">
        <f t="shared" si="213"/>
        <v>0</v>
      </c>
      <c r="DF483" s="58">
        <f t="array" ref="DF483">SUM(IF(DC483:DD483&gt;=DC483, 1))</f>
        <v>2</v>
      </c>
      <c r="DG483" s="58">
        <f t="array" ref="DG483">SUM(IF(DC483:DD483&gt;=DD483, 1))</f>
        <v>1</v>
      </c>
      <c r="DI483" s="109">
        <f t="shared" si="214"/>
        <v>-100418795.28811046</v>
      </c>
      <c r="DJ483" s="109">
        <f t="shared" si="215"/>
        <v>0</v>
      </c>
      <c r="DL483" s="58">
        <f t="array" ref="DL483">SUM(IF(DI483:DJ483&gt;=DI483, 1))</f>
        <v>2</v>
      </c>
      <c r="DM483" s="58">
        <f t="array" ref="DM483">SUM(IF(DI483:DJ483&gt;=DJ483, 1))</f>
        <v>1</v>
      </c>
      <c r="DO483" s="109">
        <f t="shared" si="216"/>
        <v>-8009084.4802845009</v>
      </c>
      <c r="DP483" s="109">
        <f t="shared" si="217"/>
        <v>0</v>
      </c>
      <c r="DR483" s="58">
        <f t="array" ref="DR483">SUM(IF(DO483:DP483&gt;=DO483, 1))</f>
        <v>2</v>
      </c>
      <c r="DS483" s="58">
        <f t="array" ref="DS483">SUM(IF(DO483:DP483&gt;=DP483, 1))</f>
        <v>1</v>
      </c>
      <c r="DU483" s="109">
        <f t="shared" si="218"/>
        <v>-30758489.840502582</v>
      </c>
      <c r="DV483" s="109">
        <f t="shared" si="219"/>
        <v>0</v>
      </c>
      <c r="DX483" s="58">
        <f t="array" ref="DX483">SUM(IF(DU483:DV483&gt;=DU483, 1))</f>
        <v>2</v>
      </c>
      <c r="DY483" s="58">
        <f t="array" ref="DY483">SUM(IF(DU483:DV483&gt;=DV483, 1))</f>
        <v>1</v>
      </c>
      <c r="EA483" s="109">
        <f t="shared" si="220"/>
        <v>-173887359.28143328</v>
      </c>
      <c r="EB483" s="109">
        <f t="shared" si="221"/>
        <v>0</v>
      </c>
      <c r="ED483" s="58">
        <f t="array" ref="ED483">SUM(IF(EA483:EB483&gt;=EA483, 1))</f>
        <v>2</v>
      </c>
      <c r="EE483" s="58">
        <f t="array" ref="EE483">SUM(IF(EA483:EB483&gt;=EB483, 1))</f>
        <v>1</v>
      </c>
    </row>
    <row r="484" spans="4:135" ht="12" customHeight="1" x14ac:dyDescent="0.25">
      <c r="D484" s="11">
        <v>468</v>
      </c>
      <c r="E484" s="72">
        <v>242.96236309005883</v>
      </c>
      <c r="F484" s="72">
        <v>221.35926424962344</v>
      </c>
      <c r="G484" s="73"/>
      <c r="H484" s="74">
        <v>5.7884689660112132</v>
      </c>
      <c r="I484" s="74">
        <v>5.8063478303969136</v>
      </c>
      <c r="J484" s="73"/>
      <c r="K484" s="72">
        <v>260.78009121550417</v>
      </c>
      <c r="L484" s="72">
        <v>238.64733025312466</v>
      </c>
      <c r="M484" s="73"/>
      <c r="N484" s="74">
        <v>6.6966192787914611</v>
      </c>
      <c r="O484" s="74">
        <v>6.7122761864199498</v>
      </c>
      <c r="P484" s="73"/>
      <c r="Q484" s="72">
        <v>2344.6532086284756</v>
      </c>
      <c r="R484" s="72">
        <v>1577.5572006134723</v>
      </c>
      <c r="S484" s="73"/>
      <c r="T484" s="74">
        <v>4.8737341811998744</v>
      </c>
      <c r="U484" s="74">
        <v>4.9304738376068071</v>
      </c>
      <c r="V484" s="73"/>
      <c r="W484" s="72">
        <v>9247.2223258689337</v>
      </c>
      <c r="X484" s="72">
        <v>9191.9873075055475</v>
      </c>
      <c r="Y484" s="73"/>
      <c r="Z484" s="74">
        <v>3.1763545965057203</v>
      </c>
      <c r="AA484" s="74">
        <v>3.2232810719096485</v>
      </c>
      <c r="AB484" s="73"/>
      <c r="AC484" s="72">
        <v>50425.806356095338</v>
      </c>
      <c r="AD484" s="72">
        <v>50445.388875626122</v>
      </c>
      <c r="AE484" s="73"/>
      <c r="AF484" s="74">
        <v>4.4904454476310871</v>
      </c>
      <c r="AG484" s="74">
        <v>4.6071374241918059</v>
      </c>
      <c r="AH484" s="73"/>
      <c r="AI484" s="72">
        <v>2310384.8665802255</v>
      </c>
      <c r="AJ484" s="72">
        <v>0</v>
      </c>
      <c r="AK484" s="73"/>
      <c r="AL484" s="74">
        <v>-1912.0894651949795</v>
      </c>
      <c r="AM484" s="74">
        <v>0</v>
      </c>
      <c r="AN484" s="73"/>
      <c r="AO484" s="72">
        <v>153785.01534849821</v>
      </c>
      <c r="AP484" s="72">
        <v>0</v>
      </c>
      <c r="AQ484" s="73"/>
      <c r="AR484" s="74">
        <v>-108.7888575695479</v>
      </c>
      <c r="AS484" s="74">
        <v>0</v>
      </c>
      <c r="AT484" s="73"/>
      <c r="AU484" s="72">
        <v>17660614.67762313</v>
      </c>
      <c r="AV484" s="72">
        <v>0</v>
      </c>
      <c r="AW484" s="73"/>
      <c r="AX484" s="74">
        <v>-1306.2996004066938</v>
      </c>
      <c r="AY484" s="74">
        <v>0</v>
      </c>
      <c r="AZ484" s="73"/>
      <c r="BA484" s="72">
        <v>492074.79823899036</v>
      </c>
      <c r="BB484" s="72">
        <v>0</v>
      </c>
      <c r="BC484" s="73"/>
      <c r="BD484" s="74">
        <v>-418.0560919621521</v>
      </c>
      <c r="BE484" s="74">
        <v>0</v>
      </c>
      <c r="BF484" s="73"/>
      <c r="BG484" s="72">
        <v>-305186.95728317375</v>
      </c>
      <c r="BH484" s="72">
        <v>0</v>
      </c>
      <c r="BI484" s="73"/>
      <c r="BJ484" s="74">
        <v>-1818.6050681548234</v>
      </c>
      <c r="BK484" s="74">
        <v>0</v>
      </c>
      <c r="BL484" s="73"/>
      <c r="BM484" s="72">
        <v>20311672.40050767</v>
      </c>
      <c r="BN484" s="72">
        <v>0</v>
      </c>
      <c r="BO484" s="73"/>
      <c r="BP484" s="74">
        <v>-5563.8390832881969</v>
      </c>
      <c r="BQ484" s="74">
        <v>0</v>
      </c>
      <c r="BS484" s="109">
        <f t="shared" si="201"/>
        <v>115526.41695713421</v>
      </c>
      <c r="BT484" s="109">
        <f t="shared" si="202"/>
        <v>115905.59734368866</v>
      </c>
      <c r="BV484" s="58">
        <f t="array" ref="BV484">SUM(IF(BS484:BT484&gt;=BS484, 1))</f>
        <v>2</v>
      </c>
      <c r="BW484" s="58">
        <f t="array" ref="BW484">SUM(IF(BS484:BT484&gt;=BT484, 1))</f>
        <v>1</v>
      </c>
      <c r="BY484" s="109">
        <f t="shared" si="203"/>
        <v>133671.60548461371</v>
      </c>
      <c r="BZ484" s="109">
        <f t="shared" si="204"/>
        <v>134006.87639814586</v>
      </c>
      <c r="CB484" s="58">
        <f t="array" ref="CB484">SUM(IF(BY484:BZ484&gt;=BY484, 1))</f>
        <v>2</v>
      </c>
      <c r="CC484" s="58">
        <f t="array" ref="CC484">SUM(IF(BY484:BZ484&gt;=BZ484, 1))</f>
        <v>1</v>
      </c>
      <c r="CE484" s="109">
        <f t="shared" si="205"/>
        <v>95130.030415369023</v>
      </c>
      <c r="CF484" s="109">
        <f t="shared" si="206"/>
        <v>97031.91955152266</v>
      </c>
      <c r="CH484" s="58">
        <f t="array" ref="CH484">SUM(IF(CE484:CF484&gt;=CE484, 1))</f>
        <v>2</v>
      </c>
      <c r="CI484" s="58">
        <f t="array" ref="CI484">SUM(IF(CE484:CF484&gt;=CF484, 1))</f>
        <v>1</v>
      </c>
      <c r="CK484" s="109">
        <f t="shared" si="207"/>
        <v>54279.869604245469</v>
      </c>
      <c r="CL484" s="109">
        <f t="shared" si="208"/>
        <v>55273.634130687424</v>
      </c>
      <c r="CN484" s="58">
        <f t="array" ref="CN484">SUM(IF(CK484:CL484&gt;=CK484, 1))</f>
        <v>2</v>
      </c>
      <c r="CO484" s="58">
        <f t="array" ref="CO484">SUM(IF(CK484:CL484&gt;=CL484, 1))</f>
        <v>1</v>
      </c>
      <c r="CQ484" s="109" cm="1">
        <f t="array" ref="CQ484">AF484*WTP-AC484</f>
        <v>39383.102596526405</v>
      </c>
      <c r="CR484" s="109">
        <f t="shared" si="209"/>
        <v>41697.35960820999</v>
      </c>
      <c r="CT484" s="58">
        <f t="array" ref="CT484">SUM(IF(CQ484:CR484&gt;=CQ484, 1))</f>
        <v>2</v>
      </c>
      <c r="CU484" s="58">
        <f t="array" ref="CU484">SUM(IF(CQ484:CR484&gt;=CR484, 1))</f>
        <v>1</v>
      </c>
      <c r="CW484" s="109">
        <f t="shared" si="210"/>
        <v>-40552174.170479819</v>
      </c>
      <c r="CX484" s="109">
        <f t="shared" si="211"/>
        <v>0</v>
      </c>
      <c r="CZ484" s="58">
        <f t="array" ref="CZ484">SUM(IF(CW484:CX484&gt;=CW484, 1))</f>
        <v>2</v>
      </c>
      <c r="DA484" s="58">
        <f t="array" ref="DA484">SUM(IF(CW484:CX484&gt;=CX484, 1))</f>
        <v>1</v>
      </c>
      <c r="DC484" s="109">
        <f t="shared" si="212"/>
        <v>-2329562.1667394564</v>
      </c>
      <c r="DD484" s="109">
        <f t="shared" si="213"/>
        <v>0</v>
      </c>
      <c r="DF484" s="58">
        <f t="array" ref="DF484">SUM(IF(DC484:DD484&gt;=DC484, 1))</f>
        <v>2</v>
      </c>
      <c r="DG484" s="58">
        <f t="array" ref="DG484">SUM(IF(DC484:DD484&gt;=DD484, 1))</f>
        <v>1</v>
      </c>
      <c r="DI484" s="109">
        <f t="shared" si="214"/>
        <v>-43786606.685757011</v>
      </c>
      <c r="DJ484" s="109">
        <f t="shared" si="215"/>
        <v>0</v>
      </c>
      <c r="DL484" s="58">
        <f t="array" ref="DL484">SUM(IF(DI484:DJ484&gt;=DI484, 1))</f>
        <v>2</v>
      </c>
      <c r="DM484" s="58">
        <f t="array" ref="DM484">SUM(IF(DI484:DJ484&gt;=DJ484, 1))</f>
        <v>1</v>
      </c>
      <c r="DO484" s="109">
        <f t="shared" si="216"/>
        <v>-8853196.6374820322</v>
      </c>
      <c r="DP484" s="109">
        <f t="shared" si="217"/>
        <v>0</v>
      </c>
      <c r="DR484" s="58">
        <f t="array" ref="DR484">SUM(IF(DO484:DP484&gt;=DO484, 1))</f>
        <v>2</v>
      </c>
      <c r="DS484" s="58">
        <f t="array" ref="DS484">SUM(IF(DO484:DP484&gt;=DP484, 1))</f>
        <v>1</v>
      </c>
      <c r="DU484" s="109">
        <f t="shared" si="218"/>
        <v>-36066914.405813292</v>
      </c>
      <c r="DV484" s="109">
        <f t="shared" si="219"/>
        <v>0</v>
      </c>
      <c r="DX484" s="58">
        <f t="array" ref="DX484">SUM(IF(DU484:DV484&gt;=DU484, 1))</f>
        <v>2</v>
      </c>
      <c r="DY484" s="58">
        <f t="array" ref="DY484">SUM(IF(DU484:DV484&gt;=DV484, 1))</f>
        <v>1</v>
      </c>
      <c r="EA484" s="109">
        <f t="shared" si="220"/>
        <v>-131588454.06627162</v>
      </c>
      <c r="EB484" s="109">
        <f t="shared" si="221"/>
        <v>0</v>
      </c>
      <c r="ED484" s="58">
        <f t="array" ref="ED484">SUM(IF(EA484:EB484&gt;=EA484, 1))</f>
        <v>2</v>
      </c>
      <c r="EE484" s="58">
        <f t="array" ref="EE484">SUM(IF(EA484:EB484&gt;=EB484, 1))</f>
        <v>1</v>
      </c>
    </row>
    <row r="485" spans="4:135" ht="12" customHeight="1" x14ac:dyDescent="0.25">
      <c r="D485" s="11">
        <v>469</v>
      </c>
      <c r="E485" s="72">
        <v>287.69444220239001</v>
      </c>
      <c r="F485" s="72">
        <v>262.79205951420033</v>
      </c>
      <c r="G485" s="73"/>
      <c r="H485" s="74">
        <v>5.8954081228643531</v>
      </c>
      <c r="I485" s="74">
        <v>5.9146550177492889</v>
      </c>
      <c r="J485" s="73"/>
      <c r="K485" s="72">
        <v>308.92834084142265</v>
      </c>
      <c r="L485" s="72">
        <v>283.42538144393166</v>
      </c>
      <c r="M485" s="73"/>
      <c r="N485" s="74">
        <v>6.7205818008417513</v>
      </c>
      <c r="O485" s="74">
        <v>6.7380685002913427</v>
      </c>
      <c r="P485" s="73"/>
      <c r="Q485" s="72">
        <v>2947.9094397746671</v>
      </c>
      <c r="R485" s="72">
        <v>1595.9646071637874</v>
      </c>
      <c r="S485" s="73"/>
      <c r="T485" s="74">
        <v>4.8920377771360517</v>
      </c>
      <c r="U485" s="74">
        <v>5.0075917794586839</v>
      </c>
      <c r="V485" s="73"/>
      <c r="W485" s="72">
        <v>11288.903868168956</v>
      </c>
      <c r="X485" s="72">
        <v>11325.349508918072</v>
      </c>
      <c r="Y485" s="73"/>
      <c r="Z485" s="74">
        <v>3.1070748886272073</v>
      </c>
      <c r="AA485" s="74">
        <v>3.1765590742731975</v>
      </c>
      <c r="AB485" s="73"/>
      <c r="AC485" s="72">
        <v>50054.169875679021</v>
      </c>
      <c r="AD485" s="72">
        <v>49959.53337087985</v>
      </c>
      <c r="AE485" s="73"/>
      <c r="AF485" s="74">
        <v>4.8224617653799084</v>
      </c>
      <c r="AG485" s="74">
        <v>4.901613192861328</v>
      </c>
      <c r="AH485" s="73"/>
      <c r="AI485" s="72">
        <v>2694532.0796564422</v>
      </c>
      <c r="AJ485" s="72">
        <v>0</v>
      </c>
      <c r="AK485" s="73"/>
      <c r="AL485" s="74">
        <v>-2082.5868893995853</v>
      </c>
      <c r="AM485" s="74">
        <v>0</v>
      </c>
      <c r="AN485" s="73"/>
      <c r="AO485" s="72">
        <v>170037.30689363345</v>
      </c>
      <c r="AP485" s="72">
        <v>0</v>
      </c>
      <c r="AQ485" s="73"/>
      <c r="AR485" s="74">
        <v>-116.59004880662755</v>
      </c>
      <c r="AS485" s="74">
        <v>0</v>
      </c>
      <c r="AT485" s="73"/>
      <c r="AU485" s="72">
        <v>32047698.435657162</v>
      </c>
      <c r="AV485" s="72">
        <v>0</v>
      </c>
      <c r="AW485" s="73"/>
      <c r="AX485" s="74">
        <v>-2739.1944775714242</v>
      </c>
      <c r="AY485" s="74">
        <v>0</v>
      </c>
      <c r="AZ485" s="73"/>
      <c r="BA485" s="72">
        <v>-315885.58157610823</v>
      </c>
      <c r="BB485" s="72">
        <v>0</v>
      </c>
      <c r="BC485" s="73"/>
      <c r="BD485" s="74">
        <v>-602.24081514215652</v>
      </c>
      <c r="BE485" s="74">
        <v>0</v>
      </c>
      <c r="BF485" s="73"/>
      <c r="BG485" s="72">
        <v>1509514.2233908826</v>
      </c>
      <c r="BH485" s="72">
        <v>0</v>
      </c>
      <c r="BI485" s="73"/>
      <c r="BJ485" s="74">
        <v>-1262.5170999123918</v>
      </c>
      <c r="BK485" s="74">
        <v>0</v>
      </c>
      <c r="BL485" s="73"/>
      <c r="BM485" s="72">
        <v>36105896.464022011</v>
      </c>
      <c r="BN485" s="72">
        <v>0</v>
      </c>
      <c r="BO485" s="73"/>
      <c r="BP485" s="74">
        <v>-6803.1293308321865</v>
      </c>
      <c r="BQ485" s="74">
        <v>0</v>
      </c>
      <c r="BS485" s="109">
        <f t="shared" si="201"/>
        <v>117620.46801508467</v>
      </c>
      <c r="BT485" s="109">
        <f t="shared" si="202"/>
        <v>118030.30829547158</v>
      </c>
      <c r="BV485" s="58">
        <f t="array" ref="BV485">SUM(IF(BS485:BT485&gt;=BS485, 1))</f>
        <v>2</v>
      </c>
      <c r="BW485" s="58">
        <f t="array" ref="BW485">SUM(IF(BS485:BT485&gt;=BT485, 1))</f>
        <v>1</v>
      </c>
      <c r="BY485" s="109">
        <f t="shared" si="203"/>
        <v>134102.70767599359</v>
      </c>
      <c r="BZ485" s="109">
        <f t="shared" si="204"/>
        <v>134477.94462438292</v>
      </c>
      <c r="CB485" s="58">
        <f t="array" ref="CB485">SUM(IF(BY485:BZ485&gt;=BY485, 1))</f>
        <v>2</v>
      </c>
      <c r="CC485" s="58">
        <f t="array" ref="CC485">SUM(IF(BY485:BZ485&gt;=BZ485, 1))</f>
        <v>1</v>
      </c>
      <c r="CE485" s="109">
        <f t="shared" si="205"/>
        <v>94892.846102946365</v>
      </c>
      <c r="CF485" s="109">
        <f t="shared" si="206"/>
        <v>98555.870982009888</v>
      </c>
      <c r="CH485" s="58">
        <f t="array" ref="CH485">SUM(IF(CE485:CF485&gt;=CE485, 1))</f>
        <v>2</v>
      </c>
      <c r="CI485" s="58">
        <f t="array" ref="CI485">SUM(IF(CE485:CF485&gt;=CF485, 1))</f>
        <v>1</v>
      </c>
      <c r="CK485" s="109">
        <f t="shared" si="207"/>
        <v>50852.593904375186</v>
      </c>
      <c r="CL485" s="109">
        <f t="shared" si="208"/>
        <v>52205.83197654588</v>
      </c>
      <c r="CN485" s="58">
        <f t="array" ref="CN485">SUM(IF(CK485:CL485&gt;=CK485, 1))</f>
        <v>2</v>
      </c>
      <c r="CO485" s="58">
        <f t="array" ref="CO485">SUM(IF(CK485:CL485&gt;=CL485, 1))</f>
        <v>1</v>
      </c>
      <c r="CQ485" s="109" cm="1">
        <f t="array" ref="CQ485">AF485*WTP-AC485</f>
        <v>46395.065431919145</v>
      </c>
      <c r="CR485" s="109">
        <f t="shared" si="209"/>
        <v>48072.730486346707</v>
      </c>
      <c r="CT485" s="58">
        <f t="array" ref="CT485">SUM(IF(CQ485:CR485&gt;=CQ485, 1))</f>
        <v>2</v>
      </c>
      <c r="CU485" s="58">
        <f t="array" ref="CU485">SUM(IF(CQ485:CR485&gt;=CR485, 1))</f>
        <v>1</v>
      </c>
      <c r="CW485" s="109">
        <f t="shared" si="210"/>
        <v>-44346269.867648147</v>
      </c>
      <c r="CX485" s="109">
        <f t="shared" si="211"/>
        <v>0</v>
      </c>
      <c r="CZ485" s="58">
        <f t="array" ref="CZ485">SUM(IF(CW485:CX485&gt;=CW485, 1))</f>
        <v>2</v>
      </c>
      <c r="DA485" s="58">
        <f t="array" ref="DA485">SUM(IF(CW485:CX485&gt;=CX485, 1))</f>
        <v>1</v>
      </c>
      <c r="DC485" s="109">
        <f t="shared" si="212"/>
        <v>-2501838.2830261849</v>
      </c>
      <c r="DD485" s="109">
        <f t="shared" si="213"/>
        <v>0</v>
      </c>
      <c r="DF485" s="58">
        <f t="array" ref="DF485">SUM(IF(DC485:DD485&gt;=DC485, 1))</f>
        <v>2</v>
      </c>
      <c r="DG485" s="58">
        <f t="array" ref="DG485">SUM(IF(DC485:DD485&gt;=DD485, 1))</f>
        <v>1</v>
      </c>
      <c r="DI485" s="109">
        <f t="shared" si="214"/>
        <v>-86831587.98708564</v>
      </c>
      <c r="DJ485" s="109">
        <f t="shared" si="215"/>
        <v>0</v>
      </c>
      <c r="DL485" s="58">
        <f t="array" ref="DL485">SUM(IF(DI485:DJ485&gt;=DI485, 1))</f>
        <v>2</v>
      </c>
      <c r="DM485" s="58">
        <f t="array" ref="DM485">SUM(IF(DI485:DJ485&gt;=DJ485, 1))</f>
        <v>1</v>
      </c>
      <c r="DO485" s="109">
        <f t="shared" si="216"/>
        <v>-11728930.721267022</v>
      </c>
      <c r="DP485" s="109">
        <f t="shared" si="217"/>
        <v>0</v>
      </c>
      <c r="DR485" s="58">
        <f t="array" ref="DR485">SUM(IF(DO485:DP485&gt;=DO485, 1))</f>
        <v>2</v>
      </c>
      <c r="DS485" s="58">
        <f t="array" ref="DS485">SUM(IF(DO485:DP485&gt;=DP485, 1))</f>
        <v>1</v>
      </c>
      <c r="DU485" s="109">
        <f t="shared" si="218"/>
        <v>-26759856.221638717</v>
      </c>
      <c r="DV485" s="109">
        <f t="shared" si="219"/>
        <v>0</v>
      </c>
      <c r="DX485" s="58">
        <f t="array" ref="DX485">SUM(IF(DU485:DV485&gt;=DU485, 1))</f>
        <v>2</v>
      </c>
      <c r="DY485" s="58">
        <f t="array" ref="DY485">SUM(IF(DU485:DV485&gt;=DV485, 1))</f>
        <v>1</v>
      </c>
      <c r="EA485" s="109">
        <f t="shared" si="220"/>
        <v>-172168483.08066574</v>
      </c>
      <c r="EB485" s="109">
        <f t="shared" si="221"/>
        <v>0</v>
      </c>
      <c r="ED485" s="58">
        <f t="array" ref="ED485">SUM(IF(EA485:EB485&gt;=EA485, 1))</f>
        <v>2</v>
      </c>
      <c r="EE485" s="58">
        <f t="array" ref="EE485">SUM(IF(EA485:EB485&gt;=EB485, 1))</f>
        <v>1</v>
      </c>
    </row>
    <row r="486" spans="4:135" ht="12" customHeight="1" x14ac:dyDescent="0.25">
      <c r="D486" s="11">
        <v>470</v>
      </c>
      <c r="E486" s="72">
        <v>244.04766064266951</v>
      </c>
      <c r="F486" s="72">
        <v>219.26355572499685</v>
      </c>
      <c r="G486" s="73"/>
      <c r="H486" s="74">
        <v>5.8003349589432203</v>
      </c>
      <c r="I486" s="74">
        <v>5.8154443708332737</v>
      </c>
      <c r="J486" s="73"/>
      <c r="K486" s="72">
        <v>261.64834950522027</v>
      </c>
      <c r="L486" s="72">
        <v>236.27822509360573</v>
      </c>
      <c r="M486" s="73"/>
      <c r="N486" s="74">
        <v>6.6617524042777809</v>
      </c>
      <c r="O486" s="74">
        <v>6.6748295199047556</v>
      </c>
      <c r="P486" s="73"/>
      <c r="Q486" s="72">
        <v>3034.2074751750183</v>
      </c>
      <c r="R486" s="72">
        <v>1418.7361478821501</v>
      </c>
      <c r="S486" s="73"/>
      <c r="T486" s="74">
        <v>4.6894836579766386</v>
      </c>
      <c r="U486" s="74">
        <v>4.7931286595389153</v>
      </c>
      <c r="V486" s="73"/>
      <c r="W486" s="72">
        <v>12188.993400444921</v>
      </c>
      <c r="X486" s="72">
        <v>12188.181884721156</v>
      </c>
      <c r="Y486" s="73"/>
      <c r="Z486" s="74">
        <v>2.9355232075281918</v>
      </c>
      <c r="AA486" s="74">
        <v>2.999030708202536</v>
      </c>
      <c r="AB486" s="73"/>
      <c r="AC486" s="72">
        <v>49897.857874837777</v>
      </c>
      <c r="AD486" s="72">
        <v>49845.151469101191</v>
      </c>
      <c r="AE486" s="73"/>
      <c r="AF486" s="74">
        <v>4.6160895181191108</v>
      </c>
      <c r="AG486" s="74">
        <v>4.6872962396016735</v>
      </c>
      <c r="AH486" s="73"/>
      <c r="AI486" s="72">
        <v>2641635.2769682663</v>
      </c>
      <c r="AJ486" s="72">
        <v>0</v>
      </c>
      <c r="AK486" s="73"/>
      <c r="AL486" s="74">
        <v>-1610.4497457379625</v>
      </c>
      <c r="AM486" s="74">
        <v>0</v>
      </c>
      <c r="AN486" s="73"/>
      <c r="AO486" s="72">
        <v>175684.00556162687</v>
      </c>
      <c r="AP486" s="72">
        <v>0</v>
      </c>
      <c r="AQ486" s="73"/>
      <c r="AR486" s="74">
        <v>-90.556909271114108</v>
      </c>
      <c r="AS486" s="74">
        <v>0</v>
      </c>
      <c r="AT486" s="73"/>
      <c r="AU486" s="72">
        <v>37338690.227129146</v>
      </c>
      <c r="AV486" s="72">
        <v>0</v>
      </c>
      <c r="AW486" s="73"/>
      <c r="AX486" s="74">
        <v>-2395.5662607824065</v>
      </c>
      <c r="AY486" s="74">
        <v>0</v>
      </c>
      <c r="AZ486" s="73"/>
      <c r="BA486" s="72">
        <v>7000.9799664904558</v>
      </c>
      <c r="BB486" s="72">
        <v>0</v>
      </c>
      <c r="BC486" s="73"/>
      <c r="BD486" s="74">
        <v>-547.88185480932316</v>
      </c>
      <c r="BE486" s="74">
        <v>0</v>
      </c>
      <c r="BF486" s="73"/>
      <c r="BG486" s="72">
        <v>852269.2037609074</v>
      </c>
      <c r="BH486" s="72">
        <v>0</v>
      </c>
      <c r="BI486" s="73"/>
      <c r="BJ486" s="74">
        <v>-1151.4216340926178</v>
      </c>
      <c r="BK486" s="74">
        <v>0</v>
      </c>
      <c r="BL486" s="73"/>
      <c r="BM486" s="72">
        <v>41015279.693386436</v>
      </c>
      <c r="BN486" s="72">
        <v>0</v>
      </c>
      <c r="BO486" s="73"/>
      <c r="BP486" s="74">
        <v>-5795.8764046934239</v>
      </c>
      <c r="BQ486" s="74">
        <v>0</v>
      </c>
      <c r="BS486" s="109">
        <f t="shared" si="201"/>
        <v>115762.65151822174</v>
      </c>
      <c r="BT486" s="109">
        <f t="shared" si="202"/>
        <v>116089.62386094047</v>
      </c>
      <c r="BV486" s="58">
        <f t="array" ref="BV486">SUM(IF(BS486:BT486&gt;=BS486, 1))</f>
        <v>2</v>
      </c>
      <c r="BW486" s="58">
        <f t="array" ref="BW486">SUM(IF(BS486:BT486&gt;=BT486, 1))</f>
        <v>1</v>
      </c>
      <c r="BY486" s="109">
        <f t="shared" si="203"/>
        <v>132973.3997360504</v>
      </c>
      <c r="BZ486" s="109">
        <f t="shared" si="204"/>
        <v>133260.3121730015</v>
      </c>
      <c r="CB486" s="58">
        <f t="array" ref="CB486">SUM(IF(BY486:BZ486&gt;=BY486, 1))</f>
        <v>2</v>
      </c>
      <c r="CC486" s="58">
        <f t="array" ref="CC486">SUM(IF(BY486:BZ486&gt;=BZ486, 1))</f>
        <v>1</v>
      </c>
      <c r="CE486" s="109">
        <f t="shared" si="205"/>
        <v>90755.465684357754</v>
      </c>
      <c r="CF486" s="109">
        <f t="shared" si="206"/>
        <v>94443.83704289615</v>
      </c>
      <c r="CH486" s="58">
        <f t="array" ref="CH486">SUM(IF(CE486:CF486&gt;=CE486, 1))</f>
        <v>2</v>
      </c>
      <c r="CI486" s="58">
        <f t="array" ref="CI486">SUM(IF(CE486:CF486&gt;=CF486, 1))</f>
        <v>1</v>
      </c>
      <c r="CK486" s="109">
        <f t="shared" si="207"/>
        <v>46521.470750118911</v>
      </c>
      <c r="CL486" s="109">
        <f t="shared" si="208"/>
        <v>47792.432279329565</v>
      </c>
      <c r="CN486" s="58">
        <f t="array" ref="CN486">SUM(IF(CK486:CL486&gt;=CK486, 1))</f>
        <v>2</v>
      </c>
      <c r="CO486" s="58">
        <f t="array" ref="CO486">SUM(IF(CK486:CL486&gt;=CL486, 1))</f>
        <v>1</v>
      </c>
      <c r="CQ486" s="109" cm="1">
        <f t="array" ref="CQ486">AF486*WTP-AC486</f>
        <v>42423.932487544444</v>
      </c>
      <c r="CR486" s="109">
        <f t="shared" si="209"/>
        <v>43900.773322932284</v>
      </c>
      <c r="CT486" s="58">
        <f t="array" ref="CT486">SUM(IF(CQ486:CR486&gt;=CQ486, 1))</f>
        <v>2</v>
      </c>
      <c r="CU486" s="58">
        <f t="array" ref="CU486">SUM(IF(CQ486:CR486&gt;=CR486, 1))</f>
        <v>1</v>
      </c>
      <c r="CW486" s="109">
        <f t="shared" si="210"/>
        <v>-34850630.191727519</v>
      </c>
      <c r="CX486" s="109">
        <f t="shared" si="211"/>
        <v>0</v>
      </c>
      <c r="CZ486" s="58">
        <f t="array" ref="CZ486">SUM(IF(CW486:CX486&gt;=CW486, 1))</f>
        <v>2</v>
      </c>
      <c r="DA486" s="58">
        <f t="array" ref="DA486">SUM(IF(CW486:CX486&gt;=CX486, 1))</f>
        <v>1</v>
      </c>
      <c r="DC486" s="109">
        <f t="shared" si="212"/>
        <v>-1986822.1909839092</v>
      </c>
      <c r="DD486" s="109">
        <f t="shared" si="213"/>
        <v>0</v>
      </c>
      <c r="DF486" s="58">
        <f t="array" ref="DF486">SUM(IF(DC486:DD486&gt;=DC486, 1))</f>
        <v>2</v>
      </c>
      <c r="DG486" s="58">
        <f t="array" ref="DG486">SUM(IF(DC486:DD486&gt;=DD486, 1))</f>
        <v>1</v>
      </c>
      <c r="DI486" s="109">
        <f t="shared" si="214"/>
        <v>-85250015.442777276</v>
      </c>
      <c r="DJ486" s="109">
        <f t="shared" si="215"/>
        <v>0</v>
      </c>
      <c r="DL486" s="58">
        <f t="array" ref="DL486">SUM(IF(DI486:DJ486&gt;=DI486, 1))</f>
        <v>2</v>
      </c>
      <c r="DM486" s="58">
        <f t="array" ref="DM486">SUM(IF(DI486:DJ486&gt;=DJ486, 1))</f>
        <v>1</v>
      </c>
      <c r="DO486" s="109">
        <f t="shared" si="216"/>
        <v>-10964638.076152952</v>
      </c>
      <c r="DP486" s="109">
        <f t="shared" si="217"/>
        <v>0</v>
      </c>
      <c r="DR486" s="58">
        <f t="array" ref="DR486">SUM(IF(DO486:DP486&gt;=DO486, 1))</f>
        <v>2</v>
      </c>
      <c r="DS486" s="58">
        <f t="array" ref="DS486">SUM(IF(DO486:DP486&gt;=DP486, 1))</f>
        <v>1</v>
      </c>
      <c r="DU486" s="109">
        <f t="shared" si="218"/>
        <v>-23880701.885613263</v>
      </c>
      <c r="DV486" s="109">
        <f t="shared" si="219"/>
        <v>0</v>
      </c>
      <c r="DX486" s="58">
        <f t="array" ref="DX486">SUM(IF(DU486:DV486&gt;=DU486, 1))</f>
        <v>2</v>
      </c>
      <c r="DY486" s="58">
        <f t="array" ref="DY486">SUM(IF(DU486:DV486&gt;=DV486, 1))</f>
        <v>1</v>
      </c>
      <c r="EA486" s="109">
        <f t="shared" si="220"/>
        <v>-156932807.78725493</v>
      </c>
      <c r="EB486" s="109">
        <f t="shared" si="221"/>
        <v>0</v>
      </c>
      <c r="ED486" s="58">
        <f t="array" ref="ED486">SUM(IF(EA486:EB486&gt;=EA486, 1))</f>
        <v>2</v>
      </c>
      <c r="EE486" s="58">
        <f t="array" ref="EE486">SUM(IF(EA486:EB486&gt;=EB486, 1))</f>
        <v>1</v>
      </c>
    </row>
    <row r="487" spans="4:135" ht="12" customHeight="1" x14ac:dyDescent="0.25">
      <c r="D487" s="11">
        <v>471</v>
      </c>
      <c r="E487" s="72">
        <v>229.48488984387762</v>
      </c>
      <c r="F487" s="72">
        <v>212.03486697081215</v>
      </c>
      <c r="G487" s="73"/>
      <c r="H487" s="74">
        <v>5.8637688055155506</v>
      </c>
      <c r="I487" s="74">
        <v>5.8810330508488118</v>
      </c>
      <c r="J487" s="73"/>
      <c r="K487" s="72">
        <v>246.55803792188206</v>
      </c>
      <c r="L487" s="72">
        <v>228.67309921965497</v>
      </c>
      <c r="M487" s="73"/>
      <c r="N487" s="74">
        <v>6.738034135639861</v>
      </c>
      <c r="O487" s="74">
        <v>6.7529234540800775</v>
      </c>
      <c r="P487" s="73"/>
      <c r="Q487" s="72">
        <v>3054.756388811853</v>
      </c>
      <c r="R487" s="72">
        <v>1657.8949398977675</v>
      </c>
      <c r="S487" s="73"/>
      <c r="T487" s="74">
        <v>4.7460883904454461</v>
      </c>
      <c r="U487" s="74">
        <v>4.8747290466183921</v>
      </c>
      <c r="V487" s="73"/>
      <c r="W487" s="72">
        <v>17846.84618732315</v>
      </c>
      <c r="X487" s="72">
        <v>17800.479921190159</v>
      </c>
      <c r="Y487" s="73"/>
      <c r="Z487" s="74">
        <v>3.1623975415276071</v>
      </c>
      <c r="AA487" s="74">
        <v>3.2227983874197506</v>
      </c>
      <c r="AB487" s="73"/>
      <c r="AC487" s="72">
        <v>49915.689336190211</v>
      </c>
      <c r="AD487" s="72">
        <v>49557.060676533729</v>
      </c>
      <c r="AE487" s="73"/>
      <c r="AF487" s="74">
        <v>4.933872311565815</v>
      </c>
      <c r="AG487" s="74">
        <v>5.1308545546696145</v>
      </c>
      <c r="AH487" s="73"/>
      <c r="AI487" s="72">
        <v>1859162.0811981</v>
      </c>
      <c r="AJ487" s="72">
        <v>0</v>
      </c>
      <c r="AK487" s="73"/>
      <c r="AL487" s="74">
        <v>-1839.368951982465</v>
      </c>
      <c r="AM487" s="74">
        <v>0</v>
      </c>
      <c r="AN487" s="73"/>
      <c r="AO487" s="72">
        <v>120391.91683595684</v>
      </c>
      <c r="AP487" s="72">
        <v>0</v>
      </c>
      <c r="AQ487" s="73"/>
      <c r="AR487" s="74">
        <v>-100.22699083533441</v>
      </c>
      <c r="AS487" s="74">
        <v>0</v>
      </c>
      <c r="AT487" s="73"/>
      <c r="AU487" s="72">
        <v>32536059.665854435</v>
      </c>
      <c r="AV487" s="72">
        <v>0</v>
      </c>
      <c r="AW487" s="73"/>
      <c r="AX487" s="74">
        <v>-2996.3315745820023</v>
      </c>
      <c r="AY487" s="74">
        <v>0</v>
      </c>
      <c r="AZ487" s="73"/>
      <c r="BA487" s="72">
        <v>438445.04789633135</v>
      </c>
      <c r="BB487" s="72">
        <v>0</v>
      </c>
      <c r="BC487" s="73"/>
      <c r="BD487" s="74">
        <v>-571.15773985770181</v>
      </c>
      <c r="BE487" s="74">
        <v>0</v>
      </c>
      <c r="BF487" s="73"/>
      <c r="BG487" s="72">
        <v>5520189.1452209055</v>
      </c>
      <c r="BH487" s="72">
        <v>0</v>
      </c>
      <c r="BI487" s="73"/>
      <c r="BJ487" s="74">
        <v>-3032.0478046133339</v>
      </c>
      <c r="BK487" s="74">
        <v>0</v>
      </c>
      <c r="BL487" s="73"/>
      <c r="BM487" s="72">
        <v>40474247.85700573</v>
      </c>
      <c r="BN487" s="72">
        <v>0</v>
      </c>
      <c r="BO487" s="73"/>
      <c r="BP487" s="74">
        <v>-8539.133061870838</v>
      </c>
      <c r="BQ487" s="74">
        <v>0</v>
      </c>
      <c r="BS487" s="109">
        <f t="shared" si="201"/>
        <v>117045.89122046714</v>
      </c>
      <c r="BT487" s="109">
        <f t="shared" si="202"/>
        <v>117408.62615000542</v>
      </c>
      <c r="BV487" s="58">
        <f t="array" ref="BV487">SUM(IF(BS487:BT487&gt;=BS487, 1))</f>
        <v>2</v>
      </c>
      <c r="BW487" s="58">
        <f t="array" ref="BW487">SUM(IF(BS487:BT487&gt;=BT487, 1))</f>
        <v>1</v>
      </c>
      <c r="BY487" s="109">
        <f t="shared" si="203"/>
        <v>134514.12467487535</v>
      </c>
      <c r="BZ487" s="109">
        <f t="shared" si="204"/>
        <v>134829.79598238191</v>
      </c>
      <c r="CB487" s="58">
        <f t="array" ref="CB487">SUM(IF(BY487:BZ487&gt;=BY487, 1))</f>
        <v>2</v>
      </c>
      <c r="CC487" s="58">
        <f t="array" ref="CC487">SUM(IF(BY487:BZ487&gt;=BZ487, 1))</f>
        <v>1</v>
      </c>
      <c r="CE487" s="109">
        <f t="shared" si="205"/>
        <v>91867.011420097057</v>
      </c>
      <c r="CF487" s="109">
        <f t="shared" si="206"/>
        <v>95836.685992470069</v>
      </c>
      <c r="CH487" s="58">
        <f t="array" ref="CH487">SUM(IF(CE487:CF487&gt;=CE487, 1))</f>
        <v>2</v>
      </c>
      <c r="CI487" s="58">
        <f t="array" ref="CI487">SUM(IF(CE487:CF487&gt;=CF487, 1))</f>
        <v>1</v>
      </c>
      <c r="CK487" s="109">
        <f t="shared" si="207"/>
        <v>45401.104643228995</v>
      </c>
      <c r="CL487" s="109">
        <f t="shared" si="208"/>
        <v>46655.487827204852</v>
      </c>
      <c r="CN487" s="58">
        <f t="array" ref="CN487">SUM(IF(CK487:CL487&gt;=CK487, 1))</f>
        <v>2</v>
      </c>
      <c r="CO487" s="58">
        <f t="array" ref="CO487">SUM(IF(CK487:CL487&gt;=CL487, 1))</f>
        <v>1</v>
      </c>
      <c r="CQ487" s="109" cm="1">
        <f t="array" ref="CQ487">AF487*WTP-AC487</f>
        <v>48761.756895126084</v>
      </c>
      <c r="CR487" s="109">
        <f t="shared" si="209"/>
        <v>53060.030416858557</v>
      </c>
      <c r="CT487" s="58">
        <f t="array" ref="CT487">SUM(IF(CQ487:CR487&gt;=CQ487, 1))</f>
        <v>2</v>
      </c>
      <c r="CU487" s="58">
        <f t="array" ref="CU487">SUM(IF(CQ487:CR487&gt;=CR487, 1))</f>
        <v>1</v>
      </c>
      <c r="CW487" s="109">
        <f t="shared" si="210"/>
        <v>-38646541.120847404</v>
      </c>
      <c r="CX487" s="109">
        <f t="shared" si="211"/>
        <v>0</v>
      </c>
      <c r="CZ487" s="58">
        <f t="array" ref="CZ487">SUM(IF(CW487:CX487&gt;=CW487, 1))</f>
        <v>2</v>
      </c>
      <c r="DA487" s="58">
        <f t="array" ref="DA487">SUM(IF(CW487:CX487&gt;=CX487, 1))</f>
        <v>1</v>
      </c>
      <c r="DC487" s="109">
        <f t="shared" si="212"/>
        <v>-2124931.7335426449</v>
      </c>
      <c r="DD487" s="109">
        <f t="shared" si="213"/>
        <v>0</v>
      </c>
      <c r="DF487" s="58">
        <f t="array" ref="DF487">SUM(IF(DC487:DD487&gt;=DC487, 1))</f>
        <v>2</v>
      </c>
      <c r="DG487" s="58">
        <f t="array" ref="DG487">SUM(IF(DC487:DD487&gt;=DD487, 1))</f>
        <v>1</v>
      </c>
      <c r="DI487" s="109">
        <f t="shared" si="214"/>
        <v>-92462691.157494485</v>
      </c>
      <c r="DJ487" s="109">
        <f t="shared" si="215"/>
        <v>0</v>
      </c>
      <c r="DL487" s="58">
        <f t="array" ref="DL487">SUM(IF(DI487:DJ487&gt;=DI487, 1))</f>
        <v>2</v>
      </c>
      <c r="DM487" s="58">
        <f t="array" ref="DM487">SUM(IF(DI487:DJ487&gt;=DJ487, 1))</f>
        <v>1</v>
      </c>
      <c r="DO487" s="109">
        <f t="shared" si="216"/>
        <v>-11861599.845050367</v>
      </c>
      <c r="DP487" s="109">
        <f t="shared" si="217"/>
        <v>0</v>
      </c>
      <c r="DR487" s="58">
        <f t="array" ref="DR487">SUM(IF(DO487:DP487&gt;=DO487, 1))</f>
        <v>2</v>
      </c>
      <c r="DS487" s="58">
        <f t="array" ref="DS487">SUM(IF(DO487:DP487&gt;=DP487, 1))</f>
        <v>1</v>
      </c>
      <c r="DU487" s="109">
        <f t="shared" si="218"/>
        <v>-66161145.237487584</v>
      </c>
      <c r="DV487" s="109">
        <f t="shared" si="219"/>
        <v>0</v>
      </c>
      <c r="DX487" s="58">
        <f t="array" ref="DX487">SUM(IF(DU487:DV487&gt;=DU487, 1))</f>
        <v>2</v>
      </c>
      <c r="DY487" s="58">
        <f t="array" ref="DY487">SUM(IF(DU487:DV487&gt;=DV487, 1))</f>
        <v>1</v>
      </c>
      <c r="EA487" s="109">
        <f t="shared" si="220"/>
        <v>-211256909.09442252</v>
      </c>
      <c r="EB487" s="109">
        <f t="shared" si="221"/>
        <v>0</v>
      </c>
      <c r="ED487" s="58">
        <f t="array" ref="ED487">SUM(IF(EA487:EB487&gt;=EA487, 1))</f>
        <v>2</v>
      </c>
      <c r="EE487" s="58">
        <f t="array" ref="EE487">SUM(IF(EA487:EB487&gt;=EB487, 1))</f>
        <v>1</v>
      </c>
    </row>
    <row r="488" spans="4:135" ht="12" customHeight="1" x14ac:dyDescent="0.25">
      <c r="D488" s="11">
        <v>472</v>
      </c>
      <c r="E488" s="72">
        <v>249.34236852657236</v>
      </c>
      <c r="F488" s="72">
        <v>235.1175221812756</v>
      </c>
      <c r="G488" s="73"/>
      <c r="H488" s="74">
        <v>5.8284719861501202</v>
      </c>
      <c r="I488" s="74">
        <v>5.8477808691683846</v>
      </c>
      <c r="J488" s="73"/>
      <c r="K488" s="72">
        <v>268.14481615774486</v>
      </c>
      <c r="L488" s="72">
        <v>253.56555770758831</v>
      </c>
      <c r="M488" s="73"/>
      <c r="N488" s="74">
        <v>6.7430693609365333</v>
      </c>
      <c r="O488" s="74">
        <v>6.7602714320307635</v>
      </c>
      <c r="P488" s="73"/>
      <c r="Q488" s="72">
        <v>1959.5928827466212</v>
      </c>
      <c r="R488" s="72">
        <v>1398.7317627273635</v>
      </c>
      <c r="S488" s="73"/>
      <c r="T488" s="74">
        <v>4.8692957512216193</v>
      </c>
      <c r="U488" s="74">
        <v>4.9257129097093539</v>
      </c>
      <c r="V488" s="73"/>
      <c r="W488" s="72">
        <v>14812.93761800523</v>
      </c>
      <c r="X488" s="72">
        <v>14762.783305599261</v>
      </c>
      <c r="Y488" s="73"/>
      <c r="Z488" s="74">
        <v>3.0780286037563798</v>
      </c>
      <c r="AA488" s="74">
        <v>3.1295265385481366</v>
      </c>
      <c r="AB488" s="73"/>
      <c r="AC488" s="72">
        <v>50098.951363450033</v>
      </c>
      <c r="AD488" s="72">
        <v>49734.823184349472</v>
      </c>
      <c r="AE488" s="73"/>
      <c r="AF488" s="74">
        <v>4.4139672221025927</v>
      </c>
      <c r="AG488" s="74">
        <v>4.5199392813232002</v>
      </c>
      <c r="AH488" s="73"/>
      <c r="AI488" s="72">
        <v>1525017.5285364913</v>
      </c>
      <c r="AJ488" s="72">
        <v>0</v>
      </c>
      <c r="AK488" s="73"/>
      <c r="AL488" s="74">
        <v>-2070.067004207031</v>
      </c>
      <c r="AM488" s="74">
        <v>0</v>
      </c>
      <c r="AN488" s="73"/>
      <c r="AO488" s="72">
        <v>95072.225037497687</v>
      </c>
      <c r="AP488" s="72">
        <v>0</v>
      </c>
      <c r="AQ488" s="73"/>
      <c r="AR488" s="74">
        <v>-112.17574472480314</v>
      </c>
      <c r="AS488" s="74">
        <v>0</v>
      </c>
      <c r="AT488" s="73"/>
      <c r="AU488" s="72">
        <v>13415212.26062982</v>
      </c>
      <c r="AV488" s="72">
        <v>0</v>
      </c>
      <c r="AW488" s="73"/>
      <c r="AX488" s="74">
        <v>-1349.4395122781314</v>
      </c>
      <c r="AY488" s="74">
        <v>0</v>
      </c>
      <c r="AZ488" s="73"/>
      <c r="BA488" s="72">
        <v>452159.87560236937</v>
      </c>
      <c r="BB488" s="72">
        <v>0</v>
      </c>
      <c r="BC488" s="73"/>
      <c r="BD488" s="74">
        <v>-464.27313369864601</v>
      </c>
      <c r="BE488" s="74">
        <v>0</v>
      </c>
      <c r="BF488" s="73"/>
      <c r="BG488" s="72">
        <v>5871539.3968724618</v>
      </c>
      <c r="BH488" s="72">
        <v>0</v>
      </c>
      <c r="BI488" s="73"/>
      <c r="BJ488" s="74">
        <v>-1708.7914542028943</v>
      </c>
      <c r="BK488" s="74">
        <v>0</v>
      </c>
      <c r="BL488" s="73"/>
      <c r="BM488" s="72">
        <v>21359001.286678642</v>
      </c>
      <c r="BN488" s="72">
        <v>0</v>
      </c>
      <c r="BO488" s="73"/>
      <c r="BP488" s="74">
        <v>-5704.7468491115069</v>
      </c>
      <c r="BQ488" s="74">
        <v>0</v>
      </c>
      <c r="BS488" s="109">
        <f t="shared" si="201"/>
        <v>116320.09735447583</v>
      </c>
      <c r="BT488" s="109">
        <f t="shared" si="202"/>
        <v>116720.49986118641</v>
      </c>
      <c r="BV488" s="58">
        <f t="array" ref="BV488">SUM(IF(BS488:BT488&gt;=BS488, 1))</f>
        <v>2</v>
      </c>
      <c r="BW488" s="58">
        <f t="array" ref="BW488">SUM(IF(BS488:BT488&gt;=BT488, 1))</f>
        <v>1</v>
      </c>
      <c r="BY488" s="109">
        <f t="shared" si="203"/>
        <v>134593.24240257291</v>
      </c>
      <c r="BZ488" s="109">
        <f t="shared" si="204"/>
        <v>134951.86308290769</v>
      </c>
      <c r="CB488" s="58">
        <f t="array" ref="CB488">SUM(IF(BY488:BZ488&gt;=BY488, 1))</f>
        <v>2</v>
      </c>
      <c r="CC488" s="58">
        <f t="array" ref="CC488">SUM(IF(BY488:BZ488&gt;=BZ488, 1))</f>
        <v>1</v>
      </c>
      <c r="CE488" s="109">
        <f t="shared" si="205"/>
        <v>95426.322141685756</v>
      </c>
      <c r="CF488" s="109">
        <f t="shared" si="206"/>
        <v>97115.526431459715</v>
      </c>
      <c r="CH488" s="58">
        <f t="array" ref="CH488">SUM(IF(CE488:CF488&gt;=CE488, 1))</f>
        <v>2</v>
      </c>
      <c r="CI488" s="58">
        <f t="array" ref="CI488">SUM(IF(CE488:CF488&gt;=CF488, 1))</f>
        <v>1</v>
      </c>
      <c r="CK488" s="109">
        <f t="shared" si="207"/>
        <v>46747.634457122367</v>
      </c>
      <c r="CL488" s="109">
        <f t="shared" si="208"/>
        <v>47827.747465363471</v>
      </c>
      <c r="CN488" s="58">
        <f t="array" ref="CN488">SUM(IF(CK488:CL488&gt;=CK488, 1))</f>
        <v>2</v>
      </c>
      <c r="CO488" s="58">
        <f t="array" ref="CO488">SUM(IF(CK488:CL488&gt;=CL488, 1))</f>
        <v>1</v>
      </c>
      <c r="CQ488" s="109" cm="1">
        <f t="array" ref="CQ488">AF488*WTP-AC488</f>
        <v>38180.393078601817</v>
      </c>
      <c r="CR488" s="109">
        <f t="shared" si="209"/>
        <v>40663.962442114527</v>
      </c>
      <c r="CT488" s="58">
        <f t="array" ref="CT488">SUM(IF(CQ488:CR488&gt;=CQ488, 1))</f>
        <v>2</v>
      </c>
      <c r="CU488" s="58">
        <f t="array" ref="CU488">SUM(IF(CQ488:CR488&gt;=CR488, 1))</f>
        <v>1</v>
      </c>
      <c r="CW488" s="109">
        <f t="shared" si="210"/>
        <v>-42926357.612677112</v>
      </c>
      <c r="CX488" s="109">
        <f t="shared" si="211"/>
        <v>0</v>
      </c>
      <c r="CZ488" s="58">
        <f t="array" ref="CZ488">SUM(IF(CW488:CX488&gt;=CW488, 1))</f>
        <v>2</v>
      </c>
      <c r="DA488" s="58">
        <f t="array" ref="DA488">SUM(IF(CW488:CX488&gt;=CX488, 1))</f>
        <v>1</v>
      </c>
      <c r="DC488" s="109">
        <f t="shared" si="212"/>
        <v>-2338587.1195335602</v>
      </c>
      <c r="DD488" s="109">
        <f t="shared" si="213"/>
        <v>0</v>
      </c>
      <c r="DF488" s="58">
        <f t="array" ref="DF488">SUM(IF(DC488:DD488&gt;=DC488, 1))</f>
        <v>2</v>
      </c>
      <c r="DG488" s="58">
        <f t="array" ref="DG488">SUM(IF(DC488:DD488&gt;=DD488, 1))</f>
        <v>1</v>
      </c>
      <c r="DI488" s="109">
        <f t="shared" si="214"/>
        <v>-40404002.506192446</v>
      </c>
      <c r="DJ488" s="109">
        <f t="shared" si="215"/>
        <v>0</v>
      </c>
      <c r="DL488" s="58">
        <f t="array" ref="DL488">SUM(IF(DI488:DJ488&gt;=DI488, 1))</f>
        <v>2</v>
      </c>
      <c r="DM488" s="58">
        <f t="array" ref="DM488">SUM(IF(DI488:DJ488&gt;=DJ488, 1))</f>
        <v>1</v>
      </c>
      <c r="DO488" s="109">
        <f t="shared" si="216"/>
        <v>-9737622.5495752897</v>
      </c>
      <c r="DP488" s="109">
        <f t="shared" si="217"/>
        <v>0</v>
      </c>
      <c r="DR488" s="58">
        <f t="array" ref="DR488">SUM(IF(DO488:DP488&gt;=DO488, 1))</f>
        <v>2</v>
      </c>
      <c r="DS488" s="58">
        <f t="array" ref="DS488">SUM(IF(DO488:DP488&gt;=DP488, 1))</f>
        <v>1</v>
      </c>
      <c r="DU488" s="109">
        <f t="shared" si="218"/>
        <v>-40047368.480930351</v>
      </c>
      <c r="DV488" s="109">
        <f t="shared" si="219"/>
        <v>0</v>
      </c>
      <c r="DX488" s="58">
        <f t="array" ref="DX488">SUM(IF(DU488:DV488&gt;=DU488, 1))</f>
        <v>2</v>
      </c>
      <c r="DY488" s="58">
        <f t="array" ref="DY488">SUM(IF(DU488:DV488&gt;=DV488, 1))</f>
        <v>1</v>
      </c>
      <c r="EA488" s="109">
        <f t="shared" si="220"/>
        <v>-135453938.2689088</v>
      </c>
      <c r="EB488" s="109">
        <f t="shared" si="221"/>
        <v>0</v>
      </c>
      <c r="ED488" s="58">
        <f t="array" ref="ED488">SUM(IF(EA488:EB488&gt;=EA488, 1))</f>
        <v>2</v>
      </c>
      <c r="EE488" s="58">
        <f t="array" ref="EE488">SUM(IF(EA488:EB488&gt;=EB488, 1))</f>
        <v>1</v>
      </c>
    </row>
    <row r="489" spans="4:135" ht="12" customHeight="1" x14ac:dyDescent="0.25">
      <c r="D489" s="11">
        <v>473</v>
      </c>
      <c r="E489" s="72">
        <v>266.83797081325883</v>
      </c>
      <c r="F489" s="72">
        <v>248.81403055525595</v>
      </c>
      <c r="G489" s="73"/>
      <c r="H489" s="74">
        <v>5.8358625911126136</v>
      </c>
      <c r="I489" s="74">
        <v>5.8509438126506144</v>
      </c>
      <c r="J489" s="73"/>
      <c r="K489" s="72">
        <v>286.80156590267774</v>
      </c>
      <c r="L489" s="72">
        <v>268.31144442314741</v>
      </c>
      <c r="M489" s="73"/>
      <c r="N489" s="74">
        <v>6.7060430250885714</v>
      </c>
      <c r="O489" s="74">
        <v>6.718585469826027</v>
      </c>
      <c r="P489" s="73"/>
      <c r="Q489" s="72">
        <v>2420.5196695112322</v>
      </c>
      <c r="R489" s="72">
        <v>1572.6103127928623</v>
      </c>
      <c r="S489" s="73"/>
      <c r="T489" s="74">
        <v>4.8862053954433877</v>
      </c>
      <c r="U489" s="74">
        <v>4.9531754479233907</v>
      </c>
      <c r="V489" s="73"/>
      <c r="W489" s="72">
        <v>12385.181227972762</v>
      </c>
      <c r="X489" s="72">
        <v>12349.549586316671</v>
      </c>
      <c r="Y489" s="73"/>
      <c r="Z489" s="74">
        <v>3.0469239525709537</v>
      </c>
      <c r="AA489" s="74">
        <v>3.0840223578662087</v>
      </c>
      <c r="AB489" s="73"/>
      <c r="AC489" s="72">
        <v>52656.144926003442</v>
      </c>
      <c r="AD489" s="72">
        <v>52335.089962327133</v>
      </c>
      <c r="AE489" s="73"/>
      <c r="AF489" s="74">
        <v>4.1679082381373291</v>
      </c>
      <c r="AG489" s="74">
        <v>4.2867343379328977</v>
      </c>
      <c r="AH489" s="73"/>
      <c r="AI489" s="72">
        <v>1933435.509355692</v>
      </c>
      <c r="AJ489" s="72">
        <v>0</v>
      </c>
      <c r="AK489" s="73"/>
      <c r="AL489" s="74">
        <v>-1617.7688578990749</v>
      </c>
      <c r="AM489" s="74">
        <v>0</v>
      </c>
      <c r="AN489" s="73"/>
      <c r="AO489" s="72">
        <v>127120.59285276549</v>
      </c>
      <c r="AP489" s="72">
        <v>0</v>
      </c>
      <c r="AQ489" s="73"/>
      <c r="AR489" s="74">
        <v>-86.229991112470614</v>
      </c>
      <c r="AS489" s="74">
        <v>0</v>
      </c>
      <c r="AT489" s="73"/>
      <c r="AU489" s="72">
        <v>19453410.265367944</v>
      </c>
      <c r="AV489" s="72">
        <v>0</v>
      </c>
      <c r="AW489" s="73"/>
      <c r="AX489" s="74">
        <v>-1536.480162725034</v>
      </c>
      <c r="AY489" s="74">
        <v>0</v>
      </c>
      <c r="AZ489" s="73"/>
      <c r="BA489" s="72">
        <v>311110.80186897644</v>
      </c>
      <c r="BB489" s="72">
        <v>0</v>
      </c>
      <c r="BC489" s="73"/>
      <c r="BD489" s="74">
        <v>-323.91756548477758</v>
      </c>
      <c r="BE489" s="74">
        <v>0</v>
      </c>
      <c r="BF489" s="73"/>
      <c r="BG489" s="72">
        <v>5187254.8035480483</v>
      </c>
      <c r="BH489" s="72">
        <v>0</v>
      </c>
      <c r="BI489" s="73"/>
      <c r="BJ489" s="74">
        <v>-1919.8621005370385</v>
      </c>
      <c r="BK489" s="74">
        <v>0</v>
      </c>
      <c r="BL489" s="73"/>
      <c r="BM489" s="72">
        <v>27012331.972993426</v>
      </c>
      <c r="BN489" s="72">
        <v>0</v>
      </c>
      <c r="BO489" s="73"/>
      <c r="BP489" s="74">
        <v>-5484.2586777583956</v>
      </c>
      <c r="BQ489" s="74">
        <v>0</v>
      </c>
      <c r="BS489" s="109">
        <f t="shared" si="201"/>
        <v>116450.41385143902</v>
      </c>
      <c r="BT489" s="109">
        <f t="shared" si="202"/>
        <v>116770.06222245704</v>
      </c>
      <c r="BV489" s="58">
        <f t="array" ref="BV489">SUM(IF(BS489:BT489&gt;=BS489, 1))</f>
        <v>2</v>
      </c>
      <c r="BW489" s="58">
        <f t="array" ref="BW489">SUM(IF(BS489:BT489&gt;=BT489, 1))</f>
        <v>1</v>
      </c>
      <c r="BY489" s="109">
        <f t="shared" si="203"/>
        <v>133834.05893586873</v>
      </c>
      <c r="BZ489" s="109">
        <f t="shared" si="204"/>
        <v>134103.39795209738</v>
      </c>
      <c r="CB489" s="58">
        <f t="array" ref="CB489">SUM(IF(BY489:BZ489&gt;=BY489, 1))</f>
        <v>2</v>
      </c>
      <c r="CC489" s="58">
        <f t="array" ref="CC489">SUM(IF(BY489:BZ489&gt;=BZ489, 1))</f>
        <v>1</v>
      </c>
      <c r="CE489" s="109">
        <f t="shared" si="205"/>
        <v>95303.588239356512</v>
      </c>
      <c r="CF489" s="109">
        <f t="shared" si="206"/>
        <v>97490.898645674955</v>
      </c>
      <c r="CH489" s="58">
        <f t="array" ref="CH489">SUM(IF(CE489:CF489&gt;=CE489, 1))</f>
        <v>2</v>
      </c>
      <c r="CI489" s="58">
        <f t="array" ref="CI489">SUM(IF(CE489:CF489&gt;=CF489, 1))</f>
        <v>1</v>
      </c>
      <c r="CK489" s="109">
        <f t="shared" si="207"/>
        <v>48553.297823446315</v>
      </c>
      <c r="CL489" s="109">
        <f t="shared" si="208"/>
        <v>49330.897571007503</v>
      </c>
      <c r="CN489" s="58">
        <f t="array" ref="CN489">SUM(IF(CK489:CL489&gt;=CK489, 1))</f>
        <v>2</v>
      </c>
      <c r="CO489" s="58">
        <f t="array" ref="CO489">SUM(IF(CK489:CL489&gt;=CL489, 1))</f>
        <v>1</v>
      </c>
      <c r="CQ489" s="109" cm="1">
        <f t="array" ref="CQ489">AF489*WTP-AC489</f>
        <v>30702.019836743144</v>
      </c>
      <c r="CR489" s="109">
        <f t="shared" si="209"/>
        <v>33399.596796330829</v>
      </c>
      <c r="CT489" s="58">
        <f t="array" ref="CT489">SUM(IF(CQ489:CR489&gt;=CQ489, 1))</f>
        <v>2</v>
      </c>
      <c r="CU489" s="58">
        <f t="array" ref="CU489">SUM(IF(CQ489:CR489&gt;=CR489, 1))</f>
        <v>1</v>
      </c>
      <c r="CW489" s="109">
        <f t="shared" si="210"/>
        <v>-34288812.667337187</v>
      </c>
      <c r="CX489" s="109">
        <f t="shared" si="211"/>
        <v>0</v>
      </c>
      <c r="CZ489" s="58">
        <f t="array" ref="CZ489">SUM(IF(CW489:CX489&gt;=CW489, 1))</f>
        <v>2</v>
      </c>
      <c r="DA489" s="58">
        <f t="array" ref="DA489">SUM(IF(CW489:CX489&gt;=CX489, 1))</f>
        <v>1</v>
      </c>
      <c r="DC489" s="109">
        <f t="shared" si="212"/>
        <v>-1851720.4151021778</v>
      </c>
      <c r="DD489" s="109">
        <f t="shared" si="213"/>
        <v>0</v>
      </c>
      <c r="DF489" s="58">
        <f t="array" ref="DF489">SUM(IF(DC489:DD489&gt;=DC489, 1))</f>
        <v>2</v>
      </c>
      <c r="DG489" s="58">
        <f t="array" ref="DG489">SUM(IF(DC489:DD489&gt;=DD489, 1))</f>
        <v>1</v>
      </c>
      <c r="DI489" s="109">
        <f t="shared" si="214"/>
        <v>-50183013.519868627</v>
      </c>
      <c r="DJ489" s="109">
        <f t="shared" si="215"/>
        <v>0</v>
      </c>
      <c r="DL489" s="58">
        <f t="array" ref="DL489">SUM(IF(DI489:DJ489&gt;=DI489, 1))</f>
        <v>2</v>
      </c>
      <c r="DM489" s="58">
        <f t="array" ref="DM489">SUM(IF(DI489:DJ489&gt;=DJ489, 1))</f>
        <v>1</v>
      </c>
      <c r="DO489" s="109">
        <f t="shared" si="216"/>
        <v>-6789462.1115645282</v>
      </c>
      <c r="DP489" s="109">
        <f t="shared" si="217"/>
        <v>0</v>
      </c>
      <c r="DR489" s="58">
        <f t="array" ref="DR489">SUM(IF(DO489:DP489&gt;=DO489, 1))</f>
        <v>2</v>
      </c>
      <c r="DS489" s="58">
        <f t="array" ref="DS489">SUM(IF(DO489:DP489&gt;=DP489, 1))</f>
        <v>1</v>
      </c>
      <c r="DU489" s="109">
        <f t="shared" si="218"/>
        <v>-43584496.814288817</v>
      </c>
      <c r="DV489" s="109">
        <f t="shared" si="219"/>
        <v>0</v>
      </c>
      <c r="DX489" s="58">
        <f t="array" ref="DX489">SUM(IF(DU489:DV489&gt;=DU489, 1))</f>
        <v>2</v>
      </c>
      <c r="DY489" s="58">
        <f t="array" ref="DY489">SUM(IF(DU489:DV489&gt;=DV489, 1))</f>
        <v>1</v>
      </c>
      <c r="EA489" s="109">
        <f t="shared" si="220"/>
        <v>-136697505.52816135</v>
      </c>
      <c r="EB489" s="109">
        <f t="shared" si="221"/>
        <v>0</v>
      </c>
      <c r="ED489" s="58">
        <f t="array" ref="ED489">SUM(IF(EA489:EB489&gt;=EA489, 1))</f>
        <v>2</v>
      </c>
      <c r="EE489" s="58">
        <f t="array" ref="EE489">SUM(IF(EA489:EB489&gt;=EB489, 1))</f>
        <v>1</v>
      </c>
    </row>
    <row r="490" spans="4:135" ht="12" customHeight="1" x14ac:dyDescent="0.25">
      <c r="D490" s="11">
        <v>474</v>
      </c>
      <c r="E490" s="72">
        <v>318.32405155117942</v>
      </c>
      <c r="F490" s="72">
        <v>298.24954947443206</v>
      </c>
      <c r="G490" s="73"/>
      <c r="H490" s="74">
        <v>5.7849918527722677</v>
      </c>
      <c r="I490" s="74">
        <v>5.7982716540206658</v>
      </c>
      <c r="J490" s="73"/>
      <c r="K490" s="72">
        <v>342.1219936292444</v>
      </c>
      <c r="L490" s="72">
        <v>321.51946184120641</v>
      </c>
      <c r="M490" s="73"/>
      <c r="N490" s="74">
        <v>6.6356024222223509</v>
      </c>
      <c r="O490" s="74">
        <v>6.6467669140611161</v>
      </c>
      <c r="P490" s="73"/>
      <c r="Q490" s="72">
        <v>3820.7689626484726</v>
      </c>
      <c r="R490" s="72">
        <v>1534.3972208563189</v>
      </c>
      <c r="S490" s="73"/>
      <c r="T490" s="74">
        <v>4.7230310176439989</v>
      </c>
      <c r="U490" s="74">
        <v>4.8544379908829054</v>
      </c>
      <c r="V490" s="73"/>
      <c r="W490" s="72">
        <v>11566.516185788467</v>
      </c>
      <c r="X490" s="72">
        <v>11521.643035769206</v>
      </c>
      <c r="Y490" s="73"/>
      <c r="Z490" s="74">
        <v>2.8412698947931063</v>
      </c>
      <c r="AA490" s="74">
        <v>2.8829787350122795</v>
      </c>
      <c r="AB490" s="73"/>
      <c r="AC490" s="72">
        <v>48939.233461322947</v>
      </c>
      <c r="AD490" s="72">
        <v>48931.786780058712</v>
      </c>
      <c r="AE490" s="73"/>
      <c r="AF490" s="74">
        <v>4.7023385861314502</v>
      </c>
      <c r="AG490" s="74">
        <v>4.7797459670729108</v>
      </c>
      <c r="AH490" s="73"/>
      <c r="AI490" s="72">
        <v>2171165.7513824869</v>
      </c>
      <c r="AJ490" s="72">
        <v>0</v>
      </c>
      <c r="AK490" s="73"/>
      <c r="AL490" s="74">
        <v>-1436.2821825147896</v>
      </c>
      <c r="AM490" s="74">
        <v>0</v>
      </c>
      <c r="AN490" s="73"/>
      <c r="AO490" s="72">
        <v>138972.1866089383</v>
      </c>
      <c r="AP490" s="72">
        <v>0</v>
      </c>
      <c r="AQ490" s="73"/>
      <c r="AR490" s="74">
        <v>-75.308892090228184</v>
      </c>
      <c r="AS490" s="74">
        <v>0</v>
      </c>
      <c r="AT490" s="73"/>
      <c r="AU490" s="72">
        <v>53619197.243693128</v>
      </c>
      <c r="AV490" s="72">
        <v>0</v>
      </c>
      <c r="AW490" s="73"/>
      <c r="AX490" s="74">
        <v>-3081.7107684206826</v>
      </c>
      <c r="AY490" s="74">
        <v>0</v>
      </c>
      <c r="AZ490" s="73"/>
      <c r="BA490" s="72">
        <v>407416.70750566706</v>
      </c>
      <c r="BB490" s="72">
        <v>0</v>
      </c>
      <c r="BC490" s="73"/>
      <c r="BD490" s="74">
        <v>-378.68699542335912</v>
      </c>
      <c r="BE490" s="74">
        <v>0</v>
      </c>
      <c r="BF490" s="73"/>
      <c r="BG490" s="72">
        <v>114263.8640956343</v>
      </c>
      <c r="BH490" s="72">
        <v>0</v>
      </c>
      <c r="BI490" s="73"/>
      <c r="BJ490" s="74">
        <v>-1187.7595054825749</v>
      </c>
      <c r="BK490" s="74">
        <v>0</v>
      </c>
      <c r="BL490" s="73"/>
      <c r="BM490" s="72">
        <v>56451015.753285855</v>
      </c>
      <c r="BN490" s="72">
        <v>0</v>
      </c>
      <c r="BO490" s="73"/>
      <c r="BP490" s="74">
        <v>-6159.7483439316347</v>
      </c>
      <c r="BQ490" s="74">
        <v>0</v>
      </c>
      <c r="BS490" s="109">
        <f t="shared" si="201"/>
        <v>115381.51300389417</v>
      </c>
      <c r="BT490" s="109">
        <f t="shared" si="202"/>
        <v>115667.18353093888</v>
      </c>
      <c r="BV490" s="58">
        <f t="array" ref="BV490">SUM(IF(BS490:BT490&gt;=BS490, 1))</f>
        <v>2</v>
      </c>
      <c r="BW490" s="58">
        <f t="array" ref="BW490">SUM(IF(BS490:BT490&gt;=BT490, 1))</f>
        <v>1</v>
      </c>
      <c r="BY490" s="109">
        <f t="shared" si="203"/>
        <v>132369.92645081779</v>
      </c>
      <c r="BZ490" s="109">
        <f t="shared" si="204"/>
        <v>132613.81881938112</v>
      </c>
      <c r="CB490" s="58">
        <f t="array" ref="CB490">SUM(IF(BY490:BZ490&gt;=BY490, 1))</f>
        <v>2</v>
      </c>
      <c r="CC490" s="58">
        <f t="array" ref="CC490">SUM(IF(BY490:BZ490&gt;=BZ490, 1))</f>
        <v>1</v>
      </c>
      <c r="CE490" s="109">
        <f t="shared" si="205"/>
        <v>90639.851390231503</v>
      </c>
      <c r="CF490" s="109">
        <f t="shared" si="206"/>
        <v>95554.362596801788</v>
      </c>
      <c r="CH490" s="58">
        <f t="array" ref="CH490">SUM(IF(CE490:CF490&gt;=CE490, 1))</f>
        <v>2</v>
      </c>
      <c r="CI490" s="58">
        <f t="array" ref="CI490">SUM(IF(CE490:CF490&gt;=CF490, 1))</f>
        <v>1</v>
      </c>
      <c r="CK490" s="109">
        <f t="shared" si="207"/>
        <v>45258.881710073656</v>
      </c>
      <c r="CL490" s="109">
        <f t="shared" si="208"/>
        <v>46137.931664476382</v>
      </c>
      <c r="CN490" s="58">
        <f t="array" ref="CN490">SUM(IF(CK490:CL490&gt;=CK490, 1))</f>
        <v>2</v>
      </c>
      <c r="CO490" s="58">
        <f t="array" ref="CO490">SUM(IF(CK490:CL490&gt;=CL490, 1))</f>
        <v>1</v>
      </c>
      <c r="CQ490" s="109" cm="1">
        <f t="array" ref="CQ490">AF490*WTP-AC490</f>
        <v>45107.53826130605</v>
      </c>
      <c r="CR490" s="109">
        <f t="shared" si="209"/>
        <v>46663.1325613995</v>
      </c>
      <c r="CT490" s="58">
        <f t="array" ref="CT490">SUM(IF(CQ490:CR490&gt;=CQ490, 1))</f>
        <v>2</v>
      </c>
      <c r="CU490" s="58">
        <f t="array" ref="CU490">SUM(IF(CQ490:CR490&gt;=CR490, 1))</f>
        <v>1</v>
      </c>
      <c r="CW490" s="109">
        <f t="shared" si="210"/>
        <v>-30896809.401678279</v>
      </c>
      <c r="CX490" s="109">
        <f t="shared" si="211"/>
        <v>0</v>
      </c>
      <c r="CZ490" s="58">
        <f t="array" ref="CZ490">SUM(IF(CW490:CX490&gt;=CW490, 1))</f>
        <v>2</v>
      </c>
      <c r="DA490" s="58">
        <f t="array" ref="DA490">SUM(IF(CW490:CX490&gt;=CX490, 1))</f>
        <v>1</v>
      </c>
      <c r="DC490" s="109">
        <f t="shared" si="212"/>
        <v>-1645150.028413502</v>
      </c>
      <c r="DD490" s="109">
        <f t="shared" si="213"/>
        <v>0</v>
      </c>
      <c r="DF490" s="58">
        <f t="array" ref="DF490">SUM(IF(DC490:DD490&gt;=DC490, 1))</f>
        <v>2</v>
      </c>
      <c r="DG490" s="58">
        <f t="array" ref="DG490">SUM(IF(DC490:DD490&gt;=DD490, 1))</f>
        <v>1</v>
      </c>
      <c r="DI490" s="109">
        <f t="shared" si="214"/>
        <v>-115253412.61210677</v>
      </c>
      <c r="DJ490" s="109">
        <f t="shared" si="215"/>
        <v>0</v>
      </c>
      <c r="DL490" s="58">
        <f t="array" ref="DL490">SUM(IF(DI490:DJ490&gt;=DI490, 1))</f>
        <v>2</v>
      </c>
      <c r="DM490" s="58">
        <f t="array" ref="DM490">SUM(IF(DI490:DJ490&gt;=DJ490, 1))</f>
        <v>1</v>
      </c>
      <c r="DO490" s="109">
        <f t="shared" si="216"/>
        <v>-7981156.6159728495</v>
      </c>
      <c r="DP490" s="109">
        <f t="shared" si="217"/>
        <v>0</v>
      </c>
      <c r="DR490" s="58">
        <f t="array" ref="DR490">SUM(IF(DO490:DP490&gt;=DO490, 1))</f>
        <v>2</v>
      </c>
      <c r="DS490" s="58">
        <f t="array" ref="DS490">SUM(IF(DO490:DP490&gt;=DP490, 1))</f>
        <v>1</v>
      </c>
      <c r="DU490" s="109">
        <f t="shared" si="218"/>
        <v>-23869453.973747134</v>
      </c>
      <c r="DV490" s="109">
        <f t="shared" si="219"/>
        <v>0</v>
      </c>
      <c r="DX490" s="58">
        <f t="array" ref="DX490">SUM(IF(DU490:DV490&gt;=DU490, 1))</f>
        <v>2</v>
      </c>
      <c r="DY490" s="58">
        <f t="array" ref="DY490">SUM(IF(DU490:DV490&gt;=DV490, 1))</f>
        <v>1</v>
      </c>
      <c r="EA490" s="109">
        <f t="shared" si="220"/>
        <v>-179645982.63191855</v>
      </c>
      <c r="EB490" s="109">
        <f t="shared" si="221"/>
        <v>0</v>
      </c>
      <c r="ED490" s="58">
        <f t="array" ref="ED490">SUM(IF(EA490:EB490&gt;=EA490, 1))</f>
        <v>2</v>
      </c>
      <c r="EE490" s="58">
        <f t="array" ref="EE490">SUM(IF(EA490:EB490&gt;=EB490, 1))</f>
        <v>1</v>
      </c>
    </row>
    <row r="491" spans="4:135" ht="12" customHeight="1" x14ac:dyDescent="0.25">
      <c r="D491" s="11">
        <v>475</v>
      </c>
      <c r="E491" s="72">
        <v>284.92786628882021</v>
      </c>
      <c r="F491" s="72">
        <v>254.9355718669004</v>
      </c>
      <c r="G491" s="73"/>
      <c r="H491" s="74">
        <v>5.8697840367140381</v>
      </c>
      <c r="I491" s="74">
        <v>5.8823619151428668</v>
      </c>
      <c r="J491" s="73"/>
      <c r="K491" s="72">
        <v>305.53757395604197</v>
      </c>
      <c r="L491" s="72">
        <v>274.81624324807626</v>
      </c>
      <c r="M491" s="73"/>
      <c r="N491" s="74">
        <v>6.6981537573678454</v>
      </c>
      <c r="O491" s="74">
        <v>6.7087382584477577</v>
      </c>
      <c r="P491" s="73"/>
      <c r="Q491" s="72">
        <v>2922.5252058991077</v>
      </c>
      <c r="R491" s="72">
        <v>1657.8131334536934</v>
      </c>
      <c r="S491" s="73"/>
      <c r="T491" s="74">
        <v>4.8053630197939095</v>
      </c>
      <c r="U491" s="74">
        <v>4.8856631929457599</v>
      </c>
      <c r="V491" s="73"/>
      <c r="W491" s="72">
        <v>11830.686789393916</v>
      </c>
      <c r="X491" s="72">
        <v>11889.518070965561</v>
      </c>
      <c r="Y491" s="73"/>
      <c r="Z491" s="74">
        <v>3.0210619200728366</v>
      </c>
      <c r="AA491" s="74">
        <v>3.0934639804241542</v>
      </c>
      <c r="AB491" s="73"/>
      <c r="AC491" s="72">
        <v>49966.012296808723</v>
      </c>
      <c r="AD491" s="72">
        <v>49888.978360059475</v>
      </c>
      <c r="AE491" s="73"/>
      <c r="AF491" s="74">
        <v>4.9399183848889807</v>
      </c>
      <c r="AG491" s="74">
        <v>5.0557249684855163</v>
      </c>
      <c r="AH491" s="73"/>
      <c r="AI491" s="72">
        <v>3247163.4465412525</v>
      </c>
      <c r="AJ491" s="72">
        <v>0</v>
      </c>
      <c r="AK491" s="73"/>
      <c r="AL491" s="74">
        <v>-1361.7640082674845</v>
      </c>
      <c r="AM491" s="74">
        <v>0</v>
      </c>
      <c r="AN491" s="73"/>
      <c r="AO491" s="72">
        <v>206940.26258699509</v>
      </c>
      <c r="AP491" s="72">
        <v>0</v>
      </c>
      <c r="AQ491" s="73"/>
      <c r="AR491" s="74">
        <v>-71.297674363482713</v>
      </c>
      <c r="AS491" s="74">
        <v>0</v>
      </c>
      <c r="AT491" s="73"/>
      <c r="AU491" s="72">
        <v>28832994.028003927</v>
      </c>
      <c r="AV491" s="72">
        <v>0</v>
      </c>
      <c r="AW491" s="73"/>
      <c r="AX491" s="74">
        <v>-1830.6889476101801</v>
      </c>
      <c r="AY491" s="74">
        <v>0</v>
      </c>
      <c r="AZ491" s="73"/>
      <c r="BA491" s="72">
        <v>-527775.99249720795</v>
      </c>
      <c r="BB491" s="72">
        <v>0</v>
      </c>
      <c r="BC491" s="73"/>
      <c r="BD491" s="74">
        <v>-649.51957937928489</v>
      </c>
      <c r="BE491" s="74">
        <v>0</v>
      </c>
      <c r="BF491" s="73"/>
      <c r="BG491" s="72">
        <v>1188717.59812018</v>
      </c>
      <c r="BH491" s="72">
        <v>0</v>
      </c>
      <c r="BI491" s="73"/>
      <c r="BJ491" s="74">
        <v>-1787.021794660131</v>
      </c>
      <c r="BK491" s="74">
        <v>0</v>
      </c>
      <c r="BL491" s="73"/>
      <c r="BM491" s="72">
        <v>32948039.342755146</v>
      </c>
      <c r="BN491" s="72">
        <v>0</v>
      </c>
      <c r="BO491" s="73"/>
      <c r="BP491" s="74">
        <v>-5700.2920042805636</v>
      </c>
      <c r="BQ491" s="74">
        <v>0</v>
      </c>
      <c r="BS491" s="109">
        <f t="shared" si="201"/>
        <v>117110.75286799193</v>
      </c>
      <c r="BT491" s="109">
        <f t="shared" si="202"/>
        <v>117392.30273099044</v>
      </c>
      <c r="BV491" s="58">
        <f t="array" ref="BV491">SUM(IF(BS491:BT491&gt;=BS491, 1))</f>
        <v>2</v>
      </c>
      <c r="BW491" s="58">
        <f t="array" ref="BW491">SUM(IF(BS491:BT491&gt;=BT491, 1))</f>
        <v>1</v>
      </c>
      <c r="BY491" s="109">
        <f t="shared" si="203"/>
        <v>133657.53757340086</v>
      </c>
      <c r="BZ491" s="109">
        <f t="shared" si="204"/>
        <v>133899.94892570705</v>
      </c>
      <c r="CB491" s="58">
        <f t="array" ref="CB491">SUM(IF(BY491:BZ491&gt;=BY491, 1))</f>
        <v>2</v>
      </c>
      <c r="CC491" s="58">
        <f t="array" ref="CC491">SUM(IF(BY491:BZ491&gt;=BZ491, 1))</f>
        <v>1</v>
      </c>
      <c r="CE491" s="109">
        <f t="shared" si="205"/>
        <v>93184.735189979081</v>
      </c>
      <c r="CF491" s="109">
        <f t="shared" si="206"/>
        <v>96055.450725461516</v>
      </c>
      <c r="CH491" s="58">
        <f t="array" ref="CH491">SUM(IF(CE491:CF491&gt;=CE491, 1))</f>
        <v>2</v>
      </c>
      <c r="CI491" s="58">
        <f t="array" ref="CI491">SUM(IF(CE491:CF491&gt;=CF491, 1))</f>
        <v>1</v>
      </c>
      <c r="CK491" s="109">
        <f t="shared" si="207"/>
        <v>48590.551612062816</v>
      </c>
      <c r="CL491" s="109">
        <f t="shared" si="208"/>
        <v>49979.761537517523</v>
      </c>
      <c r="CN491" s="58">
        <f t="array" ref="CN491">SUM(IF(CK491:CL491&gt;=CK491, 1))</f>
        <v>2</v>
      </c>
      <c r="CO491" s="58">
        <f t="array" ref="CO491">SUM(IF(CK491:CL491&gt;=CL491, 1))</f>
        <v>1</v>
      </c>
      <c r="CQ491" s="109" cm="1">
        <f t="array" ref="CQ491">AF491*WTP-AC491</f>
        <v>48832.35540097089</v>
      </c>
      <c r="CR491" s="109">
        <f t="shared" si="209"/>
        <v>51225.521009650845</v>
      </c>
      <c r="CT491" s="58">
        <f t="array" ref="CT491">SUM(IF(CQ491:CR491&gt;=CQ491, 1))</f>
        <v>2</v>
      </c>
      <c r="CU491" s="58">
        <f t="array" ref="CU491">SUM(IF(CQ491:CR491&gt;=CR491, 1))</f>
        <v>1</v>
      </c>
      <c r="CW491" s="109">
        <f t="shared" si="210"/>
        <v>-30482443.611890946</v>
      </c>
      <c r="CX491" s="109">
        <f t="shared" si="211"/>
        <v>0</v>
      </c>
      <c r="CZ491" s="58">
        <f t="array" ref="CZ491">SUM(IF(CW491:CX491&gt;=CW491, 1))</f>
        <v>2</v>
      </c>
      <c r="DA491" s="58">
        <f t="array" ref="DA491">SUM(IF(CW491:CX491&gt;=CX491, 1))</f>
        <v>1</v>
      </c>
      <c r="DC491" s="109">
        <f t="shared" si="212"/>
        <v>-1632893.7498566492</v>
      </c>
      <c r="DD491" s="109">
        <f t="shared" si="213"/>
        <v>0</v>
      </c>
      <c r="DF491" s="58">
        <f t="array" ref="DF491">SUM(IF(DC491:DD491&gt;=DC491, 1))</f>
        <v>2</v>
      </c>
      <c r="DG491" s="58">
        <f t="array" ref="DG491">SUM(IF(DC491:DD491&gt;=DD491, 1))</f>
        <v>1</v>
      </c>
      <c r="DI491" s="109">
        <f t="shared" si="214"/>
        <v>-65446772.980207533</v>
      </c>
      <c r="DJ491" s="109">
        <f t="shared" si="215"/>
        <v>0</v>
      </c>
      <c r="DL491" s="58">
        <f t="array" ref="DL491">SUM(IF(DI491:DJ491&gt;=DI491, 1))</f>
        <v>2</v>
      </c>
      <c r="DM491" s="58">
        <f t="array" ref="DM491">SUM(IF(DI491:DJ491&gt;=DJ491, 1))</f>
        <v>1</v>
      </c>
      <c r="DO491" s="109">
        <f t="shared" si="216"/>
        <v>-12462615.595088489</v>
      </c>
      <c r="DP491" s="109">
        <f t="shared" si="217"/>
        <v>0</v>
      </c>
      <c r="DR491" s="58">
        <f t="array" ref="DR491">SUM(IF(DO491:DP491&gt;=DO491, 1))</f>
        <v>2</v>
      </c>
      <c r="DS491" s="58">
        <f t="array" ref="DS491">SUM(IF(DO491:DP491&gt;=DP491, 1))</f>
        <v>1</v>
      </c>
      <c r="DU491" s="109">
        <f t="shared" si="218"/>
        <v>-36929153.491322801</v>
      </c>
      <c r="DV491" s="109">
        <f t="shared" si="219"/>
        <v>0</v>
      </c>
      <c r="DX491" s="58">
        <f t="array" ref="DX491">SUM(IF(DU491:DV491&gt;=DU491, 1))</f>
        <v>2</v>
      </c>
      <c r="DY491" s="58">
        <f t="array" ref="DY491">SUM(IF(DU491:DV491&gt;=DV491, 1))</f>
        <v>1</v>
      </c>
      <c r="EA491" s="109">
        <f t="shared" si="220"/>
        <v>-146953879.42836642</v>
      </c>
      <c r="EB491" s="109">
        <f t="shared" si="221"/>
        <v>0</v>
      </c>
      <c r="ED491" s="58">
        <f t="array" ref="ED491">SUM(IF(EA491:EB491&gt;=EA491, 1))</f>
        <v>2</v>
      </c>
      <c r="EE491" s="58">
        <f t="array" ref="EE491">SUM(IF(EA491:EB491&gt;=EB491, 1))</f>
        <v>1</v>
      </c>
    </row>
    <row r="492" spans="4:135" ht="12" customHeight="1" x14ac:dyDescent="0.25">
      <c r="D492" s="11">
        <v>476</v>
      </c>
      <c r="E492" s="72">
        <v>253.8975089739007</v>
      </c>
      <c r="F492" s="72">
        <v>229.54236338643295</v>
      </c>
      <c r="G492" s="73"/>
      <c r="H492" s="74">
        <v>5.861599869585925</v>
      </c>
      <c r="I492" s="74">
        <v>5.8790844176325727</v>
      </c>
      <c r="J492" s="73"/>
      <c r="K492" s="72">
        <v>272.40125961955727</v>
      </c>
      <c r="L492" s="72">
        <v>247.45609593206743</v>
      </c>
      <c r="M492" s="73"/>
      <c r="N492" s="74">
        <v>6.7013085527271734</v>
      </c>
      <c r="O492" s="74">
        <v>6.7161475826634351</v>
      </c>
      <c r="P492" s="73"/>
      <c r="Q492" s="72">
        <v>2936.2400253756464</v>
      </c>
      <c r="R492" s="72">
        <v>1503.7567051475103</v>
      </c>
      <c r="S492" s="73"/>
      <c r="T492" s="74">
        <v>4.9446941975198087</v>
      </c>
      <c r="U492" s="74">
        <v>5.0555150903476775</v>
      </c>
      <c r="V492" s="73"/>
      <c r="W492" s="72">
        <v>11963.226272084685</v>
      </c>
      <c r="X492" s="72">
        <v>11925.133752576719</v>
      </c>
      <c r="Y492" s="73"/>
      <c r="Z492" s="74">
        <v>2.9548816060498222</v>
      </c>
      <c r="AA492" s="74">
        <v>3.0133988330398398</v>
      </c>
      <c r="AB492" s="73"/>
      <c r="AC492" s="72">
        <v>48460.674616435492</v>
      </c>
      <c r="AD492" s="72">
        <v>48360.298440072271</v>
      </c>
      <c r="AE492" s="73"/>
      <c r="AF492" s="74">
        <v>4.9233643679883876</v>
      </c>
      <c r="AG492" s="74">
        <v>4.9864037637129437</v>
      </c>
      <c r="AH492" s="73"/>
      <c r="AI492" s="72">
        <v>2636031.5348030645</v>
      </c>
      <c r="AJ492" s="72">
        <v>0</v>
      </c>
      <c r="AK492" s="73"/>
      <c r="AL492" s="74">
        <v>-1892.4058514541873</v>
      </c>
      <c r="AM492" s="74">
        <v>0</v>
      </c>
      <c r="AN492" s="73"/>
      <c r="AO492" s="72">
        <v>169872.12451207772</v>
      </c>
      <c r="AP492" s="72">
        <v>0</v>
      </c>
      <c r="AQ492" s="73"/>
      <c r="AR492" s="74">
        <v>-101.05115254205644</v>
      </c>
      <c r="AS492" s="74">
        <v>0</v>
      </c>
      <c r="AT492" s="73"/>
      <c r="AU492" s="72">
        <v>33370211.952813711</v>
      </c>
      <c r="AV492" s="72">
        <v>0</v>
      </c>
      <c r="AW492" s="73"/>
      <c r="AX492" s="74">
        <v>-2581.6123861582405</v>
      </c>
      <c r="AY492" s="74">
        <v>0</v>
      </c>
      <c r="AZ492" s="73"/>
      <c r="BA492" s="72">
        <v>342675.33411709982</v>
      </c>
      <c r="BB492" s="72">
        <v>0</v>
      </c>
      <c r="BC492" s="73"/>
      <c r="BD492" s="74">
        <v>-526.41333703897942</v>
      </c>
      <c r="BE492" s="74">
        <v>0</v>
      </c>
      <c r="BF492" s="73"/>
      <c r="BG492" s="72">
        <v>1588645.3150518306</v>
      </c>
      <c r="BH492" s="72">
        <v>0</v>
      </c>
      <c r="BI492" s="73"/>
      <c r="BJ492" s="74">
        <v>-997.71922292717977</v>
      </c>
      <c r="BK492" s="74">
        <v>0</v>
      </c>
      <c r="BL492" s="73"/>
      <c r="BM492" s="72">
        <v>38107436.261297785</v>
      </c>
      <c r="BN492" s="72">
        <v>0</v>
      </c>
      <c r="BO492" s="73"/>
      <c r="BP492" s="74">
        <v>-6099.2019501206423</v>
      </c>
      <c r="BQ492" s="74">
        <v>0</v>
      </c>
      <c r="BS492" s="109">
        <f t="shared" si="201"/>
        <v>116978.0998827446</v>
      </c>
      <c r="BT492" s="109">
        <f t="shared" si="202"/>
        <v>117352.14598926503</v>
      </c>
      <c r="BV492" s="58">
        <f t="array" ref="BV492">SUM(IF(BS492:BT492&gt;=BS492, 1))</f>
        <v>2</v>
      </c>
      <c r="BW492" s="58">
        <f t="array" ref="BW492">SUM(IF(BS492:BT492&gt;=BT492, 1))</f>
        <v>1</v>
      </c>
      <c r="BY492" s="109">
        <f t="shared" si="203"/>
        <v>133753.76979492389</v>
      </c>
      <c r="BZ492" s="109">
        <f t="shared" si="204"/>
        <v>134075.49555733663</v>
      </c>
      <c r="CB492" s="58">
        <f t="array" ref="CB492">SUM(IF(BY492:BZ492&gt;=BY492, 1))</f>
        <v>2</v>
      </c>
      <c r="CC492" s="58">
        <f t="array" ref="CC492">SUM(IF(BY492:BZ492&gt;=BZ492, 1))</f>
        <v>1</v>
      </c>
      <c r="CE492" s="109">
        <f t="shared" si="205"/>
        <v>95957.643925020529</v>
      </c>
      <c r="CF492" s="109">
        <f t="shared" si="206"/>
        <v>99606.545101806041</v>
      </c>
      <c r="CH492" s="58">
        <f t="array" ref="CH492">SUM(IF(CE492:CF492&gt;=CE492, 1))</f>
        <v>2</v>
      </c>
      <c r="CI492" s="58">
        <f t="array" ref="CI492">SUM(IF(CE492:CF492&gt;=CF492, 1))</f>
        <v>1</v>
      </c>
      <c r="CK492" s="109">
        <f t="shared" si="207"/>
        <v>47134.40584891176</v>
      </c>
      <c r="CL492" s="109">
        <f t="shared" si="208"/>
        <v>48342.842908220075</v>
      </c>
      <c r="CN492" s="58">
        <f t="array" ref="CN492">SUM(IF(CK492:CL492&gt;=CK492, 1))</f>
        <v>2</v>
      </c>
      <c r="CO492" s="58">
        <f t="array" ref="CO492">SUM(IF(CK492:CL492&gt;=CL492, 1))</f>
        <v>1</v>
      </c>
      <c r="CQ492" s="109" cm="1">
        <f t="array" ref="CQ492">AF492*WTP-AC492</f>
        <v>50006.612743332262</v>
      </c>
      <c r="CR492" s="109">
        <f t="shared" si="209"/>
        <v>51367.77683418661</v>
      </c>
      <c r="CT492" s="58">
        <f t="array" ref="CT492">SUM(IF(CQ492:CR492&gt;=CQ492, 1))</f>
        <v>2</v>
      </c>
      <c r="CU492" s="58">
        <f t="array" ref="CU492">SUM(IF(CQ492:CR492&gt;=CR492, 1))</f>
        <v>1</v>
      </c>
      <c r="CW492" s="109">
        <f t="shared" si="210"/>
        <v>-40484148.563886806</v>
      </c>
      <c r="CX492" s="109">
        <f t="shared" si="211"/>
        <v>0</v>
      </c>
      <c r="CZ492" s="58">
        <f t="array" ref="CZ492">SUM(IF(CW492:CX492&gt;=CW492, 1))</f>
        <v>2</v>
      </c>
      <c r="DA492" s="58">
        <f t="array" ref="DA492">SUM(IF(CW492:CX492&gt;=CX492, 1))</f>
        <v>1</v>
      </c>
      <c r="DC492" s="109">
        <f t="shared" si="212"/>
        <v>-2190895.1753532067</v>
      </c>
      <c r="DD492" s="109">
        <f t="shared" si="213"/>
        <v>0</v>
      </c>
      <c r="DF492" s="58">
        <f t="array" ref="DF492">SUM(IF(DC492:DD492&gt;=DC492, 1))</f>
        <v>2</v>
      </c>
      <c r="DG492" s="58">
        <f t="array" ref="DG492">SUM(IF(DC492:DD492&gt;=DD492, 1))</f>
        <v>1</v>
      </c>
      <c r="DI492" s="109">
        <f t="shared" si="214"/>
        <v>-85002459.675978526</v>
      </c>
      <c r="DJ492" s="109">
        <f t="shared" si="215"/>
        <v>0</v>
      </c>
      <c r="DL492" s="58">
        <f t="array" ref="DL492">SUM(IF(DI492:DJ492&gt;=DI492, 1))</f>
        <v>2</v>
      </c>
      <c r="DM492" s="58">
        <f t="array" ref="DM492">SUM(IF(DI492:DJ492&gt;=DJ492, 1))</f>
        <v>1</v>
      </c>
      <c r="DO492" s="109">
        <f t="shared" si="216"/>
        <v>-10870942.074896688</v>
      </c>
      <c r="DP492" s="109">
        <f t="shared" si="217"/>
        <v>0</v>
      </c>
      <c r="DR492" s="58">
        <f t="array" ref="DR492">SUM(IF(DO492:DP492&gt;=DO492, 1))</f>
        <v>2</v>
      </c>
      <c r="DS492" s="58">
        <f t="array" ref="DS492">SUM(IF(DO492:DP492&gt;=DP492, 1))</f>
        <v>1</v>
      </c>
      <c r="DU492" s="109">
        <f t="shared" si="218"/>
        <v>-21543029.773595426</v>
      </c>
      <c r="DV492" s="109">
        <f t="shared" si="219"/>
        <v>0</v>
      </c>
      <c r="DX492" s="58">
        <f t="array" ref="DX492">SUM(IF(DU492:DV492&gt;=DU492, 1))</f>
        <v>2</v>
      </c>
      <c r="DY492" s="58">
        <f t="array" ref="DY492">SUM(IF(DU492:DV492&gt;=DV492, 1))</f>
        <v>1</v>
      </c>
      <c r="EA492" s="109">
        <f t="shared" si="220"/>
        <v>-160091475.26371062</v>
      </c>
      <c r="EB492" s="109">
        <f t="shared" si="221"/>
        <v>0</v>
      </c>
      <c r="ED492" s="58">
        <f t="array" ref="ED492">SUM(IF(EA492:EB492&gt;=EA492, 1))</f>
        <v>2</v>
      </c>
      <c r="EE492" s="58">
        <f t="array" ref="EE492">SUM(IF(EA492:EB492&gt;=EB492, 1))</f>
        <v>1</v>
      </c>
    </row>
    <row r="493" spans="4:135" ht="12" customHeight="1" x14ac:dyDescent="0.25">
      <c r="D493" s="11">
        <v>477</v>
      </c>
      <c r="E493" s="72">
        <v>192.14523297721635</v>
      </c>
      <c r="F493" s="72">
        <v>174.21155205481543</v>
      </c>
      <c r="G493" s="73"/>
      <c r="H493" s="74">
        <v>5.860983845432032</v>
      </c>
      <c r="I493" s="74">
        <v>5.8792362155435285</v>
      </c>
      <c r="J493" s="73"/>
      <c r="K493" s="72">
        <v>206.27368723932082</v>
      </c>
      <c r="L493" s="72">
        <v>187.8766066676238</v>
      </c>
      <c r="M493" s="73"/>
      <c r="N493" s="74">
        <v>6.7227120380962484</v>
      </c>
      <c r="O493" s="74">
        <v>6.7380895945085646</v>
      </c>
      <c r="P493" s="73"/>
      <c r="Q493" s="72">
        <v>3323.4071021227155</v>
      </c>
      <c r="R493" s="72">
        <v>1510.1301212884</v>
      </c>
      <c r="S493" s="73"/>
      <c r="T493" s="74">
        <v>4.7811190386136655</v>
      </c>
      <c r="U493" s="74">
        <v>4.9325365739865319</v>
      </c>
      <c r="V493" s="73"/>
      <c r="W493" s="72">
        <v>14526.267245821822</v>
      </c>
      <c r="X493" s="72">
        <v>14415.939360077242</v>
      </c>
      <c r="Y493" s="73"/>
      <c r="Z493" s="74">
        <v>3.077155491370581</v>
      </c>
      <c r="AA493" s="74">
        <v>3.1112250235584189</v>
      </c>
      <c r="AB493" s="73"/>
      <c r="AC493" s="72">
        <v>50569.745035194013</v>
      </c>
      <c r="AD493" s="72">
        <v>50311.619578272672</v>
      </c>
      <c r="AE493" s="73"/>
      <c r="AF493" s="74">
        <v>4.5091328978375058</v>
      </c>
      <c r="AG493" s="74">
        <v>4.6158300102456415</v>
      </c>
      <c r="AH493" s="73"/>
      <c r="AI493" s="72">
        <v>1919861.1526747833</v>
      </c>
      <c r="AJ493" s="72">
        <v>0</v>
      </c>
      <c r="AK493" s="73"/>
      <c r="AL493" s="74">
        <v>-1953.9779074319047</v>
      </c>
      <c r="AM493" s="74">
        <v>0</v>
      </c>
      <c r="AN493" s="73"/>
      <c r="AO493" s="72">
        <v>129105.21627707662</v>
      </c>
      <c r="AP493" s="72">
        <v>0</v>
      </c>
      <c r="AQ493" s="73"/>
      <c r="AR493" s="74">
        <v>-107.91509765301284</v>
      </c>
      <c r="AS493" s="74">
        <v>0</v>
      </c>
      <c r="AT493" s="73"/>
      <c r="AU493" s="72">
        <v>41256103.783677377</v>
      </c>
      <c r="AV493" s="72">
        <v>0</v>
      </c>
      <c r="AW493" s="73"/>
      <c r="AX493" s="74">
        <v>-3445.0873308595837</v>
      </c>
      <c r="AY493" s="74">
        <v>0</v>
      </c>
      <c r="AZ493" s="73"/>
      <c r="BA493" s="72">
        <v>992762.3113964519</v>
      </c>
      <c r="BB493" s="72">
        <v>0</v>
      </c>
      <c r="BC493" s="73"/>
      <c r="BD493" s="74">
        <v>-306.56753090779961</v>
      </c>
      <c r="BE493" s="74">
        <v>0</v>
      </c>
      <c r="BF493" s="73"/>
      <c r="BG493" s="72">
        <v>4102312.5083508212</v>
      </c>
      <c r="BH493" s="72">
        <v>0</v>
      </c>
      <c r="BI493" s="73"/>
      <c r="BJ493" s="74">
        <v>-1695.7060495206811</v>
      </c>
      <c r="BK493" s="74">
        <v>0</v>
      </c>
      <c r="BL493" s="73"/>
      <c r="BM493" s="72">
        <v>48400144.972376503</v>
      </c>
      <c r="BN493" s="72">
        <v>0</v>
      </c>
      <c r="BO493" s="73"/>
      <c r="BP493" s="74">
        <v>-7509.2539163729816</v>
      </c>
      <c r="BQ493" s="74">
        <v>0</v>
      </c>
      <c r="BS493" s="109">
        <f t="shared" si="201"/>
        <v>117027.53167566343</v>
      </c>
      <c r="BT493" s="109">
        <f t="shared" si="202"/>
        <v>117410.51275881576</v>
      </c>
      <c r="BV493" s="58">
        <f t="array" ref="BV493">SUM(IF(BS493:BT493&gt;=BS493, 1))</f>
        <v>2</v>
      </c>
      <c r="BW493" s="58">
        <f t="array" ref="BW493">SUM(IF(BS493:BT493&gt;=BT493, 1))</f>
        <v>1</v>
      </c>
      <c r="BY493" s="109">
        <f t="shared" si="203"/>
        <v>134247.96707468564</v>
      </c>
      <c r="BZ493" s="109">
        <f t="shared" si="204"/>
        <v>134573.91528350368</v>
      </c>
      <c r="CB493" s="58">
        <f t="array" ref="CB493">SUM(IF(BY493:BZ493&gt;=BY493, 1))</f>
        <v>2</v>
      </c>
      <c r="CC493" s="58">
        <f t="array" ref="CC493">SUM(IF(BY493:BZ493&gt;=BZ493, 1))</f>
        <v>1</v>
      </c>
      <c r="CE493" s="109">
        <f t="shared" si="205"/>
        <v>92298.97367015059</v>
      </c>
      <c r="CF493" s="109">
        <f t="shared" si="206"/>
        <v>97140.601358442233</v>
      </c>
      <c r="CH493" s="58">
        <f t="array" ref="CH493">SUM(IF(CE493:CF493&gt;=CE493, 1))</f>
        <v>2</v>
      </c>
      <c r="CI493" s="58">
        <f t="array" ref="CI493">SUM(IF(CE493:CF493&gt;=CF493, 1))</f>
        <v>1</v>
      </c>
      <c r="CK493" s="109">
        <f t="shared" si="207"/>
        <v>47016.842581589801</v>
      </c>
      <c r="CL493" s="109">
        <f t="shared" si="208"/>
        <v>47808.561111091141</v>
      </c>
      <c r="CN493" s="58">
        <f t="array" ref="CN493">SUM(IF(CK493:CL493&gt;=CK493, 1))</f>
        <v>2</v>
      </c>
      <c r="CO493" s="58">
        <f t="array" ref="CO493">SUM(IF(CK493:CL493&gt;=CL493, 1))</f>
        <v>1</v>
      </c>
      <c r="CQ493" s="109" cm="1">
        <f t="array" ref="CQ493">AF493*WTP-AC493</f>
        <v>39612.912921556104</v>
      </c>
      <c r="CR493" s="109">
        <f t="shared" si="209"/>
        <v>42004.980626640157</v>
      </c>
      <c r="CT493" s="58">
        <f t="array" ref="CT493">SUM(IF(CQ493:CR493&gt;=CQ493, 1))</f>
        <v>2</v>
      </c>
      <c r="CU493" s="58">
        <f t="array" ref="CU493">SUM(IF(CQ493:CR493&gt;=CR493, 1))</f>
        <v>1</v>
      </c>
      <c r="CW493" s="109">
        <f t="shared" si="210"/>
        <v>-40999419.301312879</v>
      </c>
      <c r="CX493" s="109">
        <f t="shared" si="211"/>
        <v>0</v>
      </c>
      <c r="CZ493" s="58">
        <f t="array" ref="CZ493">SUM(IF(CW493:CX493&gt;=CW493, 1))</f>
        <v>2</v>
      </c>
      <c r="DA493" s="58">
        <f t="array" ref="DA493">SUM(IF(CW493:CX493&gt;=CX493, 1))</f>
        <v>1</v>
      </c>
      <c r="DC493" s="109">
        <f t="shared" si="212"/>
        <v>-2287407.1693373332</v>
      </c>
      <c r="DD493" s="109">
        <f t="shared" si="213"/>
        <v>0</v>
      </c>
      <c r="DF493" s="58">
        <f t="array" ref="DF493">SUM(IF(DC493:DD493&gt;=DC493, 1))</f>
        <v>2</v>
      </c>
      <c r="DG493" s="58">
        <f t="array" ref="DG493">SUM(IF(DC493:DD493&gt;=DD493, 1))</f>
        <v>1</v>
      </c>
      <c r="DI493" s="109">
        <f t="shared" si="214"/>
        <v>-110157850.40086904</v>
      </c>
      <c r="DJ493" s="109">
        <f t="shared" si="215"/>
        <v>0</v>
      </c>
      <c r="DL493" s="58">
        <f t="array" ref="DL493">SUM(IF(DI493:DJ493&gt;=DI493, 1))</f>
        <v>2</v>
      </c>
      <c r="DM493" s="58">
        <f t="array" ref="DM493">SUM(IF(DI493:DJ493&gt;=DJ493, 1))</f>
        <v>1</v>
      </c>
      <c r="DO493" s="109">
        <f t="shared" si="216"/>
        <v>-7124112.9295524443</v>
      </c>
      <c r="DP493" s="109">
        <f t="shared" si="217"/>
        <v>0</v>
      </c>
      <c r="DR493" s="58">
        <f t="array" ref="DR493">SUM(IF(DO493:DP493&gt;=DO493, 1))</f>
        <v>2</v>
      </c>
      <c r="DS493" s="58">
        <f t="array" ref="DS493">SUM(IF(DO493:DP493&gt;=DP493, 1))</f>
        <v>1</v>
      </c>
      <c r="DU493" s="109">
        <f t="shared" si="218"/>
        <v>-38016433.49876444</v>
      </c>
      <c r="DV493" s="109">
        <f t="shared" si="219"/>
        <v>0</v>
      </c>
      <c r="DX493" s="58">
        <f t="array" ref="DX493">SUM(IF(DU493:DV493&gt;=DU493, 1))</f>
        <v>2</v>
      </c>
      <c r="DY493" s="58">
        <f t="array" ref="DY493">SUM(IF(DU493:DV493&gt;=DV493, 1))</f>
        <v>1</v>
      </c>
      <c r="EA493" s="109">
        <f t="shared" si="220"/>
        <v>-198585223.29983613</v>
      </c>
      <c r="EB493" s="109">
        <f t="shared" si="221"/>
        <v>0</v>
      </c>
      <c r="ED493" s="58">
        <f t="array" ref="ED493">SUM(IF(EA493:EB493&gt;=EA493, 1))</f>
        <v>2</v>
      </c>
      <c r="EE493" s="58">
        <f t="array" ref="EE493">SUM(IF(EA493:EB493&gt;=EB493, 1))</f>
        <v>1</v>
      </c>
    </row>
    <row r="494" spans="4:135" ht="12" customHeight="1" x14ac:dyDescent="0.25">
      <c r="D494" s="11">
        <v>478</v>
      </c>
      <c r="E494" s="72">
        <v>241.68932417265438</v>
      </c>
      <c r="F494" s="72">
        <v>206.89832949751627</v>
      </c>
      <c r="G494" s="73"/>
      <c r="H494" s="74">
        <v>5.8348510752435407</v>
      </c>
      <c r="I494" s="74">
        <v>5.8545699968906399</v>
      </c>
      <c r="J494" s="73"/>
      <c r="K494" s="72">
        <v>258.62540114999786</v>
      </c>
      <c r="L494" s="72">
        <v>223.03377505802985</v>
      </c>
      <c r="M494" s="73"/>
      <c r="N494" s="74">
        <v>6.7643002869441897</v>
      </c>
      <c r="O494" s="74">
        <v>6.7818010936103903</v>
      </c>
      <c r="P494" s="73"/>
      <c r="Q494" s="72">
        <v>2270.0240634436391</v>
      </c>
      <c r="R494" s="72">
        <v>1340.1205199343219</v>
      </c>
      <c r="S494" s="73"/>
      <c r="T494" s="74">
        <v>4.9122084983040555</v>
      </c>
      <c r="U494" s="74">
        <v>5.0044939047163144</v>
      </c>
      <c r="V494" s="73"/>
      <c r="W494" s="72">
        <v>10520.328708661187</v>
      </c>
      <c r="X494" s="72">
        <v>10614.211968864698</v>
      </c>
      <c r="Y494" s="73"/>
      <c r="Z494" s="74">
        <v>2.9836900416295746</v>
      </c>
      <c r="AA494" s="74">
        <v>3.0564752059898108</v>
      </c>
      <c r="AB494" s="73"/>
      <c r="AC494" s="72">
        <v>50409.479077029457</v>
      </c>
      <c r="AD494" s="72">
        <v>50366.628599121315</v>
      </c>
      <c r="AE494" s="73"/>
      <c r="AF494" s="74">
        <v>3.8145812264605734</v>
      </c>
      <c r="AG494" s="74">
        <v>3.8909427608260598</v>
      </c>
      <c r="AH494" s="73"/>
      <c r="AI494" s="72">
        <v>3690336.2178761261</v>
      </c>
      <c r="AJ494" s="72">
        <v>0</v>
      </c>
      <c r="AK494" s="73"/>
      <c r="AL494" s="74">
        <v>-2091.6174260390817</v>
      </c>
      <c r="AM494" s="74">
        <v>0</v>
      </c>
      <c r="AN494" s="73"/>
      <c r="AO494" s="72">
        <v>236250.87656754677</v>
      </c>
      <c r="AP494" s="72">
        <v>0</v>
      </c>
      <c r="AQ494" s="73"/>
      <c r="AR494" s="74">
        <v>-116.16723846349088</v>
      </c>
      <c r="AS494" s="74">
        <v>0</v>
      </c>
      <c r="AT494" s="73"/>
      <c r="AU494" s="72">
        <v>21340881.818050247</v>
      </c>
      <c r="AV494" s="72">
        <v>0</v>
      </c>
      <c r="AW494" s="73"/>
      <c r="AX494" s="74">
        <v>-2117.9099332629016</v>
      </c>
      <c r="AY494" s="74">
        <v>0</v>
      </c>
      <c r="AZ494" s="73"/>
      <c r="BA494" s="72">
        <v>-863131.3808949769</v>
      </c>
      <c r="BB494" s="72">
        <v>0</v>
      </c>
      <c r="BC494" s="73"/>
      <c r="BD494" s="74">
        <v>-669.16252467944412</v>
      </c>
      <c r="BE494" s="74">
        <v>0</v>
      </c>
      <c r="BF494" s="73"/>
      <c r="BG494" s="72">
        <v>682091.07047350192</v>
      </c>
      <c r="BH494" s="72">
        <v>0</v>
      </c>
      <c r="BI494" s="73"/>
      <c r="BJ494" s="74">
        <v>-1215.5178485992526</v>
      </c>
      <c r="BK494" s="74">
        <v>0</v>
      </c>
      <c r="BL494" s="73"/>
      <c r="BM494" s="72">
        <v>25086428.602072444</v>
      </c>
      <c r="BN494" s="72">
        <v>0</v>
      </c>
      <c r="BO494" s="73"/>
      <c r="BP494" s="74">
        <v>-6210.3749710441707</v>
      </c>
      <c r="BQ494" s="74">
        <v>0</v>
      </c>
      <c r="BS494" s="109">
        <f t="shared" si="201"/>
        <v>116455.33218069817</v>
      </c>
      <c r="BT494" s="109">
        <f t="shared" si="202"/>
        <v>116884.50160831527</v>
      </c>
      <c r="BV494" s="58">
        <f t="array" ref="BV494">SUM(IF(BS494:BT494&gt;=BS494, 1))</f>
        <v>2</v>
      </c>
      <c r="BW494" s="58">
        <f t="array" ref="BW494">SUM(IF(BS494:BT494&gt;=BT494, 1))</f>
        <v>1</v>
      </c>
      <c r="BY494" s="109">
        <f t="shared" si="203"/>
        <v>135027.3803377338</v>
      </c>
      <c r="BZ494" s="109">
        <f t="shared" si="204"/>
        <v>135412.98809714979</v>
      </c>
      <c r="CB494" s="58">
        <f t="array" ref="CB494">SUM(IF(BY494:BZ494&gt;=BY494, 1))</f>
        <v>2</v>
      </c>
      <c r="CC494" s="58">
        <f t="array" ref="CC494">SUM(IF(BY494:BZ494&gt;=BZ494, 1))</f>
        <v>1</v>
      </c>
      <c r="CE494" s="109">
        <f t="shared" si="205"/>
        <v>95974.14590263748</v>
      </c>
      <c r="CF494" s="109">
        <f t="shared" si="206"/>
        <v>98749.757574391959</v>
      </c>
      <c r="CH494" s="58">
        <f t="array" ref="CH494">SUM(IF(CE494:CF494&gt;=CE494, 1))</f>
        <v>2</v>
      </c>
      <c r="CI494" s="58">
        <f t="array" ref="CI494">SUM(IF(CE494:CF494&gt;=CF494, 1))</f>
        <v>1</v>
      </c>
      <c r="CK494" s="109">
        <f t="shared" si="207"/>
        <v>49153.472123930303</v>
      </c>
      <c r="CL494" s="109">
        <f t="shared" si="208"/>
        <v>50515.292150931513</v>
      </c>
      <c r="CN494" s="58">
        <f t="array" ref="CN494">SUM(IF(CK494:CL494&gt;=CK494, 1))</f>
        <v>2</v>
      </c>
      <c r="CO494" s="58">
        <f t="array" ref="CO494">SUM(IF(CK494:CL494&gt;=CL494, 1))</f>
        <v>1</v>
      </c>
      <c r="CQ494" s="109" cm="1">
        <f t="array" ref="CQ494">AF494*WTP-AC494</f>
        <v>25882.145452182005</v>
      </c>
      <c r="CR494" s="109">
        <f t="shared" si="209"/>
        <v>27452.226617399887</v>
      </c>
      <c r="CT494" s="58">
        <f t="array" ref="CT494">SUM(IF(CQ494:CR494&gt;=CQ494, 1))</f>
        <v>2</v>
      </c>
      <c r="CU494" s="58">
        <f t="array" ref="CU494">SUM(IF(CQ494:CR494&gt;=CR494, 1))</f>
        <v>1</v>
      </c>
      <c r="CW494" s="109">
        <f t="shared" si="210"/>
        <v>-45522684.738657765</v>
      </c>
      <c r="CX494" s="109">
        <f t="shared" si="211"/>
        <v>0</v>
      </c>
      <c r="CZ494" s="58">
        <f t="array" ref="CZ494">SUM(IF(CW494:CX494&gt;=CW494, 1))</f>
        <v>2</v>
      </c>
      <c r="DA494" s="58">
        <f t="array" ref="DA494">SUM(IF(CW494:CX494&gt;=CX494, 1))</f>
        <v>1</v>
      </c>
      <c r="DC494" s="109">
        <f t="shared" si="212"/>
        <v>-2559595.6458373643</v>
      </c>
      <c r="DD494" s="109">
        <f t="shared" si="213"/>
        <v>0</v>
      </c>
      <c r="DF494" s="58">
        <f t="array" ref="DF494">SUM(IF(DC494:DD494&gt;=DC494, 1))</f>
        <v>2</v>
      </c>
      <c r="DG494" s="58">
        <f t="array" ref="DG494">SUM(IF(DC494:DD494&gt;=DD494, 1))</f>
        <v>1</v>
      </c>
      <c r="DI494" s="109">
        <f t="shared" si="214"/>
        <v>-63699080.483308285</v>
      </c>
      <c r="DJ494" s="109">
        <f t="shared" si="215"/>
        <v>0</v>
      </c>
      <c r="DL494" s="58">
        <f t="array" ref="DL494">SUM(IF(DI494:DJ494&gt;=DI494, 1))</f>
        <v>2</v>
      </c>
      <c r="DM494" s="58">
        <f t="array" ref="DM494">SUM(IF(DI494:DJ494&gt;=DJ494, 1))</f>
        <v>1</v>
      </c>
      <c r="DO494" s="109">
        <f t="shared" si="216"/>
        <v>-12520119.112693904</v>
      </c>
      <c r="DP494" s="109">
        <f t="shared" si="217"/>
        <v>0</v>
      </c>
      <c r="DR494" s="58">
        <f t="array" ref="DR494">SUM(IF(DO494:DP494&gt;=DO494, 1))</f>
        <v>2</v>
      </c>
      <c r="DS494" s="58">
        <f t="array" ref="DS494">SUM(IF(DO494:DP494&gt;=DP494, 1))</f>
        <v>1</v>
      </c>
      <c r="DU494" s="109">
        <f t="shared" si="218"/>
        <v>-24992448.042458557</v>
      </c>
      <c r="DV494" s="109">
        <f t="shared" si="219"/>
        <v>0</v>
      </c>
      <c r="DX494" s="58">
        <f t="array" ref="DX494">SUM(IF(DU494:DV494&gt;=DU494, 1))</f>
        <v>2</v>
      </c>
      <c r="DY494" s="58">
        <f t="array" ref="DY494">SUM(IF(DU494:DV494&gt;=DV494, 1))</f>
        <v>1</v>
      </c>
      <c r="EA494" s="109">
        <f t="shared" si="220"/>
        <v>-149293928.02295586</v>
      </c>
      <c r="EB494" s="109">
        <f t="shared" si="221"/>
        <v>0</v>
      </c>
      <c r="ED494" s="58">
        <f t="array" ref="ED494">SUM(IF(EA494:EB494&gt;=EA494, 1))</f>
        <v>2</v>
      </c>
      <c r="EE494" s="58">
        <f t="array" ref="EE494">SUM(IF(EA494:EB494&gt;=EB494, 1))</f>
        <v>1</v>
      </c>
    </row>
    <row r="495" spans="4:135" ht="12" customHeight="1" x14ac:dyDescent="0.25">
      <c r="D495" s="11">
        <v>479</v>
      </c>
      <c r="E495" s="72">
        <v>266.62350311173941</v>
      </c>
      <c r="F495" s="72">
        <v>243.86303213230775</v>
      </c>
      <c r="G495" s="73"/>
      <c r="H495" s="74">
        <v>5.7850754739214469</v>
      </c>
      <c r="I495" s="74">
        <v>5.800291463511452</v>
      </c>
      <c r="J495" s="73"/>
      <c r="K495" s="72">
        <v>286.24493565238043</v>
      </c>
      <c r="L495" s="72">
        <v>262.93639825868831</v>
      </c>
      <c r="M495" s="73"/>
      <c r="N495" s="74">
        <v>6.683911346301187</v>
      </c>
      <c r="O495" s="74">
        <v>6.6970163457334113</v>
      </c>
      <c r="P495" s="73"/>
      <c r="Q495" s="72">
        <v>3924.2028461082687</v>
      </c>
      <c r="R495" s="72">
        <v>1515.5838456627635</v>
      </c>
      <c r="S495" s="73"/>
      <c r="T495" s="74">
        <v>4.8062614798321048</v>
      </c>
      <c r="U495" s="74">
        <v>4.9577607694692123</v>
      </c>
      <c r="V495" s="73"/>
      <c r="W495" s="72">
        <v>14788.563431414421</v>
      </c>
      <c r="X495" s="72">
        <v>14720.299533168158</v>
      </c>
      <c r="Y495" s="73"/>
      <c r="Z495" s="74">
        <v>3.1460569335912063</v>
      </c>
      <c r="AA495" s="74">
        <v>3.1762236056560686</v>
      </c>
      <c r="AB495" s="73"/>
      <c r="AC495" s="72">
        <v>50568.260328228229</v>
      </c>
      <c r="AD495" s="72">
        <v>50654.471264170381</v>
      </c>
      <c r="AE495" s="73"/>
      <c r="AF495" s="74">
        <v>3.8633242785361155</v>
      </c>
      <c r="AG495" s="74">
        <v>3.8768378304024043</v>
      </c>
      <c r="AH495" s="73"/>
      <c r="AI495" s="72">
        <v>2444556.2150633056</v>
      </c>
      <c r="AJ495" s="72">
        <v>0</v>
      </c>
      <c r="AK495" s="73"/>
      <c r="AL495" s="74">
        <v>-1634.251855078008</v>
      </c>
      <c r="AM495" s="74">
        <v>0</v>
      </c>
      <c r="AN495" s="73"/>
      <c r="AO495" s="72">
        <v>164853.80707291272</v>
      </c>
      <c r="AP495" s="72">
        <v>0</v>
      </c>
      <c r="AQ495" s="73"/>
      <c r="AR495" s="74">
        <v>-92.687456600138276</v>
      </c>
      <c r="AS495" s="74">
        <v>0</v>
      </c>
      <c r="AT495" s="73"/>
      <c r="AU495" s="72">
        <v>55111093.810713612</v>
      </c>
      <c r="AV495" s="72">
        <v>0</v>
      </c>
      <c r="AW495" s="73"/>
      <c r="AX495" s="74">
        <v>-3466.4226936276732</v>
      </c>
      <c r="AY495" s="74">
        <v>0</v>
      </c>
      <c r="AZ495" s="73"/>
      <c r="BA495" s="72">
        <v>617034.71378886863</v>
      </c>
      <c r="BB495" s="72">
        <v>0</v>
      </c>
      <c r="BC495" s="73"/>
      <c r="BD495" s="74">
        <v>-272.6753722202489</v>
      </c>
      <c r="BE495" s="74">
        <v>0</v>
      </c>
      <c r="BF495" s="73"/>
      <c r="BG495" s="72">
        <v>-1394794.9702454743</v>
      </c>
      <c r="BH495" s="72">
        <v>0</v>
      </c>
      <c r="BI495" s="73"/>
      <c r="BJ495" s="74">
        <v>-218.63391189603212</v>
      </c>
      <c r="BK495" s="74">
        <v>0</v>
      </c>
      <c r="BL495" s="73"/>
      <c r="BM495" s="72">
        <v>56942743.576393224</v>
      </c>
      <c r="BN495" s="72">
        <v>0</v>
      </c>
      <c r="BO495" s="73"/>
      <c r="BP495" s="74">
        <v>-5684.6712894221009</v>
      </c>
      <c r="BQ495" s="74">
        <v>0</v>
      </c>
      <c r="BS495" s="109">
        <f t="shared" si="201"/>
        <v>115434.8859753172</v>
      </c>
      <c r="BT495" s="109">
        <f t="shared" si="202"/>
        <v>115761.96623809672</v>
      </c>
      <c r="BV495" s="58">
        <f t="array" ref="BV495">SUM(IF(BS495:BT495&gt;=BS495, 1))</f>
        <v>2</v>
      </c>
      <c r="BW495" s="58">
        <f t="array" ref="BW495">SUM(IF(BS495:BT495&gt;=BT495, 1))</f>
        <v>1</v>
      </c>
      <c r="BY495" s="109">
        <f t="shared" si="203"/>
        <v>133391.98199037137</v>
      </c>
      <c r="BZ495" s="109">
        <f t="shared" si="204"/>
        <v>133677.39051640953</v>
      </c>
      <c r="CB495" s="58">
        <f t="array" ref="CB495">SUM(IF(BY495:BZ495&gt;=BY495, 1))</f>
        <v>2</v>
      </c>
      <c r="CC495" s="58">
        <f t="array" ref="CC495">SUM(IF(BY495:BZ495&gt;=BZ495, 1))</f>
        <v>1</v>
      </c>
      <c r="CE495" s="109">
        <f t="shared" si="205"/>
        <v>92201.026750533827</v>
      </c>
      <c r="CF495" s="109">
        <f t="shared" si="206"/>
        <v>97639.63154372148</v>
      </c>
      <c r="CH495" s="58">
        <f t="array" ref="CH495">SUM(IF(CE495:CF495&gt;=CE495, 1))</f>
        <v>2</v>
      </c>
      <c r="CI495" s="58">
        <f t="array" ref="CI495">SUM(IF(CE495:CF495&gt;=CF495, 1))</f>
        <v>1</v>
      </c>
      <c r="CK495" s="109">
        <f t="shared" si="207"/>
        <v>48132.575240409707</v>
      </c>
      <c r="CL495" s="109">
        <f t="shared" si="208"/>
        <v>48804.172579953214</v>
      </c>
      <c r="CN495" s="58">
        <f t="array" ref="CN495">SUM(IF(CK495:CL495&gt;=CK495, 1))</f>
        <v>2</v>
      </c>
      <c r="CO495" s="58">
        <f t="array" ref="CO495">SUM(IF(CK495:CL495&gt;=CL495, 1))</f>
        <v>1</v>
      </c>
      <c r="CQ495" s="109" cm="1">
        <f t="array" ref="CQ495">AF495*WTP-AC495</f>
        <v>26698.225242494074</v>
      </c>
      <c r="CR495" s="109">
        <f t="shared" si="209"/>
        <v>26882.285343877709</v>
      </c>
      <c r="CT495" s="58">
        <f t="array" ref="CT495">SUM(IF(CQ495:CR495&gt;=CQ495, 1))</f>
        <v>2</v>
      </c>
      <c r="CU495" s="58">
        <f t="array" ref="CU495">SUM(IF(CQ495:CR495&gt;=CR495, 1))</f>
        <v>1</v>
      </c>
      <c r="CW495" s="109">
        <f t="shared" si="210"/>
        <v>-35129593.316623464</v>
      </c>
      <c r="CX495" s="109">
        <f t="shared" si="211"/>
        <v>0</v>
      </c>
      <c r="CZ495" s="58">
        <f t="array" ref="CZ495">SUM(IF(CW495:CX495&gt;=CW495, 1))</f>
        <v>2</v>
      </c>
      <c r="DA495" s="58">
        <f t="array" ref="DA495">SUM(IF(CW495:CX495&gt;=CX495, 1))</f>
        <v>1</v>
      </c>
      <c r="DC495" s="109">
        <f t="shared" si="212"/>
        <v>-2018602.9390756784</v>
      </c>
      <c r="DD495" s="109">
        <f t="shared" si="213"/>
        <v>0</v>
      </c>
      <c r="DF495" s="58">
        <f t="array" ref="DF495">SUM(IF(DC495:DD495&gt;=DC495, 1))</f>
        <v>2</v>
      </c>
      <c r="DG495" s="58">
        <f t="array" ref="DG495">SUM(IF(DC495:DD495&gt;=DD495, 1))</f>
        <v>1</v>
      </c>
      <c r="DI495" s="109">
        <f t="shared" si="214"/>
        <v>-124439547.68326709</v>
      </c>
      <c r="DJ495" s="109">
        <f t="shared" si="215"/>
        <v>0</v>
      </c>
      <c r="DL495" s="58">
        <f t="array" ref="DL495">SUM(IF(DI495:DJ495&gt;=DI495, 1))</f>
        <v>2</v>
      </c>
      <c r="DM495" s="58">
        <f t="array" ref="DM495">SUM(IF(DI495:DJ495&gt;=DJ495, 1))</f>
        <v>1</v>
      </c>
      <c r="DO495" s="109">
        <f t="shared" si="216"/>
        <v>-6070542.1581938472</v>
      </c>
      <c r="DP495" s="109">
        <f t="shared" si="217"/>
        <v>0</v>
      </c>
      <c r="DR495" s="58">
        <f t="array" ref="DR495">SUM(IF(DO495:DP495&gt;=DO495, 1))</f>
        <v>2</v>
      </c>
      <c r="DS495" s="58">
        <f t="array" ref="DS495">SUM(IF(DO495:DP495&gt;=DP495, 1))</f>
        <v>1</v>
      </c>
      <c r="DU495" s="109">
        <f t="shared" si="218"/>
        <v>-2977883.2676751679</v>
      </c>
      <c r="DV495" s="109">
        <f t="shared" si="219"/>
        <v>0</v>
      </c>
      <c r="DX495" s="58">
        <f t="array" ref="DX495">SUM(IF(DU495:DV495&gt;=DU495, 1))</f>
        <v>2</v>
      </c>
      <c r="DY495" s="58">
        <f t="array" ref="DY495">SUM(IF(DU495:DV495&gt;=DV495, 1))</f>
        <v>1</v>
      </c>
      <c r="EA495" s="109">
        <f t="shared" si="220"/>
        <v>-170636169.36483523</v>
      </c>
      <c r="EB495" s="109">
        <f t="shared" si="221"/>
        <v>0</v>
      </c>
      <c r="ED495" s="58">
        <f t="array" ref="ED495">SUM(IF(EA495:EB495&gt;=EA495, 1))</f>
        <v>2</v>
      </c>
      <c r="EE495" s="58">
        <f t="array" ref="EE495">SUM(IF(EA495:EB495&gt;=EB495, 1))</f>
        <v>1</v>
      </c>
    </row>
    <row r="496" spans="4:135" ht="12" customHeight="1" x14ac:dyDescent="0.25">
      <c r="D496" s="11">
        <v>480</v>
      </c>
      <c r="E496" s="72">
        <v>265.015736620025</v>
      </c>
      <c r="F496" s="72">
        <v>238.81910911553507</v>
      </c>
      <c r="G496" s="73"/>
      <c r="H496" s="74">
        <v>5.8611960600944846</v>
      </c>
      <c r="I496" s="74">
        <v>5.874562094072374</v>
      </c>
      <c r="J496" s="73"/>
      <c r="K496" s="72">
        <v>284.3227880734409</v>
      </c>
      <c r="L496" s="72">
        <v>257.53838200676756</v>
      </c>
      <c r="M496" s="73"/>
      <c r="N496" s="74">
        <v>6.728476487884322</v>
      </c>
      <c r="O496" s="74">
        <v>6.7400124605490959</v>
      </c>
      <c r="P496" s="73"/>
      <c r="Q496" s="72">
        <v>1834.747745498307</v>
      </c>
      <c r="R496" s="72">
        <v>1232.7065051626857</v>
      </c>
      <c r="S496" s="73"/>
      <c r="T496" s="74">
        <v>4.9126342660337929</v>
      </c>
      <c r="U496" s="74">
        <v>4.9809083413794468</v>
      </c>
      <c r="V496" s="73"/>
      <c r="W496" s="72">
        <v>17554.571675431249</v>
      </c>
      <c r="X496" s="72">
        <v>17556.909067454686</v>
      </c>
      <c r="Y496" s="73"/>
      <c r="Z496" s="74">
        <v>2.8627995889350695</v>
      </c>
      <c r="AA496" s="74">
        <v>2.8993247664136264</v>
      </c>
      <c r="AB496" s="73"/>
      <c r="AC496" s="72">
        <v>48995.574821128343</v>
      </c>
      <c r="AD496" s="72">
        <v>48849.876909318831</v>
      </c>
      <c r="AE496" s="73"/>
      <c r="AF496" s="74">
        <v>4.2608727791239049</v>
      </c>
      <c r="AG496" s="74">
        <v>4.3587030438528984</v>
      </c>
      <c r="AH496" s="73"/>
      <c r="AI496" s="72">
        <v>2799512.5318493638</v>
      </c>
      <c r="AJ496" s="72">
        <v>0</v>
      </c>
      <c r="AK496" s="73"/>
      <c r="AL496" s="74">
        <v>-1428.3662893558517</v>
      </c>
      <c r="AM496" s="74">
        <v>0</v>
      </c>
      <c r="AN496" s="73"/>
      <c r="AO496" s="72">
        <v>191027.19671639719</v>
      </c>
      <c r="AP496" s="72">
        <v>0</v>
      </c>
      <c r="AQ496" s="73"/>
      <c r="AR496" s="74">
        <v>-82.274907050886355</v>
      </c>
      <c r="AS496" s="74">
        <v>0</v>
      </c>
      <c r="AT496" s="73"/>
      <c r="AU496" s="72">
        <v>13864631.339897275</v>
      </c>
      <c r="AV496" s="72">
        <v>0</v>
      </c>
      <c r="AW496" s="73"/>
      <c r="AX496" s="74">
        <v>-1572.3090401783111</v>
      </c>
      <c r="AY496" s="74">
        <v>0</v>
      </c>
      <c r="AZ496" s="73"/>
      <c r="BA496" s="72">
        <v>-21277.294700211809</v>
      </c>
      <c r="BB496" s="72">
        <v>0</v>
      </c>
      <c r="BC496" s="73"/>
      <c r="BD496" s="74">
        <v>-332.48892671670262</v>
      </c>
      <c r="BE496" s="74">
        <v>0</v>
      </c>
      <c r="BF496" s="73"/>
      <c r="BG496" s="72">
        <v>2337388.9369374677</v>
      </c>
      <c r="BH496" s="72">
        <v>0</v>
      </c>
      <c r="BI496" s="73"/>
      <c r="BJ496" s="74">
        <v>-1569.4622910874505</v>
      </c>
      <c r="BK496" s="74">
        <v>0</v>
      </c>
      <c r="BL496" s="73"/>
      <c r="BM496" s="72">
        <v>19171282.710700288</v>
      </c>
      <c r="BN496" s="72">
        <v>0</v>
      </c>
      <c r="BO496" s="73"/>
      <c r="BP496" s="74">
        <v>-4984.9014543892026</v>
      </c>
      <c r="BQ496" s="74">
        <v>0</v>
      </c>
      <c r="BS496" s="109">
        <f t="shared" si="201"/>
        <v>116958.90546526967</v>
      </c>
      <c r="BT496" s="109">
        <f t="shared" si="202"/>
        <v>117252.42277233195</v>
      </c>
      <c r="BV496" s="58">
        <f t="array" ref="BV496">SUM(IF(BS496:BT496&gt;=BS496, 1))</f>
        <v>2</v>
      </c>
      <c r="BW496" s="58">
        <f t="array" ref="BW496">SUM(IF(BS496:BT496&gt;=BT496, 1))</f>
        <v>1</v>
      </c>
      <c r="BY496" s="109">
        <f t="shared" si="203"/>
        <v>134285.20696961298</v>
      </c>
      <c r="BZ496" s="109">
        <f t="shared" si="204"/>
        <v>134542.71082897513</v>
      </c>
      <c r="CB496" s="58">
        <f t="array" ref="CB496">SUM(IF(BY496:BZ496&gt;=BY496, 1))</f>
        <v>2</v>
      </c>
      <c r="CC496" s="58">
        <f t="array" ref="CC496">SUM(IF(BY496:BZ496&gt;=BZ496, 1))</f>
        <v>1</v>
      </c>
      <c r="CE496" s="109">
        <f t="shared" si="205"/>
        <v>96417.937575177551</v>
      </c>
      <c r="CF496" s="109">
        <f t="shared" si="206"/>
        <v>98385.460322426254</v>
      </c>
      <c r="CH496" s="58">
        <f t="array" ref="CH496">SUM(IF(CE496:CF496&gt;=CE496, 1))</f>
        <v>2</v>
      </c>
      <c r="CI496" s="58">
        <f t="array" ref="CI496">SUM(IF(CE496:CF496&gt;=CF496, 1))</f>
        <v>1</v>
      </c>
      <c r="CK496" s="109">
        <f t="shared" si="207"/>
        <v>39701.420103270138</v>
      </c>
      <c r="CL496" s="109">
        <f t="shared" si="208"/>
        <v>40429.586260817843</v>
      </c>
      <c r="CN496" s="58">
        <f t="array" ref="CN496">SUM(IF(CK496:CL496&gt;=CK496, 1))</f>
        <v>2</v>
      </c>
      <c r="CO496" s="58">
        <f t="array" ref="CO496">SUM(IF(CK496:CL496&gt;=CL496, 1))</f>
        <v>1</v>
      </c>
      <c r="CQ496" s="109" cm="1">
        <f t="array" ref="CQ496">AF496*WTP-AC496</f>
        <v>36221.880761349756</v>
      </c>
      <c r="CR496" s="109">
        <f t="shared" si="209"/>
        <v>38324.18396773914</v>
      </c>
      <c r="CT496" s="58">
        <f t="array" ref="CT496">SUM(IF(CQ496:CR496&gt;=CQ496, 1))</f>
        <v>2</v>
      </c>
      <c r="CU496" s="58">
        <f t="array" ref="CU496">SUM(IF(CQ496:CR496&gt;=CR496, 1))</f>
        <v>1</v>
      </c>
      <c r="CW496" s="109">
        <f t="shared" si="210"/>
        <v>-31366838.318966396</v>
      </c>
      <c r="CX496" s="109">
        <f t="shared" si="211"/>
        <v>0</v>
      </c>
      <c r="CZ496" s="58">
        <f t="array" ref="CZ496">SUM(IF(CW496:CX496&gt;=CW496, 1))</f>
        <v>2</v>
      </c>
      <c r="DA496" s="58">
        <f t="array" ref="DA496">SUM(IF(CW496:CX496&gt;=CX496, 1))</f>
        <v>1</v>
      </c>
      <c r="DC496" s="109">
        <f t="shared" si="212"/>
        <v>-1836525.3377341242</v>
      </c>
      <c r="DD496" s="109">
        <f t="shared" si="213"/>
        <v>0</v>
      </c>
      <c r="DF496" s="58">
        <f t="array" ref="DF496">SUM(IF(DC496:DD496&gt;=DC496, 1))</f>
        <v>2</v>
      </c>
      <c r="DG496" s="58">
        <f t="array" ref="DG496">SUM(IF(DC496:DD496&gt;=DD496, 1))</f>
        <v>1</v>
      </c>
      <c r="DI496" s="109">
        <f t="shared" si="214"/>
        <v>-45310812.143463492</v>
      </c>
      <c r="DJ496" s="109">
        <f t="shared" si="215"/>
        <v>0</v>
      </c>
      <c r="DL496" s="58">
        <f t="array" ref="DL496">SUM(IF(DI496:DJ496&gt;=DI496, 1))</f>
        <v>2</v>
      </c>
      <c r="DM496" s="58">
        <f t="array" ref="DM496">SUM(IF(DI496:DJ496&gt;=DJ496, 1))</f>
        <v>1</v>
      </c>
      <c r="DO496" s="109">
        <f t="shared" si="216"/>
        <v>-6628501.2396338405</v>
      </c>
      <c r="DP496" s="109">
        <f t="shared" si="217"/>
        <v>0</v>
      </c>
      <c r="DR496" s="58">
        <f t="array" ref="DR496">SUM(IF(DO496:DP496&gt;=DO496, 1))</f>
        <v>2</v>
      </c>
      <c r="DS496" s="58">
        <f t="array" ref="DS496">SUM(IF(DO496:DP496&gt;=DP496, 1))</f>
        <v>1</v>
      </c>
      <c r="DU496" s="109">
        <f t="shared" si="218"/>
        <v>-33726634.758686475</v>
      </c>
      <c r="DV496" s="109">
        <f t="shared" si="219"/>
        <v>0</v>
      </c>
      <c r="DX496" s="58">
        <f t="array" ref="DX496">SUM(IF(DU496:DV496&gt;=DU496, 1))</f>
        <v>2</v>
      </c>
      <c r="DY496" s="58">
        <f t="array" ref="DY496">SUM(IF(DU496:DV496&gt;=DV496, 1))</f>
        <v>1</v>
      </c>
      <c r="EA496" s="109">
        <f t="shared" si="220"/>
        <v>-118869311.79848434</v>
      </c>
      <c r="EB496" s="109">
        <f t="shared" si="221"/>
        <v>0</v>
      </c>
      <c r="ED496" s="58">
        <f t="array" ref="ED496">SUM(IF(EA496:EB496&gt;=EA496, 1))</f>
        <v>2</v>
      </c>
      <c r="EE496" s="58">
        <f t="array" ref="EE496">SUM(IF(EA496:EB496&gt;=EB496, 1))</f>
        <v>1</v>
      </c>
    </row>
    <row r="497" spans="4:135" ht="12" customHeight="1" x14ac:dyDescent="0.25">
      <c r="D497" s="11">
        <v>481</v>
      </c>
      <c r="E497" s="72">
        <v>245.46192950136188</v>
      </c>
      <c r="F497" s="72">
        <v>228.25614750075599</v>
      </c>
      <c r="G497" s="73"/>
      <c r="H497" s="74">
        <v>5.827870672715787</v>
      </c>
      <c r="I497" s="74">
        <v>5.8436676674606849</v>
      </c>
      <c r="J497" s="73"/>
      <c r="K497" s="72">
        <v>263.80285553438222</v>
      </c>
      <c r="L497" s="72">
        <v>246.16914614792719</v>
      </c>
      <c r="M497" s="73"/>
      <c r="N497" s="74">
        <v>6.6570406281932613</v>
      </c>
      <c r="O497" s="74">
        <v>6.6705981446319944</v>
      </c>
      <c r="P497" s="73"/>
      <c r="Q497" s="72">
        <v>2883.5569230051469</v>
      </c>
      <c r="R497" s="72">
        <v>1647.0056034424297</v>
      </c>
      <c r="S497" s="73"/>
      <c r="T497" s="74">
        <v>4.8319605382018418</v>
      </c>
      <c r="U497" s="74">
        <v>4.9046483734373227</v>
      </c>
      <c r="V497" s="73"/>
      <c r="W497" s="72">
        <v>10206.031474915284</v>
      </c>
      <c r="X497" s="72">
        <v>10234.53851404024</v>
      </c>
      <c r="Y497" s="73"/>
      <c r="Z497" s="74">
        <v>3.0467112252244135</v>
      </c>
      <c r="AA497" s="74">
        <v>3.1119650703803963</v>
      </c>
      <c r="AB497" s="73"/>
      <c r="AC497" s="72">
        <v>51015.284783231415</v>
      </c>
      <c r="AD497" s="72">
        <v>50725.999002806493</v>
      </c>
      <c r="AE497" s="73"/>
      <c r="AF497" s="74">
        <v>4.4186582316572824</v>
      </c>
      <c r="AG497" s="74">
        <v>4.4882451716264313</v>
      </c>
      <c r="AH497" s="73"/>
      <c r="AI497" s="72">
        <v>1866086.7722853275</v>
      </c>
      <c r="AJ497" s="72">
        <v>0</v>
      </c>
      <c r="AK497" s="73"/>
      <c r="AL497" s="74">
        <v>-1713.2939923495942</v>
      </c>
      <c r="AM497" s="74">
        <v>0</v>
      </c>
      <c r="AN497" s="73"/>
      <c r="AO497" s="72">
        <v>120650.93496148025</v>
      </c>
      <c r="AP497" s="72">
        <v>0</v>
      </c>
      <c r="AQ497" s="73"/>
      <c r="AR497" s="74">
        <v>-92.761369615473157</v>
      </c>
      <c r="AS497" s="74">
        <v>0</v>
      </c>
      <c r="AT497" s="73"/>
      <c r="AU497" s="72">
        <v>28405186.286970917</v>
      </c>
      <c r="AV497" s="72">
        <v>0</v>
      </c>
      <c r="AW497" s="73"/>
      <c r="AX497" s="74">
        <v>-1669.7337732740689</v>
      </c>
      <c r="AY497" s="74">
        <v>0</v>
      </c>
      <c r="AZ497" s="73"/>
      <c r="BA497" s="72">
        <v>-250893.49223213861</v>
      </c>
      <c r="BB497" s="72">
        <v>0</v>
      </c>
      <c r="BC497" s="73"/>
      <c r="BD497" s="74">
        <v>-574.30605195429121</v>
      </c>
      <c r="BE497" s="74">
        <v>0</v>
      </c>
      <c r="BF497" s="73"/>
      <c r="BG497" s="72">
        <v>4541309.4033565614</v>
      </c>
      <c r="BH497" s="72">
        <v>0</v>
      </c>
      <c r="BI497" s="73"/>
      <c r="BJ497" s="74">
        <v>-1092.4001323830021</v>
      </c>
      <c r="BK497" s="74">
        <v>0</v>
      </c>
      <c r="BL497" s="73"/>
      <c r="BM497" s="72">
        <v>34682339.905342147</v>
      </c>
      <c r="BN497" s="72">
        <v>0</v>
      </c>
      <c r="BO497" s="73"/>
      <c r="BP497" s="74">
        <v>-5142.4953195764301</v>
      </c>
      <c r="BQ497" s="74">
        <v>0</v>
      </c>
      <c r="BS497" s="109">
        <f t="shared" si="201"/>
        <v>116311.95152481437</v>
      </c>
      <c r="BT497" s="109">
        <f t="shared" si="202"/>
        <v>116645.09720171294</v>
      </c>
      <c r="BV497" s="58">
        <f t="array" ref="BV497">SUM(IF(BS497:BT497&gt;=BS497, 1))</f>
        <v>2</v>
      </c>
      <c r="BW497" s="58">
        <f t="array" ref="BW497">SUM(IF(BS497:BT497&gt;=BT497, 1))</f>
        <v>1</v>
      </c>
      <c r="BY497" s="109">
        <f t="shared" si="203"/>
        <v>132877.00970833082</v>
      </c>
      <c r="BZ497" s="109">
        <f t="shared" si="204"/>
        <v>133165.79374649195</v>
      </c>
      <c r="CB497" s="58">
        <f t="array" ref="CB497">SUM(IF(BY497:BZ497&gt;=BY497, 1))</f>
        <v>2</v>
      </c>
      <c r="CC497" s="58">
        <f t="array" ref="CC497">SUM(IF(BY497:BZ497&gt;=BZ497, 1))</f>
        <v>1</v>
      </c>
      <c r="CE497" s="109">
        <f t="shared" si="205"/>
        <v>93755.653841031686</v>
      </c>
      <c r="CF497" s="109">
        <f t="shared" si="206"/>
        <v>96445.961865304023</v>
      </c>
      <c r="CH497" s="58">
        <f t="array" ref="CH497">SUM(IF(CE497:CF497&gt;=CE497, 1))</f>
        <v>2</v>
      </c>
      <c r="CI497" s="58">
        <f t="array" ref="CI497">SUM(IF(CE497:CF497&gt;=CF497, 1))</f>
        <v>1</v>
      </c>
      <c r="CK497" s="109">
        <f t="shared" si="207"/>
        <v>50728.193029572991</v>
      </c>
      <c r="CL497" s="109">
        <f t="shared" si="208"/>
        <v>52004.762893567691</v>
      </c>
      <c r="CN497" s="58">
        <f t="array" ref="CN497">SUM(IF(CK497:CL497&gt;=CK497, 1))</f>
        <v>2</v>
      </c>
      <c r="CO497" s="58">
        <f t="array" ref="CO497">SUM(IF(CK497:CL497&gt;=CL497, 1))</f>
        <v>1</v>
      </c>
      <c r="CQ497" s="109" cm="1">
        <f t="array" ref="CQ497">AF497*WTP-AC497</f>
        <v>37357.879849914229</v>
      </c>
      <c r="CR497" s="109">
        <f t="shared" si="209"/>
        <v>39038.904429722141</v>
      </c>
      <c r="CT497" s="58">
        <f t="array" ref="CT497">SUM(IF(CQ497:CR497&gt;=CQ497, 1))</f>
        <v>2</v>
      </c>
      <c r="CU497" s="58">
        <f t="array" ref="CU497">SUM(IF(CQ497:CR497&gt;=CR497, 1))</f>
        <v>1</v>
      </c>
      <c r="CW497" s="109">
        <f t="shared" si="210"/>
        <v>-36131966.619277209</v>
      </c>
      <c r="CX497" s="109">
        <f t="shared" si="211"/>
        <v>0</v>
      </c>
      <c r="CZ497" s="58">
        <f t="array" ref="CZ497">SUM(IF(CW497:CX497&gt;=CW497, 1))</f>
        <v>2</v>
      </c>
      <c r="DA497" s="58">
        <f t="array" ref="DA497">SUM(IF(CW497:CX497&gt;=CX497, 1))</f>
        <v>1</v>
      </c>
      <c r="DC497" s="109">
        <f t="shared" si="212"/>
        <v>-1975878.3272709434</v>
      </c>
      <c r="DD497" s="109">
        <f t="shared" si="213"/>
        <v>0</v>
      </c>
      <c r="DF497" s="58">
        <f t="array" ref="DF497">SUM(IF(DC497:DD497&gt;=DC497, 1))</f>
        <v>2</v>
      </c>
      <c r="DG497" s="58">
        <f t="array" ref="DG497">SUM(IF(DC497:DD497&gt;=DD497, 1))</f>
        <v>1</v>
      </c>
      <c r="DI497" s="109">
        <f t="shared" si="214"/>
        <v>-61799861.752452299</v>
      </c>
      <c r="DJ497" s="109">
        <f t="shared" si="215"/>
        <v>0</v>
      </c>
      <c r="DL497" s="58">
        <f t="array" ref="DL497">SUM(IF(DI497:DJ497&gt;=DI497, 1))</f>
        <v>2</v>
      </c>
      <c r="DM497" s="58">
        <f t="array" ref="DM497">SUM(IF(DI497:DJ497&gt;=DJ497, 1))</f>
        <v>1</v>
      </c>
      <c r="DO497" s="109">
        <f t="shared" si="216"/>
        <v>-11235227.546853686</v>
      </c>
      <c r="DP497" s="109">
        <f t="shared" si="217"/>
        <v>0</v>
      </c>
      <c r="DR497" s="58">
        <f t="array" ref="DR497">SUM(IF(DO497:DP497&gt;=DO497, 1))</f>
        <v>2</v>
      </c>
      <c r="DS497" s="58">
        <f t="array" ref="DS497">SUM(IF(DO497:DP497&gt;=DP497, 1))</f>
        <v>1</v>
      </c>
      <c r="DU497" s="109">
        <f t="shared" si="218"/>
        <v>-26389312.051016606</v>
      </c>
      <c r="DV497" s="109">
        <f t="shared" si="219"/>
        <v>0</v>
      </c>
      <c r="DX497" s="58">
        <f t="array" ref="DX497">SUM(IF(DU497:DV497&gt;=DU497, 1))</f>
        <v>2</v>
      </c>
      <c r="DY497" s="58">
        <f t="array" ref="DY497">SUM(IF(DU497:DV497&gt;=DV497, 1))</f>
        <v>1</v>
      </c>
      <c r="EA497" s="109">
        <f t="shared" si="220"/>
        <v>-137532246.29687077</v>
      </c>
      <c r="EB497" s="109">
        <f t="shared" si="221"/>
        <v>0</v>
      </c>
      <c r="ED497" s="58">
        <f t="array" ref="ED497">SUM(IF(EA497:EB497&gt;=EA497, 1))</f>
        <v>2</v>
      </c>
      <c r="EE497" s="58">
        <f t="array" ref="EE497">SUM(IF(EA497:EB497&gt;=EB497, 1))</f>
        <v>1</v>
      </c>
    </row>
    <row r="498" spans="4:135" ht="12" customHeight="1" x14ac:dyDescent="0.25">
      <c r="D498" s="11">
        <v>482</v>
      </c>
      <c r="E498" s="72">
        <v>225.85307581031077</v>
      </c>
      <c r="F498" s="72">
        <v>200.27984758990408</v>
      </c>
      <c r="G498" s="73"/>
      <c r="H498" s="74">
        <v>5.8211461974737926</v>
      </c>
      <c r="I498" s="74">
        <v>5.8376459268070686</v>
      </c>
      <c r="J498" s="73"/>
      <c r="K498" s="72">
        <v>242.07242440158481</v>
      </c>
      <c r="L498" s="72">
        <v>215.87936431176166</v>
      </c>
      <c r="M498" s="73"/>
      <c r="N498" s="74">
        <v>6.6821324944746028</v>
      </c>
      <c r="O498" s="74">
        <v>6.6960802829928197</v>
      </c>
      <c r="P498" s="73"/>
      <c r="Q498" s="72">
        <v>2355.3685434926006</v>
      </c>
      <c r="R498" s="72">
        <v>1446.4197686207017</v>
      </c>
      <c r="S498" s="73"/>
      <c r="T498" s="74">
        <v>4.7523815631586608</v>
      </c>
      <c r="U498" s="74">
        <v>4.8368541143073571</v>
      </c>
      <c r="V498" s="73"/>
      <c r="W498" s="72">
        <v>9922.8025939705676</v>
      </c>
      <c r="X498" s="72">
        <v>9906.548705286441</v>
      </c>
      <c r="Y498" s="73"/>
      <c r="Z498" s="74">
        <v>2.9225263601205627</v>
      </c>
      <c r="AA498" s="74">
        <v>2.9630345560632576</v>
      </c>
      <c r="AB498" s="73"/>
      <c r="AC498" s="72">
        <v>50604.329784461472</v>
      </c>
      <c r="AD498" s="72">
        <v>50430.48607337477</v>
      </c>
      <c r="AE498" s="73"/>
      <c r="AF498" s="74">
        <v>4.8572104705751524</v>
      </c>
      <c r="AG498" s="74">
        <v>5.0159167090848813</v>
      </c>
      <c r="AH498" s="73"/>
      <c r="AI498" s="72">
        <v>2755317.5988822691</v>
      </c>
      <c r="AJ498" s="72">
        <v>0</v>
      </c>
      <c r="AK498" s="73"/>
      <c r="AL498" s="74">
        <v>-1777.7182535168604</v>
      </c>
      <c r="AM498" s="74">
        <v>0</v>
      </c>
      <c r="AN498" s="73"/>
      <c r="AO498" s="72">
        <v>173445.98941676281</v>
      </c>
      <c r="AP498" s="72">
        <v>0</v>
      </c>
      <c r="AQ498" s="73"/>
      <c r="AR498" s="74">
        <v>-92.359883550140168</v>
      </c>
      <c r="AS498" s="74">
        <v>0</v>
      </c>
      <c r="AT498" s="73"/>
      <c r="AU498" s="72">
        <v>21261719.217335925</v>
      </c>
      <c r="AV498" s="72">
        <v>0</v>
      </c>
      <c r="AW498" s="73"/>
      <c r="AX498" s="74">
        <v>-1975.9437646513682</v>
      </c>
      <c r="AY498" s="74">
        <v>0</v>
      </c>
      <c r="AZ498" s="73"/>
      <c r="BA498" s="72">
        <v>147753.01882946418</v>
      </c>
      <c r="BB498" s="72">
        <v>0</v>
      </c>
      <c r="BC498" s="73"/>
      <c r="BD498" s="74">
        <v>-368.23238759557353</v>
      </c>
      <c r="BE498" s="74">
        <v>0</v>
      </c>
      <c r="BF498" s="73"/>
      <c r="BG498" s="72">
        <v>2885085.9390648385</v>
      </c>
      <c r="BH498" s="72">
        <v>0</v>
      </c>
      <c r="BI498" s="73"/>
      <c r="BJ498" s="74">
        <v>-2633.8665592448656</v>
      </c>
      <c r="BK498" s="74">
        <v>0</v>
      </c>
      <c r="BL498" s="73"/>
      <c r="BM498" s="72">
        <v>27223321.76352926</v>
      </c>
      <c r="BN498" s="72">
        <v>0</v>
      </c>
      <c r="BO498" s="73"/>
      <c r="BP498" s="74">
        <v>-6848.1208485588086</v>
      </c>
      <c r="BQ498" s="74">
        <v>0</v>
      </c>
      <c r="BS498" s="109">
        <f t="shared" si="201"/>
        <v>116197.07087366554</v>
      </c>
      <c r="BT498" s="109">
        <f t="shared" si="202"/>
        <v>116552.63868855147</v>
      </c>
      <c r="BV498" s="58">
        <f t="array" ref="BV498">SUM(IF(BS498:BT498&gt;=BS498, 1))</f>
        <v>2</v>
      </c>
      <c r="BW498" s="58">
        <f t="array" ref="BW498">SUM(IF(BS498:BT498&gt;=BT498, 1))</f>
        <v>1</v>
      </c>
      <c r="BY498" s="109">
        <f t="shared" si="203"/>
        <v>133400.57746509046</v>
      </c>
      <c r="BZ498" s="109">
        <f t="shared" si="204"/>
        <v>133705.72629554465</v>
      </c>
      <c r="CB498" s="58">
        <f t="array" ref="CB498">SUM(IF(BY498:BZ498&gt;=BY498, 1))</f>
        <v>2</v>
      </c>
      <c r="CC498" s="58">
        <f t="array" ref="CC498">SUM(IF(BY498:BZ498&gt;=BZ498, 1))</f>
        <v>1</v>
      </c>
      <c r="CE498" s="109">
        <f t="shared" si="205"/>
        <v>92692.262719680613</v>
      </c>
      <c r="CF498" s="109">
        <f t="shared" si="206"/>
        <v>95290.662517526434</v>
      </c>
      <c r="CH498" s="58">
        <f t="array" ref="CH498">SUM(IF(CE498:CF498&gt;=CE498, 1))</f>
        <v>2</v>
      </c>
      <c r="CI498" s="58">
        <f t="array" ref="CI498">SUM(IF(CE498:CF498&gt;=CF498, 1))</f>
        <v>1</v>
      </c>
      <c r="CK498" s="109">
        <f t="shared" si="207"/>
        <v>48527.724608440687</v>
      </c>
      <c r="CL498" s="109">
        <f t="shared" si="208"/>
        <v>49354.142415978713</v>
      </c>
      <c r="CN498" s="58">
        <f t="array" ref="CN498">SUM(IF(CK498:CL498&gt;=CK498, 1))</f>
        <v>2</v>
      </c>
      <c r="CO498" s="58">
        <f t="array" ref="CO498">SUM(IF(CK498:CL498&gt;=CL498, 1))</f>
        <v>1</v>
      </c>
      <c r="CQ498" s="109" cm="1">
        <f t="array" ref="CQ498">AF498*WTP-AC498</f>
        <v>46539.879627041577</v>
      </c>
      <c r="CR498" s="109">
        <f t="shared" si="209"/>
        <v>49887.848108322862</v>
      </c>
      <c r="CT498" s="58">
        <f t="array" ref="CT498">SUM(IF(CQ498:CR498&gt;=CQ498, 1))</f>
        <v>2</v>
      </c>
      <c r="CU498" s="58">
        <f t="array" ref="CU498">SUM(IF(CQ498:CR498&gt;=CR498, 1))</f>
        <v>1</v>
      </c>
      <c r="CW498" s="109">
        <f t="shared" si="210"/>
        <v>-38309682.669219479</v>
      </c>
      <c r="CX498" s="109">
        <f t="shared" si="211"/>
        <v>0</v>
      </c>
      <c r="CZ498" s="58">
        <f t="array" ref="CZ498">SUM(IF(CW498:CX498&gt;=CW498, 1))</f>
        <v>2</v>
      </c>
      <c r="DA498" s="58">
        <f t="array" ref="DA498">SUM(IF(CW498:CX498&gt;=CX498, 1))</f>
        <v>1</v>
      </c>
      <c r="DC498" s="109">
        <f t="shared" si="212"/>
        <v>-2020643.6604195661</v>
      </c>
      <c r="DD498" s="109">
        <f t="shared" si="213"/>
        <v>0</v>
      </c>
      <c r="DF498" s="58">
        <f t="array" ref="DF498">SUM(IF(DC498:DD498&gt;=DC498, 1))</f>
        <v>2</v>
      </c>
      <c r="DG498" s="58">
        <f t="array" ref="DG498">SUM(IF(DC498:DD498&gt;=DD498, 1))</f>
        <v>1</v>
      </c>
      <c r="DI498" s="109">
        <f t="shared" si="214"/>
        <v>-60780594.510363288</v>
      </c>
      <c r="DJ498" s="109">
        <f t="shared" si="215"/>
        <v>0</v>
      </c>
      <c r="DL498" s="58">
        <f t="array" ref="DL498">SUM(IF(DI498:DJ498&gt;=DI498, 1))</f>
        <v>2</v>
      </c>
      <c r="DM498" s="58">
        <f t="array" ref="DM498">SUM(IF(DI498:DJ498&gt;=DJ498, 1))</f>
        <v>1</v>
      </c>
      <c r="DO498" s="109">
        <f t="shared" si="216"/>
        <v>-7512400.7707409346</v>
      </c>
      <c r="DP498" s="109">
        <f t="shared" si="217"/>
        <v>0</v>
      </c>
      <c r="DR498" s="58">
        <f t="array" ref="DR498">SUM(IF(DO498:DP498&gt;=DO498, 1))</f>
        <v>2</v>
      </c>
      <c r="DS498" s="58">
        <f t="array" ref="DS498">SUM(IF(DO498:DP498&gt;=DP498, 1))</f>
        <v>1</v>
      </c>
      <c r="DU498" s="109">
        <f t="shared" si="218"/>
        <v>-55562417.123962149</v>
      </c>
      <c r="DV498" s="109">
        <f t="shared" si="219"/>
        <v>0</v>
      </c>
      <c r="DX498" s="58">
        <f t="array" ref="DX498">SUM(IF(DU498:DV498&gt;=DU498, 1))</f>
        <v>2</v>
      </c>
      <c r="DY498" s="58">
        <f t="array" ref="DY498">SUM(IF(DU498:DV498&gt;=DV498, 1))</f>
        <v>1</v>
      </c>
      <c r="EA498" s="109">
        <f t="shared" si="220"/>
        <v>-164185738.73470545</v>
      </c>
      <c r="EB498" s="109">
        <f t="shared" si="221"/>
        <v>0</v>
      </c>
      <c r="ED498" s="58">
        <f t="array" ref="ED498">SUM(IF(EA498:EB498&gt;=EA498, 1))</f>
        <v>2</v>
      </c>
      <c r="EE498" s="58">
        <f t="array" ref="EE498">SUM(IF(EA498:EB498&gt;=EB498, 1))</f>
        <v>1</v>
      </c>
    </row>
    <row r="499" spans="4:135" ht="12" customHeight="1" x14ac:dyDescent="0.25">
      <c r="D499" s="11">
        <v>483</v>
      </c>
      <c r="E499" s="72">
        <v>259.0230212480779</v>
      </c>
      <c r="F499" s="72">
        <v>224.94444652111494</v>
      </c>
      <c r="G499" s="73"/>
      <c r="H499" s="74">
        <v>5.8190049863576601</v>
      </c>
      <c r="I499" s="74">
        <v>5.8335455695087424</v>
      </c>
      <c r="J499" s="73"/>
      <c r="K499" s="72">
        <v>277.4263438573152</v>
      </c>
      <c r="L499" s="72">
        <v>242.49803337048809</v>
      </c>
      <c r="M499" s="73"/>
      <c r="N499" s="74">
        <v>6.6665295010049226</v>
      </c>
      <c r="O499" s="74">
        <v>6.6785216616220868</v>
      </c>
      <c r="P499" s="73"/>
      <c r="Q499" s="72">
        <v>1964.8890744266384</v>
      </c>
      <c r="R499" s="72">
        <v>1372.6331572196989</v>
      </c>
      <c r="S499" s="73"/>
      <c r="T499" s="74">
        <v>4.8631148591279834</v>
      </c>
      <c r="U499" s="74">
        <v>4.9236445369433346</v>
      </c>
      <c r="V499" s="73"/>
      <c r="W499" s="72">
        <v>17253.608029089308</v>
      </c>
      <c r="X499" s="72">
        <v>17319.547769142326</v>
      </c>
      <c r="Y499" s="73"/>
      <c r="Z499" s="74">
        <v>3.2265687811592052</v>
      </c>
      <c r="AA499" s="74">
        <v>3.3007213957682828</v>
      </c>
      <c r="AB499" s="73"/>
      <c r="AC499" s="72">
        <v>49081.328222373311</v>
      </c>
      <c r="AD499" s="72">
        <v>49066.298982153145</v>
      </c>
      <c r="AE499" s="73"/>
      <c r="AF499" s="74">
        <v>4.6724730753688934</v>
      </c>
      <c r="AG499" s="74">
        <v>4.7837821740870883</v>
      </c>
      <c r="AH499" s="73"/>
      <c r="AI499" s="72">
        <v>3661181.7626706753</v>
      </c>
      <c r="AJ499" s="72">
        <v>0</v>
      </c>
      <c r="AK499" s="73"/>
      <c r="AL499" s="74">
        <v>-1562.1462539986735</v>
      </c>
      <c r="AM499" s="74">
        <v>0</v>
      </c>
      <c r="AN499" s="73"/>
      <c r="AO499" s="72">
        <v>237255.74393583738</v>
      </c>
      <c r="AP499" s="72">
        <v>0</v>
      </c>
      <c r="AQ499" s="73"/>
      <c r="AR499" s="74">
        <v>-81.458534608949833</v>
      </c>
      <c r="AS499" s="74">
        <v>0</v>
      </c>
      <c r="AT499" s="73"/>
      <c r="AU499" s="72">
        <v>13454019.716953184</v>
      </c>
      <c r="AV499" s="72">
        <v>0</v>
      </c>
      <c r="AW499" s="73"/>
      <c r="AX499" s="74">
        <v>-1375.026327519176</v>
      </c>
      <c r="AY499" s="74">
        <v>0</v>
      </c>
      <c r="AZ499" s="73"/>
      <c r="BA499" s="72">
        <v>-584401.43408458878</v>
      </c>
      <c r="BB499" s="72">
        <v>0</v>
      </c>
      <c r="BC499" s="73"/>
      <c r="BD499" s="74">
        <v>-657.1893411139323</v>
      </c>
      <c r="BE499" s="74">
        <v>0</v>
      </c>
      <c r="BF499" s="73"/>
      <c r="BG499" s="72">
        <v>240225.04049206935</v>
      </c>
      <c r="BH499" s="72">
        <v>0</v>
      </c>
      <c r="BI499" s="73"/>
      <c r="BJ499" s="74">
        <v>-1779.1473391206162</v>
      </c>
      <c r="BK499" s="74">
        <v>0</v>
      </c>
      <c r="BL499" s="73"/>
      <c r="BM499" s="72">
        <v>17008280.829967178</v>
      </c>
      <c r="BN499" s="72">
        <v>0</v>
      </c>
      <c r="BO499" s="73"/>
      <c r="BP499" s="74">
        <v>-5454.9677963613476</v>
      </c>
      <c r="BQ499" s="74">
        <v>0</v>
      </c>
      <c r="BS499" s="109">
        <f t="shared" si="201"/>
        <v>116121.07670590511</v>
      </c>
      <c r="BT499" s="109">
        <f t="shared" si="202"/>
        <v>116445.96694365374</v>
      </c>
      <c r="BV499" s="58">
        <f t="array" ref="BV499">SUM(IF(BS499:BT499&gt;=BS499, 1))</f>
        <v>2</v>
      </c>
      <c r="BW499" s="58">
        <f t="array" ref="BW499">SUM(IF(BS499:BT499&gt;=BT499, 1))</f>
        <v>1</v>
      </c>
      <c r="BY499" s="109">
        <f t="shared" si="203"/>
        <v>133053.16367624115</v>
      </c>
      <c r="BZ499" s="109">
        <f t="shared" si="204"/>
        <v>133327.93519907125</v>
      </c>
      <c r="CB499" s="58">
        <f t="array" ref="CB499">SUM(IF(BY499:BZ499&gt;=BY499, 1))</f>
        <v>2</v>
      </c>
      <c r="CC499" s="58">
        <f t="array" ref="CC499">SUM(IF(BY499:BZ499&gt;=BZ499, 1))</f>
        <v>1</v>
      </c>
      <c r="CE499" s="109">
        <f t="shared" si="205"/>
        <v>95297.408108133022</v>
      </c>
      <c r="CF499" s="109">
        <f t="shared" si="206"/>
        <v>97100.257581646991</v>
      </c>
      <c r="CH499" s="58">
        <f t="array" ref="CH499">SUM(IF(CE499:CF499&gt;=CE499, 1))</f>
        <v>2</v>
      </c>
      <c r="CI499" s="58">
        <f t="array" ref="CI499">SUM(IF(CE499:CF499&gt;=CF499, 1))</f>
        <v>1</v>
      </c>
      <c r="CK499" s="109">
        <f t="shared" si="207"/>
        <v>47277.767594094796</v>
      </c>
      <c r="CL499" s="109">
        <f t="shared" si="208"/>
        <v>48694.880146223324</v>
      </c>
      <c r="CN499" s="58">
        <f t="array" ref="CN499">SUM(IF(CK499:CL499&gt;=CK499, 1))</f>
        <v>2</v>
      </c>
      <c r="CO499" s="58">
        <f t="array" ref="CO499">SUM(IF(CK499:CL499&gt;=CL499, 1))</f>
        <v>1</v>
      </c>
      <c r="CQ499" s="109" cm="1">
        <f t="array" ref="CQ499">AF499*WTP-AC499</f>
        <v>44368.133285004558</v>
      </c>
      <c r="CR499" s="109">
        <f t="shared" si="209"/>
        <v>46609.344499588617</v>
      </c>
      <c r="CT499" s="58">
        <f t="array" ref="CT499">SUM(IF(CQ499:CR499&gt;=CQ499, 1))</f>
        <v>2</v>
      </c>
      <c r="CU499" s="58">
        <f t="array" ref="CU499">SUM(IF(CQ499:CR499&gt;=CR499, 1))</f>
        <v>1</v>
      </c>
      <c r="CW499" s="109">
        <f t="shared" si="210"/>
        <v>-34904106.842644148</v>
      </c>
      <c r="CX499" s="109">
        <f t="shared" si="211"/>
        <v>0</v>
      </c>
      <c r="CZ499" s="58">
        <f t="array" ref="CZ499">SUM(IF(CW499:CX499&gt;=CW499, 1))</f>
        <v>2</v>
      </c>
      <c r="DA499" s="58">
        <f t="array" ref="DA499">SUM(IF(CW499:CX499&gt;=CX499, 1))</f>
        <v>1</v>
      </c>
      <c r="DC499" s="109">
        <f t="shared" si="212"/>
        <v>-1866426.4361148342</v>
      </c>
      <c r="DD499" s="109">
        <f t="shared" si="213"/>
        <v>0</v>
      </c>
      <c r="DF499" s="58">
        <f t="array" ref="DF499">SUM(IF(DC499:DD499&gt;=DC499, 1))</f>
        <v>2</v>
      </c>
      <c r="DG499" s="58">
        <f t="array" ref="DG499">SUM(IF(DC499:DD499&gt;=DD499, 1))</f>
        <v>1</v>
      </c>
      <c r="DI499" s="109">
        <f t="shared" si="214"/>
        <v>-40954546.267336704</v>
      </c>
      <c r="DJ499" s="109">
        <f t="shared" si="215"/>
        <v>0</v>
      </c>
      <c r="DL499" s="58">
        <f t="array" ref="DL499">SUM(IF(DI499:DJ499&gt;=DI499, 1))</f>
        <v>2</v>
      </c>
      <c r="DM499" s="58">
        <f t="array" ref="DM499">SUM(IF(DI499:DJ499&gt;=DJ499, 1))</f>
        <v>1</v>
      </c>
      <c r="DO499" s="109">
        <f t="shared" si="216"/>
        <v>-12559385.388194058</v>
      </c>
      <c r="DP499" s="109">
        <f t="shared" si="217"/>
        <v>0</v>
      </c>
      <c r="DR499" s="58">
        <f t="array" ref="DR499">SUM(IF(DO499:DP499&gt;=DO499, 1))</f>
        <v>2</v>
      </c>
      <c r="DS499" s="58">
        <f t="array" ref="DS499">SUM(IF(DO499:DP499&gt;=DP499, 1))</f>
        <v>1</v>
      </c>
      <c r="DU499" s="109">
        <f t="shared" si="218"/>
        <v>-35823171.822904393</v>
      </c>
      <c r="DV499" s="109">
        <f t="shared" si="219"/>
        <v>0</v>
      </c>
      <c r="DX499" s="58">
        <f t="array" ref="DX499">SUM(IF(DU499:DV499&gt;=DU499, 1))</f>
        <v>2</v>
      </c>
      <c r="DY499" s="58">
        <f t="array" ref="DY499">SUM(IF(DU499:DV499&gt;=DV499, 1))</f>
        <v>1</v>
      </c>
      <c r="EA499" s="109">
        <f t="shared" si="220"/>
        <v>-126107636.75719413</v>
      </c>
      <c r="EB499" s="109">
        <f t="shared" si="221"/>
        <v>0</v>
      </c>
      <c r="ED499" s="58">
        <f t="array" ref="ED499">SUM(IF(EA499:EB499&gt;=EA499, 1))</f>
        <v>2</v>
      </c>
      <c r="EE499" s="58">
        <f t="array" ref="EE499">SUM(IF(EA499:EB499&gt;=EB499, 1))</f>
        <v>1</v>
      </c>
    </row>
    <row r="500" spans="4:135" ht="12" customHeight="1" x14ac:dyDescent="0.25">
      <c r="D500" s="11">
        <v>484</v>
      </c>
      <c r="E500" s="72">
        <v>287.78083423977159</v>
      </c>
      <c r="F500" s="72">
        <v>253.9387541607752</v>
      </c>
      <c r="G500" s="73"/>
      <c r="H500" s="74">
        <v>5.8410671386665625</v>
      </c>
      <c r="I500" s="74">
        <v>5.8581722636321008</v>
      </c>
      <c r="J500" s="73"/>
      <c r="K500" s="72">
        <v>308.37058042233468</v>
      </c>
      <c r="L500" s="72">
        <v>273.68491750675605</v>
      </c>
      <c r="M500" s="73"/>
      <c r="N500" s="74">
        <v>6.669994369125047</v>
      </c>
      <c r="O500" s="74">
        <v>6.6846565597640684</v>
      </c>
      <c r="P500" s="73"/>
      <c r="Q500" s="72">
        <v>3452.9479263010335</v>
      </c>
      <c r="R500" s="72">
        <v>1820.8485027771403</v>
      </c>
      <c r="S500" s="73"/>
      <c r="T500" s="74">
        <v>4.86293386561172</v>
      </c>
      <c r="U500" s="74">
        <v>4.9607832298319572</v>
      </c>
      <c r="V500" s="73"/>
      <c r="W500" s="72">
        <v>18934.874009094045</v>
      </c>
      <c r="X500" s="72">
        <v>19014.855809461384</v>
      </c>
      <c r="Y500" s="73"/>
      <c r="Z500" s="74">
        <v>2.9255917199211749</v>
      </c>
      <c r="AA500" s="74">
        <v>2.9844280259145437</v>
      </c>
      <c r="AB500" s="73"/>
      <c r="AC500" s="72">
        <v>51713.543322292971</v>
      </c>
      <c r="AD500" s="72">
        <v>51546.615110139996</v>
      </c>
      <c r="AE500" s="73"/>
      <c r="AF500" s="74">
        <v>4.3369229516474892</v>
      </c>
      <c r="AG500" s="74">
        <v>4.4650536883489051</v>
      </c>
      <c r="AH500" s="73"/>
      <c r="AI500" s="72">
        <v>3643619.4088971452</v>
      </c>
      <c r="AJ500" s="72">
        <v>0</v>
      </c>
      <c r="AK500" s="73"/>
      <c r="AL500" s="74">
        <v>-1841.6292725082014</v>
      </c>
      <c r="AM500" s="74">
        <v>0</v>
      </c>
      <c r="AN500" s="73"/>
      <c r="AO500" s="72">
        <v>239250.72916544799</v>
      </c>
      <c r="AP500" s="72">
        <v>0</v>
      </c>
      <c r="AQ500" s="73"/>
      <c r="AR500" s="74">
        <v>-101.13515229870757</v>
      </c>
      <c r="AS500" s="74">
        <v>0</v>
      </c>
      <c r="AT500" s="73"/>
      <c r="AU500" s="72">
        <v>37204801.651723735</v>
      </c>
      <c r="AV500" s="72">
        <v>0</v>
      </c>
      <c r="AW500" s="73"/>
      <c r="AX500" s="74">
        <v>-2230.5419235434842</v>
      </c>
      <c r="AY500" s="74">
        <v>0</v>
      </c>
      <c r="AZ500" s="73"/>
      <c r="BA500" s="72">
        <v>-717648.31308713404</v>
      </c>
      <c r="BB500" s="72">
        <v>0</v>
      </c>
      <c r="BC500" s="73"/>
      <c r="BD500" s="74">
        <v>-527.91729556592747</v>
      </c>
      <c r="BE500" s="74">
        <v>0</v>
      </c>
      <c r="BF500" s="73"/>
      <c r="BG500" s="72">
        <v>2704409.0181886456</v>
      </c>
      <c r="BH500" s="72">
        <v>0</v>
      </c>
      <c r="BI500" s="73"/>
      <c r="BJ500" s="74">
        <v>-2075.8499439562029</v>
      </c>
      <c r="BK500" s="74">
        <v>0</v>
      </c>
      <c r="BL500" s="73"/>
      <c r="BM500" s="72">
        <v>43074432.494887844</v>
      </c>
      <c r="BN500" s="72">
        <v>0</v>
      </c>
      <c r="BO500" s="73"/>
      <c r="BP500" s="74">
        <v>-6777.0735878725245</v>
      </c>
      <c r="BQ500" s="74">
        <v>0</v>
      </c>
      <c r="BS500" s="109">
        <f t="shared" si="201"/>
        <v>116533.56193909148</v>
      </c>
      <c r="BT500" s="109">
        <f t="shared" si="202"/>
        <v>116909.50651848124</v>
      </c>
      <c r="BV500" s="58">
        <f t="array" ref="BV500">SUM(IF(BS500:BT500&gt;=BS500, 1))</f>
        <v>2</v>
      </c>
      <c r="BW500" s="58">
        <f t="array" ref="BW500">SUM(IF(BS500:BT500&gt;=BT500, 1))</f>
        <v>1</v>
      </c>
      <c r="BY500" s="109">
        <f t="shared" si="203"/>
        <v>133091.51680207861</v>
      </c>
      <c r="BZ500" s="109">
        <f t="shared" si="204"/>
        <v>133419.44627777461</v>
      </c>
      <c r="CB500" s="58">
        <f t="array" ref="CB500">SUM(IF(BY500:BZ500&gt;=BY500, 1))</f>
        <v>2</v>
      </c>
      <c r="CC500" s="58">
        <f t="array" ref="CC500">SUM(IF(BY500:BZ500&gt;=BZ500, 1))</f>
        <v>1</v>
      </c>
      <c r="CE500" s="109">
        <f t="shared" si="205"/>
        <v>93805.729385933373</v>
      </c>
      <c r="CF500" s="109">
        <f t="shared" si="206"/>
        <v>97394.816093861999</v>
      </c>
      <c r="CH500" s="58">
        <f t="array" ref="CH500">SUM(IF(CE500:CF500&gt;=CE500, 1))</f>
        <v>2</v>
      </c>
      <c r="CI500" s="58">
        <f t="array" ref="CI500">SUM(IF(CE500:CF500&gt;=CF500, 1))</f>
        <v>1</v>
      </c>
      <c r="CK500" s="109">
        <f t="shared" si="207"/>
        <v>39576.960389329455</v>
      </c>
      <c r="CL500" s="109">
        <f t="shared" si="208"/>
        <v>40673.704708829493</v>
      </c>
      <c r="CN500" s="58">
        <f t="array" ref="CN500">SUM(IF(CK500:CL500&gt;=CK500, 1))</f>
        <v>2</v>
      </c>
      <c r="CO500" s="58">
        <f t="array" ref="CO500">SUM(IF(CK500:CL500&gt;=CL500, 1))</f>
        <v>1</v>
      </c>
      <c r="CQ500" s="109" cm="1">
        <f t="array" ref="CQ500">AF500*WTP-AC500</f>
        <v>35024.915710656816</v>
      </c>
      <c r="CR500" s="109">
        <f t="shared" si="209"/>
        <v>37754.458656838113</v>
      </c>
      <c r="CT500" s="58">
        <f t="array" ref="CT500">SUM(IF(CQ500:CR500&gt;=CQ500, 1))</f>
        <v>2</v>
      </c>
      <c r="CU500" s="58">
        <f t="array" ref="CU500">SUM(IF(CQ500:CR500&gt;=CR500, 1))</f>
        <v>1</v>
      </c>
      <c r="CW500" s="109">
        <f t="shared" si="210"/>
        <v>-40476204.859061174</v>
      </c>
      <c r="CX500" s="109">
        <f t="shared" si="211"/>
        <v>0</v>
      </c>
      <c r="CZ500" s="58">
        <f t="array" ref="CZ500">SUM(IF(CW500:CX500&gt;=CW500, 1))</f>
        <v>2</v>
      </c>
      <c r="DA500" s="58">
        <f t="array" ref="DA500">SUM(IF(CW500:CX500&gt;=CX500, 1))</f>
        <v>1</v>
      </c>
      <c r="DC500" s="109">
        <f t="shared" si="212"/>
        <v>-2261953.7751395991</v>
      </c>
      <c r="DD500" s="109">
        <f t="shared" si="213"/>
        <v>0</v>
      </c>
      <c r="DF500" s="58">
        <f t="array" ref="DF500">SUM(IF(DC500:DD500&gt;=DC500, 1))</f>
        <v>2</v>
      </c>
      <c r="DG500" s="58">
        <f t="array" ref="DG500">SUM(IF(DC500:DD500&gt;=DD500, 1))</f>
        <v>1</v>
      </c>
      <c r="DI500" s="109">
        <f t="shared" si="214"/>
        <v>-81815640.122593418</v>
      </c>
      <c r="DJ500" s="109">
        <f t="shared" si="215"/>
        <v>0</v>
      </c>
      <c r="DL500" s="58">
        <f t="array" ref="DL500">SUM(IF(DI500:DJ500&gt;=DI500, 1))</f>
        <v>2</v>
      </c>
      <c r="DM500" s="58">
        <f t="array" ref="DM500">SUM(IF(DI500:DJ500&gt;=DJ500, 1))</f>
        <v>1</v>
      </c>
      <c r="DO500" s="109">
        <f t="shared" si="216"/>
        <v>-9840697.5982314162</v>
      </c>
      <c r="DP500" s="109">
        <f t="shared" si="217"/>
        <v>0</v>
      </c>
      <c r="DR500" s="58">
        <f t="array" ref="DR500">SUM(IF(DO500:DP500&gt;=DO500, 1))</f>
        <v>2</v>
      </c>
      <c r="DS500" s="58">
        <f t="array" ref="DS500">SUM(IF(DO500:DP500&gt;=DP500, 1))</f>
        <v>1</v>
      </c>
      <c r="DU500" s="109">
        <f t="shared" si="218"/>
        <v>-44221407.897312708</v>
      </c>
      <c r="DV500" s="109">
        <f t="shared" si="219"/>
        <v>0</v>
      </c>
      <c r="DX500" s="58">
        <f t="array" ref="DX500">SUM(IF(DU500:DV500&gt;=DU500, 1))</f>
        <v>2</v>
      </c>
      <c r="DY500" s="58">
        <f t="array" ref="DY500">SUM(IF(DU500:DV500&gt;=DV500, 1))</f>
        <v>1</v>
      </c>
      <c r="EA500" s="109">
        <f t="shared" si="220"/>
        <v>-178615904.25233835</v>
      </c>
      <c r="EB500" s="109">
        <f t="shared" si="221"/>
        <v>0</v>
      </c>
      <c r="ED500" s="58">
        <f t="array" ref="ED500">SUM(IF(EA500:EB500&gt;=EA500, 1))</f>
        <v>2</v>
      </c>
      <c r="EE500" s="58">
        <f t="array" ref="EE500">SUM(IF(EA500:EB500&gt;=EB500, 1))</f>
        <v>1</v>
      </c>
    </row>
    <row r="501" spans="4:135" ht="12" customHeight="1" x14ac:dyDescent="0.25">
      <c r="D501" s="11">
        <v>485</v>
      </c>
      <c r="E501" s="72">
        <v>241.49627857769988</v>
      </c>
      <c r="F501" s="72">
        <v>222.94789761075978</v>
      </c>
      <c r="G501" s="73"/>
      <c r="H501" s="74">
        <v>5.9143105961441744</v>
      </c>
      <c r="I501" s="74">
        <v>5.9254971788272703</v>
      </c>
      <c r="J501" s="73"/>
      <c r="K501" s="72">
        <v>259.38299050157832</v>
      </c>
      <c r="L501" s="72">
        <v>240.383918963236</v>
      </c>
      <c r="M501" s="73"/>
      <c r="N501" s="74">
        <v>6.6878507124904765</v>
      </c>
      <c r="O501" s="74">
        <v>6.6969930934827753</v>
      </c>
      <c r="P501" s="73"/>
      <c r="Q501" s="72">
        <v>2031.9702850600047</v>
      </c>
      <c r="R501" s="72">
        <v>1152.1378187718171</v>
      </c>
      <c r="S501" s="73"/>
      <c r="T501" s="74">
        <v>4.9112376717876502</v>
      </c>
      <c r="U501" s="74">
        <v>4.9981401561578451</v>
      </c>
      <c r="V501" s="73"/>
      <c r="W501" s="72">
        <v>13695.574271932985</v>
      </c>
      <c r="X501" s="72">
        <v>13688.002823797397</v>
      </c>
      <c r="Y501" s="73"/>
      <c r="Z501" s="74">
        <v>2.8261654399136504</v>
      </c>
      <c r="AA501" s="74">
        <v>2.8675494460028541</v>
      </c>
      <c r="AB501" s="73"/>
      <c r="AC501" s="72">
        <v>49647.391656977561</v>
      </c>
      <c r="AD501" s="72">
        <v>49660.79952798762</v>
      </c>
      <c r="AE501" s="73"/>
      <c r="AF501" s="74">
        <v>4.4874261723936604</v>
      </c>
      <c r="AG501" s="74">
        <v>4.5924109034871154</v>
      </c>
      <c r="AH501" s="73"/>
      <c r="AI501" s="72">
        <v>2004996.6364626135</v>
      </c>
      <c r="AJ501" s="72">
        <v>0</v>
      </c>
      <c r="AK501" s="73"/>
      <c r="AL501" s="74">
        <v>-1209.2193217885106</v>
      </c>
      <c r="AM501" s="74">
        <v>0</v>
      </c>
      <c r="AN501" s="73"/>
      <c r="AO501" s="72">
        <v>128734.89511960594</v>
      </c>
      <c r="AP501" s="72">
        <v>0</v>
      </c>
      <c r="AQ501" s="73"/>
      <c r="AR501" s="74">
        <v>-61.947419683738623</v>
      </c>
      <c r="AS501" s="74">
        <v>0</v>
      </c>
      <c r="AT501" s="73"/>
      <c r="AU501" s="72">
        <v>20172347.372270457</v>
      </c>
      <c r="AV501" s="72">
        <v>0</v>
      </c>
      <c r="AW501" s="73"/>
      <c r="AX501" s="74">
        <v>-1992.455574666955</v>
      </c>
      <c r="AY501" s="74">
        <v>0</v>
      </c>
      <c r="AZ501" s="73"/>
      <c r="BA501" s="72">
        <v>66972.372258692863</v>
      </c>
      <c r="BB501" s="72">
        <v>0</v>
      </c>
      <c r="BC501" s="73"/>
      <c r="BD501" s="74">
        <v>-366.05745845829438</v>
      </c>
      <c r="BE501" s="74">
        <v>0</v>
      </c>
      <c r="BF501" s="73"/>
      <c r="BG501" s="72">
        <v>-212556.89697973442</v>
      </c>
      <c r="BH501" s="72">
        <v>0</v>
      </c>
      <c r="BI501" s="73"/>
      <c r="BJ501" s="74">
        <v>-1664.3379590045283</v>
      </c>
      <c r="BK501" s="74">
        <v>0</v>
      </c>
      <c r="BL501" s="73"/>
      <c r="BM501" s="72">
        <v>22160494.379131638</v>
      </c>
      <c r="BN501" s="72">
        <v>0</v>
      </c>
      <c r="BO501" s="73"/>
      <c r="BP501" s="74">
        <v>-5294.0177336020279</v>
      </c>
      <c r="BQ501" s="74">
        <v>0</v>
      </c>
      <c r="BS501" s="109">
        <f t="shared" si="201"/>
        <v>118044.71564430579</v>
      </c>
      <c r="BT501" s="109">
        <f t="shared" si="202"/>
        <v>118286.99567893465</v>
      </c>
      <c r="BV501" s="58">
        <f t="array" ref="BV501">SUM(IF(BS501:BT501&gt;=BS501, 1))</f>
        <v>2</v>
      </c>
      <c r="BW501" s="58">
        <f t="array" ref="BW501">SUM(IF(BS501:BT501&gt;=BT501, 1))</f>
        <v>1</v>
      </c>
      <c r="BY501" s="109">
        <f t="shared" si="203"/>
        <v>133497.63125930793</v>
      </c>
      <c r="BZ501" s="109">
        <f t="shared" si="204"/>
        <v>133699.47795069226</v>
      </c>
      <c r="CB501" s="58">
        <f t="array" ref="CB501">SUM(IF(BY501:BZ501&gt;=BY501, 1))</f>
        <v>2</v>
      </c>
      <c r="CC501" s="58">
        <f t="array" ref="CC501">SUM(IF(BY501:BZ501&gt;=BZ501, 1))</f>
        <v>1</v>
      </c>
      <c r="CE501" s="109">
        <f t="shared" si="205"/>
        <v>96192.783150693009</v>
      </c>
      <c r="CF501" s="109">
        <f t="shared" si="206"/>
        <v>98810.665304385082</v>
      </c>
      <c r="CH501" s="58">
        <f t="array" ref="CH501">SUM(IF(CE501:CF501&gt;=CE501, 1))</f>
        <v>2</v>
      </c>
      <c r="CI501" s="58">
        <f t="array" ref="CI501">SUM(IF(CE501:CF501&gt;=CF501, 1))</f>
        <v>1</v>
      </c>
      <c r="CK501" s="109">
        <f t="shared" si="207"/>
        <v>42827.73452634002</v>
      </c>
      <c r="CL501" s="109">
        <f t="shared" si="208"/>
        <v>43662.986096259687</v>
      </c>
      <c r="CN501" s="58">
        <f t="array" ref="CN501">SUM(IF(CK501:CL501&gt;=CK501, 1))</f>
        <v>2</v>
      </c>
      <c r="CO501" s="58">
        <f t="array" ref="CO501">SUM(IF(CK501:CL501&gt;=CL501, 1))</f>
        <v>1</v>
      </c>
      <c r="CQ501" s="109" cm="1">
        <f t="array" ref="CQ501">AF501*WTP-AC501</f>
        <v>40101.131790895641</v>
      </c>
      <c r="CR501" s="109">
        <f t="shared" si="209"/>
        <v>42187.418541754683</v>
      </c>
      <c r="CT501" s="58">
        <f t="array" ref="CT501">SUM(IF(CQ501:CR501&gt;=CQ501, 1))</f>
        <v>2</v>
      </c>
      <c r="CU501" s="58">
        <f t="array" ref="CU501">SUM(IF(CQ501:CR501&gt;=CR501, 1))</f>
        <v>1</v>
      </c>
      <c r="CW501" s="109">
        <f t="shared" si="210"/>
        <v>-26189383.072232824</v>
      </c>
      <c r="CX501" s="109">
        <f t="shared" si="211"/>
        <v>0</v>
      </c>
      <c r="CZ501" s="58">
        <f t="array" ref="CZ501">SUM(IF(CW501:CX501&gt;=CW501, 1))</f>
        <v>2</v>
      </c>
      <c r="DA501" s="58">
        <f t="array" ref="DA501">SUM(IF(CW501:CX501&gt;=CX501, 1))</f>
        <v>1</v>
      </c>
      <c r="DC501" s="109">
        <f t="shared" si="212"/>
        <v>-1367683.2887943783</v>
      </c>
      <c r="DD501" s="109">
        <f t="shared" si="213"/>
        <v>0</v>
      </c>
      <c r="DF501" s="58">
        <f t="array" ref="DF501">SUM(IF(DC501:DD501&gt;=DC501, 1))</f>
        <v>2</v>
      </c>
      <c r="DG501" s="58">
        <f t="array" ref="DG501">SUM(IF(DC501:DD501&gt;=DD501, 1))</f>
        <v>1</v>
      </c>
      <c r="DI501" s="109">
        <f t="shared" si="214"/>
        <v>-60021458.865609556</v>
      </c>
      <c r="DJ501" s="109">
        <f t="shared" si="215"/>
        <v>0</v>
      </c>
      <c r="DL501" s="58">
        <f t="array" ref="DL501">SUM(IF(DI501:DJ501&gt;=DI501, 1))</f>
        <v>2</v>
      </c>
      <c r="DM501" s="58">
        <f t="array" ref="DM501">SUM(IF(DI501:DJ501&gt;=DJ501, 1))</f>
        <v>1</v>
      </c>
      <c r="DO501" s="109">
        <f t="shared" si="216"/>
        <v>-7388121.5414245808</v>
      </c>
      <c r="DP501" s="109">
        <f t="shared" si="217"/>
        <v>0</v>
      </c>
      <c r="DR501" s="58">
        <f t="array" ref="DR501">SUM(IF(DO501:DP501&gt;=DO501, 1))</f>
        <v>2</v>
      </c>
      <c r="DS501" s="58">
        <f t="array" ref="DS501">SUM(IF(DO501:DP501&gt;=DP501, 1))</f>
        <v>1</v>
      </c>
      <c r="DU501" s="109">
        <f t="shared" si="218"/>
        <v>-33074202.283110831</v>
      </c>
      <c r="DV501" s="109">
        <f t="shared" si="219"/>
        <v>0</v>
      </c>
      <c r="DX501" s="58">
        <f t="array" ref="DX501">SUM(IF(DU501:DV501&gt;=DU501, 1))</f>
        <v>2</v>
      </c>
      <c r="DY501" s="58">
        <f t="array" ref="DY501">SUM(IF(DU501:DV501&gt;=DV501, 1))</f>
        <v>1</v>
      </c>
      <c r="EA501" s="109">
        <f t="shared" si="220"/>
        <v>-128040849.0511722</v>
      </c>
      <c r="EB501" s="109">
        <f t="shared" si="221"/>
        <v>0</v>
      </c>
      <c r="ED501" s="58">
        <f t="array" ref="ED501">SUM(IF(EA501:EB501&gt;=EA501, 1))</f>
        <v>2</v>
      </c>
      <c r="EE501" s="58">
        <f t="array" ref="EE501">SUM(IF(EA501:EB501&gt;=EB501, 1))</f>
        <v>1</v>
      </c>
    </row>
    <row r="502" spans="4:135" ht="12" customHeight="1" x14ac:dyDescent="0.25">
      <c r="D502" s="11">
        <v>486</v>
      </c>
      <c r="E502" s="72">
        <v>262.79261042321457</v>
      </c>
      <c r="F502" s="72">
        <v>236.30237200245921</v>
      </c>
      <c r="G502" s="73"/>
      <c r="H502" s="74">
        <v>5.7725018354983337</v>
      </c>
      <c r="I502" s="74">
        <v>5.7894007240058976</v>
      </c>
      <c r="J502" s="73"/>
      <c r="K502" s="72">
        <v>281.8397147907823</v>
      </c>
      <c r="L502" s="72">
        <v>254.70752656744514</v>
      </c>
      <c r="M502" s="73"/>
      <c r="N502" s="74">
        <v>6.6942082908286409</v>
      </c>
      <c r="O502" s="74">
        <v>6.709000462069028</v>
      </c>
      <c r="P502" s="73"/>
      <c r="Q502" s="72">
        <v>3773.158353451498</v>
      </c>
      <c r="R502" s="72">
        <v>1932.5028463332649</v>
      </c>
      <c r="S502" s="73"/>
      <c r="T502" s="74">
        <v>4.8649396398176528</v>
      </c>
      <c r="U502" s="74">
        <v>4.9617524884396378</v>
      </c>
      <c r="V502" s="73"/>
      <c r="W502" s="72">
        <v>14365.513301235849</v>
      </c>
      <c r="X502" s="72">
        <v>14352.157651612051</v>
      </c>
      <c r="Y502" s="73"/>
      <c r="Z502" s="74">
        <v>2.9996788655025477</v>
      </c>
      <c r="AA502" s="74">
        <v>3.0499163199760293</v>
      </c>
      <c r="AB502" s="73"/>
      <c r="AC502" s="72">
        <v>51926.082784434191</v>
      </c>
      <c r="AD502" s="72">
        <v>51475.399896992836</v>
      </c>
      <c r="AE502" s="73"/>
      <c r="AF502" s="74">
        <v>4.5314024945239435</v>
      </c>
      <c r="AG502" s="74">
        <v>4.6802716297677787</v>
      </c>
      <c r="AH502" s="73"/>
      <c r="AI502" s="72">
        <v>2834764.4376091789</v>
      </c>
      <c r="AJ502" s="72">
        <v>0</v>
      </c>
      <c r="AK502" s="73"/>
      <c r="AL502" s="74">
        <v>-1808.3781435062826</v>
      </c>
      <c r="AM502" s="74">
        <v>0</v>
      </c>
      <c r="AN502" s="73"/>
      <c r="AO502" s="72">
        <v>192285.68826429453</v>
      </c>
      <c r="AP502" s="72">
        <v>0</v>
      </c>
      <c r="AQ502" s="73"/>
      <c r="AR502" s="74">
        <v>-104.83204688351157</v>
      </c>
      <c r="AS502" s="74">
        <v>0</v>
      </c>
      <c r="AT502" s="73"/>
      <c r="AU502" s="72">
        <v>42362952.386562914</v>
      </c>
      <c r="AV502" s="72">
        <v>0</v>
      </c>
      <c r="AW502" s="73"/>
      <c r="AX502" s="74">
        <v>-2228.1616960480114</v>
      </c>
      <c r="AY502" s="74">
        <v>0</v>
      </c>
      <c r="AZ502" s="73"/>
      <c r="BA502" s="72">
        <v>115516.97406935088</v>
      </c>
      <c r="BB502" s="72">
        <v>0</v>
      </c>
      <c r="BC502" s="73"/>
      <c r="BD502" s="74">
        <v>-434.51864111369912</v>
      </c>
      <c r="BE502" s="74">
        <v>0</v>
      </c>
      <c r="BF502" s="73"/>
      <c r="BG502" s="72">
        <v>7366944.2298459476</v>
      </c>
      <c r="BH502" s="72">
        <v>0</v>
      </c>
      <c r="BI502" s="73"/>
      <c r="BJ502" s="74">
        <v>-2433.4418888479245</v>
      </c>
      <c r="BK502" s="74">
        <v>0</v>
      </c>
      <c r="BL502" s="73"/>
      <c r="BM502" s="72">
        <v>52872463.716351688</v>
      </c>
      <c r="BN502" s="72">
        <v>0</v>
      </c>
      <c r="BO502" s="73"/>
      <c r="BP502" s="74">
        <v>-7009.3324163994293</v>
      </c>
      <c r="BQ502" s="74">
        <v>0</v>
      </c>
      <c r="BS502" s="109">
        <f t="shared" si="201"/>
        <v>115187.24409954346</v>
      </c>
      <c r="BT502" s="109">
        <f t="shared" si="202"/>
        <v>115551.71210811549</v>
      </c>
      <c r="BV502" s="58">
        <f t="array" ref="BV502">SUM(IF(BS502:BT502&gt;=BS502, 1))</f>
        <v>2</v>
      </c>
      <c r="BW502" s="58">
        <f t="array" ref="BW502">SUM(IF(BS502:BT502&gt;=BT502, 1))</f>
        <v>1</v>
      </c>
      <c r="BY502" s="109">
        <f t="shared" si="203"/>
        <v>133602.32610178203</v>
      </c>
      <c r="BZ502" s="109">
        <f t="shared" si="204"/>
        <v>133925.3017148131</v>
      </c>
      <c r="CB502" s="58">
        <f t="array" ref="CB502">SUM(IF(BY502:BZ502&gt;=BY502, 1))</f>
        <v>2</v>
      </c>
      <c r="CC502" s="58">
        <f t="array" ref="CC502">SUM(IF(BY502:BZ502&gt;=BZ502, 1))</f>
        <v>1</v>
      </c>
      <c r="CE502" s="109">
        <f t="shared" si="205"/>
        <v>93525.634442901559</v>
      </c>
      <c r="CF502" s="109">
        <f t="shared" si="206"/>
        <v>97302.546922459485</v>
      </c>
      <c r="CH502" s="58">
        <f t="array" ref="CH502">SUM(IF(CE502:CF502&gt;=CE502, 1))</f>
        <v>2</v>
      </c>
      <c r="CI502" s="58">
        <f t="array" ref="CI502">SUM(IF(CE502:CF502&gt;=CF502, 1))</f>
        <v>1</v>
      </c>
      <c r="CK502" s="109">
        <f t="shared" si="207"/>
        <v>45628.064008815105</v>
      </c>
      <c r="CL502" s="109">
        <f t="shared" si="208"/>
        <v>46646.168747908538</v>
      </c>
      <c r="CN502" s="58">
        <f t="array" ref="CN502">SUM(IF(CK502:CL502&gt;=CK502, 1))</f>
        <v>2</v>
      </c>
      <c r="CO502" s="58">
        <f t="array" ref="CO502">SUM(IF(CK502:CL502&gt;=CL502, 1))</f>
        <v>1</v>
      </c>
      <c r="CQ502" s="109" cm="1">
        <f t="array" ref="CQ502">AF502*WTP-AC502</f>
        <v>38701.967106044678</v>
      </c>
      <c r="CR502" s="109">
        <f t="shared" si="209"/>
        <v>42130.032698362731</v>
      </c>
      <c r="CT502" s="58">
        <f t="array" ref="CT502">SUM(IF(CQ502:CR502&gt;=CQ502, 1))</f>
        <v>2</v>
      </c>
      <c r="CU502" s="58">
        <f t="array" ref="CU502">SUM(IF(CQ502:CR502&gt;=CR502, 1))</f>
        <v>1</v>
      </c>
      <c r="CW502" s="109">
        <f t="shared" si="210"/>
        <v>-39002327.307734832</v>
      </c>
      <c r="CX502" s="109">
        <f t="shared" si="211"/>
        <v>0</v>
      </c>
      <c r="CZ502" s="58">
        <f t="array" ref="CZ502">SUM(IF(CW502:CX502&gt;=CW502, 1))</f>
        <v>2</v>
      </c>
      <c r="DA502" s="58">
        <f t="array" ref="DA502">SUM(IF(CW502:CX502&gt;=CX502, 1))</f>
        <v>1</v>
      </c>
      <c r="DC502" s="109">
        <f t="shared" si="212"/>
        <v>-2288926.6259345259</v>
      </c>
      <c r="DD502" s="109">
        <f t="shared" si="213"/>
        <v>0</v>
      </c>
      <c r="DF502" s="58">
        <f t="array" ref="DF502">SUM(IF(DC502:DD502&gt;=DC502, 1))</f>
        <v>2</v>
      </c>
      <c r="DG502" s="58">
        <f t="array" ref="DG502">SUM(IF(DC502:DD502&gt;=DD502, 1))</f>
        <v>1</v>
      </c>
      <c r="DI502" s="109">
        <f t="shared" si="214"/>
        <v>-86926186.307523131</v>
      </c>
      <c r="DJ502" s="109">
        <f t="shared" si="215"/>
        <v>0</v>
      </c>
      <c r="DL502" s="58">
        <f t="array" ref="DL502">SUM(IF(DI502:DJ502&gt;=DI502, 1))</f>
        <v>2</v>
      </c>
      <c r="DM502" s="58">
        <f t="array" ref="DM502">SUM(IF(DI502:DJ502&gt;=DJ502, 1))</f>
        <v>1</v>
      </c>
      <c r="DO502" s="109">
        <f t="shared" si="216"/>
        <v>-8805889.796343334</v>
      </c>
      <c r="DP502" s="109">
        <f t="shared" si="217"/>
        <v>0</v>
      </c>
      <c r="DR502" s="58">
        <f t="array" ref="DR502">SUM(IF(DO502:DP502&gt;=DO502, 1))</f>
        <v>2</v>
      </c>
      <c r="DS502" s="58">
        <f t="array" ref="DS502">SUM(IF(DO502:DP502&gt;=DP502, 1))</f>
        <v>1</v>
      </c>
      <c r="DU502" s="109">
        <f t="shared" si="218"/>
        <v>-56035782.006804436</v>
      </c>
      <c r="DV502" s="109">
        <f t="shared" si="219"/>
        <v>0</v>
      </c>
      <c r="DX502" s="58">
        <f t="array" ref="DX502">SUM(IF(DU502:DV502&gt;=DU502, 1))</f>
        <v>2</v>
      </c>
      <c r="DY502" s="58">
        <f t="array" ref="DY502">SUM(IF(DU502:DV502&gt;=DV502, 1))</f>
        <v>1</v>
      </c>
      <c r="EA502" s="109">
        <f t="shared" si="220"/>
        <v>-193059112.04434028</v>
      </c>
      <c r="EB502" s="109">
        <f t="shared" si="221"/>
        <v>0</v>
      </c>
      <c r="ED502" s="58">
        <f t="array" ref="ED502">SUM(IF(EA502:EB502&gt;=EA502, 1))</f>
        <v>2</v>
      </c>
      <c r="EE502" s="58">
        <f t="array" ref="EE502">SUM(IF(EA502:EB502&gt;=EB502, 1))</f>
        <v>1</v>
      </c>
    </row>
    <row r="503" spans="4:135" ht="12" customHeight="1" x14ac:dyDescent="0.25">
      <c r="D503" s="11">
        <v>487</v>
      </c>
      <c r="E503" s="72">
        <v>261.54339671803285</v>
      </c>
      <c r="F503" s="72">
        <v>225.52680946227696</v>
      </c>
      <c r="G503" s="73"/>
      <c r="H503" s="74">
        <v>5.826668138619473</v>
      </c>
      <c r="I503" s="74">
        <v>5.8433498937144082</v>
      </c>
      <c r="J503" s="73"/>
      <c r="K503" s="72">
        <v>280.00296259218982</v>
      </c>
      <c r="L503" s="72">
        <v>243.14849158254924</v>
      </c>
      <c r="M503" s="73"/>
      <c r="N503" s="74">
        <v>6.6830187523560092</v>
      </c>
      <c r="O503" s="74">
        <v>6.6974305714252811</v>
      </c>
      <c r="P503" s="73"/>
      <c r="Q503" s="72">
        <v>1851.9607499920533</v>
      </c>
      <c r="R503" s="72">
        <v>1354.3333218054076</v>
      </c>
      <c r="S503" s="73"/>
      <c r="T503" s="74">
        <v>4.7432343022892969</v>
      </c>
      <c r="U503" s="74">
        <v>4.7996259372136993</v>
      </c>
      <c r="V503" s="73"/>
      <c r="W503" s="72">
        <v>11869.784401256295</v>
      </c>
      <c r="X503" s="72">
        <v>11898.100639999588</v>
      </c>
      <c r="Y503" s="73"/>
      <c r="Z503" s="74">
        <v>2.833209714571769</v>
      </c>
      <c r="AA503" s="74">
        <v>2.878678564274638</v>
      </c>
      <c r="AB503" s="73"/>
      <c r="AC503" s="72">
        <v>49696.390284500209</v>
      </c>
      <c r="AD503" s="72">
        <v>49704.371377766853</v>
      </c>
      <c r="AE503" s="73"/>
      <c r="AF503" s="74">
        <v>4.6317119607682935</v>
      </c>
      <c r="AG503" s="74">
        <v>4.7165096436238141</v>
      </c>
      <c r="AH503" s="73"/>
      <c r="AI503" s="72">
        <v>3902839.6558289053</v>
      </c>
      <c r="AJ503" s="72">
        <v>0</v>
      </c>
      <c r="AK503" s="73"/>
      <c r="AL503" s="74">
        <v>-1807.6730827109161</v>
      </c>
      <c r="AM503" s="74">
        <v>0</v>
      </c>
      <c r="AN503" s="73"/>
      <c r="AO503" s="72">
        <v>261622.80601088508</v>
      </c>
      <c r="AP503" s="72">
        <v>0</v>
      </c>
      <c r="AQ503" s="73"/>
      <c r="AR503" s="74">
        <v>-102.30673352054909</v>
      </c>
      <c r="AS503" s="74">
        <v>0</v>
      </c>
      <c r="AT503" s="73"/>
      <c r="AU503" s="72">
        <v>11438003.577856487</v>
      </c>
      <c r="AV503" s="72">
        <v>0</v>
      </c>
      <c r="AW503" s="73"/>
      <c r="AX503" s="74">
        <v>-1296.165937590901</v>
      </c>
      <c r="AY503" s="74">
        <v>0</v>
      </c>
      <c r="AZ503" s="73"/>
      <c r="BA503" s="72">
        <v>-257244.0773546948</v>
      </c>
      <c r="BB503" s="72">
        <v>0</v>
      </c>
      <c r="BC503" s="73"/>
      <c r="BD503" s="74">
        <v>-413.07012545810881</v>
      </c>
      <c r="BE503" s="74">
        <v>0</v>
      </c>
      <c r="BF503" s="73"/>
      <c r="BG503" s="72">
        <v>-127784.35249443962</v>
      </c>
      <c r="BH503" s="72">
        <v>0</v>
      </c>
      <c r="BI503" s="73"/>
      <c r="BJ503" s="74">
        <v>-1357.6858000154295</v>
      </c>
      <c r="BK503" s="74">
        <v>0</v>
      </c>
      <c r="BL503" s="73"/>
      <c r="BM503" s="72">
        <v>15217437.609847141</v>
      </c>
      <c r="BN503" s="72">
        <v>0</v>
      </c>
      <c r="BO503" s="73"/>
      <c r="BP503" s="74">
        <v>-4976.9016792959046</v>
      </c>
      <c r="BQ503" s="74">
        <v>0</v>
      </c>
      <c r="BS503" s="109">
        <f t="shared" si="201"/>
        <v>116271.81937567143</v>
      </c>
      <c r="BT503" s="109">
        <f t="shared" si="202"/>
        <v>116641.47106482589</v>
      </c>
      <c r="BV503" s="58">
        <f t="array" ref="BV503">SUM(IF(BS503:BT503&gt;=BS503, 1))</f>
        <v>2</v>
      </c>
      <c r="BW503" s="58">
        <f t="array" ref="BW503">SUM(IF(BS503:BT503&gt;=BT503, 1))</f>
        <v>1</v>
      </c>
      <c r="BY503" s="109">
        <f t="shared" si="203"/>
        <v>133380.37208452797</v>
      </c>
      <c r="BZ503" s="109">
        <f t="shared" si="204"/>
        <v>133705.46293692308</v>
      </c>
      <c r="CB503" s="58">
        <f t="array" ref="CB503">SUM(IF(BY503:BZ503&gt;=BY503, 1))</f>
        <v>2</v>
      </c>
      <c r="CC503" s="58">
        <f t="array" ref="CC503">SUM(IF(BY503:BZ503&gt;=BZ503, 1))</f>
        <v>1</v>
      </c>
      <c r="CE503" s="109">
        <f t="shared" si="205"/>
        <v>93012.725295793891</v>
      </c>
      <c r="CF503" s="109">
        <f t="shared" si="206"/>
        <v>94638.185422468581</v>
      </c>
      <c r="CH503" s="58">
        <f t="array" ref="CH503">SUM(IF(CE503:CF503&gt;=CE503, 1))</f>
        <v>2</v>
      </c>
      <c r="CI503" s="58">
        <f t="array" ref="CI503">SUM(IF(CE503:CF503&gt;=CF503, 1))</f>
        <v>1</v>
      </c>
      <c r="CK503" s="109">
        <f t="shared" si="207"/>
        <v>44794.409890179086</v>
      </c>
      <c r="CL503" s="109">
        <f t="shared" si="208"/>
        <v>45675.470645493173</v>
      </c>
      <c r="CN503" s="58">
        <f t="array" ref="CN503">SUM(IF(CK503:CL503&gt;=CK503, 1))</f>
        <v>2</v>
      </c>
      <c r="CO503" s="58">
        <f t="array" ref="CO503">SUM(IF(CK503:CL503&gt;=CL503, 1))</f>
        <v>1</v>
      </c>
      <c r="CQ503" s="109" cm="1">
        <f t="array" ref="CQ503">AF503*WTP-AC503</f>
        <v>42937.848930865664</v>
      </c>
      <c r="CR503" s="109">
        <f t="shared" si="209"/>
        <v>44625.821494709431</v>
      </c>
      <c r="CT503" s="58">
        <f t="array" ref="CT503">SUM(IF(CQ503:CR503&gt;=CQ503, 1))</f>
        <v>2</v>
      </c>
      <c r="CU503" s="58">
        <f t="array" ref="CU503">SUM(IF(CQ503:CR503&gt;=CR503, 1))</f>
        <v>1</v>
      </c>
      <c r="CW503" s="109">
        <f t="shared" si="210"/>
        <v>-40056301.310047232</v>
      </c>
      <c r="CX503" s="109">
        <f t="shared" si="211"/>
        <v>0</v>
      </c>
      <c r="CZ503" s="58">
        <f t="array" ref="CZ503">SUM(IF(CW503:CX503&gt;=CW503, 1))</f>
        <v>2</v>
      </c>
      <c r="DA503" s="58">
        <f t="array" ref="DA503">SUM(IF(CW503:CX503&gt;=CX503, 1))</f>
        <v>1</v>
      </c>
      <c r="DC503" s="109">
        <f t="shared" si="212"/>
        <v>-2307757.476421867</v>
      </c>
      <c r="DD503" s="109">
        <f t="shared" si="213"/>
        <v>0</v>
      </c>
      <c r="DF503" s="58">
        <f t="array" ref="DF503">SUM(IF(DC503:DD503&gt;=DC503, 1))</f>
        <v>2</v>
      </c>
      <c r="DG503" s="58">
        <f t="array" ref="DG503">SUM(IF(DC503:DD503&gt;=DD503, 1))</f>
        <v>1</v>
      </c>
      <c r="DI503" s="109">
        <f t="shared" si="214"/>
        <v>-37361322.329674505</v>
      </c>
      <c r="DJ503" s="109">
        <f t="shared" si="215"/>
        <v>0</v>
      </c>
      <c r="DL503" s="58">
        <f t="array" ref="DL503">SUM(IF(DI503:DJ503&gt;=DI503, 1))</f>
        <v>2</v>
      </c>
      <c r="DM503" s="58">
        <f t="array" ref="DM503">SUM(IF(DI503:DJ503&gt;=DJ503, 1))</f>
        <v>1</v>
      </c>
      <c r="DO503" s="109">
        <f t="shared" si="216"/>
        <v>-8004158.4318074817</v>
      </c>
      <c r="DP503" s="109">
        <f t="shared" si="217"/>
        <v>0</v>
      </c>
      <c r="DR503" s="58">
        <f t="array" ref="DR503">SUM(IF(DO503:DP503&gt;=DO503, 1))</f>
        <v>2</v>
      </c>
      <c r="DS503" s="58">
        <f t="array" ref="DS503">SUM(IF(DO503:DP503&gt;=DP503, 1))</f>
        <v>1</v>
      </c>
      <c r="DU503" s="109">
        <f t="shared" si="218"/>
        <v>-27025931.647814151</v>
      </c>
      <c r="DV503" s="109">
        <f t="shared" si="219"/>
        <v>0</v>
      </c>
      <c r="DX503" s="58">
        <f t="array" ref="DX503">SUM(IF(DU503:DV503&gt;=DU503, 1))</f>
        <v>2</v>
      </c>
      <c r="DY503" s="58">
        <f t="array" ref="DY503">SUM(IF(DU503:DV503&gt;=DV503, 1))</f>
        <v>1</v>
      </c>
      <c r="EA503" s="109">
        <f t="shared" si="220"/>
        <v>-114755471.19576524</v>
      </c>
      <c r="EB503" s="109">
        <f t="shared" si="221"/>
        <v>0</v>
      </c>
      <c r="ED503" s="58">
        <f t="array" ref="ED503">SUM(IF(EA503:EB503&gt;=EA503, 1))</f>
        <v>2</v>
      </c>
      <c r="EE503" s="58">
        <f t="array" ref="EE503">SUM(IF(EA503:EB503&gt;=EB503, 1))</f>
        <v>1</v>
      </c>
    </row>
    <row r="504" spans="4:135" ht="12" customHeight="1" x14ac:dyDescent="0.25">
      <c r="D504" s="11">
        <v>488</v>
      </c>
      <c r="E504" s="72">
        <v>201.04293285817269</v>
      </c>
      <c r="F504" s="72">
        <v>172.72089250173022</v>
      </c>
      <c r="G504" s="73"/>
      <c r="H504" s="74">
        <v>5.8493165314782276</v>
      </c>
      <c r="I504" s="74">
        <v>5.8711787913480951</v>
      </c>
      <c r="J504" s="73"/>
      <c r="K504" s="72">
        <v>215.16720986966033</v>
      </c>
      <c r="L504" s="72">
        <v>186.21120439359066</v>
      </c>
      <c r="M504" s="73"/>
      <c r="N504" s="74">
        <v>6.7650515468091363</v>
      </c>
      <c r="O504" s="74">
        <v>6.7850513724682413</v>
      </c>
      <c r="P504" s="73"/>
      <c r="Q504" s="72">
        <v>2651.5568804338523</v>
      </c>
      <c r="R504" s="72">
        <v>1432.7309514188653</v>
      </c>
      <c r="S504" s="73"/>
      <c r="T504" s="74">
        <v>4.8261042215782357</v>
      </c>
      <c r="U504" s="74">
        <v>4.9114212377805746</v>
      </c>
      <c r="V504" s="73"/>
      <c r="W504" s="72">
        <v>6998.6091963216677</v>
      </c>
      <c r="X504" s="72">
        <v>7006.566104770538</v>
      </c>
      <c r="Y504" s="73"/>
      <c r="Z504" s="74">
        <v>2.9548739497459664</v>
      </c>
      <c r="AA504" s="74">
        <v>3.0218490350110745</v>
      </c>
      <c r="AB504" s="73"/>
      <c r="AC504" s="72">
        <v>50170.211999579427</v>
      </c>
      <c r="AD504" s="72">
        <v>50014.099730952112</v>
      </c>
      <c r="AE504" s="73"/>
      <c r="AF504" s="74">
        <v>4.4995285892366885</v>
      </c>
      <c r="AG504" s="74">
        <v>4.6145819855520163</v>
      </c>
      <c r="AH504" s="73"/>
      <c r="AI504" s="72">
        <v>3077559.9434833257</v>
      </c>
      <c r="AJ504" s="72">
        <v>0</v>
      </c>
      <c r="AK504" s="73"/>
      <c r="AL504" s="74">
        <v>-2375.6203438295779</v>
      </c>
      <c r="AM504" s="74">
        <v>0</v>
      </c>
      <c r="AN504" s="73"/>
      <c r="AO504" s="72">
        <v>203648.36435759053</v>
      </c>
      <c r="AP504" s="72">
        <v>0</v>
      </c>
      <c r="AQ504" s="73"/>
      <c r="AR504" s="74">
        <v>-140.65931111526143</v>
      </c>
      <c r="AS504" s="74">
        <v>0</v>
      </c>
      <c r="AT504" s="73"/>
      <c r="AU504" s="72">
        <v>28574302.114540812</v>
      </c>
      <c r="AV504" s="72">
        <v>0</v>
      </c>
      <c r="AW504" s="73"/>
      <c r="AX504" s="74">
        <v>-2000.1824201812071</v>
      </c>
      <c r="AY504" s="74">
        <v>0</v>
      </c>
      <c r="AZ504" s="73"/>
      <c r="BA504" s="72">
        <v>-69504.994744810872</v>
      </c>
      <c r="BB504" s="72">
        <v>0</v>
      </c>
      <c r="BC504" s="73"/>
      <c r="BD504" s="74">
        <v>-585.03914922453475</v>
      </c>
      <c r="BE504" s="74">
        <v>0</v>
      </c>
      <c r="BF504" s="73"/>
      <c r="BG504" s="72">
        <v>2482099.2361423783</v>
      </c>
      <c r="BH504" s="72">
        <v>0</v>
      </c>
      <c r="BI504" s="73"/>
      <c r="BJ504" s="74">
        <v>-1829.2857417350554</v>
      </c>
      <c r="BK504" s="74">
        <v>0</v>
      </c>
      <c r="BL504" s="73"/>
      <c r="BM504" s="72">
        <v>34268104.663779296</v>
      </c>
      <c r="BN504" s="72">
        <v>0</v>
      </c>
      <c r="BO504" s="73"/>
      <c r="BP504" s="74">
        <v>-6930.7869660856359</v>
      </c>
      <c r="BQ504" s="74">
        <v>0</v>
      </c>
      <c r="BS504" s="109">
        <f t="shared" si="201"/>
        <v>116785.28769670638</v>
      </c>
      <c r="BT504" s="109">
        <f t="shared" si="202"/>
        <v>117250.85493446016</v>
      </c>
      <c r="BV504" s="58">
        <f t="array" ref="BV504">SUM(IF(BS504:BT504&gt;=BS504, 1))</f>
        <v>2</v>
      </c>
      <c r="BW504" s="58">
        <f t="array" ref="BW504">SUM(IF(BS504:BT504&gt;=BT504, 1))</f>
        <v>1</v>
      </c>
      <c r="BY504" s="109">
        <f t="shared" si="203"/>
        <v>135085.86372631308</v>
      </c>
      <c r="BZ504" s="109">
        <f t="shared" si="204"/>
        <v>135514.81624497124</v>
      </c>
      <c r="CB504" s="58">
        <f t="array" ref="CB504">SUM(IF(BY504:BZ504&gt;=BY504, 1))</f>
        <v>2</v>
      </c>
      <c r="CC504" s="58">
        <f t="array" ref="CC504">SUM(IF(BY504:BZ504&gt;=BZ504, 1))</f>
        <v>1</v>
      </c>
      <c r="CE504" s="109">
        <f t="shared" si="205"/>
        <v>93870.527551130857</v>
      </c>
      <c r="CF504" s="109">
        <f t="shared" si="206"/>
        <v>96795.693804192619</v>
      </c>
      <c r="CH504" s="58">
        <f t="array" ref="CH504">SUM(IF(CE504:CF504&gt;=CE504, 1))</f>
        <v>2</v>
      </c>
      <c r="CI504" s="58">
        <f t="array" ref="CI504">SUM(IF(CE504:CF504&gt;=CF504, 1))</f>
        <v>1</v>
      </c>
      <c r="CK504" s="109">
        <f t="shared" si="207"/>
        <v>52098.869798597661</v>
      </c>
      <c r="CL504" s="109">
        <f t="shared" si="208"/>
        <v>53430.414595450951</v>
      </c>
      <c r="CN504" s="58">
        <f t="array" ref="CN504">SUM(IF(CK504:CL504&gt;=CK504, 1))</f>
        <v>2</v>
      </c>
      <c r="CO504" s="58">
        <f t="array" ref="CO504">SUM(IF(CK504:CL504&gt;=CL504, 1))</f>
        <v>1</v>
      </c>
      <c r="CQ504" s="109" cm="1">
        <f t="array" ref="CQ504">AF504*WTP-AC504</f>
        <v>39820.359785154338</v>
      </c>
      <c r="CR504" s="109">
        <f t="shared" si="209"/>
        <v>42277.539980088208</v>
      </c>
      <c r="CT504" s="58">
        <f t="array" ref="CT504">SUM(IF(CQ504:CR504&gt;=CQ504, 1))</f>
        <v>2</v>
      </c>
      <c r="CU504" s="58">
        <f t="array" ref="CU504">SUM(IF(CQ504:CR504&gt;=CR504, 1))</f>
        <v>1</v>
      </c>
      <c r="CW504" s="109">
        <f t="shared" si="210"/>
        <v>-50589966.820074879</v>
      </c>
      <c r="CX504" s="109">
        <f t="shared" si="211"/>
        <v>0</v>
      </c>
      <c r="CZ504" s="58">
        <f t="array" ref="CZ504">SUM(IF(CW504:CX504&gt;=CW504, 1))</f>
        <v>2</v>
      </c>
      <c r="DA504" s="58">
        <f t="array" ref="DA504">SUM(IF(CW504:CX504&gt;=CX504, 1))</f>
        <v>1</v>
      </c>
      <c r="DC504" s="109">
        <f t="shared" si="212"/>
        <v>-3016834.5866628191</v>
      </c>
      <c r="DD504" s="109">
        <f t="shared" si="213"/>
        <v>0</v>
      </c>
      <c r="DF504" s="58">
        <f t="array" ref="DF504">SUM(IF(DC504:DD504&gt;=DC504, 1))</f>
        <v>2</v>
      </c>
      <c r="DG504" s="58">
        <f t="array" ref="DG504">SUM(IF(DC504:DD504&gt;=DD504, 1))</f>
        <v>1</v>
      </c>
      <c r="DI504" s="109">
        <f t="shared" si="214"/>
        <v>-68577950.518164948</v>
      </c>
      <c r="DJ504" s="109">
        <f t="shared" si="215"/>
        <v>0</v>
      </c>
      <c r="DL504" s="58">
        <f t="array" ref="DL504">SUM(IF(DI504:DJ504&gt;=DI504, 1))</f>
        <v>2</v>
      </c>
      <c r="DM504" s="58">
        <f t="array" ref="DM504">SUM(IF(DI504:DJ504&gt;=DJ504, 1))</f>
        <v>1</v>
      </c>
      <c r="DO504" s="109">
        <f t="shared" si="216"/>
        <v>-11631277.989745883</v>
      </c>
      <c r="DP504" s="109">
        <f t="shared" si="217"/>
        <v>0</v>
      </c>
      <c r="DR504" s="58">
        <f t="array" ref="DR504">SUM(IF(DO504:DP504&gt;=DO504, 1))</f>
        <v>2</v>
      </c>
      <c r="DS504" s="58">
        <f t="array" ref="DS504">SUM(IF(DO504:DP504&gt;=DP504, 1))</f>
        <v>1</v>
      </c>
      <c r="DU504" s="109">
        <f t="shared" si="218"/>
        <v>-39067814.070843488</v>
      </c>
      <c r="DV504" s="109">
        <f t="shared" si="219"/>
        <v>0</v>
      </c>
      <c r="DX504" s="58">
        <f t="array" ref="DX504">SUM(IF(DU504:DV504&gt;=DU504, 1))</f>
        <v>2</v>
      </c>
      <c r="DY504" s="58">
        <f t="array" ref="DY504">SUM(IF(DU504:DV504&gt;=DV504, 1))</f>
        <v>1</v>
      </c>
      <c r="EA504" s="109">
        <f t="shared" si="220"/>
        <v>-172883843.98549199</v>
      </c>
      <c r="EB504" s="109">
        <f t="shared" si="221"/>
        <v>0</v>
      </c>
      <c r="ED504" s="58">
        <f t="array" ref="ED504">SUM(IF(EA504:EB504&gt;=EA504, 1))</f>
        <v>2</v>
      </c>
      <c r="EE504" s="58">
        <f t="array" ref="EE504">SUM(IF(EA504:EB504&gt;=EB504, 1))</f>
        <v>1</v>
      </c>
    </row>
    <row r="505" spans="4:135" ht="12" customHeight="1" x14ac:dyDescent="0.25">
      <c r="D505" s="11">
        <v>489</v>
      </c>
      <c r="E505" s="72">
        <v>237.89592657414491</v>
      </c>
      <c r="F505" s="72">
        <v>196.91646309384316</v>
      </c>
      <c r="G505" s="73"/>
      <c r="H505" s="74">
        <v>5.8103495712283078</v>
      </c>
      <c r="I505" s="74">
        <v>5.8287441049406175</v>
      </c>
      <c r="J505" s="73"/>
      <c r="K505" s="72">
        <v>254.17669489304595</v>
      </c>
      <c r="L505" s="72">
        <v>212.217152572467</v>
      </c>
      <c r="M505" s="73"/>
      <c r="N505" s="74">
        <v>6.7082725371641745</v>
      </c>
      <c r="O505" s="74">
        <v>6.7244787679804556</v>
      </c>
      <c r="P505" s="73"/>
      <c r="Q505" s="72">
        <v>2799.3761459295047</v>
      </c>
      <c r="R505" s="72">
        <v>1508.3097197418153</v>
      </c>
      <c r="S505" s="73"/>
      <c r="T505" s="74">
        <v>4.7746290941450997</v>
      </c>
      <c r="U505" s="74">
        <v>4.8871858961762307</v>
      </c>
      <c r="V505" s="73"/>
      <c r="W505" s="72">
        <v>12706.146599010794</v>
      </c>
      <c r="X505" s="72">
        <v>12669.242944747342</v>
      </c>
      <c r="Y505" s="73"/>
      <c r="Z505" s="74">
        <v>3.0685922462191217</v>
      </c>
      <c r="AA505" s="74">
        <v>3.1136891783859117</v>
      </c>
      <c r="AB505" s="73"/>
      <c r="AC505" s="72">
        <v>49329.110367321242</v>
      </c>
      <c r="AD505" s="72">
        <v>49350.650701358049</v>
      </c>
      <c r="AE505" s="73"/>
      <c r="AF505" s="74">
        <v>4.3370072549814944</v>
      </c>
      <c r="AG505" s="74">
        <v>4.4371404235474996</v>
      </c>
      <c r="AH505" s="73"/>
      <c r="AI505" s="72">
        <v>4403114.3344990127</v>
      </c>
      <c r="AJ505" s="72">
        <v>0</v>
      </c>
      <c r="AK505" s="73"/>
      <c r="AL505" s="74">
        <v>-1976.434735511569</v>
      </c>
      <c r="AM505" s="74">
        <v>0</v>
      </c>
      <c r="AN505" s="73"/>
      <c r="AO505" s="72">
        <v>289114.39156777179</v>
      </c>
      <c r="AP505" s="72">
        <v>0</v>
      </c>
      <c r="AQ505" s="73"/>
      <c r="AR505" s="74">
        <v>-111.66600737105817</v>
      </c>
      <c r="AS505" s="74">
        <v>0</v>
      </c>
      <c r="AT505" s="73"/>
      <c r="AU505" s="72">
        <v>29934279.45978057</v>
      </c>
      <c r="AV505" s="72">
        <v>0</v>
      </c>
      <c r="AW505" s="73"/>
      <c r="AX505" s="74">
        <v>-2609.7082990904578</v>
      </c>
      <c r="AY505" s="74">
        <v>0</v>
      </c>
      <c r="AZ505" s="73"/>
      <c r="BA505" s="72">
        <v>330543.58165492263</v>
      </c>
      <c r="BB505" s="72">
        <v>0</v>
      </c>
      <c r="BC505" s="73"/>
      <c r="BD505" s="74">
        <v>-403.93022798349284</v>
      </c>
      <c r="BE505" s="74">
        <v>0</v>
      </c>
      <c r="BF505" s="73"/>
      <c r="BG505" s="72">
        <v>-343678.38867962721</v>
      </c>
      <c r="BH505" s="72">
        <v>0</v>
      </c>
      <c r="BI505" s="73"/>
      <c r="BJ505" s="74">
        <v>-1597.6356711714229</v>
      </c>
      <c r="BK505" s="74">
        <v>0</v>
      </c>
      <c r="BL505" s="73"/>
      <c r="BM505" s="72">
        <v>34613373.378822654</v>
      </c>
      <c r="BN505" s="72">
        <v>0</v>
      </c>
      <c r="BO505" s="73"/>
      <c r="BP505" s="74">
        <v>-6699.3749411280005</v>
      </c>
      <c r="BQ505" s="74">
        <v>0</v>
      </c>
      <c r="BS505" s="109">
        <f t="shared" si="201"/>
        <v>115969.09549799201</v>
      </c>
      <c r="BT505" s="109">
        <f t="shared" si="202"/>
        <v>116377.9656357185</v>
      </c>
      <c r="BV505" s="58">
        <f t="array" ref="BV505">SUM(IF(BS505:BT505&gt;=BS505, 1))</f>
        <v>2</v>
      </c>
      <c r="BW505" s="58">
        <f t="array" ref="BW505">SUM(IF(BS505:BT505&gt;=BT505, 1))</f>
        <v>1</v>
      </c>
      <c r="BY505" s="109">
        <f t="shared" si="203"/>
        <v>133911.27404839045</v>
      </c>
      <c r="BZ505" s="109">
        <f t="shared" si="204"/>
        <v>134277.35820703665</v>
      </c>
      <c r="CB505" s="58">
        <f t="array" ref="CB505">SUM(IF(BY505:BZ505&gt;=BY505, 1))</f>
        <v>2</v>
      </c>
      <c r="CC505" s="58">
        <f t="array" ref="CC505">SUM(IF(BY505:BZ505&gt;=BZ505, 1))</f>
        <v>1</v>
      </c>
      <c r="CE505" s="109">
        <f t="shared" si="205"/>
        <v>92693.205736972493</v>
      </c>
      <c r="CF505" s="109">
        <f t="shared" si="206"/>
        <v>96235.408203782805</v>
      </c>
      <c r="CH505" s="58">
        <f t="array" ref="CH505">SUM(IF(CE505:CF505&gt;=CE505, 1))</f>
        <v>2</v>
      </c>
      <c r="CI505" s="58">
        <f t="array" ref="CI505">SUM(IF(CE505:CF505&gt;=CF505, 1))</f>
        <v>1</v>
      </c>
      <c r="CK505" s="109">
        <f t="shared" si="207"/>
        <v>48665.698325371646</v>
      </c>
      <c r="CL505" s="109">
        <f t="shared" si="208"/>
        <v>49604.540622970897</v>
      </c>
      <c r="CN505" s="58">
        <f t="array" ref="CN505">SUM(IF(CK505:CL505&gt;=CK505, 1))</f>
        <v>2</v>
      </c>
      <c r="CO505" s="58">
        <f t="array" ref="CO505">SUM(IF(CK505:CL505&gt;=CL505, 1))</f>
        <v>1</v>
      </c>
      <c r="CQ505" s="109" cm="1">
        <f t="array" ref="CQ505">AF505*WTP-AC505</f>
        <v>37411.034732308653</v>
      </c>
      <c r="CR505" s="109">
        <f t="shared" si="209"/>
        <v>39392.157769591948</v>
      </c>
      <c r="CT505" s="58">
        <f t="array" ref="CT505">SUM(IF(CQ505:CR505&gt;=CQ505, 1))</f>
        <v>2</v>
      </c>
      <c r="CU505" s="58">
        <f t="array" ref="CU505">SUM(IF(CQ505:CR505&gt;=CR505, 1))</f>
        <v>1</v>
      </c>
      <c r="CW505" s="109">
        <f t="shared" si="210"/>
        <v>-43931809.044730395</v>
      </c>
      <c r="CX505" s="109">
        <f t="shared" si="211"/>
        <v>0</v>
      </c>
      <c r="CZ505" s="58">
        <f t="array" ref="CZ505">SUM(IF(CW505:CX505&gt;=CW505, 1))</f>
        <v>2</v>
      </c>
      <c r="DA505" s="58">
        <f t="array" ref="DA505">SUM(IF(CW505:CX505&gt;=CX505, 1))</f>
        <v>1</v>
      </c>
      <c r="DC505" s="109">
        <f t="shared" si="212"/>
        <v>-2522434.5389889353</v>
      </c>
      <c r="DD505" s="109">
        <f t="shared" si="213"/>
        <v>0</v>
      </c>
      <c r="DF505" s="58">
        <f t="array" ref="DF505">SUM(IF(DC505:DD505&gt;=DC505, 1))</f>
        <v>2</v>
      </c>
      <c r="DG505" s="58">
        <f t="array" ref="DG505">SUM(IF(DC505:DD505&gt;=DD505, 1))</f>
        <v>1</v>
      </c>
      <c r="DI505" s="109">
        <f t="shared" si="214"/>
        <v>-82128445.441589728</v>
      </c>
      <c r="DJ505" s="109">
        <f t="shared" si="215"/>
        <v>0</v>
      </c>
      <c r="DL505" s="58">
        <f t="array" ref="DL505">SUM(IF(DI505:DJ505&gt;=DI505, 1))</f>
        <v>2</v>
      </c>
      <c r="DM505" s="58">
        <f t="array" ref="DM505">SUM(IF(DI505:DJ505&gt;=DJ505, 1))</f>
        <v>1</v>
      </c>
      <c r="DO505" s="109">
        <f t="shared" si="216"/>
        <v>-8409148.141324779</v>
      </c>
      <c r="DP505" s="109">
        <f t="shared" si="217"/>
        <v>0</v>
      </c>
      <c r="DR505" s="58">
        <f t="array" ref="DR505">SUM(IF(DO505:DP505&gt;=DO505, 1))</f>
        <v>2</v>
      </c>
      <c r="DS505" s="58">
        <f t="array" ref="DS505">SUM(IF(DO505:DP505&gt;=DP505, 1))</f>
        <v>1</v>
      </c>
      <c r="DU505" s="109">
        <f t="shared" si="218"/>
        <v>-31609035.03474883</v>
      </c>
      <c r="DV505" s="109">
        <f t="shared" si="219"/>
        <v>0</v>
      </c>
      <c r="DX505" s="58">
        <f t="array" ref="DX505">SUM(IF(DU505:DV505&gt;=DU505, 1))</f>
        <v>2</v>
      </c>
      <c r="DY505" s="58">
        <f t="array" ref="DY505">SUM(IF(DU505:DV505&gt;=DV505, 1))</f>
        <v>1</v>
      </c>
      <c r="EA505" s="109">
        <f t="shared" si="220"/>
        <v>-168600872.20138267</v>
      </c>
      <c r="EB505" s="109">
        <f t="shared" si="221"/>
        <v>0</v>
      </c>
      <c r="ED505" s="58">
        <f t="array" ref="ED505">SUM(IF(EA505:EB505&gt;=EA505, 1))</f>
        <v>2</v>
      </c>
      <c r="EE505" s="58">
        <f t="array" ref="EE505">SUM(IF(EA505:EB505&gt;=EB505, 1))</f>
        <v>1</v>
      </c>
    </row>
    <row r="506" spans="4:135" ht="12" customHeight="1" x14ac:dyDescent="0.25">
      <c r="D506" s="11">
        <v>490</v>
      </c>
      <c r="E506" s="72">
        <v>223.20266740801338</v>
      </c>
      <c r="F506" s="72">
        <v>201.76990953440554</v>
      </c>
      <c r="G506" s="73"/>
      <c r="H506" s="74">
        <v>5.8585050325299806</v>
      </c>
      <c r="I506" s="74">
        <v>5.87100933019767</v>
      </c>
      <c r="J506" s="73"/>
      <c r="K506" s="72">
        <v>239.39765772854818</v>
      </c>
      <c r="L506" s="72">
        <v>217.46952219185607</v>
      </c>
      <c r="M506" s="73"/>
      <c r="N506" s="74">
        <v>6.6356024323912512</v>
      </c>
      <c r="O506" s="74">
        <v>6.6461521334895997</v>
      </c>
      <c r="P506" s="73"/>
      <c r="Q506" s="72">
        <v>2515.7805289438893</v>
      </c>
      <c r="R506" s="72">
        <v>1497.2456239211303</v>
      </c>
      <c r="S506" s="73"/>
      <c r="T506" s="74">
        <v>4.8386668892617859</v>
      </c>
      <c r="U506" s="74">
        <v>4.9160819832954852</v>
      </c>
      <c r="V506" s="73"/>
      <c r="W506" s="72">
        <v>10766.158948496663</v>
      </c>
      <c r="X506" s="72">
        <v>10766.492247789089</v>
      </c>
      <c r="Y506" s="73"/>
      <c r="Z506" s="74">
        <v>3.0032040891208869</v>
      </c>
      <c r="AA506" s="74">
        <v>3.0567445605002161</v>
      </c>
      <c r="AB506" s="73"/>
      <c r="AC506" s="72">
        <v>49130.802510577414</v>
      </c>
      <c r="AD506" s="72">
        <v>49230.891873614848</v>
      </c>
      <c r="AE506" s="73"/>
      <c r="AF506" s="74">
        <v>4.3388567600204171</v>
      </c>
      <c r="AG506" s="74">
        <v>4.4276467072039898</v>
      </c>
      <c r="AH506" s="73"/>
      <c r="AI506" s="72">
        <v>2338763.6735431561</v>
      </c>
      <c r="AJ506" s="72">
        <v>0</v>
      </c>
      <c r="AK506" s="73"/>
      <c r="AL506" s="74">
        <v>-1364.4812917134718</v>
      </c>
      <c r="AM506" s="74">
        <v>0</v>
      </c>
      <c r="AN506" s="73"/>
      <c r="AO506" s="72">
        <v>150029.72124209683</v>
      </c>
      <c r="AP506" s="72">
        <v>0</v>
      </c>
      <c r="AQ506" s="73"/>
      <c r="AR506" s="74">
        <v>-72.179812657771308</v>
      </c>
      <c r="AS506" s="74">
        <v>0</v>
      </c>
      <c r="AT506" s="73"/>
      <c r="AU506" s="72">
        <v>23632323.539956242</v>
      </c>
      <c r="AV506" s="72">
        <v>0</v>
      </c>
      <c r="AW506" s="73"/>
      <c r="AX506" s="74">
        <v>-1796.2060407145673</v>
      </c>
      <c r="AY506" s="74">
        <v>0</v>
      </c>
      <c r="AZ506" s="73"/>
      <c r="BA506" s="72">
        <v>-2878.6611907703636</v>
      </c>
      <c r="BB506" s="72">
        <v>0</v>
      </c>
      <c r="BC506" s="73"/>
      <c r="BD506" s="74">
        <v>-462.42185506410533</v>
      </c>
      <c r="BE506" s="74">
        <v>0</v>
      </c>
      <c r="BF506" s="73"/>
      <c r="BG506" s="72">
        <v>-1509454.2892217936</v>
      </c>
      <c r="BH506" s="72">
        <v>0</v>
      </c>
      <c r="BI506" s="73"/>
      <c r="BJ506" s="74">
        <v>-1339.0470530409361</v>
      </c>
      <c r="BK506" s="74">
        <v>0</v>
      </c>
      <c r="BL506" s="73"/>
      <c r="BM506" s="72">
        <v>24608783.984328929</v>
      </c>
      <c r="BN506" s="72">
        <v>0</v>
      </c>
      <c r="BO506" s="73"/>
      <c r="BP506" s="74">
        <v>-5034.3360531908511</v>
      </c>
      <c r="BQ506" s="74">
        <v>0</v>
      </c>
      <c r="BS506" s="109">
        <f t="shared" si="201"/>
        <v>116946.89798319159</v>
      </c>
      <c r="BT506" s="109">
        <f t="shared" si="202"/>
        <v>117218.41669441901</v>
      </c>
      <c r="BV506" s="58">
        <f t="array" ref="BV506">SUM(IF(BS506:BT506&gt;=BS506, 1))</f>
        <v>2</v>
      </c>
      <c r="BW506" s="58">
        <f t="array" ref="BW506">SUM(IF(BS506:BT506&gt;=BT506, 1))</f>
        <v>1</v>
      </c>
      <c r="BY506" s="109">
        <f t="shared" si="203"/>
        <v>132472.65099009647</v>
      </c>
      <c r="BZ506" s="109">
        <f t="shared" si="204"/>
        <v>132705.57314760014</v>
      </c>
      <c r="CB506" s="58">
        <f t="array" ref="CB506">SUM(IF(BY506:BZ506&gt;=BY506, 1))</f>
        <v>2</v>
      </c>
      <c r="CC506" s="58">
        <f t="array" ref="CC506">SUM(IF(BY506:BZ506&gt;=BZ506, 1))</f>
        <v>1</v>
      </c>
      <c r="CE506" s="109">
        <f t="shared" si="205"/>
        <v>94257.557256291839</v>
      </c>
      <c r="CF506" s="109">
        <f t="shared" si="206"/>
        <v>96824.394041988577</v>
      </c>
      <c r="CH506" s="58">
        <f t="array" ref="CH506">SUM(IF(CE506:CF506&gt;=CE506, 1))</f>
        <v>2</v>
      </c>
      <c r="CI506" s="58">
        <f t="array" ref="CI506">SUM(IF(CE506:CF506&gt;=CF506, 1))</f>
        <v>1</v>
      </c>
      <c r="CK506" s="109">
        <f t="shared" si="207"/>
        <v>49297.922833921075</v>
      </c>
      <c r="CL506" s="109">
        <f t="shared" si="208"/>
        <v>50368.398962215237</v>
      </c>
      <c r="CN506" s="58">
        <f t="array" ref="CN506">SUM(IF(CK506:CL506&gt;=CK506, 1))</f>
        <v>2</v>
      </c>
      <c r="CO506" s="58">
        <f t="array" ref="CO506">SUM(IF(CK506:CL506&gt;=CL506, 1))</f>
        <v>1</v>
      </c>
      <c r="CQ506" s="109" cm="1">
        <f t="array" ref="CQ506">AF506*WTP-AC506</f>
        <v>37646.332689830931</v>
      </c>
      <c r="CR506" s="109">
        <f t="shared" si="209"/>
        <v>39322.042270464954</v>
      </c>
      <c r="CT506" s="58">
        <f t="array" ref="CT506">SUM(IF(CQ506:CR506&gt;=CQ506, 1))</f>
        <v>2</v>
      </c>
      <c r="CU506" s="58">
        <f t="array" ref="CU506">SUM(IF(CQ506:CR506&gt;=CR506, 1))</f>
        <v>1</v>
      </c>
      <c r="CW506" s="109">
        <f t="shared" si="210"/>
        <v>-29628389.507812593</v>
      </c>
      <c r="CX506" s="109">
        <f t="shared" si="211"/>
        <v>0</v>
      </c>
      <c r="CZ506" s="58">
        <f t="array" ref="CZ506">SUM(IF(CW506:CX506&gt;=CW506, 1))</f>
        <v>2</v>
      </c>
      <c r="DA506" s="58">
        <f t="array" ref="DA506">SUM(IF(CW506:CX506&gt;=CX506, 1))</f>
        <v>1</v>
      </c>
      <c r="DC506" s="109">
        <f t="shared" si="212"/>
        <v>-1593625.9743975229</v>
      </c>
      <c r="DD506" s="109">
        <f t="shared" si="213"/>
        <v>0</v>
      </c>
      <c r="DF506" s="58">
        <f t="array" ref="DF506">SUM(IF(DC506:DD506&gt;=DC506, 1))</f>
        <v>2</v>
      </c>
      <c r="DG506" s="58">
        <f t="array" ref="DG506">SUM(IF(DC506:DD506&gt;=DD506, 1))</f>
        <v>1</v>
      </c>
      <c r="DI506" s="109">
        <f t="shared" si="214"/>
        <v>-59556444.354247585</v>
      </c>
      <c r="DJ506" s="109">
        <f t="shared" si="215"/>
        <v>0</v>
      </c>
      <c r="DL506" s="58">
        <f t="array" ref="DL506">SUM(IF(DI506:DJ506&gt;=DI506, 1))</f>
        <v>2</v>
      </c>
      <c r="DM506" s="58">
        <f t="array" ref="DM506">SUM(IF(DI506:DJ506&gt;=DJ506, 1))</f>
        <v>1</v>
      </c>
      <c r="DO506" s="109">
        <f t="shared" si="216"/>
        <v>-9245558.4400913361</v>
      </c>
      <c r="DP506" s="109">
        <f t="shared" si="217"/>
        <v>0</v>
      </c>
      <c r="DR506" s="58">
        <f t="array" ref="DR506">SUM(IF(DO506:DP506&gt;=DO506, 1))</f>
        <v>2</v>
      </c>
      <c r="DS506" s="58">
        <f t="array" ref="DS506">SUM(IF(DO506:DP506&gt;=DP506, 1))</f>
        <v>1</v>
      </c>
      <c r="DU506" s="109">
        <f t="shared" si="218"/>
        <v>-25271486.771596931</v>
      </c>
      <c r="DV506" s="109">
        <f t="shared" si="219"/>
        <v>0</v>
      </c>
      <c r="DX506" s="58">
        <f t="array" ref="DX506">SUM(IF(DU506:DV506&gt;=DU506, 1))</f>
        <v>2</v>
      </c>
      <c r="DY506" s="58">
        <f t="array" ref="DY506">SUM(IF(DU506:DV506&gt;=DV506, 1))</f>
        <v>1</v>
      </c>
      <c r="EA506" s="109">
        <f t="shared" si="220"/>
        <v>-125295505.04814595</v>
      </c>
      <c r="EB506" s="109">
        <f t="shared" si="221"/>
        <v>0</v>
      </c>
      <c r="ED506" s="58">
        <f t="array" ref="ED506">SUM(IF(EA506:EB506&gt;=EA506, 1))</f>
        <v>2</v>
      </c>
      <c r="EE506" s="58">
        <f t="array" ref="EE506">SUM(IF(EA506:EB506&gt;=EB506, 1))</f>
        <v>1</v>
      </c>
    </row>
    <row r="507" spans="4:135" ht="12" customHeight="1" x14ac:dyDescent="0.25">
      <c r="D507" s="11">
        <v>491</v>
      </c>
      <c r="E507" s="72">
        <v>267.61947325903168</v>
      </c>
      <c r="F507" s="72">
        <v>240.10894739086024</v>
      </c>
      <c r="G507" s="73"/>
      <c r="H507" s="74">
        <v>5.8246248055143957</v>
      </c>
      <c r="I507" s="74">
        <v>5.8400469560238593</v>
      </c>
      <c r="J507" s="73"/>
      <c r="K507" s="72">
        <v>287.03854202864545</v>
      </c>
      <c r="L507" s="72">
        <v>258.87854447887565</v>
      </c>
      <c r="M507" s="73"/>
      <c r="N507" s="74">
        <v>6.6741616498015395</v>
      </c>
      <c r="O507" s="74">
        <v>6.6873325914584374</v>
      </c>
      <c r="P507" s="73"/>
      <c r="Q507" s="72">
        <v>3684.0717707008948</v>
      </c>
      <c r="R507" s="72">
        <v>1425.7233919713237</v>
      </c>
      <c r="S507" s="73"/>
      <c r="T507" s="74">
        <v>4.6526335006012474</v>
      </c>
      <c r="U507" s="74">
        <v>4.8891411000706686</v>
      </c>
      <c r="V507" s="73"/>
      <c r="W507" s="72">
        <v>15896.040824590933</v>
      </c>
      <c r="X507" s="72">
        <v>15859.599893864692</v>
      </c>
      <c r="Y507" s="73"/>
      <c r="Z507" s="74">
        <v>3.1511517713134189</v>
      </c>
      <c r="AA507" s="74">
        <v>3.1913685036938557</v>
      </c>
      <c r="AB507" s="73"/>
      <c r="AC507" s="72">
        <v>50258.169616563719</v>
      </c>
      <c r="AD507" s="72">
        <v>50049.34653837583</v>
      </c>
      <c r="AE507" s="73"/>
      <c r="AF507" s="74">
        <v>4.5668234305293609</v>
      </c>
      <c r="AG507" s="74">
        <v>4.6971219153942041</v>
      </c>
      <c r="AH507" s="73"/>
      <c r="AI507" s="72">
        <v>2980657.2487967955</v>
      </c>
      <c r="AJ507" s="72">
        <v>0</v>
      </c>
      <c r="AK507" s="73"/>
      <c r="AL507" s="74">
        <v>-1670.9293354966783</v>
      </c>
      <c r="AM507" s="74">
        <v>0</v>
      </c>
      <c r="AN507" s="73"/>
      <c r="AO507" s="72">
        <v>190847.80935826609</v>
      </c>
      <c r="AP507" s="72">
        <v>0</v>
      </c>
      <c r="AQ507" s="73"/>
      <c r="AR507" s="74">
        <v>-89.262982284067974</v>
      </c>
      <c r="AS507" s="74">
        <v>0</v>
      </c>
      <c r="AT507" s="73"/>
      <c r="AU507" s="72">
        <v>52606910.591533631</v>
      </c>
      <c r="AV507" s="72">
        <v>0</v>
      </c>
      <c r="AW507" s="73"/>
      <c r="AX507" s="74">
        <v>-5509.3068264805424</v>
      </c>
      <c r="AY507" s="74">
        <v>0</v>
      </c>
      <c r="AZ507" s="73"/>
      <c r="BA507" s="72">
        <v>338706.2837684626</v>
      </c>
      <c r="BB507" s="72">
        <v>0</v>
      </c>
      <c r="BC507" s="73"/>
      <c r="BD507" s="74">
        <v>-373.8010994345849</v>
      </c>
      <c r="BE507" s="74">
        <v>0</v>
      </c>
      <c r="BF507" s="73"/>
      <c r="BG507" s="72">
        <v>3278041.9445533543</v>
      </c>
      <c r="BH507" s="72">
        <v>0</v>
      </c>
      <c r="BI507" s="73"/>
      <c r="BJ507" s="74">
        <v>-2045.3864697579172</v>
      </c>
      <c r="BK507" s="74">
        <v>0</v>
      </c>
      <c r="BL507" s="73"/>
      <c r="BM507" s="72">
        <v>59395163.878010504</v>
      </c>
      <c r="BN507" s="72">
        <v>0</v>
      </c>
      <c r="BO507" s="73"/>
      <c r="BP507" s="74">
        <v>-9688.6867134537897</v>
      </c>
      <c r="BQ507" s="74">
        <v>0</v>
      </c>
      <c r="BS507" s="109">
        <f t="shared" si="201"/>
        <v>116224.87663702888</v>
      </c>
      <c r="BT507" s="109">
        <f t="shared" si="202"/>
        <v>116560.83017308632</v>
      </c>
      <c r="BV507" s="58">
        <f t="array" ref="BV507">SUM(IF(BS507:BT507&gt;=BS507, 1))</f>
        <v>2</v>
      </c>
      <c r="BW507" s="58">
        <f t="array" ref="BW507">SUM(IF(BS507:BT507&gt;=BT507, 1))</f>
        <v>1</v>
      </c>
      <c r="BY507" s="109">
        <f t="shared" si="203"/>
        <v>133196.19445400217</v>
      </c>
      <c r="BZ507" s="109">
        <f t="shared" si="204"/>
        <v>133487.77328468987</v>
      </c>
      <c r="CB507" s="58">
        <f t="array" ref="CB507">SUM(IF(BY507:BZ507&gt;=BY507, 1))</f>
        <v>2</v>
      </c>
      <c r="CC507" s="58">
        <f t="array" ref="CC507">SUM(IF(BY507:BZ507&gt;=BZ507, 1))</f>
        <v>1</v>
      </c>
      <c r="CE507" s="109">
        <f t="shared" si="205"/>
        <v>89368.598241324056</v>
      </c>
      <c r="CF507" s="109">
        <f t="shared" si="206"/>
        <v>96357.098609442051</v>
      </c>
      <c r="CH507" s="58">
        <f t="array" ref="CH507">SUM(IF(CE507:CF507&gt;=CE507, 1))</f>
        <v>2</v>
      </c>
      <c r="CI507" s="58">
        <f t="array" ref="CI507">SUM(IF(CE507:CF507&gt;=CF507, 1))</f>
        <v>1</v>
      </c>
      <c r="CK507" s="109">
        <f t="shared" si="207"/>
        <v>47126.994601677441</v>
      </c>
      <c r="CL507" s="109">
        <f t="shared" si="208"/>
        <v>47967.77018001242</v>
      </c>
      <c r="CN507" s="58">
        <f t="array" ref="CN507">SUM(IF(CK507:CL507&gt;=CK507, 1))</f>
        <v>2</v>
      </c>
      <c r="CO507" s="58">
        <f t="array" ref="CO507">SUM(IF(CK507:CL507&gt;=CL507, 1))</f>
        <v>1</v>
      </c>
      <c r="CQ507" s="109" cm="1">
        <f t="array" ref="CQ507">AF507*WTP-AC507</f>
        <v>41078.298994023506</v>
      </c>
      <c r="CR507" s="109">
        <f t="shared" si="209"/>
        <v>43893.091769508246</v>
      </c>
      <c r="CT507" s="58">
        <f t="array" ref="CT507">SUM(IF(CQ507:CR507&gt;=CQ507, 1))</f>
        <v>2</v>
      </c>
      <c r="CU507" s="58">
        <f t="array" ref="CU507">SUM(IF(CQ507:CR507&gt;=CR507, 1))</f>
        <v>1</v>
      </c>
      <c r="CW507" s="109">
        <f t="shared" si="210"/>
        <v>-36399243.958730362</v>
      </c>
      <c r="CX507" s="109">
        <f t="shared" si="211"/>
        <v>0</v>
      </c>
      <c r="CZ507" s="58">
        <f t="array" ref="CZ507">SUM(IF(CW507:CX507&gt;=CW507, 1))</f>
        <v>2</v>
      </c>
      <c r="DA507" s="58">
        <f t="array" ref="DA507">SUM(IF(CW507:CX507&gt;=CX507, 1))</f>
        <v>1</v>
      </c>
      <c r="DC507" s="109">
        <f t="shared" si="212"/>
        <v>-1976107.4550396258</v>
      </c>
      <c r="DD507" s="109">
        <f t="shared" si="213"/>
        <v>0</v>
      </c>
      <c r="DF507" s="58">
        <f t="array" ref="DF507">SUM(IF(DC507:DD507&gt;=DC507, 1))</f>
        <v>2</v>
      </c>
      <c r="DG507" s="58">
        <f t="array" ref="DG507">SUM(IF(DC507:DD507&gt;=DD507, 1))</f>
        <v>1</v>
      </c>
      <c r="DI507" s="109">
        <f t="shared" si="214"/>
        <v>-162793047.12114447</v>
      </c>
      <c r="DJ507" s="109">
        <f t="shared" si="215"/>
        <v>0</v>
      </c>
      <c r="DL507" s="58">
        <f t="array" ref="DL507">SUM(IF(DI507:DJ507&gt;=DI507, 1))</f>
        <v>2</v>
      </c>
      <c r="DM507" s="58">
        <f t="array" ref="DM507">SUM(IF(DI507:DJ507&gt;=DJ507, 1))</f>
        <v>1</v>
      </c>
      <c r="DO507" s="109">
        <f t="shared" si="216"/>
        <v>-7814728.2724601608</v>
      </c>
      <c r="DP507" s="109">
        <f t="shared" si="217"/>
        <v>0</v>
      </c>
      <c r="DR507" s="58">
        <f t="array" ref="DR507">SUM(IF(DO507:DP507&gt;=DO507, 1))</f>
        <v>2</v>
      </c>
      <c r="DS507" s="58">
        <f t="array" ref="DS507">SUM(IF(DO507:DP507&gt;=DP507, 1))</f>
        <v>1</v>
      </c>
      <c r="DU507" s="109">
        <f t="shared" si="218"/>
        <v>-44185771.339711696</v>
      </c>
      <c r="DV507" s="109">
        <f t="shared" si="219"/>
        <v>0</v>
      </c>
      <c r="DX507" s="58">
        <f t="array" ref="DX507">SUM(IF(DU507:DV507&gt;=DU507, 1))</f>
        <v>2</v>
      </c>
      <c r="DY507" s="58">
        <f t="array" ref="DY507">SUM(IF(DU507:DV507&gt;=DV507, 1))</f>
        <v>1</v>
      </c>
      <c r="EA507" s="109">
        <f t="shared" si="220"/>
        <v>-253168898.14708629</v>
      </c>
      <c r="EB507" s="109">
        <f t="shared" si="221"/>
        <v>0</v>
      </c>
      <c r="ED507" s="58">
        <f t="array" ref="ED507">SUM(IF(EA507:EB507&gt;=EA507, 1))</f>
        <v>2</v>
      </c>
      <c r="EE507" s="58">
        <f t="array" ref="EE507">SUM(IF(EA507:EB507&gt;=EB507, 1))</f>
        <v>1</v>
      </c>
    </row>
    <row r="508" spans="4:135" ht="12" customHeight="1" x14ac:dyDescent="0.25">
      <c r="D508" s="11">
        <v>492</v>
      </c>
      <c r="E508" s="72">
        <v>240.1033386222974</v>
      </c>
      <c r="F508" s="72">
        <v>227.69045352687749</v>
      </c>
      <c r="G508" s="73"/>
      <c r="H508" s="74">
        <v>5.7715145669299908</v>
      </c>
      <c r="I508" s="74">
        <v>5.7836873869700538</v>
      </c>
      <c r="J508" s="73"/>
      <c r="K508" s="72">
        <v>258.20641358784314</v>
      </c>
      <c r="L508" s="72">
        <v>245.45072581560879</v>
      </c>
      <c r="M508" s="73"/>
      <c r="N508" s="74">
        <v>6.6707299075546374</v>
      </c>
      <c r="O508" s="74">
        <v>6.6804378587299365</v>
      </c>
      <c r="P508" s="73"/>
      <c r="Q508" s="72">
        <v>2474.6225460569372</v>
      </c>
      <c r="R508" s="72">
        <v>1440.7748762445517</v>
      </c>
      <c r="S508" s="73"/>
      <c r="T508" s="74">
        <v>4.7588565663611897</v>
      </c>
      <c r="U508" s="74">
        <v>4.8438430587466446</v>
      </c>
      <c r="V508" s="73"/>
      <c r="W508" s="72">
        <v>12880.001007352766</v>
      </c>
      <c r="X508" s="72">
        <v>12841.192860538602</v>
      </c>
      <c r="Y508" s="73"/>
      <c r="Z508" s="74">
        <v>3.0106130737270114</v>
      </c>
      <c r="AA508" s="74">
        <v>3.05210922325749</v>
      </c>
      <c r="AB508" s="73"/>
      <c r="AC508" s="72">
        <v>50942.068158937793</v>
      </c>
      <c r="AD508" s="72">
        <v>50802.52856423195</v>
      </c>
      <c r="AE508" s="73"/>
      <c r="AF508" s="74">
        <v>4.4138211558359037</v>
      </c>
      <c r="AG508" s="74">
        <v>4.481555708007086</v>
      </c>
      <c r="AH508" s="73"/>
      <c r="AI508" s="72">
        <v>1336774.8979945714</v>
      </c>
      <c r="AJ508" s="72">
        <v>0</v>
      </c>
      <c r="AK508" s="73"/>
      <c r="AL508" s="74">
        <v>-1310.9216868015383</v>
      </c>
      <c r="AM508" s="74">
        <v>0</v>
      </c>
      <c r="AN508" s="73"/>
      <c r="AO508" s="72">
        <v>83792.265314961231</v>
      </c>
      <c r="AP508" s="72">
        <v>0</v>
      </c>
      <c r="AQ508" s="73"/>
      <c r="AR508" s="74">
        <v>-63.771647211059296</v>
      </c>
      <c r="AS508" s="74">
        <v>0</v>
      </c>
      <c r="AT508" s="73"/>
      <c r="AU508" s="72">
        <v>24263594.394871507</v>
      </c>
      <c r="AV508" s="72">
        <v>0</v>
      </c>
      <c r="AW508" s="73"/>
      <c r="AX508" s="74">
        <v>-1994.56635681901</v>
      </c>
      <c r="AY508" s="74">
        <v>0</v>
      </c>
      <c r="AZ508" s="73"/>
      <c r="BA508" s="72">
        <v>343804.00832384982</v>
      </c>
      <c r="BB508" s="72">
        <v>0</v>
      </c>
      <c r="BC508" s="73"/>
      <c r="BD508" s="74">
        <v>-367.61720694628178</v>
      </c>
      <c r="BE508" s="74">
        <v>0</v>
      </c>
      <c r="BF508" s="73"/>
      <c r="BG508" s="72">
        <v>2240452.5861891732</v>
      </c>
      <c r="BH508" s="72">
        <v>0</v>
      </c>
      <c r="BI508" s="73"/>
      <c r="BJ508" s="74">
        <v>-1087.5483256648517</v>
      </c>
      <c r="BK508" s="74">
        <v>0</v>
      </c>
      <c r="BL508" s="73"/>
      <c r="BM508" s="72">
        <v>28268418.152694061</v>
      </c>
      <c r="BN508" s="72">
        <v>0</v>
      </c>
      <c r="BO508" s="73"/>
      <c r="BP508" s="74">
        <v>-4824.4252234427404</v>
      </c>
      <c r="BQ508" s="74">
        <v>0</v>
      </c>
      <c r="BS508" s="109">
        <f t="shared" si="201"/>
        <v>115190.18799997751</v>
      </c>
      <c r="BT508" s="109">
        <f t="shared" si="202"/>
        <v>115446.05728587419</v>
      </c>
      <c r="BV508" s="58">
        <f t="array" ref="BV508">SUM(IF(BS508:BT508&gt;=BS508, 1))</f>
        <v>2</v>
      </c>
      <c r="BW508" s="58">
        <f t="array" ref="BW508">SUM(IF(BS508:BT508&gt;=BT508, 1))</f>
        <v>1</v>
      </c>
      <c r="BY508" s="109">
        <f t="shared" si="203"/>
        <v>133156.39173750489</v>
      </c>
      <c r="BZ508" s="109">
        <f t="shared" si="204"/>
        <v>133363.30644878311</v>
      </c>
      <c r="CB508" s="58">
        <f t="array" ref="CB508">SUM(IF(BY508:BZ508&gt;=BY508, 1))</f>
        <v>2</v>
      </c>
      <c r="CC508" s="58">
        <f t="array" ref="CC508">SUM(IF(BY508:BZ508&gt;=BZ508, 1))</f>
        <v>1</v>
      </c>
      <c r="CE508" s="109">
        <f t="shared" si="205"/>
        <v>92702.508781166849</v>
      </c>
      <c r="CF508" s="109">
        <f t="shared" si="206"/>
        <v>95436.086298688329</v>
      </c>
      <c r="CH508" s="58">
        <f t="array" ref="CH508">SUM(IF(CE508:CF508&gt;=CE508, 1))</f>
        <v>2</v>
      </c>
      <c r="CI508" s="58">
        <f t="array" ref="CI508">SUM(IF(CE508:CF508&gt;=CF508, 1))</f>
        <v>1</v>
      </c>
      <c r="CK508" s="109">
        <f t="shared" si="207"/>
        <v>47332.260467187458</v>
      </c>
      <c r="CL508" s="109">
        <f t="shared" si="208"/>
        <v>48200.991604611205</v>
      </c>
      <c r="CN508" s="58">
        <f t="array" ref="CN508">SUM(IF(CK508:CL508&gt;=CK508, 1))</f>
        <v>2</v>
      </c>
      <c r="CO508" s="58">
        <f t="array" ref="CO508">SUM(IF(CK508:CL508&gt;=CL508, 1))</f>
        <v>1</v>
      </c>
      <c r="CQ508" s="109" cm="1">
        <f t="array" ref="CQ508">AF508*WTP-AC508</f>
        <v>37334.354957780277</v>
      </c>
      <c r="CR508" s="109">
        <f t="shared" si="209"/>
        <v>38828.585595909768</v>
      </c>
      <c r="CT508" s="58">
        <f t="array" ref="CT508">SUM(IF(CQ508:CR508&gt;=CQ508, 1))</f>
        <v>2</v>
      </c>
      <c r="CU508" s="58">
        <f t="array" ref="CU508">SUM(IF(CQ508:CR508&gt;=CR508, 1))</f>
        <v>1</v>
      </c>
      <c r="CW508" s="109">
        <f t="shared" si="210"/>
        <v>-27555208.634025335</v>
      </c>
      <c r="CX508" s="109">
        <f t="shared" si="211"/>
        <v>0</v>
      </c>
      <c r="CZ508" s="58">
        <f t="array" ref="CZ508">SUM(IF(CW508:CX508&gt;=CW508, 1))</f>
        <v>2</v>
      </c>
      <c r="DA508" s="58">
        <f t="array" ref="DA508">SUM(IF(CW508:CX508&gt;=CX508, 1))</f>
        <v>1</v>
      </c>
      <c r="DC508" s="109">
        <f t="shared" si="212"/>
        <v>-1359225.2095361473</v>
      </c>
      <c r="DD508" s="109">
        <f t="shared" si="213"/>
        <v>0</v>
      </c>
      <c r="DF508" s="58">
        <f t="array" ref="DF508">SUM(IF(DC508:DD508&gt;=DC508, 1))</f>
        <v>2</v>
      </c>
      <c r="DG508" s="58">
        <f t="array" ref="DG508">SUM(IF(DC508:DD508&gt;=DD508, 1))</f>
        <v>1</v>
      </c>
      <c r="DI508" s="109">
        <f t="shared" si="214"/>
        <v>-64154921.531251714</v>
      </c>
      <c r="DJ508" s="109">
        <f t="shared" si="215"/>
        <v>0</v>
      </c>
      <c r="DL508" s="58">
        <f t="array" ref="DL508">SUM(IF(DI508:DJ508&gt;=DI508, 1))</f>
        <v>2</v>
      </c>
      <c r="DM508" s="58">
        <f t="array" ref="DM508">SUM(IF(DI508:DJ508&gt;=DJ508, 1))</f>
        <v>1</v>
      </c>
      <c r="DO508" s="109">
        <f t="shared" si="216"/>
        <v>-7696148.1472494854</v>
      </c>
      <c r="DP508" s="109">
        <f t="shared" si="217"/>
        <v>0</v>
      </c>
      <c r="DR508" s="58">
        <f t="array" ref="DR508">SUM(IF(DO508:DP508&gt;=DO508, 1))</f>
        <v>2</v>
      </c>
      <c r="DS508" s="58">
        <f t="array" ref="DS508">SUM(IF(DO508:DP508&gt;=DP508, 1))</f>
        <v>1</v>
      </c>
      <c r="DU508" s="109">
        <f t="shared" si="218"/>
        <v>-23991419.099486209</v>
      </c>
      <c r="DV508" s="109">
        <f t="shared" si="219"/>
        <v>0</v>
      </c>
      <c r="DX508" s="58">
        <f t="array" ref="DX508">SUM(IF(DU508:DV508&gt;=DU508, 1))</f>
        <v>2</v>
      </c>
      <c r="DY508" s="58">
        <f t="array" ref="DY508">SUM(IF(DU508:DV508&gt;=DV508, 1))</f>
        <v>1</v>
      </c>
      <c r="EA508" s="109">
        <f t="shared" si="220"/>
        <v>-124756922.62154888</v>
      </c>
      <c r="EB508" s="109">
        <f t="shared" si="221"/>
        <v>0</v>
      </c>
      <c r="ED508" s="58">
        <f t="array" ref="ED508">SUM(IF(EA508:EB508&gt;=EA508, 1))</f>
        <v>2</v>
      </c>
      <c r="EE508" s="58">
        <f t="array" ref="EE508">SUM(IF(EA508:EB508&gt;=EB508, 1))</f>
        <v>1</v>
      </c>
    </row>
    <row r="509" spans="4:135" ht="12" customHeight="1" x14ac:dyDescent="0.25">
      <c r="D509" s="11">
        <v>493</v>
      </c>
      <c r="E509" s="72">
        <v>260.90887515918251</v>
      </c>
      <c r="F509" s="72">
        <v>246.04298334415839</v>
      </c>
      <c r="G509" s="73"/>
      <c r="H509" s="74">
        <v>5.8442488331331575</v>
      </c>
      <c r="I509" s="74">
        <v>5.8573363991994754</v>
      </c>
      <c r="J509" s="73"/>
      <c r="K509" s="72">
        <v>280.49989459244694</v>
      </c>
      <c r="L509" s="72">
        <v>265.26819947160777</v>
      </c>
      <c r="M509" s="73"/>
      <c r="N509" s="74">
        <v>6.6258104002808809</v>
      </c>
      <c r="O509" s="74">
        <v>6.6374139173336664</v>
      </c>
      <c r="P509" s="73"/>
      <c r="Q509" s="72">
        <v>2345.4758930801031</v>
      </c>
      <c r="R509" s="72">
        <v>1191.1793417467782</v>
      </c>
      <c r="S509" s="73"/>
      <c r="T509" s="74">
        <v>4.7126653961540947</v>
      </c>
      <c r="U509" s="74">
        <v>4.8024536021659046</v>
      </c>
      <c r="V509" s="73"/>
      <c r="W509" s="72">
        <v>11819.586307359892</v>
      </c>
      <c r="X509" s="72">
        <v>11796.745656620946</v>
      </c>
      <c r="Y509" s="73"/>
      <c r="Z509" s="74">
        <v>2.9463218672385958</v>
      </c>
      <c r="AA509" s="74">
        <v>2.9851565766553207</v>
      </c>
      <c r="AB509" s="73"/>
      <c r="AC509" s="72">
        <v>51000.054625696837</v>
      </c>
      <c r="AD509" s="72">
        <v>50808.596347623381</v>
      </c>
      <c r="AE509" s="73"/>
      <c r="AF509" s="74">
        <v>4.8051490145255888</v>
      </c>
      <c r="AG509" s="74">
        <v>4.9162426994471788</v>
      </c>
      <c r="AH509" s="73"/>
      <c r="AI509" s="72">
        <v>1589664.8451644904</v>
      </c>
      <c r="AJ509" s="72">
        <v>0</v>
      </c>
      <c r="AK509" s="73"/>
      <c r="AL509" s="74">
        <v>-1399.50188951106</v>
      </c>
      <c r="AM509" s="74">
        <v>0</v>
      </c>
      <c r="AN509" s="73"/>
      <c r="AO509" s="72">
        <v>105868.19561546278</v>
      </c>
      <c r="AP509" s="72">
        <v>0</v>
      </c>
      <c r="AQ509" s="73"/>
      <c r="AR509" s="74">
        <v>-80.650472808569148</v>
      </c>
      <c r="AS509" s="74">
        <v>0</v>
      </c>
      <c r="AT509" s="73"/>
      <c r="AU509" s="72">
        <v>26733054.740649585</v>
      </c>
      <c r="AV509" s="72">
        <v>0</v>
      </c>
      <c r="AW509" s="73"/>
      <c r="AX509" s="74">
        <v>-2079.4595839395329</v>
      </c>
      <c r="AY509" s="74">
        <v>0</v>
      </c>
      <c r="AZ509" s="73"/>
      <c r="BA509" s="72">
        <v>210483.58243775065</v>
      </c>
      <c r="BB509" s="72">
        <v>0</v>
      </c>
      <c r="BC509" s="73"/>
      <c r="BD509" s="74">
        <v>-357.8737249820752</v>
      </c>
      <c r="BE509" s="74">
        <v>0</v>
      </c>
      <c r="BF509" s="73"/>
      <c r="BG509" s="72">
        <v>3133282.5009413823</v>
      </c>
      <c r="BH509" s="72">
        <v>0</v>
      </c>
      <c r="BI509" s="73"/>
      <c r="BJ509" s="74">
        <v>-1818.087483249815</v>
      </c>
      <c r="BK509" s="74">
        <v>0</v>
      </c>
      <c r="BL509" s="73"/>
      <c r="BM509" s="72">
        <v>31772353.864808667</v>
      </c>
      <c r="BN509" s="72">
        <v>0</v>
      </c>
      <c r="BO509" s="73"/>
      <c r="BP509" s="74">
        <v>-5735.5731544910523</v>
      </c>
      <c r="BQ509" s="74">
        <v>0</v>
      </c>
      <c r="BS509" s="109">
        <f t="shared" si="201"/>
        <v>116624.06778750397</v>
      </c>
      <c r="BT509" s="109">
        <f t="shared" si="202"/>
        <v>116900.68500064535</v>
      </c>
      <c r="BV509" s="58">
        <f t="array" ref="BV509">SUM(IF(BS509:BT509&gt;=BS509, 1))</f>
        <v>2</v>
      </c>
      <c r="BW509" s="58">
        <f t="array" ref="BW509">SUM(IF(BS509:BT509&gt;=BT509, 1))</f>
        <v>1</v>
      </c>
      <c r="BY509" s="109">
        <f t="shared" si="203"/>
        <v>132235.70811102516</v>
      </c>
      <c r="BZ509" s="109">
        <f t="shared" si="204"/>
        <v>132483.01014720171</v>
      </c>
      <c r="CB509" s="58">
        <f t="array" ref="CB509">SUM(IF(BY509:BZ509&gt;=BY509, 1))</f>
        <v>2</v>
      </c>
      <c r="CC509" s="58">
        <f t="array" ref="CC509">SUM(IF(BY509:BZ509&gt;=BZ509, 1))</f>
        <v>1</v>
      </c>
      <c r="CE509" s="109">
        <f t="shared" si="205"/>
        <v>91907.832030001795</v>
      </c>
      <c r="CF509" s="109">
        <f t="shared" si="206"/>
        <v>94857.892701571313</v>
      </c>
      <c r="CH509" s="58">
        <f t="array" ref="CH509">SUM(IF(CE509:CF509&gt;=CE509, 1))</f>
        <v>2</v>
      </c>
      <c r="CI509" s="58">
        <f t="array" ref="CI509">SUM(IF(CE509:CF509&gt;=CF509, 1))</f>
        <v>1</v>
      </c>
      <c r="CK509" s="109">
        <f t="shared" si="207"/>
        <v>47106.851037412023</v>
      </c>
      <c r="CL509" s="109">
        <f t="shared" si="208"/>
        <v>47906.385876485474</v>
      </c>
      <c r="CN509" s="58">
        <f t="array" ref="CN509">SUM(IF(CK509:CL509&gt;=CK509, 1))</f>
        <v>2</v>
      </c>
      <c r="CO509" s="58">
        <f t="array" ref="CO509">SUM(IF(CK509:CL509&gt;=CL509, 1))</f>
        <v>1</v>
      </c>
      <c r="CQ509" s="109" cm="1">
        <f t="array" ref="CQ509">AF509*WTP-AC509</f>
        <v>45102.925664814946</v>
      </c>
      <c r="CR509" s="109">
        <f t="shared" si="209"/>
        <v>47516.257641320197</v>
      </c>
      <c r="CT509" s="58">
        <f t="array" ref="CT509">SUM(IF(CQ509:CR509&gt;=CQ509, 1))</f>
        <v>2</v>
      </c>
      <c r="CU509" s="58">
        <f t="array" ref="CU509">SUM(IF(CQ509:CR509&gt;=CR509, 1))</f>
        <v>1</v>
      </c>
      <c r="CW509" s="109">
        <f t="shared" si="210"/>
        <v>-29579702.635385688</v>
      </c>
      <c r="CX509" s="109">
        <f t="shared" si="211"/>
        <v>0</v>
      </c>
      <c r="CZ509" s="58">
        <f t="array" ref="CZ509">SUM(IF(CW509:CX509&gt;=CW509, 1))</f>
        <v>2</v>
      </c>
      <c r="DA509" s="58">
        <f t="array" ref="DA509">SUM(IF(CW509:CX509&gt;=CX509, 1))</f>
        <v>1</v>
      </c>
      <c r="DC509" s="109">
        <f t="shared" si="212"/>
        <v>-1718877.6517868456</v>
      </c>
      <c r="DD509" s="109">
        <f t="shared" si="213"/>
        <v>0</v>
      </c>
      <c r="DF509" s="58">
        <f t="array" ref="DF509">SUM(IF(DC509:DD509&gt;=DC509, 1))</f>
        <v>2</v>
      </c>
      <c r="DG509" s="58">
        <f t="array" ref="DG509">SUM(IF(DC509:DD509&gt;=DD509, 1))</f>
        <v>1</v>
      </c>
      <c r="DI509" s="109">
        <f t="shared" si="214"/>
        <v>-68322246.41944024</v>
      </c>
      <c r="DJ509" s="109">
        <f t="shared" si="215"/>
        <v>0</v>
      </c>
      <c r="DL509" s="58">
        <f t="array" ref="DL509">SUM(IF(DI509:DJ509&gt;=DI509, 1))</f>
        <v>2</v>
      </c>
      <c r="DM509" s="58">
        <f t="array" ref="DM509">SUM(IF(DI509:DJ509&gt;=DJ509, 1))</f>
        <v>1</v>
      </c>
      <c r="DO509" s="109">
        <f t="shared" si="216"/>
        <v>-7367958.082079255</v>
      </c>
      <c r="DP509" s="109">
        <f t="shared" si="217"/>
        <v>0</v>
      </c>
      <c r="DR509" s="58">
        <f t="array" ref="DR509">SUM(IF(DO509:DP509&gt;=DO509, 1))</f>
        <v>2</v>
      </c>
      <c r="DS509" s="58">
        <f t="array" ref="DS509">SUM(IF(DO509:DP509&gt;=DP509, 1))</f>
        <v>1</v>
      </c>
      <c r="DU509" s="109">
        <f t="shared" si="218"/>
        <v>-39495032.165937684</v>
      </c>
      <c r="DV509" s="109">
        <f t="shared" si="219"/>
        <v>0</v>
      </c>
      <c r="DX509" s="58">
        <f t="array" ref="DX509">SUM(IF(DU509:DV509&gt;=DU509, 1))</f>
        <v>2</v>
      </c>
      <c r="DY509" s="58">
        <f t="array" ref="DY509">SUM(IF(DU509:DV509&gt;=DV509, 1))</f>
        <v>1</v>
      </c>
      <c r="EA509" s="109">
        <f t="shared" si="220"/>
        <v>-146483816.95462972</v>
      </c>
      <c r="EB509" s="109">
        <f t="shared" si="221"/>
        <v>0</v>
      </c>
      <c r="ED509" s="58">
        <f t="array" ref="ED509">SUM(IF(EA509:EB509&gt;=EA509, 1))</f>
        <v>2</v>
      </c>
      <c r="EE509" s="58">
        <f t="array" ref="EE509">SUM(IF(EA509:EB509&gt;=EB509, 1))</f>
        <v>1</v>
      </c>
    </row>
    <row r="510" spans="4:135" ht="12" customHeight="1" x14ac:dyDescent="0.25">
      <c r="D510" s="11">
        <v>494</v>
      </c>
      <c r="E510" s="72">
        <v>290.4012245008318</v>
      </c>
      <c r="F510" s="72">
        <v>270.24029207626359</v>
      </c>
      <c r="G510" s="73"/>
      <c r="H510" s="74">
        <v>5.7557867009840047</v>
      </c>
      <c r="I510" s="74">
        <v>5.7738083010514565</v>
      </c>
      <c r="J510" s="73"/>
      <c r="K510" s="72">
        <v>312.07762401978096</v>
      </c>
      <c r="L510" s="72">
        <v>291.43389693713794</v>
      </c>
      <c r="M510" s="73"/>
      <c r="N510" s="74">
        <v>6.6452154038989528</v>
      </c>
      <c r="O510" s="74">
        <v>6.6611222634751055</v>
      </c>
      <c r="P510" s="73"/>
      <c r="Q510" s="72">
        <v>4134.0590695938854</v>
      </c>
      <c r="R510" s="72">
        <v>1588.1199882717267</v>
      </c>
      <c r="S510" s="73"/>
      <c r="T510" s="74">
        <v>4.8281217564288976</v>
      </c>
      <c r="U510" s="74">
        <v>4.9908296743369993</v>
      </c>
      <c r="V510" s="73"/>
      <c r="W510" s="72">
        <v>13122.940254956566</v>
      </c>
      <c r="X510" s="72">
        <v>13091.005302589512</v>
      </c>
      <c r="Y510" s="73"/>
      <c r="Z510" s="74">
        <v>3.0161603625807349</v>
      </c>
      <c r="AA510" s="74">
        <v>3.0612773716428308</v>
      </c>
      <c r="AB510" s="73"/>
      <c r="AC510" s="72">
        <v>51653.094200273794</v>
      </c>
      <c r="AD510" s="72">
        <v>51575.047470892547</v>
      </c>
      <c r="AE510" s="73"/>
      <c r="AF510" s="74">
        <v>4.8124114926026405</v>
      </c>
      <c r="AG510" s="74">
        <v>4.8881056868604356</v>
      </c>
      <c r="AH510" s="73"/>
      <c r="AI510" s="72">
        <v>2171071.1439450849</v>
      </c>
      <c r="AJ510" s="72">
        <v>0</v>
      </c>
      <c r="AK510" s="73"/>
      <c r="AL510" s="74">
        <v>-1940.6927740347971</v>
      </c>
      <c r="AM510" s="74">
        <v>0</v>
      </c>
      <c r="AN510" s="73"/>
      <c r="AO510" s="72">
        <v>140302.53216981684</v>
      </c>
      <c r="AP510" s="72">
        <v>0</v>
      </c>
      <c r="AQ510" s="73"/>
      <c r="AR510" s="74">
        <v>-108.10899933279813</v>
      </c>
      <c r="AS510" s="74">
        <v>0</v>
      </c>
      <c r="AT510" s="73"/>
      <c r="AU510" s="72">
        <v>59270951.664562702</v>
      </c>
      <c r="AV510" s="72">
        <v>0</v>
      </c>
      <c r="AW510" s="73"/>
      <c r="AX510" s="74">
        <v>-3787.9355435183779</v>
      </c>
      <c r="AY510" s="74">
        <v>0</v>
      </c>
      <c r="AZ510" s="73"/>
      <c r="BA510" s="72">
        <v>275604.18490841746</v>
      </c>
      <c r="BB510" s="72">
        <v>0</v>
      </c>
      <c r="BC510" s="73"/>
      <c r="BD510" s="74">
        <v>-389.36762344737076</v>
      </c>
      <c r="BE510" s="74">
        <v>0</v>
      </c>
      <c r="BF510" s="73"/>
      <c r="BG510" s="72">
        <v>1253869.0753337978</v>
      </c>
      <c r="BH510" s="72">
        <v>0</v>
      </c>
      <c r="BI510" s="73"/>
      <c r="BJ510" s="74">
        <v>-1216.074140641226</v>
      </c>
      <c r="BK510" s="74">
        <v>0</v>
      </c>
      <c r="BL510" s="73"/>
      <c r="BM510" s="72">
        <v>63111798.60091982</v>
      </c>
      <c r="BN510" s="72">
        <v>0</v>
      </c>
      <c r="BO510" s="73"/>
      <c r="BP510" s="74">
        <v>-7442.1790809745698</v>
      </c>
      <c r="BQ510" s="74">
        <v>0</v>
      </c>
      <c r="BS510" s="109">
        <f t="shared" si="201"/>
        <v>114825.33279517926</v>
      </c>
      <c r="BT510" s="109">
        <f t="shared" si="202"/>
        <v>115205.92572895286</v>
      </c>
      <c r="BV510" s="58">
        <f t="array" ref="BV510">SUM(IF(BS510:BT510&gt;=BS510, 1))</f>
        <v>2</v>
      </c>
      <c r="BW510" s="58">
        <f t="array" ref="BW510">SUM(IF(BS510:BT510&gt;=BT510, 1))</f>
        <v>1</v>
      </c>
      <c r="BY510" s="109">
        <f t="shared" si="203"/>
        <v>132592.23045395926</v>
      </c>
      <c r="BZ510" s="109">
        <f t="shared" si="204"/>
        <v>132931.01137256497</v>
      </c>
      <c r="CB510" s="58">
        <f t="array" ref="CB510">SUM(IF(BY510:BZ510&gt;=BY510, 1))</f>
        <v>2</v>
      </c>
      <c r="CC510" s="58">
        <f t="array" ref="CC510">SUM(IF(BY510:BZ510&gt;=BZ510, 1))</f>
        <v>1</v>
      </c>
      <c r="CE510" s="109">
        <f t="shared" si="205"/>
        <v>92428.376058984068</v>
      </c>
      <c r="CF510" s="109">
        <f t="shared" si="206"/>
        <v>98228.473498468258</v>
      </c>
      <c r="CH510" s="58">
        <f t="array" ref="CH510">SUM(IF(CE510:CF510&gt;=CE510, 1))</f>
        <v>2</v>
      </c>
      <c r="CI510" s="58">
        <f t="array" ref="CI510">SUM(IF(CE510:CF510&gt;=CF510, 1))</f>
        <v>1</v>
      </c>
      <c r="CK510" s="109">
        <f t="shared" si="207"/>
        <v>47200.266996658138</v>
      </c>
      <c r="CL510" s="109">
        <f t="shared" si="208"/>
        <v>48134.542130267102</v>
      </c>
      <c r="CN510" s="58">
        <f t="array" ref="CN510">SUM(IF(CK510:CL510&gt;=CK510, 1))</f>
        <v>2</v>
      </c>
      <c r="CO510" s="58">
        <f t="array" ref="CO510">SUM(IF(CK510:CL510&gt;=CL510, 1))</f>
        <v>1</v>
      </c>
      <c r="CQ510" s="109" cm="1">
        <f t="array" ref="CQ510">AF510*WTP-AC510</f>
        <v>44595.135651779019</v>
      </c>
      <c r="CR510" s="109">
        <f t="shared" si="209"/>
        <v>46187.066266316164</v>
      </c>
      <c r="CT510" s="58">
        <f t="array" ref="CT510">SUM(IF(CQ510:CR510&gt;=CQ510, 1))</f>
        <v>2</v>
      </c>
      <c r="CU510" s="58">
        <f t="array" ref="CU510">SUM(IF(CQ510:CR510&gt;=CR510, 1))</f>
        <v>1</v>
      </c>
      <c r="CW510" s="109">
        <f t="shared" si="210"/>
        <v>-40984926.624641024</v>
      </c>
      <c r="CX510" s="109">
        <f t="shared" si="211"/>
        <v>0</v>
      </c>
      <c r="CZ510" s="58">
        <f t="array" ref="CZ510">SUM(IF(CW510:CX510&gt;=CW510, 1))</f>
        <v>2</v>
      </c>
      <c r="DA510" s="58">
        <f t="array" ref="DA510">SUM(IF(CW510:CX510&gt;=CX510, 1))</f>
        <v>1</v>
      </c>
      <c r="DC510" s="109">
        <f t="shared" si="212"/>
        <v>-2302482.5188257797</v>
      </c>
      <c r="DD510" s="109">
        <f t="shared" si="213"/>
        <v>0</v>
      </c>
      <c r="DF510" s="58">
        <f t="array" ref="DF510">SUM(IF(DC510:DD510&gt;=DC510, 1))</f>
        <v>2</v>
      </c>
      <c r="DG510" s="58">
        <f t="array" ref="DG510">SUM(IF(DC510:DD510&gt;=DD510, 1))</f>
        <v>1</v>
      </c>
      <c r="DI510" s="109">
        <f t="shared" si="214"/>
        <v>-135029662.53493026</v>
      </c>
      <c r="DJ510" s="109">
        <f t="shared" si="215"/>
        <v>0</v>
      </c>
      <c r="DL510" s="58">
        <f t="array" ref="DL510">SUM(IF(DI510:DJ510&gt;=DI510, 1))</f>
        <v>2</v>
      </c>
      <c r="DM510" s="58">
        <f t="array" ref="DM510">SUM(IF(DI510:DJ510&gt;=DJ510, 1))</f>
        <v>1</v>
      </c>
      <c r="DO510" s="109">
        <f t="shared" si="216"/>
        <v>-8062956.6538558323</v>
      </c>
      <c r="DP510" s="109">
        <f t="shared" si="217"/>
        <v>0</v>
      </c>
      <c r="DR510" s="58">
        <f t="array" ref="DR510">SUM(IF(DO510:DP510&gt;=DO510, 1))</f>
        <v>2</v>
      </c>
      <c r="DS510" s="58">
        <f t="array" ref="DS510">SUM(IF(DO510:DP510&gt;=DP510, 1))</f>
        <v>1</v>
      </c>
      <c r="DU510" s="109">
        <f t="shared" si="218"/>
        <v>-25575351.888158318</v>
      </c>
      <c r="DV510" s="109">
        <f t="shared" si="219"/>
        <v>0</v>
      </c>
      <c r="DX510" s="58">
        <f t="array" ref="DX510">SUM(IF(DU510:DV510&gt;=DU510, 1))</f>
        <v>2</v>
      </c>
      <c r="DY510" s="58">
        <f t="array" ref="DY510">SUM(IF(DU510:DV510&gt;=DV510, 1))</f>
        <v>1</v>
      </c>
      <c r="EA510" s="109">
        <f t="shared" si="220"/>
        <v>-211955380.22041121</v>
      </c>
      <c r="EB510" s="109">
        <f t="shared" si="221"/>
        <v>0</v>
      </c>
      <c r="ED510" s="58">
        <f t="array" ref="ED510">SUM(IF(EA510:EB510&gt;=EA510, 1))</f>
        <v>2</v>
      </c>
      <c r="EE510" s="58">
        <f t="array" ref="EE510">SUM(IF(EA510:EB510&gt;=EB510, 1))</f>
        <v>1</v>
      </c>
    </row>
    <row r="511" spans="4:135" ht="12" customHeight="1" x14ac:dyDescent="0.25">
      <c r="D511" s="11">
        <v>495</v>
      </c>
      <c r="E511" s="72">
        <v>234.84116013361836</v>
      </c>
      <c r="F511" s="72">
        <v>212.17106299521311</v>
      </c>
      <c r="G511" s="73"/>
      <c r="H511" s="74">
        <v>5.7900556090624473</v>
      </c>
      <c r="I511" s="74">
        <v>5.8112936052453721</v>
      </c>
      <c r="J511" s="73"/>
      <c r="K511" s="72">
        <v>252.01782594856232</v>
      </c>
      <c r="L511" s="72">
        <v>228.7682507956502</v>
      </c>
      <c r="M511" s="73"/>
      <c r="N511" s="74">
        <v>6.6641434696062394</v>
      </c>
      <c r="O511" s="74">
        <v>6.683137018358364</v>
      </c>
      <c r="P511" s="73"/>
      <c r="Q511" s="72">
        <v>2289.195600579666</v>
      </c>
      <c r="R511" s="72">
        <v>1037.4137577015983</v>
      </c>
      <c r="S511" s="73"/>
      <c r="T511" s="74">
        <v>4.8785451423494539</v>
      </c>
      <c r="U511" s="74">
        <v>5.0148401096793496</v>
      </c>
      <c r="V511" s="73"/>
      <c r="W511" s="72">
        <v>7232.3749331733761</v>
      </c>
      <c r="X511" s="72">
        <v>7263.9977333361585</v>
      </c>
      <c r="Y511" s="73"/>
      <c r="Z511" s="74">
        <v>3.0709278702034646</v>
      </c>
      <c r="AA511" s="74">
        <v>3.128100897033105</v>
      </c>
      <c r="AB511" s="73"/>
      <c r="AC511" s="72">
        <v>50019.484102503207</v>
      </c>
      <c r="AD511" s="72">
        <v>49782.555716434574</v>
      </c>
      <c r="AE511" s="73"/>
      <c r="AF511" s="74">
        <v>4.4756435547276121</v>
      </c>
      <c r="AG511" s="74">
        <v>4.5781551990029321</v>
      </c>
      <c r="AH511" s="73"/>
      <c r="AI511" s="72">
        <v>2422234.1928049587</v>
      </c>
      <c r="AJ511" s="72">
        <v>0</v>
      </c>
      <c r="AK511" s="73"/>
      <c r="AL511" s="74">
        <v>-2269.2183552134702</v>
      </c>
      <c r="AM511" s="74">
        <v>0</v>
      </c>
      <c r="AN511" s="73"/>
      <c r="AO511" s="72">
        <v>165689.30231748885</v>
      </c>
      <c r="AP511" s="72">
        <v>0</v>
      </c>
      <c r="AQ511" s="73"/>
      <c r="AR511" s="74">
        <v>-135.35850958887599</v>
      </c>
      <c r="AS511" s="74">
        <v>0</v>
      </c>
      <c r="AT511" s="73"/>
      <c r="AU511" s="72">
        <v>29618015.667273231</v>
      </c>
      <c r="AV511" s="72">
        <v>0</v>
      </c>
      <c r="AW511" s="73"/>
      <c r="AX511" s="74">
        <v>-3224.8322666720082</v>
      </c>
      <c r="AY511" s="74">
        <v>0</v>
      </c>
      <c r="AZ511" s="73"/>
      <c r="BA511" s="72">
        <v>-280678.06346379552</v>
      </c>
      <c r="BB511" s="72">
        <v>0</v>
      </c>
      <c r="BC511" s="73"/>
      <c r="BD511" s="74">
        <v>-507.4570996338727</v>
      </c>
      <c r="BE511" s="74">
        <v>0</v>
      </c>
      <c r="BF511" s="73"/>
      <c r="BG511" s="72">
        <v>3718727.3844536473</v>
      </c>
      <c r="BH511" s="72">
        <v>0</v>
      </c>
      <c r="BI511" s="73"/>
      <c r="BJ511" s="74">
        <v>-1608.9792578993606</v>
      </c>
      <c r="BK511" s="74">
        <v>0</v>
      </c>
      <c r="BL511" s="73"/>
      <c r="BM511" s="72">
        <v>35643988.483385533</v>
      </c>
      <c r="BN511" s="72">
        <v>0</v>
      </c>
      <c r="BO511" s="73"/>
      <c r="BP511" s="74">
        <v>-7745.8454890075882</v>
      </c>
      <c r="BQ511" s="74">
        <v>0</v>
      </c>
      <c r="BS511" s="109">
        <f t="shared" si="201"/>
        <v>115566.27102111533</v>
      </c>
      <c r="BT511" s="109">
        <f t="shared" si="202"/>
        <v>116013.70104191222</v>
      </c>
      <c r="BV511" s="58">
        <f t="array" ref="BV511">SUM(IF(BS511:BT511&gt;=BS511, 1))</f>
        <v>2</v>
      </c>
      <c r="BW511" s="58">
        <f t="array" ref="BW511">SUM(IF(BS511:BT511&gt;=BT511, 1))</f>
        <v>1</v>
      </c>
      <c r="BY511" s="109">
        <f t="shared" si="203"/>
        <v>133030.85156617622</v>
      </c>
      <c r="BZ511" s="109">
        <f t="shared" si="204"/>
        <v>133433.97211637162</v>
      </c>
      <c r="CB511" s="58">
        <f t="array" ref="CB511">SUM(IF(BY511:BZ511&gt;=BY511, 1))</f>
        <v>2</v>
      </c>
      <c r="CC511" s="58">
        <f t="array" ref="CC511">SUM(IF(BY511:BZ511&gt;=BZ511, 1))</f>
        <v>1</v>
      </c>
      <c r="CE511" s="109">
        <f t="shared" si="205"/>
        <v>95281.707246409409</v>
      </c>
      <c r="CF511" s="109">
        <f t="shared" si="206"/>
        <v>99259.388435885397</v>
      </c>
      <c r="CH511" s="58">
        <f t="array" ref="CH511">SUM(IF(CE511:CF511&gt;=CE511, 1))</f>
        <v>2</v>
      </c>
      <c r="CI511" s="58">
        <f t="array" ref="CI511">SUM(IF(CE511:CF511&gt;=CF511, 1))</f>
        <v>1</v>
      </c>
      <c r="CK511" s="109">
        <f t="shared" si="207"/>
        <v>54186.18247089591</v>
      </c>
      <c r="CL511" s="109">
        <f t="shared" si="208"/>
        <v>55298.020207325942</v>
      </c>
      <c r="CN511" s="58">
        <f t="array" ref="CN511">SUM(IF(CK511:CL511&gt;=CK511, 1))</f>
        <v>2</v>
      </c>
      <c r="CO511" s="58">
        <f t="array" ref="CO511">SUM(IF(CK511:CL511&gt;=CL511, 1))</f>
        <v>1</v>
      </c>
      <c r="CQ511" s="109" cm="1">
        <f t="array" ref="CQ511">AF511*WTP-AC511</f>
        <v>39493.38699204904</v>
      </c>
      <c r="CR511" s="109">
        <f t="shared" si="209"/>
        <v>41780.54826362407</v>
      </c>
      <c r="CT511" s="58">
        <f t="array" ref="CT511">SUM(IF(CQ511:CR511&gt;=CQ511, 1))</f>
        <v>2</v>
      </c>
      <c r="CU511" s="58">
        <f t="array" ref="CU511">SUM(IF(CQ511:CR511&gt;=CR511, 1))</f>
        <v>1</v>
      </c>
      <c r="CW511" s="109">
        <f t="shared" si="210"/>
        <v>-47806601.297074363</v>
      </c>
      <c r="CX511" s="109">
        <f t="shared" si="211"/>
        <v>0</v>
      </c>
      <c r="CZ511" s="58">
        <f t="array" ref="CZ511">SUM(IF(CW511:CX511&gt;=CW511, 1))</f>
        <v>2</v>
      </c>
      <c r="DA511" s="58">
        <f t="array" ref="DA511">SUM(IF(CW511:CX511&gt;=CX511, 1))</f>
        <v>1</v>
      </c>
      <c r="DC511" s="109">
        <f t="shared" si="212"/>
        <v>-2872859.4940950088</v>
      </c>
      <c r="DD511" s="109">
        <f t="shared" si="213"/>
        <v>0</v>
      </c>
      <c r="DF511" s="58">
        <f t="array" ref="DF511">SUM(IF(DC511:DD511&gt;=DC511, 1))</f>
        <v>2</v>
      </c>
      <c r="DG511" s="58">
        <f t="array" ref="DG511">SUM(IF(DC511:DD511&gt;=DD511, 1))</f>
        <v>1</v>
      </c>
      <c r="DI511" s="109">
        <f t="shared" si="214"/>
        <v>-94114661.000713393</v>
      </c>
      <c r="DJ511" s="109">
        <f t="shared" si="215"/>
        <v>0</v>
      </c>
      <c r="DL511" s="58">
        <f t="array" ref="DL511">SUM(IF(DI511:DJ511&gt;=DI511, 1))</f>
        <v>2</v>
      </c>
      <c r="DM511" s="58">
        <f t="array" ref="DM511">SUM(IF(DI511:DJ511&gt;=DJ511, 1))</f>
        <v>1</v>
      </c>
      <c r="DO511" s="109">
        <f t="shared" si="216"/>
        <v>-9868463.929213658</v>
      </c>
      <c r="DP511" s="109">
        <f t="shared" si="217"/>
        <v>0</v>
      </c>
      <c r="DR511" s="58">
        <f t="array" ref="DR511">SUM(IF(DO511:DP511&gt;=DO511, 1))</f>
        <v>2</v>
      </c>
      <c r="DS511" s="58">
        <f t="array" ref="DS511">SUM(IF(DO511:DP511&gt;=DP511, 1))</f>
        <v>1</v>
      </c>
      <c r="DU511" s="109">
        <f t="shared" si="218"/>
        <v>-35898312.542440861</v>
      </c>
      <c r="DV511" s="109">
        <f t="shared" si="219"/>
        <v>0</v>
      </c>
      <c r="DX511" s="58">
        <f t="array" ref="DX511">SUM(IF(DU511:DV511&gt;=DU511, 1))</f>
        <v>2</v>
      </c>
      <c r="DY511" s="58">
        <f t="array" ref="DY511">SUM(IF(DU511:DV511&gt;=DV511, 1))</f>
        <v>1</v>
      </c>
      <c r="EA511" s="109">
        <f t="shared" si="220"/>
        <v>-190560898.26353729</v>
      </c>
      <c r="EB511" s="109">
        <f t="shared" si="221"/>
        <v>0</v>
      </c>
      <c r="ED511" s="58">
        <f t="array" ref="ED511">SUM(IF(EA511:EB511&gt;=EA511, 1))</f>
        <v>2</v>
      </c>
      <c r="EE511" s="58">
        <f t="array" ref="EE511">SUM(IF(EA511:EB511&gt;=EB511, 1))</f>
        <v>1</v>
      </c>
    </row>
    <row r="512" spans="4:135" ht="12" customHeight="1" x14ac:dyDescent="0.25">
      <c r="D512" s="11">
        <v>496</v>
      </c>
      <c r="E512" s="72">
        <v>267.20807932241104</v>
      </c>
      <c r="F512" s="72">
        <v>235.84136727728261</v>
      </c>
      <c r="G512" s="73"/>
      <c r="H512" s="74">
        <v>5.8466575942725605</v>
      </c>
      <c r="I512" s="74">
        <v>5.8658740715102402</v>
      </c>
      <c r="J512" s="73"/>
      <c r="K512" s="72">
        <v>286.34498767667037</v>
      </c>
      <c r="L512" s="72">
        <v>254.28403529473005</v>
      </c>
      <c r="M512" s="73"/>
      <c r="N512" s="74">
        <v>6.7716193317827216</v>
      </c>
      <c r="O512" s="74">
        <v>6.7892282517414397</v>
      </c>
      <c r="P512" s="73"/>
      <c r="Q512" s="72">
        <v>1564.1702975939399</v>
      </c>
      <c r="R512" s="72">
        <v>1185.8687449274887</v>
      </c>
      <c r="S512" s="73"/>
      <c r="T512" s="74">
        <v>4.9431374642049928</v>
      </c>
      <c r="U512" s="74">
        <v>5.0093557666403772</v>
      </c>
      <c r="V512" s="73"/>
      <c r="W512" s="72">
        <v>12391.580909260048</v>
      </c>
      <c r="X512" s="72">
        <v>12345.182807839674</v>
      </c>
      <c r="Y512" s="73"/>
      <c r="Z512" s="74">
        <v>3.0515797197037866</v>
      </c>
      <c r="AA512" s="74">
        <v>3.0888827429274275</v>
      </c>
      <c r="AB512" s="73"/>
      <c r="AC512" s="72">
        <v>49658.334274155917</v>
      </c>
      <c r="AD512" s="72">
        <v>49501.752053323042</v>
      </c>
      <c r="AE512" s="73"/>
      <c r="AF512" s="74">
        <v>4.4958387827705044</v>
      </c>
      <c r="AG512" s="74">
        <v>4.6375952529676185</v>
      </c>
      <c r="AH512" s="73"/>
      <c r="AI512" s="72">
        <v>3352895.7910586563</v>
      </c>
      <c r="AJ512" s="72">
        <v>0</v>
      </c>
      <c r="AK512" s="73"/>
      <c r="AL512" s="74">
        <v>-2054.115380550305</v>
      </c>
      <c r="AM512" s="74">
        <v>0</v>
      </c>
      <c r="AN512" s="73"/>
      <c r="AO512" s="72">
        <v>217666.48084415347</v>
      </c>
      <c r="AP512" s="72">
        <v>0</v>
      </c>
      <c r="AQ512" s="73"/>
      <c r="AR512" s="74">
        <v>-119.54952532974609</v>
      </c>
      <c r="AS512" s="74">
        <v>0</v>
      </c>
      <c r="AT512" s="73"/>
      <c r="AU512" s="72">
        <v>8940061.1763527375</v>
      </c>
      <c r="AV512" s="72">
        <v>0</v>
      </c>
      <c r="AW512" s="73"/>
      <c r="AX512" s="74">
        <v>-1564.8777294036829</v>
      </c>
      <c r="AY512" s="74">
        <v>0</v>
      </c>
      <c r="AZ512" s="73"/>
      <c r="BA512" s="72">
        <v>404741.93504111766</v>
      </c>
      <c r="BB512" s="72">
        <v>0</v>
      </c>
      <c r="BC512" s="73"/>
      <c r="BD512" s="74">
        <v>-325.40335359045957</v>
      </c>
      <c r="BE512" s="74">
        <v>0</v>
      </c>
      <c r="BF512" s="73"/>
      <c r="BG512" s="72">
        <v>2397386.2726981854</v>
      </c>
      <c r="BH512" s="72">
        <v>0</v>
      </c>
      <c r="BI512" s="73"/>
      <c r="BJ512" s="74">
        <v>-2170.3933812475225</v>
      </c>
      <c r="BK512" s="74">
        <v>0</v>
      </c>
      <c r="BL512" s="73"/>
      <c r="BM512" s="72">
        <v>15312751.655994851</v>
      </c>
      <c r="BN512" s="72">
        <v>0</v>
      </c>
      <c r="BO512" s="73"/>
      <c r="BP512" s="74">
        <v>-6234.3393701217155</v>
      </c>
      <c r="BQ512" s="74">
        <v>0</v>
      </c>
      <c r="BS512" s="109">
        <f t="shared" si="201"/>
        <v>116665.94380612879</v>
      </c>
      <c r="BT512" s="109">
        <f t="shared" si="202"/>
        <v>117081.64006292752</v>
      </c>
      <c r="BV512" s="58">
        <f t="array" ref="BV512">SUM(IF(BS512:BT512&gt;=BS512, 1))</f>
        <v>2</v>
      </c>
      <c r="BW512" s="58">
        <f t="array" ref="BW512">SUM(IF(BS512:BT512&gt;=BT512, 1))</f>
        <v>1</v>
      </c>
      <c r="BY512" s="109">
        <f t="shared" si="203"/>
        <v>135146.04164797775</v>
      </c>
      <c r="BZ512" s="109">
        <f t="shared" si="204"/>
        <v>135530.28099953406</v>
      </c>
      <c r="CB512" s="58">
        <f t="array" ref="CB512">SUM(IF(BY512:BZ512&gt;=BY512, 1))</f>
        <v>2</v>
      </c>
      <c r="CC512" s="58">
        <f t="array" ref="CC512">SUM(IF(BY512:BZ512&gt;=BZ512, 1))</f>
        <v>1</v>
      </c>
      <c r="CE512" s="109">
        <f t="shared" si="205"/>
        <v>97298.57898650592</v>
      </c>
      <c r="CF512" s="109">
        <f t="shared" si="206"/>
        <v>99001.246587880058</v>
      </c>
      <c r="CH512" s="58">
        <f t="array" ref="CH512">SUM(IF(CE512:CF512&gt;=CE512, 1))</f>
        <v>2</v>
      </c>
      <c r="CI512" s="58">
        <f t="array" ref="CI512">SUM(IF(CE512:CF512&gt;=CF512, 1))</f>
        <v>1</v>
      </c>
      <c r="CK512" s="109">
        <f t="shared" si="207"/>
        <v>48640.013484815689</v>
      </c>
      <c r="CL512" s="109">
        <f t="shared" si="208"/>
        <v>49432.472050708879</v>
      </c>
      <c r="CN512" s="58">
        <f t="array" ref="CN512">SUM(IF(CK512:CL512&gt;=CK512, 1))</f>
        <v>2</v>
      </c>
      <c r="CO512" s="58">
        <f t="array" ref="CO512">SUM(IF(CK512:CL512&gt;=CL512, 1))</f>
        <v>1</v>
      </c>
      <c r="CQ512" s="109" cm="1">
        <f t="array" ref="CQ512">AF512*WTP-AC512</f>
        <v>40258.441381254175</v>
      </c>
      <c r="CR512" s="109">
        <f t="shared" si="209"/>
        <v>43250.15300602933</v>
      </c>
      <c r="CT512" s="58">
        <f t="array" ref="CT512">SUM(IF(CQ512:CR512&gt;=CQ512, 1))</f>
        <v>2</v>
      </c>
      <c r="CU512" s="58">
        <f t="array" ref="CU512">SUM(IF(CQ512:CR512&gt;=CR512, 1))</f>
        <v>1</v>
      </c>
      <c r="CW512" s="109">
        <f t="shared" si="210"/>
        <v>-44435203.402064756</v>
      </c>
      <c r="CX512" s="109">
        <f t="shared" si="211"/>
        <v>0</v>
      </c>
      <c r="CZ512" s="58">
        <f t="array" ref="CZ512">SUM(IF(CW512:CX512&gt;=CW512, 1))</f>
        <v>2</v>
      </c>
      <c r="DA512" s="58">
        <f t="array" ref="DA512">SUM(IF(CW512:CX512&gt;=CX512, 1))</f>
        <v>1</v>
      </c>
      <c r="DC512" s="109">
        <f t="shared" si="212"/>
        <v>-2608656.9874390755</v>
      </c>
      <c r="DD512" s="109">
        <f t="shared" si="213"/>
        <v>0</v>
      </c>
      <c r="DF512" s="58">
        <f t="array" ref="DF512">SUM(IF(DC512:DD512&gt;=DC512, 1))</f>
        <v>2</v>
      </c>
      <c r="DG512" s="58">
        <f t="array" ref="DG512">SUM(IF(DC512:DD512&gt;=DD512, 1))</f>
        <v>1</v>
      </c>
      <c r="DI512" s="109">
        <f t="shared" si="214"/>
        <v>-40237615.764426395</v>
      </c>
      <c r="DJ512" s="109">
        <f t="shared" si="215"/>
        <v>0</v>
      </c>
      <c r="DL512" s="58">
        <f t="array" ref="DL512">SUM(IF(DI512:DJ512&gt;=DI512, 1))</f>
        <v>2</v>
      </c>
      <c r="DM512" s="58">
        <f t="array" ref="DM512">SUM(IF(DI512:DJ512&gt;=DJ512, 1))</f>
        <v>1</v>
      </c>
      <c r="DO512" s="109">
        <f t="shared" si="216"/>
        <v>-6912809.0068503087</v>
      </c>
      <c r="DP512" s="109">
        <f t="shared" si="217"/>
        <v>0</v>
      </c>
      <c r="DR512" s="58">
        <f t="array" ref="DR512">SUM(IF(DO512:DP512&gt;=DO512, 1))</f>
        <v>2</v>
      </c>
      <c r="DS512" s="58">
        <f t="array" ref="DS512">SUM(IF(DO512:DP512&gt;=DP512, 1))</f>
        <v>1</v>
      </c>
      <c r="DU512" s="109">
        <f t="shared" si="218"/>
        <v>-45805253.897648633</v>
      </c>
      <c r="DV512" s="109">
        <f t="shared" si="219"/>
        <v>0</v>
      </c>
      <c r="DX512" s="58">
        <f t="array" ref="DX512">SUM(IF(DU512:DV512&gt;=DU512, 1))</f>
        <v>2</v>
      </c>
      <c r="DY512" s="58">
        <f t="array" ref="DY512">SUM(IF(DU512:DV512&gt;=DV512, 1))</f>
        <v>1</v>
      </c>
      <c r="EA512" s="109">
        <f t="shared" si="220"/>
        <v>-139999539.05842915</v>
      </c>
      <c r="EB512" s="109">
        <f t="shared" si="221"/>
        <v>0</v>
      </c>
      <c r="ED512" s="58">
        <f t="array" ref="ED512">SUM(IF(EA512:EB512&gt;=EA512, 1))</f>
        <v>2</v>
      </c>
      <c r="EE512" s="58">
        <f t="array" ref="EE512">SUM(IF(EA512:EB512&gt;=EB512, 1))</f>
        <v>1</v>
      </c>
    </row>
    <row r="513" spans="4:135" ht="12" customHeight="1" x14ac:dyDescent="0.25">
      <c r="D513" s="11">
        <v>497</v>
      </c>
      <c r="E513" s="72">
        <v>247.13232958883788</v>
      </c>
      <c r="F513" s="72">
        <v>221.67771811116836</v>
      </c>
      <c r="G513" s="73"/>
      <c r="H513" s="74">
        <v>5.7782610946899871</v>
      </c>
      <c r="I513" s="74">
        <v>5.7960016159702477</v>
      </c>
      <c r="J513" s="73"/>
      <c r="K513" s="72">
        <v>265.05086872165811</v>
      </c>
      <c r="L513" s="72">
        <v>238.98533770697242</v>
      </c>
      <c r="M513" s="73"/>
      <c r="N513" s="74">
        <v>6.7218429391832233</v>
      </c>
      <c r="O513" s="74">
        <v>6.737579946057803</v>
      </c>
      <c r="P513" s="73"/>
      <c r="Q513" s="72">
        <v>2810.5784487601431</v>
      </c>
      <c r="R513" s="72">
        <v>1679.6380837921586</v>
      </c>
      <c r="S513" s="73"/>
      <c r="T513" s="74">
        <v>4.6611520139218641</v>
      </c>
      <c r="U513" s="74">
        <v>4.7603345525856167</v>
      </c>
      <c r="V513" s="73"/>
      <c r="W513" s="72">
        <v>14267.521427010652</v>
      </c>
      <c r="X513" s="72">
        <v>14259.230545606439</v>
      </c>
      <c r="Y513" s="73"/>
      <c r="Z513" s="74">
        <v>3.1416348712329913</v>
      </c>
      <c r="AA513" s="74">
        <v>3.183196866281389</v>
      </c>
      <c r="AB513" s="73"/>
      <c r="AC513" s="72">
        <v>49922.864701969171</v>
      </c>
      <c r="AD513" s="72">
        <v>49754.585930596462</v>
      </c>
      <c r="AE513" s="73"/>
      <c r="AF513" s="74">
        <v>4.9185675528687938</v>
      </c>
      <c r="AG513" s="74">
        <v>5.0453432704145458</v>
      </c>
      <c r="AH513" s="73"/>
      <c r="AI513" s="72">
        <v>2720952.1522728717</v>
      </c>
      <c r="AJ513" s="72">
        <v>0</v>
      </c>
      <c r="AK513" s="73"/>
      <c r="AL513" s="74">
        <v>-1896.3600997137357</v>
      </c>
      <c r="AM513" s="74">
        <v>0</v>
      </c>
      <c r="AN513" s="73"/>
      <c r="AO513" s="72">
        <v>184743.93229771531</v>
      </c>
      <c r="AP513" s="72">
        <v>0</v>
      </c>
      <c r="AQ513" s="73"/>
      <c r="AR513" s="74">
        <v>-111.53874175699724</v>
      </c>
      <c r="AS513" s="74">
        <v>0</v>
      </c>
      <c r="AT513" s="73"/>
      <c r="AU513" s="72">
        <v>26764269.850363694</v>
      </c>
      <c r="AV513" s="72">
        <v>0</v>
      </c>
      <c r="AW513" s="73"/>
      <c r="AX513" s="74">
        <v>-2347.2044251563625</v>
      </c>
      <c r="AY513" s="74">
        <v>0</v>
      </c>
      <c r="AZ513" s="73"/>
      <c r="BA513" s="72">
        <v>74777.518966190357</v>
      </c>
      <c r="BB513" s="72">
        <v>0</v>
      </c>
      <c r="BC513" s="73"/>
      <c r="BD513" s="74">
        <v>-374.8579579759745</v>
      </c>
      <c r="BE513" s="74">
        <v>0</v>
      </c>
      <c r="BF513" s="73"/>
      <c r="BG513" s="72">
        <v>2644877.3986235396</v>
      </c>
      <c r="BH513" s="72">
        <v>0</v>
      </c>
      <c r="BI513" s="73"/>
      <c r="BJ513" s="74">
        <v>-1992.5640489042778</v>
      </c>
      <c r="BK513" s="74">
        <v>0</v>
      </c>
      <c r="BL513" s="73"/>
      <c r="BM513" s="72">
        <v>32389620.852524012</v>
      </c>
      <c r="BN513" s="72">
        <v>0</v>
      </c>
      <c r="BO513" s="73"/>
      <c r="BP513" s="74">
        <v>-6722.5252735073482</v>
      </c>
      <c r="BQ513" s="74">
        <v>0</v>
      </c>
      <c r="BS513" s="109">
        <f t="shared" si="201"/>
        <v>115318.0895642109</v>
      </c>
      <c r="BT513" s="109">
        <f t="shared" si="202"/>
        <v>115698.35460129379</v>
      </c>
      <c r="BV513" s="58">
        <f t="array" ref="BV513">SUM(IF(BS513:BT513&gt;=BS513, 1))</f>
        <v>2</v>
      </c>
      <c r="BW513" s="58">
        <f t="array" ref="BW513">SUM(IF(BS513:BT513&gt;=BT513, 1))</f>
        <v>1</v>
      </c>
      <c r="BY513" s="109">
        <f t="shared" si="203"/>
        <v>134171.80791494282</v>
      </c>
      <c r="BZ513" s="109">
        <f t="shared" si="204"/>
        <v>134512.61358344907</v>
      </c>
      <c r="CB513" s="58">
        <f t="array" ref="CB513">SUM(IF(BY513:BZ513&gt;=BY513, 1))</f>
        <v>2</v>
      </c>
      <c r="CC513" s="58">
        <f t="array" ref="CC513">SUM(IF(BY513:BZ513&gt;=BZ513, 1))</f>
        <v>1</v>
      </c>
      <c r="CE513" s="109">
        <f t="shared" si="205"/>
        <v>90412.461829677137</v>
      </c>
      <c r="CF513" s="109">
        <f t="shared" si="206"/>
        <v>93527.052967920172</v>
      </c>
      <c r="CH513" s="58">
        <f t="array" ref="CH513">SUM(IF(CE513:CF513&gt;=CE513, 1))</f>
        <v>2</v>
      </c>
      <c r="CI513" s="58">
        <f t="array" ref="CI513">SUM(IF(CE513:CF513&gt;=CF513, 1))</f>
        <v>1</v>
      </c>
      <c r="CK513" s="109">
        <f t="shared" si="207"/>
        <v>48565.175997649174</v>
      </c>
      <c r="CL513" s="109">
        <f t="shared" si="208"/>
        <v>49404.706780021341</v>
      </c>
      <c r="CN513" s="58">
        <f t="array" ref="CN513">SUM(IF(CK513:CL513&gt;=CK513, 1))</f>
        <v>2</v>
      </c>
      <c r="CO513" s="58">
        <f t="array" ref="CO513">SUM(IF(CK513:CL513&gt;=CL513, 1))</f>
        <v>1</v>
      </c>
      <c r="CQ513" s="109" cm="1">
        <f t="array" ref="CQ513">AF513*WTP-AC513</f>
        <v>48448.486355406698</v>
      </c>
      <c r="CR513" s="109">
        <f t="shared" si="209"/>
        <v>51152.279477694457</v>
      </c>
      <c r="CT513" s="58">
        <f t="array" ref="CT513">SUM(IF(CQ513:CR513&gt;=CQ513, 1))</f>
        <v>2</v>
      </c>
      <c r="CU513" s="58">
        <f t="array" ref="CU513">SUM(IF(CQ513:CR513&gt;=CR513, 1))</f>
        <v>1</v>
      </c>
      <c r="CW513" s="109">
        <f t="shared" si="210"/>
        <v>-40648154.146547586</v>
      </c>
      <c r="CX513" s="109">
        <f t="shared" si="211"/>
        <v>0</v>
      </c>
      <c r="CZ513" s="58">
        <f t="array" ref="CZ513">SUM(IF(CW513:CX513&gt;=CW513, 1))</f>
        <v>2</v>
      </c>
      <c r="DA513" s="58">
        <f t="array" ref="DA513">SUM(IF(CW513:CX513&gt;=CX513, 1))</f>
        <v>1</v>
      </c>
      <c r="DC513" s="109">
        <f t="shared" si="212"/>
        <v>-2415518.7674376601</v>
      </c>
      <c r="DD513" s="109">
        <f t="shared" si="213"/>
        <v>0</v>
      </c>
      <c r="DF513" s="58">
        <f t="array" ref="DF513">SUM(IF(DC513:DD513&gt;=DC513, 1))</f>
        <v>2</v>
      </c>
      <c r="DG513" s="58">
        <f t="array" ref="DG513">SUM(IF(DC513:DD513&gt;=DD513, 1))</f>
        <v>1</v>
      </c>
      <c r="DI513" s="109">
        <f t="shared" si="214"/>
        <v>-73708358.353490949</v>
      </c>
      <c r="DJ513" s="109">
        <f t="shared" si="215"/>
        <v>0</v>
      </c>
      <c r="DL513" s="58">
        <f t="array" ref="DL513">SUM(IF(DI513:DJ513&gt;=DI513, 1))</f>
        <v>2</v>
      </c>
      <c r="DM513" s="58">
        <f t="array" ref="DM513">SUM(IF(DI513:DJ513&gt;=DJ513, 1))</f>
        <v>1</v>
      </c>
      <c r="DO513" s="109">
        <f t="shared" si="216"/>
        <v>-7571936.6784856804</v>
      </c>
      <c r="DP513" s="109">
        <f t="shared" si="217"/>
        <v>0</v>
      </c>
      <c r="DR513" s="58">
        <f t="array" ref="DR513">SUM(IF(DO513:DP513&gt;=DO513, 1))</f>
        <v>2</v>
      </c>
      <c r="DS513" s="58">
        <f t="array" ref="DS513">SUM(IF(DO513:DP513&gt;=DP513, 1))</f>
        <v>1</v>
      </c>
      <c r="DU513" s="109">
        <f t="shared" si="218"/>
        <v>-42496158.376709096</v>
      </c>
      <c r="DV513" s="109">
        <f t="shared" si="219"/>
        <v>0</v>
      </c>
      <c r="DX513" s="58">
        <f t="array" ref="DX513">SUM(IF(DU513:DV513&gt;=DU513, 1))</f>
        <v>2</v>
      </c>
      <c r="DY513" s="58">
        <f t="array" ref="DY513">SUM(IF(DU513:DV513&gt;=DV513, 1))</f>
        <v>1</v>
      </c>
      <c r="EA513" s="109">
        <f t="shared" si="220"/>
        <v>-166840126.32267097</v>
      </c>
      <c r="EB513" s="109">
        <f t="shared" si="221"/>
        <v>0</v>
      </c>
      <c r="ED513" s="58">
        <f t="array" ref="ED513">SUM(IF(EA513:EB513&gt;=EA513, 1))</f>
        <v>2</v>
      </c>
      <c r="EE513" s="58">
        <f t="array" ref="EE513">SUM(IF(EA513:EB513&gt;=EB513, 1))</f>
        <v>1</v>
      </c>
    </row>
    <row r="514" spans="4:135" ht="12" customHeight="1" x14ac:dyDescent="0.25">
      <c r="D514" s="11">
        <v>498</v>
      </c>
      <c r="E514" s="72">
        <v>205.36932336049853</v>
      </c>
      <c r="F514" s="72">
        <v>183.79584604234293</v>
      </c>
      <c r="G514" s="73"/>
      <c r="H514" s="74">
        <v>5.8137473942800977</v>
      </c>
      <c r="I514" s="74">
        <v>5.8272861158936848</v>
      </c>
      <c r="J514" s="73"/>
      <c r="K514" s="72">
        <v>220.30075304292342</v>
      </c>
      <c r="L514" s="72">
        <v>198.21533835172264</v>
      </c>
      <c r="M514" s="73"/>
      <c r="N514" s="74">
        <v>6.6492683377573609</v>
      </c>
      <c r="O514" s="74">
        <v>6.6606713100256094</v>
      </c>
      <c r="P514" s="73"/>
      <c r="Q514" s="72">
        <v>2948.398284332914</v>
      </c>
      <c r="R514" s="72">
        <v>1427.005916610568</v>
      </c>
      <c r="S514" s="73"/>
      <c r="T514" s="74">
        <v>4.8311792232478679</v>
      </c>
      <c r="U514" s="74">
        <v>4.9287936714765621</v>
      </c>
      <c r="V514" s="73"/>
      <c r="W514" s="72">
        <v>12877.011857025753</v>
      </c>
      <c r="X514" s="72">
        <v>12759.02222468722</v>
      </c>
      <c r="Y514" s="73"/>
      <c r="Z514" s="74">
        <v>2.941569731650294</v>
      </c>
      <c r="AA514" s="74">
        <v>2.9741778904548841</v>
      </c>
      <c r="AB514" s="73"/>
      <c r="AC514" s="72">
        <v>49293.269094648109</v>
      </c>
      <c r="AD514" s="72">
        <v>49048.776068327323</v>
      </c>
      <c r="AE514" s="73"/>
      <c r="AF514" s="74">
        <v>4.3472792965683889</v>
      </c>
      <c r="AG514" s="74">
        <v>4.4249993331575954</v>
      </c>
      <c r="AH514" s="73"/>
      <c r="AI514" s="72">
        <v>2295026.1385312034</v>
      </c>
      <c r="AJ514" s="72">
        <v>0</v>
      </c>
      <c r="AK514" s="73"/>
      <c r="AL514" s="74">
        <v>-1440.2740702042893</v>
      </c>
      <c r="AM514" s="74">
        <v>0</v>
      </c>
      <c r="AN514" s="73"/>
      <c r="AO514" s="72">
        <v>146500.98310297428</v>
      </c>
      <c r="AP514" s="72">
        <v>0</v>
      </c>
      <c r="AQ514" s="73"/>
      <c r="AR514" s="74">
        <v>-75.640266254992781</v>
      </c>
      <c r="AS514" s="74">
        <v>0</v>
      </c>
      <c r="AT514" s="73"/>
      <c r="AU514" s="72">
        <v>34640049.371731639</v>
      </c>
      <c r="AV514" s="72">
        <v>0</v>
      </c>
      <c r="AW514" s="73"/>
      <c r="AX514" s="74">
        <v>-2222.5491449641677</v>
      </c>
      <c r="AY514" s="74">
        <v>0</v>
      </c>
      <c r="AZ514" s="73"/>
      <c r="BA514" s="72">
        <v>1047417.4610823094</v>
      </c>
      <c r="BB514" s="72">
        <v>0</v>
      </c>
      <c r="BC514" s="73"/>
      <c r="BD514" s="74">
        <v>-289.46911884323646</v>
      </c>
      <c r="BE514" s="74">
        <v>0</v>
      </c>
      <c r="BF514" s="73"/>
      <c r="BG514" s="72">
        <v>3783635.92000004</v>
      </c>
      <c r="BH514" s="72">
        <v>0</v>
      </c>
      <c r="BI514" s="73"/>
      <c r="BJ514" s="74">
        <v>-1202.7513690996379</v>
      </c>
      <c r="BK514" s="74">
        <v>0</v>
      </c>
      <c r="BL514" s="73"/>
      <c r="BM514" s="72">
        <v>41912629.874448165</v>
      </c>
      <c r="BN514" s="72">
        <v>0</v>
      </c>
      <c r="BO514" s="73"/>
      <c r="BP514" s="74">
        <v>-5230.6839693663242</v>
      </c>
      <c r="BQ514" s="74">
        <v>0</v>
      </c>
      <c r="BS514" s="109">
        <f t="shared" si="201"/>
        <v>116069.57856224146</v>
      </c>
      <c r="BT514" s="109">
        <f t="shared" si="202"/>
        <v>116361.92647183136</v>
      </c>
      <c r="BV514" s="58">
        <f t="array" ref="BV514">SUM(IF(BS514:BT514&gt;=BS514, 1))</f>
        <v>2</v>
      </c>
      <c r="BW514" s="58">
        <f t="array" ref="BW514">SUM(IF(BS514:BT514&gt;=BT514, 1))</f>
        <v>1</v>
      </c>
      <c r="BY514" s="109">
        <f t="shared" si="203"/>
        <v>132765.06600210431</v>
      </c>
      <c r="BZ514" s="109">
        <f t="shared" si="204"/>
        <v>133015.21086216046</v>
      </c>
      <c r="CB514" s="58">
        <f t="array" ref="CB514">SUM(IF(BY514:BZ514&gt;=BY514, 1))</f>
        <v>2</v>
      </c>
      <c r="CC514" s="58">
        <f t="array" ref="CC514">SUM(IF(BY514:BZ514&gt;=BZ514, 1))</f>
        <v>1</v>
      </c>
      <c r="CE514" s="109">
        <f t="shared" si="205"/>
        <v>93675.186180624441</v>
      </c>
      <c r="CF514" s="109">
        <f t="shared" si="206"/>
        <v>97148.867512920682</v>
      </c>
      <c r="CH514" s="58">
        <f t="array" ref="CH514">SUM(IF(CE514:CF514&gt;=CE514, 1))</f>
        <v>2</v>
      </c>
      <c r="CI514" s="58">
        <f t="array" ref="CI514">SUM(IF(CE514:CF514&gt;=CF514, 1))</f>
        <v>1</v>
      </c>
      <c r="CK514" s="109">
        <f t="shared" si="207"/>
        <v>45954.382775980128</v>
      </c>
      <c r="CL514" s="109">
        <f t="shared" si="208"/>
        <v>46724.535584410463</v>
      </c>
      <c r="CN514" s="58">
        <f t="array" ref="CN514">SUM(IF(CK514:CL514&gt;=CK514, 1))</f>
        <v>2</v>
      </c>
      <c r="CO514" s="58">
        <f t="array" ref="CO514">SUM(IF(CK514:CL514&gt;=CL514, 1))</f>
        <v>1</v>
      </c>
      <c r="CQ514" s="109" cm="1">
        <f t="array" ref="CQ514">AF514*WTP-AC514</f>
        <v>37652.31683671967</v>
      </c>
      <c r="CR514" s="109">
        <f t="shared" si="209"/>
        <v>39451.210594824588</v>
      </c>
      <c r="CT514" s="58">
        <f t="array" ref="CT514">SUM(IF(CQ514:CR514&gt;=CQ514, 1))</f>
        <v>2</v>
      </c>
      <c r="CU514" s="58">
        <f t="array" ref="CU514">SUM(IF(CQ514:CR514&gt;=CR514, 1))</f>
        <v>1</v>
      </c>
      <c r="CW514" s="109">
        <f t="shared" si="210"/>
        <v>-31100507.542616989</v>
      </c>
      <c r="CX514" s="109">
        <f t="shared" si="211"/>
        <v>0</v>
      </c>
      <c r="CZ514" s="58">
        <f t="array" ref="CZ514">SUM(IF(CW514:CX514&gt;=CW514, 1))</f>
        <v>2</v>
      </c>
      <c r="DA514" s="58">
        <f t="array" ref="DA514">SUM(IF(CW514:CX514&gt;=CX514, 1))</f>
        <v>1</v>
      </c>
      <c r="DC514" s="109">
        <f t="shared" si="212"/>
        <v>-1659306.3082028299</v>
      </c>
      <c r="DD514" s="109">
        <f t="shared" si="213"/>
        <v>0</v>
      </c>
      <c r="DF514" s="58">
        <f t="array" ref="DF514">SUM(IF(DC514:DD514&gt;=DC514, 1))</f>
        <v>2</v>
      </c>
      <c r="DG514" s="58">
        <f t="array" ref="DG514">SUM(IF(DC514:DD514&gt;=DD514, 1))</f>
        <v>1</v>
      </c>
      <c r="DI514" s="109">
        <f t="shared" si="214"/>
        <v>-79091032.271014988</v>
      </c>
      <c r="DJ514" s="109">
        <f t="shared" si="215"/>
        <v>0</v>
      </c>
      <c r="DL514" s="58">
        <f t="array" ref="DL514">SUM(IF(DI514:DJ514&gt;=DI514, 1))</f>
        <v>2</v>
      </c>
      <c r="DM514" s="58">
        <f t="array" ref="DM514">SUM(IF(DI514:DJ514&gt;=DJ514, 1))</f>
        <v>1</v>
      </c>
      <c r="DO514" s="109">
        <f t="shared" si="216"/>
        <v>-6836799.8379470389</v>
      </c>
      <c r="DP514" s="109">
        <f t="shared" si="217"/>
        <v>0</v>
      </c>
      <c r="DR514" s="58">
        <f t="array" ref="DR514">SUM(IF(DO514:DP514&gt;=DO514, 1))</f>
        <v>2</v>
      </c>
      <c r="DS514" s="58">
        <f t="array" ref="DS514">SUM(IF(DO514:DP514&gt;=DP514, 1))</f>
        <v>1</v>
      </c>
      <c r="DU514" s="109">
        <f t="shared" si="218"/>
        <v>-27838663.301992796</v>
      </c>
      <c r="DV514" s="109">
        <f t="shared" si="219"/>
        <v>0</v>
      </c>
      <c r="DX514" s="58">
        <f t="array" ref="DX514">SUM(IF(DU514:DV514&gt;=DU514, 1))</f>
        <v>2</v>
      </c>
      <c r="DY514" s="58">
        <f t="array" ref="DY514">SUM(IF(DU514:DV514&gt;=DV514, 1))</f>
        <v>1</v>
      </c>
      <c r="EA514" s="109">
        <f t="shared" si="220"/>
        <v>-146526309.26177466</v>
      </c>
      <c r="EB514" s="109">
        <f t="shared" si="221"/>
        <v>0</v>
      </c>
      <c r="ED514" s="58">
        <f t="array" ref="ED514">SUM(IF(EA514:EB514&gt;=EA514, 1))</f>
        <v>2</v>
      </c>
      <c r="EE514" s="58">
        <f t="array" ref="EE514">SUM(IF(EA514:EB514&gt;=EB514, 1))</f>
        <v>1</v>
      </c>
    </row>
    <row r="515" spans="4:135" ht="12" customHeight="1" x14ac:dyDescent="0.25">
      <c r="D515" s="11">
        <v>499</v>
      </c>
      <c r="E515" s="72">
        <v>217.6213104183268</v>
      </c>
      <c r="F515" s="72">
        <v>200.17186794634293</v>
      </c>
      <c r="G515" s="73"/>
      <c r="H515" s="74">
        <v>5.9195199946490291</v>
      </c>
      <c r="I515" s="74">
        <v>5.9363784218381586</v>
      </c>
      <c r="J515" s="73"/>
      <c r="K515" s="72">
        <v>233.73764369968919</v>
      </c>
      <c r="L515" s="72">
        <v>215.87871242797524</v>
      </c>
      <c r="M515" s="73"/>
      <c r="N515" s="74">
        <v>6.7173702787474152</v>
      </c>
      <c r="O515" s="74">
        <v>6.7320855160335231</v>
      </c>
      <c r="P515" s="73"/>
      <c r="Q515" s="72">
        <v>3174.5542339144699</v>
      </c>
      <c r="R515" s="72">
        <v>1777.3952415587021</v>
      </c>
      <c r="S515" s="73"/>
      <c r="T515" s="74">
        <v>4.830368840163783</v>
      </c>
      <c r="U515" s="74">
        <v>4.9273045816315966</v>
      </c>
      <c r="V515" s="73"/>
      <c r="W515" s="72">
        <v>12868.337283397424</v>
      </c>
      <c r="X515" s="72">
        <v>12872.219528044998</v>
      </c>
      <c r="Y515" s="73"/>
      <c r="Z515" s="74">
        <v>3.0877967582299162</v>
      </c>
      <c r="AA515" s="74">
        <v>3.128281470814283</v>
      </c>
      <c r="AB515" s="73"/>
      <c r="AC515" s="72">
        <v>50487.356765082543</v>
      </c>
      <c r="AD515" s="72">
        <v>50410.944871336695</v>
      </c>
      <c r="AE515" s="73"/>
      <c r="AF515" s="74">
        <v>4.4560421023333401</v>
      </c>
      <c r="AG515" s="74">
        <v>4.5258186454345184</v>
      </c>
      <c r="AH515" s="73"/>
      <c r="AI515" s="72">
        <v>1887918.9803090477</v>
      </c>
      <c r="AJ515" s="72">
        <v>0</v>
      </c>
      <c r="AK515" s="73"/>
      <c r="AL515" s="74">
        <v>-1823.9748759661691</v>
      </c>
      <c r="AM515" s="74">
        <v>0</v>
      </c>
      <c r="AN515" s="73"/>
      <c r="AO515" s="72">
        <v>117437.09505854447</v>
      </c>
      <c r="AP515" s="72">
        <v>0</v>
      </c>
      <c r="AQ515" s="73"/>
      <c r="AR515" s="74">
        <v>-96.764733213055422</v>
      </c>
      <c r="AS515" s="74">
        <v>0</v>
      </c>
      <c r="AT515" s="73"/>
      <c r="AU515" s="72">
        <v>31919744.695691369</v>
      </c>
      <c r="AV515" s="72">
        <v>0</v>
      </c>
      <c r="AW515" s="73"/>
      <c r="AX515" s="74">
        <v>-2214.6113194483632</v>
      </c>
      <c r="AY515" s="74">
        <v>0</v>
      </c>
      <c r="AZ515" s="73"/>
      <c r="BA515" s="72">
        <v>-33979.204292087248</v>
      </c>
      <c r="BB515" s="72">
        <v>0</v>
      </c>
      <c r="BC515" s="73"/>
      <c r="BD515" s="74">
        <v>-354.34096624243114</v>
      </c>
      <c r="BE515" s="74">
        <v>0</v>
      </c>
      <c r="BF515" s="73"/>
      <c r="BG515" s="72">
        <v>1191537.529739772</v>
      </c>
      <c r="BH515" s="72">
        <v>0</v>
      </c>
      <c r="BI515" s="73"/>
      <c r="BJ515" s="74">
        <v>-1088.0684370563251</v>
      </c>
      <c r="BK515" s="74">
        <v>0</v>
      </c>
      <c r="BL515" s="73"/>
      <c r="BM515" s="72">
        <v>35082659.096506648</v>
      </c>
      <c r="BN515" s="72">
        <v>0</v>
      </c>
      <c r="BO515" s="73"/>
      <c r="BP515" s="74">
        <v>-5577.7603319263435</v>
      </c>
      <c r="BQ515" s="74">
        <v>0</v>
      </c>
      <c r="BS515" s="109">
        <f t="shared" si="201"/>
        <v>118172.77858256226</v>
      </c>
      <c r="BT515" s="109">
        <f t="shared" si="202"/>
        <v>118527.39656881684</v>
      </c>
      <c r="BV515" s="58">
        <f t="array" ref="BV515">SUM(IF(BS515:BT515&gt;=BS515, 1))</f>
        <v>2</v>
      </c>
      <c r="BW515" s="58">
        <f t="array" ref="BW515">SUM(IF(BS515:BT515&gt;=BT515, 1))</f>
        <v>1</v>
      </c>
      <c r="BY515" s="109">
        <f t="shared" si="203"/>
        <v>134113.66793124861</v>
      </c>
      <c r="BZ515" s="109">
        <f t="shared" si="204"/>
        <v>134425.83160824247</v>
      </c>
      <c r="CB515" s="58">
        <f t="array" ref="CB515">SUM(IF(BY515:BZ515&gt;=BY515, 1))</f>
        <v>2</v>
      </c>
      <c r="CC515" s="58">
        <f t="array" ref="CC515">SUM(IF(BY515:BZ515&gt;=BZ515, 1))</f>
        <v>1</v>
      </c>
      <c r="CE515" s="109">
        <f t="shared" si="205"/>
        <v>93432.822569361189</v>
      </c>
      <c r="CF515" s="109">
        <f t="shared" si="206"/>
        <v>96768.69639107323</v>
      </c>
      <c r="CH515" s="58">
        <f t="array" ref="CH515">SUM(IF(CE515:CF515&gt;=CE515, 1))</f>
        <v>2</v>
      </c>
      <c r="CI515" s="58">
        <f t="array" ref="CI515">SUM(IF(CE515:CF515&gt;=CF515, 1))</f>
        <v>1</v>
      </c>
      <c r="CK515" s="109">
        <f t="shared" si="207"/>
        <v>48887.597881200898</v>
      </c>
      <c r="CL515" s="109">
        <f t="shared" si="208"/>
        <v>49693.409888240662</v>
      </c>
      <c r="CN515" s="58">
        <f t="array" ref="CN515">SUM(IF(CK515:CL515&gt;=CK515, 1))</f>
        <v>2</v>
      </c>
      <c r="CO515" s="58">
        <f t="array" ref="CO515">SUM(IF(CK515:CL515&gt;=CL515, 1))</f>
        <v>1</v>
      </c>
      <c r="CQ515" s="109" cm="1">
        <f t="array" ref="CQ515">AF515*WTP-AC515</f>
        <v>38633.485281584261</v>
      </c>
      <c r="CR515" s="109">
        <f t="shared" si="209"/>
        <v>40105.428037353668</v>
      </c>
      <c r="CT515" s="58">
        <f t="array" ref="CT515">SUM(IF(CQ515:CR515&gt;=CQ515, 1))</f>
        <v>2</v>
      </c>
      <c r="CU515" s="58">
        <f t="array" ref="CU515">SUM(IF(CQ515:CR515&gt;=CR515, 1))</f>
        <v>1</v>
      </c>
      <c r="CW515" s="109">
        <f t="shared" si="210"/>
        <v>-38367416.499632426</v>
      </c>
      <c r="CX515" s="109">
        <f t="shared" si="211"/>
        <v>0</v>
      </c>
      <c r="CZ515" s="58">
        <f t="array" ref="CZ515">SUM(IF(CW515:CX515&gt;=CW515, 1))</f>
        <v>2</v>
      </c>
      <c r="DA515" s="58">
        <f t="array" ref="DA515">SUM(IF(CW515:CX515&gt;=CX515, 1))</f>
        <v>1</v>
      </c>
      <c r="DC515" s="109">
        <f t="shared" si="212"/>
        <v>-2052731.759319653</v>
      </c>
      <c r="DD515" s="109">
        <f t="shared" si="213"/>
        <v>0</v>
      </c>
      <c r="DF515" s="58">
        <f t="array" ref="DF515">SUM(IF(DC515:DD515&gt;=DC515, 1))</f>
        <v>2</v>
      </c>
      <c r="DG515" s="58">
        <f t="array" ref="DG515">SUM(IF(DC515:DD515&gt;=DD515, 1))</f>
        <v>1</v>
      </c>
      <c r="DI515" s="109">
        <f t="shared" si="214"/>
        <v>-76211971.084658638</v>
      </c>
      <c r="DJ515" s="109">
        <f t="shared" si="215"/>
        <v>0</v>
      </c>
      <c r="DL515" s="58">
        <f t="array" ref="DL515">SUM(IF(DI515:DJ515&gt;=DI515, 1))</f>
        <v>2</v>
      </c>
      <c r="DM515" s="58">
        <f t="array" ref="DM515">SUM(IF(DI515:DJ515&gt;=DJ515, 1))</f>
        <v>1</v>
      </c>
      <c r="DO515" s="109">
        <f t="shared" si="216"/>
        <v>-7052840.1205565361</v>
      </c>
      <c r="DP515" s="109">
        <f t="shared" si="217"/>
        <v>0</v>
      </c>
      <c r="DR515" s="58">
        <f t="array" ref="DR515">SUM(IF(DO515:DP515&gt;=DO515, 1))</f>
        <v>2</v>
      </c>
      <c r="DS515" s="58">
        <f t="array" ref="DS515">SUM(IF(DO515:DP515&gt;=DP515, 1))</f>
        <v>1</v>
      </c>
      <c r="DU515" s="109">
        <f t="shared" si="218"/>
        <v>-22952906.270866275</v>
      </c>
      <c r="DV515" s="109">
        <f t="shared" si="219"/>
        <v>0</v>
      </c>
      <c r="DX515" s="58">
        <f t="array" ref="DX515">SUM(IF(DU515:DV515&gt;=DU515, 1))</f>
        <v>2</v>
      </c>
      <c r="DY515" s="58">
        <f t="array" ref="DY515">SUM(IF(DU515:DV515&gt;=DV515, 1))</f>
        <v>1</v>
      </c>
      <c r="EA515" s="109">
        <f t="shared" si="220"/>
        <v>-146637865.73503351</v>
      </c>
      <c r="EB515" s="109">
        <f t="shared" si="221"/>
        <v>0</v>
      </c>
      <c r="ED515" s="58">
        <f t="array" ref="ED515">SUM(IF(EA515:EB515&gt;=EA515, 1))</f>
        <v>2</v>
      </c>
      <c r="EE515" s="58">
        <f t="array" ref="EE515">SUM(IF(EA515:EB515&gt;=EB515, 1))</f>
        <v>1</v>
      </c>
    </row>
    <row r="516" spans="4:135" ht="12" customHeight="1" x14ac:dyDescent="0.25">
      <c r="D516" s="11">
        <v>500</v>
      </c>
      <c r="E516" s="72">
        <v>295.8667135012418</v>
      </c>
      <c r="F516" s="72">
        <v>265.37616909961724</v>
      </c>
      <c r="G516" s="73"/>
      <c r="H516" s="74">
        <v>5.785844726752905</v>
      </c>
      <c r="I516" s="74">
        <v>5.8022695398490987</v>
      </c>
      <c r="J516" s="73"/>
      <c r="K516" s="72">
        <v>317.254601346556</v>
      </c>
      <c r="L516" s="72">
        <v>286.00215347790254</v>
      </c>
      <c r="M516" s="73"/>
      <c r="N516" s="74">
        <v>6.7453061984656602</v>
      </c>
      <c r="O516" s="74">
        <v>6.7588917627262566</v>
      </c>
      <c r="P516" s="73"/>
      <c r="Q516" s="72">
        <v>2815.6347661718414</v>
      </c>
      <c r="R516" s="72">
        <v>1379.120727930981</v>
      </c>
      <c r="S516" s="73"/>
      <c r="T516" s="74">
        <v>4.8221108572307321</v>
      </c>
      <c r="U516" s="74">
        <v>4.9411870859201548</v>
      </c>
      <c r="V516" s="73"/>
      <c r="W516" s="72">
        <v>14882.38344529909</v>
      </c>
      <c r="X516" s="72">
        <v>14844.343972236344</v>
      </c>
      <c r="Y516" s="73"/>
      <c r="Z516" s="74">
        <v>3.1034066990632789</v>
      </c>
      <c r="AA516" s="74">
        <v>3.1458469411701229</v>
      </c>
      <c r="AB516" s="73"/>
      <c r="AC516" s="72">
        <v>50330.196724389585</v>
      </c>
      <c r="AD516" s="72">
        <v>49983.479478749701</v>
      </c>
      <c r="AE516" s="73"/>
      <c r="AF516" s="74">
        <v>4.8724302549547813</v>
      </c>
      <c r="AG516" s="74">
        <v>5.010093915131538</v>
      </c>
      <c r="AH516" s="73"/>
      <c r="AI516" s="72">
        <v>3275915.471223807</v>
      </c>
      <c r="AJ516" s="72">
        <v>0</v>
      </c>
      <c r="AK516" s="73"/>
      <c r="AL516" s="74">
        <v>-1764.6880496798708</v>
      </c>
      <c r="AM516" s="74">
        <v>0</v>
      </c>
      <c r="AN516" s="73"/>
      <c r="AO516" s="72">
        <v>208724.25934983473</v>
      </c>
      <c r="AP516" s="72">
        <v>0</v>
      </c>
      <c r="AQ516" s="73"/>
      <c r="AR516" s="74">
        <v>-90.733271520364596</v>
      </c>
      <c r="AS516" s="74">
        <v>0</v>
      </c>
      <c r="AT516" s="73"/>
      <c r="AU516" s="72">
        <v>33246406.142458763</v>
      </c>
      <c r="AV516" s="72">
        <v>0</v>
      </c>
      <c r="AW516" s="73"/>
      <c r="AX516" s="74">
        <v>-2755.8774613639143</v>
      </c>
      <c r="AY516" s="74">
        <v>0</v>
      </c>
      <c r="AZ516" s="73"/>
      <c r="BA516" s="72">
        <v>333370.35247534042</v>
      </c>
      <c r="BB516" s="72">
        <v>0</v>
      </c>
      <c r="BC516" s="73"/>
      <c r="BD516" s="74">
        <v>-371.93781435824445</v>
      </c>
      <c r="BE516" s="74">
        <v>0</v>
      </c>
      <c r="BF516" s="73"/>
      <c r="BG516" s="72">
        <v>5244637.3263776237</v>
      </c>
      <c r="BH516" s="72">
        <v>0</v>
      </c>
      <c r="BI516" s="73"/>
      <c r="BJ516" s="74">
        <v>-2082.3768639379432</v>
      </c>
      <c r="BK516" s="74">
        <v>0</v>
      </c>
      <c r="BL516" s="73"/>
      <c r="BM516" s="72">
        <v>42309053.551885366</v>
      </c>
      <c r="BN516" s="72">
        <v>0</v>
      </c>
      <c r="BO516" s="73"/>
      <c r="BP516" s="74">
        <v>-7065.613460860337</v>
      </c>
      <c r="BQ516" s="74">
        <v>0</v>
      </c>
      <c r="BS516" s="109">
        <f t="shared" si="201"/>
        <v>115421.02782155687</v>
      </c>
      <c r="BT516" s="109">
        <f t="shared" si="202"/>
        <v>115780.01462788235</v>
      </c>
      <c r="BV516" s="58">
        <f t="array" ref="BV516">SUM(IF(BS516:BT516&gt;=BS516, 1))</f>
        <v>2</v>
      </c>
      <c r="BW516" s="58">
        <f t="array" ref="BW516">SUM(IF(BS516:BT516&gt;=BT516, 1))</f>
        <v>1</v>
      </c>
      <c r="BY516" s="109">
        <f t="shared" si="203"/>
        <v>134588.86936796663</v>
      </c>
      <c r="BZ516" s="109">
        <f t="shared" si="204"/>
        <v>134891.83310104723</v>
      </c>
      <c r="CB516" s="58">
        <f t="array" ref="CB516">SUM(IF(BY516:BZ516&gt;=BY516, 1))</f>
        <v>2</v>
      </c>
      <c r="CC516" s="58">
        <f t="array" ref="CC516">SUM(IF(BY516:BZ516&gt;=BZ516, 1))</f>
        <v>1</v>
      </c>
      <c r="CE516" s="109">
        <f t="shared" si="205"/>
        <v>93626.582378442792</v>
      </c>
      <c r="CF516" s="109">
        <f t="shared" si="206"/>
        <v>97444.620990472118</v>
      </c>
      <c r="CH516" s="58">
        <f t="array" ref="CH516">SUM(IF(CE516:CF516&gt;=CE516, 1))</f>
        <v>2</v>
      </c>
      <c r="CI516" s="58">
        <f t="array" ref="CI516">SUM(IF(CE516:CF516&gt;=CF516, 1))</f>
        <v>1</v>
      </c>
      <c r="CK516" s="109">
        <f t="shared" si="207"/>
        <v>47185.750535966486</v>
      </c>
      <c r="CL516" s="109">
        <f t="shared" si="208"/>
        <v>48072.594851166112</v>
      </c>
      <c r="CN516" s="58">
        <f t="array" ref="CN516">SUM(IF(CK516:CL516&gt;=CK516, 1))</f>
        <v>2</v>
      </c>
      <c r="CO516" s="58">
        <f t="array" ref="CO516">SUM(IF(CK516:CL516&gt;=CL516, 1))</f>
        <v>1</v>
      </c>
      <c r="CQ516" s="109" cm="1">
        <f t="array" ref="CQ516">AF516*WTP-AC516</f>
        <v>47118.408374706043</v>
      </c>
      <c r="CR516" s="109">
        <f t="shared" si="209"/>
        <v>50218.398823881063</v>
      </c>
      <c r="CT516" s="58">
        <f t="array" ref="CT516">SUM(IF(CQ516:CR516&gt;=CQ516, 1))</f>
        <v>2</v>
      </c>
      <c r="CU516" s="58">
        <f t="array" ref="CU516">SUM(IF(CQ516:CR516&gt;=CR516, 1))</f>
        <v>1</v>
      </c>
      <c r="CW516" s="109">
        <f t="shared" si="210"/>
        <v>-38569676.464821227</v>
      </c>
      <c r="CX516" s="109">
        <f t="shared" si="211"/>
        <v>0</v>
      </c>
      <c r="CZ516" s="58">
        <f t="array" ref="CZ516">SUM(IF(CW516:CX516&gt;=CW516, 1))</f>
        <v>2</v>
      </c>
      <c r="DA516" s="58">
        <f t="array" ref="DA516">SUM(IF(CW516:CX516&gt;=CX516, 1))</f>
        <v>1</v>
      </c>
      <c r="DC516" s="109">
        <f t="shared" si="212"/>
        <v>-2023389.6897571266</v>
      </c>
      <c r="DD516" s="109">
        <f t="shared" si="213"/>
        <v>0</v>
      </c>
      <c r="DF516" s="58">
        <f t="array" ref="DF516">SUM(IF(DC516:DD516&gt;=DC516, 1))</f>
        <v>2</v>
      </c>
      <c r="DG516" s="58">
        <f t="array" ref="DG516">SUM(IF(DC516:DD516&gt;=DD516, 1))</f>
        <v>1</v>
      </c>
      <c r="DI516" s="109">
        <f t="shared" si="214"/>
        <v>-88363955.369737044</v>
      </c>
      <c r="DJ516" s="109">
        <f t="shared" si="215"/>
        <v>0</v>
      </c>
      <c r="DL516" s="58">
        <f t="array" ref="DL516">SUM(IF(DI516:DJ516&gt;=DI516, 1))</f>
        <v>2</v>
      </c>
      <c r="DM516" s="58">
        <f t="array" ref="DM516">SUM(IF(DI516:DJ516&gt;=DJ516, 1))</f>
        <v>1</v>
      </c>
      <c r="DO516" s="109">
        <f t="shared" si="216"/>
        <v>-7772126.6396402298</v>
      </c>
      <c r="DP516" s="109">
        <f t="shared" si="217"/>
        <v>0</v>
      </c>
      <c r="DR516" s="58">
        <f t="array" ref="DR516">SUM(IF(DO516:DP516&gt;=DO516, 1))</f>
        <v>2</v>
      </c>
      <c r="DS516" s="58">
        <f t="array" ref="DS516">SUM(IF(DO516:DP516&gt;=DP516, 1))</f>
        <v>1</v>
      </c>
      <c r="DU516" s="109">
        <f t="shared" si="218"/>
        <v>-46892174.605136484</v>
      </c>
      <c r="DV516" s="109">
        <f t="shared" si="219"/>
        <v>0</v>
      </c>
      <c r="DX516" s="58">
        <f t="array" ref="DX516">SUM(IF(DU516:DV516&gt;=DU516, 1))</f>
        <v>2</v>
      </c>
      <c r="DY516" s="58">
        <f t="array" ref="DY516">SUM(IF(DU516:DV516&gt;=DV516, 1))</f>
        <v>1</v>
      </c>
      <c r="EA516" s="109">
        <f t="shared" si="220"/>
        <v>-183621322.76909211</v>
      </c>
      <c r="EB516" s="109">
        <f t="shared" si="221"/>
        <v>0</v>
      </c>
      <c r="ED516" s="58">
        <f t="array" ref="ED516">SUM(IF(EA516:EB516&gt;=EA516, 1))</f>
        <v>2</v>
      </c>
      <c r="EE516" s="58">
        <f t="array" ref="EE516">SUM(IF(EA516:EB516&gt;=EB516, 1))</f>
        <v>1</v>
      </c>
    </row>
    <row r="517" spans="4:135" ht="12" customHeight="1" x14ac:dyDescent="0.25">
      <c r="D517" s="11">
        <v>501</v>
      </c>
      <c r="E517" s="72">
        <v>282.29120171568593</v>
      </c>
      <c r="F517" s="72">
        <v>249.89589675841606</v>
      </c>
      <c r="G517" s="73"/>
      <c r="H517" s="74">
        <v>5.8373716144298768</v>
      </c>
      <c r="I517" s="74">
        <v>5.8520499819944236</v>
      </c>
      <c r="J517" s="73"/>
      <c r="K517" s="72">
        <v>302.63202914105995</v>
      </c>
      <c r="L517" s="72">
        <v>269.4761677531626</v>
      </c>
      <c r="M517" s="73"/>
      <c r="N517" s="74">
        <v>6.7075294960341232</v>
      </c>
      <c r="O517" s="74">
        <v>6.7199204578787031</v>
      </c>
      <c r="P517" s="73"/>
      <c r="Q517" s="72">
        <v>2312.2355642657553</v>
      </c>
      <c r="R517" s="72">
        <v>1129.5093210046305</v>
      </c>
      <c r="S517" s="73"/>
      <c r="T517" s="74">
        <v>4.9889095397145384</v>
      </c>
      <c r="U517" s="74">
        <v>5.0935168307820504</v>
      </c>
      <c r="V517" s="73"/>
      <c r="W517" s="72">
        <v>13775.937217566074</v>
      </c>
      <c r="X517" s="72">
        <v>13724.948856839654</v>
      </c>
      <c r="Y517" s="73"/>
      <c r="Z517" s="74">
        <v>2.8928675671830422</v>
      </c>
      <c r="AA517" s="74">
        <v>2.9374499427794305</v>
      </c>
      <c r="AB517" s="73"/>
      <c r="AC517" s="72">
        <v>49539.601664400754</v>
      </c>
      <c r="AD517" s="72">
        <v>49227.840978508248</v>
      </c>
      <c r="AE517" s="73"/>
      <c r="AF517" s="74">
        <v>4.5931161961965001</v>
      </c>
      <c r="AG517" s="74">
        <v>4.7195624056784862</v>
      </c>
      <c r="AH517" s="73"/>
      <c r="AI517" s="72">
        <v>3502495.9595107408</v>
      </c>
      <c r="AJ517" s="72">
        <v>0</v>
      </c>
      <c r="AK517" s="73"/>
      <c r="AL517" s="74">
        <v>-1586.9868536459439</v>
      </c>
      <c r="AM517" s="74">
        <v>0</v>
      </c>
      <c r="AN517" s="73"/>
      <c r="AO517" s="72">
        <v>229397.20867102762</v>
      </c>
      <c r="AP517" s="72">
        <v>0</v>
      </c>
      <c r="AQ517" s="73"/>
      <c r="AR517" s="74">
        <v>-85.730001903476207</v>
      </c>
      <c r="AS517" s="74">
        <v>0</v>
      </c>
      <c r="AT517" s="73"/>
      <c r="AU517" s="72">
        <v>26986454.215056989</v>
      </c>
      <c r="AV517" s="72">
        <v>0</v>
      </c>
      <c r="AW517" s="73"/>
      <c r="AX517" s="74">
        <v>-2386.8413227821552</v>
      </c>
      <c r="AY517" s="74">
        <v>0</v>
      </c>
      <c r="AZ517" s="73"/>
      <c r="BA517" s="72">
        <v>457794.35578693921</v>
      </c>
      <c r="BB517" s="72">
        <v>0</v>
      </c>
      <c r="BC517" s="73"/>
      <c r="BD517" s="74">
        <v>-400.27880137406663</v>
      </c>
      <c r="BE517" s="74">
        <v>0</v>
      </c>
      <c r="BF517" s="73"/>
      <c r="BG517" s="72">
        <v>4877988.4112646561</v>
      </c>
      <c r="BH517" s="72">
        <v>0</v>
      </c>
      <c r="BI517" s="73"/>
      <c r="BJ517" s="74">
        <v>-1978.4506912271218</v>
      </c>
      <c r="BK517" s="74">
        <v>0</v>
      </c>
      <c r="BL517" s="73"/>
      <c r="BM517" s="72">
        <v>36054130.150290355</v>
      </c>
      <c r="BN517" s="72">
        <v>0</v>
      </c>
      <c r="BO517" s="73"/>
      <c r="BP517" s="74">
        <v>-6438.2876709327638</v>
      </c>
      <c r="BQ517" s="74">
        <v>0</v>
      </c>
      <c r="BS517" s="109">
        <f t="shared" si="201"/>
        <v>116465.14108688185</v>
      </c>
      <c r="BT517" s="109">
        <f t="shared" si="202"/>
        <v>116791.10374313005</v>
      </c>
      <c r="BV517" s="58">
        <f t="array" ref="BV517">SUM(IF(BS517:BT517&gt;=BS517, 1))</f>
        <v>2</v>
      </c>
      <c r="BW517" s="58">
        <f t="array" ref="BW517">SUM(IF(BS517:BT517&gt;=BT517, 1))</f>
        <v>1</v>
      </c>
      <c r="BY517" s="109">
        <f t="shared" si="203"/>
        <v>133847.95789154139</v>
      </c>
      <c r="BZ517" s="109">
        <f t="shared" si="204"/>
        <v>134128.9329898209</v>
      </c>
      <c r="CB517" s="58">
        <f t="array" ref="CB517">SUM(IF(BY517:BZ517&gt;=BY517, 1))</f>
        <v>2</v>
      </c>
      <c r="CC517" s="58">
        <f t="array" ref="CC517">SUM(IF(BY517:BZ517&gt;=BZ517, 1))</f>
        <v>1</v>
      </c>
      <c r="CE517" s="109">
        <f t="shared" si="205"/>
        <v>97465.955230025022</v>
      </c>
      <c r="CF517" s="109">
        <f t="shared" si="206"/>
        <v>100740.82729463637</v>
      </c>
      <c r="CH517" s="58">
        <f t="array" ref="CH517">SUM(IF(CE517:CF517&gt;=CE517, 1))</f>
        <v>2</v>
      </c>
      <c r="CI517" s="58">
        <f t="array" ref="CI517">SUM(IF(CE517:CF517&gt;=CF517, 1))</f>
        <v>1</v>
      </c>
      <c r="CK517" s="109">
        <f t="shared" si="207"/>
        <v>44081.414126094765</v>
      </c>
      <c r="CL517" s="109">
        <f t="shared" si="208"/>
        <v>45024.049998748953</v>
      </c>
      <c r="CN517" s="58">
        <f t="array" ref="CN517">SUM(IF(CK517:CL517&gt;=CK517, 1))</f>
        <v>2</v>
      </c>
      <c r="CO517" s="58">
        <f t="array" ref="CO517">SUM(IF(CK517:CL517&gt;=CL517, 1))</f>
        <v>1</v>
      </c>
      <c r="CQ517" s="109" cm="1">
        <f t="array" ref="CQ517">AF517*WTP-AC517</f>
        <v>42322.722259529248</v>
      </c>
      <c r="CR517" s="109">
        <f t="shared" si="209"/>
        <v>45163.407135061469</v>
      </c>
      <c r="CT517" s="58">
        <f t="array" ref="CT517">SUM(IF(CQ517:CR517&gt;=CQ517, 1))</f>
        <v>2</v>
      </c>
      <c r="CU517" s="58">
        <f t="array" ref="CU517">SUM(IF(CQ517:CR517&gt;=CR517, 1))</f>
        <v>1</v>
      </c>
      <c r="CW517" s="109">
        <f t="shared" si="210"/>
        <v>-35242233.032429621</v>
      </c>
      <c r="CX517" s="109">
        <f t="shared" si="211"/>
        <v>0</v>
      </c>
      <c r="CZ517" s="58">
        <f t="array" ref="CZ517">SUM(IF(CW517:CX517&gt;=CW517, 1))</f>
        <v>2</v>
      </c>
      <c r="DA517" s="58">
        <f t="array" ref="DA517">SUM(IF(CW517:CX517&gt;=CX517, 1))</f>
        <v>1</v>
      </c>
      <c r="DC517" s="109">
        <f t="shared" si="212"/>
        <v>-1943997.2467405517</v>
      </c>
      <c r="DD517" s="109">
        <f t="shared" si="213"/>
        <v>0</v>
      </c>
      <c r="DF517" s="58">
        <f t="array" ref="DF517">SUM(IF(DC517:DD517&gt;=DC517, 1))</f>
        <v>2</v>
      </c>
      <c r="DG517" s="58">
        <f t="array" ref="DG517">SUM(IF(DC517:DD517&gt;=DD517, 1))</f>
        <v>1</v>
      </c>
      <c r="DI517" s="109">
        <f t="shared" si="214"/>
        <v>-74723280.670700088</v>
      </c>
      <c r="DJ517" s="109">
        <f t="shared" si="215"/>
        <v>0</v>
      </c>
      <c r="DL517" s="58">
        <f t="array" ref="DL517">SUM(IF(DI517:DJ517&gt;=DI517, 1))</f>
        <v>2</v>
      </c>
      <c r="DM517" s="58">
        <f t="array" ref="DM517">SUM(IF(DI517:DJ517&gt;=DJ517, 1))</f>
        <v>1</v>
      </c>
      <c r="DO517" s="109">
        <f t="shared" si="216"/>
        <v>-8463370.3832682725</v>
      </c>
      <c r="DP517" s="109">
        <f t="shared" si="217"/>
        <v>0</v>
      </c>
      <c r="DR517" s="58">
        <f t="array" ref="DR517">SUM(IF(DO517:DP517&gt;=DO517, 1))</f>
        <v>2</v>
      </c>
      <c r="DS517" s="58">
        <f t="array" ref="DS517">SUM(IF(DO517:DP517&gt;=DP517, 1))</f>
        <v>1</v>
      </c>
      <c r="DU517" s="109">
        <f t="shared" si="218"/>
        <v>-44447002.235807091</v>
      </c>
      <c r="DV517" s="109">
        <f t="shared" si="219"/>
        <v>0</v>
      </c>
      <c r="DX517" s="58">
        <f t="array" ref="DX517">SUM(IF(DU517:DV517&gt;=DU517, 1))</f>
        <v>2</v>
      </c>
      <c r="DY517" s="58">
        <f t="array" ref="DY517">SUM(IF(DU517:DV517&gt;=DV517, 1))</f>
        <v>1</v>
      </c>
      <c r="EA517" s="109">
        <f t="shared" si="220"/>
        <v>-164819883.56894565</v>
      </c>
      <c r="EB517" s="109">
        <f t="shared" si="221"/>
        <v>0</v>
      </c>
      <c r="ED517" s="58">
        <f t="array" ref="ED517">SUM(IF(EA517:EB517&gt;=EA517, 1))</f>
        <v>2</v>
      </c>
      <c r="EE517" s="58">
        <f t="array" ref="EE517">SUM(IF(EA517:EB517&gt;=EB517, 1))</f>
        <v>1</v>
      </c>
    </row>
    <row r="518" spans="4:135" ht="12" customHeight="1" x14ac:dyDescent="0.25">
      <c r="D518" s="11">
        <v>502</v>
      </c>
      <c r="E518" s="72">
        <v>286.62545670245976</v>
      </c>
      <c r="F518" s="72">
        <v>255.47454383112287</v>
      </c>
      <c r="G518" s="73"/>
      <c r="H518" s="74">
        <v>5.864889830369882</v>
      </c>
      <c r="I518" s="74">
        <v>5.8795591858354532</v>
      </c>
      <c r="J518" s="73"/>
      <c r="K518" s="72">
        <v>307.27517642551459</v>
      </c>
      <c r="L518" s="72">
        <v>275.39971956087192</v>
      </c>
      <c r="M518" s="73"/>
      <c r="N518" s="74">
        <v>6.7164795569894267</v>
      </c>
      <c r="O518" s="74">
        <v>6.7293043638303569</v>
      </c>
      <c r="P518" s="73"/>
      <c r="Q518" s="72">
        <v>2022.3399965111978</v>
      </c>
      <c r="R518" s="72">
        <v>1210.1757084419551</v>
      </c>
      <c r="S518" s="73"/>
      <c r="T518" s="74">
        <v>4.7270281724695993</v>
      </c>
      <c r="U518" s="74">
        <v>4.7836461784770172</v>
      </c>
      <c r="V518" s="73"/>
      <c r="W518" s="72">
        <v>15120.169002185572</v>
      </c>
      <c r="X518" s="72">
        <v>15080.221812936345</v>
      </c>
      <c r="Y518" s="73"/>
      <c r="Z518" s="74">
        <v>3.2148884626387444</v>
      </c>
      <c r="AA518" s="74">
        <v>3.2595297010477973</v>
      </c>
      <c r="AB518" s="73"/>
      <c r="AC518" s="72">
        <v>52445.81987858034</v>
      </c>
      <c r="AD518" s="72">
        <v>52048.599957822575</v>
      </c>
      <c r="AE518" s="73"/>
      <c r="AF518" s="74">
        <v>4.9577717775832921</v>
      </c>
      <c r="AG518" s="74">
        <v>5.051808439466754</v>
      </c>
      <c r="AH518" s="73"/>
      <c r="AI518" s="72">
        <v>3348673.3004242382</v>
      </c>
      <c r="AJ518" s="72">
        <v>0</v>
      </c>
      <c r="AK518" s="73"/>
      <c r="AL518" s="74">
        <v>-1576.9322454492362</v>
      </c>
      <c r="AM518" s="74">
        <v>0</v>
      </c>
      <c r="AN518" s="73"/>
      <c r="AO518" s="72">
        <v>213233.91645278936</v>
      </c>
      <c r="AP518" s="72">
        <v>0</v>
      </c>
      <c r="AQ518" s="73"/>
      <c r="AR518" s="74">
        <v>-85.792771600255321</v>
      </c>
      <c r="AS518" s="74">
        <v>0</v>
      </c>
      <c r="AT518" s="73"/>
      <c r="AU518" s="72">
        <v>19346160.115389086</v>
      </c>
      <c r="AV518" s="72">
        <v>0</v>
      </c>
      <c r="AW518" s="73"/>
      <c r="AX518" s="74">
        <v>-1348.6692603014124</v>
      </c>
      <c r="AY518" s="74">
        <v>0</v>
      </c>
      <c r="AZ518" s="73"/>
      <c r="BA518" s="72">
        <v>362274.54772019834</v>
      </c>
      <c r="BB518" s="72">
        <v>0</v>
      </c>
      <c r="BC518" s="73"/>
      <c r="BD518" s="74">
        <v>-404.84411439841011</v>
      </c>
      <c r="BE518" s="74">
        <v>0</v>
      </c>
      <c r="BF518" s="73"/>
      <c r="BG518" s="72">
        <v>6412598.3216720158</v>
      </c>
      <c r="BH518" s="72">
        <v>0</v>
      </c>
      <c r="BI518" s="73"/>
      <c r="BJ518" s="74">
        <v>-1518.0994422917245</v>
      </c>
      <c r="BK518" s="74">
        <v>0</v>
      </c>
      <c r="BL518" s="73"/>
      <c r="BM518" s="72">
        <v>29682940.201658327</v>
      </c>
      <c r="BN518" s="72">
        <v>0</v>
      </c>
      <c r="BO518" s="73"/>
      <c r="BP518" s="74">
        <v>-4934.3378340410381</v>
      </c>
      <c r="BQ518" s="74">
        <v>0</v>
      </c>
      <c r="BS518" s="109">
        <f t="shared" si="201"/>
        <v>117011.17115069518</v>
      </c>
      <c r="BT518" s="109">
        <f t="shared" si="202"/>
        <v>117335.70917287795</v>
      </c>
      <c r="BV518" s="58">
        <f t="array" ref="BV518">SUM(IF(BS518:BT518&gt;=BS518, 1))</f>
        <v>2</v>
      </c>
      <c r="BW518" s="58">
        <f t="array" ref="BW518">SUM(IF(BS518:BT518&gt;=BT518, 1))</f>
        <v>1</v>
      </c>
      <c r="BY518" s="109">
        <f t="shared" si="203"/>
        <v>134022.31596336301</v>
      </c>
      <c r="BZ518" s="109">
        <f t="shared" si="204"/>
        <v>134310.68755704627</v>
      </c>
      <c r="CB518" s="58">
        <f t="array" ref="CB518">SUM(IF(BY518:BZ518&gt;=BY518, 1))</f>
        <v>2</v>
      </c>
      <c r="CC518" s="58">
        <f t="array" ref="CC518">SUM(IF(BY518:BZ518&gt;=BZ518, 1))</f>
        <v>1</v>
      </c>
      <c r="CE518" s="109">
        <f t="shared" si="205"/>
        <v>92518.223452880775</v>
      </c>
      <c r="CF518" s="109">
        <f t="shared" si="206"/>
        <v>94462.747861098396</v>
      </c>
      <c r="CH518" s="58">
        <f t="array" ref="CH518">SUM(IF(CE518:CF518&gt;=CE518, 1))</f>
        <v>2</v>
      </c>
      <c r="CI518" s="58">
        <f t="array" ref="CI518">SUM(IF(CE518:CF518&gt;=CF518, 1))</f>
        <v>1</v>
      </c>
      <c r="CK518" s="109">
        <f t="shared" si="207"/>
        <v>49177.600250589312</v>
      </c>
      <c r="CL518" s="109">
        <f t="shared" si="208"/>
        <v>50110.372208019602</v>
      </c>
      <c r="CN518" s="58">
        <f t="array" ref="CN518">SUM(IF(CK518:CL518&gt;=CK518, 1))</f>
        <v>2</v>
      </c>
      <c r="CO518" s="58">
        <f t="array" ref="CO518">SUM(IF(CK518:CL518&gt;=CL518, 1))</f>
        <v>1</v>
      </c>
      <c r="CQ518" s="109" cm="1">
        <f t="array" ref="CQ518">AF518*WTP-AC518</f>
        <v>46709.6156730855</v>
      </c>
      <c r="CR518" s="109">
        <f t="shared" si="209"/>
        <v>48987.568831512501</v>
      </c>
      <c r="CT518" s="58">
        <f t="array" ref="CT518">SUM(IF(CQ518:CR518&gt;=CQ518, 1))</f>
        <v>2</v>
      </c>
      <c r="CU518" s="58">
        <f t="array" ref="CU518">SUM(IF(CQ518:CR518&gt;=CR518, 1))</f>
        <v>1</v>
      </c>
      <c r="CW518" s="109">
        <f t="shared" si="210"/>
        <v>-34887318.209408961</v>
      </c>
      <c r="CX518" s="109">
        <f t="shared" si="211"/>
        <v>0</v>
      </c>
      <c r="CZ518" s="58">
        <f t="array" ref="CZ518">SUM(IF(CW518:CX518&gt;=CW518, 1))</f>
        <v>2</v>
      </c>
      <c r="DA518" s="58">
        <f t="array" ref="DA518">SUM(IF(CW518:CX518&gt;=CX518, 1))</f>
        <v>1</v>
      </c>
      <c r="DC518" s="109">
        <f t="shared" si="212"/>
        <v>-1929089.3484578959</v>
      </c>
      <c r="DD518" s="109">
        <f t="shared" si="213"/>
        <v>0</v>
      </c>
      <c r="DF518" s="58">
        <f t="array" ref="DF518">SUM(IF(DC518:DD518&gt;=DC518, 1))</f>
        <v>2</v>
      </c>
      <c r="DG518" s="58">
        <f t="array" ref="DG518">SUM(IF(DC518:DD518&gt;=DD518, 1))</f>
        <v>1</v>
      </c>
      <c r="DI518" s="109">
        <f t="shared" si="214"/>
        <v>-46319545.321417332</v>
      </c>
      <c r="DJ518" s="109">
        <f t="shared" si="215"/>
        <v>0</v>
      </c>
      <c r="DL518" s="58">
        <f t="array" ref="DL518">SUM(IF(DI518:DJ518&gt;=DI518, 1))</f>
        <v>2</v>
      </c>
      <c r="DM518" s="58">
        <f t="array" ref="DM518">SUM(IF(DI518:DJ518&gt;=DJ518, 1))</f>
        <v>1</v>
      </c>
      <c r="DO518" s="109">
        <f t="shared" si="216"/>
        <v>-8459156.835688401</v>
      </c>
      <c r="DP518" s="109">
        <f t="shared" si="217"/>
        <v>0</v>
      </c>
      <c r="DR518" s="58">
        <f t="array" ref="DR518">SUM(IF(DO518:DP518&gt;=DO518, 1))</f>
        <v>2</v>
      </c>
      <c r="DS518" s="58">
        <f t="array" ref="DS518">SUM(IF(DO518:DP518&gt;=DP518, 1))</f>
        <v>1</v>
      </c>
      <c r="DU518" s="109">
        <f t="shared" si="218"/>
        <v>-36774587.167506509</v>
      </c>
      <c r="DV518" s="109">
        <f t="shared" si="219"/>
        <v>0</v>
      </c>
      <c r="DX518" s="58">
        <f t="array" ref="DX518">SUM(IF(DU518:DV518&gt;=DU518, 1))</f>
        <v>2</v>
      </c>
      <c r="DY518" s="58">
        <f t="array" ref="DY518">SUM(IF(DU518:DV518&gt;=DV518, 1))</f>
        <v>1</v>
      </c>
      <c r="EA518" s="109">
        <f t="shared" si="220"/>
        <v>-128369696.88247909</v>
      </c>
      <c r="EB518" s="109">
        <f t="shared" si="221"/>
        <v>0</v>
      </c>
      <c r="ED518" s="58">
        <f t="array" ref="ED518">SUM(IF(EA518:EB518&gt;=EA518, 1))</f>
        <v>2</v>
      </c>
      <c r="EE518" s="58">
        <f t="array" ref="EE518">SUM(IF(EA518:EB518&gt;=EB518, 1))</f>
        <v>1</v>
      </c>
    </row>
    <row r="519" spans="4:135" ht="12" customHeight="1" x14ac:dyDescent="0.25">
      <c r="D519" s="11">
        <v>503</v>
      </c>
      <c r="E519" s="72">
        <v>245.81743221939774</v>
      </c>
      <c r="F519" s="72">
        <v>224.21885886910169</v>
      </c>
      <c r="G519" s="73"/>
      <c r="H519" s="74">
        <v>5.8072365266449157</v>
      </c>
      <c r="I519" s="74">
        <v>5.8275243662757017</v>
      </c>
      <c r="J519" s="73"/>
      <c r="K519" s="72">
        <v>263.91864819005752</v>
      </c>
      <c r="L519" s="72">
        <v>241.79275792122917</v>
      </c>
      <c r="M519" s="73"/>
      <c r="N519" s="74">
        <v>6.7161790893788984</v>
      </c>
      <c r="O519" s="74">
        <v>6.734271026057451</v>
      </c>
      <c r="P519" s="73"/>
      <c r="Q519" s="72">
        <v>2156.3193517312857</v>
      </c>
      <c r="R519" s="72">
        <v>1512.7452606619047</v>
      </c>
      <c r="S519" s="73"/>
      <c r="T519" s="74">
        <v>4.7165358846708729</v>
      </c>
      <c r="U519" s="74">
        <v>4.777295515051736</v>
      </c>
      <c r="V519" s="73"/>
      <c r="W519" s="72">
        <v>10777.258246314484</v>
      </c>
      <c r="X519" s="72">
        <v>10748.632937702881</v>
      </c>
      <c r="Y519" s="73"/>
      <c r="Z519" s="74">
        <v>2.8469949137625519</v>
      </c>
      <c r="AA519" s="74">
        <v>2.8760511773494235</v>
      </c>
      <c r="AB519" s="73"/>
      <c r="AC519" s="72">
        <v>50319.910023140401</v>
      </c>
      <c r="AD519" s="72">
        <v>50066.890043602871</v>
      </c>
      <c r="AE519" s="73"/>
      <c r="AF519" s="74">
        <v>4.4993233980199747</v>
      </c>
      <c r="AG519" s="74">
        <v>4.6686902399799353</v>
      </c>
      <c r="AH519" s="73"/>
      <c r="AI519" s="72">
        <v>2309419.2969681374</v>
      </c>
      <c r="AJ519" s="72">
        <v>0</v>
      </c>
      <c r="AK519" s="73"/>
      <c r="AL519" s="74">
        <v>-2169.2695891180147</v>
      </c>
      <c r="AM519" s="74">
        <v>0</v>
      </c>
      <c r="AN519" s="73"/>
      <c r="AO519" s="72">
        <v>151038.30111864262</v>
      </c>
      <c r="AP519" s="72">
        <v>0</v>
      </c>
      <c r="AQ519" s="73"/>
      <c r="AR519" s="74">
        <v>-123.50126239776108</v>
      </c>
      <c r="AS519" s="74">
        <v>0</v>
      </c>
      <c r="AT519" s="73"/>
      <c r="AU519" s="72">
        <v>14733954.34657665</v>
      </c>
      <c r="AV519" s="72">
        <v>0</v>
      </c>
      <c r="AW519" s="73"/>
      <c r="AX519" s="74">
        <v>-1391.0280612119875</v>
      </c>
      <c r="AY519" s="74">
        <v>0</v>
      </c>
      <c r="AZ519" s="73"/>
      <c r="BA519" s="72">
        <v>244663.01757449866</v>
      </c>
      <c r="BB519" s="72">
        <v>0</v>
      </c>
      <c r="BC519" s="73"/>
      <c r="BD519" s="74">
        <v>-248.34642745903773</v>
      </c>
      <c r="BE519" s="74">
        <v>0</v>
      </c>
      <c r="BF519" s="73"/>
      <c r="BG519" s="72">
        <v>4022745.3303453019</v>
      </c>
      <c r="BH519" s="72">
        <v>0</v>
      </c>
      <c r="BI519" s="73"/>
      <c r="BJ519" s="74">
        <v>-2692.7504849817706</v>
      </c>
      <c r="BK519" s="74">
        <v>0</v>
      </c>
      <c r="BL519" s="73"/>
      <c r="BM519" s="72">
        <v>21461820.292583231</v>
      </c>
      <c r="BN519" s="72">
        <v>0</v>
      </c>
      <c r="BO519" s="73"/>
      <c r="BP519" s="74">
        <v>-6624.8958251685717</v>
      </c>
      <c r="BQ519" s="74">
        <v>0</v>
      </c>
      <c r="BS519" s="109">
        <f t="shared" si="201"/>
        <v>115898.91310067892</v>
      </c>
      <c r="BT519" s="109">
        <f t="shared" si="202"/>
        <v>116326.26846664493</v>
      </c>
      <c r="BV519" s="58">
        <f t="array" ref="BV519">SUM(IF(BS519:BT519&gt;=BS519, 1))</f>
        <v>2</v>
      </c>
      <c r="BW519" s="58">
        <f t="array" ref="BW519">SUM(IF(BS519:BT519&gt;=BT519, 1))</f>
        <v>1</v>
      </c>
      <c r="BY519" s="109">
        <f t="shared" si="203"/>
        <v>134059.66313938791</v>
      </c>
      <c r="BZ519" s="109">
        <f t="shared" si="204"/>
        <v>134443.62776322779</v>
      </c>
      <c r="CB519" s="58">
        <f t="array" ref="CB519">SUM(IF(BY519:BZ519&gt;=BY519, 1))</f>
        <v>2</v>
      </c>
      <c r="CC519" s="58">
        <f t="array" ref="CC519">SUM(IF(BY519:BZ519&gt;=BZ519, 1))</f>
        <v>1</v>
      </c>
      <c r="CE519" s="109">
        <f t="shared" si="205"/>
        <v>92174.398341686174</v>
      </c>
      <c r="CF519" s="109">
        <f t="shared" si="206"/>
        <v>94033.165040372813</v>
      </c>
      <c r="CH519" s="58">
        <f t="array" ref="CH519">SUM(IF(CE519:CF519&gt;=CE519, 1))</f>
        <v>2</v>
      </c>
      <c r="CI519" s="58">
        <f t="array" ref="CI519">SUM(IF(CE519:CF519&gt;=CF519, 1))</f>
        <v>1</v>
      </c>
      <c r="CK519" s="109">
        <f t="shared" si="207"/>
        <v>46162.640028936548</v>
      </c>
      <c r="CL519" s="109">
        <f t="shared" si="208"/>
        <v>46772.39060928559</v>
      </c>
      <c r="CN519" s="58">
        <f t="array" ref="CN519">SUM(IF(CK519:CL519&gt;=CK519, 1))</f>
        <v>2</v>
      </c>
      <c r="CO519" s="58">
        <f t="array" ref="CO519">SUM(IF(CK519:CL519&gt;=CL519, 1))</f>
        <v>1</v>
      </c>
      <c r="CQ519" s="109" cm="1">
        <f t="array" ref="CQ519">AF519*WTP-AC519</f>
        <v>39666.557937259087</v>
      </c>
      <c r="CR519" s="109">
        <f t="shared" si="209"/>
        <v>43306.914755995829</v>
      </c>
      <c r="CT519" s="58">
        <f t="array" ref="CT519">SUM(IF(CQ519:CR519&gt;=CQ519, 1))</f>
        <v>2</v>
      </c>
      <c r="CU519" s="58">
        <f t="array" ref="CU519">SUM(IF(CQ519:CR519&gt;=CR519, 1))</f>
        <v>1</v>
      </c>
      <c r="CW519" s="109">
        <f t="shared" si="210"/>
        <v>-45694811.079328433</v>
      </c>
      <c r="CX519" s="109">
        <f t="shared" si="211"/>
        <v>0</v>
      </c>
      <c r="CZ519" s="58">
        <f t="array" ref="CZ519">SUM(IF(CW519:CX519&gt;=CW519, 1))</f>
        <v>2</v>
      </c>
      <c r="DA519" s="58">
        <f t="array" ref="DA519">SUM(IF(CW519:CX519&gt;=CX519, 1))</f>
        <v>1</v>
      </c>
      <c r="DC519" s="109">
        <f t="shared" si="212"/>
        <v>-2621063.5490738642</v>
      </c>
      <c r="DD519" s="109">
        <f t="shared" si="213"/>
        <v>0</v>
      </c>
      <c r="DF519" s="58">
        <f t="array" ref="DF519">SUM(IF(DC519:DD519&gt;=DC519, 1))</f>
        <v>2</v>
      </c>
      <c r="DG519" s="58">
        <f t="array" ref="DG519">SUM(IF(DC519:DD519&gt;=DD519, 1))</f>
        <v>1</v>
      </c>
      <c r="DI519" s="109">
        <f t="shared" si="214"/>
        <v>-42554515.570816398</v>
      </c>
      <c r="DJ519" s="109">
        <f t="shared" si="215"/>
        <v>0</v>
      </c>
      <c r="DL519" s="58">
        <f t="array" ref="DL519">SUM(IF(DI519:DJ519&gt;=DI519, 1))</f>
        <v>2</v>
      </c>
      <c r="DM519" s="58">
        <f t="array" ref="DM519">SUM(IF(DI519:DJ519&gt;=DJ519, 1))</f>
        <v>1</v>
      </c>
      <c r="DO519" s="109">
        <f t="shared" si="216"/>
        <v>-5211591.5667552529</v>
      </c>
      <c r="DP519" s="109">
        <f t="shared" si="217"/>
        <v>0</v>
      </c>
      <c r="DR519" s="58">
        <f t="array" ref="DR519">SUM(IF(DO519:DP519&gt;=DO519, 1))</f>
        <v>2</v>
      </c>
      <c r="DS519" s="58">
        <f t="array" ref="DS519">SUM(IF(DO519:DP519&gt;=DP519, 1))</f>
        <v>1</v>
      </c>
      <c r="DU519" s="109">
        <f t="shared" si="218"/>
        <v>-57877755.029980712</v>
      </c>
      <c r="DV519" s="109">
        <f t="shared" si="219"/>
        <v>0</v>
      </c>
      <c r="DX519" s="58">
        <f t="array" ref="DX519">SUM(IF(DU519:DV519&gt;=DU519, 1))</f>
        <v>2</v>
      </c>
      <c r="DY519" s="58">
        <f t="array" ref="DY519">SUM(IF(DU519:DV519&gt;=DV519, 1))</f>
        <v>1</v>
      </c>
      <c r="EA519" s="109">
        <f t="shared" si="220"/>
        <v>-153959736.79595467</v>
      </c>
      <c r="EB519" s="109">
        <f t="shared" si="221"/>
        <v>0</v>
      </c>
      <c r="ED519" s="58">
        <f t="array" ref="ED519">SUM(IF(EA519:EB519&gt;=EA519, 1))</f>
        <v>2</v>
      </c>
      <c r="EE519" s="58">
        <f t="array" ref="EE519">SUM(IF(EA519:EB519&gt;=EB519, 1))</f>
        <v>1</v>
      </c>
    </row>
    <row r="520" spans="4:135" ht="12" customHeight="1" x14ac:dyDescent="0.25">
      <c r="D520" s="11">
        <v>504</v>
      </c>
      <c r="E520" s="72">
        <v>243.43192853226043</v>
      </c>
      <c r="F520" s="72">
        <v>218.06745034430185</v>
      </c>
      <c r="G520" s="73"/>
      <c r="H520" s="74">
        <v>5.8082025949739062</v>
      </c>
      <c r="I520" s="74">
        <v>5.8229766172396022</v>
      </c>
      <c r="J520" s="73"/>
      <c r="K520" s="72">
        <v>260.98654376161164</v>
      </c>
      <c r="L520" s="72">
        <v>235.00115229675367</v>
      </c>
      <c r="M520" s="73"/>
      <c r="N520" s="74">
        <v>6.7339403669923019</v>
      </c>
      <c r="O520" s="74">
        <v>6.7466168644334248</v>
      </c>
      <c r="P520" s="73"/>
      <c r="Q520" s="72">
        <v>2191.0188694781691</v>
      </c>
      <c r="R520" s="72">
        <v>1487.6842655017458</v>
      </c>
      <c r="S520" s="73"/>
      <c r="T520" s="74">
        <v>4.9209963213111001</v>
      </c>
      <c r="U520" s="74">
        <v>5.022953703485582</v>
      </c>
      <c r="V520" s="73"/>
      <c r="W520" s="72">
        <v>10559.939373308467</v>
      </c>
      <c r="X520" s="72">
        <v>10573.980358008637</v>
      </c>
      <c r="Y520" s="73"/>
      <c r="Z520" s="74">
        <v>3.0991158404718133</v>
      </c>
      <c r="AA520" s="74">
        <v>3.1508454064210638</v>
      </c>
      <c r="AB520" s="73"/>
      <c r="AC520" s="72">
        <v>50910.49342242175</v>
      </c>
      <c r="AD520" s="72">
        <v>50504.028618961667</v>
      </c>
      <c r="AE520" s="73"/>
      <c r="AF520" s="74">
        <v>4.4248957231943207</v>
      </c>
      <c r="AG520" s="74">
        <v>4.5184756087885125</v>
      </c>
      <c r="AH520" s="73"/>
      <c r="AI520" s="72">
        <v>2683722.7939152522</v>
      </c>
      <c r="AJ520" s="72">
        <v>0</v>
      </c>
      <c r="AK520" s="73"/>
      <c r="AL520" s="74">
        <v>-1563.1853341687442</v>
      </c>
      <c r="AM520" s="74">
        <v>0</v>
      </c>
      <c r="AN520" s="73"/>
      <c r="AO520" s="72">
        <v>183364.54799731795</v>
      </c>
      <c r="AP520" s="72">
        <v>0</v>
      </c>
      <c r="AQ520" s="73"/>
      <c r="AR520" s="74">
        <v>-89.451037388609038</v>
      </c>
      <c r="AS520" s="74">
        <v>0</v>
      </c>
      <c r="AT520" s="73"/>
      <c r="AU520" s="72">
        <v>16521301.299188126</v>
      </c>
      <c r="AV520" s="72">
        <v>0</v>
      </c>
      <c r="AW520" s="73"/>
      <c r="AX520" s="74">
        <v>-2394.9747688477928</v>
      </c>
      <c r="AY520" s="74">
        <v>0</v>
      </c>
      <c r="AZ520" s="73"/>
      <c r="BA520" s="72">
        <v>-122778.86161742135</v>
      </c>
      <c r="BB520" s="72">
        <v>0</v>
      </c>
      <c r="BC520" s="73"/>
      <c r="BD520" s="74">
        <v>-452.33987179939942</v>
      </c>
      <c r="BE520" s="74">
        <v>0</v>
      </c>
      <c r="BF520" s="73"/>
      <c r="BG520" s="72">
        <v>6352897.9016706105</v>
      </c>
      <c r="BH520" s="72">
        <v>0</v>
      </c>
      <c r="BI520" s="73"/>
      <c r="BJ520" s="74">
        <v>-1462.6197736412378</v>
      </c>
      <c r="BK520" s="74">
        <v>0</v>
      </c>
      <c r="BL520" s="73"/>
      <c r="BM520" s="72">
        <v>25618507.681153886</v>
      </c>
      <c r="BN520" s="72">
        <v>0</v>
      </c>
      <c r="BO520" s="73"/>
      <c r="BP520" s="74">
        <v>-5962.5707858457836</v>
      </c>
      <c r="BQ520" s="74">
        <v>0</v>
      </c>
      <c r="BS520" s="109">
        <f t="shared" si="201"/>
        <v>115920.61997094587</v>
      </c>
      <c r="BT520" s="109">
        <f t="shared" si="202"/>
        <v>116241.46489444774</v>
      </c>
      <c r="BV520" s="58">
        <f t="array" ref="BV520">SUM(IF(BS520:BT520&gt;=BS520, 1))</f>
        <v>2</v>
      </c>
      <c r="BW520" s="58">
        <f t="array" ref="BW520">SUM(IF(BS520:BT520&gt;=BT520, 1))</f>
        <v>1</v>
      </c>
      <c r="BY520" s="109">
        <f t="shared" si="203"/>
        <v>134417.82079608442</v>
      </c>
      <c r="BZ520" s="109">
        <f t="shared" si="204"/>
        <v>134697.33613637174</v>
      </c>
      <c r="CB520" s="58">
        <f t="array" ref="CB520">SUM(IF(BY520:BZ520&gt;=BY520, 1))</f>
        <v>2</v>
      </c>
      <c r="CC520" s="58">
        <f t="array" ref="CC520">SUM(IF(BY520:BZ520&gt;=BZ520, 1))</f>
        <v>1</v>
      </c>
      <c r="CE520" s="109">
        <f t="shared" si="205"/>
        <v>96228.907556743827</v>
      </c>
      <c r="CF520" s="109">
        <f t="shared" si="206"/>
        <v>98971.389804209903</v>
      </c>
      <c r="CH520" s="58">
        <f t="array" ref="CH520">SUM(IF(CE520:CF520&gt;=CE520, 1))</f>
        <v>2</v>
      </c>
      <c r="CI520" s="58">
        <f t="array" ref="CI520">SUM(IF(CE520:CF520&gt;=CF520, 1))</f>
        <v>1</v>
      </c>
      <c r="CK520" s="109">
        <f t="shared" si="207"/>
        <v>51422.377436127805</v>
      </c>
      <c r="CL520" s="109">
        <f t="shared" si="208"/>
        <v>52442.927770412636</v>
      </c>
      <c r="CN520" s="58">
        <f t="array" ref="CN520">SUM(IF(CK520:CL520&gt;=CK520, 1))</f>
        <v>2</v>
      </c>
      <c r="CO520" s="58">
        <f t="array" ref="CO520">SUM(IF(CK520:CL520&gt;=CL520, 1))</f>
        <v>1</v>
      </c>
      <c r="CQ520" s="109" cm="1">
        <f t="array" ref="CQ520">AF520*WTP-AC520</f>
        <v>37587.421041464659</v>
      </c>
      <c r="CR520" s="109">
        <f t="shared" si="209"/>
        <v>39865.483556808576</v>
      </c>
      <c r="CT520" s="58">
        <f t="array" ref="CT520">SUM(IF(CQ520:CR520&gt;=CQ520, 1))</f>
        <v>2</v>
      </c>
      <c r="CU520" s="58">
        <f t="array" ref="CU520">SUM(IF(CQ520:CR520&gt;=CR520, 1))</f>
        <v>1</v>
      </c>
      <c r="CW520" s="109">
        <f t="shared" si="210"/>
        <v>-33947429.477290139</v>
      </c>
      <c r="CX520" s="109">
        <f t="shared" si="211"/>
        <v>0</v>
      </c>
      <c r="CZ520" s="58">
        <f t="array" ref="CZ520">SUM(IF(CW520:CX520&gt;=CW520, 1))</f>
        <v>2</v>
      </c>
      <c r="DA520" s="58">
        <f t="array" ref="DA520">SUM(IF(CW520:CX520&gt;=CX520, 1))</f>
        <v>1</v>
      </c>
      <c r="DC520" s="109">
        <f t="shared" si="212"/>
        <v>-1972385.2957694987</v>
      </c>
      <c r="DD520" s="109">
        <f t="shared" si="213"/>
        <v>0</v>
      </c>
      <c r="DF520" s="58">
        <f t="array" ref="DF520">SUM(IF(DC520:DD520&gt;=DC520, 1))</f>
        <v>2</v>
      </c>
      <c r="DG520" s="58">
        <f t="array" ref="DG520">SUM(IF(DC520:DD520&gt;=DD520, 1))</f>
        <v>1</v>
      </c>
      <c r="DI520" s="109">
        <f t="shared" si="214"/>
        <v>-64420796.676143989</v>
      </c>
      <c r="DJ520" s="109">
        <f t="shared" si="215"/>
        <v>0</v>
      </c>
      <c r="DL520" s="58">
        <f t="array" ref="DL520">SUM(IF(DI520:DJ520&gt;=DI520, 1))</f>
        <v>2</v>
      </c>
      <c r="DM520" s="58">
        <f t="array" ref="DM520">SUM(IF(DI520:DJ520&gt;=DJ520, 1))</f>
        <v>1</v>
      </c>
      <c r="DO520" s="109">
        <f t="shared" si="216"/>
        <v>-8924018.5743705668</v>
      </c>
      <c r="DP520" s="109">
        <f t="shared" si="217"/>
        <v>0</v>
      </c>
      <c r="DR520" s="58">
        <f t="array" ref="DR520">SUM(IF(DO520:DP520&gt;=DO520, 1))</f>
        <v>2</v>
      </c>
      <c r="DS520" s="58">
        <f t="array" ref="DS520">SUM(IF(DO520:DP520&gt;=DP520, 1))</f>
        <v>1</v>
      </c>
      <c r="DU520" s="109">
        <f t="shared" si="218"/>
        <v>-35605293.374495365</v>
      </c>
      <c r="DV520" s="109">
        <f t="shared" si="219"/>
        <v>0</v>
      </c>
      <c r="DX520" s="58">
        <f t="array" ref="DX520">SUM(IF(DU520:DV520&gt;=DU520, 1))</f>
        <v>2</v>
      </c>
      <c r="DY520" s="58">
        <f t="array" ref="DY520">SUM(IF(DU520:DV520&gt;=DV520, 1))</f>
        <v>1</v>
      </c>
      <c r="EA520" s="109">
        <f t="shared" si="220"/>
        <v>-144869923.39806956</v>
      </c>
      <c r="EB520" s="109">
        <f t="shared" si="221"/>
        <v>0</v>
      </c>
      <c r="ED520" s="58">
        <f t="array" ref="ED520">SUM(IF(EA520:EB520&gt;=EA520, 1))</f>
        <v>2</v>
      </c>
      <c r="EE520" s="58">
        <f t="array" ref="EE520">SUM(IF(EA520:EB520&gt;=EB520, 1))</f>
        <v>1</v>
      </c>
    </row>
    <row r="521" spans="4:135" ht="12" customHeight="1" x14ac:dyDescent="0.25">
      <c r="D521" s="11">
        <v>505</v>
      </c>
      <c r="E521" s="72">
        <v>217.67996958747383</v>
      </c>
      <c r="F521" s="72">
        <v>191.46469242973095</v>
      </c>
      <c r="G521" s="73"/>
      <c r="H521" s="74">
        <v>5.8566058297601709</v>
      </c>
      <c r="I521" s="74">
        <v>5.8736915563348342</v>
      </c>
      <c r="J521" s="73"/>
      <c r="K521" s="72">
        <v>233.27076770612857</v>
      </c>
      <c r="L521" s="72">
        <v>206.40723633193343</v>
      </c>
      <c r="M521" s="73"/>
      <c r="N521" s="74">
        <v>6.7163372292272783</v>
      </c>
      <c r="O521" s="74">
        <v>6.7306343681159539</v>
      </c>
      <c r="P521" s="73"/>
      <c r="Q521" s="72">
        <v>2309.5209296799931</v>
      </c>
      <c r="R521" s="72">
        <v>1579.0630595485964</v>
      </c>
      <c r="S521" s="73"/>
      <c r="T521" s="74">
        <v>4.8227026181881323</v>
      </c>
      <c r="U521" s="74">
        <v>4.9188425725620553</v>
      </c>
      <c r="V521" s="73"/>
      <c r="W521" s="72">
        <v>12973.503116236267</v>
      </c>
      <c r="X521" s="72">
        <v>12990.647410762966</v>
      </c>
      <c r="Y521" s="73"/>
      <c r="Z521" s="74">
        <v>2.7135324815950468</v>
      </c>
      <c r="AA521" s="74">
        <v>2.7593248830997119</v>
      </c>
      <c r="AB521" s="73"/>
      <c r="AC521" s="72">
        <v>52413.851467286899</v>
      </c>
      <c r="AD521" s="72">
        <v>52017.261293445939</v>
      </c>
      <c r="AE521" s="73"/>
      <c r="AF521" s="74">
        <v>4.4248496340784147</v>
      </c>
      <c r="AG521" s="74">
        <v>4.5330649390087867</v>
      </c>
      <c r="AH521" s="73"/>
      <c r="AI521" s="72">
        <v>2826061.6635667332</v>
      </c>
      <c r="AJ521" s="72">
        <v>0</v>
      </c>
      <c r="AK521" s="73"/>
      <c r="AL521" s="74">
        <v>-1841.8770313316325</v>
      </c>
      <c r="AM521" s="74">
        <v>0</v>
      </c>
      <c r="AN521" s="73"/>
      <c r="AO521" s="72">
        <v>188913.2394099684</v>
      </c>
      <c r="AP521" s="72">
        <v>0</v>
      </c>
      <c r="AQ521" s="73"/>
      <c r="AR521" s="74">
        <v>-100.54221033458155</v>
      </c>
      <c r="AS521" s="74">
        <v>0</v>
      </c>
      <c r="AT521" s="73"/>
      <c r="AU521" s="72">
        <v>16923373.509937793</v>
      </c>
      <c r="AV521" s="72">
        <v>0</v>
      </c>
      <c r="AW521" s="73"/>
      <c r="AX521" s="74">
        <v>-2227.3869905811334</v>
      </c>
      <c r="AY521" s="74">
        <v>0</v>
      </c>
      <c r="AZ521" s="73"/>
      <c r="BA521" s="72">
        <v>-151146.53377744596</v>
      </c>
      <c r="BB521" s="72">
        <v>0</v>
      </c>
      <c r="BC521" s="73"/>
      <c r="BD521" s="74">
        <v>-403.71231082133556</v>
      </c>
      <c r="BE521" s="74">
        <v>0</v>
      </c>
      <c r="BF521" s="73"/>
      <c r="BG521" s="72">
        <v>6225016.7257673731</v>
      </c>
      <c r="BH521" s="72">
        <v>0</v>
      </c>
      <c r="BI521" s="73"/>
      <c r="BJ521" s="74">
        <v>-1698.5849060539922</v>
      </c>
      <c r="BK521" s="74">
        <v>0</v>
      </c>
      <c r="BL521" s="73"/>
      <c r="BM521" s="72">
        <v>26012218.604904424</v>
      </c>
      <c r="BN521" s="72">
        <v>0</v>
      </c>
      <c r="BO521" s="73"/>
      <c r="BP521" s="74">
        <v>-6272.1034491226746</v>
      </c>
      <c r="BQ521" s="74">
        <v>0</v>
      </c>
      <c r="BS521" s="109">
        <f t="shared" si="201"/>
        <v>116914.43662561594</v>
      </c>
      <c r="BT521" s="109">
        <f t="shared" si="202"/>
        <v>117282.36643426695</v>
      </c>
      <c r="BV521" s="58">
        <f t="array" ref="BV521">SUM(IF(BS521:BT521&gt;=BS521, 1))</f>
        <v>2</v>
      </c>
      <c r="BW521" s="58">
        <f t="array" ref="BW521">SUM(IF(BS521:BT521&gt;=BT521, 1))</f>
        <v>1</v>
      </c>
      <c r="BY521" s="109">
        <f t="shared" si="203"/>
        <v>134093.47381683943</v>
      </c>
      <c r="BZ521" s="109">
        <f t="shared" si="204"/>
        <v>134406.28012598716</v>
      </c>
      <c r="CB521" s="58">
        <f t="array" ref="CB521">SUM(IF(BY521:BZ521&gt;=BY521, 1))</f>
        <v>2</v>
      </c>
      <c r="CC521" s="58">
        <f t="array" ref="CC521">SUM(IF(BY521:BZ521&gt;=BZ521, 1))</f>
        <v>1</v>
      </c>
      <c r="CE521" s="109">
        <f t="shared" si="205"/>
        <v>94144.531434082659</v>
      </c>
      <c r="CF521" s="109">
        <f t="shared" si="206"/>
        <v>96797.788391692506</v>
      </c>
      <c r="CH521" s="58">
        <f t="array" ref="CH521">SUM(IF(CE521:CF521&gt;=CE521, 1))</f>
        <v>2</v>
      </c>
      <c r="CI521" s="58">
        <f t="array" ref="CI521">SUM(IF(CE521:CF521&gt;=CF521, 1))</f>
        <v>1</v>
      </c>
      <c r="CK521" s="109">
        <f t="shared" si="207"/>
        <v>41297.146515664674</v>
      </c>
      <c r="CL521" s="109">
        <f t="shared" si="208"/>
        <v>42195.85025123127</v>
      </c>
      <c r="CN521" s="58">
        <f t="array" ref="CN521">SUM(IF(CK521:CL521&gt;=CK521, 1))</f>
        <v>2</v>
      </c>
      <c r="CO521" s="58">
        <f t="array" ref="CO521">SUM(IF(CK521:CL521&gt;=CL521, 1))</f>
        <v>1</v>
      </c>
      <c r="CQ521" s="109" cm="1">
        <f t="array" ref="CQ521">AF521*WTP-AC521</f>
        <v>36083.141214281401</v>
      </c>
      <c r="CR521" s="109">
        <f t="shared" si="209"/>
        <v>38644.037486729801</v>
      </c>
      <c r="CT521" s="58">
        <f t="array" ref="CT521">SUM(IF(CQ521:CR521&gt;=CQ521, 1))</f>
        <v>2</v>
      </c>
      <c r="CU521" s="58">
        <f t="array" ref="CU521">SUM(IF(CQ521:CR521&gt;=CR521, 1))</f>
        <v>1</v>
      </c>
      <c r="CW521" s="109">
        <f t="shared" si="210"/>
        <v>-39663602.290199377</v>
      </c>
      <c r="CX521" s="109">
        <f t="shared" si="211"/>
        <v>0</v>
      </c>
      <c r="CZ521" s="58">
        <f t="array" ref="CZ521">SUM(IF(CW521:CX521&gt;=CW521, 1))</f>
        <v>2</v>
      </c>
      <c r="DA521" s="58">
        <f t="array" ref="DA521">SUM(IF(CW521:CX521&gt;=CX521, 1))</f>
        <v>1</v>
      </c>
      <c r="DC521" s="109">
        <f t="shared" si="212"/>
        <v>-2199757.4461015994</v>
      </c>
      <c r="DD521" s="109">
        <f t="shared" si="213"/>
        <v>0</v>
      </c>
      <c r="DF521" s="58">
        <f t="array" ref="DF521">SUM(IF(DC521:DD521&gt;=DC521, 1))</f>
        <v>2</v>
      </c>
      <c r="DG521" s="58">
        <f t="array" ref="DG521">SUM(IF(DC521:DD521&gt;=DD521, 1))</f>
        <v>1</v>
      </c>
      <c r="DI521" s="109">
        <f t="shared" si="214"/>
        <v>-61471113.321560465</v>
      </c>
      <c r="DJ521" s="109">
        <f t="shared" si="215"/>
        <v>0</v>
      </c>
      <c r="DL521" s="58">
        <f t="array" ref="DL521">SUM(IF(DI521:DJ521&gt;=DI521, 1))</f>
        <v>2</v>
      </c>
      <c r="DM521" s="58">
        <f t="array" ref="DM521">SUM(IF(DI521:DJ521&gt;=DJ521, 1))</f>
        <v>1</v>
      </c>
      <c r="DO521" s="109">
        <f t="shared" si="216"/>
        <v>-7923099.682649266</v>
      </c>
      <c r="DP521" s="109">
        <f t="shared" si="217"/>
        <v>0</v>
      </c>
      <c r="DR521" s="58">
        <f t="array" ref="DR521">SUM(IF(DO521:DP521&gt;=DO521, 1))</f>
        <v>2</v>
      </c>
      <c r="DS521" s="58">
        <f t="array" ref="DS521">SUM(IF(DO521:DP521&gt;=DP521, 1))</f>
        <v>1</v>
      </c>
      <c r="DU521" s="109">
        <f t="shared" si="218"/>
        <v>-40196714.846847221</v>
      </c>
      <c r="DV521" s="109">
        <f t="shared" si="219"/>
        <v>0</v>
      </c>
      <c r="DX521" s="58">
        <f t="array" ref="DX521">SUM(IF(DU521:DV521&gt;=DU521, 1))</f>
        <v>2</v>
      </c>
      <c r="DY521" s="58">
        <f t="array" ref="DY521">SUM(IF(DU521:DV521&gt;=DV521, 1))</f>
        <v>1</v>
      </c>
      <c r="EA521" s="109">
        <f t="shared" si="220"/>
        <v>-151454287.58735791</v>
      </c>
      <c r="EB521" s="109">
        <f t="shared" si="221"/>
        <v>0</v>
      </c>
      <c r="ED521" s="58">
        <f t="array" ref="ED521">SUM(IF(EA521:EB521&gt;=EA521, 1))</f>
        <v>2</v>
      </c>
      <c r="EE521" s="58">
        <f t="array" ref="EE521">SUM(IF(EA521:EB521&gt;=EB521, 1))</f>
        <v>1</v>
      </c>
    </row>
    <row r="522" spans="4:135" ht="12" customHeight="1" x14ac:dyDescent="0.25">
      <c r="D522" s="11">
        <v>506</v>
      </c>
      <c r="E522" s="72">
        <v>243.19382860660698</v>
      </c>
      <c r="F522" s="72">
        <v>227.77112416374902</v>
      </c>
      <c r="G522" s="73"/>
      <c r="H522" s="74">
        <v>5.7581941980580247</v>
      </c>
      <c r="I522" s="74">
        <v>5.7750746503082562</v>
      </c>
      <c r="J522" s="73"/>
      <c r="K522" s="72">
        <v>261.42042918046212</v>
      </c>
      <c r="L522" s="72">
        <v>245.59314580796652</v>
      </c>
      <c r="M522" s="73"/>
      <c r="N522" s="74">
        <v>6.6897013118267576</v>
      </c>
      <c r="O522" s="74">
        <v>6.704107133870715</v>
      </c>
      <c r="P522" s="73"/>
      <c r="Q522" s="72">
        <v>2701.1260507472839</v>
      </c>
      <c r="R522" s="72">
        <v>1238.9129316544645</v>
      </c>
      <c r="S522" s="73"/>
      <c r="T522" s="74">
        <v>4.7326013009056105</v>
      </c>
      <c r="U522" s="74">
        <v>4.8375615591022871</v>
      </c>
      <c r="V522" s="73"/>
      <c r="W522" s="72">
        <v>11308.087000729998</v>
      </c>
      <c r="X522" s="72">
        <v>11367.693455719307</v>
      </c>
      <c r="Y522" s="73"/>
      <c r="Z522" s="74">
        <v>2.920756388651971</v>
      </c>
      <c r="AA522" s="74">
        <v>2.9951883296424189</v>
      </c>
      <c r="AB522" s="73"/>
      <c r="AC522" s="72">
        <v>49564.178827500713</v>
      </c>
      <c r="AD522" s="72">
        <v>49157.190698503327</v>
      </c>
      <c r="AE522" s="73"/>
      <c r="AF522" s="74">
        <v>4.6224508276251068</v>
      </c>
      <c r="AG522" s="74">
        <v>4.7854266723215302</v>
      </c>
      <c r="AH522" s="73"/>
      <c r="AI522" s="72">
        <v>1653196.7163193317</v>
      </c>
      <c r="AJ522" s="72">
        <v>0</v>
      </c>
      <c r="AK522" s="73"/>
      <c r="AL522" s="74">
        <v>-1809.4562035772642</v>
      </c>
      <c r="AM522" s="74">
        <v>0</v>
      </c>
      <c r="AN522" s="73"/>
      <c r="AO522" s="72">
        <v>104833.60997296628</v>
      </c>
      <c r="AP522" s="72">
        <v>0</v>
      </c>
      <c r="AQ522" s="73"/>
      <c r="AR522" s="74">
        <v>-95.418417295833038</v>
      </c>
      <c r="AS522" s="74">
        <v>0</v>
      </c>
      <c r="AT522" s="73"/>
      <c r="AU522" s="72">
        <v>33987773.76331754</v>
      </c>
      <c r="AV522" s="72">
        <v>0</v>
      </c>
      <c r="AW522" s="73"/>
      <c r="AX522" s="74">
        <v>-2439.7028471070566</v>
      </c>
      <c r="AY522" s="74">
        <v>0</v>
      </c>
      <c r="AZ522" s="73"/>
      <c r="BA522" s="72">
        <v>-532574.97433301597</v>
      </c>
      <c r="BB522" s="72">
        <v>0</v>
      </c>
      <c r="BC522" s="73"/>
      <c r="BD522" s="74">
        <v>-665.03852761675387</v>
      </c>
      <c r="BE522" s="74">
        <v>0</v>
      </c>
      <c r="BF522" s="73"/>
      <c r="BG522" s="72">
        <v>6476256.8209799156</v>
      </c>
      <c r="BH522" s="72">
        <v>0</v>
      </c>
      <c r="BI522" s="73"/>
      <c r="BJ522" s="74">
        <v>-2593.3764418886904</v>
      </c>
      <c r="BK522" s="74">
        <v>0</v>
      </c>
      <c r="BL522" s="73"/>
      <c r="BM522" s="72">
        <v>41689485.936256737</v>
      </c>
      <c r="BN522" s="72">
        <v>0</v>
      </c>
      <c r="BO522" s="73"/>
      <c r="BP522" s="74">
        <v>-7602.9924374855982</v>
      </c>
      <c r="BQ522" s="74">
        <v>0</v>
      </c>
      <c r="BS522" s="109">
        <f t="shared" si="201"/>
        <v>114920.69013255389</v>
      </c>
      <c r="BT522" s="109">
        <f t="shared" si="202"/>
        <v>115273.72188200138</v>
      </c>
      <c r="BV522" s="58">
        <f t="array" ref="BV522">SUM(IF(BS522:BT522&gt;=BS522, 1))</f>
        <v>2</v>
      </c>
      <c r="BW522" s="58">
        <f t="array" ref="BW522">SUM(IF(BS522:BT522&gt;=BT522, 1))</f>
        <v>1</v>
      </c>
      <c r="BY522" s="109">
        <f t="shared" si="203"/>
        <v>133532.6058073547</v>
      </c>
      <c r="BZ522" s="109">
        <f t="shared" si="204"/>
        <v>133836.54953160632</v>
      </c>
      <c r="CB522" s="58">
        <f t="array" ref="CB522">SUM(IF(BY522:BZ522&gt;=BY522, 1))</f>
        <v>2</v>
      </c>
      <c r="CC522" s="58">
        <f t="array" ref="CC522">SUM(IF(BY522:BZ522&gt;=BZ522, 1))</f>
        <v>1</v>
      </c>
      <c r="CE522" s="109">
        <f t="shared" si="205"/>
        <v>91950.899967364923</v>
      </c>
      <c r="CF522" s="109">
        <f t="shared" si="206"/>
        <v>95512.318250391269</v>
      </c>
      <c r="CH522" s="58">
        <f t="array" ref="CH522">SUM(IF(CE522:CF522&gt;=CE522, 1))</f>
        <v>2</v>
      </c>
      <c r="CI522" s="58">
        <f t="array" ref="CI522">SUM(IF(CE522:CF522&gt;=CF522, 1))</f>
        <v>1</v>
      </c>
      <c r="CK522" s="109">
        <f t="shared" si="207"/>
        <v>47107.040772309425</v>
      </c>
      <c r="CL522" s="109">
        <f t="shared" si="208"/>
        <v>48536.073137129068</v>
      </c>
      <c r="CN522" s="58">
        <f t="array" ref="CN522">SUM(IF(CK522:CL522&gt;=CK522, 1))</f>
        <v>2</v>
      </c>
      <c r="CO522" s="58">
        <f t="array" ref="CO522">SUM(IF(CK522:CL522&gt;=CL522, 1))</f>
        <v>1</v>
      </c>
      <c r="CQ522" s="109" cm="1">
        <f t="array" ref="CQ522">AF522*WTP-AC522</f>
        <v>42884.837725001431</v>
      </c>
      <c r="CR522" s="109">
        <f t="shared" si="209"/>
        <v>46551.34274792728</v>
      </c>
      <c r="CT522" s="58">
        <f t="array" ref="CT522">SUM(IF(CQ522:CR522&gt;=CQ522, 1))</f>
        <v>2</v>
      </c>
      <c r="CU522" s="58">
        <f t="array" ref="CU522">SUM(IF(CQ522:CR522&gt;=CR522, 1))</f>
        <v>1</v>
      </c>
      <c r="CW522" s="109">
        <f t="shared" si="210"/>
        <v>-37842320.787864611</v>
      </c>
      <c r="CX522" s="109">
        <f t="shared" si="211"/>
        <v>0</v>
      </c>
      <c r="CZ522" s="58">
        <f t="array" ref="CZ522">SUM(IF(CW522:CX522&gt;=CW522, 1))</f>
        <v>2</v>
      </c>
      <c r="DA522" s="58">
        <f t="array" ref="DA522">SUM(IF(CW522:CX522&gt;=CX522, 1))</f>
        <v>1</v>
      </c>
      <c r="DC522" s="109">
        <f t="shared" si="212"/>
        <v>-2013201.9558896271</v>
      </c>
      <c r="DD522" s="109">
        <f t="shared" si="213"/>
        <v>0</v>
      </c>
      <c r="DF522" s="58">
        <f t="array" ref="DF522">SUM(IF(DC522:DD522&gt;=DC522, 1))</f>
        <v>2</v>
      </c>
      <c r="DG522" s="58">
        <f t="array" ref="DG522">SUM(IF(DC522:DD522&gt;=DD522, 1))</f>
        <v>1</v>
      </c>
      <c r="DI522" s="109">
        <f t="shared" si="214"/>
        <v>-82781830.705458671</v>
      </c>
      <c r="DJ522" s="109">
        <f t="shared" si="215"/>
        <v>0</v>
      </c>
      <c r="DL522" s="58">
        <f t="array" ref="DL522">SUM(IF(DI522:DJ522&gt;=DI522, 1))</f>
        <v>2</v>
      </c>
      <c r="DM522" s="58">
        <f t="array" ref="DM522">SUM(IF(DI522:DJ522&gt;=DJ522, 1))</f>
        <v>1</v>
      </c>
      <c r="DO522" s="109">
        <f t="shared" si="216"/>
        <v>-12768195.578002062</v>
      </c>
      <c r="DP522" s="109">
        <f t="shared" si="217"/>
        <v>0</v>
      </c>
      <c r="DR522" s="58">
        <f t="array" ref="DR522">SUM(IF(DO522:DP522&gt;=DO522, 1))</f>
        <v>2</v>
      </c>
      <c r="DS522" s="58">
        <f t="array" ref="DS522">SUM(IF(DO522:DP522&gt;=DP522, 1))</f>
        <v>1</v>
      </c>
      <c r="DU522" s="109">
        <f t="shared" si="218"/>
        <v>-58343785.658753723</v>
      </c>
      <c r="DV522" s="109">
        <f t="shared" si="219"/>
        <v>0</v>
      </c>
      <c r="DX522" s="58">
        <f t="array" ref="DX522">SUM(IF(DU522:DV522&gt;=DU522, 1))</f>
        <v>2</v>
      </c>
      <c r="DY522" s="58">
        <f t="array" ref="DY522">SUM(IF(DU522:DV522&gt;=DV522, 1))</f>
        <v>1</v>
      </c>
      <c r="EA522" s="109">
        <f t="shared" si="220"/>
        <v>-193749334.6859687</v>
      </c>
      <c r="EB522" s="109">
        <f t="shared" si="221"/>
        <v>0</v>
      </c>
      <c r="ED522" s="58">
        <f t="array" ref="ED522">SUM(IF(EA522:EB522&gt;=EA522, 1))</f>
        <v>2</v>
      </c>
      <c r="EE522" s="58">
        <f t="array" ref="EE522">SUM(IF(EA522:EB522&gt;=EB522, 1))</f>
        <v>1</v>
      </c>
    </row>
    <row r="523" spans="4:135" ht="12" customHeight="1" x14ac:dyDescent="0.25">
      <c r="D523" s="11">
        <v>507</v>
      </c>
      <c r="E523" s="72">
        <v>273.01658765269565</v>
      </c>
      <c r="F523" s="72">
        <v>258.31792986566677</v>
      </c>
      <c r="G523" s="73"/>
      <c r="H523" s="74">
        <v>5.8958866941950614</v>
      </c>
      <c r="I523" s="74">
        <v>5.9127908602375152</v>
      </c>
      <c r="J523" s="73"/>
      <c r="K523" s="72">
        <v>293.60666321804553</v>
      </c>
      <c r="L523" s="72">
        <v>278.58059619642734</v>
      </c>
      <c r="M523" s="73"/>
      <c r="N523" s="74">
        <v>6.6536905211286292</v>
      </c>
      <c r="O523" s="74">
        <v>6.6695577533500536</v>
      </c>
      <c r="P523" s="73"/>
      <c r="Q523" s="72">
        <v>2430.9525865038804</v>
      </c>
      <c r="R523" s="72">
        <v>1226.3374080083413</v>
      </c>
      <c r="S523" s="73"/>
      <c r="T523" s="74">
        <v>4.894669246013911</v>
      </c>
      <c r="U523" s="74">
        <v>5.0340737152073265</v>
      </c>
      <c r="V523" s="73"/>
      <c r="W523" s="72">
        <v>10587.629224086784</v>
      </c>
      <c r="X523" s="72">
        <v>10557.503657072913</v>
      </c>
      <c r="Y523" s="73"/>
      <c r="Z523" s="74">
        <v>2.9539993775588744</v>
      </c>
      <c r="AA523" s="74">
        <v>2.987893847181271</v>
      </c>
      <c r="AB523" s="73"/>
      <c r="AC523" s="72">
        <v>49789.805098919162</v>
      </c>
      <c r="AD523" s="72">
        <v>49951.601919095192</v>
      </c>
      <c r="AE523" s="73"/>
      <c r="AF523" s="74">
        <v>4.1306157637355669</v>
      </c>
      <c r="AG523" s="74">
        <v>4.2391291816530723</v>
      </c>
      <c r="AH523" s="73"/>
      <c r="AI523" s="72">
        <v>1597569.0364183644</v>
      </c>
      <c r="AJ523" s="72">
        <v>0</v>
      </c>
      <c r="AK523" s="73"/>
      <c r="AL523" s="74">
        <v>-1837.2815155769244</v>
      </c>
      <c r="AM523" s="74">
        <v>0</v>
      </c>
      <c r="AN523" s="73"/>
      <c r="AO523" s="72">
        <v>103938.13620359394</v>
      </c>
      <c r="AP523" s="72">
        <v>0</v>
      </c>
      <c r="AQ523" s="73"/>
      <c r="AR523" s="74">
        <v>-109.75663434960877</v>
      </c>
      <c r="AS523" s="74">
        <v>0</v>
      </c>
      <c r="AT523" s="73"/>
      <c r="AU523" s="72">
        <v>28559521.655475158</v>
      </c>
      <c r="AV523" s="72">
        <v>0</v>
      </c>
      <c r="AW523" s="73"/>
      <c r="AX523" s="74">
        <v>-3305.0595973493409</v>
      </c>
      <c r="AY523" s="74">
        <v>0</v>
      </c>
      <c r="AZ523" s="73"/>
      <c r="BA523" s="72">
        <v>267438.32178073836</v>
      </c>
      <c r="BB523" s="72">
        <v>0</v>
      </c>
      <c r="BC523" s="73"/>
      <c r="BD523" s="74">
        <v>-300.89657961585607</v>
      </c>
      <c r="BE523" s="74">
        <v>0</v>
      </c>
      <c r="BF523" s="73"/>
      <c r="BG523" s="72">
        <v>-2549875.362653126</v>
      </c>
      <c r="BH523" s="72">
        <v>0</v>
      </c>
      <c r="BI523" s="73"/>
      <c r="BJ523" s="74">
        <v>-1710.1429469633083</v>
      </c>
      <c r="BK523" s="74">
        <v>0</v>
      </c>
      <c r="BL523" s="73"/>
      <c r="BM523" s="72">
        <v>27978591.787224729</v>
      </c>
      <c r="BN523" s="72">
        <v>0</v>
      </c>
      <c r="BO523" s="73"/>
      <c r="BP523" s="74">
        <v>-7263.137273855039</v>
      </c>
      <c r="BQ523" s="74">
        <v>0</v>
      </c>
      <c r="BS523" s="109">
        <f t="shared" si="201"/>
        <v>117644.71729624852</v>
      </c>
      <c r="BT523" s="109">
        <f t="shared" si="202"/>
        <v>117997.49927488464</v>
      </c>
      <c r="BV523" s="58">
        <f t="array" ref="BV523">SUM(IF(BS523:BT523&gt;=BS523, 1))</f>
        <v>2</v>
      </c>
      <c r="BW523" s="58">
        <f t="array" ref="BW523">SUM(IF(BS523:BT523&gt;=BT523, 1))</f>
        <v>1</v>
      </c>
      <c r="BY523" s="109">
        <f t="shared" si="203"/>
        <v>132780.20375935454</v>
      </c>
      <c r="BZ523" s="109">
        <f t="shared" si="204"/>
        <v>133112.57447080463</v>
      </c>
      <c r="CB523" s="58">
        <f t="array" ref="CB523">SUM(IF(BY523:BZ523&gt;=BY523, 1))</f>
        <v>2</v>
      </c>
      <c r="CC523" s="58">
        <f t="array" ref="CC523">SUM(IF(BY523:BZ523&gt;=BZ523, 1))</f>
        <v>1</v>
      </c>
      <c r="CE523" s="109">
        <f t="shared" si="205"/>
        <v>95462.432333774341</v>
      </c>
      <c r="CF523" s="109">
        <f t="shared" si="206"/>
        <v>99455.136896138181</v>
      </c>
      <c r="CH523" s="58">
        <f t="array" ref="CH523">SUM(IF(CE523:CF523&gt;=CE523, 1))</f>
        <v>2</v>
      </c>
      <c r="CI523" s="58">
        <f t="array" ref="CI523">SUM(IF(CE523:CF523&gt;=CF523, 1))</f>
        <v>1</v>
      </c>
      <c r="CK523" s="109">
        <f t="shared" si="207"/>
        <v>48492.358327090704</v>
      </c>
      <c r="CL523" s="109">
        <f t="shared" si="208"/>
        <v>49200.373286552509</v>
      </c>
      <c r="CN523" s="58">
        <f t="array" ref="CN523">SUM(IF(CK523:CL523&gt;=CK523, 1))</f>
        <v>2</v>
      </c>
      <c r="CO523" s="58">
        <f t="array" ref="CO523">SUM(IF(CK523:CL523&gt;=CL523, 1))</f>
        <v>1</v>
      </c>
      <c r="CQ523" s="109" cm="1">
        <f t="array" ref="CQ523">AF523*WTP-AC523</f>
        <v>32822.510175792173</v>
      </c>
      <c r="CR523" s="109">
        <f t="shared" si="209"/>
        <v>34830.981713966248</v>
      </c>
      <c r="CT523" s="58">
        <f t="array" ref="CT523">SUM(IF(CQ523:CR523&gt;=CQ523, 1))</f>
        <v>2</v>
      </c>
      <c r="CU523" s="58">
        <f t="array" ref="CU523">SUM(IF(CQ523:CR523&gt;=CR523, 1))</f>
        <v>1</v>
      </c>
      <c r="CW523" s="109">
        <f t="shared" si="210"/>
        <v>-38343199.347956851</v>
      </c>
      <c r="CX523" s="109">
        <f t="shared" si="211"/>
        <v>0</v>
      </c>
      <c r="CZ523" s="58">
        <f t="array" ref="CZ523">SUM(IF(CW523:CX523&gt;=CW523, 1))</f>
        <v>2</v>
      </c>
      <c r="DA523" s="58">
        <f t="array" ref="DA523">SUM(IF(CW523:CX523&gt;=CX523, 1))</f>
        <v>1</v>
      </c>
      <c r="DC523" s="109">
        <f t="shared" si="212"/>
        <v>-2299070.8231957695</v>
      </c>
      <c r="DD523" s="109">
        <f t="shared" si="213"/>
        <v>0</v>
      </c>
      <c r="DF523" s="58">
        <f t="array" ref="DF523">SUM(IF(DC523:DD523&gt;=DC523, 1))</f>
        <v>2</v>
      </c>
      <c r="DG523" s="58">
        <f t="array" ref="DG523">SUM(IF(DC523:DD523&gt;=DD523, 1))</f>
        <v>1</v>
      </c>
      <c r="DI523" s="109">
        <f t="shared" si="214"/>
        <v>-94660713.602461979</v>
      </c>
      <c r="DJ523" s="109">
        <f t="shared" si="215"/>
        <v>0</v>
      </c>
      <c r="DL523" s="58">
        <f t="array" ref="DL523">SUM(IF(DI523:DJ523&gt;=DI523, 1))</f>
        <v>2</v>
      </c>
      <c r="DM523" s="58">
        <f t="array" ref="DM523">SUM(IF(DI523:DJ523&gt;=DJ523, 1))</f>
        <v>1</v>
      </c>
      <c r="DO523" s="109">
        <f t="shared" si="216"/>
        <v>-6285369.9140978595</v>
      </c>
      <c r="DP523" s="109">
        <f t="shared" si="217"/>
        <v>0</v>
      </c>
      <c r="DR523" s="58">
        <f t="array" ref="DR523">SUM(IF(DO523:DP523&gt;=DO523, 1))</f>
        <v>2</v>
      </c>
      <c r="DS523" s="58">
        <f t="array" ref="DS523">SUM(IF(DO523:DP523&gt;=DP523, 1))</f>
        <v>1</v>
      </c>
      <c r="DU523" s="109">
        <f t="shared" si="218"/>
        <v>-31652983.576613043</v>
      </c>
      <c r="DV523" s="109">
        <f t="shared" si="219"/>
        <v>0</v>
      </c>
      <c r="DX523" s="58">
        <f t="array" ref="DX523">SUM(IF(DU523:DV523&gt;=DU523, 1))</f>
        <v>2</v>
      </c>
      <c r="DY523" s="58">
        <f t="array" ref="DY523">SUM(IF(DU523:DV523&gt;=DV523, 1))</f>
        <v>1</v>
      </c>
      <c r="EA523" s="109">
        <f t="shared" si="220"/>
        <v>-173241337.26432553</v>
      </c>
      <c r="EB523" s="109">
        <f t="shared" si="221"/>
        <v>0</v>
      </c>
      <c r="ED523" s="58">
        <f t="array" ref="ED523">SUM(IF(EA523:EB523&gt;=EA523, 1))</f>
        <v>2</v>
      </c>
      <c r="EE523" s="58">
        <f t="array" ref="EE523">SUM(IF(EA523:EB523&gt;=EB523, 1))</f>
        <v>1</v>
      </c>
    </row>
    <row r="524" spans="4:135" ht="12" customHeight="1" x14ac:dyDescent="0.25">
      <c r="D524" s="11">
        <v>508</v>
      </c>
      <c r="E524" s="72">
        <v>318.31120119245986</v>
      </c>
      <c r="F524" s="72">
        <v>281.56902659098495</v>
      </c>
      <c r="G524" s="73"/>
      <c r="H524" s="74">
        <v>5.8268671391352269</v>
      </c>
      <c r="I524" s="74">
        <v>5.8428417739173248</v>
      </c>
      <c r="J524" s="73"/>
      <c r="K524" s="72">
        <v>341.1154953835333</v>
      </c>
      <c r="L524" s="72">
        <v>303.43249999798599</v>
      </c>
      <c r="M524" s="73"/>
      <c r="N524" s="74">
        <v>6.7306833102201882</v>
      </c>
      <c r="O524" s="74">
        <v>6.7444086854445784</v>
      </c>
      <c r="P524" s="73"/>
      <c r="Q524" s="72">
        <v>3502.5890760670877</v>
      </c>
      <c r="R524" s="72">
        <v>1835.9648408647956</v>
      </c>
      <c r="S524" s="73"/>
      <c r="T524" s="74">
        <v>4.6890896340161801</v>
      </c>
      <c r="U524" s="74">
        <v>4.7945262723249806</v>
      </c>
      <c r="V524" s="73"/>
      <c r="W524" s="72">
        <v>16844.149567887038</v>
      </c>
      <c r="X524" s="72">
        <v>16867.698525032225</v>
      </c>
      <c r="Y524" s="73"/>
      <c r="Z524" s="74">
        <v>3.0372603171720125</v>
      </c>
      <c r="AA524" s="74">
        <v>3.0865940034848127</v>
      </c>
      <c r="AB524" s="73"/>
      <c r="AC524" s="72">
        <v>50706.097292852734</v>
      </c>
      <c r="AD524" s="72">
        <v>50577.640596751407</v>
      </c>
      <c r="AE524" s="73"/>
      <c r="AF524" s="74">
        <v>4.2939408878579028</v>
      </c>
      <c r="AG524" s="74">
        <v>4.416531198034912</v>
      </c>
      <c r="AH524" s="73"/>
      <c r="AI524" s="72">
        <v>3987744.7257040632</v>
      </c>
      <c r="AJ524" s="72">
        <v>0</v>
      </c>
      <c r="AK524" s="73"/>
      <c r="AL524" s="74">
        <v>-1733.7777714115625</v>
      </c>
      <c r="AM524" s="74">
        <v>0</v>
      </c>
      <c r="AN524" s="73"/>
      <c r="AO524" s="72">
        <v>261317.90852916165</v>
      </c>
      <c r="AP524" s="72">
        <v>0</v>
      </c>
      <c r="AQ524" s="73"/>
      <c r="AR524" s="74">
        <v>-95.180500135911089</v>
      </c>
      <c r="AS524" s="74">
        <v>0</v>
      </c>
      <c r="AT524" s="73"/>
      <c r="AU524" s="72">
        <v>39594341.145582944</v>
      </c>
      <c r="AV524" s="72">
        <v>0</v>
      </c>
      <c r="AW524" s="73"/>
      <c r="AX524" s="74">
        <v>-2504.8803073089666</v>
      </c>
      <c r="AY524" s="74">
        <v>0</v>
      </c>
      <c r="AZ524" s="73"/>
      <c r="BA524" s="72">
        <v>-206859.05719317452</v>
      </c>
      <c r="BB524" s="72">
        <v>0</v>
      </c>
      <c r="BC524" s="73"/>
      <c r="BD524" s="74">
        <v>-433.3576122123672</v>
      </c>
      <c r="BE524" s="74">
        <v>0</v>
      </c>
      <c r="BF524" s="73"/>
      <c r="BG524" s="72">
        <v>2077461.9621768419</v>
      </c>
      <c r="BH524" s="72">
        <v>0</v>
      </c>
      <c r="BI524" s="73"/>
      <c r="BJ524" s="74">
        <v>-1982.5880164573846</v>
      </c>
      <c r="BK524" s="74">
        <v>0</v>
      </c>
      <c r="BL524" s="73"/>
      <c r="BM524" s="72">
        <v>45714006.684799835</v>
      </c>
      <c r="BN524" s="72">
        <v>0</v>
      </c>
      <c r="BO524" s="73"/>
      <c r="BP524" s="74">
        <v>-6749.7842075261915</v>
      </c>
      <c r="BQ524" s="74">
        <v>0</v>
      </c>
      <c r="BS524" s="109">
        <f t="shared" si="201"/>
        <v>116219.03158151208</v>
      </c>
      <c r="BT524" s="109">
        <f t="shared" si="202"/>
        <v>116575.26645175552</v>
      </c>
      <c r="BV524" s="58">
        <f t="array" ref="BV524">SUM(IF(BS524:BT524&gt;=BS524, 1))</f>
        <v>2</v>
      </c>
      <c r="BW524" s="58">
        <f t="array" ref="BW524">SUM(IF(BS524:BT524&gt;=BT524, 1))</f>
        <v>1</v>
      </c>
      <c r="BY524" s="109">
        <f t="shared" si="203"/>
        <v>134272.55070902023</v>
      </c>
      <c r="BZ524" s="109">
        <f t="shared" si="204"/>
        <v>134584.74120889357</v>
      </c>
      <c r="CB524" s="58">
        <f t="array" ref="CB524">SUM(IF(BY524:BZ524&gt;=BY524, 1))</f>
        <v>2</v>
      </c>
      <c r="CC524" s="58">
        <f t="array" ref="CC524">SUM(IF(BY524:BZ524&gt;=BZ524, 1))</f>
        <v>1</v>
      </c>
      <c r="CE524" s="109">
        <f t="shared" si="205"/>
        <v>90279.203604256516</v>
      </c>
      <c r="CF524" s="109">
        <f t="shared" si="206"/>
        <v>94054.560605634819</v>
      </c>
      <c r="CH524" s="58">
        <f t="array" ref="CH524">SUM(IF(CE524:CF524&gt;=CE524, 1))</f>
        <v>2</v>
      </c>
      <c r="CI524" s="58">
        <f t="array" ref="CI524">SUM(IF(CE524:CF524&gt;=CF524, 1))</f>
        <v>1</v>
      </c>
      <c r="CK524" s="109">
        <f t="shared" si="207"/>
        <v>43901.05677555321</v>
      </c>
      <c r="CL524" s="109">
        <f t="shared" si="208"/>
        <v>44864.181544664032</v>
      </c>
      <c r="CN524" s="58">
        <f t="array" ref="CN524">SUM(IF(CK524:CL524&gt;=CK524, 1))</f>
        <v>2</v>
      </c>
      <c r="CO524" s="58">
        <f t="array" ref="CO524">SUM(IF(CK524:CL524&gt;=CL524, 1))</f>
        <v>1</v>
      </c>
      <c r="CQ524" s="109" cm="1">
        <f t="array" ref="CQ524">AF524*WTP-AC524</f>
        <v>35172.720464305326</v>
      </c>
      <c r="CR524" s="109">
        <f t="shared" si="209"/>
        <v>37752.983363946834</v>
      </c>
      <c r="CT524" s="58">
        <f t="array" ref="CT524">SUM(IF(CQ524:CR524&gt;=CQ524, 1))</f>
        <v>2</v>
      </c>
      <c r="CU524" s="58">
        <f t="array" ref="CU524">SUM(IF(CQ524:CR524&gt;=CR524, 1))</f>
        <v>1</v>
      </c>
      <c r="CW524" s="109">
        <f t="shared" si="210"/>
        <v>-38663300.153935321</v>
      </c>
      <c r="CX524" s="109">
        <f t="shared" si="211"/>
        <v>0</v>
      </c>
      <c r="CZ524" s="58">
        <f t="array" ref="CZ524">SUM(IF(CW524:CX524&gt;=CW524, 1))</f>
        <v>2</v>
      </c>
      <c r="DA524" s="58">
        <f t="array" ref="DA524">SUM(IF(CW524:CX524&gt;=CX524, 1))</f>
        <v>1</v>
      </c>
      <c r="DC524" s="109">
        <f t="shared" si="212"/>
        <v>-2164927.9112473833</v>
      </c>
      <c r="DD524" s="109">
        <f t="shared" si="213"/>
        <v>0</v>
      </c>
      <c r="DF524" s="58">
        <f t="array" ref="DF524">SUM(IF(DC524:DD524&gt;=DC524, 1))</f>
        <v>2</v>
      </c>
      <c r="DG524" s="58">
        <f t="array" ref="DG524">SUM(IF(DC524:DD524&gt;=DD524, 1))</f>
        <v>1</v>
      </c>
      <c r="DI524" s="109">
        <f t="shared" si="214"/>
        <v>-89691947.291762277</v>
      </c>
      <c r="DJ524" s="109">
        <f t="shared" si="215"/>
        <v>0</v>
      </c>
      <c r="DL524" s="58">
        <f t="array" ref="DL524">SUM(IF(DI524:DJ524&gt;=DI524, 1))</f>
        <v>2</v>
      </c>
      <c r="DM524" s="58">
        <f t="array" ref="DM524">SUM(IF(DI524:DJ524&gt;=DJ524, 1))</f>
        <v>1</v>
      </c>
      <c r="DO524" s="109">
        <f t="shared" si="216"/>
        <v>-8460293.1870541684</v>
      </c>
      <c r="DP524" s="109">
        <f t="shared" si="217"/>
        <v>0</v>
      </c>
      <c r="DR524" s="58">
        <f t="array" ref="DR524">SUM(IF(DO524:DP524&gt;=DO524, 1))</f>
        <v>2</v>
      </c>
      <c r="DS524" s="58">
        <f t="array" ref="DS524">SUM(IF(DO524:DP524&gt;=DP524, 1))</f>
        <v>1</v>
      </c>
      <c r="DU524" s="109">
        <f t="shared" si="218"/>
        <v>-41729222.291324534</v>
      </c>
      <c r="DV524" s="109">
        <f t="shared" si="219"/>
        <v>0</v>
      </c>
      <c r="DX524" s="58">
        <f t="array" ref="DX524">SUM(IF(DU524:DV524&gt;=DU524, 1))</f>
        <v>2</v>
      </c>
      <c r="DY524" s="58">
        <f t="array" ref="DY524">SUM(IF(DU524:DV524&gt;=DV524, 1))</f>
        <v>1</v>
      </c>
      <c r="EA524" s="109">
        <f t="shared" si="220"/>
        <v>-180709690.83532369</v>
      </c>
      <c r="EB524" s="109">
        <f t="shared" si="221"/>
        <v>0</v>
      </c>
      <c r="ED524" s="58">
        <f t="array" ref="ED524">SUM(IF(EA524:EB524&gt;=EA524, 1))</f>
        <v>2</v>
      </c>
      <c r="EE524" s="58">
        <f t="array" ref="EE524">SUM(IF(EA524:EB524&gt;=EB524, 1))</f>
        <v>1</v>
      </c>
    </row>
    <row r="525" spans="4:135" ht="12" customHeight="1" x14ac:dyDescent="0.25">
      <c r="D525" s="11">
        <v>509</v>
      </c>
      <c r="E525" s="72">
        <v>227.8048324720603</v>
      </c>
      <c r="F525" s="72">
        <v>214.16484886778198</v>
      </c>
      <c r="G525" s="73"/>
      <c r="H525" s="74">
        <v>5.8375580833543967</v>
      </c>
      <c r="I525" s="74">
        <v>5.8552898050040492</v>
      </c>
      <c r="J525" s="73"/>
      <c r="K525" s="72">
        <v>244.9519917987584</v>
      </c>
      <c r="L525" s="72">
        <v>230.95935890991188</v>
      </c>
      <c r="M525" s="73"/>
      <c r="N525" s="74">
        <v>6.7092490413903665</v>
      </c>
      <c r="O525" s="74">
        <v>6.7248952068056393</v>
      </c>
      <c r="P525" s="73"/>
      <c r="Q525" s="72">
        <v>2995.9256123492737</v>
      </c>
      <c r="R525" s="72">
        <v>1241.457059497433</v>
      </c>
      <c r="S525" s="73"/>
      <c r="T525" s="74">
        <v>4.8794707023177866</v>
      </c>
      <c r="U525" s="74">
        <v>5.0153574248591548</v>
      </c>
      <c r="V525" s="73"/>
      <c r="W525" s="72">
        <v>9990.1617956664995</v>
      </c>
      <c r="X525" s="72">
        <v>9960.9878871368473</v>
      </c>
      <c r="Y525" s="73"/>
      <c r="Z525" s="74">
        <v>2.9832563980561035</v>
      </c>
      <c r="AA525" s="74">
        <v>3.020656307100452</v>
      </c>
      <c r="AB525" s="73"/>
      <c r="AC525" s="72">
        <v>49342.321304090699</v>
      </c>
      <c r="AD525" s="72">
        <v>49265.394436918927</v>
      </c>
      <c r="AE525" s="73"/>
      <c r="AF525" s="74">
        <v>4.0359494296988743</v>
      </c>
      <c r="AG525" s="74">
        <v>4.1386148748453548</v>
      </c>
      <c r="AH525" s="73"/>
      <c r="AI525" s="72">
        <v>1457117.2575745485</v>
      </c>
      <c r="AJ525" s="72">
        <v>0</v>
      </c>
      <c r="AK525" s="73"/>
      <c r="AL525" s="74">
        <v>-1894.2249764957708</v>
      </c>
      <c r="AM525" s="74">
        <v>0</v>
      </c>
      <c r="AN525" s="73"/>
      <c r="AO525" s="72">
        <v>93854.858496586879</v>
      </c>
      <c r="AP525" s="72">
        <v>0</v>
      </c>
      <c r="AQ525" s="73"/>
      <c r="AR525" s="74">
        <v>-104.94584205343784</v>
      </c>
      <c r="AS525" s="74">
        <v>0</v>
      </c>
      <c r="AT525" s="73"/>
      <c r="AU525" s="72">
        <v>40750478.105132662</v>
      </c>
      <c r="AV525" s="72">
        <v>0</v>
      </c>
      <c r="AW525" s="73"/>
      <c r="AX525" s="74">
        <v>-3156.1973012849339</v>
      </c>
      <c r="AY525" s="74">
        <v>0</v>
      </c>
      <c r="AZ525" s="73"/>
      <c r="BA525" s="72">
        <v>253046.34607270858</v>
      </c>
      <c r="BB525" s="72">
        <v>0</v>
      </c>
      <c r="BC525" s="73"/>
      <c r="BD525" s="74">
        <v>-324.39638033090267</v>
      </c>
      <c r="BE525" s="74">
        <v>0</v>
      </c>
      <c r="BF525" s="73"/>
      <c r="BG525" s="72">
        <v>1229439.4724397839</v>
      </c>
      <c r="BH525" s="72">
        <v>0</v>
      </c>
      <c r="BI525" s="73"/>
      <c r="BJ525" s="74">
        <v>-1640.7915122403383</v>
      </c>
      <c r="BK525" s="74">
        <v>0</v>
      </c>
      <c r="BL525" s="73"/>
      <c r="BM525" s="72">
        <v>43783936.039716288</v>
      </c>
      <c r="BN525" s="72">
        <v>0</v>
      </c>
      <c r="BO525" s="73"/>
      <c r="BP525" s="74">
        <v>-7120.5560124053836</v>
      </c>
      <c r="BQ525" s="74">
        <v>0</v>
      </c>
      <c r="BS525" s="109">
        <f t="shared" si="201"/>
        <v>116523.35683461587</v>
      </c>
      <c r="BT525" s="109">
        <f t="shared" si="202"/>
        <v>116891.6312512132</v>
      </c>
      <c r="BV525" s="58">
        <f t="array" ref="BV525">SUM(IF(BS525:BT525&gt;=BS525, 1))</f>
        <v>2</v>
      </c>
      <c r="BW525" s="58">
        <f t="array" ref="BW525">SUM(IF(BS525:BT525&gt;=BT525, 1))</f>
        <v>1</v>
      </c>
      <c r="BY525" s="109">
        <f t="shared" si="203"/>
        <v>133940.02883600857</v>
      </c>
      <c r="BZ525" s="109">
        <f t="shared" si="204"/>
        <v>134266.94477720285</v>
      </c>
      <c r="CB525" s="58">
        <f t="array" ref="CB525">SUM(IF(BY525:BZ525&gt;=BY525, 1))</f>
        <v>2</v>
      </c>
      <c r="CC525" s="58">
        <f t="array" ref="CC525">SUM(IF(BY525:BZ525&gt;=BZ525, 1))</f>
        <v>1</v>
      </c>
      <c r="CE525" s="109">
        <f t="shared" si="205"/>
        <v>94593.48843400646</v>
      </c>
      <c r="CF525" s="109">
        <f t="shared" si="206"/>
        <v>99065.691437685658</v>
      </c>
      <c r="CH525" s="58">
        <f t="array" ref="CH525">SUM(IF(CE525:CF525&gt;=CE525, 1))</f>
        <v>2</v>
      </c>
      <c r="CI525" s="58">
        <f t="array" ref="CI525">SUM(IF(CE525:CF525&gt;=CF525, 1))</f>
        <v>1</v>
      </c>
      <c r="CK525" s="109">
        <f t="shared" si="207"/>
        <v>49674.966165455575</v>
      </c>
      <c r="CL525" s="109">
        <f t="shared" si="208"/>
        <v>50452.138254872189</v>
      </c>
      <c r="CN525" s="58">
        <f t="array" ref="CN525">SUM(IF(CK525:CL525&gt;=CK525, 1))</f>
        <v>2</v>
      </c>
      <c r="CO525" s="58">
        <f t="array" ref="CO525">SUM(IF(CK525:CL525&gt;=CL525, 1))</f>
        <v>1</v>
      </c>
      <c r="CQ525" s="109" cm="1">
        <f t="array" ref="CQ525">AF525*WTP-AC525</f>
        <v>31376.667289886784</v>
      </c>
      <c r="CR525" s="109">
        <f t="shared" si="209"/>
        <v>33506.903059988166</v>
      </c>
      <c r="CT525" s="58">
        <f t="array" ref="CT525">SUM(IF(CQ525:CR525&gt;=CQ525, 1))</f>
        <v>2</v>
      </c>
      <c r="CU525" s="58">
        <f t="array" ref="CU525">SUM(IF(CQ525:CR525&gt;=CR525, 1))</f>
        <v>1</v>
      </c>
      <c r="CW525" s="109">
        <f t="shared" si="210"/>
        <v>-39341616.787489966</v>
      </c>
      <c r="CX525" s="109">
        <f t="shared" si="211"/>
        <v>0</v>
      </c>
      <c r="CZ525" s="58">
        <f t="array" ref="CZ525">SUM(IF(CW525:CX525&gt;=CW525, 1))</f>
        <v>2</v>
      </c>
      <c r="DA525" s="58">
        <f t="array" ref="DA525">SUM(IF(CW525:CX525&gt;=CX525, 1))</f>
        <v>1</v>
      </c>
      <c r="DC525" s="109">
        <f t="shared" si="212"/>
        <v>-2192771.6995653436</v>
      </c>
      <c r="DD525" s="109">
        <f t="shared" si="213"/>
        <v>0</v>
      </c>
      <c r="DF525" s="58">
        <f t="array" ref="DF525">SUM(IF(DC525:DD525&gt;=DC525, 1))</f>
        <v>2</v>
      </c>
      <c r="DG525" s="58">
        <f t="array" ref="DG525">SUM(IF(DC525:DD525&gt;=DD525, 1))</f>
        <v>1</v>
      </c>
      <c r="DI525" s="109">
        <f t="shared" si="214"/>
        <v>-103874424.13083133</v>
      </c>
      <c r="DJ525" s="109">
        <f t="shared" si="215"/>
        <v>0</v>
      </c>
      <c r="DL525" s="58">
        <f t="array" ref="DL525">SUM(IF(DI525:DJ525&gt;=DI525, 1))</f>
        <v>2</v>
      </c>
      <c r="DM525" s="58">
        <f t="array" ref="DM525">SUM(IF(DI525:DJ525&gt;=DJ525, 1))</f>
        <v>1</v>
      </c>
      <c r="DO525" s="109">
        <f t="shared" si="216"/>
        <v>-6740973.9526907615</v>
      </c>
      <c r="DP525" s="109">
        <f t="shared" si="217"/>
        <v>0</v>
      </c>
      <c r="DR525" s="58">
        <f t="array" ref="DR525">SUM(IF(DO525:DP525&gt;=DO525, 1))</f>
        <v>2</v>
      </c>
      <c r="DS525" s="58">
        <f t="array" ref="DS525">SUM(IF(DO525:DP525&gt;=DP525, 1))</f>
        <v>1</v>
      </c>
      <c r="DU525" s="109">
        <f t="shared" si="218"/>
        <v>-34045269.717246547</v>
      </c>
      <c r="DV525" s="109">
        <f t="shared" si="219"/>
        <v>0</v>
      </c>
      <c r="DX525" s="58">
        <f t="array" ref="DX525">SUM(IF(DU525:DV525&gt;=DU525, 1))</f>
        <v>2</v>
      </c>
      <c r="DY525" s="58">
        <f t="array" ref="DY525">SUM(IF(DU525:DV525&gt;=DV525, 1))</f>
        <v>1</v>
      </c>
      <c r="EA525" s="109">
        <f t="shared" si="220"/>
        <v>-186195056.28782398</v>
      </c>
      <c r="EB525" s="109">
        <f t="shared" si="221"/>
        <v>0</v>
      </c>
      <c r="ED525" s="58">
        <f t="array" ref="ED525">SUM(IF(EA525:EB525&gt;=EA525, 1))</f>
        <v>2</v>
      </c>
      <c r="EE525" s="58">
        <f t="array" ref="EE525">SUM(IF(EA525:EB525&gt;=EB525, 1))</f>
        <v>1</v>
      </c>
    </row>
    <row r="526" spans="4:135" ht="12" customHeight="1" x14ac:dyDescent="0.25">
      <c r="D526" s="11">
        <v>510</v>
      </c>
      <c r="E526" s="72">
        <v>344.19817909121241</v>
      </c>
      <c r="F526" s="72">
        <v>328.59472059130144</v>
      </c>
      <c r="G526" s="73"/>
      <c r="H526" s="74">
        <v>5.795079385362742</v>
      </c>
      <c r="I526" s="74">
        <v>5.8075084074523513</v>
      </c>
      <c r="J526" s="73"/>
      <c r="K526" s="72">
        <v>370.42669224795878</v>
      </c>
      <c r="L526" s="72">
        <v>354.37874937846556</v>
      </c>
      <c r="M526" s="73"/>
      <c r="N526" s="74">
        <v>6.7065504426015936</v>
      </c>
      <c r="O526" s="74">
        <v>6.7161298029830458</v>
      </c>
      <c r="P526" s="73"/>
      <c r="Q526" s="72">
        <v>2627.6672827801854</v>
      </c>
      <c r="R526" s="72">
        <v>1502.2623402252723</v>
      </c>
      <c r="S526" s="73"/>
      <c r="T526" s="74">
        <v>4.7400540396148605</v>
      </c>
      <c r="U526" s="74">
        <v>4.8283888685842973</v>
      </c>
      <c r="V526" s="73"/>
      <c r="W526" s="72">
        <v>13890.816670916407</v>
      </c>
      <c r="X526" s="72">
        <v>13934.560538907795</v>
      </c>
      <c r="Y526" s="73"/>
      <c r="Z526" s="74">
        <v>2.8655906784267584</v>
      </c>
      <c r="AA526" s="74">
        <v>2.9304501191663563</v>
      </c>
      <c r="AB526" s="73"/>
      <c r="AC526" s="72">
        <v>50021.912682128459</v>
      </c>
      <c r="AD526" s="72">
        <v>49867.218312354795</v>
      </c>
      <c r="AE526" s="73"/>
      <c r="AF526" s="74">
        <v>4.6800385831391837</v>
      </c>
      <c r="AG526" s="74">
        <v>4.7627452515029409</v>
      </c>
      <c r="AH526" s="73"/>
      <c r="AI526" s="72">
        <v>1679629.6482056684</v>
      </c>
      <c r="AJ526" s="72">
        <v>0</v>
      </c>
      <c r="AK526" s="73"/>
      <c r="AL526" s="74">
        <v>-1337.9183852112033</v>
      </c>
      <c r="AM526" s="74">
        <v>0</v>
      </c>
      <c r="AN526" s="73"/>
      <c r="AO526" s="72">
        <v>110023.7160023795</v>
      </c>
      <c r="AP526" s="72">
        <v>0</v>
      </c>
      <c r="AQ526" s="73"/>
      <c r="AR526" s="74">
        <v>-65.675509606710705</v>
      </c>
      <c r="AS526" s="74">
        <v>0</v>
      </c>
      <c r="AT526" s="73"/>
      <c r="AU526" s="72">
        <v>26804677.728126518</v>
      </c>
      <c r="AV526" s="72">
        <v>0</v>
      </c>
      <c r="AW526" s="73"/>
      <c r="AX526" s="74">
        <v>-2103.941908518314</v>
      </c>
      <c r="AY526" s="74">
        <v>0</v>
      </c>
      <c r="AZ526" s="73"/>
      <c r="BA526" s="72">
        <v>-381594.97853566898</v>
      </c>
      <c r="BB526" s="72">
        <v>0</v>
      </c>
      <c r="BC526" s="73"/>
      <c r="BD526" s="74">
        <v>-565.79443092994711</v>
      </c>
      <c r="BE526" s="74">
        <v>0</v>
      </c>
      <c r="BF526" s="73"/>
      <c r="BG526" s="72">
        <v>2444318.3893549335</v>
      </c>
      <c r="BH526" s="72">
        <v>0</v>
      </c>
      <c r="BI526" s="73"/>
      <c r="BJ526" s="74">
        <v>-1306.8441385397357</v>
      </c>
      <c r="BK526" s="74">
        <v>0</v>
      </c>
      <c r="BL526" s="73"/>
      <c r="BM526" s="72">
        <v>30657054.503153827</v>
      </c>
      <c r="BN526" s="72">
        <v>0</v>
      </c>
      <c r="BO526" s="73"/>
      <c r="BP526" s="74">
        <v>-5380.1743728059109</v>
      </c>
      <c r="BQ526" s="74">
        <v>0</v>
      </c>
      <c r="BS526" s="109">
        <f t="shared" si="201"/>
        <v>115557.38952816364</v>
      </c>
      <c r="BT526" s="109">
        <f t="shared" si="202"/>
        <v>115821.57342845573</v>
      </c>
      <c r="BV526" s="58">
        <f t="array" ref="BV526">SUM(IF(BS526:BT526&gt;=BS526, 1))</f>
        <v>2</v>
      </c>
      <c r="BW526" s="58">
        <f t="array" ref="BW526">SUM(IF(BS526:BT526&gt;=BT526, 1))</f>
        <v>1</v>
      </c>
      <c r="BY526" s="109">
        <f t="shared" si="203"/>
        <v>133760.58215978389</v>
      </c>
      <c r="BZ526" s="109">
        <f t="shared" si="204"/>
        <v>133968.21731028246</v>
      </c>
      <c r="CB526" s="58">
        <f t="array" ref="CB526">SUM(IF(BY526:BZ526&gt;=BY526, 1))</f>
        <v>2</v>
      </c>
      <c r="CC526" s="58">
        <f t="array" ref="CC526">SUM(IF(BY526:BZ526&gt;=BZ526, 1))</f>
        <v>1</v>
      </c>
      <c r="CE526" s="109">
        <f t="shared" si="205"/>
        <v>92173.413509517035</v>
      </c>
      <c r="CF526" s="109">
        <f t="shared" si="206"/>
        <v>95065.515031460673</v>
      </c>
      <c r="CH526" s="58">
        <f t="array" ref="CH526">SUM(IF(CE526:CF526&gt;=CE526, 1))</f>
        <v>2</v>
      </c>
      <c r="CI526" s="58">
        <f t="array" ref="CI526">SUM(IF(CE526:CF526&gt;=CF526, 1))</f>
        <v>1</v>
      </c>
      <c r="CK526" s="109">
        <f t="shared" si="207"/>
        <v>43420.996897618759</v>
      </c>
      <c r="CL526" s="109">
        <f t="shared" si="208"/>
        <v>44674.441844419329</v>
      </c>
      <c r="CN526" s="58">
        <f t="array" ref="CN526">SUM(IF(CK526:CL526&gt;=CK526, 1))</f>
        <v>2</v>
      </c>
      <c r="CO526" s="58">
        <f t="array" ref="CO526">SUM(IF(CK526:CL526&gt;=CL526, 1))</f>
        <v>1</v>
      </c>
      <c r="CQ526" s="109" cm="1">
        <f t="array" ref="CQ526">AF526*WTP-AC526</f>
        <v>43578.858980655219</v>
      </c>
      <c r="CR526" s="109">
        <f t="shared" si="209"/>
        <v>45387.686717704019</v>
      </c>
      <c r="CT526" s="58">
        <f t="array" ref="CT526">SUM(IF(CQ526:CR526&gt;=CQ526, 1))</f>
        <v>2</v>
      </c>
      <c r="CU526" s="58">
        <f t="array" ref="CU526">SUM(IF(CQ526:CR526&gt;=CR526, 1))</f>
        <v>1</v>
      </c>
      <c r="CW526" s="109">
        <f t="shared" si="210"/>
        <v>-28437997.352429733</v>
      </c>
      <c r="CX526" s="109">
        <f t="shared" si="211"/>
        <v>0</v>
      </c>
      <c r="CZ526" s="58">
        <f t="array" ref="CZ526">SUM(IF(CW526:CX526&gt;=CW526, 1))</f>
        <v>2</v>
      </c>
      <c r="DA526" s="58">
        <f t="array" ref="DA526">SUM(IF(CW526:CX526&gt;=CX526, 1))</f>
        <v>1</v>
      </c>
      <c r="DC526" s="109">
        <f t="shared" si="212"/>
        <v>-1423533.9081365936</v>
      </c>
      <c r="DD526" s="109">
        <f t="shared" si="213"/>
        <v>0</v>
      </c>
      <c r="DF526" s="58">
        <f t="array" ref="DF526">SUM(IF(DC526:DD526&gt;=DC526, 1))</f>
        <v>2</v>
      </c>
      <c r="DG526" s="58">
        <f t="array" ref="DG526">SUM(IF(DC526:DD526&gt;=DD526, 1))</f>
        <v>1</v>
      </c>
      <c r="DI526" s="109">
        <f t="shared" si="214"/>
        <v>-68883515.898492798</v>
      </c>
      <c r="DJ526" s="109">
        <f t="shared" si="215"/>
        <v>0</v>
      </c>
      <c r="DL526" s="58">
        <f t="array" ref="DL526">SUM(IF(DI526:DJ526&gt;=DI526, 1))</f>
        <v>2</v>
      </c>
      <c r="DM526" s="58">
        <f t="array" ref="DM526">SUM(IF(DI526:DJ526&gt;=DJ526, 1))</f>
        <v>1</v>
      </c>
      <c r="DO526" s="109">
        <f t="shared" si="216"/>
        <v>-10934293.640063273</v>
      </c>
      <c r="DP526" s="109">
        <f t="shared" si="217"/>
        <v>0</v>
      </c>
      <c r="DR526" s="58">
        <f t="array" ref="DR526">SUM(IF(DO526:DP526&gt;=DO526, 1))</f>
        <v>2</v>
      </c>
      <c r="DS526" s="58">
        <f t="array" ref="DS526">SUM(IF(DO526:DP526&gt;=DP526, 1))</f>
        <v>1</v>
      </c>
      <c r="DU526" s="109">
        <f t="shared" si="218"/>
        <v>-28581201.160149649</v>
      </c>
      <c r="DV526" s="109">
        <f t="shared" si="219"/>
        <v>0</v>
      </c>
      <c r="DX526" s="58">
        <f t="array" ref="DX526">SUM(IF(DU526:DV526&gt;=DU526, 1))</f>
        <v>2</v>
      </c>
      <c r="DY526" s="58">
        <f t="array" ref="DY526">SUM(IF(DU526:DV526&gt;=DV526, 1))</f>
        <v>1</v>
      </c>
      <c r="EA526" s="109">
        <f t="shared" si="220"/>
        <v>-138260541.95927206</v>
      </c>
      <c r="EB526" s="109">
        <f t="shared" si="221"/>
        <v>0</v>
      </c>
      <c r="ED526" s="58">
        <f t="array" ref="ED526">SUM(IF(EA526:EB526&gt;=EA526, 1))</f>
        <v>2</v>
      </c>
      <c r="EE526" s="58">
        <f t="array" ref="EE526">SUM(IF(EA526:EB526&gt;=EB526, 1))</f>
        <v>1</v>
      </c>
    </row>
    <row r="527" spans="4:135" ht="12" customHeight="1" x14ac:dyDescent="0.25">
      <c r="D527" s="11">
        <v>511</v>
      </c>
      <c r="E527" s="72">
        <v>249.62701885831137</v>
      </c>
      <c r="F527" s="72">
        <v>235.15162080885131</v>
      </c>
      <c r="G527" s="73"/>
      <c r="H527" s="74">
        <v>5.8050296809000743</v>
      </c>
      <c r="I527" s="74">
        <v>5.8251313053958098</v>
      </c>
      <c r="J527" s="73"/>
      <c r="K527" s="72">
        <v>268.48451214030371</v>
      </c>
      <c r="L527" s="72">
        <v>253.63972882565284</v>
      </c>
      <c r="M527" s="73"/>
      <c r="N527" s="74">
        <v>6.7258492875068985</v>
      </c>
      <c r="O527" s="74">
        <v>6.7437647976564259</v>
      </c>
      <c r="P527" s="73"/>
      <c r="Q527" s="72">
        <v>1835.1799271457144</v>
      </c>
      <c r="R527" s="72">
        <v>1142.35804917465</v>
      </c>
      <c r="S527" s="73"/>
      <c r="T527" s="74">
        <v>4.7059602622374062</v>
      </c>
      <c r="U527" s="74">
        <v>4.7769810897953162</v>
      </c>
      <c r="V527" s="73"/>
      <c r="W527" s="72">
        <v>8774.0423349243629</v>
      </c>
      <c r="X527" s="72">
        <v>8721.6133838687438</v>
      </c>
      <c r="Y527" s="73"/>
      <c r="Z527" s="74">
        <v>2.9773833147234434</v>
      </c>
      <c r="AA527" s="74">
        <v>3.0126279973651089</v>
      </c>
      <c r="AB527" s="73"/>
      <c r="AC527" s="72">
        <v>50212.608532892184</v>
      </c>
      <c r="AD527" s="72">
        <v>50231.874250945584</v>
      </c>
      <c r="AE527" s="73"/>
      <c r="AF527" s="74">
        <v>4.7059788668708702</v>
      </c>
      <c r="AG527" s="74">
        <v>4.7603732357299906</v>
      </c>
      <c r="AH527" s="73"/>
      <c r="AI527" s="72">
        <v>1569441.604990796</v>
      </c>
      <c r="AJ527" s="72">
        <v>0</v>
      </c>
      <c r="AK527" s="73"/>
      <c r="AL527" s="74">
        <v>-2179.4444410933597</v>
      </c>
      <c r="AM527" s="74">
        <v>0</v>
      </c>
      <c r="AN527" s="73"/>
      <c r="AO527" s="72">
        <v>103674.94179414616</v>
      </c>
      <c r="AP527" s="72">
        <v>0</v>
      </c>
      <c r="AQ527" s="73"/>
      <c r="AR527" s="74">
        <v>-125.1206860076942</v>
      </c>
      <c r="AS527" s="74">
        <v>0</v>
      </c>
      <c r="AT527" s="73"/>
      <c r="AU527" s="72">
        <v>15965310.86302744</v>
      </c>
      <c r="AV527" s="72">
        <v>0</v>
      </c>
      <c r="AW527" s="73"/>
      <c r="AX527" s="74">
        <v>-1636.5961089913155</v>
      </c>
      <c r="AY527" s="74">
        <v>0</v>
      </c>
      <c r="AZ527" s="73"/>
      <c r="BA527" s="72">
        <v>458143.21788376832</v>
      </c>
      <c r="BB527" s="72">
        <v>0</v>
      </c>
      <c r="BC527" s="73"/>
      <c r="BD527" s="74">
        <v>-307.98083870904054</v>
      </c>
      <c r="BE527" s="74">
        <v>0</v>
      </c>
      <c r="BF527" s="73"/>
      <c r="BG527" s="72">
        <v>-302725.67313596292</v>
      </c>
      <c r="BH527" s="72">
        <v>0</v>
      </c>
      <c r="BI527" s="73"/>
      <c r="BJ527" s="74">
        <v>-854.70844543873807</v>
      </c>
      <c r="BK527" s="74">
        <v>0</v>
      </c>
      <c r="BL527" s="73"/>
      <c r="BM527" s="72">
        <v>17793844.95456019</v>
      </c>
      <c r="BN527" s="72">
        <v>0</v>
      </c>
      <c r="BO527" s="73"/>
      <c r="BP527" s="74">
        <v>-5103.8505202401475</v>
      </c>
      <c r="BQ527" s="74">
        <v>0</v>
      </c>
      <c r="BS527" s="109">
        <f t="shared" si="201"/>
        <v>115850.96659914317</v>
      </c>
      <c r="BT527" s="109">
        <f t="shared" si="202"/>
        <v>116267.47448710733</v>
      </c>
      <c r="BV527" s="58">
        <f t="array" ref="BV527">SUM(IF(BS527:BT527&gt;=BS527, 1))</f>
        <v>2</v>
      </c>
      <c r="BW527" s="58">
        <f t="array" ref="BW527">SUM(IF(BS527:BT527&gt;=BT527, 1))</f>
        <v>1</v>
      </c>
      <c r="BY527" s="109">
        <f t="shared" si="203"/>
        <v>134248.50123799767</v>
      </c>
      <c r="BZ527" s="109">
        <f t="shared" si="204"/>
        <v>134621.65622430286</v>
      </c>
      <c r="CB527" s="58">
        <f t="array" ref="CB527">SUM(IF(BY527:BZ527&gt;=BY527, 1))</f>
        <v>2</v>
      </c>
      <c r="CC527" s="58">
        <f t="array" ref="CC527">SUM(IF(BY527:BZ527&gt;=BZ527, 1))</f>
        <v>1</v>
      </c>
      <c r="CE527" s="109">
        <f t="shared" si="205"/>
        <v>92284.025317602413</v>
      </c>
      <c r="CF527" s="109">
        <f t="shared" si="206"/>
        <v>94397.263746731667</v>
      </c>
      <c r="CH527" s="58">
        <f t="array" ref="CH527">SUM(IF(CE527:CF527&gt;=CE527, 1))</f>
        <v>2</v>
      </c>
      <c r="CI527" s="58">
        <f t="array" ref="CI527">SUM(IF(CE527:CF527&gt;=CF527, 1))</f>
        <v>1</v>
      </c>
      <c r="CK527" s="109">
        <f t="shared" si="207"/>
        <v>50773.6239595445</v>
      </c>
      <c r="CL527" s="109">
        <f t="shared" si="208"/>
        <v>51530.946563433434</v>
      </c>
      <c r="CN527" s="58">
        <f t="array" ref="CN527">SUM(IF(CK527:CL527&gt;=CK527, 1))</f>
        <v>2</v>
      </c>
      <c r="CO527" s="58">
        <f t="array" ref="CO527">SUM(IF(CK527:CL527&gt;=CL527, 1))</f>
        <v>1</v>
      </c>
      <c r="CQ527" s="109" cm="1">
        <f t="array" ref="CQ527">AF527*WTP-AC527</f>
        <v>43906.968804525219</v>
      </c>
      <c r="CR527" s="109">
        <f t="shared" si="209"/>
        <v>44975.590463654233</v>
      </c>
      <c r="CT527" s="58">
        <f t="array" ref="CT527">SUM(IF(CQ527:CR527&gt;=CQ527, 1))</f>
        <v>2</v>
      </c>
      <c r="CU527" s="58">
        <f t="array" ref="CU527">SUM(IF(CQ527:CR527&gt;=CR527, 1))</f>
        <v>1</v>
      </c>
      <c r="CW527" s="109">
        <f t="shared" si="210"/>
        <v>-45158330.426857993</v>
      </c>
      <c r="CX527" s="109">
        <f t="shared" si="211"/>
        <v>0</v>
      </c>
      <c r="CZ527" s="58">
        <f t="array" ref="CZ527">SUM(IF(CW527:CX527&gt;=CW527, 1))</f>
        <v>2</v>
      </c>
      <c r="DA527" s="58">
        <f t="array" ref="DA527">SUM(IF(CW527:CX527&gt;=CX527, 1))</f>
        <v>1</v>
      </c>
      <c r="DC527" s="109">
        <f t="shared" si="212"/>
        <v>-2606088.6619480303</v>
      </c>
      <c r="DD527" s="109">
        <f t="shared" si="213"/>
        <v>0</v>
      </c>
      <c r="DF527" s="58">
        <f t="array" ref="DF527">SUM(IF(DC527:DD527&gt;=DC527, 1))</f>
        <v>2</v>
      </c>
      <c r="DG527" s="58">
        <f t="array" ref="DG527">SUM(IF(DC527:DD527&gt;=DD527, 1))</f>
        <v>1</v>
      </c>
      <c r="DI527" s="109">
        <f t="shared" si="214"/>
        <v>-48697233.04285375</v>
      </c>
      <c r="DJ527" s="109">
        <f t="shared" si="215"/>
        <v>0</v>
      </c>
      <c r="DL527" s="58">
        <f t="array" ref="DL527">SUM(IF(DI527:DJ527&gt;=DI527, 1))</f>
        <v>2</v>
      </c>
      <c r="DM527" s="58">
        <f t="array" ref="DM527">SUM(IF(DI527:DJ527&gt;=DJ527, 1))</f>
        <v>1</v>
      </c>
      <c r="DO527" s="109">
        <f t="shared" si="216"/>
        <v>-6617759.9920645794</v>
      </c>
      <c r="DP527" s="109">
        <f t="shared" si="217"/>
        <v>0</v>
      </c>
      <c r="DR527" s="58">
        <f t="array" ref="DR527">SUM(IF(DO527:DP527&gt;=DO527, 1))</f>
        <v>2</v>
      </c>
      <c r="DS527" s="58">
        <f t="array" ref="DS527">SUM(IF(DO527:DP527&gt;=DP527, 1))</f>
        <v>1</v>
      </c>
      <c r="DU527" s="109">
        <f t="shared" si="218"/>
        <v>-16791443.235638797</v>
      </c>
      <c r="DV527" s="109">
        <f t="shared" si="219"/>
        <v>0</v>
      </c>
      <c r="DX527" s="58">
        <f t="array" ref="DX527">SUM(IF(DU527:DV527&gt;=DU527, 1))</f>
        <v>2</v>
      </c>
      <c r="DY527" s="58">
        <f t="array" ref="DY527">SUM(IF(DU527:DV527&gt;=DV527, 1))</f>
        <v>1</v>
      </c>
      <c r="EA527" s="109">
        <f t="shared" si="220"/>
        <v>-119870855.35936314</v>
      </c>
      <c r="EB527" s="109">
        <f t="shared" si="221"/>
        <v>0</v>
      </c>
      <c r="ED527" s="58">
        <f t="array" ref="ED527">SUM(IF(EA527:EB527&gt;=EA527, 1))</f>
        <v>2</v>
      </c>
      <c r="EE527" s="58">
        <f t="array" ref="EE527">SUM(IF(EA527:EB527&gt;=EB527, 1))</f>
        <v>1</v>
      </c>
    </row>
    <row r="528" spans="4:135" ht="12" customHeight="1" x14ac:dyDescent="0.25">
      <c r="D528" s="11">
        <v>512</v>
      </c>
      <c r="E528" s="72">
        <v>279.8884969482715</v>
      </c>
      <c r="F528" s="72">
        <v>277.23841667550806</v>
      </c>
      <c r="G528" s="73"/>
      <c r="H528" s="74">
        <v>5.7633554495031305</v>
      </c>
      <c r="I528" s="74">
        <v>5.7758219834147395</v>
      </c>
      <c r="J528" s="73"/>
      <c r="K528" s="72">
        <v>301.80478856741593</v>
      </c>
      <c r="L528" s="72">
        <v>299.07519318608666</v>
      </c>
      <c r="M528" s="73"/>
      <c r="N528" s="74">
        <v>6.7257359406944133</v>
      </c>
      <c r="O528" s="74">
        <v>6.7369760290981056</v>
      </c>
      <c r="P528" s="73"/>
      <c r="Q528" s="72">
        <v>3066.8274286393221</v>
      </c>
      <c r="R528" s="72">
        <v>1704.3829376898564</v>
      </c>
      <c r="S528" s="73"/>
      <c r="T528" s="74">
        <v>4.7182138309837267</v>
      </c>
      <c r="U528" s="74">
        <v>4.824961990148017</v>
      </c>
      <c r="V528" s="73"/>
      <c r="W528" s="72">
        <v>12742.589326492169</v>
      </c>
      <c r="X528" s="72">
        <v>12701.079342533676</v>
      </c>
      <c r="Y528" s="73"/>
      <c r="Z528" s="74">
        <v>2.9484511941347709</v>
      </c>
      <c r="AA528" s="74">
        <v>2.9932918353546065</v>
      </c>
      <c r="AB528" s="73"/>
      <c r="AC528" s="72">
        <v>48843.266254648042</v>
      </c>
      <c r="AD528" s="72">
        <v>48898.029947875264</v>
      </c>
      <c r="AE528" s="73"/>
      <c r="AF528" s="74">
        <v>4.8110193949166531</v>
      </c>
      <c r="AG528" s="74">
        <v>4.9311992341892932</v>
      </c>
      <c r="AH528" s="73"/>
      <c r="AI528" s="72">
        <v>286979.54567216494</v>
      </c>
      <c r="AJ528" s="72">
        <v>0</v>
      </c>
      <c r="AK528" s="73"/>
      <c r="AL528" s="74">
        <v>-1350.01202598649</v>
      </c>
      <c r="AM528" s="74">
        <v>0</v>
      </c>
      <c r="AN528" s="73"/>
      <c r="AO528" s="72">
        <v>18618.10003242379</v>
      </c>
      <c r="AP528" s="72">
        <v>0</v>
      </c>
      <c r="AQ528" s="73"/>
      <c r="AR528" s="74">
        <v>-76.66670734595084</v>
      </c>
      <c r="AS528" s="74">
        <v>0</v>
      </c>
      <c r="AT528" s="73"/>
      <c r="AU528" s="72">
        <v>32440570.438490741</v>
      </c>
      <c r="AV528" s="72">
        <v>0</v>
      </c>
      <c r="AW528" s="73"/>
      <c r="AX528" s="74">
        <v>-2541.7337730472159</v>
      </c>
      <c r="AY528" s="74">
        <v>0</v>
      </c>
      <c r="AZ528" s="73"/>
      <c r="BA528" s="72">
        <v>358961.70128839731</v>
      </c>
      <c r="BB528" s="72">
        <v>0</v>
      </c>
      <c r="BC528" s="73"/>
      <c r="BD528" s="74">
        <v>-387.76389013375336</v>
      </c>
      <c r="BE528" s="74">
        <v>0</v>
      </c>
      <c r="BF528" s="73"/>
      <c r="BG528" s="72">
        <v>-838918.6185948092</v>
      </c>
      <c r="BH528" s="72">
        <v>0</v>
      </c>
      <c r="BI528" s="73"/>
      <c r="BJ528" s="74">
        <v>-1841.0209174028782</v>
      </c>
      <c r="BK528" s="74">
        <v>0</v>
      </c>
      <c r="BL528" s="73"/>
      <c r="BM528" s="72">
        <v>32266211.166888919</v>
      </c>
      <c r="BN528" s="72">
        <v>0</v>
      </c>
      <c r="BO528" s="73"/>
      <c r="BP528" s="74">
        <v>-6197.1973139162892</v>
      </c>
      <c r="BQ528" s="74">
        <v>0</v>
      </c>
      <c r="BS528" s="109">
        <f t="shared" si="201"/>
        <v>114987.22049311434</v>
      </c>
      <c r="BT528" s="109">
        <f t="shared" si="202"/>
        <v>115239.20125161928</v>
      </c>
      <c r="BV528" s="58">
        <f t="array" ref="BV528">SUM(IF(BS528:BT528&gt;=BS528, 1))</f>
        <v>2</v>
      </c>
      <c r="BW528" s="58">
        <f t="array" ref="BW528">SUM(IF(BS528:BT528&gt;=BT528, 1))</f>
        <v>1</v>
      </c>
      <c r="BY528" s="109">
        <f t="shared" si="203"/>
        <v>134212.91402532085</v>
      </c>
      <c r="BZ528" s="109">
        <f t="shared" si="204"/>
        <v>134440.44538877602</v>
      </c>
      <c r="CB528" s="58">
        <f t="array" ref="CB528">SUM(IF(BY528:BZ528&gt;=BY528, 1))</f>
        <v>2</v>
      </c>
      <c r="CC528" s="58">
        <f t="array" ref="CC528">SUM(IF(BY528:BZ528&gt;=BZ528, 1))</f>
        <v>1</v>
      </c>
      <c r="CE528" s="109">
        <f t="shared" si="205"/>
        <v>91297.449191035208</v>
      </c>
      <c r="CF528" s="109">
        <f t="shared" si="206"/>
        <v>94794.856865270485</v>
      </c>
      <c r="CH528" s="58">
        <f t="array" ref="CH528">SUM(IF(CE528:CF528&gt;=CE528, 1))</f>
        <v>2</v>
      </c>
      <c r="CI528" s="58">
        <f t="array" ref="CI528">SUM(IF(CE528:CF528&gt;=CF528, 1))</f>
        <v>1</v>
      </c>
      <c r="CK528" s="109">
        <f t="shared" si="207"/>
        <v>46226.434556203247</v>
      </c>
      <c r="CL528" s="109">
        <f t="shared" si="208"/>
        <v>47164.757364558456</v>
      </c>
      <c r="CN528" s="58">
        <f t="array" ref="CN528">SUM(IF(CK528:CL528&gt;=CK528, 1))</f>
        <v>2</v>
      </c>
      <c r="CO528" s="58">
        <f t="array" ref="CO528">SUM(IF(CK528:CL528&gt;=CL528, 1))</f>
        <v>1</v>
      </c>
      <c r="CQ528" s="109" cm="1">
        <f t="array" ref="CQ528">AF528*WTP-AC528</f>
        <v>47377.121643685023</v>
      </c>
      <c r="CR528" s="109">
        <f t="shared" si="209"/>
        <v>49725.9547359106</v>
      </c>
      <c r="CT528" s="58">
        <f t="array" ref="CT528">SUM(IF(CQ528:CR528&gt;=CQ528, 1))</f>
        <v>2</v>
      </c>
      <c r="CU528" s="58">
        <f t="array" ref="CU528">SUM(IF(CQ528:CR528&gt;=CR528, 1))</f>
        <v>1</v>
      </c>
      <c r="CW528" s="109">
        <f t="shared" si="210"/>
        <v>-27287220.065401964</v>
      </c>
      <c r="CX528" s="109">
        <f t="shared" si="211"/>
        <v>0</v>
      </c>
      <c r="CZ528" s="58">
        <f t="array" ref="CZ528">SUM(IF(CW528:CX528&gt;=CW528, 1))</f>
        <v>2</v>
      </c>
      <c r="DA528" s="58">
        <f t="array" ref="DA528">SUM(IF(CW528:CX528&gt;=CX528, 1))</f>
        <v>1</v>
      </c>
      <c r="DC528" s="109">
        <f t="shared" si="212"/>
        <v>-1551952.2469514406</v>
      </c>
      <c r="DD528" s="109">
        <f t="shared" si="213"/>
        <v>0</v>
      </c>
      <c r="DF528" s="58">
        <f t="array" ref="DF528">SUM(IF(DC528:DD528&gt;=DC528, 1))</f>
        <v>2</v>
      </c>
      <c r="DG528" s="58">
        <f t="array" ref="DG528">SUM(IF(DC528:DD528&gt;=DD528, 1))</f>
        <v>1</v>
      </c>
      <c r="DI528" s="109">
        <f t="shared" si="214"/>
        <v>-83275245.899435058</v>
      </c>
      <c r="DJ528" s="109">
        <f t="shared" si="215"/>
        <v>0</v>
      </c>
      <c r="DL528" s="58">
        <f t="array" ref="DL528">SUM(IF(DI528:DJ528&gt;=DI528, 1))</f>
        <v>2</v>
      </c>
      <c r="DM528" s="58">
        <f t="array" ref="DM528">SUM(IF(DI528:DJ528&gt;=DJ528, 1))</f>
        <v>1</v>
      </c>
      <c r="DO528" s="109">
        <f t="shared" si="216"/>
        <v>-8114239.5039634649</v>
      </c>
      <c r="DP528" s="109">
        <f t="shared" si="217"/>
        <v>0</v>
      </c>
      <c r="DR528" s="58">
        <f t="array" ref="DR528">SUM(IF(DO528:DP528&gt;=DO528, 1))</f>
        <v>2</v>
      </c>
      <c r="DS528" s="58">
        <f t="array" ref="DS528">SUM(IF(DO528:DP528&gt;=DP528, 1))</f>
        <v>1</v>
      </c>
      <c r="DU528" s="109">
        <f t="shared" si="218"/>
        <v>-35981499.729462758</v>
      </c>
      <c r="DV528" s="109">
        <f t="shared" si="219"/>
        <v>0</v>
      </c>
      <c r="DX528" s="58">
        <f t="array" ref="DX528">SUM(IF(DU528:DV528&gt;=DU528, 1))</f>
        <v>2</v>
      </c>
      <c r="DY528" s="58">
        <f t="array" ref="DY528">SUM(IF(DU528:DV528&gt;=DV528, 1))</f>
        <v>1</v>
      </c>
      <c r="EA528" s="109">
        <f t="shared" si="220"/>
        <v>-156210157.44521469</v>
      </c>
      <c r="EB528" s="109">
        <f t="shared" si="221"/>
        <v>0</v>
      </c>
      <c r="ED528" s="58">
        <f t="array" ref="ED528">SUM(IF(EA528:EB528&gt;=EA528, 1))</f>
        <v>2</v>
      </c>
      <c r="EE528" s="58">
        <f t="array" ref="EE528">SUM(IF(EA528:EB528&gt;=EB528, 1))</f>
        <v>1</v>
      </c>
    </row>
    <row r="529" spans="4:135" ht="12" customHeight="1" x14ac:dyDescent="0.25">
      <c r="D529" s="11">
        <v>513</v>
      </c>
      <c r="E529" s="72">
        <v>295.54816731564682</v>
      </c>
      <c r="F529" s="72">
        <v>278.76163888365022</v>
      </c>
      <c r="G529" s="73"/>
      <c r="H529" s="74">
        <v>5.8053299665451847</v>
      </c>
      <c r="I529" s="74">
        <v>5.8171011964128372</v>
      </c>
      <c r="J529" s="73"/>
      <c r="K529" s="72">
        <v>317.92024611080711</v>
      </c>
      <c r="L529" s="72">
        <v>300.67067579716348</v>
      </c>
      <c r="M529" s="73"/>
      <c r="N529" s="74">
        <v>6.7052979355129088</v>
      </c>
      <c r="O529" s="74">
        <v>6.7143536728740507</v>
      </c>
      <c r="P529" s="73"/>
      <c r="Q529" s="72">
        <v>2946.6857994345501</v>
      </c>
      <c r="R529" s="72">
        <v>1602.2705859762514</v>
      </c>
      <c r="S529" s="73"/>
      <c r="T529" s="74">
        <v>4.7197964357316851</v>
      </c>
      <c r="U529" s="74">
        <v>4.8201416693369641</v>
      </c>
      <c r="V529" s="73"/>
      <c r="W529" s="72">
        <v>12124.813933688627</v>
      </c>
      <c r="X529" s="72">
        <v>12161.172701566094</v>
      </c>
      <c r="Y529" s="73"/>
      <c r="Z529" s="74">
        <v>2.9984923615434322</v>
      </c>
      <c r="AA529" s="74">
        <v>3.0576701439505762</v>
      </c>
      <c r="AB529" s="73"/>
      <c r="AC529" s="72">
        <v>52076.268288437372</v>
      </c>
      <c r="AD529" s="72">
        <v>51506.881167623258</v>
      </c>
      <c r="AE529" s="73"/>
      <c r="AF529" s="74">
        <v>4.7490875719834591</v>
      </c>
      <c r="AG529" s="74">
        <v>4.85841286692468</v>
      </c>
      <c r="AH529" s="73"/>
      <c r="AI529" s="72">
        <v>1812140.4662841475</v>
      </c>
      <c r="AJ529" s="72">
        <v>0</v>
      </c>
      <c r="AK529" s="73"/>
      <c r="AL529" s="74">
        <v>-1270.7286123822116</v>
      </c>
      <c r="AM529" s="74">
        <v>0</v>
      </c>
      <c r="AN529" s="73"/>
      <c r="AO529" s="72">
        <v>113951.57186406961</v>
      </c>
      <c r="AP529" s="72">
        <v>0</v>
      </c>
      <c r="AQ529" s="73"/>
      <c r="AR529" s="74">
        <v>-59.822678937927478</v>
      </c>
      <c r="AS529" s="74">
        <v>0</v>
      </c>
      <c r="AT529" s="73"/>
      <c r="AU529" s="72">
        <v>31544794.50832729</v>
      </c>
      <c r="AV529" s="72">
        <v>0</v>
      </c>
      <c r="AW529" s="73"/>
      <c r="AX529" s="74">
        <v>-2354.4584606612748</v>
      </c>
      <c r="AY529" s="74">
        <v>0</v>
      </c>
      <c r="AZ529" s="73"/>
      <c r="BA529" s="72">
        <v>-335277.61899822135</v>
      </c>
      <c r="BB529" s="72">
        <v>0</v>
      </c>
      <c r="BC529" s="73"/>
      <c r="BD529" s="74">
        <v>-545.70017471241306</v>
      </c>
      <c r="BE529" s="74">
        <v>0</v>
      </c>
      <c r="BF529" s="73"/>
      <c r="BG529" s="72">
        <v>8937242.5212858692</v>
      </c>
      <c r="BH529" s="72">
        <v>0</v>
      </c>
      <c r="BI529" s="73"/>
      <c r="BJ529" s="74">
        <v>-1715.9971465525628</v>
      </c>
      <c r="BK529" s="74">
        <v>0</v>
      </c>
      <c r="BL529" s="73"/>
      <c r="BM529" s="72">
        <v>42072851.448763154</v>
      </c>
      <c r="BN529" s="72">
        <v>0</v>
      </c>
      <c r="BO529" s="73"/>
      <c r="BP529" s="74">
        <v>-5946.707073246389</v>
      </c>
      <c r="BQ529" s="74">
        <v>0</v>
      </c>
      <c r="BS529" s="109">
        <f t="shared" si="201"/>
        <v>115811.05116358805</v>
      </c>
      <c r="BT529" s="109">
        <f t="shared" si="202"/>
        <v>116063.2622893731</v>
      </c>
      <c r="BV529" s="58">
        <f t="array" ref="BV529">SUM(IF(BS529:BT529&gt;=BS529, 1))</f>
        <v>2</v>
      </c>
      <c r="BW529" s="58">
        <f t="array" ref="BW529">SUM(IF(BS529:BT529&gt;=BT529, 1))</f>
        <v>1</v>
      </c>
      <c r="BY529" s="109">
        <f t="shared" si="203"/>
        <v>133788.03846414736</v>
      </c>
      <c r="BZ529" s="109">
        <f t="shared" si="204"/>
        <v>133986.40278168386</v>
      </c>
      <c r="CB529" s="58">
        <f t="array" ref="CB529">SUM(IF(BY529:BZ529&gt;=BY529, 1))</f>
        <v>2</v>
      </c>
      <c r="CC529" s="58">
        <f t="array" ref="CC529">SUM(IF(BY529:BZ529&gt;=BZ529, 1))</f>
        <v>1</v>
      </c>
      <c r="CE529" s="109">
        <f t="shared" si="205"/>
        <v>91449.242915199153</v>
      </c>
      <c r="CF529" s="109">
        <f t="shared" si="206"/>
        <v>94800.562800763029</v>
      </c>
      <c r="CH529" s="58">
        <f t="array" ref="CH529">SUM(IF(CE529:CF529&gt;=CE529, 1))</f>
        <v>2</v>
      </c>
      <c r="CI529" s="58">
        <f t="array" ref="CI529">SUM(IF(CE529:CF529&gt;=CF529, 1))</f>
        <v>1</v>
      </c>
      <c r="CK529" s="109">
        <f t="shared" si="207"/>
        <v>47845.033297180024</v>
      </c>
      <c r="CL529" s="109">
        <f t="shared" si="208"/>
        <v>48992.230177445432</v>
      </c>
      <c r="CN529" s="58">
        <f t="array" ref="CN529">SUM(IF(CK529:CL529&gt;=CK529, 1))</f>
        <v>2</v>
      </c>
      <c r="CO529" s="58">
        <f t="array" ref="CO529">SUM(IF(CK529:CL529&gt;=CL529, 1))</f>
        <v>1</v>
      </c>
      <c r="CQ529" s="109" cm="1">
        <f t="array" ref="CQ529">AF529*WTP-AC529</f>
        <v>42905.483151231812</v>
      </c>
      <c r="CR529" s="109">
        <f t="shared" si="209"/>
        <v>45661.376170870339</v>
      </c>
      <c r="CT529" s="58">
        <f t="array" ref="CT529">SUM(IF(CQ529:CR529&gt;=CQ529, 1))</f>
        <v>2</v>
      </c>
      <c r="CU529" s="58">
        <f t="array" ref="CU529">SUM(IF(CQ529:CR529&gt;=CR529, 1))</f>
        <v>1</v>
      </c>
      <c r="CW529" s="109">
        <f t="shared" si="210"/>
        <v>-27226712.713928379</v>
      </c>
      <c r="CX529" s="109">
        <f t="shared" si="211"/>
        <v>0</v>
      </c>
      <c r="CZ529" s="58">
        <f t="array" ref="CZ529">SUM(IF(CW529:CX529&gt;=CW529, 1))</f>
        <v>2</v>
      </c>
      <c r="DA529" s="58">
        <f t="array" ref="DA529">SUM(IF(CW529:CX529&gt;=CX529, 1))</f>
        <v>1</v>
      </c>
      <c r="DC529" s="109">
        <f t="shared" si="212"/>
        <v>-1310405.1506226193</v>
      </c>
      <c r="DD529" s="109">
        <f t="shared" si="213"/>
        <v>0</v>
      </c>
      <c r="DF529" s="58">
        <f t="array" ref="DF529">SUM(IF(DC529:DD529&gt;=DC529, 1))</f>
        <v>2</v>
      </c>
      <c r="DG529" s="58">
        <f t="array" ref="DG529">SUM(IF(DC529:DD529&gt;=DD529, 1))</f>
        <v>1</v>
      </c>
      <c r="DI529" s="109">
        <f t="shared" si="214"/>
        <v>-78633963.721552789</v>
      </c>
      <c r="DJ529" s="109">
        <f t="shared" si="215"/>
        <v>0</v>
      </c>
      <c r="DL529" s="58">
        <f t="array" ref="DL529">SUM(IF(DI529:DJ529&gt;=DI529, 1))</f>
        <v>2</v>
      </c>
      <c r="DM529" s="58">
        <f t="array" ref="DM529">SUM(IF(DI529:DJ529&gt;=DJ529, 1))</f>
        <v>1</v>
      </c>
      <c r="DO529" s="109">
        <f t="shared" si="216"/>
        <v>-10578725.87525004</v>
      </c>
      <c r="DP529" s="109">
        <f t="shared" si="217"/>
        <v>0</v>
      </c>
      <c r="DR529" s="58">
        <f t="array" ref="DR529">SUM(IF(DO529:DP529&gt;=DO529, 1))</f>
        <v>2</v>
      </c>
      <c r="DS529" s="58">
        <f t="array" ref="DS529">SUM(IF(DO529:DP529&gt;=DP529, 1))</f>
        <v>1</v>
      </c>
      <c r="DU529" s="109">
        <f t="shared" si="218"/>
        <v>-43257185.452337123</v>
      </c>
      <c r="DV529" s="109">
        <f t="shared" si="219"/>
        <v>0</v>
      </c>
      <c r="DX529" s="58">
        <f t="array" ref="DX529">SUM(IF(DU529:DV529&gt;=DU529, 1))</f>
        <v>2</v>
      </c>
      <c r="DY529" s="58">
        <f t="array" ref="DY529">SUM(IF(DU529:DV529&gt;=DV529, 1))</f>
        <v>1</v>
      </c>
      <c r="EA529" s="109">
        <f t="shared" si="220"/>
        <v>-161006992.91369092</v>
      </c>
      <c r="EB529" s="109">
        <f t="shared" si="221"/>
        <v>0</v>
      </c>
      <c r="ED529" s="58">
        <f t="array" ref="ED529">SUM(IF(EA529:EB529&gt;=EA529, 1))</f>
        <v>2</v>
      </c>
      <c r="EE529" s="58">
        <f t="array" ref="EE529">SUM(IF(EA529:EB529&gt;=EB529, 1))</f>
        <v>1</v>
      </c>
    </row>
    <row r="530" spans="4:135" ht="12" customHeight="1" x14ac:dyDescent="0.25">
      <c r="D530" s="11">
        <v>514</v>
      </c>
      <c r="E530" s="72">
        <v>248.61697632976188</v>
      </c>
      <c r="F530" s="72">
        <v>233.9353574417087</v>
      </c>
      <c r="G530" s="73"/>
      <c r="H530" s="74">
        <v>5.8191497798266987</v>
      </c>
      <c r="I530" s="74">
        <v>5.8357124317365185</v>
      </c>
      <c r="J530" s="73"/>
      <c r="K530" s="72">
        <v>267.36880676524225</v>
      </c>
      <c r="L530" s="72">
        <v>252.30978111094339</v>
      </c>
      <c r="M530" s="73"/>
      <c r="N530" s="74">
        <v>6.6695868623820695</v>
      </c>
      <c r="O530" s="74">
        <v>6.6839718487436164</v>
      </c>
      <c r="P530" s="73"/>
      <c r="Q530" s="72">
        <v>2900.1686977860454</v>
      </c>
      <c r="R530" s="72">
        <v>1470.4136587262931</v>
      </c>
      <c r="S530" s="73"/>
      <c r="T530" s="74">
        <v>4.7881334736422048</v>
      </c>
      <c r="U530" s="74">
        <v>4.8793555505273458</v>
      </c>
      <c r="V530" s="73"/>
      <c r="W530" s="72">
        <v>15150.563839806466</v>
      </c>
      <c r="X530" s="72">
        <v>15184.185291793612</v>
      </c>
      <c r="Y530" s="73"/>
      <c r="Z530" s="74">
        <v>2.847314042133084</v>
      </c>
      <c r="AA530" s="74">
        <v>2.8958152707768789</v>
      </c>
      <c r="AB530" s="73"/>
      <c r="AC530" s="72">
        <v>50760.395692909915</v>
      </c>
      <c r="AD530" s="72">
        <v>50608.489406839639</v>
      </c>
      <c r="AE530" s="73"/>
      <c r="AF530" s="74">
        <v>4.6321473951340195</v>
      </c>
      <c r="AG530" s="74">
        <v>4.7269436165742595</v>
      </c>
      <c r="AH530" s="73"/>
      <c r="AI530" s="72">
        <v>1575524.5549183488</v>
      </c>
      <c r="AJ530" s="72">
        <v>0</v>
      </c>
      <c r="AK530" s="73"/>
      <c r="AL530" s="74">
        <v>-1777.3833374547387</v>
      </c>
      <c r="AM530" s="74">
        <v>0</v>
      </c>
      <c r="AN530" s="73"/>
      <c r="AO530" s="72">
        <v>104306.99052126153</v>
      </c>
      <c r="AP530" s="72">
        <v>0</v>
      </c>
      <c r="AQ530" s="73"/>
      <c r="AR530" s="74">
        <v>-99.638228296265027</v>
      </c>
      <c r="AS530" s="74">
        <v>0</v>
      </c>
      <c r="AT530" s="73"/>
      <c r="AU530" s="72">
        <v>33472112.932835959</v>
      </c>
      <c r="AV530" s="72">
        <v>0</v>
      </c>
      <c r="AW530" s="73"/>
      <c r="AX530" s="74">
        <v>-2135.6075523785435</v>
      </c>
      <c r="AY530" s="74">
        <v>0</v>
      </c>
      <c r="AZ530" s="73"/>
      <c r="BA530" s="72">
        <v>-290111.68622682308</v>
      </c>
      <c r="BB530" s="72">
        <v>0</v>
      </c>
      <c r="BC530" s="73"/>
      <c r="BD530" s="74">
        <v>-418.50581680122946</v>
      </c>
      <c r="BE530" s="74">
        <v>0</v>
      </c>
      <c r="BF530" s="73"/>
      <c r="BG530" s="72">
        <v>2375987.4300191123</v>
      </c>
      <c r="BH530" s="72">
        <v>0</v>
      </c>
      <c r="BI530" s="73"/>
      <c r="BJ530" s="74">
        <v>-1482.7209352687269</v>
      </c>
      <c r="BK530" s="74">
        <v>0</v>
      </c>
      <c r="BL530" s="73"/>
      <c r="BM530" s="72">
        <v>37237820.222067855</v>
      </c>
      <c r="BN530" s="72">
        <v>0</v>
      </c>
      <c r="BO530" s="73"/>
      <c r="BP530" s="74">
        <v>-5913.8558701995034</v>
      </c>
      <c r="BQ530" s="74">
        <v>0</v>
      </c>
      <c r="BS530" s="109">
        <f t="shared" ref="BS530:BS593" si="222">H530*WTP-E530</f>
        <v>116134.37862020421</v>
      </c>
      <c r="BT530" s="109">
        <f t="shared" ref="BT530:BT593" si="223">I530*WTP-F530</f>
        <v>116480.31327728866</v>
      </c>
      <c r="BV530" s="58">
        <f t="array" ref="BV530">SUM(IF(BS530:BT530&gt;=BS530, 1))</f>
        <v>2</v>
      </c>
      <c r="BW530" s="58">
        <f t="array" ref="BW530">SUM(IF(BS530:BT530&gt;=BT530, 1))</f>
        <v>1</v>
      </c>
      <c r="BY530" s="109">
        <f t="shared" ref="BY530:BY593" si="224">N530*WTP-K530</f>
        <v>133124.36844087616</v>
      </c>
      <c r="BZ530" s="109">
        <f t="shared" ref="BZ530:BZ593" si="225">O530*WTP-L530</f>
        <v>133427.12719376141</v>
      </c>
      <c r="CB530" s="58">
        <f t="array" ref="CB530">SUM(IF(BY530:BZ530&gt;=BY530, 1))</f>
        <v>2</v>
      </c>
      <c r="CC530" s="58">
        <f t="array" ref="CC530">SUM(IF(BY530:BZ530&gt;=BZ530, 1))</f>
        <v>1</v>
      </c>
      <c r="CE530" s="109">
        <f t="shared" ref="CE530:CE593" si="226">T530*WTP-Q530</f>
        <v>92862.500775058041</v>
      </c>
      <c r="CF530" s="109">
        <f t="shared" ref="CF530:CF593" si="227">U530*WTP-R530</f>
        <v>96116.697351820621</v>
      </c>
      <c r="CH530" s="58">
        <f t="array" ref="CH530">SUM(IF(CE530:CF530&gt;=CE530, 1))</f>
        <v>2</v>
      </c>
      <c r="CI530" s="58">
        <f t="array" ref="CI530">SUM(IF(CE530:CF530&gt;=CF530, 1))</f>
        <v>1</v>
      </c>
      <c r="CK530" s="109">
        <f t="shared" ref="CK530:CK593" si="228">Z530*WTP-W530</f>
        <v>41795.717002855221</v>
      </c>
      <c r="CL530" s="109">
        <f t="shared" ref="CL530:CL593" si="229">AA530*WTP-X530</f>
        <v>42732.120123743967</v>
      </c>
      <c r="CN530" s="58">
        <f t="array" ref="CN530">SUM(IF(CK530:CL530&gt;=CK530, 1))</f>
        <v>2</v>
      </c>
      <c r="CO530" s="58">
        <f t="array" ref="CO530">SUM(IF(CK530:CL530&gt;=CL530, 1))</f>
        <v>1</v>
      </c>
      <c r="CQ530" s="109" cm="1">
        <f t="array" ref="CQ530">AF530*WTP-AC530</f>
        <v>41882.552209770474</v>
      </c>
      <c r="CR530" s="109">
        <f t="shared" ref="CR530:CR593" si="230">AG530*WTP-AD530</f>
        <v>43930.382924645557</v>
      </c>
      <c r="CT530" s="58">
        <f t="array" ref="CT530">SUM(IF(CQ530:CR530&gt;=CQ530, 1))</f>
        <v>2</v>
      </c>
      <c r="CU530" s="58">
        <f t="array" ref="CU530">SUM(IF(CQ530:CR530&gt;=CR530, 1))</f>
        <v>1</v>
      </c>
      <c r="CW530" s="109">
        <f t="shared" ref="CW530:CW593" si="231">AL530*WTP-AI530</f>
        <v>-37123191.304013126</v>
      </c>
      <c r="CX530" s="109">
        <f t="shared" ref="CX530:CX593" si="232">AM530*WTP-AJ530</f>
        <v>0</v>
      </c>
      <c r="CZ530" s="58">
        <f t="array" ref="CZ530">SUM(IF(CW530:CX530&gt;=CW530, 1))</f>
        <v>2</v>
      </c>
      <c r="DA530" s="58">
        <f t="array" ref="DA530">SUM(IF(CW530:CX530&gt;=CX530, 1))</f>
        <v>1</v>
      </c>
      <c r="DC530" s="109">
        <f t="shared" ref="DC530:DC593" si="233">AR530*WTP-AO530</f>
        <v>-2097071.5564465621</v>
      </c>
      <c r="DD530" s="109">
        <f t="shared" ref="DD530:DD593" si="234">AS530*WTP-AP530</f>
        <v>0</v>
      </c>
      <c r="DF530" s="58">
        <f t="array" ref="DF530">SUM(IF(DC530:DD530&gt;=DC530, 1))</f>
        <v>2</v>
      </c>
      <c r="DG530" s="58">
        <f t="array" ref="DG530">SUM(IF(DC530:DD530&gt;=DD530, 1))</f>
        <v>1</v>
      </c>
      <c r="DI530" s="109">
        <f t="shared" ref="DI530:DI593" si="235">AX530*WTP-AU530</f>
        <v>-76184263.980406821</v>
      </c>
      <c r="DJ530" s="109">
        <f t="shared" ref="DJ530:DJ593" si="236">AY530*WTP-AV530</f>
        <v>0</v>
      </c>
      <c r="DL530" s="58">
        <f t="array" ref="DL530">SUM(IF(DI530:DJ530&gt;=DI530, 1))</f>
        <v>2</v>
      </c>
      <c r="DM530" s="58">
        <f t="array" ref="DM530">SUM(IF(DI530:DJ530&gt;=DJ530, 1))</f>
        <v>1</v>
      </c>
      <c r="DO530" s="109">
        <f t="shared" ref="DO530:DO593" si="237">BD530*WTP-BA530</f>
        <v>-8080004.6497977655</v>
      </c>
      <c r="DP530" s="109">
        <f t="shared" ref="DP530:DP593" si="238">BE530*WTP-BB530</f>
        <v>0</v>
      </c>
      <c r="DR530" s="58">
        <f t="array" ref="DR530">SUM(IF(DO530:DP530&gt;=DO530, 1))</f>
        <v>2</v>
      </c>
      <c r="DS530" s="58">
        <f t="array" ref="DS530">SUM(IF(DO530:DP530&gt;=DP530, 1))</f>
        <v>1</v>
      </c>
      <c r="DU530" s="109">
        <f t="shared" ref="DU530:DU593" si="239">BJ530*WTP-BG530</f>
        <v>-32030406.135393649</v>
      </c>
      <c r="DV530" s="109">
        <f t="shared" ref="DV530:DV593" si="240">BK530*WTP-BH530</f>
        <v>0</v>
      </c>
      <c r="DX530" s="58">
        <f t="array" ref="DX530">SUM(IF(DU530:DV530&gt;=DU530, 1))</f>
        <v>2</v>
      </c>
      <c r="DY530" s="58">
        <f t="array" ref="DY530">SUM(IF(DU530:DV530&gt;=DV530, 1))</f>
        <v>1</v>
      </c>
      <c r="EA530" s="109">
        <f t="shared" ref="EA530:EA593" si="241">BP530*WTP-BM530</f>
        <v>-155514937.62605792</v>
      </c>
      <c r="EB530" s="109">
        <f t="shared" ref="EB530:EB593" si="242">BQ530*WTP-BN530</f>
        <v>0</v>
      </c>
      <c r="ED530" s="58">
        <f t="array" ref="ED530">SUM(IF(EA530:EB530&gt;=EA530, 1))</f>
        <v>2</v>
      </c>
      <c r="EE530" s="58">
        <f t="array" ref="EE530">SUM(IF(EA530:EB530&gt;=EB530, 1))</f>
        <v>1</v>
      </c>
    </row>
    <row r="531" spans="4:135" ht="12" customHeight="1" x14ac:dyDescent="0.25">
      <c r="D531" s="11">
        <v>515</v>
      </c>
      <c r="E531" s="72">
        <v>240.64872217697464</v>
      </c>
      <c r="F531" s="72">
        <v>212.03468877468973</v>
      </c>
      <c r="G531" s="73"/>
      <c r="H531" s="74">
        <v>5.7836955661379914</v>
      </c>
      <c r="I531" s="74">
        <v>5.8029454195857362</v>
      </c>
      <c r="J531" s="73"/>
      <c r="K531" s="72">
        <v>257.89560238863095</v>
      </c>
      <c r="L531" s="72">
        <v>228.63054081119409</v>
      </c>
      <c r="M531" s="73"/>
      <c r="N531" s="74">
        <v>6.7095915030726694</v>
      </c>
      <c r="O531" s="74">
        <v>6.7267708977288416</v>
      </c>
      <c r="P531" s="73"/>
      <c r="Q531" s="72">
        <v>3841.6757867621177</v>
      </c>
      <c r="R531" s="72">
        <v>1874.2381560695367</v>
      </c>
      <c r="S531" s="73"/>
      <c r="T531" s="74">
        <v>4.8909876097759515</v>
      </c>
      <c r="U531" s="74">
        <v>4.9958345370978776</v>
      </c>
      <c r="V531" s="73"/>
      <c r="W531" s="72">
        <v>10112.202874445889</v>
      </c>
      <c r="X531" s="72">
        <v>10140.058221636369</v>
      </c>
      <c r="Y531" s="73"/>
      <c r="Z531" s="74">
        <v>2.8363316759367625</v>
      </c>
      <c r="AA531" s="74">
        <v>2.874194397044525</v>
      </c>
      <c r="AB531" s="73"/>
      <c r="AC531" s="72">
        <v>50991.388285054265</v>
      </c>
      <c r="AD531" s="72">
        <v>50287.748150573883</v>
      </c>
      <c r="AE531" s="73"/>
      <c r="AF531" s="74">
        <v>4.3958089041642374</v>
      </c>
      <c r="AG531" s="74">
        <v>4.5489360262365812</v>
      </c>
      <c r="AH531" s="73"/>
      <c r="AI531" s="72">
        <v>3068802.6254440313</v>
      </c>
      <c r="AJ531" s="72">
        <v>0</v>
      </c>
      <c r="AK531" s="73"/>
      <c r="AL531" s="74">
        <v>-2064.5114922922662</v>
      </c>
      <c r="AM531" s="74">
        <v>0</v>
      </c>
      <c r="AN531" s="73"/>
      <c r="AO531" s="72">
        <v>208189.74449500508</v>
      </c>
      <c r="AP531" s="72">
        <v>0</v>
      </c>
      <c r="AQ531" s="73"/>
      <c r="AR531" s="74">
        <v>-122.21309613798547</v>
      </c>
      <c r="AS531" s="74">
        <v>0</v>
      </c>
      <c r="AT531" s="73"/>
      <c r="AU531" s="72">
        <v>45662068.052133776</v>
      </c>
      <c r="AV531" s="72">
        <v>0</v>
      </c>
      <c r="AW531" s="73"/>
      <c r="AX531" s="74">
        <v>-2433.3821086595772</v>
      </c>
      <c r="AY531" s="74">
        <v>0</v>
      </c>
      <c r="AZ531" s="73"/>
      <c r="BA531" s="72">
        <v>-237475.7532121384</v>
      </c>
      <c r="BB531" s="72">
        <v>0</v>
      </c>
      <c r="BC531" s="73"/>
      <c r="BD531" s="74">
        <v>-322.79181990594913</v>
      </c>
      <c r="BE531" s="74">
        <v>0</v>
      </c>
      <c r="BF531" s="73"/>
      <c r="BG531" s="72">
        <v>11298717.610400936</v>
      </c>
      <c r="BH531" s="72">
        <v>0</v>
      </c>
      <c r="BI531" s="73"/>
      <c r="BJ531" s="74">
        <v>-2458.8422774753521</v>
      </c>
      <c r="BK531" s="74">
        <v>0</v>
      </c>
      <c r="BL531" s="73"/>
      <c r="BM531" s="72">
        <v>60000302.279261611</v>
      </c>
      <c r="BN531" s="72">
        <v>0</v>
      </c>
      <c r="BO531" s="73"/>
      <c r="BP531" s="74">
        <v>-7401.7407944711304</v>
      </c>
      <c r="BQ531" s="74">
        <v>0</v>
      </c>
      <c r="BS531" s="109">
        <f t="shared" si="222"/>
        <v>115433.26260058285</v>
      </c>
      <c r="BT531" s="109">
        <f t="shared" si="223"/>
        <v>115846.87370294004</v>
      </c>
      <c r="BV531" s="58">
        <f t="array" ref="BV531">SUM(IF(BS531:BT531&gt;=BS531, 1))</f>
        <v>2</v>
      </c>
      <c r="BW531" s="58">
        <f t="array" ref="BW531">SUM(IF(BS531:BT531&gt;=BT531, 1))</f>
        <v>1</v>
      </c>
      <c r="BY531" s="109">
        <f t="shared" si="224"/>
        <v>133933.93445906477</v>
      </c>
      <c r="BZ531" s="109">
        <f t="shared" si="225"/>
        <v>134306.78741376565</v>
      </c>
      <c r="CB531" s="58">
        <f t="array" ref="CB531">SUM(IF(BY531:BZ531&gt;=BY531, 1))</f>
        <v>2</v>
      </c>
      <c r="CC531" s="58">
        <f t="array" ref="CC531">SUM(IF(BY531:BZ531&gt;=BZ531, 1))</f>
        <v>1</v>
      </c>
      <c r="CE531" s="109">
        <f t="shared" si="226"/>
        <v>93978.076408756911</v>
      </c>
      <c r="CF531" s="109">
        <f t="shared" si="227"/>
        <v>98042.452585888022</v>
      </c>
      <c r="CH531" s="58">
        <f t="array" ref="CH531">SUM(IF(CE531:CF531&gt;=CE531, 1))</f>
        <v>2</v>
      </c>
      <c r="CI531" s="58">
        <f t="array" ref="CI531">SUM(IF(CE531:CF531&gt;=CF531, 1))</f>
        <v>1</v>
      </c>
      <c r="CK531" s="109">
        <f t="shared" si="228"/>
        <v>46614.430644289365</v>
      </c>
      <c r="CL531" s="109">
        <f t="shared" si="229"/>
        <v>47343.829719254129</v>
      </c>
      <c r="CN531" s="58">
        <f t="array" ref="CN531">SUM(IF(CK531:CL531&gt;=CK531, 1))</f>
        <v>2</v>
      </c>
      <c r="CO531" s="58">
        <f t="array" ref="CO531">SUM(IF(CK531:CL531&gt;=CL531, 1))</f>
        <v>1</v>
      </c>
      <c r="CQ531" s="109" cm="1">
        <f t="array" ref="CQ531">AF531*WTP-AC531</f>
        <v>36924.789798230478</v>
      </c>
      <c r="CR531" s="109">
        <f t="shared" si="230"/>
        <v>40690.972374157747</v>
      </c>
      <c r="CT531" s="58">
        <f t="array" ref="CT531">SUM(IF(CQ531:CR531&gt;=CQ531, 1))</f>
        <v>2</v>
      </c>
      <c r="CU531" s="58">
        <f t="array" ref="CU531">SUM(IF(CQ531:CR531&gt;=CR531, 1))</f>
        <v>1</v>
      </c>
      <c r="CW531" s="109">
        <f t="shared" si="231"/>
        <v>-44359032.471289359</v>
      </c>
      <c r="CX531" s="109">
        <f t="shared" si="232"/>
        <v>0</v>
      </c>
      <c r="CZ531" s="58">
        <f t="array" ref="CZ531">SUM(IF(CW531:CX531&gt;=CW531, 1))</f>
        <v>2</v>
      </c>
      <c r="DA531" s="58">
        <f t="array" ref="DA531">SUM(IF(CW531:CX531&gt;=CX531, 1))</f>
        <v>1</v>
      </c>
      <c r="DC531" s="109">
        <f t="shared" si="233"/>
        <v>-2652451.6672547143</v>
      </c>
      <c r="DD531" s="109">
        <f t="shared" si="234"/>
        <v>0</v>
      </c>
      <c r="DF531" s="58">
        <f t="array" ref="DF531">SUM(IF(DC531:DD531&gt;=DC531, 1))</f>
        <v>2</v>
      </c>
      <c r="DG531" s="58">
        <f t="array" ref="DG531">SUM(IF(DC531:DD531&gt;=DD531, 1))</f>
        <v>1</v>
      </c>
      <c r="DI531" s="109">
        <f t="shared" si="235"/>
        <v>-94329710.225325316</v>
      </c>
      <c r="DJ531" s="109">
        <f t="shared" si="236"/>
        <v>0</v>
      </c>
      <c r="DL531" s="58">
        <f t="array" ref="DL531">SUM(IF(DI531:DJ531&gt;=DI531, 1))</f>
        <v>2</v>
      </c>
      <c r="DM531" s="58">
        <f t="array" ref="DM531">SUM(IF(DI531:DJ531&gt;=DJ531, 1))</f>
        <v>1</v>
      </c>
      <c r="DO531" s="109">
        <f t="shared" si="237"/>
        <v>-6218360.644906844</v>
      </c>
      <c r="DP531" s="109">
        <f t="shared" si="238"/>
        <v>0</v>
      </c>
      <c r="DR531" s="58">
        <f t="array" ref="DR531">SUM(IF(DO531:DP531&gt;=DO531, 1))</f>
        <v>2</v>
      </c>
      <c r="DS531" s="58">
        <f t="array" ref="DS531">SUM(IF(DO531:DP531&gt;=DP531, 1))</f>
        <v>1</v>
      </c>
      <c r="DU531" s="109">
        <f t="shared" si="239"/>
        <v>-60475563.159907982</v>
      </c>
      <c r="DV531" s="109">
        <f t="shared" si="240"/>
        <v>0</v>
      </c>
      <c r="DX531" s="58">
        <f t="array" ref="DX531">SUM(IF(DU531:DV531&gt;=DU531, 1))</f>
        <v>2</v>
      </c>
      <c r="DY531" s="58">
        <f t="array" ref="DY531">SUM(IF(DU531:DV531&gt;=DV531, 1))</f>
        <v>1</v>
      </c>
      <c r="EA531" s="109">
        <f t="shared" si="241"/>
        <v>-208035118.16868421</v>
      </c>
      <c r="EB531" s="109">
        <f t="shared" si="242"/>
        <v>0</v>
      </c>
      <c r="ED531" s="58">
        <f t="array" ref="ED531">SUM(IF(EA531:EB531&gt;=EA531, 1))</f>
        <v>2</v>
      </c>
      <c r="EE531" s="58">
        <f t="array" ref="EE531">SUM(IF(EA531:EB531&gt;=EB531, 1))</f>
        <v>1</v>
      </c>
    </row>
    <row r="532" spans="4:135" ht="12" customHeight="1" x14ac:dyDescent="0.25">
      <c r="D532" s="11">
        <v>516</v>
      </c>
      <c r="E532" s="72">
        <v>272.78652880205925</v>
      </c>
      <c r="F532" s="72">
        <v>238.91471033169105</v>
      </c>
      <c r="G532" s="73"/>
      <c r="H532" s="74">
        <v>5.810169291373473</v>
      </c>
      <c r="I532" s="74">
        <v>5.8274258234404259</v>
      </c>
      <c r="J532" s="73"/>
      <c r="K532" s="72">
        <v>292.17807180785945</v>
      </c>
      <c r="L532" s="72">
        <v>257.50823835498016</v>
      </c>
      <c r="M532" s="73"/>
      <c r="N532" s="74">
        <v>6.7067450548100211</v>
      </c>
      <c r="O532" s="74">
        <v>6.72155740549033</v>
      </c>
      <c r="P532" s="73"/>
      <c r="Q532" s="72">
        <v>2136.6725809383752</v>
      </c>
      <c r="R532" s="72">
        <v>1567.7201738353924</v>
      </c>
      <c r="S532" s="73"/>
      <c r="T532" s="74">
        <v>4.6360415756479965</v>
      </c>
      <c r="U532" s="74">
        <v>4.6815568415815978</v>
      </c>
      <c r="V532" s="73"/>
      <c r="W532" s="72">
        <v>14421.228653755481</v>
      </c>
      <c r="X532" s="72">
        <v>14351.195025766643</v>
      </c>
      <c r="Y532" s="73"/>
      <c r="Z532" s="74">
        <v>2.9829618256271115</v>
      </c>
      <c r="AA532" s="74">
        <v>3.0117604066270682</v>
      </c>
      <c r="AB532" s="73"/>
      <c r="AC532" s="72">
        <v>49621.210718605595</v>
      </c>
      <c r="AD532" s="72">
        <v>49677.255237492143</v>
      </c>
      <c r="AE532" s="73"/>
      <c r="AF532" s="74">
        <v>4.5120905371916837</v>
      </c>
      <c r="AG532" s="74">
        <v>4.5621274290167575</v>
      </c>
      <c r="AH532" s="73"/>
      <c r="AI532" s="72">
        <v>3660765.4800609797</v>
      </c>
      <c r="AJ532" s="72">
        <v>0</v>
      </c>
      <c r="AK532" s="73"/>
      <c r="AL532" s="74">
        <v>-1865.0347028616366</v>
      </c>
      <c r="AM532" s="74">
        <v>0</v>
      </c>
      <c r="AN532" s="73"/>
      <c r="AO532" s="72">
        <v>235266.26273110081</v>
      </c>
      <c r="AP532" s="72">
        <v>0</v>
      </c>
      <c r="AQ532" s="73"/>
      <c r="AR532" s="74">
        <v>-100.51523297783038</v>
      </c>
      <c r="AS532" s="74">
        <v>0</v>
      </c>
      <c r="AT532" s="73"/>
      <c r="AU532" s="72">
        <v>12983733.661671262</v>
      </c>
      <c r="AV532" s="72">
        <v>0</v>
      </c>
      <c r="AW532" s="73"/>
      <c r="AX532" s="74">
        <v>-1038.6775467408349</v>
      </c>
      <c r="AY532" s="74">
        <v>0</v>
      </c>
      <c r="AZ532" s="73"/>
      <c r="BA532" s="72">
        <v>613103.26372525271</v>
      </c>
      <c r="BB532" s="72">
        <v>0</v>
      </c>
      <c r="BC532" s="73"/>
      <c r="BD532" s="74">
        <v>-252.11465561292394</v>
      </c>
      <c r="BE532" s="74">
        <v>0</v>
      </c>
      <c r="BF532" s="73"/>
      <c r="BG532" s="72">
        <v>-848562.49633303238</v>
      </c>
      <c r="BH532" s="72">
        <v>0</v>
      </c>
      <c r="BI532" s="73"/>
      <c r="BJ532" s="74">
        <v>-757.6018258231702</v>
      </c>
      <c r="BK532" s="74">
        <v>0</v>
      </c>
      <c r="BL532" s="73"/>
      <c r="BM532" s="72">
        <v>16644306.171855561</v>
      </c>
      <c r="BN532" s="72">
        <v>0</v>
      </c>
      <c r="BO532" s="73"/>
      <c r="BP532" s="74">
        <v>-4013.943964016396</v>
      </c>
      <c r="BQ532" s="74">
        <v>0</v>
      </c>
      <c r="BS532" s="109">
        <f t="shared" si="222"/>
        <v>115930.59929866741</v>
      </c>
      <c r="BT532" s="109">
        <f t="shared" si="223"/>
        <v>116309.60175847683</v>
      </c>
      <c r="BV532" s="58">
        <f t="array" ref="BV532">SUM(IF(BS532:BT532&gt;=BS532, 1))</f>
        <v>2</v>
      </c>
      <c r="BW532" s="58">
        <f t="array" ref="BW532">SUM(IF(BS532:BT532&gt;=BT532, 1))</f>
        <v>1</v>
      </c>
      <c r="BY532" s="109">
        <f t="shared" si="224"/>
        <v>133842.72302439256</v>
      </c>
      <c r="BZ532" s="109">
        <f t="shared" si="225"/>
        <v>134173.6398714516</v>
      </c>
      <c r="CB532" s="58">
        <f t="array" ref="CB532">SUM(IF(BY532:BZ532&gt;=BY532, 1))</f>
        <v>2</v>
      </c>
      <c r="CC532" s="58">
        <f t="array" ref="CC532">SUM(IF(BY532:BZ532&gt;=BZ532, 1))</f>
        <v>1</v>
      </c>
      <c r="CE532" s="109">
        <f t="shared" si="226"/>
        <v>90584.158932021557</v>
      </c>
      <c r="CF532" s="109">
        <f t="shared" si="227"/>
        <v>92063.416657796566</v>
      </c>
      <c r="CH532" s="58">
        <f t="array" ref="CH532">SUM(IF(CE532:CF532&gt;=CE532, 1))</f>
        <v>2</v>
      </c>
      <c r="CI532" s="58">
        <f t="array" ref="CI532">SUM(IF(CE532:CF532&gt;=CF532, 1))</f>
        <v>1</v>
      </c>
      <c r="CK532" s="109">
        <f t="shared" si="228"/>
        <v>45238.007858786747</v>
      </c>
      <c r="CL532" s="109">
        <f t="shared" si="229"/>
        <v>45884.013106774728</v>
      </c>
      <c r="CN532" s="58">
        <f t="array" ref="CN532">SUM(IF(CK532:CL532&gt;=CK532, 1))</f>
        <v>2</v>
      </c>
      <c r="CO532" s="58">
        <f t="array" ref="CO532">SUM(IF(CK532:CL532&gt;=CL532, 1))</f>
        <v>1</v>
      </c>
      <c r="CQ532" s="109" cm="1">
        <f t="array" ref="CQ532">AF532*WTP-AC532</f>
        <v>40620.600025228079</v>
      </c>
      <c r="CR532" s="109">
        <f t="shared" si="230"/>
        <v>41565.293342843004</v>
      </c>
      <c r="CT532" s="58">
        <f t="array" ref="CT532">SUM(IF(CQ532:CR532&gt;=CQ532, 1))</f>
        <v>2</v>
      </c>
      <c r="CU532" s="58">
        <f t="array" ref="CU532">SUM(IF(CQ532:CR532&gt;=CR532, 1))</f>
        <v>1</v>
      </c>
      <c r="CW532" s="109">
        <f t="shared" si="231"/>
        <v>-40961459.53729371</v>
      </c>
      <c r="CX532" s="109">
        <f t="shared" si="232"/>
        <v>0</v>
      </c>
      <c r="CZ532" s="58">
        <f t="array" ref="CZ532">SUM(IF(CW532:CX532&gt;=CW532, 1))</f>
        <v>2</v>
      </c>
      <c r="DA532" s="58">
        <f t="array" ref="DA532">SUM(IF(CW532:CX532&gt;=CX532, 1))</f>
        <v>1</v>
      </c>
      <c r="DC532" s="109">
        <f t="shared" si="233"/>
        <v>-2245570.9222877081</v>
      </c>
      <c r="DD532" s="109">
        <f t="shared" si="234"/>
        <v>0</v>
      </c>
      <c r="DF532" s="58">
        <f t="array" ref="DF532">SUM(IF(DC532:DD532&gt;=DC532, 1))</f>
        <v>2</v>
      </c>
      <c r="DG532" s="58">
        <f t="array" ref="DG532">SUM(IF(DC532:DD532&gt;=DD532, 1))</f>
        <v>1</v>
      </c>
      <c r="DI532" s="109">
        <f t="shared" si="235"/>
        <v>-33757284.596487962</v>
      </c>
      <c r="DJ532" s="109">
        <f t="shared" si="236"/>
        <v>0</v>
      </c>
      <c r="DL532" s="58">
        <f t="array" ref="DL532">SUM(IF(DI532:DJ532&gt;=DI532, 1))</f>
        <v>2</v>
      </c>
      <c r="DM532" s="58">
        <f t="array" ref="DM532">SUM(IF(DI532:DJ532&gt;=DJ532, 1))</f>
        <v>1</v>
      </c>
      <c r="DO532" s="109">
        <f t="shared" si="237"/>
        <v>-5655396.3759837318</v>
      </c>
      <c r="DP532" s="109">
        <f t="shared" si="238"/>
        <v>0</v>
      </c>
      <c r="DR532" s="58">
        <f t="array" ref="DR532">SUM(IF(DO532:DP532&gt;=DO532, 1))</f>
        <v>2</v>
      </c>
      <c r="DS532" s="58">
        <f t="array" ref="DS532">SUM(IF(DO532:DP532&gt;=DP532, 1))</f>
        <v>1</v>
      </c>
      <c r="DU532" s="109">
        <f t="shared" si="239"/>
        <v>-14303474.020130372</v>
      </c>
      <c r="DV532" s="109">
        <f t="shared" si="240"/>
        <v>0</v>
      </c>
      <c r="DX532" s="58">
        <f t="array" ref="DX532">SUM(IF(DU532:DV532&gt;=DU532, 1))</f>
        <v>2</v>
      </c>
      <c r="DY532" s="58">
        <f t="array" ref="DY532">SUM(IF(DU532:DV532&gt;=DV532, 1))</f>
        <v>1</v>
      </c>
      <c r="EA532" s="109">
        <f t="shared" si="241"/>
        <v>-96923185.452183485</v>
      </c>
      <c r="EB532" s="109">
        <f t="shared" si="242"/>
        <v>0</v>
      </c>
      <c r="ED532" s="58">
        <f t="array" ref="ED532">SUM(IF(EA532:EB532&gt;=EA532, 1))</f>
        <v>2</v>
      </c>
      <c r="EE532" s="58">
        <f t="array" ref="EE532">SUM(IF(EA532:EB532&gt;=EB532, 1))</f>
        <v>1</v>
      </c>
    </row>
    <row r="533" spans="4:135" ht="12" customHeight="1" x14ac:dyDescent="0.25">
      <c r="D533" s="11">
        <v>517</v>
      </c>
      <c r="E533" s="72">
        <v>367.54246064740488</v>
      </c>
      <c r="F533" s="72">
        <v>352.04827607963961</v>
      </c>
      <c r="G533" s="73"/>
      <c r="H533" s="74">
        <v>5.78851418273939</v>
      </c>
      <c r="I533" s="74">
        <v>5.800062186987466</v>
      </c>
      <c r="J533" s="73"/>
      <c r="K533" s="72">
        <v>395.35132855776715</v>
      </c>
      <c r="L533" s="72">
        <v>379.45522693139759</v>
      </c>
      <c r="M533" s="73"/>
      <c r="N533" s="74">
        <v>6.6799621785824286</v>
      </c>
      <c r="O533" s="74">
        <v>6.6896332872599347</v>
      </c>
      <c r="P533" s="73"/>
      <c r="Q533" s="72">
        <v>1595.1080513382199</v>
      </c>
      <c r="R533" s="72">
        <v>1236.8320052951185</v>
      </c>
      <c r="S533" s="73"/>
      <c r="T533" s="74">
        <v>4.6074011227599492</v>
      </c>
      <c r="U533" s="74">
        <v>4.6699792888493086</v>
      </c>
      <c r="V533" s="73"/>
      <c r="W533" s="72">
        <v>10388.77010912938</v>
      </c>
      <c r="X533" s="72">
        <v>10395.688022404194</v>
      </c>
      <c r="Y533" s="73"/>
      <c r="Z533" s="74">
        <v>2.927644863147246</v>
      </c>
      <c r="AA533" s="74">
        <v>2.9769333726280958</v>
      </c>
      <c r="AB533" s="73"/>
      <c r="AC533" s="72">
        <v>50837.468742848258</v>
      </c>
      <c r="AD533" s="72">
        <v>50725.156978907638</v>
      </c>
      <c r="AE533" s="73"/>
      <c r="AF533" s="74">
        <v>4.316944651133011</v>
      </c>
      <c r="AG533" s="74">
        <v>4.4553102233014927</v>
      </c>
      <c r="AH533" s="73"/>
      <c r="AI533" s="72">
        <v>1667536.1275240057</v>
      </c>
      <c r="AJ533" s="72">
        <v>0</v>
      </c>
      <c r="AK533" s="73"/>
      <c r="AL533" s="74">
        <v>-1242.8349617397662</v>
      </c>
      <c r="AM533" s="74">
        <v>0</v>
      </c>
      <c r="AN533" s="73"/>
      <c r="AO533" s="72">
        <v>114534.45909917295</v>
      </c>
      <c r="AP533" s="72">
        <v>0</v>
      </c>
      <c r="AQ533" s="73"/>
      <c r="AR533" s="74">
        <v>-69.682191728693368</v>
      </c>
      <c r="AS533" s="74">
        <v>0</v>
      </c>
      <c r="AT533" s="73"/>
      <c r="AU533" s="72">
        <v>8127683.8253634479</v>
      </c>
      <c r="AV533" s="72">
        <v>0</v>
      </c>
      <c r="AW533" s="73"/>
      <c r="AX533" s="74">
        <v>-1419.6191845999278</v>
      </c>
      <c r="AY533" s="74">
        <v>0</v>
      </c>
      <c r="AZ533" s="73"/>
      <c r="BA533" s="72">
        <v>-60226.646341073822</v>
      </c>
      <c r="BB533" s="72">
        <v>0</v>
      </c>
      <c r="BC533" s="73"/>
      <c r="BD533" s="74">
        <v>-429.10072897113474</v>
      </c>
      <c r="BE533" s="74">
        <v>0</v>
      </c>
      <c r="BF533" s="73"/>
      <c r="BG533" s="72">
        <v>1768803.0069750512</v>
      </c>
      <c r="BH533" s="72">
        <v>0</v>
      </c>
      <c r="BI533" s="73"/>
      <c r="BJ533" s="74">
        <v>-2179.1256011510281</v>
      </c>
      <c r="BK533" s="74">
        <v>0</v>
      </c>
      <c r="BL533" s="73"/>
      <c r="BM533" s="72">
        <v>11618330.772620603</v>
      </c>
      <c r="BN533" s="72">
        <v>0</v>
      </c>
      <c r="BO533" s="73"/>
      <c r="BP533" s="74">
        <v>-5340.3626681905498</v>
      </c>
      <c r="BQ533" s="74">
        <v>0</v>
      </c>
      <c r="BS533" s="109">
        <f t="shared" si="222"/>
        <v>115402.74119414038</v>
      </c>
      <c r="BT533" s="109">
        <f t="shared" si="223"/>
        <v>115649.19546366968</v>
      </c>
      <c r="BV533" s="58">
        <f t="array" ref="BV533">SUM(IF(BS533:BT533&gt;=BS533, 1))</f>
        <v>2</v>
      </c>
      <c r="BW533" s="58">
        <f t="array" ref="BW533">SUM(IF(BS533:BT533&gt;=BT533, 1))</f>
        <v>1</v>
      </c>
      <c r="BY533" s="109">
        <f t="shared" si="224"/>
        <v>133203.89224309081</v>
      </c>
      <c r="BZ533" s="109">
        <f t="shared" si="225"/>
        <v>133413.2105182673</v>
      </c>
      <c r="CB533" s="58">
        <f t="array" ref="CB533">SUM(IF(BY533:BZ533&gt;=BY533, 1))</f>
        <v>2</v>
      </c>
      <c r="CC533" s="58">
        <f t="array" ref="CC533">SUM(IF(BY533:BZ533&gt;=BZ533, 1))</f>
        <v>1</v>
      </c>
      <c r="CE533" s="109">
        <f t="shared" si="226"/>
        <v>90552.914403860763</v>
      </c>
      <c r="CF533" s="109">
        <f t="shared" si="227"/>
        <v>92162.753771691059</v>
      </c>
      <c r="CH533" s="58">
        <f t="array" ref="CH533">SUM(IF(CE533:CF533&gt;=CE533, 1))</f>
        <v>2</v>
      </c>
      <c r="CI533" s="58">
        <f t="array" ref="CI533">SUM(IF(CE533:CF533&gt;=CF533, 1))</f>
        <v>1</v>
      </c>
      <c r="CK533" s="109">
        <f t="shared" si="228"/>
        <v>48164.127153815542</v>
      </c>
      <c r="CL533" s="109">
        <f t="shared" si="229"/>
        <v>49142.97943015772</v>
      </c>
      <c r="CN533" s="58">
        <f t="array" ref="CN533">SUM(IF(CK533:CL533&gt;=CK533, 1))</f>
        <v>2</v>
      </c>
      <c r="CO533" s="58">
        <f t="array" ref="CO533">SUM(IF(CK533:CL533&gt;=CL533, 1))</f>
        <v>1</v>
      </c>
      <c r="CQ533" s="109" cm="1">
        <f t="array" ref="CQ533">AF533*WTP-AC533</f>
        <v>35501.424279811967</v>
      </c>
      <c r="CR533" s="109">
        <f t="shared" si="230"/>
        <v>38381.047487122218</v>
      </c>
      <c r="CT533" s="58">
        <f t="array" ref="CT533">SUM(IF(CQ533:CR533&gt;=CQ533, 1))</f>
        <v>2</v>
      </c>
      <c r="CU533" s="58">
        <f t="array" ref="CU533">SUM(IF(CQ533:CR533&gt;=CR533, 1))</f>
        <v>1</v>
      </c>
      <c r="CW533" s="109">
        <f t="shared" si="231"/>
        <v>-26524235.362319332</v>
      </c>
      <c r="CX533" s="109">
        <f t="shared" si="232"/>
        <v>0</v>
      </c>
      <c r="CZ533" s="58">
        <f t="array" ref="CZ533">SUM(IF(CW533:CX533&gt;=CW533, 1))</f>
        <v>2</v>
      </c>
      <c r="DA533" s="58">
        <f t="array" ref="DA533">SUM(IF(CW533:CX533&gt;=CX533, 1))</f>
        <v>1</v>
      </c>
      <c r="DC533" s="109">
        <f t="shared" si="233"/>
        <v>-1508178.2936730401</v>
      </c>
      <c r="DD533" s="109">
        <f t="shared" si="234"/>
        <v>0</v>
      </c>
      <c r="DF533" s="58">
        <f t="array" ref="DF533">SUM(IF(DC533:DD533&gt;=DC533, 1))</f>
        <v>2</v>
      </c>
      <c r="DG533" s="58">
        <f t="array" ref="DG533">SUM(IF(DC533:DD533&gt;=DD533, 1))</f>
        <v>1</v>
      </c>
      <c r="DI533" s="109">
        <f t="shared" si="235"/>
        <v>-36520067.517362006</v>
      </c>
      <c r="DJ533" s="109">
        <f t="shared" si="236"/>
        <v>0</v>
      </c>
      <c r="DL533" s="58">
        <f t="array" ref="DL533">SUM(IF(DI533:DJ533&gt;=DI533, 1))</f>
        <v>2</v>
      </c>
      <c r="DM533" s="58">
        <f t="array" ref="DM533">SUM(IF(DI533:DJ533&gt;=DJ533, 1))</f>
        <v>1</v>
      </c>
      <c r="DO533" s="109">
        <f t="shared" si="237"/>
        <v>-8521787.9330816213</v>
      </c>
      <c r="DP533" s="109">
        <f t="shared" si="238"/>
        <v>0</v>
      </c>
      <c r="DR533" s="58">
        <f t="array" ref="DR533">SUM(IF(DO533:DP533&gt;=DO533, 1))</f>
        <v>2</v>
      </c>
      <c r="DS533" s="58">
        <f t="array" ref="DS533">SUM(IF(DO533:DP533&gt;=DP533, 1))</f>
        <v>1</v>
      </c>
      <c r="DU533" s="109">
        <f t="shared" si="239"/>
        <v>-45351315.02999562</v>
      </c>
      <c r="DV533" s="109">
        <f t="shared" si="240"/>
        <v>0</v>
      </c>
      <c r="DX533" s="58">
        <f t="array" ref="DX533">SUM(IF(DU533:DV533&gt;=DU533, 1))</f>
        <v>2</v>
      </c>
      <c r="DY533" s="58">
        <f t="array" ref="DY533">SUM(IF(DU533:DV533&gt;=DV533, 1))</f>
        <v>1</v>
      </c>
      <c r="EA533" s="109">
        <f t="shared" si="241"/>
        <v>-118425584.1364316</v>
      </c>
      <c r="EB533" s="109">
        <f t="shared" si="242"/>
        <v>0</v>
      </c>
      <c r="ED533" s="58">
        <f t="array" ref="ED533">SUM(IF(EA533:EB533&gt;=EA533, 1))</f>
        <v>2</v>
      </c>
      <c r="EE533" s="58">
        <f t="array" ref="EE533">SUM(IF(EA533:EB533&gt;=EB533, 1))</f>
        <v>1</v>
      </c>
    </row>
    <row r="534" spans="4:135" ht="12" customHeight="1" x14ac:dyDescent="0.25">
      <c r="D534" s="11">
        <v>518</v>
      </c>
      <c r="E534" s="72">
        <v>217.69888070923369</v>
      </c>
      <c r="F534" s="72">
        <v>197.00102176882879</v>
      </c>
      <c r="G534" s="73"/>
      <c r="H534" s="74">
        <v>5.8345482736464209</v>
      </c>
      <c r="I534" s="74">
        <v>5.8520519579678325</v>
      </c>
      <c r="J534" s="73"/>
      <c r="K534" s="72">
        <v>233.68129840417816</v>
      </c>
      <c r="L534" s="72">
        <v>212.46595558077826</v>
      </c>
      <c r="M534" s="73"/>
      <c r="N534" s="74">
        <v>6.67918755362256</v>
      </c>
      <c r="O534" s="74">
        <v>6.6940813236379295</v>
      </c>
      <c r="P534" s="73"/>
      <c r="Q534" s="72">
        <v>3576.3355821185214</v>
      </c>
      <c r="R534" s="72">
        <v>1463.5728772827895</v>
      </c>
      <c r="S534" s="73"/>
      <c r="T534" s="74">
        <v>4.7217382639870067</v>
      </c>
      <c r="U534" s="74">
        <v>4.8897752278022484</v>
      </c>
      <c r="V534" s="73"/>
      <c r="W534" s="72">
        <v>10196.942204659637</v>
      </c>
      <c r="X534" s="72">
        <v>10180.91528032791</v>
      </c>
      <c r="Y534" s="73"/>
      <c r="Z534" s="74">
        <v>3.0690259138064326</v>
      </c>
      <c r="AA534" s="74">
        <v>3.1179894835714839</v>
      </c>
      <c r="AB534" s="73"/>
      <c r="AC534" s="72">
        <v>49808.374591697691</v>
      </c>
      <c r="AD534" s="72">
        <v>49939.420069471125</v>
      </c>
      <c r="AE534" s="73"/>
      <c r="AF534" s="74">
        <v>4.8802524861406349</v>
      </c>
      <c r="AG534" s="74">
        <v>4.9677127529850402</v>
      </c>
      <c r="AH534" s="73"/>
      <c r="AI534" s="72">
        <v>2232477.8746083966</v>
      </c>
      <c r="AJ534" s="72">
        <v>0</v>
      </c>
      <c r="AK534" s="73"/>
      <c r="AL534" s="74">
        <v>-1887.9531493665118</v>
      </c>
      <c r="AM534" s="74">
        <v>0</v>
      </c>
      <c r="AN534" s="73"/>
      <c r="AO534" s="72">
        <v>146027.3917215697</v>
      </c>
      <c r="AP534" s="72">
        <v>0</v>
      </c>
      <c r="AQ534" s="73"/>
      <c r="AR534" s="74">
        <v>-102.51535439938699</v>
      </c>
      <c r="AS534" s="74">
        <v>0</v>
      </c>
      <c r="AT534" s="73"/>
      <c r="AU534" s="72">
        <v>48723508.969438635</v>
      </c>
      <c r="AV534" s="72">
        <v>0</v>
      </c>
      <c r="AW534" s="73"/>
      <c r="AX534" s="74">
        <v>-3875.1869743392385</v>
      </c>
      <c r="AY534" s="74">
        <v>0</v>
      </c>
      <c r="AZ534" s="73"/>
      <c r="BA534" s="72">
        <v>138307.01508810898</v>
      </c>
      <c r="BB534" s="72">
        <v>0</v>
      </c>
      <c r="BC534" s="73"/>
      <c r="BD534" s="74">
        <v>-422.53928714548726</v>
      </c>
      <c r="BE534" s="74">
        <v>0</v>
      </c>
      <c r="BF534" s="73"/>
      <c r="BG534" s="72">
        <v>-2091356.6057506385</v>
      </c>
      <c r="BH534" s="72">
        <v>0</v>
      </c>
      <c r="BI534" s="73"/>
      <c r="BJ534" s="74">
        <v>-1395.7796172256849</v>
      </c>
      <c r="BK534" s="74">
        <v>0</v>
      </c>
      <c r="BL534" s="73"/>
      <c r="BM534" s="72">
        <v>49148964.645106077</v>
      </c>
      <c r="BN534" s="72">
        <v>0</v>
      </c>
      <c r="BO534" s="73"/>
      <c r="BP534" s="74">
        <v>-7683.9743824763091</v>
      </c>
      <c r="BQ534" s="74">
        <v>0</v>
      </c>
      <c r="BS534" s="109">
        <f t="shared" si="222"/>
        <v>116473.2665922192</v>
      </c>
      <c r="BT534" s="109">
        <f t="shared" si="223"/>
        <v>116844.03813758782</v>
      </c>
      <c r="BV534" s="58">
        <f t="array" ref="BV534">SUM(IF(BS534:BT534&gt;=BS534, 1))</f>
        <v>2</v>
      </c>
      <c r="BW534" s="58">
        <f t="array" ref="BW534">SUM(IF(BS534:BT534&gt;=BT534, 1))</f>
        <v>1</v>
      </c>
      <c r="BY534" s="109">
        <f t="shared" si="224"/>
        <v>133350.06977404704</v>
      </c>
      <c r="BZ534" s="109">
        <f t="shared" si="225"/>
        <v>133669.16051717781</v>
      </c>
      <c r="CB534" s="58">
        <f t="array" ref="CB534">SUM(IF(BY534:BZ534&gt;=BY534, 1))</f>
        <v>2</v>
      </c>
      <c r="CC534" s="58">
        <f t="array" ref="CC534">SUM(IF(BY534:BZ534&gt;=BZ534, 1))</f>
        <v>1</v>
      </c>
      <c r="CE534" s="109">
        <f t="shared" si="226"/>
        <v>90858.429697621614</v>
      </c>
      <c r="CF534" s="109">
        <f t="shared" si="227"/>
        <v>96331.931678762179</v>
      </c>
      <c r="CH534" s="58">
        <f t="array" ref="CH534">SUM(IF(CE534:CF534&gt;=CE534, 1))</f>
        <v>2</v>
      </c>
      <c r="CI534" s="58">
        <f t="array" ref="CI534">SUM(IF(CE534:CF534&gt;=CF534, 1))</f>
        <v>1</v>
      </c>
      <c r="CK534" s="109">
        <f t="shared" si="228"/>
        <v>51183.576071469019</v>
      </c>
      <c r="CL534" s="109">
        <f t="shared" si="229"/>
        <v>52178.874391101766</v>
      </c>
      <c r="CN534" s="58">
        <f t="array" ref="CN534">SUM(IF(CK534:CL534&gt;=CK534, 1))</f>
        <v>2</v>
      </c>
      <c r="CO534" s="58">
        <f t="array" ref="CO534">SUM(IF(CK534:CL534&gt;=CL534, 1))</f>
        <v>1</v>
      </c>
      <c r="CQ534" s="109" cm="1">
        <f t="array" ref="CQ534">AF534*WTP-AC534</f>
        <v>47796.675131115</v>
      </c>
      <c r="CR534" s="109">
        <f t="shared" si="230"/>
        <v>49414.834990229683</v>
      </c>
      <c r="CT534" s="58">
        <f t="array" ref="CT534">SUM(IF(CQ534:CR534&gt;=CQ534, 1))</f>
        <v>2</v>
      </c>
      <c r="CU534" s="58">
        <f t="array" ref="CU534">SUM(IF(CQ534:CR534&gt;=CR534, 1))</f>
        <v>1</v>
      </c>
      <c r="CW534" s="109">
        <f t="shared" si="231"/>
        <v>-39991540.861938633</v>
      </c>
      <c r="CX534" s="109">
        <f t="shared" si="232"/>
        <v>0</v>
      </c>
      <c r="CZ534" s="58">
        <f t="array" ref="CZ534">SUM(IF(CW534:CX534&gt;=CW534, 1))</f>
        <v>2</v>
      </c>
      <c r="DA534" s="58">
        <f t="array" ref="DA534">SUM(IF(CW534:CX534&gt;=CX534, 1))</f>
        <v>1</v>
      </c>
      <c r="DC534" s="109">
        <f t="shared" si="233"/>
        <v>-2196334.4797093095</v>
      </c>
      <c r="DD534" s="109">
        <f t="shared" si="234"/>
        <v>0</v>
      </c>
      <c r="DF534" s="58">
        <f t="array" ref="DF534">SUM(IF(DC534:DD534&gt;=DC534, 1))</f>
        <v>2</v>
      </c>
      <c r="DG534" s="58">
        <f t="array" ref="DG534">SUM(IF(DC534:DD534&gt;=DD534, 1))</f>
        <v>1</v>
      </c>
      <c r="DI534" s="109">
        <f t="shared" si="235"/>
        <v>-126227248.4562234</v>
      </c>
      <c r="DJ534" s="109">
        <f t="shared" si="236"/>
        <v>0</v>
      </c>
      <c r="DL534" s="58">
        <f t="array" ref="DL534">SUM(IF(DI534:DJ534&gt;=DI534, 1))</f>
        <v>2</v>
      </c>
      <c r="DM534" s="58">
        <f t="array" ref="DM534">SUM(IF(DI534:DJ534&gt;=DJ534, 1))</f>
        <v>1</v>
      </c>
      <c r="DO534" s="109">
        <f t="shared" si="237"/>
        <v>-8589092.7579978537</v>
      </c>
      <c r="DP534" s="109">
        <f t="shared" si="238"/>
        <v>0</v>
      </c>
      <c r="DR534" s="58">
        <f t="array" ref="DR534">SUM(IF(DO534:DP534&gt;=DO534, 1))</f>
        <v>2</v>
      </c>
      <c r="DS534" s="58">
        <f t="array" ref="DS534">SUM(IF(DO534:DP534&gt;=DP534, 1))</f>
        <v>1</v>
      </c>
      <c r="DU534" s="109">
        <f t="shared" si="239"/>
        <v>-25824235.73876306</v>
      </c>
      <c r="DV534" s="109">
        <f t="shared" si="240"/>
        <v>0</v>
      </c>
      <c r="DX534" s="58">
        <f t="array" ref="DX534">SUM(IF(DU534:DV534&gt;=DU534, 1))</f>
        <v>2</v>
      </c>
      <c r="DY534" s="58">
        <f t="array" ref="DY534">SUM(IF(DU534:DV534&gt;=DV534, 1))</f>
        <v>1</v>
      </c>
      <c r="EA534" s="109">
        <f t="shared" si="241"/>
        <v>-202828452.29463226</v>
      </c>
      <c r="EB534" s="109">
        <f t="shared" si="242"/>
        <v>0</v>
      </c>
      <c r="ED534" s="58">
        <f t="array" ref="ED534">SUM(IF(EA534:EB534&gt;=EA534, 1))</f>
        <v>2</v>
      </c>
      <c r="EE534" s="58">
        <f t="array" ref="EE534">SUM(IF(EA534:EB534&gt;=EB534, 1))</f>
        <v>1</v>
      </c>
    </row>
    <row r="535" spans="4:135" ht="12" customHeight="1" x14ac:dyDescent="0.25">
      <c r="D535" s="11">
        <v>519</v>
      </c>
      <c r="E535" s="72">
        <v>253.77074722111885</v>
      </c>
      <c r="F535" s="72">
        <v>236.24311754760757</v>
      </c>
      <c r="G535" s="73"/>
      <c r="H535" s="74">
        <v>5.8532645022761427</v>
      </c>
      <c r="I535" s="74">
        <v>5.865871878532845</v>
      </c>
      <c r="J535" s="73"/>
      <c r="K535" s="72">
        <v>272.63419355874754</v>
      </c>
      <c r="L535" s="72">
        <v>254.68133361875454</v>
      </c>
      <c r="M535" s="73"/>
      <c r="N535" s="74">
        <v>6.656851818912803</v>
      </c>
      <c r="O535" s="74">
        <v>6.667647397764723</v>
      </c>
      <c r="P535" s="73"/>
      <c r="Q535" s="72">
        <v>2480.2940804667646</v>
      </c>
      <c r="R535" s="72">
        <v>1254.558167242787</v>
      </c>
      <c r="S535" s="73"/>
      <c r="T535" s="74">
        <v>4.8723331470601359</v>
      </c>
      <c r="U535" s="74">
        <v>4.9898226778285446</v>
      </c>
      <c r="V535" s="73"/>
      <c r="W535" s="72">
        <v>9125.1467155792761</v>
      </c>
      <c r="X535" s="72">
        <v>9136.2328223016702</v>
      </c>
      <c r="Y535" s="73"/>
      <c r="Z535" s="74">
        <v>2.7800676347276934</v>
      </c>
      <c r="AA535" s="74">
        <v>2.8326777622593124</v>
      </c>
      <c r="AB535" s="73"/>
      <c r="AC535" s="72">
        <v>51626.923033223735</v>
      </c>
      <c r="AD535" s="72">
        <v>50800.131799952047</v>
      </c>
      <c r="AE535" s="73"/>
      <c r="AF535" s="74">
        <v>4.6214990771028575</v>
      </c>
      <c r="AG535" s="74">
        <v>4.7838765680368702</v>
      </c>
      <c r="AH535" s="73"/>
      <c r="AI535" s="72">
        <v>1899063.5657586607</v>
      </c>
      <c r="AJ535" s="72">
        <v>0</v>
      </c>
      <c r="AK535" s="73"/>
      <c r="AL535" s="74">
        <v>-1365.9695780255372</v>
      </c>
      <c r="AM535" s="74">
        <v>0</v>
      </c>
      <c r="AN535" s="73"/>
      <c r="AO535" s="72">
        <v>119856.32934184084</v>
      </c>
      <c r="AP535" s="72">
        <v>0</v>
      </c>
      <c r="AQ535" s="73"/>
      <c r="AR535" s="74">
        <v>-72.073110280837369</v>
      </c>
      <c r="AS535" s="74">
        <v>0</v>
      </c>
      <c r="AT535" s="73"/>
      <c r="AU535" s="72">
        <v>28251117.932648052</v>
      </c>
      <c r="AV535" s="72">
        <v>0</v>
      </c>
      <c r="AW535" s="73"/>
      <c r="AX535" s="74">
        <v>-2707.9328865052848</v>
      </c>
      <c r="AY535" s="74">
        <v>0</v>
      </c>
      <c r="AZ535" s="73"/>
      <c r="BA535" s="72">
        <v>-94839.376512077462</v>
      </c>
      <c r="BB535" s="72">
        <v>0</v>
      </c>
      <c r="BC535" s="73"/>
      <c r="BD535" s="74">
        <v>-450.06888516062588</v>
      </c>
      <c r="BE535" s="74">
        <v>0</v>
      </c>
      <c r="BF535" s="73"/>
      <c r="BG535" s="72">
        <v>12760060.0607091</v>
      </c>
      <c r="BH535" s="72">
        <v>0</v>
      </c>
      <c r="BI535" s="73"/>
      <c r="BJ535" s="74">
        <v>-2506.0093206677702</v>
      </c>
      <c r="BK535" s="74">
        <v>0</v>
      </c>
      <c r="BL535" s="73"/>
      <c r="BM535" s="72">
        <v>42935258.511945575</v>
      </c>
      <c r="BN535" s="72">
        <v>0</v>
      </c>
      <c r="BO535" s="73"/>
      <c r="BP535" s="74">
        <v>-7102.0537806400553</v>
      </c>
      <c r="BQ535" s="74">
        <v>0</v>
      </c>
      <c r="BS535" s="109">
        <f t="shared" si="222"/>
        <v>116811.51929830173</v>
      </c>
      <c r="BT535" s="109">
        <f t="shared" si="223"/>
        <v>117081.19445310929</v>
      </c>
      <c r="BV535" s="58">
        <f t="array" ref="BV535">SUM(IF(BS535:BT535&gt;=BS535, 1))</f>
        <v>2</v>
      </c>
      <c r="BW535" s="58">
        <f t="array" ref="BW535">SUM(IF(BS535:BT535&gt;=BT535, 1))</f>
        <v>1</v>
      </c>
      <c r="BY535" s="109">
        <f t="shared" si="224"/>
        <v>132864.4021846973</v>
      </c>
      <c r="BZ535" s="109">
        <f t="shared" si="225"/>
        <v>133098.26662167569</v>
      </c>
      <c r="CB535" s="58">
        <f t="array" ref="CB535">SUM(IF(BY535:BZ535&gt;=BY535, 1))</f>
        <v>2</v>
      </c>
      <c r="CC535" s="58">
        <f t="array" ref="CC535">SUM(IF(BY535:BZ535&gt;=BZ535, 1))</f>
        <v>1</v>
      </c>
      <c r="CE535" s="109">
        <f t="shared" si="226"/>
        <v>94966.368860735951</v>
      </c>
      <c r="CF535" s="109">
        <f t="shared" si="227"/>
        <v>98541.8953893281</v>
      </c>
      <c r="CH535" s="58">
        <f t="array" ref="CH535">SUM(IF(CE535:CF535&gt;=CE535, 1))</f>
        <v>2</v>
      </c>
      <c r="CI535" s="58">
        <f t="array" ref="CI535">SUM(IF(CE535:CF535&gt;=CF535, 1))</f>
        <v>1</v>
      </c>
      <c r="CK535" s="109">
        <f t="shared" si="228"/>
        <v>46476.205978974591</v>
      </c>
      <c r="CL535" s="109">
        <f t="shared" si="229"/>
        <v>47517.322422884579</v>
      </c>
      <c r="CN535" s="58">
        <f t="array" ref="CN535">SUM(IF(CK535:CL535&gt;=CK535, 1))</f>
        <v>2</v>
      </c>
      <c r="CO535" s="58">
        <f t="array" ref="CO535">SUM(IF(CK535:CL535&gt;=CL535, 1))</f>
        <v>1</v>
      </c>
      <c r="CQ535" s="109" cm="1">
        <f t="array" ref="CQ535">AF535*WTP-AC535</f>
        <v>40803.058508833419</v>
      </c>
      <c r="CR535" s="109">
        <f t="shared" si="230"/>
        <v>44877.39956078535</v>
      </c>
      <c r="CT535" s="58">
        <f t="array" ref="CT535">SUM(IF(CQ535:CR535&gt;=CQ535, 1))</f>
        <v>2</v>
      </c>
      <c r="CU535" s="58">
        <f t="array" ref="CU535">SUM(IF(CQ535:CR535&gt;=CR535, 1))</f>
        <v>1</v>
      </c>
      <c r="CW535" s="109">
        <f t="shared" si="231"/>
        <v>-29218455.126269404</v>
      </c>
      <c r="CX535" s="109">
        <f t="shared" si="232"/>
        <v>0</v>
      </c>
      <c r="CZ535" s="58">
        <f t="array" ref="CZ535">SUM(IF(CW535:CX535&gt;=CW535, 1))</f>
        <v>2</v>
      </c>
      <c r="DA535" s="58">
        <f t="array" ref="DA535">SUM(IF(CW535:CX535&gt;=CX535, 1))</f>
        <v>1</v>
      </c>
      <c r="DC535" s="109">
        <f t="shared" si="233"/>
        <v>-1561318.5349585884</v>
      </c>
      <c r="DD535" s="109">
        <f t="shared" si="234"/>
        <v>0</v>
      </c>
      <c r="DF535" s="58">
        <f t="array" ref="DF535">SUM(IF(DC535:DD535&gt;=DC535, 1))</f>
        <v>2</v>
      </c>
      <c r="DG535" s="58">
        <f t="array" ref="DG535">SUM(IF(DC535:DD535&gt;=DD535, 1))</f>
        <v>1</v>
      </c>
      <c r="DI535" s="109">
        <f t="shared" si="235"/>
        <v>-82409775.662753746</v>
      </c>
      <c r="DJ535" s="109">
        <f t="shared" si="236"/>
        <v>0</v>
      </c>
      <c r="DL535" s="58">
        <f t="array" ref="DL535">SUM(IF(DI535:DJ535&gt;=DI535, 1))</f>
        <v>2</v>
      </c>
      <c r="DM535" s="58">
        <f t="array" ref="DM535">SUM(IF(DI535:DJ535&gt;=DJ535, 1))</f>
        <v>1</v>
      </c>
      <c r="DO535" s="109">
        <f t="shared" si="237"/>
        <v>-8906538.3267004415</v>
      </c>
      <c r="DP535" s="109">
        <f t="shared" si="238"/>
        <v>0</v>
      </c>
      <c r="DR535" s="58">
        <f t="array" ref="DR535">SUM(IF(DO535:DP535&gt;=DO535, 1))</f>
        <v>2</v>
      </c>
      <c r="DS535" s="58">
        <f t="array" ref="DS535">SUM(IF(DO535:DP535&gt;=DP535, 1))</f>
        <v>1</v>
      </c>
      <c r="DU535" s="109">
        <f t="shared" si="239"/>
        <v>-62880246.474064499</v>
      </c>
      <c r="DV535" s="109">
        <f t="shared" si="240"/>
        <v>0</v>
      </c>
      <c r="DX535" s="58">
        <f t="array" ref="DX535">SUM(IF(DU535:DV535&gt;=DU535, 1))</f>
        <v>2</v>
      </c>
      <c r="DY535" s="58">
        <f t="array" ref="DY535">SUM(IF(DU535:DV535&gt;=DV535, 1))</f>
        <v>1</v>
      </c>
      <c r="EA535" s="109">
        <f t="shared" si="241"/>
        <v>-184976334.12474668</v>
      </c>
      <c r="EB535" s="109">
        <f t="shared" si="242"/>
        <v>0</v>
      </c>
      <c r="ED535" s="58">
        <f t="array" ref="ED535">SUM(IF(EA535:EB535&gt;=EA535, 1))</f>
        <v>2</v>
      </c>
      <c r="EE535" s="58">
        <f t="array" ref="EE535">SUM(IF(EA535:EB535&gt;=EB535, 1))</f>
        <v>1</v>
      </c>
    </row>
    <row r="536" spans="4:135" ht="12" customHeight="1" x14ac:dyDescent="0.25">
      <c r="D536" s="11">
        <v>520</v>
      </c>
      <c r="E536" s="72">
        <v>244.23999884227663</v>
      </c>
      <c r="F536" s="72">
        <v>232.25713393218822</v>
      </c>
      <c r="G536" s="73"/>
      <c r="H536" s="74">
        <v>5.8390917123045636</v>
      </c>
      <c r="I536" s="74">
        <v>5.8601601873498046</v>
      </c>
      <c r="J536" s="73"/>
      <c r="K536" s="72">
        <v>262.83458833065077</v>
      </c>
      <c r="L536" s="72">
        <v>250.56815408283728</v>
      </c>
      <c r="M536" s="73"/>
      <c r="N536" s="74">
        <v>6.7555950381137748</v>
      </c>
      <c r="O536" s="74">
        <v>6.7749523443774473</v>
      </c>
      <c r="P536" s="73"/>
      <c r="Q536" s="72">
        <v>2599.7118332580785</v>
      </c>
      <c r="R536" s="72">
        <v>1705.9401026886317</v>
      </c>
      <c r="S536" s="73"/>
      <c r="T536" s="74">
        <v>4.8559130808985831</v>
      </c>
      <c r="U536" s="74">
        <v>4.9350018189719167</v>
      </c>
      <c r="V536" s="73"/>
      <c r="W536" s="72">
        <v>12263.291468973583</v>
      </c>
      <c r="X536" s="72">
        <v>12350.70749084111</v>
      </c>
      <c r="Y536" s="73"/>
      <c r="Z536" s="74">
        <v>3.1615145227452013</v>
      </c>
      <c r="AA536" s="74">
        <v>3.2272009736859943</v>
      </c>
      <c r="AB536" s="73"/>
      <c r="AC536" s="72">
        <v>51320.318376905394</v>
      </c>
      <c r="AD536" s="72">
        <v>51126.721929188774</v>
      </c>
      <c r="AE536" s="73"/>
      <c r="AF536" s="74">
        <v>4.3461523564552769</v>
      </c>
      <c r="AG536" s="74">
        <v>4.4774553993843718</v>
      </c>
      <c r="AH536" s="73"/>
      <c r="AI536" s="72">
        <v>1300464.9934839553</v>
      </c>
      <c r="AJ536" s="72">
        <v>0</v>
      </c>
      <c r="AK536" s="73"/>
      <c r="AL536" s="74">
        <v>-2286.4994697018637</v>
      </c>
      <c r="AM536" s="74">
        <v>0</v>
      </c>
      <c r="AN536" s="73"/>
      <c r="AO536" s="72">
        <v>84592.464858334977</v>
      </c>
      <c r="AP536" s="72">
        <v>0</v>
      </c>
      <c r="AQ536" s="73"/>
      <c r="AR536" s="74">
        <v>-133.49293011973924</v>
      </c>
      <c r="AS536" s="74">
        <v>0</v>
      </c>
      <c r="AT536" s="73"/>
      <c r="AU536" s="72">
        <v>20847619.231769446</v>
      </c>
      <c r="AV536" s="72">
        <v>0</v>
      </c>
      <c r="AW536" s="73"/>
      <c r="AX536" s="74">
        <v>-1844.7796461670389</v>
      </c>
      <c r="AY536" s="74">
        <v>0</v>
      </c>
      <c r="AZ536" s="73"/>
      <c r="BA536" s="72">
        <v>-766251.72360437573</v>
      </c>
      <c r="BB536" s="72">
        <v>0</v>
      </c>
      <c r="BC536" s="73"/>
      <c r="BD536" s="74">
        <v>-575.77953303699496</v>
      </c>
      <c r="BE536" s="74">
        <v>0</v>
      </c>
      <c r="BF536" s="73"/>
      <c r="BG536" s="72">
        <v>3090327.9889428704</v>
      </c>
      <c r="BH536" s="72">
        <v>0</v>
      </c>
      <c r="BI536" s="73"/>
      <c r="BJ536" s="74">
        <v>-2095.9551344201377</v>
      </c>
      <c r="BK536" s="74">
        <v>0</v>
      </c>
      <c r="BL536" s="73"/>
      <c r="BM536" s="72">
        <v>24556752.955450229</v>
      </c>
      <c r="BN536" s="72">
        <v>0</v>
      </c>
      <c r="BO536" s="73"/>
      <c r="BP536" s="74">
        <v>-6936.5067134457749</v>
      </c>
      <c r="BQ536" s="74">
        <v>0</v>
      </c>
      <c r="BS536" s="109">
        <f t="shared" si="222"/>
        <v>116537.594247249</v>
      </c>
      <c r="BT536" s="109">
        <f t="shared" si="223"/>
        <v>116970.9466130639</v>
      </c>
      <c r="BV536" s="58">
        <f t="array" ref="BV536">SUM(IF(BS536:BT536&gt;=BS536, 1))</f>
        <v>2</v>
      </c>
      <c r="BW536" s="58">
        <f t="array" ref="BW536">SUM(IF(BS536:BT536&gt;=BT536, 1))</f>
        <v>1</v>
      </c>
      <c r="BY536" s="109">
        <f t="shared" si="224"/>
        <v>134849.06617394486</v>
      </c>
      <c r="BZ536" s="109">
        <f t="shared" si="225"/>
        <v>135248.47873346612</v>
      </c>
      <c r="CB536" s="58">
        <f t="array" ref="CB536">SUM(IF(BY536:BZ536&gt;=BY536, 1))</f>
        <v>2</v>
      </c>
      <c r="CC536" s="58">
        <f t="array" ref="CC536">SUM(IF(BY536:BZ536&gt;=BZ536, 1))</f>
        <v>1</v>
      </c>
      <c r="CE536" s="109">
        <f t="shared" si="226"/>
        <v>94518.549784713585</v>
      </c>
      <c r="CF536" s="109">
        <f t="shared" si="227"/>
        <v>96994.096276749697</v>
      </c>
      <c r="CH536" s="58">
        <f t="array" ref="CH536">SUM(IF(CE536:CF536&gt;=CE536, 1))</f>
        <v>2</v>
      </c>
      <c r="CI536" s="58">
        <f t="array" ref="CI536">SUM(IF(CE536:CF536&gt;=CF536, 1))</f>
        <v>1</v>
      </c>
      <c r="CK536" s="109">
        <f t="shared" si="228"/>
        <v>50966.998985930441</v>
      </c>
      <c r="CL536" s="109">
        <f t="shared" si="229"/>
        <v>52193.311982878775</v>
      </c>
      <c r="CN536" s="58">
        <f t="array" ref="CN536">SUM(IF(CK536:CL536&gt;=CK536, 1))</f>
        <v>2</v>
      </c>
      <c r="CO536" s="58">
        <f t="array" ref="CO536">SUM(IF(CK536:CL536&gt;=CL536, 1))</f>
        <v>1</v>
      </c>
      <c r="CQ536" s="109" cm="1">
        <f t="array" ref="CQ536">AF536*WTP-AC536</f>
        <v>35602.72875220015</v>
      </c>
      <c r="CR536" s="109">
        <f t="shared" si="230"/>
        <v>38422.386058498654</v>
      </c>
      <c r="CT536" s="58">
        <f t="array" ref="CT536">SUM(IF(CQ536:CR536&gt;=CQ536, 1))</f>
        <v>2</v>
      </c>
      <c r="CU536" s="58">
        <f t="array" ref="CU536">SUM(IF(CQ536:CR536&gt;=CR536, 1))</f>
        <v>1</v>
      </c>
      <c r="CW536" s="109">
        <f t="shared" si="231"/>
        <v>-47030454.38752123</v>
      </c>
      <c r="CX536" s="109">
        <f t="shared" si="232"/>
        <v>0</v>
      </c>
      <c r="CZ536" s="58">
        <f t="array" ref="CZ536">SUM(IF(CW536:CX536&gt;=CW536, 1))</f>
        <v>2</v>
      </c>
      <c r="DA536" s="58">
        <f t="array" ref="DA536">SUM(IF(CW536:CX536&gt;=CX536, 1))</f>
        <v>1</v>
      </c>
      <c r="DC536" s="109">
        <f t="shared" si="233"/>
        <v>-2754451.0672531198</v>
      </c>
      <c r="DD536" s="109">
        <f t="shared" si="234"/>
        <v>0</v>
      </c>
      <c r="DF536" s="58">
        <f t="array" ref="DF536">SUM(IF(DC536:DD536&gt;=DC536, 1))</f>
        <v>2</v>
      </c>
      <c r="DG536" s="58">
        <f t="array" ref="DG536">SUM(IF(DC536:DD536&gt;=DD536, 1))</f>
        <v>1</v>
      </c>
      <c r="DI536" s="109">
        <f t="shared" si="235"/>
        <v>-57743212.155110225</v>
      </c>
      <c r="DJ536" s="109">
        <f t="shared" si="236"/>
        <v>0</v>
      </c>
      <c r="DL536" s="58">
        <f t="array" ref="DL536">SUM(IF(DI536:DJ536&gt;=DI536, 1))</f>
        <v>2</v>
      </c>
      <c r="DM536" s="58">
        <f t="array" ref="DM536">SUM(IF(DI536:DJ536&gt;=DJ536, 1))</f>
        <v>1</v>
      </c>
      <c r="DO536" s="109">
        <f t="shared" si="237"/>
        <v>-10749338.937135523</v>
      </c>
      <c r="DP536" s="109">
        <f t="shared" si="238"/>
        <v>0</v>
      </c>
      <c r="DR536" s="58">
        <f t="array" ref="DR536">SUM(IF(DO536:DP536&gt;=DO536, 1))</f>
        <v>2</v>
      </c>
      <c r="DS536" s="58">
        <f t="array" ref="DS536">SUM(IF(DO536:DP536&gt;=DP536, 1))</f>
        <v>1</v>
      </c>
      <c r="DU536" s="109">
        <f t="shared" si="239"/>
        <v>-45009430.677345626</v>
      </c>
      <c r="DV536" s="109">
        <f t="shared" si="240"/>
        <v>0</v>
      </c>
      <c r="DX536" s="58">
        <f t="array" ref="DX536">SUM(IF(DU536:DV536&gt;=DU536, 1))</f>
        <v>2</v>
      </c>
      <c r="DY536" s="58">
        <f t="array" ref="DY536">SUM(IF(DU536:DV536&gt;=DV536, 1))</f>
        <v>1</v>
      </c>
      <c r="EA536" s="109">
        <f t="shared" si="241"/>
        <v>-163286887.22436574</v>
      </c>
      <c r="EB536" s="109">
        <f t="shared" si="242"/>
        <v>0</v>
      </c>
      <c r="ED536" s="58">
        <f t="array" ref="ED536">SUM(IF(EA536:EB536&gt;=EA536, 1))</f>
        <v>2</v>
      </c>
      <c r="EE536" s="58">
        <f t="array" ref="EE536">SUM(IF(EA536:EB536&gt;=EB536, 1))</f>
        <v>1</v>
      </c>
    </row>
    <row r="537" spans="4:135" ht="12" customHeight="1" x14ac:dyDescent="0.25">
      <c r="D537" s="11">
        <v>521</v>
      </c>
      <c r="E537" s="72">
        <v>227.50532131591345</v>
      </c>
      <c r="F537" s="72">
        <v>208.32378585266181</v>
      </c>
      <c r="G537" s="73"/>
      <c r="H537" s="74">
        <v>5.8500972364094332</v>
      </c>
      <c r="I537" s="74">
        <v>5.8668004309357826</v>
      </c>
      <c r="J537" s="73"/>
      <c r="K537" s="72">
        <v>244.2719402390791</v>
      </c>
      <c r="L537" s="72">
        <v>224.63499208453382</v>
      </c>
      <c r="M537" s="73"/>
      <c r="N537" s="74">
        <v>6.7451525215736163</v>
      </c>
      <c r="O537" s="74">
        <v>6.7594562208183717</v>
      </c>
      <c r="P537" s="73"/>
      <c r="Q537" s="72">
        <v>2021.0428969047657</v>
      </c>
      <c r="R537" s="72">
        <v>1206.6790907888496</v>
      </c>
      <c r="S537" s="73"/>
      <c r="T537" s="74">
        <v>4.6745641714323947</v>
      </c>
      <c r="U537" s="74">
        <v>4.8267082673285033</v>
      </c>
      <c r="V537" s="73"/>
      <c r="W537" s="72">
        <v>15938.627011622342</v>
      </c>
      <c r="X537" s="72">
        <v>15884.691305147895</v>
      </c>
      <c r="Y537" s="73"/>
      <c r="Z537" s="74">
        <v>2.9881473405067314</v>
      </c>
      <c r="AA537" s="74">
        <v>3.0355550080649407</v>
      </c>
      <c r="AB537" s="73"/>
      <c r="AC537" s="72">
        <v>49970.460759926471</v>
      </c>
      <c r="AD537" s="72">
        <v>49952.882411165039</v>
      </c>
      <c r="AE537" s="73"/>
      <c r="AF537" s="74">
        <v>4.7974802879336886</v>
      </c>
      <c r="AG537" s="74">
        <v>4.8964373339321963</v>
      </c>
      <c r="AH537" s="73"/>
      <c r="AI537" s="72">
        <v>2067404.0704027028</v>
      </c>
      <c r="AJ537" s="72">
        <v>0</v>
      </c>
      <c r="AK537" s="73"/>
      <c r="AL537" s="74">
        <v>-1800.2861355213424</v>
      </c>
      <c r="AM537" s="74">
        <v>0</v>
      </c>
      <c r="AN537" s="73"/>
      <c r="AO537" s="72">
        <v>138151.40887976548</v>
      </c>
      <c r="AP537" s="72">
        <v>0</v>
      </c>
      <c r="AQ537" s="73"/>
      <c r="AR537" s="74">
        <v>-100.63051484901945</v>
      </c>
      <c r="AS537" s="74">
        <v>0</v>
      </c>
      <c r="AT537" s="73"/>
      <c r="AU537" s="72">
        <v>18925512.671065968</v>
      </c>
      <c r="AV537" s="72">
        <v>0</v>
      </c>
      <c r="AW537" s="73"/>
      <c r="AX537" s="74">
        <v>-3535.7723330594918</v>
      </c>
      <c r="AY537" s="74">
        <v>0</v>
      </c>
      <c r="AZ537" s="73"/>
      <c r="BA537" s="72">
        <v>480894.64139293425</v>
      </c>
      <c r="BB537" s="72">
        <v>0</v>
      </c>
      <c r="BC537" s="73"/>
      <c r="BD537" s="74">
        <v>-422.6901765063825</v>
      </c>
      <c r="BE537" s="74">
        <v>0</v>
      </c>
      <c r="BF537" s="73"/>
      <c r="BG537" s="72">
        <v>280173.71976591955</v>
      </c>
      <c r="BH537" s="72">
        <v>0</v>
      </c>
      <c r="BI537" s="73"/>
      <c r="BJ537" s="74">
        <v>-1577.2336782440177</v>
      </c>
      <c r="BK537" s="74">
        <v>0</v>
      </c>
      <c r="BL537" s="73"/>
      <c r="BM537" s="72">
        <v>21892136.511507291</v>
      </c>
      <c r="BN537" s="72">
        <v>0</v>
      </c>
      <c r="BO537" s="73"/>
      <c r="BP537" s="74">
        <v>-7436.6128381802537</v>
      </c>
      <c r="BQ537" s="74">
        <v>0</v>
      </c>
      <c r="BS537" s="109">
        <f t="shared" si="222"/>
        <v>116774.43940687276</v>
      </c>
      <c r="BT537" s="109">
        <f t="shared" si="223"/>
        <v>117127.684832863</v>
      </c>
      <c r="BV537" s="58">
        <f t="array" ref="BV537">SUM(IF(BS537:BT537&gt;=BS537, 1))</f>
        <v>2</v>
      </c>
      <c r="BW537" s="58">
        <f t="array" ref="BW537">SUM(IF(BS537:BT537&gt;=BT537, 1))</f>
        <v>1</v>
      </c>
      <c r="BY537" s="109">
        <f t="shared" si="224"/>
        <v>134658.77849123327</v>
      </c>
      <c r="BZ537" s="109">
        <f t="shared" si="225"/>
        <v>134964.48942428292</v>
      </c>
      <c r="CB537" s="58">
        <f t="array" ref="CB537">SUM(IF(BY537:BZ537&gt;=BY537, 1))</f>
        <v>2</v>
      </c>
      <c r="CC537" s="58">
        <f t="array" ref="CC537">SUM(IF(BY537:BZ537&gt;=BZ537, 1))</f>
        <v>1</v>
      </c>
      <c r="CE537" s="109">
        <f t="shared" si="226"/>
        <v>91470.240531743126</v>
      </c>
      <c r="CF537" s="109">
        <f t="shared" si="227"/>
        <v>95327.486255781216</v>
      </c>
      <c r="CH537" s="58">
        <f t="array" ref="CH537">SUM(IF(CE537:CF537&gt;=CE537, 1))</f>
        <v>2</v>
      </c>
      <c r="CI537" s="58">
        <f t="array" ref="CI537">SUM(IF(CE537:CF537&gt;=CF537, 1))</f>
        <v>1</v>
      </c>
      <c r="CK537" s="109">
        <f t="shared" si="228"/>
        <v>43824.319798512282</v>
      </c>
      <c r="CL537" s="109">
        <f t="shared" si="229"/>
        <v>44826.408856150912</v>
      </c>
      <c r="CN537" s="58">
        <f t="array" ref="CN537">SUM(IF(CK537:CL537&gt;=CK537, 1))</f>
        <v>2</v>
      </c>
      <c r="CO537" s="58">
        <f t="array" ref="CO537">SUM(IF(CK537:CL537&gt;=CL537, 1))</f>
        <v>1</v>
      </c>
      <c r="CQ537" s="109" cm="1">
        <f t="array" ref="CQ537">AF537*WTP-AC537</f>
        <v>45979.144998747302</v>
      </c>
      <c r="CR537" s="109">
        <f t="shared" si="230"/>
        <v>47975.864267478879</v>
      </c>
      <c r="CT537" s="58">
        <f t="array" ref="CT537">SUM(IF(CQ537:CR537&gt;=CQ537, 1))</f>
        <v>2</v>
      </c>
      <c r="CU537" s="58">
        <f t="array" ref="CU537">SUM(IF(CQ537:CR537&gt;=CR537, 1))</f>
        <v>1</v>
      </c>
      <c r="CW537" s="109">
        <f t="shared" si="231"/>
        <v>-38073126.780829556</v>
      </c>
      <c r="CX537" s="109">
        <f t="shared" si="232"/>
        <v>0</v>
      </c>
      <c r="CZ537" s="58">
        <f t="array" ref="CZ537">SUM(IF(CW537:CX537&gt;=CW537, 1))</f>
        <v>2</v>
      </c>
      <c r="DA537" s="58">
        <f t="array" ref="DA537">SUM(IF(CW537:CX537&gt;=CX537, 1))</f>
        <v>1</v>
      </c>
      <c r="DC537" s="109">
        <f t="shared" si="233"/>
        <v>-2150761.7058601542</v>
      </c>
      <c r="DD537" s="109">
        <f t="shared" si="234"/>
        <v>0</v>
      </c>
      <c r="DF537" s="58">
        <f t="array" ref="DF537">SUM(IF(DC537:DD537&gt;=DC537, 1))</f>
        <v>2</v>
      </c>
      <c r="DG537" s="58">
        <f t="array" ref="DG537">SUM(IF(DC537:DD537&gt;=DD537, 1))</f>
        <v>1</v>
      </c>
      <c r="DI537" s="109">
        <f t="shared" si="235"/>
        <v>-89640959.33225581</v>
      </c>
      <c r="DJ537" s="109">
        <f t="shared" si="236"/>
        <v>0</v>
      </c>
      <c r="DL537" s="58">
        <f t="array" ref="DL537">SUM(IF(DI537:DJ537&gt;=DI537, 1))</f>
        <v>2</v>
      </c>
      <c r="DM537" s="58">
        <f t="array" ref="DM537">SUM(IF(DI537:DJ537&gt;=DJ537, 1))</f>
        <v>1</v>
      </c>
      <c r="DO537" s="109">
        <f t="shared" si="237"/>
        <v>-8934698.1715205852</v>
      </c>
      <c r="DP537" s="109">
        <f t="shared" si="238"/>
        <v>0</v>
      </c>
      <c r="DR537" s="58">
        <f t="array" ref="DR537">SUM(IF(DO537:DP537&gt;=DO537, 1))</f>
        <v>2</v>
      </c>
      <c r="DS537" s="58">
        <f t="array" ref="DS537">SUM(IF(DO537:DP537&gt;=DP537, 1))</f>
        <v>1</v>
      </c>
      <c r="DU537" s="109">
        <f t="shared" si="239"/>
        <v>-31824847.284646273</v>
      </c>
      <c r="DV537" s="109">
        <f t="shared" si="240"/>
        <v>0</v>
      </c>
      <c r="DX537" s="58">
        <f t="array" ref="DX537">SUM(IF(DU537:DV537&gt;=DU537, 1))</f>
        <v>2</v>
      </c>
      <c r="DY537" s="58">
        <f t="array" ref="DY537">SUM(IF(DU537:DV537&gt;=DV537, 1))</f>
        <v>1</v>
      </c>
      <c r="EA537" s="109">
        <f t="shared" si="241"/>
        <v>-170624393.27511239</v>
      </c>
      <c r="EB537" s="109">
        <f t="shared" si="242"/>
        <v>0</v>
      </c>
      <c r="ED537" s="58">
        <f t="array" ref="ED537">SUM(IF(EA537:EB537&gt;=EA537, 1))</f>
        <v>2</v>
      </c>
      <c r="EE537" s="58">
        <f t="array" ref="EE537">SUM(IF(EA537:EB537&gt;=EB537, 1))</f>
        <v>1</v>
      </c>
    </row>
    <row r="538" spans="4:135" ht="12" customHeight="1" x14ac:dyDescent="0.25">
      <c r="D538" s="11">
        <v>522</v>
      </c>
      <c r="E538" s="72">
        <v>243.65021816567292</v>
      </c>
      <c r="F538" s="72">
        <v>227.09513051786999</v>
      </c>
      <c r="G538" s="73"/>
      <c r="H538" s="74">
        <v>5.7795457499172178</v>
      </c>
      <c r="I538" s="74">
        <v>5.7969114744049408</v>
      </c>
      <c r="J538" s="73"/>
      <c r="K538" s="72">
        <v>261.86922517698707</v>
      </c>
      <c r="L538" s="72">
        <v>244.93322201932838</v>
      </c>
      <c r="M538" s="73"/>
      <c r="N538" s="74">
        <v>6.7058840291285806</v>
      </c>
      <c r="O538" s="74">
        <v>6.7216349086553997</v>
      </c>
      <c r="P538" s="73"/>
      <c r="Q538" s="72">
        <v>1436.0650680212548</v>
      </c>
      <c r="R538" s="72">
        <v>1346.3639214832319</v>
      </c>
      <c r="S538" s="73"/>
      <c r="T538" s="74">
        <v>4.8676946723218624</v>
      </c>
      <c r="U538" s="74">
        <v>4.8990979444657343</v>
      </c>
      <c r="V538" s="73"/>
      <c r="W538" s="72">
        <v>13173.251529983749</v>
      </c>
      <c r="X538" s="72">
        <v>13174.266349924339</v>
      </c>
      <c r="Y538" s="73"/>
      <c r="Z538" s="74">
        <v>3.0070611417397064</v>
      </c>
      <c r="AA538" s="74">
        <v>3.0486752180543197</v>
      </c>
      <c r="AB538" s="73"/>
      <c r="AC538" s="72">
        <v>50254.176311644384</v>
      </c>
      <c r="AD538" s="72">
        <v>50053.222593677012</v>
      </c>
      <c r="AE538" s="73"/>
      <c r="AF538" s="74">
        <v>4.7267722964773418</v>
      </c>
      <c r="AG538" s="74">
        <v>4.827044044011978</v>
      </c>
      <c r="AH538" s="73"/>
      <c r="AI538" s="72">
        <v>1774561.276577025</v>
      </c>
      <c r="AJ538" s="72">
        <v>0</v>
      </c>
      <c r="AK538" s="73"/>
      <c r="AL538" s="74">
        <v>-1861.4544888687656</v>
      </c>
      <c r="AM538" s="74">
        <v>0</v>
      </c>
      <c r="AN538" s="73"/>
      <c r="AO538" s="72">
        <v>121004.35775325395</v>
      </c>
      <c r="AP538" s="72">
        <v>0</v>
      </c>
      <c r="AQ538" s="73"/>
      <c r="AR538" s="74">
        <v>-112.53688626821817</v>
      </c>
      <c r="AS538" s="74">
        <v>0</v>
      </c>
      <c r="AT538" s="73"/>
      <c r="AU538" s="72">
        <v>2080672.7780074645</v>
      </c>
      <c r="AV538" s="72">
        <v>0</v>
      </c>
      <c r="AW538" s="73"/>
      <c r="AX538" s="74">
        <v>-728.41804159568858</v>
      </c>
      <c r="AY538" s="74">
        <v>0</v>
      </c>
      <c r="AZ538" s="73"/>
      <c r="BA538" s="72">
        <v>-9050.1645014426031</v>
      </c>
      <c r="BB538" s="72">
        <v>0</v>
      </c>
      <c r="BC538" s="73"/>
      <c r="BD538" s="74">
        <v>-371.11434369703352</v>
      </c>
      <c r="BE538" s="74">
        <v>0</v>
      </c>
      <c r="BF538" s="73"/>
      <c r="BG538" s="72">
        <v>3178171.9601113889</v>
      </c>
      <c r="BH538" s="72">
        <v>0</v>
      </c>
      <c r="BI538" s="73"/>
      <c r="BJ538" s="74">
        <v>-1585.8420517389604</v>
      </c>
      <c r="BK538" s="74">
        <v>0</v>
      </c>
      <c r="BL538" s="73"/>
      <c r="BM538" s="72">
        <v>7145360.20794769</v>
      </c>
      <c r="BN538" s="72">
        <v>0</v>
      </c>
      <c r="BO538" s="73"/>
      <c r="BP538" s="74">
        <v>-4659.3658121686667</v>
      </c>
      <c r="BQ538" s="74">
        <v>0</v>
      </c>
      <c r="BS538" s="109">
        <f t="shared" si="222"/>
        <v>115347.26478017868</v>
      </c>
      <c r="BT538" s="109">
        <f t="shared" si="223"/>
        <v>115711.13435758094</v>
      </c>
      <c r="BV538" s="58">
        <f t="array" ref="BV538">SUM(IF(BS538:BT538&gt;=BS538, 1))</f>
        <v>2</v>
      </c>
      <c r="BW538" s="58">
        <f t="array" ref="BW538">SUM(IF(BS538:BT538&gt;=BT538, 1))</f>
        <v>1</v>
      </c>
      <c r="BY538" s="109">
        <f t="shared" si="224"/>
        <v>133855.81135739462</v>
      </c>
      <c r="BZ538" s="109">
        <f t="shared" si="225"/>
        <v>134187.76495108867</v>
      </c>
      <c r="CB538" s="58">
        <f t="array" ref="CB538">SUM(IF(BY538:BZ538&gt;=BY538, 1))</f>
        <v>2</v>
      </c>
      <c r="CC538" s="58">
        <f t="array" ref="CC538">SUM(IF(BY538:BZ538&gt;=BZ538, 1))</f>
        <v>1</v>
      </c>
      <c r="CE538" s="109">
        <f t="shared" si="226"/>
        <v>95917.828378415987</v>
      </c>
      <c r="CF538" s="109">
        <f t="shared" si="227"/>
        <v>96635.59496783145</v>
      </c>
      <c r="CH538" s="58">
        <f t="array" ref="CH538">SUM(IF(CE538:CF538&gt;=CE538, 1))</f>
        <v>2</v>
      </c>
      <c r="CI538" s="58">
        <f t="array" ref="CI538">SUM(IF(CE538:CF538&gt;=CF538, 1))</f>
        <v>1</v>
      </c>
      <c r="CK538" s="109">
        <f t="shared" si="228"/>
        <v>46967.97130481038</v>
      </c>
      <c r="CL538" s="109">
        <f t="shared" si="229"/>
        <v>47799.238011162059</v>
      </c>
      <c r="CN538" s="58">
        <f t="array" ref="CN538">SUM(IF(CK538:CL538&gt;=CK538, 1))</f>
        <v>2</v>
      </c>
      <c r="CO538" s="58">
        <f t="array" ref="CO538">SUM(IF(CK538:CL538&gt;=CL538, 1))</f>
        <v>1</v>
      </c>
      <c r="CQ538" s="109" cm="1">
        <f t="array" ref="CQ538">AF538*WTP-AC538</f>
        <v>44281.269617902457</v>
      </c>
      <c r="CR538" s="109">
        <f t="shared" si="230"/>
        <v>46487.658286562553</v>
      </c>
      <c r="CT538" s="58">
        <f t="array" ref="CT538">SUM(IF(CQ538:CR538&gt;=CQ538, 1))</f>
        <v>2</v>
      </c>
      <c r="CU538" s="58">
        <f t="array" ref="CU538">SUM(IF(CQ538:CR538&gt;=CR538, 1))</f>
        <v>1</v>
      </c>
      <c r="CW538" s="109">
        <f t="shared" si="231"/>
        <v>-39003651.053952336</v>
      </c>
      <c r="CX538" s="109">
        <f t="shared" si="232"/>
        <v>0</v>
      </c>
      <c r="CZ538" s="58">
        <f t="array" ref="CZ538">SUM(IF(CW538:CX538&gt;=CW538, 1))</f>
        <v>2</v>
      </c>
      <c r="DA538" s="58">
        <f t="array" ref="DA538">SUM(IF(CW538:CX538&gt;=CX538, 1))</f>
        <v>1</v>
      </c>
      <c r="DC538" s="109">
        <f t="shared" si="233"/>
        <v>-2371742.0831176173</v>
      </c>
      <c r="DD538" s="109">
        <f t="shared" si="234"/>
        <v>0</v>
      </c>
      <c r="DF538" s="58">
        <f t="array" ref="DF538">SUM(IF(DC538:DD538&gt;=DC538, 1))</f>
        <v>2</v>
      </c>
      <c r="DG538" s="58">
        <f t="array" ref="DG538">SUM(IF(DC538:DD538&gt;=DD538, 1))</f>
        <v>1</v>
      </c>
      <c r="DI538" s="109">
        <f t="shared" si="235"/>
        <v>-16649033.609921236</v>
      </c>
      <c r="DJ538" s="109">
        <f t="shared" si="236"/>
        <v>0</v>
      </c>
      <c r="DL538" s="58">
        <f t="array" ref="DL538">SUM(IF(DI538:DJ538&gt;=DI538, 1))</f>
        <v>2</v>
      </c>
      <c r="DM538" s="58">
        <f t="array" ref="DM538">SUM(IF(DI538:DJ538&gt;=DJ538, 1))</f>
        <v>1</v>
      </c>
      <c r="DO538" s="109">
        <f t="shared" si="237"/>
        <v>-7413236.7094392274</v>
      </c>
      <c r="DP538" s="109">
        <f t="shared" si="238"/>
        <v>0</v>
      </c>
      <c r="DR538" s="58">
        <f t="array" ref="DR538">SUM(IF(DO538:DP538&gt;=DO538, 1))</f>
        <v>2</v>
      </c>
      <c r="DS538" s="58">
        <f t="array" ref="DS538">SUM(IF(DO538:DP538&gt;=DP538, 1))</f>
        <v>1</v>
      </c>
      <c r="DU538" s="109">
        <f t="shared" si="239"/>
        <v>-34895012.9948906</v>
      </c>
      <c r="DV538" s="109">
        <f t="shared" si="240"/>
        <v>0</v>
      </c>
      <c r="DX538" s="58">
        <f t="array" ref="DX538">SUM(IF(DU538:DV538&gt;=DU538, 1))</f>
        <v>2</v>
      </c>
      <c r="DY538" s="58">
        <f t="array" ref="DY538">SUM(IF(DU538:DV538&gt;=DV538, 1))</f>
        <v>1</v>
      </c>
      <c r="EA538" s="109">
        <f t="shared" si="241"/>
        <v>-100332676.45132102</v>
      </c>
      <c r="EB538" s="109">
        <f t="shared" si="242"/>
        <v>0</v>
      </c>
      <c r="ED538" s="58">
        <f t="array" ref="ED538">SUM(IF(EA538:EB538&gt;=EA538, 1))</f>
        <v>2</v>
      </c>
      <c r="EE538" s="58">
        <f t="array" ref="EE538">SUM(IF(EA538:EB538&gt;=EB538, 1))</f>
        <v>1</v>
      </c>
    </row>
    <row r="539" spans="4:135" ht="12" customHeight="1" x14ac:dyDescent="0.25">
      <c r="D539" s="11">
        <v>523</v>
      </c>
      <c r="E539" s="72">
        <v>276.86105461003973</v>
      </c>
      <c r="F539" s="72">
        <v>261.86460363061371</v>
      </c>
      <c r="G539" s="73"/>
      <c r="H539" s="74">
        <v>5.8352189485947932</v>
      </c>
      <c r="I539" s="74">
        <v>5.8509725442062983</v>
      </c>
      <c r="J539" s="73"/>
      <c r="K539" s="72">
        <v>297.78861478987801</v>
      </c>
      <c r="L539" s="72">
        <v>282.39330190031535</v>
      </c>
      <c r="M539" s="73"/>
      <c r="N539" s="74">
        <v>6.6831419696831267</v>
      </c>
      <c r="O539" s="74">
        <v>6.6962974178849288</v>
      </c>
      <c r="P539" s="73"/>
      <c r="Q539" s="72">
        <v>1431.0710078665197</v>
      </c>
      <c r="R539" s="72">
        <v>976.99916533364535</v>
      </c>
      <c r="S539" s="73"/>
      <c r="T539" s="74">
        <v>4.9359637336450479</v>
      </c>
      <c r="U539" s="74">
        <v>5.0069286349135007</v>
      </c>
      <c r="V539" s="73"/>
      <c r="W539" s="72">
        <v>12948.439674277828</v>
      </c>
      <c r="X539" s="72">
        <v>12873.134740522077</v>
      </c>
      <c r="Y539" s="73"/>
      <c r="Z539" s="74">
        <v>3.160461485557434</v>
      </c>
      <c r="AA539" s="74">
        <v>3.1993878645013663</v>
      </c>
      <c r="AB539" s="73"/>
      <c r="AC539" s="72">
        <v>48977.985737532901</v>
      </c>
      <c r="AD539" s="72">
        <v>48825.110332372875</v>
      </c>
      <c r="AE539" s="73"/>
      <c r="AF539" s="74">
        <v>4.0867590459270131</v>
      </c>
      <c r="AG539" s="74">
        <v>4.1649005450023422</v>
      </c>
      <c r="AH539" s="73"/>
      <c r="AI539" s="72">
        <v>1619314.6018502931</v>
      </c>
      <c r="AJ539" s="72">
        <v>0</v>
      </c>
      <c r="AK539" s="73"/>
      <c r="AL539" s="74">
        <v>-1701.0709694148813</v>
      </c>
      <c r="AM539" s="74">
        <v>0</v>
      </c>
      <c r="AN539" s="73"/>
      <c r="AO539" s="72">
        <v>102917.24944110162</v>
      </c>
      <c r="AP539" s="72">
        <v>0</v>
      </c>
      <c r="AQ539" s="73"/>
      <c r="AR539" s="74">
        <v>-87.9438147055954</v>
      </c>
      <c r="AS539" s="74">
        <v>0</v>
      </c>
      <c r="AT539" s="73"/>
      <c r="AU539" s="72">
        <v>10594192.447299309</v>
      </c>
      <c r="AV539" s="72">
        <v>0</v>
      </c>
      <c r="AW539" s="73"/>
      <c r="AX539" s="74">
        <v>-1655.7199778075933</v>
      </c>
      <c r="AY539" s="74">
        <v>0</v>
      </c>
      <c r="AZ539" s="73"/>
      <c r="BA539" s="72">
        <v>653517.73156676407</v>
      </c>
      <c r="BB539" s="72">
        <v>0</v>
      </c>
      <c r="BC539" s="73"/>
      <c r="BD539" s="74">
        <v>-337.81423867999848</v>
      </c>
      <c r="BE539" s="74">
        <v>0</v>
      </c>
      <c r="BF539" s="73"/>
      <c r="BG539" s="72">
        <v>2377157.3706013281</v>
      </c>
      <c r="BH539" s="72">
        <v>0</v>
      </c>
      <c r="BI539" s="73"/>
      <c r="BJ539" s="74">
        <v>-1215.0721058257338</v>
      </c>
      <c r="BK539" s="74">
        <v>0</v>
      </c>
      <c r="BL539" s="73"/>
      <c r="BM539" s="72">
        <v>15347099.400758797</v>
      </c>
      <c r="BN539" s="72">
        <v>0</v>
      </c>
      <c r="BO539" s="73"/>
      <c r="BP539" s="74">
        <v>-4997.6211064338022</v>
      </c>
      <c r="BQ539" s="74">
        <v>0</v>
      </c>
      <c r="BS539" s="109">
        <f t="shared" si="222"/>
        <v>116427.51791728582</v>
      </c>
      <c r="BT539" s="109">
        <f t="shared" si="223"/>
        <v>116757.58628049535</v>
      </c>
      <c r="BV539" s="58">
        <f t="array" ref="BV539">SUM(IF(BS539:BT539&gt;=BS539, 1))</f>
        <v>2</v>
      </c>
      <c r="BW539" s="58">
        <f t="array" ref="BW539">SUM(IF(BS539:BT539&gt;=BT539, 1))</f>
        <v>1</v>
      </c>
      <c r="BY539" s="109">
        <f t="shared" si="224"/>
        <v>133365.05077887265</v>
      </c>
      <c r="BZ539" s="109">
        <f t="shared" si="225"/>
        <v>133643.55505579826</v>
      </c>
      <c r="CB539" s="58">
        <f t="array" ref="CB539">SUM(IF(BY539:BZ539&gt;=BY539, 1))</f>
        <v>2</v>
      </c>
      <c r="CC539" s="58">
        <f t="array" ref="CC539">SUM(IF(BY539:BZ539&gt;=BZ539, 1))</f>
        <v>1</v>
      </c>
      <c r="CE539" s="109">
        <f t="shared" si="226"/>
        <v>97288.203665034438</v>
      </c>
      <c r="CF539" s="109">
        <f t="shared" si="227"/>
        <v>99161.573532936367</v>
      </c>
      <c r="CH539" s="58">
        <f t="array" ref="CH539">SUM(IF(CE539:CF539&gt;=CE539, 1))</f>
        <v>2</v>
      </c>
      <c r="CI539" s="58">
        <f t="array" ref="CI539">SUM(IF(CE539:CF539&gt;=CF539, 1))</f>
        <v>1</v>
      </c>
      <c r="CK539" s="109">
        <f t="shared" si="228"/>
        <v>50260.790036870851</v>
      </c>
      <c r="CL539" s="109">
        <f t="shared" si="229"/>
        <v>51114.622549505249</v>
      </c>
      <c r="CN539" s="58">
        <f t="array" ref="CN539">SUM(IF(CK539:CL539&gt;=CK539, 1))</f>
        <v>2</v>
      </c>
      <c r="CO539" s="58">
        <f t="array" ref="CO539">SUM(IF(CK539:CL539&gt;=CL539, 1))</f>
        <v>1</v>
      </c>
      <c r="CQ539" s="109" cm="1">
        <f t="array" ref="CQ539">AF539*WTP-AC539</f>
        <v>32757.195181007366</v>
      </c>
      <c r="CR539" s="109">
        <f t="shared" si="230"/>
        <v>34472.900567673976</v>
      </c>
      <c r="CT539" s="58">
        <f t="array" ref="CT539">SUM(IF(CQ539:CR539&gt;=CQ539, 1))</f>
        <v>2</v>
      </c>
      <c r="CU539" s="58">
        <f t="array" ref="CU539">SUM(IF(CQ539:CR539&gt;=CR539, 1))</f>
        <v>1</v>
      </c>
      <c r="CW539" s="109">
        <f t="shared" si="231"/>
        <v>-35640733.990147918</v>
      </c>
      <c r="CX539" s="109">
        <f t="shared" si="232"/>
        <v>0</v>
      </c>
      <c r="CZ539" s="58">
        <f t="array" ref="CZ539">SUM(IF(CW539:CX539&gt;=CW539, 1))</f>
        <v>2</v>
      </c>
      <c r="DA539" s="58">
        <f t="array" ref="DA539">SUM(IF(CW539:CX539&gt;=CX539, 1))</f>
        <v>1</v>
      </c>
      <c r="DC539" s="109">
        <f t="shared" si="233"/>
        <v>-1861793.5435530096</v>
      </c>
      <c r="DD539" s="109">
        <f t="shared" si="234"/>
        <v>0</v>
      </c>
      <c r="DF539" s="58">
        <f t="array" ref="DF539">SUM(IF(DC539:DD539&gt;=DC539, 1))</f>
        <v>2</v>
      </c>
      <c r="DG539" s="58">
        <f t="array" ref="DG539">SUM(IF(DC539:DD539&gt;=DD539, 1))</f>
        <v>1</v>
      </c>
      <c r="DI539" s="109">
        <f t="shared" si="235"/>
        <v>-43708592.003451176</v>
      </c>
      <c r="DJ539" s="109">
        <f t="shared" si="236"/>
        <v>0</v>
      </c>
      <c r="DL539" s="58">
        <f t="array" ref="DL539">SUM(IF(DI539:DJ539&gt;=DI539, 1))</f>
        <v>2</v>
      </c>
      <c r="DM539" s="58">
        <f t="array" ref="DM539">SUM(IF(DI539:DJ539&gt;=DJ539, 1))</f>
        <v>1</v>
      </c>
      <c r="DO539" s="109">
        <f t="shared" si="237"/>
        <v>-7409802.5051667336</v>
      </c>
      <c r="DP539" s="109">
        <f t="shared" si="238"/>
        <v>0</v>
      </c>
      <c r="DR539" s="58">
        <f t="array" ref="DR539">SUM(IF(DO539:DP539&gt;=DO539, 1))</f>
        <v>2</v>
      </c>
      <c r="DS539" s="58">
        <f t="array" ref="DS539">SUM(IF(DO539:DP539&gt;=DP539, 1))</f>
        <v>1</v>
      </c>
      <c r="DU539" s="109">
        <f t="shared" si="239"/>
        <v>-26678599.487116002</v>
      </c>
      <c r="DV539" s="109">
        <f t="shared" si="240"/>
        <v>0</v>
      </c>
      <c r="DX539" s="58">
        <f t="array" ref="DX539">SUM(IF(DU539:DV539&gt;=DU539, 1))</f>
        <v>2</v>
      </c>
      <c r="DY539" s="58">
        <f t="array" ref="DY539">SUM(IF(DU539:DV539&gt;=DV539, 1))</f>
        <v>1</v>
      </c>
      <c r="EA539" s="109">
        <f t="shared" si="241"/>
        <v>-115299521.52943484</v>
      </c>
      <c r="EB539" s="109">
        <f t="shared" si="242"/>
        <v>0</v>
      </c>
      <c r="ED539" s="58">
        <f t="array" ref="ED539">SUM(IF(EA539:EB539&gt;=EA539, 1))</f>
        <v>2</v>
      </c>
      <c r="EE539" s="58">
        <f t="array" ref="EE539">SUM(IF(EA539:EB539&gt;=EB539, 1))</f>
        <v>1</v>
      </c>
    </row>
    <row r="540" spans="4:135" ht="12" customHeight="1" x14ac:dyDescent="0.25">
      <c r="D540" s="11">
        <v>524</v>
      </c>
      <c r="E540" s="72">
        <v>263.50573751380176</v>
      </c>
      <c r="F540" s="72">
        <v>250.3869728614078</v>
      </c>
      <c r="G540" s="73"/>
      <c r="H540" s="74">
        <v>5.8556244350149571</v>
      </c>
      <c r="I540" s="74">
        <v>5.8682244564719062</v>
      </c>
      <c r="J540" s="73"/>
      <c r="K540" s="72">
        <v>283.47031008426922</v>
      </c>
      <c r="L540" s="72">
        <v>270.03671616006147</v>
      </c>
      <c r="M540" s="73"/>
      <c r="N540" s="74">
        <v>6.6709147892505358</v>
      </c>
      <c r="O540" s="74">
        <v>6.6820422034519238</v>
      </c>
      <c r="P540" s="73"/>
      <c r="Q540" s="72">
        <v>2139.1151854818568</v>
      </c>
      <c r="R540" s="72">
        <v>1384.4245595651687</v>
      </c>
      <c r="S540" s="73"/>
      <c r="T540" s="74">
        <v>4.8088244895914638</v>
      </c>
      <c r="U540" s="74">
        <v>4.8763469910116246</v>
      </c>
      <c r="V540" s="73"/>
      <c r="W540" s="72">
        <v>14468.152800398402</v>
      </c>
      <c r="X540" s="72">
        <v>14416.272438115637</v>
      </c>
      <c r="Y540" s="73"/>
      <c r="Z540" s="74">
        <v>3.0933998471091964</v>
      </c>
      <c r="AA540" s="74">
        <v>3.1446136821271868</v>
      </c>
      <c r="AB540" s="73"/>
      <c r="AC540" s="72">
        <v>50647.996086070649</v>
      </c>
      <c r="AD540" s="72">
        <v>50406.759807771123</v>
      </c>
      <c r="AE540" s="73"/>
      <c r="AF540" s="74">
        <v>4.6399758336654857</v>
      </c>
      <c r="AG540" s="74">
        <v>4.7514160428644967</v>
      </c>
      <c r="AH540" s="73"/>
      <c r="AI540" s="72">
        <v>1426040.9610015333</v>
      </c>
      <c r="AJ540" s="72">
        <v>0</v>
      </c>
      <c r="AK540" s="73"/>
      <c r="AL540" s="74">
        <v>-1369.6523402322541</v>
      </c>
      <c r="AM540" s="74">
        <v>0</v>
      </c>
      <c r="AN540" s="73"/>
      <c r="AO540" s="72">
        <v>92574.926424821562</v>
      </c>
      <c r="AP540" s="72">
        <v>0</v>
      </c>
      <c r="AQ540" s="73"/>
      <c r="AR540" s="74">
        <v>-76.682349995387227</v>
      </c>
      <c r="AS540" s="74">
        <v>0</v>
      </c>
      <c r="AT540" s="73"/>
      <c r="AU540" s="72">
        <v>17689488.584111866</v>
      </c>
      <c r="AV540" s="72">
        <v>0</v>
      </c>
      <c r="AW540" s="73"/>
      <c r="AX540" s="74">
        <v>-1582.6863048574139</v>
      </c>
      <c r="AY540" s="74">
        <v>0</v>
      </c>
      <c r="AZ540" s="73"/>
      <c r="BA540" s="72">
        <v>481536.78696303081</v>
      </c>
      <c r="BB540" s="72">
        <v>0</v>
      </c>
      <c r="BC540" s="73"/>
      <c r="BD540" s="74">
        <v>-475.35029590204601</v>
      </c>
      <c r="BE540" s="74">
        <v>0</v>
      </c>
      <c r="BF540" s="73"/>
      <c r="BG540" s="72">
        <v>3832563.262854829</v>
      </c>
      <c r="BH540" s="72">
        <v>0</v>
      </c>
      <c r="BI540" s="73"/>
      <c r="BJ540" s="74">
        <v>-1770.4702410086281</v>
      </c>
      <c r="BK540" s="74">
        <v>0</v>
      </c>
      <c r="BL540" s="73"/>
      <c r="BM540" s="72">
        <v>23522204.52135608</v>
      </c>
      <c r="BN540" s="72">
        <v>0</v>
      </c>
      <c r="BO540" s="73"/>
      <c r="BP540" s="74">
        <v>-5274.8415319957294</v>
      </c>
      <c r="BQ540" s="74">
        <v>0</v>
      </c>
      <c r="BS540" s="109">
        <f t="shared" si="222"/>
        <v>116848.98296278535</v>
      </c>
      <c r="BT540" s="109">
        <f t="shared" si="223"/>
        <v>117114.10215657672</v>
      </c>
      <c r="BV540" s="58">
        <f t="array" ref="BV540">SUM(IF(BS540:BT540&gt;=BS540, 1))</f>
        <v>2</v>
      </c>
      <c r="BW540" s="58">
        <f t="array" ref="BW540">SUM(IF(BS540:BT540&gt;=BT540, 1))</f>
        <v>1</v>
      </c>
      <c r="BY540" s="109">
        <f t="shared" si="224"/>
        <v>133134.82547492645</v>
      </c>
      <c r="BZ540" s="109">
        <f t="shared" si="225"/>
        <v>133370.80735287842</v>
      </c>
      <c r="CB540" s="58">
        <f t="array" ref="CB540">SUM(IF(BY540:BZ540&gt;=BY540, 1))</f>
        <v>2</v>
      </c>
      <c r="CC540" s="58">
        <f t="array" ref="CC540">SUM(IF(BY540:BZ540&gt;=BZ540, 1))</f>
        <v>1</v>
      </c>
      <c r="CE540" s="109">
        <f t="shared" si="226"/>
        <v>94037.37460634741</v>
      </c>
      <c r="CF540" s="109">
        <f t="shared" si="227"/>
        <v>96142.515260667322</v>
      </c>
      <c r="CH540" s="58">
        <f t="array" ref="CH540">SUM(IF(CE540:CF540&gt;=CE540, 1))</f>
        <v>2</v>
      </c>
      <c r="CI540" s="58">
        <f t="array" ref="CI540">SUM(IF(CE540:CF540&gt;=CF540, 1))</f>
        <v>1</v>
      </c>
      <c r="CK540" s="109">
        <f t="shared" si="228"/>
        <v>47399.844141785521</v>
      </c>
      <c r="CL540" s="109">
        <f t="shared" si="229"/>
        <v>48476.001204428103</v>
      </c>
      <c r="CN540" s="58">
        <f t="array" ref="CN540">SUM(IF(CK540:CL540&gt;=CK540, 1))</f>
        <v>2</v>
      </c>
      <c r="CO540" s="58">
        <f t="array" ref="CO540">SUM(IF(CK540:CL540&gt;=CL540, 1))</f>
        <v>1</v>
      </c>
      <c r="CQ540" s="109" cm="1">
        <f t="array" ref="CQ540">AF540*WTP-AC540</f>
        <v>42151.520587239065</v>
      </c>
      <c r="CR540" s="109">
        <f t="shared" si="230"/>
        <v>44621.561049518808</v>
      </c>
      <c r="CT540" s="58">
        <f t="array" ref="CT540">SUM(IF(CQ540:CR540&gt;=CQ540, 1))</f>
        <v>2</v>
      </c>
      <c r="CU540" s="58">
        <f t="array" ref="CU540">SUM(IF(CQ540:CR540&gt;=CR540, 1))</f>
        <v>1</v>
      </c>
      <c r="CW540" s="109">
        <f t="shared" si="231"/>
        <v>-28819087.765646618</v>
      </c>
      <c r="CX540" s="109">
        <f t="shared" si="232"/>
        <v>0</v>
      </c>
      <c r="CZ540" s="58">
        <f t="array" ref="CZ540">SUM(IF(CW540:CX540&gt;=CW540, 1))</f>
        <v>2</v>
      </c>
      <c r="DA540" s="58">
        <f t="array" ref="DA540">SUM(IF(CW540:CX540&gt;=CX540, 1))</f>
        <v>1</v>
      </c>
      <c r="DC540" s="109">
        <f t="shared" si="233"/>
        <v>-1626221.9263325662</v>
      </c>
      <c r="DD540" s="109">
        <f t="shared" si="234"/>
        <v>0</v>
      </c>
      <c r="DF540" s="58">
        <f t="array" ref="DF540">SUM(IF(DC540:DD540&gt;=DC540, 1))</f>
        <v>2</v>
      </c>
      <c r="DG540" s="58">
        <f t="array" ref="DG540">SUM(IF(DC540:DD540&gt;=DD540, 1))</f>
        <v>1</v>
      </c>
      <c r="DI540" s="109">
        <f t="shared" si="235"/>
        <v>-49343214.681260139</v>
      </c>
      <c r="DJ540" s="109">
        <f t="shared" si="236"/>
        <v>0</v>
      </c>
      <c r="DL540" s="58">
        <f t="array" ref="DL540">SUM(IF(DI540:DJ540&gt;=DI540, 1))</f>
        <v>2</v>
      </c>
      <c r="DM540" s="58">
        <f t="array" ref="DM540">SUM(IF(DI540:DJ540&gt;=DJ540, 1))</f>
        <v>1</v>
      </c>
      <c r="DO540" s="109">
        <f t="shared" si="237"/>
        <v>-9988542.7050039507</v>
      </c>
      <c r="DP540" s="109">
        <f t="shared" si="238"/>
        <v>0</v>
      </c>
      <c r="DR540" s="58">
        <f t="array" ref="DR540">SUM(IF(DO540:DP540&gt;=DO540, 1))</f>
        <v>2</v>
      </c>
      <c r="DS540" s="58">
        <f t="array" ref="DS540">SUM(IF(DO540:DP540&gt;=DP540, 1))</f>
        <v>1</v>
      </c>
      <c r="DU540" s="109">
        <f t="shared" si="239"/>
        <v>-39241968.083027393</v>
      </c>
      <c r="DV540" s="109">
        <f t="shared" si="240"/>
        <v>0</v>
      </c>
      <c r="DX540" s="58">
        <f t="array" ref="DX540">SUM(IF(DU540:DV540&gt;=DU540, 1))</f>
        <v>2</v>
      </c>
      <c r="DY540" s="58">
        <f t="array" ref="DY540">SUM(IF(DU540:DV540&gt;=DV540, 1))</f>
        <v>1</v>
      </c>
      <c r="EA540" s="109">
        <f t="shared" si="241"/>
        <v>-129019035.16127066</v>
      </c>
      <c r="EB540" s="109">
        <f t="shared" si="242"/>
        <v>0</v>
      </c>
      <c r="ED540" s="58">
        <f t="array" ref="ED540">SUM(IF(EA540:EB540&gt;=EA540, 1))</f>
        <v>2</v>
      </c>
      <c r="EE540" s="58">
        <f t="array" ref="EE540">SUM(IF(EA540:EB540&gt;=EB540, 1))</f>
        <v>1</v>
      </c>
    </row>
    <row r="541" spans="4:135" ht="12" customHeight="1" x14ac:dyDescent="0.25">
      <c r="D541" s="11">
        <v>525</v>
      </c>
      <c r="E541" s="72">
        <v>260.55012297492135</v>
      </c>
      <c r="F541" s="72">
        <v>244.08904059856266</v>
      </c>
      <c r="G541" s="73"/>
      <c r="H541" s="74">
        <v>5.7747291323715917</v>
      </c>
      <c r="I541" s="74">
        <v>5.7931711496705418</v>
      </c>
      <c r="J541" s="73"/>
      <c r="K541" s="72">
        <v>280.07526029599546</v>
      </c>
      <c r="L541" s="72">
        <v>263.22138868905887</v>
      </c>
      <c r="M541" s="73"/>
      <c r="N541" s="74">
        <v>6.685505711717477</v>
      </c>
      <c r="O541" s="74">
        <v>6.7019553739385955</v>
      </c>
      <c r="P541" s="73"/>
      <c r="Q541" s="72">
        <v>3193.3981151785529</v>
      </c>
      <c r="R541" s="72">
        <v>1790.6442783073148</v>
      </c>
      <c r="S541" s="73"/>
      <c r="T541" s="74">
        <v>4.603531362835664</v>
      </c>
      <c r="U541" s="74">
        <v>4.7038524951837495</v>
      </c>
      <c r="V541" s="73"/>
      <c r="W541" s="72">
        <v>13091.031764738391</v>
      </c>
      <c r="X541" s="72">
        <v>13107.199996844582</v>
      </c>
      <c r="Y541" s="73"/>
      <c r="Z541" s="74">
        <v>3.0274600363207376</v>
      </c>
      <c r="AA541" s="74">
        <v>3.0726367054106825</v>
      </c>
      <c r="AB541" s="73"/>
      <c r="AC541" s="72">
        <v>50809.726092946192</v>
      </c>
      <c r="AD541" s="72">
        <v>50757.224722443141</v>
      </c>
      <c r="AE541" s="73"/>
      <c r="AF541" s="74">
        <v>4.1721199775114703</v>
      </c>
      <c r="AG541" s="74">
        <v>4.2754354470506177</v>
      </c>
      <c r="AH541" s="73"/>
      <c r="AI541" s="72">
        <v>1766782.9128671379</v>
      </c>
      <c r="AJ541" s="72">
        <v>0</v>
      </c>
      <c r="AK541" s="73"/>
      <c r="AL541" s="74">
        <v>-1979.3984561659697</v>
      </c>
      <c r="AM541" s="74">
        <v>0</v>
      </c>
      <c r="AN541" s="73"/>
      <c r="AO541" s="72">
        <v>118625.01163419333</v>
      </c>
      <c r="AP541" s="72">
        <v>0</v>
      </c>
      <c r="AQ541" s="73"/>
      <c r="AR541" s="74">
        <v>-115.78000698401067</v>
      </c>
      <c r="AS541" s="74">
        <v>0</v>
      </c>
      <c r="AT541" s="73"/>
      <c r="AU541" s="72">
        <v>32887455.984766662</v>
      </c>
      <c r="AV541" s="72">
        <v>0</v>
      </c>
      <c r="AW541" s="73"/>
      <c r="AX541" s="74">
        <v>-2352.0212440113705</v>
      </c>
      <c r="AY541" s="74">
        <v>0</v>
      </c>
      <c r="AZ541" s="73"/>
      <c r="BA541" s="72">
        <v>-142239.91600874529</v>
      </c>
      <c r="BB541" s="72">
        <v>0</v>
      </c>
      <c r="BC541" s="73"/>
      <c r="BD541" s="74">
        <v>-397.44145028992824</v>
      </c>
      <c r="BE541" s="74">
        <v>0</v>
      </c>
      <c r="BF541" s="73"/>
      <c r="BG541" s="72">
        <v>822882.77726585465</v>
      </c>
      <c r="BH541" s="72">
        <v>0</v>
      </c>
      <c r="BI541" s="73"/>
      <c r="BJ541" s="74">
        <v>-1619.3200233498583</v>
      </c>
      <c r="BK541" s="74">
        <v>0</v>
      </c>
      <c r="BL541" s="73"/>
      <c r="BM541" s="72">
        <v>35453506.770525098</v>
      </c>
      <c r="BN541" s="72">
        <v>0</v>
      </c>
      <c r="BO541" s="73"/>
      <c r="BP541" s="74">
        <v>-6463.9611808011377</v>
      </c>
      <c r="BQ541" s="74">
        <v>0</v>
      </c>
      <c r="BS541" s="109">
        <f t="shared" si="222"/>
        <v>115234.03252445691</v>
      </c>
      <c r="BT541" s="109">
        <f t="shared" si="223"/>
        <v>115619.33395281227</v>
      </c>
      <c r="BV541" s="58">
        <f t="array" ref="BV541">SUM(IF(BS541:BT541&gt;=BS541, 1))</f>
        <v>2</v>
      </c>
      <c r="BW541" s="58">
        <f t="array" ref="BW541">SUM(IF(BS541:BT541&gt;=BT541, 1))</f>
        <v>1</v>
      </c>
      <c r="BY541" s="109">
        <f t="shared" si="224"/>
        <v>133430.03897405355</v>
      </c>
      <c r="BZ541" s="109">
        <f t="shared" si="225"/>
        <v>133775.88609008284</v>
      </c>
      <c r="CB541" s="58">
        <f t="array" ref="CB541">SUM(IF(BY541:BZ541&gt;=BY541, 1))</f>
        <v>2</v>
      </c>
      <c r="CC541" s="58">
        <f t="array" ref="CC541">SUM(IF(BY541:BZ541&gt;=BZ541, 1))</f>
        <v>1</v>
      </c>
      <c r="CE541" s="109">
        <f t="shared" si="226"/>
        <v>88877.229141534728</v>
      </c>
      <c r="CF541" s="109">
        <f t="shared" si="227"/>
        <v>92286.405625367668</v>
      </c>
      <c r="CH541" s="58">
        <f t="array" ref="CH541">SUM(IF(CE541:CF541&gt;=CE541, 1))</f>
        <v>2</v>
      </c>
      <c r="CI541" s="58">
        <f t="array" ref="CI541">SUM(IF(CE541:CF541&gt;=CF541, 1))</f>
        <v>1</v>
      </c>
      <c r="CK541" s="109">
        <f t="shared" si="228"/>
        <v>47458.168961676362</v>
      </c>
      <c r="CL541" s="109">
        <f t="shared" si="229"/>
        <v>48345.534111369067</v>
      </c>
      <c r="CN541" s="58">
        <f t="array" ref="CN541">SUM(IF(CK541:CL541&gt;=CK541, 1))</f>
        <v>2</v>
      </c>
      <c r="CO541" s="58">
        <f t="array" ref="CO541">SUM(IF(CK541:CL541&gt;=CL541, 1))</f>
        <v>1</v>
      </c>
      <c r="CQ541" s="109" cm="1">
        <f t="array" ref="CQ541">AF541*WTP-AC541</f>
        <v>32632.673457283221</v>
      </c>
      <c r="CR541" s="109">
        <f t="shared" si="230"/>
        <v>34751.484218569218</v>
      </c>
      <c r="CT541" s="58">
        <f t="array" ref="CT541">SUM(IF(CQ541:CR541&gt;=CQ541, 1))</f>
        <v>2</v>
      </c>
      <c r="CU541" s="58">
        <f t="array" ref="CU541">SUM(IF(CQ541:CR541&gt;=CR541, 1))</f>
        <v>1</v>
      </c>
      <c r="CW541" s="109">
        <f t="shared" si="231"/>
        <v>-41354752.036186531</v>
      </c>
      <c r="CX541" s="109">
        <f t="shared" si="232"/>
        <v>0</v>
      </c>
      <c r="CZ541" s="58">
        <f t="array" ref="CZ541">SUM(IF(CW541:CX541&gt;=CW541, 1))</f>
        <v>2</v>
      </c>
      <c r="DA541" s="58">
        <f t="array" ref="DA541">SUM(IF(CW541:CX541&gt;=CX541, 1))</f>
        <v>1</v>
      </c>
      <c r="DC541" s="109">
        <f t="shared" si="233"/>
        <v>-2434225.1513144067</v>
      </c>
      <c r="DD541" s="109">
        <f t="shared" si="234"/>
        <v>0</v>
      </c>
      <c r="DF541" s="58">
        <f t="array" ref="DF541">SUM(IF(DC541:DD541&gt;=DC541, 1))</f>
        <v>2</v>
      </c>
      <c r="DG541" s="58">
        <f t="array" ref="DG541">SUM(IF(DC541:DD541&gt;=DD541, 1))</f>
        <v>1</v>
      </c>
      <c r="DI541" s="109">
        <f t="shared" si="235"/>
        <v>-79927880.864994079</v>
      </c>
      <c r="DJ541" s="109">
        <f t="shared" si="236"/>
        <v>0</v>
      </c>
      <c r="DL541" s="58">
        <f t="array" ref="DL541">SUM(IF(DI541:DJ541&gt;=DI541, 1))</f>
        <v>2</v>
      </c>
      <c r="DM541" s="58">
        <f t="array" ref="DM541">SUM(IF(DI541:DJ541&gt;=DJ541, 1))</f>
        <v>1</v>
      </c>
      <c r="DO541" s="109">
        <f t="shared" si="237"/>
        <v>-7806589.0897898199</v>
      </c>
      <c r="DP541" s="109">
        <f t="shared" si="238"/>
        <v>0</v>
      </c>
      <c r="DR541" s="58">
        <f t="array" ref="DR541">SUM(IF(DO541:DP541&gt;=DO541, 1))</f>
        <v>2</v>
      </c>
      <c r="DS541" s="58">
        <f t="array" ref="DS541">SUM(IF(DO541:DP541&gt;=DP541, 1))</f>
        <v>1</v>
      </c>
      <c r="DU541" s="109">
        <f t="shared" si="239"/>
        <v>-33209283.244263019</v>
      </c>
      <c r="DV541" s="109">
        <f t="shared" si="240"/>
        <v>0</v>
      </c>
      <c r="DX541" s="58">
        <f t="array" ref="DX541">SUM(IF(DU541:DV541&gt;=DU541, 1))</f>
        <v>2</v>
      </c>
      <c r="DY541" s="58">
        <f t="array" ref="DY541">SUM(IF(DU541:DV541&gt;=DV541, 1))</f>
        <v>1</v>
      </c>
      <c r="EA541" s="109">
        <f t="shared" si="241"/>
        <v>-164732730.38654786</v>
      </c>
      <c r="EB541" s="109">
        <f t="shared" si="242"/>
        <v>0</v>
      </c>
      <c r="ED541" s="58">
        <f t="array" ref="ED541">SUM(IF(EA541:EB541&gt;=EA541, 1))</f>
        <v>2</v>
      </c>
      <c r="EE541" s="58">
        <f t="array" ref="EE541">SUM(IF(EA541:EB541&gt;=EB541, 1))</f>
        <v>1</v>
      </c>
    </row>
    <row r="542" spans="4:135" ht="12" customHeight="1" x14ac:dyDescent="0.25">
      <c r="D542" s="11">
        <v>526</v>
      </c>
      <c r="E542" s="72">
        <v>207.50811162800778</v>
      </c>
      <c r="F542" s="72">
        <v>180.44872734948112</v>
      </c>
      <c r="G542" s="73"/>
      <c r="H542" s="74">
        <v>5.8146944249386694</v>
      </c>
      <c r="I542" s="74">
        <v>5.8344726164180845</v>
      </c>
      <c r="J542" s="73"/>
      <c r="K542" s="72">
        <v>222.24595719179911</v>
      </c>
      <c r="L542" s="72">
        <v>194.56950223802858</v>
      </c>
      <c r="M542" s="73"/>
      <c r="N542" s="74">
        <v>6.7215517796430522</v>
      </c>
      <c r="O542" s="74">
        <v>6.7389231866939783</v>
      </c>
      <c r="P542" s="73"/>
      <c r="Q542" s="72">
        <v>1846.3562040104641</v>
      </c>
      <c r="R542" s="72">
        <v>1312.2345797659311</v>
      </c>
      <c r="S542" s="73"/>
      <c r="T542" s="74">
        <v>4.7198261634849334</v>
      </c>
      <c r="U542" s="74">
        <v>4.7942419199847155</v>
      </c>
      <c r="V542" s="73"/>
      <c r="W542" s="72">
        <v>10353.288919845998</v>
      </c>
      <c r="X542" s="72">
        <v>10366.543542428843</v>
      </c>
      <c r="Y542" s="73"/>
      <c r="Z542" s="74">
        <v>3.0430889120248201</v>
      </c>
      <c r="AA542" s="74">
        <v>3.0961268701345994</v>
      </c>
      <c r="AB542" s="73"/>
      <c r="AC542" s="72">
        <v>51964.600069742111</v>
      </c>
      <c r="AD542" s="72">
        <v>51592.274615806789</v>
      </c>
      <c r="AE542" s="73"/>
      <c r="AF542" s="74">
        <v>3.825595938712957</v>
      </c>
      <c r="AG542" s="74">
        <v>3.9303565455564899</v>
      </c>
      <c r="AH542" s="73"/>
      <c r="AI542" s="72">
        <v>2897409.8107304038</v>
      </c>
      <c r="AJ542" s="72">
        <v>0</v>
      </c>
      <c r="AK542" s="73"/>
      <c r="AL542" s="74">
        <v>-2117.7690312945238</v>
      </c>
      <c r="AM542" s="74">
        <v>0</v>
      </c>
      <c r="AN542" s="73"/>
      <c r="AO542" s="72">
        <v>197162.20991280107</v>
      </c>
      <c r="AP542" s="72">
        <v>0</v>
      </c>
      <c r="AQ542" s="73"/>
      <c r="AR542" s="74">
        <v>-123.75085642927685</v>
      </c>
      <c r="AS542" s="74">
        <v>0</v>
      </c>
      <c r="AT542" s="73"/>
      <c r="AU542" s="72">
        <v>12470158.573831934</v>
      </c>
      <c r="AV542" s="72">
        <v>0</v>
      </c>
      <c r="AW542" s="73"/>
      <c r="AX542" s="74">
        <v>-1737.3875945511204</v>
      </c>
      <c r="AY542" s="74">
        <v>0</v>
      </c>
      <c r="AZ542" s="73"/>
      <c r="BA542" s="72">
        <v>-118437.63472026956</v>
      </c>
      <c r="BB542" s="72">
        <v>0</v>
      </c>
      <c r="BC542" s="73"/>
      <c r="BD542" s="74">
        <v>-473.92449461709765</v>
      </c>
      <c r="BE542" s="74">
        <v>0</v>
      </c>
      <c r="BF542" s="73"/>
      <c r="BG542" s="72">
        <v>5912005.8134316616</v>
      </c>
      <c r="BH542" s="72">
        <v>0</v>
      </c>
      <c r="BI542" s="73"/>
      <c r="BJ542" s="74">
        <v>-1663.4514512273561</v>
      </c>
      <c r="BK542" s="74">
        <v>0</v>
      </c>
      <c r="BL542" s="73"/>
      <c r="BM542" s="72">
        <v>21358298.773186531</v>
      </c>
      <c r="BN542" s="72">
        <v>0</v>
      </c>
      <c r="BO542" s="73"/>
      <c r="BP542" s="74">
        <v>-6116.2834281193755</v>
      </c>
      <c r="BQ542" s="74">
        <v>0</v>
      </c>
      <c r="BS542" s="109">
        <f t="shared" si="222"/>
        <v>116086.38038714539</v>
      </c>
      <c r="BT542" s="109">
        <f t="shared" si="223"/>
        <v>116509.00360101221</v>
      </c>
      <c r="BV542" s="58">
        <f t="array" ref="BV542">SUM(IF(BS542:BT542&gt;=BS542, 1))</f>
        <v>2</v>
      </c>
      <c r="BW542" s="58">
        <f t="array" ref="BW542">SUM(IF(BS542:BT542&gt;=BT542, 1))</f>
        <v>1</v>
      </c>
      <c r="BY542" s="109">
        <f t="shared" si="224"/>
        <v>134208.78963566924</v>
      </c>
      <c r="BZ542" s="109">
        <f t="shared" si="225"/>
        <v>134583.89423164152</v>
      </c>
      <c r="CB542" s="58">
        <f t="array" ref="CB542">SUM(IF(BY542:BZ542&gt;=BY542, 1))</f>
        <v>2</v>
      </c>
      <c r="CC542" s="58">
        <f t="array" ref="CC542">SUM(IF(BY542:BZ542&gt;=BZ542, 1))</f>
        <v>1</v>
      </c>
      <c r="CE542" s="109">
        <f t="shared" si="226"/>
        <v>92550.167065688205</v>
      </c>
      <c r="CF542" s="109">
        <f t="shared" si="227"/>
        <v>94572.603819928379</v>
      </c>
      <c r="CH542" s="58">
        <f t="array" ref="CH542">SUM(IF(CE542:CF542&gt;=CE542, 1))</f>
        <v>2</v>
      </c>
      <c r="CI542" s="58">
        <f t="array" ref="CI542">SUM(IF(CE542:CF542&gt;=CF542, 1))</f>
        <v>1</v>
      </c>
      <c r="CK542" s="109">
        <f t="shared" si="228"/>
        <v>50508.489320650406</v>
      </c>
      <c r="CL542" s="109">
        <f t="shared" si="229"/>
        <v>51555.993860263145</v>
      </c>
      <c r="CN542" s="58">
        <f t="array" ref="CN542">SUM(IF(CK542:CL542&gt;=CK542, 1))</f>
        <v>2</v>
      </c>
      <c r="CO542" s="58">
        <f t="array" ref="CO542">SUM(IF(CK542:CL542&gt;=CL542, 1))</f>
        <v>1</v>
      </c>
      <c r="CQ542" s="109" cm="1">
        <f t="array" ref="CQ542">AF542*WTP-AC542</f>
        <v>24547.318704517034</v>
      </c>
      <c r="CR542" s="109">
        <f t="shared" si="230"/>
        <v>27014.856295323014</v>
      </c>
      <c r="CT542" s="58">
        <f t="array" ref="CT542">SUM(IF(CQ542:CR542&gt;=CQ542, 1))</f>
        <v>2</v>
      </c>
      <c r="CU542" s="58">
        <f t="array" ref="CU542">SUM(IF(CQ542:CR542&gt;=CR542, 1))</f>
        <v>1</v>
      </c>
      <c r="CW542" s="109">
        <f t="shared" si="231"/>
        <v>-45252790.436620884</v>
      </c>
      <c r="CX542" s="109">
        <f t="shared" si="232"/>
        <v>0</v>
      </c>
      <c r="CZ542" s="58">
        <f t="array" ref="CZ542">SUM(IF(CW542:CX542&gt;=CW542, 1))</f>
        <v>2</v>
      </c>
      <c r="DA542" s="58">
        <f t="array" ref="DA542">SUM(IF(CW542:CX542&gt;=CX542, 1))</f>
        <v>1</v>
      </c>
      <c r="DC542" s="109">
        <f t="shared" si="233"/>
        <v>-2672179.3384983381</v>
      </c>
      <c r="DD542" s="109">
        <f t="shared" si="234"/>
        <v>0</v>
      </c>
      <c r="DF542" s="58">
        <f t="array" ref="DF542">SUM(IF(DC542:DD542&gt;=DC542, 1))</f>
        <v>2</v>
      </c>
      <c r="DG542" s="58">
        <f t="array" ref="DG542">SUM(IF(DC542:DD542&gt;=DD542, 1))</f>
        <v>1</v>
      </c>
      <c r="DI542" s="109">
        <f t="shared" si="235"/>
        <v>-47217910.464854345</v>
      </c>
      <c r="DJ542" s="109">
        <f t="shared" si="236"/>
        <v>0</v>
      </c>
      <c r="DL542" s="58">
        <f t="array" ref="DL542">SUM(IF(DI542:DJ542&gt;=DI542, 1))</f>
        <v>2</v>
      </c>
      <c r="DM542" s="58">
        <f t="array" ref="DM542">SUM(IF(DI542:DJ542&gt;=DJ542, 1))</f>
        <v>1</v>
      </c>
      <c r="DO542" s="109">
        <f t="shared" si="237"/>
        <v>-9360052.2576216832</v>
      </c>
      <c r="DP542" s="109">
        <f t="shared" si="238"/>
        <v>0</v>
      </c>
      <c r="DR542" s="58">
        <f t="array" ref="DR542">SUM(IF(DO542:DP542&gt;=DO542, 1))</f>
        <v>2</v>
      </c>
      <c r="DS542" s="58">
        <f t="array" ref="DS542">SUM(IF(DO542:DP542&gt;=DP542, 1))</f>
        <v>1</v>
      </c>
      <c r="DU542" s="109">
        <f t="shared" si="239"/>
        <v>-39181034.83797878</v>
      </c>
      <c r="DV542" s="109">
        <f t="shared" si="240"/>
        <v>0</v>
      </c>
      <c r="DX542" s="58">
        <f t="array" ref="DX542">SUM(IF(DU542:DV542&gt;=DU542, 1))</f>
        <v>2</v>
      </c>
      <c r="DY542" s="58">
        <f t="array" ref="DY542">SUM(IF(DU542:DV542&gt;=DV542, 1))</f>
        <v>1</v>
      </c>
      <c r="EA542" s="109">
        <f t="shared" si="241"/>
        <v>-143683967.33557403</v>
      </c>
      <c r="EB542" s="109">
        <f t="shared" si="242"/>
        <v>0</v>
      </c>
      <c r="ED542" s="58">
        <f t="array" ref="ED542">SUM(IF(EA542:EB542&gt;=EA542, 1))</f>
        <v>2</v>
      </c>
      <c r="EE542" s="58">
        <f t="array" ref="EE542">SUM(IF(EA542:EB542&gt;=EB542, 1))</f>
        <v>1</v>
      </c>
    </row>
    <row r="543" spans="4:135" ht="12" customHeight="1" x14ac:dyDescent="0.25">
      <c r="D543" s="11">
        <v>527</v>
      </c>
      <c r="E543" s="72">
        <v>240.57468018090859</v>
      </c>
      <c r="F543" s="72">
        <v>224.28785516256619</v>
      </c>
      <c r="G543" s="73"/>
      <c r="H543" s="74">
        <v>5.808836742368471</v>
      </c>
      <c r="I543" s="74">
        <v>5.8232248447681538</v>
      </c>
      <c r="J543" s="73"/>
      <c r="K543" s="72">
        <v>258.52436105772159</v>
      </c>
      <c r="L543" s="72">
        <v>241.82945090679328</v>
      </c>
      <c r="M543" s="73"/>
      <c r="N543" s="74">
        <v>6.6933582699030074</v>
      </c>
      <c r="O543" s="74">
        <v>6.7052746083356496</v>
      </c>
      <c r="P543" s="73"/>
      <c r="Q543" s="72">
        <v>2112.3268789419926</v>
      </c>
      <c r="R543" s="72">
        <v>1326.9824026476772</v>
      </c>
      <c r="S543" s="73"/>
      <c r="T543" s="74">
        <v>4.8038631757991448</v>
      </c>
      <c r="U543" s="74">
        <v>4.8917177851684057</v>
      </c>
      <c r="V543" s="73"/>
      <c r="W543" s="72">
        <v>16519.366658641269</v>
      </c>
      <c r="X543" s="72">
        <v>16448.507820223698</v>
      </c>
      <c r="Y543" s="73"/>
      <c r="Z543" s="74">
        <v>3.165678957530111</v>
      </c>
      <c r="AA543" s="74">
        <v>3.2062152515441045</v>
      </c>
      <c r="AB543" s="73"/>
      <c r="AC543" s="72">
        <v>48763.159199330905</v>
      </c>
      <c r="AD543" s="72">
        <v>48517.562707208373</v>
      </c>
      <c r="AE543" s="73"/>
      <c r="AF543" s="74">
        <v>4.2956528548498429</v>
      </c>
      <c r="AG543" s="74">
        <v>4.4515031904837468</v>
      </c>
      <c r="AH543" s="73"/>
      <c r="AI543" s="72">
        <v>1733774.4474534148</v>
      </c>
      <c r="AJ543" s="72">
        <v>0</v>
      </c>
      <c r="AK543" s="73"/>
      <c r="AL543" s="74">
        <v>-1531.6505371562018</v>
      </c>
      <c r="AM543" s="74">
        <v>0</v>
      </c>
      <c r="AN543" s="73"/>
      <c r="AO543" s="72">
        <v>117136.17335618667</v>
      </c>
      <c r="AP543" s="72">
        <v>0</v>
      </c>
      <c r="AQ543" s="73"/>
      <c r="AR543" s="74">
        <v>-83.608373558054083</v>
      </c>
      <c r="AS543" s="74">
        <v>0</v>
      </c>
      <c r="AT543" s="73"/>
      <c r="AU543" s="72">
        <v>18344158.620696917</v>
      </c>
      <c r="AV543" s="72">
        <v>0</v>
      </c>
      <c r="AW543" s="73"/>
      <c r="AX543" s="74">
        <v>-2052.1171772081302</v>
      </c>
      <c r="AY543" s="74">
        <v>0</v>
      </c>
      <c r="AZ543" s="73"/>
      <c r="BA543" s="72">
        <v>610876.26461395621</v>
      </c>
      <c r="BB543" s="72">
        <v>0</v>
      </c>
      <c r="BC543" s="73"/>
      <c r="BD543" s="74">
        <v>-349.46465990078946</v>
      </c>
      <c r="BE543" s="74">
        <v>0</v>
      </c>
      <c r="BF543" s="73"/>
      <c r="BG543" s="72">
        <v>3867017.3400795711</v>
      </c>
      <c r="BH543" s="72">
        <v>0</v>
      </c>
      <c r="BI543" s="73"/>
      <c r="BJ543" s="74">
        <v>-2453.9273551710344</v>
      </c>
      <c r="BK543" s="74">
        <v>0</v>
      </c>
      <c r="BL543" s="73"/>
      <c r="BM543" s="72">
        <v>24672962.846200045</v>
      </c>
      <c r="BN543" s="72">
        <v>0</v>
      </c>
      <c r="BO543" s="73"/>
      <c r="BP543" s="74">
        <v>-6470.7681029942105</v>
      </c>
      <c r="BQ543" s="74">
        <v>0</v>
      </c>
      <c r="BS543" s="109">
        <f t="shared" si="222"/>
        <v>115936.1601671885</v>
      </c>
      <c r="BT543" s="109">
        <f t="shared" si="223"/>
        <v>116240.20904020051</v>
      </c>
      <c r="BV543" s="58">
        <f t="array" ref="BV543">SUM(IF(BS543:BT543&gt;=BS543, 1))</f>
        <v>2</v>
      </c>
      <c r="BW543" s="58">
        <f t="array" ref="BW543">SUM(IF(BS543:BT543&gt;=BT543, 1))</f>
        <v>1</v>
      </c>
      <c r="BY543" s="109">
        <f t="shared" si="224"/>
        <v>133608.64103700241</v>
      </c>
      <c r="BZ543" s="109">
        <f t="shared" si="225"/>
        <v>133863.66271580619</v>
      </c>
      <c r="CB543" s="58">
        <f t="array" ref="CB543">SUM(IF(BY543:BZ543&gt;=BY543, 1))</f>
        <v>2</v>
      </c>
      <c r="CC543" s="58">
        <f t="array" ref="CC543">SUM(IF(BY543:BZ543&gt;=BZ543, 1))</f>
        <v>1</v>
      </c>
      <c r="CE543" s="109">
        <f t="shared" si="226"/>
        <v>93964.936637040897</v>
      </c>
      <c r="CF543" s="109">
        <f t="shared" si="227"/>
        <v>96507.373300720443</v>
      </c>
      <c r="CH543" s="58">
        <f t="array" ref="CH543">SUM(IF(CE543:CF543&gt;=CE543, 1))</f>
        <v>2</v>
      </c>
      <c r="CI543" s="58">
        <f t="array" ref="CI543">SUM(IF(CE543:CF543&gt;=CF543, 1))</f>
        <v>1</v>
      </c>
      <c r="CK543" s="109">
        <f t="shared" si="228"/>
        <v>46794.212491960949</v>
      </c>
      <c r="CL543" s="109">
        <f t="shared" si="229"/>
        <v>47675.797210658391</v>
      </c>
      <c r="CN543" s="58">
        <f t="array" ref="CN543">SUM(IF(CK543:CL543&gt;=CK543, 1))</f>
        <v>2</v>
      </c>
      <c r="CO543" s="58">
        <f t="array" ref="CO543">SUM(IF(CK543:CL543&gt;=CL543, 1))</f>
        <v>1</v>
      </c>
      <c r="CQ543" s="109" cm="1">
        <f t="array" ref="CQ543">AF543*WTP-AC543</f>
        <v>37149.897897665949</v>
      </c>
      <c r="CR543" s="109">
        <f t="shared" si="230"/>
        <v>40512.501102466558</v>
      </c>
      <c r="CT543" s="58">
        <f t="array" ref="CT543">SUM(IF(CQ543:CR543&gt;=CQ543, 1))</f>
        <v>2</v>
      </c>
      <c r="CU543" s="58">
        <f t="array" ref="CU543">SUM(IF(CQ543:CR543&gt;=CR543, 1))</f>
        <v>1</v>
      </c>
      <c r="CW543" s="109">
        <f t="shared" si="231"/>
        <v>-32366785.190577451</v>
      </c>
      <c r="CX543" s="109">
        <f t="shared" si="232"/>
        <v>0</v>
      </c>
      <c r="CZ543" s="58">
        <f t="array" ref="CZ543">SUM(IF(CW543:CX543&gt;=CW543, 1))</f>
        <v>2</v>
      </c>
      <c r="DA543" s="58">
        <f t="array" ref="DA543">SUM(IF(CW543:CX543&gt;=CX543, 1))</f>
        <v>1</v>
      </c>
      <c r="DC543" s="109">
        <f t="shared" si="233"/>
        <v>-1789303.6445172683</v>
      </c>
      <c r="DD543" s="109">
        <f t="shared" si="234"/>
        <v>0</v>
      </c>
      <c r="DF543" s="58">
        <f t="array" ref="DF543">SUM(IF(DC543:DD543&gt;=DC543, 1))</f>
        <v>2</v>
      </c>
      <c r="DG543" s="58">
        <f t="array" ref="DG543">SUM(IF(DC543:DD543&gt;=DD543, 1))</f>
        <v>1</v>
      </c>
      <c r="DI543" s="109">
        <f t="shared" si="235"/>
        <v>-59386502.164859518</v>
      </c>
      <c r="DJ543" s="109">
        <f t="shared" si="236"/>
        <v>0</v>
      </c>
      <c r="DL543" s="58">
        <f t="array" ref="DL543">SUM(IF(DI543:DJ543&gt;=DI543, 1))</f>
        <v>2</v>
      </c>
      <c r="DM543" s="58">
        <f t="array" ref="DM543">SUM(IF(DI543:DJ543&gt;=DJ543, 1))</f>
        <v>1</v>
      </c>
      <c r="DO543" s="109">
        <f t="shared" si="237"/>
        <v>-7600169.4626297457</v>
      </c>
      <c r="DP543" s="109">
        <f t="shared" si="238"/>
        <v>0</v>
      </c>
      <c r="DR543" s="58">
        <f t="array" ref="DR543">SUM(IF(DO543:DP543&gt;=DO543, 1))</f>
        <v>2</v>
      </c>
      <c r="DS543" s="58">
        <f t="array" ref="DS543">SUM(IF(DO543:DP543&gt;=DP543, 1))</f>
        <v>1</v>
      </c>
      <c r="DU543" s="109">
        <f t="shared" si="239"/>
        <v>-52945564.443500258</v>
      </c>
      <c r="DV543" s="109">
        <f t="shared" si="240"/>
        <v>0</v>
      </c>
      <c r="DX543" s="58">
        <f t="array" ref="DX543">SUM(IF(DU543:DV543&gt;=DU543, 1))</f>
        <v>2</v>
      </c>
      <c r="DY543" s="58">
        <f t="array" ref="DY543">SUM(IF(DU543:DV543&gt;=DV543, 1))</f>
        <v>1</v>
      </c>
      <c r="EA543" s="109">
        <f t="shared" si="241"/>
        <v>-154088324.90608424</v>
      </c>
      <c r="EB543" s="109">
        <f t="shared" si="242"/>
        <v>0</v>
      </c>
      <c r="ED543" s="58">
        <f t="array" ref="ED543">SUM(IF(EA543:EB543&gt;=EA543, 1))</f>
        <v>2</v>
      </c>
      <c r="EE543" s="58">
        <f t="array" ref="EE543">SUM(IF(EA543:EB543&gt;=EB543, 1))</f>
        <v>1</v>
      </c>
    </row>
    <row r="544" spans="4:135" ht="12" customHeight="1" x14ac:dyDescent="0.25">
      <c r="D544" s="11">
        <v>528</v>
      </c>
      <c r="E544" s="72">
        <v>192.69844765827207</v>
      </c>
      <c r="F544" s="72">
        <v>174.54570061446469</v>
      </c>
      <c r="G544" s="73"/>
      <c r="H544" s="74">
        <v>5.8458325013067673</v>
      </c>
      <c r="I544" s="74">
        <v>5.8635253069265998</v>
      </c>
      <c r="J544" s="73"/>
      <c r="K544" s="72">
        <v>206.82044600078976</v>
      </c>
      <c r="L544" s="72">
        <v>188.21564610750758</v>
      </c>
      <c r="M544" s="73"/>
      <c r="N544" s="74">
        <v>6.7050904136811234</v>
      </c>
      <c r="O544" s="74">
        <v>6.7205716377366809</v>
      </c>
      <c r="P544" s="73"/>
      <c r="Q544" s="72">
        <v>1467.623663961677</v>
      </c>
      <c r="R544" s="72">
        <v>1059.0757724426501</v>
      </c>
      <c r="S544" s="73"/>
      <c r="T544" s="74">
        <v>4.855964716339618</v>
      </c>
      <c r="U544" s="74">
        <v>4.8992251218256095</v>
      </c>
      <c r="V544" s="73"/>
      <c r="W544" s="72">
        <v>13176.374740404859</v>
      </c>
      <c r="X544" s="72">
        <v>13072.188804869495</v>
      </c>
      <c r="Y544" s="73"/>
      <c r="Z544" s="74">
        <v>2.8842134802813035</v>
      </c>
      <c r="AA544" s="74">
        <v>2.9113775959015813</v>
      </c>
      <c r="AB544" s="73"/>
      <c r="AC544" s="72">
        <v>49985.549623833962</v>
      </c>
      <c r="AD544" s="72">
        <v>49500.477529006501</v>
      </c>
      <c r="AE544" s="73"/>
      <c r="AF544" s="74">
        <v>4.1342806813105968</v>
      </c>
      <c r="AG544" s="74">
        <v>4.2611392987120285</v>
      </c>
      <c r="AH544" s="73"/>
      <c r="AI544" s="72">
        <v>1947132.4516155205</v>
      </c>
      <c r="AJ544" s="72">
        <v>0</v>
      </c>
      <c r="AK544" s="73"/>
      <c r="AL544" s="74">
        <v>-1897.7973911807214</v>
      </c>
      <c r="AM544" s="74">
        <v>0</v>
      </c>
      <c r="AN544" s="73"/>
      <c r="AO544" s="72">
        <v>127750.64137983299</v>
      </c>
      <c r="AP544" s="72">
        <v>0</v>
      </c>
      <c r="AQ544" s="73"/>
      <c r="AR544" s="74">
        <v>-106.30247644622575</v>
      </c>
      <c r="AS544" s="74">
        <v>0</v>
      </c>
      <c r="AT544" s="73"/>
      <c r="AU544" s="72">
        <v>9530780.0339126196</v>
      </c>
      <c r="AV544" s="72">
        <v>0</v>
      </c>
      <c r="AW544" s="73"/>
      <c r="AX544" s="74">
        <v>-1009.1972506132736</v>
      </c>
      <c r="AY544" s="74">
        <v>0</v>
      </c>
      <c r="AZ544" s="73"/>
      <c r="BA544" s="72">
        <v>963849.49135040259</v>
      </c>
      <c r="BB544" s="72">
        <v>0</v>
      </c>
      <c r="BC544" s="73"/>
      <c r="BD544" s="74">
        <v>-251.30185652266937</v>
      </c>
      <c r="BE544" s="74">
        <v>0</v>
      </c>
      <c r="BF544" s="73"/>
      <c r="BG544" s="72">
        <v>7694774.6542311981</v>
      </c>
      <c r="BH544" s="72">
        <v>0</v>
      </c>
      <c r="BI544" s="73"/>
      <c r="BJ544" s="74">
        <v>-2012.3781274174569</v>
      </c>
      <c r="BK544" s="74">
        <v>0</v>
      </c>
      <c r="BL544" s="73"/>
      <c r="BM544" s="72">
        <v>20264287.272489574</v>
      </c>
      <c r="BN544" s="72">
        <v>0</v>
      </c>
      <c r="BO544" s="73"/>
      <c r="BP544" s="74">
        <v>-5276.9771021803472</v>
      </c>
      <c r="BQ544" s="74">
        <v>0</v>
      </c>
      <c r="BS544" s="109">
        <f t="shared" si="222"/>
        <v>116723.95157847708</v>
      </c>
      <c r="BT544" s="109">
        <f t="shared" si="223"/>
        <v>117095.96043791753</v>
      </c>
      <c r="BV544" s="58">
        <f t="array" ref="BV544">SUM(IF(BS544:BT544&gt;=BS544, 1))</f>
        <v>2</v>
      </c>
      <c r="BW544" s="58">
        <f t="array" ref="BW544">SUM(IF(BS544:BT544&gt;=BT544, 1))</f>
        <v>1</v>
      </c>
      <c r="BY544" s="109">
        <f t="shared" si="224"/>
        <v>133894.98782762169</v>
      </c>
      <c r="BZ544" s="109">
        <f t="shared" si="225"/>
        <v>134223.21710862612</v>
      </c>
      <c r="CB544" s="58">
        <f t="array" ref="CB544">SUM(IF(BY544:BZ544&gt;=BY544, 1))</f>
        <v>2</v>
      </c>
      <c r="CC544" s="58">
        <f t="array" ref="CC544">SUM(IF(BY544:BZ544&gt;=BZ544, 1))</f>
        <v>1</v>
      </c>
      <c r="CE544" s="109">
        <f t="shared" si="226"/>
        <v>95651.670662830671</v>
      </c>
      <c r="CF544" s="109">
        <f t="shared" si="227"/>
        <v>96925.426664069542</v>
      </c>
      <c r="CH544" s="58">
        <f t="array" ref="CH544">SUM(IF(CE544:CF544&gt;=CE544, 1))</f>
        <v>2</v>
      </c>
      <c r="CI544" s="58">
        <f t="array" ref="CI544">SUM(IF(CE544:CF544&gt;=CF544, 1))</f>
        <v>1</v>
      </c>
      <c r="CK544" s="109">
        <f t="shared" si="228"/>
        <v>44507.894865221213</v>
      </c>
      <c r="CL544" s="109">
        <f t="shared" si="229"/>
        <v>45155.36311316213</v>
      </c>
      <c r="CN544" s="58">
        <f t="array" ref="CN544">SUM(IF(CK544:CL544&gt;=CK544, 1))</f>
        <v>2</v>
      </c>
      <c r="CO544" s="58">
        <f t="array" ref="CO544">SUM(IF(CK544:CL544&gt;=CL544, 1))</f>
        <v>1</v>
      </c>
      <c r="CQ544" s="109" cm="1">
        <f t="array" ref="CQ544">AF544*WTP-AC544</f>
        <v>32700.064002377978</v>
      </c>
      <c r="CR544" s="109">
        <f t="shared" si="230"/>
        <v>35722.30844523407</v>
      </c>
      <c r="CT544" s="58">
        <f t="array" ref="CT544">SUM(IF(CQ544:CR544&gt;=CQ544, 1))</f>
        <v>2</v>
      </c>
      <c r="CU544" s="58">
        <f t="array" ref="CU544">SUM(IF(CQ544:CR544&gt;=CR544, 1))</f>
        <v>1</v>
      </c>
      <c r="CW544" s="109">
        <f t="shared" si="231"/>
        <v>-39903080.275229946</v>
      </c>
      <c r="CX544" s="109">
        <f t="shared" si="232"/>
        <v>0</v>
      </c>
      <c r="CZ544" s="58">
        <f t="array" ref="CZ544">SUM(IF(CW544:CX544&gt;=CW544, 1))</f>
        <v>2</v>
      </c>
      <c r="DA544" s="58">
        <f t="array" ref="DA544">SUM(IF(CW544:CX544&gt;=CX544, 1))</f>
        <v>1</v>
      </c>
      <c r="DC544" s="109">
        <f t="shared" si="233"/>
        <v>-2253800.1703043478</v>
      </c>
      <c r="DD544" s="109">
        <f t="shared" si="234"/>
        <v>0</v>
      </c>
      <c r="DF544" s="58">
        <f t="array" ref="DF544">SUM(IF(DC544:DD544&gt;=DC544, 1))</f>
        <v>2</v>
      </c>
      <c r="DG544" s="58">
        <f t="array" ref="DG544">SUM(IF(DC544:DD544&gt;=DD544, 1))</f>
        <v>1</v>
      </c>
      <c r="DI544" s="109">
        <f t="shared" si="235"/>
        <v>-29714725.046178088</v>
      </c>
      <c r="DJ544" s="109">
        <f t="shared" si="236"/>
        <v>0</v>
      </c>
      <c r="DL544" s="58">
        <f t="array" ref="DL544">SUM(IF(DI544:DJ544&gt;=DI544, 1))</f>
        <v>2</v>
      </c>
      <c r="DM544" s="58">
        <f t="array" ref="DM544">SUM(IF(DI544:DJ544&gt;=DJ544, 1))</f>
        <v>1</v>
      </c>
      <c r="DO544" s="109">
        <f t="shared" si="237"/>
        <v>-5989886.6218037903</v>
      </c>
      <c r="DP544" s="109">
        <f t="shared" si="238"/>
        <v>0</v>
      </c>
      <c r="DR544" s="58">
        <f t="array" ref="DR544">SUM(IF(DO544:DP544&gt;=DO544, 1))</f>
        <v>2</v>
      </c>
      <c r="DS544" s="58">
        <f t="array" ref="DS544">SUM(IF(DO544:DP544&gt;=DP544, 1))</f>
        <v>1</v>
      </c>
      <c r="DU544" s="109">
        <f t="shared" si="239"/>
        <v>-47942337.202580333</v>
      </c>
      <c r="DV544" s="109">
        <f t="shared" si="240"/>
        <v>0</v>
      </c>
      <c r="DX544" s="58">
        <f t="array" ref="DX544">SUM(IF(DU544:DV544&gt;=DU544, 1))</f>
        <v>2</v>
      </c>
      <c r="DY544" s="58">
        <f t="array" ref="DY544">SUM(IF(DU544:DV544&gt;=DV544, 1))</f>
        <v>1</v>
      </c>
      <c r="EA544" s="109">
        <f t="shared" si="241"/>
        <v>-125803829.31609651</v>
      </c>
      <c r="EB544" s="109">
        <f t="shared" si="242"/>
        <v>0</v>
      </c>
      <c r="ED544" s="58">
        <f t="array" ref="ED544">SUM(IF(EA544:EB544&gt;=EA544, 1))</f>
        <v>2</v>
      </c>
      <c r="EE544" s="58">
        <f t="array" ref="EE544">SUM(IF(EA544:EB544&gt;=EB544, 1))</f>
        <v>1</v>
      </c>
    </row>
    <row r="545" spans="4:135" ht="12" customHeight="1" x14ac:dyDescent="0.25">
      <c r="D545" s="11">
        <v>529</v>
      </c>
      <c r="E545" s="72">
        <v>292.22694763812723</v>
      </c>
      <c r="F545" s="72">
        <v>263.63426763229535</v>
      </c>
      <c r="G545" s="73"/>
      <c r="H545" s="74">
        <v>5.7993753956657823</v>
      </c>
      <c r="I545" s="74">
        <v>5.813173885789193</v>
      </c>
      <c r="J545" s="73"/>
      <c r="K545" s="72">
        <v>313.52351611645133</v>
      </c>
      <c r="L545" s="72">
        <v>284.24253237523567</v>
      </c>
      <c r="M545" s="73"/>
      <c r="N545" s="74">
        <v>6.7264910048310353</v>
      </c>
      <c r="O545" s="74">
        <v>6.7378188107861652</v>
      </c>
      <c r="P545" s="73"/>
      <c r="Q545" s="72">
        <v>2950.001984393763</v>
      </c>
      <c r="R545" s="72">
        <v>1554.9990235903442</v>
      </c>
      <c r="S545" s="73"/>
      <c r="T545" s="74">
        <v>4.8226330086964246</v>
      </c>
      <c r="U545" s="74">
        <v>4.9277549734561195</v>
      </c>
      <c r="V545" s="73"/>
      <c r="W545" s="72">
        <v>11932.092488762333</v>
      </c>
      <c r="X545" s="72">
        <v>11961.222093238817</v>
      </c>
      <c r="Y545" s="73"/>
      <c r="Z545" s="74">
        <v>3.0080383642111168</v>
      </c>
      <c r="AA545" s="74">
        <v>3.0644030248166425</v>
      </c>
      <c r="AB545" s="73"/>
      <c r="AC545" s="72">
        <v>48913.900515634472</v>
      </c>
      <c r="AD545" s="72">
        <v>48780.514076708307</v>
      </c>
      <c r="AE545" s="73"/>
      <c r="AF545" s="74">
        <v>4.8008673518275584</v>
      </c>
      <c r="AG545" s="74">
        <v>4.9619133415251602</v>
      </c>
      <c r="AH545" s="73"/>
      <c r="AI545" s="72">
        <v>3062309.0949757858</v>
      </c>
      <c r="AJ545" s="72">
        <v>0</v>
      </c>
      <c r="AK545" s="73"/>
      <c r="AL545" s="74">
        <v>-1477.8342496483597</v>
      </c>
      <c r="AM545" s="74">
        <v>0</v>
      </c>
      <c r="AN545" s="73"/>
      <c r="AO545" s="72">
        <v>192812.40581215787</v>
      </c>
      <c r="AP545" s="72">
        <v>0</v>
      </c>
      <c r="AQ545" s="73"/>
      <c r="AR545" s="74">
        <v>-74.592491088593206</v>
      </c>
      <c r="AS545" s="74">
        <v>0</v>
      </c>
      <c r="AT545" s="73"/>
      <c r="AU545" s="72">
        <v>32866287.272645317</v>
      </c>
      <c r="AV545" s="72">
        <v>0</v>
      </c>
      <c r="AW545" s="73"/>
      <c r="AX545" s="74">
        <v>-2476.6748096844326</v>
      </c>
      <c r="AY545" s="74">
        <v>0</v>
      </c>
      <c r="AZ545" s="73"/>
      <c r="BA545" s="72">
        <v>-246517.78383339263</v>
      </c>
      <c r="BB545" s="72">
        <v>0</v>
      </c>
      <c r="BC545" s="73"/>
      <c r="BD545" s="74">
        <v>-477.00239906150131</v>
      </c>
      <c r="BE545" s="74">
        <v>0</v>
      </c>
      <c r="BF545" s="73"/>
      <c r="BG545" s="72">
        <v>2167766.0942954868</v>
      </c>
      <c r="BH545" s="72">
        <v>0</v>
      </c>
      <c r="BI545" s="73"/>
      <c r="BJ545" s="74">
        <v>-2617.2828279939886</v>
      </c>
      <c r="BK545" s="74">
        <v>0</v>
      </c>
      <c r="BL545" s="73"/>
      <c r="BM545" s="72">
        <v>38042657.083895355</v>
      </c>
      <c r="BN545" s="72">
        <v>0</v>
      </c>
      <c r="BO545" s="73"/>
      <c r="BP545" s="74">
        <v>-7123.3867774768751</v>
      </c>
      <c r="BQ545" s="74">
        <v>0</v>
      </c>
      <c r="BS545" s="109">
        <f t="shared" si="222"/>
        <v>115695.28096567751</v>
      </c>
      <c r="BT545" s="109">
        <f t="shared" si="223"/>
        <v>115999.84344815156</v>
      </c>
      <c r="BV545" s="58">
        <f t="array" ref="BV545">SUM(IF(BS545:BT545&gt;=BS545, 1))</f>
        <v>2</v>
      </c>
      <c r="BW545" s="58">
        <f t="array" ref="BW545">SUM(IF(BS545:BT545&gt;=BT545, 1))</f>
        <v>1</v>
      </c>
      <c r="BY545" s="109">
        <f t="shared" si="224"/>
        <v>134216.29658050425</v>
      </c>
      <c r="BZ545" s="109">
        <f t="shared" si="225"/>
        <v>134472.13368334807</v>
      </c>
      <c r="CB545" s="58">
        <f t="array" ref="CB545">SUM(IF(BY545:BZ545&gt;=BY545, 1))</f>
        <v>2</v>
      </c>
      <c r="CC545" s="58">
        <f t="array" ref="CC545">SUM(IF(BY545:BZ545&gt;=BZ545, 1))</f>
        <v>1</v>
      </c>
      <c r="CE545" s="109">
        <f t="shared" si="226"/>
        <v>93502.658189534734</v>
      </c>
      <c r="CF545" s="109">
        <f t="shared" si="227"/>
        <v>97000.100445532051</v>
      </c>
      <c r="CH545" s="58">
        <f t="array" ref="CH545">SUM(IF(CE545:CF545&gt;=CE545, 1))</f>
        <v>2</v>
      </c>
      <c r="CI545" s="58">
        <f t="array" ref="CI545">SUM(IF(CE545:CF545&gt;=CF545, 1))</f>
        <v>1</v>
      </c>
      <c r="CK545" s="109">
        <f t="shared" si="228"/>
        <v>48228.67479546</v>
      </c>
      <c r="CL545" s="109">
        <f t="shared" si="229"/>
        <v>49326.838403094036</v>
      </c>
      <c r="CN545" s="58">
        <f t="array" ref="CN545">SUM(IF(CK545:CL545&gt;=CK545, 1))</f>
        <v>2</v>
      </c>
      <c r="CO545" s="58">
        <f t="array" ref="CO545">SUM(IF(CK545:CL545&gt;=CL545, 1))</f>
        <v>1</v>
      </c>
      <c r="CQ545" s="109" cm="1">
        <f t="array" ref="CQ545">AF545*WTP-AC545</f>
        <v>47103.446520916703</v>
      </c>
      <c r="CR545" s="109">
        <f t="shared" si="230"/>
        <v>50457.752753794892</v>
      </c>
      <c r="CT545" s="58">
        <f t="array" ref="CT545">SUM(IF(CQ545:CR545&gt;=CQ545, 1))</f>
        <v>2</v>
      </c>
      <c r="CU545" s="58">
        <f t="array" ref="CU545">SUM(IF(CQ545:CR545&gt;=CR545, 1))</f>
        <v>1</v>
      </c>
      <c r="CW545" s="109">
        <f t="shared" si="231"/>
        <v>-32618994.087942977</v>
      </c>
      <c r="CX545" s="109">
        <f t="shared" si="232"/>
        <v>0</v>
      </c>
      <c r="CZ545" s="58">
        <f t="array" ref="CZ545">SUM(IF(CW545:CX545&gt;=CW545, 1))</f>
        <v>2</v>
      </c>
      <c r="DA545" s="58">
        <f t="array" ref="DA545">SUM(IF(CW545:CX545&gt;=CX545, 1))</f>
        <v>1</v>
      </c>
      <c r="DC545" s="109">
        <f t="shared" si="233"/>
        <v>-1684662.2275840219</v>
      </c>
      <c r="DD545" s="109">
        <f t="shared" si="234"/>
        <v>0</v>
      </c>
      <c r="DF545" s="58">
        <f t="array" ref="DF545">SUM(IF(DC545:DD545&gt;=DC545, 1))</f>
        <v>2</v>
      </c>
      <c r="DG545" s="58">
        <f t="array" ref="DG545">SUM(IF(DC545:DD545&gt;=DD545, 1))</f>
        <v>1</v>
      </c>
      <c r="DI545" s="109">
        <f t="shared" si="235"/>
        <v>-82399783.46633397</v>
      </c>
      <c r="DJ545" s="109">
        <f t="shared" si="236"/>
        <v>0</v>
      </c>
      <c r="DL545" s="58">
        <f t="array" ref="DL545">SUM(IF(DI545:DJ545&gt;=DI545, 1))</f>
        <v>2</v>
      </c>
      <c r="DM545" s="58">
        <f t="array" ref="DM545">SUM(IF(DI545:DJ545&gt;=DJ545, 1))</f>
        <v>1</v>
      </c>
      <c r="DO545" s="109">
        <f t="shared" si="237"/>
        <v>-9293530.1973966341</v>
      </c>
      <c r="DP545" s="109">
        <f t="shared" si="238"/>
        <v>0</v>
      </c>
      <c r="DR545" s="58">
        <f t="array" ref="DR545">SUM(IF(DO545:DP545&gt;=DO545, 1))</f>
        <v>2</v>
      </c>
      <c r="DS545" s="58">
        <f t="array" ref="DS545">SUM(IF(DO545:DP545&gt;=DP545, 1))</f>
        <v>1</v>
      </c>
      <c r="DU545" s="109">
        <f t="shared" si="239"/>
        <v>-54513422.654175259</v>
      </c>
      <c r="DV545" s="109">
        <f t="shared" si="240"/>
        <v>0</v>
      </c>
      <c r="DX545" s="58">
        <f t="array" ref="DX545">SUM(IF(DU545:DV545&gt;=DU545, 1))</f>
        <v>2</v>
      </c>
      <c r="DY545" s="58">
        <f t="array" ref="DY545">SUM(IF(DU545:DV545&gt;=DV545, 1))</f>
        <v>1</v>
      </c>
      <c r="EA545" s="109">
        <f t="shared" si="241"/>
        <v>-180510392.63343287</v>
      </c>
      <c r="EB545" s="109">
        <f t="shared" si="242"/>
        <v>0</v>
      </c>
      <c r="ED545" s="58">
        <f t="array" ref="ED545">SUM(IF(EA545:EB545&gt;=EA545, 1))</f>
        <v>2</v>
      </c>
      <c r="EE545" s="58">
        <f t="array" ref="EE545">SUM(IF(EA545:EB545&gt;=EB545, 1))</f>
        <v>1</v>
      </c>
    </row>
    <row r="546" spans="4:135" ht="12" customHeight="1" x14ac:dyDescent="0.25">
      <c r="D546" s="11">
        <v>530</v>
      </c>
      <c r="E546" s="72">
        <v>251.36503264084453</v>
      </c>
      <c r="F546" s="72">
        <v>229.3891815479038</v>
      </c>
      <c r="G546" s="73"/>
      <c r="H546" s="74">
        <v>5.9239325265218401</v>
      </c>
      <c r="I546" s="74">
        <v>5.9390176662135019</v>
      </c>
      <c r="J546" s="73"/>
      <c r="K546" s="72">
        <v>269.90044185209683</v>
      </c>
      <c r="L546" s="72">
        <v>247.39213007285315</v>
      </c>
      <c r="M546" s="73"/>
      <c r="N546" s="74">
        <v>6.7039437007870726</v>
      </c>
      <c r="O546" s="74">
        <v>6.7167558012714759</v>
      </c>
      <c r="P546" s="73"/>
      <c r="Q546" s="72">
        <v>1737.9913738959604</v>
      </c>
      <c r="R546" s="72">
        <v>1336.7791228917933</v>
      </c>
      <c r="S546" s="73"/>
      <c r="T546" s="74">
        <v>4.9559823577234559</v>
      </c>
      <c r="U546" s="74">
        <v>5.0181018115754039</v>
      </c>
      <c r="V546" s="73"/>
      <c r="W546" s="72">
        <v>12407.898221878771</v>
      </c>
      <c r="X546" s="72">
        <v>12387.928782943143</v>
      </c>
      <c r="Y546" s="73"/>
      <c r="Z546" s="74">
        <v>2.8991481195234661</v>
      </c>
      <c r="AA546" s="74">
        <v>2.9313591353840103</v>
      </c>
      <c r="AB546" s="73"/>
      <c r="AC546" s="72">
        <v>50534.575129228106</v>
      </c>
      <c r="AD546" s="72">
        <v>50559.744329284898</v>
      </c>
      <c r="AE546" s="73"/>
      <c r="AF546" s="74">
        <v>4.3383584743636447</v>
      </c>
      <c r="AG546" s="74">
        <v>4.4406110218723756</v>
      </c>
      <c r="AH546" s="73"/>
      <c r="AI546" s="72">
        <v>2369032.8482783409</v>
      </c>
      <c r="AJ546" s="72">
        <v>0</v>
      </c>
      <c r="AK546" s="73"/>
      <c r="AL546" s="74">
        <v>-1626.2028396203521</v>
      </c>
      <c r="AM546" s="74">
        <v>0</v>
      </c>
      <c r="AN546" s="73"/>
      <c r="AO546" s="72">
        <v>150530.67548331735</v>
      </c>
      <c r="AP546" s="72">
        <v>0</v>
      </c>
      <c r="AQ546" s="73"/>
      <c r="AR546" s="74">
        <v>-85.684531083129016</v>
      </c>
      <c r="AS546" s="74">
        <v>0</v>
      </c>
      <c r="AT546" s="73"/>
      <c r="AU546" s="72">
        <v>9007296.6328496728</v>
      </c>
      <c r="AV546" s="72">
        <v>0</v>
      </c>
      <c r="AW546" s="73"/>
      <c r="AX546" s="74">
        <v>-1394.5943727159547</v>
      </c>
      <c r="AY546" s="74">
        <v>0</v>
      </c>
      <c r="AZ546" s="73"/>
      <c r="BA546" s="72">
        <v>171197.87487979373</v>
      </c>
      <c r="BB546" s="72">
        <v>0</v>
      </c>
      <c r="BC546" s="73"/>
      <c r="BD546" s="74">
        <v>-276.14483715944328</v>
      </c>
      <c r="BE546" s="74">
        <v>0</v>
      </c>
      <c r="BF546" s="73"/>
      <c r="BG546" s="72">
        <v>-396164.22618036182</v>
      </c>
      <c r="BH546" s="72">
        <v>0</v>
      </c>
      <c r="BI546" s="73"/>
      <c r="BJ546" s="74">
        <v>-1609.4592306216086</v>
      </c>
      <c r="BK546" s="74">
        <v>0</v>
      </c>
      <c r="BL546" s="73"/>
      <c r="BM546" s="72">
        <v>11301893.805310763</v>
      </c>
      <c r="BN546" s="72">
        <v>0</v>
      </c>
      <c r="BO546" s="73"/>
      <c r="BP546" s="74">
        <v>-4992.085811200488</v>
      </c>
      <c r="BQ546" s="74">
        <v>0</v>
      </c>
      <c r="BS546" s="109">
        <f t="shared" si="222"/>
        <v>118227.28549779597</v>
      </c>
      <c r="BT546" s="109">
        <f t="shared" si="223"/>
        <v>118550.96414272214</v>
      </c>
      <c r="BV546" s="58">
        <f t="array" ref="BV546">SUM(IF(BS546:BT546&gt;=BS546, 1))</f>
        <v>2</v>
      </c>
      <c r="BW546" s="58">
        <f t="array" ref="BW546">SUM(IF(BS546:BT546&gt;=BT546, 1))</f>
        <v>1</v>
      </c>
      <c r="BY546" s="109">
        <f t="shared" si="224"/>
        <v>133808.97357388935</v>
      </c>
      <c r="BZ546" s="109">
        <f t="shared" si="225"/>
        <v>134087.72389535667</v>
      </c>
      <c r="CB546" s="58">
        <f t="array" ref="CB546">SUM(IF(BY546:BZ546&gt;=BY546, 1))</f>
        <v>2</v>
      </c>
      <c r="CC546" s="58">
        <f t="array" ref="CC546">SUM(IF(BY546:BZ546&gt;=BZ546, 1))</f>
        <v>1</v>
      </c>
      <c r="CE546" s="109">
        <f t="shared" si="226"/>
        <v>97381.655780573157</v>
      </c>
      <c r="CF546" s="109">
        <f t="shared" si="227"/>
        <v>99025.257108616279</v>
      </c>
      <c r="CH546" s="58">
        <f t="array" ref="CH546">SUM(IF(CE546:CF546&gt;=CE546, 1))</f>
        <v>2</v>
      </c>
      <c r="CI546" s="58">
        <f t="array" ref="CI546">SUM(IF(CE546:CF546&gt;=CF546, 1))</f>
        <v>1</v>
      </c>
      <c r="CK546" s="109">
        <f t="shared" si="228"/>
        <v>45575.06416859055</v>
      </c>
      <c r="CL546" s="109">
        <f t="shared" si="229"/>
        <v>46239.253924737066</v>
      </c>
      <c r="CN546" s="58">
        <f t="array" ref="CN546">SUM(IF(CK546:CL546&gt;=CK546, 1))</f>
        <v>2</v>
      </c>
      <c r="CO546" s="58">
        <f t="array" ref="CO546">SUM(IF(CK546:CL546&gt;=CL546, 1))</f>
        <v>1</v>
      </c>
      <c r="CQ546" s="109" cm="1">
        <f t="array" ref="CQ546">AF546*WTP-AC546</f>
        <v>36232.594358044793</v>
      </c>
      <c r="CR546" s="109">
        <f t="shared" si="230"/>
        <v>38252.476108162613</v>
      </c>
      <c r="CT546" s="58">
        <f t="array" ref="CT546">SUM(IF(CQ546:CR546&gt;=CQ546, 1))</f>
        <v>2</v>
      </c>
      <c r="CU546" s="58">
        <f t="array" ref="CU546">SUM(IF(CQ546:CR546&gt;=CR546, 1))</f>
        <v>1</v>
      </c>
      <c r="CW546" s="109">
        <f t="shared" si="231"/>
        <v>-34893089.64068538</v>
      </c>
      <c r="CX546" s="109">
        <f t="shared" si="232"/>
        <v>0</v>
      </c>
      <c r="CZ546" s="58">
        <f t="array" ref="CZ546">SUM(IF(CW546:CX546&gt;=CW546, 1))</f>
        <v>2</v>
      </c>
      <c r="DA546" s="58">
        <f t="array" ref="DA546">SUM(IF(CW546:CX546&gt;=CX546, 1))</f>
        <v>1</v>
      </c>
      <c r="DC546" s="109">
        <f t="shared" si="233"/>
        <v>-1864221.2971458978</v>
      </c>
      <c r="DD546" s="109">
        <f t="shared" si="234"/>
        <v>0</v>
      </c>
      <c r="DF546" s="58">
        <f t="array" ref="DF546">SUM(IF(DC546:DD546&gt;=DC546, 1))</f>
        <v>2</v>
      </c>
      <c r="DG546" s="58">
        <f t="array" ref="DG546">SUM(IF(DC546:DD546&gt;=DD546, 1))</f>
        <v>1</v>
      </c>
      <c r="DI546" s="109">
        <f t="shared" si="235"/>
        <v>-36899184.087168768</v>
      </c>
      <c r="DJ546" s="109">
        <f t="shared" si="236"/>
        <v>0</v>
      </c>
      <c r="DL546" s="58">
        <f t="array" ref="DL546">SUM(IF(DI546:DJ546&gt;=DI546, 1))</f>
        <v>2</v>
      </c>
      <c r="DM546" s="58">
        <f t="array" ref="DM546">SUM(IF(DI546:DJ546&gt;=DJ546, 1))</f>
        <v>1</v>
      </c>
      <c r="DO546" s="109">
        <f t="shared" si="237"/>
        <v>-5694094.6180686597</v>
      </c>
      <c r="DP546" s="109">
        <f t="shared" si="238"/>
        <v>0</v>
      </c>
      <c r="DR546" s="58">
        <f t="array" ref="DR546">SUM(IF(DO546:DP546&gt;=DO546, 1))</f>
        <v>2</v>
      </c>
      <c r="DS546" s="58">
        <f t="array" ref="DS546">SUM(IF(DO546:DP546&gt;=DP546, 1))</f>
        <v>1</v>
      </c>
      <c r="DU546" s="109">
        <f t="shared" si="239"/>
        <v>-31793020.386251811</v>
      </c>
      <c r="DV546" s="109">
        <f t="shared" si="240"/>
        <v>0</v>
      </c>
      <c r="DX546" s="58">
        <f t="array" ref="DX546">SUM(IF(DU546:DV546&gt;=DU546, 1))</f>
        <v>2</v>
      </c>
      <c r="DY546" s="58">
        <f t="array" ref="DY546">SUM(IF(DU546:DV546&gt;=DV546, 1))</f>
        <v>1</v>
      </c>
      <c r="EA546" s="109">
        <f t="shared" si="241"/>
        <v>-111143610.02932054</v>
      </c>
      <c r="EB546" s="109">
        <f t="shared" si="242"/>
        <v>0</v>
      </c>
      <c r="ED546" s="58">
        <f t="array" ref="ED546">SUM(IF(EA546:EB546&gt;=EA546, 1))</f>
        <v>2</v>
      </c>
      <c r="EE546" s="58">
        <f t="array" ref="EE546">SUM(IF(EA546:EB546&gt;=EB546, 1))</f>
        <v>1</v>
      </c>
    </row>
    <row r="547" spans="4:135" ht="12" customHeight="1" x14ac:dyDescent="0.25">
      <c r="D547" s="11">
        <v>531</v>
      </c>
      <c r="E547" s="72">
        <v>276.87896210551702</v>
      </c>
      <c r="F547" s="72">
        <v>243.71954704931451</v>
      </c>
      <c r="G547" s="73"/>
      <c r="H547" s="74">
        <v>5.8723768161656675</v>
      </c>
      <c r="I547" s="74">
        <v>5.8861221293607082</v>
      </c>
      <c r="J547" s="73"/>
      <c r="K547" s="72">
        <v>296.60462654310942</v>
      </c>
      <c r="L547" s="72">
        <v>262.67835623811351</v>
      </c>
      <c r="M547" s="73"/>
      <c r="N547" s="74">
        <v>6.7090140414712689</v>
      </c>
      <c r="O547" s="74">
        <v>6.7205013017503115</v>
      </c>
      <c r="P547" s="73"/>
      <c r="Q547" s="72">
        <v>2189.0054574222049</v>
      </c>
      <c r="R547" s="72">
        <v>1648.415859089142</v>
      </c>
      <c r="S547" s="73"/>
      <c r="T547" s="74">
        <v>4.9428485838382459</v>
      </c>
      <c r="U547" s="74">
        <v>4.9964963084962486</v>
      </c>
      <c r="V547" s="73"/>
      <c r="W547" s="72">
        <v>12100.558817041081</v>
      </c>
      <c r="X547" s="72">
        <v>12139.536702187446</v>
      </c>
      <c r="Y547" s="73"/>
      <c r="Z547" s="74">
        <v>3.0548810111951004</v>
      </c>
      <c r="AA547" s="74">
        <v>3.1119356723392908</v>
      </c>
      <c r="AB547" s="73"/>
      <c r="AC547" s="72">
        <v>50353.338567358216</v>
      </c>
      <c r="AD547" s="72">
        <v>50107.994390058899</v>
      </c>
      <c r="AE547" s="73"/>
      <c r="AF547" s="74">
        <v>4.8741568591835049</v>
      </c>
      <c r="AG547" s="74">
        <v>5.0127004965102921</v>
      </c>
      <c r="AH547" s="73"/>
      <c r="AI547" s="72">
        <v>3560642.4959551552</v>
      </c>
      <c r="AJ547" s="72">
        <v>0</v>
      </c>
      <c r="AK547" s="73"/>
      <c r="AL547" s="74">
        <v>-1475.9653087824997</v>
      </c>
      <c r="AM547" s="74">
        <v>0</v>
      </c>
      <c r="AN547" s="73"/>
      <c r="AO547" s="72">
        <v>229139.06561805028</v>
      </c>
      <c r="AP547" s="72">
        <v>0</v>
      </c>
      <c r="AQ547" s="73"/>
      <c r="AR547" s="74">
        <v>-77.585306701501693</v>
      </c>
      <c r="AS547" s="74">
        <v>0</v>
      </c>
      <c r="AT547" s="73"/>
      <c r="AU547" s="72">
        <v>12621999.5084523</v>
      </c>
      <c r="AV547" s="72">
        <v>0</v>
      </c>
      <c r="AW547" s="73"/>
      <c r="AX547" s="74">
        <v>-1252.5981934371232</v>
      </c>
      <c r="AY547" s="74">
        <v>0</v>
      </c>
      <c r="AZ547" s="73"/>
      <c r="BA547" s="72">
        <v>-357428.00594480522</v>
      </c>
      <c r="BB547" s="72">
        <v>0</v>
      </c>
      <c r="BC547" s="73"/>
      <c r="BD547" s="74">
        <v>-523.19241246792569</v>
      </c>
      <c r="BE547" s="74">
        <v>0</v>
      </c>
      <c r="BF547" s="73"/>
      <c r="BG547" s="72">
        <v>4079932.9757845365</v>
      </c>
      <c r="BH547" s="72">
        <v>0</v>
      </c>
      <c r="BI547" s="73"/>
      <c r="BJ547" s="74">
        <v>-2303.9012408478511</v>
      </c>
      <c r="BK547" s="74">
        <v>0</v>
      </c>
      <c r="BL547" s="73"/>
      <c r="BM547" s="72">
        <v>20134286.039865237</v>
      </c>
      <c r="BN547" s="72">
        <v>0</v>
      </c>
      <c r="BO547" s="73"/>
      <c r="BP547" s="74">
        <v>-5633.2424622369017</v>
      </c>
      <c r="BQ547" s="74">
        <v>0</v>
      </c>
      <c r="BS547" s="109">
        <f t="shared" si="222"/>
        <v>117170.65736120784</v>
      </c>
      <c r="BT547" s="109">
        <f t="shared" si="223"/>
        <v>117478.72304016484</v>
      </c>
      <c r="BV547" s="58">
        <f t="array" ref="BV547">SUM(IF(BS547:BT547&gt;=BS547, 1))</f>
        <v>2</v>
      </c>
      <c r="BW547" s="58">
        <f t="array" ref="BW547">SUM(IF(BS547:BT547&gt;=BT547, 1))</f>
        <v>1</v>
      </c>
      <c r="BY547" s="109">
        <f t="shared" si="224"/>
        <v>133883.67620288226</v>
      </c>
      <c r="BZ547" s="109">
        <f t="shared" si="225"/>
        <v>134147.3476787681</v>
      </c>
      <c r="CB547" s="58">
        <f t="array" ref="CB547">SUM(IF(BY547:BZ547&gt;=BY547, 1))</f>
        <v>2</v>
      </c>
      <c r="CC547" s="58">
        <f t="array" ref="CC547">SUM(IF(BY547:BZ547&gt;=BZ547, 1))</f>
        <v>1</v>
      </c>
      <c r="CE547" s="109">
        <f t="shared" si="226"/>
        <v>96667.966219342721</v>
      </c>
      <c r="CF547" s="109">
        <f t="shared" si="227"/>
        <v>98281.510310835831</v>
      </c>
      <c r="CH547" s="58">
        <f t="array" ref="CH547">SUM(IF(CE547:CF547&gt;=CE547, 1))</f>
        <v>2</v>
      </c>
      <c r="CI547" s="58">
        <f t="array" ref="CI547">SUM(IF(CE547:CF547&gt;=CF547, 1))</f>
        <v>1</v>
      </c>
      <c r="CK547" s="109">
        <f t="shared" si="228"/>
        <v>48997.061406860928</v>
      </c>
      <c r="CL547" s="109">
        <f t="shared" si="229"/>
        <v>50099.176744598371</v>
      </c>
      <c r="CN547" s="58">
        <f t="array" ref="CN547">SUM(IF(CK547:CL547&gt;=CK547, 1))</f>
        <v>2</v>
      </c>
      <c r="CO547" s="58">
        <f t="array" ref="CO547">SUM(IF(CK547:CL547&gt;=CL547, 1))</f>
        <v>1</v>
      </c>
      <c r="CQ547" s="109" cm="1">
        <f t="array" ref="CQ547">AF547*WTP-AC547</f>
        <v>47129.798616311884</v>
      </c>
      <c r="CR547" s="109">
        <f t="shared" si="230"/>
        <v>50146.015540146938</v>
      </c>
      <c r="CT547" s="58">
        <f t="array" ref="CT547">SUM(IF(CQ547:CR547&gt;=CQ547, 1))</f>
        <v>2</v>
      </c>
      <c r="CU547" s="58">
        <f t="array" ref="CU547">SUM(IF(CQ547:CR547&gt;=CR547, 1))</f>
        <v>1</v>
      </c>
      <c r="CW547" s="109">
        <f t="shared" si="231"/>
        <v>-33079948.671605147</v>
      </c>
      <c r="CX547" s="109">
        <f t="shared" si="232"/>
        <v>0</v>
      </c>
      <c r="CZ547" s="58">
        <f t="array" ref="CZ547">SUM(IF(CW547:CX547&gt;=CW547, 1))</f>
        <v>2</v>
      </c>
      <c r="DA547" s="58">
        <f t="array" ref="DA547">SUM(IF(CW547:CX547&gt;=CX547, 1))</f>
        <v>1</v>
      </c>
      <c r="DC547" s="109">
        <f t="shared" si="233"/>
        <v>-1780845.1996480841</v>
      </c>
      <c r="DD547" s="109">
        <f t="shared" si="234"/>
        <v>0</v>
      </c>
      <c r="DF547" s="58">
        <f t="array" ref="DF547">SUM(IF(DC547:DD547&gt;=DC547, 1))</f>
        <v>2</v>
      </c>
      <c r="DG547" s="58">
        <f t="array" ref="DG547">SUM(IF(DC547:DD547&gt;=DD547, 1))</f>
        <v>1</v>
      </c>
      <c r="DI547" s="109">
        <f t="shared" si="235"/>
        <v>-37673963.377194762</v>
      </c>
      <c r="DJ547" s="109">
        <f t="shared" si="236"/>
        <v>0</v>
      </c>
      <c r="DL547" s="58">
        <f t="array" ref="DL547">SUM(IF(DI547:DJ547&gt;=DI547, 1))</f>
        <v>2</v>
      </c>
      <c r="DM547" s="58">
        <f t="array" ref="DM547">SUM(IF(DI547:DJ547&gt;=DJ547, 1))</f>
        <v>1</v>
      </c>
      <c r="DO547" s="109">
        <f t="shared" si="237"/>
        <v>-10106420.243413709</v>
      </c>
      <c r="DP547" s="109">
        <f t="shared" si="238"/>
        <v>0</v>
      </c>
      <c r="DR547" s="58">
        <f t="array" ref="DR547">SUM(IF(DO547:DP547&gt;=DO547, 1))</f>
        <v>2</v>
      </c>
      <c r="DS547" s="58">
        <f t="array" ref="DS547">SUM(IF(DO547:DP547&gt;=DP547, 1))</f>
        <v>1</v>
      </c>
      <c r="DU547" s="109">
        <f t="shared" si="239"/>
        <v>-50157957.792741552</v>
      </c>
      <c r="DV547" s="109">
        <f t="shared" si="240"/>
        <v>0</v>
      </c>
      <c r="DX547" s="58">
        <f t="array" ref="DX547">SUM(IF(DU547:DV547&gt;=DU547, 1))</f>
        <v>2</v>
      </c>
      <c r="DY547" s="58">
        <f t="array" ref="DY547">SUM(IF(DU547:DV547&gt;=DV547, 1))</f>
        <v>1</v>
      </c>
      <c r="EA547" s="109">
        <f t="shared" si="241"/>
        <v>-132799135.28460327</v>
      </c>
      <c r="EB547" s="109">
        <f t="shared" si="242"/>
        <v>0</v>
      </c>
      <c r="ED547" s="58">
        <f t="array" ref="ED547">SUM(IF(EA547:EB547&gt;=EA547, 1))</f>
        <v>2</v>
      </c>
      <c r="EE547" s="58">
        <f t="array" ref="EE547">SUM(IF(EA547:EB547&gt;=EB547, 1))</f>
        <v>1</v>
      </c>
    </row>
    <row r="548" spans="4:135" ht="12" customHeight="1" x14ac:dyDescent="0.25">
      <c r="D548" s="11">
        <v>532</v>
      </c>
      <c r="E548" s="72">
        <v>231.90995139891072</v>
      </c>
      <c r="F548" s="72">
        <v>187.28581064254908</v>
      </c>
      <c r="G548" s="73"/>
      <c r="H548" s="74">
        <v>5.7354790300249148</v>
      </c>
      <c r="I548" s="74">
        <v>5.7567083170558728</v>
      </c>
      <c r="J548" s="73"/>
      <c r="K548" s="72">
        <v>247.4669044407172</v>
      </c>
      <c r="L548" s="72">
        <v>201.84281200892144</v>
      </c>
      <c r="M548" s="73"/>
      <c r="N548" s="74">
        <v>6.7645477343687599</v>
      </c>
      <c r="O548" s="74">
        <v>6.7834942193168297</v>
      </c>
      <c r="P548" s="73"/>
      <c r="Q548" s="72">
        <v>2101.2325925873197</v>
      </c>
      <c r="R548" s="72">
        <v>1636.5296177233365</v>
      </c>
      <c r="S548" s="73"/>
      <c r="T548" s="74">
        <v>4.9477391742058421</v>
      </c>
      <c r="U548" s="74">
        <v>4.9879942544308653</v>
      </c>
      <c r="V548" s="73"/>
      <c r="W548" s="72">
        <v>12745.106948797789</v>
      </c>
      <c r="X548" s="72">
        <v>12730.570088174267</v>
      </c>
      <c r="Y548" s="73"/>
      <c r="Z548" s="74">
        <v>3.0396735865790512</v>
      </c>
      <c r="AA548" s="74">
        <v>3.0986177184755457</v>
      </c>
      <c r="AB548" s="73"/>
      <c r="AC548" s="72">
        <v>50896.213760573817</v>
      </c>
      <c r="AD548" s="72">
        <v>50578.854250799282</v>
      </c>
      <c r="AE548" s="73"/>
      <c r="AF548" s="74">
        <v>4.913624134165234</v>
      </c>
      <c r="AG548" s="74">
        <v>5.0306783914460933</v>
      </c>
      <c r="AH548" s="73"/>
      <c r="AI548" s="72">
        <v>4795287.6193902493</v>
      </c>
      <c r="AJ548" s="72">
        <v>0</v>
      </c>
      <c r="AK548" s="73"/>
      <c r="AL548" s="74">
        <v>-2281.2884582774273</v>
      </c>
      <c r="AM548" s="74">
        <v>0</v>
      </c>
      <c r="AN548" s="73"/>
      <c r="AO548" s="72">
        <v>303243.41798818501</v>
      </c>
      <c r="AP548" s="72">
        <v>0</v>
      </c>
      <c r="AQ548" s="73"/>
      <c r="AR548" s="74">
        <v>-125.92901136835299</v>
      </c>
      <c r="AS548" s="74">
        <v>0</v>
      </c>
      <c r="AT548" s="73"/>
      <c r="AU548" s="72">
        <v>10606613.217911676</v>
      </c>
      <c r="AV548" s="72">
        <v>0</v>
      </c>
      <c r="AW548" s="73"/>
      <c r="AX548" s="74">
        <v>-918.8020931602573</v>
      </c>
      <c r="AY548" s="74">
        <v>0</v>
      </c>
      <c r="AZ548" s="73"/>
      <c r="BA548" s="72">
        <v>129308.75036937752</v>
      </c>
      <c r="BB548" s="72">
        <v>0</v>
      </c>
      <c r="BC548" s="73"/>
      <c r="BD548" s="74">
        <v>-524.32173868477093</v>
      </c>
      <c r="BE548" s="74">
        <v>0</v>
      </c>
      <c r="BF548" s="73"/>
      <c r="BG548" s="72">
        <v>5090237.5362091707</v>
      </c>
      <c r="BH548" s="72">
        <v>0</v>
      </c>
      <c r="BI548" s="73"/>
      <c r="BJ548" s="74">
        <v>-1877.4731994242763</v>
      </c>
      <c r="BK548" s="74">
        <v>0</v>
      </c>
      <c r="BL548" s="73"/>
      <c r="BM548" s="72">
        <v>20924690.541868657</v>
      </c>
      <c r="BN548" s="72">
        <v>0</v>
      </c>
      <c r="BO548" s="73"/>
      <c r="BP548" s="74">
        <v>-5727.8145009150849</v>
      </c>
      <c r="BQ548" s="74">
        <v>0</v>
      </c>
      <c r="BS548" s="109">
        <f t="shared" si="222"/>
        <v>114477.6706490994</v>
      </c>
      <c r="BT548" s="109">
        <f t="shared" si="223"/>
        <v>114946.8805304749</v>
      </c>
      <c r="BV548" s="58">
        <f t="array" ref="BV548">SUM(IF(BS548:BT548&gt;=BS548, 1))</f>
        <v>2</v>
      </c>
      <c r="BW548" s="58">
        <f t="array" ref="BW548">SUM(IF(BS548:BT548&gt;=BT548, 1))</f>
        <v>1</v>
      </c>
      <c r="BY548" s="109">
        <f t="shared" si="224"/>
        <v>135043.48778293448</v>
      </c>
      <c r="BZ548" s="109">
        <f t="shared" si="225"/>
        <v>135468.04157432768</v>
      </c>
      <c r="CB548" s="58">
        <f t="array" ref="CB548">SUM(IF(BY548:BZ548&gt;=BY548, 1))</f>
        <v>2</v>
      </c>
      <c r="CC548" s="58">
        <f t="array" ref="CC548">SUM(IF(BY548:BZ548&gt;=BZ548, 1))</f>
        <v>1</v>
      </c>
      <c r="CE548" s="109">
        <f t="shared" si="226"/>
        <v>96853.550891529521</v>
      </c>
      <c r="CF548" s="109">
        <f t="shared" si="227"/>
        <v>98123.355470893963</v>
      </c>
      <c r="CH548" s="58">
        <f t="array" ref="CH548">SUM(IF(CE548:CF548&gt;=CE548, 1))</f>
        <v>2</v>
      </c>
      <c r="CI548" s="58">
        <f t="array" ref="CI548">SUM(IF(CE548:CF548&gt;=CF548, 1))</f>
        <v>1</v>
      </c>
      <c r="CK548" s="109">
        <f t="shared" si="228"/>
        <v>48048.364782783239</v>
      </c>
      <c r="CL548" s="109">
        <f t="shared" si="229"/>
        <v>49241.784281336644</v>
      </c>
      <c r="CN548" s="58">
        <f t="array" ref="CN548">SUM(IF(CK548:CL548&gt;=CK548, 1))</f>
        <v>2</v>
      </c>
      <c r="CO548" s="58">
        <f t="array" ref="CO548">SUM(IF(CK548:CL548&gt;=CL548, 1))</f>
        <v>1</v>
      </c>
      <c r="CQ548" s="109" cm="1">
        <f t="array" ref="CQ548">AF548*WTP-AC548</f>
        <v>47376.268922730866</v>
      </c>
      <c r="CR548" s="109">
        <f t="shared" si="230"/>
        <v>50034.713578122581</v>
      </c>
      <c r="CT548" s="58">
        <f t="array" ref="CT548">SUM(IF(CQ548:CR548&gt;=CQ548, 1))</f>
        <v>2</v>
      </c>
      <c r="CU548" s="58">
        <f t="array" ref="CU548">SUM(IF(CQ548:CR548&gt;=CR548, 1))</f>
        <v>1</v>
      </c>
      <c r="CW548" s="109">
        <f t="shared" si="231"/>
        <v>-50421056.784938797</v>
      </c>
      <c r="CX548" s="109">
        <f t="shared" si="232"/>
        <v>0</v>
      </c>
      <c r="CZ548" s="58">
        <f t="array" ref="CZ548">SUM(IF(CW548:CX548&gt;=CW548, 1))</f>
        <v>2</v>
      </c>
      <c r="DA548" s="58">
        <f t="array" ref="DA548">SUM(IF(CW548:CX548&gt;=CX548, 1))</f>
        <v>1</v>
      </c>
      <c r="DC548" s="109">
        <f t="shared" si="233"/>
        <v>-2821823.6453552446</v>
      </c>
      <c r="DD548" s="109">
        <f t="shared" si="234"/>
        <v>0</v>
      </c>
      <c r="DF548" s="58">
        <f t="array" ref="DF548">SUM(IF(DC548:DD548&gt;=DC548, 1))</f>
        <v>2</v>
      </c>
      <c r="DG548" s="58">
        <f t="array" ref="DG548">SUM(IF(DC548:DD548&gt;=DD548, 1))</f>
        <v>1</v>
      </c>
      <c r="DI548" s="109">
        <f t="shared" si="235"/>
        <v>-28982655.081116822</v>
      </c>
      <c r="DJ548" s="109">
        <f t="shared" si="236"/>
        <v>0</v>
      </c>
      <c r="DL548" s="58">
        <f t="array" ref="DL548">SUM(IF(DI548:DJ548&gt;=DI548, 1))</f>
        <v>2</v>
      </c>
      <c r="DM548" s="58">
        <f t="array" ref="DM548">SUM(IF(DI548:DJ548&gt;=DJ548, 1))</f>
        <v>1</v>
      </c>
      <c r="DO548" s="109">
        <f t="shared" si="237"/>
        <v>-10615743.524064796</v>
      </c>
      <c r="DP548" s="109">
        <f t="shared" si="238"/>
        <v>0</v>
      </c>
      <c r="DR548" s="58">
        <f t="array" ref="DR548">SUM(IF(DO548:DP548&gt;=DO548, 1))</f>
        <v>2</v>
      </c>
      <c r="DS548" s="58">
        <f t="array" ref="DS548">SUM(IF(DO548:DP548&gt;=DP548, 1))</f>
        <v>1</v>
      </c>
      <c r="DU548" s="109">
        <f t="shared" si="239"/>
        <v>-42639701.524694704</v>
      </c>
      <c r="DV548" s="109">
        <f t="shared" si="240"/>
        <v>0</v>
      </c>
      <c r="DX548" s="58">
        <f t="array" ref="DX548">SUM(IF(DU548:DV548&gt;=DU548, 1))</f>
        <v>2</v>
      </c>
      <c r="DY548" s="58">
        <f t="array" ref="DY548">SUM(IF(DU548:DV548&gt;=DV548, 1))</f>
        <v>1</v>
      </c>
      <c r="EA548" s="109">
        <f t="shared" si="241"/>
        <v>-135480980.56017035</v>
      </c>
      <c r="EB548" s="109">
        <f t="shared" si="242"/>
        <v>0</v>
      </c>
      <c r="ED548" s="58">
        <f t="array" ref="ED548">SUM(IF(EA548:EB548&gt;=EA548, 1))</f>
        <v>2</v>
      </c>
      <c r="EE548" s="58">
        <f t="array" ref="EE548">SUM(IF(EA548:EB548&gt;=EB548, 1))</f>
        <v>1</v>
      </c>
    </row>
    <row r="549" spans="4:135" ht="12" customHeight="1" x14ac:dyDescent="0.25">
      <c r="D549" s="11">
        <v>533</v>
      </c>
      <c r="E549" s="72">
        <v>250.98426606218089</v>
      </c>
      <c r="F549" s="72">
        <v>234.3545817193864</v>
      </c>
      <c r="G549" s="73"/>
      <c r="H549" s="74">
        <v>5.8395472021506114</v>
      </c>
      <c r="I549" s="74">
        <v>5.8585567070371596</v>
      </c>
      <c r="J549" s="73"/>
      <c r="K549" s="72">
        <v>269.81418591501375</v>
      </c>
      <c r="L549" s="72">
        <v>252.73665902874555</v>
      </c>
      <c r="M549" s="73"/>
      <c r="N549" s="74">
        <v>6.7250576469340961</v>
      </c>
      <c r="O549" s="74">
        <v>6.7412216682568342</v>
      </c>
      <c r="P549" s="73"/>
      <c r="Q549" s="72">
        <v>2164.1391092468975</v>
      </c>
      <c r="R549" s="72">
        <v>1596.3728273235054</v>
      </c>
      <c r="S549" s="73"/>
      <c r="T549" s="74">
        <v>4.8423237648958262</v>
      </c>
      <c r="U549" s="74">
        <v>4.9024622106221241</v>
      </c>
      <c r="V549" s="73"/>
      <c r="W549" s="72">
        <v>14141.385017534807</v>
      </c>
      <c r="X549" s="72">
        <v>14238.357233518182</v>
      </c>
      <c r="Y549" s="73"/>
      <c r="Z549" s="74">
        <v>3.0212322592766938</v>
      </c>
      <c r="AA549" s="74">
        <v>3.0863898922607866</v>
      </c>
      <c r="AB549" s="73"/>
      <c r="AC549" s="72">
        <v>51422.991456692522</v>
      </c>
      <c r="AD549" s="72">
        <v>51274.654513397771</v>
      </c>
      <c r="AE549" s="73"/>
      <c r="AF549" s="74">
        <v>4.3200698859770732</v>
      </c>
      <c r="AG549" s="74">
        <v>4.3798903616524063</v>
      </c>
      <c r="AH549" s="73"/>
      <c r="AI549" s="72">
        <v>1791133.4252741784</v>
      </c>
      <c r="AJ549" s="72">
        <v>0</v>
      </c>
      <c r="AK549" s="73"/>
      <c r="AL549" s="74">
        <v>-2047.4567585500949</v>
      </c>
      <c r="AM549" s="74">
        <v>0</v>
      </c>
      <c r="AN549" s="73"/>
      <c r="AO549" s="72">
        <v>114396.52856472894</v>
      </c>
      <c r="AP549" s="72">
        <v>0</v>
      </c>
      <c r="AQ549" s="73"/>
      <c r="AR549" s="74">
        <v>-108.27726633265246</v>
      </c>
      <c r="AS549" s="74">
        <v>0</v>
      </c>
      <c r="AT549" s="73"/>
      <c r="AU549" s="72">
        <v>12942706.507610636</v>
      </c>
      <c r="AV549" s="72">
        <v>0</v>
      </c>
      <c r="AW549" s="73"/>
      <c r="AX549" s="74">
        <v>-1370.9060887211454</v>
      </c>
      <c r="AY549" s="74">
        <v>0</v>
      </c>
      <c r="AZ549" s="73"/>
      <c r="BA549" s="72">
        <v>-864950.98820547631</v>
      </c>
      <c r="BB549" s="72">
        <v>0</v>
      </c>
      <c r="BC549" s="73"/>
      <c r="BD549" s="74">
        <v>-581.17841762410774</v>
      </c>
      <c r="BE549" s="74">
        <v>0</v>
      </c>
      <c r="BF549" s="73"/>
      <c r="BG549" s="72">
        <v>2347109.270048779</v>
      </c>
      <c r="BH549" s="72">
        <v>0</v>
      </c>
      <c r="BI549" s="73"/>
      <c r="BJ549" s="74">
        <v>-946.52882739609515</v>
      </c>
      <c r="BK549" s="74">
        <v>0</v>
      </c>
      <c r="BL549" s="73"/>
      <c r="BM549" s="72">
        <v>16330394.743292846</v>
      </c>
      <c r="BN549" s="72">
        <v>0</v>
      </c>
      <c r="BO549" s="73"/>
      <c r="BP549" s="74">
        <v>-5054.3473586240952</v>
      </c>
      <c r="BQ549" s="74">
        <v>0</v>
      </c>
      <c r="BS549" s="109">
        <f t="shared" si="222"/>
        <v>116539.95977695005</v>
      </c>
      <c r="BT549" s="109">
        <f t="shared" si="223"/>
        <v>116936.77955902381</v>
      </c>
      <c r="BV549" s="58">
        <f t="array" ref="BV549">SUM(IF(BS549:BT549&gt;=BS549, 1))</f>
        <v>2</v>
      </c>
      <c r="BW549" s="58">
        <f t="array" ref="BW549">SUM(IF(BS549:BT549&gt;=BT549, 1))</f>
        <v>1</v>
      </c>
      <c r="BY549" s="109">
        <f t="shared" si="224"/>
        <v>134231.3387527669</v>
      </c>
      <c r="BZ549" s="109">
        <f t="shared" si="225"/>
        <v>134571.69670610793</v>
      </c>
      <c r="CB549" s="58">
        <f t="array" ref="CB549">SUM(IF(BY549:BZ549&gt;=BY549, 1))</f>
        <v>2</v>
      </c>
      <c r="CC549" s="58">
        <f t="array" ref="CC549">SUM(IF(BY549:BZ549&gt;=BZ549, 1))</f>
        <v>1</v>
      </c>
      <c r="CE549" s="109">
        <f t="shared" si="226"/>
        <v>94682.336188669622</v>
      </c>
      <c r="CF549" s="109">
        <f t="shared" si="227"/>
        <v>96452.871385118982</v>
      </c>
      <c r="CH549" s="58">
        <f t="array" ref="CH549">SUM(IF(CE549:CF549&gt;=CE549, 1))</f>
        <v>2</v>
      </c>
      <c r="CI549" s="58">
        <f t="array" ref="CI549">SUM(IF(CE549:CF549&gt;=CF549, 1))</f>
        <v>1</v>
      </c>
      <c r="CK549" s="109">
        <f t="shared" si="228"/>
        <v>46283.260167999069</v>
      </c>
      <c r="CL549" s="109">
        <f t="shared" si="229"/>
        <v>47489.440611697552</v>
      </c>
      <c r="CN549" s="58">
        <f t="array" ref="CN549">SUM(IF(CK549:CL549&gt;=CK549, 1))</f>
        <v>2</v>
      </c>
      <c r="CO549" s="58">
        <f t="array" ref="CO549">SUM(IF(CK549:CL549&gt;=CL549, 1))</f>
        <v>1</v>
      </c>
      <c r="CQ549" s="109" cm="1">
        <f t="array" ref="CQ549">AF549*WTP-AC549</f>
        <v>34978.406262848941</v>
      </c>
      <c r="CR549" s="109">
        <f t="shared" si="230"/>
        <v>36323.152719650352</v>
      </c>
      <c r="CT549" s="58">
        <f t="array" ref="CT549">SUM(IF(CQ549:CR549&gt;=CQ549, 1))</f>
        <v>2</v>
      </c>
      <c r="CU549" s="58">
        <f t="array" ref="CU549">SUM(IF(CQ549:CR549&gt;=CR549, 1))</f>
        <v>1</v>
      </c>
      <c r="CW549" s="109">
        <f t="shared" si="231"/>
        <v>-42740268.596276075</v>
      </c>
      <c r="CX549" s="109">
        <f t="shared" si="232"/>
        <v>0</v>
      </c>
      <c r="CZ549" s="58">
        <f t="array" ref="CZ549">SUM(IF(CW549:CX549&gt;=CW549, 1))</f>
        <v>2</v>
      </c>
      <c r="DA549" s="58">
        <f t="array" ref="DA549">SUM(IF(CW549:CX549&gt;=CX549, 1))</f>
        <v>1</v>
      </c>
      <c r="DC549" s="109">
        <f t="shared" si="233"/>
        <v>-2279941.8552177781</v>
      </c>
      <c r="DD549" s="109">
        <f t="shared" si="234"/>
        <v>0</v>
      </c>
      <c r="DF549" s="58">
        <f t="array" ref="DF549">SUM(IF(DC549:DD549&gt;=DC549, 1))</f>
        <v>2</v>
      </c>
      <c r="DG549" s="58">
        <f t="array" ref="DG549">SUM(IF(DC549:DD549&gt;=DD549, 1))</f>
        <v>1</v>
      </c>
      <c r="DI549" s="109">
        <f t="shared" si="235"/>
        <v>-40360828.28203354</v>
      </c>
      <c r="DJ549" s="109">
        <f t="shared" si="236"/>
        <v>0</v>
      </c>
      <c r="DL549" s="58">
        <f t="array" ref="DL549">SUM(IF(DI549:DJ549&gt;=DI549, 1))</f>
        <v>2</v>
      </c>
      <c r="DM549" s="58">
        <f t="array" ref="DM549">SUM(IF(DI549:DJ549&gt;=DJ549, 1))</f>
        <v>1</v>
      </c>
      <c r="DO549" s="109">
        <f t="shared" si="237"/>
        <v>-10758617.364276679</v>
      </c>
      <c r="DP549" s="109">
        <f t="shared" si="238"/>
        <v>0</v>
      </c>
      <c r="DR549" s="58">
        <f t="array" ref="DR549">SUM(IF(DO549:DP549&gt;=DO549, 1))</f>
        <v>2</v>
      </c>
      <c r="DS549" s="58">
        <f t="array" ref="DS549">SUM(IF(DO549:DP549&gt;=DP549, 1))</f>
        <v>1</v>
      </c>
      <c r="DU549" s="109">
        <f t="shared" si="239"/>
        <v>-21277685.817970682</v>
      </c>
      <c r="DV549" s="109">
        <f t="shared" si="240"/>
        <v>0</v>
      </c>
      <c r="DX549" s="58">
        <f t="array" ref="DX549">SUM(IF(DU549:DV549&gt;=DU549, 1))</f>
        <v>2</v>
      </c>
      <c r="DY549" s="58">
        <f t="array" ref="DY549">SUM(IF(DU549:DV549&gt;=DV549, 1))</f>
        <v>1</v>
      </c>
      <c r="EA549" s="109">
        <f t="shared" si="241"/>
        <v>-117417341.91577476</v>
      </c>
      <c r="EB549" s="109">
        <f t="shared" si="242"/>
        <v>0</v>
      </c>
      <c r="ED549" s="58">
        <f t="array" ref="ED549">SUM(IF(EA549:EB549&gt;=EA549, 1))</f>
        <v>2</v>
      </c>
      <c r="EE549" s="58">
        <f t="array" ref="EE549">SUM(IF(EA549:EB549&gt;=EB549, 1))</f>
        <v>1</v>
      </c>
    </row>
    <row r="550" spans="4:135" ht="12" customHeight="1" x14ac:dyDescent="0.25">
      <c r="D550" s="11">
        <v>534</v>
      </c>
      <c r="E550" s="72">
        <v>207.92834138247187</v>
      </c>
      <c r="F550" s="72">
        <v>189.34078487272785</v>
      </c>
      <c r="G550" s="73"/>
      <c r="H550" s="74">
        <v>5.7948261254757067</v>
      </c>
      <c r="I550" s="74">
        <v>5.8146621547335853</v>
      </c>
      <c r="J550" s="73"/>
      <c r="K550" s="72">
        <v>223.15600139861368</v>
      </c>
      <c r="L550" s="72">
        <v>204.10892287654471</v>
      </c>
      <c r="M550" s="73"/>
      <c r="N550" s="74">
        <v>6.7613655459703139</v>
      </c>
      <c r="O550" s="74">
        <v>6.778988560188683</v>
      </c>
      <c r="P550" s="73"/>
      <c r="Q550" s="72">
        <v>2811.774545065598</v>
      </c>
      <c r="R550" s="72">
        <v>1321.8226184884645</v>
      </c>
      <c r="S550" s="73"/>
      <c r="T550" s="74">
        <v>4.6481011175097686</v>
      </c>
      <c r="U550" s="74">
        <v>4.7819640870916738</v>
      </c>
      <c r="V550" s="73"/>
      <c r="W550" s="72">
        <v>11018.840311946111</v>
      </c>
      <c r="X550" s="72">
        <v>10998.577419274747</v>
      </c>
      <c r="Y550" s="73"/>
      <c r="Z550" s="74">
        <v>3.1168911631381353</v>
      </c>
      <c r="AA550" s="74">
        <v>3.1668168798564711</v>
      </c>
      <c r="AB550" s="73"/>
      <c r="AC550" s="72">
        <v>50264.63039302078</v>
      </c>
      <c r="AD550" s="72">
        <v>50036.863325502076</v>
      </c>
      <c r="AE550" s="73"/>
      <c r="AF550" s="74">
        <v>4.5990293860233207</v>
      </c>
      <c r="AG550" s="74">
        <v>4.7352975556066781</v>
      </c>
      <c r="AH550" s="73"/>
      <c r="AI550" s="72">
        <v>1995366.4769940332</v>
      </c>
      <c r="AJ550" s="72">
        <v>0</v>
      </c>
      <c r="AK550" s="73"/>
      <c r="AL550" s="74">
        <v>-2129.389508357101</v>
      </c>
      <c r="AM550" s="74">
        <v>0</v>
      </c>
      <c r="AN550" s="73"/>
      <c r="AO550" s="72">
        <v>131486.16511824582</v>
      </c>
      <c r="AP550" s="72">
        <v>0</v>
      </c>
      <c r="AQ550" s="73"/>
      <c r="AR550" s="74">
        <v>-121.65553655448312</v>
      </c>
      <c r="AS550" s="74">
        <v>0</v>
      </c>
      <c r="AT550" s="73"/>
      <c r="AU550" s="72">
        <v>34107865.979169995</v>
      </c>
      <c r="AV550" s="72">
        <v>0</v>
      </c>
      <c r="AW550" s="73"/>
      <c r="AX550" s="74">
        <v>-3064.3809002363569</v>
      </c>
      <c r="AY550" s="74">
        <v>0</v>
      </c>
      <c r="AZ550" s="73"/>
      <c r="BA550" s="72">
        <v>179626.26019430012</v>
      </c>
      <c r="BB550" s="72">
        <v>0</v>
      </c>
      <c r="BC550" s="73"/>
      <c r="BD550" s="74">
        <v>-442.58092499835305</v>
      </c>
      <c r="BE550" s="74">
        <v>0</v>
      </c>
      <c r="BF550" s="73"/>
      <c r="BG550" s="72">
        <v>3655016.6747423927</v>
      </c>
      <c r="BH550" s="72">
        <v>0</v>
      </c>
      <c r="BI550" s="73"/>
      <c r="BJ550" s="74">
        <v>-2186.7183763205617</v>
      </c>
      <c r="BK550" s="74">
        <v>0</v>
      </c>
      <c r="BL550" s="73"/>
      <c r="BM550" s="72">
        <v>40069361.556218967</v>
      </c>
      <c r="BN550" s="72">
        <v>0</v>
      </c>
      <c r="BO550" s="73"/>
      <c r="BP550" s="74">
        <v>-7944.7252464668563</v>
      </c>
      <c r="BQ550" s="74">
        <v>0</v>
      </c>
      <c r="BS550" s="109">
        <f t="shared" si="222"/>
        <v>115688.59416813166</v>
      </c>
      <c r="BT550" s="109">
        <f t="shared" si="223"/>
        <v>116103.90230979898</v>
      </c>
      <c r="BV550" s="58">
        <f t="array" ref="BV550">SUM(IF(BS550:BT550&gt;=BS550, 1))</f>
        <v>2</v>
      </c>
      <c r="BW550" s="58">
        <f t="array" ref="BW550">SUM(IF(BS550:BT550&gt;=BT550, 1))</f>
        <v>1</v>
      </c>
      <c r="BY550" s="109">
        <f t="shared" si="224"/>
        <v>135004.15491800767</v>
      </c>
      <c r="BZ550" s="109">
        <f t="shared" si="225"/>
        <v>135375.66228089712</v>
      </c>
      <c r="CB550" s="58">
        <f t="array" ref="CB550">SUM(IF(BY550:BZ550&gt;=BY550, 1))</f>
        <v>2</v>
      </c>
      <c r="CC550" s="58">
        <f t="array" ref="CC550">SUM(IF(BY550:BZ550&gt;=BZ550, 1))</f>
        <v>1</v>
      </c>
      <c r="CE550" s="109">
        <f t="shared" si="226"/>
        <v>90150.24780512978</v>
      </c>
      <c r="CF550" s="109">
        <f t="shared" si="227"/>
        <v>94317.459123345005</v>
      </c>
      <c r="CH550" s="58">
        <f t="array" ref="CH550">SUM(IF(CE550:CF550&gt;=CE550, 1))</f>
        <v>2</v>
      </c>
      <c r="CI550" s="58">
        <f t="array" ref="CI550">SUM(IF(CE550:CF550&gt;=CF550, 1))</f>
        <v>1</v>
      </c>
      <c r="CK550" s="109">
        <f t="shared" si="228"/>
        <v>51318.9829508166</v>
      </c>
      <c r="CL550" s="109">
        <f t="shared" si="229"/>
        <v>52337.760177854674</v>
      </c>
      <c r="CN550" s="58">
        <f t="array" ref="CN550">SUM(IF(CK550:CL550&gt;=CK550, 1))</f>
        <v>2</v>
      </c>
      <c r="CO550" s="58">
        <f t="array" ref="CO550">SUM(IF(CK550:CL550&gt;=CL550, 1))</f>
        <v>1</v>
      </c>
      <c r="CQ550" s="109" cm="1">
        <f t="array" ref="CQ550">AF550*WTP-AC550</f>
        <v>41715.957327445634</v>
      </c>
      <c r="CR550" s="109">
        <f t="shared" si="230"/>
        <v>44669.087786631491</v>
      </c>
      <c r="CT550" s="58">
        <f t="array" ref="CT550">SUM(IF(CQ550:CR550&gt;=CQ550, 1))</f>
        <v>2</v>
      </c>
      <c r="CU550" s="58">
        <f t="array" ref="CU550">SUM(IF(CQ550:CR550&gt;=CR550, 1))</f>
        <v>1</v>
      </c>
      <c r="CW550" s="109">
        <f t="shared" si="231"/>
        <v>-44583156.644136049</v>
      </c>
      <c r="CX550" s="109">
        <f t="shared" si="232"/>
        <v>0</v>
      </c>
      <c r="CZ550" s="58">
        <f t="array" ref="CZ550">SUM(IF(CW550:CX550&gt;=CW550, 1))</f>
        <v>2</v>
      </c>
      <c r="DA550" s="58">
        <f t="array" ref="DA550">SUM(IF(CW550:CX550&gt;=CX550, 1))</f>
        <v>1</v>
      </c>
      <c r="DC550" s="109">
        <f t="shared" si="233"/>
        <v>-2564596.8962079082</v>
      </c>
      <c r="DD550" s="109">
        <f t="shared" si="234"/>
        <v>0</v>
      </c>
      <c r="DF550" s="58">
        <f t="array" ref="DF550">SUM(IF(DC550:DD550&gt;=DC550, 1))</f>
        <v>2</v>
      </c>
      <c r="DG550" s="58">
        <f t="array" ref="DG550">SUM(IF(DC550:DD550&gt;=DD550, 1))</f>
        <v>1</v>
      </c>
      <c r="DI550" s="109">
        <f t="shared" si="235"/>
        <v>-95395483.983897135</v>
      </c>
      <c r="DJ550" s="109">
        <f t="shared" si="236"/>
        <v>0</v>
      </c>
      <c r="DL550" s="58">
        <f t="array" ref="DL550">SUM(IF(DI550:DJ550&gt;=DI550, 1))</f>
        <v>2</v>
      </c>
      <c r="DM550" s="58">
        <f t="array" ref="DM550">SUM(IF(DI550:DJ550&gt;=DJ550, 1))</f>
        <v>1</v>
      </c>
      <c r="DO550" s="109">
        <f t="shared" si="237"/>
        <v>-9031244.7601613607</v>
      </c>
      <c r="DP550" s="109">
        <f t="shared" si="238"/>
        <v>0</v>
      </c>
      <c r="DR550" s="58">
        <f t="array" ref="DR550">SUM(IF(DO550:DP550&gt;=DO550, 1))</f>
        <v>2</v>
      </c>
      <c r="DS550" s="58">
        <f t="array" ref="DS550">SUM(IF(DO550:DP550&gt;=DP550, 1))</f>
        <v>1</v>
      </c>
      <c r="DU550" s="109">
        <f t="shared" si="239"/>
        <v>-47389384.201153629</v>
      </c>
      <c r="DV550" s="109">
        <f t="shared" si="240"/>
        <v>0</v>
      </c>
      <c r="DX550" s="58">
        <f t="array" ref="DX550">SUM(IF(DU550:DV550&gt;=DU550, 1))</f>
        <v>2</v>
      </c>
      <c r="DY550" s="58">
        <f t="array" ref="DY550">SUM(IF(DU550:DV550&gt;=DV550, 1))</f>
        <v>1</v>
      </c>
      <c r="EA550" s="109">
        <f t="shared" si="241"/>
        <v>-198963866.48555607</v>
      </c>
      <c r="EB550" s="109">
        <f t="shared" si="242"/>
        <v>0</v>
      </c>
      <c r="ED550" s="58">
        <f t="array" ref="ED550">SUM(IF(EA550:EB550&gt;=EA550, 1))</f>
        <v>2</v>
      </c>
      <c r="EE550" s="58">
        <f t="array" ref="EE550">SUM(IF(EA550:EB550&gt;=EB550, 1))</f>
        <v>1</v>
      </c>
    </row>
    <row r="551" spans="4:135" ht="12" customHeight="1" x14ac:dyDescent="0.25">
      <c r="D551" s="11">
        <v>535</v>
      </c>
      <c r="E551" s="72">
        <v>206.44757185688493</v>
      </c>
      <c r="F551" s="72">
        <v>190.44552598255493</v>
      </c>
      <c r="G551" s="73"/>
      <c r="H551" s="74">
        <v>5.8594654355422122</v>
      </c>
      <c r="I551" s="74">
        <v>5.8760897458732906</v>
      </c>
      <c r="J551" s="73"/>
      <c r="K551" s="72">
        <v>221.81454282436775</v>
      </c>
      <c r="L551" s="72">
        <v>205.41970789306703</v>
      </c>
      <c r="M551" s="73"/>
      <c r="N551" s="74">
        <v>6.6807976857061568</v>
      </c>
      <c r="O551" s="74">
        <v>6.6950927524826414</v>
      </c>
      <c r="P551" s="73"/>
      <c r="Q551" s="72">
        <v>2511.0046075968576</v>
      </c>
      <c r="R551" s="72">
        <v>1373.2724967501101</v>
      </c>
      <c r="S551" s="73"/>
      <c r="T551" s="74">
        <v>4.7406140482617447</v>
      </c>
      <c r="U551" s="74">
        <v>4.8345780800855911</v>
      </c>
      <c r="V551" s="73"/>
      <c r="W551" s="72">
        <v>14154.953236180783</v>
      </c>
      <c r="X551" s="72">
        <v>14186.280911122032</v>
      </c>
      <c r="Y551" s="73"/>
      <c r="Z551" s="74">
        <v>3.1779787247029772</v>
      </c>
      <c r="AA551" s="74">
        <v>3.2338791998904233</v>
      </c>
      <c r="AB551" s="73"/>
      <c r="AC551" s="72">
        <v>51449.833046683663</v>
      </c>
      <c r="AD551" s="72">
        <v>50762.484412298036</v>
      </c>
      <c r="AE551" s="73"/>
      <c r="AF551" s="74">
        <v>4.9373835059368467</v>
      </c>
      <c r="AG551" s="74">
        <v>5.0581173718026529</v>
      </c>
      <c r="AH551" s="73"/>
      <c r="AI551" s="72">
        <v>1714486.2355672517</v>
      </c>
      <c r="AJ551" s="72">
        <v>0</v>
      </c>
      <c r="AK551" s="73"/>
      <c r="AL551" s="74">
        <v>-1781.1567009787536</v>
      </c>
      <c r="AM551" s="74">
        <v>0</v>
      </c>
      <c r="AN551" s="73"/>
      <c r="AO551" s="72">
        <v>112071.85886692771</v>
      </c>
      <c r="AP551" s="72">
        <v>0</v>
      </c>
      <c r="AQ551" s="73"/>
      <c r="AR551" s="74">
        <v>-97.718257791594311</v>
      </c>
      <c r="AS551" s="74">
        <v>0</v>
      </c>
      <c r="AT551" s="73"/>
      <c r="AU551" s="72">
        <v>26271415.699108377</v>
      </c>
      <c r="AV551" s="72">
        <v>0</v>
      </c>
      <c r="AW551" s="73"/>
      <c r="AX551" s="74">
        <v>-2169.7270537361437</v>
      </c>
      <c r="AY551" s="74">
        <v>0</v>
      </c>
      <c r="AZ551" s="73"/>
      <c r="BA551" s="72">
        <v>-274473.64105589583</v>
      </c>
      <c r="BB551" s="72">
        <v>0</v>
      </c>
      <c r="BC551" s="73"/>
      <c r="BD551" s="74">
        <v>-489.76526314919124</v>
      </c>
      <c r="BE551" s="74">
        <v>0</v>
      </c>
      <c r="BF551" s="73"/>
      <c r="BG551" s="72">
        <v>10627593.817000521</v>
      </c>
      <c r="BH551" s="72">
        <v>0</v>
      </c>
      <c r="BI551" s="73"/>
      <c r="BJ551" s="74">
        <v>-1866.7535253414646</v>
      </c>
      <c r="BK551" s="74">
        <v>0</v>
      </c>
      <c r="BL551" s="73"/>
      <c r="BM551" s="72">
        <v>38451093.969487183</v>
      </c>
      <c r="BN551" s="72">
        <v>0</v>
      </c>
      <c r="BO551" s="73"/>
      <c r="BP551" s="74">
        <v>-6405.1208009971469</v>
      </c>
      <c r="BQ551" s="74">
        <v>0</v>
      </c>
      <c r="BS551" s="109">
        <f t="shared" si="222"/>
        <v>116982.86113898735</v>
      </c>
      <c r="BT551" s="109">
        <f t="shared" si="223"/>
        <v>117331.34939148327</v>
      </c>
      <c r="BV551" s="58">
        <f t="array" ref="BV551">SUM(IF(BS551:BT551&gt;=BS551, 1))</f>
        <v>2</v>
      </c>
      <c r="BW551" s="58">
        <f t="array" ref="BW551">SUM(IF(BS551:BT551&gt;=BT551, 1))</f>
        <v>1</v>
      </c>
      <c r="BY551" s="109">
        <f t="shared" si="224"/>
        <v>133394.13917129877</v>
      </c>
      <c r="BZ551" s="109">
        <f t="shared" si="225"/>
        <v>133696.43534175976</v>
      </c>
      <c r="CB551" s="58">
        <f t="array" ref="CB551">SUM(IF(BY551:BZ551&gt;=BY551, 1))</f>
        <v>2</v>
      </c>
      <c r="CC551" s="58">
        <f t="array" ref="CC551">SUM(IF(BY551:BZ551&gt;=BZ551, 1))</f>
        <v>1</v>
      </c>
      <c r="CE551" s="109">
        <f t="shared" si="226"/>
        <v>92301.276357638038</v>
      </c>
      <c r="CF551" s="109">
        <f t="shared" si="227"/>
        <v>95318.289104961703</v>
      </c>
      <c r="CH551" s="58">
        <f t="array" ref="CH551">SUM(IF(CE551:CF551&gt;=CE551, 1))</f>
        <v>2</v>
      </c>
      <c r="CI551" s="58">
        <f t="array" ref="CI551">SUM(IF(CE551:CF551&gt;=CF551, 1))</f>
        <v>1</v>
      </c>
      <c r="CK551" s="109">
        <f t="shared" si="228"/>
        <v>49404.621257878753</v>
      </c>
      <c r="CL551" s="109">
        <f t="shared" si="229"/>
        <v>50491.303086686428</v>
      </c>
      <c r="CN551" s="58">
        <f t="array" ref="CN551">SUM(IF(CK551:CL551&gt;=CK551, 1))</f>
        <v>2</v>
      </c>
      <c r="CO551" s="58">
        <f t="array" ref="CO551">SUM(IF(CK551:CL551&gt;=CL551, 1))</f>
        <v>1</v>
      </c>
      <c r="CQ551" s="109" cm="1">
        <f t="array" ref="CQ551">AF551*WTP-AC551</f>
        <v>47297.837072053269</v>
      </c>
      <c r="CR551" s="109">
        <f t="shared" si="230"/>
        <v>50399.863023755017</v>
      </c>
      <c r="CT551" s="58">
        <f t="array" ref="CT551">SUM(IF(CQ551:CR551&gt;=CQ551, 1))</f>
        <v>2</v>
      </c>
      <c r="CU551" s="58">
        <f t="array" ref="CU551">SUM(IF(CQ551:CR551&gt;=CR551, 1))</f>
        <v>1</v>
      </c>
      <c r="CW551" s="109">
        <f t="shared" si="231"/>
        <v>-37337620.255142324</v>
      </c>
      <c r="CX551" s="109">
        <f t="shared" si="232"/>
        <v>0</v>
      </c>
      <c r="CZ551" s="58">
        <f t="array" ref="CZ551">SUM(IF(CW551:CX551&gt;=CW551, 1))</f>
        <v>2</v>
      </c>
      <c r="DA551" s="58">
        <f t="array" ref="DA551">SUM(IF(CW551:CX551&gt;=CX551, 1))</f>
        <v>1</v>
      </c>
      <c r="DC551" s="109">
        <f t="shared" si="233"/>
        <v>-2066437.0146988139</v>
      </c>
      <c r="DD551" s="109">
        <f t="shared" si="234"/>
        <v>0</v>
      </c>
      <c r="DF551" s="58">
        <f t="array" ref="DF551">SUM(IF(DC551:DD551&gt;=DC551, 1))</f>
        <v>2</v>
      </c>
      <c r="DG551" s="58">
        <f t="array" ref="DG551">SUM(IF(DC551:DD551&gt;=DD551, 1))</f>
        <v>1</v>
      </c>
      <c r="DI551" s="109">
        <f t="shared" si="235"/>
        <v>-69665956.773831248</v>
      </c>
      <c r="DJ551" s="109">
        <f t="shared" si="236"/>
        <v>0</v>
      </c>
      <c r="DL551" s="58">
        <f t="array" ref="DL551">SUM(IF(DI551:DJ551&gt;=DI551, 1))</f>
        <v>2</v>
      </c>
      <c r="DM551" s="58">
        <f t="array" ref="DM551">SUM(IF(DI551:DJ551&gt;=DJ551, 1))</f>
        <v>1</v>
      </c>
      <c r="DO551" s="109">
        <f t="shared" si="237"/>
        <v>-9520831.62192793</v>
      </c>
      <c r="DP551" s="109">
        <f t="shared" si="238"/>
        <v>0</v>
      </c>
      <c r="DR551" s="58">
        <f t="array" ref="DR551">SUM(IF(DO551:DP551&gt;=DO551, 1))</f>
        <v>2</v>
      </c>
      <c r="DS551" s="58">
        <f t="array" ref="DS551">SUM(IF(DO551:DP551&gt;=DP551, 1))</f>
        <v>1</v>
      </c>
      <c r="DU551" s="109">
        <f t="shared" si="239"/>
        <v>-47962664.323829815</v>
      </c>
      <c r="DV551" s="109">
        <f t="shared" si="240"/>
        <v>0</v>
      </c>
      <c r="DX551" s="58">
        <f t="array" ref="DX551">SUM(IF(DU551:DV551&gt;=DU551, 1))</f>
        <v>2</v>
      </c>
      <c r="DY551" s="58">
        <f t="array" ref="DY551">SUM(IF(DU551:DV551&gt;=DV551, 1))</f>
        <v>1</v>
      </c>
      <c r="EA551" s="109">
        <f t="shared" si="241"/>
        <v>-166553509.98943013</v>
      </c>
      <c r="EB551" s="109">
        <f t="shared" si="242"/>
        <v>0</v>
      </c>
      <c r="ED551" s="58">
        <f t="array" ref="ED551">SUM(IF(EA551:EB551&gt;=EA551, 1))</f>
        <v>2</v>
      </c>
      <c r="EE551" s="58">
        <f t="array" ref="EE551">SUM(IF(EA551:EB551&gt;=EB551, 1))</f>
        <v>1</v>
      </c>
    </row>
    <row r="552" spans="4:135" ht="12" customHeight="1" x14ac:dyDescent="0.25">
      <c r="D552" s="11">
        <v>536</v>
      </c>
      <c r="E552" s="72">
        <v>323.82532215913847</v>
      </c>
      <c r="F552" s="72">
        <v>306.66242012083967</v>
      </c>
      <c r="G552" s="73"/>
      <c r="H552" s="74">
        <v>5.8185384157802424</v>
      </c>
      <c r="I552" s="74">
        <v>5.8337461926078387</v>
      </c>
      <c r="J552" s="73"/>
      <c r="K552" s="72">
        <v>348.29368104578242</v>
      </c>
      <c r="L552" s="72">
        <v>330.66705676064942</v>
      </c>
      <c r="M552" s="73"/>
      <c r="N552" s="74">
        <v>6.7018548986362481</v>
      </c>
      <c r="O552" s="74">
        <v>6.7142790023433552</v>
      </c>
      <c r="P552" s="73"/>
      <c r="Q552" s="72">
        <v>3523.9186458746594</v>
      </c>
      <c r="R552" s="72">
        <v>1595.1430716481455</v>
      </c>
      <c r="S552" s="73"/>
      <c r="T552" s="74">
        <v>5.0302298639512522</v>
      </c>
      <c r="U552" s="74">
        <v>5.156193865120609</v>
      </c>
      <c r="V552" s="73"/>
      <c r="W552" s="72">
        <v>11669.075971512671</v>
      </c>
      <c r="X552" s="72">
        <v>11700.948165154045</v>
      </c>
      <c r="Y552" s="73"/>
      <c r="Z552" s="74">
        <v>3.0035866917824339</v>
      </c>
      <c r="AA552" s="74">
        <v>3.0651774090946287</v>
      </c>
      <c r="AB552" s="73"/>
      <c r="AC552" s="72">
        <v>50109.203824621232</v>
      </c>
      <c r="AD552" s="72">
        <v>50270.777618202919</v>
      </c>
      <c r="AE552" s="73"/>
      <c r="AF552" s="74">
        <v>3.9528090844669008</v>
      </c>
      <c r="AG552" s="74">
        <v>4.0125337711097107</v>
      </c>
      <c r="AH552" s="73"/>
      <c r="AI552" s="72">
        <v>1827961.1483226831</v>
      </c>
      <c r="AJ552" s="72">
        <v>0</v>
      </c>
      <c r="AK552" s="73"/>
      <c r="AL552" s="74">
        <v>-1619.7275455615991</v>
      </c>
      <c r="AM552" s="74">
        <v>0</v>
      </c>
      <c r="AN552" s="73"/>
      <c r="AO552" s="72">
        <v>116809.57485799699</v>
      </c>
      <c r="AP552" s="72">
        <v>0</v>
      </c>
      <c r="AQ552" s="73"/>
      <c r="AR552" s="74">
        <v>-82.333080262162966</v>
      </c>
      <c r="AS552" s="74">
        <v>0</v>
      </c>
      <c r="AT552" s="73"/>
      <c r="AU552" s="72">
        <v>45104170.233287081</v>
      </c>
      <c r="AV552" s="72">
        <v>0</v>
      </c>
      <c r="AW552" s="73"/>
      <c r="AX552" s="74">
        <v>-2945.6520644124512</v>
      </c>
      <c r="AY552" s="74">
        <v>0</v>
      </c>
      <c r="AZ552" s="73"/>
      <c r="BA552" s="72">
        <v>-283272.86833142646</v>
      </c>
      <c r="BB552" s="72">
        <v>0</v>
      </c>
      <c r="BC552" s="73"/>
      <c r="BD552" s="74">
        <v>-547.40440372349065</v>
      </c>
      <c r="BE552" s="74">
        <v>0</v>
      </c>
      <c r="BF552" s="73"/>
      <c r="BG552" s="72">
        <v>-2502844.9417624194</v>
      </c>
      <c r="BH552" s="72">
        <v>0</v>
      </c>
      <c r="BI552" s="73"/>
      <c r="BJ552" s="74">
        <v>-925.16011754547719</v>
      </c>
      <c r="BK552" s="74">
        <v>0</v>
      </c>
      <c r="BL552" s="73"/>
      <c r="BM552" s="72">
        <v>44262823.14637392</v>
      </c>
      <c r="BN552" s="72">
        <v>0</v>
      </c>
      <c r="BO552" s="73"/>
      <c r="BP552" s="74">
        <v>-6120.2772115051812</v>
      </c>
      <c r="BQ552" s="74">
        <v>0</v>
      </c>
      <c r="BS552" s="109">
        <f t="shared" si="222"/>
        <v>116046.9429934457</v>
      </c>
      <c r="BT552" s="109">
        <f t="shared" si="223"/>
        <v>116368.26143203594</v>
      </c>
      <c r="BV552" s="58">
        <f t="array" ref="BV552">SUM(IF(BS552:BT552&gt;=BS552, 1))</f>
        <v>2</v>
      </c>
      <c r="BW552" s="58">
        <f t="array" ref="BW552">SUM(IF(BS552:BT552&gt;=BT552, 1))</f>
        <v>1</v>
      </c>
      <c r="BY552" s="109">
        <f t="shared" si="224"/>
        <v>133688.80429167917</v>
      </c>
      <c r="BZ552" s="109">
        <f t="shared" si="225"/>
        <v>133954.91299010644</v>
      </c>
      <c r="CB552" s="58">
        <f t="array" ref="CB552">SUM(IF(BY552:BZ552&gt;=BY552, 1))</f>
        <v>2</v>
      </c>
      <c r="CC552" s="58">
        <f t="array" ref="CC552">SUM(IF(BY552:BZ552&gt;=BZ552, 1))</f>
        <v>1</v>
      </c>
      <c r="CE552" s="109">
        <f t="shared" si="226"/>
        <v>97080.678633150383</v>
      </c>
      <c r="CF552" s="109">
        <f t="shared" si="227"/>
        <v>101528.73423076404</v>
      </c>
      <c r="CH552" s="58">
        <f t="array" ref="CH552">SUM(IF(CE552:CF552&gt;=CE552, 1))</f>
        <v>2</v>
      </c>
      <c r="CI552" s="58">
        <f t="array" ref="CI552">SUM(IF(CE552:CF552&gt;=CF552, 1))</f>
        <v>1</v>
      </c>
      <c r="CK552" s="109">
        <f t="shared" si="228"/>
        <v>48402.65786413601</v>
      </c>
      <c r="CL552" s="109">
        <f t="shared" si="229"/>
        <v>49602.600016738535</v>
      </c>
      <c r="CN552" s="58">
        <f t="array" ref="CN552">SUM(IF(CK552:CL552&gt;=CK552, 1))</f>
        <v>2</v>
      </c>
      <c r="CO552" s="58">
        <f t="array" ref="CO552">SUM(IF(CK552:CL552&gt;=CL552, 1))</f>
        <v>1</v>
      </c>
      <c r="CQ552" s="109" cm="1">
        <f t="array" ref="CQ552">AF552*WTP-AC552</f>
        <v>28946.977864716784</v>
      </c>
      <c r="CR552" s="109">
        <f t="shared" si="230"/>
        <v>29979.897803991291</v>
      </c>
      <c r="CT552" s="58">
        <f t="array" ref="CT552">SUM(IF(CQ552:CR552&gt;=CQ552, 1))</f>
        <v>2</v>
      </c>
      <c r="CU552" s="58">
        <f t="array" ref="CU552">SUM(IF(CQ552:CR552&gt;=CR552, 1))</f>
        <v>1</v>
      </c>
      <c r="CW552" s="109">
        <f t="shared" si="231"/>
        <v>-34222512.059554666</v>
      </c>
      <c r="CX552" s="109">
        <f t="shared" si="232"/>
        <v>0</v>
      </c>
      <c r="CZ552" s="58">
        <f t="array" ref="CZ552">SUM(IF(CW552:CX552&gt;=CW552, 1))</f>
        <v>2</v>
      </c>
      <c r="DA552" s="58">
        <f t="array" ref="DA552">SUM(IF(CW552:CX552&gt;=CX552, 1))</f>
        <v>1</v>
      </c>
      <c r="DC552" s="109">
        <f t="shared" si="233"/>
        <v>-1763471.1801012564</v>
      </c>
      <c r="DD552" s="109">
        <f t="shared" si="234"/>
        <v>0</v>
      </c>
      <c r="DF552" s="58">
        <f t="array" ref="DF552">SUM(IF(DC552:DD552&gt;=DC552, 1))</f>
        <v>2</v>
      </c>
      <c r="DG552" s="58">
        <f t="array" ref="DG552">SUM(IF(DC552:DD552&gt;=DD552, 1))</f>
        <v>1</v>
      </c>
      <c r="DI552" s="109">
        <f t="shared" si="235"/>
        <v>-104017211.52153611</v>
      </c>
      <c r="DJ552" s="109">
        <f t="shared" si="236"/>
        <v>0</v>
      </c>
      <c r="DL552" s="58">
        <f t="array" ref="DL552">SUM(IF(DI552:DJ552&gt;=DI552, 1))</f>
        <v>2</v>
      </c>
      <c r="DM552" s="58">
        <f t="array" ref="DM552">SUM(IF(DI552:DJ552&gt;=DJ552, 1))</f>
        <v>1</v>
      </c>
      <c r="DO552" s="109">
        <f t="shared" si="237"/>
        <v>-10664815.206138385</v>
      </c>
      <c r="DP552" s="109">
        <f t="shared" si="238"/>
        <v>0</v>
      </c>
      <c r="DR552" s="58">
        <f t="array" ref="DR552">SUM(IF(DO552:DP552&gt;=DO552, 1))</f>
        <v>2</v>
      </c>
      <c r="DS552" s="58">
        <f t="array" ref="DS552">SUM(IF(DO552:DP552&gt;=DP552, 1))</f>
        <v>1</v>
      </c>
      <c r="DU552" s="109">
        <f t="shared" si="239"/>
        <v>-16000357.409147123</v>
      </c>
      <c r="DV552" s="109">
        <f t="shared" si="240"/>
        <v>0</v>
      </c>
      <c r="DX552" s="58">
        <f t="array" ref="DX552">SUM(IF(DU552:DV552&gt;=DU552, 1))</f>
        <v>2</v>
      </c>
      <c r="DY552" s="58">
        <f t="array" ref="DY552">SUM(IF(DU552:DV552&gt;=DV552, 1))</f>
        <v>1</v>
      </c>
      <c r="EA552" s="109">
        <f t="shared" si="241"/>
        <v>-166668367.37647754</v>
      </c>
      <c r="EB552" s="109">
        <f t="shared" si="242"/>
        <v>0</v>
      </c>
      <c r="ED552" s="58">
        <f t="array" ref="ED552">SUM(IF(EA552:EB552&gt;=EA552, 1))</f>
        <v>2</v>
      </c>
      <c r="EE552" s="58">
        <f t="array" ref="EE552">SUM(IF(EA552:EB552&gt;=EB552, 1))</f>
        <v>1</v>
      </c>
    </row>
    <row r="553" spans="4:135" ht="12" customHeight="1" x14ac:dyDescent="0.25">
      <c r="D553" s="11">
        <v>537</v>
      </c>
      <c r="E553" s="72">
        <v>219.85465318388708</v>
      </c>
      <c r="F553" s="72">
        <v>201.63115545732785</v>
      </c>
      <c r="G553" s="73"/>
      <c r="H553" s="74">
        <v>5.8551202575840753</v>
      </c>
      <c r="I553" s="74">
        <v>5.8733311173874325</v>
      </c>
      <c r="J553" s="73"/>
      <c r="K553" s="72">
        <v>236.12016631447312</v>
      </c>
      <c r="L553" s="72">
        <v>217.45770000874822</v>
      </c>
      <c r="M553" s="73"/>
      <c r="N553" s="74">
        <v>6.6895804518235753</v>
      </c>
      <c r="O553" s="74">
        <v>6.7056511565496155</v>
      </c>
      <c r="P553" s="73"/>
      <c r="Q553" s="72">
        <v>1727.5196910303191</v>
      </c>
      <c r="R553" s="72">
        <v>1329.2793648876695</v>
      </c>
      <c r="S553" s="73"/>
      <c r="T553" s="74">
        <v>4.825754198857295</v>
      </c>
      <c r="U553" s="74">
        <v>4.8711297491323036</v>
      </c>
      <c r="V553" s="73"/>
      <c r="W553" s="72">
        <v>15936.868892872277</v>
      </c>
      <c r="X553" s="72">
        <v>15878.130288811086</v>
      </c>
      <c r="Y553" s="73"/>
      <c r="Z553" s="74">
        <v>2.8485272718782011</v>
      </c>
      <c r="AA553" s="74">
        <v>2.8845804577891658</v>
      </c>
      <c r="AB553" s="73"/>
      <c r="AC553" s="72">
        <v>49895.435277950397</v>
      </c>
      <c r="AD553" s="72">
        <v>49839.679701878864</v>
      </c>
      <c r="AE553" s="73"/>
      <c r="AF553" s="74">
        <v>4.5951247162351017</v>
      </c>
      <c r="AG553" s="74">
        <v>4.7100839299151218</v>
      </c>
      <c r="AH553" s="73"/>
      <c r="AI553" s="72">
        <v>1952826.9817501951</v>
      </c>
      <c r="AJ553" s="72">
        <v>0</v>
      </c>
      <c r="AK553" s="73"/>
      <c r="AL553" s="74">
        <v>-1951.472704004372</v>
      </c>
      <c r="AM553" s="74">
        <v>0</v>
      </c>
      <c r="AN553" s="73"/>
      <c r="AO553" s="72">
        <v>128875.31410325003</v>
      </c>
      <c r="AP553" s="72">
        <v>0</v>
      </c>
      <c r="AQ553" s="73"/>
      <c r="AR553" s="74">
        <v>-110.97767494930085</v>
      </c>
      <c r="AS553" s="74">
        <v>0</v>
      </c>
      <c r="AT553" s="73"/>
      <c r="AU553" s="72">
        <v>9225794.7043977901</v>
      </c>
      <c r="AV553" s="72">
        <v>0</v>
      </c>
      <c r="AW553" s="73"/>
      <c r="AX553" s="74">
        <v>-1051.1881493547155</v>
      </c>
      <c r="AY553" s="74">
        <v>0</v>
      </c>
      <c r="AZ553" s="73"/>
      <c r="BA553" s="72">
        <v>515159.84341644141</v>
      </c>
      <c r="BB553" s="72">
        <v>0</v>
      </c>
      <c r="BC553" s="73"/>
      <c r="BD553" s="74">
        <v>-316.20011924709456</v>
      </c>
      <c r="BE553" s="74">
        <v>0</v>
      </c>
      <c r="BF553" s="73"/>
      <c r="BG553" s="72">
        <v>867402.43899519905</v>
      </c>
      <c r="BH553" s="72">
        <v>0</v>
      </c>
      <c r="BI553" s="73"/>
      <c r="BJ553" s="74">
        <v>-1788.4471716889175</v>
      </c>
      <c r="BK553" s="74">
        <v>0</v>
      </c>
      <c r="BL553" s="73"/>
      <c r="BM553" s="72">
        <v>12690059.282662876</v>
      </c>
      <c r="BN553" s="72">
        <v>0</v>
      </c>
      <c r="BO553" s="73"/>
      <c r="BP553" s="74">
        <v>-5218.2858192444</v>
      </c>
      <c r="BQ553" s="74">
        <v>0</v>
      </c>
      <c r="BS553" s="109">
        <f t="shared" si="222"/>
        <v>116882.55049849763</v>
      </c>
      <c r="BT553" s="109">
        <f t="shared" si="223"/>
        <v>117264.99119229132</v>
      </c>
      <c r="BV553" s="58">
        <f t="array" ref="BV553">SUM(IF(BS553:BT553&gt;=BS553, 1))</f>
        <v>2</v>
      </c>
      <c r="BW553" s="58">
        <f t="array" ref="BW553">SUM(IF(BS553:BT553&gt;=BT553, 1))</f>
        <v>1</v>
      </c>
      <c r="BY553" s="109">
        <f t="shared" si="224"/>
        <v>133555.48887015705</v>
      </c>
      <c r="BZ553" s="109">
        <f t="shared" si="225"/>
        <v>133895.56543098355</v>
      </c>
      <c r="CB553" s="58">
        <f t="array" ref="CB553">SUM(IF(BY553:BZ553&gt;=BY553, 1))</f>
        <v>2</v>
      </c>
      <c r="CC553" s="58">
        <f t="array" ref="CC553">SUM(IF(BY553:BZ553&gt;=BZ553, 1))</f>
        <v>1</v>
      </c>
      <c r="CE553" s="109">
        <f t="shared" si="226"/>
        <v>94787.564286115579</v>
      </c>
      <c r="CF553" s="109">
        <f t="shared" si="227"/>
        <v>96093.315617758402</v>
      </c>
      <c r="CH553" s="58">
        <f t="array" ref="CH553">SUM(IF(CE553:CF553&gt;=CE553, 1))</f>
        <v>2</v>
      </c>
      <c r="CI553" s="58">
        <f t="array" ref="CI553">SUM(IF(CE553:CF553&gt;=CF553, 1))</f>
        <v>1</v>
      </c>
      <c r="CK553" s="109">
        <f t="shared" si="228"/>
        <v>41033.676544691742</v>
      </c>
      <c r="CL553" s="109">
        <f t="shared" si="229"/>
        <v>41813.478866972226</v>
      </c>
      <c r="CN553" s="58">
        <f t="array" ref="CN553">SUM(IF(CK553:CL553&gt;=CK553, 1))</f>
        <v>2</v>
      </c>
      <c r="CO553" s="58">
        <f t="array" ref="CO553">SUM(IF(CK553:CL553&gt;=CL553, 1))</f>
        <v>1</v>
      </c>
      <c r="CQ553" s="109" cm="1">
        <f t="array" ref="CQ553">AF553*WTP-AC553</f>
        <v>42007.05904675163</v>
      </c>
      <c r="CR553" s="109">
        <f t="shared" si="230"/>
        <v>44361.998896423567</v>
      </c>
      <c r="CT553" s="58">
        <f t="array" ref="CT553">SUM(IF(CQ553:CR553&gt;=CQ553, 1))</f>
        <v>2</v>
      </c>
      <c r="CU553" s="58">
        <f t="array" ref="CU553">SUM(IF(CQ553:CR553&gt;=CR553, 1))</f>
        <v>1</v>
      </c>
      <c r="CW553" s="109">
        <f t="shared" si="231"/>
        <v>-40982281.061837636</v>
      </c>
      <c r="CX553" s="109">
        <f t="shared" si="232"/>
        <v>0</v>
      </c>
      <c r="CZ553" s="58">
        <f t="array" ref="CZ553">SUM(IF(CW553:CX553&gt;=CW553, 1))</f>
        <v>2</v>
      </c>
      <c r="DA553" s="58">
        <f t="array" ref="DA553">SUM(IF(CW553:CX553&gt;=CX553, 1))</f>
        <v>1</v>
      </c>
      <c r="DC553" s="109">
        <f t="shared" si="233"/>
        <v>-2348428.8130892669</v>
      </c>
      <c r="DD553" s="109">
        <f t="shared" si="234"/>
        <v>0</v>
      </c>
      <c r="DF553" s="58">
        <f t="array" ref="DF553">SUM(IF(DC553:DD553&gt;=DC553, 1))</f>
        <v>2</v>
      </c>
      <c r="DG553" s="58">
        <f t="array" ref="DG553">SUM(IF(DC553:DD553&gt;=DD553, 1))</f>
        <v>1</v>
      </c>
      <c r="DI553" s="109">
        <f t="shared" si="235"/>
        <v>-30249557.691492099</v>
      </c>
      <c r="DJ553" s="109">
        <f t="shared" si="236"/>
        <v>0</v>
      </c>
      <c r="DL553" s="58">
        <f t="array" ref="DL553">SUM(IF(DI553:DJ553&gt;=DI553, 1))</f>
        <v>2</v>
      </c>
      <c r="DM553" s="58">
        <f t="array" ref="DM553">SUM(IF(DI553:DJ553&gt;=DJ553, 1))</f>
        <v>1</v>
      </c>
      <c r="DO553" s="109">
        <f t="shared" si="237"/>
        <v>-6839162.2283583321</v>
      </c>
      <c r="DP553" s="109">
        <f t="shared" si="238"/>
        <v>0</v>
      </c>
      <c r="DR553" s="58">
        <f t="array" ref="DR553">SUM(IF(DO553:DP553&gt;=DO553, 1))</f>
        <v>2</v>
      </c>
      <c r="DS553" s="58">
        <f t="array" ref="DS553">SUM(IF(DO553:DP553&gt;=DP553, 1))</f>
        <v>1</v>
      </c>
      <c r="DU553" s="109">
        <f t="shared" si="239"/>
        <v>-36636345.87277355</v>
      </c>
      <c r="DV553" s="109">
        <f t="shared" si="240"/>
        <v>0</v>
      </c>
      <c r="DX553" s="58">
        <f t="array" ref="DX553">SUM(IF(DU553:DV553&gt;=DU553, 1))</f>
        <v>2</v>
      </c>
      <c r="DY553" s="58">
        <f t="array" ref="DY553">SUM(IF(DU553:DV553&gt;=DV553, 1))</f>
        <v>1</v>
      </c>
      <c r="EA553" s="109">
        <f t="shared" si="241"/>
        <v>-117055775.66755089</v>
      </c>
      <c r="EB553" s="109">
        <f t="shared" si="242"/>
        <v>0</v>
      </c>
      <c r="ED553" s="58">
        <f t="array" ref="ED553">SUM(IF(EA553:EB553&gt;=EA553, 1))</f>
        <v>2</v>
      </c>
      <c r="EE553" s="58">
        <f t="array" ref="EE553">SUM(IF(EA553:EB553&gt;=EB553, 1))</f>
        <v>1</v>
      </c>
    </row>
    <row r="554" spans="4:135" ht="12" customHeight="1" x14ac:dyDescent="0.25">
      <c r="D554" s="11">
        <v>538</v>
      </c>
      <c r="E554" s="72">
        <v>277.12150676536311</v>
      </c>
      <c r="F554" s="72">
        <v>259.5500821361573</v>
      </c>
      <c r="G554" s="73"/>
      <c r="H554" s="74">
        <v>5.837559941552902</v>
      </c>
      <c r="I554" s="74">
        <v>5.8526524068638794</v>
      </c>
      <c r="J554" s="73"/>
      <c r="K554" s="72">
        <v>297.86830148249993</v>
      </c>
      <c r="L554" s="72">
        <v>279.86821051180272</v>
      </c>
      <c r="M554" s="73"/>
      <c r="N554" s="74">
        <v>6.7344221454469677</v>
      </c>
      <c r="O554" s="74">
        <v>6.747510460713861</v>
      </c>
      <c r="P554" s="73"/>
      <c r="Q554" s="72">
        <v>1896.2150151171772</v>
      </c>
      <c r="R554" s="72">
        <v>1174.1713148134529</v>
      </c>
      <c r="S554" s="73"/>
      <c r="T554" s="74">
        <v>4.8990048189845545</v>
      </c>
      <c r="U554" s="74">
        <v>5.007332043373915</v>
      </c>
      <c r="V554" s="73"/>
      <c r="W554" s="72">
        <v>15950.560435772864</v>
      </c>
      <c r="X554" s="72">
        <v>16040.533353604049</v>
      </c>
      <c r="Y554" s="73"/>
      <c r="Z554" s="74">
        <v>3.170599818594916</v>
      </c>
      <c r="AA554" s="74">
        <v>3.2336080422384121</v>
      </c>
      <c r="AB554" s="73"/>
      <c r="AC554" s="72">
        <v>50560.298804150458</v>
      </c>
      <c r="AD554" s="72">
        <v>50333.190289700055</v>
      </c>
      <c r="AE554" s="73"/>
      <c r="AF554" s="74">
        <v>4.2827148939683424</v>
      </c>
      <c r="AG554" s="74">
        <v>4.3644521843715971</v>
      </c>
      <c r="AH554" s="73"/>
      <c r="AI554" s="72">
        <v>1896975.5594662891</v>
      </c>
      <c r="AJ554" s="72">
        <v>0</v>
      </c>
      <c r="AK554" s="73"/>
      <c r="AL554" s="74">
        <v>-1629.3521118048895</v>
      </c>
      <c r="AM554" s="74">
        <v>0</v>
      </c>
      <c r="AN554" s="73"/>
      <c r="AO554" s="72">
        <v>123336.62266183691</v>
      </c>
      <c r="AP554" s="72">
        <v>0</v>
      </c>
      <c r="AQ554" s="73"/>
      <c r="AR554" s="74">
        <v>-89.681135722029339</v>
      </c>
      <c r="AS554" s="74">
        <v>0</v>
      </c>
      <c r="AT554" s="73"/>
      <c r="AU554" s="72">
        <v>16482098.539755249</v>
      </c>
      <c r="AV554" s="72">
        <v>0</v>
      </c>
      <c r="AW554" s="73"/>
      <c r="AX554" s="74">
        <v>-2472.7866002744327</v>
      </c>
      <c r="AY554" s="74">
        <v>0</v>
      </c>
      <c r="AZ554" s="73"/>
      <c r="BA554" s="72">
        <v>-767730.77057620604</v>
      </c>
      <c r="BB554" s="72">
        <v>0</v>
      </c>
      <c r="BC554" s="73"/>
      <c r="BD554" s="74">
        <v>-537.64347379754577</v>
      </c>
      <c r="BE554" s="74">
        <v>0</v>
      </c>
      <c r="BF554" s="73"/>
      <c r="BG554" s="72">
        <v>3636686.1060799332</v>
      </c>
      <c r="BH554" s="72">
        <v>0</v>
      </c>
      <c r="BI554" s="73"/>
      <c r="BJ554" s="74">
        <v>-1308.8583185772736</v>
      </c>
      <c r="BK554" s="74">
        <v>0</v>
      </c>
      <c r="BL554" s="73"/>
      <c r="BM554" s="72">
        <v>21371366.057387102</v>
      </c>
      <c r="BN554" s="72">
        <v>0</v>
      </c>
      <c r="BO554" s="73"/>
      <c r="BP554" s="74">
        <v>-6038.3216401761711</v>
      </c>
      <c r="BQ554" s="74">
        <v>0</v>
      </c>
      <c r="BS554" s="109">
        <f t="shared" si="222"/>
        <v>116474.07732429267</v>
      </c>
      <c r="BT554" s="109">
        <f t="shared" si="223"/>
        <v>116793.49805514142</v>
      </c>
      <c r="BV554" s="58">
        <f t="array" ref="BV554">SUM(IF(BS554:BT554&gt;=BS554, 1))</f>
        <v>2</v>
      </c>
      <c r="BW554" s="58">
        <f t="array" ref="BW554">SUM(IF(BS554:BT554&gt;=BT554, 1))</f>
        <v>1</v>
      </c>
      <c r="BY554" s="109">
        <f t="shared" si="224"/>
        <v>134390.57460745686</v>
      </c>
      <c r="BZ554" s="109">
        <f t="shared" si="225"/>
        <v>134670.34100376541</v>
      </c>
      <c r="CB554" s="58">
        <f t="array" ref="CB554">SUM(IF(BY554:BZ554&gt;=BY554, 1))</f>
        <v>2</v>
      </c>
      <c r="CC554" s="58">
        <f t="array" ref="CC554">SUM(IF(BY554:BZ554&gt;=BZ554, 1))</f>
        <v>1</v>
      </c>
      <c r="CE554" s="109">
        <f t="shared" si="226"/>
        <v>96083.881364573914</v>
      </c>
      <c r="CF554" s="109">
        <f t="shared" si="227"/>
        <v>98972.469552664843</v>
      </c>
      <c r="CH554" s="58">
        <f t="array" ref="CH554">SUM(IF(CE554:CF554&gt;=CE554, 1))</f>
        <v>2</v>
      </c>
      <c r="CI554" s="58">
        <f t="array" ref="CI554">SUM(IF(CE554:CF554&gt;=CF554, 1))</f>
        <v>1</v>
      </c>
      <c r="CK554" s="109">
        <f t="shared" si="228"/>
        <v>47461.435936125454</v>
      </c>
      <c r="CL554" s="109">
        <f t="shared" si="229"/>
        <v>48631.627491164196</v>
      </c>
      <c r="CN554" s="58">
        <f t="array" ref="CN554">SUM(IF(CK554:CL554&gt;=CK554, 1))</f>
        <v>2</v>
      </c>
      <c r="CO554" s="58">
        <f t="array" ref="CO554">SUM(IF(CK554:CL554&gt;=CL554, 1))</f>
        <v>1</v>
      </c>
      <c r="CQ554" s="109" cm="1">
        <f t="array" ref="CQ554">AF554*WTP-AC554</f>
        <v>35093.999075216387</v>
      </c>
      <c r="CR554" s="109">
        <f t="shared" si="230"/>
        <v>36955.853397731888</v>
      </c>
      <c r="CT554" s="58">
        <f t="array" ref="CT554">SUM(IF(CQ554:CR554&gt;=CQ554, 1))</f>
        <v>2</v>
      </c>
      <c r="CU554" s="58">
        <f t="array" ref="CU554">SUM(IF(CQ554:CR554&gt;=CR554, 1))</f>
        <v>1</v>
      </c>
      <c r="CW554" s="109">
        <f t="shared" si="231"/>
        <v>-34484017.795564078</v>
      </c>
      <c r="CX554" s="109">
        <f t="shared" si="232"/>
        <v>0</v>
      </c>
      <c r="CZ554" s="58">
        <f t="array" ref="CZ554">SUM(IF(CW554:CX554&gt;=CW554, 1))</f>
        <v>2</v>
      </c>
      <c r="DA554" s="58">
        <f t="array" ref="DA554">SUM(IF(CW554:CX554&gt;=CX554, 1))</f>
        <v>1</v>
      </c>
      <c r="DC554" s="109">
        <f t="shared" si="233"/>
        <v>-1916959.3371024237</v>
      </c>
      <c r="DD554" s="109">
        <f t="shared" si="234"/>
        <v>0</v>
      </c>
      <c r="DF554" s="58">
        <f t="array" ref="DF554">SUM(IF(DC554:DD554&gt;=DC554, 1))</f>
        <v>2</v>
      </c>
      <c r="DG554" s="58">
        <f t="array" ref="DG554">SUM(IF(DC554:DD554&gt;=DD554, 1))</f>
        <v>1</v>
      </c>
      <c r="DI554" s="109">
        <f t="shared" si="235"/>
        <v>-65937830.545243904</v>
      </c>
      <c r="DJ554" s="109">
        <f t="shared" si="236"/>
        <v>0</v>
      </c>
      <c r="DL554" s="58">
        <f t="array" ref="DL554">SUM(IF(DI554:DJ554&gt;=DI554, 1))</f>
        <v>2</v>
      </c>
      <c r="DM554" s="58">
        <f t="array" ref="DM554">SUM(IF(DI554:DJ554&gt;=DJ554, 1))</f>
        <v>1</v>
      </c>
      <c r="DO554" s="109">
        <f t="shared" si="237"/>
        <v>-9985138.7053747103</v>
      </c>
      <c r="DP554" s="109">
        <f t="shared" si="238"/>
        <v>0</v>
      </c>
      <c r="DR554" s="58">
        <f t="array" ref="DR554">SUM(IF(DO554:DP554&gt;=DO554, 1))</f>
        <v>2</v>
      </c>
      <c r="DS554" s="58">
        <f t="array" ref="DS554">SUM(IF(DO554:DP554&gt;=DP554, 1))</f>
        <v>1</v>
      </c>
      <c r="DU554" s="109">
        <f t="shared" si="239"/>
        <v>-29813852.477625404</v>
      </c>
      <c r="DV554" s="109">
        <f t="shared" si="240"/>
        <v>0</v>
      </c>
      <c r="DX554" s="58">
        <f t="array" ref="DX554">SUM(IF(DU554:DV554&gt;=DU554, 1))</f>
        <v>2</v>
      </c>
      <c r="DY554" s="58">
        <f t="array" ref="DY554">SUM(IF(DU554:DV554&gt;=DV554, 1))</f>
        <v>1</v>
      </c>
      <c r="EA554" s="109">
        <f t="shared" si="241"/>
        <v>-142137798.86091053</v>
      </c>
      <c r="EB554" s="109">
        <f t="shared" si="242"/>
        <v>0</v>
      </c>
      <c r="ED554" s="58">
        <f t="array" ref="ED554">SUM(IF(EA554:EB554&gt;=EA554, 1))</f>
        <v>2</v>
      </c>
      <c r="EE554" s="58">
        <f t="array" ref="EE554">SUM(IF(EA554:EB554&gt;=EB554, 1))</f>
        <v>1</v>
      </c>
    </row>
    <row r="555" spans="4:135" ht="12" customHeight="1" x14ac:dyDescent="0.25">
      <c r="D555" s="11">
        <v>539</v>
      </c>
      <c r="E555" s="72">
        <v>288.39113609952699</v>
      </c>
      <c r="F555" s="72">
        <v>269.48013653367912</v>
      </c>
      <c r="G555" s="73"/>
      <c r="H555" s="74">
        <v>5.8428561130488319</v>
      </c>
      <c r="I555" s="74">
        <v>5.8555323332752165</v>
      </c>
      <c r="J555" s="73"/>
      <c r="K555" s="72">
        <v>309.93743443648606</v>
      </c>
      <c r="L555" s="72">
        <v>290.54749233195002</v>
      </c>
      <c r="M555" s="73"/>
      <c r="N555" s="74">
        <v>6.6774685398501177</v>
      </c>
      <c r="O555" s="74">
        <v>6.6879801342543246</v>
      </c>
      <c r="P555" s="73"/>
      <c r="Q555" s="72">
        <v>2781.6316595575863</v>
      </c>
      <c r="R555" s="72">
        <v>1558.3033313080227</v>
      </c>
      <c r="S555" s="73"/>
      <c r="T555" s="74">
        <v>4.7713433129570779</v>
      </c>
      <c r="U555" s="74">
        <v>4.8727739314589753</v>
      </c>
      <c r="V555" s="73"/>
      <c r="W555" s="72">
        <v>18089.25740524237</v>
      </c>
      <c r="X555" s="72">
        <v>18113.358403919839</v>
      </c>
      <c r="Y555" s="73"/>
      <c r="Z555" s="74">
        <v>3.0635556280003104</v>
      </c>
      <c r="AA555" s="74">
        <v>3.1228580431091184</v>
      </c>
      <c r="AB555" s="73"/>
      <c r="AC555" s="72">
        <v>50507.327450987737</v>
      </c>
      <c r="AD555" s="72">
        <v>49909.035923437521</v>
      </c>
      <c r="AE555" s="73"/>
      <c r="AF555" s="74">
        <v>4.7454412396188239</v>
      </c>
      <c r="AG555" s="74">
        <v>4.9076296353934659</v>
      </c>
      <c r="AH555" s="73"/>
      <c r="AI555" s="72">
        <v>2036230.6045608933</v>
      </c>
      <c r="AJ555" s="72">
        <v>0</v>
      </c>
      <c r="AK555" s="73"/>
      <c r="AL555" s="74">
        <v>-1364.9044560147161</v>
      </c>
      <c r="AM555" s="74">
        <v>0</v>
      </c>
      <c r="AN555" s="73"/>
      <c r="AO555" s="72">
        <v>135617.12607123048</v>
      </c>
      <c r="AP555" s="72">
        <v>0</v>
      </c>
      <c r="AQ555" s="73"/>
      <c r="AR555" s="74">
        <v>-73.520189789090622</v>
      </c>
      <c r="AS555" s="74">
        <v>0</v>
      </c>
      <c r="AT555" s="73"/>
      <c r="AU555" s="72">
        <v>28305597.464772962</v>
      </c>
      <c r="AV555" s="72">
        <v>0</v>
      </c>
      <c r="AW555" s="73"/>
      <c r="AX555" s="74">
        <v>-2346.9204396057721</v>
      </c>
      <c r="AY555" s="74">
        <v>0</v>
      </c>
      <c r="AZ555" s="73"/>
      <c r="BA555" s="72">
        <v>-214600.02539351737</v>
      </c>
      <c r="BB555" s="72">
        <v>0</v>
      </c>
      <c r="BC555" s="73"/>
      <c r="BD555" s="74">
        <v>-528.04035046663728</v>
      </c>
      <c r="BE555" s="74">
        <v>0</v>
      </c>
      <c r="BF555" s="73"/>
      <c r="BG555" s="72">
        <v>9518414.866292743</v>
      </c>
      <c r="BH555" s="72">
        <v>0</v>
      </c>
      <c r="BI555" s="73"/>
      <c r="BJ555" s="74">
        <v>-2580.3080377934134</v>
      </c>
      <c r="BK555" s="74">
        <v>0</v>
      </c>
      <c r="BL555" s="73"/>
      <c r="BM555" s="72">
        <v>39781260.03630431</v>
      </c>
      <c r="BN555" s="72">
        <v>0</v>
      </c>
      <c r="BO555" s="73"/>
      <c r="BP555" s="74">
        <v>-6893.6934736696294</v>
      </c>
      <c r="BQ555" s="74">
        <v>0</v>
      </c>
      <c r="BS555" s="109">
        <f t="shared" si="222"/>
        <v>116568.73112487711</v>
      </c>
      <c r="BT555" s="109">
        <f t="shared" si="223"/>
        <v>116841.16652897066</v>
      </c>
      <c r="BV555" s="58">
        <f t="array" ref="BV555">SUM(IF(BS555:BT555&gt;=BS555, 1))</f>
        <v>2</v>
      </c>
      <c r="BW555" s="58">
        <f t="array" ref="BW555">SUM(IF(BS555:BT555&gt;=BT555, 1))</f>
        <v>1</v>
      </c>
      <c r="BY555" s="109">
        <f t="shared" si="224"/>
        <v>133239.43336256588</v>
      </c>
      <c r="BZ555" s="109">
        <f t="shared" si="225"/>
        <v>133469.05519275455</v>
      </c>
      <c r="CB555" s="58">
        <f t="array" ref="CB555">SUM(IF(BY555:BZ555&gt;=BY555, 1))</f>
        <v>2</v>
      </c>
      <c r="CC555" s="58">
        <f t="array" ref="CC555">SUM(IF(BY555:BZ555&gt;=BZ555, 1))</f>
        <v>1</v>
      </c>
      <c r="CE555" s="109">
        <f t="shared" si="226"/>
        <v>92645.234599583971</v>
      </c>
      <c r="CF555" s="109">
        <f t="shared" si="227"/>
        <v>95897.175297871479</v>
      </c>
      <c r="CH555" s="58">
        <f t="array" ref="CH555">SUM(IF(CE555:CF555&gt;=CE555, 1))</f>
        <v>2</v>
      </c>
      <c r="CI555" s="58">
        <f t="array" ref="CI555">SUM(IF(CE555:CF555&gt;=CF555, 1))</f>
        <v>1</v>
      </c>
      <c r="CK555" s="109">
        <f t="shared" si="228"/>
        <v>43181.855154763834</v>
      </c>
      <c r="CL555" s="109">
        <f t="shared" si="229"/>
        <v>44343.802458262529</v>
      </c>
      <c r="CN555" s="58">
        <f t="array" ref="CN555">SUM(IF(CK555:CL555&gt;=CK555, 1))</f>
        <v>2</v>
      </c>
      <c r="CO555" s="58">
        <f t="array" ref="CO555">SUM(IF(CK555:CL555&gt;=CL555, 1))</f>
        <v>1</v>
      </c>
      <c r="CQ555" s="109" cm="1">
        <f t="array" ref="CQ555">AF555*WTP-AC555</f>
        <v>44401.497341388735</v>
      </c>
      <c r="CR555" s="109">
        <f t="shared" si="230"/>
        <v>48243.556784431799</v>
      </c>
      <c r="CT555" s="58">
        <f t="array" ref="CT555">SUM(IF(CQ555:CR555&gt;=CQ555, 1))</f>
        <v>2</v>
      </c>
      <c r="CU555" s="58">
        <f t="array" ref="CU555">SUM(IF(CQ555:CR555&gt;=CR555, 1))</f>
        <v>1</v>
      </c>
      <c r="CW555" s="109">
        <f t="shared" si="231"/>
        <v>-29334319.724855214</v>
      </c>
      <c r="CX555" s="109">
        <f t="shared" si="232"/>
        <v>0</v>
      </c>
      <c r="CZ555" s="58">
        <f t="array" ref="CZ555">SUM(IF(CW555:CX555&gt;=CW555, 1))</f>
        <v>2</v>
      </c>
      <c r="DA555" s="58">
        <f t="array" ref="DA555">SUM(IF(CW555:CX555&gt;=CX555, 1))</f>
        <v>1</v>
      </c>
      <c r="DC555" s="109">
        <f t="shared" si="233"/>
        <v>-1606020.9218530429</v>
      </c>
      <c r="DD555" s="109">
        <f t="shared" si="234"/>
        <v>0</v>
      </c>
      <c r="DF555" s="58">
        <f t="array" ref="DF555">SUM(IF(DC555:DD555&gt;=DC555, 1))</f>
        <v>2</v>
      </c>
      <c r="DG555" s="58">
        <f t="array" ref="DG555">SUM(IF(DC555:DD555&gt;=DD555, 1))</f>
        <v>1</v>
      </c>
      <c r="DI555" s="109">
        <f t="shared" si="235"/>
        <v>-75244006.256888404</v>
      </c>
      <c r="DJ555" s="109">
        <f t="shared" si="236"/>
        <v>0</v>
      </c>
      <c r="DL555" s="58">
        <f t="array" ref="DL555">SUM(IF(DI555:DJ555&gt;=DI555, 1))</f>
        <v>2</v>
      </c>
      <c r="DM555" s="58">
        <f t="array" ref="DM555">SUM(IF(DI555:DJ555&gt;=DJ555, 1))</f>
        <v>1</v>
      </c>
      <c r="DO555" s="109">
        <f t="shared" si="237"/>
        <v>-10346206.983939229</v>
      </c>
      <c r="DP555" s="109">
        <f t="shared" si="238"/>
        <v>0</v>
      </c>
      <c r="DR555" s="58">
        <f t="array" ref="DR555">SUM(IF(DO555:DP555&gt;=DO555, 1))</f>
        <v>2</v>
      </c>
      <c r="DS555" s="58">
        <f t="array" ref="DS555">SUM(IF(DO555:DP555&gt;=DP555, 1))</f>
        <v>1</v>
      </c>
      <c r="DU555" s="109">
        <f t="shared" si="239"/>
        <v>-61124575.622161016</v>
      </c>
      <c r="DV555" s="109">
        <f t="shared" si="240"/>
        <v>0</v>
      </c>
      <c r="DX555" s="58">
        <f t="array" ref="DX555">SUM(IF(DU555:DV555&gt;=DU555, 1))</f>
        <v>2</v>
      </c>
      <c r="DY555" s="58">
        <f t="array" ref="DY555">SUM(IF(DU555:DV555&gt;=DV555, 1))</f>
        <v>1</v>
      </c>
      <c r="EA555" s="109">
        <f t="shared" si="241"/>
        <v>-177655129.5096969</v>
      </c>
      <c r="EB555" s="109">
        <f t="shared" si="242"/>
        <v>0</v>
      </c>
      <c r="ED555" s="58">
        <f t="array" ref="ED555">SUM(IF(EA555:EB555&gt;=EA555, 1))</f>
        <v>2</v>
      </c>
      <c r="EE555" s="58">
        <f t="array" ref="EE555">SUM(IF(EA555:EB555&gt;=EB555, 1))</f>
        <v>1</v>
      </c>
    </row>
    <row r="556" spans="4:135" ht="12" customHeight="1" x14ac:dyDescent="0.25">
      <c r="D556" s="11">
        <v>540</v>
      </c>
      <c r="E556" s="72">
        <v>221.36819167315861</v>
      </c>
      <c r="F556" s="72">
        <v>205.35559740922093</v>
      </c>
      <c r="G556" s="73"/>
      <c r="H556" s="74">
        <v>5.8681608122838975</v>
      </c>
      <c r="I556" s="74">
        <v>5.8847005875190401</v>
      </c>
      <c r="J556" s="73"/>
      <c r="K556" s="72">
        <v>237.8637131544719</v>
      </c>
      <c r="L556" s="72">
        <v>221.43586009610124</v>
      </c>
      <c r="M556" s="73"/>
      <c r="N556" s="74">
        <v>6.6937195190282894</v>
      </c>
      <c r="O556" s="74">
        <v>6.7073660989016322</v>
      </c>
      <c r="P556" s="73"/>
      <c r="Q556" s="72">
        <v>3238.6243859769056</v>
      </c>
      <c r="R556" s="72">
        <v>1732.0397929364383</v>
      </c>
      <c r="S556" s="73"/>
      <c r="T556" s="74">
        <v>4.8842385171032525</v>
      </c>
      <c r="U556" s="74">
        <v>4.9870902708857026</v>
      </c>
      <c r="V556" s="73"/>
      <c r="W556" s="72">
        <v>12404.499837157568</v>
      </c>
      <c r="X556" s="72">
        <v>12395.78986878055</v>
      </c>
      <c r="Y556" s="73"/>
      <c r="Z556" s="74">
        <v>3.0339111419872307</v>
      </c>
      <c r="AA556" s="74">
        <v>3.0765352317766261</v>
      </c>
      <c r="AB556" s="73"/>
      <c r="AC556" s="72">
        <v>48384.055795422151</v>
      </c>
      <c r="AD556" s="72">
        <v>48356.299550321375</v>
      </c>
      <c r="AE556" s="73"/>
      <c r="AF556" s="74">
        <v>4.8596809122585736</v>
      </c>
      <c r="AG556" s="74">
        <v>4.9410240001897137</v>
      </c>
      <c r="AH556" s="73"/>
      <c r="AI556" s="72">
        <v>1723386.5278378574</v>
      </c>
      <c r="AJ556" s="72">
        <v>0</v>
      </c>
      <c r="AK556" s="73"/>
      <c r="AL556" s="74">
        <v>-1780.1254027841362</v>
      </c>
      <c r="AM556" s="74">
        <v>0</v>
      </c>
      <c r="AN556" s="73"/>
      <c r="AO556" s="72">
        <v>112478.36082726051</v>
      </c>
      <c r="AP556" s="72">
        <v>0</v>
      </c>
      <c r="AQ556" s="73"/>
      <c r="AR556" s="74">
        <v>-93.435516473027917</v>
      </c>
      <c r="AS556" s="74">
        <v>0</v>
      </c>
      <c r="AT556" s="73"/>
      <c r="AU556" s="72">
        <v>34911841.300240532</v>
      </c>
      <c r="AV556" s="72">
        <v>0</v>
      </c>
      <c r="AW556" s="73"/>
      <c r="AX556" s="74">
        <v>-2383.3670688598777</v>
      </c>
      <c r="AY556" s="74">
        <v>0</v>
      </c>
      <c r="AZ556" s="73"/>
      <c r="BA556" s="72">
        <v>80686.318909762063</v>
      </c>
      <c r="BB556" s="72">
        <v>0</v>
      </c>
      <c r="BC556" s="73"/>
      <c r="BD556" s="74">
        <v>-394.85572772689579</v>
      </c>
      <c r="BE556" s="74">
        <v>0</v>
      </c>
      <c r="BF556" s="73"/>
      <c r="BG556" s="72">
        <v>433249.99075160909</v>
      </c>
      <c r="BH556" s="72">
        <v>0</v>
      </c>
      <c r="BI556" s="73"/>
      <c r="BJ556" s="74">
        <v>-1269.6923508896493</v>
      </c>
      <c r="BK556" s="74">
        <v>0</v>
      </c>
      <c r="BL556" s="73"/>
      <c r="BM556" s="72">
        <v>37261642.498567022</v>
      </c>
      <c r="BN556" s="72">
        <v>0</v>
      </c>
      <c r="BO556" s="73"/>
      <c r="BP556" s="74">
        <v>-5921.4760667335868</v>
      </c>
      <c r="BQ556" s="74">
        <v>0</v>
      </c>
      <c r="BS556" s="109">
        <f t="shared" si="222"/>
        <v>117141.84805400479</v>
      </c>
      <c r="BT556" s="109">
        <f t="shared" si="223"/>
        <v>117488.65615297158</v>
      </c>
      <c r="BV556" s="58">
        <f t="array" ref="BV556">SUM(IF(BS556:BT556&gt;=BS556, 1))</f>
        <v>2</v>
      </c>
      <c r="BW556" s="58">
        <f t="array" ref="BW556">SUM(IF(BS556:BT556&gt;=BT556, 1))</f>
        <v>1</v>
      </c>
      <c r="BY556" s="109">
        <f t="shared" si="224"/>
        <v>133636.52666741129</v>
      </c>
      <c r="BZ556" s="109">
        <f t="shared" si="225"/>
        <v>133925.88611793655</v>
      </c>
      <c r="CB556" s="58">
        <f t="array" ref="CB556">SUM(IF(BY556:BZ556&gt;=BY556, 1))</f>
        <v>2</v>
      </c>
      <c r="CC556" s="58">
        <f t="array" ref="CC556">SUM(IF(BY556:BZ556&gt;=BZ556, 1))</f>
        <v>1</v>
      </c>
      <c r="CE556" s="109">
        <f t="shared" si="226"/>
        <v>94446.145956088149</v>
      </c>
      <c r="CF556" s="109">
        <f t="shared" si="227"/>
        <v>98009.765624777618</v>
      </c>
      <c r="CH556" s="58">
        <f t="array" ref="CH556">SUM(IF(CE556:CF556&gt;=CE556, 1))</f>
        <v>2</v>
      </c>
      <c r="CI556" s="58">
        <f t="array" ref="CI556">SUM(IF(CE556:CF556&gt;=CF556, 1))</f>
        <v>1</v>
      </c>
      <c r="CK556" s="109">
        <f t="shared" si="228"/>
        <v>48273.723002587052</v>
      </c>
      <c r="CL556" s="109">
        <f t="shared" si="229"/>
        <v>49134.914766751972</v>
      </c>
      <c r="CN556" s="58">
        <f t="array" ref="CN556">SUM(IF(CK556:CL556&gt;=CK556, 1))</f>
        <v>2</v>
      </c>
      <c r="CO556" s="58">
        <f t="array" ref="CO556">SUM(IF(CK556:CL556&gt;=CL556, 1))</f>
        <v>1</v>
      </c>
      <c r="CQ556" s="109" cm="1">
        <f t="array" ref="CQ556">AF556*WTP-AC556</f>
        <v>48809.562449749319</v>
      </c>
      <c r="CR556" s="109">
        <f t="shared" si="230"/>
        <v>50464.180453472902</v>
      </c>
      <c r="CT556" s="58">
        <f t="array" ref="CT556">SUM(IF(CQ556:CR556&gt;=CQ556, 1))</f>
        <v>2</v>
      </c>
      <c r="CU556" s="58">
        <f t="array" ref="CU556">SUM(IF(CQ556:CR556&gt;=CR556, 1))</f>
        <v>1</v>
      </c>
      <c r="CW556" s="109">
        <f t="shared" si="231"/>
        <v>-37325894.583520584</v>
      </c>
      <c r="CX556" s="109">
        <f t="shared" si="232"/>
        <v>0</v>
      </c>
      <c r="CZ556" s="58">
        <f t="array" ref="CZ556">SUM(IF(CW556:CX556&gt;=CW556, 1))</f>
        <v>2</v>
      </c>
      <c r="DA556" s="58">
        <f t="array" ref="DA556">SUM(IF(CW556:CX556&gt;=CX556, 1))</f>
        <v>1</v>
      </c>
      <c r="DC556" s="109">
        <f t="shared" si="233"/>
        <v>-1981188.6902878187</v>
      </c>
      <c r="DD556" s="109">
        <f t="shared" si="234"/>
        <v>0</v>
      </c>
      <c r="DF556" s="58">
        <f t="array" ref="DF556">SUM(IF(DC556:DD556&gt;=DC556, 1))</f>
        <v>2</v>
      </c>
      <c r="DG556" s="58">
        <f t="array" ref="DG556">SUM(IF(DC556:DD556&gt;=DD556, 1))</f>
        <v>1</v>
      </c>
      <c r="DI556" s="109">
        <f t="shared" si="235"/>
        <v>-82579182.67743808</v>
      </c>
      <c r="DJ556" s="109">
        <f t="shared" si="236"/>
        <v>0</v>
      </c>
      <c r="DL556" s="58">
        <f t="array" ref="DL556">SUM(IF(DI556:DJ556&gt;=DI556, 1))</f>
        <v>2</v>
      </c>
      <c r="DM556" s="58">
        <f t="array" ref="DM556">SUM(IF(DI556:DJ556&gt;=DJ556, 1))</f>
        <v>1</v>
      </c>
      <c r="DO556" s="109">
        <f t="shared" si="237"/>
        <v>-7977800.8734476781</v>
      </c>
      <c r="DP556" s="109">
        <f t="shared" si="238"/>
        <v>0</v>
      </c>
      <c r="DR556" s="58">
        <f t="array" ref="DR556">SUM(IF(DO556:DP556&gt;=DO556, 1))</f>
        <v>2</v>
      </c>
      <c r="DS556" s="58">
        <f t="array" ref="DS556">SUM(IF(DO556:DP556&gt;=DP556, 1))</f>
        <v>1</v>
      </c>
      <c r="DU556" s="109">
        <f t="shared" si="239"/>
        <v>-25827097.008544594</v>
      </c>
      <c r="DV556" s="109">
        <f t="shared" si="240"/>
        <v>0</v>
      </c>
      <c r="DX556" s="58">
        <f t="array" ref="DX556">SUM(IF(DU556:DV556&gt;=DU556, 1))</f>
        <v>2</v>
      </c>
      <c r="DY556" s="58">
        <f t="array" ref="DY556">SUM(IF(DU556:DV556&gt;=DV556, 1))</f>
        <v>1</v>
      </c>
      <c r="EA556" s="109">
        <f t="shared" si="241"/>
        <v>-155691163.83323875</v>
      </c>
      <c r="EB556" s="109">
        <f t="shared" si="242"/>
        <v>0</v>
      </c>
      <c r="ED556" s="58">
        <f t="array" ref="ED556">SUM(IF(EA556:EB556&gt;=EA556, 1))</f>
        <v>2</v>
      </c>
      <c r="EE556" s="58">
        <f t="array" ref="EE556">SUM(IF(EA556:EB556&gt;=EB556, 1))</f>
        <v>1</v>
      </c>
    </row>
    <row r="557" spans="4:135" ht="12" customHeight="1" x14ac:dyDescent="0.25">
      <c r="D557" s="11">
        <v>541</v>
      </c>
      <c r="E557" s="72">
        <v>216.22112984790073</v>
      </c>
      <c r="F557" s="72">
        <v>203.16493391675851</v>
      </c>
      <c r="G557" s="73"/>
      <c r="H557" s="74">
        <v>5.8681366803380275</v>
      </c>
      <c r="I557" s="74">
        <v>5.8879771878596951</v>
      </c>
      <c r="J557" s="73"/>
      <c r="K557" s="72">
        <v>232.47677871696504</v>
      </c>
      <c r="L557" s="72">
        <v>219.10327448936286</v>
      </c>
      <c r="M557" s="73"/>
      <c r="N557" s="74">
        <v>6.7022930181697511</v>
      </c>
      <c r="O557" s="74">
        <v>6.7201040324636798</v>
      </c>
      <c r="P557" s="73"/>
      <c r="Q557" s="72">
        <v>3056.0833068203524</v>
      </c>
      <c r="R557" s="72">
        <v>2090.056238107793</v>
      </c>
      <c r="S557" s="73"/>
      <c r="T557" s="74">
        <v>4.9862849588721216</v>
      </c>
      <c r="U557" s="74">
        <v>5.0514631727751116</v>
      </c>
      <c r="V557" s="73"/>
      <c r="W557" s="72">
        <v>13151.498069475554</v>
      </c>
      <c r="X557" s="72">
        <v>13147.789834275474</v>
      </c>
      <c r="Y557" s="73"/>
      <c r="Z557" s="74">
        <v>3.0143568445204028</v>
      </c>
      <c r="AA557" s="74">
        <v>3.0536931404858865</v>
      </c>
      <c r="AB557" s="73"/>
      <c r="AC557" s="72">
        <v>50455.100623641585</v>
      </c>
      <c r="AD557" s="72">
        <v>50108.592915173183</v>
      </c>
      <c r="AE557" s="73"/>
      <c r="AF557" s="74">
        <v>4.5654009098875532</v>
      </c>
      <c r="AG557" s="74">
        <v>4.7353959669890084</v>
      </c>
      <c r="AH557" s="73"/>
      <c r="AI557" s="72">
        <v>1398116.8603942641</v>
      </c>
      <c r="AJ557" s="72">
        <v>0</v>
      </c>
      <c r="AK557" s="73"/>
      <c r="AL557" s="74">
        <v>-2124.6118112135296</v>
      </c>
      <c r="AM557" s="74">
        <v>0</v>
      </c>
      <c r="AN557" s="73"/>
      <c r="AO557" s="72">
        <v>93820.017819829038</v>
      </c>
      <c r="AP557" s="72">
        <v>0</v>
      </c>
      <c r="AQ557" s="73"/>
      <c r="AR557" s="74">
        <v>-124.95077206441593</v>
      </c>
      <c r="AS557" s="74">
        <v>0</v>
      </c>
      <c r="AT557" s="73"/>
      <c r="AU557" s="72">
        <v>21775441.013050467</v>
      </c>
      <c r="AV557" s="72">
        <v>0</v>
      </c>
      <c r="AW557" s="73"/>
      <c r="AX557" s="74">
        <v>-1469.1972907881841</v>
      </c>
      <c r="AY557" s="74">
        <v>0</v>
      </c>
      <c r="AZ557" s="73"/>
      <c r="BA557" s="72">
        <v>31568.636017619941</v>
      </c>
      <c r="BB557" s="72">
        <v>0</v>
      </c>
      <c r="BC557" s="73"/>
      <c r="BD557" s="74">
        <v>-334.87444636440665</v>
      </c>
      <c r="BE557" s="74">
        <v>0</v>
      </c>
      <c r="BF557" s="73"/>
      <c r="BG557" s="72">
        <v>5349902.1749211969</v>
      </c>
      <c r="BH557" s="72">
        <v>0</v>
      </c>
      <c r="BI557" s="73"/>
      <c r="BJ557" s="74">
        <v>-2624.6369228921858</v>
      </c>
      <c r="BK557" s="74">
        <v>0</v>
      </c>
      <c r="BL557" s="73"/>
      <c r="BM557" s="72">
        <v>28648848.702203378</v>
      </c>
      <c r="BN557" s="72">
        <v>0</v>
      </c>
      <c r="BO557" s="73"/>
      <c r="BP557" s="74">
        <v>-6678.2712433227225</v>
      </c>
      <c r="BQ557" s="74">
        <v>0</v>
      </c>
      <c r="BS557" s="109">
        <f t="shared" si="222"/>
        <v>117146.51247691266</v>
      </c>
      <c r="BT557" s="109">
        <f t="shared" si="223"/>
        <v>117556.37882327713</v>
      </c>
      <c r="BV557" s="58">
        <f t="array" ref="BV557">SUM(IF(BS557:BT557&gt;=BS557, 1))</f>
        <v>2</v>
      </c>
      <c r="BW557" s="58">
        <f t="array" ref="BW557">SUM(IF(BS557:BT557&gt;=BT557, 1))</f>
        <v>1</v>
      </c>
      <c r="BY557" s="109">
        <f t="shared" si="224"/>
        <v>133813.38358467806</v>
      </c>
      <c r="BZ557" s="109">
        <f t="shared" si="225"/>
        <v>134182.97737478421</v>
      </c>
      <c r="CB557" s="58">
        <f t="array" ref="CB557">SUM(IF(BY557:BZ557&gt;=BY557, 1))</f>
        <v>2</v>
      </c>
      <c r="CC557" s="58">
        <f t="array" ref="CC557">SUM(IF(BY557:BZ557&gt;=BZ557, 1))</f>
        <v>1</v>
      </c>
      <c r="CE557" s="109">
        <f t="shared" si="226"/>
        <v>96669.615870622089</v>
      </c>
      <c r="CF557" s="109">
        <f t="shared" si="227"/>
        <v>98939.207217394447</v>
      </c>
      <c r="CH557" s="58">
        <f t="array" ref="CH557">SUM(IF(CE557:CF557&gt;=CE557, 1))</f>
        <v>2</v>
      </c>
      <c r="CI557" s="58">
        <f t="array" ref="CI557">SUM(IF(CE557:CF557&gt;=CF557, 1))</f>
        <v>1</v>
      </c>
      <c r="CK557" s="109">
        <f t="shared" si="228"/>
        <v>47135.638820932494</v>
      </c>
      <c r="CL557" s="109">
        <f t="shared" si="229"/>
        <v>47926.07297544225</v>
      </c>
      <c r="CN557" s="58">
        <f t="array" ref="CN557">SUM(IF(CK557:CL557&gt;=CK557, 1))</f>
        <v>2</v>
      </c>
      <c r="CO557" s="58">
        <f t="array" ref="CO557">SUM(IF(CK557:CL557&gt;=CL557, 1))</f>
        <v>1</v>
      </c>
      <c r="CQ557" s="109" cm="1">
        <f t="array" ref="CQ557">AF557*WTP-AC557</f>
        <v>40852.91757410948</v>
      </c>
      <c r="CR557" s="109">
        <f t="shared" si="230"/>
        <v>44599.326424606988</v>
      </c>
      <c r="CT557" s="58">
        <f t="array" ref="CT557">SUM(IF(CQ557:CR557&gt;=CQ557, 1))</f>
        <v>2</v>
      </c>
      <c r="CU557" s="58">
        <f t="array" ref="CU557">SUM(IF(CQ557:CR557&gt;=CR557, 1))</f>
        <v>1</v>
      </c>
      <c r="CW557" s="109">
        <f t="shared" si="231"/>
        <v>-43890353.084664851</v>
      </c>
      <c r="CX557" s="109">
        <f t="shared" si="232"/>
        <v>0</v>
      </c>
      <c r="CZ557" s="58">
        <f t="array" ref="CZ557">SUM(IF(CW557:CX557&gt;=CW557, 1))</f>
        <v>2</v>
      </c>
      <c r="DA557" s="58">
        <f t="array" ref="DA557">SUM(IF(CW557:CX557&gt;=CX557, 1))</f>
        <v>1</v>
      </c>
      <c r="DC557" s="109">
        <f t="shared" si="233"/>
        <v>-2592835.4591081473</v>
      </c>
      <c r="DD557" s="109">
        <f t="shared" si="234"/>
        <v>0</v>
      </c>
      <c r="DF557" s="58">
        <f t="array" ref="DF557">SUM(IF(DC557:DD557&gt;=DC557, 1))</f>
        <v>2</v>
      </c>
      <c r="DG557" s="58">
        <f t="array" ref="DG557">SUM(IF(DC557:DD557&gt;=DD557, 1))</f>
        <v>1</v>
      </c>
      <c r="DI557" s="109">
        <f t="shared" si="235"/>
        <v>-51159386.828814149</v>
      </c>
      <c r="DJ557" s="109">
        <f t="shared" si="236"/>
        <v>0</v>
      </c>
      <c r="DL557" s="58">
        <f t="array" ref="DL557">SUM(IF(DI557:DJ557&gt;=DI557, 1))</f>
        <v>2</v>
      </c>
      <c r="DM557" s="58">
        <f t="array" ref="DM557">SUM(IF(DI557:DJ557&gt;=DJ557, 1))</f>
        <v>1</v>
      </c>
      <c r="DO557" s="109">
        <f t="shared" si="237"/>
        <v>-6729057.5633057524</v>
      </c>
      <c r="DP557" s="109">
        <f t="shared" si="238"/>
        <v>0</v>
      </c>
      <c r="DR557" s="58">
        <f t="array" ref="DR557">SUM(IF(DO557:DP557&gt;=DO557, 1))</f>
        <v>2</v>
      </c>
      <c r="DS557" s="58">
        <f t="array" ref="DS557">SUM(IF(DO557:DP557&gt;=DP557, 1))</f>
        <v>1</v>
      </c>
      <c r="DU557" s="109">
        <f t="shared" si="239"/>
        <v>-57842640.632764913</v>
      </c>
      <c r="DV557" s="109">
        <f t="shared" si="240"/>
        <v>0</v>
      </c>
      <c r="DX557" s="58">
        <f t="array" ref="DX557">SUM(IF(DU557:DV557&gt;=DU557, 1))</f>
        <v>2</v>
      </c>
      <c r="DY557" s="58">
        <f t="array" ref="DY557">SUM(IF(DU557:DV557&gt;=DV557, 1))</f>
        <v>1</v>
      </c>
      <c r="EA557" s="109">
        <f t="shared" si="241"/>
        <v>-162214273.56865782</v>
      </c>
      <c r="EB557" s="109">
        <f t="shared" si="242"/>
        <v>0</v>
      </c>
      <c r="ED557" s="58">
        <f t="array" ref="ED557">SUM(IF(EA557:EB557&gt;=EA557, 1))</f>
        <v>2</v>
      </c>
      <c r="EE557" s="58">
        <f t="array" ref="EE557">SUM(IF(EA557:EB557&gt;=EB557, 1))</f>
        <v>1</v>
      </c>
    </row>
    <row r="558" spans="4:135" ht="12" customHeight="1" x14ac:dyDescent="0.25">
      <c r="D558" s="11">
        <v>542</v>
      </c>
      <c r="E558" s="72">
        <v>222.32020519943319</v>
      </c>
      <c r="F558" s="72">
        <v>208.53199478898995</v>
      </c>
      <c r="G558" s="73"/>
      <c r="H558" s="74">
        <v>5.8167545389995334</v>
      </c>
      <c r="I558" s="74">
        <v>5.8317099553598784</v>
      </c>
      <c r="J558" s="73"/>
      <c r="K558" s="72">
        <v>239.02799718191389</v>
      </c>
      <c r="L558" s="72">
        <v>224.89138262807273</v>
      </c>
      <c r="M558" s="73"/>
      <c r="N558" s="74">
        <v>6.6806786675995289</v>
      </c>
      <c r="O558" s="74">
        <v>6.6936932099873472</v>
      </c>
      <c r="P558" s="73"/>
      <c r="Q558" s="72">
        <v>1698.4461834921929</v>
      </c>
      <c r="R558" s="72">
        <v>1089.4158680042715</v>
      </c>
      <c r="S558" s="73"/>
      <c r="T558" s="74">
        <v>4.7247458778798093</v>
      </c>
      <c r="U558" s="74">
        <v>4.7928827099279312</v>
      </c>
      <c r="V558" s="73"/>
      <c r="W558" s="72">
        <v>13610.304678544942</v>
      </c>
      <c r="X558" s="72">
        <v>13585.164852451135</v>
      </c>
      <c r="Y558" s="73"/>
      <c r="Z558" s="74">
        <v>2.9270798172838242</v>
      </c>
      <c r="AA558" s="74">
        <v>2.9754097919814013</v>
      </c>
      <c r="AB558" s="73"/>
      <c r="AC558" s="72">
        <v>48970.964323442793</v>
      </c>
      <c r="AD558" s="72">
        <v>49009.476744075873</v>
      </c>
      <c r="AE558" s="73"/>
      <c r="AF558" s="74">
        <v>4.7376635135442164</v>
      </c>
      <c r="AG558" s="74">
        <v>4.8417871489906643</v>
      </c>
      <c r="AH558" s="73"/>
      <c r="AI558" s="72">
        <v>1481653.4531335093</v>
      </c>
      <c r="AJ558" s="72">
        <v>0</v>
      </c>
      <c r="AK558" s="73"/>
      <c r="AL558" s="74">
        <v>-1607.079064921385</v>
      </c>
      <c r="AM558" s="74">
        <v>0</v>
      </c>
      <c r="AN558" s="73"/>
      <c r="AO558" s="72">
        <v>96696.732810330228</v>
      </c>
      <c r="AP558" s="72">
        <v>0</v>
      </c>
      <c r="AQ558" s="73"/>
      <c r="AR558" s="74">
        <v>-89.021577488058284</v>
      </c>
      <c r="AS558" s="74">
        <v>0</v>
      </c>
      <c r="AT558" s="73"/>
      <c r="AU558" s="72">
        <v>13958757.094774948</v>
      </c>
      <c r="AV558" s="72">
        <v>0</v>
      </c>
      <c r="AW558" s="73"/>
      <c r="AX558" s="74">
        <v>-1561.6718307449737</v>
      </c>
      <c r="AY558" s="74">
        <v>0</v>
      </c>
      <c r="AZ558" s="73"/>
      <c r="BA558" s="72">
        <v>222346.12788151743</v>
      </c>
      <c r="BB558" s="72">
        <v>0</v>
      </c>
      <c r="BC558" s="73"/>
      <c r="BD558" s="74">
        <v>-427.44857082622809</v>
      </c>
      <c r="BE558" s="74">
        <v>0</v>
      </c>
      <c r="BF558" s="73"/>
      <c r="BG558" s="72">
        <v>-608139.47501718462</v>
      </c>
      <c r="BH558" s="72">
        <v>0</v>
      </c>
      <c r="BI558" s="73"/>
      <c r="BJ558" s="74">
        <v>-1644.1888605385</v>
      </c>
      <c r="BK558" s="74">
        <v>0</v>
      </c>
      <c r="BL558" s="73"/>
      <c r="BM558" s="72">
        <v>15151313.933583122</v>
      </c>
      <c r="BN558" s="72">
        <v>0</v>
      </c>
      <c r="BO558" s="73"/>
      <c r="BP558" s="74">
        <v>-5329.4099045191451</v>
      </c>
      <c r="BQ558" s="74">
        <v>0</v>
      </c>
      <c r="BS558" s="109">
        <f t="shared" si="222"/>
        <v>116112.77057479124</v>
      </c>
      <c r="BT558" s="109">
        <f t="shared" si="223"/>
        <v>116425.66711240857</v>
      </c>
      <c r="BV558" s="58">
        <f t="array" ref="BV558">SUM(IF(BS558:BT558&gt;=BS558, 1))</f>
        <v>2</v>
      </c>
      <c r="BW558" s="58">
        <f t="array" ref="BW558">SUM(IF(BS558:BT558&gt;=BT558, 1))</f>
        <v>1</v>
      </c>
      <c r="BY558" s="109">
        <f t="shared" si="224"/>
        <v>133374.54535480865</v>
      </c>
      <c r="BZ558" s="109">
        <f t="shared" si="225"/>
        <v>133648.97281711889</v>
      </c>
      <c r="CB558" s="58">
        <f t="array" ref="CB558">SUM(IF(BY558:BZ558&gt;=BY558, 1))</f>
        <v>2</v>
      </c>
      <c r="CC558" s="58">
        <f t="array" ref="CC558">SUM(IF(BY558:BZ558&gt;=BZ558, 1))</f>
        <v>1</v>
      </c>
      <c r="CE558" s="109">
        <f t="shared" si="226"/>
        <v>92796.471374103989</v>
      </c>
      <c r="CF558" s="109">
        <f t="shared" si="227"/>
        <v>94768.238330554348</v>
      </c>
      <c r="CH558" s="58">
        <f t="array" ref="CH558">SUM(IF(CE558:CF558&gt;=CE558, 1))</f>
        <v>2</v>
      </c>
      <c r="CI558" s="58">
        <f t="array" ref="CI558">SUM(IF(CE558:CF558&gt;=CF558, 1))</f>
        <v>1</v>
      </c>
      <c r="CK558" s="109">
        <f t="shared" si="228"/>
        <v>44931.29166713154</v>
      </c>
      <c r="CL558" s="109">
        <f t="shared" si="229"/>
        <v>45923.030987176891</v>
      </c>
      <c r="CN558" s="58">
        <f t="array" ref="CN558">SUM(IF(CK558:CL558&gt;=CK558, 1))</f>
        <v>2</v>
      </c>
      <c r="CO558" s="58">
        <f t="array" ref="CO558">SUM(IF(CK558:CL558&gt;=CL558, 1))</f>
        <v>1</v>
      </c>
      <c r="CQ558" s="109" cm="1">
        <f t="array" ref="CQ558">AF558*WTP-AC558</f>
        <v>45782.305947441535</v>
      </c>
      <c r="CR558" s="109">
        <f t="shared" si="230"/>
        <v>47826.266235737407</v>
      </c>
      <c r="CT558" s="58">
        <f t="array" ref="CT558">SUM(IF(CQ558:CR558&gt;=CQ558, 1))</f>
        <v>2</v>
      </c>
      <c r="CU558" s="58">
        <f t="array" ref="CU558">SUM(IF(CQ558:CR558&gt;=CR558, 1))</f>
        <v>1</v>
      </c>
      <c r="CW558" s="109">
        <f t="shared" si="231"/>
        <v>-33623234.75156121</v>
      </c>
      <c r="CX558" s="109">
        <f t="shared" si="232"/>
        <v>0</v>
      </c>
      <c r="CZ558" s="58">
        <f t="array" ref="CZ558">SUM(IF(CW558:CX558&gt;=CW558, 1))</f>
        <v>2</v>
      </c>
      <c r="DA558" s="58">
        <f t="array" ref="DA558">SUM(IF(CW558:CX558&gt;=CX558, 1))</f>
        <v>1</v>
      </c>
      <c r="DC558" s="109">
        <f t="shared" si="233"/>
        <v>-1877128.282571496</v>
      </c>
      <c r="DD558" s="109">
        <f t="shared" si="234"/>
        <v>0</v>
      </c>
      <c r="DF558" s="58">
        <f t="array" ref="DF558">SUM(IF(DC558:DD558&gt;=DC558, 1))</f>
        <v>2</v>
      </c>
      <c r="DG558" s="58">
        <f t="array" ref="DG558">SUM(IF(DC558:DD558&gt;=DD558, 1))</f>
        <v>1</v>
      </c>
      <c r="DI558" s="109">
        <f t="shared" si="235"/>
        <v>-45192193.709674425</v>
      </c>
      <c r="DJ558" s="109">
        <f t="shared" si="236"/>
        <v>0</v>
      </c>
      <c r="DL558" s="58">
        <f t="array" ref="DL558">SUM(IF(DI558:DJ558&gt;=DI558, 1))</f>
        <v>2</v>
      </c>
      <c r="DM558" s="58">
        <f t="array" ref="DM558">SUM(IF(DI558:DJ558&gt;=DJ558, 1))</f>
        <v>1</v>
      </c>
      <c r="DO558" s="109">
        <f t="shared" si="237"/>
        <v>-8771317.5444060788</v>
      </c>
      <c r="DP558" s="109">
        <f t="shared" si="238"/>
        <v>0</v>
      </c>
      <c r="DR558" s="58">
        <f t="array" ref="DR558">SUM(IF(DO558:DP558&gt;=DO558, 1))</f>
        <v>2</v>
      </c>
      <c r="DS558" s="58">
        <f t="array" ref="DS558">SUM(IF(DO558:DP558&gt;=DP558, 1))</f>
        <v>1</v>
      </c>
      <c r="DU558" s="109">
        <f t="shared" si="239"/>
        <v>-32275637.735752814</v>
      </c>
      <c r="DV558" s="109">
        <f t="shared" si="240"/>
        <v>0</v>
      </c>
      <c r="DX558" s="58">
        <f t="array" ref="DX558">SUM(IF(DU558:DV558&gt;=DU558, 1))</f>
        <v>2</v>
      </c>
      <c r="DY558" s="58">
        <f t="array" ref="DY558">SUM(IF(DU558:DV558&gt;=DV558, 1))</f>
        <v>1</v>
      </c>
      <c r="EA558" s="109">
        <f t="shared" si="241"/>
        <v>-121739512.02396603</v>
      </c>
      <c r="EB558" s="109">
        <f t="shared" si="242"/>
        <v>0</v>
      </c>
      <c r="ED558" s="58">
        <f t="array" ref="ED558">SUM(IF(EA558:EB558&gt;=EA558, 1))</f>
        <v>2</v>
      </c>
      <c r="EE558" s="58">
        <f t="array" ref="EE558">SUM(IF(EA558:EB558&gt;=EB558, 1))</f>
        <v>1</v>
      </c>
    </row>
    <row r="559" spans="4:135" ht="12" customHeight="1" x14ac:dyDescent="0.25">
      <c r="D559" s="11">
        <v>543</v>
      </c>
      <c r="E559" s="72">
        <v>248.25344650514813</v>
      </c>
      <c r="F559" s="72">
        <v>218.09703321112835</v>
      </c>
      <c r="G559" s="73"/>
      <c r="H559" s="74">
        <v>5.8297554855020124</v>
      </c>
      <c r="I559" s="74">
        <v>5.8468361784613752</v>
      </c>
      <c r="J559" s="73"/>
      <c r="K559" s="72">
        <v>266.08525446600714</v>
      </c>
      <c r="L559" s="72">
        <v>235.21228469620783</v>
      </c>
      <c r="M559" s="73"/>
      <c r="N559" s="74">
        <v>6.6391858602251581</v>
      </c>
      <c r="O559" s="74">
        <v>6.6536999510474581</v>
      </c>
      <c r="P559" s="73"/>
      <c r="Q559" s="72">
        <v>3256.2839039670239</v>
      </c>
      <c r="R559" s="72">
        <v>1493.5288569623588</v>
      </c>
      <c r="S559" s="73"/>
      <c r="T559" s="74">
        <v>4.8065233634578126</v>
      </c>
      <c r="U559" s="74">
        <v>4.9304025262633475</v>
      </c>
      <c r="V559" s="73"/>
      <c r="W559" s="72">
        <v>14014.084342360849</v>
      </c>
      <c r="X559" s="72">
        <v>13981.257562547798</v>
      </c>
      <c r="Y559" s="73"/>
      <c r="Z559" s="74">
        <v>2.9761836066909289</v>
      </c>
      <c r="AA559" s="74">
        <v>3.018362224108246</v>
      </c>
      <c r="AB559" s="73"/>
      <c r="AC559" s="72">
        <v>50816.26189637019</v>
      </c>
      <c r="AD559" s="72">
        <v>50162.415568102006</v>
      </c>
      <c r="AE559" s="73"/>
      <c r="AF559" s="74">
        <v>4.4795504264861128</v>
      </c>
      <c r="AG559" s="74">
        <v>4.6045863896149566</v>
      </c>
      <c r="AH559" s="73"/>
      <c r="AI559" s="72">
        <v>3292727.2318612188</v>
      </c>
      <c r="AJ559" s="72">
        <v>0</v>
      </c>
      <c r="AK559" s="73"/>
      <c r="AL559" s="74">
        <v>-1865.0116742333921</v>
      </c>
      <c r="AM559" s="74">
        <v>0</v>
      </c>
      <c r="AN559" s="73"/>
      <c r="AO559" s="72">
        <v>214178.06497233929</v>
      </c>
      <c r="AP559" s="72">
        <v>0</v>
      </c>
      <c r="AQ559" s="73"/>
      <c r="AR559" s="74">
        <v>-100.69001817226923</v>
      </c>
      <c r="AS559" s="74">
        <v>0</v>
      </c>
      <c r="AT559" s="73"/>
      <c r="AU559" s="72">
        <v>41782788.469192088</v>
      </c>
      <c r="AV559" s="72">
        <v>0</v>
      </c>
      <c r="AW559" s="73"/>
      <c r="AX559" s="74">
        <v>-2936.3222440006862</v>
      </c>
      <c r="AY559" s="74">
        <v>0</v>
      </c>
      <c r="AZ559" s="73"/>
      <c r="BA559" s="72">
        <v>282521.42848456238</v>
      </c>
      <c r="BB559" s="72">
        <v>0</v>
      </c>
      <c r="BC559" s="73"/>
      <c r="BD559" s="74">
        <v>-363.00737727270689</v>
      </c>
      <c r="BE559" s="74">
        <v>0</v>
      </c>
      <c r="BF559" s="73"/>
      <c r="BG559" s="72">
        <v>10127388.125603329</v>
      </c>
      <c r="BH559" s="72">
        <v>0</v>
      </c>
      <c r="BI559" s="73"/>
      <c r="BJ559" s="74">
        <v>-1936.6748324769101</v>
      </c>
      <c r="BK559" s="74">
        <v>0</v>
      </c>
      <c r="BL559" s="73"/>
      <c r="BM559" s="72">
        <v>55699603.32011354</v>
      </c>
      <c r="BN559" s="72">
        <v>0</v>
      </c>
      <c r="BO559" s="73"/>
      <c r="BP559" s="74">
        <v>-7201.7061461559642</v>
      </c>
      <c r="BQ559" s="74">
        <v>0</v>
      </c>
      <c r="BS559" s="109">
        <f t="shared" si="222"/>
        <v>116346.85626353511</v>
      </c>
      <c r="BT559" s="109">
        <f t="shared" si="223"/>
        <v>116718.62653601637</v>
      </c>
      <c r="BV559" s="58">
        <f t="array" ref="BV559">SUM(IF(BS559:BT559&gt;=BS559, 1))</f>
        <v>2</v>
      </c>
      <c r="BW559" s="58">
        <f t="array" ref="BW559">SUM(IF(BS559:BT559&gt;=BT559, 1))</f>
        <v>1</v>
      </c>
      <c r="BY559" s="109">
        <f t="shared" si="224"/>
        <v>132517.63195003715</v>
      </c>
      <c r="BZ559" s="109">
        <f t="shared" si="225"/>
        <v>132838.78673625295</v>
      </c>
      <c r="CB559" s="58">
        <f t="array" ref="CB559">SUM(IF(BY559:BZ559&gt;=BY559, 1))</f>
        <v>2</v>
      </c>
      <c r="CC559" s="58">
        <f t="array" ref="CC559">SUM(IF(BY559:BZ559&gt;=BZ559, 1))</f>
        <v>1</v>
      </c>
      <c r="CE559" s="109">
        <f t="shared" si="226"/>
        <v>92874.183365189238</v>
      </c>
      <c r="CF559" s="109">
        <f t="shared" si="227"/>
        <v>97114.521668304602</v>
      </c>
      <c r="CH559" s="58">
        <f t="array" ref="CH559">SUM(IF(CE559:CF559&gt;=CE559, 1))</f>
        <v>2</v>
      </c>
      <c r="CI559" s="58">
        <f t="array" ref="CI559">SUM(IF(CE559:CF559&gt;=CF559, 1))</f>
        <v>1</v>
      </c>
      <c r="CK559" s="109">
        <f t="shared" si="228"/>
        <v>45509.587791457729</v>
      </c>
      <c r="CL559" s="109">
        <f t="shared" si="229"/>
        <v>46385.98691961712</v>
      </c>
      <c r="CN559" s="58">
        <f t="array" ref="CN559">SUM(IF(CK559:CL559&gt;=CK559, 1))</f>
        <v>2</v>
      </c>
      <c r="CO559" s="58">
        <f t="array" ref="CO559">SUM(IF(CK559:CL559&gt;=CL559, 1))</f>
        <v>1</v>
      </c>
      <c r="CQ559" s="109" cm="1">
        <f t="array" ref="CQ559">AF559*WTP-AC559</f>
        <v>38774.746633352064</v>
      </c>
      <c r="CR559" s="109">
        <f t="shared" si="230"/>
        <v>41929.312224197129</v>
      </c>
      <c r="CT559" s="58">
        <f t="array" ref="CT559">SUM(IF(CQ559:CR559&gt;=CQ559, 1))</f>
        <v>2</v>
      </c>
      <c r="CU559" s="58">
        <f t="array" ref="CU559">SUM(IF(CQ559:CR559&gt;=CR559, 1))</f>
        <v>1</v>
      </c>
      <c r="CW559" s="109">
        <f t="shared" si="231"/>
        <v>-40592960.716529064</v>
      </c>
      <c r="CX559" s="109">
        <f t="shared" si="232"/>
        <v>0</v>
      </c>
      <c r="CZ559" s="58">
        <f t="array" ref="CZ559">SUM(IF(CW559:CX559&gt;=CW559, 1))</f>
        <v>2</v>
      </c>
      <c r="DA559" s="58">
        <f t="array" ref="DA559">SUM(IF(CW559:CX559&gt;=CX559, 1))</f>
        <v>1</v>
      </c>
      <c r="DC559" s="109">
        <f t="shared" si="233"/>
        <v>-2227978.4284177241</v>
      </c>
      <c r="DD559" s="109">
        <f t="shared" si="234"/>
        <v>0</v>
      </c>
      <c r="DF559" s="58">
        <f t="array" ref="DF559">SUM(IF(DC559:DD559&gt;=DC559, 1))</f>
        <v>2</v>
      </c>
      <c r="DG559" s="58">
        <f t="array" ref="DG559">SUM(IF(DC559:DD559&gt;=DD559, 1))</f>
        <v>1</v>
      </c>
      <c r="DI559" s="109">
        <f t="shared" si="235"/>
        <v>-100509233.34920582</v>
      </c>
      <c r="DJ559" s="109">
        <f t="shared" si="236"/>
        <v>0</v>
      </c>
      <c r="DL559" s="58">
        <f t="array" ref="DL559">SUM(IF(DI559:DJ559&gt;=DI559, 1))</f>
        <v>2</v>
      </c>
      <c r="DM559" s="58">
        <f t="array" ref="DM559">SUM(IF(DI559:DJ559&gt;=DJ559, 1))</f>
        <v>1</v>
      </c>
      <c r="DO559" s="109">
        <f t="shared" si="237"/>
        <v>-7542668.9739387007</v>
      </c>
      <c r="DP559" s="109">
        <f t="shared" si="238"/>
        <v>0</v>
      </c>
      <c r="DR559" s="58">
        <f t="array" ref="DR559">SUM(IF(DO559:DP559&gt;=DO559, 1))</f>
        <v>2</v>
      </c>
      <c r="DS559" s="58">
        <f t="array" ref="DS559">SUM(IF(DO559:DP559&gt;=DP559, 1))</f>
        <v>1</v>
      </c>
      <c r="DU559" s="109">
        <f t="shared" si="239"/>
        <v>-48860884.775141537</v>
      </c>
      <c r="DV559" s="109">
        <f t="shared" si="240"/>
        <v>0</v>
      </c>
      <c r="DX559" s="58">
        <f t="array" ref="DX559">SUM(IF(DU559:DV559&gt;=DU559, 1))</f>
        <v>2</v>
      </c>
      <c r="DY559" s="58">
        <f t="array" ref="DY559">SUM(IF(DU559:DV559&gt;=DV559, 1))</f>
        <v>1</v>
      </c>
      <c r="EA559" s="109">
        <f t="shared" si="241"/>
        <v>-199733726.24323282</v>
      </c>
      <c r="EB559" s="109">
        <f t="shared" si="242"/>
        <v>0</v>
      </c>
      <c r="ED559" s="58">
        <f t="array" ref="ED559">SUM(IF(EA559:EB559&gt;=EA559, 1))</f>
        <v>2</v>
      </c>
      <c r="EE559" s="58">
        <f t="array" ref="EE559">SUM(IF(EA559:EB559&gt;=EB559, 1))</f>
        <v>1</v>
      </c>
    </row>
    <row r="560" spans="4:135" ht="12" customHeight="1" x14ac:dyDescent="0.25">
      <c r="D560" s="11">
        <v>544</v>
      </c>
      <c r="E560" s="72">
        <v>221.0682667034651</v>
      </c>
      <c r="F560" s="72">
        <v>201.58653640589566</v>
      </c>
      <c r="G560" s="73"/>
      <c r="H560" s="74">
        <v>5.8730557197234177</v>
      </c>
      <c r="I560" s="74">
        <v>5.8905009069247853</v>
      </c>
      <c r="J560" s="73"/>
      <c r="K560" s="72">
        <v>237.30286991002123</v>
      </c>
      <c r="L560" s="72">
        <v>217.36498263590096</v>
      </c>
      <c r="M560" s="73"/>
      <c r="N560" s="74">
        <v>6.7706197655190996</v>
      </c>
      <c r="O560" s="74">
        <v>6.786324481025952</v>
      </c>
      <c r="P560" s="73"/>
      <c r="Q560" s="72">
        <v>3782.0831920426999</v>
      </c>
      <c r="R560" s="72">
        <v>1811.1557226260099</v>
      </c>
      <c r="S560" s="73"/>
      <c r="T560" s="74">
        <v>4.8798174801141201</v>
      </c>
      <c r="U560" s="74">
        <v>4.9957969575283636</v>
      </c>
      <c r="V560" s="73"/>
      <c r="W560" s="72">
        <v>12696.482858966941</v>
      </c>
      <c r="X560" s="72">
        <v>12736.548862875126</v>
      </c>
      <c r="Y560" s="73"/>
      <c r="Z560" s="74">
        <v>3.0310286635765396</v>
      </c>
      <c r="AA560" s="74">
        <v>3.0836525537206771</v>
      </c>
      <c r="AB560" s="73"/>
      <c r="AC560" s="72">
        <v>49542.226239096533</v>
      </c>
      <c r="AD560" s="72">
        <v>49182.987987122913</v>
      </c>
      <c r="AE560" s="73"/>
      <c r="AF560" s="74">
        <v>3.7966919115379185</v>
      </c>
      <c r="AG560" s="74">
        <v>3.892802701767784</v>
      </c>
      <c r="AH560" s="73"/>
      <c r="AI560" s="72">
        <v>2098952.1390190758</v>
      </c>
      <c r="AJ560" s="72">
        <v>0</v>
      </c>
      <c r="AK560" s="73"/>
      <c r="AL560" s="74">
        <v>-1879.5359771748408</v>
      </c>
      <c r="AM560" s="74">
        <v>0</v>
      </c>
      <c r="AN560" s="73"/>
      <c r="AO560" s="72">
        <v>131821.76474269852</v>
      </c>
      <c r="AP560" s="72">
        <v>0</v>
      </c>
      <c r="AQ560" s="73"/>
      <c r="AR560" s="74">
        <v>-103.83363515062547</v>
      </c>
      <c r="AS560" s="74">
        <v>0</v>
      </c>
      <c r="AT560" s="73"/>
      <c r="AU560" s="72">
        <v>44496131.975641258</v>
      </c>
      <c r="AV560" s="72">
        <v>0</v>
      </c>
      <c r="AW560" s="73"/>
      <c r="AX560" s="74">
        <v>-2618.3805409223974</v>
      </c>
      <c r="AY560" s="74">
        <v>0</v>
      </c>
      <c r="AZ560" s="73"/>
      <c r="BA560" s="72">
        <v>-361186.86686621391</v>
      </c>
      <c r="BB560" s="72">
        <v>0</v>
      </c>
      <c r="BC560" s="73"/>
      <c r="BD560" s="74">
        <v>-474.39365420692747</v>
      </c>
      <c r="BE560" s="74">
        <v>0</v>
      </c>
      <c r="BF560" s="73"/>
      <c r="BG560" s="72">
        <v>5658610.9899408389</v>
      </c>
      <c r="BH560" s="72">
        <v>0</v>
      </c>
      <c r="BI560" s="73"/>
      <c r="BJ560" s="74">
        <v>-1513.9077502430112</v>
      </c>
      <c r="BK560" s="74">
        <v>0</v>
      </c>
      <c r="BL560" s="73"/>
      <c r="BM560" s="72">
        <v>52024330.002477653</v>
      </c>
      <c r="BN560" s="72">
        <v>0</v>
      </c>
      <c r="BO560" s="73"/>
      <c r="BP560" s="74">
        <v>-6590.0515576978023</v>
      </c>
      <c r="BQ560" s="74">
        <v>0</v>
      </c>
      <c r="BS560" s="109">
        <f t="shared" si="222"/>
        <v>117240.04612776489</v>
      </c>
      <c r="BT560" s="109">
        <f t="shared" si="223"/>
        <v>117608.43160208981</v>
      </c>
      <c r="BV560" s="58">
        <f t="array" ref="BV560">SUM(IF(BS560:BT560&gt;=BS560, 1))</f>
        <v>2</v>
      </c>
      <c r="BW560" s="58">
        <f t="array" ref="BW560">SUM(IF(BS560:BT560&gt;=BT560, 1))</f>
        <v>1</v>
      </c>
      <c r="BY560" s="109">
        <f t="shared" si="224"/>
        <v>135175.09244047196</v>
      </c>
      <c r="BZ560" s="109">
        <f t="shared" si="225"/>
        <v>135509.12463788316</v>
      </c>
      <c r="CB560" s="58">
        <f t="array" ref="CB560">SUM(IF(BY560:BZ560&gt;=BY560, 1))</f>
        <v>2</v>
      </c>
      <c r="CC560" s="58">
        <f t="array" ref="CC560">SUM(IF(BY560:BZ560&gt;=BZ560, 1))</f>
        <v>1</v>
      </c>
      <c r="CE560" s="109">
        <f t="shared" si="226"/>
        <v>93814.266410239696</v>
      </c>
      <c r="CF560" s="109">
        <f t="shared" si="227"/>
        <v>98104.783427941264</v>
      </c>
      <c r="CH560" s="58">
        <f t="array" ref="CH560">SUM(IF(CE560:CF560&gt;=CE560, 1))</f>
        <v>2</v>
      </c>
      <c r="CI560" s="58">
        <f t="array" ref="CI560">SUM(IF(CE560:CF560&gt;=CF560, 1))</f>
        <v>1</v>
      </c>
      <c r="CK560" s="109">
        <f t="shared" si="228"/>
        <v>47924.090412563848</v>
      </c>
      <c r="CL560" s="109">
        <f t="shared" si="229"/>
        <v>48936.50221153842</v>
      </c>
      <c r="CN560" s="58">
        <f t="array" ref="CN560">SUM(IF(CK560:CL560&gt;=CK560, 1))</f>
        <v>2</v>
      </c>
      <c r="CO560" s="58">
        <f t="array" ref="CO560">SUM(IF(CK560:CL560&gt;=CL560, 1))</f>
        <v>1</v>
      </c>
      <c r="CQ560" s="109" cm="1">
        <f t="array" ref="CQ560">AF560*WTP-AC560</f>
        <v>26391.611991661834</v>
      </c>
      <c r="CR560" s="109">
        <f t="shared" si="230"/>
        <v>28673.066048232773</v>
      </c>
      <c r="CT560" s="58">
        <f t="array" ref="CT560">SUM(IF(CQ560:CR560&gt;=CQ560, 1))</f>
        <v>2</v>
      </c>
      <c r="CU560" s="58">
        <f t="array" ref="CU560">SUM(IF(CQ560:CR560&gt;=CR560, 1))</f>
        <v>1</v>
      </c>
      <c r="CW560" s="109">
        <f t="shared" si="231"/>
        <v>-39689671.682515889</v>
      </c>
      <c r="CX560" s="109">
        <f t="shared" si="232"/>
        <v>0</v>
      </c>
      <c r="CZ560" s="58">
        <f t="array" ref="CZ560">SUM(IF(CW560:CX560&gt;=CW560, 1))</f>
        <v>2</v>
      </c>
      <c r="DA560" s="58">
        <f t="array" ref="DA560">SUM(IF(CW560:CX560&gt;=CX560, 1))</f>
        <v>1</v>
      </c>
      <c r="DC560" s="109">
        <f t="shared" si="233"/>
        <v>-2208494.4677552078</v>
      </c>
      <c r="DD560" s="109">
        <f t="shared" si="234"/>
        <v>0</v>
      </c>
      <c r="DF560" s="58">
        <f t="array" ref="DF560">SUM(IF(DC560:DD560&gt;=DC560, 1))</f>
        <v>2</v>
      </c>
      <c r="DG560" s="58">
        <f t="array" ref="DG560">SUM(IF(DC560:DD560&gt;=DD560, 1))</f>
        <v>1</v>
      </c>
      <c r="DI560" s="109">
        <f t="shared" si="235"/>
        <v>-96863742.794089198</v>
      </c>
      <c r="DJ560" s="109">
        <f t="shared" si="236"/>
        <v>0</v>
      </c>
      <c r="DL560" s="58">
        <f t="array" ref="DL560">SUM(IF(DI560:DJ560&gt;=DI560, 1))</f>
        <v>2</v>
      </c>
      <c r="DM560" s="58">
        <f t="array" ref="DM560">SUM(IF(DI560:DJ560&gt;=DJ560, 1))</f>
        <v>1</v>
      </c>
      <c r="DO560" s="109">
        <f t="shared" si="237"/>
        <v>-9126686.2172723357</v>
      </c>
      <c r="DP560" s="109">
        <f t="shared" si="238"/>
        <v>0</v>
      </c>
      <c r="DR560" s="58">
        <f t="array" ref="DR560">SUM(IF(DO560:DP560&gt;=DO560, 1))</f>
        <v>2</v>
      </c>
      <c r="DS560" s="58">
        <f t="array" ref="DS560">SUM(IF(DO560:DP560&gt;=DP560, 1))</f>
        <v>1</v>
      </c>
      <c r="DU560" s="109">
        <f t="shared" si="239"/>
        <v>-35936765.994801059</v>
      </c>
      <c r="DV560" s="109">
        <f t="shared" si="240"/>
        <v>0</v>
      </c>
      <c r="DX560" s="58">
        <f t="array" ref="DX560">SUM(IF(DU560:DV560&gt;=DU560, 1))</f>
        <v>2</v>
      </c>
      <c r="DY560" s="58">
        <f t="array" ref="DY560">SUM(IF(DU560:DV560&gt;=DV560, 1))</f>
        <v>1</v>
      </c>
      <c r="EA560" s="109">
        <f t="shared" si="241"/>
        <v>-183825361.1564337</v>
      </c>
      <c r="EB560" s="109">
        <f t="shared" si="242"/>
        <v>0</v>
      </c>
      <c r="ED560" s="58">
        <f t="array" ref="ED560">SUM(IF(EA560:EB560&gt;=EA560, 1))</f>
        <v>2</v>
      </c>
      <c r="EE560" s="58">
        <f t="array" ref="EE560">SUM(IF(EA560:EB560&gt;=EB560, 1))</f>
        <v>1</v>
      </c>
    </row>
    <row r="561" spans="4:135" ht="12" customHeight="1" x14ac:dyDescent="0.25">
      <c r="D561" s="11">
        <v>545</v>
      </c>
      <c r="E561" s="72">
        <v>223.98702124437469</v>
      </c>
      <c r="F561" s="72">
        <v>215.2842456932197</v>
      </c>
      <c r="G561" s="73"/>
      <c r="H561" s="74">
        <v>5.8074706665072435</v>
      </c>
      <c r="I561" s="74">
        <v>5.8208077712173125</v>
      </c>
      <c r="J561" s="73"/>
      <c r="K561" s="72">
        <v>241.14442855475539</v>
      </c>
      <c r="L561" s="72">
        <v>232.20184512335089</v>
      </c>
      <c r="M561" s="73"/>
      <c r="N561" s="74">
        <v>6.7399033483604498</v>
      </c>
      <c r="O561" s="74">
        <v>6.7511187611665111</v>
      </c>
      <c r="P561" s="73"/>
      <c r="Q561" s="72">
        <v>2475.7638461744054</v>
      </c>
      <c r="R561" s="72">
        <v>1379.9505051492947</v>
      </c>
      <c r="S561" s="73"/>
      <c r="T561" s="74">
        <v>4.6725331869366746</v>
      </c>
      <c r="U561" s="74">
        <v>4.7837472865887971</v>
      </c>
      <c r="V561" s="73"/>
      <c r="W561" s="72">
        <v>17091.610576948417</v>
      </c>
      <c r="X561" s="72">
        <v>17042.857580462882</v>
      </c>
      <c r="Y561" s="73"/>
      <c r="Z561" s="74">
        <v>2.8785808687299115</v>
      </c>
      <c r="AA561" s="74">
        <v>2.9187843471945061</v>
      </c>
      <c r="AB561" s="73"/>
      <c r="AC561" s="72">
        <v>48440.360391089875</v>
      </c>
      <c r="AD561" s="72">
        <v>48512.293781938417</v>
      </c>
      <c r="AE561" s="73"/>
      <c r="AF561" s="74">
        <v>4.567841727681671</v>
      </c>
      <c r="AG561" s="74">
        <v>4.6367454656470368</v>
      </c>
      <c r="AH561" s="73"/>
      <c r="AI561" s="72">
        <v>939614.34376527078</v>
      </c>
      <c r="AJ561" s="72">
        <v>0</v>
      </c>
      <c r="AK561" s="73"/>
      <c r="AL561" s="74">
        <v>-1439.9699057178411</v>
      </c>
      <c r="AM561" s="74">
        <v>0</v>
      </c>
      <c r="AN561" s="73"/>
      <c r="AO561" s="72">
        <v>61972.513103766883</v>
      </c>
      <c r="AP561" s="72">
        <v>0</v>
      </c>
      <c r="AQ561" s="73"/>
      <c r="AR561" s="74">
        <v>-77.723324855648215</v>
      </c>
      <c r="AS561" s="74">
        <v>0</v>
      </c>
      <c r="AT561" s="73"/>
      <c r="AU561" s="72">
        <v>25137032.703799482</v>
      </c>
      <c r="AV561" s="72">
        <v>0</v>
      </c>
      <c r="AW561" s="73"/>
      <c r="AX561" s="74">
        <v>-2551.1575333293517</v>
      </c>
      <c r="AY561" s="74">
        <v>0</v>
      </c>
      <c r="AZ561" s="73"/>
      <c r="BA561" s="72">
        <v>424692.2425033563</v>
      </c>
      <c r="BB561" s="72">
        <v>0</v>
      </c>
      <c r="BC561" s="73"/>
      <c r="BD561" s="74">
        <v>-350.21653347256341</v>
      </c>
      <c r="BE561" s="74">
        <v>0</v>
      </c>
      <c r="BF561" s="73"/>
      <c r="BG561" s="72">
        <v>-1155917.2013898387</v>
      </c>
      <c r="BH561" s="72">
        <v>0</v>
      </c>
      <c r="BI561" s="73"/>
      <c r="BJ561" s="74">
        <v>-1107.2328860726641</v>
      </c>
      <c r="BK561" s="74">
        <v>0</v>
      </c>
      <c r="BL561" s="73"/>
      <c r="BM561" s="72">
        <v>25407394.601782039</v>
      </c>
      <c r="BN561" s="72">
        <v>0</v>
      </c>
      <c r="BO561" s="73"/>
      <c r="BP561" s="74">
        <v>-5526.3001834480683</v>
      </c>
      <c r="BQ561" s="74">
        <v>0</v>
      </c>
      <c r="BS561" s="109">
        <f t="shared" si="222"/>
        <v>115925.4263089005</v>
      </c>
      <c r="BT561" s="109">
        <f t="shared" si="223"/>
        <v>116200.87117865302</v>
      </c>
      <c r="BV561" s="58">
        <f t="array" ref="BV561">SUM(IF(BS561:BT561&gt;=BS561, 1))</f>
        <v>2</v>
      </c>
      <c r="BW561" s="58">
        <f t="array" ref="BW561">SUM(IF(BS561:BT561&gt;=BT561, 1))</f>
        <v>1</v>
      </c>
      <c r="BY561" s="109">
        <f t="shared" si="224"/>
        <v>134556.92253865424</v>
      </c>
      <c r="BZ561" s="109">
        <f t="shared" si="225"/>
        <v>134790.17337820688</v>
      </c>
      <c r="CB561" s="58">
        <f t="array" ref="CB561">SUM(IF(BY561:BZ561&gt;=BY561, 1))</f>
        <v>2</v>
      </c>
      <c r="CC561" s="58">
        <f t="array" ref="CC561">SUM(IF(BY561:BZ561&gt;=BZ561, 1))</f>
        <v>1</v>
      </c>
      <c r="CE561" s="109">
        <f t="shared" si="226"/>
        <v>90974.899892559086</v>
      </c>
      <c r="CF561" s="109">
        <f t="shared" si="227"/>
        <v>94294.995226626648</v>
      </c>
      <c r="CH561" s="58">
        <f t="array" ref="CH561">SUM(IF(CE561:CF561&gt;=CE561, 1))</f>
        <v>2</v>
      </c>
      <c r="CI561" s="58">
        <f t="array" ref="CI561">SUM(IF(CE561:CF561&gt;=CF561, 1))</f>
        <v>1</v>
      </c>
      <c r="CK561" s="109">
        <f t="shared" si="228"/>
        <v>40480.00679764981</v>
      </c>
      <c r="CL561" s="109">
        <f t="shared" si="229"/>
        <v>41332.829363427241</v>
      </c>
      <c r="CN561" s="58">
        <f t="array" ref="CN561">SUM(IF(CK561:CL561&gt;=CK561, 1))</f>
        <v>2</v>
      </c>
      <c r="CO561" s="58">
        <f t="array" ref="CO561">SUM(IF(CK561:CL561&gt;=CL561, 1))</f>
        <v>1</v>
      </c>
      <c r="CQ561" s="109" cm="1">
        <f t="array" ref="CQ561">AF561*WTP-AC561</f>
        <v>42916.474162543549</v>
      </c>
      <c r="CR561" s="109">
        <f t="shared" si="230"/>
        <v>44222.615531002324</v>
      </c>
      <c r="CT561" s="58">
        <f t="array" ref="CT561">SUM(IF(CQ561:CR561&gt;=CQ561, 1))</f>
        <v>2</v>
      </c>
      <c r="CU561" s="58">
        <f t="array" ref="CU561">SUM(IF(CQ561:CR561&gt;=CR561, 1))</f>
        <v>1</v>
      </c>
      <c r="CW561" s="109">
        <f t="shared" si="231"/>
        <v>-29739012.458122093</v>
      </c>
      <c r="CX561" s="109">
        <f t="shared" si="232"/>
        <v>0</v>
      </c>
      <c r="CZ561" s="58">
        <f t="array" ref="CZ561">SUM(IF(CW561:CX561&gt;=CW561, 1))</f>
        <v>2</v>
      </c>
      <c r="DA561" s="58">
        <f t="array" ref="DA561">SUM(IF(CW561:CX561&gt;=CX561, 1))</f>
        <v>1</v>
      </c>
      <c r="DC561" s="109">
        <f t="shared" si="233"/>
        <v>-1616439.0102167311</v>
      </c>
      <c r="DD561" s="109">
        <f t="shared" si="234"/>
        <v>0</v>
      </c>
      <c r="DF561" s="58">
        <f t="array" ref="DF561">SUM(IF(DC561:DD561&gt;=DC561, 1))</f>
        <v>2</v>
      </c>
      <c r="DG561" s="58">
        <f t="array" ref="DG561">SUM(IF(DC561:DD561&gt;=DD561, 1))</f>
        <v>1</v>
      </c>
      <c r="DI561" s="109">
        <f t="shared" si="235"/>
        <v>-76160183.370386511</v>
      </c>
      <c r="DJ561" s="109">
        <f t="shared" si="236"/>
        <v>0</v>
      </c>
      <c r="DL561" s="58">
        <f t="array" ref="DL561">SUM(IF(DI561:DJ561&gt;=DI561, 1))</f>
        <v>2</v>
      </c>
      <c r="DM561" s="58">
        <f t="array" ref="DM561">SUM(IF(DI561:DJ561&gt;=DJ561, 1))</f>
        <v>1</v>
      </c>
      <c r="DO561" s="109">
        <f t="shared" si="237"/>
        <v>-7429022.9119546246</v>
      </c>
      <c r="DP561" s="109">
        <f t="shared" si="238"/>
        <v>0</v>
      </c>
      <c r="DR561" s="58">
        <f t="array" ref="DR561">SUM(IF(DO561:DP561&gt;=DO561, 1))</f>
        <v>2</v>
      </c>
      <c r="DS561" s="58">
        <f t="array" ref="DS561">SUM(IF(DO561:DP561&gt;=DP561, 1))</f>
        <v>1</v>
      </c>
      <c r="DU561" s="109">
        <f t="shared" si="239"/>
        <v>-20988740.520063445</v>
      </c>
      <c r="DV561" s="109">
        <f t="shared" si="240"/>
        <v>0</v>
      </c>
      <c r="DX561" s="58">
        <f t="array" ref="DX561">SUM(IF(DU561:DV561&gt;=DU561, 1))</f>
        <v>2</v>
      </c>
      <c r="DY561" s="58">
        <f t="array" ref="DY561">SUM(IF(DU561:DV561&gt;=DV561, 1))</f>
        <v>1</v>
      </c>
      <c r="EA561" s="109">
        <f t="shared" si="241"/>
        <v>-135933398.2707434</v>
      </c>
      <c r="EB561" s="109">
        <f t="shared" si="242"/>
        <v>0</v>
      </c>
      <c r="ED561" s="58">
        <f t="array" ref="ED561">SUM(IF(EA561:EB561&gt;=EA561, 1))</f>
        <v>2</v>
      </c>
      <c r="EE561" s="58">
        <f t="array" ref="EE561">SUM(IF(EA561:EB561&gt;=EB561, 1))</f>
        <v>1</v>
      </c>
    </row>
    <row r="562" spans="4:135" ht="12" customHeight="1" x14ac:dyDescent="0.25">
      <c r="D562" s="11">
        <v>546</v>
      </c>
      <c r="E562" s="72">
        <v>267.53733585799364</v>
      </c>
      <c r="F562" s="72">
        <v>250.33958598588856</v>
      </c>
      <c r="G562" s="73"/>
      <c r="H562" s="74">
        <v>5.79602228984358</v>
      </c>
      <c r="I562" s="74">
        <v>5.8135366703769087</v>
      </c>
      <c r="J562" s="73"/>
      <c r="K562" s="72">
        <v>287.60340910537303</v>
      </c>
      <c r="L562" s="72">
        <v>270.00433541884087</v>
      </c>
      <c r="M562" s="73"/>
      <c r="N562" s="74">
        <v>6.7124168507236801</v>
      </c>
      <c r="O562" s="74">
        <v>6.7283229642996281</v>
      </c>
      <c r="P562" s="73"/>
      <c r="Q562" s="72">
        <v>2242.8273838016235</v>
      </c>
      <c r="R562" s="72">
        <v>1279.9159561760039</v>
      </c>
      <c r="S562" s="73"/>
      <c r="T562" s="74">
        <v>4.7422422073540735</v>
      </c>
      <c r="U562" s="74">
        <v>4.8205867265572193</v>
      </c>
      <c r="V562" s="73"/>
      <c r="W562" s="72">
        <v>9559.821901905816</v>
      </c>
      <c r="X562" s="72">
        <v>9543.7354375437208</v>
      </c>
      <c r="Y562" s="73"/>
      <c r="Z562" s="74">
        <v>3.1600605641892936</v>
      </c>
      <c r="AA562" s="74">
        <v>3.2266378362922277</v>
      </c>
      <c r="AB562" s="73"/>
      <c r="AC562" s="72">
        <v>50020.069396686078</v>
      </c>
      <c r="AD562" s="72">
        <v>49676.854208085831</v>
      </c>
      <c r="AE562" s="73"/>
      <c r="AF562" s="74">
        <v>4.4975440892954168</v>
      </c>
      <c r="AG562" s="74">
        <v>4.6179651300280353</v>
      </c>
      <c r="AH562" s="73"/>
      <c r="AI562" s="72">
        <v>1843997.0704577293</v>
      </c>
      <c r="AJ562" s="72">
        <v>0</v>
      </c>
      <c r="AK562" s="73"/>
      <c r="AL562" s="74">
        <v>-1877.947210217606</v>
      </c>
      <c r="AM562" s="74">
        <v>0</v>
      </c>
      <c r="AN562" s="73"/>
      <c r="AO562" s="72">
        <v>125675.70045889505</v>
      </c>
      <c r="AP562" s="72">
        <v>0</v>
      </c>
      <c r="AQ562" s="73"/>
      <c r="AR562" s="74">
        <v>-113.58620350375369</v>
      </c>
      <c r="AS562" s="74">
        <v>0</v>
      </c>
      <c r="AT562" s="73"/>
      <c r="AU562" s="72">
        <v>22948057.058499012</v>
      </c>
      <c r="AV562" s="72">
        <v>0</v>
      </c>
      <c r="AW562" s="73"/>
      <c r="AX562" s="74">
        <v>-1867.1026693780891</v>
      </c>
      <c r="AY562" s="74">
        <v>0</v>
      </c>
      <c r="AZ562" s="73"/>
      <c r="BA562" s="72">
        <v>144826.75518990753</v>
      </c>
      <c r="BB562" s="72">
        <v>0</v>
      </c>
      <c r="BC562" s="73"/>
      <c r="BD562" s="74">
        <v>-599.39649080275512</v>
      </c>
      <c r="BE562" s="74">
        <v>0</v>
      </c>
      <c r="BF562" s="73"/>
      <c r="BG562" s="72">
        <v>5540832.8719707802</v>
      </c>
      <c r="BH562" s="72">
        <v>0</v>
      </c>
      <c r="BI562" s="73"/>
      <c r="BJ562" s="74">
        <v>-1944.0656565621041</v>
      </c>
      <c r="BK562" s="74">
        <v>0</v>
      </c>
      <c r="BL562" s="73"/>
      <c r="BM562" s="72">
        <v>30603389.456576325</v>
      </c>
      <c r="BN562" s="72">
        <v>0</v>
      </c>
      <c r="BO562" s="73"/>
      <c r="BP562" s="74">
        <v>-6402.0982304643085</v>
      </c>
      <c r="BQ562" s="74">
        <v>0</v>
      </c>
      <c r="BS562" s="109">
        <f t="shared" si="222"/>
        <v>115652.90846101361</v>
      </c>
      <c r="BT562" s="109">
        <f t="shared" si="223"/>
        <v>116020.39382155229</v>
      </c>
      <c r="BV562" s="58">
        <f t="array" ref="BV562">SUM(IF(BS562:BT562&gt;=BS562, 1))</f>
        <v>2</v>
      </c>
      <c r="BW562" s="58">
        <f t="array" ref="BW562">SUM(IF(BS562:BT562&gt;=BT562, 1))</f>
        <v>1</v>
      </c>
      <c r="BY562" s="109">
        <f t="shared" si="224"/>
        <v>133960.73360536824</v>
      </c>
      <c r="BZ562" s="109">
        <f t="shared" si="225"/>
        <v>134296.45495057371</v>
      </c>
      <c r="CB562" s="58">
        <f t="array" ref="CB562">SUM(IF(BY562:BZ562&gt;=BY562, 1))</f>
        <v>2</v>
      </c>
      <c r="CC562" s="58">
        <f t="array" ref="CC562">SUM(IF(BY562:BZ562&gt;=BZ562, 1))</f>
        <v>1</v>
      </c>
      <c r="CE562" s="109">
        <f t="shared" si="226"/>
        <v>92602.016763279855</v>
      </c>
      <c r="CF562" s="109">
        <f t="shared" si="227"/>
        <v>95131.818574968391</v>
      </c>
      <c r="CH562" s="58">
        <f t="array" ref="CH562">SUM(IF(CE562:CF562&gt;=CE562, 1))</f>
        <v>2</v>
      </c>
      <c r="CI562" s="58">
        <f t="array" ref="CI562">SUM(IF(CE562:CF562&gt;=CF562, 1))</f>
        <v>1</v>
      </c>
      <c r="CK562" s="109">
        <f t="shared" si="228"/>
        <v>53641.389381880057</v>
      </c>
      <c r="CL562" s="109">
        <f t="shared" si="229"/>
        <v>54989.021288300835</v>
      </c>
      <c r="CN562" s="58">
        <f t="array" ref="CN562">SUM(IF(CK562:CL562&gt;=CK562, 1))</f>
        <v>2</v>
      </c>
      <c r="CO562" s="58">
        <f t="array" ref="CO562">SUM(IF(CK562:CL562&gt;=CL562, 1))</f>
        <v>1</v>
      </c>
      <c r="CQ562" s="109" cm="1">
        <f t="array" ref="CQ562">AF562*WTP-AC562</f>
        <v>39930.812389222257</v>
      </c>
      <c r="CR562" s="109">
        <f t="shared" si="230"/>
        <v>42682.448392474878</v>
      </c>
      <c r="CT562" s="58">
        <f t="array" ref="CT562">SUM(IF(CQ562:CR562&gt;=CQ562, 1))</f>
        <v>2</v>
      </c>
      <c r="CU562" s="58">
        <f t="array" ref="CU562">SUM(IF(CQ562:CR562&gt;=CR562, 1))</f>
        <v>1</v>
      </c>
      <c r="CW562" s="109">
        <f t="shared" si="231"/>
        <v>-39402941.274809845</v>
      </c>
      <c r="CX562" s="109">
        <f t="shared" si="232"/>
        <v>0</v>
      </c>
      <c r="CZ562" s="58">
        <f t="array" ref="CZ562">SUM(IF(CW562:CX562&gt;=CW562, 1))</f>
        <v>2</v>
      </c>
      <c r="DA562" s="58">
        <f t="array" ref="DA562">SUM(IF(CW562:CX562&gt;=CX562, 1))</f>
        <v>1</v>
      </c>
      <c r="DC562" s="109">
        <f t="shared" si="233"/>
        <v>-2397399.7705339687</v>
      </c>
      <c r="DD562" s="109">
        <f t="shared" si="234"/>
        <v>0</v>
      </c>
      <c r="DF562" s="58">
        <f t="array" ref="DF562">SUM(IF(DC562:DD562&gt;=DC562, 1))</f>
        <v>2</v>
      </c>
      <c r="DG562" s="58">
        <f t="array" ref="DG562">SUM(IF(DC562:DD562&gt;=DD562, 1))</f>
        <v>1</v>
      </c>
      <c r="DI562" s="109">
        <f t="shared" si="235"/>
        <v>-60290110.446060792</v>
      </c>
      <c r="DJ562" s="109">
        <f t="shared" si="236"/>
        <v>0</v>
      </c>
      <c r="DL562" s="58">
        <f t="array" ref="DL562">SUM(IF(DI562:DJ562&gt;=DI562, 1))</f>
        <v>2</v>
      </c>
      <c r="DM562" s="58">
        <f t="array" ref="DM562">SUM(IF(DI562:DJ562&gt;=DJ562, 1))</f>
        <v>1</v>
      </c>
      <c r="DO562" s="109">
        <f t="shared" si="237"/>
        <v>-12132756.571245009</v>
      </c>
      <c r="DP562" s="109">
        <f t="shared" si="238"/>
        <v>0</v>
      </c>
      <c r="DR562" s="58">
        <f t="array" ref="DR562">SUM(IF(DO562:DP562&gt;=DO562, 1))</f>
        <v>2</v>
      </c>
      <c r="DS562" s="58">
        <f t="array" ref="DS562">SUM(IF(DO562:DP562&gt;=DP562, 1))</f>
        <v>1</v>
      </c>
      <c r="DU562" s="109">
        <f t="shared" si="239"/>
        <v>-44422146.003212862</v>
      </c>
      <c r="DV562" s="109">
        <f t="shared" si="240"/>
        <v>0</v>
      </c>
      <c r="DX562" s="58">
        <f t="array" ref="DX562">SUM(IF(DU562:DV562&gt;=DU562, 1))</f>
        <v>2</v>
      </c>
      <c r="DY562" s="58">
        <f t="array" ref="DY562">SUM(IF(DU562:DV562&gt;=DV562, 1))</f>
        <v>1</v>
      </c>
      <c r="EA562" s="109">
        <f t="shared" si="241"/>
        <v>-158645354.06586251</v>
      </c>
      <c r="EB562" s="109">
        <f t="shared" si="242"/>
        <v>0</v>
      </c>
      <c r="ED562" s="58">
        <f t="array" ref="ED562">SUM(IF(EA562:EB562&gt;=EA562, 1))</f>
        <v>2</v>
      </c>
      <c r="EE562" s="58">
        <f t="array" ref="EE562">SUM(IF(EA562:EB562&gt;=EB562, 1))</f>
        <v>1</v>
      </c>
    </row>
    <row r="563" spans="4:135" ht="12" customHeight="1" x14ac:dyDescent="0.25">
      <c r="D563" s="11">
        <v>547</v>
      </c>
      <c r="E563" s="72">
        <v>258.89425546584789</v>
      </c>
      <c r="F563" s="72">
        <v>230.00688224919088</v>
      </c>
      <c r="G563" s="73"/>
      <c r="H563" s="74">
        <v>5.8964489715961461</v>
      </c>
      <c r="I563" s="74">
        <v>5.9135170092877729</v>
      </c>
      <c r="J563" s="73"/>
      <c r="K563" s="72">
        <v>277.56285738904967</v>
      </c>
      <c r="L563" s="72">
        <v>247.99069953478397</v>
      </c>
      <c r="M563" s="73"/>
      <c r="N563" s="74">
        <v>6.7595488529997558</v>
      </c>
      <c r="O563" s="74">
        <v>6.7746198753596705</v>
      </c>
      <c r="P563" s="73"/>
      <c r="Q563" s="72">
        <v>2268.7507484152488</v>
      </c>
      <c r="R563" s="72">
        <v>1757.5492272792749</v>
      </c>
      <c r="S563" s="73"/>
      <c r="T563" s="74">
        <v>5.0998978011019895</v>
      </c>
      <c r="U563" s="74">
        <v>5.148680543303195</v>
      </c>
      <c r="V563" s="73"/>
      <c r="W563" s="72">
        <v>10909.785253012811</v>
      </c>
      <c r="X563" s="72">
        <v>10926.254238855881</v>
      </c>
      <c r="Y563" s="73"/>
      <c r="Z563" s="74">
        <v>2.9468740176279784</v>
      </c>
      <c r="AA563" s="74">
        <v>2.9979377927654971</v>
      </c>
      <c r="AB563" s="73"/>
      <c r="AC563" s="72">
        <v>50150.272619851508</v>
      </c>
      <c r="AD563" s="72">
        <v>49856.790035990467</v>
      </c>
      <c r="AE563" s="73"/>
      <c r="AF563" s="74">
        <v>4.2360352875078391</v>
      </c>
      <c r="AG563" s="74">
        <v>4.3890088016110287</v>
      </c>
      <c r="AH563" s="73"/>
      <c r="AI563" s="72">
        <v>3134301.4604270468</v>
      </c>
      <c r="AJ563" s="72">
        <v>0</v>
      </c>
      <c r="AK563" s="73"/>
      <c r="AL563" s="74">
        <v>-1851.8947729260028</v>
      </c>
      <c r="AM563" s="74">
        <v>0</v>
      </c>
      <c r="AN563" s="73"/>
      <c r="AO563" s="72">
        <v>198709.07696971047</v>
      </c>
      <c r="AP563" s="72">
        <v>0</v>
      </c>
      <c r="AQ563" s="73"/>
      <c r="AR563" s="74">
        <v>-101.26920588233376</v>
      </c>
      <c r="AS563" s="74">
        <v>0</v>
      </c>
      <c r="AT563" s="73"/>
      <c r="AU563" s="72">
        <v>11883992.111386942</v>
      </c>
      <c r="AV563" s="72">
        <v>0</v>
      </c>
      <c r="AW563" s="73"/>
      <c r="AX563" s="74">
        <v>-1134.0610297924877</v>
      </c>
      <c r="AY563" s="74">
        <v>0</v>
      </c>
      <c r="AZ563" s="73"/>
      <c r="BA563" s="72">
        <v>-156230.57928945107</v>
      </c>
      <c r="BB563" s="72">
        <v>0</v>
      </c>
      <c r="BC563" s="73"/>
      <c r="BD563" s="74">
        <v>-484.40889113992881</v>
      </c>
      <c r="BE563" s="74">
        <v>0</v>
      </c>
      <c r="BF563" s="73"/>
      <c r="BG563" s="72">
        <v>4657410.865332135</v>
      </c>
      <c r="BH563" s="72">
        <v>0</v>
      </c>
      <c r="BI563" s="73"/>
      <c r="BJ563" s="74">
        <v>-2427.60744886167</v>
      </c>
      <c r="BK563" s="74">
        <v>0</v>
      </c>
      <c r="BL563" s="73"/>
      <c r="BM563" s="72">
        <v>19718182.934826382</v>
      </c>
      <c r="BN563" s="72">
        <v>0</v>
      </c>
      <c r="BO563" s="73"/>
      <c r="BP563" s="74">
        <v>-5999.2413486024234</v>
      </c>
      <c r="BQ563" s="74">
        <v>0</v>
      </c>
      <c r="BS563" s="109">
        <f t="shared" si="222"/>
        <v>117670.08517645708</v>
      </c>
      <c r="BT563" s="109">
        <f t="shared" si="223"/>
        <v>118040.33330350627</v>
      </c>
      <c r="BV563" s="58">
        <f t="array" ref="BV563">SUM(IF(BS563:BT563&gt;=BS563, 1))</f>
        <v>2</v>
      </c>
      <c r="BW563" s="58">
        <f t="array" ref="BW563">SUM(IF(BS563:BT563&gt;=BT563, 1))</f>
        <v>1</v>
      </c>
      <c r="BY563" s="109">
        <f t="shared" si="224"/>
        <v>134913.41420260607</v>
      </c>
      <c r="BZ563" s="109">
        <f t="shared" si="225"/>
        <v>135244.40680765864</v>
      </c>
      <c r="CB563" s="58">
        <f t="array" ref="CB563">SUM(IF(BY563:BZ563&gt;=BY563, 1))</f>
        <v>2</v>
      </c>
      <c r="CC563" s="58">
        <f t="array" ref="CC563">SUM(IF(BY563:BZ563&gt;=BZ563, 1))</f>
        <v>1</v>
      </c>
      <c r="CE563" s="109">
        <f t="shared" si="226"/>
        <v>99729.205273624553</v>
      </c>
      <c r="CF563" s="109">
        <f t="shared" si="227"/>
        <v>101216.06163878462</v>
      </c>
      <c r="CH563" s="58">
        <f t="array" ref="CH563">SUM(IF(CE563:CF563&gt;=CE563, 1))</f>
        <v>2</v>
      </c>
      <c r="CI563" s="58">
        <f t="array" ref="CI563">SUM(IF(CE563:CF563&gt;=CF563, 1))</f>
        <v>1</v>
      </c>
      <c r="CK563" s="109">
        <f t="shared" si="228"/>
        <v>48027.695099546763</v>
      </c>
      <c r="CL563" s="109">
        <f t="shared" si="229"/>
        <v>49032.501616454065</v>
      </c>
      <c r="CN563" s="58">
        <f t="array" ref="CN563">SUM(IF(CK563:CL563&gt;=CK563, 1))</f>
        <v>2</v>
      </c>
      <c r="CO563" s="58">
        <f t="array" ref="CO563">SUM(IF(CK563:CL563&gt;=CL563, 1))</f>
        <v>1</v>
      </c>
      <c r="CQ563" s="109" cm="1">
        <f t="array" ref="CQ563">AF563*WTP-AC563</f>
        <v>34570.433130305268</v>
      </c>
      <c r="CR563" s="109">
        <f t="shared" si="230"/>
        <v>37923.385996230114</v>
      </c>
      <c r="CT563" s="58">
        <f t="array" ref="CT563">SUM(IF(CQ563:CR563&gt;=CQ563, 1))</f>
        <v>2</v>
      </c>
      <c r="CU563" s="58">
        <f t="array" ref="CU563">SUM(IF(CQ563:CR563&gt;=CR563, 1))</f>
        <v>1</v>
      </c>
      <c r="CW563" s="109">
        <f t="shared" si="231"/>
        <v>-40172196.918947101</v>
      </c>
      <c r="CX563" s="109">
        <f t="shared" si="232"/>
        <v>0</v>
      </c>
      <c r="CZ563" s="58">
        <f t="array" ref="CZ563">SUM(IF(CW563:CX563&gt;=CW563, 1))</f>
        <v>2</v>
      </c>
      <c r="DA563" s="58">
        <f t="array" ref="DA563">SUM(IF(CW563:CX563&gt;=CX563, 1))</f>
        <v>1</v>
      </c>
      <c r="DC563" s="109">
        <f t="shared" si="233"/>
        <v>-2224093.1946163857</v>
      </c>
      <c r="DD563" s="109">
        <f t="shared" si="234"/>
        <v>0</v>
      </c>
      <c r="DF563" s="58">
        <f t="array" ref="DF563">SUM(IF(DC563:DD563&gt;=DC563, 1))</f>
        <v>2</v>
      </c>
      <c r="DG563" s="58">
        <f t="array" ref="DG563">SUM(IF(DC563:DD563&gt;=DD563, 1))</f>
        <v>1</v>
      </c>
      <c r="DI563" s="109">
        <f t="shared" si="235"/>
        <v>-34565212.7072367</v>
      </c>
      <c r="DJ563" s="109">
        <f t="shared" si="236"/>
        <v>0</v>
      </c>
      <c r="DL563" s="58">
        <f t="array" ref="DL563">SUM(IF(DI563:DJ563&gt;=DI563, 1))</f>
        <v>2</v>
      </c>
      <c r="DM563" s="58">
        <f t="array" ref="DM563">SUM(IF(DI563:DJ563&gt;=DJ563, 1))</f>
        <v>1</v>
      </c>
      <c r="DO563" s="109">
        <f t="shared" si="237"/>
        <v>-9531947.243509125</v>
      </c>
      <c r="DP563" s="109">
        <f t="shared" si="238"/>
        <v>0</v>
      </c>
      <c r="DR563" s="58">
        <f t="array" ref="DR563">SUM(IF(DO563:DP563&gt;=DO563, 1))</f>
        <v>2</v>
      </c>
      <c r="DS563" s="58">
        <f t="array" ref="DS563">SUM(IF(DO563:DP563&gt;=DP563, 1))</f>
        <v>1</v>
      </c>
      <c r="DU563" s="109">
        <f t="shared" si="239"/>
        <v>-53209559.842565536</v>
      </c>
      <c r="DV563" s="109">
        <f t="shared" si="240"/>
        <v>0</v>
      </c>
      <c r="DX563" s="58">
        <f t="array" ref="DX563">SUM(IF(DU563:DV563&gt;=DU563, 1))</f>
        <v>2</v>
      </c>
      <c r="DY563" s="58">
        <f t="array" ref="DY563">SUM(IF(DU563:DV563&gt;=DV563, 1))</f>
        <v>1</v>
      </c>
      <c r="EA563" s="109">
        <f t="shared" si="241"/>
        <v>-139703009.90687484</v>
      </c>
      <c r="EB563" s="109">
        <f t="shared" si="242"/>
        <v>0</v>
      </c>
      <c r="ED563" s="58">
        <f t="array" ref="ED563">SUM(IF(EA563:EB563&gt;=EA563, 1))</f>
        <v>2</v>
      </c>
      <c r="EE563" s="58">
        <f t="array" ref="EE563">SUM(IF(EA563:EB563&gt;=EB563, 1))</f>
        <v>1</v>
      </c>
    </row>
    <row r="564" spans="4:135" ht="12" customHeight="1" x14ac:dyDescent="0.25">
      <c r="D564" s="11">
        <v>548</v>
      </c>
      <c r="E564" s="72">
        <v>279.88573666659499</v>
      </c>
      <c r="F564" s="72">
        <v>257.73814278025839</v>
      </c>
      <c r="G564" s="73"/>
      <c r="H564" s="74">
        <v>5.8337778042701744</v>
      </c>
      <c r="I564" s="74">
        <v>5.8479201405448871</v>
      </c>
      <c r="J564" s="73"/>
      <c r="K564" s="72">
        <v>300.60318568272805</v>
      </c>
      <c r="L564" s="72">
        <v>277.93030268955084</v>
      </c>
      <c r="M564" s="73"/>
      <c r="N564" s="74">
        <v>6.689258967156861</v>
      </c>
      <c r="O564" s="74">
        <v>6.7015872120679552</v>
      </c>
      <c r="P564" s="73"/>
      <c r="Q564" s="72">
        <v>2016.8561703835881</v>
      </c>
      <c r="R564" s="72">
        <v>1627.8258344396536</v>
      </c>
      <c r="S564" s="73"/>
      <c r="T564" s="74">
        <v>4.8771561498755283</v>
      </c>
      <c r="U564" s="74">
        <v>4.9121219106860403</v>
      </c>
      <c r="V564" s="73"/>
      <c r="W564" s="72">
        <v>9893.2461527143259</v>
      </c>
      <c r="X564" s="72">
        <v>9913.8571978505624</v>
      </c>
      <c r="Y564" s="73"/>
      <c r="Z564" s="74">
        <v>2.9829706920743639</v>
      </c>
      <c r="AA564" s="74">
        <v>3.0506340260372671</v>
      </c>
      <c r="AB564" s="73"/>
      <c r="AC564" s="72">
        <v>49629.710809360804</v>
      </c>
      <c r="AD564" s="72">
        <v>49221.730080545763</v>
      </c>
      <c r="AE564" s="73"/>
      <c r="AF564" s="74">
        <v>4.175927838556146</v>
      </c>
      <c r="AG564" s="74">
        <v>4.3048249525349602</v>
      </c>
      <c r="AH564" s="73"/>
      <c r="AI564" s="72">
        <v>2398027.103121947</v>
      </c>
      <c r="AJ564" s="72">
        <v>0</v>
      </c>
      <c r="AK564" s="73"/>
      <c r="AL564" s="74">
        <v>-1531.2591454527133</v>
      </c>
      <c r="AM564" s="74">
        <v>0</v>
      </c>
      <c r="AN564" s="73"/>
      <c r="AO564" s="72">
        <v>150331.27716710564</v>
      </c>
      <c r="AP564" s="72">
        <v>0</v>
      </c>
      <c r="AQ564" s="73"/>
      <c r="AR564" s="74">
        <v>-81.741735414564033</v>
      </c>
      <c r="AS564" s="74">
        <v>0</v>
      </c>
      <c r="AT564" s="73"/>
      <c r="AU564" s="72">
        <v>9143852.861422589</v>
      </c>
      <c r="AV564" s="72">
        <v>0</v>
      </c>
      <c r="AW564" s="73"/>
      <c r="AX564" s="74">
        <v>-821.84277805290628</v>
      </c>
      <c r="AY564" s="74">
        <v>0</v>
      </c>
      <c r="AZ564" s="73"/>
      <c r="BA564" s="72">
        <v>-181743.66754400922</v>
      </c>
      <c r="BB564" s="72">
        <v>0</v>
      </c>
      <c r="BC564" s="73"/>
      <c r="BD564" s="74">
        <v>-596.64041252585378</v>
      </c>
      <c r="BE564" s="74">
        <v>0</v>
      </c>
      <c r="BF564" s="73"/>
      <c r="BG564" s="72">
        <v>6258385.0905294837</v>
      </c>
      <c r="BH564" s="72">
        <v>0</v>
      </c>
      <c r="BI564" s="73"/>
      <c r="BJ564" s="74">
        <v>-1977.2693153430907</v>
      </c>
      <c r="BK564" s="74">
        <v>0</v>
      </c>
      <c r="BL564" s="73"/>
      <c r="BM564" s="72">
        <v>17768852.664697118</v>
      </c>
      <c r="BN564" s="72">
        <v>0</v>
      </c>
      <c r="BO564" s="73"/>
      <c r="BP564" s="74">
        <v>-5008.7533867891279</v>
      </c>
      <c r="BQ564" s="74">
        <v>0</v>
      </c>
      <c r="BS564" s="109">
        <f t="shared" si="222"/>
        <v>116395.67034873689</v>
      </c>
      <c r="BT564" s="109">
        <f t="shared" si="223"/>
        <v>116700.66466811748</v>
      </c>
      <c r="BV564" s="58">
        <f t="array" ref="BV564">SUM(IF(BS564:BT564&gt;=BS564, 1))</f>
        <v>2</v>
      </c>
      <c r="BW564" s="58">
        <f t="array" ref="BW564">SUM(IF(BS564:BT564&gt;=BT564, 1))</f>
        <v>1</v>
      </c>
      <c r="BY564" s="109">
        <f t="shared" si="224"/>
        <v>133484.57615745449</v>
      </c>
      <c r="BZ564" s="109">
        <f t="shared" si="225"/>
        <v>133753.81393866954</v>
      </c>
      <c r="CB564" s="58">
        <f t="array" ref="CB564">SUM(IF(BY564:BZ564&gt;=BY564, 1))</f>
        <v>2</v>
      </c>
      <c r="CC564" s="58">
        <f t="array" ref="CC564">SUM(IF(BY564:BZ564&gt;=BZ564, 1))</f>
        <v>1</v>
      </c>
      <c r="CE564" s="109">
        <f t="shared" si="226"/>
        <v>95526.266827126979</v>
      </c>
      <c r="CF564" s="109">
        <f t="shared" si="227"/>
        <v>96614.612379281141</v>
      </c>
      <c r="CH564" s="58">
        <f t="array" ref="CH564">SUM(IF(CE564:CF564&gt;=CE564, 1))</f>
        <v>2</v>
      </c>
      <c r="CI564" s="58">
        <f t="array" ref="CI564">SUM(IF(CE564:CF564&gt;=CF564, 1))</f>
        <v>1</v>
      </c>
      <c r="CK564" s="109">
        <f t="shared" si="228"/>
        <v>49766.167688772955</v>
      </c>
      <c r="CL564" s="109">
        <f t="shared" si="229"/>
        <v>51098.823322894779</v>
      </c>
      <c r="CN564" s="58">
        <f t="array" ref="CN564">SUM(IF(CK564:CL564&gt;=CK564, 1))</f>
        <v>2</v>
      </c>
      <c r="CO564" s="58">
        <f t="array" ref="CO564">SUM(IF(CK564:CL564&gt;=CL564, 1))</f>
        <v>1</v>
      </c>
      <c r="CQ564" s="109" cm="1">
        <f t="array" ref="CQ564">AF564*WTP-AC564</f>
        <v>33888.845961762119</v>
      </c>
      <c r="CR564" s="109">
        <f t="shared" si="230"/>
        <v>36874.76897015344</v>
      </c>
      <c r="CT564" s="58">
        <f t="array" ref="CT564">SUM(IF(CQ564:CR564&gt;=CQ564, 1))</f>
        <v>2</v>
      </c>
      <c r="CU564" s="58">
        <f t="array" ref="CU564">SUM(IF(CQ564:CR564&gt;=CR564, 1))</f>
        <v>1</v>
      </c>
      <c r="CW564" s="109">
        <f t="shared" si="231"/>
        <v>-33023210.012176212</v>
      </c>
      <c r="CX564" s="109">
        <f t="shared" si="232"/>
        <v>0</v>
      </c>
      <c r="CZ564" s="58">
        <f t="array" ref="CZ564">SUM(IF(CW564:CX564&gt;=CW564, 1))</f>
        <v>2</v>
      </c>
      <c r="DA564" s="58">
        <f t="array" ref="DA564">SUM(IF(CW564:CX564&gt;=CX564, 1))</f>
        <v>1</v>
      </c>
      <c r="DC564" s="109">
        <f t="shared" si="233"/>
        <v>-1785165.9854583861</v>
      </c>
      <c r="DD564" s="109">
        <f t="shared" si="234"/>
        <v>0</v>
      </c>
      <c r="DF564" s="58">
        <f t="array" ref="DF564">SUM(IF(DC564:DD564&gt;=DC564, 1))</f>
        <v>2</v>
      </c>
      <c r="DG564" s="58">
        <f t="array" ref="DG564">SUM(IF(DC564:DD564&gt;=DD564, 1))</f>
        <v>1</v>
      </c>
      <c r="DI564" s="109">
        <f t="shared" si="235"/>
        <v>-25580708.422480717</v>
      </c>
      <c r="DJ564" s="109">
        <f t="shared" si="236"/>
        <v>0</v>
      </c>
      <c r="DL564" s="58">
        <f t="array" ref="DL564">SUM(IF(DI564:DJ564&gt;=DI564, 1))</f>
        <v>2</v>
      </c>
      <c r="DM564" s="58">
        <f t="array" ref="DM564">SUM(IF(DI564:DJ564&gt;=DJ564, 1))</f>
        <v>1</v>
      </c>
      <c r="DO564" s="109">
        <f t="shared" si="237"/>
        <v>-11751064.582973067</v>
      </c>
      <c r="DP564" s="109">
        <f t="shared" si="238"/>
        <v>0</v>
      </c>
      <c r="DR564" s="58">
        <f t="array" ref="DR564">SUM(IF(DO564:DP564&gt;=DO564, 1))</f>
        <v>2</v>
      </c>
      <c r="DS564" s="58">
        <f t="array" ref="DS564">SUM(IF(DO564:DP564&gt;=DP564, 1))</f>
        <v>1</v>
      </c>
      <c r="DU564" s="109">
        <f t="shared" si="239"/>
        <v>-45803771.397391304</v>
      </c>
      <c r="DV564" s="109">
        <f t="shared" si="240"/>
        <v>0</v>
      </c>
      <c r="DX564" s="58">
        <f t="array" ref="DX564">SUM(IF(DU564:DV564&gt;=DU564, 1))</f>
        <v>2</v>
      </c>
      <c r="DY564" s="58">
        <f t="array" ref="DY564">SUM(IF(DU564:DV564&gt;=DV564, 1))</f>
        <v>1</v>
      </c>
      <c r="EA564" s="109">
        <f t="shared" si="241"/>
        <v>-117943920.40047967</v>
      </c>
      <c r="EB564" s="109">
        <f t="shared" si="242"/>
        <v>0</v>
      </c>
      <c r="ED564" s="58">
        <f t="array" ref="ED564">SUM(IF(EA564:EB564&gt;=EA564, 1))</f>
        <v>2</v>
      </c>
      <c r="EE564" s="58">
        <f t="array" ref="EE564">SUM(IF(EA564:EB564&gt;=EB564, 1))</f>
        <v>1</v>
      </c>
    </row>
    <row r="565" spans="4:135" ht="12" customHeight="1" x14ac:dyDescent="0.25">
      <c r="D565" s="11">
        <v>549</v>
      </c>
      <c r="E565" s="72">
        <v>300.03265703582991</v>
      </c>
      <c r="F565" s="72">
        <v>272.13478192495467</v>
      </c>
      <c r="G565" s="73"/>
      <c r="H565" s="74">
        <v>5.8477937654720398</v>
      </c>
      <c r="I565" s="74">
        <v>5.8624364519290424</v>
      </c>
      <c r="J565" s="73"/>
      <c r="K565" s="72">
        <v>321.89680959111172</v>
      </c>
      <c r="L565" s="72">
        <v>293.31520456881856</v>
      </c>
      <c r="M565" s="73"/>
      <c r="N565" s="74">
        <v>6.6904026809380568</v>
      </c>
      <c r="O565" s="74">
        <v>6.7026813897498903</v>
      </c>
      <c r="P565" s="73"/>
      <c r="Q565" s="72">
        <v>3122.1756308512249</v>
      </c>
      <c r="R565" s="72">
        <v>1959.3026920484294</v>
      </c>
      <c r="S565" s="73"/>
      <c r="T565" s="74">
        <v>4.9558665518478255</v>
      </c>
      <c r="U565" s="74">
        <v>5.0425712487048475</v>
      </c>
      <c r="V565" s="73"/>
      <c r="W565" s="72">
        <v>12335.71786445977</v>
      </c>
      <c r="X565" s="72">
        <v>12360.832381023465</v>
      </c>
      <c r="Y565" s="73"/>
      <c r="Z565" s="74">
        <v>3.028905484122232</v>
      </c>
      <c r="AA565" s="74">
        <v>3.0778602236209669</v>
      </c>
      <c r="AB565" s="73"/>
      <c r="AC565" s="72">
        <v>50282.579393155625</v>
      </c>
      <c r="AD565" s="72">
        <v>50142.860274817111</v>
      </c>
      <c r="AE565" s="73"/>
      <c r="AF565" s="74">
        <v>4.5755731725753339</v>
      </c>
      <c r="AG565" s="74">
        <v>4.6952290147755003</v>
      </c>
      <c r="AH565" s="73"/>
      <c r="AI565" s="72">
        <v>3011021.6775670503</v>
      </c>
      <c r="AJ565" s="72">
        <v>0</v>
      </c>
      <c r="AK565" s="73"/>
      <c r="AL565" s="74">
        <v>-1580.3872576182425</v>
      </c>
      <c r="AM565" s="74">
        <v>0</v>
      </c>
      <c r="AN565" s="73"/>
      <c r="AO565" s="72">
        <v>197658.49662852386</v>
      </c>
      <c r="AP565" s="72">
        <v>0</v>
      </c>
      <c r="AQ565" s="73"/>
      <c r="AR565" s="74">
        <v>-84.914444881363352</v>
      </c>
      <c r="AS565" s="74">
        <v>0</v>
      </c>
      <c r="AT565" s="73"/>
      <c r="AU565" s="72">
        <v>26958243.328798894</v>
      </c>
      <c r="AV565" s="72">
        <v>0</v>
      </c>
      <c r="AW565" s="73"/>
      <c r="AX565" s="74">
        <v>-2010.0272674912851</v>
      </c>
      <c r="AY565" s="74">
        <v>0</v>
      </c>
      <c r="AZ565" s="73"/>
      <c r="BA565" s="72">
        <v>-228666.68569515875</v>
      </c>
      <c r="BB565" s="72">
        <v>0</v>
      </c>
      <c r="BC565" s="73"/>
      <c r="BD565" s="74">
        <v>-445.7309780124408</v>
      </c>
      <c r="BE565" s="74">
        <v>0</v>
      </c>
      <c r="BF565" s="73"/>
      <c r="BG565" s="72">
        <v>2239245.6880594776</v>
      </c>
      <c r="BH565" s="72">
        <v>0</v>
      </c>
      <c r="BI565" s="73"/>
      <c r="BJ565" s="74">
        <v>-1917.696245754136</v>
      </c>
      <c r="BK565" s="74">
        <v>0</v>
      </c>
      <c r="BL565" s="73"/>
      <c r="BM565" s="72">
        <v>32177502.505358785</v>
      </c>
      <c r="BN565" s="72">
        <v>0</v>
      </c>
      <c r="BO565" s="73"/>
      <c r="BP565" s="74">
        <v>-6038.7561937574674</v>
      </c>
      <c r="BQ565" s="74">
        <v>0</v>
      </c>
      <c r="BS565" s="109">
        <f t="shared" si="222"/>
        <v>116655.84265240497</v>
      </c>
      <c r="BT565" s="109">
        <f t="shared" si="223"/>
        <v>116976.5942566559</v>
      </c>
      <c r="BV565" s="58">
        <f t="array" ref="BV565">SUM(IF(BS565:BT565&gt;=BS565, 1))</f>
        <v>2</v>
      </c>
      <c r="BW565" s="58">
        <f t="array" ref="BW565">SUM(IF(BS565:BT565&gt;=BT565, 1))</f>
        <v>1</v>
      </c>
      <c r="BY565" s="109">
        <f t="shared" si="224"/>
        <v>133486.15680917</v>
      </c>
      <c r="BZ565" s="109">
        <f t="shared" si="225"/>
        <v>133760.31259042898</v>
      </c>
      <c r="CB565" s="58">
        <f t="array" ref="CB565">SUM(IF(BY565:BZ565&gt;=BY565, 1))</f>
        <v>2</v>
      </c>
      <c r="CC565" s="58">
        <f t="array" ref="CC565">SUM(IF(BY565:BZ565&gt;=BZ565, 1))</f>
        <v>1</v>
      </c>
      <c r="CE565" s="109">
        <f t="shared" si="226"/>
        <v>95995.155406105288</v>
      </c>
      <c r="CF565" s="109">
        <f t="shared" si="227"/>
        <v>98892.122282048527</v>
      </c>
      <c r="CH565" s="58">
        <f t="array" ref="CH565">SUM(IF(CE565:CF565&gt;=CE565, 1))</f>
        <v>2</v>
      </c>
      <c r="CI565" s="58">
        <f t="array" ref="CI565">SUM(IF(CE565:CF565&gt;=CF565, 1))</f>
        <v>1</v>
      </c>
      <c r="CK565" s="109">
        <f t="shared" si="228"/>
        <v>48242.39181798487</v>
      </c>
      <c r="CL565" s="109">
        <f t="shared" si="229"/>
        <v>49196.372091395875</v>
      </c>
      <c r="CN565" s="58">
        <f t="array" ref="CN565">SUM(IF(CK565:CL565&gt;=CK565, 1))</f>
        <v>2</v>
      </c>
      <c r="CO565" s="58">
        <f t="array" ref="CO565">SUM(IF(CK565:CL565&gt;=CL565, 1))</f>
        <v>1</v>
      </c>
      <c r="CQ565" s="109" cm="1">
        <f t="array" ref="CQ565">AF565*WTP-AC565</f>
        <v>41228.884058351046</v>
      </c>
      <c r="CR565" s="109">
        <f t="shared" si="230"/>
        <v>43761.720020692897</v>
      </c>
      <c r="CT565" s="58">
        <f t="array" ref="CT565">SUM(IF(CQ565:CR565&gt;=CQ565, 1))</f>
        <v>2</v>
      </c>
      <c r="CU565" s="58">
        <f t="array" ref="CU565">SUM(IF(CQ565:CR565&gt;=CR565, 1))</f>
        <v>1</v>
      </c>
      <c r="CW565" s="109">
        <f t="shared" si="231"/>
        <v>-34618766.8299319</v>
      </c>
      <c r="CX565" s="109">
        <f t="shared" si="232"/>
        <v>0</v>
      </c>
      <c r="CZ565" s="58">
        <f t="array" ref="CZ565">SUM(IF(CW565:CX565&gt;=CW565, 1))</f>
        <v>2</v>
      </c>
      <c r="DA565" s="58">
        <f t="array" ref="DA565">SUM(IF(CW565:CX565&gt;=CX565, 1))</f>
        <v>1</v>
      </c>
      <c r="DC565" s="109">
        <f t="shared" si="233"/>
        <v>-1895947.3942557909</v>
      </c>
      <c r="DD565" s="109">
        <f t="shared" si="234"/>
        <v>0</v>
      </c>
      <c r="DF565" s="58">
        <f t="array" ref="DF565">SUM(IF(DC565:DD565&gt;=DC565, 1))</f>
        <v>2</v>
      </c>
      <c r="DG565" s="58">
        <f t="array" ref="DG565">SUM(IF(DC565:DD565&gt;=DD565, 1))</f>
        <v>1</v>
      </c>
      <c r="DI565" s="109">
        <f t="shared" si="235"/>
        <v>-67158788.6786246</v>
      </c>
      <c r="DJ565" s="109">
        <f t="shared" si="236"/>
        <v>0</v>
      </c>
      <c r="DL565" s="58">
        <f t="array" ref="DL565">SUM(IF(DI565:DJ565&gt;=DI565, 1))</f>
        <v>2</v>
      </c>
      <c r="DM565" s="58">
        <f t="array" ref="DM565">SUM(IF(DI565:DJ565&gt;=DJ565, 1))</f>
        <v>1</v>
      </c>
      <c r="DO565" s="109">
        <f t="shared" si="237"/>
        <v>-8685952.8745536581</v>
      </c>
      <c r="DP565" s="109">
        <f t="shared" si="238"/>
        <v>0</v>
      </c>
      <c r="DR565" s="58">
        <f t="array" ref="DR565">SUM(IF(DO565:DP565&gt;=DO565, 1))</f>
        <v>2</v>
      </c>
      <c r="DS565" s="58">
        <f t="array" ref="DS565">SUM(IF(DO565:DP565&gt;=DP565, 1))</f>
        <v>1</v>
      </c>
      <c r="DU565" s="109">
        <f t="shared" si="239"/>
        <v>-40593170.603142202</v>
      </c>
      <c r="DV565" s="109">
        <f t="shared" si="240"/>
        <v>0</v>
      </c>
      <c r="DX565" s="58">
        <f t="array" ref="DX565">SUM(IF(DU565:DV565&gt;=DU565, 1))</f>
        <v>2</v>
      </c>
      <c r="DY565" s="58">
        <f t="array" ref="DY565">SUM(IF(DU565:DV565&gt;=DV565, 1))</f>
        <v>1</v>
      </c>
      <c r="EA565" s="109">
        <f t="shared" si="241"/>
        <v>-152952626.38050812</v>
      </c>
      <c r="EB565" s="109">
        <f t="shared" si="242"/>
        <v>0</v>
      </c>
      <c r="ED565" s="58">
        <f t="array" ref="ED565">SUM(IF(EA565:EB565&gt;=EA565, 1))</f>
        <v>2</v>
      </c>
      <c r="EE565" s="58">
        <f t="array" ref="EE565">SUM(IF(EA565:EB565&gt;=EB565, 1))</f>
        <v>1</v>
      </c>
    </row>
    <row r="566" spans="4:135" ht="12" customHeight="1" x14ac:dyDescent="0.25">
      <c r="D566" s="11">
        <v>550</v>
      </c>
      <c r="E566" s="72">
        <v>223.39134836468989</v>
      </c>
      <c r="F566" s="72">
        <v>208.11839154806268</v>
      </c>
      <c r="G566" s="73"/>
      <c r="H566" s="74">
        <v>5.8890307119532181</v>
      </c>
      <c r="I566" s="74">
        <v>5.9074283409907968</v>
      </c>
      <c r="J566" s="73"/>
      <c r="K566" s="72">
        <v>240.12287865614874</v>
      </c>
      <c r="L566" s="72">
        <v>224.47652276471618</v>
      </c>
      <c r="M566" s="73"/>
      <c r="N566" s="74">
        <v>6.6706997331437154</v>
      </c>
      <c r="O566" s="74">
        <v>6.6867044063784702</v>
      </c>
      <c r="P566" s="73"/>
      <c r="Q566" s="72">
        <v>2095.6749008930783</v>
      </c>
      <c r="R566" s="72">
        <v>1331.2056710854135</v>
      </c>
      <c r="S566" s="73"/>
      <c r="T566" s="74">
        <v>4.7636686107665396</v>
      </c>
      <c r="U566" s="74">
        <v>4.8320561211686686</v>
      </c>
      <c r="V566" s="73"/>
      <c r="W566" s="72">
        <v>12416.684708170664</v>
      </c>
      <c r="X566" s="72">
        <v>12456.700028303389</v>
      </c>
      <c r="Y566" s="73"/>
      <c r="Z566" s="74">
        <v>2.8966325178895049</v>
      </c>
      <c r="AA566" s="74">
        <v>2.9635510491860955</v>
      </c>
      <c r="AB566" s="73"/>
      <c r="AC566" s="72">
        <v>51310.755423783936</v>
      </c>
      <c r="AD566" s="72">
        <v>51123.911696620213</v>
      </c>
      <c r="AE566" s="73"/>
      <c r="AF566" s="74">
        <v>4.2017503506644314</v>
      </c>
      <c r="AG566" s="74">
        <v>4.2801276680190323</v>
      </c>
      <c r="AH566" s="73"/>
      <c r="AI566" s="72">
        <v>1650146.8618479916</v>
      </c>
      <c r="AJ566" s="72">
        <v>0</v>
      </c>
      <c r="AK566" s="73"/>
      <c r="AL566" s="74">
        <v>-1987.7480298217858</v>
      </c>
      <c r="AM566" s="74">
        <v>0</v>
      </c>
      <c r="AN566" s="73"/>
      <c r="AO566" s="72">
        <v>110751.07129451522</v>
      </c>
      <c r="AP566" s="72">
        <v>0</v>
      </c>
      <c r="AQ566" s="73"/>
      <c r="AR566" s="74">
        <v>-113.2873826191263</v>
      </c>
      <c r="AS566" s="74">
        <v>0</v>
      </c>
      <c r="AT566" s="73"/>
      <c r="AU566" s="72">
        <v>17630892.734450135</v>
      </c>
      <c r="AV566" s="72">
        <v>0</v>
      </c>
      <c r="AW566" s="73"/>
      <c r="AX566" s="74">
        <v>-1577.2156854231832</v>
      </c>
      <c r="AY566" s="74">
        <v>0</v>
      </c>
      <c r="AZ566" s="73"/>
      <c r="BA566" s="72">
        <v>-363904.6020863888</v>
      </c>
      <c r="BB566" s="72">
        <v>0</v>
      </c>
      <c r="BC566" s="73"/>
      <c r="BD566" s="74">
        <v>-608.56595481229522</v>
      </c>
      <c r="BE566" s="74">
        <v>0</v>
      </c>
      <c r="BF566" s="73"/>
      <c r="BG566" s="72">
        <v>2972552.0149653153</v>
      </c>
      <c r="BH566" s="72">
        <v>0</v>
      </c>
      <c r="BI566" s="73"/>
      <c r="BJ566" s="74">
        <v>-1246.9278801414841</v>
      </c>
      <c r="BK566" s="74">
        <v>0</v>
      </c>
      <c r="BL566" s="73"/>
      <c r="BM566" s="72">
        <v>22000438.080471568</v>
      </c>
      <c r="BN566" s="72">
        <v>0</v>
      </c>
      <c r="BO566" s="73"/>
      <c r="BP566" s="74">
        <v>-5533.7449328178745</v>
      </c>
      <c r="BQ566" s="74">
        <v>0</v>
      </c>
      <c r="BS566" s="109">
        <f t="shared" si="222"/>
        <v>117557.22289069968</v>
      </c>
      <c r="BT566" s="109">
        <f t="shared" si="223"/>
        <v>117940.44842826787</v>
      </c>
      <c r="BV566" s="58">
        <f t="array" ref="BV566">SUM(IF(BS566:BT566&gt;=BS566, 1))</f>
        <v>2</v>
      </c>
      <c r="BW566" s="58">
        <f t="array" ref="BW566">SUM(IF(BS566:BT566&gt;=BT566, 1))</f>
        <v>1</v>
      </c>
      <c r="BY566" s="109">
        <f t="shared" si="224"/>
        <v>133173.87178421818</v>
      </c>
      <c r="BZ566" s="109">
        <f t="shared" si="225"/>
        <v>133509.6116048047</v>
      </c>
      <c r="CB566" s="58">
        <f t="array" ref="CB566">SUM(IF(BY566:BZ566&gt;=BY566, 1))</f>
        <v>2</v>
      </c>
      <c r="CC566" s="58">
        <f t="array" ref="CC566">SUM(IF(BY566:BZ566&gt;=BZ566, 1))</f>
        <v>1</v>
      </c>
      <c r="CE566" s="109">
        <f t="shared" si="226"/>
        <v>93177.697314437712</v>
      </c>
      <c r="CF566" s="109">
        <f t="shared" si="227"/>
        <v>95309.916752287958</v>
      </c>
      <c r="CH566" s="58">
        <f t="array" ref="CH566">SUM(IF(CE566:CF566&gt;=CE566, 1))</f>
        <v>2</v>
      </c>
      <c r="CI566" s="58">
        <f t="array" ref="CI566">SUM(IF(CE566:CF566&gt;=CF566, 1))</f>
        <v>1</v>
      </c>
      <c r="CK566" s="109">
        <f t="shared" si="228"/>
        <v>45515.965649619437</v>
      </c>
      <c r="CL566" s="109">
        <f t="shared" si="229"/>
        <v>46814.320955418516</v>
      </c>
      <c r="CN566" s="58">
        <f t="array" ref="CN566">SUM(IF(CK566:CL566&gt;=CK566, 1))</f>
        <v>2</v>
      </c>
      <c r="CO566" s="58">
        <f t="array" ref="CO566">SUM(IF(CK566:CL566&gt;=CL566, 1))</f>
        <v>1</v>
      </c>
      <c r="CQ566" s="109" cm="1">
        <f t="array" ref="CQ566">AF566*WTP-AC566</f>
        <v>32724.251589504696</v>
      </c>
      <c r="CR566" s="109">
        <f t="shared" si="230"/>
        <v>34478.641663760427</v>
      </c>
      <c r="CT566" s="58">
        <f t="array" ref="CT566">SUM(IF(CQ566:CR566&gt;=CQ566, 1))</f>
        <v>2</v>
      </c>
      <c r="CU566" s="58">
        <f t="array" ref="CU566">SUM(IF(CQ566:CR566&gt;=CR566, 1))</f>
        <v>1</v>
      </c>
      <c r="CW566" s="109">
        <f t="shared" si="231"/>
        <v>-41405107.458283707</v>
      </c>
      <c r="CX566" s="109">
        <f t="shared" si="232"/>
        <v>0</v>
      </c>
      <c r="CZ566" s="58">
        <f t="array" ref="CZ566">SUM(IF(CW566:CX566&gt;=CW566, 1))</f>
        <v>2</v>
      </c>
      <c r="DA566" s="58">
        <f t="array" ref="DA566">SUM(IF(CW566:CX566&gt;=CX566, 1))</f>
        <v>1</v>
      </c>
      <c r="DC566" s="109">
        <f t="shared" si="233"/>
        <v>-2376498.7236770415</v>
      </c>
      <c r="DD566" s="109">
        <f t="shared" si="234"/>
        <v>0</v>
      </c>
      <c r="DF566" s="58">
        <f t="array" ref="DF566">SUM(IF(DC566:DD566&gt;=DC566, 1))</f>
        <v>2</v>
      </c>
      <c r="DG566" s="58">
        <f t="array" ref="DG566">SUM(IF(DC566:DD566&gt;=DD566, 1))</f>
        <v>1</v>
      </c>
      <c r="DI566" s="109">
        <f t="shared" si="235"/>
        <v>-49175206.4429138</v>
      </c>
      <c r="DJ566" s="109">
        <f t="shared" si="236"/>
        <v>0</v>
      </c>
      <c r="DL566" s="58">
        <f t="array" ref="DL566">SUM(IF(DI566:DJ566&gt;=DI566, 1))</f>
        <v>2</v>
      </c>
      <c r="DM566" s="58">
        <f t="array" ref="DM566">SUM(IF(DI566:DJ566&gt;=DJ566, 1))</f>
        <v>1</v>
      </c>
      <c r="DO566" s="109">
        <f t="shared" si="237"/>
        <v>-11807414.494159514</v>
      </c>
      <c r="DP566" s="109">
        <f t="shared" si="238"/>
        <v>0</v>
      </c>
      <c r="DR566" s="58">
        <f t="array" ref="DR566">SUM(IF(DO566:DP566&gt;=DO566, 1))</f>
        <v>2</v>
      </c>
      <c r="DS566" s="58">
        <f t="array" ref="DS566">SUM(IF(DO566:DP566&gt;=DP566, 1))</f>
        <v>1</v>
      </c>
      <c r="DU566" s="109">
        <f t="shared" si="239"/>
        <v>-27911109.617794998</v>
      </c>
      <c r="DV566" s="109">
        <f t="shared" si="240"/>
        <v>0</v>
      </c>
      <c r="DX566" s="58">
        <f t="array" ref="DX566">SUM(IF(DU566:DV566&gt;=DU566, 1))</f>
        <v>2</v>
      </c>
      <c r="DY566" s="58">
        <f t="array" ref="DY566">SUM(IF(DU566:DV566&gt;=DV566, 1))</f>
        <v>1</v>
      </c>
      <c r="EA566" s="109">
        <f t="shared" si="241"/>
        <v>-132675336.73682907</v>
      </c>
      <c r="EB566" s="109">
        <f t="shared" si="242"/>
        <v>0</v>
      </c>
      <c r="ED566" s="58">
        <f t="array" ref="ED566">SUM(IF(EA566:EB566&gt;=EA566, 1))</f>
        <v>2</v>
      </c>
      <c r="EE566" s="58">
        <f t="array" ref="EE566">SUM(IF(EA566:EB566&gt;=EB566, 1))</f>
        <v>1</v>
      </c>
    </row>
    <row r="567" spans="4:135" ht="12" customHeight="1" x14ac:dyDescent="0.25">
      <c r="D567" s="11">
        <v>551</v>
      </c>
      <c r="E567" s="72">
        <v>222.80269593690258</v>
      </c>
      <c r="F567" s="72">
        <v>212.21946069663969</v>
      </c>
      <c r="G567" s="73"/>
      <c r="H567" s="74">
        <v>5.8417380020130425</v>
      </c>
      <c r="I567" s="74">
        <v>5.8615105623443471</v>
      </c>
      <c r="J567" s="73"/>
      <c r="K567" s="72">
        <v>239.78840994162064</v>
      </c>
      <c r="L567" s="72">
        <v>228.92407818724067</v>
      </c>
      <c r="M567" s="73"/>
      <c r="N567" s="74">
        <v>6.7185021507505018</v>
      </c>
      <c r="O567" s="74">
        <v>6.7360553296423058</v>
      </c>
      <c r="P567" s="73"/>
      <c r="Q567" s="72">
        <v>2519.9078608305354</v>
      </c>
      <c r="R567" s="72">
        <v>1192.3215735415752</v>
      </c>
      <c r="S567" s="73"/>
      <c r="T567" s="74">
        <v>4.9126658177726847</v>
      </c>
      <c r="U567" s="74">
        <v>5.0293266522735518</v>
      </c>
      <c r="V567" s="73"/>
      <c r="W567" s="72">
        <v>6713.5740712368961</v>
      </c>
      <c r="X567" s="72">
        <v>6689.7620624615301</v>
      </c>
      <c r="Y567" s="73"/>
      <c r="Z567" s="74">
        <v>2.9940680668314945</v>
      </c>
      <c r="AA567" s="74">
        <v>3.0310357069204783</v>
      </c>
      <c r="AB567" s="73"/>
      <c r="AC567" s="72">
        <v>50952.201038335028</v>
      </c>
      <c r="AD567" s="72">
        <v>50824.81204246702</v>
      </c>
      <c r="AE567" s="73"/>
      <c r="AF567" s="74">
        <v>4.9782862514458195</v>
      </c>
      <c r="AG567" s="74">
        <v>5.0540438180079672</v>
      </c>
      <c r="AH567" s="73"/>
      <c r="AI567" s="72">
        <v>1140587.729877953</v>
      </c>
      <c r="AJ567" s="72">
        <v>0</v>
      </c>
      <c r="AK567" s="73"/>
      <c r="AL567" s="74">
        <v>-2130.9494866332911</v>
      </c>
      <c r="AM567" s="74">
        <v>0</v>
      </c>
      <c r="AN567" s="73"/>
      <c r="AO567" s="72">
        <v>75886.995974756486</v>
      </c>
      <c r="AP567" s="72">
        <v>0</v>
      </c>
      <c r="AQ567" s="73"/>
      <c r="AR567" s="74">
        <v>-122.60837076974261</v>
      </c>
      <c r="AS567" s="74">
        <v>0</v>
      </c>
      <c r="AT567" s="73"/>
      <c r="AU567" s="72">
        <v>30328302.252976883</v>
      </c>
      <c r="AV567" s="72">
        <v>0</v>
      </c>
      <c r="AW567" s="73"/>
      <c r="AX567" s="74">
        <v>-2665.0810449782143</v>
      </c>
      <c r="AY567" s="74">
        <v>0</v>
      </c>
      <c r="AZ567" s="73"/>
      <c r="BA567" s="72">
        <v>217289.07815395613</v>
      </c>
      <c r="BB567" s="72">
        <v>0</v>
      </c>
      <c r="BC567" s="73"/>
      <c r="BD567" s="74">
        <v>-337.33669898410642</v>
      </c>
      <c r="BE567" s="74">
        <v>0</v>
      </c>
      <c r="BF567" s="73"/>
      <c r="BG567" s="72">
        <v>2054090.7257490219</v>
      </c>
      <c r="BH567" s="72">
        <v>0</v>
      </c>
      <c r="BI567" s="73"/>
      <c r="BJ567" s="74">
        <v>-1221.5569627525533</v>
      </c>
      <c r="BK567" s="74">
        <v>0</v>
      </c>
      <c r="BL567" s="73"/>
      <c r="BM567" s="72">
        <v>33816156.782732569</v>
      </c>
      <c r="BN567" s="72">
        <v>0</v>
      </c>
      <c r="BO567" s="73"/>
      <c r="BP567" s="74">
        <v>-6477.5325641179079</v>
      </c>
      <c r="BQ567" s="74">
        <v>0</v>
      </c>
      <c r="BS567" s="109">
        <f t="shared" si="222"/>
        <v>116611.95734432395</v>
      </c>
      <c r="BT567" s="109">
        <f t="shared" si="223"/>
        <v>117017.99178619031</v>
      </c>
      <c r="BV567" s="58">
        <f t="array" ref="BV567">SUM(IF(BS567:BT567&gt;=BS567, 1))</f>
        <v>2</v>
      </c>
      <c r="BW567" s="58">
        <f t="array" ref="BW567">SUM(IF(BS567:BT567&gt;=BT567, 1))</f>
        <v>1</v>
      </c>
      <c r="BY567" s="109">
        <f t="shared" si="224"/>
        <v>134130.25460506842</v>
      </c>
      <c r="BZ567" s="109">
        <f t="shared" si="225"/>
        <v>134492.18251465887</v>
      </c>
      <c r="CB567" s="58">
        <f t="array" ref="CB567">SUM(IF(BY567:BZ567&gt;=BY567, 1))</f>
        <v>2</v>
      </c>
      <c r="CC567" s="58">
        <f t="array" ref="CC567">SUM(IF(BY567:BZ567&gt;=BZ567, 1))</f>
        <v>1</v>
      </c>
      <c r="CE567" s="109">
        <f t="shared" si="226"/>
        <v>95733.408494623145</v>
      </c>
      <c r="CF567" s="109">
        <f t="shared" si="227"/>
        <v>99394.211471929462</v>
      </c>
      <c r="CH567" s="58">
        <f t="array" ref="CH567">SUM(IF(CE567:CF567&gt;=CE567, 1))</f>
        <v>2</v>
      </c>
      <c r="CI567" s="58">
        <f t="array" ref="CI567">SUM(IF(CE567:CF567&gt;=CF567, 1))</f>
        <v>1</v>
      </c>
      <c r="CK567" s="109">
        <f t="shared" si="228"/>
        <v>53167.787265392995</v>
      </c>
      <c r="CL567" s="109">
        <f t="shared" si="229"/>
        <v>53930.952075948037</v>
      </c>
      <c r="CN567" s="58">
        <f t="array" ref="CN567">SUM(IF(CK567:CL567&gt;=CK567, 1))</f>
        <v>2</v>
      </c>
      <c r="CO567" s="58">
        <f t="array" ref="CO567">SUM(IF(CK567:CL567&gt;=CL567, 1))</f>
        <v>1</v>
      </c>
      <c r="CQ567" s="109" cm="1">
        <f t="array" ref="CQ567">AF567*WTP-AC567</f>
        <v>48613.523990581365</v>
      </c>
      <c r="CR567" s="109">
        <f t="shared" si="230"/>
        <v>50256.064317692319</v>
      </c>
      <c r="CT567" s="58">
        <f t="array" ref="CT567">SUM(IF(CQ567:CR567&gt;=CQ567, 1))</f>
        <v>2</v>
      </c>
      <c r="CU567" s="58">
        <f t="array" ref="CU567">SUM(IF(CQ567:CR567&gt;=CR567, 1))</f>
        <v>1</v>
      </c>
      <c r="CW567" s="109">
        <f t="shared" si="231"/>
        <v>-43759577.462543778</v>
      </c>
      <c r="CX567" s="109">
        <f t="shared" si="232"/>
        <v>0</v>
      </c>
      <c r="CZ567" s="58">
        <f t="array" ref="CZ567">SUM(IF(CW567:CX567&gt;=CW567, 1))</f>
        <v>2</v>
      </c>
      <c r="DA567" s="58">
        <f t="array" ref="DA567">SUM(IF(CW567:CX567&gt;=CX567, 1))</f>
        <v>1</v>
      </c>
      <c r="DC567" s="109">
        <f t="shared" si="233"/>
        <v>-2528054.4113696082</v>
      </c>
      <c r="DD567" s="109">
        <f t="shared" si="234"/>
        <v>0</v>
      </c>
      <c r="DF567" s="58">
        <f t="array" ref="DF567">SUM(IF(DC567:DD567&gt;=DC567, 1))</f>
        <v>2</v>
      </c>
      <c r="DG567" s="58">
        <f t="array" ref="DG567">SUM(IF(DC567:DD567&gt;=DD567, 1))</f>
        <v>1</v>
      </c>
      <c r="DI567" s="109">
        <f t="shared" si="235"/>
        <v>-83629923.152541175</v>
      </c>
      <c r="DJ567" s="109">
        <f t="shared" si="236"/>
        <v>0</v>
      </c>
      <c r="DL567" s="58">
        <f t="array" ref="DL567">SUM(IF(DI567:DJ567&gt;=DI567, 1))</f>
        <v>2</v>
      </c>
      <c r="DM567" s="58">
        <f t="array" ref="DM567">SUM(IF(DI567:DJ567&gt;=DJ567, 1))</f>
        <v>1</v>
      </c>
      <c r="DO567" s="109">
        <f t="shared" si="237"/>
        <v>-6964023.0578360837</v>
      </c>
      <c r="DP567" s="109">
        <f t="shared" si="238"/>
        <v>0</v>
      </c>
      <c r="DR567" s="58">
        <f t="array" ref="DR567">SUM(IF(DO567:DP567&gt;=DO567, 1))</f>
        <v>2</v>
      </c>
      <c r="DS567" s="58">
        <f t="array" ref="DS567">SUM(IF(DO567:DP567&gt;=DP567, 1))</f>
        <v>1</v>
      </c>
      <c r="DU567" s="109">
        <f t="shared" si="239"/>
        <v>-26485229.980800088</v>
      </c>
      <c r="DV567" s="109">
        <f t="shared" si="240"/>
        <v>0</v>
      </c>
      <c r="DX567" s="58">
        <f t="array" ref="DX567">SUM(IF(DU567:DV567&gt;=DU567, 1))</f>
        <v>2</v>
      </c>
      <c r="DY567" s="58">
        <f t="array" ref="DY567">SUM(IF(DU567:DV567&gt;=DV567, 1))</f>
        <v>1</v>
      </c>
      <c r="EA567" s="109">
        <f t="shared" si="241"/>
        <v>-163366808.06509072</v>
      </c>
      <c r="EB567" s="109">
        <f t="shared" si="242"/>
        <v>0</v>
      </c>
      <c r="ED567" s="58">
        <f t="array" ref="ED567">SUM(IF(EA567:EB567&gt;=EA567, 1))</f>
        <v>2</v>
      </c>
      <c r="EE567" s="58">
        <f t="array" ref="EE567">SUM(IF(EA567:EB567&gt;=EB567, 1))</f>
        <v>1</v>
      </c>
    </row>
    <row r="568" spans="4:135" ht="12" customHeight="1" x14ac:dyDescent="0.25">
      <c r="D568" s="11">
        <v>552</v>
      </c>
      <c r="E568" s="72">
        <v>219.18065152589034</v>
      </c>
      <c r="F568" s="72">
        <v>199.52976230570482</v>
      </c>
      <c r="G568" s="73"/>
      <c r="H568" s="74">
        <v>5.8232454637038824</v>
      </c>
      <c r="I568" s="74">
        <v>5.8411461825038318</v>
      </c>
      <c r="J568" s="73"/>
      <c r="K568" s="72">
        <v>235.29160129348085</v>
      </c>
      <c r="L568" s="72">
        <v>215.16003042438669</v>
      </c>
      <c r="M568" s="73"/>
      <c r="N568" s="74">
        <v>6.743254906233072</v>
      </c>
      <c r="O568" s="74">
        <v>6.7588736090469634</v>
      </c>
      <c r="P568" s="73"/>
      <c r="Q568" s="72">
        <v>3373.0862501534943</v>
      </c>
      <c r="R568" s="72">
        <v>1548.1133943652833</v>
      </c>
      <c r="S568" s="73"/>
      <c r="T568" s="74">
        <v>4.7661569148066469</v>
      </c>
      <c r="U568" s="74">
        <v>4.8735319430514688</v>
      </c>
      <c r="V568" s="73"/>
      <c r="W568" s="72">
        <v>11241.276853407935</v>
      </c>
      <c r="X568" s="72">
        <v>11151.509545123416</v>
      </c>
      <c r="Y568" s="73"/>
      <c r="Z568" s="74">
        <v>3.1423888659166668</v>
      </c>
      <c r="AA568" s="74">
        <v>3.1755933282013893</v>
      </c>
      <c r="AB568" s="73"/>
      <c r="AC568" s="72">
        <v>50874.26992924232</v>
      </c>
      <c r="AD568" s="72">
        <v>50577.485319085557</v>
      </c>
      <c r="AE568" s="73"/>
      <c r="AF568" s="74">
        <v>4.7705350497196628</v>
      </c>
      <c r="AG568" s="74">
        <v>4.9104923580740065</v>
      </c>
      <c r="AH568" s="73"/>
      <c r="AI568" s="72">
        <v>2117053.0198739856</v>
      </c>
      <c r="AJ568" s="72">
        <v>0</v>
      </c>
      <c r="AK568" s="73"/>
      <c r="AL568" s="74">
        <v>-1928.5015740875494</v>
      </c>
      <c r="AM568" s="74">
        <v>0</v>
      </c>
      <c r="AN568" s="73"/>
      <c r="AO568" s="72">
        <v>136940.35178946002</v>
      </c>
      <c r="AP568" s="72">
        <v>0</v>
      </c>
      <c r="AQ568" s="73"/>
      <c r="AR568" s="74">
        <v>-106.24261125657311</v>
      </c>
      <c r="AS568" s="74">
        <v>0</v>
      </c>
      <c r="AT568" s="73"/>
      <c r="AU568" s="72">
        <v>42413549.121249311</v>
      </c>
      <c r="AV568" s="72">
        <v>0</v>
      </c>
      <c r="AW568" s="73"/>
      <c r="AX568" s="74">
        <v>-2495.4650807068192</v>
      </c>
      <c r="AY568" s="74">
        <v>0</v>
      </c>
      <c r="AZ568" s="73"/>
      <c r="BA568" s="72">
        <v>803817.76213960047</v>
      </c>
      <c r="BB568" s="72">
        <v>0</v>
      </c>
      <c r="BC568" s="73"/>
      <c r="BD568" s="74">
        <v>-297.32802594635911</v>
      </c>
      <c r="BE568" s="74">
        <v>0</v>
      </c>
      <c r="BF568" s="73"/>
      <c r="BG568" s="72">
        <v>4668000.1772832386</v>
      </c>
      <c r="BH568" s="72">
        <v>0</v>
      </c>
      <c r="BI568" s="73"/>
      <c r="BJ568" s="74">
        <v>-2201.3295765743192</v>
      </c>
      <c r="BK568" s="74">
        <v>0</v>
      </c>
      <c r="BL568" s="73"/>
      <c r="BM568" s="72">
        <v>50139360.4323356</v>
      </c>
      <c r="BN568" s="72">
        <v>0</v>
      </c>
      <c r="BO568" s="73"/>
      <c r="BP568" s="74">
        <v>-7028.8668685716202</v>
      </c>
      <c r="BQ568" s="74">
        <v>0</v>
      </c>
      <c r="BS568" s="109">
        <f t="shared" si="222"/>
        <v>116245.72862255176</v>
      </c>
      <c r="BT568" s="109">
        <f t="shared" si="223"/>
        <v>116623.39388777094</v>
      </c>
      <c r="BV568" s="58">
        <f t="array" ref="BV568">SUM(IF(BS568:BT568&gt;=BS568, 1))</f>
        <v>2</v>
      </c>
      <c r="BW568" s="58">
        <f t="array" ref="BW568">SUM(IF(BS568:BT568&gt;=BT568, 1))</f>
        <v>1</v>
      </c>
      <c r="BY568" s="109">
        <f t="shared" si="224"/>
        <v>134629.80652336797</v>
      </c>
      <c r="BZ568" s="109">
        <f t="shared" si="225"/>
        <v>134962.31215051489</v>
      </c>
      <c r="CB568" s="58">
        <f t="array" ref="CB568">SUM(IF(BY568:BZ568&gt;=BY568, 1))</f>
        <v>2</v>
      </c>
      <c r="CC568" s="58">
        <f t="array" ref="CC568">SUM(IF(BY568:BZ568&gt;=BZ568, 1))</f>
        <v>1</v>
      </c>
      <c r="CE568" s="109">
        <f t="shared" si="226"/>
        <v>91950.052045979435</v>
      </c>
      <c r="CF568" s="109">
        <f t="shared" si="227"/>
        <v>95922.525466664098</v>
      </c>
      <c r="CH568" s="58">
        <f t="array" ref="CH568">SUM(IF(CE568:CF568&gt;=CE568, 1))</f>
        <v>2</v>
      </c>
      <c r="CI568" s="58">
        <f t="array" ref="CI568">SUM(IF(CE568:CF568&gt;=CF568, 1))</f>
        <v>1</v>
      </c>
      <c r="CK568" s="109">
        <f t="shared" si="228"/>
        <v>51606.500464925397</v>
      </c>
      <c r="CL568" s="109">
        <f t="shared" si="229"/>
        <v>52360.357018904368</v>
      </c>
      <c r="CN568" s="58">
        <f t="array" ref="CN568">SUM(IF(CK568:CL568&gt;=CK568, 1))</f>
        <v>2</v>
      </c>
      <c r="CO568" s="58">
        <f t="array" ref="CO568">SUM(IF(CK568:CL568&gt;=CL568, 1))</f>
        <v>1</v>
      </c>
      <c r="CQ568" s="109" cm="1">
        <f t="array" ref="CQ568">AF568*WTP-AC568</f>
        <v>44536.431065150929</v>
      </c>
      <c r="CR568" s="109">
        <f t="shared" si="230"/>
        <v>47632.361842394566</v>
      </c>
      <c r="CT568" s="58">
        <f t="array" ref="CT568">SUM(IF(CQ568:CR568&gt;=CQ568, 1))</f>
        <v>2</v>
      </c>
      <c r="CU568" s="58">
        <f t="array" ref="CU568">SUM(IF(CQ568:CR568&gt;=CR568, 1))</f>
        <v>1</v>
      </c>
      <c r="CW568" s="109">
        <f t="shared" si="231"/>
        <v>-40687084.501624972</v>
      </c>
      <c r="CX568" s="109">
        <f t="shared" si="232"/>
        <v>0</v>
      </c>
      <c r="CZ568" s="58">
        <f t="array" ref="CZ568">SUM(IF(CW568:CX568&gt;=CW568, 1))</f>
        <v>2</v>
      </c>
      <c r="DA568" s="58">
        <f t="array" ref="DA568">SUM(IF(CW568:CX568&gt;=CX568, 1))</f>
        <v>1</v>
      </c>
      <c r="DC568" s="109">
        <f t="shared" si="233"/>
        <v>-2261792.5769209224</v>
      </c>
      <c r="DD568" s="109">
        <f t="shared" si="234"/>
        <v>0</v>
      </c>
      <c r="DF568" s="58">
        <f t="array" ref="DF568">SUM(IF(DC568:DD568&gt;=DC568, 1))</f>
        <v>2</v>
      </c>
      <c r="DG568" s="58">
        <f t="array" ref="DG568">SUM(IF(DC568:DD568&gt;=DD568, 1))</f>
        <v>1</v>
      </c>
      <c r="DI568" s="109">
        <f t="shared" si="235"/>
        <v>-92322850.735385686</v>
      </c>
      <c r="DJ568" s="109">
        <f t="shared" si="236"/>
        <v>0</v>
      </c>
      <c r="DL568" s="58">
        <f t="array" ref="DL568">SUM(IF(DI568:DJ568&gt;=DI568, 1))</f>
        <v>2</v>
      </c>
      <c r="DM568" s="58">
        <f t="array" ref="DM568">SUM(IF(DI568:DJ568&gt;=DJ568, 1))</f>
        <v>1</v>
      </c>
      <c r="DO568" s="109">
        <f t="shared" si="237"/>
        <v>-6750378.2810667828</v>
      </c>
      <c r="DP568" s="109">
        <f t="shared" si="238"/>
        <v>0</v>
      </c>
      <c r="DR568" s="58">
        <f t="array" ref="DR568">SUM(IF(DO568:DP568&gt;=DO568, 1))</f>
        <v>2</v>
      </c>
      <c r="DS568" s="58">
        <f t="array" ref="DS568">SUM(IF(DO568:DP568&gt;=DP568, 1))</f>
        <v>1</v>
      </c>
      <c r="DU568" s="109">
        <f t="shared" si="239"/>
        <v>-48694591.708769619</v>
      </c>
      <c r="DV568" s="109">
        <f t="shared" si="240"/>
        <v>0</v>
      </c>
      <c r="DX568" s="58">
        <f t="array" ref="DX568">SUM(IF(DU568:DV568&gt;=DU568, 1))</f>
        <v>2</v>
      </c>
      <c r="DY568" s="58">
        <f t="array" ref="DY568">SUM(IF(DU568:DV568&gt;=DV568, 1))</f>
        <v>1</v>
      </c>
      <c r="EA568" s="109">
        <f t="shared" si="241"/>
        <v>-190716697.80376798</v>
      </c>
      <c r="EB568" s="109">
        <f t="shared" si="242"/>
        <v>0</v>
      </c>
      <c r="ED568" s="58">
        <f t="array" ref="ED568">SUM(IF(EA568:EB568&gt;=EA568, 1))</f>
        <v>2</v>
      </c>
      <c r="EE568" s="58">
        <f t="array" ref="EE568">SUM(IF(EA568:EB568&gt;=EB568, 1))</f>
        <v>1</v>
      </c>
    </row>
    <row r="569" spans="4:135" ht="12" customHeight="1" x14ac:dyDescent="0.25">
      <c r="D569" s="11">
        <v>553</v>
      </c>
      <c r="E569" s="72">
        <v>263.94085525649245</v>
      </c>
      <c r="F569" s="72">
        <v>250.42400141725273</v>
      </c>
      <c r="G569" s="73"/>
      <c r="H569" s="74">
        <v>5.7920064905989292</v>
      </c>
      <c r="I569" s="74">
        <v>5.8085649212351917</v>
      </c>
      <c r="J569" s="73"/>
      <c r="K569" s="72">
        <v>283.99939119494024</v>
      </c>
      <c r="L569" s="72">
        <v>270.12787157482637</v>
      </c>
      <c r="M569" s="73"/>
      <c r="N569" s="74">
        <v>6.6938703928036363</v>
      </c>
      <c r="O569" s="74">
        <v>6.7080665964031709</v>
      </c>
      <c r="P569" s="73"/>
      <c r="Q569" s="72">
        <v>2273.9574059564461</v>
      </c>
      <c r="R569" s="72">
        <v>1398.3074162608634</v>
      </c>
      <c r="S569" s="73"/>
      <c r="T569" s="74">
        <v>4.6604105064136583</v>
      </c>
      <c r="U569" s="74">
        <v>4.7259726973796532</v>
      </c>
      <c r="V569" s="73"/>
      <c r="W569" s="72">
        <v>8184.6643151229337</v>
      </c>
      <c r="X569" s="72">
        <v>8200.9556905316658</v>
      </c>
      <c r="Y569" s="73"/>
      <c r="Z569" s="74">
        <v>3.1175171945594045</v>
      </c>
      <c r="AA569" s="74">
        <v>3.1653911772319989</v>
      </c>
      <c r="AB569" s="73"/>
      <c r="AC569" s="72">
        <v>50488.702577187112</v>
      </c>
      <c r="AD569" s="72">
        <v>50062.635466119078</v>
      </c>
      <c r="AE569" s="73"/>
      <c r="AF569" s="74">
        <v>4.4905233486791225</v>
      </c>
      <c r="AG569" s="74">
        <v>4.6845153963462787</v>
      </c>
      <c r="AH569" s="73"/>
      <c r="AI569" s="72">
        <v>1456787.8346643357</v>
      </c>
      <c r="AJ569" s="72">
        <v>0</v>
      </c>
      <c r="AK569" s="73"/>
      <c r="AL569" s="74">
        <v>-1784.5957793827281</v>
      </c>
      <c r="AM569" s="74">
        <v>0</v>
      </c>
      <c r="AN569" s="73"/>
      <c r="AO569" s="72">
        <v>93543.265742080708</v>
      </c>
      <c r="AP569" s="72">
        <v>0</v>
      </c>
      <c r="AQ569" s="73"/>
      <c r="AR569" s="74">
        <v>-95.732787914194816</v>
      </c>
      <c r="AS569" s="74">
        <v>0</v>
      </c>
      <c r="AT569" s="73"/>
      <c r="AU569" s="72">
        <v>20116031.409774382</v>
      </c>
      <c r="AV569" s="72">
        <v>0</v>
      </c>
      <c r="AW569" s="73"/>
      <c r="AX569" s="74">
        <v>-1506.1395629366421</v>
      </c>
      <c r="AY569" s="74">
        <v>0</v>
      </c>
      <c r="AZ569" s="73"/>
      <c r="BA569" s="72">
        <v>-142190.1956262608</v>
      </c>
      <c r="BB569" s="72">
        <v>0</v>
      </c>
      <c r="BC569" s="73"/>
      <c r="BD569" s="74">
        <v>-417.84139097155452</v>
      </c>
      <c r="BE569" s="74">
        <v>0</v>
      </c>
      <c r="BF569" s="73"/>
      <c r="BG569" s="72">
        <v>6433110.1747245202</v>
      </c>
      <c r="BH569" s="72">
        <v>0</v>
      </c>
      <c r="BI569" s="73"/>
      <c r="BJ569" s="74">
        <v>-2929.0508073596675</v>
      </c>
      <c r="BK569" s="74">
        <v>0</v>
      </c>
      <c r="BL569" s="73"/>
      <c r="BM569" s="72">
        <v>27957282.489279054</v>
      </c>
      <c r="BN569" s="72">
        <v>0</v>
      </c>
      <c r="BO569" s="73"/>
      <c r="BP569" s="74">
        <v>-6733.3603285647869</v>
      </c>
      <c r="BQ569" s="74">
        <v>0</v>
      </c>
      <c r="BS569" s="109">
        <f t="shared" si="222"/>
        <v>115576.18895672209</v>
      </c>
      <c r="BT569" s="109">
        <f t="shared" si="223"/>
        <v>115920.87442328659</v>
      </c>
      <c r="BV569" s="58">
        <f t="array" ref="BV569">SUM(IF(BS569:BT569&gt;=BS569, 1))</f>
        <v>2</v>
      </c>
      <c r="BW569" s="58">
        <f t="array" ref="BW569">SUM(IF(BS569:BT569&gt;=BT569, 1))</f>
        <v>1</v>
      </c>
      <c r="BY569" s="109">
        <f t="shared" si="224"/>
        <v>133593.40846487781</v>
      </c>
      <c r="BZ569" s="109">
        <f t="shared" si="225"/>
        <v>133891.20405648858</v>
      </c>
      <c r="CB569" s="58">
        <f t="array" ref="CB569">SUM(IF(BY569:BZ569&gt;=BY569, 1))</f>
        <v>2</v>
      </c>
      <c r="CC569" s="58">
        <f t="array" ref="CC569">SUM(IF(BY569:BZ569&gt;=BZ569, 1))</f>
        <v>1</v>
      </c>
      <c r="CE569" s="109">
        <f t="shared" si="226"/>
        <v>90934.252722316713</v>
      </c>
      <c r="CF569" s="109">
        <f t="shared" si="227"/>
        <v>93121.146531332197</v>
      </c>
      <c r="CH569" s="58">
        <f t="array" ref="CH569">SUM(IF(CE569:CF569&gt;=CE569, 1))</f>
        <v>2</v>
      </c>
      <c r="CI569" s="58">
        <f t="array" ref="CI569">SUM(IF(CE569:CF569&gt;=CF569, 1))</f>
        <v>1</v>
      </c>
      <c r="CK569" s="109">
        <f t="shared" si="228"/>
        <v>54165.679576065151</v>
      </c>
      <c r="CL569" s="109">
        <f t="shared" si="229"/>
        <v>55106.867854108314</v>
      </c>
      <c r="CN569" s="58">
        <f t="array" ref="CN569">SUM(IF(CK569:CL569&gt;=CK569, 1))</f>
        <v>2</v>
      </c>
      <c r="CO569" s="58">
        <f t="array" ref="CO569">SUM(IF(CK569:CL569&gt;=CL569, 1))</f>
        <v>1</v>
      </c>
      <c r="CQ569" s="109" cm="1">
        <f t="array" ref="CQ569">AF569*WTP-AC569</f>
        <v>39321.764396395345</v>
      </c>
      <c r="CR569" s="109">
        <f t="shared" si="230"/>
        <v>43627.672460806491</v>
      </c>
      <c r="CT569" s="58">
        <f t="array" ref="CT569">SUM(IF(CQ569:CR569&gt;=CQ569, 1))</f>
        <v>2</v>
      </c>
      <c r="CU569" s="58">
        <f t="array" ref="CU569">SUM(IF(CQ569:CR569&gt;=CR569, 1))</f>
        <v>1</v>
      </c>
      <c r="CW569" s="109">
        <f t="shared" si="231"/>
        <v>-37148703.422318898</v>
      </c>
      <c r="CX569" s="109">
        <f t="shared" si="232"/>
        <v>0</v>
      </c>
      <c r="CZ569" s="58">
        <f t="array" ref="CZ569">SUM(IF(CW569:CX569&gt;=CW569, 1))</f>
        <v>2</v>
      </c>
      <c r="DA569" s="58">
        <f t="array" ref="DA569">SUM(IF(CW569:CX569&gt;=CX569, 1))</f>
        <v>1</v>
      </c>
      <c r="DC569" s="109">
        <f t="shared" si="233"/>
        <v>-2008199.0240259771</v>
      </c>
      <c r="DD569" s="109">
        <f t="shared" si="234"/>
        <v>0</v>
      </c>
      <c r="DF569" s="58">
        <f t="array" ref="DF569">SUM(IF(DC569:DD569&gt;=DC569, 1))</f>
        <v>2</v>
      </c>
      <c r="DG569" s="58">
        <f t="array" ref="DG569">SUM(IF(DC569:DD569&gt;=DD569, 1))</f>
        <v>1</v>
      </c>
      <c r="DI569" s="109">
        <f t="shared" si="235"/>
        <v>-50238822.668507218</v>
      </c>
      <c r="DJ569" s="109">
        <f t="shared" si="236"/>
        <v>0</v>
      </c>
      <c r="DL569" s="58">
        <f t="array" ref="DL569">SUM(IF(DI569:DJ569&gt;=DI569, 1))</f>
        <v>2</v>
      </c>
      <c r="DM569" s="58">
        <f t="array" ref="DM569">SUM(IF(DI569:DJ569&gt;=DJ569, 1))</f>
        <v>1</v>
      </c>
      <c r="DO569" s="109">
        <f t="shared" si="237"/>
        <v>-8214637.62380483</v>
      </c>
      <c r="DP569" s="109">
        <f t="shared" si="238"/>
        <v>0</v>
      </c>
      <c r="DR569" s="58">
        <f t="array" ref="DR569">SUM(IF(DO569:DP569&gt;=DO569, 1))</f>
        <v>2</v>
      </c>
      <c r="DS569" s="58">
        <f t="array" ref="DS569">SUM(IF(DO569:DP569&gt;=DP569, 1))</f>
        <v>1</v>
      </c>
      <c r="DU569" s="109">
        <f t="shared" si="239"/>
        <v>-65014126.321917869</v>
      </c>
      <c r="DV569" s="109">
        <f t="shared" si="240"/>
        <v>0</v>
      </c>
      <c r="DX569" s="58">
        <f t="array" ref="DX569">SUM(IF(DU569:DV569&gt;=DU569, 1))</f>
        <v>2</v>
      </c>
      <c r="DY569" s="58">
        <f t="array" ref="DY569">SUM(IF(DU569:DV569&gt;=DV569, 1))</f>
        <v>1</v>
      </c>
      <c r="EA569" s="109">
        <f t="shared" si="241"/>
        <v>-162624489.0605748</v>
      </c>
      <c r="EB569" s="109">
        <f t="shared" si="242"/>
        <v>0</v>
      </c>
      <c r="ED569" s="58">
        <f t="array" ref="ED569">SUM(IF(EA569:EB569&gt;=EA569, 1))</f>
        <v>2</v>
      </c>
      <c r="EE569" s="58">
        <f t="array" ref="EE569">SUM(IF(EA569:EB569&gt;=EB569, 1))</f>
        <v>1</v>
      </c>
    </row>
    <row r="570" spans="4:135" ht="12" customHeight="1" x14ac:dyDescent="0.25">
      <c r="D570" s="11">
        <v>554</v>
      </c>
      <c r="E570" s="72">
        <v>199.35248440388213</v>
      </c>
      <c r="F570" s="72">
        <v>189.19716244836727</v>
      </c>
      <c r="G570" s="73"/>
      <c r="H570" s="74">
        <v>5.8694877036283639</v>
      </c>
      <c r="I570" s="74">
        <v>5.8861666720890362</v>
      </c>
      <c r="J570" s="73"/>
      <c r="K570" s="72">
        <v>214.47555379030456</v>
      </c>
      <c r="L570" s="72">
        <v>204.06941115481615</v>
      </c>
      <c r="M570" s="73"/>
      <c r="N570" s="74">
        <v>6.7229052381125287</v>
      </c>
      <c r="O570" s="74">
        <v>6.7377582822846556</v>
      </c>
      <c r="P570" s="73"/>
      <c r="Q570" s="72">
        <v>1968.193265576469</v>
      </c>
      <c r="R570" s="72">
        <v>1151.4086309680774</v>
      </c>
      <c r="S570" s="73"/>
      <c r="T570" s="74">
        <v>4.9633606278135867</v>
      </c>
      <c r="U570" s="74">
        <v>5.0450191684940053</v>
      </c>
      <c r="V570" s="73"/>
      <c r="W570" s="72">
        <v>11154.473156770375</v>
      </c>
      <c r="X570" s="72">
        <v>11161.67762332219</v>
      </c>
      <c r="Y570" s="73"/>
      <c r="Z570" s="74">
        <v>3.0200075493937328</v>
      </c>
      <c r="AA570" s="74">
        <v>3.0831518085998839</v>
      </c>
      <c r="AB570" s="73"/>
      <c r="AC570" s="72">
        <v>50351.50194766948</v>
      </c>
      <c r="AD570" s="72">
        <v>50090.601919255263</v>
      </c>
      <c r="AE570" s="73"/>
      <c r="AF570" s="74">
        <v>4.0867470078596506</v>
      </c>
      <c r="AG570" s="74">
        <v>4.1752888009969302</v>
      </c>
      <c r="AH570" s="73"/>
      <c r="AI570" s="72">
        <v>1091499.4822574842</v>
      </c>
      <c r="AJ570" s="72">
        <v>0</v>
      </c>
      <c r="AK570" s="73"/>
      <c r="AL570" s="74">
        <v>-1792.6645279351694</v>
      </c>
      <c r="AM570" s="74">
        <v>0</v>
      </c>
      <c r="AN570" s="73"/>
      <c r="AO570" s="72">
        <v>70375.239762707351</v>
      </c>
      <c r="AP570" s="72">
        <v>0</v>
      </c>
      <c r="AQ570" s="73"/>
      <c r="AR570" s="74">
        <v>-100.44899262237051</v>
      </c>
      <c r="AS570" s="74">
        <v>0</v>
      </c>
      <c r="AT570" s="73"/>
      <c r="AU570" s="72">
        <v>18798073.708529685</v>
      </c>
      <c r="AV570" s="72">
        <v>0</v>
      </c>
      <c r="AW570" s="73"/>
      <c r="AX570" s="74">
        <v>-1879.3488535413608</v>
      </c>
      <c r="AY570" s="74">
        <v>0</v>
      </c>
      <c r="AZ570" s="73"/>
      <c r="BA570" s="72">
        <v>-63330.636043020568</v>
      </c>
      <c r="BB570" s="72">
        <v>0</v>
      </c>
      <c r="BC570" s="73"/>
      <c r="BD570" s="74">
        <v>-555.06761940388003</v>
      </c>
      <c r="BE570" s="74">
        <v>0</v>
      </c>
      <c r="BF570" s="73"/>
      <c r="BG570" s="72">
        <v>4339650.882548769</v>
      </c>
      <c r="BH570" s="72">
        <v>0</v>
      </c>
      <c r="BI570" s="73"/>
      <c r="BJ570" s="74">
        <v>-1472.7498232411401</v>
      </c>
      <c r="BK570" s="74">
        <v>0</v>
      </c>
      <c r="BL570" s="73"/>
      <c r="BM570" s="72">
        <v>24236268.677055623</v>
      </c>
      <c r="BN570" s="72">
        <v>0</v>
      </c>
      <c r="BO570" s="73"/>
      <c r="BP570" s="74">
        <v>-5800.2798167439205</v>
      </c>
      <c r="BQ570" s="74">
        <v>0</v>
      </c>
      <c r="BS570" s="109">
        <f t="shared" si="222"/>
        <v>117190.4015881634</v>
      </c>
      <c r="BT570" s="109">
        <f t="shared" si="223"/>
        <v>117534.13627933235</v>
      </c>
      <c r="BV570" s="58">
        <f t="array" ref="BV570">SUM(IF(BS570:BT570&gt;=BS570, 1))</f>
        <v>2</v>
      </c>
      <c r="BW570" s="58">
        <f t="array" ref="BW570">SUM(IF(BS570:BT570&gt;=BT570, 1))</f>
        <v>1</v>
      </c>
      <c r="BY570" s="109">
        <f t="shared" si="224"/>
        <v>134243.62920846028</v>
      </c>
      <c r="BZ570" s="109">
        <f t="shared" si="225"/>
        <v>134551.0962345383</v>
      </c>
      <c r="CB570" s="58">
        <f t="array" ref="CB570">SUM(IF(BY570:BZ570&gt;=BY570, 1))</f>
        <v>2</v>
      </c>
      <c r="CC570" s="58">
        <f t="array" ref="CC570">SUM(IF(BY570:BZ570&gt;=BZ570, 1))</f>
        <v>1</v>
      </c>
      <c r="CE570" s="109">
        <f t="shared" si="226"/>
        <v>97299.019290695258</v>
      </c>
      <c r="CF570" s="109">
        <f t="shared" si="227"/>
        <v>99748.974738912031</v>
      </c>
      <c r="CH570" s="58">
        <f t="array" ref="CH570">SUM(IF(CE570:CF570&gt;=CE570, 1))</f>
        <v>2</v>
      </c>
      <c r="CI570" s="58">
        <f t="array" ref="CI570">SUM(IF(CE570:CF570&gt;=CF570, 1))</f>
        <v>1</v>
      </c>
      <c r="CK570" s="109">
        <f t="shared" si="228"/>
        <v>49245.677831104287</v>
      </c>
      <c r="CL570" s="109">
        <f t="shared" si="229"/>
        <v>50501.358548675489</v>
      </c>
      <c r="CN570" s="58">
        <f t="array" ref="CN570">SUM(IF(CK570:CL570&gt;=CK570, 1))</f>
        <v>2</v>
      </c>
      <c r="CO570" s="58">
        <f t="array" ref="CO570">SUM(IF(CK570:CL570&gt;=CL570, 1))</f>
        <v>1</v>
      </c>
      <c r="CQ570" s="109" cm="1">
        <f t="array" ref="CQ570">AF570*WTP-AC570</f>
        <v>31383.438209523527</v>
      </c>
      <c r="CR570" s="109">
        <f t="shared" si="230"/>
        <v>33415.174100683347</v>
      </c>
      <c r="CT570" s="58">
        <f t="array" ref="CT570">SUM(IF(CQ570:CR570&gt;=CQ570, 1))</f>
        <v>2</v>
      </c>
      <c r="CU570" s="58">
        <f t="array" ref="CU570">SUM(IF(CQ570:CR570&gt;=CR570, 1))</f>
        <v>1</v>
      </c>
      <c r="CW570" s="109">
        <f t="shared" si="231"/>
        <v>-36944790.040960871</v>
      </c>
      <c r="CX570" s="109">
        <f t="shared" si="232"/>
        <v>0</v>
      </c>
      <c r="CZ570" s="58">
        <f t="array" ref="CZ570">SUM(IF(CW570:CX570&gt;=CW570, 1))</f>
        <v>2</v>
      </c>
      <c r="DA570" s="58">
        <f t="array" ref="DA570">SUM(IF(CW570:CX570&gt;=CX570, 1))</f>
        <v>1</v>
      </c>
      <c r="DC570" s="109">
        <f t="shared" si="233"/>
        <v>-2079355.0922101175</v>
      </c>
      <c r="DD570" s="109">
        <f t="shared" si="234"/>
        <v>0</v>
      </c>
      <c r="DF570" s="58">
        <f t="array" ref="DF570">SUM(IF(DC570:DD570&gt;=DC570, 1))</f>
        <v>2</v>
      </c>
      <c r="DG570" s="58">
        <f t="array" ref="DG570">SUM(IF(DC570:DD570&gt;=DD570, 1))</f>
        <v>1</v>
      </c>
      <c r="DI570" s="109">
        <f t="shared" si="235"/>
        <v>-56385050.779356897</v>
      </c>
      <c r="DJ570" s="109">
        <f t="shared" si="236"/>
        <v>0</v>
      </c>
      <c r="DL570" s="58">
        <f t="array" ref="DL570">SUM(IF(DI570:DJ570&gt;=DI570, 1))</f>
        <v>2</v>
      </c>
      <c r="DM570" s="58">
        <f t="array" ref="DM570">SUM(IF(DI570:DJ570&gt;=DJ570, 1))</f>
        <v>1</v>
      </c>
      <c r="DO570" s="109">
        <f t="shared" si="237"/>
        <v>-11038021.752034578</v>
      </c>
      <c r="DP570" s="109">
        <f t="shared" si="238"/>
        <v>0</v>
      </c>
      <c r="DR570" s="58">
        <f t="array" ref="DR570">SUM(IF(DO570:DP570&gt;=DO570, 1))</f>
        <v>2</v>
      </c>
      <c r="DS570" s="58">
        <f t="array" ref="DS570">SUM(IF(DO570:DP570&gt;=DP570, 1))</f>
        <v>1</v>
      </c>
      <c r="DU570" s="109">
        <f t="shared" si="239"/>
        <v>-33794647.347371571</v>
      </c>
      <c r="DV570" s="109">
        <f t="shared" si="240"/>
        <v>0</v>
      </c>
      <c r="DX570" s="58">
        <f t="array" ref="DX570">SUM(IF(DU570:DV570&gt;=DU570, 1))</f>
        <v>2</v>
      </c>
      <c r="DY570" s="58">
        <f t="array" ref="DY570">SUM(IF(DU570:DV570&gt;=DV570, 1))</f>
        <v>1</v>
      </c>
      <c r="EA570" s="109">
        <f t="shared" si="241"/>
        <v>-140241865.01193404</v>
      </c>
      <c r="EB570" s="109">
        <f t="shared" si="242"/>
        <v>0</v>
      </c>
      <c r="ED570" s="58">
        <f t="array" ref="ED570">SUM(IF(EA570:EB570&gt;=EA570, 1))</f>
        <v>2</v>
      </c>
      <c r="EE570" s="58">
        <f t="array" ref="EE570">SUM(IF(EA570:EB570&gt;=EB570, 1))</f>
        <v>1</v>
      </c>
    </row>
    <row r="571" spans="4:135" ht="12" customHeight="1" x14ac:dyDescent="0.25">
      <c r="D571" s="11">
        <v>555</v>
      </c>
      <c r="E571" s="72">
        <v>219.77060340683227</v>
      </c>
      <c r="F571" s="72">
        <v>191.01313202121986</v>
      </c>
      <c r="G571" s="73"/>
      <c r="H571" s="74">
        <v>5.9272414897907897</v>
      </c>
      <c r="I571" s="74">
        <v>5.9429542712296941</v>
      </c>
      <c r="J571" s="73"/>
      <c r="K571" s="72">
        <v>235.40847649662044</v>
      </c>
      <c r="L571" s="72">
        <v>205.95885293366004</v>
      </c>
      <c r="M571" s="73"/>
      <c r="N571" s="74">
        <v>6.8152311428542767</v>
      </c>
      <c r="O571" s="74">
        <v>6.8291136697725365</v>
      </c>
      <c r="P571" s="73"/>
      <c r="Q571" s="72">
        <v>3406.6737942551986</v>
      </c>
      <c r="R571" s="72">
        <v>1317.70052680507</v>
      </c>
      <c r="S571" s="73"/>
      <c r="T571" s="74">
        <v>4.7232263926434568</v>
      </c>
      <c r="U571" s="74">
        <v>4.8669265519523917</v>
      </c>
      <c r="V571" s="73"/>
      <c r="W571" s="72">
        <v>15953.63049340096</v>
      </c>
      <c r="X571" s="72">
        <v>16032.67366630013</v>
      </c>
      <c r="Y571" s="73"/>
      <c r="Z571" s="74">
        <v>2.9416517410825724</v>
      </c>
      <c r="AA571" s="74">
        <v>3.0137125100634932</v>
      </c>
      <c r="AB571" s="73"/>
      <c r="AC571" s="72">
        <v>52124.541969404003</v>
      </c>
      <c r="AD571" s="72">
        <v>51943.938875084932</v>
      </c>
      <c r="AE571" s="73"/>
      <c r="AF571" s="74">
        <v>3.9195353841328635</v>
      </c>
      <c r="AG571" s="74">
        <v>4.0200695807573483</v>
      </c>
      <c r="AH571" s="73"/>
      <c r="AI571" s="72">
        <v>3075907.1527326684</v>
      </c>
      <c r="AJ571" s="72">
        <v>0</v>
      </c>
      <c r="AK571" s="73"/>
      <c r="AL571" s="74">
        <v>-1680.6434811035449</v>
      </c>
      <c r="AM571" s="74">
        <v>0</v>
      </c>
      <c r="AN571" s="73"/>
      <c r="AO571" s="72">
        <v>198553.06937804082</v>
      </c>
      <c r="AP571" s="72">
        <v>0</v>
      </c>
      <c r="AQ571" s="73"/>
      <c r="AR571" s="74">
        <v>-93.597744108708852</v>
      </c>
      <c r="AS571" s="74">
        <v>0</v>
      </c>
      <c r="AT571" s="73"/>
      <c r="AU571" s="72">
        <v>48715090.813614085</v>
      </c>
      <c r="AV571" s="72">
        <v>0</v>
      </c>
      <c r="AW571" s="73"/>
      <c r="AX571" s="74">
        <v>-3351.103826814624</v>
      </c>
      <c r="AY571" s="74">
        <v>0</v>
      </c>
      <c r="AZ571" s="73"/>
      <c r="BA571" s="72">
        <v>-776722.70520539605</v>
      </c>
      <c r="BB571" s="72">
        <v>0</v>
      </c>
      <c r="BC571" s="73"/>
      <c r="BD571" s="74">
        <v>-708.10967436037367</v>
      </c>
      <c r="BE571" s="74">
        <v>0</v>
      </c>
      <c r="BF571" s="73"/>
      <c r="BG571" s="72">
        <v>2899908.4630327779</v>
      </c>
      <c r="BH571" s="72">
        <v>0</v>
      </c>
      <c r="BI571" s="73"/>
      <c r="BJ571" s="74">
        <v>-1614.2578770022749</v>
      </c>
      <c r="BK571" s="74">
        <v>0</v>
      </c>
      <c r="BL571" s="73"/>
      <c r="BM571" s="72">
        <v>54112736.793552175</v>
      </c>
      <c r="BN571" s="72">
        <v>0</v>
      </c>
      <c r="BO571" s="73"/>
      <c r="BP571" s="74">
        <v>-7447.7126033895265</v>
      </c>
      <c r="BQ571" s="74">
        <v>0</v>
      </c>
      <c r="BS571" s="109">
        <f t="shared" si="222"/>
        <v>118325.05919240897</v>
      </c>
      <c r="BT571" s="109">
        <f t="shared" si="223"/>
        <v>118668.07229257266</v>
      </c>
      <c r="BV571" s="58">
        <f t="array" ref="BV571">SUM(IF(BS571:BT571&gt;=BS571, 1))</f>
        <v>2</v>
      </c>
      <c r="BW571" s="58">
        <f t="array" ref="BW571">SUM(IF(BS571:BT571&gt;=BT571, 1))</f>
        <v>1</v>
      </c>
      <c r="BY571" s="109">
        <f t="shared" si="224"/>
        <v>136069.21438058894</v>
      </c>
      <c r="BZ571" s="109">
        <f t="shared" si="225"/>
        <v>136376.31454251707</v>
      </c>
      <c r="CB571" s="58">
        <f t="array" ref="CB571">SUM(IF(BY571:BZ571&gt;=BY571, 1))</f>
        <v>2</v>
      </c>
      <c r="CC571" s="58">
        <f t="array" ref="CC571">SUM(IF(BY571:BZ571&gt;=BZ571, 1))</f>
        <v>1</v>
      </c>
      <c r="CE571" s="109">
        <f t="shared" si="226"/>
        <v>91057.854058613942</v>
      </c>
      <c r="CF571" s="109">
        <f t="shared" si="227"/>
        <v>96020.830512242756</v>
      </c>
      <c r="CH571" s="58">
        <f t="array" ref="CH571">SUM(IF(CE571:CF571&gt;=CE571, 1))</f>
        <v>2</v>
      </c>
      <c r="CI571" s="58">
        <f t="array" ref="CI571">SUM(IF(CE571:CF571&gt;=CF571, 1))</f>
        <v>1</v>
      </c>
      <c r="CK571" s="109">
        <f t="shared" si="228"/>
        <v>42879.404328250486</v>
      </c>
      <c r="CL571" s="109">
        <f t="shared" si="229"/>
        <v>44241.576534969732</v>
      </c>
      <c r="CN571" s="58">
        <f t="array" ref="CN571">SUM(IF(CK571:CL571&gt;=CK571, 1))</f>
        <v>2</v>
      </c>
      <c r="CO571" s="58">
        <f t="array" ref="CO571">SUM(IF(CK571:CL571&gt;=CL571, 1))</f>
        <v>1</v>
      </c>
      <c r="CQ571" s="109" cm="1">
        <f t="array" ref="CQ571">AF571*WTP-AC571</f>
        <v>26266.165713253271</v>
      </c>
      <c r="CR571" s="109">
        <f t="shared" si="230"/>
        <v>28457.452740062028</v>
      </c>
      <c r="CT571" s="58">
        <f t="array" ref="CT571">SUM(IF(CQ571:CR571&gt;=CQ571, 1))</f>
        <v>2</v>
      </c>
      <c r="CU571" s="58">
        <f t="array" ref="CU571">SUM(IF(CQ571:CR571&gt;=CR571, 1))</f>
        <v>1</v>
      </c>
      <c r="CW571" s="109">
        <f t="shared" si="231"/>
        <v>-36688776.774803571</v>
      </c>
      <c r="CX571" s="109">
        <f t="shared" si="232"/>
        <v>0</v>
      </c>
      <c r="CZ571" s="58">
        <f t="array" ref="CZ571">SUM(IF(CW571:CX571&gt;=CW571, 1))</f>
        <v>2</v>
      </c>
      <c r="DA571" s="58">
        <f t="array" ref="DA571">SUM(IF(CW571:CX571&gt;=CX571, 1))</f>
        <v>1</v>
      </c>
      <c r="DC571" s="109">
        <f t="shared" si="233"/>
        <v>-2070507.9515522178</v>
      </c>
      <c r="DD571" s="109">
        <f t="shared" si="234"/>
        <v>0</v>
      </c>
      <c r="DF571" s="58">
        <f t="array" ref="DF571">SUM(IF(DC571:DD571&gt;=DC571, 1))</f>
        <v>2</v>
      </c>
      <c r="DG571" s="58">
        <f t="array" ref="DG571">SUM(IF(DC571:DD571&gt;=DD571, 1))</f>
        <v>1</v>
      </c>
      <c r="DI571" s="109">
        <f t="shared" si="235"/>
        <v>-115737167.34990656</v>
      </c>
      <c r="DJ571" s="109">
        <f t="shared" si="236"/>
        <v>0</v>
      </c>
      <c r="DL571" s="58">
        <f t="array" ref="DL571">SUM(IF(DI571:DJ571&gt;=DI571, 1))</f>
        <v>2</v>
      </c>
      <c r="DM571" s="58">
        <f t="array" ref="DM571">SUM(IF(DI571:DJ571&gt;=DJ571, 1))</f>
        <v>1</v>
      </c>
      <c r="DO571" s="109">
        <f t="shared" si="237"/>
        <v>-13385470.782002078</v>
      </c>
      <c r="DP571" s="109">
        <f t="shared" si="238"/>
        <v>0</v>
      </c>
      <c r="DR571" s="58">
        <f t="array" ref="DR571">SUM(IF(DO571:DP571&gt;=DO571, 1))</f>
        <v>2</v>
      </c>
      <c r="DS571" s="58">
        <f t="array" ref="DS571">SUM(IF(DO571:DP571&gt;=DP571, 1))</f>
        <v>1</v>
      </c>
      <c r="DU571" s="109">
        <f t="shared" si="239"/>
        <v>-35185066.003078274</v>
      </c>
      <c r="DV571" s="109">
        <f t="shared" si="240"/>
        <v>0</v>
      </c>
      <c r="DX571" s="58">
        <f t="array" ref="DX571">SUM(IF(DU571:DV571&gt;=DU571, 1))</f>
        <v>2</v>
      </c>
      <c r="DY571" s="58">
        <f t="array" ref="DY571">SUM(IF(DU571:DV571&gt;=DV571, 1))</f>
        <v>1</v>
      </c>
      <c r="EA571" s="109">
        <f t="shared" si="241"/>
        <v>-203066988.86134273</v>
      </c>
      <c r="EB571" s="109">
        <f t="shared" si="242"/>
        <v>0</v>
      </c>
      <c r="ED571" s="58">
        <f t="array" ref="ED571">SUM(IF(EA571:EB571&gt;=EA571, 1))</f>
        <v>2</v>
      </c>
      <c r="EE571" s="58">
        <f t="array" ref="EE571">SUM(IF(EA571:EB571&gt;=EB571, 1))</f>
        <v>1</v>
      </c>
    </row>
    <row r="572" spans="4:135" ht="12" customHeight="1" x14ac:dyDescent="0.25">
      <c r="D572" s="11">
        <v>556</v>
      </c>
      <c r="E572" s="72">
        <v>245.25107855404892</v>
      </c>
      <c r="F572" s="72">
        <v>222.48610975418393</v>
      </c>
      <c r="G572" s="73"/>
      <c r="H572" s="74">
        <v>5.8328835794491818</v>
      </c>
      <c r="I572" s="74">
        <v>5.8486051109052584</v>
      </c>
      <c r="J572" s="73"/>
      <c r="K572" s="72">
        <v>263.23335903492313</v>
      </c>
      <c r="L572" s="72">
        <v>239.91555270934117</v>
      </c>
      <c r="M572" s="73"/>
      <c r="N572" s="74">
        <v>6.7007021239769333</v>
      </c>
      <c r="O572" s="74">
        <v>6.7141585552063487</v>
      </c>
      <c r="P572" s="73"/>
      <c r="Q572" s="72">
        <v>1761.7011087114174</v>
      </c>
      <c r="R572" s="72">
        <v>1222.9378980337083</v>
      </c>
      <c r="S572" s="73"/>
      <c r="T572" s="74">
        <v>4.8601475575079549</v>
      </c>
      <c r="U572" s="74">
        <v>4.9063791473388898</v>
      </c>
      <c r="V572" s="73"/>
      <c r="W572" s="72">
        <v>11898.037580117005</v>
      </c>
      <c r="X572" s="72">
        <v>11874.647735488479</v>
      </c>
      <c r="Y572" s="73"/>
      <c r="Z572" s="74">
        <v>2.8865118282630808</v>
      </c>
      <c r="AA572" s="74">
        <v>2.9192205113840592</v>
      </c>
      <c r="AB572" s="73"/>
      <c r="AC572" s="72">
        <v>50545.774378916605</v>
      </c>
      <c r="AD572" s="72">
        <v>50484.07955408642</v>
      </c>
      <c r="AE572" s="73"/>
      <c r="AF572" s="74">
        <v>4.9186268146126446</v>
      </c>
      <c r="AG572" s="74">
        <v>4.9808038341490262</v>
      </c>
      <c r="AH572" s="73"/>
      <c r="AI572" s="72">
        <v>2436281.1526483283</v>
      </c>
      <c r="AJ572" s="72">
        <v>0</v>
      </c>
      <c r="AK572" s="73"/>
      <c r="AL572" s="74">
        <v>-1682.5004731583183</v>
      </c>
      <c r="AM572" s="74">
        <v>0</v>
      </c>
      <c r="AN572" s="73"/>
      <c r="AO572" s="72">
        <v>156160.1015056952</v>
      </c>
      <c r="AP572" s="72">
        <v>0</v>
      </c>
      <c r="AQ572" s="73"/>
      <c r="AR572" s="74">
        <v>-90.118154227249093</v>
      </c>
      <c r="AS572" s="74">
        <v>0</v>
      </c>
      <c r="AT572" s="73"/>
      <c r="AU572" s="72">
        <v>12415131.466224289</v>
      </c>
      <c r="AV572" s="72">
        <v>0</v>
      </c>
      <c r="AW572" s="73"/>
      <c r="AX572" s="74">
        <v>-1065.3497756864604</v>
      </c>
      <c r="AY572" s="74">
        <v>0</v>
      </c>
      <c r="AZ572" s="73"/>
      <c r="BA572" s="72">
        <v>210676.47915171628</v>
      </c>
      <c r="BB572" s="72">
        <v>0</v>
      </c>
      <c r="BC572" s="73"/>
      <c r="BD572" s="74">
        <v>-294.61291030607651</v>
      </c>
      <c r="BE572" s="74">
        <v>0</v>
      </c>
      <c r="BF572" s="73"/>
      <c r="BG572" s="72">
        <v>972124.66149624821</v>
      </c>
      <c r="BH572" s="72">
        <v>0</v>
      </c>
      <c r="BI572" s="73"/>
      <c r="BJ572" s="74">
        <v>-979.72259806267425</v>
      </c>
      <c r="BK572" s="74">
        <v>0</v>
      </c>
      <c r="BL572" s="73"/>
      <c r="BM572" s="72">
        <v>16190373.861026278</v>
      </c>
      <c r="BN572" s="72">
        <v>0</v>
      </c>
      <c r="BO572" s="73"/>
      <c r="BP572" s="74">
        <v>-4112.3039114407784</v>
      </c>
      <c r="BQ572" s="74">
        <v>0</v>
      </c>
      <c r="BS572" s="109">
        <f t="shared" si="222"/>
        <v>116412.42051042958</v>
      </c>
      <c r="BT572" s="109">
        <f t="shared" si="223"/>
        <v>116749.61610835098</v>
      </c>
      <c r="BV572" s="58">
        <f t="array" ref="BV572">SUM(IF(BS572:BT572&gt;=BS572, 1))</f>
        <v>2</v>
      </c>
      <c r="BW572" s="58">
        <f t="array" ref="BW572">SUM(IF(BS572:BT572&gt;=BT572, 1))</f>
        <v>1</v>
      </c>
      <c r="BY572" s="109">
        <f t="shared" si="224"/>
        <v>133750.80912050375</v>
      </c>
      <c r="BZ572" s="109">
        <f t="shared" si="225"/>
        <v>134043.25555141765</v>
      </c>
      <c r="CB572" s="58">
        <f t="array" ref="CB572">SUM(IF(BY572:BZ572&gt;=BY572, 1))</f>
        <v>2</v>
      </c>
      <c r="CC572" s="58">
        <f t="array" ref="CC572">SUM(IF(BY572:BZ572&gt;=BZ572, 1))</f>
        <v>1</v>
      </c>
      <c r="CE572" s="109">
        <f t="shared" si="226"/>
        <v>95441.250041447682</v>
      </c>
      <c r="CF572" s="109">
        <f t="shared" si="227"/>
        <v>96904.645048744089</v>
      </c>
      <c r="CH572" s="58">
        <f t="array" ref="CH572">SUM(IF(CE572:CF572&gt;=CE572, 1))</f>
        <v>2</v>
      </c>
      <c r="CI572" s="58">
        <f t="array" ref="CI572">SUM(IF(CE572:CF572&gt;=CF572, 1))</f>
        <v>1</v>
      </c>
      <c r="CK572" s="109">
        <f t="shared" si="228"/>
        <v>45832.198985144612</v>
      </c>
      <c r="CL572" s="109">
        <f t="shared" si="229"/>
        <v>46509.762492192705</v>
      </c>
      <c r="CN572" s="58">
        <f t="array" ref="CN572">SUM(IF(CK572:CL572&gt;=CK572, 1))</f>
        <v>2</v>
      </c>
      <c r="CO572" s="58">
        <f t="array" ref="CO572">SUM(IF(CK572:CL572&gt;=CL572, 1))</f>
        <v>1</v>
      </c>
      <c r="CQ572" s="109" cm="1">
        <f t="array" ref="CQ572">AF572*WTP-AC572</f>
        <v>47826.761913336282</v>
      </c>
      <c r="CR572" s="109">
        <f t="shared" si="230"/>
        <v>49131.997128894101</v>
      </c>
      <c r="CT572" s="58">
        <f t="array" ref="CT572">SUM(IF(CQ572:CR572&gt;=CQ572, 1))</f>
        <v>2</v>
      </c>
      <c r="CU572" s="58">
        <f t="array" ref="CU572">SUM(IF(CQ572:CR572&gt;=CR572, 1))</f>
        <v>1</v>
      </c>
      <c r="CW572" s="109">
        <f t="shared" si="231"/>
        <v>-36086290.615814693</v>
      </c>
      <c r="CX572" s="109">
        <f t="shared" si="232"/>
        <v>0</v>
      </c>
      <c r="CZ572" s="58">
        <f t="array" ref="CZ572">SUM(IF(CW572:CX572&gt;=CW572, 1))</f>
        <v>2</v>
      </c>
      <c r="DA572" s="58">
        <f t="array" ref="DA572">SUM(IF(CW572:CX572&gt;=CX572, 1))</f>
        <v>1</v>
      </c>
      <c r="DC572" s="109">
        <f t="shared" si="233"/>
        <v>-1958523.186050677</v>
      </c>
      <c r="DD572" s="109">
        <f t="shared" si="234"/>
        <v>0</v>
      </c>
      <c r="DF572" s="58">
        <f t="array" ref="DF572">SUM(IF(DC572:DD572&gt;=DC572, 1))</f>
        <v>2</v>
      </c>
      <c r="DG572" s="58">
        <f t="array" ref="DG572">SUM(IF(DC572:DD572&gt;=DD572, 1))</f>
        <v>1</v>
      </c>
      <c r="DI572" s="109">
        <f t="shared" si="235"/>
        <v>-33722126.979953498</v>
      </c>
      <c r="DJ572" s="109">
        <f t="shared" si="236"/>
        <v>0</v>
      </c>
      <c r="DL572" s="58">
        <f t="array" ref="DL572">SUM(IF(DI572:DJ572&gt;=DI572, 1))</f>
        <v>2</v>
      </c>
      <c r="DM572" s="58">
        <f t="array" ref="DM572">SUM(IF(DI572:DJ572&gt;=DJ572, 1))</f>
        <v>1</v>
      </c>
      <c r="DO572" s="109">
        <f t="shared" si="237"/>
        <v>-6102934.6852732468</v>
      </c>
      <c r="DP572" s="109">
        <f t="shared" si="238"/>
        <v>0</v>
      </c>
      <c r="DR572" s="58">
        <f t="array" ref="DR572">SUM(IF(DO572:DP572&gt;=DO572, 1))</f>
        <v>2</v>
      </c>
      <c r="DS572" s="58">
        <f t="array" ref="DS572">SUM(IF(DO572:DP572&gt;=DP572, 1))</f>
        <v>1</v>
      </c>
      <c r="DU572" s="109">
        <f t="shared" si="239"/>
        <v>-20566576.622749735</v>
      </c>
      <c r="DV572" s="109">
        <f t="shared" si="240"/>
        <v>0</v>
      </c>
      <c r="DX572" s="58">
        <f t="array" ref="DX572">SUM(IF(DU572:DV572&gt;=DU572, 1))</f>
        <v>2</v>
      </c>
      <c r="DY572" s="58">
        <f t="array" ref="DY572">SUM(IF(DU572:DV572&gt;=DV572, 1))</f>
        <v>1</v>
      </c>
      <c r="EA572" s="109">
        <f t="shared" si="241"/>
        <v>-98436452.089841843</v>
      </c>
      <c r="EB572" s="109">
        <f t="shared" si="242"/>
        <v>0</v>
      </c>
      <c r="ED572" s="58">
        <f t="array" ref="ED572">SUM(IF(EA572:EB572&gt;=EA572, 1))</f>
        <v>2</v>
      </c>
      <c r="EE572" s="58">
        <f t="array" ref="EE572">SUM(IF(EA572:EB572&gt;=EB572, 1))</f>
        <v>1</v>
      </c>
    </row>
    <row r="573" spans="4:135" ht="12" customHeight="1" x14ac:dyDescent="0.25">
      <c r="D573" s="11">
        <v>557</v>
      </c>
      <c r="E573" s="72">
        <v>337.27104929749902</v>
      </c>
      <c r="F573" s="72">
        <v>311.07210360857607</v>
      </c>
      <c r="G573" s="73"/>
      <c r="H573" s="74">
        <v>5.7748058339698582</v>
      </c>
      <c r="I573" s="74">
        <v>5.7880381836277799</v>
      </c>
      <c r="J573" s="73"/>
      <c r="K573" s="72">
        <v>362.18439015887043</v>
      </c>
      <c r="L573" s="72">
        <v>335.32232746198537</v>
      </c>
      <c r="M573" s="73"/>
      <c r="N573" s="74">
        <v>6.7473146360526925</v>
      </c>
      <c r="O573" s="74">
        <v>6.7584865642254801</v>
      </c>
      <c r="P573" s="73"/>
      <c r="Q573" s="72">
        <v>2472.7818897273955</v>
      </c>
      <c r="R573" s="72">
        <v>1655.6261756141046</v>
      </c>
      <c r="S573" s="73"/>
      <c r="T573" s="74">
        <v>4.6650282620151797</v>
      </c>
      <c r="U573" s="74">
        <v>4.7371897942806243</v>
      </c>
      <c r="V573" s="73"/>
      <c r="W573" s="72">
        <v>11058.876206110432</v>
      </c>
      <c r="X573" s="72">
        <v>11062.452108270625</v>
      </c>
      <c r="Y573" s="73"/>
      <c r="Z573" s="74">
        <v>3.0115191616077737</v>
      </c>
      <c r="AA573" s="74">
        <v>3.0596798114916584</v>
      </c>
      <c r="AB573" s="73"/>
      <c r="AC573" s="72">
        <v>50302.433912234243</v>
      </c>
      <c r="AD573" s="72">
        <v>50156.749655198648</v>
      </c>
      <c r="AE573" s="73"/>
      <c r="AF573" s="74">
        <v>4.0486109651350839</v>
      </c>
      <c r="AG573" s="74">
        <v>4.1201672224276633</v>
      </c>
      <c r="AH573" s="73"/>
      <c r="AI573" s="72">
        <v>2797848.3677211879</v>
      </c>
      <c r="AJ573" s="72">
        <v>0</v>
      </c>
      <c r="AK573" s="73"/>
      <c r="AL573" s="74">
        <v>-1413.114418080771</v>
      </c>
      <c r="AM573" s="74">
        <v>0</v>
      </c>
      <c r="AN573" s="73"/>
      <c r="AO573" s="72">
        <v>187209.15823261728</v>
      </c>
      <c r="AP573" s="72">
        <v>0</v>
      </c>
      <c r="AQ573" s="73"/>
      <c r="AR573" s="74">
        <v>-77.860263102779186</v>
      </c>
      <c r="AS573" s="74">
        <v>0</v>
      </c>
      <c r="AT573" s="73"/>
      <c r="AU573" s="72">
        <v>19133304.269811064</v>
      </c>
      <c r="AV573" s="72">
        <v>0</v>
      </c>
      <c r="AW573" s="73"/>
      <c r="AX573" s="74">
        <v>-1689.6272394163534</v>
      </c>
      <c r="AY573" s="74">
        <v>0</v>
      </c>
      <c r="AZ573" s="73"/>
      <c r="BA573" s="72">
        <v>-30965.753504039145</v>
      </c>
      <c r="BB573" s="72">
        <v>0</v>
      </c>
      <c r="BC573" s="73"/>
      <c r="BD573" s="74">
        <v>-417.05022847102504</v>
      </c>
      <c r="BE573" s="74">
        <v>0</v>
      </c>
      <c r="BF573" s="73"/>
      <c r="BG573" s="72">
        <v>2255474.531480595</v>
      </c>
      <c r="BH573" s="72">
        <v>0</v>
      </c>
      <c r="BI573" s="73"/>
      <c r="BJ573" s="74">
        <v>-1107.8294880692051</v>
      </c>
      <c r="BK573" s="74">
        <v>0</v>
      </c>
      <c r="BL573" s="73"/>
      <c r="BM573" s="72">
        <v>24342870.573741429</v>
      </c>
      <c r="BN573" s="72">
        <v>0</v>
      </c>
      <c r="BO573" s="73"/>
      <c r="BP573" s="74">
        <v>-4705.4816371401339</v>
      </c>
      <c r="BQ573" s="74">
        <v>0</v>
      </c>
      <c r="BS573" s="109">
        <f t="shared" si="222"/>
        <v>115158.84563009966</v>
      </c>
      <c r="BT573" s="109">
        <f t="shared" si="223"/>
        <v>115449.69156894702</v>
      </c>
      <c r="BV573" s="58">
        <f t="array" ref="BV573">SUM(IF(BS573:BT573&gt;=BS573, 1))</f>
        <v>2</v>
      </c>
      <c r="BW573" s="58">
        <f t="array" ref="BW573">SUM(IF(BS573:BT573&gt;=BT573, 1))</f>
        <v>1</v>
      </c>
      <c r="BY573" s="109">
        <f t="shared" si="224"/>
        <v>134584.10833089499</v>
      </c>
      <c r="BZ573" s="109">
        <f t="shared" si="225"/>
        <v>134834.40895704762</v>
      </c>
      <c r="CB573" s="58">
        <f t="array" ref="CB573">SUM(IF(BY573:BZ573&gt;=BY573, 1))</f>
        <v>2</v>
      </c>
      <c r="CC573" s="58">
        <f t="array" ref="CC573">SUM(IF(BY573:BZ573&gt;=BZ573, 1))</f>
        <v>1</v>
      </c>
      <c r="CE573" s="109">
        <f t="shared" si="226"/>
        <v>90827.783350576196</v>
      </c>
      <c r="CF573" s="109">
        <f t="shared" si="227"/>
        <v>93088.169709998387</v>
      </c>
      <c r="CH573" s="58">
        <f t="array" ref="CH573">SUM(IF(CE573:CF573&gt;=CE573, 1))</f>
        <v>2</v>
      </c>
      <c r="CI573" s="58">
        <f t="array" ref="CI573">SUM(IF(CE573:CF573&gt;=CF573, 1))</f>
        <v>1</v>
      </c>
      <c r="CK573" s="109">
        <f t="shared" si="228"/>
        <v>49171.507026045045</v>
      </c>
      <c r="CL573" s="109">
        <f t="shared" si="229"/>
        <v>50131.144121562538</v>
      </c>
      <c r="CN573" s="58">
        <f t="array" ref="CN573">SUM(IF(CK573:CL573&gt;=CK573, 1))</f>
        <v>2</v>
      </c>
      <c r="CO573" s="58">
        <f t="array" ref="CO573">SUM(IF(CK573:CL573&gt;=CL573, 1))</f>
        <v>1</v>
      </c>
      <c r="CQ573" s="109" cm="1">
        <f t="array" ref="CQ573">AF573*WTP-AC573</f>
        <v>30669.785390467434</v>
      </c>
      <c r="CR573" s="109">
        <f t="shared" si="230"/>
        <v>32246.594793354619</v>
      </c>
      <c r="CT573" s="58">
        <f t="array" ref="CT573">SUM(IF(CQ573:CR573&gt;=CQ573, 1))</f>
        <v>2</v>
      </c>
      <c r="CU573" s="58">
        <f t="array" ref="CU573">SUM(IF(CQ573:CR573&gt;=CR573, 1))</f>
        <v>1</v>
      </c>
      <c r="CW573" s="109">
        <f t="shared" si="231"/>
        <v>-31060136.729336608</v>
      </c>
      <c r="CX573" s="109">
        <f t="shared" si="232"/>
        <v>0</v>
      </c>
      <c r="CZ573" s="58">
        <f t="array" ref="CZ573">SUM(IF(CW573:CX573&gt;=CW573, 1))</f>
        <v>2</v>
      </c>
      <c r="DA573" s="58">
        <f t="array" ref="DA573">SUM(IF(CW573:CX573&gt;=CX573, 1))</f>
        <v>1</v>
      </c>
      <c r="DC573" s="109">
        <f t="shared" si="233"/>
        <v>-1744414.420288201</v>
      </c>
      <c r="DD573" s="109">
        <f t="shared" si="234"/>
        <v>0</v>
      </c>
      <c r="DF573" s="58">
        <f t="array" ref="DF573">SUM(IF(DC573:DD573&gt;=DC573, 1))</f>
        <v>2</v>
      </c>
      <c r="DG573" s="58">
        <f t="array" ref="DG573">SUM(IF(DC573:DD573&gt;=DD573, 1))</f>
        <v>1</v>
      </c>
      <c r="DI573" s="109">
        <f t="shared" si="235"/>
        <v>-52925849.058138132</v>
      </c>
      <c r="DJ573" s="109">
        <f t="shared" si="236"/>
        <v>0</v>
      </c>
      <c r="DL573" s="58">
        <f t="array" ref="DL573">SUM(IF(DI573:DJ573&gt;=DI573, 1))</f>
        <v>2</v>
      </c>
      <c r="DM573" s="58">
        <f t="array" ref="DM573">SUM(IF(DI573:DJ573&gt;=DJ573, 1))</f>
        <v>1</v>
      </c>
      <c r="DO573" s="109">
        <f t="shared" si="237"/>
        <v>-8310038.8159164619</v>
      </c>
      <c r="DP573" s="109">
        <f t="shared" si="238"/>
        <v>0</v>
      </c>
      <c r="DR573" s="58">
        <f t="array" ref="DR573">SUM(IF(DO573:DP573&gt;=DO573, 1))</f>
        <v>2</v>
      </c>
      <c r="DS573" s="58">
        <f t="array" ref="DS573">SUM(IF(DO573:DP573&gt;=DP573, 1))</f>
        <v>1</v>
      </c>
      <c r="DU573" s="109">
        <f t="shared" si="239"/>
        <v>-24412064.292864699</v>
      </c>
      <c r="DV573" s="109">
        <f t="shared" si="240"/>
        <v>0</v>
      </c>
      <c r="DX573" s="58">
        <f t="array" ref="DX573">SUM(IF(DU573:DV573&gt;=DU573, 1))</f>
        <v>2</v>
      </c>
      <c r="DY573" s="58">
        <f t="array" ref="DY573">SUM(IF(DU573:DV573&gt;=DV573, 1))</f>
        <v>1</v>
      </c>
      <c r="EA573" s="109">
        <f t="shared" si="241"/>
        <v>-118452503.31654412</v>
      </c>
      <c r="EB573" s="109">
        <f t="shared" si="242"/>
        <v>0</v>
      </c>
      <c r="ED573" s="58">
        <f t="array" ref="ED573">SUM(IF(EA573:EB573&gt;=EA573, 1))</f>
        <v>2</v>
      </c>
      <c r="EE573" s="58">
        <f t="array" ref="EE573">SUM(IF(EA573:EB573&gt;=EB573, 1))</f>
        <v>1</v>
      </c>
    </row>
    <row r="574" spans="4:135" ht="12" customHeight="1" x14ac:dyDescent="0.25">
      <c r="D574" s="11">
        <v>558</v>
      </c>
      <c r="E574" s="72">
        <v>267.30391194451175</v>
      </c>
      <c r="F574" s="72">
        <v>241.44410845256746</v>
      </c>
      <c r="G574" s="73"/>
      <c r="H574" s="74">
        <v>5.7888221554496591</v>
      </c>
      <c r="I574" s="74">
        <v>5.8078923445989137</v>
      </c>
      <c r="J574" s="73"/>
      <c r="K574" s="72">
        <v>286.76727719523126</v>
      </c>
      <c r="L574" s="72">
        <v>260.2946904970961</v>
      </c>
      <c r="M574" s="73"/>
      <c r="N574" s="74">
        <v>6.7277411413317481</v>
      </c>
      <c r="O574" s="74">
        <v>6.7449843866265642</v>
      </c>
      <c r="P574" s="73"/>
      <c r="Q574" s="72">
        <v>2034.3538419385909</v>
      </c>
      <c r="R574" s="72">
        <v>1335.4510486040729</v>
      </c>
      <c r="S574" s="73"/>
      <c r="T574" s="74">
        <v>4.7384635860360032</v>
      </c>
      <c r="U574" s="74">
        <v>4.8131291635908289</v>
      </c>
      <c r="V574" s="73"/>
      <c r="W574" s="72">
        <v>10007.135813817385</v>
      </c>
      <c r="X574" s="72">
        <v>10006.901874653233</v>
      </c>
      <c r="Y574" s="73"/>
      <c r="Z574" s="74">
        <v>2.9365827491723393</v>
      </c>
      <c r="AA574" s="74">
        <v>2.9842066186984977</v>
      </c>
      <c r="AB574" s="73"/>
      <c r="AC574" s="72">
        <v>51747.444510627094</v>
      </c>
      <c r="AD574" s="72">
        <v>51320.058141997906</v>
      </c>
      <c r="AE574" s="73"/>
      <c r="AF574" s="74">
        <v>4.3761799822531042</v>
      </c>
      <c r="AG574" s="74">
        <v>4.5373701885192315</v>
      </c>
      <c r="AH574" s="73"/>
      <c r="AI574" s="72">
        <v>2765729.9249633118</v>
      </c>
      <c r="AJ574" s="72">
        <v>0</v>
      </c>
      <c r="AK574" s="73"/>
      <c r="AL574" s="74">
        <v>-2039.5743850580445</v>
      </c>
      <c r="AM574" s="74">
        <v>0</v>
      </c>
      <c r="AN574" s="73"/>
      <c r="AO574" s="72">
        <v>180534.87451654734</v>
      </c>
      <c r="AP574" s="72">
        <v>0</v>
      </c>
      <c r="AQ574" s="73"/>
      <c r="AR574" s="74">
        <v>-117.59361338788133</v>
      </c>
      <c r="AS574" s="74">
        <v>0</v>
      </c>
      <c r="AT574" s="73"/>
      <c r="AU574" s="72">
        <v>16062959.210193612</v>
      </c>
      <c r="AV574" s="72">
        <v>0</v>
      </c>
      <c r="AW574" s="73"/>
      <c r="AX574" s="74">
        <v>-1716.0471214409133</v>
      </c>
      <c r="AY574" s="74">
        <v>0</v>
      </c>
      <c r="AZ574" s="73"/>
      <c r="BA574" s="72">
        <v>2057.1205664433046</v>
      </c>
      <c r="BB574" s="72">
        <v>0</v>
      </c>
      <c r="BC574" s="73"/>
      <c r="BD574" s="74">
        <v>-418.77571808353116</v>
      </c>
      <c r="BE574" s="74">
        <v>0</v>
      </c>
      <c r="BF574" s="73"/>
      <c r="BG574" s="72">
        <v>6680101.2968219798</v>
      </c>
      <c r="BH574" s="72">
        <v>0</v>
      </c>
      <c r="BI574" s="73"/>
      <c r="BJ574" s="74">
        <v>-2519.4226698596262</v>
      </c>
      <c r="BK574" s="74">
        <v>0</v>
      </c>
      <c r="BL574" s="73"/>
      <c r="BM574" s="72">
        <v>25691382.427061893</v>
      </c>
      <c r="BN574" s="72">
        <v>0</v>
      </c>
      <c r="BO574" s="73"/>
      <c r="BP574" s="74">
        <v>-6811.4135078299969</v>
      </c>
      <c r="BQ574" s="74">
        <v>0</v>
      </c>
      <c r="BS574" s="109">
        <f t="shared" si="222"/>
        <v>115509.13919704866</v>
      </c>
      <c r="BT574" s="109">
        <f t="shared" si="223"/>
        <v>115916.40278352571</v>
      </c>
      <c r="BV574" s="58">
        <f t="array" ref="BV574">SUM(IF(BS574:BT574&gt;=BS574, 1))</f>
        <v>2</v>
      </c>
      <c r="BW574" s="58">
        <f t="array" ref="BW574">SUM(IF(BS574:BT574&gt;=BT574, 1))</f>
        <v>1</v>
      </c>
      <c r="BY574" s="109">
        <f t="shared" si="224"/>
        <v>134268.05554943971</v>
      </c>
      <c r="BZ574" s="109">
        <f t="shared" si="225"/>
        <v>134639.39304203418</v>
      </c>
      <c r="CB574" s="58">
        <f t="array" ref="CB574">SUM(IF(BY574:BZ574&gt;=BY574, 1))</f>
        <v>2</v>
      </c>
      <c r="CC574" s="58">
        <f t="array" ref="CC574">SUM(IF(BY574:BZ574&gt;=BZ574, 1))</f>
        <v>1</v>
      </c>
      <c r="CE574" s="109">
        <f t="shared" si="226"/>
        <v>92734.917878781474</v>
      </c>
      <c r="CF574" s="109">
        <f t="shared" si="227"/>
        <v>94927.132223212509</v>
      </c>
      <c r="CH574" s="58">
        <f t="array" ref="CH574">SUM(IF(CE574:CF574&gt;=CE574, 1))</f>
        <v>2</v>
      </c>
      <c r="CI574" s="58">
        <f t="array" ref="CI574">SUM(IF(CE574:CF574&gt;=CF574, 1))</f>
        <v>1</v>
      </c>
      <c r="CK574" s="109">
        <f t="shared" si="228"/>
        <v>48724.519169629406</v>
      </c>
      <c r="CL574" s="109">
        <f t="shared" si="229"/>
        <v>49677.23049931672</v>
      </c>
      <c r="CN574" s="58">
        <f t="array" ref="CN574">SUM(IF(CK574:CL574&gt;=CK574, 1))</f>
        <v>2</v>
      </c>
      <c r="CO574" s="58">
        <f t="array" ref="CO574">SUM(IF(CK574:CL574&gt;=CL574, 1))</f>
        <v>1</v>
      </c>
      <c r="CQ574" s="109" cm="1">
        <f t="array" ref="CQ574">AF574*WTP-AC574</f>
        <v>35776.155134434994</v>
      </c>
      <c r="CR574" s="109">
        <f t="shared" si="230"/>
        <v>39427.34562838672</v>
      </c>
      <c r="CT574" s="58">
        <f t="array" ref="CT574">SUM(IF(CQ574:CR574&gt;=CQ574, 1))</f>
        <v>2</v>
      </c>
      <c r="CU574" s="58">
        <f t="array" ref="CU574">SUM(IF(CQ574:CR574&gt;=CR574, 1))</f>
        <v>1</v>
      </c>
      <c r="CW574" s="109">
        <f t="shared" si="231"/>
        <v>-43557217.626124203</v>
      </c>
      <c r="CX574" s="109">
        <f t="shared" si="232"/>
        <v>0</v>
      </c>
      <c r="CZ574" s="58">
        <f t="array" ref="CZ574">SUM(IF(CW574:CX574&gt;=CW574, 1))</f>
        <v>2</v>
      </c>
      <c r="DA574" s="58">
        <f t="array" ref="DA574">SUM(IF(CW574:CX574&gt;=CX574, 1))</f>
        <v>1</v>
      </c>
      <c r="DC574" s="109">
        <f t="shared" si="233"/>
        <v>-2532407.1422741739</v>
      </c>
      <c r="DD574" s="109">
        <f t="shared" si="234"/>
        <v>0</v>
      </c>
      <c r="DF574" s="58">
        <f t="array" ref="DF574">SUM(IF(DC574:DD574&gt;=DC574, 1))</f>
        <v>2</v>
      </c>
      <c r="DG574" s="58">
        <f t="array" ref="DG574">SUM(IF(DC574:DD574&gt;=DD574, 1))</f>
        <v>1</v>
      </c>
      <c r="DI574" s="109">
        <f t="shared" si="235"/>
        <v>-50383901.639011875</v>
      </c>
      <c r="DJ574" s="109">
        <f t="shared" si="236"/>
        <v>0</v>
      </c>
      <c r="DL574" s="58">
        <f t="array" ref="DL574">SUM(IF(DI574:DJ574&gt;=DI574, 1))</f>
        <v>2</v>
      </c>
      <c r="DM574" s="58">
        <f t="array" ref="DM574">SUM(IF(DI574:DJ574&gt;=DJ574, 1))</f>
        <v>1</v>
      </c>
      <c r="DO574" s="109">
        <f t="shared" si="237"/>
        <v>-8377571.4822370671</v>
      </c>
      <c r="DP574" s="109">
        <f t="shared" si="238"/>
        <v>0</v>
      </c>
      <c r="DR574" s="58">
        <f t="array" ref="DR574">SUM(IF(DO574:DP574&gt;=DO574, 1))</f>
        <v>2</v>
      </c>
      <c r="DS574" s="58">
        <f t="array" ref="DS574">SUM(IF(DO574:DP574&gt;=DP574, 1))</f>
        <v>1</v>
      </c>
      <c r="DU574" s="109">
        <f t="shared" si="239"/>
        <v>-57068554.694014505</v>
      </c>
      <c r="DV574" s="109">
        <f t="shared" si="240"/>
        <v>0</v>
      </c>
      <c r="DX574" s="58">
        <f t="array" ref="DX574">SUM(IF(DU574:DV574&gt;=DU574, 1))</f>
        <v>2</v>
      </c>
      <c r="DY574" s="58">
        <f t="array" ref="DY574">SUM(IF(DU574:DV574&gt;=DV574, 1))</f>
        <v>1</v>
      </c>
      <c r="EA574" s="109">
        <f t="shared" si="241"/>
        <v>-161919652.58366182</v>
      </c>
      <c r="EB574" s="109">
        <f t="shared" si="242"/>
        <v>0</v>
      </c>
      <c r="ED574" s="58">
        <f t="array" ref="ED574">SUM(IF(EA574:EB574&gt;=EA574, 1))</f>
        <v>2</v>
      </c>
      <c r="EE574" s="58">
        <f t="array" ref="EE574">SUM(IF(EA574:EB574&gt;=EB574, 1))</f>
        <v>1</v>
      </c>
    </row>
    <row r="575" spans="4:135" ht="12" customHeight="1" x14ac:dyDescent="0.25">
      <c r="D575" s="11">
        <v>559</v>
      </c>
      <c r="E575" s="72">
        <v>376.72967883007595</v>
      </c>
      <c r="F575" s="72">
        <v>348.57423452440958</v>
      </c>
      <c r="G575" s="73"/>
      <c r="H575" s="74">
        <v>5.8880719746329122</v>
      </c>
      <c r="I575" s="74">
        <v>5.9035759215425001</v>
      </c>
      <c r="J575" s="73"/>
      <c r="K575" s="72">
        <v>404.67620501648804</v>
      </c>
      <c r="L575" s="72">
        <v>375.81438493908809</v>
      </c>
      <c r="M575" s="73"/>
      <c r="N575" s="74">
        <v>6.6791795984413742</v>
      </c>
      <c r="O575" s="74">
        <v>6.6922080988902453</v>
      </c>
      <c r="P575" s="73"/>
      <c r="Q575" s="72">
        <v>3454.1219926267549</v>
      </c>
      <c r="R575" s="72">
        <v>1330.9914090807176</v>
      </c>
      <c r="S575" s="73"/>
      <c r="T575" s="74">
        <v>4.7316255444487973</v>
      </c>
      <c r="U575" s="74">
        <v>4.9409096924062448</v>
      </c>
      <c r="V575" s="73"/>
      <c r="W575" s="72">
        <v>12947.738846120908</v>
      </c>
      <c r="X575" s="72">
        <v>12888.486225930978</v>
      </c>
      <c r="Y575" s="73"/>
      <c r="Z575" s="74">
        <v>3.2509400516779987</v>
      </c>
      <c r="AA575" s="74">
        <v>3.2879776249015094</v>
      </c>
      <c r="AB575" s="73"/>
      <c r="AC575" s="72">
        <v>50483.438553593092</v>
      </c>
      <c r="AD575" s="72">
        <v>50214.081031914619</v>
      </c>
      <c r="AE575" s="73"/>
      <c r="AF575" s="74">
        <v>4.6047865889973032</v>
      </c>
      <c r="AG575" s="74">
        <v>4.7424109414708129</v>
      </c>
      <c r="AH575" s="73"/>
      <c r="AI575" s="72">
        <v>3016762.7069116137</v>
      </c>
      <c r="AJ575" s="72">
        <v>0</v>
      </c>
      <c r="AK575" s="73"/>
      <c r="AL575" s="74">
        <v>-1661.1966175710236</v>
      </c>
      <c r="AM575" s="74">
        <v>0</v>
      </c>
      <c r="AN575" s="73"/>
      <c r="AO575" s="72">
        <v>194791.04041664681</v>
      </c>
      <c r="AP575" s="72">
        <v>0</v>
      </c>
      <c r="AQ575" s="73"/>
      <c r="AR575" s="74">
        <v>-87.930530739174543</v>
      </c>
      <c r="AS575" s="74">
        <v>0</v>
      </c>
      <c r="AT575" s="73"/>
      <c r="AU575" s="72">
        <v>48480920.193009339</v>
      </c>
      <c r="AV575" s="72">
        <v>0</v>
      </c>
      <c r="AW575" s="73"/>
      <c r="AX575" s="74">
        <v>-4778.9279441496774</v>
      </c>
      <c r="AY575" s="74">
        <v>0</v>
      </c>
      <c r="AZ575" s="73"/>
      <c r="BA575" s="72">
        <v>534399.26256930153</v>
      </c>
      <c r="BB575" s="72">
        <v>0</v>
      </c>
      <c r="BC575" s="73"/>
      <c r="BD575" s="74">
        <v>-334.04179856613501</v>
      </c>
      <c r="BE575" s="74">
        <v>0</v>
      </c>
      <c r="BF575" s="73"/>
      <c r="BG575" s="72">
        <v>4268591.1754966313</v>
      </c>
      <c r="BH575" s="72">
        <v>0</v>
      </c>
      <c r="BI575" s="73"/>
      <c r="BJ575" s="74">
        <v>-2180.9752808874669</v>
      </c>
      <c r="BK575" s="74">
        <v>0</v>
      </c>
      <c r="BL575" s="73"/>
      <c r="BM575" s="72">
        <v>56495464.37840353</v>
      </c>
      <c r="BN575" s="72">
        <v>0</v>
      </c>
      <c r="BO575" s="73"/>
      <c r="BP575" s="74">
        <v>-9043.0721719134781</v>
      </c>
      <c r="BQ575" s="74">
        <v>0</v>
      </c>
      <c r="BS575" s="109">
        <f t="shared" si="222"/>
        <v>117384.70981382817</v>
      </c>
      <c r="BT575" s="109">
        <f t="shared" si="223"/>
        <v>117722.9441963256</v>
      </c>
      <c r="BV575" s="58">
        <f t="array" ref="BV575">SUM(IF(BS575:BT575&gt;=BS575, 1))</f>
        <v>2</v>
      </c>
      <c r="BW575" s="58">
        <f t="array" ref="BW575">SUM(IF(BS575:BT575&gt;=BT575, 1))</f>
        <v>1</v>
      </c>
      <c r="BY575" s="109">
        <f t="shared" si="224"/>
        <v>133178.91576381098</v>
      </c>
      <c r="BZ575" s="109">
        <f t="shared" si="225"/>
        <v>133468.34759286582</v>
      </c>
      <c r="CB575" s="58">
        <f t="array" ref="CB575">SUM(IF(BY575:BZ575&gt;=BY575, 1))</f>
        <v>2</v>
      </c>
      <c r="CC575" s="58">
        <f t="array" ref="CC575">SUM(IF(BY575:BZ575&gt;=BZ575, 1))</f>
        <v>1</v>
      </c>
      <c r="CE575" s="109">
        <f t="shared" si="226"/>
        <v>91178.388896349192</v>
      </c>
      <c r="CF575" s="109">
        <f t="shared" si="227"/>
        <v>97487.20243904418</v>
      </c>
      <c r="CH575" s="58">
        <f t="array" ref="CH575">SUM(IF(CE575:CF575&gt;=CE575, 1))</f>
        <v>2</v>
      </c>
      <c r="CI575" s="58">
        <f t="array" ref="CI575">SUM(IF(CE575:CF575&gt;=CF575, 1))</f>
        <v>1</v>
      </c>
      <c r="CK575" s="109">
        <f t="shared" si="228"/>
        <v>52071.062187439064</v>
      </c>
      <c r="CL575" s="109">
        <f t="shared" si="229"/>
        <v>52871.066272099211</v>
      </c>
      <c r="CN575" s="58">
        <f t="array" ref="CN575">SUM(IF(CK575:CL575&gt;=CK575, 1))</f>
        <v>2</v>
      </c>
      <c r="CO575" s="58">
        <f t="array" ref="CO575">SUM(IF(CK575:CL575&gt;=CL575, 1))</f>
        <v>1</v>
      </c>
      <c r="CQ575" s="109" cm="1">
        <f t="array" ref="CQ575">AF575*WTP-AC575</f>
        <v>41612.293226352966</v>
      </c>
      <c r="CR575" s="109">
        <f t="shared" si="230"/>
        <v>44634.137797501644</v>
      </c>
      <c r="CT575" s="58">
        <f t="array" ref="CT575">SUM(IF(CQ575:CR575&gt;=CQ575, 1))</f>
        <v>2</v>
      </c>
      <c r="CU575" s="58">
        <f t="array" ref="CU575">SUM(IF(CQ575:CR575&gt;=CR575, 1))</f>
        <v>1</v>
      </c>
      <c r="CW575" s="109">
        <f t="shared" si="231"/>
        <v>-36240695.058332086</v>
      </c>
      <c r="CX575" s="109">
        <f t="shared" si="232"/>
        <v>0</v>
      </c>
      <c r="CZ575" s="58">
        <f t="array" ref="CZ575">SUM(IF(CW575:CX575&gt;=CW575, 1))</f>
        <v>2</v>
      </c>
      <c r="DA575" s="58">
        <f t="array" ref="DA575">SUM(IF(CW575:CX575&gt;=CX575, 1))</f>
        <v>1</v>
      </c>
      <c r="DC575" s="109">
        <f t="shared" si="233"/>
        <v>-1953401.6552001375</v>
      </c>
      <c r="DD575" s="109">
        <f t="shared" si="234"/>
        <v>0</v>
      </c>
      <c r="DF575" s="58">
        <f t="array" ref="DF575">SUM(IF(DC575:DD575&gt;=DC575, 1))</f>
        <v>2</v>
      </c>
      <c r="DG575" s="58">
        <f t="array" ref="DG575">SUM(IF(DC575:DD575&gt;=DD575, 1))</f>
        <v>1</v>
      </c>
      <c r="DI575" s="109">
        <f t="shared" si="235"/>
        <v>-144059479.0760029</v>
      </c>
      <c r="DJ575" s="109">
        <f t="shared" si="236"/>
        <v>0</v>
      </c>
      <c r="DL575" s="58">
        <f t="array" ref="DL575">SUM(IF(DI575:DJ575&gt;=DI575, 1))</f>
        <v>2</v>
      </c>
      <c r="DM575" s="58">
        <f t="array" ref="DM575">SUM(IF(DI575:DJ575&gt;=DJ575, 1))</f>
        <v>1</v>
      </c>
      <c r="DO575" s="109">
        <f t="shared" si="237"/>
        <v>-7215235.2338920021</v>
      </c>
      <c r="DP575" s="109">
        <f t="shared" si="238"/>
        <v>0</v>
      </c>
      <c r="DR575" s="58">
        <f t="array" ref="DR575">SUM(IF(DO575:DP575&gt;=DO575, 1))</f>
        <v>2</v>
      </c>
      <c r="DS575" s="58">
        <f t="array" ref="DS575">SUM(IF(DO575:DP575&gt;=DP575, 1))</f>
        <v>1</v>
      </c>
      <c r="DU575" s="109">
        <f t="shared" si="239"/>
        <v>-47888096.793245964</v>
      </c>
      <c r="DV575" s="109">
        <f t="shared" si="240"/>
        <v>0</v>
      </c>
      <c r="DX575" s="58">
        <f t="array" ref="DX575">SUM(IF(DU575:DV575&gt;=DU575, 1))</f>
        <v>2</v>
      </c>
      <c r="DY575" s="58">
        <f t="array" ref="DY575">SUM(IF(DU575:DV575&gt;=DV575, 1))</f>
        <v>1</v>
      </c>
      <c r="EA575" s="109">
        <f t="shared" si="241"/>
        <v>-237356907.8166731</v>
      </c>
      <c r="EB575" s="109">
        <f t="shared" si="242"/>
        <v>0</v>
      </c>
      <c r="ED575" s="58">
        <f t="array" ref="ED575">SUM(IF(EA575:EB575&gt;=EA575, 1))</f>
        <v>2</v>
      </c>
      <c r="EE575" s="58">
        <f t="array" ref="EE575">SUM(IF(EA575:EB575&gt;=EB575, 1))</f>
        <v>1</v>
      </c>
    </row>
    <row r="576" spans="4:135" ht="12" customHeight="1" x14ac:dyDescent="0.25">
      <c r="D576" s="11">
        <v>560</v>
      </c>
      <c r="E576" s="72">
        <v>246.08875673049684</v>
      </c>
      <c r="F576" s="72">
        <v>233.30786406571966</v>
      </c>
      <c r="G576" s="73"/>
      <c r="H576" s="74">
        <v>5.8061739706256699</v>
      </c>
      <c r="I576" s="74">
        <v>5.8230077224398116</v>
      </c>
      <c r="J576" s="73"/>
      <c r="K576" s="72">
        <v>264.6653192465397</v>
      </c>
      <c r="L576" s="72">
        <v>251.56310730954439</v>
      </c>
      <c r="M576" s="73"/>
      <c r="N576" s="74">
        <v>6.6739652996733216</v>
      </c>
      <c r="O576" s="74">
        <v>6.6890476345353198</v>
      </c>
      <c r="P576" s="73"/>
      <c r="Q576" s="72">
        <v>2546.1422808695847</v>
      </c>
      <c r="R576" s="72">
        <v>1707.9797188392215</v>
      </c>
      <c r="S576" s="73"/>
      <c r="T576" s="74">
        <v>4.7569918188343383</v>
      </c>
      <c r="U576" s="74">
        <v>4.824312434701354</v>
      </c>
      <c r="V576" s="73"/>
      <c r="W576" s="72">
        <v>15294.287489147238</v>
      </c>
      <c r="X576" s="72">
        <v>15177.835502159198</v>
      </c>
      <c r="Y576" s="73"/>
      <c r="Z576" s="74">
        <v>2.9690120745982225</v>
      </c>
      <c r="AA576" s="74">
        <v>2.9863193299294717</v>
      </c>
      <c r="AB576" s="73"/>
      <c r="AC576" s="72">
        <v>49918.581312580864</v>
      </c>
      <c r="AD576" s="72">
        <v>49972.040174886053</v>
      </c>
      <c r="AE576" s="73"/>
      <c r="AF576" s="74">
        <v>4.2317596332067655</v>
      </c>
      <c r="AG576" s="74">
        <v>4.3420221914083221</v>
      </c>
      <c r="AH576" s="73"/>
      <c r="AI576" s="72">
        <v>1394240.122543925</v>
      </c>
      <c r="AJ576" s="72">
        <v>0</v>
      </c>
      <c r="AK576" s="73"/>
      <c r="AL576" s="74">
        <v>-1836.3578200531053</v>
      </c>
      <c r="AM576" s="74">
        <v>0</v>
      </c>
      <c r="AN576" s="73"/>
      <c r="AO576" s="72">
        <v>92833.192053257037</v>
      </c>
      <c r="AP576" s="72">
        <v>0</v>
      </c>
      <c r="AQ576" s="73"/>
      <c r="AR576" s="74">
        <v>-106.86297058758316</v>
      </c>
      <c r="AS576" s="74">
        <v>0</v>
      </c>
      <c r="AT576" s="73"/>
      <c r="AU576" s="72">
        <v>18962865.631195243</v>
      </c>
      <c r="AV576" s="72">
        <v>0</v>
      </c>
      <c r="AW576" s="73"/>
      <c r="AX576" s="74">
        <v>-1523.0837676680701</v>
      </c>
      <c r="AY576" s="74">
        <v>0</v>
      </c>
      <c r="AZ576" s="73"/>
      <c r="BA576" s="72">
        <v>1042414.2400748105</v>
      </c>
      <c r="BB576" s="72">
        <v>0</v>
      </c>
      <c r="BC576" s="73"/>
      <c r="BD576" s="74">
        <v>-154.92504576806996</v>
      </c>
      <c r="BE576" s="74">
        <v>0</v>
      </c>
      <c r="BF576" s="73"/>
      <c r="BG576" s="72">
        <v>-856743.15855226887</v>
      </c>
      <c r="BH576" s="72">
        <v>0</v>
      </c>
      <c r="BI576" s="73"/>
      <c r="BJ576" s="74">
        <v>-1767.0913354713239</v>
      </c>
      <c r="BK576" s="74">
        <v>0</v>
      </c>
      <c r="BL576" s="73"/>
      <c r="BM576" s="72">
        <v>20635610.027314965</v>
      </c>
      <c r="BN576" s="72">
        <v>0</v>
      </c>
      <c r="BO576" s="73"/>
      <c r="BP576" s="74">
        <v>-5388.3209395481526</v>
      </c>
      <c r="BQ576" s="74">
        <v>0</v>
      </c>
      <c r="BS576" s="109">
        <f t="shared" si="222"/>
        <v>115877.39065578289</v>
      </c>
      <c r="BT576" s="109">
        <f t="shared" si="223"/>
        <v>116226.84658473052</v>
      </c>
      <c r="BV576" s="58">
        <f t="array" ref="BV576">SUM(IF(BS576:BT576&gt;=BS576, 1))</f>
        <v>2</v>
      </c>
      <c r="BW576" s="58">
        <f t="array" ref="BW576">SUM(IF(BS576:BT576&gt;=BT576, 1))</f>
        <v>1</v>
      </c>
      <c r="BY576" s="109">
        <f t="shared" si="224"/>
        <v>133214.6406742199</v>
      </c>
      <c r="BZ576" s="109">
        <f t="shared" si="225"/>
        <v>133529.38958339684</v>
      </c>
      <c r="CB576" s="58">
        <f t="array" ref="CB576">SUM(IF(BY576:BZ576&gt;=BY576, 1))</f>
        <v>2</v>
      </c>
      <c r="CC576" s="58">
        <f t="array" ref="CC576">SUM(IF(BY576:BZ576&gt;=BZ576, 1))</f>
        <v>1</v>
      </c>
      <c r="CE576" s="109">
        <f t="shared" si="226"/>
        <v>92593.694095817191</v>
      </c>
      <c r="CF576" s="109">
        <f t="shared" si="227"/>
        <v>94778.26897518785</v>
      </c>
      <c r="CH576" s="58">
        <f t="array" ref="CH576">SUM(IF(CE576:CF576&gt;=CE576, 1))</f>
        <v>2</v>
      </c>
      <c r="CI576" s="58">
        <f t="array" ref="CI576">SUM(IF(CE576:CF576&gt;=CF576, 1))</f>
        <v>1</v>
      </c>
      <c r="CK576" s="109">
        <f t="shared" si="228"/>
        <v>44085.954002817212</v>
      </c>
      <c r="CL576" s="109">
        <f t="shared" si="229"/>
        <v>44548.551096430238</v>
      </c>
      <c r="CN576" s="58">
        <f t="array" ref="CN576">SUM(IF(CK576:CL576&gt;=CK576, 1))</f>
        <v>2</v>
      </c>
      <c r="CO576" s="58">
        <f t="array" ref="CO576">SUM(IF(CK576:CL576&gt;=CL576, 1))</f>
        <v>1</v>
      </c>
      <c r="CQ576" s="109" cm="1">
        <f t="array" ref="CQ576">AF576*WTP-AC576</f>
        <v>34716.611351554442</v>
      </c>
      <c r="CR576" s="109">
        <f t="shared" si="230"/>
        <v>36868.403653280395</v>
      </c>
      <c r="CT576" s="58">
        <f t="array" ref="CT576">SUM(IF(CQ576:CR576&gt;=CQ576, 1))</f>
        <v>2</v>
      </c>
      <c r="CU576" s="58">
        <f t="array" ref="CU576">SUM(IF(CQ576:CR576&gt;=CR576, 1))</f>
        <v>1</v>
      </c>
      <c r="CW576" s="109">
        <f t="shared" si="231"/>
        <v>-38121396.523606032</v>
      </c>
      <c r="CX576" s="109">
        <f t="shared" si="232"/>
        <v>0</v>
      </c>
      <c r="CZ576" s="58">
        <f t="array" ref="CZ576">SUM(IF(CW576:CX576&gt;=CW576, 1))</f>
        <v>2</v>
      </c>
      <c r="DA576" s="58">
        <f t="array" ref="DA576">SUM(IF(CW576:CX576&gt;=CX576, 1))</f>
        <v>1</v>
      </c>
      <c r="DC576" s="109">
        <f t="shared" si="233"/>
        <v>-2230092.6038049203</v>
      </c>
      <c r="DD576" s="109">
        <f t="shared" si="234"/>
        <v>0</v>
      </c>
      <c r="DF576" s="58">
        <f t="array" ref="DF576">SUM(IF(DC576:DD576&gt;=DC576, 1))</f>
        <v>2</v>
      </c>
      <c r="DG576" s="58">
        <f t="array" ref="DG576">SUM(IF(DC576:DD576&gt;=DD576, 1))</f>
        <v>1</v>
      </c>
      <c r="DI576" s="109">
        <f t="shared" si="235"/>
        <v>-49424540.984556645</v>
      </c>
      <c r="DJ576" s="109">
        <f t="shared" si="236"/>
        <v>0</v>
      </c>
      <c r="DL576" s="58">
        <f t="array" ref="DL576">SUM(IF(DI576:DJ576&gt;=DI576, 1))</f>
        <v>2</v>
      </c>
      <c r="DM576" s="58">
        <f t="array" ref="DM576">SUM(IF(DI576:DJ576&gt;=DJ576, 1))</f>
        <v>1</v>
      </c>
      <c r="DO576" s="109">
        <f t="shared" si="237"/>
        <v>-4140915.1554362099</v>
      </c>
      <c r="DP576" s="109">
        <f t="shared" si="238"/>
        <v>0</v>
      </c>
      <c r="DR576" s="58">
        <f t="array" ref="DR576">SUM(IF(DO576:DP576&gt;=DO576, 1))</f>
        <v>2</v>
      </c>
      <c r="DS576" s="58">
        <f t="array" ref="DS576">SUM(IF(DO576:DP576&gt;=DP576, 1))</f>
        <v>1</v>
      </c>
      <c r="DU576" s="109">
        <f t="shared" si="239"/>
        <v>-34485083.550874211</v>
      </c>
      <c r="DV576" s="109">
        <f t="shared" si="240"/>
        <v>0</v>
      </c>
      <c r="DX576" s="58">
        <f t="array" ref="DX576">SUM(IF(DU576:DV576&gt;=DU576, 1))</f>
        <v>2</v>
      </c>
      <c r="DY576" s="58">
        <f t="array" ref="DY576">SUM(IF(DU576:DV576&gt;=DV576, 1))</f>
        <v>1</v>
      </c>
      <c r="EA576" s="109">
        <f t="shared" si="241"/>
        <v>-128402028.81827801</v>
      </c>
      <c r="EB576" s="109">
        <f t="shared" si="242"/>
        <v>0</v>
      </c>
      <c r="ED576" s="58">
        <f t="array" ref="ED576">SUM(IF(EA576:EB576&gt;=EA576, 1))</f>
        <v>2</v>
      </c>
      <c r="EE576" s="58">
        <f t="array" ref="EE576">SUM(IF(EA576:EB576&gt;=EB576, 1))</f>
        <v>1</v>
      </c>
    </row>
    <row r="577" spans="4:135" ht="12" customHeight="1" x14ac:dyDescent="0.25">
      <c r="D577" s="11">
        <v>561</v>
      </c>
      <c r="E577" s="72">
        <v>263.73101191448211</v>
      </c>
      <c r="F577" s="72">
        <v>231.58903993670424</v>
      </c>
      <c r="G577" s="73"/>
      <c r="H577" s="74">
        <v>5.7702597469640855</v>
      </c>
      <c r="I577" s="74">
        <v>5.7917778075384954</v>
      </c>
      <c r="J577" s="73"/>
      <c r="K577" s="72">
        <v>282.59727374109656</v>
      </c>
      <c r="L577" s="72">
        <v>249.71085008425504</v>
      </c>
      <c r="M577" s="73"/>
      <c r="N577" s="74">
        <v>6.727897457739437</v>
      </c>
      <c r="O577" s="74">
        <v>6.7471068934391569</v>
      </c>
      <c r="P577" s="73"/>
      <c r="Q577" s="72">
        <v>1889.3056012614611</v>
      </c>
      <c r="R577" s="72">
        <v>1481.8830379890553</v>
      </c>
      <c r="S577" s="73"/>
      <c r="T577" s="74">
        <v>4.808327922410343</v>
      </c>
      <c r="U577" s="74">
        <v>4.8543004752849015</v>
      </c>
      <c r="V577" s="73"/>
      <c r="W577" s="72">
        <v>14620.654830750729</v>
      </c>
      <c r="X577" s="72">
        <v>14607.924484713723</v>
      </c>
      <c r="Y577" s="73"/>
      <c r="Z577" s="74">
        <v>2.8264569882747725</v>
      </c>
      <c r="AA577" s="74">
        <v>2.873183064645227</v>
      </c>
      <c r="AB577" s="73"/>
      <c r="AC577" s="72">
        <v>50698.545712530053</v>
      </c>
      <c r="AD577" s="72">
        <v>50226.72707521652</v>
      </c>
      <c r="AE577" s="73"/>
      <c r="AF577" s="74">
        <v>4.2475795802746772</v>
      </c>
      <c r="AG577" s="74">
        <v>4.4136429278415346</v>
      </c>
      <c r="AH577" s="73"/>
      <c r="AI577" s="72">
        <v>3456050.1223209053</v>
      </c>
      <c r="AJ577" s="72">
        <v>0</v>
      </c>
      <c r="AK577" s="73"/>
      <c r="AL577" s="74">
        <v>-2313.7191436702642</v>
      </c>
      <c r="AM577" s="74">
        <v>0</v>
      </c>
      <c r="AN577" s="73"/>
      <c r="AO577" s="72">
        <v>222633.45003212016</v>
      </c>
      <c r="AP577" s="72">
        <v>0</v>
      </c>
      <c r="AQ577" s="73"/>
      <c r="AR577" s="74">
        <v>-130.04341814799676</v>
      </c>
      <c r="AS577" s="74">
        <v>0</v>
      </c>
      <c r="AT577" s="73"/>
      <c r="AU577" s="72">
        <v>9499318.1778312009</v>
      </c>
      <c r="AV577" s="72">
        <v>0</v>
      </c>
      <c r="AW577" s="73"/>
      <c r="AX577" s="74">
        <v>-1071.8795338554021</v>
      </c>
      <c r="AY577" s="74">
        <v>0</v>
      </c>
      <c r="AZ577" s="73"/>
      <c r="BA577" s="72">
        <v>110753.22882160507</v>
      </c>
      <c r="BB577" s="72">
        <v>0</v>
      </c>
      <c r="BC577" s="73"/>
      <c r="BD577" s="74">
        <v>-406.51399523228662</v>
      </c>
      <c r="BE577" s="74">
        <v>0</v>
      </c>
      <c r="BF577" s="73"/>
      <c r="BG577" s="72">
        <v>7560742.9615730708</v>
      </c>
      <c r="BH577" s="72">
        <v>0</v>
      </c>
      <c r="BI577" s="73"/>
      <c r="BJ577" s="74">
        <v>-2661.1121032445249</v>
      </c>
      <c r="BK577" s="74">
        <v>0</v>
      </c>
      <c r="BL577" s="73"/>
      <c r="BM577" s="72">
        <v>20849497.940578904</v>
      </c>
      <c r="BN577" s="72">
        <v>0</v>
      </c>
      <c r="BO577" s="73"/>
      <c r="BP577" s="74">
        <v>-6583.2681941504743</v>
      </c>
      <c r="BQ577" s="74">
        <v>0</v>
      </c>
      <c r="BS577" s="109">
        <f t="shared" si="222"/>
        <v>115141.46392736722</v>
      </c>
      <c r="BT577" s="109">
        <f t="shared" si="223"/>
        <v>115603.9671108332</v>
      </c>
      <c r="BV577" s="58">
        <f t="array" ref="BV577">SUM(IF(BS577:BT577&gt;=BS577, 1))</f>
        <v>2</v>
      </c>
      <c r="BW577" s="58">
        <f t="array" ref="BW577">SUM(IF(BS577:BT577&gt;=BT577, 1))</f>
        <v>1</v>
      </c>
      <c r="BY577" s="109">
        <f t="shared" si="224"/>
        <v>134275.35188104765</v>
      </c>
      <c r="BZ577" s="109">
        <f t="shared" si="225"/>
        <v>134692.42701869889</v>
      </c>
      <c r="CB577" s="58">
        <f t="array" ref="CB577">SUM(IF(BY577:BZ577&gt;=BY577, 1))</f>
        <v>2</v>
      </c>
      <c r="CC577" s="58">
        <f t="array" ref="CC577">SUM(IF(BY577:BZ577&gt;=BZ577, 1))</f>
        <v>1</v>
      </c>
      <c r="CE577" s="109">
        <f t="shared" si="226"/>
        <v>94277.252846945412</v>
      </c>
      <c r="CF577" s="109">
        <f t="shared" si="227"/>
        <v>95604.126467708978</v>
      </c>
      <c r="CH577" s="58">
        <f t="array" ref="CH577">SUM(IF(CE577:CF577&gt;=CE577, 1))</f>
        <v>2</v>
      </c>
      <c r="CI577" s="58">
        <f t="array" ref="CI577">SUM(IF(CE577:CF577&gt;=CF577, 1))</f>
        <v>1</v>
      </c>
      <c r="CK577" s="109">
        <f t="shared" si="228"/>
        <v>41908.484934744716</v>
      </c>
      <c r="CL577" s="109">
        <f t="shared" si="229"/>
        <v>42855.736808190813</v>
      </c>
      <c r="CN577" s="58">
        <f t="array" ref="CN577">SUM(IF(CK577:CL577&gt;=CK577, 1))</f>
        <v>2</v>
      </c>
      <c r="CO577" s="58">
        <f t="array" ref="CO577">SUM(IF(CK577:CL577&gt;=CL577, 1))</f>
        <v>1</v>
      </c>
      <c r="CQ577" s="109" cm="1">
        <f t="array" ref="CQ577">AF577*WTP-AC577</f>
        <v>34253.045892963484</v>
      </c>
      <c r="CR577" s="109">
        <f t="shared" si="230"/>
        <v>38046.131481614168</v>
      </c>
      <c r="CT577" s="58">
        <f t="array" ref="CT577">SUM(IF(CQ577:CR577&gt;=CQ577, 1))</f>
        <v>2</v>
      </c>
      <c r="CU577" s="58">
        <f t="array" ref="CU577">SUM(IF(CQ577:CR577&gt;=CR577, 1))</f>
        <v>1</v>
      </c>
      <c r="CW577" s="109">
        <f t="shared" si="231"/>
        <v>-49730432.995726191</v>
      </c>
      <c r="CX577" s="109">
        <f t="shared" si="232"/>
        <v>0</v>
      </c>
      <c r="CZ577" s="58">
        <f t="array" ref="CZ577">SUM(IF(CW577:CX577&gt;=CW577, 1))</f>
        <v>2</v>
      </c>
      <c r="DA577" s="58">
        <f t="array" ref="DA577">SUM(IF(CW577:CX577&gt;=CX577, 1))</f>
        <v>1</v>
      </c>
      <c r="DC577" s="109">
        <f t="shared" si="233"/>
        <v>-2823501.8129920554</v>
      </c>
      <c r="DD577" s="109">
        <f t="shared" si="234"/>
        <v>0</v>
      </c>
      <c r="DF577" s="58">
        <f t="array" ref="DF577">SUM(IF(DC577:DD577&gt;=DC577, 1))</f>
        <v>2</v>
      </c>
      <c r="DG577" s="58">
        <f t="array" ref="DG577">SUM(IF(DC577:DD577&gt;=DD577, 1))</f>
        <v>1</v>
      </c>
      <c r="DI577" s="109">
        <f t="shared" si="235"/>
        <v>-30936908.854939245</v>
      </c>
      <c r="DJ577" s="109">
        <f t="shared" si="236"/>
        <v>0</v>
      </c>
      <c r="DL577" s="58">
        <f t="array" ref="DL577">SUM(IF(DI577:DJ577&gt;=DI577, 1))</f>
        <v>2</v>
      </c>
      <c r="DM577" s="58">
        <f t="array" ref="DM577">SUM(IF(DI577:DJ577&gt;=DJ577, 1))</f>
        <v>1</v>
      </c>
      <c r="DO577" s="109">
        <f t="shared" si="237"/>
        <v>-8241033.133467338</v>
      </c>
      <c r="DP577" s="109">
        <f t="shared" si="238"/>
        <v>0</v>
      </c>
      <c r="DR577" s="58">
        <f t="array" ref="DR577">SUM(IF(DO577:DP577&gt;=DO577, 1))</f>
        <v>2</v>
      </c>
      <c r="DS577" s="58">
        <f t="array" ref="DS577">SUM(IF(DO577:DP577&gt;=DP577, 1))</f>
        <v>1</v>
      </c>
      <c r="DU577" s="109">
        <f t="shared" si="239"/>
        <v>-60782985.026463568</v>
      </c>
      <c r="DV577" s="109">
        <f t="shared" si="240"/>
        <v>0</v>
      </c>
      <c r="DX577" s="58">
        <f t="array" ref="DX577">SUM(IF(DU577:DV577&gt;=DU577, 1))</f>
        <v>2</v>
      </c>
      <c r="DY577" s="58">
        <f t="array" ref="DY577">SUM(IF(DU577:DV577&gt;=DV577, 1))</f>
        <v>1</v>
      </c>
      <c r="EA577" s="109">
        <f t="shared" si="241"/>
        <v>-152514861.8235884</v>
      </c>
      <c r="EB577" s="109">
        <f t="shared" si="242"/>
        <v>0</v>
      </c>
      <c r="ED577" s="58">
        <f t="array" ref="ED577">SUM(IF(EA577:EB577&gt;=EA577, 1))</f>
        <v>2</v>
      </c>
      <c r="EE577" s="58">
        <f t="array" ref="EE577">SUM(IF(EA577:EB577&gt;=EB577, 1))</f>
        <v>1</v>
      </c>
    </row>
    <row r="578" spans="4:135" ht="12" customHeight="1" x14ac:dyDescent="0.25">
      <c r="D578" s="11">
        <v>562</v>
      </c>
      <c r="E578" s="72">
        <v>287.91950223186825</v>
      </c>
      <c r="F578" s="72">
        <v>264.57036326401135</v>
      </c>
      <c r="G578" s="73"/>
      <c r="H578" s="74">
        <v>5.7816678677949049</v>
      </c>
      <c r="I578" s="74">
        <v>5.7976804480878998</v>
      </c>
      <c r="J578" s="73"/>
      <c r="K578" s="72">
        <v>309.25517582852189</v>
      </c>
      <c r="L578" s="72">
        <v>285.30127484603793</v>
      </c>
      <c r="M578" s="73"/>
      <c r="N578" s="74">
        <v>6.7072972479399064</v>
      </c>
      <c r="O578" s="74">
        <v>6.7209443555166901</v>
      </c>
      <c r="P578" s="73"/>
      <c r="Q578" s="72">
        <v>3521.696864950241</v>
      </c>
      <c r="R578" s="72">
        <v>1597.6117865558415</v>
      </c>
      <c r="S578" s="73"/>
      <c r="T578" s="74">
        <v>4.7744702702833308</v>
      </c>
      <c r="U578" s="74">
        <v>4.8933614049773055</v>
      </c>
      <c r="V578" s="73"/>
      <c r="W578" s="72">
        <v>15483.838004171845</v>
      </c>
      <c r="X578" s="72">
        <v>15478.583378745905</v>
      </c>
      <c r="Y578" s="73"/>
      <c r="Z578" s="74">
        <v>3.0920123143222642</v>
      </c>
      <c r="AA578" s="74">
        <v>3.1387594466589834</v>
      </c>
      <c r="AB578" s="73"/>
      <c r="AC578" s="72">
        <v>48385.077177494597</v>
      </c>
      <c r="AD578" s="72">
        <v>48105.204438799607</v>
      </c>
      <c r="AE578" s="73"/>
      <c r="AF578" s="74">
        <v>4.3809344715678717</v>
      </c>
      <c r="AG578" s="74">
        <v>4.5024994409641428</v>
      </c>
      <c r="AH578" s="73"/>
      <c r="AI578" s="72">
        <v>2510686.5080357767</v>
      </c>
      <c r="AJ578" s="72">
        <v>0</v>
      </c>
      <c r="AK578" s="73"/>
      <c r="AL578" s="74">
        <v>-1721.8009347499233</v>
      </c>
      <c r="AM578" s="74">
        <v>0</v>
      </c>
      <c r="AN578" s="73"/>
      <c r="AO578" s="72">
        <v>166393.89522198352</v>
      </c>
      <c r="AP578" s="72">
        <v>0</v>
      </c>
      <c r="AQ578" s="73"/>
      <c r="AR578" s="74">
        <v>-94.798562867692183</v>
      </c>
      <c r="AS578" s="74">
        <v>0</v>
      </c>
      <c r="AT578" s="73"/>
      <c r="AU578" s="72">
        <v>44633480.521421038</v>
      </c>
      <c r="AV578" s="72">
        <v>0</v>
      </c>
      <c r="AW578" s="73"/>
      <c r="AX578" s="74">
        <v>-2757.9472467825212</v>
      </c>
      <c r="AY578" s="74">
        <v>0</v>
      </c>
      <c r="AZ578" s="73"/>
      <c r="BA578" s="72">
        <v>46842.575993480903</v>
      </c>
      <c r="BB578" s="72">
        <v>0</v>
      </c>
      <c r="BC578" s="73"/>
      <c r="BD578" s="74">
        <v>-416.72924736943031</v>
      </c>
      <c r="BE578" s="74">
        <v>0</v>
      </c>
      <c r="BF578" s="73"/>
      <c r="BG578" s="72">
        <v>4399117.79813274</v>
      </c>
      <c r="BH578" s="72">
        <v>0</v>
      </c>
      <c r="BI578" s="73"/>
      <c r="BJ578" s="74">
        <v>-1910.7921085640562</v>
      </c>
      <c r="BK578" s="74">
        <v>0</v>
      </c>
      <c r="BL578" s="73"/>
      <c r="BM578" s="72">
        <v>51756521.298805013</v>
      </c>
      <c r="BN578" s="72">
        <v>0</v>
      </c>
      <c r="BO578" s="73"/>
      <c r="BP578" s="74">
        <v>-6902.068100333624</v>
      </c>
      <c r="BQ578" s="74">
        <v>0</v>
      </c>
      <c r="BS578" s="109">
        <f t="shared" si="222"/>
        <v>115345.43785366623</v>
      </c>
      <c r="BT578" s="109">
        <f t="shared" si="223"/>
        <v>115689.03859849399</v>
      </c>
      <c r="BV578" s="58">
        <f t="array" ref="BV578">SUM(IF(BS578:BT578&gt;=BS578, 1))</f>
        <v>2</v>
      </c>
      <c r="BW578" s="58">
        <f t="array" ref="BW578">SUM(IF(BS578:BT578&gt;=BT578, 1))</f>
        <v>1</v>
      </c>
      <c r="BY578" s="109">
        <f t="shared" si="224"/>
        <v>133836.6897829696</v>
      </c>
      <c r="BZ578" s="109">
        <f t="shared" si="225"/>
        <v>134133.58583548776</v>
      </c>
      <c r="CB578" s="58">
        <f t="array" ref="CB578">SUM(IF(BY578:BZ578&gt;=BY578, 1))</f>
        <v>2</v>
      </c>
      <c r="CC578" s="58">
        <f t="array" ref="CC578">SUM(IF(BY578:BZ578&gt;=BZ578, 1))</f>
        <v>1</v>
      </c>
      <c r="CE578" s="109">
        <f t="shared" si="226"/>
        <v>91967.708540716383</v>
      </c>
      <c r="CF578" s="109">
        <f t="shared" si="227"/>
        <v>96269.616312990256</v>
      </c>
      <c r="CH578" s="58">
        <f t="array" ref="CH578">SUM(IF(CE578:CF578&gt;=CE578, 1))</f>
        <v>2</v>
      </c>
      <c r="CI578" s="58">
        <f t="array" ref="CI578">SUM(IF(CE578:CF578&gt;=CF578, 1))</f>
        <v>1</v>
      </c>
      <c r="CK578" s="109">
        <f t="shared" si="228"/>
        <v>46356.408282273434</v>
      </c>
      <c r="CL578" s="109">
        <f t="shared" si="229"/>
        <v>47296.605554433765</v>
      </c>
      <c r="CN578" s="58">
        <f t="array" ref="CN578">SUM(IF(CK578:CL578&gt;=CK578, 1))</f>
        <v>2</v>
      </c>
      <c r="CO578" s="58">
        <f t="array" ref="CO578">SUM(IF(CK578:CL578&gt;=CL578, 1))</f>
        <v>1</v>
      </c>
      <c r="CQ578" s="109" cm="1">
        <f t="array" ref="CQ578">AF578*WTP-AC578</f>
        <v>39233.612253862833</v>
      </c>
      <c r="CR578" s="109">
        <f t="shared" si="230"/>
        <v>41944.784380483245</v>
      </c>
      <c r="CT578" s="58">
        <f t="array" ref="CT578">SUM(IF(CQ578:CR578&gt;=CQ578, 1))</f>
        <v>2</v>
      </c>
      <c r="CU578" s="58">
        <f t="array" ref="CU578">SUM(IF(CQ578:CR578&gt;=CR578, 1))</f>
        <v>1</v>
      </c>
      <c r="CW578" s="109">
        <f t="shared" si="231"/>
        <v>-36946705.203034244</v>
      </c>
      <c r="CX578" s="109">
        <f t="shared" si="232"/>
        <v>0</v>
      </c>
      <c r="CZ578" s="58">
        <f t="array" ref="CZ578">SUM(IF(CW578:CX578&gt;=CW578, 1))</f>
        <v>2</v>
      </c>
      <c r="DA578" s="58">
        <f t="array" ref="DA578">SUM(IF(CW578:CX578&gt;=CX578, 1))</f>
        <v>1</v>
      </c>
      <c r="DC578" s="109">
        <f t="shared" si="233"/>
        <v>-2062365.1525758272</v>
      </c>
      <c r="DD578" s="109">
        <f t="shared" si="234"/>
        <v>0</v>
      </c>
      <c r="DF578" s="58">
        <f t="array" ref="DF578">SUM(IF(DC578:DD578&gt;=DC578, 1))</f>
        <v>2</v>
      </c>
      <c r="DG578" s="58">
        <f t="array" ref="DG578">SUM(IF(DC578:DD578&gt;=DD578, 1))</f>
        <v>1</v>
      </c>
      <c r="DI578" s="109">
        <f t="shared" si="235"/>
        <v>-99792425.457071453</v>
      </c>
      <c r="DJ578" s="109">
        <f t="shared" si="236"/>
        <v>0</v>
      </c>
      <c r="DL578" s="58">
        <f t="array" ref="DL578">SUM(IF(DI578:DJ578&gt;=DI578, 1))</f>
        <v>2</v>
      </c>
      <c r="DM578" s="58">
        <f t="array" ref="DM578">SUM(IF(DI578:DJ578&gt;=DJ578, 1))</f>
        <v>1</v>
      </c>
      <c r="DO578" s="109">
        <f t="shared" si="237"/>
        <v>-8381427.5233820872</v>
      </c>
      <c r="DP578" s="109">
        <f t="shared" si="238"/>
        <v>0</v>
      </c>
      <c r="DR578" s="58">
        <f t="array" ref="DR578">SUM(IF(DO578:DP578&gt;=DO578, 1))</f>
        <v>2</v>
      </c>
      <c r="DS578" s="58">
        <f t="array" ref="DS578">SUM(IF(DO578:DP578&gt;=DP578, 1))</f>
        <v>1</v>
      </c>
      <c r="DU578" s="109">
        <f t="shared" si="239"/>
        <v>-42614959.969413862</v>
      </c>
      <c r="DV578" s="109">
        <f t="shared" si="240"/>
        <v>0</v>
      </c>
      <c r="DX578" s="58">
        <f t="array" ref="DX578">SUM(IF(DU578:DV578&gt;=DU578, 1))</f>
        <v>2</v>
      </c>
      <c r="DY578" s="58">
        <f t="array" ref="DY578">SUM(IF(DU578:DV578&gt;=DV578, 1))</f>
        <v>1</v>
      </c>
      <c r="EA578" s="109">
        <f t="shared" si="241"/>
        <v>-189797883.3054775</v>
      </c>
      <c r="EB578" s="109">
        <f t="shared" si="242"/>
        <v>0</v>
      </c>
      <c r="ED578" s="58">
        <f t="array" ref="ED578">SUM(IF(EA578:EB578&gt;=EA578, 1))</f>
        <v>2</v>
      </c>
      <c r="EE578" s="58">
        <f t="array" ref="EE578">SUM(IF(EA578:EB578&gt;=EB578, 1))</f>
        <v>1</v>
      </c>
    </row>
    <row r="579" spans="4:135" ht="12" customHeight="1" x14ac:dyDescent="0.25">
      <c r="D579" s="11">
        <v>563</v>
      </c>
      <c r="E579" s="72">
        <v>235.26366253249788</v>
      </c>
      <c r="F579" s="72">
        <v>221.85548853662431</v>
      </c>
      <c r="G579" s="73"/>
      <c r="H579" s="74">
        <v>5.8347068130980055</v>
      </c>
      <c r="I579" s="74">
        <v>5.8518347949518672</v>
      </c>
      <c r="J579" s="73"/>
      <c r="K579" s="72">
        <v>252.97762265130578</v>
      </c>
      <c r="L579" s="72">
        <v>239.2579805055496</v>
      </c>
      <c r="M579" s="73"/>
      <c r="N579" s="74">
        <v>6.6884242365063162</v>
      </c>
      <c r="O579" s="74">
        <v>6.7039968325941945</v>
      </c>
      <c r="P579" s="73"/>
      <c r="Q579" s="72">
        <v>2413.1107632421981</v>
      </c>
      <c r="R579" s="72">
        <v>1258.4557299191533</v>
      </c>
      <c r="S579" s="73"/>
      <c r="T579" s="74">
        <v>4.8450690260667715</v>
      </c>
      <c r="U579" s="74">
        <v>4.9702137556607244</v>
      </c>
      <c r="V579" s="73"/>
      <c r="W579" s="72">
        <v>10229.587557016261</v>
      </c>
      <c r="X579" s="72">
        <v>10214.691153558757</v>
      </c>
      <c r="Y579" s="73"/>
      <c r="Z579" s="74">
        <v>3.0887545376521879</v>
      </c>
      <c r="AA579" s="74">
        <v>3.1380988825054783</v>
      </c>
      <c r="AB579" s="73"/>
      <c r="AC579" s="72">
        <v>48900.354424524201</v>
      </c>
      <c r="AD579" s="72">
        <v>48911.270093475578</v>
      </c>
      <c r="AE579" s="73"/>
      <c r="AF579" s="74">
        <v>3.9990899770205264</v>
      </c>
      <c r="AG579" s="74">
        <v>4.1031123249236474</v>
      </c>
      <c r="AH579" s="73"/>
      <c r="AI579" s="72">
        <v>1445658.2680311096</v>
      </c>
      <c r="AJ579" s="72">
        <v>0</v>
      </c>
      <c r="AK579" s="73"/>
      <c r="AL579" s="74">
        <v>-1846.7248850844499</v>
      </c>
      <c r="AM579" s="74">
        <v>0</v>
      </c>
      <c r="AN579" s="73"/>
      <c r="AO579" s="72">
        <v>96534.738986409109</v>
      </c>
      <c r="AP579" s="72">
        <v>0</v>
      </c>
      <c r="AQ579" s="73"/>
      <c r="AR579" s="74">
        <v>-109.57257359289902</v>
      </c>
      <c r="AS579" s="74">
        <v>0</v>
      </c>
      <c r="AT579" s="73"/>
      <c r="AU579" s="72">
        <v>26414850.484291464</v>
      </c>
      <c r="AV579" s="72">
        <v>0</v>
      </c>
      <c r="AW579" s="73"/>
      <c r="AX579" s="74">
        <v>-2862.9150921446703</v>
      </c>
      <c r="AY579" s="74">
        <v>0</v>
      </c>
      <c r="AZ579" s="73"/>
      <c r="BA579" s="72">
        <v>135170.96473735065</v>
      </c>
      <c r="BB579" s="72">
        <v>0</v>
      </c>
      <c r="BC579" s="73"/>
      <c r="BD579" s="74">
        <v>-447.7538969174434</v>
      </c>
      <c r="BE579" s="74">
        <v>0</v>
      </c>
      <c r="BF579" s="73"/>
      <c r="BG579" s="72">
        <v>-175727.16139567652</v>
      </c>
      <c r="BH579" s="72">
        <v>0</v>
      </c>
      <c r="BI579" s="73"/>
      <c r="BJ579" s="74">
        <v>-1674.6158206294567</v>
      </c>
      <c r="BK579" s="74">
        <v>0</v>
      </c>
      <c r="BL579" s="73"/>
      <c r="BM579" s="72">
        <v>27916487.294650659</v>
      </c>
      <c r="BN579" s="72">
        <v>0</v>
      </c>
      <c r="BO579" s="73"/>
      <c r="BP579" s="74">
        <v>-6941.5822683689203</v>
      </c>
      <c r="BQ579" s="74">
        <v>0</v>
      </c>
      <c r="BS579" s="109">
        <f t="shared" si="222"/>
        <v>116458.87259942762</v>
      </c>
      <c r="BT579" s="109">
        <f t="shared" si="223"/>
        <v>116814.84041050072</v>
      </c>
      <c r="BV579" s="58">
        <f t="array" ref="BV579">SUM(IF(BS579:BT579&gt;=BS579, 1))</f>
        <v>2</v>
      </c>
      <c r="BW579" s="58">
        <f t="array" ref="BW579">SUM(IF(BS579:BT579&gt;=BT579, 1))</f>
        <v>1</v>
      </c>
      <c r="BY579" s="109">
        <f t="shared" si="224"/>
        <v>133515.50710747504</v>
      </c>
      <c r="BZ579" s="109">
        <f t="shared" si="225"/>
        <v>133840.67867137832</v>
      </c>
      <c r="CB579" s="58">
        <f t="array" ref="CB579">SUM(IF(BY579:BZ579&gt;=BY579, 1))</f>
        <v>2</v>
      </c>
      <c r="CC579" s="58">
        <f t="array" ref="CC579">SUM(IF(BY579:BZ579&gt;=BZ579, 1))</f>
        <v>1</v>
      </c>
      <c r="CE579" s="109">
        <f t="shared" si="226"/>
        <v>94488.269758093244</v>
      </c>
      <c r="CF579" s="109">
        <f t="shared" si="227"/>
        <v>98145.81938329534</v>
      </c>
      <c r="CH579" s="58">
        <f t="array" ref="CH579">SUM(IF(CE579:CF579&gt;=CE579, 1))</f>
        <v>2</v>
      </c>
      <c r="CI579" s="58">
        <f t="array" ref="CI579">SUM(IF(CE579:CF579&gt;=CF579, 1))</f>
        <v>1</v>
      </c>
      <c r="CK579" s="109">
        <f t="shared" si="228"/>
        <v>51545.503196027494</v>
      </c>
      <c r="CL579" s="109">
        <f t="shared" si="229"/>
        <v>52547.286496550812</v>
      </c>
      <c r="CN579" s="58">
        <f t="array" ref="CN579">SUM(IF(CK579:CL579&gt;=CK579, 1))</f>
        <v>2</v>
      </c>
      <c r="CO579" s="58">
        <f t="array" ref="CO579">SUM(IF(CK579:CL579&gt;=CL579, 1))</f>
        <v>1</v>
      </c>
      <c r="CQ579" s="109" cm="1">
        <f t="array" ref="CQ579">AF579*WTP-AC579</f>
        <v>31081.44511588633</v>
      </c>
      <c r="CR579" s="109">
        <f t="shared" si="230"/>
        <v>33150.976404997367</v>
      </c>
      <c r="CT579" s="58">
        <f t="array" ref="CT579">SUM(IF(CQ579:CR579&gt;=CQ579, 1))</f>
        <v>2</v>
      </c>
      <c r="CU579" s="58">
        <f t="array" ref="CU579">SUM(IF(CQ579:CR579&gt;=CR579, 1))</f>
        <v>1</v>
      </c>
      <c r="CW579" s="109">
        <f t="shared" si="231"/>
        <v>-38380155.96972011</v>
      </c>
      <c r="CX579" s="109">
        <f t="shared" si="232"/>
        <v>0</v>
      </c>
      <c r="CZ579" s="58">
        <f t="array" ref="CZ579">SUM(IF(CW579:CX579&gt;=CW579, 1))</f>
        <v>2</v>
      </c>
      <c r="DA579" s="58">
        <f t="array" ref="DA579">SUM(IF(CW579:CX579&gt;=CX579, 1))</f>
        <v>1</v>
      </c>
      <c r="DC579" s="109">
        <f t="shared" si="233"/>
        <v>-2287986.2108443896</v>
      </c>
      <c r="DD579" s="109">
        <f t="shared" si="234"/>
        <v>0</v>
      </c>
      <c r="DF579" s="58">
        <f t="array" ref="DF579">SUM(IF(DC579:DD579&gt;=DC579, 1))</f>
        <v>2</v>
      </c>
      <c r="DG579" s="58">
        <f t="array" ref="DG579">SUM(IF(DC579:DD579&gt;=DD579, 1))</f>
        <v>1</v>
      </c>
      <c r="DI579" s="109">
        <f t="shared" si="235"/>
        <v>-83673152.327184871</v>
      </c>
      <c r="DJ579" s="109">
        <f t="shared" si="236"/>
        <v>0</v>
      </c>
      <c r="DL579" s="58">
        <f t="array" ref="DL579">SUM(IF(DI579:DJ579&gt;=DI579, 1))</f>
        <v>2</v>
      </c>
      <c r="DM579" s="58">
        <f t="array" ref="DM579">SUM(IF(DI579:DJ579&gt;=DJ579, 1))</f>
        <v>1</v>
      </c>
      <c r="DO579" s="109">
        <f t="shared" si="237"/>
        <v>-9090248.903086219</v>
      </c>
      <c r="DP579" s="109">
        <f t="shared" si="238"/>
        <v>0</v>
      </c>
      <c r="DR579" s="58">
        <f t="array" ref="DR579">SUM(IF(DO579:DP579&gt;=DO579, 1))</f>
        <v>2</v>
      </c>
      <c r="DS579" s="58">
        <f t="array" ref="DS579">SUM(IF(DO579:DP579&gt;=DP579, 1))</f>
        <v>1</v>
      </c>
      <c r="DU579" s="109">
        <f t="shared" si="239"/>
        <v>-33316589.251193456</v>
      </c>
      <c r="DV579" s="109">
        <f t="shared" si="240"/>
        <v>0</v>
      </c>
      <c r="DX579" s="58">
        <f t="array" ref="DX579">SUM(IF(DU579:DV579&gt;=DU579, 1))</f>
        <v>2</v>
      </c>
      <c r="DY579" s="58">
        <f t="array" ref="DY579">SUM(IF(DU579:DV579&gt;=DV579, 1))</f>
        <v>1</v>
      </c>
      <c r="EA579" s="109">
        <f t="shared" si="241"/>
        <v>-166748132.66202909</v>
      </c>
      <c r="EB579" s="109">
        <f t="shared" si="242"/>
        <v>0</v>
      </c>
      <c r="ED579" s="58">
        <f t="array" ref="ED579">SUM(IF(EA579:EB579&gt;=EA579, 1))</f>
        <v>2</v>
      </c>
      <c r="EE579" s="58">
        <f t="array" ref="EE579">SUM(IF(EA579:EB579&gt;=EB579, 1))</f>
        <v>1</v>
      </c>
    </row>
    <row r="580" spans="4:135" ht="12" customHeight="1" x14ac:dyDescent="0.25">
      <c r="D580" s="11">
        <v>564</v>
      </c>
      <c r="E580" s="72">
        <v>278.22387479741724</v>
      </c>
      <c r="F580" s="72">
        <v>234.20050913242784</v>
      </c>
      <c r="G580" s="73"/>
      <c r="H580" s="74">
        <v>5.8664455099207435</v>
      </c>
      <c r="I580" s="74">
        <v>5.8826365445057567</v>
      </c>
      <c r="J580" s="73"/>
      <c r="K580" s="72">
        <v>297.46299134688911</v>
      </c>
      <c r="L580" s="72">
        <v>252.43860604030166</v>
      </c>
      <c r="M580" s="73"/>
      <c r="N580" s="74">
        <v>6.6795031016609681</v>
      </c>
      <c r="O580" s="74">
        <v>6.6934568715852922</v>
      </c>
      <c r="P580" s="73"/>
      <c r="Q580" s="72">
        <v>1179.4394287496118</v>
      </c>
      <c r="R580" s="72">
        <v>1020.2736448240586</v>
      </c>
      <c r="S580" s="73"/>
      <c r="T580" s="74">
        <v>4.7630230938261793</v>
      </c>
      <c r="U580" s="74">
        <v>4.8085751522210254</v>
      </c>
      <c r="V580" s="73"/>
      <c r="W580" s="72">
        <v>11868.326750651937</v>
      </c>
      <c r="X580" s="72">
        <v>11818.054286097626</v>
      </c>
      <c r="Y580" s="73"/>
      <c r="Z580" s="74">
        <v>2.9749535508480509</v>
      </c>
      <c r="AA580" s="74">
        <v>3.0128111278208185</v>
      </c>
      <c r="AB580" s="73"/>
      <c r="AC580" s="72">
        <v>49811.581988248246</v>
      </c>
      <c r="AD580" s="72">
        <v>49676.860864154376</v>
      </c>
      <c r="AE580" s="73"/>
      <c r="AF580" s="74">
        <v>4.277092439124929</v>
      </c>
      <c r="AG580" s="74">
        <v>4.3420359959112549</v>
      </c>
      <c r="AH580" s="73"/>
      <c r="AI580" s="72">
        <v>4734020.496909596</v>
      </c>
      <c r="AJ580" s="72">
        <v>0</v>
      </c>
      <c r="AK580" s="73"/>
      <c r="AL580" s="74">
        <v>-1741.0910872855188</v>
      </c>
      <c r="AM580" s="74">
        <v>0</v>
      </c>
      <c r="AN580" s="73"/>
      <c r="AO580" s="72">
        <v>311483.65362105478</v>
      </c>
      <c r="AP580" s="72">
        <v>0</v>
      </c>
      <c r="AQ580" s="73"/>
      <c r="AR580" s="74">
        <v>-96.533716301067926</v>
      </c>
      <c r="AS580" s="74">
        <v>0</v>
      </c>
      <c r="AT580" s="73"/>
      <c r="AU580" s="72">
        <v>3516785.4316338543</v>
      </c>
      <c r="AV580" s="72">
        <v>0</v>
      </c>
      <c r="AW580" s="73"/>
      <c r="AX580" s="74">
        <v>-1006.4777202294837</v>
      </c>
      <c r="AY580" s="74">
        <v>0</v>
      </c>
      <c r="AZ580" s="73"/>
      <c r="BA580" s="72">
        <v>445682.12727881811</v>
      </c>
      <c r="BB580" s="72">
        <v>0</v>
      </c>
      <c r="BC580" s="73"/>
      <c r="BD580" s="74">
        <v>-335.62001760659103</v>
      </c>
      <c r="BE580" s="74">
        <v>0</v>
      </c>
      <c r="BF580" s="73"/>
      <c r="BG580" s="72">
        <v>2159082.603948961</v>
      </c>
      <c r="BH580" s="72">
        <v>0</v>
      </c>
      <c r="BI580" s="73"/>
      <c r="BJ580" s="74">
        <v>-1040.8056245004818</v>
      </c>
      <c r="BK580" s="74">
        <v>0</v>
      </c>
      <c r="BL580" s="73"/>
      <c r="BM580" s="72">
        <v>11167054.313392285</v>
      </c>
      <c r="BN580" s="72">
        <v>0</v>
      </c>
      <c r="BO580" s="73"/>
      <c r="BP580" s="74">
        <v>-4220.5281659231432</v>
      </c>
      <c r="BQ580" s="74">
        <v>0</v>
      </c>
      <c r="BS580" s="109">
        <f t="shared" si="222"/>
        <v>117050.68632361745</v>
      </c>
      <c r="BT580" s="109">
        <f t="shared" si="223"/>
        <v>117418.5303809827</v>
      </c>
      <c r="BV580" s="58">
        <f t="array" ref="BV580">SUM(IF(BS580:BT580&gt;=BS580, 1))</f>
        <v>2</v>
      </c>
      <c r="BW580" s="58">
        <f t="array" ref="BW580">SUM(IF(BS580:BT580&gt;=BT580, 1))</f>
        <v>1</v>
      </c>
      <c r="BY580" s="109">
        <f t="shared" si="224"/>
        <v>133292.59904187245</v>
      </c>
      <c r="BZ580" s="109">
        <f t="shared" si="225"/>
        <v>133616.69882566555</v>
      </c>
      <c r="CB580" s="58">
        <f t="array" ref="CB580">SUM(IF(BY580:BZ580&gt;=BY580, 1))</f>
        <v>2</v>
      </c>
      <c r="CC580" s="58">
        <f t="array" ref="CC580">SUM(IF(BY580:BZ580&gt;=BZ580, 1))</f>
        <v>1</v>
      </c>
      <c r="CE580" s="109">
        <f t="shared" si="226"/>
        <v>94081.022447773968</v>
      </c>
      <c r="CF580" s="109">
        <f t="shared" si="227"/>
        <v>95151.229399596443</v>
      </c>
      <c r="CH580" s="58">
        <f t="array" ref="CH580">SUM(IF(CE580:CF580&gt;=CE580, 1))</f>
        <v>2</v>
      </c>
      <c r="CI580" s="58">
        <f t="array" ref="CI580">SUM(IF(CE580:CF580&gt;=CF580, 1))</f>
        <v>1</v>
      </c>
      <c r="CK580" s="109">
        <f t="shared" si="228"/>
        <v>47630.744266309077</v>
      </c>
      <c r="CL580" s="109">
        <f t="shared" si="229"/>
        <v>48438.16827031874</v>
      </c>
      <c r="CN580" s="58">
        <f t="array" ref="CN580">SUM(IF(CK580:CL580&gt;=CK580, 1))</f>
        <v>2</v>
      </c>
      <c r="CO580" s="58">
        <f t="array" ref="CO580">SUM(IF(CK580:CL580&gt;=CL580, 1))</f>
        <v>1</v>
      </c>
      <c r="CQ580" s="109" cm="1">
        <f t="array" ref="CQ580">AF580*WTP-AC580</f>
        <v>35730.266794250332</v>
      </c>
      <c r="CR580" s="109">
        <f t="shared" si="230"/>
        <v>37163.859054070716</v>
      </c>
      <c r="CT580" s="58">
        <f t="array" ref="CT580">SUM(IF(CQ580:CR580&gt;=CQ580, 1))</f>
        <v>2</v>
      </c>
      <c r="CU580" s="58">
        <f t="array" ref="CU580">SUM(IF(CQ580:CR580&gt;=CR580, 1))</f>
        <v>1</v>
      </c>
      <c r="CW580" s="109">
        <f t="shared" si="231"/>
        <v>-39555842.242619969</v>
      </c>
      <c r="CX580" s="109">
        <f t="shared" si="232"/>
        <v>0</v>
      </c>
      <c r="CZ580" s="58">
        <f t="array" ref="CZ580">SUM(IF(CW580:CX580&gt;=CW580, 1))</f>
        <v>2</v>
      </c>
      <c r="DA580" s="58">
        <f t="array" ref="DA580">SUM(IF(CW580:CX580&gt;=CX580, 1))</f>
        <v>1</v>
      </c>
      <c r="DC580" s="109">
        <f t="shared" si="233"/>
        <v>-2242157.9796424136</v>
      </c>
      <c r="DD580" s="109">
        <f t="shared" si="234"/>
        <v>0</v>
      </c>
      <c r="DF580" s="58">
        <f t="array" ref="DF580">SUM(IF(DC580:DD580&gt;=DC580, 1))</f>
        <v>2</v>
      </c>
      <c r="DG580" s="58">
        <f t="array" ref="DG580">SUM(IF(DC580:DD580&gt;=DD580, 1))</f>
        <v>1</v>
      </c>
      <c r="DI580" s="109">
        <f t="shared" si="235"/>
        <v>-23646339.836223528</v>
      </c>
      <c r="DJ580" s="109">
        <f t="shared" si="236"/>
        <v>0</v>
      </c>
      <c r="DL580" s="58">
        <f t="array" ref="DL580">SUM(IF(DI580:DJ580&gt;=DI580, 1))</f>
        <v>2</v>
      </c>
      <c r="DM580" s="58">
        <f t="array" ref="DM580">SUM(IF(DI580:DJ580&gt;=DJ580, 1))</f>
        <v>1</v>
      </c>
      <c r="DO580" s="109">
        <f t="shared" si="237"/>
        <v>-7158082.4794106381</v>
      </c>
      <c r="DP580" s="109">
        <f t="shared" si="238"/>
        <v>0</v>
      </c>
      <c r="DR580" s="58">
        <f t="array" ref="DR580">SUM(IF(DO580:DP580&gt;=DO580, 1))</f>
        <v>2</v>
      </c>
      <c r="DS580" s="58">
        <f t="array" ref="DS580">SUM(IF(DO580:DP580&gt;=DP580, 1))</f>
        <v>1</v>
      </c>
      <c r="DU580" s="109">
        <f t="shared" si="239"/>
        <v>-22975195.093958598</v>
      </c>
      <c r="DV580" s="109">
        <f t="shared" si="240"/>
        <v>0</v>
      </c>
      <c r="DX580" s="58">
        <f t="array" ref="DX580">SUM(IF(DU580:DV580&gt;=DU580, 1))</f>
        <v>2</v>
      </c>
      <c r="DY580" s="58">
        <f t="array" ref="DY580">SUM(IF(DU580:DV580&gt;=DV580, 1))</f>
        <v>1</v>
      </c>
      <c r="EA580" s="109">
        <f t="shared" si="241"/>
        <v>-95577617.631855145</v>
      </c>
      <c r="EB580" s="109">
        <f t="shared" si="242"/>
        <v>0</v>
      </c>
      <c r="ED580" s="58">
        <f t="array" ref="ED580">SUM(IF(EA580:EB580&gt;=EA580, 1))</f>
        <v>2</v>
      </c>
      <c r="EE580" s="58">
        <f t="array" ref="EE580">SUM(IF(EA580:EB580&gt;=EB580, 1))</f>
        <v>1</v>
      </c>
    </row>
    <row r="581" spans="4:135" ht="12" customHeight="1" x14ac:dyDescent="0.25">
      <c r="D581" s="11">
        <v>565</v>
      </c>
      <c r="E581" s="72">
        <v>211.49663992874386</v>
      </c>
      <c r="F581" s="72">
        <v>196.30539563807091</v>
      </c>
      <c r="G581" s="73"/>
      <c r="H581" s="74">
        <v>5.7543840614116277</v>
      </c>
      <c r="I581" s="74">
        <v>5.7725372376948858</v>
      </c>
      <c r="J581" s="73"/>
      <c r="K581" s="72">
        <v>227.2768172027815</v>
      </c>
      <c r="L581" s="72">
        <v>211.70211901399509</v>
      </c>
      <c r="M581" s="73"/>
      <c r="N581" s="74">
        <v>6.6952925801959413</v>
      </c>
      <c r="O581" s="74">
        <v>6.7116178271684186</v>
      </c>
      <c r="P581" s="73"/>
      <c r="Q581" s="72">
        <v>1956.8282612228625</v>
      </c>
      <c r="R581" s="72">
        <v>1192.0099301095422</v>
      </c>
      <c r="S581" s="73"/>
      <c r="T581" s="74">
        <v>4.7777490930041111</v>
      </c>
      <c r="U581" s="74">
        <v>4.8512430797171486</v>
      </c>
      <c r="V581" s="73"/>
      <c r="W581" s="72">
        <v>9759.8708037009783</v>
      </c>
      <c r="X581" s="72">
        <v>9747.36733185501</v>
      </c>
      <c r="Y581" s="73"/>
      <c r="Z581" s="74">
        <v>3.0490818465570539</v>
      </c>
      <c r="AA581" s="74">
        <v>3.1092397426512659</v>
      </c>
      <c r="AB581" s="73"/>
      <c r="AC581" s="72">
        <v>50613.725667346138</v>
      </c>
      <c r="AD581" s="72">
        <v>50551.197968021261</v>
      </c>
      <c r="AE581" s="73"/>
      <c r="AF581" s="74">
        <v>4.5235584033987299</v>
      </c>
      <c r="AG581" s="74">
        <v>4.6086343167926023</v>
      </c>
      <c r="AH581" s="73"/>
      <c r="AI581" s="72">
        <v>1653959.6777860709</v>
      </c>
      <c r="AJ581" s="72">
        <v>0</v>
      </c>
      <c r="AK581" s="73"/>
      <c r="AL581" s="74">
        <v>-1976.4425495208209</v>
      </c>
      <c r="AM581" s="74">
        <v>0</v>
      </c>
      <c r="AN581" s="73"/>
      <c r="AO581" s="72">
        <v>107812.75288078318</v>
      </c>
      <c r="AP581" s="72">
        <v>0</v>
      </c>
      <c r="AQ581" s="73"/>
      <c r="AR581" s="74">
        <v>-113.00827767106748</v>
      </c>
      <c r="AS581" s="74">
        <v>0</v>
      </c>
      <c r="AT581" s="73"/>
      <c r="AU581" s="72">
        <v>17752966.848139744</v>
      </c>
      <c r="AV581" s="72">
        <v>0</v>
      </c>
      <c r="AW581" s="73"/>
      <c r="AX581" s="74">
        <v>-1705.9427795812862</v>
      </c>
      <c r="AY581" s="74">
        <v>0</v>
      </c>
      <c r="AZ581" s="73"/>
      <c r="BA581" s="72">
        <v>109965.33078123635</v>
      </c>
      <c r="BB581" s="72">
        <v>0</v>
      </c>
      <c r="BC581" s="73"/>
      <c r="BD581" s="74">
        <v>-529.07568590529797</v>
      </c>
      <c r="BE581" s="74">
        <v>0</v>
      </c>
      <c r="BF581" s="73"/>
      <c r="BG581" s="72">
        <v>1025593.2793073752</v>
      </c>
      <c r="BH581" s="72">
        <v>0</v>
      </c>
      <c r="BI581" s="73"/>
      <c r="BJ581" s="74">
        <v>-1395.434118795049</v>
      </c>
      <c r="BK581" s="74">
        <v>0</v>
      </c>
      <c r="BL581" s="73"/>
      <c r="BM581" s="72">
        <v>20650297.88889521</v>
      </c>
      <c r="BN581" s="72">
        <v>0</v>
      </c>
      <c r="BO581" s="73"/>
      <c r="BP581" s="74">
        <v>-5719.9034114735223</v>
      </c>
      <c r="BQ581" s="74">
        <v>0</v>
      </c>
      <c r="BS581" s="109">
        <f t="shared" si="222"/>
        <v>114876.18458830382</v>
      </c>
      <c r="BT581" s="109">
        <f t="shared" si="223"/>
        <v>115254.43935825964</v>
      </c>
      <c r="BV581" s="58">
        <f t="array" ref="BV581">SUM(IF(BS581:BT581&gt;=BS581, 1))</f>
        <v>2</v>
      </c>
      <c r="BW581" s="58">
        <f t="array" ref="BW581">SUM(IF(BS581:BT581&gt;=BT581, 1))</f>
        <v>1</v>
      </c>
      <c r="BY581" s="109">
        <f t="shared" si="224"/>
        <v>133678.57478671605</v>
      </c>
      <c r="BZ581" s="109">
        <f t="shared" si="225"/>
        <v>134020.65442435438</v>
      </c>
      <c r="CB581" s="58">
        <f t="array" ref="CB581">SUM(IF(BY581:BZ581&gt;=BY581, 1))</f>
        <v>2</v>
      </c>
      <c r="CC581" s="58">
        <f t="array" ref="CC581">SUM(IF(BY581:BZ581&gt;=BZ581, 1))</f>
        <v>1</v>
      </c>
      <c r="CE581" s="109">
        <f t="shared" si="226"/>
        <v>93598.153598859353</v>
      </c>
      <c r="CF581" s="109">
        <f t="shared" si="227"/>
        <v>95832.851664233429</v>
      </c>
      <c r="CH581" s="58">
        <f t="array" ref="CH581">SUM(IF(CE581:CF581&gt;=CE581, 1))</f>
        <v>2</v>
      </c>
      <c r="CI581" s="58">
        <f t="array" ref="CI581">SUM(IF(CE581:CF581&gt;=CF581, 1))</f>
        <v>1</v>
      </c>
      <c r="CK581" s="109">
        <f t="shared" si="228"/>
        <v>51221.766127440103</v>
      </c>
      <c r="CL581" s="109">
        <f t="shared" si="229"/>
        <v>52437.427521170306</v>
      </c>
      <c r="CN581" s="58">
        <f t="array" ref="CN581">SUM(IF(CK581:CL581&gt;=CK581, 1))</f>
        <v>2</v>
      </c>
      <c r="CO581" s="58">
        <f t="array" ref="CO581">SUM(IF(CK581:CL581&gt;=CL581, 1))</f>
        <v>1</v>
      </c>
      <c r="CQ581" s="109" cm="1">
        <f t="array" ref="CQ581">AF581*WTP-AC581</f>
        <v>39857.442400628468</v>
      </c>
      <c r="CR581" s="109">
        <f t="shared" si="230"/>
        <v>41621.488367830789</v>
      </c>
      <c r="CT581" s="58">
        <f t="array" ref="CT581">SUM(IF(CQ581:CR581&gt;=CQ581, 1))</f>
        <v>2</v>
      </c>
      <c r="CU581" s="58">
        <f t="array" ref="CU581">SUM(IF(CQ581:CR581&gt;=CR581, 1))</f>
        <v>1</v>
      </c>
      <c r="CW581" s="109">
        <f t="shared" si="231"/>
        <v>-41182810.66820249</v>
      </c>
      <c r="CX581" s="109">
        <f t="shared" si="232"/>
        <v>0</v>
      </c>
      <c r="CZ581" s="58">
        <f t="array" ref="CZ581">SUM(IF(CW581:CX581&gt;=CW581, 1))</f>
        <v>2</v>
      </c>
      <c r="DA581" s="58">
        <f t="array" ref="DA581">SUM(IF(CW581:CX581&gt;=CX581, 1))</f>
        <v>1</v>
      </c>
      <c r="DC581" s="109">
        <f t="shared" si="233"/>
        <v>-2367978.306302133</v>
      </c>
      <c r="DD581" s="109">
        <f t="shared" si="234"/>
        <v>0</v>
      </c>
      <c r="DF581" s="58">
        <f t="array" ref="DF581">SUM(IF(DC581:DD581&gt;=DC581, 1))</f>
        <v>2</v>
      </c>
      <c r="DG581" s="58">
        <f t="array" ref="DG581">SUM(IF(DC581:DD581&gt;=DD581, 1))</f>
        <v>1</v>
      </c>
      <c r="DI581" s="109">
        <f t="shared" si="235"/>
        <v>-51871822.439765468</v>
      </c>
      <c r="DJ581" s="109">
        <f t="shared" si="236"/>
        <v>0</v>
      </c>
      <c r="DL581" s="58">
        <f t="array" ref="DL581">SUM(IF(DI581:DJ581&gt;=DI581, 1))</f>
        <v>2</v>
      </c>
      <c r="DM581" s="58">
        <f t="array" ref="DM581">SUM(IF(DI581:DJ581&gt;=DJ581, 1))</f>
        <v>1</v>
      </c>
      <c r="DO581" s="109">
        <f t="shared" si="237"/>
        <v>-10691479.048887195</v>
      </c>
      <c r="DP581" s="109">
        <f t="shared" si="238"/>
        <v>0</v>
      </c>
      <c r="DR581" s="58">
        <f t="array" ref="DR581">SUM(IF(DO581:DP581&gt;=DO581, 1))</f>
        <v>2</v>
      </c>
      <c r="DS581" s="58">
        <f t="array" ref="DS581">SUM(IF(DO581:DP581&gt;=DP581, 1))</f>
        <v>1</v>
      </c>
      <c r="DU581" s="109">
        <f t="shared" si="239"/>
        <v>-28934275.655208357</v>
      </c>
      <c r="DV581" s="109">
        <f t="shared" si="240"/>
        <v>0</v>
      </c>
      <c r="DX581" s="58">
        <f t="array" ref="DX581">SUM(IF(DU581:DV581&gt;=DU581, 1))</f>
        <v>2</v>
      </c>
      <c r="DY581" s="58">
        <f t="array" ref="DY581">SUM(IF(DU581:DV581&gt;=DV581, 1))</f>
        <v>1</v>
      </c>
      <c r="EA581" s="109">
        <f t="shared" si="241"/>
        <v>-135048366.11836565</v>
      </c>
      <c r="EB581" s="109">
        <f t="shared" si="242"/>
        <v>0</v>
      </c>
      <c r="ED581" s="58">
        <f t="array" ref="ED581">SUM(IF(EA581:EB581&gt;=EA581, 1))</f>
        <v>2</v>
      </c>
      <c r="EE581" s="58">
        <f t="array" ref="EE581">SUM(IF(EA581:EB581&gt;=EB581, 1))</f>
        <v>1</v>
      </c>
    </row>
    <row r="582" spans="4:135" ht="12" customHeight="1" x14ac:dyDescent="0.25">
      <c r="D582" s="11">
        <v>566</v>
      </c>
      <c r="E582" s="72">
        <v>226.05682573773367</v>
      </c>
      <c r="F582" s="72">
        <v>197.46671650708743</v>
      </c>
      <c r="G582" s="73"/>
      <c r="H582" s="74">
        <v>5.8309927734345939</v>
      </c>
      <c r="I582" s="74">
        <v>5.8541333584991753</v>
      </c>
      <c r="J582" s="73"/>
      <c r="K582" s="72">
        <v>242.20318970870832</v>
      </c>
      <c r="L582" s="72">
        <v>212.92478753809172</v>
      </c>
      <c r="M582" s="73"/>
      <c r="N582" s="74">
        <v>6.7691278639488877</v>
      </c>
      <c r="O582" s="74">
        <v>6.7907047460460968</v>
      </c>
      <c r="P582" s="73"/>
      <c r="Q582" s="72">
        <v>1379.7600818829417</v>
      </c>
      <c r="R582" s="72">
        <v>949.85247563334519</v>
      </c>
      <c r="S582" s="73"/>
      <c r="T582" s="74">
        <v>4.8265031435404584</v>
      </c>
      <c r="U582" s="74">
        <v>4.8957887848964292</v>
      </c>
      <c r="V582" s="73"/>
      <c r="W582" s="72">
        <v>11574.651382100987</v>
      </c>
      <c r="X582" s="72">
        <v>11655.15035527239</v>
      </c>
      <c r="Y582" s="73"/>
      <c r="Z582" s="74">
        <v>2.9559355706796064</v>
      </c>
      <c r="AA582" s="74">
        <v>3.0225404280597816</v>
      </c>
      <c r="AB582" s="73"/>
      <c r="AC582" s="72">
        <v>49602.611620707845</v>
      </c>
      <c r="AD582" s="72">
        <v>49494.052714513433</v>
      </c>
      <c r="AE582" s="73"/>
      <c r="AF582" s="74">
        <v>4.6557032473660627</v>
      </c>
      <c r="AG582" s="74">
        <v>4.7884487005520304</v>
      </c>
      <c r="AH582" s="73"/>
      <c r="AI582" s="72">
        <v>3068885.504050713</v>
      </c>
      <c r="AJ582" s="72">
        <v>0</v>
      </c>
      <c r="AK582" s="73"/>
      <c r="AL582" s="74">
        <v>-2483.9291619013175</v>
      </c>
      <c r="AM582" s="74">
        <v>0</v>
      </c>
      <c r="AN582" s="73"/>
      <c r="AO582" s="72">
        <v>210633.09267952308</v>
      </c>
      <c r="AP582" s="72">
        <v>0</v>
      </c>
      <c r="AQ582" s="73"/>
      <c r="AR582" s="74">
        <v>-155.22723473884406</v>
      </c>
      <c r="AS582" s="74">
        <v>0</v>
      </c>
      <c r="AT582" s="73"/>
      <c r="AU582" s="72">
        <v>9808709.7189063337</v>
      </c>
      <c r="AV582" s="72">
        <v>0</v>
      </c>
      <c r="AW582" s="73"/>
      <c r="AX582" s="74">
        <v>-1580.8111647003627</v>
      </c>
      <c r="AY582" s="74">
        <v>0</v>
      </c>
      <c r="AZ582" s="73"/>
      <c r="BA582" s="72">
        <v>-718341.10267459194</v>
      </c>
      <c r="BB582" s="72">
        <v>0</v>
      </c>
      <c r="BC582" s="73"/>
      <c r="BD582" s="74">
        <v>-594.35549062327277</v>
      </c>
      <c r="BE582" s="74">
        <v>0</v>
      </c>
      <c r="BF582" s="73"/>
      <c r="BG582" s="72">
        <v>1748997.243639888</v>
      </c>
      <c r="BH582" s="72">
        <v>0</v>
      </c>
      <c r="BI582" s="73"/>
      <c r="BJ582" s="74">
        <v>-2138.6677506883016</v>
      </c>
      <c r="BK582" s="74">
        <v>0</v>
      </c>
      <c r="BL582" s="73"/>
      <c r="BM582" s="72">
        <v>14118884.456601866</v>
      </c>
      <c r="BN582" s="72">
        <v>0</v>
      </c>
      <c r="BO582" s="73"/>
      <c r="BP582" s="74">
        <v>-6952.9908026520989</v>
      </c>
      <c r="BQ582" s="74">
        <v>0</v>
      </c>
      <c r="BS582" s="109">
        <f t="shared" si="222"/>
        <v>116393.79864295415</v>
      </c>
      <c r="BT582" s="109">
        <f t="shared" si="223"/>
        <v>116885.20045347641</v>
      </c>
      <c r="BV582" s="58">
        <f t="array" ref="BV582">SUM(IF(BS582:BT582&gt;=BS582, 1))</f>
        <v>2</v>
      </c>
      <c r="BW582" s="58">
        <f t="array" ref="BW582">SUM(IF(BS582:BT582&gt;=BT582, 1))</f>
        <v>1</v>
      </c>
      <c r="BY582" s="109">
        <f t="shared" si="224"/>
        <v>135140.35408926907</v>
      </c>
      <c r="BZ582" s="109">
        <f t="shared" si="225"/>
        <v>135601.17013338383</v>
      </c>
      <c r="CB582" s="58">
        <f t="array" ref="CB582">SUM(IF(BY582:BZ582&gt;=BY582, 1))</f>
        <v>2</v>
      </c>
      <c r="CC582" s="58">
        <f t="array" ref="CC582">SUM(IF(BY582:BZ582&gt;=BZ582, 1))</f>
        <v>1</v>
      </c>
      <c r="CE582" s="109">
        <f t="shared" si="226"/>
        <v>95150.30278892623</v>
      </c>
      <c r="CF582" s="109">
        <f t="shared" si="227"/>
        <v>96965.923222295241</v>
      </c>
      <c r="CH582" s="58">
        <f t="array" ref="CH582">SUM(IF(CE582:CF582&gt;=CE582, 1))</f>
        <v>2</v>
      </c>
      <c r="CI582" s="58">
        <f t="array" ref="CI582">SUM(IF(CE582:CF582&gt;=CF582, 1))</f>
        <v>1</v>
      </c>
      <c r="CK582" s="109">
        <f t="shared" si="228"/>
        <v>47544.060031491143</v>
      </c>
      <c r="CL582" s="109">
        <f t="shared" si="229"/>
        <v>48795.658205923246</v>
      </c>
      <c r="CN582" s="58">
        <f t="array" ref="CN582">SUM(IF(CK582:CL582&gt;=CK582, 1))</f>
        <v>2</v>
      </c>
      <c r="CO582" s="58">
        <f t="array" ref="CO582">SUM(IF(CK582:CL582&gt;=CL582, 1))</f>
        <v>1</v>
      </c>
      <c r="CQ582" s="109" cm="1">
        <f t="array" ref="CQ582">AF582*WTP-AC582</f>
        <v>43511.453326613409</v>
      </c>
      <c r="CR582" s="109">
        <f t="shared" si="230"/>
        <v>46274.92129652718</v>
      </c>
      <c r="CT582" s="58">
        <f t="array" ref="CT582">SUM(IF(CQ582:CR582&gt;=CQ582, 1))</f>
        <v>2</v>
      </c>
      <c r="CU582" s="58">
        <f t="array" ref="CU582">SUM(IF(CQ582:CR582&gt;=CR582, 1))</f>
        <v>1</v>
      </c>
      <c r="CW582" s="109">
        <f t="shared" si="231"/>
        <v>-52747468.742077067</v>
      </c>
      <c r="CX582" s="109">
        <f t="shared" si="232"/>
        <v>0</v>
      </c>
      <c r="CZ582" s="58">
        <f t="array" ref="CZ582">SUM(IF(CW582:CX582&gt;=CW582, 1))</f>
        <v>2</v>
      </c>
      <c r="DA582" s="58">
        <f t="array" ref="DA582">SUM(IF(CW582:CX582&gt;=CX582, 1))</f>
        <v>1</v>
      </c>
      <c r="DC582" s="109">
        <f t="shared" si="233"/>
        <v>-3315177.787456404</v>
      </c>
      <c r="DD582" s="109">
        <f t="shared" si="234"/>
        <v>0</v>
      </c>
      <c r="DF582" s="58">
        <f t="array" ref="DF582">SUM(IF(DC582:DD582&gt;=DC582, 1))</f>
        <v>2</v>
      </c>
      <c r="DG582" s="58">
        <f t="array" ref="DG582">SUM(IF(DC582:DD582&gt;=DD582, 1))</f>
        <v>1</v>
      </c>
      <c r="DI582" s="109">
        <f t="shared" si="235"/>
        <v>-41424933.012913585</v>
      </c>
      <c r="DJ582" s="109">
        <f t="shared" si="236"/>
        <v>0</v>
      </c>
      <c r="DL582" s="58">
        <f t="array" ref="DL582">SUM(IF(DI582:DJ582&gt;=DI582, 1))</f>
        <v>2</v>
      </c>
      <c r="DM582" s="58">
        <f t="array" ref="DM582">SUM(IF(DI582:DJ582&gt;=DJ582, 1))</f>
        <v>1</v>
      </c>
      <c r="DO582" s="109">
        <f t="shared" si="237"/>
        <v>-11168768.709790863</v>
      </c>
      <c r="DP582" s="109">
        <f t="shared" si="238"/>
        <v>0</v>
      </c>
      <c r="DR582" s="58">
        <f t="array" ref="DR582">SUM(IF(DO582:DP582&gt;=DO582, 1))</f>
        <v>2</v>
      </c>
      <c r="DS582" s="58">
        <f t="array" ref="DS582">SUM(IF(DO582:DP582&gt;=DP582, 1))</f>
        <v>1</v>
      </c>
      <c r="DU582" s="109">
        <f t="shared" si="239"/>
        <v>-44522352.257405914</v>
      </c>
      <c r="DV582" s="109">
        <f t="shared" si="240"/>
        <v>0</v>
      </c>
      <c r="DX582" s="58">
        <f t="array" ref="DX582">SUM(IF(DU582:DV582&gt;=DU582, 1))</f>
        <v>2</v>
      </c>
      <c r="DY582" s="58">
        <f t="array" ref="DY582">SUM(IF(DU582:DV582&gt;=DV582, 1))</f>
        <v>1</v>
      </c>
      <c r="EA582" s="109">
        <f t="shared" si="241"/>
        <v>-153178700.50964382</v>
      </c>
      <c r="EB582" s="109">
        <f t="shared" si="242"/>
        <v>0</v>
      </c>
      <c r="ED582" s="58">
        <f t="array" ref="ED582">SUM(IF(EA582:EB582&gt;=EA582, 1))</f>
        <v>2</v>
      </c>
      <c r="EE582" s="58">
        <f t="array" ref="EE582">SUM(IF(EA582:EB582&gt;=EB582, 1))</f>
        <v>1</v>
      </c>
    </row>
    <row r="583" spans="4:135" ht="12" customHeight="1" x14ac:dyDescent="0.25">
      <c r="D583" s="11">
        <v>567</v>
      </c>
      <c r="E583" s="72">
        <v>257.66300390953188</v>
      </c>
      <c r="F583" s="72">
        <v>248.51266724462232</v>
      </c>
      <c r="G583" s="73"/>
      <c r="H583" s="74">
        <v>5.8963825876951814</v>
      </c>
      <c r="I583" s="74">
        <v>5.9116922186626262</v>
      </c>
      <c r="J583" s="73"/>
      <c r="K583" s="72">
        <v>277.43643627365918</v>
      </c>
      <c r="L583" s="72">
        <v>268.02285415950729</v>
      </c>
      <c r="M583" s="73"/>
      <c r="N583" s="74">
        <v>6.731174212655942</v>
      </c>
      <c r="O583" s="74">
        <v>6.7440780963205231</v>
      </c>
      <c r="P583" s="73"/>
      <c r="Q583" s="72">
        <v>2405.210976761708</v>
      </c>
      <c r="R583" s="72">
        <v>1510.919112417791</v>
      </c>
      <c r="S583" s="73"/>
      <c r="T583" s="74">
        <v>5.0324519880076126</v>
      </c>
      <c r="U583" s="74">
        <v>5.1042501028277041</v>
      </c>
      <c r="V583" s="73"/>
      <c r="W583" s="72">
        <v>12318.007318302118</v>
      </c>
      <c r="X583" s="72">
        <v>12262.535595422807</v>
      </c>
      <c r="Y583" s="73"/>
      <c r="Z583" s="74">
        <v>3.0851271210923406</v>
      </c>
      <c r="AA583" s="74">
        <v>3.1236318289578424</v>
      </c>
      <c r="AB583" s="73"/>
      <c r="AC583" s="72">
        <v>50789.360487261132</v>
      </c>
      <c r="AD583" s="72">
        <v>50423.671578601439</v>
      </c>
      <c r="AE583" s="73"/>
      <c r="AF583" s="74">
        <v>4.4912394955136863</v>
      </c>
      <c r="AG583" s="74">
        <v>4.6042385969133059</v>
      </c>
      <c r="AH583" s="73"/>
      <c r="AI583" s="72">
        <v>985714.81978116394</v>
      </c>
      <c r="AJ583" s="72">
        <v>0</v>
      </c>
      <c r="AK583" s="73"/>
      <c r="AL583" s="74">
        <v>-1649.2213000055872</v>
      </c>
      <c r="AM583" s="74">
        <v>0</v>
      </c>
      <c r="AN583" s="73"/>
      <c r="AO583" s="72">
        <v>64816.089007751973</v>
      </c>
      <c r="AP583" s="72">
        <v>0</v>
      </c>
      <c r="AQ583" s="73"/>
      <c r="AR583" s="74">
        <v>-88.848141122793265</v>
      </c>
      <c r="AS583" s="74">
        <v>0</v>
      </c>
      <c r="AT583" s="73"/>
      <c r="AU583" s="72">
        <v>20802119.724446304</v>
      </c>
      <c r="AV583" s="72">
        <v>0</v>
      </c>
      <c r="AW583" s="73"/>
      <c r="AX583" s="74">
        <v>-1670.0956813163077</v>
      </c>
      <c r="AY583" s="74">
        <v>0</v>
      </c>
      <c r="AZ583" s="73"/>
      <c r="BA583" s="72">
        <v>484045.27905387123</v>
      </c>
      <c r="BB583" s="72">
        <v>0</v>
      </c>
      <c r="BC583" s="73"/>
      <c r="BD583" s="74">
        <v>-335.99140420057324</v>
      </c>
      <c r="BE583" s="74">
        <v>0</v>
      </c>
      <c r="BF583" s="73"/>
      <c r="BG583" s="72">
        <v>5821821.0926475301</v>
      </c>
      <c r="BH583" s="72">
        <v>0</v>
      </c>
      <c r="BI583" s="73"/>
      <c r="BJ583" s="74">
        <v>-1798.9622774988843</v>
      </c>
      <c r="BK583" s="74">
        <v>0</v>
      </c>
      <c r="BL583" s="73"/>
      <c r="BM583" s="72">
        <v>28158517.004936621</v>
      </c>
      <c r="BN583" s="72">
        <v>0</v>
      </c>
      <c r="BO583" s="73"/>
      <c r="BP583" s="74">
        <v>-5543.1188041441455</v>
      </c>
      <c r="BQ583" s="74">
        <v>0</v>
      </c>
      <c r="BS583" s="109">
        <f t="shared" si="222"/>
        <v>117669.9887499941</v>
      </c>
      <c r="BT583" s="109">
        <f t="shared" si="223"/>
        <v>117985.3317060079</v>
      </c>
      <c r="BV583" s="58">
        <f t="array" ref="BV583">SUM(IF(BS583:BT583&gt;=BS583, 1))</f>
        <v>2</v>
      </c>
      <c r="BW583" s="58">
        <f t="array" ref="BW583">SUM(IF(BS583:BT583&gt;=BT583, 1))</f>
        <v>1</v>
      </c>
      <c r="BY583" s="109">
        <f t="shared" si="224"/>
        <v>134346.04781684518</v>
      </c>
      <c r="BZ583" s="109">
        <f t="shared" si="225"/>
        <v>134613.53907225098</v>
      </c>
      <c r="CB583" s="58">
        <f t="array" ref="CB583">SUM(IF(BY583:BZ583&gt;=BY583, 1))</f>
        <v>2</v>
      </c>
      <c r="CC583" s="58">
        <f t="array" ref="CC583">SUM(IF(BY583:BZ583&gt;=BZ583, 1))</f>
        <v>1</v>
      </c>
      <c r="CE583" s="109">
        <f t="shared" si="226"/>
        <v>98243.828783390549</v>
      </c>
      <c r="CF583" s="109">
        <f t="shared" si="227"/>
        <v>100574.08294413629</v>
      </c>
      <c r="CH583" s="58">
        <f t="array" ref="CH583">SUM(IF(CE583:CF583&gt;=CE583, 1))</f>
        <v>2</v>
      </c>
      <c r="CI583" s="58">
        <f t="array" ref="CI583">SUM(IF(CE583:CF583&gt;=CF583, 1))</f>
        <v>1</v>
      </c>
      <c r="CK583" s="109">
        <f t="shared" si="228"/>
        <v>49384.535103544695</v>
      </c>
      <c r="CL583" s="109">
        <f t="shared" si="229"/>
        <v>50210.100983734039</v>
      </c>
      <c r="CN583" s="58">
        <f t="array" ref="CN583">SUM(IF(CK583:CL583&gt;=CK583, 1))</f>
        <v>2</v>
      </c>
      <c r="CO583" s="58">
        <f t="array" ref="CO583">SUM(IF(CK583:CL583&gt;=CL583, 1))</f>
        <v>1</v>
      </c>
      <c r="CQ583" s="109" cm="1">
        <f t="array" ref="CQ583">AF583*WTP-AC583</f>
        <v>39035.429423012596</v>
      </c>
      <c r="CR583" s="109">
        <f t="shared" si="230"/>
        <v>41661.100359664677</v>
      </c>
      <c r="CT583" s="58">
        <f t="array" ref="CT583">SUM(IF(CQ583:CR583&gt;=CQ583, 1))</f>
        <v>2</v>
      </c>
      <c r="CU583" s="58">
        <f t="array" ref="CU583">SUM(IF(CQ583:CR583&gt;=CR583, 1))</f>
        <v>1</v>
      </c>
      <c r="CW583" s="109">
        <f t="shared" si="231"/>
        <v>-33970140.819892906</v>
      </c>
      <c r="CX583" s="109">
        <f t="shared" si="232"/>
        <v>0</v>
      </c>
      <c r="CZ583" s="58">
        <f t="array" ref="CZ583">SUM(IF(CW583:CX583&gt;=CW583, 1))</f>
        <v>2</v>
      </c>
      <c r="DA583" s="58">
        <f t="array" ref="DA583">SUM(IF(CW583:CX583&gt;=CX583, 1))</f>
        <v>1</v>
      </c>
      <c r="DC583" s="109">
        <f t="shared" si="233"/>
        <v>-1841778.9114636173</v>
      </c>
      <c r="DD583" s="109">
        <f t="shared" si="234"/>
        <v>0</v>
      </c>
      <c r="DF583" s="58">
        <f t="array" ref="DF583">SUM(IF(DC583:DD583&gt;=DC583, 1))</f>
        <v>2</v>
      </c>
      <c r="DG583" s="58">
        <f t="array" ref="DG583">SUM(IF(DC583:DD583&gt;=DD583, 1))</f>
        <v>1</v>
      </c>
      <c r="DI583" s="109">
        <f t="shared" si="235"/>
        <v>-54204033.350772455</v>
      </c>
      <c r="DJ583" s="109">
        <f t="shared" si="236"/>
        <v>0</v>
      </c>
      <c r="DL583" s="58">
        <f t="array" ref="DL583">SUM(IF(DI583:DJ583&gt;=DI583, 1))</f>
        <v>2</v>
      </c>
      <c r="DM583" s="58">
        <f t="array" ref="DM583">SUM(IF(DI583:DJ583&gt;=DJ583, 1))</f>
        <v>1</v>
      </c>
      <c r="DO583" s="109">
        <f t="shared" si="237"/>
        <v>-7203873.3630653368</v>
      </c>
      <c r="DP583" s="109">
        <f t="shared" si="238"/>
        <v>0</v>
      </c>
      <c r="DR583" s="58">
        <f t="array" ref="DR583">SUM(IF(DO583:DP583&gt;=DO583, 1))</f>
        <v>2</v>
      </c>
      <c r="DS583" s="58">
        <f t="array" ref="DS583">SUM(IF(DO583:DP583&gt;=DP583, 1))</f>
        <v>1</v>
      </c>
      <c r="DU583" s="109">
        <f t="shared" si="239"/>
        <v>-41801066.642625213</v>
      </c>
      <c r="DV583" s="109">
        <f t="shared" si="240"/>
        <v>0</v>
      </c>
      <c r="DX583" s="58">
        <f t="array" ref="DX583">SUM(IF(DU583:DV583&gt;=DU583, 1))</f>
        <v>2</v>
      </c>
      <c r="DY583" s="58">
        <f t="array" ref="DY583">SUM(IF(DU583:DV583&gt;=DV583, 1))</f>
        <v>1</v>
      </c>
      <c r="EA583" s="109">
        <f t="shared" si="241"/>
        <v>-139020893.08781952</v>
      </c>
      <c r="EB583" s="109">
        <f t="shared" si="242"/>
        <v>0</v>
      </c>
      <c r="ED583" s="58">
        <f t="array" ref="ED583">SUM(IF(EA583:EB583&gt;=EA583, 1))</f>
        <v>2</v>
      </c>
      <c r="EE583" s="58">
        <f t="array" ref="EE583">SUM(IF(EA583:EB583&gt;=EB583, 1))</f>
        <v>1</v>
      </c>
    </row>
    <row r="584" spans="4:135" ht="12" customHeight="1" x14ac:dyDescent="0.25">
      <c r="D584" s="11">
        <v>568</v>
      </c>
      <c r="E584" s="72">
        <v>240.69361728246233</v>
      </c>
      <c r="F584" s="72">
        <v>206.42698797320895</v>
      </c>
      <c r="G584" s="73"/>
      <c r="H584" s="74">
        <v>5.8869316997762366</v>
      </c>
      <c r="I584" s="74">
        <v>5.9069292712674271</v>
      </c>
      <c r="J584" s="73"/>
      <c r="K584" s="72">
        <v>257.5966054595533</v>
      </c>
      <c r="L584" s="72">
        <v>222.57192004537444</v>
      </c>
      <c r="M584" s="73"/>
      <c r="N584" s="74">
        <v>6.6983914559790536</v>
      </c>
      <c r="O584" s="74">
        <v>6.7165918536601108</v>
      </c>
      <c r="P584" s="73"/>
      <c r="Q584" s="72">
        <v>1712.446640648717</v>
      </c>
      <c r="R584" s="72">
        <v>1065.8195980480198</v>
      </c>
      <c r="S584" s="73"/>
      <c r="T584" s="74">
        <v>4.8259218412237113</v>
      </c>
      <c r="U584" s="74">
        <v>4.9106142338016143</v>
      </c>
      <c r="V584" s="73"/>
      <c r="W584" s="72">
        <v>8033.8992518436498</v>
      </c>
      <c r="X584" s="72">
        <v>8036.071251085963</v>
      </c>
      <c r="Y584" s="73"/>
      <c r="Z584" s="74">
        <v>2.9360405817245487</v>
      </c>
      <c r="AA584" s="74">
        <v>2.9792449463769621</v>
      </c>
      <c r="AB584" s="73"/>
      <c r="AC584" s="72">
        <v>49675.968268877645</v>
      </c>
      <c r="AD584" s="72">
        <v>49561.729348878922</v>
      </c>
      <c r="AE584" s="73"/>
      <c r="AF584" s="74">
        <v>4.6838354661360029</v>
      </c>
      <c r="AG584" s="74">
        <v>4.7446144667727665</v>
      </c>
      <c r="AH584" s="73"/>
      <c r="AI584" s="72">
        <v>3680283.516840959</v>
      </c>
      <c r="AJ584" s="72">
        <v>0</v>
      </c>
      <c r="AK584" s="73"/>
      <c r="AL584" s="74">
        <v>-2147.7669154929886</v>
      </c>
      <c r="AM584" s="74">
        <v>0</v>
      </c>
      <c r="AN584" s="73"/>
      <c r="AO584" s="72">
        <v>242483.96849310576</v>
      </c>
      <c r="AP584" s="72">
        <v>0</v>
      </c>
      <c r="AQ584" s="73"/>
      <c r="AR584" s="74">
        <v>-126.00554739226442</v>
      </c>
      <c r="AS584" s="74">
        <v>0</v>
      </c>
      <c r="AT584" s="73"/>
      <c r="AU584" s="72">
        <v>15470989.936933175</v>
      </c>
      <c r="AV584" s="72">
        <v>0</v>
      </c>
      <c r="AW584" s="73"/>
      <c r="AX584" s="74">
        <v>-2026.3228522544928</v>
      </c>
      <c r="AY584" s="74">
        <v>0</v>
      </c>
      <c r="AZ584" s="73"/>
      <c r="BA584" s="72">
        <v>-19482.801418613064</v>
      </c>
      <c r="BB584" s="72">
        <v>0</v>
      </c>
      <c r="BC584" s="73"/>
      <c r="BD584" s="74">
        <v>-387.54251868148043</v>
      </c>
      <c r="BE584" s="74">
        <v>0</v>
      </c>
      <c r="BF584" s="73"/>
      <c r="BG584" s="72">
        <v>1779185.2893063924</v>
      </c>
      <c r="BH584" s="72">
        <v>0</v>
      </c>
      <c r="BI584" s="73"/>
      <c r="BJ584" s="74">
        <v>-946.58723868260233</v>
      </c>
      <c r="BK584" s="74">
        <v>0</v>
      </c>
      <c r="BL584" s="73"/>
      <c r="BM584" s="72">
        <v>21153459.910155017</v>
      </c>
      <c r="BN584" s="72">
        <v>0</v>
      </c>
      <c r="BO584" s="73"/>
      <c r="BP584" s="74">
        <v>-5634.2250725038284</v>
      </c>
      <c r="BQ584" s="74">
        <v>0</v>
      </c>
      <c r="BS584" s="109">
        <f t="shared" si="222"/>
        <v>117497.94037824227</v>
      </c>
      <c r="BT584" s="109">
        <f t="shared" si="223"/>
        <v>117932.15843737534</v>
      </c>
      <c r="BV584" s="58">
        <f t="array" ref="BV584">SUM(IF(BS584:BT584&gt;=BS584, 1))</f>
        <v>2</v>
      </c>
      <c r="BW584" s="58">
        <f t="array" ref="BW584">SUM(IF(BS584:BT584&gt;=BT584, 1))</f>
        <v>1</v>
      </c>
      <c r="BY584" s="109">
        <f t="shared" si="224"/>
        <v>133710.23251412151</v>
      </c>
      <c r="BZ584" s="109">
        <f t="shared" si="225"/>
        <v>134109.26515315686</v>
      </c>
      <c r="CB584" s="58">
        <f t="array" ref="CB584">SUM(IF(BY584:BZ584&gt;=BY584, 1))</f>
        <v>2</v>
      </c>
      <c r="CC584" s="58">
        <f t="array" ref="CC584">SUM(IF(BY584:BZ584&gt;=BZ584, 1))</f>
        <v>1</v>
      </c>
      <c r="CE584" s="109">
        <f t="shared" si="226"/>
        <v>94805.990183825503</v>
      </c>
      <c r="CF584" s="109">
        <f t="shared" si="227"/>
        <v>97146.465077984263</v>
      </c>
      <c r="CH584" s="58">
        <f t="array" ref="CH584">SUM(IF(CE584:CF584&gt;=CE584, 1))</f>
        <v>2</v>
      </c>
      <c r="CI584" s="58">
        <f t="array" ref="CI584">SUM(IF(CE584:CF584&gt;=CF584, 1))</f>
        <v>1</v>
      </c>
      <c r="CK584" s="109">
        <f t="shared" si="228"/>
        <v>50686.912382647322</v>
      </c>
      <c r="CL584" s="109">
        <f t="shared" si="229"/>
        <v>51548.827676453278</v>
      </c>
      <c r="CN584" s="58">
        <f t="array" ref="CN584">SUM(IF(CK584:CL584&gt;=CK584, 1))</f>
        <v>2</v>
      </c>
      <c r="CO584" s="58">
        <f t="array" ref="CO584">SUM(IF(CK584:CL584&gt;=CL584, 1))</f>
        <v>1</v>
      </c>
      <c r="CQ584" s="109" cm="1">
        <f t="array" ref="CQ584">AF584*WTP-AC584</f>
        <v>44000.741053842408</v>
      </c>
      <c r="CR584" s="109">
        <f t="shared" si="230"/>
        <v>45330.559986576416</v>
      </c>
      <c r="CT584" s="58">
        <f t="array" ref="CT584">SUM(IF(CQ584:CR584&gt;=CQ584, 1))</f>
        <v>2</v>
      </c>
      <c r="CU584" s="58">
        <f t="array" ref="CU584">SUM(IF(CQ584:CR584&gt;=CR584, 1))</f>
        <v>1</v>
      </c>
      <c r="CW584" s="109">
        <f t="shared" si="231"/>
        <v>-46635621.826700732</v>
      </c>
      <c r="CX584" s="109">
        <f t="shared" si="232"/>
        <v>0</v>
      </c>
      <c r="CZ584" s="58">
        <f t="array" ref="CZ584">SUM(IF(CW584:CX584&gt;=CW584, 1))</f>
        <v>2</v>
      </c>
      <c r="DA584" s="58">
        <f t="array" ref="DA584">SUM(IF(CW584:CX584&gt;=CX584, 1))</f>
        <v>1</v>
      </c>
      <c r="DC584" s="109">
        <f t="shared" si="233"/>
        <v>-2762594.9163383944</v>
      </c>
      <c r="DD584" s="109">
        <f t="shared" si="234"/>
        <v>0</v>
      </c>
      <c r="DF584" s="58">
        <f t="array" ref="DF584">SUM(IF(DC584:DD584&gt;=DC584, 1))</f>
        <v>2</v>
      </c>
      <c r="DG584" s="58">
        <f t="array" ref="DG584">SUM(IF(DC584:DD584&gt;=DD584, 1))</f>
        <v>1</v>
      </c>
      <c r="DI584" s="109">
        <f t="shared" si="235"/>
        <v>-55997446.982023031</v>
      </c>
      <c r="DJ584" s="109">
        <f t="shared" si="236"/>
        <v>0</v>
      </c>
      <c r="DL584" s="58">
        <f t="array" ref="DL584">SUM(IF(DI584:DJ584&gt;=DI584, 1))</f>
        <v>2</v>
      </c>
      <c r="DM584" s="58">
        <f t="array" ref="DM584">SUM(IF(DI584:DJ584&gt;=DJ584, 1))</f>
        <v>1</v>
      </c>
      <c r="DO584" s="109">
        <f t="shared" si="237"/>
        <v>-7731367.5722109955</v>
      </c>
      <c r="DP584" s="109">
        <f t="shared" si="238"/>
        <v>0</v>
      </c>
      <c r="DR584" s="58">
        <f t="array" ref="DR584">SUM(IF(DO584:DP584&gt;=DO584, 1))</f>
        <v>2</v>
      </c>
      <c r="DS584" s="58">
        <f t="array" ref="DS584">SUM(IF(DO584:DP584&gt;=DP584, 1))</f>
        <v>1</v>
      </c>
      <c r="DU584" s="109">
        <f t="shared" si="239"/>
        <v>-20710930.062958438</v>
      </c>
      <c r="DV584" s="109">
        <f t="shared" si="240"/>
        <v>0</v>
      </c>
      <c r="DX584" s="58">
        <f t="array" ref="DX584">SUM(IF(DU584:DV584&gt;=DU584, 1))</f>
        <v>2</v>
      </c>
      <c r="DY584" s="58">
        <f t="array" ref="DY584">SUM(IF(DU584:DV584&gt;=DV584, 1))</f>
        <v>1</v>
      </c>
      <c r="EA584" s="109">
        <f t="shared" si="241"/>
        <v>-133837961.36023158</v>
      </c>
      <c r="EB584" s="109">
        <f t="shared" si="242"/>
        <v>0</v>
      </c>
      <c r="ED584" s="58">
        <f t="array" ref="ED584">SUM(IF(EA584:EB584&gt;=EA584, 1))</f>
        <v>2</v>
      </c>
      <c r="EE584" s="58">
        <f t="array" ref="EE584">SUM(IF(EA584:EB584&gt;=EB584, 1))</f>
        <v>1</v>
      </c>
    </row>
    <row r="585" spans="4:135" ht="12" customHeight="1" x14ac:dyDescent="0.25">
      <c r="D585" s="11">
        <v>569</v>
      </c>
      <c r="E585" s="72">
        <v>326.25456921970454</v>
      </c>
      <c r="F585" s="72">
        <v>292.73400395296477</v>
      </c>
      <c r="G585" s="73"/>
      <c r="H585" s="74">
        <v>5.7950076380398485</v>
      </c>
      <c r="I585" s="74">
        <v>5.807718204532061</v>
      </c>
      <c r="J585" s="73"/>
      <c r="K585" s="72">
        <v>349.79254783275974</v>
      </c>
      <c r="L585" s="72">
        <v>315.47349081352837</v>
      </c>
      <c r="M585" s="73"/>
      <c r="N585" s="74">
        <v>6.6536936247339211</v>
      </c>
      <c r="O585" s="74">
        <v>6.6644239212688232</v>
      </c>
      <c r="P585" s="73"/>
      <c r="Q585" s="72">
        <v>1444.082977736608</v>
      </c>
      <c r="R585" s="72">
        <v>1267.4465100711013</v>
      </c>
      <c r="S585" s="73"/>
      <c r="T585" s="74">
        <v>4.7946767448303023</v>
      </c>
      <c r="U585" s="74">
        <v>4.8315252731428417</v>
      </c>
      <c r="V585" s="73"/>
      <c r="W585" s="72">
        <v>16152.567926567232</v>
      </c>
      <c r="X585" s="72">
        <v>16222.323612786409</v>
      </c>
      <c r="Y585" s="73"/>
      <c r="Z585" s="74">
        <v>3.080271513664659</v>
      </c>
      <c r="AA585" s="74">
        <v>3.1430125992237259</v>
      </c>
      <c r="AB585" s="73"/>
      <c r="AC585" s="72">
        <v>50685.978725423025</v>
      </c>
      <c r="AD585" s="72">
        <v>50547.727413333399</v>
      </c>
      <c r="AE585" s="73"/>
      <c r="AF585" s="74">
        <v>3.669710182732393</v>
      </c>
      <c r="AG585" s="74">
        <v>3.787922385562974</v>
      </c>
      <c r="AH585" s="73"/>
      <c r="AI585" s="72">
        <v>3632942.9006912084</v>
      </c>
      <c r="AJ585" s="72">
        <v>0</v>
      </c>
      <c r="AK585" s="73"/>
      <c r="AL585" s="74">
        <v>-1377.5651434931199</v>
      </c>
      <c r="AM585" s="74">
        <v>0</v>
      </c>
      <c r="AN585" s="73"/>
      <c r="AO585" s="72">
        <v>217793.33129868429</v>
      </c>
      <c r="AP585" s="72">
        <v>0</v>
      </c>
      <c r="AQ585" s="73"/>
      <c r="AR585" s="74">
        <v>-68.095898638749858</v>
      </c>
      <c r="AS585" s="74">
        <v>0</v>
      </c>
      <c r="AT585" s="73"/>
      <c r="AU585" s="72">
        <v>4005740.5032343692</v>
      </c>
      <c r="AV585" s="72">
        <v>0</v>
      </c>
      <c r="AW585" s="73"/>
      <c r="AX585" s="74">
        <v>-835.646479444075</v>
      </c>
      <c r="AY585" s="74">
        <v>0</v>
      </c>
      <c r="AZ585" s="73"/>
      <c r="BA585" s="72">
        <v>-603836.13264697965</v>
      </c>
      <c r="BB585" s="72">
        <v>0</v>
      </c>
      <c r="BC585" s="73"/>
      <c r="BD585" s="74">
        <v>-543.11464076235416</v>
      </c>
      <c r="BE585" s="74">
        <v>0</v>
      </c>
      <c r="BF585" s="73"/>
      <c r="BG585" s="72">
        <v>2177487.3619736098</v>
      </c>
      <c r="BH585" s="72">
        <v>0</v>
      </c>
      <c r="BI585" s="73"/>
      <c r="BJ585" s="74">
        <v>-1861.8671591903603</v>
      </c>
      <c r="BK585" s="74">
        <v>0</v>
      </c>
      <c r="BL585" s="73"/>
      <c r="BM585" s="72">
        <v>9430127.9645508919</v>
      </c>
      <c r="BN585" s="72">
        <v>0</v>
      </c>
      <c r="BO585" s="73"/>
      <c r="BP585" s="74">
        <v>-4686.2893215286585</v>
      </c>
      <c r="BQ585" s="74">
        <v>0</v>
      </c>
      <c r="BS585" s="109">
        <f t="shared" si="222"/>
        <v>115573.89819157727</v>
      </c>
      <c r="BT585" s="109">
        <f t="shared" si="223"/>
        <v>115861.63008668825</v>
      </c>
      <c r="BV585" s="58">
        <f t="array" ref="BV585">SUM(IF(BS585:BT585&gt;=BS585, 1))</f>
        <v>2</v>
      </c>
      <c r="BW585" s="58">
        <f t="array" ref="BW585">SUM(IF(BS585:BT585&gt;=BT585, 1))</f>
        <v>1</v>
      </c>
      <c r="BY585" s="109">
        <f t="shared" si="224"/>
        <v>132724.07994684565</v>
      </c>
      <c r="BZ585" s="109">
        <f t="shared" si="225"/>
        <v>132973.00493456295</v>
      </c>
      <c r="CB585" s="58">
        <f t="array" ref="CB585">SUM(IF(BY585:BZ585&gt;=BY585, 1))</f>
        <v>2</v>
      </c>
      <c r="CC585" s="58">
        <f t="array" ref="CC585">SUM(IF(BY585:BZ585&gt;=BZ585, 1))</f>
        <v>1</v>
      </c>
      <c r="CE585" s="109">
        <f t="shared" si="226"/>
        <v>94449.451918869439</v>
      </c>
      <c r="CF585" s="109">
        <f t="shared" si="227"/>
        <v>95363.058952785737</v>
      </c>
      <c r="CH585" s="58">
        <f t="array" ref="CH585">SUM(IF(CE585:CF585&gt;=CE585, 1))</f>
        <v>2</v>
      </c>
      <c r="CI585" s="58">
        <f t="array" ref="CI585">SUM(IF(CE585:CF585&gt;=CF585, 1))</f>
        <v>1</v>
      </c>
      <c r="CK585" s="109">
        <f t="shared" si="228"/>
        <v>45452.862346725953</v>
      </c>
      <c r="CL585" s="109">
        <f t="shared" si="229"/>
        <v>46637.928371688111</v>
      </c>
      <c r="CN585" s="58">
        <f t="array" ref="CN585">SUM(IF(CK585:CL585&gt;=CK585, 1))</f>
        <v>2</v>
      </c>
      <c r="CO585" s="58">
        <f t="array" ref="CO585">SUM(IF(CK585:CL585&gt;=CL585, 1))</f>
        <v>1</v>
      </c>
      <c r="CQ585" s="109" cm="1">
        <f t="array" ref="CQ585">AF585*WTP-AC585</f>
        <v>22708.224929224838</v>
      </c>
      <c r="CR585" s="109">
        <f t="shared" si="230"/>
        <v>25210.720297926076</v>
      </c>
      <c r="CT585" s="58">
        <f t="array" ref="CT585">SUM(IF(CQ585:CR585&gt;=CQ585, 1))</f>
        <v>2</v>
      </c>
      <c r="CU585" s="58">
        <f t="array" ref="CU585">SUM(IF(CQ585:CR585&gt;=CR585, 1))</f>
        <v>1</v>
      </c>
      <c r="CW585" s="109">
        <f t="shared" si="231"/>
        <v>-31184245.770553604</v>
      </c>
      <c r="CX585" s="109">
        <f t="shared" si="232"/>
        <v>0</v>
      </c>
      <c r="CZ585" s="58">
        <f t="array" ref="CZ585">SUM(IF(CW585:CX585&gt;=CW585, 1))</f>
        <v>2</v>
      </c>
      <c r="DA585" s="58">
        <f t="array" ref="DA585">SUM(IF(CW585:CX585&gt;=CX585, 1))</f>
        <v>1</v>
      </c>
      <c r="DC585" s="109">
        <f t="shared" si="233"/>
        <v>-1579711.3040736814</v>
      </c>
      <c r="DD585" s="109">
        <f t="shared" si="234"/>
        <v>0</v>
      </c>
      <c r="DF585" s="58">
        <f t="array" ref="DF585">SUM(IF(DC585:DD585&gt;=DC585, 1))</f>
        <v>2</v>
      </c>
      <c r="DG585" s="58">
        <f t="array" ref="DG585">SUM(IF(DC585:DD585&gt;=DD585, 1))</f>
        <v>1</v>
      </c>
      <c r="DI585" s="109">
        <f t="shared" si="235"/>
        <v>-20718670.092115868</v>
      </c>
      <c r="DJ585" s="109">
        <f t="shared" si="236"/>
        <v>0</v>
      </c>
      <c r="DL585" s="58">
        <f t="array" ref="DL585">SUM(IF(DI585:DJ585&gt;=DI585, 1))</f>
        <v>2</v>
      </c>
      <c r="DM585" s="58">
        <f t="array" ref="DM585">SUM(IF(DI585:DJ585&gt;=DJ585, 1))</f>
        <v>1</v>
      </c>
      <c r="DO585" s="109">
        <f t="shared" si="237"/>
        <v>-10258456.682600103</v>
      </c>
      <c r="DP585" s="109">
        <f t="shared" si="238"/>
        <v>0</v>
      </c>
      <c r="DR585" s="58">
        <f t="array" ref="DR585">SUM(IF(DO585:DP585&gt;=DO585, 1))</f>
        <v>2</v>
      </c>
      <c r="DS585" s="58">
        <f t="array" ref="DS585">SUM(IF(DO585:DP585&gt;=DP585, 1))</f>
        <v>1</v>
      </c>
      <c r="DU585" s="109">
        <f t="shared" si="239"/>
        <v>-39414830.545780823</v>
      </c>
      <c r="DV585" s="109">
        <f t="shared" si="240"/>
        <v>0</v>
      </c>
      <c r="DX585" s="58">
        <f t="array" ref="DX585">SUM(IF(DU585:DV585&gt;=DU585, 1))</f>
        <v>2</v>
      </c>
      <c r="DY585" s="58">
        <f t="array" ref="DY585">SUM(IF(DU585:DV585&gt;=DV585, 1))</f>
        <v>1</v>
      </c>
      <c r="EA585" s="109">
        <f t="shared" si="241"/>
        <v>-103155914.39512406</v>
      </c>
      <c r="EB585" s="109">
        <f t="shared" si="242"/>
        <v>0</v>
      </c>
      <c r="ED585" s="58">
        <f t="array" ref="ED585">SUM(IF(EA585:EB585&gt;=EA585, 1))</f>
        <v>2</v>
      </c>
      <c r="EE585" s="58">
        <f t="array" ref="EE585">SUM(IF(EA585:EB585&gt;=EB585, 1))</f>
        <v>1</v>
      </c>
    </row>
    <row r="586" spans="4:135" ht="12" customHeight="1" x14ac:dyDescent="0.25">
      <c r="D586" s="11">
        <v>570</v>
      </c>
      <c r="E586" s="72">
        <v>236.70630976783099</v>
      </c>
      <c r="F586" s="72">
        <v>224.59580858968803</v>
      </c>
      <c r="G586" s="73"/>
      <c r="H586" s="74">
        <v>5.8896756013428275</v>
      </c>
      <c r="I586" s="74">
        <v>5.9055938914834272</v>
      </c>
      <c r="J586" s="73"/>
      <c r="K586" s="72">
        <v>254.63634931314107</v>
      </c>
      <c r="L586" s="72">
        <v>242.20400774288987</v>
      </c>
      <c r="M586" s="73"/>
      <c r="N586" s="74">
        <v>6.6983492019009745</v>
      </c>
      <c r="O586" s="74">
        <v>6.7118216960023904</v>
      </c>
      <c r="P586" s="73"/>
      <c r="Q586" s="72">
        <v>2064.4902423712074</v>
      </c>
      <c r="R586" s="72">
        <v>1395.745934215463</v>
      </c>
      <c r="S586" s="73"/>
      <c r="T586" s="74">
        <v>4.9015860602578876</v>
      </c>
      <c r="U586" s="74">
        <v>4.9685600300157136</v>
      </c>
      <c r="V586" s="73"/>
      <c r="W586" s="72">
        <v>14209.399943294855</v>
      </c>
      <c r="X586" s="72">
        <v>14134.872495967047</v>
      </c>
      <c r="Y586" s="73"/>
      <c r="Z586" s="74">
        <v>2.9289938768359236</v>
      </c>
      <c r="AA586" s="74">
        <v>2.9649254421253617</v>
      </c>
      <c r="AB586" s="73"/>
      <c r="AC586" s="72">
        <v>51087.701469595275</v>
      </c>
      <c r="AD586" s="72">
        <v>50789.712268912343</v>
      </c>
      <c r="AE586" s="73"/>
      <c r="AF586" s="74">
        <v>4.4418546853660619</v>
      </c>
      <c r="AG586" s="74">
        <v>4.5586413525591469</v>
      </c>
      <c r="AH586" s="73"/>
      <c r="AI586" s="72">
        <v>1307316.1137097238</v>
      </c>
      <c r="AJ586" s="72">
        <v>0</v>
      </c>
      <c r="AK586" s="73"/>
      <c r="AL586" s="74">
        <v>-1718.3630055765884</v>
      </c>
      <c r="AM586" s="74">
        <v>0</v>
      </c>
      <c r="AN586" s="73"/>
      <c r="AO586" s="72">
        <v>89097.487801837851</v>
      </c>
      <c r="AP586" s="72">
        <v>0</v>
      </c>
      <c r="AQ586" s="73"/>
      <c r="AR586" s="74">
        <v>-96.551833946835899</v>
      </c>
      <c r="AS586" s="74">
        <v>0</v>
      </c>
      <c r="AT586" s="73"/>
      <c r="AU586" s="72">
        <v>15517687.311027177</v>
      </c>
      <c r="AV586" s="72">
        <v>0</v>
      </c>
      <c r="AW586" s="73"/>
      <c r="AX586" s="74">
        <v>-1554.0784542095798</v>
      </c>
      <c r="AY586" s="74">
        <v>0</v>
      </c>
      <c r="AZ586" s="73"/>
      <c r="BA586" s="72">
        <v>632671.57267765328</v>
      </c>
      <c r="BB586" s="72">
        <v>0</v>
      </c>
      <c r="BC586" s="73"/>
      <c r="BD586" s="74">
        <v>-305.02694960755025</v>
      </c>
      <c r="BE586" s="74">
        <v>0</v>
      </c>
      <c r="BF586" s="73"/>
      <c r="BG586" s="72">
        <v>4499496.7662754534</v>
      </c>
      <c r="BH586" s="72">
        <v>0</v>
      </c>
      <c r="BI586" s="73"/>
      <c r="BJ586" s="74">
        <v>-1763.423742119093</v>
      </c>
      <c r="BK586" s="74">
        <v>0</v>
      </c>
      <c r="BL586" s="73"/>
      <c r="BM586" s="72">
        <v>22046269.251491845</v>
      </c>
      <c r="BN586" s="72">
        <v>0</v>
      </c>
      <c r="BO586" s="73"/>
      <c r="BP586" s="74">
        <v>-5437.4439854596476</v>
      </c>
      <c r="BQ586" s="74">
        <v>0</v>
      </c>
      <c r="BS586" s="109">
        <f t="shared" si="222"/>
        <v>117556.80571708872</v>
      </c>
      <c r="BT586" s="109">
        <f t="shared" si="223"/>
        <v>117887.28202107886</v>
      </c>
      <c r="BV586" s="58">
        <f t="array" ref="BV586">SUM(IF(BS586:BT586&gt;=BS586, 1))</f>
        <v>2</v>
      </c>
      <c r="BW586" s="58">
        <f t="array" ref="BW586">SUM(IF(BS586:BT586&gt;=BT586, 1))</f>
        <v>1</v>
      </c>
      <c r="BY586" s="109">
        <f t="shared" si="224"/>
        <v>133712.34768870636</v>
      </c>
      <c r="BZ586" s="109">
        <f t="shared" si="225"/>
        <v>133994.2299123049</v>
      </c>
      <c r="CB586" s="58">
        <f t="array" ref="CB586">SUM(IF(BY586:BZ586&gt;=BY586, 1))</f>
        <v>2</v>
      </c>
      <c r="CC586" s="58">
        <f t="array" ref="CC586">SUM(IF(BY586:BZ586&gt;=BZ586, 1))</f>
        <v>1</v>
      </c>
      <c r="CE586" s="109">
        <f t="shared" si="226"/>
        <v>95967.230962786547</v>
      </c>
      <c r="CF586" s="109">
        <f t="shared" si="227"/>
        <v>97975.454666098813</v>
      </c>
      <c r="CH586" s="58">
        <f t="array" ref="CH586">SUM(IF(CE586:CF586&gt;=CE586, 1))</f>
        <v>2</v>
      </c>
      <c r="CI586" s="58">
        <f t="array" ref="CI586">SUM(IF(CE586:CF586&gt;=CF586, 1))</f>
        <v>1</v>
      </c>
      <c r="CK586" s="109">
        <f t="shared" si="228"/>
        <v>44370.477593423617</v>
      </c>
      <c r="CL586" s="109">
        <f t="shared" si="229"/>
        <v>45163.636346540181</v>
      </c>
      <c r="CN586" s="58">
        <f t="array" ref="CN586">SUM(IF(CK586:CL586&gt;=CK586, 1))</f>
        <v>2</v>
      </c>
      <c r="CO586" s="58">
        <f t="array" ref="CO586">SUM(IF(CK586:CL586&gt;=CL586, 1))</f>
        <v>1</v>
      </c>
      <c r="CQ586" s="109" cm="1">
        <f t="array" ref="CQ586">AF586*WTP-AC586</f>
        <v>37749.392237725966</v>
      </c>
      <c r="CR586" s="109">
        <f t="shared" si="230"/>
        <v>40383.11478227059</v>
      </c>
      <c r="CT586" s="58">
        <f t="array" ref="CT586">SUM(IF(CQ586:CR586&gt;=CQ586, 1))</f>
        <v>2</v>
      </c>
      <c r="CU586" s="58">
        <f t="array" ref="CU586">SUM(IF(CQ586:CR586&gt;=CR586, 1))</f>
        <v>1</v>
      </c>
      <c r="CW586" s="109">
        <f t="shared" si="231"/>
        <v>-35674576.225241497</v>
      </c>
      <c r="CX586" s="109">
        <f t="shared" si="232"/>
        <v>0</v>
      </c>
      <c r="CZ586" s="58">
        <f t="array" ref="CZ586">SUM(IF(CW586:CX586&gt;=CW586, 1))</f>
        <v>2</v>
      </c>
      <c r="DA586" s="58">
        <f t="array" ref="DA586">SUM(IF(CW586:CX586&gt;=CX586, 1))</f>
        <v>1</v>
      </c>
      <c r="DC586" s="109">
        <f t="shared" si="233"/>
        <v>-2020134.1667385558</v>
      </c>
      <c r="DD586" s="109">
        <f t="shared" si="234"/>
        <v>0</v>
      </c>
      <c r="DF586" s="58">
        <f t="array" ref="DF586">SUM(IF(DC586:DD586&gt;=DC586, 1))</f>
        <v>2</v>
      </c>
      <c r="DG586" s="58">
        <f t="array" ref="DG586">SUM(IF(DC586:DD586&gt;=DD586, 1))</f>
        <v>1</v>
      </c>
      <c r="DI586" s="109">
        <f t="shared" si="235"/>
        <v>-46599256.395218775</v>
      </c>
      <c r="DJ586" s="109">
        <f t="shared" si="236"/>
        <v>0</v>
      </c>
      <c r="DL586" s="58">
        <f t="array" ref="DL586">SUM(IF(DI586:DJ586&gt;=DI586, 1))</f>
        <v>2</v>
      </c>
      <c r="DM586" s="58">
        <f t="array" ref="DM586">SUM(IF(DI586:DJ586&gt;=DJ586, 1))</f>
        <v>1</v>
      </c>
      <c r="DO586" s="109">
        <f t="shared" si="237"/>
        <v>-6733210.5648286585</v>
      </c>
      <c r="DP586" s="109">
        <f t="shared" si="238"/>
        <v>0</v>
      </c>
      <c r="DR586" s="58">
        <f t="array" ref="DR586">SUM(IF(DO586:DP586&gt;=DO586, 1))</f>
        <v>2</v>
      </c>
      <c r="DS586" s="58">
        <f t="array" ref="DS586">SUM(IF(DO586:DP586&gt;=DP586, 1))</f>
        <v>1</v>
      </c>
      <c r="DU586" s="109">
        <f t="shared" si="239"/>
        <v>-39767971.608657308</v>
      </c>
      <c r="DV586" s="109">
        <f t="shared" si="240"/>
        <v>0</v>
      </c>
      <c r="DX586" s="58">
        <f t="array" ref="DX586">SUM(IF(DU586:DV586&gt;=DU586, 1))</f>
        <v>2</v>
      </c>
      <c r="DY586" s="58">
        <f t="array" ref="DY586">SUM(IF(DU586:DV586&gt;=DV586, 1))</f>
        <v>1</v>
      </c>
      <c r="EA586" s="109">
        <f t="shared" si="241"/>
        <v>-130795148.96068479</v>
      </c>
      <c r="EB586" s="109">
        <f t="shared" si="242"/>
        <v>0</v>
      </c>
      <c r="ED586" s="58">
        <f t="array" ref="ED586">SUM(IF(EA586:EB586&gt;=EA586, 1))</f>
        <v>2</v>
      </c>
      <c r="EE586" s="58">
        <f t="array" ref="EE586">SUM(IF(EA586:EB586&gt;=EB586, 1))</f>
        <v>1</v>
      </c>
    </row>
    <row r="587" spans="4:135" ht="12" customHeight="1" x14ac:dyDescent="0.25">
      <c r="D587" s="11">
        <v>571</v>
      </c>
      <c r="E587" s="72">
        <v>229.97140873415432</v>
      </c>
      <c r="F587" s="72">
        <v>207.35020019017571</v>
      </c>
      <c r="G587" s="73"/>
      <c r="H587" s="74">
        <v>5.8763004635750304</v>
      </c>
      <c r="I587" s="74">
        <v>5.8892741761217753</v>
      </c>
      <c r="J587" s="73"/>
      <c r="K587" s="72">
        <v>246.67451981571836</v>
      </c>
      <c r="L587" s="72">
        <v>223.51197398407362</v>
      </c>
      <c r="M587" s="73"/>
      <c r="N587" s="74">
        <v>6.7340804742154088</v>
      </c>
      <c r="O587" s="74">
        <v>6.7444719210616357</v>
      </c>
      <c r="P587" s="73"/>
      <c r="Q587" s="72">
        <v>2235.7513376964139</v>
      </c>
      <c r="R587" s="72">
        <v>1454.5227642832274</v>
      </c>
      <c r="S587" s="73"/>
      <c r="T587" s="74">
        <v>4.8720073550576144</v>
      </c>
      <c r="U587" s="74">
        <v>4.9308759718675184</v>
      </c>
      <c r="V587" s="73"/>
      <c r="W587" s="72">
        <v>11875.164957494944</v>
      </c>
      <c r="X587" s="72">
        <v>11837.205993607422</v>
      </c>
      <c r="Y587" s="73"/>
      <c r="Z587" s="74">
        <v>2.8949738611047779</v>
      </c>
      <c r="AA587" s="74">
        <v>2.9272070460666142</v>
      </c>
      <c r="AB587" s="73"/>
      <c r="AC587" s="72">
        <v>52005.301076950891</v>
      </c>
      <c r="AD587" s="72">
        <v>51966.598500157015</v>
      </c>
      <c r="AE587" s="73"/>
      <c r="AF587" s="74">
        <v>4.2649023343913361</v>
      </c>
      <c r="AG587" s="74">
        <v>4.3584731353853527</v>
      </c>
      <c r="AH587" s="73"/>
      <c r="AI587" s="72">
        <v>2416422.3547464097</v>
      </c>
      <c r="AJ587" s="72">
        <v>0</v>
      </c>
      <c r="AK587" s="73"/>
      <c r="AL587" s="74">
        <v>-1385.8662308452592</v>
      </c>
      <c r="AM587" s="74">
        <v>0</v>
      </c>
      <c r="AN587" s="73"/>
      <c r="AO587" s="72">
        <v>151396.56521157676</v>
      </c>
      <c r="AP587" s="72">
        <v>0</v>
      </c>
      <c r="AQ587" s="73"/>
      <c r="AR587" s="74">
        <v>-67.921262694193203</v>
      </c>
      <c r="AS587" s="74">
        <v>0</v>
      </c>
      <c r="AT587" s="73"/>
      <c r="AU587" s="72">
        <v>18303461.775934074</v>
      </c>
      <c r="AV587" s="72">
        <v>0</v>
      </c>
      <c r="AW587" s="73"/>
      <c r="AX587" s="74">
        <v>-1379.2371583064271</v>
      </c>
      <c r="AY587" s="74">
        <v>0</v>
      </c>
      <c r="AZ587" s="73"/>
      <c r="BA587" s="72">
        <v>345006.41515447997</v>
      </c>
      <c r="BB587" s="72">
        <v>0</v>
      </c>
      <c r="BC587" s="73"/>
      <c r="BD587" s="74">
        <v>-292.96520383555469</v>
      </c>
      <c r="BE587" s="74">
        <v>0</v>
      </c>
      <c r="BF587" s="73"/>
      <c r="BG587" s="72">
        <v>605781.95857556909</v>
      </c>
      <c r="BH587" s="72">
        <v>0</v>
      </c>
      <c r="BI587" s="73"/>
      <c r="BJ587" s="74">
        <v>-1464.5924842040408</v>
      </c>
      <c r="BK587" s="74">
        <v>0</v>
      </c>
      <c r="BL587" s="73"/>
      <c r="BM587" s="72">
        <v>21822069.069622111</v>
      </c>
      <c r="BN587" s="72">
        <v>0</v>
      </c>
      <c r="BO587" s="73"/>
      <c r="BP587" s="74">
        <v>-4590.5823398854754</v>
      </c>
      <c r="BQ587" s="74">
        <v>0</v>
      </c>
      <c r="BS587" s="109">
        <f t="shared" si="222"/>
        <v>117296.03786276645</v>
      </c>
      <c r="BT587" s="109">
        <f t="shared" si="223"/>
        <v>117578.13332224532</v>
      </c>
      <c r="BV587" s="58">
        <f t="array" ref="BV587">SUM(IF(BS587:BT587&gt;=BS587, 1))</f>
        <v>2</v>
      </c>
      <c r="BW587" s="58">
        <f t="array" ref="BW587">SUM(IF(BS587:BT587&gt;=BT587, 1))</f>
        <v>1</v>
      </c>
      <c r="BY587" s="109">
        <f t="shared" si="224"/>
        <v>134434.93496449245</v>
      </c>
      <c r="BZ587" s="109">
        <f t="shared" si="225"/>
        <v>134665.92644724864</v>
      </c>
      <c r="CB587" s="58">
        <f t="array" ref="CB587">SUM(IF(BY587:BZ587&gt;=BY587, 1))</f>
        <v>2</v>
      </c>
      <c r="CC587" s="58">
        <f t="array" ref="CC587">SUM(IF(BY587:BZ587&gt;=BZ587, 1))</f>
        <v>1</v>
      </c>
      <c r="CE587" s="109">
        <f t="shared" si="226"/>
        <v>95204.395763455861</v>
      </c>
      <c r="CF587" s="109">
        <f t="shared" si="227"/>
        <v>97162.996673067129</v>
      </c>
      <c r="CH587" s="58">
        <f t="array" ref="CH587">SUM(IF(CE587:CF587&gt;=CE587, 1))</f>
        <v>2</v>
      </c>
      <c r="CI587" s="58">
        <f t="array" ref="CI587">SUM(IF(CE587:CF587&gt;=CF587, 1))</f>
        <v>1</v>
      </c>
      <c r="CK587" s="109">
        <f t="shared" si="228"/>
        <v>46024.312264600609</v>
      </c>
      <c r="CL587" s="109">
        <f t="shared" si="229"/>
        <v>46706.934927724862</v>
      </c>
      <c r="CN587" s="58">
        <f t="array" ref="CN587">SUM(IF(CK587:CL587&gt;=CK587, 1))</f>
        <v>2</v>
      </c>
      <c r="CO587" s="58">
        <f t="array" ref="CO587">SUM(IF(CK587:CL587&gt;=CL587, 1))</f>
        <v>1</v>
      </c>
      <c r="CQ587" s="109" cm="1">
        <f t="array" ref="CQ587">AF587*WTP-AC587</f>
        <v>33292.745610875827</v>
      </c>
      <c r="CR587" s="109">
        <f t="shared" si="230"/>
        <v>35202.864207550047</v>
      </c>
      <c r="CT587" s="58">
        <f t="array" ref="CT587">SUM(IF(CQ587:CR587&gt;=CQ587, 1))</f>
        <v>2</v>
      </c>
      <c r="CU587" s="58">
        <f t="array" ref="CU587">SUM(IF(CQ587:CR587&gt;=CR587, 1))</f>
        <v>1</v>
      </c>
      <c r="CW587" s="109">
        <f t="shared" si="231"/>
        <v>-30133746.971651595</v>
      </c>
      <c r="CX587" s="109">
        <f t="shared" si="232"/>
        <v>0</v>
      </c>
      <c r="CZ587" s="58">
        <f t="array" ref="CZ587">SUM(IF(CW587:CX587&gt;=CW587, 1))</f>
        <v>2</v>
      </c>
      <c r="DA587" s="58">
        <f t="array" ref="DA587">SUM(IF(CW587:CX587&gt;=CX587, 1))</f>
        <v>1</v>
      </c>
      <c r="DC587" s="109">
        <f t="shared" si="233"/>
        <v>-1509821.8190954407</v>
      </c>
      <c r="DD587" s="109">
        <f t="shared" si="234"/>
        <v>0</v>
      </c>
      <c r="DF587" s="58">
        <f t="array" ref="DF587">SUM(IF(DC587:DD587&gt;=DC587, 1))</f>
        <v>2</v>
      </c>
      <c r="DG587" s="58">
        <f t="array" ref="DG587">SUM(IF(DC587:DD587&gt;=DD587, 1))</f>
        <v>1</v>
      </c>
      <c r="DI587" s="109">
        <f t="shared" si="235"/>
        <v>-45888204.942062616</v>
      </c>
      <c r="DJ587" s="109">
        <f t="shared" si="236"/>
        <v>0</v>
      </c>
      <c r="DL587" s="58">
        <f t="array" ref="DL587">SUM(IF(DI587:DJ587&gt;=DI587, 1))</f>
        <v>2</v>
      </c>
      <c r="DM587" s="58">
        <f t="array" ref="DM587">SUM(IF(DI587:DJ587&gt;=DJ587, 1))</f>
        <v>1</v>
      </c>
      <c r="DO587" s="109">
        <f t="shared" si="237"/>
        <v>-6204310.4918655744</v>
      </c>
      <c r="DP587" s="109">
        <f t="shared" si="238"/>
        <v>0</v>
      </c>
      <c r="DR587" s="58">
        <f t="array" ref="DR587">SUM(IF(DO587:DP587&gt;=DO587, 1))</f>
        <v>2</v>
      </c>
      <c r="DS587" s="58">
        <f t="array" ref="DS587">SUM(IF(DO587:DP587&gt;=DP587, 1))</f>
        <v>1</v>
      </c>
      <c r="DU587" s="109">
        <f t="shared" si="239"/>
        <v>-29897631.642656386</v>
      </c>
      <c r="DV587" s="109">
        <f t="shared" si="240"/>
        <v>0</v>
      </c>
      <c r="DX587" s="58">
        <f t="array" ref="DX587">SUM(IF(DU587:DV587&gt;=DU587, 1))</f>
        <v>2</v>
      </c>
      <c r="DY587" s="58">
        <f t="array" ref="DY587">SUM(IF(DU587:DV587&gt;=DV587, 1))</f>
        <v>1</v>
      </c>
      <c r="EA587" s="109">
        <f t="shared" si="241"/>
        <v>-113633715.86733162</v>
      </c>
      <c r="EB587" s="109">
        <f t="shared" si="242"/>
        <v>0</v>
      </c>
      <c r="ED587" s="58">
        <f t="array" ref="ED587">SUM(IF(EA587:EB587&gt;=EA587, 1))</f>
        <v>2</v>
      </c>
      <c r="EE587" s="58">
        <f t="array" ref="EE587">SUM(IF(EA587:EB587&gt;=EB587, 1))</f>
        <v>1</v>
      </c>
    </row>
    <row r="588" spans="4:135" ht="12" customHeight="1" x14ac:dyDescent="0.25">
      <c r="D588" s="11">
        <v>572</v>
      </c>
      <c r="E588" s="72">
        <v>240.12557714362669</v>
      </c>
      <c r="F588" s="72">
        <v>230.68655115019652</v>
      </c>
      <c r="G588" s="73"/>
      <c r="H588" s="74">
        <v>5.8860458047610846</v>
      </c>
      <c r="I588" s="74">
        <v>5.9061628089660534</v>
      </c>
      <c r="J588" s="73"/>
      <c r="K588" s="72">
        <v>258.56735451683039</v>
      </c>
      <c r="L588" s="72">
        <v>248.87627484060027</v>
      </c>
      <c r="M588" s="73"/>
      <c r="N588" s="74">
        <v>6.7572344956973076</v>
      </c>
      <c r="O588" s="74">
        <v>6.7750353149395464</v>
      </c>
      <c r="P588" s="73"/>
      <c r="Q588" s="72">
        <v>2330.5459942389389</v>
      </c>
      <c r="R588" s="72">
        <v>1384.1728513213177</v>
      </c>
      <c r="S588" s="73"/>
      <c r="T588" s="74">
        <v>5.0426214444795301</v>
      </c>
      <c r="U588" s="74">
        <v>5.1116889140159447</v>
      </c>
      <c r="V588" s="73"/>
      <c r="W588" s="72">
        <v>14375.0404890927</v>
      </c>
      <c r="X588" s="72">
        <v>14317.13793585368</v>
      </c>
      <c r="Y588" s="73"/>
      <c r="Z588" s="74">
        <v>3.1091573638017844</v>
      </c>
      <c r="AA588" s="74">
        <v>3.1520320989867705</v>
      </c>
      <c r="AB588" s="73"/>
      <c r="AC588" s="72">
        <v>50053.42503466356</v>
      </c>
      <c r="AD588" s="72">
        <v>49926.169470569388</v>
      </c>
      <c r="AE588" s="73"/>
      <c r="AF588" s="74">
        <v>4.8087617276043044</v>
      </c>
      <c r="AG588" s="74">
        <v>4.8661054186121531</v>
      </c>
      <c r="AH588" s="73"/>
      <c r="AI588" s="72">
        <v>996548.98747147387</v>
      </c>
      <c r="AJ588" s="72">
        <v>0</v>
      </c>
      <c r="AK588" s="73"/>
      <c r="AL588" s="74">
        <v>-2123.9034817124875</v>
      </c>
      <c r="AM588" s="74">
        <v>0</v>
      </c>
      <c r="AN588" s="73"/>
      <c r="AO588" s="72">
        <v>65189.226655006285</v>
      </c>
      <c r="AP588" s="72">
        <v>0</v>
      </c>
      <c r="AQ588" s="73"/>
      <c r="AR588" s="74">
        <v>-119.74121346596023</v>
      </c>
      <c r="AS588" s="74">
        <v>0</v>
      </c>
      <c r="AT588" s="73"/>
      <c r="AU588" s="72">
        <v>22574665.852348603</v>
      </c>
      <c r="AV588" s="72">
        <v>0</v>
      </c>
      <c r="AW588" s="73"/>
      <c r="AX588" s="74">
        <v>-1647.5267263449255</v>
      </c>
      <c r="AY588" s="74">
        <v>0</v>
      </c>
      <c r="AZ588" s="73"/>
      <c r="BA588" s="72">
        <v>543617.74365131673</v>
      </c>
      <c r="BB588" s="72">
        <v>0</v>
      </c>
      <c r="BC588" s="73"/>
      <c r="BD588" s="74">
        <v>-402.52917180866109</v>
      </c>
      <c r="BE588" s="74">
        <v>0</v>
      </c>
      <c r="BF588" s="73"/>
      <c r="BG588" s="72">
        <v>2020315.0121235326</v>
      </c>
      <c r="BH588" s="72">
        <v>0</v>
      </c>
      <c r="BI588" s="73"/>
      <c r="BJ588" s="74">
        <v>-910.39099640465724</v>
      </c>
      <c r="BK588" s="74">
        <v>0</v>
      </c>
      <c r="BL588" s="73"/>
      <c r="BM588" s="72">
        <v>26200336.82224993</v>
      </c>
      <c r="BN588" s="72">
        <v>0</v>
      </c>
      <c r="BO588" s="73"/>
      <c r="BP588" s="74">
        <v>-5204.0915897366913</v>
      </c>
      <c r="BQ588" s="74">
        <v>0</v>
      </c>
      <c r="BS588" s="109">
        <f t="shared" si="222"/>
        <v>117480.79051807807</v>
      </c>
      <c r="BT588" s="109">
        <f t="shared" si="223"/>
        <v>117892.56962817087</v>
      </c>
      <c r="BV588" s="58">
        <f t="array" ref="BV588">SUM(IF(BS588:BT588&gt;=BS588, 1))</f>
        <v>2</v>
      </c>
      <c r="BW588" s="58">
        <f t="array" ref="BW588">SUM(IF(BS588:BT588&gt;=BT588, 1))</f>
        <v>1</v>
      </c>
      <c r="BY588" s="109">
        <f t="shared" si="224"/>
        <v>134886.12255942932</v>
      </c>
      <c r="BZ588" s="109">
        <f t="shared" si="225"/>
        <v>135251.83002395034</v>
      </c>
      <c r="CB588" s="58">
        <f t="array" ref="CB588">SUM(IF(BY588:BZ588&gt;=BY588, 1))</f>
        <v>2</v>
      </c>
      <c r="CC588" s="58">
        <f t="array" ref="CC588">SUM(IF(BY588:BZ588&gt;=BZ588, 1))</f>
        <v>1</v>
      </c>
      <c r="CE588" s="109">
        <f t="shared" si="226"/>
        <v>98521.882895351664</v>
      </c>
      <c r="CF588" s="109">
        <f t="shared" si="227"/>
        <v>100849.60542899757</v>
      </c>
      <c r="CH588" s="58">
        <f t="array" ref="CH588">SUM(IF(CE588:CF588&gt;=CE588, 1))</f>
        <v>2</v>
      </c>
      <c r="CI588" s="58">
        <f t="array" ref="CI588">SUM(IF(CE588:CF588&gt;=CF588, 1))</f>
        <v>1</v>
      </c>
      <c r="CK588" s="109">
        <f t="shared" si="228"/>
        <v>47808.10678694299</v>
      </c>
      <c r="CL588" s="109">
        <f t="shared" si="229"/>
        <v>48723.50404388173</v>
      </c>
      <c r="CN588" s="58">
        <f t="array" ref="CN588">SUM(IF(CK588:CL588&gt;=CK588, 1))</f>
        <v>2</v>
      </c>
      <c r="CO588" s="58">
        <f t="array" ref="CO588">SUM(IF(CK588:CL588&gt;=CL588, 1))</f>
        <v>1</v>
      </c>
      <c r="CQ588" s="109" cm="1">
        <f t="array" ref="CQ588">AF588*WTP-AC588</f>
        <v>46121.809517422524</v>
      </c>
      <c r="CR588" s="109">
        <f t="shared" si="230"/>
        <v>47395.938901673675</v>
      </c>
      <c r="CT588" s="58">
        <f t="array" ref="CT588">SUM(IF(CQ588:CR588&gt;=CQ588, 1))</f>
        <v>2</v>
      </c>
      <c r="CU588" s="58">
        <f t="array" ref="CU588">SUM(IF(CQ588:CR588&gt;=CR588, 1))</f>
        <v>1</v>
      </c>
      <c r="CW588" s="109">
        <f t="shared" si="231"/>
        <v>-43474618.621721223</v>
      </c>
      <c r="CX588" s="109">
        <f t="shared" si="232"/>
        <v>0</v>
      </c>
      <c r="CZ588" s="58">
        <f t="array" ref="CZ588">SUM(IF(CW588:CX588&gt;=CW588, 1))</f>
        <v>2</v>
      </c>
      <c r="DA588" s="58">
        <f t="array" ref="DA588">SUM(IF(CW588:CX588&gt;=CX588, 1))</f>
        <v>1</v>
      </c>
      <c r="DC588" s="109">
        <f t="shared" si="233"/>
        <v>-2460013.495974211</v>
      </c>
      <c r="DD588" s="109">
        <f t="shared" si="234"/>
        <v>0</v>
      </c>
      <c r="DF588" s="58">
        <f t="array" ref="DF588">SUM(IF(DC588:DD588&gt;=DC588, 1))</f>
        <v>2</v>
      </c>
      <c r="DG588" s="58">
        <f t="array" ref="DG588">SUM(IF(DC588:DD588&gt;=DD588, 1))</f>
        <v>1</v>
      </c>
      <c r="DI588" s="109">
        <f t="shared" si="235"/>
        <v>-55525200.379247114</v>
      </c>
      <c r="DJ588" s="109">
        <f t="shared" si="236"/>
        <v>0</v>
      </c>
      <c r="DL588" s="58">
        <f t="array" ref="DL588">SUM(IF(DI588:DJ588&gt;=DI588, 1))</f>
        <v>2</v>
      </c>
      <c r="DM588" s="58">
        <f t="array" ref="DM588">SUM(IF(DI588:DJ588&gt;=DJ588, 1))</f>
        <v>1</v>
      </c>
      <c r="DO588" s="109">
        <f t="shared" si="237"/>
        <v>-8594201.1798245385</v>
      </c>
      <c r="DP588" s="109">
        <f t="shared" si="238"/>
        <v>0</v>
      </c>
      <c r="DR588" s="58">
        <f t="array" ref="DR588">SUM(IF(DO588:DP588&gt;=DO588, 1))</f>
        <v>2</v>
      </c>
      <c r="DS588" s="58">
        <f t="array" ref="DS588">SUM(IF(DO588:DP588&gt;=DP588, 1))</f>
        <v>1</v>
      </c>
      <c r="DU588" s="109">
        <f t="shared" si="239"/>
        <v>-20228134.940216679</v>
      </c>
      <c r="DV588" s="109">
        <f t="shared" si="240"/>
        <v>0</v>
      </c>
      <c r="DX588" s="58">
        <f t="array" ref="DX588">SUM(IF(DU588:DV588&gt;=DU588, 1))</f>
        <v>2</v>
      </c>
      <c r="DY588" s="58">
        <f t="array" ref="DY588">SUM(IF(DU588:DV588&gt;=DV588, 1))</f>
        <v>1</v>
      </c>
      <c r="EA588" s="109">
        <f t="shared" si="241"/>
        <v>-130282168.61698376</v>
      </c>
      <c r="EB588" s="109">
        <f t="shared" si="242"/>
        <v>0</v>
      </c>
      <c r="ED588" s="58">
        <f t="array" ref="ED588">SUM(IF(EA588:EB588&gt;=EA588, 1))</f>
        <v>2</v>
      </c>
      <c r="EE588" s="58">
        <f t="array" ref="EE588">SUM(IF(EA588:EB588&gt;=EB588, 1))</f>
        <v>1</v>
      </c>
    </row>
    <row r="589" spans="4:135" ht="12" customHeight="1" x14ac:dyDescent="0.25">
      <c r="D589" s="11">
        <v>573</v>
      </c>
      <c r="E589" s="72">
        <v>185.16725095385482</v>
      </c>
      <c r="F589" s="72">
        <v>166.919091489473</v>
      </c>
      <c r="G589" s="73"/>
      <c r="H589" s="74">
        <v>5.8723429137329859</v>
      </c>
      <c r="I589" s="74">
        <v>5.8920803712374719</v>
      </c>
      <c r="J589" s="73"/>
      <c r="K589" s="72">
        <v>198.67933847998526</v>
      </c>
      <c r="L589" s="72">
        <v>180.00372013910462</v>
      </c>
      <c r="M589" s="73"/>
      <c r="N589" s="74">
        <v>6.7421726475337707</v>
      </c>
      <c r="O589" s="74">
        <v>6.759869236357277</v>
      </c>
      <c r="P589" s="73"/>
      <c r="Q589" s="72">
        <v>1734.1449165261336</v>
      </c>
      <c r="R589" s="72">
        <v>1250.7038977455168</v>
      </c>
      <c r="S589" s="73"/>
      <c r="T589" s="74">
        <v>4.7264986594093132</v>
      </c>
      <c r="U589" s="74">
        <v>4.7755942401557672</v>
      </c>
      <c r="V589" s="73"/>
      <c r="W589" s="72">
        <v>12227.232998409556</v>
      </c>
      <c r="X589" s="72">
        <v>12140.508003481911</v>
      </c>
      <c r="Y589" s="73"/>
      <c r="Z589" s="74">
        <v>2.9439545857751415</v>
      </c>
      <c r="AA589" s="74">
        <v>2.9829246058626229</v>
      </c>
      <c r="AB589" s="73"/>
      <c r="AC589" s="72">
        <v>49281.588856357841</v>
      </c>
      <c r="AD589" s="72">
        <v>49299.252764472541</v>
      </c>
      <c r="AE589" s="73"/>
      <c r="AF589" s="74">
        <v>5.0282690773079608</v>
      </c>
      <c r="AG589" s="74">
        <v>5.0949566518275375</v>
      </c>
      <c r="AH589" s="73"/>
      <c r="AI589" s="72">
        <v>1972140.0743449647</v>
      </c>
      <c r="AJ589" s="72">
        <v>0</v>
      </c>
      <c r="AK589" s="73"/>
      <c r="AL589" s="74">
        <v>-2133.093531227325</v>
      </c>
      <c r="AM589" s="74">
        <v>0</v>
      </c>
      <c r="AN589" s="73"/>
      <c r="AO589" s="72">
        <v>130608.06492755265</v>
      </c>
      <c r="AP589" s="72">
        <v>0</v>
      </c>
      <c r="AQ589" s="73"/>
      <c r="AR589" s="74">
        <v>-123.76121528449096</v>
      </c>
      <c r="AS589" s="74">
        <v>0</v>
      </c>
      <c r="AT589" s="73"/>
      <c r="AU589" s="72">
        <v>11259524.494965689</v>
      </c>
      <c r="AV589" s="72">
        <v>0</v>
      </c>
      <c r="AW589" s="73"/>
      <c r="AX589" s="74">
        <v>-1143.4546770639638</v>
      </c>
      <c r="AY589" s="74">
        <v>0</v>
      </c>
      <c r="AZ589" s="73"/>
      <c r="BA589" s="72">
        <v>767442.54883692157</v>
      </c>
      <c r="BB589" s="72">
        <v>0</v>
      </c>
      <c r="BC589" s="73"/>
      <c r="BD589" s="74">
        <v>-344.85158020608236</v>
      </c>
      <c r="BE589" s="74">
        <v>0</v>
      </c>
      <c r="BF589" s="73"/>
      <c r="BG589" s="72">
        <v>-276856.77624086145</v>
      </c>
      <c r="BH589" s="72">
        <v>0</v>
      </c>
      <c r="BI589" s="73"/>
      <c r="BJ589" s="74">
        <v>-1045.2334091030975</v>
      </c>
      <c r="BK589" s="74">
        <v>0</v>
      </c>
      <c r="BL589" s="73"/>
      <c r="BM589" s="72">
        <v>13852858.406834267</v>
      </c>
      <c r="BN589" s="72">
        <v>0</v>
      </c>
      <c r="BO589" s="73"/>
      <c r="BP589" s="74">
        <v>-4790.3944128849598</v>
      </c>
      <c r="BQ589" s="74">
        <v>0</v>
      </c>
      <c r="BS589" s="109">
        <f t="shared" si="222"/>
        <v>117261.69102370588</v>
      </c>
      <c r="BT589" s="109">
        <f t="shared" si="223"/>
        <v>117674.68833325997</v>
      </c>
      <c r="BV589" s="58">
        <f t="array" ref="BV589">SUM(IF(BS589:BT589&gt;=BS589, 1))</f>
        <v>2</v>
      </c>
      <c r="BW589" s="58">
        <f t="array" ref="BW589">SUM(IF(BS589:BT589&gt;=BT589, 1))</f>
        <v>1</v>
      </c>
      <c r="BY589" s="109">
        <f t="shared" si="224"/>
        <v>134644.77361219542</v>
      </c>
      <c r="BZ589" s="109">
        <f t="shared" si="225"/>
        <v>135017.38100700645</v>
      </c>
      <c r="CB589" s="58">
        <f t="array" ref="CB589">SUM(IF(BY589:BZ589&gt;=BY589, 1))</f>
        <v>2</v>
      </c>
      <c r="CC589" s="58">
        <f t="array" ref="CC589">SUM(IF(BY589:BZ589&gt;=BZ589, 1))</f>
        <v>1</v>
      </c>
      <c r="CE589" s="109">
        <f t="shared" si="226"/>
        <v>92795.828271660139</v>
      </c>
      <c r="CF589" s="109">
        <f t="shared" si="227"/>
        <v>94261.180905369823</v>
      </c>
      <c r="CH589" s="58">
        <f t="array" ref="CH589">SUM(IF(CE589:CF589&gt;=CE589, 1))</f>
        <v>2</v>
      </c>
      <c r="CI589" s="58">
        <f t="array" ref="CI589">SUM(IF(CE589:CF589&gt;=CF589, 1))</f>
        <v>1</v>
      </c>
      <c r="CK589" s="109">
        <f t="shared" si="228"/>
        <v>46651.858717093273</v>
      </c>
      <c r="CL589" s="109">
        <f t="shared" si="229"/>
        <v>47517.984113770544</v>
      </c>
      <c r="CN589" s="58">
        <f t="array" ref="CN589">SUM(IF(CK589:CL589&gt;=CK589, 1))</f>
        <v>2</v>
      </c>
      <c r="CO589" s="58">
        <f t="array" ref="CO589">SUM(IF(CK589:CL589&gt;=CL589, 1))</f>
        <v>1</v>
      </c>
      <c r="CQ589" s="109" cm="1">
        <f t="array" ref="CQ589">AF589*WTP-AC589</f>
        <v>51283.792689801376</v>
      </c>
      <c r="CR589" s="109">
        <f t="shared" si="230"/>
        <v>52599.880272078204</v>
      </c>
      <c r="CT589" s="58">
        <f t="array" ref="CT589">SUM(IF(CQ589:CR589&gt;=CQ589, 1))</f>
        <v>2</v>
      </c>
      <c r="CU589" s="58">
        <f t="array" ref="CU589">SUM(IF(CQ589:CR589&gt;=CR589, 1))</f>
        <v>1</v>
      </c>
      <c r="CW589" s="109">
        <f t="shared" si="231"/>
        <v>-44634010.698891461</v>
      </c>
      <c r="CX589" s="109">
        <f t="shared" si="232"/>
        <v>0</v>
      </c>
      <c r="CZ589" s="58">
        <f t="array" ref="CZ589">SUM(IF(CW589:CX589&gt;=CW589, 1))</f>
        <v>2</v>
      </c>
      <c r="DA589" s="58">
        <f t="array" ref="DA589">SUM(IF(CW589:CX589&gt;=CX589, 1))</f>
        <v>1</v>
      </c>
      <c r="DC589" s="109">
        <f t="shared" si="233"/>
        <v>-2605832.370617372</v>
      </c>
      <c r="DD589" s="109">
        <f t="shared" si="234"/>
        <v>0</v>
      </c>
      <c r="DF589" s="58">
        <f t="array" ref="DF589">SUM(IF(DC589:DD589&gt;=DC589, 1))</f>
        <v>2</v>
      </c>
      <c r="DG589" s="58">
        <f t="array" ref="DG589">SUM(IF(DC589:DD589&gt;=DD589, 1))</f>
        <v>1</v>
      </c>
      <c r="DI589" s="109">
        <f t="shared" si="235"/>
        <v>-34128618.036244966</v>
      </c>
      <c r="DJ589" s="109">
        <f t="shared" si="236"/>
        <v>0</v>
      </c>
      <c r="DL589" s="58">
        <f t="array" ref="DL589">SUM(IF(DI589:DJ589&gt;=DI589, 1))</f>
        <v>2</v>
      </c>
      <c r="DM589" s="58">
        <f t="array" ref="DM589">SUM(IF(DI589:DJ589&gt;=DJ589, 1))</f>
        <v>1</v>
      </c>
      <c r="DO589" s="109">
        <f t="shared" si="237"/>
        <v>-7664474.1529585682</v>
      </c>
      <c r="DP589" s="109">
        <f t="shared" si="238"/>
        <v>0</v>
      </c>
      <c r="DR589" s="58">
        <f t="array" ref="DR589">SUM(IF(DO589:DP589&gt;=DO589, 1))</f>
        <v>2</v>
      </c>
      <c r="DS589" s="58">
        <f t="array" ref="DS589">SUM(IF(DO589:DP589&gt;=DP589, 1))</f>
        <v>1</v>
      </c>
      <c r="DU589" s="109">
        <f t="shared" si="239"/>
        <v>-20627811.405821089</v>
      </c>
      <c r="DV589" s="109">
        <f t="shared" si="240"/>
        <v>0</v>
      </c>
      <c r="DX589" s="58">
        <f t="array" ref="DX589">SUM(IF(DU589:DV589&gt;=DU589, 1))</f>
        <v>2</v>
      </c>
      <c r="DY589" s="58">
        <f t="array" ref="DY589">SUM(IF(DU589:DV589&gt;=DV589, 1))</f>
        <v>1</v>
      </c>
      <c r="EA589" s="109">
        <f t="shared" si="241"/>
        <v>-109660746.66453347</v>
      </c>
      <c r="EB589" s="109">
        <f t="shared" si="242"/>
        <v>0</v>
      </c>
      <c r="ED589" s="58">
        <f t="array" ref="ED589">SUM(IF(EA589:EB589&gt;=EA589, 1))</f>
        <v>2</v>
      </c>
      <c r="EE589" s="58">
        <f t="array" ref="EE589">SUM(IF(EA589:EB589&gt;=EB589, 1))</f>
        <v>1</v>
      </c>
    </row>
    <row r="590" spans="4:135" ht="12" customHeight="1" x14ac:dyDescent="0.25">
      <c r="D590" s="11">
        <v>574</v>
      </c>
      <c r="E590" s="72">
        <v>219.5410027344594</v>
      </c>
      <c r="F590" s="72">
        <v>209.14140602890632</v>
      </c>
      <c r="G590" s="73"/>
      <c r="H590" s="74">
        <v>5.8164394288896535</v>
      </c>
      <c r="I590" s="74">
        <v>5.833323267556267</v>
      </c>
      <c r="J590" s="73"/>
      <c r="K590" s="72">
        <v>236.28293019353961</v>
      </c>
      <c r="L590" s="72">
        <v>225.5980145458665</v>
      </c>
      <c r="M590" s="73"/>
      <c r="N590" s="74">
        <v>6.6940559051873771</v>
      </c>
      <c r="O590" s="74">
        <v>6.7083659207885091</v>
      </c>
      <c r="P590" s="73"/>
      <c r="Q590" s="72">
        <v>3026.3625879261544</v>
      </c>
      <c r="R590" s="72">
        <v>1405.2998149418418</v>
      </c>
      <c r="S590" s="73"/>
      <c r="T590" s="74">
        <v>4.7720781131221646</v>
      </c>
      <c r="U590" s="74">
        <v>4.9006550781477687</v>
      </c>
      <c r="V590" s="73"/>
      <c r="W590" s="72">
        <v>13044.86411589962</v>
      </c>
      <c r="X590" s="72">
        <v>12983.403209129234</v>
      </c>
      <c r="Y590" s="73"/>
      <c r="Z590" s="74">
        <v>3.074760399025239</v>
      </c>
      <c r="AA590" s="74">
        <v>3.1222146453646671</v>
      </c>
      <c r="AB590" s="73"/>
      <c r="AC590" s="72">
        <v>50073.22916491342</v>
      </c>
      <c r="AD590" s="72">
        <v>49508.527084723843</v>
      </c>
      <c r="AE590" s="73"/>
      <c r="AF590" s="74">
        <v>4.7617442591762194</v>
      </c>
      <c r="AG590" s="74">
        <v>4.8701905598980044</v>
      </c>
      <c r="AH590" s="73"/>
      <c r="AI590" s="72">
        <v>1124906.1920127308</v>
      </c>
      <c r="AJ590" s="72">
        <v>0</v>
      </c>
      <c r="AK590" s="73"/>
      <c r="AL590" s="74">
        <v>-1826.2953072858966</v>
      </c>
      <c r="AM590" s="74">
        <v>0</v>
      </c>
      <c r="AN590" s="73"/>
      <c r="AO590" s="72">
        <v>72229.685390502011</v>
      </c>
      <c r="AP590" s="72">
        <v>0</v>
      </c>
      <c r="AQ590" s="73"/>
      <c r="AR590" s="74">
        <v>-96.735244234523407</v>
      </c>
      <c r="AS590" s="74">
        <v>0</v>
      </c>
      <c r="AT590" s="73"/>
      <c r="AU590" s="72">
        <v>37588943.171592608</v>
      </c>
      <c r="AV590" s="72">
        <v>0</v>
      </c>
      <c r="AW590" s="73"/>
      <c r="AX590" s="74">
        <v>-2981.4220103431207</v>
      </c>
      <c r="AY590" s="74">
        <v>0</v>
      </c>
      <c r="AZ590" s="73"/>
      <c r="BA590" s="72">
        <v>561485.82663528889</v>
      </c>
      <c r="BB590" s="72">
        <v>0</v>
      </c>
      <c r="BC590" s="73"/>
      <c r="BD590" s="74">
        <v>-433.52576675759155</v>
      </c>
      <c r="BE590" s="74">
        <v>0</v>
      </c>
      <c r="BF590" s="73"/>
      <c r="BG590" s="72">
        <v>8914973.610484127</v>
      </c>
      <c r="BH590" s="72">
        <v>0</v>
      </c>
      <c r="BI590" s="73"/>
      <c r="BJ590" s="74">
        <v>-1712.0459495470138</v>
      </c>
      <c r="BK590" s="74">
        <v>0</v>
      </c>
      <c r="BL590" s="73"/>
      <c r="BM590" s="72">
        <v>48262538.486115247</v>
      </c>
      <c r="BN590" s="72">
        <v>0</v>
      </c>
      <c r="BO590" s="73"/>
      <c r="BP590" s="74">
        <v>-7050.0242781681463</v>
      </c>
      <c r="BQ590" s="74">
        <v>0</v>
      </c>
      <c r="BS590" s="109">
        <f t="shared" si="222"/>
        <v>116109.2475750586</v>
      </c>
      <c r="BT590" s="109">
        <f t="shared" si="223"/>
        <v>116457.32394509643</v>
      </c>
      <c r="BV590" s="58">
        <f t="array" ref="BV590">SUM(IF(BS590:BT590&gt;=BS590, 1))</f>
        <v>2</v>
      </c>
      <c r="BW590" s="58">
        <f t="array" ref="BW590">SUM(IF(BS590:BT590&gt;=BT590, 1))</f>
        <v>1</v>
      </c>
      <c r="BY590" s="109">
        <f t="shared" si="224"/>
        <v>133644.83517355402</v>
      </c>
      <c r="BZ590" s="109">
        <f t="shared" si="225"/>
        <v>133941.72040122433</v>
      </c>
      <c r="CB590" s="58">
        <f t="array" ref="CB590">SUM(IF(BY590:BZ590&gt;=BY590, 1))</f>
        <v>2</v>
      </c>
      <c r="CC590" s="58">
        <f t="array" ref="CC590">SUM(IF(BY590:BZ590&gt;=BZ590, 1))</f>
        <v>1</v>
      </c>
      <c r="CE590" s="109">
        <f t="shared" si="226"/>
        <v>92415.199674517135</v>
      </c>
      <c r="CF590" s="109">
        <f t="shared" si="227"/>
        <v>96607.801748013531</v>
      </c>
      <c r="CH590" s="58">
        <f t="array" ref="CH590">SUM(IF(CE590:CF590&gt;=CE590, 1))</f>
        <v>2</v>
      </c>
      <c r="CI590" s="58">
        <f t="array" ref="CI590">SUM(IF(CE590:CF590&gt;=CF590, 1))</f>
        <v>1</v>
      </c>
      <c r="CK590" s="109">
        <f t="shared" si="228"/>
        <v>48450.343864605165</v>
      </c>
      <c r="CL590" s="109">
        <f t="shared" si="229"/>
        <v>49460.889698164108</v>
      </c>
      <c r="CN590" s="58">
        <f t="array" ref="CN590">SUM(IF(CK590:CL590&gt;=CK590, 1))</f>
        <v>2</v>
      </c>
      <c r="CO590" s="58">
        <f t="array" ref="CO590">SUM(IF(CK590:CL590&gt;=CL590, 1))</f>
        <v>1</v>
      </c>
      <c r="CQ590" s="109" cm="1">
        <f t="array" ref="CQ590">AF590*WTP-AC590</f>
        <v>45161.656018610964</v>
      </c>
      <c r="CR590" s="109">
        <f t="shared" si="230"/>
        <v>47895.284113236252</v>
      </c>
      <c r="CT590" s="58">
        <f t="array" ref="CT590">SUM(IF(CQ590:CR590&gt;=CQ590, 1))</f>
        <v>2</v>
      </c>
      <c r="CU590" s="58">
        <f t="array" ref="CU590">SUM(IF(CQ590:CR590&gt;=CR590, 1))</f>
        <v>1</v>
      </c>
      <c r="CW590" s="109">
        <f t="shared" si="231"/>
        <v>-37650812.337730661</v>
      </c>
      <c r="CX590" s="109">
        <f t="shared" si="232"/>
        <v>0</v>
      </c>
      <c r="CZ590" s="58">
        <f t="array" ref="CZ590">SUM(IF(CW590:CX590&gt;=CW590, 1))</f>
        <v>2</v>
      </c>
      <c r="DA590" s="58">
        <f t="array" ref="DA590">SUM(IF(CW590:CX590&gt;=CX590, 1))</f>
        <v>1</v>
      </c>
      <c r="DC590" s="109">
        <f t="shared" si="233"/>
        <v>-2006934.5700809702</v>
      </c>
      <c r="DD590" s="109">
        <f t="shared" si="234"/>
        <v>0</v>
      </c>
      <c r="DF590" s="58">
        <f t="array" ref="DF590">SUM(IF(DC590:DD590&gt;=DC590, 1))</f>
        <v>2</v>
      </c>
      <c r="DG590" s="58">
        <f t="array" ref="DG590">SUM(IF(DC590:DD590&gt;=DD590, 1))</f>
        <v>1</v>
      </c>
      <c r="DI590" s="109">
        <f t="shared" si="235"/>
        <v>-97217383.378455013</v>
      </c>
      <c r="DJ590" s="109">
        <f t="shared" si="236"/>
        <v>0</v>
      </c>
      <c r="DL590" s="58">
        <f t="array" ref="DL590">SUM(IF(DI590:DJ590&gt;=DI590, 1))</f>
        <v>2</v>
      </c>
      <c r="DM590" s="58">
        <f t="array" ref="DM590">SUM(IF(DI590:DJ590&gt;=DJ590, 1))</f>
        <v>1</v>
      </c>
      <c r="DO590" s="109">
        <f t="shared" si="237"/>
        <v>-9232001.1617871188</v>
      </c>
      <c r="DP590" s="109">
        <f t="shared" si="238"/>
        <v>0</v>
      </c>
      <c r="DR590" s="58">
        <f t="array" ref="DR590">SUM(IF(DO590:DP590&gt;=DO590, 1))</f>
        <v>2</v>
      </c>
      <c r="DS590" s="58">
        <f t="array" ref="DS590">SUM(IF(DO590:DP590&gt;=DP590, 1))</f>
        <v>1</v>
      </c>
      <c r="DU590" s="109">
        <f t="shared" si="239"/>
        <v>-43155892.601424411</v>
      </c>
      <c r="DV590" s="109">
        <f t="shared" si="240"/>
        <v>0</v>
      </c>
      <c r="DX590" s="58">
        <f t="array" ref="DX590">SUM(IF(DU590:DV590&gt;=DU590, 1))</f>
        <v>2</v>
      </c>
      <c r="DY590" s="58">
        <f t="array" ref="DY590">SUM(IF(DU590:DV590&gt;=DV590, 1))</f>
        <v>1</v>
      </c>
      <c r="EA590" s="109">
        <f t="shared" si="241"/>
        <v>-189263024.04947817</v>
      </c>
      <c r="EB590" s="109">
        <f t="shared" si="242"/>
        <v>0</v>
      </c>
      <c r="ED590" s="58">
        <f t="array" ref="ED590">SUM(IF(EA590:EB590&gt;=EA590, 1))</f>
        <v>2</v>
      </c>
      <c r="EE590" s="58">
        <f t="array" ref="EE590">SUM(IF(EA590:EB590&gt;=EB590, 1))</f>
        <v>1</v>
      </c>
    </row>
    <row r="591" spans="4:135" ht="12" customHeight="1" x14ac:dyDescent="0.25">
      <c r="D591" s="11">
        <v>575</v>
      </c>
      <c r="E591" s="72">
        <v>224.69251396184805</v>
      </c>
      <c r="F591" s="72">
        <v>206.9903890949617</v>
      </c>
      <c r="G591" s="73"/>
      <c r="H591" s="74">
        <v>5.8681112640087836</v>
      </c>
      <c r="I591" s="74">
        <v>5.8835485045510918</v>
      </c>
      <c r="J591" s="73"/>
      <c r="K591" s="72">
        <v>241.33646613185061</v>
      </c>
      <c r="L591" s="72">
        <v>223.18641870244068</v>
      </c>
      <c r="M591" s="73"/>
      <c r="N591" s="74">
        <v>6.6709726142135821</v>
      </c>
      <c r="O591" s="74">
        <v>6.6838058457898795</v>
      </c>
      <c r="P591" s="73"/>
      <c r="Q591" s="72">
        <v>3343.6399237919281</v>
      </c>
      <c r="R591" s="72">
        <v>1548.8250237204297</v>
      </c>
      <c r="S591" s="73"/>
      <c r="T591" s="74">
        <v>4.8983124921226686</v>
      </c>
      <c r="U591" s="74">
        <v>5.0329797123639937</v>
      </c>
      <c r="V591" s="73"/>
      <c r="W591" s="72">
        <v>10956.075752442764</v>
      </c>
      <c r="X591" s="72">
        <v>10992.522425529682</v>
      </c>
      <c r="Y591" s="73"/>
      <c r="Z591" s="74">
        <v>3.2169089442328738</v>
      </c>
      <c r="AA591" s="74">
        <v>3.2763913323022145</v>
      </c>
      <c r="AB591" s="73"/>
      <c r="AC591" s="72">
        <v>48187.291263254388</v>
      </c>
      <c r="AD591" s="72">
        <v>48194.214964246057</v>
      </c>
      <c r="AE591" s="73"/>
      <c r="AF591" s="74">
        <v>4.4475947231976312</v>
      </c>
      <c r="AG591" s="74">
        <v>4.5200961074845099</v>
      </c>
      <c r="AH591" s="73"/>
      <c r="AI591" s="72">
        <v>1896456.828502832</v>
      </c>
      <c r="AJ591" s="72">
        <v>0</v>
      </c>
      <c r="AK591" s="73"/>
      <c r="AL591" s="74">
        <v>-1653.8161638699696</v>
      </c>
      <c r="AM591" s="74">
        <v>0</v>
      </c>
      <c r="AN591" s="73"/>
      <c r="AO591" s="72">
        <v>127290.53029433839</v>
      </c>
      <c r="AP591" s="72">
        <v>0</v>
      </c>
      <c r="AQ591" s="73"/>
      <c r="AR591" s="74">
        <v>-90.002456417274729</v>
      </c>
      <c r="AS591" s="74">
        <v>0</v>
      </c>
      <c r="AT591" s="73"/>
      <c r="AU591" s="72">
        <v>42272389.709512599</v>
      </c>
      <c r="AV591" s="72">
        <v>0</v>
      </c>
      <c r="AW591" s="73"/>
      <c r="AX591" s="74">
        <v>-3171.7505882702894</v>
      </c>
      <c r="AY591" s="74">
        <v>0</v>
      </c>
      <c r="AZ591" s="73"/>
      <c r="BA591" s="72">
        <v>-327305.17431605316</v>
      </c>
      <c r="BB591" s="72">
        <v>0</v>
      </c>
      <c r="BC591" s="73"/>
      <c r="BD591" s="74">
        <v>-534.17477500186999</v>
      </c>
      <c r="BE591" s="74">
        <v>0</v>
      </c>
      <c r="BF591" s="73"/>
      <c r="BG591" s="72">
        <v>-110843.8031292056</v>
      </c>
      <c r="BH591" s="72">
        <v>0</v>
      </c>
      <c r="BI591" s="73"/>
      <c r="BJ591" s="74">
        <v>-1160.6984727040847</v>
      </c>
      <c r="BK591" s="74">
        <v>0</v>
      </c>
      <c r="BL591" s="73"/>
      <c r="BM591" s="72">
        <v>43857988.090864509</v>
      </c>
      <c r="BN591" s="72">
        <v>0</v>
      </c>
      <c r="BO591" s="73"/>
      <c r="BP591" s="74">
        <v>-6610.4424562634886</v>
      </c>
      <c r="BQ591" s="74">
        <v>0</v>
      </c>
      <c r="BS591" s="109">
        <f t="shared" si="222"/>
        <v>117137.53276621382</v>
      </c>
      <c r="BT591" s="109">
        <f t="shared" si="223"/>
        <v>117463.97970192687</v>
      </c>
      <c r="BV591" s="58">
        <f t="array" ref="BV591">SUM(IF(BS591:BT591&gt;=BS591, 1))</f>
        <v>2</v>
      </c>
      <c r="BW591" s="58">
        <f t="array" ref="BW591">SUM(IF(BS591:BT591&gt;=BT591, 1))</f>
        <v>1</v>
      </c>
      <c r="BY591" s="109">
        <f t="shared" si="224"/>
        <v>133178.11581813981</v>
      </c>
      <c r="BZ591" s="109">
        <f t="shared" si="225"/>
        <v>133452.93049709513</v>
      </c>
      <c r="CB591" s="58">
        <f t="array" ref="CB591">SUM(IF(BY591:BZ591&gt;=BY591, 1))</f>
        <v>2</v>
      </c>
      <c r="CC591" s="58">
        <f t="array" ref="CC591">SUM(IF(BY591:BZ591&gt;=BZ591, 1))</f>
        <v>1</v>
      </c>
      <c r="CE591" s="109">
        <f t="shared" si="226"/>
        <v>94622.609918661445</v>
      </c>
      <c r="CF591" s="109">
        <f t="shared" si="227"/>
        <v>99110.769223559444</v>
      </c>
      <c r="CH591" s="58">
        <f t="array" ref="CH591">SUM(IF(CE591:CF591&gt;=CE591, 1))</f>
        <v>2</v>
      </c>
      <c r="CI591" s="58">
        <f t="array" ref="CI591">SUM(IF(CE591:CF591&gt;=CF591, 1))</f>
        <v>1</v>
      </c>
      <c r="CK591" s="109">
        <f t="shared" si="228"/>
        <v>53382.103132214717</v>
      </c>
      <c r="CL591" s="109">
        <f t="shared" si="229"/>
        <v>54535.304220514605</v>
      </c>
      <c r="CN591" s="58">
        <f t="array" ref="CN591">SUM(IF(CK591:CL591&gt;=CK591, 1))</f>
        <v>2</v>
      </c>
      <c r="CO591" s="58">
        <f t="array" ref="CO591">SUM(IF(CK591:CL591&gt;=CL591, 1))</f>
        <v>1</v>
      </c>
      <c r="CQ591" s="109" cm="1">
        <f t="array" ref="CQ591">AF591*WTP-AC591</f>
        <v>40764.603200698228</v>
      </c>
      <c r="CR591" s="109">
        <f t="shared" si="230"/>
        <v>42207.707185444146</v>
      </c>
      <c r="CT591" s="58">
        <f t="array" ref="CT591">SUM(IF(CQ591:CR591&gt;=CQ591, 1))</f>
        <v>2</v>
      </c>
      <c r="CU591" s="58">
        <f t="array" ref="CU591">SUM(IF(CQ591:CR591&gt;=CR591, 1))</f>
        <v>1</v>
      </c>
      <c r="CW591" s="109">
        <f t="shared" si="231"/>
        <v>-34972780.105902225</v>
      </c>
      <c r="CX591" s="109">
        <f t="shared" si="232"/>
        <v>0</v>
      </c>
      <c r="CZ591" s="58">
        <f t="array" ref="CZ591">SUM(IF(CW591:CX591&gt;=CW591, 1))</f>
        <v>2</v>
      </c>
      <c r="DA591" s="58">
        <f t="array" ref="DA591">SUM(IF(CW591:CX591&gt;=CX591, 1))</f>
        <v>1</v>
      </c>
      <c r="DC591" s="109">
        <f t="shared" si="233"/>
        <v>-1927339.6586398331</v>
      </c>
      <c r="DD591" s="109">
        <f t="shared" si="234"/>
        <v>0</v>
      </c>
      <c r="DF591" s="58">
        <f t="array" ref="DF591">SUM(IF(DC591:DD591&gt;=DC591, 1))</f>
        <v>2</v>
      </c>
      <c r="DG591" s="58">
        <f t="array" ref="DG591">SUM(IF(DC591:DD591&gt;=DD591, 1))</f>
        <v>1</v>
      </c>
      <c r="DI591" s="109">
        <f t="shared" si="235"/>
        <v>-105707401.4749184</v>
      </c>
      <c r="DJ591" s="109">
        <f t="shared" si="236"/>
        <v>0</v>
      </c>
      <c r="DL591" s="58">
        <f t="array" ref="DL591">SUM(IF(DI591:DJ591&gt;=DI591, 1))</f>
        <v>2</v>
      </c>
      <c r="DM591" s="58">
        <f t="array" ref="DM591">SUM(IF(DI591:DJ591&gt;=DJ591, 1))</f>
        <v>1</v>
      </c>
      <c r="DO591" s="109">
        <f t="shared" si="237"/>
        <v>-10356190.325721348</v>
      </c>
      <c r="DP591" s="109">
        <f t="shared" si="238"/>
        <v>0</v>
      </c>
      <c r="DR591" s="58">
        <f t="array" ref="DR591">SUM(IF(DO591:DP591&gt;=DO591, 1))</f>
        <v>2</v>
      </c>
      <c r="DS591" s="58">
        <f t="array" ref="DS591">SUM(IF(DO591:DP591&gt;=DP591, 1))</f>
        <v>1</v>
      </c>
      <c r="DU591" s="109">
        <f t="shared" si="239"/>
        <v>-23103125.650952484</v>
      </c>
      <c r="DV591" s="109">
        <f t="shared" si="240"/>
        <v>0</v>
      </c>
      <c r="DX591" s="58">
        <f t="array" ref="DX591">SUM(IF(DU591:DV591&gt;=DU591, 1))</f>
        <v>2</v>
      </c>
      <c r="DY591" s="58">
        <f t="array" ref="DY591">SUM(IF(DU591:DV591&gt;=DV591, 1))</f>
        <v>1</v>
      </c>
      <c r="EA591" s="109">
        <f t="shared" si="241"/>
        <v>-176066837.21613428</v>
      </c>
      <c r="EB591" s="109">
        <f t="shared" si="242"/>
        <v>0</v>
      </c>
      <c r="ED591" s="58">
        <f t="array" ref="ED591">SUM(IF(EA591:EB591&gt;=EA591, 1))</f>
        <v>2</v>
      </c>
      <c r="EE591" s="58">
        <f t="array" ref="EE591">SUM(IF(EA591:EB591&gt;=EB591, 1))</f>
        <v>1</v>
      </c>
    </row>
    <row r="592" spans="4:135" ht="12" customHeight="1" x14ac:dyDescent="0.25">
      <c r="D592" s="11">
        <v>576</v>
      </c>
      <c r="E592" s="72">
        <v>261.44605686433056</v>
      </c>
      <c r="F592" s="72">
        <v>231.71897817006186</v>
      </c>
      <c r="G592" s="73"/>
      <c r="H592" s="74">
        <v>5.8320225031028787</v>
      </c>
      <c r="I592" s="74">
        <v>5.8449497469945291</v>
      </c>
      <c r="J592" s="73"/>
      <c r="K592" s="72">
        <v>280.21329184409319</v>
      </c>
      <c r="L592" s="72">
        <v>249.76507536867385</v>
      </c>
      <c r="M592" s="73"/>
      <c r="N592" s="74">
        <v>6.664473707442327</v>
      </c>
      <c r="O592" s="74">
        <v>6.6753829081366574</v>
      </c>
      <c r="P592" s="73"/>
      <c r="Q592" s="72">
        <v>1969.4812214805356</v>
      </c>
      <c r="R592" s="72">
        <v>1621.0537391133994</v>
      </c>
      <c r="S592" s="73"/>
      <c r="T592" s="74">
        <v>5.0358984691889654</v>
      </c>
      <c r="U592" s="74">
        <v>5.0943108784095239</v>
      </c>
      <c r="V592" s="73"/>
      <c r="W592" s="72">
        <v>9784.8972813908913</v>
      </c>
      <c r="X592" s="72">
        <v>9847.6866068931413</v>
      </c>
      <c r="Y592" s="73"/>
      <c r="Z592" s="74">
        <v>2.8959302659411166</v>
      </c>
      <c r="AA592" s="74">
        <v>2.9564070363027044</v>
      </c>
      <c r="AB592" s="73"/>
      <c r="AC592" s="72">
        <v>50659.695683986596</v>
      </c>
      <c r="AD592" s="72">
        <v>50894.440289278267</v>
      </c>
      <c r="AE592" s="73"/>
      <c r="AF592" s="74">
        <v>3.6217650746396481</v>
      </c>
      <c r="AG592" s="74">
        <v>3.6329859485540577</v>
      </c>
      <c r="AH592" s="73"/>
      <c r="AI592" s="72">
        <v>3173656.0173055916</v>
      </c>
      <c r="AJ592" s="72">
        <v>0</v>
      </c>
      <c r="AK592" s="73"/>
      <c r="AL592" s="74">
        <v>-1380.1095555286731</v>
      </c>
      <c r="AM592" s="74">
        <v>0</v>
      </c>
      <c r="AN592" s="73"/>
      <c r="AO592" s="72">
        <v>212143.20843067556</v>
      </c>
      <c r="AP592" s="72">
        <v>0</v>
      </c>
      <c r="AQ592" s="73"/>
      <c r="AR592" s="74">
        <v>-76.008157606791812</v>
      </c>
      <c r="AS592" s="74">
        <v>0</v>
      </c>
      <c r="AT592" s="73"/>
      <c r="AU592" s="72">
        <v>8044054.2455238262</v>
      </c>
      <c r="AV592" s="72">
        <v>0</v>
      </c>
      <c r="AW592" s="73"/>
      <c r="AX592" s="74">
        <v>-1348.5520292191134</v>
      </c>
      <c r="AY592" s="74">
        <v>0</v>
      </c>
      <c r="AZ592" s="73"/>
      <c r="BA592" s="72">
        <v>-559932.56144345854</v>
      </c>
      <c r="BB592" s="72">
        <v>0</v>
      </c>
      <c r="BC592" s="73"/>
      <c r="BD592" s="74">
        <v>-539.31002866368203</v>
      </c>
      <c r="BE592" s="74">
        <v>0</v>
      </c>
      <c r="BF592" s="73"/>
      <c r="BG592" s="72">
        <v>-3606303.3113105195</v>
      </c>
      <c r="BH592" s="72">
        <v>0</v>
      </c>
      <c r="BI592" s="73"/>
      <c r="BJ592" s="74">
        <v>-172.38255466213519</v>
      </c>
      <c r="BK592" s="74">
        <v>0</v>
      </c>
      <c r="BL592" s="73"/>
      <c r="BM592" s="72">
        <v>7263617.5985061144</v>
      </c>
      <c r="BN592" s="72">
        <v>0</v>
      </c>
      <c r="BO592" s="73"/>
      <c r="BP592" s="74">
        <v>-3516.3623256803953</v>
      </c>
      <c r="BQ592" s="74">
        <v>0</v>
      </c>
      <c r="BS592" s="109">
        <f t="shared" si="222"/>
        <v>116379.00400519324</v>
      </c>
      <c r="BT592" s="109">
        <f t="shared" si="223"/>
        <v>116667.27596172053</v>
      </c>
      <c r="BV592" s="58">
        <f t="array" ref="BV592">SUM(IF(BS592:BT592&gt;=BS592, 1))</f>
        <v>2</v>
      </c>
      <c r="BW592" s="58">
        <f t="array" ref="BW592">SUM(IF(BS592:BT592&gt;=BT592, 1))</f>
        <v>1</v>
      </c>
      <c r="BY592" s="109">
        <f t="shared" si="224"/>
        <v>133009.26085700246</v>
      </c>
      <c r="BZ592" s="109">
        <f t="shared" si="225"/>
        <v>133257.8930873645</v>
      </c>
      <c r="CB592" s="58">
        <f t="array" ref="CB592">SUM(IF(BY592:BZ592&gt;=BY592, 1))</f>
        <v>2</v>
      </c>
      <c r="CC592" s="58">
        <f t="array" ref="CC592">SUM(IF(BY592:BZ592&gt;=BZ592, 1))</f>
        <v>1</v>
      </c>
      <c r="CE592" s="109">
        <f t="shared" si="226"/>
        <v>98748.48816229876</v>
      </c>
      <c r="CF592" s="109">
        <f t="shared" si="227"/>
        <v>100265.16382907708</v>
      </c>
      <c r="CH592" s="58">
        <f t="array" ref="CH592">SUM(IF(CE592:CF592&gt;=CE592, 1))</f>
        <v>2</v>
      </c>
      <c r="CI592" s="58">
        <f t="array" ref="CI592">SUM(IF(CE592:CF592&gt;=CF592, 1))</f>
        <v>1</v>
      </c>
      <c r="CK592" s="109">
        <f t="shared" si="228"/>
        <v>48133.708037431439</v>
      </c>
      <c r="CL592" s="109">
        <f t="shared" si="229"/>
        <v>49280.454119160946</v>
      </c>
      <c r="CN592" s="58">
        <f t="array" ref="CN592">SUM(IF(CK592:CL592&gt;=CK592, 1))</f>
        <v>2</v>
      </c>
      <c r="CO592" s="58">
        <f t="array" ref="CO592">SUM(IF(CK592:CL592&gt;=CL592, 1))</f>
        <v>1</v>
      </c>
      <c r="CQ592" s="109" cm="1">
        <f t="array" ref="CQ592">AF592*WTP-AC592</f>
        <v>21775.605808806366</v>
      </c>
      <c r="CR592" s="109">
        <f t="shared" si="230"/>
        <v>21765.278681802884</v>
      </c>
      <c r="CT592" s="58">
        <f t="array" ref="CT592">SUM(IF(CQ592:CR592&gt;=CQ592, 1))</f>
        <v>1</v>
      </c>
      <c r="CU592" s="58">
        <f t="array" ref="CU592">SUM(IF(CQ592:CR592&gt;=CR592, 1))</f>
        <v>2</v>
      </c>
      <c r="CW592" s="109">
        <f t="shared" si="231"/>
        <v>-30775847.127879053</v>
      </c>
      <c r="CX592" s="109">
        <f t="shared" si="232"/>
        <v>0</v>
      </c>
      <c r="CZ592" s="58">
        <f t="array" ref="CZ592">SUM(IF(CW592:CX592&gt;=CW592, 1))</f>
        <v>2</v>
      </c>
      <c r="DA592" s="58">
        <f t="array" ref="DA592">SUM(IF(CW592:CX592&gt;=CX592, 1))</f>
        <v>1</v>
      </c>
      <c r="DC592" s="109">
        <f t="shared" si="233"/>
        <v>-1732306.3605665118</v>
      </c>
      <c r="DD592" s="109">
        <f t="shared" si="234"/>
        <v>0</v>
      </c>
      <c r="DF592" s="58">
        <f t="array" ref="DF592">SUM(IF(DC592:DD592&gt;=DC592, 1))</f>
        <v>2</v>
      </c>
      <c r="DG592" s="58">
        <f t="array" ref="DG592">SUM(IF(DC592:DD592&gt;=DD592, 1))</f>
        <v>1</v>
      </c>
      <c r="DI592" s="109">
        <f t="shared" si="235"/>
        <v>-35015094.829906091</v>
      </c>
      <c r="DJ592" s="109">
        <f t="shared" si="236"/>
        <v>0</v>
      </c>
      <c r="DL592" s="58">
        <f t="array" ref="DL592">SUM(IF(DI592:DJ592&gt;=DI592, 1))</f>
        <v>2</v>
      </c>
      <c r="DM592" s="58">
        <f t="array" ref="DM592">SUM(IF(DI592:DJ592&gt;=DJ592, 1))</f>
        <v>1</v>
      </c>
      <c r="DO592" s="109">
        <f t="shared" si="237"/>
        <v>-10226268.011830181</v>
      </c>
      <c r="DP592" s="109">
        <f t="shared" si="238"/>
        <v>0</v>
      </c>
      <c r="DR592" s="58">
        <f t="array" ref="DR592">SUM(IF(DO592:DP592&gt;=DO592, 1))</f>
        <v>2</v>
      </c>
      <c r="DS592" s="58">
        <f t="array" ref="DS592">SUM(IF(DO592:DP592&gt;=DP592, 1))</f>
        <v>1</v>
      </c>
      <c r="DU592" s="109">
        <f t="shared" si="239"/>
        <v>158652.21806781553</v>
      </c>
      <c r="DV592" s="109">
        <f t="shared" si="240"/>
        <v>0</v>
      </c>
      <c r="DX592" s="58">
        <f t="array" ref="DX592">SUM(IF(DU592:DV592&gt;=DU592, 1))</f>
        <v>1</v>
      </c>
      <c r="DY592" s="58">
        <f t="array" ref="DY592">SUM(IF(DU592:DV592&gt;=DV592, 1))</f>
        <v>2</v>
      </c>
      <c r="EA592" s="109">
        <f t="shared" si="241"/>
        <v>-77590864.112114012</v>
      </c>
      <c r="EB592" s="109">
        <f t="shared" si="242"/>
        <v>0</v>
      </c>
      <c r="ED592" s="58">
        <f t="array" ref="ED592">SUM(IF(EA592:EB592&gt;=EA592, 1))</f>
        <v>2</v>
      </c>
      <c r="EE592" s="58">
        <f t="array" ref="EE592">SUM(IF(EA592:EB592&gt;=EB592, 1))</f>
        <v>1</v>
      </c>
    </row>
    <row r="593" spans="4:135" ht="12" customHeight="1" x14ac:dyDescent="0.25">
      <c r="D593" s="11">
        <v>577</v>
      </c>
      <c r="E593" s="72">
        <v>302.97110496703243</v>
      </c>
      <c r="F593" s="72">
        <v>283.13008685799571</v>
      </c>
      <c r="G593" s="73"/>
      <c r="H593" s="74">
        <v>5.8661855275126165</v>
      </c>
      <c r="I593" s="74">
        <v>5.882949519711282</v>
      </c>
      <c r="J593" s="73"/>
      <c r="K593" s="72">
        <v>325.71223278340887</v>
      </c>
      <c r="L593" s="72">
        <v>305.37748253500837</v>
      </c>
      <c r="M593" s="73"/>
      <c r="N593" s="74">
        <v>6.6644751739571335</v>
      </c>
      <c r="O593" s="74">
        <v>6.6789562016332606</v>
      </c>
      <c r="P593" s="73"/>
      <c r="Q593" s="72">
        <v>2044.9544277808245</v>
      </c>
      <c r="R593" s="72">
        <v>1089.0105958302199</v>
      </c>
      <c r="S593" s="73"/>
      <c r="T593" s="74">
        <v>4.7262920700155657</v>
      </c>
      <c r="U593" s="74">
        <v>4.8292721457666508</v>
      </c>
      <c r="V593" s="73"/>
      <c r="W593" s="72">
        <v>12940.917686658091</v>
      </c>
      <c r="X593" s="72">
        <v>12854.322377844295</v>
      </c>
      <c r="Y593" s="73"/>
      <c r="Z593" s="74">
        <v>3.181356247513246</v>
      </c>
      <c r="AA593" s="74">
        <v>3.2361258698955324</v>
      </c>
      <c r="AB593" s="73"/>
      <c r="AC593" s="72">
        <v>51276.522648409817</v>
      </c>
      <c r="AD593" s="72">
        <v>50922.736666839221</v>
      </c>
      <c r="AE593" s="73"/>
      <c r="AF593" s="74">
        <v>4.8483757277312192</v>
      </c>
      <c r="AG593" s="74">
        <v>4.9732557842140741</v>
      </c>
      <c r="AH593" s="73"/>
      <c r="AI593" s="72">
        <v>2135371.6875153044</v>
      </c>
      <c r="AJ593" s="72">
        <v>0</v>
      </c>
      <c r="AK593" s="73"/>
      <c r="AL593" s="74">
        <v>-1804.2095478181975</v>
      </c>
      <c r="AM593" s="74">
        <v>0</v>
      </c>
      <c r="AN593" s="73"/>
      <c r="AO593" s="72">
        <v>138734.98745512124</v>
      </c>
      <c r="AP593" s="72">
        <v>0</v>
      </c>
      <c r="AQ593" s="73"/>
      <c r="AR593" s="74">
        <v>-98.797633039175807</v>
      </c>
      <c r="AS593" s="74">
        <v>0</v>
      </c>
      <c r="AT593" s="73"/>
      <c r="AU593" s="72">
        <v>22335957.376256667</v>
      </c>
      <c r="AV593" s="72">
        <v>0</v>
      </c>
      <c r="AW593" s="73"/>
      <c r="AX593" s="74">
        <v>-2406.1649918138405</v>
      </c>
      <c r="AY593" s="74">
        <v>0</v>
      </c>
      <c r="AZ593" s="73"/>
      <c r="BA593" s="72">
        <v>785108.93435114715</v>
      </c>
      <c r="BB593" s="72">
        <v>0</v>
      </c>
      <c r="BC593" s="73"/>
      <c r="BD593" s="74">
        <v>-496.56408011470887</v>
      </c>
      <c r="BE593" s="74">
        <v>0</v>
      </c>
      <c r="BF593" s="73"/>
      <c r="BG593" s="72">
        <v>5638697.2548796069</v>
      </c>
      <c r="BH593" s="72">
        <v>0</v>
      </c>
      <c r="BI593" s="73"/>
      <c r="BJ593" s="74">
        <v>-1990.3582062608466</v>
      </c>
      <c r="BK593" s="74">
        <v>0</v>
      </c>
      <c r="BL593" s="73"/>
      <c r="BM593" s="72">
        <v>31033870.240457848</v>
      </c>
      <c r="BN593" s="72">
        <v>0</v>
      </c>
      <c r="BO593" s="73"/>
      <c r="BP593" s="74">
        <v>-6796.0944590467698</v>
      </c>
      <c r="BQ593" s="74">
        <v>0</v>
      </c>
      <c r="BS593" s="109">
        <f t="shared" si="222"/>
        <v>117020.7394452853</v>
      </c>
      <c r="BT593" s="109">
        <f t="shared" si="223"/>
        <v>117375.86030736763</v>
      </c>
      <c r="BV593" s="58">
        <f t="array" ref="BV593">SUM(IF(BS593:BT593&gt;=BS593, 1))</f>
        <v>2</v>
      </c>
      <c r="BW593" s="58">
        <f t="array" ref="BW593">SUM(IF(BS593:BT593&gt;=BT593, 1))</f>
        <v>1</v>
      </c>
      <c r="BY593" s="109">
        <f t="shared" si="224"/>
        <v>132963.79124635927</v>
      </c>
      <c r="BZ593" s="109">
        <f t="shared" si="225"/>
        <v>133273.74655013022</v>
      </c>
      <c r="CB593" s="58">
        <f t="array" ref="CB593">SUM(IF(BY593:BZ593&gt;=BY593, 1))</f>
        <v>2</v>
      </c>
      <c r="CC593" s="58">
        <f t="array" ref="CC593">SUM(IF(BY593:BZ593&gt;=BZ593, 1))</f>
        <v>1</v>
      </c>
      <c r="CE593" s="109">
        <f t="shared" si="226"/>
        <v>92480.886972530483</v>
      </c>
      <c r="CF593" s="109">
        <f t="shared" si="227"/>
        <v>95496.432319502797</v>
      </c>
      <c r="CH593" s="58">
        <f t="array" ref="CH593">SUM(IF(CE593:CF593&gt;=CE593, 1))</f>
        <v>2</v>
      </c>
      <c r="CI593" s="58">
        <f t="array" ref="CI593">SUM(IF(CE593:CF593&gt;=CF593, 1))</f>
        <v>1</v>
      </c>
      <c r="CK593" s="109">
        <f t="shared" si="228"/>
        <v>50686.207263606833</v>
      </c>
      <c r="CL593" s="109">
        <f t="shared" si="229"/>
        <v>51868.195020066356</v>
      </c>
      <c r="CN593" s="58">
        <f t="array" ref="CN593">SUM(IF(CK593:CL593&gt;=CK593, 1))</f>
        <v>2</v>
      </c>
      <c r="CO593" s="58">
        <f t="array" ref="CO593">SUM(IF(CK593:CL593&gt;=CL593, 1))</f>
        <v>1</v>
      </c>
      <c r="CQ593" s="109" cm="1">
        <f t="array" ref="CQ593">AF593*WTP-AC593</f>
        <v>45690.991906214571</v>
      </c>
      <c r="CR593" s="109">
        <f t="shared" si="230"/>
        <v>48542.379017442261</v>
      </c>
      <c r="CT593" s="58">
        <f t="array" ref="CT593">SUM(IF(CQ593:CR593&gt;=CQ593, 1))</f>
        <v>2</v>
      </c>
      <c r="CU593" s="58">
        <f t="array" ref="CU593">SUM(IF(CQ593:CR593&gt;=CR593, 1))</f>
        <v>1</v>
      </c>
      <c r="CW593" s="109">
        <f t="shared" si="231"/>
        <v>-38219562.643879257</v>
      </c>
      <c r="CX593" s="109">
        <f t="shared" si="232"/>
        <v>0</v>
      </c>
      <c r="CZ593" s="58">
        <f t="array" ref="CZ593">SUM(IF(CW593:CX593&gt;=CW593, 1))</f>
        <v>2</v>
      </c>
      <c r="DA593" s="58">
        <f t="array" ref="DA593">SUM(IF(CW593:CX593&gt;=CX593, 1))</f>
        <v>1</v>
      </c>
      <c r="DC593" s="109">
        <f t="shared" si="233"/>
        <v>-2114687.6482386375</v>
      </c>
      <c r="DD593" s="109">
        <f t="shared" si="234"/>
        <v>0</v>
      </c>
      <c r="DF593" s="58">
        <f t="array" ref="DF593">SUM(IF(DC593:DD593&gt;=DC593, 1))</f>
        <v>2</v>
      </c>
      <c r="DG593" s="58">
        <f t="array" ref="DG593">SUM(IF(DC593:DD593&gt;=DD593, 1))</f>
        <v>1</v>
      </c>
      <c r="DI593" s="109">
        <f t="shared" si="235"/>
        <v>-70459257.212533474</v>
      </c>
      <c r="DJ593" s="109">
        <f t="shared" si="236"/>
        <v>0</v>
      </c>
      <c r="DL593" s="58">
        <f t="array" ref="DL593">SUM(IF(DI593:DJ593&gt;=DI593, 1))</f>
        <v>2</v>
      </c>
      <c r="DM593" s="58">
        <f t="array" ref="DM593">SUM(IF(DI593:DJ593&gt;=DJ593, 1))</f>
        <v>1</v>
      </c>
      <c r="DO593" s="109">
        <f t="shared" si="237"/>
        <v>-10716390.536645323</v>
      </c>
      <c r="DP593" s="109">
        <f t="shared" si="238"/>
        <v>0</v>
      </c>
      <c r="DR593" s="58">
        <f t="array" ref="DR593">SUM(IF(DO593:DP593&gt;=DO593, 1))</f>
        <v>2</v>
      </c>
      <c r="DS593" s="58">
        <f t="array" ref="DS593">SUM(IF(DO593:DP593&gt;=DP593, 1))</f>
        <v>1</v>
      </c>
      <c r="DU593" s="109">
        <f t="shared" si="239"/>
        <v>-45445861.38009654</v>
      </c>
      <c r="DV593" s="109">
        <f t="shared" si="240"/>
        <v>0</v>
      </c>
      <c r="DX593" s="58">
        <f t="array" ref="DX593">SUM(IF(DU593:DV593&gt;=DU593, 1))</f>
        <v>2</v>
      </c>
      <c r="DY593" s="58">
        <f t="array" ref="DY593">SUM(IF(DU593:DV593&gt;=DV593, 1))</f>
        <v>1</v>
      </c>
      <c r="EA593" s="109">
        <f t="shared" si="241"/>
        <v>-166955759.42139322</v>
      </c>
      <c r="EB593" s="109">
        <f t="shared" si="242"/>
        <v>0</v>
      </c>
      <c r="ED593" s="58">
        <f t="array" ref="ED593">SUM(IF(EA593:EB593&gt;=EA593, 1))</f>
        <v>2</v>
      </c>
      <c r="EE593" s="58">
        <f t="array" ref="EE593">SUM(IF(EA593:EB593&gt;=EB593, 1))</f>
        <v>1</v>
      </c>
    </row>
    <row r="594" spans="4:135" ht="12" customHeight="1" x14ac:dyDescent="0.25">
      <c r="D594" s="11">
        <v>578</v>
      </c>
      <c r="E594" s="72">
        <v>343.41703102817416</v>
      </c>
      <c r="F594" s="72">
        <v>324.26658926827605</v>
      </c>
      <c r="G594" s="73"/>
      <c r="H594" s="74">
        <v>5.8049225764105215</v>
      </c>
      <c r="I594" s="74">
        <v>5.8227271571355699</v>
      </c>
      <c r="J594" s="73"/>
      <c r="K594" s="72">
        <v>369.28905105592048</v>
      </c>
      <c r="L594" s="72">
        <v>349.63767627898392</v>
      </c>
      <c r="M594" s="73"/>
      <c r="N594" s="74">
        <v>6.6796815590005165</v>
      </c>
      <c r="O594" s="74">
        <v>6.6953752462622491</v>
      </c>
      <c r="P594" s="73"/>
      <c r="Q594" s="72">
        <v>1659.901446561774</v>
      </c>
      <c r="R594" s="72">
        <v>1044.1254307694728</v>
      </c>
      <c r="S594" s="73"/>
      <c r="T594" s="74">
        <v>4.8756334808875978</v>
      </c>
      <c r="U594" s="74">
        <v>4.9366296258951667</v>
      </c>
      <c r="V594" s="73"/>
      <c r="W594" s="72">
        <v>16161.952312422021</v>
      </c>
      <c r="X594" s="72">
        <v>16151.274925696202</v>
      </c>
      <c r="Y594" s="73"/>
      <c r="Z594" s="74">
        <v>2.9283325519791794</v>
      </c>
      <c r="AA594" s="74">
        <v>2.9814290105786081</v>
      </c>
      <c r="AB594" s="73"/>
      <c r="AC594" s="72">
        <v>49888.412109362274</v>
      </c>
      <c r="AD594" s="72">
        <v>49742.756318730935</v>
      </c>
      <c r="AE594" s="73"/>
      <c r="AF594" s="74">
        <v>4.9191657984539692</v>
      </c>
      <c r="AG594" s="74">
        <v>5.0644658019686224</v>
      </c>
      <c r="AH594" s="73"/>
      <c r="AI594" s="72">
        <v>2066309.3651805746</v>
      </c>
      <c r="AJ594" s="72">
        <v>0</v>
      </c>
      <c r="AK594" s="73"/>
      <c r="AL594" s="74">
        <v>-1921.0925970554131</v>
      </c>
      <c r="AM594" s="74">
        <v>0</v>
      </c>
      <c r="AN594" s="73"/>
      <c r="AO594" s="72">
        <v>129169.33594270029</v>
      </c>
      <c r="AP594" s="72">
        <v>0</v>
      </c>
      <c r="AQ594" s="73"/>
      <c r="AR594" s="74">
        <v>-103.15528481343344</v>
      </c>
      <c r="AS594" s="74">
        <v>0</v>
      </c>
      <c r="AT594" s="73"/>
      <c r="AU594" s="72">
        <v>14271314.392295878</v>
      </c>
      <c r="AV594" s="72">
        <v>0</v>
      </c>
      <c r="AW594" s="73"/>
      <c r="AX594" s="74">
        <v>-1413.6555172598648</v>
      </c>
      <c r="AY594" s="74">
        <v>0</v>
      </c>
      <c r="AZ594" s="73"/>
      <c r="BA594" s="72">
        <v>92470.89203500851</v>
      </c>
      <c r="BB594" s="72">
        <v>0</v>
      </c>
      <c r="BC594" s="73"/>
      <c r="BD594" s="74">
        <v>-459.83881793061926</v>
      </c>
      <c r="BE594" s="74">
        <v>0</v>
      </c>
      <c r="BF594" s="73"/>
      <c r="BG594" s="72">
        <v>2300436.297056112</v>
      </c>
      <c r="BH594" s="72">
        <v>0</v>
      </c>
      <c r="BI594" s="73"/>
      <c r="BJ594" s="74">
        <v>-2294.8171205461927</v>
      </c>
      <c r="BK594" s="74">
        <v>0</v>
      </c>
      <c r="BL594" s="73"/>
      <c r="BM594" s="72">
        <v>18859700.282510273</v>
      </c>
      <c r="BN594" s="72">
        <v>0</v>
      </c>
      <c r="BO594" s="73"/>
      <c r="BP594" s="74">
        <v>-6192.559337605524</v>
      </c>
      <c r="BQ594" s="74">
        <v>0</v>
      </c>
      <c r="BS594" s="109">
        <f t="shared" ref="BS594:BS657" si="243">H594*WTP-E594</f>
        <v>115755.03449718225</v>
      </c>
      <c r="BT594" s="109">
        <f t="shared" ref="BT594:BT657" si="244">I594*WTP-F594</f>
        <v>116130.27655344312</v>
      </c>
      <c r="BV594" s="58">
        <f t="array" ref="BV594">SUM(IF(BS594:BT594&gt;=BS594, 1))</f>
        <v>2</v>
      </c>
      <c r="BW594" s="58">
        <f t="array" ref="BW594">SUM(IF(BS594:BT594&gt;=BT594, 1))</f>
        <v>1</v>
      </c>
      <c r="BY594" s="109">
        <f t="shared" ref="BY594:BY657" si="245">N594*WTP-K594</f>
        <v>133224.34212895442</v>
      </c>
      <c r="BZ594" s="109">
        <f t="shared" ref="BZ594:BZ657" si="246">O594*WTP-L594</f>
        <v>133557.86724896601</v>
      </c>
      <c r="CB594" s="58">
        <f t="array" ref="CB594">SUM(IF(BY594:BZ594&gt;=BY594, 1))</f>
        <v>2</v>
      </c>
      <c r="CC594" s="58">
        <f t="array" ref="CC594">SUM(IF(BY594:BZ594&gt;=BZ594, 1))</f>
        <v>1</v>
      </c>
      <c r="CE594" s="109">
        <f t="shared" ref="CE594:CE657" si="247">T594*WTP-Q594</f>
        <v>95852.768171190182</v>
      </c>
      <c r="CF594" s="109">
        <f t="shared" ref="CF594:CF657" si="248">U594*WTP-R594</f>
        <v>97688.46708713386</v>
      </c>
      <c r="CH594" s="58">
        <f t="array" ref="CH594">SUM(IF(CE594:CF594&gt;=CE594, 1))</f>
        <v>2</v>
      </c>
      <c r="CI594" s="58">
        <f t="array" ref="CI594">SUM(IF(CE594:CF594&gt;=CF594, 1))</f>
        <v>1</v>
      </c>
      <c r="CK594" s="109">
        <f t="shared" ref="CK594:CK657" si="249">Z594*WTP-W594</f>
        <v>42404.698727161565</v>
      </c>
      <c r="CL594" s="109">
        <f t="shared" ref="CL594:CL657" si="250">AA594*WTP-X594</f>
        <v>43477.305285875962</v>
      </c>
      <c r="CN594" s="58">
        <f t="array" ref="CN594">SUM(IF(CK594:CL594&gt;=CK594, 1))</f>
        <v>2</v>
      </c>
      <c r="CO594" s="58">
        <f t="array" ref="CO594">SUM(IF(CK594:CL594&gt;=CL594, 1))</f>
        <v>1</v>
      </c>
      <c r="CQ594" s="109" cm="1">
        <f t="array" ref="CQ594">AF594*WTP-AC594</f>
        <v>48494.903859717109</v>
      </c>
      <c r="CR594" s="109">
        <f t="shared" ref="CR594:CR657" si="251">AG594*WTP-AD594</f>
        <v>51546.559720641519</v>
      </c>
      <c r="CT594" s="58">
        <f t="array" ref="CT594">SUM(IF(CQ594:CR594&gt;=CQ594, 1))</f>
        <v>2</v>
      </c>
      <c r="CU594" s="58">
        <f t="array" ref="CU594">SUM(IF(CQ594:CR594&gt;=CR594, 1))</f>
        <v>1</v>
      </c>
      <c r="CW594" s="109">
        <f t="shared" ref="CW594:CW657" si="252">AL594*WTP-AI594</f>
        <v>-40488161.306288838</v>
      </c>
      <c r="CX594" s="109">
        <f t="shared" ref="CX594:CX657" si="253">AM594*WTP-AJ594</f>
        <v>0</v>
      </c>
      <c r="CZ594" s="58">
        <f t="array" ref="CZ594">SUM(IF(CW594:CX594&gt;=CW594, 1))</f>
        <v>2</v>
      </c>
      <c r="DA594" s="58">
        <f t="array" ref="DA594">SUM(IF(CW594:CX594&gt;=CX594, 1))</f>
        <v>1</v>
      </c>
      <c r="DC594" s="109">
        <f t="shared" ref="DC594:DC657" si="254">AR594*WTP-AO594</f>
        <v>-2192275.0322113694</v>
      </c>
      <c r="DD594" s="109">
        <f t="shared" ref="DD594:DD657" si="255">AS594*WTP-AP594</f>
        <v>0</v>
      </c>
      <c r="DF594" s="58">
        <f t="array" ref="DF594">SUM(IF(DC594:DD594&gt;=DC594, 1))</f>
        <v>2</v>
      </c>
      <c r="DG594" s="58">
        <f t="array" ref="DG594">SUM(IF(DC594:DD594&gt;=DD594, 1))</f>
        <v>1</v>
      </c>
      <c r="DI594" s="109">
        <f t="shared" ref="DI594:DI657" si="256">AX594*WTP-AU594</f>
        <v>-42544424.737493172</v>
      </c>
      <c r="DJ594" s="109">
        <f t="shared" ref="DJ594:DJ657" si="257">AY594*WTP-AV594</f>
        <v>0</v>
      </c>
      <c r="DL594" s="58">
        <f t="array" ref="DL594">SUM(IF(DI594:DJ594&gt;=DI594, 1))</f>
        <v>2</v>
      </c>
      <c r="DM594" s="58">
        <f t="array" ref="DM594">SUM(IF(DI594:DJ594&gt;=DJ594, 1))</f>
        <v>1</v>
      </c>
      <c r="DO594" s="109">
        <f t="shared" ref="DO594:DO657" si="258">BD594*WTP-BA594</f>
        <v>-9289247.250647394</v>
      </c>
      <c r="DP594" s="109">
        <f t="shared" ref="DP594:DP657" si="259">BE594*WTP-BB594</f>
        <v>0</v>
      </c>
      <c r="DR594" s="58">
        <f t="array" ref="DR594">SUM(IF(DO594:DP594&gt;=DO594, 1))</f>
        <v>2</v>
      </c>
      <c r="DS594" s="58">
        <f t="array" ref="DS594">SUM(IF(DO594:DP594&gt;=DP594, 1))</f>
        <v>1</v>
      </c>
      <c r="DU594" s="109">
        <f t="shared" ref="DU594:DU657" si="260">BJ594*WTP-BG594</f>
        <v>-48196778.707979962</v>
      </c>
      <c r="DV594" s="109">
        <f t="shared" ref="DV594:DV657" si="261">BK594*WTP-BH594</f>
        <v>0</v>
      </c>
      <c r="DX594" s="58">
        <f t="array" ref="DX594">SUM(IF(DU594:DV594&gt;=DU594, 1))</f>
        <v>2</v>
      </c>
      <c r="DY594" s="58">
        <f t="array" ref="DY594">SUM(IF(DU594:DV594&gt;=DV594, 1))</f>
        <v>1</v>
      </c>
      <c r="EA594" s="109">
        <f t="shared" ref="EA594:EA657" si="262">BP594*WTP-BM594</f>
        <v>-142710887.03462076</v>
      </c>
      <c r="EB594" s="109">
        <f t="shared" ref="EB594:EB657" si="263">BQ594*WTP-BN594</f>
        <v>0</v>
      </c>
      <c r="ED594" s="58">
        <f t="array" ref="ED594">SUM(IF(EA594:EB594&gt;=EA594, 1))</f>
        <v>2</v>
      </c>
      <c r="EE594" s="58">
        <f t="array" ref="EE594">SUM(IF(EA594:EB594&gt;=EB594, 1))</f>
        <v>1</v>
      </c>
    </row>
    <row r="595" spans="4:135" ht="12" customHeight="1" x14ac:dyDescent="0.25">
      <c r="D595" s="11">
        <v>579</v>
      </c>
      <c r="E595" s="72">
        <v>303.43491174587984</v>
      </c>
      <c r="F595" s="72">
        <v>263.96468465806061</v>
      </c>
      <c r="G595" s="73"/>
      <c r="H595" s="74">
        <v>5.8566945304736011</v>
      </c>
      <c r="I595" s="74">
        <v>5.8731150791087563</v>
      </c>
      <c r="J595" s="73"/>
      <c r="K595" s="72">
        <v>324.97098642883111</v>
      </c>
      <c r="L595" s="72">
        <v>284.59465997889498</v>
      </c>
      <c r="M595" s="73"/>
      <c r="N595" s="74">
        <v>6.7249289506757881</v>
      </c>
      <c r="O595" s="74">
        <v>6.7392228173035402</v>
      </c>
      <c r="P595" s="73"/>
      <c r="Q595" s="72">
        <v>2080.0723991078225</v>
      </c>
      <c r="R595" s="72">
        <v>1249.322594696705</v>
      </c>
      <c r="S595" s="73"/>
      <c r="T595" s="74">
        <v>4.6813849477635108</v>
      </c>
      <c r="U595" s="74">
        <v>4.7632303358308992</v>
      </c>
      <c r="V595" s="73"/>
      <c r="W595" s="72">
        <v>11865.96665149285</v>
      </c>
      <c r="X595" s="72">
        <v>11856.94861903223</v>
      </c>
      <c r="Y595" s="73"/>
      <c r="Z595" s="74">
        <v>2.8937445339499388</v>
      </c>
      <c r="AA595" s="74">
        <v>2.9355553676878112</v>
      </c>
      <c r="AB595" s="73"/>
      <c r="AC595" s="72">
        <v>50853.337774970503</v>
      </c>
      <c r="AD595" s="72">
        <v>50242.808817171739</v>
      </c>
      <c r="AE595" s="73"/>
      <c r="AF595" s="74">
        <v>4.3842948690342745</v>
      </c>
      <c r="AG595" s="74">
        <v>4.4939874793679753</v>
      </c>
      <c r="AH595" s="73"/>
      <c r="AI595" s="72">
        <v>4265303.3681401163</v>
      </c>
      <c r="AJ595" s="72">
        <v>0</v>
      </c>
      <c r="AK595" s="73"/>
      <c r="AL595" s="74">
        <v>-1774.4671507565345</v>
      </c>
      <c r="AM595" s="74">
        <v>0</v>
      </c>
      <c r="AN595" s="73"/>
      <c r="AO595" s="72">
        <v>271145.28898694529</v>
      </c>
      <c r="AP595" s="72">
        <v>0</v>
      </c>
      <c r="AQ595" s="73"/>
      <c r="AR595" s="74">
        <v>-95.989777631908169</v>
      </c>
      <c r="AS595" s="74">
        <v>0</v>
      </c>
      <c r="AT595" s="73"/>
      <c r="AU595" s="72">
        <v>19686941.533562735</v>
      </c>
      <c r="AV595" s="72">
        <v>0</v>
      </c>
      <c r="AW595" s="73"/>
      <c r="AX595" s="74">
        <v>-1939.5555209508577</v>
      </c>
      <c r="AY595" s="74">
        <v>0</v>
      </c>
      <c r="AZ595" s="73"/>
      <c r="BA595" s="72">
        <v>80346.273184902617</v>
      </c>
      <c r="BB595" s="72">
        <v>0</v>
      </c>
      <c r="BC595" s="73"/>
      <c r="BD595" s="74">
        <v>-372.51414698948395</v>
      </c>
      <c r="BE595" s="74">
        <v>0</v>
      </c>
      <c r="BF595" s="73"/>
      <c r="BG595" s="72">
        <v>9797425.3009660412</v>
      </c>
      <c r="BH595" s="72">
        <v>0</v>
      </c>
      <c r="BI595" s="73"/>
      <c r="BJ595" s="74">
        <v>-1760.2853101140568</v>
      </c>
      <c r="BK595" s="74">
        <v>0</v>
      </c>
      <c r="BL595" s="73"/>
      <c r="BM595" s="72">
        <v>34101161.764840737</v>
      </c>
      <c r="BN595" s="72">
        <v>0</v>
      </c>
      <c r="BO595" s="73"/>
      <c r="BP595" s="74">
        <v>-5942.8119064428411</v>
      </c>
      <c r="BQ595" s="74">
        <v>0</v>
      </c>
      <c r="BS595" s="109">
        <f t="shared" si="243"/>
        <v>116830.45569772614</v>
      </c>
      <c r="BT595" s="109">
        <f t="shared" si="244"/>
        <v>117198.33689751707</v>
      </c>
      <c r="BV595" s="58">
        <f t="array" ref="BV595">SUM(IF(BS595:BT595&gt;=BS595, 1))</f>
        <v>2</v>
      </c>
      <c r="BW595" s="58">
        <f t="array" ref="BW595">SUM(IF(BS595:BT595&gt;=BT595, 1))</f>
        <v>1</v>
      </c>
      <c r="BY595" s="109">
        <f t="shared" si="245"/>
        <v>134173.60802708691</v>
      </c>
      <c r="BZ595" s="109">
        <f t="shared" si="246"/>
        <v>134499.8616860919</v>
      </c>
      <c r="CB595" s="58">
        <f t="array" ref="CB595">SUM(IF(BY595:BZ595&gt;=BY595, 1))</f>
        <v>2</v>
      </c>
      <c r="CC595" s="58">
        <f t="array" ref="CC595">SUM(IF(BY595:BZ595&gt;=BZ595, 1))</f>
        <v>1</v>
      </c>
      <c r="CE595" s="109">
        <f t="shared" si="247"/>
        <v>91547.626556162388</v>
      </c>
      <c r="CF595" s="109">
        <f t="shared" si="248"/>
        <v>94015.284121921286</v>
      </c>
      <c r="CH595" s="58">
        <f t="array" ref="CH595">SUM(IF(CE595:CF595&gt;=CE595, 1))</f>
        <v>2</v>
      </c>
      <c r="CI595" s="58">
        <f t="array" ref="CI595">SUM(IF(CE595:CF595&gt;=CF595, 1))</f>
        <v>1</v>
      </c>
      <c r="CK595" s="109">
        <f t="shared" si="249"/>
        <v>46008.924027505927</v>
      </c>
      <c r="CL595" s="109">
        <f t="shared" si="250"/>
        <v>46854.158734723998</v>
      </c>
      <c r="CN595" s="58">
        <f t="array" ref="CN595">SUM(IF(CK595:CL595&gt;=CK595, 1))</f>
        <v>2</v>
      </c>
      <c r="CO595" s="58">
        <f t="array" ref="CO595">SUM(IF(CK595:CL595&gt;=CL595, 1))</f>
        <v>1</v>
      </c>
      <c r="CQ595" s="109" cm="1">
        <f t="array" ref="CQ595">AF595*WTP-AC595</f>
        <v>36832.559605714989</v>
      </c>
      <c r="CR595" s="109">
        <f t="shared" si="251"/>
        <v>39636.940770187764</v>
      </c>
      <c r="CT595" s="58">
        <f t="array" ref="CT595">SUM(IF(CQ595:CR595&gt;=CQ595, 1))</f>
        <v>2</v>
      </c>
      <c r="CU595" s="58">
        <f t="array" ref="CU595">SUM(IF(CQ595:CR595&gt;=CR595, 1))</f>
        <v>1</v>
      </c>
      <c r="CW595" s="109">
        <f t="shared" si="252"/>
        <v>-39754646.383270808</v>
      </c>
      <c r="CX595" s="109">
        <f t="shared" si="253"/>
        <v>0</v>
      </c>
      <c r="CZ595" s="58">
        <f t="array" ref="CZ595">SUM(IF(CW595:CX595&gt;=CW595, 1))</f>
        <v>2</v>
      </c>
      <c r="DA595" s="58">
        <f t="array" ref="DA595">SUM(IF(CW595:CX595&gt;=CX595, 1))</f>
        <v>1</v>
      </c>
      <c r="DC595" s="109">
        <f t="shared" si="254"/>
        <v>-2190940.8416251084</v>
      </c>
      <c r="DD595" s="109">
        <f t="shared" si="255"/>
        <v>0</v>
      </c>
      <c r="DF595" s="58">
        <f t="array" ref="DF595">SUM(IF(DC595:DD595&gt;=DC595, 1))</f>
        <v>2</v>
      </c>
      <c r="DG595" s="58">
        <f t="array" ref="DG595">SUM(IF(DC595:DD595&gt;=DD595, 1))</f>
        <v>1</v>
      </c>
      <c r="DI595" s="109">
        <f t="shared" si="256"/>
        <v>-58478051.952579886</v>
      </c>
      <c r="DJ595" s="109">
        <f t="shared" si="257"/>
        <v>0</v>
      </c>
      <c r="DL595" s="58">
        <f t="array" ref="DL595">SUM(IF(DI595:DJ595&gt;=DI595, 1))</f>
        <v>2</v>
      </c>
      <c r="DM595" s="58">
        <f t="array" ref="DM595">SUM(IF(DI595:DJ595&gt;=DJ595, 1))</f>
        <v>1</v>
      </c>
      <c r="DO595" s="109">
        <f t="shared" si="258"/>
        <v>-7530629.2129745819</v>
      </c>
      <c r="DP595" s="109">
        <f t="shared" si="259"/>
        <v>0</v>
      </c>
      <c r="DR595" s="58">
        <f t="array" ref="DR595">SUM(IF(DO595:DP595&gt;=DO595, 1))</f>
        <v>2</v>
      </c>
      <c r="DS595" s="58">
        <f t="array" ref="DS595">SUM(IF(DO595:DP595&gt;=DP595, 1))</f>
        <v>1</v>
      </c>
      <c r="DU595" s="109">
        <f t="shared" si="260"/>
        <v>-45003131.503247172</v>
      </c>
      <c r="DV595" s="109">
        <f t="shared" si="261"/>
        <v>0</v>
      </c>
      <c r="DX595" s="58">
        <f t="array" ref="DX595">SUM(IF(DU595:DV595&gt;=DU595, 1))</f>
        <v>2</v>
      </c>
      <c r="DY595" s="58">
        <f t="array" ref="DY595">SUM(IF(DU595:DV595&gt;=DV595, 1))</f>
        <v>1</v>
      </c>
      <c r="EA595" s="109">
        <f t="shared" si="262"/>
        <v>-152957399.89369756</v>
      </c>
      <c r="EB595" s="109">
        <f t="shared" si="263"/>
        <v>0</v>
      </c>
      <c r="ED595" s="58">
        <f t="array" ref="ED595">SUM(IF(EA595:EB595&gt;=EA595, 1))</f>
        <v>2</v>
      </c>
      <c r="EE595" s="58">
        <f t="array" ref="EE595">SUM(IF(EA595:EB595&gt;=EB595, 1))</f>
        <v>1</v>
      </c>
    </row>
    <row r="596" spans="4:135" ht="12" customHeight="1" x14ac:dyDescent="0.25">
      <c r="D596" s="11">
        <v>580</v>
      </c>
      <c r="E596" s="72">
        <v>269.22760513760653</v>
      </c>
      <c r="F596" s="72">
        <v>233.86857730989621</v>
      </c>
      <c r="G596" s="73"/>
      <c r="H596" s="74">
        <v>5.8915202604912915</v>
      </c>
      <c r="I596" s="74">
        <v>5.9093355313154889</v>
      </c>
      <c r="J596" s="73"/>
      <c r="K596" s="72">
        <v>288.3218103139659</v>
      </c>
      <c r="L596" s="72">
        <v>252.1233780366436</v>
      </c>
      <c r="M596" s="73"/>
      <c r="N596" s="74">
        <v>6.6941013055312082</v>
      </c>
      <c r="O596" s="74">
        <v>6.7095883216744436</v>
      </c>
      <c r="P596" s="73"/>
      <c r="Q596" s="72">
        <v>1785.5652045280542</v>
      </c>
      <c r="R596" s="72">
        <v>1471.0654433910338</v>
      </c>
      <c r="S596" s="73"/>
      <c r="T596" s="74">
        <v>4.9771748850815243</v>
      </c>
      <c r="U596" s="74">
        <v>5.0094945679596892</v>
      </c>
      <c r="V596" s="73"/>
      <c r="W596" s="72">
        <v>7666.357309447365</v>
      </c>
      <c r="X596" s="72">
        <v>7628.067110082302</v>
      </c>
      <c r="Y596" s="73"/>
      <c r="Z596" s="74">
        <v>3.0926878956428951</v>
      </c>
      <c r="AA596" s="74">
        <v>3.1317149907120991</v>
      </c>
      <c r="AB596" s="73"/>
      <c r="AC596" s="72">
        <v>49778.349709338356</v>
      </c>
      <c r="AD596" s="72">
        <v>49783.92965111685</v>
      </c>
      <c r="AE596" s="73"/>
      <c r="AF596" s="74">
        <v>5.0343471169960585</v>
      </c>
      <c r="AG596" s="74">
        <v>5.1288514188980097</v>
      </c>
      <c r="AH596" s="73"/>
      <c r="AI596" s="72">
        <v>3792697.5809708303</v>
      </c>
      <c r="AJ596" s="72">
        <v>0</v>
      </c>
      <c r="AK596" s="73"/>
      <c r="AL596" s="74">
        <v>-1910.9104155381176</v>
      </c>
      <c r="AM596" s="74">
        <v>0</v>
      </c>
      <c r="AN596" s="73"/>
      <c r="AO596" s="72">
        <v>247076.48986859506</v>
      </c>
      <c r="AP596" s="72">
        <v>0</v>
      </c>
      <c r="AQ596" s="73"/>
      <c r="AR596" s="74">
        <v>-105.70837869147452</v>
      </c>
      <c r="AS596" s="74">
        <v>0</v>
      </c>
      <c r="AT596" s="73"/>
      <c r="AU596" s="72">
        <v>7351569.6665942445</v>
      </c>
      <c r="AV596" s="72">
        <v>0</v>
      </c>
      <c r="AW596" s="73"/>
      <c r="AX596" s="74">
        <v>-755.48674320787575</v>
      </c>
      <c r="AY596" s="74">
        <v>0</v>
      </c>
      <c r="AZ596" s="73"/>
      <c r="BA596" s="72">
        <v>341505.30086705141</v>
      </c>
      <c r="BB596" s="72">
        <v>0</v>
      </c>
      <c r="BC596" s="73"/>
      <c r="BD596" s="74">
        <v>-348.07757767216816</v>
      </c>
      <c r="BE596" s="74">
        <v>0</v>
      </c>
      <c r="BF596" s="73"/>
      <c r="BG596" s="72">
        <v>-87161.218135062823</v>
      </c>
      <c r="BH596" s="72">
        <v>0</v>
      </c>
      <c r="BI596" s="73"/>
      <c r="BJ596" s="74">
        <v>-1476.2000034702764</v>
      </c>
      <c r="BK596" s="74">
        <v>0</v>
      </c>
      <c r="BL596" s="73"/>
      <c r="BM596" s="72">
        <v>11645687.820165658</v>
      </c>
      <c r="BN596" s="72">
        <v>0</v>
      </c>
      <c r="BO596" s="73"/>
      <c r="BP596" s="74">
        <v>-4596.3831185799118</v>
      </c>
      <c r="BQ596" s="74">
        <v>0</v>
      </c>
      <c r="BS596" s="109">
        <f t="shared" si="243"/>
        <v>117561.17760468822</v>
      </c>
      <c r="BT596" s="109">
        <f t="shared" si="244"/>
        <v>117952.84204899988</v>
      </c>
      <c r="BV596" s="58">
        <f t="array" ref="BV596">SUM(IF(BS596:BT596&gt;=BS596, 1))</f>
        <v>2</v>
      </c>
      <c r="BW596" s="58">
        <f t="array" ref="BW596">SUM(IF(BS596:BT596&gt;=BT596, 1))</f>
        <v>1</v>
      </c>
      <c r="BY596" s="109">
        <f t="shared" si="245"/>
        <v>133593.7043003102</v>
      </c>
      <c r="BZ596" s="109">
        <f t="shared" si="246"/>
        <v>133939.64305545224</v>
      </c>
      <c r="CB596" s="58">
        <f t="array" ref="CB596">SUM(IF(BY596:BZ596&gt;=BY596, 1))</f>
        <v>2</v>
      </c>
      <c r="CC596" s="58">
        <f t="array" ref="CC596">SUM(IF(BY596:BZ596&gt;=BZ596, 1))</f>
        <v>1</v>
      </c>
      <c r="CE596" s="109">
        <f t="shared" si="247"/>
        <v>97757.932497102433</v>
      </c>
      <c r="CF596" s="109">
        <f t="shared" si="248"/>
        <v>98718.82591580275</v>
      </c>
      <c r="CH596" s="58">
        <f t="array" ref="CH596">SUM(IF(CE596:CF596&gt;=CE596, 1))</f>
        <v>2</v>
      </c>
      <c r="CI596" s="58">
        <f t="array" ref="CI596">SUM(IF(CE596:CF596&gt;=CF596, 1))</f>
        <v>1</v>
      </c>
      <c r="CK596" s="109">
        <f t="shared" si="249"/>
        <v>54187.40060341054</v>
      </c>
      <c r="CL596" s="109">
        <f t="shared" si="250"/>
        <v>55006.23270415968</v>
      </c>
      <c r="CN596" s="58">
        <f t="array" ref="CN596">SUM(IF(CK596:CL596&gt;=CK596, 1))</f>
        <v>2</v>
      </c>
      <c r="CO596" s="58">
        <f t="array" ref="CO596">SUM(IF(CK596:CL596&gt;=CL596, 1))</f>
        <v>1</v>
      </c>
      <c r="CQ596" s="109" cm="1">
        <f t="array" ref="CQ596">AF596*WTP-AC596</f>
        <v>50908.592630582811</v>
      </c>
      <c r="CR596" s="109">
        <f t="shared" si="251"/>
        <v>52793.098726843338</v>
      </c>
      <c r="CT596" s="58">
        <f t="array" ref="CT596">SUM(IF(CQ596:CR596&gt;=CQ596, 1))</f>
        <v>2</v>
      </c>
      <c r="CU596" s="58">
        <f t="array" ref="CU596">SUM(IF(CQ596:CR596&gt;=CR596, 1))</f>
        <v>1</v>
      </c>
      <c r="CW596" s="109">
        <f t="shared" si="252"/>
        <v>-42010905.891733184</v>
      </c>
      <c r="CX596" s="109">
        <f t="shared" si="253"/>
        <v>0</v>
      </c>
      <c r="CZ596" s="58">
        <f t="array" ref="CZ596">SUM(IF(CW596:CX596&gt;=CW596, 1))</f>
        <v>2</v>
      </c>
      <c r="DA596" s="58">
        <f t="array" ref="DA596">SUM(IF(CW596:CX596&gt;=CX596, 1))</f>
        <v>1</v>
      </c>
      <c r="DC596" s="109">
        <f t="shared" si="254"/>
        <v>-2361244.0636980855</v>
      </c>
      <c r="DD596" s="109">
        <f t="shared" si="255"/>
        <v>0</v>
      </c>
      <c r="DF596" s="58">
        <f t="array" ref="DF596">SUM(IF(DC596:DD596&gt;=DC596, 1))</f>
        <v>2</v>
      </c>
      <c r="DG596" s="58">
        <f t="array" ref="DG596">SUM(IF(DC596:DD596&gt;=DD596, 1))</f>
        <v>1</v>
      </c>
      <c r="DI596" s="109">
        <f t="shared" si="256"/>
        <v>-22461304.530751757</v>
      </c>
      <c r="DJ596" s="109">
        <f t="shared" si="257"/>
        <v>0</v>
      </c>
      <c r="DL596" s="58">
        <f t="array" ref="DL596">SUM(IF(DI596:DJ596&gt;=DI596, 1))</f>
        <v>2</v>
      </c>
      <c r="DM596" s="58">
        <f t="array" ref="DM596">SUM(IF(DI596:DJ596&gt;=DJ596, 1))</f>
        <v>1</v>
      </c>
      <c r="DO596" s="109">
        <f t="shared" si="258"/>
        <v>-7303056.8543104148</v>
      </c>
      <c r="DP596" s="109">
        <f t="shared" si="259"/>
        <v>0</v>
      </c>
      <c r="DR596" s="58">
        <f t="array" ref="DR596">SUM(IF(DO596:DP596&gt;=DO596, 1))</f>
        <v>2</v>
      </c>
      <c r="DS596" s="58">
        <f t="array" ref="DS596">SUM(IF(DO596:DP596&gt;=DP596, 1))</f>
        <v>1</v>
      </c>
      <c r="DU596" s="109">
        <f t="shared" si="260"/>
        <v>-29436838.851270467</v>
      </c>
      <c r="DV596" s="109">
        <f t="shared" si="261"/>
        <v>0</v>
      </c>
      <c r="DX596" s="58">
        <f t="array" ref="DX596">SUM(IF(DU596:DV596&gt;=DU596, 1))</f>
        <v>2</v>
      </c>
      <c r="DY596" s="58">
        <f t="array" ref="DY596">SUM(IF(DU596:DV596&gt;=DV596, 1))</f>
        <v>1</v>
      </c>
      <c r="EA596" s="109">
        <f t="shared" si="262"/>
        <v>-103573350.19176389</v>
      </c>
      <c r="EB596" s="109">
        <f t="shared" si="263"/>
        <v>0</v>
      </c>
      <c r="ED596" s="58">
        <f t="array" ref="ED596">SUM(IF(EA596:EB596&gt;=EA596, 1))</f>
        <v>2</v>
      </c>
      <c r="EE596" s="58">
        <f t="array" ref="EE596">SUM(IF(EA596:EB596&gt;=EB596, 1))</f>
        <v>1</v>
      </c>
    </row>
    <row r="597" spans="4:135" ht="12" customHeight="1" x14ac:dyDescent="0.25">
      <c r="D597" s="11">
        <v>581</v>
      </c>
      <c r="E597" s="72">
        <v>231.16796222451734</v>
      </c>
      <c r="F597" s="72">
        <v>208.78431081645914</v>
      </c>
      <c r="G597" s="73"/>
      <c r="H597" s="74">
        <v>5.8691062605926447</v>
      </c>
      <c r="I597" s="74">
        <v>5.8869081015574034</v>
      </c>
      <c r="J597" s="73"/>
      <c r="K597" s="72">
        <v>247.9968566232061</v>
      </c>
      <c r="L597" s="72">
        <v>225.11238757061207</v>
      </c>
      <c r="M597" s="73"/>
      <c r="N597" s="74">
        <v>6.6993543500339836</v>
      </c>
      <c r="O597" s="74">
        <v>6.7150351662144647</v>
      </c>
      <c r="P597" s="73"/>
      <c r="Q597" s="72">
        <v>3187.9329241636633</v>
      </c>
      <c r="R597" s="72">
        <v>1697.6147508094627</v>
      </c>
      <c r="S597" s="73"/>
      <c r="T597" s="74">
        <v>4.7768322401889147</v>
      </c>
      <c r="U597" s="74">
        <v>4.8675634501731766</v>
      </c>
      <c r="V597" s="73"/>
      <c r="W597" s="72">
        <v>10844.34567630852</v>
      </c>
      <c r="X597" s="72">
        <v>10865.98802215562</v>
      </c>
      <c r="Y597" s="73"/>
      <c r="Z597" s="74">
        <v>2.9155215776150705</v>
      </c>
      <c r="AA597" s="74">
        <v>2.9748794994909797</v>
      </c>
      <c r="AB597" s="73"/>
      <c r="AC597" s="72">
        <v>49888.513625586085</v>
      </c>
      <c r="AD597" s="72">
        <v>49835.552543165104</v>
      </c>
      <c r="AE597" s="73"/>
      <c r="AF597" s="74">
        <v>4.6878832212307131</v>
      </c>
      <c r="AG597" s="74">
        <v>4.7944233562273642</v>
      </c>
      <c r="AH597" s="73"/>
      <c r="AI597" s="72">
        <v>2400512.6848668186</v>
      </c>
      <c r="AJ597" s="72">
        <v>0</v>
      </c>
      <c r="AK597" s="73"/>
      <c r="AL597" s="74">
        <v>-1909.1409292811238</v>
      </c>
      <c r="AM597" s="74">
        <v>0</v>
      </c>
      <c r="AN597" s="73"/>
      <c r="AO597" s="72">
        <v>159125.3522889656</v>
      </c>
      <c r="AP597" s="72">
        <v>0</v>
      </c>
      <c r="AQ597" s="73"/>
      <c r="AR597" s="74">
        <v>-109.03531968178781</v>
      </c>
      <c r="AS597" s="74">
        <v>0</v>
      </c>
      <c r="AT597" s="73"/>
      <c r="AU597" s="72">
        <v>34491278.165258408</v>
      </c>
      <c r="AV597" s="72">
        <v>0</v>
      </c>
      <c r="AW597" s="73"/>
      <c r="AX597" s="74">
        <v>-2099.8438171054104</v>
      </c>
      <c r="AY597" s="74">
        <v>0</v>
      </c>
      <c r="AZ597" s="73"/>
      <c r="BA597" s="72">
        <v>-190531.46322641813</v>
      </c>
      <c r="BB597" s="72">
        <v>0</v>
      </c>
      <c r="BC597" s="73"/>
      <c r="BD597" s="74">
        <v>-522.56588952957168</v>
      </c>
      <c r="BE597" s="74">
        <v>0</v>
      </c>
      <c r="BF597" s="73"/>
      <c r="BG597" s="72">
        <v>864263.64982815622</v>
      </c>
      <c r="BH597" s="72">
        <v>0</v>
      </c>
      <c r="BI597" s="73"/>
      <c r="BJ597" s="74">
        <v>-1738.6118582975155</v>
      </c>
      <c r="BK597" s="74">
        <v>0</v>
      </c>
      <c r="BL597" s="73"/>
      <c r="BM597" s="72">
        <v>37724648.389015935</v>
      </c>
      <c r="BN597" s="72">
        <v>0</v>
      </c>
      <c r="BO597" s="73"/>
      <c r="BP597" s="74">
        <v>-6379.1978138954091</v>
      </c>
      <c r="BQ597" s="74">
        <v>0</v>
      </c>
      <c r="BS597" s="109">
        <f t="shared" si="243"/>
        <v>117150.95724962838</v>
      </c>
      <c r="BT597" s="109">
        <f t="shared" si="244"/>
        <v>117529.37772033161</v>
      </c>
      <c r="BV597" s="58">
        <f t="array" ref="BV597">SUM(IF(BS597:BT597&gt;=BS597, 1))</f>
        <v>2</v>
      </c>
      <c r="BW597" s="58">
        <f t="array" ref="BW597">SUM(IF(BS597:BT597&gt;=BT597, 1))</f>
        <v>1</v>
      </c>
      <c r="BY597" s="109">
        <f t="shared" si="245"/>
        <v>133739.09014405645</v>
      </c>
      <c r="BZ597" s="109">
        <f t="shared" si="246"/>
        <v>134075.59093671868</v>
      </c>
      <c r="CB597" s="58">
        <f t="array" ref="CB597">SUM(IF(BY597:BZ597&gt;=BY597, 1))</f>
        <v>2</v>
      </c>
      <c r="CC597" s="58">
        <f t="array" ref="CC597">SUM(IF(BY597:BZ597&gt;=BZ597, 1))</f>
        <v>1</v>
      </c>
      <c r="CE597" s="109">
        <f t="shared" si="247"/>
        <v>92348.711879614639</v>
      </c>
      <c r="CF597" s="109">
        <f t="shared" si="248"/>
        <v>95653.654252654072</v>
      </c>
      <c r="CH597" s="58">
        <f t="array" ref="CH597">SUM(IF(CE597:CF597&gt;=CE597, 1))</f>
        <v>2</v>
      </c>
      <c r="CI597" s="58">
        <f t="array" ref="CI597">SUM(IF(CE597:CF597&gt;=CF597, 1))</f>
        <v>1</v>
      </c>
      <c r="CK597" s="109">
        <f t="shared" si="249"/>
        <v>47466.085875992889</v>
      </c>
      <c r="CL597" s="109">
        <f t="shared" si="250"/>
        <v>48631.60196766397</v>
      </c>
      <c r="CN597" s="58">
        <f t="array" ref="CN597">SUM(IF(CK597:CL597&gt;=CK597, 1))</f>
        <v>2</v>
      </c>
      <c r="CO597" s="58">
        <f t="array" ref="CO597">SUM(IF(CK597:CL597&gt;=CL597, 1))</f>
        <v>1</v>
      </c>
      <c r="CQ597" s="109" cm="1">
        <f t="array" ref="CQ597">AF597*WTP-AC597</f>
        <v>43869.150799028183</v>
      </c>
      <c r="CR597" s="109">
        <f t="shared" si="251"/>
        <v>46052.914581382181</v>
      </c>
      <c r="CT597" s="58">
        <f t="array" ref="CT597">SUM(IF(CQ597:CR597&gt;=CQ597, 1))</f>
        <v>2</v>
      </c>
      <c r="CU597" s="58">
        <f t="array" ref="CU597">SUM(IF(CQ597:CR597&gt;=CR597, 1))</f>
        <v>1</v>
      </c>
      <c r="CW597" s="109">
        <f t="shared" si="252"/>
        <v>-40583331.27048929</v>
      </c>
      <c r="CX597" s="109">
        <f t="shared" si="253"/>
        <v>0</v>
      </c>
      <c r="CZ597" s="58">
        <f t="array" ref="CZ597">SUM(IF(CW597:CX597&gt;=CW597, 1))</f>
        <v>2</v>
      </c>
      <c r="DA597" s="58">
        <f t="array" ref="DA597">SUM(IF(CW597:CX597&gt;=CX597, 1))</f>
        <v>1</v>
      </c>
      <c r="DC597" s="109">
        <f t="shared" si="254"/>
        <v>-2339831.7459247219</v>
      </c>
      <c r="DD597" s="109">
        <f t="shared" si="255"/>
        <v>0</v>
      </c>
      <c r="DF597" s="58">
        <f t="array" ref="DF597">SUM(IF(DC597:DD597&gt;=DC597, 1))</f>
        <v>2</v>
      </c>
      <c r="DG597" s="58">
        <f t="array" ref="DG597">SUM(IF(DC597:DD597&gt;=DD597, 1))</f>
        <v>1</v>
      </c>
      <c r="DI597" s="109">
        <f t="shared" si="256"/>
        <v>-76488154.507366613</v>
      </c>
      <c r="DJ597" s="109">
        <f t="shared" si="257"/>
        <v>0</v>
      </c>
      <c r="DL597" s="58">
        <f t="array" ref="DL597">SUM(IF(DI597:DJ597&gt;=DI597, 1))</f>
        <v>2</v>
      </c>
      <c r="DM597" s="58">
        <f t="array" ref="DM597">SUM(IF(DI597:DJ597&gt;=DJ597, 1))</f>
        <v>1</v>
      </c>
      <c r="DO597" s="109">
        <f t="shared" si="258"/>
        <v>-10260786.327365015</v>
      </c>
      <c r="DP597" s="109">
        <f t="shared" si="259"/>
        <v>0</v>
      </c>
      <c r="DR597" s="58">
        <f t="array" ref="DR597">SUM(IF(DO597:DP597&gt;=DO597, 1))</f>
        <v>2</v>
      </c>
      <c r="DS597" s="58">
        <f t="array" ref="DS597">SUM(IF(DO597:DP597&gt;=DP597, 1))</f>
        <v>1</v>
      </c>
      <c r="DU597" s="109">
        <f t="shared" si="260"/>
        <v>-35636500.815778472</v>
      </c>
      <c r="DV597" s="109">
        <f t="shared" si="261"/>
        <v>0</v>
      </c>
      <c r="DX597" s="58">
        <f t="array" ref="DX597">SUM(IF(DU597:DV597&gt;=DU597, 1))</f>
        <v>2</v>
      </c>
      <c r="DY597" s="58">
        <f t="array" ref="DY597">SUM(IF(DU597:DV597&gt;=DV597, 1))</f>
        <v>1</v>
      </c>
      <c r="EA597" s="109">
        <f t="shared" si="262"/>
        <v>-165308604.66692412</v>
      </c>
      <c r="EB597" s="109">
        <f t="shared" si="263"/>
        <v>0</v>
      </c>
      <c r="ED597" s="58">
        <f t="array" ref="ED597">SUM(IF(EA597:EB597&gt;=EA597, 1))</f>
        <v>2</v>
      </c>
      <c r="EE597" s="58">
        <f t="array" ref="EE597">SUM(IF(EA597:EB597&gt;=EB597, 1))</f>
        <v>1</v>
      </c>
    </row>
    <row r="598" spans="4:135" ht="12" customHeight="1" x14ac:dyDescent="0.25">
      <c r="D598" s="11">
        <v>582</v>
      </c>
      <c r="E598" s="72">
        <v>254.14330024307023</v>
      </c>
      <c r="F598" s="72">
        <v>223.78285588542838</v>
      </c>
      <c r="G598" s="73"/>
      <c r="H598" s="74">
        <v>5.9598254121201908</v>
      </c>
      <c r="I598" s="74">
        <v>5.9789289577417195</v>
      </c>
      <c r="J598" s="73"/>
      <c r="K598" s="72">
        <v>272.43083137502873</v>
      </c>
      <c r="L598" s="72">
        <v>241.36358498335946</v>
      </c>
      <c r="M598" s="73"/>
      <c r="N598" s="74">
        <v>6.7489631355282276</v>
      </c>
      <c r="O598" s="74">
        <v>6.7655470146076517</v>
      </c>
      <c r="P598" s="73"/>
      <c r="Q598" s="72">
        <v>1870.521277515315</v>
      </c>
      <c r="R598" s="72">
        <v>1106.2898972925352</v>
      </c>
      <c r="S598" s="73"/>
      <c r="T598" s="74">
        <v>5.0359226790474008</v>
      </c>
      <c r="U598" s="74">
        <v>5.1137805986428573</v>
      </c>
      <c r="V598" s="73"/>
      <c r="W598" s="72">
        <v>12916.855816088961</v>
      </c>
      <c r="X598" s="72">
        <v>12860.897849236009</v>
      </c>
      <c r="Y598" s="73"/>
      <c r="Z598" s="74">
        <v>3.1203676049142399</v>
      </c>
      <c r="AA598" s="74">
        <v>3.161195231453259</v>
      </c>
      <c r="AB598" s="73"/>
      <c r="AC598" s="72">
        <v>51034.412455206293</v>
      </c>
      <c r="AD598" s="72">
        <v>50646.57128461104</v>
      </c>
      <c r="AE598" s="73"/>
      <c r="AF598" s="74">
        <v>4.7357917684342175</v>
      </c>
      <c r="AG598" s="74">
        <v>4.884701303228316</v>
      </c>
      <c r="AH598" s="73"/>
      <c r="AI598" s="72">
        <v>3248927.7658234229</v>
      </c>
      <c r="AJ598" s="72">
        <v>0</v>
      </c>
      <c r="AK598" s="73"/>
      <c r="AL598" s="74">
        <v>-2044.3060405944566</v>
      </c>
      <c r="AM598" s="74">
        <v>0</v>
      </c>
      <c r="AN598" s="73"/>
      <c r="AO598" s="72">
        <v>211587.84044293448</v>
      </c>
      <c r="AP598" s="72">
        <v>0</v>
      </c>
      <c r="AQ598" s="73"/>
      <c r="AR598" s="74">
        <v>-112.94683527288878</v>
      </c>
      <c r="AS598" s="74">
        <v>0</v>
      </c>
      <c r="AT598" s="73"/>
      <c r="AU598" s="72">
        <v>17718085.569521412</v>
      </c>
      <c r="AV598" s="72">
        <v>0</v>
      </c>
      <c r="AW598" s="73"/>
      <c r="AX598" s="74">
        <v>-1805.0728056404628</v>
      </c>
      <c r="AY598" s="74">
        <v>0</v>
      </c>
      <c r="AZ598" s="73"/>
      <c r="BA598" s="72">
        <v>486465.33295306645</v>
      </c>
      <c r="BB598" s="72">
        <v>0</v>
      </c>
      <c r="BC598" s="73"/>
      <c r="BD598" s="74">
        <v>-354.93113947794961</v>
      </c>
      <c r="BE598" s="74">
        <v>0</v>
      </c>
      <c r="BF598" s="73"/>
      <c r="BG598" s="72">
        <v>6133121.8029473368</v>
      </c>
      <c r="BH598" s="72">
        <v>0</v>
      </c>
      <c r="BI598" s="73"/>
      <c r="BJ598" s="74">
        <v>-2354.7791821862056</v>
      </c>
      <c r="BK598" s="74">
        <v>0</v>
      </c>
      <c r="BL598" s="73"/>
      <c r="BM598" s="72">
        <v>27798188.31168817</v>
      </c>
      <c r="BN598" s="72">
        <v>0</v>
      </c>
      <c r="BO598" s="73"/>
      <c r="BP598" s="74">
        <v>-6672.0360031719629</v>
      </c>
      <c r="BQ598" s="74">
        <v>0</v>
      </c>
      <c r="BS598" s="109">
        <f t="shared" si="243"/>
        <v>118942.36494216074</v>
      </c>
      <c r="BT598" s="109">
        <f t="shared" si="244"/>
        <v>119354.79629894896</v>
      </c>
      <c r="BV598" s="58">
        <f t="array" ref="BV598">SUM(IF(BS598:BT598&gt;=BS598, 1))</f>
        <v>2</v>
      </c>
      <c r="BW598" s="58">
        <f t="array" ref="BW598">SUM(IF(BS598:BT598&gt;=BT598, 1))</f>
        <v>1</v>
      </c>
      <c r="BY598" s="109">
        <f t="shared" si="245"/>
        <v>134706.8318791895</v>
      </c>
      <c r="BZ598" s="109">
        <f t="shared" si="246"/>
        <v>135069.57670716968</v>
      </c>
      <c r="CB598" s="58">
        <f t="array" ref="CB598">SUM(IF(BY598:BZ598&gt;=BY598, 1))</f>
        <v>2</v>
      </c>
      <c r="CC598" s="58">
        <f t="array" ref="CC598">SUM(IF(BY598:BZ598&gt;=BZ598, 1))</f>
        <v>1</v>
      </c>
      <c r="CE598" s="109">
        <f t="shared" si="247"/>
        <v>98847.932303432695</v>
      </c>
      <c r="CF598" s="109">
        <f t="shared" si="248"/>
        <v>101169.32207556462</v>
      </c>
      <c r="CH598" s="58">
        <f t="array" ref="CH598">SUM(IF(CE598:CF598&gt;=CE598, 1))</f>
        <v>2</v>
      </c>
      <c r="CI598" s="58">
        <f t="array" ref="CI598">SUM(IF(CE598:CF598&gt;=CF598, 1))</f>
        <v>1</v>
      </c>
      <c r="CK598" s="109">
        <f t="shared" si="249"/>
        <v>49490.49628219584</v>
      </c>
      <c r="CL598" s="109">
        <f t="shared" si="250"/>
        <v>50363.006779829171</v>
      </c>
      <c r="CN598" s="58">
        <f t="array" ref="CN598">SUM(IF(CK598:CL598&gt;=CK598, 1))</f>
        <v>2</v>
      </c>
      <c r="CO598" s="58">
        <f t="array" ref="CO598">SUM(IF(CK598:CL598&gt;=CL598, 1))</f>
        <v>1</v>
      </c>
      <c r="CQ598" s="109" cm="1">
        <f t="array" ref="CQ598">AF598*WTP-AC598</f>
        <v>43681.422913478054</v>
      </c>
      <c r="CR598" s="109">
        <f t="shared" si="251"/>
        <v>47047.454779955282</v>
      </c>
      <c r="CT598" s="58">
        <f t="array" ref="CT598">SUM(IF(CQ598:CR598&gt;=CQ598, 1))</f>
        <v>2</v>
      </c>
      <c r="CU598" s="58">
        <f t="array" ref="CU598">SUM(IF(CQ598:CR598&gt;=CR598, 1))</f>
        <v>1</v>
      </c>
      <c r="CW598" s="109">
        <f t="shared" si="252"/>
        <v>-44135048.577712558</v>
      </c>
      <c r="CX598" s="109">
        <f t="shared" si="253"/>
        <v>0</v>
      </c>
      <c r="CZ598" s="58">
        <f t="array" ref="CZ598">SUM(IF(CW598:CX598&gt;=CW598, 1))</f>
        <v>2</v>
      </c>
      <c r="DA598" s="58">
        <f t="array" ref="DA598">SUM(IF(CW598:CX598&gt;=CX598, 1))</f>
        <v>1</v>
      </c>
      <c r="DC598" s="109">
        <f t="shared" si="254"/>
        <v>-2470524.5459007099</v>
      </c>
      <c r="DD598" s="109">
        <f t="shared" si="255"/>
        <v>0</v>
      </c>
      <c r="DF598" s="58">
        <f t="array" ref="DF598">SUM(IF(DC598:DD598&gt;=DC598, 1))</f>
        <v>2</v>
      </c>
      <c r="DG598" s="58">
        <f t="array" ref="DG598">SUM(IF(DC598:DD598&gt;=DD598, 1))</f>
        <v>1</v>
      </c>
      <c r="DI598" s="109">
        <f t="shared" si="256"/>
        <v>-53819541.682330668</v>
      </c>
      <c r="DJ598" s="109">
        <f t="shared" si="257"/>
        <v>0</v>
      </c>
      <c r="DL598" s="58">
        <f t="array" ref="DL598">SUM(IF(DI598:DJ598&gt;=DI598, 1))</f>
        <v>2</v>
      </c>
      <c r="DM598" s="58">
        <f t="array" ref="DM598">SUM(IF(DI598:DJ598&gt;=DJ598, 1))</f>
        <v>1</v>
      </c>
      <c r="DO598" s="109">
        <f t="shared" si="258"/>
        <v>-7585088.1225120593</v>
      </c>
      <c r="DP598" s="109">
        <f t="shared" si="259"/>
        <v>0</v>
      </c>
      <c r="DR598" s="58">
        <f t="array" ref="DR598">SUM(IF(DO598:DP598&gt;=DO598, 1))</f>
        <v>2</v>
      </c>
      <c r="DS598" s="58">
        <f t="array" ref="DS598">SUM(IF(DO598:DP598&gt;=DP598, 1))</f>
        <v>1</v>
      </c>
      <c r="DU598" s="109">
        <f t="shared" si="260"/>
        <v>-53228705.446671449</v>
      </c>
      <c r="DV598" s="109">
        <f t="shared" si="261"/>
        <v>0</v>
      </c>
      <c r="DX598" s="58">
        <f t="array" ref="DX598">SUM(IF(DU598:DV598&gt;=DU598, 1))</f>
        <v>2</v>
      </c>
      <c r="DY598" s="58">
        <f t="array" ref="DY598">SUM(IF(DU598:DV598&gt;=DV598, 1))</f>
        <v>1</v>
      </c>
      <c r="EA598" s="109">
        <f t="shared" si="262"/>
        <v>-161238908.37512743</v>
      </c>
      <c r="EB598" s="109">
        <f t="shared" si="263"/>
        <v>0</v>
      </c>
      <c r="ED598" s="58">
        <f t="array" ref="ED598">SUM(IF(EA598:EB598&gt;=EA598, 1))</f>
        <v>2</v>
      </c>
      <c r="EE598" s="58">
        <f t="array" ref="EE598">SUM(IF(EA598:EB598&gt;=EB598, 1))</f>
        <v>1</v>
      </c>
    </row>
    <row r="599" spans="4:135" ht="12" customHeight="1" x14ac:dyDescent="0.25">
      <c r="D599" s="11">
        <v>583</v>
      </c>
      <c r="E599" s="72">
        <v>281.69903647659714</v>
      </c>
      <c r="F599" s="72">
        <v>227.40325663294476</v>
      </c>
      <c r="G599" s="73"/>
      <c r="H599" s="74">
        <v>5.8266801990332509</v>
      </c>
      <c r="I599" s="74">
        <v>5.8487815810758121</v>
      </c>
      <c r="J599" s="73"/>
      <c r="K599" s="72">
        <v>300.61771629960015</v>
      </c>
      <c r="L599" s="72">
        <v>245.09986372360385</v>
      </c>
      <c r="M599" s="73"/>
      <c r="N599" s="74">
        <v>6.6793266160787592</v>
      </c>
      <c r="O599" s="74">
        <v>6.6992699696900795</v>
      </c>
      <c r="P599" s="73"/>
      <c r="Q599" s="72">
        <v>1739.5199678015315</v>
      </c>
      <c r="R599" s="72">
        <v>887.31880494313566</v>
      </c>
      <c r="S599" s="73"/>
      <c r="T599" s="74">
        <v>4.7271912671671332</v>
      </c>
      <c r="U599" s="74">
        <v>4.8643989178609797</v>
      </c>
      <c r="V599" s="73"/>
      <c r="W599" s="72">
        <v>11315.723377637927</v>
      </c>
      <c r="X599" s="72">
        <v>11391.487530953918</v>
      </c>
      <c r="Y599" s="73"/>
      <c r="Z599" s="74">
        <v>3.1526402375203615</v>
      </c>
      <c r="AA599" s="74">
        <v>3.2176039003090797</v>
      </c>
      <c r="AB599" s="73"/>
      <c r="AC599" s="72">
        <v>48456.861685417614</v>
      </c>
      <c r="AD599" s="72">
        <v>48455.825052155677</v>
      </c>
      <c r="AE599" s="73"/>
      <c r="AF599" s="74">
        <v>4.572989995617724</v>
      </c>
      <c r="AG599" s="74">
        <v>4.6670078823587096</v>
      </c>
      <c r="AH599" s="73"/>
      <c r="AI599" s="72">
        <v>5861630.6361691421</v>
      </c>
      <c r="AJ599" s="72">
        <v>0</v>
      </c>
      <c r="AK599" s="73"/>
      <c r="AL599" s="74">
        <v>-2386.0075028925335</v>
      </c>
      <c r="AM599" s="74">
        <v>0</v>
      </c>
      <c r="AN599" s="73"/>
      <c r="AO599" s="72">
        <v>389702.63686213247</v>
      </c>
      <c r="AP599" s="72">
        <v>0</v>
      </c>
      <c r="AQ599" s="73"/>
      <c r="AR599" s="74">
        <v>-139.9905999528111</v>
      </c>
      <c r="AS599" s="74">
        <v>0</v>
      </c>
      <c r="AT599" s="73"/>
      <c r="AU599" s="72">
        <v>20069672.142036773</v>
      </c>
      <c r="AV599" s="72">
        <v>0</v>
      </c>
      <c r="AW599" s="73"/>
      <c r="AX599" s="74">
        <v>-3231.2940709541926</v>
      </c>
      <c r="AY599" s="74">
        <v>0</v>
      </c>
      <c r="AZ599" s="73"/>
      <c r="BA599" s="72">
        <v>-678328.22812747455</v>
      </c>
      <c r="BB599" s="72">
        <v>0</v>
      </c>
      <c r="BC599" s="73"/>
      <c r="BD599" s="74">
        <v>-581.62975950317912</v>
      </c>
      <c r="BE599" s="74">
        <v>0</v>
      </c>
      <c r="BF599" s="73"/>
      <c r="BG599" s="72">
        <v>16228.333950360746</v>
      </c>
      <c r="BH599" s="72">
        <v>0</v>
      </c>
      <c r="BI599" s="73"/>
      <c r="BJ599" s="74">
        <v>-1471.8355269516926</v>
      </c>
      <c r="BK599" s="74">
        <v>0</v>
      </c>
      <c r="BL599" s="73"/>
      <c r="BM599" s="72">
        <v>25658905.520890933</v>
      </c>
      <c r="BN599" s="72">
        <v>0</v>
      </c>
      <c r="BO599" s="73"/>
      <c r="BP599" s="74">
        <v>-7810.7574602544082</v>
      </c>
      <c r="BQ599" s="74">
        <v>0</v>
      </c>
      <c r="BS599" s="109">
        <f t="shared" si="243"/>
        <v>116251.90494418843</v>
      </c>
      <c r="BT599" s="109">
        <f t="shared" si="244"/>
        <v>116748.2283648833</v>
      </c>
      <c r="BV599" s="58">
        <f t="array" ref="BV599">SUM(IF(BS599:BT599&gt;=BS599, 1))</f>
        <v>2</v>
      </c>
      <c r="BW599" s="58">
        <f t="array" ref="BW599">SUM(IF(BS599:BT599&gt;=BT599, 1))</f>
        <v>1</v>
      </c>
      <c r="BY599" s="109">
        <f t="shared" si="245"/>
        <v>133285.91460527558</v>
      </c>
      <c r="BZ599" s="109">
        <f t="shared" si="246"/>
        <v>133740.29953007799</v>
      </c>
      <c r="CB599" s="58">
        <f t="array" ref="CB599">SUM(IF(BY599:BZ599&gt;=BY599, 1))</f>
        <v>2</v>
      </c>
      <c r="CC599" s="58">
        <f t="array" ref="CC599">SUM(IF(BY599:BZ599&gt;=BZ599, 1))</f>
        <v>1</v>
      </c>
      <c r="CE599" s="109">
        <f t="shared" si="247"/>
        <v>92804.305375541124</v>
      </c>
      <c r="CF599" s="109">
        <f t="shared" si="248"/>
        <v>96400.659552276455</v>
      </c>
      <c r="CH599" s="58">
        <f t="array" ref="CH599">SUM(IF(CE599:CF599&gt;=CE599, 1))</f>
        <v>2</v>
      </c>
      <c r="CI599" s="58">
        <f t="array" ref="CI599">SUM(IF(CE599:CF599&gt;=CF599, 1))</f>
        <v>1</v>
      </c>
      <c r="CK599" s="109">
        <f t="shared" si="249"/>
        <v>51737.081372769302</v>
      </c>
      <c r="CL599" s="109">
        <f t="shared" si="250"/>
        <v>52960.590475227677</v>
      </c>
      <c r="CN599" s="58">
        <f t="array" ref="CN599">SUM(IF(CK599:CL599&gt;=CK599, 1))</f>
        <v>2</v>
      </c>
      <c r="CO599" s="58">
        <f t="array" ref="CO599">SUM(IF(CK599:CL599&gt;=CL599, 1))</f>
        <v>1</v>
      </c>
      <c r="CQ599" s="109" cm="1">
        <f t="array" ref="CQ599">AF599*WTP-AC599</f>
        <v>43002.938226936873</v>
      </c>
      <c r="CR599" s="109">
        <f t="shared" si="251"/>
        <v>44884.33259501851</v>
      </c>
      <c r="CT599" s="58">
        <f t="array" ref="CT599">SUM(IF(CQ599:CR599&gt;=CQ599, 1))</f>
        <v>2</v>
      </c>
      <c r="CU599" s="58">
        <f t="array" ref="CU599">SUM(IF(CQ599:CR599&gt;=CR599, 1))</f>
        <v>1</v>
      </c>
      <c r="CW599" s="109">
        <f t="shared" si="252"/>
        <v>-53581780.694019809</v>
      </c>
      <c r="CX599" s="109">
        <f t="shared" si="253"/>
        <v>0</v>
      </c>
      <c r="CZ599" s="58">
        <f t="array" ref="CZ599">SUM(IF(CW599:CX599&gt;=CW599, 1))</f>
        <v>2</v>
      </c>
      <c r="DA599" s="58">
        <f t="array" ref="DA599">SUM(IF(CW599:CX599&gt;=CX599, 1))</f>
        <v>1</v>
      </c>
      <c r="DC599" s="109">
        <f t="shared" si="254"/>
        <v>-3189514.6359183546</v>
      </c>
      <c r="DD599" s="109">
        <f t="shared" si="255"/>
        <v>0</v>
      </c>
      <c r="DF599" s="58">
        <f t="array" ref="DF599">SUM(IF(DC599:DD599&gt;=DC599, 1))</f>
        <v>2</v>
      </c>
      <c r="DG599" s="58">
        <f t="array" ref="DG599">SUM(IF(DC599:DD599&gt;=DD599, 1))</f>
        <v>1</v>
      </c>
      <c r="DI599" s="109">
        <f t="shared" si="256"/>
        <v>-84695553.561120629</v>
      </c>
      <c r="DJ599" s="109">
        <f t="shared" si="257"/>
        <v>0</v>
      </c>
      <c r="DL599" s="58">
        <f t="array" ref="DL599">SUM(IF(DI599:DJ599&gt;=DI599, 1))</f>
        <v>2</v>
      </c>
      <c r="DM599" s="58">
        <f t="array" ref="DM599">SUM(IF(DI599:DJ599&gt;=DJ599, 1))</f>
        <v>1</v>
      </c>
      <c r="DO599" s="109">
        <f t="shared" si="258"/>
        <v>-10954266.961936109</v>
      </c>
      <c r="DP599" s="109">
        <f t="shared" si="259"/>
        <v>0</v>
      </c>
      <c r="DR599" s="58">
        <f t="array" ref="DR599">SUM(IF(DO599:DP599&gt;=DO599, 1))</f>
        <v>2</v>
      </c>
      <c r="DS599" s="58">
        <f t="array" ref="DS599">SUM(IF(DO599:DP599&gt;=DP599, 1))</f>
        <v>1</v>
      </c>
      <c r="DU599" s="109">
        <f t="shared" si="260"/>
        <v>-29452938.872984212</v>
      </c>
      <c r="DV599" s="109">
        <f t="shared" si="261"/>
        <v>0</v>
      </c>
      <c r="DX599" s="58">
        <f t="array" ref="DX599">SUM(IF(DU599:DV599&gt;=DU599, 1))</f>
        <v>2</v>
      </c>
      <c r="DY599" s="58">
        <f t="array" ref="DY599">SUM(IF(DU599:DV599&gt;=DV599, 1))</f>
        <v>1</v>
      </c>
      <c r="EA599" s="109">
        <f t="shared" si="262"/>
        <v>-181874054.72597909</v>
      </c>
      <c r="EB599" s="109">
        <f t="shared" si="263"/>
        <v>0</v>
      </c>
      <c r="ED599" s="58">
        <f t="array" ref="ED599">SUM(IF(EA599:EB599&gt;=EA599, 1))</f>
        <v>2</v>
      </c>
      <c r="EE599" s="58">
        <f t="array" ref="EE599">SUM(IF(EA599:EB599&gt;=EB599, 1))</f>
        <v>1</v>
      </c>
    </row>
    <row r="600" spans="4:135" ht="12" customHeight="1" x14ac:dyDescent="0.25">
      <c r="D600" s="11">
        <v>584</v>
      </c>
      <c r="E600" s="72">
        <v>245.8385741495625</v>
      </c>
      <c r="F600" s="72">
        <v>232.32887145403615</v>
      </c>
      <c r="G600" s="73"/>
      <c r="H600" s="74">
        <v>5.8691893859774966</v>
      </c>
      <c r="I600" s="74">
        <v>5.8848084316177411</v>
      </c>
      <c r="J600" s="73"/>
      <c r="K600" s="72">
        <v>264.41523007080696</v>
      </c>
      <c r="L600" s="72">
        <v>250.54933628524407</v>
      </c>
      <c r="M600" s="73"/>
      <c r="N600" s="74">
        <v>6.7371823561153432</v>
      </c>
      <c r="O600" s="74">
        <v>6.7504736433804817</v>
      </c>
      <c r="P600" s="73"/>
      <c r="Q600" s="72">
        <v>2331.1995338308116</v>
      </c>
      <c r="R600" s="72">
        <v>1352.6578825263396</v>
      </c>
      <c r="S600" s="73"/>
      <c r="T600" s="74">
        <v>4.9895869927180749</v>
      </c>
      <c r="U600" s="74">
        <v>5.1186260763442686</v>
      </c>
      <c r="V600" s="73"/>
      <c r="W600" s="72">
        <v>8120.4208903825875</v>
      </c>
      <c r="X600" s="72">
        <v>8154.6052382193502</v>
      </c>
      <c r="Y600" s="73"/>
      <c r="Z600" s="74">
        <v>2.9947056230388291</v>
      </c>
      <c r="AA600" s="74">
        <v>3.0478178639787719</v>
      </c>
      <c r="AB600" s="73"/>
      <c r="AC600" s="72">
        <v>51187.380463422625</v>
      </c>
      <c r="AD600" s="72">
        <v>50818.373990244341</v>
      </c>
      <c r="AE600" s="73"/>
      <c r="AF600" s="74">
        <v>4.6511879774895801</v>
      </c>
      <c r="AG600" s="74">
        <v>4.8041515521724261</v>
      </c>
      <c r="AH600" s="73"/>
      <c r="AI600" s="72">
        <v>1465505.2463844193</v>
      </c>
      <c r="AJ600" s="72">
        <v>0</v>
      </c>
      <c r="AK600" s="73"/>
      <c r="AL600" s="74">
        <v>-1694.3225062144284</v>
      </c>
      <c r="AM600" s="74">
        <v>0</v>
      </c>
      <c r="AN600" s="73"/>
      <c r="AO600" s="72">
        <v>95262.915531439401</v>
      </c>
      <c r="AP600" s="72">
        <v>0</v>
      </c>
      <c r="AQ600" s="73"/>
      <c r="AR600" s="74">
        <v>-91.315193641632632</v>
      </c>
      <c r="AS600" s="74">
        <v>0</v>
      </c>
      <c r="AT600" s="73"/>
      <c r="AU600" s="72">
        <v>22164131.711710334</v>
      </c>
      <c r="AV600" s="72">
        <v>0</v>
      </c>
      <c r="AW600" s="73"/>
      <c r="AX600" s="74">
        <v>-2922.7567795777586</v>
      </c>
      <c r="AY600" s="74">
        <v>0</v>
      </c>
      <c r="AZ600" s="73"/>
      <c r="BA600" s="72">
        <v>-303606.91206034372</v>
      </c>
      <c r="BB600" s="72">
        <v>0</v>
      </c>
      <c r="BC600" s="73"/>
      <c r="BD600" s="74">
        <v>-471.71423428588747</v>
      </c>
      <c r="BE600" s="74">
        <v>0</v>
      </c>
      <c r="BF600" s="73"/>
      <c r="BG600" s="72">
        <v>5903195.1755864089</v>
      </c>
      <c r="BH600" s="72">
        <v>0</v>
      </c>
      <c r="BI600" s="73"/>
      <c r="BJ600" s="74">
        <v>-2447.0406395065029</v>
      </c>
      <c r="BK600" s="74">
        <v>0</v>
      </c>
      <c r="BL600" s="73"/>
      <c r="BM600" s="72">
        <v>29324488.137152258</v>
      </c>
      <c r="BN600" s="72">
        <v>0</v>
      </c>
      <c r="BO600" s="73"/>
      <c r="BP600" s="74">
        <v>-7627.1493532262102</v>
      </c>
      <c r="BQ600" s="74">
        <v>0</v>
      </c>
      <c r="BS600" s="109">
        <f t="shared" si="243"/>
        <v>117137.94914540037</v>
      </c>
      <c r="BT600" s="109">
        <f t="shared" si="244"/>
        <v>117463.83976090078</v>
      </c>
      <c r="BV600" s="58">
        <f t="array" ref="BV600">SUM(IF(BS600:BT600&gt;=BS600, 1))</f>
        <v>2</v>
      </c>
      <c r="BW600" s="58">
        <f t="array" ref="BW600">SUM(IF(BS600:BT600&gt;=BT600, 1))</f>
        <v>1</v>
      </c>
      <c r="BY600" s="109">
        <f t="shared" si="245"/>
        <v>134479.23189223607</v>
      </c>
      <c r="BZ600" s="109">
        <f t="shared" si="246"/>
        <v>134758.9235313244</v>
      </c>
      <c r="CB600" s="58">
        <f t="array" ref="CB600">SUM(IF(BY600:BZ600&gt;=BY600, 1))</f>
        <v>2</v>
      </c>
      <c r="CC600" s="58">
        <f t="array" ref="CC600">SUM(IF(BY600:BZ600&gt;=BZ600, 1))</f>
        <v>1</v>
      </c>
      <c r="CE600" s="109">
        <f t="shared" si="247"/>
        <v>97460.540320530679</v>
      </c>
      <c r="CF600" s="109">
        <f t="shared" si="248"/>
        <v>101019.86364435902</v>
      </c>
      <c r="CH600" s="58">
        <f t="array" ref="CH600">SUM(IF(CE600:CF600&gt;=CE600, 1))</f>
        <v>2</v>
      </c>
      <c r="CI600" s="58">
        <f t="array" ref="CI600">SUM(IF(CE600:CF600&gt;=CF600, 1))</f>
        <v>1</v>
      </c>
      <c r="CK600" s="109">
        <f t="shared" si="249"/>
        <v>51773.691570393996</v>
      </c>
      <c r="CL600" s="109">
        <f t="shared" si="250"/>
        <v>52801.752041356085</v>
      </c>
      <c r="CN600" s="58">
        <f t="array" ref="CN600">SUM(IF(CK600:CL600&gt;=CK600, 1))</f>
        <v>2</v>
      </c>
      <c r="CO600" s="58">
        <f t="array" ref="CO600">SUM(IF(CK600:CL600&gt;=CL600, 1))</f>
        <v>1</v>
      </c>
      <c r="CQ600" s="109" cm="1">
        <f t="array" ref="CQ600">AF600*WTP-AC600</f>
        <v>41836.379086368979</v>
      </c>
      <c r="CR600" s="109">
        <f t="shared" si="251"/>
        <v>45264.657053204173</v>
      </c>
      <c r="CT600" s="58">
        <f t="array" ref="CT600">SUM(IF(CQ600:CR600&gt;=CQ600, 1))</f>
        <v>2</v>
      </c>
      <c r="CU600" s="58">
        <f t="array" ref="CU600">SUM(IF(CQ600:CR600&gt;=CR600, 1))</f>
        <v>1</v>
      </c>
      <c r="CW600" s="109">
        <f t="shared" si="252"/>
        <v>-35351955.370672986</v>
      </c>
      <c r="CX600" s="109">
        <f t="shared" si="253"/>
        <v>0</v>
      </c>
      <c r="CZ600" s="58">
        <f t="array" ref="CZ600">SUM(IF(CW600:CX600&gt;=CW600, 1))</f>
        <v>2</v>
      </c>
      <c r="DA600" s="58">
        <f t="array" ref="DA600">SUM(IF(CW600:CX600&gt;=CX600, 1))</f>
        <v>1</v>
      </c>
      <c r="DC600" s="109">
        <f t="shared" si="254"/>
        <v>-1921566.7883640921</v>
      </c>
      <c r="DD600" s="109">
        <f t="shared" si="255"/>
        <v>0</v>
      </c>
      <c r="DF600" s="58">
        <f t="array" ref="DF600">SUM(IF(DC600:DD600&gt;=DC600, 1))</f>
        <v>2</v>
      </c>
      <c r="DG600" s="58">
        <f t="array" ref="DG600">SUM(IF(DC600:DD600&gt;=DD600, 1))</f>
        <v>1</v>
      </c>
      <c r="DI600" s="109">
        <f t="shared" si="256"/>
        <v>-80619267.303265512</v>
      </c>
      <c r="DJ600" s="109">
        <f t="shared" si="257"/>
        <v>0</v>
      </c>
      <c r="DL600" s="58">
        <f t="array" ref="DL600">SUM(IF(DI600:DJ600&gt;=DI600, 1))</f>
        <v>2</v>
      </c>
      <c r="DM600" s="58">
        <f t="array" ref="DM600">SUM(IF(DI600:DJ600&gt;=DJ600, 1))</f>
        <v>1</v>
      </c>
      <c r="DO600" s="109">
        <f t="shared" si="258"/>
        <v>-9130677.7736574057</v>
      </c>
      <c r="DP600" s="109">
        <f t="shared" si="259"/>
        <v>0</v>
      </c>
      <c r="DR600" s="58">
        <f t="array" ref="DR600">SUM(IF(DO600:DP600&gt;=DO600, 1))</f>
        <v>2</v>
      </c>
      <c r="DS600" s="58">
        <f t="array" ref="DS600">SUM(IF(DO600:DP600&gt;=DP600, 1))</f>
        <v>1</v>
      </c>
      <c r="DU600" s="109">
        <f t="shared" si="260"/>
        <v>-54844007.965716466</v>
      </c>
      <c r="DV600" s="109">
        <f t="shared" si="261"/>
        <v>0</v>
      </c>
      <c r="DX600" s="58">
        <f t="array" ref="DX600">SUM(IF(DU600:DV600&gt;=DU600, 1))</f>
        <v>2</v>
      </c>
      <c r="DY600" s="58">
        <f t="array" ref="DY600">SUM(IF(DU600:DV600&gt;=DV600, 1))</f>
        <v>1</v>
      </c>
      <c r="EA600" s="109">
        <f t="shared" si="262"/>
        <v>-181867475.20167646</v>
      </c>
      <c r="EB600" s="109">
        <f t="shared" si="263"/>
        <v>0</v>
      </c>
      <c r="ED600" s="58">
        <f t="array" ref="ED600">SUM(IF(EA600:EB600&gt;=EA600, 1))</f>
        <v>2</v>
      </c>
      <c r="EE600" s="58">
        <f t="array" ref="EE600">SUM(IF(EA600:EB600&gt;=EB600, 1))</f>
        <v>1</v>
      </c>
    </row>
    <row r="601" spans="4:135" ht="12" customHeight="1" x14ac:dyDescent="0.25">
      <c r="D601" s="11">
        <v>585</v>
      </c>
      <c r="E601" s="72">
        <v>241.99019709095782</v>
      </c>
      <c r="F601" s="72">
        <v>216.95806666648369</v>
      </c>
      <c r="G601" s="73"/>
      <c r="H601" s="74">
        <v>5.9077749337776799</v>
      </c>
      <c r="I601" s="74">
        <v>5.9193084479716251</v>
      </c>
      <c r="J601" s="73"/>
      <c r="K601" s="72">
        <v>259.5064480390302</v>
      </c>
      <c r="L601" s="72">
        <v>233.86802754458753</v>
      </c>
      <c r="M601" s="73"/>
      <c r="N601" s="74">
        <v>6.7573730041268796</v>
      </c>
      <c r="O601" s="74">
        <v>6.7664489400569696</v>
      </c>
      <c r="P601" s="73"/>
      <c r="Q601" s="72">
        <v>1907.9510671110529</v>
      </c>
      <c r="R601" s="72">
        <v>1050.8138141261961</v>
      </c>
      <c r="S601" s="73"/>
      <c r="T601" s="74">
        <v>4.8748589800973265</v>
      </c>
      <c r="U601" s="74">
        <v>4.9843311933328716</v>
      </c>
      <c r="V601" s="73"/>
      <c r="W601" s="72">
        <v>10255.679507877348</v>
      </c>
      <c r="X601" s="72">
        <v>10171.79777863532</v>
      </c>
      <c r="Y601" s="73"/>
      <c r="Z601" s="74">
        <v>2.8645271752891119</v>
      </c>
      <c r="AA601" s="74">
        <v>2.8905998739763947</v>
      </c>
      <c r="AB601" s="73"/>
      <c r="AC601" s="72">
        <v>51480.848387517086</v>
      </c>
      <c r="AD601" s="72">
        <v>51264.187936005168</v>
      </c>
      <c r="AE601" s="73"/>
      <c r="AF601" s="74">
        <v>4.3292589941363895</v>
      </c>
      <c r="AG601" s="74">
        <v>4.4022453506110155</v>
      </c>
      <c r="AH601" s="73"/>
      <c r="AI601" s="72">
        <v>2655140.4230639958</v>
      </c>
      <c r="AJ601" s="72">
        <v>0</v>
      </c>
      <c r="AK601" s="73"/>
      <c r="AL601" s="74">
        <v>-1223.3517178540196</v>
      </c>
      <c r="AM601" s="74">
        <v>0</v>
      </c>
      <c r="AN601" s="73"/>
      <c r="AO601" s="72">
        <v>175707.58710735917</v>
      </c>
      <c r="AP601" s="72">
        <v>0</v>
      </c>
      <c r="AQ601" s="73"/>
      <c r="AR601" s="74">
        <v>-62.200040886402206</v>
      </c>
      <c r="AS601" s="74">
        <v>0</v>
      </c>
      <c r="AT601" s="73"/>
      <c r="AU601" s="72">
        <v>19627031.130141828</v>
      </c>
      <c r="AV601" s="72">
        <v>0</v>
      </c>
      <c r="AW601" s="73"/>
      <c r="AX601" s="74">
        <v>-2506.7333493875412</v>
      </c>
      <c r="AY601" s="74">
        <v>0</v>
      </c>
      <c r="AZ601" s="73"/>
      <c r="BA601" s="72">
        <v>789427.50478089135</v>
      </c>
      <c r="BB601" s="72">
        <v>0</v>
      </c>
      <c r="BC601" s="73"/>
      <c r="BD601" s="74">
        <v>-245.37531180619746</v>
      </c>
      <c r="BE601" s="74">
        <v>0</v>
      </c>
      <c r="BF601" s="73"/>
      <c r="BG601" s="72">
        <v>3591274.9541817098</v>
      </c>
      <c r="BH601" s="72">
        <v>0</v>
      </c>
      <c r="BI601" s="73"/>
      <c r="BJ601" s="74">
        <v>-1209.7919679166014</v>
      </c>
      <c r="BK601" s="74">
        <v>0</v>
      </c>
      <c r="BL601" s="73"/>
      <c r="BM601" s="72">
        <v>26838581.599275783</v>
      </c>
      <c r="BN601" s="72">
        <v>0</v>
      </c>
      <c r="BO601" s="73"/>
      <c r="BP601" s="74">
        <v>-5247.4523878507616</v>
      </c>
      <c r="BQ601" s="74">
        <v>0</v>
      </c>
      <c r="BS601" s="109">
        <f t="shared" si="243"/>
        <v>117913.50847846264</v>
      </c>
      <c r="BT601" s="109">
        <f t="shared" si="244"/>
        <v>118169.21089276602</v>
      </c>
      <c r="BV601" s="58">
        <f t="array" ref="BV601">SUM(IF(BS601:BT601&gt;=BS601, 1))</f>
        <v>2</v>
      </c>
      <c r="BW601" s="58">
        <f t="array" ref="BW601">SUM(IF(BS601:BT601&gt;=BT601, 1))</f>
        <v>1</v>
      </c>
      <c r="BY601" s="109">
        <f t="shared" si="245"/>
        <v>134887.95363449855</v>
      </c>
      <c r="BZ601" s="109">
        <f t="shared" si="246"/>
        <v>135095.11077359482</v>
      </c>
      <c r="CB601" s="58">
        <f t="array" ref="CB601">SUM(IF(BY601:BZ601&gt;=BY601, 1))</f>
        <v>2</v>
      </c>
      <c r="CC601" s="58">
        <f t="array" ref="CC601">SUM(IF(BY601:BZ601&gt;=BZ601, 1))</f>
        <v>1</v>
      </c>
      <c r="CE601" s="109">
        <f t="shared" si="247"/>
        <v>95589.228534835478</v>
      </c>
      <c r="CF601" s="109">
        <f t="shared" si="248"/>
        <v>98635.810052531233</v>
      </c>
      <c r="CH601" s="58">
        <f t="array" ref="CH601">SUM(IF(CE601:CF601&gt;=CE601, 1))</f>
        <v>2</v>
      </c>
      <c r="CI601" s="58">
        <f t="array" ref="CI601">SUM(IF(CE601:CF601&gt;=CF601, 1))</f>
        <v>1</v>
      </c>
      <c r="CK601" s="109">
        <f t="shared" si="249"/>
        <v>47034.863997904889</v>
      </c>
      <c r="CL601" s="109">
        <f t="shared" si="250"/>
        <v>47640.199700892575</v>
      </c>
      <c r="CN601" s="58">
        <f t="array" ref="CN601">SUM(IF(CK601:CL601&gt;=CK601, 1))</f>
        <v>2</v>
      </c>
      <c r="CO601" s="58">
        <f t="array" ref="CO601">SUM(IF(CK601:CL601&gt;=CL601, 1))</f>
        <v>1</v>
      </c>
      <c r="CQ601" s="109" cm="1">
        <f t="array" ref="CQ601">AF601*WTP-AC601</f>
        <v>35104.33149521071</v>
      </c>
      <c r="CR601" s="109">
        <f t="shared" si="251"/>
        <v>36780.719076215144</v>
      </c>
      <c r="CT601" s="58">
        <f t="array" ref="CT601">SUM(IF(CQ601:CR601&gt;=CQ601, 1))</f>
        <v>2</v>
      </c>
      <c r="CU601" s="58">
        <f t="array" ref="CU601">SUM(IF(CQ601:CR601&gt;=CR601, 1))</f>
        <v>1</v>
      </c>
      <c r="CW601" s="109">
        <f t="shared" si="252"/>
        <v>-27122174.78014439</v>
      </c>
      <c r="CX601" s="109">
        <f t="shared" si="253"/>
        <v>0</v>
      </c>
      <c r="CZ601" s="58">
        <f t="array" ref="CZ601">SUM(IF(CW601:CX601&gt;=CW601, 1))</f>
        <v>2</v>
      </c>
      <c r="DA601" s="58">
        <f t="array" ref="DA601">SUM(IF(CW601:CX601&gt;=CX601, 1))</f>
        <v>1</v>
      </c>
      <c r="DC601" s="109">
        <f t="shared" si="254"/>
        <v>-1419708.4048354034</v>
      </c>
      <c r="DD601" s="109">
        <f t="shared" si="255"/>
        <v>0</v>
      </c>
      <c r="DF601" s="58">
        <f t="array" ref="DF601">SUM(IF(DC601:DD601&gt;=DC601, 1))</f>
        <v>2</v>
      </c>
      <c r="DG601" s="58">
        <f t="array" ref="DG601">SUM(IF(DC601:DD601&gt;=DD601, 1))</f>
        <v>1</v>
      </c>
      <c r="DI601" s="109">
        <f t="shared" si="256"/>
        <v>-69761698.117892653</v>
      </c>
      <c r="DJ601" s="109">
        <f t="shared" si="257"/>
        <v>0</v>
      </c>
      <c r="DL601" s="58">
        <f t="array" ref="DL601">SUM(IF(DI601:DJ601&gt;=DI601, 1))</f>
        <v>2</v>
      </c>
      <c r="DM601" s="58">
        <f t="array" ref="DM601">SUM(IF(DI601:DJ601&gt;=DJ601, 1))</f>
        <v>1</v>
      </c>
      <c r="DO601" s="109">
        <f t="shared" si="258"/>
        <v>-5696933.7409048406</v>
      </c>
      <c r="DP601" s="109">
        <f t="shared" si="259"/>
        <v>0</v>
      </c>
      <c r="DR601" s="58">
        <f t="array" ref="DR601">SUM(IF(DO601:DP601&gt;=DO601, 1))</f>
        <v>2</v>
      </c>
      <c r="DS601" s="58">
        <f t="array" ref="DS601">SUM(IF(DO601:DP601&gt;=DP601, 1))</f>
        <v>1</v>
      </c>
      <c r="DU601" s="109">
        <f t="shared" si="260"/>
        <v>-27787114.312513735</v>
      </c>
      <c r="DV601" s="109">
        <f t="shared" si="261"/>
        <v>0</v>
      </c>
      <c r="DX601" s="58">
        <f t="array" ref="DX601">SUM(IF(DU601:DV601&gt;=DU601, 1))</f>
        <v>2</v>
      </c>
      <c r="DY601" s="58">
        <f t="array" ref="DY601">SUM(IF(DU601:DV601&gt;=DV601, 1))</f>
        <v>1</v>
      </c>
      <c r="EA601" s="109">
        <f t="shared" si="262"/>
        <v>-131787629.35629101</v>
      </c>
      <c r="EB601" s="109">
        <f t="shared" si="263"/>
        <v>0</v>
      </c>
      <c r="ED601" s="58">
        <f t="array" ref="ED601">SUM(IF(EA601:EB601&gt;=EA601, 1))</f>
        <v>2</v>
      </c>
      <c r="EE601" s="58">
        <f t="array" ref="EE601">SUM(IF(EA601:EB601&gt;=EB601, 1))</f>
        <v>1</v>
      </c>
    </row>
    <row r="602" spans="4:135" ht="12" customHeight="1" x14ac:dyDescent="0.25">
      <c r="D602" s="11">
        <v>586</v>
      </c>
      <c r="E602" s="72">
        <v>196.79868092352677</v>
      </c>
      <c r="F602" s="72">
        <v>176.66223499155893</v>
      </c>
      <c r="G602" s="73"/>
      <c r="H602" s="74">
        <v>5.8947760411228352</v>
      </c>
      <c r="I602" s="74">
        <v>5.9131160194423238</v>
      </c>
      <c r="J602" s="73"/>
      <c r="K602" s="72">
        <v>211.07857697852384</v>
      </c>
      <c r="L602" s="72">
        <v>190.46136361552135</v>
      </c>
      <c r="M602" s="73"/>
      <c r="N602" s="74">
        <v>6.6881720122487982</v>
      </c>
      <c r="O602" s="74">
        <v>6.7045835090355421</v>
      </c>
      <c r="P602" s="73"/>
      <c r="Q602" s="72">
        <v>2152.1633914980816</v>
      </c>
      <c r="R602" s="72">
        <v>1619.9202773605014</v>
      </c>
      <c r="S602" s="73"/>
      <c r="T602" s="74">
        <v>4.9328894490718378</v>
      </c>
      <c r="U602" s="74">
        <v>4.9749548662728271</v>
      </c>
      <c r="V602" s="73"/>
      <c r="W602" s="72">
        <v>13630.630881745832</v>
      </c>
      <c r="X602" s="72">
        <v>13653.287704914097</v>
      </c>
      <c r="Y602" s="73"/>
      <c r="Z602" s="74">
        <v>3.0742272868805047</v>
      </c>
      <c r="AA602" s="74">
        <v>3.1162623057928993</v>
      </c>
      <c r="AB602" s="73"/>
      <c r="AC602" s="72">
        <v>50967.534748526181</v>
      </c>
      <c r="AD602" s="72">
        <v>50753.313747706576</v>
      </c>
      <c r="AE602" s="73"/>
      <c r="AF602" s="74">
        <v>4.8098054484116863</v>
      </c>
      <c r="AG602" s="74">
        <v>4.9392261745138368</v>
      </c>
      <c r="AH602" s="73"/>
      <c r="AI602" s="72">
        <v>2184834.1385169183</v>
      </c>
      <c r="AJ602" s="72">
        <v>0</v>
      </c>
      <c r="AK602" s="73"/>
      <c r="AL602" s="74">
        <v>-1989.9147479876594</v>
      </c>
      <c r="AM602" s="74">
        <v>0</v>
      </c>
      <c r="AN602" s="73"/>
      <c r="AO602" s="72">
        <v>138828.93029934287</v>
      </c>
      <c r="AP602" s="72">
        <v>0</v>
      </c>
      <c r="AQ602" s="73"/>
      <c r="AR602" s="74">
        <v>-110.50914124036393</v>
      </c>
      <c r="AS602" s="74">
        <v>0</v>
      </c>
      <c r="AT602" s="73"/>
      <c r="AU602" s="72">
        <v>12548342.729825573</v>
      </c>
      <c r="AV602" s="72">
        <v>0</v>
      </c>
      <c r="AW602" s="73"/>
      <c r="AX602" s="74">
        <v>-991.74842866011977</v>
      </c>
      <c r="AY602" s="74">
        <v>0</v>
      </c>
      <c r="AZ602" s="73"/>
      <c r="BA602" s="72">
        <v>-201256.26764560331</v>
      </c>
      <c r="BB602" s="72">
        <v>0</v>
      </c>
      <c r="BC602" s="73"/>
      <c r="BD602" s="74">
        <v>-373.38910905083981</v>
      </c>
      <c r="BE602" s="74">
        <v>0</v>
      </c>
      <c r="BF602" s="73"/>
      <c r="BG602" s="72">
        <v>3338627.7072605831</v>
      </c>
      <c r="BH602" s="72">
        <v>0</v>
      </c>
      <c r="BI602" s="73"/>
      <c r="BJ602" s="74">
        <v>-2017.018034671036</v>
      </c>
      <c r="BK602" s="74">
        <v>0</v>
      </c>
      <c r="BL602" s="73"/>
      <c r="BM602" s="72">
        <v>18009377.238256816</v>
      </c>
      <c r="BN602" s="72">
        <v>0</v>
      </c>
      <c r="BO602" s="73"/>
      <c r="BP602" s="74">
        <v>-5482.5794616100184</v>
      </c>
      <c r="BQ602" s="74">
        <v>0</v>
      </c>
      <c r="BS602" s="109">
        <f t="shared" si="243"/>
        <v>117698.72214153317</v>
      </c>
      <c r="BT602" s="109">
        <f t="shared" si="244"/>
        <v>118085.65815385492</v>
      </c>
      <c r="BV602" s="58">
        <f t="array" ref="BV602">SUM(IF(BS602:BT602&gt;=BS602, 1))</f>
        <v>2</v>
      </c>
      <c r="BW602" s="58">
        <f t="array" ref="BW602">SUM(IF(BS602:BT602&gt;=BT602, 1))</f>
        <v>1</v>
      </c>
      <c r="BY602" s="109">
        <f t="shared" si="245"/>
        <v>133552.36166799744</v>
      </c>
      <c r="BZ602" s="109">
        <f t="shared" si="246"/>
        <v>133901.20881709532</v>
      </c>
      <c r="CB602" s="58">
        <f t="array" ref="CB602">SUM(IF(BY602:BZ602&gt;=BY602, 1))</f>
        <v>2</v>
      </c>
      <c r="CC602" s="58">
        <f t="array" ref="CC602">SUM(IF(BY602:BZ602&gt;=BZ602, 1))</f>
        <v>1</v>
      </c>
      <c r="CE602" s="109">
        <f t="shared" si="247"/>
        <v>96505.625589938674</v>
      </c>
      <c r="CF602" s="109">
        <f t="shared" si="248"/>
        <v>97879.17704809604</v>
      </c>
      <c r="CH602" s="58">
        <f t="array" ref="CH602">SUM(IF(CE602:CF602&gt;=CE602, 1))</f>
        <v>2</v>
      </c>
      <c r="CI602" s="58">
        <f t="array" ref="CI602">SUM(IF(CE602:CF602&gt;=CF602, 1))</f>
        <v>1</v>
      </c>
      <c r="CK602" s="109">
        <f t="shared" si="249"/>
        <v>47853.914855864263</v>
      </c>
      <c r="CL602" s="109">
        <f t="shared" si="250"/>
        <v>48671.958410943887</v>
      </c>
      <c r="CN602" s="58">
        <f t="array" ref="CN602">SUM(IF(CK602:CL602&gt;=CK602, 1))</f>
        <v>2</v>
      </c>
      <c r="CO602" s="58">
        <f t="array" ref="CO602">SUM(IF(CK602:CL602&gt;=CL602, 1))</f>
        <v>1</v>
      </c>
      <c r="CQ602" s="109" cm="1">
        <f t="array" ref="CQ602">AF602*WTP-AC602</f>
        <v>45228.574219707552</v>
      </c>
      <c r="CR602" s="109">
        <f t="shared" si="251"/>
        <v>48031.209742570165</v>
      </c>
      <c r="CT602" s="58">
        <f t="array" ref="CT602">SUM(IF(CQ602:CR602&gt;=CQ602, 1))</f>
        <v>2</v>
      </c>
      <c r="CU602" s="58">
        <f t="array" ref="CU602">SUM(IF(CQ602:CR602&gt;=CR602, 1))</f>
        <v>1</v>
      </c>
      <c r="CW602" s="109">
        <f t="shared" si="252"/>
        <v>-41983129.098270103</v>
      </c>
      <c r="CX602" s="109">
        <f t="shared" si="253"/>
        <v>0</v>
      </c>
      <c r="CZ602" s="58">
        <f t="array" ref="CZ602">SUM(IF(CW602:CX602&gt;=CW602, 1))</f>
        <v>2</v>
      </c>
      <c r="DA602" s="58">
        <f t="array" ref="DA602">SUM(IF(CW602:CX602&gt;=CX602, 1))</f>
        <v>1</v>
      </c>
      <c r="DC602" s="109">
        <f t="shared" si="254"/>
        <v>-2349011.7551066219</v>
      </c>
      <c r="DD602" s="109">
        <f t="shared" si="255"/>
        <v>0</v>
      </c>
      <c r="DF602" s="58">
        <f t="array" ref="DF602">SUM(IF(DC602:DD602&gt;=DC602, 1))</f>
        <v>2</v>
      </c>
      <c r="DG602" s="58">
        <f t="array" ref="DG602">SUM(IF(DC602:DD602&gt;=DD602, 1))</f>
        <v>1</v>
      </c>
      <c r="DI602" s="109">
        <f t="shared" si="256"/>
        <v>-32383311.303027965</v>
      </c>
      <c r="DJ602" s="109">
        <f t="shared" si="257"/>
        <v>0</v>
      </c>
      <c r="DL602" s="58">
        <f t="array" ref="DL602">SUM(IF(DI602:DJ602&gt;=DI602, 1))</f>
        <v>2</v>
      </c>
      <c r="DM602" s="58">
        <f t="array" ref="DM602">SUM(IF(DI602:DJ602&gt;=DJ602, 1))</f>
        <v>1</v>
      </c>
      <c r="DO602" s="109">
        <f t="shared" si="258"/>
        <v>-7266525.9133711932</v>
      </c>
      <c r="DP602" s="109">
        <f t="shared" si="259"/>
        <v>0</v>
      </c>
      <c r="DR602" s="58">
        <f t="array" ref="DR602">SUM(IF(DO602:DP602&gt;=DO602, 1))</f>
        <v>2</v>
      </c>
      <c r="DS602" s="58">
        <f t="array" ref="DS602">SUM(IF(DO602:DP602&gt;=DP602, 1))</f>
        <v>1</v>
      </c>
      <c r="DU602" s="109">
        <f t="shared" si="260"/>
        <v>-43678988.400681309</v>
      </c>
      <c r="DV602" s="109">
        <f t="shared" si="261"/>
        <v>0</v>
      </c>
      <c r="DX602" s="58">
        <f t="array" ref="DX602">SUM(IF(DU602:DV602&gt;=DU602, 1))</f>
        <v>2</v>
      </c>
      <c r="DY602" s="58">
        <f t="array" ref="DY602">SUM(IF(DU602:DV602&gt;=DV602, 1))</f>
        <v>1</v>
      </c>
      <c r="EA602" s="109">
        <f t="shared" si="262"/>
        <v>-127660966.47045718</v>
      </c>
      <c r="EB602" s="109">
        <f t="shared" si="263"/>
        <v>0</v>
      </c>
      <c r="ED602" s="58">
        <f t="array" ref="ED602">SUM(IF(EA602:EB602&gt;=EA602, 1))</f>
        <v>2</v>
      </c>
      <c r="EE602" s="58">
        <f t="array" ref="EE602">SUM(IF(EA602:EB602&gt;=EB602, 1))</f>
        <v>1</v>
      </c>
    </row>
    <row r="603" spans="4:135" ht="12" customHeight="1" x14ac:dyDescent="0.25">
      <c r="D603" s="11">
        <v>587</v>
      </c>
      <c r="E603" s="72">
        <v>255.79975206443271</v>
      </c>
      <c r="F603" s="72">
        <v>240.22368117177825</v>
      </c>
      <c r="G603" s="73"/>
      <c r="H603" s="74">
        <v>5.8469440888871995</v>
      </c>
      <c r="I603" s="74">
        <v>5.8604705599752087</v>
      </c>
      <c r="J603" s="73"/>
      <c r="K603" s="72">
        <v>275.04143869372245</v>
      </c>
      <c r="L603" s="72">
        <v>259.08732275208871</v>
      </c>
      <c r="M603" s="73"/>
      <c r="N603" s="74">
        <v>6.6913903048333507</v>
      </c>
      <c r="O603" s="74">
        <v>6.7029010801883793</v>
      </c>
      <c r="P603" s="73"/>
      <c r="Q603" s="72">
        <v>2909.4520958505855</v>
      </c>
      <c r="R603" s="72">
        <v>1447.2722087890547</v>
      </c>
      <c r="S603" s="73"/>
      <c r="T603" s="74">
        <v>4.7982451729743625</v>
      </c>
      <c r="U603" s="74">
        <v>4.9219544766673451</v>
      </c>
      <c r="V603" s="73"/>
      <c r="W603" s="72">
        <v>13210.23650838026</v>
      </c>
      <c r="X603" s="72">
        <v>13192.412302373692</v>
      </c>
      <c r="Y603" s="73"/>
      <c r="Z603" s="74">
        <v>3.0516734135379728</v>
      </c>
      <c r="AA603" s="74">
        <v>3.1039123247651239</v>
      </c>
      <c r="AB603" s="73"/>
      <c r="AC603" s="72">
        <v>47987.479144447287</v>
      </c>
      <c r="AD603" s="72">
        <v>47988.097424356602</v>
      </c>
      <c r="AE603" s="73"/>
      <c r="AF603" s="74">
        <v>4.0833578419062162</v>
      </c>
      <c r="AG603" s="74">
        <v>4.1393739875014299</v>
      </c>
      <c r="AH603" s="73"/>
      <c r="AI603" s="72">
        <v>1684696.1340992299</v>
      </c>
      <c r="AJ603" s="72">
        <v>0</v>
      </c>
      <c r="AK603" s="73"/>
      <c r="AL603" s="74">
        <v>-1463.012957954674</v>
      </c>
      <c r="AM603" s="74">
        <v>0</v>
      </c>
      <c r="AN603" s="73"/>
      <c r="AO603" s="72">
        <v>105921.0156614758</v>
      </c>
      <c r="AP603" s="72">
        <v>0</v>
      </c>
      <c r="AQ603" s="73"/>
      <c r="AR603" s="74">
        <v>-76.421220775637309</v>
      </c>
      <c r="AS603" s="74">
        <v>0</v>
      </c>
      <c r="AT603" s="73"/>
      <c r="AU603" s="72">
        <v>33605485.762540892</v>
      </c>
      <c r="AV603" s="72">
        <v>0</v>
      </c>
      <c r="AW603" s="73"/>
      <c r="AX603" s="74">
        <v>-2843.2283064042917</v>
      </c>
      <c r="AY603" s="74">
        <v>0</v>
      </c>
      <c r="AZ603" s="73"/>
      <c r="BA603" s="72">
        <v>160145.03838726872</v>
      </c>
      <c r="BB603" s="72">
        <v>0</v>
      </c>
      <c r="BC603" s="73"/>
      <c r="BD603" s="74">
        <v>-469.35063703250967</v>
      </c>
      <c r="BE603" s="74">
        <v>0</v>
      </c>
      <c r="BF603" s="73"/>
      <c r="BG603" s="72">
        <v>-9875.8209476168922</v>
      </c>
      <c r="BH603" s="72">
        <v>0</v>
      </c>
      <c r="BI603" s="73"/>
      <c r="BJ603" s="74">
        <v>-894.74915121693198</v>
      </c>
      <c r="BK603" s="74">
        <v>0</v>
      </c>
      <c r="BL603" s="73"/>
      <c r="BM603" s="72">
        <v>35546372.129741251</v>
      </c>
      <c r="BN603" s="72">
        <v>0</v>
      </c>
      <c r="BO603" s="73"/>
      <c r="BP603" s="74">
        <v>-5746.7622733840444</v>
      </c>
      <c r="BQ603" s="74">
        <v>0</v>
      </c>
      <c r="BS603" s="109">
        <f t="shared" si="243"/>
        <v>116683.08202567956</v>
      </c>
      <c r="BT603" s="109">
        <f t="shared" si="244"/>
        <v>116969.1875183324</v>
      </c>
      <c r="BV603" s="58">
        <f t="array" ref="BV603">SUM(IF(BS603:BT603&gt;=BS603, 1))</f>
        <v>2</v>
      </c>
      <c r="BW603" s="58">
        <f t="array" ref="BW603">SUM(IF(BS603:BT603&gt;=BT603, 1))</f>
        <v>1</v>
      </c>
      <c r="BY603" s="109">
        <f t="shared" si="245"/>
        <v>133552.76465797328</v>
      </c>
      <c r="BZ603" s="109">
        <f t="shared" si="246"/>
        <v>133798.93428101551</v>
      </c>
      <c r="CB603" s="58">
        <f t="array" ref="CB603">SUM(IF(BY603:BZ603&gt;=BY603, 1))</f>
        <v>2</v>
      </c>
      <c r="CC603" s="58">
        <f t="array" ref="CC603">SUM(IF(BY603:BZ603&gt;=BZ603, 1))</f>
        <v>1</v>
      </c>
      <c r="CE603" s="109">
        <f t="shared" si="247"/>
        <v>93055.451363636661</v>
      </c>
      <c r="CF603" s="109">
        <f t="shared" si="248"/>
        <v>96991.817324557851</v>
      </c>
      <c r="CH603" s="58">
        <f t="array" ref="CH603">SUM(IF(CE603:CF603&gt;=CE603, 1))</f>
        <v>2</v>
      </c>
      <c r="CI603" s="58">
        <f t="array" ref="CI603">SUM(IF(CE603:CF603&gt;=CF603, 1))</f>
        <v>1</v>
      </c>
      <c r="CK603" s="109">
        <f t="shared" si="249"/>
        <v>47823.231762379197</v>
      </c>
      <c r="CL603" s="109">
        <f t="shared" si="250"/>
        <v>48885.834192928785</v>
      </c>
      <c r="CN603" s="58">
        <f t="array" ref="CN603">SUM(IF(CK603:CL603&gt;=CK603, 1))</f>
        <v>2</v>
      </c>
      <c r="CO603" s="58">
        <f t="array" ref="CO603">SUM(IF(CK603:CL603&gt;=CL603, 1))</f>
        <v>1</v>
      </c>
      <c r="CQ603" s="109" cm="1">
        <f t="array" ref="CQ603">AF603*WTP-AC603</f>
        <v>33679.67769367704</v>
      </c>
      <c r="CR603" s="109">
        <f t="shared" si="251"/>
        <v>34799.382325671992</v>
      </c>
      <c r="CT603" s="58">
        <f t="array" ref="CT603">SUM(IF(CQ603:CR603&gt;=CQ603, 1))</f>
        <v>2</v>
      </c>
      <c r="CU603" s="58">
        <f t="array" ref="CU603">SUM(IF(CQ603:CR603&gt;=CR603, 1))</f>
        <v>1</v>
      </c>
      <c r="CW603" s="109">
        <f t="shared" si="252"/>
        <v>-30944955.293192711</v>
      </c>
      <c r="CX603" s="109">
        <f t="shared" si="253"/>
        <v>0</v>
      </c>
      <c r="CZ603" s="58">
        <f t="array" ref="CZ603">SUM(IF(CW603:CX603&gt;=CW603, 1))</f>
        <v>2</v>
      </c>
      <c r="DA603" s="58">
        <f t="array" ref="DA603">SUM(IF(CW603:CX603&gt;=CX603, 1))</f>
        <v>1</v>
      </c>
      <c r="DC603" s="109">
        <f t="shared" si="254"/>
        <v>-1634345.4311742219</v>
      </c>
      <c r="DD603" s="109">
        <f t="shared" si="255"/>
        <v>0</v>
      </c>
      <c r="DF603" s="58">
        <f t="array" ref="DF603">SUM(IF(DC603:DD603&gt;=DC603, 1))</f>
        <v>2</v>
      </c>
      <c r="DG603" s="58">
        <f t="array" ref="DG603">SUM(IF(DC603:DD603&gt;=DD603, 1))</f>
        <v>1</v>
      </c>
      <c r="DI603" s="109">
        <f t="shared" si="256"/>
        <v>-90470051.890626729</v>
      </c>
      <c r="DJ603" s="109">
        <f t="shared" si="257"/>
        <v>0</v>
      </c>
      <c r="DL603" s="58">
        <f t="array" ref="DL603">SUM(IF(DI603:DJ603&gt;=DI603, 1))</f>
        <v>2</v>
      </c>
      <c r="DM603" s="58">
        <f t="array" ref="DM603">SUM(IF(DI603:DJ603&gt;=DJ603, 1))</f>
        <v>1</v>
      </c>
      <c r="DO603" s="109">
        <f t="shared" si="258"/>
        <v>-9547157.7790374625</v>
      </c>
      <c r="DP603" s="109">
        <f t="shared" si="259"/>
        <v>0</v>
      </c>
      <c r="DR603" s="58">
        <f t="array" ref="DR603">SUM(IF(DO603:DP603&gt;=DO603, 1))</f>
        <v>2</v>
      </c>
      <c r="DS603" s="58">
        <f t="array" ref="DS603">SUM(IF(DO603:DP603&gt;=DP603, 1))</f>
        <v>1</v>
      </c>
      <c r="DU603" s="109">
        <f t="shared" si="260"/>
        <v>-17885107.203391023</v>
      </c>
      <c r="DV603" s="109">
        <f t="shared" si="261"/>
        <v>0</v>
      </c>
      <c r="DX603" s="58">
        <f t="array" ref="DX603">SUM(IF(DU603:DV603&gt;=DU603, 1))</f>
        <v>2</v>
      </c>
      <c r="DY603" s="58">
        <f t="array" ref="DY603">SUM(IF(DU603:DV603&gt;=DV603, 1))</f>
        <v>1</v>
      </c>
      <c r="EA603" s="109">
        <f t="shared" si="262"/>
        <v>-150481617.59742212</v>
      </c>
      <c r="EB603" s="109">
        <f t="shared" si="263"/>
        <v>0</v>
      </c>
      <c r="ED603" s="58">
        <f t="array" ref="ED603">SUM(IF(EA603:EB603&gt;=EA603, 1))</f>
        <v>2</v>
      </c>
      <c r="EE603" s="58">
        <f t="array" ref="EE603">SUM(IF(EA603:EB603&gt;=EB603, 1))</f>
        <v>1</v>
      </c>
    </row>
    <row r="604" spans="4:135" ht="12" customHeight="1" x14ac:dyDescent="0.25">
      <c r="D604" s="11">
        <v>588</v>
      </c>
      <c r="E604" s="72">
        <v>324.21575149489786</v>
      </c>
      <c r="F604" s="72">
        <v>299.56901889276276</v>
      </c>
      <c r="G604" s="73"/>
      <c r="H604" s="74">
        <v>5.8806571954001097</v>
      </c>
      <c r="I604" s="74">
        <v>5.8914314825029175</v>
      </c>
      <c r="J604" s="73"/>
      <c r="K604" s="72">
        <v>348.20013203541237</v>
      </c>
      <c r="L604" s="72">
        <v>322.94641670632774</v>
      </c>
      <c r="M604" s="73"/>
      <c r="N604" s="74">
        <v>6.6150669234040587</v>
      </c>
      <c r="O604" s="74">
        <v>6.6232710368890118</v>
      </c>
      <c r="P604" s="73"/>
      <c r="Q604" s="72">
        <v>2422.2889907095237</v>
      </c>
      <c r="R604" s="72">
        <v>1668.539299101192</v>
      </c>
      <c r="S604" s="73"/>
      <c r="T604" s="74">
        <v>4.676727656662905</v>
      </c>
      <c r="U604" s="74">
        <v>4.7483223897190099</v>
      </c>
      <c r="V604" s="73"/>
      <c r="W604" s="72">
        <v>15403.62323518901</v>
      </c>
      <c r="X604" s="72">
        <v>15332.900062937935</v>
      </c>
      <c r="Y604" s="73"/>
      <c r="Z604" s="74">
        <v>2.9484666545820724</v>
      </c>
      <c r="AA604" s="74">
        <v>2.987419943188415</v>
      </c>
      <c r="AB604" s="73"/>
      <c r="AC604" s="72">
        <v>50573.251143989946</v>
      </c>
      <c r="AD604" s="72">
        <v>50480.122642987022</v>
      </c>
      <c r="AE604" s="73"/>
      <c r="AF604" s="74">
        <v>4.6659716110036689</v>
      </c>
      <c r="AG604" s="74">
        <v>4.7739390366255812</v>
      </c>
      <c r="AH604" s="73"/>
      <c r="AI604" s="72">
        <v>2616254.977704965</v>
      </c>
      <c r="AJ604" s="72">
        <v>0</v>
      </c>
      <c r="AK604" s="73"/>
      <c r="AL604" s="74">
        <v>-1143.6924609431371</v>
      </c>
      <c r="AM604" s="74">
        <v>0</v>
      </c>
      <c r="AN604" s="73"/>
      <c r="AO604" s="72">
        <v>169218.15477021426</v>
      </c>
      <c r="AP604" s="72">
        <v>0</v>
      </c>
      <c r="AQ604" s="73"/>
      <c r="AR604" s="74">
        <v>-54.973493102233171</v>
      </c>
      <c r="AS604" s="74">
        <v>0</v>
      </c>
      <c r="AT604" s="73"/>
      <c r="AU604" s="72">
        <v>17229284.401442133</v>
      </c>
      <c r="AV604" s="72">
        <v>0</v>
      </c>
      <c r="AW604" s="73"/>
      <c r="AX604" s="74">
        <v>-1636.5194323819821</v>
      </c>
      <c r="AY604" s="74">
        <v>0</v>
      </c>
      <c r="AZ604" s="73"/>
      <c r="BA604" s="72">
        <v>614992.86601923825</v>
      </c>
      <c r="BB604" s="72">
        <v>0</v>
      </c>
      <c r="BC604" s="73"/>
      <c r="BD604" s="74">
        <v>-338.72907334872866</v>
      </c>
      <c r="BE604" s="74">
        <v>0</v>
      </c>
      <c r="BF604" s="73"/>
      <c r="BG604" s="72">
        <v>1481922.6235518211</v>
      </c>
      <c r="BH604" s="72">
        <v>0</v>
      </c>
      <c r="BI604" s="73"/>
      <c r="BJ604" s="74">
        <v>-1718.0494576062865</v>
      </c>
      <c r="BK604" s="74">
        <v>0</v>
      </c>
      <c r="BL604" s="73"/>
      <c r="BM604" s="72">
        <v>22111673.023488369</v>
      </c>
      <c r="BN604" s="72">
        <v>0</v>
      </c>
      <c r="BO604" s="73"/>
      <c r="BP604" s="74">
        <v>-4891.963917382368</v>
      </c>
      <c r="BQ604" s="74">
        <v>0</v>
      </c>
      <c r="BS604" s="109">
        <f t="shared" si="243"/>
        <v>117288.9281565073</v>
      </c>
      <c r="BT604" s="109">
        <f t="shared" si="244"/>
        <v>117529.06063116559</v>
      </c>
      <c r="BV604" s="58">
        <f t="array" ref="BV604">SUM(IF(BS604:BT604&gt;=BS604, 1))</f>
        <v>2</v>
      </c>
      <c r="BW604" s="58">
        <f t="array" ref="BW604">SUM(IF(BS604:BT604&gt;=BT604, 1))</f>
        <v>1</v>
      </c>
      <c r="BY604" s="109">
        <f t="shared" si="245"/>
        <v>131953.13833604575</v>
      </c>
      <c r="BZ604" s="109">
        <f t="shared" si="246"/>
        <v>132142.47432107388</v>
      </c>
      <c r="CB604" s="58">
        <f t="array" ref="CB604">SUM(IF(BY604:BZ604&gt;=BY604, 1))</f>
        <v>2</v>
      </c>
      <c r="CC604" s="58">
        <f t="array" ref="CC604">SUM(IF(BY604:BZ604&gt;=BZ604, 1))</f>
        <v>1</v>
      </c>
      <c r="CE604" s="109">
        <f t="shared" si="247"/>
        <v>91112.264142548578</v>
      </c>
      <c r="CF604" s="109">
        <f t="shared" si="248"/>
        <v>93297.908495279014</v>
      </c>
      <c r="CH604" s="58">
        <f t="array" ref="CH604">SUM(IF(CE604:CF604&gt;=CE604, 1))</f>
        <v>2</v>
      </c>
      <c r="CI604" s="58">
        <f t="array" ref="CI604">SUM(IF(CE604:CF604&gt;=CF604, 1))</f>
        <v>1</v>
      </c>
      <c r="CK604" s="109">
        <f t="shared" si="249"/>
        <v>43565.709856452435</v>
      </c>
      <c r="CL604" s="109">
        <f t="shared" si="250"/>
        <v>44415.498800830363</v>
      </c>
      <c r="CN604" s="58">
        <f t="array" ref="CN604">SUM(IF(CK604:CL604&gt;=CK604, 1))</f>
        <v>2</v>
      </c>
      <c r="CO604" s="58">
        <f t="array" ref="CO604">SUM(IF(CK604:CL604&gt;=CL604, 1))</f>
        <v>1</v>
      </c>
      <c r="CQ604" s="109" cm="1">
        <f t="array" ref="CQ604">AF604*WTP-AC604</f>
        <v>42746.181076083427</v>
      </c>
      <c r="CR604" s="109">
        <f t="shared" si="251"/>
        <v>44998.658089524608</v>
      </c>
      <c r="CT604" s="58">
        <f t="array" ref="CT604">SUM(IF(CQ604:CR604&gt;=CQ604, 1))</f>
        <v>2</v>
      </c>
      <c r="CU604" s="58">
        <f t="array" ref="CU604">SUM(IF(CQ604:CR604&gt;=CR604, 1))</f>
        <v>1</v>
      </c>
      <c r="CW604" s="109">
        <f t="shared" si="252"/>
        <v>-25490104.196567707</v>
      </c>
      <c r="CX604" s="109">
        <f t="shared" si="253"/>
        <v>0</v>
      </c>
      <c r="CZ604" s="58">
        <f t="array" ref="CZ604">SUM(IF(CW604:CX604&gt;=CW604, 1))</f>
        <v>2</v>
      </c>
      <c r="DA604" s="58">
        <f t="array" ref="DA604">SUM(IF(CW604:CX604&gt;=CX604, 1))</f>
        <v>1</v>
      </c>
      <c r="DC604" s="109">
        <f t="shared" si="254"/>
        <v>-1268688.0168148777</v>
      </c>
      <c r="DD604" s="109">
        <f t="shared" si="255"/>
        <v>0</v>
      </c>
      <c r="DF604" s="58">
        <f t="array" ref="DF604">SUM(IF(DC604:DD604&gt;=DC604, 1))</f>
        <v>2</v>
      </c>
      <c r="DG604" s="58">
        <f t="array" ref="DG604">SUM(IF(DC604:DD604&gt;=DD604, 1))</f>
        <v>1</v>
      </c>
      <c r="DI604" s="109">
        <f t="shared" si="256"/>
        <v>-49959673.049081773</v>
      </c>
      <c r="DJ604" s="109">
        <f t="shared" si="257"/>
        <v>0</v>
      </c>
      <c r="DL604" s="58">
        <f t="array" ref="DL604">SUM(IF(DI604:DJ604&gt;=DI604, 1))</f>
        <v>2</v>
      </c>
      <c r="DM604" s="58">
        <f t="array" ref="DM604">SUM(IF(DI604:DJ604&gt;=DJ604, 1))</f>
        <v>1</v>
      </c>
      <c r="DO604" s="109">
        <f t="shared" si="258"/>
        <v>-7389574.332993811</v>
      </c>
      <c r="DP604" s="109">
        <f t="shared" si="259"/>
        <v>0</v>
      </c>
      <c r="DR604" s="58">
        <f t="array" ref="DR604">SUM(IF(DO604:DP604&gt;=DO604, 1))</f>
        <v>2</v>
      </c>
      <c r="DS604" s="58">
        <f t="array" ref="DS604">SUM(IF(DO604:DP604&gt;=DP604, 1))</f>
        <v>1</v>
      </c>
      <c r="DU604" s="109">
        <f t="shared" si="260"/>
        <v>-35842911.775677554</v>
      </c>
      <c r="DV604" s="109">
        <f t="shared" si="261"/>
        <v>0</v>
      </c>
      <c r="DX604" s="58">
        <f t="array" ref="DX604">SUM(IF(DU604:DV604&gt;=DU604, 1))</f>
        <v>2</v>
      </c>
      <c r="DY604" s="58">
        <f t="array" ref="DY604">SUM(IF(DU604:DV604&gt;=DV604, 1))</f>
        <v>1</v>
      </c>
      <c r="EA604" s="109">
        <f t="shared" si="262"/>
        <v>-119950951.37113573</v>
      </c>
      <c r="EB604" s="109">
        <f t="shared" si="263"/>
        <v>0</v>
      </c>
      <c r="ED604" s="58">
        <f t="array" ref="ED604">SUM(IF(EA604:EB604&gt;=EA604, 1))</f>
        <v>2</v>
      </c>
      <c r="EE604" s="58">
        <f t="array" ref="EE604">SUM(IF(EA604:EB604&gt;=EB604, 1))</f>
        <v>1</v>
      </c>
    </row>
    <row r="605" spans="4:135" ht="12" customHeight="1" x14ac:dyDescent="0.25">
      <c r="D605" s="11">
        <v>589</v>
      </c>
      <c r="E605" s="72">
        <v>264.26452913669436</v>
      </c>
      <c r="F605" s="72">
        <v>246.87018141893535</v>
      </c>
      <c r="G605" s="73"/>
      <c r="H605" s="74">
        <v>5.8428604589795317</v>
      </c>
      <c r="I605" s="74">
        <v>5.8629734769024022</v>
      </c>
      <c r="J605" s="73"/>
      <c r="K605" s="72">
        <v>284.08638757248059</v>
      </c>
      <c r="L605" s="72">
        <v>266.26048714561995</v>
      </c>
      <c r="M605" s="73"/>
      <c r="N605" s="74">
        <v>6.6985993956333365</v>
      </c>
      <c r="O605" s="74">
        <v>6.7164699230245883</v>
      </c>
      <c r="P605" s="73"/>
      <c r="Q605" s="72">
        <v>1759.3382222746268</v>
      </c>
      <c r="R605" s="72">
        <v>1519.2997944242479</v>
      </c>
      <c r="S605" s="73"/>
      <c r="T605" s="74">
        <v>5.0036668330679532</v>
      </c>
      <c r="U605" s="74">
        <v>5.0320484153331018</v>
      </c>
      <c r="V605" s="73"/>
      <c r="W605" s="72">
        <v>13746.266745726371</v>
      </c>
      <c r="X605" s="72">
        <v>13669.265447642487</v>
      </c>
      <c r="Y605" s="73"/>
      <c r="Z605" s="74">
        <v>3.1147092931002729</v>
      </c>
      <c r="AA605" s="74">
        <v>3.1558904700407422</v>
      </c>
      <c r="AB605" s="73"/>
      <c r="AC605" s="72">
        <v>49843.664049715844</v>
      </c>
      <c r="AD605" s="72">
        <v>49796.657255619655</v>
      </c>
      <c r="AE605" s="73"/>
      <c r="AF605" s="74">
        <v>4.7028851164004255</v>
      </c>
      <c r="AG605" s="74">
        <v>4.7711365039695517</v>
      </c>
      <c r="AH605" s="73"/>
      <c r="AI605" s="72">
        <v>1858017.136010942</v>
      </c>
      <c r="AJ605" s="72">
        <v>0</v>
      </c>
      <c r="AK605" s="73"/>
      <c r="AL605" s="74">
        <v>-2148.4181277711796</v>
      </c>
      <c r="AM605" s="74">
        <v>0</v>
      </c>
      <c r="AN605" s="73"/>
      <c r="AO605" s="72">
        <v>120506.84778808552</v>
      </c>
      <c r="AP605" s="72">
        <v>0</v>
      </c>
      <c r="AQ605" s="73"/>
      <c r="AR605" s="74">
        <v>-120.80853548275199</v>
      </c>
      <c r="AS605" s="74">
        <v>0</v>
      </c>
      <c r="AT605" s="73"/>
      <c r="AU605" s="72">
        <v>5579404.5594388116</v>
      </c>
      <c r="AV605" s="72">
        <v>0</v>
      </c>
      <c r="AW605" s="73"/>
      <c r="AX605" s="74">
        <v>-659.69574502030082</v>
      </c>
      <c r="AY605" s="74">
        <v>0</v>
      </c>
      <c r="AZ605" s="73"/>
      <c r="BA605" s="72">
        <v>697045.12802012148</v>
      </c>
      <c r="BB605" s="72">
        <v>0</v>
      </c>
      <c r="BC605" s="73"/>
      <c r="BD605" s="74">
        <v>-372.78772523052623</v>
      </c>
      <c r="BE605" s="74">
        <v>0</v>
      </c>
      <c r="BF605" s="73"/>
      <c r="BG605" s="72">
        <v>723909.20167738444</v>
      </c>
      <c r="BH605" s="72">
        <v>0</v>
      </c>
      <c r="BI605" s="73"/>
      <c r="BJ605" s="74">
        <v>-1051.0780077330478</v>
      </c>
      <c r="BK605" s="74">
        <v>0</v>
      </c>
      <c r="BL605" s="73"/>
      <c r="BM605" s="72">
        <v>8978882.8729353454</v>
      </c>
      <c r="BN605" s="72">
        <v>0</v>
      </c>
      <c r="BO605" s="73"/>
      <c r="BP605" s="74">
        <v>-4352.7881412378065</v>
      </c>
      <c r="BQ605" s="74">
        <v>0</v>
      </c>
      <c r="BS605" s="109">
        <f t="shared" si="243"/>
        <v>116592.94465045394</v>
      </c>
      <c r="BT605" s="109">
        <f t="shared" si="244"/>
        <v>117012.5993566291</v>
      </c>
      <c r="BV605" s="58">
        <f t="array" ref="BV605">SUM(IF(BS605:BT605&gt;=BS605, 1))</f>
        <v>2</v>
      </c>
      <c r="BW605" s="58">
        <f t="array" ref="BW605">SUM(IF(BS605:BT605&gt;=BT605, 1))</f>
        <v>1</v>
      </c>
      <c r="BY605" s="109">
        <f t="shared" si="245"/>
        <v>133687.90152509423</v>
      </c>
      <c r="BZ605" s="109">
        <f t="shared" si="246"/>
        <v>134063.13797334614</v>
      </c>
      <c r="CB605" s="58">
        <f t="array" ref="CB605">SUM(IF(BY605:BZ605&gt;=BY605, 1))</f>
        <v>2</v>
      </c>
      <c r="CC605" s="58">
        <f t="array" ref="CC605">SUM(IF(BY605:BZ605&gt;=BZ605, 1))</f>
        <v>1</v>
      </c>
      <c r="CE605" s="109">
        <f t="shared" si="247"/>
        <v>98313.998439084433</v>
      </c>
      <c r="CF605" s="109">
        <f t="shared" si="248"/>
        <v>99121.668512237782</v>
      </c>
      <c r="CH605" s="58">
        <f t="array" ref="CH605">SUM(IF(CE605:CF605&gt;=CE605, 1))</f>
        <v>2</v>
      </c>
      <c r="CI605" s="58">
        <f t="array" ref="CI605">SUM(IF(CE605:CF605&gt;=CF605, 1))</f>
        <v>1</v>
      </c>
      <c r="CK605" s="109">
        <f t="shared" si="249"/>
        <v>48547.919116279081</v>
      </c>
      <c r="CL605" s="109">
        <f t="shared" si="250"/>
        <v>49448.54395317236</v>
      </c>
      <c r="CN605" s="58">
        <f t="array" ref="CN605">SUM(IF(CK605:CL605&gt;=CK605, 1))</f>
        <v>2</v>
      </c>
      <c r="CO605" s="58">
        <f t="array" ref="CO605">SUM(IF(CK605:CL605&gt;=CL605, 1))</f>
        <v>1</v>
      </c>
      <c r="CQ605" s="109" cm="1">
        <f t="array" ref="CQ605">AF605*WTP-AC605</f>
        <v>44214.038278292668</v>
      </c>
      <c r="CR605" s="109">
        <f t="shared" si="251"/>
        <v>45626.072823771385</v>
      </c>
      <c r="CT605" s="58">
        <f t="array" ref="CT605">SUM(IF(CQ605:CR605&gt;=CQ605, 1))</f>
        <v>2</v>
      </c>
      <c r="CU605" s="58">
        <f t="array" ref="CU605">SUM(IF(CQ605:CR605&gt;=CR605, 1))</f>
        <v>1</v>
      </c>
      <c r="CW605" s="109">
        <f t="shared" si="252"/>
        <v>-44826379.69143454</v>
      </c>
      <c r="CX605" s="109">
        <f t="shared" si="253"/>
        <v>0</v>
      </c>
      <c r="CZ605" s="58">
        <f t="array" ref="CZ605">SUM(IF(CW605:CX605&gt;=CW605, 1))</f>
        <v>2</v>
      </c>
      <c r="DA605" s="58">
        <f t="array" ref="DA605">SUM(IF(CW605:CX605&gt;=CX605, 1))</f>
        <v>1</v>
      </c>
      <c r="DC605" s="109">
        <f t="shared" si="254"/>
        <v>-2536677.5574431256</v>
      </c>
      <c r="DD605" s="109">
        <f t="shared" si="255"/>
        <v>0</v>
      </c>
      <c r="DF605" s="58">
        <f t="array" ref="DF605">SUM(IF(DC605:DD605&gt;=DC605, 1))</f>
        <v>2</v>
      </c>
      <c r="DG605" s="58">
        <f t="array" ref="DG605">SUM(IF(DC605:DD605&gt;=DD605, 1))</f>
        <v>1</v>
      </c>
      <c r="DI605" s="109">
        <f t="shared" si="256"/>
        <v>-18773319.459844828</v>
      </c>
      <c r="DJ605" s="109">
        <f t="shared" si="257"/>
        <v>0</v>
      </c>
      <c r="DL605" s="58">
        <f t="array" ref="DL605">SUM(IF(DI605:DJ605&gt;=DI605, 1))</f>
        <v>2</v>
      </c>
      <c r="DM605" s="58">
        <f t="array" ref="DM605">SUM(IF(DI605:DJ605&gt;=DJ605, 1))</f>
        <v>1</v>
      </c>
      <c r="DO605" s="109">
        <f t="shared" si="258"/>
        <v>-8152799.6326306462</v>
      </c>
      <c r="DP605" s="109">
        <f t="shared" si="259"/>
        <v>0</v>
      </c>
      <c r="DR605" s="58">
        <f t="array" ref="DR605">SUM(IF(DO605:DP605&gt;=DO605, 1))</f>
        <v>2</v>
      </c>
      <c r="DS605" s="58">
        <f t="array" ref="DS605">SUM(IF(DO605:DP605&gt;=DP605, 1))</f>
        <v>1</v>
      </c>
      <c r="DU605" s="109">
        <f t="shared" si="260"/>
        <v>-21745469.356338341</v>
      </c>
      <c r="DV605" s="109">
        <f t="shared" si="261"/>
        <v>0</v>
      </c>
      <c r="DX605" s="58">
        <f t="array" ref="DX605">SUM(IF(DU605:DV605&gt;=DU605, 1))</f>
        <v>2</v>
      </c>
      <c r="DY605" s="58">
        <f t="array" ref="DY605">SUM(IF(DU605:DV605&gt;=DV605, 1))</f>
        <v>1</v>
      </c>
      <c r="EA605" s="109">
        <f t="shared" si="262"/>
        <v>-96034645.69769147</v>
      </c>
      <c r="EB605" s="109">
        <f t="shared" si="263"/>
        <v>0</v>
      </c>
      <c r="ED605" s="58">
        <f t="array" ref="ED605">SUM(IF(EA605:EB605&gt;=EA605, 1))</f>
        <v>2</v>
      </c>
      <c r="EE605" s="58">
        <f t="array" ref="EE605">SUM(IF(EA605:EB605&gt;=EB605, 1))</f>
        <v>1</v>
      </c>
    </row>
    <row r="606" spans="4:135" ht="12" customHeight="1" x14ac:dyDescent="0.25">
      <c r="D606" s="11">
        <v>590</v>
      </c>
      <c r="E606" s="72">
        <v>218.69373972310964</v>
      </c>
      <c r="F606" s="72">
        <v>208.59770567057782</v>
      </c>
      <c r="G606" s="73"/>
      <c r="H606" s="74">
        <v>5.7781559284365303</v>
      </c>
      <c r="I606" s="74">
        <v>5.7911861422968629</v>
      </c>
      <c r="J606" s="73"/>
      <c r="K606" s="72">
        <v>235.30901800475027</v>
      </c>
      <c r="L606" s="72">
        <v>224.96046100328255</v>
      </c>
      <c r="M606" s="73"/>
      <c r="N606" s="74">
        <v>6.7154351466064099</v>
      </c>
      <c r="O606" s="74">
        <v>6.7265934425216489</v>
      </c>
      <c r="P606" s="73"/>
      <c r="Q606" s="72">
        <v>1736.5381265447779</v>
      </c>
      <c r="R606" s="72">
        <v>1404.4478047629905</v>
      </c>
      <c r="S606" s="73"/>
      <c r="T606" s="74">
        <v>4.8379638373718006</v>
      </c>
      <c r="U606" s="74">
        <v>4.8728013313364542</v>
      </c>
      <c r="V606" s="73"/>
      <c r="W606" s="72">
        <v>9807.2515062897892</v>
      </c>
      <c r="X606" s="72">
        <v>9814.0601523208952</v>
      </c>
      <c r="Y606" s="73"/>
      <c r="Z606" s="74">
        <v>3.1439387510469192</v>
      </c>
      <c r="AA606" s="74">
        <v>3.187394327166734</v>
      </c>
      <c r="AB606" s="73"/>
      <c r="AC606" s="72">
        <v>48856.612606808543</v>
      </c>
      <c r="AD606" s="72">
        <v>48790.750457753289</v>
      </c>
      <c r="AE606" s="73"/>
      <c r="AF606" s="74">
        <v>4.6340166878338325</v>
      </c>
      <c r="AG606" s="74">
        <v>4.7536273038499202</v>
      </c>
      <c r="AH606" s="73"/>
      <c r="AI606" s="72">
        <v>1075676.1504870562</v>
      </c>
      <c r="AJ606" s="72">
        <v>0</v>
      </c>
      <c r="AK606" s="73"/>
      <c r="AL606" s="74">
        <v>-1388.2966531586521</v>
      </c>
      <c r="AM606" s="74">
        <v>0</v>
      </c>
      <c r="AN606" s="73"/>
      <c r="AO606" s="72">
        <v>69654.436973259959</v>
      </c>
      <c r="AP606" s="72">
        <v>0</v>
      </c>
      <c r="AQ606" s="73"/>
      <c r="AR606" s="74">
        <v>-75.104656566781685</v>
      </c>
      <c r="AS606" s="74">
        <v>0</v>
      </c>
      <c r="AT606" s="73"/>
      <c r="AU606" s="72">
        <v>7596479.1182745416</v>
      </c>
      <c r="AV606" s="72">
        <v>0</v>
      </c>
      <c r="AW606" s="73"/>
      <c r="AX606" s="74">
        <v>-796.89854861051913</v>
      </c>
      <c r="AY606" s="74">
        <v>0</v>
      </c>
      <c r="AZ606" s="73"/>
      <c r="BA606" s="72">
        <v>-60552.602763243602</v>
      </c>
      <c r="BB606" s="72">
        <v>0</v>
      </c>
      <c r="BC606" s="73"/>
      <c r="BD606" s="74">
        <v>-386.47158724501742</v>
      </c>
      <c r="BE606" s="74">
        <v>0</v>
      </c>
      <c r="BF606" s="73"/>
      <c r="BG606" s="72">
        <v>1037845.807820947</v>
      </c>
      <c r="BH606" s="72">
        <v>0</v>
      </c>
      <c r="BI606" s="73"/>
      <c r="BJ606" s="74">
        <v>-1884.8060408571596</v>
      </c>
      <c r="BK606" s="74">
        <v>0</v>
      </c>
      <c r="BL606" s="73"/>
      <c r="BM606" s="72">
        <v>9719102.9107925631</v>
      </c>
      <c r="BN606" s="72">
        <v>0</v>
      </c>
      <c r="BO606" s="73"/>
      <c r="BP606" s="74">
        <v>-4531.5774864381301</v>
      </c>
      <c r="BQ606" s="74">
        <v>0</v>
      </c>
      <c r="BS606" s="109">
        <f t="shared" si="243"/>
        <v>115344.42482900749</v>
      </c>
      <c r="BT606" s="109">
        <f t="shared" si="244"/>
        <v>115615.12514026668</v>
      </c>
      <c r="BV606" s="58">
        <f t="array" ref="BV606">SUM(IF(BS606:BT606&gt;=BS606, 1))</f>
        <v>2</v>
      </c>
      <c r="BW606" s="58">
        <f t="array" ref="BW606">SUM(IF(BS606:BT606&gt;=BT606, 1))</f>
        <v>1</v>
      </c>
      <c r="BY606" s="109">
        <f t="shared" si="245"/>
        <v>134073.39391412344</v>
      </c>
      <c r="BZ606" s="109">
        <f t="shared" si="246"/>
        <v>134306.90838942971</v>
      </c>
      <c r="CB606" s="58">
        <f t="array" ref="CB606">SUM(IF(BY606:BZ606&gt;=BY606, 1))</f>
        <v>2</v>
      </c>
      <c r="CC606" s="58">
        <f t="array" ref="CC606">SUM(IF(BY606:BZ606&gt;=BZ606, 1))</f>
        <v>1</v>
      </c>
      <c r="CE606" s="109">
        <f t="shared" si="247"/>
        <v>95022.738620891236</v>
      </c>
      <c r="CF606" s="109">
        <f t="shared" si="248"/>
        <v>96051.57882196609</v>
      </c>
      <c r="CH606" s="58">
        <f t="array" ref="CH606">SUM(IF(CE606:CF606&gt;=CE606, 1))</f>
        <v>2</v>
      </c>
      <c r="CI606" s="58">
        <f t="array" ref="CI606">SUM(IF(CE606:CF606&gt;=CF606, 1))</f>
        <v>1</v>
      </c>
      <c r="CK606" s="109">
        <f t="shared" si="249"/>
        <v>53071.523514648594</v>
      </c>
      <c r="CL606" s="109">
        <f t="shared" si="250"/>
        <v>53933.826391013783</v>
      </c>
      <c r="CN606" s="58">
        <f t="array" ref="CN606">SUM(IF(CK606:CL606&gt;=CK606, 1))</f>
        <v>2</v>
      </c>
      <c r="CO606" s="58">
        <f t="array" ref="CO606">SUM(IF(CK606:CL606&gt;=CL606, 1))</f>
        <v>1</v>
      </c>
      <c r="CQ606" s="109" cm="1">
        <f t="array" ref="CQ606">AF606*WTP-AC606</f>
        <v>43823.721149868099</v>
      </c>
      <c r="CR606" s="109">
        <f t="shared" si="251"/>
        <v>46281.795619245117</v>
      </c>
      <c r="CT606" s="58">
        <f t="array" ref="CT606">SUM(IF(CQ606:CR606&gt;=CQ606, 1))</f>
        <v>2</v>
      </c>
      <c r="CU606" s="58">
        <f t="array" ref="CU606">SUM(IF(CQ606:CR606&gt;=CR606, 1))</f>
        <v>1</v>
      </c>
      <c r="CW606" s="109">
        <f t="shared" si="252"/>
        <v>-28841609.213660102</v>
      </c>
      <c r="CX606" s="109">
        <f t="shared" si="253"/>
        <v>0</v>
      </c>
      <c r="CZ606" s="58">
        <f t="array" ref="CZ606">SUM(IF(CW606:CX606&gt;=CW606, 1))</f>
        <v>2</v>
      </c>
      <c r="DA606" s="58">
        <f t="array" ref="DA606">SUM(IF(CW606:CX606&gt;=CX606, 1))</f>
        <v>1</v>
      </c>
      <c r="DC606" s="109">
        <f t="shared" si="254"/>
        <v>-1571747.5683088938</v>
      </c>
      <c r="DD606" s="109">
        <f t="shared" si="255"/>
        <v>0</v>
      </c>
      <c r="DF606" s="58">
        <f t="array" ref="DF606">SUM(IF(DC606:DD606&gt;=DC606, 1))</f>
        <v>2</v>
      </c>
      <c r="DG606" s="58">
        <f t="array" ref="DG606">SUM(IF(DC606:DD606&gt;=DD606, 1))</f>
        <v>1</v>
      </c>
      <c r="DI606" s="109">
        <f t="shared" si="256"/>
        <v>-23534450.090484925</v>
      </c>
      <c r="DJ606" s="109">
        <f t="shared" si="257"/>
        <v>0</v>
      </c>
      <c r="DL606" s="58">
        <f t="array" ref="DL606">SUM(IF(DI606:DJ606&gt;=DI606, 1))</f>
        <v>2</v>
      </c>
      <c r="DM606" s="58">
        <f t="array" ref="DM606">SUM(IF(DI606:DJ606&gt;=DJ606, 1))</f>
        <v>1</v>
      </c>
      <c r="DO606" s="109">
        <f t="shared" si="258"/>
        <v>-7668879.1421371046</v>
      </c>
      <c r="DP606" s="109">
        <f t="shared" si="259"/>
        <v>0</v>
      </c>
      <c r="DR606" s="58">
        <f t="array" ref="DR606">SUM(IF(DO606:DP606&gt;=DO606, 1))</f>
        <v>2</v>
      </c>
      <c r="DS606" s="58">
        <f t="array" ref="DS606">SUM(IF(DO606:DP606&gt;=DP606, 1))</f>
        <v>1</v>
      </c>
      <c r="DU606" s="109">
        <f t="shared" si="260"/>
        <v>-38733966.62496414</v>
      </c>
      <c r="DV606" s="109">
        <f t="shared" si="261"/>
        <v>0</v>
      </c>
      <c r="DX606" s="58">
        <f t="array" ref="DX606">SUM(IF(DU606:DV606&gt;=DU606, 1))</f>
        <v>2</v>
      </c>
      <c r="DY606" s="58">
        <f t="array" ref="DY606">SUM(IF(DU606:DV606&gt;=DV606, 1))</f>
        <v>1</v>
      </c>
      <c r="EA606" s="109">
        <f t="shared" si="262"/>
        <v>-100350652.63955516</v>
      </c>
      <c r="EB606" s="109">
        <f t="shared" si="263"/>
        <v>0</v>
      </c>
      <c r="ED606" s="58">
        <f t="array" ref="ED606">SUM(IF(EA606:EB606&gt;=EA606, 1))</f>
        <v>2</v>
      </c>
      <c r="EE606" s="58">
        <f t="array" ref="EE606">SUM(IF(EA606:EB606&gt;=EB606, 1))</f>
        <v>1</v>
      </c>
    </row>
    <row r="607" spans="4:135" ht="12" customHeight="1" x14ac:dyDescent="0.25">
      <c r="D607" s="11">
        <v>591</v>
      </c>
      <c r="E607" s="72">
        <v>210.57966885121715</v>
      </c>
      <c r="F607" s="72">
        <v>195.73942099581569</v>
      </c>
      <c r="G607" s="73"/>
      <c r="H607" s="74">
        <v>5.8228093683828863</v>
      </c>
      <c r="I607" s="74">
        <v>5.8376575145782938</v>
      </c>
      <c r="J607" s="73"/>
      <c r="K607" s="72">
        <v>226.28401623167446</v>
      </c>
      <c r="L607" s="72">
        <v>211.06019804203447</v>
      </c>
      <c r="M607" s="73"/>
      <c r="N607" s="74">
        <v>6.6512240480012998</v>
      </c>
      <c r="O607" s="74">
        <v>6.6636892131584302</v>
      </c>
      <c r="P607" s="73"/>
      <c r="Q607" s="72">
        <v>3478.9691164837072</v>
      </c>
      <c r="R607" s="72">
        <v>2005.8441624635441</v>
      </c>
      <c r="S607" s="73"/>
      <c r="T607" s="74">
        <v>4.8793147014329836</v>
      </c>
      <c r="U607" s="74">
        <v>4.9519703845482201</v>
      </c>
      <c r="V607" s="73"/>
      <c r="W607" s="72">
        <v>14763.762488215771</v>
      </c>
      <c r="X607" s="72">
        <v>14813.732297238281</v>
      </c>
      <c r="Y607" s="73"/>
      <c r="Z607" s="74">
        <v>3.0652246145282631</v>
      </c>
      <c r="AA607" s="74">
        <v>3.1211705940532974</v>
      </c>
      <c r="AB607" s="73"/>
      <c r="AC607" s="72">
        <v>49217.556409202152</v>
      </c>
      <c r="AD607" s="72">
        <v>49210.088201672108</v>
      </c>
      <c r="AE607" s="73"/>
      <c r="AF607" s="74">
        <v>4.1654420761061735</v>
      </c>
      <c r="AG607" s="74">
        <v>4.2497961225077061</v>
      </c>
      <c r="AH607" s="73"/>
      <c r="AI607" s="72">
        <v>1608901.2207380722</v>
      </c>
      <c r="AJ607" s="72">
        <v>0</v>
      </c>
      <c r="AK607" s="73"/>
      <c r="AL607" s="74">
        <v>-1609.7575170076084</v>
      </c>
      <c r="AM607" s="74">
        <v>0</v>
      </c>
      <c r="AN607" s="73"/>
      <c r="AO607" s="72">
        <v>96455.434119341677</v>
      </c>
      <c r="AP607" s="72">
        <v>0</v>
      </c>
      <c r="AQ607" s="73"/>
      <c r="AR607" s="74">
        <v>-78.97709376340984</v>
      </c>
      <c r="AS607" s="74">
        <v>0</v>
      </c>
      <c r="AT607" s="73"/>
      <c r="AU607" s="72">
        <v>33573516.303748846</v>
      </c>
      <c r="AV607" s="72">
        <v>0</v>
      </c>
      <c r="AW607" s="73"/>
      <c r="AX607" s="74">
        <v>-1655.8722700151989</v>
      </c>
      <c r="AY607" s="74">
        <v>0</v>
      </c>
      <c r="AZ607" s="73"/>
      <c r="BA607" s="72">
        <v>-417716.31192123727</v>
      </c>
      <c r="BB607" s="72">
        <v>0</v>
      </c>
      <c r="BC607" s="73"/>
      <c r="BD607" s="74">
        <v>-467.67335499503292</v>
      </c>
      <c r="BE607" s="74">
        <v>0</v>
      </c>
      <c r="BF607" s="73"/>
      <c r="BG607" s="72">
        <v>116639.33336726807</v>
      </c>
      <c r="BH607" s="72">
        <v>0</v>
      </c>
      <c r="BI607" s="73"/>
      <c r="BJ607" s="74">
        <v>-1317.4513026753007</v>
      </c>
      <c r="BK607" s="74">
        <v>0</v>
      </c>
      <c r="BL607" s="73"/>
      <c r="BM607" s="72">
        <v>34977795.980052285</v>
      </c>
      <c r="BN607" s="72">
        <v>0</v>
      </c>
      <c r="BO607" s="73"/>
      <c r="BP607" s="74">
        <v>-5129.73153845655</v>
      </c>
      <c r="BQ607" s="74">
        <v>0</v>
      </c>
      <c r="BS607" s="109">
        <f t="shared" si="243"/>
        <v>116245.6076988065</v>
      </c>
      <c r="BT607" s="109">
        <f t="shared" si="244"/>
        <v>116557.41087057006</v>
      </c>
      <c r="BV607" s="58">
        <f t="array" ref="BV607">SUM(IF(BS607:BT607&gt;=BS607, 1))</f>
        <v>2</v>
      </c>
      <c r="BW607" s="58">
        <f t="array" ref="BW607">SUM(IF(BS607:BT607&gt;=BT607, 1))</f>
        <v>1</v>
      </c>
      <c r="BY607" s="109">
        <f t="shared" si="245"/>
        <v>132798.19694379432</v>
      </c>
      <c r="BZ607" s="109">
        <f t="shared" si="246"/>
        <v>133062.72406512656</v>
      </c>
      <c r="CB607" s="58">
        <f t="array" ref="CB607">SUM(IF(BY607:BZ607&gt;=BY607, 1))</f>
        <v>2</v>
      </c>
      <c r="CC607" s="58">
        <f t="array" ref="CC607">SUM(IF(BY607:BZ607&gt;=BZ607, 1))</f>
        <v>1</v>
      </c>
      <c r="CE607" s="109">
        <f t="shared" si="247"/>
        <v>94107.324912175958</v>
      </c>
      <c r="CF607" s="109">
        <f t="shared" si="248"/>
        <v>97033.563528500861</v>
      </c>
      <c r="CH607" s="58">
        <f t="array" ref="CH607">SUM(IF(CE607:CF607&gt;=CE607, 1))</f>
        <v>2</v>
      </c>
      <c r="CI607" s="58">
        <f t="array" ref="CI607">SUM(IF(CE607:CF607&gt;=CF607, 1))</f>
        <v>1</v>
      </c>
      <c r="CK607" s="109">
        <f t="shared" si="249"/>
        <v>46540.729802349495</v>
      </c>
      <c r="CL607" s="109">
        <f t="shared" si="250"/>
        <v>47609.679583827667</v>
      </c>
      <c r="CN607" s="58">
        <f t="array" ref="CN607">SUM(IF(CK607:CL607&gt;=CK607, 1))</f>
        <v>2</v>
      </c>
      <c r="CO607" s="58">
        <f t="array" ref="CO607">SUM(IF(CK607:CL607&gt;=CL607, 1))</f>
        <v>1</v>
      </c>
      <c r="CQ607" s="109" cm="1">
        <f t="array" ref="CQ607">AF607*WTP-AC607</f>
        <v>34091.285112921323</v>
      </c>
      <c r="CR607" s="109">
        <f t="shared" si="251"/>
        <v>35785.83424848201</v>
      </c>
      <c r="CT607" s="58">
        <f t="array" ref="CT607">SUM(IF(CQ607:CR607&gt;=CQ607, 1))</f>
        <v>2</v>
      </c>
      <c r="CU607" s="58">
        <f t="array" ref="CU607">SUM(IF(CQ607:CR607&gt;=CR607, 1))</f>
        <v>1</v>
      </c>
      <c r="CW607" s="109">
        <f t="shared" si="252"/>
        <v>-33804051.560890242</v>
      </c>
      <c r="CX607" s="109">
        <f t="shared" si="253"/>
        <v>0</v>
      </c>
      <c r="CZ607" s="58">
        <f t="array" ref="CZ607">SUM(IF(CW607:CX607&gt;=CW607, 1))</f>
        <v>2</v>
      </c>
      <c r="DA607" s="58">
        <f t="array" ref="DA607">SUM(IF(CW607:CX607&gt;=CX607, 1))</f>
        <v>1</v>
      </c>
      <c r="DC607" s="109">
        <f t="shared" si="254"/>
        <v>-1675997.3093875386</v>
      </c>
      <c r="DD607" s="109">
        <f t="shared" si="255"/>
        <v>0</v>
      </c>
      <c r="DF607" s="58">
        <f t="array" ref="DF607">SUM(IF(DC607:DD607&gt;=DC607, 1))</f>
        <v>2</v>
      </c>
      <c r="DG607" s="58">
        <f t="array" ref="DG607">SUM(IF(DC607:DD607&gt;=DD607, 1))</f>
        <v>1</v>
      </c>
      <c r="DI607" s="109">
        <f t="shared" si="256"/>
        <v>-66690961.704052821</v>
      </c>
      <c r="DJ607" s="109">
        <f t="shared" si="257"/>
        <v>0</v>
      </c>
      <c r="DL607" s="58">
        <f t="array" ref="DL607">SUM(IF(DI607:DJ607&gt;=DI607, 1))</f>
        <v>2</v>
      </c>
      <c r="DM607" s="58">
        <f t="array" ref="DM607">SUM(IF(DI607:DJ607&gt;=DJ607, 1))</f>
        <v>1</v>
      </c>
      <c r="DO607" s="109">
        <f t="shared" si="258"/>
        <v>-8935750.7879794221</v>
      </c>
      <c r="DP607" s="109">
        <f t="shared" si="259"/>
        <v>0</v>
      </c>
      <c r="DR607" s="58">
        <f t="array" ref="DR607">SUM(IF(DO607:DP607&gt;=DO607, 1))</f>
        <v>2</v>
      </c>
      <c r="DS607" s="58">
        <f t="array" ref="DS607">SUM(IF(DO607:DP607&gt;=DP607, 1))</f>
        <v>1</v>
      </c>
      <c r="DU607" s="109">
        <f t="shared" si="260"/>
        <v>-26465665.386873282</v>
      </c>
      <c r="DV607" s="109">
        <f t="shared" si="261"/>
        <v>0</v>
      </c>
      <c r="DX607" s="58">
        <f t="array" ref="DX607">SUM(IF(DU607:DV607&gt;=DU607, 1))</f>
        <v>2</v>
      </c>
      <c r="DY607" s="58">
        <f t="array" ref="DY607">SUM(IF(DU607:DV607&gt;=DV607, 1))</f>
        <v>1</v>
      </c>
      <c r="EA607" s="109">
        <f t="shared" si="262"/>
        <v>-137572426.7491833</v>
      </c>
      <c r="EB607" s="109">
        <f t="shared" si="263"/>
        <v>0</v>
      </c>
      <c r="ED607" s="58">
        <f t="array" ref="ED607">SUM(IF(EA607:EB607&gt;=EA607, 1))</f>
        <v>2</v>
      </c>
      <c r="EE607" s="58">
        <f t="array" ref="EE607">SUM(IF(EA607:EB607&gt;=EB607, 1))</f>
        <v>1</v>
      </c>
    </row>
    <row r="608" spans="4:135" ht="12" customHeight="1" x14ac:dyDescent="0.25">
      <c r="D608" s="11">
        <v>592</v>
      </c>
      <c r="E608" s="72">
        <v>240.77050891641127</v>
      </c>
      <c r="F608" s="72">
        <v>222.17046051206191</v>
      </c>
      <c r="G608" s="73"/>
      <c r="H608" s="74">
        <v>5.8207010829305936</v>
      </c>
      <c r="I608" s="74">
        <v>5.8366812951668079</v>
      </c>
      <c r="J608" s="73"/>
      <c r="K608" s="72">
        <v>258.62889922880532</v>
      </c>
      <c r="L608" s="72">
        <v>239.59964411305234</v>
      </c>
      <c r="M608" s="73"/>
      <c r="N608" s="74">
        <v>6.7314618300811029</v>
      </c>
      <c r="O608" s="74">
        <v>6.7454829394878306</v>
      </c>
      <c r="P608" s="73"/>
      <c r="Q608" s="72">
        <v>5117.1314878946396</v>
      </c>
      <c r="R608" s="72">
        <v>1973.8457762576968</v>
      </c>
      <c r="S608" s="73"/>
      <c r="T608" s="74">
        <v>4.9047255704050849</v>
      </c>
      <c r="U608" s="74">
        <v>5.1062105587058486</v>
      </c>
      <c r="V608" s="73"/>
      <c r="W608" s="72">
        <v>14985.98781838679</v>
      </c>
      <c r="X608" s="72">
        <v>14958.665148289279</v>
      </c>
      <c r="Y608" s="73"/>
      <c r="Z608" s="74">
        <v>3.0523872930654816</v>
      </c>
      <c r="AA608" s="74">
        <v>3.0863939338826558</v>
      </c>
      <c r="AB608" s="73"/>
      <c r="AC608" s="72">
        <v>48568.846729839672</v>
      </c>
      <c r="AD608" s="72">
        <v>48579.802464160246</v>
      </c>
      <c r="AE608" s="73"/>
      <c r="AF608" s="74">
        <v>4.8321770675052411</v>
      </c>
      <c r="AG608" s="74">
        <v>4.9387842370854953</v>
      </c>
      <c r="AH608" s="73"/>
      <c r="AI608" s="72">
        <v>1981719.8363853304</v>
      </c>
      <c r="AJ608" s="72">
        <v>0</v>
      </c>
      <c r="AK608" s="73"/>
      <c r="AL608" s="74">
        <v>-1702.5925357671751</v>
      </c>
      <c r="AM608" s="74">
        <v>0</v>
      </c>
      <c r="AN608" s="73"/>
      <c r="AO608" s="72">
        <v>133132.10038865282</v>
      </c>
      <c r="AP608" s="72">
        <v>0</v>
      </c>
      <c r="AQ608" s="73"/>
      <c r="AR608" s="74">
        <v>-98.094209875376819</v>
      </c>
      <c r="AS608" s="74">
        <v>0</v>
      </c>
      <c r="AT608" s="73"/>
      <c r="AU608" s="72">
        <v>72141529.914339334</v>
      </c>
      <c r="AV608" s="72">
        <v>0</v>
      </c>
      <c r="AW608" s="73"/>
      <c r="AX608" s="74">
        <v>-4624.2806554228791</v>
      </c>
      <c r="AY608" s="74">
        <v>0</v>
      </c>
      <c r="AZ608" s="73"/>
      <c r="BA608" s="72">
        <v>230302.24913072746</v>
      </c>
      <c r="BB608" s="72">
        <v>0</v>
      </c>
      <c r="BC608" s="73"/>
      <c r="BD608" s="74">
        <v>-286.64130693031046</v>
      </c>
      <c r="BE608" s="74">
        <v>0</v>
      </c>
      <c r="BF608" s="73"/>
      <c r="BG608" s="72">
        <v>-171224.89802730232</v>
      </c>
      <c r="BH608" s="72">
        <v>0</v>
      </c>
      <c r="BI608" s="73"/>
      <c r="BJ608" s="74">
        <v>-1666.1413289366385</v>
      </c>
      <c r="BK608" s="74">
        <v>0</v>
      </c>
      <c r="BL608" s="73"/>
      <c r="BM608" s="72">
        <v>74315459.202216744</v>
      </c>
      <c r="BN608" s="72">
        <v>0</v>
      </c>
      <c r="BO608" s="73"/>
      <c r="BP608" s="74">
        <v>-8377.7500369323807</v>
      </c>
      <c r="BQ608" s="74">
        <v>0</v>
      </c>
      <c r="BS608" s="109">
        <f t="shared" si="243"/>
        <v>116173.25114969547</v>
      </c>
      <c r="BT608" s="109">
        <f t="shared" si="244"/>
        <v>116511.4554428241</v>
      </c>
      <c r="BV608" s="58">
        <f t="array" ref="BV608">SUM(IF(BS608:BT608&gt;=BS608, 1))</f>
        <v>2</v>
      </c>
      <c r="BW608" s="58">
        <f t="array" ref="BW608">SUM(IF(BS608:BT608&gt;=BT608, 1))</f>
        <v>1</v>
      </c>
      <c r="BY608" s="109">
        <f t="shared" si="245"/>
        <v>134370.60770239323</v>
      </c>
      <c r="BZ608" s="109">
        <f t="shared" si="246"/>
        <v>134670.05914564358</v>
      </c>
      <c r="CB608" s="58">
        <f t="array" ref="CB608">SUM(IF(BY608:BZ608&gt;=BY608, 1))</f>
        <v>2</v>
      </c>
      <c r="CC608" s="58">
        <f t="array" ref="CC608">SUM(IF(BY608:BZ608&gt;=BZ608, 1))</f>
        <v>1</v>
      </c>
      <c r="CE608" s="109">
        <f t="shared" si="247"/>
        <v>92977.379920207051</v>
      </c>
      <c r="CF608" s="109">
        <f t="shared" si="248"/>
        <v>100150.36539785928</v>
      </c>
      <c r="CH608" s="58">
        <f t="array" ref="CH608">SUM(IF(CE608:CF608&gt;=CE608, 1))</f>
        <v>2</v>
      </c>
      <c r="CI608" s="58">
        <f t="array" ref="CI608">SUM(IF(CE608:CF608&gt;=CF608, 1))</f>
        <v>1</v>
      </c>
      <c r="CK608" s="109">
        <f t="shared" si="249"/>
        <v>46061.75804292284</v>
      </c>
      <c r="CL608" s="109">
        <f t="shared" si="250"/>
        <v>46769.213529363842</v>
      </c>
      <c r="CN608" s="58">
        <f t="array" ref="CN608">SUM(IF(CK608:CL608&gt;=CK608, 1))</f>
        <v>2</v>
      </c>
      <c r="CO608" s="58">
        <f t="array" ref="CO608">SUM(IF(CK608:CL608&gt;=CL608, 1))</f>
        <v>1</v>
      </c>
      <c r="CQ608" s="109" cm="1">
        <f t="array" ref="CQ608">AF608*WTP-AC608</f>
        <v>48074.694620265145</v>
      </c>
      <c r="CR608" s="109">
        <f t="shared" si="251"/>
        <v>50195.882277549659</v>
      </c>
      <c r="CT608" s="58">
        <f t="array" ref="CT608">SUM(IF(CQ608:CR608&gt;=CQ608, 1))</f>
        <v>2</v>
      </c>
      <c r="CU608" s="58">
        <f t="array" ref="CU608">SUM(IF(CQ608:CR608&gt;=CR608, 1))</f>
        <v>1</v>
      </c>
      <c r="CW608" s="109">
        <f t="shared" si="252"/>
        <v>-36033570.551728837</v>
      </c>
      <c r="CX608" s="109">
        <f t="shared" si="253"/>
        <v>0</v>
      </c>
      <c r="CZ608" s="58">
        <f t="array" ref="CZ608">SUM(IF(CW608:CX608&gt;=CW608, 1))</f>
        <v>2</v>
      </c>
      <c r="DA608" s="58">
        <f t="array" ref="DA608">SUM(IF(CW608:CX608&gt;=CX608, 1))</f>
        <v>1</v>
      </c>
      <c r="DC608" s="109">
        <f t="shared" si="254"/>
        <v>-2095016.2978961891</v>
      </c>
      <c r="DD608" s="109">
        <f t="shared" si="255"/>
        <v>0</v>
      </c>
      <c r="DF608" s="58">
        <f t="array" ref="DF608">SUM(IF(DC608:DD608&gt;=DC608, 1))</f>
        <v>2</v>
      </c>
      <c r="DG608" s="58">
        <f t="array" ref="DG608">SUM(IF(DC608:DD608&gt;=DD608, 1))</f>
        <v>1</v>
      </c>
      <c r="DI608" s="109">
        <f t="shared" si="256"/>
        <v>-164627143.02279693</v>
      </c>
      <c r="DJ608" s="109">
        <f t="shared" si="257"/>
        <v>0</v>
      </c>
      <c r="DL608" s="58">
        <f t="array" ref="DL608">SUM(IF(DI608:DJ608&gt;=DI608, 1))</f>
        <v>2</v>
      </c>
      <c r="DM608" s="58">
        <f t="array" ref="DM608">SUM(IF(DI608:DJ608&gt;=DJ608, 1))</f>
        <v>1</v>
      </c>
      <c r="DO608" s="109">
        <f t="shared" si="258"/>
        <v>-5963128.387736937</v>
      </c>
      <c r="DP608" s="109">
        <f t="shared" si="259"/>
        <v>0</v>
      </c>
      <c r="DR608" s="58">
        <f t="array" ref="DR608">SUM(IF(DO608:DP608&gt;=DO608, 1))</f>
        <v>2</v>
      </c>
      <c r="DS608" s="58">
        <f t="array" ref="DS608">SUM(IF(DO608:DP608&gt;=DP608, 1))</f>
        <v>1</v>
      </c>
      <c r="DU608" s="109">
        <f t="shared" si="260"/>
        <v>-33151601.680705469</v>
      </c>
      <c r="DV608" s="109">
        <f t="shared" si="261"/>
        <v>0</v>
      </c>
      <c r="DX608" s="58">
        <f t="array" ref="DX608">SUM(IF(DU608:DV608&gt;=DU608, 1))</f>
        <v>2</v>
      </c>
      <c r="DY608" s="58">
        <f t="array" ref="DY608">SUM(IF(DU608:DV608&gt;=DV608, 1))</f>
        <v>1</v>
      </c>
      <c r="EA608" s="109">
        <f t="shared" si="262"/>
        <v>-241870459.94086435</v>
      </c>
      <c r="EB608" s="109">
        <f t="shared" si="263"/>
        <v>0</v>
      </c>
      <c r="ED608" s="58">
        <f t="array" ref="ED608">SUM(IF(EA608:EB608&gt;=EA608, 1))</f>
        <v>2</v>
      </c>
      <c r="EE608" s="58">
        <f t="array" ref="EE608">SUM(IF(EA608:EB608&gt;=EB608, 1))</f>
        <v>1</v>
      </c>
    </row>
    <row r="609" spans="4:135" ht="12" customHeight="1" x14ac:dyDescent="0.25">
      <c r="D609" s="11">
        <v>593</v>
      </c>
      <c r="E609" s="72">
        <v>228.64222662054195</v>
      </c>
      <c r="F609" s="72">
        <v>200.65873778002907</v>
      </c>
      <c r="G609" s="73"/>
      <c r="H609" s="74">
        <v>5.7984258787249621</v>
      </c>
      <c r="I609" s="74">
        <v>5.8204315930375072</v>
      </c>
      <c r="J609" s="73"/>
      <c r="K609" s="72">
        <v>244.99668353757988</v>
      </c>
      <c r="L609" s="72">
        <v>216.35024135764053</v>
      </c>
      <c r="M609" s="73"/>
      <c r="N609" s="74">
        <v>6.7332868229030201</v>
      </c>
      <c r="O609" s="74">
        <v>6.7528382453432441</v>
      </c>
      <c r="P609" s="73"/>
      <c r="Q609" s="72">
        <v>2158.9710994208854</v>
      </c>
      <c r="R609" s="72">
        <v>1123.0894865745581</v>
      </c>
      <c r="S609" s="73"/>
      <c r="T609" s="74">
        <v>4.8210013775642366</v>
      </c>
      <c r="U609" s="74">
        <v>4.9477565796977832</v>
      </c>
      <c r="V609" s="73"/>
      <c r="W609" s="72">
        <v>14039.228260125015</v>
      </c>
      <c r="X609" s="72">
        <v>14038.675274279482</v>
      </c>
      <c r="Y609" s="73"/>
      <c r="Z609" s="74">
        <v>2.8360933931816357</v>
      </c>
      <c r="AA609" s="74">
        <v>2.8863560064619684</v>
      </c>
      <c r="AB609" s="73"/>
      <c r="AC609" s="72">
        <v>48281.397285865409</v>
      </c>
      <c r="AD609" s="72">
        <v>48165.671178410354</v>
      </c>
      <c r="AE609" s="73"/>
      <c r="AF609" s="74">
        <v>4.688830836038572</v>
      </c>
      <c r="AG609" s="74">
        <v>4.839530619093602</v>
      </c>
      <c r="AH609" s="73"/>
      <c r="AI609" s="72">
        <v>3018160.7595634325</v>
      </c>
      <c r="AJ609" s="72">
        <v>0</v>
      </c>
      <c r="AK609" s="73"/>
      <c r="AL609" s="74">
        <v>-2373.4275523262431</v>
      </c>
      <c r="AM609" s="74">
        <v>0</v>
      </c>
      <c r="AN609" s="73"/>
      <c r="AO609" s="72">
        <v>201690.17676603945</v>
      </c>
      <c r="AP609" s="72">
        <v>0</v>
      </c>
      <c r="AQ609" s="73"/>
      <c r="AR609" s="74">
        <v>-137.65513438725529</v>
      </c>
      <c r="AS609" s="74">
        <v>0</v>
      </c>
      <c r="AT609" s="73"/>
      <c r="AU609" s="72">
        <v>24010348.933934469</v>
      </c>
      <c r="AV609" s="72">
        <v>0</v>
      </c>
      <c r="AW609" s="73"/>
      <c r="AX609" s="74">
        <v>-2938.0158839341611</v>
      </c>
      <c r="AY609" s="74">
        <v>0</v>
      </c>
      <c r="AZ609" s="73"/>
      <c r="BA609" s="72">
        <v>5057.3646036364607</v>
      </c>
      <c r="BB609" s="72">
        <v>0</v>
      </c>
      <c r="BC609" s="73"/>
      <c r="BD609" s="74">
        <v>-459.67968862716094</v>
      </c>
      <c r="BE609" s="74">
        <v>0</v>
      </c>
      <c r="BF609" s="73"/>
      <c r="BG609" s="72">
        <v>1811594.3948337918</v>
      </c>
      <c r="BH609" s="72">
        <v>0</v>
      </c>
      <c r="BI609" s="73"/>
      <c r="BJ609" s="74">
        <v>-2359.0777248875261</v>
      </c>
      <c r="BK609" s="74">
        <v>0</v>
      </c>
      <c r="BL609" s="73"/>
      <c r="BM609" s="72">
        <v>29046851.629701369</v>
      </c>
      <c r="BN609" s="72">
        <v>0</v>
      </c>
      <c r="BO609" s="73"/>
      <c r="BP609" s="74">
        <v>-8267.8559841623464</v>
      </c>
      <c r="BQ609" s="74">
        <v>0</v>
      </c>
      <c r="BS609" s="109">
        <f t="shared" si="243"/>
        <v>115739.8753478787</v>
      </c>
      <c r="BT609" s="109">
        <f t="shared" si="244"/>
        <v>116207.97312297011</v>
      </c>
      <c r="BV609" s="58">
        <f t="array" ref="BV609">SUM(IF(BS609:BT609&gt;=BS609, 1))</f>
        <v>2</v>
      </c>
      <c r="BW609" s="58">
        <f t="array" ref="BW609">SUM(IF(BS609:BT609&gt;=BT609, 1))</f>
        <v>1</v>
      </c>
      <c r="BY609" s="109">
        <f t="shared" si="245"/>
        <v>134420.73977452281</v>
      </c>
      <c r="BZ609" s="109">
        <f t="shared" si="246"/>
        <v>134840.41466550724</v>
      </c>
      <c r="CB609" s="58">
        <f t="array" ref="CB609">SUM(IF(BY609:BZ609&gt;=BY609, 1))</f>
        <v>2</v>
      </c>
      <c r="CC609" s="58">
        <f t="array" ref="CC609">SUM(IF(BY609:BZ609&gt;=BZ609, 1))</f>
        <v>1</v>
      </c>
      <c r="CE609" s="109">
        <f t="shared" si="247"/>
        <v>94261.056451863842</v>
      </c>
      <c r="CF609" s="109">
        <f t="shared" si="248"/>
        <v>97832.042107381101</v>
      </c>
      <c r="CH609" s="58">
        <f t="array" ref="CH609">SUM(IF(CE609:CF609&gt;=CE609, 1))</f>
        <v>2</v>
      </c>
      <c r="CI609" s="58">
        <f t="array" ref="CI609">SUM(IF(CE609:CF609&gt;=CF609, 1))</f>
        <v>1</v>
      </c>
      <c r="CK609" s="109">
        <f t="shared" si="249"/>
        <v>42682.639603507705</v>
      </c>
      <c r="CL609" s="109">
        <f t="shared" si="250"/>
        <v>43688.444854959889</v>
      </c>
      <c r="CN609" s="58">
        <f t="array" ref="CN609">SUM(IF(CK609:CL609&gt;=CK609, 1))</f>
        <v>2</v>
      </c>
      <c r="CO609" s="58">
        <f t="array" ref="CO609">SUM(IF(CK609:CL609&gt;=CL609, 1))</f>
        <v>1</v>
      </c>
      <c r="CQ609" s="109" cm="1">
        <f t="array" ref="CQ609">AF609*WTP-AC609</f>
        <v>45495.219434906037</v>
      </c>
      <c r="CR609" s="109">
        <f t="shared" si="251"/>
        <v>48624.941203461683</v>
      </c>
      <c r="CT609" s="58">
        <f t="array" ref="CT609">SUM(IF(CQ609:CR609&gt;=CQ609, 1))</f>
        <v>2</v>
      </c>
      <c r="CU609" s="58">
        <f t="array" ref="CU609">SUM(IF(CQ609:CR609&gt;=CR609, 1))</f>
        <v>1</v>
      </c>
      <c r="CW609" s="109">
        <f t="shared" si="252"/>
        <v>-50486711.806088291</v>
      </c>
      <c r="CX609" s="109">
        <f t="shared" si="253"/>
        <v>0</v>
      </c>
      <c r="CZ609" s="58">
        <f t="array" ref="CZ609">SUM(IF(CW609:CX609&gt;=CW609, 1))</f>
        <v>2</v>
      </c>
      <c r="DA609" s="58">
        <f t="array" ref="DA609">SUM(IF(CW609:CX609&gt;=CX609, 1))</f>
        <v>1</v>
      </c>
      <c r="DC609" s="109">
        <f t="shared" si="254"/>
        <v>-2954792.8645111453</v>
      </c>
      <c r="DD609" s="109">
        <f t="shared" si="255"/>
        <v>0</v>
      </c>
      <c r="DF609" s="58">
        <f t="array" ref="DF609">SUM(IF(DC609:DD609&gt;=DC609, 1))</f>
        <v>2</v>
      </c>
      <c r="DG609" s="58">
        <f t="array" ref="DG609">SUM(IF(DC609:DD609&gt;=DD609, 1))</f>
        <v>1</v>
      </c>
      <c r="DI609" s="109">
        <f t="shared" si="256"/>
        <v>-82770666.612617686</v>
      </c>
      <c r="DJ609" s="109">
        <f t="shared" si="257"/>
        <v>0</v>
      </c>
      <c r="DL609" s="58">
        <f t="array" ref="DL609">SUM(IF(DI609:DJ609&gt;=DI609, 1))</f>
        <v>2</v>
      </c>
      <c r="DM609" s="58">
        <f t="array" ref="DM609">SUM(IF(DI609:DJ609&gt;=DJ609, 1))</f>
        <v>1</v>
      </c>
      <c r="DO609" s="109">
        <f t="shared" si="258"/>
        <v>-9198651.1371468548</v>
      </c>
      <c r="DP609" s="109">
        <f t="shared" si="259"/>
        <v>0</v>
      </c>
      <c r="DR609" s="58">
        <f t="array" ref="DR609">SUM(IF(DO609:DP609&gt;=DO609, 1))</f>
        <v>2</v>
      </c>
      <c r="DS609" s="58">
        <f t="array" ref="DS609">SUM(IF(DO609:DP609&gt;=DP609, 1))</f>
        <v>1</v>
      </c>
      <c r="DU609" s="109">
        <f t="shared" si="260"/>
        <v>-48993148.892584309</v>
      </c>
      <c r="DV609" s="109">
        <f t="shared" si="261"/>
        <v>0</v>
      </c>
      <c r="DX609" s="58">
        <f t="array" ref="DX609">SUM(IF(DU609:DV609&gt;=DU609, 1))</f>
        <v>2</v>
      </c>
      <c r="DY609" s="58">
        <f t="array" ref="DY609">SUM(IF(DU609:DV609&gt;=DV609, 1))</f>
        <v>1</v>
      </c>
      <c r="EA609" s="109">
        <f t="shared" si="262"/>
        <v>-194403971.31294832</v>
      </c>
      <c r="EB609" s="109">
        <f t="shared" si="263"/>
        <v>0</v>
      </c>
      <c r="ED609" s="58">
        <f t="array" ref="ED609">SUM(IF(EA609:EB609&gt;=EA609, 1))</f>
        <v>2</v>
      </c>
      <c r="EE609" s="58">
        <f t="array" ref="EE609">SUM(IF(EA609:EB609&gt;=EB609, 1))</f>
        <v>1</v>
      </c>
    </row>
    <row r="610" spans="4:135" ht="12" customHeight="1" x14ac:dyDescent="0.25">
      <c r="D610" s="11">
        <v>594</v>
      </c>
      <c r="E610" s="72">
        <v>299.30018067127065</v>
      </c>
      <c r="F610" s="72">
        <v>284.42726354680707</v>
      </c>
      <c r="G610" s="73"/>
      <c r="H610" s="74">
        <v>5.8772971084381611</v>
      </c>
      <c r="I610" s="74">
        <v>5.8889331240665301</v>
      </c>
      <c r="J610" s="73"/>
      <c r="K610" s="72">
        <v>321.90704608506047</v>
      </c>
      <c r="L610" s="72">
        <v>306.63102017607974</v>
      </c>
      <c r="M610" s="73"/>
      <c r="N610" s="74">
        <v>6.692477086019613</v>
      </c>
      <c r="O610" s="74">
        <v>6.7018456102730157</v>
      </c>
      <c r="P610" s="73"/>
      <c r="Q610" s="72">
        <v>2756.4439801158101</v>
      </c>
      <c r="R610" s="72">
        <v>1641.9304590936024</v>
      </c>
      <c r="S610" s="73"/>
      <c r="T610" s="74">
        <v>4.8411388702987841</v>
      </c>
      <c r="U610" s="74">
        <v>4.9156676001732027</v>
      </c>
      <c r="V610" s="73"/>
      <c r="W610" s="72">
        <v>11865.377106885166</v>
      </c>
      <c r="X610" s="72">
        <v>11880.150996077886</v>
      </c>
      <c r="Y610" s="73"/>
      <c r="Z610" s="74">
        <v>3.0812560412985266</v>
      </c>
      <c r="AA610" s="74">
        <v>3.1272081637897138</v>
      </c>
      <c r="AB610" s="73"/>
      <c r="AC610" s="72">
        <v>51059.197218308502</v>
      </c>
      <c r="AD610" s="72">
        <v>50863.249626775949</v>
      </c>
      <c r="AE610" s="73"/>
      <c r="AF610" s="74">
        <v>4.49727416974428</v>
      </c>
      <c r="AG610" s="74">
        <v>4.6042507988271817</v>
      </c>
      <c r="AH610" s="73"/>
      <c r="AI610" s="72">
        <v>1597585.4918978468</v>
      </c>
      <c r="AJ610" s="72">
        <v>0</v>
      </c>
      <c r="AK610" s="73"/>
      <c r="AL610" s="74">
        <v>-1249.891302144227</v>
      </c>
      <c r="AM610" s="74">
        <v>0</v>
      </c>
      <c r="AN610" s="73"/>
      <c r="AO610" s="72">
        <v>107846.13083410972</v>
      </c>
      <c r="AP610" s="72">
        <v>0</v>
      </c>
      <c r="AQ610" s="73"/>
      <c r="AR610" s="74">
        <v>-66.140179283213584</v>
      </c>
      <c r="AS610" s="74">
        <v>0</v>
      </c>
      <c r="AT610" s="73"/>
      <c r="AU610" s="72">
        <v>25988124.377243541</v>
      </c>
      <c r="AV610" s="72">
        <v>0</v>
      </c>
      <c r="AW610" s="73"/>
      <c r="AX610" s="74">
        <v>-1737.8541086499602</v>
      </c>
      <c r="AY610" s="74">
        <v>0</v>
      </c>
      <c r="AZ610" s="73"/>
      <c r="BA610" s="72">
        <v>-128083.61342735661</v>
      </c>
      <c r="BB610" s="72">
        <v>0</v>
      </c>
      <c r="BC610" s="73"/>
      <c r="BD610" s="74">
        <v>-398.38622156635273</v>
      </c>
      <c r="BE610" s="74">
        <v>0</v>
      </c>
      <c r="BF610" s="73"/>
      <c r="BG610" s="72">
        <v>3152771.9737924444</v>
      </c>
      <c r="BH610" s="72">
        <v>0</v>
      </c>
      <c r="BI610" s="73"/>
      <c r="BJ610" s="74">
        <v>-1721.2404367181566</v>
      </c>
      <c r="BK610" s="74">
        <v>0</v>
      </c>
      <c r="BL610" s="73"/>
      <c r="BM610" s="72">
        <v>30718244.360340588</v>
      </c>
      <c r="BN610" s="72">
        <v>0</v>
      </c>
      <c r="BO610" s="73"/>
      <c r="BP610" s="74">
        <v>-5173.5122483619098</v>
      </c>
      <c r="BQ610" s="74">
        <v>0</v>
      </c>
      <c r="BS610" s="109">
        <f t="shared" si="243"/>
        <v>117246.64198809196</v>
      </c>
      <c r="BT610" s="109">
        <f t="shared" si="244"/>
        <v>117494.23521778379</v>
      </c>
      <c r="BV610" s="58">
        <f t="array" ref="BV610">SUM(IF(BS610:BT610&gt;=BS610, 1))</f>
        <v>2</v>
      </c>
      <c r="BW610" s="58">
        <f t="array" ref="BW610">SUM(IF(BS610:BT610&gt;=BT610, 1))</f>
        <v>1</v>
      </c>
      <c r="BY610" s="109">
        <f t="shared" si="245"/>
        <v>133527.63467430722</v>
      </c>
      <c r="BZ610" s="109">
        <f t="shared" si="246"/>
        <v>133730.28118528423</v>
      </c>
      <c r="CB610" s="58">
        <f t="array" ref="CB610">SUM(IF(BY610:BZ610&gt;=BY610, 1))</f>
        <v>2</v>
      </c>
      <c r="CC610" s="58">
        <f t="array" ref="CC610">SUM(IF(BY610:BZ610&gt;=BZ610, 1))</f>
        <v>1</v>
      </c>
      <c r="CE610" s="109">
        <f t="shared" si="247"/>
        <v>94066.333425859862</v>
      </c>
      <c r="CF610" s="109">
        <f t="shared" si="248"/>
        <v>96671.421544370445</v>
      </c>
      <c r="CH610" s="58">
        <f t="array" ref="CH610">SUM(IF(CE610:CF610&gt;=CE610, 1))</f>
        <v>2</v>
      </c>
      <c r="CI610" s="58">
        <f t="array" ref="CI610">SUM(IF(CE610:CF610&gt;=CF610, 1))</f>
        <v>1</v>
      </c>
      <c r="CK610" s="109">
        <f t="shared" si="249"/>
        <v>49759.743719085367</v>
      </c>
      <c r="CL610" s="109">
        <f t="shared" si="250"/>
        <v>50664.012279716393</v>
      </c>
      <c r="CN610" s="58">
        <f t="array" ref="CN610">SUM(IF(CK610:CL610&gt;=CK610, 1))</f>
        <v>2</v>
      </c>
      <c r="CO610" s="58">
        <f t="array" ref="CO610">SUM(IF(CK610:CL610&gt;=CL610, 1))</f>
        <v>1</v>
      </c>
      <c r="CQ610" s="109" cm="1">
        <f t="array" ref="CQ610">AF610*WTP-AC610</f>
        <v>38886.286176577094</v>
      </c>
      <c r="CR610" s="109">
        <f t="shared" si="251"/>
        <v>41221.766349767691</v>
      </c>
      <c r="CT610" s="58">
        <f t="array" ref="CT610">SUM(IF(CQ610:CR610&gt;=CQ610, 1))</f>
        <v>2</v>
      </c>
      <c r="CU610" s="58">
        <f t="array" ref="CU610">SUM(IF(CQ610:CR610&gt;=CR610, 1))</f>
        <v>1</v>
      </c>
      <c r="CW610" s="109">
        <f t="shared" si="252"/>
        <v>-26595411.534782387</v>
      </c>
      <c r="CX610" s="109">
        <f t="shared" si="253"/>
        <v>0</v>
      </c>
      <c r="CZ610" s="58">
        <f t="array" ref="CZ610">SUM(IF(CW610:CX610&gt;=CW610, 1))</f>
        <v>2</v>
      </c>
      <c r="DA610" s="58">
        <f t="array" ref="DA610">SUM(IF(CW610:CX610&gt;=CX610, 1))</f>
        <v>1</v>
      </c>
      <c r="DC610" s="109">
        <f t="shared" si="254"/>
        <v>-1430649.7164983812</v>
      </c>
      <c r="DD610" s="109">
        <f t="shared" si="255"/>
        <v>0</v>
      </c>
      <c r="DF610" s="58">
        <f t="array" ref="DF610">SUM(IF(DC610:DD610&gt;=DC610, 1))</f>
        <v>2</v>
      </c>
      <c r="DG610" s="58">
        <f t="array" ref="DG610">SUM(IF(DC610:DD610&gt;=DD610, 1))</f>
        <v>1</v>
      </c>
      <c r="DI610" s="109">
        <f t="shared" si="256"/>
        <v>-60745206.550242744</v>
      </c>
      <c r="DJ610" s="109">
        <f t="shared" si="257"/>
        <v>0</v>
      </c>
      <c r="DL610" s="58">
        <f t="array" ref="DL610">SUM(IF(DI610:DJ610&gt;=DI610, 1))</f>
        <v>2</v>
      </c>
      <c r="DM610" s="58">
        <f t="array" ref="DM610">SUM(IF(DI610:DJ610&gt;=DJ610, 1))</f>
        <v>1</v>
      </c>
      <c r="DO610" s="109">
        <f t="shared" si="258"/>
        <v>-7839640.8178996975</v>
      </c>
      <c r="DP610" s="109">
        <f t="shared" si="259"/>
        <v>0</v>
      </c>
      <c r="DR610" s="58">
        <f t="array" ref="DR610">SUM(IF(DO610:DP610&gt;=DO610, 1))</f>
        <v>2</v>
      </c>
      <c r="DS610" s="58">
        <f t="array" ref="DS610">SUM(IF(DO610:DP610&gt;=DP610, 1))</f>
        <v>1</v>
      </c>
      <c r="DU610" s="109">
        <f t="shared" si="260"/>
        <v>-37577580.708155572</v>
      </c>
      <c r="DV610" s="109">
        <f t="shared" si="261"/>
        <v>0</v>
      </c>
      <c r="DX610" s="58">
        <f t="array" ref="DX610">SUM(IF(DU610:DV610&gt;=DU610, 1))</f>
        <v>2</v>
      </c>
      <c r="DY610" s="58">
        <f t="array" ref="DY610">SUM(IF(DU610:DV610&gt;=DV610, 1))</f>
        <v>1</v>
      </c>
      <c r="EA610" s="109">
        <f t="shared" si="262"/>
        <v>-134188489.32757878</v>
      </c>
      <c r="EB610" s="109">
        <f t="shared" si="263"/>
        <v>0</v>
      </c>
      <c r="ED610" s="58">
        <f t="array" ref="ED610">SUM(IF(EA610:EB610&gt;=EA610, 1))</f>
        <v>2</v>
      </c>
      <c r="EE610" s="58">
        <f t="array" ref="EE610">SUM(IF(EA610:EB610&gt;=EB610, 1))</f>
        <v>1</v>
      </c>
    </row>
    <row r="611" spans="4:135" ht="12" customHeight="1" x14ac:dyDescent="0.25">
      <c r="D611" s="11">
        <v>595</v>
      </c>
      <c r="E611" s="72">
        <v>292.57775808964323</v>
      </c>
      <c r="F611" s="72">
        <v>258.80903742112406</v>
      </c>
      <c r="G611" s="73"/>
      <c r="H611" s="74">
        <v>5.8439778587155793</v>
      </c>
      <c r="I611" s="74">
        <v>5.8611087269799214</v>
      </c>
      <c r="J611" s="73"/>
      <c r="K611" s="72">
        <v>313.5786329050253</v>
      </c>
      <c r="L611" s="72">
        <v>279.02162063528237</v>
      </c>
      <c r="M611" s="73"/>
      <c r="N611" s="74">
        <v>6.7350403887563122</v>
      </c>
      <c r="O611" s="74">
        <v>6.7498298436249646</v>
      </c>
      <c r="P611" s="73"/>
      <c r="Q611" s="72">
        <v>2645.6784967648296</v>
      </c>
      <c r="R611" s="72">
        <v>1719.4877112569616</v>
      </c>
      <c r="S611" s="73"/>
      <c r="T611" s="74">
        <v>4.8493312727094695</v>
      </c>
      <c r="U611" s="74">
        <v>4.9159836085031587</v>
      </c>
      <c r="V611" s="73"/>
      <c r="W611" s="72">
        <v>13072.178107856937</v>
      </c>
      <c r="X611" s="72">
        <v>13086.617842885542</v>
      </c>
      <c r="Y611" s="73"/>
      <c r="Z611" s="74">
        <v>2.9795825967969769</v>
      </c>
      <c r="AA611" s="74">
        <v>3.039640270694111</v>
      </c>
      <c r="AB611" s="73"/>
      <c r="AC611" s="72">
        <v>51081.087575362617</v>
      </c>
      <c r="AD611" s="72">
        <v>50309.984293393929</v>
      </c>
      <c r="AE611" s="73"/>
      <c r="AF611" s="74">
        <v>4.5103920696570334</v>
      </c>
      <c r="AG611" s="74">
        <v>4.7020952897205159</v>
      </c>
      <c r="AH611" s="73"/>
      <c r="AI611" s="72">
        <v>3641322.0792213478</v>
      </c>
      <c r="AJ611" s="72">
        <v>0</v>
      </c>
      <c r="AK611" s="73"/>
      <c r="AL611" s="74">
        <v>-1847.2422884925516</v>
      </c>
      <c r="AM611" s="74">
        <v>0</v>
      </c>
      <c r="AN611" s="73"/>
      <c r="AO611" s="72">
        <v>237792.61483798531</v>
      </c>
      <c r="AP611" s="72">
        <v>0</v>
      </c>
      <c r="AQ611" s="73"/>
      <c r="AR611" s="74">
        <v>-101.76872693142126</v>
      </c>
      <c r="AS611" s="74">
        <v>0</v>
      </c>
      <c r="AT611" s="73"/>
      <c r="AU611" s="72">
        <v>21080526.429551993</v>
      </c>
      <c r="AV611" s="72">
        <v>0</v>
      </c>
      <c r="AW611" s="73"/>
      <c r="AX611" s="74">
        <v>-1517.037686268694</v>
      </c>
      <c r="AY611" s="74">
        <v>0</v>
      </c>
      <c r="AZ611" s="73"/>
      <c r="BA611" s="72">
        <v>-126065.02191648287</v>
      </c>
      <c r="BB611" s="72">
        <v>0</v>
      </c>
      <c r="BC611" s="73"/>
      <c r="BD611" s="74">
        <v>-524.32901026899572</v>
      </c>
      <c r="BE611" s="74">
        <v>0</v>
      </c>
      <c r="BF611" s="73"/>
      <c r="BG611" s="72">
        <v>11805092.153017258</v>
      </c>
      <c r="BH611" s="72">
        <v>0</v>
      </c>
      <c r="BI611" s="73"/>
      <c r="BJ611" s="74">
        <v>-2934.8522199279837</v>
      </c>
      <c r="BK611" s="74">
        <v>0</v>
      </c>
      <c r="BL611" s="73"/>
      <c r="BM611" s="72">
        <v>36638668.254712105</v>
      </c>
      <c r="BN611" s="72">
        <v>0</v>
      </c>
      <c r="BO611" s="73"/>
      <c r="BP611" s="74">
        <v>-6925.2299318896457</v>
      </c>
      <c r="BQ611" s="74">
        <v>0</v>
      </c>
      <c r="BS611" s="109">
        <f t="shared" si="243"/>
        <v>116586.97941622195</v>
      </c>
      <c r="BT611" s="109">
        <f t="shared" si="244"/>
        <v>116963.36550217732</v>
      </c>
      <c r="BV611" s="58">
        <f t="array" ref="BV611">SUM(IF(BS611:BT611&gt;=BS611, 1))</f>
        <v>2</v>
      </c>
      <c r="BW611" s="58">
        <f t="array" ref="BW611">SUM(IF(BS611:BT611&gt;=BT611, 1))</f>
        <v>1</v>
      </c>
      <c r="BY611" s="109">
        <f t="shared" si="245"/>
        <v>134387.22914222121</v>
      </c>
      <c r="BZ611" s="109">
        <f t="shared" si="246"/>
        <v>134717.57525186401</v>
      </c>
      <c r="CB611" s="58">
        <f t="array" ref="CB611">SUM(IF(BY611:BZ611&gt;=BY611, 1))</f>
        <v>2</v>
      </c>
      <c r="CC611" s="58">
        <f t="array" ref="CC611">SUM(IF(BY611:BZ611&gt;=BZ611, 1))</f>
        <v>1</v>
      </c>
      <c r="CE611" s="109">
        <f t="shared" si="247"/>
        <v>94340.94695742456</v>
      </c>
      <c r="CF611" s="109">
        <f t="shared" si="248"/>
        <v>96600.184458806209</v>
      </c>
      <c r="CH611" s="58">
        <f t="array" ref="CH611">SUM(IF(CE611:CF611&gt;=CE611, 1))</f>
        <v>2</v>
      </c>
      <c r="CI611" s="58">
        <f t="array" ref="CI611">SUM(IF(CE611:CF611&gt;=CF611, 1))</f>
        <v>1</v>
      </c>
      <c r="CK611" s="109">
        <f t="shared" si="249"/>
        <v>46519.473828082599</v>
      </c>
      <c r="CL611" s="109">
        <f t="shared" si="250"/>
        <v>47706.187570996677</v>
      </c>
      <c r="CN611" s="58">
        <f t="array" ref="CN611">SUM(IF(CK611:CL611&gt;=CK611, 1))</f>
        <v>2</v>
      </c>
      <c r="CO611" s="58">
        <f t="array" ref="CO611">SUM(IF(CK611:CL611&gt;=CL611, 1))</f>
        <v>1</v>
      </c>
      <c r="CQ611" s="109" cm="1">
        <f t="array" ref="CQ611">AF611*WTP-AC611</f>
        <v>39126.753817778052</v>
      </c>
      <c r="CR611" s="109">
        <f t="shared" si="251"/>
        <v>43731.921501016383</v>
      </c>
      <c r="CT611" s="58">
        <f t="array" ref="CT611">SUM(IF(CQ611:CR611&gt;=CQ611, 1))</f>
        <v>2</v>
      </c>
      <c r="CU611" s="58">
        <f t="array" ref="CU611">SUM(IF(CQ611:CR611&gt;=CR611, 1))</f>
        <v>1</v>
      </c>
      <c r="CW611" s="109">
        <f t="shared" si="252"/>
        <v>-40586167.849072374</v>
      </c>
      <c r="CX611" s="109">
        <f t="shared" si="253"/>
        <v>0</v>
      </c>
      <c r="CZ611" s="58">
        <f t="array" ref="CZ611">SUM(IF(CW611:CX611&gt;=CW611, 1))</f>
        <v>2</v>
      </c>
      <c r="DA611" s="58">
        <f t="array" ref="DA611">SUM(IF(CW611:CX611&gt;=CX611, 1))</f>
        <v>1</v>
      </c>
      <c r="DC611" s="109">
        <f t="shared" si="254"/>
        <v>-2273167.1534664105</v>
      </c>
      <c r="DD611" s="109">
        <f t="shared" si="255"/>
        <v>0</v>
      </c>
      <c r="DF611" s="58">
        <f t="array" ref="DF611">SUM(IF(DC611:DD611&gt;=DC611, 1))</f>
        <v>2</v>
      </c>
      <c r="DG611" s="58">
        <f t="array" ref="DG611">SUM(IF(DC611:DD611&gt;=DD611, 1))</f>
        <v>1</v>
      </c>
      <c r="DI611" s="109">
        <f t="shared" si="256"/>
        <v>-51421280.154925868</v>
      </c>
      <c r="DJ611" s="109">
        <f t="shared" si="257"/>
        <v>0</v>
      </c>
      <c r="DL611" s="58">
        <f t="array" ref="DL611">SUM(IF(DI611:DJ611&gt;=DI611, 1))</f>
        <v>2</v>
      </c>
      <c r="DM611" s="58">
        <f t="array" ref="DM611">SUM(IF(DI611:DJ611&gt;=DJ611, 1))</f>
        <v>1</v>
      </c>
      <c r="DO611" s="109">
        <f t="shared" si="258"/>
        <v>-10360515.183463432</v>
      </c>
      <c r="DP611" s="109">
        <f t="shared" si="259"/>
        <v>0</v>
      </c>
      <c r="DR611" s="58">
        <f t="array" ref="DR611">SUM(IF(DO611:DP611&gt;=DO611, 1))</f>
        <v>2</v>
      </c>
      <c r="DS611" s="58">
        <f t="array" ref="DS611">SUM(IF(DO611:DP611&gt;=DP611, 1))</f>
        <v>1</v>
      </c>
      <c r="DU611" s="109">
        <f t="shared" si="260"/>
        <v>-70502136.551576927</v>
      </c>
      <c r="DV611" s="109">
        <f t="shared" si="261"/>
        <v>0</v>
      </c>
      <c r="DX611" s="58">
        <f t="array" ref="DX611">SUM(IF(DU611:DV611&gt;=DU611, 1))</f>
        <v>2</v>
      </c>
      <c r="DY611" s="58">
        <f t="array" ref="DY611">SUM(IF(DU611:DV611&gt;=DV611, 1))</f>
        <v>1</v>
      </c>
      <c r="EA611" s="109">
        <f t="shared" si="262"/>
        <v>-175143266.89250502</v>
      </c>
      <c r="EB611" s="109">
        <f t="shared" si="263"/>
        <v>0</v>
      </c>
      <c r="ED611" s="58">
        <f t="array" ref="ED611">SUM(IF(EA611:EB611&gt;=EA611, 1))</f>
        <v>2</v>
      </c>
      <c r="EE611" s="58">
        <f t="array" ref="EE611">SUM(IF(EA611:EB611&gt;=EB611, 1))</f>
        <v>1</v>
      </c>
    </row>
    <row r="612" spans="4:135" ht="12" customHeight="1" x14ac:dyDescent="0.25">
      <c r="D612" s="11">
        <v>596</v>
      </c>
      <c r="E612" s="72">
        <v>207.19882372442601</v>
      </c>
      <c r="F612" s="72">
        <v>188.55637334831761</v>
      </c>
      <c r="G612" s="73"/>
      <c r="H612" s="74">
        <v>5.8417032613847795</v>
      </c>
      <c r="I612" s="74">
        <v>5.8594389450691677</v>
      </c>
      <c r="J612" s="73"/>
      <c r="K612" s="72">
        <v>222.45279701252622</v>
      </c>
      <c r="L612" s="72">
        <v>203.3635096331522</v>
      </c>
      <c r="M612" s="73"/>
      <c r="N612" s="74">
        <v>6.7214077837330297</v>
      </c>
      <c r="O612" s="74">
        <v>6.7370482616553531</v>
      </c>
      <c r="P612" s="73"/>
      <c r="Q612" s="72">
        <v>1636.0263455270401</v>
      </c>
      <c r="R612" s="72">
        <v>1057.5088825215391</v>
      </c>
      <c r="S612" s="73"/>
      <c r="T612" s="74">
        <v>4.675186674159896</v>
      </c>
      <c r="U612" s="74">
        <v>4.7661184270578874</v>
      </c>
      <c r="V612" s="73"/>
      <c r="W612" s="72">
        <v>10923.006980041155</v>
      </c>
      <c r="X612" s="72">
        <v>10954.642350899447</v>
      </c>
      <c r="Y612" s="73"/>
      <c r="Z612" s="74">
        <v>3.139079851136787</v>
      </c>
      <c r="AA612" s="74">
        <v>3.2078351812533223</v>
      </c>
      <c r="AB612" s="73"/>
      <c r="AC612" s="72">
        <v>50321.705701228064</v>
      </c>
      <c r="AD612" s="72">
        <v>50021.230238700104</v>
      </c>
      <c r="AE612" s="73"/>
      <c r="AF612" s="74">
        <v>4.8038681510710823</v>
      </c>
      <c r="AG612" s="74">
        <v>4.9661910435758054</v>
      </c>
      <c r="AH612" s="73"/>
      <c r="AI612" s="72">
        <v>1996690.336171841</v>
      </c>
      <c r="AJ612" s="72">
        <v>0</v>
      </c>
      <c r="AK612" s="73"/>
      <c r="AL612" s="74">
        <v>-1899.5715425587214</v>
      </c>
      <c r="AM612" s="74">
        <v>0</v>
      </c>
      <c r="AN612" s="73"/>
      <c r="AO612" s="72">
        <v>129485.67544376788</v>
      </c>
      <c r="AP612" s="72">
        <v>0</v>
      </c>
      <c r="AQ612" s="73"/>
      <c r="AR612" s="74">
        <v>-106.0918518217516</v>
      </c>
      <c r="AS612" s="74">
        <v>0</v>
      </c>
      <c r="AT612" s="73"/>
      <c r="AU612" s="72">
        <v>13345201.393786261</v>
      </c>
      <c r="AV612" s="72">
        <v>0</v>
      </c>
      <c r="AW612" s="73"/>
      <c r="AX612" s="74">
        <v>-2097.607476201913</v>
      </c>
      <c r="AY612" s="74">
        <v>0</v>
      </c>
      <c r="AZ612" s="73"/>
      <c r="BA612" s="72">
        <v>-288957.21310245263</v>
      </c>
      <c r="BB612" s="72">
        <v>0</v>
      </c>
      <c r="BC612" s="73"/>
      <c r="BD612" s="74">
        <v>-628.01061082569095</v>
      </c>
      <c r="BE612" s="74">
        <v>0</v>
      </c>
      <c r="BF612" s="73"/>
      <c r="BG612" s="72">
        <v>4829919.2225817069</v>
      </c>
      <c r="BH612" s="72">
        <v>0</v>
      </c>
      <c r="BI612" s="73"/>
      <c r="BJ612" s="74">
        <v>-2609.2195754609143</v>
      </c>
      <c r="BK612" s="74">
        <v>0</v>
      </c>
      <c r="BL612" s="73"/>
      <c r="BM612" s="72">
        <v>20012339.414881125</v>
      </c>
      <c r="BN612" s="72">
        <v>0</v>
      </c>
      <c r="BO612" s="73"/>
      <c r="BP612" s="74">
        <v>-7340.5010568689922</v>
      </c>
      <c r="BQ612" s="74">
        <v>0</v>
      </c>
      <c r="BS612" s="109">
        <f t="shared" si="243"/>
        <v>116626.86640397117</v>
      </c>
      <c r="BT612" s="109">
        <f t="shared" si="244"/>
        <v>117000.22252803504</v>
      </c>
      <c r="BV612" s="58">
        <f t="array" ref="BV612">SUM(IF(BS612:BT612&gt;=BS612, 1))</f>
        <v>2</v>
      </c>
      <c r="BW612" s="58">
        <f t="array" ref="BW612">SUM(IF(BS612:BT612&gt;=BT612, 1))</f>
        <v>1</v>
      </c>
      <c r="BY612" s="109">
        <f t="shared" si="245"/>
        <v>134205.70287764809</v>
      </c>
      <c r="BZ612" s="109">
        <f t="shared" si="246"/>
        <v>134537.60172347393</v>
      </c>
      <c r="CB612" s="58">
        <f t="array" ref="CB612">SUM(IF(BY612:BZ612&gt;=BY612, 1))</f>
        <v>2</v>
      </c>
      <c r="CC612" s="58">
        <f t="array" ref="CC612">SUM(IF(BY612:BZ612&gt;=BZ612, 1))</f>
        <v>1</v>
      </c>
      <c r="CE612" s="109">
        <f t="shared" si="247"/>
        <v>91867.707137670877</v>
      </c>
      <c r="CF612" s="109">
        <f t="shared" si="248"/>
        <v>94264.859658636211</v>
      </c>
      <c r="CH612" s="58">
        <f t="array" ref="CH612">SUM(IF(CE612:CF612&gt;=CE612, 1))</f>
        <v>2</v>
      </c>
      <c r="CI612" s="58">
        <f t="array" ref="CI612">SUM(IF(CE612:CF612&gt;=CF612, 1))</f>
        <v>1</v>
      </c>
      <c r="CK612" s="109">
        <f t="shared" si="249"/>
        <v>51858.590042694588</v>
      </c>
      <c r="CL612" s="109">
        <f t="shared" si="250"/>
        <v>53202.061274166997</v>
      </c>
      <c r="CN612" s="58">
        <f t="array" ref="CN612">SUM(IF(CK612:CL612&gt;=CK612, 1))</f>
        <v>2</v>
      </c>
      <c r="CO612" s="58">
        <f t="array" ref="CO612">SUM(IF(CK612:CL612&gt;=CL612, 1))</f>
        <v>1</v>
      </c>
      <c r="CQ612" s="109" cm="1">
        <f t="array" ref="CQ612">AF612*WTP-AC612</f>
        <v>45755.65732019359</v>
      </c>
      <c r="CR612" s="109">
        <f t="shared" si="251"/>
        <v>49302.590632815998</v>
      </c>
      <c r="CT612" s="58">
        <f t="array" ref="CT612">SUM(IF(CQ612:CR612&gt;=CQ612, 1))</f>
        <v>2</v>
      </c>
      <c r="CU612" s="58">
        <f t="array" ref="CU612">SUM(IF(CQ612:CR612&gt;=CR612, 1))</f>
        <v>1</v>
      </c>
      <c r="CW612" s="109">
        <f t="shared" si="252"/>
        <v>-39988121.187346272</v>
      </c>
      <c r="CX612" s="109">
        <f t="shared" si="253"/>
        <v>0</v>
      </c>
      <c r="CZ612" s="58">
        <f t="array" ref="CZ612">SUM(IF(CW612:CX612&gt;=CW612, 1))</f>
        <v>2</v>
      </c>
      <c r="DA612" s="58">
        <f t="array" ref="DA612">SUM(IF(CW612:CX612&gt;=CX612, 1))</f>
        <v>1</v>
      </c>
      <c r="DC612" s="109">
        <f t="shared" si="254"/>
        <v>-2251322.7118788003</v>
      </c>
      <c r="DD612" s="109">
        <f t="shared" si="255"/>
        <v>0</v>
      </c>
      <c r="DF612" s="58">
        <f t="array" ref="DF612">SUM(IF(DC612:DD612&gt;=DC612, 1))</f>
        <v>2</v>
      </c>
      <c r="DG612" s="58">
        <f t="array" ref="DG612">SUM(IF(DC612:DD612&gt;=DD612, 1))</f>
        <v>1</v>
      </c>
      <c r="DI612" s="109">
        <f t="shared" si="256"/>
        <v>-55297350.917824522</v>
      </c>
      <c r="DJ612" s="109">
        <f t="shared" si="257"/>
        <v>0</v>
      </c>
      <c r="DL612" s="58">
        <f t="array" ref="DL612">SUM(IF(DI612:DJ612&gt;=DI612, 1))</f>
        <v>2</v>
      </c>
      <c r="DM612" s="58">
        <f t="array" ref="DM612">SUM(IF(DI612:DJ612&gt;=DJ612, 1))</f>
        <v>1</v>
      </c>
      <c r="DO612" s="109">
        <f t="shared" si="258"/>
        <v>-12271255.003411366</v>
      </c>
      <c r="DP612" s="109">
        <f t="shared" si="259"/>
        <v>0</v>
      </c>
      <c r="DR612" s="58">
        <f t="array" ref="DR612">SUM(IF(DO612:DP612&gt;=DO612, 1))</f>
        <v>2</v>
      </c>
      <c r="DS612" s="58">
        <f t="array" ref="DS612">SUM(IF(DO612:DP612&gt;=DP612, 1))</f>
        <v>1</v>
      </c>
      <c r="DU612" s="109">
        <f t="shared" si="260"/>
        <v>-57014310.73179999</v>
      </c>
      <c r="DV612" s="109">
        <f t="shared" si="261"/>
        <v>0</v>
      </c>
      <c r="DX612" s="58">
        <f t="array" ref="DX612">SUM(IF(DU612:DV612&gt;=DU612, 1))</f>
        <v>2</v>
      </c>
      <c r="DY612" s="58">
        <f t="array" ref="DY612">SUM(IF(DU612:DV612&gt;=DV612, 1))</f>
        <v>1</v>
      </c>
      <c r="EA612" s="109">
        <f t="shared" si="262"/>
        <v>-166822360.55226099</v>
      </c>
      <c r="EB612" s="109">
        <f t="shared" si="263"/>
        <v>0</v>
      </c>
      <c r="ED612" s="58">
        <f t="array" ref="ED612">SUM(IF(EA612:EB612&gt;=EA612, 1))</f>
        <v>2</v>
      </c>
      <c r="EE612" s="58">
        <f t="array" ref="EE612">SUM(IF(EA612:EB612&gt;=EB612, 1))</f>
        <v>1</v>
      </c>
    </row>
    <row r="613" spans="4:135" ht="12" customHeight="1" x14ac:dyDescent="0.25">
      <c r="D613" s="11">
        <v>597</v>
      </c>
      <c r="E613" s="72">
        <v>236.6975384369469</v>
      </c>
      <c r="F613" s="72">
        <v>217.4908991808141</v>
      </c>
      <c r="G613" s="73"/>
      <c r="H613" s="74">
        <v>5.8265002068040195</v>
      </c>
      <c r="I613" s="74">
        <v>5.8458606691236534</v>
      </c>
      <c r="J613" s="73"/>
      <c r="K613" s="72">
        <v>254.26209013172328</v>
      </c>
      <c r="L613" s="72">
        <v>234.5685024214774</v>
      </c>
      <c r="M613" s="73"/>
      <c r="N613" s="74">
        <v>6.769932928553839</v>
      </c>
      <c r="O613" s="74">
        <v>6.786701592215084</v>
      </c>
      <c r="P613" s="73"/>
      <c r="Q613" s="72">
        <v>1838.1878797632733</v>
      </c>
      <c r="R613" s="72">
        <v>1179.2057828727118</v>
      </c>
      <c r="S613" s="73"/>
      <c r="T613" s="74">
        <v>4.783059651826453</v>
      </c>
      <c r="U613" s="74">
        <v>4.8478568997656195</v>
      </c>
      <c r="V613" s="73"/>
      <c r="W613" s="72">
        <v>13529.646413358478</v>
      </c>
      <c r="X613" s="72">
        <v>13472.102436269228</v>
      </c>
      <c r="Y613" s="73"/>
      <c r="Z613" s="74">
        <v>2.9952627086804826</v>
      </c>
      <c r="AA613" s="74">
        <v>3.0372961753854764</v>
      </c>
      <c r="AB613" s="73"/>
      <c r="AC613" s="72">
        <v>50087.003005241619</v>
      </c>
      <c r="AD613" s="72">
        <v>49801.961459062717</v>
      </c>
      <c r="AE613" s="73"/>
      <c r="AF613" s="74">
        <v>4.3072345204659994</v>
      </c>
      <c r="AG613" s="74">
        <v>4.4427589795845428</v>
      </c>
      <c r="AH613" s="73"/>
      <c r="AI613" s="72">
        <v>2049626.6585028756</v>
      </c>
      <c r="AJ613" s="72">
        <v>0</v>
      </c>
      <c r="AK613" s="73"/>
      <c r="AL613" s="74">
        <v>-2066.0418078395232</v>
      </c>
      <c r="AM613" s="74">
        <v>0</v>
      </c>
      <c r="AN613" s="73"/>
      <c r="AO613" s="72">
        <v>136839.0048095299</v>
      </c>
      <c r="AP613" s="72">
        <v>0</v>
      </c>
      <c r="AQ613" s="73"/>
      <c r="AR613" s="74">
        <v>-116.51545067111797</v>
      </c>
      <c r="AS613" s="74">
        <v>0</v>
      </c>
      <c r="AT613" s="73"/>
      <c r="AU613" s="72">
        <v>15082467.774543645</v>
      </c>
      <c r="AV613" s="72">
        <v>0</v>
      </c>
      <c r="AW613" s="73"/>
      <c r="AX613" s="74">
        <v>-1483.0484902898604</v>
      </c>
      <c r="AY613" s="74">
        <v>0</v>
      </c>
      <c r="AZ613" s="73"/>
      <c r="BA613" s="72">
        <v>524980.17106928269</v>
      </c>
      <c r="BB613" s="72">
        <v>0</v>
      </c>
      <c r="BC613" s="73"/>
      <c r="BD613" s="74">
        <v>-383.47604141433294</v>
      </c>
      <c r="BE613" s="74">
        <v>0</v>
      </c>
      <c r="BF613" s="73"/>
      <c r="BG613" s="72">
        <v>4548088.9128081147</v>
      </c>
      <c r="BH613" s="72">
        <v>0</v>
      </c>
      <c r="BI613" s="73"/>
      <c r="BJ613" s="74">
        <v>-2162.4121051620477</v>
      </c>
      <c r="BK613" s="74">
        <v>0</v>
      </c>
      <c r="BL613" s="73"/>
      <c r="BM613" s="72">
        <v>22342002.521733448</v>
      </c>
      <c r="BN613" s="72">
        <v>0</v>
      </c>
      <c r="BO613" s="73"/>
      <c r="BP613" s="74">
        <v>-6211.4938953768824</v>
      </c>
      <c r="BQ613" s="74">
        <v>0</v>
      </c>
      <c r="BS613" s="109">
        <f t="shared" si="243"/>
        <v>116293.30659764344</v>
      </c>
      <c r="BT613" s="109">
        <f t="shared" si="244"/>
        <v>116699.72248329225</v>
      </c>
      <c r="BV613" s="58">
        <f t="array" ref="BV613">SUM(IF(BS613:BT613&gt;=BS613, 1))</f>
        <v>2</v>
      </c>
      <c r="BW613" s="58">
        <f t="array" ref="BW613">SUM(IF(BS613:BT613&gt;=BT613, 1))</f>
        <v>1</v>
      </c>
      <c r="BY613" s="109">
        <f t="shared" si="245"/>
        <v>135144.39648094506</v>
      </c>
      <c r="BZ613" s="109">
        <f t="shared" si="246"/>
        <v>135499.46334188018</v>
      </c>
      <c r="CB613" s="58">
        <f t="array" ref="CB613">SUM(IF(BY613:BZ613&gt;=BY613, 1))</f>
        <v>2</v>
      </c>
      <c r="CC613" s="58">
        <f t="array" ref="CC613">SUM(IF(BY613:BZ613&gt;=BZ613, 1))</f>
        <v>1</v>
      </c>
      <c r="CE613" s="109">
        <f t="shared" si="247"/>
        <v>93823.005156765794</v>
      </c>
      <c r="CF613" s="109">
        <f t="shared" si="248"/>
        <v>95777.932212439671</v>
      </c>
      <c r="CH613" s="58">
        <f t="array" ref="CH613">SUM(IF(CE613:CF613&gt;=CE613, 1))</f>
        <v>2</v>
      </c>
      <c r="CI613" s="58">
        <f t="array" ref="CI613">SUM(IF(CE613:CF613&gt;=CF613, 1))</f>
        <v>1</v>
      </c>
      <c r="CK613" s="109">
        <f t="shared" si="249"/>
        <v>46375.60776025118</v>
      </c>
      <c r="CL613" s="109">
        <f t="shared" si="250"/>
        <v>47273.821071440303</v>
      </c>
      <c r="CN613" s="58">
        <f t="array" ref="CN613">SUM(IF(CK613:CL613&gt;=CK613, 1))</f>
        <v>2</v>
      </c>
      <c r="CO613" s="58">
        <f t="array" ref="CO613">SUM(IF(CK613:CL613&gt;=CL613, 1))</f>
        <v>1</v>
      </c>
      <c r="CQ613" s="109" cm="1">
        <f t="array" ref="CQ613">AF613*WTP-AC613</f>
        <v>36057.687404078366</v>
      </c>
      <c r="CR613" s="109">
        <f t="shared" si="251"/>
        <v>39053.218132628142</v>
      </c>
      <c r="CT613" s="58">
        <f t="array" ref="CT613">SUM(IF(CQ613:CR613&gt;=CQ613, 1))</f>
        <v>2</v>
      </c>
      <c r="CU613" s="58">
        <f t="array" ref="CU613">SUM(IF(CQ613:CR613&gt;=CR613, 1))</f>
        <v>1</v>
      </c>
      <c r="CW613" s="109">
        <f t="shared" si="252"/>
        <v>-43370462.815293342</v>
      </c>
      <c r="CX613" s="109">
        <f t="shared" si="253"/>
        <v>0</v>
      </c>
      <c r="CZ613" s="58">
        <f t="array" ref="CZ613">SUM(IF(CW613:CX613&gt;=CW613, 1))</f>
        <v>2</v>
      </c>
      <c r="DA613" s="58">
        <f t="array" ref="DA613">SUM(IF(CW613:CX613&gt;=CX613, 1))</f>
        <v>1</v>
      </c>
      <c r="DC613" s="109">
        <f t="shared" si="254"/>
        <v>-2467148.0182318897</v>
      </c>
      <c r="DD613" s="109">
        <f t="shared" si="255"/>
        <v>0</v>
      </c>
      <c r="DF613" s="58">
        <f t="array" ref="DF613">SUM(IF(DC613:DD613&gt;=DC613, 1))</f>
        <v>2</v>
      </c>
      <c r="DG613" s="58">
        <f t="array" ref="DG613">SUM(IF(DC613:DD613&gt;=DD613, 1))</f>
        <v>1</v>
      </c>
      <c r="DI613" s="109">
        <f t="shared" si="256"/>
        <v>-44743437.580340855</v>
      </c>
      <c r="DJ613" s="109">
        <f t="shared" si="257"/>
        <v>0</v>
      </c>
      <c r="DL613" s="58">
        <f t="array" ref="DL613">SUM(IF(DI613:DJ613&gt;=DI613, 1))</f>
        <v>2</v>
      </c>
      <c r="DM613" s="58">
        <f t="array" ref="DM613">SUM(IF(DI613:DJ613&gt;=DJ613, 1))</f>
        <v>1</v>
      </c>
      <c r="DO613" s="109">
        <f t="shared" si="258"/>
        <v>-8194500.999355942</v>
      </c>
      <c r="DP613" s="109">
        <f t="shared" si="259"/>
        <v>0</v>
      </c>
      <c r="DR613" s="58">
        <f t="array" ref="DR613">SUM(IF(DO613:DP613&gt;=DO613, 1))</f>
        <v>2</v>
      </c>
      <c r="DS613" s="58">
        <f t="array" ref="DS613">SUM(IF(DO613:DP613&gt;=DP613, 1))</f>
        <v>1</v>
      </c>
      <c r="DU613" s="109">
        <f t="shared" si="260"/>
        <v>-47796331.016049065</v>
      </c>
      <c r="DV613" s="109">
        <f t="shared" si="261"/>
        <v>0</v>
      </c>
      <c r="DX613" s="58">
        <f t="array" ref="DX613">SUM(IF(DU613:DV613&gt;=DU613, 1))</f>
        <v>2</v>
      </c>
      <c r="DY613" s="58">
        <f t="array" ref="DY613">SUM(IF(DU613:DV613&gt;=DV613, 1))</f>
        <v>1</v>
      </c>
      <c r="EA613" s="109">
        <f t="shared" si="262"/>
        <v>-146571880.4292711</v>
      </c>
      <c r="EB613" s="109">
        <f t="shared" si="263"/>
        <v>0</v>
      </c>
      <c r="ED613" s="58">
        <f t="array" ref="ED613">SUM(IF(EA613:EB613&gt;=EA613, 1))</f>
        <v>2</v>
      </c>
      <c r="EE613" s="58">
        <f t="array" ref="EE613">SUM(IF(EA613:EB613&gt;=EB613, 1))</f>
        <v>1</v>
      </c>
    </row>
    <row r="614" spans="4:135" ht="12" customHeight="1" x14ac:dyDescent="0.25">
      <c r="D614" s="11">
        <v>598</v>
      </c>
      <c r="E614" s="72">
        <v>217.23542230516617</v>
      </c>
      <c r="F614" s="72">
        <v>193.86585790246227</v>
      </c>
      <c r="G614" s="73"/>
      <c r="H614" s="74">
        <v>5.8936677738589021</v>
      </c>
      <c r="I614" s="74">
        <v>5.9170586316669684</v>
      </c>
      <c r="J614" s="73"/>
      <c r="K614" s="72">
        <v>232.98087173638325</v>
      </c>
      <c r="L614" s="72">
        <v>209.05799339290184</v>
      </c>
      <c r="M614" s="73"/>
      <c r="N614" s="74">
        <v>6.7118418734156498</v>
      </c>
      <c r="O614" s="74">
        <v>6.7330908170365227</v>
      </c>
      <c r="P614" s="73"/>
      <c r="Q614" s="72">
        <v>1610.8366111959094</v>
      </c>
      <c r="R614" s="72">
        <v>1140.2639441014103</v>
      </c>
      <c r="S614" s="73"/>
      <c r="T614" s="74">
        <v>4.9431023266171685</v>
      </c>
      <c r="U614" s="74">
        <v>5.0314018535635086</v>
      </c>
      <c r="V614" s="73"/>
      <c r="W614" s="72">
        <v>12751.143403031234</v>
      </c>
      <c r="X614" s="72">
        <v>12763.094233620692</v>
      </c>
      <c r="Y614" s="73"/>
      <c r="Z614" s="74">
        <v>3.0277712959436025</v>
      </c>
      <c r="AA614" s="74">
        <v>3.086044358591518</v>
      </c>
      <c r="AB614" s="73"/>
      <c r="AC614" s="72">
        <v>49630.806960122121</v>
      </c>
      <c r="AD614" s="72">
        <v>49878.934135959673</v>
      </c>
      <c r="AE614" s="73"/>
      <c r="AF614" s="74">
        <v>4.3774905003834954</v>
      </c>
      <c r="AG614" s="74">
        <v>4.4826495080989632</v>
      </c>
      <c r="AH614" s="73"/>
      <c r="AI614" s="72">
        <v>2480405.3813202027</v>
      </c>
      <c r="AJ614" s="72">
        <v>0</v>
      </c>
      <c r="AK614" s="73"/>
      <c r="AL614" s="74">
        <v>-2482.6654267509857</v>
      </c>
      <c r="AM614" s="74">
        <v>0</v>
      </c>
      <c r="AN614" s="73"/>
      <c r="AO614" s="72">
        <v>163524.84863860323</v>
      </c>
      <c r="AP614" s="72">
        <v>0</v>
      </c>
      <c r="AQ614" s="73"/>
      <c r="AR614" s="74">
        <v>-145.24716630849167</v>
      </c>
      <c r="AS614" s="74">
        <v>0</v>
      </c>
      <c r="AT614" s="73"/>
      <c r="AU614" s="72">
        <v>10811848.919575786</v>
      </c>
      <c r="AV614" s="72">
        <v>0</v>
      </c>
      <c r="AW614" s="73"/>
      <c r="AX614" s="74">
        <v>-2028.7645496038192</v>
      </c>
      <c r="AY614" s="74">
        <v>0</v>
      </c>
      <c r="AZ614" s="73"/>
      <c r="BA614" s="72">
        <v>-103690.51128628897</v>
      </c>
      <c r="BB614" s="72">
        <v>0</v>
      </c>
      <c r="BC614" s="73"/>
      <c r="BD614" s="74">
        <v>-505.60198430981433</v>
      </c>
      <c r="BE614" s="74">
        <v>0</v>
      </c>
      <c r="BF614" s="73"/>
      <c r="BG614" s="72">
        <v>-3735497.4298145766</v>
      </c>
      <c r="BH614" s="72">
        <v>0</v>
      </c>
      <c r="BI614" s="73"/>
      <c r="BJ614" s="74">
        <v>-1583.1446181459817</v>
      </c>
      <c r="BK614" s="74">
        <v>0</v>
      </c>
      <c r="BL614" s="73"/>
      <c r="BM614" s="72">
        <v>9616591.2084337268</v>
      </c>
      <c r="BN614" s="72">
        <v>0</v>
      </c>
      <c r="BO614" s="73"/>
      <c r="BP614" s="74">
        <v>-6745.4237451190929</v>
      </c>
      <c r="BQ614" s="74">
        <v>0</v>
      </c>
      <c r="BS614" s="109">
        <f t="shared" si="243"/>
        <v>117656.12005487288</v>
      </c>
      <c r="BT614" s="109">
        <f t="shared" si="244"/>
        <v>118147.30677543691</v>
      </c>
      <c r="BV614" s="58">
        <f t="array" ref="BV614">SUM(IF(BS614:BT614&gt;=BS614, 1))</f>
        <v>2</v>
      </c>
      <c r="BW614" s="58">
        <f t="array" ref="BW614">SUM(IF(BS614:BT614&gt;=BT614, 1))</f>
        <v>1</v>
      </c>
      <c r="BY614" s="109">
        <f t="shared" si="245"/>
        <v>134003.8565965766</v>
      </c>
      <c r="BZ614" s="109">
        <f t="shared" si="246"/>
        <v>134452.75834733757</v>
      </c>
      <c r="CB614" s="58">
        <f t="array" ref="CB614">SUM(IF(BY614:BZ614&gt;=BY614, 1))</f>
        <v>2</v>
      </c>
      <c r="CC614" s="58">
        <f t="array" ref="CC614">SUM(IF(BY614:BZ614&gt;=BZ614, 1))</f>
        <v>1</v>
      </c>
      <c r="CE614" s="109">
        <f t="shared" si="247"/>
        <v>97251.209921147471</v>
      </c>
      <c r="CF614" s="109">
        <f t="shared" si="248"/>
        <v>99487.773127168766</v>
      </c>
      <c r="CH614" s="58">
        <f t="array" ref="CH614">SUM(IF(CE614:CF614&gt;=CE614, 1))</f>
        <v>2</v>
      </c>
      <c r="CI614" s="58">
        <f t="array" ref="CI614">SUM(IF(CE614:CF614&gt;=CF614, 1))</f>
        <v>1</v>
      </c>
      <c r="CK614" s="109">
        <f t="shared" si="249"/>
        <v>47804.282515840823</v>
      </c>
      <c r="CL614" s="109">
        <f t="shared" si="250"/>
        <v>48957.79293820967</v>
      </c>
      <c r="CN614" s="58">
        <f t="array" ref="CN614">SUM(IF(CK614:CL614&gt;=CK614, 1))</f>
        <v>2</v>
      </c>
      <c r="CO614" s="58">
        <f t="array" ref="CO614">SUM(IF(CK614:CL614&gt;=CL614, 1))</f>
        <v>1</v>
      </c>
      <c r="CQ614" s="109" cm="1">
        <f t="array" ref="CQ614">AF614*WTP-AC614</f>
        <v>37919.003047547783</v>
      </c>
      <c r="CR614" s="109">
        <f t="shared" si="251"/>
        <v>39774.056026019593</v>
      </c>
      <c r="CT614" s="58">
        <f t="array" ref="CT614">SUM(IF(CQ614:CR614&gt;=CQ614, 1))</f>
        <v>2</v>
      </c>
      <c r="CU614" s="58">
        <f t="array" ref="CU614">SUM(IF(CQ614:CR614&gt;=CR614, 1))</f>
        <v>1</v>
      </c>
      <c r="CW614" s="109">
        <f t="shared" si="252"/>
        <v>-52133713.916339912</v>
      </c>
      <c r="CX614" s="109">
        <f t="shared" si="253"/>
        <v>0</v>
      </c>
      <c r="CZ614" s="58">
        <f t="array" ref="CZ614">SUM(IF(CW614:CX614&gt;=CW614, 1))</f>
        <v>2</v>
      </c>
      <c r="DA614" s="58">
        <f t="array" ref="DA614">SUM(IF(CW614:CX614&gt;=CX614, 1))</f>
        <v>1</v>
      </c>
      <c r="DC614" s="109">
        <f t="shared" si="254"/>
        <v>-3068468.174808437</v>
      </c>
      <c r="DD614" s="109">
        <f t="shared" si="255"/>
        <v>0</v>
      </c>
      <c r="DF614" s="58">
        <f t="array" ref="DF614">SUM(IF(DC614:DD614&gt;=DC614, 1))</f>
        <v>2</v>
      </c>
      <c r="DG614" s="58">
        <f t="array" ref="DG614">SUM(IF(DC614:DD614&gt;=DD614, 1))</f>
        <v>1</v>
      </c>
      <c r="DI614" s="109">
        <f t="shared" si="256"/>
        <v>-51387139.91165217</v>
      </c>
      <c r="DJ614" s="109">
        <f t="shared" si="257"/>
        <v>0</v>
      </c>
      <c r="DL614" s="58">
        <f t="array" ref="DL614">SUM(IF(DI614:DJ614&gt;=DI614, 1))</f>
        <v>2</v>
      </c>
      <c r="DM614" s="58">
        <f t="array" ref="DM614">SUM(IF(DI614:DJ614&gt;=DJ614, 1))</f>
        <v>1</v>
      </c>
      <c r="DO614" s="109">
        <f t="shared" si="258"/>
        <v>-10008349.174909998</v>
      </c>
      <c r="DP614" s="109">
        <f t="shared" si="259"/>
        <v>0</v>
      </c>
      <c r="DR614" s="58">
        <f t="array" ref="DR614">SUM(IF(DO614:DP614&gt;=DO614, 1))</f>
        <v>2</v>
      </c>
      <c r="DS614" s="58">
        <f t="array" ref="DS614">SUM(IF(DO614:DP614&gt;=DP614, 1))</f>
        <v>1</v>
      </c>
      <c r="DU614" s="109">
        <f t="shared" si="260"/>
        <v>-27927394.933105055</v>
      </c>
      <c r="DV614" s="109">
        <f t="shared" si="261"/>
        <v>0</v>
      </c>
      <c r="DX614" s="58">
        <f t="array" ref="DX614">SUM(IF(DU614:DV614&gt;=DU614, 1))</f>
        <v>2</v>
      </c>
      <c r="DY614" s="58">
        <f t="array" ref="DY614">SUM(IF(DU614:DV614&gt;=DV614, 1))</f>
        <v>1</v>
      </c>
      <c r="EA614" s="109">
        <f t="shared" si="262"/>
        <v>-144525066.11081558</v>
      </c>
      <c r="EB614" s="109">
        <f t="shared" si="263"/>
        <v>0</v>
      </c>
      <c r="ED614" s="58">
        <f t="array" ref="ED614">SUM(IF(EA614:EB614&gt;=EA614, 1))</f>
        <v>2</v>
      </c>
      <c r="EE614" s="58">
        <f t="array" ref="EE614">SUM(IF(EA614:EB614&gt;=EB614, 1))</f>
        <v>1</v>
      </c>
    </row>
    <row r="615" spans="4:135" ht="12" customHeight="1" x14ac:dyDescent="0.25">
      <c r="D615" s="11">
        <v>599</v>
      </c>
      <c r="E615" s="72">
        <v>267.29702841909875</v>
      </c>
      <c r="F615" s="72">
        <v>246.40277033822858</v>
      </c>
      <c r="G615" s="73"/>
      <c r="H615" s="74">
        <v>5.8512308196153713</v>
      </c>
      <c r="I615" s="74">
        <v>5.8668569421524888</v>
      </c>
      <c r="J615" s="73"/>
      <c r="K615" s="72">
        <v>287.07003483695939</v>
      </c>
      <c r="L615" s="72">
        <v>265.65242510152814</v>
      </c>
      <c r="M615" s="73"/>
      <c r="N615" s="74">
        <v>6.6739590376894613</v>
      </c>
      <c r="O615" s="74">
        <v>6.6871905233931725</v>
      </c>
      <c r="P615" s="73"/>
      <c r="Q615" s="72">
        <v>3145.6244041896025</v>
      </c>
      <c r="R615" s="72">
        <v>1680.995422687065</v>
      </c>
      <c r="S615" s="73"/>
      <c r="T615" s="74">
        <v>4.9908439272999434</v>
      </c>
      <c r="U615" s="74">
        <v>5.0742939617938205</v>
      </c>
      <c r="V615" s="73"/>
      <c r="W615" s="72">
        <v>9782.6820794708638</v>
      </c>
      <c r="X615" s="72">
        <v>9814.5441045117386</v>
      </c>
      <c r="Y615" s="73"/>
      <c r="Z615" s="74">
        <v>3.0318075048033961</v>
      </c>
      <c r="AA615" s="74">
        <v>3.1005538053722144</v>
      </c>
      <c r="AB615" s="73"/>
      <c r="AC615" s="72">
        <v>52545.916679376343</v>
      </c>
      <c r="AD615" s="72">
        <v>52313.715405142029</v>
      </c>
      <c r="AE615" s="73"/>
      <c r="AF615" s="74">
        <v>4.6133907034329837</v>
      </c>
      <c r="AG615" s="74">
        <v>4.7559031726808962</v>
      </c>
      <c r="AH615" s="73"/>
      <c r="AI615" s="72">
        <v>2236843.9423570153</v>
      </c>
      <c r="AJ615" s="72">
        <v>0</v>
      </c>
      <c r="AK615" s="73"/>
      <c r="AL615" s="74">
        <v>-1672.8613863385378</v>
      </c>
      <c r="AM615" s="74">
        <v>0</v>
      </c>
      <c r="AN615" s="73"/>
      <c r="AO615" s="72">
        <v>145399.33741595701</v>
      </c>
      <c r="AP615" s="72">
        <v>0</v>
      </c>
      <c r="AQ615" s="73"/>
      <c r="AR615" s="74">
        <v>-89.825581757878851</v>
      </c>
      <c r="AS615" s="74">
        <v>0</v>
      </c>
      <c r="AT615" s="73"/>
      <c r="AU615" s="72">
        <v>34091749.957498513</v>
      </c>
      <c r="AV615" s="72">
        <v>0</v>
      </c>
      <c r="AW615" s="73"/>
      <c r="AX615" s="74">
        <v>-1942.4425884235143</v>
      </c>
      <c r="AY615" s="74">
        <v>0</v>
      </c>
      <c r="AZ615" s="73"/>
      <c r="BA615" s="72">
        <v>-287892.2796885891</v>
      </c>
      <c r="BB615" s="72">
        <v>0</v>
      </c>
      <c r="BC615" s="73"/>
      <c r="BD615" s="74">
        <v>-621.16356903003043</v>
      </c>
      <c r="BE615" s="74">
        <v>0</v>
      </c>
      <c r="BF615" s="73"/>
      <c r="BG615" s="72">
        <v>3673892.8358069267</v>
      </c>
      <c r="BH615" s="72">
        <v>0</v>
      </c>
      <c r="BI615" s="73"/>
      <c r="BJ615" s="74">
        <v>-2254.8349121233555</v>
      </c>
      <c r="BK615" s="74">
        <v>0</v>
      </c>
      <c r="BL615" s="73"/>
      <c r="BM615" s="72">
        <v>39859993.793389827</v>
      </c>
      <c r="BN615" s="72">
        <v>0</v>
      </c>
      <c r="BO615" s="73"/>
      <c r="BP615" s="74">
        <v>-6581.1280376733157</v>
      </c>
      <c r="BQ615" s="74">
        <v>0</v>
      </c>
      <c r="BS615" s="109">
        <f t="shared" si="243"/>
        <v>116757.31936388832</v>
      </c>
      <c r="BT615" s="109">
        <f t="shared" si="244"/>
        <v>117090.73607271154</v>
      </c>
      <c r="BV615" s="58">
        <f t="array" ref="BV615">SUM(IF(BS615:BT615&gt;=BS615, 1))</f>
        <v>2</v>
      </c>
      <c r="BW615" s="58">
        <f t="array" ref="BW615">SUM(IF(BS615:BT615&gt;=BT615, 1))</f>
        <v>1</v>
      </c>
      <c r="BY615" s="109">
        <f t="shared" si="245"/>
        <v>133192.11071895226</v>
      </c>
      <c r="BZ615" s="109">
        <f t="shared" si="246"/>
        <v>133478.15804276193</v>
      </c>
      <c r="CB615" s="58">
        <f t="array" ref="CB615">SUM(IF(BY615:BZ615&gt;=BY615, 1))</f>
        <v>2</v>
      </c>
      <c r="CC615" s="58">
        <f t="array" ref="CC615">SUM(IF(BY615:BZ615&gt;=BZ615, 1))</f>
        <v>1</v>
      </c>
      <c r="CE615" s="109">
        <f t="shared" si="247"/>
        <v>96671.254141809273</v>
      </c>
      <c r="CF615" s="109">
        <f t="shared" si="248"/>
        <v>99804.883813189343</v>
      </c>
      <c r="CH615" s="58">
        <f t="array" ref="CH615">SUM(IF(CE615:CF615&gt;=CE615, 1))</f>
        <v>2</v>
      </c>
      <c r="CI615" s="58">
        <f t="array" ref="CI615">SUM(IF(CE615:CF615&gt;=CF615, 1))</f>
        <v>1</v>
      </c>
      <c r="CK615" s="109">
        <f t="shared" si="249"/>
        <v>50853.468016597064</v>
      </c>
      <c r="CL615" s="109">
        <f t="shared" si="250"/>
        <v>52196.532002932545</v>
      </c>
      <c r="CN615" s="58">
        <f t="array" ref="CN615">SUM(IF(CK615:CL615&gt;=CK615, 1))</f>
        <v>2</v>
      </c>
      <c r="CO615" s="58">
        <f t="array" ref="CO615">SUM(IF(CK615:CL615&gt;=CL615, 1))</f>
        <v>1</v>
      </c>
      <c r="CQ615" s="109" cm="1">
        <f t="array" ref="CQ615">AF615*WTP-AC615</f>
        <v>39721.897389283331</v>
      </c>
      <c r="CR615" s="109">
        <f t="shared" si="251"/>
        <v>42804.348048475898</v>
      </c>
      <c r="CT615" s="58">
        <f t="array" ref="CT615">SUM(IF(CQ615:CR615&gt;=CQ615, 1))</f>
        <v>2</v>
      </c>
      <c r="CU615" s="58">
        <f t="array" ref="CU615">SUM(IF(CQ615:CR615&gt;=CR615, 1))</f>
        <v>1</v>
      </c>
      <c r="CW615" s="109">
        <f t="shared" si="252"/>
        <v>-35694071.669127777</v>
      </c>
      <c r="CX615" s="109">
        <f t="shared" si="253"/>
        <v>0</v>
      </c>
      <c r="CZ615" s="58">
        <f t="array" ref="CZ615">SUM(IF(CW615:CX615&gt;=CW615, 1))</f>
        <v>2</v>
      </c>
      <c r="DA615" s="58">
        <f t="array" ref="DA615">SUM(IF(CW615:CX615&gt;=CX615, 1))</f>
        <v>1</v>
      </c>
      <c r="DC615" s="109">
        <f t="shared" si="254"/>
        <v>-1941910.9725735341</v>
      </c>
      <c r="DD615" s="109">
        <f t="shared" si="255"/>
        <v>0</v>
      </c>
      <c r="DF615" s="58">
        <f t="array" ref="DF615">SUM(IF(DC615:DD615&gt;=DC615, 1))</f>
        <v>2</v>
      </c>
      <c r="DG615" s="58">
        <f t="array" ref="DG615">SUM(IF(DC615:DD615&gt;=DD615, 1))</f>
        <v>1</v>
      </c>
      <c r="DI615" s="109">
        <f t="shared" si="256"/>
        <v>-72940601.725968808</v>
      </c>
      <c r="DJ615" s="109">
        <f t="shared" si="257"/>
        <v>0</v>
      </c>
      <c r="DL615" s="58">
        <f t="array" ref="DL615">SUM(IF(DI615:DJ615&gt;=DI615, 1))</f>
        <v>2</v>
      </c>
      <c r="DM615" s="58">
        <f t="array" ref="DM615">SUM(IF(DI615:DJ615&gt;=DJ615, 1))</f>
        <v>1</v>
      </c>
      <c r="DO615" s="109">
        <f t="shared" si="258"/>
        <v>-12135379.10091202</v>
      </c>
      <c r="DP615" s="109">
        <f t="shared" si="259"/>
        <v>0</v>
      </c>
      <c r="DR615" s="58">
        <f t="array" ref="DR615">SUM(IF(DO615:DP615&gt;=DO615, 1))</f>
        <v>2</v>
      </c>
      <c r="DS615" s="58">
        <f t="array" ref="DS615">SUM(IF(DO615:DP615&gt;=DP615, 1))</f>
        <v>1</v>
      </c>
      <c r="DU615" s="109">
        <f t="shared" si="260"/>
        <v>-48770591.078274041</v>
      </c>
      <c r="DV615" s="109">
        <f t="shared" si="261"/>
        <v>0</v>
      </c>
      <c r="DX615" s="58">
        <f t="array" ref="DX615">SUM(IF(DU615:DV615&gt;=DU615, 1))</f>
        <v>2</v>
      </c>
      <c r="DY615" s="58">
        <f t="array" ref="DY615">SUM(IF(DU615:DV615&gt;=DV615, 1))</f>
        <v>1</v>
      </c>
      <c r="EA615" s="109">
        <f t="shared" si="262"/>
        <v>-171482554.54685614</v>
      </c>
      <c r="EB615" s="109">
        <f t="shared" si="263"/>
        <v>0</v>
      </c>
      <c r="ED615" s="58">
        <f t="array" ref="ED615">SUM(IF(EA615:EB615&gt;=EA615, 1))</f>
        <v>2</v>
      </c>
      <c r="EE615" s="58">
        <f t="array" ref="EE615">SUM(IF(EA615:EB615&gt;=EB615, 1))</f>
        <v>1</v>
      </c>
    </row>
    <row r="616" spans="4:135" ht="12" customHeight="1" x14ac:dyDescent="0.25">
      <c r="D616" s="11">
        <v>600</v>
      </c>
      <c r="E616" s="72">
        <v>245.35283745334263</v>
      </c>
      <c r="F616" s="72">
        <v>217.61087413932799</v>
      </c>
      <c r="G616" s="73"/>
      <c r="H616" s="74">
        <v>5.7894792354043032</v>
      </c>
      <c r="I616" s="74">
        <v>5.8067199838795123</v>
      </c>
      <c r="J616" s="73"/>
      <c r="K616" s="72">
        <v>263.06059466315628</v>
      </c>
      <c r="L616" s="72">
        <v>234.66146892005176</v>
      </c>
      <c r="M616" s="73"/>
      <c r="N616" s="74">
        <v>6.6935248809067538</v>
      </c>
      <c r="O616" s="74">
        <v>6.7083352652090111</v>
      </c>
      <c r="P616" s="73"/>
      <c r="Q616" s="72">
        <v>2382.2637664921799</v>
      </c>
      <c r="R616" s="72">
        <v>1289.7377490549045</v>
      </c>
      <c r="S616" s="73"/>
      <c r="T616" s="74">
        <v>4.7808531757407229</v>
      </c>
      <c r="U616" s="74">
        <v>4.8800332926693475</v>
      </c>
      <c r="V616" s="73"/>
      <c r="W616" s="72">
        <v>13897.741698715929</v>
      </c>
      <c r="X616" s="72">
        <v>13854.470578473352</v>
      </c>
      <c r="Y616" s="73"/>
      <c r="Z616" s="74">
        <v>2.9531690902295069</v>
      </c>
      <c r="AA616" s="74">
        <v>3.0001403727400557</v>
      </c>
      <c r="AB616" s="73"/>
      <c r="AC616" s="72">
        <v>50260.596390247076</v>
      </c>
      <c r="AD616" s="72">
        <v>50012.490206150462</v>
      </c>
      <c r="AE616" s="73"/>
      <c r="AF616" s="74">
        <v>4.3402896719111306</v>
      </c>
      <c r="AG616" s="74">
        <v>4.5424667487619521</v>
      </c>
      <c r="AH616" s="73"/>
      <c r="AI616" s="72">
        <v>2987994.0925664655</v>
      </c>
      <c r="AJ616" s="72">
        <v>0</v>
      </c>
      <c r="AK616" s="73"/>
      <c r="AL616" s="74">
        <v>-1856.9433609381422</v>
      </c>
      <c r="AM616" s="74">
        <v>0</v>
      </c>
      <c r="AN616" s="73"/>
      <c r="AO616" s="72">
        <v>198911.37183978187</v>
      </c>
      <c r="AP616" s="72">
        <v>0</v>
      </c>
      <c r="AQ616" s="73"/>
      <c r="AR616" s="74">
        <v>-103.7339629989023</v>
      </c>
      <c r="AS616" s="74">
        <v>0</v>
      </c>
      <c r="AT616" s="73"/>
      <c r="AU616" s="72">
        <v>25709775.168006357</v>
      </c>
      <c r="AV616" s="72">
        <v>0</v>
      </c>
      <c r="AW616" s="73"/>
      <c r="AX616" s="74">
        <v>-2333.9476284077746</v>
      </c>
      <c r="AY616" s="74">
        <v>0</v>
      </c>
      <c r="AZ616" s="73"/>
      <c r="BA616" s="72">
        <v>383294.48869966273</v>
      </c>
      <c r="BB616" s="72">
        <v>0</v>
      </c>
      <c r="BC616" s="73"/>
      <c r="BD616" s="74">
        <v>-416.07043248521029</v>
      </c>
      <c r="BE616" s="74">
        <v>0</v>
      </c>
      <c r="BF616" s="73"/>
      <c r="BG616" s="72">
        <v>4108446.5281923655</v>
      </c>
      <c r="BH616" s="72">
        <v>0</v>
      </c>
      <c r="BI616" s="73"/>
      <c r="BJ616" s="74">
        <v>-3347.8960328710914</v>
      </c>
      <c r="BK616" s="74">
        <v>0</v>
      </c>
      <c r="BL616" s="73"/>
      <c r="BM616" s="72">
        <v>33388421.649304636</v>
      </c>
      <c r="BN616" s="72">
        <v>0</v>
      </c>
      <c r="BO616" s="73"/>
      <c r="BP616" s="74">
        <v>-8058.59141770112</v>
      </c>
      <c r="BQ616" s="74">
        <v>0</v>
      </c>
      <c r="BS616" s="109">
        <f t="shared" si="243"/>
        <v>115544.23187063272</v>
      </c>
      <c r="BT616" s="109">
        <f t="shared" si="244"/>
        <v>115916.78880345092</v>
      </c>
      <c r="BV616" s="58">
        <f t="array" ref="BV616">SUM(IF(BS616:BT616&gt;=BS616, 1))</f>
        <v>2</v>
      </c>
      <c r="BW616" s="58">
        <f t="array" ref="BW616">SUM(IF(BS616:BT616&gt;=BT616, 1))</f>
        <v>1</v>
      </c>
      <c r="BY616" s="109">
        <f t="shared" si="245"/>
        <v>133607.4370234719</v>
      </c>
      <c r="BZ616" s="109">
        <f t="shared" si="246"/>
        <v>133932.04383526015</v>
      </c>
      <c r="CB616" s="58">
        <f t="array" ref="CB616">SUM(IF(BY616:BZ616&gt;=BY616, 1))</f>
        <v>2</v>
      </c>
      <c r="CC616" s="58">
        <f t="array" ref="CC616">SUM(IF(BY616:BZ616&gt;=BZ616, 1))</f>
        <v>1</v>
      </c>
      <c r="CE616" s="109">
        <f t="shared" si="247"/>
        <v>93234.799748322286</v>
      </c>
      <c r="CF616" s="109">
        <f t="shared" si="248"/>
        <v>96310.928104332037</v>
      </c>
      <c r="CH616" s="58">
        <f t="array" ref="CH616">SUM(IF(CE616:CF616&gt;=CE616, 1))</f>
        <v>2</v>
      </c>
      <c r="CI616" s="58">
        <f t="array" ref="CI616">SUM(IF(CE616:CF616&gt;=CF616, 1))</f>
        <v>1</v>
      </c>
      <c r="CK616" s="109">
        <f t="shared" si="249"/>
        <v>45165.640105874205</v>
      </c>
      <c r="CL616" s="109">
        <f t="shared" si="250"/>
        <v>46148.336876327761</v>
      </c>
      <c r="CN616" s="58">
        <f t="array" ref="CN616">SUM(IF(CK616:CL616&gt;=CK616, 1))</f>
        <v>2</v>
      </c>
      <c r="CO616" s="58">
        <f t="array" ref="CO616">SUM(IF(CK616:CL616&gt;=CL616, 1))</f>
        <v>1</v>
      </c>
      <c r="CQ616" s="109" cm="1">
        <f t="array" ref="CQ616">AF616*WTP-AC616</f>
        <v>36545.197047975533</v>
      </c>
      <c r="CR616" s="109">
        <f t="shared" si="251"/>
        <v>40836.844769088573</v>
      </c>
      <c r="CT616" s="58">
        <f t="array" ref="CT616">SUM(IF(CQ616:CR616&gt;=CQ616, 1))</f>
        <v>2</v>
      </c>
      <c r="CU616" s="58">
        <f t="array" ref="CU616">SUM(IF(CQ616:CR616&gt;=CR616, 1))</f>
        <v>1</v>
      </c>
      <c r="CW616" s="109">
        <f t="shared" si="252"/>
        <v>-40126861.311329313</v>
      </c>
      <c r="CX616" s="109">
        <f t="shared" si="253"/>
        <v>0</v>
      </c>
      <c r="CZ616" s="58">
        <f t="array" ref="CZ616">SUM(IF(CW616:CX616&gt;=CW616, 1))</f>
        <v>2</v>
      </c>
      <c r="DA616" s="58">
        <f t="array" ref="DA616">SUM(IF(CW616:CX616&gt;=CX616, 1))</f>
        <v>1</v>
      </c>
      <c r="DC616" s="109">
        <f t="shared" si="254"/>
        <v>-2273590.6318178279</v>
      </c>
      <c r="DD616" s="109">
        <f t="shared" si="255"/>
        <v>0</v>
      </c>
      <c r="DF616" s="58">
        <f t="array" ref="DF616">SUM(IF(DC616:DD616&gt;=DC616, 1))</f>
        <v>2</v>
      </c>
      <c r="DG616" s="58">
        <f t="array" ref="DG616">SUM(IF(DC616:DD616&gt;=DD616, 1))</f>
        <v>1</v>
      </c>
      <c r="DI616" s="109">
        <f t="shared" si="256"/>
        <v>-72388727.736161843</v>
      </c>
      <c r="DJ616" s="109">
        <f t="shared" si="257"/>
        <v>0</v>
      </c>
      <c r="DL616" s="58">
        <f t="array" ref="DL616">SUM(IF(DI616:DJ616&gt;=DI616, 1))</f>
        <v>2</v>
      </c>
      <c r="DM616" s="58">
        <f t="array" ref="DM616">SUM(IF(DI616:DJ616&gt;=DJ616, 1))</f>
        <v>1</v>
      </c>
      <c r="DO616" s="109">
        <f t="shared" si="258"/>
        <v>-8704703.1384038683</v>
      </c>
      <c r="DP616" s="109">
        <f t="shared" si="259"/>
        <v>0</v>
      </c>
      <c r="DR616" s="58">
        <f t="array" ref="DR616">SUM(IF(DO616:DP616&gt;=DO616, 1))</f>
        <v>2</v>
      </c>
      <c r="DS616" s="58">
        <f t="array" ref="DS616">SUM(IF(DO616:DP616&gt;=DP616, 1))</f>
        <v>1</v>
      </c>
      <c r="DU616" s="109">
        <f t="shared" si="260"/>
        <v>-71066367.185614198</v>
      </c>
      <c r="DV616" s="109">
        <f t="shared" si="261"/>
        <v>0</v>
      </c>
      <c r="DX616" s="58">
        <f t="array" ref="DX616">SUM(IF(DU616:DV616&gt;=DU616, 1))</f>
        <v>2</v>
      </c>
      <c r="DY616" s="58">
        <f t="array" ref="DY616">SUM(IF(DU616:DV616&gt;=DV616, 1))</f>
        <v>1</v>
      </c>
      <c r="EA616" s="109">
        <f t="shared" si="262"/>
        <v>-194560250.00332704</v>
      </c>
      <c r="EB616" s="109">
        <f t="shared" si="263"/>
        <v>0</v>
      </c>
      <c r="ED616" s="58">
        <f t="array" ref="ED616">SUM(IF(EA616:EB616&gt;=EA616, 1))</f>
        <v>2</v>
      </c>
      <c r="EE616" s="58">
        <f t="array" ref="EE616">SUM(IF(EA616:EB616&gt;=EB616, 1))</f>
        <v>1</v>
      </c>
    </row>
    <row r="617" spans="4:135" ht="12" customHeight="1" x14ac:dyDescent="0.25">
      <c r="D617" s="11">
        <v>601</v>
      </c>
      <c r="E617" s="72">
        <v>207.60926152997982</v>
      </c>
      <c r="F617" s="72">
        <v>192.90319937573463</v>
      </c>
      <c r="G617" s="73"/>
      <c r="H617" s="74">
        <v>5.8079763884624009</v>
      </c>
      <c r="I617" s="74">
        <v>5.8229521170840055</v>
      </c>
      <c r="J617" s="73"/>
      <c r="K617" s="72">
        <v>223.09836822987978</v>
      </c>
      <c r="L617" s="72">
        <v>208.02006404416258</v>
      </c>
      <c r="M617" s="73"/>
      <c r="N617" s="74">
        <v>6.6829927835730532</v>
      </c>
      <c r="O617" s="74">
        <v>6.695682162427393</v>
      </c>
      <c r="P617" s="73"/>
      <c r="Q617" s="72">
        <v>2030.4458463677206</v>
      </c>
      <c r="R617" s="72">
        <v>1388.8417795769544</v>
      </c>
      <c r="S617" s="73"/>
      <c r="T617" s="74">
        <v>4.8537495438527989</v>
      </c>
      <c r="U617" s="74">
        <v>4.9424065792990639</v>
      </c>
      <c r="V617" s="73"/>
      <c r="W617" s="72">
        <v>11861.214581285327</v>
      </c>
      <c r="X617" s="72">
        <v>11878.886972534767</v>
      </c>
      <c r="Y617" s="73"/>
      <c r="Z617" s="74">
        <v>2.8504173227534664</v>
      </c>
      <c r="AA617" s="74">
        <v>2.8964735219910955</v>
      </c>
      <c r="AB617" s="73"/>
      <c r="AC617" s="72">
        <v>49209.519166252438</v>
      </c>
      <c r="AD617" s="72">
        <v>49252.37454486623</v>
      </c>
      <c r="AE617" s="73"/>
      <c r="AF617" s="74">
        <v>4.2060622390743463</v>
      </c>
      <c r="AG617" s="74">
        <v>4.2953350785255262</v>
      </c>
      <c r="AH617" s="73"/>
      <c r="AI617" s="72">
        <v>1579942.871670638</v>
      </c>
      <c r="AJ617" s="72">
        <v>0</v>
      </c>
      <c r="AK617" s="73"/>
      <c r="AL617" s="74">
        <v>-1608.9144351227933</v>
      </c>
      <c r="AM617" s="74">
        <v>0</v>
      </c>
      <c r="AN617" s="73"/>
      <c r="AO617" s="72">
        <v>103864.55973081671</v>
      </c>
      <c r="AP617" s="72">
        <v>0</v>
      </c>
      <c r="AQ617" s="73"/>
      <c r="AR617" s="74">
        <v>-87.408818109133676</v>
      </c>
      <c r="AS617" s="74">
        <v>0</v>
      </c>
      <c r="AT617" s="73"/>
      <c r="AU617" s="72">
        <v>14905747.332347637</v>
      </c>
      <c r="AV617" s="72">
        <v>0</v>
      </c>
      <c r="AW617" s="73"/>
      <c r="AX617" s="74">
        <v>-2059.6804758532953</v>
      </c>
      <c r="AY617" s="74">
        <v>0</v>
      </c>
      <c r="AZ617" s="73"/>
      <c r="BA617" s="72">
        <v>-160005.18341976262</v>
      </c>
      <c r="BB617" s="72">
        <v>0</v>
      </c>
      <c r="BC617" s="73"/>
      <c r="BD617" s="74">
        <v>-416.99114186754679</v>
      </c>
      <c r="BE617" s="74">
        <v>0</v>
      </c>
      <c r="BF617" s="73"/>
      <c r="BG617" s="72">
        <v>-674166.41589986405</v>
      </c>
      <c r="BH617" s="72">
        <v>0</v>
      </c>
      <c r="BI617" s="73"/>
      <c r="BJ617" s="74">
        <v>-1404.3686500213512</v>
      </c>
      <c r="BK617" s="74">
        <v>0</v>
      </c>
      <c r="BL617" s="73"/>
      <c r="BM617" s="72">
        <v>15755383.164429465</v>
      </c>
      <c r="BN617" s="72">
        <v>0</v>
      </c>
      <c r="BO617" s="73"/>
      <c r="BP617" s="74">
        <v>-5577.3635209741205</v>
      </c>
      <c r="BQ617" s="74">
        <v>0</v>
      </c>
      <c r="BS617" s="109">
        <f t="shared" si="243"/>
        <v>115951.91850771803</v>
      </c>
      <c r="BT617" s="109">
        <f t="shared" si="244"/>
        <v>116266.13914230437</v>
      </c>
      <c r="BV617" s="58">
        <f t="array" ref="BV617">SUM(IF(BS617:BT617&gt;=BS617, 1))</f>
        <v>2</v>
      </c>
      <c r="BW617" s="58">
        <f t="array" ref="BW617">SUM(IF(BS617:BT617&gt;=BT617, 1))</f>
        <v>1</v>
      </c>
      <c r="BY617" s="109">
        <f t="shared" si="245"/>
        <v>133436.75730323119</v>
      </c>
      <c r="BZ617" s="109">
        <f t="shared" si="246"/>
        <v>133705.6231845037</v>
      </c>
      <c r="CB617" s="58">
        <f t="array" ref="CB617">SUM(IF(BY617:BZ617&gt;=BY617, 1))</f>
        <v>2</v>
      </c>
      <c r="CC617" s="58">
        <f t="array" ref="CC617">SUM(IF(BY617:BZ617&gt;=BZ617, 1))</f>
        <v>1</v>
      </c>
      <c r="CE617" s="109">
        <f t="shared" si="247"/>
        <v>95044.545030688256</v>
      </c>
      <c r="CF617" s="109">
        <f t="shared" si="248"/>
        <v>97459.289806404326</v>
      </c>
      <c r="CH617" s="58">
        <f t="array" ref="CH617">SUM(IF(CE617:CF617&gt;=CE617, 1))</f>
        <v>2</v>
      </c>
      <c r="CI617" s="58">
        <f t="array" ref="CI617">SUM(IF(CE617:CF617&gt;=CF617, 1))</f>
        <v>1</v>
      </c>
      <c r="CK617" s="109">
        <f t="shared" si="249"/>
        <v>45147.131873783997</v>
      </c>
      <c r="CL617" s="109">
        <f t="shared" si="250"/>
        <v>46050.583467287142</v>
      </c>
      <c r="CN617" s="58">
        <f t="array" ref="CN617">SUM(IF(CK617:CL617&gt;=CK617, 1))</f>
        <v>2</v>
      </c>
      <c r="CO617" s="58">
        <f t="array" ref="CO617">SUM(IF(CK617:CL617&gt;=CL617, 1))</f>
        <v>1</v>
      </c>
      <c r="CQ617" s="109" cm="1">
        <f t="array" ref="CQ617">AF617*WTP-AC617</f>
        <v>34911.725615234485</v>
      </c>
      <c r="CR617" s="109">
        <f t="shared" si="251"/>
        <v>36654.327025644299</v>
      </c>
      <c r="CT617" s="58">
        <f t="array" ref="CT617">SUM(IF(CQ617:CR617&gt;=CQ617, 1))</f>
        <v>2</v>
      </c>
      <c r="CU617" s="58">
        <f t="array" ref="CU617">SUM(IF(CQ617:CR617&gt;=CR617, 1))</f>
        <v>1</v>
      </c>
      <c r="CW617" s="109">
        <f t="shared" si="252"/>
        <v>-33758231.574126504</v>
      </c>
      <c r="CX617" s="109">
        <f t="shared" si="253"/>
        <v>0</v>
      </c>
      <c r="CZ617" s="58">
        <f t="array" ref="CZ617">SUM(IF(CW617:CX617&gt;=CW617, 1))</f>
        <v>2</v>
      </c>
      <c r="DA617" s="58">
        <f t="array" ref="DA617">SUM(IF(CW617:CX617&gt;=CX617, 1))</f>
        <v>1</v>
      </c>
      <c r="DC617" s="109">
        <f t="shared" si="254"/>
        <v>-1852040.9219134902</v>
      </c>
      <c r="DD617" s="109">
        <f t="shared" si="255"/>
        <v>0</v>
      </c>
      <c r="DF617" s="58">
        <f t="array" ref="DF617">SUM(IF(DC617:DD617&gt;=DC617, 1))</f>
        <v>2</v>
      </c>
      <c r="DG617" s="58">
        <f t="array" ref="DG617">SUM(IF(DC617:DD617&gt;=DD617, 1))</f>
        <v>1</v>
      </c>
      <c r="DI617" s="109">
        <f t="shared" si="256"/>
        <v>-56099356.849413544</v>
      </c>
      <c r="DJ617" s="109">
        <f t="shared" si="257"/>
        <v>0</v>
      </c>
      <c r="DL617" s="58">
        <f t="array" ref="DL617">SUM(IF(DI617:DJ617&gt;=DI617, 1))</f>
        <v>2</v>
      </c>
      <c r="DM617" s="58">
        <f t="array" ref="DM617">SUM(IF(DI617:DJ617&gt;=DJ617, 1))</f>
        <v>1</v>
      </c>
      <c r="DO617" s="109">
        <f t="shared" si="258"/>
        <v>-8179817.6539311735</v>
      </c>
      <c r="DP617" s="109">
        <f t="shared" si="259"/>
        <v>0</v>
      </c>
      <c r="DR617" s="58">
        <f t="array" ref="DR617">SUM(IF(DO617:DP617&gt;=DO617, 1))</f>
        <v>2</v>
      </c>
      <c r="DS617" s="58">
        <f t="array" ref="DS617">SUM(IF(DO617:DP617&gt;=DP617, 1))</f>
        <v>1</v>
      </c>
      <c r="DU617" s="109">
        <f t="shared" si="260"/>
        <v>-27413206.584527157</v>
      </c>
      <c r="DV617" s="109">
        <f t="shared" si="261"/>
        <v>0</v>
      </c>
      <c r="DX617" s="58">
        <f t="array" ref="DX617">SUM(IF(DU617:DV617&gt;=DU617, 1))</f>
        <v>2</v>
      </c>
      <c r="DY617" s="58">
        <f t="array" ref="DY617">SUM(IF(DU617:DV617&gt;=DV617, 1))</f>
        <v>1</v>
      </c>
      <c r="EA617" s="109">
        <f t="shared" si="262"/>
        <v>-127302653.58391188</v>
      </c>
      <c r="EB617" s="109">
        <f t="shared" si="263"/>
        <v>0</v>
      </c>
      <c r="ED617" s="58">
        <f t="array" ref="ED617">SUM(IF(EA617:EB617&gt;=EA617, 1))</f>
        <v>2</v>
      </c>
      <c r="EE617" s="58">
        <f t="array" ref="EE617">SUM(IF(EA617:EB617&gt;=EB617, 1))</f>
        <v>1</v>
      </c>
    </row>
    <row r="618" spans="4:135" ht="12" customHeight="1" x14ac:dyDescent="0.25">
      <c r="D618" s="11">
        <v>602</v>
      </c>
      <c r="E618" s="72">
        <v>213.4323477203732</v>
      </c>
      <c r="F618" s="72">
        <v>202.22619427622985</v>
      </c>
      <c r="G618" s="73"/>
      <c r="H618" s="74">
        <v>5.823375369295948</v>
      </c>
      <c r="I618" s="74">
        <v>5.8376085475780242</v>
      </c>
      <c r="J618" s="73"/>
      <c r="K618" s="72">
        <v>229.58079466177287</v>
      </c>
      <c r="L618" s="72">
        <v>218.07964983659153</v>
      </c>
      <c r="M618" s="73"/>
      <c r="N618" s="74">
        <v>6.6859657655040721</v>
      </c>
      <c r="O618" s="74">
        <v>6.6979489988298644</v>
      </c>
      <c r="P618" s="73"/>
      <c r="Q618" s="72">
        <v>2443.7158488523646</v>
      </c>
      <c r="R618" s="72">
        <v>1289.5943660165483</v>
      </c>
      <c r="S618" s="73"/>
      <c r="T618" s="74">
        <v>4.7615488329330722</v>
      </c>
      <c r="U618" s="74">
        <v>4.8476991116050545</v>
      </c>
      <c r="V618" s="73"/>
      <c r="W618" s="72">
        <v>11421.029602058872</v>
      </c>
      <c r="X618" s="72">
        <v>11360.116359654412</v>
      </c>
      <c r="Y618" s="73"/>
      <c r="Z618" s="74">
        <v>3.1486163177467108</v>
      </c>
      <c r="AA618" s="74">
        <v>3.1821331007952249</v>
      </c>
      <c r="AB618" s="73"/>
      <c r="AC618" s="72">
        <v>50841.335281162472</v>
      </c>
      <c r="AD618" s="72">
        <v>50476.190744833126</v>
      </c>
      <c r="AE618" s="73"/>
      <c r="AF618" s="74">
        <v>4.5077473251961422</v>
      </c>
      <c r="AG618" s="74">
        <v>4.6032061507207382</v>
      </c>
      <c r="AH618" s="73"/>
      <c r="AI618" s="72">
        <v>1202390.799415316</v>
      </c>
      <c r="AJ618" s="72">
        <v>0</v>
      </c>
      <c r="AK618" s="73"/>
      <c r="AL618" s="74">
        <v>-1527.1826053524571</v>
      </c>
      <c r="AM618" s="74">
        <v>0</v>
      </c>
      <c r="AN618" s="73"/>
      <c r="AO618" s="72">
        <v>83482.26793089768</v>
      </c>
      <c r="AP618" s="72">
        <v>0</v>
      </c>
      <c r="AQ618" s="73"/>
      <c r="AR618" s="74">
        <v>-86.981557956903927</v>
      </c>
      <c r="AS618" s="74">
        <v>0</v>
      </c>
      <c r="AT618" s="73"/>
      <c r="AU618" s="72">
        <v>26490365.888233725</v>
      </c>
      <c r="AV618" s="72">
        <v>0</v>
      </c>
      <c r="AW618" s="73"/>
      <c r="AX618" s="74">
        <v>-1977.3935736700655</v>
      </c>
      <c r="AY618" s="74">
        <v>0</v>
      </c>
      <c r="AZ618" s="73"/>
      <c r="BA618" s="72">
        <v>561655.87225823838</v>
      </c>
      <c r="BB618" s="72">
        <v>0</v>
      </c>
      <c r="BC618" s="73"/>
      <c r="BD618" s="74">
        <v>-309.04442573270359</v>
      </c>
      <c r="BE618" s="74">
        <v>0</v>
      </c>
      <c r="BF618" s="73"/>
      <c r="BG618" s="72">
        <v>5782987.0422219578</v>
      </c>
      <c r="BH618" s="72">
        <v>0</v>
      </c>
      <c r="BI618" s="73"/>
      <c r="BJ618" s="74">
        <v>-1511.8318806680704</v>
      </c>
      <c r="BK618" s="74">
        <v>0</v>
      </c>
      <c r="BL618" s="73"/>
      <c r="BM618" s="72">
        <v>34120881.870060138</v>
      </c>
      <c r="BN618" s="72">
        <v>0</v>
      </c>
      <c r="BO618" s="73"/>
      <c r="BP618" s="74">
        <v>-5412.4340433802008</v>
      </c>
      <c r="BQ618" s="74">
        <v>0</v>
      </c>
      <c r="BS618" s="109">
        <f t="shared" si="243"/>
        <v>116254.07503819859</v>
      </c>
      <c r="BT618" s="109">
        <f t="shared" si="244"/>
        <v>116549.94475728426</v>
      </c>
      <c r="BV618" s="58">
        <f t="array" ref="BV618">SUM(IF(BS618:BT618&gt;=BS618, 1))</f>
        <v>2</v>
      </c>
      <c r="BW618" s="58">
        <f t="array" ref="BW618">SUM(IF(BS618:BT618&gt;=BT618, 1))</f>
        <v>1</v>
      </c>
      <c r="BY618" s="109">
        <f t="shared" si="245"/>
        <v>133489.73451541967</v>
      </c>
      <c r="BZ618" s="109">
        <f t="shared" si="246"/>
        <v>133740.90032676072</v>
      </c>
      <c r="CB618" s="58">
        <f t="array" ref="CB618">SUM(IF(BY618:BZ618&gt;=BY618, 1))</f>
        <v>2</v>
      </c>
      <c r="CC618" s="58">
        <f t="array" ref="CC618">SUM(IF(BY618:BZ618&gt;=BZ618, 1))</f>
        <v>1</v>
      </c>
      <c r="CE618" s="109">
        <f t="shared" si="247"/>
        <v>92787.260809809071</v>
      </c>
      <c r="CF618" s="109">
        <f t="shared" si="248"/>
        <v>95664.387866084537</v>
      </c>
      <c r="CH618" s="58">
        <f t="array" ref="CH618">SUM(IF(CE618:CF618&gt;=CE618, 1))</f>
        <v>2</v>
      </c>
      <c r="CI618" s="58">
        <f t="array" ref="CI618">SUM(IF(CE618:CF618&gt;=CF618, 1))</f>
        <v>1</v>
      </c>
      <c r="CK618" s="109">
        <f t="shared" si="249"/>
        <v>51551.296752875343</v>
      </c>
      <c r="CL618" s="109">
        <f t="shared" si="250"/>
        <v>52282.545656250084</v>
      </c>
      <c r="CN618" s="58">
        <f t="array" ref="CN618">SUM(IF(CK618:CL618&gt;=CK618, 1))</f>
        <v>2</v>
      </c>
      <c r="CO618" s="58">
        <f t="array" ref="CO618">SUM(IF(CK618:CL618&gt;=CL618, 1))</f>
        <v>1</v>
      </c>
      <c r="CQ618" s="109" cm="1">
        <f t="array" ref="CQ618">AF618*WTP-AC618</f>
        <v>39313.611222760366</v>
      </c>
      <c r="CR618" s="109">
        <f t="shared" si="251"/>
        <v>41587.932269581645</v>
      </c>
      <c r="CT618" s="58">
        <f t="array" ref="CT618">SUM(IF(CQ618:CR618&gt;=CQ618, 1))</f>
        <v>2</v>
      </c>
      <c r="CU618" s="58">
        <f t="array" ref="CU618">SUM(IF(CQ618:CR618&gt;=CR618, 1))</f>
        <v>1</v>
      </c>
      <c r="CW618" s="109">
        <f t="shared" si="252"/>
        <v>-31746042.906464458</v>
      </c>
      <c r="CX618" s="109">
        <f t="shared" si="253"/>
        <v>0</v>
      </c>
      <c r="CZ618" s="58">
        <f t="array" ref="CZ618">SUM(IF(CW618:CX618&gt;=CW618, 1))</f>
        <v>2</v>
      </c>
      <c r="DA618" s="58">
        <f t="array" ref="DA618">SUM(IF(CW618:CX618&gt;=CX618, 1))</f>
        <v>1</v>
      </c>
      <c r="DC618" s="109">
        <f t="shared" si="254"/>
        <v>-1823113.4270689762</v>
      </c>
      <c r="DD618" s="109">
        <f t="shared" si="255"/>
        <v>0</v>
      </c>
      <c r="DF618" s="58">
        <f t="array" ref="DF618">SUM(IF(DC618:DD618&gt;=DC618, 1))</f>
        <v>2</v>
      </c>
      <c r="DG618" s="58">
        <f t="array" ref="DG618">SUM(IF(DC618:DD618&gt;=DD618, 1))</f>
        <v>1</v>
      </c>
      <c r="DI618" s="109">
        <f t="shared" si="256"/>
        <v>-66038237.361635029</v>
      </c>
      <c r="DJ618" s="109">
        <f t="shared" si="257"/>
        <v>0</v>
      </c>
      <c r="DL618" s="58">
        <f t="array" ref="DL618">SUM(IF(DI618:DJ618&gt;=DI618, 1))</f>
        <v>2</v>
      </c>
      <c r="DM618" s="58">
        <f t="array" ref="DM618">SUM(IF(DI618:DJ618&gt;=DJ618, 1))</f>
        <v>1</v>
      </c>
      <c r="DO618" s="109">
        <f t="shared" si="258"/>
        <v>-6742544.3869123105</v>
      </c>
      <c r="DP618" s="109">
        <f t="shared" si="259"/>
        <v>0</v>
      </c>
      <c r="DR618" s="58">
        <f t="array" ref="DR618">SUM(IF(DO618:DP618&gt;=DO618, 1))</f>
        <v>2</v>
      </c>
      <c r="DS618" s="58">
        <f t="array" ref="DS618">SUM(IF(DO618:DP618&gt;=DP618, 1))</f>
        <v>1</v>
      </c>
      <c r="DU618" s="109">
        <f t="shared" si="260"/>
        <v>-36019624.655583367</v>
      </c>
      <c r="DV618" s="109">
        <f t="shared" si="261"/>
        <v>0</v>
      </c>
      <c r="DX618" s="58">
        <f t="array" ref="DX618">SUM(IF(DU618:DV618&gt;=DU618, 1))</f>
        <v>2</v>
      </c>
      <c r="DY618" s="58">
        <f t="array" ref="DY618">SUM(IF(DU618:DV618&gt;=DV618, 1))</f>
        <v>1</v>
      </c>
      <c r="EA618" s="109">
        <f t="shared" si="262"/>
        <v>-142369562.73766416</v>
      </c>
      <c r="EB618" s="109">
        <f t="shared" si="263"/>
        <v>0</v>
      </c>
      <c r="ED618" s="58">
        <f t="array" ref="ED618">SUM(IF(EA618:EB618&gt;=EA618, 1))</f>
        <v>2</v>
      </c>
      <c r="EE618" s="58">
        <f t="array" ref="EE618">SUM(IF(EA618:EB618&gt;=EB618, 1))</f>
        <v>1</v>
      </c>
    </row>
    <row r="619" spans="4:135" ht="12" customHeight="1" x14ac:dyDescent="0.25">
      <c r="D619" s="11">
        <v>603</v>
      </c>
      <c r="E619" s="72">
        <v>312.75504579879782</v>
      </c>
      <c r="F619" s="72">
        <v>268.83852655235006</v>
      </c>
      <c r="G619" s="73"/>
      <c r="H619" s="74">
        <v>5.8084931568788729</v>
      </c>
      <c r="I619" s="74">
        <v>5.8283401615193338</v>
      </c>
      <c r="J619" s="73"/>
      <c r="K619" s="72">
        <v>334.73943442389265</v>
      </c>
      <c r="L619" s="72">
        <v>289.84527767663769</v>
      </c>
      <c r="M619" s="73"/>
      <c r="N619" s="74">
        <v>6.75336137260408</v>
      </c>
      <c r="O619" s="74">
        <v>6.7712315112036254</v>
      </c>
      <c r="P619" s="73"/>
      <c r="Q619" s="72">
        <v>2790.6970431490872</v>
      </c>
      <c r="R619" s="72">
        <v>1589.135183162497</v>
      </c>
      <c r="S619" s="73"/>
      <c r="T619" s="74">
        <v>4.7042651234672972</v>
      </c>
      <c r="U619" s="74">
        <v>4.7851093868722634</v>
      </c>
      <c r="V619" s="73"/>
      <c r="W619" s="72">
        <v>11569.58782632594</v>
      </c>
      <c r="X619" s="72">
        <v>11526.38932685323</v>
      </c>
      <c r="Y619" s="73"/>
      <c r="Z619" s="74">
        <v>3.0097215334356737</v>
      </c>
      <c r="AA619" s="74">
        <v>3.0536727041470497</v>
      </c>
      <c r="AB619" s="73"/>
      <c r="AC619" s="72">
        <v>51322.509839889608</v>
      </c>
      <c r="AD619" s="72">
        <v>50547.141879540031</v>
      </c>
      <c r="AE619" s="73"/>
      <c r="AF619" s="74">
        <v>4.0461227217355082</v>
      </c>
      <c r="AG619" s="74">
        <v>4.1897854941978583</v>
      </c>
      <c r="AH619" s="73"/>
      <c r="AI619" s="72">
        <v>4757700.8949869536</v>
      </c>
      <c r="AJ619" s="72">
        <v>0</v>
      </c>
      <c r="AK619" s="73"/>
      <c r="AL619" s="74">
        <v>-2150.1274090243069</v>
      </c>
      <c r="AM619" s="74">
        <v>0</v>
      </c>
      <c r="AN619" s="73"/>
      <c r="AO619" s="72">
        <v>298401.71942155715</v>
      </c>
      <c r="AP619" s="72">
        <v>0</v>
      </c>
      <c r="AQ619" s="73"/>
      <c r="AR619" s="74">
        <v>-118.77893406989882</v>
      </c>
      <c r="AS619" s="74">
        <v>0</v>
      </c>
      <c r="AT619" s="73"/>
      <c r="AU619" s="72">
        <v>27778439.249687199</v>
      </c>
      <c r="AV619" s="72">
        <v>0</v>
      </c>
      <c r="AW619" s="73"/>
      <c r="AX619" s="74">
        <v>-1869.0069437670288</v>
      </c>
      <c r="AY619" s="74">
        <v>0</v>
      </c>
      <c r="AZ619" s="73"/>
      <c r="BA619" s="72">
        <v>382678.45801144064</v>
      </c>
      <c r="BB619" s="72">
        <v>0</v>
      </c>
      <c r="BC619" s="73"/>
      <c r="BD619" s="74">
        <v>-389.34607546385337</v>
      </c>
      <c r="BE619" s="74">
        <v>0</v>
      </c>
      <c r="BF619" s="73"/>
      <c r="BG619" s="72">
        <v>12450952.42172073</v>
      </c>
      <c r="BH619" s="72">
        <v>0</v>
      </c>
      <c r="BI619" s="73"/>
      <c r="BJ619" s="74">
        <v>-2306.9541639233512</v>
      </c>
      <c r="BK619" s="74">
        <v>0</v>
      </c>
      <c r="BL619" s="73"/>
      <c r="BM619" s="72">
        <v>45668172.743827879</v>
      </c>
      <c r="BN619" s="72">
        <v>0</v>
      </c>
      <c r="BO619" s="73"/>
      <c r="BP619" s="74">
        <v>-6834.2135262484389</v>
      </c>
      <c r="BQ619" s="74">
        <v>0</v>
      </c>
      <c r="BS619" s="109">
        <f t="shared" si="243"/>
        <v>115857.10809177866</v>
      </c>
      <c r="BT619" s="109">
        <f t="shared" si="244"/>
        <v>116297.96470383432</v>
      </c>
      <c r="BV619" s="58">
        <f t="array" ref="BV619">SUM(IF(BS619:BT619&gt;=BS619, 1))</f>
        <v>2</v>
      </c>
      <c r="BW619" s="58">
        <f t="array" ref="BW619">SUM(IF(BS619:BT619&gt;=BT619, 1))</f>
        <v>1</v>
      </c>
      <c r="BY619" s="109">
        <f t="shared" si="245"/>
        <v>134732.48801765771</v>
      </c>
      <c r="BZ619" s="109">
        <f t="shared" si="246"/>
        <v>135134.78494639587</v>
      </c>
      <c r="CB619" s="58">
        <f t="array" ref="CB619">SUM(IF(BY619:BZ619&gt;=BY619, 1))</f>
        <v>2</v>
      </c>
      <c r="CC619" s="58">
        <f t="array" ref="CC619">SUM(IF(BY619:BZ619&gt;=BZ619, 1))</f>
        <v>1</v>
      </c>
      <c r="CE619" s="109">
        <f t="shared" si="247"/>
        <v>91294.605426196853</v>
      </c>
      <c r="CF619" s="109">
        <f t="shared" si="248"/>
        <v>94113.052554282782</v>
      </c>
      <c r="CH619" s="58">
        <f t="array" ref="CH619">SUM(IF(CE619:CF619&gt;=CE619, 1))</f>
        <v>2</v>
      </c>
      <c r="CI619" s="58">
        <f t="array" ref="CI619">SUM(IF(CE619:CF619&gt;=CF619, 1))</f>
        <v>1</v>
      </c>
      <c r="CK619" s="109">
        <f t="shared" si="249"/>
        <v>48624.84284238753</v>
      </c>
      <c r="CL619" s="109">
        <f t="shared" si="250"/>
        <v>49547.06475608777</v>
      </c>
      <c r="CN619" s="58">
        <f t="array" ref="CN619">SUM(IF(CK619:CL619&gt;=CK619, 1))</f>
        <v>2</v>
      </c>
      <c r="CO619" s="58">
        <f t="array" ref="CO619">SUM(IF(CK619:CL619&gt;=CL619, 1))</f>
        <v>1</v>
      </c>
      <c r="CQ619" s="109" cm="1">
        <f t="array" ref="CQ619">AF619*WTP-AC619</f>
        <v>29599.944594820554</v>
      </c>
      <c r="CR619" s="109">
        <f t="shared" si="251"/>
        <v>33248.568004417139</v>
      </c>
      <c r="CT619" s="58">
        <f t="array" ref="CT619">SUM(IF(CQ619:CR619&gt;=CQ619, 1))</f>
        <v>2</v>
      </c>
      <c r="CU619" s="58">
        <f t="array" ref="CU619">SUM(IF(CQ619:CR619&gt;=CR619, 1))</f>
        <v>1</v>
      </c>
      <c r="CW619" s="109">
        <f t="shared" si="252"/>
        <v>-47760249.075473085</v>
      </c>
      <c r="CX619" s="109">
        <f t="shared" si="253"/>
        <v>0</v>
      </c>
      <c r="CZ619" s="58">
        <f t="array" ref="CZ619">SUM(IF(CW619:CX619&gt;=CW619, 1))</f>
        <v>2</v>
      </c>
      <c r="DA619" s="58">
        <f t="array" ref="DA619">SUM(IF(CW619:CX619&gt;=CX619, 1))</f>
        <v>1</v>
      </c>
      <c r="DC619" s="109">
        <f t="shared" si="254"/>
        <v>-2673980.4008195335</v>
      </c>
      <c r="DD619" s="109">
        <f t="shared" si="255"/>
        <v>0</v>
      </c>
      <c r="DF619" s="58">
        <f t="array" ref="DF619">SUM(IF(DC619:DD619&gt;=DC619, 1))</f>
        <v>2</v>
      </c>
      <c r="DG619" s="58">
        <f t="array" ref="DG619">SUM(IF(DC619:DD619&gt;=DD619, 1))</f>
        <v>1</v>
      </c>
      <c r="DI619" s="109">
        <f t="shared" si="256"/>
        <v>-65158578.125027776</v>
      </c>
      <c r="DJ619" s="109">
        <f t="shared" si="257"/>
        <v>0</v>
      </c>
      <c r="DL619" s="58">
        <f t="array" ref="DL619">SUM(IF(DI619:DJ619&gt;=DI619, 1))</f>
        <v>2</v>
      </c>
      <c r="DM619" s="58">
        <f t="array" ref="DM619">SUM(IF(DI619:DJ619&gt;=DJ619, 1))</f>
        <v>1</v>
      </c>
      <c r="DO619" s="109">
        <f t="shared" si="258"/>
        <v>-8169599.9672885081</v>
      </c>
      <c r="DP619" s="109">
        <f t="shared" si="259"/>
        <v>0</v>
      </c>
      <c r="DR619" s="58">
        <f t="array" ref="DR619">SUM(IF(DO619:DP619&gt;=DO619, 1))</f>
        <v>2</v>
      </c>
      <c r="DS619" s="58">
        <f t="array" ref="DS619">SUM(IF(DO619:DP619&gt;=DP619, 1))</f>
        <v>1</v>
      </c>
      <c r="DU619" s="109">
        <f t="shared" si="260"/>
        <v>-58590035.70018775</v>
      </c>
      <c r="DV619" s="109">
        <f t="shared" si="261"/>
        <v>0</v>
      </c>
      <c r="DX619" s="58">
        <f t="array" ref="DX619">SUM(IF(DU619:DV619&gt;=DU619, 1))</f>
        <v>2</v>
      </c>
      <c r="DY619" s="58">
        <f t="array" ref="DY619">SUM(IF(DU619:DV619&gt;=DV619, 1))</f>
        <v>1</v>
      </c>
      <c r="EA619" s="109">
        <f t="shared" si="262"/>
        <v>-182352443.26879665</v>
      </c>
      <c r="EB619" s="109">
        <f t="shared" si="263"/>
        <v>0</v>
      </c>
      <c r="ED619" s="58">
        <f t="array" ref="ED619">SUM(IF(EA619:EB619&gt;=EA619, 1))</f>
        <v>2</v>
      </c>
      <c r="EE619" s="58">
        <f t="array" ref="EE619">SUM(IF(EA619:EB619&gt;=EB619, 1))</f>
        <v>1</v>
      </c>
    </row>
    <row r="620" spans="4:135" ht="12" customHeight="1" x14ac:dyDescent="0.25">
      <c r="D620" s="11">
        <v>604</v>
      </c>
      <c r="E620" s="72">
        <v>200.31824407904097</v>
      </c>
      <c r="F620" s="72">
        <v>175.35101359790784</v>
      </c>
      <c r="G620" s="73"/>
      <c r="H620" s="74">
        <v>5.8657840345773158</v>
      </c>
      <c r="I620" s="74">
        <v>5.8813530500535469</v>
      </c>
      <c r="J620" s="73"/>
      <c r="K620" s="72">
        <v>214.58955445891957</v>
      </c>
      <c r="L620" s="72">
        <v>189.01779868361146</v>
      </c>
      <c r="M620" s="73"/>
      <c r="N620" s="74">
        <v>6.6971565699417184</v>
      </c>
      <c r="O620" s="74">
        <v>6.7102343687644499</v>
      </c>
      <c r="P620" s="73"/>
      <c r="Q620" s="72">
        <v>1132.1421036760453</v>
      </c>
      <c r="R620" s="72">
        <v>1093.295587278531</v>
      </c>
      <c r="S620" s="73"/>
      <c r="T620" s="74">
        <v>4.6794478795687144</v>
      </c>
      <c r="U620" s="74">
        <v>4.7054759827461128</v>
      </c>
      <c r="V620" s="73"/>
      <c r="W620" s="72">
        <v>10731.862990455513</v>
      </c>
      <c r="X620" s="72">
        <v>10674.505241682798</v>
      </c>
      <c r="Y620" s="73"/>
      <c r="Z620" s="74">
        <v>2.8623103895578228</v>
      </c>
      <c r="AA620" s="74">
        <v>2.8948096568045867</v>
      </c>
      <c r="AB620" s="73"/>
      <c r="AC620" s="72">
        <v>49604.67355221419</v>
      </c>
      <c r="AD620" s="72">
        <v>49586.99171852658</v>
      </c>
      <c r="AE620" s="73"/>
      <c r="AF620" s="74">
        <v>4.6331101238222807</v>
      </c>
      <c r="AG620" s="74">
        <v>4.7007994692185857</v>
      </c>
      <c r="AH620" s="73"/>
      <c r="AI620" s="72">
        <v>2713746.1710299035</v>
      </c>
      <c r="AJ620" s="72">
        <v>0</v>
      </c>
      <c r="AK620" s="73"/>
      <c r="AL620" s="74">
        <v>-1692.2323910637451</v>
      </c>
      <c r="AM620" s="74">
        <v>0</v>
      </c>
      <c r="AN620" s="73"/>
      <c r="AO620" s="72">
        <v>175064.01402680352</v>
      </c>
      <c r="AP620" s="72">
        <v>0</v>
      </c>
      <c r="AQ620" s="73"/>
      <c r="AR620" s="74">
        <v>-89.530495154856098</v>
      </c>
      <c r="AS620" s="74">
        <v>0</v>
      </c>
      <c r="AT620" s="73"/>
      <c r="AU620" s="72">
        <v>871544.84059670998</v>
      </c>
      <c r="AV620" s="72">
        <v>0</v>
      </c>
      <c r="AW620" s="73"/>
      <c r="AX620" s="74">
        <v>-583.95606964211368</v>
      </c>
      <c r="AY620" s="74">
        <v>0</v>
      </c>
      <c r="AZ620" s="73"/>
      <c r="BA620" s="72">
        <v>486999.88137059315</v>
      </c>
      <c r="BB620" s="72">
        <v>0</v>
      </c>
      <c r="BC620" s="73"/>
      <c r="BD620" s="74">
        <v>-275.9372470583146</v>
      </c>
      <c r="BE620" s="74">
        <v>0</v>
      </c>
      <c r="BF620" s="73"/>
      <c r="BG620" s="72">
        <v>287876.04200242547</v>
      </c>
      <c r="BH620" s="72">
        <v>0</v>
      </c>
      <c r="BI620" s="73"/>
      <c r="BJ620" s="74">
        <v>-1102.0429884530745</v>
      </c>
      <c r="BK620" s="74">
        <v>0</v>
      </c>
      <c r="BL620" s="73"/>
      <c r="BM620" s="72">
        <v>4535230.9490264356</v>
      </c>
      <c r="BN620" s="72">
        <v>0</v>
      </c>
      <c r="BO620" s="73"/>
      <c r="BP620" s="74">
        <v>-3743.6991913721035</v>
      </c>
      <c r="BQ620" s="74">
        <v>0</v>
      </c>
      <c r="BS620" s="109">
        <f t="shared" si="243"/>
        <v>117115.36244746727</v>
      </c>
      <c r="BT620" s="109">
        <f t="shared" si="244"/>
        <v>117451.70998747303</v>
      </c>
      <c r="BV620" s="58">
        <f t="array" ref="BV620">SUM(IF(BS620:BT620&gt;=BS620, 1))</f>
        <v>2</v>
      </c>
      <c r="BW620" s="58">
        <f t="array" ref="BW620">SUM(IF(BS620:BT620&gt;=BT620, 1))</f>
        <v>1</v>
      </c>
      <c r="BY620" s="109">
        <f t="shared" si="245"/>
        <v>133728.54184437546</v>
      </c>
      <c r="BZ620" s="109">
        <f t="shared" si="246"/>
        <v>134015.6695766054</v>
      </c>
      <c r="CB620" s="58">
        <f t="array" ref="CB620">SUM(IF(BY620:BZ620&gt;=BY620, 1))</f>
        <v>2</v>
      </c>
      <c r="CC620" s="58">
        <f t="array" ref="CC620">SUM(IF(BY620:BZ620&gt;=BZ620, 1))</f>
        <v>1</v>
      </c>
      <c r="CE620" s="109">
        <f t="shared" si="247"/>
        <v>92456.815487698244</v>
      </c>
      <c r="CF620" s="109">
        <f t="shared" si="248"/>
        <v>93016.224067643736</v>
      </c>
      <c r="CH620" s="58">
        <f t="array" ref="CH620">SUM(IF(CE620:CF620&gt;=CE620, 1))</f>
        <v>2</v>
      </c>
      <c r="CI620" s="58">
        <f t="array" ref="CI620">SUM(IF(CE620:CF620&gt;=CF620, 1))</f>
        <v>1</v>
      </c>
      <c r="CK620" s="109">
        <f t="shared" si="249"/>
        <v>46514.344800700943</v>
      </c>
      <c r="CL620" s="109">
        <f t="shared" si="250"/>
        <v>47221.68789440894</v>
      </c>
      <c r="CN620" s="58">
        <f t="array" ref="CN620">SUM(IF(CK620:CL620&gt;=CK620, 1))</f>
        <v>2</v>
      </c>
      <c r="CO620" s="58">
        <f t="array" ref="CO620">SUM(IF(CK620:CL620&gt;=CL620, 1))</f>
        <v>1</v>
      </c>
      <c r="CQ620" s="109" cm="1">
        <f t="array" ref="CQ620">AF620*WTP-AC620</f>
        <v>43057.528924231425</v>
      </c>
      <c r="CR620" s="109">
        <f t="shared" si="251"/>
        <v>44428.997665845134</v>
      </c>
      <c r="CT620" s="58">
        <f t="array" ref="CT620">SUM(IF(CQ620:CR620&gt;=CQ620, 1))</f>
        <v>2</v>
      </c>
      <c r="CU620" s="58">
        <f t="array" ref="CU620">SUM(IF(CQ620:CR620&gt;=CR620, 1))</f>
        <v>1</v>
      </c>
      <c r="CW620" s="109">
        <f t="shared" si="252"/>
        <v>-36558393.992304802</v>
      </c>
      <c r="CX620" s="109">
        <f t="shared" si="253"/>
        <v>0</v>
      </c>
      <c r="CZ620" s="58">
        <f t="array" ref="CZ620">SUM(IF(CW620:CX620&gt;=CW620, 1))</f>
        <v>2</v>
      </c>
      <c r="DA620" s="58">
        <f t="array" ref="DA620">SUM(IF(CW620:CX620&gt;=CX620, 1))</f>
        <v>1</v>
      </c>
      <c r="DC620" s="109">
        <f t="shared" si="254"/>
        <v>-1965673.9171239254</v>
      </c>
      <c r="DD620" s="109">
        <f t="shared" si="255"/>
        <v>0</v>
      </c>
      <c r="DF620" s="58">
        <f t="array" ref="DF620">SUM(IF(DC620:DD620&gt;=DC620, 1))</f>
        <v>2</v>
      </c>
      <c r="DG620" s="58">
        <f t="array" ref="DG620">SUM(IF(DC620:DD620&gt;=DD620, 1))</f>
        <v>1</v>
      </c>
      <c r="DI620" s="109">
        <f t="shared" si="256"/>
        <v>-12550666.233438984</v>
      </c>
      <c r="DJ620" s="109">
        <f t="shared" si="257"/>
        <v>0</v>
      </c>
      <c r="DL620" s="58">
        <f t="array" ref="DL620">SUM(IF(DI620:DJ620&gt;=DI620, 1))</f>
        <v>2</v>
      </c>
      <c r="DM620" s="58">
        <f t="array" ref="DM620">SUM(IF(DI620:DJ620&gt;=DJ620, 1))</f>
        <v>1</v>
      </c>
      <c r="DO620" s="109">
        <f t="shared" si="258"/>
        <v>-6005744.8225368848</v>
      </c>
      <c r="DP620" s="109">
        <f t="shared" si="259"/>
        <v>0</v>
      </c>
      <c r="DR620" s="58">
        <f t="array" ref="DR620">SUM(IF(DO620:DP620&gt;=DO620, 1))</f>
        <v>2</v>
      </c>
      <c r="DS620" s="58">
        <f t="array" ref="DS620">SUM(IF(DO620:DP620&gt;=DP620, 1))</f>
        <v>1</v>
      </c>
      <c r="DU620" s="109">
        <f t="shared" si="260"/>
        <v>-22328735.811063915</v>
      </c>
      <c r="DV620" s="109">
        <f t="shared" si="261"/>
        <v>0</v>
      </c>
      <c r="DX620" s="58">
        <f t="array" ref="DX620">SUM(IF(DU620:DV620&gt;=DU620, 1))</f>
        <v>2</v>
      </c>
      <c r="DY620" s="58">
        <f t="array" ref="DY620">SUM(IF(DU620:DV620&gt;=DV620, 1))</f>
        <v>1</v>
      </c>
      <c r="EA620" s="109">
        <f t="shared" si="262"/>
        <v>-79409214.7764685</v>
      </c>
      <c r="EB620" s="109">
        <f t="shared" si="263"/>
        <v>0</v>
      </c>
      <c r="ED620" s="58">
        <f t="array" ref="ED620">SUM(IF(EA620:EB620&gt;=EA620, 1))</f>
        <v>2</v>
      </c>
      <c r="EE620" s="58">
        <f t="array" ref="EE620">SUM(IF(EA620:EB620&gt;=EB620, 1))</f>
        <v>1</v>
      </c>
    </row>
    <row r="621" spans="4:135" ht="12" customHeight="1" x14ac:dyDescent="0.25">
      <c r="D621" s="11">
        <v>605</v>
      </c>
      <c r="E621" s="72">
        <v>250.50749495024758</v>
      </c>
      <c r="F621" s="72">
        <v>235.6690641330415</v>
      </c>
      <c r="G621" s="73"/>
      <c r="H621" s="74">
        <v>5.7757195808319128</v>
      </c>
      <c r="I621" s="74">
        <v>5.7924127941965562</v>
      </c>
      <c r="J621" s="73"/>
      <c r="K621" s="72">
        <v>269.40743117956265</v>
      </c>
      <c r="L621" s="72">
        <v>254.19478457365196</v>
      </c>
      <c r="M621" s="73"/>
      <c r="N621" s="74">
        <v>6.7829209631734164</v>
      </c>
      <c r="O621" s="74">
        <v>6.7973639184305261</v>
      </c>
      <c r="P621" s="73"/>
      <c r="Q621" s="72">
        <v>2576.6393741132629</v>
      </c>
      <c r="R621" s="72">
        <v>1027.94442365021</v>
      </c>
      <c r="S621" s="73"/>
      <c r="T621" s="74">
        <v>4.5734657301317654</v>
      </c>
      <c r="U621" s="74">
        <v>4.699359445362032</v>
      </c>
      <c r="V621" s="73"/>
      <c r="W621" s="72">
        <v>14190.23221125228</v>
      </c>
      <c r="X621" s="72">
        <v>14209.245652349409</v>
      </c>
      <c r="Y621" s="73"/>
      <c r="Z621" s="74">
        <v>3.0394018290628653</v>
      </c>
      <c r="AA621" s="74">
        <v>3.0929539529934749</v>
      </c>
      <c r="AB621" s="73"/>
      <c r="AC621" s="72">
        <v>50511.181850625173</v>
      </c>
      <c r="AD621" s="72">
        <v>50512.744580444298</v>
      </c>
      <c r="AE621" s="73"/>
      <c r="AF621" s="74">
        <v>4.772254636572959</v>
      </c>
      <c r="AG621" s="74">
        <v>4.80656143929418</v>
      </c>
      <c r="AH621" s="73"/>
      <c r="AI621" s="72">
        <v>1593979.9004728638</v>
      </c>
      <c r="AJ621" s="72">
        <v>0</v>
      </c>
      <c r="AK621" s="73"/>
      <c r="AL621" s="74">
        <v>-1793.225099428447</v>
      </c>
      <c r="AM621" s="74">
        <v>0</v>
      </c>
      <c r="AN621" s="73"/>
      <c r="AO621" s="72">
        <v>99485.633134028089</v>
      </c>
      <c r="AP621" s="72">
        <v>0</v>
      </c>
      <c r="AQ621" s="73"/>
      <c r="AR621" s="74">
        <v>-94.452108518824133</v>
      </c>
      <c r="AS621" s="74">
        <v>0</v>
      </c>
      <c r="AT621" s="73"/>
      <c r="AU621" s="72">
        <v>36277896.814199306</v>
      </c>
      <c r="AV621" s="72">
        <v>0</v>
      </c>
      <c r="AW621" s="73"/>
      <c r="AX621" s="74">
        <v>-2949.0373228854678</v>
      </c>
      <c r="AY621" s="74">
        <v>0</v>
      </c>
      <c r="AZ621" s="73"/>
      <c r="BA621" s="72">
        <v>-167687.33645513604</v>
      </c>
      <c r="BB621" s="72">
        <v>0</v>
      </c>
      <c r="BC621" s="73"/>
      <c r="BD621" s="74">
        <v>-472.29814832387098</v>
      </c>
      <c r="BE621" s="74">
        <v>0</v>
      </c>
      <c r="BF621" s="73"/>
      <c r="BG621" s="72">
        <v>-24364.125693341222</v>
      </c>
      <c r="BH621" s="72">
        <v>0</v>
      </c>
      <c r="BI621" s="73"/>
      <c r="BJ621" s="74">
        <v>-534.86869157242268</v>
      </c>
      <c r="BK621" s="74">
        <v>0</v>
      </c>
      <c r="BL621" s="73"/>
      <c r="BM621" s="72">
        <v>37779310.88565772</v>
      </c>
      <c r="BN621" s="72">
        <v>0</v>
      </c>
      <c r="BO621" s="73"/>
      <c r="BP621" s="74">
        <v>-5843.8813707290328</v>
      </c>
      <c r="BQ621" s="74">
        <v>0</v>
      </c>
      <c r="BS621" s="109">
        <f t="shared" si="243"/>
        <v>115263.88412168801</v>
      </c>
      <c r="BT621" s="109">
        <f t="shared" si="244"/>
        <v>115612.58681979809</v>
      </c>
      <c r="BV621" s="58">
        <f t="array" ref="BV621">SUM(IF(BS621:BT621&gt;=BS621, 1))</f>
        <v>2</v>
      </c>
      <c r="BW621" s="58">
        <f t="array" ref="BW621">SUM(IF(BS621:BT621&gt;=BT621, 1))</f>
        <v>1</v>
      </c>
      <c r="BY621" s="109">
        <f t="shared" si="245"/>
        <v>135389.01183228876</v>
      </c>
      <c r="BZ621" s="109">
        <f t="shared" si="246"/>
        <v>135693.08358403685</v>
      </c>
      <c r="CB621" s="58">
        <f t="array" ref="CB621">SUM(IF(BY621:BZ621&gt;=BY621, 1))</f>
        <v>2</v>
      </c>
      <c r="CC621" s="58">
        <f t="array" ref="CC621">SUM(IF(BY621:BZ621&gt;=BZ621, 1))</f>
        <v>1</v>
      </c>
      <c r="CE621" s="109">
        <f t="shared" si="247"/>
        <v>88892.675228522043</v>
      </c>
      <c r="CF621" s="109">
        <f t="shared" si="248"/>
        <v>92959.244483590417</v>
      </c>
      <c r="CH621" s="58">
        <f t="array" ref="CH621">SUM(IF(CE621:CF621&gt;=CE621, 1))</f>
        <v>2</v>
      </c>
      <c r="CI621" s="58">
        <f t="array" ref="CI621">SUM(IF(CE621:CF621&gt;=CF621, 1))</f>
        <v>1</v>
      </c>
      <c r="CK621" s="109">
        <f t="shared" si="249"/>
        <v>46597.804370005026</v>
      </c>
      <c r="CL621" s="109">
        <f t="shared" si="250"/>
        <v>47649.833407520084</v>
      </c>
      <c r="CN621" s="58">
        <f t="array" ref="CN621">SUM(IF(CK621:CL621&gt;=CK621, 1))</f>
        <v>2</v>
      </c>
      <c r="CO621" s="58">
        <f t="array" ref="CO621">SUM(IF(CK621:CL621&gt;=CL621, 1))</f>
        <v>1</v>
      </c>
      <c r="CQ621" s="109" cm="1">
        <f t="array" ref="CQ621">AF621*WTP-AC621</f>
        <v>44933.91088083401</v>
      </c>
      <c r="CR621" s="109">
        <f t="shared" si="251"/>
        <v>45618.484205439308</v>
      </c>
      <c r="CT621" s="58">
        <f t="array" ref="CT621">SUM(IF(CQ621:CR621&gt;=CQ621, 1))</f>
        <v>2</v>
      </c>
      <c r="CU621" s="58">
        <f t="array" ref="CU621">SUM(IF(CQ621:CR621&gt;=CR621, 1))</f>
        <v>1</v>
      </c>
      <c r="CW621" s="109">
        <f t="shared" si="252"/>
        <v>-37458481.889041804</v>
      </c>
      <c r="CX621" s="109">
        <f t="shared" si="253"/>
        <v>0</v>
      </c>
      <c r="CZ621" s="58">
        <f t="array" ref="CZ621">SUM(IF(CW621:CX621&gt;=CW621, 1))</f>
        <v>2</v>
      </c>
      <c r="DA621" s="58">
        <f t="array" ref="DA621">SUM(IF(CW621:CX621&gt;=CX621, 1))</f>
        <v>1</v>
      </c>
      <c r="DC621" s="109">
        <f t="shared" si="254"/>
        <v>-1988527.8035105108</v>
      </c>
      <c r="DD621" s="109">
        <f t="shared" si="255"/>
        <v>0</v>
      </c>
      <c r="DF621" s="58">
        <f t="array" ref="DF621">SUM(IF(DC621:DD621&gt;=DC621, 1))</f>
        <v>2</v>
      </c>
      <c r="DG621" s="58">
        <f t="array" ref="DG621">SUM(IF(DC621:DD621&gt;=DD621, 1))</f>
        <v>1</v>
      </c>
      <c r="DI621" s="109">
        <f t="shared" si="256"/>
        <v>-95258643.271908671</v>
      </c>
      <c r="DJ621" s="109">
        <f t="shared" si="257"/>
        <v>0</v>
      </c>
      <c r="DL621" s="58">
        <f t="array" ref="DL621">SUM(IF(DI621:DJ621&gt;=DI621, 1))</f>
        <v>2</v>
      </c>
      <c r="DM621" s="58">
        <f t="array" ref="DM621">SUM(IF(DI621:DJ621&gt;=DJ621, 1))</f>
        <v>1</v>
      </c>
      <c r="DO621" s="109">
        <f t="shared" si="258"/>
        <v>-9278275.6300222836</v>
      </c>
      <c r="DP621" s="109">
        <f t="shared" si="259"/>
        <v>0</v>
      </c>
      <c r="DR621" s="58">
        <f t="array" ref="DR621">SUM(IF(DO621:DP621&gt;=DO621, 1))</f>
        <v>2</v>
      </c>
      <c r="DS621" s="58">
        <f t="array" ref="DS621">SUM(IF(DO621:DP621&gt;=DP621, 1))</f>
        <v>1</v>
      </c>
      <c r="DU621" s="109">
        <f t="shared" si="260"/>
        <v>-10673009.705755113</v>
      </c>
      <c r="DV621" s="109">
        <f t="shared" si="261"/>
        <v>0</v>
      </c>
      <c r="DX621" s="58">
        <f t="array" ref="DX621">SUM(IF(DU621:DV621&gt;=DU621, 1))</f>
        <v>2</v>
      </c>
      <c r="DY621" s="58">
        <f t="array" ref="DY621">SUM(IF(DU621:DV621&gt;=DV621, 1))</f>
        <v>1</v>
      </c>
      <c r="EA621" s="109">
        <f t="shared" si="262"/>
        <v>-154656938.30023837</v>
      </c>
      <c r="EB621" s="109">
        <f t="shared" si="263"/>
        <v>0</v>
      </c>
      <c r="ED621" s="58">
        <f t="array" ref="ED621">SUM(IF(EA621:EB621&gt;=EA621, 1))</f>
        <v>2</v>
      </c>
      <c r="EE621" s="58">
        <f t="array" ref="EE621">SUM(IF(EA621:EB621&gt;=EB621, 1))</f>
        <v>1</v>
      </c>
    </row>
    <row r="622" spans="4:135" ht="12" customHeight="1" x14ac:dyDescent="0.25">
      <c r="D622" s="11">
        <v>606</v>
      </c>
      <c r="E622" s="72">
        <v>306.68575210248355</v>
      </c>
      <c r="F622" s="72">
        <v>263.50622888827309</v>
      </c>
      <c r="G622" s="73"/>
      <c r="H622" s="74">
        <v>5.833632378073391</v>
      </c>
      <c r="I622" s="74">
        <v>5.8493539527480163</v>
      </c>
      <c r="J622" s="73"/>
      <c r="K622" s="72">
        <v>328.14265906567192</v>
      </c>
      <c r="L622" s="72">
        <v>283.98110732029562</v>
      </c>
      <c r="M622" s="73"/>
      <c r="N622" s="74">
        <v>6.6862156883452997</v>
      </c>
      <c r="O622" s="74">
        <v>6.6999446803863334</v>
      </c>
      <c r="P622" s="73"/>
      <c r="Q622" s="72">
        <v>1850.1087916582269</v>
      </c>
      <c r="R622" s="72">
        <v>1092.6298548625791</v>
      </c>
      <c r="S622" s="73"/>
      <c r="T622" s="74">
        <v>4.8084545864235695</v>
      </c>
      <c r="U622" s="74">
        <v>4.8884194177297831</v>
      </c>
      <c r="V622" s="73"/>
      <c r="W622" s="72">
        <v>10340.781716965716</v>
      </c>
      <c r="X622" s="72">
        <v>10335.381961772378</v>
      </c>
      <c r="Y622" s="73"/>
      <c r="Z622" s="74">
        <v>3.0028574004366986</v>
      </c>
      <c r="AA622" s="74">
        <v>3.0598526231629402</v>
      </c>
      <c r="AB622" s="73"/>
      <c r="AC622" s="72">
        <v>50869.282487520824</v>
      </c>
      <c r="AD622" s="72">
        <v>50429.497021284522</v>
      </c>
      <c r="AE622" s="73"/>
      <c r="AF622" s="74">
        <v>4.8587209405914074</v>
      </c>
      <c r="AG622" s="74">
        <v>5.0531563257382217</v>
      </c>
      <c r="AH622" s="73"/>
      <c r="AI622" s="72">
        <v>4687400.3878416643</v>
      </c>
      <c r="AJ622" s="72">
        <v>0</v>
      </c>
      <c r="AK622" s="73"/>
      <c r="AL622" s="74">
        <v>-1706.6727407278963</v>
      </c>
      <c r="AM622" s="74">
        <v>0</v>
      </c>
      <c r="AN622" s="73"/>
      <c r="AO622" s="72">
        <v>302149.14387125417</v>
      </c>
      <c r="AP622" s="72">
        <v>0</v>
      </c>
      <c r="AQ622" s="73"/>
      <c r="AR622" s="74">
        <v>-93.932459967236511</v>
      </c>
      <c r="AS622" s="74">
        <v>0</v>
      </c>
      <c r="AT622" s="73"/>
      <c r="AU622" s="72">
        <v>16979730.540403191</v>
      </c>
      <c r="AV622" s="72">
        <v>0</v>
      </c>
      <c r="AW622" s="73"/>
      <c r="AX622" s="74">
        <v>-1792.500388237997</v>
      </c>
      <c r="AY622" s="74">
        <v>0</v>
      </c>
      <c r="AZ622" s="73"/>
      <c r="BA622" s="72">
        <v>47340.757500929649</v>
      </c>
      <c r="BB622" s="72">
        <v>0</v>
      </c>
      <c r="BC622" s="73"/>
      <c r="BD622" s="74">
        <v>-499.68876758039812</v>
      </c>
      <c r="BE622" s="74">
        <v>0</v>
      </c>
      <c r="BF622" s="73"/>
      <c r="BG622" s="72">
        <v>6868652.116357374</v>
      </c>
      <c r="BH622" s="72">
        <v>0</v>
      </c>
      <c r="BI622" s="73"/>
      <c r="BJ622" s="74">
        <v>-3036.7284101331379</v>
      </c>
      <c r="BK622" s="74">
        <v>0</v>
      </c>
      <c r="BL622" s="73"/>
      <c r="BM622" s="72">
        <v>28885272.945974413</v>
      </c>
      <c r="BN622" s="72">
        <v>0</v>
      </c>
      <c r="BO622" s="73"/>
      <c r="BP622" s="74">
        <v>-7129.5227666466662</v>
      </c>
      <c r="BQ622" s="74">
        <v>0</v>
      </c>
      <c r="BS622" s="109">
        <f t="shared" si="243"/>
        <v>116365.96180936534</v>
      </c>
      <c r="BT622" s="109">
        <f t="shared" si="244"/>
        <v>116723.57282607205</v>
      </c>
      <c r="BV622" s="58">
        <f t="array" ref="BV622">SUM(IF(BS622:BT622&gt;=BS622, 1))</f>
        <v>2</v>
      </c>
      <c r="BW622" s="58">
        <f t="array" ref="BW622">SUM(IF(BS622:BT622&gt;=BT622, 1))</f>
        <v>1</v>
      </c>
      <c r="BY622" s="109">
        <f t="shared" si="245"/>
        <v>133396.17110784032</v>
      </c>
      <c r="BZ622" s="109">
        <f t="shared" si="246"/>
        <v>133714.91250040638</v>
      </c>
      <c r="CB622" s="58">
        <f t="array" ref="CB622">SUM(IF(BY622:BZ622&gt;=BY622, 1))</f>
        <v>2</v>
      </c>
      <c r="CC622" s="58">
        <f t="array" ref="CC622">SUM(IF(BY622:BZ622&gt;=BZ622, 1))</f>
        <v>1</v>
      </c>
      <c r="CE622" s="109">
        <f t="shared" si="247"/>
        <v>94318.982936813161</v>
      </c>
      <c r="CF622" s="109">
        <f t="shared" si="248"/>
        <v>96675.758499733085</v>
      </c>
      <c r="CH622" s="58">
        <f t="array" ref="CH622">SUM(IF(CE622:CF622&gt;=CE622, 1))</f>
        <v>2</v>
      </c>
      <c r="CI622" s="58">
        <f t="array" ref="CI622">SUM(IF(CE622:CF622&gt;=CF622, 1))</f>
        <v>1</v>
      </c>
      <c r="CK622" s="109">
        <f t="shared" si="249"/>
        <v>49716.36629176826</v>
      </c>
      <c r="CL622" s="109">
        <f t="shared" si="250"/>
        <v>50861.670501486427</v>
      </c>
      <c r="CN622" s="58">
        <f t="array" ref="CN622">SUM(IF(CK622:CL622&gt;=CK622, 1))</f>
        <v>2</v>
      </c>
      <c r="CO622" s="58">
        <f t="array" ref="CO622">SUM(IF(CK622:CL622&gt;=CL622, 1))</f>
        <v>1</v>
      </c>
      <c r="CQ622" s="109" cm="1">
        <f t="array" ref="CQ622">AF622*WTP-AC622</f>
        <v>46305.136324307321</v>
      </c>
      <c r="CR622" s="109">
        <f t="shared" si="251"/>
        <v>50633.629493479908</v>
      </c>
      <c r="CT622" s="58">
        <f t="array" ref="CT622">SUM(IF(CQ622:CR622&gt;=CQ622, 1))</f>
        <v>2</v>
      </c>
      <c r="CU622" s="58">
        <f t="array" ref="CU622">SUM(IF(CQ622:CR622&gt;=CR622, 1))</f>
        <v>1</v>
      </c>
      <c r="CW622" s="109">
        <f t="shared" si="252"/>
        <v>-38820855.202399589</v>
      </c>
      <c r="CX622" s="109">
        <f t="shared" si="253"/>
        <v>0</v>
      </c>
      <c r="CZ622" s="58">
        <f t="array" ref="CZ622">SUM(IF(CW622:CX622&gt;=CW622, 1))</f>
        <v>2</v>
      </c>
      <c r="DA622" s="58">
        <f t="array" ref="DA622">SUM(IF(CW622:CX622&gt;=CX622, 1))</f>
        <v>1</v>
      </c>
      <c r="DC622" s="109">
        <f t="shared" si="254"/>
        <v>-2180798.3432159843</v>
      </c>
      <c r="DD622" s="109">
        <f t="shared" si="255"/>
        <v>0</v>
      </c>
      <c r="DF622" s="58">
        <f t="array" ref="DF622">SUM(IF(DC622:DD622&gt;=DC622, 1))</f>
        <v>2</v>
      </c>
      <c r="DG622" s="58">
        <f t="array" ref="DG622">SUM(IF(DC622:DD622&gt;=DD622, 1))</f>
        <v>1</v>
      </c>
      <c r="DI622" s="109">
        <f t="shared" si="256"/>
        <v>-52829738.30516313</v>
      </c>
      <c r="DJ622" s="109">
        <f t="shared" si="257"/>
        <v>0</v>
      </c>
      <c r="DL622" s="58">
        <f t="array" ref="DL622">SUM(IF(DI622:DJ622&gt;=DI622, 1))</f>
        <v>2</v>
      </c>
      <c r="DM622" s="58">
        <f t="array" ref="DM622">SUM(IF(DI622:DJ622&gt;=DJ622, 1))</f>
        <v>1</v>
      </c>
      <c r="DO622" s="109">
        <f t="shared" si="258"/>
        <v>-10041116.109108891</v>
      </c>
      <c r="DP622" s="109">
        <f t="shared" si="259"/>
        <v>0</v>
      </c>
      <c r="DR622" s="58">
        <f t="array" ref="DR622">SUM(IF(DO622:DP622&gt;=DO622, 1))</f>
        <v>2</v>
      </c>
      <c r="DS622" s="58">
        <f t="array" ref="DS622">SUM(IF(DO622:DP622&gt;=DP622, 1))</f>
        <v>1</v>
      </c>
      <c r="DU622" s="109">
        <f t="shared" si="260"/>
        <v>-67603220.319020137</v>
      </c>
      <c r="DV622" s="109">
        <f t="shared" si="261"/>
        <v>0</v>
      </c>
      <c r="DX622" s="58">
        <f t="array" ref="DX622">SUM(IF(DU622:DV622&gt;=DU622, 1))</f>
        <v>2</v>
      </c>
      <c r="DY622" s="58">
        <f t="array" ref="DY622">SUM(IF(DU622:DV622&gt;=DV622, 1))</f>
        <v>1</v>
      </c>
      <c r="EA622" s="109">
        <f t="shared" si="262"/>
        <v>-171475728.27890775</v>
      </c>
      <c r="EB622" s="109">
        <f t="shared" si="263"/>
        <v>0</v>
      </c>
      <c r="ED622" s="58">
        <f t="array" ref="ED622">SUM(IF(EA622:EB622&gt;=EA622, 1))</f>
        <v>2</v>
      </c>
      <c r="EE622" s="58">
        <f t="array" ref="EE622">SUM(IF(EA622:EB622&gt;=EB622, 1))</f>
        <v>1</v>
      </c>
    </row>
    <row r="623" spans="4:135" ht="12" customHeight="1" x14ac:dyDescent="0.25">
      <c r="D623" s="11">
        <v>607</v>
      </c>
      <c r="E623" s="72">
        <v>218.55734885236402</v>
      </c>
      <c r="F623" s="72">
        <v>203.18354885605993</v>
      </c>
      <c r="G623" s="73"/>
      <c r="H623" s="74">
        <v>5.8122419858699104</v>
      </c>
      <c r="I623" s="74">
        <v>5.8266775433409652</v>
      </c>
      <c r="J623" s="73"/>
      <c r="K623" s="72">
        <v>234.79956075102973</v>
      </c>
      <c r="L623" s="72">
        <v>219.03281412629946</v>
      </c>
      <c r="M623" s="73"/>
      <c r="N623" s="74">
        <v>6.6386163644042799</v>
      </c>
      <c r="O623" s="74">
        <v>6.651150011019018</v>
      </c>
      <c r="P623" s="73"/>
      <c r="Q623" s="72">
        <v>3603.7119255176776</v>
      </c>
      <c r="R623" s="72">
        <v>1513.335011121643</v>
      </c>
      <c r="S623" s="73"/>
      <c r="T623" s="74">
        <v>4.859698940488399</v>
      </c>
      <c r="U623" s="74">
        <v>4.985422563647731</v>
      </c>
      <c r="V623" s="73"/>
      <c r="W623" s="72">
        <v>7233.8033722885757</v>
      </c>
      <c r="X623" s="72">
        <v>7216.505861267683</v>
      </c>
      <c r="Y623" s="73"/>
      <c r="Z623" s="74">
        <v>2.8819116552540858</v>
      </c>
      <c r="AA623" s="74">
        <v>2.9170250038275936</v>
      </c>
      <c r="AB623" s="73"/>
      <c r="AC623" s="72">
        <v>52244.940565857418</v>
      </c>
      <c r="AD623" s="72">
        <v>51855.213819275697</v>
      </c>
      <c r="AE623" s="73"/>
      <c r="AF623" s="74">
        <v>4.6907116430043629</v>
      </c>
      <c r="AG623" s="74">
        <v>4.77653458652882</v>
      </c>
      <c r="AH623" s="73"/>
      <c r="AI623" s="72">
        <v>1670752.1999922739</v>
      </c>
      <c r="AJ623" s="72">
        <v>0</v>
      </c>
      <c r="AK623" s="73"/>
      <c r="AL623" s="74">
        <v>-1568.7884198231993</v>
      </c>
      <c r="AM623" s="74">
        <v>0</v>
      </c>
      <c r="AN623" s="73"/>
      <c r="AO623" s="72">
        <v>106334.12858860368</v>
      </c>
      <c r="AP623" s="72">
        <v>0</v>
      </c>
      <c r="AQ623" s="73"/>
      <c r="AR623" s="74">
        <v>-84.529448118690652</v>
      </c>
      <c r="AS623" s="74">
        <v>0</v>
      </c>
      <c r="AT623" s="73"/>
      <c r="AU623" s="72">
        <v>48812293.849004641</v>
      </c>
      <c r="AV623" s="72">
        <v>0</v>
      </c>
      <c r="AW623" s="73"/>
      <c r="AX623" s="74">
        <v>-2935.7664616134252</v>
      </c>
      <c r="AY623" s="74">
        <v>0</v>
      </c>
      <c r="AZ623" s="73"/>
      <c r="BA623" s="72">
        <v>149584.15037324591</v>
      </c>
      <c r="BB623" s="72">
        <v>0</v>
      </c>
      <c r="BC623" s="73"/>
      <c r="BD623" s="74">
        <v>-303.65064700833057</v>
      </c>
      <c r="BE623" s="74">
        <v>0</v>
      </c>
      <c r="BF623" s="73"/>
      <c r="BG623" s="72">
        <v>6246064.596694692</v>
      </c>
      <c r="BH623" s="72">
        <v>0</v>
      </c>
      <c r="BI623" s="73"/>
      <c r="BJ623" s="74">
        <v>-1375.465383974707</v>
      </c>
      <c r="BK623" s="74">
        <v>0</v>
      </c>
      <c r="BL623" s="73"/>
      <c r="BM623" s="72">
        <v>56985028.924653456</v>
      </c>
      <c r="BN623" s="72">
        <v>0</v>
      </c>
      <c r="BO623" s="73"/>
      <c r="BP623" s="74">
        <v>-6268.2003605383525</v>
      </c>
      <c r="BQ623" s="74">
        <v>0</v>
      </c>
      <c r="BS623" s="109">
        <f t="shared" si="243"/>
        <v>116026.28236854584</v>
      </c>
      <c r="BT623" s="109">
        <f t="shared" si="244"/>
        <v>116330.36731796325</v>
      </c>
      <c r="BV623" s="58">
        <f t="array" ref="BV623">SUM(IF(BS623:BT623&gt;=BS623, 1))</f>
        <v>2</v>
      </c>
      <c r="BW623" s="58">
        <f t="array" ref="BW623">SUM(IF(BS623:BT623&gt;=BT623, 1))</f>
        <v>1</v>
      </c>
      <c r="BY623" s="109">
        <f t="shared" si="245"/>
        <v>132537.52772733456</v>
      </c>
      <c r="BZ623" s="109">
        <f t="shared" si="246"/>
        <v>132803.96740625409</v>
      </c>
      <c r="CB623" s="58">
        <f t="array" ref="CB623">SUM(IF(BY623:BZ623&gt;=BY623, 1))</f>
        <v>2</v>
      </c>
      <c r="CC623" s="58">
        <f t="array" ref="CC623">SUM(IF(BY623:BZ623&gt;=BZ623, 1))</f>
        <v>1</v>
      </c>
      <c r="CE623" s="109">
        <f t="shared" si="247"/>
        <v>93590.266884250304</v>
      </c>
      <c r="CF623" s="109">
        <f t="shared" si="248"/>
        <v>98195.116261832984</v>
      </c>
      <c r="CH623" s="58">
        <f t="array" ref="CH623">SUM(IF(CE623:CF623&gt;=CE623, 1))</f>
        <v>2</v>
      </c>
      <c r="CI623" s="58">
        <f t="array" ref="CI623">SUM(IF(CE623:CF623&gt;=CF623, 1))</f>
        <v>1</v>
      </c>
      <c r="CK623" s="109">
        <f t="shared" si="249"/>
        <v>50404.429732793142</v>
      </c>
      <c r="CL623" s="109">
        <f t="shared" si="250"/>
        <v>51123.99421528419</v>
      </c>
      <c r="CN623" s="58">
        <f t="array" ref="CN623">SUM(IF(CK623:CL623&gt;=CK623, 1))</f>
        <v>2</v>
      </c>
      <c r="CO623" s="58">
        <f t="array" ref="CO623">SUM(IF(CK623:CL623&gt;=CL623, 1))</f>
        <v>1</v>
      </c>
      <c r="CQ623" s="109" cm="1">
        <f t="array" ref="CQ623">AF623*WTP-AC623</f>
        <v>41569.292294229839</v>
      </c>
      <c r="CR623" s="109">
        <f t="shared" si="251"/>
        <v>43675.47791130071</v>
      </c>
      <c r="CT623" s="58">
        <f t="array" ref="CT623">SUM(IF(CQ623:CR623&gt;=CQ623, 1))</f>
        <v>2</v>
      </c>
      <c r="CU623" s="58">
        <f t="array" ref="CU623">SUM(IF(CQ623:CR623&gt;=CR623, 1))</f>
        <v>1</v>
      </c>
      <c r="CW623" s="109">
        <f t="shared" si="252"/>
        <v>-33046520.596456259</v>
      </c>
      <c r="CX623" s="109">
        <f t="shared" si="253"/>
        <v>0</v>
      </c>
      <c r="CZ623" s="58">
        <f t="array" ref="CZ623">SUM(IF(CW623:CX623&gt;=CW623, 1))</f>
        <v>2</v>
      </c>
      <c r="DA623" s="58">
        <f t="array" ref="DA623">SUM(IF(CW623:CX623&gt;=CX623, 1))</f>
        <v>1</v>
      </c>
      <c r="DC623" s="109">
        <f t="shared" si="254"/>
        <v>-1796923.0909624167</v>
      </c>
      <c r="DD623" s="109">
        <f t="shared" si="255"/>
        <v>0</v>
      </c>
      <c r="DF623" s="58">
        <f t="array" ref="DF623">SUM(IF(DC623:DD623&gt;=DC623, 1))</f>
        <v>2</v>
      </c>
      <c r="DG623" s="58">
        <f t="array" ref="DG623">SUM(IF(DC623:DD623&gt;=DD623, 1))</f>
        <v>1</v>
      </c>
      <c r="DI623" s="109">
        <f t="shared" si="256"/>
        <v>-107527623.08127314</v>
      </c>
      <c r="DJ623" s="109">
        <f t="shared" si="257"/>
        <v>0</v>
      </c>
      <c r="DL623" s="58">
        <f t="array" ref="DL623">SUM(IF(DI623:DJ623&gt;=DI623, 1))</f>
        <v>2</v>
      </c>
      <c r="DM623" s="58">
        <f t="array" ref="DM623">SUM(IF(DI623:DJ623&gt;=DJ623, 1))</f>
        <v>1</v>
      </c>
      <c r="DO623" s="109">
        <f t="shared" si="258"/>
        <v>-6222597.0905398568</v>
      </c>
      <c r="DP623" s="109">
        <f t="shared" si="259"/>
        <v>0</v>
      </c>
      <c r="DR623" s="58">
        <f t="array" ref="DR623">SUM(IF(DO623:DP623&gt;=DO623, 1))</f>
        <v>2</v>
      </c>
      <c r="DS623" s="58">
        <f t="array" ref="DS623">SUM(IF(DO623:DP623&gt;=DP623, 1))</f>
        <v>1</v>
      </c>
      <c r="DU623" s="109">
        <f t="shared" si="260"/>
        <v>-33755372.276188836</v>
      </c>
      <c r="DV623" s="109">
        <f t="shared" si="261"/>
        <v>0</v>
      </c>
      <c r="DX623" s="58">
        <f t="array" ref="DX623">SUM(IF(DU623:DV623&gt;=DU623, 1))</f>
        <v>2</v>
      </c>
      <c r="DY623" s="58">
        <f t="array" ref="DY623">SUM(IF(DU623:DV623&gt;=DV623, 1))</f>
        <v>1</v>
      </c>
      <c r="EA623" s="109">
        <f t="shared" si="262"/>
        <v>-182349036.1354205</v>
      </c>
      <c r="EB623" s="109">
        <f t="shared" si="263"/>
        <v>0</v>
      </c>
      <c r="ED623" s="58">
        <f t="array" ref="ED623">SUM(IF(EA623:EB623&gt;=EA623, 1))</f>
        <v>2</v>
      </c>
      <c r="EE623" s="58">
        <f t="array" ref="EE623">SUM(IF(EA623:EB623&gt;=EB623, 1))</f>
        <v>1</v>
      </c>
    </row>
    <row r="624" spans="4:135" ht="12" customHeight="1" x14ac:dyDescent="0.25">
      <c r="D624" s="11">
        <v>608</v>
      </c>
      <c r="E624" s="72">
        <v>332.81383784929511</v>
      </c>
      <c r="F624" s="72">
        <v>324.84665445089507</v>
      </c>
      <c r="G624" s="73"/>
      <c r="H624" s="74">
        <v>5.7606463551960108</v>
      </c>
      <c r="I624" s="74">
        <v>5.7777234881179016</v>
      </c>
      <c r="J624" s="73"/>
      <c r="K624" s="72">
        <v>358.57441308499972</v>
      </c>
      <c r="L624" s="72">
        <v>350.42596993817671</v>
      </c>
      <c r="M624" s="73"/>
      <c r="N624" s="74">
        <v>6.7060607727475769</v>
      </c>
      <c r="O624" s="74">
        <v>6.722197964133299</v>
      </c>
      <c r="P624" s="73"/>
      <c r="Q624" s="72">
        <v>2244.7425164845049</v>
      </c>
      <c r="R624" s="72">
        <v>1273.9655381340042</v>
      </c>
      <c r="S624" s="73"/>
      <c r="T624" s="74">
        <v>4.6699531749724867</v>
      </c>
      <c r="U624" s="74">
        <v>4.7644900438698148</v>
      </c>
      <c r="V624" s="73"/>
      <c r="W624" s="72">
        <v>13857.452647954351</v>
      </c>
      <c r="X624" s="72">
        <v>13838.732460029489</v>
      </c>
      <c r="Y624" s="73"/>
      <c r="Z624" s="74">
        <v>3.0231829217847292</v>
      </c>
      <c r="AA624" s="74">
        <v>3.0713381317333046</v>
      </c>
      <c r="AB624" s="73"/>
      <c r="AC624" s="72">
        <v>49056.517092689872</v>
      </c>
      <c r="AD624" s="72">
        <v>48877.891023109667</v>
      </c>
      <c r="AE624" s="73"/>
      <c r="AF624" s="74">
        <v>4.5755120859516429</v>
      </c>
      <c r="AG624" s="74">
        <v>4.7181708265079694</v>
      </c>
      <c r="AH624" s="73"/>
      <c r="AI624" s="72">
        <v>860391.47502193903</v>
      </c>
      <c r="AJ624" s="72">
        <v>0</v>
      </c>
      <c r="AK624" s="73"/>
      <c r="AL624" s="74">
        <v>-1844.1924641476194</v>
      </c>
      <c r="AM624" s="74">
        <v>0</v>
      </c>
      <c r="AN624" s="73"/>
      <c r="AO624" s="72">
        <v>56614.094209376803</v>
      </c>
      <c r="AP624" s="72">
        <v>0</v>
      </c>
      <c r="AQ624" s="73"/>
      <c r="AR624" s="74">
        <v>-112.11865345617694</v>
      </c>
      <c r="AS624" s="74">
        <v>0</v>
      </c>
      <c r="AT624" s="73"/>
      <c r="AU624" s="72">
        <v>22136692.110925432</v>
      </c>
      <c r="AV624" s="72">
        <v>0</v>
      </c>
      <c r="AW624" s="73"/>
      <c r="AX624" s="74">
        <v>-2155.7305195545009</v>
      </c>
      <c r="AY624" s="74">
        <v>0</v>
      </c>
      <c r="AZ624" s="73"/>
      <c r="BA624" s="72">
        <v>163844.97893834862</v>
      </c>
      <c r="BB624" s="72">
        <v>0</v>
      </c>
      <c r="BC624" s="73"/>
      <c r="BD624" s="74">
        <v>-421.46955957196195</v>
      </c>
      <c r="BE624" s="74">
        <v>0</v>
      </c>
      <c r="BF624" s="73"/>
      <c r="BG624" s="72">
        <v>2803713.8170422679</v>
      </c>
      <c r="BH624" s="72">
        <v>0</v>
      </c>
      <c r="BI624" s="73"/>
      <c r="BJ624" s="74">
        <v>-2239.1708162174414</v>
      </c>
      <c r="BK624" s="74">
        <v>0</v>
      </c>
      <c r="BL624" s="73"/>
      <c r="BM624" s="72">
        <v>26021256.476137366</v>
      </c>
      <c r="BN624" s="72">
        <v>0</v>
      </c>
      <c r="BO624" s="73"/>
      <c r="BP624" s="74">
        <v>-6772.6820129477001</v>
      </c>
      <c r="BQ624" s="74">
        <v>0</v>
      </c>
      <c r="BS624" s="109">
        <f t="shared" si="243"/>
        <v>114880.11326607091</v>
      </c>
      <c r="BT624" s="109">
        <f t="shared" si="244"/>
        <v>115229.62310790713</v>
      </c>
      <c r="BV624" s="58">
        <f t="array" ref="BV624">SUM(IF(BS624:BT624&gt;=BS624, 1))</f>
        <v>2</v>
      </c>
      <c r="BW624" s="58">
        <f t="array" ref="BW624">SUM(IF(BS624:BT624&gt;=BT624, 1))</f>
        <v>1</v>
      </c>
      <c r="BY624" s="109">
        <f t="shared" si="245"/>
        <v>133762.64104186653</v>
      </c>
      <c r="BZ624" s="109">
        <f t="shared" si="246"/>
        <v>134093.53331272781</v>
      </c>
      <c r="CB624" s="58">
        <f t="array" ref="CB624">SUM(IF(BY624:BZ624&gt;=BY624, 1))</f>
        <v>2</v>
      </c>
      <c r="CC624" s="58">
        <f t="array" ref="CC624">SUM(IF(BY624:BZ624&gt;=BZ624, 1))</f>
        <v>1</v>
      </c>
      <c r="CE624" s="109">
        <f t="shared" si="247"/>
        <v>91154.320982965233</v>
      </c>
      <c r="CF624" s="109">
        <f t="shared" si="248"/>
        <v>94015.835339262296</v>
      </c>
      <c r="CH624" s="58">
        <f t="array" ref="CH624">SUM(IF(CE624:CF624&gt;=CE624, 1))</f>
        <v>2</v>
      </c>
      <c r="CI624" s="58">
        <f t="array" ref="CI624">SUM(IF(CE624:CF624&gt;=CF624, 1))</f>
        <v>1</v>
      </c>
      <c r="CK624" s="109">
        <f t="shared" si="249"/>
        <v>46606.205787740233</v>
      </c>
      <c r="CL624" s="109">
        <f t="shared" si="250"/>
        <v>47588.030174636602</v>
      </c>
      <c r="CN624" s="58">
        <f t="array" ref="CN624">SUM(IF(CK624:CL624&gt;=CK624, 1))</f>
        <v>2</v>
      </c>
      <c r="CO624" s="58">
        <f t="array" ref="CO624">SUM(IF(CK624:CL624&gt;=CL624, 1))</f>
        <v>1</v>
      </c>
      <c r="CQ624" s="109" cm="1">
        <f t="array" ref="CQ624">AF624*WTP-AC624</f>
        <v>42453.724626342984</v>
      </c>
      <c r="CR624" s="109">
        <f t="shared" si="251"/>
        <v>45485.525507049722</v>
      </c>
      <c r="CT624" s="58">
        <f t="array" ref="CT624">SUM(IF(CQ624:CR624&gt;=CQ624, 1))</f>
        <v>2</v>
      </c>
      <c r="CU624" s="58">
        <f t="array" ref="CU624">SUM(IF(CQ624:CR624&gt;=CR624, 1))</f>
        <v>1</v>
      </c>
      <c r="CW624" s="109">
        <f t="shared" si="252"/>
        <v>-37744240.757974327</v>
      </c>
      <c r="CX624" s="109">
        <f t="shared" si="253"/>
        <v>0</v>
      </c>
      <c r="CZ624" s="58">
        <f t="array" ref="CZ624">SUM(IF(CW624:CX624&gt;=CW624, 1))</f>
        <v>2</v>
      </c>
      <c r="DA624" s="58">
        <f t="array" ref="DA624">SUM(IF(CW624:CX624&gt;=CX624, 1))</f>
        <v>1</v>
      </c>
      <c r="DC624" s="109">
        <f t="shared" si="254"/>
        <v>-2298987.1633329154</v>
      </c>
      <c r="DD624" s="109">
        <f t="shared" si="255"/>
        <v>0</v>
      </c>
      <c r="DF624" s="58">
        <f t="array" ref="DF624">SUM(IF(DC624:DD624&gt;=DC624, 1))</f>
        <v>2</v>
      </c>
      <c r="DG624" s="58">
        <f t="array" ref="DG624">SUM(IF(DC624:DD624&gt;=DD624, 1))</f>
        <v>1</v>
      </c>
      <c r="DI624" s="109">
        <f t="shared" si="256"/>
        <v>-65251302.502015457</v>
      </c>
      <c r="DJ624" s="109">
        <f t="shared" si="257"/>
        <v>0</v>
      </c>
      <c r="DL624" s="58">
        <f t="array" ref="DL624">SUM(IF(DI624:DJ624&gt;=DI624, 1))</f>
        <v>2</v>
      </c>
      <c r="DM624" s="58">
        <f t="array" ref="DM624">SUM(IF(DI624:DJ624&gt;=DJ624, 1))</f>
        <v>1</v>
      </c>
      <c r="DO624" s="109">
        <f t="shared" si="258"/>
        <v>-8593236.1703775879</v>
      </c>
      <c r="DP624" s="109">
        <f t="shared" si="259"/>
        <v>0</v>
      </c>
      <c r="DR624" s="58">
        <f t="array" ref="DR624">SUM(IF(DO624:DP624&gt;=DO624, 1))</f>
        <v>2</v>
      </c>
      <c r="DS624" s="58">
        <f t="array" ref="DS624">SUM(IF(DO624:DP624&gt;=DP624, 1))</f>
        <v>1</v>
      </c>
      <c r="DU624" s="109">
        <f t="shared" si="260"/>
        <v>-47587130.141391098</v>
      </c>
      <c r="DV624" s="109">
        <f t="shared" si="261"/>
        <v>0</v>
      </c>
      <c r="DX624" s="58">
        <f t="array" ref="DX624">SUM(IF(DU624:DV624&gt;=DU624, 1))</f>
        <v>2</v>
      </c>
      <c r="DY624" s="58">
        <f t="array" ref="DY624">SUM(IF(DU624:DV624&gt;=DV624, 1))</f>
        <v>1</v>
      </c>
      <c r="EA624" s="109">
        <f t="shared" si="262"/>
        <v>-161474896.73509136</v>
      </c>
      <c r="EB624" s="109">
        <f t="shared" si="263"/>
        <v>0</v>
      </c>
      <c r="ED624" s="58">
        <f t="array" ref="ED624">SUM(IF(EA624:EB624&gt;=EA624, 1))</f>
        <v>2</v>
      </c>
      <c r="EE624" s="58">
        <f t="array" ref="EE624">SUM(IF(EA624:EB624&gt;=EB624, 1))</f>
        <v>1</v>
      </c>
    </row>
    <row r="625" spans="4:135" ht="12" customHeight="1" x14ac:dyDescent="0.25">
      <c r="D625" s="11">
        <v>609</v>
      </c>
      <c r="E625" s="72">
        <v>259.83900948878022</v>
      </c>
      <c r="F625" s="72">
        <v>246.68668030976144</v>
      </c>
      <c r="G625" s="73"/>
      <c r="H625" s="74">
        <v>5.9161921201005727</v>
      </c>
      <c r="I625" s="74">
        <v>5.9329647808115711</v>
      </c>
      <c r="J625" s="73"/>
      <c r="K625" s="72">
        <v>279.59525882123984</v>
      </c>
      <c r="L625" s="72">
        <v>266.10246408486023</v>
      </c>
      <c r="M625" s="73"/>
      <c r="N625" s="74">
        <v>6.6963790951401432</v>
      </c>
      <c r="O625" s="74">
        <v>6.710869753808554</v>
      </c>
      <c r="P625" s="73"/>
      <c r="Q625" s="72">
        <v>3220.4298341695726</v>
      </c>
      <c r="R625" s="72">
        <v>1990.1771064879665</v>
      </c>
      <c r="S625" s="73"/>
      <c r="T625" s="74">
        <v>4.7968954738818272</v>
      </c>
      <c r="U625" s="74">
        <v>4.8788656119398182</v>
      </c>
      <c r="V625" s="73"/>
      <c r="W625" s="72">
        <v>10551.751206267674</v>
      </c>
      <c r="X625" s="72">
        <v>10576.680260580566</v>
      </c>
      <c r="Y625" s="73"/>
      <c r="Z625" s="74">
        <v>3.0884251070240887</v>
      </c>
      <c r="AA625" s="74">
        <v>3.1437919748204006</v>
      </c>
      <c r="AB625" s="73"/>
      <c r="AC625" s="72">
        <v>51070.446279771262</v>
      </c>
      <c r="AD625" s="72">
        <v>50941.473771518242</v>
      </c>
      <c r="AE625" s="73"/>
      <c r="AF625" s="74">
        <v>4.7104487011156948</v>
      </c>
      <c r="AG625" s="74">
        <v>4.7765755516222121</v>
      </c>
      <c r="AH625" s="73"/>
      <c r="AI625" s="72">
        <v>1395717.5697919868</v>
      </c>
      <c r="AJ625" s="72">
        <v>0</v>
      </c>
      <c r="AK625" s="73"/>
      <c r="AL625" s="74">
        <v>-1779.9050592380825</v>
      </c>
      <c r="AM625" s="74">
        <v>0</v>
      </c>
      <c r="AN625" s="73"/>
      <c r="AO625" s="72">
        <v>91834.041287209548</v>
      </c>
      <c r="AP625" s="72">
        <v>0</v>
      </c>
      <c r="AQ625" s="73"/>
      <c r="AR625" s="74">
        <v>-98.625657058706821</v>
      </c>
      <c r="AS625" s="74">
        <v>0</v>
      </c>
      <c r="AT625" s="73"/>
      <c r="AU625" s="72">
        <v>28504044.836416014</v>
      </c>
      <c r="AV625" s="72">
        <v>0</v>
      </c>
      <c r="AW625" s="73"/>
      <c r="AX625" s="74">
        <v>-1899.1874091230411</v>
      </c>
      <c r="AY625" s="74">
        <v>0</v>
      </c>
      <c r="AZ625" s="73"/>
      <c r="BA625" s="72">
        <v>-228536.28902669958</v>
      </c>
      <c r="BB625" s="72">
        <v>0</v>
      </c>
      <c r="BC625" s="73"/>
      <c r="BD625" s="74">
        <v>-507.5739473461478</v>
      </c>
      <c r="BE625" s="74">
        <v>0</v>
      </c>
      <c r="BF625" s="73"/>
      <c r="BG625" s="72">
        <v>2018218.2012582361</v>
      </c>
      <c r="BH625" s="72">
        <v>0</v>
      </c>
      <c r="BI625" s="73"/>
      <c r="BJ625" s="74">
        <v>-1034.7818701200636</v>
      </c>
      <c r="BK625" s="74">
        <v>0</v>
      </c>
      <c r="BL625" s="73"/>
      <c r="BM625" s="72">
        <v>31781278.359726746</v>
      </c>
      <c r="BN625" s="72">
        <v>0</v>
      </c>
      <c r="BO625" s="73"/>
      <c r="BP625" s="74">
        <v>-5320.0739428860416</v>
      </c>
      <c r="BQ625" s="74">
        <v>0</v>
      </c>
      <c r="BS625" s="109">
        <f t="shared" si="243"/>
        <v>118064.00339252266</v>
      </c>
      <c r="BT625" s="109">
        <f t="shared" si="244"/>
        <v>118412.60893592166</v>
      </c>
      <c r="BV625" s="58">
        <f t="array" ref="BV625">SUM(IF(BS625:BT625&gt;=BS625, 1))</f>
        <v>2</v>
      </c>
      <c r="BW625" s="58">
        <f t="array" ref="BW625">SUM(IF(BS625:BT625&gt;=BT625, 1))</f>
        <v>1</v>
      </c>
      <c r="BY625" s="109">
        <f t="shared" si="245"/>
        <v>133647.98664398163</v>
      </c>
      <c r="BZ625" s="109">
        <f t="shared" si="246"/>
        <v>133951.29261208622</v>
      </c>
      <c r="CB625" s="58">
        <f t="array" ref="CB625">SUM(IF(BY625:BZ625&gt;=BY625, 1))</f>
        <v>2</v>
      </c>
      <c r="CC625" s="58">
        <f t="array" ref="CC625">SUM(IF(BY625:BZ625&gt;=BZ625, 1))</f>
        <v>1</v>
      </c>
      <c r="CE625" s="109">
        <f t="shared" si="247"/>
        <v>92717.47964346697</v>
      </c>
      <c r="CF625" s="109">
        <f t="shared" si="248"/>
        <v>95587.135132308395</v>
      </c>
      <c r="CH625" s="58">
        <f t="array" ref="CH625">SUM(IF(CE625:CF625&gt;=CE625, 1))</f>
        <v>2</v>
      </c>
      <c r="CI625" s="58">
        <f t="array" ref="CI625">SUM(IF(CE625:CF625&gt;=CF625, 1))</f>
        <v>1</v>
      </c>
      <c r="CK625" s="109">
        <f t="shared" si="249"/>
        <v>51216.750934214098</v>
      </c>
      <c r="CL625" s="109">
        <f t="shared" si="250"/>
        <v>52299.15923582745</v>
      </c>
      <c r="CN625" s="58">
        <f t="array" ref="CN625">SUM(IF(CK625:CL625&gt;=CK625, 1))</f>
        <v>2</v>
      </c>
      <c r="CO625" s="58">
        <f t="array" ref="CO625">SUM(IF(CK625:CL625&gt;=CL625, 1))</f>
        <v>1</v>
      </c>
      <c r="CQ625" s="109" cm="1">
        <f t="array" ref="CQ625">AF625*WTP-AC625</f>
        <v>43138.527742542632</v>
      </c>
      <c r="CR625" s="109">
        <f t="shared" si="251"/>
        <v>44590.037260925994</v>
      </c>
      <c r="CT625" s="58">
        <f t="array" ref="CT625">SUM(IF(CQ625:CR625&gt;=CQ625, 1))</f>
        <v>2</v>
      </c>
      <c r="CU625" s="58">
        <f t="array" ref="CU625">SUM(IF(CQ625:CR625&gt;=CR625, 1))</f>
        <v>1</v>
      </c>
      <c r="CW625" s="109">
        <f t="shared" si="252"/>
        <v>-36993818.754553638</v>
      </c>
      <c r="CX625" s="109">
        <f t="shared" si="253"/>
        <v>0</v>
      </c>
      <c r="CZ625" s="58">
        <f t="array" ref="CZ625">SUM(IF(CW625:CX625&gt;=CW625, 1))</f>
        <v>2</v>
      </c>
      <c r="DA625" s="58">
        <f t="array" ref="DA625">SUM(IF(CW625:CX625&gt;=CX625, 1))</f>
        <v>1</v>
      </c>
      <c r="DC625" s="109">
        <f t="shared" si="254"/>
        <v>-2064347.182461346</v>
      </c>
      <c r="DD625" s="109">
        <f t="shared" si="255"/>
        <v>0</v>
      </c>
      <c r="DF625" s="58">
        <f t="array" ref="DF625">SUM(IF(DC625:DD625&gt;=DC625, 1))</f>
        <v>2</v>
      </c>
      <c r="DG625" s="58">
        <f t="array" ref="DG625">SUM(IF(DC625:DD625&gt;=DD625, 1))</f>
        <v>1</v>
      </c>
      <c r="DI625" s="109">
        <f t="shared" si="256"/>
        <v>-66487793.018876836</v>
      </c>
      <c r="DJ625" s="109">
        <f t="shared" si="257"/>
        <v>0</v>
      </c>
      <c r="DL625" s="58">
        <f t="array" ref="DL625">SUM(IF(DI625:DJ625&gt;=DI625, 1))</f>
        <v>2</v>
      </c>
      <c r="DM625" s="58">
        <f t="array" ref="DM625">SUM(IF(DI625:DJ625&gt;=DJ625, 1))</f>
        <v>1</v>
      </c>
      <c r="DO625" s="109">
        <f t="shared" si="258"/>
        <v>-9922942.6578962561</v>
      </c>
      <c r="DP625" s="109">
        <f t="shared" si="259"/>
        <v>0</v>
      </c>
      <c r="DR625" s="58">
        <f t="array" ref="DR625">SUM(IF(DO625:DP625&gt;=DO625, 1))</f>
        <v>2</v>
      </c>
      <c r="DS625" s="58">
        <f t="array" ref="DS625">SUM(IF(DO625:DP625&gt;=DP625, 1))</f>
        <v>1</v>
      </c>
      <c r="DU625" s="109">
        <f t="shared" si="260"/>
        <v>-22713855.603659507</v>
      </c>
      <c r="DV625" s="109">
        <f t="shared" si="261"/>
        <v>0</v>
      </c>
      <c r="DX625" s="58">
        <f t="array" ref="DX625">SUM(IF(DU625:DV625&gt;=DU625, 1))</f>
        <v>2</v>
      </c>
      <c r="DY625" s="58">
        <f t="array" ref="DY625">SUM(IF(DU625:DV625&gt;=DV625, 1))</f>
        <v>1</v>
      </c>
      <c r="EA625" s="109">
        <f t="shared" si="262"/>
        <v>-138182757.21744758</v>
      </c>
      <c r="EB625" s="109">
        <f t="shared" si="263"/>
        <v>0</v>
      </c>
      <c r="ED625" s="58">
        <f t="array" ref="ED625">SUM(IF(EA625:EB625&gt;=EA625, 1))</f>
        <v>2</v>
      </c>
      <c r="EE625" s="58">
        <f t="array" ref="EE625">SUM(IF(EA625:EB625&gt;=EB625, 1))</f>
        <v>1</v>
      </c>
    </row>
    <row r="626" spans="4:135" ht="12" customHeight="1" x14ac:dyDescent="0.25">
      <c r="D626" s="11">
        <v>610</v>
      </c>
      <c r="E626" s="72">
        <v>251.96366367457563</v>
      </c>
      <c r="F626" s="72">
        <v>246.21213456116675</v>
      </c>
      <c r="G626" s="73"/>
      <c r="H626" s="74">
        <v>5.7888243226766365</v>
      </c>
      <c r="I626" s="74">
        <v>5.8044155049386879</v>
      </c>
      <c r="J626" s="73"/>
      <c r="K626" s="72">
        <v>271.53949399851865</v>
      </c>
      <c r="L626" s="72">
        <v>265.59747535011201</v>
      </c>
      <c r="M626" s="73"/>
      <c r="N626" s="74">
        <v>6.7312084471382354</v>
      </c>
      <c r="O626" s="74">
        <v>6.7444669618258004</v>
      </c>
      <c r="P626" s="73"/>
      <c r="Q626" s="72">
        <v>5319.9091964392492</v>
      </c>
      <c r="R626" s="72">
        <v>1988.0372937408795</v>
      </c>
      <c r="S626" s="73"/>
      <c r="T626" s="74">
        <v>4.7119913253204215</v>
      </c>
      <c r="U626" s="74">
        <v>4.8846454931376471</v>
      </c>
      <c r="V626" s="73"/>
      <c r="W626" s="72">
        <v>11998.783171256326</v>
      </c>
      <c r="X626" s="72">
        <v>11995.683792219887</v>
      </c>
      <c r="Y626" s="73"/>
      <c r="Z626" s="74">
        <v>3.0752793043760835</v>
      </c>
      <c r="AA626" s="74">
        <v>3.126212416932185</v>
      </c>
      <c r="AB626" s="73"/>
      <c r="AC626" s="72">
        <v>48434.977292954987</v>
      </c>
      <c r="AD626" s="72">
        <v>48534.988586036357</v>
      </c>
      <c r="AE626" s="73"/>
      <c r="AF626" s="74">
        <v>4.5448116608170519</v>
      </c>
      <c r="AG626" s="74">
        <v>4.6748694633629517</v>
      </c>
      <c r="AH626" s="73"/>
      <c r="AI626" s="72">
        <v>618420.59189804702</v>
      </c>
      <c r="AJ626" s="72">
        <v>0</v>
      </c>
      <c r="AK626" s="73"/>
      <c r="AL626" s="74">
        <v>-1676.4077817861319</v>
      </c>
      <c r="AM626" s="74">
        <v>0</v>
      </c>
      <c r="AN626" s="73"/>
      <c r="AO626" s="72">
        <v>41291.291155753861</v>
      </c>
      <c r="AP626" s="72">
        <v>0</v>
      </c>
      <c r="AQ626" s="73"/>
      <c r="AR626" s="74">
        <v>-92.133872788145396</v>
      </c>
      <c r="AS626" s="74">
        <v>0</v>
      </c>
      <c r="AT626" s="73"/>
      <c r="AU626" s="72">
        <v>74698069.755564585</v>
      </c>
      <c r="AV626" s="72">
        <v>0</v>
      </c>
      <c r="AW626" s="73"/>
      <c r="AX626" s="74">
        <v>-3870.7769829792314</v>
      </c>
      <c r="AY626" s="74">
        <v>0</v>
      </c>
      <c r="AZ626" s="73"/>
      <c r="BA626" s="72">
        <v>27977.965769678751</v>
      </c>
      <c r="BB626" s="72">
        <v>0</v>
      </c>
      <c r="BC626" s="73"/>
      <c r="BD626" s="74">
        <v>-459.77109055850929</v>
      </c>
      <c r="BE626" s="74">
        <v>0</v>
      </c>
      <c r="BF626" s="73"/>
      <c r="BG626" s="72">
        <v>-1609375.9883740558</v>
      </c>
      <c r="BH626" s="72">
        <v>0</v>
      </c>
      <c r="BI626" s="73"/>
      <c r="BJ626" s="74">
        <v>-2092.8826942350097</v>
      </c>
      <c r="BK626" s="74">
        <v>0</v>
      </c>
      <c r="BL626" s="73"/>
      <c r="BM626" s="72">
        <v>73776383.616014004</v>
      </c>
      <c r="BN626" s="72">
        <v>0</v>
      </c>
      <c r="BO626" s="73"/>
      <c r="BP626" s="74">
        <v>-8191.9724223470275</v>
      </c>
      <c r="BQ626" s="74">
        <v>0</v>
      </c>
      <c r="BS626" s="109">
        <f t="shared" si="243"/>
        <v>115524.52278985817</v>
      </c>
      <c r="BT626" s="109">
        <f t="shared" si="244"/>
        <v>115842.09796421259</v>
      </c>
      <c r="BV626" s="58">
        <f t="array" ref="BV626">SUM(IF(BS626:BT626&gt;=BS626, 1))</f>
        <v>2</v>
      </c>
      <c r="BW626" s="58">
        <f t="array" ref="BW626">SUM(IF(BS626:BT626&gt;=BT626, 1))</f>
        <v>1</v>
      </c>
      <c r="BY626" s="109">
        <f t="shared" si="245"/>
        <v>134352.62944876621</v>
      </c>
      <c r="BZ626" s="109">
        <f t="shared" si="246"/>
        <v>134623.7417611659</v>
      </c>
      <c r="CB626" s="58">
        <f t="array" ref="CB626">SUM(IF(BY626:BZ626&gt;=BY626, 1))</f>
        <v>2</v>
      </c>
      <c r="CC626" s="58">
        <f t="array" ref="CC626">SUM(IF(BY626:BZ626&gt;=BZ626, 1))</f>
        <v>1</v>
      </c>
      <c r="CE626" s="109">
        <f t="shared" si="247"/>
        <v>88919.917309969183</v>
      </c>
      <c r="CF626" s="109">
        <f t="shared" si="248"/>
        <v>95704.872569012063</v>
      </c>
      <c r="CH626" s="58">
        <f t="array" ref="CH626">SUM(IF(CE626:CF626&gt;=CE626, 1))</f>
        <v>2</v>
      </c>
      <c r="CI626" s="58">
        <f t="array" ref="CI626">SUM(IF(CE626:CF626&gt;=CF626, 1))</f>
        <v>1</v>
      </c>
      <c r="CK626" s="109">
        <f t="shared" si="249"/>
        <v>49506.80291626534</v>
      </c>
      <c r="CL626" s="109">
        <f t="shared" si="250"/>
        <v>50528.564546423819</v>
      </c>
      <c r="CN626" s="58">
        <f t="array" ref="CN626">SUM(IF(CK626:CL626&gt;=CK626, 1))</f>
        <v>2</v>
      </c>
      <c r="CO626" s="58">
        <f t="array" ref="CO626">SUM(IF(CK626:CL626&gt;=CL626, 1))</f>
        <v>1</v>
      </c>
      <c r="CQ626" s="109" cm="1">
        <f t="array" ref="CQ626">AF626*WTP-AC626</f>
        <v>42461.255923386045</v>
      </c>
      <c r="CR626" s="109">
        <f t="shared" si="251"/>
        <v>44962.400681222673</v>
      </c>
      <c r="CT626" s="58">
        <f t="array" ref="CT626">SUM(IF(CQ626:CR626&gt;=CQ626, 1))</f>
        <v>2</v>
      </c>
      <c r="CU626" s="58">
        <f t="array" ref="CU626">SUM(IF(CQ626:CR626&gt;=CR626, 1))</f>
        <v>1</v>
      </c>
      <c r="CW626" s="109">
        <f t="shared" si="252"/>
        <v>-34146576.227620684</v>
      </c>
      <c r="CX626" s="109">
        <f t="shared" si="253"/>
        <v>0</v>
      </c>
      <c r="CZ626" s="58">
        <f t="array" ref="CZ626">SUM(IF(CW626:CX626&gt;=CW626, 1))</f>
        <v>2</v>
      </c>
      <c r="DA626" s="58">
        <f t="array" ref="DA626">SUM(IF(CW626:CX626&gt;=CX626, 1))</f>
        <v>1</v>
      </c>
      <c r="DC626" s="109">
        <f t="shared" si="254"/>
        <v>-1883968.7469186618</v>
      </c>
      <c r="DD626" s="109">
        <f t="shared" si="255"/>
        <v>0</v>
      </c>
      <c r="DF626" s="58">
        <f t="array" ref="DF626">SUM(IF(DC626:DD626&gt;=DC626, 1))</f>
        <v>2</v>
      </c>
      <c r="DG626" s="58">
        <f t="array" ref="DG626">SUM(IF(DC626:DD626&gt;=DD626, 1))</f>
        <v>1</v>
      </c>
      <c r="DI626" s="109">
        <f t="shared" si="256"/>
        <v>-152113609.41514921</v>
      </c>
      <c r="DJ626" s="109">
        <f t="shared" si="257"/>
        <v>0</v>
      </c>
      <c r="DL626" s="58">
        <f t="array" ref="DL626">SUM(IF(DI626:DJ626&gt;=DI626, 1))</f>
        <v>2</v>
      </c>
      <c r="DM626" s="58">
        <f t="array" ref="DM626">SUM(IF(DI626:DJ626&gt;=DJ626, 1))</f>
        <v>1</v>
      </c>
      <c r="DO626" s="109">
        <f t="shared" si="258"/>
        <v>-9223399.7769398633</v>
      </c>
      <c r="DP626" s="109">
        <f t="shared" si="259"/>
        <v>0</v>
      </c>
      <c r="DR626" s="58">
        <f t="array" ref="DR626">SUM(IF(DO626:DP626&gt;=DO626, 1))</f>
        <v>2</v>
      </c>
      <c r="DS626" s="58">
        <f t="array" ref="DS626">SUM(IF(DO626:DP626&gt;=DP626, 1))</f>
        <v>1</v>
      </c>
      <c r="DU626" s="109">
        <f t="shared" si="260"/>
        <v>-40248277.89632614</v>
      </c>
      <c r="DV626" s="109">
        <f t="shared" si="261"/>
        <v>0</v>
      </c>
      <c r="DX626" s="58">
        <f t="array" ref="DX626">SUM(IF(DU626:DV626&gt;=DU626, 1))</f>
        <v>2</v>
      </c>
      <c r="DY626" s="58">
        <f t="array" ref="DY626">SUM(IF(DU626:DV626&gt;=DV626, 1))</f>
        <v>1</v>
      </c>
      <c r="EA626" s="109">
        <f t="shared" si="262"/>
        <v>-237615832.06295455</v>
      </c>
      <c r="EB626" s="109">
        <f t="shared" si="263"/>
        <v>0</v>
      </c>
      <c r="ED626" s="58">
        <f t="array" ref="ED626">SUM(IF(EA626:EB626&gt;=EA626, 1))</f>
        <v>2</v>
      </c>
      <c r="EE626" s="58">
        <f t="array" ref="EE626">SUM(IF(EA626:EB626&gt;=EB626, 1))</f>
        <v>1</v>
      </c>
    </row>
    <row r="627" spans="4:135" ht="12" customHeight="1" x14ac:dyDescent="0.25">
      <c r="D627" s="11">
        <v>611</v>
      </c>
      <c r="E627" s="72">
        <v>257.46593383157182</v>
      </c>
      <c r="F627" s="72">
        <v>237.443737555486</v>
      </c>
      <c r="G627" s="73"/>
      <c r="H627" s="74">
        <v>5.9275699610759753</v>
      </c>
      <c r="I627" s="74">
        <v>5.9422763710706512</v>
      </c>
      <c r="J627" s="73"/>
      <c r="K627" s="72">
        <v>276.57925744966258</v>
      </c>
      <c r="L627" s="72">
        <v>256.08093569272864</v>
      </c>
      <c r="M627" s="73"/>
      <c r="N627" s="74">
        <v>6.6887870596742243</v>
      </c>
      <c r="O627" s="74">
        <v>6.7013297760202768</v>
      </c>
      <c r="P627" s="73"/>
      <c r="Q627" s="72">
        <v>2027.4234328440646</v>
      </c>
      <c r="R627" s="72">
        <v>1207.3579723954683</v>
      </c>
      <c r="S627" s="73"/>
      <c r="T627" s="74">
        <v>4.8151017588769616</v>
      </c>
      <c r="U627" s="74">
        <v>4.8986776239988394</v>
      </c>
      <c r="V627" s="73"/>
      <c r="W627" s="72">
        <v>11774.986829671238</v>
      </c>
      <c r="X627" s="72">
        <v>11782.36615316783</v>
      </c>
      <c r="Y627" s="73"/>
      <c r="Z627" s="74">
        <v>2.8201901645981322</v>
      </c>
      <c r="AA627" s="74">
        <v>2.8720210733086295</v>
      </c>
      <c r="AB627" s="73"/>
      <c r="AC627" s="72">
        <v>50538.503288342588</v>
      </c>
      <c r="AD627" s="72">
        <v>50054.715056433583</v>
      </c>
      <c r="AE627" s="73"/>
      <c r="AF627" s="74">
        <v>4.8218100550442502</v>
      </c>
      <c r="AG627" s="74">
        <v>4.9459442476654756</v>
      </c>
      <c r="AH627" s="73"/>
      <c r="AI627" s="72">
        <v>2186608.168295885</v>
      </c>
      <c r="AJ627" s="72">
        <v>0</v>
      </c>
      <c r="AK627" s="73"/>
      <c r="AL627" s="74">
        <v>-1606.0753664209394</v>
      </c>
      <c r="AM627" s="74">
        <v>0</v>
      </c>
      <c r="AN627" s="73"/>
      <c r="AO627" s="72">
        <v>137322.03172000989</v>
      </c>
      <c r="AP627" s="72">
        <v>0</v>
      </c>
      <c r="AQ627" s="73"/>
      <c r="AR627" s="74">
        <v>-84.025966240142651</v>
      </c>
      <c r="AS627" s="74">
        <v>0</v>
      </c>
      <c r="AT627" s="73"/>
      <c r="AU627" s="72">
        <v>18488943.846177131</v>
      </c>
      <c r="AV627" s="72">
        <v>0</v>
      </c>
      <c r="AW627" s="73"/>
      <c r="AX627" s="74">
        <v>-1884.2757702400911</v>
      </c>
      <c r="AY627" s="74">
        <v>0</v>
      </c>
      <c r="AZ627" s="73"/>
      <c r="BA627" s="72">
        <v>-65771.054193591786</v>
      </c>
      <c r="BB627" s="72">
        <v>0</v>
      </c>
      <c r="BC627" s="73"/>
      <c r="BD627" s="74">
        <v>-461.96287603808275</v>
      </c>
      <c r="BE627" s="74">
        <v>0</v>
      </c>
      <c r="BF627" s="73"/>
      <c r="BG627" s="72">
        <v>7578167.3733061031</v>
      </c>
      <c r="BH627" s="72">
        <v>0</v>
      </c>
      <c r="BI627" s="73"/>
      <c r="BJ627" s="74">
        <v>-1944.4658352309825</v>
      </c>
      <c r="BK627" s="74">
        <v>0</v>
      </c>
      <c r="BL627" s="73"/>
      <c r="BM627" s="72">
        <v>28325270.365305535</v>
      </c>
      <c r="BN627" s="72">
        <v>0</v>
      </c>
      <c r="BO627" s="73"/>
      <c r="BP627" s="74">
        <v>-5980.8058141702386</v>
      </c>
      <c r="BQ627" s="74">
        <v>0</v>
      </c>
      <c r="BS627" s="109">
        <f t="shared" si="243"/>
        <v>118293.93328768793</v>
      </c>
      <c r="BT627" s="109">
        <f t="shared" si="244"/>
        <v>118608.08368385753</v>
      </c>
      <c r="BV627" s="58">
        <f t="array" ref="BV627">SUM(IF(BS627:BT627&gt;=BS627, 1))</f>
        <v>2</v>
      </c>
      <c r="BW627" s="58">
        <f t="array" ref="BW627">SUM(IF(BS627:BT627&gt;=BT627, 1))</f>
        <v>1</v>
      </c>
      <c r="BY627" s="109">
        <f t="shared" si="245"/>
        <v>133499.16193603483</v>
      </c>
      <c r="BZ627" s="109">
        <f t="shared" si="246"/>
        <v>133770.5145847128</v>
      </c>
      <c r="CB627" s="58">
        <f t="array" ref="CB627">SUM(IF(BY627:BZ627&gt;=BY627, 1))</f>
        <v>2</v>
      </c>
      <c r="CC627" s="58">
        <f t="array" ref="CC627">SUM(IF(BY627:BZ627&gt;=BZ627, 1))</f>
        <v>1</v>
      </c>
      <c r="CE627" s="109">
        <f t="shared" si="247"/>
        <v>94274.611744695168</v>
      </c>
      <c r="CF627" s="109">
        <f t="shared" si="248"/>
        <v>96766.194507581313</v>
      </c>
      <c r="CH627" s="58">
        <f t="array" ref="CH627">SUM(IF(CE627:CF627&gt;=CE627, 1))</f>
        <v>2</v>
      </c>
      <c r="CI627" s="58">
        <f t="array" ref="CI627">SUM(IF(CE627:CF627&gt;=CF627, 1))</f>
        <v>1</v>
      </c>
      <c r="CK627" s="109">
        <f t="shared" si="249"/>
        <v>44628.816462291405</v>
      </c>
      <c r="CL627" s="109">
        <f t="shared" si="250"/>
        <v>45658.055313004763</v>
      </c>
      <c r="CN627" s="58">
        <f t="array" ref="CN627">SUM(IF(CK627:CL627&gt;=CK627, 1))</f>
        <v>2</v>
      </c>
      <c r="CO627" s="58">
        <f t="array" ref="CO627">SUM(IF(CK627:CL627&gt;=CL627, 1))</f>
        <v>1</v>
      </c>
      <c r="CQ627" s="109" cm="1">
        <f t="array" ref="CQ627">AF627*WTP-AC627</f>
        <v>45897.697812542421</v>
      </c>
      <c r="CR627" s="109">
        <f t="shared" si="251"/>
        <v>48864.169896875923</v>
      </c>
      <c r="CT627" s="58">
        <f t="array" ref="CT627">SUM(IF(CQ627:CR627&gt;=CQ627, 1))</f>
        <v>2</v>
      </c>
      <c r="CU627" s="58">
        <f t="array" ref="CU627">SUM(IF(CQ627:CR627&gt;=CR627, 1))</f>
        <v>1</v>
      </c>
      <c r="CW627" s="109">
        <f t="shared" si="252"/>
        <v>-34308115.496714674</v>
      </c>
      <c r="CX627" s="109">
        <f t="shared" si="253"/>
        <v>0</v>
      </c>
      <c r="CZ627" s="58">
        <f t="array" ref="CZ627">SUM(IF(CW627:CX627&gt;=CW627, 1))</f>
        <v>2</v>
      </c>
      <c r="DA627" s="58">
        <f t="array" ref="DA627">SUM(IF(CW627:CX627&gt;=CX627, 1))</f>
        <v>1</v>
      </c>
      <c r="DC627" s="109">
        <f t="shared" si="254"/>
        <v>-1817841.3565228628</v>
      </c>
      <c r="DD627" s="109">
        <f t="shared" si="255"/>
        <v>0</v>
      </c>
      <c r="DF627" s="58">
        <f t="array" ref="DF627">SUM(IF(DC627:DD627&gt;=DC627, 1))</f>
        <v>2</v>
      </c>
      <c r="DG627" s="58">
        <f t="array" ref="DG627">SUM(IF(DC627:DD627&gt;=DD627, 1))</f>
        <v>1</v>
      </c>
      <c r="DI627" s="109">
        <f t="shared" si="256"/>
        <v>-56174459.250978954</v>
      </c>
      <c r="DJ627" s="109">
        <f t="shared" si="257"/>
        <v>0</v>
      </c>
      <c r="DL627" s="58">
        <f t="array" ref="DL627">SUM(IF(DI627:DJ627&gt;=DI627, 1))</f>
        <v>2</v>
      </c>
      <c r="DM627" s="58">
        <f t="array" ref="DM627">SUM(IF(DI627:DJ627&gt;=DJ627, 1))</f>
        <v>1</v>
      </c>
      <c r="DO627" s="109">
        <f t="shared" si="258"/>
        <v>-9173486.4665680639</v>
      </c>
      <c r="DP627" s="109">
        <f t="shared" si="259"/>
        <v>0</v>
      </c>
      <c r="DR627" s="58">
        <f t="array" ref="DR627">SUM(IF(DO627:DP627&gt;=DO627, 1))</f>
        <v>2</v>
      </c>
      <c r="DS627" s="58">
        <f t="array" ref="DS627">SUM(IF(DO627:DP627&gt;=DP627, 1))</f>
        <v>1</v>
      </c>
      <c r="DU627" s="109">
        <f t="shared" si="260"/>
        <v>-46467484.077925757</v>
      </c>
      <c r="DV627" s="109">
        <f t="shared" si="261"/>
        <v>0</v>
      </c>
      <c r="DX627" s="58">
        <f t="array" ref="DX627">SUM(IF(DU627:DV627&gt;=DU627, 1))</f>
        <v>2</v>
      </c>
      <c r="DY627" s="58">
        <f t="array" ref="DY627">SUM(IF(DU627:DV627&gt;=DV627, 1))</f>
        <v>1</v>
      </c>
      <c r="EA627" s="109">
        <f t="shared" si="262"/>
        <v>-147941386.64871031</v>
      </c>
      <c r="EB627" s="109">
        <f t="shared" si="263"/>
        <v>0</v>
      </c>
      <c r="ED627" s="58">
        <f t="array" ref="ED627">SUM(IF(EA627:EB627&gt;=EA627, 1))</f>
        <v>2</v>
      </c>
      <c r="EE627" s="58">
        <f t="array" ref="EE627">SUM(IF(EA627:EB627&gt;=EB627, 1))</f>
        <v>1</v>
      </c>
    </row>
    <row r="628" spans="4:135" ht="12" customHeight="1" x14ac:dyDescent="0.25">
      <c r="D628" s="11">
        <v>612</v>
      </c>
      <c r="E628" s="72">
        <v>280.01686332904256</v>
      </c>
      <c r="F628" s="72">
        <v>258.21735844215027</v>
      </c>
      <c r="G628" s="73"/>
      <c r="H628" s="74">
        <v>5.8484952694781471</v>
      </c>
      <c r="I628" s="74">
        <v>5.8633849906249162</v>
      </c>
      <c r="J628" s="73"/>
      <c r="K628" s="72">
        <v>300.65622465142445</v>
      </c>
      <c r="L628" s="72">
        <v>278.3069656331611</v>
      </c>
      <c r="M628" s="73"/>
      <c r="N628" s="74">
        <v>6.7446660540507324</v>
      </c>
      <c r="O628" s="74">
        <v>6.7573491028819079</v>
      </c>
      <c r="P628" s="73"/>
      <c r="Q628" s="72">
        <v>2992.4359356244317</v>
      </c>
      <c r="R628" s="72">
        <v>1756.632396998119</v>
      </c>
      <c r="S628" s="73"/>
      <c r="T628" s="74">
        <v>4.7592851982045108</v>
      </c>
      <c r="U628" s="74">
        <v>4.8393971886987739</v>
      </c>
      <c r="V628" s="73"/>
      <c r="W628" s="72">
        <v>12844.386122357851</v>
      </c>
      <c r="X628" s="72">
        <v>12822.17202999744</v>
      </c>
      <c r="Y628" s="73"/>
      <c r="Z628" s="74">
        <v>3.0323004099923092</v>
      </c>
      <c r="AA628" s="74">
        <v>3.0775081939293396</v>
      </c>
      <c r="AB628" s="73"/>
      <c r="AC628" s="72">
        <v>49396.877201358875</v>
      </c>
      <c r="AD628" s="72">
        <v>49399.688164370345</v>
      </c>
      <c r="AE628" s="73"/>
      <c r="AF628" s="74">
        <v>4.3166313183905487</v>
      </c>
      <c r="AG628" s="74">
        <v>4.3790111503915456</v>
      </c>
      <c r="AH628" s="73"/>
      <c r="AI628" s="72">
        <v>2344578.9851019061</v>
      </c>
      <c r="AJ628" s="72">
        <v>0</v>
      </c>
      <c r="AK628" s="73"/>
      <c r="AL628" s="74">
        <v>-1601.418356787234</v>
      </c>
      <c r="AM628" s="74">
        <v>0</v>
      </c>
      <c r="AN628" s="73"/>
      <c r="AO628" s="72">
        <v>159146.69425024418</v>
      </c>
      <c r="AP628" s="72">
        <v>0</v>
      </c>
      <c r="AQ628" s="73"/>
      <c r="AR628" s="74">
        <v>-90.314640536698036</v>
      </c>
      <c r="AS628" s="74">
        <v>0</v>
      </c>
      <c r="AT628" s="73"/>
      <c r="AU628" s="72">
        <v>29483939.165920809</v>
      </c>
      <c r="AV628" s="72">
        <v>0</v>
      </c>
      <c r="AW628" s="73"/>
      <c r="AX628" s="74">
        <v>-1911.3208373065806</v>
      </c>
      <c r="AY628" s="74">
        <v>0</v>
      </c>
      <c r="AZ628" s="73"/>
      <c r="BA628" s="72">
        <v>193151.87191103748</v>
      </c>
      <c r="BB628" s="72">
        <v>0</v>
      </c>
      <c r="BC628" s="73"/>
      <c r="BD628" s="74">
        <v>-393.08237089843283</v>
      </c>
      <c r="BE628" s="74">
        <v>0</v>
      </c>
      <c r="BF628" s="73"/>
      <c r="BG628" s="72">
        <v>-44144.102361961901</v>
      </c>
      <c r="BH628" s="72">
        <v>0</v>
      </c>
      <c r="BI628" s="73"/>
      <c r="BJ628" s="74">
        <v>-979.62928645350667</v>
      </c>
      <c r="BK628" s="74">
        <v>0</v>
      </c>
      <c r="BL628" s="73"/>
      <c r="BM628" s="72">
        <v>32136672.614822034</v>
      </c>
      <c r="BN628" s="72">
        <v>0</v>
      </c>
      <c r="BO628" s="73"/>
      <c r="BP628" s="74">
        <v>-4975.7654919824527</v>
      </c>
      <c r="BQ628" s="74">
        <v>0</v>
      </c>
      <c r="BS628" s="109">
        <f t="shared" si="243"/>
        <v>116689.8885262339</v>
      </c>
      <c r="BT628" s="109">
        <f t="shared" si="244"/>
        <v>117009.48245405617</v>
      </c>
      <c r="BV628" s="58">
        <f t="array" ref="BV628">SUM(IF(BS628:BT628&gt;=BS628, 1))</f>
        <v>2</v>
      </c>
      <c r="BW628" s="58">
        <f t="array" ref="BW628">SUM(IF(BS628:BT628&gt;=BT628, 1))</f>
        <v>1</v>
      </c>
      <c r="BY628" s="109">
        <f t="shared" si="245"/>
        <v>134592.6648563632</v>
      </c>
      <c r="BZ628" s="109">
        <f t="shared" si="246"/>
        <v>134868.675092005</v>
      </c>
      <c r="CB628" s="58">
        <f t="array" ref="CB628">SUM(IF(BY628:BZ628&gt;=BY628, 1))</f>
        <v>2</v>
      </c>
      <c r="CC628" s="58">
        <f t="array" ref="CC628">SUM(IF(BY628:BZ628&gt;=BZ628, 1))</f>
        <v>1</v>
      </c>
      <c r="CE628" s="109">
        <f t="shared" si="247"/>
        <v>92193.268028465784</v>
      </c>
      <c r="CF628" s="109">
        <f t="shared" si="248"/>
        <v>95031.311376977363</v>
      </c>
      <c r="CH628" s="58">
        <f t="array" ref="CH628">SUM(IF(CE628:CF628&gt;=CE628, 1))</f>
        <v>2</v>
      </c>
      <c r="CI628" s="58">
        <f t="array" ref="CI628">SUM(IF(CE628:CF628&gt;=CF628, 1))</f>
        <v>1</v>
      </c>
      <c r="CK628" s="109">
        <f t="shared" si="249"/>
        <v>47801.622077488333</v>
      </c>
      <c r="CL628" s="109">
        <f t="shared" si="250"/>
        <v>48727.99184858935</v>
      </c>
      <c r="CN628" s="58">
        <f t="array" ref="CN628">SUM(IF(CK628:CL628&gt;=CK628, 1))</f>
        <v>2</v>
      </c>
      <c r="CO628" s="58">
        <f t="array" ref="CO628">SUM(IF(CK628:CL628&gt;=CL628, 1))</f>
        <v>1</v>
      </c>
      <c r="CQ628" s="109" cm="1">
        <f t="array" ref="CQ628">AF628*WTP-AC628</f>
        <v>36935.749166452093</v>
      </c>
      <c r="CR628" s="109">
        <f t="shared" si="251"/>
        <v>38180.534843460562</v>
      </c>
      <c r="CT628" s="58">
        <f t="array" ref="CT628">SUM(IF(CQ628:CR628&gt;=CQ628, 1))</f>
        <v>2</v>
      </c>
      <c r="CU628" s="58">
        <f t="array" ref="CU628">SUM(IF(CQ628:CR628&gt;=CR628, 1))</f>
        <v>1</v>
      </c>
      <c r="CW628" s="109">
        <f t="shared" si="252"/>
        <v>-34372946.120846584</v>
      </c>
      <c r="CX628" s="109">
        <f t="shared" si="253"/>
        <v>0</v>
      </c>
      <c r="CZ628" s="58">
        <f t="array" ref="CZ628">SUM(IF(CW628:CX628&gt;=CW628, 1))</f>
        <v>2</v>
      </c>
      <c r="DA628" s="58">
        <f t="array" ref="DA628">SUM(IF(CW628:CX628&gt;=CX628, 1))</f>
        <v>1</v>
      </c>
      <c r="DC628" s="109">
        <f t="shared" si="254"/>
        <v>-1965439.5049842049</v>
      </c>
      <c r="DD628" s="109">
        <f t="shared" si="255"/>
        <v>0</v>
      </c>
      <c r="DF628" s="58">
        <f t="array" ref="DF628">SUM(IF(DC628:DD628&gt;=DC628, 1))</f>
        <v>2</v>
      </c>
      <c r="DG628" s="58">
        <f t="array" ref="DG628">SUM(IF(DC628:DD628&gt;=DD628, 1))</f>
        <v>1</v>
      </c>
      <c r="DI628" s="109">
        <f t="shared" si="256"/>
        <v>-67710355.912052423</v>
      </c>
      <c r="DJ628" s="109">
        <f t="shared" si="257"/>
        <v>0</v>
      </c>
      <c r="DL628" s="58">
        <f t="array" ref="DL628">SUM(IF(DI628:DJ628&gt;=DI628, 1))</f>
        <v>2</v>
      </c>
      <c r="DM628" s="58">
        <f t="array" ref="DM628">SUM(IF(DI628:DJ628&gt;=DJ628, 1))</f>
        <v>1</v>
      </c>
      <c r="DO628" s="109">
        <f t="shared" si="258"/>
        <v>-8054799.2898796946</v>
      </c>
      <c r="DP628" s="109">
        <f t="shared" si="259"/>
        <v>0</v>
      </c>
      <c r="DR628" s="58">
        <f t="array" ref="DR628">SUM(IF(DO628:DP628&gt;=DO628, 1))</f>
        <v>2</v>
      </c>
      <c r="DS628" s="58">
        <f t="array" ref="DS628">SUM(IF(DO628:DP628&gt;=DP628, 1))</f>
        <v>1</v>
      </c>
      <c r="DU628" s="109">
        <f t="shared" si="260"/>
        <v>-19548441.626708172</v>
      </c>
      <c r="DV628" s="109">
        <f t="shared" si="261"/>
        <v>0</v>
      </c>
      <c r="DX628" s="58">
        <f t="array" ref="DX628">SUM(IF(DU628:DV628&gt;=DU628, 1))</f>
        <v>2</v>
      </c>
      <c r="DY628" s="58">
        <f t="array" ref="DY628">SUM(IF(DU628:DV628&gt;=DV628, 1))</f>
        <v>1</v>
      </c>
      <c r="EA628" s="109">
        <f t="shared" si="262"/>
        <v>-131651982.45447108</v>
      </c>
      <c r="EB628" s="109">
        <f t="shared" si="263"/>
        <v>0</v>
      </c>
      <c r="ED628" s="58">
        <f t="array" ref="ED628">SUM(IF(EA628:EB628&gt;=EA628, 1))</f>
        <v>2</v>
      </c>
      <c r="EE628" s="58">
        <f t="array" ref="EE628">SUM(IF(EA628:EB628&gt;=EB628, 1))</f>
        <v>1</v>
      </c>
    </row>
    <row r="629" spans="4:135" ht="12" customHeight="1" x14ac:dyDescent="0.25">
      <c r="D629" s="11">
        <v>613</v>
      </c>
      <c r="E629" s="72">
        <v>320.06865983699697</v>
      </c>
      <c r="F629" s="72">
        <v>292.22316870302973</v>
      </c>
      <c r="G629" s="73"/>
      <c r="H629" s="74">
        <v>5.8078273185589859</v>
      </c>
      <c r="I629" s="74">
        <v>5.8227136816446725</v>
      </c>
      <c r="J629" s="73"/>
      <c r="K629" s="72">
        <v>343.60512036142183</v>
      </c>
      <c r="L629" s="72">
        <v>315.05844750745138</v>
      </c>
      <c r="M629" s="73"/>
      <c r="N629" s="74">
        <v>6.646599770018871</v>
      </c>
      <c r="O629" s="74">
        <v>6.6588696930368823</v>
      </c>
      <c r="P629" s="73"/>
      <c r="Q629" s="72">
        <v>1561.3945028857433</v>
      </c>
      <c r="R629" s="72">
        <v>1230.2248068906658</v>
      </c>
      <c r="S629" s="73"/>
      <c r="T629" s="74">
        <v>4.7237561944645305</v>
      </c>
      <c r="U629" s="74">
        <v>4.7531168859021031</v>
      </c>
      <c r="V629" s="73"/>
      <c r="W629" s="72">
        <v>14342.484876933311</v>
      </c>
      <c r="X629" s="72">
        <v>14307.725584115862</v>
      </c>
      <c r="Y629" s="73"/>
      <c r="Z629" s="74">
        <v>2.9548216622114256</v>
      </c>
      <c r="AA629" s="74">
        <v>2.9908975669721998</v>
      </c>
      <c r="AB629" s="73"/>
      <c r="AC629" s="72">
        <v>49394.761773172846</v>
      </c>
      <c r="AD629" s="72">
        <v>49152.897238694182</v>
      </c>
      <c r="AE629" s="73"/>
      <c r="AF629" s="74">
        <v>4.8765675596813542</v>
      </c>
      <c r="AG629" s="74">
        <v>4.994641746740724</v>
      </c>
      <c r="AH629" s="73"/>
      <c r="AI629" s="72">
        <v>3014346.8680201937</v>
      </c>
      <c r="AJ629" s="72">
        <v>0</v>
      </c>
      <c r="AK629" s="73"/>
      <c r="AL629" s="74">
        <v>-1611.4875377009596</v>
      </c>
      <c r="AM629" s="74">
        <v>0</v>
      </c>
      <c r="AN629" s="73"/>
      <c r="AO629" s="72">
        <v>200282.17615179814</v>
      </c>
      <c r="AP629" s="72">
        <v>0</v>
      </c>
      <c r="AQ629" s="73"/>
      <c r="AR629" s="74">
        <v>-86.085229470814795</v>
      </c>
      <c r="AS629" s="74">
        <v>0</v>
      </c>
      <c r="AT629" s="73"/>
      <c r="AU629" s="72">
        <v>7685345.214713634</v>
      </c>
      <c r="AV629" s="72">
        <v>0</v>
      </c>
      <c r="AW629" s="73"/>
      <c r="AX629" s="74">
        <v>-681.36382093301802</v>
      </c>
      <c r="AY629" s="74">
        <v>0</v>
      </c>
      <c r="AZ629" s="73"/>
      <c r="BA629" s="72">
        <v>315385.99260099902</v>
      </c>
      <c r="BB629" s="72">
        <v>0</v>
      </c>
      <c r="BC629" s="73"/>
      <c r="BD629" s="74">
        <v>-327.33217823822457</v>
      </c>
      <c r="BE629" s="74">
        <v>0</v>
      </c>
      <c r="BF629" s="73"/>
      <c r="BG629" s="72">
        <v>3992324.3941014023</v>
      </c>
      <c r="BH629" s="72">
        <v>0</v>
      </c>
      <c r="BI629" s="73"/>
      <c r="BJ629" s="74">
        <v>-1948.9854447940911</v>
      </c>
      <c r="BK629" s="74">
        <v>0</v>
      </c>
      <c r="BL629" s="73"/>
      <c r="BM629" s="72">
        <v>15207684.645588027</v>
      </c>
      <c r="BN629" s="72">
        <v>0</v>
      </c>
      <c r="BO629" s="73"/>
      <c r="BP629" s="74">
        <v>-4655.2542111371076</v>
      </c>
      <c r="BQ629" s="74">
        <v>0</v>
      </c>
      <c r="BS629" s="109">
        <f t="shared" si="243"/>
        <v>115836.47771134273</v>
      </c>
      <c r="BT629" s="109">
        <f t="shared" si="244"/>
        <v>116162.05046419043</v>
      </c>
      <c r="BV629" s="58">
        <f t="array" ref="BV629">SUM(IF(BS629:BT629&gt;=BS629, 1))</f>
        <v>2</v>
      </c>
      <c r="BW629" s="58">
        <f t="array" ref="BW629">SUM(IF(BS629:BT629&gt;=BT629, 1))</f>
        <v>1</v>
      </c>
      <c r="BY629" s="109">
        <f t="shared" si="245"/>
        <v>132588.390280016</v>
      </c>
      <c r="BZ629" s="109">
        <f t="shared" si="246"/>
        <v>132862.3354132302</v>
      </c>
      <c r="CB629" s="58">
        <f t="array" ref="CB629">SUM(IF(BY629:BZ629&gt;=BY629, 1))</f>
        <v>2</v>
      </c>
      <c r="CC629" s="58">
        <f t="array" ref="CC629">SUM(IF(BY629:BZ629&gt;=BZ629, 1))</f>
        <v>1</v>
      </c>
      <c r="CE629" s="109">
        <f t="shared" si="247"/>
        <v>92913.72938640487</v>
      </c>
      <c r="CF629" s="109">
        <f t="shared" si="248"/>
        <v>93832.112911151402</v>
      </c>
      <c r="CH629" s="58">
        <f t="array" ref="CH629">SUM(IF(CE629:CF629&gt;=CE629, 1))</f>
        <v>2</v>
      </c>
      <c r="CI629" s="58">
        <f t="array" ref="CI629">SUM(IF(CE629:CF629&gt;=CF629, 1))</f>
        <v>1</v>
      </c>
      <c r="CK629" s="109">
        <f t="shared" si="249"/>
        <v>44753.948367295205</v>
      </c>
      <c r="CL629" s="109">
        <f t="shared" si="250"/>
        <v>45510.225755328131</v>
      </c>
      <c r="CN629" s="58">
        <f t="array" ref="CN629">SUM(IF(CK629:CL629&gt;=CK629, 1))</f>
        <v>2</v>
      </c>
      <c r="CO629" s="58">
        <f t="array" ref="CO629">SUM(IF(CK629:CL629&gt;=CL629, 1))</f>
        <v>1</v>
      </c>
      <c r="CQ629" s="109" cm="1">
        <f t="array" ref="CQ629">AF629*WTP-AC629</f>
        <v>48136.589420454235</v>
      </c>
      <c r="CR629" s="109">
        <f t="shared" si="251"/>
        <v>50739.937696120302</v>
      </c>
      <c r="CT629" s="58">
        <f t="array" ref="CT629">SUM(IF(CQ629:CR629&gt;=CQ629, 1))</f>
        <v>2</v>
      </c>
      <c r="CU629" s="58">
        <f t="array" ref="CU629">SUM(IF(CQ629:CR629&gt;=CR629, 1))</f>
        <v>1</v>
      </c>
      <c r="CW629" s="109">
        <f t="shared" si="252"/>
        <v>-35244097.622039385</v>
      </c>
      <c r="CX629" s="109">
        <f t="shared" si="253"/>
        <v>0</v>
      </c>
      <c r="CZ629" s="58">
        <f t="array" ref="CZ629">SUM(IF(CW629:CX629&gt;=CW629, 1))</f>
        <v>2</v>
      </c>
      <c r="DA629" s="58">
        <f t="array" ref="DA629">SUM(IF(CW629:CX629&gt;=CX629, 1))</f>
        <v>1</v>
      </c>
      <c r="DC629" s="109">
        <f t="shared" si="254"/>
        <v>-1921986.7655680941</v>
      </c>
      <c r="DD629" s="109">
        <f t="shared" si="255"/>
        <v>0</v>
      </c>
      <c r="DF629" s="58">
        <f t="array" ref="DF629">SUM(IF(DC629:DD629&gt;=DC629, 1))</f>
        <v>2</v>
      </c>
      <c r="DG629" s="58">
        <f t="array" ref="DG629">SUM(IF(DC629:DD629&gt;=DD629, 1))</f>
        <v>1</v>
      </c>
      <c r="DI629" s="109">
        <f t="shared" si="256"/>
        <v>-21312621.633373994</v>
      </c>
      <c r="DJ629" s="109">
        <f t="shared" si="257"/>
        <v>0</v>
      </c>
      <c r="DL629" s="58">
        <f t="array" ref="DL629">SUM(IF(DI629:DJ629&gt;=DI629, 1))</f>
        <v>2</v>
      </c>
      <c r="DM629" s="58">
        <f t="array" ref="DM629">SUM(IF(DI629:DJ629&gt;=DJ629, 1))</f>
        <v>1</v>
      </c>
      <c r="DO629" s="109">
        <f t="shared" si="258"/>
        <v>-6862029.5573654901</v>
      </c>
      <c r="DP629" s="109">
        <f t="shared" si="259"/>
        <v>0</v>
      </c>
      <c r="DR629" s="58">
        <f t="array" ref="DR629">SUM(IF(DO629:DP629&gt;=DO629, 1))</f>
        <v>2</v>
      </c>
      <c r="DS629" s="58">
        <f t="array" ref="DS629">SUM(IF(DO629:DP629&gt;=DP629, 1))</f>
        <v>1</v>
      </c>
      <c r="DU629" s="109">
        <f t="shared" si="260"/>
        <v>-42972033.289983228</v>
      </c>
      <c r="DV629" s="109">
        <f t="shared" si="261"/>
        <v>0</v>
      </c>
      <c r="DX629" s="58">
        <f t="array" ref="DX629">SUM(IF(DU629:DV629&gt;=DU629, 1))</f>
        <v>2</v>
      </c>
      <c r="DY629" s="58">
        <f t="array" ref="DY629">SUM(IF(DU629:DV629&gt;=DV629, 1))</f>
        <v>1</v>
      </c>
      <c r="EA629" s="109">
        <f t="shared" si="262"/>
        <v>-108312768.86833018</v>
      </c>
      <c r="EB629" s="109">
        <f t="shared" si="263"/>
        <v>0</v>
      </c>
      <c r="ED629" s="58">
        <f t="array" ref="ED629">SUM(IF(EA629:EB629&gt;=EA629, 1))</f>
        <v>2</v>
      </c>
      <c r="EE629" s="58">
        <f t="array" ref="EE629">SUM(IF(EA629:EB629&gt;=EB629, 1))</f>
        <v>1</v>
      </c>
    </row>
    <row r="630" spans="4:135" ht="12" customHeight="1" x14ac:dyDescent="0.25">
      <c r="D630" s="11">
        <v>614</v>
      </c>
      <c r="E630" s="72">
        <v>215.1737042305171</v>
      </c>
      <c r="F630" s="72">
        <v>199.14074306090296</v>
      </c>
      <c r="G630" s="73"/>
      <c r="H630" s="74">
        <v>5.817120296664843</v>
      </c>
      <c r="I630" s="74">
        <v>5.8357075871086836</v>
      </c>
      <c r="J630" s="73"/>
      <c r="K630" s="72">
        <v>231.23480880650877</v>
      </c>
      <c r="L630" s="72">
        <v>214.78125072404566</v>
      </c>
      <c r="M630" s="73"/>
      <c r="N630" s="74">
        <v>6.7158309564277143</v>
      </c>
      <c r="O630" s="74">
        <v>6.7321737091218443</v>
      </c>
      <c r="P630" s="73"/>
      <c r="Q630" s="72">
        <v>2626.3402271604527</v>
      </c>
      <c r="R630" s="72">
        <v>1700.7939307292102</v>
      </c>
      <c r="S630" s="73"/>
      <c r="T630" s="74">
        <v>4.6533093805595662</v>
      </c>
      <c r="U630" s="74">
        <v>4.7204535391293145</v>
      </c>
      <c r="V630" s="73"/>
      <c r="W630" s="72">
        <v>12835.518995168008</v>
      </c>
      <c r="X630" s="72">
        <v>12752.836844361402</v>
      </c>
      <c r="Y630" s="73"/>
      <c r="Z630" s="74">
        <v>3.0341057522962718</v>
      </c>
      <c r="AA630" s="74">
        <v>3.0764616173706454</v>
      </c>
      <c r="AB630" s="73"/>
      <c r="AC630" s="72">
        <v>49786.935610965127</v>
      </c>
      <c r="AD630" s="72">
        <v>49431.286142489327</v>
      </c>
      <c r="AE630" s="73"/>
      <c r="AF630" s="74">
        <v>4.9637565703338762</v>
      </c>
      <c r="AG630" s="74">
        <v>5.0606778209372418</v>
      </c>
      <c r="AH630" s="73"/>
      <c r="AI630" s="72">
        <v>1723395.3689823579</v>
      </c>
      <c r="AJ630" s="72">
        <v>0</v>
      </c>
      <c r="AK630" s="73"/>
      <c r="AL630" s="74">
        <v>-1997.9621938806188</v>
      </c>
      <c r="AM630" s="74">
        <v>0</v>
      </c>
      <c r="AN630" s="73"/>
      <c r="AO630" s="72">
        <v>116330.49825377562</v>
      </c>
      <c r="AP630" s="72">
        <v>0</v>
      </c>
      <c r="AQ630" s="73"/>
      <c r="AR630" s="74">
        <v>-115.54707828045491</v>
      </c>
      <c r="AS630" s="74">
        <v>0</v>
      </c>
      <c r="AT630" s="73"/>
      <c r="AU630" s="72">
        <v>21441076.982578356</v>
      </c>
      <c r="AV630" s="72">
        <v>0</v>
      </c>
      <c r="AW630" s="73"/>
      <c r="AX630" s="74">
        <v>-1555.4522538477586</v>
      </c>
      <c r="AY630" s="74">
        <v>0</v>
      </c>
      <c r="AZ630" s="73"/>
      <c r="BA630" s="72">
        <v>788825.65540958813</v>
      </c>
      <c r="BB630" s="72">
        <v>0</v>
      </c>
      <c r="BC630" s="73"/>
      <c r="BD630" s="74">
        <v>-404.0943867786205</v>
      </c>
      <c r="BE630" s="74">
        <v>0</v>
      </c>
      <c r="BF630" s="73"/>
      <c r="BG630" s="72">
        <v>5784200.1445988761</v>
      </c>
      <c r="BH630" s="72">
        <v>0</v>
      </c>
      <c r="BI630" s="73"/>
      <c r="BJ630" s="74">
        <v>-1576.3046523232417</v>
      </c>
      <c r="BK630" s="74">
        <v>0</v>
      </c>
      <c r="BL630" s="73"/>
      <c r="BM630" s="72">
        <v>29853828.649822954</v>
      </c>
      <c r="BN630" s="72">
        <v>0</v>
      </c>
      <c r="BO630" s="73"/>
      <c r="BP630" s="74">
        <v>-5649.3605651106946</v>
      </c>
      <c r="BQ630" s="74">
        <v>0</v>
      </c>
      <c r="BS630" s="109">
        <f t="shared" si="243"/>
        <v>116127.23222906634</v>
      </c>
      <c r="BT630" s="109">
        <f t="shared" si="244"/>
        <v>116515.01099911278</v>
      </c>
      <c r="BV630" s="58">
        <f t="array" ref="BV630">SUM(IF(BS630:BT630&gt;=BS630, 1))</f>
        <v>2</v>
      </c>
      <c r="BW630" s="58">
        <f t="array" ref="BW630">SUM(IF(BS630:BT630&gt;=BT630, 1))</f>
        <v>1</v>
      </c>
      <c r="BY630" s="109">
        <f t="shared" si="245"/>
        <v>134085.38431974777</v>
      </c>
      <c r="BZ630" s="109">
        <f t="shared" si="246"/>
        <v>134428.69293171284</v>
      </c>
      <c r="CB630" s="58">
        <f t="array" ref="CB630">SUM(IF(BY630:BZ630&gt;=BY630, 1))</f>
        <v>2</v>
      </c>
      <c r="CC630" s="58">
        <f t="array" ref="CC630">SUM(IF(BY630:BZ630&gt;=BZ630, 1))</f>
        <v>1</v>
      </c>
      <c r="CE630" s="109">
        <f t="shared" si="247"/>
        <v>90439.847384030872</v>
      </c>
      <c r="CF630" s="109">
        <f t="shared" si="248"/>
        <v>92708.276851857081</v>
      </c>
      <c r="CH630" s="58">
        <f t="array" ref="CH630">SUM(IF(CE630:CF630&gt;=CE630, 1))</f>
        <v>2</v>
      </c>
      <c r="CI630" s="58">
        <f t="array" ref="CI630">SUM(IF(CE630:CF630&gt;=CF630, 1))</f>
        <v>1</v>
      </c>
      <c r="CK630" s="109">
        <f t="shared" si="249"/>
        <v>47846.596050757427</v>
      </c>
      <c r="CL630" s="109">
        <f t="shared" si="250"/>
        <v>48776.395503051506</v>
      </c>
      <c r="CN630" s="58">
        <f t="array" ref="CN630">SUM(IF(CK630:CL630&gt;=CK630, 1))</f>
        <v>2</v>
      </c>
      <c r="CO630" s="58">
        <f t="array" ref="CO630">SUM(IF(CK630:CL630&gt;=CL630, 1))</f>
        <v>1</v>
      </c>
      <c r="CQ630" s="109" cm="1">
        <f t="array" ref="CQ630">AF630*WTP-AC630</f>
        <v>49488.195795712396</v>
      </c>
      <c r="CR630" s="109">
        <f t="shared" si="251"/>
        <v>51782.270276255505</v>
      </c>
      <c r="CT630" s="58">
        <f t="array" ref="CT630">SUM(IF(CQ630:CR630&gt;=CQ630, 1))</f>
        <v>2</v>
      </c>
      <c r="CU630" s="58">
        <f t="array" ref="CU630">SUM(IF(CQ630:CR630&gt;=CR630, 1))</f>
        <v>1</v>
      </c>
      <c r="CW630" s="109">
        <f t="shared" si="252"/>
        <v>-41682639.246594734</v>
      </c>
      <c r="CX630" s="109">
        <f t="shared" si="253"/>
        <v>0</v>
      </c>
      <c r="CZ630" s="58">
        <f t="array" ref="CZ630">SUM(IF(CW630:CX630&gt;=CW630, 1))</f>
        <v>2</v>
      </c>
      <c r="DA630" s="58">
        <f t="array" ref="DA630">SUM(IF(CW630:CX630&gt;=CX630, 1))</f>
        <v>1</v>
      </c>
      <c r="DC630" s="109">
        <f t="shared" si="254"/>
        <v>-2427272.0638628742</v>
      </c>
      <c r="DD630" s="109">
        <f t="shared" si="255"/>
        <v>0</v>
      </c>
      <c r="DF630" s="58">
        <f t="array" ref="DF630">SUM(IF(DC630:DD630&gt;=DC630, 1))</f>
        <v>2</v>
      </c>
      <c r="DG630" s="58">
        <f t="array" ref="DG630">SUM(IF(DC630:DD630&gt;=DD630, 1))</f>
        <v>1</v>
      </c>
      <c r="DI630" s="109">
        <f t="shared" si="256"/>
        <v>-52550122.059533529</v>
      </c>
      <c r="DJ630" s="109">
        <f t="shared" si="257"/>
        <v>0</v>
      </c>
      <c r="DL630" s="58">
        <f t="array" ref="DL630">SUM(IF(DI630:DJ630&gt;=DI630, 1))</f>
        <v>2</v>
      </c>
      <c r="DM630" s="58">
        <f t="array" ref="DM630">SUM(IF(DI630:DJ630&gt;=DJ630, 1))</f>
        <v>1</v>
      </c>
      <c r="DO630" s="109">
        <f t="shared" si="258"/>
        <v>-8870713.3909819983</v>
      </c>
      <c r="DP630" s="109">
        <f t="shared" si="259"/>
        <v>0</v>
      </c>
      <c r="DR630" s="58">
        <f t="array" ref="DR630">SUM(IF(DO630:DP630&gt;=DO630, 1))</f>
        <v>2</v>
      </c>
      <c r="DS630" s="58">
        <f t="array" ref="DS630">SUM(IF(DO630:DP630&gt;=DP630, 1))</f>
        <v>1</v>
      </c>
      <c r="DU630" s="109">
        <f t="shared" si="260"/>
        <v>-37310293.19106371</v>
      </c>
      <c r="DV630" s="109">
        <f t="shared" si="261"/>
        <v>0</v>
      </c>
      <c r="DX630" s="58">
        <f t="array" ref="DX630">SUM(IF(DU630:DV630&gt;=DU630, 1))</f>
        <v>2</v>
      </c>
      <c r="DY630" s="58">
        <f t="array" ref="DY630">SUM(IF(DU630:DV630&gt;=DV630, 1))</f>
        <v>1</v>
      </c>
      <c r="EA630" s="109">
        <f t="shared" si="262"/>
        <v>-142841039.95203686</v>
      </c>
      <c r="EB630" s="109">
        <f t="shared" si="263"/>
        <v>0</v>
      </c>
      <c r="ED630" s="58">
        <f t="array" ref="ED630">SUM(IF(EA630:EB630&gt;=EA630, 1))</f>
        <v>2</v>
      </c>
      <c r="EE630" s="58">
        <f t="array" ref="EE630">SUM(IF(EA630:EB630&gt;=EB630, 1))</f>
        <v>1</v>
      </c>
    </row>
    <row r="631" spans="4:135" ht="12" customHeight="1" x14ac:dyDescent="0.25">
      <c r="D631" s="11">
        <v>615</v>
      </c>
      <c r="E631" s="72">
        <v>271.77603455031908</v>
      </c>
      <c r="F631" s="72">
        <v>244.89848832860423</v>
      </c>
      <c r="G631" s="73"/>
      <c r="H631" s="74">
        <v>5.8400098078180136</v>
      </c>
      <c r="I631" s="74">
        <v>5.8550479186326347</v>
      </c>
      <c r="J631" s="73"/>
      <c r="K631" s="72">
        <v>291.54591933066882</v>
      </c>
      <c r="L631" s="72">
        <v>264.00225926203916</v>
      </c>
      <c r="M631" s="73"/>
      <c r="N631" s="74">
        <v>6.7007821439986621</v>
      </c>
      <c r="O631" s="74">
        <v>6.7130417666622</v>
      </c>
      <c r="P631" s="73"/>
      <c r="Q631" s="72">
        <v>1851.1817426123416</v>
      </c>
      <c r="R631" s="72">
        <v>1557.5464076835044</v>
      </c>
      <c r="S631" s="73"/>
      <c r="T631" s="74">
        <v>4.8256619079201934</v>
      </c>
      <c r="U631" s="74">
        <v>4.8694408269786358</v>
      </c>
      <c r="V631" s="73"/>
      <c r="W631" s="72">
        <v>16211.818311629682</v>
      </c>
      <c r="X631" s="72">
        <v>16160.345291100926</v>
      </c>
      <c r="Y631" s="73"/>
      <c r="Z631" s="74">
        <v>2.7949634473271465</v>
      </c>
      <c r="AA631" s="74">
        <v>2.8392957409974349</v>
      </c>
      <c r="AB631" s="73"/>
      <c r="AC631" s="72">
        <v>50151.482703267109</v>
      </c>
      <c r="AD631" s="72">
        <v>49963.129326607661</v>
      </c>
      <c r="AE631" s="73"/>
      <c r="AF631" s="74">
        <v>4.4343721164077365</v>
      </c>
      <c r="AG631" s="74">
        <v>4.5123134624525916</v>
      </c>
      <c r="AH631" s="73"/>
      <c r="AI631" s="72">
        <v>2928078.4240311701</v>
      </c>
      <c r="AJ631" s="72">
        <v>0</v>
      </c>
      <c r="AK631" s="73"/>
      <c r="AL631" s="74">
        <v>-1638.2733546899124</v>
      </c>
      <c r="AM631" s="74">
        <v>0</v>
      </c>
      <c r="AN631" s="73"/>
      <c r="AO631" s="72">
        <v>185963.48536738355</v>
      </c>
      <c r="AP631" s="72">
        <v>0</v>
      </c>
      <c r="AQ631" s="73"/>
      <c r="AR631" s="74">
        <v>-82.77193931815367</v>
      </c>
      <c r="AS631" s="74">
        <v>0</v>
      </c>
      <c r="AT631" s="73"/>
      <c r="AU631" s="72">
        <v>6884073.1693711895</v>
      </c>
      <c r="AV631" s="72">
        <v>0</v>
      </c>
      <c r="AW631" s="73"/>
      <c r="AX631" s="74">
        <v>-1026.3658566409758</v>
      </c>
      <c r="AY631" s="74">
        <v>0</v>
      </c>
      <c r="AZ631" s="73"/>
      <c r="BA631" s="72">
        <v>470799.14379361499</v>
      </c>
      <c r="BB631" s="72">
        <v>0</v>
      </c>
      <c r="BC631" s="73"/>
      <c r="BD631" s="74">
        <v>-405.48632444677838</v>
      </c>
      <c r="BE631" s="74">
        <v>0</v>
      </c>
      <c r="BF631" s="73"/>
      <c r="BG631" s="72">
        <v>3001995.8956331233</v>
      </c>
      <c r="BH631" s="72">
        <v>0</v>
      </c>
      <c r="BI631" s="73"/>
      <c r="BJ631" s="74">
        <v>-1242.2373576547125</v>
      </c>
      <c r="BK631" s="74">
        <v>0</v>
      </c>
      <c r="BL631" s="73"/>
      <c r="BM631" s="72">
        <v>13470910.118196482</v>
      </c>
      <c r="BN631" s="72">
        <v>0</v>
      </c>
      <c r="BO631" s="73"/>
      <c r="BP631" s="74">
        <v>-4395.134832750533</v>
      </c>
      <c r="BQ631" s="74">
        <v>0</v>
      </c>
      <c r="BS631" s="109">
        <f t="shared" si="243"/>
        <v>116528.42012180995</v>
      </c>
      <c r="BT631" s="109">
        <f t="shared" si="244"/>
        <v>116856.05988432409</v>
      </c>
      <c r="BV631" s="58">
        <f t="array" ref="BV631">SUM(IF(BS631:BT631&gt;=BS631, 1))</f>
        <v>2</v>
      </c>
      <c r="BW631" s="58">
        <f t="array" ref="BW631">SUM(IF(BS631:BT631&gt;=BT631, 1))</f>
        <v>1</v>
      </c>
      <c r="BY631" s="109">
        <f t="shared" si="245"/>
        <v>133724.09696064258</v>
      </c>
      <c r="BZ631" s="109">
        <f t="shared" si="246"/>
        <v>133996.83307398195</v>
      </c>
      <c r="CB631" s="58">
        <f t="array" ref="CB631">SUM(IF(BY631:BZ631&gt;=BY631, 1))</f>
        <v>2</v>
      </c>
      <c r="CC631" s="58">
        <f t="array" ref="CC631">SUM(IF(BY631:BZ631&gt;=BZ631, 1))</f>
        <v>1</v>
      </c>
      <c r="CE631" s="109">
        <f t="shared" si="247"/>
        <v>94662.056415791521</v>
      </c>
      <c r="CF631" s="109">
        <f t="shared" si="248"/>
        <v>95831.270131889207</v>
      </c>
      <c r="CH631" s="58">
        <f t="array" ref="CH631">SUM(IF(CE631:CF631&gt;=CE631, 1))</f>
        <v>2</v>
      </c>
      <c r="CI631" s="58">
        <f t="array" ref="CI631">SUM(IF(CE631:CF631&gt;=CF631, 1))</f>
        <v>1</v>
      </c>
      <c r="CK631" s="109">
        <f t="shared" si="249"/>
        <v>39687.450634913243</v>
      </c>
      <c r="CL631" s="109">
        <f t="shared" si="250"/>
        <v>40625.569528847773</v>
      </c>
      <c r="CN631" s="58">
        <f t="array" ref="CN631">SUM(IF(CK631:CL631&gt;=CK631, 1))</f>
        <v>2</v>
      </c>
      <c r="CO631" s="58">
        <f t="array" ref="CO631">SUM(IF(CK631:CL631&gt;=CL631, 1))</f>
        <v>1</v>
      </c>
      <c r="CQ631" s="109" cm="1">
        <f t="array" ref="CQ631">AF631*WTP-AC631</f>
        <v>38535.959624887626</v>
      </c>
      <c r="CR631" s="109">
        <f t="shared" si="251"/>
        <v>40283.139922444178</v>
      </c>
      <c r="CT631" s="58">
        <f t="array" ref="CT631">SUM(IF(CQ631:CR631&gt;=CQ631, 1))</f>
        <v>2</v>
      </c>
      <c r="CU631" s="58">
        <f t="array" ref="CU631">SUM(IF(CQ631:CR631&gt;=CR631, 1))</f>
        <v>1</v>
      </c>
      <c r="CW631" s="109">
        <f t="shared" si="252"/>
        <v>-35693545.517829418</v>
      </c>
      <c r="CX631" s="109">
        <f t="shared" si="253"/>
        <v>0</v>
      </c>
      <c r="CZ631" s="58">
        <f t="array" ref="CZ631">SUM(IF(CW631:CX631&gt;=CW631, 1))</f>
        <v>2</v>
      </c>
      <c r="DA631" s="58">
        <f t="array" ref="DA631">SUM(IF(CW631:CX631&gt;=CX631, 1))</f>
        <v>1</v>
      </c>
      <c r="DC631" s="109">
        <f t="shared" si="254"/>
        <v>-1841402.271730457</v>
      </c>
      <c r="DD631" s="109">
        <f t="shared" si="255"/>
        <v>0</v>
      </c>
      <c r="DF631" s="58">
        <f t="array" ref="DF631">SUM(IF(DC631:DD631&gt;=DC631, 1))</f>
        <v>2</v>
      </c>
      <c r="DG631" s="58">
        <f t="array" ref="DG631">SUM(IF(DC631:DD631&gt;=DD631, 1))</f>
        <v>1</v>
      </c>
      <c r="DI631" s="109">
        <f t="shared" si="256"/>
        <v>-27411390.302190706</v>
      </c>
      <c r="DJ631" s="109">
        <f t="shared" si="257"/>
        <v>0</v>
      </c>
      <c r="DL631" s="58">
        <f t="array" ref="DL631">SUM(IF(DI631:DJ631&gt;=DI631, 1))</f>
        <v>2</v>
      </c>
      <c r="DM631" s="58">
        <f t="array" ref="DM631">SUM(IF(DI631:DJ631&gt;=DJ631, 1))</f>
        <v>1</v>
      </c>
      <c r="DO631" s="109">
        <f t="shared" si="258"/>
        <v>-8580525.632729182</v>
      </c>
      <c r="DP631" s="109">
        <f t="shared" si="259"/>
        <v>0</v>
      </c>
      <c r="DR631" s="58">
        <f t="array" ref="DR631">SUM(IF(DO631:DP631&gt;=DO631, 1))</f>
        <v>2</v>
      </c>
      <c r="DS631" s="58">
        <f t="array" ref="DS631">SUM(IF(DO631:DP631&gt;=DP631, 1))</f>
        <v>1</v>
      </c>
      <c r="DU631" s="109">
        <f t="shared" si="260"/>
        <v>-27846743.048727375</v>
      </c>
      <c r="DV631" s="109">
        <f t="shared" si="261"/>
        <v>0</v>
      </c>
      <c r="DX631" s="58">
        <f t="array" ref="DX631">SUM(IF(DU631:DV631&gt;=DU631, 1))</f>
        <v>2</v>
      </c>
      <c r="DY631" s="58">
        <f t="array" ref="DY631">SUM(IF(DU631:DV631&gt;=DV631, 1))</f>
        <v>1</v>
      </c>
      <c r="EA631" s="109">
        <f t="shared" si="262"/>
        <v>-101373606.77320714</v>
      </c>
      <c r="EB631" s="109">
        <f t="shared" si="263"/>
        <v>0</v>
      </c>
      <c r="ED631" s="58">
        <f t="array" ref="ED631">SUM(IF(EA631:EB631&gt;=EA631, 1))</f>
        <v>2</v>
      </c>
      <c r="EE631" s="58">
        <f t="array" ref="EE631">SUM(IF(EA631:EB631&gt;=EB631, 1))</f>
        <v>1</v>
      </c>
    </row>
    <row r="632" spans="4:135" ht="12" customHeight="1" x14ac:dyDescent="0.25">
      <c r="D632" s="11">
        <v>616</v>
      </c>
      <c r="E632" s="72">
        <v>324.38872501663838</v>
      </c>
      <c r="F632" s="72">
        <v>277.3756687883656</v>
      </c>
      <c r="G632" s="73"/>
      <c r="H632" s="74">
        <v>5.8744276455257083</v>
      </c>
      <c r="I632" s="74">
        <v>5.8943155274718277</v>
      </c>
      <c r="J632" s="73"/>
      <c r="K632" s="72">
        <v>347.10667514464501</v>
      </c>
      <c r="L632" s="72">
        <v>298.98786183812024</v>
      </c>
      <c r="M632" s="73"/>
      <c r="N632" s="74">
        <v>6.7074200997762263</v>
      </c>
      <c r="O632" s="74">
        <v>6.7246075011483404</v>
      </c>
      <c r="P632" s="73"/>
      <c r="Q632" s="72">
        <v>2192.4683851292134</v>
      </c>
      <c r="R632" s="72">
        <v>1444.9942107387692</v>
      </c>
      <c r="S632" s="73"/>
      <c r="T632" s="74">
        <v>4.8046665778452127</v>
      </c>
      <c r="U632" s="74">
        <v>4.8672466016048199</v>
      </c>
      <c r="V632" s="73"/>
      <c r="W632" s="72">
        <v>8279.1697491754003</v>
      </c>
      <c r="X632" s="72">
        <v>8248.5656267663653</v>
      </c>
      <c r="Y632" s="73"/>
      <c r="Z632" s="74">
        <v>3.1878523922005528</v>
      </c>
      <c r="AA632" s="74">
        <v>3.2404601263321249</v>
      </c>
      <c r="AB632" s="73"/>
      <c r="AC632" s="72">
        <v>49069.722398445971</v>
      </c>
      <c r="AD632" s="72">
        <v>49091.002051451957</v>
      </c>
      <c r="AE632" s="73"/>
      <c r="AF632" s="74">
        <v>4.9214905011800525</v>
      </c>
      <c r="AG632" s="74">
        <v>4.9865591389464425</v>
      </c>
      <c r="AH632" s="73"/>
      <c r="AI632" s="72">
        <v>5059503.4967298387</v>
      </c>
      <c r="AJ632" s="72">
        <v>0</v>
      </c>
      <c r="AK632" s="73"/>
      <c r="AL632" s="74">
        <v>-2140.3162508807277</v>
      </c>
      <c r="AM632" s="74">
        <v>0</v>
      </c>
      <c r="AN632" s="73"/>
      <c r="AO632" s="72">
        <v>330440.75055116543</v>
      </c>
      <c r="AP632" s="72">
        <v>0</v>
      </c>
      <c r="AQ632" s="73"/>
      <c r="AR632" s="74">
        <v>-118.02904974498583</v>
      </c>
      <c r="AS632" s="74">
        <v>0</v>
      </c>
      <c r="AT632" s="73"/>
      <c r="AU632" s="72">
        <v>17293521.902626663</v>
      </c>
      <c r="AV632" s="72">
        <v>0</v>
      </c>
      <c r="AW632" s="73"/>
      <c r="AX632" s="74">
        <v>-1447.8480309185388</v>
      </c>
      <c r="AY632" s="74">
        <v>0</v>
      </c>
      <c r="AZ632" s="73"/>
      <c r="BA632" s="72">
        <v>279989.75409459614</v>
      </c>
      <c r="BB632" s="72">
        <v>0</v>
      </c>
      <c r="BC632" s="73"/>
      <c r="BD632" s="74">
        <v>-481.29550477239815</v>
      </c>
      <c r="BE632" s="74">
        <v>0</v>
      </c>
      <c r="BF632" s="73"/>
      <c r="BG632" s="72">
        <v>-342452.19402491197</v>
      </c>
      <c r="BH632" s="72">
        <v>0</v>
      </c>
      <c r="BI632" s="73"/>
      <c r="BJ632" s="74">
        <v>-1047.1457292581049</v>
      </c>
      <c r="BK632" s="74">
        <v>0</v>
      </c>
      <c r="BL632" s="73"/>
      <c r="BM632" s="72">
        <v>22621003.709977351</v>
      </c>
      <c r="BN632" s="72">
        <v>0</v>
      </c>
      <c r="BO632" s="73"/>
      <c r="BP632" s="74">
        <v>-5234.6345655747555</v>
      </c>
      <c r="BQ632" s="74">
        <v>0</v>
      </c>
      <c r="BS632" s="109">
        <f t="shared" si="243"/>
        <v>117164.16418549752</v>
      </c>
      <c r="BT632" s="109">
        <f t="shared" si="244"/>
        <v>117608.93488064819</v>
      </c>
      <c r="BV632" s="58">
        <f t="array" ref="BV632">SUM(IF(BS632:BT632&gt;=BS632, 1))</f>
        <v>2</v>
      </c>
      <c r="BW632" s="58">
        <f t="array" ref="BW632">SUM(IF(BS632:BT632&gt;=BT632, 1))</f>
        <v>1</v>
      </c>
      <c r="BY632" s="109">
        <f t="shared" si="245"/>
        <v>133801.2953203799</v>
      </c>
      <c r="BZ632" s="109">
        <f t="shared" si="246"/>
        <v>134193.16216112868</v>
      </c>
      <c r="CB632" s="58">
        <f t="array" ref="CB632">SUM(IF(BY632:BZ632&gt;=BY632, 1))</f>
        <v>2</v>
      </c>
      <c r="CC632" s="58">
        <f t="array" ref="CC632">SUM(IF(BY632:BZ632&gt;=BZ632, 1))</f>
        <v>1</v>
      </c>
      <c r="CE632" s="109">
        <f t="shared" si="247"/>
        <v>93900.863171775054</v>
      </c>
      <c r="CF632" s="109">
        <f t="shared" si="248"/>
        <v>95899.937821357627</v>
      </c>
      <c r="CH632" s="58">
        <f t="array" ref="CH632">SUM(IF(CE632:CF632&gt;=CE632, 1))</f>
        <v>2</v>
      </c>
      <c r="CI632" s="58">
        <f t="array" ref="CI632">SUM(IF(CE632:CF632&gt;=CF632, 1))</f>
        <v>1</v>
      </c>
      <c r="CK632" s="109">
        <f t="shared" si="249"/>
        <v>55477.878094835658</v>
      </c>
      <c r="CL632" s="109">
        <f t="shared" si="250"/>
        <v>56560.636899876132</v>
      </c>
      <c r="CN632" s="58">
        <f t="array" ref="CN632">SUM(IF(CK632:CL632&gt;=CK632, 1))</f>
        <v>2</v>
      </c>
      <c r="CO632" s="58">
        <f t="array" ref="CO632">SUM(IF(CK632:CL632&gt;=CL632, 1))</f>
        <v>1</v>
      </c>
      <c r="CQ632" s="109" cm="1">
        <f t="array" ref="CQ632">AF632*WTP-AC632</f>
        <v>49360.08762515508</v>
      </c>
      <c r="CR632" s="109">
        <f t="shared" si="251"/>
        <v>50640.180727476894</v>
      </c>
      <c r="CT632" s="58">
        <f t="array" ref="CT632">SUM(IF(CQ632:CR632&gt;=CQ632, 1))</f>
        <v>2</v>
      </c>
      <c r="CU632" s="58">
        <f t="array" ref="CU632">SUM(IF(CQ632:CR632&gt;=CR632, 1))</f>
        <v>1</v>
      </c>
      <c r="CW632" s="109">
        <f t="shared" si="252"/>
        <v>-47865828.514344387</v>
      </c>
      <c r="CX632" s="109">
        <f t="shared" si="253"/>
        <v>0</v>
      </c>
      <c r="CZ632" s="58">
        <f t="array" ref="CZ632">SUM(IF(CW632:CX632&gt;=CW632, 1))</f>
        <v>2</v>
      </c>
      <c r="DA632" s="58">
        <f t="array" ref="DA632">SUM(IF(CW632:CX632&gt;=CX632, 1))</f>
        <v>1</v>
      </c>
      <c r="DC632" s="109">
        <f t="shared" si="254"/>
        <v>-2691021.7454508822</v>
      </c>
      <c r="DD632" s="109">
        <f t="shared" si="255"/>
        <v>0</v>
      </c>
      <c r="DF632" s="58">
        <f t="array" ref="DF632">SUM(IF(DC632:DD632&gt;=DC632, 1))</f>
        <v>2</v>
      </c>
      <c r="DG632" s="58">
        <f t="array" ref="DG632">SUM(IF(DC632:DD632&gt;=DD632, 1))</f>
        <v>1</v>
      </c>
      <c r="DI632" s="109">
        <f t="shared" si="256"/>
        <v>-46250482.520997435</v>
      </c>
      <c r="DJ632" s="109">
        <f t="shared" si="257"/>
        <v>0</v>
      </c>
      <c r="DL632" s="58">
        <f t="array" ref="DL632">SUM(IF(DI632:DJ632&gt;=DI632, 1))</f>
        <v>2</v>
      </c>
      <c r="DM632" s="58">
        <f t="array" ref="DM632">SUM(IF(DI632:DJ632&gt;=DJ632, 1))</f>
        <v>1</v>
      </c>
      <c r="DO632" s="109">
        <f t="shared" si="258"/>
        <v>-9905899.8495425601</v>
      </c>
      <c r="DP632" s="109">
        <f t="shared" si="259"/>
        <v>0</v>
      </c>
      <c r="DR632" s="58">
        <f t="array" ref="DR632">SUM(IF(DO632:DP632&gt;=DO632, 1))</f>
        <v>2</v>
      </c>
      <c r="DS632" s="58">
        <f t="array" ref="DS632">SUM(IF(DO632:DP632&gt;=DP632, 1))</f>
        <v>1</v>
      </c>
      <c r="DU632" s="109">
        <f t="shared" si="260"/>
        <v>-20600462.391137186</v>
      </c>
      <c r="DV632" s="109">
        <f t="shared" si="261"/>
        <v>0</v>
      </c>
      <c r="DX632" s="58">
        <f t="array" ref="DX632">SUM(IF(DU632:DV632&gt;=DU632, 1))</f>
        <v>2</v>
      </c>
      <c r="DY632" s="58">
        <f t="array" ref="DY632">SUM(IF(DU632:DV632&gt;=DV632, 1))</f>
        <v>1</v>
      </c>
      <c r="EA632" s="109">
        <f t="shared" si="262"/>
        <v>-127313695.02147245</v>
      </c>
      <c r="EB632" s="109">
        <f t="shared" si="263"/>
        <v>0</v>
      </c>
      <c r="ED632" s="58">
        <f t="array" ref="ED632">SUM(IF(EA632:EB632&gt;=EA632, 1))</f>
        <v>2</v>
      </c>
      <c r="EE632" s="58">
        <f t="array" ref="EE632">SUM(IF(EA632:EB632&gt;=EB632, 1))</f>
        <v>1</v>
      </c>
    </row>
    <row r="633" spans="4:135" ht="12" customHeight="1" x14ac:dyDescent="0.25">
      <c r="D633" s="11">
        <v>617</v>
      </c>
      <c r="E633" s="72">
        <v>227.52312681414361</v>
      </c>
      <c r="F633" s="72">
        <v>219.86200679297298</v>
      </c>
      <c r="G633" s="73"/>
      <c r="H633" s="74">
        <v>5.8680299998141292</v>
      </c>
      <c r="I633" s="74">
        <v>5.8861561798444653</v>
      </c>
      <c r="J633" s="73"/>
      <c r="K633" s="72">
        <v>245.05728149084757</v>
      </c>
      <c r="L633" s="72">
        <v>237.19450061859442</v>
      </c>
      <c r="M633" s="73"/>
      <c r="N633" s="74">
        <v>6.6973791021519702</v>
      </c>
      <c r="O633" s="74">
        <v>6.7136833081672824</v>
      </c>
      <c r="P633" s="73"/>
      <c r="Q633" s="72">
        <v>2124.5868604121029</v>
      </c>
      <c r="R633" s="72">
        <v>1488.5239194293097</v>
      </c>
      <c r="S633" s="73"/>
      <c r="T633" s="74">
        <v>4.787715825422155</v>
      </c>
      <c r="U633" s="74">
        <v>4.8701350277405879</v>
      </c>
      <c r="V633" s="73"/>
      <c r="W633" s="72">
        <v>11444.382870782658</v>
      </c>
      <c r="X633" s="72">
        <v>11478.854967079924</v>
      </c>
      <c r="Y633" s="73"/>
      <c r="Z633" s="74">
        <v>2.9987701647625333</v>
      </c>
      <c r="AA633" s="74">
        <v>3.0643432251903722</v>
      </c>
      <c r="AB633" s="73"/>
      <c r="AC633" s="72">
        <v>50559.797208495038</v>
      </c>
      <c r="AD633" s="72">
        <v>49993.186633265432</v>
      </c>
      <c r="AE633" s="73"/>
      <c r="AF633" s="74">
        <v>5.1234035156262161</v>
      </c>
      <c r="AG633" s="74">
        <v>5.2714831617973612</v>
      </c>
      <c r="AH633" s="73"/>
      <c r="AI633" s="72">
        <v>822086.40968947147</v>
      </c>
      <c r="AJ633" s="72">
        <v>0</v>
      </c>
      <c r="AK633" s="73"/>
      <c r="AL633" s="74">
        <v>-1945.0532326012333</v>
      </c>
      <c r="AM633" s="74">
        <v>0</v>
      </c>
      <c r="AN633" s="73"/>
      <c r="AO633" s="72">
        <v>56644.995036766893</v>
      </c>
      <c r="AP633" s="72">
        <v>0</v>
      </c>
      <c r="AQ633" s="73"/>
      <c r="AR633" s="74">
        <v>-117.45865538169758</v>
      </c>
      <c r="AS633" s="74">
        <v>0</v>
      </c>
      <c r="AT633" s="73"/>
      <c r="AU633" s="72">
        <v>14900831.94017146</v>
      </c>
      <c r="AV633" s="72">
        <v>0</v>
      </c>
      <c r="AW633" s="73"/>
      <c r="AX633" s="74">
        <v>-1930.8068482851318</v>
      </c>
      <c r="AY633" s="74">
        <v>0</v>
      </c>
      <c r="AZ633" s="73"/>
      <c r="BA633" s="72">
        <v>-315447.1160368417</v>
      </c>
      <c r="BB633" s="72">
        <v>0</v>
      </c>
      <c r="BC633" s="73"/>
      <c r="BD633" s="74">
        <v>-600.04568980366344</v>
      </c>
      <c r="BE633" s="74">
        <v>0</v>
      </c>
      <c r="BF633" s="73"/>
      <c r="BG633" s="72">
        <v>9080112.4546291158</v>
      </c>
      <c r="BH633" s="72">
        <v>0</v>
      </c>
      <c r="BI633" s="73"/>
      <c r="BJ633" s="74">
        <v>-2373.0228454187013</v>
      </c>
      <c r="BK633" s="74">
        <v>0</v>
      </c>
      <c r="BL633" s="73"/>
      <c r="BM633" s="72">
        <v>24544228.683489971</v>
      </c>
      <c r="BN633" s="72">
        <v>0</v>
      </c>
      <c r="BO633" s="73"/>
      <c r="BP633" s="74">
        <v>-6966.3872714904282</v>
      </c>
      <c r="BQ633" s="74">
        <v>0</v>
      </c>
      <c r="BS633" s="109">
        <f t="shared" si="243"/>
        <v>117133.07686946844</v>
      </c>
      <c r="BT633" s="109">
        <f t="shared" si="244"/>
        <v>117503.26159009633</v>
      </c>
      <c r="BV633" s="58">
        <f t="array" ref="BV633">SUM(IF(BS633:BT633&gt;=BS633, 1))</f>
        <v>2</v>
      </c>
      <c r="BW633" s="58">
        <f t="array" ref="BW633">SUM(IF(BS633:BT633&gt;=BT633, 1))</f>
        <v>1</v>
      </c>
      <c r="BY633" s="109">
        <f t="shared" si="245"/>
        <v>133702.52476154856</v>
      </c>
      <c r="BZ633" s="109">
        <f t="shared" si="246"/>
        <v>134036.47166272707</v>
      </c>
      <c r="CB633" s="58">
        <f t="array" ref="CB633">SUM(IF(BY633:BZ633&gt;=BY633, 1))</f>
        <v>2</v>
      </c>
      <c r="CC633" s="58">
        <f t="array" ref="CC633">SUM(IF(BY633:BZ633&gt;=BZ633, 1))</f>
        <v>1</v>
      </c>
      <c r="CE633" s="109">
        <f t="shared" si="247"/>
        <v>93629.729648030989</v>
      </c>
      <c r="CF633" s="109">
        <f t="shared" si="248"/>
        <v>95914.17663538245</v>
      </c>
      <c r="CH633" s="58">
        <f t="array" ref="CH633">SUM(IF(CE633:CF633&gt;=CE633, 1))</f>
        <v>2</v>
      </c>
      <c r="CI633" s="58">
        <f t="array" ref="CI633">SUM(IF(CE633:CF633&gt;=CF633, 1))</f>
        <v>1</v>
      </c>
      <c r="CK633" s="109">
        <f t="shared" si="249"/>
        <v>48531.020424468006</v>
      </c>
      <c r="CL633" s="109">
        <f t="shared" si="250"/>
        <v>49808.009536727521</v>
      </c>
      <c r="CN633" s="58">
        <f t="array" ref="CN633">SUM(IF(CK633:CL633&gt;=CK633, 1))</f>
        <v>2</v>
      </c>
      <c r="CO633" s="58">
        <f t="array" ref="CO633">SUM(IF(CK633:CL633&gt;=CL633, 1))</f>
        <v>1</v>
      </c>
      <c r="CQ633" s="109" cm="1">
        <f t="array" ref="CQ633">AF633*WTP-AC633</f>
        <v>51908.273104029278</v>
      </c>
      <c r="CR633" s="109">
        <f t="shared" si="251"/>
        <v>55436.476602681796</v>
      </c>
      <c r="CT633" s="58">
        <f t="array" ref="CT633">SUM(IF(CQ633:CR633&gt;=CQ633, 1))</f>
        <v>2</v>
      </c>
      <c r="CU633" s="58">
        <f t="array" ref="CU633">SUM(IF(CQ633:CR633&gt;=CR633, 1))</f>
        <v>1</v>
      </c>
      <c r="CW633" s="109">
        <f t="shared" si="252"/>
        <v>-39723151.061714135</v>
      </c>
      <c r="CX633" s="109">
        <f t="shared" si="253"/>
        <v>0</v>
      </c>
      <c r="CZ633" s="58">
        <f t="array" ref="CZ633">SUM(IF(CW633:CX633&gt;=CW633, 1))</f>
        <v>2</v>
      </c>
      <c r="DA633" s="58">
        <f t="array" ref="DA633">SUM(IF(CW633:CX633&gt;=CX633, 1))</f>
        <v>1</v>
      </c>
      <c r="DC633" s="109">
        <f t="shared" si="254"/>
        <v>-2405818.1026707185</v>
      </c>
      <c r="DD633" s="109">
        <f t="shared" si="255"/>
        <v>0</v>
      </c>
      <c r="DF633" s="58">
        <f t="array" ref="DF633">SUM(IF(DC633:DD633&gt;=DC633, 1))</f>
        <v>2</v>
      </c>
      <c r="DG633" s="58">
        <f t="array" ref="DG633">SUM(IF(DC633:DD633&gt;=DD633, 1))</f>
        <v>1</v>
      </c>
      <c r="DI633" s="109">
        <f t="shared" si="256"/>
        <v>-53516968.905874096</v>
      </c>
      <c r="DJ633" s="109">
        <f t="shared" si="257"/>
        <v>0</v>
      </c>
      <c r="DL633" s="58">
        <f t="array" ref="DL633">SUM(IF(DI633:DJ633&gt;=DI633, 1))</f>
        <v>2</v>
      </c>
      <c r="DM633" s="58">
        <f t="array" ref="DM633">SUM(IF(DI633:DJ633&gt;=DJ633, 1))</f>
        <v>1</v>
      </c>
      <c r="DO633" s="109">
        <f t="shared" si="258"/>
        <v>-11685466.680036427</v>
      </c>
      <c r="DP633" s="109">
        <f t="shared" si="259"/>
        <v>0</v>
      </c>
      <c r="DR633" s="58">
        <f t="array" ref="DR633">SUM(IF(DO633:DP633&gt;=DO633, 1))</f>
        <v>2</v>
      </c>
      <c r="DS633" s="58">
        <f t="array" ref="DS633">SUM(IF(DO633:DP633&gt;=DP633, 1))</f>
        <v>1</v>
      </c>
      <c r="DU633" s="109">
        <f t="shared" si="260"/>
        <v>-56540569.363003142</v>
      </c>
      <c r="DV633" s="109">
        <f t="shared" si="261"/>
        <v>0</v>
      </c>
      <c r="DX633" s="58">
        <f t="array" ref="DX633">SUM(IF(DU633:DV633&gt;=DU633, 1))</f>
        <v>2</v>
      </c>
      <c r="DY633" s="58">
        <f t="array" ref="DY633">SUM(IF(DU633:DV633&gt;=DV633, 1))</f>
        <v>1</v>
      </c>
      <c r="EA633" s="109">
        <f t="shared" si="262"/>
        <v>-163871974.11329854</v>
      </c>
      <c r="EB633" s="109">
        <f t="shared" si="263"/>
        <v>0</v>
      </c>
      <c r="ED633" s="58">
        <f t="array" ref="ED633">SUM(IF(EA633:EB633&gt;=EA633, 1))</f>
        <v>2</v>
      </c>
      <c r="EE633" s="58">
        <f t="array" ref="EE633">SUM(IF(EA633:EB633&gt;=EB633, 1))</f>
        <v>1</v>
      </c>
    </row>
    <row r="634" spans="4:135" ht="12" customHeight="1" x14ac:dyDescent="0.25">
      <c r="D634" s="11">
        <v>618</v>
      </c>
      <c r="E634" s="72">
        <v>260.62248861233098</v>
      </c>
      <c r="F634" s="72">
        <v>239.48738501878435</v>
      </c>
      <c r="G634" s="73"/>
      <c r="H634" s="74">
        <v>5.8318377874491523</v>
      </c>
      <c r="I634" s="74">
        <v>5.8474491633014258</v>
      </c>
      <c r="J634" s="73"/>
      <c r="K634" s="72">
        <v>279.90030709586136</v>
      </c>
      <c r="L634" s="72">
        <v>258.24239079488081</v>
      </c>
      <c r="M634" s="73"/>
      <c r="N634" s="74">
        <v>6.7109725533355649</v>
      </c>
      <c r="O634" s="74">
        <v>6.7241697697434555</v>
      </c>
      <c r="P634" s="73"/>
      <c r="Q634" s="72">
        <v>2504.7692756488286</v>
      </c>
      <c r="R634" s="72">
        <v>1759.0083180678828</v>
      </c>
      <c r="S634" s="73"/>
      <c r="T634" s="74">
        <v>4.8419147060469285</v>
      </c>
      <c r="U634" s="74">
        <v>4.8977988356285085</v>
      </c>
      <c r="V634" s="73"/>
      <c r="W634" s="72">
        <v>12203.609780938439</v>
      </c>
      <c r="X634" s="72">
        <v>12220.346389479462</v>
      </c>
      <c r="Y634" s="73"/>
      <c r="Z634" s="74">
        <v>2.8717670107848932</v>
      </c>
      <c r="AA634" s="74">
        <v>2.9145842018840971</v>
      </c>
      <c r="AB634" s="73"/>
      <c r="AC634" s="72">
        <v>51362.051108040905</v>
      </c>
      <c r="AD634" s="72">
        <v>50904.419427902656</v>
      </c>
      <c r="AE634" s="73"/>
      <c r="AF634" s="74">
        <v>4.2724541177769488</v>
      </c>
      <c r="AG634" s="74">
        <v>4.4268386110750555</v>
      </c>
      <c r="AH634" s="73"/>
      <c r="AI634" s="72">
        <v>2268591.4693291509</v>
      </c>
      <c r="AJ634" s="72">
        <v>0</v>
      </c>
      <c r="AK634" s="73"/>
      <c r="AL634" s="74">
        <v>-1675.6877450921388</v>
      </c>
      <c r="AM634" s="74">
        <v>0</v>
      </c>
      <c r="AN634" s="73"/>
      <c r="AO634" s="72">
        <v>149169.04634196611</v>
      </c>
      <c r="AP634" s="72">
        <v>0</v>
      </c>
      <c r="AQ634" s="73"/>
      <c r="AR634" s="74">
        <v>-90.895918082593326</v>
      </c>
      <c r="AS634" s="74">
        <v>0</v>
      </c>
      <c r="AT634" s="73"/>
      <c r="AU634" s="72">
        <v>17326594.635371942</v>
      </c>
      <c r="AV634" s="72">
        <v>0</v>
      </c>
      <c r="AW634" s="73"/>
      <c r="AX634" s="74">
        <v>-1298.3807344266011</v>
      </c>
      <c r="AY634" s="74">
        <v>0</v>
      </c>
      <c r="AZ634" s="73"/>
      <c r="BA634" s="72">
        <v>-159296.7639719682</v>
      </c>
      <c r="BB634" s="72">
        <v>0</v>
      </c>
      <c r="BC634" s="73"/>
      <c r="BD634" s="74">
        <v>-407.52820189075203</v>
      </c>
      <c r="BE634" s="74">
        <v>0</v>
      </c>
      <c r="BF634" s="73"/>
      <c r="BG634" s="72">
        <v>7266905.8937591659</v>
      </c>
      <c r="BH634" s="72">
        <v>0</v>
      </c>
      <c r="BI634" s="73"/>
      <c r="BJ634" s="74">
        <v>-2451.5295442704319</v>
      </c>
      <c r="BK634" s="74">
        <v>0</v>
      </c>
      <c r="BL634" s="73"/>
      <c r="BM634" s="72">
        <v>26851964.280830253</v>
      </c>
      <c r="BN634" s="72">
        <v>0</v>
      </c>
      <c r="BO634" s="73"/>
      <c r="BP634" s="74">
        <v>-5924.0221437625169</v>
      </c>
      <c r="BQ634" s="74">
        <v>0</v>
      </c>
      <c r="BS634" s="109">
        <f t="shared" si="243"/>
        <v>116376.13326037071</v>
      </c>
      <c r="BT634" s="109">
        <f t="shared" si="244"/>
        <v>116709.49588100973</v>
      </c>
      <c r="BV634" s="58">
        <f t="array" ref="BV634">SUM(IF(BS634:BT634&gt;=BS634, 1))</f>
        <v>2</v>
      </c>
      <c r="BW634" s="58">
        <f t="array" ref="BW634">SUM(IF(BS634:BT634&gt;=BT634, 1))</f>
        <v>1</v>
      </c>
      <c r="BY634" s="109">
        <f t="shared" si="245"/>
        <v>133939.55075961543</v>
      </c>
      <c r="BZ634" s="109">
        <f t="shared" si="246"/>
        <v>134225.15300407424</v>
      </c>
      <c r="CB634" s="58">
        <f t="array" ref="CB634">SUM(IF(BY634:BZ634&gt;=BY634, 1))</f>
        <v>2</v>
      </c>
      <c r="CC634" s="58">
        <f t="array" ref="CC634">SUM(IF(BY634:BZ634&gt;=BZ634, 1))</f>
        <v>1</v>
      </c>
      <c r="CE634" s="109">
        <f t="shared" si="247"/>
        <v>94333.52484528975</v>
      </c>
      <c r="CF634" s="109">
        <f t="shared" si="248"/>
        <v>96196.968394502299</v>
      </c>
      <c r="CH634" s="58">
        <f t="array" ref="CH634">SUM(IF(CE634:CF634&gt;=CE634, 1))</f>
        <v>2</v>
      </c>
      <c r="CI634" s="58">
        <f t="array" ref="CI634">SUM(IF(CE634:CF634&gt;=CF634, 1))</f>
        <v>1</v>
      </c>
      <c r="CK634" s="109">
        <f t="shared" si="249"/>
        <v>45231.730434759425</v>
      </c>
      <c r="CL634" s="109">
        <f t="shared" si="250"/>
        <v>46071.337648202476</v>
      </c>
      <c r="CN634" s="58">
        <f t="array" ref="CN634">SUM(IF(CK634:CL634&gt;=CK634, 1))</f>
        <v>2</v>
      </c>
      <c r="CO634" s="58">
        <f t="array" ref="CO634">SUM(IF(CK634:CL634&gt;=CL634, 1))</f>
        <v>1</v>
      </c>
      <c r="CQ634" s="109" cm="1">
        <f t="array" ref="CQ634">AF634*WTP-AC634</f>
        <v>34087.031247498075</v>
      </c>
      <c r="CR634" s="109">
        <f t="shared" si="251"/>
        <v>37632.35279359846</v>
      </c>
      <c r="CT634" s="58">
        <f t="array" ref="CT634">SUM(IF(CQ634:CR634&gt;=CQ634, 1))</f>
        <v>2</v>
      </c>
      <c r="CU634" s="58">
        <f t="array" ref="CU634">SUM(IF(CQ634:CR634&gt;=CR634, 1))</f>
        <v>1</v>
      </c>
      <c r="CW634" s="109">
        <f t="shared" si="252"/>
        <v>-35782346.371171929</v>
      </c>
      <c r="CX634" s="109">
        <f t="shared" si="253"/>
        <v>0</v>
      </c>
      <c r="CZ634" s="58">
        <f t="array" ref="CZ634">SUM(IF(CW634:CX634&gt;=CW634, 1))</f>
        <v>2</v>
      </c>
      <c r="DA634" s="58">
        <f t="array" ref="DA634">SUM(IF(CW634:CX634&gt;=CX634, 1))</f>
        <v>1</v>
      </c>
      <c r="DC634" s="109">
        <f t="shared" si="254"/>
        <v>-1967087.4079938326</v>
      </c>
      <c r="DD634" s="109">
        <f t="shared" si="255"/>
        <v>0</v>
      </c>
      <c r="DF634" s="58">
        <f t="array" ref="DF634">SUM(IF(DC634:DD634&gt;=DC634, 1))</f>
        <v>2</v>
      </c>
      <c r="DG634" s="58">
        <f t="array" ref="DG634">SUM(IF(DC634:DD634&gt;=DD634, 1))</f>
        <v>1</v>
      </c>
      <c r="DI634" s="109">
        <f t="shared" si="256"/>
        <v>-43294209.323903963</v>
      </c>
      <c r="DJ634" s="109">
        <f t="shared" si="257"/>
        <v>0</v>
      </c>
      <c r="DL634" s="58">
        <f t="array" ref="DL634">SUM(IF(DI634:DJ634&gt;=DI634, 1))</f>
        <v>2</v>
      </c>
      <c r="DM634" s="58">
        <f t="array" ref="DM634">SUM(IF(DI634:DJ634&gt;=DJ634, 1))</f>
        <v>1</v>
      </c>
      <c r="DO634" s="109">
        <f t="shared" si="258"/>
        <v>-7991267.2738430724</v>
      </c>
      <c r="DP634" s="109">
        <f t="shared" si="259"/>
        <v>0</v>
      </c>
      <c r="DR634" s="58">
        <f t="array" ref="DR634">SUM(IF(DO634:DP634&gt;=DO634, 1))</f>
        <v>2</v>
      </c>
      <c r="DS634" s="58">
        <f t="array" ref="DS634">SUM(IF(DO634:DP634&gt;=DP634, 1))</f>
        <v>1</v>
      </c>
      <c r="DU634" s="109">
        <f t="shared" si="260"/>
        <v>-56297496.779167809</v>
      </c>
      <c r="DV634" s="109">
        <f t="shared" si="261"/>
        <v>0</v>
      </c>
      <c r="DX634" s="58">
        <f t="array" ref="DX634">SUM(IF(DU634:DV634&gt;=DU634, 1))</f>
        <v>2</v>
      </c>
      <c r="DY634" s="58">
        <f t="array" ref="DY634">SUM(IF(DU634:DV634&gt;=DV634, 1))</f>
        <v>1</v>
      </c>
      <c r="EA634" s="109">
        <f t="shared" si="262"/>
        <v>-145332407.1560806</v>
      </c>
      <c r="EB634" s="109">
        <f t="shared" si="263"/>
        <v>0</v>
      </c>
      <c r="ED634" s="58">
        <f t="array" ref="ED634">SUM(IF(EA634:EB634&gt;=EA634, 1))</f>
        <v>2</v>
      </c>
      <c r="EE634" s="58">
        <f t="array" ref="EE634">SUM(IF(EA634:EB634&gt;=EB634, 1))</f>
        <v>1</v>
      </c>
    </row>
    <row r="635" spans="4:135" ht="12" customHeight="1" x14ac:dyDescent="0.25">
      <c r="D635" s="11">
        <v>619</v>
      </c>
      <c r="E635" s="72">
        <v>260.88971982432514</v>
      </c>
      <c r="F635" s="72">
        <v>259.55311720309919</v>
      </c>
      <c r="G635" s="73"/>
      <c r="H635" s="74">
        <v>5.8294893756583352</v>
      </c>
      <c r="I635" s="74">
        <v>5.8446158242732098</v>
      </c>
      <c r="J635" s="73"/>
      <c r="K635" s="72">
        <v>281.41771816887194</v>
      </c>
      <c r="L635" s="72">
        <v>280.00754244416254</v>
      </c>
      <c r="M635" s="73"/>
      <c r="N635" s="74">
        <v>6.699726467275755</v>
      </c>
      <c r="O635" s="74">
        <v>6.7128386557994304</v>
      </c>
      <c r="P635" s="73"/>
      <c r="Q635" s="72">
        <v>1822.773212137213</v>
      </c>
      <c r="R635" s="72">
        <v>1274.0606801664987</v>
      </c>
      <c r="S635" s="73"/>
      <c r="T635" s="74">
        <v>4.9523274742617973</v>
      </c>
      <c r="U635" s="74">
        <v>5.017347340654541</v>
      </c>
      <c r="V635" s="73"/>
      <c r="W635" s="72">
        <v>11862.260871699569</v>
      </c>
      <c r="X635" s="72">
        <v>11924.530288488655</v>
      </c>
      <c r="Y635" s="73"/>
      <c r="Z635" s="74">
        <v>3.0828242740358003</v>
      </c>
      <c r="AA635" s="74">
        <v>3.1564519570961891</v>
      </c>
      <c r="AB635" s="73"/>
      <c r="AC635" s="72">
        <v>49304.370801989317</v>
      </c>
      <c r="AD635" s="72">
        <v>49295.213026301957</v>
      </c>
      <c r="AE635" s="73"/>
      <c r="AF635" s="74">
        <v>4.9425151934759013</v>
      </c>
      <c r="AG635" s="74">
        <v>5.0116337550247563</v>
      </c>
      <c r="AH635" s="73"/>
      <c r="AI635" s="72">
        <v>143989.2945839988</v>
      </c>
      <c r="AJ635" s="72">
        <v>0</v>
      </c>
      <c r="AK635" s="73"/>
      <c r="AL635" s="74">
        <v>-1629.5394240804039</v>
      </c>
      <c r="AM635" s="74">
        <v>0</v>
      </c>
      <c r="AN635" s="73"/>
      <c r="AO635" s="72">
        <v>9960.6789897792187</v>
      </c>
      <c r="AP635" s="72">
        <v>0</v>
      </c>
      <c r="AQ635" s="73"/>
      <c r="AR635" s="74">
        <v>-92.617039457767845</v>
      </c>
      <c r="AS635" s="74">
        <v>0</v>
      </c>
      <c r="AT635" s="73"/>
      <c r="AU635" s="72">
        <v>12793011.161307326</v>
      </c>
      <c r="AV635" s="72">
        <v>0</v>
      </c>
      <c r="AW635" s="73"/>
      <c r="AX635" s="74">
        <v>-1515.9119356754111</v>
      </c>
      <c r="AY635" s="74">
        <v>0</v>
      </c>
      <c r="AZ635" s="73"/>
      <c r="BA635" s="72">
        <v>-581269.37155934528</v>
      </c>
      <c r="BB635" s="72">
        <v>0</v>
      </c>
      <c r="BC635" s="73"/>
      <c r="BD635" s="74">
        <v>-687.29593544842839</v>
      </c>
      <c r="BE635" s="74">
        <v>0</v>
      </c>
      <c r="BF635" s="73"/>
      <c r="BG635" s="72">
        <v>143079.75841112726</v>
      </c>
      <c r="BH635" s="72">
        <v>0</v>
      </c>
      <c r="BI635" s="73"/>
      <c r="BJ635" s="74">
        <v>-1079.8983755176898</v>
      </c>
      <c r="BK635" s="74">
        <v>0</v>
      </c>
      <c r="BL635" s="73"/>
      <c r="BM635" s="72">
        <v>12508771.521732885</v>
      </c>
      <c r="BN635" s="72">
        <v>0</v>
      </c>
      <c r="BO635" s="73"/>
      <c r="BP635" s="74">
        <v>-5005.2627101797007</v>
      </c>
      <c r="BQ635" s="74">
        <v>0</v>
      </c>
      <c r="BS635" s="109">
        <f t="shared" si="243"/>
        <v>116328.89779334239</v>
      </c>
      <c r="BT635" s="109">
        <f t="shared" si="244"/>
        <v>116632.76336826109</v>
      </c>
      <c r="BV635" s="58">
        <f t="array" ref="BV635">SUM(IF(BS635:BT635&gt;=BS635, 1))</f>
        <v>2</v>
      </c>
      <c r="BW635" s="58">
        <f t="array" ref="BW635">SUM(IF(BS635:BT635&gt;=BT635, 1))</f>
        <v>1</v>
      </c>
      <c r="BY635" s="109">
        <f t="shared" si="245"/>
        <v>133713.11162734622</v>
      </c>
      <c r="BZ635" s="109">
        <f t="shared" si="246"/>
        <v>133976.76557354446</v>
      </c>
      <c r="CB635" s="58">
        <f t="array" ref="CB635">SUM(IF(BY635:BZ635&gt;=BY635, 1))</f>
        <v>2</v>
      </c>
      <c r="CC635" s="58">
        <f t="array" ref="CC635">SUM(IF(BY635:BZ635&gt;=BZ635, 1))</f>
        <v>1</v>
      </c>
      <c r="CE635" s="109">
        <f t="shared" si="247"/>
        <v>97223.776273098731</v>
      </c>
      <c r="CF635" s="109">
        <f t="shared" si="248"/>
        <v>99072.886132924323</v>
      </c>
      <c r="CH635" s="58">
        <f t="array" ref="CH635">SUM(IF(CE635:CF635&gt;=CE635, 1))</f>
        <v>2</v>
      </c>
      <c r="CI635" s="58">
        <f t="array" ref="CI635">SUM(IF(CE635:CF635&gt;=CF635, 1))</f>
        <v>1</v>
      </c>
      <c r="CK635" s="109">
        <f t="shared" si="249"/>
        <v>49794.224609016441</v>
      </c>
      <c r="CL635" s="109">
        <f t="shared" si="250"/>
        <v>51204.508853435123</v>
      </c>
      <c r="CN635" s="58">
        <f t="array" ref="CN635">SUM(IF(CK635:CL635&gt;=CK635, 1))</f>
        <v>2</v>
      </c>
      <c r="CO635" s="58">
        <f t="array" ref="CO635">SUM(IF(CK635:CL635&gt;=CL635, 1))</f>
        <v>1</v>
      </c>
      <c r="CQ635" s="109" cm="1">
        <f t="array" ref="CQ635">AF635*WTP-AC635</f>
        <v>49545.933067528713</v>
      </c>
      <c r="CR635" s="109">
        <f t="shared" si="251"/>
        <v>50937.462074193165</v>
      </c>
      <c r="CT635" s="58">
        <f t="array" ref="CT635">SUM(IF(CQ635:CR635&gt;=CQ635, 1))</f>
        <v>2</v>
      </c>
      <c r="CU635" s="58">
        <f t="array" ref="CU635">SUM(IF(CQ635:CR635&gt;=CR635, 1))</f>
        <v>1</v>
      </c>
      <c r="CW635" s="109">
        <f t="shared" si="252"/>
        <v>-32734777.776192077</v>
      </c>
      <c r="CX635" s="109">
        <f t="shared" si="253"/>
        <v>0</v>
      </c>
      <c r="CZ635" s="58">
        <f t="array" ref="CZ635">SUM(IF(CW635:CX635&gt;=CW635, 1))</f>
        <v>2</v>
      </c>
      <c r="DA635" s="58">
        <f t="array" ref="DA635">SUM(IF(CW635:CX635&gt;=CX635, 1))</f>
        <v>1</v>
      </c>
      <c r="DC635" s="109">
        <f t="shared" si="254"/>
        <v>-1862301.468145136</v>
      </c>
      <c r="DD635" s="109">
        <f t="shared" si="255"/>
        <v>0</v>
      </c>
      <c r="DF635" s="58">
        <f t="array" ref="DF635">SUM(IF(DC635:DD635&gt;=DC635, 1))</f>
        <v>2</v>
      </c>
      <c r="DG635" s="58">
        <f t="array" ref="DG635">SUM(IF(DC635:DD635&gt;=DD635, 1))</f>
        <v>1</v>
      </c>
      <c r="DI635" s="109">
        <f t="shared" si="256"/>
        <v>-43111249.874815546</v>
      </c>
      <c r="DJ635" s="109">
        <f t="shared" si="257"/>
        <v>0</v>
      </c>
      <c r="DL635" s="58">
        <f t="array" ref="DL635">SUM(IF(DI635:DJ635&gt;=DI635, 1))</f>
        <v>2</v>
      </c>
      <c r="DM635" s="58">
        <f t="array" ref="DM635">SUM(IF(DI635:DJ635&gt;=DJ635, 1))</f>
        <v>1</v>
      </c>
      <c r="DO635" s="109">
        <f t="shared" si="258"/>
        <v>-13164649.337409222</v>
      </c>
      <c r="DP635" s="109">
        <f t="shared" si="259"/>
        <v>0</v>
      </c>
      <c r="DR635" s="58">
        <f t="array" ref="DR635">SUM(IF(DO635:DP635&gt;=DO635, 1))</f>
        <v>2</v>
      </c>
      <c r="DS635" s="58">
        <f t="array" ref="DS635">SUM(IF(DO635:DP635&gt;=DP635, 1))</f>
        <v>1</v>
      </c>
      <c r="DU635" s="109">
        <f t="shared" si="260"/>
        <v>-21741047.268764924</v>
      </c>
      <c r="DV635" s="109">
        <f t="shared" si="261"/>
        <v>0</v>
      </c>
      <c r="DX635" s="58">
        <f t="array" ref="DX635">SUM(IF(DU635:DV635&gt;=DU635, 1))</f>
        <v>2</v>
      </c>
      <c r="DY635" s="58">
        <f t="array" ref="DY635">SUM(IF(DU635:DV635&gt;=DV635, 1))</f>
        <v>1</v>
      </c>
      <c r="EA635" s="109">
        <f t="shared" si="262"/>
        <v>-112614025.7253269</v>
      </c>
      <c r="EB635" s="109">
        <f t="shared" si="263"/>
        <v>0</v>
      </c>
      <c r="ED635" s="58">
        <f t="array" ref="ED635">SUM(IF(EA635:EB635&gt;=EA635, 1))</f>
        <v>2</v>
      </c>
      <c r="EE635" s="58">
        <f t="array" ref="EE635">SUM(IF(EA635:EB635&gt;=EB635, 1))</f>
        <v>1</v>
      </c>
    </row>
    <row r="636" spans="4:135" ht="12" customHeight="1" x14ac:dyDescent="0.25">
      <c r="D636" s="11">
        <v>620</v>
      </c>
      <c r="E636" s="72">
        <v>348.95858213150626</v>
      </c>
      <c r="F636" s="72">
        <v>317.46974772555632</v>
      </c>
      <c r="G636" s="73"/>
      <c r="H636" s="74">
        <v>5.8072500063577888</v>
      </c>
      <c r="I636" s="74">
        <v>5.8250698986804519</v>
      </c>
      <c r="J636" s="73"/>
      <c r="K636" s="72">
        <v>374.57750607150194</v>
      </c>
      <c r="L636" s="72">
        <v>342.32977253909803</v>
      </c>
      <c r="M636" s="73"/>
      <c r="N636" s="74">
        <v>6.7597762936719388</v>
      </c>
      <c r="O636" s="74">
        <v>6.7757038448923836</v>
      </c>
      <c r="P636" s="73"/>
      <c r="Q636" s="72">
        <v>2236.3764728227493</v>
      </c>
      <c r="R636" s="72">
        <v>1492.1486279440971</v>
      </c>
      <c r="S636" s="73"/>
      <c r="T636" s="74">
        <v>4.9628380016500477</v>
      </c>
      <c r="U636" s="74">
        <v>5.0531566187872707</v>
      </c>
      <c r="V636" s="73"/>
      <c r="W636" s="72">
        <v>8026.1924387934569</v>
      </c>
      <c r="X636" s="72">
        <v>7987.4289364968627</v>
      </c>
      <c r="Y636" s="73"/>
      <c r="Z636" s="74">
        <v>3.1046015208873401</v>
      </c>
      <c r="AA636" s="74">
        <v>3.1362101618947875</v>
      </c>
      <c r="AB636" s="73"/>
      <c r="AC636" s="72">
        <v>51092.805302500972</v>
      </c>
      <c r="AD636" s="72">
        <v>50871.231002013556</v>
      </c>
      <c r="AE636" s="73"/>
      <c r="AF636" s="74">
        <v>4.347255182737551</v>
      </c>
      <c r="AG636" s="74">
        <v>4.4405080069176845</v>
      </c>
      <c r="AH636" s="73"/>
      <c r="AI636" s="72">
        <v>3359641.1990478155</v>
      </c>
      <c r="AJ636" s="72">
        <v>0</v>
      </c>
      <c r="AK636" s="73"/>
      <c r="AL636" s="74">
        <v>-1901.2594635291584</v>
      </c>
      <c r="AM636" s="74">
        <v>0</v>
      </c>
      <c r="AN636" s="73"/>
      <c r="AO636" s="72">
        <v>216538.48080317903</v>
      </c>
      <c r="AP636" s="72">
        <v>0</v>
      </c>
      <c r="AQ636" s="73"/>
      <c r="AR636" s="74">
        <v>-106.95101225406495</v>
      </c>
      <c r="AS636" s="74">
        <v>0</v>
      </c>
      <c r="AT636" s="73"/>
      <c r="AU636" s="72">
        <v>17495965.459071435</v>
      </c>
      <c r="AV636" s="72">
        <v>0</v>
      </c>
      <c r="AW636" s="73"/>
      <c r="AX636" s="74">
        <v>-2123.2898185925947</v>
      </c>
      <c r="AY636" s="74">
        <v>0</v>
      </c>
      <c r="AZ636" s="73"/>
      <c r="BA636" s="72">
        <v>346447.80038093915</v>
      </c>
      <c r="BB636" s="72">
        <v>0</v>
      </c>
      <c r="BC636" s="73"/>
      <c r="BD636" s="74">
        <v>-282.50141244391784</v>
      </c>
      <c r="BE636" s="74">
        <v>0</v>
      </c>
      <c r="BF636" s="73"/>
      <c r="BG636" s="72">
        <v>3512935.3475570763</v>
      </c>
      <c r="BH636" s="72">
        <v>0</v>
      </c>
      <c r="BI636" s="73"/>
      <c r="BJ636" s="74">
        <v>-1478.470840712507</v>
      </c>
      <c r="BK636" s="74">
        <v>0</v>
      </c>
      <c r="BL636" s="73"/>
      <c r="BM636" s="72">
        <v>24931528.286860444</v>
      </c>
      <c r="BN636" s="72">
        <v>0</v>
      </c>
      <c r="BO636" s="73"/>
      <c r="BP636" s="74">
        <v>-5892.472547532243</v>
      </c>
      <c r="BQ636" s="74">
        <v>0</v>
      </c>
      <c r="BS636" s="109">
        <f t="shared" si="243"/>
        <v>115796.04154502426</v>
      </c>
      <c r="BT636" s="109">
        <f t="shared" si="244"/>
        <v>116183.92822588349</v>
      </c>
      <c r="BV636" s="58">
        <f t="array" ref="BV636">SUM(IF(BS636:BT636&gt;=BS636, 1))</f>
        <v>2</v>
      </c>
      <c r="BW636" s="58">
        <f t="array" ref="BW636">SUM(IF(BS636:BT636&gt;=BT636, 1))</f>
        <v>1</v>
      </c>
      <c r="BY636" s="109">
        <f t="shared" si="245"/>
        <v>134820.94836736727</v>
      </c>
      <c r="BZ636" s="109">
        <f t="shared" si="246"/>
        <v>135171.74712530858</v>
      </c>
      <c r="CB636" s="58">
        <f t="array" ref="CB636">SUM(IF(BY636:BZ636&gt;=BY636, 1))</f>
        <v>2</v>
      </c>
      <c r="CC636" s="58">
        <f t="array" ref="CC636">SUM(IF(BY636:BZ636&gt;=BZ636, 1))</f>
        <v>1</v>
      </c>
      <c r="CE636" s="109">
        <f t="shared" si="247"/>
        <v>97020.383560178205</v>
      </c>
      <c r="CF636" s="109">
        <f t="shared" si="248"/>
        <v>99570.983747801307</v>
      </c>
      <c r="CH636" s="58">
        <f t="array" ref="CH636">SUM(IF(CE636:CF636&gt;=CE636, 1))</f>
        <v>2</v>
      </c>
      <c r="CI636" s="58">
        <f t="array" ref="CI636">SUM(IF(CE636:CF636&gt;=CF636, 1))</f>
        <v>1</v>
      </c>
      <c r="CK636" s="109">
        <f t="shared" si="249"/>
        <v>54065.837978953343</v>
      </c>
      <c r="CL636" s="109">
        <f t="shared" si="250"/>
        <v>54736.774301398887</v>
      </c>
      <c r="CN636" s="58">
        <f t="array" ref="CN636">SUM(IF(CK636:CL636&gt;=CK636, 1))</f>
        <v>2</v>
      </c>
      <c r="CO636" s="58">
        <f t="array" ref="CO636">SUM(IF(CK636:CL636&gt;=CL636, 1))</f>
        <v>1</v>
      </c>
      <c r="CQ636" s="109" cm="1">
        <f t="array" ref="CQ636">AF636*WTP-AC636</f>
        <v>35852.298352250044</v>
      </c>
      <c r="CR636" s="109">
        <f t="shared" si="251"/>
        <v>37938.929136340135</v>
      </c>
      <c r="CT636" s="58">
        <f t="array" ref="CT636">SUM(IF(CQ636:CR636&gt;=CQ636, 1))</f>
        <v>2</v>
      </c>
      <c r="CU636" s="58">
        <f t="array" ref="CU636">SUM(IF(CQ636:CR636&gt;=CR636, 1))</f>
        <v>1</v>
      </c>
      <c r="CW636" s="109">
        <f t="shared" si="252"/>
        <v>-41384830.469630986</v>
      </c>
      <c r="CX636" s="109">
        <f t="shared" si="253"/>
        <v>0</v>
      </c>
      <c r="CZ636" s="58">
        <f t="array" ref="CZ636">SUM(IF(CW636:CX636&gt;=CW636, 1))</f>
        <v>2</v>
      </c>
      <c r="DA636" s="58">
        <f t="array" ref="DA636">SUM(IF(CW636:CX636&gt;=CX636, 1))</f>
        <v>1</v>
      </c>
      <c r="DC636" s="109">
        <f t="shared" si="254"/>
        <v>-2355558.7258844781</v>
      </c>
      <c r="DD636" s="109">
        <f t="shared" si="255"/>
        <v>0</v>
      </c>
      <c r="DF636" s="58">
        <f t="array" ref="DF636">SUM(IF(DC636:DD636&gt;=DC636, 1))</f>
        <v>2</v>
      </c>
      <c r="DG636" s="58">
        <f t="array" ref="DG636">SUM(IF(DC636:DD636&gt;=DD636, 1))</f>
        <v>1</v>
      </c>
      <c r="DI636" s="109">
        <f t="shared" si="256"/>
        <v>-59961761.830923326</v>
      </c>
      <c r="DJ636" s="109">
        <f t="shared" si="257"/>
        <v>0</v>
      </c>
      <c r="DL636" s="58">
        <f t="array" ref="DL636">SUM(IF(DI636:DJ636&gt;=DI636, 1))</f>
        <v>2</v>
      </c>
      <c r="DM636" s="58">
        <f t="array" ref="DM636">SUM(IF(DI636:DJ636&gt;=DJ636, 1))</f>
        <v>1</v>
      </c>
      <c r="DO636" s="109">
        <f t="shared" si="258"/>
        <v>-5996476.0492592957</v>
      </c>
      <c r="DP636" s="109">
        <f t="shared" si="259"/>
        <v>0</v>
      </c>
      <c r="DR636" s="58">
        <f t="array" ref="DR636">SUM(IF(DO636:DP636&gt;=DO636, 1))</f>
        <v>2</v>
      </c>
      <c r="DS636" s="58">
        <f t="array" ref="DS636">SUM(IF(DO636:DP636&gt;=DP636, 1))</f>
        <v>1</v>
      </c>
      <c r="DU636" s="109">
        <f t="shared" si="260"/>
        <v>-33082352.161807213</v>
      </c>
      <c r="DV636" s="109">
        <f t="shared" si="261"/>
        <v>0</v>
      </c>
      <c r="DX636" s="58">
        <f t="array" ref="DX636">SUM(IF(DU636:DV636&gt;=DU636, 1))</f>
        <v>2</v>
      </c>
      <c r="DY636" s="58">
        <f t="array" ref="DY636">SUM(IF(DU636:DV636&gt;=DV636, 1))</f>
        <v>1</v>
      </c>
      <c r="EA636" s="109">
        <f t="shared" si="262"/>
        <v>-142780979.23750532</v>
      </c>
      <c r="EB636" s="109">
        <f t="shared" si="263"/>
        <v>0</v>
      </c>
      <c r="ED636" s="58">
        <f t="array" ref="ED636">SUM(IF(EA636:EB636&gt;=EA636, 1))</f>
        <v>2</v>
      </c>
      <c r="EE636" s="58">
        <f t="array" ref="EE636">SUM(IF(EA636:EB636&gt;=EB636, 1))</f>
        <v>1</v>
      </c>
    </row>
    <row r="637" spans="4:135" ht="12" customHeight="1" x14ac:dyDescent="0.25">
      <c r="D637" s="11">
        <v>621</v>
      </c>
      <c r="E637" s="72">
        <v>270.76671910268328</v>
      </c>
      <c r="F637" s="72">
        <v>240.07231455950676</v>
      </c>
      <c r="G637" s="73"/>
      <c r="H637" s="74">
        <v>5.8858160099104619</v>
      </c>
      <c r="I637" s="74">
        <v>5.9011392494007602</v>
      </c>
      <c r="J637" s="73"/>
      <c r="K637" s="72">
        <v>290.18781258704922</v>
      </c>
      <c r="L637" s="72">
        <v>258.7645310901047</v>
      </c>
      <c r="M637" s="73"/>
      <c r="N637" s="74">
        <v>6.7176462162163908</v>
      </c>
      <c r="O637" s="74">
        <v>6.73044679658212</v>
      </c>
      <c r="P637" s="73"/>
      <c r="Q637" s="72">
        <v>1937.9137006164613</v>
      </c>
      <c r="R637" s="72">
        <v>1242.696310243671</v>
      </c>
      <c r="S637" s="73"/>
      <c r="T637" s="74">
        <v>4.81060791373082</v>
      </c>
      <c r="U637" s="74">
        <v>4.8827958393957811</v>
      </c>
      <c r="V637" s="73"/>
      <c r="W637" s="72">
        <v>9442.6463820372774</v>
      </c>
      <c r="X637" s="72">
        <v>9458.8162485444882</v>
      </c>
      <c r="Y637" s="73"/>
      <c r="Z637" s="74">
        <v>2.9957488487636237</v>
      </c>
      <c r="AA637" s="74">
        <v>3.0564233229752271</v>
      </c>
      <c r="AB637" s="73"/>
      <c r="AC637" s="72">
        <v>48832.086022807307</v>
      </c>
      <c r="AD637" s="72">
        <v>48745.071328864244</v>
      </c>
      <c r="AE637" s="73"/>
      <c r="AF637" s="74">
        <v>4.566059813465313</v>
      </c>
      <c r="AG637" s="74">
        <v>4.7031490870493036</v>
      </c>
      <c r="AH637" s="73"/>
      <c r="AI637" s="72">
        <v>3322296.1568941204</v>
      </c>
      <c r="AJ637" s="72">
        <v>0</v>
      </c>
      <c r="AK637" s="73"/>
      <c r="AL637" s="74">
        <v>-1658.5543986746982</v>
      </c>
      <c r="AM637" s="74">
        <v>0</v>
      </c>
      <c r="AN637" s="73"/>
      <c r="AO637" s="72">
        <v>205792.74273083106</v>
      </c>
      <c r="AP637" s="72">
        <v>0</v>
      </c>
      <c r="AQ637" s="73"/>
      <c r="AR637" s="74">
        <v>-83.831682005139314</v>
      </c>
      <c r="AS637" s="74">
        <v>0</v>
      </c>
      <c r="AT637" s="73"/>
      <c r="AU637" s="72">
        <v>16357375.146572741</v>
      </c>
      <c r="AV637" s="72">
        <v>0</v>
      </c>
      <c r="AW637" s="73"/>
      <c r="AX637" s="74">
        <v>-1698.4687056253051</v>
      </c>
      <c r="AY637" s="74">
        <v>0</v>
      </c>
      <c r="AZ637" s="73"/>
      <c r="BA637" s="72">
        <v>-139884.3216075243</v>
      </c>
      <c r="BB637" s="72">
        <v>0</v>
      </c>
      <c r="BC637" s="73"/>
      <c r="BD637" s="74">
        <v>-524.89039783961607</v>
      </c>
      <c r="BE637" s="74">
        <v>0</v>
      </c>
      <c r="BF637" s="73"/>
      <c r="BG637" s="72">
        <v>1349044.1885927548</v>
      </c>
      <c r="BH637" s="72">
        <v>0</v>
      </c>
      <c r="BI637" s="73"/>
      <c r="BJ637" s="74">
        <v>-2125.382271273596</v>
      </c>
      <c r="BK637" s="74">
        <v>0</v>
      </c>
      <c r="BL637" s="73"/>
      <c r="BM637" s="72">
        <v>21094623.913182925</v>
      </c>
      <c r="BN637" s="72">
        <v>0</v>
      </c>
      <c r="BO637" s="73"/>
      <c r="BP637" s="74">
        <v>-6091.1274554183547</v>
      </c>
      <c r="BQ637" s="74">
        <v>0</v>
      </c>
      <c r="BS637" s="109">
        <f t="shared" si="243"/>
        <v>117445.55347910656</v>
      </c>
      <c r="BT637" s="109">
        <f t="shared" si="244"/>
        <v>117782.7126734557</v>
      </c>
      <c r="BV637" s="58">
        <f t="array" ref="BV637">SUM(IF(BS637:BT637&gt;=BS637, 1))</f>
        <v>2</v>
      </c>
      <c r="BW637" s="58">
        <f t="array" ref="BW637">SUM(IF(BS637:BT637&gt;=BT637, 1))</f>
        <v>1</v>
      </c>
      <c r="BY637" s="109">
        <f t="shared" si="245"/>
        <v>134062.73651174078</v>
      </c>
      <c r="BZ637" s="109">
        <f t="shared" si="246"/>
        <v>134350.1714005523</v>
      </c>
      <c r="CB637" s="58">
        <f t="array" ref="CB637">SUM(IF(BY637:BZ637&gt;=BY637, 1))</f>
        <v>2</v>
      </c>
      <c r="CC637" s="58">
        <f t="array" ref="CC637">SUM(IF(BY637:BZ637&gt;=BZ637, 1))</f>
        <v>1</v>
      </c>
      <c r="CE637" s="109">
        <f t="shared" si="247"/>
        <v>94274.244573999938</v>
      </c>
      <c r="CF637" s="109">
        <f t="shared" si="248"/>
        <v>96413.220477671945</v>
      </c>
      <c r="CH637" s="58">
        <f t="array" ref="CH637">SUM(IF(CE637:CF637&gt;=CE637, 1))</f>
        <v>2</v>
      </c>
      <c r="CI637" s="58">
        <f t="array" ref="CI637">SUM(IF(CE637:CF637&gt;=CF637, 1))</f>
        <v>1</v>
      </c>
      <c r="CK637" s="109">
        <f t="shared" si="249"/>
        <v>50472.330593235194</v>
      </c>
      <c r="CL637" s="109">
        <f t="shared" si="250"/>
        <v>51669.650210960055</v>
      </c>
      <c r="CN637" s="58">
        <f t="array" ref="CN637">SUM(IF(CK637:CL637&gt;=CK637, 1))</f>
        <v>2</v>
      </c>
      <c r="CO637" s="58">
        <f t="array" ref="CO637">SUM(IF(CK637:CL637&gt;=CL637, 1))</f>
        <v>1</v>
      </c>
      <c r="CQ637" s="109" cm="1">
        <f t="array" ref="CQ637">AF637*WTP-AC637</f>
        <v>42489.110246498945</v>
      </c>
      <c r="CR637" s="109">
        <f t="shared" si="251"/>
        <v>45317.910412121826</v>
      </c>
      <c r="CT637" s="58">
        <f t="array" ref="CT637">SUM(IF(CQ637:CR637&gt;=CQ637, 1))</f>
        <v>2</v>
      </c>
      <c r="CU637" s="58">
        <f t="array" ref="CU637">SUM(IF(CQ637:CR637&gt;=CR637, 1))</f>
        <v>1</v>
      </c>
      <c r="CW637" s="109">
        <f t="shared" si="252"/>
        <v>-36493384.130388081</v>
      </c>
      <c r="CX637" s="109">
        <f t="shared" si="253"/>
        <v>0</v>
      </c>
      <c r="CZ637" s="58">
        <f t="array" ref="CZ637">SUM(IF(CW637:CX637&gt;=CW637, 1))</f>
        <v>2</v>
      </c>
      <c r="DA637" s="58">
        <f t="array" ref="DA637">SUM(IF(CW637:CX637&gt;=CX637, 1))</f>
        <v>1</v>
      </c>
      <c r="DC637" s="109">
        <f t="shared" si="254"/>
        <v>-1882426.3828336173</v>
      </c>
      <c r="DD637" s="109">
        <f t="shared" si="255"/>
        <v>0</v>
      </c>
      <c r="DF637" s="58">
        <f t="array" ref="DF637">SUM(IF(DC637:DD637&gt;=DC637, 1))</f>
        <v>2</v>
      </c>
      <c r="DG637" s="58">
        <f t="array" ref="DG637">SUM(IF(DC637:DD637&gt;=DD637, 1))</f>
        <v>1</v>
      </c>
      <c r="DI637" s="109">
        <f t="shared" si="256"/>
        <v>-50326749.259078838</v>
      </c>
      <c r="DJ637" s="109">
        <f t="shared" si="257"/>
        <v>0</v>
      </c>
      <c r="DL637" s="58">
        <f t="array" ref="DL637">SUM(IF(DI637:DJ637&gt;=DI637, 1))</f>
        <v>2</v>
      </c>
      <c r="DM637" s="58">
        <f t="array" ref="DM637">SUM(IF(DI637:DJ637&gt;=DJ637, 1))</f>
        <v>1</v>
      </c>
      <c r="DO637" s="109">
        <f t="shared" si="258"/>
        <v>-10357923.635184797</v>
      </c>
      <c r="DP637" s="109">
        <f t="shared" si="259"/>
        <v>0</v>
      </c>
      <c r="DR637" s="58">
        <f t="array" ref="DR637">SUM(IF(DO637:DP637&gt;=DO637, 1))</f>
        <v>2</v>
      </c>
      <c r="DS637" s="58">
        <f t="array" ref="DS637">SUM(IF(DO637:DP637&gt;=DP637, 1))</f>
        <v>1</v>
      </c>
      <c r="DU637" s="109">
        <f t="shared" si="260"/>
        <v>-43856689.614064671</v>
      </c>
      <c r="DV637" s="109">
        <f t="shared" si="261"/>
        <v>0</v>
      </c>
      <c r="DX637" s="58">
        <f t="array" ref="DX637">SUM(IF(DU637:DV637&gt;=DU637, 1))</f>
        <v>2</v>
      </c>
      <c r="DY637" s="58">
        <f t="array" ref="DY637">SUM(IF(DU637:DV637&gt;=DV637, 1))</f>
        <v>1</v>
      </c>
      <c r="EA637" s="109">
        <f t="shared" si="262"/>
        <v>-142917173.02155003</v>
      </c>
      <c r="EB637" s="109">
        <f t="shared" si="263"/>
        <v>0</v>
      </c>
      <c r="ED637" s="58">
        <f t="array" ref="ED637">SUM(IF(EA637:EB637&gt;=EA637, 1))</f>
        <v>2</v>
      </c>
      <c r="EE637" s="58">
        <f t="array" ref="EE637">SUM(IF(EA637:EB637&gt;=EB637, 1))</f>
        <v>1</v>
      </c>
    </row>
    <row r="638" spans="4:135" ht="12" customHeight="1" x14ac:dyDescent="0.25">
      <c r="D638" s="11">
        <v>622</v>
      </c>
      <c r="E638" s="72">
        <v>289.32115149531319</v>
      </c>
      <c r="F638" s="72">
        <v>260.69331524065603</v>
      </c>
      <c r="G638" s="73"/>
      <c r="H638" s="74">
        <v>5.8670759151040732</v>
      </c>
      <c r="I638" s="74">
        <v>5.886481506239174</v>
      </c>
      <c r="J638" s="73"/>
      <c r="K638" s="72">
        <v>310.49712703065052</v>
      </c>
      <c r="L638" s="72">
        <v>281.17346775429638</v>
      </c>
      <c r="M638" s="73"/>
      <c r="N638" s="74">
        <v>6.7181710391552958</v>
      </c>
      <c r="O638" s="74">
        <v>6.7351908717477258</v>
      </c>
      <c r="P638" s="73"/>
      <c r="Q638" s="72">
        <v>2682.3050589087188</v>
      </c>
      <c r="R638" s="72">
        <v>1375.5800724244607</v>
      </c>
      <c r="S638" s="73"/>
      <c r="T638" s="74">
        <v>4.9177640839918304</v>
      </c>
      <c r="U638" s="74">
        <v>5.0282163581668531</v>
      </c>
      <c r="V638" s="73"/>
      <c r="W638" s="72">
        <v>9351.235861945077</v>
      </c>
      <c r="X638" s="72">
        <v>9371.1598375652811</v>
      </c>
      <c r="Y638" s="73"/>
      <c r="Z638" s="74">
        <v>2.9085780496958979</v>
      </c>
      <c r="AA638" s="74">
        <v>2.9505605271465614</v>
      </c>
      <c r="AB638" s="73"/>
      <c r="AC638" s="72">
        <v>51036.140820007204</v>
      </c>
      <c r="AD638" s="72">
        <v>50770.162007511375</v>
      </c>
      <c r="AE638" s="73"/>
      <c r="AF638" s="74">
        <v>4.6905944553349563</v>
      </c>
      <c r="AG638" s="74">
        <v>4.813270406591049</v>
      </c>
      <c r="AH638" s="73"/>
      <c r="AI638" s="72">
        <v>3088201.5466003311</v>
      </c>
      <c r="AJ638" s="72">
        <v>0</v>
      </c>
      <c r="AK638" s="73"/>
      <c r="AL638" s="74">
        <v>-2093.3603232540058</v>
      </c>
      <c r="AM638" s="74">
        <v>0</v>
      </c>
      <c r="AN638" s="73"/>
      <c r="AO638" s="72">
        <v>190787.25277660138</v>
      </c>
      <c r="AP638" s="72">
        <v>0</v>
      </c>
      <c r="AQ638" s="73"/>
      <c r="AR638" s="74">
        <v>-110.73539875856547</v>
      </c>
      <c r="AS638" s="74">
        <v>0</v>
      </c>
      <c r="AT638" s="73"/>
      <c r="AU638" s="72">
        <v>29692576.305624831</v>
      </c>
      <c r="AV638" s="72">
        <v>0</v>
      </c>
      <c r="AW638" s="73"/>
      <c r="AX638" s="74">
        <v>-2509.7955675397693</v>
      </c>
      <c r="AY638" s="74">
        <v>0</v>
      </c>
      <c r="AZ638" s="73"/>
      <c r="BA638" s="72">
        <v>-174611.94708613484</v>
      </c>
      <c r="BB638" s="72">
        <v>0</v>
      </c>
      <c r="BC638" s="73"/>
      <c r="BD638" s="74">
        <v>-367.93069169018469</v>
      </c>
      <c r="BE638" s="74">
        <v>0</v>
      </c>
      <c r="BF638" s="73"/>
      <c r="BG638" s="72">
        <v>4181017.992972591</v>
      </c>
      <c r="BH638" s="72">
        <v>0</v>
      </c>
      <c r="BI638" s="73"/>
      <c r="BJ638" s="74">
        <v>-1928.3880347228633</v>
      </c>
      <c r="BK638" s="74">
        <v>0</v>
      </c>
      <c r="BL638" s="73"/>
      <c r="BM638" s="72">
        <v>36977971.150888219</v>
      </c>
      <c r="BN638" s="72">
        <v>0</v>
      </c>
      <c r="BO638" s="73"/>
      <c r="BP638" s="74">
        <v>-7010.2100159653892</v>
      </c>
      <c r="BQ638" s="74">
        <v>0</v>
      </c>
      <c r="BS638" s="109">
        <f t="shared" si="243"/>
        <v>117052.19715058614</v>
      </c>
      <c r="BT638" s="109">
        <f t="shared" si="244"/>
        <v>117468.93680954282</v>
      </c>
      <c r="BV638" s="58">
        <f t="array" ref="BV638">SUM(IF(BS638:BT638&gt;=BS638, 1))</f>
        <v>2</v>
      </c>
      <c r="BW638" s="58">
        <f t="array" ref="BW638">SUM(IF(BS638:BT638&gt;=BT638, 1))</f>
        <v>1</v>
      </c>
      <c r="BY638" s="109">
        <f t="shared" si="245"/>
        <v>134052.92365607526</v>
      </c>
      <c r="BZ638" s="109">
        <f t="shared" si="246"/>
        <v>134422.64396720022</v>
      </c>
      <c r="CB638" s="58">
        <f t="array" ref="CB638">SUM(IF(BY638:BZ638&gt;=BY638, 1))</f>
        <v>2</v>
      </c>
      <c r="CC638" s="58">
        <f t="array" ref="CC638">SUM(IF(BY638:BZ638&gt;=BZ638, 1))</f>
        <v>1</v>
      </c>
      <c r="CE638" s="109">
        <f t="shared" si="247"/>
        <v>95672.97662092789</v>
      </c>
      <c r="CF638" s="109">
        <f t="shared" si="248"/>
        <v>99188.747090912599</v>
      </c>
      <c r="CH638" s="58">
        <f t="array" ref="CH638">SUM(IF(CE638:CF638&gt;=CE638, 1))</f>
        <v>2</v>
      </c>
      <c r="CI638" s="58">
        <f t="array" ref="CI638">SUM(IF(CE638:CF638&gt;=CF638, 1))</f>
        <v>1</v>
      </c>
      <c r="CK638" s="109">
        <f t="shared" si="249"/>
        <v>48820.325131972881</v>
      </c>
      <c r="CL638" s="109">
        <f t="shared" si="250"/>
        <v>49640.050705365946</v>
      </c>
      <c r="CN638" s="58">
        <f t="array" ref="CN638">SUM(IF(CK638:CL638&gt;=CK638, 1))</f>
        <v>2</v>
      </c>
      <c r="CO638" s="58">
        <f t="array" ref="CO638">SUM(IF(CK638:CL638&gt;=CL638, 1))</f>
        <v>1</v>
      </c>
      <c r="CQ638" s="109" cm="1">
        <f t="array" ref="CQ638">AF638*WTP-AC638</f>
        <v>42775.748286691916</v>
      </c>
      <c r="CR638" s="109">
        <f t="shared" si="251"/>
        <v>45495.246124309604</v>
      </c>
      <c r="CT638" s="58">
        <f t="array" ref="CT638">SUM(IF(CQ638:CR638&gt;=CQ638, 1))</f>
        <v>2</v>
      </c>
      <c r="CU638" s="58">
        <f t="array" ref="CU638">SUM(IF(CQ638:CR638&gt;=CR638, 1))</f>
        <v>1</v>
      </c>
      <c r="CW638" s="109">
        <f t="shared" si="252"/>
        <v>-44955408.011680454</v>
      </c>
      <c r="CX638" s="109">
        <f t="shared" si="253"/>
        <v>0</v>
      </c>
      <c r="CZ638" s="58">
        <f t="array" ref="CZ638">SUM(IF(CW638:CX638&gt;=CW638, 1))</f>
        <v>2</v>
      </c>
      <c r="DA638" s="58">
        <f t="array" ref="DA638">SUM(IF(CW638:CX638&gt;=CX638, 1))</f>
        <v>1</v>
      </c>
      <c r="DC638" s="109">
        <f t="shared" si="254"/>
        <v>-2405495.2279479108</v>
      </c>
      <c r="DD638" s="109">
        <f t="shared" si="255"/>
        <v>0</v>
      </c>
      <c r="DF638" s="58">
        <f t="array" ref="DF638">SUM(IF(DC638:DD638&gt;=DC638, 1))</f>
        <v>2</v>
      </c>
      <c r="DG638" s="58">
        <f t="array" ref="DG638">SUM(IF(DC638:DD638&gt;=DD638, 1))</f>
        <v>1</v>
      </c>
      <c r="DI638" s="109">
        <f t="shared" si="256"/>
        <v>-79888487.656420216</v>
      </c>
      <c r="DJ638" s="109">
        <f t="shared" si="257"/>
        <v>0</v>
      </c>
      <c r="DL638" s="58">
        <f t="array" ref="DL638">SUM(IF(DI638:DJ638&gt;=DI638, 1))</f>
        <v>2</v>
      </c>
      <c r="DM638" s="58">
        <f t="array" ref="DM638">SUM(IF(DI638:DJ638&gt;=DJ638, 1))</f>
        <v>1</v>
      </c>
      <c r="DO638" s="109">
        <f t="shared" si="258"/>
        <v>-7184001.8867175588</v>
      </c>
      <c r="DP638" s="109">
        <f t="shared" si="259"/>
        <v>0</v>
      </c>
      <c r="DR638" s="58">
        <f t="array" ref="DR638">SUM(IF(DO638:DP638&gt;=DO638, 1))</f>
        <v>2</v>
      </c>
      <c r="DS638" s="58">
        <f t="array" ref="DS638">SUM(IF(DO638:DP638&gt;=DP638, 1))</f>
        <v>1</v>
      </c>
      <c r="DU638" s="109">
        <f t="shared" si="260"/>
        <v>-42748778.687429853</v>
      </c>
      <c r="DV638" s="109">
        <f t="shared" si="261"/>
        <v>0</v>
      </c>
      <c r="DX638" s="58">
        <f t="array" ref="DX638">SUM(IF(DU638:DV638&gt;=DU638, 1))</f>
        <v>2</v>
      </c>
      <c r="DY638" s="58">
        <f t="array" ref="DY638">SUM(IF(DU638:DV638&gt;=DV638, 1))</f>
        <v>1</v>
      </c>
      <c r="EA638" s="109">
        <f t="shared" si="262"/>
        <v>-177182171.47019601</v>
      </c>
      <c r="EB638" s="109">
        <f t="shared" si="263"/>
        <v>0</v>
      </c>
      <c r="ED638" s="58">
        <f t="array" ref="ED638">SUM(IF(EA638:EB638&gt;=EA638, 1))</f>
        <v>2</v>
      </c>
      <c r="EE638" s="58">
        <f t="array" ref="EE638">SUM(IF(EA638:EB638&gt;=EB638, 1))</f>
        <v>1</v>
      </c>
    </row>
    <row r="639" spans="4:135" ht="12" customHeight="1" x14ac:dyDescent="0.25">
      <c r="D639" s="11">
        <v>623</v>
      </c>
      <c r="E639" s="72">
        <v>288.85974567696343</v>
      </c>
      <c r="F639" s="72">
        <v>278.70171807631721</v>
      </c>
      <c r="G639" s="73"/>
      <c r="H639" s="74">
        <v>5.7931395181817313</v>
      </c>
      <c r="I639" s="74">
        <v>5.8061895744187906</v>
      </c>
      <c r="J639" s="73"/>
      <c r="K639" s="72">
        <v>310.97478081593499</v>
      </c>
      <c r="L639" s="72">
        <v>300.52259907124954</v>
      </c>
      <c r="M639" s="73"/>
      <c r="N639" s="74">
        <v>6.6965753499906926</v>
      </c>
      <c r="O639" s="74">
        <v>6.7074129920251586</v>
      </c>
      <c r="P639" s="73"/>
      <c r="Q639" s="72">
        <v>2836.7641996221732</v>
      </c>
      <c r="R639" s="72">
        <v>1758.877798462481</v>
      </c>
      <c r="S639" s="73"/>
      <c r="T639" s="74">
        <v>4.6339462737960613</v>
      </c>
      <c r="U639" s="74">
        <v>4.7208874091294817</v>
      </c>
      <c r="V639" s="73"/>
      <c r="W639" s="72">
        <v>13489.592584234199</v>
      </c>
      <c r="X639" s="72">
        <v>13434.007139147167</v>
      </c>
      <c r="Y639" s="73"/>
      <c r="Z639" s="74">
        <v>3.1885311834518872</v>
      </c>
      <c r="AA639" s="74">
        <v>3.2420008714526025</v>
      </c>
      <c r="AB639" s="73"/>
      <c r="AC639" s="72">
        <v>50258.987719846875</v>
      </c>
      <c r="AD639" s="72">
        <v>50038.183959259542</v>
      </c>
      <c r="AE639" s="73"/>
      <c r="AF639" s="74">
        <v>4.5896599620244212</v>
      </c>
      <c r="AG639" s="74">
        <v>4.7375551842892625</v>
      </c>
      <c r="AH639" s="73"/>
      <c r="AI639" s="72">
        <v>1084096.6597939897</v>
      </c>
      <c r="AJ639" s="72">
        <v>0</v>
      </c>
      <c r="AK639" s="73"/>
      <c r="AL639" s="74">
        <v>-1392.7430533679217</v>
      </c>
      <c r="AM639" s="74">
        <v>0</v>
      </c>
      <c r="AN639" s="73"/>
      <c r="AO639" s="72">
        <v>72406.230890723979</v>
      </c>
      <c r="AP639" s="72">
        <v>0</v>
      </c>
      <c r="AQ639" s="73"/>
      <c r="AR639" s="74">
        <v>-75.076460649716523</v>
      </c>
      <c r="AS639" s="74">
        <v>0</v>
      </c>
      <c r="AT639" s="73"/>
      <c r="AU639" s="72">
        <v>25659832.811788779</v>
      </c>
      <c r="AV639" s="72">
        <v>0</v>
      </c>
      <c r="AW639" s="73"/>
      <c r="AX639" s="74">
        <v>-2069.6939814088587</v>
      </c>
      <c r="AY639" s="74">
        <v>0</v>
      </c>
      <c r="AZ639" s="73"/>
      <c r="BA639" s="72">
        <v>508124.27366213023</v>
      </c>
      <c r="BB639" s="72">
        <v>0</v>
      </c>
      <c r="BC639" s="73"/>
      <c r="BD639" s="74">
        <v>-488.78346365247904</v>
      </c>
      <c r="BE639" s="74">
        <v>0</v>
      </c>
      <c r="BF639" s="73"/>
      <c r="BG639" s="72">
        <v>3475883.9736000453</v>
      </c>
      <c r="BH639" s="72">
        <v>0</v>
      </c>
      <c r="BI639" s="73"/>
      <c r="BJ639" s="74">
        <v>-2328.1606774946877</v>
      </c>
      <c r="BK639" s="74">
        <v>0</v>
      </c>
      <c r="BL639" s="73"/>
      <c r="BM639" s="72">
        <v>30800343.949735668</v>
      </c>
      <c r="BN639" s="72">
        <v>0</v>
      </c>
      <c r="BO639" s="73"/>
      <c r="BP639" s="74">
        <v>-6354.457636573663</v>
      </c>
      <c r="BQ639" s="74">
        <v>0</v>
      </c>
      <c r="BS639" s="109">
        <f t="shared" si="243"/>
        <v>115573.93061795767</v>
      </c>
      <c r="BT639" s="109">
        <f t="shared" si="244"/>
        <v>115845.08977029948</v>
      </c>
      <c r="BV639" s="58">
        <f t="array" ref="BV639">SUM(IF(BS639:BT639&gt;=BS639, 1))</f>
        <v>2</v>
      </c>
      <c r="BW639" s="58">
        <f t="array" ref="BW639">SUM(IF(BS639:BT639&gt;=BT639, 1))</f>
        <v>1</v>
      </c>
      <c r="BY639" s="109">
        <f t="shared" si="245"/>
        <v>133620.53221899792</v>
      </c>
      <c r="BZ639" s="109">
        <f t="shared" si="246"/>
        <v>133847.73724143193</v>
      </c>
      <c r="CB639" s="58">
        <f t="array" ref="CB639">SUM(IF(BY639:BZ639&gt;=BY639, 1))</f>
        <v>2</v>
      </c>
      <c r="CC639" s="58">
        <f t="array" ref="CC639">SUM(IF(BY639:BZ639&gt;=BZ639, 1))</f>
        <v>1</v>
      </c>
      <c r="CE639" s="109">
        <f t="shared" si="247"/>
        <v>89842.161276299041</v>
      </c>
      <c r="CF639" s="109">
        <f t="shared" si="248"/>
        <v>92658.870384127164</v>
      </c>
      <c r="CH639" s="58">
        <f t="array" ref="CH639">SUM(IF(CE639:CF639&gt;=CE639, 1))</f>
        <v>2</v>
      </c>
      <c r="CI639" s="58">
        <f t="array" ref="CI639">SUM(IF(CE639:CF639&gt;=CF639, 1))</f>
        <v>1</v>
      </c>
      <c r="CK639" s="109">
        <f t="shared" si="249"/>
        <v>50281.031084803551</v>
      </c>
      <c r="CL639" s="109">
        <f t="shared" si="250"/>
        <v>51406.010289904887</v>
      </c>
      <c r="CN639" s="58">
        <f t="array" ref="CN639">SUM(IF(CK639:CL639&gt;=CK639, 1))</f>
        <v>2</v>
      </c>
      <c r="CO639" s="58">
        <f t="array" ref="CO639">SUM(IF(CK639:CL639&gt;=CL639, 1))</f>
        <v>1</v>
      </c>
      <c r="CQ639" s="109" cm="1">
        <f t="array" ref="CQ639">AF639*WTP-AC639</f>
        <v>41534.211520641547</v>
      </c>
      <c r="CR639" s="109">
        <f t="shared" si="251"/>
        <v>44712.919726525703</v>
      </c>
      <c r="CT639" s="58">
        <f t="array" ref="CT639">SUM(IF(CQ639:CR639&gt;=CQ639, 1))</f>
        <v>2</v>
      </c>
      <c r="CU639" s="58">
        <f t="array" ref="CU639">SUM(IF(CQ639:CR639&gt;=CR639, 1))</f>
        <v>1</v>
      </c>
      <c r="CW639" s="109">
        <f t="shared" si="252"/>
        <v>-28938957.727152422</v>
      </c>
      <c r="CX639" s="109">
        <f t="shared" si="253"/>
        <v>0</v>
      </c>
      <c r="CZ639" s="58">
        <f t="array" ref="CZ639">SUM(IF(CW639:CX639&gt;=CW639, 1))</f>
        <v>2</v>
      </c>
      <c r="DA639" s="58">
        <f t="array" ref="DA639">SUM(IF(CW639:CX639&gt;=CX639, 1))</f>
        <v>1</v>
      </c>
      <c r="DC639" s="109">
        <f t="shared" si="254"/>
        <v>-1573935.4438850544</v>
      </c>
      <c r="DD639" s="109">
        <f t="shared" si="255"/>
        <v>0</v>
      </c>
      <c r="DF639" s="58">
        <f t="array" ref="DF639">SUM(IF(DC639:DD639&gt;=DC639, 1))</f>
        <v>2</v>
      </c>
      <c r="DG639" s="58">
        <f t="array" ref="DG639">SUM(IF(DC639:DD639&gt;=DD639, 1))</f>
        <v>1</v>
      </c>
      <c r="DI639" s="109">
        <f t="shared" si="256"/>
        <v>-67053712.439965948</v>
      </c>
      <c r="DJ639" s="109">
        <f t="shared" si="257"/>
        <v>0</v>
      </c>
      <c r="DL639" s="58">
        <f t="array" ref="DL639">SUM(IF(DI639:DJ639&gt;=DI639, 1))</f>
        <v>2</v>
      </c>
      <c r="DM639" s="58">
        <f t="array" ref="DM639">SUM(IF(DI639:DJ639&gt;=DJ639, 1))</f>
        <v>1</v>
      </c>
      <c r="DO639" s="109">
        <f t="shared" si="258"/>
        <v>-10283793.546711709</v>
      </c>
      <c r="DP639" s="109">
        <f t="shared" si="259"/>
        <v>0</v>
      </c>
      <c r="DR639" s="58">
        <f t="array" ref="DR639">SUM(IF(DO639:DP639&gt;=DO639, 1))</f>
        <v>2</v>
      </c>
      <c r="DS639" s="58">
        <f t="array" ref="DS639">SUM(IF(DO639:DP639&gt;=DP639, 1))</f>
        <v>1</v>
      </c>
      <c r="DU639" s="109">
        <f t="shared" si="260"/>
        <v>-50039097.523493797</v>
      </c>
      <c r="DV639" s="109">
        <f t="shared" si="261"/>
        <v>0</v>
      </c>
      <c r="DX639" s="58">
        <f t="array" ref="DX639">SUM(IF(DU639:DV639&gt;=DU639, 1))</f>
        <v>2</v>
      </c>
      <c r="DY639" s="58">
        <f t="array" ref="DY639">SUM(IF(DU639:DV639&gt;=DV639, 1))</f>
        <v>1</v>
      </c>
      <c r="EA639" s="109">
        <f t="shared" si="262"/>
        <v>-157889496.68120891</v>
      </c>
      <c r="EB639" s="109">
        <f t="shared" si="263"/>
        <v>0</v>
      </c>
      <c r="ED639" s="58">
        <f t="array" ref="ED639">SUM(IF(EA639:EB639&gt;=EA639, 1))</f>
        <v>2</v>
      </c>
      <c r="EE639" s="58">
        <f t="array" ref="EE639">SUM(IF(EA639:EB639&gt;=EB639, 1))</f>
        <v>1</v>
      </c>
    </row>
    <row r="640" spans="4:135" ht="12" customHeight="1" x14ac:dyDescent="0.25">
      <c r="D640" s="11">
        <v>624</v>
      </c>
      <c r="E640" s="72">
        <v>327.39308476956876</v>
      </c>
      <c r="F640" s="72">
        <v>309.49963899190635</v>
      </c>
      <c r="G640" s="73"/>
      <c r="H640" s="74">
        <v>5.8219110477022902</v>
      </c>
      <c r="I640" s="74">
        <v>5.8364856590564536</v>
      </c>
      <c r="J640" s="73"/>
      <c r="K640" s="72">
        <v>352.14786939583036</v>
      </c>
      <c r="L640" s="72">
        <v>333.83909980406713</v>
      </c>
      <c r="M640" s="73"/>
      <c r="N640" s="74">
        <v>6.7010085247868334</v>
      </c>
      <c r="O640" s="74">
        <v>6.714154658358221</v>
      </c>
      <c r="P640" s="73"/>
      <c r="Q640" s="72">
        <v>1815.3029275438623</v>
      </c>
      <c r="R640" s="72">
        <v>1265.5429365572982</v>
      </c>
      <c r="S640" s="73"/>
      <c r="T640" s="74">
        <v>4.6503317503849448</v>
      </c>
      <c r="U640" s="74">
        <v>4.6981940704206568</v>
      </c>
      <c r="V640" s="73"/>
      <c r="W640" s="72">
        <v>13696.641105796034</v>
      </c>
      <c r="X640" s="72">
        <v>13707.212276704224</v>
      </c>
      <c r="Y640" s="73"/>
      <c r="Z640" s="74">
        <v>2.8765021348050537</v>
      </c>
      <c r="AA640" s="74">
        <v>2.914410605398444</v>
      </c>
      <c r="AB640" s="73"/>
      <c r="AC640" s="72">
        <v>50004.793057191717</v>
      </c>
      <c r="AD640" s="72">
        <v>49656.976436357349</v>
      </c>
      <c r="AE640" s="73"/>
      <c r="AF640" s="74">
        <v>3.7066739638248132</v>
      </c>
      <c r="AG640" s="74">
        <v>3.785685216180267</v>
      </c>
      <c r="AH640" s="73"/>
      <c r="AI640" s="72">
        <v>1921168.5033915429</v>
      </c>
      <c r="AJ640" s="72">
        <v>0</v>
      </c>
      <c r="AK640" s="73"/>
      <c r="AL640" s="74">
        <v>-1564.8346679959257</v>
      </c>
      <c r="AM640" s="74">
        <v>0</v>
      </c>
      <c r="AN640" s="73"/>
      <c r="AO640" s="72">
        <v>127674.66261816608</v>
      </c>
      <c r="AP640" s="72">
        <v>0</v>
      </c>
      <c r="AQ640" s="73"/>
      <c r="AR640" s="74">
        <v>-91.673455173926783</v>
      </c>
      <c r="AS640" s="74">
        <v>0</v>
      </c>
      <c r="AT640" s="73"/>
      <c r="AU640" s="72">
        <v>12519741.081255127</v>
      </c>
      <c r="AV640" s="72">
        <v>0</v>
      </c>
      <c r="AW640" s="73"/>
      <c r="AX640" s="74">
        <v>-1089.9735597709739</v>
      </c>
      <c r="AY640" s="74">
        <v>0</v>
      </c>
      <c r="AZ640" s="73"/>
      <c r="BA640" s="72">
        <v>-94918.997773505034</v>
      </c>
      <c r="BB640" s="72">
        <v>0</v>
      </c>
      <c r="BC640" s="73"/>
      <c r="BD640" s="74">
        <v>-340.38178619015201</v>
      </c>
      <c r="BE640" s="74">
        <v>0</v>
      </c>
      <c r="BF640" s="73"/>
      <c r="BG640" s="72">
        <v>5336892.4219670612</v>
      </c>
      <c r="BH640" s="72">
        <v>0</v>
      </c>
      <c r="BI640" s="73"/>
      <c r="BJ640" s="74">
        <v>-1212.3473367500508</v>
      </c>
      <c r="BK640" s="74">
        <v>0</v>
      </c>
      <c r="BL640" s="73"/>
      <c r="BM640" s="72">
        <v>19810557.671458393</v>
      </c>
      <c r="BN640" s="72">
        <v>0</v>
      </c>
      <c r="BO640" s="73"/>
      <c r="BP640" s="74">
        <v>-4299.210805881029</v>
      </c>
      <c r="BQ640" s="74">
        <v>0</v>
      </c>
      <c r="BS640" s="109">
        <f t="shared" si="243"/>
        <v>116110.82786927623</v>
      </c>
      <c r="BT640" s="109">
        <f t="shared" si="244"/>
        <v>116420.21354213716</v>
      </c>
      <c r="BV640" s="58">
        <f t="array" ref="BV640">SUM(IF(BS640:BT640&gt;=BS640, 1))</f>
        <v>2</v>
      </c>
      <c r="BW640" s="58">
        <f t="array" ref="BW640">SUM(IF(BS640:BT640&gt;=BT640, 1))</f>
        <v>1</v>
      </c>
      <c r="BY640" s="109">
        <f t="shared" si="245"/>
        <v>133668.02262634085</v>
      </c>
      <c r="BZ640" s="109">
        <f t="shared" si="246"/>
        <v>133949.25406736037</v>
      </c>
      <c r="CB640" s="58">
        <f t="array" ref="CB640">SUM(IF(BY640:BZ640&gt;=BY640, 1))</f>
        <v>2</v>
      </c>
      <c r="CC640" s="58">
        <f t="array" ref="CC640">SUM(IF(BY640:BZ640&gt;=BZ640, 1))</f>
        <v>1</v>
      </c>
      <c r="CE640" s="109">
        <f t="shared" si="247"/>
        <v>91191.332080155044</v>
      </c>
      <c r="CF640" s="109">
        <f t="shared" si="248"/>
        <v>92698.338471855837</v>
      </c>
      <c r="CH640" s="58">
        <f t="array" ref="CH640">SUM(IF(CE640:CF640&gt;=CE640, 1))</f>
        <v>2</v>
      </c>
      <c r="CI640" s="58">
        <f t="array" ref="CI640">SUM(IF(CE640:CF640&gt;=CF640, 1))</f>
        <v>1</v>
      </c>
      <c r="CK640" s="109">
        <f t="shared" si="249"/>
        <v>43833.401590305039</v>
      </c>
      <c r="CL640" s="109">
        <f t="shared" si="250"/>
        <v>44580.999831264657</v>
      </c>
      <c r="CN640" s="58">
        <f t="array" ref="CN640">SUM(IF(CK640:CL640&gt;=CK640, 1))</f>
        <v>2</v>
      </c>
      <c r="CO640" s="58">
        <f t="array" ref="CO640">SUM(IF(CK640:CL640&gt;=CL640, 1))</f>
        <v>1</v>
      </c>
      <c r="CQ640" s="109" cm="1">
        <f t="array" ref="CQ640">AF640*WTP-AC640</f>
        <v>24128.686219304545</v>
      </c>
      <c r="CR640" s="109">
        <f t="shared" si="251"/>
        <v>26056.727887247995</v>
      </c>
      <c r="CT640" s="58">
        <f t="array" ref="CT640">SUM(IF(CQ640:CR640&gt;=CQ640, 1))</f>
        <v>2</v>
      </c>
      <c r="CU640" s="58">
        <f t="array" ref="CU640">SUM(IF(CQ640:CR640&gt;=CR640, 1))</f>
        <v>1</v>
      </c>
      <c r="CW640" s="109">
        <f t="shared" si="252"/>
        <v>-33217861.863310054</v>
      </c>
      <c r="CX640" s="109">
        <f t="shared" si="253"/>
        <v>0</v>
      </c>
      <c r="CZ640" s="58">
        <f t="array" ref="CZ640">SUM(IF(CW640:CX640&gt;=CW640, 1))</f>
        <v>2</v>
      </c>
      <c r="DA640" s="58">
        <f t="array" ref="DA640">SUM(IF(CW640:CX640&gt;=CX640, 1))</f>
        <v>1</v>
      </c>
      <c r="DC640" s="109">
        <f t="shared" si="254"/>
        <v>-1961143.7660967016</v>
      </c>
      <c r="DD640" s="109">
        <f t="shared" si="255"/>
        <v>0</v>
      </c>
      <c r="DF640" s="58">
        <f t="array" ref="DF640">SUM(IF(DC640:DD640&gt;=DC640, 1))</f>
        <v>2</v>
      </c>
      <c r="DG640" s="58">
        <f t="array" ref="DG640">SUM(IF(DC640:DD640&gt;=DD640, 1))</f>
        <v>1</v>
      </c>
      <c r="DI640" s="109">
        <f t="shared" si="256"/>
        <v>-34319212.276674606</v>
      </c>
      <c r="DJ640" s="109">
        <f t="shared" si="257"/>
        <v>0</v>
      </c>
      <c r="DL640" s="58">
        <f t="array" ref="DL640">SUM(IF(DI640:DJ640&gt;=DI640, 1))</f>
        <v>2</v>
      </c>
      <c r="DM640" s="58">
        <f t="array" ref="DM640">SUM(IF(DI640:DJ640&gt;=DJ640, 1))</f>
        <v>1</v>
      </c>
      <c r="DO640" s="109">
        <f t="shared" si="258"/>
        <v>-6712716.7260295358</v>
      </c>
      <c r="DP640" s="109">
        <f t="shared" si="259"/>
        <v>0</v>
      </c>
      <c r="DR640" s="58">
        <f t="array" ref="DR640">SUM(IF(DO640:DP640&gt;=DO640, 1))</f>
        <v>2</v>
      </c>
      <c r="DS640" s="58">
        <f t="array" ref="DS640">SUM(IF(DO640:DP640&gt;=DP640, 1))</f>
        <v>1</v>
      </c>
      <c r="DU640" s="109">
        <f t="shared" si="260"/>
        <v>-29583839.15696808</v>
      </c>
      <c r="DV640" s="109">
        <f t="shared" si="261"/>
        <v>0</v>
      </c>
      <c r="DX640" s="58">
        <f t="array" ref="DX640">SUM(IF(DU640:DV640&gt;=DU640, 1))</f>
        <v>2</v>
      </c>
      <c r="DY640" s="58">
        <f t="array" ref="DY640">SUM(IF(DU640:DV640&gt;=DV640, 1))</f>
        <v>1</v>
      </c>
      <c r="EA640" s="109">
        <f t="shared" si="262"/>
        <v>-105794773.78907898</v>
      </c>
      <c r="EB640" s="109">
        <f t="shared" si="263"/>
        <v>0</v>
      </c>
      <c r="ED640" s="58">
        <f t="array" ref="ED640">SUM(IF(EA640:EB640&gt;=EA640, 1))</f>
        <v>2</v>
      </c>
      <c r="EE640" s="58">
        <f t="array" ref="EE640">SUM(IF(EA640:EB640&gt;=EB640, 1))</f>
        <v>1</v>
      </c>
    </row>
    <row r="641" spans="4:135" ht="12" customHeight="1" x14ac:dyDescent="0.25">
      <c r="D641" s="11">
        <v>625</v>
      </c>
      <c r="E641" s="72">
        <v>189.93688735248745</v>
      </c>
      <c r="F641" s="72">
        <v>173.58929390656198</v>
      </c>
      <c r="G641" s="73"/>
      <c r="H641" s="74">
        <v>5.8416082184905127</v>
      </c>
      <c r="I641" s="74">
        <v>5.857608827087998</v>
      </c>
      <c r="J641" s="73"/>
      <c r="K641" s="72">
        <v>203.93903968206942</v>
      </c>
      <c r="L641" s="72">
        <v>187.2013474244539</v>
      </c>
      <c r="M641" s="73"/>
      <c r="N641" s="74">
        <v>6.7354464872830908</v>
      </c>
      <c r="O641" s="74">
        <v>6.7496395463605161</v>
      </c>
      <c r="P641" s="73"/>
      <c r="Q641" s="72">
        <v>2400.3569472629961</v>
      </c>
      <c r="R641" s="72">
        <v>1112.9776732503249</v>
      </c>
      <c r="S641" s="73"/>
      <c r="T641" s="74">
        <v>4.6009391897180043</v>
      </c>
      <c r="U641" s="74">
        <v>4.7345842455932718</v>
      </c>
      <c r="V641" s="73"/>
      <c r="W641" s="72">
        <v>15576.314224540705</v>
      </c>
      <c r="X641" s="72">
        <v>15446.998574611735</v>
      </c>
      <c r="Y641" s="73"/>
      <c r="Z641" s="74">
        <v>3.1407177400321782</v>
      </c>
      <c r="AA641" s="74">
        <v>3.1644866605468209</v>
      </c>
      <c r="AB641" s="73"/>
      <c r="AC641" s="72">
        <v>51069.49130690514</v>
      </c>
      <c r="AD641" s="72">
        <v>50660.832246818733</v>
      </c>
      <c r="AE641" s="73"/>
      <c r="AF641" s="74">
        <v>4.5494074257551675</v>
      </c>
      <c r="AG641" s="74">
        <v>4.6913670517453419</v>
      </c>
      <c r="AH641" s="73"/>
      <c r="AI641" s="72">
        <v>1758881.8503557406</v>
      </c>
      <c r="AJ641" s="72">
        <v>0</v>
      </c>
      <c r="AK641" s="73"/>
      <c r="AL641" s="74">
        <v>-1721.5488108298557</v>
      </c>
      <c r="AM641" s="74">
        <v>0</v>
      </c>
      <c r="AN641" s="73"/>
      <c r="AO641" s="72">
        <v>115597.75032240032</v>
      </c>
      <c r="AP641" s="72">
        <v>0</v>
      </c>
      <c r="AQ641" s="73"/>
      <c r="AR641" s="74">
        <v>-98.023411727909348</v>
      </c>
      <c r="AS641" s="74">
        <v>0</v>
      </c>
      <c r="AT641" s="73"/>
      <c r="AU641" s="72">
        <v>30573418.80054079</v>
      </c>
      <c r="AV641" s="72">
        <v>0</v>
      </c>
      <c r="AW641" s="73"/>
      <c r="AX641" s="74">
        <v>-3173.8791717226386</v>
      </c>
      <c r="AY641" s="74">
        <v>0</v>
      </c>
      <c r="AZ641" s="73"/>
      <c r="BA641" s="72">
        <v>1141397.5212139993</v>
      </c>
      <c r="BB641" s="72">
        <v>0</v>
      </c>
      <c r="BC641" s="73"/>
      <c r="BD641" s="74">
        <v>-209.79507872594996</v>
      </c>
      <c r="BE641" s="74">
        <v>0</v>
      </c>
      <c r="BF641" s="73"/>
      <c r="BG641" s="72">
        <v>6531280.273973844</v>
      </c>
      <c r="BH641" s="72">
        <v>0</v>
      </c>
      <c r="BI641" s="73"/>
      <c r="BJ641" s="74">
        <v>-2268.8304151002703</v>
      </c>
      <c r="BK641" s="74">
        <v>0</v>
      </c>
      <c r="BL641" s="73"/>
      <c r="BM641" s="72">
        <v>40120576.196406774</v>
      </c>
      <c r="BN641" s="72">
        <v>0</v>
      </c>
      <c r="BO641" s="73"/>
      <c r="BP641" s="74">
        <v>-7472.0768881066242</v>
      </c>
      <c r="BQ641" s="74">
        <v>0</v>
      </c>
      <c r="BS641" s="109">
        <f t="shared" si="243"/>
        <v>116642.22748245776</v>
      </c>
      <c r="BT641" s="109">
        <f t="shared" si="244"/>
        <v>116978.5872478534</v>
      </c>
      <c r="BV641" s="58">
        <f t="array" ref="BV641">SUM(IF(BS641:BT641&gt;=BS641, 1))</f>
        <v>2</v>
      </c>
      <c r="BW641" s="58">
        <f t="array" ref="BW641">SUM(IF(BS641:BT641&gt;=BT641, 1))</f>
        <v>1</v>
      </c>
      <c r="BY641" s="109">
        <f t="shared" si="245"/>
        <v>134504.99070597976</v>
      </c>
      <c r="BZ641" s="109">
        <f t="shared" si="246"/>
        <v>134805.58957978588</v>
      </c>
      <c r="CB641" s="58">
        <f t="array" ref="CB641">SUM(IF(BY641:BZ641&gt;=BY641, 1))</f>
        <v>2</v>
      </c>
      <c r="CC641" s="58">
        <f t="array" ref="CC641">SUM(IF(BY641:BZ641&gt;=BZ641, 1))</f>
        <v>1</v>
      </c>
      <c r="CE641" s="109">
        <f t="shared" si="247"/>
        <v>89618.4268470971</v>
      </c>
      <c r="CF641" s="109">
        <f t="shared" si="248"/>
        <v>93578.707238615112</v>
      </c>
      <c r="CH641" s="58">
        <f t="array" ref="CH641">SUM(IF(CE641:CF641&gt;=CE641, 1))</f>
        <v>2</v>
      </c>
      <c r="CI641" s="58">
        <f t="array" ref="CI641">SUM(IF(CE641:CF641&gt;=CF641, 1))</f>
        <v>1</v>
      </c>
      <c r="CK641" s="109">
        <f t="shared" si="249"/>
        <v>47238.04057610286</v>
      </c>
      <c r="CL641" s="109">
        <f t="shared" si="250"/>
        <v>47842.734636324691</v>
      </c>
      <c r="CN641" s="58">
        <f t="array" ref="CN641">SUM(IF(CK641:CL641&gt;=CK641, 1))</f>
        <v>2</v>
      </c>
      <c r="CO641" s="58">
        <f t="array" ref="CO641">SUM(IF(CK641:CL641&gt;=CL641, 1))</f>
        <v>1</v>
      </c>
      <c r="CQ641" s="109" cm="1">
        <f t="array" ref="CQ641">AF641*WTP-AC641</f>
        <v>39918.657208198216</v>
      </c>
      <c r="CR641" s="109">
        <f t="shared" si="251"/>
        <v>43166.508788088111</v>
      </c>
      <c r="CT641" s="58">
        <f t="array" ref="CT641">SUM(IF(CQ641:CR641&gt;=CQ641, 1))</f>
        <v>2</v>
      </c>
      <c r="CU641" s="58">
        <f t="array" ref="CU641">SUM(IF(CQ641:CR641&gt;=CR641, 1))</f>
        <v>1</v>
      </c>
      <c r="CW641" s="109">
        <f t="shared" si="252"/>
        <v>-36189858.066952854</v>
      </c>
      <c r="CX641" s="109">
        <f t="shared" si="253"/>
        <v>0</v>
      </c>
      <c r="CZ641" s="58">
        <f t="array" ref="CZ641">SUM(IF(CW641:CX641&gt;=CW641, 1))</f>
        <v>2</v>
      </c>
      <c r="DA641" s="58">
        <f t="array" ref="DA641">SUM(IF(CW641:CX641&gt;=CX641, 1))</f>
        <v>1</v>
      </c>
      <c r="DC641" s="109">
        <f t="shared" si="254"/>
        <v>-2076065.9848805873</v>
      </c>
      <c r="DD641" s="109">
        <f t="shared" si="255"/>
        <v>0</v>
      </c>
      <c r="DF641" s="58">
        <f t="array" ref="DF641">SUM(IF(DC641:DD641&gt;=DC641, 1))</f>
        <v>2</v>
      </c>
      <c r="DG641" s="58">
        <f t="array" ref="DG641">SUM(IF(DC641:DD641&gt;=DD641, 1))</f>
        <v>1</v>
      </c>
      <c r="DI641" s="109">
        <f t="shared" si="256"/>
        <v>-94051002.234993562</v>
      </c>
      <c r="DJ641" s="109">
        <f t="shared" si="257"/>
        <v>0</v>
      </c>
      <c r="DL641" s="58">
        <f t="array" ref="DL641">SUM(IF(DI641:DJ641&gt;=DI641, 1))</f>
        <v>2</v>
      </c>
      <c r="DM641" s="58">
        <f t="array" ref="DM641">SUM(IF(DI641:DJ641&gt;=DJ641, 1))</f>
        <v>1</v>
      </c>
      <c r="DO641" s="109">
        <f t="shared" si="258"/>
        <v>-5337299.0957329981</v>
      </c>
      <c r="DP641" s="109">
        <f t="shared" si="259"/>
        <v>0</v>
      </c>
      <c r="DR641" s="58">
        <f t="array" ref="DR641">SUM(IF(DO641:DP641&gt;=DO641, 1))</f>
        <v>2</v>
      </c>
      <c r="DS641" s="58">
        <f t="array" ref="DS641">SUM(IF(DO641:DP641&gt;=DP641, 1))</f>
        <v>1</v>
      </c>
      <c r="DU641" s="109">
        <f t="shared" si="260"/>
        <v>-51907888.575979255</v>
      </c>
      <c r="DV641" s="109">
        <f t="shared" si="261"/>
        <v>0</v>
      </c>
      <c r="DX641" s="58">
        <f t="array" ref="DX641">SUM(IF(DU641:DV641&gt;=DU641, 1))</f>
        <v>2</v>
      </c>
      <c r="DY641" s="58">
        <f t="array" ref="DY641">SUM(IF(DU641:DV641&gt;=DV641, 1))</f>
        <v>1</v>
      </c>
      <c r="EA641" s="109">
        <f t="shared" si="262"/>
        <v>-189562113.95853928</v>
      </c>
      <c r="EB641" s="109">
        <f t="shared" si="263"/>
        <v>0</v>
      </c>
      <c r="ED641" s="58">
        <f t="array" ref="ED641">SUM(IF(EA641:EB641&gt;=EA641, 1))</f>
        <v>2</v>
      </c>
      <c r="EE641" s="58">
        <f t="array" ref="EE641">SUM(IF(EA641:EB641&gt;=EB641, 1))</f>
        <v>1</v>
      </c>
    </row>
    <row r="642" spans="4:135" ht="12" customHeight="1" x14ac:dyDescent="0.25">
      <c r="D642" s="11">
        <v>626</v>
      </c>
      <c r="E642" s="72">
        <v>211.33940212133913</v>
      </c>
      <c r="F642" s="72">
        <v>187.71552999130435</v>
      </c>
      <c r="G642" s="73"/>
      <c r="H642" s="74">
        <v>5.8460626074939723</v>
      </c>
      <c r="I642" s="74">
        <v>5.865135358701413</v>
      </c>
      <c r="J642" s="73"/>
      <c r="K642" s="72">
        <v>226.58353342734168</v>
      </c>
      <c r="L642" s="72">
        <v>202.40112936029379</v>
      </c>
      <c r="M642" s="73"/>
      <c r="N642" s="74">
        <v>6.7562183485204077</v>
      </c>
      <c r="O642" s="74">
        <v>6.7730180940786511</v>
      </c>
      <c r="P642" s="73"/>
      <c r="Q642" s="72">
        <v>2708.6495948611691</v>
      </c>
      <c r="R642" s="72">
        <v>1224.8758438444481</v>
      </c>
      <c r="S642" s="73"/>
      <c r="T642" s="74">
        <v>4.8225114774982725</v>
      </c>
      <c r="U642" s="74">
        <v>5.0023193097109813</v>
      </c>
      <c r="V642" s="73"/>
      <c r="W642" s="72">
        <v>13499.442329706113</v>
      </c>
      <c r="X642" s="72">
        <v>13482.01063631714</v>
      </c>
      <c r="Y642" s="73"/>
      <c r="Z642" s="74">
        <v>3.076825253632796</v>
      </c>
      <c r="AA642" s="74">
        <v>3.1258076000455133</v>
      </c>
      <c r="AB642" s="73"/>
      <c r="AC642" s="72">
        <v>50185.881182625068</v>
      </c>
      <c r="AD642" s="72">
        <v>49913.406614072497</v>
      </c>
      <c r="AE642" s="73"/>
      <c r="AF642" s="74">
        <v>4.4493801163038587</v>
      </c>
      <c r="AG642" s="74">
        <v>4.5447905116649832</v>
      </c>
      <c r="AH642" s="73"/>
      <c r="AI642" s="72">
        <v>2538148.4155344549</v>
      </c>
      <c r="AJ642" s="72">
        <v>0</v>
      </c>
      <c r="AK642" s="73"/>
      <c r="AL642" s="74">
        <v>-2049.1760618489739</v>
      </c>
      <c r="AM642" s="74">
        <v>0</v>
      </c>
      <c r="AN642" s="73"/>
      <c r="AO642" s="72">
        <v>173050.31170399819</v>
      </c>
      <c r="AP642" s="72">
        <v>0</v>
      </c>
      <c r="AQ642" s="73"/>
      <c r="AR642" s="74">
        <v>-120.21969351522698</v>
      </c>
      <c r="AS642" s="74">
        <v>0</v>
      </c>
      <c r="AT642" s="73"/>
      <c r="AU642" s="72">
        <v>34667645.565612495</v>
      </c>
      <c r="AV642" s="72">
        <v>0</v>
      </c>
      <c r="AW642" s="73"/>
      <c r="AX642" s="74">
        <v>-4201.1217632067837</v>
      </c>
      <c r="AY642" s="74">
        <v>0</v>
      </c>
      <c r="AZ642" s="73"/>
      <c r="BA642" s="72">
        <v>158370.73845928046</v>
      </c>
      <c r="BB642" s="72">
        <v>0</v>
      </c>
      <c r="BC642" s="73"/>
      <c r="BD642" s="74">
        <v>-445.01530630164933</v>
      </c>
      <c r="BE642" s="74">
        <v>0</v>
      </c>
      <c r="BF642" s="73"/>
      <c r="BG642" s="72">
        <v>4194122.8436557795</v>
      </c>
      <c r="BH642" s="72">
        <v>0</v>
      </c>
      <c r="BI642" s="73"/>
      <c r="BJ642" s="74">
        <v>-1468.6248365565002</v>
      </c>
      <c r="BK642" s="74">
        <v>0</v>
      </c>
      <c r="BL642" s="73"/>
      <c r="BM642" s="72">
        <v>41731337.87496601</v>
      </c>
      <c r="BN642" s="72">
        <v>0</v>
      </c>
      <c r="BO642" s="73"/>
      <c r="BP642" s="74">
        <v>-8284.1576614291353</v>
      </c>
      <c r="BQ642" s="74">
        <v>0</v>
      </c>
      <c r="BS642" s="109">
        <f t="shared" si="243"/>
        <v>116709.91274775811</v>
      </c>
      <c r="BT642" s="109">
        <f t="shared" si="244"/>
        <v>117114.99164403696</v>
      </c>
      <c r="BV642" s="58">
        <f t="array" ref="BV642">SUM(IF(BS642:BT642&gt;=BS642, 1))</f>
        <v>2</v>
      </c>
      <c r="BW642" s="58">
        <f t="array" ref="BW642">SUM(IF(BS642:BT642&gt;=BT642, 1))</f>
        <v>1</v>
      </c>
      <c r="BY642" s="109">
        <f t="shared" si="245"/>
        <v>134897.78343698083</v>
      </c>
      <c r="BZ642" s="109">
        <f t="shared" si="246"/>
        <v>135257.96075221273</v>
      </c>
      <c r="CB642" s="58">
        <f t="array" ref="CB642">SUM(IF(BY642:BZ642&gt;=BY642, 1))</f>
        <v>2</v>
      </c>
      <c r="CC642" s="58">
        <f t="array" ref="CC642">SUM(IF(BY642:BZ642&gt;=BZ642, 1))</f>
        <v>1</v>
      </c>
      <c r="CE642" s="109">
        <f t="shared" si="247"/>
        <v>93741.579955104273</v>
      </c>
      <c r="CF642" s="109">
        <f t="shared" si="248"/>
        <v>98821.510350375174</v>
      </c>
      <c r="CH642" s="58">
        <f t="array" ref="CH642">SUM(IF(CE642:CF642&gt;=CE642, 1))</f>
        <v>2</v>
      </c>
      <c r="CI642" s="58">
        <f t="array" ref="CI642">SUM(IF(CE642:CF642&gt;=CF642, 1))</f>
        <v>1</v>
      </c>
      <c r="CK642" s="109">
        <f t="shared" si="249"/>
        <v>48037.062742949805</v>
      </c>
      <c r="CL642" s="109">
        <f t="shared" si="250"/>
        <v>49034.141364593132</v>
      </c>
      <c r="CN642" s="58">
        <f t="array" ref="CN642">SUM(IF(CK642:CL642&gt;=CK642, 1))</f>
        <v>2</v>
      </c>
      <c r="CO642" s="58">
        <f t="array" ref="CO642">SUM(IF(CK642:CL642&gt;=CL642, 1))</f>
        <v>1</v>
      </c>
      <c r="CQ642" s="109" cm="1">
        <f t="array" ref="CQ642">AF642*WTP-AC642</f>
        <v>38801.721143452109</v>
      </c>
      <c r="CR642" s="109">
        <f t="shared" si="251"/>
        <v>40982.403619227167</v>
      </c>
      <c r="CT642" s="58">
        <f t="array" ref="CT642">SUM(IF(CQ642:CR642&gt;=CQ642, 1))</f>
        <v>2</v>
      </c>
      <c r="CU642" s="58">
        <f t="array" ref="CU642">SUM(IF(CQ642:CR642&gt;=CR642, 1))</f>
        <v>1</v>
      </c>
      <c r="CW642" s="109">
        <f t="shared" si="252"/>
        <v>-43521669.652513929</v>
      </c>
      <c r="CX642" s="109">
        <f t="shared" si="253"/>
        <v>0</v>
      </c>
      <c r="CZ642" s="58">
        <f t="array" ref="CZ642">SUM(IF(CW642:CX642&gt;=CW642, 1))</f>
        <v>2</v>
      </c>
      <c r="DA642" s="58">
        <f t="array" ref="DA642">SUM(IF(CW642:CX642&gt;=CX642, 1))</f>
        <v>1</v>
      </c>
      <c r="DC642" s="109">
        <f t="shared" si="254"/>
        <v>-2577444.1820085379</v>
      </c>
      <c r="DD642" s="109">
        <f t="shared" si="255"/>
        <v>0</v>
      </c>
      <c r="DF642" s="58">
        <f t="array" ref="DF642">SUM(IF(DC642:DD642&gt;=DC642, 1))</f>
        <v>2</v>
      </c>
      <c r="DG642" s="58">
        <f t="array" ref="DG642">SUM(IF(DC642:DD642&gt;=DD642, 1))</f>
        <v>1</v>
      </c>
      <c r="DI642" s="109">
        <f t="shared" si="256"/>
        <v>-118690080.82974817</v>
      </c>
      <c r="DJ642" s="109">
        <f t="shared" si="257"/>
        <v>0</v>
      </c>
      <c r="DL642" s="58">
        <f t="array" ref="DL642">SUM(IF(DI642:DJ642&gt;=DI642, 1))</f>
        <v>2</v>
      </c>
      <c r="DM642" s="58">
        <f t="array" ref="DM642">SUM(IF(DI642:DJ642&gt;=DJ642, 1))</f>
        <v>1</v>
      </c>
      <c r="DO642" s="109">
        <f t="shared" si="258"/>
        <v>-9058676.8644922655</v>
      </c>
      <c r="DP642" s="109">
        <f t="shared" si="259"/>
        <v>0</v>
      </c>
      <c r="DR642" s="58">
        <f t="array" ref="DR642">SUM(IF(DO642:DP642&gt;=DO642, 1))</f>
        <v>2</v>
      </c>
      <c r="DS642" s="58">
        <f t="array" ref="DS642">SUM(IF(DO642:DP642&gt;=DP642, 1))</f>
        <v>1</v>
      </c>
      <c r="DU642" s="109">
        <f t="shared" si="260"/>
        <v>-33566619.574785784</v>
      </c>
      <c r="DV642" s="109">
        <f t="shared" si="261"/>
        <v>0</v>
      </c>
      <c r="DX642" s="58">
        <f t="array" ref="DX642">SUM(IF(DU642:DV642&gt;=DU642, 1))</f>
        <v>2</v>
      </c>
      <c r="DY642" s="58">
        <f t="array" ref="DY642">SUM(IF(DU642:DV642&gt;=DV642, 1))</f>
        <v>1</v>
      </c>
      <c r="EA642" s="109">
        <f t="shared" si="262"/>
        <v>-207414491.10354871</v>
      </c>
      <c r="EB642" s="109">
        <f t="shared" si="263"/>
        <v>0</v>
      </c>
      <c r="ED642" s="58">
        <f t="array" ref="ED642">SUM(IF(EA642:EB642&gt;=EA642, 1))</f>
        <v>2</v>
      </c>
      <c r="EE642" s="58">
        <f t="array" ref="EE642">SUM(IF(EA642:EB642&gt;=EB642, 1))</f>
        <v>1</v>
      </c>
    </row>
    <row r="643" spans="4:135" ht="12" customHeight="1" x14ac:dyDescent="0.25">
      <c r="D643" s="11">
        <v>627</v>
      </c>
      <c r="E643" s="72">
        <v>313.09828144514222</v>
      </c>
      <c r="F643" s="72">
        <v>297.15447139866779</v>
      </c>
      <c r="G643" s="73"/>
      <c r="H643" s="74">
        <v>5.8131286953537238</v>
      </c>
      <c r="I643" s="74">
        <v>5.8287046965133209</v>
      </c>
      <c r="J643" s="73"/>
      <c r="K643" s="72">
        <v>336.78507788729542</v>
      </c>
      <c r="L643" s="72">
        <v>320.43379647442538</v>
      </c>
      <c r="M643" s="73"/>
      <c r="N643" s="74">
        <v>6.6963151367440537</v>
      </c>
      <c r="O643" s="74">
        <v>6.7099701970138836</v>
      </c>
      <c r="P643" s="73"/>
      <c r="Q643" s="72">
        <v>2704.1522183898392</v>
      </c>
      <c r="R643" s="72">
        <v>1367.9865335003926</v>
      </c>
      <c r="S643" s="73"/>
      <c r="T643" s="74">
        <v>4.8214018875979736</v>
      </c>
      <c r="U643" s="74">
        <v>4.9656134233440907</v>
      </c>
      <c r="V643" s="73"/>
      <c r="W643" s="72">
        <v>17024.347027970194</v>
      </c>
      <c r="X643" s="72">
        <v>17026.311521484196</v>
      </c>
      <c r="Y643" s="73"/>
      <c r="Z643" s="74">
        <v>2.9719562715174228</v>
      </c>
      <c r="AA643" s="74">
        <v>3.0144804434797172</v>
      </c>
      <c r="AB643" s="73"/>
      <c r="AC643" s="72">
        <v>50525.811588303273</v>
      </c>
      <c r="AD643" s="72">
        <v>50549.760072548845</v>
      </c>
      <c r="AE643" s="73"/>
      <c r="AF643" s="74">
        <v>3.7136247998537852</v>
      </c>
      <c r="AG643" s="74">
        <v>3.8021863966799558</v>
      </c>
      <c r="AH643" s="73"/>
      <c r="AI643" s="72">
        <v>1727974.0741655461</v>
      </c>
      <c r="AJ643" s="72">
        <v>0</v>
      </c>
      <c r="AK643" s="73"/>
      <c r="AL643" s="74">
        <v>-1688.1113174644142</v>
      </c>
      <c r="AM643" s="74">
        <v>0</v>
      </c>
      <c r="AN643" s="73"/>
      <c r="AO643" s="72">
        <v>112578.0383198223</v>
      </c>
      <c r="AP643" s="72">
        <v>0</v>
      </c>
      <c r="AQ643" s="73"/>
      <c r="AR643" s="74">
        <v>-94.014643837420081</v>
      </c>
      <c r="AS643" s="74">
        <v>0</v>
      </c>
      <c r="AT643" s="73"/>
      <c r="AU643" s="72">
        <v>31554775.947624531</v>
      </c>
      <c r="AV643" s="72">
        <v>0</v>
      </c>
      <c r="AW643" s="73"/>
      <c r="AX643" s="74">
        <v>-3405.6874465445367</v>
      </c>
      <c r="AY643" s="74">
        <v>0</v>
      </c>
      <c r="AZ643" s="73"/>
      <c r="BA643" s="72">
        <v>-17998.667350888147</v>
      </c>
      <c r="BB643" s="72">
        <v>0</v>
      </c>
      <c r="BC643" s="73"/>
      <c r="BD643" s="74">
        <v>-389.60598244073805</v>
      </c>
      <c r="BE643" s="74">
        <v>0</v>
      </c>
      <c r="BF643" s="73"/>
      <c r="BG643" s="72">
        <v>-372378.42985590099</v>
      </c>
      <c r="BH643" s="72">
        <v>0</v>
      </c>
      <c r="BI643" s="73"/>
      <c r="BJ643" s="74">
        <v>-1377.05702095778</v>
      </c>
      <c r="BK643" s="74">
        <v>0</v>
      </c>
      <c r="BL643" s="73"/>
      <c r="BM643" s="72">
        <v>33004950.962903108</v>
      </c>
      <c r="BN643" s="72">
        <v>0</v>
      </c>
      <c r="BO643" s="73"/>
      <c r="BP643" s="74">
        <v>-6954.4764112448893</v>
      </c>
      <c r="BQ643" s="74">
        <v>0</v>
      </c>
      <c r="BS643" s="109">
        <f t="shared" si="243"/>
        <v>115949.47562562933</v>
      </c>
      <c r="BT643" s="109">
        <f t="shared" si="244"/>
        <v>116276.93945886775</v>
      </c>
      <c r="BV643" s="58">
        <f t="array" ref="BV643">SUM(IF(BS643:BT643&gt;=BS643, 1))</f>
        <v>2</v>
      </c>
      <c r="BW643" s="58">
        <f t="array" ref="BW643">SUM(IF(BS643:BT643&gt;=BT643, 1))</f>
        <v>1</v>
      </c>
      <c r="BY643" s="109">
        <f t="shared" si="245"/>
        <v>133589.51765699379</v>
      </c>
      <c r="BZ643" s="109">
        <f t="shared" si="246"/>
        <v>133878.97014380325</v>
      </c>
      <c r="CB643" s="58">
        <f t="array" ref="CB643">SUM(IF(BY643:BZ643&gt;=BY643, 1))</f>
        <v>2</v>
      </c>
      <c r="CC643" s="58">
        <f t="array" ref="CC643">SUM(IF(BY643:BZ643&gt;=BZ643, 1))</f>
        <v>1</v>
      </c>
      <c r="CE643" s="109">
        <f t="shared" si="247"/>
        <v>93723.885533569643</v>
      </c>
      <c r="CF643" s="109">
        <f t="shared" si="248"/>
        <v>97944.281933381411</v>
      </c>
      <c r="CH643" s="58">
        <f t="array" ref="CH643">SUM(IF(CE643:CF643&gt;=CE643, 1))</f>
        <v>2</v>
      </c>
      <c r="CI643" s="58">
        <f t="array" ref="CI643">SUM(IF(CE643:CF643&gt;=CF643, 1))</f>
        <v>1</v>
      </c>
      <c r="CK643" s="109">
        <f t="shared" si="249"/>
        <v>42414.778402378259</v>
      </c>
      <c r="CL643" s="109">
        <f t="shared" si="250"/>
        <v>43263.297348110151</v>
      </c>
      <c r="CN643" s="58">
        <f t="array" ref="CN643">SUM(IF(CK643:CL643&gt;=CK643, 1))</f>
        <v>2</v>
      </c>
      <c r="CO643" s="58">
        <f t="array" ref="CO643">SUM(IF(CK643:CL643&gt;=CL643, 1))</f>
        <v>1</v>
      </c>
      <c r="CQ643" s="109" cm="1">
        <f t="array" ref="CQ643">AF643*WTP-AC643</f>
        <v>23746.684408772431</v>
      </c>
      <c r="CR643" s="109">
        <f t="shared" si="251"/>
        <v>25493.967861050274</v>
      </c>
      <c r="CT643" s="58">
        <f t="array" ref="CT643">SUM(IF(CQ643:CR643&gt;=CQ643, 1))</f>
        <v>2</v>
      </c>
      <c r="CU643" s="58">
        <f t="array" ref="CU643">SUM(IF(CQ643:CR643&gt;=CR643, 1))</f>
        <v>1</v>
      </c>
      <c r="CW643" s="109">
        <f t="shared" si="252"/>
        <v>-35490200.42345383</v>
      </c>
      <c r="CX643" s="109">
        <f t="shared" si="253"/>
        <v>0</v>
      </c>
      <c r="CZ643" s="58">
        <f t="array" ref="CZ643">SUM(IF(CW643:CX643&gt;=CW643, 1))</f>
        <v>2</v>
      </c>
      <c r="DA643" s="58">
        <f t="array" ref="DA643">SUM(IF(CW643:CX643&gt;=CX643, 1))</f>
        <v>1</v>
      </c>
      <c r="DC643" s="109">
        <f t="shared" si="254"/>
        <v>-1992870.9150682241</v>
      </c>
      <c r="DD643" s="109">
        <f t="shared" si="255"/>
        <v>0</v>
      </c>
      <c r="DF643" s="58">
        <f t="array" ref="DF643">SUM(IF(DC643:DD643&gt;=DC643, 1))</f>
        <v>2</v>
      </c>
      <c r="DG643" s="58">
        <f t="array" ref="DG643">SUM(IF(DC643:DD643&gt;=DD643, 1))</f>
        <v>1</v>
      </c>
      <c r="DI643" s="109">
        <f t="shared" si="256"/>
        <v>-99668524.878515273</v>
      </c>
      <c r="DJ643" s="109">
        <f t="shared" si="257"/>
        <v>0</v>
      </c>
      <c r="DL643" s="58">
        <f t="array" ref="DL643">SUM(IF(DI643:DJ643&gt;=DI643, 1))</f>
        <v>2</v>
      </c>
      <c r="DM643" s="58">
        <f t="array" ref="DM643">SUM(IF(DI643:DJ643&gt;=DJ643, 1))</f>
        <v>1</v>
      </c>
      <c r="DO643" s="109">
        <f t="shared" si="258"/>
        <v>-7774120.9814638728</v>
      </c>
      <c r="DP643" s="109">
        <f t="shared" si="259"/>
        <v>0</v>
      </c>
      <c r="DR643" s="58">
        <f t="array" ref="DR643">SUM(IF(DO643:DP643&gt;=DO643, 1))</f>
        <v>2</v>
      </c>
      <c r="DS643" s="58">
        <f t="array" ref="DS643">SUM(IF(DO643:DP643&gt;=DP643, 1))</f>
        <v>1</v>
      </c>
      <c r="DU643" s="109">
        <f t="shared" si="260"/>
        <v>-27168761.989299696</v>
      </c>
      <c r="DV643" s="109">
        <f t="shared" si="261"/>
        <v>0</v>
      </c>
      <c r="DX643" s="58">
        <f t="array" ref="DX643">SUM(IF(DU643:DV643&gt;=DU643, 1))</f>
        <v>2</v>
      </c>
      <c r="DY643" s="58">
        <f t="array" ref="DY643">SUM(IF(DU643:DV643&gt;=DV643, 1))</f>
        <v>1</v>
      </c>
      <c r="EA643" s="109">
        <f t="shared" si="262"/>
        <v>-172094479.18780088</v>
      </c>
      <c r="EB643" s="109">
        <f t="shared" si="263"/>
        <v>0</v>
      </c>
      <c r="ED643" s="58">
        <f t="array" ref="ED643">SUM(IF(EA643:EB643&gt;=EA643, 1))</f>
        <v>2</v>
      </c>
      <c r="EE643" s="58">
        <f t="array" ref="EE643">SUM(IF(EA643:EB643&gt;=EB643, 1))</f>
        <v>1</v>
      </c>
    </row>
    <row r="644" spans="4:135" ht="12" customHeight="1" x14ac:dyDescent="0.25">
      <c r="D644" s="11">
        <v>628</v>
      </c>
      <c r="E644" s="72">
        <v>304.99981384100067</v>
      </c>
      <c r="F644" s="72">
        <v>259.18996813019595</v>
      </c>
      <c r="G644" s="73"/>
      <c r="H644" s="74">
        <v>5.8566528761418093</v>
      </c>
      <c r="I644" s="74">
        <v>5.8743172656394442</v>
      </c>
      <c r="J644" s="73"/>
      <c r="K644" s="72">
        <v>326.17451529378621</v>
      </c>
      <c r="L644" s="72">
        <v>279.29752079112427</v>
      </c>
      <c r="M644" s="73"/>
      <c r="N644" s="74">
        <v>6.6847271357722233</v>
      </c>
      <c r="O644" s="74">
        <v>6.6999654712326819</v>
      </c>
      <c r="P644" s="73"/>
      <c r="Q644" s="72">
        <v>1546.8958732174788</v>
      </c>
      <c r="R644" s="72">
        <v>1344.2263225372576</v>
      </c>
      <c r="S644" s="73"/>
      <c r="T644" s="74">
        <v>4.9924377812402438</v>
      </c>
      <c r="U644" s="74">
        <v>5.0316514165930348</v>
      </c>
      <c r="V644" s="73"/>
      <c r="W644" s="72">
        <v>11379.98370560028</v>
      </c>
      <c r="X644" s="72">
        <v>11325.563066983295</v>
      </c>
      <c r="Y644" s="73"/>
      <c r="Z644" s="74">
        <v>2.9817565516044318</v>
      </c>
      <c r="AA644" s="74">
        <v>3.0278462602435718</v>
      </c>
      <c r="AB644" s="73"/>
      <c r="AC644" s="72">
        <v>49661.140459064933</v>
      </c>
      <c r="AD644" s="72">
        <v>49518.498790220161</v>
      </c>
      <c r="AE644" s="73"/>
      <c r="AF644" s="74">
        <v>4.2639310210098245</v>
      </c>
      <c r="AG644" s="74">
        <v>4.3608274206994553</v>
      </c>
      <c r="AH644" s="73"/>
      <c r="AI644" s="72">
        <v>4973910.6396519169</v>
      </c>
      <c r="AJ644" s="72">
        <v>0</v>
      </c>
      <c r="AK644" s="73"/>
      <c r="AL644" s="74">
        <v>-1917.9522109702073</v>
      </c>
      <c r="AM644" s="74">
        <v>0</v>
      </c>
      <c r="AN644" s="73"/>
      <c r="AO644" s="72">
        <v>323062.66473388497</v>
      </c>
      <c r="AP644" s="72">
        <v>0</v>
      </c>
      <c r="AQ644" s="73"/>
      <c r="AR644" s="74">
        <v>-105.01819308584422</v>
      </c>
      <c r="AS644" s="74">
        <v>0</v>
      </c>
      <c r="AT644" s="73"/>
      <c r="AU644" s="72">
        <v>4717539.6706784749</v>
      </c>
      <c r="AV644" s="72">
        <v>0</v>
      </c>
      <c r="AW644" s="73"/>
      <c r="AX644" s="74">
        <v>-912.77589449141192</v>
      </c>
      <c r="AY644" s="74">
        <v>0</v>
      </c>
      <c r="AZ644" s="73"/>
      <c r="BA644" s="72">
        <v>494436.61167234409</v>
      </c>
      <c r="BB644" s="72">
        <v>0</v>
      </c>
      <c r="BC644" s="73"/>
      <c r="BD644" s="74">
        <v>-418.74626890890283</v>
      </c>
      <c r="BE644" s="74">
        <v>0</v>
      </c>
      <c r="BF644" s="73"/>
      <c r="BG644" s="72">
        <v>2200550.8857681323</v>
      </c>
      <c r="BH644" s="72">
        <v>0</v>
      </c>
      <c r="BI644" s="73"/>
      <c r="BJ644" s="74">
        <v>-1494.8328906387135</v>
      </c>
      <c r="BK644" s="74">
        <v>0</v>
      </c>
      <c r="BL644" s="73"/>
      <c r="BM644" s="72">
        <v>12709500.472504754</v>
      </c>
      <c r="BN644" s="72">
        <v>0</v>
      </c>
      <c r="BO644" s="73"/>
      <c r="BP644" s="74">
        <v>-4849.3254580950797</v>
      </c>
      <c r="BQ644" s="74">
        <v>0</v>
      </c>
      <c r="BS644" s="109">
        <f t="shared" si="243"/>
        <v>116828.05770899518</v>
      </c>
      <c r="BT644" s="109">
        <f t="shared" si="244"/>
        <v>117227.15534465868</v>
      </c>
      <c r="BV644" s="58">
        <f t="array" ref="BV644">SUM(IF(BS644:BT644&gt;=BS644, 1))</f>
        <v>2</v>
      </c>
      <c r="BW644" s="58">
        <f t="array" ref="BW644">SUM(IF(BS644:BT644&gt;=BT644, 1))</f>
        <v>1</v>
      </c>
      <c r="BY644" s="109">
        <f t="shared" si="245"/>
        <v>133368.36820015067</v>
      </c>
      <c r="BZ644" s="109">
        <f t="shared" si="246"/>
        <v>133720.01190386253</v>
      </c>
      <c r="CB644" s="58">
        <f t="array" ref="CB644">SUM(IF(BY644:BZ644&gt;=BY644, 1))</f>
        <v>2</v>
      </c>
      <c r="CC644" s="58">
        <f t="array" ref="CC644">SUM(IF(BY644:BZ644&gt;=BZ644, 1))</f>
        <v>1</v>
      </c>
      <c r="CE644" s="109">
        <f t="shared" si="247"/>
        <v>98301.859751587399</v>
      </c>
      <c r="CF644" s="109">
        <f t="shared" si="248"/>
        <v>99288.802009323437</v>
      </c>
      <c r="CH644" s="58">
        <f t="array" ref="CH644">SUM(IF(CE644:CF644&gt;=CE644, 1))</f>
        <v>2</v>
      </c>
      <c r="CI644" s="58">
        <f t="array" ref="CI644">SUM(IF(CE644:CF644&gt;=CF644, 1))</f>
        <v>1</v>
      </c>
      <c r="CK644" s="109">
        <f t="shared" si="249"/>
        <v>48255.147326488353</v>
      </c>
      <c r="CL644" s="109">
        <f t="shared" si="250"/>
        <v>49231.362137888136</v>
      </c>
      <c r="CN644" s="58">
        <f t="array" ref="CN644">SUM(IF(CK644:CL644&gt;=CK644, 1))</f>
        <v>2</v>
      </c>
      <c r="CO644" s="58">
        <f t="array" ref="CO644">SUM(IF(CK644:CL644&gt;=CL644, 1))</f>
        <v>1</v>
      </c>
      <c r="CQ644" s="109" cm="1">
        <f t="array" ref="CQ644">AF644*WTP-AC644</f>
        <v>35617.479961131554</v>
      </c>
      <c r="CR644" s="109">
        <f t="shared" si="251"/>
        <v>37698.049623768944</v>
      </c>
      <c r="CT644" s="58">
        <f t="array" ref="CT644">SUM(IF(CQ644:CR644&gt;=CQ644, 1))</f>
        <v>2</v>
      </c>
      <c r="CU644" s="58">
        <f t="array" ref="CU644">SUM(IF(CQ644:CR644&gt;=CR644, 1))</f>
        <v>1</v>
      </c>
      <c r="CW644" s="109">
        <f t="shared" si="252"/>
        <v>-43332954.859056063</v>
      </c>
      <c r="CX644" s="109">
        <f t="shared" si="253"/>
        <v>0</v>
      </c>
      <c r="CZ644" s="58">
        <f t="array" ref="CZ644">SUM(IF(CW644:CX644&gt;=CW644, 1))</f>
        <v>2</v>
      </c>
      <c r="DA644" s="58">
        <f t="array" ref="DA644">SUM(IF(CW644:CX644&gt;=CX644, 1))</f>
        <v>1</v>
      </c>
      <c r="DC644" s="109">
        <f t="shared" si="254"/>
        <v>-2423426.526450769</v>
      </c>
      <c r="DD644" s="109">
        <f t="shared" si="255"/>
        <v>0</v>
      </c>
      <c r="DF644" s="58">
        <f t="array" ref="DF644">SUM(IF(DC644:DD644&gt;=DC644, 1))</f>
        <v>2</v>
      </c>
      <c r="DG644" s="58">
        <f t="array" ref="DG644">SUM(IF(DC644:DD644&gt;=DD644, 1))</f>
        <v>1</v>
      </c>
      <c r="DI644" s="109">
        <f t="shared" si="256"/>
        <v>-22973057.560506713</v>
      </c>
      <c r="DJ644" s="109">
        <f t="shared" si="257"/>
        <v>0</v>
      </c>
      <c r="DL644" s="58">
        <f t="array" ref="DL644">SUM(IF(DI644:DJ644&gt;=DI644, 1))</f>
        <v>2</v>
      </c>
      <c r="DM644" s="58">
        <f t="array" ref="DM644">SUM(IF(DI644:DJ644&gt;=DJ644, 1))</f>
        <v>1</v>
      </c>
      <c r="DO644" s="109">
        <f t="shared" si="258"/>
        <v>-8869361.9898504</v>
      </c>
      <c r="DP644" s="109">
        <f t="shared" si="259"/>
        <v>0</v>
      </c>
      <c r="DR644" s="58">
        <f t="array" ref="DR644">SUM(IF(DO644:DP644&gt;=DO644, 1))</f>
        <v>2</v>
      </c>
      <c r="DS644" s="58">
        <f t="array" ref="DS644">SUM(IF(DO644:DP644&gt;=DP644, 1))</f>
        <v>1</v>
      </c>
      <c r="DU644" s="109">
        <f t="shared" si="260"/>
        <v>-32097208.698542401</v>
      </c>
      <c r="DV644" s="109">
        <f t="shared" si="261"/>
        <v>0</v>
      </c>
      <c r="DX644" s="58">
        <f t="array" ref="DX644">SUM(IF(DU644:DV644&gt;=DU644, 1))</f>
        <v>2</v>
      </c>
      <c r="DY644" s="58">
        <f t="array" ref="DY644">SUM(IF(DU644:DV644&gt;=DV644, 1))</f>
        <v>1</v>
      </c>
      <c r="EA644" s="109">
        <f t="shared" si="262"/>
        <v>-109696009.63440634</v>
      </c>
      <c r="EB644" s="109">
        <f t="shared" si="263"/>
        <v>0</v>
      </c>
      <c r="ED644" s="58">
        <f t="array" ref="ED644">SUM(IF(EA644:EB644&gt;=EA644, 1))</f>
        <v>2</v>
      </c>
      <c r="EE644" s="58">
        <f t="array" ref="EE644">SUM(IF(EA644:EB644&gt;=EB644, 1))</f>
        <v>1</v>
      </c>
    </row>
    <row r="645" spans="4:135" ht="12" customHeight="1" x14ac:dyDescent="0.25">
      <c r="D645" s="11">
        <v>629</v>
      </c>
      <c r="E645" s="72">
        <v>213.14446144794243</v>
      </c>
      <c r="F645" s="72">
        <v>190.17864029897882</v>
      </c>
      <c r="G645" s="73"/>
      <c r="H645" s="74">
        <v>5.8351297720820758</v>
      </c>
      <c r="I645" s="74">
        <v>5.8546828676173019</v>
      </c>
      <c r="J645" s="73"/>
      <c r="K645" s="72">
        <v>228.51813336238519</v>
      </c>
      <c r="L645" s="72">
        <v>205.0035498088117</v>
      </c>
      <c r="M645" s="73"/>
      <c r="N645" s="74">
        <v>6.6938059956281055</v>
      </c>
      <c r="O645" s="74">
        <v>6.711228279558723</v>
      </c>
      <c r="P645" s="73"/>
      <c r="Q645" s="72">
        <v>2779.1555428970191</v>
      </c>
      <c r="R645" s="72">
        <v>1639.1108853499532</v>
      </c>
      <c r="S645" s="73"/>
      <c r="T645" s="74">
        <v>4.7929773992128739</v>
      </c>
      <c r="U645" s="74">
        <v>4.8759460862209245</v>
      </c>
      <c r="V645" s="73"/>
      <c r="W645" s="72">
        <v>12097.359041036558</v>
      </c>
      <c r="X645" s="72">
        <v>12069.547558029561</v>
      </c>
      <c r="Y645" s="73"/>
      <c r="Z645" s="74">
        <v>2.8606249104034727</v>
      </c>
      <c r="AA645" s="74">
        <v>2.9056525975600289</v>
      </c>
      <c r="AB645" s="73"/>
      <c r="AC645" s="72">
        <v>50730.60645266065</v>
      </c>
      <c r="AD645" s="72">
        <v>50611.444643404429</v>
      </c>
      <c r="AE645" s="73"/>
      <c r="AF645" s="74">
        <v>4.1996685332126908</v>
      </c>
      <c r="AG645" s="74">
        <v>4.3057282368392107</v>
      </c>
      <c r="AH645" s="73"/>
      <c r="AI645" s="72">
        <v>2473067.0680564116</v>
      </c>
      <c r="AJ645" s="72">
        <v>0</v>
      </c>
      <c r="AK645" s="73"/>
      <c r="AL645" s="74">
        <v>-2105.5688073627066</v>
      </c>
      <c r="AM645" s="74">
        <v>0</v>
      </c>
      <c r="AN645" s="73"/>
      <c r="AO645" s="72">
        <v>168720.49438164491</v>
      </c>
      <c r="AP645" s="72">
        <v>0</v>
      </c>
      <c r="AQ645" s="73"/>
      <c r="AR645" s="74">
        <v>-125.00737473551651</v>
      </c>
      <c r="AS645" s="74">
        <v>0</v>
      </c>
      <c r="AT645" s="73"/>
      <c r="AU645" s="72">
        <v>26503103.318874069</v>
      </c>
      <c r="AV645" s="72">
        <v>0</v>
      </c>
      <c r="AW645" s="73"/>
      <c r="AX645" s="74">
        <v>-1928.8083755744528</v>
      </c>
      <c r="AY645" s="74">
        <v>0</v>
      </c>
      <c r="AZ645" s="73"/>
      <c r="BA645" s="72">
        <v>260973.29349781646</v>
      </c>
      <c r="BB645" s="72">
        <v>0</v>
      </c>
      <c r="BC645" s="73"/>
      <c r="BD645" s="74">
        <v>-422.52417150424344</v>
      </c>
      <c r="BE645" s="74">
        <v>0</v>
      </c>
      <c r="BF645" s="73"/>
      <c r="BG645" s="72">
        <v>1949328.2430954501</v>
      </c>
      <c r="BH645" s="72">
        <v>0</v>
      </c>
      <c r="BI645" s="73"/>
      <c r="BJ645" s="74">
        <v>-1734.9952725958285</v>
      </c>
      <c r="BK645" s="74">
        <v>0</v>
      </c>
      <c r="BL645" s="73"/>
      <c r="BM645" s="72">
        <v>31355192.41790539</v>
      </c>
      <c r="BN645" s="72">
        <v>0</v>
      </c>
      <c r="BO645" s="73"/>
      <c r="BP645" s="74">
        <v>-6316.9040017727475</v>
      </c>
      <c r="BQ645" s="74">
        <v>0</v>
      </c>
      <c r="BS645" s="109">
        <f t="shared" si="243"/>
        <v>116489.45098019358</v>
      </c>
      <c r="BT645" s="109">
        <f t="shared" si="244"/>
        <v>116903.47871204706</v>
      </c>
      <c r="BV645" s="58">
        <f t="array" ref="BV645">SUM(IF(BS645:BT645&gt;=BS645, 1))</f>
        <v>2</v>
      </c>
      <c r="BW645" s="58">
        <f t="array" ref="BW645">SUM(IF(BS645:BT645&gt;=BT645, 1))</f>
        <v>1</v>
      </c>
      <c r="BY645" s="109">
        <f t="shared" si="245"/>
        <v>133647.60177919973</v>
      </c>
      <c r="BZ645" s="109">
        <f t="shared" si="246"/>
        <v>134019.56204136566</v>
      </c>
      <c r="CB645" s="58">
        <f t="array" ref="CB645">SUM(IF(BY645:BZ645&gt;=BY645, 1))</f>
        <v>2</v>
      </c>
      <c r="CC645" s="58">
        <f t="array" ref="CC645">SUM(IF(BY645:BZ645&gt;=BZ645, 1))</f>
        <v>1</v>
      </c>
      <c r="CE645" s="109">
        <f t="shared" si="247"/>
        <v>93080.392441360455</v>
      </c>
      <c r="CF645" s="109">
        <f t="shared" si="248"/>
        <v>95879.810839068537</v>
      </c>
      <c r="CH645" s="58">
        <f t="array" ref="CH645">SUM(IF(CE645:CF645&gt;=CE645, 1))</f>
        <v>2</v>
      </c>
      <c r="CI645" s="58">
        <f t="array" ref="CI645">SUM(IF(CE645:CF645&gt;=CF645, 1))</f>
        <v>1</v>
      </c>
      <c r="CK645" s="109">
        <f t="shared" si="249"/>
        <v>45115.139167032896</v>
      </c>
      <c r="CL645" s="109">
        <f t="shared" si="250"/>
        <v>46043.504393171017</v>
      </c>
      <c r="CN645" s="58">
        <f t="array" ref="CN645">SUM(IF(CK645:CL645&gt;=CK645, 1))</f>
        <v>2</v>
      </c>
      <c r="CO645" s="58">
        <f t="array" ref="CO645">SUM(IF(CK645:CL645&gt;=CL645, 1))</f>
        <v>1</v>
      </c>
      <c r="CQ645" s="109" cm="1">
        <f t="array" ref="CQ645">AF645*WTP-AC645</f>
        <v>33262.764211593167</v>
      </c>
      <c r="CR645" s="109">
        <f t="shared" si="251"/>
        <v>35503.120093379788</v>
      </c>
      <c r="CT645" s="58">
        <f t="array" ref="CT645">SUM(IF(CQ645:CR645&gt;=CQ645, 1))</f>
        <v>2</v>
      </c>
      <c r="CU645" s="58">
        <f t="array" ref="CU645">SUM(IF(CQ645:CR645&gt;=CR645, 1))</f>
        <v>1</v>
      </c>
      <c r="CW645" s="109">
        <f t="shared" si="252"/>
        <v>-44584443.215310544</v>
      </c>
      <c r="CX645" s="109">
        <f t="shared" si="253"/>
        <v>0</v>
      </c>
      <c r="CZ645" s="58">
        <f t="array" ref="CZ645">SUM(IF(CW645:CX645&gt;=CW645, 1))</f>
        <v>2</v>
      </c>
      <c r="DA645" s="58">
        <f t="array" ref="DA645">SUM(IF(CW645:CX645&gt;=CX645, 1))</f>
        <v>1</v>
      </c>
      <c r="DC645" s="109">
        <f t="shared" si="254"/>
        <v>-2668867.9890919747</v>
      </c>
      <c r="DD645" s="109">
        <f t="shared" si="255"/>
        <v>0</v>
      </c>
      <c r="DF645" s="58">
        <f t="array" ref="DF645">SUM(IF(DC645:DD645&gt;=DC645, 1))</f>
        <v>2</v>
      </c>
      <c r="DG645" s="58">
        <f t="array" ref="DG645">SUM(IF(DC645:DD645&gt;=DD645, 1))</f>
        <v>1</v>
      </c>
      <c r="DI645" s="109">
        <f t="shared" si="256"/>
        <v>-65079270.830363125</v>
      </c>
      <c r="DJ645" s="109">
        <f t="shared" si="257"/>
        <v>0</v>
      </c>
      <c r="DL645" s="58">
        <f t="array" ref="DL645">SUM(IF(DI645:DJ645&gt;=DI645, 1))</f>
        <v>2</v>
      </c>
      <c r="DM645" s="58">
        <f t="array" ref="DM645">SUM(IF(DI645:DJ645&gt;=DJ645, 1))</f>
        <v>1</v>
      </c>
      <c r="DO645" s="109">
        <f t="shared" si="258"/>
        <v>-8711456.723582685</v>
      </c>
      <c r="DP645" s="109">
        <f t="shared" si="259"/>
        <v>0</v>
      </c>
      <c r="DR645" s="58">
        <f t="array" ref="DR645">SUM(IF(DO645:DP645&gt;=DO645, 1))</f>
        <v>2</v>
      </c>
      <c r="DS645" s="58">
        <f t="array" ref="DS645">SUM(IF(DO645:DP645&gt;=DP645, 1))</f>
        <v>1</v>
      </c>
      <c r="DU645" s="109">
        <f t="shared" si="260"/>
        <v>-36649233.695012018</v>
      </c>
      <c r="DV645" s="109">
        <f t="shared" si="261"/>
        <v>0</v>
      </c>
      <c r="DX645" s="58">
        <f t="array" ref="DX645">SUM(IF(DU645:DV645&gt;=DU645, 1))</f>
        <v>2</v>
      </c>
      <c r="DY645" s="58">
        <f t="array" ref="DY645">SUM(IF(DU645:DV645&gt;=DV645, 1))</f>
        <v>1</v>
      </c>
      <c r="EA645" s="109">
        <f t="shared" si="262"/>
        <v>-157693272.45336032</v>
      </c>
      <c r="EB645" s="109">
        <f t="shared" si="263"/>
        <v>0</v>
      </c>
      <c r="ED645" s="58">
        <f t="array" ref="ED645">SUM(IF(EA645:EB645&gt;=EA645, 1))</f>
        <v>2</v>
      </c>
      <c r="EE645" s="58">
        <f t="array" ref="EE645">SUM(IF(EA645:EB645&gt;=EB645, 1))</f>
        <v>1</v>
      </c>
    </row>
    <row r="646" spans="4:135" ht="12" customHeight="1" x14ac:dyDescent="0.25">
      <c r="D646" s="11">
        <v>630</v>
      </c>
      <c r="E646" s="72">
        <v>248.83504936618945</v>
      </c>
      <c r="F646" s="72">
        <v>229.1807300840683</v>
      </c>
      <c r="G646" s="73"/>
      <c r="H646" s="74">
        <v>5.8682261841982974</v>
      </c>
      <c r="I646" s="74">
        <v>5.8899474398501965</v>
      </c>
      <c r="J646" s="73"/>
      <c r="K646" s="72">
        <v>267.32326469083296</v>
      </c>
      <c r="L646" s="72">
        <v>247.1694384952292</v>
      </c>
      <c r="M646" s="73"/>
      <c r="N646" s="74">
        <v>6.7309573396737683</v>
      </c>
      <c r="O646" s="74">
        <v>6.7501331769658686</v>
      </c>
      <c r="P646" s="73"/>
      <c r="Q646" s="72">
        <v>3135.2722011753331</v>
      </c>
      <c r="R646" s="72">
        <v>1937.5083057176041</v>
      </c>
      <c r="S646" s="73"/>
      <c r="T646" s="74">
        <v>4.8406954677532337</v>
      </c>
      <c r="U646" s="74">
        <v>4.9456961565593147</v>
      </c>
      <c r="V646" s="73"/>
      <c r="W646" s="72">
        <v>13197.532302446607</v>
      </c>
      <c r="X646" s="72">
        <v>13189.628191255073</v>
      </c>
      <c r="Y646" s="73"/>
      <c r="Z646" s="74">
        <v>3.1106045974760299</v>
      </c>
      <c r="AA646" s="74">
        <v>3.1486813738436541</v>
      </c>
      <c r="AB646" s="73"/>
      <c r="AC646" s="72">
        <v>51006.00967674976</v>
      </c>
      <c r="AD646" s="72">
        <v>51110.658878703682</v>
      </c>
      <c r="AE646" s="73"/>
      <c r="AF646" s="74">
        <v>4.4040695242571335</v>
      </c>
      <c r="AG646" s="74">
        <v>4.4604442906087467</v>
      </c>
      <c r="AH646" s="73"/>
      <c r="AI646" s="72">
        <v>2120370.5332945776</v>
      </c>
      <c r="AJ646" s="72">
        <v>0</v>
      </c>
      <c r="AK646" s="73"/>
      <c r="AL646" s="74">
        <v>-2343.3582089175516</v>
      </c>
      <c r="AM646" s="74">
        <v>0</v>
      </c>
      <c r="AN646" s="73"/>
      <c r="AO646" s="72">
        <v>142003.42505087875</v>
      </c>
      <c r="AP646" s="72">
        <v>0</v>
      </c>
      <c r="AQ646" s="73"/>
      <c r="AR646" s="74">
        <v>-135.11253631286118</v>
      </c>
      <c r="AS646" s="74">
        <v>0</v>
      </c>
      <c r="AT646" s="73"/>
      <c r="AU646" s="72">
        <v>27183701.187246125</v>
      </c>
      <c r="AV646" s="72">
        <v>0</v>
      </c>
      <c r="AW646" s="73"/>
      <c r="AX646" s="74">
        <v>-2383.0300443884598</v>
      </c>
      <c r="AY646" s="74">
        <v>0</v>
      </c>
      <c r="AZ646" s="73"/>
      <c r="BA646" s="72">
        <v>71887.36664818853</v>
      </c>
      <c r="BB646" s="72">
        <v>0</v>
      </c>
      <c r="BC646" s="73"/>
      <c r="BD646" s="74">
        <v>-346.30575370097523</v>
      </c>
      <c r="BE646" s="74">
        <v>0</v>
      </c>
      <c r="BF646" s="73"/>
      <c r="BG646" s="72">
        <v>-1656084.921800761</v>
      </c>
      <c r="BH646" s="72">
        <v>0</v>
      </c>
      <c r="BI646" s="73"/>
      <c r="BJ646" s="74">
        <v>-892.13676532435977</v>
      </c>
      <c r="BK646" s="74">
        <v>0</v>
      </c>
      <c r="BL646" s="73"/>
      <c r="BM646" s="72">
        <v>27861877.59043901</v>
      </c>
      <c r="BN646" s="72">
        <v>0</v>
      </c>
      <c r="BO646" s="73"/>
      <c r="BP646" s="74">
        <v>-6099.9433086442077</v>
      </c>
      <c r="BQ646" s="74">
        <v>0</v>
      </c>
      <c r="BS646" s="109">
        <f t="shared" si="243"/>
        <v>117115.68863459976</v>
      </c>
      <c r="BT646" s="109">
        <f t="shared" si="244"/>
        <v>117569.76806691986</v>
      </c>
      <c r="BV646" s="58">
        <f t="array" ref="BV646">SUM(IF(BS646:BT646&gt;=BS646, 1))</f>
        <v>2</v>
      </c>
      <c r="BW646" s="58">
        <f t="array" ref="BW646">SUM(IF(BS646:BT646&gt;=BT646, 1))</f>
        <v>1</v>
      </c>
      <c r="BY646" s="109">
        <f t="shared" si="245"/>
        <v>134351.82352878453</v>
      </c>
      <c r="BZ646" s="109">
        <f t="shared" si="246"/>
        <v>134755.49410082214</v>
      </c>
      <c r="CB646" s="58">
        <f t="array" ref="CB646">SUM(IF(BY646:BZ646&gt;=BY646, 1))</f>
        <v>2</v>
      </c>
      <c r="CC646" s="58">
        <f t="array" ref="CC646">SUM(IF(BY646:BZ646&gt;=BZ646, 1))</f>
        <v>1</v>
      </c>
      <c r="CE646" s="109">
        <f t="shared" si="247"/>
        <v>93678.637153889344</v>
      </c>
      <c r="CF646" s="109">
        <f t="shared" si="248"/>
        <v>96976.414825468688</v>
      </c>
      <c r="CH646" s="58">
        <f t="array" ref="CH646">SUM(IF(CE646:CF646&gt;=CE646, 1))</f>
        <v>2</v>
      </c>
      <c r="CI646" s="58">
        <f t="array" ref="CI646">SUM(IF(CE646:CF646&gt;=CF646, 1))</f>
        <v>1</v>
      </c>
      <c r="CK646" s="109">
        <f t="shared" si="249"/>
        <v>49014.559647073991</v>
      </c>
      <c r="CL646" s="109">
        <f t="shared" si="250"/>
        <v>49783.999285618003</v>
      </c>
      <c r="CN646" s="58">
        <f t="array" ref="CN646">SUM(IF(CK646:CL646&gt;=CK646, 1))</f>
        <v>2</v>
      </c>
      <c r="CO646" s="58">
        <f t="array" ref="CO646">SUM(IF(CK646:CL646&gt;=CL646, 1))</f>
        <v>1</v>
      </c>
      <c r="CQ646" s="109" cm="1">
        <f t="array" ref="CQ646">AF646*WTP-AC646</f>
        <v>37075.380808392903</v>
      </c>
      <c r="CR646" s="109">
        <f t="shared" si="251"/>
        <v>38098.226933471255</v>
      </c>
      <c r="CT646" s="58">
        <f t="array" ref="CT646">SUM(IF(CQ646:CR646&gt;=CQ646, 1))</f>
        <v>2</v>
      </c>
      <c r="CU646" s="58">
        <f t="array" ref="CU646">SUM(IF(CQ646:CR646&gt;=CR646, 1))</f>
        <v>1</v>
      </c>
      <c r="CW646" s="109">
        <f t="shared" si="252"/>
        <v>-48987534.711645611</v>
      </c>
      <c r="CX646" s="109">
        <f t="shared" si="253"/>
        <v>0</v>
      </c>
      <c r="CZ646" s="58">
        <f t="array" ref="CZ646">SUM(IF(CW646:CX646&gt;=CW646, 1))</f>
        <v>2</v>
      </c>
      <c r="DA646" s="58">
        <f t="array" ref="DA646">SUM(IF(CW646:CX646&gt;=CX646, 1))</f>
        <v>1</v>
      </c>
      <c r="DC646" s="109">
        <f t="shared" si="254"/>
        <v>-2844254.1513081025</v>
      </c>
      <c r="DD646" s="109">
        <f t="shared" si="255"/>
        <v>0</v>
      </c>
      <c r="DF646" s="58">
        <f t="array" ref="DF646">SUM(IF(DC646:DD646&gt;=DC646, 1))</f>
        <v>2</v>
      </c>
      <c r="DG646" s="58">
        <f t="array" ref="DG646">SUM(IF(DC646:DD646&gt;=DD646, 1))</f>
        <v>1</v>
      </c>
      <c r="DI646" s="109">
        <f t="shared" si="256"/>
        <v>-74844302.075015321</v>
      </c>
      <c r="DJ646" s="109">
        <f t="shared" si="257"/>
        <v>0</v>
      </c>
      <c r="DL646" s="58">
        <f t="array" ref="DL646">SUM(IF(DI646:DJ646&gt;=DI646, 1))</f>
        <v>2</v>
      </c>
      <c r="DM646" s="58">
        <f t="array" ref="DM646">SUM(IF(DI646:DJ646&gt;=DJ646, 1))</f>
        <v>1</v>
      </c>
      <c r="DO646" s="109">
        <f t="shared" si="258"/>
        <v>-6998002.4406676935</v>
      </c>
      <c r="DP646" s="109">
        <f t="shared" si="259"/>
        <v>0</v>
      </c>
      <c r="DR646" s="58">
        <f t="array" ref="DR646">SUM(IF(DO646:DP646&gt;=DO646, 1))</f>
        <v>2</v>
      </c>
      <c r="DS646" s="58">
        <f t="array" ref="DS646">SUM(IF(DO646:DP646&gt;=DP646, 1))</f>
        <v>1</v>
      </c>
      <c r="DU646" s="109">
        <f t="shared" si="260"/>
        <v>-16186650.384686435</v>
      </c>
      <c r="DV646" s="109">
        <f t="shared" si="261"/>
        <v>0</v>
      </c>
      <c r="DX646" s="58">
        <f t="array" ref="DX646">SUM(IF(DU646:DV646&gt;=DU646, 1))</f>
        <v>2</v>
      </c>
      <c r="DY646" s="58">
        <f t="array" ref="DY646">SUM(IF(DU646:DV646&gt;=DV646, 1))</f>
        <v>1</v>
      </c>
      <c r="EA646" s="109">
        <f t="shared" si="262"/>
        <v>-149860743.76332316</v>
      </c>
      <c r="EB646" s="109">
        <f t="shared" si="263"/>
        <v>0</v>
      </c>
      <c r="ED646" s="58">
        <f t="array" ref="ED646">SUM(IF(EA646:EB646&gt;=EA646, 1))</f>
        <v>2</v>
      </c>
      <c r="EE646" s="58">
        <f t="array" ref="EE646">SUM(IF(EA646:EB646&gt;=EB646, 1))</f>
        <v>1</v>
      </c>
    </row>
    <row r="647" spans="4:135" ht="12" customHeight="1" x14ac:dyDescent="0.25">
      <c r="D647" s="11">
        <v>631</v>
      </c>
      <c r="E647" s="72">
        <v>276.37595730526454</v>
      </c>
      <c r="F647" s="72">
        <v>258.53175322306504</v>
      </c>
      <c r="G647" s="73"/>
      <c r="H647" s="74">
        <v>5.7995096525233807</v>
      </c>
      <c r="I647" s="74">
        <v>5.8129291574790134</v>
      </c>
      <c r="J647" s="73"/>
      <c r="K647" s="72">
        <v>296.98663736968695</v>
      </c>
      <c r="L647" s="72">
        <v>278.68795845482941</v>
      </c>
      <c r="M647" s="73"/>
      <c r="N647" s="74">
        <v>6.7172430954433127</v>
      </c>
      <c r="O647" s="74">
        <v>6.7284805365236515</v>
      </c>
      <c r="P647" s="73"/>
      <c r="Q647" s="72">
        <v>1739.5232154317985</v>
      </c>
      <c r="R647" s="72">
        <v>1134.0851189378529</v>
      </c>
      <c r="S647" s="73"/>
      <c r="T647" s="74">
        <v>4.9988380033565702</v>
      </c>
      <c r="U647" s="74">
        <v>5.0931469769318145</v>
      </c>
      <c r="V647" s="73"/>
      <c r="W647" s="72">
        <v>16735.984607497539</v>
      </c>
      <c r="X647" s="72">
        <v>16725.899191161549</v>
      </c>
      <c r="Y647" s="73"/>
      <c r="Z647" s="74">
        <v>2.9044320402220829</v>
      </c>
      <c r="AA647" s="74">
        <v>2.9510306067853911</v>
      </c>
      <c r="AB647" s="73"/>
      <c r="AC647" s="72">
        <v>49560.021240618502</v>
      </c>
      <c r="AD647" s="72">
        <v>49521.140206524433</v>
      </c>
      <c r="AE647" s="73"/>
      <c r="AF647" s="74">
        <v>4.3286361753730995</v>
      </c>
      <c r="AG647" s="74">
        <v>4.414452340859822</v>
      </c>
      <c r="AH647" s="73"/>
      <c r="AI647" s="72">
        <v>1898856.0168265169</v>
      </c>
      <c r="AJ647" s="72">
        <v>0</v>
      </c>
      <c r="AK647" s="73"/>
      <c r="AL647" s="74">
        <v>-1428.0103281970271</v>
      </c>
      <c r="AM647" s="74">
        <v>0</v>
      </c>
      <c r="AN647" s="73"/>
      <c r="AO647" s="72">
        <v>126280.39328861271</v>
      </c>
      <c r="AP647" s="72">
        <v>0</v>
      </c>
      <c r="AQ647" s="73"/>
      <c r="AR647" s="74">
        <v>-77.550324030801903</v>
      </c>
      <c r="AS647" s="74">
        <v>0</v>
      </c>
      <c r="AT647" s="73"/>
      <c r="AU647" s="72">
        <v>14015899.051929142</v>
      </c>
      <c r="AV647" s="72">
        <v>0</v>
      </c>
      <c r="AW647" s="73"/>
      <c r="AX647" s="74">
        <v>-2183.2538470510585</v>
      </c>
      <c r="AY647" s="74">
        <v>0</v>
      </c>
      <c r="AZ647" s="73"/>
      <c r="BA647" s="72">
        <v>90705.687288918067</v>
      </c>
      <c r="BB647" s="72">
        <v>0</v>
      </c>
      <c r="BC647" s="73"/>
      <c r="BD647" s="74">
        <v>-419.09573843963574</v>
      </c>
      <c r="BE647" s="74">
        <v>0</v>
      </c>
      <c r="BF647" s="73"/>
      <c r="BG647" s="72">
        <v>594325.45032523887</v>
      </c>
      <c r="BH647" s="72">
        <v>0</v>
      </c>
      <c r="BI647" s="73"/>
      <c r="BJ647" s="74">
        <v>-1311.7637528540313</v>
      </c>
      <c r="BK647" s="74">
        <v>0</v>
      </c>
      <c r="BL647" s="73"/>
      <c r="BM647" s="72">
        <v>16726066.59965843</v>
      </c>
      <c r="BN647" s="72">
        <v>0</v>
      </c>
      <c r="BO647" s="73"/>
      <c r="BP647" s="74">
        <v>-5419.6739905725553</v>
      </c>
      <c r="BQ647" s="74">
        <v>0</v>
      </c>
      <c r="BS647" s="109">
        <f t="shared" si="243"/>
        <v>115713.81709316235</v>
      </c>
      <c r="BT647" s="109">
        <f t="shared" si="244"/>
        <v>116000.0513963572</v>
      </c>
      <c r="BV647" s="58">
        <f t="array" ref="BV647">SUM(IF(BS647:BT647&gt;=BS647, 1))</f>
        <v>2</v>
      </c>
      <c r="BW647" s="58">
        <f t="array" ref="BW647">SUM(IF(BS647:BT647&gt;=BT647, 1))</f>
        <v>1</v>
      </c>
      <c r="BY647" s="109">
        <f t="shared" si="245"/>
        <v>134047.87527149657</v>
      </c>
      <c r="BZ647" s="109">
        <f t="shared" si="246"/>
        <v>134290.92277201821</v>
      </c>
      <c r="CB647" s="58">
        <f t="array" ref="CB647">SUM(IF(BY647:BZ647&gt;=BY647, 1))</f>
        <v>2</v>
      </c>
      <c r="CC647" s="58">
        <f t="array" ref="CC647">SUM(IF(BY647:BZ647&gt;=BZ647, 1))</f>
        <v>1</v>
      </c>
      <c r="CE647" s="109">
        <f t="shared" si="247"/>
        <v>98237.236851699607</v>
      </c>
      <c r="CF647" s="109">
        <f t="shared" si="248"/>
        <v>100728.85441969843</v>
      </c>
      <c r="CH647" s="58">
        <f t="array" ref="CH647">SUM(IF(CE647:CF647&gt;=CE647, 1))</f>
        <v>2</v>
      </c>
      <c r="CI647" s="58">
        <f t="array" ref="CI647">SUM(IF(CE647:CF647&gt;=CF647, 1))</f>
        <v>1</v>
      </c>
      <c r="CK647" s="109">
        <f t="shared" si="249"/>
        <v>41352.656196944125</v>
      </c>
      <c r="CL647" s="109">
        <f t="shared" si="250"/>
        <v>42294.712944546278</v>
      </c>
      <c r="CN647" s="58">
        <f t="array" ref="CN647">SUM(IF(CK647:CL647&gt;=CK647, 1))</f>
        <v>2</v>
      </c>
      <c r="CO647" s="58">
        <f t="array" ref="CO647">SUM(IF(CK647:CL647&gt;=CL647, 1))</f>
        <v>1</v>
      </c>
      <c r="CQ647" s="109" cm="1">
        <f t="array" ref="CQ647">AF647*WTP-AC647</f>
        <v>37012.702266843495</v>
      </c>
      <c r="CR647" s="109">
        <f t="shared" si="251"/>
        <v>38767.906610672013</v>
      </c>
      <c r="CT647" s="58">
        <f t="array" ref="CT647">SUM(IF(CQ647:CR647&gt;=CQ647, 1))</f>
        <v>2</v>
      </c>
      <c r="CU647" s="58">
        <f t="array" ref="CU647">SUM(IF(CQ647:CR647&gt;=CR647, 1))</f>
        <v>1</v>
      </c>
      <c r="CW647" s="109">
        <f t="shared" si="252"/>
        <v>-30459062.580767062</v>
      </c>
      <c r="CX647" s="109">
        <f t="shared" si="253"/>
        <v>0</v>
      </c>
      <c r="CZ647" s="58">
        <f t="array" ref="CZ647">SUM(IF(CW647:CX647&gt;=CW647, 1))</f>
        <v>2</v>
      </c>
      <c r="DA647" s="58">
        <f t="array" ref="DA647">SUM(IF(CW647:CX647&gt;=CX647, 1))</f>
        <v>1</v>
      </c>
      <c r="DC647" s="109">
        <f t="shared" si="254"/>
        <v>-1677286.8739046506</v>
      </c>
      <c r="DD647" s="109">
        <f t="shared" si="255"/>
        <v>0</v>
      </c>
      <c r="DF647" s="58">
        <f t="array" ref="DF647">SUM(IF(DC647:DD647&gt;=DC647, 1))</f>
        <v>2</v>
      </c>
      <c r="DG647" s="58">
        <f t="array" ref="DG647">SUM(IF(DC647:DD647&gt;=DD647, 1))</f>
        <v>1</v>
      </c>
      <c r="DI647" s="109">
        <f t="shared" si="256"/>
        <v>-57680975.99295032</v>
      </c>
      <c r="DJ647" s="109">
        <f t="shared" si="257"/>
        <v>0</v>
      </c>
      <c r="DL647" s="58">
        <f t="array" ref="DL647">SUM(IF(DI647:DJ647&gt;=DI647, 1))</f>
        <v>2</v>
      </c>
      <c r="DM647" s="58">
        <f t="array" ref="DM647">SUM(IF(DI647:DJ647&gt;=DJ647, 1))</f>
        <v>1</v>
      </c>
      <c r="DO647" s="109">
        <f t="shared" si="258"/>
        <v>-8472620.4560816325</v>
      </c>
      <c r="DP647" s="109">
        <f t="shared" si="259"/>
        <v>0</v>
      </c>
      <c r="DR647" s="58">
        <f t="array" ref="DR647">SUM(IF(DO647:DP647&gt;=DO647, 1))</f>
        <v>2</v>
      </c>
      <c r="DS647" s="58">
        <f t="array" ref="DS647">SUM(IF(DO647:DP647&gt;=DP647, 1))</f>
        <v>1</v>
      </c>
      <c r="DU647" s="109">
        <f t="shared" si="260"/>
        <v>-26829600.507405866</v>
      </c>
      <c r="DV647" s="109">
        <f t="shared" si="261"/>
        <v>0</v>
      </c>
      <c r="DX647" s="58">
        <f t="array" ref="DX647">SUM(IF(DU647:DV647&gt;=DU647, 1))</f>
        <v>2</v>
      </c>
      <c r="DY647" s="58">
        <f t="array" ref="DY647">SUM(IF(DU647:DV647&gt;=DV647, 1))</f>
        <v>1</v>
      </c>
      <c r="EA647" s="109">
        <f t="shared" si="262"/>
        <v>-125119546.41110954</v>
      </c>
      <c r="EB647" s="109">
        <f t="shared" si="263"/>
        <v>0</v>
      </c>
      <c r="ED647" s="58">
        <f t="array" ref="ED647">SUM(IF(EA647:EB647&gt;=EA647, 1))</f>
        <v>2</v>
      </c>
      <c r="EE647" s="58">
        <f t="array" ref="EE647">SUM(IF(EA647:EB647&gt;=EB647, 1))</f>
        <v>1</v>
      </c>
    </row>
    <row r="648" spans="4:135" ht="12" customHeight="1" x14ac:dyDescent="0.25">
      <c r="D648" s="11">
        <v>632</v>
      </c>
      <c r="E648" s="72">
        <v>273.60545046854719</v>
      </c>
      <c r="F648" s="72">
        <v>251.20978661035178</v>
      </c>
      <c r="G648" s="73"/>
      <c r="H648" s="74">
        <v>5.791006782705943</v>
      </c>
      <c r="I648" s="74">
        <v>5.8071095195832534</v>
      </c>
      <c r="J648" s="73"/>
      <c r="K648" s="72">
        <v>293.81519386534262</v>
      </c>
      <c r="L648" s="72">
        <v>270.86982724150488</v>
      </c>
      <c r="M648" s="73"/>
      <c r="N648" s="74">
        <v>6.6952006884209982</v>
      </c>
      <c r="O648" s="74">
        <v>6.709164230961246</v>
      </c>
      <c r="P648" s="73"/>
      <c r="Q648" s="72">
        <v>3315.6034468786079</v>
      </c>
      <c r="R648" s="72">
        <v>1716.7887878050728</v>
      </c>
      <c r="S648" s="73"/>
      <c r="T648" s="74">
        <v>4.746894119084117</v>
      </c>
      <c r="U648" s="74">
        <v>4.8562079682516579</v>
      </c>
      <c r="V648" s="73"/>
      <c r="W648" s="72">
        <v>14340.183237657762</v>
      </c>
      <c r="X648" s="72">
        <v>14238.649294833285</v>
      </c>
      <c r="Y648" s="73"/>
      <c r="Z648" s="74">
        <v>2.9251520517470762</v>
      </c>
      <c r="AA648" s="74">
        <v>2.9625705389232668</v>
      </c>
      <c r="AB648" s="73"/>
      <c r="AC648" s="72">
        <v>51508.983741227035</v>
      </c>
      <c r="AD648" s="72">
        <v>51011.094319212658</v>
      </c>
      <c r="AE648" s="73"/>
      <c r="AF648" s="74">
        <v>3.6083804099890258</v>
      </c>
      <c r="AG648" s="74">
        <v>3.724376977836616</v>
      </c>
      <c r="AH648" s="73"/>
      <c r="AI648" s="72">
        <v>2394856.1361440187</v>
      </c>
      <c r="AJ648" s="72">
        <v>0</v>
      </c>
      <c r="AK648" s="73"/>
      <c r="AL648" s="74">
        <v>-1721.928783335768</v>
      </c>
      <c r="AM648" s="74">
        <v>0</v>
      </c>
      <c r="AN648" s="73"/>
      <c r="AO648" s="72">
        <v>150528.40499918163</v>
      </c>
      <c r="AP648" s="72">
        <v>0</v>
      </c>
      <c r="AQ648" s="73"/>
      <c r="AR648" s="74">
        <v>-91.604977213049381</v>
      </c>
      <c r="AS648" s="74">
        <v>0</v>
      </c>
      <c r="AT648" s="73"/>
      <c r="AU648" s="72">
        <v>37021264.522229679</v>
      </c>
      <c r="AV648" s="72">
        <v>0</v>
      </c>
      <c r="AW648" s="73"/>
      <c r="AX648" s="74">
        <v>-2531.2107960779695</v>
      </c>
      <c r="AY648" s="74">
        <v>0</v>
      </c>
      <c r="AZ648" s="73"/>
      <c r="BA648" s="72">
        <v>889473.28306510777</v>
      </c>
      <c r="BB648" s="72">
        <v>0</v>
      </c>
      <c r="BC648" s="73"/>
      <c r="BD648" s="74">
        <v>-327.79919414212304</v>
      </c>
      <c r="BE648" s="74">
        <v>0</v>
      </c>
      <c r="BF648" s="73"/>
      <c r="BG648" s="72">
        <v>7798072.455422448</v>
      </c>
      <c r="BH648" s="72">
        <v>0</v>
      </c>
      <c r="BI648" s="73"/>
      <c r="BJ648" s="74">
        <v>-1816.768143006891</v>
      </c>
      <c r="BK648" s="74">
        <v>0</v>
      </c>
      <c r="BL648" s="73"/>
      <c r="BM648" s="72">
        <v>48254194.801860437</v>
      </c>
      <c r="BN648" s="72">
        <v>0</v>
      </c>
      <c r="BO648" s="73"/>
      <c r="BP648" s="74">
        <v>-6489.3118937758009</v>
      </c>
      <c r="BQ648" s="74">
        <v>0</v>
      </c>
      <c r="BS648" s="109">
        <f t="shared" si="243"/>
        <v>115546.53020365031</v>
      </c>
      <c r="BT648" s="109">
        <f t="shared" si="244"/>
        <v>115890.9806050547</v>
      </c>
      <c r="BV648" s="58">
        <f t="array" ref="BV648">SUM(IF(BS648:BT648&gt;=BS648, 1))</f>
        <v>2</v>
      </c>
      <c r="BW648" s="58">
        <f t="array" ref="BW648">SUM(IF(BS648:BT648&gt;=BT648, 1))</f>
        <v>1</v>
      </c>
      <c r="BY648" s="109">
        <f t="shared" si="245"/>
        <v>133610.19857455464</v>
      </c>
      <c r="BZ648" s="109">
        <f t="shared" si="246"/>
        <v>133912.41479198344</v>
      </c>
      <c r="CB648" s="58">
        <f t="array" ref="CB648">SUM(IF(BY648:BZ648&gt;=BY648, 1))</f>
        <v>2</v>
      </c>
      <c r="CC648" s="58">
        <f t="array" ref="CC648">SUM(IF(BY648:BZ648&gt;=BZ648, 1))</f>
        <v>1</v>
      </c>
      <c r="CE648" s="109">
        <f t="shared" si="247"/>
        <v>91622.278934803733</v>
      </c>
      <c r="CF648" s="109">
        <f t="shared" si="248"/>
        <v>95407.370577228095</v>
      </c>
      <c r="CH648" s="58">
        <f t="array" ref="CH648">SUM(IF(CE648:CF648&gt;=CE648, 1))</f>
        <v>2</v>
      </c>
      <c r="CI648" s="58">
        <f t="array" ref="CI648">SUM(IF(CE648:CF648&gt;=CF648, 1))</f>
        <v>1</v>
      </c>
      <c r="CK648" s="109">
        <f t="shared" si="249"/>
        <v>44162.857797283767</v>
      </c>
      <c r="CL648" s="109">
        <f t="shared" si="250"/>
        <v>45012.761483632057</v>
      </c>
      <c r="CN648" s="58">
        <f t="array" ref="CN648">SUM(IF(CK648:CL648&gt;=CK648, 1))</f>
        <v>2</v>
      </c>
      <c r="CO648" s="58">
        <f t="array" ref="CO648">SUM(IF(CK648:CL648&gt;=CL648, 1))</f>
        <v>1</v>
      </c>
      <c r="CQ648" s="109" cm="1">
        <f t="array" ref="CQ648">AF648*WTP-AC648</f>
        <v>20658.624458553481</v>
      </c>
      <c r="CR648" s="109">
        <f t="shared" si="251"/>
        <v>23476.445237519656</v>
      </c>
      <c r="CT648" s="58">
        <f t="array" ref="CT648">SUM(IF(CQ648:CR648&gt;=CQ648, 1))</f>
        <v>2</v>
      </c>
      <c r="CU648" s="58">
        <f t="array" ref="CU648">SUM(IF(CQ648:CR648&gt;=CR648, 1))</f>
        <v>1</v>
      </c>
      <c r="CW648" s="109">
        <f t="shared" si="252"/>
        <v>-36833431.802859381</v>
      </c>
      <c r="CX648" s="109">
        <f t="shared" si="253"/>
        <v>0</v>
      </c>
      <c r="CZ648" s="58">
        <f t="array" ref="CZ648">SUM(IF(CW648:CX648&gt;=CW648, 1))</f>
        <v>2</v>
      </c>
      <c r="DA648" s="58">
        <f t="array" ref="DA648">SUM(IF(CW648:CX648&gt;=CX648, 1))</f>
        <v>1</v>
      </c>
      <c r="DC648" s="109">
        <f t="shared" si="254"/>
        <v>-1982627.9492601692</v>
      </c>
      <c r="DD648" s="109">
        <f t="shared" si="255"/>
        <v>0</v>
      </c>
      <c r="DF648" s="58">
        <f t="array" ref="DF648">SUM(IF(DC648:DD648&gt;=DC648, 1))</f>
        <v>2</v>
      </c>
      <c r="DG648" s="58">
        <f t="array" ref="DG648">SUM(IF(DC648:DD648&gt;=DD648, 1))</f>
        <v>1</v>
      </c>
      <c r="DI648" s="109">
        <f t="shared" si="256"/>
        <v>-87645480.443789065</v>
      </c>
      <c r="DJ648" s="109">
        <f t="shared" si="257"/>
        <v>0</v>
      </c>
      <c r="DL648" s="58">
        <f t="array" ref="DL648">SUM(IF(DI648:DJ648&gt;=DI648, 1))</f>
        <v>2</v>
      </c>
      <c r="DM648" s="58">
        <f t="array" ref="DM648">SUM(IF(DI648:DJ648&gt;=DJ648, 1))</f>
        <v>1</v>
      </c>
      <c r="DO648" s="109">
        <f t="shared" si="258"/>
        <v>-7445457.1659075683</v>
      </c>
      <c r="DP648" s="109">
        <f t="shared" si="259"/>
        <v>0</v>
      </c>
      <c r="DR648" s="58">
        <f t="array" ref="DR648">SUM(IF(DO648:DP648&gt;=DO648, 1))</f>
        <v>2</v>
      </c>
      <c r="DS648" s="58">
        <f t="array" ref="DS648">SUM(IF(DO648:DP648&gt;=DP648, 1))</f>
        <v>1</v>
      </c>
      <c r="DU648" s="109">
        <f t="shared" si="260"/>
        <v>-44133435.315560266</v>
      </c>
      <c r="DV648" s="109">
        <f t="shared" si="261"/>
        <v>0</v>
      </c>
      <c r="DX648" s="58">
        <f t="array" ref="DX648">SUM(IF(DU648:DV648&gt;=DU648, 1))</f>
        <v>2</v>
      </c>
      <c r="DY648" s="58">
        <f t="array" ref="DY648">SUM(IF(DU648:DV648&gt;=DV648, 1))</f>
        <v>1</v>
      </c>
      <c r="EA648" s="109">
        <f t="shared" si="262"/>
        <v>-178040432.67737645</v>
      </c>
      <c r="EB648" s="109">
        <f t="shared" si="263"/>
        <v>0</v>
      </c>
      <c r="ED648" s="58">
        <f t="array" ref="ED648">SUM(IF(EA648:EB648&gt;=EA648, 1))</f>
        <v>2</v>
      </c>
      <c r="EE648" s="58">
        <f t="array" ref="EE648">SUM(IF(EA648:EB648&gt;=EB648, 1))</f>
        <v>1</v>
      </c>
    </row>
    <row r="649" spans="4:135" ht="12" customHeight="1" x14ac:dyDescent="0.25">
      <c r="D649" s="11">
        <v>633</v>
      </c>
      <c r="E649" s="72">
        <v>287.73608451209617</v>
      </c>
      <c r="F649" s="72">
        <v>278.13537404109115</v>
      </c>
      <c r="G649" s="73"/>
      <c r="H649" s="74">
        <v>5.8606707616235845</v>
      </c>
      <c r="I649" s="74">
        <v>5.8768856380296119</v>
      </c>
      <c r="J649" s="73"/>
      <c r="K649" s="72">
        <v>309.78516021232002</v>
      </c>
      <c r="L649" s="72">
        <v>299.91220201321136</v>
      </c>
      <c r="M649" s="73"/>
      <c r="N649" s="74">
        <v>6.7280086696015626</v>
      </c>
      <c r="O649" s="74">
        <v>6.7420729597420852</v>
      </c>
      <c r="P649" s="73"/>
      <c r="Q649" s="72">
        <v>2781.8138613183391</v>
      </c>
      <c r="R649" s="72">
        <v>1388.2598498066675</v>
      </c>
      <c r="S649" s="73"/>
      <c r="T649" s="74">
        <v>5.1186580543157323</v>
      </c>
      <c r="U649" s="74">
        <v>5.2349963461990505</v>
      </c>
      <c r="V649" s="73"/>
      <c r="W649" s="72">
        <v>12128.699615660295</v>
      </c>
      <c r="X649" s="72">
        <v>12135.035052500742</v>
      </c>
      <c r="Y649" s="73"/>
      <c r="Z649" s="74">
        <v>3.0299521718566029</v>
      </c>
      <c r="AA649" s="74">
        <v>3.0763064245975533</v>
      </c>
      <c r="AB649" s="73"/>
      <c r="AC649" s="72">
        <v>48711.150502969009</v>
      </c>
      <c r="AD649" s="72">
        <v>48471.670659050003</v>
      </c>
      <c r="AE649" s="73"/>
      <c r="AF649" s="74">
        <v>4.2191721045962067</v>
      </c>
      <c r="AG649" s="74">
        <v>4.4085050415364977</v>
      </c>
      <c r="AH649" s="73"/>
      <c r="AI649" s="72">
        <v>1029739.7697890388</v>
      </c>
      <c r="AJ649" s="72">
        <v>0</v>
      </c>
      <c r="AK649" s="73"/>
      <c r="AL649" s="74">
        <v>-1739.1528624810801</v>
      </c>
      <c r="AM649" s="74">
        <v>0</v>
      </c>
      <c r="AN649" s="73"/>
      <c r="AO649" s="72">
        <v>70997.524184593756</v>
      </c>
      <c r="AP649" s="72">
        <v>0</v>
      </c>
      <c r="AQ649" s="73"/>
      <c r="AR649" s="74">
        <v>-101.13785141732318</v>
      </c>
      <c r="AS649" s="74">
        <v>0</v>
      </c>
      <c r="AT649" s="73"/>
      <c r="AU649" s="72">
        <v>32310785.175842769</v>
      </c>
      <c r="AV649" s="72">
        <v>0</v>
      </c>
      <c r="AW649" s="73"/>
      <c r="AX649" s="74">
        <v>-2697.4064339916004</v>
      </c>
      <c r="AY649" s="74">
        <v>0</v>
      </c>
      <c r="AZ649" s="73"/>
      <c r="BA649" s="72">
        <v>-54635.909667383952</v>
      </c>
      <c r="BB649" s="72">
        <v>0</v>
      </c>
      <c r="BC649" s="73"/>
      <c r="BD649" s="74">
        <v>-399.75250787519997</v>
      </c>
      <c r="BE649" s="74">
        <v>0</v>
      </c>
      <c r="BF649" s="73"/>
      <c r="BG649" s="72">
        <v>3740932.0380941001</v>
      </c>
      <c r="BH649" s="72">
        <v>0</v>
      </c>
      <c r="BI649" s="73"/>
      <c r="BJ649" s="74">
        <v>-2957.5835614204457</v>
      </c>
      <c r="BK649" s="74">
        <v>0</v>
      </c>
      <c r="BL649" s="73"/>
      <c r="BM649" s="72">
        <v>37097818.598243117</v>
      </c>
      <c r="BN649" s="72">
        <v>0</v>
      </c>
      <c r="BO649" s="73"/>
      <c r="BP649" s="74">
        <v>-7895.033217185648</v>
      </c>
      <c r="BQ649" s="74">
        <v>0</v>
      </c>
      <c r="BS649" s="109">
        <f t="shared" si="243"/>
        <v>116925.67914795958</v>
      </c>
      <c r="BT649" s="109">
        <f t="shared" si="244"/>
        <v>117259.57738655116</v>
      </c>
      <c r="BV649" s="58">
        <f t="array" ref="BV649">SUM(IF(BS649:BT649&gt;=BS649, 1))</f>
        <v>2</v>
      </c>
      <c r="BW649" s="58">
        <f t="array" ref="BW649">SUM(IF(BS649:BT649&gt;=BT649, 1))</f>
        <v>1</v>
      </c>
      <c r="BY649" s="109">
        <f t="shared" si="245"/>
        <v>134250.38823181894</v>
      </c>
      <c r="BZ649" s="109">
        <f t="shared" si="246"/>
        <v>134541.54699282849</v>
      </c>
      <c r="CB649" s="58">
        <f t="array" ref="CB649">SUM(IF(BY649:BZ649&gt;=BY649, 1))</f>
        <v>2</v>
      </c>
      <c r="CC649" s="58">
        <f t="array" ref="CC649">SUM(IF(BY649:BZ649&gt;=BZ649, 1))</f>
        <v>1</v>
      </c>
      <c r="CE649" s="109">
        <f t="shared" si="247"/>
        <v>99591.347224996309</v>
      </c>
      <c r="CF649" s="109">
        <f t="shared" si="248"/>
        <v>103311.66707417434</v>
      </c>
      <c r="CH649" s="58">
        <f t="array" ref="CH649">SUM(IF(CE649:CF649&gt;=CE649, 1))</f>
        <v>2</v>
      </c>
      <c r="CI649" s="58">
        <f t="array" ref="CI649">SUM(IF(CE649:CF649&gt;=CF649, 1))</f>
        <v>1</v>
      </c>
      <c r="CK649" s="109">
        <f t="shared" si="249"/>
        <v>48470.343821471761</v>
      </c>
      <c r="CL649" s="109">
        <f t="shared" si="250"/>
        <v>49391.093439450327</v>
      </c>
      <c r="CN649" s="58">
        <f t="array" ref="CN649">SUM(IF(CK649:CL649&gt;=CK649, 1))</f>
        <v>2</v>
      </c>
      <c r="CO649" s="58">
        <f t="array" ref="CO649">SUM(IF(CK649:CL649&gt;=CL649, 1))</f>
        <v>1</v>
      </c>
      <c r="CQ649" s="109" cm="1">
        <f t="array" ref="CQ649">AF649*WTP-AC649</f>
        <v>35672.29158895513</v>
      </c>
      <c r="CR649" s="109">
        <f t="shared" si="251"/>
        <v>39698.430171679945</v>
      </c>
      <c r="CT649" s="58">
        <f t="array" ref="CT649">SUM(IF(CQ649:CR649&gt;=CQ649, 1))</f>
        <v>2</v>
      </c>
      <c r="CU649" s="58">
        <f t="array" ref="CU649">SUM(IF(CQ649:CR649&gt;=CR649, 1))</f>
        <v>1</v>
      </c>
      <c r="CW649" s="109">
        <f t="shared" si="252"/>
        <v>-35812797.01941064</v>
      </c>
      <c r="CX649" s="109">
        <f t="shared" si="253"/>
        <v>0</v>
      </c>
      <c r="CZ649" s="58">
        <f t="array" ref="CZ649">SUM(IF(CW649:CX649&gt;=CW649, 1))</f>
        <v>2</v>
      </c>
      <c r="DA649" s="58">
        <f t="array" ref="DA649">SUM(IF(CW649:CX649&gt;=CX649, 1))</f>
        <v>1</v>
      </c>
      <c r="DC649" s="109">
        <f t="shared" si="254"/>
        <v>-2093754.5525310573</v>
      </c>
      <c r="DD649" s="109">
        <f t="shared" si="255"/>
        <v>0</v>
      </c>
      <c r="DF649" s="58">
        <f t="array" ref="DF649">SUM(IF(DC649:DD649&gt;=DC649, 1))</f>
        <v>2</v>
      </c>
      <c r="DG649" s="58">
        <f t="array" ref="DG649">SUM(IF(DC649:DD649&gt;=DD649, 1))</f>
        <v>1</v>
      </c>
      <c r="DI649" s="109">
        <f t="shared" si="256"/>
        <v>-86258913.855674773</v>
      </c>
      <c r="DJ649" s="109">
        <f t="shared" si="257"/>
        <v>0</v>
      </c>
      <c r="DL649" s="58">
        <f t="array" ref="DL649">SUM(IF(DI649:DJ649&gt;=DI649, 1))</f>
        <v>2</v>
      </c>
      <c r="DM649" s="58">
        <f t="array" ref="DM649">SUM(IF(DI649:DJ649&gt;=DJ649, 1))</f>
        <v>1</v>
      </c>
      <c r="DO649" s="109">
        <f t="shared" si="258"/>
        <v>-7940414.2478366159</v>
      </c>
      <c r="DP649" s="109">
        <f t="shared" si="259"/>
        <v>0</v>
      </c>
      <c r="DR649" s="58">
        <f t="array" ref="DR649">SUM(IF(DO649:DP649&gt;=DO649, 1))</f>
        <v>2</v>
      </c>
      <c r="DS649" s="58">
        <f t="array" ref="DS649">SUM(IF(DO649:DP649&gt;=DP649, 1))</f>
        <v>1</v>
      </c>
      <c r="DU649" s="109">
        <f t="shared" si="260"/>
        <v>-62892603.266503014</v>
      </c>
      <c r="DV649" s="109">
        <f t="shared" si="261"/>
        <v>0</v>
      </c>
      <c r="DX649" s="58">
        <f t="array" ref="DX649">SUM(IF(DU649:DV649&gt;=DU649, 1))</f>
        <v>2</v>
      </c>
      <c r="DY649" s="58">
        <f t="array" ref="DY649">SUM(IF(DU649:DV649&gt;=DV649, 1))</f>
        <v>1</v>
      </c>
      <c r="EA649" s="109">
        <f t="shared" si="262"/>
        <v>-194998482.94195607</v>
      </c>
      <c r="EB649" s="109">
        <f t="shared" si="263"/>
        <v>0</v>
      </c>
      <c r="ED649" s="58">
        <f t="array" ref="ED649">SUM(IF(EA649:EB649&gt;=EA649, 1))</f>
        <v>2</v>
      </c>
      <c r="EE649" s="58">
        <f t="array" ref="EE649">SUM(IF(EA649:EB649&gt;=EB649, 1))</f>
        <v>1</v>
      </c>
    </row>
    <row r="650" spans="4:135" ht="12" customHeight="1" x14ac:dyDescent="0.25">
      <c r="D650" s="11">
        <v>634</v>
      </c>
      <c r="E650" s="72">
        <v>222.82935815420433</v>
      </c>
      <c r="F650" s="72">
        <v>205.99319187366675</v>
      </c>
      <c r="G650" s="73"/>
      <c r="H650" s="74">
        <v>5.7715358156940031</v>
      </c>
      <c r="I650" s="74">
        <v>5.7882661843758463</v>
      </c>
      <c r="J650" s="73"/>
      <c r="K650" s="72">
        <v>239.37323939959433</v>
      </c>
      <c r="L650" s="72">
        <v>222.13655179810004</v>
      </c>
      <c r="M650" s="73"/>
      <c r="N650" s="74">
        <v>6.6745797251460024</v>
      </c>
      <c r="O650" s="74">
        <v>6.6894091367986794</v>
      </c>
      <c r="P650" s="73"/>
      <c r="Q650" s="72">
        <v>2593.7878415674941</v>
      </c>
      <c r="R650" s="72">
        <v>1698.0717701470469</v>
      </c>
      <c r="S650" s="73"/>
      <c r="T650" s="74">
        <v>4.7454745255948207</v>
      </c>
      <c r="U650" s="74">
        <v>4.8302045878499547</v>
      </c>
      <c r="V650" s="73"/>
      <c r="W650" s="72">
        <v>11263.083005002367</v>
      </c>
      <c r="X650" s="72">
        <v>11268.771978021408</v>
      </c>
      <c r="Y650" s="73"/>
      <c r="Z650" s="74">
        <v>2.8789889524925041</v>
      </c>
      <c r="AA650" s="74">
        <v>2.909433655468141</v>
      </c>
      <c r="AB650" s="73"/>
      <c r="AC650" s="72">
        <v>48560.986749425596</v>
      </c>
      <c r="AD650" s="72">
        <v>48507.911445707403</v>
      </c>
      <c r="AE650" s="73"/>
      <c r="AF650" s="74">
        <v>4.6533919322858521</v>
      </c>
      <c r="AG650" s="74">
        <v>4.7428508887235772</v>
      </c>
      <c r="AH650" s="73"/>
      <c r="AI650" s="72">
        <v>1818632.5732483531</v>
      </c>
      <c r="AJ650" s="72">
        <v>0</v>
      </c>
      <c r="AK650" s="73"/>
      <c r="AL650" s="74">
        <v>-1807.2043801578927</v>
      </c>
      <c r="AM650" s="74">
        <v>0</v>
      </c>
      <c r="AN650" s="73"/>
      <c r="AO650" s="72">
        <v>111561.96049210255</v>
      </c>
      <c r="AP650" s="72">
        <v>0</v>
      </c>
      <c r="AQ650" s="73"/>
      <c r="AR650" s="74">
        <v>-95.981216064602677</v>
      </c>
      <c r="AS650" s="74">
        <v>0</v>
      </c>
      <c r="AT650" s="73"/>
      <c r="AU650" s="72">
        <v>20749503.363223668</v>
      </c>
      <c r="AV650" s="72">
        <v>0</v>
      </c>
      <c r="AW650" s="73"/>
      <c r="AX650" s="74">
        <v>-1962.7946486892947</v>
      </c>
      <c r="AY650" s="74">
        <v>0</v>
      </c>
      <c r="AZ650" s="73"/>
      <c r="BA650" s="72">
        <v>-50471.217725254632</v>
      </c>
      <c r="BB650" s="72">
        <v>0</v>
      </c>
      <c r="BC650" s="73"/>
      <c r="BD650" s="74">
        <v>-270.0981754212969</v>
      </c>
      <c r="BE650" s="74">
        <v>0</v>
      </c>
      <c r="BF650" s="73"/>
      <c r="BG650" s="72">
        <v>866739.65013168985</v>
      </c>
      <c r="BH650" s="72">
        <v>0</v>
      </c>
      <c r="BI650" s="73"/>
      <c r="BJ650" s="74">
        <v>-1460.8983683950496</v>
      </c>
      <c r="BK650" s="74">
        <v>0</v>
      </c>
      <c r="BL650" s="73"/>
      <c r="BM650" s="72">
        <v>23495966.329370562</v>
      </c>
      <c r="BN650" s="72">
        <v>0</v>
      </c>
      <c r="BO650" s="73"/>
      <c r="BP650" s="74">
        <v>-5596.9767887281359</v>
      </c>
      <c r="BQ650" s="74">
        <v>0</v>
      </c>
      <c r="BS650" s="109">
        <f t="shared" si="243"/>
        <v>115207.88695572586</v>
      </c>
      <c r="BT650" s="109">
        <f t="shared" si="244"/>
        <v>115559.33049564325</v>
      </c>
      <c r="BV650" s="58">
        <f t="array" ref="BV650">SUM(IF(BS650:BT650&gt;=BS650, 1))</f>
        <v>2</v>
      </c>
      <c r="BW650" s="58">
        <f t="array" ref="BW650">SUM(IF(BS650:BT650&gt;=BT650, 1))</f>
        <v>1</v>
      </c>
      <c r="BY650" s="109">
        <f t="shared" si="245"/>
        <v>133252.22126352045</v>
      </c>
      <c r="BZ650" s="109">
        <f t="shared" si="246"/>
        <v>133566.0461841755</v>
      </c>
      <c r="CB650" s="58">
        <f t="array" ref="CB650">SUM(IF(BY650:BZ650&gt;=BY650, 1))</f>
        <v>2</v>
      </c>
      <c r="CC650" s="58">
        <f t="array" ref="CC650">SUM(IF(BY650:BZ650&gt;=BZ650, 1))</f>
        <v>1</v>
      </c>
      <c r="CE650" s="109">
        <f t="shared" si="247"/>
        <v>92315.702670328916</v>
      </c>
      <c r="CF650" s="109">
        <f t="shared" si="248"/>
        <v>94906.019986852058</v>
      </c>
      <c r="CH650" s="58">
        <f t="array" ref="CH650">SUM(IF(CE650:CF650&gt;=CE650, 1))</f>
        <v>2</v>
      </c>
      <c r="CI650" s="58">
        <f t="array" ref="CI650">SUM(IF(CE650:CF650&gt;=CF650, 1))</f>
        <v>1</v>
      </c>
      <c r="CK650" s="109">
        <f t="shared" si="249"/>
        <v>46316.696044847718</v>
      </c>
      <c r="CL650" s="109">
        <f t="shared" si="250"/>
        <v>46919.901131341408</v>
      </c>
      <c r="CN650" s="58">
        <f t="array" ref="CN650">SUM(IF(CK650:CL650&gt;=CK650, 1))</f>
        <v>2</v>
      </c>
      <c r="CO650" s="58">
        <f t="array" ref="CO650">SUM(IF(CK650:CL650&gt;=CL650, 1))</f>
        <v>1</v>
      </c>
      <c r="CQ650" s="109" cm="1">
        <f t="array" ref="CQ650">AF650*WTP-AC650</f>
        <v>44506.851896291446</v>
      </c>
      <c r="CR650" s="109">
        <f t="shared" si="251"/>
        <v>46349.106328764145</v>
      </c>
      <c r="CT650" s="58">
        <f t="array" ref="CT650">SUM(IF(CQ650:CR650&gt;=CQ650, 1))</f>
        <v>2</v>
      </c>
      <c r="CU650" s="58">
        <f t="array" ref="CU650">SUM(IF(CQ650:CR650&gt;=CR650, 1))</f>
        <v>1</v>
      </c>
      <c r="CW650" s="109">
        <f t="shared" si="252"/>
        <v>-37962720.176406212</v>
      </c>
      <c r="CX650" s="109">
        <f t="shared" si="253"/>
        <v>0</v>
      </c>
      <c r="CZ650" s="58">
        <f t="array" ref="CZ650">SUM(IF(CW650:CX650&gt;=CW650, 1))</f>
        <v>2</v>
      </c>
      <c r="DA650" s="58">
        <f t="array" ref="DA650">SUM(IF(CW650:CX650&gt;=CX650, 1))</f>
        <v>1</v>
      </c>
      <c r="DC650" s="109">
        <f t="shared" si="254"/>
        <v>-2031186.2817841559</v>
      </c>
      <c r="DD650" s="109">
        <f t="shared" si="255"/>
        <v>0</v>
      </c>
      <c r="DF650" s="58">
        <f t="array" ref="DF650">SUM(IF(DC650:DD650&gt;=DC650, 1))</f>
        <v>2</v>
      </c>
      <c r="DG650" s="58">
        <f t="array" ref="DG650">SUM(IF(DC650:DD650&gt;=DD650, 1))</f>
        <v>1</v>
      </c>
      <c r="DI650" s="109">
        <f t="shared" si="256"/>
        <v>-60005396.337009564</v>
      </c>
      <c r="DJ650" s="109">
        <f t="shared" si="257"/>
        <v>0</v>
      </c>
      <c r="DL650" s="58">
        <f t="array" ref="DL650">SUM(IF(DI650:DJ650&gt;=DI650, 1))</f>
        <v>2</v>
      </c>
      <c r="DM650" s="58">
        <f t="array" ref="DM650">SUM(IF(DI650:DJ650&gt;=DJ650, 1))</f>
        <v>1</v>
      </c>
      <c r="DO650" s="109">
        <f t="shared" si="258"/>
        <v>-5351492.2907006834</v>
      </c>
      <c r="DP650" s="109">
        <f t="shared" si="259"/>
        <v>0</v>
      </c>
      <c r="DR650" s="58">
        <f t="array" ref="DR650">SUM(IF(DO650:DP650&gt;=DO650, 1))</f>
        <v>2</v>
      </c>
      <c r="DS650" s="58">
        <f t="array" ref="DS650">SUM(IF(DO650:DP650&gt;=DP650, 1))</f>
        <v>1</v>
      </c>
      <c r="DU650" s="109">
        <f t="shared" si="260"/>
        <v>-30084707.018032685</v>
      </c>
      <c r="DV650" s="109">
        <f t="shared" si="261"/>
        <v>0</v>
      </c>
      <c r="DX650" s="58">
        <f t="array" ref="DX650">SUM(IF(DU650:DV650&gt;=DU650, 1))</f>
        <v>2</v>
      </c>
      <c r="DY650" s="58">
        <f t="array" ref="DY650">SUM(IF(DU650:DV650&gt;=DV650, 1))</f>
        <v>1</v>
      </c>
      <c r="EA650" s="109">
        <f t="shared" si="262"/>
        <v>-135435502.10393327</v>
      </c>
      <c r="EB650" s="109">
        <f t="shared" si="263"/>
        <v>0</v>
      </c>
      <c r="ED650" s="58">
        <f t="array" ref="ED650">SUM(IF(EA650:EB650&gt;=EA650, 1))</f>
        <v>2</v>
      </c>
      <c r="EE650" s="58">
        <f t="array" ref="EE650">SUM(IF(EA650:EB650&gt;=EB650, 1))</f>
        <v>1</v>
      </c>
    </row>
    <row r="651" spans="4:135" ht="12" customHeight="1" x14ac:dyDescent="0.25">
      <c r="D651" s="11">
        <v>635</v>
      </c>
      <c r="E651" s="72">
        <v>274.24545263088743</v>
      </c>
      <c r="F651" s="72">
        <v>267.97549221678719</v>
      </c>
      <c r="G651" s="73"/>
      <c r="H651" s="74">
        <v>5.8049164758157703</v>
      </c>
      <c r="I651" s="74">
        <v>5.8209542015838736</v>
      </c>
      <c r="J651" s="73"/>
      <c r="K651" s="72">
        <v>295.55632866988111</v>
      </c>
      <c r="L651" s="72">
        <v>289.09745774526243</v>
      </c>
      <c r="M651" s="73"/>
      <c r="N651" s="74">
        <v>6.6943779072609306</v>
      </c>
      <c r="O651" s="74">
        <v>6.7082954042599434</v>
      </c>
      <c r="P651" s="73"/>
      <c r="Q651" s="72">
        <v>3448.0294881602699</v>
      </c>
      <c r="R651" s="72">
        <v>1751.8025497543936</v>
      </c>
      <c r="S651" s="73"/>
      <c r="T651" s="74">
        <v>4.858734711750671</v>
      </c>
      <c r="U651" s="74">
        <v>4.9614422422471849</v>
      </c>
      <c r="V651" s="73"/>
      <c r="W651" s="72">
        <v>11088.516177778036</v>
      </c>
      <c r="X651" s="72">
        <v>11031.578798750081</v>
      </c>
      <c r="Y651" s="73"/>
      <c r="Z651" s="74">
        <v>2.9778928705258352</v>
      </c>
      <c r="AA651" s="74">
        <v>3.0005397636036784</v>
      </c>
      <c r="AB651" s="73"/>
      <c r="AC651" s="72">
        <v>50716.304603171091</v>
      </c>
      <c r="AD651" s="72">
        <v>50695.302560482894</v>
      </c>
      <c r="AE651" s="73"/>
      <c r="AF651" s="74">
        <v>4.2636667155151482</v>
      </c>
      <c r="AG651" s="74">
        <v>4.3558010940955674</v>
      </c>
      <c r="AH651" s="73"/>
      <c r="AI651" s="72">
        <v>674382.53947555821</v>
      </c>
      <c r="AJ651" s="72">
        <v>0</v>
      </c>
      <c r="AK651" s="73"/>
      <c r="AL651" s="74">
        <v>-1724.9809435133629</v>
      </c>
      <c r="AM651" s="74">
        <v>0</v>
      </c>
      <c r="AN651" s="73"/>
      <c r="AO651" s="72">
        <v>41307.718370320319</v>
      </c>
      <c r="AP651" s="72">
        <v>0</v>
      </c>
      <c r="AQ651" s="73"/>
      <c r="AR651" s="74">
        <v>-89.009372251689584</v>
      </c>
      <c r="AS651" s="74">
        <v>0</v>
      </c>
      <c r="AT651" s="73"/>
      <c r="AU651" s="72">
        <v>38504854.088641539</v>
      </c>
      <c r="AV651" s="72">
        <v>0</v>
      </c>
      <c r="AW651" s="73"/>
      <c r="AX651" s="74">
        <v>-2331.4913741964597</v>
      </c>
      <c r="AY651" s="74">
        <v>0</v>
      </c>
      <c r="AZ651" s="73"/>
      <c r="BA651" s="72">
        <v>504638.32026226661</v>
      </c>
      <c r="BB651" s="72">
        <v>0</v>
      </c>
      <c r="BC651" s="73"/>
      <c r="BD651" s="74">
        <v>-200.72034008363428</v>
      </c>
      <c r="BE651" s="74">
        <v>0</v>
      </c>
      <c r="BF651" s="73"/>
      <c r="BG651" s="72">
        <v>332450.78592919384</v>
      </c>
      <c r="BH651" s="72">
        <v>0</v>
      </c>
      <c r="BI651" s="73"/>
      <c r="BJ651" s="74">
        <v>-1458.4365447163316</v>
      </c>
      <c r="BK651" s="74">
        <v>0</v>
      </c>
      <c r="BL651" s="73"/>
      <c r="BM651" s="72">
        <v>40057633.452678882</v>
      </c>
      <c r="BN651" s="72">
        <v>0</v>
      </c>
      <c r="BO651" s="73"/>
      <c r="BP651" s="74">
        <v>-5804.6385747614786</v>
      </c>
      <c r="BQ651" s="74">
        <v>0</v>
      </c>
      <c r="BS651" s="109">
        <f t="shared" si="243"/>
        <v>115824.08406368452</v>
      </c>
      <c r="BT651" s="109">
        <f t="shared" si="244"/>
        <v>116151.10853946068</v>
      </c>
      <c r="BV651" s="58">
        <f t="array" ref="BV651">SUM(IF(BS651:BT651&gt;=BS651, 1))</f>
        <v>2</v>
      </c>
      <c r="BW651" s="58">
        <f t="array" ref="BW651">SUM(IF(BS651:BT651&gt;=BT651, 1))</f>
        <v>1</v>
      </c>
      <c r="BY651" s="109">
        <f t="shared" si="245"/>
        <v>133592.00181654873</v>
      </c>
      <c r="BZ651" s="109">
        <f t="shared" si="246"/>
        <v>133876.81062745361</v>
      </c>
      <c r="CB651" s="58">
        <f t="array" ref="CB651">SUM(IF(BY651:BZ651&gt;=BY651, 1))</f>
        <v>2</v>
      </c>
      <c r="CC651" s="58">
        <f t="array" ref="CC651">SUM(IF(BY651:BZ651&gt;=BZ651, 1))</f>
        <v>1</v>
      </c>
      <c r="CE651" s="109">
        <f t="shared" si="247"/>
        <v>93726.664746853145</v>
      </c>
      <c r="CF651" s="109">
        <f t="shared" si="248"/>
        <v>97477.042295189298</v>
      </c>
      <c r="CH651" s="58">
        <f t="array" ref="CH651">SUM(IF(CE651:CF651&gt;=CE651, 1))</f>
        <v>2</v>
      </c>
      <c r="CI651" s="58">
        <f t="array" ref="CI651">SUM(IF(CE651:CF651&gt;=CF651, 1))</f>
        <v>1</v>
      </c>
      <c r="CK651" s="109">
        <f t="shared" si="249"/>
        <v>48469.341232738669</v>
      </c>
      <c r="CL651" s="109">
        <f t="shared" si="250"/>
        <v>48979.216473323489</v>
      </c>
      <c r="CN651" s="58">
        <f t="array" ref="CN651">SUM(IF(CK651:CL651&gt;=CK651, 1))</f>
        <v>2</v>
      </c>
      <c r="CO651" s="58">
        <f t="array" ref="CO651">SUM(IF(CK651:CL651&gt;=CL651, 1))</f>
        <v>1</v>
      </c>
      <c r="CQ651" s="109" cm="1">
        <f t="array" ref="CQ651">AF651*WTP-AC651</f>
        <v>34557.029707131871</v>
      </c>
      <c r="CR651" s="109">
        <f t="shared" si="251"/>
        <v>36420.719321428456</v>
      </c>
      <c r="CT651" s="58">
        <f t="array" ref="CT651">SUM(IF(CQ651:CR651&gt;=CQ651, 1))</f>
        <v>2</v>
      </c>
      <c r="CU651" s="58">
        <f t="array" ref="CU651">SUM(IF(CQ651:CR651&gt;=CR651, 1))</f>
        <v>1</v>
      </c>
      <c r="CW651" s="109">
        <f t="shared" si="252"/>
        <v>-35174001.409742817</v>
      </c>
      <c r="CX651" s="109">
        <f t="shared" si="253"/>
        <v>0</v>
      </c>
      <c r="CZ651" s="58">
        <f t="array" ref="CZ651">SUM(IF(CW651:CX651&gt;=CW651, 1))</f>
        <v>2</v>
      </c>
      <c r="DA651" s="58">
        <f t="array" ref="DA651">SUM(IF(CW651:CX651&gt;=CX651, 1))</f>
        <v>1</v>
      </c>
      <c r="DC651" s="109">
        <f t="shared" si="254"/>
        <v>-1821495.163404112</v>
      </c>
      <c r="DD651" s="109">
        <f t="shared" si="255"/>
        <v>0</v>
      </c>
      <c r="DF651" s="58">
        <f t="array" ref="DF651">SUM(IF(DC651:DD651&gt;=DC651, 1))</f>
        <v>2</v>
      </c>
      <c r="DG651" s="58">
        <f t="array" ref="DG651">SUM(IF(DC651:DD651&gt;=DD651, 1))</f>
        <v>1</v>
      </c>
      <c r="DI651" s="109">
        <f t="shared" si="256"/>
        <v>-85134681.572570741</v>
      </c>
      <c r="DJ651" s="109">
        <f t="shared" si="257"/>
        <v>0</v>
      </c>
      <c r="DL651" s="58">
        <f t="array" ref="DL651">SUM(IF(DI651:DJ651&gt;=DI651, 1))</f>
        <v>2</v>
      </c>
      <c r="DM651" s="58">
        <f t="array" ref="DM651">SUM(IF(DI651:DJ651&gt;=DJ651, 1))</f>
        <v>1</v>
      </c>
      <c r="DO651" s="109">
        <f t="shared" si="258"/>
        <v>-4519045.1219349522</v>
      </c>
      <c r="DP651" s="109">
        <f t="shared" si="259"/>
        <v>0</v>
      </c>
      <c r="DR651" s="58">
        <f t="array" ref="DR651">SUM(IF(DO651:DP651&gt;=DO651, 1))</f>
        <v>2</v>
      </c>
      <c r="DS651" s="58">
        <f t="array" ref="DS651">SUM(IF(DO651:DP651&gt;=DP651, 1))</f>
        <v>1</v>
      </c>
      <c r="DU651" s="109">
        <f t="shared" si="260"/>
        <v>-29501181.680255827</v>
      </c>
      <c r="DV651" s="109">
        <f t="shared" si="261"/>
        <v>0</v>
      </c>
      <c r="DX651" s="58">
        <f t="array" ref="DX651">SUM(IF(DU651:DV651&gt;=DU651, 1))</f>
        <v>2</v>
      </c>
      <c r="DY651" s="58">
        <f t="array" ref="DY651">SUM(IF(DU651:DV651&gt;=DV651, 1))</f>
        <v>1</v>
      </c>
      <c r="EA651" s="109">
        <f t="shared" si="262"/>
        <v>-156150404.94790846</v>
      </c>
      <c r="EB651" s="109">
        <f t="shared" si="263"/>
        <v>0</v>
      </c>
      <c r="ED651" s="58">
        <f t="array" ref="ED651">SUM(IF(EA651:EB651&gt;=EA651, 1))</f>
        <v>2</v>
      </c>
      <c r="EE651" s="58">
        <f t="array" ref="EE651">SUM(IF(EA651:EB651&gt;=EB651, 1))</f>
        <v>1</v>
      </c>
    </row>
    <row r="652" spans="4:135" ht="12" customHeight="1" x14ac:dyDescent="0.25">
      <c r="D652" s="11">
        <v>636</v>
      </c>
      <c r="E652" s="72">
        <v>347.6632566383841</v>
      </c>
      <c r="F652" s="72">
        <v>303.94557958166922</v>
      </c>
      <c r="G652" s="73"/>
      <c r="H652" s="74">
        <v>5.8126094230790324</v>
      </c>
      <c r="I652" s="74">
        <v>5.8291851397457988</v>
      </c>
      <c r="J652" s="73"/>
      <c r="K652" s="72">
        <v>372.34600216642258</v>
      </c>
      <c r="L652" s="72">
        <v>327.60067383490974</v>
      </c>
      <c r="M652" s="73"/>
      <c r="N652" s="74">
        <v>6.6925078736945531</v>
      </c>
      <c r="O652" s="74">
        <v>6.706360657869709</v>
      </c>
      <c r="P652" s="73"/>
      <c r="Q652" s="72">
        <v>2095.7048201189332</v>
      </c>
      <c r="R652" s="72">
        <v>1185.9154002852576</v>
      </c>
      <c r="S652" s="73"/>
      <c r="T652" s="74">
        <v>4.8476141433097197</v>
      </c>
      <c r="U652" s="74">
        <v>4.9322545036240504</v>
      </c>
      <c r="V652" s="73"/>
      <c r="W652" s="72">
        <v>13634.532395623801</v>
      </c>
      <c r="X652" s="72">
        <v>13613.802577060549</v>
      </c>
      <c r="Y652" s="73"/>
      <c r="Z652" s="74">
        <v>2.9735891709218687</v>
      </c>
      <c r="AA652" s="74">
        <v>3.0238086407672973</v>
      </c>
      <c r="AB652" s="73"/>
      <c r="AC652" s="72">
        <v>51434.697086368709</v>
      </c>
      <c r="AD652" s="72">
        <v>51134.561893923659</v>
      </c>
      <c r="AE652" s="73"/>
      <c r="AF652" s="74">
        <v>4.1429412556244394</v>
      </c>
      <c r="AG652" s="74">
        <v>4.2202088608738642</v>
      </c>
      <c r="AH652" s="73"/>
      <c r="AI652" s="72">
        <v>4689407.9176811371</v>
      </c>
      <c r="AJ652" s="72">
        <v>0</v>
      </c>
      <c r="AK652" s="73"/>
      <c r="AL652" s="74">
        <v>-1778.0061112930146</v>
      </c>
      <c r="AM652" s="74">
        <v>0</v>
      </c>
      <c r="AN652" s="73"/>
      <c r="AO652" s="72">
        <v>304182.58387628966</v>
      </c>
      <c r="AP652" s="72">
        <v>0</v>
      </c>
      <c r="AQ652" s="73"/>
      <c r="AR652" s="74">
        <v>-94.17241623662099</v>
      </c>
      <c r="AS652" s="74">
        <v>0</v>
      </c>
      <c r="AT652" s="73"/>
      <c r="AU652" s="72">
        <v>21149862.169269715</v>
      </c>
      <c r="AV652" s="72">
        <v>0</v>
      </c>
      <c r="AW652" s="73"/>
      <c r="AX652" s="74">
        <v>-1967.6332957715479</v>
      </c>
      <c r="AY652" s="74">
        <v>0</v>
      </c>
      <c r="AZ652" s="73"/>
      <c r="BA652" s="72">
        <v>180770.5778314182</v>
      </c>
      <c r="BB652" s="72">
        <v>0</v>
      </c>
      <c r="BC652" s="73"/>
      <c r="BD652" s="74">
        <v>-437.92966902463797</v>
      </c>
      <c r="BE652" s="74">
        <v>0</v>
      </c>
      <c r="BF652" s="73"/>
      <c r="BG652" s="72">
        <v>4638889.4055924872</v>
      </c>
      <c r="BH652" s="72">
        <v>0</v>
      </c>
      <c r="BI652" s="73"/>
      <c r="BJ652" s="74">
        <v>-1194.2480735666575</v>
      </c>
      <c r="BK652" s="74">
        <v>0</v>
      </c>
      <c r="BL652" s="73"/>
      <c r="BM652" s="72">
        <v>30963112.654251046</v>
      </c>
      <c r="BN652" s="72">
        <v>0</v>
      </c>
      <c r="BO652" s="73"/>
      <c r="BP652" s="74">
        <v>-5471.9895658924797</v>
      </c>
      <c r="BQ652" s="74">
        <v>0</v>
      </c>
      <c r="BS652" s="109">
        <f t="shared" si="243"/>
        <v>115904.52520494227</v>
      </c>
      <c r="BT652" s="109">
        <f t="shared" si="244"/>
        <v>116279.75721533431</v>
      </c>
      <c r="BV652" s="58">
        <f t="array" ref="BV652">SUM(IF(BS652:BT652&gt;=BS652, 1))</f>
        <v>2</v>
      </c>
      <c r="BW652" s="58">
        <f t="array" ref="BW652">SUM(IF(BS652:BT652&gt;=BT652, 1))</f>
        <v>1</v>
      </c>
      <c r="BY652" s="109">
        <f t="shared" si="245"/>
        <v>133477.81147172465</v>
      </c>
      <c r="BZ652" s="109">
        <f t="shared" si="246"/>
        <v>133799.61248355926</v>
      </c>
      <c r="CB652" s="58">
        <f t="array" ref="CB652">SUM(IF(BY652:BZ652&gt;=BY652, 1))</f>
        <v>2</v>
      </c>
      <c r="CC652" s="58">
        <f t="array" ref="CC652">SUM(IF(BY652:BZ652&gt;=BZ652, 1))</f>
        <v>1</v>
      </c>
      <c r="CE652" s="109">
        <f t="shared" si="247"/>
        <v>94856.578046075461</v>
      </c>
      <c r="CF652" s="109">
        <f t="shared" si="248"/>
        <v>97459.174672195746</v>
      </c>
      <c r="CH652" s="58">
        <f t="array" ref="CH652">SUM(IF(CE652:CF652&gt;=CE652, 1))</f>
        <v>2</v>
      </c>
      <c r="CI652" s="58">
        <f t="array" ref="CI652">SUM(IF(CE652:CF652&gt;=CF652, 1))</f>
        <v>1</v>
      </c>
      <c r="CK652" s="109">
        <f t="shared" si="249"/>
        <v>45837.251022813572</v>
      </c>
      <c r="CL652" s="109">
        <f t="shared" si="250"/>
        <v>46862.370238285395</v>
      </c>
      <c r="CN652" s="58">
        <f t="array" ref="CN652">SUM(IF(CK652:CL652&gt;=CK652, 1))</f>
        <v>2</v>
      </c>
      <c r="CO652" s="58">
        <f t="array" ref="CO652">SUM(IF(CK652:CL652&gt;=CL652, 1))</f>
        <v>1</v>
      </c>
      <c r="CQ652" s="109" cm="1">
        <f t="array" ref="CQ652">AF652*WTP-AC652</f>
        <v>31424.128026120081</v>
      </c>
      <c r="CR652" s="109">
        <f t="shared" si="251"/>
        <v>33269.615323553619</v>
      </c>
      <c r="CT652" s="58">
        <f t="array" ref="CT652">SUM(IF(CQ652:CR652&gt;=CQ652, 1))</f>
        <v>2</v>
      </c>
      <c r="CU652" s="58">
        <f t="array" ref="CU652">SUM(IF(CQ652:CR652&gt;=CR652, 1))</f>
        <v>1</v>
      </c>
      <c r="CW652" s="109">
        <f t="shared" si="252"/>
        <v>-40249530.143541425</v>
      </c>
      <c r="CX652" s="109">
        <f t="shared" si="253"/>
        <v>0</v>
      </c>
      <c r="CZ652" s="58">
        <f t="array" ref="CZ652">SUM(IF(CW652:CX652&gt;=CW652, 1))</f>
        <v>2</v>
      </c>
      <c r="DA652" s="58">
        <f t="array" ref="DA652">SUM(IF(CW652:CX652&gt;=CX652, 1))</f>
        <v>1</v>
      </c>
      <c r="DC652" s="109">
        <f t="shared" si="254"/>
        <v>-2187630.9086087095</v>
      </c>
      <c r="DD652" s="109">
        <f t="shared" si="255"/>
        <v>0</v>
      </c>
      <c r="DF652" s="58">
        <f t="array" ref="DF652">SUM(IF(DC652:DD652&gt;=DC652, 1))</f>
        <v>2</v>
      </c>
      <c r="DG652" s="58">
        <f t="array" ref="DG652">SUM(IF(DC652:DD652&gt;=DD652, 1))</f>
        <v>1</v>
      </c>
      <c r="DI652" s="109">
        <f t="shared" si="256"/>
        <v>-60502528.084700674</v>
      </c>
      <c r="DJ652" s="109">
        <f t="shared" si="257"/>
        <v>0</v>
      </c>
      <c r="DL652" s="58">
        <f t="array" ref="DL652">SUM(IF(DI652:DJ652&gt;=DI652, 1))</f>
        <v>2</v>
      </c>
      <c r="DM652" s="58">
        <f t="array" ref="DM652">SUM(IF(DI652:DJ652&gt;=DJ652, 1))</f>
        <v>1</v>
      </c>
      <c r="DO652" s="109">
        <f t="shared" si="258"/>
        <v>-8939363.9583241772</v>
      </c>
      <c r="DP652" s="109">
        <f t="shared" si="259"/>
        <v>0</v>
      </c>
      <c r="DR652" s="58">
        <f t="array" ref="DR652">SUM(IF(DO652:DP652&gt;=DO652, 1))</f>
        <v>2</v>
      </c>
      <c r="DS652" s="58">
        <f t="array" ref="DS652">SUM(IF(DO652:DP652&gt;=DP652, 1))</f>
        <v>1</v>
      </c>
      <c r="DU652" s="109">
        <f t="shared" si="260"/>
        <v>-28523850.876925636</v>
      </c>
      <c r="DV652" s="109">
        <f t="shared" si="261"/>
        <v>0</v>
      </c>
      <c r="DX652" s="58">
        <f t="array" ref="DX652">SUM(IF(DU652:DV652&gt;=DU652, 1))</f>
        <v>2</v>
      </c>
      <c r="DY652" s="58">
        <f t="array" ref="DY652">SUM(IF(DU652:DV652&gt;=DV652, 1))</f>
        <v>1</v>
      </c>
      <c r="EA652" s="109">
        <f t="shared" si="262"/>
        <v>-140402903.97210065</v>
      </c>
      <c r="EB652" s="109">
        <f t="shared" si="263"/>
        <v>0</v>
      </c>
      <c r="ED652" s="58">
        <f t="array" ref="ED652">SUM(IF(EA652:EB652&gt;=EA652, 1))</f>
        <v>2</v>
      </c>
      <c r="EE652" s="58">
        <f t="array" ref="EE652">SUM(IF(EA652:EB652&gt;=EB652, 1))</f>
        <v>1</v>
      </c>
    </row>
    <row r="653" spans="4:135" ht="12" customHeight="1" x14ac:dyDescent="0.25">
      <c r="D653" s="11">
        <v>637</v>
      </c>
      <c r="E653" s="72">
        <v>218.98434505378054</v>
      </c>
      <c r="F653" s="72">
        <v>196.0355360217616</v>
      </c>
      <c r="G653" s="73"/>
      <c r="H653" s="74">
        <v>5.8090643171276666</v>
      </c>
      <c r="I653" s="74">
        <v>5.8261098972679122</v>
      </c>
      <c r="J653" s="73"/>
      <c r="K653" s="72">
        <v>234.85736967789691</v>
      </c>
      <c r="L653" s="72">
        <v>211.38290863018636</v>
      </c>
      <c r="M653" s="73"/>
      <c r="N653" s="74">
        <v>6.7309357837167809</v>
      </c>
      <c r="O653" s="74">
        <v>6.7461062750762775</v>
      </c>
      <c r="P653" s="73"/>
      <c r="Q653" s="72">
        <v>2736.8274075656673</v>
      </c>
      <c r="R653" s="72">
        <v>1605.7505355936316</v>
      </c>
      <c r="S653" s="73"/>
      <c r="T653" s="74">
        <v>4.8062858411572735</v>
      </c>
      <c r="U653" s="74">
        <v>4.9088554028125584</v>
      </c>
      <c r="V653" s="73"/>
      <c r="W653" s="72">
        <v>11894.318552551389</v>
      </c>
      <c r="X653" s="72">
        <v>11918.489618370601</v>
      </c>
      <c r="Y653" s="73"/>
      <c r="Z653" s="74">
        <v>3.0539216782658474</v>
      </c>
      <c r="AA653" s="74">
        <v>3.108320263171767</v>
      </c>
      <c r="AB653" s="73"/>
      <c r="AC653" s="72">
        <v>49367.458740891721</v>
      </c>
      <c r="AD653" s="72">
        <v>49387.259221807166</v>
      </c>
      <c r="AE653" s="73"/>
      <c r="AF653" s="74">
        <v>4.4040987365387307</v>
      </c>
      <c r="AG653" s="74">
        <v>4.5255722904436011</v>
      </c>
      <c r="AH653" s="73"/>
      <c r="AI653" s="72">
        <v>2419170.9236391527</v>
      </c>
      <c r="AJ653" s="72">
        <v>0</v>
      </c>
      <c r="AK653" s="73"/>
      <c r="AL653" s="74">
        <v>-1796.8763343801004</v>
      </c>
      <c r="AM653" s="74">
        <v>0</v>
      </c>
      <c r="AN653" s="73"/>
      <c r="AO653" s="72">
        <v>168625.73913821523</v>
      </c>
      <c r="AP653" s="72">
        <v>0</v>
      </c>
      <c r="AQ653" s="73"/>
      <c r="AR653" s="74">
        <v>-108.97525244075868</v>
      </c>
      <c r="AS653" s="74">
        <v>0</v>
      </c>
      <c r="AT653" s="73"/>
      <c r="AU653" s="72">
        <v>26940886.695484895</v>
      </c>
      <c r="AV653" s="72">
        <v>0</v>
      </c>
      <c r="AW653" s="73"/>
      <c r="AX653" s="74">
        <v>-2443.0832310652186</v>
      </c>
      <c r="AY653" s="74">
        <v>0</v>
      </c>
      <c r="AZ653" s="73"/>
      <c r="BA653" s="72">
        <v>-205531.88879492346</v>
      </c>
      <c r="BB653" s="72">
        <v>0</v>
      </c>
      <c r="BC653" s="73"/>
      <c r="BD653" s="74">
        <v>-462.56313176716338</v>
      </c>
      <c r="BE653" s="74">
        <v>0</v>
      </c>
      <c r="BF653" s="73"/>
      <c r="BG653" s="72">
        <v>-314405.59310643334</v>
      </c>
      <c r="BH653" s="72">
        <v>0</v>
      </c>
      <c r="BI653" s="73"/>
      <c r="BJ653" s="74">
        <v>-1928.840260259391</v>
      </c>
      <c r="BK653" s="74">
        <v>0</v>
      </c>
      <c r="BL653" s="73"/>
      <c r="BM653" s="72">
        <v>29008745.876360904</v>
      </c>
      <c r="BN653" s="72">
        <v>0</v>
      </c>
      <c r="BO653" s="73"/>
      <c r="BP653" s="74">
        <v>-6740.338209912632</v>
      </c>
      <c r="BQ653" s="74">
        <v>0</v>
      </c>
      <c r="BS653" s="109">
        <f t="shared" si="243"/>
        <v>115962.30199749956</v>
      </c>
      <c r="BT653" s="109">
        <f t="shared" si="244"/>
        <v>116326.16240933648</v>
      </c>
      <c r="BV653" s="58">
        <f t="array" ref="BV653">SUM(IF(BS653:BT653&gt;=BS653, 1))</f>
        <v>2</v>
      </c>
      <c r="BW653" s="58">
        <f t="array" ref="BW653">SUM(IF(BS653:BT653&gt;=BT653, 1))</f>
        <v>1</v>
      </c>
      <c r="BY653" s="109">
        <f t="shared" si="245"/>
        <v>134383.85830465774</v>
      </c>
      <c r="BZ653" s="109">
        <f t="shared" si="246"/>
        <v>134710.74259289537</v>
      </c>
      <c r="CB653" s="58">
        <f t="array" ref="CB653">SUM(IF(BY653:BZ653&gt;=BY653, 1))</f>
        <v>2</v>
      </c>
      <c r="CC653" s="58">
        <f t="array" ref="CC653">SUM(IF(BY653:BZ653&gt;=BZ653, 1))</f>
        <v>1</v>
      </c>
      <c r="CE653" s="109">
        <f t="shared" si="247"/>
        <v>93388.889415579804</v>
      </c>
      <c r="CF653" s="109">
        <f t="shared" si="248"/>
        <v>96571.357520657533</v>
      </c>
      <c r="CH653" s="58">
        <f t="array" ref="CH653">SUM(IF(CE653:CF653&gt;=CE653, 1))</f>
        <v>2</v>
      </c>
      <c r="CI653" s="58">
        <f t="array" ref="CI653">SUM(IF(CE653:CF653&gt;=CF653, 1))</f>
        <v>1</v>
      </c>
      <c r="CK653" s="109">
        <f t="shared" si="249"/>
        <v>49184.115012765556</v>
      </c>
      <c r="CL653" s="109">
        <f t="shared" si="250"/>
        <v>50247.915645064742</v>
      </c>
      <c r="CN653" s="58">
        <f t="array" ref="CN653">SUM(IF(CK653:CL653&gt;=CK653, 1))</f>
        <v>2</v>
      </c>
      <c r="CO653" s="58">
        <f t="array" ref="CO653">SUM(IF(CK653:CL653&gt;=CL653, 1))</f>
        <v>1</v>
      </c>
      <c r="CQ653" s="109" cm="1">
        <f t="array" ref="CQ653">AF653*WTP-AC653</f>
        <v>38714.515989882893</v>
      </c>
      <c r="CR653" s="109">
        <f t="shared" si="251"/>
        <v>41124.186587064862</v>
      </c>
      <c r="CT653" s="58">
        <f t="array" ref="CT653">SUM(IF(CQ653:CR653&gt;=CQ653, 1))</f>
        <v>2</v>
      </c>
      <c r="CU653" s="58">
        <f t="array" ref="CU653">SUM(IF(CQ653:CR653&gt;=CR653, 1))</f>
        <v>1</v>
      </c>
      <c r="CW653" s="109">
        <f t="shared" si="252"/>
        <v>-38356697.611241162</v>
      </c>
      <c r="CX653" s="109">
        <f t="shared" si="253"/>
        <v>0</v>
      </c>
      <c r="CZ653" s="58">
        <f t="array" ref="CZ653">SUM(IF(CW653:CX653&gt;=CW653, 1))</f>
        <v>2</v>
      </c>
      <c r="DA653" s="58">
        <f t="array" ref="DA653">SUM(IF(CW653:CX653&gt;=CX653, 1))</f>
        <v>1</v>
      </c>
      <c r="DC653" s="109">
        <f t="shared" si="254"/>
        <v>-2348130.7879533889</v>
      </c>
      <c r="DD653" s="109">
        <f t="shared" si="255"/>
        <v>0</v>
      </c>
      <c r="DF653" s="58">
        <f t="array" ref="DF653">SUM(IF(DC653:DD653&gt;=DC653, 1))</f>
        <v>2</v>
      </c>
      <c r="DG653" s="58">
        <f t="array" ref="DG653">SUM(IF(DC653:DD653&gt;=DD653, 1))</f>
        <v>1</v>
      </c>
      <c r="DI653" s="109">
        <f t="shared" si="256"/>
        <v>-75802551.316789269</v>
      </c>
      <c r="DJ653" s="109">
        <f t="shared" si="257"/>
        <v>0</v>
      </c>
      <c r="DL653" s="58">
        <f t="array" ref="DL653">SUM(IF(DI653:DJ653&gt;=DI653, 1))</f>
        <v>2</v>
      </c>
      <c r="DM653" s="58">
        <f t="array" ref="DM653">SUM(IF(DI653:DJ653&gt;=DJ653, 1))</f>
        <v>1</v>
      </c>
      <c r="DO653" s="109">
        <f t="shared" si="258"/>
        <v>-9045730.7465483453</v>
      </c>
      <c r="DP653" s="109">
        <f t="shared" si="259"/>
        <v>0</v>
      </c>
      <c r="DR653" s="58">
        <f t="array" ref="DR653">SUM(IF(DO653:DP653&gt;=DO653, 1))</f>
        <v>2</v>
      </c>
      <c r="DS653" s="58">
        <f t="array" ref="DS653">SUM(IF(DO653:DP653&gt;=DP653, 1))</f>
        <v>1</v>
      </c>
      <c r="DU653" s="109">
        <f t="shared" si="260"/>
        <v>-38262399.612081386</v>
      </c>
      <c r="DV653" s="109">
        <f t="shared" si="261"/>
        <v>0</v>
      </c>
      <c r="DX653" s="58">
        <f t="array" ref="DX653">SUM(IF(DU653:DV653&gt;=DU653, 1))</f>
        <v>2</v>
      </c>
      <c r="DY653" s="58">
        <f t="array" ref="DY653">SUM(IF(DU653:DV653&gt;=DV653, 1))</f>
        <v>1</v>
      </c>
      <c r="EA653" s="109">
        <f t="shared" si="262"/>
        <v>-163815510.07461354</v>
      </c>
      <c r="EB653" s="109">
        <f t="shared" si="263"/>
        <v>0</v>
      </c>
      <c r="ED653" s="58">
        <f t="array" ref="ED653">SUM(IF(EA653:EB653&gt;=EA653, 1))</f>
        <v>2</v>
      </c>
      <c r="EE653" s="58">
        <f t="array" ref="EE653">SUM(IF(EA653:EB653&gt;=EB653, 1))</f>
        <v>1</v>
      </c>
    </row>
    <row r="654" spans="4:135" ht="12" customHeight="1" x14ac:dyDescent="0.25">
      <c r="D654" s="11">
        <v>638</v>
      </c>
      <c r="E654" s="72">
        <v>323.58442748773939</v>
      </c>
      <c r="F654" s="72">
        <v>280.72247386473714</v>
      </c>
      <c r="G654" s="73"/>
      <c r="H654" s="74">
        <v>5.8269397954346562</v>
      </c>
      <c r="I654" s="74">
        <v>5.8444427694371397</v>
      </c>
      <c r="J654" s="73"/>
      <c r="K654" s="72">
        <v>346.41193574534702</v>
      </c>
      <c r="L654" s="72">
        <v>302.55037270013435</v>
      </c>
      <c r="M654" s="73"/>
      <c r="N654" s="74">
        <v>6.7365316054742923</v>
      </c>
      <c r="O654" s="74">
        <v>6.7516306914898268</v>
      </c>
      <c r="P654" s="73"/>
      <c r="Q654" s="72">
        <v>1893.2956918712607</v>
      </c>
      <c r="R654" s="72">
        <v>1434.7324738866262</v>
      </c>
      <c r="S654" s="73"/>
      <c r="T654" s="74">
        <v>4.9609895639560309</v>
      </c>
      <c r="U654" s="74">
        <v>5.0087123477008308</v>
      </c>
      <c r="V654" s="73"/>
      <c r="W654" s="72">
        <v>11241.187337819538</v>
      </c>
      <c r="X654" s="72">
        <v>11260.638908165822</v>
      </c>
      <c r="Y654" s="73"/>
      <c r="Z654" s="74">
        <v>3.0805079244943889</v>
      </c>
      <c r="AA654" s="74">
        <v>3.1282702370608173</v>
      </c>
      <c r="AB654" s="73"/>
      <c r="AC654" s="72">
        <v>48127.987225096957</v>
      </c>
      <c r="AD654" s="72">
        <v>48069.582186713174</v>
      </c>
      <c r="AE654" s="73"/>
      <c r="AF654" s="74">
        <v>4.1644047957103956</v>
      </c>
      <c r="AG654" s="74">
        <v>4.2898896236276798</v>
      </c>
      <c r="AH654" s="73"/>
      <c r="AI654" s="72">
        <v>4581664.9193617469</v>
      </c>
      <c r="AJ654" s="72">
        <v>0</v>
      </c>
      <c r="AK654" s="73"/>
      <c r="AL654" s="74">
        <v>-1870.9544291196978</v>
      </c>
      <c r="AM654" s="74">
        <v>0</v>
      </c>
      <c r="AN654" s="73"/>
      <c r="AO654" s="72">
        <v>310597.92014731083</v>
      </c>
      <c r="AP654" s="72">
        <v>0</v>
      </c>
      <c r="AQ654" s="73"/>
      <c r="AR654" s="74">
        <v>-106.921513665989</v>
      </c>
      <c r="AS654" s="74">
        <v>0</v>
      </c>
      <c r="AT654" s="73"/>
      <c r="AU654" s="72">
        <v>10614726.132753626</v>
      </c>
      <c r="AV654" s="72">
        <v>0</v>
      </c>
      <c r="AW654" s="73"/>
      <c r="AX654" s="74">
        <v>-1104.6770867711684</v>
      </c>
      <c r="AY654" s="74">
        <v>0</v>
      </c>
      <c r="AZ654" s="73"/>
      <c r="BA654" s="72">
        <v>-174546.43979403368</v>
      </c>
      <c r="BB654" s="72">
        <v>0</v>
      </c>
      <c r="BC654" s="73"/>
      <c r="BD654" s="74">
        <v>-428.5896442490868</v>
      </c>
      <c r="BE654" s="74">
        <v>0</v>
      </c>
      <c r="BF654" s="73"/>
      <c r="BG654" s="72">
        <v>934129.76964776567</v>
      </c>
      <c r="BH654" s="72">
        <v>0</v>
      </c>
      <c r="BI654" s="73"/>
      <c r="BJ654" s="74">
        <v>-2007.003447654811</v>
      </c>
      <c r="BK654" s="74">
        <v>0</v>
      </c>
      <c r="BL654" s="73"/>
      <c r="BM654" s="72">
        <v>16266572.302116416</v>
      </c>
      <c r="BN654" s="72">
        <v>0</v>
      </c>
      <c r="BO654" s="73"/>
      <c r="BP654" s="74">
        <v>-5518.1461214607525</v>
      </c>
      <c r="BQ654" s="74">
        <v>0</v>
      </c>
      <c r="BS654" s="109">
        <f t="shared" si="243"/>
        <v>116215.21148120538</v>
      </c>
      <c r="BT654" s="109">
        <f t="shared" si="244"/>
        <v>116608.13291487806</v>
      </c>
      <c r="BV654" s="58">
        <f t="array" ref="BV654">SUM(IF(BS654:BT654&gt;=BS654, 1))</f>
        <v>2</v>
      </c>
      <c r="BW654" s="58">
        <f t="array" ref="BW654">SUM(IF(BS654:BT654&gt;=BT654, 1))</f>
        <v>1</v>
      </c>
      <c r="BY654" s="109">
        <f t="shared" si="245"/>
        <v>134384.2201737405</v>
      </c>
      <c r="BZ654" s="109">
        <f t="shared" si="246"/>
        <v>134730.06345709637</v>
      </c>
      <c r="CB654" s="58">
        <f t="array" ref="CB654">SUM(IF(BY654:BZ654&gt;=BY654, 1))</f>
        <v>2</v>
      </c>
      <c r="CC654" s="58">
        <f t="array" ref="CC654">SUM(IF(BY654:BZ654&gt;=BZ654, 1))</f>
        <v>1</v>
      </c>
      <c r="CE654" s="109">
        <f t="shared" si="247"/>
        <v>97326.495587249359</v>
      </c>
      <c r="CF654" s="109">
        <f t="shared" si="248"/>
        <v>98739.51448012999</v>
      </c>
      <c r="CH654" s="58">
        <f t="array" ref="CH654">SUM(IF(CE654:CF654&gt;=CE654, 1))</f>
        <v>2</v>
      </c>
      <c r="CI654" s="58">
        <f t="array" ref="CI654">SUM(IF(CE654:CF654&gt;=CF654, 1))</f>
        <v>1</v>
      </c>
      <c r="CK654" s="109">
        <f t="shared" si="249"/>
        <v>50368.971152068239</v>
      </c>
      <c r="CL654" s="109">
        <f t="shared" si="250"/>
        <v>51304.765833050529</v>
      </c>
      <c r="CN654" s="58">
        <f t="array" ref="CN654">SUM(IF(CK654:CL654&gt;=CK654, 1))</f>
        <v>2</v>
      </c>
      <c r="CO654" s="58">
        <f t="array" ref="CO654">SUM(IF(CK654:CL654&gt;=CL654, 1))</f>
        <v>1</v>
      </c>
      <c r="CQ654" s="109" cm="1">
        <f t="array" ref="CQ654">AF654*WTP-AC654</f>
        <v>35160.108689110952</v>
      </c>
      <c r="CR654" s="109">
        <f t="shared" si="251"/>
        <v>37728.210285840425</v>
      </c>
      <c r="CT654" s="58">
        <f t="array" ref="CT654">SUM(IF(CQ654:CR654&gt;=CQ654, 1))</f>
        <v>2</v>
      </c>
      <c r="CU654" s="58">
        <f t="array" ref="CU654">SUM(IF(CQ654:CR654&gt;=CR654, 1))</f>
        <v>1</v>
      </c>
      <c r="CW654" s="109">
        <f t="shared" si="252"/>
        <v>-42000753.501755707</v>
      </c>
      <c r="CX654" s="109">
        <f t="shared" si="253"/>
        <v>0</v>
      </c>
      <c r="CZ654" s="58">
        <f t="array" ref="CZ654">SUM(IF(CW654:CX654&gt;=CW654, 1))</f>
        <v>2</v>
      </c>
      <c r="DA654" s="58">
        <f t="array" ref="DA654">SUM(IF(CW654:CX654&gt;=CX654, 1))</f>
        <v>1</v>
      </c>
      <c r="DC654" s="109">
        <f t="shared" si="254"/>
        <v>-2449028.1934670908</v>
      </c>
      <c r="DD654" s="109">
        <f t="shared" si="255"/>
        <v>0</v>
      </c>
      <c r="DF654" s="58">
        <f t="array" ref="DF654">SUM(IF(DC654:DD654&gt;=DC654, 1))</f>
        <v>2</v>
      </c>
      <c r="DG654" s="58">
        <f t="array" ref="DG654">SUM(IF(DC654:DD654&gt;=DD654, 1))</f>
        <v>1</v>
      </c>
      <c r="DI654" s="109">
        <f t="shared" si="256"/>
        <v>-32708267.868176993</v>
      </c>
      <c r="DJ654" s="109">
        <f t="shared" si="257"/>
        <v>0</v>
      </c>
      <c r="DL654" s="58">
        <f t="array" ref="DL654">SUM(IF(DI654:DJ654&gt;=DI654, 1))</f>
        <v>2</v>
      </c>
      <c r="DM654" s="58">
        <f t="array" ref="DM654">SUM(IF(DI654:DJ654&gt;=DJ654, 1))</f>
        <v>1</v>
      </c>
      <c r="DO654" s="109">
        <f t="shared" si="258"/>
        <v>-8397246.4451877028</v>
      </c>
      <c r="DP654" s="109">
        <f t="shared" si="259"/>
        <v>0</v>
      </c>
      <c r="DR654" s="58">
        <f t="array" ref="DR654">SUM(IF(DO654:DP654&gt;=DO654, 1))</f>
        <v>2</v>
      </c>
      <c r="DS654" s="58">
        <f t="array" ref="DS654">SUM(IF(DO654:DP654&gt;=DP654, 1))</f>
        <v>1</v>
      </c>
      <c r="DU654" s="109">
        <f t="shared" si="260"/>
        <v>-41074198.722743981</v>
      </c>
      <c r="DV654" s="109">
        <f t="shared" si="261"/>
        <v>0</v>
      </c>
      <c r="DX654" s="58">
        <f t="array" ref="DX654">SUM(IF(DU654:DV654&gt;=DU654, 1))</f>
        <v>2</v>
      </c>
      <c r="DY654" s="58">
        <f t="array" ref="DY654">SUM(IF(DU654:DV654&gt;=DV654, 1))</f>
        <v>1</v>
      </c>
      <c r="EA654" s="109">
        <f t="shared" si="262"/>
        <v>-126629494.73133147</v>
      </c>
      <c r="EB654" s="109">
        <f t="shared" si="263"/>
        <v>0</v>
      </c>
      <c r="ED654" s="58">
        <f t="array" ref="ED654">SUM(IF(EA654:EB654&gt;=EA654, 1))</f>
        <v>2</v>
      </c>
      <c r="EE654" s="58">
        <f t="array" ref="EE654">SUM(IF(EA654:EB654&gt;=EB654, 1))</f>
        <v>1</v>
      </c>
    </row>
    <row r="655" spans="4:135" ht="12" customHeight="1" x14ac:dyDescent="0.25">
      <c r="D655" s="11">
        <v>639</v>
      </c>
      <c r="E655" s="72">
        <v>274.32796532816701</v>
      </c>
      <c r="F655" s="72">
        <v>249.64335423043988</v>
      </c>
      <c r="G655" s="73"/>
      <c r="H655" s="74">
        <v>5.9171658003543524</v>
      </c>
      <c r="I655" s="74">
        <v>5.9377433689439387</v>
      </c>
      <c r="J655" s="73"/>
      <c r="K655" s="72">
        <v>294.4861641847275</v>
      </c>
      <c r="L655" s="72">
        <v>269.2135898726944</v>
      </c>
      <c r="M655" s="73"/>
      <c r="N655" s="74">
        <v>6.7476353201123551</v>
      </c>
      <c r="O655" s="74">
        <v>6.7658179547079822</v>
      </c>
      <c r="P655" s="73"/>
      <c r="Q655" s="72">
        <v>2239.4270595314938</v>
      </c>
      <c r="R655" s="72">
        <v>1505.7597565230574</v>
      </c>
      <c r="S655" s="73"/>
      <c r="T655" s="74">
        <v>4.985220987829929</v>
      </c>
      <c r="U655" s="74">
        <v>5.0405759756982116</v>
      </c>
      <c r="V655" s="73"/>
      <c r="W655" s="72">
        <v>16158.776754428214</v>
      </c>
      <c r="X655" s="72">
        <v>16159.345196533712</v>
      </c>
      <c r="Y655" s="73"/>
      <c r="Z655" s="74">
        <v>3.0532519172435286</v>
      </c>
      <c r="AA655" s="74">
        <v>3.1071132698183943</v>
      </c>
      <c r="AB655" s="73"/>
      <c r="AC655" s="72">
        <v>50993.253163481044</v>
      </c>
      <c r="AD655" s="72">
        <v>50525.243754205316</v>
      </c>
      <c r="AE655" s="73"/>
      <c r="AF655" s="74">
        <v>5.0037482679614227</v>
      </c>
      <c r="AG655" s="74">
        <v>5.1984191079569939</v>
      </c>
      <c r="AH655" s="73"/>
      <c r="AI655" s="72">
        <v>2670663.193375438</v>
      </c>
      <c r="AJ655" s="72">
        <v>0</v>
      </c>
      <c r="AK655" s="73"/>
      <c r="AL655" s="74">
        <v>-2226.3164213442669</v>
      </c>
      <c r="AM655" s="74">
        <v>0</v>
      </c>
      <c r="AN655" s="73"/>
      <c r="AO655" s="72">
        <v>168477.90288170104</v>
      </c>
      <c r="AP655" s="72">
        <v>0</v>
      </c>
      <c r="AQ655" s="73"/>
      <c r="AR655" s="74">
        <v>-121.21330054124897</v>
      </c>
      <c r="AS655" s="74">
        <v>0</v>
      </c>
      <c r="AT655" s="73"/>
      <c r="AU655" s="72">
        <v>16768852.782047326</v>
      </c>
      <c r="AV655" s="72">
        <v>0</v>
      </c>
      <c r="AW655" s="73"/>
      <c r="AX655" s="74">
        <v>-1265.2051393171782</v>
      </c>
      <c r="AY655" s="74">
        <v>0</v>
      </c>
      <c r="AZ655" s="73"/>
      <c r="BA655" s="72">
        <v>-5118.5680249129773</v>
      </c>
      <c r="BB655" s="72">
        <v>0</v>
      </c>
      <c r="BC655" s="73"/>
      <c r="BD655" s="74">
        <v>-484.99749473514737</v>
      </c>
      <c r="BE655" s="74">
        <v>0</v>
      </c>
      <c r="BF655" s="73"/>
      <c r="BG655" s="72">
        <v>7266056.2685799878</v>
      </c>
      <c r="BH655" s="72">
        <v>0</v>
      </c>
      <c r="BI655" s="73"/>
      <c r="BJ655" s="74">
        <v>-3022.3522203294092</v>
      </c>
      <c r="BK655" s="74">
        <v>0</v>
      </c>
      <c r="BL655" s="73"/>
      <c r="BM655" s="72">
        <v>26868931.578859538</v>
      </c>
      <c r="BN655" s="72">
        <v>0</v>
      </c>
      <c r="BO655" s="73"/>
      <c r="BP655" s="74">
        <v>-7120.0845762672507</v>
      </c>
      <c r="BQ655" s="74">
        <v>0</v>
      </c>
      <c r="BS655" s="109">
        <f t="shared" si="243"/>
        <v>118068.98804175889</v>
      </c>
      <c r="BT655" s="109">
        <f t="shared" si="244"/>
        <v>118505.22402464833</v>
      </c>
      <c r="BV655" s="58">
        <f t="array" ref="BV655">SUM(IF(BS655:BT655&gt;=BS655, 1))</f>
        <v>2</v>
      </c>
      <c r="BW655" s="58">
        <f t="array" ref="BW655">SUM(IF(BS655:BT655&gt;=BT655, 1))</f>
        <v>1</v>
      </c>
      <c r="BY655" s="109">
        <f t="shared" si="245"/>
        <v>134658.22023806238</v>
      </c>
      <c r="BZ655" s="109">
        <f t="shared" si="246"/>
        <v>135047.14550428695</v>
      </c>
      <c r="CB655" s="58">
        <f t="array" ref="CB655">SUM(IF(BY655:BZ655&gt;=BY655, 1))</f>
        <v>2</v>
      </c>
      <c r="CC655" s="58">
        <f t="array" ref="CC655">SUM(IF(BY655:BZ655&gt;=BZ655, 1))</f>
        <v>1</v>
      </c>
      <c r="CE655" s="109">
        <f t="shared" si="247"/>
        <v>97464.992697067093</v>
      </c>
      <c r="CF655" s="109">
        <f t="shared" si="248"/>
        <v>99305.759757441177</v>
      </c>
      <c r="CH655" s="58">
        <f t="array" ref="CH655">SUM(IF(CE655:CF655&gt;=CE655, 1))</f>
        <v>2</v>
      </c>
      <c r="CI655" s="58">
        <f t="array" ref="CI655">SUM(IF(CE655:CF655&gt;=CF655, 1))</f>
        <v>1</v>
      </c>
      <c r="CK655" s="109">
        <f t="shared" si="249"/>
        <v>44906.261590442358</v>
      </c>
      <c r="CL655" s="109">
        <f t="shared" si="250"/>
        <v>45982.920199834174</v>
      </c>
      <c r="CN655" s="58">
        <f t="array" ref="CN655">SUM(IF(CK655:CL655&gt;=CK655, 1))</f>
        <v>2</v>
      </c>
      <c r="CO655" s="58">
        <f t="array" ref="CO655">SUM(IF(CK655:CL655&gt;=CL655, 1))</f>
        <v>1</v>
      </c>
      <c r="CQ655" s="109" cm="1">
        <f t="array" ref="CQ655">AF655*WTP-AC655</f>
        <v>49081.712195747416</v>
      </c>
      <c r="CR655" s="109">
        <f t="shared" si="251"/>
        <v>53443.138404934558</v>
      </c>
      <c r="CT655" s="58">
        <f t="array" ref="CT655">SUM(IF(CQ655:CR655&gt;=CQ655, 1))</f>
        <v>2</v>
      </c>
      <c r="CU655" s="58">
        <f t="array" ref="CU655">SUM(IF(CQ655:CR655&gt;=CR655, 1))</f>
        <v>1</v>
      </c>
      <c r="CW655" s="109">
        <f t="shared" si="252"/>
        <v>-47196991.620260775</v>
      </c>
      <c r="CX655" s="109">
        <f t="shared" si="253"/>
        <v>0</v>
      </c>
      <c r="CZ655" s="58">
        <f t="array" ref="CZ655">SUM(IF(CW655:CX655&gt;=CW655, 1))</f>
        <v>2</v>
      </c>
      <c r="DA655" s="58">
        <f t="array" ref="DA655">SUM(IF(CW655:CX655&gt;=CX655, 1))</f>
        <v>1</v>
      </c>
      <c r="DC655" s="109">
        <f t="shared" si="254"/>
        <v>-2592743.9137066803</v>
      </c>
      <c r="DD655" s="109">
        <f t="shared" si="255"/>
        <v>0</v>
      </c>
      <c r="DF655" s="58">
        <f t="array" ref="DF655">SUM(IF(DC655:DD655&gt;=DC655, 1))</f>
        <v>2</v>
      </c>
      <c r="DG655" s="58">
        <f t="array" ref="DG655">SUM(IF(DC655:DD655&gt;=DD655, 1))</f>
        <v>1</v>
      </c>
      <c r="DI655" s="109">
        <f t="shared" si="256"/>
        <v>-42072955.568390891</v>
      </c>
      <c r="DJ655" s="109">
        <f t="shared" si="257"/>
        <v>0</v>
      </c>
      <c r="DL655" s="58">
        <f t="array" ref="DL655">SUM(IF(DI655:DJ655&gt;=DI655, 1))</f>
        <v>2</v>
      </c>
      <c r="DM655" s="58">
        <f t="array" ref="DM655">SUM(IF(DI655:DJ655&gt;=DJ655, 1))</f>
        <v>1</v>
      </c>
      <c r="DO655" s="109">
        <f t="shared" si="258"/>
        <v>-9694831.3266780339</v>
      </c>
      <c r="DP655" s="109">
        <f t="shared" si="259"/>
        <v>0</v>
      </c>
      <c r="DR655" s="58">
        <f t="array" ref="DR655">SUM(IF(DO655:DP655&gt;=DO655, 1))</f>
        <v>2</v>
      </c>
      <c r="DS655" s="58">
        <f t="array" ref="DS655">SUM(IF(DO655:DP655&gt;=DP655, 1))</f>
        <v>1</v>
      </c>
      <c r="DU655" s="109">
        <f t="shared" si="260"/>
        <v>-67713100.675168172</v>
      </c>
      <c r="DV655" s="109">
        <f t="shared" si="261"/>
        <v>0</v>
      </c>
      <c r="DX655" s="58">
        <f t="array" ref="DX655">SUM(IF(DU655:DV655&gt;=DU655, 1))</f>
        <v>2</v>
      </c>
      <c r="DY655" s="58">
        <f t="array" ref="DY655">SUM(IF(DU655:DV655&gt;=DV655, 1))</f>
        <v>1</v>
      </c>
      <c r="EA655" s="109">
        <f t="shared" si="262"/>
        <v>-169270623.10420457</v>
      </c>
      <c r="EB655" s="109">
        <f t="shared" si="263"/>
        <v>0</v>
      </c>
      <c r="ED655" s="58">
        <f t="array" ref="ED655">SUM(IF(EA655:EB655&gt;=EA655, 1))</f>
        <v>2</v>
      </c>
      <c r="EE655" s="58">
        <f t="array" ref="EE655">SUM(IF(EA655:EB655&gt;=EB655, 1))</f>
        <v>1</v>
      </c>
    </row>
    <row r="656" spans="4:135" ht="12" customHeight="1" x14ac:dyDescent="0.25">
      <c r="D656" s="11">
        <v>640</v>
      </c>
      <c r="E656" s="72">
        <v>220.73753517230881</v>
      </c>
      <c r="F656" s="72">
        <v>191.29394482580079</v>
      </c>
      <c r="G656" s="73"/>
      <c r="H656" s="74">
        <v>5.8308178287488905</v>
      </c>
      <c r="I656" s="74">
        <v>5.8509592901378307</v>
      </c>
      <c r="J656" s="73"/>
      <c r="K656" s="72">
        <v>236.4252883668926</v>
      </c>
      <c r="L656" s="72">
        <v>206.2431614600427</v>
      </c>
      <c r="M656" s="73"/>
      <c r="N656" s="74">
        <v>6.6882477245578746</v>
      </c>
      <c r="O656" s="74">
        <v>6.7053759225127729</v>
      </c>
      <c r="P656" s="73"/>
      <c r="Q656" s="72">
        <v>2244.2680180011757</v>
      </c>
      <c r="R656" s="72">
        <v>1794.0977803074388</v>
      </c>
      <c r="S656" s="73"/>
      <c r="T656" s="74">
        <v>4.9409510472334057</v>
      </c>
      <c r="U656" s="74">
        <v>4.9784729333547295</v>
      </c>
      <c r="V656" s="73"/>
      <c r="W656" s="72">
        <v>11242.366565164572</v>
      </c>
      <c r="X656" s="72">
        <v>11227.707729734491</v>
      </c>
      <c r="Y656" s="73"/>
      <c r="Z656" s="74">
        <v>2.9971801747046261</v>
      </c>
      <c r="AA656" s="74">
        <v>3.0431953030208962</v>
      </c>
      <c r="AB656" s="73"/>
      <c r="AC656" s="72">
        <v>53103.469570214489</v>
      </c>
      <c r="AD656" s="72">
        <v>52591.326476647911</v>
      </c>
      <c r="AE656" s="73"/>
      <c r="AF656" s="74">
        <v>4.2008193567693537</v>
      </c>
      <c r="AG656" s="74">
        <v>4.2799972810945155</v>
      </c>
      <c r="AH656" s="73"/>
      <c r="AI656" s="72">
        <v>3162148.2247613664</v>
      </c>
      <c r="AJ656" s="72">
        <v>0</v>
      </c>
      <c r="AK656" s="73"/>
      <c r="AL656" s="74">
        <v>-2163.1290758224482</v>
      </c>
      <c r="AM656" s="74">
        <v>0</v>
      </c>
      <c r="AN656" s="73"/>
      <c r="AO656" s="72">
        <v>207070.58488481003</v>
      </c>
      <c r="AP656" s="72">
        <v>0</v>
      </c>
      <c r="AQ656" s="73"/>
      <c r="AR656" s="74">
        <v>-117.51146562632246</v>
      </c>
      <c r="AS656" s="74">
        <v>0</v>
      </c>
      <c r="AT656" s="73"/>
      <c r="AU656" s="72">
        <v>10279731.395533664</v>
      </c>
      <c r="AV656" s="72">
        <v>0</v>
      </c>
      <c r="AW656" s="73"/>
      <c r="AX656" s="74">
        <v>-856.82010600492742</v>
      </c>
      <c r="AY656" s="74">
        <v>0</v>
      </c>
      <c r="AZ656" s="73"/>
      <c r="BA656" s="72">
        <v>133992.83894211779</v>
      </c>
      <c r="BB656" s="72">
        <v>0</v>
      </c>
      <c r="BC656" s="73"/>
      <c r="BD656" s="74">
        <v>-420.61306348598089</v>
      </c>
      <c r="BE656" s="74">
        <v>0</v>
      </c>
      <c r="BF656" s="73"/>
      <c r="BG656" s="72">
        <v>8112590.850010938</v>
      </c>
      <c r="BH656" s="72">
        <v>0</v>
      </c>
      <c r="BI656" s="73"/>
      <c r="BJ656" s="74">
        <v>-1254.2160823255608</v>
      </c>
      <c r="BK656" s="74">
        <v>0</v>
      </c>
      <c r="BL656" s="73"/>
      <c r="BM656" s="72">
        <v>21895533.894132897</v>
      </c>
      <c r="BN656" s="72">
        <v>0</v>
      </c>
      <c r="BO656" s="73"/>
      <c r="BP656" s="74">
        <v>-4812.2897932652395</v>
      </c>
      <c r="BQ656" s="74">
        <v>0</v>
      </c>
      <c r="BS656" s="109">
        <f t="shared" si="243"/>
        <v>116395.6190398055</v>
      </c>
      <c r="BT656" s="109">
        <f t="shared" si="244"/>
        <v>116827.89185793082</v>
      </c>
      <c r="BV656" s="58">
        <f t="array" ref="BV656">SUM(IF(BS656:BT656&gt;=BS656, 1))</f>
        <v>2</v>
      </c>
      <c r="BW656" s="58">
        <f t="array" ref="BW656">SUM(IF(BS656:BT656&gt;=BT656, 1))</f>
        <v>1</v>
      </c>
      <c r="BY656" s="109">
        <f t="shared" si="245"/>
        <v>133528.52920279061</v>
      </c>
      <c r="BZ656" s="109">
        <f t="shared" si="246"/>
        <v>133901.27528879541</v>
      </c>
      <c r="CB656" s="58">
        <f t="array" ref="CB656">SUM(IF(BY656:BZ656&gt;=BY656, 1))</f>
        <v>2</v>
      </c>
      <c r="CC656" s="58">
        <f t="array" ref="CC656">SUM(IF(BY656:BZ656&gt;=BZ656, 1))</f>
        <v>1</v>
      </c>
      <c r="CE656" s="109">
        <f t="shared" si="247"/>
        <v>96574.75292666693</v>
      </c>
      <c r="CF656" s="109">
        <f t="shared" si="248"/>
        <v>97775.360886787152</v>
      </c>
      <c r="CH656" s="58">
        <f t="array" ref="CH656">SUM(IF(CE656:CF656&gt;=CE656, 1))</f>
        <v>2</v>
      </c>
      <c r="CI656" s="58">
        <f t="array" ref="CI656">SUM(IF(CE656:CF656&gt;=CF656, 1))</f>
        <v>1</v>
      </c>
      <c r="CK656" s="109">
        <f t="shared" si="249"/>
        <v>48701.236928927952</v>
      </c>
      <c r="CL656" s="109">
        <f t="shared" si="250"/>
        <v>49636.19833068343</v>
      </c>
      <c r="CN656" s="58">
        <f t="array" ref="CN656">SUM(IF(CK656:CL656&gt;=CK656, 1))</f>
        <v>2</v>
      </c>
      <c r="CO656" s="58">
        <f t="array" ref="CO656">SUM(IF(CK656:CL656&gt;=CL656, 1))</f>
        <v>1</v>
      </c>
      <c r="CQ656" s="109" cm="1">
        <f t="array" ref="CQ656">AF656*WTP-AC656</f>
        <v>30912.917565172589</v>
      </c>
      <c r="CR656" s="109">
        <f t="shared" si="251"/>
        <v>33008.619145242395</v>
      </c>
      <c r="CT656" s="58">
        <f t="array" ref="CT656">SUM(IF(CQ656:CR656&gt;=CQ656, 1))</f>
        <v>2</v>
      </c>
      <c r="CU656" s="58">
        <f t="array" ref="CU656">SUM(IF(CQ656:CR656&gt;=CR656, 1))</f>
        <v>1</v>
      </c>
      <c r="CW656" s="109">
        <f t="shared" si="252"/>
        <v>-46424729.741210327</v>
      </c>
      <c r="CX656" s="109">
        <f t="shared" si="253"/>
        <v>0</v>
      </c>
      <c r="CZ656" s="58">
        <f t="array" ref="CZ656">SUM(IF(CW656:CX656&gt;=CW656, 1))</f>
        <v>2</v>
      </c>
      <c r="DA656" s="58">
        <f t="array" ref="DA656">SUM(IF(CW656:CX656&gt;=CX656, 1))</f>
        <v>1</v>
      </c>
      <c r="DC656" s="109">
        <f t="shared" si="254"/>
        <v>-2557299.8974112589</v>
      </c>
      <c r="DD656" s="109">
        <f t="shared" si="255"/>
        <v>0</v>
      </c>
      <c r="DF656" s="58">
        <f t="array" ref="DF656">SUM(IF(DC656:DD656&gt;=DC656, 1))</f>
        <v>2</v>
      </c>
      <c r="DG656" s="58">
        <f t="array" ref="DG656">SUM(IF(DC656:DD656&gt;=DD656, 1))</f>
        <v>1</v>
      </c>
      <c r="DI656" s="109">
        <f t="shared" si="256"/>
        <v>-27416133.515632212</v>
      </c>
      <c r="DJ656" s="109">
        <f t="shared" si="257"/>
        <v>0</v>
      </c>
      <c r="DL656" s="58">
        <f t="array" ref="DL656">SUM(IF(DI656:DJ656&gt;=DI656, 1))</f>
        <v>2</v>
      </c>
      <c r="DM656" s="58">
        <f t="array" ref="DM656">SUM(IF(DI656:DJ656&gt;=DJ656, 1))</f>
        <v>1</v>
      </c>
      <c r="DO656" s="109">
        <f t="shared" si="258"/>
        <v>-8546254.1086617354</v>
      </c>
      <c r="DP656" s="109">
        <f t="shared" si="259"/>
        <v>0</v>
      </c>
      <c r="DR656" s="58">
        <f t="array" ref="DR656">SUM(IF(DO656:DP656&gt;=DO656, 1))</f>
        <v>2</v>
      </c>
      <c r="DS656" s="58">
        <f t="array" ref="DS656">SUM(IF(DO656:DP656&gt;=DP656, 1))</f>
        <v>1</v>
      </c>
      <c r="DU656" s="109">
        <f t="shared" si="260"/>
        <v>-33196912.496522155</v>
      </c>
      <c r="DV656" s="109">
        <f t="shared" si="261"/>
        <v>0</v>
      </c>
      <c r="DX656" s="58">
        <f t="array" ref="DX656">SUM(IF(DU656:DV656&gt;=DU656, 1))</f>
        <v>2</v>
      </c>
      <c r="DY656" s="58">
        <f t="array" ref="DY656">SUM(IF(DU656:DV656&gt;=DV656, 1))</f>
        <v>1</v>
      </c>
      <c r="EA656" s="109">
        <f t="shared" si="262"/>
        <v>-118141329.75943768</v>
      </c>
      <c r="EB656" s="109">
        <f t="shared" si="263"/>
        <v>0</v>
      </c>
      <c r="ED656" s="58">
        <f t="array" ref="ED656">SUM(IF(EA656:EB656&gt;=EA656, 1))</f>
        <v>2</v>
      </c>
      <c r="EE656" s="58">
        <f t="array" ref="EE656">SUM(IF(EA656:EB656&gt;=EB656, 1))</f>
        <v>1</v>
      </c>
    </row>
    <row r="657" spans="4:135" ht="12" customHeight="1" x14ac:dyDescent="0.25">
      <c r="D657" s="11">
        <v>641</v>
      </c>
      <c r="E657" s="72">
        <v>244.81388432132832</v>
      </c>
      <c r="F657" s="72">
        <v>206.3468220554887</v>
      </c>
      <c r="G657" s="73"/>
      <c r="H657" s="74">
        <v>5.871120904934692</v>
      </c>
      <c r="I657" s="74">
        <v>5.8915694669714789</v>
      </c>
      <c r="J657" s="73"/>
      <c r="K657" s="72">
        <v>261.81274537297395</v>
      </c>
      <c r="L657" s="72">
        <v>222.48422217349071</v>
      </c>
      <c r="M657" s="73"/>
      <c r="N657" s="74">
        <v>6.7149541323395887</v>
      </c>
      <c r="O657" s="74">
        <v>6.7332109865704579</v>
      </c>
      <c r="P657" s="73"/>
      <c r="Q657" s="72">
        <v>2025.6807631610022</v>
      </c>
      <c r="R657" s="72">
        <v>1103.388236552619</v>
      </c>
      <c r="S657" s="73"/>
      <c r="T657" s="74">
        <v>4.8819415431866426</v>
      </c>
      <c r="U657" s="74">
        <v>4.9803719166856064</v>
      </c>
      <c r="V657" s="73"/>
      <c r="W657" s="72">
        <v>10440.710392973531</v>
      </c>
      <c r="X657" s="72">
        <v>10415.216802038743</v>
      </c>
      <c r="Y657" s="73"/>
      <c r="Z657" s="74">
        <v>3.0199163073230744</v>
      </c>
      <c r="AA657" s="74">
        <v>3.0590067311997147</v>
      </c>
      <c r="AB657" s="73"/>
      <c r="AC657" s="72">
        <v>48780.238833017858</v>
      </c>
      <c r="AD657" s="72">
        <v>48811.441059343713</v>
      </c>
      <c r="AE657" s="73"/>
      <c r="AF657" s="74">
        <v>4.232695750515914</v>
      </c>
      <c r="AG657" s="74">
        <v>4.3524152375486205</v>
      </c>
      <c r="AH657" s="73"/>
      <c r="AI657" s="72">
        <v>4136067.5928332377</v>
      </c>
      <c r="AJ657" s="72">
        <v>0</v>
      </c>
      <c r="AK657" s="73"/>
      <c r="AL657" s="74">
        <v>-2198.6767322105075</v>
      </c>
      <c r="AM657" s="74">
        <v>0</v>
      </c>
      <c r="AN657" s="73"/>
      <c r="AO657" s="72">
        <v>251313.59550540693</v>
      </c>
      <c r="AP657" s="72">
        <v>0</v>
      </c>
      <c r="AQ657" s="73"/>
      <c r="AR657" s="74">
        <v>-116.66330963167533</v>
      </c>
      <c r="AS657" s="74">
        <v>0</v>
      </c>
      <c r="AT657" s="73"/>
      <c r="AU657" s="72">
        <v>21945421.522192586</v>
      </c>
      <c r="AV657" s="72">
        <v>0</v>
      </c>
      <c r="AW657" s="73"/>
      <c r="AX657" s="74">
        <v>-2342.0942647828892</v>
      </c>
      <c r="AY657" s="74">
        <v>0</v>
      </c>
      <c r="AZ657" s="73"/>
      <c r="BA657" s="72">
        <v>230361.17200533784</v>
      </c>
      <c r="BB657" s="72">
        <v>0</v>
      </c>
      <c r="BC657" s="73"/>
      <c r="BD657" s="74">
        <v>-353.22273278184844</v>
      </c>
      <c r="BE657" s="74">
        <v>0</v>
      </c>
      <c r="BF657" s="73"/>
      <c r="BG657" s="72">
        <v>-492092.09208460961</v>
      </c>
      <c r="BH657" s="72">
        <v>0</v>
      </c>
      <c r="BI657" s="73"/>
      <c r="BJ657" s="74">
        <v>-1888.1028623397915</v>
      </c>
      <c r="BK657" s="74">
        <v>0</v>
      </c>
      <c r="BL657" s="73"/>
      <c r="BM657" s="72">
        <v>26071071.790451959</v>
      </c>
      <c r="BN657" s="72">
        <v>0</v>
      </c>
      <c r="BO657" s="73"/>
      <c r="BP657" s="74">
        <v>-6898.7599017467119</v>
      </c>
      <c r="BQ657" s="74">
        <v>0</v>
      </c>
      <c r="BS657" s="109">
        <f t="shared" si="243"/>
        <v>117177.60421437252</v>
      </c>
      <c r="BT657" s="109">
        <f t="shared" si="244"/>
        <v>117625.04251737408</v>
      </c>
      <c r="BV657" s="58">
        <f t="array" ref="BV657">SUM(IF(BS657:BT657&gt;=BS657, 1))</f>
        <v>2</v>
      </c>
      <c r="BW657" s="58">
        <f t="array" ref="BW657">SUM(IF(BS657:BT657&gt;=BT657, 1))</f>
        <v>1</v>
      </c>
      <c r="BY657" s="109">
        <f t="shared" si="245"/>
        <v>134037.2699014188</v>
      </c>
      <c r="BZ657" s="109">
        <f t="shared" si="246"/>
        <v>134441.73550923567</v>
      </c>
      <c r="CB657" s="58">
        <f t="array" ref="CB657">SUM(IF(BY657:BZ657&gt;=BY657, 1))</f>
        <v>2</v>
      </c>
      <c r="CC657" s="58">
        <f t="array" ref="CC657">SUM(IF(BY657:BZ657&gt;=BZ657, 1))</f>
        <v>1</v>
      </c>
      <c r="CE657" s="109">
        <f t="shared" si="247"/>
        <v>95613.15010057186</v>
      </c>
      <c r="CF657" s="109">
        <f t="shared" si="248"/>
        <v>98504.050097159503</v>
      </c>
      <c r="CH657" s="58">
        <f t="array" ref="CH657">SUM(IF(CE657:CF657&gt;=CE657, 1))</f>
        <v>2</v>
      </c>
      <c r="CI657" s="58">
        <f t="array" ref="CI657">SUM(IF(CE657:CF657&gt;=CF657, 1))</f>
        <v>1</v>
      </c>
      <c r="CK657" s="109">
        <f t="shared" si="249"/>
        <v>49957.615753487953</v>
      </c>
      <c r="CL657" s="109">
        <f t="shared" si="250"/>
        <v>50764.917821955547</v>
      </c>
      <c r="CN657" s="58">
        <f t="array" ref="CN657">SUM(IF(CK657:CL657&gt;=CK657, 1))</f>
        <v>2</v>
      </c>
      <c r="CO657" s="58">
        <f t="array" ref="CO657">SUM(IF(CK657:CL657&gt;=CL657, 1))</f>
        <v>1</v>
      </c>
      <c r="CQ657" s="109" cm="1">
        <f t="array" ref="CQ657">AF657*WTP-AC657</f>
        <v>35873.676177300418</v>
      </c>
      <c r="CR657" s="109">
        <f t="shared" si="251"/>
        <v>38236.8636916287</v>
      </c>
      <c r="CT657" s="58">
        <f t="array" ref="CT657">SUM(IF(CQ657:CR657&gt;=CQ657, 1))</f>
        <v>2</v>
      </c>
      <c r="CU657" s="58">
        <f t="array" ref="CU657">SUM(IF(CQ657:CR657&gt;=CR657, 1))</f>
        <v>1</v>
      </c>
      <c r="CW657" s="109">
        <f t="shared" si="252"/>
        <v>-48109602.237043388</v>
      </c>
      <c r="CX657" s="109">
        <f t="shared" si="253"/>
        <v>0</v>
      </c>
      <c r="CZ657" s="58">
        <f t="array" ref="CZ657">SUM(IF(CW657:CX657&gt;=CW657, 1))</f>
        <v>2</v>
      </c>
      <c r="DA657" s="58">
        <f t="array" ref="DA657">SUM(IF(CW657:CX657&gt;=CX657, 1))</f>
        <v>1</v>
      </c>
      <c r="DC657" s="109">
        <f t="shared" si="254"/>
        <v>-2584579.7881389139</v>
      </c>
      <c r="DD657" s="109">
        <f t="shared" si="255"/>
        <v>0</v>
      </c>
      <c r="DF657" s="58">
        <f t="array" ref="DF657">SUM(IF(DC657:DD657&gt;=DC657, 1))</f>
        <v>2</v>
      </c>
      <c r="DG657" s="58">
        <f t="array" ref="DG657">SUM(IF(DC657:DD657&gt;=DD657, 1))</f>
        <v>1</v>
      </c>
      <c r="DI657" s="109">
        <f t="shared" si="256"/>
        <v>-68787306.817850366</v>
      </c>
      <c r="DJ657" s="109">
        <f t="shared" si="257"/>
        <v>0</v>
      </c>
      <c r="DL657" s="58">
        <f t="array" ref="DL657">SUM(IF(DI657:DJ657&gt;=DI657, 1))</f>
        <v>2</v>
      </c>
      <c r="DM657" s="58">
        <f t="array" ref="DM657">SUM(IF(DI657:DJ657&gt;=DJ657, 1))</f>
        <v>1</v>
      </c>
      <c r="DO657" s="109">
        <f t="shared" si="258"/>
        <v>-7294815.8276423067</v>
      </c>
      <c r="DP657" s="109">
        <f t="shared" si="259"/>
        <v>0</v>
      </c>
      <c r="DR657" s="58">
        <f t="array" ref="DR657">SUM(IF(DO657:DP657&gt;=DO657, 1))</f>
        <v>2</v>
      </c>
      <c r="DS657" s="58">
        <f t="array" ref="DS657">SUM(IF(DO657:DP657&gt;=DP657, 1))</f>
        <v>1</v>
      </c>
      <c r="DU657" s="109">
        <f t="shared" si="260"/>
        <v>-37269965.154711224</v>
      </c>
      <c r="DV657" s="109">
        <f t="shared" si="261"/>
        <v>0</v>
      </c>
      <c r="DX657" s="58">
        <f t="array" ref="DX657">SUM(IF(DU657:DV657&gt;=DU657, 1))</f>
        <v>2</v>
      </c>
      <c r="DY657" s="58">
        <f t="array" ref="DY657">SUM(IF(DU657:DV657&gt;=DV657, 1))</f>
        <v>1</v>
      </c>
      <c r="EA657" s="109">
        <f t="shared" si="262"/>
        <v>-164046269.82538617</v>
      </c>
      <c r="EB657" s="109">
        <f t="shared" si="263"/>
        <v>0</v>
      </c>
      <c r="ED657" s="58">
        <f t="array" ref="ED657">SUM(IF(EA657:EB657&gt;=EA657, 1))</f>
        <v>2</v>
      </c>
      <c r="EE657" s="58">
        <f t="array" ref="EE657">SUM(IF(EA657:EB657&gt;=EB657, 1))</f>
        <v>1</v>
      </c>
    </row>
    <row r="658" spans="4:135" ht="12" customHeight="1" x14ac:dyDescent="0.25">
      <c r="D658" s="11">
        <v>642</v>
      </c>
      <c r="E658" s="72">
        <v>243.76344525220654</v>
      </c>
      <c r="F658" s="72">
        <v>227.75226763142297</v>
      </c>
      <c r="G658" s="73"/>
      <c r="H658" s="74">
        <v>5.8307544830167393</v>
      </c>
      <c r="I658" s="74">
        <v>5.8487830030621533</v>
      </c>
      <c r="J658" s="73"/>
      <c r="K658" s="72">
        <v>262.00049970990847</v>
      </c>
      <c r="L658" s="72">
        <v>245.61555352131964</v>
      </c>
      <c r="M658" s="73"/>
      <c r="N658" s="74">
        <v>6.73532563965757</v>
      </c>
      <c r="O658" s="74">
        <v>6.7515584913044551</v>
      </c>
      <c r="P658" s="73"/>
      <c r="Q658" s="72">
        <v>3395.792630712036</v>
      </c>
      <c r="R658" s="72">
        <v>1995.747738902538</v>
      </c>
      <c r="S658" s="73"/>
      <c r="T658" s="74">
        <v>4.825085548162857</v>
      </c>
      <c r="U658" s="74">
        <v>4.8964703649382653</v>
      </c>
      <c r="V658" s="73"/>
      <c r="W658" s="72">
        <v>13683.753309546506</v>
      </c>
      <c r="X658" s="72">
        <v>13694.269844061586</v>
      </c>
      <c r="Y658" s="73"/>
      <c r="Z658" s="74">
        <v>3.0628168086055156</v>
      </c>
      <c r="AA658" s="74">
        <v>3.1208125009295795</v>
      </c>
      <c r="AB658" s="73"/>
      <c r="AC658" s="72">
        <v>50534.314569968825</v>
      </c>
      <c r="AD658" s="72">
        <v>50113.048978540515</v>
      </c>
      <c r="AE658" s="73"/>
      <c r="AF658" s="74">
        <v>4.4744784289476911</v>
      </c>
      <c r="AG658" s="74">
        <v>4.620956938242311</v>
      </c>
      <c r="AH658" s="73"/>
      <c r="AI658" s="72">
        <v>1713661.9048713399</v>
      </c>
      <c r="AJ658" s="72">
        <v>0</v>
      </c>
      <c r="AK658" s="73"/>
      <c r="AL658" s="74">
        <v>-1929.576245717979</v>
      </c>
      <c r="AM658" s="74">
        <v>0</v>
      </c>
      <c r="AN658" s="73"/>
      <c r="AO658" s="72">
        <v>113079.23609140662</v>
      </c>
      <c r="AP658" s="72">
        <v>0</v>
      </c>
      <c r="AQ658" s="73"/>
      <c r="AR658" s="74">
        <v>-112.02956925749812</v>
      </c>
      <c r="AS658" s="74">
        <v>0</v>
      </c>
      <c r="AT658" s="73"/>
      <c r="AU658" s="72">
        <v>32002374.65414653</v>
      </c>
      <c r="AV658" s="72">
        <v>0</v>
      </c>
      <c r="AW658" s="73"/>
      <c r="AX658" s="74">
        <v>-1631.7217143741896</v>
      </c>
      <c r="AY658" s="74">
        <v>0</v>
      </c>
      <c r="AZ658" s="73"/>
      <c r="BA658" s="72">
        <v>-91180.617023015031</v>
      </c>
      <c r="BB658" s="72">
        <v>0</v>
      </c>
      <c r="BC658" s="73"/>
      <c r="BD658" s="74">
        <v>-502.83513102176119</v>
      </c>
      <c r="BE658" s="74">
        <v>0</v>
      </c>
      <c r="BF658" s="73"/>
      <c r="BG658" s="72">
        <v>6614222.0734175928</v>
      </c>
      <c r="BH658" s="72">
        <v>0</v>
      </c>
      <c r="BI658" s="73"/>
      <c r="BJ658" s="74">
        <v>-2299.8350901931076</v>
      </c>
      <c r="BK658" s="74">
        <v>0</v>
      </c>
      <c r="BL658" s="73"/>
      <c r="BM658" s="72">
        <v>40352157.251503855</v>
      </c>
      <c r="BN658" s="72">
        <v>0</v>
      </c>
      <c r="BO658" s="73"/>
      <c r="BP658" s="74">
        <v>-6475.9977505645347</v>
      </c>
      <c r="BQ658" s="74">
        <v>0</v>
      </c>
      <c r="BS658" s="109">
        <f t="shared" ref="BS658:BS721" si="264">H658*WTP-E658</f>
        <v>116371.32621508258</v>
      </c>
      <c r="BT658" s="109">
        <f t="shared" ref="BT658:BT721" si="265">I658*WTP-F658</f>
        <v>116747.90779361164</v>
      </c>
      <c r="BV658" s="58">
        <f t="array" ref="BV658">SUM(IF(BS658:BT658&gt;=BS658, 1))</f>
        <v>2</v>
      </c>
      <c r="BW658" s="58">
        <f t="array" ref="BW658">SUM(IF(BS658:BT658&gt;=BT658, 1))</f>
        <v>1</v>
      </c>
      <c r="BY658" s="109">
        <f t="shared" ref="BY658:BY721" si="266">N658*WTP-K658</f>
        <v>134444.51229344148</v>
      </c>
      <c r="BZ658" s="109">
        <f t="shared" ref="BZ658:BZ721" si="267">O658*WTP-L658</f>
        <v>134785.5542725678</v>
      </c>
      <c r="CB658" s="58">
        <f t="array" ref="CB658">SUM(IF(BY658:BZ658&gt;=BY658, 1))</f>
        <v>2</v>
      </c>
      <c r="CC658" s="58">
        <f t="array" ref="CC658">SUM(IF(BY658:BZ658&gt;=BZ658, 1))</f>
        <v>1</v>
      </c>
      <c r="CE658" s="109">
        <f t="shared" ref="CE658:CE721" si="268">T658*WTP-Q658</f>
        <v>93105.918332545101</v>
      </c>
      <c r="CF658" s="109">
        <f t="shared" ref="CF658:CF721" si="269">U658*WTP-R658</f>
        <v>95933.659559862761</v>
      </c>
      <c r="CH658" s="58">
        <f t="array" ref="CH658">SUM(IF(CE658:CF658&gt;=CE658, 1))</f>
        <v>2</v>
      </c>
      <c r="CI658" s="58">
        <f t="array" ref="CI658">SUM(IF(CE658:CF658&gt;=CF658, 1))</f>
        <v>1</v>
      </c>
      <c r="CK658" s="109">
        <f t="shared" ref="CK658:CK721" si="270">Z658*WTP-W658</f>
        <v>47572.58286256381</v>
      </c>
      <c r="CL658" s="109">
        <f t="shared" ref="CL658:CL721" si="271">AA658*WTP-X658</f>
        <v>48721.980174530006</v>
      </c>
      <c r="CN658" s="58">
        <f t="array" ref="CN658">SUM(IF(CK658:CL658&gt;=CK658, 1))</f>
        <v>2</v>
      </c>
      <c r="CO658" s="58">
        <f t="array" ref="CO658">SUM(IF(CK658:CL658&gt;=CL658, 1))</f>
        <v>1</v>
      </c>
      <c r="CQ658" s="109" cm="1">
        <f t="array" ref="CQ658">AF658*WTP-AC658</f>
        <v>38955.254008985001</v>
      </c>
      <c r="CR658" s="109">
        <f t="shared" ref="CR658:CR721" si="272">AG658*WTP-AD658</f>
        <v>42306.089786305711</v>
      </c>
      <c r="CT658" s="58">
        <f t="array" ref="CT658">SUM(IF(CQ658:CR658&gt;=CQ658, 1))</f>
        <v>2</v>
      </c>
      <c r="CU658" s="58">
        <f t="array" ref="CU658">SUM(IF(CQ658:CR658&gt;=CR658, 1))</f>
        <v>1</v>
      </c>
      <c r="CW658" s="109">
        <f t="shared" ref="CW658:CW721" si="273">AL658*WTP-AI658</f>
        <v>-40305186.819230914</v>
      </c>
      <c r="CX658" s="109">
        <f t="shared" ref="CX658:CX721" si="274">AM658*WTP-AJ658</f>
        <v>0</v>
      </c>
      <c r="CZ658" s="58">
        <f t="array" ref="CZ658">SUM(IF(CW658:CX658&gt;=CW658, 1))</f>
        <v>2</v>
      </c>
      <c r="DA658" s="58">
        <f t="array" ref="DA658">SUM(IF(CW658:CX658&gt;=CX658, 1))</f>
        <v>1</v>
      </c>
      <c r="DC658" s="109">
        <f t="shared" ref="DC658:DC721" si="275">AR658*WTP-AO658</f>
        <v>-2353670.6212413688</v>
      </c>
      <c r="DD658" s="109">
        <f t="shared" ref="DD658:DD721" si="276">AS658*WTP-AP658</f>
        <v>0</v>
      </c>
      <c r="DF658" s="58">
        <f t="array" ref="DF658">SUM(IF(DC658:DD658&gt;=DC658, 1))</f>
        <v>2</v>
      </c>
      <c r="DG658" s="58">
        <f t="array" ref="DG658">SUM(IF(DC658:DD658&gt;=DD658, 1))</f>
        <v>1</v>
      </c>
      <c r="DI658" s="109">
        <f t="shared" ref="DI658:DI721" si="277">AX658*WTP-AU658</f>
        <v>-64636808.941630319</v>
      </c>
      <c r="DJ658" s="109">
        <f t="shared" ref="DJ658:DJ721" si="278">AY658*WTP-AV658</f>
        <v>0</v>
      </c>
      <c r="DL658" s="58">
        <f t="array" ref="DL658">SUM(IF(DI658:DJ658&gt;=DI658, 1))</f>
        <v>2</v>
      </c>
      <c r="DM658" s="58">
        <f t="array" ref="DM658">SUM(IF(DI658:DJ658&gt;=DJ658, 1))</f>
        <v>1</v>
      </c>
      <c r="DO658" s="109">
        <f t="shared" ref="DO658:DO721" si="279">BD658*WTP-BA658</f>
        <v>-9965522.0034122076</v>
      </c>
      <c r="DP658" s="109">
        <f t="shared" ref="DP658:DP721" si="280">BE658*WTP-BB658</f>
        <v>0</v>
      </c>
      <c r="DR658" s="58">
        <f t="array" ref="DR658">SUM(IF(DO658:DP658&gt;=DO658, 1))</f>
        <v>2</v>
      </c>
      <c r="DS658" s="58">
        <f t="array" ref="DS658">SUM(IF(DO658:DP658&gt;=DP658, 1))</f>
        <v>1</v>
      </c>
      <c r="DU658" s="109">
        <f t="shared" ref="DU658:DU721" si="281">BJ658*WTP-BG658</f>
        <v>-52610923.877279744</v>
      </c>
      <c r="DV658" s="109">
        <f t="shared" ref="DV658:DV721" si="282">BK658*WTP-BH658</f>
        <v>0</v>
      </c>
      <c r="DX658" s="58">
        <f t="array" ref="DX658">SUM(IF(DU658:DV658&gt;=DU658, 1))</f>
        <v>2</v>
      </c>
      <c r="DY658" s="58">
        <f t="array" ref="DY658">SUM(IF(DU658:DV658&gt;=DV658, 1))</f>
        <v>1</v>
      </c>
      <c r="EA658" s="109">
        <f t="shared" ref="EA658:EA721" si="283">BP658*WTP-BM658</f>
        <v>-169872112.26279455</v>
      </c>
      <c r="EB658" s="109">
        <f t="shared" ref="EB658:EB721" si="284">BQ658*WTP-BN658</f>
        <v>0</v>
      </c>
      <c r="ED658" s="58">
        <f t="array" ref="ED658">SUM(IF(EA658:EB658&gt;=EA658, 1))</f>
        <v>2</v>
      </c>
      <c r="EE658" s="58">
        <f t="array" ref="EE658">SUM(IF(EA658:EB658&gt;=EB658, 1))</f>
        <v>1</v>
      </c>
    </row>
    <row r="659" spans="4:135" ht="12" customHeight="1" x14ac:dyDescent="0.25">
      <c r="D659" s="11">
        <v>643</v>
      </c>
      <c r="E659" s="72">
        <v>224.11141788778949</v>
      </c>
      <c r="F659" s="72">
        <v>189.84576707040338</v>
      </c>
      <c r="G659" s="73"/>
      <c r="H659" s="74">
        <v>5.7588555601893772</v>
      </c>
      <c r="I659" s="74">
        <v>5.7732289583447329</v>
      </c>
      <c r="J659" s="73"/>
      <c r="K659" s="72">
        <v>239.67477852817814</v>
      </c>
      <c r="L659" s="72">
        <v>204.59828187404676</v>
      </c>
      <c r="M659" s="73"/>
      <c r="N659" s="74">
        <v>6.6844302449939965</v>
      </c>
      <c r="O659" s="74">
        <v>6.6965110224698261</v>
      </c>
      <c r="P659" s="73"/>
      <c r="Q659" s="72">
        <v>2400.3978097935164</v>
      </c>
      <c r="R659" s="72">
        <v>1500.8942633850113</v>
      </c>
      <c r="S659" s="73"/>
      <c r="T659" s="74">
        <v>4.6979634507664221</v>
      </c>
      <c r="U659" s="74">
        <v>4.7638304106531502</v>
      </c>
      <c r="V659" s="73"/>
      <c r="W659" s="72">
        <v>14072.290473232155</v>
      </c>
      <c r="X659" s="72">
        <v>14097.603265061076</v>
      </c>
      <c r="Y659" s="73"/>
      <c r="Z659" s="74">
        <v>2.9254077251143995</v>
      </c>
      <c r="AA659" s="74">
        <v>2.9754958668000628</v>
      </c>
      <c r="AB659" s="73"/>
      <c r="AC659" s="72">
        <v>51415.884157525259</v>
      </c>
      <c r="AD659" s="72">
        <v>51124.500538576081</v>
      </c>
      <c r="AE659" s="73"/>
      <c r="AF659" s="74">
        <v>4.611243778693721</v>
      </c>
      <c r="AG659" s="74">
        <v>4.6819524116926532</v>
      </c>
      <c r="AH659" s="73"/>
      <c r="AI659" s="72">
        <v>3694425.2841941179</v>
      </c>
      <c r="AJ659" s="72">
        <v>0</v>
      </c>
      <c r="AK659" s="73"/>
      <c r="AL659" s="74">
        <v>-1549.6990221470478</v>
      </c>
      <c r="AM659" s="74">
        <v>0</v>
      </c>
      <c r="AN659" s="73"/>
      <c r="AO659" s="72">
        <v>237409.87263945551</v>
      </c>
      <c r="AP659" s="72">
        <v>0</v>
      </c>
      <c r="AQ659" s="73"/>
      <c r="AR659" s="74">
        <v>-81.766884253091305</v>
      </c>
      <c r="AS659" s="74">
        <v>0</v>
      </c>
      <c r="AT659" s="73"/>
      <c r="AU659" s="72">
        <v>20682946.96471725</v>
      </c>
      <c r="AV659" s="72">
        <v>0</v>
      </c>
      <c r="AW659" s="73"/>
      <c r="AX659" s="74">
        <v>-1514.5274785227618</v>
      </c>
      <c r="AY659" s="74">
        <v>0</v>
      </c>
      <c r="AZ659" s="73"/>
      <c r="BA659" s="72">
        <v>-216755.15631263502</v>
      </c>
      <c r="BB659" s="72">
        <v>0</v>
      </c>
      <c r="BC659" s="73"/>
      <c r="BD659" s="74">
        <v>-428.90816050092502</v>
      </c>
      <c r="BE659" s="74">
        <v>0</v>
      </c>
      <c r="BF659" s="73"/>
      <c r="BG659" s="72">
        <v>4591683.3664468843</v>
      </c>
      <c r="BH659" s="72">
        <v>0</v>
      </c>
      <c r="BI659" s="73"/>
      <c r="BJ659" s="74">
        <v>-1114.2412712707178</v>
      </c>
      <c r="BK659" s="74">
        <v>0</v>
      </c>
      <c r="BL659" s="73"/>
      <c r="BM659" s="72">
        <v>28989710.331685074</v>
      </c>
      <c r="BN659" s="72">
        <v>0</v>
      </c>
      <c r="BO659" s="73"/>
      <c r="BP659" s="74">
        <v>-4689.1428166945443</v>
      </c>
      <c r="BQ659" s="74">
        <v>0</v>
      </c>
      <c r="BS659" s="109">
        <f t="shared" si="264"/>
        <v>114952.99978589975</v>
      </c>
      <c r="BT659" s="109">
        <f t="shared" si="265"/>
        <v>115274.73339982425</v>
      </c>
      <c r="BV659" s="58">
        <f t="array" ref="BV659">SUM(IF(BS659:BT659&gt;=BS659, 1))</f>
        <v>2</v>
      </c>
      <c r="BW659" s="58">
        <f t="array" ref="BW659">SUM(IF(BS659:BT659&gt;=BT659, 1))</f>
        <v>1</v>
      </c>
      <c r="BY659" s="109">
        <f t="shared" si="266"/>
        <v>133448.93012135173</v>
      </c>
      <c r="BZ659" s="109">
        <f t="shared" si="267"/>
        <v>133725.62216752247</v>
      </c>
      <c r="CB659" s="58">
        <f t="array" ref="CB659">SUM(IF(BY659:BZ659&gt;=BY659, 1))</f>
        <v>2</v>
      </c>
      <c r="CC659" s="58">
        <f t="array" ref="CC659">SUM(IF(BY659:BZ659&gt;=BZ659, 1))</f>
        <v>1</v>
      </c>
      <c r="CE659" s="109">
        <f t="shared" si="268"/>
        <v>91558.871205534917</v>
      </c>
      <c r="CF659" s="109">
        <f t="shared" si="269"/>
        <v>93775.713949678</v>
      </c>
      <c r="CH659" s="58">
        <f t="array" ref="CH659">SUM(IF(CE659:CF659&gt;=CE659, 1))</f>
        <v>2</v>
      </c>
      <c r="CI659" s="58">
        <f t="array" ref="CI659">SUM(IF(CE659:CF659&gt;=CF659, 1))</f>
        <v>1</v>
      </c>
      <c r="CK659" s="109">
        <f t="shared" si="270"/>
        <v>44435.864029055832</v>
      </c>
      <c r="CL659" s="109">
        <f t="shared" si="271"/>
        <v>45412.314070940178</v>
      </c>
      <c r="CN659" s="58">
        <f t="array" ref="CN659">SUM(IF(CK659:CL659&gt;=CK659, 1))</f>
        <v>2</v>
      </c>
      <c r="CO659" s="58">
        <f t="array" ref="CO659">SUM(IF(CK659:CL659&gt;=CL659, 1))</f>
        <v>1</v>
      </c>
      <c r="CQ659" s="109" cm="1">
        <f t="array" ref="CQ659">AF659*WTP-AC659</f>
        <v>40808.991416349163</v>
      </c>
      <c r="CR659" s="109">
        <f t="shared" si="272"/>
        <v>42514.54769527699</v>
      </c>
      <c r="CT659" s="58">
        <f t="array" ref="CT659">SUM(IF(CQ659:CR659&gt;=CQ659, 1))</f>
        <v>2</v>
      </c>
      <c r="CU659" s="58">
        <f t="array" ref="CU659">SUM(IF(CQ659:CR659&gt;=CR659, 1))</f>
        <v>1</v>
      </c>
      <c r="CW659" s="109">
        <f t="shared" si="273"/>
        <v>-34688405.727135077</v>
      </c>
      <c r="CX659" s="109">
        <f t="shared" si="274"/>
        <v>0</v>
      </c>
      <c r="CZ659" s="58">
        <f t="array" ref="CZ659">SUM(IF(CW659:CX659&gt;=CW659, 1))</f>
        <v>2</v>
      </c>
      <c r="DA659" s="58">
        <f t="array" ref="DA659">SUM(IF(CW659:CX659&gt;=CX659, 1))</f>
        <v>1</v>
      </c>
      <c r="DC659" s="109">
        <f t="shared" si="275"/>
        <v>-1872747.5577012817</v>
      </c>
      <c r="DD659" s="109">
        <f t="shared" si="276"/>
        <v>0</v>
      </c>
      <c r="DF659" s="58">
        <f t="array" ref="DF659">SUM(IF(DC659:DD659&gt;=DC659, 1))</f>
        <v>2</v>
      </c>
      <c r="DG659" s="58">
        <f t="array" ref="DG659">SUM(IF(DC659:DD659&gt;=DD659, 1))</f>
        <v>1</v>
      </c>
      <c r="DI659" s="109">
        <f t="shared" si="277"/>
        <v>-50973496.535172492</v>
      </c>
      <c r="DJ659" s="109">
        <f t="shared" si="278"/>
        <v>0</v>
      </c>
      <c r="DL659" s="58">
        <f t="array" ref="DL659">SUM(IF(DI659:DJ659&gt;=DI659, 1))</f>
        <v>2</v>
      </c>
      <c r="DM659" s="58">
        <f t="array" ref="DM659">SUM(IF(DI659:DJ659&gt;=DJ659, 1))</f>
        <v>1</v>
      </c>
      <c r="DO659" s="109">
        <f t="shared" si="279"/>
        <v>-8361408.0537058655</v>
      </c>
      <c r="DP659" s="109">
        <f t="shared" si="280"/>
        <v>0</v>
      </c>
      <c r="DR659" s="58">
        <f t="array" ref="DR659">SUM(IF(DO659:DP659&gt;=DO659, 1))</f>
        <v>2</v>
      </c>
      <c r="DS659" s="58">
        <f t="array" ref="DS659">SUM(IF(DO659:DP659&gt;=DP659, 1))</f>
        <v>1</v>
      </c>
      <c r="DU659" s="109">
        <f t="shared" si="281"/>
        <v>-26876508.791861244</v>
      </c>
      <c r="DV659" s="109">
        <f t="shared" si="282"/>
        <v>0</v>
      </c>
      <c r="DX659" s="58">
        <f t="array" ref="DX659">SUM(IF(DU659:DV659&gt;=DU659, 1))</f>
        <v>2</v>
      </c>
      <c r="DY659" s="58">
        <f t="array" ref="DY659">SUM(IF(DU659:DV659&gt;=DV659, 1))</f>
        <v>1</v>
      </c>
      <c r="EA659" s="109">
        <f t="shared" si="283"/>
        <v>-122772566.66557595</v>
      </c>
      <c r="EB659" s="109">
        <f t="shared" si="284"/>
        <v>0</v>
      </c>
      <c r="ED659" s="58">
        <f t="array" ref="ED659">SUM(IF(EA659:EB659&gt;=EA659, 1))</f>
        <v>2</v>
      </c>
      <c r="EE659" s="58">
        <f t="array" ref="EE659">SUM(IF(EA659:EB659&gt;=EB659, 1))</f>
        <v>1</v>
      </c>
    </row>
    <row r="660" spans="4:135" ht="12" customHeight="1" x14ac:dyDescent="0.25">
      <c r="D660" s="11">
        <v>644</v>
      </c>
      <c r="E660" s="72">
        <v>275.08772399007717</v>
      </c>
      <c r="F660" s="72">
        <v>263.79096096717251</v>
      </c>
      <c r="G660" s="73"/>
      <c r="H660" s="74">
        <v>5.7809646479090011</v>
      </c>
      <c r="I660" s="74">
        <v>5.7968757167074605</v>
      </c>
      <c r="J660" s="73"/>
      <c r="K660" s="72">
        <v>296.12492230424908</v>
      </c>
      <c r="L660" s="72">
        <v>284.54210377836733</v>
      </c>
      <c r="M660" s="73"/>
      <c r="N660" s="74">
        <v>6.6663032204012866</v>
      </c>
      <c r="O660" s="74">
        <v>6.6803746777558661</v>
      </c>
      <c r="P660" s="73"/>
      <c r="Q660" s="72">
        <v>2913.0799657456378</v>
      </c>
      <c r="R660" s="72">
        <v>1557.6058337795903</v>
      </c>
      <c r="S660" s="73"/>
      <c r="T660" s="74">
        <v>4.6754925010114308</v>
      </c>
      <c r="U660" s="74">
        <v>4.7988920121594418</v>
      </c>
      <c r="V660" s="73"/>
      <c r="W660" s="72">
        <v>10112.962574370438</v>
      </c>
      <c r="X660" s="72">
        <v>10146.397243324467</v>
      </c>
      <c r="Y660" s="73"/>
      <c r="Z660" s="74">
        <v>3.0891204854468444</v>
      </c>
      <c r="AA660" s="74">
        <v>3.1554044865532913</v>
      </c>
      <c r="AB660" s="73"/>
      <c r="AC660" s="72">
        <v>50712.163397023935</v>
      </c>
      <c r="AD660" s="72">
        <v>50567.260792686604</v>
      </c>
      <c r="AE660" s="73"/>
      <c r="AF660" s="74">
        <v>4.475173673949393</v>
      </c>
      <c r="AG660" s="74">
        <v>4.5834982621939897</v>
      </c>
      <c r="AH660" s="73"/>
      <c r="AI660" s="72">
        <v>1212339.0129581357</v>
      </c>
      <c r="AJ660" s="72">
        <v>0</v>
      </c>
      <c r="AK660" s="73"/>
      <c r="AL660" s="74">
        <v>-1707.534220477384</v>
      </c>
      <c r="AM660" s="74">
        <v>0</v>
      </c>
      <c r="AN660" s="73"/>
      <c r="AO660" s="72">
        <v>77777.20972222308</v>
      </c>
      <c r="AP660" s="72">
        <v>0</v>
      </c>
      <c r="AQ660" s="73"/>
      <c r="AR660" s="74">
        <v>-94.48811507483515</v>
      </c>
      <c r="AS660" s="74">
        <v>0</v>
      </c>
      <c r="AT660" s="73"/>
      <c r="AU660" s="72">
        <v>30792323.582848649</v>
      </c>
      <c r="AV660" s="72">
        <v>0</v>
      </c>
      <c r="AW660" s="73"/>
      <c r="AX660" s="74">
        <v>-2803.268308575935</v>
      </c>
      <c r="AY660" s="74">
        <v>0</v>
      </c>
      <c r="AZ660" s="73"/>
      <c r="BA660" s="72">
        <v>-301219.47644021624</v>
      </c>
      <c r="BB660" s="72">
        <v>0</v>
      </c>
      <c r="BC660" s="73"/>
      <c r="BD660" s="74">
        <v>-597.16553907260231</v>
      </c>
      <c r="BE660" s="74">
        <v>0</v>
      </c>
      <c r="BF660" s="73"/>
      <c r="BG660" s="72">
        <v>2333809.0062426687</v>
      </c>
      <c r="BH660" s="72">
        <v>0</v>
      </c>
      <c r="BI660" s="73"/>
      <c r="BJ660" s="74">
        <v>-1744.681545227676</v>
      </c>
      <c r="BK660" s="74">
        <v>0</v>
      </c>
      <c r="BL660" s="73"/>
      <c r="BM660" s="72">
        <v>34115029.335331462</v>
      </c>
      <c r="BN660" s="72">
        <v>0</v>
      </c>
      <c r="BO660" s="73"/>
      <c r="BP660" s="74">
        <v>-6947.1377284284326</v>
      </c>
      <c r="BQ660" s="74">
        <v>0</v>
      </c>
      <c r="BS660" s="109">
        <f t="shared" si="264"/>
        <v>115344.20523418995</v>
      </c>
      <c r="BT660" s="109">
        <f t="shared" si="265"/>
        <v>115673.72337318203</v>
      </c>
      <c r="BV660" s="58">
        <f t="array" ref="BV660">SUM(IF(BS660:BT660&gt;=BS660, 1))</f>
        <v>2</v>
      </c>
      <c r="BW660" s="58">
        <f t="array" ref="BW660">SUM(IF(BS660:BT660&gt;=BT660, 1))</f>
        <v>1</v>
      </c>
      <c r="BY660" s="109">
        <f t="shared" si="266"/>
        <v>133029.93948572149</v>
      </c>
      <c r="BZ660" s="109">
        <f t="shared" si="267"/>
        <v>133322.95145133894</v>
      </c>
      <c r="CB660" s="58">
        <f t="array" ref="CB660">SUM(IF(BY660:BZ660&gt;=BY660, 1))</f>
        <v>2</v>
      </c>
      <c r="CC660" s="58">
        <f t="array" ref="CC660">SUM(IF(BY660:BZ660&gt;=BZ660, 1))</f>
        <v>1</v>
      </c>
      <c r="CE660" s="109">
        <f t="shared" si="268"/>
        <v>90596.770054482971</v>
      </c>
      <c r="CF660" s="109">
        <f t="shared" si="269"/>
        <v>94420.234409409255</v>
      </c>
      <c r="CH660" s="58">
        <f t="array" ref="CH660">SUM(IF(CE660:CF660&gt;=CE660, 1))</f>
        <v>2</v>
      </c>
      <c r="CI660" s="58">
        <f t="array" ref="CI660">SUM(IF(CE660:CF660&gt;=CF660, 1))</f>
        <v>1</v>
      </c>
      <c r="CK660" s="109">
        <f t="shared" si="270"/>
        <v>51669.44713456645</v>
      </c>
      <c r="CL660" s="109">
        <f t="shared" si="271"/>
        <v>52961.692487741355</v>
      </c>
      <c r="CN660" s="58">
        <f t="array" ref="CN660">SUM(IF(CK660:CL660&gt;=CK660, 1))</f>
        <v>2</v>
      </c>
      <c r="CO660" s="58">
        <f t="array" ref="CO660">SUM(IF(CK660:CL660&gt;=CL660, 1))</f>
        <v>1</v>
      </c>
      <c r="CQ660" s="109" cm="1">
        <f t="array" ref="CQ660">AF660*WTP-AC660</f>
        <v>38791.310081963922</v>
      </c>
      <c r="CR660" s="109">
        <f t="shared" si="272"/>
        <v>41102.704451193189</v>
      </c>
      <c r="CT660" s="58">
        <f t="array" ref="CT660">SUM(IF(CQ660:CR660&gt;=CQ660, 1))</f>
        <v>2</v>
      </c>
      <c r="CU660" s="58">
        <f t="array" ref="CU660">SUM(IF(CQ660:CR660&gt;=CR660, 1))</f>
        <v>1</v>
      </c>
      <c r="CW660" s="109">
        <f t="shared" si="273"/>
        <v>-35363023.422505818</v>
      </c>
      <c r="CX660" s="109">
        <f t="shared" si="274"/>
        <v>0</v>
      </c>
      <c r="CZ660" s="58">
        <f t="array" ref="CZ660">SUM(IF(CW660:CX660&gt;=CW660, 1))</f>
        <v>2</v>
      </c>
      <c r="DA660" s="58">
        <f t="array" ref="DA660">SUM(IF(CW660:CX660&gt;=CX660, 1))</f>
        <v>1</v>
      </c>
      <c r="DC660" s="109">
        <f t="shared" si="275"/>
        <v>-1967539.5112189259</v>
      </c>
      <c r="DD660" s="109">
        <f t="shared" si="276"/>
        <v>0</v>
      </c>
      <c r="DF660" s="58">
        <f t="array" ref="DF660">SUM(IF(DC660:DD660&gt;=DC660, 1))</f>
        <v>2</v>
      </c>
      <c r="DG660" s="58">
        <f t="array" ref="DG660">SUM(IF(DC660:DD660&gt;=DD660, 1))</f>
        <v>1</v>
      </c>
      <c r="DI660" s="109">
        <f t="shared" si="277"/>
        <v>-86857689.754367352</v>
      </c>
      <c r="DJ660" s="109">
        <f t="shared" si="278"/>
        <v>0</v>
      </c>
      <c r="DL660" s="58">
        <f t="array" ref="DL660">SUM(IF(DI660:DJ660&gt;=DI660, 1))</f>
        <v>2</v>
      </c>
      <c r="DM660" s="58">
        <f t="array" ref="DM660">SUM(IF(DI660:DJ660&gt;=DJ660, 1))</f>
        <v>1</v>
      </c>
      <c r="DO660" s="109">
        <f t="shared" si="279"/>
        <v>-11642091.305011831</v>
      </c>
      <c r="DP660" s="109">
        <f t="shared" si="280"/>
        <v>0</v>
      </c>
      <c r="DR660" s="58">
        <f t="array" ref="DR660">SUM(IF(DO660:DP660&gt;=DO660, 1))</f>
        <v>2</v>
      </c>
      <c r="DS660" s="58">
        <f t="array" ref="DS660">SUM(IF(DO660:DP660&gt;=DP660, 1))</f>
        <v>1</v>
      </c>
      <c r="DU660" s="109">
        <f t="shared" si="281"/>
        <v>-37227439.910796188</v>
      </c>
      <c r="DV660" s="109">
        <f t="shared" si="282"/>
        <v>0</v>
      </c>
      <c r="DX660" s="58">
        <f t="array" ref="DX660">SUM(IF(DU660:DV660&gt;=DU660, 1))</f>
        <v>2</v>
      </c>
      <c r="DY660" s="58">
        <f t="array" ref="DY660">SUM(IF(DU660:DV660&gt;=DV660, 1))</f>
        <v>1</v>
      </c>
      <c r="EA660" s="109">
        <f t="shared" si="283"/>
        <v>-173057783.90390012</v>
      </c>
      <c r="EB660" s="109">
        <f t="shared" si="284"/>
        <v>0</v>
      </c>
      <c r="ED660" s="58">
        <f t="array" ref="ED660">SUM(IF(EA660:EB660&gt;=EA660, 1))</f>
        <v>2</v>
      </c>
      <c r="EE660" s="58">
        <f t="array" ref="EE660">SUM(IF(EA660:EB660&gt;=EB660, 1))</f>
        <v>1</v>
      </c>
    </row>
    <row r="661" spans="4:135" ht="12" customHeight="1" x14ac:dyDescent="0.25">
      <c r="D661" s="11">
        <v>645</v>
      </c>
      <c r="E661" s="72">
        <v>302.48002205196065</v>
      </c>
      <c r="F661" s="72">
        <v>277.35122318564692</v>
      </c>
      <c r="G661" s="73"/>
      <c r="H661" s="74">
        <v>5.8607776183280036</v>
      </c>
      <c r="I661" s="74">
        <v>5.8759945553373303</v>
      </c>
      <c r="J661" s="73"/>
      <c r="K661" s="72">
        <v>324.77567812525893</v>
      </c>
      <c r="L661" s="72">
        <v>299.0245156360703</v>
      </c>
      <c r="M661" s="73"/>
      <c r="N661" s="74">
        <v>6.6572731767250826</v>
      </c>
      <c r="O661" s="74">
        <v>6.6706014589802818</v>
      </c>
      <c r="P661" s="73"/>
      <c r="Q661" s="72">
        <v>3356.3921195715575</v>
      </c>
      <c r="R661" s="72">
        <v>1371.1494028609422</v>
      </c>
      <c r="S661" s="73"/>
      <c r="T661" s="74">
        <v>4.8624786123721444</v>
      </c>
      <c r="U661" s="74">
        <v>5.0305176257408402</v>
      </c>
      <c r="V661" s="73"/>
      <c r="W661" s="72">
        <v>13567.830499578513</v>
      </c>
      <c r="X661" s="72">
        <v>13532.95689967923</v>
      </c>
      <c r="Y661" s="73"/>
      <c r="Z661" s="74">
        <v>3.1890955144338697</v>
      </c>
      <c r="AA661" s="74">
        <v>3.2389575351148059</v>
      </c>
      <c r="AB661" s="73"/>
      <c r="AC661" s="72">
        <v>50020.718814463384</v>
      </c>
      <c r="AD661" s="72">
        <v>49770.73012890276</v>
      </c>
      <c r="AE661" s="73"/>
      <c r="AF661" s="74">
        <v>4.8278234314107253</v>
      </c>
      <c r="AG661" s="74">
        <v>4.9674992829068234</v>
      </c>
      <c r="AH661" s="73"/>
      <c r="AI661" s="72">
        <v>2714805.3996633347</v>
      </c>
      <c r="AJ661" s="72">
        <v>0</v>
      </c>
      <c r="AK661" s="73"/>
      <c r="AL661" s="74">
        <v>-1643.9712450656048</v>
      </c>
      <c r="AM661" s="74">
        <v>0</v>
      </c>
      <c r="AN661" s="73"/>
      <c r="AO661" s="72">
        <v>182379.74997076255</v>
      </c>
      <c r="AP661" s="72">
        <v>0</v>
      </c>
      <c r="AQ661" s="73"/>
      <c r="AR661" s="74">
        <v>-94.396079643532047</v>
      </c>
      <c r="AS661" s="74">
        <v>0</v>
      </c>
      <c r="AT661" s="73"/>
      <c r="AU661" s="72">
        <v>45591167.113316625</v>
      </c>
      <c r="AV661" s="72">
        <v>0</v>
      </c>
      <c r="AW661" s="73"/>
      <c r="AX661" s="74">
        <v>-3859.0217083092298</v>
      </c>
      <c r="AY661" s="74">
        <v>0</v>
      </c>
      <c r="AZ661" s="73"/>
      <c r="BA661" s="72">
        <v>309645.14118449995</v>
      </c>
      <c r="BB661" s="72">
        <v>0</v>
      </c>
      <c r="BC661" s="73"/>
      <c r="BD661" s="74">
        <v>-442.72838129940823</v>
      </c>
      <c r="BE661" s="74">
        <v>0</v>
      </c>
      <c r="BF661" s="73"/>
      <c r="BG661" s="72">
        <v>3924543.5616568127</v>
      </c>
      <c r="BH661" s="72">
        <v>0</v>
      </c>
      <c r="BI661" s="73"/>
      <c r="BJ661" s="74">
        <v>-2192.7550940100923</v>
      </c>
      <c r="BK661" s="74">
        <v>0</v>
      </c>
      <c r="BL661" s="73"/>
      <c r="BM661" s="72">
        <v>52722540.965792038</v>
      </c>
      <c r="BN661" s="72">
        <v>0</v>
      </c>
      <c r="BO661" s="73"/>
      <c r="BP661" s="74">
        <v>-8232.8725083278678</v>
      </c>
      <c r="BQ661" s="74">
        <v>0</v>
      </c>
      <c r="BS661" s="109">
        <f t="shared" si="264"/>
        <v>116913.07234450812</v>
      </c>
      <c r="BT661" s="109">
        <f t="shared" si="265"/>
        <v>117242.53988356097</v>
      </c>
      <c r="BV661" s="58">
        <f t="array" ref="BV661">SUM(IF(BS661:BT661&gt;=BS661, 1))</f>
        <v>2</v>
      </c>
      <c r="BW661" s="58">
        <f t="array" ref="BW661">SUM(IF(BS661:BT661&gt;=BT661, 1))</f>
        <v>1</v>
      </c>
      <c r="BY661" s="109">
        <f t="shared" si="266"/>
        <v>132820.68785637637</v>
      </c>
      <c r="BZ661" s="109">
        <f t="shared" si="267"/>
        <v>133113.00466396956</v>
      </c>
      <c r="CB661" s="58">
        <f t="array" ref="CB661">SUM(IF(BY661:BZ661&gt;=BY661, 1))</f>
        <v>2</v>
      </c>
      <c r="CC661" s="58">
        <f t="array" ref="CC661">SUM(IF(BY661:BZ661&gt;=BZ661, 1))</f>
        <v>1</v>
      </c>
      <c r="CE661" s="109">
        <f t="shared" si="268"/>
        <v>93893.180127871339</v>
      </c>
      <c r="CF661" s="109">
        <f t="shared" si="269"/>
        <v>99239.203111955852</v>
      </c>
      <c r="CH661" s="58">
        <f t="array" ref="CH661">SUM(IF(CE661:CF661&gt;=CE661, 1))</f>
        <v>2</v>
      </c>
      <c r="CI661" s="58">
        <f t="array" ref="CI661">SUM(IF(CE661:CF661&gt;=CF661, 1))</f>
        <v>1</v>
      </c>
      <c r="CK661" s="109">
        <f t="shared" si="270"/>
        <v>50214.079789098883</v>
      </c>
      <c r="CL661" s="109">
        <f t="shared" si="271"/>
        <v>51246.193802616886</v>
      </c>
      <c r="CN661" s="58">
        <f t="array" ref="CN661">SUM(IF(CK661:CL661&gt;=CK661, 1))</f>
        <v>2</v>
      </c>
      <c r="CO661" s="58">
        <f t="array" ref="CO661">SUM(IF(CK661:CL661&gt;=CL661, 1))</f>
        <v>1</v>
      </c>
      <c r="CQ661" s="109" cm="1">
        <f t="array" ref="CQ661">AF661*WTP-AC661</f>
        <v>46535.749813751128</v>
      </c>
      <c r="CR661" s="109">
        <f t="shared" si="272"/>
        <v>49579.255529233713</v>
      </c>
      <c r="CT661" s="58">
        <f t="array" ref="CT661">SUM(IF(CQ661:CR661&gt;=CQ661, 1))</f>
        <v>2</v>
      </c>
      <c r="CU661" s="58">
        <f t="array" ref="CU661">SUM(IF(CQ661:CR661&gt;=CR661, 1))</f>
        <v>1</v>
      </c>
      <c r="CW661" s="109">
        <f t="shared" si="273"/>
        <v>-35594230.300975427</v>
      </c>
      <c r="CX661" s="109">
        <f t="shared" si="274"/>
        <v>0</v>
      </c>
      <c r="CZ661" s="58">
        <f t="array" ref="CZ661">SUM(IF(CW661:CX661&gt;=CW661, 1))</f>
        <v>2</v>
      </c>
      <c r="DA661" s="58">
        <f t="array" ref="DA661">SUM(IF(CW661:CX661&gt;=CX661, 1))</f>
        <v>1</v>
      </c>
      <c r="DC661" s="109">
        <f t="shared" si="275"/>
        <v>-2070301.3428414036</v>
      </c>
      <c r="DD661" s="109">
        <f t="shared" si="276"/>
        <v>0</v>
      </c>
      <c r="DF661" s="58">
        <f t="array" ref="DF661">SUM(IF(DC661:DD661&gt;=DC661, 1))</f>
        <v>2</v>
      </c>
      <c r="DG661" s="58">
        <f t="array" ref="DG661">SUM(IF(DC661:DD661&gt;=DD661, 1))</f>
        <v>1</v>
      </c>
      <c r="DI661" s="109">
        <f t="shared" si="277"/>
        <v>-122771601.27950121</v>
      </c>
      <c r="DJ661" s="109">
        <f t="shared" si="278"/>
        <v>0</v>
      </c>
      <c r="DL661" s="58">
        <f t="array" ref="DL661">SUM(IF(DI661:DJ661&gt;=DI661, 1))</f>
        <v>2</v>
      </c>
      <c r="DM661" s="58">
        <f t="array" ref="DM661">SUM(IF(DI661:DJ661&gt;=DJ661, 1))</f>
        <v>1</v>
      </c>
      <c r="DO661" s="109">
        <f t="shared" si="279"/>
        <v>-9164212.7671726644</v>
      </c>
      <c r="DP661" s="109">
        <f t="shared" si="280"/>
        <v>0</v>
      </c>
      <c r="DR661" s="58">
        <f t="array" ref="DR661">SUM(IF(DO661:DP661&gt;=DO661, 1))</f>
        <v>2</v>
      </c>
      <c r="DS661" s="58">
        <f t="array" ref="DS661">SUM(IF(DO661:DP661&gt;=DP661, 1))</f>
        <v>1</v>
      </c>
      <c r="DU661" s="109">
        <f t="shared" si="281"/>
        <v>-47779645.441858657</v>
      </c>
      <c r="DV661" s="109">
        <f t="shared" si="282"/>
        <v>0</v>
      </c>
      <c r="DX661" s="58">
        <f t="array" ref="DX661">SUM(IF(DU661:DV661&gt;=DU661, 1))</f>
        <v>2</v>
      </c>
      <c r="DY661" s="58">
        <f t="array" ref="DY661">SUM(IF(DU661:DV661&gt;=DV661, 1))</f>
        <v>1</v>
      </c>
      <c r="EA661" s="109">
        <f t="shared" si="283"/>
        <v>-217379991.13234937</v>
      </c>
      <c r="EB661" s="109">
        <f t="shared" si="284"/>
        <v>0</v>
      </c>
      <c r="ED661" s="58">
        <f t="array" ref="ED661">SUM(IF(EA661:EB661&gt;=EA661, 1))</f>
        <v>2</v>
      </c>
      <c r="EE661" s="58">
        <f t="array" ref="EE661">SUM(IF(EA661:EB661&gt;=EB661, 1))</f>
        <v>1</v>
      </c>
    </row>
    <row r="662" spans="4:135" ht="12" customHeight="1" x14ac:dyDescent="0.25">
      <c r="D662" s="11">
        <v>646</v>
      </c>
      <c r="E662" s="72">
        <v>236.24735217681734</v>
      </c>
      <c r="F662" s="72">
        <v>197.00843944534174</v>
      </c>
      <c r="G662" s="73"/>
      <c r="H662" s="74">
        <v>5.8279981351853234</v>
      </c>
      <c r="I662" s="74">
        <v>5.8437963960728752</v>
      </c>
      <c r="J662" s="73"/>
      <c r="K662" s="72">
        <v>252.51858515446213</v>
      </c>
      <c r="L662" s="72">
        <v>212.42355687435577</v>
      </c>
      <c r="M662" s="73"/>
      <c r="N662" s="74">
        <v>6.6903452521853559</v>
      </c>
      <c r="O662" s="74">
        <v>6.7039325079678136</v>
      </c>
      <c r="P662" s="73"/>
      <c r="Q662" s="72">
        <v>2436.3846195905576</v>
      </c>
      <c r="R662" s="72">
        <v>1381.0246857422305</v>
      </c>
      <c r="S662" s="73"/>
      <c r="T662" s="74">
        <v>4.886957706476827</v>
      </c>
      <c r="U662" s="74">
        <v>4.9812370890895608</v>
      </c>
      <c r="V662" s="73"/>
      <c r="W662" s="72">
        <v>18445.406850127543</v>
      </c>
      <c r="X662" s="72">
        <v>18439.722141034261</v>
      </c>
      <c r="Y662" s="73"/>
      <c r="Z662" s="74">
        <v>3.0931656727144969</v>
      </c>
      <c r="AA662" s="74">
        <v>3.1465088375968646</v>
      </c>
      <c r="AB662" s="73"/>
      <c r="AC662" s="72">
        <v>50327.513396775641</v>
      </c>
      <c r="AD662" s="72">
        <v>50144.756699672726</v>
      </c>
      <c r="AE662" s="73"/>
      <c r="AF662" s="74">
        <v>4.7843364695373989</v>
      </c>
      <c r="AG662" s="74">
        <v>4.9271841003041486</v>
      </c>
      <c r="AH662" s="73"/>
      <c r="AI662" s="72">
        <v>4205500.1352061247</v>
      </c>
      <c r="AJ662" s="72">
        <v>0</v>
      </c>
      <c r="AK662" s="73"/>
      <c r="AL662" s="74">
        <v>-1693.206658229494</v>
      </c>
      <c r="AM662" s="74">
        <v>0</v>
      </c>
      <c r="AN662" s="73"/>
      <c r="AO662" s="72">
        <v>266518.28584120004</v>
      </c>
      <c r="AP662" s="72">
        <v>0</v>
      </c>
      <c r="AQ662" s="73"/>
      <c r="AR662" s="74">
        <v>-90.316736906338107</v>
      </c>
      <c r="AS662" s="74">
        <v>0</v>
      </c>
      <c r="AT662" s="73"/>
      <c r="AU662" s="72">
        <v>24061359.306417324</v>
      </c>
      <c r="AV662" s="72">
        <v>0</v>
      </c>
      <c r="AW662" s="73"/>
      <c r="AX662" s="74">
        <v>-2149.4942412303103</v>
      </c>
      <c r="AY662" s="74">
        <v>0</v>
      </c>
      <c r="AZ662" s="73"/>
      <c r="BA662" s="72">
        <v>51800.429883030542</v>
      </c>
      <c r="BB662" s="72">
        <v>0</v>
      </c>
      <c r="BC662" s="73"/>
      <c r="BD662" s="74">
        <v>-486.07568600005737</v>
      </c>
      <c r="BE662" s="74">
        <v>0</v>
      </c>
      <c r="BF662" s="73"/>
      <c r="BG662" s="72">
        <v>2940305.2198056532</v>
      </c>
      <c r="BH662" s="72">
        <v>0</v>
      </c>
      <c r="BI662" s="73"/>
      <c r="BJ662" s="74">
        <v>-2298.2229436102248</v>
      </c>
      <c r="BK662" s="74">
        <v>0</v>
      </c>
      <c r="BL662" s="73"/>
      <c r="BM662" s="72">
        <v>31525483.37715333</v>
      </c>
      <c r="BN662" s="72">
        <v>0</v>
      </c>
      <c r="BO662" s="73"/>
      <c r="BP662" s="74">
        <v>-6717.3162659764239</v>
      </c>
      <c r="BQ662" s="74">
        <v>0</v>
      </c>
      <c r="BS662" s="109">
        <f t="shared" si="264"/>
        <v>116323.71535152965</v>
      </c>
      <c r="BT662" s="109">
        <f t="shared" si="265"/>
        <v>116678.91948201216</v>
      </c>
      <c r="BV662" s="58">
        <f t="array" ref="BV662">SUM(IF(BS662:BT662&gt;=BS662, 1))</f>
        <v>2</v>
      </c>
      <c r="BW662" s="58">
        <f t="array" ref="BW662">SUM(IF(BS662:BT662&gt;=BT662, 1))</f>
        <v>1</v>
      </c>
      <c r="BY662" s="109">
        <f t="shared" si="266"/>
        <v>133554.38645855265</v>
      </c>
      <c r="BZ662" s="109">
        <f t="shared" si="267"/>
        <v>133866.22660248191</v>
      </c>
      <c r="CB662" s="58">
        <f t="array" ref="CB662">SUM(IF(BY662:BZ662&gt;=BY662, 1))</f>
        <v>2</v>
      </c>
      <c r="CC662" s="58">
        <f t="array" ref="CC662">SUM(IF(BY662:BZ662&gt;=BZ662, 1))</f>
        <v>1</v>
      </c>
      <c r="CE662" s="109">
        <f t="shared" si="268"/>
        <v>95302.769509945982</v>
      </c>
      <c r="CF662" s="109">
        <f t="shared" si="269"/>
        <v>98243.717096048989</v>
      </c>
      <c r="CH662" s="58">
        <f t="array" ref="CH662">SUM(IF(CE662:CF662&gt;=CE662, 1))</f>
        <v>2</v>
      </c>
      <c r="CI662" s="58">
        <f t="array" ref="CI662">SUM(IF(CE662:CF662&gt;=CF662, 1))</f>
        <v>1</v>
      </c>
      <c r="CK662" s="109">
        <f t="shared" si="270"/>
        <v>43417.906604162388</v>
      </c>
      <c r="CL662" s="109">
        <f t="shared" si="271"/>
        <v>44490.454610903034</v>
      </c>
      <c r="CN662" s="58">
        <f t="array" ref="CN662">SUM(IF(CK662:CL662&gt;=CK662, 1))</f>
        <v>2</v>
      </c>
      <c r="CO662" s="58">
        <f t="array" ref="CO662">SUM(IF(CK662:CL662&gt;=CL662, 1))</f>
        <v>1</v>
      </c>
      <c r="CQ662" s="109" cm="1">
        <f t="array" ref="CQ662">AF662*WTP-AC662</f>
        <v>45359.215993972335</v>
      </c>
      <c r="CR662" s="109">
        <f t="shared" si="272"/>
        <v>48398.925306410252</v>
      </c>
      <c r="CT662" s="58">
        <f t="array" ref="CT662">SUM(IF(CQ662:CR662&gt;=CQ662, 1))</f>
        <v>2</v>
      </c>
      <c r="CU662" s="58">
        <f t="array" ref="CU662">SUM(IF(CQ662:CR662&gt;=CR662, 1))</f>
        <v>1</v>
      </c>
      <c r="CW662" s="109">
        <f t="shared" si="273"/>
        <v>-38069633.299796008</v>
      </c>
      <c r="CX662" s="109">
        <f t="shared" si="274"/>
        <v>0</v>
      </c>
      <c r="CZ662" s="58">
        <f t="array" ref="CZ662">SUM(IF(CW662:CX662&gt;=CW662, 1))</f>
        <v>2</v>
      </c>
      <c r="DA662" s="58">
        <f t="array" ref="DA662">SUM(IF(CW662:CX662&gt;=CX662, 1))</f>
        <v>1</v>
      </c>
      <c r="DC662" s="109">
        <f t="shared" si="275"/>
        <v>-2072853.0239679622</v>
      </c>
      <c r="DD662" s="109">
        <f t="shared" si="276"/>
        <v>0</v>
      </c>
      <c r="DF662" s="58">
        <f t="array" ref="DF662">SUM(IF(DC662:DD662&gt;=DC662, 1))</f>
        <v>2</v>
      </c>
      <c r="DG662" s="58">
        <f t="array" ref="DG662">SUM(IF(DC662:DD662&gt;=DD662, 1))</f>
        <v>1</v>
      </c>
      <c r="DI662" s="109">
        <f t="shared" si="277"/>
        <v>-67051244.131023526</v>
      </c>
      <c r="DJ662" s="109">
        <f t="shared" si="278"/>
        <v>0</v>
      </c>
      <c r="DL662" s="58">
        <f t="array" ref="DL662">SUM(IF(DI662:DJ662&gt;=DI662, 1))</f>
        <v>2</v>
      </c>
      <c r="DM662" s="58">
        <f t="array" ref="DM662">SUM(IF(DI662:DJ662&gt;=DJ662, 1))</f>
        <v>1</v>
      </c>
      <c r="DO662" s="109">
        <f t="shared" si="279"/>
        <v>-9773314.1498841792</v>
      </c>
      <c r="DP662" s="109">
        <f t="shared" si="280"/>
        <v>0</v>
      </c>
      <c r="DR662" s="58">
        <f t="array" ref="DR662">SUM(IF(DO662:DP662&gt;=DO662, 1))</f>
        <v>2</v>
      </c>
      <c r="DS662" s="58">
        <f t="array" ref="DS662">SUM(IF(DO662:DP662&gt;=DP662, 1))</f>
        <v>1</v>
      </c>
      <c r="DU662" s="109">
        <f t="shared" si="281"/>
        <v>-48904764.092010148</v>
      </c>
      <c r="DV662" s="109">
        <f t="shared" si="282"/>
        <v>0</v>
      </c>
      <c r="DX662" s="58">
        <f t="array" ref="DX662">SUM(IF(DU662:DV662&gt;=DU662, 1))</f>
        <v>2</v>
      </c>
      <c r="DY662" s="58">
        <f t="array" ref="DY662">SUM(IF(DU662:DV662&gt;=DV662, 1))</f>
        <v>1</v>
      </c>
      <c r="EA662" s="109">
        <f t="shared" si="283"/>
        <v>-165871808.69668183</v>
      </c>
      <c r="EB662" s="109">
        <f t="shared" si="284"/>
        <v>0</v>
      </c>
      <c r="ED662" s="58">
        <f t="array" ref="ED662">SUM(IF(EA662:EB662&gt;=EA662, 1))</f>
        <v>2</v>
      </c>
      <c r="EE662" s="58">
        <f t="array" ref="EE662">SUM(IF(EA662:EB662&gt;=EB662, 1))</f>
        <v>1</v>
      </c>
    </row>
    <row r="663" spans="4:135" ht="12" customHeight="1" x14ac:dyDescent="0.25">
      <c r="D663" s="11">
        <v>647</v>
      </c>
      <c r="E663" s="72">
        <v>246.75319809238729</v>
      </c>
      <c r="F663" s="72">
        <v>237.04728840711709</v>
      </c>
      <c r="G663" s="73"/>
      <c r="H663" s="74">
        <v>5.8046203124348033</v>
      </c>
      <c r="I663" s="74">
        <v>5.8175896554880664</v>
      </c>
      <c r="J663" s="73"/>
      <c r="K663" s="72">
        <v>265.58536510651692</v>
      </c>
      <c r="L663" s="72">
        <v>255.60790034101899</v>
      </c>
      <c r="M663" s="73"/>
      <c r="N663" s="74">
        <v>6.688373202609152</v>
      </c>
      <c r="O663" s="74">
        <v>6.6989907461976124</v>
      </c>
      <c r="P663" s="73"/>
      <c r="Q663" s="72">
        <v>3122.7041625653651</v>
      </c>
      <c r="R663" s="72">
        <v>1420.8294535962023</v>
      </c>
      <c r="S663" s="73"/>
      <c r="T663" s="74">
        <v>4.8336912524960667</v>
      </c>
      <c r="U663" s="74">
        <v>5.0110681410135864</v>
      </c>
      <c r="V663" s="73"/>
      <c r="W663" s="72">
        <v>8791.6607423161913</v>
      </c>
      <c r="X663" s="72">
        <v>8800.0603755443753</v>
      </c>
      <c r="Y663" s="73"/>
      <c r="Z663" s="74">
        <v>3.1937921855873888</v>
      </c>
      <c r="AA663" s="74">
        <v>3.2468500110494674</v>
      </c>
      <c r="AB663" s="73"/>
      <c r="AC663" s="72">
        <v>49232.031216308154</v>
      </c>
      <c r="AD663" s="72">
        <v>49055.873518397668</v>
      </c>
      <c r="AE663" s="73"/>
      <c r="AF663" s="74">
        <v>4.8325377974301098</v>
      </c>
      <c r="AG663" s="74">
        <v>4.9551416904153323</v>
      </c>
      <c r="AH663" s="73"/>
      <c r="AI663" s="72">
        <v>1041149.4453922623</v>
      </c>
      <c r="AJ663" s="72">
        <v>0</v>
      </c>
      <c r="AK663" s="73"/>
      <c r="AL663" s="74">
        <v>-1391.2167704897618</v>
      </c>
      <c r="AM663" s="74">
        <v>0</v>
      </c>
      <c r="AN663" s="73"/>
      <c r="AO663" s="72">
        <v>69613.670070179185</v>
      </c>
      <c r="AP663" s="72">
        <v>0</v>
      </c>
      <c r="AQ663" s="73"/>
      <c r="AR663" s="74">
        <v>-74.079557652633653</v>
      </c>
      <c r="AS663" s="74">
        <v>0</v>
      </c>
      <c r="AT663" s="73"/>
      <c r="AU663" s="72">
        <v>39615327.17304156</v>
      </c>
      <c r="AV663" s="72">
        <v>0</v>
      </c>
      <c r="AW663" s="73"/>
      <c r="AX663" s="74">
        <v>-4128.8841267368452</v>
      </c>
      <c r="AY663" s="74">
        <v>0</v>
      </c>
      <c r="AZ663" s="73"/>
      <c r="BA663" s="72">
        <v>-76890.508281854767</v>
      </c>
      <c r="BB663" s="72">
        <v>0</v>
      </c>
      <c r="BC663" s="73"/>
      <c r="BD663" s="74">
        <v>-485.69301269255101</v>
      </c>
      <c r="BE663" s="74">
        <v>0</v>
      </c>
      <c r="BF663" s="73"/>
      <c r="BG663" s="72">
        <v>2868365.6901793256</v>
      </c>
      <c r="BH663" s="72">
        <v>0</v>
      </c>
      <c r="BI663" s="73"/>
      <c r="BJ663" s="74">
        <v>-1996.3521565769443</v>
      </c>
      <c r="BK663" s="74">
        <v>0</v>
      </c>
      <c r="BL663" s="73"/>
      <c r="BM663" s="72">
        <v>43517565.470401473</v>
      </c>
      <c r="BN663" s="72">
        <v>0</v>
      </c>
      <c r="BO663" s="73"/>
      <c r="BP663" s="74">
        <v>-8076.2256241487357</v>
      </c>
      <c r="BQ663" s="74">
        <v>0</v>
      </c>
      <c r="BS663" s="109">
        <f t="shared" si="264"/>
        <v>115845.65305060368</v>
      </c>
      <c r="BT663" s="109">
        <f t="shared" si="265"/>
        <v>116114.74582135421</v>
      </c>
      <c r="BV663" s="58">
        <f t="array" ref="BV663">SUM(IF(BS663:BT663&gt;=BS663, 1))</f>
        <v>2</v>
      </c>
      <c r="BW663" s="58">
        <f t="array" ref="BW663">SUM(IF(BS663:BT663&gt;=BT663, 1))</f>
        <v>1</v>
      </c>
      <c r="BY663" s="109">
        <f t="shared" si="266"/>
        <v>133501.8786870765</v>
      </c>
      <c r="BZ663" s="109">
        <f t="shared" si="267"/>
        <v>133724.20702361123</v>
      </c>
      <c r="CB663" s="58">
        <f t="array" ref="CB663">SUM(IF(BY663:BZ663&gt;=BY663, 1))</f>
        <v>2</v>
      </c>
      <c r="CC663" s="58">
        <f t="array" ref="CC663">SUM(IF(BY663:BZ663&gt;=BZ663, 1))</f>
        <v>1</v>
      </c>
      <c r="CE663" s="109">
        <f t="shared" si="268"/>
        <v>93551.120887355966</v>
      </c>
      <c r="CF663" s="109">
        <f t="shared" si="269"/>
        <v>98800.533366675518</v>
      </c>
      <c r="CH663" s="58">
        <f t="array" ref="CH663">SUM(IF(CE663:CF663&gt;=CE663, 1))</f>
        <v>2</v>
      </c>
      <c r="CI663" s="58">
        <f t="array" ref="CI663">SUM(IF(CE663:CF663&gt;=CF663, 1))</f>
        <v>1</v>
      </c>
      <c r="CK663" s="109">
        <f t="shared" si="270"/>
        <v>55084.182969431582</v>
      </c>
      <c r="CL663" s="109">
        <f t="shared" si="271"/>
        <v>56136.939845444977</v>
      </c>
      <c r="CN663" s="58">
        <f t="array" ref="CN663">SUM(IF(CK663:CL663&gt;=CK663, 1))</f>
        <v>2</v>
      </c>
      <c r="CO663" s="58">
        <f t="array" ref="CO663">SUM(IF(CK663:CL663&gt;=CL663, 1))</f>
        <v>1</v>
      </c>
      <c r="CQ663" s="109" cm="1">
        <f t="array" ref="CQ663">AF663*WTP-AC663</f>
        <v>47418.724732294038</v>
      </c>
      <c r="CR663" s="109">
        <f t="shared" si="272"/>
        <v>50046.96028990898</v>
      </c>
      <c r="CT663" s="58">
        <f t="array" ref="CT663">SUM(IF(CQ663:CR663&gt;=CQ663, 1))</f>
        <v>2</v>
      </c>
      <c r="CU663" s="58">
        <f t="array" ref="CU663">SUM(IF(CQ663:CR663&gt;=CR663, 1))</f>
        <v>1</v>
      </c>
      <c r="CW663" s="109">
        <f t="shared" si="273"/>
        <v>-28865484.855187498</v>
      </c>
      <c r="CX663" s="109">
        <f t="shared" si="274"/>
        <v>0</v>
      </c>
      <c r="CZ663" s="58">
        <f t="array" ref="CZ663">SUM(IF(CW663:CX663&gt;=CW663, 1))</f>
        <v>2</v>
      </c>
      <c r="DA663" s="58">
        <f t="array" ref="DA663">SUM(IF(CW663:CX663&gt;=CX663, 1))</f>
        <v>1</v>
      </c>
      <c r="DC663" s="109">
        <f t="shared" si="275"/>
        <v>-1551204.8231228522</v>
      </c>
      <c r="DD663" s="109">
        <f t="shared" si="276"/>
        <v>0</v>
      </c>
      <c r="DF663" s="58">
        <f t="array" ref="DF663">SUM(IF(DC663:DD663&gt;=DC663, 1))</f>
        <v>2</v>
      </c>
      <c r="DG663" s="58">
        <f t="array" ref="DG663">SUM(IF(DC663:DD663&gt;=DD663, 1))</f>
        <v>1</v>
      </c>
      <c r="DI663" s="109">
        <f t="shared" si="277"/>
        <v>-122193009.70777845</v>
      </c>
      <c r="DJ663" s="109">
        <f t="shared" si="278"/>
        <v>0</v>
      </c>
      <c r="DL663" s="58">
        <f t="array" ref="DL663">SUM(IF(DI663:DJ663&gt;=DI663, 1))</f>
        <v>2</v>
      </c>
      <c r="DM663" s="58">
        <f t="array" ref="DM663">SUM(IF(DI663:DJ663&gt;=DJ663, 1))</f>
        <v>1</v>
      </c>
      <c r="DO663" s="109">
        <f t="shared" si="279"/>
        <v>-9636969.7455691658</v>
      </c>
      <c r="DP663" s="109">
        <f t="shared" si="280"/>
        <v>0</v>
      </c>
      <c r="DR663" s="58">
        <f t="array" ref="DR663">SUM(IF(DO663:DP663&gt;=DO663, 1))</f>
        <v>2</v>
      </c>
      <c r="DS663" s="58">
        <f t="array" ref="DS663">SUM(IF(DO663:DP663&gt;=DP663, 1))</f>
        <v>1</v>
      </c>
      <c r="DU663" s="109">
        <f t="shared" si="281"/>
        <v>-42795408.821718208</v>
      </c>
      <c r="DV663" s="109">
        <f t="shared" si="282"/>
        <v>0</v>
      </c>
      <c r="DX663" s="58">
        <f t="array" ref="DX663">SUM(IF(DU663:DV663&gt;=DU663, 1))</f>
        <v>2</v>
      </c>
      <c r="DY663" s="58">
        <f t="array" ref="DY663">SUM(IF(DU663:DV663&gt;=DV663, 1))</f>
        <v>1</v>
      </c>
      <c r="EA663" s="109">
        <f t="shared" si="283"/>
        <v>-205042077.95337617</v>
      </c>
      <c r="EB663" s="109">
        <f t="shared" si="284"/>
        <v>0</v>
      </c>
      <c r="ED663" s="58">
        <f t="array" ref="ED663">SUM(IF(EA663:EB663&gt;=EA663, 1))</f>
        <v>2</v>
      </c>
      <c r="EE663" s="58">
        <f t="array" ref="EE663">SUM(IF(EA663:EB663&gt;=EB663, 1))</f>
        <v>1</v>
      </c>
    </row>
    <row r="664" spans="4:135" ht="12" customHeight="1" x14ac:dyDescent="0.25">
      <c r="D664" s="11">
        <v>648</v>
      </c>
      <c r="E664" s="72">
        <v>232.47937115565026</v>
      </c>
      <c r="F664" s="72">
        <v>212.88035380715917</v>
      </c>
      <c r="G664" s="73"/>
      <c r="H664" s="74">
        <v>5.7970669233346301</v>
      </c>
      <c r="I664" s="74">
        <v>5.8127235369945272</v>
      </c>
      <c r="J664" s="73"/>
      <c r="K664" s="72">
        <v>249.62485584509162</v>
      </c>
      <c r="L664" s="72">
        <v>229.54569021906173</v>
      </c>
      <c r="M664" s="73"/>
      <c r="N664" s="74">
        <v>6.6987841396159133</v>
      </c>
      <c r="O664" s="74">
        <v>6.7123848463932276</v>
      </c>
      <c r="P664" s="73"/>
      <c r="Q664" s="72">
        <v>2178.800417133536</v>
      </c>
      <c r="R664" s="72">
        <v>1230.8612599495941</v>
      </c>
      <c r="S664" s="73"/>
      <c r="T664" s="74">
        <v>4.8101733184904463</v>
      </c>
      <c r="U664" s="74">
        <v>4.8993988583788806</v>
      </c>
      <c r="V664" s="73"/>
      <c r="W664" s="72">
        <v>13927.999535040763</v>
      </c>
      <c r="X664" s="72">
        <v>13932.500564030181</v>
      </c>
      <c r="Y664" s="73"/>
      <c r="Z664" s="74">
        <v>3.0376742737975855</v>
      </c>
      <c r="AA664" s="74">
        <v>3.0904133179302562</v>
      </c>
      <c r="AB664" s="73"/>
      <c r="AC664" s="72">
        <v>50000.393388938806</v>
      </c>
      <c r="AD664" s="72">
        <v>49708.029138147722</v>
      </c>
      <c r="AE664" s="73"/>
      <c r="AF664" s="74">
        <v>4.6632461343001781</v>
      </c>
      <c r="AG664" s="74">
        <v>4.8670517948767156</v>
      </c>
      <c r="AH664" s="73"/>
      <c r="AI664" s="72">
        <v>2100834.7162005496</v>
      </c>
      <c r="AJ664" s="72">
        <v>0</v>
      </c>
      <c r="AK664" s="73"/>
      <c r="AL664" s="74">
        <v>-1678.2452369931555</v>
      </c>
      <c r="AM664" s="74">
        <v>0</v>
      </c>
      <c r="AN664" s="73"/>
      <c r="AO664" s="72">
        <v>137581.61616964816</v>
      </c>
      <c r="AP664" s="72">
        <v>0</v>
      </c>
      <c r="AQ664" s="73"/>
      <c r="AR664" s="74">
        <v>-93.191482869518367</v>
      </c>
      <c r="AS664" s="74">
        <v>0</v>
      </c>
      <c r="AT664" s="73"/>
      <c r="AU664" s="72">
        <v>22097168.023344364</v>
      </c>
      <c r="AV664" s="72">
        <v>0</v>
      </c>
      <c r="AW664" s="73"/>
      <c r="AX664" s="74">
        <v>-2079.9138129766739</v>
      </c>
      <c r="AY664" s="74">
        <v>0</v>
      </c>
      <c r="AZ664" s="73"/>
      <c r="BA664" s="72">
        <v>-41955.397552889473</v>
      </c>
      <c r="BB664" s="72">
        <v>0</v>
      </c>
      <c r="BC664" s="73"/>
      <c r="BD664" s="74">
        <v>-491.59593691745346</v>
      </c>
      <c r="BE664" s="74">
        <v>0</v>
      </c>
      <c r="BF664" s="73"/>
      <c r="BG664" s="72">
        <v>4734659.7665688973</v>
      </c>
      <c r="BH664" s="72">
        <v>0</v>
      </c>
      <c r="BI664" s="73"/>
      <c r="BJ664" s="74">
        <v>-3300.5077013340324</v>
      </c>
      <c r="BK664" s="74">
        <v>0</v>
      </c>
      <c r="BL664" s="73"/>
      <c r="BM664" s="72">
        <v>29028288.724730574</v>
      </c>
      <c r="BN664" s="72">
        <v>0</v>
      </c>
      <c r="BO664" s="73"/>
      <c r="BP664" s="74">
        <v>-7643.4541710908334</v>
      </c>
      <c r="BQ664" s="74">
        <v>0</v>
      </c>
      <c r="BS664" s="109">
        <f t="shared" si="264"/>
        <v>115708.85909553694</v>
      </c>
      <c r="BT664" s="109">
        <f t="shared" si="265"/>
        <v>116041.59038608338</v>
      </c>
      <c r="BV664" s="58">
        <f t="array" ref="BV664">SUM(IF(BS664:BT664&gt;=BS664, 1))</f>
        <v>2</v>
      </c>
      <c r="BW664" s="58">
        <f t="array" ref="BW664">SUM(IF(BS664:BT664&gt;=BT664, 1))</f>
        <v>1</v>
      </c>
      <c r="BY664" s="109">
        <f t="shared" si="266"/>
        <v>133726.05793647317</v>
      </c>
      <c r="BZ664" s="109">
        <f t="shared" si="267"/>
        <v>134018.15123764548</v>
      </c>
      <c r="CB664" s="58">
        <f t="array" ref="CB664">SUM(IF(BY664:BZ664&gt;=BY664, 1))</f>
        <v>2</v>
      </c>
      <c r="CC664" s="58">
        <f t="array" ref="CC664">SUM(IF(BY664:BZ664&gt;=BZ664, 1))</f>
        <v>1</v>
      </c>
      <c r="CE664" s="109">
        <f t="shared" si="268"/>
        <v>94024.665952675394</v>
      </c>
      <c r="CF664" s="109">
        <f t="shared" si="269"/>
        <v>96757.115907628016</v>
      </c>
      <c r="CH664" s="58">
        <f t="array" ref="CH664">SUM(IF(CE664:CF664&gt;=CE664, 1))</f>
        <v>2</v>
      </c>
      <c r="CI664" s="58">
        <f t="array" ref="CI664">SUM(IF(CE664:CF664&gt;=CF664, 1))</f>
        <v>1</v>
      </c>
      <c r="CK664" s="109">
        <f t="shared" si="270"/>
        <v>46825.485940910949</v>
      </c>
      <c r="CL664" s="109">
        <f t="shared" si="271"/>
        <v>47875.765794574938</v>
      </c>
      <c r="CN664" s="58">
        <f t="array" ref="CN664">SUM(IF(CK664:CL664&gt;=CK664, 1))</f>
        <v>2</v>
      </c>
      <c r="CO664" s="58">
        <f t="array" ref="CO664">SUM(IF(CK664:CL664&gt;=CL664, 1))</f>
        <v>1</v>
      </c>
      <c r="CQ664" s="109" cm="1">
        <f t="array" ref="CQ664">AF664*WTP-AC664</f>
        <v>43264.52929706475</v>
      </c>
      <c r="CR664" s="109">
        <f t="shared" si="272"/>
        <v>47633.00675938659</v>
      </c>
      <c r="CT664" s="58">
        <f t="array" ref="CT664">SUM(IF(CQ664:CR664&gt;=CQ664, 1))</f>
        <v>2</v>
      </c>
      <c r="CU664" s="58">
        <f t="array" ref="CU664">SUM(IF(CQ664:CR664&gt;=CR664, 1))</f>
        <v>1</v>
      </c>
      <c r="CW664" s="109">
        <f t="shared" si="273"/>
        <v>-35665739.456063665</v>
      </c>
      <c r="CX664" s="109">
        <f t="shared" si="274"/>
        <v>0</v>
      </c>
      <c r="CZ664" s="58">
        <f t="array" ref="CZ664">SUM(IF(CW664:CX664&gt;=CW664, 1))</f>
        <v>2</v>
      </c>
      <c r="DA664" s="58">
        <f t="array" ref="DA664">SUM(IF(CW664:CX664&gt;=CX664, 1))</f>
        <v>1</v>
      </c>
      <c r="DC664" s="109">
        <f t="shared" si="275"/>
        <v>-2001411.2735600155</v>
      </c>
      <c r="DD664" s="109">
        <f t="shared" si="276"/>
        <v>0</v>
      </c>
      <c r="DF664" s="58">
        <f t="array" ref="DF664">SUM(IF(DC664:DD664&gt;=DC664, 1))</f>
        <v>2</v>
      </c>
      <c r="DG664" s="58">
        <f t="array" ref="DG664">SUM(IF(DC664:DD664&gt;=DD664, 1))</f>
        <v>1</v>
      </c>
      <c r="DI664" s="109">
        <f t="shared" si="277"/>
        <v>-63695444.282877848</v>
      </c>
      <c r="DJ664" s="109">
        <f t="shared" si="278"/>
        <v>0</v>
      </c>
      <c r="DL664" s="58">
        <f t="array" ref="DL664">SUM(IF(DI664:DJ664&gt;=DI664, 1))</f>
        <v>2</v>
      </c>
      <c r="DM664" s="58">
        <f t="array" ref="DM664">SUM(IF(DI664:DJ664&gt;=DJ664, 1))</f>
        <v>1</v>
      </c>
      <c r="DO664" s="109">
        <f t="shared" si="279"/>
        <v>-9789963.3407961801</v>
      </c>
      <c r="DP664" s="109">
        <f t="shared" si="280"/>
        <v>0</v>
      </c>
      <c r="DR664" s="58">
        <f t="array" ref="DR664">SUM(IF(DO664:DP664&gt;=DO664, 1))</f>
        <v>2</v>
      </c>
      <c r="DS664" s="58">
        <f t="array" ref="DS664">SUM(IF(DO664:DP664&gt;=DP664, 1))</f>
        <v>1</v>
      </c>
      <c r="DU664" s="109">
        <f t="shared" si="281"/>
        <v>-70744813.793249547</v>
      </c>
      <c r="DV664" s="109">
        <f t="shared" si="282"/>
        <v>0</v>
      </c>
      <c r="DX664" s="58">
        <f t="array" ref="DX664">SUM(IF(DU664:DV664&gt;=DU664, 1))</f>
        <v>2</v>
      </c>
      <c r="DY664" s="58">
        <f t="array" ref="DY664">SUM(IF(DU664:DV664&gt;=DV664, 1))</f>
        <v>1</v>
      </c>
      <c r="EA664" s="109">
        <f t="shared" si="283"/>
        <v>-181897372.14654726</v>
      </c>
      <c r="EB664" s="109">
        <f t="shared" si="284"/>
        <v>0</v>
      </c>
      <c r="ED664" s="58">
        <f t="array" ref="ED664">SUM(IF(EA664:EB664&gt;=EA664, 1))</f>
        <v>2</v>
      </c>
      <c r="EE664" s="58">
        <f t="array" ref="EE664">SUM(IF(EA664:EB664&gt;=EB664, 1))</f>
        <v>1</v>
      </c>
    </row>
    <row r="665" spans="4:135" ht="12" customHeight="1" x14ac:dyDescent="0.25">
      <c r="D665" s="11">
        <v>649</v>
      </c>
      <c r="E665" s="72">
        <v>236.17352190169299</v>
      </c>
      <c r="F665" s="72">
        <v>208.64453240860689</v>
      </c>
      <c r="G665" s="73"/>
      <c r="H665" s="74">
        <v>5.8083491018695383</v>
      </c>
      <c r="I665" s="74">
        <v>5.8283819828537551</v>
      </c>
      <c r="J665" s="73"/>
      <c r="K665" s="72">
        <v>253.18821894524459</v>
      </c>
      <c r="L665" s="72">
        <v>224.99612955304889</v>
      </c>
      <c r="M665" s="73"/>
      <c r="N665" s="74">
        <v>6.7128091586686152</v>
      </c>
      <c r="O665" s="74">
        <v>6.7303717271199597</v>
      </c>
      <c r="P665" s="73"/>
      <c r="Q665" s="72">
        <v>3449.4060100371371</v>
      </c>
      <c r="R665" s="72">
        <v>1575.9845217910627</v>
      </c>
      <c r="S665" s="73"/>
      <c r="T665" s="74">
        <v>4.8046259439993335</v>
      </c>
      <c r="U665" s="74">
        <v>4.910803851992287</v>
      </c>
      <c r="V665" s="73"/>
      <c r="W665" s="72">
        <v>10644.062996049171</v>
      </c>
      <c r="X665" s="72">
        <v>10620.619903771312</v>
      </c>
      <c r="Y665" s="73"/>
      <c r="Z665" s="74">
        <v>3.0843927868067182</v>
      </c>
      <c r="AA665" s="74">
        <v>3.1266657055134899</v>
      </c>
      <c r="AB665" s="73"/>
      <c r="AC665" s="72">
        <v>51524.863843268678</v>
      </c>
      <c r="AD665" s="72">
        <v>51265.691258708655</v>
      </c>
      <c r="AE665" s="73"/>
      <c r="AF665" s="74">
        <v>4.5268268308496022</v>
      </c>
      <c r="AG665" s="74">
        <v>4.5856963018830932</v>
      </c>
      <c r="AH665" s="73"/>
      <c r="AI665" s="72">
        <v>2951074.0324190762</v>
      </c>
      <c r="AJ665" s="72">
        <v>0</v>
      </c>
      <c r="AK665" s="73"/>
      <c r="AL665" s="74">
        <v>-2147.5003607346912</v>
      </c>
      <c r="AM665" s="74">
        <v>0</v>
      </c>
      <c r="AN665" s="73"/>
      <c r="AO665" s="72">
        <v>194075.14016839635</v>
      </c>
      <c r="AP665" s="72">
        <v>0</v>
      </c>
      <c r="AQ665" s="73"/>
      <c r="AR665" s="74">
        <v>-120.9012175896155</v>
      </c>
      <c r="AS665" s="74">
        <v>0</v>
      </c>
      <c r="AT665" s="73"/>
      <c r="AU665" s="72">
        <v>43273720.42895028</v>
      </c>
      <c r="AV665" s="72">
        <v>0</v>
      </c>
      <c r="AW665" s="73"/>
      <c r="AX665" s="74">
        <v>-2452.578416040009</v>
      </c>
      <c r="AY665" s="74">
        <v>0</v>
      </c>
      <c r="AZ665" s="73"/>
      <c r="BA665" s="72">
        <v>209154.03325239973</v>
      </c>
      <c r="BB665" s="72">
        <v>0</v>
      </c>
      <c r="BC665" s="73"/>
      <c r="BD665" s="74">
        <v>-377.1495389805072</v>
      </c>
      <c r="BE665" s="74">
        <v>0</v>
      </c>
      <c r="BF665" s="73"/>
      <c r="BG665" s="72">
        <v>4224443.392287652</v>
      </c>
      <c r="BH665" s="72">
        <v>0</v>
      </c>
      <c r="BI665" s="73"/>
      <c r="BJ665" s="74">
        <v>-959.55653772980213</v>
      </c>
      <c r="BK665" s="74">
        <v>0</v>
      </c>
      <c r="BL665" s="73"/>
      <c r="BM665" s="72">
        <v>50852467.027077802</v>
      </c>
      <c r="BN665" s="72">
        <v>0</v>
      </c>
      <c r="BO665" s="73"/>
      <c r="BP665" s="74">
        <v>-6057.6860710746241</v>
      </c>
      <c r="BQ665" s="74">
        <v>0</v>
      </c>
      <c r="BS665" s="109">
        <f t="shared" si="264"/>
        <v>115930.80851548907</v>
      </c>
      <c r="BT665" s="109">
        <f t="shared" si="265"/>
        <v>116358.99512466649</v>
      </c>
      <c r="BV665" s="58">
        <f t="array" ref="BV665">SUM(IF(BS665:BT665&gt;=BS665, 1))</f>
        <v>2</v>
      </c>
      <c r="BW665" s="58">
        <f t="array" ref="BW665">SUM(IF(BS665:BT665&gt;=BT665, 1))</f>
        <v>1</v>
      </c>
      <c r="BY665" s="109">
        <f t="shared" si="266"/>
        <v>134002.99495442703</v>
      </c>
      <c r="BZ665" s="109">
        <f t="shared" si="267"/>
        <v>134382.43841284615</v>
      </c>
      <c r="CB665" s="58">
        <f t="array" ref="CB665">SUM(IF(BY665:BZ665&gt;=BY665, 1))</f>
        <v>2</v>
      </c>
      <c r="CC665" s="58">
        <f t="array" ref="CC665">SUM(IF(BY665:BZ665&gt;=BZ665, 1))</f>
        <v>1</v>
      </c>
      <c r="CE665" s="109">
        <f t="shared" si="268"/>
        <v>92643.112869949531</v>
      </c>
      <c r="CF665" s="109">
        <f t="shared" si="269"/>
        <v>96640.092518054676</v>
      </c>
      <c r="CH665" s="58">
        <f t="array" ref="CH665">SUM(IF(CE665:CF665&gt;=CE665, 1))</f>
        <v>2</v>
      </c>
      <c r="CI665" s="58">
        <f t="array" ref="CI665">SUM(IF(CE665:CF665&gt;=CF665, 1))</f>
        <v>1</v>
      </c>
      <c r="CK665" s="109">
        <f t="shared" si="270"/>
        <v>51043.792740085191</v>
      </c>
      <c r="CL665" s="109">
        <f t="shared" si="271"/>
        <v>51912.694206498491</v>
      </c>
      <c r="CN665" s="58">
        <f t="array" ref="CN665">SUM(IF(CK665:CL665&gt;=CK665, 1))</f>
        <v>2</v>
      </c>
      <c r="CO665" s="58">
        <f t="array" ref="CO665">SUM(IF(CK665:CL665&gt;=CL665, 1))</f>
        <v>1</v>
      </c>
      <c r="CQ665" s="109" cm="1">
        <f t="array" ref="CQ665">AF665*WTP-AC665</f>
        <v>39011.672773723367</v>
      </c>
      <c r="CR665" s="109">
        <f t="shared" si="272"/>
        <v>40448.234778953207</v>
      </c>
      <c r="CT665" s="58">
        <f t="array" ref="CT665">SUM(IF(CQ665:CR665&gt;=CQ665, 1))</f>
        <v>2</v>
      </c>
      <c r="CU665" s="58">
        <f t="array" ref="CU665">SUM(IF(CQ665:CR665&gt;=CR665, 1))</f>
        <v>1</v>
      </c>
      <c r="CW665" s="109">
        <f t="shared" si="273"/>
        <v>-45901081.2471129</v>
      </c>
      <c r="CX665" s="109">
        <f t="shared" si="274"/>
        <v>0</v>
      </c>
      <c r="CZ665" s="58">
        <f t="array" ref="CZ665">SUM(IF(CW665:CX665&gt;=CW665, 1))</f>
        <v>2</v>
      </c>
      <c r="DA665" s="58">
        <f t="array" ref="DA665">SUM(IF(CW665:CX665&gt;=CX665, 1))</f>
        <v>1</v>
      </c>
      <c r="DC665" s="109">
        <f t="shared" si="275"/>
        <v>-2612099.4919607062</v>
      </c>
      <c r="DD665" s="109">
        <f t="shared" si="276"/>
        <v>0</v>
      </c>
      <c r="DF665" s="58">
        <f t="array" ref="DF665">SUM(IF(DC665:DD665&gt;=DC665, 1))</f>
        <v>2</v>
      </c>
      <c r="DG665" s="58">
        <f t="array" ref="DG665">SUM(IF(DC665:DD665&gt;=DD665, 1))</f>
        <v>1</v>
      </c>
      <c r="DI665" s="109">
        <f t="shared" si="277"/>
        <v>-92325288.749750465</v>
      </c>
      <c r="DJ665" s="109">
        <f t="shared" si="278"/>
        <v>0</v>
      </c>
      <c r="DL665" s="58">
        <f t="array" ref="DL665">SUM(IF(DI665:DJ665&gt;=DI665, 1))</f>
        <v>2</v>
      </c>
      <c r="DM665" s="58">
        <f t="array" ref="DM665">SUM(IF(DI665:DJ665&gt;=DJ665, 1))</f>
        <v>1</v>
      </c>
      <c r="DO665" s="109">
        <f t="shared" si="279"/>
        <v>-7752144.8128625434</v>
      </c>
      <c r="DP665" s="109">
        <f t="shared" si="280"/>
        <v>0</v>
      </c>
      <c r="DR665" s="58">
        <f t="array" ref="DR665">SUM(IF(DO665:DP665&gt;=DO665, 1))</f>
        <v>2</v>
      </c>
      <c r="DS665" s="58">
        <f t="array" ref="DS665">SUM(IF(DO665:DP665&gt;=DP665, 1))</f>
        <v>1</v>
      </c>
      <c r="DU665" s="109">
        <f t="shared" si="281"/>
        <v>-23415574.146883696</v>
      </c>
      <c r="DV665" s="109">
        <f t="shared" si="282"/>
        <v>0</v>
      </c>
      <c r="DX665" s="58">
        <f t="array" ref="DX665">SUM(IF(DU665:DV665&gt;=DU665, 1))</f>
        <v>2</v>
      </c>
      <c r="DY665" s="58">
        <f t="array" ref="DY665">SUM(IF(DU665:DV665&gt;=DV665, 1))</f>
        <v>1</v>
      </c>
      <c r="EA665" s="109">
        <f t="shared" si="283"/>
        <v>-172006188.44857028</v>
      </c>
      <c r="EB665" s="109">
        <f t="shared" si="284"/>
        <v>0</v>
      </c>
      <c r="ED665" s="58">
        <f t="array" ref="ED665">SUM(IF(EA665:EB665&gt;=EA665, 1))</f>
        <v>2</v>
      </c>
      <c r="EE665" s="58">
        <f t="array" ref="EE665">SUM(IF(EA665:EB665&gt;=EB665, 1))</f>
        <v>1</v>
      </c>
    </row>
    <row r="666" spans="4:135" ht="12" customHeight="1" x14ac:dyDescent="0.25">
      <c r="D666" s="11">
        <v>650</v>
      </c>
      <c r="E666" s="72">
        <v>223.69602849561386</v>
      </c>
      <c r="F666" s="72">
        <v>211.75534381991878</v>
      </c>
      <c r="G666" s="73"/>
      <c r="H666" s="74">
        <v>5.8427309962206833</v>
      </c>
      <c r="I666" s="74">
        <v>5.860186541564131</v>
      </c>
      <c r="J666" s="73"/>
      <c r="K666" s="72">
        <v>240.60284117928322</v>
      </c>
      <c r="L666" s="72">
        <v>228.36164232862495</v>
      </c>
      <c r="M666" s="73"/>
      <c r="N666" s="74">
        <v>6.7014329181194974</v>
      </c>
      <c r="O666" s="74">
        <v>6.7168049629618665</v>
      </c>
      <c r="P666" s="73"/>
      <c r="Q666" s="72">
        <v>3182.1361848834017</v>
      </c>
      <c r="R666" s="72">
        <v>1742.2466783641219</v>
      </c>
      <c r="S666" s="73"/>
      <c r="T666" s="74">
        <v>4.8408633678288338</v>
      </c>
      <c r="U666" s="74">
        <v>4.9453627410512127</v>
      </c>
      <c r="V666" s="73"/>
      <c r="W666" s="72">
        <v>8823.4576589109438</v>
      </c>
      <c r="X666" s="72">
        <v>8851.1586710254232</v>
      </c>
      <c r="Y666" s="73"/>
      <c r="Z666" s="74">
        <v>2.942562400760421</v>
      </c>
      <c r="AA666" s="74">
        <v>2.9898093542130582</v>
      </c>
      <c r="AB666" s="73"/>
      <c r="AC666" s="72">
        <v>50181.374432823861</v>
      </c>
      <c r="AD666" s="72">
        <v>50172.012396254548</v>
      </c>
      <c r="AE666" s="73"/>
      <c r="AF666" s="74">
        <v>4.8251518183579538</v>
      </c>
      <c r="AG666" s="74">
        <v>4.9706689578039107</v>
      </c>
      <c r="AH666" s="73"/>
      <c r="AI666" s="72">
        <v>1296528.1158551043</v>
      </c>
      <c r="AJ666" s="72">
        <v>0</v>
      </c>
      <c r="AK666" s="73"/>
      <c r="AL666" s="74">
        <v>-1895.3356469943139</v>
      </c>
      <c r="AM666" s="74">
        <v>0</v>
      </c>
      <c r="AN666" s="73"/>
      <c r="AO666" s="72">
        <v>84902.418782528664</v>
      </c>
      <c r="AP666" s="72">
        <v>0</v>
      </c>
      <c r="AQ666" s="73"/>
      <c r="AR666" s="74">
        <v>-106.61731785203769</v>
      </c>
      <c r="AS666" s="74">
        <v>0</v>
      </c>
      <c r="AT666" s="73"/>
      <c r="AU666" s="72">
        <v>32566794.095224198</v>
      </c>
      <c r="AV666" s="72">
        <v>0</v>
      </c>
      <c r="AW666" s="73"/>
      <c r="AX666" s="74">
        <v>-2363.5213364669594</v>
      </c>
      <c r="AY666" s="74">
        <v>0</v>
      </c>
      <c r="AZ666" s="73"/>
      <c r="BA666" s="72">
        <v>-238860.89616506343</v>
      </c>
      <c r="BB666" s="72">
        <v>0</v>
      </c>
      <c r="BC666" s="73"/>
      <c r="BD666" s="74">
        <v>-407.40206878098132</v>
      </c>
      <c r="BE666" s="74">
        <v>0</v>
      </c>
      <c r="BF666" s="73"/>
      <c r="BG666" s="72">
        <v>147621.34134455831</v>
      </c>
      <c r="BH666" s="72">
        <v>0</v>
      </c>
      <c r="BI666" s="73"/>
      <c r="BJ666" s="74">
        <v>-2294.5258923733477</v>
      </c>
      <c r="BK666" s="74">
        <v>0</v>
      </c>
      <c r="BL666" s="73"/>
      <c r="BM666" s="72">
        <v>33856985.075041324</v>
      </c>
      <c r="BN666" s="72">
        <v>0</v>
      </c>
      <c r="BO666" s="73"/>
      <c r="BP666" s="74">
        <v>-7067.40226246764</v>
      </c>
      <c r="BQ666" s="74">
        <v>0</v>
      </c>
      <c r="BS666" s="109">
        <f t="shared" si="264"/>
        <v>116630.92389591805</v>
      </c>
      <c r="BT666" s="109">
        <f t="shared" si="265"/>
        <v>116991.9754874627</v>
      </c>
      <c r="BV666" s="58">
        <f t="array" ref="BV666">SUM(IF(BS666:BT666&gt;=BS666, 1))</f>
        <v>2</v>
      </c>
      <c r="BW666" s="58">
        <f t="array" ref="BW666">SUM(IF(BS666:BT666&gt;=BT666, 1))</f>
        <v>1</v>
      </c>
      <c r="BY666" s="109">
        <f t="shared" si="266"/>
        <v>133788.05552121066</v>
      </c>
      <c r="BZ666" s="109">
        <f t="shared" si="267"/>
        <v>134107.73761690871</v>
      </c>
      <c r="CB666" s="58">
        <f t="array" ref="CB666">SUM(IF(BY666:BZ666&gt;=BY666, 1))</f>
        <v>2</v>
      </c>
      <c r="CC666" s="58">
        <f t="array" ref="CC666">SUM(IF(BY666:BZ666&gt;=BZ666, 1))</f>
        <v>1</v>
      </c>
      <c r="CE666" s="109">
        <f t="shared" si="268"/>
        <v>93635.131171693269</v>
      </c>
      <c r="CF666" s="109">
        <f t="shared" si="269"/>
        <v>97165.008142660125</v>
      </c>
      <c r="CH666" s="58">
        <f t="array" ref="CH666">SUM(IF(CE666:CF666&gt;=CE666, 1))</f>
        <v>2</v>
      </c>
      <c r="CI666" s="58">
        <f t="array" ref="CI666">SUM(IF(CE666:CF666&gt;=CF666, 1))</f>
        <v>1</v>
      </c>
      <c r="CK666" s="109">
        <f t="shared" si="270"/>
        <v>50027.790356297475</v>
      </c>
      <c r="CL666" s="109">
        <f t="shared" si="271"/>
        <v>50945.028413235734</v>
      </c>
      <c r="CN666" s="58">
        <f t="array" ref="CN666">SUM(IF(CK666:CL666&gt;=CK666, 1))</f>
        <v>2</v>
      </c>
      <c r="CO666" s="58">
        <f t="array" ref="CO666">SUM(IF(CK666:CL666&gt;=CL666, 1))</f>
        <v>1</v>
      </c>
      <c r="CQ666" s="109" cm="1">
        <f t="array" ref="CQ666">AF666*WTP-AC666</f>
        <v>46321.661934335214</v>
      </c>
      <c r="CR666" s="109">
        <f t="shared" si="272"/>
        <v>49241.366759823664</v>
      </c>
      <c r="CT666" s="58">
        <f t="array" ref="CT666">SUM(IF(CQ666:CR666&gt;=CQ666, 1))</f>
        <v>2</v>
      </c>
      <c r="CU666" s="58">
        <f t="array" ref="CU666">SUM(IF(CQ666:CR666&gt;=CR666, 1))</f>
        <v>1</v>
      </c>
      <c r="CW666" s="109">
        <f t="shared" si="273"/>
        <v>-39203241.055741385</v>
      </c>
      <c r="CX666" s="109">
        <f t="shared" si="274"/>
        <v>0</v>
      </c>
      <c r="CZ666" s="58">
        <f t="array" ref="CZ666">SUM(IF(CW666:CX666&gt;=CW666, 1))</f>
        <v>2</v>
      </c>
      <c r="DA666" s="58">
        <f t="array" ref="DA666">SUM(IF(CW666:CX666&gt;=CX666, 1))</f>
        <v>1</v>
      </c>
      <c r="DC666" s="109">
        <f t="shared" si="275"/>
        <v>-2217248.7758232821</v>
      </c>
      <c r="DD666" s="109">
        <f t="shared" si="276"/>
        <v>0</v>
      </c>
      <c r="DF666" s="58">
        <f t="array" ref="DF666">SUM(IF(DC666:DD666&gt;=DC666, 1))</f>
        <v>2</v>
      </c>
      <c r="DG666" s="58">
        <f t="array" ref="DG666">SUM(IF(DC666:DD666&gt;=DD666, 1))</f>
        <v>1</v>
      </c>
      <c r="DI666" s="109">
        <f t="shared" si="277"/>
        <v>-79837220.824563384</v>
      </c>
      <c r="DJ666" s="109">
        <f t="shared" si="278"/>
        <v>0</v>
      </c>
      <c r="DL666" s="58">
        <f t="array" ref="DL666">SUM(IF(DI666:DJ666&gt;=DI666, 1))</f>
        <v>2</v>
      </c>
      <c r="DM666" s="58">
        <f t="array" ref="DM666">SUM(IF(DI666:DJ666&gt;=DJ666, 1))</f>
        <v>1</v>
      </c>
      <c r="DO666" s="109">
        <f t="shared" si="279"/>
        <v>-7909180.479454563</v>
      </c>
      <c r="DP666" s="109">
        <f t="shared" si="280"/>
        <v>0</v>
      </c>
      <c r="DR666" s="58">
        <f t="array" ref="DR666">SUM(IF(DO666:DP666&gt;=DO666, 1))</f>
        <v>2</v>
      </c>
      <c r="DS666" s="58">
        <f t="array" ref="DS666">SUM(IF(DO666:DP666&gt;=DP666, 1))</f>
        <v>1</v>
      </c>
      <c r="DU666" s="109">
        <f t="shared" si="281"/>
        <v>-46038139.188811511</v>
      </c>
      <c r="DV666" s="109">
        <f t="shared" si="282"/>
        <v>0</v>
      </c>
      <c r="DX666" s="58">
        <f t="array" ref="DX666">SUM(IF(DU666:DV666&gt;=DU666, 1))</f>
        <v>2</v>
      </c>
      <c r="DY666" s="58">
        <f t="array" ref="DY666">SUM(IF(DU666:DV666&gt;=DV666, 1))</f>
        <v>1</v>
      </c>
      <c r="EA666" s="109">
        <f t="shared" si="283"/>
        <v>-175205030.32439414</v>
      </c>
      <c r="EB666" s="109">
        <f t="shared" si="284"/>
        <v>0</v>
      </c>
      <c r="ED666" s="58">
        <f t="array" ref="ED666">SUM(IF(EA666:EB666&gt;=EA666, 1))</f>
        <v>2</v>
      </c>
      <c r="EE666" s="58">
        <f t="array" ref="EE666">SUM(IF(EA666:EB666&gt;=EB666, 1))</f>
        <v>1</v>
      </c>
    </row>
    <row r="667" spans="4:135" ht="12" customHeight="1" x14ac:dyDescent="0.25">
      <c r="D667" s="11">
        <v>651</v>
      </c>
      <c r="E667" s="72">
        <v>249.16965084755762</v>
      </c>
      <c r="F667" s="72">
        <v>221.18809726322243</v>
      </c>
      <c r="G667" s="73"/>
      <c r="H667" s="74">
        <v>5.8222183786533579</v>
      </c>
      <c r="I667" s="74">
        <v>5.8377108118366312</v>
      </c>
      <c r="J667" s="73"/>
      <c r="K667" s="72">
        <v>267.04811658549198</v>
      </c>
      <c r="L667" s="72">
        <v>238.40603422940231</v>
      </c>
      <c r="M667" s="73"/>
      <c r="N667" s="74">
        <v>6.6505375850434598</v>
      </c>
      <c r="O667" s="74">
        <v>6.6636749924960004</v>
      </c>
      <c r="P667" s="73"/>
      <c r="Q667" s="72">
        <v>2584.7768795844904</v>
      </c>
      <c r="R667" s="72">
        <v>1839.657028849728</v>
      </c>
      <c r="S667" s="73"/>
      <c r="T667" s="74">
        <v>4.7273691745849922</v>
      </c>
      <c r="U667" s="74">
        <v>4.7899675008407092</v>
      </c>
      <c r="V667" s="73"/>
      <c r="W667" s="72">
        <v>11648.805406675065</v>
      </c>
      <c r="X667" s="72">
        <v>11612.250592516557</v>
      </c>
      <c r="Y667" s="73"/>
      <c r="Z667" s="74">
        <v>3.0342881450587282</v>
      </c>
      <c r="AA667" s="74">
        <v>3.070933186579945</v>
      </c>
      <c r="AB667" s="73"/>
      <c r="AC667" s="72">
        <v>49347.167133094481</v>
      </c>
      <c r="AD667" s="72">
        <v>49261.280208298973</v>
      </c>
      <c r="AE667" s="73"/>
      <c r="AF667" s="74">
        <v>3.9183975094793895</v>
      </c>
      <c r="AG667" s="74">
        <v>4.0355986850743868</v>
      </c>
      <c r="AH667" s="73"/>
      <c r="AI667" s="72">
        <v>3009528.1834242851</v>
      </c>
      <c r="AJ667" s="72">
        <v>0</v>
      </c>
      <c r="AK667" s="73"/>
      <c r="AL667" s="74">
        <v>-1666.273252282193</v>
      </c>
      <c r="AM667" s="74">
        <v>0</v>
      </c>
      <c r="AN667" s="73"/>
      <c r="AO667" s="72">
        <v>192309.4624324177</v>
      </c>
      <c r="AP667" s="72">
        <v>0</v>
      </c>
      <c r="AQ667" s="73"/>
      <c r="AR667" s="74">
        <v>-88.207544882523393</v>
      </c>
      <c r="AS667" s="74">
        <v>0</v>
      </c>
      <c r="AT667" s="73"/>
      <c r="AU667" s="72">
        <v>17988663.087733515</v>
      </c>
      <c r="AV667" s="72">
        <v>0</v>
      </c>
      <c r="AW667" s="73"/>
      <c r="AX667" s="74">
        <v>-1511.2470829487488</v>
      </c>
      <c r="AY667" s="74">
        <v>0</v>
      </c>
      <c r="AZ667" s="73"/>
      <c r="BA667" s="72">
        <v>324094.77383081574</v>
      </c>
      <c r="BB667" s="72">
        <v>0</v>
      </c>
      <c r="BC667" s="73"/>
      <c r="BD667" s="74">
        <v>-324.89472911396194</v>
      </c>
      <c r="BE667" s="74">
        <v>0</v>
      </c>
      <c r="BF667" s="73"/>
      <c r="BG667" s="72">
        <v>1352957.5309113243</v>
      </c>
      <c r="BH667" s="72">
        <v>0</v>
      </c>
      <c r="BI667" s="73"/>
      <c r="BJ667" s="74">
        <v>-1846.2439251429025</v>
      </c>
      <c r="BK667" s="74">
        <v>0</v>
      </c>
      <c r="BL667" s="73"/>
      <c r="BM667" s="72">
        <v>22867553.038332354</v>
      </c>
      <c r="BN667" s="72">
        <v>0</v>
      </c>
      <c r="BO667" s="73"/>
      <c r="BP667" s="74">
        <v>-5436.8665343703296</v>
      </c>
      <c r="BQ667" s="74">
        <v>0</v>
      </c>
      <c r="BS667" s="109">
        <f t="shared" si="264"/>
        <v>116195.1979222196</v>
      </c>
      <c r="BT667" s="109">
        <f t="shared" si="265"/>
        <v>116533.0281394694</v>
      </c>
      <c r="BV667" s="58">
        <f t="array" ref="BV667">SUM(IF(BS667:BT667&gt;=BS667, 1))</f>
        <v>2</v>
      </c>
      <c r="BW667" s="58">
        <f t="array" ref="BW667">SUM(IF(BS667:BT667&gt;=BT667, 1))</f>
        <v>1</v>
      </c>
      <c r="BY667" s="109">
        <f t="shared" si="266"/>
        <v>132743.70358428371</v>
      </c>
      <c r="BZ667" s="109">
        <f t="shared" si="267"/>
        <v>133035.0938156906</v>
      </c>
      <c r="CB667" s="58">
        <f t="array" ref="CB667">SUM(IF(BY667:BZ667&gt;=BY667, 1))</f>
        <v>2</v>
      </c>
      <c r="CC667" s="58">
        <f t="array" ref="CC667">SUM(IF(BY667:BZ667&gt;=BZ667, 1))</f>
        <v>1</v>
      </c>
      <c r="CE667" s="109">
        <f t="shared" si="268"/>
        <v>91962.606612115356</v>
      </c>
      <c r="CF667" s="109">
        <f t="shared" si="269"/>
        <v>93959.692987964459</v>
      </c>
      <c r="CH667" s="58">
        <f t="array" ref="CH667">SUM(IF(CE667:CF667&gt;=CE667, 1))</f>
        <v>2</v>
      </c>
      <c r="CI667" s="58">
        <f t="array" ref="CI667">SUM(IF(CE667:CF667&gt;=CF667, 1))</f>
        <v>1</v>
      </c>
      <c r="CK667" s="109">
        <f t="shared" si="270"/>
        <v>49036.957494499504</v>
      </c>
      <c r="CL667" s="109">
        <f t="shared" si="271"/>
        <v>49806.413139082346</v>
      </c>
      <c r="CN667" s="58">
        <f t="array" ref="CN667">SUM(IF(CK667:CL667&gt;=CK667, 1))</f>
        <v>2</v>
      </c>
      <c r="CO667" s="58">
        <f t="array" ref="CO667">SUM(IF(CK667:CL667&gt;=CL667, 1))</f>
        <v>1</v>
      </c>
      <c r="CQ667" s="109" cm="1">
        <f t="array" ref="CQ667">AF667*WTP-AC667</f>
        <v>29020.78305649331</v>
      </c>
      <c r="CR667" s="109">
        <f t="shared" si="272"/>
        <v>31450.693493188759</v>
      </c>
      <c r="CT667" s="58">
        <f t="array" ref="CT667">SUM(IF(CQ667:CR667&gt;=CQ667, 1))</f>
        <v>2</v>
      </c>
      <c r="CU667" s="58">
        <f t="array" ref="CU667">SUM(IF(CQ667:CR667&gt;=CR667, 1))</f>
        <v>1</v>
      </c>
      <c r="CW667" s="109">
        <f t="shared" si="273"/>
        <v>-36334993.229068145</v>
      </c>
      <c r="CX667" s="109">
        <f t="shared" si="274"/>
        <v>0</v>
      </c>
      <c r="CZ667" s="58">
        <f t="array" ref="CZ667">SUM(IF(CW667:CX667&gt;=CW667, 1))</f>
        <v>2</v>
      </c>
      <c r="DA667" s="58">
        <f t="array" ref="DA667">SUM(IF(CW667:CX667&gt;=CX667, 1))</f>
        <v>1</v>
      </c>
      <c r="DC667" s="109">
        <f t="shared" si="275"/>
        <v>-1956460.3600828857</v>
      </c>
      <c r="DD667" s="109">
        <f t="shared" si="276"/>
        <v>0</v>
      </c>
      <c r="DF667" s="58">
        <f t="array" ref="DF667">SUM(IF(DC667:DD667&gt;=DC667, 1))</f>
        <v>2</v>
      </c>
      <c r="DG667" s="58">
        <f t="array" ref="DG667">SUM(IF(DC667:DD667&gt;=DD667, 1))</f>
        <v>1</v>
      </c>
      <c r="DI667" s="109">
        <f t="shared" si="277"/>
        <v>-48213604.74670849</v>
      </c>
      <c r="DJ667" s="109">
        <f t="shared" si="278"/>
        <v>0</v>
      </c>
      <c r="DL667" s="58">
        <f t="array" ref="DL667">SUM(IF(DI667:DJ667&gt;=DI667, 1))</f>
        <v>2</v>
      </c>
      <c r="DM667" s="58">
        <f t="array" ref="DM667">SUM(IF(DI667:DJ667&gt;=DJ667, 1))</f>
        <v>1</v>
      </c>
      <c r="DO667" s="109">
        <f t="shared" si="279"/>
        <v>-6821989.356110055</v>
      </c>
      <c r="DP667" s="109">
        <f t="shared" si="280"/>
        <v>0</v>
      </c>
      <c r="DR667" s="58">
        <f t="array" ref="DR667">SUM(IF(DO667:DP667&gt;=DO667, 1))</f>
        <v>2</v>
      </c>
      <c r="DS667" s="58">
        <f t="array" ref="DS667">SUM(IF(DO667:DP667&gt;=DP667, 1))</f>
        <v>1</v>
      </c>
      <c r="DU667" s="109">
        <f t="shared" si="281"/>
        <v>-38277836.033769377</v>
      </c>
      <c r="DV667" s="109">
        <f t="shared" si="282"/>
        <v>0</v>
      </c>
      <c r="DX667" s="58">
        <f t="array" ref="DX667">SUM(IF(DU667:DV667&gt;=DU667, 1))</f>
        <v>2</v>
      </c>
      <c r="DY667" s="58">
        <f t="array" ref="DY667">SUM(IF(DU667:DV667&gt;=DV667, 1))</f>
        <v>1</v>
      </c>
      <c r="EA667" s="109">
        <f t="shared" si="283"/>
        <v>-131604883.72573896</v>
      </c>
      <c r="EB667" s="109">
        <f t="shared" si="284"/>
        <v>0</v>
      </c>
      <c r="ED667" s="58">
        <f t="array" ref="ED667">SUM(IF(EA667:EB667&gt;=EA667, 1))</f>
        <v>2</v>
      </c>
      <c r="EE667" s="58">
        <f t="array" ref="EE667">SUM(IF(EA667:EB667&gt;=EB667, 1))</f>
        <v>1</v>
      </c>
    </row>
    <row r="668" spans="4:135" ht="12" customHeight="1" x14ac:dyDescent="0.25">
      <c r="D668" s="11">
        <v>652</v>
      </c>
      <c r="E668" s="72">
        <v>219.5976629996953</v>
      </c>
      <c r="F668" s="72">
        <v>200.97034271240176</v>
      </c>
      <c r="G668" s="73"/>
      <c r="H668" s="74">
        <v>5.8253520727101478</v>
      </c>
      <c r="I668" s="74">
        <v>5.8384168586688325</v>
      </c>
      <c r="J668" s="73"/>
      <c r="K668" s="72">
        <v>235.82879994605423</v>
      </c>
      <c r="L668" s="72">
        <v>216.7343383564791</v>
      </c>
      <c r="M668" s="73"/>
      <c r="N668" s="74">
        <v>6.7023095712234024</v>
      </c>
      <c r="O668" s="74">
        <v>6.7130824578790902</v>
      </c>
      <c r="P668" s="73"/>
      <c r="Q668" s="72">
        <v>2655.6718737095671</v>
      </c>
      <c r="R668" s="72">
        <v>1098.5367708488427</v>
      </c>
      <c r="S668" s="73"/>
      <c r="T668" s="74">
        <v>4.7054619594161107</v>
      </c>
      <c r="U668" s="74">
        <v>4.8678360824839215</v>
      </c>
      <c r="V668" s="73"/>
      <c r="W668" s="72">
        <v>17627.747213409169</v>
      </c>
      <c r="X668" s="72">
        <v>17662.599276726974</v>
      </c>
      <c r="Y668" s="73"/>
      <c r="Z668" s="74">
        <v>3.0895830106763325</v>
      </c>
      <c r="AA668" s="74">
        <v>3.1432243430979687</v>
      </c>
      <c r="AB668" s="73"/>
      <c r="AC668" s="72">
        <v>50070.69108816707</v>
      </c>
      <c r="AD668" s="72">
        <v>49927.185482023822</v>
      </c>
      <c r="AE668" s="73"/>
      <c r="AF668" s="74">
        <v>5.1010485637062937</v>
      </c>
      <c r="AG668" s="74">
        <v>5.1838799214022515</v>
      </c>
      <c r="AH668" s="73"/>
      <c r="AI668" s="72">
        <v>1969347.1205474513</v>
      </c>
      <c r="AJ668" s="72">
        <v>0</v>
      </c>
      <c r="AK668" s="73"/>
      <c r="AL668" s="74">
        <v>-1381.2560374481502</v>
      </c>
      <c r="AM668" s="74">
        <v>0</v>
      </c>
      <c r="AN668" s="73"/>
      <c r="AO668" s="72">
        <v>125130.39920600063</v>
      </c>
      <c r="AP668" s="72">
        <v>0</v>
      </c>
      <c r="AQ668" s="73"/>
      <c r="AR668" s="74">
        <v>-70.597204404190862</v>
      </c>
      <c r="AS668" s="74">
        <v>0</v>
      </c>
      <c r="AT668" s="73"/>
      <c r="AU668" s="72">
        <v>35960170.753550805</v>
      </c>
      <c r="AV668" s="72">
        <v>0</v>
      </c>
      <c r="AW668" s="73"/>
      <c r="AX668" s="74">
        <v>-3749.8359524162702</v>
      </c>
      <c r="AY668" s="74">
        <v>0</v>
      </c>
      <c r="AZ668" s="73"/>
      <c r="BA668" s="72">
        <v>-318796.19589067437</v>
      </c>
      <c r="BB668" s="72">
        <v>0</v>
      </c>
      <c r="BC668" s="73"/>
      <c r="BD668" s="74">
        <v>-490.66399778369691</v>
      </c>
      <c r="BE668" s="74">
        <v>0</v>
      </c>
      <c r="BF668" s="73"/>
      <c r="BG668" s="72">
        <v>2321404.5960909575</v>
      </c>
      <c r="BH668" s="72">
        <v>0</v>
      </c>
      <c r="BI668" s="73"/>
      <c r="BJ668" s="74">
        <v>-1339.9134683554516</v>
      </c>
      <c r="BK668" s="74">
        <v>0</v>
      </c>
      <c r="BL668" s="73"/>
      <c r="BM668" s="72">
        <v>40057256.673504539</v>
      </c>
      <c r="BN668" s="72">
        <v>0</v>
      </c>
      <c r="BO668" s="73"/>
      <c r="BP668" s="74">
        <v>-7032.2666604077604</v>
      </c>
      <c r="BQ668" s="74">
        <v>0</v>
      </c>
      <c r="BS668" s="109">
        <f t="shared" si="264"/>
        <v>116287.44379120326</v>
      </c>
      <c r="BT668" s="109">
        <f t="shared" si="265"/>
        <v>116567.36683066425</v>
      </c>
      <c r="BV668" s="58">
        <f t="array" ref="BV668">SUM(IF(BS668:BT668&gt;=BS668, 1))</f>
        <v>2</v>
      </c>
      <c r="BW668" s="58">
        <f t="array" ref="BW668">SUM(IF(BS668:BT668&gt;=BT668, 1))</f>
        <v>1</v>
      </c>
      <c r="BY668" s="109">
        <f t="shared" si="266"/>
        <v>133810.36262452198</v>
      </c>
      <c r="BZ668" s="109">
        <f t="shared" si="267"/>
        <v>134044.91481922532</v>
      </c>
      <c r="CB668" s="58">
        <f t="array" ref="CB668">SUM(IF(BY668:BZ668&gt;=BY668, 1))</f>
        <v>2</v>
      </c>
      <c r="CC668" s="58">
        <f t="array" ref="CC668">SUM(IF(BY668:BZ668&gt;=BZ668, 1))</f>
        <v>1</v>
      </c>
      <c r="CE668" s="109">
        <f t="shared" si="268"/>
        <v>91453.56731461265</v>
      </c>
      <c r="CF668" s="109">
        <f t="shared" si="269"/>
        <v>96258.184878829576</v>
      </c>
      <c r="CH668" s="58">
        <f t="array" ref="CH668">SUM(IF(CE668:CF668&gt;=CE668, 1))</f>
        <v>2</v>
      </c>
      <c r="CI668" s="58">
        <f t="array" ref="CI668">SUM(IF(CE668:CF668&gt;=CF668, 1))</f>
        <v>1</v>
      </c>
      <c r="CK668" s="109">
        <f t="shared" si="270"/>
        <v>44163.913000117478</v>
      </c>
      <c r="CL668" s="109">
        <f t="shared" si="271"/>
        <v>45201.887585232398</v>
      </c>
      <c r="CN668" s="58">
        <f t="array" ref="CN668">SUM(IF(CK668:CL668&gt;=CK668, 1))</f>
        <v>2</v>
      </c>
      <c r="CO668" s="58">
        <f t="array" ref="CO668">SUM(IF(CK668:CL668&gt;=CL668, 1))</f>
        <v>1</v>
      </c>
      <c r="CQ668" s="109" cm="1">
        <f t="array" ref="CQ668">AF668*WTP-AC668</f>
        <v>51950.2801859588</v>
      </c>
      <c r="CR668" s="109">
        <f t="shared" si="272"/>
        <v>53750.412946021213</v>
      </c>
      <c r="CT668" s="58">
        <f t="array" ref="CT668">SUM(IF(CQ668:CR668&gt;=CQ668, 1))</f>
        <v>2</v>
      </c>
      <c r="CU668" s="58">
        <f t="array" ref="CU668">SUM(IF(CQ668:CR668&gt;=CR668, 1))</f>
        <v>1</v>
      </c>
      <c r="CW668" s="109">
        <f t="shared" si="273"/>
        <v>-29594467.869510457</v>
      </c>
      <c r="CX668" s="109">
        <f t="shared" si="274"/>
        <v>0</v>
      </c>
      <c r="CZ668" s="58">
        <f t="array" ref="CZ668">SUM(IF(CW668:CX668&gt;=CW668, 1))</f>
        <v>2</v>
      </c>
      <c r="DA668" s="58">
        <f t="array" ref="DA668">SUM(IF(CW668:CX668&gt;=CX668, 1))</f>
        <v>1</v>
      </c>
      <c r="DC668" s="109">
        <f t="shared" si="275"/>
        <v>-1537074.4872898178</v>
      </c>
      <c r="DD668" s="109">
        <f t="shared" si="276"/>
        <v>0</v>
      </c>
      <c r="DF668" s="58">
        <f t="array" ref="DF668">SUM(IF(DC668:DD668&gt;=DC668, 1))</f>
        <v>2</v>
      </c>
      <c r="DG668" s="58">
        <f t="array" ref="DG668">SUM(IF(DC668:DD668&gt;=DD668, 1))</f>
        <v>1</v>
      </c>
      <c r="DI668" s="109">
        <f t="shared" si="277"/>
        <v>-110956889.80187622</v>
      </c>
      <c r="DJ668" s="109">
        <f t="shared" si="278"/>
        <v>0</v>
      </c>
      <c r="DL668" s="58">
        <f t="array" ref="DL668">SUM(IF(DI668:DJ668&gt;=DI668, 1))</f>
        <v>2</v>
      </c>
      <c r="DM668" s="58">
        <f t="array" ref="DM668">SUM(IF(DI668:DJ668&gt;=DJ668, 1))</f>
        <v>1</v>
      </c>
      <c r="DO668" s="109">
        <f t="shared" si="279"/>
        <v>-9494483.7597832642</v>
      </c>
      <c r="DP668" s="109">
        <f t="shared" si="280"/>
        <v>0</v>
      </c>
      <c r="DR668" s="58">
        <f t="array" ref="DR668">SUM(IF(DO668:DP668&gt;=DO668, 1))</f>
        <v>2</v>
      </c>
      <c r="DS668" s="58">
        <f t="array" ref="DS668">SUM(IF(DO668:DP668&gt;=DP668, 1))</f>
        <v>1</v>
      </c>
      <c r="DU668" s="109">
        <f t="shared" si="281"/>
        <v>-29119673.963199992</v>
      </c>
      <c r="DV668" s="109">
        <f t="shared" si="282"/>
        <v>0</v>
      </c>
      <c r="DX668" s="58">
        <f t="array" ref="DX668">SUM(IF(DU668:DV668&gt;=DU668, 1))</f>
        <v>2</v>
      </c>
      <c r="DY668" s="58">
        <f t="array" ref="DY668">SUM(IF(DU668:DV668&gt;=DV668, 1))</f>
        <v>1</v>
      </c>
      <c r="EA668" s="109">
        <f t="shared" si="283"/>
        <v>-180702589.88165975</v>
      </c>
      <c r="EB668" s="109">
        <f t="shared" si="284"/>
        <v>0</v>
      </c>
      <c r="ED668" s="58">
        <f t="array" ref="ED668">SUM(IF(EA668:EB668&gt;=EA668, 1))</f>
        <v>2</v>
      </c>
      <c r="EE668" s="58">
        <f t="array" ref="EE668">SUM(IF(EA668:EB668&gt;=EB668, 1))</f>
        <v>1</v>
      </c>
    </row>
    <row r="669" spans="4:135" ht="12" customHeight="1" x14ac:dyDescent="0.25">
      <c r="D669" s="11">
        <v>653</v>
      </c>
      <c r="E669" s="72">
        <v>293.60246173141712</v>
      </c>
      <c r="F669" s="72">
        <v>264.60395256560611</v>
      </c>
      <c r="G669" s="73"/>
      <c r="H669" s="74">
        <v>5.8715059316910949</v>
      </c>
      <c r="I669" s="74">
        <v>5.8899741948433268</v>
      </c>
      <c r="J669" s="73"/>
      <c r="K669" s="72">
        <v>315.02040472627351</v>
      </c>
      <c r="L669" s="72">
        <v>285.34230409667248</v>
      </c>
      <c r="M669" s="73"/>
      <c r="N669" s="74">
        <v>6.7396626522726466</v>
      </c>
      <c r="O669" s="74">
        <v>6.7562896194459832</v>
      </c>
      <c r="P669" s="73"/>
      <c r="Q669" s="72">
        <v>3071.8256057328936</v>
      </c>
      <c r="R669" s="72">
        <v>1771.3372651250379</v>
      </c>
      <c r="S669" s="73"/>
      <c r="T669" s="74">
        <v>4.7935751943589571</v>
      </c>
      <c r="U669" s="74">
        <v>4.8982518766124326</v>
      </c>
      <c r="V669" s="73"/>
      <c r="W669" s="72">
        <v>13783.32962008729</v>
      </c>
      <c r="X669" s="72">
        <v>13813.307804751676</v>
      </c>
      <c r="Y669" s="73"/>
      <c r="Z669" s="74">
        <v>2.9762852313192676</v>
      </c>
      <c r="AA669" s="74">
        <v>3.0202180420325799</v>
      </c>
      <c r="AB669" s="73"/>
      <c r="AC669" s="72">
        <v>50434.588031313862</v>
      </c>
      <c r="AD669" s="72">
        <v>50544.981076703501</v>
      </c>
      <c r="AE669" s="73"/>
      <c r="AF669" s="74">
        <v>4.2055360693780752</v>
      </c>
      <c r="AG669" s="74">
        <v>4.246045324314613</v>
      </c>
      <c r="AH669" s="73"/>
      <c r="AI669" s="72">
        <v>3136608.6624497529</v>
      </c>
      <c r="AJ669" s="72">
        <v>0</v>
      </c>
      <c r="AK669" s="73"/>
      <c r="AL669" s="74">
        <v>-1997.6100789342827</v>
      </c>
      <c r="AM669" s="74">
        <v>0</v>
      </c>
      <c r="AN669" s="73"/>
      <c r="AO669" s="72">
        <v>197495.38704398909</v>
      </c>
      <c r="AP669" s="72">
        <v>0</v>
      </c>
      <c r="AQ669" s="73"/>
      <c r="AR669" s="74">
        <v>-110.64553484229994</v>
      </c>
      <c r="AS669" s="74">
        <v>0</v>
      </c>
      <c r="AT669" s="73"/>
      <c r="AU669" s="72">
        <v>30263917.884477537</v>
      </c>
      <c r="AV669" s="72">
        <v>0</v>
      </c>
      <c r="AW669" s="73"/>
      <c r="AX669" s="74">
        <v>-2435.9514939272908</v>
      </c>
      <c r="AY669" s="74">
        <v>0</v>
      </c>
      <c r="AZ669" s="73"/>
      <c r="BA669" s="72">
        <v>-262032.27431355344</v>
      </c>
      <c r="BB669" s="72">
        <v>0</v>
      </c>
      <c r="BC669" s="73"/>
      <c r="BD669" s="74">
        <v>-384.00638454510164</v>
      </c>
      <c r="BE669" s="74">
        <v>0</v>
      </c>
      <c r="BF669" s="73"/>
      <c r="BG669" s="72">
        <v>-1728996.432696098</v>
      </c>
      <c r="BH669" s="72">
        <v>0</v>
      </c>
      <c r="BI669" s="73"/>
      <c r="BJ669" s="74">
        <v>-634.46349386629208</v>
      </c>
      <c r="BK669" s="74">
        <v>0</v>
      </c>
      <c r="BL669" s="73"/>
      <c r="BM669" s="72">
        <v>31606993.226961628</v>
      </c>
      <c r="BN669" s="72">
        <v>0</v>
      </c>
      <c r="BO669" s="73"/>
      <c r="BP669" s="74">
        <v>-5562.676986115267</v>
      </c>
      <c r="BQ669" s="74">
        <v>0</v>
      </c>
      <c r="BS669" s="109">
        <f t="shared" si="264"/>
        <v>117136.51617209049</v>
      </c>
      <c r="BT669" s="109">
        <f t="shared" si="265"/>
        <v>117534.87994430093</v>
      </c>
      <c r="BV669" s="58">
        <f t="array" ref="BV669">SUM(IF(BS669:BT669&gt;=BS669, 1))</f>
        <v>2</v>
      </c>
      <c r="BW669" s="58">
        <f t="array" ref="BW669">SUM(IF(BS669:BT669&gt;=BT669, 1))</f>
        <v>1</v>
      </c>
      <c r="BY669" s="109">
        <f t="shared" si="266"/>
        <v>134478.23264072667</v>
      </c>
      <c r="BZ669" s="109">
        <f t="shared" si="267"/>
        <v>134840.45008482298</v>
      </c>
      <c r="CB669" s="58">
        <f t="array" ref="CB669">SUM(IF(BY669:BZ669&gt;=BY669, 1))</f>
        <v>2</v>
      </c>
      <c r="CC669" s="58">
        <f t="array" ref="CC669">SUM(IF(BY669:BZ669&gt;=BZ669, 1))</f>
        <v>1</v>
      </c>
      <c r="CE669" s="109">
        <f t="shared" si="268"/>
        <v>92799.678281446249</v>
      </c>
      <c r="CF669" s="109">
        <f t="shared" si="269"/>
        <v>96193.700267123611</v>
      </c>
      <c r="CH669" s="58">
        <f t="array" ref="CH669">SUM(IF(CE669:CF669&gt;=CE669, 1))</f>
        <v>2</v>
      </c>
      <c r="CI669" s="58">
        <f t="array" ref="CI669">SUM(IF(CE669:CF669&gt;=CF669, 1))</f>
        <v>1</v>
      </c>
      <c r="CK669" s="109">
        <f t="shared" si="270"/>
        <v>45742.375006298069</v>
      </c>
      <c r="CL669" s="109">
        <f t="shared" si="271"/>
        <v>46591.053035899924</v>
      </c>
      <c r="CN669" s="58">
        <f t="array" ref="CN669">SUM(IF(CK669:CL669&gt;=CK669, 1))</f>
        <v>2</v>
      </c>
      <c r="CO669" s="58">
        <f t="array" ref="CO669">SUM(IF(CK669:CL669&gt;=CL669, 1))</f>
        <v>1</v>
      </c>
      <c r="CQ669" s="109" cm="1">
        <f t="array" ref="CQ669">AF669*WTP-AC669</f>
        <v>33676.133356247636</v>
      </c>
      <c r="CR669" s="109">
        <f t="shared" si="272"/>
        <v>34375.925409588752</v>
      </c>
      <c r="CT669" s="58">
        <f t="array" ref="CT669">SUM(IF(CQ669:CR669&gt;=CQ669, 1))</f>
        <v>2</v>
      </c>
      <c r="CU669" s="58">
        <f t="array" ref="CU669">SUM(IF(CQ669:CR669&gt;=CR669, 1))</f>
        <v>1</v>
      </c>
      <c r="CW669" s="109">
        <f t="shared" si="273"/>
        <v>-43088810.241135411</v>
      </c>
      <c r="CX669" s="109">
        <f t="shared" si="274"/>
        <v>0</v>
      </c>
      <c r="CZ669" s="58">
        <f t="array" ref="CZ669">SUM(IF(CW669:CX669&gt;=CW669, 1))</f>
        <v>2</v>
      </c>
      <c r="DA669" s="58">
        <f t="array" ref="DA669">SUM(IF(CW669:CX669&gt;=CX669, 1))</f>
        <v>1</v>
      </c>
      <c r="DC669" s="109">
        <f t="shared" si="275"/>
        <v>-2410406.0838899883</v>
      </c>
      <c r="DD669" s="109">
        <f t="shared" si="276"/>
        <v>0</v>
      </c>
      <c r="DF669" s="58">
        <f t="array" ref="DF669">SUM(IF(DC669:DD669&gt;=DC669, 1))</f>
        <v>2</v>
      </c>
      <c r="DG669" s="58">
        <f t="array" ref="DG669">SUM(IF(DC669:DD669&gt;=DD669, 1))</f>
        <v>1</v>
      </c>
      <c r="DI669" s="109">
        <f t="shared" si="277"/>
        <v>-78982947.763023347</v>
      </c>
      <c r="DJ669" s="109">
        <f t="shared" si="278"/>
        <v>0</v>
      </c>
      <c r="DL669" s="58">
        <f t="array" ref="DL669">SUM(IF(DI669:DJ669&gt;=DI669, 1))</f>
        <v>2</v>
      </c>
      <c r="DM669" s="58">
        <f t="array" ref="DM669">SUM(IF(DI669:DJ669&gt;=DJ669, 1))</f>
        <v>1</v>
      </c>
      <c r="DO669" s="109">
        <f t="shared" si="279"/>
        <v>-7418095.4165884797</v>
      </c>
      <c r="DP669" s="109">
        <f t="shared" si="280"/>
        <v>0</v>
      </c>
      <c r="DR669" s="58">
        <f t="array" ref="DR669">SUM(IF(DO669:DP669&gt;=DO669, 1))</f>
        <v>2</v>
      </c>
      <c r="DS669" s="58">
        <f t="array" ref="DS669">SUM(IF(DO669:DP669&gt;=DP669, 1))</f>
        <v>1</v>
      </c>
      <c r="DU669" s="109">
        <f t="shared" si="281"/>
        <v>-10960273.444629744</v>
      </c>
      <c r="DV669" s="109">
        <f t="shared" si="282"/>
        <v>0</v>
      </c>
      <c r="DX669" s="58">
        <f t="array" ref="DX669">SUM(IF(DU669:DV669&gt;=DU669, 1))</f>
        <v>2</v>
      </c>
      <c r="DY669" s="58">
        <f t="array" ref="DY669">SUM(IF(DU669:DV669&gt;=DV669, 1))</f>
        <v>1</v>
      </c>
      <c r="EA669" s="109">
        <f t="shared" si="283"/>
        <v>-142860532.94926697</v>
      </c>
      <c r="EB669" s="109">
        <f t="shared" si="284"/>
        <v>0</v>
      </c>
      <c r="ED669" s="58">
        <f t="array" ref="ED669">SUM(IF(EA669:EB669&gt;=EA669, 1))</f>
        <v>2</v>
      </c>
      <c r="EE669" s="58">
        <f t="array" ref="EE669">SUM(IF(EA669:EB669&gt;=EB669, 1))</f>
        <v>1</v>
      </c>
    </row>
    <row r="670" spans="4:135" ht="12" customHeight="1" x14ac:dyDescent="0.25">
      <c r="D670" s="11">
        <v>654</v>
      </c>
      <c r="E670" s="72">
        <v>342.58505575008616</v>
      </c>
      <c r="F670" s="72">
        <v>304.66902385513157</v>
      </c>
      <c r="G670" s="73"/>
      <c r="H670" s="74">
        <v>5.8715316266786752</v>
      </c>
      <c r="I670" s="74">
        <v>5.8907674173107383</v>
      </c>
      <c r="J670" s="73"/>
      <c r="K670" s="72">
        <v>367.35389279879382</v>
      </c>
      <c r="L670" s="72">
        <v>328.51748874269498</v>
      </c>
      <c r="M670" s="73"/>
      <c r="N670" s="74">
        <v>6.6641050487511428</v>
      </c>
      <c r="O670" s="74">
        <v>6.6808221613704299</v>
      </c>
      <c r="P670" s="73"/>
      <c r="Q670" s="72">
        <v>1834.5167426310231</v>
      </c>
      <c r="R670" s="72">
        <v>1227.7993306095511</v>
      </c>
      <c r="S670" s="73"/>
      <c r="T670" s="74">
        <v>4.8440186427464074</v>
      </c>
      <c r="U670" s="74">
        <v>4.9151964008148843</v>
      </c>
      <c r="V670" s="73"/>
      <c r="W670" s="72">
        <v>15888.262875703094</v>
      </c>
      <c r="X670" s="72">
        <v>15788.41632441583</v>
      </c>
      <c r="Y670" s="73"/>
      <c r="Z670" s="74">
        <v>2.9109812265388397</v>
      </c>
      <c r="AA670" s="74">
        <v>2.9386760641882232</v>
      </c>
      <c r="AB670" s="73"/>
      <c r="AC670" s="72">
        <v>49781.540829555583</v>
      </c>
      <c r="AD670" s="72">
        <v>49855.315935968749</v>
      </c>
      <c r="AE670" s="73"/>
      <c r="AF670" s="74">
        <v>4.3989218177486098</v>
      </c>
      <c r="AG670" s="74">
        <v>4.4783892403723975</v>
      </c>
      <c r="AH670" s="73"/>
      <c r="AI670" s="72">
        <v>4008674.1591176987</v>
      </c>
      <c r="AJ670" s="72">
        <v>0</v>
      </c>
      <c r="AK670" s="73"/>
      <c r="AL670" s="74">
        <v>-2033.7048204458945</v>
      </c>
      <c r="AM670" s="74">
        <v>0</v>
      </c>
      <c r="AN670" s="73"/>
      <c r="AO670" s="72">
        <v>267298.79696138552</v>
      </c>
      <c r="AP670" s="72">
        <v>0</v>
      </c>
      <c r="AQ670" s="73"/>
      <c r="AR670" s="74">
        <v>-115.05864665917014</v>
      </c>
      <c r="AS670" s="74">
        <v>0</v>
      </c>
      <c r="AT670" s="73"/>
      <c r="AU670" s="72">
        <v>13942190.660750154</v>
      </c>
      <c r="AV670" s="72">
        <v>0</v>
      </c>
      <c r="AW670" s="73"/>
      <c r="AX670" s="74">
        <v>-1635.6442952395973</v>
      </c>
      <c r="AY670" s="74">
        <v>0</v>
      </c>
      <c r="AZ670" s="73"/>
      <c r="BA670" s="72">
        <v>916278.90440805512</v>
      </c>
      <c r="BB670" s="72">
        <v>0</v>
      </c>
      <c r="BC670" s="73"/>
      <c r="BD670" s="74">
        <v>-254.15194788378088</v>
      </c>
      <c r="BE670" s="74">
        <v>0</v>
      </c>
      <c r="BF670" s="73"/>
      <c r="BG670" s="72">
        <v>-1154112.763618093</v>
      </c>
      <c r="BH670" s="72">
        <v>0</v>
      </c>
      <c r="BI670" s="73"/>
      <c r="BJ670" s="74">
        <v>-1243.161429389397</v>
      </c>
      <c r="BK670" s="74">
        <v>0</v>
      </c>
      <c r="BL670" s="73"/>
      <c r="BM670" s="72">
        <v>17980329.757619202</v>
      </c>
      <c r="BN670" s="72">
        <v>0</v>
      </c>
      <c r="BO670" s="73"/>
      <c r="BP670" s="74">
        <v>-5281.72113961784</v>
      </c>
      <c r="BQ670" s="74">
        <v>0</v>
      </c>
      <c r="BS670" s="109">
        <f t="shared" si="264"/>
        <v>117088.04747782342</v>
      </c>
      <c r="BT670" s="109">
        <f t="shared" si="265"/>
        <v>117510.67932235963</v>
      </c>
      <c r="BV670" s="58">
        <f t="array" ref="BV670">SUM(IF(BS670:BT670&gt;=BS670, 1))</f>
        <v>2</v>
      </c>
      <c r="BW670" s="58">
        <f t="array" ref="BW670">SUM(IF(BS670:BT670&gt;=BT670, 1))</f>
        <v>1</v>
      </c>
      <c r="BY670" s="109">
        <f t="shared" si="266"/>
        <v>132914.74708222406</v>
      </c>
      <c r="BZ670" s="109">
        <f t="shared" si="267"/>
        <v>133287.92573866592</v>
      </c>
      <c r="CB670" s="58">
        <f t="array" ref="CB670">SUM(IF(BY670:BZ670&gt;=BY670, 1))</f>
        <v>2</v>
      </c>
      <c r="CC670" s="58">
        <f t="array" ref="CC670">SUM(IF(BY670:BZ670&gt;=BZ670, 1))</f>
        <v>1</v>
      </c>
      <c r="CE670" s="109">
        <f t="shared" si="268"/>
        <v>95045.85611229713</v>
      </c>
      <c r="CF670" s="109">
        <f t="shared" si="269"/>
        <v>97076.128685688134</v>
      </c>
      <c r="CH670" s="58">
        <f t="array" ref="CH670">SUM(IF(CE670:CF670&gt;=CE670, 1))</f>
        <v>2</v>
      </c>
      <c r="CI670" s="58">
        <f t="array" ref="CI670">SUM(IF(CE670:CF670&gt;=CF670, 1))</f>
        <v>1</v>
      </c>
      <c r="CK670" s="109">
        <f t="shared" si="270"/>
        <v>42331.361655073706</v>
      </c>
      <c r="CL670" s="109">
        <f t="shared" si="271"/>
        <v>42985.104959348639</v>
      </c>
      <c r="CN670" s="58">
        <f t="array" ref="CN670">SUM(IF(CK670:CL670&gt;=CK670, 1))</f>
        <v>2</v>
      </c>
      <c r="CO670" s="58">
        <f t="array" ref="CO670">SUM(IF(CK670:CL670&gt;=CL670, 1))</f>
        <v>1</v>
      </c>
      <c r="CQ670" s="109" cm="1">
        <f t="array" ref="CQ670">AF670*WTP-AC670</f>
        <v>38196.895525416607</v>
      </c>
      <c r="CR670" s="109">
        <f t="shared" si="272"/>
        <v>39712.468871479206</v>
      </c>
      <c r="CT670" s="58">
        <f t="array" ref="CT670">SUM(IF(CQ670:CR670&gt;=CQ670, 1))</f>
        <v>2</v>
      </c>
      <c r="CU670" s="58">
        <f t="array" ref="CU670">SUM(IF(CQ670:CR670&gt;=CR670, 1))</f>
        <v>1</v>
      </c>
      <c r="CW670" s="109">
        <f t="shared" si="273"/>
        <v>-44682770.568035588</v>
      </c>
      <c r="CX670" s="109">
        <f t="shared" si="274"/>
        <v>0</v>
      </c>
      <c r="CZ670" s="58">
        <f t="array" ref="CZ670">SUM(IF(CW670:CX670&gt;=CW670, 1))</f>
        <v>2</v>
      </c>
      <c r="DA670" s="58">
        <f t="array" ref="DA670">SUM(IF(CW670:CX670&gt;=CX670, 1))</f>
        <v>1</v>
      </c>
      <c r="DC670" s="109">
        <f t="shared" si="275"/>
        <v>-2568471.7301447885</v>
      </c>
      <c r="DD670" s="109">
        <f t="shared" si="276"/>
        <v>0</v>
      </c>
      <c r="DF670" s="58">
        <f t="array" ref="DF670">SUM(IF(DC670:DD670&gt;=DC670, 1))</f>
        <v>2</v>
      </c>
      <c r="DG670" s="58">
        <f t="array" ref="DG670">SUM(IF(DC670:DD670&gt;=DD670, 1))</f>
        <v>1</v>
      </c>
      <c r="DI670" s="109">
        <f t="shared" si="277"/>
        <v>-46655076.565542102</v>
      </c>
      <c r="DJ670" s="109">
        <f t="shared" si="278"/>
        <v>0</v>
      </c>
      <c r="DL670" s="58">
        <f t="array" ref="DL670">SUM(IF(DI670:DJ670&gt;=DI670, 1))</f>
        <v>2</v>
      </c>
      <c r="DM670" s="58">
        <f t="array" ref="DM670">SUM(IF(DI670:DJ670&gt;=DJ670, 1))</f>
        <v>1</v>
      </c>
      <c r="DO670" s="109">
        <f t="shared" si="279"/>
        <v>-5999317.8620836725</v>
      </c>
      <c r="DP670" s="109">
        <f t="shared" si="280"/>
        <v>0</v>
      </c>
      <c r="DR670" s="58">
        <f t="array" ref="DR670">SUM(IF(DO670:DP670&gt;=DO670, 1))</f>
        <v>2</v>
      </c>
      <c r="DS670" s="58">
        <f t="array" ref="DS670">SUM(IF(DO670:DP670&gt;=DP670, 1))</f>
        <v>1</v>
      </c>
      <c r="DU670" s="109">
        <f t="shared" si="281"/>
        <v>-23709115.824169848</v>
      </c>
      <c r="DV670" s="109">
        <f t="shared" si="282"/>
        <v>0</v>
      </c>
      <c r="DX670" s="58">
        <f t="array" ref="DX670">SUM(IF(DU670:DV670&gt;=DU670, 1))</f>
        <v>2</v>
      </c>
      <c r="DY670" s="58">
        <f t="array" ref="DY670">SUM(IF(DU670:DV670&gt;=DV670, 1))</f>
        <v>1</v>
      </c>
      <c r="EA670" s="109">
        <f t="shared" si="283"/>
        <v>-123614752.54997601</v>
      </c>
      <c r="EB670" s="109">
        <f t="shared" si="284"/>
        <v>0</v>
      </c>
      <c r="ED670" s="58">
        <f t="array" ref="ED670">SUM(IF(EA670:EB670&gt;=EA670, 1))</f>
        <v>2</v>
      </c>
      <c r="EE670" s="58">
        <f t="array" ref="EE670">SUM(IF(EA670:EB670&gt;=EB670, 1))</f>
        <v>1</v>
      </c>
    </row>
    <row r="671" spans="4:135" ht="12" customHeight="1" x14ac:dyDescent="0.25">
      <c r="D671" s="11">
        <v>655</v>
      </c>
      <c r="E671" s="72">
        <v>265.76807695021114</v>
      </c>
      <c r="F671" s="72">
        <v>229.20141496051664</v>
      </c>
      <c r="G671" s="73"/>
      <c r="H671" s="74">
        <v>5.8363242231479955</v>
      </c>
      <c r="I671" s="74">
        <v>5.8558738597848139</v>
      </c>
      <c r="J671" s="73"/>
      <c r="K671" s="72">
        <v>284.49533440035776</v>
      </c>
      <c r="L671" s="72">
        <v>247.0691924972887</v>
      </c>
      <c r="M671" s="73"/>
      <c r="N671" s="74">
        <v>6.7236439857598693</v>
      </c>
      <c r="O671" s="74">
        <v>6.7410438033102276</v>
      </c>
      <c r="P671" s="73"/>
      <c r="Q671" s="72">
        <v>4325.1857157436762</v>
      </c>
      <c r="R671" s="72">
        <v>1910.5393052475561</v>
      </c>
      <c r="S671" s="73"/>
      <c r="T671" s="74">
        <v>4.810110178255357</v>
      </c>
      <c r="U671" s="74">
        <v>5.0023231487638915</v>
      </c>
      <c r="V671" s="73"/>
      <c r="W671" s="72">
        <v>11865.346580262079</v>
      </c>
      <c r="X671" s="72">
        <v>11882.408682631942</v>
      </c>
      <c r="Y671" s="73"/>
      <c r="Z671" s="74">
        <v>2.9673847507012274</v>
      </c>
      <c r="AA671" s="74">
        <v>3.0073825778229986</v>
      </c>
      <c r="AB671" s="73"/>
      <c r="AC671" s="72">
        <v>50126.118000002629</v>
      </c>
      <c r="AD671" s="72">
        <v>50338.800226189931</v>
      </c>
      <c r="AE671" s="73"/>
      <c r="AF671" s="74">
        <v>4.5511462543753387</v>
      </c>
      <c r="AG671" s="74">
        <v>4.6314622811106805</v>
      </c>
      <c r="AH671" s="73"/>
      <c r="AI671" s="72">
        <v>3922707.6288225409</v>
      </c>
      <c r="AJ671" s="72">
        <v>0</v>
      </c>
      <c r="AK671" s="73"/>
      <c r="AL671" s="74">
        <v>-2097.197408873933</v>
      </c>
      <c r="AM671" s="74">
        <v>0</v>
      </c>
      <c r="AN671" s="73"/>
      <c r="AO671" s="72">
        <v>255438.53460461102</v>
      </c>
      <c r="AP671" s="72">
        <v>0</v>
      </c>
      <c r="AQ671" s="73"/>
      <c r="AR671" s="74">
        <v>-118.7561333188509</v>
      </c>
      <c r="AS671" s="74">
        <v>0</v>
      </c>
      <c r="AT671" s="73"/>
      <c r="AU671" s="72">
        <v>56755538.540453635</v>
      </c>
      <c r="AV671" s="72">
        <v>0</v>
      </c>
      <c r="AW671" s="73"/>
      <c r="AX671" s="74">
        <v>-4517.90813274014</v>
      </c>
      <c r="AY671" s="74">
        <v>0</v>
      </c>
      <c r="AZ671" s="73"/>
      <c r="BA671" s="72">
        <v>-156532.11569139845</v>
      </c>
      <c r="BB671" s="72">
        <v>0</v>
      </c>
      <c r="BC671" s="73"/>
      <c r="BD671" s="74">
        <v>-366.95035387249163</v>
      </c>
      <c r="BE671" s="74">
        <v>0</v>
      </c>
      <c r="BF671" s="73"/>
      <c r="BG671" s="72">
        <v>-3341466.6818027268</v>
      </c>
      <c r="BH671" s="72">
        <v>0</v>
      </c>
      <c r="BI671" s="73"/>
      <c r="BJ671" s="74">
        <v>-1261.8512235929584</v>
      </c>
      <c r="BK671" s="74">
        <v>0</v>
      </c>
      <c r="BL671" s="73"/>
      <c r="BM671" s="72">
        <v>57435685.906386659</v>
      </c>
      <c r="BN671" s="72">
        <v>0</v>
      </c>
      <c r="BO671" s="73"/>
      <c r="BP671" s="74">
        <v>-8362.6632523983753</v>
      </c>
      <c r="BQ671" s="74">
        <v>0</v>
      </c>
      <c r="BS671" s="109">
        <f t="shared" si="264"/>
        <v>116460.71638600971</v>
      </c>
      <c r="BT671" s="109">
        <f t="shared" si="265"/>
        <v>116888.27578073576</v>
      </c>
      <c r="BV671" s="58">
        <f t="array" ref="BV671">SUM(IF(BS671:BT671&gt;=BS671, 1))</f>
        <v>2</v>
      </c>
      <c r="BW671" s="58">
        <f t="array" ref="BW671">SUM(IF(BS671:BT671&gt;=BT671, 1))</f>
        <v>1</v>
      </c>
      <c r="BY671" s="109">
        <f t="shared" si="266"/>
        <v>134188.38438079704</v>
      </c>
      <c r="BZ671" s="109">
        <f t="shared" si="267"/>
        <v>134573.80687370725</v>
      </c>
      <c r="CB671" s="58">
        <f t="array" ref="CB671">SUM(IF(BY671:BZ671&gt;=BY671, 1))</f>
        <v>2</v>
      </c>
      <c r="CC671" s="58">
        <f t="array" ref="CC671">SUM(IF(BY671:BZ671&gt;=BZ671, 1))</f>
        <v>1</v>
      </c>
      <c r="CE671" s="109">
        <f t="shared" si="268"/>
        <v>91877.017849363459</v>
      </c>
      <c r="CF671" s="109">
        <f t="shared" si="269"/>
        <v>98135.923670030272</v>
      </c>
      <c r="CH671" s="58">
        <f t="array" ref="CH671">SUM(IF(CE671:CF671&gt;=CE671, 1))</f>
        <v>2</v>
      </c>
      <c r="CI671" s="58">
        <f t="array" ref="CI671">SUM(IF(CE671:CF671&gt;=CF671, 1))</f>
        <v>1</v>
      </c>
      <c r="CK671" s="109">
        <f t="shared" si="270"/>
        <v>47482.348433762469</v>
      </c>
      <c r="CL671" s="109">
        <f t="shared" si="271"/>
        <v>48265.242873828029</v>
      </c>
      <c r="CN671" s="58">
        <f t="array" ref="CN671">SUM(IF(CK671:CL671&gt;=CK671, 1))</f>
        <v>2</v>
      </c>
      <c r="CO671" s="58">
        <f t="array" ref="CO671">SUM(IF(CK671:CL671&gt;=CL671, 1))</f>
        <v>1</v>
      </c>
      <c r="CQ671" s="109" cm="1">
        <f t="array" ref="CQ671">AF671*WTP-AC671</f>
        <v>40896.807087504152</v>
      </c>
      <c r="CR671" s="109">
        <f t="shared" si="272"/>
        <v>42290.445396023679</v>
      </c>
      <c r="CT671" s="58">
        <f t="array" ref="CT671">SUM(IF(CQ671:CR671&gt;=CQ671, 1))</f>
        <v>2</v>
      </c>
      <c r="CU671" s="58">
        <f t="array" ref="CU671">SUM(IF(CQ671:CR671&gt;=CR671, 1))</f>
        <v>1</v>
      </c>
      <c r="CW671" s="109">
        <f t="shared" si="273"/>
        <v>-45866655.806301206</v>
      </c>
      <c r="CX671" s="109">
        <f t="shared" si="274"/>
        <v>0</v>
      </c>
      <c r="CZ671" s="58">
        <f t="array" ref="CZ671">SUM(IF(CW671:CX671&gt;=CW671, 1))</f>
        <v>2</v>
      </c>
      <c r="DA671" s="58">
        <f t="array" ref="DA671">SUM(IF(CW671:CX671&gt;=CX671, 1))</f>
        <v>1</v>
      </c>
      <c r="DC671" s="109">
        <f t="shared" si="275"/>
        <v>-2630561.2009816291</v>
      </c>
      <c r="DD671" s="109">
        <f t="shared" si="276"/>
        <v>0</v>
      </c>
      <c r="DF671" s="58">
        <f t="array" ref="DF671">SUM(IF(DC671:DD671&gt;=DC671, 1))</f>
        <v>2</v>
      </c>
      <c r="DG671" s="58">
        <f t="array" ref="DG671">SUM(IF(DC671:DD671&gt;=DD671, 1))</f>
        <v>1</v>
      </c>
      <c r="DI671" s="109">
        <f t="shared" si="277"/>
        <v>-147113701.19525644</v>
      </c>
      <c r="DJ671" s="109">
        <f t="shared" si="278"/>
        <v>0</v>
      </c>
      <c r="DL671" s="58">
        <f t="array" ref="DL671">SUM(IF(DI671:DJ671&gt;=DI671, 1))</f>
        <v>2</v>
      </c>
      <c r="DM671" s="58">
        <f t="array" ref="DM671">SUM(IF(DI671:DJ671&gt;=DJ671, 1))</f>
        <v>1</v>
      </c>
      <c r="DO671" s="109">
        <f t="shared" si="279"/>
        <v>-7182474.9617584348</v>
      </c>
      <c r="DP671" s="109">
        <f t="shared" si="280"/>
        <v>0</v>
      </c>
      <c r="DR671" s="58">
        <f t="array" ref="DR671">SUM(IF(DO671:DP671&gt;=DO671, 1))</f>
        <v>2</v>
      </c>
      <c r="DS671" s="58">
        <f t="array" ref="DS671">SUM(IF(DO671:DP671&gt;=DP671, 1))</f>
        <v>1</v>
      </c>
      <c r="DU671" s="109">
        <f t="shared" si="281"/>
        <v>-21895557.790056441</v>
      </c>
      <c r="DV671" s="109">
        <f t="shared" si="282"/>
        <v>0</v>
      </c>
      <c r="DX671" s="58">
        <f t="array" ref="DX671">SUM(IF(DU671:DV671&gt;=DU671, 1))</f>
        <v>2</v>
      </c>
      <c r="DY671" s="58">
        <f t="array" ref="DY671">SUM(IF(DU671:DV671&gt;=DV671, 1))</f>
        <v>1</v>
      </c>
      <c r="EA671" s="109">
        <f t="shared" si="283"/>
        <v>-224688950.95435417</v>
      </c>
      <c r="EB671" s="109">
        <f t="shared" si="284"/>
        <v>0</v>
      </c>
      <c r="ED671" s="58">
        <f t="array" ref="ED671">SUM(IF(EA671:EB671&gt;=EA671, 1))</f>
        <v>2</v>
      </c>
      <c r="EE671" s="58">
        <f t="array" ref="EE671">SUM(IF(EA671:EB671&gt;=EB671, 1))</f>
        <v>1</v>
      </c>
    </row>
    <row r="672" spans="4:135" ht="12" customHeight="1" x14ac:dyDescent="0.25">
      <c r="D672" s="11">
        <v>656</v>
      </c>
      <c r="E672" s="72">
        <v>222.08128385981368</v>
      </c>
      <c r="F672" s="72">
        <v>195.54251458280868</v>
      </c>
      <c r="G672" s="73"/>
      <c r="H672" s="74">
        <v>5.8151983540676451</v>
      </c>
      <c r="I672" s="74">
        <v>5.8335628560784079</v>
      </c>
      <c r="J672" s="73"/>
      <c r="K672" s="72">
        <v>237.96061932913059</v>
      </c>
      <c r="L672" s="72">
        <v>210.80283690462966</v>
      </c>
      <c r="M672" s="73"/>
      <c r="N672" s="74">
        <v>6.7371880711330556</v>
      </c>
      <c r="O672" s="74">
        <v>6.7533814692783753</v>
      </c>
      <c r="P672" s="73"/>
      <c r="Q672" s="72">
        <v>3295.0929707654427</v>
      </c>
      <c r="R672" s="72">
        <v>1990.4961317620109</v>
      </c>
      <c r="S672" s="73"/>
      <c r="T672" s="74">
        <v>4.9447802675717396</v>
      </c>
      <c r="U672" s="74">
        <v>5.0154521288147933</v>
      </c>
      <c r="V672" s="73"/>
      <c r="W672" s="72">
        <v>12878.303696418187</v>
      </c>
      <c r="X672" s="72">
        <v>12866.615305210084</v>
      </c>
      <c r="Y672" s="73"/>
      <c r="Z672" s="74">
        <v>2.9918374685563776</v>
      </c>
      <c r="AA672" s="74">
        <v>3.0338827638439989</v>
      </c>
      <c r="AB672" s="73"/>
      <c r="AC672" s="72">
        <v>51270.884002048508</v>
      </c>
      <c r="AD672" s="72">
        <v>50799.984636479989</v>
      </c>
      <c r="AE672" s="73"/>
      <c r="AF672" s="74">
        <v>4.1901647749894799</v>
      </c>
      <c r="AG672" s="74">
        <v>4.3217885128521605</v>
      </c>
      <c r="AH672" s="73"/>
      <c r="AI672" s="72">
        <v>2830294.7999669486</v>
      </c>
      <c r="AJ672" s="72">
        <v>0</v>
      </c>
      <c r="AK672" s="73"/>
      <c r="AL672" s="74">
        <v>-1958.529199395876</v>
      </c>
      <c r="AM672" s="74">
        <v>0</v>
      </c>
      <c r="AN672" s="73"/>
      <c r="AO672" s="72">
        <v>192319.40713926166</v>
      </c>
      <c r="AP672" s="72">
        <v>0</v>
      </c>
      <c r="AQ672" s="73"/>
      <c r="AR672" s="74">
        <v>-114.67448564829346</v>
      </c>
      <c r="AS672" s="74">
        <v>0</v>
      </c>
      <c r="AT672" s="73"/>
      <c r="AU672" s="72">
        <v>29833730.261632655</v>
      </c>
      <c r="AV672" s="72">
        <v>0</v>
      </c>
      <c r="AW672" s="73"/>
      <c r="AX672" s="74">
        <v>-1616.1354852150216</v>
      </c>
      <c r="AY672" s="74">
        <v>0</v>
      </c>
      <c r="AZ672" s="73"/>
      <c r="BA672" s="72">
        <v>103306.11325610969</v>
      </c>
      <c r="BB672" s="72">
        <v>0</v>
      </c>
      <c r="BC672" s="73"/>
      <c r="BD672" s="74">
        <v>-371.61111050581769</v>
      </c>
      <c r="BE672" s="74">
        <v>0</v>
      </c>
      <c r="BF672" s="73"/>
      <c r="BG672" s="72">
        <v>7416609.1340774875</v>
      </c>
      <c r="BH672" s="72">
        <v>0</v>
      </c>
      <c r="BI672" s="73"/>
      <c r="BJ672" s="74">
        <v>-2073.0582537846585</v>
      </c>
      <c r="BK672" s="74">
        <v>0</v>
      </c>
      <c r="BL672" s="73"/>
      <c r="BM672" s="72">
        <v>40376259.716072462</v>
      </c>
      <c r="BN672" s="72">
        <v>0</v>
      </c>
      <c r="BO672" s="73"/>
      <c r="BP672" s="74">
        <v>-6134.0085345496673</v>
      </c>
      <c r="BQ672" s="74">
        <v>0</v>
      </c>
      <c r="BS672" s="109">
        <f t="shared" si="264"/>
        <v>116081.8857974931</v>
      </c>
      <c r="BT672" s="109">
        <f t="shared" si="265"/>
        <v>116475.71460698535</v>
      </c>
      <c r="BV672" s="58">
        <f t="array" ref="BV672">SUM(IF(BS672:BT672&gt;=BS672, 1))</f>
        <v>2</v>
      </c>
      <c r="BW672" s="58">
        <f t="array" ref="BW672">SUM(IF(BS672:BT672&gt;=BT672, 1))</f>
        <v>1</v>
      </c>
      <c r="BY672" s="109">
        <f t="shared" si="266"/>
        <v>134505.80080333198</v>
      </c>
      <c r="BZ672" s="109">
        <f t="shared" si="267"/>
        <v>134856.82654866288</v>
      </c>
      <c r="CB672" s="58">
        <f t="array" ref="CB672">SUM(IF(BY672:BZ672&gt;=BY672, 1))</f>
        <v>2</v>
      </c>
      <c r="CC672" s="58">
        <f t="array" ref="CC672">SUM(IF(BY672:BZ672&gt;=BZ672, 1))</f>
        <v>1</v>
      </c>
      <c r="CE672" s="109">
        <f t="shared" si="268"/>
        <v>95600.512380669345</v>
      </c>
      <c r="CF672" s="109">
        <f t="shared" si="269"/>
        <v>98318.546444533858</v>
      </c>
      <c r="CH672" s="58">
        <f t="array" ref="CH672">SUM(IF(CE672:CF672&gt;=CE672, 1))</f>
        <v>2</v>
      </c>
      <c r="CI672" s="58">
        <f t="array" ref="CI672">SUM(IF(CE672:CF672&gt;=CF672, 1))</f>
        <v>1</v>
      </c>
      <c r="CK672" s="109">
        <f t="shared" si="270"/>
        <v>46958.445674709365</v>
      </c>
      <c r="CL672" s="109">
        <f t="shared" si="271"/>
        <v>47811.039971669896</v>
      </c>
      <c r="CN672" s="58">
        <f t="array" ref="CN672">SUM(IF(CK672:CL672&gt;=CK672, 1))</f>
        <v>2</v>
      </c>
      <c r="CO672" s="58">
        <f t="array" ref="CO672">SUM(IF(CK672:CL672&gt;=CL672, 1))</f>
        <v>1</v>
      </c>
      <c r="CQ672" s="109" cm="1">
        <f t="array" ref="CQ672">AF672*WTP-AC672</f>
        <v>32532.411497741094</v>
      </c>
      <c r="CR672" s="109">
        <f t="shared" si="272"/>
        <v>35635.785620563227</v>
      </c>
      <c r="CT672" s="58">
        <f t="array" ref="CT672">SUM(IF(CQ672:CR672&gt;=CQ672, 1))</f>
        <v>2</v>
      </c>
      <c r="CU672" s="58">
        <f t="array" ref="CU672">SUM(IF(CQ672:CR672&gt;=CR672, 1))</f>
        <v>1</v>
      </c>
      <c r="CW672" s="109">
        <f t="shared" si="273"/>
        <v>-42000878.787884466</v>
      </c>
      <c r="CX672" s="109">
        <f t="shared" si="274"/>
        <v>0</v>
      </c>
      <c r="CZ672" s="58">
        <f t="array" ref="CZ672">SUM(IF(CW672:CX672&gt;=CW672, 1))</f>
        <v>2</v>
      </c>
      <c r="DA672" s="58">
        <f t="array" ref="DA672">SUM(IF(CW672:CX672&gt;=CX672, 1))</f>
        <v>1</v>
      </c>
      <c r="DC672" s="109">
        <f t="shared" si="275"/>
        <v>-2485809.1201051306</v>
      </c>
      <c r="DD672" s="109">
        <f t="shared" si="276"/>
        <v>0</v>
      </c>
      <c r="DF672" s="58">
        <f t="array" ref="DF672">SUM(IF(DC672:DD672&gt;=DC672, 1))</f>
        <v>2</v>
      </c>
      <c r="DG672" s="58">
        <f t="array" ref="DG672">SUM(IF(DC672:DD672&gt;=DD672, 1))</f>
        <v>1</v>
      </c>
      <c r="DI672" s="109">
        <f t="shared" si="277"/>
        <v>-62156439.965933084</v>
      </c>
      <c r="DJ672" s="109">
        <f t="shared" si="278"/>
        <v>0</v>
      </c>
      <c r="DL672" s="58">
        <f t="array" ref="DL672">SUM(IF(DI672:DJ672&gt;=DI672, 1))</f>
        <v>2</v>
      </c>
      <c r="DM672" s="58">
        <f t="array" ref="DM672">SUM(IF(DI672:DJ672&gt;=DJ672, 1))</f>
        <v>1</v>
      </c>
      <c r="DO672" s="109">
        <f t="shared" si="279"/>
        <v>-7535528.3233724637</v>
      </c>
      <c r="DP672" s="109">
        <f t="shared" si="280"/>
        <v>0</v>
      </c>
      <c r="DR672" s="58">
        <f t="array" ref="DR672">SUM(IF(DO672:DP672&gt;=DO672, 1))</f>
        <v>2</v>
      </c>
      <c r="DS672" s="58">
        <f t="array" ref="DS672">SUM(IF(DO672:DP672&gt;=DP672, 1))</f>
        <v>1</v>
      </c>
      <c r="DU672" s="109">
        <f t="shared" si="281"/>
        <v>-48877774.209770657</v>
      </c>
      <c r="DV672" s="109">
        <f t="shared" si="282"/>
        <v>0</v>
      </c>
      <c r="DX672" s="58">
        <f t="array" ref="DX672">SUM(IF(DU672:DV672&gt;=DU672, 1))</f>
        <v>2</v>
      </c>
      <c r="DY672" s="58">
        <f t="array" ref="DY672">SUM(IF(DU672:DV672&gt;=DV672, 1))</f>
        <v>1</v>
      </c>
      <c r="EA672" s="109">
        <f t="shared" si="283"/>
        <v>-163056430.40706581</v>
      </c>
      <c r="EB672" s="109">
        <f t="shared" si="284"/>
        <v>0</v>
      </c>
      <c r="ED672" s="58">
        <f t="array" ref="ED672">SUM(IF(EA672:EB672&gt;=EA672, 1))</f>
        <v>2</v>
      </c>
      <c r="EE672" s="58">
        <f t="array" ref="EE672">SUM(IF(EA672:EB672&gt;=EB672, 1))</f>
        <v>1</v>
      </c>
    </row>
    <row r="673" spans="4:135" ht="12" customHeight="1" x14ac:dyDescent="0.25">
      <c r="D673" s="11">
        <v>657</v>
      </c>
      <c r="E673" s="72">
        <v>217.86958098484126</v>
      </c>
      <c r="F673" s="72">
        <v>187.97729630456439</v>
      </c>
      <c r="G673" s="73"/>
      <c r="H673" s="74">
        <v>5.8781169023783546</v>
      </c>
      <c r="I673" s="74">
        <v>5.8971681491588637</v>
      </c>
      <c r="J673" s="73"/>
      <c r="K673" s="72">
        <v>233.25771625931435</v>
      </c>
      <c r="L673" s="72">
        <v>202.65520963598124</v>
      </c>
      <c r="M673" s="73"/>
      <c r="N673" s="74">
        <v>6.7348764784056225</v>
      </c>
      <c r="O673" s="74">
        <v>6.7515054899449751</v>
      </c>
      <c r="P673" s="73"/>
      <c r="Q673" s="72">
        <v>1610.8522981004573</v>
      </c>
      <c r="R673" s="72">
        <v>908.93309831372244</v>
      </c>
      <c r="S673" s="73"/>
      <c r="T673" s="74">
        <v>4.6593926319770187</v>
      </c>
      <c r="U673" s="74">
        <v>4.747355031953127</v>
      </c>
      <c r="V673" s="73"/>
      <c r="W673" s="72">
        <v>14859.479145429703</v>
      </c>
      <c r="X673" s="72">
        <v>14815.831580730297</v>
      </c>
      <c r="Y673" s="73"/>
      <c r="Z673" s="74">
        <v>2.8318330065232322</v>
      </c>
      <c r="AA673" s="74">
        <v>2.8855473656042938</v>
      </c>
      <c r="AB673" s="73"/>
      <c r="AC673" s="72">
        <v>49792.444649214136</v>
      </c>
      <c r="AD673" s="72">
        <v>49800.694937427688</v>
      </c>
      <c r="AE673" s="73"/>
      <c r="AF673" s="74">
        <v>4.6957962906541981</v>
      </c>
      <c r="AG673" s="74">
        <v>4.8673857106586871</v>
      </c>
      <c r="AH673" s="73"/>
      <c r="AI673" s="72">
        <v>3207514.2652518339</v>
      </c>
      <c r="AJ673" s="72">
        <v>0</v>
      </c>
      <c r="AK673" s="73"/>
      <c r="AL673" s="74">
        <v>-2044.2447431806647</v>
      </c>
      <c r="AM673" s="74">
        <v>0</v>
      </c>
      <c r="AN673" s="73"/>
      <c r="AO673" s="72">
        <v>207387.18325520473</v>
      </c>
      <c r="AP673" s="72">
        <v>0</v>
      </c>
      <c r="AQ673" s="73"/>
      <c r="AR673" s="74">
        <v>-112.69154863396663</v>
      </c>
      <c r="AS673" s="74">
        <v>0</v>
      </c>
      <c r="AT673" s="73"/>
      <c r="AU673" s="72">
        <v>16274661.781188793</v>
      </c>
      <c r="AV673" s="72">
        <v>0</v>
      </c>
      <c r="AW673" s="73"/>
      <c r="AX673" s="74">
        <v>-2039.4915960523156</v>
      </c>
      <c r="AY673" s="74">
        <v>0</v>
      </c>
      <c r="AZ673" s="73"/>
      <c r="BA673" s="72">
        <v>391471.08986440452</v>
      </c>
      <c r="BB673" s="72">
        <v>0</v>
      </c>
      <c r="BC673" s="73"/>
      <c r="BD673" s="74">
        <v>-481.75926505052854</v>
      </c>
      <c r="BE673" s="74">
        <v>0</v>
      </c>
      <c r="BF673" s="73"/>
      <c r="BG673" s="72">
        <v>-128811.43767193118</v>
      </c>
      <c r="BH673" s="72">
        <v>0</v>
      </c>
      <c r="BI673" s="73"/>
      <c r="BJ673" s="74">
        <v>-2679.0191212670934</v>
      </c>
      <c r="BK673" s="74">
        <v>0</v>
      </c>
      <c r="BL673" s="73"/>
      <c r="BM673" s="72">
        <v>19952222.881888308</v>
      </c>
      <c r="BN673" s="72">
        <v>0</v>
      </c>
      <c r="BO673" s="73"/>
      <c r="BP673" s="74">
        <v>-7357.2062741845684</v>
      </c>
      <c r="BQ673" s="74">
        <v>0</v>
      </c>
      <c r="BS673" s="109">
        <f t="shared" si="264"/>
        <v>117344.46846658224</v>
      </c>
      <c r="BT673" s="109">
        <f t="shared" si="265"/>
        <v>117755.3856868727</v>
      </c>
      <c r="BV673" s="58">
        <f t="array" ref="BV673">SUM(IF(BS673:BT673&gt;=BS673, 1))</f>
        <v>2</v>
      </c>
      <c r="BW673" s="58">
        <f t="array" ref="BW673">SUM(IF(BS673:BT673&gt;=BT673, 1))</f>
        <v>1</v>
      </c>
      <c r="BY673" s="109">
        <f t="shared" si="266"/>
        <v>134464.27185185315</v>
      </c>
      <c r="BZ673" s="109">
        <f t="shared" si="267"/>
        <v>134827.45458926351</v>
      </c>
      <c r="CB673" s="58">
        <f t="array" ref="CB673">SUM(IF(BY673:BZ673&gt;=BY673, 1))</f>
        <v>2</v>
      </c>
      <c r="CC673" s="58">
        <f t="array" ref="CC673">SUM(IF(BY673:BZ673&gt;=BZ673, 1))</f>
        <v>1</v>
      </c>
      <c r="CE673" s="109">
        <f t="shared" si="268"/>
        <v>91577.000341439911</v>
      </c>
      <c r="CF673" s="109">
        <f t="shared" si="269"/>
        <v>94038.167540748822</v>
      </c>
      <c r="CH673" s="58">
        <f t="array" ref="CH673">SUM(IF(CE673:CF673&gt;=CE673, 1))</f>
        <v>2</v>
      </c>
      <c r="CI673" s="58">
        <f t="array" ref="CI673">SUM(IF(CE673:CF673&gt;=CF673, 1))</f>
        <v>1</v>
      </c>
      <c r="CK673" s="109">
        <f t="shared" si="270"/>
        <v>41777.180985034945</v>
      </c>
      <c r="CL673" s="109">
        <f t="shared" si="271"/>
        <v>42895.115731355574</v>
      </c>
      <c r="CN673" s="58">
        <f t="array" ref="CN673">SUM(IF(CK673:CL673&gt;=CK673, 1))</f>
        <v>2</v>
      </c>
      <c r="CO673" s="58">
        <f t="array" ref="CO673">SUM(IF(CK673:CL673&gt;=CL673, 1))</f>
        <v>1</v>
      </c>
      <c r="CQ673" s="109" cm="1">
        <f t="array" ref="CQ673">AF673*WTP-AC673</f>
        <v>44123.481163869823</v>
      </c>
      <c r="CR673" s="109">
        <f t="shared" si="272"/>
        <v>47547.019275746046</v>
      </c>
      <c r="CT673" s="58">
        <f t="array" ref="CT673">SUM(IF(CQ673:CR673&gt;=CQ673, 1))</f>
        <v>2</v>
      </c>
      <c r="CU673" s="58">
        <f t="array" ref="CU673">SUM(IF(CQ673:CR673&gt;=CR673, 1))</f>
        <v>1</v>
      </c>
      <c r="CW673" s="109">
        <f t="shared" si="273"/>
        <v>-44092409.128865123</v>
      </c>
      <c r="CX673" s="109">
        <f t="shared" si="274"/>
        <v>0</v>
      </c>
      <c r="CZ673" s="58">
        <f t="array" ref="CZ673">SUM(IF(CW673:CX673&gt;=CW673, 1))</f>
        <v>2</v>
      </c>
      <c r="DA673" s="58">
        <f t="array" ref="DA673">SUM(IF(CW673:CX673&gt;=CX673, 1))</f>
        <v>1</v>
      </c>
      <c r="DC673" s="109">
        <f t="shared" si="275"/>
        <v>-2461218.1559345378</v>
      </c>
      <c r="DD673" s="109">
        <f t="shared" si="276"/>
        <v>0</v>
      </c>
      <c r="DF673" s="58">
        <f t="array" ref="DF673">SUM(IF(DC673:DD673&gt;=DC673, 1))</f>
        <v>2</v>
      </c>
      <c r="DG673" s="58">
        <f t="array" ref="DG673">SUM(IF(DC673:DD673&gt;=DD673, 1))</f>
        <v>1</v>
      </c>
      <c r="DI673" s="109">
        <f t="shared" si="277"/>
        <v>-57064493.702235103</v>
      </c>
      <c r="DJ673" s="109">
        <f t="shared" si="278"/>
        <v>0</v>
      </c>
      <c r="DL673" s="58">
        <f t="array" ref="DL673">SUM(IF(DI673:DJ673&gt;=DI673, 1))</f>
        <v>2</v>
      </c>
      <c r="DM673" s="58">
        <f t="array" ref="DM673">SUM(IF(DI673:DJ673&gt;=DJ673, 1))</f>
        <v>1</v>
      </c>
      <c r="DO673" s="109">
        <f t="shared" si="279"/>
        <v>-10026656.390874976</v>
      </c>
      <c r="DP673" s="109">
        <f t="shared" si="280"/>
        <v>0</v>
      </c>
      <c r="DR673" s="58">
        <f t="array" ref="DR673">SUM(IF(DO673:DP673&gt;=DO673, 1))</f>
        <v>2</v>
      </c>
      <c r="DS673" s="58">
        <f t="array" ref="DS673">SUM(IF(DO673:DP673&gt;=DP673, 1))</f>
        <v>1</v>
      </c>
      <c r="DU673" s="109">
        <f t="shared" si="281"/>
        <v>-53451570.987669937</v>
      </c>
      <c r="DV673" s="109">
        <f t="shared" si="282"/>
        <v>0</v>
      </c>
      <c r="DX673" s="58">
        <f t="array" ref="DX673">SUM(IF(DU673:DV673&gt;=DU673, 1))</f>
        <v>2</v>
      </c>
      <c r="DY673" s="58">
        <f t="array" ref="DY673">SUM(IF(DU673:DV673&gt;=DV673, 1))</f>
        <v>1</v>
      </c>
      <c r="EA673" s="109">
        <f t="shared" si="283"/>
        <v>-167096348.36557966</v>
      </c>
      <c r="EB673" s="109">
        <f t="shared" si="284"/>
        <v>0</v>
      </c>
      <c r="ED673" s="58">
        <f t="array" ref="ED673">SUM(IF(EA673:EB673&gt;=EA673, 1))</f>
        <v>2</v>
      </c>
      <c r="EE673" s="58">
        <f t="array" ref="EE673">SUM(IF(EA673:EB673&gt;=EB673, 1))</f>
        <v>1</v>
      </c>
    </row>
    <row r="674" spans="4:135" ht="12" customHeight="1" x14ac:dyDescent="0.25">
      <c r="D674" s="11">
        <v>658</v>
      </c>
      <c r="E674" s="72">
        <v>280.50926448057322</v>
      </c>
      <c r="F674" s="72">
        <v>265.23475291553206</v>
      </c>
      <c r="G674" s="73"/>
      <c r="H674" s="74">
        <v>5.8366456277368393</v>
      </c>
      <c r="I674" s="74">
        <v>5.8510669109486866</v>
      </c>
      <c r="J674" s="73"/>
      <c r="K674" s="72">
        <v>301.74684453831145</v>
      </c>
      <c r="L674" s="72">
        <v>286.04800954389117</v>
      </c>
      <c r="M674" s="73"/>
      <c r="N674" s="74">
        <v>6.692882393070815</v>
      </c>
      <c r="O674" s="74">
        <v>6.7045096806773712</v>
      </c>
      <c r="P674" s="73"/>
      <c r="Q674" s="72">
        <v>2370.0667860804124</v>
      </c>
      <c r="R674" s="72">
        <v>1200.3886978951741</v>
      </c>
      <c r="S674" s="73"/>
      <c r="T674" s="74">
        <v>4.8162153030665555</v>
      </c>
      <c r="U674" s="74">
        <v>4.9144838467147514</v>
      </c>
      <c r="V674" s="73"/>
      <c r="W674" s="72">
        <v>10151.909440750587</v>
      </c>
      <c r="X674" s="72">
        <v>10141.845394374541</v>
      </c>
      <c r="Y674" s="73"/>
      <c r="Z674" s="74">
        <v>2.9713051824887557</v>
      </c>
      <c r="AA674" s="74">
        <v>3.0051691014874402</v>
      </c>
      <c r="AB674" s="73"/>
      <c r="AC674" s="72">
        <v>49139.688329840043</v>
      </c>
      <c r="AD674" s="72">
        <v>48983.329754858089</v>
      </c>
      <c r="AE674" s="73"/>
      <c r="AF674" s="74">
        <v>4.0284549445202291</v>
      </c>
      <c r="AG674" s="74">
        <v>4.1118746997744591</v>
      </c>
      <c r="AH674" s="73"/>
      <c r="AI674" s="72">
        <v>1632278.5419645568</v>
      </c>
      <c r="AJ674" s="72">
        <v>0</v>
      </c>
      <c r="AK674" s="73"/>
      <c r="AL674" s="74">
        <v>-1541.1000891293411</v>
      </c>
      <c r="AM674" s="74">
        <v>0</v>
      </c>
      <c r="AN674" s="73"/>
      <c r="AO674" s="72">
        <v>106618.90922136939</v>
      </c>
      <c r="AP674" s="72">
        <v>0</v>
      </c>
      <c r="AQ674" s="73"/>
      <c r="AR674" s="74">
        <v>-78.966924759370997</v>
      </c>
      <c r="AS674" s="74">
        <v>0</v>
      </c>
      <c r="AT674" s="73"/>
      <c r="AU674" s="72">
        <v>27727600.322454948</v>
      </c>
      <c r="AV674" s="72">
        <v>0</v>
      </c>
      <c r="AW674" s="73"/>
      <c r="AX674" s="74">
        <v>-2329.4878565899767</v>
      </c>
      <c r="AY674" s="74">
        <v>0</v>
      </c>
      <c r="AZ674" s="73"/>
      <c r="BA674" s="72">
        <v>91179.332792902904</v>
      </c>
      <c r="BB674" s="72">
        <v>0</v>
      </c>
      <c r="BC674" s="73"/>
      <c r="BD674" s="74">
        <v>-306.80398566147295</v>
      </c>
      <c r="BE674" s="74">
        <v>0</v>
      </c>
      <c r="BF674" s="73"/>
      <c r="BG674" s="72">
        <v>2462083.1413176749</v>
      </c>
      <c r="BH674" s="72">
        <v>0</v>
      </c>
      <c r="BI674" s="73"/>
      <c r="BJ674" s="74">
        <v>-1313.5600211756253</v>
      </c>
      <c r="BK674" s="74">
        <v>0</v>
      </c>
      <c r="BL674" s="73"/>
      <c r="BM674" s="72">
        <v>32019760.247751452</v>
      </c>
      <c r="BN674" s="72">
        <v>0</v>
      </c>
      <c r="BO674" s="73"/>
      <c r="BP674" s="74">
        <v>-5569.9188773157875</v>
      </c>
      <c r="BQ674" s="74">
        <v>0</v>
      </c>
      <c r="BS674" s="109">
        <f t="shared" si="264"/>
        <v>116452.40329025622</v>
      </c>
      <c r="BT674" s="109">
        <f t="shared" si="265"/>
        <v>116756.10346605819</v>
      </c>
      <c r="BV674" s="58">
        <f t="array" ref="BV674">SUM(IF(BS674:BT674&gt;=BS674, 1))</f>
        <v>2</v>
      </c>
      <c r="BW674" s="58">
        <f t="array" ref="BW674">SUM(IF(BS674:BT674&gt;=BT674, 1))</f>
        <v>1</v>
      </c>
      <c r="BY674" s="109">
        <f t="shared" si="266"/>
        <v>133555.90101687799</v>
      </c>
      <c r="BZ674" s="109">
        <f t="shared" si="267"/>
        <v>133804.14560400354</v>
      </c>
      <c r="CB674" s="58">
        <f t="array" ref="CB674">SUM(IF(BY674:BZ674&gt;=BY674, 1))</f>
        <v>2</v>
      </c>
      <c r="CC674" s="58">
        <f t="array" ref="CC674">SUM(IF(BY674:BZ674&gt;=BZ674, 1))</f>
        <v>1</v>
      </c>
      <c r="CE674" s="109">
        <f t="shared" si="268"/>
        <v>93954.2392752507</v>
      </c>
      <c r="CF674" s="109">
        <f t="shared" si="269"/>
        <v>97089.288236399851</v>
      </c>
      <c r="CH674" s="58">
        <f t="array" ref="CH674">SUM(IF(CE674:CF674&gt;=CE674, 1))</f>
        <v>2</v>
      </c>
      <c r="CI674" s="58">
        <f t="array" ref="CI674">SUM(IF(CE674:CF674&gt;=CF674, 1))</f>
        <v>1</v>
      </c>
      <c r="CK674" s="109">
        <f t="shared" si="270"/>
        <v>49274.194209024528</v>
      </c>
      <c r="CL674" s="109">
        <f t="shared" si="271"/>
        <v>49961.536635374265</v>
      </c>
      <c r="CN674" s="58">
        <f t="array" ref="CN674">SUM(IF(CK674:CL674&gt;=CK674, 1))</f>
        <v>2</v>
      </c>
      <c r="CO674" s="58">
        <f t="array" ref="CO674">SUM(IF(CK674:CL674&gt;=CL674, 1))</f>
        <v>1</v>
      </c>
      <c r="CQ674" s="109" cm="1">
        <f t="array" ref="CQ674">AF674*WTP-AC674</f>
        <v>31429.410560564538</v>
      </c>
      <c r="CR674" s="109">
        <f t="shared" si="272"/>
        <v>33254.164240631086</v>
      </c>
      <c r="CT674" s="58">
        <f t="array" ref="CT674">SUM(IF(CQ674:CR674&gt;=CQ674, 1))</f>
        <v>2</v>
      </c>
      <c r="CU674" s="58">
        <f t="array" ref="CU674">SUM(IF(CQ674:CR674&gt;=CR674, 1))</f>
        <v>1</v>
      </c>
      <c r="CW674" s="109">
        <f t="shared" si="273"/>
        <v>-32454280.324551377</v>
      </c>
      <c r="CX674" s="109">
        <f t="shared" si="274"/>
        <v>0</v>
      </c>
      <c r="CZ674" s="58">
        <f t="array" ref="CZ674">SUM(IF(CW674:CX674&gt;=CW674, 1))</f>
        <v>2</v>
      </c>
      <c r="DA674" s="58">
        <f t="array" ref="DA674">SUM(IF(CW674:CX674&gt;=CX674, 1))</f>
        <v>1</v>
      </c>
      <c r="DC674" s="109">
        <f t="shared" si="275"/>
        <v>-1685957.4044087892</v>
      </c>
      <c r="DD674" s="109">
        <f t="shared" si="276"/>
        <v>0</v>
      </c>
      <c r="DF674" s="58">
        <f t="array" ref="DF674">SUM(IF(DC674:DD674&gt;=DC674, 1))</f>
        <v>2</v>
      </c>
      <c r="DG674" s="58">
        <f t="array" ref="DG674">SUM(IF(DC674:DD674&gt;=DD674, 1))</f>
        <v>1</v>
      </c>
      <c r="DI674" s="109">
        <f t="shared" si="277"/>
        <v>-74317357.454254478</v>
      </c>
      <c r="DJ674" s="109">
        <f t="shared" si="278"/>
        <v>0</v>
      </c>
      <c r="DL674" s="58">
        <f t="array" ref="DL674">SUM(IF(DI674:DJ674&gt;=DI674, 1))</f>
        <v>2</v>
      </c>
      <c r="DM674" s="58">
        <f t="array" ref="DM674">SUM(IF(DI674:DJ674&gt;=DJ674, 1))</f>
        <v>1</v>
      </c>
      <c r="DO674" s="109">
        <f t="shared" si="279"/>
        <v>-6227259.0460223621</v>
      </c>
      <c r="DP674" s="109">
        <f t="shared" si="280"/>
        <v>0</v>
      </c>
      <c r="DR674" s="58">
        <f t="array" ref="DR674">SUM(IF(DO674:DP674&gt;=DO674, 1))</f>
        <v>2</v>
      </c>
      <c r="DS674" s="58">
        <f t="array" ref="DS674">SUM(IF(DO674:DP674&gt;=DP674, 1))</f>
        <v>1</v>
      </c>
      <c r="DU674" s="109">
        <f t="shared" si="281"/>
        <v>-28733283.564830177</v>
      </c>
      <c r="DV674" s="109">
        <f t="shared" si="282"/>
        <v>0</v>
      </c>
      <c r="DX674" s="58">
        <f t="array" ref="DX674">SUM(IF(DU674:DV674&gt;=DU674, 1))</f>
        <v>2</v>
      </c>
      <c r="DY674" s="58">
        <f t="array" ref="DY674">SUM(IF(DU674:DV674&gt;=DV674, 1))</f>
        <v>1</v>
      </c>
      <c r="EA674" s="109">
        <f t="shared" si="283"/>
        <v>-143418137.7940672</v>
      </c>
      <c r="EB674" s="109">
        <f t="shared" si="284"/>
        <v>0</v>
      </c>
      <c r="ED674" s="58">
        <f t="array" ref="ED674">SUM(IF(EA674:EB674&gt;=EA674, 1))</f>
        <v>2</v>
      </c>
      <c r="EE674" s="58">
        <f t="array" ref="EE674">SUM(IF(EA674:EB674&gt;=EB674, 1))</f>
        <v>1</v>
      </c>
    </row>
    <row r="675" spans="4:135" ht="12" customHeight="1" x14ac:dyDescent="0.25">
      <c r="D675" s="11">
        <v>659</v>
      </c>
      <c r="E675" s="72">
        <v>232.61448465122075</v>
      </c>
      <c r="F675" s="72">
        <v>204.50806476034111</v>
      </c>
      <c r="G675" s="73"/>
      <c r="H675" s="74">
        <v>5.8751157011923913</v>
      </c>
      <c r="I675" s="74">
        <v>5.8929295782623035</v>
      </c>
      <c r="J675" s="73"/>
      <c r="K675" s="72">
        <v>249.22626709729286</v>
      </c>
      <c r="L675" s="72">
        <v>220.46156003570439</v>
      </c>
      <c r="M675" s="73"/>
      <c r="N675" s="74">
        <v>6.7120081418171802</v>
      </c>
      <c r="O675" s="74">
        <v>6.7270776764790954</v>
      </c>
      <c r="P675" s="73"/>
      <c r="Q675" s="72">
        <v>1747.7077315846941</v>
      </c>
      <c r="R675" s="72">
        <v>1451.4129844162937</v>
      </c>
      <c r="S675" s="73"/>
      <c r="T675" s="74">
        <v>4.9468553508422479</v>
      </c>
      <c r="U675" s="74">
        <v>5.006963144830892</v>
      </c>
      <c r="V675" s="73"/>
      <c r="W675" s="72">
        <v>17039.544568495421</v>
      </c>
      <c r="X675" s="72">
        <v>17069.834002975822</v>
      </c>
      <c r="Y675" s="73"/>
      <c r="Z675" s="74">
        <v>2.8797265561134515</v>
      </c>
      <c r="AA675" s="74">
        <v>2.9262248940267099</v>
      </c>
      <c r="AB675" s="73"/>
      <c r="AC675" s="72">
        <v>49755.073412289115</v>
      </c>
      <c r="AD675" s="72">
        <v>49655.273242412724</v>
      </c>
      <c r="AE675" s="73"/>
      <c r="AF675" s="74">
        <v>4.7965165679126613</v>
      </c>
      <c r="AG675" s="74">
        <v>4.9043983699406191</v>
      </c>
      <c r="AH675" s="73"/>
      <c r="AI675" s="72">
        <v>3015786.5133603406</v>
      </c>
      <c r="AJ675" s="72">
        <v>0</v>
      </c>
      <c r="AK675" s="73"/>
      <c r="AL675" s="74">
        <v>-1911.4085118870905</v>
      </c>
      <c r="AM675" s="74">
        <v>0</v>
      </c>
      <c r="AN675" s="73"/>
      <c r="AO675" s="72">
        <v>202039.43305229882</v>
      </c>
      <c r="AP675" s="72">
        <v>0</v>
      </c>
      <c r="AQ675" s="73"/>
      <c r="AR675" s="74">
        <v>-105.84638435345066</v>
      </c>
      <c r="AS675" s="74">
        <v>0</v>
      </c>
      <c r="AT675" s="73"/>
      <c r="AU675" s="72">
        <v>6709237.6463785153</v>
      </c>
      <c r="AV675" s="72">
        <v>0</v>
      </c>
      <c r="AW675" s="73"/>
      <c r="AX675" s="74">
        <v>-1361.0685917431085</v>
      </c>
      <c r="AY675" s="74">
        <v>0</v>
      </c>
      <c r="AZ675" s="73"/>
      <c r="BA675" s="72">
        <v>-262057.17482051195</v>
      </c>
      <c r="BB675" s="72">
        <v>0</v>
      </c>
      <c r="BC675" s="73"/>
      <c r="BD675" s="74">
        <v>-402.29285480000004</v>
      </c>
      <c r="BE675" s="74">
        <v>0</v>
      </c>
      <c r="BF675" s="73"/>
      <c r="BG675" s="72">
        <v>1538631.3240508973</v>
      </c>
      <c r="BH675" s="72">
        <v>0</v>
      </c>
      <c r="BI675" s="73"/>
      <c r="BJ675" s="74">
        <v>-1663.2268271773801</v>
      </c>
      <c r="BK675" s="74">
        <v>0</v>
      </c>
      <c r="BL675" s="73"/>
      <c r="BM675" s="72">
        <v>11203637.74202154</v>
      </c>
      <c r="BN675" s="72">
        <v>0</v>
      </c>
      <c r="BO675" s="73"/>
      <c r="BP675" s="74">
        <v>-5443.8431699610301</v>
      </c>
      <c r="BQ675" s="74">
        <v>0</v>
      </c>
      <c r="BS675" s="109">
        <f t="shared" si="264"/>
        <v>117269.6995391966</v>
      </c>
      <c r="BT675" s="109">
        <f t="shared" si="265"/>
        <v>117654.08350048572</v>
      </c>
      <c r="BV675" s="58">
        <f t="array" ref="BV675">SUM(IF(BS675:BT675&gt;=BS675, 1))</f>
        <v>2</v>
      </c>
      <c r="BW675" s="58">
        <f t="array" ref="BW675">SUM(IF(BS675:BT675&gt;=BT675, 1))</f>
        <v>1</v>
      </c>
      <c r="BY675" s="109">
        <f t="shared" si="266"/>
        <v>133990.93656924632</v>
      </c>
      <c r="BZ675" s="109">
        <f t="shared" si="267"/>
        <v>134321.09196954619</v>
      </c>
      <c r="CB675" s="58">
        <f t="array" ref="CB675">SUM(IF(BY675:BZ675&gt;=BY675, 1))</f>
        <v>2</v>
      </c>
      <c r="CC675" s="58">
        <f t="array" ref="CC675">SUM(IF(BY675:BZ675&gt;=BZ675, 1))</f>
        <v>1</v>
      </c>
      <c r="CE675" s="109">
        <f t="shared" si="268"/>
        <v>97189.399285260253</v>
      </c>
      <c r="CF675" s="109">
        <f t="shared" si="269"/>
        <v>98687.849912201549</v>
      </c>
      <c r="CH675" s="58">
        <f t="array" ref="CH675">SUM(IF(CE675:CF675&gt;=CE675, 1))</f>
        <v>2</v>
      </c>
      <c r="CI675" s="58">
        <f t="array" ref="CI675">SUM(IF(CE675:CF675&gt;=CF675, 1))</f>
        <v>1</v>
      </c>
      <c r="CK675" s="109">
        <f t="shared" si="270"/>
        <v>40554.986553773604</v>
      </c>
      <c r="CL675" s="109">
        <f t="shared" si="271"/>
        <v>41454.663877558371</v>
      </c>
      <c r="CN675" s="58">
        <f t="array" ref="CN675">SUM(IF(CK675:CL675&gt;=CK675, 1))</f>
        <v>2</v>
      </c>
      <c r="CO675" s="58">
        <f t="array" ref="CO675">SUM(IF(CK675:CL675&gt;=CL675, 1))</f>
        <v>1</v>
      </c>
      <c r="CQ675" s="109" cm="1">
        <f t="array" ref="CQ675">AF675*WTP-AC675</f>
        <v>46175.257945964113</v>
      </c>
      <c r="CR675" s="109">
        <f t="shared" si="272"/>
        <v>48432.694156399659</v>
      </c>
      <c r="CT675" s="58">
        <f t="array" ref="CT675">SUM(IF(CQ675:CR675&gt;=CQ675, 1))</f>
        <v>2</v>
      </c>
      <c r="CU675" s="58">
        <f t="array" ref="CU675">SUM(IF(CQ675:CR675&gt;=CR675, 1))</f>
        <v>1</v>
      </c>
      <c r="CW675" s="109">
        <f t="shared" si="273"/>
        <v>-41243956.751102157</v>
      </c>
      <c r="CX675" s="109">
        <f t="shared" si="274"/>
        <v>0</v>
      </c>
      <c r="CZ675" s="58">
        <f t="array" ref="CZ675">SUM(IF(CW675:CX675&gt;=CW675, 1))</f>
        <v>2</v>
      </c>
      <c r="DA675" s="58">
        <f t="array" ref="DA675">SUM(IF(CW675:CX675&gt;=CX675, 1))</f>
        <v>1</v>
      </c>
      <c r="DC675" s="109">
        <f t="shared" si="275"/>
        <v>-2318967.1201213119</v>
      </c>
      <c r="DD675" s="109">
        <f t="shared" si="276"/>
        <v>0</v>
      </c>
      <c r="DF675" s="58">
        <f t="array" ref="DF675">SUM(IF(DC675:DD675&gt;=DC675, 1))</f>
        <v>2</v>
      </c>
      <c r="DG675" s="58">
        <f t="array" ref="DG675">SUM(IF(DC675:DD675&gt;=DD675, 1))</f>
        <v>1</v>
      </c>
      <c r="DI675" s="109">
        <f t="shared" si="277"/>
        <v>-33930609.481240682</v>
      </c>
      <c r="DJ675" s="109">
        <f t="shared" si="278"/>
        <v>0</v>
      </c>
      <c r="DL675" s="58">
        <f t="array" ref="DL675">SUM(IF(DI675:DJ675&gt;=DI675, 1))</f>
        <v>2</v>
      </c>
      <c r="DM675" s="58">
        <f t="array" ref="DM675">SUM(IF(DI675:DJ675&gt;=DJ675, 1))</f>
        <v>1</v>
      </c>
      <c r="DO675" s="109">
        <f t="shared" si="279"/>
        <v>-7783799.9211794892</v>
      </c>
      <c r="DP675" s="109">
        <f t="shared" si="280"/>
        <v>0</v>
      </c>
      <c r="DR675" s="58">
        <f t="array" ref="DR675">SUM(IF(DO675:DP675&gt;=DO675, 1))</f>
        <v>2</v>
      </c>
      <c r="DS675" s="58">
        <f t="array" ref="DS675">SUM(IF(DO675:DP675&gt;=DP675, 1))</f>
        <v>1</v>
      </c>
      <c r="DU675" s="109">
        <f t="shared" si="281"/>
        <v>-34803167.867598496</v>
      </c>
      <c r="DV675" s="109">
        <f t="shared" si="282"/>
        <v>0</v>
      </c>
      <c r="DX675" s="58">
        <f t="array" ref="DX675">SUM(IF(DU675:DV675&gt;=DU675, 1))</f>
        <v>2</v>
      </c>
      <c r="DY675" s="58">
        <f t="array" ref="DY675">SUM(IF(DU675:DV675&gt;=DV675, 1))</f>
        <v>1</v>
      </c>
      <c r="EA675" s="109">
        <f t="shared" si="283"/>
        <v>-120080501.14124215</v>
      </c>
      <c r="EB675" s="109">
        <f t="shared" si="284"/>
        <v>0</v>
      </c>
      <c r="ED675" s="58">
        <f t="array" ref="ED675">SUM(IF(EA675:EB675&gt;=EA675, 1))</f>
        <v>2</v>
      </c>
      <c r="EE675" s="58">
        <f t="array" ref="EE675">SUM(IF(EA675:EB675&gt;=EB675, 1))</f>
        <v>1</v>
      </c>
    </row>
    <row r="676" spans="4:135" ht="12" customHeight="1" x14ac:dyDescent="0.25">
      <c r="D676" s="11">
        <v>660</v>
      </c>
      <c r="E676" s="72">
        <v>293.99016972567523</v>
      </c>
      <c r="F676" s="72">
        <v>256.8013328079129</v>
      </c>
      <c r="G676" s="73"/>
      <c r="H676" s="74">
        <v>5.8473369497221199</v>
      </c>
      <c r="I676" s="74">
        <v>5.8665116571701663</v>
      </c>
      <c r="J676" s="73"/>
      <c r="K676" s="72">
        <v>314.94964013389341</v>
      </c>
      <c r="L676" s="72">
        <v>276.89014676172224</v>
      </c>
      <c r="M676" s="73"/>
      <c r="N676" s="74">
        <v>6.7220647957987767</v>
      </c>
      <c r="O676" s="74">
        <v>6.7389344558914264</v>
      </c>
      <c r="P676" s="73"/>
      <c r="Q676" s="72">
        <v>3256.2821179481075</v>
      </c>
      <c r="R676" s="72">
        <v>1392.4862281913715</v>
      </c>
      <c r="S676" s="73"/>
      <c r="T676" s="74">
        <v>4.6135043158026763</v>
      </c>
      <c r="U676" s="74">
        <v>4.7528195920997334</v>
      </c>
      <c r="V676" s="73"/>
      <c r="W676" s="72">
        <v>18685.543799582614</v>
      </c>
      <c r="X676" s="72">
        <v>18861.290634106292</v>
      </c>
      <c r="Y676" s="73"/>
      <c r="Z676" s="74">
        <v>2.9193559188154716</v>
      </c>
      <c r="AA676" s="74">
        <v>3.0067076797674472</v>
      </c>
      <c r="AB676" s="73"/>
      <c r="AC676" s="72">
        <v>49623.137735183067</v>
      </c>
      <c r="AD676" s="72">
        <v>49605.064561433741</v>
      </c>
      <c r="AE676" s="73"/>
      <c r="AF676" s="74">
        <v>4.356110857380374</v>
      </c>
      <c r="AG676" s="74">
        <v>4.4534008122506714</v>
      </c>
      <c r="AH676" s="73"/>
      <c r="AI676" s="72">
        <v>4014749.4562637322</v>
      </c>
      <c r="AJ676" s="72">
        <v>0</v>
      </c>
      <c r="AK676" s="73"/>
      <c r="AL676" s="74">
        <v>-2070.0202717093312</v>
      </c>
      <c r="AM676" s="74">
        <v>0</v>
      </c>
      <c r="AN676" s="73"/>
      <c r="AO676" s="72">
        <v>266275.50002778461</v>
      </c>
      <c r="AP676" s="72">
        <v>0</v>
      </c>
      <c r="AQ676" s="73"/>
      <c r="AR676" s="74">
        <v>-118.02514375437157</v>
      </c>
      <c r="AS676" s="74">
        <v>0</v>
      </c>
      <c r="AT676" s="73"/>
      <c r="AU676" s="72">
        <v>43765986.683593519</v>
      </c>
      <c r="AV676" s="72">
        <v>0</v>
      </c>
      <c r="AW676" s="73"/>
      <c r="AX676" s="74">
        <v>-3271.4261045151102</v>
      </c>
      <c r="AY676" s="74">
        <v>0</v>
      </c>
      <c r="AZ676" s="73"/>
      <c r="BA676" s="72">
        <v>-1538097.482689098</v>
      </c>
      <c r="BB676" s="72">
        <v>0</v>
      </c>
      <c r="BC676" s="73"/>
      <c r="BD676" s="74">
        <v>-764.48332052656383</v>
      </c>
      <c r="BE676" s="74">
        <v>0</v>
      </c>
      <c r="BF676" s="73"/>
      <c r="BG676" s="72">
        <v>283738.34697691072</v>
      </c>
      <c r="BH676" s="72">
        <v>0</v>
      </c>
      <c r="BI676" s="73"/>
      <c r="BJ676" s="74">
        <v>-1527.395871651252</v>
      </c>
      <c r="BK676" s="74">
        <v>0</v>
      </c>
      <c r="BL676" s="73"/>
      <c r="BM676" s="72">
        <v>46792652.504172854</v>
      </c>
      <c r="BN676" s="72">
        <v>0</v>
      </c>
      <c r="BO676" s="73"/>
      <c r="BP676" s="74">
        <v>-7751.350712156629</v>
      </c>
      <c r="BQ676" s="74">
        <v>0</v>
      </c>
      <c r="BS676" s="109">
        <f t="shared" si="264"/>
        <v>116652.74882471672</v>
      </c>
      <c r="BT676" s="109">
        <f t="shared" si="265"/>
        <v>117073.43181059542</v>
      </c>
      <c r="BV676" s="58">
        <f t="array" ref="BV676">SUM(IF(BS676:BT676&gt;=BS676, 1))</f>
        <v>2</v>
      </c>
      <c r="BW676" s="58">
        <f t="array" ref="BW676">SUM(IF(BS676:BT676&gt;=BT676, 1))</f>
        <v>1</v>
      </c>
      <c r="BY676" s="109">
        <f t="shared" si="266"/>
        <v>134126.34627584164</v>
      </c>
      <c r="BZ676" s="109">
        <f t="shared" si="267"/>
        <v>134501.7989710668</v>
      </c>
      <c r="CB676" s="58">
        <f t="array" ref="CB676">SUM(IF(BY676:BZ676&gt;=BY676, 1))</f>
        <v>2</v>
      </c>
      <c r="CC676" s="58">
        <f t="array" ref="CC676">SUM(IF(BY676:BZ676&gt;=BZ676, 1))</f>
        <v>1</v>
      </c>
      <c r="CE676" s="109">
        <f t="shared" si="268"/>
        <v>89013.804198105412</v>
      </c>
      <c r="CF676" s="109">
        <f t="shared" si="269"/>
        <v>93663.905613803305</v>
      </c>
      <c r="CH676" s="58">
        <f t="array" ref="CH676">SUM(IF(CE676:CF676&gt;=CE676, 1))</f>
        <v>2</v>
      </c>
      <c r="CI676" s="58">
        <f t="array" ref="CI676">SUM(IF(CE676:CF676&gt;=CF676, 1))</f>
        <v>1</v>
      </c>
      <c r="CK676" s="109">
        <f t="shared" si="270"/>
        <v>39701.574576726816</v>
      </c>
      <c r="CL676" s="109">
        <f t="shared" si="271"/>
        <v>41272.862961242652</v>
      </c>
      <c r="CN676" s="58">
        <f t="array" ref="CN676">SUM(IF(CK676:CL676&gt;=CK676, 1))</f>
        <v>2</v>
      </c>
      <c r="CO676" s="58">
        <f t="array" ref="CO676">SUM(IF(CK676:CL676&gt;=CL676, 1))</f>
        <v>1</v>
      </c>
      <c r="CQ676" s="109" cm="1">
        <f t="array" ref="CQ676">AF676*WTP-AC676</f>
        <v>37499.079412424406</v>
      </c>
      <c r="CR676" s="109">
        <f t="shared" si="272"/>
        <v>39462.951683579682</v>
      </c>
      <c r="CT676" s="58">
        <f t="array" ref="CT676">SUM(IF(CQ676:CR676&gt;=CQ676, 1))</f>
        <v>2</v>
      </c>
      <c r="CU676" s="58">
        <f t="array" ref="CU676">SUM(IF(CQ676:CR676&gt;=CR676, 1))</f>
        <v>1</v>
      </c>
      <c r="CW676" s="109">
        <f t="shared" si="273"/>
        <v>-45415154.890450358</v>
      </c>
      <c r="CX676" s="109">
        <f t="shared" si="274"/>
        <v>0</v>
      </c>
      <c r="CZ676" s="58">
        <f t="array" ref="CZ676">SUM(IF(CW676:CX676&gt;=CW676, 1))</f>
        <v>2</v>
      </c>
      <c r="DA676" s="58">
        <f t="array" ref="DA676">SUM(IF(CW676:CX676&gt;=CX676, 1))</f>
        <v>1</v>
      </c>
      <c r="DC676" s="109">
        <f t="shared" si="275"/>
        <v>-2626778.3751152158</v>
      </c>
      <c r="DD676" s="109">
        <f t="shared" si="276"/>
        <v>0</v>
      </c>
      <c r="DF676" s="58">
        <f t="array" ref="DF676">SUM(IF(DC676:DD676&gt;=DC676, 1))</f>
        <v>2</v>
      </c>
      <c r="DG676" s="58">
        <f t="array" ref="DG676">SUM(IF(DC676:DD676&gt;=DD676, 1))</f>
        <v>1</v>
      </c>
      <c r="DI676" s="109">
        <f t="shared" si="277"/>
        <v>-109194508.77389573</v>
      </c>
      <c r="DJ676" s="109">
        <f t="shared" si="278"/>
        <v>0</v>
      </c>
      <c r="DL676" s="58">
        <f t="array" ref="DL676">SUM(IF(DI676:DJ676&gt;=DI676, 1))</f>
        <v>2</v>
      </c>
      <c r="DM676" s="58">
        <f t="array" ref="DM676">SUM(IF(DI676:DJ676&gt;=DJ676, 1))</f>
        <v>1</v>
      </c>
      <c r="DO676" s="109">
        <f t="shared" si="279"/>
        <v>-13751568.927842179</v>
      </c>
      <c r="DP676" s="109">
        <f t="shared" si="280"/>
        <v>0</v>
      </c>
      <c r="DR676" s="58">
        <f t="array" ref="DR676">SUM(IF(DO676:DP676&gt;=DO676, 1))</f>
        <v>2</v>
      </c>
      <c r="DS676" s="58">
        <f t="array" ref="DS676">SUM(IF(DO676:DP676&gt;=DP676, 1))</f>
        <v>1</v>
      </c>
      <c r="DU676" s="109">
        <f t="shared" si="281"/>
        <v>-30831655.78000195</v>
      </c>
      <c r="DV676" s="109">
        <f t="shared" si="282"/>
        <v>0</v>
      </c>
      <c r="DX676" s="58">
        <f t="array" ref="DX676">SUM(IF(DU676:DV676&gt;=DU676, 1))</f>
        <v>2</v>
      </c>
      <c r="DY676" s="58">
        <f t="array" ref="DY676">SUM(IF(DU676:DV676&gt;=DV676, 1))</f>
        <v>1</v>
      </c>
      <c r="EA676" s="109">
        <f t="shared" si="283"/>
        <v>-201819666.74730545</v>
      </c>
      <c r="EB676" s="109">
        <f t="shared" si="284"/>
        <v>0</v>
      </c>
      <c r="ED676" s="58">
        <f t="array" ref="ED676">SUM(IF(EA676:EB676&gt;=EA676, 1))</f>
        <v>2</v>
      </c>
      <c r="EE676" s="58">
        <f t="array" ref="EE676">SUM(IF(EA676:EB676&gt;=EB676, 1))</f>
        <v>1</v>
      </c>
    </row>
    <row r="677" spans="4:135" ht="12" customHeight="1" x14ac:dyDescent="0.25">
      <c r="D677" s="11">
        <v>661</v>
      </c>
      <c r="E677" s="72">
        <v>334.01268056469155</v>
      </c>
      <c r="F677" s="72">
        <v>297.77615663998341</v>
      </c>
      <c r="G677" s="73"/>
      <c r="H677" s="74">
        <v>5.7916857648504099</v>
      </c>
      <c r="I677" s="74">
        <v>5.8077282711001823</v>
      </c>
      <c r="J677" s="73"/>
      <c r="K677" s="72">
        <v>358.11697506792177</v>
      </c>
      <c r="L677" s="72">
        <v>320.98909159849285</v>
      </c>
      <c r="M677" s="73"/>
      <c r="N677" s="74">
        <v>6.6494388004122618</v>
      </c>
      <c r="O677" s="74">
        <v>6.6630315778581561</v>
      </c>
      <c r="P677" s="73"/>
      <c r="Q677" s="72">
        <v>1487.9930907663102</v>
      </c>
      <c r="R677" s="72">
        <v>1235.5534324837372</v>
      </c>
      <c r="S677" s="73"/>
      <c r="T677" s="74">
        <v>4.8085578133330733</v>
      </c>
      <c r="U677" s="74">
        <v>4.8422086187517728</v>
      </c>
      <c r="V677" s="73"/>
      <c r="W677" s="72">
        <v>15934.026519580149</v>
      </c>
      <c r="X677" s="72">
        <v>15989.724673522271</v>
      </c>
      <c r="Y677" s="73"/>
      <c r="Z677" s="74">
        <v>2.9010454927827189</v>
      </c>
      <c r="AA677" s="74">
        <v>2.9562974702151887</v>
      </c>
      <c r="AB677" s="73"/>
      <c r="AC677" s="72">
        <v>49072.167970066446</v>
      </c>
      <c r="AD677" s="72">
        <v>49140.086434608704</v>
      </c>
      <c r="AE677" s="73"/>
      <c r="AF677" s="74">
        <v>4.9945999568106991</v>
      </c>
      <c r="AG677" s="74">
        <v>5.0721472880787175</v>
      </c>
      <c r="AH677" s="73"/>
      <c r="AI677" s="72">
        <v>3843894.8813572787</v>
      </c>
      <c r="AJ677" s="72">
        <v>0</v>
      </c>
      <c r="AK677" s="73"/>
      <c r="AL677" s="74">
        <v>-1701.7556039804142</v>
      </c>
      <c r="AM677" s="74">
        <v>0</v>
      </c>
      <c r="AN677" s="73"/>
      <c r="AO677" s="72">
        <v>255511.8279163728</v>
      </c>
      <c r="AP677" s="72">
        <v>0</v>
      </c>
      <c r="AQ677" s="73"/>
      <c r="AR677" s="74">
        <v>-93.544664740199337</v>
      </c>
      <c r="AS677" s="74">
        <v>0</v>
      </c>
      <c r="AT677" s="73"/>
      <c r="AU677" s="72">
        <v>5827499.3380928012</v>
      </c>
      <c r="AV677" s="72">
        <v>0</v>
      </c>
      <c r="AW677" s="73"/>
      <c r="AX677" s="74">
        <v>-776.81948881523454</v>
      </c>
      <c r="AY677" s="74">
        <v>0</v>
      </c>
      <c r="AZ677" s="73"/>
      <c r="BA677" s="72">
        <v>-489420.66396115371</v>
      </c>
      <c r="BB677" s="72">
        <v>0</v>
      </c>
      <c r="BC677" s="73"/>
      <c r="BD677" s="74">
        <v>-485.50010307821276</v>
      </c>
      <c r="BE677" s="74">
        <v>0</v>
      </c>
      <c r="BF677" s="73"/>
      <c r="BG677" s="72">
        <v>-1108600.2773607734</v>
      </c>
      <c r="BH677" s="72">
        <v>0</v>
      </c>
      <c r="BI677" s="73"/>
      <c r="BJ677" s="74">
        <v>-1265.7676160924525</v>
      </c>
      <c r="BK677" s="74">
        <v>0</v>
      </c>
      <c r="BL677" s="73"/>
      <c r="BM677" s="72">
        <v>8328885.1060445243</v>
      </c>
      <c r="BN677" s="72">
        <v>0</v>
      </c>
      <c r="BO677" s="73"/>
      <c r="BP677" s="74">
        <v>-4323.3874767065136</v>
      </c>
      <c r="BQ677" s="74">
        <v>0</v>
      </c>
      <c r="BS677" s="109">
        <f t="shared" si="264"/>
        <v>115499.70261644351</v>
      </c>
      <c r="BT677" s="109">
        <f t="shared" si="265"/>
        <v>115856.78926536367</v>
      </c>
      <c r="BV677" s="58">
        <f t="array" ref="BV677">SUM(IF(BS677:BT677&gt;=BS677, 1))</f>
        <v>2</v>
      </c>
      <c r="BW677" s="58">
        <f t="array" ref="BW677">SUM(IF(BS677:BT677&gt;=BT677, 1))</f>
        <v>1</v>
      </c>
      <c r="BY677" s="109">
        <f t="shared" si="266"/>
        <v>132630.65903317733</v>
      </c>
      <c r="BZ677" s="109">
        <f t="shared" si="267"/>
        <v>132939.64246556463</v>
      </c>
      <c r="CB677" s="58">
        <f t="array" ref="CB677">SUM(IF(BY677:BZ677&gt;=BY677, 1))</f>
        <v>2</v>
      </c>
      <c r="CC677" s="58">
        <f t="array" ref="CC677">SUM(IF(BY677:BZ677&gt;=BZ677, 1))</f>
        <v>1</v>
      </c>
      <c r="CE677" s="109">
        <f t="shared" si="268"/>
        <v>94683.163175895155</v>
      </c>
      <c r="CF677" s="109">
        <f t="shared" si="269"/>
        <v>95608.618942551722</v>
      </c>
      <c r="CH677" s="58">
        <f t="array" ref="CH677">SUM(IF(CE677:CF677&gt;=CE677, 1))</f>
        <v>2</v>
      </c>
      <c r="CI677" s="58">
        <f t="array" ref="CI677">SUM(IF(CE677:CF677&gt;=CF677, 1))</f>
        <v>1</v>
      </c>
      <c r="CK677" s="109">
        <f t="shared" si="270"/>
        <v>42086.883336074228</v>
      </c>
      <c r="CL677" s="109">
        <f t="shared" si="271"/>
        <v>43136.224730781505</v>
      </c>
      <c r="CN677" s="58">
        <f t="array" ref="CN677">SUM(IF(CK677:CL677&gt;=CK677, 1))</f>
        <v>2</v>
      </c>
      <c r="CO677" s="58">
        <f t="array" ref="CO677">SUM(IF(CK677:CL677&gt;=CL677, 1))</f>
        <v>1</v>
      </c>
      <c r="CQ677" s="109" cm="1">
        <f t="array" ref="CQ677">AF677*WTP-AC677</f>
        <v>50819.831166147538</v>
      </c>
      <c r="CR677" s="109">
        <f t="shared" si="272"/>
        <v>52302.859326965641</v>
      </c>
      <c r="CT677" s="58">
        <f t="array" ref="CT677">SUM(IF(CQ677:CR677&gt;=CQ677, 1))</f>
        <v>2</v>
      </c>
      <c r="CU677" s="58">
        <f t="array" ref="CU677">SUM(IF(CQ677:CR677&gt;=CR677, 1))</f>
        <v>1</v>
      </c>
      <c r="CW677" s="109">
        <f t="shared" si="273"/>
        <v>-37879006.960965559</v>
      </c>
      <c r="CX677" s="109">
        <f t="shared" si="274"/>
        <v>0</v>
      </c>
      <c r="CZ677" s="58">
        <f t="array" ref="CZ677">SUM(IF(CW677:CX677&gt;=CW677, 1))</f>
        <v>2</v>
      </c>
      <c r="DA677" s="58">
        <f t="array" ref="DA677">SUM(IF(CW677:CX677&gt;=CX677, 1))</f>
        <v>1</v>
      </c>
      <c r="DC677" s="109">
        <f t="shared" si="275"/>
        <v>-2126405.1227203598</v>
      </c>
      <c r="DD677" s="109">
        <f t="shared" si="276"/>
        <v>0</v>
      </c>
      <c r="DF677" s="58">
        <f t="array" ref="DF677">SUM(IF(DC677:DD677&gt;=DC677, 1))</f>
        <v>2</v>
      </c>
      <c r="DG677" s="58">
        <f t="array" ref="DG677">SUM(IF(DC677:DD677&gt;=DD677, 1))</f>
        <v>1</v>
      </c>
      <c r="DI677" s="109">
        <f t="shared" si="277"/>
        <v>-21363889.114397492</v>
      </c>
      <c r="DJ677" s="109">
        <f t="shared" si="278"/>
        <v>0</v>
      </c>
      <c r="DL677" s="58">
        <f t="array" ref="DL677">SUM(IF(DI677:DJ677&gt;=DI677, 1))</f>
        <v>2</v>
      </c>
      <c r="DM677" s="58">
        <f t="array" ref="DM677">SUM(IF(DI677:DJ677&gt;=DJ677, 1))</f>
        <v>1</v>
      </c>
      <c r="DO677" s="109">
        <f t="shared" si="279"/>
        <v>-9220581.397603102</v>
      </c>
      <c r="DP677" s="109">
        <f t="shared" si="280"/>
        <v>0</v>
      </c>
      <c r="DR677" s="58">
        <f t="array" ref="DR677">SUM(IF(DO677:DP677&gt;=DO677, 1))</f>
        <v>2</v>
      </c>
      <c r="DS677" s="58">
        <f t="array" ref="DS677">SUM(IF(DO677:DP677&gt;=DP677, 1))</f>
        <v>1</v>
      </c>
      <c r="DU677" s="109">
        <f t="shared" si="281"/>
        <v>-24206752.044488274</v>
      </c>
      <c r="DV677" s="109">
        <f t="shared" si="282"/>
        <v>0</v>
      </c>
      <c r="DX677" s="58">
        <f t="array" ref="DX677">SUM(IF(DU677:DV677&gt;=DU677, 1))</f>
        <v>2</v>
      </c>
      <c r="DY677" s="58">
        <f t="array" ref="DY677">SUM(IF(DU677:DV677&gt;=DV677, 1))</f>
        <v>1</v>
      </c>
      <c r="EA677" s="109">
        <f t="shared" si="283"/>
        <v>-94796634.640174806</v>
      </c>
      <c r="EB677" s="109">
        <f t="shared" si="284"/>
        <v>0</v>
      </c>
      <c r="ED677" s="58">
        <f t="array" ref="ED677">SUM(IF(EA677:EB677&gt;=EA677, 1))</f>
        <v>2</v>
      </c>
      <c r="EE677" s="58">
        <f t="array" ref="EE677">SUM(IF(EA677:EB677&gt;=EB677, 1))</f>
        <v>1</v>
      </c>
    </row>
    <row r="678" spans="4:135" ht="12" customHeight="1" x14ac:dyDescent="0.25">
      <c r="D678" s="11">
        <v>662</v>
      </c>
      <c r="E678" s="72">
        <v>248.95193545765147</v>
      </c>
      <c r="F678" s="72">
        <v>230.30989309245794</v>
      </c>
      <c r="G678" s="73"/>
      <c r="H678" s="74">
        <v>5.7783624350977902</v>
      </c>
      <c r="I678" s="74">
        <v>5.7917377671151407</v>
      </c>
      <c r="J678" s="73"/>
      <c r="K678" s="72">
        <v>267.39102171745901</v>
      </c>
      <c r="L678" s="72">
        <v>248.30956351467401</v>
      </c>
      <c r="M678" s="73"/>
      <c r="N678" s="74">
        <v>6.6934645838463549</v>
      </c>
      <c r="O678" s="74">
        <v>6.7049718021694087</v>
      </c>
      <c r="P678" s="73"/>
      <c r="Q678" s="72">
        <v>2477.6938037845021</v>
      </c>
      <c r="R678" s="72">
        <v>1168.3566897163605</v>
      </c>
      <c r="S678" s="73"/>
      <c r="T678" s="74">
        <v>4.6699736248116874</v>
      </c>
      <c r="U678" s="74">
        <v>4.8084706428848296</v>
      </c>
      <c r="V678" s="73"/>
      <c r="W678" s="72">
        <v>12391.486382643672</v>
      </c>
      <c r="X678" s="72">
        <v>12369.979248535334</v>
      </c>
      <c r="Y678" s="73"/>
      <c r="Z678" s="74">
        <v>2.953487732900367</v>
      </c>
      <c r="AA678" s="74">
        <v>2.9986805344084999</v>
      </c>
      <c r="AB678" s="73"/>
      <c r="AC678" s="72">
        <v>49529.73881608979</v>
      </c>
      <c r="AD678" s="72">
        <v>49471.789318303701</v>
      </c>
      <c r="AE678" s="73"/>
      <c r="AF678" s="74">
        <v>4.5166726590760726</v>
      </c>
      <c r="AG678" s="74">
        <v>4.5569645907559222</v>
      </c>
      <c r="AH678" s="73"/>
      <c r="AI678" s="72">
        <v>1986307.3001577568</v>
      </c>
      <c r="AJ678" s="72">
        <v>0</v>
      </c>
      <c r="AK678" s="73"/>
      <c r="AL678" s="74">
        <v>-1425.139966300098</v>
      </c>
      <c r="AM678" s="74">
        <v>0</v>
      </c>
      <c r="AN678" s="73"/>
      <c r="AO678" s="72">
        <v>127718.87898554745</v>
      </c>
      <c r="AP678" s="72">
        <v>0</v>
      </c>
      <c r="AQ678" s="73"/>
      <c r="AR678" s="74">
        <v>-77.02184019918748</v>
      </c>
      <c r="AS678" s="74">
        <v>0</v>
      </c>
      <c r="AT678" s="73"/>
      <c r="AU678" s="72">
        <v>30453933.208000306</v>
      </c>
      <c r="AV678" s="72">
        <v>0</v>
      </c>
      <c r="AW678" s="73"/>
      <c r="AX678" s="74">
        <v>-3221.3086244855181</v>
      </c>
      <c r="AY678" s="74">
        <v>0</v>
      </c>
      <c r="AZ678" s="73"/>
      <c r="BA678" s="72">
        <v>193993.16064790552</v>
      </c>
      <c r="BB678" s="72">
        <v>0</v>
      </c>
      <c r="BC678" s="73"/>
      <c r="BD678" s="74">
        <v>-407.63657114580633</v>
      </c>
      <c r="BE678" s="74">
        <v>0</v>
      </c>
      <c r="BF678" s="73"/>
      <c r="BG678" s="72">
        <v>921517.41465037549</v>
      </c>
      <c r="BH678" s="72">
        <v>0</v>
      </c>
      <c r="BI678" s="73"/>
      <c r="BJ678" s="74">
        <v>-640.72542699063581</v>
      </c>
      <c r="BK678" s="74">
        <v>0</v>
      </c>
      <c r="BL678" s="73"/>
      <c r="BM678" s="72">
        <v>33683469.962441891</v>
      </c>
      <c r="BN678" s="72">
        <v>0</v>
      </c>
      <c r="BO678" s="73"/>
      <c r="BP678" s="74">
        <v>-5771.8324291212466</v>
      </c>
      <c r="BQ678" s="74">
        <v>0</v>
      </c>
      <c r="BS678" s="109">
        <f t="shared" si="264"/>
        <v>115318.29676649816</v>
      </c>
      <c r="BT678" s="109">
        <f t="shared" si="265"/>
        <v>115604.44544921035</v>
      </c>
      <c r="BV678" s="58">
        <f t="array" ref="BV678">SUM(IF(BS678:BT678&gt;=BS678, 1))</f>
        <v>2</v>
      </c>
      <c r="BW678" s="58">
        <f t="array" ref="BW678">SUM(IF(BS678:BT678&gt;=BT678, 1))</f>
        <v>1</v>
      </c>
      <c r="BY678" s="109">
        <f t="shared" si="266"/>
        <v>133601.90065520964</v>
      </c>
      <c r="BZ678" s="109">
        <f t="shared" si="267"/>
        <v>133851.12647987352</v>
      </c>
      <c r="CB678" s="58">
        <f t="array" ref="CB678">SUM(IF(BY678:BZ678&gt;=BY678, 1))</f>
        <v>2</v>
      </c>
      <c r="CC678" s="58">
        <f t="array" ref="CC678">SUM(IF(BY678:BZ678&gt;=BZ678, 1))</f>
        <v>1</v>
      </c>
      <c r="CE678" s="109">
        <f t="shared" si="268"/>
        <v>90921.778692449254</v>
      </c>
      <c r="CF678" s="109">
        <f t="shared" si="269"/>
        <v>95001.056167980234</v>
      </c>
      <c r="CH678" s="58">
        <f t="array" ref="CH678">SUM(IF(CE678:CF678&gt;=CE678, 1))</f>
        <v>2</v>
      </c>
      <c r="CI678" s="58">
        <f t="array" ref="CI678">SUM(IF(CE678:CF678&gt;=CF678, 1))</f>
        <v>1</v>
      </c>
      <c r="CK678" s="109">
        <f t="shared" si="270"/>
        <v>46678.268275363669</v>
      </c>
      <c r="CL678" s="109">
        <f t="shared" si="271"/>
        <v>47603.631439634664</v>
      </c>
      <c r="CN678" s="58">
        <f t="array" ref="CN678">SUM(IF(CK678:CL678&gt;=CK678, 1))</f>
        <v>2</v>
      </c>
      <c r="CO678" s="58">
        <f t="array" ref="CO678">SUM(IF(CK678:CL678&gt;=CL678, 1))</f>
        <v>1</v>
      </c>
      <c r="CQ678" s="109" cm="1">
        <f t="array" ref="CQ678">AF678*WTP-AC678</f>
        <v>40803.714365431668</v>
      </c>
      <c r="CR678" s="109">
        <f t="shared" si="272"/>
        <v>41667.502496814741</v>
      </c>
      <c r="CT678" s="58">
        <f t="array" ref="CT678">SUM(IF(CQ678:CR678&gt;=CQ678, 1))</f>
        <v>2</v>
      </c>
      <c r="CU678" s="58">
        <f t="array" ref="CU678">SUM(IF(CQ678:CR678&gt;=CR678, 1))</f>
        <v>1</v>
      </c>
      <c r="CW678" s="109">
        <f t="shared" si="273"/>
        <v>-30489106.626159716</v>
      </c>
      <c r="CX678" s="109">
        <f t="shared" si="274"/>
        <v>0</v>
      </c>
      <c r="CZ678" s="58">
        <f t="array" ref="CZ678">SUM(IF(CW678:CX678&gt;=CW678, 1))</f>
        <v>2</v>
      </c>
      <c r="DA678" s="58">
        <f t="array" ref="DA678">SUM(IF(CW678:CX678&gt;=CX678, 1))</f>
        <v>1</v>
      </c>
      <c r="DC678" s="109">
        <f t="shared" si="275"/>
        <v>-1668155.682969297</v>
      </c>
      <c r="DD678" s="109">
        <f t="shared" si="276"/>
        <v>0</v>
      </c>
      <c r="DF678" s="58">
        <f t="array" ref="DF678">SUM(IF(DC678:DD678&gt;=DC678, 1))</f>
        <v>2</v>
      </c>
      <c r="DG678" s="58">
        <f t="array" ref="DG678">SUM(IF(DC678:DD678&gt;=DD678, 1))</f>
        <v>1</v>
      </c>
      <c r="DI678" s="109">
        <f t="shared" si="277"/>
        <v>-94880105.697710663</v>
      </c>
      <c r="DJ678" s="109">
        <f t="shared" si="278"/>
        <v>0</v>
      </c>
      <c r="DL678" s="58">
        <f t="array" ref="DL678">SUM(IF(DI678:DJ678&gt;=DI678, 1))</f>
        <v>2</v>
      </c>
      <c r="DM678" s="58">
        <f t="array" ref="DM678">SUM(IF(DI678:DJ678&gt;=DJ678, 1))</f>
        <v>1</v>
      </c>
      <c r="DO678" s="109">
        <f t="shared" si="279"/>
        <v>-8346724.5835640319</v>
      </c>
      <c r="DP678" s="109">
        <f t="shared" si="280"/>
        <v>0</v>
      </c>
      <c r="DR678" s="58">
        <f t="array" ref="DR678">SUM(IF(DO678:DP678&gt;=DO678, 1))</f>
        <v>2</v>
      </c>
      <c r="DS678" s="58">
        <f t="array" ref="DS678">SUM(IF(DO678:DP678&gt;=DP678, 1))</f>
        <v>1</v>
      </c>
      <c r="DU678" s="109">
        <f t="shared" si="281"/>
        <v>-13736025.954463091</v>
      </c>
      <c r="DV678" s="109">
        <f t="shared" si="282"/>
        <v>0</v>
      </c>
      <c r="DX678" s="58">
        <f t="array" ref="DX678">SUM(IF(DU678:DV678&gt;=DU678, 1))</f>
        <v>2</v>
      </c>
      <c r="DY678" s="58">
        <f t="array" ref="DY678">SUM(IF(DU678:DV678&gt;=DV678, 1))</f>
        <v>1</v>
      </c>
      <c r="EA678" s="109">
        <f t="shared" si="283"/>
        <v>-149120118.54486683</v>
      </c>
      <c r="EB678" s="109">
        <f t="shared" si="284"/>
        <v>0</v>
      </c>
      <c r="ED678" s="58">
        <f t="array" ref="ED678">SUM(IF(EA678:EB678&gt;=EA678, 1))</f>
        <v>2</v>
      </c>
      <c r="EE678" s="58">
        <f t="array" ref="EE678">SUM(IF(EA678:EB678&gt;=EB678, 1))</f>
        <v>1</v>
      </c>
    </row>
    <row r="679" spans="4:135" ht="12" customHeight="1" x14ac:dyDescent="0.25">
      <c r="D679" s="11">
        <v>663</v>
      </c>
      <c r="E679" s="72">
        <v>292.78797610007422</v>
      </c>
      <c r="F679" s="72">
        <v>266.88990473871183</v>
      </c>
      <c r="G679" s="73"/>
      <c r="H679" s="74">
        <v>5.8961918624782754</v>
      </c>
      <c r="I679" s="74">
        <v>5.9162087426454102</v>
      </c>
      <c r="J679" s="73"/>
      <c r="K679" s="72">
        <v>314.40970581431526</v>
      </c>
      <c r="L679" s="72">
        <v>287.84833008412522</v>
      </c>
      <c r="M679" s="73"/>
      <c r="N679" s="74">
        <v>6.7205472457126429</v>
      </c>
      <c r="O679" s="74">
        <v>6.7379013394851039</v>
      </c>
      <c r="P679" s="73"/>
      <c r="Q679" s="72">
        <v>3773.564787101282</v>
      </c>
      <c r="R679" s="72">
        <v>1517.6317835020463</v>
      </c>
      <c r="S679" s="73"/>
      <c r="T679" s="74">
        <v>4.7454338213895371</v>
      </c>
      <c r="U679" s="74">
        <v>4.9360571807121616</v>
      </c>
      <c r="V679" s="73"/>
      <c r="W679" s="72">
        <v>12212.565764556557</v>
      </c>
      <c r="X679" s="72">
        <v>12174.174135303529</v>
      </c>
      <c r="Y679" s="73"/>
      <c r="Z679" s="74">
        <v>3.0485293305458967</v>
      </c>
      <c r="AA679" s="74">
        <v>3.0886322922098461</v>
      </c>
      <c r="AB679" s="73"/>
      <c r="AC679" s="72">
        <v>50720.107882656521</v>
      </c>
      <c r="AD679" s="72">
        <v>50663.635449043853</v>
      </c>
      <c r="AE679" s="73"/>
      <c r="AF679" s="74">
        <v>4.3816177945882675</v>
      </c>
      <c r="AG679" s="74">
        <v>4.5406105749326153</v>
      </c>
      <c r="AH679" s="73"/>
      <c r="AI679" s="72">
        <v>2795323.5066515226</v>
      </c>
      <c r="AJ679" s="72">
        <v>0</v>
      </c>
      <c r="AK679" s="73"/>
      <c r="AL679" s="74">
        <v>-2160.5336891802817</v>
      </c>
      <c r="AM679" s="74">
        <v>0</v>
      </c>
      <c r="AN679" s="73"/>
      <c r="AO679" s="72">
        <v>182680.85661139039</v>
      </c>
      <c r="AP679" s="72">
        <v>0</v>
      </c>
      <c r="AQ679" s="73"/>
      <c r="AR679" s="74">
        <v>-119.3560434621693</v>
      </c>
      <c r="AS679" s="74">
        <v>0</v>
      </c>
      <c r="AT679" s="73"/>
      <c r="AU679" s="72">
        <v>51420409.265529856</v>
      </c>
      <c r="AV679" s="72">
        <v>0</v>
      </c>
      <c r="AW679" s="73"/>
      <c r="AX679" s="74">
        <v>-4344.9566703891414</v>
      </c>
      <c r="AY679" s="74">
        <v>0</v>
      </c>
      <c r="AZ679" s="73"/>
      <c r="BA679" s="72">
        <v>339341.28624359245</v>
      </c>
      <c r="BB679" s="72">
        <v>0</v>
      </c>
      <c r="BC679" s="73"/>
      <c r="BD679" s="74">
        <v>-354.46764979760781</v>
      </c>
      <c r="BE679" s="74">
        <v>0</v>
      </c>
      <c r="BF679" s="73"/>
      <c r="BG679" s="72">
        <v>889887.6778341321</v>
      </c>
      <c r="BH679" s="72">
        <v>0</v>
      </c>
      <c r="BI679" s="73"/>
      <c r="BJ679" s="74">
        <v>-2505.3943498069325</v>
      </c>
      <c r="BK679" s="74">
        <v>0</v>
      </c>
      <c r="BL679" s="73"/>
      <c r="BM679" s="72">
        <v>55627642.592870496</v>
      </c>
      <c r="BN679" s="72">
        <v>0</v>
      </c>
      <c r="BO679" s="73"/>
      <c r="BP679" s="74">
        <v>-9484.7084026361335</v>
      </c>
      <c r="BQ679" s="74">
        <v>0</v>
      </c>
      <c r="BS679" s="109">
        <f t="shared" si="264"/>
        <v>117631.04927346543</v>
      </c>
      <c r="BT679" s="109">
        <f t="shared" si="265"/>
        <v>118057.2849481695</v>
      </c>
      <c r="BV679" s="58">
        <f t="array" ref="BV679">SUM(IF(BS679:BT679&gt;=BS679, 1))</f>
        <v>2</v>
      </c>
      <c r="BW679" s="58">
        <f t="array" ref="BW679">SUM(IF(BS679:BT679&gt;=BT679, 1))</f>
        <v>1</v>
      </c>
      <c r="BY679" s="109">
        <f t="shared" si="266"/>
        <v>134096.53520843852</v>
      </c>
      <c r="BZ679" s="109">
        <f t="shared" si="267"/>
        <v>134470.17845961795</v>
      </c>
      <c r="CB679" s="58">
        <f t="array" ref="CB679">SUM(IF(BY679:BZ679&gt;=BY679, 1))</f>
        <v>2</v>
      </c>
      <c r="CC679" s="58">
        <f t="array" ref="CC679">SUM(IF(BY679:BZ679&gt;=BZ679, 1))</f>
        <v>1</v>
      </c>
      <c r="CE679" s="109">
        <f t="shared" si="268"/>
        <v>91135.111640689458</v>
      </c>
      <c r="CF679" s="109">
        <f t="shared" si="269"/>
        <v>97203.51183074119</v>
      </c>
      <c r="CH679" s="58">
        <f t="array" ref="CH679">SUM(IF(CE679:CF679&gt;=CE679, 1))</f>
        <v>2</v>
      </c>
      <c r="CI679" s="58">
        <f t="array" ref="CI679">SUM(IF(CE679:CF679&gt;=CF679, 1))</f>
        <v>1</v>
      </c>
      <c r="CK679" s="109">
        <f t="shared" si="270"/>
        <v>48758.020846361374</v>
      </c>
      <c r="CL679" s="109">
        <f t="shared" si="271"/>
        <v>49598.471708893398</v>
      </c>
      <c r="CN679" s="58">
        <f t="array" ref="CN679">SUM(IF(CK679:CL679&gt;=CK679, 1))</f>
        <v>2</v>
      </c>
      <c r="CO679" s="58">
        <f t="array" ref="CO679">SUM(IF(CK679:CL679&gt;=CL679, 1))</f>
        <v>1</v>
      </c>
      <c r="CQ679" s="109" cm="1">
        <f t="array" ref="CQ679">AF679*WTP-AC679</f>
        <v>36912.248009108836</v>
      </c>
      <c r="CR679" s="109">
        <f t="shared" si="272"/>
        <v>40148.576049608455</v>
      </c>
      <c r="CT679" s="58">
        <f t="array" ref="CT679">SUM(IF(CQ679:CR679&gt;=CQ679, 1))</f>
        <v>2</v>
      </c>
      <c r="CU679" s="58">
        <f t="array" ref="CU679">SUM(IF(CQ679:CR679&gt;=CR679, 1))</f>
        <v>1</v>
      </c>
      <c r="CW679" s="109">
        <f t="shared" si="273"/>
        <v>-46005997.290257156</v>
      </c>
      <c r="CX679" s="109">
        <f t="shared" si="274"/>
        <v>0</v>
      </c>
      <c r="CZ679" s="58">
        <f t="array" ref="CZ679">SUM(IF(CW679:CX679&gt;=CW679, 1))</f>
        <v>2</v>
      </c>
      <c r="DA679" s="58">
        <f t="array" ref="DA679">SUM(IF(CW679:CX679&gt;=CX679, 1))</f>
        <v>1</v>
      </c>
      <c r="DC679" s="109">
        <f t="shared" si="275"/>
        <v>-2569801.7258547763</v>
      </c>
      <c r="DD679" s="109">
        <f t="shared" si="276"/>
        <v>0</v>
      </c>
      <c r="DF679" s="58">
        <f t="array" ref="DF679">SUM(IF(DC679:DD679&gt;=DC679, 1))</f>
        <v>2</v>
      </c>
      <c r="DG679" s="58">
        <f t="array" ref="DG679">SUM(IF(DC679:DD679&gt;=DD679, 1))</f>
        <v>1</v>
      </c>
      <c r="DI679" s="109">
        <f t="shared" si="277"/>
        <v>-138319542.67331266</v>
      </c>
      <c r="DJ679" s="109">
        <f t="shared" si="278"/>
        <v>0</v>
      </c>
      <c r="DL679" s="58">
        <f t="array" ref="DL679">SUM(IF(DI679:DJ679&gt;=DI679, 1))</f>
        <v>2</v>
      </c>
      <c r="DM679" s="58">
        <f t="array" ref="DM679">SUM(IF(DI679:DJ679&gt;=DJ679, 1))</f>
        <v>1</v>
      </c>
      <c r="DO679" s="109">
        <f t="shared" si="279"/>
        <v>-7428694.2821957488</v>
      </c>
      <c r="DP679" s="109">
        <f t="shared" si="280"/>
        <v>0</v>
      </c>
      <c r="DR679" s="58">
        <f t="array" ref="DR679">SUM(IF(DO679:DP679&gt;=DO679, 1))</f>
        <v>2</v>
      </c>
      <c r="DS679" s="58">
        <f t="array" ref="DS679">SUM(IF(DO679:DP679&gt;=DP679, 1))</f>
        <v>1</v>
      </c>
      <c r="DU679" s="109">
        <f t="shared" si="281"/>
        <v>-50997774.673972778</v>
      </c>
      <c r="DV679" s="109">
        <f t="shared" si="282"/>
        <v>0</v>
      </c>
      <c r="DX679" s="58">
        <f t="array" ref="DX679">SUM(IF(DU679:DV679&gt;=DU679, 1))</f>
        <v>2</v>
      </c>
      <c r="DY679" s="58">
        <f t="array" ref="DY679">SUM(IF(DU679:DV679&gt;=DV679, 1))</f>
        <v>1</v>
      </c>
      <c r="EA679" s="109">
        <f t="shared" si="283"/>
        <v>-245321810.64559317</v>
      </c>
      <c r="EB679" s="109">
        <f t="shared" si="284"/>
        <v>0</v>
      </c>
      <c r="ED679" s="58">
        <f t="array" ref="ED679">SUM(IF(EA679:EB679&gt;=EA679, 1))</f>
        <v>2</v>
      </c>
      <c r="EE679" s="58">
        <f t="array" ref="EE679">SUM(IF(EA679:EB679&gt;=EB679, 1))</f>
        <v>1</v>
      </c>
    </row>
    <row r="680" spans="4:135" ht="12" customHeight="1" x14ac:dyDescent="0.25">
      <c r="D680" s="11">
        <v>664</v>
      </c>
      <c r="E680" s="72">
        <v>226.27277617139893</v>
      </c>
      <c r="F680" s="72">
        <v>211.72963414631502</v>
      </c>
      <c r="G680" s="73"/>
      <c r="H680" s="74">
        <v>5.834500424701309</v>
      </c>
      <c r="I680" s="74">
        <v>5.8474699463956323</v>
      </c>
      <c r="J680" s="73"/>
      <c r="K680" s="72">
        <v>243.20666252355215</v>
      </c>
      <c r="L680" s="72">
        <v>228.24999530353168</v>
      </c>
      <c r="M680" s="73"/>
      <c r="N680" s="74">
        <v>6.6409537363000384</v>
      </c>
      <c r="O680" s="74">
        <v>6.6510719344429177</v>
      </c>
      <c r="P680" s="73"/>
      <c r="Q680" s="72">
        <v>2578.1487996842588</v>
      </c>
      <c r="R680" s="72">
        <v>1172.5068431845107</v>
      </c>
      <c r="S680" s="73"/>
      <c r="T680" s="74">
        <v>4.925392167191907</v>
      </c>
      <c r="U680" s="74">
        <v>5.0703732676420161</v>
      </c>
      <c r="V680" s="73"/>
      <c r="W680" s="72">
        <v>12786.131379037137</v>
      </c>
      <c r="X680" s="72">
        <v>12770.775461748126</v>
      </c>
      <c r="Y680" s="73"/>
      <c r="Z680" s="74">
        <v>2.9220035483943665</v>
      </c>
      <c r="AA680" s="74">
        <v>2.9678236942562908</v>
      </c>
      <c r="AB680" s="73"/>
      <c r="AC680" s="72">
        <v>48758.50000376322</v>
      </c>
      <c r="AD680" s="72">
        <v>48622.144101292171</v>
      </c>
      <c r="AE680" s="73"/>
      <c r="AF680" s="74">
        <v>4.7782305338635647</v>
      </c>
      <c r="AG680" s="74">
        <v>4.8796443978111981</v>
      </c>
      <c r="AH680" s="73"/>
      <c r="AI680" s="72">
        <v>1567455.5994897196</v>
      </c>
      <c r="AJ680" s="72">
        <v>0</v>
      </c>
      <c r="AK680" s="73"/>
      <c r="AL680" s="74">
        <v>-1397.8512598864047</v>
      </c>
      <c r="AM680" s="74">
        <v>0</v>
      </c>
      <c r="AN680" s="73"/>
      <c r="AO680" s="72">
        <v>107046.29433553699</v>
      </c>
      <c r="AP680" s="72">
        <v>0</v>
      </c>
      <c r="AQ680" s="73"/>
      <c r="AR680" s="74">
        <v>-72.416909503617134</v>
      </c>
      <c r="AS680" s="74">
        <v>0</v>
      </c>
      <c r="AT680" s="73"/>
      <c r="AU680" s="72">
        <v>31946711.85114973</v>
      </c>
      <c r="AV680" s="72">
        <v>0</v>
      </c>
      <c r="AW680" s="73"/>
      <c r="AX680" s="74">
        <v>-3295.0563395786494</v>
      </c>
      <c r="AY680" s="74">
        <v>0</v>
      </c>
      <c r="AZ680" s="73"/>
      <c r="BA680" s="72">
        <v>134438.30645671237</v>
      </c>
      <c r="BB680" s="72">
        <v>0</v>
      </c>
      <c r="BC680" s="73"/>
      <c r="BD680" s="74">
        <v>-401.14717312816492</v>
      </c>
      <c r="BE680" s="74">
        <v>0</v>
      </c>
      <c r="BF680" s="73"/>
      <c r="BG680" s="72">
        <v>2137471.3877148852</v>
      </c>
      <c r="BH680" s="72">
        <v>0</v>
      </c>
      <c r="BI680" s="73"/>
      <c r="BJ680" s="74">
        <v>-1589.7312003175052</v>
      </c>
      <c r="BK680" s="74">
        <v>0</v>
      </c>
      <c r="BL680" s="73"/>
      <c r="BM680" s="72">
        <v>35893123.439146586</v>
      </c>
      <c r="BN680" s="72">
        <v>0</v>
      </c>
      <c r="BO680" s="73"/>
      <c r="BP680" s="74">
        <v>-6756.2028824143417</v>
      </c>
      <c r="BQ680" s="74">
        <v>0</v>
      </c>
      <c r="BS680" s="109">
        <f t="shared" si="264"/>
        <v>116463.73571785478</v>
      </c>
      <c r="BT680" s="109">
        <f t="shared" si="265"/>
        <v>116737.66929376633</v>
      </c>
      <c r="BV680" s="58">
        <f t="array" ref="BV680">SUM(IF(BS680:BT680&gt;=BS680, 1))</f>
        <v>2</v>
      </c>
      <c r="BW680" s="58">
        <f t="array" ref="BW680">SUM(IF(BS680:BT680&gt;=BT680, 1))</f>
        <v>1</v>
      </c>
      <c r="BY680" s="109">
        <f t="shared" si="266"/>
        <v>132575.86806347722</v>
      </c>
      <c r="BZ680" s="109">
        <f t="shared" si="267"/>
        <v>132793.18869355481</v>
      </c>
      <c r="CB680" s="58">
        <f t="array" ref="CB680">SUM(IF(BY680:BZ680&gt;=BY680, 1))</f>
        <v>2</v>
      </c>
      <c r="CC680" s="58">
        <f t="array" ref="CC680">SUM(IF(BY680:BZ680&gt;=BZ680, 1))</f>
        <v>1</v>
      </c>
      <c r="CE680" s="109">
        <f t="shared" si="268"/>
        <v>95929.69454415387</v>
      </c>
      <c r="CF680" s="109">
        <f t="shared" si="269"/>
        <v>100234.95850965581</v>
      </c>
      <c r="CH680" s="58">
        <f t="array" ref="CH680">SUM(IF(CE680:CF680&gt;=CE680, 1))</f>
        <v>2</v>
      </c>
      <c r="CI680" s="58">
        <f t="array" ref="CI680">SUM(IF(CE680:CF680&gt;=CF680, 1))</f>
        <v>1</v>
      </c>
      <c r="CK680" s="109">
        <f t="shared" si="270"/>
        <v>45653.939588850197</v>
      </c>
      <c r="CL680" s="109">
        <f t="shared" si="271"/>
        <v>46585.698423377689</v>
      </c>
      <c r="CN680" s="58">
        <f t="array" ref="CN680">SUM(IF(CK680:CL680&gt;=CK680, 1))</f>
        <v>2</v>
      </c>
      <c r="CO680" s="58">
        <f t="array" ref="CO680">SUM(IF(CK680:CL680&gt;=CL680, 1))</f>
        <v>1</v>
      </c>
      <c r="CQ680" s="109" cm="1">
        <f t="array" ref="CQ680">AF680*WTP-AC680</f>
        <v>46806.110673508076</v>
      </c>
      <c r="CR680" s="109">
        <f t="shared" si="272"/>
        <v>48970.743854931789</v>
      </c>
      <c r="CT680" s="58">
        <f t="array" ref="CT680">SUM(IF(CQ680:CR680&gt;=CQ680, 1))</f>
        <v>2</v>
      </c>
      <c r="CU680" s="58">
        <f t="array" ref="CU680">SUM(IF(CQ680:CR680&gt;=CR680, 1))</f>
        <v>1</v>
      </c>
      <c r="CW680" s="109">
        <f t="shared" si="273"/>
        <v>-29524480.797217812</v>
      </c>
      <c r="CX680" s="109">
        <f t="shared" si="274"/>
        <v>0</v>
      </c>
      <c r="CZ680" s="58">
        <f t="array" ref="CZ680">SUM(IF(CW680:CX680&gt;=CW680, 1))</f>
        <v>2</v>
      </c>
      <c r="DA680" s="58">
        <f t="array" ref="DA680">SUM(IF(CW680:CX680&gt;=CX680, 1))</f>
        <v>1</v>
      </c>
      <c r="DC680" s="109">
        <f t="shared" si="275"/>
        <v>-1555384.4844078796</v>
      </c>
      <c r="DD680" s="109">
        <f t="shared" si="276"/>
        <v>0</v>
      </c>
      <c r="DF680" s="58">
        <f t="array" ref="DF680">SUM(IF(DC680:DD680&gt;=DC680, 1))</f>
        <v>2</v>
      </c>
      <c r="DG680" s="58">
        <f t="array" ref="DG680">SUM(IF(DC680:DD680&gt;=DD680, 1))</f>
        <v>1</v>
      </c>
      <c r="DI680" s="109">
        <f t="shared" si="277"/>
        <v>-97847838.642722726</v>
      </c>
      <c r="DJ680" s="109">
        <f t="shared" si="278"/>
        <v>0</v>
      </c>
      <c r="DL680" s="58">
        <f t="array" ref="DL680">SUM(IF(DI680:DJ680&gt;=DI680, 1))</f>
        <v>2</v>
      </c>
      <c r="DM680" s="58">
        <f t="array" ref="DM680">SUM(IF(DI680:DJ680&gt;=DJ680, 1))</f>
        <v>1</v>
      </c>
      <c r="DO680" s="109">
        <f t="shared" si="279"/>
        <v>-8157381.7690200107</v>
      </c>
      <c r="DP680" s="109">
        <f t="shared" si="280"/>
        <v>0</v>
      </c>
      <c r="DR680" s="58">
        <f t="array" ref="DR680">SUM(IF(DO680:DP680&gt;=DO680, 1))</f>
        <v>2</v>
      </c>
      <c r="DS680" s="58">
        <f t="array" ref="DS680">SUM(IF(DO680:DP680&gt;=DP680, 1))</f>
        <v>1</v>
      </c>
      <c r="DU680" s="109">
        <f t="shared" si="281"/>
        <v>-33932095.394064993</v>
      </c>
      <c r="DV680" s="109">
        <f t="shared" si="282"/>
        <v>0</v>
      </c>
      <c r="DX680" s="58">
        <f t="array" ref="DX680">SUM(IF(DU680:DV680&gt;=DU680, 1))</f>
        <v>2</v>
      </c>
      <c r="DY680" s="58">
        <f t="array" ref="DY680">SUM(IF(DU680:DV680&gt;=DV680, 1))</f>
        <v>1</v>
      </c>
      <c r="EA680" s="109">
        <f t="shared" si="283"/>
        <v>-171017181.08743343</v>
      </c>
      <c r="EB680" s="109">
        <f t="shared" si="284"/>
        <v>0</v>
      </c>
      <c r="ED680" s="58">
        <f t="array" ref="ED680">SUM(IF(EA680:EB680&gt;=EA680, 1))</f>
        <v>2</v>
      </c>
      <c r="EE680" s="58">
        <f t="array" ref="EE680">SUM(IF(EA680:EB680&gt;=EB680, 1))</f>
        <v>1</v>
      </c>
    </row>
    <row r="681" spans="4:135" ht="12" customHeight="1" x14ac:dyDescent="0.25">
      <c r="D681" s="11">
        <v>665</v>
      </c>
      <c r="E681" s="72">
        <v>274.74149624732007</v>
      </c>
      <c r="F681" s="72">
        <v>247.52150874675741</v>
      </c>
      <c r="G681" s="73"/>
      <c r="H681" s="74">
        <v>5.8285455275289362</v>
      </c>
      <c r="I681" s="74">
        <v>5.8474952380058971</v>
      </c>
      <c r="J681" s="73"/>
      <c r="K681" s="72">
        <v>294.81599460268285</v>
      </c>
      <c r="L681" s="72">
        <v>266.9321637025738</v>
      </c>
      <c r="M681" s="73"/>
      <c r="N681" s="74">
        <v>6.6893050992203369</v>
      </c>
      <c r="O681" s="74">
        <v>6.705997270672186</v>
      </c>
      <c r="P681" s="73"/>
      <c r="Q681" s="72">
        <v>1891.2710838079604</v>
      </c>
      <c r="R681" s="72">
        <v>1685.5011336276832</v>
      </c>
      <c r="S681" s="73"/>
      <c r="T681" s="74">
        <v>4.9620483499734851</v>
      </c>
      <c r="U681" s="74">
        <v>4.9937570273045839</v>
      </c>
      <c r="V681" s="73"/>
      <c r="W681" s="72">
        <v>11340.179443442014</v>
      </c>
      <c r="X681" s="72">
        <v>11412.478256692148</v>
      </c>
      <c r="Y681" s="73"/>
      <c r="Z681" s="74">
        <v>3.0810839866568158</v>
      </c>
      <c r="AA681" s="74">
        <v>3.1392847728820654</v>
      </c>
      <c r="AB681" s="73"/>
      <c r="AC681" s="72">
        <v>49498.62541834166</v>
      </c>
      <c r="AD681" s="72">
        <v>49759.341520013142</v>
      </c>
      <c r="AE681" s="73"/>
      <c r="AF681" s="74">
        <v>4.6757220280248948</v>
      </c>
      <c r="AG681" s="74">
        <v>4.6619068099491274</v>
      </c>
      <c r="AH681" s="73"/>
      <c r="AI681" s="72">
        <v>2906810.3234854671</v>
      </c>
      <c r="AJ681" s="72">
        <v>0</v>
      </c>
      <c r="AK681" s="73"/>
      <c r="AL681" s="74">
        <v>-2023.631129160221</v>
      </c>
      <c r="AM681" s="74">
        <v>0</v>
      </c>
      <c r="AN681" s="73"/>
      <c r="AO681" s="72">
        <v>202395.2382599492</v>
      </c>
      <c r="AP681" s="72">
        <v>0</v>
      </c>
      <c r="AQ681" s="73"/>
      <c r="AR681" s="74">
        <v>-121.16039686855606</v>
      </c>
      <c r="AS681" s="74">
        <v>0</v>
      </c>
      <c r="AT681" s="73"/>
      <c r="AU681" s="72">
        <v>4592603.2597308801</v>
      </c>
      <c r="AV681" s="72">
        <v>0</v>
      </c>
      <c r="AW681" s="73"/>
      <c r="AX681" s="74">
        <v>-707.70962788772249</v>
      </c>
      <c r="AY681" s="74">
        <v>0</v>
      </c>
      <c r="AZ681" s="73"/>
      <c r="BA681" s="72">
        <v>-657455.67254892865</v>
      </c>
      <c r="BB681" s="72">
        <v>0</v>
      </c>
      <c r="BC681" s="73"/>
      <c r="BD681" s="74">
        <v>-529.25401303909939</v>
      </c>
      <c r="BE681" s="74">
        <v>0</v>
      </c>
      <c r="BF681" s="73"/>
      <c r="BG681" s="72">
        <v>-4096130.5516237221</v>
      </c>
      <c r="BH681" s="72">
        <v>0</v>
      </c>
      <c r="BI681" s="73"/>
      <c r="BJ681" s="74">
        <v>217.05194452777019</v>
      </c>
      <c r="BK681" s="74">
        <v>0</v>
      </c>
      <c r="BL681" s="73"/>
      <c r="BM681" s="72">
        <v>2948222.5973036462</v>
      </c>
      <c r="BN681" s="72">
        <v>0</v>
      </c>
      <c r="BO681" s="73"/>
      <c r="BP681" s="74">
        <v>-3164.7032224278291</v>
      </c>
      <c r="BQ681" s="74">
        <v>0</v>
      </c>
      <c r="BS681" s="109">
        <f t="shared" si="264"/>
        <v>116296.1690543314</v>
      </c>
      <c r="BT681" s="109">
        <f t="shared" si="265"/>
        <v>116702.3832513712</v>
      </c>
      <c r="BV681" s="58">
        <f t="array" ref="BV681">SUM(IF(BS681:BT681&gt;=BS681, 1))</f>
        <v>2</v>
      </c>
      <c r="BW681" s="58">
        <f t="array" ref="BW681">SUM(IF(BS681:BT681&gt;=BT681, 1))</f>
        <v>1</v>
      </c>
      <c r="BY681" s="109">
        <f t="shared" si="266"/>
        <v>133491.28598980405</v>
      </c>
      <c r="BZ681" s="109">
        <f t="shared" si="267"/>
        <v>133853.01324974114</v>
      </c>
      <c r="CB681" s="58">
        <f t="array" ref="CB681">SUM(IF(BY681:BZ681&gt;=BY681, 1))</f>
        <v>2</v>
      </c>
      <c r="CC681" s="58">
        <f t="array" ref="CC681">SUM(IF(BY681:BZ681&gt;=BZ681, 1))</f>
        <v>1</v>
      </c>
      <c r="CE681" s="109">
        <f t="shared" si="268"/>
        <v>97349.695915661738</v>
      </c>
      <c r="CF681" s="109">
        <f t="shared" si="269"/>
        <v>98189.639412463992</v>
      </c>
      <c r="CH681" s="58">
        <f t="array" ref="CH681">SUM(IF(CE681:CF681&gt;=CE681, 1))</f>
        <v>2</v>
      </c>
      <c r="CI681" s="58">
        <f t="array" ref="CI681">SUM(IF(CE681:CF681&gt;=CF681, 1))</f>
        <v>1</v>
      </c>
      <c r="CK681" s="109">
        <f t="shared" si="270"/>
        <v>50281.500289694304</v>
      </c>
      <c r="CL681" s="109">
        <f t="shared" si="271"/>
        <v>51373.217200949162</v>
      </c>
      <c r="CN681" s="58">
        <f t="array" ref="CN681">SUM(IF(CK681:CL681&gt;=CK681, 1))</f>
        <v>2</v>
      </c>
      <c r="CO681" s="58">
        <f t="array" ref="CO681">SUM(IF(CK681:CL681&gt;=CL681, 1))</f>
        <v>1</v>
      </c>
      <c r="CQ681" s="109" cm="1">
        <f t="array" ref="CQ681">AF681*WTP-AC681</f>
        <v>44015.815142156236</v>
      </c>
      <c r="CR681" s="109">
        <f t="shared" si="272"/>
        <v>43478.794678969411</v>
      </c>
      <c r="CT681" s="58">
        <f t="array" ref="CT681">SUM(IF(CQ681:CR681&gt;=CQ681, 1))</f>
        <v>1</v>
      </c>
      <c r="CU681" s="58">
        <f t="array" ref="CU681">SUM(IF(CQ681:CR681&gt;=CR681, 1))</f>
        <v>2</v>
      </c>
      <c r="CW681" s="109">
        <f t="shared" si="273"/>
        <v>-43379432.906689882</v>
      </c>
      <c r="CX681" s="109">
        <f t="shared" si="274"/>
        <v>0</v>
      </c>
      <c r="CZ681" s="58">
        <f t="array" ref="CZ681">SUM(IF(CW681:CX681&gt;=CW681, 1))</f>
        <v>2</v>
      </c>
      <c r="DA681" s="58">
        <f t="array" ref="DA681">SUM(IF(CW681:CX681&gt;=CX681, 1))</f>
        <v>1</v>
      </c>
      <c r="DC681" s="109">
        <f t="shared" si="275"/>
        <v>-2625603.1756310705</v>
      </c>
      <c r="DD681" s="109">
        <f t="shared" si="276"/>
        <v>0</v>
      </c>
      <c r="DF681" s="58">
        <f t="array" ref="DF681">SUM(IF(DC681:DD681&gt;=DC681, 1))</f>
        <v>2</v>
      </c>
      <c r="DG681" s="58">
        <f t="array" ref="DG681">SUM(IF(DC681:DD681&gt;=DD681, 1))</f>
        <v>1</v>
      </c>
      <c r="DI681" s="109">
        <f t="shared" si="277"/>
        <v>-18746795.817485329</v>
      </c>
      <c r="DJ681" s="109">
        <f t="shared" si="278"/>
        <v>0</v>
      </c>
      <c r="DL681" s="58">
        <f t="array" ref="DL681">SUM(IF(DI681:DJ681&gt;=DI681, 1))</f>
        <v>2</v>
      </c>
      <c r="DM681" s="58">
        <f t="array" ref="DM681">SUM(IF(DI681:DJ681&gt;=DJ681, 1))</f>
        <v>1</v>
      </c>
      <c r="DO681" s="109">
        <f t="shared" si="279"/>
        <v>-9927624.5882330593</v>
      </c>
      <c r="DP681" s="109">
        <f t="shared" si="280"/>
        <v>0</v>
      </c>
      <c r="DR681" s="58">
        <f t="array" ref="DR681">SUM(IF(DO681:DP681&gt;=DO681, 1))</f>
        <v>2</v>
      </c>
      <c r="DS681" s="58">
        <f t="array" ref="DS681">SUM(IF(DO681:DP681&gt;=DP681, 1))</f>
        <v>1</v>
      </c>
      <c r="DU681" s="109">
        <f t="shared" si="281"/>
        <v>8437169.4421791267</v>
      </c>
      <c r="DV681" s="109">
        <f t="shared" si="282"/>
        <v>0</v>
      </c>
      <c r="DX681" s="58">
        <f t="array" ref="DX681">SUM(IF(DU681:DV681&gt;=DU681, 1))</f>
        <v>1</v>
      </c>
      <c r="DY681" s="58">
        <f t="array" ref="DY681">SUM(IF(DU681:DV681&gt;=DV681, 1))</f>
        <v>2</v>
      </c>
      <c r="EA681" s="109">
        <f t="shared" si="283"/>
        <v>-66242287.045860223</v>
      </c>
      <c r="EB681" s="109">
        <f t="shared" si="284"/>
        <v>0</v>
      </c>
      <c r="ED681" s="58">
        <f t="array" ref="ED681">SUM(IF(EA681:EB681&gt;=EA681, 1))</f>
        <v>2</v>
      </c>
      <c r="EE681" s="58">
        <f t="array" ref="EE681">SUM(IF(EA681:EB681&gt;=EB681, 1))</f>
        <v>1</v>
      </c>
    </row>
    <row r="682" spans="4:135" ht="12" customHeight="1" x14ac:dyDescent="0.25">
      <c r="D682" s="11">
        <v>666</v>
      </c>
      <c r="E682" s="72">
        <v>247.43669406861034</v>
      </c>
      <c r="F682" s="72">
        <v>223.5990313339455</v>
      </c>
      <c r="G682" s="73"/>
      <c r="H682" s="74">
        <v>5.756410943719235</v>
      </c>
      <c r="I682" s="74">
        <v>5.7736462691737538</v>
      </c>
      <c r="J682" s="73"/>
      <c r="K682" s="72">
        <v>265.50368591648459</v>
      </c>
      <c r="L682" s="72">
        <v>241.1200949435096</v>
      </c>
      <c r="M682" s="73"/>
      <c r="N682" s="74">
        <v>6.7108688933231191</v>
      </c>
      <c r="O682" s="74">
        <v>6.7263108335893742</v>
      </c>
      <c r="P682" s="73"/>
      <c r="Q682" s="72">
        <v>3032.5865655038046</v>
      </c>
      <c r="R682" s="72">
        <v>1373.2000908259279</v>
      </c>
      <c r="S682" s="73"/>
      <c r="T682" s="74">
        <v>4.7883507951385846</v>
      </c>
      <c r="U682" s="74">
        <v>4.9143290800098143</v>
      </c>
      <c r="V682" s="73"/>
      <c r="W682" s="72">
        <v>11751.301404580056</v>
      </c>
      <c r="X682" s="72">
        <v>11773.087851166731</v>
      </c>
      <c r="Y682" s="73"/>
      <c r="Z682" s="74">
        <v>2.9174196744754566</v>
      </c>
      <c r="AA682" s="74">
        <v>2.9601072250066758</v>
      </c>
      <c r="AB682" s="73"/>
      <c r="AC682" s="72">
        <v>51349.285568615625</v>
      </c>
      <c r="AD682" s="72">
        <v>51201.384816260244</v>
      </c>
      <c r="AE682" s="73"/>
      <c r="AF682" s="74">
        <v>4.7798575544835487</v>
      </c>
      <c r="AG682" s="74">
        <v>4.8827027567065659</v>
      </c>
      <c r="AH682" s="73"/>
      <c r="AI682" s="72">
        <v>2564066.4441363914</v>
      </c>
      <c r="AJ682" s="72">
        <v>0</v>
      </c>
      <c r="AK682" s="73"/>
      <c r="AL682" s="74">
        <v>-1853.8948278446967</v>
      </c>
      <c r="AM682" s="74">
        <v>0</v>
      </c>
      <c r="AN682" s="73"/>
      <c r="AO682" s="72">
        <v>159477.54070852615</v>
      </c>
      <c r="AP682" s="72">
        <v>0</v>
      </c>
      <c r="AQ682" s="73"/>
      <c r="AR682" s="74">
        <v>-100.99589761654651</v>
      </c>
      <c r="AS682" s="74">
        <v>0</v>
      </c>
      <c r="AT682" s="73"/>
      <c r="AU682" s="72">
        <v>39710203.781053938</v>
      </c>
      <c r="AV682" s="72">
        <v>0</v>
      </c>
      <c r="AW682" s="73"/>
      <c r="AX682" s="74">
        <v>-3014.7427621978854</v>
      </c>
      <c r="AY682" s="74">
        <v>0</v>
      </c>
      <c r="AZ682" s="73"/>
      <c r="BA682" s="72">
        <v>-196518.36653263823</v>
      </c>
      <c r="BB682" s="72">
        <v>0</v>
      </c>
      <c r="BC682" s="73"/>
      <c r="BD682" s="74">
        <v>-385.05075475710754</v>
      </c>
      <c r="BE682" s="74">
        <v>0</v>
      </c>
      <c r="BF682" s="73"/>
      <c r="BG682" s="72">
        <v>2385431.436831132</v>
      </c>
      <c r="BH682" s="72">
        <v>0</v>
      </c>
      <c r="BI682" s="73"/>
      <c r="BJ682" s="74">
        <v>-1658.7486852031204</v>
      </c>
      <c r="BK682" s="74">
        <v>0</v>
      </c>
      <c r="BL682" s="73"/>
      <c r="BM682" s="72">
        <v>44622660.836197346</v>
      </c>
      <c r="BN682" s="72">
        <v>0</v>
      </c>
      <c r="BO682" s="73"/>
      <c r="BP682" s="74">
        <v>-7013.4329276193566</v>
      </c>
      <c r="BQ682" s="74">
        <v>0</v>
      </c>
      <c r="BS682" s="109">
        <f t="shared" si="264"/>
        <v>114880.78218031609</v>
      </c>
      <c r="BT682" s="109">
        <f t="shared" si="265"/>
        <v>115249.32635214113</v>
      </c>
      <c r="BV682" s="58">
        <f t="array" ref="BV682">SUM(IF(BS682:BT682&gt;=BS682, 1))</f>
        <v>2</v>
      </c>
      <c r="BW682" s="58">
        <f t="array" ref="BW682">SUM(IF(BS682:BT682&gt;=BT682, 1))</f>
        <v>1</v>
      </c>
      <c r="BY682" s="109">
        <f t="shared" si="266"/>
        <v>133951.87418054588</v>
      </c>
      <c r="BZ682" s="109">
        <f t="shared" si="267"/>
        <v>134285.09657684399</v>
      </c>
      <c r="CB682" s="58">
        <f t="array" ref="CB682">SUM(IF(BY682:BZ682&gt;=BY682, 1))</f>
        <v>2</v>
      </c>
      <c r="CC682" s="58">
        <f t="array" ref="CC682">SUM(IF(BY682:BZ682&gt;=BZ682, 1))</f>
        <v>1</v>
      </c>
      <c r="CE682" s="109">
        <f t="shared" si="268"/>
        <v>92734.42933726788</v>
      </c>
      <c r="CF682" s="109">
        <f t="shared" si="269"/>
        <v>96913.38150937036</v>
      </c>
      <c r="CH682" s="58">
        <f t="array" ref="CH682">SUM(IF(CE682:CF682&gt;=CE682, 1))</f>
        <v>2</v>
      </c>
      <c r="CI682" s="58">
        <f t="array" ref="CI682">SUM(IF(CE682:CF682&gt;=CF682, 1))</f>
        <v>1</v>
      </c>
      <c r="CK682" s="109">
        <f t="shared" si="270"/>
        <v>46597.092084929071</v>
      </c>
      <c r="CL682" s="109">
        <f t="shared" si="271"/>
        <v>47429.056648966784</v>
      </c>
      <c r="CN682" s="58">
        <f t="array" ref="CN682">SUM(IF(CK682:CL682&gt;=CK682, 1))</f>
        <v>2</v>
      </c>
      <c r="CO682" s="58">
        <f t="array" ref="CO682">SUM(IF(CK682:CL682&gt;=CL682, 1))</f>
        <v>1</v>
      </c>
      <c r="CQ682" s="109" cm="1">
        <f t="array" ref="CQ682">AF682*WTP-AC682</f>
        <v>44247.865521055341</v>
      </c>
      <c r="CR682" s="109">
        <f t="shared" si="272"/>
        <v>46452.670317871081</v>
      </c>
      <c r="CT682" s="58">
        <f t="array" ref="CT682">SUM(IF(CQ682:CR682&gt;=CQ682, 1))</f>
        <v>2</v>
      </c>
      <c r="CU682" s="58">
        <f t="array" ref="CU682">SUM(IF(CQ682:CR682&gt;=CR682, 1))</f>
        <v>1</v>
      </c>
      <c r="CW682" s="109">
        <f t="shared" si="273"/>
        <v>-39641963.001030326</v>
      </c>
      <c r="CX682" s="109">
        <f t="shared" si="274"/>
        <v>0</v>
      </c>
      <c r="CZ682" s="58">
        <f t="array" ref="CZ682">SUM(IF(CW682:CX682&gt;=CW682, 1))</f>
        <v>2</v>
      </c>
      <c r="DA682" s="58">
        <f t="array" ref="DA682">SUM(IF(CW682:CX682&gt;=CX682, 1))</f>
        <v>1</v>
      </c>
      <c r="DC682" s="109">
        <f t="shared" si="275"/>
        <v>-2179395.4930394567</v>
      </c>
      <c r="DD682" s="109">
        <f t="shared" si="276"/>
        <v>0</v>
      </c>
      <c r="DF682" s="58">
        <f t="array" ref="DF682">SUM(IF(DC682:DD682&gt;=DC682, 1))</f>
        <v>2</v>
      </c>
      <c r="DG682" s="58">
        <f t="array" ref="DG682">SUM(IF(DC682:DD682&gt;=DD682, 1))</f>
        <v>1</v>
      </c>
      <c r="DI682" s="109">
        <f t="shared" si="277"/>
        <v>-100005059.02501164</v>
      </c>
      <c r="DJ682" s="109">
        <f t="shared" si="278"/>
        <v>0</v>
      </c>
      <c r="DL682" s="58">
        <f t="array" ref="DL682">SUM(IF(DI682:DJ682&gt;=DI682, 1))</f>
        <v>2</v>
      </c>
      <c r="DM682" s="58">
        <f t="array" ref="DM682">SUM(IF(DI682:DJ682&gt;=DJ682, 1))</f>
        <v>1</v>
      </c>
      <c r="DO682" s="109">
        <f t="shared" si="279"/>
        <v>-7504496.7286095126</v>
      </c>
      <c r="DP682" s="109">
        <f t="shared" si="280"/>
        <v>0</v>
      </c>
      <c r="DR682" s="58">
        <f t="array" ref="DR682">SUM(IF(DO682:DP682&gt;=DO682, 1))</f>
        <v>2</v>
      </c>
      <c r="DS682" s="58">
        <f t="array" ref="DS682">SUM(IF(DO682:DP682&gt;=DP682, 1))</f>
        <v>1</v>
      </c>
      <c r="DU682" s="109">
        <f t="shared" si="281"/>
        <v>-35560405.140893541</v>
      </c>
      <c r="DV682" s="109">
        <f t="shared" si="282"/>
        <v>0</v>
      </c>
      <c r="DX682" s="58">
        <f t="array" ref="DX682">SUM(IF(DU682:DV682&gt;=DU682, 1))</f>
        <v>2</v>
      </c>
      <c r="DY682" s="58">
        <f t="array" ref="DY682">SUM(IF(DU682:DV682&gt;=DV682, 1))</f>
        <v>1</v>
      </c>
      <c r="EA682" s="109">
        <f t="shared" si="283"/>
        <v>-184891319.38858446</v>
      </c>
      <c r="EB682" s="109">
        <f t="shared" si="284"/>
        <v>0</v>
      </c>
      <c r="ED682" s="58">
        <f t="array" ref="ED682">SUM(IF(EA682:EB682&gt;=EA682, 1))</f>
        <v>2</v>
      </c>
      <c r="EE682" s="58">
        <f t="array" ref="EE682">SUM(IF(EA682:EB682&gt;=EB682, 1))</f>
        <v>1</v>
      </c>
    </row>
    <row r="683" spans="4:135" ht="12" customHeight="1" x14ac:dyDescent="0.25">
      <c r="D683" s="11">
        <v>667</v>
      </c>
      <c r="E683" s="72">
        <v>271.0327337232161</v>
      </c>
      <c r="F683" s="72">
        <v>252.57693739257388</v>
      </c>
      <c r="G683" s="73"/>
      <c r="H683" s="74">
        <v>5.8745085907937593</v>
      </c>
      <c r="I683" s="74">
        <v>5.889436753890906</v>
      </c>
      <c r="J683" s="73"/>
      <c r="K683" s="72">
        <v>291.24340644007259</v>
      </c>
      <c r="L683" s="72">
        <v>272.32959264203856</v>
      </c>
      <c r="M683" s="73"/>
      <c r="N683" s="74">
        <v>6.7312423030689974</v>
      </c>
      <c r="O683" s="74">
        <v>6.7440065276932568</v>
      </c>
      <c r="P683" s="73"/>
      <c r="Q683" s="72">
        <v>4101.367311924776</v>
      </c>
      <c r="R683" s="72">
        <v>1598.296744595169</v>
      </c>
      <c r="S683" s="73"/>
      <c r="T683" s="74">
        <v>4.9075553899083451</v>
      </c>
      <c r="U683" s="74">
        <v>5.033388544132932</v>
      </c>
      <c r="V683" s="73"/>
      <c r="W683" s="72">
        <v>10254.132928199837</v>
      </c>
      <c r="X683" s="72">
        <v>10216.484910877321</v>
      </c>
      <c r="Y683" s="73"/>
      <c r="Z683" s="74">
        <v>3.0422026672716318</v>
      </c>
      <c r="AA683" s="74">
        <v>3.0824186855355182</v>
      </c>
      <c r="AB683" s="73"/>
      <c r="AC683" s="72">
        <v>50944.981120221775</v>
      </c>
      <c r="AD683" s="72">
        <v>50356.063474922048</v>
      </c>
      <c r="AE683" s="73"/>
      <c r="AF683" s="74">
        <v>4.5567170291611321</v>
      </c>
      <c r="AG683" s="74">
        <v>4.7667028464860728</v>
      </c>
      <c r="AH683" s="73"/>
      <c r="AI683" s="72">
        <v>1972283.7934061887</v>
      </c>
      <c r="AJ683" s="72">
        <v>0</v>
      </c>
      <c r="AK683" s="73"/>
      <c r="AL683" s="74">
        <v>-1595.3022895545955</v>
      </c>
      <c r="AM683" s="74">
        <v>0</v>
      </c>
      <c r="AN683" s="73"/>
      <c r="AO683" s="72">
        <v>128633.81655028183</v>
      </c>
      <c r="AP683" s="72">
        <v>0</v>
      </c>
      <c r="AQ683" s="73"/>
      <c r="AR683" s="74">
        <v>-86.810145550562709</v>
      </c>
      <c r="AS683" s="74">
        <v>0</v>
      </c>
      <c r="AT683" s="73"/>
      <c r="AU683" s="72">
        <v>58642984.050218336</v>
      </c>
      <c r="AV683" s="72">
        <v>0</v>
      </c>
      <c r="AW683" s="73"/>
      <c r="AX683" s="74">
        <v>-2948.0717613381662</v>
      </c>
      <c r="AY683" s="74">
        <v>0</v>
      </c>
      <c r="AZ683" s="73"/>
      <c r="BA683" s="72">
        <v>341679.01642080722</v>
      </c>
      <c r="BB683" s="72">
        <v>0</v>
      </c>
      <c r="BC683" s="73"/>
      <c r="BD683" s="74">
        <v>-364.98521149341195</v>
      </c>
      <c r="BE683" s="74">
        <v>0</v>
      </c>
      <c r="BF683" s="73"/>
      <c r="BG683" s="72">
        <v>9428447.2956826687</v>
      </c>
      <c r="BH683" s="72">
        <v>0</v>
      </c>
      <c r="BI683" s="73"/>
      <c r="BJ683" s="74">
        <v>-3361.8286483527258</v>
      </c>
      <c r="BK683" s="74">
        <v>0</v>
      </c>
      <c r="BL683" s="73"/>
      <c r="BM683" s="72">
        <v>70514027.972278282</v>
      </c>
      <c r="BN683" s="72">
        <v>0</v>
      </c>
      <c r="BO683" s="73"/>
      <c r="BP683" s="74">
        <v>-8356.9980562894616</v>
      </c>
      <c r="BQ683" s="74">
        <v>0</v>
      </c>
      <c r="BS683" s="109">
        <f t="shared" si="264"/>
        <v>117219.13908215197</v>
      </c>
      <c r="BT683" s="109">
        <f t="shared" si="265"/>
        <v>117536.15814042556</v>
      </c>
      <c r="BV683" s="58">
        <f t="array" ref="BV683">SUM(IF(BS683:BT683&gt;=BS683, 1))</f>
        <v>2</v>
      </c>
      <c r="BW683" s="58">
        <f t="array" ref="BW683">SUM(IF(BS683:BT683&gt;=BT683, 1))</f>
        <v>1</v>
      </c>
      <c r="BY683" s="109">
        <f t="shared" si="266"/>
        <v>134333.60265493987</v>
      </c>
      <c r="BZ683" s="109">
        <f t="shared" si="267"/>
        <v>134607.80096122311</v>
      </c>
      <c r="CB683" s="58">
        <f t="array" ref="CB683">SUM(IF(BY683:BZ683&gt;=BY683, 1))</f>
        <v>2</v>
      </c>
      <c r="CC683" s="58">
        <f t="array" ref="CC683">SUM(IF(BY683:BZ683&gt;=BZ683, 1))</f>
        <v>1</v>
      </c>
      <c r="CE683" s="109">
        <f t="shared" si="268"/>
        <v>94049.740486242139</v>
      </c>
      <c r="CF683" s="109">
        <f t="shared" si="269"/>
        <v>99069.47413806348</v>
      </c>
      <c r="CH683" s="58">
        <f t="array" ref="CH683">SUM(IF(CE683:CF683&gt;=CE683, 1))</f>
        <v>2</v>
      </c>
      <c r="CI683" s="58">
        <f t="array" ref="CI683">SUM(IF(CE683:CF683&gt;=CF683, 1))</f>
        <v>1</v>
      </c>
      <c r="CK683" s="109">
        <f t="shared" si="270"/>
        <v>50589.920417232803</v>
      </c>
      <c r="CL683" s="109">
        <f t="shared" si="271"/>
        <v>51431.888799833047</v>
      </c>
      <c r="CN683" s="58">
        <f t="array" ref="CN683">SUM(IF(CK683:CL683&gt;=CK683, 1))</f>
        <v>2</v>
      </c>
      <c r="CO683" s="58">
        <f t="array" ref="CO683">SUM(IF(CK683:CL683&gt;=CL683, 1))</f>
        <v>1</v>
      </c>
      <c r="CQ683" s="109" cm="1">
        <f t="array" ref="CQ683">AF683*WTP-AC683</f>
        <v>40189.359463000867</v>
      </c>
      <c r="CR683" s="109">
        <f t="shared" si="272"/>
        <v>44977.993454799405</v>
      </c>
      <c r="CT683" s="58">
        <f t="array" ref="CT683">SUM(IF(CQ683:CR683&gt;=CQ683, 1))</f>
        <v>2</v>
      </c>
      <c r="CU683" s="58">
        <f t="array" ref="CU683">SUM(IF(CQ683:CR683&gt;=CR683, 1))</f>
        <v>1</v>
      </c>
      <c r="CW683" s="109">
        <f t="shared" si="273"/>
        <v>-33878329.5844981</v>
      </c>
      <c r="CX683" s="109">
        <f t="shared" si="274"/>
        <v>0</v>
      </c>
      <c r="CZ683" s="58">
        <f t="array" ref="CZ683">SUM(IF(CW683:CX683&gt;=CW683, 1))</f>
        <v>2</v>
      </c>
      <c r="DA683" s="58">
        <f t="array" ref="DA683">SUM(IF(CW683:CX683&gt;=CX683, 1))</f>
        <v>1</v>
      </c>
      <c r="DC683" s="109">
        <f t="shared" si="275"/>
        <v>-1864836.727561536</v>
      </c>
      <c r="DD683" s="109">
        <f t="shared" si="276"/>
        <v>0</v>
      </c>
      <c r="DF683" s="58">
        <f t="array" ref="DF683">SUM(IF(DC683:DD683&gt;=DC683, 1))</f>
        <v>2</v>
      </c>
      <c r="DG683" s="58">
        <f t="array" ref="DG683">SUM(IF(DC683:DD683&gt;=DD683, 1))</f>
        <v>1</v>
      </c>
      <c r="DI683" s="109">
        <f t="shared" si="277"/>
        <v>-117604419.27698165</v>
      </c>
      <c r="DJ683" s="109">
        <f t="shared" si="278"/>
        <v>0</v>
      </c>
      <c r="DL683" s="58">
        <f t="array" ref="DL683">SUM(IF(DI683:DJ683&gt;=DI683, 1))</f>
        <v>2</v>
      </c>
      <c r="DM683" s="58">
        <f t="array" ref="DM683">SUM(IF(DI683:DJ683&gt;=DJ683, 1))</f>
        <v>1</v>
      </c>
      <c r="DO683" s="109">
        <f t="shared" si="279"/>
        <v>-7641383.2462890465</v>
      </c>
      <c r="DP683" s="109">
        <f t="shared" si="280"/>
        <v>0</v>
      </c>
      <c r="DR683" s="58">
        <f t="array" ref="DR683">SUM(IF(DO683:DP683&gt;=DO683, 1))</f>
        <v>2</v>
      </c>
      <c r="DS683" s="58">
        <f t="array" ref="DS683">SUM(IF(DO683:DP683&gt;=DP683, 1))</f>
        <v>1</v>
      </c>
      <c r="DU683" s="109">
        <f t="shared" si="281"/>
        <v>-76665020.262737185</v>
      </c>
      <c r="DV683" s="109">
        <f t="shared" si="282"/>
        <v>0</v>
      </c>
      <c r="DX683" s="58">
        <f t="array" ref="DX683">SUM(IF(DU683:DV683&gt;=DU683, 1))</f>
        <v>2</v>
      </c>
      <c r="DY683" s="58">
        <f t="array" ref="DY683">SUM(IF(DU683:DV683&gt;=DV683, 1))</f>
        <v>1</v>
      </c>
      <c r="EA683" s="109">
        <f t="shared" si="283"/>
        <v>-237653989.09806752</v>
      </c>
      <c r="EB683" s="109">
        <f t="shared" si="284"/>
        <v>0</v>
      </c>
      <c r="ED683" s="58">
        <f t="array" ref="ED683">SUM(IF(EA683:EB683&gt;=EA683, 1))</f>
        <v>2</v>
      </c>
      <c r="EE683" s="58">
        <f t="array" ref="EE683">SUM(IF(EA683:EB683&gt;=EB683, 1))</f>
        <v>1</v>
      </c>
    </row>
    <row r="684" spans="4:135" ht="12" customHeight="1" x14ac:dyDescent="0.25">
      <c r="D684" s="11">
        <v>668</v>
      </c>
      <c r="E684" s="72">
        <v>244.16723884305816</v>
      </c>
      <c r="F684" s="72">
        <v>224.41071587811777</v>
      </c>
      <c r="G684" s="73"/>
      <c r="H684" s="74">
        <v>5.8873117992678115</v>
      </c>
      <c r="I684" s="74">
        <v>5.9079254384509063</v>
      </c>
      <c r="J684" s="73"/>
      <c r="K684" s="72">
        <v>262.22607744782647</v>
      </c>
      <c r="L684" s="72">
        <v>241.99345749626733</v>
      </c>
      <c r="M684" s="73"/>
      <c r="N684" s="74">
        <v>6.7407347327592326</v>
      </c>
      <c r="O684" s="74">
        <v>6.7595342715422726</v>
      </c>
      <c r="P684" s="73"/>
      <c r="Q684" s="72">
        <v>3543.7786820363976</v>
      </c>
      <c r="R684" s="72">
        <v>1732.4389461951434</v>
      </c>
      <c r="S684" s="73"/>
      <c r="T684" s="74">
        <v>4.8974896977515341</v>
      </c>
      <c r="U684" s="74">
        <v>5.0006331188205682</v>
      </c>
      <c r="V684" s="73"/>
      <c r="W684" s="72">
        <v>13916.081348885367</v>
      </c>
      <c r="X684" s="72">
        <v>13893.810145406424</v>
      </c>
      <c r="Y684" s="73"/>
      <c r="Z684" s="74">
        <v>2.7738537035579651</v>
      </c>
      <c r="AA684" s="74">
        <v>2.8159943846575306</v>
      </c>
      <c r="AB684" s="73"/>
      <c r="AC684" s="72">
        <v>49444.310590016459</v>
      </c>
      <c r="AD684" s="72">
        <v>49274.100170760357</v>
      </c>
      <c r="AE684" s="73"/>
      <c r="AF684" s="74">
        <v>5.089050173328542</v>
      </c>
      <c r="AG684" s="74">
        <v>5.2171645848019583</v>
      </c>
      <c r="AH684" s="73"/>
      <c r="AI684" s="72">
        <v>2112718.0193237117</v>
      </c>
      <c r="AJ684" s="72">
        <v>0</v>
      </c>
      <c r="AK684" s="73"/>
      <c r="AL684" s="74">
        <v>-2204.3760950875039</v>
      </c>
      <c r="AM684" s="74">
        <v>0</v>
      </c>
      <c r="AN684" s="73"/>
      <c r="AO684" s="72">
        <v>138352.05893137911</v>
      </c>
      <c r="AP684" s="72">
        <v>0</v>
      </c>
      <c r="AQ684" s="73"/>
      <c r="AR684" s="74">
        <v>-128.5525504764627</v>
      </c>
      <c r="AS684" s="74">
        <v>0</v>
      </c>
      <c r="AT684" s="73"/>
      <c r="AU684" s="72">
        <v>40925085.646368526</v>
      </c>
      <c r="AV684" s="72">
        <v>0</v>
      </c>
      <c r="AW684" s="73"/>
      <c r="AX684" s="74">
        <v>-2330.4039863892285</v>
      </c>
      <c r="AY684" s="74">
        <v>0</v>
      </c>
      <c r="AZ684" s="73"/>
      <c r="BA684" s="72">
        <v>201791.0261694192</v>
      </c>
      <c r="BB684" s="72">
        <v>0</v>
      </c>
      <c r="BC684" s="73"/>
      <c r="BD684" s="74">
        <v>-381.82091464429703</v>
      </c>
      <c r="BE684" s="74">
        <v>0</v>
      </c>
      <c r="BF684" s="73"/>
      <c r="BG684" s="72">
        <v>2666759.2079379857</v>
      </c>
      <c r="BH684" s="72">
        <v>0</v>
      </c>
      <c r="BI684" s="73"/>
      <c r="BJ684" s="74">
        <v>-2007.2231063142801</v>
      </c>
      <c r="BK684" s="74">
        <v>0</v>
      </c>
      <c r="BL684" s="73"/>
      <c r="BM684" s="72">
        <v>46044705.958731025</v>
      </c>
      <c r="BN684" s="72">
        <v>0</v>
      </c>
      <c r="BO684" s="73"/>
      <c r="BP684" s="74">
        <v>-7052.376652911772</v>
      </c>
      <c r="BQ684" s="74">
        <v>0</v>
      </c>
      <c r="BS684" s="109">
        <f t="shared" si="264"/>
        <v>117502.06874651316</v>
      </c>
      <c r="BT684" s="109">
        <f t="shared" si="265"/>
        <v>117934.09805314001</v>
      </c>
      <c r="BV684" s="58">
        <f t="array" ref="BV684">SUM(IF(BS684:BT684&gt;=BS684, 1))</f>
        <v>2</v>
      </c>
      <c r="BW684" s="58">
        <f t="array" ref="BW684">SUM(IF(BS684:BT684&gt;=BT684, 1))</f>
        <v>1</v>
      </c>
      <c r="BY684" s="109">
        <f t="shared" si="266"/>
        <v>134552.46857773684</v>
      </c>
      <c r="BZ684" s="109">
        <f t="shared" si="267"/>
        <v>134948.6919733492</v>
      </c>
      <c r="CB684" s="58">
        <f t="array" ref="CB684">SUM(IF(BY684:BZ684&gt;=BY684, 1))</f>
        <v>2</v>
      </c>
      <c r="CC684" s="58">
        <f t="array" ref="CC684">SUM(IF(BY684:BZ684&gt;=BZ684, 1))</f>
        <v>1</v>
      </c>
      <c r="CE684" s="109">
        <f t="shared" si="268"/>
        <v>94406.015272994278</v>
      </c>
      <c r="CF684" s="109">
        <f t="shared" si="269"/>
        <v>98280.223430216211</v>
      </c>
      <c r="CH684" s="58">
        <f t="array" ref="CH684">SUM(IF(CE684:CF684&gt;=CE684, 1))</f>
        <v>2</v>
      </c>
      <c r="CI684" s="58">
        <f t="array" ref="CI684">SUM(IF(CE684:CF684&gt;=CF684, 1))</f>
        <v>1</v>
      </c>
      <c r="CK684" s="109">
        <f t="shared" si="270"/>
        <v>41560.992722273935</v>
      </c>
      <c r="CL684" s="109">
        <f t="shared" si="271"/>
        <v>42426.077547744186</v>
      </c>
      <c r="CN684" s="58">
        <f t="array" ref="CN684">SUM(IF(CK684:CL684&gt;=CK684, 1))</f>
        <v>2</v>
      </c>
      <c r="CO684" s="58">
        <f t="array" ref="CO684">SUM(IF(CK684:CL684&gt;=CL684, 1))</f>
        <v>1</v>
      </c>
      <c r="CQ684" s="109" cm="1">
        <f t="array" ref="CQ684">AF684*WTP-AC684</f>
        <v>52336.692876554378</v>
      </c>
      <c r="CR684" s="109">
        <f t="shared" si="272"/>
        <v>55069.191525278802</v>
      </c>
      <c r="CT684" s="58">
        <f t="array" ref="CT684">SUM(IF(CQ684:CR684&gt;=CQ684, 1))</f>
        <v>2</v>
      </c>
      <c r="CU684" s="58">
        <f t="array" ref="CU684">SUM(IF(CQ684:CR684&gt;=CR684, 1))</f>
        <v>1</v>
      </c>
      <c r="CW684" s="109">
        <f t="shared" si="273"/>
        <v>-46200239.921073794</v>
      </c>
      <c r="CX684" s="109">
        <f t="shared" si="274"/>
        <v>0</v>
      </c>
      <c r="CZ684" s="58">
        <f t="array" ref="CZ684">SUM(IF(CW684:CX684&gt;=CW684, 1))</f>
        <v>2</v>
      </c>
      <c r="DA684" s="58">
        <f t="array" ref="DA684">SUM(IF(CW684:CX684&gt;=CX684, 1))</f>
        <v>1</v>
      </c>
      <c r="DC684" s="109">
        <f t="shared" si="275"/>
        <v>-2709403.068460633</v>
      </c>
      <c r="DD684" s="109">
        <f t="shared" si="276"/>
        <v>0</v>
      </c>
      <c r="DF684" s="58">
        <f t="array" ref="DF684">SUM(IF(DC684:DD684&gt;=DC684, 1))</f>
        <v>2</v>
      </c>
      <c r="DG684" s="58">
        <f t="array" ref="DG684">SUM(IF(DC684:DD684&gt;=DD684, 1))</f>
        <v>1</v>
      </c>
      <c r="DI684" s="109">
        <f t="shared" si="277"/>
        <v>-87533165.374153107</v>
      </c>
      <c r="DJ684" s="109">
        <f t="shared" si="278"/>
        <v>0</v>
      </c>
      <c r="DL684" s="58">
        <f t="array" ref="DL684">SUM(IF(DI684:DJ684&gt;=DI684, 1))</f>
        <v>2</v>
      </c>
      <c r="DM684" s="58">
        <f t="array" ref="DM684">SUM(IF(DI684:DJ684&gt;=DJ684, 1))</f>
        <v>1</v>
      </c>
      <c r="DO684" s="109">
        <f t="shared" si="279"/>
        <v>-7838209.3190553598</v>
      </c>
      <c r="DP684" s="109">
        <f t="shared" si="280"/>
        <v>0</v>
      </c>
      <c r="DR684" s="58">
        <f t="array" ref="DR684">SUM(IF(DO684:DP684&gt;=DO684, 1))</f>
        <v>2</v>
      </c>
      <c r="DS684" s="58">
        <f t="array" ref="DS684">SUM(IF(DO684:DP684&gt;=DP684, 1))</f>
        <v>1</v>
      </c>
      <c r="DU684" s="109">
        <f t="shared" si="281"/>
        <v>-42811221.334223591</v>
      </c>
      <c r="DV684" s="109">
        <f t="shared" si="282"/>
        <v>0</v>
      </c>
      <c r="DX684" s="58">
        <f t="array" ref="DX684">SUM(IF(DU684:DV684&gt;=DU684, 1))</f>
        <v>2</v>
      </c>
      <c r="DY684" s="58">
        <f t="array" ref="DY684">SUM(IF(DU684:DV684&gt;=DV684, 1))</f>
        <v>1</v>
      </c>
      <c r="EA684" s="109">
        <f t="shared" si="283"/>
        <v>-187092239.01696646</v>
      </c>
      <c r="EB684" s="109">
        <f t="shared" si="284"/>
        <v>0</v>
      </c>
      <c r="ED684" s="58">
        <f t="array" ref="ED684">SUM(IF(EA684:EB684&gt;=EA684, 1))</f>
        <v>2</v>
      </c>
      <c r="EE684" s="58">
        <f t="array" ref="EE684">SUM(IF(EA684:EB684&gt;=EB684, 1))</f>
        <v>1</v>
      </c>
    </row>
    <row r="685" spans="4:135" ht="12" customHeight="1" x14ac:dyDescent="0.25">
      <c r="D685" s="11">
        <v>669</v>
      </c>
      <c r="E685" s="72">
        <v>205.67154618473677</v>
      </c>
      <c r="F685" s="72">
        <v>188.6823161738823</v>
      </c>
      <c r="G685" s="73"/>
      <c r="H685" s="74">
        <v>5.8455041717242269</v>
      </c>
      <c r="I685" s="74">
        <v>5.8597745966675481</v>
      </c>
      <c r="J685" s="73"/>
      <c r="K685" s="72">
        <v>220.84553664697668</v>
      </c>
      <c r="L685" s="72">
        <v>203.43762111703745</v>
      </c>
      <c r="M685" s="73"/>
      <c r="N685" s="74">
        <v>6.6861606684807935</v>
      </c>
      <c r="O685" s="74">
        <v>6.6983452468627851</v>
      </c>
      <c r="P685" s="73"/>
      <c r="Q685" s="72">
        <v>2187.0326903337568</v>
      </c>
      <c r="R685" s="72">
        <v>1096.0563222925714</v>
      </c>
      <c r="S685" s="73"/>
      <c r="T685" s="74">
        <v>4.9654544994098879</v>
      </c>
      <c r="U685" s="74">
        <v>5.066202117890203</v>
      </c>
      <c r="V685" s="73"/>
      <c r="W685" s="72">
        <v>11857.659336712599</v>
      </c>
      <c r="X685" s="72">
        <v>11808.197898839075</v>
      </c>
      <c r="Y685" s="73"/>
      <c r="Z685" s="74">
        <v>2.9704931358077578</v>
      </c>
      <c r="AA685" s="74">
        <v>3.0203526461878565</v>
      </c>
      <c r="AB685" s="73"/>
      <c r="AC685" s="72">
        <v>51510.653939432857</v>
      </c>
      <c r="AD685" s="72">
        <v>50829.391847513012</v>
      </c>
      <c r="AE685" s="73"/>
      <c r="AF685" s="74">
        <v>4.8250484189703791</v>
      </c>
      <c r="AG685" s="74">
        <v>5.0004443025795151</v>
      </c>
      <c r="AH685" s="73"/>
      <c r="AI685" s="72">
        <v>1823907.1143970217</v>
      </c>
      <c r="AJ685" s="72">
        <v>0</v>
      </c>
      <c r="AK685" s="73"/>
      <c r="AL685" s="74">
        <v>-1532.0252632381182</v>
      </c>
      <c r="AM685" s="74">
        <v>0</v>
      </c>
      <c r="AN685" s="73"/>
      <c r="AO685" s="72">
        <v>120014.43032214309</v>
      </c>
      <c r="AP685" s="72">
        <v>0</v>
      </c>
      <c r="AQ685" s="73"/>
      <c r="AR685" s="74">
        <v>-84.003465590996427</v>
      </c>
      <c r="AS685" s="74">
        <v>0</v>
      </c>
      <c r="AT685" s="73"/>
      <c r="AU685" s="72">
        <v>25379281.186957132</v>
      </c>
      <c r="AV685" s="72">
        <v>0</v>
      </c>
      <c r="AW685" s="73"/>
      <c r="AX685" s="74">
        <v>-2343.68242358818</v>
      </c>
      <c r="AY685" s="74">
        <v>0</v>
      </c>
      <c r="AZ685" s="73"/>
      <c r="BA685" s="72">
        <v>439122.18677524675</v>
      </c>
      <c r="BB685" s="72">
        <v>0</v>
      </c>
      <c r="BC685" s="73"/>
      <c r="BD685" s="74">
        <v>-442.65630298976373</v>
      </c>
      <c r="BE685" s="74">
        <v>0</v>
      </c>
      <c r="BF685" s="73"/>
      <c r="BG685" s="72">
        <v>10754900.538378416</v>
      </c>
      <c r="BH685" s="72">
        <v>0</v>
      </c>
      <c r="BI685" s="73"/>
      <c r="BJ685" s="74">
        <v>-2768.927414912142</v>
      </c>
      <c r="BK685" s="74">
        <v>0</v>
      </c>
      <c r="BL685" s="73"/>
      <c r="BM685" s="72">
        <v>38517225.456829958</v>
      </c>
      <c r="BN685" s="72">
        <v>0</v>
      </c>
      <c r="BO685" s="73"/>
      <c r="BP685" s="74">
        <v>-7171.2948703192005</v>
      </c>
      <c r="BQ685" s="74">
        <v>0</v>
      </c>
      <c r="BS685" s="109">
        <f t="shared" si="264"/>
        <v>116704.4118882998</v>
      </c>
      <c r="BT685" s="109">
        <f t="shared" si="265"/>
        <v>117006.80961717707</v>
      </c>
      <c r="BV685" s="58">
        <f t="array" ref="BV685">SUM(IF(BS685:BT685&gt;=BS685, 1))</f>
        <v>2</v>
      </c>
      <c r="BW685" s="58">
        <f t="array" ref="BW685">SUM(IF(BS685:BT685&gt;=BT685, 1))</f>
        <v>1</v>
      </c>
      <c r="BY685" s="109">
        <f t="shared" si="266"/>
        <v>133502.36783296888</v>
      </c>
      <c r="BZ685" s="109">
        <f t="shared" si="267"/>
        <v>133763.46731613865</v>
      </c>
      <c r="CB685" s="58">
        <f t="array" ref="CB685">SUM(IF(BY685:BZ685&gt;=BY685, 1))</f>
        <v>2</v>
      </c>
      <c r="CC685" s="58">
        <f t="array" ref="CC685">SUM(IF(BY685:BZ685&gt;=BZ685, 1))</f>
        <v>1</v>
      </c>
      <c r="CE685" s="109">
        <f t="shared" si="268"/>
        <v>97122.057297863998</v>
      </c>
      <c r="CF685" s="109">
        <f t="shared" si="269"/>
        <v>100227.98603551149</v>
      </c>
      <c r="CH685" s="58">
        <f t="array" ref="CH685">SUM(IF(CE685:CF685&gt;=CE685, 1))</f>
        <v>2</v>
      </c>
      <c r="CI685" s="58">
        <f t="array" ref="CI685">SUM(IF(CE685:CF685&gt;=CF685, 1))</f>
        <v>1</v>
      </c>
      <c r="CK685" s="109">
        <f t="shared" si="270"/>
        <v>47552.203379442559</v>
      </c>
      <c r="CL685" s="109">
        <f t="shared" si="271"/>
        <v>48598.855024918055</v>
      </c>
      <c r="CN685" s="58">
        <f t="array" ref="CN685">SUM(IF(CK685:CL685&gt;=CK685, 1))</f>
        <v>2</v>
      </c>
      <c r="CO685" s="58">
        <f t="array" ref="CO685">SUM(IF(CK685:CL685&gt;=CL685, 1))</f>
        <v>1</v>
      </c>
      <c r="CQ685" s="109" cm="1">
        <f t="array" ref="CQ685">AF685*WTP-AC685</f>
        <v>44990.314439974725</v>
      </c>
      <c r="CR685" s="109">
        <f t="shared" si="272"/>
        <v>49179.494204077295</v>
      </c>
      <c r="CT685" s="58">
        <f t="array" ref="CT685">SUM(IF(CQ685:CR685&gt;=CQ685, 1))</f>
        <v>2</v>
      </c>
      <c r="CU685" s="58">
        <f t="array" ref="CU685">SUM(IF(CQ685:CR685&gt;=CR685, 1))</f>
        <v>1</v>
      </c>
      <c r="CW685" s="109">
        <f t="shared" si="273"/>
        <v>-32464412.379159387</v>
      </c>
      <c r="CX685" s="109">
        <f t="shared" si="274"/>
        <v>0</v>
      </c>
      <c r="CZ685" s="58">
        <f t="array" ref="CZ685">SUM(IF(CW685:CX685&gt;=CW685, 1))</f>
        <v>2</v>
      </c>
      <c r="DA685" s="58">
        <f t="array" ref="DA685">SUM(IF(CW685:CX685&gt;=CX685, 1))</f>
        <v>1</v>
      </c>
      <c r="DC685" s="109">
        <f t="shared" si="275"/>
        <v>-1800083.7421420715</v>
      </c>
      <c r="DD685" s="109">
        <f t="shared" si="276"/>
        <v>0</v>
      </c>
      <c r="DF685" s="58">
        <f t="array" ref="DF685">SUM(IF(DC685:DD685&gt;=DC685, 1))</f>
        <v>2</v>
      </c>
      <c r="DG685" s="58">
        <f t="array" ref="DG685">SUM(IF(DC685:DD685&gt;=DD685, 1))</f>
        <v>1</v>
      </c>
      <c r="DI685" s="109">
        <f t="shared" si="277"/>
        <v>-72252929.658720732</v>
      </c>
      <c r="DJ685" s="109">
        <f t="shared" si="278"/>
        <v>0</v>
      </c>
      <c r="DL685" s="58">
        <f t="array" ref="DL685">SUM(IF(DI685:DJ685&gt;=DI685, 1))</f>
        <v>2</v>
      </c>
      <c r="DM685" s="58">
        <f t="array" ref="DM685">SUM(IF(DI685:DJ685&gt;=DJ685, 1))</f>
        <v>1</v>
      </c>
      <c r="DO685" s="109">
        <f t="shared" si="279"/>
        <v>-9292248.246570522</v>
      </c>
      <c r="DP685" s="109">
        <f t="shared" si="280"/>
        <v>0</v>
      </c>
      <c r="DR685" s="58">
        <f t="array" ref="DR685">SUM(IF(DO685:DP685&gt;=DO685, 1))</f>
        <v>2</v>
      </c>
      <c r="DS685" s="58">
        <f t="array" ref="DS685">SUM(IF(DO685:DP685&gt;=DP685, 1))</f>
        <v>1</v>
      </c>
      <c r="DU685" s="109">
        <f t="shared" si="281"/>
        <v>-66133448.836621255</v>
      </c>
      <c r="DV685" s="109">
        <f t="shared" si="282"/>
        <v>0</v>
      </c>
      <c r="DX685" s="58">
        <f t="array" ref="DX685">SUM(IF(DU685:DV685&gt;=DU685, 1))</f>
        <v>2</v>
      </c>
      <c r="DY685" s="58">
        <f t="array" ref="DY685">SUM(IF(DU685:DV685&gt;=DV685, 1))</f>
        <v>1</v>
      </c>
      <c r="EA685" s="109">
        <f t="shared" si="283"/>
        <v>-181943122.86321399</v>
      </c>
      <c r="EB685" s="109">
        <f t="shared" si="284"/>
        <v>0</v>
      </c>
      <c r="ED685" s="58">
        <f t="array" ref="ED685">SUM(IF(EA685:EB685&gt;=EA685, 1))</f>
        <v>2</v>
      </c>
      <c r="EE685" s="58">
        <f t="array" ref="EE685">SUM(IF(EA685:EB685&gt;=EB685, 1))</f>
        <v>1</v>
      </c>
    </row>
    <row r="686" spans="4:135" ht="12" customHeight="1" x14ac:dyDescent="0.25">
      <c r="D686" s="11">
        <v>670</v>
      </c>
      <c r="E686" s="72">
        <v>245.23300015614825</v>
      </c>
      <c r="F686" s="72">
        <v>212.64263002250846</v>
      </c>
      <c r="G686" s="73"/>
      <c r="H686" s="74">
        <v>5.8142427269414307</v>
      </c>
      <c r="I686" s="74">
        <v>5.8329045176282852</v>
      </c>
      <c r="J686" s="73"/>
      <c r="K686" s="72">
        <v>262.59290178109444</v>
      </c>
      <c r="L686" s="72">
        <v>229.2494266438525</v>
      </c>
      <c r="M686" s="73"/>
      <c r="N686" s="74">
        <v>6.7281331266654503</v>
      </c>
      <c r="O686" s="74">
        <v>6.7445445949336662</v>
      </c>
      <c r="P686" s="73"/>
      <c r="Q686" s="72">
        <v>2880.2034464005947</v>
      </c>
      <c r="R686" s="72">
        <v>1385.1322478424047</v>
      </c>
      <c r="S686" s="73"/>
      <c r="T686" s="74">
        <v>4.8201814623532844</v>
      </c>
      <c r="U686" s="74">
        <v>4.9419967058651562</v>
      </c>
      <c r="V686" s="73"/>
      <c r="W686" s="72">
        <v>15220.523133061641</v>
      </c>
      <c r="X686" s="72">
        <v>15120.45155348082</v>
      </c>
      <c r="Y686" s="73"/>
      <c r="Z686" s="74">
        <v>3.1293730230789394</v>
      </c>
      <c r="AA686" s="74">
        <v>3.1489733142565957</v>
      </c>
      <c r="AB686" s="73"/>
      <c r="AC686" s="72">
        <v>49726.863422515504</v>
      </c>
      <c r="AD686" s="72">
        <v>49176.787409612683</v>
      </c>
      <c r="AE686" s="73"/>
      <c r="AF686" s="74">
        <v>4.4803660762235777</v>
      </c>
      <c r="AG686" s="74">
        <v>4.6273620469396262</v>
      </c>
      <c r="AH686" s="73"/>
      <c r="AI686" s="72">
        <v>3492345.8561258055</v>
      </c>
      <c r="AJ686" s="72">
        <v>0</v>
      </c>
      <c r="AK686" s="73"/>
      <c r="AL686" s="74">
        <v>-1999.7756118102914</v>
      </c>
      <c r="AM686" s="74">
        <v>0</v>
      </c>
      <c r="AN686" s="73"/>
      <c r="AO686" s="72">
        <v>231100.10538915242</v>
      </c>
      <c r="AP686" s="72">
        <v>0</v>
      </c>
      <c r="AQ686" s="73"/>
      <c r="AR686" s="74">
        <v>-113.74615365569097</v>
      </c>
      <c r="AS686" s="74">
        <v>0</v>
      </c>
      <c r="AT686" s="73"/>
      <c r="AU686" s="72">
        <v>33856796.872035414</v>
      </c>
      <c r="AV686" s="72">
        <v>0</v>
      </c>
      <c r="AW686" s="73"/>
      <c r="AX686" s="74">
        <v>-2758.5803000394371</v>
      </c>
      <c r="AY686" s="74">
        <v>0</v>
      </c>
      <c r="AZ686" s="73"/>
      <c r="BA686" s="72">
        <v>917355.75069171365</v>
      </c>
      <c r="BB686" s="72">
        <v>0</v>
      </c>
      <c r="BC686" s="73"/>
      <c r="BD686" s="74">
        <v>-179.6757870953108</v>
      </c>
      <c r="BE686" s="74">
        <v>0</v>
      </c>
      <c r="BF686" s="73"/>
      <c r="BG686" s="72">
        <v>8592687.6556961779</v>
      </c>
      <c r="BH686" s="72">
        <v>0</v>
      </c>
      <c r="BI686" s="73"/>
      <c r="BJ686" s="74">
        <v>-2296.2107661146297</v>
      </c>
      <c r="BK686" s="74">
        <v>0</v>
      </c>
      <c r="BL686" s="73"/>
      <c r="BM686" s="72">
        <v>47090286.239938259</v>
      </c>
      <c r="BN686" s="72">
        <v>0</v>
      </c>
      <c r="BO686" s="73"/>
      <c r="BP686" s="74">
        <v>-7347.9886187153606</v>
      </c>
      <c r="BQ686" s="74">
        <v>0</v>
      </c>
      <c r="BS686" s="109">
        <f t="shared" si="264"/>
        <v>116039.62153867247</v>
      </c>
      <c r="BT686" s="109">
        <f t="shared" si="265"/>
        <v>116445.44772254319</v>
      </c>
      <c r="BV686" s="58">
        <f t="array" ref="BV686">SUM(IF(BS686:BT686&gt;=BS686, 1))</f>
        <v>2</v>
      </c>
      <c r="BW686" s="58">
        <f t="array" ref="BW686">SUM(IF(BS686:BT686&gt;=BT686, 1))</f>
        <v>1</v>
      </c>
      <c r="BY686" s="109">
        <f t="shared" si="266"/>
        <v>134300.06963152793</v>
      </c>
      <c r="BZ686" s="109">
        <f t="shared" si="267"/>
        <v>134661.64247202946</v>
      </c>
      <c r="CB686" s="58">
        <f t="array" ref="CB686">SUM(IF(BY686:BZ686&gt;=BY686, 1))</f>
        <v>2</v>
      </c>
      <c r="CC686" s="58">
        <f t="array" ref="CC686">SUM(IF(BY686:BZ686&gt;=BZ686, 1))</f>
        <v>1</v>
      </c>
      <c r="CE686" s="109">
        <f t="shared" si="268"/>
        <v>93523.425800665093</v>
      </c>
      <c r="CF686" s="109">
        <f t="shared" si="269"/>
        <v>97454.801869460716</v>
      </c>
      <c r="CH686" s="58">
        <f t="array" ref="CH686">SUM(IF(CE686:CF686&gt;=CE686, 1))</f>
        <v>2</v>
      </c>
      <c r="CI686" s="58">
        <f t="array" ref="CI686">SUM(IF(CE686:CF686&gt;=CF686, 1))</f>
        <v>1</v>
      </c>
      <c r="CK686" s="109">
        <f t="shared" si="270"/>
        <v>47366.937328517146</v>
      </c>
      <c r="CL686" s="109">
        <f t="shared" si="271"/>
        <v>47859.014731651099</v>
      </c>
      <c r="CN686" s="58">
        <f t="array" ref="CN686">SUM(IF(CK686:CL686&gt;=CK686, 1))</f>
        <v>2</v>
      </c>
      <c r="CO686" s="58">
        <f t="array" ref="CO686">SUM(IF(CK686:CL686&gt;=CL686, 1))</f>
        <v>1</v>
      </c>
      <c r="CQ686" s="109" cm="1">
        <f t="array" ref="CQ686">AF686*WTP-AC686</f>
        <v>39880.45810195605</v>
      </c>
      <c r="CR686" s="109">
        <f t="shared" si="272"/>
        <v>43370.453529179846</v>
      </c>
      <c r="CT686" s="58">
        <f t="array" ref="CT686">SUM(IF(CQ686:CR686&gt;=CQ686, 1))</f>
        <v>2</v>
      </c>
      <c r="CU686" s="58">
        <f t="array" ref="CU686">SUM(IF(CQ686:CR686&gt;=CR686, 1))</f>
        <v>1</v>
      </c>
      <c r="CW686" s="109">
        <f t="shared" si="273"/>
        <v>-43487858.092331633</v>
      </c>
      <c r="CX686" s="109">
        <f t="shared" si="274"/>
        <v>0</v>
      </c>
      <c r="CZ686" s="58">
        <f t="array" ref="CZ686">SUM(IF(CW686:CX686&gt;=CW686, 1))</f>
        <v>2</v>
      </c>
      <c r="DA686" s="58">
        <f t="array" ref="DA686">SUM(IF(CW686:CX686&gt;=CX686, 1))</f>
        <v>1</v>
      </c>
      <c r="DC686" s="109">
        <f t="shared" si="275"/>
        <v>-2506023.1785029722</v>
      </c>
      <c r="DD686" s="109">
        <f t="shared" si="276"/>
        <v>0</v>
      </c>
      <c r="DF686" s="58">
        <f t="array" ref="DF686">SUM(IF(DC686:DD686&gt;=DC686, 1))</f>
        <v>2</v>
      </c>
      <c r="DG686" s="58">
        <f t="array" ref="DG686">SUM(IF(DC686:DD686&gt;=DD686, 1))</f>
        <v>1</v>
      </c>
      <c r="DI686" s="109">
        <f t="shared" si="277"/>
        <v>-89028402.872824162</v>
      </c>
      <c r="DJ686" s="109">
        <f t="shared" si="278"/>
        <v>0</v>
      </c>
      <c r="DL686" s="58">
        <f t="array" ref="DL686">SUM(IF(DI686:DJ686&gt;=DI686, 1))</f>
        <v>2</v>
      </c>
      <c r="DM686" s="58">
        <f t="array" ref="DM686">SUM(IF(DI686:DJ686&gt;=DJ686, 1))</f>
        <v>1</v>
      </c>
      <c r="DO686" s="109">
        <f t="shared" si="279"/>
        <v>-4510871.4925979292</v>
      </c>
      <c r="DP686" s="109">
        <f t="shared" si="280"/>
        <v>0</v>
      </c>
      <c r="DR686" s="58">
        <f t="array" ref="DR686">SUM(IF(DO686:DP686&gt;=DO686, 1))</f>
        <v>2</v>
      </c>
      <c r="DS686" s="58">
        <f t="array" ref="DS686">SUM(IF(DO686:DP686&gt;=DP686, 1))</f>
        <v>1</v>
      </c>
      <c r="DU686" s="109">
        <f t="shared" si="281"/>
        <v>-54516902.977988772</v>
      </c>
      <c r="DV686" s="109">
        <f t="shared" si="282"/>
        <v>0</v>
      </c>
      <c r="DX686" s="58">
        <f t="array" ref="DX686">SUM(IF(DU686:DV686&gt;=DU686, 1))</f>
        <v>2</v>
      </c>
      <c r="DY686" s="58">
        <f t="array" ref="DY686">SUM(IF(DU686:DV686&gt;=DV686, 1))</f>
        <v>1</v>
      </c>
      <c r="EA686" s="109">
        <f t="shared" si="283"/>
        <v>-194050058.61424547</v>
      </c>
      <c r="EB686" s="109">
        <f t="shared" si="284"/>
        <v>0</v>
      </c>
      <c r="ED686" s="58">
        <f t="array" ref="ED686">SUM(IF(EA686:EB686&gt;=EA686, 1))</f>
        <v>2</v>
      </c>
      <c r="EE686" s="58">
        <f t="array" ref="EE686">SUM(IF(EA686:EB686&gt;=EB686, 1))</f>
        <v>1</v>
      </c>
    </row>
    <row r="687" spans="4:135" ht="12" customHeight="1" x14ac:dyDescent="0.25">
      <c r="D687" s="11">
        <v>671</v>
      </c>
      <c r="E687" s="72">
        <v>279.82187091574178</v>
      </c>
      <c r="F687" s="72">
        <v>273.26271616495086</v>
      </c>
      <c r="G687" s="73"/>
      <c r="H687" s="74">
        <v>5.7614494247975383</v>
      </c>
      <c r="I687" s="74">
        <v>5.7766203020727103</v>
      </c>
      <c r="J687" s="73"/>
      <c r="K687" s="72">
        <v>301.49658297763921</v>
      </c>
      <c r="L687" s="72">
        <v>294.75339634594258</v>
      </c>
      <c r="M687" s="73"/>
      <c r="N687" s="74">
        <v>6.6978384664929678</v>
      </c>
      <c r="O687" s="74">
        <v>6.7112367991943511</v>
      </c>
      <c r="P687" s="73"/>
      <c r="Q687" s="72">
        <v>3123.9910195054968</v>
      </c>
      <c r="R687" s="72">
        <v>1879.331333428639</v>
      </c>
      <c r="S687" s="73"/>
      <c r="T687" s="74">
        <v>4.739405447281003</v>
      </c>
      <c r="U687" s="74">
        <v>4.8339980500288027</v>
      </c>
      <c r="V687" s="73"/>
      <c r="W687" s="72">
        <v>12507.349987386153</v>
      </c>
      <c r="X687" s="72">
        <v>12556.744373914818</v>
      </c>
      <c r="Y687" s="73"/>
      <c r="Z687" s="74">
        <v>3.0000492863966066</v>
      </c>
      <c r="AA687" s="74">
        <v>3.0389654097876462</v>
      </c>
      <c r="AB687" s="73"/>
      <c r="AC687" s="72">
        <v>50718.061177487449</v>
      </c>
      <c r="AD687" s="72">
        <v>50108.10464576193</v>
      </c>
      <c r="AE687" s="73"/>
      <c r="AF687" s="74">
        <v>4.4578284414670959</v>
      </c>
      <c r="AG687" s="74">
        <v>4.653195997158166</v>
      </c>
      <c r="AH687" s="73"/>
      <c r="AI687" s="72">
        <v>718038.52412337752</v>
      </c>
      <c r="AJ687" s="72">
        <v>0</v>
      </c>
      <c r="AK687" s="73"/>
      <c r="AL687" s="74">
        <v>-1660.7741000481535</v>
      </c>
      <c r="AM687" s="74">
        <v>0</v>
      </c>
      <c r="AN687" s="73"/>
      <c r="AO687" s="72">
        <v>46407.124311785628</v>
      </c>
      <c r="AP687" s="72">
        <v>0</v>
      </c>
      <c r="AQ687" s="73"/>
      <c r="AR687" s="74">
        <v>-92.20834676606249</v>
      </c>
      <c r="AS687" s="74">
        <v>0</v>
      </c>
      <c r="AT687" s="73"/>
      <c r="AU687" s="72">
        <v>28675091.429775722</v>
      </c>
      <c r="AV687" s="72">
        <v>0</v>
      </c>
      <c r="AW687" s="73"/>
      <c r="AX687" s="74">
        <v>-2179.2716215652508</v>
      </c>
      <c r="AY687" s="74">
        <v>0</v>
      </c>
      <c r="AZ687" s="73"/>
      <c r="BA687" s="72">
        <v>-436938.73503452446</v>
      </c>
      <c r="BB687" s="72">
        <v>0</v>
      </c>
      <c r="BC687" s="73"/>
      <c r="BD687" s="74">
        <v>-344.24886959695726</v>
      </c>
      <c r="BE687" s="74">
        <v>0</v>
      </c>
      <c r="BF687" s="73"/>
      <c r="BG687" s="72">
        <v>9220737.0919225588</v>
      </c>
      <c r="BH687" s="72">
        <v>0</v>
      </c>
      <c r="BI687" s="73"/>
      <c r="BJ687" s="74">
        <v>-2953.3790911670162</v>
      </c>
      <c r="BK687" s="74">
        <v>0</v>
      </c>
      <c r="BL687" s="73"/>
      <c r="BM687" s="72">
        <v>38223335.435098916</v>
      </c>
      <c r="BN687" s="72">
        <v>0</v>
      </c>
      <c r="BO687" s="73"/>
      <c r="BP687" s="74">
        <v>-7229.8820291434404</v>
      </c>
      <c r="BQ687" s="74">
        <v>0</v>
      </c>
      <c r="BS687" s="109">
        <f t="shared" si="264"/>
        <v>114949.16662503502</v>
      </c>
      <c r="BT687" s="109">
        <f t="shared" si="265"/>
        <v>115259.14332528925</v>
      </c>
      <c r="BV687" s="58">
        <f t="array" ref="BV687">SUM(IF(BS687:BT687&gt;=BS687, 1))</f>
        <v>2</v>
      </c>
      <c r="BW687" s="58">
        <f t="array" ref="BW687">SUM(IF(BS687:BT687&gt;=BT687, 1))</f>
        <v>1</v>
      </c>
      <c r="BY687" s="109">
        <f t="shared" si="266"/>
        <v>133655.2727468817</v>
      </c>
      <c r="BZ687" s="109">
        <f t="shared" si="267"/>
        <v>133929.98258754108</v>
      </c>
      <c r="CB687" s="58">
        <f t="array" ref="CB687">SUM(IF(BY687:BZ687&gt;=BY687, 1))</f>
        <v>2</v>
      </c>
      <c r="CC687" s="58">
        <f t="array" ref="CC687">SUM(IF(BY687:BZ687&gt;=BZ687, 1))</f>
        <v>1</v>
      </c>
      <c r="CE687" s="109">
        <f t="shared" si="268"/>
        <v>91664.117926114559</v>
      </c>
      <c r="CF687" s="109">
        <f t="shared" si="269"/>
        <v>94800.629667147412</v>
      </c>
      <c r="CH687" s="58">
        <f t="array" ref="CH687">SUM(IF(CE687:CF687&gt;=CE687, 1))</f>
        <v>2</v>
      </c>
      <c r="CI687" s="58">
        <f t="array" ref="CI687">SUM(IF(CE687:CF687&gt;=CF687, 1))</f>
        <v>1</v>
      </c>
      <c r="CK687" s="109">
        <f t="shared" si="270"/>
        <v>47493.635740545978</v>
      </c>
      <c r="CL687" s="109">
        <f t="shared" si="271"/>
        <v>48222.563821838106</v>
      </c>
      <c r="CN687" s="58">
        <f t="array" ref="CN687">SUM(IF(CK687:CL687&gt;=CK687, 1))</f>
        <v>2</v>
      </c>
      <c r="CO687" s="58">
        <f t="array" ref="CO687">SUM(IF(CK687:CL687&gt;=CL687, 1))</f>
        <v>1</v>
      </c>
      <c r="CQ687" s="109" cm="1">
        <f t="array" ref="CQ687">AF687*WTP-AC687</f>
        <v>38438.507651854474</v>
      </c>
      <c r="CR687" s="109">
        <f t="shared" si="272"/>
        <v>42955.815297401386</v>
      </c>
      <c r="CT687" s="58">
        <f t="array" ref="CT687">SUM(IF(CQ687:CR687&gt;=CQ687, 1))</f>
        <v>2</v>
      </c>
      <c r="CU687" s="58">
        <f t="array" ref="CU687">SUM(IF(CQ687:CR687&gt;=CR687, 1))</f>
        <v>1</v>
      </c>
      <c r="CW687" s="109">
        <f t="shared" si="273"/>
        <v>-33933520.525086448</v>
      </c>
      <c r="CX687" s="109">
        <f t="shared" si="274"/>
        <v>0</v>
      </c>
      <c r="CZ687" s="58">
        <f t="array" ref="CZ687">SUM(IF(CW687:CX687&gt;=CW687, 1))</f>
        <v>2</v>
      </c>
      <c r="DA687" s="58">
        <f t="array" ref="DA687">SUM(IF(CW687:CX687&gt;=CX687, 1))</f>
        <v>1</v>
      </c>
      <c r="DC687" s="109">
        <f t="shared" si="275"/>
        <v>-1890574.0596330354</v>
      </c>
      <c r="DD687" s="109">
        <f t="shared" si="276"/>
        <v>0</v>
      </c>
      <c r="DF687" s="58">
        <f t="array" ref="DF687">SUM(IF(DC687:DD687&gt;=DC687, 1))</f>
        <v>2</v>
      </c>
      <c r="DG687" s="58">
        <f t="array" ref="DG687">SUM(IF(DC687:DD687&gt;=DD687, 1))</f>
        <v>1</v>
      </c>
      <c r="DI687" s="109">
        <f t="shared" si="277"/>
        <v>-72260523.861080736</v>
      </c>
      <c r="DJ687" s="109">
        <f t="shared" si="278"/>
        <v>0</v>
      </c>
      <c r="DL687" s="58">
        <f t="array" ref="DL687">SUM(IF(DI687:DJ687&gt;=DI687, 1))</f>
        <v>2</v>
      </c>
      <c r="DM687" s="58">
        <f t="array" ref="DM687">SUM(IF(DI687:DJ687&gt;=DJ687, 1))</f>
        <v>1</v>
      </c>
      <c r="DO687" s="109">
        <f t="shared" si="279"/>
        <v>-6448038.656904621</v>
      </c>
      <c r="DP687" s="109">
        <f t="shared" si="280"/>
        <v>0</v>
      </c>
      <c r="DR687" s="58">
        <f t="array" ref="DR687">SUM(IF(DO687:DP687&gt;=DO687, 1))</f>
        <v>2</v>
      </c>
      <c r="DS687" s="58">
        <f t="array" ref="DS687">SUM(IF(DO687:DP687&gt;=DP687, 1))</f>
        <v>1</v>
      </c>
      <c r="DU687" s="109">
        <f t="shared" si="281"/>
        <v>-68288318.915262878</v>
      </c>
      <c r="DV687" s="109">
        <f t="shared" si="282"/>
        <v>0</v>
      </c>
      <c r="DX687" s="58">
        <f t="array" ref="DX687">SUM(IF(DU687:DV687&gt;=DU687, 1))</f>
        <v>2</v>
      </c>
      <c r="DY687" s="58">
        <f t="array" ref="DY687">SUM(IF(DU687:DV687&gt;=DV687, 1))</f>
        <v>1</v>
      </c>
      <c r="EA687" s="109">
        <f t="shared" si="283"/>
        <v>-182820976.01796773</v>
      </c>
      <c r="EB687" s="109">
        <f t="shared" si="284"/>
        <v>0</v>
      </c>
      <c r="ED687" s="58">
        <f t="array" ref="ED687">SUM(IF(EA687:EB687&gt;=EA687, 1))</f>
        <v>2</v>
      </c>
      <c r="EE687" s="58">
        <f t="array" ref="EE687">SUM(IF(EA687:EB687&gt;=EB687, 1))</f>
        <v>1</v>
      </c>
    </row>
    <row r="688" spans="4:135" ht="12" customHeight="1" x14ac:dyDescent="0.25">
      <c r="D688" s="11">
        <v>672</v>
      </c>
      <c r="E688" s="72">
        <v>231.46234129017085</v>
      </c>
      <c r="F688" s="72">
        <v>207.60332401537528</v>
      </c>
      <c r="G688" s="73"/>
      <c r="H688" s="74">
        <v>5.8415733609002718</v>
      </c>
      <c r="I688" s="74">
        <v>5.8566036003347621</v>
      </c>
      <c r="J688" s="73"/>
      <c r="K688" s="72">
        <v>248.27302003928298</v>
      </c>
      <c r="L688" s="72">
        <v>223.8077674803589</v>
      </c>
      <c r="M688" s="73"/>
      <c r="N688" s="74">
        <v>6.647981754271834</v>
      </c>
      <c r="O688" s="74">
        <v>6.6602367368427888</v>
      </c>
      <c r="P688" s="73"/>
      <c r="Q688" s="72">
        <v>2060.977243412271</v>
      </c>
      <c r="R688" s="72">
        <v>1003.115266393081</v>
      </c>
      <c r="S688" s="73"/>
      <c r="T688" s="74">
        <v>4.7562648675041963</v>
      </c>
      <c r="U688" s="74">
        <v>4.8647545603096107</v>
      </c>
      <c r="V688" s="73"/>
      <c r="W688" s="72">
        <v>10874.973308277398</v>
      </c>
      <c r="X688" s="72">
        <v>10846.806328226068</v>
      </c>
      <c r="Y688" s="73"/>
      <c r="Z688" s="74">
        <v>3.1005035688844371</v>
      </c>
      <c r="AA688" s="74">
        <v>3.1482446792988168</v>
      </c>
      <c r="AB688" s="73"/>
      <c r="AC688" s="72">
        <v>48486.228158254366</v>
      </c>
      <c r="AD688" s="72">
        <v>48382.952016147588</v>
      </c>
      <c r="AE688" s="73"/>
      <c r="AF688" s="74">
        <v>4.1934763248234885</v>
      </c>
      <c r="AG688" s="74">
        <v>4.2907475492418516</v>
      </c>
      <c r="AH688" s="73"/>
      <c r="AI688" s="72">
        <v>2607999.2667415016</v>
      </c>
      <c r="AJ688" s="72">
        <v>0</v>
      </c>
      <c r="AK688" s="73"/>
      <c r="AL688" s="74">
        <v>-1642.9366294775796</v>
      </c>
      <c r="AM688" s="74">
        <v>0</v>
      </c>
      <c r="AN688" s="73"/>
      <c r="AO688" s="72">
        <v>159617.56413630157</v>
      </c>
      <c r="AP688" s="72">
        <v>0</v>
      </c>
      <c r="AQ688" s="73"/>
      <c r="AR688" s="74">
        <v>-79.954640230971819</v>
      </c>
      <c r="AS688" s="74">
        <v>0</v>
      </c>
      <c r="AT688" s="73"/>
      <c r="AU688" s="72">
        <v>24157680.323744375</v>
      </c>
      <c r="AV688" s="72">
        <v>0</v>
      </c>
      <c r="AW688" s="73"/>
      <c r="AX688" s="74">
        <v>-2477.5059262451296</v>
      </c>
      <c r="AY688" s="74">
        <v>0</v>
      </c>
      <c r="AZ688" s="73"/>
      <c r="BA688" s="72">
        <v>236294.6888999021</v>
      </c>
      <c r="BB688" s="72">
        <v>0</v>
      </c>
      <c r="BC688" s="73"/>
      <c r="BD688" s="74">
        <v>-400.50338419468011</v>
      </c>
      <c r="BE688" s="74">
        <v>0</v>
      </c>
      <c r="BF688" s="73"/>
      <c r="BG688" s="72">
        <v>1634798.5260255306</v>
      </c>
      <c r="BH688" s="72">
        <v>0</v>
      </c>
      <c r="BI688" s="73"/>
      <c r="BJ688" s="74">
        <v>-1539.7443306841299</v>
      </c>
      <c r="BK688" s="74">
        <v>0</v>
      </c>
      <c r="BL688" s="73"/>
      <c r="BM688" s="72">
        <v>28796390.369547609</v>
      </c>
      <c r="BN688" s="72">
        <v>0</v>
      </c>
      <c r="BO688" s="73"/>
      <c r="BP688" s="74">
        <v>-6140.6449108324905</v>
      </c>
      <c r="BQ688" s="74">
        <v>0</v>
      </c>
      <c r="BS688" s="109">
        <f t="shared" si="264"/>
        <v>116600.00487671526</v>
      </c>
      <c r="BT688" s="109">
        <f t="shared" si="265"/>
        <v>116924.46868267987</v>
      </c>
      <c r="BV688" s="58">
        <f t="array" ref="BV688">SUM(IF(BS688:BT688&gt;=BS688, 1))</f>
        <v>2</v>
      </c>
      <c r="BW688" s="58">
        <f t="array" ref="BW688">SUM(IF(BS688:BT688&gt;=BT688, 1))</f>
        <v>1</v>
      </c>
      <c r="BY688" s="109">
        <f t="shared" si="266"/>
        <v>132711.36206539741</v>
      </c>
      <c r="BZ688" s="109">
        <f t="shared" si="267"/>
        <v>132980.92696937543</v>
      </c>
      <c r="CB688" s="58">
        <f t="array" ref="CB688">SUM(IF(BY688:BZ688&gt;=BY688, 1))</f>
        <v>2</v>
      </c>
      <c r="CC688" s="58">
        <f t="array" ref="CC688">SUM(IF(BY688:BZ688&gt;=BZ688, 1))</f>
        <v>1</v>
      </c>
      <c r="CE688" s="109">
        <f t="shared" si="268"/>
        <v>93064.320106671657</v>
      </c>
      <c r="CF688" s="109">
        <f t="shared" si="269"/>
        <v>96291.975939799129</v>
      </c>
      <c r="CH688" s="58">
        <f t="array" ref="CH688">SUM(IF(CE688:CF688&gt;=CE688, 1))</f>
        <v>2</v>
      </c>
      <c r="CI688" s="58">
        <f t="array" ref="CI688">SUM(IF(CE688:CF688&gt;=CF688, 1))</f>
        <v>1</v>
      </c>
      <c r="CK688" s="109">
        <f t="shared" si="270"/>
        <v>51135.098069411346</v>
      </c>
      <c r="CL688" s="109">
        <f t="shared" si="271"/>
        <v>52118.087257750267</v>
      </c>
      <c r="CN688" s="58">
        <f t="array" ref="CN688">SUM(IF(CK688:CL688&gt;=CK688, 1))</f>
        <v>2</v>
      </c>
      <c r="CO688" s="58">
        <f t="array" ref="CO688">SUM(IF(CK688:CL688&gt;=CL688, 1))</f>
        <v>1</v>
      </c>
      <c r="CQ688" s="109" cm="1">
        <f t="array" ref="CQ688">AF688*WTP-AC688</f>
        <v>35383.298338215405</v>
      </c>
      <c r="CR688" s="109">
        <f t="shared" si="272"/>
        <v>37431.998968689448</v>
      </c>
      <c r="CT688" s="58">
        <f t="array" ref="CT688">SUM(IF(CQ688:CR688&gt;=CQ688, 1))</f>
        <v>2</v>
      </c>
      <c r="CU688" s="58">
        <f t="array" ref="CU688">SUM(IF(CQ688:CR688&gt;=CR688, 1))</f>
        <v>1</v>
      </c>
      <c r="CW688" s="109">
        <f t="shared" si="273"/>
        <v>-35466731.85629309</v>
      </c>
      <c r="CX688" s="109">
        <f t="shared" si="274"/>
        <v>0</v>
      </c>
      <c r="CZ688" s="58">
        <f t="array" ref="CZ688">SUM(IF(CW688:CX688&gt;=CW688, 1))</f>
        <v>2</v>
      </c>
      <c r="DA688" s="58">
        <f t="array" ref="DA688">SUM(IF(CW688:CX688&gt;=CX688, 1))</f>
        <v>1</v>
      </c>
      <c r="DC688" s="109">
        <f t="shared" si="275"/>
        <v>-1758710.368755738</v>
      </c>
      <c r="DD688" s="109">
        <f t="shared" si="276"/>
        <v>0</v>
      </c>
      <c r="DF688" s="58">
        <f t="array" ref="DF688">SUM(IF(DC688:DD688&gt;=DC688, 1))</f>
        <v>2</v>
      </c>
      <c r="DG688" s="58">
        <f t="array" ref="DG688">SUM(IF(DC688:DD688&gt;=DD688, 1))</f>
        <v>1</v>
      </c>
      <c r="DI688" s="109">
        <f t="shared" si="277"/>
        <v>-73707798.848646969</v>
      </c>
      <c r="DJ688" s="109">
        <f t="shared" si="278"/>
        <v>0</v>
      </c>
      <c r="DL688" s="58">
        <f t="array" ref="DL688">SUM(IF(DI688:DJ688&gt;=DI688, 1))</f>
        <v>2</v>
      </c>
      <c r="DM688" s="58">
        <f t="array" ref="DM688">SUM(IF(DI688:DJ688&gt;=DJ688, 1))</f>
        <v>1</v>
      </c>
      <c r="DO688" s="109">
        <f t="shared" si="279"/>
        <v>-8246362.372793504</v>
      </c>
      <c r="DP688" s="109">
        <f t="shared" si="280"/>
        <v>0</v>
      </c>
      <c r="DR688" s="58">
        <f t="array" ref="DR688">SUM(IF(DO688:DP688&gt;=DO688, 1))</f>
        <v>2</v>
      </c>
      <c r="DS688" s="58">
        <f t="array" ref="DS688">SUM(IF(DO688:DP688&gt;=DP688, 1))</f>
        <v>1</v>
      </c>
      <c r="DU688" s="109">
        <f t="shared" si="281"/>
        <v>-32429685.139708128</v>
      </c>
      <c r="DV688" s="109">
        <f t="shared" si="282"/>
        <v>0</v>
      </c>
      <c r="DX688" s="58">
        <f t="array" ref="DX688">SUM(IF(DU688:DV688&gt;=DU688, 1))</f>
        <v>2</v>
      </c>
      <c r="DY688" s="58">
        <f t="array" ref="DY688">SUM(IF(DU688:DV688&gt;=DV688, 1))</f>
        <v>1</v>
      </c>
      <c r="EA688" s="109">
        <f t="shared" si="283"/>
        <v>-151609288.58619744</v>
      </c>
      <c r="EB688" s="109">
        <f t="shared" si="284"/>
        <v>0</v>
      </c>
      <c r="ED688" s="58">
        <f t="array" ref="ED688">SUM(IF(EA688:EB688&gt;=EA688, 1))</f>
        <v>2</v>
      </c>
      <c r="EE688" s="58">
        <f t="array" ref="EE688">SUM(IF(EA688:EB688&gt;=EB688, 1))</f>
        <v>1</v>
      </c>
    </row>
    <row r="689" spans="4:135" ht="12" customHeight="1" x14ac:dyDescent="0.25">
      <c r="D689" s="11">
        <v>673</v>
      </c>
      <c r="E689" s="72">
        <v>270.09546920310748</v>
      </c>
      <c r="F689" s="72">
        <v>257.41775577203714</v>
      </c>
      <c r="G689" s="73"/>
      <c r="H689" s="74">
        <v>5.8340979791892398</v>
      </c>
      <c r="I689" s="74">
        <v>5.8458560407535582</v>
      </c>
      <c r="J689" s="73"/>
      <c r="K689" s="72">
        <v>290.65649813405759</v>
      </c>
      <c r="L689" s="72">
        <v>277.628527796892</v>
      </c>
      <c r="M689" s="73"/>
      <c r="N689" s="74">
        <v>6.6590898958453861</v>
      </c>
      <c r="O689" s="74">
        <v>6.6684981054759325</v>
      </c>
      <c r="P689" s="73"/>
      <c r="Q689" s="72">
        <v>2982.5133293232279</v>
      </c>
      <c r="R689" s="72">
        <v>1559.3894272608802</v>
      </c>
      <c r="S689" s="73"/>
      <c r="T689" s="74">
        <v>4.802059798397198</v>
      </c>
      <c r="U689" s="74">
        <v>4.8966509228352288</v>
      </c>
      <c r="V689" s="73"/>
      <c r="W689" s="72">
        <v>12533.126451932058</v>
      </c>
      <c r="X689" s="72">
        <v>12506.944611698553</v>
      </c>
      <c r="Y689" s="73"/>
      <c r="Z689" s="74">
        <v>3.0837750249875073</v>
      </c>
      <c r="AA689" s="74">
        <v>3.1260025255742963</v>
      </c>
      <c r="AB689" s="73"/>
      <c r="AC689" s="72">
        <v>50147.010280310657</v>
      </c>
      <c r="AD689" s="72">
        <v>50048.425173259282</v>
      </c>
      <c r="AE689" s="73"/>
      <c r="AF689" s="74">
        <v>4.7454083930251905</v>
      </c>
      <c r="AG689" s="74">
        <v>4.8198556034505966</v>
      </c>
      <c r="AH689" s="73"/>
      <c r="AI689" s="72">
        <v>1356944.9287151475</v>
      </c>
      <c r="AJ689" s="72">
        <v>0</v>
      </c>
      <c r="AK689" s="73"/>
      <c r="AL689" s="74">
        <v>-1258.5110160417466</v>
      </c>
      <c r="AM689" s="74">
        <v>0</v>
      </c>
      <c r="AN689" s="73"/>
      <c r="AO689" s="72">
        <v>89132.620600803668</v>
      </c>
      <c r="AP689" s="72">
        <v>0</v>
      </c>
      <c r="AQ689" s="73"/>
      <c r="AR689" s="74">
        <v>-64.367538291061095</v>
      </c>
      <c r="AS689" s="74">
        <v>0</v>
      </c>
      <c r="AT689" s="73"/>
      <c r="AU689" s="72">
        <v>32592465.643837735</v>
      </c>
      <c r="AV689" s="72">
        <v>0</v>
      </c>
      <c r="AW689" s="73"/>
      <c r="AX689" s="74">
        <v>-2166.3313847731542</v>
      </c>
      <c r="AY689" s="74">
        <v>0</v>
      </c>
      <c r="AZ689" s="73"/>
      <c r="BA689" s="72">
        <v>237135.4347024399</v>
      </c>
      <c r="BB689" s="72">
        <v>0</v>
      </c>
      <c r="BC689" s="73"/>
      <c r="BD689" s="74">
        <v>-382.46496880044839</v>
      </c>
      <c r="BE689" s="74">
        <v>0</v>
      </c>
      <c r="BF689" s="73"/>
      <c r="BG689" s="72">
        <v>1539162.2614943464</v>
      </c>
      <c r="BH689" s="72">
        <v>0</v>
      </c>
      <c r="BI689" s="73"/>
      <c r="BJ689" s="74">
        <v>-1162.308792753053</v>
      </c>
      <c r="BK689" s="74">
        <v>0</v>
      </c>
      <c r="BL689" s="73"/>
      <c r="BM689" s="72">
        <v>35814840.889350474</v>
      </c>
      <c r="BN689" s="72">
        <v>0</v>
      </c>
      <c r="BO689" s="73"/>
      <c r="BP689" s="74">
        <v>-5033.9837006594635</v>
      </c>
      <c r="BQ689" s="74">
        <v>0</v>
      </c>
      <c r="BS689" s="109">
        <f t="shared" si="264"/>
        <v>116411.86411458169</v>
      </c>
      <c r="BT689" s="109">
        <f t="shared" si="265"/>
        <v>116659.70305929912</v>
      </c>
      <c r="BV689" s="58">
        <f t="array" ref="BV689">SUM(IF(BS689:BT689&gt;=BS689, 1))</f>
        <v>2</v>
      </c>
      <c r="BW689" s="58">
        <f t="array" ref="BW689">SUM(IF(BS689:BT689&gt;=BT689, 1))</f>
        <v>1</v>
      </c>
      <c r="BY689" s="109">
        <f t="shared" si="266"/>
        <v>132891.14141877368</v>
      </c>
      <c r="BZ689" s="109">
        <f t="shared" si="267"/>
        <v>133092.33358172176</v>
      </c>
      <c r="CB689" s="58">
        <f t="array" ref="CB689">SUM(IF(BY689:BZ689&gt;=BY689, 1))</f>
        <v>2</v>
      </c>
      <c r="CC689" s="58">
        <f t="array" ref="CC689">SUM(IF(BY689:BZ689&gt;=BZ689, 1))</f>
        <v>1</v>
      </c>
      <c r="CE689" s="109">
        <f t="shared" si="268"/>
        <v>93058.682638620739</v>
      </c>
      <c r="CF689" s="109">
        <f t="shared" si="269"/>
        <v>96373.629029443706</v>
      </c>
      <c r="CH689" s="58">
        <f t="array" ref="CH689">SUM(IF(CE689:CF689&gt;=CE689, 1))</f>
        <v>2</v>
      </c>
      <c r="CI689" s="58">
        <f t="array" ref="CI689">SUM(IF(CE689:CF689&gt;=CF689, 1))</f>
        <v>1</v>
      </c>
      <c r="CK689" s="109">
        <f t="shared" si="270"/>
        <v>49142.374047818084</v>
      </c>
      <c r="CL689" s="109">
        <f t="shared" si="271"/>
        <v>50013.105899787377</v>
      </c>
      <c r="CN689" s="58">
        <f t="array" ref="CN689">SUM(IF(CK689:CL689&gt;=CK689, 1))</f>
        <v>2</v>
      </c>
      <c r="CO689" s="58">
        <f t="array" ref="CO689">SUM(IF(CK689:CL689&gt;=CL689, 1))</f>
        <v>1</v>
      </c>
      <c r="CQ689" s="109" cm="1">
        <f t="array" ref="CQ689">AF689*WTP-AC689</f>
        <v>44761.157580193147</v>
      </c>
      <c r="CR689" s="109">
        <f t="shared" si="272"/>
        <v>46348.686895752646</v>
      </c>
      <c r="CT689" s="58">
        <f t="array" ref="CT689">SUM(IF(CQ689:CR689&gt;=CQ689, 1))</f>
        <v>2</v>
      </c>
      <c r="CU689" s="58">
        <f t="array" ref="CU689">SUM(IF(CQ689:CR689&gt;=CR689, 1))</f>
        <v>1</v>
      </c>
      <c r="CW689" s="109">
        <f t="shared" si="273"/>
        <v>-26527165.249550082</v>
      </c>
      <c r="CX689" s="109">
        <f t="shared" si="274"/>
        <v>0</v>
      </c>
      <c r="CZ689" s="58">
        <f t="array" ref="CZ689">SUM(IF(CW689:CX689&gt;=CW689, 1))</f>
        <v>2</v>
      </c>
      <c r="DA689" s="58">
        <f t="array" ref="DA689">SUM(IF(CW689:CX689&gt;=CX689, 1))</f>
        <v>1</v>
      </c>
      <c r="DC689" s="109">
        <f t="shared" si="275"/>
        <v>-1376483.3864220257</v>
      </c>
      <c r="DD689" s="109">
        <f t="shared" si="276"/>
        <v>0</v>
      </c>
      <c r="DF689" s="58">
        <f t="array" ref="DF689">SUM(IF(DC689:DD689&gt;=DC689, 1))</f>
        <v>2</v>
      </c>
      <c r="DG689" s="58">
        <f t="array" ref="DG689">SUM(IF(DC689:DD689&gt;=DD689, 1))</f>
        <v>1</v>
      </c>
      <c r="DI689" s="109">
        <f t="shared" si="277"/>
        <v>-75919093.339300811</v>
      </c>
      <c r="DJ689" s="109">
        <f t="shared" si="278"/>
        <v>0</v>
      </c>
      <c r="DL689" s="58">
        <f t="array" ref="DL689">SUM(IF(DI689:DJ689&gt;=DI689, 1))</f>
        <v>2</v>
      </c>
      <c r="DM689" s="58">
        <f t="array" ref="DM689">SUM(IF(DI689:DJ689&gt;=DJ689, 1))</f>
        <v>1</v>
      </c>
      <c r="DO689" s="109">
        <f t="shared" si="279"/>
        <v>-7886434.810711408</v>
      </c>
      <c r="DP689" s="109">
        <f t="shared" si="280"/>
        <v>0</v>
      </c>
      <c r="DR689" s="58">
        <f t="array" ref="DR689">SUM(IF(DO689:DP689&gt;=DO689, 1))</f>
        <v>2</v>
      </c>
      <c r="DS689" s="58">
        <f t="array" ref="DS689">SUM(IF(DO689:DP689&gt;=DP689, 1))</f>
        <v>1</v>
      </c>
      <c r="DU689" s="109">
        <f t="shared" si="281"/>
        <v>-24785338.116555408</v>
      </c>
      <c r="DV689" s="109">
        <f t="shared" si="282"/>
        <v>0</v>
      </c>
      <c r="DX689" s="58">
        <f t="array" ref="DX689">SUM(IF(DU689:DV689&gt;=DU689, 1))</f>
        <v>2</v>
      </c>
      <c r="DY689" s="58">
        <f t="array" ref="DY689">SUM(IF(DU689:DV689&gt;=DV689, 1))</f>
        <v>1</v>
      </c>
      <c r="EA689" s="109">
        <f t="shared" si="283"/>
        <v>-136494514.90253973</v>
      </c>
      <c r="EB689" s="109">
        <f t="shared" si="284"/>
        <v>0</v>
      </c>
      <c r="ED689" s="58">
        <f t="array" ref="ED689">SUM(IF(EA689:EB689&gt;=EA689, 1))</f>
        <v>2</v>
      </c>
      <c r="EE689" s="58">
        <f t="array" ref="EE689">SUM(IF(EA689:EB689&gt;=EB689, 1))</f>
        <v>1</v>
      </c>
    </row>
    <row r="690" spans="4:135" ht="12" customHeight="1" x14ac:dyDescent="0.25">
      <c r="D690" s="11">
        <v>674</v>
      </c>
      <c r="E690" s="72">
        <v>319.3979036589829</v>
      </c>
      <c r="F690" s="72">
        <v>294.14495801498407</v>
      </c>
      <c r="G690" s="73"/>
      <c r="H690" s="74">
        <v>5.8740713722082125</v>
      </c>
      <c r="I690" s="74">
        <v>5.8876089996524064</v>
      </c>
      <c r="J690" s="73"/>
      <c r="K690" s="72">
        <v>343.00312787810287</v>
      </c>
      <c r="L690" s="72">
        <v>317.12440533345057</v>
      </c>
      <c r="M690" s="73"/>
      <c r="N690" s="74">
        <v>6.6642744019472318</v>
      </c>
      <c r="O690" s="74">
        <v>6.6754983375065899</v>
      </c>
      <c r="P690" s="73"/>
      <c r="Q690" s="72">
        <v>2708.1906126945505</v>
      </c>
      <c r="R690" s="72">
        <v>1389.3196988516997</v>
      </c>
      <c r="S690" s="73"/>
      <c r="T690" s="74">
        <v>4.7282663482150564</v>
      </c>
      <c r="U690" s="74">
        <v>4.8326660485367547</v>
      </c>
      <c r="V690" s="73"/>
      <c r="W690" s="72">
        <v>10324.377914866158</v>
      </c>
      <c r="X690" s="72">
        <v>10329.836262627387</v>
      </c>
      <c r="Y690" s="73"/>
      <c r="Z690" s="74">
        <v>2.9550578714982723</v>
      </c>
      <c r="AA690" s="74">
        <v>3.0177903220896067</v>
      </c>
      <c r="AB690" s="73"/>
      <c r="AC690" s="72">
        <v>50529.308308114894</v>
      </c>
      <c r="AD690" s="72">
        <v>50334.159629926246</v>
      </c>
      <c r="AE690" s="73"/>
      <c r="AF690" s="74">
        <v>3.9306053653824984</v>
      </c>
      <c r="AG690" s="74">
        <v>4.0052658343641454</v>
      </c>
      <c r="AH690" s="73"/>
      <c r="AI690" s="72">
        <v>2707870.8615827463</v>
      </c>
      <c r="AJ690" s="72">
        <v>0</v>
      </c>
      <c r="AK690" s="73"/>
      <c r="AL690" s="74">
        <v>-1451.6384507328532</v>
      </c>
      <c r="AM690" s="74">
        <v>0</v>
      </c>
      <c r="AN690" s="73"/>
      <c r="AO690" s="72">
        <v>176453.22277888271</v>
      </c>
      <c r="AP690" s="72">
        <v>0</v>
      </c>
      <c r="AQ690" s="73"/>
      <c r="AR690" s="74">
        <v>-76.530037303580642</v>
      </c>
      <c r="AS690" s="74">
        <v>0</v>
      </c>
      <c r="AT690" s="73"/>
      <c r="AU690" s="72">
        <v>30485422.408041358</v>
      </c>
      <c r="AV690" s="72">
        <v>0</v>
      </c>
      <c r="AW690" s="73"/>
      <c r="AX690" s="74">
        <v>-2413.1770063124868</v>
      </c>
      <c r="AY690" s="74">
        <v>0</v>
      </c>
      <c r="AZ690" s="73"/>
      <c r="BA690" s="72">
        <v>-48772.342696197455</v>
      </c>
      <c r="BB690" s="72">
        <v>0</v>
      </c>
      <c r="BC690" s="73"/>
      <c r="BD690" s="74">
        <v>-560.53749454104673</v>
      </c>
      <c r="BE690" s="74">
        <v>0</v>
      </c>
      <c r="BF690" s="73"/>
      <c r="BG690" s="72">
        <v>3045510.2102463031</v>
      </c>
      <c r="BH690" s="72">
        <v>0</v>
      </c>
      <c r="BI690" s="73"/>
      <c r="BJ690" s="74">
        <v>-1165.1589070235855</v>
      </c>
      <c r="BK690" s="74">
        <v>0</v>
      </c>
      <c r="BL690" s="73"/>
      <c r="BM690" s="72">
        <v>36366484.359953091</v>
      </c>
      <c r="BN690" s="72">
        <v>0</v>
      </c>
      <c r="BO690" s="73"/>
      <c r="BP690" s="74">
        <v>-5667.0418959135532</v>
      </c>
      <c r="BQ690" s="74">
        <v>0</v>
      </c>
      <c r="BS690" s="109">
        <f t="shared" si="264"/>
        <v>117162.02954050526</v>
      </c>
      <c r="BT690" s="109">
        <f t="shared" si="265"/>
        <v>117458.03503503314</v>
      </c>
      <c r="BV690" s="58">
        <f t="array" ref="BV690">SUM(IF(BS690:BT690&gt;=BS690, 1))</f>
        <v>2</v>
      </c>
      <c r="BW690" s="58">
        <f t="array" ref="BW690">SUM(IF(BS690:BT690&gt;=BT690, 1))</f>
        <v>1</v>
      </c>
      <c r="BY690" s="109">
        <f t="shared" si="266"/>
        <v>132942.48491106654</v>
      </c>
      <c r="BZ690" s="109">
        <f t="shared" si="267"/>
        <v>133192.84234479835</v>
      </c>
      <c r="CB690" s="58">
        <f t="array" ref="CB690">SUM(IF(BY690:BZ690&gt;=BY690, 1))</f>
        <v>2</v>
      </c>
      <c r="CC690" s="58">
        <f t="array" ref="CC690">SUM(IF(BY690:BZ690&gt;=BZ690, 1))</f>
        <v>1</v>
      </c>
      <c r="CE690" s="109">
        <f t="shared" si="268"/>
        <v>91857.136351606576</v>
      </c>
      <c r="CF690" s="109">
        <f t="shared" si="269"/>
        <v>95264.00127188339</v>
      </c>
      <c r="CH690" s="58">
        <f t="array" ref="CH690">SUM(IF(CE690:CF690&gt;=CE690, 1))</f>
        <v>2</v>
      </c>
      <c r="CI690" s="58">
        <f t="array" ref="CI690">SUM(IF(CE690:CF690&gt;=CF690, 1))</f>
        <v>1</v>
      </c>
      <c r="CK690" s="109">
        <f t="shared" si="270"/>
        <v>48776.77951509929</v>
      </c>
      <c r="CL690" s="109">
        <f t="shared" si="271"/>
        <v>50025.970179164746</v>
      </c>
      <c r="CN690" s="58">
        <f t="array" ref="CN690">SUM(IF(CK690:CL690&gt;=CK690, 1))</f>
        <v>2</v>
      </c>
      <c r="CO690" s="58">
        <f t="array" ref="CO690">SUM(IF(CK690:CL690&gt;=CL690, 1))</f>
        <v>1</v>
      </c>
      <c r="CQ690" s="109" cm="1">
        <f t="array" ref="CQ690">AF690*WTP-AC690</f>
        <v>28082.79899953508</v>
      </c>
      <c r="CR690" s="109">
        <f t="shared" si="272"/>
        <v>29771.157057356657</v>
      </c>
      <c r="CT690" s="58">
        <f t="array" ref="CT690">SUM(IF(CQ690:CR690&gt;=CQ690, 1))</f>
        <v>2</v>
      </c>
      <c r="CU690" s="58">
        <f t="array" ref="CU690">SUM(IF(CQ690:CR690&gt;=CR690, 1))</f>
        <v>1</v>
      </c>
      <c r="CW690" s="109">
        <f t="shared" si="273"/>
        <v>-31740639.87623981</v>
      </c>
      <c r="CX690" s="109">
        <f t="shared" si="274"/>
        <v>0</v>
      </c>
      <c r="CZ690" s="58">
        <f t="array" ref="CZ690">SUM(IF(CW690:CX690&gt;=CW690, 1))</f>
        <v>2</v>
      </c>
      <c r="DA690" s="58">
        <f t="array" ref="DA690">SUM(IF(CW690:CX690&gt;=CX690, 1))</f>
        <v>1</v>
      </c>
      <c r="DC690" s="109">
        <f t="shared" si="275"/>
        <v>-1707053.9688504958</v>
      </c>
      <c r="DD690" s="109">
        <f t="shared" si="276"/>
        <v>0</v>
      </c>
      <c r="DF690" s="58">
        <f t="array" ref="DF690">SUM(IF(DC690:DD690&gt;=DC690, 1))</f>
        <v>2</v>
      </c>
      <c r="DG690" s="58">
        <f t="array" ref="DG690">SUM(IF(DC690:DD690&gt;=DD690, 1))</f>
        <v>1</v>
      </c>
      <c r="DI690" s="109">
        <f t="shared" si="277"/>
        <v>-78748962.534291089</v>
      </c>
      <c r="DJ690" s="109">
        <f t="shared" si="278"/>
        <v>0</v>
      </c>
      <c r="DL690" s="58">
        <f t="array" ref="DL690">SUM(IF(DI690:DJ690&gt;=DI690, 1))</f>
        <v>2</v>
      </c>
      <c r="DM690" s="58">
        <f t="array" ref="DM690">SUM(IF(DI690:DJ690&gt;=DJ690, 1))</f>
        <v>1</v>
      </c>
      <c r="DO690" s="109">
        <f t="shared" si="279"/>
        <v>-11161977.548124738</v>
      </c>
      <c r="DP690" s="109">
        <f t="shared" si="280"/>
        <v>0</v>
      </c>
      <c r="DR690" s="58">
        <f t="array" ref="DR690">SUM(IF(DO690:DP690&gt;=DO690, 1))</f>
        <v>2</v>
      </c>
      <c r="DS690" s="58">
        <f t="array" ref="DS690">SUM(IF(DO690:DP690&gt;=DP690, 1))</f>
        <v>1</v>
      </c>
      <c r="DU690" s="109">
        <f t="shared" si="281"/>
        <v>-26348688.35071801</v>
      </c>
      <c r="DV690" s="109">
        <f t="shared" si="282"/>
        <v>0</v>
      </c>
      <c r="DX690" s="58">
        <f t="array" ref="DX690">SUM(IF(DU690:DV690&gt;=DU690, 1))</f>
        <v>2</v>
      </c>
      <c r="DY690" s="58">
        <f t="array" ref="DY690">SUM(IF(DU690:DV690&gt;=DV690, 1))</f>
        <v>1</v>
      </c>
      <c r="EA690" s="109">
        <f t="shared" si="283"/>
        <v>-149707322.27822417</v>
      </c>
      <c r="EB690" s="109">
        <f t="shared" si="284"/>
        <v>0</v>
      </c>
      <c r="ED690" s="58">
        <f t="array" ref="ED690">SUM(IF(EA690:EB690&gt;=EA690, 1))</f>
        <v>2</v>
      </c>
      <c r="EE690" s="58">
        <f t="array" ref="EE690">SUM(IF(EA690:EB690&gt;=EB690, 1))</f>
        <v>1</v>
      </c>
    </row>
    <row r="691" spans="4:135" ht="12" customHeight="1" x14ac:dyDescent="0.25">
      <c r="D691" s="11">
        <v>675</v>
      </c>
      <c r="E691" s="72">
        <v>293.78244868767507</v>
      </c>
      <c r="F691" s="72">
        <v>269.93158632622391</v>
      </c>
      <c r="G691" s="73"/>
      <c r="H691" s="74">
        <v>5.8242843921746648</v>
      </c>
      <c r="I691" s="74">
        <v>5.8408953406199373</v>
      </c>
      <c r="J691" s="73"/>
      <c r="K691" s="72">
        <v>315.46769601805187</v>
      </c>
      <c r="L691" s="72">
        <v>291.02474151535523</v>
      </c>
      <c r="M691" s="73"/>
      <c r="N691" s="74">
        <v>6.7321908599549234</v>
      </c>
      <c r="O691" s="74">
        <v>6.7467052063239032</v>
      </c>
      <c r="P691" s="73"/>
      <c r="Q691" s="72">
        <v>2403.4234135834113</v>
      </c>
      <c r="R691" s="72">
        <v>1535.1695106089112</v>
      </c>
      <c r="S691" s="73"/>
      <c r="T691" s="74">
        <v>4.8679188363176245</v>
      </c>
      <c r="U691" s="74">
        <v>4.9654745091221786</v>
      </c>
      <c r="V691" s="73"/>
      <c r="W691" s="72">
        <v>10758.676965160821</v>
      </c>
      <c r="X691" s="72">
        <v>10738.634328230542</v>
      </c>
      <c r="Y691" s="73"/>
      <c r="Z691" s="74">
        <v>2.7695202488092976</v>
      </c>
      <c r="AA691" s="74">
        <v>2.8103232025855513</v>
      </c>
      <c r="AB691" s="73"/>
      <c r="AC691" s="72">
        <v>49882.489551969629</v>
      </c>
      <c r="AD691" s="72">
        <v>49989.630491436081</v>
      </c>
      <c r="AE691" s="73"/>
      <c r="AF691" s="74">
        <v>4.6293437678344</v>
      </c>
      <c r="AG691" s="74">
        <v>4.7018748544507982</v>
      </c>
      <c r="AH691" s="73"/>
      <c r="AI691" s="72">
        <v>2557230.6132750609</v>
      </c>
      <c r="AJ691" s="72">
        <v>0</v>
      </c>
      <c r="AK691" s="73"/>
      <c r="AL691" s="74">
        <v>-1780.9849067948023</v>
      </c>
      <c r="AM691" s="74">
        <v>0</v>
      </c>
      <c r="AN691" s="73"/>
      <c r="AO691" s="72">
        <v>169190.76131208625</v>
      </c>
      <c r="AP691" s="72">
        <v>0</v>
      </c>
      <c r="AQ691" s="73"/>
      <c r="AR691" s="74">
        <v>-100.46630458867384</v>
      </c>
      <c r="AS691" s="74">
        <v>0</v>
      </c>
      <c r="AT691" s="73"/>
      <c r="AU691" s="72">
        <v>19541892.361785274</v>
      </c>
      <c r="AV691" s="72">
        <v>0</v>
      </c>
      <c r="AW691" s="73"/>
      <c r="AX691" s="74">
        <v>-2195.6969622561314</v>
      </c>
      <c r="AY691" s="74">
        <v>0</v>
      </c>
      <c r="AZ691" s="73"/>
      <c r="BA691" s="72">
        <v>173859.75195295786</v>
      </c>
      <c r="BB691" s="72">
        <v>0</v>
      </c>
      <c r="BC691" s="73"/>
      <c r="BD691" s="74">
        <v>-353.94501467870839</v>
      </c>
      <c r="BE691" s="74">
        <v>0</v>
      </c>
      <c r="BF691" s="73"/>
      <c r="BG691" s="72">
        <v>-1738336.5080814497</v>
      </c>
      <c r="BH691" s="72">
        <v>0</v>
      </c>
      <c r="BI691" s="73"/>
      <c r="BJ691" s="74">
        <v>-1176.7997972015412</v>
      </c>
      <c r="BK691" s="74">
        <v>0</v>
      </c>
      <c r="BL691" s="73"/>
      <c r="BM691" s="72">
        <v>20703836.980243929</v>
      </c>
      <c r="BN691" s="72">
        <v>0</v>
      </c>
      <c r="BO691" s="73"/>
      <c r="BP691" s="74">
        <v>-5607.8929855198567</v>
      </c>
      <c r="BQ691" s="74">
        <v>0</v>
      </c>
      <c r="BS691" s="109">
        <f t="shared" si="264"/>
        <v>116191.90539480562</v>
      </c>
      <c r="BT691" s="109">
        <f t="shared" si="265"/>
        <v>116547.97522607252</v>
      </c>
      <c r="BV691" s="58">
        <f t="array" ref="BV691">SUM(IF(BS691:BT691&gt;=BS691, 1))</f>
        <v>2</v>
      </c>
      <c r="BW691" s="58">
        <f t="array" ref="BW691">SUM(IF(BS691:BT691&gt;=BT691, 1))</f>
        <v>1</v>
      </c>
      <c r="BY691" s="109">
        <f t="shared" si="266"/>
        <v>134328.34950308042</v>
      </c>
      <c r="BZ691" s="109">
        <f t="shared" si="267"/>
        <v>134643.07938496271</v>
      </c>
      <c r="CB691" s="58">
        <f t="array" ref="CB691">SUM(IF(BY691:BZ691&gt;=BY691, 1))</f>
        <v>2</v>
      </c>
      <c r="CC691" s="58">
        <f t="array" ref="CC691">SUM(IF(BY691:BZ691&gt;=BZ691, 1))</f>
        <v>1</v>
      </c>
      <c r="CE691" s="109">
        <f t="shared" si="268"/>
        <v>94954.953312769081</v>
      </c>
      <c r="CF691" s="109">
        <f t="shared" si="269"/>
        <v>97774.320671834648</v>
      </c>
      <c r="CH691" s="58">
        <f t="array" ref="CH691">SUM(IF(CE691:CF691&gt;=CE691, 1))</f>
        <v>2</v>
      </c>
      <c r="CI691" s="58">
        <f t="array" ref="CI691">SUM(IF(CE691:CF691&gt;=CF691, 1))</f>
        <v>1</v>
      </c>
      <c r="CK691" s="109">
        <f t="shared" si="270"/>
        <v>44631.72801102513</v>
      </c>
      <c r="CL691" s="109">
        <f t="shared" si="271"/>
        <v>45467.829723480478</v>
      </c>
      <c r="CN691" s="58">
        <f t="array" ref="CN691">SUM(IF(CK691:CL691&gt;=CK691, 1))</f>
        <v>2</v>
      </c>
      <c r="CO691" s="58">
        <f t="array" ref="CO691">SUM(IF(CK691:CL691&gt;=CL691, 1))</f>
        <v>1</v>
      </c>
      <c r="CQ691" s="109" cm="1">
        <f t="array" ref="CQ691">AF691*WTP-AC691</f>
        <v>42704.385804718375</v>
      </c>
      <c r="CR691" s="109">
        <f t="shared" si="272"/>
        <v>44047.866597579879</v>
      </c>
      <c r="CT691" s="58">
        <f t="array" ref="CT691">SUM(IF(CQ691:CR691&gt;=CQ691, 1))</f>
        <v>2</v>
      </c>
      <c r="CU691" s="58">
        <f t="array" ref="CU691">SUM(IF(CQ691:CR691&gt;=CR691, 1))</f>
        <v>1</v>
      </c>
      <c r="CW691" s="109">
        <f t="shared" si="273"/>
        <v>-38176928.749171108</v>
      </c>
      <c r="CX691" s="109">
        <f t="shared" si="274"/>
        <v>0</v>
      </c>
      <c r="CZ691" s="58">
        <f t="array" ref="CZ691">SUM(IF(CW691:CX691&gt;=CW691, 1))</f>
        <v>2</v>
      </c>
      <c r="DA691" s="58">
        <f t="array" ref="DA691">SUM(IF(CW691:CX691&gt;=CX691, 1))</f>
        <v>1</v>
      </c>
      <c r="DC691" s="109">
        <f t="shared" si="275"/>
        <v>-2178516.8530855631</v>
      </c>
      <c r="DD691" s="109">
        <f t="shared" si="276"/>
        <v>0</v>
      </c>
      <c r="DF691" s="58">
        <f t="array" ref="DF691">SUM(IF(DC691:DD691&gt;=DC691, 1))</f>
        <v>2</v>
      </c>
      <c r="DG691" s="58">
        <f t="array" ref="DG691">SUM(IF(DC691:DD691&gt;=DD691, 1))</f>
        <v>1</v>
      </c>
      <c r="DI691" s="109">
        <f t="shared" si="277"/>
        <v>-63455831.606907904</v>
      </c>
      <c r="DJ691" s="109">
        <f t="shared" si="278"/>
        <v>0</v>
      </c>
      <c r="DL691" s="58">
        <f t="array" ref="DL691">SUM(IF(DI691:DJ691&gt;=DI691, 1))</f>
        <v>2</v>
      </c>
      <c r="DM691" s="58">
        <f t="array" ref="DM691">SUM(IF(DI691:DJ691&gt;=DJ691, 1))</f>
        <v>1</v>
      </c>
      <c r="DO691" s="109">
        <f t="shared" si="279"/>
        <v>-7252760.0455271257</v>
      </c>
      <c r="DP691" s="109">
        <f t="shared" si="280"/>
        <v>0</v>
      </c>
      <c r="DR691" s="58">
        <f t="array" ref="DR691">SUM(IF(DO691:DP691&gt;=DO691, 1))</f>
        <v>2</v>
      </c>
      <c r="DS691" s="58">
        <f t="array" ref="DS691">SUM(IF(DO691:DP691&gt;=DP691, 1))</f>
        <v>1</v>
      </c>
      <c r="DU691" s="109">
        <f t="shared" si="281"/>
        <v>-21797659.435949374</v>
      </c>
      <c r="DV691" s="109">
        <f t="shared" si="282"/>
        <v>0</v>
      </c>
      <c r="DX691" s="58">
        <f t="array" ref="DX691">SUM(IF(DU691:DV691&gt;=DU691, 1))</f>
        <v>2</v>
      </c>
      <c r="DY691" s="58">
        <f t="array" ref="DY691">SUM(IF(DU691:DV691&gt;=DV691, 1))</f>
        <v>1</v>
      </c>
      <c r="EA691" s="109">
        <f t="shared" si="283"/>
        <v>-132861696.69064108</v>
      </c>
      <c r="EB691" s="109">
        <f t="shared" si="284"/>
        <v>0</v>
      </c>
      <c r="ED691" s="58">
        <f t="array" ref="ED691">SUM(IF(EA691:EB691&gt;=EA691, 1))</f>
        <v>2</v>
      </c>
      <c r="EE691" s="58">
        <f t="array" ref="EE691">SUM(IF(EA691:EB691&gt;=EB691, 1))</f>
        <v>1</v>
      </c>
    </row>
    <row r="692" spans="4:135" ht="12" customHeight="1" x14ac:dyDescent="0.25">
      <c r="D692" s="11">
        <v>676</v>
      </c>
      <c r="E692" s="72">
        <v>211.52363715710626</v>
      </c>
      <c r="F692" s="72">
        <v>205.1883981526417</v>
      </c>
      <c r="G692" s="73"/>
      <c r="H692" s="74">
        <v>5.7938373497578848</v>
      </c>
      <c r="I692" s="74">
        <v>5.8117198839316293</v>
      </c>
      <c r="J692" s="73"/>
      <c r="K692" s="72">
        <v>227.85443422139119</v>
      </c>
      <c r="L692" s="72">
        <v>221.33903389059068</v>
      </c>
      <c r="M692" s="73"/>
      <c r="N692" s="74">
        <v>6.7174486296953066</v>
      </c>
      <c r="O692" s="74">
        <v>6.7333786444472885</v>
      </c>
      <c r="P692" s="73"/>
      <c r="Q692" s="72">
        <v>2031.0150380924579</v>
      </c>
      <c r="R692" s="72">
        <v>940.65192663805215</v>
      </c>
      <c r="S692" s="73"/>
      <c r="T692" s="74">
        <v>4.733697991211363</v>
      </c>
      <c r="U692" s="74">
        <v>4.8947061968928125</v>
      </c>
      <c r="V692" s="73"/>
      <c r="W692" s="72">
        <v>13514.15069860105</v>
      </c>
      <c r="X692" s="72">
        <v>13516.080277917896</v>
      </c>
      <c r="Y692" s="73"/>
      <c r="Z692" s="74">
        <v>2.9010278386192563</v>
      </c>
      <c r="AA692" s="74">
        <v>2.9571596812930987</v>
      </c>
      <c r="AB692" s="73"/>
      <c r="AC692" s="72">
        <v>49557.902547265418</v>
      </c>
      <c r="AD692" s="72">
        <v>49111.879793257365</v>
      </c>
      <c r="AE692" s="73"/>
      <c r="AF692" s="74">
        <v>4.7988401902415259</v>
      </c>
      <c r="AG692" s="74">
        <v>4.9498519667138172</v>
      </c>
      <c r="AH692" s="73"/>
      <c r="AI692" s="72">
        <v>681992.19091860938</v>
      </c>
      <c r="AJ692" s="72">
        <v>0</v>
      </c>
      <c r="AK692" s="73"/>
      <c r="AL692" s="74">
        <v>-1925.0652819466395</v>
      </c>
      <c r="AM692" s="74">
        <v>0</v>
      </c>
      <c r="AN692" s="73"/>
      <c r="AO692" s="72">
        <v>45434.206871713082</v>
      </c>
      <c r="AP692" s="72">
        <v>0</v>
      </c>
      <c r="AQ692" s="73"/>
      <c r="AR692" s="74">
        <v>-111.08566610857211</v>
      </c>
      <c r="AS692" s="74">
        <v>0</v>
      </c>
      <c r="AT692" s="73"/>
      <c r="AU692" s="72">
        <v>24783687.599757351</v>
      </c>
      <c r="AV692" s="72">
        <v>0</v>
      </c>
      <c r="AW692" s="73"/>
      <c r="AX692" s="74">
        <v>-3659.6772475949451</v>
      </c>
      <c r="AY692" s="74">
        <v>0</v>
      </c>
      <c r="AZ692" s="73"/>
      <c r="BA692" s="72">
        <v>-17513.076273563227</v>
      </c>
      <c r="BB692" s="72">
        <v>0</v>
      </c>
      <c r="BC692" s="73"/>
      <c r="BD692" s="74">
        <v>-509.45884086776039</v>
      </c>
      <c r="BE692" s="74">
        <v>0</v>
      </c>
      <c r="BF692" s="73"/>
      <c r="BG692" s="72">
        <v>6961968.4163904749</v>
      </c>
      <c r="BH692" s="72">
        <v>0</v>
      </c>
      <c r="BI692" s="73"/>
      <c r="BJ692" s="74">
        <v>-2357.1425647134815</v>
      </c>
      <c r="BK692" s="74">
        <v>0</v>
      </c>
      <c r="BL692" s="73"/>
      <c r="BM692" s="72">
        <v>32455569.337664586</v>
      </c>
      <c r="BN692" s="72">
        <v>0</v>
      </c>
      <c r="BO692" s="73"/>
      <c r="BP692" s="74">
        <v>-8562.4296012313989</v>
      </c>
      <c r="BQ692" s="74">
        <v>0</v>
      </c>
      <c r="BS692" s="109">
        <f t="shared" si="264"/>
        <v>115665.22335800058</v>
      </c>
      <c r="BT692" s="109">
        <f t="shared" si="265"/>
        <v>116029.20928047993</v>
      </c>
      <c r="BV692" s="58">
        <f t="array" ref="BV692">SUM(IF(BS692:BT692&gt;=BS692, 1))</f>
        <v>2</v>
      </c>
      <c r="BW692" s="58">
        <f t="array" ref="BW692">SUM(IF(BS692:BT692&gt;=BT692, 1))</f>
        <v>1</v>
      </c>
      <c r="BY692" s="109">
        <f t="shared" si="266"/>
        <v>134121.11815968473</v>
      </c>
      <c r="BZ692" s="109">
        <f t="shared" si="267"/>
        <v>134446.23385505518</v>
      </c>
      <c r="CB692" s="58">
        <f t="array" ref="CB692">SUM(IF(BY692:BZ692&gt;=BY692, 1))</f>
        <v>2</v>
      </c>
      <c r="CC692" s="58">
        <f t="array" ref="CC692">SUM(IF(BY692:BZ692&gt;=BZ692, 1))</f>
        <v>1</v>
      </c>
      <c r="CE692" s="109">
        <f t="shared" si="268"/>
        <v>92642.944786134802</v>
      </c>
      <c r="CF692" s="109">
        <f t="shared" si="269"/>
        <v>96953.472011218197</v>
      </c>
      <c r="CH692" s="58">
        <f t="array" ref="CH692">SUM(IF(CE692:CF692&gt;=CE692, 1))</f>
        <v>2</v>
      </c>
      <c r="CI692" s="58">
        <f t="array" ref="CI692">SUM(IF(CE692:CF692&gt;=CF692, 1))</f>
        <v>1</v>
      </c>
      <c r="CK692" s="109">
        <f t="shared" si="270"/>
        <v>44506.406073784077</v>
      </c>
      <c r="CL692" s="109">
        <f t="shared" si="271"/>
        <v>45627.113347944076</v>
      </c>
      <c r="CN692" s="58">
        <f t="array" ref="CN692">SUM(IF(CK692:CL692&gt;=CK692, 1))</f>
        <v>2</v>
      </c>
      <c r="CO692" s="58">
        <f t="array" ref="CO692">SUM(IF(CK692:CL692&gt;=CL692, 1))</f>
        <v>1</v>
      </c>
      <c r="CQ692" s="109" cm="1">
        <f t="array" ref="CQ692">AF692*WTP-AC692</f>
        <v>46418.9012575651</v>
      </c>
      <c r="CR692" s="109">
        <f t="shared" si="272"/>
        <v>49885.159541018977</v>
      </c>
      <c r="CT692" s="58">
        <f t="array" ref="CT692">SUM(IF(CQ692:CR692&gt;=CQ692, 1))</f>
        <v>2</v>
      </c>
      <c r="CU692" s="58">
        <f t="array" ref="CU692">SUM(IF(CQ692:CR692&gt;=CR692, 1))</f>
        <v>1</v>
      </c>
      <c r="CW692" s="109">
        <f t="shared" si="273"/>
        <v>-39183297.829851396</v>
      </c>
      <c r="CX692" s="109">
        <f t="shared" si="274"/>
        <v>0</v>
      </c>
      <c r="CZ692" s="58">
        <f t="array" ref="CZ692">SUM(IF(CW692:CX692&gt;=CW692, 1))</f>
        <v>2</v>
      </c>
      <c r="DA692" s="58">
        <f t="array" ref="DA692">SUM(IF(CW692:CX692&gt;=CX692, 1))</f>
        <v>1</v>
      </c>
      <c r="DC692" s="109">
        <f t="shared" si="275"/>
        <v>-2267147.5290431553</v>
      </c>
      <c r="DD692" s="109">
        <f t="shared" si="276"/>
        <v>0</v>
      </c>
      <c r="DF692" s="58">
        <f t="array" ref="DF692">SUM(IF(DC692:DD692&gt;=DC692, 1))</f>
        <v>2</v>
      </c>
      <c r="DG692" s="58">
        <f t="array" ref="DG692">SUM(IF(DC692:DD692&gt;=DD692, 1))</f>
        <v>1</v>
      </c>
      <c r="DI692" s="109">
        <f t="shared" si="277"/>
        <v>-97977232.551656246</v>
      </c>
      <c r="DJ692" s="109">
        <f t="shared" si="278"/>
        <v>0</v>
      </c>
      <c r="DL692" s="58">
        <f t="array" ref="DL692">SUM(IF(DI692:DJ692&gt;=DI692, 1))</f>
        <v>2</v>
      </c>
      <c r="DM692" s="58">
        <f t="array" ref="DM692">SUM(IF(DI692:DJ692&gt;=DJ692, 1))</f>
        <v>1</v>
      </c>
      <c r="DO692" s="109">
        <f t="shared" si="279"/>
        <v>-10171663.741081646</v>
      </c>
      <c r="DP692" s="109">
        <f t="shared" si="280"/>
        <v>0</v>
      </c>
      <c r="DR692" s="58">
        <f t="array" ref="DR692">SUM(IF(DO692:DP692&gt;=DO692, 1))</f>
        <v>2</v>
      </c>
      <c r="DS692" s="58">
        <f t="array" ref="DS692">SUM(IF(DO692:DP692&gt;=DP692, 1))</f>
        <v>1</v>
      </c>
      <c r="DU692" s="109">
        <f t="shared" si="281"/>
        <v>-54104819.7106601</v>
      </c>
      <c r="DV692" s="109">
        <f t="shared" si="282"/>
        <v>0</v>
      </c>
      <c r="DX692" s="58">
        <f t="array" ref="DX692">SUM(IF(DU692:DV692&gt;=DU692, 1))</f>
        <v>2</v>
      </c>
      <c r="DY692" s="58">
        <f t="array" ref="DY692">SUM(IF(DU692:DV692&gt;=DV692, 1))</f>
        <v>1</v>
      </c>
      <c r="EA692" s="109">
        <f t="shared" si="283"/>
        <v>-203704161.36229256</v>
      </c>
      <c r="EB692" s="109">
        <f t="shared" si="284"/>
        <v>0</v>
      </c>
      <c r="ED692" s="58">
        <f t="array" ref="ED692">SUM(IF(EA692:EB692&gt;=EA692, 1))</f>
        <v>2</v>
      </c>
      <c r="EE692" s="58">
        <f t="array" ref="EE692">SUM(IF(EA692:EB692&gt;=EB692, 1))</f>
        <v>1</v>
      </c>
    </row>
    <row r="693" spans="4:135" ht="12" customHeight="1" x14ac:dyDescent="0.25">
      <c r="D693" s="11">
        <v>677</v>
      </c>
      <c r="E693" s="72">
        <v>231.79648521351336</v>
      </c>
      <c r="F693" s="72">
        <v>228.04613511815438</v>
      </c>
      <c r="G693" s="73"/>
      <c r="H693" s="74">
        <v>5.8583176200594043</v>
      </c>
      <c r="I693" s="74">
        <v>5.8717234294700296</v>
      </c>
      <c r="J693" s="73"/>
      <c r="K693" s="72">
        <v>249.81457100508376</v>
      </c>
      <c r="L693" s="72">
        <v>245.95076603124423</v>
      </c>
      <c r="M693" s="73"/>
      <c r="N693" s="74">
        <v>6.6958111821154898</v>
      </c>
      <c r="O693" s="74">
        <v>6.7073880106892743</v>
      </c>
      <c r="P693" s="73"/>
      <c r="Q693" s="72">
        <v>2612.5200547615914</v>
      </c>
      <c r="R693" s="72">
        <v>1477.4138068551699</v>
      </c>
      <c r="S693" s="73"/>
      <c r="T693" s="74">
        <v>4.8015932746180514</v>
      </c>
      <c r="U693" s="74">
        <v>4.9014212416785519</v>
      </c>
      <c r="V693" s="73"/>
      <c r="W693" s="72">
        <v>13203.711255739749</v>
      </c>
      <c r="X693" s="72">
        <v>13239.05055377918</v>
      </c>
      <c r="Y693" s="73"/>
      <c r="Z693" s="74">
        <v>2.8974899312591935</v>
      </c>
      <c r="AA693" s="74">
        <v>2.9536398241423654</v>
      </c>
      <c r="AB693" s="73"/>
      <c r="AC693" s="72">
        <v>48537.163791966857</v>
      </c>
      <c r="AD693" s="72">
        <v>48382.030494505634</v>
      </c>
      <c r="AE693" s="73"/>
      <c r="AF693" s="74">
        <v>3.9445142772589876</v>
      </c>
      <c r="AG693" s="74">
        <v>4.0500485584288253</v>
      </c>
      <c r="AH693" s="73"/>
      <c r="AI693" s="72">
        <v>403190.93888663984</v>
      </c>
      <c r="AJ693" s="72">
        <v>0</v>
      </c>
      <c r="AK693" s="73"/>
      <c r="AL693" s="74">
        <v>-1441.2256843685398</v>
      </c>
      <c r="AM693" s="74">
        <v>0</v>
      </c>
      <c r="AN693" s="73"/>
      <c r="AO693" s="72">
        <v>26523.138361908241</v>
      </c>
      <c r="AP693" s="72">
        <v>0</v>
      </c>
      <c r="AQ693" s="73"/>
      <c r="AR693" s="74">
        <v>-79.469286916273646</v>
      </c>
      <c r="AS693" s="74">
        <v>0</v>
      </c>
      <c r="AT693" s="73"/>
      <c r="AU693" s="72">
        <v>26555794.185695283</v>
      </c>
      <c r="AV693" s="72">
        <v>0</v>
      </c>
      <c r="AW693" s="73"/>
      <c r="AX693" s="74">
        <v>-2335.4738396731727</v>
      </c>
      <c r="AY693" s="74">
        <v>0</v>
      </c>
      <c r="AZ693" s="73"/>
      <c r="BA693" s="72">
        <v>-326088.48085879657</v>
      </c>
      <c r="BB693" s="72">
        <v>0</v>
      </c>
      <c r="BC693" s="73"/>
      <c r="BD693" s="74">
        <v>-518.11536409772054</v>
      </c>
      <c r="BE693" s="74">
        <v>0</v>
      </c>
      <c r="BF693" s="73"/>
      <c r="BG693" s="72">
        <v>2433607.3021708434</v>
      </c>
      <c r="BH693" s="72">
        <v>0</v>
      </c>
      <c r="BI693" s="73"/>
      <c r="BJ693" s="74">
        <v>-1655.5375376357495</v>
      </c>
      <c r="BK693" s="74">
        <v>0</v>
      </c>
      <c r="BL693" s="73"/>
      <c r="BM693" s="72">
        <v>29093027.084255878</v>
      </c>
      <c r="BN693" s="72">
        <v>0</v>
      </c>
      <c r="BO693" s="73"/>
      <c r="BP693" s="74">
        <v>-6029.8217126914569</v>
      </c>
      <c r="BQ693" s="74">
        <v>0</v>
      </c>
      <c r="BS693" s="109">
        <f t="shared" si="264"/>
        <v>116934.55591597456</v>
      </c>
      <c r="BT693" s="109">
        <f t="shared" si="265"/>
        <v>117206.42245428244</v>
      </c>
      <c r="BV693" s="58">
        <f t="array" ref="BV693">SUM(IF(BS693:BT693&gt;=BS693, 1))</f>
        <v>2</v>
      </c>
      <c r="BW693" s="58">
        <f t="array" ref="BW693">SUM(IF(BS693:BT693&gt;=BT693, 1))</f>
        <v>1</v>
      </c>
      <c r="BY693" s="109">
        <f t="shared" si="266"/>
        <v>133666.40907130472</v>
      </c>
      <c r="BZ693" s="109">
        <f t="shared" si="267"/>
        <v>133901.80944775423</v>
      </c>
      <c r="CB693" s="58">
        <f t="array" ref="CB693">SUM(IF(BY693:BZ693&gt;=BY693, 1))</f>
        <v>2</v>
      </c>
      <c r="CC693" s="58">
        <f t="array" ref="CC693">SUM(IF(BY693:BZ693&gt;=BZ693, 1))</f>
        <v>1</v>
      </c>
      <c r="CE693" s="109">
        <f t="shared" si="268"/>
        <v>93419.345437599433</v>
      </c>
      <c r="CF693" s="109">
        <f t="shared" si="269"/>
        <v>96551.011026715874</v>
      </c>
      <c r="CH693" s="58">
        <f t="array" ref="CH693">SUM(IF(CE693:CF693&gt;=CE693, 1))</f>
        <v>2</v>
      </c>
      <c r="CI693" s="58">
        <f t="array" ref="CI693">SUM(IF(CE693:CF693&gt;=CF693, 1))</f>
        <v>1</v>
      </c>
      <c r="CK693" s="109">
        <f t="shared" si="270"/>
        <v>44746.087369444125</v>
      </c>
      <c r="CL693" s="109">
        <f t="shared" si="271"/>
        <v>45833.745929068129</v>
      </c>
      <c r="CN693" s="58">
        <f t="array" ref="CN693">SUM(IF(CK693:CL693&gt;=CK693, 1))</f>
        <v>2</v>
      </c>
      <c r="CO693" s="58">
        <f t="array" ref="CO693">SUM(IF(CK693:CL693&gt;=CL693, 1))</f>
        <v>1</v>
      </c>
      <c r="CQ693" s="109" cm="1">
        <f t="array" ref="CQ693">AF693*WTP-AC693</f>
        <v>30353.121753212894</v>
      </c>
      <c r="CR693" s="109">
        <f t="shared" si="272"/>
        <v>32618.940674070873</v>
      </c>
      <c r="CT693" s="58">
        <f t="array" ref="CT693">SUM(IF(CQ693:CR693&gt;=CQ693, 1))</f>
        <v>2</v>
      </c>
      <c r="CU693" s="58">
        <f t="array" ref="CU693">SUM(IF(CQ693:CR693&gt;=CR693, 1))</f>
        <v>1</v>
      </c>
      <c r="CW693" s="109">
        <f t="shared" si="273"/>
        <v>-29227704.626257434</v>
      </c>
      <c r="CX693" s="109">
        <f t="shared" si="274"/>
        <v>0</v>
      </c>
      <c r="CZ693" s="58">
        <f t="array" ref="CZ693">SUM(IF(CW693:CX693&gt;=CW693, 1))</f>
        <v>2</v>
      </c>
      <c r="DA693" s="58">
        <f t="array" ref="DA693">SUM(IF(CW693:CX693&gt;=CX693, 1))</f>
        <v>1</v>
      </c>
      <c r="DC693" s="109">
        <f t="shared" si="275"/>
        <v>-1615908.8766873812</v>
      </c>
      <c r="DD693" s="109">
        <f t="shared" si="276"/>
        <v>0</v>
      </c>
      <c r="DF693" s="58">
        <f t="array" ref="DF693">SUM(IF(DC693:DD693&gt;=DC693, 1))</f>
        <v>2</v>
      </c>
      <c r="DG693" s="58">
        <f t="array" ref="DG693">SUM(IF(DC693:DD693&gt;=DD693, 1))</f>
        <v>1</v>
      </c>
      <c r="DI693" s="109">
        <f t="shared" si="277"/>
        <v>-73265270.979158729</v>
      </c>
      <c r="DJ693" s="109">
        <f t="shared" si="278"/>
        <v>0</v>
      </c>
      <c r="DL693" s="58">
        <f t="array" ref="DL693">SUM(IF(DI693:DJ693&gt;=DI693, 1))</f>
        <v>2</v>
      </c>
      <c r="DM693" s="58">
        <f t="array" ref="DM693">SUM(IF(DI693:DJ693&gt;=DJ693, 1))</f>
        <v>1</v>
      </c>
      <c r="DO693" s="109">
        <f t="shared" si="279"/>
        <v>-10036218.801095614</v>
      </c>
      <c r="DP693" s="109">
        <f t="shared" si="280"/>
        <v>0</v>
      </c>
      <c r="DR693" s="58">
        <f t="array" ref="DR693">SUM(IF(DO693:DP693&gt;=DO693, 1))</f>
        <v>2</v>
      </c>
      <c r="DS693" s="58">
        <f t="array" ref="DS693">SUM(IF(DO693:DP693&gt;=DP693, 1))</f>
        <v>1</v>
      </c>
      <c r="DU693" s="109">
        <f t="shared" si="281"/>
        <v>-35544358.054885834</v>
      </c>
      <c r="DV693" s="109">
        <f t="shared" si="282"/>
        <v>0</v>
      </c>
      <c r="DX693" s="58">
        <f t="array" ref="DX693">SUM(IF(DU693:DV693&gt;=DU693, 1))</f>
        <v>2</v>
      </c>
      <c r="DY693" s="58">
        <f t="array" ref="DY693">SUM(IF(DU693:DV693&gt;=DV693, 1))</f>
        <v>1</v>
      </c>
      <c r="EA693" s="109">
        <f t="shared" si="283"/>
        <v>-149689461.33808503</v>
      </c>
      <c r="EB693" s="109">
        <f t="shared" si="284"/>
        <v>0</v>
      </c>
      <c r="ED693" s="58">
        <f t="array" ref="ED693">SUM(IF(EA693:EB693&gt;=EA693, 1))</f>
        <v>2</v>
      </c>
      <c r="EE693" s="58">
        <f t="array" ref="EE693">SUM(IF(EA693:EB693&gt;=EB693, 1))</f>
        <v>1</v>
      </c>
    </row>
    <row r="694" spans="4:135" ht="12" customHeight="1" x14ac:dyDescent="0.25">
      <c r="D694" s="11">
        <v>678</v>
      </c>
      <c r="E694" s="72">
        <v>222.60440037036736</v>
      </c>
      <c r="F694" s="72">
        <v>206.02732666315106</v>
      </c>
      <c r="G694" s="73"/>
      <c r="H694" s="74">
        <v>5.8409154921135622</v>
      </c>
      <c r="I694" s="74">
        <v>5.8585227833129485</v>
      </c>
      <c r="J694" s="73"/>
      <c r="K694" s="72">
        <v>239.23808812646092</v>
      </c>
      <c r="L694" s="72">
        <v>222.23202785074949</v>
      </c>
      <c r="M694" s="73"/>
      <c r="N694" s="74">
        <v>6.6985402211638521</v>
      </c>
      <c r="O694" s="74">
        <v>6.7134093640734225</v>
      </c>
      <c r="P694" s="73"/>
      <c r="Q694" s="72">
        <v>2407.4299848577116</v>
      </c>
      <c r="R694" s="72">
        <v>1797.7523228229581</v>
      </c>
      <c r="S694" s="73"/>
      <c r="T694" s="74">
        <v>4.7050248623154891</v>
      </c>
      <c r="U694" s="74">
        <v>4.7569773078451512</v>
      </c>
      <c r="V694" s="73"/>
      <c r="W694" s="72">
        <v>12991.716464252922</v>
      </c>
      <c r="X694" s="72">
        <v>13051.121611804503</v>
      </c>
      <c r="Y694" s="73"/>
      <c r="Z694" s="74">
        <v>2.9520909119851839</v>
      </c>
      <c r="AA694" s="74">
        <v>2.9985432441498125</v>
      </c>
      <c r="AB694" s="73"/>
      <c r="AC694" s="72">
        <v>51246.769377697594</v>
      </c>
      <c r="AD694" s="72">
        <v>51223.742182854738</v>
      </c>
      <c r="AE694" s="73"/>
      <c r="AF694" s="74">
        <v>4.5833080773766701</v>
      </c>
      <c r="AG694" s="74">
        <v>4.6812409444138394</v>
      </c>
      <c r="AH694" s="73"/>
      <c r="AI694" s="72">
        <v>1798601.338130886</v>
      </c>
      <c r="AJ694" s="72">
        <v>0</v>
      </c>
      <c r="AK694" s="73"/>
      <c r="AL694" s="74">
        <v>-1910.3792425252063</v>
      </c>
      <c r="AM694" s="74">
        <v>0</v>
      </c>
      <c r="AN694" s="73"/>
      <c r="AO694" s="72">
        <v>119842.99034191866</v>
      </c>
      <c r="AP694" s="72">
        <v>0</v>
      </c>
      <c r="AQ694" s="73"/>
      <c r="AR694" s="74">
        <v>-104.78397237303155</v>
      </c>
      <c r="AS694" s="74">
        <v>0</v>
      </c>
      <c r="AT694" s="73"/>
      <c r="AU694" s="72">
        <v>14229887.215316793</v>
      </c>
      <c r="AV694" s="72">
        <v>0</v>
      </c>
      <c r="AW694" s="73"/>
      <c r="AX694" s="74">
        <v>-1212.5709805074655</v>
      </c>
      <c r="AY694" s="74">
        <v>0</v>
      </c>
      <c r="AZ694" s="73"/>
      <c r="BA694" s="72">
        <v>-535764.63073356065</v>
      </c>
      <c r="BB694" s="72">
        <v>0</v>
      </c>
      <c r="BC694" s="73"/>
      <c r="BD694" s="74">
        <v>-418.94545531236065</v>
      </c>
      <c r="BE694" s="74">
        <v>0</v>
      </c>
      <c r="BF694" s="73"/>
      <c r="BG694" s="72">
        <v>368695.39505049755</v>
      </c>
      <c r="BH694" s="72">
        <v>0</v>
      </c>
      <c r="BI694" s="73"/>
      <c r="BJ694" s="74">
        <v>-1568.0328128156088</v>
      </c>
      <c r="BK694" s="74">
        <v>0</v>
      </c>
      <c r="BL694" s="73"/>
      <c r="BM694" s="72">
        <v>15981262.308106534</v>
      </c>
      <c r="BN694" s="72">
        <v>0</v>
      </c>
      <c r="BO694" s="73"/>
      <c r="BP694" s="74">
        <v>-5214.7124635336731</v>
      </c>
      <c r="BQ694" s="74">
        <v>0</v>
      </c>
      <c r="BS694" s="109">
        <f t="shared" si="264"/>
        <v>116595.70544190088</v>
      </c>
      <c r="BT694" s="109">
        <f t="shared" si="265"/>
        <v>116964.42833959582</v>
      </c>
      <c r="BV694" s="58">
        <f t="array" ref="BV694">SUM(IF(BS694:BT694&gt;=BS694, 1))</f>
        <v>2</v>
      </c>
      <c r="BW694" s="58">
        <f t="array" ref="BW694">SUM(IF(BS694:BT694&gt;=BT694, 1))</f>
        <v>1</v>
      </c>
      <c r="BY694" s="109">
        <f t="shared" si="266"/>
        <v>133731.56633515056</v>
      </c>
      <c r="BZ694" s="109">
        <f t="shared" si="267"/>
        <v>134045.95525361769</v>
      </c>
      <c r="CB694" s="58">
        <f t="array" ref="CB694">SUM(IF(BY694:BZ694&gt;=BY694, 1))</f>
        <v>2</v>
      </c>
      <c r="CC694" s="58">
        <f t="array" ref="CC694">SUM(IF(BY694:BZ694&gt;=BZ694, 1))</f>
        <v>1</v>
      </c>
      <c r="CE694" s="109">
        <f t="shared" si="268"/>
        <v>91693.067261452074</v>
      </c>
      <c r="CF694" s="109">
        <f t="shared" si="269"/>
        <v>93341.793834080076</v>
      </c>
      <c r="CH694" s="58">
        <f t="array" ref="CH694">SUM(IF(CE694:CF694&gt;=CE694, 1))</f>
        <v>2</v>
      </c>
      <c r="CI694" s="58">
        <f t="array" ref="CI694">SUM(IF(CE694:CF694&gt;=CF694, 1))</f>
        <v>1</v>
      </c>
      <c r="CK694" s="109">
        <f t="shared" si="270"/>
        <v>46050.101775450756</v>
      </c>
      <c r="CL694" s="109">
        <f t="shared" si="271"/>
        <v>46919.743271191743</v>
      </c>
      <c r="CN694" s="58">
        <f t="array" ref="CN694">SUM(IF(CK694:CL694&gt;=CK694, 1))</f>
        <v>2</v>
      </c>
      <c r="CO694" s="58">
        <f t="array" ref="CO694">SUM(IF(CK694:CL694&gt;=CL694, 1))</f>
        <v>1</v>
      </c>
      <c r="CQ694" s="109" cm="1">
        <f t="array" ref="CQ694">AF694*WTP-AC694</f>
        <v>40419.392169835803</v>
      </c>
      <c r="CR694" s="109">
        <f t="shared" si="272"/>
        <v>42401.076705422049</v>
      </c>
      <c r="CT694" s="58">
        <f t="array" ref="CT694">SUM(IF(CQ694:CR694&gt;=CQ694, 1))</f>
        <v>2</v>
      </c>
      <c r="CU694" s="58">
        <f t="array" ref="CU694">SUM(IF(CQ694:CR694&gt;=CR694, 1))</f>
        <v>1</v>
      </c>
      <c r="CW694" s="109">
        <f t="shared" si="273"/>
        <v>-40006186.188635014</v>
      </c>
      <c r="CX694" s="109">
        <f t="shared" si="274"/>
        <v>0</v>
      </c>
      <c r="CZ694" s="58">
        <f t="array" ref="CZ694">SUM(IF(CW694:CX694&gt;=CW694, 1))</f>
        <v>2</v>
      </c>
      <c r="DA694" s="58">
        <f t="array" ref="DA694">SUM(IF(CW694:CX694&gt;=CX694, 1))</f>
        <v>1</v>
      </c>
      <c r="DC694" s="109">
        <f t="shared" si="275"/>
        <v>-2215522.4378025495</v>
      </c>
      <c r="DD694" s="109">
        <f t="shared" si="276"/>
        <v>0</v>
      </c>
      <c r="DF694" s="58">
        <f t="array" ref="DF694">SUM(IF(DC694:DD694&gt;=DC694, 1))</f>
        <v>2</v>
      </c>
      <c r="DG694" s="58">
        <f t="array" ref="DG694">SUM(IF(DC694:DD694&gt;=DD694, 1))</f>
        <v>1</v>
      </c>
      <c r="DI694" s="109">
        <f t="shared" si="277"/>
        <v>-38481306.825466104</v>
      </c>
      <c r="DJ694" s="109">
        <f t="shared" si="278"/>
        <v>0</v>
      </c>
      <c r="DL694" s="58">
        <f t="array" ref="DL694">SUM(IF(DI694:DJ694&gt;=DI694, 1))</f>
        <v>2</v>
      </c>
      <c r="DM694" s="58">
        <f t="array" ref="DM694">SUM(IF(DI694:DJ694&gt;=DJ694, 1))</f>
        <v>1</v>
      </c>
      <c r="DO694" s="109">
        <f t="shared" si="279"/>
        <v>-7843144.475513652</v>
      </c>
      <c r="DP694" s="109">
        <f t="shared" si="280"/>
        <v>0</v>
      </c>
      <c r="DR694" s="58">
        <f t="array" ref="DR694">SUM(IF(DO694:DP694&gt;=DO694, 1))</f>
        <v>2</v>
      </c>
      <c r="DS694" s="58">
        <f t="array" ref="DS694">SUM(IF(DO694:DP694&gt;=DP694, 1))</f>
        <v>1</v>
      </c>
      <c r="DU694" s="109">
        <f t="shared" si="281"/>
        <v>-31729351.651362672</v>
      </c>
      <c r="DV694" s="109">
        <f t="shared" si="282"/>
        <v>0</v>
      </c>
      <c r="DX694" s="58">
        <f t="array" ref="DX694">SUM(IF(DU694:DV694&gt;=DU694, 1))</f>
        <v>2</v>
      </c>
      <c r="DY694" s="58">
        <f t="array" ref="DY694">SUM(IF(DU694:DV694&gt;=DV694, 1))</f>
        <v>1</v>
      </c>
      <c r="EA694" s="109">
        <f t="shared" si="283"/>
        <v>-120275511.57878</v>
      </c>
      <c r="EB694" s="109">
        <f t="shared" si="284"/>
        <v>0</v>
      </c>
      <c r="ED694" s="58">
        <f t="array" ref="ED694">SUM(IF(EA694:EB694&gt;=EA694, 1))</f>
        <v>2</v>
      </c>
      <c r="EE694" s="58">
        <f t="array" ref="EE694">SUM(IF(EA694:EB694&gt;=EB694, 1))</f>
        <v>1</v>
      </c>
    </row>
    <row r="695" spans="4:135" ht="12" customHeight="1" x14ac:dyDescent="0.25">
      <c r="D695" s="11">
        <v>679</v>
      </c>
      <c r="E695" s="72">
        <v>266.35016265117622</v>
      </c>
      <c r="F695" s="72">
        <v>234.48715959432883</v>
      </c>
      <c r="G695" s="73"/>
      <c r="H695" s="74">
        <v>5.8149781301662404</v>
      </c>
      <c r="I695" s="74">
        <v>5.8318451776771933</v>
      </c>
      <c r="J695" s="73"/>
      <c r="K695" s="72">
        <v>285.43804084349529</v>
      </c>
      <c r="L695" s="72">
        <v>252.81865544528975</v>
      </c>
      <c r="M695" s="73"/>
      <c r="N695" s="74">
        <v>6.7020486705905578</v>
      </c>
      <c r="O695" s="74">
        <v>6.7165721782002574</v>
      </c>
      <c r="P695" s="73"/>
      <c r="Q695" s="72">
        <v>1797.316526650224</v>
      </c>
      <c r="R695" s="72">
        <v>1085.2863959288586</v>
      </c>
      <c r="S695" s="73"/>
      <c r="T695" s="74">
        <v>4.9326632794101579</v>
      </c>
      <c r="U695" s="74">
        <v>5.0011937277081442</v>
      </c>
      <c r="V695" s="73"/>
      <c r="W695" s="72">
        <v>16969.279921572059</v>
      </c>
      <c r="X695" s="72">
        <v>16916.54331061968</v>
      </c>
      <c r="Y695" s="73"/>
      <c r="Z695" s="74">
        <v>2.8003678925934254</v>
      </c>
      <c r="AA695" s="74">
        <v>2.8426969228052741</v>
      </c>
      <c r="AB695" s="73"/>
      <c r="AC695" s="72">
        <v>48734.331167124736</v>
      </c>
      <c r="AD695" s="72">
        <v>48266.858686017622</v>
      </c>
      <c r="AE695" s="73"/>
      <c r="AF695" s="74">
        <v>4.4497813204971841</v>
      </c>
      <c r="AG695" s="74">
        <v>4.6046013221993976</v>
      </c>
      <c r="AH695" s="73"/>
      <c r="AI695" s="72">
        <v>3394097.7046084614</v>
      </c>
      <c r="AJ695" s="72">
        <v>0</v>
      </c>
      <c r="AK695" s="73"/>
      <c r="AL695" s="74">
        <v>-1796.7046966134731</v>
      </c>
      <c r="AM695" s="74">
        <v>0</v>
      </c>
      <c r="AN695" s="73"/>
      <c r="AO695" s="72">
        <v>215737.13757300706</v>
      </c>
      <c r="AP695" s="72">
        <v>0</v>
      </c>
      <c r="AQ695" s="73"/>
      <c r="AR695" s="74">
        <v>-96.055150058368667</v>
      </c>
      <c r="AS695" s="74">
        <v>0</v>
      </c>
      <c r="AT695" s="73"/>
      <c r="AU695" s="72">
        <v>16220620.374409961</v>
      </c>
      <c r="AV695" s="72">
        <v>0</v>
      </c>
      <c r="AW695" s="73"/>
      <c r="AX695" s="74">
        <v>-1561.1788574222051</v>
      </c>
      <c r="AY695" s="74">
        <v>0</v>
      </c>
      <c r="AZ695" s="73"/>
      <c r="BA695" s="72">
        <v>462169.63051287609</v>
      </c>
      <c r="BB695" s="72">
        <v>0</v>
      </c>
      <c r="BC695" s="73"/>
      <c r="BD695" s="74">
        <v>-370.96036130656768</v>
      </c>
      <c r="BE695" s="74">
        <v>0</v>
      </c>
      <c r="BF695" s="73"/>
      <c r="BG695" s="72">
        <v>7474663.4486207608</v>
      </c>
      <c r="BH695" s="72">
        <v>0</v>
      </c>
      <c r="BI695" s="73"/>
      <c r="BJ695" s="74">
        <v>-2475.4984616383845</v>
      </c>
      <c r="BK695" s="74">
        <v>0</v>
      </c>
      <c r="BL695" s="73"/>
      <c r="BM695" s="72">
        <v>27767288.295725062</v>
      </c>
      <c r="BN695" s="72">
        <v>0</v>
      </c>
      <c r="BO695" s="73"/>
      <c r="BP695" s="74">
        <v>-6300.3975270389992</v>
      </c>
      <c r="BQ695" s="74">
        <v>0</v>
      </c>
      <c r="BS695" s="109">
        <f t="shared" si="264"/>
        <v>116033.21244067364</v>
      </c>
      <c r="BT695" s="109">
        <f t="shared" si="265"/>
        <v>116402.41639394953</v>
      </c>
      <c r="BV695" s="58">
        <f t="array" ref="BV695">SUM(IF(BS695:BT695&gt;=BS695, 1))</f>
        <v>2</v>
      </c>
      <c r="BW695" s="58">
        <f t="array" ref="BW695">SUM(IF(BS695:BT695&gt;=BT695, 1))</f>
        <v>1</v>
      </c>
      <c r="BY695" s="109">
        <f t="shared" si="266"/>
        <v>133755.53537096767</v>
      </c>
      <c r="BZ695" s="109">
        <f t="shared" si="267"/>
        <v>134078.62490855984</v>
      </c>
      <c r="CB695" s="58">
        <f t="array" ref="CB695">SUM(IF(BY695:BZ695&gt;=BY695, 1))</f>
        <v>2</v>
      </c>
      <c r="CC695" s="58">
        <f t="array" ref="CC695">SUM(IF(BY695:BZ695&gt;=BZ695, 1))</f>
        <v>1</v>
      </c>
      <c r="CE695" s="109">
        <f t="shared" si="268"/>
        <v>96855.949061552936</v>
      </c>
      <c r="CF695" s="109">
        <f t="shared" si="269"/>
        <v>98938.588158234037</v>
      </c>
      <c r="CH695" s="58">
        <f t="array" ref="CH695">SUM(IF(CE695:CF695&gt;=CE695, 1))</f>
        <v>2</v>
      </c>
      <c r="CI695" s="58">
        <f t="array" ref="CI695">SUM(IF(CE695:CF695&gt;=CF695, 1))</f>
        <v>1</v>
      </c>
      <c r="CK695" s="109">
        <f t="shared" si="270"/>
        <v>39038.077930296451</v>
      </c>
      <c r="CL695" s="109">
        <f t="shared" si="271"/>
        <v>39937.395145485803</v>
      </c>
      <c r="CN695" s="58">
        <f t="array" ref="CN695">SUM(IF(CK695:CL695&gt;=CK695, 1))</f>
        <v>2</v>
      </c>
      <c r="CO695" s="58">
        <f t="array" ref="CO695">SUM(IF(CK695:CL695&gt;=CL695, 1))</f>
        <v>1</v>
      </c>
      <c r="CQ695" s="109" cm="1">
        <f t="array" ref="CQ695">AF695*WTP-AC695</f>
        <v>40261.295242818946</v>
      </c>
      <c r="CR695" s="109">
        <f t="shared" si="272"/>
        <v>43825.167757970332</v>
      </c>
      <c r="CT695" s="58">
        <f t="array" ref="CT695">SUM(IF(CQ695:CR695&gt;=CQ695, 1))</f>
        <v>2</v>
      </c>
      <c r="CU695" s="58">
        <f t="array" ref="CU695">SUM(IF(CQ695:CR695&gt;=CR695, 1))</f>
        <v>1</v>
      </c>
      <c r="CW695" s="109">
        <f t="shared" si="273"/>
        <v>-39328191.636877924</v>
      </c>
      <c r="CX695" s="109">
        <f t="shared" si="274"/>
        <v>0</v>
      </c>
      <c r="CZ695" s="58">
        <f t="array" ref="CZ695">SUM(IF(CW695:CX695&gt;=CW695, 1))</f>
        <v>2</v>
      </c>
      <c r="DA695" s="58">
        <f t="array" ref="DA695">SUM(IF(CW695:CX695&gt;=CX695, 1))</f>
        <v>1</v>
      </c>
      <c r="DC695" s="109">
        <f t="shared" si="275"/>
        <v>-2136840.1387403803</v>
      </c>
      <c r="DD695" s="109">
        <f t="shared" si="276"/>
        <v>0</v>
      </c>
      <c r="DF695" s="58">
        <f t="array" ref="DF695">SUM(IF(DC695:DD695&gt;=DC695, 1))</f>
        <v>2</v>
      </c>
      <c r="DG695" s="58">
        <f t="array" ref="DG695">SUM(IF(DC695:DD695&gt;=DD695, 1))</f>
        <v>1</v>
      </c>
      <c r="DI695" s="109">
        <f t="shared" si="277"/>
        <v>-47444197.52285406</v>
      </c>
      <c r="DJ695" s="109">
        <f t="shared" si="278"/>
        <v>0</v>
      </c>
      <c r="DL695" s="58">
        <f t="array" ref="DL695">SUM(IF(DI695:DJ695&gt;=DI695, 1))</f>
        <v>2</v>
      </c>
      <c r="DM695" s="58">
        <f t="array" ref="DM695">SUM(IF(DI695:DJ695&gt;=DJ695, 1))</f>
        <v>1</v>
      </c>
      <c r="DO695" s="109">
        <f t="shared" si="279"/>
        <v>-7881376.85664423</v>
      </c>
      <c r="DP695" s="109">
        <f t="shared" si="280"/>
        <v>0</v>
      </c>
      <c r="DR695" s="58">
        <f t="array" ref="DR695">SUM(IF(DO695:DP695&gt;=DO695, 1))</f>
        <v>2</v>
      </c>
      <c r="DS695" s="58">
        <f t="array" ref="DS695">SUM(IF(DO695:DP695&gt;=DP695, 1))</f>
        <v>1</v>
      </c>
      <c r="DU695" s="109">
        <f t="shared" si="281"/>
        <v>-56984632.681388445</v>
      </c>
      <c r="DV695" s="109">
        <f t="shared" si="282"/>
        <v>0</v>
      </c>
      <c r="DX695" s="58">
        <f t="array" ref="DX695">SUM(IF(DU695:DV695&gt;=DU695, 1))</f>
        <v>2</v>
      </c>
      <c r="DY695" s="58">
        <f t="array" ref="DY695">SUM(IF(DU695:DV695&gt;=DV695, 1))</f>
        <v>1</v>
      </c>
      <c r="EA695" s="109">
        <f t="shared" si="283"/>
        <v>-153775238.83650506</v>
      </c>
      <c r="EB695" s="109">
        <f t="shared" si="284"/>
        <v>0</v>
      </c>
      <c r="ED695" s="58">
        <f t="array" ref="ED695">SUM(IF(EA695:EB695&gt;=EA695, 1))</f>
        <v>2</v>
      </c>
      <c r="EE695" s="58">
        <f t="array" ref="EE695">SUM(IF(EA695:EB695&gt;=EB695, 1))</f>
        <v>1</v>
      </c>
    </row>
    <row r="696" spans="4:135" ht="12" customHeight="1" x14ac:dyDescent="0.25">
      <c r="D696" s="11">
        <v>680</v>
      </c>
      <c r="E696" s="72">
        <v>300.17307773788417</v>
      </c>
      <c r="F696" s="72">
        <v>263.84603712894051</v>
      </c>
      <c r="G696" s="73"/>
      <c r="H696" s="74">
        <v>5.8188276647857311</v>
      </c>
      <c r="I696" s="74">
        <v>5.8354709182506772</v>
      </c>
      <c r="J696" s="73"/>
      <c r="K696" s="72">
        <v>321.57405897637051</v>
      </c>
      <c r="L696" s="72">
        <v>284.36882649528945</v>
      </c>
      <c r="M696" s="73"/>
      <c r="N696" s="74">
        <v>6.745888636944656</v>
      </c>
      <c r="O696" s="74">
        <v>6.7600990798740552</v>
      </c>
      <c r="P696" s="73"/>
      <c r="Q696" s="72">
        <v>1775.7710038477239</v>
      </c>
      <c r="R696" s="72">
        <v>1431.004342201697</v>
      </c>
      <c r="S696" s="73"/>
      <c r="T696" s="74">
        <v>4.8418605457551722</v>
      </c>
      <c r="U696" s="74">
        <v>4.8855338905460446</v>
      </c>
      <c r="V696" s="73"/>
      <c r="W696" s="72">
        <v>11161.145076588435</v>
      </c>
      <c r="X696" s="72">
        <v>11181.281810898485</v>
      </c>
      <c r="Y696" s="73"/>
      <c r="Z696" s="74">
        <v>3.1839256836695364</v>
      </c>
      <c r="AA696" s="74">
        <v>3.2440002612541439</v>
      </c>
      <c r="AB696" s="73"/>
      <c r="AC696" s="72">
        <v>49612.825335885645</v>
      </c>
      <c r="AD696" s="72">
        <v>49519.585791836129</v>
      </c>
      <c r="AE696" s="73"/>
      <c r="AF696" s="74">
        <v>4.7192581300573364</v>
      </c>
      <c r="AG696" s="74">
        <v>4.7892358931323402</v>
      </c>
      <c r="AH696" s="73"/>
      <c r="AI696" s="72">
        <v>3887125.3316108375</v>
      </c>
      <c r="AJ696" s="72">
        <v>0</v>
      </c>
      <c r="AK696" s="73"/>
      <c r="AL696" s="74">
        <v>-1780.888590415047</v>
      </c>
      <c r="AM696" s="74">
        <v>0</v>
      </c>
      <c r="AN696" s="73"/>
      <c r="AO696" s="72">
        <v>249810.84235456202</v>
      </c>
      <c r="AP696" s="72">
        <v>0</v>
      </c>
      <c r="AQ696" s="73"/>
      <c r="AR696" s="74">
        <v>-95.414609228145295</v>
      </c>
      <c r="AS696" s="74">
        <v>0</v>
      </c>
      <c r="AT696" s="73"/>
      <c r="AU696" s="72">
        <v>8052139.8026972525</v>
      </c>
      <c r="AV696" s="72">
        <v>0</v>
      </c>
      <c r="AW696" s="73"/>
      <c r="AX696" s="74">
        <v>-1020.0054617478025</v>
      </c>
      <c r="AY696" s="74">
        <v>0</v>
      </c>
      <c r="AZ696" s="73"/>
      <c r="BA696" s="72">
        <v>-180547.02473375612</v>
      </c>
      <c r="BB696" s="72">
        <v>0</v>
      </c>
      <c r="BC696" s="73"/>
      <c r="BD696" s="74">
        <v>-538.63183960394076</v>
      </c>
      <c r="BE696" s="74">
        <v>0</v>
      </c>
      <c r="BF696" s="73"/>
      <c r="BG696" s="72">
        <v>1434489.4126876106</v>
      </c>
      <c r="BH696" s="72">
        <v>0</v>
      </c>
      <c r="BI696" s="73"/>
      <c r="BJ696" s="74">
        <v>-1076.6071550215336</v>
      </c>
      <c r="BK696" s="74">
        <v>0</v>
      </c>
      <c r="BL696" s="73"/>
      <c r="BM696" s="72">
        <v>13443018.364616508</v>
      </c>
      <c r="BN696" s="72">
        <v>0</v>
      </c>
      <c r="BO696" s="73"/>
      <c r="BP696" s="74">
        <v>-4511.5476560164698</v>
      </c>
      <c r="BQ696" s="74">
        <v>0</v>
      </c>
      <c r="BS696" s="109">
        <f t="shared" si="264"/>
        <v>116076.38021797674</v>
      </c>
      <c r="BT696" s="109">
        <f t="shared" si="265"/>
        <v>116445.5723278846</v>
      </c>
      <c r="BV696" s="58">
        <f t="array" ref="BV696">SUM(IF(BS696:BT696&gt;=BS696, 1))</f>
        <v>2</v>
      </c>
      <c r="BW696" s="58">
        <f t="array" ref="BW696">SUM(IF(BS696:BT696&gt;=BT696, 1))</f>
        <v>1</v>
      </c>
      <c r="BY696" s="109">
        <f t="shared" si="266"/>
        <v>134596.19867991674</v>
      </c>
      <c r="BZ696" s="109">
        <f t="shared" si="267"/>
        <v>134917.61277098581</v>
      </c>
      <c r="CB696" s="58">
        <f t="array" ref="CB696">SUM(IF(BY696:BZ696&gt;=BY696, 1))</f>
        <v>2</v>
      </c>
      <c r="CC696" s="58">
        <f t="array" ref="CC696">SUM(IF(BY696:BZ696&gt;=BZ696, 1))</f>
        <v>1</v>
      </c>
      <c r="CE696" s="109">
        <f t="shared" si="268"/>
        <v>95061.439911255715</v>
      </c>
      <c r="CF696" s="109">
        <f t="shared" si="269"/>
        <v>96279.673468719207</v>
      </c>
      <c r="CH696" s="58">
        <f t="array" ref="CH696">SUM(IF(CE696:CF696&gt;=CE696, 1))</f>
        <v>2</v>
      </c>
      <c r="CI696" s="58">
        <f t="array" ref="CI696">SUM(IF(CE696:CF696&gt;=CF696, 1))</f>
        <v>1</v>
      </c>
      <c r="CK696" s="109">
        <f t="shared" si="270"/>
        <v>52517.368596802291</v>
      </c>
      <c r="CL696" s="109">
        <f t="shared" si="271"/>
        <v>53698.723414184387</v>
      </c>
      <c r="CN696" s="58">
        <f t="array" ref="CN696">SUM(IF(CK696:CL696&gt;=CK696, 1))</f>
        <v>2</v>
      </c>
      <c r="CO696" s="58">
        <f t="array" ref="CO696">SUM(IF(CK696:CL696&gt;=CL696, 1))</f>
        <v>1</v>
      </c>
      <c r="CQ696" s="109" cm="1">
        <f t="array" ref="CQ696">AF696*WTP-AC696</f>
        <v>44772.337265261085</v>
      </c>
      <c r="CR696" s="109">
        <f t="shared" si="272"/>
        <v>46265.13207081068</v>
      </c>
      <c r="CT696" s="58">
        <f t="array" ref="CT696">SUM(IF(CQ696:CR696&gt;=CQ696, 1))</f>
        <v>2</v>
      </c>
      <c r="CU696" s="58">
        <f t="array" ref="CU696">SUM(IF(CQ696:CR696&gt;=CR696, 1))</f>
        <v>1</v>
      </c>
      <c r="CW696" s="109">
        <f t="shared" si="273"/>
        <v>-39504897.139911778</v>
      </c>
      <c r="CX696" s="109">
        <f t="shared" si="274"/>
        <v>0</v>
      </c>
      <c r="CZ696" s="58">
        <f t="array" ref="CZ696">SUM(IF(CW696:CX696&gt;=CW696, 1))</f>
        <v>2</v>
      </c>
      <c r="DA696" s="58">
        <f t="array" ref="DA696">SUM(IF(CW696:CX696&gt;=CX696, 1))</f>
        <v>1</v>
      </c>
      <c r="DC696" s="109">
        <f t="shared" si="275"/>
        <v>-2158103.0269174678</v>
      </c>
      <c r="DD696" s="109">
        <f t="shared" si="276"/>
        <v>0</v>
      </c>
      <c r="DF696" s="58">
        <f t="array" ref="DF696">SUM(IF(DC696:DD696&gt;=DC696, 1))</f>
        <v>2</v>
      </c>
      <c r="DG696" s="58">
        <f t="array" ref="DG696">SUM(IF(DC696:DD696&gt;=DD696, 1))</f>
        <v>1</v>
      </c>
      <c r="DI696" s="109">
        <f t="shared" si="277"/>
        <v>-28452249.037653305</v>
      </c>
      <c r="DJ696" s="109">
        <f t="shared" si="278"/>
        <v>0</v>
      </c>
      <c r="DL696" s="58">
        <f t="array" ref="DL696">SUM(IF(DI696:DJ696&gt;=DI696, 1))</f>
        <v>2</v>
      </c>
      <c r="DM696" s="58">
        <f t="array" ref="DM696">SUM(IF(DI696:DJ696&gt;=DJ696, 1))</f>
        <v>1</v>
      </c>
      <c r="DO696" s="109">
        <f t="shared" si="279"/>
        <v>-10592089.76734506</v>
      </c>
      <c r="DP696" s="109">
        <f t="shared" si="280"/>
        <v>0</v>
      </c>
      <c r="DR696" s="58">
        <f t="array" ref="DR696">SUM(IF(DO696:DP696&gt;=DO696, 1))</f>
        <v>2</v>
      </c>
      <c r="DS696" s="58">
        <f t="array" ref="DS696">SUM(IF(DO696:DP696&gt;=DP696, 1))</f>
        <v>1</v>
      </c>
      <c r="DU696" s="109">
        <f t="shared" si="281"/>
        <v>-22966632.513118282</v>
      </c>
      <c r="DV696" s="109">
        <f t="shared" si="282"/>
        <v>0</v>
      </c>
      <c r="DX696" s="58">
        <f t="array" ref="DX696">SUM(IF(DU696:DV696&gt;=DU696, 1))</f>
        <v>2</v>
      </c>
      <c r="DY696" s="58">
        <f t="array" ref="DY696">SUM(IF(DU696:DV696&gt;=DV696, 1))</f>
        <v>1</v>
      </c>
      <c r="EA696" s="109">
        <f t="shared" si="283"/>
        <v>-103673971.48494591</v>
      </c>
      <c r="EB696" s="109">
        <f t="shared" si="284"/>
        <v>0</v>
      </c>
      <c r="ED696" s="58">
        <f t="array" ref="ED696">SUM(IF(EA696:EB696&gt;=EA696, 1))</f>
        <v>2</v>
      </c>
      <c r="EE696" s="58">
        <f t="array" ref="EE696">SUM(IF(EA696:EB696&gt;=EB696, 1))</f>
        <v>1</v>
      </c>
    </row>
    <row r="697" spans="4:135" ht="12" customHeight="1" x14ac:dyDescent="0.25">
      <c r="D697" s="11">
        <v>681</v>
      </c>
      <c r="E697" s="72">
        <v>260.98245405827805</v>
      </c>
      <c r="F697" s="72">
        <v>238.2398789653291</v>
      </c>
      <c r="G697" s="73"/>
      <c r="H697" s="74">
        <v>5.8855365266353417</v>
      </c>
      <c r="I697" s="74">
        <v>5.9011700143629859</v>
      </c>
      <c r="J697" s="73"/>
      <c r="K697" s="72">
        <v>280.20802489152919</v>
      </c>
      <c r="L697" s="72">
        <v>256.92045432668567</v>
      </c>
      <c r="M697" s="73"/>
      <c r="N697" s="74">
        <v>6.6968877814739152</v>
      </c>
      <c r="O697" s="74">
        <v>6.7107352557656164</v>
      </c>
      <c r="P697" s="73"/>
      <c r="Q697" s="72">
        <v>1953.4007283338967</v>
      </c>
      <c r="R697" s="72">
        <v>1158.5627296380383</v>
      </c>
      <c r="S697" s="73"/>
      <c r="T697" s="74">
        <v>4.7234984058978169</v>
      </c>
      <c r="U697" s="74">
        <v>4.8063482295966429</v>
      </c>
      <c r="V697" s="73"/>
      <c r="W697" s="72">
        <v>14691.341137844753</v>
      </c>
      <c r="X697" s="72">
        <v>14692.730705649272</v>
      </c>
      <c r="Y697" s="73"/>
      <c r="Z697" s="74">
        <v>3.0808070032387671</v>
      </c>
      <c r="AA697" s="74">
        <v>3.1403895803412332</v>
      </c>
      <c r="AB697" s="73"/>
      <c r="AC697" s="72">
        <v>49569.305968504326</v>
      </c>
      <c r="AD697" s="72">
        <v>49473.016476287659</v>
      </c>
      <c r="AE697" s="73"/>
      <c r="AF697" s="74">
        <v>4.5843322355905505</v>
      </c>
      <c r="AG697" s="74">
        <v>4.6739652333433517</v>
      </c>
      <c r="AH697" s="73"/>
      <c r="AI697" s="72">
        <v>2437591.6599148302</v>
      </c>
      <c r="AJ697" s="72">
        <v>0</v>
      </c>
      <c r="AK697" s="73"/>
      <c r="AL697" s="74">
        <v>-1675.6264031024996</v>
      </c>
      <c r="AM697" s="74">
        <v>0</v>
      </c>
      <c r="AN697" s="73"/>
      <c r="AO697" s="72">
        <v>162518.47834197164</v>
      </c>
      <c r="AP697" s="72">
        <v>0</v>
      </c>
      <c r="AQ697" s="73"/>
      <c r="AR697" s="74">
        <v>-96.638266516487136</v>
      </c>
      <c r="AS697" s="74">
        <v>0</v>
      </c>
      <c r="AT697" s="73"/>
      <c r="AU697" s="72">
        <v>18620067.03462803</v>
      </c>
      <c r="AV697" s="72">
        <v>0</v>
      </c>
      <c r="AW697" s="73"/>
      <c r="AX697" s="74">
        <v>-1940.8599911056217</v>
      </c>
      <c r="AY697" s="74">
        <v>0</v>
      </c>
      <c r="AZ697" s="73"/>
      <c r="BA697" s="72">
        <v>-12063.021373022118</v>
      </c>
      <c r="BB697" s="72">
        <v>0</v>
      </c>
      <c r="BC697" s="73"/>
      <c r="BD697" s="74">
        <v>-517.2442098250043</v>
      </c>
      <c r="BE697" s="74">
        <v>0</v>
      </c>
      <c r="BF697" s="73"/>
      <c r="BG697" s="72">
        <v>1509207.9158638334</v>
      </c>
      <c r="BH697" s="72">
        <v>0</v>
      </c>
      <c r="BI697" s="73"/>
      <c r="BJ697" s="74">
        <v>-1404.8763433785946</v>
      </c>
      <c r="BK697" s="74">
        <v>0</v>
      </c>
      <c r="BL697" s="73"/>
      <c r="BM697" s="72">
        <v>22717322.067375645</v>
      </c>
      <c r="BN697" s="72">
        <v>0</v>
      </c>
      <c r="BO697" s="73"/>
      <c r="BP697" s="74">
        <v>-5635.2452139282068</v>
      </c>
      <c r="BQ697" s="74">
        <v>0</v>
      </c>
      <c r="BS697" s="109">
        <f t="shared" si="264"/>
        <v>117449.74807864855</v>
      </c>
      <c r="BT697" s="109">
        <f t="shared" si="265"/>
        <v>117785.1604082944</v>
      </c>
      <c r="BV697" s="58">
        <f t="array" ref="BV697">SUM(IF(BS697:BT697&gt;=BS697, 1))</f>
        <v>2</v>
      </c>
      <c r="BW697" s="58">
        <f t="array" ref="BW697">SUM(IF(BS697:BT697&gt;=BT697, 1))</f>
        <v>1</v>
      </c>
      <c r="BY697" s="109">
        <f t="shared" si="266"/>
        <v>133657.54760458678</v>
      </c>
      <c r="BZ697" s="109">
        <f t="shared" si="267"/>
        <v>133957.78466098564</v>
      </c>
      <c r="CB697" s="58">
        <f t="array" ref="CB697">SUM(IF(BY697:BZ697&gt;=BY697, 1))</f>
        <v>2</v>
      </c>
      <c r="CC697" s="58">
        <f t="array" ref="CC697">SUM(IF(BY697:BZ697&gt;=BZ697, 1))</f>
        <v>1</v>
      </c>
      <c r="CE697" s="109">
        <f t="shared" si="268"/>
        <v>92516.567389622433</v>
      </c>
      <c r="CF697" s="109">
        <f t="shared" si="269"/>
        <v>94968.401862294821</v>
      </c>
      <c r="CH697" s="58">
        <f t="array" ref="CH697">SUM(IF(CE697:CF697&gt;=CE697, 1))</f>
        <v>2</v>
      </c>
      <c r="CI697" s="58">
        <f t="array" ref="CI697">SUM(IF(CE697:CF697&gt;=CF697, 1))</f>
        <v>1</v>
      </c>
      <c r="CK697" s="109">
        <f t="shared" si="270"/>
        <v>46924.798926930584</v>
      </c>
      <c r="CL697" s="109">
        <f t="shared" si="271"/>
        <v>48115.060901175391</v>
      </c>
      <c r="CN697" s="58">
        <f t="array" ref="CN697">SUM(IF(CK697:CL697&gt;=CK697, 1))</f>
        <v>2</v>
      </c>
      <c r="CO697" s="58">
        <f t="array" ref="CO697">SUM(IF(CK697:CL697&gt;=CL697, 1))</f>
        <v>1</v>
      </c>
      <c r="CQ697" s="109" cm="1">
        <f t="array" ref="CQ697">AF697*WTP-AC697</f>
        <v>42117.338743306682</v>
      </c>
      <c r="CR697" s="109">
        <f t="shared" si="272"/>
        <v>44006.288190579369</v>
      </c>
      <c r="CT697" s="58">
        <f t="array" ref="CT697">SUM(IF(CQ697:CR697&gt;=CQ697, 1))</f>
        <v>2</v>
      </c>
      <c r="CU697" s="58">
        <f t="array" ref="CU697">SUM(IF(CQ697:CR697&gt;=CR697, 1))</f>
        <v>1</v>
      </c>
      <c r="CW697" s="109">
        <f t="shared" si="273"/>
        <v>-35950119.721964821</v>
      </c>
      <c r="CX697" s="109">
        <f t="shared" si="274"/>
        <v>0</v>
      </c>
      <c r="CZ697" s="58">
        <f t="array" ref="CZ697">SUM(IF(CW697:CX697&gt;=CW697, 1))</f>
        <v>2</v>
      </c>
      <c r="DA697" s="58">
        <f t="array" ref="DA697">SUM(IF(CW697:CX697&gt;=CX697, 1))</f>
        <v>1</v>
      </c>
      <c r="DC697" s="109">
        <f t="shared" si="275"/>
        <v>-2095283.8086717143</v>
      </c>
      <c r="DD697" s="109">
        <f t="shared" si="276"/>
        <v>0</v>
      </c>
      <c r="DF697" s="58">
        <f t="array" ref="DF697">SUM(IF(DC697:DD697&gt;=DC697, 1))</f>
        <v>2</v>
      </c>
      <c r="DG697" s="58">
        <f t="array" ref="DG697">SUM(IF(DC697:DD697&gt;=DD697, 1))</f>
        <v>1</v>
      </c>
      <c r="DI697" s="109">
        <f t="shared" si="277"/>
        <v>-57437266.85674046</v>
      </c>
      <c r="DJ697" s="109">
        <f t="shared" si="278"/>
        <v>0</v>
      </c>
      <c r="DL697" s="58">
        <f t="array" ref="DL697">SUM(IF(DI697:DJ697&gt;=DI697, 1))</f>
        <v>2</v>
      </c>
      <c r="DM697" s="58">
        <f t="array" ref="DM697">SUM(IF(DI697:DJ697&gt;=DJ697, 1))</f>
        <v>1</v>
      </c>
      <c r="DO697" s="109">
        <f t="shared" si="279"/>
        <v>-10332821.175127063</v>
      </c>
      <c r="DP697" s="109">
        <f t="shared" si="280"/>
        <v>0</v>
      </c>
      <c r="DR697" s="58">
        <f t="array" ref="DR697">SUM(IF(DO697:DP697&gt;=DO697, 1))</f>
        <v>2</v>
      </c>
      <c r="DS697" s="58">
        <f t="array" ref="DS697">SUM(IF(DO697:DP697&gt;=DP697, 1))</f>
        <v>1</v>
      </c>
      <c r="DU697" s="109">
        <f t="shared" si="281"/>
        <v>-29606734.783435725</v>
      </c>
      <c r="DV697" s="109">
        <f t="shared" si="282"/>
        <v>0</v>
      </c>
      <c r="DX697" s="58">
        <f t="array" ref="DX697">SUM(IF(DU697:DV697&gt;=DU697, 1))</f>
        <v>2</v>
      </c>
      <c r="DY697" s="58">
        <f t="array" ref="DY697">SUM(IF(DU697:DV697&gt;=DV697, 1))</f>
        <v>1</v>
      </c>
      <c r="EA697" s="109">
        <f t="shared" si="283"/>
        <v>-135422226.34593979</v>
      </c>
      <c r="EB697" s="109">
        <f t="shared" si="284"/>
        <v>0</v>
      </c>
      <c r="ED697" s="58">
        <f t="array" ref="ED697">SUM(IF(EA697:EB697&gt;=EA697, 1))</f>
        <v>2</v>
      </c>
      <c r="EE697" s="58">
        <f t="array" ref="EE697">SUM(IF(EA697:EB697&gt;=EB697, 1))</f>
        <v>1</v>
      </c>
    </row>
    <row r="698" spans="4:135" ht="12" customHeight="1" x14ac:dyDescent="0.25">
      <c r="D698" s="11">
        <v>682</v>
      </c>
      <c r="E698" s="72">
        <v>225.68063156070917</v>
      </c>
      <c r="F698" s="72">
        <v>207.61032069117846</v>
      </c>
      <c r="G698" s="73"/>
      <c r="H698" s="74">
        <v>5.8147731769098208</v>
      </c>
      <c r="I698" s="74">
        <v>5.8264575451428193</v>
      </c>
      <c r="J698" s="73"/>
      <c r="K698" s="72">
        <v>242.25559047120316</v>
      </c>
      <c r="L698" s="72">
        <v>223.73945875500357</v>
      </c>
      <c r="M698" s="73"/>
      <c r="N698" s="74">
        <v>6.6795720187342713</v>
      </c>
      <c r="O698" s="74">
        <v>6.6893204849210841</v>
      </c>
      <c r="P698" s="73"/>
      <c r="Q698" s="72">
        <v>2279.6203705736225</v>
      </c>
      <c r="R698" s="72">
        <v>1518.2141140360322</v>
      </c>
      <c r="S698" s="73"/>
      <c r="T698" s="74">
        <v>4.9117317388603619</v>
      </c>
      <c r="U698" s="74">
        <v>4.9733358006207586</v>
      </c>
      <c r="V698" s="73"/>
      <c r="W698" s="72">
        <v>11891.380455950388</v>
      </c>
      <c r="X698" s="72">
        <v>11872.650278580006</v>
      </c>
      <c r="Y698" s="73"/>
      <c r="Z698" s="74">
        <v>2.8266137674404792</v>
      </c>
      <c r="AA698" s="74">
        <v>2.8627890168884478</v>
      </c>
      <c r="AB698" s="73"/>
      <c r="AC698" s="72">
        <v>50736.499992192803</v>
      </c>
      <c r="AD698" s="72">
        <v>50415.740713288862</v>
      </c>
      <c r="AE698" s="73"/>
      <c r="AF698" s="74">
        <v>4.6565250916759124</v>
      </c>
      <c r="AG698" s="74">
        <v>4.7609640598504539</v>
      </c>
      <c r="AH698" s="73"/>
      <c r="AI698" s="72">
        <v>1934101.3917988401</v>
      </c>
      <c r="AJ698" s="72">
        <v>0</v>
      </c>
      <c r="AK698" s="73"/>
      <c r="AL698" s="74">
        <v>-1250.6012223529372</v>
      </c>
      <c r="AM698" s="74">
        <v>0</v>
      </c>
      <c r="AN698" s="73"/>
      <c r="AO698" s="72">
        <v>120259.70990568711</v>
      </c>
      <c r="AP698" s="72">
        <v>0</v>
      </c>
      <c r="AQ698" s="73"/>
      <c r="AR698" s="74">
        <v>-63.314937138075692</v>
      </c>
      <c r="AS698" s="74">
        <v>0</v>
      </c>
      <c r="AT698" s="73"/>
      <c r="AU698" s="72">
        <v>17007200.551652297</v>
      </c>
      <c r="AV698" s="72">
        <v>0</v>
      </c>
      <c r="AW698" s="73"/>
      <c r="AX698" s="74">
        <v>-1376.0231468543461</v>
      </c>
      <c r="AY698" s="74">
        <v>0</v>
      </c>
      <c r="AZ698" s="73"/>
      <c r="BA698" s="72">
        <v>158462.19941225674</v>
      </c>
      <c r="BB698" s="72">
        <v>0</v>
      </c>
      <c r="BC698" s="73"/>
      <c r="BD698" s="74">
        <v>-306.05207192948166</v>
      </c>
      <c r="BE698" s="74">
        <v>0</v>
      </c>
      <c r="BF698" s="73"/>
      <c r="BG698" s="72">
        <v>5149111.6350099938</v>
      </c>
      <c r="BH698" s="72">
        <v>0</v>
      </c>
      <c r="BI698" s="73"/>
      <c r="BJ698" s="74">
        <v>-1676.5466863922509</v>
      </c>
      <c r="BK698" s="74">
        <v>0</v>
      </c>
      <c r="BL698" s="73"/>
      <c r="BM698" s="72">
        <v>24369135.487779073</v>
      </c>
      <c r="BN698" s="72">
        <v>0</v>
      </c>
      <c r="BO698" s="73"/>
      <c r="BP698" s="74">
        <v>-4672.5380646670919</v>
      </c>
      <c r="BQ698" s="74">
        <v>0</v>
      </c>
      <c r="BS698" s="109">
        <f t="shared" si="264"/>
        <v>116069.78290663571</v>
      </c>
      <c r="BT698" s="109">
        <f t="shared" si="265"/>
        <v>116321.54058216521</v>
      </c>
      <c r="BV698" s="58">
        <f t="array" ref="BV698">SUM(IF(BS698:BT698&gt;=BS698, 1))</f>
        <v>2</v>
      </c>
      <c r="BW698" s="58">
        <f t="array" ref="BW698">SUM(IF(BS698:BT698&gt;=BT698, 1))</f>
        <v>1</v>
      </c>
      <c r="BY698" s="109">
        <f t="shared" si="266"/>
        <v>133349.18478421422</v>
      </c>
      <c r="BZ698" s="109">
        <f t="shared" si="267"/>
        <v>133562.67023966668</v>
      </c>
      <c r="CB698" s="58">
        <f t="array" ref="CB698">SUM(IF(BY698:BZ698&gt;=BY698, 1))</f>
        <v>2</v>
      </c>
      <c r="CC698" s="58">
        <f t="array" ref="CC698">SUM(IF(BY698:BZ698&gt;=BZ698, 1))</f>
        <v>1</v>
      </c>
      <c r="CE698" s="109">
        <f t="shared" si="268"/>
        <v>95955.014406633607</v>
      </c>
      <c r="CF698" s="109">
        <f t="shared" si="269"/>
        <v>97948.501898379138</v>
      </c>
      <c r="CH698" s="58">
        <f t="array" ref="CH698">SUM(IF(CE698:CF698&gt;=CE698, 1))</f>
        <v>2</v>
      </c>
      <c r="CI698" s="58">
        <f t="array" ref="CI698">SUM(IF(CE698:CF698&gt;=CF698, 1))</f>
        <v>1</v>
      </c>
      <c r="CK698" s="109">
        <f t="shared" si="270"/>
        <v>44640.8948928592</v>
      </c>
      <c r="CL698" s="109">
        <f t="shared" si="271"/>
        <v>45383.130059188952</v>
      </c>
      <c r="CN698" s="58">
        <f t="array" ref="CN698">SUM(IF(CK698:CL698&gt;=CK698, 1))</f>
        <v>2</v>
      </c>
      <c r="CO698" s="58">
        <f t="array" ref="CO698">SUM(IF(CK698:CL698&gt;=CL698, 1))</f>
        <v>1</v>
      </c>
      <c r="CQ698" s="109" cm="1">
        <f t="array" ref="CQ698">AF698*WTP-AC698</f>
        <v>42394.001841325451</v>
      </c>
      <c r="CR698" s="109">
        <f t="shared" si="272"/>
        <v>44803.540483720222</v>
      </c>
      <c r="CT698" s="58">
        <f t="array" ref="CT698">SUM(IF(CQ698:CR698&gt;=CQ698, 1))</f>
        <v>2</v>
      </c>
      <c r="CU698" s="58">
        <f t="array" ref="CU698">SUM(IF(CQ698:CR698&gt;=CR698, 1))</f>
        <v>1</v>
      </c>
      <c r="CW698" s="109">
        <f t="shared" si="273"/>
        <v>-26946125.838857584</v>
      </c>
      <c r="CX698" s="109">
        <f t="shared" si="274"/>
        <v>0</v>
      </c>
      <c r="CZ698" s="58">
        <f t="array" ref="CZ698">SUM(IF(CW698:CX698&gt;=CW698, 1))</f>
        <v>2</v>
      </c>
      <c r="DA698" s="58">
        <f t="array" ref="DA698">SUM(IF(CW698:CX698&gt;=CX698, 1))</f>
        <v>1</v>
      </c>
      <c r="DC698" s="109">
        <f t="shared" si="275"/>
        <v>-1386558.4526672009</v>
      </c>
      <c r="DD698" s="109">
        <f t="shared" si="276"/>
        <v>0</v>
      </c>
      <c r="DF698" s="58">
        <f t="array" ref="DF698">SUM(IF(DC698:DD698&gt;=DC698, 1))</f>
        <v>2</v>
      </c>
      <c r="DG698" s="58">
        <f t="array" ref="DG698">SUM(IF(DC698:DD698&gt;=DD698, 1))</f>
        <v>1</v>
      </c>
      <c r="DI698" s="109">
        <f t="shared" si="277"/>
        <v>-44527663.488739222</v>
      </c>
      <c r="DJ698" s="109">
        <f t="shared" si="278"/>
        <v>0</v>
      </c>
      <c r="DL698" s="58">
        <f t="array" ref="DL698">SUM(IF(DI698:DJ698&gt;=DI698, 1))</f>
        <v>2</v>
      </c>
      <c r="DM698" s="58">
        <f t="array" ref="DM698">SUM(IF(DI698:DJ698&gt;=DJ698, 1))</f>
        <v>1</v>
      </c>
      <c r="DO698" s="109">
        <f t="shared" si="279"/>
        <v>-6279503.6380018899</v>
      </c>
      <c r="DP698" s="109">
        <f t="shared" si="280"/>
        <v>0</v>
      </c>
      <c r="DR698" s="58">
        <f t="array" ref="DR698">SUM(IF(DO698:DP698&gt;=DO698, 1))</f>
        <v>2</v>
      </c>
      <c r="DS698" s="58">
        <f t="array" ref="DS698">SUM(IF(DO698:DP698&gt;=DP698, 1))</f>
        <v>1</v>
      </c>
      <c r="DU698" s="109">
        <f t="shared" si="281"/>
        <v>-38680045.36285501</v>
      </c>
      <c r="DV698" s="109">
        <f t="shared" si="282"/>
        <v>0</v>
      </c>
      <c r="DX698" s="58">
        <f t="array" ref="DX698">SUM(IF(DU698:DV698&gt;=DU698, 1))</f>
        <v>2</v>
      </c>
      <c r="DY698" s="58">
        <f t="array" ref="DY698">SUM(IF(DU698:DV698&gt;=DV698, 1))</f>
        <v>1</v>
      </c>
      <c r="EA698" s="109">
        <f t="shared" si="283"/>
        <v>-117819896.78112093</v>
      </c>
      <c r="EB698" s="109">
        <f t="shared" si="284"/>
        <v>0</v>
      </c>
      <c r="ED698" s="58">
        <f t="array" ref="ED698">SUM(IF(EA698:EB698&gt;=EA698, 1))</f>
        <v>2</v>
      </c>
      <c r="EE698" s="58">
        <f t="array" ref="EE698">SUM(IF(EA698:EB698&gt;=EB698, 1))</f>
        <v>1</v>
      </c>
    </row>
    <row r="699" spans="4:135" ht="12" customHeight="1" x14ac:dyDescent="0.25">
      <c r="D699" s="11">
        <v>683</v>
      </c>
      <c r="E699" s="72">
        <v>279.38837719511656</v>
      </c>
      <c r="F699" s="72">
        <v>243.62300909092104</v>
      </c>
      <c r="G699" s="73"/>
      <c r="H699" s="74">
        <v>5.8577774756216563</v>
      </c>
      <c r="I699" s="74">
        <v>5.876406836425411</v>
      </c>
      <c r="J699" s="73"/>
      <c r="K699" s="72">
        <v>299.30146306343528</v>
      </c>
      <c r="L699" s="72">
        <v>262.65631964520787</v>
      </c>
      <c r="M699" s="73"/>
      <c r="N699" s="74">
        <v>6.7423355809463024</v>
      </c>
      <c r="O699" s="74">
        <v>6.7585334355174913</v>
      </c>
      <c r="P699" s="73"/>
      <c r="Q699" s="72">
        <v>2928.9943931316084</v>
      </c>
      <c r="R699" s="72">
        <v>1593.9636608212384</v>
      </c>
      <c r="S699" s="73"/>
      <c r="T699" s="74">
        <v>4.8821256848026646</v>
      </c>
      <c r="U699" s="74">
        <v>4.9941759872040148</v>
      </c>
      <c r="V699" s="73"/>
      <c r="W699" s="72">
        <v>11088.914344596298</v>
      </c>
      <c r="X699" s="72">
        <v>11074.904447908333</v>
      </c>
      <c r="Y699" s="73"/>
      <c r="Z699" s="74">
        <v>2.9962464202804919</v>
      </c>
      <c r="AA699" s="74">
        <v>3.0349490863051778</v>
      </c>
      <c r="AB699" s="73"/>
      <c r="AC699" s="72">
        <v>49874.854005813075</v>
      </c>
      <c r="AD699" s="72">
        <v>49859.129918282291</v>
      </c>
      <c r="AE699" s="73"/>
      <c r="AF699" s="74">
        <v>3.7568691140885089</v>
      </c>
      <c r="AG699" s="74">
        <v>3.8103717168369244</v>
      </c>
      <c r="AH699" s="73"/>
      <c r="AI699" s="72">
        <v>3777571.9377963189</v>
      </c>
      <c r="AJ699" s="72">
        <v>0</v>
      </c>
      <c r="AK699" s="73"/>
      <c r="AL699" s="74">
        <v>-1967.6506721900887</v>
      </c>
      <c r="AM699" s="74">
        <v>0</v>
      </c>
      <c r="AN699" s="73"/>
      <c r="AO699" s="72">
        <v>257011.66864267155</v>
      </c>
      <c r="AP699" s="72">
        <v>0</v>
      </c>
      <c r="AQ699" s="73"/>
      <c r="AR699" s="74">
        <v>-113.60407528660092</v>
      </c>
      <c r="AS699" s="74">
        <v>0</v>
      </c>
      <c r="AT699" s="73"/>
      <c r="AU699" s="72">
        <v>31332438.895156428</v>
      </c>
      <c r="AV699" s="72">
        <v>0</v>
      </c>
      <c r="AW699" s="73"/>
      <c r="AX699" s="74">
        <v>-2629.7591270415078</v>
      </c>
      <c r="AY699" s="74">
        <v>0</v>
      </c>
      <c r="AZ699" s="73"/>
      <c r="BA699" s="72">
        <v>121412.65323345516</v>
      </c>
      <c r="BB699" s="72">
        <v>0</v>
      </c>
      <c r="BC699" s="73"/>
      <c r="BD699" s="74">
        <v>-335.40528341668715</v>
      </c>
      <c r="BE699" s="74">
        <v>0</v>
      </c>
      <c r="BF699" s="73"/>
      <c r="BG699" s="72">
        <v>244348.78786323397</v>
      </c>
      <c r="BH699" s="72">
        <v>0</v>
      </c>
      <c r="BI699" s="73"/>
      <c r="BJ699" s="74">
        <v>-831.41842752462151</v>
      </c>
      <c r="BK699" s="74">
        <v>0</v>
      </c>
      <c r="BL699" s="73"/>
      <c r="BM699" s="72">
        <v>35732783.942692108</v>
      </c>
      <c r="BN699" s="72">
        <v>0</v>
      </c>
      <c r="BO699" s="73"/>
      <c r="BP699" s="74">
        <v>-5877.837585459506</v>
      </c>
      <c r="BQ699" s="74">
        <v>0</v>
      </c>
      <c r="BS699" s="109">
        <f t="shared" si="264"/>
        <v>116876.161135238</v>
      </c>
      <c r="BT699" s="109">
        <f t="shared" si="265"/>
        <v>117284.5137194173</v>
      </c>
      <c r="BV699" s="58">
        <f t="array" ref="BV699">SUM(IF(BS699:BT699&gt;=BS699, 1))</f>
        <v>2</v>
      </c>
      <c r="BW699" s="58">
        <f t="array" ref="BW699">SUM(IF(BS699:BT699&gt;=BT699, 1))</f>
        <v>1</v>
      </c>
      <c r="BY699" s="109">
        <f t="shared" si="266"/>
        <v>134547.41015586263</v>
      </c>
      <c r="BZ699" s="109">
        <f t="shared" si="267"/>
        <v>134908.01239070462</v>
      </c>
      <c r="CB699" s="58">
        <f t="array" ref="CB699">SUM(IF(BY699:BZ699&gt;=BY699, 1))</f>
        <v>2</v>
      </c>
      <c r="CC699" s="58">
        <f t="array" ref="CC699">SUM(IF(BY699:BZ699&gt;=BZ699, 1))</f>
        <v>1</v>
      </c>
      <c r="CE699" s="109">
        <f t="shared" si="268"/>
        <v>94713.51930292169</v>
      </c>
      <c r="CF699" s="109">
        <f t="shared" si="269"/>
        <v>98289.556083259071</v>
      </c>
      <c r="CH699" s="58">
        <f t="array" ref="CH699">SUM(IF(CE699:CF699&gt;=CE699, 1))</f>
        <v>2</v>
      </c>
      <c r="CI699" s="58">
        <f t="array" ref="CI699">SUM(IF(CE699:CF699&gt;=CF699, 1))</f>
        <v>1</v>
      </c>
      <c r="CK699" s="109">
        <f t="shared" si="270"/>
        <v>48836.014061013542</v>
      </c>
      <c r="CL699" s="109">
        <f t="shared" si="271"/>
        <v>49624.077278195226</v>
      </c>
      <c r="CN699" s="58">
        <f t="array" ref="CN699">SUM(IF(CK699:CL699&gt;=CK699, 1))</f>
        <v>2</v>
      </c>
      <c r="CO699" s="58">
        <f t="array" ref="CO699">SUM(IF(CK699:CL699&gt;=CL699, 1))</f>
        <v>1</v>
      </c>
      <c r="CQ699" s="109" cm="1">
        <f t="array" ref="CQ699">AF699*WTP-AC699</f>
        <v>25262.528275957098</v>
      </c>
      <c r="CR699" s="109">
        <f t="shared" si="272"/>
        <v>26348.304418456195</v>
      </c>
      <c r="CT699" s="58">
        <f t="array" ref="CT699">SUM(IF(CQ699:CR699&gt;=CQ699, 1))</f>
        <v>2</v>
      </c>
      <c r="CU699" s="58">
        <f t="array" ref="CU699">SUM(IF(CQ699:CR699&gt;=CR699, 1))</f>
        <v>1</v>
      </c>
      <c r="CW699" s="109">
        <f t="shared" si="273"/>
        <v>-43130585.381598093</v>
      </c>
      <c r="CX699" s="109">
        <f t="shared" si="274"/>
        <v>0</v>
      </c>
      <c r="CZ699" s="58">
        <f t="array" ref="CZ699">SUM(IF(CW699:CX699&gt;=CW699, 1))</f>
        <v>2</v>
      </c>
      <c r="DA699" s="58">
        <f t="array" ref="DA699">SUM(IF(CW699:CX699&gt;=CX699, 1))</f>
        <v>1</v>
      </c>
      <c r="DC699" s="109">
        <f t="shared" si="275"/>
        <v>-2529093.1743746903</v>
      </c>
      <c r="DD699" s="109">
        <f t="shared" si="276"/>
        <v>0</v>
      </c>
      <c r="DF699" s="58">
        <f t="array" ref="DF699">SUM(IF(DC699:DD699&gt;=DC699, 1))</f>
        <v>2</v>
      </c>
      <c r="DG699" s="58">
        <f t="array" ref="DG699">SUM(IF(DC699:DD699&gt;=DD699, 1))</f>
        <v>1</v>
      </c>
      <c r="DI699" s="109">
        <f t="shared" si="277"/>
        <v>-83927621.435986578</v>
      </c>
      <c r="DJ699" s="109">
        <f t="shared" si="278"/>
        <v>0</v>
      </c>
      <c r="DL699" s="58">
        <f t="array" ref="DL699">SUM(IF(DI699:DJ699&gt;=DI699, 1))</f>
        <v>2</v>
      </c>
      <c r="DM699" s="58">
        <f t="array" ref="DM699">SUM(IF(DI699:DJ699&gt;=DJ699, 1))</f>
        <v>1</v>
      </c>
      <c r="DO699" s="109">
        <f t="shared" si="279"/>
        <v>-6829518.3215671983</v>
      </c>
      <c r="DP699" s="109">
        <f t="shared" si="280"/>
        <v>0</v>
      </c>
      <c r="DR699" s="58">
        <f t="array" ref="DR699">SUM(IF(DO699:DP699&gt;=DO699, 1))</f>
        <v>2</v>
      </c>
      <c r="DS699" s="58">
        <f t="array" ref="DS699">SUM(IF(DO699:DP699&gt;=DP699, 1))</f>
        <v>1</v>
      </c>
      <c r="DU699" s="109">
        <f t="shared" si="281"/>
        <v>-16872717.338355664</v>
      </c>
      <c r="DV699" s="109">
        <f t="shared" si="282"/>
        <v>0</v>
      </c>
      <c r="DX699" s="58">
        <f t="array" ref="DX699">SUM(IF(DU699:DV699&gt;=DU699, 1))</f>
        <v>2</v>
      </c>
      <c r="DY699" s="58">
        <f t="array" ref="DY699">SUM(IF(DU699:DV699&gt;=DV699, 1))</f>
        <v>1</v>
      </c>
      <c r="EA699" s="109">
        <f t="shared" si="283"/>
        <v>-153289535.65188223</v>
      </c>
      <c r="EB699" s="109">
        <f t="shared" si="284"/>
        <v>0</v>
      </c>
      <c r="ED699" s="58">
        <f t="array" ref="ED699">SUM(IF(EA699:EB699&gt;=EA699, 1))</f>
        <v>2</v>
      </c>
      <c r="EE699" s="58">
        <f t="array" ref="EE699">SUM(IF(EA699:EB699&gt;=EB699, 1))</f>
        <v>1</v>
      </c>
    </row>
    <row r="700" spans="4:135" ht="12" customHeight="1" x14ac:dyDescent="0.25">
      <c r="D700" s="11">
        <v>684</v>
      </c>
      <c r="E700" s="72">
        <v>226.74889892345919</v>
      </c>
      <c r="F700" s="72">
        <v>206.67261144784246</v>
      </c>
      <c r="G700" s="73"/>
      <c r="H700" s="74">
        <v>5.813650828248071</v>
      </c>
      <c r="I700" s="74">
        <v>5.8346144599633574</v>
      </c>
      <c r="J700" s="73"/>
      <c r="K700" s="72">
        <v>243.44374950509518</v>
      </c>
      <c r="L700" s="72">
        <v>222.88011037051226</v>
      </c>
      <c r="M700" s="73"/>
      <c r="N700" s="74">
        <v>6.6711002825788599</v>
      </c>
      <c r="O700" s="74">
        <v>6.6899755959733485</v>
      </c>
      <c r="P700" s="73"/>
      <c r="Q700" s="72">
        <v>3599.62138859787</v>
      </c>
      <c r="R700" s="72">
        <v>1895.7214963303361</v>
      </c>
      <c r="S700" s="73"/>
      <c r="T700" s="74">
        <v>4.7669094206793972</v>
      </c>
      <c r="U700" s="74">
        <v>4.8675410933882119</v>
      </c>
      <c r="V700" s="73"/>
      <c r="W700" s="72">
        <v>14270.978645671012</v>
      </c>
      <c r="X700" s="72">
        <v>14249.447279970875</v>
      </c>
      <c r="Y700" s="73"/>
      <c r="Z700" s="74">
        <v>2.9053103939969924</v>
      </c>
      <c r="AA700" s="74">
        <v>2.9464488226995669</v>
      </c>
      <c r="AB700" s="73"/>
      <c r="AC700" s="72">
        <v>51058.017706869876</v>
      </c>
      <c r="AD700" s="72">
        <v>50881.498434224006</v>
      </c>
      <c r="AE700" s="73"/>
      <c r="AF700" s="74">
        <v>4.5522860088480988</v>
      </c>
      <c r="AG700" s="74">
        <v>4.6534247644850781</v>
      </c>
      <c r="AH700" s="73"/>
      <c r="AI700" s="72">
        <v>2164605.2435977445</v>
      </c>
      <c r="AJ700" s="72">
        <v>0</v>
      </c>
      <c r="AK700" s="73"/>
      <c r="AL700" s="74">
        <v>-2260.277812363157</v>
      </c>
      <c r="AM700" s="74">
        <v>0</v>
      </c>
      <c r="AN700" s="73"/>
      <c r="AO700" s="72">
        <v>142817.71558996054</v>
      </c>
      <c r="AP700" s="72">
        <v>0</v>
      </c>
      <c r="AQ700" s="73"/>
      <c r="AR700" s="74">
        <v>-131.09202716516714</v>
      </c>
      <c r="AS700" s="74">
        <v>0</v>
      </c>
      <c r="AT700" s="73"/>
      <c r="AU700" s="72">
        <v>39472640.889665149</v>
      </c>
      <c r="AV700" s="72">
        <v>0</v>
      </c>
      <c r="AW700" s="73"/>
      <c r="AX700" s="74">
        <v>-2331.2389988329655</v>
      </c>
      <c r="AY700" s="74">
        <v>0</v>
      </c>
      <c r="AZ700" s="73"/>
      <c r="BA700" s="72">
        <v>190366.94060616841</v>
      </c>
      <c r="BB700" s="72">
        <v>0</v>
      </c>
      <c r="BC700" s="73"/>
      <c r="BD700" s="74">
        <v>-363.72039389049263</v>
      </c>
      <c r="BE700" s="74">
        <v>0</v>
      </c>
      <c r="BF700" s="73"/>
      <c r="BG700" s="72">
        <v>2746493.0396526372</v>
      </c>
      <c r="BH700" s="72">
        <v>0</v>
      </c>
      <c r="BI700" s="73"/>
      <c r="BJ700" s="74">
        <v>-1573.634902480956</v>
      </c>
      <c r="BK700" s="74">
        <v>0</v>
      </c>
      <c r="BL700" s="73"/>
      <c r="BM700" s="72">
        <v>44716923.829111665</v>
      </c>
      <c r="BN700" s="72">
        <v>0</v>
      </c>
      <c r="BO700" s="73"/>
      <c r="BP700" s="74">
        <v>-6659.9641347327379</v>
      </c>
      <c r="BQ700" s="74">
        <v>0</v>
      </c>
      <c r="BS700" s="109">
        <f t="shared" si="264"/>
        <v>116046.26766603797</v>
      </c>
      <c r="BT700" s="109">
        <f t="shared" si="265"/>
        <v>116485.61658781931</v>
      </c>
      <c r="BV700" s="58">
        <f t="array" ref="BV700">SUM(IF(BS700:BT700&gt;=BS700, 1))</f>
        <v>2</v>
      </c>
      <c r="BW700" s="58">
        <f t="array" ref="BW700">SUM(IF(BS700:BT700&gt;=BT700, 1))</f>
        <v>1</v>
      </c>
      <c r="BY700" s="109">
        <f t="shared" si="266"/>
        <v>133178.56190207211</v>
      </c>
      <c r="BZ700" s="109">
        <f t="shared" si="267"/>
        <v>133576.63180909646</v>
      </c>
      <c r="CB700" s="58">
        <f t="array" ref="CB700">SUM(IF(BY700:BZ700&gt;=BY700, 1))</f>
        <v>2</v>
      </c>
      <c r="CC700" s="58">
        <f t="array" ref="CC700">SUM(IF(BY700:BZ700&gt;=BZ700, 1))</f>
        <v>1</v>
      </c>
      <c r="CE700" s="109">
        <f t="shared" si="268"/>
        <v>91738.567024990072</v>
      </c>
      <c r="CF700" s="109">
        <f t="shared" si="269"/>
        <v>95455.100371433902</v>
      </c>
      <c r="CH700" s="58">
        <f t="array" ref="CH700">SUM(IF(CE700:CF700&gt;=CE700, 1))</f>
        <v>2</v>
      </c>
      <c r="CI700" s="58">
        <f t="array" ref="CI700">SUM(IF(CE700:CF700&gt;=CF700, 1))</f>
        <v>1</v>
      </c>
      <c r="CK700" s="109">
        <f t="shared" si="270"/>
        <v>43835.229234268838</v>
      </c>
      <c r="CL700" s="109">
        <f t="shared" si="271"/>
        <v>44679.529174020463</v>
      </c>
      <c r="CN700" s="58">
        <f t="array" ref="CN700">SUM(IF(CK700:CL700&gt;=CK700, 1))</f>
        <v>2</v>
      </c>
      <c r="CO700" s="58">
        <f t="array" ref="CO700">SUM(IF(CK700:CL700&gt;=CL700, 1))</f>
        <v>1</v>
      </c>
      <c r="CQ700" s="109" cm="1">
        <f t="array" ref="CQ700">AF700*WTP-AC700</f>
        <v>39987.702470092096</v>
      </c>
      <c r="CR700" s="109">
        <f t="shared" si="272"/>
        <v>42186.996855477555</v>
      </c>
      <c r="CT700" s="58">
        <f t="array" ref="CT700">SUM(IF(CQ700:CR700&gt;=CQ700, 1))</f>
        <v>2</v>
      </c>
      <c r="CU700" s="58">
        <f t="array" ref="CU700">SUM(IF(CQ700:CR700&gt;=CR700, 1))</f>
        <v>1</v>
      </c>
      <c r="CW700" s="109">
        <f t="shared" si="273"/>
        <v>-47370161.490860887</v>
      </c>
      <c r="CX700" s="109">
        <f t="shared" si="274"/>
        <v>0</v>
      </c>
      <c r="CZ700" s="58">
        <f t="array" ref="CZ700">SUM(IF(CW700:CX700&gt;=CW700, 1))</f>
        <v>2</v>
      </c>
      <c r="DA700" s="58">
        <f t="array" ref="DA700">SUM(IF(CW700:CX700&gt;=CX700, 1))</f>
        <v>1</v>
      </c>
      <c r="DC700" s="109">
        <f t="shared" si="275"/>
        <v>-2764658.2588933036</v>
      </c>
      <c r="DD700" s="109">
        <f t="shared" si="276"/>
        <v>0</v>
      </c>
      <c r="DF700" s="58">
        <f t="array" ref="DF700">SUM(IF(DC700:DD700&gt;=DC700, 1))</f>
        <v>2</v>
      </c>
      <c r="DG700" s="58">
        <f t="array" ref="DG700">SUM(IF(DC700:DD700&gt;=DD700, 1))</f>
        <v>1</v>
      </c>
      <c r="DI700" s="109">
        <f t="shared" si="277"/>
        <v>-86097420.866324455</v>
      </c>
      <c r="DJ700" s="109">
        <f t="shared" si="278"/>
        <v>0</v>
      </c>
      <c r="DL700" s="58">
        <f t="array" ref="DL700">SUM(IF(DI700:DJ700&gt;=DI700, 1))</f>
        <v>2</v>
      </c>
      <c r="DM700" s="58">
        <f t="array" ref="DM700">SUM(IF(DI700:DJ700&gt;=DJ700, 1))</f>
        <v>1</v>
      </c>
      <c r="DO700" s="109">
        <f t="shared" si="279"/>
        <v>-7464774.8184160208</v>
      </c>
      <c r="DP700" s="109">
        <f t="shared" si="280"/>
        <v>0</v>
      </c>
      <c r="DR700" s="58">
        <f t="array" ref="DR700">SUM(IF(DO700:DP700&gt;=DO700, 1))</f>
        <v>2</v>
      </c>
      <c r="DS700" s="58">
        <f t="array" ref="DS700">SUM(IF(DO700:DP700&gt;=DP700, 1))</f>
        <v>1</v>
      </c>
      <c r="DU700" s="109">
        <f t="shared" si="281"/>
        <v>-34219191.089271754</v>
      </c>
      <c r="DV700" s="109">
        <f t="shared" si="282"/>
        <v>0</v>
      </c>
      <c r="DX700" s="58">
        <f t="array" ref="DX700">SUM(IF(DU700:DV700&gt;=DU700, 1))</f>
        <v>2</v>
      </c>
      <c r="DY700" s="58">
        <f t="array" ref="DY700">SUM(IF(DU700:DV700&gt;=DV700, 1))</f>
        <v>1</v>
      </c>
      <c r="EA700" s="109">
        <f t="shared" si="283"/>
        <v>-177916206.52376643</v>
      </c>
      <c r="EB700" s="109">
        <f t="shared" si="284"/>
        <v>0</v>
      </c>
      <c r="ED700" s="58">
        <f t="array" ref="ED700">SUM(IF(EA700:EB700&gt;=EA700, 1))</f>
        <v>2</v>
      </c>
      <c r="EE700" s="58">
        <f t="array" ref="EE700">SUM(IF(EA700:EB700&gt;=EB700, 1))</f>
        <v>1</v>
      </c>
    </row>
    <row r="701" spans="4:135" ht="12" customHeight="1" x14ac:dyDescent="0.25">
      <c r="D701" s="11">
        <v>685</v>
      </c>
      <c r="E701" s="72">
        <v>191.1131134993814</v>
      </c>
      <c r="F701" s="72">
        <v>173.39790588197718</v>
      </c>
      <c r="G701" s="73"/>
      <c r="H701" s="74">
        <v>5.8426331723993732</v>
      </c>
      <c r="I701" s="74">
        <v>5.8615477745185558</v>
      </c>
      <c r="J701" s="73"/>
      <c r="K701" s="72">
        <v>205.12140570298322</v>
      </c>
      <c r="L701" s="72">
        <v>186.97573180895083</v>
      </c>
      <c r="M701" s="73"/>
      <c r="N701" s="74">
        <v>6.6773265423691308</v>
      </c>
      <c r="O701" s="74">
        <v>6.6938661181039345</v>
      </c>
      <c r="P701" s="73"/>
      <c r="Q701" s="72">
        <v>2620.708066941384</v>
      </c>
      <c r="R701" s="72">
        <v>1392.8961635064038</v>
      </c>
      <c r="S701" s="73"/>
      <c r="T701" s="74">
        <v>4.9233909212302409</v>
      </c>
      <c r="U701" s="74">
        <v>5.0243758539186363</v>
      </c>
      <c r="V701" s="73"/>
      <c r="W701" s="72">
        <v>15004.975307118884</v>
      </c>
      <c r="X701" s="72">
        <v>14941.220790955986</v>
      </c>
      <c r="Y701" s="73"/>
      <c r="Z701" s="74">
        <v>2.928784508293186</v>
      </c>
      <c r="AA701" s="74">
        <v>2.9567562945947685</v>
      </c>
      <c r="AB701" s="73"/>
      <c r="AC701" s="72">
        <v>48939.126101496979</v>
      </c>
      <c r="AD701" s="72">
        <v>48882.810366642734</v>
      </c>
      <c r="AE701" s="73"/>
      <c r="AF701" s="74">
        <v>4.4750120897962766</v>
      </c>
      <c r="AG701" s="74">
        <v>4.5949917509603724</v>
      </c>
      <c r="AH701" s="73"/>
      <c r="AI701" s="72">
        <v>1938991.6474994731</v>
      </c>
      <c r="AJ701" s="72">
        <v>0</v>
      </c>
      <c r="AK701" s="73"/>
      <c r="AL701" s="74">
        <v>-2070.2695851466901</v>
      </c>
      <c r="AM701" s="74">
        <v>0</v>
      </c>
      <c r="AN701" s="73"/>
      <c r="AO701" s="72">
        <v>123268.72156277421</v>
      </c>
      <c r="AP701" s="72">
        <v>0</v>
      </c>
      <c r="AQ701" s="73"/>
      <c r="AR701" s="74">
        <v>-112.35804015470822</v>
      </c>
      <c r="AS701" s="74">
        <v>0</v>
      </c>
      <c r="AT701" s="73"/>
      <c r="AU701" s="72">
        <v>28721717.792118546</v>
      </c>
      <c r="AV701" s="72">
        <v>0</v>
      </c>
      <c r="AW701" s="73"/>
      <c r="AX701" s="74">
        <v>-2362.3005525664994</v>
      </c>
      <c r="AY701" s="74">
        <v>0</v>
      </c>
      <c r="AZ701" s="73"/>
      <c r="BA701" s="72">
        <v>560692.25976901886</v>
      </c>
      <c r="BB701" s="72">
        <v>0</v>
      </c>
      <c r="BC701" s="73"/>
      <c r="BD701" s="74">
        <v>-245.99926428956684</v>
      </c>
      <c r="BE701" s="74">
        <v>0</v>
      </c>
      <c r="BF701" s="73"/>
      <c r="BG701" s="72">
        <v>885385.39756535226</v>
      </c>
      <c r="BH701" s="72">
        <v>0</v>
      </c>
      <c r="BI701" s="73"/>
      <c r="BJ701" s="74">
        <v>-1886.2976799373641</v>
      </c>
      <c r="BK701" s="74">
        <v>0</v>
      </c>
      <c r="BL701" s="73"/>
      <c r="BM701" s="72">
        <v>32230055.818515167</v>
      </c>
      <c r="BN701" s="72">
        <v>0</v>
      </c>
      <c r="BO701" s="73"/>
      <c r="BP701" s="74">
        <v>-6677.2251220948292</v>
      </c>
      <c r="BQ701" s="74">
        <v>0</v>
      </c>
      <c r="BS701" s="109">
        <f t="shared" si="264"/>
        <v>116661.55033448809</v>
      </c>
      <c r="BT701" s="109">
        <f t="shared" si="265"/>
        <v>117057.55758448913</v>
      </c>
      <c r="BV701" s="58">
        <f t="array" ref="BV701">SUM(IF(BS701:BT701&gt;=BS701, 1))</f>
        <v>2</v>
      </c>
      <c r="BW701" s="58">
        <f t="array" ref="BW701">SUM(IF(BS701:BT701&gt;=BT701, 1))</f>
        <v>1</v>
      </c>
      <c r="BY701" s="109">
        <f t="shared" si="266"/>
        <v>133341.40944167963</v>
      </c>
      <c r="BZ701" s="109">
        <f t="shared" si="267"/>
        <v>133690.34663026975</v>
      </c>
      <c r="CB701" s="58">
        <f t="array" ref="CB701">SUM(IF(BY701:BZ701&gt;=BY701, 1))</f>
        <v>2</v>
      </c>
      <c r="CC701" s="58">
        <f t="array" ref="CC701">SUM(IF(BY701:BZ701&gt;=BZ701, 1))</f>
        <v>1</v>
      </c>
      <c r="CE701" s="109">
        <f t="shared" si="268"/>
        <v>95847.110357663434</v>
      </c>
      <c r="CF701" s="109">
        <f t="shared" si="269"/>
        <v>99094.620914866318</v>
      </c>
      <c r="CH701" s="58">
        <f t="array" ref="CH701">SUM(IF(CE701:CF701&gt;=CE701, 1))</f>
        <v>2</v>
      </c>
      <c r="CI701" s="58">
        <f t="array" ref="CI701">SUM(IF(CE701:CF701&gt;=CF701, 1))</f>
        <v>1</v>
      </c>
      <c r="CK701" s="109">
        <f t="shared" si="270"/>
        <v>43570.714858744839</v>
      </c>
      <c r="CL701" s="109">
        <f t="shared" si="271"/>
        <v>44193.905100939381</v>
      </c>
      <c r="CN701" s="58">
        <f t="array" ref="CN701">SUM(IF(CK701:CL701&gt;=CK701, 1))</f>
        <v>2</v>
      </c>
      <c r="CO701" s="58">
        <f t="array" ref="CO701">SUM(IF(CK701:CL701&gt;=CL701, 1))</f>
        <v>1</v>
      </c>
      <c r="CQ701" s="109" cm="1">
        <f t="array" ref="CQ701">AF701*WTP-AC701</f>
        <v>40561.115694428547</v>
      </c>
      <c r="CR701" s="109">
        <f t="shared" si="272"/>
        <v>43017.024652564709</v>
      </c>
      <c r="CT701" s="58">
        <f t="array" ref="CT701">SUM(IF(CQ701:CR701&gt;=CQ701, 1))</f>
        <v>2</v>
      </c>
      <c r="CU701" s="58">
        <f t="array" ref="CU701">SUM(IF(CQ701:CR701&gt;=CR701, 1))</f>
        <v>1</v>
      </c>
      <c r="CW701" s="109">
        <f t="shared" si="273"/>
        <v>-43344383.350433275</v>
      </c>
      <c r="CX701" s="109">
        <f t="shared" si="274"/>
        <v>0</v>
      </c>
      <c r="CZ701" s="58">
        <f t="array" ref="CZ701">SUM(IF(CW701:CX701&gt;=CW701, 1))</f>
        <v>2</v>
      </c>
      <c r="DA701" s="58">
        <f t="array" ref="DA701">SUM(IF(CW701:CX701&gt;=CX701, 1))</f>
        <v>1</v>
      </c>
      <c r="DC701" s="109">
        <f t="shared" si="275"/>
        <v>-2370429.5246569389</v>
      </c>
      <c r="DD701" s="109">
        <f t="shared" si="276"/>
        <v>0</v>
      </c>
      <c r="DF701" s="58">
        <f t="array" ref="DF701">SUM(IF(DC701:DD701&gt;=DC701, 1))</f>
        <v>2</v>
      </c>
      <c r="DG701" s="58">
        <f t="array" ref="DG701">SUM(IF(DC701:DD701&gt;=DD701, 1))</f>
        <v>1</v>
      </c>
      <c r="DI701" s="109">
        <f t="shared" si="277"/>
        <v>-75967728.843448535</v>
      </c>
      <c r="DJ701" s="109">
        <f t="shared" si="278"/>
        <v>0</v>
      </c>
      <c r="DL701" s="58">
        <f t="array" ref="DL701">SUM(IF(DI701:DJ701&gt;=DI701, 1))</f>
        <v>2</v>
      </c>
      <c r="DM701" s="58">
        <f t="array" ref="DM701">SUM(IF(DI701:DJ701&gt;=DJ701, 1))</f>
        <v>1</v>
      </c>
      <c r="DO701" s="109">
        <f t="shared" si="279"/>
        <v>-5480677.5455603553</v>
      </c>
      <c r="DP701" s="109">
        <f t="shared" si="280"/>
        <v>0</v>
      </c>
      <c r="DR701" s="58">
        <f t="array" ref="DR701">SUM(IF(DO701:DP701&gt;=DO701, 1))</f>
        <v>2</v>
      </c>
      <c r="DS701" s="58">
        <f t="array" ref="DS701">SUM(IF(DO701:DP701&gt;=DP701, 1))</f>
        <v>1</v>
      </c>
      <c r="DU701" s="109">
        <f t="shared" si="281"/>
        <v>-38611338.996312633</v>
      </c>
      <c r="DV701" s="109">
        <f t="shared" si="282"/>
        <v>0</v>
      </c>
      <c r="DX701" s="58">
        <f t="array" ref="DX701">SUM(IF(DU701:DV701&gt;=DU701, 1))</f>
        <v>2</v>
      </c>
      <c r="DY701" s="58">
        <f t="array" ref="DY701">SUM(IF(DU701:DV701&gt;=DV701, 1))</f>
        <v>1</v>
      </c>
      <c r="EA701" s="109">
        <f t="shared" si="283"/>
        <v>-165774558.26041174</v>
      </c>
      <c r="EB701" s="109">
        <f t="shared" si="284"/>
        <v>0</v>
      </c>
      <c r="ED701" s="58">
        <f t="array" ref="ED701">SUM(IF(EA701:EB701&gt;=EA701, 1))</f>
        <v>2</v>
      </c>
      <c r="EE701" s="58">
        <f t="array" ref="EE701">SUM(IF(EA701:EB701&gt;=EB701, 1))</f>
        <v>1</v>
      </c>
    </row>
    <row r="702" spans="4:135" ht="12" customHeight="1" x14ac:dyDescent="0.25">
      <c r="D702" s="11">
        <v>686</v>
      </c>
      <c r="E702" s="72">
        <v>250.45433758011265</v>
      </c>
      <c r="F702" s="72">
        <v>226.42228096448667</v>
      </c>
      <c r="G702" s="73"/>
      <c r="H702" s="74">
        <v>5.8683360517429524</v>
      </c>
      <c r="I702" s="74">
        <v>5.8839389253330978</v>
      </c>
      <c r="J702" s="73"/>
      <c r="K702" s="72">
        <v>268.71707962040171</v>
      </c>
      <c r="L702" s="72">
        <v>244.09691365749217</v>
      </c>
      <c r="M702" s="73"/>
      <c r="N702" s="74">
        <v>6.6633780553139248</v>
      </c>
      <c r="O702" s="74">
        <v>6.6769422585760898</v>
      </c>
      <c r="P702" s="73"/>
      <c r="Q702" s="72">
        <v>3715.406998197011</v>
      </c>
      <c r="R702" s="72">
        <v>1650.1918109853661</v>
      </c>
      <c r="S702" s="73"/>
      <c r="T702" s="74">
        <v>4.8807153481989269</v>
      </c>
      <c r="U702" s="74">
        <v>5.0201684873901264</v>
      </c>
      <c r="V702" s="73"/>
      <c r="W702" s="72">
        <v>9080.5166422139391</v>
      </c>
      <c r="X702" s="72">
        <v>9032.1757356542057</v>
      </c>
      <c r="Y702" s="73"/>
      <c r="Z702" s="74">
        <v>3.0347933934461282</v>
      </c>
      <c r="AA702" s="74">
        <v>3.0778445863925121</v>
      </c>
      <c r="AB702" s="73"/>
      <c r="AC702" s="72">
        <v>50621.927933283871</v>
      </c>
      <c r="AD702" s="72">
        <v>50696.197634163822</v>
      </c>
      <c r="AE702" s="73"/>
      <c r="AF702" s="74">
        <v>4.4479435341890987</v>
      </c>
      <c r="AG702" s="74">
        <v>4.5504766610485383</v>
      </c>
      <c r="AH702" s="73"/>
      <c r="AI702" s="72">
        <v>2593847.1905225758</v>
      </c>
      <c r="AJ702" s="72">
        <v>0</v>
      </c>
      <c r="AK702" s="73"/>
      <c r="AL702" s="74">
        <v>-1684.0618542635489</v>
      </c>
      <c r="AM702" s="74">
        <v>0</v>
      </c>
      <c r="AN702" s="73"/>
      <c r="AO702" s="72">
        <v>170987.69411906687</v>
      </c>
      <c r="AP702" s="72">
        <v>0</v>
      </c>
      <c r="AQ702" s="73"/>
      <c r="AR702" s="74">
        <v>-94.203745086608265</v>
      </c>
      <c r="AS702" s="74">
        <v>0</v>
      </c>
      <c r="AT702" s="73"/>
      <c r="AU702" s="72">
        <v>48117943.011665829</v>
      </c>
      <c r="AV702" s="72">
        <v>0</v>
      </c>
      <c r="AW702" s="73"/>
      <c r="AX702" s="74">
        <v>-3249.1520718767474</v>
      </c>
      <c r="AY702" s="74">
        <v>0</v>
      </c>
      <c r="AZ702" s="73"/>
      <c r="BA702" s="72">
        <v>425373.28529845836</v>
      </c>
      <c r="BB702" s="72">
        <v>0</v>
      </c>
      <c r="BC702" s="73"/>
      <c r="BD702" s="74">
        <v>-378.8267263253025</v>
      </c>
      <c r="BE702" s="74">
        <v>0</v>
      </c>
      <c r="BF702" s="73"/>
      <c r="BG702" s="72">
        <v>-1140362.6639882342</v>
      </c>
      <c r="BH702" s="72">
        <v>0</v>
      </c>
      <c r="BI702" s="73"/>
      <c r="BJ702" s="74">
        <v>-1574.3290777684711</v>
      </c>
      <c r="BK702" s="74">
        <v>0</v>
      </c>
      <c r="BL702" s="73"/>
      <c r="BM702" s="72">
        <v>50167788.517617695</v>
      </c>
      <c r="BN702" s="72">
        <v>0</v>
      </c>
      <c r="BO702" s="73"/>
      <c r="BP702" s="74">
        <v>-6980.573475320678</v>
      </c>
      <c r="BQ702" s="74">
        <v>0</v>
      </c>
      <c r="BS702" s="109">
        <f t="shared" si="264"/>
        <v>117116.26669727893</v>
      </c>
      <c r="BT702" s="109">
        <f t="shared" si="265"/>
        <v>117452.35622569747</v>
      </c>
      <c r="BV702" s="58">
        <f t="array" ref="BV702">SUM(IF(BS702:BT702&gt;=BS702, 1))</f>
        <v>2</v>
      </c>
      <c r="BW702" s="58">
        <f t="array" ref="BW702">SUM(IF(BS702:BT702&gt;=BT702, 1))</f>
        <v>1</v>
      </c>
      <c r="BY702" s="109">
        <f t="shared" si="266"/>
        <v>132998.8440266581</v>
      </c>
      <c r="BZ702" s="109">
        <f t="shared" si="267"/>
        <v>133294.7482578643</v>
      </c>
      <c r="CB702" s="58">
        <f t="array" ref="CB702">SUM(IF(BY702:BZ702&gt;=BY702, 1))</f>
        <v>2</v>
      </c>
      <c r="CC702" s="58">
        <f t="array" ref="CC702">SUM(IF(BY702:BZ702&gt;=BZ702, 1))</f>
        <v>1</v>
      </c>
      <c r="CE702" s="109">
        <f t="shared" si="268"/>
        <v>93898.899965781529</v>
      </c>
      <c r="CF702" s="109">
        <f t="shared" si="269"/>
        <v>98753.177936817156</v>
      </c>
      <c r="CH702" s="58">
        <f t="array" ref="CH702">SUM(IF(CE702:CF702&gt;=CE702, 1))</f>
        <v>2</v>
      </c>
      <c r="CI702" s="58">
        <f t="array" ref="CI702">SUM(IF(CE702:CF702&gt;=CF702, 1))</f>
        <v>1</v>
      </c>
      <c r="CK702" s="109">
        <f t="shared" si="270"/>
        <v>51615.351226708626</v>
      </c>
      <c r="CL702" s="109">
        <f t="shared" si="271"/>
        <v>52524.715992196034</v>
      </c>
      <c r="CN702" s="58">
        <f t="array" ref="CN702">SUM(IF(CK702:CL702&gt;=CK702, 1))</f>
        <v>2</v>
      </c>
      <c r="CO702" s="58">
        <f t="array" ref="CO702">SUM(IF(CK702:CL702&gt;=CL702, 1))</f>
        <v>1</v>
      </c>
      <c r="CQ702" s="109" cm="1">
        <f t="array" ref="CQ702">AF702*WTP-AC702</f>
        <v>38336.942750498107</v>
      </c>
      <c r="CR702" s="109">
        <f t="shared" si="272"/>
        <v>40313.335586806948</v>
      </c>
      <c r="CT702" s="58">
        <f t="array" ref="CT702">SUM(IF(CQ702:CR702&gt;=CQ702, 1))</f>
        <v>2</v>
      </c>
      <c r="CU702" s="58">
        <f t="array" ref="CU702">SUM(IF(CQ702:CR702&gt;=CR702, 1))</f>
        <v>1</v>
      </c>
      <c r="CW702" s="109">
        <f t="shared" si="273"/>
        <v>-36275084.275793552</v>
      </c>
      <c r="CX702" s="109">
        <f t="shared" si="274"/>
        <v>0</v>
      </c>
      <c r="CZ702" s="58">
        <f t="array" ref="CZ702">SUM(IF(CW702:CX702&gt;=CW702, 1))</f>
        <v>2</v>
      </c>
      <c r="DA702" s="58">
        <f t="array" ref="DA702">SUM(IF(CW702:CX702&gt;=CX702, 1))</f>
        <v>1</v>
      </c>
      <c r="DC702" s="109">
        <f t="shared" si="275"/>
        <v>-2055062.5958512323</v>
      </c>
      <c r="DD702" s="109">
        <f t="shared" si="276"/>
        <v>0</v>
      </c>
      <c r="DF702" s="58">
        <f t="array" ref="DF702">SUM(IF(DC702:DD702&gt;=DC702, 1))</f>
        <v>2</v>
      </c>
      <c r="DG702" s="58">
        <f t="array" ref="DG702">SUM(IF(DC702:DD702&gt;=DD702, 1))</f>
        <v>1</v>
      </c>
      <c r="DI702" s="109">
        <f t="shared" si="277"/>
        <v>-113100984.44920078</v>
      </c>
      <c r="DJ702" s="109">
        <f t="shared" si="278"/>
        <v>0</v>
      </c>
      <c r="DL702" s="58">
        <f t="array" ref="DL702">SUM(IF(DI702:DJ702&gt;=DI702, 1))</f>
        <v>2</v>
      </c>
      <c r="DM702" s="58">
        <f t="array" ref="DM702">SUM(IF(DI702:DJ702&gt;=DJ702, 1))</f>
        <v>1</v>
      </c>
      <c r="DO702" s="109">
        <f t="shared" si="279"/>
        <v>-8001907.8118045088</v>
      </c>
      <c r="DP702" s="109">
        <f t="shared" si="280"/>
        <v>0</v>
      </c>
      <c r="DR702" s="58">
        <f t="array" ref="DR702">SUM(IF(DO702:DP702&gt;=DO702, 1))</f>
        <v>2</v>
      </c>
      <c r="DS702" s="58">
        <f t="array" ref="DS702">SUM(IF(DO702:DP702&gt;=DP702, 1))</f>
        <v>1</v>
      </c>
      <c r="DU702" s="109">
        <f t="shared" si="281"/>
        <v>-30346218.891381189</v>
      </c>
      <c r="DV702" s="109">
        <f t="shared" si="282"/>
        <v>0</v>
      </c>
      <c r="DX702" s="58">
        <f t="array" ref="DX702">SUM(IF(DU702:DV702&gt;=DU702, 1))</f>
        <v>2</v>
      </c>
      <c r="DY702" s="58">
        <f t="array" ref="DY702">SUM(IF(DU702:DV702&gt;=DV702, 1))</f>
        <v>1</v>
      </c>
      <c r="EA702" s="109">
        <f t="shared" si="283"/>
        <v>-189779258.02403125</v>
      </c>
      <c r="EB702" s="109">
        <f t="shared" si="284"/>
        <v>0</v>
      </c>
      <c r="ED702" s="58">
        <f t="array" ref="ED702">SUM(IF(EA702:EB702&gt;=EA702, 1))</f>
        <v>2</v>
      </c>
      <c r="EE702" s="58">
        <f t="array" ref="EE702">SUM(IF(EA702:EB702&gt;=EB702, 1))</f>
        <v>1</v>
      </c>
    </row>
    <row r="703" spans="4:135" ht="12" customHeight="1" x14ac:dyDescent="0.25">
      <c r="D703" s="11">
        <v>687</v>
      </c>
      <c r="E703" s="72">
        <v>279.50297569011957</v>
      </c>
      <c r="F703" s="72">
        <v>258.93884124320346</v>
      </c>
      <c r="G703" s="73"/>
      <c r="H703" s="74">
        <v>5.796005207889487</v>
      </c>
      <c r="I703" s="74">
        <v>5.8113977671682591</v>
      </c>
      <c r="J703" s="73"/>
      <c r="K703" s="72">
        <v>300.34277045671678</v>
      </c>
      <c r="L703" s="72">
        <v>279.2581438877686</v>
      </c>
      <c r="M703" s="73"/>
      <c r="N703" s="74">
        <v>6.7011779065199111</v>
      </c>
      <c r="O703" s="74">
        <v>6.7139717014871945</v>
      </c>
      <c r="P703" s="73"/>
      <c r="Q703" s="72">
        <v>4476.9786981036386</v>
      </c>
      <c r="R703" s="72">
        <v>1563.3679468766611</v>
      </c>
      <c r="S703" s="73"/>
      <c r="T703" s="74">
        <v>4.6746266382813477</v>
      </c>
      <c r="U703" s="74">
        <v>4.8247224882222373</v>
      </c>
      <c r="V703" s="73"/>
      <c r="W703" s="72">
        <v>10867.120761326014</v>
      </c>
      <c r="X703" s="72">
        <v>10902.437003436014</v>
      </c>
      <c r="Y703" s="73"/>
      <c r="Z703" s="74">
        <v>3.0974432723016152</v>
      </c>
      <c r="AA703" s="74">
        <v>3.1505121490789572</v>
      </c>
      <c r="AB703" s="73"/>
      <c r="AC703" s="72">
        <v>50064.871175019354</v>
      </c>
      <c r="AD703" s="72">
        <v>49718.321999951178</v>
      </c>
      <c r="AE703" s="73"/>
      <c r="AF703" s="74">
        <v>4.324210250797516</v>
      </c>
      <c r="AG703" s="74">
        <v>4.4152707123149773</v>
      </c>
      <c r="AH703" s="73"/>
      <c r="AI703" s="72">
        <v>2209299.7578995442</v>
      </c>
      <c r="AJ703" s="72">
        <v>0</v>
      </c>
      <c r="AK703" s="73"/>
      <c r="AL703" s="74">
        <v>-1653.6935982319078</v>
      </c>
      <c r="AM703" s="74">
        <v>0</v>
      </c>
      <c r="AN703" s="73"/>
      <c r="AO703" s="72">
        <v>152090.19696731496</v>
      </c>
      <c r="AP703" s="72">
        <v>0</v>
      </c>
      <c r="AQ703" s="73"/>
      <c r="AR703" s="74">
        <v>-92.285760441174446</v>
      </c>
      <c r="AS703" s="74">
        <v>0</v>
      </c>
      <c r="AT703" s="73"/>
      <c r="AU703" s="72">
        <v>68234628.289282814</v>
      </c>
      <c r="AV703" s="72">
        <v>0</v>
      </c>
      <c r="AW703" s="73"/>
      <c r="AX703" s="74">
        <v>-3515.1347942300044</v>
      </c>
      <c r="AY703" s="74">
        <v>0</v>
      </c>
      <c r="AZ703" s="73"/>
      <c r="BA703" s="72">
        <v>-304454.23927928391</v>
      </c>
      <c r="BB703" s="72">
        <v>0</v>
      </c>
      <c r="BC703" s="73"/>
      <c r="BD703" s="74">
        <v>-457.49614181279202</v>
      </c>
      <c r="BE703" s="74">
        <v>0</v>
      </c>
      <c r="BF703" s="73"/>
      <c r="BG703" s="72">
        <v>5448629.4110092865</v>
      </c>
      <c r="BH703" s="72">
        <v>0</v>
      </c>
      <c r="BI703" s="73"/>
      <c r="BJ703" s="74">
        <v>-1431.7007354194725</v>
      </c>
      <c r="BK703" s="74">
        <v>0</v>
      </c>
      <c r="BL703" s="73"/>
      <c r="BM703" s="72">
        <v>75740193.415879667</v>
      </c>
      <c r="BN703" s="72">
        <v>0</v>
      </c>
      <c r="BO703" s="73"/>
      <c r="BP703" s="74">
        <v>-7150.3110301353518</v>
      </c>
      <c r="BQ703" s="74">
        <v>0</v>
      </c>
      <c r="BS703" s="109">
        <f t="shared" si="264"/>
        <v>115640.60118209962</v>
      </c>
      <c r="BT703" s="109">
        <f t="shared" si="265"/>
        <v>115969.01650212197</v>
      </c>
      <c r="BV703" s="58">
        <f t="array" ref="BV703">SUM(IF(BS703:BT703&gt;=BS703, 1))</f>
        <v>2</v>
      </c>
      <c r="BW703" s="58">
        <f t="array" ref="BW703">SUM(IF(BS703:BT703&gt;=BT703, 1))</f>
        <v>1</v>
      </c>
      <c r="BY703" s="109">
        <f t="shared" si="266"/>
        <v>133723.2153599415</v>
      </c>
      <c r="BZ703" s="109">
        <f t="shared" si="267"/>
        <v>134000.17588585612</v>
      </c>
      <c r="CB703" s="58">
        <f t="array" ref="CB703">SUM(IF(BY703:BZ703&gt;=BY703, 1))</f>
        <v>2</v>
      </c>
      <c r="CC703" s="58">
        <f t="array" ref="CC703">SUM(IF(BY703:BZ703&gt;=BZ703, 1))</f>
        <v>1</v>
      </c>
      <c r="CE703" s="109">
        <f t="shared" si="268"/>
        <v>89015.554067523306</v>
      </c>
      <c r="CF703" s="109">
        <f t="shared" si="269"/>
        <v>94931.081817568076</v>
      </c>
      <c r="CH703" s="58">
        <f t="array" ref="CH703">SUM(IF(CE703:CF703&gt;=CE703, 1))</f>
        <v>2</v>
      </c>
      <c r="CI703" s="58">
        <f t="array" ref="CI703">SUM(IF(CE703:CF703&gt;=CF703, 1))</f>
        <v>1</v>
      </c>
      <c r="CK703" s="109">
        <f t="shared" si="270"/>
        <v>51081.744684706289</v>
      </c>
      <c r="CL703" s="109">
        <f t="shared" si="271"/>
        <v>52107.805978143122</v>
      </c>
      <c r="CN703" s="58">
        <f t="array" ref="CN703">SUM(IF(CK703:CL703&gt;=CK703, 1))</f>
        <v>2</v>
      </c>
      <c r="CO703" s="58">
        <f t="array" ref="CO703">SUM(IF(CK703:CL703&gt;=CL703, 1))</f>
        <v>1</v>
      </c>
      <c r="CQ703" s="109" cm="1">
        <f t="array" ref="CQ703">AF703*WTP-AC703</f>
        <v>36419.333840930958</v>
      </c>
      <c r="CR703" s="109">
        <f t="shared" si="272"/>
        <v>38587.092246348373</v>
      </c>
      <c r="CT703" s="58">
        <f t="array" ref="CT703">SUM(IF(CQ703:CR703&gt;=CQ703, 1))</f>
        <v>2</v>
      </c>
      <c r="CU703" s="58">
        <f t="array" ref="CU703">SUM(IF(CQ703:CR703&gt;=CR703, 1))</f>
        <v>1</v>
      </c>
      <c r="CW703" s="109">
        <f t="shared" si="273"/>
        <v>-35283171.722537696</v>
      </c>
      <c r="CX703" s="109">
        <f t="shared" si="274"/>
        <v>0</v>
      </c>
      <c r="CZ703" s="58">
        <f t="array" ref="CZ703">SUM(IF(CW703:CX703&gt;=CW703, 1))</f>
        <v>2</v>
      </c>
      <c r="DA703" s="58">
        <f t="array" ref="DA703">SUM(IF(CW703:CX703&gt;=CX703, 1))</f>
        <v>1</v>
      </c>
      <c r="DC703" s="109">
        <f t="shared" si="275"/>
        <v>-1997805.405790804</v>
      </c>
      <c r="DD703" s="109">
        <f t="shared" si="276"/>
        <v>0</v>
      </c>
      <c r="DF703" s="58">
        <f t="array" ref="DF703">SUM(IF(DC703:DD703&gt;=DC703, 1))</f>
        <v>2</v>
      </c>
      <c r="DG703" s="58">
        <f t="array" ref="DG703">SUM(IF(DC703:DD703&gt;=DD703, 1))</f>
        <v>1</v>
      </c>
      <c r="DI703" s="109">
        <f t="shared" si="277"/>
        <v>-138537324.1738829</v>
      </c>
      <c r="DJ703" s="109">
        <f t="shared" si="278"/>
        <v>0</v>
      </c>
      <c r="DL703" s="58">
        <f t="array" ref="DL703">SUM(IF(DI703:DJ703&gt;=DI703, 1))</f>
        <v>2</v>
      </c>
      <c r="DM703" s="58">
        <f t="array" ref="DM703">SUM(IF(DI703:DJ703&gt;=DJ703, 1))</f>
        <v>1</v>
      </c>
      <c r="DO703" s="109">
        <f t="shared" si="279"/>
        <v>-8845468.5969765577</v>
      </c>
      <c r="DP703" s="109">
        <f t="shared" si="280"/>
        <v>0</v>
      </c>
      <c r="DR703" s="58">
        <f t="array" ref="DR703">SUM(IF(DO703:DP703&gt;=DO703, 1))</f>
        <v>2</v>
      </c>
      <c r="DS703" s="58">
        <f t="array" ref="DS703">SUM(IF(DO703:DP703&gt;=DP703, 1))</f>
        <v>1</v>
      </c>
      <c r="DU703" s="109">
        <f t="shared" si="281"/>
        <v>-34082644.119398735</v>
      </c>
      <c r="DV703" s="109">
        <f t="shared" si="282"/>
        <v>0</v>
      </c>
      <c r="DX703" s="58">
        <f t="array" ref="DX703">SUM(IF(DU703:DV703&gt;=DU703, 1))</f>
        <v>2</v>
      </c>
      <c r="DY703" s="58">
        <f t="array" ref="DY703">SUM(IF(DU703:DV703&gt;=DV703, 1))</f>
        <v>1</v>
      </c>
      <c r="EA703" s="109">
        <f t="shared" si="283"/>
        <v>-218746414.0185867</v>
      </c>
      <c r="EB703" s="109">
        <f t="shared" si="284"/>
        <v>0</v>
      </c>
      <c r="ED703" s="58">
        <f t="array" ref="ED703">SUM(IF(EA703:EB703&gt;=EA703, 1))</f>
        <v>2</v>
      </c>
      <c r="EE703" s="58">
        <f t="array" ref="EE703">SUM(IF(EA703:EB703&gt;=EB703, 1))</f>
        <v>1</v>
      </c>
    </row>
    <row r="704" spans="4:135" ht="12" customHeight="1" x14ac:dyDescent="0.25">
      <c r="D704" s="11">
        <v>688</v>
      </c>
      <c r="E704" s="72">
        <v>227.80346147566669</v>
      </c>
      <c r="F704" s="72">
        <v>206.36588611495068</v>
      </c>
      <c r="G704" s="73"/>
      <c r="H704" s="74">
        <v>5.7865210336134432</v>
      </c>
      <c r="I704" s="74">
        <v>5.8043498212084499</v>
      </c>
      <c r="J704" s="73"/>
      <c r="K704" s="72">
        <v>244.50360202337399</v>
      </c>
      <c r="L704" s="72">
        <v>222.55310650189213</v>
      </c>
      <c r="M704" s="73"/>
      <c r="N704" s="74">
        <v>6.6610228921726291</v>
      </c>
      <c r="O704" s="74">
        <v>6.6764551223630972</v>
      </c>
      <c r="P704" s="73"/>
      <c r="Q704" s="72">
        <v>2964.4043138293505</v>
      </c>
      <c r="R704" s="72">
        <v>1714.2859868661913</v>
      </c>
      <c r="S704" s="73"/>
      <c r="T704" s="74">
        <v>4.8759594287134354</v>
      </c>
      <c r="U704" s="74">
        <v>4.9449248825341439</v>
      </c>
      <c r="V704" s="73"/>
      <c r="W704" s="72">
        <v>17705.129335974001</v>
      </c>
      <c r="X704" s="72">
        <v>17660.912394222425</v>
      </c>
      <c r="Y704" s="73"/>
      <c r="Z704" s="74">
        <v>3.0738798546617336</v>
      </c>
      <c r="AA704" s="74">
        <v>3.1262185125751736</v>
      </c>
      <c r="AB704" s="73"/>
      <c r="AC704" s="72">
        <v>50678.522893883186</v>
      </c>
      <c r="AD704" s="72">
        <v>50389.731022017892</v>
      </c>
      <c r="AE704" s="73"/>
      <c r="AF704" s="74">
        <v>4.5960348982163994</v>
      </c>
      <c r="AG704" s="74">
        <v>4.7515893470976156</v>
      </c>
      <c r="AH704" s="73"/>
      <c r="AI704" s="72">
        <v>2316490.6741365083</v>
      </c>
      <c r="AJ704" s="72">
        <v>0</v>
      </c>
      <c r="AK704" s="73"/>
      <c r="AL704" s="74">
        <v>-1926.5341112538167</v>
      </c>
      <c r="AM704" s="74">
        <v>0</v>
      </c>
      <c r="AN704" s="73"/>
      <c r="AO704" s="72">
        <v>146767.80511879598</v>
      </c>
      <c r="AP704" s="72">
        <v>0</v>
      </c>
      <c r="AQ704" s="73"/>
      <c r="AR704" s="74">
        <v>-103.1846661924524</v>
      </c>
      <c r="AS704" s="74">
        <v>0</v>
      </c>
      <c r="AT704" s="73"/>
      <c r="AU704" s="72">
        <v>28833386.058091924</v>
      </c>
      <c r="AV704" s="72">
        <v>0</v>
      </c>
      <c r="AW704" s="73"/>
      <c r="AX704" s="74">
        <v>-1590.6554698022599</v>
      </c>
      <c r="AY704" s="74">
        <v>0</v>
      </c>
      <c r="AZ704" s="73"/>
      <c r="BA704" s="72">
        <v>392241.25880561559</v>
      </c>
      <c r="BB704" s="72">
        <v>0</v>
      </c>
      <c r="BC704" s="73"/>
      <c r="BD704" s="74">
        <v>-464.287674609075</v>
      </c>
      <c r="BE704" s="74">
        <v>0</v>
      </c>
      <c r="BF704" s="73"/>
      <c r="BG704" s="72">
        <v>4463738.6111312499</v>
      </c>
      <c r="BH704" s="72">
        <v>0</v>
      </c>
      <c r="BI704" s="73"/>
      <c r="BJ704" s="74">
        <v>-2404.3419058837117</v>
      </c>
      <c r="BK704" s="74">
        <v>0</v>
      </c>
      <c r="BL704" s="73"/>
      <c r="BM704" s="72">
        <v>36152624.407284088</v>
      </c>
      <c r="BN704" s="72">
        <v>0</v>
      </c>
      <c r="BO704" s="73"/>
      <c r="BP704" s="74">
        <v>-6489.0038277413159</v>
      </c>
      <c r="BQ704" s="74">
        <v>0</v>
      </c>
      <c r="BS704" s="109">
        <f t="shared" si="264"/>
        <v>115502.61721079321</v>
      </c>
      <c r="BT704" s="109">
        <f t="shared" si="265"/>
        <v>115880.63053805406</v>
      </c>
      <c r="BV704" s="58">
        <f t="array" ref="BV704">SUM(IF(BS704:BT704&gt;=BS704, 1))</f>
        <v>2</v>
      </c>
      <c r="BW704" s="58">
        <f t="array" ref="BW704">SUM(IF(BS704:BT704&gt;=BT704, 1))</f>
        <v>1</v>
      </c>
      <c r="BY704" s="109">
        <f t="shared" si="266"/>
        <v>132975.95424142919</v>
      </c>
      <c r="BZ704" s="109">
        <f t="shared" si="267"/>
        <v>133306.54934076004</v>
      </c>
      <c r="CB704" s="58">
        <f t="array" ref="CB704">SUM(IF(BY704:BZ704&gt;=BY704, 1))</f>
        <v>2</v>
      </c>
      <c r="CC704" s="58">
        <f t="array" ref="CC704">SUM(IF(BY704:BZ704&gt;=BZ704, 1))</f>
        <v>1</v>
      </c>
      <c r="CE704" s="109">
        <f t="shared" si="268"/>
        <v>94554.784260439352</v>
      </c>
      <c r="CF704" s="109">
        <f t="shared" si="269"/>
        <v>97184.211663816692</v>
      </c>
      <c r="CH704" s="58">
        <f t="array" ref="CH704">SUM(IF(CE704:CF704&gt;=CE704, 1))</f>
        <v>2</v>
      </c>
      <c r="CI704" s="58">
        <f t="array" ref="CI704">SUM(IF(CE704:CF704&gt;=CF704, 1))</f>
        <v>1</v>
      </c>
      <c r="CK704" s="109">
        <f t="shared" si="270"/>
        <v>43772.467757260674</v>
      </c>
      <c r="CL704" s="109">
        <f t="shared" si="271"/>
        <v>44863.45785728105</v>
      </c>
      <c r="CN704" s="58">
        <f t="array" ref="CN704">SUM(IF(CK704:CL704&gt;=CK704, 1))</f>
        <v>2</v>
      </c>
      <c r="CO704" s="58">
        <f t="array" ref="CO704">SUM(IF(CK704:CL704&gt;=CL704, 1))</f>
        <v>1</v>
      </c>
      <c r="CQ704" s="109" cm="1">
        <f t="array" ref="CQ704">AF704*WTP-AC704</f>
        <v>41242.175070444806</v>
      </c>
      <c r="CR704" s="109">
        <f t="shared" si="272"/>
        <v>44642.055919934413</v>
      </c>
      <c r="CT704" s="58">
        <f t="array" ref="CT704">SUM(IF(CQ704:CR704&gt;=CQ704, 1))</f>
        <v>2</v>
      </c>
      <c r="CU704" s="58">
        <f t="array" ref="CU704">SUM(IF(CQ704:CR704&gt;=CR704, 1))</f>
        <v>1</v>
      </c>
      <c r="CW704" s="109">
        <f t="shared" si="273"/>
        <v>-40847172.899212837</v>
      </c>
      <c r="CX704" s="109">
        <f t="shared" si="274"/>
        <v>0</v>
      </c>
      <c r="CZ704" s="58">
        <f t="array" ref="CZ704">SUM(IF(CW704:CX704&gt;=CW704, 1))</f>
        <v>2</v>
      </c>
      <c r="DA704" s="58">
        <f t="array" ref="DA704">SUM(IF(CW704:CX704&gt;=CX704, 1))</f>
        <v>1</v>
      </c>
      <c r="DC704" s="109">
        <f t="shared" si="275"/>
        <v>-2210461.1289678439</v>
      </c>
      <c r="DD704" s="109">
        <f t="shared" si="276"/>
        <v>0</v>
      </c>
      <c r="DF704" s="58">
        <f t="array" ref="DF704">SUM(IF(DC704:DD704&gt;=DC704, 1))</f>
        <v>2</v>
      </c>
      <c r="DG704" s="58">
        <f t="array" ref="DG704">SUM(IF(DC704:DD704&gt;=DD704, 1))</f>
        <v>1</v>
      </c>
      <c r="DI704" s="109">
        <f t="shared" si="277"/>
        <v>-60646495.454137117</v>
      </c>
      <c r="DJ704" s="109">
        <f t="shared" si="278"/>
        <v>0</v>
      </c>
      <c r="DL704" s="58">
        <f t="array" ref="DL704">SUM(IF(DI704:DJ704&gt;=DI704, 1))</f>
        <v>2</v>
      </c>
      <c r="DM704" s="58">
        <f t="array" ref="DM704">SUM(IF(DI704:DJ704&gt;=DJ704, 1))</f>
        <v>1</v>
      </c>
      <c r="DO704" s="109">
        <f t="shared" si="279"/>
        <v>-9677994.7509871162</v>
      </c>
      <c r="DP704" s="109">
        <f t="shared" si="280"/>
        <v>0</v>
      </c>
      <c r="DR704" s="58">
        <f t="array" ref="DR704">SUM(IF(DO704:DP704&gt;=DO704, 1))</f>
        <v>2</v>
      </c>
      <c r="DS704" s="58">
        <f t="array" ref="DS704">SUM(IF(DO704:DP704&gt;=DP704, 1))</f>
        <v>1</v>
      </c>
      <c r="DU704" s="109">
        <f t="shared" si="281"/>
        <v>-52550576.728805482</v>
      </c>
      <c r="DV704" s="109">
        <f t="shared" si="282"/>
        <v>0</v>
      </c>
      <c r="DX704" s="58">
        <f t="array" ref="DX704">SUM(IF(DU704:DV704&gt;=DU704, 1))</f>
        <v>2</v>
      </c>
      <c r="DY704" s="58">
        <f t="array" ref="DY704">SUM(IF(DU704:DV704&gt;=DV704, 1))</f>
        <v>1</v>
      </c>
      <c r="EA704" s="109">
        <f t="shared" si="283"/>
        <v>-165932700.9621104</v>
      </c>
      <c r="EB704" s="109">
        <f t="shared" si="284"/>
        <v>0</v>
      </c>
      <c r="ED704" s="58">
        <f t="array" ref="ED704">SUM(IF(EA704:EB704&gt;=EA704, 1))</f>
        <v>2</v>
      </c>
      <c r="EE704" s="58">
        <f t="array" ref="EE704">SUM(IF(EA704:EB704&gt;=EB704, 1))</f>
        <v>1</v>
      </c>
    </row>
    <row r="705" spans="4:135" ht="12" customHeight="1" x14ac:dyDescent="0.25">
      <c r="D705" s="11">
        <v>689</v>
      </c>
      <c r="E705" s="72">
        <v>264.67784981542121</v>
      </c>
      <c r="F705" s="72">
        <v>249.69884261181954</v>
      </c>
      <c r="G705" s="73"/>
      <c r="H705" s="74">
        <v>5.8938769950228265</v>
      </c>
      <c r="I705" s="74">
        <v>5.9107810979282425</v>
      </c>
      <c r="J705" s="73"/>
      <c r="K705" s="72">
        <v>284.60721335515763</v>
      </c>
      <c r="L705" s="72">
        <v>269.25713518523355</v>
      </c>
      <c r="M705" s="73"/>
      <c r="N705" s="74">
        <v>6.6945315109289991</v>
      </c>
      <c r="O705" s="74">
        <v>6.7092773560078447</v>
      </c>
      <c r="P705" s="73"/>
      <c r="Q705" s="72">
        <v>1918.1334283225578</v>
      </c>
      <c r="R705" s="72">
        <v>1273.8615960535208</v>
      </c>
      <c r="S705" s="73"/>
      <c r="T705" s="74">
        <v>4.8273777533279976</v>
      </c>
      <c r="U705" s="74">
        <v>4.8961602795193135</v>
      </c>
      <c r="V705" s="73"/>
      <c r="W705" s="72">
        <v>10750.834648360598</v>
      </c>
      <c r="X705" s="72">
        <v>10725.990486645615</v>
      </c>
      <c r="Y705" s="73"/>
      <c r="Z705" s="74">
        <v>3.1060581355802737</v>
      </c>
      <c r="AA705" s="74">
        <v>3.1518450687409922</v>
      </c>
      <c r="AB705" s="73"/>
      <c r="AC705" s="72">
        <v>48417.54107895193</v>
      </c>
      <c r="AD705" s="72">
        <v>48173.576918646519</v>
      </c>
      <c r="AE705" s="73"/>
      <c r="AF705" s="74">
        <v>4.3703601623983142</v>
      </c>
      <c r="AG705" s="74">
        <v>4.47099522617596</v>
      </c>
      <c r="AH705" s="73"/>
      <c r="AI705" s="72">
        <v>1604137.815593217</v>
      </c>
      <c r="AJ705" s="72">
        <v>0</v>
      </c>
      <c r="AK705" s="73"/>
      <c r="AL705" s="74">
        <v>-1810.3009325435712</v>
      </c>
      <c r="AM705" s="74">
        <v>0</v>
      </c>
      <c r="AN705" s="73"/>
      <c r="AO705" s="72">
        <v>106949.66852280412</v>
      </c>
      <c r="AP705" s="72">
        <v>0</v>
      </c>
      <c r="AQ705" s="73"/>
      <c r="AR705" s="74">
        <v>-102.73975323208126</v>
      </c>
      <c r="AS705" s="74">
        <v>0</v>
      </c>
      <c r="AT705" s="73"/>
      <c r="AU705" s="72">
        <v>14687455.300603725</v>
      </c>
      <c r="AV705" s="72">
        <v>0</v>
      </c>
      <c r="AW705" s="73"/>
      <c r="AX705" s="74">
        <v>-1568.0342183199762</v>
      </c>
      <c r="AY705" s="74">
        <v>0</v>
      </c>
      <c r="AZ705" s="73"/>
      <c r="BA705" s="72">
        <v>213213.70401868707</v>
      </c>
      <c r="BB705" s="72">
        <v>0</v>
      </c>
      <c r="BC705" s="73"/>
      <c r="BD705" s="74">
        <v>-392.94550272408867</v>
      </c>
      <c r="BE705" s="74">
        <v>0</v>
      </c>
      <c r="BF705" s="73"/>
      <c r="BG705" s="72">
        <v>3705578.799090825</v>
      </c>
      <c r="BH705" s="72">
        <v>0</v>
      </c>
      <c r="BI705" s="73"/>
      <c r="BJ705" s="74">
        <v>-1528.5489406016077</v>
      </c>
      <c r="BK705" s="74">
        <v>0</v>
      </c>
      <c r="BL705" s="73"/>
      <c r="BM705" s="72">
        <v>20317335.287829258</v>
      </c>
      <c r="BN705" s="72">
        <v>0</v>
      </c>
      <c r="BO705" s="73"/>
      <c r="BP705" s="74">
        <v>-5402.5693474213258</v>
      </c>
      <c r="BQ705" s="74">
        <v>0</v>
      </c>
      <c r="BS705" s="109">
        <f t="shared" si="264"/>
        <v>117612.86205064111</v>
      </c>
      <c r="BT705" s="109">
        <f t="shared" si="265"/>
        <v>117965.92311595303</v>
      </c>
      <c r="BV705" s="58">
        <f t="array" ref="BV705">SUM(IF(BS705:BT705&gt;=BS705, 1))</f>
        <v>2</v>
      </c>
      <c r="BW705" s="58">
        <f t="array" ref="BW705">SUM(IF(BS705:BT705&gt;=BT705, 1))</f>
        <v>1</v>
      </c>
      <c r="BY705" s="109">
        <f t="shared" si="266"/>
        <v>133606.02300522482</v>
      </c>
      <c r="BZ705" s="109">
        <f t="shared" si="267"/>
        <v>133916.28998497166</v>
      </c>
      <c r="CB705" s="58">
        <f t="array" ref="CB705">SUM(IF(BY705:BZ705&gt;=BY705, 1))</f>
        <v>2</v>
      </c>
      <c r="CC705" s="58">
        <f t="array" ref="CC705">SUM(IF(BY705:BZ705&gt;=BZ705, 1))</f>
        <v>1</v>
      </c>
      <c r="CE705" s="109">
        <f t="shared" si="268"/>
        <v>94629.4216382374</v>
      </c>
      <c r="CF705" s="109">
        <f t="shared" si="269"/>
        <v>96649.343994332739</v>
      </c>
      <c r="CH705" s="58">
        <f t="array" ref="CH705">SUM(IF(CE705:CF705&gt;=CE705, 1))</f>
        <v>2</v>
      </c>
      <c r="CI705" s="58">
        <f t="array" ref="CI705">SUM(IF(CE705:CF705&gt;=CF705, 1))</f>
        <v>1</v>
      </c>
      <c r="CK705" s="109">
        <f t="shared" si="270"/>
        <v>51370.328063244873</v>
      </c>
      <c r="CL705" s="109">
        <f t="shared" si="271"/>
        <v>52310.910888174229</v>
      </c>
      <c r="CN705" s="58">
        <f t="array" ref="CN705">SUM(IF(CK705:CL705&gt;=CK705, 1))</f>
        <v>2</v>
      </c>
      <c r="CO705" s="58">
        <f t="array" ref="CO705">SUM(IF(CK705:CL705&gt;=CL705, 1))</f>
        <v>1</v>
      </c>
      <c r="CQ705" s="109" cm="1">
        <f t="array" ref="CQ705">AF705*WTP-AC705</f>
        <v>38989.662169014358</v>
      </c>
      <c r="CR705" s="109">
        <f t="shared" si="272"/>
        <v>41246.327604872684</v>
      </c>
      <c r="CT705" s="58">
        <f t="array" ref="CT705">SUM(IF(CQ705:CR705&gt;=CQ705, 1))</f>
        <v>2</v>
      </c>
      <c r="CU705" s="58">
        <f t="array" ref="CU705">SUM(IF(CQ705:CR705&gt;=CR705, 1))</f>
        <v>1</v>
      </c>
      <c r="CW705" s="109">
        <f t="shared" si="273"/>
        <v>-37810156.466464646</v>
      </c>
      <c r="CX705" s="109">
        <f t="shared" si="274"/>
        <v>0</v>
      </c>
      <c r="CZ705" s="58">
        <f t="array" ref="CZ705">SUM(IF(CW705:CX705&gt;=CW705, 1))</f>
        <v>2</v>
      </c>
      <c r="DA705" s="58">
        <f t="array" ref="DA705">SUM(IF(CW705:CX705&gt;=CX705, 1))</f>
        <v>1</v>
      </c>
      <c r="DC705" s="109">
        <f t="shared" si="275"/>
        <v>-2161744.7331644292</v>
      </c>
      <c r="DD705" s="109">
        <f t="shared" si="276"/>
        <v>0</v>
      </c>
      <c r="DF705" s="58">
        <f t="array" ref="DF705">SUM(IF(DC705:DD705&gt;=DC705, 1))</f>
        <v>2</v>
      </c>
      <c r="DG705" s="58">
        <f t="array" ref="DG705">SUM(IF(DC705:DD705&gt;=DD705, 1))</f>
        <v>1</v>
      </c>
      <c r="DI705" s="109">
        <f t="shared" si="277"/>
        <v>-46048139.667003244</v>
      </c>
      <c r="DJ705" s="109">
        <f t="shared" si="278"/>
        <v>0</v>
      </c>
      <c r="DL705" s="58">
        <f t="array" ref="DL705">SUM(IF(DI705:DJ705&gt;=DI705, 1))</f>
        <v>2</v>
      </c>
      <c r="DM705" s="58">
        <f t="array" ref="DM705">SUM(IF(DI705:DJ705&gt;=DJ705, 1))</f>
        <v>1</v>
      </c>
      <c r="DO705" s="109">
        <f t="shared" si="279"/>
        <v>-8072123.7585004605</v>
      </c>
      <c r="DP705" s="109">
        <f t="shared" si="280"/>
        <v>0</v>
      </c>
      <c r="DR705" s="58">
        <f t="array" ref="DR705">SUM(IF(DO705:DP705&gt;=DO705, 1))</f>
        <v>2</v>
      </c>
      <c r="DS705" s="58">
        <f t="array" ref="DS705">SUM(IF(DO705:DP705&gt;=DP705, 1))</f>
        <v>1</v>
      </c>
      <c r="DU705" s="109">
        <f t="shared" si="281"/>
        <v>-34276557.611122981</v>
      </c>
      <c r="DV705" s="109">
        <f t="shared" si="282"/>
        <v>0</v>
      </c>
      <c r="DX705" s="58">
        <f t="array" ref="DX705">SUM(IF(DU705:DV705&gt;=DU705, 1))</f>
        <v>2</v>
      </c>
      <c r="DY705" s="58">
        <f t="array" ref="DY705">SUM(IF(DU705:DV705&gt;=DV705, 1))</f>
        <v>1</v>
      </c>
      <c r="EA705" s="109">
        <f t="shared" si="283"/>
        <v>-128368722.23625576</v>
      </c>
      <c r="EB705" s="109">
        <f t="shared" si="284"/>
        <v>0</v>
      </c>
      <c r="ED705" s="58">
        <f t="array" ref="ED705">SUM(IF(EA705:EB705&gt;=EA705, 1))</f>
        <v>2</v>
      </c>
      <c r="EE705" s="58">
        <f t="array" ref="EE705">SUM(IF(EA705:EB705&gt;=EB705, 1))</f>
        <v>1</v>
      </c>
    </row>
    <row r="706" spans="4:135" ht="12" customHeight="1" x14ac:dyDescent="0.25">
      <c r="D706" s="11">
        <v>690</v>
      </c>
      <c r="E706" s="72">
        <v>279.78061883027328</v>
      </c>
      <c r="F706" s="72">
        <v>247.76360984969691</v>
      </c>
      <c r="G706" s="73"/>
      <c r="H706" s="74">
        <v>5.8126258348810254</v>
      </c>
      <c r="I706" s="74">
        <v>5.8338397210681014</v>
      </c>
      <c r="J706" s="73"/>
      <c r="K706" s="72">
        <v>299.93044126353163</v>
      </c>
      <c r="L706" s="72">
        <v>267.17248019207432</v>
      </c>
      <c r="M706" s="73"/>
      <c r="N706" s="74">
        <v>6.6900511865380405</v>
      </c>
      <c r="O706" s="74">
        <v>6.7100165504641955</v>
      </c>
      <c r="P706" s="73"/>
      <c r="Q706" s="72">
        <v>1959.4483478759025</v>
      </c>
      <c r="R706" s="72">
        <v>1271.3752895347211</v>
      </c>
      <c r="S706" s="73"/>
      <c r="T706" s="74">
        <v>4.8139293244820092</v>
      </c>
      <c r="U706" s="74">
        <v>4.9148864153578398</v>
      </c>
      <c r="V706" s="73"/>
      <c r="W706" s="72">
        <v>13276.895506196488</v>
      </c>
      <c r="X706" s="72">
        <v>13236.240918880098</v>
      </c>
      <c r="Y706" s="73"/>
      <c r="Z706" s="74">
        <v>3.036381958848382</v>
      </c>
      <c r="AA706" s="74">
        <v>3.0892536563916488</v>
      </c>
      <c r="AB706" s="73"/>
      <c r="AC706" s="72">
        <v>51884.171848840488</v>
      </c>
      <c r="AD706" s="72">
        <v>51451.056392388578</v>
      </c>
      <c r="AE706" s="73"/>
      <c r="AF706" s="74">
        <v>4.2977073711171281</v>
      </c>
      <c r="AG706" s="74">
        <v>4.4308896994557481</v>
      </c>
      <c r="AH706" s="73"/>
      <c r="AI706" s="72">
        <v>3475921.9374687788</v>
      </c>
      <c r="AJ706" s="72">
        <v>0</v>
      </c>
      <c r="AK706" s="73"/>
      <c r="AL706" s="74">
        <v>-2303.082477859125</v>
      </c>
      <c r="AM706" s="74">
        <v>0</v>
      </c>
      <c r="AN706" s="73"/>
      <c r="AO706" s="72">
        <v>220771.98255006134</v>
      </c>
      <c r="AP706" s="72">
        <v>0</v>
      </c>
      <c r="AQ706" s="73"/>
      <c r="AR706" s="74">
        <v>-134.55638971838562</v>
      </c>
      <c r="AS706" s="74">
        <v>0</v>
      </c>
      <c r="AT706" s="73"/>
      <c r="AU706" s="72">
        <v>16178784.71377296</v>
      </c>
      <c r="AV706" s="72">
        <v>0</v>
      </c>
      <c r="AW706" s="73"/>
      <c r="AX706" s="74">
        <v>-2373.8221091618029</v>
      </c>
      <c r="AY706" s="74">
        <v>0</v>
      </c>
      <c r="AZ706" s="73"/>
      <c r="BA706" s="72">
        <v>362598.28306815017</v>
      </c>
      <c r="BB706" s="72">
        <v>0</v>
      </c>
      <c r="BC706" s="73"/>
      <c r="BD706" s="74">
        <v>-471.56269482922409</v>
      </c>
      <c r="BE706" s="74">
        <v>0</v>
      </c>
      <c r="BF706" s="73"/>
      <c r="BG706" s="72">
        <v>6776571.2805048143</v>
      </c>
      <c r="BH706" s="72">
        <v>0</v>
      </c>
      <c r="BI706" s="73"/>
      <c r="BJ706" s="74">
        <v>-2083.7851151369969</v>
      </c>
      <c r="BK706" s="74">
        <v>0</v>
      </c>
      <c r="BL706" s="73"/>
      <c r="BM706" s="72">
        <v>27014648.197364766</v>
      </c>
      <c r="BN706" s="72">
        <v>0</v>
      </c>
      <c r="BO706" s="73"/>
      <c r="BP706" s="74">
        <v>-7366.8087867055347</v>
      </c>
      <c r="BQ706" s="74">
        <v>0</v>
      </c>
      <c r="BS706" s="109">
        <f t="shared" si="264"/>
        <v>115972.73607879023</v>
      </c>
      <c r="BT706" s="109">
        <f t="shared" si="265"/>
        <v>116429.03081151233</v>
      </c>
      <c r="BV706" s="58">
        <f t="array" ref="BV706">SUM(IF(BS706:BT706&gt;=BS706, 1))</f>
        <v>2</v>
      </c>
      <c r="BW706" s="58">
        <f t="array" ref="BW706">SUM(IF(BS706:BT706&gt;=BT706, 1))</f>
        <v>1</v>
      </c>
      <c r="BY706" s="109">
        <f t="shared" si="266"/>
        <v>133501.09328949728</v>
      </c>
      <c r="BZ706" s="109">
        <f t="shared" si="267"/>
        <v>133933.15852909186</v>
      </c>
      <c r="CB706" s="58">
        <f t="array" ref="CB706">SUM(IF(BY706:BZ706&gt;=BY706, 1))</f>
        <v>2</v>
      </c>
      <c r="CC706" s="58">
        <f t="array" ref="CC706">SUM(IF(BY706:BZ706&gt;=BZ706, 1))</f>
        <v>1</v>
      </c>
      <c r="CE706" s="109">
        <f t="shared" si="268"/>
        <v>94319.13814176427</v>
      </c>
      <c r="CF706" s="109">
        <f t="shared" si="269"/>
        <v>97026.353017622067</v>
      </c>
      <c r="CH706" s="58">
        <f t="array" ref="CH706">SUM(IF(CE706:CF706&gt;=CE706, 1))</f>
        <v>2</v>
      </c>
      <c r="CI706" s="58">
        <f t="array" ref="CI706">SUM(IF(CE706:CF706&gt;=CF706, 1))</f>
        <v>1</v>
      </c>
      <c r="CK706" s="109">
        <f t="shared" si="270"/>
        <v>47450.743670771153</v>
      </c>
      <c r="CL706" s="109">
        <f t="shared" si="271"/>
        <v>48548.832208952881</v>
      </c>
      <c r="CN706" s="58">
        <f t="array" ref="CN706">SUM(IF(CK706:CL706&gt;=CK706, 1))</f>
        <v>2</v>
      </c>
      <c r="CO706" s="58">
        <f t="array" ref="CO706">SUM(IF(CK706:CL706&gt;=CL706, 1))</f>
        <v>1</v>
      </c>
      <c r="CQ706" s="109" cm="1">
        <f t="array" ref="CQ706">AF706*WTP-AC706</f>
        <v>34069.975573502074</v>
      </c>
      <c r="CR706" s="109">
        <f t="shared" si="272"/>
        <v>37166.73759672638</v>
      </c>
      <c r="CT706" s="58">
        <f t="array" ref="CT706">SUM(IF(CQ706:CR706&gt;=CQ706, 1))</f>
        <v>2</v>
      </c>
      <c r="CU706" s="58">
        <f t="array" ref="CU706">SUM(IF(CQ706:CR706&gt;=CR706, 1))</f>
        <v>1</v>
      </c>
      <c r="CW706" s="109">
        <f t="shared" si="273"/>
        <v>-49537571.49465128</v>
      </c>
      <c r="CX706" s="109">
        <f t="shared" si="274"/>
        <v>0</v>
      </c>
      <c r="CZ706" s="58">
        <f t="array" ref="CZ706">SUM(IF(CW706:CX706&gt;=CW706, 1))</f>
        <v>2</v>
      </c>
      <c r="DA706" s="58">
        <f t="array" ref="DA706">SUM(IF(CW706:CX706&gt;=CX706, 1))</f>
        <v>1</v>
      </c>
      <c r="DC706" s="109">
        <f t="shared" si="275"/>
        <v>-2911899.7769177738</v>
      </c>
      <c r="DD706" s="109">
        <f t="shared" si="276"/>
        <v>0</v>
      </c>
      <c r="DF706" s="58">
        <f t="array" ref="DF706">SUM(IF(DC706:DD706&gt;=DC706, 1))</f>
        <v>2</v>
      </c>
      <c r="DG706" s="58">
        <f t="array" ref="DG706">SUM(IF(DC706:DD706&gt;=DD706, 1))</f>
        <v>1</v>
      </c>
      <c r="DI706" s="109">
        <f t="shared" si="277"/>
        <v>-63655226.897009015</v>
      </c>
      <c r="DJ706" s="109">
        <f t="shared" si="278"/>
        <v>0</v>
      </c>
      <c r="DL706" s="58">
        <f t="array" ref="DL706">SUM(IF(DI706:DJ706&gt;=DI706, 1))</f>
        <v>2</v>
      </c>
      <c r="DM706" s="58">
        <f t="array" ref="DM706">SUM(IF(DI706:DJ706&gt;=DJ706, 1))</f>
        <v>1</v>
      </c>
      <c r="DO706" s="109">
        <f t="shared" si="279"/>
        <v>-9793852.1796526313</v>
      </c>
      <c r="DP706" s="109">
        <f t="shared" si="280"/>
        <v>0</v>
      </c>
      <c r="DR706" s="58">
        <f t="array" ref="DR706">SUM(IF(DO706:DP706&gt;=DO706, 1))</f>
        <v>2</v>
      </c>
      <c r="DS706" s="58">
        <f t="array" ref="DS706">SUM(IF(DO706:DP706&gt;=DP706, 1))</f>
        <v>1</v>
      </c>
      <c r="DU706" s="109">
        <f t="shared" si="281"/>
        <v>-48452273.583244756</v>
      </c>
      <c r="DV706" s="109">
        <f t="shared" si="282"/>
        <v>0</v>
      </c>
      <c r="DX706" s="58">
        <f t="array" ref="DX706">SUM(IF(DU706:DV706&gt;=DU706, 1))</f>
        <v>2</v>
      </c>
      <c r="DY706" s="58">
        <f t="array" ref="DY706">SUM(IF(DU706:DV706&gt;=DV706, 1))</f>
        <v>1</v>
      </c>
      <c r="EA706" s="109">
        <f t="shared" si="283"/>
        <v>-174350823.93147546</v>
      </c>
      <c r="EB706" s="109">
        <f t="shared" si="284"/>
        <v>0</v>
      </c>
      <c r="ED706" s="58">
        <f t="array" ref="ED706">SUM(IF(EA706:EB706&gt;=EA706, 1))</f>
        <v>2</v>
      </c>
      <c r="EE706" s="58">
        <f t="array" ref="EE706">SUM(IF(EA706:EB706&gt;=EB706, 1))</f>
        <v>1</v>
      </c>
    </row>
    <row r="707" spans="4:135" ht="12" customHeight="1" x14ac:dyDescent="0.25">
      <c r="D707" s="11">
        <v>691</v>
      </c>
      <c r="E707" s="72">
        <v>312.28518983680505</v>
      </c>
      <c r="F707" s="72">
        <v>299.4024679898061</v>
      </c>
      <c r="G707" s="73"/>
      <c r="H707" s="74">
        <v>5.8090030632342673</v>
      </c>
      <c r="I707" s="74">
        <v>5.8221092235508491</v>
      </c>
      <c r="J707" s="73"/>
      <c r="K707" s="72">
        <v>336.14885676797314</v>
      </c>
      <c r="L707" s="72">
        <v>322.9343313276666</v>
      </c>
      <c r="M707" s="73"/>
      <c r="N707" s="74">
        <v>6.7448477796346848</v>
      </c>
      <c r="O707" s="74">
        <v>6.7560180567691583</v>
      </c>
      <c r="P707" s="73"/>
      <c r="Q707" s="72">
        <v>2102.486555612642</v>
      </c>
      <c r="R707" s="72">
        <v>1346.2524361756716</v>
      </c>
      <c r="S707" s="73"/>
      <c r="T707" s="74">
        <v>4.8572813472001908</v>
      </c>
      <c r="U707" s="74">
        <v>4.9604030942295898</v>
      </c>
      <c r="V707" s="73"/>
      <c r="W707" s="72">
        <v>9709.3544672626267</v>
      </c>
      <c r="X707" s="72">
        <v>9711.5329242532953</v>
      </c>
      <c r="Y707" s="73"/>
      <c r="Z707" s="74">
        <v>3.0093529008772895</v>
      </c>
      <c r="AA707" s="74">
        <v>3.0543665682290735</v>
      </c>
      <c r="AB707" s="73"/>
      <c r="AC707" s="72">
        <v>50972.561621419707</v>
      </c>
      <c r="AD707" s="72">
        <v>50849.021627409595</v>
      </c>
      <c r="AE707" s="73"/>
      <c r="AF707" s="74">
        <v>4.7578861681765918</v>
      </c>
      <c r="AG707" s="74">
        <v>4.8980644996353453</v>
      </c>
      <c r="AH707" s="73"/>
      <c r="AI707" s="72">
        <v>1382922.2058660118</v>
      </c>
      <c r="AJ707" s="72">
        <v>0</v>
      </c>
      <c r="AK707" s="73"/>
      <c r="AL707" s="74">
        <v>-1406.9076667725435</v>
      </c>
      <c r="AM707" s="74">
        <v>0</v>
      </c>
      <c r="AN707" s="73"/>
      <c r="AO707" s="72">
        <v>92315.894174962101</v>
      </c>
      <c r="AP707" s="72">
        <v>0</v>
      </c>
      <c r="AQ707" s="73"/>
      <c r="AR707" s="74">
        <v>-78.034896259364487</v>
      </c>
      <c r="AS707" s="74">
        <v>0</v>
      </c>
      <c r="AT707" s="73"/>
      <c r="AU707" s="72">
        <v>17404346.873732936</v>
      </c>
      <c r="AV707" s="72">
        <v>0</v>
      </c>
      <c r="AW707" s="73"/>
      <c r="AX707" s="74">
        <v>-2373.2950013697277</v>
      </c>
      <c r="AY707" s="74">
        <v>0</v>
      </c>
      <c r="AZ707" s="73"/>
      <c r="BA707" s="72">
        <v>-18796.255923209683</v>
      </c>
      <c r="BB707" s="72">
        <v>0</v>
      </c>
      <c r="BC707" s="73"/>
      <c r="BD707" s="74">
        <v>-388.38885284886794</v>
      </c>
      <c r="BE707" s="74">
        <v>0</v>
      </c>
      <c r="BF707" s="73"/>
      <c r="BG707" s="72">
        <v>1929390.2991917289</v>
      </c>
      <c r="BH707" s="72">
        <v>0</v>
      </c>
      <c r="BI707" s="73"/>
      <c r="BJ707" s="74">
        <v>-2189.2401326429008</v>
      </c>
      <c r="BK707" s="74">
        <v>0</v>
      </c>
      <c r="BL707" s="73"/>
      <c r="BM707" s="72">
        <v>20790179.017042428</v>
      </c>
      <c r="BN707" s="72">
        <v>0</v>
      </c>
      <c r="BO707" s="73"/>
      <c r="BP707" s="74">
        <v>-6435.8665498934042</v>
      </c>
      <c r="BQ707" s="74">
        <v>0</v>
      </c>
      <c r="BS707" s="109">
        <f t="shared" si="264"/>
        <v>115867.77607484853</v>
      </c>
      <c r="BT707" s="109">
        <f t="shared" si="265"/>
        <v>116142.78200302718</v>
      </c>
      <c r="BV707" s="58">
        <f t="array" ref="BV707">SUM(IF(BS707:BT707&gt;=BS707, 1))</f>
        <v>2</v>
      </c>
      <c r="BW707" s="58">
        <f t="array" ref="BW707">SUM(IF(BS707:BT707&gt;=BT707, 1))</f>
        <v>1</v>
      </c>
      <c r="BY707" s="109">
        <f t="shared" si="266"/>
        <v>134560.80673592573</v>
      </c>
      <c r="BZ707" s="109">
        <f t="shared" si="267"/>
        <v>134797.42680405549</v>
      </c>
      <c r="CB707" s="58">
        <f t="array" ref="CB707">SUM(IF(BY707:BZ707&gt;=BY707, 1))</f>
        <v>2</v>
      </c>
      <c r="CC707" s="58">
        <f t="array" ref="CC707">SUM(IF(BY707:BZ707&gt;=BZ707, 1))</f>
        <v>1</v>
      </c>
      <c r="CE707" s="109">
        <f t="shared" si="268"/>
        <v>95043.14038839117</v>
      </c>
      <c r="CF707" s="109">
        <f t="shared" si="269"/>
        <v>97861.809448416127</v>
      </c>
      <c r="CH707" s="58">
        <f t="array" ref="CH707">SUM(IF(CE707:CF707&gt;=CE707, 1))</f>
        <v>2</v>
      </c>
      <c r="CI707" s="58">
        <f t="array" ref="CI707">SUM(IF(CE707:CF707&gt;=CF707, 1))</f>
        <v>1</v>
      </c>
      <c r="CK707" s="109">
        <f t="shared" si="270"/>
        <v>50477.703550283157</v>
      </c>
      <c r="CL707" s="109">
        <f t="shared" si="271"/>
        <v>51375.798440328173</v>
      </c>
      <c r="CN707" s="58">
        <f t="array" ref="CN707">SUM(IF(CK707:CL707&gt;=CK707, 1))</f>
        <v>2</v>
      </c>
      <c r="CO707" s="58">
        <f t="array" ref="CO707">SUM(IF(CK707:CL707&gt;=CL707, 1))</f>
        <v>1</v>
      </c>
      <c r="CQ707" s="109" cm="1">
        <f t="array" ref="CQ707">AF707*WTP-AC707</f>
        <v>44185.161742112134</v>
      </c>
      <c r="CR707" s="109">
        <f t="shared" si="272"/>
        <v>47112.268365297314</v>
      </c>
      <c r="CT707" s="58">
        <f t="array" ref="CT707">SUM(IF(CQ707:CR707&gt;=CQ707, 1))</f>
        <v>2</v>
      </c>
      <c r="CU707" s="58">
        <f t="array" ref="CU707">SUM(IF(CQ707:CR707&gt;=CR707, 1))</f>
        <v>1</v>
      </c>
      <c r="CW707" s="109">
        <f t="shared" si="273"/>
        <v>-29521075.541316882</v>
      </c>
      <c r="CX707" s="109">
        <f t="shared" si="274"/>
        <v>0</v>
      </c>
      <c r="CZ707" s="58">
        <f t="array" ref="CZ707">SUM(IF(CW707:CX707&gt;=CW707, 1))</f>
        <v>2</v>
      </c>
      <c r="DA707" s="58">
        <f t="array" ref="DA707">SUM(IF(CW707:CX707&gt;=CX707, 1))</f>
        <v>1</v>
      </c>
      <c r="DC707" s="109">
        <f t="shared" si="275"/>
        <v>-1653013.8193622518</v>
      </c>
      <c r="DD707" s="109">
        <f t="shared" si="276"/>
        <v>0</v>
      </c>
      <c r="DF707" s="58">
        <f t="array" ref="DF707">SUM(IF(DC707:DD707&gt;=DC707, 1))</f>
        <v>2</v>
      </c>
      <c r="DG707" s="58">
        <f t="array" ref="DG707">SUM(IF(DC707:DD707&gt;=DD707, 1))</f>
        <v>1</v>
      </c>
      <c r="DI707" s="109">
        <f t="shared" si="277"/>
        <v>-64870246.901127487</v>
      </c>
      <c r="DJ707" s="109">
        <f t="shared" si="278"/>
        <v>0</v>
      </c>
      <c r="DL707" s="58">
        <f t="array" ref="DL707">SUM(IF(DI707:DJ707&gt;=DI707, 1))</f>
        <v>2</v>
      </c>
      <c r="DM707" s="58">
        <f t="array" ref="DM707">SUM(IF(DI707:DJ707&gt;=DJ707, 1))</f>
        <v>1</v>
      </c>
      <c r="DO707" s="109">
        <f t="shared" si="279"/>
        <v>-7748980.8010541489</v>
      </c>
      <c r="DP707" s="109">
        <f t="shared" si="280"/>
        <v>0</v>
      </c>
      <c r="DR707" s="58">
        <f t="array" ref="DR707">SUM(IF(DO707:DP707&gt;=DO707, 1))</f>
        <v>2</v>
      </c>
      <c r="DS707" s="58">
        <f t="array" ref="DS707">SUM(IF(DO707:DP707&gt;=DP707, 1))</f>
        <v>1</v>
      </c>
      <c r="DU707" s="109">
        <f t="shared" si="281"/>
        <v>-45714192.952049747</v>
      </c>
      <c r="DV707" s="109">
        <f t="shared" si="282"/>
        <v>0</v>
      </c>
      <c r="DX707" s="58">
        <f t="array" ref="DX707">SUM(IF(DU707:DV707&gt;=DU707, 1))</f>
        <v>2</v>
      </c>
      <c r="DY707" s="58">
        <f t="array" ref="DY707">SUM(IF(DU707:DV707&gt;=DV707, 1))</f>
        <v>1</v>
      </c>
      <c r="EA707" s="109">
        <f t="shared" si="283"/>
        <v>-149507510.01491052</v>
      </c>
      <c r="EB707" s="109">
        <f t="shared" si="284"/>
        <v>0</v>
      </c>
      <c r="ED707" s="58">
        <f t="array" ref="ED707">SUM(IF(EA707:EB707&gt;=EA707, 1))</f>
        <v>2</v>
      </c>
      <c r="EE707" s="58">
        <f t="array" ref="EE707">SUM(IF(EA707:EB707&gt;=EB707, 1))</f>
        <v>1</v>
      </c>
    </row>
    <row r="708" spans="4:135" ht="12" customHeight="1" x14ac:dyDescent="0.25">
      <c r="D708" s="11">
        <v>692</v>
      </c>
      <c r="E708" s="72">
        <v>212.57914522110573</v>
      </c>
      <c r="F708" s="72">
        <v>181.64110949999932</v>
      </c>
      <c r="G708" s="73"/>
      <c r="H708" s="74">
        <v>5.8602615389914368</v>
      </c>
      <c r="I708" s="74">
        <v>5.8757933736414047</v>
      </c>
      <c r="J708" s="73"/>
      <c r="K708" s="72">
        <v>227.50697656956063</v>
      </c>
      <c r="L708" s="72">
        <v>195.83350507463712</v>
      </c>
      <c r="M708" s="73"/>
      <c r="N708" s="74">
        <v>6.7525264008115791</v>
      </c>
      <c r="O708" s="74">
        <v>6.7656647889674666</v>
      </c>
      <c r="P708" s="73"/>
      <c r="Q708" s="72">
        <v>2507.7209224415224</v>
      </c>
      <c r="R708" s="72">
        <v>1485.2407941963099</v>
      </c>
      <c r="S708" s="73"/>
      <c r="T708" s="74">
        <v>4.8571544110521252</v>
      </c>
      <c r="U708" s="74">
        <v>4.9425593685736331</v>
      </c>
      <c r="V708" s="73"/>
      <c r="W708" s="72">
        <v>14535.076096657273</v>
      </c>
      <c r="X708" s="72">
        <v>14548.481005821885</v>
      </c>
      <c r="Y708" s="73"/>
      <c r="Z708" s="74">
        <v>2.8817144158771106</v>
      </c>
      <c r="AA708" s="74">
        <v>2.9293359805151078</v>
      </c>
      <c r="AB708" s="73"/>
      <c r="AC708" s="72">
        <v>49321.83759550214</v>
      </c>
      <c r="AD708" s="72">
        <v>49185.900799618837</v>
      </c>
      <c r="AE708" s="73"/>
      <c r="AF708" s="74">
        <v>4.6871558083925509</v>
      </c>
      <c r="AG708" s="74">
        <v>4.7879963277247102</v>
      </c>
      <c r="AH708" s="73"/>
      <c r="AI708" s="72">
        <v>3347889.8202161789</v>
      </c>
      <c r="AJ708" s="72">
        <v>0</v>
      </c>
      <c r="AK708" s="73"/>
      <c r="AL708" s="74">
        <v>-1680.7424874241226</v>
      </c>
      <c r="AM708" s="74">
        <v>0</v>
      </c>
      <c r="AN708" s="73"/>
      <c r="AO708" s="72">
        <v>212208.60616013757</v>
      </c>
      <c r="AP708" s="72">
        <v>0</v>
      </c>
      <c r="AQ708" s="73"/>
      <c r="AR708" s="74">
        <v>-88.025685413062888</v>
      </c>
      <c r="AS708" s="74">
        <v>0</v>
      </c>
      <c r="AT708" s="73"/>
      <c r="AU708" s="72">
        <v>23333937.442677367</v>
      </c>
      <c r="AV708" s="72">
        <v>0</v>
      </c>
      <c r="AW708" s="73"/>
      <c r="AX708" s="74">
        <v>-1949.0197227808219</v>
      </c>
      <c r="AY708" s="74">
        <v>0</v>
      </c>
      <c r="AZ708" s="73"/>
      <c r="BA708" s="72">
        <v>-123738.33171540465</v>
      </c>
      <c r="BB708" s="72">
        <v>0</v>
      </c>
      <c r="BC708" s="73"/>
      <c r="BD708" s="74">
        <v>-439.5861911201261</v>
      </c>
      <c r="BE708" s="74">
        <v>0</v>
      </c>
      <c r="BF708" s="73"/>
      <c r="BG708" s="72">
        <v>2158604.616344207</v>
      </c>
      <c r="BH708" s="72">
        <v>0</v>
      </c>
      <c r="BI708" s="73"/>
      <c r="BJ708" s="74">
        <v>-1601.2942568678247</v>
      </c>
      <c r="BK708" s="74">
        <v>0</v>
      </c>
      <c r="BL708" s="73"/>
      <c r="BM708" s="72">
        <v>28928902.153682485</v>
      </c>
      <c r="BN708" s="72">
        <v>0</v>
      </c>
      <c r="BO708" s="73"/>
      <c r="BP708" s="74">
        <v>-5758.6683436059584</v>
      </c>
      <c r="BQ708" s="74">
        <v>0</v>
      </c>
      <c r="BS708" s="109">
        <f t="shared" si="264"/>
        <v>116992.65163460762</v>
      </c>
      <c r="BT708" s="109">
        <f t="shared" si="265"/>
        <v>117334.2263633281</v>
      </c>
      <c r="BV708" s="58">
        <f t="array" ref="BV708">SUM(IF(BS708:BT708&gt;=BS708, 1))</f>
        <v>2</v>
      </c>
      <c r="BW708" s="58">
        <f t="array" ref="BW708">SUM(IF(BS708:BT708&gt;=BT708, 1))</f>
        <v>1</v>
      </c>
      <c r="BY708" s="109">
        <f t="shared" si="266"/>
        <v>134823.02103966201</v>
      </c>
      <c r="BZ708" s="109">
        <f t="shared" si="267"/>
        <v>135117.4622742747</v>
      </c>
      <c r="CB708" s="58">
        <f t="array" ref="CB708">SUM(IF(BY708:BZ708&gt;=BY708, 1))</f>
        <v>2</v>
      </c>
      <c r="CC708" s="58">
        <f t="array" ref="CC708">SUM(IF(BY708:BZ708&gt;=BZ708, 1))</f>
        <v>1</v>
      </c>
      <c r="CE708" s="109">
        <f t="shared" si="268"/>
        <v>94635.367298600977</v>
      </c>
      <c r="CF708" s="109">
        <f t="shared" si="269"/>
        <v>97365.946577276365</v>
      </c>
      <c r="CH708" s="58">
        <f t="array" ref="CH708">SUM(IF(CE708:CF708&gt;=CE708, 1))</f>
        <v>2</v>
      </c>
      <c r="CI708" s="58">
        <f t="array" ref="CI708">SUM(IF(CE708:CF708&gt;=CF708, 1))</f>
        <v>1</v>
      </c>
      <c r="CK708" s="109">
        <f t="shared" si="270"/>
        <v>43099.21222088494</v>
      </c>
      <c r="CL708" s="109">
        <f t="shared" si="271"/>
        <v>44038.23860448027</v>
      </c>
      <c r="CN708" s="58">
        <f t="array" ref="CN708">SUM(IF(CK708:CL708&gt;=CK708, 1))</f>
        <v>2</v>
      </c>
      <c r="CO708" s="58">
        <f t="array" ref="CO708">SUM(IF(CK708:CL708&gt;=CL708, 1))</f>
        <v>1</v>
      </c>
      <c r="CQ708" s="109" cm="1">
        <f t="array" ref="CQ708">AF708*WTP-AC708</f>
        <v>44421.278572348871</v>
      </c>
      <c r="CR708" s="109">
        <f t="shared" si="272"/>
        <v>46574.025754875365</v>
      </c>
      <c r="CT708" s="58">
        <f t="array" ref="CT708">SUM(IF(CQ708:CR708&gt;=CQ708, 1))</f>
        <v>2</v>
      </c>
      <c r="CU708" s="58">
        <f t="array" ref="CU708">SUM(IF(CQ708:CR708&gt;=CR708, 1))</f>
        <v>1</v>
      </c>
      <c r="CW708" s="109">
        <f t="shared" si="273"/>
        <v>-36962739.56869863</v>
      </c>
      <c r="CX708" s="109">
        <f t="shared" si="274"/>
        <v>0</v>
      </c>
      <c r="CZ708" s="58">
        <f t="array" ref="CZ708">SUM(IF(CW708:CX708&gt;=CW708, 1))</f>
        <v>2</v>
      </c>
      <c r="DA708" s="58">
        <f t="array" ref="DA708">SUM(IF(CW708:CX708&gt;=CX708, 1))</f>
        <v>1</v>
      </c>
      <c r="DC708" s="109">
        <f t="shared" si="275"/>
        <v>-1972722.3144213953</v>
      </c>
      <c r="DD708" s="109">
        <f t="shared" si="276"/>
        <v>0</v>
      </c>
      <c r="DF708" s="58">
        <f t="array" ref="DF708">SUM(IF(DC708:DD708&gt;=DC708, 1))</f>
        <v>2</v>
      </c>
      <c r="DG708" s="58">
        <f t="array" ref="DG708">SUM(IF(DC708:DD708&gt;=DD708, 1))</f>
        <v>1</v>
      </c>
      <c r="DI708" s="109">
        <f t="shared" si="277"/>
        <v>-62314331.898293808</v>
      </c>
      <c r="DJ708" s="109">
        <f t="shared" si="278"/>
        <v>0</v>
      </c>
      <c r="DL708" s="58">
        <f t="array" ref="DL708">SUM(IF(DI708:DJ708&gt;=DI708, 1))</f>
        <v>2</v>
      </c>
      <c r="DM708" s="58">
        <f t="array" ref="DM708">SUM(IF(DI708:DJ708&gt;=DJ708, 1))</f>
        <v>1</v>
      </c>
      <c r="DO708" s="109">
        <f t="shared" si="279"/>
        <v>-8667985.490687117</v>
      </c>
      <c r="DP708" s="109">
        <f t="shared" si="280"/>
        <v>0</v>
      </c>
      <c r="DR708" s="58">
        <f t="array" ref="DR708">SUM(IF(DO708:DP708&gt;=DO708, 1))</f>
        <v>2</v>
      </c>
      <c r="DS708" s="58">
        <f t="array" ref="DS708">SUM(IF(DO708:DP708&gt;=DP708, 1))</f>
        <v>1</v>
      </c>
      <c r="DU708" s="109">
        <f t="shared" si="281"/>
        <v>-34184489.753700703</v>
      </c>
      <c r="DV708" s="109">
        <f t="shared" si="282"/>
        <v>0</v>
      </c>
      <c r="DX708" s="58">
        <f t="array" ref="DX708">SUM(IF(DU708:DV708&gt;=DU708, 1))</f>
        <v>2</v>
      </c>
      <c r="DY708" s="58">
        <f t="array" ref="DY708">SUM(IF(DU708:DV708&gt;=DV708, 1))</f>
        <v>1</v>
      </c>
      <c r="EA708" s="109">
        <f t="shared" si="283"/>
        <v>-144102269.02580166</v>
      </c>
      <c r="EB708" s="109">
        <f t="shared" si="284"/>
        <v>0</v>
      </c>
      <c r="ED708" s="58">
        <f t="array" ref="ED708">SUM(IF(EA708:EB708&gt;=EA708, 1))</f>
        <v>2</v>
      </c>
      <c r="EE708" s="58">
        <f t="array" ref="EE708">SUM(IF(EA708:EB708&gt;=EB708, 1))</f>
        <v>1</v>
      </c>
    </row>
    <row r="709" spans="4:135" ht="12" customHeight="1" x14ac:dyDescent="0.25">
      <c r="D709" s="11">
        <v>693</v>
      </c>
      <c r="E709" s="72">
        <v>214.59285698229192</v>
      </c>
      <c r="F709" s="72">
        <v>200.5851657930736</v>
      </c>
      <c r="G709" s="73"/>
      <c r="H709" s="74">
        <v>5.8626808416688858</v>
      </c>
      <c r="I709" s="74">
        <v>5.8775463819124774</v>
      </c>
      <c r="J709" s="73"/>
      <c r="K709" s="72">
        <v>230.61661117536681</v>
      </c>
      <c r="L709" s="72">
        <v>216.26862220948388</v>
      </c>
      <c r="M709" s="73"/>
      <c r="N709" s="74">
        <v>6.7545579862827054</v>
      </c>
      <c r="O709" s="74">
        <v>6.7676779247546657</v>
      </c>
      <c r="P709" s="73"/>
      <c r="Q709" s="72">
        <v>2793.9922673837027</v>
      </c>
      <c r="R709" s="72">
        <v>1335.200077278025</v>
      </c>
      <c r="S709" s="73"/>
      <c r="T709" s="74">
        <v>4.7797798703528365</v>
      </c>
      <c r="U709" s="74">
        <v>4.9207063095268095</v>
      </c>
      <c r="V709" s="73"/>
      <c r="W709" s="72">
        <v>13100.039578022646</v>
      </c>
      <c r="X709" s="72">
        <v>13019.379874686067</v>
      </c>
      <c r="Y709" s="73"/>
      <c r="Z709" s="74">
        <v>3.0182097189460584</v>
      </c>
      <c r="AA709" s="74">
        <v>3.0661953865563278</v>
      </c>
      <c r="AB709" s="73"/>
      <c r="AC709" s="72">
        <v>51289.744017166442</v>
      </c>
      <c r="AD709" s="72">
        <v>51044.813864594005</v>
      </c>
      <c r="AE709" s="73"/>
      <c r="AF709" s="74">
        <v>4.3988178830615956</v>
      </c>
      <c r="AG709" s="74">
        <v>4.5608810159846156</v>
      </c>
      <c r="AH709" s="73"/>
      <c r="AI709" s="72">
        <v>1498861.0588256912</v>
      </c>
      <c r="AJ709" s="72">
        <v>0</v>
      </c>
      <c r="AK709" s="73"/>
      <c r="AL709" s="74">
        <v>-1590.6532410334305</v>
      </c>
      <c r="AM709" s="74">
        <v>0</v>
      </c>
      <c r="AN709" s="73"/>
      <c r="AO709" s="72">
        <v>98877.346780945241</v>
      </c>
      <c r="AP709" s="72">
        <v>0</v>
      </c>
      <c r="AQ709" s="73"/>
      <c r="AR709" s="74">
        <v>-90.414392506249627</v>
      </c>
      <c r="AS709" s="74">
        <v>0</v>
      </c>
      <c r="AT709" s="73"/>
      <c r="AU709" s="72">
        <v>33107747.662215456</v>
      </c>
      <c r="AV709" s="72">
        <v>0</v>
      </c>
      <c r="AW709" s="73"/>
      <c r="AX709" s="74">
        <v>-3198.3698697814248</v>
      </c>
      <c r="AY709" s="74">
        <v>0</v>
      </c>
      <c r="AZ709" s="73"/>
      <c r="BA709" s="72">
        <v>720776.56826850597</v>
      </c>
      <c r="BB709" s="72">
        <v>0</v>
      </c>
      <c r="BC709" s="73"/>
      <c r="BD709" s="74">
        <v>-428.80079389676871</v>
      </c>
      <c r="BE709" s="74">
        <v>0</v>
      </c>
      <c r="BF709" s="73"/>
      <c r="BG709" s="72">
        <v>3846970.1950922743</v>
      </c>
      <c r="BH709" s="72">
        <v>0</v>
      </c>
      <c r="BI709" s="73"/>
      <c r="BJ709" s="74">
        <v>-2545.4278925243916</v>
      </c>
      <c r="BK709" s="74">
        <v>0</v>
      </c>
      <c r="BL709" s="73"/>
      <c r="BM709" s="72">
        <v>39273232.831182875</v>
      </c>
      <c r="BN709" s="72">
        <v>0</v>
      </c>
      <c r="BO709" s="73"/>
      <c r="BP709" s="74">
        <v>-7853.6661897422655</v>
      </c>
      <c r="BQ709" s="74">
        <v>0</v>
      </c>
      <c r="BS709" s="109">
        <f t="shared" si="264"/>
        <v>117039.02397639543</v>
      </c>
      <c r="BT709" s="109">
        <f t="shared" si="265"/>
        <v>117350.34247245647</v>
      </c>
      <c r="BV709" s="58">
        <f t="array" ref="BV709">SUM(IF(BS709:BT709&gt;=BS709, 1))</f>
        <v>2</v>
      </c>
      <c r="BW709" s="58">
        <f t="array" ref="BW709">SUM(IF(BS709:BT709&gt;=BT709, 1))</f>
        <v>1</v>
      </c>
      <c r="BY709" s="109">
        <f t="shared" si="266"/>
        <v>134860.54311447876</v>
      </c>
      <c r="BZ709" s="109">
        <f t="shared" si="267"/>
        <v>135137.28987288382</v>
      </c>
      <c r="CB709" s="58">
        <f t="array" ref="CB709">SUM(IF(BY709:BZ709&gt;=BY709, 1))</f>
        <v>2</v>
      </c>
      <c r="CC709" s="58">
        <f t="array" ref="CC709">SUM(IF(BY709:BZ709&gt;=BZ709, 1))</f>
        <v>1</v>
      </c>
      <c r="CE709" s="109">
        <f t="shared" si="268"/>
        <v>92801.605139673033</v>
      </c>
      <c r="CF709" s="109">
        <f t="shared" si="269"/>
        <v>97078.92611325816</v>
      </c>
      <c r="CH709" s="58">
        <f t="array" ref="CH709">SUM(IF(CE709:CF709&gt;=CE709, 1))</f>
        <v>2</v>
      </c>
      <c r="CI709" s="58">
        <f t="array" ref="CI709">SUM(IF(CE709:CF709&gt;=CF709, 1))</f>
        <v>1</v>
      </c>
      <c r="CK709" s="109">
        <f t="shared" si="270"/>
        <v>47264.154800898519</v>
      </c>
      <c r="CL709" s="109">
        <f t="shared" si="271"/>
        <v>48304.527856440487</v>
      </c>
      <c r="CN709" s="58">
        <f t="array" ref="CN709">SUM(IF(CK709:CL709&gt;=CK709, 1))</f>
        <v>2</v>
      </c>
      <c r="CO709" s="58">
        <f t="array" ref="CO709">SUM(IF(CK709:CL709&gt;=CL709, 1))</f>
        <v>1</v>
      </c>
      <c r="CQ709" s="109" cm="1">
        <f t="array" ref="CQ709">AF709*WTP-AC709</f>
        <v>36686.613644065474</v>
      </c>
      <c r="CR709" s="109">
        <f t="shared" si="272"/>
        <v>40172.806455098311</v>
      </c>
      <c r="CT709" s="58">
        <f t="array" ref="CT709">SUM(IF(CQ709:CR709&gt;=CQ709, 1))</f>
        <v>2</v>
      </c>
      <c r="CU709" s="58">
        <f t="array" ref="CU709">SUM(IF(CQ709:CR709&gt;=CR709, 1))</f>
        <v>1</v>
      </c>
      <c r="CW709" s="109">
        <f t="shared" si="273"/>
        <v>-33311925.879494302</v>
      </c>
      <c r="CX709" s="109">
        <f t="shared" si="274"/>
        <v>0</v>
      </c>
      <c r="CZ709" s="58">
        <f t="array" ref="CZ709">SUM(IF(CW709:CX709&gt;=CW709, 1))</f>
        <v>2</v>
      </c>
      <c r="DA709" s="58">
        <f t="array" ref="DA709">SUM(IF(CW709:CX709&gt;=CX709, 1))</f>
        <v>1</v>
      </c>
      <c r="DC709" s="109">
        <f t="shared" si="275"/>
        <v>-1907165.1969059377</v>
      </c>
      <c r="DD709" s="109">
        <f t="shared" si="276"/>
        <v>0</v>
      </c>
      <c r="DF709" s="58">
        <f t="array" ref="DF709">SUM(IF(DC709:DD709&gt;=DC709, 1))</f>
        <v>2</v>
      </c>
      <c r="DG709" s="58">
        <f t="array" ref="DG709">SUM(IF(DC709:DD709&gt;=DD709, 1))</f>
        <v>1</v>
      </c>
      <c r="DI709" s="109">
        <f t="shared" si="277"/>
        <v>-97075145.057843953</v>
      </c>
      <c r="DJ709" s="109">
        <f t="shared" si="278"/>
        <v>0</v>
      </c>
      <c r="DL709" s="58">
        <f t="array" ref="DL709">SUM(IF(DI709:DJ709&gt;=DI709, 1))</f>
        <v>2</v>
      </c>
      <c r="DM709" s="58">
        <f t="array" ref="DM709">SUM(IF(DI709:DJ709&gt;=DJ709, 1))</f>
        <v>1</v>
      </c>
      <c r="DO709" s="109">
        <f t="shared" si="279"/>
        <v>-9296792.44620388</v>
      </c>
      <c r="DP709" s="109">
        <f t="shared" si="280"/>
        <v>0</v>
      </c>
      <c r="DR709" s="58">
        <f t="array" ref="DR709">SUM(IF(DO709:DP709&gt;=DO709, 1))</f>
        <v>2</v>
      </c>
      <c r="DS709" s="58">
        <f t="array" ref="DS709">SUM(IF(DO709:DP709&gt;=DP709, 1))</f>
        <v>1</v>
      </c>
      <c r="DU709" s="109">
        <f t="shared" si="281"/>
        <v>-54755528.045580111</v>
      </c>
      <c r="DV709" s="109">
        <f t="shared" si="282"/>
        <v>0</v>
      </c>
      <c r="DX709" s="58">
        <f t="array" ref="DX709">SUM(IF(DU709:DV709&gt;=DU709, 1))</f>
        <v>2</v>
      </c>
      <c r="DY709" s="58">
        <f t="array" ref="DY709">SUM(IF(DU709:DV709&gt;=DV709, 1))</f>
        <v>1</v>
      </c>
      <c r="EA709" s="109">
        <f t="shared" si="283"/>
        <v>-196346556.62602818</v>
      </c>
      <c r="EB709" s="109">
        <f t="shared" si="284"/>
        <v>0</v>
      </c>
      <c r="ED709" s="58">
        <f t="array" ref="ED709">SUM(IF(EA709:EB709&gt;=EA709, 1))</f>
        <v>2</v>
      </c>
      <c r="EE709" s="58">
        <f t="array" ref="EE709">SUM(IF(EA709:EB709&gt;=EB709, 1))</f>
        <v>1</v>
      </c>
    </row>
    <row r="710" spans="4:135" ht="12" customHeight="1" x14ac:dyDescent="0.25">
      <c r="D710" s="11">
        <v>694</v>
      </c>
      <c r="E710" s="72">
        <v>276.97960207722122</v>
      </c>
      <c r="F710" s="72">
        <v>270.1425498430267</v>
      </c>
      <c r="G710" s="73"/>
      <c r="H710" s="74">
        <v>5.8636764935021981</v>
      </c>
      <c r="I710" s="74">
        <v>5.875028918450111</v>
      </c>
      <c r="J710" s="73"/>
      <c r="K710" s="72">
        <v>298.36618937717287</v>
      </c>
      <c r="L710" s="72">
        <v>291.3323255109629</v>
      </c>
      <c r="M710" s="73"/>
      <c r="N710" s="74">
        <v>6.6596813998718494</v>
      </c>
      <c r="O710" s="74">
        <v>6.6691871059102468</v>
      </c>
      <c r="P710" s="73"/>
      <c r="Q710" s="72">
        <v>2435.9746458627183</v>
      </c>
      <c r="R710" s="72">
        <v>2058.9146002756406</v>
      </c>
      <c r="S710" s="73"/>
      <c r="T710" s="74">
        <v>4.7988671285101736</v>
      </c>
      <c r="U710" s="74">
        <v>4.8260448194469783</v>
      </c>
      <c r="V710" s="73"/>
      <c r="W710" s="72">
        <v>13859.527022380478</v>
      </c>
      <c r="X710" s="72">
        <v>13771.776818541202</v>
      </c>
      <c r="Y710" s="73"/>
      <c r="Z710" s="74">
        <v>3.1077925030538309</v>
      </c>
      <c r="AA710" s="74">
        <v>3.1366071240872122</v>
      </c>
      <c r="AB710" s="73"/>
      <c r="AC710" s="72">
        <v>50103.571160819462</v>
      </c>
      <c r="AD710" s="72">
        <v>49527.128877083167</v>
      </c>
      <c r="AE710" s="73"/>
      <c r="AF710" s="74">
        <v>4.2326369039161422</v>
      </c>
      <c r="AG710" s="74">
        <v>4.363246319192581</v>
      </c>
      <c r="AH710" s="73"/>
      <c r="AI710" s="72">
        <v>727029.17618882284</v>
      </c>
      <c r="AJ710" s="72">
        <v>0</v>
      </c>
      <c r="AK710" s="73"/>
      <c r="AL710" s="74">
        <v>-1207.1787482253906</v>
      </c>
      <c r="AM710" s="74">
        <v>0</v>
      </c>
      <c r="AN710" s="73"/>
      <c r="AO710" s="72">
        <v>47870.245860497474</v>
      </c>
      <c r="AP710" s="72">
        <v>0</v>
      </c>
      <c r="AQ710" s="73"/>
      <c r="AR710" s="74">
        <v>-64.692819450440496</v>
      </c>
      <c r="AS710" s="74">
        <v>0</v>
      </c>
      <c r="AT710" s="73"/>
      <c r="AU710" s="72">
        <v>8667999.8958303966</v>
      </c>
      <c r="AV710" s="72">
        <v>0</v>
      </c>
      <c r="AW710" s="73"/>
      <c r="AX710" s="74">
        <v>-624.77110732415156</v>
      </c>
      <c r="AY710" s="74">
        <v>0</v>
      </c>
      <c r="AZ710" s="73"/>
      <c r="BA710" s="72">
        <v>779719.98848776356</v>
      </c>
      <c r="BB710" s="72">
        <v>0</v>
      </c>
      <c r="BC710" s="73"/>
      <c r="BD710" s="74">
        <v>-256.0374221076309</v>
      </c>
      <c r="BE710" s="74">
        <v>0</v>
      </c>
      <c r="BF710" s="73"/>
      <c r="BG710" s="72">
        <v>9040958.0562818181</v>
      </c>
      <c r="BH710" s="72">
        <v>0</v>
      </c>
      <c r="BI710" s="73"/>
      <c r="BJ710" s="74">
        <v>-2048.4865156248215</v>
      </c>
      <c r="BK710" s="74">
        <v>0</v>
      </c>
      <c r="BL710" s="73"/>
      <c r="BM710" s="72">
        <v>19263577.362649299</v>
      </c>
      <c r="BN710" s="72">
        <v>0</v>
      </c>
      <c r="BO710" s="73"/>
      <c r="BP710" s="74">
        <v>-4201.1666127324352</v>
      </c>
      <c r="BQ710" s="74">
        <v>0</v>
      </c>
      <c r="BS710" s="109">
        <f t="shared" si="264"/>
        <v>116996.55026796674</v>
      </c>
      <c r="BT710" s="109">
        <f t="shared" si="265"/>
        <v>117230.43581915919</v>
      </c>
      <c r="BV710" s="58">
        <f t="array" ref="BV710">SUM(IF(BS710:BT710&gt;=BS710, 1))</f>
        <v>2</v>
      </c>
      <c r="BW710" s="58">
        <f t="array" ref="BW710">SUM(IF(BS710:BT710&gt;=BT710, 1))</f>
        <v>1</v>
      </c>
      <c r="BY710" s="109">
        <f t="shared" si="266"/>
        <v>132895.26180805982</v>
      </c>
      <c r="BZ710" s="109">
        <f t="shared" si="267"/>
        <v>133092.40979269397</v>
      </c>
      <c r="CB710" s="58">
        <f t="array" ref="CB710">SUM(IF(BY710:BZ710&gt;=BY710, 1))</f>
        <v>2</v>
      </c>
      <c r="CC710" s="58">
        <f t="array" ref="CC710">SUM(IF(BY710:BZ710&gt;=BZ710, 1))</f>
        <v>1</v>
      </c>
      <c r="CE710" s="109">
        <f t="shared" si="268"/>
        <v>93541.367924340753</v>
      </c>
      <c r="CF710" s="109">
        <f t="shared" si="269"/>
        <v>94461.981788663921</v>
      </c>
      <c r="CH710" s="58">
        <f t="array" ref="CH710">SUM(IF(CE710:CF710&gt;=CE710, 1))</f>
        <v>2</v>
      </c>
      <c r="CI710" s="58">
        <f t="array" ref="CI710">SUM(IF(CE710:CF710&gt;=CF710, 1))</f>
        <v>1</v>
      </c>
      <c r="CK710" s="109">
        <f t="shared" si="270"/>
        <v>48296.323038696144</v>
      </c>
      <c r="CL710" s="109">
        <f t="shared" si="271"/>
        <v>48960.365663203047</v>
      </c>
      <c r="CN710" s="58">
        <f t="array" ref="CN710">SUM(IF(CK710:CL710&gt;=CK710, 1))</f>
        <v>2</v>
      </c>
      <c r="CO710" s="58">
        <f t="array" ref="CO710">SUM(IF(CK710:CL710&gt;=CL710, 1))</f>
        <v>1</v>
      </c>
      <c r="CQ710" s="109" cm="1">
        <f t="array" ref="CQ710">AF710*WTP-AC710</f>
        <v>34549.166917503382</v>
      </c>
      <c r="CR710" s="109">
        <f t="shared" si="272"/>
        <v>37737.797506768453</v>
      </c>
      <c r="CT710" s="58">
        <f t="array" ref="CT710">SUM(IF(CQ710:CR710&gt;=CQ710, 1))</f>
        <v>2</v>
      </c>
      <c r="CU710" s="58">
        <f t="array" ref="CU710">SUM(IF(CQ710:CR710&gt;=CR710, 1))</f>
        <v>1</v>
      </c>
      <c r="CW710" s="109">
        <f t="shared" si="273"/>
        <v>-24870604.140696634</v>
      </c>
      <c r="CX710" s="109">
        <f t="shared" si="274"/>
        <v>0</v>
      </c>
      <c r="CZ710" s="58">
        <f t="array" ref="CZ710">SUM(IF(CW710:CX710&gt;=CW710, 1))</f>
        <v>2</v>
      </c>
      <c r="DA710" s="58">
        <f t="array" ref="DA710">SUM(IF(CW710:CX710&gt;=CX710, 1))</f>
        <v>1</v>
      </c>
      <c r="DC710" s="109">
        <f t="shared" si="275"/>
        <v>-1341726.6348693073</v>
      </c>
      <c r="DD710" s="109">
        <f t="shared" si="276"/>
        <v>0</v>
      </c>
      <c r="DF710" s="58">
        <f t="array" ref="DF710">SUM(IF(DC710:DD710&gt;=DC710, 1))</f>
        <v>2</v>
      </c>
      <c r="DG710" s="58">
        <f t="array" ref="DG710">SUM(IF(DC710:DD710&gt;=DD710, 1))</f>
        <v>1</v>
      </c>
      <c r="DI710" s="109">
        <f t="shared" si="277"/>
        <v>-21163422.042313427</v>
      </c>
      <c r="DJ710" s="109">
        <f t="shared" si="278"/>
        <v>0</v>
      </c>
      <c r="DL710" s="58">
        <f t="array" ref="DL710">SUM(IF(DI710:DJ710&gt;=DI710, 1))</f>
        <v>2</v>
      </c>
      <c r="DM710" s="58">
        <f t="array" ref="DM710">SUM(IF(DI710:DJ710&gt;=DJ710, 1))</f>
        <v>1</v>
      </c>
      <c r="DO710" s="109">
        <f t="shared" si="279"/>
        <v>-5900468.4306403818</v>
      </c>
      <c r="DP710" s="109">
        <f t="shared" si="280"/>
        <v>0</v>
      </c>
      <c r="DR710" s="58">
        <f t="array" ref="DR710">SUM(IF(DO710:DP710&gt;=DO710, 1))</f>
        <v>2</v>
      </c>
      <c r="DS710" s="58">
        <f t="array" ref="DS710">SUM(IF(DO710:DP710&gt;=DP710, 1))</f>
        <v>1</v>
      </c>
      <c r="DU710" s="109">
        <f t="shared" si="281"/>
        <v>-50010688.368778251</v>
      </c>
      <c r="DV710" s="109">
        <f t="shared" si="282"/>
        <v>0</v>
      </c>
      <c r="DX710" s="58">
        <f t="array" ref="DX710">SUM(IF(DU710:DV710&gt;=DU710, 1))</f>
        <v>2</v>
      </c>
      <c r="DY710" s="58">
        <f t="array" ref="DY710">SUM(IF(DU710:DV710&gt;=DV710, 1))</f>
        <v>1</v>
      </c>
      <c r="EA710" s="109">
        <f t="shared" si="283"/>
        <v>-103286909.61729801</v>
      </c>
      <c r="EB710" s="109">
        <f t="shared" si="284"/>
        <v>0</v>
      </c>
      <c r="ED710" s="58">
        <f t="array" ref="ED710">SUM(IF(EA710:EB710&gt;=EA710, 1))</f>
        <v>2</v>
      </c>
      <c r="EE710" s="58">
        <f t="array" ref="EE710">SUM(IF(EA710:EB710&gt;=EB710, 1))</f>
        <v>1</v>
      </c>
    </row>
    <row r="711" spans="4:135" ht="12" customHeight="1" x14ac:dyDescent="0.25">
      <c r="D711" s="11">
        <v>695</v>
      </c>
      <c r="E711" s="72">
        <v>263.07480629764763</v>
      </c>
      <c r="F711" s="72">
        <v>250.90153433024864</v>
      </c>
      <c r="G711" s="73"/>
      <c r="H711" s="74">
        <v>5.8326059362934313</v>
      </c>
      <c r="I711" s="74">
        <v>5.8484544738193032</v>
      </c>
      <c r="J711" s="73"/>
      <c r="K711" s="72">
        <v>283.1258955025184</v>
      </c>
      <c r="L711" s="72">
        <v>270.6288100083878</v>
      </c>
      <c r="M711" s="73"/>
      <c r="N711" s="74">
        <v>6.7472279394481882</v>
      </c>
      <c r="O711" s="74">
        <v>6.7607122395068577</v>
      </c>
      <c r="P711" s="73"/>
      <c r="Q711" s="72">
        <v>2245.2215208862199</v>
      </c>
      <c r="R711" s="72">
        <v>1325.878172356204</v>
      </c>
      <c r="S711" s="73"/>
      <c r="T711" s="74">
        <v>4.7951872626553333</v>
      </c>
      <c r="U711" s="74">
        <v>4.8539776505328627</v>
      </c>
      <c r="V711" s="73"/>
      <c r="W711" s="72">
        <v>8581.1050025819932</v>
      </c>
      <c r="X711" s="72">
        <v>8605.4607258104425</v>
      </c>
      <c r="Y711" s="73"/>
      <c r="Z711" s="74">
        <v>3.0274756394031783</v>
      </c>
      <c r="AA711" s="74">
        <v>3.078120159313213</v>
      </c>
      <c r="AB711" s="73"/>
      <c r="AC711" s="72">
        <v>49491.945849788448</v>
      </c>
      <c r="AD711" s="72">
        <v>49419.568964566344</v>
      </c>
      <c r="AE711" s="73"/>
      <c r="AF711" s="74">
        <v>4.4833327392544033</v>
      </c>
      <c r="AG711" s="74">
        <v>4.58220610218663</v>
      </c>
      <c r="AH711" s="73"/>
      <c r="AI711" s="72">
        <v>1317403.6994589213</v>
      </c>
      <c r="AJ711" s="72">
        <v>0</v>
      </c>
      <c r="AK711" s="73"/>
      <c r="AL711" s="74">
        <v>-1715.1446236897218</v>
      </c>
      <c r="AM711" s="74">
        <v>0</v>
      </c>
      <c r="AN711" s="73"/>
      <c r="AO711" s="72">
        <v>85962.885446838336</v>
      </c>
      <c r="AP711" s="72">
        <v>0</v>
      </c>
      <c r="AQ711" s="73"/>
      <c r="AR711" s="74">
        <v>-92.753573768748794</v>
      </c>
      <c r="AS711" s="74">
        <v>0</v>
      </c>
      <c r="AT711" s="73"/>
      <c r="AU711" s="72">
        <v>21853347.929012902</v>
      </c>
      <c r="AV711" s="72">
        <v>0</v>
      </c>
      <c r="AW711" s="73"/>
      <c r="AX711" s="74">
        <v>-1397.4831092469954</v>
      </c>
      <c r="AY711" s="74">
        <v>0</v>
      </c>
      <c r="AZ711" s="73"/>
      <c r="BA711" s="72">
        <v>-215717.24250771725</v>
      </c>
      <c r="BB711" s="72">
        <v>0</v>
      </c>
      <c r="BC711" s="73"/>
      <c r="BD711" s="74">
        <v>-448.555605622862</v>
      </c>
      <c r="BE711" s="74">
        <v>0</v>
      </c>
      <c r="BF711" s="73"/>
      <c r="BG711" s="72">
        <v>1139564.490264714</v>
      </c>
      <c r="BH711" s="72">
        <v>0</v>
      </c>
      <c r="BI711" s="73"/>
      <c r="BJ711" s="74">
        <v>-1556.7480292203986</v>
      </c>
      <c r="BK711" s="74">
        <v>0</v>
      </c>
      <c r="BL711" s="73"/>
      <c r="BM711" s="72">
        <v>24180561.761675656</v>
      </c>
      <c r="BN711" s="72">
        <v>0</v>
      </c>
      <c r="BO711" s="73"/>
      <c r="BP711" s="74">
        <v>-5210.6849415487268</v>
      </c>
      <c r="BQ711" s="74">
        <v>0</v>
      </c>
      <c r="BS711" s="109">
        <f t="shared" si="264"/>
        <v>116389.04391957098</v>
      </c>
      <c r="BT711" s="109">
        <f t="shared" si="265"/>
        <v>116718.18794205583</v>
      </c>
      <c r="BV711" s="58">
        <f t="array" ref="BV711">SUM(IF(BS711:BT711&gt;=BS711, 1))</f>
        <v>2</v>
      </c>
      <c r="BW711" s="58">
        <f t="array" ref="BW711">SUM(IF(BS711:BT711&gt;=BT711, 1))</f>
        <v>1</v>
      </c>
      <c r="BY711" s="109">
        <f t="shared" si="266"/>
        <v>134661.43289346126</v>
      </c>
      <c r="BZ711" s="109">
        <f t="shared" si="267"/>
        <v>134943.61598012879</v>
      </c>
      <c r="CB711" s="58">
        <f t="array" ref="CB711">SUM(IF(BY711:BZ711&gt;=BY711, 1))</f>
        <v>2</v>
      </c>
      <c r="CC711" s="58">
        <f t="array" ref="CC711">SUM(IF(BY711:BZ711&gt;=BZ711, 1))</f>
        <v>1</v>
      </c>
      <c r="CE711" s="109">
        <f t="shared" si="268"/>
        <v>93658.523732220448</v>
      </c>
      <c r="CF711" s="109">
        <f t="shared" si="269"/>
        <v>95753.674838301056</v>
      </c>
      <c r="CH711" s="58">
        <f t="array" ref="CH711">SUM(IF(CE711:CF711&gt;=CE711, 1))</f>
        <v>2</v>
      </c>
      <c r="CI711" s="58">
        <f t="array" ref="CI711">SUM(IF(CE711:CF711&gt;=CF711, 1))</f>
        <v>1</v>
      </c>
      <c r="CK711" s="109">
        <f t="shared" si="270"/>
        <v>51968.407785481577</v>
      </c>
      <c r="CL711" s="109">
        <f t="shared" si="271"/>
        <v>52956.942460453814</v>
      </c>
      <c r="CN711" s="58">
        <f t="array" ref="CN711">SUM(IF(CK711:CL711&gt;=CK711, 1))</f>
        <v>2</v>
      </c>
      <c r="CO711" s="58">
        <f t="array" ref="CO711">SUM(IF(CK711:CL711&gt;=CL711, 1))</f>
        <v>1</v>
      </c>
      <c r="CQ711" s="109" cm="1">
        <f t="array" ref="CQ711">AF711*WTP-AC711</f>
        <v>40174.708935299612</v>
      </c>
      <c r="CR711" s="109">
        <f t="shared" si="272"/>
        <v>42224.553079166253</v>
      </c>
      <c r="CT711" s="58">
        <f t="array" ref="CT711">SUM(IF(CQ711:CR711&gt;=CQ711, 1))</f>
        <v>2</v>
      </c>
      <c r="CU711" s="58">
        <f t="array" ref="CU711">SUM(IF(CQ711:CR711&gt;=CR711, 1))</f>
        <v>1</v>
      </c>
      <c r="CW711" s="109">
        <f t="shared" si="273"/>
        <v>-35620296.173253357</v>
      </c>
      <c r="CX711" s="109">
        <f t="shared" si="274"/>
        <v>0</v>
      </c>
      <c r="CZ711" s="58">
        <f t="array" ref="CZ711">SUM(IF(CW711:CX711&gt;=CW711, 1))</f>
        <v>2</v>
      </c>
      <c r="DA711" s="58">
        <f t="array" ref="DA711">SUM(IF(CW711:CX711&gt;=CX711, 1))</f>
        <v>1</v>
      </c>
      <c r="DC711" s="109">
        <f t="shared" si="275"/>
        <v>-1941034.3608218143</v>
      </c>
      <c r="DD711" s="109">
        <f t="shared" si="276"/>
        <v>0</v>
      </c>
      <c r="DF711" s="58">
        <f t="array" ref="DF711">SUM(IF(DC711:DD711&gt;=DC711, 1))</f>
        <v>2</v>
      </c>
      <c r="DG711" s="58">
        <f t="array" ref="DG711">SUM(IF(DC711:DD711&gt;=DD711, 1))</f>
        <v>1</v>
      </c>
      <c r="DI711" s="109">
        <f t="shared" si="277"/>
        <v>-49803010.113952808</v>
      </c>
      <c r="DJ711" s="109">
        <f t="shared" si="278"/>
        <v>0</v>
      </c>
      <c r="DL711" s="58">
        <f t="array" ref="DL711">SUM(IF(DI711:DJ711&gt;=DI711, 1))</f>
        <v>2</v>
      </c>
      <c r="DM711" s="58">
        <f t="array" ref="DM711">SUM(IF(DI711:DJ711&gt;=DJ711, 1))</f>
        <v>1</v>
      </c>
      <c r="DO711" s="109">
        <f t="shared" si="279"/>
        <v>-8755394.8699495234</v>
      </c>
      <c r="DP711" s="109">
        <f t="shared" si="280"/>
        <v>0</v>
      </c>
      <c r="DR711" s="58">
        <f t="array" ref="DR711">SUM(IF(DO711:DP711&gt;=DO711, 1))</f>
        <v>2</v>
      </c>
      <c r="DS711" s="58">
        <f t="array" ref="DS711">SUM(IF(DO711:DP711&gt;=DP711, 1))</f>
        <v>1</v>
      </c>
      <c r="DU711" s="109">
        <f t="shared" si="281"/>
        <v>-32274525.074672688</v>
      </c>
      <c r="DV711" s="109">
        <f t="shared" si="282"/>
        <v>0</v>
      </c>
      <c r="DX711" s="58">
        <f t="array" ref="DX711">SUM(IF(DU711:DV711&gt;=DU711, 1))</f>
        <v>2</v>
      </c>
      <c r="DY711" s="58">
        <f t="array" ref="DY711">SUM(IF(DU711:DV711&gt;=DV711, 1))</f>
        <v>1</v>
      </c>
      <c r="EA711" s="109">
        <f t="shared" si="283"/>
        <v>-128394260.59265019</v>
      </c>
      <c r="EB711" s="109">
        <f t="shared" si="284"/>
        <v>0</v>
      </c>
      <c r="ED711" s="58">
        <f t="array" ref="ED711">SUM(IF(EA711:EB711&gt;=EA711, 1))</f>
        <v>2</v>
      </c>
      <c r="EE711" s="58">
        <f t="array" ref="EE711">SUM(IF(EA711:EB711&gt;=EB711, 1))</f>
        <v>1</v>
      </c>
    </row>
    <row r="712" spans="4:135" ht="12" customHeight="1" x14ac:dyDescent="0.25">
      <c r="D712" s="11">
        <v>696</v>
      </c>
      <c r="E712" s="72">
        <v>301.1064188381178</v>
      </c>
      <c r="F712" s="72">
        <v>283.38577506923349</v>
      </c>
      <c r="G712" s="73"/>
      <c r="H712" s="74">
        <v>5.794125384960803</v>
      </c>
      <c r="I712" s="74">
        <v>5.8104736506730319</v>
      </c>
      <c r="J712" s="73"/>
      <c r="K712" s="72">
        <v>323.74542787157441</v>
      </c>
      <c r="L712" s="72">
        <v>305.54294456355638</v>
      </c>
      <c r="M712" s="73"/>
      <c r="N712" s="74">
        <v>6.6528561929422088</v>
      </c>
      <c r="O712" s="74">
        <v>6.6669330579552755</v>
      </c>
      <c r="P712" s="73"/>
      <c r="Q712" s="72">
        <v>2861.9305811597656</v>
      </c>
      <c r="R712" s="72">
        <v>1898.1905901828204</v>
      </c>
      <c r="S712" s="73"/>
      <c r="T712" s="74">
        <v>4.7002071570688715</v>
      </c>
      <c r="U712" s="74">
        <v>4.7754807738591518</v>
      </c>
      <c r="V712" s="73"/>
      <c r="W712" s="72">
        <v>15815.225932217725</v>
      </c>
      <c r="X712" s="72">
        <v>15774.374057530569</v>
      </c>
      <c r="Y712" s="73"/>
      <c r="Z712" s="74">
        <v>2.9162032795789417</v>
      </c>
      <c r="AA712" s="74">
        <v>2.9502259129165611</v>
      </c>
      <c r="AB712" s="73"/>
      <c r="AC712" s="72">
        <v>49079.221215454614</v>
      </c>
      <c r="AD712" s="72">
        <v>49093.53001705066</v>
      </c>
      <c r="AE712" s="73"/>
      <c r="AF712" s="74">
        <v>4.5404263442100685</v>
      </c>
      <c r="AG712" s="74">
        <v>4.6338816469933146</v>
      </c>
      <c r="AH712" s="73"/>
      <c r="AI712" s="72">
        <v>1897075.5992237811</v>
      </c>
      <c r="AJ712" s="72">
        <v>0</v>
      </c>
      <c r="AK712" s="73"/>
      <c r="AL712" s="74">
        <v>-1750.1562796919136</v>
      </c>
      <c r="AM712" s="74">
        <v>0</v>
      </c>
      <c r="AN712" s="73"/>
      <c r="AO712" s="72">
        <v>125242.26597167416</v>
      </c>
      <c r="AP712" s="72">
        <v>0</v>
      </c>
      <c r="AQ712" s="73"/>
      <c r="AR712" s="74">
        <v>-96.855931258415779</v>
      </c>
      <c r="AS712" s="74">
        <v>0</v>
      </c>
      <c r="AT712" s="73"/>
      <c r="AU712" s="72">
        <v>22280868.796776462</v>
      </c>
      <c r="AV712" s="72">
        <v>0</v>
      </c>
      <c r="AW712" s="73"/>
      <c r="AX712" s="74">
        <v>-1740.2635516483276</v>
      </c>
      <c r="AY712" s="74">
        <v>0</v>
      </c>
      <c r="AZ712" s="73"/>
      <c r="BA712" s="72">
        <v>371374.11163886136</v>
      </c>
      <c r="BB712" s="72">
        <v>0</v>
      </c>
      <c r="BC712" s="73"/>
      <c r="BD712" s="74">
        <v>-309.29119723716593</v>
      </c>
      <c r="BE712" s="74">
        <v>0</v>
      </c>
      <c r="BF712" s="73"/>
      <c r="BG712" s="72">
        <v>-232456.25301763121</v>
      </c>
      <c r="BH712" s="72">
        <v>0</v>
      </c>
      <c r="BI712" s="73"/>
      <c r="BJ712" s="74">
        <v>-1518.245211788053</v>
      </c>
      <c r="BK712" s="74">
        <v>0</v>
      </c>
      <c r="BL712" s="73"/>
      <c r="BM712" s="72">
        <v>24442104.520593151</v>
      </c>
      <c r="BN712" s="72">
        <v>0</v>
      </c>
      <c r="BO712" s="73"/>
      <c r="BP712" s="74">
        <v>-5414.8121716238757</v>
      </c>
      <c r="BQ712" s="74">
        <v>0</v>
      </c>
      <c r="BS712" s="109">
        <f t="shared" si="264"/>
        <v>115581.40128037795</v>
      </c>
      <c r="BT712" s="109">
        <f t="shared" si="265"/>
        <v>115926.0872383914</v>
      </c>
      <c r="BV712" s="58">
        <f t="array" ref="BV712">SUM(IF(BS712:BT712&gt;=BS712, 1))</f>
        <v>2</v>
      </c>
      <c r="BW712" s="58">
        <f t="array" ref="BW712">SUM(IF(BS712:BT712&gt;=BT712, 1))</f>
        <v>1</v>
      </c>
      <c r="BY712" s="109">
        <f t="shared" si="266"/>
        <v>132733.37843097257</v>
      </c>
      <c r="BZ712" s="109">
        <f t="shared" si="267"/>
        <v>133033.11821454196</v>
      </c>
      <c r="CB712" s="58">
        <f t="array" ref="CB712">SUM(IF(BY712:BZ712&gt;=BY712, 1))</f>
        <v>2</v>
      </c>
      <c r="CC712" s="58">
        <f t="array" ref="CC712">SUM(IF(BY712:BZ712&gt;=BZ712, 1))</f>
        <v>1</v>
      </c>
      <c r="CE712" s="109">
        <f t="shared" si="268"/>
        <v>91142.212560217667</v>
      </c>
      <c r="CF712" s="109">
        <f t="shared" si="269"/>
        <v>93611.424887000219</v>
      </c>
      <c r="CH712" s="58">
        <f t="array" ref="CH712">SUM(IF(CE712:CF712&gt;=CE712, 1))</f>
        <v>2</v>
      </c>
      <c r="CI712" s="58">
        <f t="array" ref="CI712">SUM(IF(CE712:CF712&gt;=CF712, 1))</f>
        <v>1</v>
      </c>
      <c r="CK712" s="109">
        <f t="shared" si="270"/>
        <v>42508.839659361103</v>
      </c>
      <c r="CL712" s="109">
        <f t="shared" si="271"/>
        <v>43230.144200800649</v>
      </c>
      <c r="CN712" s="58">
        <f t="array" ref="CN712">SUM(IF(CK712:CL712&gt;=CK712, 1))</f>
        <v>2</v>
      </c>
      <c r="CO712" s="58">
        <f t="array" ref="CO712">SUM(IF(CK712:CL712&gt;=CL712, 1))</f>
        <v>1</v>
      </c>
      <c r="CQ712" s="109" cm="1">
        <f t="array" ref="CQ712">AF712*WTP-AC712</f>
        <v>41729.305668746762</v>
      </c>
      <c r="CR712" s="109">
        <f t="shared" si="272"/>
        <v>43584.102922815633</v>
      </c>
      <c r="CT712" s="58">
        <f t="array" ref="CT712">SUM(IF(CQ712:CR712&gt;=CQ712, 1))</f>
        <v>2</v>
      </c>
      <c r="CU712" s="58">
        <f t="array" ref="CU712">SUM(IF(CQ712:CR712&gt;=CR712, 1))</f>
        <v>1</v>
      </c>
      <c r="CW712" s="109">
        <f t="shared" si="273"/>
        <v>-36900201.193062052</v>
      </c>
      <c r="CX712" s="109">
        <f t="shared" si="274"/>
        <v>0</v>
      </c>
      <c r="CZ712" s="58">
        <f t="array" ref="CZ712">SUM(IF(CW712:CX712&gt;=CW712, 1))</f>
        <v>2</v>
      </c>
      <c r="DA712" s="58">
        <f t="array" ref="DA712">SUM(IF(CW712:CX712&gt;=CX712, 1))</f>
        <v>1</v>
      </c>
      <c r="DC712" s="109">
        <f t="shared" si="275"/>
        <v>-2062360.8911399897</v>
      </c>
      <c r="DD712" s="109">
        <f t="shared" si="276"/>
        <v>0</v>
      </c>
      <c r="DF712" s="58">
        <f t="array" ref="DF712">SUM(IF(DC712:DD712&gt;=DC712, 1))</f>
        <v>2</v>
      </c>
      <c r="DG712" s="58">
        <f t="array" ref="DG712">SUM(IF(DC712:DD712&gt;=DD712, 1))</f>
        <v>1</v>
      </c>
      <c r="DI712" s="109">
        <f t="shared" si="277"/>
        <v>-57086139.829743013</v>
      </c>
      <c r="DJ712" s="109">
        <f t="shared" si="278"/>
        <v>0</v>
      </c>
      <c r="DL712" s="58">
        <f t="array" ref="DL712">SUM(IF(DI712:DJ712&gt;=DI712, 1))</f>
        <v>2</v>
      </c>
      <c r="DM712" s="58">
        <f t="array" ref="DM712">SUM(IF(DI712:DJ712&gt;=DJ712, 1))</f>
        <v>1</v>
      </c>
      <c r="DO712" s="109">
        <f t="shared" si="279"/>
        <v>-6557198.0563821802</v>
      </c>
      <c r="DP712" s="109">
        <f t="shared" si="280"/>
        <v>0</v>
      </c>
      <c r="DR712" s="58">
        <f t="array" ref="DR712">SUM(IF(DO712:DP712&gt;=DO712, 1))</f>
        <v>2</v>
      </c>
      <c r="DS712" s="58">
        <f t="array" ref="DS712">SUM(IF(DO712:DP712&gt;=DP712, 1))</f>
        <v>1</v>
      </c>
      <c r="DU712" s="109">
        <f t="shared" si="281"/>
        <v>-30132447.982743431</v>
      </c>
      <c r="DV712" s="109">
        <f t="shared" si="282"/>
        <v>0</v>
      </c>
      <c r="DX712" s="58">
        <f t="array" ref="DX712">SUM(IF(DU712:DV712&gt;=DU712, 1))</f>
        <v>2</v>
      </c>
      <c r="DY712" s="58">
        <f t="array" ref="DY712">SUM(IF(DU712:DV712&gt;=DV712, 1))</f>
        <v>1</v>
      </c>
      <c r="EA712" s="109">
        <f t="shared" si="283"/>
        <v>-132738347.95307067</v>
      </c>
      <c r="EB712" s="109">
        <f t="shared" si="284"/>
        <v>0</v>
      </c>
      <c r="ED712" s="58">
        <f t="array" ref="ED712">SUM(IF(EA712:EB712&gt;=EA712, 1))</f>
        <v>2</v>
      </c>
      <c r="EE712" s="58">
        <f t="array" ref="EE712">SUM(IF(EA712:EB712&gt;=EB712, 1))</f>
        <v>1</v>
      </c>
    </row>
    <row r="713" spans="4:135" ht="12" customHeight="1" x14ac:dyDescent="0.25">
      <c r="D713" s="11">
        <v>697</v>
      </c>
      <c r="E713" s="72">
        <v>296.46358724324483</v>
      </c>
      <c r="F713" s="72">
        <v>280.9259855445369</v>
      </c>
      <c r="G713" s="73"/>
      <c r="H713" s="74">
        <v>5.8437359280619674</v>
      </c>
      <c r="I713" s="74">
        <v>5.8603528669115743</v>
      </c>
      <c r="J713" s="73"/>
      <c r="K713" s="72">
        <v>318.9208357690386</v>
      </c>
      <c r="L713" s="72">
        <v>303.00599602624561</v>
      </c>
      <c r="M713" s="73"/>
      <c r="N713" s="74">
        <v>6.7219314537075459</v>
      </c>
      <c r="O713" s="74">
        <v>6.7368993366897145</v>
      </c>
      <c r="P713" s="73"/>
      <c r="Q713" s="72">
        <v>1789.0212348527905</v>
      </c>
      <c r="R713" s="72">
        <v>1332.1855784382199</v>
      </c>
      <c r="S713" s="73"/>
      <c r="T713" s="74">
        <v>4.8407838139942596</v>
      </c>
      <c r="U713" s="74">
        <v>4.8936362731830618</v>
      </c>
      <c r="V713" s="73"/>
      <c r="W713" s="72">
        <v>13316.306735706454</v>
      </c>
      <c r="X713" s="72">
        <v>13405.398223001248</v>
      </c>
      <c r="Y713" s="73"/>
      <c r="Z713" s="74">
        <v>3.1928839149643293</v>
      </c>
      <c r="AA713" s="74">
        <v>3.2711626259345814</v>
      </c>
      <c r="AB713" s="73"/>
      <c r="AC713" s="72">
        <v>49796.861870381108</v>
      </c>
      <c r="AD713" s="72">
        <v>49471.524585887215</v>
      </c>
      <c r="AE713" s="73"/>
      <c r="AF713" s="74">
        <v>4.8977805948198734</v>
      </c>
      <c r="AG713" s="74">
        <v>5.0380001029524433</v>
      </c>
      <c r="AH713" s="73"/>
      <c r="AI713" s="72">
        <v>1664423.0524186764</v>
      </c>
      <c r="AJ713" s="72">
        <v>0</v>
      </c>
      <c r="AK713" s="73"/>
      <c r="AL713" s="74">
        <v>-1780.0440903448543</v>
      </c>
      <c r="AM713" s="74">
        <v>0</v>
      </c>
      <c r="AN713" s="73"/>
      <c r="AO713" s="72">
        <v>108506.01638494714</v>
      </c>
      <c r="AP713" s="72">
        <v>0</v>
      </c>
      <c r="AQ713" s="73"/>
      <c r="AR713" s="74">
        <v>-102.04974617143966</v>
      </c>
      <c r="AS713" s="74">
        <v>0</v>
      </c>
      <c r="AT713" s="73"/>
      <c r="AU713" s="72">
        <v>10611153.112243641</v>
      </c>
      <c r="AV713" s="72">
        <v>0</v>
      </c>
      <c r="AW713" s="73"/>
      <c r="AX713" s="74">
        <v>-1227.630831648677</v>
      </c>
      <c r="AY713" s="74">
        <v>0</v>
      </c>
      <c r="AZ713" s="73"/>
      <c r="BA713" s="72">
        <v>-809279.52879385964</v>
      </c>
      <c r="BB713" s="72">
        <v>0</v>
      </c>
      <c r="BC713" s="73"/>
      <c r="BD713" s="74">
        <v>-711.05961132942002</v>
      </c>
      <c r="BE713" s="74">
        <v>0</v>
      </c>
      <c r="BF713" s="73"/>
      <c r="BG713" s="72">
        <v>5144749.2843459724</v>
      </c>
      <c r="BH713" s="72">
        <v>0</v>
      </c>
      <c r="BI713" s="73"/>
      <c r="BJ713" s="74">
        <v>-2217.3733183966638</v>
      </c>
      <c r="BK713" s="74">
        <v>0</v>
      </c>
      <c r="BL713" s="73"/>
      <c r="BM713" s="72">
        <v>16719551.936599378</v>
      </c>
      <c r="BN713" s="72">
        <v>0</v>
      </c>
      <c r="BO713" s="73"/>
      <c r="BP713" s="74">
        <v>-6038.157597891055</v>
      </c>
      <c r="BQ713" s="74">
        <v>0</v>
      </c>
      <c r="BS713" s="109">
        <f t="shared" si="264"/>
        <v>116578.25497399611</v>
      </c>
      <c r="BT713" s="109">
        <f t="shared" si="265"/>
        <v>116926.13135268695</v>
      </c>
      <c r="BV713" s="58">
        <f t="array" ref="BV713">SUM(IF(BS713:BT713&gt;=BS713, 1))</f>
        <v>2</v>
      </c>
      <c r="BW713" s="58">
        <f t="array" ref="BW713">SUM(IF(BS713:BT713&gt;=BT713, 1))</f>
        <v>1</v>
      </c>
      <c r="BY713" s="109">
        <f t="shared" si="266"/>
        <v>134119.70823838189</v>
      </c>
      <c r="BZ713" s="109">
        <f t="shared" si="267"/>
        <v>134434.98073776806</v>
      </c>
      <c r="CB713" s="58">
        <f t="array" ref="CB713">SUM(IF(BY713:BZ713&gt;=BY713, 1))</f>
        <v>2</v>
      </c>
      <c r="CC713" s="58">
        <f t="array" ref="CC713">SUM(IF(BY713:BZ713&gt;=BZ713, 1))</f>
        <v>1</v>
      </c>
      <c r="CE713" s="109">
        <f t="shared" si="268"/>
        <v>95026.655045032399</v>
      </c>
      <c r="CF713" s="109">
        <f t="shared" si="269"/>
        <v>96540.539885223014</v>
      </c>
      <c r="CH713" s="58">
        <f t="array" ref="CH713">SUM(IF(CE713:CF713&gt;=CE713, 1))</f>
        <v>2</v>
      </c>
      <c r="CI713" s="58">
        <f t="array" ref="CI713">SUM(IF(CE713:CF713&gt;=CF713, 1))</f>
        <v>1</v>
      </c>
      <c r="CK713" s="109">
        <f t="shared" si="270"/>
        <v>50541.371563580135</v>
      </c>
      <c r="CL713" s="109">
        <f t="shared" si="271"/>
        <v>52017.854295690377</v>
      </c>
      <c r="CN713" s="58">
        <f t="array" ref="CN713">SUM(IF(CK713:CL713&gt;=CK713, 1))</f>
        <v>2</v>
      </c>
      <c r="CO713" s="58">
        <f t="array" ref="CO713">SUM(IF(CK713:CL713&gt;=CL713, 1))</f>
        <v>1</v>
      </c>
      <c r="CQ713" s="109" cm="1">
        <f t="array" ref="CQ713">AF713*WTP-AC713</f>
        <v>48158.750026016365</v>
      </c>
      <c r="CR713" s="109">
        <f t="shared" si="272"/>
        <v>51288.477473161656</v>
      </c>
      <c r="CT713" s="58">
        <f t="array" ref="CT713">SUM(IF(CQ713:CR713&gt;=CQ713, 1))</f>
        <v>2</v>
      </c>
      <c r="CU713" s="58">
        <f t="array" ref="CU713">SUM(IF(CQ713:CR713&gt;=CR713, 1))</f>
        <v>1</v>
      </c>
      <c r="CW713" s="109">
        <f t="shared" si="273"/>
        <v>-37265304.859315768</v>
      </c>
      <c r="CX713" s="109">
        <f t="shared" si="274"/>
        <v>0</v>
      </c>
      <c r="CZ713" s="58">
        <f t="array" ref="CZ713">SUM(IF(CW713:CX713&gt;=CW713, 1))</f>
        <v>2</v>
      </c>
      <c r="DA713" s="58">
        <f t="array" ref="DA713">SUM(IF(CW713:CX713&gt;=CX713, 1))</f>
        <v>1</v>
      </c>
      <c r="DC713" s="109">
        <f t="shared" si="275"/>
        <v>-2149500.9398137406</v>
      </c>
      <c r="DD713" s="109">
        <f t="shared" si="276"/>
        <v>0</v>
      </c>
      <c r="DF713" s="58">
        <f t="array" ref="DF713">SUM(IF(DC713:DD713&gt;=DC713, 1))</f>
        <v>2</v>
      </c>
      <c r="DG713" s="58">
        <f t="array" ref="DG713">SUM(IF(DC713:DD713&gt;=DD713, 1))</f>
        <v>1</v>
      </c>
      <c r="DI713" s="109">
        <f t="shared" si="277"/>
        <v>-35163769.745217182</v>
      </c>
      <c r="DJ713" s="109">
        <f t="shared" si="278"/>
        <v>0</v>
      </c>
      <c r="DL713" s="58">
        <f t="array" ref="DL713">SUM(IF(DI713:DJ713&gt;=DI713, 1))</f>
        <v>2</v>
      </c>
      <c r="DM713" s="58">
        <f t="array" ref="DM713">SUM(IF(DI713:DJ713&gt;=DJ713, 1))</f>
        <v>1</v>
      </c>
      <c r="DO713" s="109">
        <f t="shared" si="279"/>
        <v>-13411912.69779454</v>
      </c>
      <c r="DP713" s="109">
        <f t="shared" si="280"/>
        <v>0</v>
      </c>
      <c r="DR713" s="58">
        <f t="array" ref="DR713">SUM(IF(DO713:DP713&gt;=DO713, 1))</f>
        <v>2</v>
      </c>
      <c r="DS713" s="58">
        <f t="array" ref="DS713">SUM(IF(DO713:DP713&gt;=DP713, 1))</f>
        <v>1</v>
      </c>
      <c r="DU713" s="109">
        <f t="shared" si="281"/>
        <v>-49492215.652279243</v>
      </c>
      <c r="DV713" s="109">
        <f t="shared" si="282"/>
        <v>0</v>
      </c>
      <c r="DX713" s="58">
        <f t="array" ref="DX713">SUM(IF(DU713:DV713&gt;=DU713, 1))</f>
        <v>2</v>
      </c>
      <c r="DY713" s="58">
        <f t="array" ref="DY713">SUM(IF(DU713:DV713&gt;=DV713, 1))</f>
        <v>1</v>
      </c>
      <c r="EA713" s="109">
        <f t="shared" si="283"/>
        <v>-137482703.89442047</v>
      </c>
      <c r="EB713" s="109">
        <f t="shared" si="284"/>
        <v>0</v>
      </c>
      <c r="ED713" s="58">
        <f t="array" ref="ED713">SUM(IF(EA713:EB713&gt;=EA713, 1))</f>
        <v>2</v>
      </c>
      <c r="EE713" s="58">
        <f t="array" ref="EE713">SUM(IF(EA713:EB713&gt;=EB713, 1))</f>
        <v>1</v>
      </c>
    </row>
    <row r="714" spans="4:135" ht="12" customHeight="1" x14ac:dyDescent="0.25">
      <c r="D714" s="11">
        <v>698</v>
      </c>
      <c r="E714" s="72">
        <v>284.34764782430108</v>
      </c>
      <c r="F714" s="72">
        <v>262.35183413055859</v>
      </c>
      <c r="G714" s="73"/>
      <c r="H714" s="74">
        <v>5.8820060656244975</v>
      </c>
      <c r="I714" s="74">
        <v>5.8980432873671234</v>
      </c>
      <c r="J714" s="73"/>
      <c r="K714" s="72">
        <v>305.33139775537347</v>
      </c>
      <c r="L714" s="72">
        <v>282.82962697861871</v>
      </c>
      <c r="M714" s="73"/>
      <c r="N714" s="74">
        <v>6.7081602112231522</v>
      </c>
      <c r="O714" s="74">
        <v>6.7226186031812789</v>
      </c>
      <c r="P714" s="73"/>
      <c r="Q714" s="72">
        <v>2379.4011731115334</v>
      </c>
      <c r="R714" s="72">
        <v>1499.039150432538</v>
      </c>
      <c r="S714" s="73"/>
      <c r="T714" s="74">
        <v>4.9616496427918628</v>
      </c>
      <c r="U714" s="74">
        <v>5.0609749568479021</v>
      </c>
      <c r="V714" s="73"/>
      <c r="W714" s="72">
        <v>13960.605478940735</v>
      </c>
      <c r="X714" s="72">
        <v>13951.392088754097</v>
      </c>
      <c r="Y714" s="73"/>
      <c r="Z714" s="74">
        <v>3.0691259427193445</v>
      </c>
      <c r="AA714" s="74">
        <v>3.1100237004789175</v>
      </c>
      <c r="AB714" s="73"/>
      <c r="AC714" s="72">
        <v>52107.760018348985</v>
      </c>
      <c r="AD714" s="72">
        <v>51340.912349681428</v>
      </c>
      <c r="AE714" s="73"/>
      <c r="AF714" s="74">
        <v>4.2662011597224971</v>
      </c>
      <c r="AG714" s="74">
        <v>4.3888307752375475</v>
      </c>
      <c r="AH714" s="73"/>
      <c r="AI714" s="72">
        <v>2320222.8135950966</v>
      </c>
      <c r="AJ714" s="72">
        <v>0</v>
      </c>
      <c r="AK714" s="73"/>
      <c r="AL714" s="74">
        <v>-1691.6822569973681</v>
      </c>
      <c r="AM714" s="74">
        <v>0</v>
      </c>
      <c r="AN714" s="73"/>
      <c r="AO714" s="72">
        <v>156386.96491892842</v>
      </c>
      <c r="AP714" s="72">
        <v>0</v>
      </c>
      <c r="AQ714" s="73"/>
      <c r="AR714" s="74">
        <v>-100.48560437187854</v>
      </c>
      <c r="AS714" s="74">
        <v>0</v>
      </c>
      <c r="AT714" s="73"/>
      <c r="AU714" s="72">
        <v>19833041.771450583</v>
      </c>
      <c r="AV714" s="72">
        <v>0</v>
      </c>
      <c r="AW714" s="73"/>
      <c r="AX714" s="74">
        <v>-2237.6284436274054</v>
      </c>
      <c r="AY714" s="74">
        <v>0</v>
      </c>
      <c r="AZ714" s="73"/>
      <c r="BA714" s="72">
        <v>85114.496268418443</v>
      </c>
      <c r="BB714" s="72">
        <v>0</v>
      </c>
      <c r="BC714" s="73"/>
      <c r="BD714" s="74">
        <v>-377.81880281833696</v>
      </c>
      <c r="BE714" s="74">
        <v>0</v>
      </c>
      <c r="BF714" s="73"/>
      <c r="BG714" s="72">
        <v>12425300.660449518</v>
      </c>
      <c r="BH714" s="72">
        <v>0</v>
      </c>
      <c r="BI714" s="73"/>
      <c r="BJ714" s="74">
        <v>-1986.9785159513647</v>
      </c>
      <c r="BK714" s="74">
        <v>0</v>
      </c>
      <c r="BL714" s="73"/>
      <c r="BM714" s="72">
        <v>34820066.70668254</v>
      </c>
      <c r="BN714" s="72">
        <v>0</v>
      </c>
      <c r="BO714" s="73"/>
      <c r="BP714" s="74">
        <v>-6394.5936237663536</v>
      </c>
      <c r="BQ714" s="74">
        <v>0</v>
      </c>
      <c r="BS714" s="109">
        <f t="shared" si="264"/>
        <v>117355.77366466566</v>
      </c>
      <c r="BT714" s="109">
        <f t="shared" si="265"/>
        <v>117698.51391321191</v>
      </c>
      <c r="BV714" s="58">
        <f t="array" ref="BV714">SUM(IF(BS714:BT714&gt;=BS714, 1))</f>
        <v>2</v>
      </c>
      <c r="BW714" s="58">
        <f t="array" ref="BW714">SUM(IF(BS714:BT714&gt;=BT714, 1))</f>
        <v>1</v>
      </c>
      <c r="BY714" s="109">
        <f t="shared" si="266"/>
        <v>133857.87282670769</v>
      </c>
      <c r="BZ714" s="109">
        <f t="shared" si="267"/>
        <v>134169.54243664697</v>
      </c>
      <c r="CB714" s="58">
        <f t="array" ref="CB714">SUM(IF(BY714:BZ714&gt;=BY714, 1))</f>
        <v>2</v>
      </c>
      <c r="CC714" s="58">
        <f t="array" ref="CC714">SUM(IF(BY714:BZ714&gt;=BZ714, 1))</f>
        <v>1</v>
      </c>
      <c r="CE714" s="109">
        <f t="shared" si="268"/>
        <v>96853.591682725732</v>
      </c>
      <c r="CF714" s="109">
        <f t="shared" si="269"/>
        <v>99720.4599865255</v>
      </c>
      <c r="CH714" s="58">
        <f t="array" ref="CH714">SUM(IF(CE714:CF714&gt;=CE714, 1))</f>
        <v>2</v>
      </c>
      <c r="CI714" s="58">
        <f t="array" ref="CI714">SUM(IF(CE714:CF714&gt;=CF714, 1))</f>
        <v>1</v>
      </c>
      <c r="CK714" s="109">
        <f t="shared" si="270"/>
        <v>47421.913375446151</v>
      </c>
      <c r="CL714" s="109">
        <f t="shared" si="271"/>
        <v>48249.081920824254</v>
      </c>
      <c r="CN714" s="58">
        <f t="array" ref="CN714">SUM(IF(CK714:CL714&gt;=CK714, 1))</f>
        <v>2</v>
      </c>
      <c r="CO714" s="58">
        <f t="array" ref="CO714">SUM(IF(CK714:CL714&gt;=CL714, 1))</f>
        <v>1</v>
      </c>
      <c r="CQ714" s="109" cm="1">
        <f t="array" ref="CQ714">AF714*WTP-AC714</f>
        <v>33216.263176100954</v>
      </c>
      <c r="CR714" s="109">
        <f t="shared" si="272"/>
        <v>36435.703155069525</v>
      </c>
      <c r="CT714" s="58">
        <f t="array" ref="CT714">SUM(IF(CQ714:CR714&gt;=CQ714, 1))</f>
        <v>2</v>
      </c>
      <c r="CU714" s="58">
        <f t="array" ref="CU714">SUM(IF(CQ714:CR714&gt;=CR714, 1))</f>
        <v>1</v>
      </c>
      <c r="CW714" s="109">
        <f t="shared" si="273"/>
        <v>-36153867.953542456</v>
      </c>
      <c r="CX714" s="109">
        <f t="shared" si="274"/>
        <v>0</v>
      </c>
      <c r="CZ714" s="58">
        <f t="array" ref="CZ714">SUM(IF(CW714:CX714&gt;=CW714, 1))</f>
        <v>2</v>
      </c>
      <c r="DA714" s="58">
        <f t="array" ref="DA714">SUM(IF(CW714:CX714&gt;=CX714, 1))</f>
        <v>1</v>
      </c>
      <c r="DC714" s="109">
        <f t="shared" si="275"/>
        <v>-2166099.0523564992</v>
      </c>
      <c r="DD714" s="109">
        <f t="shared" si="276"/>
        <v>0</v>
      </c>
      <c r="DF714" s="58">
        <f t="array" ref="DF714">SUM(IF(DC714:DD714&gt;=DC714, 1))</f>
        <v>2</v>
      </c>
      <c r="DG714" s="58">
        <f t="array" ref="DG714">SUM(IF(DC714:DD714&gt;=DD714, 1))</f>
        <v>1</v>
      </c>
      <c r="DI714" s="109">
        <f t="shared" si="277"/>
        <v>-64585610.643998697</v>
      </c>
      <c r="DJ714" s="109">
        <f t="shared" si="278"/>
        <v>0</v>
      </c>
      <c r="DL714" s="58">
        <f t="array" ref="DL714">SUM(IF(DI714:DJ714&gt;=DI714, 1))</f>
        <v>2</v>
      </c>
      <c r="DM714" s="58">
        <f t="array" ref="DM714">SUM(IF(DI714:DJ714&gt;=DJ714, 1))</f>
        <v>1</v>
      </c>
      <c r="DO714" s="109">
        <f t="shared" si="279"/>
        <v>-7641490.5526351575</v>
      </c>
      <c r="DP714" s="109">
        <f t="shared" si="280"/>
        <v>0</v>
      </c>
      <c r="DR714" s="58">
        <f t="array" ref="DR714">SUM(IF(DO714:DP714&gt;=DO714, 1))</f>
        <v>2</v>
      </c>
      <c r="DS714" s="58">
        <f t="array" ref="DS714">SUM(IF(DO714:DP714&gt;=DP714, 1))</f>
        <v>1</v>
      </c>
      <c r="DU714" s="109">
        <f t="shared" si="281"/>
        <v>-52164870.97947681</v>
      </c>
      <c r="DV714" s="109">
        <f t="shared" si="282"/>
        <v>0</v>
      </c>
      <c r="DX714" s="58">
        <f t="array" ref="DX714">SUM(IF(DU714:DV714&gt;=DU714, 1))</f>
        <v>2</v>
      </c>
      <c r="DY714" s="58">
        <f t="array" ref="DY714">SUM(IF(DU714:DV714&gt;=DV714, 1))</f>
        <v>1</v>
      </c>
      <c r="EA714" s="109">
        <f t="shared" si="283"/>
        <v>-162711939.18200961</v>
      </c>
      <c r="EB714" s="109">
        <f t="shared" si="284"/>
        <v>0</v>
      </c>
      <c r="ED714" s="58">
        <f t="array" ref="ED714">SUM(IF(EA714:EB714&gt;=EA714, 1))</f>
        <v>2</v>
      </c>
      <c r="EE714" s="58">
        <f t="array" ref="EE714">SUM(IF(EA714:EB714&gt;=EB714, 1))</f>
        <v>1</v>
      </c>
    </row>
    <row r="715" spans="4:135" ht="12" customHeight="1" x14ac:dyDescent="0.25">
      <c r="D715" s="11">
        <v>699</v>
      </c>
      <c r="E715" s="72">
        <v>209.28928590757025</v>
      </c>
      <c r="F715" s="72">
        <v>186.20571038237517</v>
      </c>
      <c r="G715" s="73"/>
      <c r="H715" s="74">
        <v>5.8382811511975525</v>
      </c>
      <c r="I715" s="74">
        <v>5.8558185097465083</v>
      </c>
      <c r="J715" s="73"/>
      <c r="K715" s="72">
        <v>224.32974769421782</v>
      </c>
      <c r="L715" s="72">
        <v>200.71841105556663</v>
      </c>
      <c r="M715" s="73"/>
      <c r="N715" s="74">
        <v>6.7023376239070345</v>
      </c>
      <c r="O715" s="74">
        <v>6.7177385019103086</v>
      </c>
      <c r="P715" s="73"/>
      <c r="Q715" s="72">
        <v>2722.7938009519244</v>
      </c>
      <c r="R715" s="72">
        <v>1456.5810952366739</v>
      </c>
      <c r="S715" s="73"/>
      <c r="T715" s="74">
        <v>4.6988168475671994</v>
      </c>
      <c r="U715" s="74">
        <v>4.7942314869207596</v>
      </c>
      <c r="V715" s="73"/>
      <c r="W715" s="72">
        <v>10949.164299316022</v>
      </c>
      <c r="X715" s="72">
        <v>10904.79849323579</v>
      </c>
      <c r="Y715" s="73"/>
      <c r="Z715" s="74">
        <v>3.0039195617480212</v>
      </c>
      <c r="AA715" s="74">
        <v>3.0334595680325882</v>
      </c>
      <c r="AB715" s="73"/>
      <c r="AC715" s="72">
        <v>51173.940437303594</v>
      </c>
      <c r="AD715" s="72">
        <v>51070.946104442541</v>
      </c>
      <c r="AE715" s="73"/>
      <c r="AF715" s="74">
        <v>4.565095492644077</v>
      </c>
      <c r="AG715" s="74">
        <v>4.6454213343215409</v>
      </c>
      <c r="AH715" s="73"/>
      <c r="AI715" s="72">
        <v>2488936.6036714301</v>
      </c>
      <c r="AJ715" s="72">
        <v>0</v>
      </c>
      <c r="AK715" s="73"/>
      <c r="AL715" s="74">
        <v>-1890.927754089224</v>
      </c>
      <c r="AM715" s="74">
        <v>0</v>
      </c>
      <c r="AN715" s="73"/>
      <c r="AO715" s="72">
        <v>152494.02599703713</v>
      </c>
      <c r="AP715" s="72">
        <v>0</v>
      </c>
      <c r="AQ715" s="73"/>
      <c r="AR715" s="74">
        <v>-99.466706461843501</v>
      </c>
      <c r="AS715" s="74">
        <v>0</v>
      </c>
      <c r="AT715" s="73"/>
      <c r="AU715" s="72">
        <v>28890345.034433018</v>
      </c>
      <c r="AV715" s="72">
        <v>0</v>
      </c>
      <c r="AW715" s="73"/>
      <c r="AX715" s="74">
        <v>-2177.0132615303651</v>
      </c>
      <c r="AY715" s="74">
        <v>0</v>
      </c>
      <c r="AZ715" s="73"/>
      <c r="BA715" s="72">
        <v>399020.75830935145</v>
      </c>
      <c r="BB715" s="72">
        <v>0</v>
      </c>
      <c r="BC715" s="73"/>
      <c r="BD715" s="74">
        <v>-265.67928658424478</v>
      </c>
      <c r="BE715" s="74">
        <v>0</v>
      </c>
      <c r="BF715" s="73"/>
      <c r="BG715" s="72">
        <v>1614384.9503728591</v>
      </c>
      <c r="BH715" s="72">
        <v>0</v>
      </c>
      <c r="BI715" s="73"/>
      <c r="BJ715" s="74">
        <v>-1259.0676237019165</v>
      </c>
      <c r="BK715" s="74">
        <v>0</v>
      </c>
      <c r="BL715" s="73"/>
      <c r="BM715" s="72">
        <v>33545181.372783698</v>
      </c>
      <c r="BN715" s="72">
        <v>0</v>
      </c>
      <c r="BO715" s="73"/>
      <c r="BP715" s="74">
        <v>-5692.1546323675939</v>
      </c>
      <c r="BQ715" s="74">
        <v>0</v>
      </c>
      <c r="BS715" s="109">
        <f t="shared" si="264"/>
        <v>116556.33373804348</v>
      </c>
      <c r="BT715" s="109">
        <f t="shared" si="265"/>
        <v>116930.16448454779</v>
      </c>
      <c r="BV715" s="58">
        <f t="array" ref="BV715">SUM(IF(BS715:BT715&gt;=BS715, 1))</f>
        <v>2</v>
      </c>
      <c r="BW715" s="58">
        <f t="array" ref="BW715">SUM(IF(BS715:BT715&gt;=BT715, 1))</f>
        <v>1</v>
      </c>
      <c r="BY715" s="109">
        <f t="shared" si="266"/>
        <v>133822.42273044647</v>
      </c>
      <c r="BZ715" s="109">
        <f t="shared" si="267"/>
        <v>134154.05162715059</v>
      </c>
      <c r="CB715" s="58">
        <f t="array" ref="CB715">SUM(IF(BY715:BZ715&gt;=BY715, 1))</f>
        <v>2</v>
      </c>
      <c r="CC715" s="58">
        <f t="array" ref="CC715">SUM(IF(BY715:BZ715&gt;=BZ715, 1))</f>
        <v>1</v>
      </c>
      <c r="CE715" s="109">
        <f t="shared" si="268"/>
        <v>91253.543150392055</v>
      </c>
      <c r="CF715" s="109">
        <f t="shared" si="269"/>
        <v>94428.048643178525</v>
      </c>
      <c r="CH715" s="58">
        <f t="array" ref="CH715">SUM(IF(CE715:CF715&gt;=CE715, 1))</f>
        <v>2</v>
      </c>
      <c r="CI715" s="58">
        <f t="array" ref="CI715">SUM(IF(CE715:CF715&gt;=CF715, 1))</f>
        <v>1</v>
      </c>
      <c r="CK715" s="109">
        <f t="shared" si="270"/>
        <v>49129.226935644401</v>
      </c>
      <c r="CL715" s="109">
        <f t="shared" si="271"/>
        <v>49764.392867415969</v>
      </c>
      <c r="CN715" s="58">
        <f t="array" ref="CN715">SUM(IF(CK715:CL715&gt;=CK715, 1))</f>
        <v>2</v>
      </c>
      <c r="CO715" s="58">
        <f t="array" ref="CO715">SUM(IF(CK715:CL715&gt;=CL715, 1))</f>
        <v>1</v>
      </c>
      <c r="CQ715" s="109" cm="1">
        <f t="array" ref="CQ715">AF715*WTP-AC715</f>
        <v>40127.969415577943</v>
      </c>
      <c r="CR715" s="109">
        <f t="shared" si="272"/>
        <v>41837.480581988275</v>
      </c>
      <c r="CT715" s="58">
        <f t="array" ref="CT715">SUM(IF(CQ715:CR715&gt;=CQ715, 1))</f>
        <v>2</v>
      </c>
      <c r="CU715" s="58">
        <f t="array" ref="CU715">SUM(IF(CQ715:CR715&gt;=CR715, 1))</f>
        <v>1</v>
      </c>
      <c r="CW715" s="109">
        <f t="shared" si="273"/>
        <v>-40307491.685455911</v>
      </c>
      <c r="CX715" s="109">
        <f t="shared" si="274"/>
        <v>0</v>
      </c>
      <c r="CZ715" s="58">
        <f t="array" ref="CZ715">SUM(IF(CW715:CX715&gt;=CW715, 1))</f>
        <v>2</v>
      </c>
      <c r="DA715" s="58">
        <f t="array" ref="DA715">SUM(IF(CW715:CX715&gt;=CX715, 1))</f>
        <v>1</v>
      </c>
      <c r="DC715" s="109">
        <f t="shared" si="275"/>
        <v>-2141828.155233907</v>
      </c>
      <c r="DD715" s="109">
        <f t="shared" si="276"/>
        <v>0</v>
      </c>
      <c r="DF715" s="58">
        <f t="array" ref="DF715">SUM(IF(DC715:DD715&gt;=DC715, 1))</f>
        <v>2</v>
      </c>
      <c r="DG715" s="58">
        <f t="array" ref="DG715">SUM(IF(DC715:DD715&gt;=DD715, 1))</f>
        <v>1</v>
      </c>
      <c r="DI715" s="109">
        <f t="shared" si="277"/>
        <v>-72430610.265040323</v>
      </c>
      <c r="DJ715" s="109">
        <f t="shared" si="278"/>
        <v>0</v>
      </c>
      <c r="DL715" s="58">
        <f t="array" ref="DL715">SUM(IF(DI715:DJ715&gt;=DI715, 1))</f>
        <v>2</v>
      </c>
      <c r="DM715" s="58">
        <f t="array" ref="DM715">SUM(IF(DI715:DJ715&gt;=DJ715, 1))</f>
        <v>1</v>
      </c>
      <c r="DO715" s="109">
        <f t="shared" si="279"/>
        <v>-5712606.4899942465</v>
      </c>
      <c r="DP715" s="109">
        <f t="shared" si="280"/>
        <v>0</v>
      </c>
      <c r="DR715" s="58">
        <f t="array" ref="DR715">SUM(IF(DO715:DP715&gt;=DO715, 1))</f>
        <v>2</v>
      </c>
      <c r="DS715" s="58">
        <f t="array" ref="DS715">SUM(IF(DO715:DP715&gt;=DP715, 1))</f>
        <v>1</v>
      </c>
      <c r="DU715" s="109">
        <f t="shared" si="281"/>
        <v>-26795737.424411193</v>
      </c>
      <c r="DV715" s="109">
        <f t="shared" si="282"/>
        <v>0</v>
      </c>
      <c r="DX715" s="58">
        <f t="array" ref="DX715">SUM(IF(DU715:DV715&gt;=DU715, 1))</f>
        <v>2</v>
      </c>
      <c r="DY715" s="58">
        <f t="array" ref="DY715">SUM(IF(DU715:DV715&gt;=DV715, 1))</f>
        <v>1</v>
      </c>
      <c r="EA715" s="109">
        <f t="shared" si="283"/>
        <v>-147388274.02013558</v>
      </c>
      <c r="EB715" s="109">
        <f t="shared" si="284"/>
        <v>0</v>
      </c>
      <c r="ED715" s="58">
        <f t="array" ref="ED715">SUM(IF(EA715:EB715&gt;=EA715, 1))</f>
        <v>2</v>
      </c>
      <c r="EE715" s="58">
        <f t="array" ref="EE715">SUM(IF(EA715:EB715&gt;=EB715, 1))</f>
        <v>1</v>
      </c>
    </row>
    <row r="716" spans="4:135" ht="12" customHeight="1" x14ac:dyDescent="0.25">
      <c r="D716" s="11">
        <v>700</v>
      </c>
      <c r="E716" s="72">
        <v>301.09236299837056</v>
      </c>
      <c r="F716" s="72">
        <v>252.53495844844792</v>
      </c>
      <c r="G716" s="73"/>
      <c r="H716" s="74">
        <v>5.8234690370399234</v>
      </c>
      <c r="I716" s="74">
        <v>5.8417624718558816</v>
      </c>
      <c r="J716" s="73"/>
      <c r="K716" s="72">
        <v>321.94896558775832</v>
      </c>
      <c r="L716" s="72">
        <v>272.23756332671314</v>
      </c>
      <c r="M716" s="73"/>
      <c r="N716" s="74">
        <v>6.6674799473549804</v>
      </c>
      <c r="O716" s="74">
        <v>6.683067524736976</v>
      </c>
      <c r="P716" s="73"/>
      <c r="Q716" s="72">
        <v>667.15937185039763</v>
      </c>
      <c r="R716" s="72">
        <v>681.60475706011528</v>
      </c>
      <c r="S716" s="73"/>
      <c r="T716" s="74">
        <v>4.8622281712657562</v>
      </c>
      <c r="U716" s="74">
        <v>4.9757415169143391</v>
      </c>
      <c r="V716" s="73"/>
      <c r="W716" s="72">
        <v>11350.617161155044</v>
      </c>
      <c r="X716" s="72">
        <v>11318.075296796496</v>
      </c>
      <c r="Y716" s="73"/>
      <c r="Z716" s="74">
        <v>2.956955274751301</v>
      </c>
      <c r="AA716" s="74">
        <v>2.9917004713037705</v>
      </c>
      <c r="AB716" s="73"/>
      <c r="AC716" s="72">
        <v>49517.152329380384</v>
      </c>
      <c r="AD716" s="72">
        <v>49206.661009947071</v>
      </c>
      <c r="AE716" s="73"/>
      <c r="AF716" s="74">
        <v>4.8724980443309436</v>
      </c>
      <c r="AG716" s="74">
        <v>5.0371258604783575</v>
      </c>
      <c r="AH716" s="73"/>
      <c r="AI716" s="72">
        <v>5277027.2412997829</v>
      </c>
      <c r="AJ716" s="72">
        <v>0</v>
      </c>
      <c r="AK716" s="73"/>
      <c r="AL716" s="74">
        <v>-1988.0583559919151</v>
      </c>
      <c r="AM716" s="74">
        <v>0</v>
      </c>
      <c r="AN716" s="73"/>
      <c r="AO716" s="72">
        <v>325925.95482042438</v>
      </c>
      <c r="AP716" s="72">
        <v>0</v>
      </c>
      <c r="AQ716" s="73"/>
      <c r="AR716" s="74">
        <v>-102.19780192250286</v>
      </c>
      <c r="AS716" s="74">
        <v>0</v>
      </c>
      <c r="AT716" s="73"/>
      <c r="AU716" s="72">
        <v>-334793.79933445132</v>
      </c>
      <c r="AV716" s="72">
        <v>0</v>
      </c>
      <c r="AW716" s="73"/>
      <c r="AX716" s="74">
        <v>-2630.844640909143</v>
      </c>
      <c r="AY716" s="74">
        <v>0</v>
      </c>
      <c r="AZ716" s="73"/>
      <c r="BA716" s="72">
        <v>285390.93764675438</v>
      </c>
      <c r="BB716" s="72">
        <v>0</v>
      </c>
      <c r="BC716" s="73"/>
      <c r="BD716" s="74">
        <v>-304.71407887316042</v>
      </c>
      <c r="BE716" s="74">
        <v>0</v>
      </c>
      <c r="BF716" s="73"/>
      <c r="BG716" s="72">
        <v>4976267.4437149884</v>
      </c>
      <c r="BH716" s="72">
        <v>0</v>
      </c>
      <c r="BI716" s="73"/>
      <c r="BJ716" s="74">
        <v>-2638.5022399965242</v>
      </c>
      <c r="BK716" s="74">
        <v>0</v>
      </c>
      <c r="BL716" s="73"/>
      <c r="BM716" s="72">
        <v>10529817.778147498</v>
      </c>
      <c r="BN716" s="72">
        <v>0</v>
      </c>
      <c r="BO716" s="73"/>
      <c r="BP716" s="74">
        <v>-7664.3171176932465</v>
      </c>
      <c r="BQ716" s="74">
        <v>0</v>
      </c>
      <c r="BS716" s="109">
        <f t="shared" si="264"/>
        <v>116168.2883778001</v>
      </c>
      <c r="BT716" s="109">
        <f t="shared" si="265"/>
        <v>116582.71447866918</v>
      </c>
      <c r="BV716" s="58">
        <f t="array" ref="BV716">SUM(IF(BS716:BT716&gt;=BS716, 1))</f>
        <v>2</v>
      </c>
      <c r="BW716" s="58">
        <f t="array" ref="BW716">SUM(IF(BS716:BT716&gt;=BT716, 1))</f>
        <v>1</v>
      </c>
      <c r="BY716" s="109">
        <f t="shared" si="266"/>
        <v>133027.64998151184</v>
      </c>
      <c r="BZ716" s="109">
        <f t="shared" si="267"/>
        <v>133389.11293141279</v>
      </c>
      <c r="CB716" s="58">
        <f t="array" ref="CB716">SUM(IF(BY716:BZ716&gt;=BY716, 1))</f>
        <v>2</v>
      </c>
      <c r="CC716" s="58">
        <f t="array" ref="CC716">SUM(IF(BY716:BZ716&gt;=BZ716, 1))</f>
        <v>1</v>
      </c>
      <c r="CE716" s="109">
        <f t="shared" si="268"/>
        <v>96577.404053464721</v>
      </c>
      <c r="CF716" s="109">
        <f t="shared" si="269"/>
        <v>98833.225581226652</v>
      </c>
      <c r="CH716" s="58">
        <f t="array" ref="CH716">SUM(IF(CE716:CF716&gt;=CE716, 1))</f>
        <v>2</v>
      </c>
      <c r="CI716" s="58">
        <f t="array" ref="CI716">SUM(IF(CE716:CF716&gt;=CF716, 1))</f>
        <v>1</v>
      </c>
      <c r="CK716" s="109">
        <f t="shared" si="270"/>
        <v>47788.488333870977</v>
      </c>
      <c r="CL716" s="109">
        <f t="shared" si="271"/>
        <v>48515.934129278918</v>
      </c>
      <c r="CN716" s="58">
        <f t="array" ref="CN716">SUM(IF(CK716:CL716&gt;=CK716, 1))</f>
        <v>2</v>
      </c>
      <c r="CO716" s="58">
        <f t="array" ref="CO716">SUM(IF(CK716:CL716&gt;=CL716, 1))</f>
        <v>1</v>
      </c>
      <c r="CQ716" s="109" cm="1">
        <f t="array" ref="CQ716">AF716*WTP-AC716</f>
        <v>47932.808557238481</v>
      </c>
      <c r="CR716" s="109">
        <f t="shared" si="272"/>
        <v>51535.856199620073</v>
      </c>
      <c r="CT716" s="58">
        <f t="array" ref="CT716">SUM(IF(CQ716:CR716&gt;=CQ716, 1))</f>
        <v>2</v>
      </c>
      <c r="CU716" s="58">
        <f t="array" ref="CU716">SUM(IF(CQ716:CR716&gt;=CR716, 1))</f>
        <v>1</v>
      </c>
      <c r="CW716" s="109">
        <f t="shared" si="273"/>
        <v>-45038194.361138083</v>
      </c>
      <c r="CX716" s="109">
        <f t="shared" si="274"/>
        <v>0</v>
      </c>
      <c r="CZ716" s="58">
        <f t="array" ref="CZ716">SUM(IF(CW716:CX716&gt;=CW716, 1))</f>
        <v>2</v>
      </c>
      <c r="DA716" s="58">
        <f t="array" ref="DA716">SUM(IF(CW716:CX716&gt;=CX716, 1))</f>
        <v>1</v>
      </c>
      <c r="DC716" s="109">
        <f t="shared" si="275"/>
        <v>-2369881.9932704815</v>
      </c>
      <c r="DD716" s="109">
        <f t="shared" si="276"/>
        <v>0</v>
      </c>
      <c r="DF716" s="58">
        <f t="array" ref="DF716">SUM(IF(DC716:DD716&gt;=DC716, 1))</f>
        <v>2</v>
      </c>
      <c r="DG716" s="58">
        <f t="array" ref="DG716">SUM(IF(DC716:DD716&gt;=DD716, 1))</f>
        <v>1</v>
      </c>
      <c r="DI716" s="109">
        <f t="shared" si="277"/>
        <v>-52282099.018848412</v>
      </c>
      <c r="DJ716" s="109">
        <f t="shared" si="278"/>
        <v>0</v>
      </c>
      <c r="DL716" s="58">
        <f t="array" ref="DL716">SUM(IF(DI716:DJ716&gt;=DI716, 1))</f>
        <v>2</v>
      </c>
      <c r="DM716" s="58">
        <f t="array" ref="DM716">SUM(IF(DI716:DJ716&gt;=DJ716, 1))</f>
        <v>1</v>
      </c>
      <c r="DO716" s="109">
        <f t="shared" si="279"/>
        <v>-6379672.5151099628</v>
      </c>
      <c r="DP716" s="109">
        <f t="shared" si="280"/>
        <v>0</v>
      </c>
      <c r="DR716" s="58">
        <f t="array" ref="DR716">SUM(IF(DO716:DP716&gt;=DO716, 1))</f>
        <v>2</v>
      </c>
      <c r="DS716" s="58">
        <f t="array" ref="DS716">SUM(IF(DO716:DP716&gt;=DP716, 1))</f>
        <v>1</v>
      </c>
      <c r="DU716" s="109">
        <f t="shared" si="281"/>
        <v>-57746312.243645474</v>
      </c>
      <c r="DV716" s="109">
        <f t="shared" si="282"/>
        <v>0</v>
      </c>
      <c r="DX716" s="58">
        <f t="array" ref="DX716">SUM(IF(DU716:DV716&gt;=DU716, 1))</f>
        <v>2</v>
      </c>
      <c r="DY716" s="58">
        <f t="array" ref="DY716">SUM(IF(DU716:DV716&gt;=DV716, 1))</f>
        <v>1</v>
      </c>
      <c r="EA716" s="109">
        <f t="shared" si="283"/>
        <v>-163816160.13201243</v>
      </c>
      <c r="EB716" s="109">
        <f t="shared" si="284"/>
        <v>0</v>
      </c>
      <c r="ED716" s="58">
        <f t="array" ref="ED716">SUM(IF(EA716:EB716&gt;=EA716, 1))</f>
        <v>2</v>
      </c>
      <c r="EE716" s="58">
        <f t="array" ref="EE716">SUM(IF(EA716:EB716&gt;=EB716, 1))</f>
        <v>1</v>
      </c>
    </row>
    <row r="717" spans="4:135" ht="12" customHeight="1" x14ac:dyDescent="0.25">
      <c r="D717" s="11">
        <v>701</v>
      </c>
      <c r="E717" s="72">
        <v>286.99680688268091</v>
      </c>
      <c r="F717" s="72">
        <v>262.10719352679394</v>
      </c>
      <c r="G717" s="73"/>
      <c r="H717" s="74">
        <v>5.8181891651596578</v>
      </c>
      <c r="I717" s="74">
        <v>5.8353445839912661</v>
      </c>
      <c r="J717" s="73"/>
      <c r="K717" s="72">
        <v>308.031510418035</v>
      </c>
      <c r="L717" s="72">
        <v>282.57376664691884</v>
      </c>
      <c r="M717" s="73"/>
      <c r="N717" s="74">
        <v>6.7019097421998284</v>
      </c>
      <c r="O717" s="74">
        <v>6.7174905108918521</v>
      </c>
      <c r="P717" s="73"/>
      <c r="Q717" s="72">
        <v>2574.5227164672383</v>
      </c>
      <c r="R717" s="72">
        <v>1512.6754251352327</v>
      </c>
      <c r="S717" s="73"/>
      <c r="T717" s="74">
        <v>4.8490141579484352</v>
      </c>
      <c r="U717" s="74">
        <v>4.9344284504323186</v>
      </c>
      <c r="V717" s="73"/>
      <c r="W717" s="72">
        <v>11730.958916297937</v>
      </c>
      <c r="X717" s="72">
        <v>11750.80929274902</v>
      </c>
      <c r="Y717" s="73"/>
      <c r="Z717" s="74">
        <v>3.1757192121770053</v>
      </c>
      <c r="AA717" s="74">
        <v>3.2226318989078369</v>
      </c>
      <c r="AB717" s="73"/>
      <c r="AC717" s="72">
        <v>50338.368288198151</v>
      </c>
      <c r="AD717" s="72">
        <v>49911.752856187806</v>
      </c>
      <c r="AE717" s="73"/>
      <c r="AF717" s="74">
        <v>4.388739580297468</v>
      </c>
      <c r="AG717" s="74">
        <v>4.5003008923452485</v>
      </c>
      <c r="AH717" s="73"/>
      <c r="AI717" s="72">
        <v>2674315.1971596889</v>
      </c>
      <c r="AJ717" s="72">
        <v>0</v>
      </c>
      <c r="AK717" s="73"/>
      <c r="AL717" s="74">
        <v>-1843.2989150535827</v>
      </c>
      <c r="AM717" s="74">
        <v>0</v>
      </c>
      <c r="AN717" s="73"/>
      <c r="AO717" s="72">
        <v>173803.0361735287</v>
      </c>
      <c r="AP717" s="72">
        <v>0</v>
      </c>
      <c r="AQ717" s="73"/>
      <c r="AR717" s="74">
        <v>-106.37175583735784</v>
      </c>
      <c r="AS717" s="74">
        <v>0</v>
      </c>
      <c r="AT717" s="73"/>
      <c r="AU717" s="72">
        <v>24928762.922851056</v>
      </c>
      <c r="AV717" s="72">
        <v>0</v>
      </c>
      <c r="AW717" s="73"/>
      <c r="AX717" s="74">
        <v>-2005.253170522082</v>
      </c>
      <c r="AY717" s="74">
        <v>0</v>
      </c>
      <c r="AZ717" s="73"/>
      <c r="BA717" s="72">
        <v>-177961.45115024369</v>
      </c>
      <c r="BB717" s="72">
        <v>0</v>
      </c>
      <c r="BC717" s="73"/>
      <c r="BD717" s="74">
        <v>-420.5789158986118</v>
      </c>
      <c r="BE717" s="74">
        <v>0</v>
      </c>
      <c r="BF717" s="73"/>
      <c r="BG717" s="72">
        <v>6569083.8826381369</v>
      </c>
      <c r="BH717" s="72">
        <v>0</v>
      </c>
      <c r="BI717" s="73"/>
      <c r="BJ717" s="74">
        <v>-1717.8366320355417</v>
      </c>
      <c r="BK717" s="74">
        <v>0</v>
      </c>
      <c r="BL717" s="73"/>
      <c r="BM717" s="72">
        <v>34168003.587672167</v>
      </c>
      <c r="BN717" s="72">
        <v>0</v>
      </c>
      <c r="BO717" s="73"/>
      <c r="BP717" s="74">
        <v>-6093.3393893471757</v>
      </c>
      <c r="BQ717" s="74">
        <v>0</v>
      </c>
      <c r="BS717" s="109">
        <f t="shared" si="264"/>
        <v>116076.78649631047</v>
      </c>
      <c r="BT717" s="109">
        <f t="shared" si="265"/>
        <v>116444.78448629852</v>
      </c>
      <c r="BV717" s="58">
        <f t="array" ref="BV717">SUM(IF(BS717:BT717&gt;=BS717, 1))</f>
        <v>2</v>
      </c>
      <c r="BW717" s="58">
        <f t="array" ref="BW717">SUM(IF(BS717:BT717&gt;=BT717, 1))</f>
        <v>1</v>
      </c>
      <c r="BY717" s="109">
        <f t="shared" si="266"/>
        <v>133730.16333357853</v>
      </c>
      <c r="BZ717" s="109">
        <f t="shared" si="267"/>
        <v>134067.23645119014</v>
      </c>
      <c r="CB717" s="58">
        <f t="array" ref="CB717">SUM(IF(BY717:BZ717&gt;=BY717, 1))</f>
        <v>2</v>
      </c>
      <c r="CC717" s="58">
        <f t="array" ref="CC717">SUM(IF(BY717:BZ717&gt;=BZ717, 1))</f>
        <v>1</v>
      </c>
      <c r="CE717" s="109">
        <f t="shared" si="268"/>
        <v>94405.760442501458</v>
      </c>
      <c r="CF717" s="109">
        <f t="shared" si="269"/>
        <v>97175.893583511133</v>
      </c>
      <c r="CH717" s="58">
        <f t="array" ref="CH717">SUM(IF(CE717:CF717&gt;=CE717, 1))</f>
        <v>2</v>
      </c>
      <c r="CI717" s="58">
        <f t="array" ref="CI717">SUM(IF(CE717:CF717&gt;=CF717, 1))</f>
        <v>1</v>
      </c>
      <c r="CK717" s="109">
        <f t="shared" si="270"/>
        <v>51783.425327242163</v>
      </c>
      <c r="CL717" s="109">
        <f t="shared" si="271"/>
        <v>52701.828685407716</v>
      </c>
      <c r="CN717" s="58">
        <f t="array" ref="CN717">SUM(IF(CK717:CL717&gt;=CK717, 1))</f>
        <v>2</v>
      </c>
      <c r="CO717" s="58">
        <f t="array" ref="CO717">SUM(IF(CK717:CL717&gt;=CL717, 1))</f>
        <v>1</v>
      </c>
      <c r="CQ717" s="109" cm="1">
        <f t="array" ref="CQ717">AF717*WTP-AC717</f>
        <v>37436.423317751207</v>
      </c>
      <c r="CR717" s="109">
        <f t="shared" si="272"/>
        <v>40094.264990717165</v>
      </c>
      <c r="CT717" s="58">
        <f t="array" ref="CT717">SUM(IF(CQ717:CR717&gt;=CQ717, 1))</f>
        <v>2</v>
      </c>
      <c r="CU717" s="58">
        <f t="array" ref="CU717">SUM(IF(CQ717:CR717&gt;=CR717, 1))</f>
        <v>1</v>
      </c>
      <c r="CW717" s="109">
        <f t="shared" si="273"/>
        <v>-39540293.498231336</v>
      </c>
      <c r="CX717" s="109">
        <f t="shared" si="274"/>
        <v>0</v>
      </c>
      <c r="CZ717" s="58">
        <f t="array" ref="CZ717">SUM(IF(CW717:CX717&gt;=CW717, 1))</f>
        <v>2</v>
      </c>
      <c r="DA717" s="58">
        <f t="array" ref="DA717">SUM(IF(CW717:CX717&gt;=CX717, 1))</f>
        <v>1</v>
      </c>
      <c r="DC717" s="109">
        <f t="shared" si="275"/>
        <v>-2301238.1529206852</v>
      </c>
      <c r="DD717" s="109">
        <f t="shared" si="276"/>
        <v>0</v>
      </c>
      <c r="DF717" s="58">
        <f t="array" ref="DF717">SUM(IF(DC717:DD717&gt;=DC717, 1))</f>
        <v>2</v>
      </c>
      <c r="DG717" s="58">
        <f t="array" ref="DG717">SUM(IF(DC717:DD717&gt;=DD717, 1))</f>
        <v>1</v>
      </c>
      <c r="DI717" s="109">
        <f t="shared" si="277"/>
        <v>-65033826.333292693</v>
      </c>
      <c r="DJ717" s="109">
        <f t="shared" si="278"/>
        <v>0</v>
      </c>
      <c r="DL717" s="58">
        <f t="array" ref="DL717">SUM(IF(DI717:DJ717&gt;=DI717, 1))</f>
        <v>2</v>
      </c>
      <c r="DM717" s="58">
        <f t="array" ref="DM717">SUM(IF(DI717:DJ717&gt;=DJ717, 1))</f>
        <v>1</v>
      </c>
      <c r="DO717" s="109">
        <f t="shared" si="279"/>
        <v>-8233616.8668219913</v>
      </c>
      <c r="DP717" s="109">
        <f t="shared" si="280"/>
        <v>0</v>
      </c>
      <c r="DR717" s="58">
        <f t="array" ref="DR717">SUM(IF(DO717:DP717&gt;=DO717, 1))</f>
        <v>2</v>
      </c>
      <c r="DS717" s="58">
        <f t="array" ref="DS717">SUM(IF(DO717:DP717&gt;=DP717, 1))</f>
        <v>1</v>
      </c>
      <c r="DU717" s="109">
        <f t="shared" si="281"/>
        <v>-40925816.523348965</v>
      </c>
      <c r="DV717" s="109">
        <f t="shared" si="282"/>
        <v>0</v>
      </c>
      <c r="DX717" s="58">
        <f t="array" ref="DX717">SUM(IF(DU717:DV717&gt;=DU717, 1))</f>
        <v>2</v>
      </c>
      <c r="DY717" s="58">
        <f t="array" ref="DY717">SUM(IF(DU717:DV717&gt;=DV717, 1))</f>
        <v>1</v>
      </c>
      <c r="EA717" s="109">
        <f t="shared" si="283"/>
        <v>-156034791.37461567</v>
      </c>
      <c r="EB717" s="109">
        <f t="shared" si="284"/>
        <v>0</v>
      </c>
      <c r="ED717" s="58">
        <f t="array" ref="ED717">SUM(IF(EA717:EB717&gt;=EA717, 1))</f>
        <v>2</v>
      </c>
      <c r="EE717" s="58">
        <f t="array" ref="EE717">SUM(IF(EA717:EB717&gt;=EB717, 1))</f>
        <v>1</v>
      </c>
    </row>
    <row r="718" spans="4:135" ht="12" customHeight="1" x14ac:dyDescent="0.25">
      <c r="D718" s="11">
        <v>702</v>
      </c>
      <c r="E718" s="72">
        <v>263.41996788111089</v>
      </c>
      <c r="F718" s="72">
        <v>253.79441743071681</v>
      </c>
      <c r="G718" s="73"/>
      <c r="H718" s="74">
        <v>5.8540879616744057</v>
      </c>
      <c r="I718" s="74">
        <v>5.873394531382683</v>
      </c>
      <c r="J718" s="73"/>
      <c r="K718" s="72">
        <v>283.61962748686398</v>
      </c>
      <c r="L718" s="72">
        <v>273.74845305047313</v>
      </c>
      <c r="M718" s="73"/>
      <c r="N718" s="74">
        <v>6.6696947718963377</v>
      </c>
      <c r="O718" s="74">
        <v>6.6870935746957008</v>
      </c>
      <c r="P718" s="73"/>
      <c r="Q718" s="72">
        <v>2459.4163128298487</v>
      </c>
      <c r="R718" s="72">
        <v>1386.926093531418</v>
      </c>
      <c r="S718" s="73"/>
      <c r="T718" s="74">
        <v>4.9893519918875668</v>
      </c>
      <c r="U718" s="74">
        <v>5.0681689537347534</v>
      </c>
      <c r="V718" s="73"/>
      <c r="W718" s="72">
        <v>12773.637820151323</v>
      </c>
      <c r="X718" s="72">
        <v>12737.005693458425</v>
      </c>
      <c r="Y718" s="73"/>
      <c r="Z718" s="74">
        <v>3.0491448259567151</v>
      </c>
      <c r="AA718" s="74">
        <v>3.0983789227454674</v>
      </c>
      <c r="AB718" s="73"/>
      <c r="AC718" s="72">
        <v>49431.106314799268</v>
      </c>
      <c r="AD718" s="72">
        <v>49312.829385011733</v>
      </c>
      <c r="AE718" s="73"/>
      <c r="AF718" s="74">
        <v>4.4667654801057255</v>
      </c>
      <c r="AG718" s="74">
        <v>4.5224194228688388</v>
      </c>
      <c r="AH718" s="73"/>
      <c r="AI718" s="72">
        <v>1043895.9291589794</v>
      </c>
      <c r="AJ718" s="72">
        <v>0</v>
      </c>
      <c r="AK718" s="73"/>
      <c r="AL718" s="74">
        <v>-2093.8074792044295</v>
      </c>
      <c r="AM718" s="74">
        <v>0</v>
      </c>
      <c r="AN718" s="73"/>
      <c r="AO718" s="72">
        <v>68433.324423085389</v>
      </c>
      <c r="AP718" s="72">
        <v>0</v>
      </c>
      <c r="AQ718" s="73"/>
      <c r="AR718" s="74">
        <v>-120.61968149936071</v>
      </c>
      <c r="AS718" s="74">
        <v>0</v>
      </c>
      <c r="AT718" s="73"/>
      <c r="AU718" s="72">
        <v>25252003.254059121</v>
      </c>
      <c r="AV718" s="72">
        <v>0</v>
      </c>
      <c r="AW718" s="73"/>
      <c r="AX718" s="74">
        <v>-1855.7616109004275</v>
      </c>
      <c r="AY718" s="74">
        <v>0</v>
      </c>
      <c r="AZ718" s="73"/>
      <c r="BA718" s="72">
        <v>326483.2146295979</v>
      </c>
      <c r="BB718" s="72">
        <v>0</v>
      </c>
      <c r="BC718" s="73"/>
      <c r="BD718" s="74">
        <v>-438.79806170501564</v>
      </c>
      <c r="BE718" s="74">
        <v>0</v>
      </c>
      <c r="BF718" s="73"/>
      <c r="BG718" s="72">
        <v>1862567.9717376912</v>
      </c>
      <c r="BH718" s="72">
        <v>0</v>
      </c>
      <c r="BI718" s="73"/>
      <c r="BJ718" s="74">
        <v>-876.41141410843579</v>
      </c>
      <c r="BK718" s="74">
        <v>0</v>
      </c>
      <c r="BL718" s="73"/>
      <c r="BM718" s="72">
        <v>28553383.694008473</v>
      </c>
      <c r="BN718" s="72">
        <v>0</v>
      </c>
      <c r="BO718" s="73"/>
      <c r="BP718" s="74">
        <v>-5385.3982474176692</v>
      </c>
      <c r="BQ718" s="74">
        <v>0</v>
      </c>
      <c r="BS718" s="109">
        <f t="shared" si="264"/>
        <v>116818.33926560701</v>
      </c>
      <c r="BT718" s="109">
        <f t="shared" si="265"/>
        <v>117214.09621022294</v>
      </c>
      <c r="BV718" s="58">
        <f t="array" ref="BV718">SUM(IF(BS718:BT718&gt;=BS718, 1))</f>
        <v>2</v>
      </c>
      <c r="BW718" s="58">
        <f t="array" ref="BW718">SUM(IF(BS718:BT718&gt;=BT718, 1))</f>
        <v>1</v>
      </c>
      <c r="BY718" s="109">
        <f t="shared" si="266"/>
        <v>133110.2758104399</v>
      </c>
      <c r="BZ718" s="109">
        <f t="shared" si="267"/>
        <v>133468.12304086355</v>
      </c>
      <c r="CB718" s="58">
        <f t="array" ref="CB718">SUM(IF(BY718:BZ718&gt;=BY718, 1))</f>
        <v>2</v>
      </c>
      <c r="CC718" s="58">
        <f t="array" ref="CC718">SUM(IF(BY718:BZ718&gt;=BZ718, 1))</f>
        <v>1</v>
      </c>
      <c r="CE718" s="109">
        <f t="shared" si="268"/>
        <v>97327.623524921481</v>
      </c>
      <c r="CF718" s="109">
        <f t="shared" si="269"/>
        <v>99976.452981163646</v>
      </c>
      <c r="CH718" s="58">
        <f t="array" ref="CH718">SUM(IF(CE718:CF718&gt;=CE718, 1))</f>
        <v>2</v>
      </c>
      <c r="CI718" s="58">
        <f t="array" ref="CI718">SUM(IF(CE718:CF718&gt;=CF718, 1))</f>
        <v>1</v>
      </c>
      <c r="CK718" s="109">
        <f t="shared" si="270"/>
        <v>48209.25869898298</v>
      </c>
      <c r="CL718" s="109">
        <f t="shared" si="271"/>
        <v>49230.572761450923</v>
      </c>
      <c r="CN718" s="58">
        <f t="array" ref="CN718">SUM(IF(CK718:CL718&gt;=CK718, 1))</f>
        <v>2</v>
      </c>
      <c r="CO718" s="58">
        <f t="array" ref="CO718">SUM(IF(CK718:CL718&gt;=CL718, 1))</f>
        <v>1</v>
      </c>
      <c r="CQ718" s="109" cm="1">
        <f t="array" ref="CQ718">AF718*WTP-AC718</f>
        <v>39904.203287315235</v>
      </c>
      <c r="CR718" s="109">
        <f t="shared" si="272"/>
        <v>41135.559072365038</v>
      </c>
      <c r="CT718" s="58">
        <f t="array" ref="CT718">SUM(IF(CQ718:CR718&gt;=CQ718, 1))</f>
        <v>2</v>
      </c>
      <c r="CU718" s="58">
        <f t="array" ref="CU718">SUM(IF(CQ718:CR718&gt;=CR718, 1))</f>
        <v>1</v>
      </c>
      <c r="CW718" s="109">
        <f t="shared" si="273"/>
        <v>-42920045.513247564</v>
      </c>
      <c r="CX718" s="109">
        <f t="shared" si="274"/>
        <v>0</v>
      </c>
      <c r="CZ718" s="58">
        <f t="array" ref="CZ718">SUM(IF(CW718:CX718&gt;=CW718, 1))</f>
        <v>2</v>
      </c>
      <c r="DA718" s="58">
        <f t="array" ref="DA718">SUM(IF(CW718:CX718&gt;=CX718, 1))</f>
        <v>1</v>
      </c>
      <c r="DC718" s="109">
        <f t="shared" si="275"/>
        <v>-2480826.9544102997</v>
      </c>
      <c r="DD718" s="109">
        <f t="shared" si="276"/>
        <v>0</v>
      </c>
      <c r="DF718" s="58">
        <f t="array" ref="DF718">SUM(IF(DC718:DD718&gt;=DC718, 1))</f>
        <v>2</v>
      </c>
      <c r="DG718" s="58">
        <f t="array" ref="DG718">SUM(IF(DC718:DD718&gt;=DD718, 1))</f>
        <v>1</v>
      </c>
      <c r="DI718" s="109">
        <f t="shared" si="277"/>
        <v>-62367235.472067669</v>
      </c>
      <c r="DJ718" s="109">
        <f t="shared" si="278"/>
        <v>0</v>
      </c>
      <c r="DL718" s="58">
        <f t="array" ref="DL718">SUM(IF(DI718:DJ718&gt;=DI718, 1))</f>
        <v>2</v>
      </c>
      <c r="DM718" s="58">
        <f t="array" ref="DM718">SUM(IF(DI718:DJ718&gt;=DJ718, 1))</f>
        <v>1</v>
      </c>
      <c r="DO718" s="109">
        <f t="shared" si="279"/>
        <v>-9102444.44872991</v>
      </c>
      <c r="DP718" s="109">
        <f t="shared" si="280"/>
        <v>0</v>
      </c>
      <c r="DR718" s="58">
        <f t="array" ref="DR718">SUM(IF(DO718:DP718&gt;=DO718, 1))</f>
        <v>2</v>
      </c>
      <c r="DS718" s="58">
        <f t="array" ref="DS718">SUM(IF(DO718:DP718&gt;=DP718, 1))</f>
        <v>1</v>
      </c>
      <c r="DU718" s="109">
        <f t="shared" si="281"/>
        <v>-19390796.253906406</v>
      </c>
      <c r="DV718" s="109">
        <f t="shared" si="282"/>
        <v>0</v>
      </c>
      <c r="DX718" s="58">
        <f t="array" ref="DX718">SUM(IF(DU718:DV718&gt;=DU718, 1))</f>
        <v>2</v>
      </c>
      <c r="DY718" s="58">
        <f t="array" ref="DY718">SUM(IF(DU718:DV718&gt;=DV718, 1))</f>
        <v>1</v>
      </c>
      <c r="EA718" s="109">
        <f t="shared" si="283"/>
        <v>-136261348.64236185</v>
      </c>
      <c r="EB718" s="109">
        <f t="shared" si="284"/>
        <v>0</v>
      </c>
      <c r="ED718" s="58">
        <f t="array" ref="ED718">SUM(IF(EA718:EB718&gt;=EA718, 1))</f>
        <v>2</v>
      </c>
      <c r="EE718" s="58">
        <f t="array" ref="EE718">SUM(IF(EA718:EB718&gt;=EB718, 1))</f>
        <v>1</v>
      </c>
    </row>
    <row r="719" spans="4:135" ht="12" customHeight="1" x14ac:dyDescent="0.25">
      <c r="D719" s="11">
        <v>703</v>
      </c>
      <c r="E719" s="72">
        <v>257.5050981716596</v>
      </c>
      <c r="F719" s="72">
        <v>220.79435872193059</v>
      </c>
      <c r="G719" s="73"/>
      <c r="H719" s="74">
        <v>5.7896454139956619</v>
      </c>
      <c r="I719" s="74">
        <v>5.8093308755137985</v>
      </c>
      <c r="J719" s="73"/>
      <c r="K719" s="72">
        <v>275.51830539894809</v>
      </c>
      <c r="L719" s="72">
        <v>237.99026955987199</v>
      </c>
      <c r="M719" s="73"/>
      <c r="N719" s="74">
        <v>6.7030650883025489</v>
      </c>
      <c r="O719" s="74">
        <v>6.7207704125828753</v>
      </c>
      <c r="P719" s="73"/>
      <c r="Q719" s="72">
        <v>3045.3883859813559</v>
      </c>
      <c r="R719" s="72">
        <v>1280.5447405167604</v>
      </c>
      <c r="S719" s="73"/>
      <c r="T719" s="74">
        <v>4.837799723548482</v>
      </c>
      <c r="U719" s="74">
        <v>5.0044656858730043</v>
      </c>
      <c r="V719" s="73"/>
      <c r="W719" s="72">
        <v>19226.000027422997</v>
      </c>
      <c r="X719" s="72">
        <v>19180.412648011072</v>
      </c>
      <c r="Y719" s="73"/>
      <c r="Z719" s="74">
        <v>2.9755432037211218</v>
      </c>
      <c r="AA719" s="74">
        <v>3.0156382494352267</v>
      </c>
      <c r="AB719" s="73"/>
      <c r="AC719" s="72">
        <v>52505.764073903942</v>
      </c>
      <c r="AD719" s="72">
        <v>52125.481240689187</v>
      </c>
      <c r="AE719" s="73"/>
      <c r="AF719" s="74">
        <v>4.6889177631301733</v>
      </c>
      <c r="AG719" s="74">
        <v>4.8020851914166629</v>
      </c>
      <c r="AH719" s="73"/>
      <c r="AI719" s="72">
        <v>3922051.5095670451</v>
      </c>
      <c r="AJ719" s="72">
        <v>0</v>
      </c>
      <c r="AK719" s="73"/>
      <c r="AL719" s="74">
        <v>-2103.1282731163119</v>
      </c>
      <c r="AM719" s="74">
        <v>0</v>
      </c>
      <c r="AN719" s="73"/>
      <c r="AO719" s="72">
        <v>252173.48185785336</v>
      </c>
      <c r="AP719" s="72">
        <v>0</v>
      </c>
      <c r="AQ719" s="73"/>
      <c r="AR719" s="74">
        <v>-118.97274054890244</v>
      </c>
      <c r="AS719" s="74">
        <v>0</v>
      </c>
      <c r="AT719" s="73"/>
      <c r="AU719" s="72">
        <v>40154649.860660844</v>
      </c>
      <c r="AV719" s="72">
        <v>0</v>
      </c>
      <c r="AW719" s="73"/>
      <c r="AX719" s="74">
        <v>-3792.0715401785678</v>
      </c>
      <c r="AY719" s="74">
        <v>0</v>
      </c>
      <c r="AZ719" s="73"/>
      <c r="BA719" s="72">
        <v>409665.15803937847</v>
      </c>
      <c r="BB719" s="72">
        <v>0</v>
      </c>
      <c r="BC719" s="73"/>
      <c r="BD719" s="74">
        <v>-360.30900330208812</v>
      </c>
      <c r="BE719" s="74">
        <v>0</v>
      </c>
      <c r="BF719" s="73"/>
      <c r="BG719" s="72">
        <v>6189938.6721362351</v>
      </c>
      <c r="BH719" s="72">
        <v>0</v>
      </c>
      <c r="BI719" s="73"/>
      <c r="BJ719" s="74">
        <v>-1842.0485480635875</v>
      </c>
      <c r="BK719" s="74">
        <v>0</v>
      </c>
      <c r="BL719" s="73"/>
      <c r="BM719" s="72">
        <v>50928478.682261348</v>
      </c>
      <c r="BN719" s="72">
        <v>0</v>
      </c>
      <c r="BO719" s="73"/>
      <c r="BP719" s="74">
        <v>-8216.5301052094583</v>
      </c>
      <c r="BQ719" s="74">
        <v>0</v>
      </c>
      <c r="BS719" s="109">
        <f t="shared" si="264"/>
        <v>115535.40318174158</v>
      </c>
      <c r="BT719" s="109">
        <f t="shared" si="265"/>
        <v>115965.82315155404</v>
      </c>
      <c r="BV719" s="58">
        <f t="array" ref="BV719">SUM(IF(BS719:BT719&gt;=BS719, 1))</f>
        <v>2</v>
      </c>
      <c r="BW719" s="58">
        <f t="array" ref="BW719">SUM(IF(BS719:BT719&gt;=BT719, 1))</f>
        <v>1</v>
      </c>
      <c r="BY719" s="109">
        <f t="shared" si="266"/>
        <v>133785.78346065202</v>
      </c>
      <c r="BZ719" s="109">
        <f t="shared" si="267"/>
        <v>134177.41798209763</v>
      </c>
      <c r="CB719" s="58">
        <f t="array" ref="CB719">SUM(IF(BY719:BZ719&gt;=BY719, 1))</f>
        <v>2</v>
      </c>
      <c r="CC719" s="58">
        <f t="array" ref="CC719">SUM(IF(BY719:BZ719&gt;=BZ719, 1))</f>
        <v>1</v>
      </c>
      <c r="CE719" s="109">
        <f t="shared" si="268"/>
        <v>93710.606084988292</v>
      </c>
      <c r="CF719" s="109">
        <f t="shared" si="269"/>
        <v>98808.76897694332</v>
      </c>
      <c r="CH719" s="58">
        <f t="array" ref="CH719">SUM(IF(CE719:CF719&gt;=CE719, 1))</f>
        <v>2</v>
      </c>
      <c r="CI719" s="58">
        <f t="array" ref="CI719">SUM(IF(CE719:CF719&gt;=CF719, 1))</f>
        <v>1</v>
      </c>
      <c r="CK719" s="109">
        <f t="shared" si="270"/>
        <v>40284.864046999443</v>
      </c>
      <c r="CL719" s="109">
        <f t="shared" si="271"/>
        <v>41132.352340693462</v>
      </c>
      <c r="CN719" s="58">
        <f t="array" ref="CN719">SUM(IF(CK719:CL719&gt;=CK719, 1))</f>
        <v>2</v>
      </c>
      <c r="CO719" s="58">
        <f t="array" ref="CO719">SUM(IF(CK719:CL719&gt;=CL719, 1))</f>
        <v>1</v>
      </c>
      <c r="CQ719" s="109" cm="1">
        <f t="array" ref="CQ719">AF719*WTP-AC719</f>
        <v>41272.591188699524</v>
      </c>
      <c r="CR719" s="109">
        <f t="shared" si="272"/>
        <v>43916.222587644064</v>
      </c>
      <c r="CT719" s="58">
        <f t="array" ref="CT719">SUM(IF(CQ719:CR719&gt;=CQ719, 1))</f>
        <v>2</v>
      </c>
      <c r="CU719" s="58">
        <f t="array" ref="CU719">SUM(IF(CQ719:CR719&gt;=CR719, 1))</f>
        <v>1</v>
      </c>
      <c r="CW719" s="109">
        <f t="shared" si="273"/>
        <v>-45984616.971893281</v>
      </c>
      <c r="CX719" s="109">
        <f t="shared" si="274"/>
        <v>0</v>
      </c>
      <c r="CZ719" s="58">
        <f t="array" ref="CZ719">SUM(IF(CW719:CX719&gt;=CW719, 1))</f>
        <v>2</v>
      </c>
      <c r="DA719" s="58">
        <f t="array" ref="DA719">SUM(IF(CW719:CX719&gt;=CX719, 1))</f>
        <v>1</v>
      </c>
      <c r="DC719" s="109">
        <f t="shared" si="275"/>
        <v>-2631628.2928359024</v>
      </c>
      <c r="DD719" s="109">
        <f t="shared" si="276"/>
        <v>0</v>
      </c>
      <c r="DF719" s="58">
        <f t="array" ref="DF719">SUM(IF(DC719:DD719&gt;=DC719, 1))</f>
        <v>2</v>
      </c>
      <c r="DG719" s="58">
        <f t="array" ref="DG719">SUM(IF(DC719:DD719&gt;=DD719, 1))</f>
        <v>1</v>
      </c>
      <c r="DI719" s="109">
        <f t="shared" si="277"/>
        <v>-115996080.66423219</v>
      </c>
      <c r="DJ719" s="109">
        <f t="shared" si="278"/>
        <v>0</v>
      </c>
      <c r="DL719" s="58">
        <f t="array" ref="DL719">SUM(IF(DI719:DJ719&gt;=DI719, 1))</f>
        <v>2</v>
      </c>
      <c r="DM719" s="58">
        <f t="array" ref="DM719">SUM(IF(DI719:DJ719&gt;=DJ719, 1))</f>
        <v>1</v>
      </c>
      <c r="DO719" s="109">
        <f t="shared" si="279"/>
        <v>-7615845.22408114</v>
      </c>
      <c r="DP719" s="109">
        <f t="shared" si="280"/>
        <v>0</v>
      </c>
      <c r="DR719" s="58">
        <f t="array" ref="DR719">SUM(IF(DO719:DP719&gt;=DO719, 1))</f>
        <v>2</v>
      </c>
      <c r="DS719" s="58">
        <f t="array" ref="DS719">SUM(IF(DO719:DP719&gt;=DP719, 1))</f>
        <v>1</v>
      </c>
      <c r="DU719" s="109">
        <f t="shared" si="281"/>
        <v>-43030909.63340798</v>
      </c>
      <c r="DV719" s="109">
        <f t="shared" si="282"/>
        <v>0</v>
      </c>
      <c r="DX719" s="58">
        <f t="array" ref="DX719">SUM(IF(DU719:DV719&gt;=DU719, 1))</f>
        <v>2</v>
      </c>
      <c r="DY719" s="58">
        <f t="array" ref="DY719">SUM(IF(DU719:DV719&gt;=DV719, 1))</f>
        <v>1</v>
      </c>
      <c r="EA719" s="109">
        <f t="shared" si="283"/>
        <v>-215259080.78645051</v>
      </c>
      <c r="EB719" s="109">
        <f t="shared" si="284"/>
        <v>0</v>
      </c>
      <c r="ED719" s="58">
        <f t="array" ref="ED719">SUM(IF(EA719:EB719&gt;=EA719, 1))</f>
        <v>2</v>
      </c>
      <c r="EE719" s="58">
        <f t="array" ref="EE719">SUM(IF(EA719:EB719&gt;=EB719, 1))</f>
        <v>1</v>
      </c>
    </row>
    <row r="720" spans="4:135" ht="12" customHeight="1" x14ac:dyDescent="0.25">
      <c r="D720" s="11">
        <v>704</v>
      </c>
      <c r="E720" s="72">
        <v>259.44504568681441</v>
      </c>
      <c r="F720" s="72">
        <v>224.09214696996852</v>
      </c>
      <c r="G720" s="73"/>
      <c r="H720" s="74">
        <v>5.8576150820658288</v>
      </c>
      <c r="I720" s="74">
        <v>5.8738350843102278</v>
      </c>
      <c r="J720" s="73"/>
      <c r="K720" s="72">
        <v>277.69059797965781</v>
      </c>
      <c r="L720" s="72">
        <v>241.53910920119623</v>
      </c>
      <c r="M720" s="73"/>
      <c r="N720" s="74">
        <v>6.6617412215358609</v>
      </c>
      <c r="O720" s="74">
        <v>6.6762948042460328</v>
      </c>
      <c r="P720" s="73"/>
      <c r="Q720" s="72">
        <v>2137.0786502529977</v>
      </c>
      <c r="R720" s="72">
        <v>1367.4614512663884</v>
      </c>
      <c r="S720" s="73"/>
      <c r="T720" s="74">
        <v>4.9326612291733118</v>
      </c>
      <c r="U720" s="74">
        <v>5.0044280585301202</v>
      </c>
      <c r="V720" s="73"/>
      <c r="W720" s="72">
        <v>14916.592939822556</v>
      </c>
      <c r="X720" s="72">
        <v>14901.390538080563</v>
      </c>
      <c r="Y720" s="73"/>
      <c r="Z720" s="74">
        <v>2.9730478050599847</v>
      </c>
      <c r="AA720" s="74">
        <v>3.0133277666007792</v>
      </c>
      <c r="AB720" s="73"/>
      <c r="AC720" s="72">
        <v>50536.491146627246</v>
      </c>
      <c r="AD720" s="72">
        <v>50340.324731380242</v>
      </c>
      <c r="AE720" s="73"/>
      <c r="AF720" s="74">
        <v>4.795804718135301</v>
      </c>
      <c r="AG720" s="74">
        <v>4.9467753983319538</v>
      </c>
      <c r="AH720" s="73"/>
      <c r="AI720" s="72">
        <v>3778167.925478505</v>
      </c>
      <c r="AJ720" s="72">
        <v>0</v>
      </c>
      <c r="AK720" s="73"/>
      <c r="AL720" s="74">
        <v>-1733.4333097211204</v>
      </c>
      <c r="AM720" s="74">
        <v>0</v>
      </c>
      <c r="AN720" s="73"/>
      <c r="AO720" s="72">
        <v>251469.04316622036</v>
      </c>
      <c r="AP720" s="72">
        <v>0</v>
      </c>
      <c r="AQ720" s="73"/>
      <c r="AR720" s="74">
        <v>-101.23443438788095</v>
      </c>
      <c r="AS720" s="74">
        <v>0</v>
      </c>
      <c r="AT720" s="73"/>
      <c r="AU720" s="72">
        <v>17333642.63314331</v>
      </c>
      <c r="AV720" s="72">
        <v>0</v>
      </c>
      <c r="AW720" s="73"/>
      <c r="AX720" s="74">
        <v>-1616.3627510179097</v>
      </c>
      <c r="AY720" s="74">
        <v>0</v>
      </c>
      <c r="AZ720" s="73"/>
      <c r="BA720" s="72">
        <v>134680.05644144263</v>
      </c>
      <c r="BB720" s="72">
        <v>0</v>
      </c>
      <c r="BC720" s="73"/>
      <c r="BD720" s="74">
        <v>-356.8454238903675</v>
      </c>
      <c r="BE720" s="74">
        <v>0</v>
      </c>
      <c r="BF720" s="73"/>
      <c r="BG720" s="72">
        <v>3164037.4933842593</v>
      </c>
      <c r="BH720" s="72">
        <v>0</v>
      </c>
      <c r="BI720" s="73"/>
      <c r="BJ720" s="74">
        <v>-2435.0594975315466</v>
      </c>
      <c r="BK720" s="74">
        <v>0</v>
      </c>
      <c r="BL720" s="73"/>
      <c r="BM720" s="72">
        <v>24661997.151613738</v>
      </c>
      <c r="BN720" s="72">
        <v>0</v>
      </c>
      <c r="BO720" s="73"/>
      <c r="BP720" s="74">
        <v>-6242.9354165488248</v>
      </c>
      <c r="BQ720" s="74">
        <v>0</v>
      </c>
      <c r="BS720" s="109">
        <f t="shared" si="264"/>
        <v>116892.85659562977</v>
      </c>
      <c r="BT720" s="109">
        <f t="shared" si="265"/>
        <v>117252.60953923459</v>
      </c>
      <c r="BV720" s="58">
        <f t="array" ref="BV720">SUM(IF(BS720:BT720&gt;=BS720, 1))</f>
        <v>2</v>
      </c>
      <c r="BW720" s="58">
        <f t="array" ref="BW720">SUM(IF(BS720:BT720&gt;=BT720, 1))</f>
        <v>1</v>
      </c>
      <c r="BY720" s="109">
        <f t="shared" si="266"/>
        <v>132957.13383273754</v>
      </c>
      <c r="BZ720" s="109">
        <f t="shared" si="267"/>
        <v>133284.35697571945</v>
      </c>
      <c r="CB720" s="58">
        <f t="array" ref="CB720">SUM(IF(BY720:BZ720&gt;=BY720, 1))</f>
        <v>2</v>
      </c>
      <c r="CC720" s="58">
        <f t="array" ref="CC720">SUM(IF(BY720:BZ720&gt;=BZ720, 1))</f>
        <v>1</v>
      </c>
      <c r="CE720" s="109">
        <f t="shared" si="268"/>
        <v>96516.145933213236</v>
      </c>
      <c r="CF720" s="109">
        <f t="shared" si="269"/>
        <v>98721.099719336024</v>
      </c>
      <c r="CH720" s="58">
        <f t="array" ref="CH720">SUM(IF(CE720:CF720&gt;=CE720, 1))</f>
        <v>2</v>
      </c>
      <c r="CI720" s="58">
        <f t="array" ref="CI720">SUM(IF(CE720:CF720&gt;=CF720, 1))</f>
        <v>1</v>
      </c>
      <c r="CK720" s="109">
        <f t="shared" si="270"/>
        <v>44544.363161377136</v>
      </c>
      <c r="CL720" s="109">
        <f t="shared" si="271"/>
        <v>45365.164793935022</v>
      </c>
      <c r="CN720" s="58">
        <f t="array" ref="CN720">SUM(IF(CK720:CL720&gt;=CK720, 1))</f>
        <v>2</v>
      </c>
      <c r="CO720" s="58">
        <f t="array" ref="CO720">SUM(IF(CK720:CL720&gt;=CL720, 1))</f>
        <v>1</v>
      </c>
      <c r="CQ720" s="109" cm="1">
        <f t="array" ref="CQ720">AF720*WTP-AC720</f>
        <v>45379.603216078773</v>
      </c>
      <c r="CR720" s="109">
        <f t="shared" si="272"/>
        <v>48595.183235258839</v>
      </c>
      <c r="CT720" s="58">
        <f t="array" ref="CT720">SUM(IF(CQ720:CR720&gt;=CQ720, 1))</f>
        <v>2</v>
      </c>
      <c r="CU720" s="58">
        <f t="array" ref="CU720">SUM(IF(CQ720:CR720&gt;=CR720, 1))</f>
        <v>1</v>
      </c>
      <c r="CW720" s="109">
        <f t="shared" si="273"/>
        <v>-38446834.119900912</v>
      </c>
      <c r="CX720" s="109">
        <f t="shared" si="274"/>
        <v>0</v>
      </c>
      <c r="CZ720" s="58">
        <f t="array" ref="CZ720">SUM(IF(CW720:CX720&gt;=CW720, 1))</f>
        <v>2</v>
      </c>
      <c r="DA720" s="58">
        <f t="array" ref="DA720">SUM(IF(CW720:CX720&gt;=CX720, 1))</f>
        <v>1</v>
      </c>
      <c r="DC720" s="109">
        <f t="shared" si="275"/>
        <v>-2276157.7309238394</v>
      </c>
      <c r="DD720" s="109">
        <f t="shared" si="276"/>
        <v>0</v>
      </c>
      <c r="DF720" s="58">
        <f t="array" ref="DF720">SUM(IF(DC720:DD720&gt;=DC720, 1))</f>
        <v>2</v>
      </c>
      <c r="DG720" s="58">
        <f t="array" ref="DG720">SUM(IF(DC720:DD720&gt;=DD720, 1))</f>
        <v>1</v>
      </c>
      <c r="DI720" s="109">
        <f t="shared" si="277"/>
        <v>-49660897.653501503</v>
      </c>
      <c r="DJ720" s="109">
        <f t="shared" si="278"/>
        <v>0</v>
      </c>
      <c r="DL720" s="58">
        <f t="array" ref="DL720">SUM(IF(DI720:DJ720&gt;=DI720, 1))</f>
        <v>2</v>
      </c>
      <c r="DM720" s="58">
        <f t="array" ref="DM720">SUM(IF(DI720:DJ720&gt;=DJ720, 1))</f>
        <v>1</v>
      </c>
      <c r="DO720" s="109">
        <f t="shared" si="279"/>
        <v>-7271588.5342487926</v>
      </c>
      <c r="DP720" s="109">
        <f t="shared" si="280"/>
        <v>0</v>
      </c>
      <c r="DR720" s="58">
        <f t="array" ref="DR720">SUM(IF(DO720:DP720&gt;=DO720, 1))</f>
        <v>2</v>
      </c>
      <c r="DS720" s="58">
        <f t="array" ref="DS720">SUM(IF(DO720:DP720&gt;=DP720, 1))</f>
        <v>1</v>
      </c>
      <c r="DU720" s="109">
        <f t="shared" si="281"/>
        <v>-51865227.44401519</v>
      </c>
      <c r="DV720" s="109">
        <f t="shared" si="282"/>
        <v>0</v>
      </c>
      <c r="DX720" s="58">
        <f t="array" ref="DX720">SUM(IF(DU720:DV720&gt;=DU720, 1))</f>
        <v>2</v>
      </c>
      <c r="DY720" s="58">
        <f t="array" ref="DY720">SUM(IF(DU720:DV720&gt;=DV720, 1))</f>
        <v>1</v>
      </c>
      <c r="EA720" s="109">
        <f t="shared" si="283"/>
        <v>-149520705.48259023</v>
      </c>
      <c r="EB720" s="109">
        <f t="shared" si="284"/>
        <v>0</v>
      </c>
      <c r="ED720" s="58">
        <f t="array" ref="ED720">SUM(IF(EA720:EB720&gt;=EA720, 1))</f>
        <v>2</v>
      </c>
      <c r="EE720" s="58">
        <f t="array" ref="EE720">SUM(IF(EA720:EB720&gt;=EB720, 1))</f>
        <v>1</v>
      </c>
    </row>
    <row r="721" spans="4:135" ht="12" customHeight="1" x14ac:dyDescent="0.25">
      <c r="D721" s="11">
        <v>705</v>
      </c>
      <c r="E721" s="72">
        <v>307.69138231427297</v>
      </c>
      <c r="F721" s="72">
        <v>285.2133623698785</v>
      </c>
      <c r="G721" s="73"/>
      <c r="H721" s="74">
        <v>5.7655760938118075</v>
      </c>
      <c r="I721" s="74">
        <v>5.7849320806176996</v>
      </c>
      <c r="J721" s="73"/>
      <c r="K721" s="72">
        <v>330.63176486515465</v>
      </c>
      <c r="L721" s="72">
        <v>307.62120321891746</v>
      </c>
      <c r="M721" s="73"/>
      <c r="N721" s="74">
        <v>6.6946051491593863</v>
      </c>
      <c r="O721" s="74">
        <v>6.7122216071024603</v>
      </c>
      <c r="P721" s="73"/>
      <c r="Q721" s="72">
        <v>3338.0518914095078</v>
      </c>
      <c r="R721" s="72">
        <v>1605.2285291647236</v>
      </c>
      <c r="S721" s="73"/>
      <c r="T721" s="74">
        <v>4.6978199416453288</v>
      </c>
      <c r="U721" s="74">
        <v>4.8191597790520735</v>
      </c>
      <c r="V721" s="73"/>
      <c r="W721" s="72">
        <v>7640.9156594389087</v>
      </c>
      <c r="X721" s="72">
        <v>7650.3329531566906</v>
      </c>
      <c r="Y721" s="73"/>
      <c r="Z721" s="74">
        <v>3.0181613095312945</v>
      </c>
      <c r="AA721" s="74">
        <v>3.0624956253652575</v>
      </c>
      <c r="AB721" s="73"/>
      <c r="AC721" s="72">
        <v>48623.815441981998</v>
      </c>
      <c r="AD721" s="72">
        <v>48652.074778835587</v>
      </c>
      <c r="AE721" s="73"/>
      <c r="AF721" s="74">
        <v>4.5297091199400121</v>
      </c>
      <c r="AG721" s="74">
        <v>4.6066795295857945</v>
      </c>
      <c r="AH721" s="73"/>
      <c r="AI721" s="72">
        <v>2400701.6927086958</v>
      </c>
      <c r="AJ721" s="72">
        <v>0</v>
      </c>
      <c r="AK721" s="73"/>
      <c r="AL721" s="74">
        <v>-2067.2617251832489</v>
      </c>
      <c r="AM721" s="74">
        <v>0</v>
      </c>
      <c r="AN721" s="73"/>
      <c r="AO721" s="72">
        <v>154900.88246006533</v>
      </c>
      <c r="AP721" s="72">
        <v>0</v>
      </c>
      <c r="AQ721" s="73"/>
      <c r="AR721" s="74">
        <v>-118.58923407239021</v>
      </c>
      <c r="AS721" s="74">
        <v>0</v>
      </c>
      <c r="AT721" s="73"/>
      <c r="AU721" s="72">
        <v>40054115.882884435</v>
      </c>
      <c r="AV721" s="72">
        <v>0</v>
      </c>
      <c r="AW721" s="73"/>
      <c r="AX721" s="74">
        <v>-2804.7636098373114</v>
      </c>
      <c r="AY721" s="74">
        <v>0</v>
      </c>
      <c r="AZ721" s="73"/>
      <c r="BA721" s="72">
        <v>-84733.725584221756</v>
      </c>
      <c r="BB721" s="72">
        <v>0</v>
      </c>
      <c r="BC721" s="73"/>
      <c r="BD721" s="74">
        <v>-398.90565850632561</v>
      </c>
      <c r="BE721" s="74">
        <v>0</v>
      </c>
      <c r="BF721" s="73"/>
      <c r="BG721" s="72">
        <v>-464733.14131630084</v>
      </c>
      <c r="BH721" s="72">
        <v>0</v>
      </c>
      <c r="BI721" s="73"/>
      <c r="BJ721" s="74">
        <v>-1265.8011208265114</v>
      </c>
      <c r="BK721" s="74">
        <v>0</v>
      </c>
      <c r="BL721" s="73"/>
      <c r="BM721" s="72">
        <v>42060251.591152668</v>
      </c>
      <c r="BN721" s="72">
        <v>0</v>
      </c>
      <c r="BO721" s="73"/>
      <c r="BP721" s="74">
        <v>-6655.3213484257876</v>
      </c>
      <c r="BQ721" s="74">
        <v>0</v>
      </c>
      <c r="BS721" s="109">
        <f t="shared" si="264"/>
        <v>115003.83049392188</v>
      </c>
      <c r="BT721" s="109">
        <f t="shared" si="265"/>
        <v>115413.42824998412</v>
      </c>
      <c r="BV721" s="58">
        <f t="array" ref="BV721">SUM(IF(BS721:BT721&gt;=BS721, 1))</f>
        <v>2</v>
      </c>
      <c r="BW721" s="58">
        <f t="array" ref="BW721">SUM(IF(BS721:BT721&gt;=BT721, 1))</f>
        <v>1</v>
      </c>
      <c r="BY721" s="109">
        <f t="shared" si="266"/>
        <v>133561.47121832258</v>
      </c>
      <c r="BZ721" s="109">
        <f t="shared" si="267"/>
        <v>133936.81093883031</v>
      </c>
      <c r="CB721" s="58">
        <f t="array" ref="CB721">SUM(IF(BY721:BZ721&gt;=BY721, 1))</f>
        <v>2</v>
      </c>
      <c r="CC721" s="58">
        <f t="array" ref="CC721">SUM(IF(BY721:BZ721&gt;=BZ721, 1))</f>
        <v>1</v>
      </c>
      <c r="CE721" s="109">
        <f t="shared" si="268"/>
        <v>90618.346941497075</v>
      </c>
      <c r="CF721" s="109">
        <f t="shared" si="269"/>
        <v>94777.967051876738</v>
      </c>
      <c r="CH721" s="58">
        <f t="array" ref="CH721">SUM(IF(CE721:CF721&gt;=CE721, 1))</f>
        <v>2</v>
      </c>
      <c r="CI721" s="58">
        <f t="array" ref="CI721">SUM(IF(CE721:CF721&gt;=CF721, 1))</f>
        <v>1</v>
      </c>
      <c r="CK721" s="109">
        <f t="shared" si="270"/>
        <v>52722.31053118698</v>
      </c>
      <c r="CL721" s="109">
        <f t="shared" si="271"/>
        <v>53599.579554148455</v>
      </c>
      <c r="CN721" s="58">
        <f t="array" ref="CN721">SUM(IF(CK721:CL721&gt;=CK721, 1))</f>
        <v>2</v>
      </c>
      <c r="CO721" s="58">
        <f t="array" ref="CO721">SUM(IF(CK721:CL721&gt;=CL721, 1))</f>
        <v>1</v>
      </c>
      <c r="CQ721" s="109" cm="1">
        <f t="array" ref="CQ721">AF721*WTP-AC721</f>
        <v>41970.366956818245</v>
      </c>
      <c r="CR721" s="109">
        <f t="shared" si="272"/>
        <v>43481.515812880309</v>
      </c>
      <c r="CT721" s="58">
        <f t="array" ref="CT721">SUM(IF(CQ721:CR721&gt;=CQ721, 1))</f>
        <v>2</v>
      </c>
      <c r="CU721" s="58">
        <f t="array" ref="CU721">SUM(IF(CQ721:CR721&gt;=CR721, 1))</f>
        <v>1</v>
      </c>
      <c r="CW721" s="109">
        <f t="shared" si="273"/>
        <v>-43745936.196373671</v>
      </c>
      <c r="CX721" s="109">
        <f t="shared" si="274"/>
        <v>0</v>
      </c>
      <c r="CZ721" s="58">
        <f t="array" ref="CZ721">SUM(IF(CW721:CX721&gt;=CW721, 1))</f>
        <v>2</v>
      </c>
      <c r="DA721" s="58">
        <f t="array" ref="DA721">SUM(IF(CW721:CX721&gt;=CX721, 1))</f>
        <v>1</v>
      </c>
      <c r="DC721" s="109">
        <f t="shared" si="275"/>
        <v>-2526685.5639078696</v>
      </c>
      <c r="DD721" s="109">
        <f t="shared" si="276"/>
        <v>0</v>
      </c>
      <c r="DF721" s="58">
        <f t="array" ref="DF721">SUM(IF(DC721:DD721&gt;=DC721, 1))</f>
        <v>2</v>
      </c>
      <c r="DG721" s="58">
        <f t="array" ref="DG721">SUM(IF(DC721:DD721&gt;=DD721, 1))</f>
        <v>1</v>
      </c>
      <c r="DI721" s="109">
        <f t="shared" si="277"/>
        <v>-96149388.079630673</v>
      </c>
      <c r="DJ721" s="109">
        <f t="shared" si="278"/>
        <v>0</v>
      </c>
      <c r="DL721" s="58">
        <f t="array" ref="DL721">SUM(IF(DI721:DJ721&gt;=DI721, 1))</f>
        <v>2</v>
      </c>
      <c r="DM721" s="58">
        <f t="array" ref="DM721">SUM(IF(DI721:DJ721&gt;=DJ721, 1))</f>
        <v>1</v>
      </c>
      <c r="DO721" s="109">
        <f t="shared" si="279"/>
        <v>-7893379.4445422897</v>
      </c>
      <c r="DP721" s="109">
        <f t="shared" si="280"/>
        <v>0</v>
      </c>
      <c r="DR721" s="58">
        <f t="array" ref="DR721">SUM(IF(DO721:DP721&gt;=DO721, 1))</f>
        <v>2</v>
      </c>
      <c r="DS721" s="58">
        <f t="array" ref="DS721">SUM(IF(DO721:DP721&gt;=DP721, 1))</f>
        <v>1</v>
      </c>
      <c r="DU721" s="109">
        <f t="shared" si="281"/>
        <v>-24851289.275213923</v>
      </c>
      <c r="DV721" s="109">
        <f t="shared" si="282"/>
        <v>0</v>
      </c>
      <c r="DX721" s="58">
        <f t="array" ref="DX721">SUM(IF(DU721:DV721&gt;=DU721, 1))</f>
        <v>2</v>
      </c>
      <c r="DY721" s="58">
        <f t="array" ref="DY721">SUM(IF(DU721:DV721&gt;=DV721, 1))</f>
        <v>1</v>
      </c>
      <c r="EA721" s="109">
        <f t="shared" si="283"/>
        <v>-175166678.55966842</v>
      </c>
      <c r="EB721" s="109">
        <f t="shared" si="284"/>
        <v>0</v>
      </c>
      <c r="ED721" s="58">
        <f t="array" ref="ED721">SUM(IF(EA721:EB721&gt;=EA721, 1))</f>
        <v>2</v>
      </c>
      <c r="EE721" s="58">
        <f t="array" ref="EE721">SUM(IF(EA721:EB721&gt;=EB721, 1))</f>
        <v>1</v>
      </c>
    </row>
    <row r="722" spans="4:135" ht="12" customHeight="1" x14ac:dyDescent="0.25">
      <c r="D722" s="11">
        <v>706</v>
      </c>
      <c r="E722" s="72">
        <v>257.46703936311303</v>
      </c>
      <c r="F722" s="72">
        <v>239.21517501523181</v>
      </c>
      <c r="G722" s="73"/>
      <c r="H722" s="74">
        <v>5.855797541474649</v>
      </c>
      <c r="I722" s="74">
        <v>5.8689076400358502</v>
      </c>
      <c r="J722" s="73"/>
      <c r="K722" s="72">
        <v>276.573773671872</v>
      </c>
      <c r="L722" s="72">
        <v>257.84204830032292</v>
      </c>
      <c r="M722" s="73"/>
      <c r="N722" s="74">
        <v>6.6905467875627673</v>
      </c>
      <c r="O722" s="74">
        <v>6.700896239432347</v>
      </c>
      <c r="P722" s="73"/>
      <c r="Q722" s="72">
        <v>2699.0073801633116</v>
      </c>
      <c r="R722" s="72">
        <v>1542.2402175703742</v>
      </c>
      <c r="S722" s="73"/>
      <c r="T722" s="74">
        <v>4.6672779321599549</v>
      </c>
      <c r="U722" s="74">
        <v>4.7328321010184773</v>
      </c>
      <c r="V722" s="73"/>
      <c r="W722" s="72">
        <v>11357.596631061284</v>
      </c>
      <c r="X722" s="72">
        <v>11316.298814883308</v>
      </c>
      <c r="Y722" s="73"/>
      <c r="Z722" s="74">
        <v>2.8866549792141121</v>
      </c>
      <c r="AA722" s="74">
        <v>2.9344345063879991</v>
      </c>
      <c r="AB722" s="73"/>
      <c r="AC722" s="72">
        <v>50443.987858136737</v>
      </c>
      <c r="AD722" s="72">
        <v>49955.576716618089</v>
      </c>
      <c r="AE722" s="73"/>
      <c r="AF722" s="74">
        <v>4.6633321491045479</v>
      </c>
      <c r="AG722" s="74">
        <v>4.7671094143993074</v>
      </c>
      <c r="AH722" s="73"/>
      <c r="AI722" s="72">
        <v>1934365.8732286363</v>
      </c>
      <c r="AJ722" s="72">
        <v>0</v>
      </c>
      <c r="AK722" s="73"/>
      <c r="AL722" s="74">
        <v>-1389.4321570714094</v>
      </c>
      <c r="AM722" s="74">
        <v>0</v>
      </c>
      <c r="AN722" s="73"/>
      <c r="AO722" s="72">
        <v>129193.87702164047</v>
      </c>
      <c r="AP722" s="72">
        <v>0</v>
      </c>
      <c r="AQ722" s="73"/>
      <c r="AR722" s="74">
        <v>-71.3808143968796</v>
      </c>
      <c r="AS722" s="74">
        <v>0</v>
      </c>
      <c r="AT722" s="73"/>
      <c r="AU722" s="72">
        <v>26901413.208022926</v>
      </c>
      <c r="AV722" s="72">
        <v>0</v>
      </c>
      <c r="AW722" s="73"/>
      <c r="AX722" s="74">
        <v>-1524.507127275871</v>
      </c>
      <c r="AY722" s="74">
        <v>0</v>
      </c>
      <c r="AZ722" s="73"/>
      <c r="BA722" s="72">
        <v>358356.90861569793</v>
      </c>
      <c r="BB722" s="72">
        <v>0</v>
      </c>
      <c r="BC722" s="73"/>
      <c r="BD722" s="74">
        <v>-414.60118809587846</v>
      </c>
      <c r="BE722" s="74">
        <v>0</v>
      </c>
      <c r="BF722" s="73"/>
      <c r="BG722" s="72">
        <v>7788685.8948498424</v>
      </c>
      <c r="BH722" s="72">
        <v>0</v>
      </c>
      <c r="BI722" s="73"/>
      <c r="BJ722" s="74">
        <v>-1654.9346517651475</v>
      </c>
      <c r="BK722" s="74">
        <v>0</v>
      </c>
      <c r="BL722" s="73"/>
      <c r="BM722" s="72">
        <v>37112015.76173874</v>
      </c>
      <c r="BN722" s="72">
        <v>0</v>
      </c>
      <c r="BO722" s="73"/>
      <c r="BP722" s="74">
        <v>-5054.8559386051857</v>
      </c>
      <c r="BQ722" s="74">
        <v>0</v>
      </c>
      <c r="BS722" s="109">
        <f t="shared" ref="BS722:BS785" si="285">H722*WTP-E722</f>
        <v>116858.48379012987</v>
      </c>
      <c r="BT722" s="109">
        <f t="shared" ref="BT722:BT785" si="286">I722*WTP-F722</f>
        <v>117138.93762570177</v>
      </c>
      <c r="BV722" s="58">
        <f t="array" ref="BV722">SUM(IF(BS722:BT722&gt;=BS722, 1))</f>
        <v>2</v>
      </c>
      <c r="BW722" s="58">
        <f t="array" ref="BW722">SUM(IF(BS722:BT722&gt;=BT722, 1))</f>
        <v>1</v>
      </c>
      <c r="BY722" s="109">
        <f t="shared" ref="BY722:BY785" si="287">N722*WTP-K722</f>
        <v>133534.36197758347</v>
      </c>
      <c r="BZ722" s="109">
        <f t="shared" ref="BZ722:BZ785" si="288">O722*WTP-L722</f>
        <v>133760.08274034664</v>
      </c>
      <c r="CB722" s="58">
        <f t="array" ref="CB722">SUM(IF(BY722:BZ722&gt;=BY722, 1))</f>
        <v>2</v>
      </c>
      <c r="CC722" s="58">
        <f t="array" ref="CC722">SUM(IF(BY722:BZ722&gt;=BZ722, 1))</f>
        <v>1</v>
      </c>
      <c r="CE722" s="109">
        <f t="shared" ref="CE722:CE785" si="289">T722*WTP-Q722</f>
        <v>90646.551263035784</v>
      </c>
      <c r="CF722" s="109">
        <f t="shared" ref="CF722:CF785" si="290">U722*WTP-R722</f>
        <v>93114.40180279917</v>
      </c>
      <c r="CH722" s="58">
        <f t="array" ref="CH722">SUM(IF(CE722:CF722&gt;=CE722, 1))</f>
        <v>2</v>
      </c>
      <c r="CI722" s="58">
        <f t="array" ref="CI722">SUM(IF(CE722:CF722&gt;=CF722, 1))</f>
        <v>1</v>
      </c>
      <c r="CK722" s="109">
        <f t="shared" ref="CK722:CK785" si="291">Z722*WTP-W722</f>
        <v>46375.502953220959</v>
      </c>
      <c r="CL722" s="109">
        <f t="shared" ref="CL722:CL785" si="292">AA722*WTP-X722</f>
        <v>47372.391312876673</v>
      </c>
      <c r="CN722" s="58">
        <f t="array" ref="CN722">SUM(IF(CK722:CL722&gt;=CK722, 1))</f>
        <v>2</v>
      </c>
      <c r="CO722" s="58">
        <f t="array" ref="CO722">SUM(IF(CK722:CL722&gt;=CL722, 1))</f>
        <v>1</v>
      </c>
      <c r="CQ722" s="109" cm="1">
        <f t="array" ref="CQ722">AF722*WTP-AC722</f>
        <v>42822.655123954217</v>
      </c>
      <c r="CR722" s="109">
        <f t="shared" ref="CR722:CR785" si="293">AG722*WTP-AD722</f>
        <v>45386.611571368063</v>
      </c>
      <c r="CT722" s="58">
        <f t="array" ref="CT722">SUM(IF(CQ722:CR722&gt;=CQ722, 1))</f>
        <v>2</v>
      </c>
      <c r="CU722" s="58">
        <f t="array" ref="CU722">SUM(IF(CQ722:CR722&gt;=CR722, 1))</f>
        <v>1</v>
      </c>
      <c r="CW722" s="109">
        <f t="shared" ref="CW722:CW785" si="294">AL722*WTP-AI722</f>
        <v>-29723009.014656823</v>
      </c>
      <c r="CX722" s="109">
        <f t="shared" ref="CX722:CX785" si="295">AM722*WTP-AJ722</f>
        <v>0</v>
      </c>
      <c r="CZ722" s="58">
        <f t="array" ref="CZ722">SUM(IF(CW722:CX722&gt;=CW722, 1))</f>
        <v>2</v>
      </c>
      <c r="DA722" s="58">
        <f t="array" ref="DA722">SUM(IF(CW722:CX722&gt;=CX722, 1))</f>
        <v>1</v>
      </c>
      <c r="DC722" s="109">
        <f t="shared" ref="DC722:DC785" si="296">AR722*WTP-AO722</f>
        <v>-1556810.1649592326</v>
      </c>
      <c r="DD722" s="109">
        <f t="shared" ref="DD722:DD785" si="297">AS722*WTP-AP722</f>
        <v>0</v>
      </c>
      <c r="DF722" s="58">
        <f t="array" ref="DF722">SUM(IF(DC722:DD722&gt;=DC722, 1))</f>
        <v>2</v>
      </c>
      <c r="DG722" s="58">
        <f t="array" ref="DG722">SUM(IF(DC722:DD722&gt;=DD722, 1))</f>
        <v>1</v>
      </c>
      <c r="DI722" s="109">
        <f t="shared" ref="DI722:DI785" si="298">AX722*WTP-AU722</f>
        <v>-57391555.753540345</v>
      </c>
      <c r="DJ722" s="109">
        <f t="shared" ref="DJ722:DJ785" si="299">AY722*WTP-AV722</f>
        <v>0</v>
      </c>
      <c r="DL722" s="58">
        <f t="array" ref="DL722">SUM(IF(DI722:DJ722&gt;=DI722, 1))</f>
        <v>2</v>
      </c>
      <c r="DM722" s="58">
        <f t="array" ref="DM722">SUM(IF(DI722:DJ722&gt;=DJ722, 1))</f>
        <v>1</v>
      </c>
      <c r="DO722" s="109">
        <f t="shared" ref="DO722:DO785" si="300">BD722*WTP-BA722</f>
        <v>-8650380.6705332659</v>
      </c>
      <c r="DP722" s="109">
        <f t="shared" ref="DP722:DP785" si="301">BE722*WTP-BB722</f>
        <v>0</v>
      </c>
      <c r="DR722" s="58">
        <f t="array" ref="DR722">SUM(IF(DO722:DP722&gt;=DO722, 1))</f>
        <v>2</v>
      </c>
      <c r="DS722" s="58">
        <f t="array" ref="DS722">SUM(IF(DO722:DP722&gt;=DP722, 1))</f>
        <v>1</v>
      </c>
      <c r="DU722" s="109">
        <f t="shared" ref="DU722:DU785" si="302">BJ722*WTP-BG722</f>
        <v>-40887378.930152789</v>
      </c>
      <c r="DV722" s="109">
        <f t="shared" ref="DV722:DV785" si="303">BK722*WTP-BH722</f>
        <v>0</v>
      </c>
      <c r="DX722" s="58">
        <f t="array" ref="DX722">SUM(IF(DU722:DV722&gt;=DU722, 1))</f>
        <v>2</v>
      </c>
      <c r="DY722" s="58">
        <f t="array" ref="DY722">SUM(IF(DU722:DV722&gt;=DV722, 1))</f>
        <v>1</v>
      </c>
      <c r="EA722" s="109">
        <f t="shared" ref="EA722:EA785" si="304">BP722*WTP-BM722</f>
        <v>-138209134.53384244</v>
      </c>
      <c r="EB722" s="109">
        <f t="shared" ref="EB722:EB785" si="305">BQ722*WTP-BN722</f>
        <v>0</v>
      </c>
      <c r="ED722" s="58">
        <f t="array" ref="ED722">SUM(IF(EA722:EB722&gt;=EA722, 1))</f>
        <v>2</v>
      </c>
      <c r="EE722" s="58">
        <f t="array" ref="EE722">SUM(IF(EA722:EB722&gt;=EB722, 1))</f>
        <v>1</v>
      </c>
    </row>
    <row r="723" spans="4:135" ht="12" customHeight="1" x14ac:dyDescent="0.25">
      <c r="D723" s="11">
        <v>707</v>
      </c>
      <c r="E723" s="72">
        <v>238.26896785784169</v>
      </c>
      <c r="F723" s="72">
        <v>215.87054669563238</v>
      </c>
      <c r="G723" s="73"/>
      <c r="H723" s="74">
        <v>5.7934390459071929</v>
      </c>
      <c r="I723" s="74">
        <v>5.8123619534234772</v>
      </c>
      <c r="J723" s="73"/>
      <c r="K723" s="72">
        <v>255.64165406581466</v>
      </c>
      <c r="L723" s="72">
        <v>232.71275551186926</v>
      </c>
      <c r="M723" s="73"/>
      <c r="N723" s="74">
        <v>6.6841970499339576</v>
      </c>
      <c r="O723" s="74">
        <v>6.7008390833938076</v>
      </c>
      <c r="P723" s="73"/>
      <c r="Q723" s="72">
        <v>1787.8339404918815</v>
      </c>
      <c r="R723" s="72">
        <v>1080.4460160696156</v>
      </c>
      <c r="S723" s="73"/>
      <c r="T723" s="74">
        <v>4.6657530925724151</v>
      </c>
      <c r="U723" s="74">
        <v>4.7612714883438496</v>
      </c>
      <c r="V723" s="73"/>
      <c r="W723" s="72">
        <v>13063.364574097504</v>
      </c>
      <c r="X723" s="72">
        <v>13154.342433529238</v>
      </c>
      <c r="Y723" s="73"/>
      <c r="Z723" s="74">
        <v>2.8130519728307508</v>
      </c>
      <c r="AA723" s="74">
        <v>2.8874259499211061</v>
      </c>
      <c r="AB723" s="73"/>
      <c r="AC723" s="72">
        <v>49103.054140569344</v>
      </c>
      <c r="AD723" s="72">
        <v>49112.037654209627</v>
      </c>
      <c r="AE723" s="73"/>
      <c r="AF723" s="74">
        <v>4.6779612346861938</v>
      </c>
      <c r="AG723" s="74">
        <v>4.7614835363954553</v>
      </c>
      <c r="AH723" s="73"/>
      <c r="AI723" s="72">
        <v>2465128.8954087812</v>
      </c>
      <c r="AJ723" s="72">
        <v>0</v>
      </c>
      <c r="AK723" s="73"/>
      <c r="AL723" s="74">
        <v>-2082.6202778186853</v>
      </c>
      <c r="AM723" s="74">
        <v>0</v>
      </c>
      <c r="AN723" s="73"/>
      <c r="AO723" s="72">
        <v>153932.35115826034</v>
      </c>
      <c r="AP723" s="72">
        <v>0</v>
      </c>
      <c r="AQ723" s="73"/>
      <c r="AR723" s="74">
        <v>-111.7257042461969</v>
      </c>
      <c r="AS723" s="74">
        <v>0</v>
      </c>
      <c r="AT723" s="73"/>
      <c r="AU723" s="72">
        <v>16410961.152994726</v>
      </c>
      <c r="AV723" s="72">
        <v>0</v>
      </c>
      <c r="AW723" s="73"/>
      <c r="AX723" s="74">
        <v>-2215.9675452215656</v>
      </c>
      <c r="AY723" s="74">
        <v>0</v>
      </c>
      <c r="AZ723" s="73"/>
      <c r="BA723" s="72">
        <v>-813878.83168385772</v>
      </c>
      <c r="BB723" s="72">
        <v>0</v>
      </c>
      <c r="BC723" s="73"/>
      <c r="BD723" s="74">
        <v>-665.3421608298072</v>
      </c>
      <c r="BE723" s="74">
        <v>0</v>
      </c>
      <c r="BF723" s="73"/>
      <c r="BG723" s="72">
        <v>-137446.04805881419</v>
      </c>
      <c r="BH723" s="72">
        <v>0</v>
      </c>
      <c r="BI723" s="73"/>
      <c r="BJ723" s="74">
        <v>-1277.875311864241</v>
      </c>
      <c r="BK723" s="74">
        <v>0</v>
      </c>
      <c r="BL723" s="73"/>
      <c r="BM723" s="72">
        <v>18078697.519819092</v>
      </c>
      <c r="BN723" s="72">
        <v>0</v>
      </c>
      <c r="BO723" s="73"/>
      <c r="BP723" s="74">
        <v>-6353.5309999804949</v>
      </c>
      <c r="BQ723" s="74">
        <v>0</v>
      </c>
      <c r="BS723" s="109">
        <f t="shared" si="285"/>
        <v>115630.51195028602</v>
      </c>
      <c r="BT723" s="109">
        <f t="shared" si="286"/>
        <v>116031.36852177391</v>
      </c>
      <c r="BV723" s="58">
        <f t="array" ref="BV723">SUM(IF(BS723:BT723&gt;=BS723, 1))</f>
        <v>2</v>
      </c>
      <c r="BW723" s="58">
        <f t="array" ref="BW723">SUM(IF(BS723:BT723&gt;=BT723, 1))</f>
        <v>1</v>
      </c>
      <c r="BY723" s="109">
        <f t="shared" si="287"/>
        <v>133428.29934461333</v>
      </c>
      <c r="BZ723" s="109">
        <f t="shared" si="288"/>
        <v>133784.06891236428</v>
      </c>
      <c r="CB723" s="58">
        <f t="array" ref="CB723">SUM(IF(BY723:BZ723&gt;=BY723, 1))</f>
        <v>2</v>
      </c>
      <c r="CC723" s="58">
        <f t="array" ref="CC723">SUM(IF(BY723:BZ723&gt;=BZ723, 1))</f>
        <v>1</v>
      </c>
      <c r="CE723" s="109">
        <f t="shared" si="289"/>
        <v>91527.227910956426</v>
      </c>
      <c r="CF723" s="109">
        <f t="shared" si="290"/>
        <v>94144.983750807369</v>
      </c>
      <c r="CH723" s="58">
        <f t="array" ref="CH723">SUM(IF(CE723:CF723&gt;=CE723, 1))</f>
        <v>2</v>
      </c>
      <c r="CI723" s="58">
        <f t="array" ref="CI723">SUM(IF(CE723:CF723&gt;=CF723, 1))</f>
        <v>1</v>
      </c>
      <c r="CK723" s="109">
        <f t="shared" si="291"/>
        <v>43197.674882517509</v>
      </c>
      <c r="CL723" s="109">
        <f t="shared" si="292"/>
        <v>44594.176564892885</v>
      </c>
      <c r="CN723" s="58">
        <f t="array" ref="CN723">SUM(IF(CK723:CL723&gt;=CK723, 1))</f>
        <v>2</v>
      </c>
      <c r="CO723" s="58">
        <f t="array" ref="CO723">SUM(IF(CK723:CL723&gt;=CL723, 1))</f>
        <v>1</v>
      </c>
      <c r="CQ723" s="109" cm="1">
        <f t="array" ref="CQ723">AF723*WTP-AC723</f>
        <v>44456.170553154538</v>
      </c>
      <c r="CR723" s="109">
        <f t="shared" si="293"/>
        <v>46117.633073699479</v>
      </c>
      <c r="CT723" s="58">
        <f t="array" ref="CT723">SUM(IF(CQ723:CR723&gt;=CQ723, 1))</f>
        <v>2</v>
      </c>
      <c r="CU723" s="58">
        <f t="array" ref="CU723">SUM(IF(CQ723:CR723&gt;=CR723, 1))</f>
        <v>1</v>
      </c>
      <c r="CW723" s="109">
        <f t="shared" si="294"/>
        <v>-44117534.451782487</v>
      </c>
      <c r="CX723" s="109">
        <f t="shared" si="295"/>
        <v>0</v>
      </c>
      <c r="CZ723" s="58">
        <f t="array" ref="CZ723">SUM(IF(CW723:CX723&gt;=CW723, 1))</f>
        <v>2</v>
      </c>
      <c r="DA723" s="58">
        <f t="array" ref="DA723">SUM(IF(CW723:CX723&gt;=CX723, 1))</f>
        <v>1</v>
      </c>
      <c r="DC723" s="109">
        <f t="shared" si="296"/>
        <v>-2388446.4360821983</v>
      </c>
      <c r="DD723" s="109">
        <f t="shared" si="297"/>
        <v>0</v>
      </c>
      <c r="DF723" s="58">
        <f t="array" ref="DF723">SUM(IF(DC723:DD723&gt;=DC723, 1))</f>
        <v>2</v>
      </c>
      <c r="DG723" s="58">
        <f t="array" ref="DG723">SUM(IF(DC723:DD723&gt;=DD723, 1))</f>
        <v>1</v>
      </c>
      <c r="DI723" s="109">
        <f t="shared" si="298"/>
        <v>-60730312.057426035</v>
      </c>
      <c r="DJ723" s="109">
        <f t="shared" si="299"/>
        <v>0</v>
      </c>
      <c r="DL723" s="58">
        <f t="array" ref="DL723">SUM(IF(DI723:DJ723&gt;=DI723, 1))</f>
        <v>2</v>
      </c>
      <c r="DM723" s="58">
        <f t="array" ref="DM723">SUM(IF(DI723:DJ723&gt;=DJ723, 1))</f>
        <v>1</v>
      </c>
      <c r="DO723" s="109">
        <f t="shared" si="300"/>
        <v>-12492964.384912286</v>
      </c>
      <c r="DP723" s="109">
        <f t="shared" si="301"/>
        <v>0</v>
      </c>
      <c r="DR723" s="58">
        <f t="array" ref="DR723">SUM(IF(DO723:DP723&gt;=DO723, 1))</f>
        <v>2</v>
      </c>
      <c r="DS723" s="58">
        <f t="array" ref="DS723">SUM(IF(DO723:DP723&gt;=DP723, 1))</f>
        <v>1</v>
      </c>
      <c r="DU723" s="109">
        <f t="shared" si="302"/>
        <v>-25420060.189226005</v>
      </c>
      <c r="DV723" s="109">
        <f t="shared" si="303"/>
        <v>0</v>
      </c>
      <c r="DX723" s="58">
        <f t="array" ref="DX723">SUM(IF(DU723:DV723&gt;=DU723, 1))</f>
        <v>2</v>
      </c>
      <c r="DY723" s="58">
        <f t="array" ref="DY723">SUM(IF(DU723:DV723&gt;=DV723, 1))</f>
        <v>1</v>
      </c>
      <c r="EA723" s="109">
        <f t="shared" si="304"/>
        <v>-145149317.519429</v>
      </c>
      <c r="EB723" s="109">
        <f t="shared" si="305"/>
        <v>0</v>
      </c>
      <c r="ED723" s="58">
        <f t="array" ref="ED723">SUM(IF(EA723:EB723&gt;=EA723, 1))</f>
        <v>2</v>
      </c>
      <c r="EE723" s="58">
        <f t="array" ref="EE723">SUM(IF(EA723:EB723&gt;=EB723, 1))</f>
        <v>1</v>
      </c>
    </row>
    <row r="724" spans="4:135" ht="12" customHeight="1" x14ac:dyDescent="0.25">
      <c r="D724" s="11">
        <v>708</v>
      </c>
      <c r="E724" s="72">
        <v>273.24527248039533</v>
      </c>
      <c r="F724" s="72">
        <v>247.87763675279803</v>
      </c>
      <c r="G724" s="73"/>
      <c r="H724" s="74">
        <v>5.798869289615455</v>
      </c>
      <c r="I724" s="74">
        <v>5.816461627624296</v>
      </c>
      <c r="J724" s="73"/>
      <c r="K724" s="72">
        <v>293.24779621940547</v>
      </c>
      <c r="L724" s="72">
        <v>267.27622541813582</v>
      </c>
      <c r="M724" s="73"/>
      <c r="N724" s="74">
        <v>6.7452349565584369</v>
      </c>
      <c r="O724" s="74">
        <v>6.7612289991867955</v>
      </c>
      <c r="P724" s="73"/>
      <c r="Q724" s="72">
        <v>3910.5663455990039</v>
      </c>
      <c r="R724" s="72">
        <v>1691.7657730145313</v>
      </c>
      <c r="S724" s="73"/>
      <c r="T724" s="74">
        <v>4.5287898471905903</v>
      </c>
      <c r="U724" s="74">
        <v>4.7172116028678834</v>
      </c>
      <c r="V724" s="73"/>
      <c r="W724" s="72">
        <v>10261.292244652685</v>
      </c>
      <c r="X724" s="72">
        <v>10217.166981888162</v>
      </c>
      <c r="Y724" s="73"/>
      <c r="Z724" s="74">
        <v>2.9925447047348026</v>
      </c>
      <c r="AA724" s="74">
        <v>3.0335674320352037</v>
      </c>
      <c r="AB724" s="73"/>
      <c r="AC724" s="72">
        <v>48579.385468569802</v>
      </c>
      <c r="AD724" s="72">
        <v>48441.350053575763</v>
      </c>
      <c r="AE724" s="73"/>
      <c r="AF724" s="74">
        <v>4.2878622664542476</v>
      </c>
      <c r="AG724" s="74">
        <v>4.3939865108881984</v>
      </c>
      <c r="AH724" s="73"/>
      <c r="AI724" s="72">
        <v>2761958.200861061</v>
      </c>
      <c r="AJ724" s="72">
        <v>0</v>
      </c>
      <c r="AK724" s="73"/>
      <c r="AL724" s="74">
        <v>-1915.4052335660922</v>
      </c>
      <c r="AM724" s="74">
        <v>0</v>
      </c>
      <c r="AN724" s="73"/>
      <c r="AO724" s="72">
        <v>171992.92402470845</v>
      </c>
      <c r="AP724" s="72">
        <v>0</v>
      </c>
      <c r="AQ724" s="73"/>
      <c r="AR724" s="74">
        <v>-105.91820493555841</v>
      </c>
      <c r="AS724" s="74">
        <v>0</v>
      </c>
      <c r="AT724" s="73"/>
      <c r="AU724" s="72">
        <v>49616554.973007962</v>
      </c>
      <c r="AV724" s="72">
        <v>0</v>
      </c>
      <c r="AW724" s="73"/>
      <c r="AX724" s="74">
        <v>-4213.464929740624</v>
      </c>
      <c r="AY724" s="74">
        <v>0</v>
      </c>
      <c r="AZ724" s="73"/>
      <c r="BA724" s="72">
        <v>395579.79521789378</v>
      </c>
      <c r="BB724" s="72">
        <v>0</v>
      </c>
      <c r="BC724" s="73"/>
      <c r="BD724" s="74">
        <v>-367.76578875853272</v>
      </c>
      <c r="BE724" s="74">
        <v>0</v>
      </c>
      <c r="BF724" s="73"/>
      <c r="BG724" s="72">
        <v>2172249.8815824245</v>
      </c>
      <c r="BH724" s="72">
        <v>0</v>
      </c>
      <c r="BI724" s="73"/>
      <c r="BJ724" s="74">
        <v>-1670.0668985175164</v>
      </c>
      <c r="BK724" s="74">
        <v>0</v>
      </c>
      <c r="BL724" s="73"/>
      <c r="BM724" s="72">
        <v>55118335.774694048</v>
      </c>
      <c r="BN724" s="72">
        <v>0</v>
      </c>
      <c r="BO724" s="73"/>
      <c r="BP724" s="74">
        <v>-8272.6210555183243</v>
      </c>
      <c r="BQ724" s="74">
        <v>0</v>
      </c>
      <c r="BS724" s="109">
        <f t="shared" si="285"/>
        <v>115704.1405198287</v>
      </c>
      <c r="BT724" s="109">
        <f t="shared" si="286"/>
        <v>116081.35491573311</v>
      </c>
      <c r="BV724" s="58">
        <f t="array" ref="BV724">SUM(IF(BS724:BT724&gt;=BS724, 1))</f>
        <v>2</v>
      </c>
      <c r="BW724" s="58">
        <f t="array" ref="BW724">SUM(IF(BS724:BT724&gt;=BT724, 1))</f>
        <v>1</v>
      </c>
      <c r="BY724" s="109">
        <f t="shared" si="287"/>
        <v>134611.45133494935</v>
      </c>
      <c r="BZ724" s="109">
        <f t="shared" si="288"/>
        <v>134957.30375831778</v>
      </c>
      <c r="CB724" s="58">
        <f t="array" ref="CB724">SUM(IF(BY724:BZ724&gt;=BY724, 1))</f>
        <v>2</v>
      </c>
      <c r="CC724" s="58">
        <f t="array" ref="CC724">SUM(IF(BY724:BZ724&gt;=BZ724, 1))</f>
        <v>1</v>
      </c>
      <c r="CE724" s="109">
        <f t="shared" si="289"/>
        <v>86665.230598212802</v>
      </c>
      <c r="CF724" s="109">
        <f t="shared" si="290"/>
        <v>92652.466284343143</v>
      </c>
      <c r="CH724" s="58">
        <f t="array" ref="CH724">SUM(IF(CE724:CF724&gt;=CE724, 1))</f>
        <v>2</v>
      </c>
      <c r="CI724" s="58">
        <f t="array" ref="CI724">SUM(IF(CE724:CF724&gt;=CF724, 1))</f>
        <v>1</v>
      </c>
      <c r="CK724" s="109">
        <f t="shared" si="291"/>
        <v>49589.601850043364</v>
      </c>
      <c r="CL724" s="109">
        <f t="shared" si="292"/>
        <v>50454.181658815913</v>
      </c>
      <c r="CN724" s="58">
        <f t="array" ref="CN724">SUM(IF(CK724:CL724&gt;=CK724, 1))</f>
        <v>2</v>
      </c>
      <c r="CO724" s="58">
        <f t="array" ref="CO724">SUM(IF(CK724:CL724&gt;=CL724, 1))</f>
        <v>1</v>
      </c>
      <c r="CQ724" s="109" cm="1">
        <f t="array" ref="CQ724">AF724*WTP-AC724</f>
        <v>37177.859860515149</v>
      </c>
      <c r="CR724" s="109">
        <f t="shared" si="293"/>
        <v>39438.380164188202</v>
      </c>
      <c r="CT724" s="58">
        <f t="array" ref="CT724">SUM(IF(CQ724:CR724&gt;=CQ724, 1))</f>
        <v>2</v>
      </c>
      <c r="CU724" s="58">
        <f t="array" ref="CU724">SUM(IF(CQ724:CR724&gt;=CR724, 1))</f>
        <v>1</v>
      </c>
      <c r="CW724" s="109">
        <f t="shared" si="294"/>
        <v>-41070062.872182906</v>
      </c>
      <c r="CX724" s="109">
        <f t="shared" si="295"/>
        <v>0</v>
      </c>
      <c r="CZ724" s="58">
        <f t="array" ref="CZ724">SUM(IF(CW724:CX724&gt;=CW724, 1))</f>
        <v>2</v>
      </c>
      <c r="DA724" s="58">
        <f t="array" ref="DA724">SUM(IF(CW724:CX724&gt;=CX724, 1))</f>
        <v>1</v>
      </c>
      <c r="DC724" s="109">
        <f t="shared" si="296"/>
        <v>-2290357.0227358765</v>
      </c>
      <c r="DD724" s="109">
        <f t="shared" si="297"/>
        <v>0</v>
      </c>
      <c r="DF724" s="58">
        <f t="array" ref="DF724">SUM(IF(DC724:DD724&gt;=DC724, 1))</f>
        <v>2</v>
      </c>
      <c r="DG724" s="58">
        <f t="array" ref="DG724">SUM(IF(DC724:DD724&gt;=DD724, 1))</f>
        <v>1</v>
      </c>
      <c r="DI724" s="109">
        <f t="shared" si="298"/>
        <v>-133885853.56782044</v>
      </c>
      <c r="DJ724" s="109">
        <f t="shared" si="299"/>
        <v>0</v>
      </c>
      <c r="DL724" s="58">
        <f t="array" ref="DL724">SUM(IF(DI724:DJ724&gt;=DI724, 1))</f>
        <v>2</v>
      </c>
      <c r="DM724" s="58">
        <f t="array" ref="DM724">SUM(IF(DI724:DJ724&gt;=DJ724, 1))</f>
        <v>1</v>
      </c>
      <c r="DO724" s="109">
        <f t="shared" si="300"/>
        <v>-7750895.5703885481</v>
      </c>
      <c r="DP724" s="109">
        <f t="shared" si="301"/>
        <v>0</v>
      </c>
      <c r="DR724" s="58">
        <f t="array" ref="DR724">SUM(IF(DO724:DP724&gt;=DO724, 1))</f>
        <v>2</v>
      </c>
      <c r="DS724" s="58">
        <f t="array" ref="DS724">SUM(IF(DO724:DP724&gt;=DP724, 1))</f>
        <v>1</v>
      </c>
      <c r="DU724" s="109">
        <f t="shared" si="302"/>
        <v>-35573587.851932757</v>
      </c>
      <c r="DV724" s="109">
        <f t="shared" si="303"/>
        <v>0</v>
      </c>
      <c r="DX724" s="58">
        <f t="array" ref="DX724">SUM(IF(DU724:DV724&gt;=DU724, 1))</f>
        <v>2</v>
      </c>
      <c r="DY724" s="58">
        <f t="array" ref="DY724">SUM(IF(DU724:DV724&gt;=DV724, 1))</f>
        <v>1</v>
      </c>
      <c r="EA724" s="109">
        <f t="shared" si="304"/>
        <v>-220570756.88506055</v>
      </c>
      <c r="EB724" s="109">
        <f t="shared" si="305"/>
        <v>0</v>
      </c>
      <c r="ED724" s="58">
        <f t="array" ref="ED724">SUM(IF(EA724:EB724&gt;=EA724, 1))</f>
        <v>2</v>
      </c>
      <c r="EE724" s="58">
        <f t="array" ref="EE724">SUM(IF(EA724:EB724&gt;=EB724, 1))</f>
        <v>1</v>
      </c>
    </row>
    <row r="725" spans="4:135" ht="12" customHeight="1" x14ac:dyDescent="0.25">
      <c r="D725" s="11">
        <v>709</v>
      </c>
      <c r="E725" s="72">
        <v>266.24421642804481</v>
      </c>
      <c r="F725" s="72">
        <v>238.05071149230668</v>
      </c>
      <c r="G725" s="73"/>
      <c r="H725" s="74">
        <v>5.8030704054337896</v>
      </c>
      <c r="I725" s="74">
        <v>5.8213920226955596</v>
      </c>
      <c r="J725" s="73"/>
      <c r="K725" s="72">
        <v>285.52888711205782</v>
      </c>
      <c r="L725" s="72">
        <v>256.66589581378679</v>
      </c>
      <c r="M725" s="73"/>
      <c r="N725" s="74">
        <v>6.6972605788331538</v>
      </c>
      <c r="O725" s="74">
        <v>6.7135416337767015</v>
      </c>
      <c r="P725" s="73"/>
      <c r="Q725" s="72">
        <v>1813.5611548698068</v>
      </c>
      <c r="R725" s="72">
        <v>1485.164248027452</v>
      </c>
      <c r="S725" s="73"/>
      <c r="T725" s="74">
        <v>4.9793720556570431</v>
      </c>
      <c r="U725" s="74">
        <v>5.0183258827858737</v>
      </c>
      <c r="V725" s="73"/>
      <c r="W725" s="72">
        <v>10908.074594762611</v>
      </c>
      <c r="X725" s="72">
        <v>10904.84162017348</v>
      </c>
      <c r="Y725" s="73"/>
      <c r="Z725" s="74">
        <v>3.0088321215731648</v>
      </c>
      <c r="AA725" s="74">
        <v>3.0598075673566822</v>
      </c>
      <c r="AB725" s="73"/>
      <c r="AC725" s="72">
        <v>51772.654257301263</v>
      </c>
      <c r="AD725" s="72">
        <v>51390.418958565271</v>
      </c>
      <c r="AE725" s="73"/>
      <c r="AF725" s="74">
        <v>4.2759061160261282</v>
      </c>
      <c r="AG725" s="74">
        <v>4.3793740170379598</v>
      </c>
      <c r="AH725" s="73"/>
      <c r="AI725" s="72">
        <v>3010276.6447185874</v>
      </c>
      <c r="AJ725" s="72">
        <v>0</v>
      </c>
      <c r="AK725" s="73"/>
      <c r="AL725" s="74">
        <v>-1956.2355465306762</v>
      </c>
      <c r="AM725" s="74">
        <v>0</v>
      </c>
      <c r="AN725" s="73"/>
      <c r="AO725" s="72">
        <v>198726.15518950258</v>
      </c>
      <c r="AP725" s="72">
        <v>0</v>
      </c>
      <c r="AQ725" s="73"/>
      <c r="AR725" s="74">
        <v>-112.09757914295226</v>
      </c>
      <c r="AS725" s="74">
        <v>0</v>
      </c>
      <c r="AT725" s="73"/>
      <c r="AU725" s="72">
        <v>7685894.2816333203</v>
      </c>
      <c r="AV725" s="72">
        <v>0</v>
      </c>
      <c r="AW725" s="73"/>
      <c r="AX725" s="74">
        <v>-911.68641037454904</v>
      </c>
      <c r="AY725" s="74">
        <v>0</v>
      </c>
      <c r="AZ725" s="73"/>
      <c r="BA725" s="72">
        <v>27485.821741591568</v>
      </c>
      <c r="BB725" s="72">
        <v>0</v>
      </c>
      <c r="BC725" s="73"/>
      <c r="BD725" s="74">
        <v>-433.37860455639412</v>
      </c>
      <c r="BE725" s="74">
        <v>0</v>
      </c>
      <c r="BF725" s="73"/>
      <c r="BG725" s="72">
        <v>6045854.3200158505</v>
      </c>
      <c r="BH725" s="72">
        <v>0</v>
      </c>
      <c r="BI725" s="73"/>
      <c r="BJ725" s="74">
        <v>-1636.5622389768353</v>
      </c>
      <c r="BK725" s="74">
        <v>0</v>
      </c>
      <c r="BL725" s="73"/>
      <c r="BM725" s="72">
        <v>16968237.223298851</v>
      </c>
      <c r="BN725" s="72">
        <v>0</v>
      </c>
      <c r="BO725" s="73"/>
      <c r="BP725" s="74">
        <v>-5049.9603795814073</v>
      </c>
      <c r="BQ725" s="74">
        <v>0</v>
      </c>
      <c r="BS725" s="109">
        <f t="shared" si="285"/>
        <v>115795.16389224774</v>
      </c>
      <c r="BT725" s="109">
        <f t="shared" si="286"/>
        <v>116189.78974241888</v>
      </c>
      <c r="BV725" s="58">
        <f t="array" ref="BV725">SUM(IF(BS725:BT725&gt;=BS725, 1))</f>
        <v>2</v>
      </c>
      <c r="BW725" s="58">
        <f t="array" ref="BW725">SUM(IF(BS725:BT725&gt;=BT725, 1))</f>
        <v>1</v>
      </c>
      <c r="BY725" s="109">
        <f t="shared" si="287"/>
        <v>133659.682689551</v>
      </c>
      <c r="BZ725" s="109">
        <f t="shared" si="288"/>
        <v>134014.16677972025</v>
      </c>
      <c r="CB725" s="58">
        <f t="array" ref="CB725">SUM(IF(BY725:BZ725&gt;=BY725, 1))</f>
        <v>2</v>
      </c>
      <c r="CC725" s="58">
        <f t="array" ref="CC725">SUM(IF(BY725:BZ725&gt;=BZ725, 1))</f>
        <v>1</v>
      </c>
      <c r="CE725" s="109">
        <f t="shared" si="289"/>
        <v>97773.879958271049</v>
      </c>
      <c r="CF725" s="109">
        <f t="shared" si="290"/>
        <v>98881.353407690025</v>
      </c>
      <c r="CH725" s="58">
        <f t="array" ref="CH725">SUM(IF(CE725:CF725&gt;=CE725, 1))</f>
        <v>2</v>
      </c>
      <c r="CI725" s="58">
        <f t="array" ref="CI725">SUM(IF(CE725:CF725&gt;=CF725, 1))</f>
        <v>1</v>
      </c>
      <c r="CK725" s="109">
        <f t="shared" si="291"/>
        <v>49268.567836700684</v>
      </c>
      <c r="CL725" s="109">
        <f t="shared" si="292"/>
        <v>50291.309726960164</v>
      </c>
      <c r="CN725" s="58">
        <f t="array" ref="CN725">SUM(IF(CK725:CL725&gt;=CK725, 1))</f>
        <v>2</v>
      </c>
      <c r="CO725" s="58">
        <f t="array" ref="CO725">SUM(IF(CK725:CL725&gt;=CL725, 1))</f>
        <v>1</v>
      </c>
      <c r="CQ725" s="109" cm="1">
        <f t="array" ref="CQ725">AF725*WTP-AC725</f>
        <v>33745.468063221306</v>
      </c>
      <c r="CR725" s="109">
        <f t="shared" si="293"/>
        <v>36197.061382193926</v>
      </c>
      <c r="CT725" s="58">
        <f t="array" ref="CT725">SUM(IF(CQ725:CR725&gt;=CQ725, 1))</f>
        <v>2</v>
      </c>
      <c r="CU725" s="58">
        <f t="array" ref="CU725">SUM(IF(CQ725:CR725&gt;=CR725, 1))</f>
        <v>1</v>
      </c>
      <c r="CW725" s="109">
        <f t="shared" si="294"/>
        <v>-42134987.575332113</v>
      </c>
      <c r="CX725" s="109">
        <f t="shared" si="295"/>
        <v>0</v>
      </c>
      <c r="CZ725" s="58">
        <f t="array" ref="CZ725">SUM(IF(CW725:CX725&gt;=CW725, 1))</f>
        <v>2</v>
      </c>
      <c r="DA725" s="58">
        <f t="array" ref="DA725">SUM(IF(CW725:CX725&gt;=CX725, 1))</f>
        <v>1</v>
      </c>
      <c r="DC725" s="109">
        <f t="shared" si="296"/>
        <v>-2440677.7380485474</v>
      </c>
      <c r="DD725" s="109">
        <f t="shared" si="297"/>
        <v>0</v>
      </c>
      <c r="DF725" s="58">
        <f t="array" ref="DF725">SUM(IF(DC725:DD725&gt;=DC725, 1))</f>
        <v>2</v>
      </c>
      <c r="DG725" s="58">
        <f t="array" ref="DG725">SUM(IF(DC725:DD725&gt;=DD725, 1))</f>
        <v>1</v>
      </c>
      <c r="DI725" s="109">
        <f t="shared" si="298"/>
        <v>-25919622.489124302</v>
      </c>
      <c r="DJ725" s="109">
        <f t="shared" si="299"/>
        <v>0</v>
      </c>
      <c r="DL725" s="58">
        <f t="array" ref="DL725">SUM(IF(DI725:DJ725&gt;=DI725, 1))</f>
        <v>2</v>
      </c>
      <c r="DM725" s="58">
        <f t="array" ref="DM725">SUM(IF(DI725:DJ725&gt;=DJ725, 1))</f>
        <v>1</v>
      </c>
      <c r="DO725" s="109">
        <f t="shared" si="300"/>
        <v>-8695057.9128694739</v>
      </c>
      <c r="DP725" s="109">
        <f t="shared" si="301"/>
        <v>0</v>
      </c>
      <c r="DR725" s="58">
        <f t="array" ref="DR725">SUM(IF(DO725:DP725&gt;=DO725, 1))</f>
        <v>2</v>
      </c>
      <c r="DS725" s="58">
        <f t="array" ref="DS725">SUM(IF(DO725:DP725&gt;=DP725, 1))</f>
        <v>1</v>
      </c>
      <c r="DU725" s="109">
        <f t="shared" si="302"/>
        <v>-38777099.099552557</v>
      </c>
      <c r="DV725" s="109">
        <f t="shared" si="303"/>
        <v>0</v>
      </c>
      <c r="DX725" s="58">
        <f t="array" ref="DX725">SUM(IF(DU725:DV725&gt;=DU725, 1))</f>
        <v>2</v>
      </c>
      <c r="DY725" s="58">
        <f t="array" ref="DY725">SUM(IF(DU725:DV725&gt;=DV725, 1))</f>
        <v>1</v>
      </c>
      <c r="EA725" s="109">
        <f t="shared" si="304"/>
        <v>-117967444.814927</v>
      </c>
      <c r="EB725" s="109">
        <f t="shared" si="305"/>
        <v>0</v>
      </c>
      <c r="ED725" s="58">
        <f t="array" ref="ED725">SUM(IF(EA725:EB725&gt;=EA725, 1))</f>
        <v>2</v>
      </c>
      <c r="EE725" s="58">
        <f t="array" ref="EE725">SUM(IF(EA725:EB725&gt;=EB725, 1))</f>
        <v>1</v>
      </c>
    </row>
    <row r="726" spans="4:135" ht="12" customHeight="1" x14ac:dyDescent="0.25">
      <c r="D726" s="11">
        <v>710</v>
      </c>
      <c r="E726" s="72">
        <v>255.03222675922882</v>
      </c>
      <c r="F726" s="72">
        <v>209.38310269732395</v>
      </c>
      <c r="G726" s="73"/>
      <c r="H726" s="74">
        <v>5.9060524271693726</v>
      </c>
      <c r="I726" s="74">
        <v>5.921396941363362</v>
      </c>
      <c r="J726" s="73"/>
      <c r="K726" s="72">
        <v>272.36427448198623</v>
      </c>
      <c r="L726" s="72">
        <v>225.63537879859382</v>
      </c>
      <c r="M726" s="73"/>
      <c r="N726" s="74">
        <v>6.6142142027665161</v>
      </c>
      <c r="O726" s="74">
        <v>6.6271058892075301</v>
      </c>
      <c r="P726" s="73"/>
      <c r="Q726" s="72">
        <v>2519.9017510868084</v>
      </c>
      <c r="R726" s="72">
        <v>1527.163745336426</v>
      </c>
      <c r="S726" s="73"/>
      <c r="T726" s="74">
        <v>4.8458015317711816</v>
      </c>
      <c r="U726" s="74">
        <v>4.9282040020151303</v>
      </c>
      <c r="V726" s="73"/>
      <c r="W726" s="72">
        <v>9356.9501813630723</v>
      </c>
      <c r="X726" s="72">
        <v>9378.7446866182709</v>
      </c>
      <c r="Y726" s="73"/>
      <c r="Z726" s="74">
        <v>2.9184024705928904</v>
      </c>
      <c r="AA726" s="74">
        <v>2.9816401906361181</v>
      </c>
      <c r="AB726" s="73"/>
      <c r="AC726" s="72">
        <v>50302.462215811589</v>
      </c>
      <c r="AD726" s="72">
        <v>50220.863239095401</v>
      </c>
      <c r="AE726" s="73"/>
      <c r="AF726" s="74">
        <v>4.744325569174614</v>
      </c>
      <c r="AG726" s="74">
        <v>4.8734957073817498</v>
      </c>
      <c r="AH726" s="73"/>
      <c r="AI726" s="72">
        <v>4998322.9567086473</v>
      </c>
      <c r="AJ726" s="72">
        <v>0</v>
      </c>
      <c r="AK726" s="73"/>
      <c r="AL726" s="74">
        <v>-1680.1382092534836</v>
      </c>
      <c r="AM726" s="74">
        <v>0</v>
      </c>
      <c r="AN726" s="73"/>
      <c r="AO726" s="72">
        <v>305658.30950838549</v>
      </c>
      <c r="AP726" s="72">
        <v>0</v>
      </c>
      <c r="AQ726" s="73"/>
      <c r="AR726" s="74">
        <v>-84.325790854778688</v>
      </c>
      <c r="AS726" s="74">
        <v>0</v>
      </c>
      <c r="AT726" s="73"/>
      <c r="AU726" s="72">
        <v>22072908.660773147</v>
      </c>
      <c r="AV726" s="72">
        <v>0</v>
      </c>
      <c r="AW726" s="73"/>
      <c r="AX726" s="74">
        <v>-1832.1673881538684</v>
      </c>
      <c r="AY726" s="74">
        <v>0</v>
      </c>
      <c r="AZ726" s="73"/>
      <c r="BA726" s="72">
        <v>-195270.28412215767</v>
      </c>
      <c r="BB726" s="72">
        <v>0</v>
      </c>
      <c r="BC726" s="73"/>
      <c r="BD726" s="74">
        <v>-566.58535789120913</v>
      </c>
      <c r="BE726" s="74">
        <v>0</v>
      </c>
      <c r="BF726" s="73"/>
      <c r="BG726" s="72">
        <v>1319964.6683899707</v>
      </c>
      <c r="BH726" s="72">
        <v>0</v>
      </c>
      <c r="BI726" s="73"/>
      <c r="BJ726" s="74">
        <v>-2089.4872154768527</v>
      </c>
      <c r="BK726" s="74">
        <v>0</v>
      </c>
      <c r="BL726" s="73"/>
      <c r="BM726" s="72">
        <v>28501584.311257996</v>
      </c>
      <c r="BN726" s="72">
        <v>0</v>
      </c>
      <c r="BO726" s="73"/>
      <c r="BP726" s="74">
        <v>-6252.7039616301927</v>
      </c>
      <c r="BQ726" s="74">
        <v>0</v>
      </c>
      <c r="BS726" s="109">
        <f t="shared" si="285"/>
        <v>117866.01631662823</v>
      </c>
      <c r="BT726" s="109">
        <f t="shared" si="286"/>
        <v>118218.55572456992</v>
      </c>
      <c r="BV726" s="58">
        <f t="array" ref="BV726">SUM(IF(BS726:BT726&gt;=BS726, 1))</f>
        <v>2</v>
      </c>
      <c r="BW726" s="58">
        <f t="array" ref="BW726">SUM(IF(BS726:BT726&gt;=BT726, 1))</f>
        <v>1</v>
      </c>
      <c r="BY726" s="109">
        <f t="shared" si="287"/>
        <v>132011.91978084834</v>
      </c>
      <c r="BZ726" s="109">
        <f t="shared" si="288"/>
        <v>132316.48240535203</v>
      </c>
      <c r="CB726" s="58">
        <f t="array" ref="CB726">SUM(IF(BY726:BZ726&gt;=BY726, 1))</f>
        <v>2</v>
      </c>
      <c r="CC726" s="58">
        <f t="array" ref="CC726">SUM(IF(BY726:BZ726&gt;=BZ726, 1))</f>
        <v>1</v>
      </c>
      <c r="CE726" s="109">
        <f t="shared" si="289"/>
        <v>94396.128884336824</v>
      </c>
      <c r="CF726" s="109">
        <f t="shared" si="290"/>
        <v>97036.916294966184</v>
      </c>
      <c r="CH726" s="58">
        <f t="array" ref="CH726">SUM(IF(CE726:CF726&gt;=CE726, 1))</f>
        <v>2</v>
      </c>
      <c r="CI726" s="58">
        <f t="array" ref="CI726">SUM(IF(CE726:CF726&gt;=CF726, 1))</f>
        <v>1</v>
      </c>
      <c r="CK726" s="109">
        <f t="shared" si="291"/>
        <v>49011.099230494736</v>
      </c>
      <c r="CL726" s="109">
        <f t="shared" si="292"/>
        <v>50254.05912610409</v>
      </c>
      <c r="CN726" s="58">
        <f t="array" ref="CN726">SUM(IF(CK726:CL726&gt;=CK726, 1))</f>
        <v>2</v>
      </c>
      <c r="CO726" s="58">
        <f t="array" ref="CO726">SUM(IF(CK726:CL726&gt;=CL726, 1))</f>
        <v>1</v>
      </c>
      <c r="CQ726" s="109" cm="1">
        <f t="array" ref="CQ726">AF726*WTP-AC726</f>
        <v>44584.049167680692</v>
      </c>
      <c r="CR726" s="109">
        <f t="shared" si="293"/>
        <v>47249.05090853959</v>
      </c>
      <c r="CT726" s="58">
        <f t="array" ref="CT726">SUM(IF(CQ726:CR726&gt;=CQ726, 1))</f>
        <v>2</v>
      </c>
      <c r="CU726" s="58">
        <f t="array" ref="CU726">SUM(IF(CQ726:CR726&gt;=CR726, 1))</f>
        <v>1</v>
      </c>
      <c r="CW726" s="109">
        <f t="shared" si="294"/>
        <v>-38601087.14177832</v>
      </c>
      <c r="CX726" s="109">
        <f t="shared" si="295"/>
        <v>0</v>
      </c>
      <c r="CZ726" s="58">
        <f t="array" ref="CZ726">SUM(IF(CW726:CX726&gt;=CW726, 1))</f>
        <v>2</v>
      </c>
      <c r="DA726" s="58">
        <f t="array" ref="DA726">SUM(IF(CW726:CX726&gt;=CX726, 1))</f>
        <v>1</v>
      </c>
      <c r="DC726" s="109">
        <f t="shared" si="296"/>
        <v>-1992174.1266039591</v>
      </c>
      <c r="DD726" s="109">
        <f t="shared" si="297"/>
        <v>0</v>
      </c>
      <c r="DF726" s="58">
        <f t="array" ref="DF726">SUM(IF(DC726:DD726&gt;=DC726, 1))</f>
        <v>2</v>
      </c>
      <c r="DG726" s="58">
        <f t="array" ref="DG726">SUM(IF(DC726:DD726&gt;=DD726, 1))</f>
        <v>1</v>
      </c>
      <c r="DI726" s="109">
        <f t="shared" si="298"/>
        <v>-58716256.423850521</v>
      </c>
      <c r="DJ726" s="109">
        <f t="shared" si="299"/>
        <v>0</v>
      </c>
      <c r="DL726" s="58">
        <f t="array" ref="DL726">SUM(IF(DI726:DJ726&gt;=DI726, 1))</f>
        <v>2</v>
      </c>
      <c r="DM726" s="58">
        <f t="array" ref="DM726">SUM(IF(DI726:DJ726&gt;=DJ726, 1))</f>
        <v>1</v>
      </c>
      <c r="DO726" s="109">
        <f t="shared" si="300"/>
        <v>-11136436.873702025</v>
      </c>
      <c r="DP726" s="109">
        <f t="shared" si="301"/>
        <v>0</v>
      </c>
      <c r="DR726" s="58">
        <f t="array" ref="DR726">SUM(IF(DO726:DP726&gt;=DO726, 1))</f>
        <v>2</v>
      </c>
      <c r="DS726" s="58">
        <f t="array" ref="DS726">SUM(IF(DO726:DP726&gt;=DP726, 1))</f>
        <v>1</v>
      </c>
      <c r="DU726" s="109">
        <f t="shared" si="302"/>
        <v>-43109708.977927022</v>
      </c>
      <c r="DV726" s="109">
        <f t="shared" si="303"/>
        <v>0</v>
      </c>
      <c r="DX726" s="58">
        <f t="array" ref="DX726">SUM(IF(DU726:DV726&gt;=DU726, 1))</f>
        <v>2</v>
      </c>
      <c r="DY726" s="58">
        <f t="array" ref="DY726">SUM(IF(DU726:DV726&gt;=DV726, 1))</f>
        <v>1</v>
      </c>
      <c r="EA726" s="109">
        <f t="shared" si="304"/>
        <v>-153555663.54386184</v>
      </c>
      <c r="EB726" s="109">
        <f t="shared" si="305"/>
        <v>0</v>
      </c>
      <c r="ED726" s="58">
        <f t="array" ref="ED726">SUM(IF(EA726:EB726&gt;=EA726, 1))</f>
        <v>2</v>
      </c>
      <c r="EE726" s="58">
        <f t="array" ref="EE726">SUM(IF(EA726:EB726&gt;=EB726, 1))</f>
        <v>1</v>
      </c>
    </row>
    <row r="727" spans="4:135" ht="12" customHeight="1" x14ac:dyDescent="0.25">
      <c r="D727" s="11">
        <v>711</v>
      </c>
      <c r="E727" s="72">
        <v>273.75472153186934</v>
      </c>
      <c r="F727" s="72">
        <v>241.18676272347506</v>
      </c>
      <c r="G727" s="73"/>
      <c r="H727" s="74">
        <v>5.8011549018597295</v>
      </c>
      <c r="I727" s="74">
        <v>5.8187712896238626</v>
      </c>
      <c r="J727" s="73"/>
      <c r="K727" s="72">
        <v>293.32754409704296</v>
      </c>
      <c r="L727" s="72">
        <v>259.98818283398532</v>
      </c>
      <c r="M727" s="73"/>
      <c r="N727" s="74">
        <v>6.7507447882708709</v>
      </c>
      <c r="O727" s="74">
        <v>6.7667829750430455</v>
      </c>
      <c r="P727" s="73"/>
      <c r="Q727" s="72">
        <v>1818.3203888299558</v>
      </c>
      <c r="R727" s="72">
        <v>1228.8981424440742</v>
      </c>
      <c r="S727" s="73"/>
      <c r="T727" s="74">
        <v>4.7493468937383323</v>
      </c>
      <c r="U727" s="74">
        <v>4.8506040514654591</v>
      </c>
      <c r="V727" s="73"/>
      <c r="W727" s="72">
        <v>10931.665507792135</v>
      </c>
      <c r="X727" s="72">
        <v>10923.130683005933</v>
      </c>
      <c r="Y727" s="73"/>
      <c r="Z727" s="74">
        <v>3.1402340183111983</v>
      </c>
      <c r="AA727" s="74">
        <v>3.1839924494113494</v>
      </c>
      <c r="AB727" s="73"/>
      <c r="AC727" s="72">
        <v>51272.615717460605</v>
      </c>
      <c r="AD727" s="72">
        <v>51161.197418188953</v>
      </c>
      <c r="AE727" s="73"/>
      <c r="AF727" s="74">
        <v>4.6561747668466884</v>
      </c>
      <c r="AG727" s="74">
        <v>4.7047746417603769</v>
      </c>
      <c r="AH727" s="73"/>
      <c r="AI727" s="72">
        <v>3509598.3404289656</v>
      </c>
      <c r="AJ727" s="72">
        <v>0</v>
      </c>
      <c r="AK727" s="73"/>
      <c r="AL727" s="74">
        <v>-1898.3825675135377</v>
      </c>
      <c r="AM727" s="74">
        <v>0</v>
      </c>
      <c r="AN727" s="73"/>
      <c r="AO727" s="72">
        <v>225452.28526961533</v>
      </c>
      <c r="AP727" s="72">
        <v>0</v>
      </c>
      <c r="AQ727" s="73"/>
      <c r="AR727" s="74">
        <v>-108.45576286952723</v>
      </c>
      <c r="AS727" s="74">
        <v>0</v>
      </c>
      <c r="AT727" s="73"/>
      <c r="AU727" s="72">
        <v>13599007.537714085</v>
      </c>
      <c r="AV727" s="72">
        <v>0</v>
      </c>
      <c r="AW727" s="73"/>
      <c r="AX727" s="74">
        <v>-2336.1806576218241</v>
      </c>
      <c r="AY727" s="74">
        <v>0</v>
      </c>
      <c r="AZ727" s="73"/>
      <c r="BA727" s="72">
        <v>79563.262262083008</v>
      </c>
      <c r="BB727" s="72">
        <v>0</v>
      </c>
      <c r="BC727" s="73"/>
      <c r="BD727" s="74">
        <v>-407.92442926621288</v>
      </c>
      <c r="BE727" s="74">
        <v>0</v>
      </c>
      <c r="BF727" s="73"/>
      <c r="BG727" s="72">
        <v>1767884.5287398361</v>
      </c>
      <c r="BH727" s="72">
        <v>0</v>
      </c>
      <c r="BI727" s="73"/>
      <c r="BJ727" s="74">
        <v>-771.13874040672101</v>
      </c>
      <c r="BK727" s="74">
        <v>0</v>
      </c>
      <c r="BL727" s="73"/>
      <c r="BM727" s="72">
        <v>19181505.954414584</v>
      </c>
      <c r="BN727" s="72">
        <v>0</v>
      </c>
      <c r="BO727" s="73"/>
      <c r="BP727" s="74">
        <v>-5522.0821576778235</v>
      </c>
      <c r="BQ727" s="74">
        <v>0</v>
      </c>
      <c r="BS727" s="109">
        <f t="shared" si="285"/>
        <v>115749.34331566273</v>
      </c>
      <c r="BT727" s="109">
        <f t="shared" si="286"/>
        <v>116134.23902975378</v>
      </c>
      <c r="BV727" s="58">
        <f t="array" ref="BV727">SUM(IF(BS727:BT727&gt;=BS727, 1))</f>
        <v>2</v>
      </c>
      <c r="BW727" s="58">
        <f t="array" ref="BW727">SUM(IF(BS727:BT727&gt;=BT727, 1))</f>
        <v>1</v>
      </c>
      <c r="BY727" s="109">
        <f t="shared" si="287"/>
        <v>134721.5682213204</v>
      </c>
      <c r="BZ727" s="109">
        <f t="shared" si="288"/>
        <v>135075.67131802693</v>
      </c>
      <c r="CB727" s="58">
        <f t="array" ref="CB727">SUM(IF(BY727:BZ727&gt;=BY727, 1))</f>
        <v>2</v>
      </c>
      <c r="CC727" s="58">
        <f t="array" ref="CC727">SUM(IF(BY727:BZ727&gt;=BZ727, 1))</f>
        <v>1</v>
      </c>
      <c r="CE727" s="109">
        <f t="shared" si="289"/>
        <v>93168.617485936687</v>
      </c>
      <c r="CF727" s="109">
        <f t="shared" si="290"/>
        <v>95783.182886865106</v>
      </c>
      <c r="CH727" s="58">
        <f t="array" ref="CH727">SUM(IF(CE727:CF727&gt;=CE727, 1))</f>
        <v>2</v>
      </c>
      <c r="CI727" s="58">
        <f t="array" ref="CI727">SUM(IF(CE727:CF727&gt;=CF727, 1))</f>
        <v>1</v>
      </c>
      <c r="CK727" s="109">
        <f t="shared" si="291"/>
        <v>51873.014858431838</v>
      </c>
      <c r="CL727" s="109">
        <f t="shared" si="292"/>
        <v>52756.718305221053</v>
      </c>
      <c r="CN727" s="58">
        <f t="array" ref="CN727">SUM(IF(CK727:CL727&gt;=CK727, 1))</f>
        <v>2</v>
      </c>
      <c r="CO727" s="58">
        <f t="array" ref="CO727">SUM(IF(CK727:CL727&gt;=CL727, 1))</f>
        <v>1</v>
      </c>
      <c r="CQ727" s="109" cm="1">
        <f t="array" ref="CQ727">AF727*WTP-AC727</f>
        <v>41850.879619473169</v>
      </c>
      <c r="CR727" s="109">
        <f t="shared" si="293"/>
        <v>42934.295417018584</v>
      </c>
      <c r="CT727" s="58">
        <f t="array" ref="CT727">SUM(IF(CQ727:CR727&gt;=CQ727, 1))</f>
        <v>2</v>
      </c>
      <c r="CU727" s="58">
        <f t="array" ref="CU727">SUM(IF(CQ727:CR727&gt;=CR727, 1))</f>
        <v>1</v>
      </c>
      <c r="CW727" s="109">
        <f t="shared" si="294"/>
        <v>-41477249.690699719</v>
      </c>
      <c r="CX727" s="109">
        <f t="shared" si="295"/>
        <v>0</v>
      </c>
      <c r="CZ727" s="58">
        <f t="array" ref="CZ727">SUM(IF(CW727:CX727&gt;=CW727, 1))</f>
        <v>2</v>
      </c>
      <c r="DA727" s="58">
        <f t="array" ref="DA727">SUM(IF(CW727:CX727&gt;=CX727, 1))</f>
        <v>1</v>
      </c>
      <c r="DC727" s="109">
        <f t="shared" si="296"/>
        <v>-2394567.54266016</v>
      </c>
      <c r="DD727" s="109">
        <f t="shared" si="297"/>
        <v>0</v>
      </c>
      <c r="DF727" s="58">
        <f t="array" ref="DF727">SUM(IF(DC727:DD727&gt;=DC727, 1))</f>
        <v>2</v>
      </c>
      <c r="DG727" s="58">
        <f t="array" ref="DG727">SUM(IF(DC727:DD727&gt;=DD727, 1))</f>
        <v>1</v>
      </c>
      <c r="DI727" s="109">
        <f t="shared" si="298"/>
        <v>-60322620.690150566</v>
      </c>
      <c r="DJ727" s="109">
        <f t="shared" si="299"/>
        <v>0</v>
      </c>
      <c r="DL727" s="58">
        <f t="array" ref="DL727">SUM(IF(DI727:DJ727&gt;=DI727, 1))</f>
        <v>2</v>
      </c>
      <c r="DM727" s="58">
        <f t="array" ref="DM727">SUM(IF(DI727:DJ727&gt;=DJ727, 1))</f>
        <v>1</v>
      </c>
      <c r="DO727" s="109">
        <f t="shared" si="300"/>
        <v>-8238051.8475863403</v>
      </c>
      <c r="DP727" s="109">
        <f t="shared" si="301"/>
        <v>0</v>
      </c>
      <c r="DR727" s="58">
        <f t="array" ref="DR727">SUM(IF(DO727:DP727&gt;=DO727, 1))</f>
        <v>2</v>
      </c>
      <c r="DS727" s="58">
        <f t="array" ref="DS727">SUM(IF(DO727:DP727&gt;=DP727, 1))</f>
        <v>1</v>
      </c>
      <c r="DU727" s="109">
        <f t="shared" si="302"/>
        <v>-17190659.336874254</v>
      </c>
      <c r="DV727" s="109">
        <f t="shared" si="303"/>
        <v>0</v>
      </c>
      <c r="DX727" s="58">
        <f t="array" ref="DX727">SUM(IF(DU727:DV727&gt;=DU727, 1))</f>
        <v>2</v>
      </c>
      <c r="DY727" s="58">
        <f t="array" ref="DY727">SUM(IF(DU727:DV727&gt;=DV727, 1))</f>
        <v>1</v>
      </c>
      <c r="EA727" s="109">
        <f t="shared" si="304"/>
        <v>-129623149.10797104</v>
      </c>
      <c r="EB727" s="109">
        <f t="shared" si="305"/>
        <v>0</v>
      </c>
      <c r="ED727" s="58">
        <f t="array" ref="ED727">SUM(IF(EA727:EB727&gt;=EA727, 1))</f>
        <v>2</v>
      </c>
      <c r="EE727" s="58">
        <f t="array" ref="EE727">SUM(IF(EA727:EB727&gt;=EB727, 1))</f>
        <v>1</v>
      </c>
    </row>
    <row r="728" spans="4:135" ht="12" customHeight="1" x14ac:dyDescent="0.25">
      <c r="D728" s="11">
        <v>712</v>
      </c>
      <c r="E728" s="72">
        <v>278.71286518002768</v>
      </c>
      <c r="F728" s="72">
        <v>248.42620201200759</v>
      </c>
      <c r="G728" s="73"/>
      <c r="H728" s="74">
        <v>5.8350956508066769</v>
      </c>
      <c r="I728" s="74">
        <v>5.8524032643695767</v>
      </c>
      <c r="J728" s="73"/>
      <c r="K728" s="72">
        <v>298.86587359035673</v>
      </c>
      <c r="L728" s="72">
        <v>267.84998044017743</v>
      </c>
      <c r="M728" s="73"/>
      <c r="N728" s="74">
        <v>6.7265077424771391</v>
      </c>
      <c r="O728" s="74">
        <v>6.7415584032086135</v>
      </c>
      <c r="P728" s="73"/>
      <c r="Q728" s="72">
        <v>3179.5061338057099</v>
      </c>
      <c r="R728" s="72">
        <v>1570.6865448816188</v>
      </c>
      <c r="S728" s="73"/>
      <c r="T728" s="74">
        <v>4.7875990885527777</v>
      </c>
      <c r="U728" s="74">
        <v>4.9246470206821558</v>
      </c>
      <c r="V728" s="73"/>
      <c r="W728" s="72">
        <v>13546.188995556795</v>
      </c>
      <c r="X728" s="72">
        <v>13484.493882941615</v>
      </c>
      <c r="Y728" s="73"/>
      <c r="Z728" s="74">
        <v>3.0106153147061487</v>
      </c>
      <c r="AA728" s="74">
        <v>3.0474637079491855</v>
      </c>
      <c r="AB728" s="73"/>
      <c r="AC728" s="72">
        <v>50575.947463769349</v>
      </c>
      <c r="AD728" s="72">
        <v>50196.978863445314</v>
      </c>
      <c r="AE728" s="73"/>
      <c r="AF728" s="74">
        <v>4.2331059358376812</v>
      </c>
      <c r="AG728" s="74">
        <v>4.3935798843944234</v>
      </c>
      <c r="AH728" s="73"/>
      <c r="AI728" s="72">
        <v>3217454.2078771936</v>
      </c>
      <c r="AJ728" s="72">
        <v>0</v>
      </c>
      <c r="AK728" s="73"/>
      <c r="AL728" s="74">
        <v>-1838.6460660038651</v>
      </c>
      <c r="AM728" s="74">
        <v>0</v>
      </c>
      <c r="AN728" s="73"/>
      <c r="AO728" s="72">
        <v>212450.55740475788</v>
      </c>
      <c r="AP728" s="72">
        <v>0</v>
      </c>
      <c r="AQ728" s="73"/>
      <c r="AR728" s="74">
        <v>-103.09299320284639</v>
      </c>
      <c r="AS728" s="74">
        <v>0</v>
      </c>
      <c r="AT728" s="73"/>
      <c r="AU728" s="72">
        <v>37941815.614338391</v>
      </c>
      <c r="AV728" s="72">
        <v>0</v>
      </c>
      <c r="AW728" s="73"/>
      <c r="AX728" s="74">
        <v>-3232.0885492553311</v>
      </c>
      <c r="AY728" s="74">
        <v>0</v>
      </c>
      <c r="AZ728" s="73"/>
      <c r="BA728" s="72">
        <v>526632.0776915811</v>
      </c>
      <c r="BB728" s="72">
        <v>0</v>
      </c>
      <c r="BC728" s="73"/>
      <c r="BD728" s="74">
        <v>-314.53943546902985</v>
      </c>
      <c r="BE728" s="74">
        <v>0</v>
      </c>
      <c r="BF728" s="73"/>
      <c r="BG728" s="72">
        <v>6102912.3432796309</v>
      </c>
      <c r="BH728" s="72">
        <v>0</v>
      </c>
      <c r="BI728" s="73"/>
      <c r="BJ728" s="74">
        <v>-2584.2733160065695</v>
      </c>
      <c r="BK728" s="74">
        <v>0</v>
      </c>
      <c r="BL728" s="73"/>
      <c r="BM728" s="72">
        <v>48001264.800591558</v>
      </c>
      <c r="BN728" s="72">
        <v>0</v>
      </c>
      <c r="BO728" s="73"/>
      <c r="BP728" s="74">
        <v>-8072.6403599376426</v>
      </c>
      <c r="BQ728" s="74">
        <v>0</v>
      </c>
      <c r="BS728" s="109">
        <f t="shared" si="285"/>
        <v>116423.2001509535</v>
      </c>
      <c r="BT728" s="109">
        <f t="shared" si="286"/>
        <v>116799.63908537953</v>
      </c>
      <c r="BV728" s="58">
        <f t="array" ref="BV728">SUM(IF(BS728:BT728&gt;=BS728, 1))</f>
        <v>2</v>
      </c>
      <c r="BW728" s="58">
        <f t="array" ref="BW728">SUM(IF(BS728:BT728&gt;=BT728, 1))</f>
        <v>1</v>
      </c>
      <c r="BY728" s="109">
        <f t="shared" si="287"/>
        <v>134231.28897595243</v>
      </c>
      <c r="BZ728" s="109">
        <f t="shared" si="288"/>
        <v>134563.3180837321</v>
      </c>
      <c r="CB728" s="58">
        <f t="array" ref="CB728">SUM(IF(BY728:BZ728&gt;=BY728, 1))</f>
        <v>2</v>
      </c>
      <c r="CC728" s="58">
        <f t="array" ref="CC728">SUM(IF(BY728:BZ728&gt;=BZ728, 1))</f>
        <v>1</v>
      </c>
      <c r="CE728" s="109">
        <f t="shared" si="289"/>
        <v>92572.475637249838</v>
      </c>
      <c r="CF728" s="109">
        <f t="shared" si="290"/>
        <v>96922.253868761487</v>
      </c>
      <c r="CH728" s="58">
        <f t="array" ref="CH728">SUM(IF(CE728:CF728&gt;=CE728, 1))</f>
        <v>2</v>
      </c>
      <c r="CI728" s="58">
        <f t="array" ref="CI728">SUM(IF(CE728:CF728&gt;=CF728, 1))</f>
        <v>1</v>
      </c>
      <c r="CK728" s="109">
        <f t="shared" si="291"/>
        <v>46666.117298566176</v>
      </c>
      <c r="CL728" s="109">
        <f t="shared" si="292"/>
        <v>47464.780276042096</v>
      </c>
      <c r="CN728" s="58">
        <f t="array" ref="CN728">SUM(IF(CK728:CL728&gt;=CK728, 1))</f>
        <v>2</v>
      </c>
      <c r="CO728" s="58">
        <f t="array" ref="CO728">SUM(IF(CK728:CL728&gt;=CL728, 1))</f>
        <v>1</v>
      </c>
      <c r="CQ728" s="109" cm="1">
        <f t="array" ref="CQ728">AF728*WTP-AC728</f>
        <v>34086.171252984277</v>
      </c>
      <c r="CR728" s="109">
        <f t="shared" si="293"/>
        <v>37674.618824443154</v>
      </c>
      <c r="CT728" s="58">
        <f t="array" ref="CT728">SUM(IF(CQ728:CR728&gt;=CQ728, 1))</f>
        <v>2</v>
      </c>
      <c r="CU728" s="58">
        <f t="array" ref="CU728">SUM(IF(CQ728:CR728&gt;=CR728, 1))</f>
        <v>1</v>
      </c>
      <c r="CW728" s="109">
        <f t="shared" si="294"/>
        <v>-39990375.527954496</v>
      </c>
      <c r="CX728" s="109">
        <f t="shared" si="295"/>
        <v>0</v>
      </c>
      <c r="CZ728" s="58">
        <f t="array" ref="CZ728">SUM(IF(CW728:CX728&gt;=CW728, 1))</f>
        <v>2</v>
      </c>
      <c r="DA728" s="58">
        <f t="array" ref="DA728">SUM(IF(CW728:CX728&gt;=CX728, 1))</f>
        <v>1</v>
      </c>
      <c r="DC728" s="109">
        <f t="shared" si="296"/>
        <v>-2274310.4214616856</v>
      </c>
      <c r="DD728" s="109">
        <f t="shared" si="297"/>
        <v>0</v>
      </c>
      <c r="DF728" s="58">
        <f t="array" ref="DF728">SUM(IF(DC728:DD728&gt;=DC728, 1))</f>
        <v>2</v>
      </c>
      <c r="DG728" s="58">
        <f t="array" ref="DG728">SUM(IF(DC728:DD728&gt;=DD728, 1))</f>
        <v>1</v>
      </c>
      <c r="DI728" s="109">
        <f t="shared" si="298"/>
        <v>-102583586.59944502</v>
      </c>
      <c r="DJ728" s="109">
        <f t="shared" si="299"/>
        <v>0</v>
      </c>
      <c r="DL728" s="58">
        <f t="array" ref="DL728">SUM(IF(DI728:DJ728&gt;=DI728, 1))</f>
        <v>2</v>
      </c>
      <c r="DM728" s="58">
        <f t="array" ref="DM728">SUM(IF(DI728:DJ728&gt;=DJ728, 1))</f>
        <v>1</v>
      </c>
      <c r="DO728" s="109">
        <f t="shared" si="300"/>
        <v>-6817420.787072178</v>
      </c>
      <c r="DP728" s="109">
        <f t="shared" si="301"/>
        <v>0</v>
      </c>
      <c r="DR728" s="58">
        <f t="array" ref="DR728">SUM(IF(DO728:DP728&gt;=DO728, 1))</f>
        <v>2</v>
      </c>
      <c r="DS728" s="58">
        <f t="array" ref="DS728">SUM(IF(DO728:DP728&gt;=DP728, 1))</f>
        <v>1</v>
      </c>
      <c r="DU728" s="109">
        <f t="shared" si="302"/>
        <v>-57788378.663411021</v>
      </c>
      <c r="DV728" s="109">
        <f t="shared" si="303"/>
        <v>0</v>
      </c>
      <c r="DX728" s="58">
        <f t="array" ref="DX728">SUM(IF(DU728:DV728&gt;=DU728, 1))</f>
        <v>2</v>
      </c>
      <c r="DY728" s="58">
        <f t="array" ref="DY728">SUM(IF(DU728:DV728&gt;=DV728, 1))</f>
        <v>1</v>
      </c>
      <c r="EA728" s="109">
        <f t="shared" si="304"/>
        <v>-209454071.99934441</v>
      </c>
      <c r="EB728" s="109">
        <f t="shared" si="305"/>
        <v>0</v>
      </c>
      <c r="ED728" s="58">
        <f t="array" ref="ED728">SUM(IF(EA728:EB728&gt;=EA728, 1))</f>
        <v>2</v>
      </c>
      <c r="EE728" s="58">
        <f t="array" ref="EE728">SUM(IF(EA728:EB728&gt;=EB728, 1))</f>
        <v>1</v>
      </c>
    </row>
    <row r="729" spans="4:135" ht="12" customHeight="1" x14ac:dyDescent="0.25">
      <c r="D729" s="11">
        <v>713</v>
      </c>
      <c r="E729" s="72">
        <v>264.35399589640673</v>
      </c>
      <c r="F729" s="72">
        <v>239.83524511820517</v>
      </c>
      <c r="G729" s="73"/>
      <c r="H729" s="74">
        <v>5.8687379355879301</v>
      </c>
      <c r="I729" s="74">
        <v>5.8855412880307032</v>
      </c>
      <c r="J729" s="73"/>
      <c r="K729" s="72">
        <v>283.73136866243885</v>
      </c>
      <c r="L729" s="72">
        <v>258.65169469357119</v>
      </c>
      <c r="M729" s="73"/>
      <c r="N729" s="74">
        <v>6.7244685957746562</v>
      </c>
      <c r="O729" s="74">
        <v>6.7395132962505544</v>
      </c>
      <c r="P729" s="73"/>
      <c r="Q729" s="72">
        <v>2198.4533693998601</v>
      </c>
      <c r="R729" s="72">
        <v>1569.5103342673387</v>
      </c>
      <c r="S729" s="73"/>
      <c r="T729" s="74">
        <v>4.8520244911487467</v>
      </c>
      <c r="U729" s="74">
        <v>4.9185294202899001</v>
      </c>
      <c r="V729" s="73"/>
      <c r="W729" s="72">
        <v>12849.29973903541</v>
      </c>
      <c r="X729" s="72">
        <v>12862.729183984347</v>
      </c>
      <c r="Y729" s="73"/>
      <c r="Z729" s="74">
        <v>2.9951754001611945</v>
      </c>
      <c r="AA729" s="74">
        <v>3.047113678971721</v>
      </c>
      <c r="AB729" s="73"/>
      <c r="AC729" s="72">
        <v>51182.09397212242</v>
      </c>
      <c r="AD729" s="72">
        <v>50985.372405352893</v>
      </c>
      <c r="AE729" s="73"/>
      <c r="AF729" s="74">
        <v>4.7797664252402594</v>
      </c>
      <c r="AG729" s="74">
        <v>4.8896598723826132</v>
      </c>
      <c r="AH729" s="73"/>
      <c r="AI729" s="72">
        <v>2668743.3649509889</v>
      </c>
      <c r="AJ729" s="72">
        <v>0</v>
      </c>
      <c r="AK729" s="73"/>
      <c r="AL729" s="74">
        <v>-1828.9608531137792</v>
      </c>
      <c r="AM729" s="74">
        <v>0</v>
      </c>
      <c r="AN729" s="73"/>
      <c r="AO729" s="72">
        <v>170177.46319289456</v>
      </c>
      <c r="AP729" s="72">
        <v>0</v>
      </c>
      <c r="AQ729" s="73"/>
      <c r="AR729" s="74">
        <v>-102.0854164477358</v>
      </c>
      <c r="AS729" s="74">
        <v>0</v>
      </c>
      <c r="AT729" s="73"/>
      <c r="AU729" s="72">
        <v>14872605.583092107</v>
      </c>
      <c r="AV729" s="72">
        <v>0</v>
      </c>
      <c r="AW729" s="73"/>
      <c r="AX729" s="74">
        <v>-1572.6409630078113</v>
      </c>
      <c r="AY729" s="74">
        <v>0</v>
      </c>
      <c r="AZ729" s="73"/>
      <c r="BA729" s="72">
        <v>-123715.45231332231</v>
      </c>
      <c r="BB729" s="72">
        <v>0</v>
      </c>
      <c r="BC729" s="73"/>
      <c r="BD729" s="74">
        <v>-478.46859493089454</v>
      </c>
      <c r="BE729" s="74">
        <v>0</v>
      </c>
      <c r="BF729" s="73"/>
      <c r="BG729" s="72">
        <v>3213052.2597364318</v>
      </c>
      <c r="BH729" s="72">
        <v>0</v>
      </c>
      <c r="BI729" s="73"/>
      <c r="BJ729" s="74">
        <v>-1794.889063102263</v>
      </c>
      <c r="BK729" s="74">
        <v>0</v>
      </c>
      <c r="BL729" s="73"/>
      <c r="BM729" s="72">
        <v>20800863.218659095</v>
      </c>
      <c r="BN729" s="72">
        <v>0</v>
      </c>
      <c r="BO729" s="73"/>
      <c r="BP729" s="74">
        <v>-5777.044890602484</v>
      </c>
      <c r="BQ729" s="74">
        <v>0</v>
      </c>
      <c r="BS729" s="109">
        <f t="shared" si="285"/>
        <v>117110.4047158622</v>
      </c>
      <c r="BT729" s="109">
        <f t="shared" si="286"/>
        <v>117470.99051549587</v>
      </c>
      <c r="BV729" s="58">
        <f t="array" ref="BV729">SUM(IF(BS729:BT729&gt;=BS729, 1))</f>
        <v>2</v>
      </c>
      <c r="BW729" s="58">
        <f t="array" ref="BW729">SUM(IF(BS729:BT729&gt;=BT729, 1))</f>
        <v>1</v>
      </c>
      <c r="BY729" s="109">
        <f t="shared" si="287"/>
        <v>134205.64054683069</v>
      </c>
      <c r="BZ729" s="109">
        <f t="shared" si="288"/>
        <v>134531.6142303175</v>
      </c>
      <c r="CB729" s="58">
        <f t="array" ref="CB729">SUM(IF(BY729:BZ729&gt;=BY729, 1))</f>
        <v>2</v>
      </c>
      <c r="CC729" s="58">
        <f t="array" ref="CC729">SUM(IF(BY729:BZ729&gt;=BZ729, 1))</f>
        <v>1</v>
      </c>
      <c r="CE729" s="109">
        <f t="shared" si="289"/>
        <v>94842.03645357507</v>
      </c>
      <c r="CF729" s="109">
        <f t="shared" si="290"/>
        <v>96801.078071530661</v>
      </c>
      <c r="CH729" s="58">
        <f t="array" ref="CH729">SUM(IF(CE729:CF729&gt;=CE729, 1))</f>
        <v>2</v>
      </c>
      <c r="CI729" s="58">
        <f t="array" ref="CI729">SUM(IF(CE729:CF729&gt;=CF729, 1))</f>
        <v>1</v>
      </c>
      <c r="CK729" s="109">
        <f t="shared" si="291"/>
        <v>47054.208264188477</v>
      </c>
      <c r="CL729" s="109">
        <f t="shared" si="292"/>
        <v>48079.544395450073</v>
      </c>
      <c r="CN729" s="58">
        <f t="array" ref="CN729">SUM(IF(CK729:CL729&gt;=CK729, 1))</f>
        <v>2</v>
      </c>
      <c r="CO729" s="58">
        <f t="array" ref="CO729">SUM(IF(CK729:CL729&gt;=CL729, 1))</f>
        <v>1</v>
      </c>
      <c r="CQ729" s="109" cm="1">
        <f t="array" ref="CQ729">AF729*WTP-AC729</f>
        <v>44413.234532682771</v>
      </c>
      <c r="CR729" s="109">
        <f t="shared" si="293"/>
        <v>46807.825042299366</v>
      </c>
      <c r="CT729" s="58">
        <f t="array" ref="CT729">SUM(IF(CQ729:CR729&gt;=CQ729, 1))</f>
        <v>2</v>
      </c>
      <c r="CU729" s="58">
        <f t="array" ref="CU729">SUM(IF(CQ729:CR729&gt;=CR729, 1))</f>
        <v>1</v>
      </c>
      <c r="CW729" s="109">
        <f t="shared" si="294"/>
        <v>-39247960.427226573</v>
      </c>
      <c r="CX729" s="109">
        <f t="shared" si="295"/>
        <v>0</v>
      </c>
      <c r="CZ729" s="58">
        <f t="array" ref="CZ729">SUM(IF(CW729:CX729&gt;=CW729, 1))</f>
        <v>2</v>
      </c>
      <c r="DA729" s="58">
        <f t="array" ref="DA729">SUM(IF(CW729:CX729&gt;=CX729, 1))</f>
        <v>1</v>
      </c>
      <c r="DC729" s="109">
        <f t="shared" si="296"/>
        <v>-2211885.7921476103</v>
      </c>
      <c r="DD729" s="109">
        <f t="shared" si="297"/>
        <v>0</v>
      </c>
      <c r="DF729" s="58">
        <f t="array" ref="DF729">SUM(IF(DC729:DD729&gt;=DC729, 1))</f>
        <v>2</v>
      </c>
      <c r="DG729" s="58">
        <f t="array" ref="DG729">SUM(IF(DC729:DD729&gt;=DD729, 1))</f>
        <v>1</v>
      </c>
      <c r="DI729" s="109">
        <f t="shared" si="298"/>
        <v>-46325424.84324833</v>
      </c>
      <c r="DJ729" s="109">
        <f t="shared" si="299"/>
        <v>0</v>
      </c>
      <c r="DL729" s="58">
        <f t="array" ref="DL729">SUM(IF(DI729:DJ729&gt;=DI729, 1))</f>
        <v>2</v>
      </c>
      <c r="DM729" s="58">
        <f t="array" ref="DM729">SUM(IF(DI729:DJ729&gt;=DJ729, 1))</f>
        <v>1</v>
      </c>
      <c r="DO729" s="109">
        <f t="shared" si="300"/>
        <v>-9445656.446304569</v>
      </c>
      <c r="DP729" s="109">
        <f t="shared" si="301"/>
        <v>0</v>
      </c>
      <c r="DR729" s="58">
        <f t="array" ref="DR729">SUM(IF(DO729:DP729&gt;=DO729, 1))</f>
        <v>2</v>
      </c>
      <c r="DS729" s="58">
        <f t="array" ref="DS729">SUM(IF(DO729:DP729&gt;=DP729, 1))</f>
        <v>1</v>
      </c>
      <c r="DU729" s="109">
        <f t="shared" si="302"/>
        <v>-39110833.52178169</v>
      </c>
      <c r="DV729" s="109">
        <f t="shared" si="303"/>
        <v>0</v>
      </c>
      <c r="DX729" s="58">
        <f t="array" ref="DX729">SUM(IF(DU729:DV729&gt;=DU729, 1))</f>
        <v>2</v>
      </c>
      <c r="DY729" s="58">
        <f t="array" ref="DY729">SUM(IF(DU729:DV729&gt;=DV729, 1))</f>
        <v>1</v>
      </c>
      <c r="EA729" s="109">
        <f t="shared" si="304"/>
        <v>-136341761.03070879</v>
      </c>
      <c r="EB729" s="109">
        <f t="shared" si="305"/>
        <v>0</v>
      </c>
      <c r="ED729" s="58">
        <f t="array" ref="ED729">SUM(IF(EA729:EB729&gt;=EA729, 1))</f>
        <v>2</v>
      </c>
      <c r="EE729" s="58">
        <f t="array" ref="EE729">SUM(IF(EA729:EB729&gt;=EB729, 1))</f>
        <v>1</v>
      </c>
    </row>
    <row r="730" spans="4:135" ht="12" customHeight="1" x14ac:dyDescent="0.25">
      <c r="D730" s="11">
        <v>714</v>
      </c>
      <c r="E730" s="72">
        <v>276.2405280082171</v>
      </c>
      <c r="F730" s="72">
        <v>261.83244032974665</v>
      </c>
      <c r="G730" s="73"/>
      <c r="H730" s="74">
        <v>5.7937866934910076</v>
      </c>
      <c r="I730" s="74">
        <v>5.8107325549850843</v>
      </c>
      <c r="J730" s="73"/>
      <c r="K730" s="72">
        <v>297.15126333047806</v>
      </c>
      <c r="L730" s="72">
        <v>282.37086678593732</v>
      </c>
      <c r="M730" s="73"/>
      <c r="N730" s="74">
        <v>6.7068522294413073</v>
      </c>
      <c r="O730" s="74">
        <v>6.721487100268809</v>
      </c>
      <c r="P730" s="73"/>
      <c r="Q730" s="72">
        <v>3298.718722807529</v>
      </c>
      <c r="R730" s="72">
        <v>1318.1061992921261</v>
      </c>
      <c r="S730" s="73"/>
      <c r="T730" s="74">
        <v>4.7083170124164999</v>
      </c>
      <c r="U730" s="74">
        <v>4.8486891400006442</v>
      </c>
      <c r="V730" s="73"/>
      <c r="W730" s="72">
        <v>19835.735653086922</v>
      </c>
      <c r="X730" s="72">
        <v>19765.900661674899</v>
      </c>
      <c r="Y730" s="73"/>
      <c r="Z730" s="74">
        <v>3.0604074885953985</v>
      </c>
      <c r="AA730" s="74">
        <v>3.1184933386936886</v>
      </c>
      <c r="AB730" s="73"/>
      <c r="AC730" s="72">
        <v>49371.274692266597</v>
      </c>
      <c r="AD730" s="72">
        <v>49187.770726369083</v>
      </c>
      <c r="AE730" s="73"/>
      <c r="AF730" s="74">
        <v>4.8023996390472332</v>
      </c>
      <c r="AG730" s="74">
        <v>4.8881651784680775</v>
      </c>
      <c r="AH730" s="73"/>
      <c r="AI730" s="72">
        <v>1533295.8004935652</v>
      </c>
      <c r="AJ730" s="72">
        <v>0</v>
      </c>
      <c r="AK730" s="73"/>
      <c r="AL730" s="74">
        <v>-1803.3634195215971</v>
      </c>
      <c r="AM730" s="74">
        <v>0</v>
      </c>
      <c r="AN730" s="73"/>
      <c r="AO730" s="72">
        <v>102024.52867225737</v>
      </c>
      <c r="AP730" s="72">
        <v>0</v>
      </c>
      <c r="AQ730" s="73"/>
      <c r="AR730" s="74">
        <v>-101.02000943315186</v>
      </c>
      <c r="AS730" s="74">
        <v>0</v>
      </c>
      <c r="AT730" s="73"/>
      <c r="AU730" s="72">
        <v>46245803.732969418</v>
      </c>
      <c r="AV730" s="72">
        <v>0</v>
      </c>
      <c r="AW730" s="73"/>
      <c r="AX730" s="74">
        <v>-3277.5829622210281</v>
      </c>
      <c r="AY730" s="74">
        <v>0</v>
      </c>
      <c r="AZ730" s="73"/>
      <c r="BA730" s="72">
        <v>652621.37175177305</v>
      </c>
      <c r="BB730" s="72">
        <v>0</v>
      </c>
      <c r="BC730" s="73"/>
      <c r="BD730" s="74">
        <v>-542.82339560777552</v>
      </c>
      <c r="BE730" s="74">
        <v>0</v>
      </c>
      <c r="BF730" s="73"/>
      <c r="BG730" s="72">
        <v>2911658.5486537213</v>
      </c>
      <c r="BH730" s="72">
        <v>0</v>
      </c>
      <c r="BI730" s="73"/>
      <c r="BJ730" s="74">
        <v>-1360.8423382743965</v>
      </c>
      <c r="BK730" s="74">
        <v>0</v>
      </c>
      <c r="BL730" s="73"/>
      <c r="BM730" s="72">
        <v>51445403.982540734</v>
      </c>
      <c r="BN730" s="72">
        <v>0</v>
      </c>
      <c r="BO730" s="73"/>
      <c r="BP730" s="74">
        <v>-7085.6321250579495</v>
      </c>
      <c r="BQ730" s="74">
        <v>0</v>
      </c>
      <c r="BS730" s="109">
        <f t="shared" si="285"/>
        <v>115599.49334181193</v>
      </c>
      <c r="BT730" s="109">
        <f t="shared" si="286"/>
        <v>115952.81865937194</v>
      </c>
      <c r="BV730" s="58">
        <f t="array" ref="BV730">SUM(IF(BS730:BT730&gt;=BS730, 1))</f>
        <v>2</v>
      </c>
      <c r="BW730" s="58">
        <f t="array" ref="BW730">SUM(IF(BS730:BT730&gt;=BT730, 1))</f>
        <v>1</v>
      </c>
      <c r="BY730" s="109">
        <f t="shared" si="287"/>
        <v>133839.89332549568</v>
      </c>
      <c r="BZ730" s="109">
        <f t="shared" si="288"/>
        <v>134147.37113859024</v>
      </c>
      <c r="CB730" s="58">
        <f t="array" ref="CB730">SUM(IF(BY730:BZ730&gt;=BY730, 1))</f>
        <v>2</v>
      </c>
      <c r="CC730" s="58">
        <f t="array" ref="CC730">SUM(IF(BY730:BZ730&gt;=BZ730, 1))</f>
        <v>1</v>
      </c>
      <c r="CE730" s="109">
        <f t="shared" si="289"/>
        <v>90867.621525522467</v>
      </c>
      <c r="CF730" s="109">
        <f t="shared" si="290"/>
        <v>95655.676600720748</v>
      </c>
      <c r="CH730" s="58">
        <f t="array" ref="CH730">SUM(IF(CE730:CF730&gt;=CE730, 1))</f>
        <v>2</v>
      </c>
      <c r="CI730" s="58">
        <f t="array" ref="CI730">SUM(IF(CE730:CF730&gt;=CF730, 1))</f>
        <v>1</v>
      </c>
      <c r="CK730" s="109">
        <f t="shared" si="291"/>
        <v>41372.414118821049</v>
      </c>
      <c r="CL730" s="109">
        <f t="shared" si="292"/>
        <v>42603.966112198876</v>
      </c>
      <c r="CN730" s="58">
        <f t="array" ref="CN730">SUM(IF(CK730:CL730&gt;=CK730, 1))</f>
        <v>2</v>
      </c>
      <c r="CO730" s="58">
        <f t="array" ref="CO730">SUM(IF(CK730:CL730&gt;=CL730, 1))</f>
        <v>1</v>
      </c>
      <c r="CQ730" s="109" cm="1">
        <f t="array" ref="CQ730">AF730*WTP-AC730</f>
        <v>46676.71808867807</v>
      </c>
      <c r="CR730" s="109">
        <f t="shared" si="293"/>
        <v>48575.53284299247</v>
      </c>
      <c r="CT730" s="58">
        <f t="array" ref="CT730">SUM(IF(CQ730:CR730&gt;=CQ730, 1))</f>
        <v>2</v>
      </c>
      <c r="CU730" s="58">
        <f t="array" ref="CU730">SUM(IF(CQ730:CR730&gt;=CR730, 1))</f>
        <v>1</v>
      </c>
      <c r="CW730" s="109">
        <f t="shared" si="294"/>
        <v>-37600564.190925509</v>
      </c>
      <c r="CX730" s="109">
        <f t="shared" si="295"/>
        <v>0</v>
      </c>
      <c r="CZ730" s="58">
        <f t="array" ref="CZ730">SUM(IF(CW730:CX730&gt;=CW730, 1))</f>
        <v>2</v>
      </c>
      <c r="DA730" s="58">
        <f t="array" ref="DA730">SUM(IF(CW730:CX730&gt;=CX730, 1))</f>
        <v>1</v>
      </c>
      <c r="DC730" s="109">
        <f t="shared" si="296"/>
        <v>-2122424.7173352945</v>
      </c>
      <c r="DD730" s="109">
        <f t="shared" si="297"/>
        <v>0</v>
      </c>
      <c r="DF730" s="58">
        <f t="array" ref="DF730">SUM(IF(DC730:DD730&gt;=DC730, 1))</f>
        <v>2</v>
      </c>
      <c r="DG730" s="58">
        <f t="array" ref="DG730">SUM(IF(DC730:DD730&gt;=DD730, 1))</f>
        <v>1</v>
      </c>
      <c r="DI730" s="109">
        <f t="shared" si="298"/>
        <v>-111797462.97738998</v>
      </c>
      <c r="DJ730" s="109">
        <f t="shared" si="299"/>
        <v>0</v>
      </c>
      <c r="DL730" s="58">
        <f t="array" ref="DL730">SUM(IF(DI730:DJ730&gt;=DI730, 1))</f>
        <v>2</v>
      </c>
      <c r="DM730" s="58">
        <f t="array" ref="DM730">SUM(IF(DI730:DJ730&gt;=DJ730, 1))</f>
        <v>1</v>
      </c>
      <c r="DO730" s="109">
        <f t="shared" si="300"/>
        <v>-11509089.283907283</v>
      </c>
      <c r="DP730" s="109">
        <f t="shared" si="301"/>
        <v>0</v>
      </c>
      <c r="DR730" s="58">
        <f t="array" ref="DR730">SUM(IF(DO730:DP730&gt;=DO730, 1))</f>
        <v>2</v>
      </c>
      <c r="DS730" s="58">
        <f t="array" ref="DS730">SUM(IF(DO730:DP730&gt;=DP730, 1))</f>
        <v>1</v>
      </c>
      <c r="DU730" s="109">
        <f t="shared" si="302"/>
        <v>-30128505.314141653</v>
      </c>
      <c r="DV730" s="109">
        <f t="shared" si="303"/>
        <v>0</v>
      </c>
      <c r="DX730" s="58">
        <f t="array" ref="DX730">SUM(IF(DU730:DV730&gt;=DU730, 1))</f>
        <v>2</v>
      </c>
      <c r="DY730" s="58">
        <f t="array" ref="DY730">SUM(IF(DU730:DV730&gt;=DV730, 1))</f>
        <v>1</v>
      </c>
      <c r="EA730" s="109">
        <f t="shared" si="304"/>
        <v>-193158046.48369971</v>
      </c>
      <c r="EB730" s="109">
        <f t="shared" si="305"/>
        <v>0</v>
      </c>
      <c r="ED730" s="58">
        <f t="array" ref="ED730">SUM(IF(EA730:EB730&gt;=EA730, 1))</f>
        <v>2</v>
      </c>
      <c r="EE730" s="58">
        <f t="array" ref="EE730">SUM(IF(EA730:EB730&gt;=EB730, 1))</f>
        <v>1</v>
      </c>
    </row>
    <row r="731" spans="4:135" ht="12" customHeight="1" x14ac:dyDescent="0.25">
      <c r="D731" s="11">
        <v>715</v>
      </c>
      <c r="E731" s="72">
        <v>250.84343700672235</v>
      </c>
      <c r="F731" s="72">
        <v>227.77396283174281</v>
      </c>
      <c r="G731" s="73"/>
      <c r="H731" s="74">
        <v>5.8754683825060177</v>
      </c>
      <c r="I731" s="74">
        <v>5.8950645987801362</v>
      </c>
      <c r="J731" s="73"/>
      <c r="K731" s="72">
        <v>269.23041861605759</v>
      </c>
      <c r="L731" s="72">
        <v>245.61876255402825</v>
      </c>
      <c r="M731" s="73"/>
      <c r="N731" s="74">
        <v>6.7316125227288284</v>
      </c>
      <c r="O731" s="74">
        <v>6.7495309841150419</v>
      </c>
      <c r="P731" s="73"/>
      <c r="Q731" s="72">
        <v>2920.1114155569671</v>
      </c>
      <c r="R731" s="72">
        <v>1691.2248228935457</v>
      </c>
      <c r="S731" s="73"/>
      <c r="T731" s="74">
        <v>4.8887892271636719</v>
      </c>
      <c r="U731" s="74">
        <v>4.9732715100184839</v>
      </c>
      <c r="V731" s="73"/>
      <c r="W731" s="72">
        <v>14996.732105074781</v>
      </c>
      <c r="X731" s="72">
        <v>14970.570584133484</v>
      </c>
      <c r="Y731" s="73"/>
      <c r="Z731" s="74">
        <v>3.1530772035446146</v>
      </c>
      <c r="AA731" s="74">
        <v>3.2118709309568385</v>
      </c>
      <c r="AB731" s="73"/>
      <c r="AC731" s="72">
        <v>52558.496398006158</v>
      </c>
      <c r="AD731" s="72">
        <v>52429.477784776449</v>
      </c>
      <c r="AE731" s="73"/>
      <c r="AF731" s="74">
        <v>4.6201762079189796</v>
      </c>
      <c r="AG731" s="74">
        <v>4.7006652933156179</v>
      </c>
      <c r="AH731" s="73"/>
      <c r="AI731" s="72">
        <v>2469787.530428946</v>
      </c>
      <c r="AJ731" s="72">
        <v>0</v>
      </c>
      <c r="AK731" s="73"/>
      <c r="AL731" s="74">
        <v>-2097.9451126761414</v>
      </c>
      <c r="AM731" s="74">
        <v>0</v>
      </c>
      <c r="AN731" s="73"/>
      <c r="AO731" s="72">
        <v>163154.99047830192</v>
      </c>
      <c r="AP731" s="72">
        <v>0</v>
      </c>
      <c r="AQ731" s="73"/>
      <c r="AR731" s="74">
        <v>-123.81538970300545</v>
      </c>
      <c r="AS731" s="74">
        <v>0</v>
      </c>
      <c r="AT731" s="73"/>
      <c r="AU731" s="72">
        <v>28304661.607221603</v>
      </c>
      <c r="AV731" s="72">
        <v>0</v>
      </c>
      <c r="AW731" s="73"/>
      <c r="AX731" s="74">
        <v>-1945.8609462313234</v>
      </c>
      <c r="AY731" s="74">
        <v>0</v>
      </c>
      <c r="AZ731" s="73"/>
      <c r="BA731" s="72">
        <v>237719.82099252922</v>
      </c>
      <c r="BB731" s="72">
        <v>0</v>
      </c>
      <c r="BC731" s="73"/>
      <c r="BD731" s="74">
        <v>-534.23630786904141</v>
      </c>
      <c r="BE731" s="74">
        <v>0</v>
      </c>
      <c r="BF731" s="73"/>
      <c r="BG731" s="72">
        <v>2019782.2467296971</v>
      </c>
      <c r="BH731" s="72">
        <v>0</v>
      </c>
      <c r="BI731" s="73"/>
      <c r="BJ731" s="74">
        <v>-1260.0540470094352</v>
      </c>
      <c r="BK731" s="74">
        <v>0</v>
      </c>
      <c r="BL731" s="73"/>
      <c r="BM731" s="72">
        <v>33195106.19585108</v>
      </c>
      <c r="BN731" s="72">
        <v>0</v>
      </c>
      <c r="BO731" s="73"/>
      <c r="BP731" s="74">
        <v>-5961.911803488947</v>
      </c>
      <c r="BQ731" s="74">
        <v>0</v>
      </c>
      <c r="BS731" s="109">
        <f t="shared" si="285"/>
        <v>117258.52421311363</v>
      </c>
      <c r="BT731" s="109">
        <f t="shared" si="286"/>
        <v>117673.51801277099</v>
      </c>
      <c r="BV731" s="58">
        <f t="array" ref="BV731">SUM(IF(BS731:BT731&gt;=BS731, 1))</f>
        <v>2</v>
      </c>
      <c r="BW731" s="58">
        <f t="array" ref="BW731">SUM(IF(BS731:BT731&gt;=BT731, 1))</f>
        <v>1</v>
      </c>
      <c r="BY731" s="109">
        <f t="shared" si="287"/>
        <v>134363.02003596051</v>
      </c>
      <c r="BZ731" s="109">
        <f t="shared" si="288"/>
        <v>134745.00091974682</v>
      </c>
      <c r="CB731" s="58">
        <f t="array" ref="CB731">SUM(IF(BY731:BZ731&gt;=BY731, 1))</f>
        <v>2</v>
      </c>
      <c r="CC731" s="58">
        <f t="array" ref="CC731">SUM(IF(BY731:BZ731&gt;=BZ731, 1))</f>
        <v>1</v>
      </c>
      <c r="CE731" s="109">
        <f t="shared" si="289"/>
        <v>94855.673127716465</v>
      </c>
      <c r="CF731" s="109">
        <f t="shared" si="290"/>
        <v>97774.20537747613</v>
      </c>
      <c r="CH731" s="58">
        <f t="array" ref="CH731">SUM(IF(CE731:CF731&gt;=CE731, 1))</f>
        <v>2</v>
      </c>
      <c r="CI731" s="58">
        <f t="array" ref="CI731">SUM(IF(CE731:CF731&gt;=CF731, 1))</f>
        <v>1</v>
      </c>
      <c r="CK731" s="109">
        <f t="shared" si="291"/>
        <v>48064.811965817513</v>
      </c>
      <c r="CL731" s="109">
        <f t="shared" si="292"/>
        <v>49266.848035003284</v>
      </c>
      <c r="CN731" s="58">
        <f t="array" ref="CN731">SUM(IF(CK731:CL731&gt;=CK731, 1))</f>
        <v>2</v>
      </c>
      <c r="CO731" s="58">
        <f t="array" ref="CO731">SUM(IF(CK731:CL731&gt;=CL731, 1))</f>
        <v>1</v>
      </c>
      <c r="CQ731" s="109" cm="1">
        <f t="array" ref="CQ731">AF731*WTP-AC731</f>
        <v>39845.027760373428</v>
      </c>
      <c r="CR731" s="109">
        <f t="shared" si="293"/>
        <v>41583.828081535903</v>
      </c>
      <c r="CT731" s="58">
        <f t="array" ref="CT731">SUM(IF(CQ731:CR731&gt;=CQ731, 1))</f>
        <v>2</v>
      </c>
      <c r="CU731" s="58">
        <f t="array" ref="CU731">SUM(IF(CQ731:CR731&gt;=CR731, 1))</f>
        <v>1</v>
      </c>
      <c r="CW731" s="109">
        <f t="shared" si="294"/>
        <v>-44428689.783951774</v>
      </c>
      <c r="CX731" s="109">
        <f t="shared" si="295"/>
        <v>0</v>
      </c>
      <c r="CZ731" s="58">
        <f t="array" ref="CZ731">SUM(IF(CW731:CX731&gt;=CW731, 1))</f>
        <v>2</v>
      </c>
      <c r="DA731" s="58">
        <f t="array" ref="DA731">SUM(IF(CW731:CX731&gt;=CX731, 1))</f>
        <v>1</v>
      </c>
      <c r="DC731" s="109">
        <f t="shared" si="296"/>
        <v>-2639462.7845384111</v>
      </c>
      <c r="DD731" s="109">
        <f t="shared" si="297"/>
        <v>0</v>
      </c>
      <c r="DF731" s="58">
        <f t="array" ref="DF731">SUM(IF(DC731:DD731&gt;=DC731, 1))</f>
        <v>2</v>
      </c>
      <c r="DG731" s="58">
        <f t="array" ref="DG731">SUM(IF(DC731:DD731&gt;=DD731, 1))</f>
        <v>1</v>
      </c>
      <c r="DI731" s="109">
        <f t="shared" si="298"/>
        <v>-67221880.531848073</v>
      </c>
      <c r="DJ731" s="109">
        <f t="shared" si="299"/>
        <v>0</v>
      </c>
      <c r="DL731" s="58">
        <f t="array" ref="DL731">SUM(IF(DI731:DJ731&gt;=DI731, 1))</f>
        <v>2</v>
      </c>
      <c r="DM731" s="58">
        <f t="array" ref="DM731">SUM(IF(DI731:DJ731&gt;=DJ731, 1))</f>
        <v>1</v>
      </c>
      <c r="DO731" s="109">
        <f t="shared" si="300"/>
        <v>-10922445.978373358</v>
      </c>
      <c r="DP731" s="109">
        <f t="shared" si="301"/>
        <v>0</v>
      </c>
      <c r="DR731" s="58">
        <f t="array" ref="DR731">SUM(IF(DO731:DP731&gt;=DO731, 1))</f>
        <v>2</v>
      </c>
      <c r="DS731" s="58">
        <f t="array" ref="DS731">SUM(IF(DO731:DP731&gt;=DP731, 1))</f>
        <v>1</v>
      </c>
      <c r="DU731" s="109">
        <f t="shared" si="302"/>
        <v>-27220863.1869184</v>
      </c>
      <c r="DV731" s="109">
        <f t="shared" si="303"/>
        <v>0</v>
      </c>
      <c r="DX731" s="58">
        <f t="array" ref="DX731">SUM(IF(DU731:DV731&gt;=DU731, 1))</f>
        <v>2</v>
      </c>
      <c r="DY731" s="58">
        <f t="array" ref="DY731">SUM(IF(DU731:DV731&gt;=DV731, 1))</f>
        <v>1</v>
      </c>
      <c r="EA731" s="109">
        <f t="shared" si="304"/>
        <v>-152433342.26563001</v>
      </c>
      <c r="EB731" s="109">
        <f t="shared" si="305"/>
        <v>0</v>
      </c>
      <c r="ED731" s="58">
        <f t="array" ref="ED731">SUM(IF(EA731:EB731&gt;=EA731, 1))</f>
        <v>2</v>
      </c>
      <c r="EE731" s="58">
        <f t="array" ref="EE731">SUM(IF(EA731:EB731&gt;=EB731, 1))</f>
        <v>1</v>
      </c>
    </row>
    <row r="732" spans="4:135" ht="12" customHeight="1" x14ac:dyDescent="0.25">
      <c r="D732" s="11">
        <v>716</v>
      </c>
      <c r="E732" s="72">
        <v>275.61336259089842</v>
      </c>
      <c r="F732" s="72">
        <v>250.1832361643645</v>
      </c>
      <c r="G732" s="73"/>
      <c r="H732" s="74">
        <v>5.8502490108798737</v>
      </c>
      <c r="I732" s="74">
        <v>5.866972818224264</v>
      </c>
      <c r="J732" s="73"/>
      <c r="K732" s="72">
        <v>295.77056926353293</v>
      </c>
      <c r="L732" s="72">
        <v>269.73677807918136</v>
      </c>
      <c r="M732" s="73"/>
      <c r="N732" s="74">
        <v>6.7340878440376661</v>
      </c>
      <c r="O732" s="74">
        <v>6.748647376267348</v>
      </c>
      <c r="P732" s="73"/>
      <c r="Q732" s="72">
        <v>3642.6961525863248</v>
      </c>
      <c r="R732" s="72">
        <v>1764.7523550890739</v>
      </c>
      <c r="S732" s="73"/>
      <c r="T732" s="74">
        <v>4.7181317872852464</v>
      </c>
      <c r="U732" s="74">
        <v>4.8392184464550727</v>
      </c>
      <c r="V732" s="73"/>
      <c r="W732" s="72">
        <v>15905.547633331085</v>
      </c>
      <c r="X732" s="72">
        <v>15893.408739485649</v>
      </c>
      <c r="Y732" s="73"/>
      <c r="Z732" s="74">
        <v>3.1153254261797922</v>
      </c>
      <c r="AA732" s="74">
        <v>3.1590930238392816</v>
      </c>
      <c r="AB732" s="73"/>
      <c r="AC732" s="72">
        <v>49673.677062371702</v>
      </c>
      <c r="AD732" s="72">
        <v>49634.415350983887</v>
      </c>
      <c r="AE732" s="73"/>
      <c r="AF732" s="74">
        <v>4.327740318392947</v>
      </c>
      <c r="AG732" s="74">
        <v>4.4503868816972219</v>
      </c>
      <c r="AH732" s="73"/>
      <c r="AI732" s="72">
        <v>2721676.3274587849</v>
      </c>
      <c r="AJ732" s="72">
        <v>0</v>
      </c>
      <c r="AK732" s="73"/>
      <c r="AL732" s="74">
        <v>-1789.8766915572994</v>
      </c>
      <c r="AM732" s="74">
        <v>0</v>
      </c>
      <c r="AN732" s="73"/>
      <c r="AO732" s="72">
        <v>185280.20238756493</v>
      </c>
      <c r="AP732" s="72">
        <v>0</v>
      </c>
      <c r="AQ732" s="73"/>
      <c r="AR732" s="74">
        <v>-103.61891047989985</v>
      </c>
      <c r="AS732" s="74">
        <v>0</v>
      </c>
      <c r="AT732" s="73"/>
      <c r="AU732" s="72">
        <v>43255584.82317739</v>
      </c>
      <c r="AV732" s="72">
        <v>0</v>
      </c>
      <c r="AW732" s="73"/>
      <c r="AX732" s="74">
        <v>-2789.0473951647955</v>
      </c>
      <c r="AY732" s="74">
        <v>0</v>
      </c>
      <c r="AZ732" s="73"/>
      <c r="BA732" s="72">
        <v>106330.25365588642</v>
      </c>
      <c r="BB732" s="72">
        <v>0</v>
      </c>
      <c r="BC732" s="73"/>
      <c r="BD732" s="74">
        <v>-383.38087640430479</v>
      </c>
      <c r="BE732" s="74">
        <v>0</v>
      </c>
      <c r="BF732" s="73"/>
      <c r="BG732" s="72">
        <v>643768.53311006236</v>
      </c>
      <c r="BH732" s="72">
        <v>0</v>
      </c>
      <c r="BI732" s="73"/>
      <c r="BJ732" s="74">
        <v>-2011.0177411646814</v>
      </c>
      <c r="BK732" s="74">
        <v>0</v>
      </c>
      <c r="BL732" s="73"/>
      <c r="BM732" s="72">
        <v>46912640.139789686</v>
      </c>
      <c r="BN732" s="72">
        <v>0</v>
      </c>
      <c r="BO732" s="73"/>
      <c r="BP732" s="74">
        <v>-7076.9416147709817</v>
      </c>
      <c r="BQ732" s="74">
        <v>0</v>
      </c>
      <c r="BS732" s="109">
        <f t="shared" si="285"/>
        <v>116729.36685500658</v>
      </c>
      <c r="BT732" s="109">
        <f t="shared" si="286"/>
        <v>117089.27312832091</v>
      </c>
      <c r="BV732" s="58">
        <f t="array" ref="BV732">SUM(IF(BS732:BT732&gt;=BS732, 1))</f>
        <v>2</v>
      </c>
      <c r="BW732" s="58">
        <f t="array" ref="BW732">SUM(IF(BS732:BT732&gt;=BT732, 1))</f>
        <v>1</v>
      </c>
      <c r="BY732" s="109">
        <f t="shared" si="287"/>
        <v>134385.9863114898</v>
      </c>
      <c r="BZ732" s="109">
        <f t="shared" si="288"/>
        <v>134703.21074726779</v>
      </c>
      <c r="CB732" s="58">
        <f t="array" ref="CB732">SUM(IF(BY732:BZ732&gt;=BY732, 1))</f>
        <v>2</v>
      </c>
      <c r="CC732" s="58">
        <f t="array" ref="CC732">SUM(IF(BY732:BZ732&gt;=BZ732, 1))</f>
        <v>1</v>
      </c>
      <c r="CE732" s="109">
        <f t="shared" si="289"/>
        <v>90719.939593118601</v>
      </c>
      <c r="CF732" s="109">
        <f t="shared" si="290"/>
        <v>95019.616574012383</v>
      </c>
      <c r="CH732" s="58">
        <f t="array" ref="CH732">SUM(IF(CE732:CF732&gt;=CE732, 1))</f>
        <v>2</v>
      </c>
      <c r="CI732" s="58">
        <f t="array" ref="CI732">SUM(IF(CE732:CF732&gt;=CF732, 1))</f>
        <v>1</v>
      </c>
      <c r="CK732" s="109">
        <f t="shared" si="291"/>
        <v>46400.96089026476</v>
      </c>
      <c r="CL732" s="109">
        <f t="shared" si="292"/>
        <v>47288.451737299984</v>
      </c>
      <c r="CN732" s="58">
        <f t="array" ref="CN732">SUM(IF(CK732:CL732&gt;=CK732, 1))</f>
        <v>2</v>
      </c>
      <c r="CO732" s="58">
        <f t="array" ref="CO732">SUM(IF(CK732:CL732&gt;=CL732, 1))</f>
        <v>1</v>
      </c>
      <c r="CQ732" s="109" cm="1">
        <f t="array" ref="CQ732">AF732*WTP-AC732</f>
        <v>36881.129305487237</v>
      </c>
      <c r="CR732" s="109">
        <f t="shared" si="293"/>
        <v>39373.322282960544</v>
      </c>
      <c r="CT732" s="58">
        <f t="array" ref="CT732">SUM(IF(CQ732:CR732&gt;=CQ732, 1))</f>
        <v>2</v>
      </c>
      <c r="CU732" s="58">
        <f t="array" ref="CU732">SUM(IF(CQ732:CR732&gt;=CR732, 1))</f>
        <v>1</v>
      </c>
      <c r="CW732" s="109">
        <f t="shared" si="294"/>
        <v>-38519210.158604771</v>
      </c>
      <c r="CX732" s="109">
        <f t="shared" si="295"/>
        <v>0</v>
      </c>
      <c r="CZ732" s="58">
        <f t="array" ref="CZ732">SUM(IF(CW732:CX732&gt;=CW732, 1))</f>
        <v>2</v>
      </c>
      <c r="DA732" s="58">
        <f t="array" ref="DA732">SUM(IF(CW732:CX732&gt;=CX732, 1))</f>
        <v>1</v>
      </c>
      <c r="DC732" s="109">
        <f t="shared" si="296"/>
        <v>-2257658.4119855622</v>
      </c>
      <c r="DD732" s="109">
        <f t="shared" si="297"/>
        <v>0</v>
      </c>
      <c r="DF732" s="58">
        <f t="array" ref="DF732">SUM(IF(DC732:DD732&gt;=DC732, 1))</f>
        <v>2</v>
      </c>
      <c r="DG732" s="58">
        <f t="array" ref="DG732">SUM(IF(DC732:DD732&gt;=DD732, 1))</f>
        <v>1</v>
      </c>
      <c r="DI732" s="109">
        <f t="shared" si="298"/>
        <v>-99036532.726473302</v>
      </c>
      <c r="DJ732" s="109">
        <f t="shared" si="299"/>
        <v>0</v>
      </c>
      <c r="DL732" s="58">
        <f t="array" ref="DL732">SUM(IF(DI732:DJ732&gt;=DI732, 1))</f>
        <v>2</v>
      </c>
      <c r="DM732" s="58">
        <f t="array" ref="DM732">SUM(IF(DI732:DJ732&gt;=DJ732, 1))</f>
        <v>1</v>
      </c>
      <c r="DO732" s="109">
        <f t="shared" si="300"/>
        <v>-7773947.7817419823</v>
      </c>
      <c r="DP732" s="109">
        <f t="shared" si="301"/>
        <v>0</v>
      </c>
      <c r="DR732" s="58">
        <f t="array" ref="DR732">SUM(IF(DO732:DP732&gt;=DO732, 1))</f>
        <v>2</v>
      </c>
      <c r="DS732" s="58">
        <f t="array" ref="DS732">SUM(IF(DO732:DP732&gt;=DP732, 1))</f>
        <v>1</v>
      </c>
      <c r="DU732" s="109">
        <f t="shared" si="302"/>
        <v>-40864123.356403686</v>
      </c>
      <c r="DV732" s="109">
        <f t="shared" si="303"/>
        <v>0</v>
      </c>
      <c r="DX732" s="58">
        <f t="array" ref="DX732">SUM(IF(DU732:DV732&gt;=DU732, 1))</f>
        <v>2</v>
      </c>
      <c r="DY732" s="58">
        <f t="array" ref="DY732">SUM(IF(DU732:DV732&gt;=DV732, 1))</f>
        <v>1</v>
      </c>
      <c r="EA732" s="109">
        <f t="shared" si="304"/>
        <v>-188451472.43520933</v>
      </c>
      <c r="EB732" s="109">
        <f t="shared" si="305"/>
        <v>0</v>
      </c>
      <c r="ED732" s="58">
        <f t="array" ref="ED732">SUM(IF(EA732:EB732&gt;=EA732, 1))</f>
        <v>2</v>
      </c>
      <c r="EE732" s="58">
        <f t="array" ref="EE732">SUM(IF(EA732:EB732&gt;=EB732, 1))</f>
        <v>1</v>
      </c>
    </row>
    <row r="733" spans="4:135" ht="12" customHeight="1" x14ac:dyDescent="0.25">
      <c r="D733" s="11">
        <v>717</v>
      </c>
      <c r="E733" s="72">
        <v>304.06947835571452</v>
      </c>
      <c r="F733" s="72">
        <v>270.2745473604682</v>
      </c>
      <c r="G733" s="73"/>
      <c r="H733" s="74">
        <v>5.8400737550539565</v>
      </c>
      <c r="I733" s="74">
        <v>5.8568022915809745</v>
      </c>
      <c r="J733" s="73"/>
      <c r="K733" s="72">
        <v>325.94793043240992</v>
      </c>
      <c r="L733" s="72">
        <v>291.36032821289473</v>
      </c>
      <c r="M733" s="73"/>
      <c r="N733" s="74">
        <v>6.683072080663111</v>
      </c>
      <c r="O733" s="74">
        <v>6.6979175492249547</v>
      </c>
      <c r="P733" s="73"/>
      <c r="Q733" s="72">
        <v>3406.2846883603252</v>
      </c>
      <c r="R733" s="72">
        <v>1753.9746661368149</v>
      </c>
      <c r="S733" s="73"/>
      <c r="T733" s="74">
        <v>4.6422006934778057</v>
      </c>
      <c r="U733" s="74">
        <v>4.7269131901071999</v>
      </c>
      <c r="V733" s="73"/>
      <c r="W733" s="72">
        <v>9779.9816456132885</v>
      </c>
      <c r="X733" s="72">
        <v>9787.173151130557</v>
      </c>
      <c r="Y733" s="73"/>
      <c r="Z733" s="74">
        <v>3.0534148297116261</v>
      </c>
      <c r="AA733" s="74">
        <v>3.100573791728193</v>
      </c>
      <c r="AB733" s="73"/>
      <c r="AC733" s="72">
        <v>50430.131240419651</v>
      </c>
      <c r="AD733" s="72">
        <v>50052.005099884191</v>
      </c>
      <c r="AE733" s="73"/>
      <c r="AF733" s="74">
        <v>4.6590790953069439</v>
      </c>
      <c r="AG733" s="74">
        <v>4.7815527509194018</v>
      </c>
      <c r="AH733" s="73"/>
      <c r="AI733" s="72">
        <v>3621141.1347650304</v>
      </c>
      <c r="AJ733" s="72">
        <v>0</v>
      </c>
      <c r="AK733" s="73"/>
      <c r="AL733" s="74">
        <v>-1792.4697568083525</v>
      </c>
      <c r="AM733" s="74">
        <v>0</v>
      </c>
      <c r="AN733" s="73"/>
      <c r="AO733" s="72">
        <v>230174.94455683109</v>
      </c>
      <c r="AP733" s="72">
        <v>0</v>
      </c>
      <c r="AQ733" s="73"/>
      <c r="AR733" s="74">
        <v>-98.794211910260145</v>
      </c>
      <c r="AS733" s="74">
        <v>0</v>
      </c>
      <c r="AT733" s="73"/>
      <c r="AU733" s="72">
        <v>38402062.001186557</v>
      </c>
      <c r="AV733" s="72">
        <v>0</v>
      </c>
      <c r="AW733" s="73"/>
      <c r="AX733" s="74">
        <v>-1968.8402927312429</v>
      </c>
      <c r="AY733" s="74">
        <v>0</v>
      </c>
      <c r="AZ733" s="73"/>
      <c r="BA733" s="72">
        <v>-62822.930873498633</v>
      </c>
      <c r="BB733" s="72">
        <v>0</v>
      </c>
      <c r="BC733" s="73"/>
      <c r="BD733" s="74">
        <v>-411.96717484519257</v>
      </c>
      <c r="BE733" s="74">
        <v>0</v>
      </c>
      <c r="BF733" s="73"/>
      <c r="BG733" s="72">
        <v>6021781.1714793472</v>
      </c>
      <c r="BH733" s="72">
        <v>0</v>
      </c>
      <c r="BI733" s="73"/>
      <c r="BJ733" s="74">
        <v>-1950.4326051749997</v>
      </c>
      <c r="BK733" s="74">
        <v>0</v>
      </c>
      <c r="BL733" s="73"/>
      <c r="BM733" s="72">
        <v>48212336.321114264</v>
      </c>
      <c r="BN733" s="72">
        <v>0</v>
      </c>
      <c r="BO733" s="73"/>
      <c r="BP733" s="74">
        <v>-6222.5040414700479</v>
      </c>
      <c r="BQ733" s="74">
        <v>0</v>
      </c>
      <c r="BS733" s="109">
        <f t="shared" si="285"/>
        <v>116497.40562272343</v>
      </c>
      <c r="BT733" s="109">
        <f t="shared" si="286"/>
        <v>116865.77128425901</v>
      </c>
      <c r="BV733" s="58">
        <f t="array" ref="BV733">SUM(IF(BS733:BT733&gt;=BS733, 1))</f>
        <v>2</v>
      </c>
      <c r="BW733" s="58">
        <f t="array" ref="BW733">SUM(IF(BS733:BT733&gt;=BT733, 1))</f>
        <v>1</v>
      </c>
      <c r="BY733" s="109">
        <f t="shared" si="287"/>
        <v>133335.49368282981</v>
      </c>
      <c r="BZ733" s="109">
        <f t="shared" si="288"/>
        <v>133666.99065628619</v>
      </c>
      <c r="CB733" s="58">
        <f t="array" ref="CB733">SUM(IF(BY733:BZ733&gt;=BY733, 1))</f>
        <v>2</v>
      </c>
      <c r="CC733" s="58">
        <f t="array" ref="CC733">SUM(IF(BY733:BZ733&gt;=BZ733, 1))</f>
        <v>1</v>
      </c>
      <c r="CE733" s="109">
        <f t="shared" si="289"/>
        <v>89437.729181195798</v>
      </c>
      <c r="CF733" s="109">
        <f t="shared" si="290"/>
        <v>92784.289136007181</v>
      </c>
      <c r="CH733" s="58">
        <f t="array" ref="CH733">SUM(IF(CE733:CF733&gt;=CE733, 1))</f>
        <v>2</v>
      </c>
      <c r="CI733" s="58">
        <f t="array" ref="CI733">SUM(IF(CE733:CF733&gt;=CF733, 1))</f>
        <v>1</v>
      </c>
      <c r="CK733" s="109">
        <f t="shared" si="291"/>
        <v>51288.314948619234</v>
      </c>
      <c r="CL733" s="109">
        <f t="shared" si="292"/>
        <v>52224.302683433307</v>
      </c>
      <c r="CN733" s="58">
        <f t="array" ref="CN733">SUM(IF(CK733:CL733&gt;=CK733, 1))</f>
        <v>2</v>
      </c>
      <c r="CO733" s="58">
        <f t="array" ref="CO733">SUM(IF(CK733:CL733&gt;=CL733, 1))</f>
        <v>1</v>
      </c>
      <c r="CQ733" s="109" cm="1">
        <f t="array" ref="CQ733">AF733*WTP-AC733</f>
        <v>42751.450665719225</v>
      </c>
      <c r="CR733" s="109">
        <f t="shared" si="293"/>
        <v>45579.04991850385</v>
      </c>
      <c r="CT733" s="58">
        <f t="array" ref="CT733">SUM(IF(CQ733:CR733&gt;=CQ733, 1))</f>
        <v>2</v>
      </c>
      <c r="CU733" s="58">
        <f t="array" ref="CU733">SUM(IF(CQ733:CR733&gt;=CR733, 1))</f>
        <v>1</v>
      </c>
      <c r="CW733" s="109">
        <f t="shared" si="294"/>
        <v>-39470536.270932078</v>
      </c>
      <c r="CX733" s="109">
        <f t="shared" si="295"/>
        <v>0</v>
      </c>
      <c r="CZ733" s="58">
        <f t="array" ref="CZ733">SUM(IF(CW733:CX733&gt;=CW733, 1))</f>
        <v>2</v>
      </c>
      <c r="DA733" s="58">
        <f t="array" ref="DA733">SUM(IF(CW733:CX733&gt;=CX733, 1))</f>
        <v>1</v>
      </c>
      <c r="DC733" s="109">
        <f t="shared" si="296"/>
        <v>-2206059.1827620338</v>
      </c>
      <c r="DD733" s="109">
        <f t="shared" si="297"/>
        <v>0</v>
      </c>
      <c r="DF733" s="58">
        <f t="array" ref="DF733">SUM(IF(DC733:DD733&gt;=DC733, 1))</f>
        <v>2</v>
      </c>
      <c r="DG733" s="58">
        <f t="array" ref="DG733">SUM(IF(DC733:DD733&gt;=DD733, 1))</f>
        <v>1</v>
      </c>
      <c r="DI733" s="109">
        <f t="shared" si="298"/>
        <v>-77778867.855811417</v>
      </c>
      <c r="DJ733" s="109">
        <f t="shared" si="299"/>
        <v>0</v>
      </c>
      <c r="DL733" s="58">
        <f t="array" ref="DL733">SUM(IF(DI733:DJ733&gt;=DI733, 1))</f>
        <v>2</v>
      </c>
      <c r="DM733" s="58">
        <f t="array" ref="DM733">SUM(IF(DI733:DJ733&gt;=DJ733, 1))</f>
        <v>1</v>
      </c>
      <c r="DO733" s="109">
        <f t="shared" si="300"/>
        <v>-8176520.5660303533</v>
      </c>
      <c r="DP733" s="109">
        <f t="shared" si="301"/>
        <v>0</v>
      </c>
      <c r="DR733" s="58">
        <f t="array" ref="DR733">SUM(IF(DO733:DP733&gt;=DO733, 1))</f>
        <v>2</v>
      </c>
      <c r="DS733" s="58">
        <f t="array" ref="DS733">SUM(IF(DO733:DP733&gt;=DP733, 1))</f>
        <v>1</v>
      </c>
      <c r="DU733" s="109">
        <f t="shared" si="302"/>
        <v>-45030433.274979338</v>
      </c>
      <c r="DV733" s="109">
        <f t="shared" si="303"/>
        <v>0</v>
      </c>
      <c r="DX733" s="58">
        <f t="array" ref="DX733">SUM(IF(DU733:DV733&gt;=DU733, 1))</f>
        <v>2</v>
      </c>
      <c r="DY733" s="58">
        <f t="array" ref="DY733">SUM(IF(DU733:DV733&gt;=DV733, 1))</f>
        <v>1</v>
      </c>
      <c r="EA733" s="109">
        <f t="shared" si="304"/>
        <v>-172662417.15051523</v>
      </c>
      <c r="EB733" s="109">
        <f t="shared" si="305"/>
        <v>0</v>
      </c>
      <c r="ED733" s="58">
        <f t="array" ref="ED733">SUM(IF(EA733:EB733&gt;=EA733, 1))</f>
        <v>2</v>
      </c>
      <c r="EE733" s="58">
        <f t="array" ref="EE733">SUM(IF(EA733:EB733&gt;=EB733, 1))</f>
        <v>1</v>
      </c>
    </row>
    <row r="734" spans="4:135" ht="12" customHeight="1" x14ac:dyDescent="0.25">
      <c r="D734" s="11">
        <v>718</v>
      </c>
      <c r="E734" s="72">
        <v>272.96259734868391</v>
      </c>
      <c r="F734" s="72">
        <v>242.12738385928111</v>
      </c>
      <c r="G734" s="73"/>
      <c r="H734" s="74">
        <v>5.8318160425752863</v>
      </c>
      <c r="I734" s="74">
        <v>5.849519863208684</v>
      </c>
      <c r="J734" s="73"/>
      <c r="K734" s="72">
        <v>292.62015132373398</v>
      </c>
      <c r="L734" s="72">
        <v>261.05205361978307</v>
      </c>
      <c r="M734" s="73"/>
      <c r="N734" s="74">
        <v>6.7122691352817681</v>
      </c>
      <c r="O734" s="74">
        <v>6.7281432841666584</v>
      </c>
      <c r="P734" s="73"/>
      <c r="Q734" s="72">
        <v>2744.958446012397</v>
      </c>
      <c r="R734" s="72">
        <v>1631.7429262830697</v>
      </c>
      <c r="S734" s="73"/>
      <c r="T734" s="74">
        <v>4.7424130253593395</v>
      </c>
      <c r="U734" s="74">
        <v>4.8200920638266886</v>
      </c>
      <c r="V734" s="73"/>
      <c r="W734" s="72">
        <v>9561.2824691909263</v>
      </c>
      <c r="X734" s="72">
        <v>9529.8294733600032</v>
      </c>
      <c r="Y734" s="73"/>
      <c r="Z734" s="74">
        <v>3.1238601572422811</v>
      </c>
      <c r="AA734" s="74">
        <v>3.1583778728569509</v>
      </c>
      <c r="AB734" s="73"/>
      <c r="AC734" s="72">
        <v>49310.362464121186</v>
      </c>
      <c r="AD734" s="72">
        <v>49299.379368460206</v>
      </c>
      <c r="AE734" s="73"/>
      <c r="AF734" s="74">
        <v>4.5215167382107984</v>
      </c>
      <c r="AG734" s="74">
        <v>4.6056014122922768</v>
      </c>
      <c r="AH734" s="73"/>
      <c r="AI734" s="72">
        <v>3335901.728153632</v>
      </c>
      <c r="AJ734" s="72">
        <v>0</v>
      </c>
      <c r="AK734" s="73"/>
      <c r="AL734" s="74">
        <v>-1915.2844803934947</v>
      </c>
      <c r="AM734" s="74">
        <v>0</v>
      </c>
      <c r="AN734" s="73"/>
      <c r="AO734" s="72">
        <v>214019.66940604956</v>
      </c>
      <c r="AP734" s="72">
        <v>0</v>
      </c>
      <c r="AQ734" s="73"/>
      <c r="AR734" s="74">
        <v>-107.62067858214482</v>
      </c>
      <c r="AS734" s="74">
        <v>0</v>
      </c>
      <c r="AT734" s="73"/>
      <c r="AU734" s="72">
        <v>25554396.232744139</v>
      </c>
      <c r="AV734" s="72">
        <v>0</v>
      </c>
      <c r="AW734" s="73"/>
      <c r="AX734" s="74">
        <v>-1783.1595884109365</v>
      </c>
      <c r="AY734" s="74">
        <v>0</v>
      </c>
      <c r="AZ734" s="73"/>
      <c r="BA734" s="72">
        <v>285246.31231861201</v>
      </c>
      <c r="BB734" s="72">
        <v>0</v>
      </c>
      <c r="BC734" s="73"/>
      <c r="BD734" s="74">
        <v>-313.04016767353465</v>
      </c>
      <c r="BE734" s="74">
        <v>0</v>
      </c>
      <c r="BF734" s="73"/>
      <c r="BG734" s="72">
        <v>171567.14844975114</v>
      </c>
      <c r="BH734" s="72">
        <v>0</v>
      </c>
      <c r="BI734" s="73"/>
      <c r="BJ734" s="74">
        <v>-1313.488310198175</v>
      </c>
      <c r="BK734" s="74">
        <v>0</v>
      </c>
      <c r="BL734" s="73"/>
      <c r="BM734" s="72">
        <v>29561131.091072183</v>
      </c>
      <c r="BN734" s="72">
        <v>0</v>
      </c>
      <c r="BO734" s="73"/>
      <c r="BP734" s="74">
        <v>-5432.5932252582861</v>
      </c>
      <c r="BQ734" s="74">
        <v>0</v>
      </c>
      <c r="BS734" s="109">
        <f t="shared" si="285"/>
        <v>116363.35825415704</v>
      </c>
      <c r="BT734" s="109">
        <f t="shared" si="286"/>
        <v>116748.2698803144</v>
      </c>
      <c r="BV734" s="58">
        <f t="array" ref="BV734">SUM(IF(BS734:BT734&gt;=BS734, 1))</f>
        <v>2</v>
      </c>
      <c r="BW734" s="58">
        <f t="array" ref="BW734">SUM(IF(BS734:BT734&gt;=BT734, 1))</f>
        <v>1</v>
      </c>
      <c r="BY734" s="109">
        <f t="shared" si="287"/>
        <v>133952.76255431163</v>
      </c>
      <c r="BZ734" s="109">
        <f t="shared" si="288"/>
        <v>134301.81362971338</v>
      </c>
      <c r="CB734" s="58">
        <f t="array" ref="CB734">SUM(IF(BY734:BZ734&gt;=BY734, 1))</f>
        <v>2</v>
      </c>
      <c r="CC734" s="58">
        <f t="array" ref="CC734">SUM(IF(BY734:BZ734&gt;=BZ734, 1))</f>
        <v>1</v>
      </c>
      <c r="CE734" s="109">
        <f t="shared" si="289"/>
        <v>92103.302061174385</v>
      </c>
      <c r="CF734" s="109">
        <f t="shared" si="290"/>
        <v>94770.098350250701</v>
      </c>
      <c r="CH734" s="58">
        <f t="array" ref="CH734">SUM(IF(CE734:CF734&gt;=CE734, 1))</f>
        <v>2</v>
      </c>
      <c r="CI734" s="58">
        <f t="array" ref="CI734">SUM(IF(CE734:CF734&gt;=CF734, 1))</f>
        <v>1</v>
      </c>
      <c r="CK734" s="109">
        <f t="shared" si="291"/>
        <v>52915.920675654692</v>
      </c>
      <c r="CL734" s="109">
        <f t="shared" si="292"/>
        <v>53637.727983779012</v>
      </c>
      <c r="CN734" s="58">
        <f t="array" ref="CN734">SUM(IF(CK734:CL734&gt;=CK734, 1))</f>
        <v>2</v>
      </c>
      <c r="CO734" s="58">
        <f t="array" ref="CO734">SUM(IF(CK734:CL734&gt;=CL734, 1))</f>
        <v>1</v>
      </c>
      <c r="CQ734" s="109" cm="1">
        <f t="array" ref="CQ734">AF734*WTP-AC734</f>
        <v>41119.972300094778</v>
      </c>
      <c r="CR734" s="109">
        <f t="shared" si="293"/>
        <v>42812.648877385327</v>
      </c>
      <c r="CT734" s="58">
        <f t="array" ref="CT734">SUM(IF(CQ734:CR734&gt;=CQ734, 1))</f>
        <v>2</v>
      </c>
      <c r="CU734" s="58">
        <f t="array" ref="CU734">SUM(IF(CQ734:CR734&gt;=CR734, 1))</f>
        <v>1</v>
      </c>
      <c r="CW734" s="109">
        <f t="shared" si="294"/>
        <v>-41641591.336023524</v>
      </c>
      <c r="CX734" s="109">
        <f t="shared" si="295"/>
        <v>0</v>
      </c>
      <c r="CZ734" s="58">
        <f t="array" ref="CZ734">SUM(IF(CW734:CX734&gt;=CW734, 1))</f>
        <v>2</v>
      </c>
      <c r="DA734" s="58">
        <f t="array" ref="DA734">SUM(IF(CW734:CX734&gt;=CX734, 1))</f>
        <v>1</v>
      </c>
      <c r="DC734" s="109">
        <f t="shared" si="296"/>
        <v>-2366433.2410489456</v>
      </c>
      <c r="DD734" s="109">
        <f t="shared" si="297"/>
        <v>0</v>
      </c>
      <c r="DF734" s="58">
        <f t="array" ref="DF734">SUM(IF(DC734:DD734&gt;=DC734, 1))</f>
        <v>2</v>
      </c>
      <c r="DG734" s="58">
        <f t="array" ref="DG734">SUM(IF(DC734:DD734&gt;=DD734, 1))</f>
        <v>1</v>
      </c>
      <c r="DI734" s="109">
        <f t="shared" si="298"/>
        <v>-61217588.000962868</v>
      </c>
      <c r="DJ734" s="109">
        <f t="shared" si="299"/>
        <v>0</v>
      </c>
      <c r="DL734" s="58">
        <f t="array" ref="DL734">SUM(IF(DI734:DJ734&gt;=DI734, 1))</f>
        <v>2</v>
      </c>
      <c r="DM734" s="58">
        <f t="array" ref="DM734">SUM(IF(DI734:DJ734&gt;=DJ734, 1))</f>
        <v>1</v>
      </c>
      <c r="DO734" s="109">
        <f t="shared" si="300"/>
        <v>-6546049.6657893052</v>
      </c>
      <c r="DP734" s="109">
        <f t="shared" si="301"/>
        <v>0</v>
      </c>
      <c r="DR734" s="58">
        <f t="array" ref="DR734">SUM(IF(DO734:DP734&gt;=DO734, 1))</f>
        <v>2</v>
      </c>
      <c r="DS734" s="58">
        <f t="array" ref="DS734">SUM(IF(DO734:DP734&gt;=DP734, 1))</f>
        <v>1</v>
      </c>
      <c r="DU734" s="109">
        <f t="shared" si="302"/>
        <v>-26441333.352413252</v>
      </c>
      <c r="DV734" s="109">
        <f t="shared" si="303"/>
        <v>0</v>
      </c>
      <c r="DX734" s="58">
        <f t="array" ref="DX734">SUM(IF(DU734:DV734&gt;=DU734, 1))</f>
        <v>2</v>
      </c>
      <c r="DY734" s="58">
        <f t="array" ref="DY734">SUM(IF(DU734:DV734&gt;=DV734, 1))</f>
        <v>1</v>
      </c>
      <c r="EA734" s="109">
        <f t="shared" si="304"/>
        <v>-138212995.5962379</v>
      </c>
      <c r="EB734" s="109">
        <f t="shared" si="305"/>
        <v>0</v>
      </c>
      <c r="ED734" s="58">
        <f t="array" ref="ED734">SUM(IF(EA734:EB734&gt;=EA734, 1))</f>
        <v>2</v>
      </c>
      <c r="EE734" s="58">
        <f t="array" ref="EE734">SUM(IF(EA734:EB734&gt;=EB734, 1))</f>
        <v>1</v>
      </c>
    </row>
    <row r="735" spans="4:135" ht="12" customHeight="1" x14ac:dyDescent="0.25">
      <c r="D735" s="11">
        <v>719</v>
      </c>
      <c r="E735" s="72">
        <v>224.68988098354657</v>
      </c>
      <c r="F735" s="72">
        <v>197.37502371525426</v>
      </c>
      <c r="G735" s="73"/>
      <c r="H735" s="74">
        <v>5.8028330271227135</v>
      </c>
      <c r="I735" s="74">
        <v>5.8214375108676633</v>
      </c>
      <c r="J735" s="73"/>
      <c r="K735" s="72">
        <v>240.73587896274944</v>
      </c>
      <c r="L735" s="72">
        <v>212.78033398706469</v>
      </c>
      <c r="M735" s="73"/>
      <c r="N735" s="74">
        <v>6.7263415019385748</v>
      </c>
      <c r="O735" s="74">
        <v>6.7429102240785452</v>
      </c>
      <c r="P735" s="73"/>
      <c r="Q735" s="72">
        <v>1775.3378858827959</v>
      </c>
      <c r="R735" s="72">
        <v>1282.5253293361152</v>
      </c>
      <c r="S735" s="73"/>
      <c r="T735" s="74">
        <v>4.8700420118187209</v>
      </c>
      <c r="U735" s="74">
        <v>4.936340979598552</v>
      </c>
      <c r="V735" s="73"/>
      <c r="W735" s="72">
        <v>13826.27169153676</v>
      </c>
      <c r="X735" s="72">
        <v>13821.764563131792</v>
      </c>
      <c r="Y735" s="73"/>
      <c r="Z735" s="74">
        <v>3.1051828130395349</v>
      </c>
      <c r="AA735" s="74">
        <v>3.1470119072874181</v>
      </c>
      <c r="AB735" s="73"/>
      <c r="AC735" s="72">
        <v>49666.295722706222</v>
      </c>
      <c r="AD735" s="72">
        <v>49783.654787601641</v>
      </c>
      <c r="AE735" s="73"/>
      <c r="AF735" s="74">
        <v>4.7035832338204751</v>
      </c>
      <c r="AG735" s="74">
        <v>4.8748324138727215</v>
      </c>
      <c r="AH735" s="73"/>
      <c r="AI735" s="72">
        <v>2940820.8621210651</v>
      </c>
      <c r="AJ735" s="72">
        <v>0</v>
      </c>
      <c r="AK735" s="73"/>
      <c r="AL735" s="74">
        <v>-2003.0290983673485</v>
      </c>
      <c r="AM735" s="74">
        <v>0</v>
      </c>
      <c r="AN735" s="73"/>
      <c r="AO735" s="72">
        <v>194569.31211412468</v>
      </c>
      <c r="AP735" s="72">
        <v>0</v>
      </c>
      <c r="AQ735" s="73"/>
      <c r="AR735" s="74">
        <v>-115.31754691915629</v>
      </c>
      <c r="AS735" s="74">
        <v>0</v>
      </c>
      <c r="AT735" s="73"/>
      <c r="AU735" s="72">
        <v>11472494.265922481</v>
      </c>
      <c r="AV735" s="72">
        <v>0</v>
      </c>
      <c r="AW735" s="73"/>
      <c r="AX735" s="74">
        <v>-1543.415478332367</v>
      </c>
      <c r="AY735" s="74">
        <v>0</v>
      </c>
      <c r="AZ735" s="73"/>
      <c r="BA735" s="72">
        <v>39518.451440510573</v>
      </c>
      <c r="BB735" s="72">
        <v>0</v>
      </c>
      <c r="BC735" s="73"/>
      <c r="BD735" s="74">
        <v>-366.75703048828154</v>
      </c>
      <c r="BE735" s="74">
        <v>0</v>
      </c>
      <c r="BF735" s="73"/>
      <c r="BG735" s="72">
        <v>-1943416.5693229488</v>
      </c>
      <c r="BH735" s="72">
        <v>0</v>
      </c>
      <c r="BI735" s="73"/>
      <c r="BJ735" s="74">
        <v>-2835.8141255903442</v>
      </c>
      <c r="BK735" s="74">
        <v>0</v>
      </c>
      <c r="BL735" s="73"/>
      <c r="BM735" s="72">
        <v>12703986.322275233</v>
      </c>
      <c r="BN735" s="72">
        <v>0</v>
      </c>
      <c r="BO735" s="73"/>
      <c r="BP735" s="74">
        <v>-6864.3332796974973</v>
      </c>
      <c r="BQ735" s="74">
        <v>0</v>
      </c>
      <c r="BS735" s="109">
        <f t="shared" si="285"/>
        <v>115831.97066147072</v>
      </c>
      <c r="BT735" s="109">
        <f t="shared" si="286"/>
        <v>116231.37519363801</v>
      </c>
      <c r="BV735" s="58">
        <f t="array" ref="BV735">SUM(IF(BS735:BT735&gt;=BS735, 1))</f>
        <v>2</v>
      </c>
      <c r="BW735" s="58">
        <f t="array" ref="BW735">SUM(IF(BS735:BT735&gt;=BT735, 1))</f>
        <v>1</v>
      </c>
      <c r="BY735" s="109">
        <f t="shared" si="287"/>
        <v>134286.09415980874</v>
      </c>
      <c r="BZ735" s="109">
        <f t="shared" si="288"/>
        <v>134645.42414758384</v>
      </c>
      <c r="CB735" s="58">
        <f t="array" ref="CB735">SUM(IF(BY735:BZ735&gt;=BY735, 1))</f>
        <v>2</v>
      </c>
      <c r="CC735" s="58">
        <f t="array" ref="CC735">SUM(IF(BY735:BZ735&gt;=BZ735, 1))</f>
        <v>1</v>
      </c>
      <c r="CE735" s="109">
        <f t="shared" si="289"/>
        <v>95625.502350491632</v>
      </c>
      <c r="CF735" s="109">
        <f t="shared" si="290"/>
        <v>97444.294262634925</v>
      </c>
      <c r="CH735" s="58">
        <f t="array" ref="CH735">SUM(IF(CE735:CF735&gt;=CE735, 1))</f>
        <v>2</v>
      </c>
      <c r="CI735" s="58">
        <f t="array" ref="CI735">SUM(IF(CE735:CF735&gt;=CF735, 1))</f>
        <v>1</v>
      </c>
      <c r="CK735" s="109">
        <f t="shared" si="291"/>
        <v>48277.384569253933</v>
      </c>
      <c r="CL735" s="109">
        <f t="shared" si="292"/>
        <v>49118.473582616571</v>
      </c>
      <c r="CN735" s="58">
        <f t="array" ref="CN735">SUM(IF(CK735:CL735&gt;=CK735, 1))</f>
        <v>2</v>
      </c>
      <c r="CO735" s="58">
        <f t="array" ref="CO735">SUM(IF(CK735:CL735&gt;=CL735, 1))</f>
        <v>1</v>
      </c>
      <c r="CQ735" s="109" cm="1">
        <f t="array" ref="CQ735">AF735*WTP-AC735</f>
        <v>44405.368953703284</v>
      </c>
      <c r="CR735" s="109">
        <f t="shared" si="293"/>
        <v>47712.993489852786</v>
      </c>
      <c r="CT735" s="58">
        <f t="array" ref="CT735">SUM(IF(CQ735:CR735&gt;=CQ735, 1))</f>
        <v>2</v>
      </c>
      <c r="CU735" s="58">
        <f t="array" ref="CU735">SUM(IF(CQ735:CR735&gt;=CR735, 1))</f>
        <v>1</v>
      </c>
      <c r="CW735" s="109">
        <f t="shared" si="294"/>
        <v>-43001402.829468042</v>
      </c>
      <c r="CX735" s="109">
        <f t="shared" si="295"/>
        <v>0</v>
      </c>
      <c r="CZ735" s="58">
        <f t="array" ref="CZ735">SUM(IF(CW735:CX735&gt;=CW735, 1))</f>
        <v>2</v>
      </c>
      <c r="DA735" s="58">
        <f t="array" ref="DA735">SUM(IF(CW735:CX735&gt;=CX735, 1))</f>
        <v>1</v>
      </c>
      <c r="DC735" s="109">
        <f t="shared" si="296"/>
        <v>-2500920.2504972504</v>
      </c>
      <c r="DD735" s="109">
        <f t="shared" si="297"/>
        <v>0</v>
      </c>
      <c r="DF735" s="58">
        <f t="array" ref="DF735">SUM(IF(DC735:DD735&gt;=DC735, 1))</f>
        <v>2</v>
      </c>
      <c r="DG735" s="58">
        <f t="array" ref="DG735">SUM(IF(DC735:DD735&gt;=DD735, 1))</f>
        <v>1</v>
      </c>
      <c r="DI735" s="109">
        <f t="shared" si="298"/>
        <v>-42340803.832569823</v>
      </c>
      <c r="DJ735" s="109">
        <f t="shared" si="299"/>
        <v>0</v>
      </c>
      <c r="DL735" s="58">
        <f t="array" ref="DL735">SUM(IF(DI735:DJ735&gt;=DI735, 1))</f>
        <v>2</v>
      </c>
      <c r="DM735" s="58">
        <f t="array" ref="DM735">SUM(IF(DI735:DJ735&gt;=DJ735, 1))</f>
        <v>1</v>
      </c>
      <c r="DO735" s="109">
        <f t="shared" si="300"/>
        <v>-7374659.0612061415</v>
      </c>
      <c r="DP735" s="109">
        <f t="shared" si="301"/>
        <v>0</v>
      </c>
      <c r="DR735" s="58">
        <f t="array" ref="DR735">SUM(IF(DO735:DP735&gt;=DO735, 1))</f>
        <v>2</v>
      </c>
      <c r="DS735" s="58">
        <f t="array" ref="DS735">SUM(IF(DO735:DP735&gt;=DP735, 1))</f>
        <v>1</v>
      </c>
      <c r="DU735" s="109">
        <f t="shared" si="302"/>
        <v>-54772865.942483932</v>
      </c>
      <c r="DV735" s="109">
        <f t="shared" si="303"/>
        <v>0</v>
      </c>
      <c r="DX735" s="58">
        <f t="array" ref="DX735">SUM(IF(DU735:DV735&gt;=DU735, 1))</f>
        <v>2</v>
      </c>
      <c r="DY735" s="58">
        <f t="array" ref="DY735">SUM(IF(DU735:DV735&gt;=DV735, 1))</f>
        <v>1</v>
      </c>
      <c r="EA735" s="109">
        <f t="shared" si="304"/>
        <v>-149990651.91622517</v>
      </c>
      <c r="EB735" s="109">
        <f t="shared" si="305"/>
        <v>0</v>
      </c>
      <c r="ED735" s="58">
        <f t="array" ref="ED735">SUM(IF(EA735:EB735&gt;=EA735, 1))</f>
        <v>2</v>
      </c>
      <c r="EE735" s="58">
        <f t="array" ref="EE735">SUM(IF(EA735:EB735&gt;=EB735, 1))</f>
        <v>1</v>
      </c>
    </row>
    <row r="736" spans="4:135" ht="12" customHeight="1" x14ac:dyDescent="0.25">
      <c r="D736" s="11">
        <v>720</v>
      </c>
      <c r="E736" s="72">
        <v>287.56378576048348</v>
      </c>
      <c r="F736" s="72">
        <v>280.07339580079599</v>
      </c>
      <c r="G736" s="73"/>
      <c r="H736" s="74">
        <v>5.8166504083732411</v>
      </c>
      <c r="I736" s="74">
        <v>5.8287845022037388</v>
      </c>
      <c r="J736" s="73"/>
      <c r="K736" s="72">
        <v>309.71335984734833</v>
      </c>
      <c r="L736" s="72">
        <v>302.00105073155777</v>
      </c>
      <c r="M736" s="73"/>
      <c r="N736" s="74">
        <v>6.6709203493320812</v>
      </c>
      <c r="O736" s="74">
        <v>6.6810986885196817</v>
      </c>
      <c r="P736" s="73"/>
      <c r="Q736" s="72">
        <v>3425.6359441016366</v>
      </c>
      <c r="R736" s="72">
        <v>1813.518870234107</v>
      </c>
      <c r="S736" s="73"/>
      <c r="T736" s="74">
        <v>4.9420334599822722</v>
      </c>
      <c r="U736" s="74">
        <v>5.0460287961009058</v>
      </c>
      <c r="V736" s="73"/>
      <c r="W736" s="72">
        <v>11263.416318514312</v>
      </c>
      <c r="X736" s="72">
        <v>11308.390966827661</v>
      </c>
      <c r="Y736" s="73"/>
      <c r="Z736" s="74">
        <v>2.9418173387895212</v>
      </c>
      <c r="AA736" s="74">
        <v>2.9911366015947243</v>
      </c>
      <c r="AB736" s="73"/>
      <c r="AC736" s="72">
        <v>49740.261420318675</v>
      </c>
      <c r="AD736" s="72">
        <v>49413.535569116204</v>
      </c>
      <c r="AE736" s="73"/>
      <c r="AF736" s="74">
        <v>4.4304784682507439</v>
      </c>
      <c r="AG736" s="74">
        <v>4.5516047539038542</v>
      </c>
      <c r="AH736" s="73"/>
      <c r="AI736" s="72">
        <v>807753.13379691134</v>
      </c>
      <c r="AJ736" s="72">
        <v>0</v>
      </c>
      <c r="AK736" s="73"/>
      <c r="AL736" s="74">
        <v>-1308.5236376370447</v>
      </c>
      <c r="AM736" s="74">
        <v>0</v>
      </c>
      <c r="AN736" s="73"/>
      <c r="AO736" s="72">
        <v>50424.169896880565</v>
      </c>
      <c r="AP736" s="72">
        <v>0</v>
      </c>
      <c r="AQ736" s="73"/>
      <c r="AR736" s="74">
        <v>-66.547423963184045</v>
      </c>
      <c r="AS736" s="74">
        <v>0</v>
      </c>
      <c r="AT736" s="73"/>
      <c r="AU736" s="72">
        <v>38040456.253658839</v>
      </c>
      <c r="AV736" s="72">
        <v>0</v>
      </c>
      <c r="AW736" s="73"/>
      <c r="AX736" s="74">
        <v>-2453.9347038331189</v>
      </c>
      <c r="AY736" s="74">
        <v>0</v>
      </c>
      <c r="AZ736" s="73"/>
      <c r="BA736" s="72">
        <v>-403208.07168792823</v>
      </c>
      <c r="BB736" s="72">
        <v>0</v>
      </c>
      <c r="BC736" s="73"/>
      <c r="BD736" s="74">
        <v>-442.15854038937539</v>
      </c>
      <c r="BE736" s="74">
        <v>0</v>
      </c>
      <c r="BF736" s="73"/>
      <c r="BG736" s="72">
        <v>5199426.6258449946</v>
      </c>
      <c r="BH736" s="72">
        <v>0</v>
      </c>
      <c r="BI736" s="73"/>
      <c r="BJ736" s="74">
        <v>-1927.5708744705707</v>
      </c>
      <c r="BK736" s="74">
        <v>0</v>
      </c>
      <c r="BL736" s="73"/>
      <c r="BM736" s="72">
        <v>43694852.111509696</v>
      </c>
      <c r="BN736" s="72">
        <v>0</v>
      </c>
      <c r="BO736" s="73"/>
      <c r="BP736" s="74">
        <v>-6198.7351802932935</v>
      </c>
      <c r="BQ736" s="74">
        <v>0</v>
      </c>
      <c r="BS736" s="109">
        <f t="shared" si="285"/>
        <v>116045.44438170434</v>
      </c>
      <c r="BT736" s="109">
        <f t="shared" si="286"/>
        <v>116295.61664827398</v>
      </c>
      <c r="BV736" s="58">
        <f t="array" ref="BV736">SUM(IF(BS736:BT736&gt;=BS736, 1))</f>
        <v>2</v>
      </c>
      <c r="BW736" s="58">
        <f t="array" ref="BW736">SUM(IF(BS736:BT736&gt;=BT736, 1))</f>
        <v>1</v>
      </c>
      <c r="BY736" s="109">
        <f t="shared" si="287"/>
        <v>133108.69362679427</v>
      </c>
      <c r="BZ736" s="109">
        <f t="shared" si="288"/>
        <v>133319.9727196621</v>
      </c>
      <c r="CB736" s="58">
        <f t="array" ref="CB736">SUM(IF(BY736:BZ736&gt;=BY736, 1))</f>
        <v>2</v>
      </c>
      <c r="CC736" s="58">
        <f t="array" ref="CC736">SUM(IF(BY736:BZ736&gt;=BZ736, 1))</f>
        <v>1</v>
      </c>
      <c r="CE736" s="109">
        <f t="shared" si="289"/>
        <v>95415.033255543807</v>
      </c>
      <c r="CF736" s="109">
        <f t="shared" si="290"/>
        <v>99107.05705178401</v>
      </c>
      <c r="CH736" s="58">
        <f t="array" ref="CH736">SUM(IF(CE736:CF736&gt;=CE736, 1))</f>
        <v>2</v>
      </c>
      <c r="CI736" s="58">
        <f t="array" ref="CI736">SUM(IF(CE736:CF736&gt;=CF736, 1))</f>
        <v>1</v>
      </c>
      <c r="CK736" s="109">
        <f t="shared" si="291"/>
        <v>47572.93045727611</v>
      </c>
      <c r="CL736" s="109">
        <f t="shared" si="292"/>
        <v>48514.341065066823</v>
      </c>
      <c r="CN736" s="58">
        <f t="array" ref="CN736">SUM(IF(CK736:CL736&gt;=CK736, 1))</f>
        <v>2</v>
      </c>
      <c r="CO736" s="58">
        <f t="array" ref="CO736">SUM(IF(CK736:CL736&gt;=CL736, 1))</f>
        <v>1</v>
      </c>
      <c r="CQ736" s="109" cm="1">
        <f t="array" ref="CQ736">AF736*WTP-AC736</f>
        <v>38869.3079446962</v>
      </c>
      <c r="CR736" s="109">
        <f t="shared" si="293"/>
        <v>41618.559508960876</v>
      </c>
      <c r="CT736" s="58">
        <f t="array" ref="CT736">SUM(IF(CQ736:CR736&gt;=CQ736, 1))</f>
        <v>2</v>
      </c>
      <c r="CU736" s="58">
        <f t="array" ref="CU736">SUM(IF(CQ736:CR736&gt;=CR736, 1))</f>
        <v>1</v>
      </c>
      <c r="CW736" s="109">
        <f t="shared" si="294"/>
        <v>-26978225.886537805</v>
      </c>
      <c r="CX736" s="109">
        <f t="shared" si="295"/>
        <v>0</v>
      </c>
      <c r="CZ736" s="58">
        <f t="array" ref="CZ736">SUM(IF(CW736:CX736&gt;=CW736, 1))</f>
        <v>2</v>
      </c>
      <c r="DA736" s="58">
        <f t="array" ref="DA736">SUM(IF(CW736:CX736&gt;=CX736, 1))</f>
        <v>1</v>
      </c>
      <c r="DC736" s="109">
        <f t="shared" si="296"/>
        <v>-1381372.6491605616</v>
      </c>
      <c r="DD736" s="109">
        <f t="shared" si="297"/>
        <v>0</v>
      </c>
      <c r="DF736" s="58">
        <f t="array" ref="DF736">SUM(IF(DC736:DD736&gt;=DC736, 1))</f>
        <v>2</v>
      </c>
      <c r="DG736" s="58">
        <f t="array" ref="DG736">SUM(IF(DC736:DD736&gt;=DD736, 1))</f>
        <v>1</v>
      </c>
      <c r="DI736" s="109">
        <f t="shared" si="298"/>
        <v>-87119150.330321223</v>
      </c>
      <c r="DJ736" s="109">
        <f t="shared" si="299"/>
        <v>0</v>
      </c>
      <c r="DL736" s="58">
        <f t="array" ref="DL736">SUM(IF(DI736:DJ736&gt;=DI736, 1))</f>
        <v>2</v>
      </c>
      <c r="DM736" s="58">
        <f t="array" ref="DM736">SUM(IF(DI736:DJ736&gt;=DJ736, 1))</f>
        <v>1</v>
      </c>
      <c r="DO736" s="109">
        <f t="shared" si="300"/>
        <v>-8439962.7360995803</v>
      </c>
      <c r="DP736" s="109">
        <f t="shared" si="301"/>
        <v>0</v>
      </c>
      <c r="DR736" s="58">
        <f t="array" ref="DR736">SUM(IF(DO736:DP736&gt;=DO736, 1))</f>
        <v>2</v>
      </c>
      <c r="DS736" s="58">
        <f t="array" ref="DS736">SUM(IF(DO736:DP736&gt;=DP736, 1))</f>
        <v>1</v>
      </c>
      <c r="DU736" s="109">
        <f t="shared" si="302"/>
        <v>-43750844.115256406</v>
      </c>
      <c r="DV736" s="109">
        <f t="shared" si="303"/>
        <v>0</v>
      </c>
      <c r="DX736" s="58">
        <f t="array" ref="DX736">SUM(IF(DU736:DV736&gt;=DU736, 1))</f>
        <v>2</v>
      </c>
      <c r="DY736" s="58">
        <f t="array" ref="DY736">SUM(IF(DU736:DV736&gt;=DV736, 1))</f>
        <v>1</v>
      </c>
      <c r="EA736" s="109">
        <f t="shared" si="304"/>
        <v>-167669555.71737558</v>
      </c>
      <c r="EB736" s="109">
        <f t="shared" si="305"/>
        <v>0</v>
      </c>
      <c r="ED736" s="58">
        <f t="array" ref="ED736">SUM(IF(EA736:EB736&gt;=EA736, 1))</f>
        <v>2</v>
      </c>
      <c r="EE736" s="58">
        <f t="array" ref="EE736">SUM(IF(EA736:EB736&gt;=EB736, 1))</f>
        <v>1</v>
      </c>
    </row>
    <row r="737" spans="4:135" ht="12" customHeight="1" x14ac:dyDescent="0.25">
      <c r="D737" s="11">
        <v>721</v>
      </c>
      <c r="E737" s="72">
        <v>218.26286374675857</v>
      </c>
      <c r="F737" s="72">
        <v>198.60614309588149</v>
      </c>
      <c r="G737" s="73"/>
      <c r="H737" s="74">
        <v>5.8280891959928871</v>
      </c>
      <c r="I737" s="74">
        <v>5.8430228745498383</v>
      </c>
      <c r="J737" s="73"/>
      <c r="K737" s="72">
        <v>234.23563607199461</v>
      </c>
      <c r="L737" s="72">
        <v>214.09387229567514</v>
      </c>
      <c r="M737" s="73"/>
      <c r="N737" s="74">
        <v>6.6847672953951545</v>
      </c>
      <c r="O737" s="74">
        <v>6.697550219697205</v>
      </c>
      <c r="P737" s="73"/>
      <c r="Q737" s="72">
        <v>1991.9182526063519</v>
      </c>
      <c r="R737" s="72">
        <v>1476.3397299441649</v>
      </c>
      <c r="S737" s="73"/>
      <c r="T737" s="74">
        <v>4.8385880482077175</v>
      </c>
      <c r="U737" s="74">
        <v>4.8782979921562406</v>
      </c>
      <c r="V737" s="73"/>
      <c r="W737" s="72">
        <v>11709.930893203704</v>
      </c>
      <c r="X737" s="72">
        <v>11692.209067098564</v>
      </c>
      <c r="Y737" s="73"/>
      <c r="Z737" s="74">
        <v>2.9519664932693046</v>
      </c>
      <c r="AA737" s="74">
        <v>2.9864260463547532</v>
      </c>
      <c r="AB737" s="73"/>
      <c r="AC737" s="72">
        <v>49002.994005787703</v>
      </c>
      <c r="AD737" s="72">
        <v>49058.318197518165</v>
      </c>
      <c r="AE737" s="73"/>
      <c r="AF737" s="74">
        <v>4.7691703665868621</v>
      </c>
      <c r="AG737" s="74">
        <v>4.8773391195651907</v>
      </c>
      <c r="AH737" s="73"/>
      <c r="AI737" s="72">
        <v>2127875.027220537</v>
      </c>
      <c r="AJ737" s="72">
        <v>0</v>
      </c>
      <c r="AK737" s="73"/>
      <c r="AL737" s="74">
        <v>-1616.5973068583703</v>
      </c>
      <c r="AM737" s="74">
        <v>0</v>
      </c>
      <c r="AN737" s="73"/>
      <c r="AO737" s="72">
        <v>141780.4179406605</v>
      </c>
      <c r="AP737" s="72">
        <v>0</v>
      </c>
      <c r="AQ737" s="73"/>
      <c r="AR737" s="74">
        <v>-89.980617893023776</v>
      </c>
      <c r="AS737" s="74">
        <v>0</v>
      </c>
      <c r="AT737" s="73"/>
      <c r="AU737" s="72">
        <v>11913820.742717573</v>
      </c>
      <c r="AV737" s="72">
        <v>0</v>
      </c>
      <c r="AW737" s="73"/>
      <c r="AX737" s="74">
        <v>-917.6044639393283</v>
      </c>
      <c r="AY737" s="74">
        <v>0</v>
      </c>
      <c r="AZ737" s="73"/>
      <c r="BA737" s="72">
        <v>160081.87116648036</v>
      </c>
      <c r="BB737" s="72">
        <v>0</v>
      </c>
      <c r="BC737" s="73"/>
      <c r="BD737" s="74">
        <v>-311.27434073395131</v>
      </c>
      <c r="BE737" s="74">
        <v>0</v>
      </c>
      <c r="BF737" s="73"/>
      <c r="BG737" s="72">
        <v>-876112.17954279529</v>
      </c>
      <c r="BH737" s="72">
        <v>0</v>
      </c>
      <c r="BI737" s="73"/>
      <c r="BJ737" s="74">
        <v>-1712.9570078850206</v>
      </c>
      <c r="BK737" s="74">
        <v>0</v>
      </c>
      <c r="BL737" s="73"/>
      <c r="BM737" s="72">
        <v>13467445.879502457</v>
      </c>
      <c r="BN737" s="72">
        <v>0</v>
      </c>
      <c r="BO737" s="73"/>
      <c r="BP737" s="74">
        <v>-4648.4137373096946</v>
      </c>
      <c r="BQ737" s="74">
        <v>0</v>
      </c>
      <c r="BS737" s="109">
        <f t="shared" si="285"/>
        <v>116343.52105611099</v>
      </c>
      <c r="BT737" s="109">
        <f t="shared" si="286"/>
        <v>116661.85134790088</v>
      </c>
      <c r="BV737" s="58">
        <f t="array" ref="BV737">SUM(IF(BS737:BT737&gt;=BS737, 1))</f>
        <v>2</v>
      </c>
      <c r="BW737" s="58">
        <f t="array" ref="BW737">SUM(IF(BS737:BT737&gt;=BT737, 1))</f>
        <v>1</v>
      </c>
      <c r="BY737" s="109">
        <f t="shared" si="287"/>
        <v>133461.1102718311</v>
      </c>
      <c r="BZ737" s="109">
        <f t="shared" si="288"/>
        <v>133736.91052164845</v>
      </c>
      <c r="CB737" s="58">
        <f t="array" ref="CB737">SUM(IF(BY737:BZ737&gt;=BY737, 1))</f>
        <v>2</v>
      </c>
      <c r="CC737" s="58">
        <f t="array" ref="CC737">SUM(IF(BY737:BZ737&gt;=BZ737, 1))</f>
        <v>1</v>
      </c>
      <c r="CE737" s="109">
        <f t="shared" si="289"/>
        <v>94779.842711548001</v>
      </c>
      <c r="CF737" s="109">
        <f t="shared" si="290"/>
        <v>96089.620113180645</v>
      </c>
      <c r="CH737" s="58">
        <f t="array" ref="CH737">SUM(IF(CE737:CF737&gt;=CE737, 1))</f>
        <v>2</v>
      </c>
      <c r="CI737" s="58">
        <f t="array" ref="CI737">SUM(IF(CE737:CF737&gt;=CF737, 1))</f>
        <v>1</v>
      </c>
      <c r="CK737" s="109">
        <f t="shared" si="291"/>
        <v>47329.398972182389</v>
      </c>
      <c r="CL737" s="109">
        <f t="shared" si="292"/>
        <v>48036.311859996502</v>
      </c>
      <c r="CN737" s="58">
        <f t="array" ref="CN737">SUM(IF(CK737:CL737&gt;=CK737, 1))</f>
        <v>2</v>
      </c>
      <c r="CO737" s="58">
        <f t="array" ref="CO737">SUM(IF(CK737:CL737&gt;=CL737, 1))</f>
        <v>1</v>
      </c>
      <c r="CQ737" s="109" cm="1">
        <f t="array" ref="CQ737">AF737*WTP-AC737</f>
        <v>46380.413325949536</v>
      </c>
      <c r="CR737" s="109">
        <f t="shared" si="293"/>
        <v>48488.46419378565</v>
      </c>
      <c r="CT737" s="58">
        <f t="array" ref="CT737">SUM(IF(CQ737:CR737&gt;=CQ737, 1))</f>
        <v>2</v>
      </c>
      <c r="CU737" s="58">
        <f t="array" ref="CU737">SUM(IF(CQ737:CR737&gt;=CR737, 1))</f>
        <v>1</v>
      </c>
      <c r="CW737" s="109">
        <f t="shared" si="294"/>
        <v>-34459821.164387941</v>
      </c>
      <c r="CX737" s="109">
        <f t="shared" si="295"/>
        <v>0</v>
      </c>
      <c r="CZ737" s="58">
        <f t="array" ref="CZ737">SUM(IF(CW737:CX737&gt;=CW737, 1))</f>
        <v>2</v>
      </c>
      <c r="DA737" s="58">
        <f t="array" ref="DA737">SUM(IF(CW737:CX737&gt;=CX737, 1))</f>
        <v>1</v>
      </c>
      <c r="DC737" s="109">
        <f t="shared" si="296"/>
        <v>-1941392.7758011362</v>
      </c>
      <c r="DD737" s="109">
        <f t="shared" si="297"/>
        <v>0</v>
      </c>
      <c r="DF737" s="58">
        <f t="array" ref="DF737">SUM(IF(DC737:DD737&gt;=DC737, 1))</f>
        <v>2</v>
      </c>
      <c r="DG737" s="58">
        <f t="array" ref="DG737">SUM(IF(DC737:DD737&gt;=DD737, 1))</f>
        <v>1</v>
      </c>
      <c r="DI737" s="109">
        <f t="shared" si="298"/>
        <v>-30265910.021504141</v>
      </c>
      <c r="DJ737" s="109">
        <f t="shared" si="299"/>
        <v>0</v>
      </c>
      <c r="DL737" s="58">
        <f t="array" ref="DL737">SUM(IF(DI737:DJ737&gt;=DI737, 1))</f>
        <v>2</v>
      </c>
      <c r="DM737" s="58">
        <f t="array" ref="DM737">SUM(IF(DI737:DJ737&gt;=DJ737, 1))</f>
        <v>1</v>
      </c>
      <c r="DO737" s="109">
        <f t="shared" si="300"/>
        <v>-6385568.6858455064</v>
      </c>
      <c r="DP737" s="109">
        <f t="shared" si="301"/>
        <v>0</v>
      </c>
      <c r="DR737" s="58">
        <f t="array" ref="DR737">SUM(IF(DO737:DP737&gt;=DO737, 1))</f>
        <v>2</v>
      </c>
      <c r="DS737" s="58">
        <f t="array" ref="DS737">SUM(IF(DO737:DP737&gt;=DP737, 1))</f>
        <v>1</v>
      </c>
      <c r="DU737" s="109">
        <f t="shared" si="302"/>
        <v>-33383027.978157617</v>
      </c>
      <c r="DV737" s="109">
        <f t="shared" si="303"/>
        <v>0</v>
      </c>
      <c r="DX737" s="58">
        <f t="array" ref="DX737">SUM(IF(DU737:DV737&gt;=DU737, 1))</f>
        <v>2</v>
      </c>
      <c r="DY737" s="58">
        <f t="array" ref="DY737">SUM(IF(DU737:DV737&gt;=DV737, 1))</f>
        <v>1</v>
      </c>
      <c r="EA737" s="109">
        <f t="shared" si="304"/>
        <v>-106435720.62569635</v>
      </c>
      <c r="EB737" s="109">
        <f t="shared" si="305"/>
        <v>0</v>
      </c>
      <c r="ED737" s="58">
        <f t="array" ref="ED737">SUM(IF(EA737:EB737&gt;=EA737, 1))</f>
        <v>2</v>
      </c>
      <c r="EE737" s="58">
        <f t="array" ref="EE737">SUM(IF(EA737:EB737&gt;=EB737, 1))</f>
        <v>1</v>
      </c>
    </row>
    <row r="738" spans="4:135" ht="12" customHeight="1" x14ac:dyDescent="0.25">
      <c r="D738" s="11">
        <v>722</v>
      </c>
      <c r="E738" s="72">
        <v>244.40831187551416</v>
      </c>
      <c r="F738" s="72">
        <v>214.56585300718044</v>
      </c>
      <c r="G738" s="73"/>
      <c r="H738" s="74">
        <v>5.831016452901034</v>
      </c>
      <c r="I738" s="74">
        <v>5.8510182233034653</v>
      </c>
      <c r="J738" s="73"/>
      <c r="K738" s="72">
        <v>261.96454607505791</v>
      </c>
      <c r="L738" s="72">
        <v>231.42511551879494</v>
      </c>
      <c r="M738" s="73"/>
      <c r="N738" s="74">
        <v>6.6904952644918243</v>
      </c>
      <c r="O738" s="74">
        <v>6.7084002234925872</v>
      </c>
      <c r="P738" s="73"/>
      <c r="Q738" s="72">
        <v>2664.1748626903154</v>
      </c>
      <c r="R738" s="72">
        <v>1657.1773042062209</v>
      </c>
      <c r="S738" s="73"/>
      <c r="T738" s="74">
        <v>4.8379319754708368</v>
      </c>
      <c r="U738" s="74">
        <v>4.9242841213501727</v>
      </c>
      <c r="V738" s="73"/>
      <c r="W738" s="72">
        <v>10434.335908346549</v>
      </c>
      <c r="X738" s="72">
        <v>10471.440966655016</v>
      </c>
      <c r="Y738" s="73"/>
      <c r="Z738" s="74">
        <v>2.8081581119368049</v>
      </c>
      <c r="AA738" s="74">
        <v>2.8665521133096994</v>
      </c>
      <c r="AB738" s="73"/>
      <c r="AC738" s="72">
        <v>50818.390436988499</v>
      </c>
      <c r="AD738" s="72">
        <v>50558.68699148258</v>
      </c>
      <c r="AE738" s="73"/>
      <c r="AF738" s="74">
        <v>4.3103948898661493</v>
      </c>
      <c r="AG738" s="74">
        <v>4.440371378556752</v>
      </c>
      <c r="AH738" s="73"/>
      <c r="AI738" s="72">
        <v>3216977.1159630325</v>
      </c>
      <c r="AJ738" s="72">
        <v>0</v>
      </c>
      <c r="AK738" s="73"/>
      <c r="AL738" s="74">
        <v>-2156.1640730498252</v>
      </c>
      <c r="AM738" s="74">
        <v>0</v>
      </c>
      <c r="AN738" s="73"/>
      <c r="AO738" s="72">
        <v>211283.77821229582</v>
      </c>
      <c r="AP738" s="72">
        <v>0</v>
      </c>
      <c r="AQ738" s="73"/>
      <c r="AR738" s="74">
        <v>-123.8735404528239</v>
      </c>
      <c r="AS738" s="74">
        <v>0</v>
      </c>
      <c r="AT738" s="73"/>
      <c r="AU738" s="72">
        <v>23597360.462965086</v>
      </c>
      <c r="AV738" s="72">
        <v>0</v>
      </c>
      <c r="AW738" s="73"/>
      <c r="AX738" s="74">
        <v>-2023.5229925807416</v>
      </c>
      <c r="AY738" s="74">
        <v>0</v>
      </c>
      <c r="AZ738" s="73"/>
      <c r="BA738" s="72">
        <v>-335236.0344062334</v>
      </c>
      <c r="BB738" s="72">
        <v>0</v>
      </c>
      <c r="BC738" s="73"/>
      <c r="BD738" s="74">
        <v>-527.57694895992893</v>
      </c>
      <c r="BE738" s="74">
        <v>0</v>
      </c>
      <c r="BF738" s="73"/>
      <c r="BG738" s="72">
        <v>4143627.7635675818</v>
      </c>
      <c r="BH738" s="72">
        <v>0</v>
      </c>
      <c r="BI738" s="73"/>
      <c r="BJ738" s="74">
        <v>-2073.804550803065</v>
      </c>
      <c r="BK738" s="74">
        <v>0</v>
      </c>
      <c r="BL738" s="73"/>
      <c r="BM738" s="72">
        <v>30834013.086301763</v>
      </c>
      <c r="BN738" s="72">
        <v>0</v>
      </c>
      <c r="BO738" s="73"/>
      <c r="BP738" s="74">
        <v>-6904.9421058463849</v>
      </c>
      <c r="BQ738" s="74">
        <v>0</v>
      </c>
      <c r="BS738" s="109">
        <f t="shared" si="285"/>
        <v>116375.92074614517</v>
      </c>
      <c r="BT738" s="109">
        <f t="shared" si="286"/>
        <v>116805.79861306213</v>
      </c>
      <c r="BV738" s="58">
        <f t="array" ref="BV738">SUM(IF(BS738:BT738&gt;=BS738, 1))</f>
        <v>2</v>
      </c>
      <c r="BW738" s="58">
        <f t="array" ref="BW738">SUM(IF(BS738:BT738&gt;=BT738, 1))</f>
        <v>1</v>
      </c>
      <c r="BY738" s="109">
        <f t="shared" si="287"/>
        <v>133547.94074376143</v>
      </c>
      <c r="BZ738" s="109">
        <f t="shared" si="288"/>
        <v>133936.57935433293</v>
      </c>
      <c r="CB738" s="58">
        <f t="array" ref="CB738">SUM(IF(BY738:BZ738&gt;=BY738, 1))</f>
        <v>2</v>
      </c>
      <c r="CC738" s="58">
        <f t="array" ref="CC738">SUM(IF(BY738:BZ738&gt;=BZ738, 1))</f>
        <v>1</v>
      </c>
      <c r="CE738" s="109">
        <f t="shared" si="289"/>
        <v>94094.464646726425</v>
      </c>
      <c r="CF738" s="109">
        <f t="shared" si="290"/>
        <v>96828.505122797229</v>
      </c>
      <c r="CH738" s="58">
        <f t="array" ref="CH738">SUM(IF(CE738:CF738&gt;=CE738, 1))</f>
        <v>2</v>
      </c>
      <c r="CI738" s="58">
        <f t="array" ref="CI738">SUM(IF(CE738:CF738&gt;=CF738, 1))</f>
        <v>1</v>
      </c>
      <c r="CK738" s="109">
        <f t="shared" si="291"/>
        <v>45728.826330389551</v>
      </c>
      <c r="CL738" s="109">
        <f t="shared" si="292"/>
        <v>46859.601299538976</v>
      </c>
      <c r="CN738" s="58">
        <f t="array" ref="CN738">SUM(IF(CK738:CL738&gt;=CK738, 1))</f>
        <v>2</v>
      </c>
      <c r="CO738" s="58">
        <f t="array" ref="CO738">SUM(IF(CK738:CL738&gt;=CL738, 1))</f>
        <v>1</v>
      </c>
      <c r="CQ738" s="109" cm="1">
        <f t="array" ref="CQ738">AF738*WTP-AC738</f>
        <v>35389.507360334494</v>
      </c>
      <c r="CR738" s="109">
        <f t="shared" si="293"/>
        <v>38248.740579652454</v>
      </c>
      <c r="CT738" s="58">
        <f t="array" ref="CT738">SUM(IF(CQ738:CR738&gt;=CQ738, 1))</f>
        <v>2</v>
      </c>
      <c r="CU738" s="58">
        <f t="array" ref="CU738">SUM(IF(CQ738:CR738&gt;=CR738, 1))</f>
        <v>1</v>
      </c>
      <c r="CW738" s="109">
        <f t="shared" si="294"/>
        <v>-46340258.576959535</v>
      </c>
      <c r="CX738" s="109">
        <f t="shared" si="295"/>
        <v>0</v>
      </c>
      <c r="CZ738" s="58">
        <f t="array" ref="CZ738">SUM(IF(CW738:CX738&gt;=CW738, 1))</f>
        <v>2</v>
      </c>
      <c r="DA738" s="58">
        <f t="array" ref="DA738">SUM(IF(CW738:CX738&gt;=CX738, 1))</f>
        <v>1</v>
      </c>
      <c r="DC738" s="109">
        <f t="shared" si="296"/>
        <v>-2688754.5872687739</v>
      </c>
      <c r="DD738" s="109">
        <f t="shared" si="297"/>
        <v>0</v>
      </c>
      <c r="DF738" s="58">
        <f t="array" ref="DF738">SUM(IF(DC738:DD738&gt;=DC738, 1))</f>
        <v>2</v>
      </c>
      <c r="DG738" s="58">
        <f t="array" ref="DG738">SUM(IF(DC738:DD738&gt;=DD738, 1))</f>
        <v>1</v>
      </c>
      <c r="DI738" s="109">
        <f t="shared" si="298"/>
        <v>-64067820.314579919</v>
      </c>
      <c r="DJ738" s="109">
        <f t="shared" si="299"/>
        <v>0</v>
      </c>
      <c r="DL738" s="58">
        <f t="array" ref="DL738">SUM(IF(DI738:DJ738&gt;=DI738, 1))</f>
        <v>2</v>
      </c>
      <c r="DM738" s="58">
        <f t="array" ref="DM738">SUM(IF(DI738:DJ738&gt;=DJ738, 1))</f>
        <v>1</v>
      </c>
      <c r="DO738" s="109">
        <f t="shared" si="300"/>
        <v>-10216302.944792345</v>
      </c>
      <c r="DP738" s="109">
        <f t="shared" si="301"/>
        <v>0</v>
      </c>
      <c r="DR738" s="58">
        <f t="array" ref="DR738">SUM(IF(DO738:DP738&gt;=DO738, 1))</f>
        <v>2</v>
      </c>
      <c r="DS738" s="58">
        <f t="array" ref="DS738">SUM(IF(DO738:DP738&gt;=DP738, 1))</f>
        <v>1</v>
      </c>
      <c r="DU738" s="109">
        <f t="shared" si="302"/>
        <v>-45619718.77962888</v>
      </c>
      <c r="DV738" s="109">
        <f t="shared" si="303"/>
        <v>0</v>
      </c>
      <c r="DX738" s="58">
        <f t="array" ref="DX738">SUM(IF(DU738:DV738&gt;=DU738, 1))</f>
        <v>2</v>
      </c>
      <c r="DY738" s="58">
        <f t="array" ref="DY738">SUM(IF(DU738:DV738&gt;=DV738, 1))</f>
        <v>1</v>
      </c>
      <c r="EA738" s="109">
        <f t="shared" si="304"/>
        <v>-168932855.20322949</v>
      </c>
      <c r="EB738" s="109">
        <f t="shared" si="305"/>
        <v>0</v>
      </c>
      <c r="ED738" s="58">
        <f t="array" ref="ED738">SUM(IF(EA738:EB738&gt;=EA738, 1))</f>
        <v>2</v>
      </c>
      <c r="EE738" s="58">
        <f t="array" ref="EE738">SUM(IF(EA738:EB738&gt;=EB738, 1))</f>
        <v>1</v>
      </c>
    </row>
    <row r="739" spans="4:135" ht="12" customHeight="1" x14ac:dyDescent="0.25">
      <c r="D739" s="11">
        <v>723</v>
      </c>
      <c r="E739" s="72">
        <v>244.43636753885195</v>
      </c>
      <c r="F739" s="72">
        <v>238.55807561875065</v>
      </c>
      <c r="G739" s="73"/>
      <c r="H739" s="74">
        <v>5.8621714705872536</v>
      </c>
      <c r="I739" s="74">
        <v>5.8794659411808832</v>
      </c>
      <c r="J739" s="73"/>
      <c r="K739" s="72">
        <v>263.41419761334379</v>
      </c>
      <c r="L739" s="72">
        <v>257.35086750572816</v>
      </c>
      <c r="M739" s="73"/>
      <c r="N739" s="74">
        <v>6.6462722879702225</v>
      </c>
      <c r="O739" s="74">
        <v>6.6612396659045068</v>
      </c>
      <c r="P739" s="73"/>
      <c r="Q739" s="72">
        <v>2095.4906722669489</v>
      </c>
      <c r="R739" s="72">
        <v>1145.3298411863336</v>
      </c>
      <c r="S739" s="73"/>
      <c r="T739" s="74">
        <v>4.835625457216592</v>
      </c>
      <c r="U739" s="74">
        <v>4.9648271996884041</v>
      </c>
      <c r="V739" s="73"/>
      <c r="W739" s="72">
        <v>8867.949830964084</v>
      </c>
      <c r="X739" s="72">
        <v>8845.7338425427079</v>
      </c>
      <c r="Y739" s="73"/>
      <c r="Z739" s="74">
        <v>3.0139332741456992</v>
      </c>
      <c r="AA739" s="74">
        <v>3.0530600224886149</v>
      </c>
      <c r="AB739" s="73"/>
      <c r="AC739" s="72">
        <v>51971.989164019942</v>
      </c>
      <c r="AD739" s="72">
        <v>51685.278379946947</v>
      </c>
      <c r="AE739" s="73"/>
      <c r="AF739" s="74">
        <v>4.8617719393329883</v>
      </c>
      <c r="AG739" s="74">
        <v>4.9712413478311195</v>
      </c>
      <c r="AH739" s="73"/>
      <c r="AI739" s="72">
        <v>631745.58321689197</v>
      </c>
      <c r="AJ739" s="72">
        <v>0</v>
      </c>
      <c r="AK739" s="73"/>
      <c r="AL739" s="74">
        <v>-1858.6530849613866</v>
      </c>
      <c r="AM739" s="74">
        <v>0</v>
      </c>
      <c r="AN739" s="73"/>
      <c r="AO739" s="72">
        <v>40762.317254947717</v>
      </c>
      <c r="AP739" s="72">
        <v>0</v>
      </c>
      <c r="AQ739" s="73"/>
      <c r="AR739" s="74">
        <v>-100.62209990277435</v>
      </c>
      <c r="AS739" s="74">
        <v>0</v>
      </c>
      <c r="AT739" s="73"/>
      <c r="AU739" s="72">
        <v>22288305.211393919</v>
      </c>
      <c r="AV739" s="72">
        <v>0</v>
      </c>
      <c r="AW739" s="73"/>
      <c r="AX739" s="74">
        <v>-3030.7372982115094</v>
      </c>
      <c r="AY739" s="74">
        <v>0</v>
      </c>
      <c r="AZ739" s="73"/>
      <c r="BA739" s="72">
        <v>198114.17400902597</v>
      </c>
      <c r="BB739" s="72">
        <v>0</v>
      </c>
      <c r="BC739" s="73"/>
      <c r="BD739" s="74">
        <v>-348.91823323770041</v>
      </c>
      <c r="BE739" s="74">
        <v>0</v>
      </c>
      <c r="BF739" s="73"/>
      <c r="BG739" s="72">
        <v>4492534.7057405589</v>
      </c>
      <c r="BH739" s="72">
        <v>0</v>
      </c>
      <c r="BI739" s="73"/>
      <c r="BJ739" s="74">
        <v>-1715.3003800845393</v>
      </c>
      <c r="BK739" s="74">
        <v>0</v>
      </c>
      <c r="BL739" s="73"/>
      <c r="BM739" s="72">
        <v>27651461.991615344</v>
      </c>
      <c r="BN739" s="72">
        <v>0</v>
      </c>
      <c r="BO739" s="73"/>
      <c r="BP739" s="74">
        <v>-7054.2310963979098</v>
      </c>
      <c r="BQ739" s="74">
        <v>0</v>
      </c>
      <c r="BS739" s="109">
        <f t="shared" si="285"/>
        <v>116998.99304420623</v>
      </c>
      <c r="BT739" s="109">
        <f t="shared" si="286"/>
        <v>117350.76074799891</v>
      </c>
      <c r="BV739" s="58">
        <f t="array" ref="BV739">SUM(IF(BS739:BT739&gt;=BS739, 1))</f>
        <v>2</v>
      </c>
      <c r="BW739" s="58">
        <f t="array" ref="BW739">SUM(IF(BS739:BT739&gt;=BT739, 1))</f>
        <v>1</v>
      </c>
      <c r="BY739" s="109">
        <f t="shared" si="287"/>
        <v>132662.03156179111</v>
      </c>
      <c r="BZ739" s="109">
        <f t="shared" si="288"/>
        <v>132967.44245058441</v>
      </c>
      <c r="CB739" s="58">
        <f t="array" ref="CB739">SUM(IF(BY739:BZ739&gt;=BY739, 1))</f>
        <v>2</v>
      </c>
      <c r="CC739" s="58">
        <f t="array" ref="CC739">SUM(IF(BY739:BZ739&gt;=BZ739, 1))</f>
        <v>1</v>
      </c>
      <c r="CE739" s="109">
        <f t="shared" si="289"/>
        <v>94617.018472064883</v>
      </c>
      <c r="CF739" s="109">
        <f t="shared" si="290"/>
        <v>98151.214152581742</v>
      </c>
      <c r="CH739" s="58">
        <f t="array" ref="CH739">SUM(IF(CE739:CF739&gt;=CE739, 1))</f>
        <v>2</v>
      </c>
      <c r="CI739" s="58">
        <f t="array" ref="CI739">SUM(IF(CE739:CF739&gt;=CF739, 1))</f>
        <v>1</v>
      </c>
      <c r="CK739" s="109">
        <f t="shared" si="291"/>
        <v>51410.715651949904</v>
      </c>
      <c r="CL739" s="109">
        <f t="shared" si="292"/>
        <v>52215.466607229588</v>
      </c>
      <c r="CN739" s="58">
        <f t="array" ref="CN739">SUM(IF(CK739:CL739&gt;=CK739, 1))</f>
        <v>2</v>
      </c>
      <c r="CO739" s="58">
        <f t="array" ref="CO739">SUM(IF(CK739:CL739&gt;=CL739, 1))</f>
        <v>1</v>
      </c>
      <c r="CQ739" s="109" cm="1">
        <f t="array" ref="CQ739">AF739*WTP-AC739</f>
        <v>45263.449622639826</v>
      </c>
      <c r="CR739" s="109">
        <f t="shared" si="293"/>
        <v>47739.548576675443</v>
      </c>
      <c r="CT739" s="58">
        <f t="array" ref="CT739">SUM(IF(CQ739:CR739&gt;=CQ739, 1))</f>
        <v>2</v>
      </c>
      <c r="CU739" s="58">
        <f t="array" ref="CU739">SUM(IF(CQ739:CR739&gt;=CR739, 1))</f>
        <v>1</v>
      </c>
      <c r="CW739" s="109">
        <f t="shared" si="294"/>
        <v>-37804807.282444626</v>
      </c>
      <c r="CX739" s="109">
        <f t="shared" si="295"/>
        <v>0</v>
      </c>
      <c r="CZ739" s="58">
        <f t="array" ref="CZ739">SUM(IF(CW739:CX739&gt;=CW739, 1))</f>
        <v>2</v>
      </c>
      <c r="DA739" s="58">
        <f t="array" ref="DA739">SUM(IF(CW739:CX739&gt;=CX739, 1))</f>
        <v>1</v>
      </c>
      <c r="DC739" s="109">
        <f t="shared" si="296"/>
        <v>-2053204.3153104347</v>
      </c>
      <c r="DD739" s="109">
        <f t="shared" si="297"/>
        <v>0</v>
      </c>
      <c r="DF739" s="58">
        <f t="array" ref="DF739">SUM(IF(DC739:DD739&gt;=DC739, 1))</f>
        <v>2</v>
      </c>
      <c r="DG739" s="58">
        <f t="array" ref="DG739">SUM(IF(DC739:DD739&gt;=DD739, 1))</f>
        <v>1</v>
      </c>
      <c r="DI739" s="109">
        <f t="shared" si="298"/>
        <v>-82903051.175624102</v>
      </c>
      <c r="DJ739" s="109">
        <f t="shared" si="299"/>
        <v>0</v>
      </c>
      <c r="DL739" s="58">
        <f t="array" ref="DL739">SUM(IF(DI739:DJ739&gt;=DI739, 1))</f>
        <v>2</v>
      </c>
      <c r="DM739" s="58">
        <f t="array" ref="DM739">SUM(IF(DI739:DJ739&gt;=DJ739, 1))</f>
        <v>1</v>
      </c>
      <c r="DO739" s="109">
        <f t="shared" si="300"/>
        <v>-7176478.838763034</v>
      </c>
      <c r="DP739" s="109">
        <f t="shared" si="301"/>
        <v>0</v>
      </c>
      <c r="DR739" s="58">
        <f t="array" ref="DR739">SUM(IF(DO739:DP739&gt;=DO739, 1))</f>
        <v>2</v>
      </c>
      <c r="DS739" s="58">
        <f t="array" ref="DS739">SUM(IF(DO739:DP739&gt;=DP739, 1))</f>
        <v>1</v>
      </c>
      <c r="DU739" s="109">
        <f t="shared" si="302"/>
        <v>-38798542.30743134</v>
      </c>
      <c r="DV739" s="109">
        <f t="shared" si="303"/>
        <v>0</v>
      </c>
      <c r="DX739" s="58">
        <f t="array" ref="DX739">SUM(IF(DU739:DV739&gt;=DU739, 1))</f>
        <v>2</v>
      </c>
      <c r="DY739" s="58">
        <f t="array" ref="DY739">SUM(IF(DU739:DV739&gt;=DV739, 1))</f>
        <v>1</v>
      </c>
      <c r="EA739" s="109">
        <f t="shared" si="304"/>
        <v>-168736083.91957355</v>
      </c>
      <c r="EB739" s="109">
        <f t="shared" si="305"/>
        <v>0</v>
      </c>
      <c r="ED739" s="58">
        <f t="array" ref="ED739">SUM(IF(EA739:EB739&gt;=EA739, 1))</f>
        <v>2</v>
      </c>
      <c r="EE739" s="58">
        <f t="array" ref="EE739">SUM(IF(EA739:EB739&gt;=EB739, 1))</f>
        <v>1</v>
      </c>
    </row>
    <row r="740" spans="4:135" ht="12" customHeight="1" x14ac:dyDescent="0.25">
      <c r="D740" s="11">
        <v>724</v>
      </c>
      <c r="E740" s="72">
        <v>263.62548461437581</v>
      </c>
      <c r="F740" s="72">
        <v>241.57145873663848</v>
      </c>
      <c r="G740" s="73"/>
      <c r="H740" s="74">
        <v>5.8206279784886714</v>
      </c>
      <c r="I740" s="74">
        <v>5.8357095726258148</v>
      </c>
      <c r="J740" s="73"/>
      <c r="K740" s="72">
        <v>283.05073343452801</v>
      </c>
      <c r="L740" s="72">
        <v>260.46527501288756</v>
      </c>
      <c r="M740" s="73"/>
      <c r="N740" s="74">
        <v>6.7030102385891599</v>
      </c>
      <c r="O740" s="74">
        <v>6.7158785160139054</v>
      </c>
      <c r="P740" s="73"/>
      <c r="Q740" s="72">
        <v>2469.8005695474299</v>
      </c>
      <c r="R740" s="72">
        <v>1377.7375244137061</v>
      </c>
      <c r="S740" s="73"/>
      <c r="T740" s="74">
        <v>4.6986993867020761</v>
      </c>
      <c r="U740" s="74">
        <v>4.7993742639900123</v>
      </c>
      <c r="V740" s="73"/>
      <c r="W740" s="72">
        <v>12569.227375275355</v>
      </c>
      <c r="X740" s="72">
        <v>12588.066664477703</v>
      </c>
      <c r="Y740" s="73"/>
      <c r="Z740" s="74">
        <v>3.0452665777309864</v>
      </c>
      <c r="AA740" s="74">
        <v>3.0912555816744747</v>
      </c>
      <c r="AB740" s="73"/>
      <c r="AC740" s="72">
        <v>49836.301261047163</v>
      </c>
      <c r="AD740" s="72">
        <v>49541.439217361229</v>
      </c>
      <c r="AE740" s="73"/>
      <c r="AF740" s="74">
        <v>4.6546047825896011</v>
      </c>
      <c r="AG740" s="74">
        <v>4.8283575679792516</v>
      </c>
      <c r="AH740" s="73"/>
      <c r="AI740" s="72">
        <v>2373038.5522310748</v>
      </c>
      <c r="AJ740" s="72">
        <v>0</v>
      </c>
      <c r="AK740" s="73"/>
      <c r="AL740" s="74">
        <v>-1622.7968768582607</v>
      </c>
      <c r="AM740" s="74">
        <v>0</v>
      </c>
      <c r="AN740" s="73"/>
      <c r="AO740" s="72">
        <v>156116.76190750842</v>
      </c>
      <c r="AP740" s="72">
        <v>0</v>
      </c>
      <c r="AQ740" s="73"/>
      <c r="AR740" s="74">
        <v>-88.948993878019422</v>
      </c>
      <c r="AS740" s="74">
        <v>0</v>
      </c>
      <c r="AT740" s="73"/>
      <c r="AU740" s="72">
        <v>25384253.066576362</v>
      </c>
      <c r="AV740" s="72">
        <v>0</v>
      </c>
      <c r="AW740" s="73"/>
      <c r="AX740" s="74">
        <v>-2340.1181588472891</v>
      </c>
      <c r="AY740" s="74">
        <v>0</v>
      </c>
      <c r="AZ740" s="73"/>
      <c r="BA740" s="72">
        <v>-168469.54247871571</v>
      </c>
      <c r="BB740" s="72">
        <v>0</v>
      </c>
      <c r="BC740" s="73"/>
      <c r="BD740" s="74">
        <v>-411.25471190525963</v>
      </c>
      <c r="BE740" s="74">
        <v>0</v>
      </c>
      <c r="BF740" s="73"/>
      <c r="BG740" s="72">
        <v>4765918.4457631567</v>
      </c>
      <c r="BH740" s="72">
        <v>0</v>
      </c>
      <c r="BI740" s="73"/>
      <c r="BJ740" s="74">
        <v>-2808.4035318336364</v>
      </c>
      <c r="BK740" s="74">
        <v>0</v>
      </c>
      <c r="BL740" s="73"/>
      <c r="BM740" s="72">
        <v>32510857.283999387</v>
      </c>
      <c r="BN740" s="72">
        <v>0</v>
      </c>
      <c r="BO740" s="73"/>
      <c r="BP740" s="74">
        <v>-7271.5222733224655</v>
      </c>
      <c r="BQ740" s="74">
        <v>0</v>
      </c>
      <c r="BS740" s="109">
        <f t="shared" si="285"/>
        <v>116148.93408515905</v>
      </c>
      <c r="BT740" s="109">
        <f t="shared" si="286"/>
        <v>116472.61999377966</v>
      </c>
      <c r="BV740" s="58">
        <f t="array" ref="BV740">SUM(IF(BS740:BT740&gt;=BS740, 1))</f>
        <v>2</v>
      </c>
      <c r="BW740" s="58">
        <f t="array" ref="BW740">SUM(IF(BS740:BT740&gt;=BT740, 1))</f>
        <v>1</v>
      </c>
      <c r="BY740" s="109">
        <f t="shared" si="287"/>
        <v>133777.15403834867</v>
      </c>
      <c r="BZ740" s="109">
        <f t="shared" si="288"/>
        <v>134057.10504526523</v>
      </c>
      <c r="CB740" s="58">
        <f t="array" ref="CB740">SUM(IF(BY740:BZ740&gt;=BY740, 1))</f>
        <v>2</v>
      </c>
      <c r="CC740" s="58">
        <f t="array" ref="CC740">SUM(IF(BY740:BZ740&gt;=BZ740, 1))</f>
        <v>1</v>
      </c>
      <c r="CE740" s="109">
        <f t="shared" si="289"/>
        <v>91504.187164494098</v>
      </c>
      <c r="CF740" s="109">
        <f t="shared" si="290"/>
        <v>94609.747755386532</v>
      </c>
      <c r="CH740" s="58">
        <f t="array" ref="CH740">SUM(IF(CE740:CF740&gt;=CE740, 1))</f>
        <v>2</v>
      </c>
      <c r="CI740" s="58">
        <f t="array" ref="CI740">SUM(IF(CE740:CF740&gt;=CF740, 1))</f>
        <v>1</v>
      </c>
      <c r="CK740" s="109">
        <f t="shared" si="291"/>
        <v>48336.104179344373</v>
      </c>
      <c r="CL740" s="109">
        <f t="shared" si="292"/>
        <v>49237.044969011789</v>
      </c>
      <c r="CN740" s="58">
        <f t="array" ref="CN740">SUM(IF(CK740:CL740&gt;=CK740, 1))</f>
        <v>2</v>
      </c>
      <c r="CO740" s="58">
        <f t="array" ref="CO740">SUM(IF(CK740:CL740&gt;=CL740, 1))</f>
        <v>1</v>
      </c>
      <c r="CQ740" s="109" cm="1">
        <f t="array" ref="CQ740">AF740*WTP-AC740</f>
        <v>43255.794390744864</v>
      </c>
      <c r="CR740" s="109">
        <f t="shared" si="293"/>
        <v>47025.712142223798</v>
      </c>
      <c r="CT740" s="58">
        <f t="array" ref="CT740">SUM(IF(CQ740:CR740&gt;=CQ740, 1))</f>
        <v>2</v>
      </c>
      <c r="CU740" s="58">
        <f t="array" ref="CU740">SUM(IF(CQ740:CR740&gt;=CR740, 1))</f>
        <v>1</v>
      </c>
      <c r="CW740" s="109">
        <f t="shared" si="294"/>
        <v>-34828976.08939629</v>
      </c>
      <c r="CX740" s="109">
        <f t="shared" si="295"/>
        <v>0</v>
      </c>
      <c r="CZ740" s="58">
        <f t="array" ref="CZ740">SUM(IF(CW740:CX740&gt;=CW740, 1))</f>
        <v>2</v>
      </c>
      <c r="DA740" s="58">
        <f t="array" ref="DA740">SUM(IF(CW740:CX740&gt;=CX740, 1))</f>
        <v>1</v>
      </c>
      <c r="DC740" s="109">
        <f t="shared" si="296"/>
        <v>-1935096.6394678969</v>
      </c>
      <c r="DD740" s="109">
        <f t="shared" si="297"/>
        <v>0</v>
      </c>
      <c r="DF740" s="58">
        <f t="array" ref="DF740">SUM(IF(DC740:DD740&gt;=DC740, 1))</f>
        <v>2</v>
      </c>
      <c r="DG740" s="58">
        <f t="array" ref="DG740">SUM(IF(DC740:DD740&gt;=DD740, 1))</f>
        <v>1</v>
      </c>
      <c r="DI740" s="109">
        <f t="shared" si="298"/>
        <v>-72186616.243522137</v>
      </c>
      <c r="DJ740" s="109">
        <f t="shared" si="299"/>
        <v>0</v>
      </c>
      <c r="DL740" s="58">
        <f t="array" ref="DL740">SUM(IF(DI740:DJ740&gt;=DI740, 1))</f>
        <v>2</v>
      </c>
      <c r="DM740" s="58">
        <f t="array" ref="DM740">SUM(IF(DI740:DJ740&gt;=DJ740, 1))</f>
        <v>1</v>
      </c>
      <c r="DO740" s="109">
        <f t="shared" si="300"/>
        <v>-8056624.6956264768</v>
      </c>
      <c r="DP740" s="109">
        <f t="shared" si="301"/>
        <v>0</v>
      </c>
      <c r="DR740" s="58">
        <f t="array" ref="DR740">SUM(IF(DO740:DP740&gt;=DO740, 1))</f>
        <v>2</v>
      </c>
      <c r="DS740" s="58">
        <f t="array" ref="DS740">SUM(IF(DO740:DP740&gt;=DP740, 1))</f>
        <v>1</v>
      </c>
      <c r="DU740" s="109">
        <f t="shared" si="302"/>
        <v>-60933989.082435884</v>
      </c>
      <c r="DV740" s="109">
        <f t="shared" si="303"/>
        <v>0</v>
      </c>
      <c r="DX740" s="58">
        <f t="array" ref="DX740">SUM(IF(DU740:DV740&gt;=DU740, 1))</f>
        <v>2</v>
      </c>
      <c r="DY740" s="58">
        <f t="array" ref="DY740">SUM(IF(DU740:DV740&gt;=DV740, 1))</f>
        <v>1</v>
      </c>
      <c r="EA740" s="109">
        <f t="shared" si="304"/>
        <v>-177941302.7504487</v>
      </c>
      <c r="EB740" s="109">
        <f t="shared" si="305"/>
        <v>0</v>
      </c>
      <c r="ED740" s="58">
        <f t="array" ref="ED740">SUM(IF(EA740:EB740&gt;=EA740, 1))</f>
        <v>2</v>
      </c>
      <c r="EE740" s="58">
        <f t="array" ref="EE740">SUM(IF(EA740:EB740&gt;=EB740, 1))</f>
        <v>1</v>
      </c>
    </row>
    <row r="741" spans="4:135" ht="12" customHeight="1" x14ac:dyDescent="0.25">
      <c r="D741" s="11">
        <v>725</v>
      </c>
      <c r="E741" s="72">
        <v>257.66401162639676</v>
      </c>
      <c r="F741" s="72">
        <v>221.83072985091056</v>
      </c>
      <c r="G741" s="73"/>
      <c r="H741" s="74">
        <v>5.8706103855008971</v>
      </c>
      <c r="I741" s="74">
        <v>5.8948997896344846</v>
      </c>
      <c r="J741" s="73"/>
      <c r="K741" s="72">
        <v>275.90931792785528</v>
      </c>
      <c r="L741" s="72">
        <v>239.24670006866037</v>
      </c>
      <c r="M741" s="73"/>
      <c r="N741" s="74">
        <v>6.6949982957411001</v>
      </c>
      <c r="O741" s="74">
        <v>6.7174164475490326</v>
      </c>
      <c r="P741" s="73"/>
      <c r="Q741" s="72">
        <v>1314.579868809948</v>
      </c>
      <c r="R741" s="72">
        <v>988.77037673215216</v>
      </c>
      <c r="S741" s="73"/>
      <c r="T741" s="74">
        <v>4.8475484941443021</v>
      </c>
      <c r="U741" s="74">
        <v>4.8984814080909773</v>
      </c>
      <c r="V741" s="73"/>
      <c r="W741" s="72">
        <v>17005.245070413544</v>
      </c>
      <c r="X741" s="72">
        <v>16929.61251093285</v>
      </c>
      <c r="Y741" s="73"/>
      <c r="Z741" s="74">
        <v>2.9703460522196581</v>
      </c>
      <c r="AA741" s="74">
        <v>3.0136559049355123</v>
      </c>
      <c r="AB741" s="73"/>
      <c r="AC741" s="72">
        <v>49478.963438061852</v>
      </c>
      <c r="AD741" s="72">
        <v>49075.404066595467</v>
      </c>
      <c r="AE741" s="73"/>
      <c r="AF741" s="74">
        <v>4.4645911581308395</v>
      </c>
      <c r="AG741" s="74">
        <v>4.5780855341175863</v>
      </c>
      <c r="AH741" s="73"/>
      <c r="AI741" s="72">
        <v>3882586.9454605104</v>
      </c>
      <c r="AJ741" s="72">
        <v>0</v>
      </c>
      <c r="AK741" s="73"/>
      <c r="AL741" s="74">
        <v>-2631.7914165092338</v>
      </c>
      <c r="AM741" s="74">
        <v>0</v>
      </c>
      <c r="AN741" s="73"/>
      <c r="AO741" s="72">
        <v>248792.83108754992</v>
      </c>
      <c r="AP741" s="72">
        <v>0</v>
      </c>
      <c r="AQ741" s="73"/>
      <c r="AR741" s="74">
        <v>-152.12976545937462</v>
      </c>
      <c r="AS741" s="74">
        <v>0</v>
      </c>
      <c r="AT741" s="73"/>
      <c r="AU741" s="72">
        <v>7671932.9087315099</v>
      </c>
      <c r="AV741" s="72">
        <v>0</v>
      </c>
      <c r="AW741" s="73"/>
      <c r="AX741" s="74">
        <v>-1199.332456992335</v>
      </c>
      <c r="AY741" s="74">
        <v>0</v>
      </c>
      <c r="AZ741" s="73"/>
      <c r="BA741" s="72">
        <v>688514.37587901368</v>
      </c>
      <c r="BB741" s="72">
        <v>0</v>
      </c>
      <c r="BC741" s="73"/>
      <c r="BD741" s="74">
        <v>-394.26744799876468</v>
      </c>
      <c r="BE741" s="74">
        <v>0</v>
      </c>
      <c r="BF741" s="73"/>
      <c r="BG741" s="72">
        <v>6338508.9547755569</v>
      </c>
      <c r="BH741" s="72">
        <v>0</v>
      </c>
      <c r="BI741" s="73"/>
      <c r="BJ741" s="74">
        <v>-1782.6004532980633</v>
      </c>
      <c r="BK741" s="74">
        <v>0</v>
      </c>
      <c r="BL741" s="73"/>
      <c r="BM741" s="72">
        <v>18830336.015934139</v>
      </c>
      <c r="BN741" s="72">
        <v>0</v>
      </c>
      <c r="BO741" s="73"/>
      <c r="BP741" s="74">
        <v>-6160.1215402577709</v>
      </c>
      <c r="BQ741" s="74">
        <v>0</v>
      </c>
      <c r="BS741" s="109">
        <f t="shared" si="285"/>
        <v>117154.54369839154</v>
      </c>
      <c r="BT741" s="109">
        <f t="shared" si="286"/>
        <v>117676.16506283877</v>
      </c>
      <c r="BV741" s="58">
        <f t="array" ref="BV741">SUM(IF(BS741:BT741&gt;=BS741, 1))</f>
        <v>2</v>
      </c>
      <c r="BW741" s="58">
        <f t="array" ref="BW741">SUM(IF(BS741:BT741&gt;=BT741, 1))</f>
        <v>1</v>
      </c>
      <c r="BY741" s="109">
        <f t="shared" si="287"/>
        <v>133624.05659689417</v>
      </c>
      <c r="BZ741" s="109">
        <f t="shared" si="288"/>
        <v>134109.08225091198</v>
      </c>
      <c r="CB741" s="58">
        <f t="array" ref="CB741">SUM(IF(BY741:BZ741&gt;=BY741, 1))</f>
        <v>2</v>
      </c>
      <c r="CC741" s="58">
        <f t="array" ref="CC741">SUM(IF(BY741:BZ741&gt;=BZ741, 1))</f>
        <v>1</v>
      </c>
      <c r="CE741" s="109">
        <f t="shared" si="289"/>
        <v>95636.390014076096</v>
      </c>
      <c r="CF741" s="109">
        <f t="shared" si="290"/>
        <v>96980.857785087399</v>
      </c>
      <c r="CH741" s="58">
        <f t="array" ref="CH741">SUM(IF(CE741:CF741&gt;=CE741, 1))</f>
        <v>2</v>
      </c>
      <c r="CI741" s="58">
        <f t="array" ref="CI741">SUM(IF(CE741:CF741&gt;=CF741, 1))</f>
        <v>1</v>
      </c>
      <c r="CK741" s="109">
        <f t="shared" si="291"/>
        <v>42401.675973979611</v>
      </c>
      <c r="CL741" s="109">
        <f t="shared" si="292"/>
        <v>43343.505587777399</v>
      </c>
      <c r="CN741" s="58">
        <f t="array" ref="CN741">SUM(IF(CK741:CL741&gt;=CK741, 1))</f>
        <v>2</v>
      </c>
      <c r="CO741" s="58">
        <f t="array" ref="CO741">SUM(IF(CK741:CL741&gt;=CL741, 1))</f>
        <v>1</v>
      </c>
      <c r="CQ741" s="109" cm="1">
        <f t="array" ref="CQ741">AF741*WTP-AC741</f>
        <v>39812.859724554932</v>
      </c>
      <c r="CR741" s="109">
        <f t="shared" si="293"/>
        <v>42486.306615756257</v>
      </c>
      <c r="CT741" s="58">
        <f t="array" ref="CT741">SUM(IF(CQ741:CR741&gt;=CQ741, 1))</f>
        <v>2</v>
      </c>
      <c r="CU741" s="58">
        <f t="array" ref="CU741">SUM(IF(CQ741:CR741&gt;=CR741, 1))</f>
        <v>1</v>
      </c>
      <c r="CW741" s="109">
        <f t="shared" si="294"/>
        <v>-56518415.275645189</v>
      </c>
      <c r="CX741" s="109">
        <f t="shared" si="295"/>
        <v>0</v>
      </c>
      <c r="CZ741" s="58">
        <f t="array" ref="CZ741">SUM(IF(CW741:CX741&gt;=CW741, 1))</f>
        <v>2</v>
      </c>
      <c r="DA741" s="58">
        <f t="array" ref="DA741">SUM(IF(CW741:CX741&gt;=CX741, 1))</f>
        <v>1</v>
      </c>
      <c r="DC741" s="109">
        <f t="shared" si="296"/>
        <v>-3291388.1402750425</v>
      </c>
      <c r="DD741" s="109">
        <f t="shared" si="297"/>
        <v>0</v>
      </c>
      <c r="DF741" s="58">
        <f t="array" ref="DF741">SUM(IF(DC741:DD741&gt;=DC741, 1))</f>
        <v>2</v>
      </c>
      <c r="DG741" s="58">
        <f t="array" ref="DG741">SUM(IF(DC741:DD741&gt;=DD741, 1))</f>
        <v>1</v>
      </c>
      <c r="DI741" s="109">
        <f t="shared" si="298"/>
        <v>-31658582.04857821</v>
      </c>
      <c r="DJ741" s="109">
        <f t="shared" si="299"/>
        <v>0</v>
      </c>
      <c r="DL741" s="58">
        <f t="array" ref="DL741">SUM(IF(DI741:DJ741&gt;=DI741, 1))</f>
        <v>2</v>
      </c>
      <c r="DM741" s="58">
        <f t="array" ref="DM741">SUM(IF(DI741:DJ741&gt;=DJ741, 1))</f>
        <v>1</v>
      </c>
      <c r="DO741" s="109">
        <f t="shared" si="300"/>
        <v>-8573863.3358543068</v>
      </c>
      <c r="DP741" s="109">
        <f t="shared" si="301"/>
        <v>0</v>
      </c>
      <c r="DR741" s="58">
        <f t="array" ref="DR741">SUM(IF(DO741:DP741&gt;=DO741, 1))</f>
        <v>2</v>
      </c>
      <c r="DS741" s="58">
        <f t="array" ref="DS741">SUM(IF(DO741:DP741&gt;=DP741, 1))</f>
        <v>1</v>
      </c>
      <c r="DU741" s="109">
        <f t="shared" si="302"/>
        <v>-41990518.020736821</v>
      </c>
      <c r="DV741" s="109">
        <f t="shared" si="303"/>
        <v>0</v>
      </c>
      <c r="DX741" s="58">
        <f t="array" ref="DX741">SUM(IF(DU741:DV741&gt;=DU741, 1))</f>
        <v>2</v>
      </c>
      <c r="DY741" s="58">
        <f t="array" ref="DY741">SUM(IF(DU741:DV741&gt;=DV741, 1))</f>
        <v>1</v>
      </c>
      <c r="EA741" s="109">
        <f t="shared" si="304"/>
        <v>-142032766.82108957</v>
      </c>
      <c r="EB741" s="109">
        <f t="shared" si="305"/>
        <v>0</v>
      </c>
      <c r="ED741" s="58">
        <f t="array" ref="ED741">SUM(IF(EA741:EB741&gt;=EA741, 1))</f>
        <v>2</v>
      </c>
      <c r="EE741" s="58">
        <f t="array" ref="EE741">SUM(IF(EA741:EB741&gt;=EB741, 1))</f>
        <v>1</v>
      </c>
    </row>
    <row r="742" spans="4:135" ht="12" customHeight="1" x14ac:dyDescent="0.25">
      <c r="D742" s="11">
        <v>726</v>
      </c>
      <c r="E742" s="72">
        <v>241.9700650678881</v>
      </c>
      <c r="F742" s="72">
        <v>228.99899586667652</v>
      </c>
      <c r="G742" s="73"/>
      <c r="H742" s="74">
        <v>5.8576858992105816</v>
      </c>
      <c r="I742" s="74">
        <v>5.8712596416545209</v>
      </c>
      <c r="J742" s="73"/>
      <c r="K742" s="72">
        <v>260.22658228242699</v>
      </c>
      <c r="L742" s="72">
        <v>246.92359083908855</v>
      </c>
      <c r="M742" s="73"/>
      <c r="N742" s="74">
        <v>6.6937885685609686</v>
      </c>
      <c r="O742" s="74">
        <v>6.7053953098126913</v>
      </c>
      <c r="P742" s="73"/>
      <c r="Q742" s="72">
        <v>2390.8376279359259</v>
      </c>
      <c r="R742" s="72">
        <v>1403.9108011401195</v>
      </c>
      <c r="S742" s="73"/>
      <c r="T742" s="74">
        <v>5.0371261989806317</v>
      </c>
      <c r="U742" s="74">
        <v>5.1417099823652244</v>
      </c>
      <c r="V742" s="73"/>
      <c r="W742" s="72">
        <v>15143.755629978403</v>
      </c>
      <c r="X742" s="72">
        <v>15084.502703728074</v>
      </c>
      <c r="Y742" s="73"/>
      <c r="Z742" s="74">
        <v>3.0382170766503629</v>
      </c>
      <c r="AA742" s="74">
        <v>3.0775278638480299</v>
      </c>
      <c r="AB742" s="73"/>
      <c r="AC742" s="72">
        <v>49680.745174924734</v>
      </c>
      <c r="AD742" s="72">
        <v>49700.963564446982</v>
      </c>
      <c r="AE742" s="73"/>
      <c r="AF742" s="74">
        <v>4.6974431172425826</v>
      </c>
      <c r="AG742" s="74">
        <v>4.8412441359404053</v>
      </c>
      <c r="AH742" s="73"/>
      <c r="AI742" s="72">
        <v>1386957.7045044142</v>
      </c>
      <c r="AJ742" s="72">
        <v>0</v>
      </c>
      <c r="AK742" s="73"/>
      <c r="AL742" s="74">
        <v>-1451.39975506581</v>
      </c>
      <c r="AM742" s="74">
        <v>0</v>
      </c>
      <c r="AN742" s="73"/>
      <c r="AO742" s="72">
        <v>90549.462248148891</v>
      </c>
      <c r="AP742" s="72">
        <v>0</v>
      </c>
      <c r="AQ742" s="73"/>
      <c r="AR742" s="74">
        <v>-79.003597294139567</v>
      </c>
      <c r="AS742" s="74">
        <v>0</v>
      </c>
      <c r="AT742" s="73"/>
      <c r="AU742" s="72">
        <v>22578066.571648344</v>
      </c>
      <c r="AV742" s="72">
        <v>0</v>
      </c>
      <c r="AW742" s="73"/>
      <c r="AX742" s="74">
        <v>-2392.5782129547192</v>
      </c>
      <c r="AY742" s="74">
        <v>0</v>
      </c>
      <c r="AZ742" s="73"/>
      <c r="BA742" s="72">
        <v>512170.76921387087</v>
      </c>
      <c r="BB742" s="72">
        <v>0</v>
      </c>
      <c r="BC742" s="73"/>
      <c r="BD742" s="74">
        <v>-339.79479819058332</v>
      </c>
      <c r="BE742" s="74">
        <v>0</v>
      </c>
      <c r="BF742" s="73"/>
      <c r="BG742" s="72">
        <v>-307765.38779019023</v>
      </c>
      <c r="BH742" s="72">
        <v>0</v>
      </c>
      <c r="BI742" s="73"/>
      <c r="BJ742" s="74">
        <v>-2188.9466634056266</v>
      </c>
      <c r="BK742" s="74">
        <v>0</v>
      </c>
      <c r="BL742" s="73"/>
      <c r="BM742" s="72">
        <v>24259979.119824585</v>
      </c>
      <c r="BN742" s="72">
        <v>0</v>
      </c>
      <c r="BO742" s="73"/>
      <c r="BP742" s="74">
        <v>-6451.7230269108786</v>
      </c>
      <c r="BQ742" s="74">
        <v>0</v>
      </c>
      <c r="BS742" s="109">
        <f t="shared" si="285"/>
        <v>116911.74791914375</v>
      </c>
      <c r="BT742" s="109">
        <f t="shared" si="286"/>
        <v>117196.19383722375</v>
      </c>
      <c r="BV742" s="58">
        <f t="array" ref="BV742">SUM(IF(BS742:BT742&gt;=BS742, 1))</f>
        <v>2</v>
      </c>
      <c r="BW742" s="58">
        <f t="array" ref="BW742">SUM(IF(BS742:BT742&gt;=BT742, 1))</f>
        <v>1</v>
      </c>
      <c r="BY742" s="109">
        <f t="shared" si="287"/>
        <v>133615.54478893694</v>
      </c>
      <c r="BZ742" s="109">
        <f t="shared" si="288"/>
        <v>133860.98260541476</v>
      </c>
      <c r="CB742" s="58">
        <f t="array" ref="CB742">SUM(IF(BY742:BZ742&gt;=BY742, 1))</f>
        <v>2</v>
      </c>
      <c r="CC742" s="58">
        <f t="array" ref="CC742">SUM(IF(BY742:BZ742&gt;=BZ742, 1))</f>
        <v>1</v>
      </c>
      <c r="CE742" s="109">
        <f t="shared" si="289"/>
        <v>98351.686351676719</v>
      </c>
      <c r="CF742" s="109">
        <f t="shared" si="290"/>
        <v>101430.28884616436</v>
      </c>
      <c r="CH742" s="58">
        <f t="array" ref="CH742">SUM(IF(CE742:CF742&gt;=CE742, 1))</f>
        <v>2</v>
      </c>
      <c r="CI742" s="58">
        <f t="array" ref="CI742">SUM(IF(CE742:CF742&gt;=CF742, 1))</f>
        <v>1</v>
      </c>
      <c r="CK742" s="109">
        <f t="shared" si="291"/>
        <v>45620.585903028856</v>
      </c>
      <c r="CL742" s="109">
        <f t="shared" si="292"/>
        <v>46466.054573232526</v>
      </c>
      <c r="CN742" s="58">
        <f t="array" ref="CN742">SUM(IF(CK742:CL742&gt;=CK742, 1))</f>
        <v>2</v>
      </c>
      <c r="CO742" s="58">
        <f t="array" ref="CO742">SUM(IF(CK742:CL742&gt;=CL742, 1))</f>
        <v>1</v>
      </c>
      <c r="CQ742" s="109" cm="1">
        <f t="array" ref="CQ742">AF742*WTP-AC742</f>
        <v>44268.117169926911</v>
      </c>
      <c r="CR742" s="109">
        <f t="shared" si="293"/>
        <v>47123.919154361123</v>
      </c>
      <c r="CT742" s="58">
        <f t="array" ref="CT742">SUM(IF(CQ742:CR742&gt;=CQ742, 1))</f>
        <v>2</v>
      </c>
      <c r="CU742" s="58">
        <f t="array" ref="CU742">SUM(IF(CQ742:CR742&gt;=CR742, 1))</f>
        <v>1</v>
      </c>
      <c r="CW742" s="109">
        <f t="shared" si="294"/>
        <v>-30414952.805820618</v>
      </c>
      <c r="CX742" s="109">
        <f t="shared" si="295"/>
        <v>0</v>
      </c>
      <c r="CZ742" s="58">
        <f t="array" ref="CZ742">SUM(IF(CW742:CX742&gt;=CW742, 1))</f>
        <v>2</v>
      </c>
      <c r="DA742" s="58">
        <f t="array" ref="DA742">SUM(IF(CW742:CX742&gt;=CX742, 1))</f>
        <v>1</v>
      </c>
      <c r="DC742" s="109">
        <f t="shared" si="296"/>
        <v>-1670621.4081309403</v>
      </c>
      <c r="DD742" s="109">
        <f t="shared" si="297"/>
        <v>0</v>
      </c>
      <c r="DF742" s="58">
        <f t="array" ref="DF742">SUM(IF(DC742:DD742&gt;=DC742, 1))</f>
        <v>2</v>
      </c>
      <c r="DG742" s="58">
        <f t="array" ref="DG742">SUM(IF(DC742:DD742&gt;=DD742, 1))</f>
        <v>1</v>
      </c>
      <c r="DI742" s="109">
        <f t="shared" si="298"/>
        <v>-70429630.830742732</v>
      </c>
      <c r="DJ742" s="109">
        <f t="shared" si="299"/>
        <v>0</v>
      </c>
      <c r="DL742" s="58">
        <f t="array" ref="DL742">SUM(IF(DI742:DJ742&gt;=DI742, 1))</f>
        <v>2</v>
      </c>
      <c r="DM742" s="58">
        <f t="array" ref="DM742">SUM(IF(DI742:DJ742&gt;=DJ742, 1))</f>
        <v>1</v>
      </c>
      <c r="DO742" s="109">
        <f t="shared" si="300"/>
        <v>-7308066.7330255378</v>
      </c>
      <c r="DP742" s="109">
        <f t="shared" si="301"/>
        <v>0</v>
      </c>
      <c r="DR742" s="58">
        <f t="array" ref="DR742">SUM(IF(DO742:DP742&gt;=DO742, 1))</f>
        <v>2</v>
      </c>
      <c r="DS742" s="58">
        <f t="array" ref="DS742">SUM(IF(DO742:DP742&gt;=DP742, 1))</f>
        <v>1</v>
      </c>
      <c r="DU742" s="109">
        <f t="shared" si="302"/>
        <v>-43471167.880322345</v>
      </c>
      <c r="DV742" s="109">
        <f t="shared" si="303"/>
        <v>0</v>
      </c>
      <c r="DX742" s="58">
        <f t="array" ref="DX742">SUM(IF(DU742:DV742&gt;=DU742, 1))</f>
        <v>2</v>
      </c>
      <c r="DY742" s="58">
        <f t="array" ref="DY742">SUM(IF(DU742:DV742&gt;=DV742, 1))</f>
        <v>1</v>
      </c>
      <c r="EA742" s="109">
        <f t="shared" si="304"/>
        <v>-153294439.65804216</v>
      </c>
      <c r="EB742" s="109">
        <f t="shared" si="305"/>
        <v>0</v>
      </c>
      <c r="ED742" s="58">
        <f t="array" ref="ED742">SUM(IF(EA742:EB742&gt;=EA742, 1))</f>
        <v>2</v>
      </c>
      <c r="EE742" s="58">
        <f t="array" ref="EE742">SUM(IF(EA742:EB742&gt;=EB742, 1))</f>
        <v>1</v>
      </c>
    </row>
    <row r="743" spans="4:135" ht="12" customHeight="1" x14ac:dyDescent="0.25">
      <c r="D743" s="11">
        <v>727</v>
      </c>
      <c r="E743" s="72">
        <v>285.20958816857575</v>
      </c>
      <c r="F743" s="72">
        <v>255.75646333961714</v>
      </c>
      <c r="G743" s="73"/>
      <c r="H743" s="74">
        <v>5.8116384550805273</v>
      </c>
      <c r="I743" s="74">
        <v>5.8293304664670726</v>
      </c>
      <c r="J743" s="73"/>
      <c r="K743" s="72">
        <v>305.85469118357832</v>
      </c>
      <c r="L743" s="72">
        <v>275.71106715611899</v>
      </c>
      <c r="M743" s="73"/>
      <c r="N743" s="74">
        <v>6.679176789070925</v>
      </c>
      <c r="O743" s="74">
        <v>6.6948323869423287</v>
      </c>
      <c r="P743" s="73"/>
      <c r="Q743" s="72">
        <v>1798.4149975056177</v>
      </c>
      <c r="R743" s="72">
        <v>1211.2571094363341</v>
      </c>
      <c r="S743" s="73"/>
      <c r="T743" s="74">
        <v>4.7558302256187197</v>
      </c>
      <c r="U743" s="74">
        <v>4.8392651421288697</v>
      </c>
      <c r="V743" s="73"/>
      <c r="W743" s="72">
        <v>16330.024092679188</v>
      </c>
      <c r="X743" s="72">
        <v>16203.395854161448</v>
      </c>
      <c r="Y743" s="73"/>
      <c r="Z743" s="74">
        <v>2.9423972220249848</v>
      </c>
      <c r="AA743" s="74">
        <v>2.9732848242846184</v>
      </c>
      <c r="AB743" s="73"/>
      <c r="AC743" s="72">
        <v>51783.980128143587</v>
      </c>
      <c r="AD743" s="72">
        <v>51606.823823044942</v>
      </c>
      <c r="AE743" s="73"/>
      <c r="AF743" s="74">
        <v>4.6107937975248623</v>
      </c>
      <c r="AG743" s="74">
        <v>4.6730778637394801</v>
      </c>
      <c r="AH743" s="73"/>
      <c r="AI743" s="72">
        <v>3165865.970684221</v>
      </c>
      <c r="AJ743" s="72">
        <v>0</v>
      </c>
      <c r="AK743" s="73"/>
      <c r="AL743" s="74">
        <v>-1901.6840191622525</v>
      </c>
      <c r="AM743" s="74">
        <v>0</v>
      </c>
      <c r="AN743" s="73"/>
      <c r="AO743" s="72">
        <v>210058.94752894665</v>
      </c>
      <c r="AP743" s="72">
        <v>0</v>
      </c>
      <c r="AQ743" s="73"/>
      <c r="AR743" s="74">
        <v>-109.09764561844747</v>
      </c>
      <c r="AS743" s="74">
        <v>0</v>
      </c>
      <c r="AT743" s="73"/>
      <c r="AU743" s="72">
        <v>13740877.284467502</v>
      </c>
      <c r="AV743" s="72">
        <v>0</v>
      </c>
      <c r="AW743" s="73"/>
      <c r="AX743" s="74">
        <v>-1952.5735280090134</v>
      </c>
      <c r="AY743" s="74">
        <v>0</v>
      </c>
      <c r="AZ743" s="73"/>
      <c r="BA743" s="72">
        <v>1157738.3649554427</v>
      </c>
      <c r="BB743" s="72">
        <v>0</v>
      </c>
      <c r="BC743" s="73"/>
      <c r="BD743" s="74">
        <v>-282.39958603271936</v>
      </c>
      <c r="BE743" s="74">
        <v>0</v>
      </c>
      <c r="BF743" s="73"/>
      <c r="BG743" s="72">
        <v>2678085.6049973588</v>
      </c>
      <c r="BH743" s="72">
        <v>0</v>
      </c>
      <c r="BI743" s="73"/>
      <c r="BJ743" s="74">
        <v>-941.55305992181013</v>
      </c>
      <c r="BK743" s="74">
        <v>0</v>
      </c>
      <c r="BL743" s="73"/>
      <c r="BM743" s="72">
        <v>20952626.172633473</v>
      </c>
      <c r="BN743" s="72">
        <v>0</v>
      </c>
      <c r="BO743" s="73"/>
      <c r="BP743" s="74">
        <v>-5187.3078387442429</v>
      </c>
      <c r="BQ743" s="74">
        <v>0</v>
      </c>
      <c r="BS743" s="109">
        <f t="shared" si="285"/>
        <v>115947.55951344197</v>
      </c>
      <c r="BT743" s="109">
        <f t="shared" si="286"/>
        <v>116330.85286600185</v>
      </c>
      <c r="BV743" s="58">
        <f t="array" ref="BV743">SUM(IF(BS743:BT743&gt;=BS743, 1))</f>
        <v>2</v>
      </c>
      <c r="BW743" s="58">
        <f t="array" ref="BW743">SUM(IF(BS743:BT743&gt;=BT743, 1))</f>
        <v>1</v>
      </c>
      <c r="BY743" s="109">
        <f t="shared" si="287"/>
        <v>133277.68109023492</v>
      </c>
      <c r="BZ743" s="109">
        <f t="shared" si="288"/>
        <v>133620.93667169046</v>
      </c>
      <c r="CB743" s="58">
        <f t="array" ref="CB743">SUM(IF(BY743:BZ743&gt;=BY743, 1))</f>
        <v>2</v>
      </c>
      <c r="CC743" s="58">
        <f t="array" ref="CC743">SUM(IF(BY743:BZ743&gt;=BZ743, 1))</f>
        <v>1</v>
      </c>
      <c r="CE743" s="109">
        <f t="shared" si="289"/>
        <v>93318.189514868776</v>
      </c>
      <c r="CF743" s="109">
        <f t="shared" si="290"/>
        <v>95574.045733141058</v>
      </c>
      <c r="CH743" s="58">
        <f t="array" ref="CH743">SUM(IF(CE743:CF743&gt;=CE743, 1))</f>
        <v>2</v>
      </c>
      <c r="CI743" s="58">
        <f t="array" ref="CI743">SUM(IF(CE743:CF743&gt;=CF743, 1))</f>
        <v>1</v>
      </c>
      <c r="CK743" s="109">
        <f t="shared" si="291"/>
        <v>42517.920347820509</v>
      </c>
      <c r="CL743" s="109">
        <f t="shared" si="292"/>
        <v>43262.300631530918</v>
      </c>
      <c r="CN743" s="58">
        <f t="array" ref="CN743">SUM(IF(CK743:CL743&gt;=CK743, 1))</f>
        <v>2</v>
      </c>
      <c r="CO743" s="58">
        <f t="array" ref="CO743">SUM(IF(CK743:CL743&gt;=CL743, 1))</f>
        <v>1</v>
      </c>
      <c r="CQ743" s="109" cm="1">
        <f t="array" ref="CQ743">AF743*WTP-AC743</f>
        <v>40431.895822353654</v>
      </c>
      <c r="CR743" s="109">
        <f t="shared" si="293"/>
        <v>41854.733451744665</v>
      </c>
      <c r="CT743" s="58">
        <f t="array" ref="CT743">SUM(IF(CQ743:CR743&gt;=CQ743, 1))</f>
        <v>2</v>
      </c>
      <c r="CU743" s="58">
        <f t="array" ref="CU743">SUM(IF(CQ743:CR743&gt;=CR743, 1))</f>
        <v>1</v>
      </c>
      <c r="CW743" s="109">
        <f t="shared" si="294"/>
        <v>-41199546.353929274</v>
      </c>
      <c r="CX743" s="109">
        <f t="shared" si="295"/>
        <v>0</v>
      </c>
      <c r="CZ743" s="58">
        <f t="array" ref="CZ743">SUM(IF(CW743:CX743&gt;=CW743, 1))</f>
        <v>2</v>
      </c>
      <c r="DA743" s="58">
        <f t="array" ref="DA743">SUM(IF(CW743:CX743&gt;=CX743, 1))</f>
        <v>1</v>
      </c>
      <c r="DC743" s="109">
        <f t="shared" si="296"/>
        <v>-2392011.8598978962</v>
      </c>
      <c r="DD743" s="109">
        <f t="shared" si="297"/>
        <v>0</v>
      </c>
      <c r="DF743" s="58">
        <f t="array" ref="DF743">SUM(IF(DC743:DD743&gt;=DC743, 1))</f>
        <v>2</v>
      </c>
      <c r="DG743" s="58">
        <f t="array" ref="DG743">SUM(IF(DC743:DD743&gt;=DD743, 1))</f>
        <v>1</v>
      </c>
      <c r="DI743" s="109">
        <f t="shared" si="298"/>
        <v>-52792347.844647773</v>
      </c>
      <c r="DJ743" s="109">
        <f t="shared" si="299"/>
        <v>0</v>
      </c>
      <c r="DL743" s="58">
        <f t="array" ref="DL743">SUM(IF(DI743:DJ743&gt;=DI743, 1))</f>
        <v>2</v>
      </c>
      <c r="DM743" s="58">
        <f t="array" ref="DM743">SUM(IF(DI743:DJ743&gt;=DJ743, 1))</f>
        <v>1</v>
      </c>
      <c r="DO743" s="109">
        <f t="shared" si="300"/>
        <v>-6805730.08560983</v>
      </c>
      <c r="DP743" s="109">
        <f t="shared" si="301"/>
        <v>0</v>
      </c>
      <c r="DR743" s="58">
        <f t="array" ref="DR743">SUM(IF(DO743:DP743&gt;=DO743, 1))</f>
        <v>2</v>
      </c>
      <c r="DS743" s="58">
        <f t="array" ref="DS743">SUM(IF(DO743:DP743&gt;=DP743, 1))</f>
        <v>1</v>
      </c>
      <c r="DU743" s="109">
        <f t="shared" si="302"/>
        <v>-21509146.803433564</v>
      </c>
      <c r="DV743" s="109">
        <f t="shared" si="303"/>
        <v>0</v>
      </c>
      <c r="DX743" s="58">
        <f t="array" ref="DX743">SUM(IF(DU743:DV743&gt;=DU743, 1))</f>
        <v>2</v>
      </c>
      <c r="DY743" s="58">
        <f t="array" ref="DY743">SUM(IF(DU743:DV743&gt;=DV743, 1))</f>
        <v>1</v>
      </c>
      <c r="EA743" s="109">
        <f t="shared" si="304"/>
        <v>-124698782.94751833</v>
      </c>
      <c r="EB743" s="109">
        <f t="shared" si="305"/>
        <v>0</v>
      </c>
      <c r="ED743" s="58">
        <f t="array" ref="ED743">SUM(IF(EA743:EB743&gt;=EA743, 1))</f>
        <v>2</v>
      </c>
      <c r="EE743" s="58">
        <f t="array" ref="EE743">SUM(IF(EA743:EB743&gt;=EB743, 1))</f>
        <v>1</v>
      </c>
    </row>
    <row r="744" spans="4:135" ht="12" customHeight="1" x14ac:dyDescent="0.25">
      <c r="D744" s="11">
        <v>728</v>
      </c>
      <c r="E744" s="72">
        <v>236.53939933890402</v>
      </c>
      <c r="F744" s="72">
        <v>212.80988027146873</v>
      </c>
      <c r="G744" s="73"/>
      <c r="H744" s="74">
        <v>5.9061463049769323</v>
      </c>
      <c r="I744" s="74">
        <v>5.9220477524610757</v>
      </c>
      <c r="J744" s="73"/>
      <c r="K744" s="72">
        <v>253.71106931466082</v>
      </c>
      <c r="L744" s="72">
        <v>229.42303212138387</v>
      </c>
      <c r="M744" s="73"/>
      <c r="N744" s="74">
        <v>6.6639618577322466</v>
      </c>
      <c r="O744" s="74">
        <v>6.6777748573456606</v>
      </c>
      <c r="P744" s="73"/>
      <c r="Q744" s="72">
        <v>4067.6815964948792</v>
      </c>
      <c r="R744" s="72">
        <v>1433.3537683398556</v>
      </c>
      <c r="S744" s="73"/>
      <c r="T744" s="74">
        <v>4.6235543515128121</v>
      </c>
      <c r="U744" s="74">
        <v>4.798886437207031</v>
      </c>
      <c r="V744" s="73"/>
      <c r="W744" s="72">
        <v>10152.697404572196</v>
      </c>
      <c r="X744" s="72">
        <v>10104.833460345058</v>
      </c>
      <c r="Y744" s="73"/>
      <c r="Z744" s="74">
        <v>2.8977640321945355</v>
      </c>
      <c r="AA744" s="74">
        <v>2.9268590963212469</v>
      </c>
      <c r="AB744" s="73"/>
      <c r="AC744" s="72">
        <v>51672.527003101153</v>
      </c>
      <c r="AD744" s="72">
        <v>51355.24418323148</v>
      </c>
      <c r="AE744" s="73"/>
      <c r="AF744" s="74">
        <v>4.5360680143402927</v>
      </c>
      <c r="AG744" s="74">
        <v>4.6489664307821155</v>
      </c>
      <c r="AH744" s="73"/>
      <c r="AI744" s="72">
        <v>2578834.9222466792</v>
      </c>
      <c r="AJ744" s="72">
        <v>0</v>
      </c>
      <c r="AK744" s="73"/>
      <c r="AL744" s="74">
        <v>-1728.1095318386008</v>
      </c>
      <c r="AM744" s="74">
        <v>0</v>
      </c>
      <c r="AN744" s="73"/>
      <c r="AO744" s="72">
        <v>172519.79815964971</v>
      </c>
      <c r="AP744" s="72">
        <v>0</v>
      </c>
      <c r="AQ744" s="73"/>
      <c r="AR744" s="74">
        <v>-98.114799739566024</v>
      </c>
      <c r="AS744" s="74">
        <v>0</v>
      </c>
      <c r="AT744" s="73"/>
      <c r="AU744" s="72">
        <v>60754068.631115235</v>
      </c>
      <c r="AV744" s="72">
        <v>0</v>
      </c>
      <c r="AW744" s="73"/>
      <c r="AX744" s="74">
        <v>-4043.5884454682605</v>
      </c>
      <c r="AY744" s="74">
        <v>0</v>
      </c>
      <c r="AZ744" s="73"/>
      <c r="BA744" s="72">
        <v>427300.19368345215</v>
      </c>
      <c r="BB744" s="72">
        <v>0</v>
      </c>
      <c r="BC744" s="73"/>
      <c r="BD744" s="74">
        <v>-259.74304327237962</v>
      </c>
      <c r="BE744" s="74">
        <v>0</v>
      </c>
      <c r="BF744" s="73"/>
      <c r="BG744" s="72">
        <v>5043209.6551599074</v>
      </c>
      <c r="BH744" s="72">
        <v>0</v>
      </c>
      <c r="BI744" s="73"/>
      <c r="BJ744" s="74">
        <v>-1794.5200565398977</v>
      </c>
      <c r="BK744" s="74">
        <v>0</v>
      </c>
      <c r="BL744" s="73"/>
      <c r="BM744" s="72">
        <v>68975933.200364932</v>
      </c>
      <c r="BN744" s="72">
        <v>0</v>
      </c>
      <c r="BO744" s="73"/>
      <c r="BP744" s="74">
        <v>-7924.0758768587039</v>
      </c>
      <c r="BQ744" s="74">
        <v>0</v>
      </c>
      <c r="BS744" s="109">
        <f t="shared" si="285"/>
        <v>117886.38670019974</v>
      </c>
      <c r="BT744" s="109">
        <f t="shared" si="286"/>
        <v>118228.14516895005</v>
      </c>
      <c r="BV744" s="58">
        <f t="array" ref="BV744">SUM(IF(BS744:BT744&gt;=BS744, 1))</f>
        <v>2</v>
      </c>
      <c r="BW744" s="58">
        <f t="array" ref="BW744">SUM(IF(BS744:BT744&gt;=BT744, 1))</f>
        <v>1</v>
      </c>
      <c r="BY744" s="109">
        <f t="shared" si="287"/>
        <v>133025.52608533029</v>
      </c>
      <c r="BZ744" s="109">
        <f t="shared" si="288"/>
        <v>133326.07411479182</v>
      </c>
      <c r="CB744" s="58">
        <f t="array" ref="CB744">SUM(IF(BY744:BZ744&gt;=BY744, 1))</f>
        <v>2</v>
      </c>
      <c r="CC744" s="58">
        <f t="array" ref="CC744">SUM(IF(BY744:BZ744&gt;=BZ744, 1))</f>
        <v>1</v>
      </c>
      <c r="CE744" s="109">
        <f t="shared" si="289"/>
        <v>88403.405433761363</v>
      </c>
      <c r="CF744" s="109">
        <f t="shared" si="290"/>
        <v>94544.374975800762</v>
      </c>
      <c r="CH744" s="58">
        <f t="array" ref="CH744">SUM(IF(CE744:CF744&gt;=CE744, 1))</f>
        <v>2</v>
      </c>
      <c r="CI744" s="58">
        <f t="array" ref="CI744">SUM(IF(CE744:CF744&gt;=CF744, 1))</f>
        <v>1</v>
      </c>
      <c r="CK744" s="109">
        <f t="shared" si="291"/>
        <v>47802.583239318512</v>
      </c>
      <c r="CL744" s="109">
        <f t="shared" si="292"/>
        <v>48432.348466079879</v>
      </c>
      <c r="CN744" s="58">
        <f t="array" ref="CN744">SUM(IF(CK744:CL744&gt;=CK744, 1))</f>
        <v>2</v>
      </c>
      <c r="CO744" s="58">
        <f t="array" ref="CO744">SUM(IF(CK744:CL744&gt;=CL744, 1))</f>
        <v>1</v>
      </c>
      <c r="CQ744" s="109" cm="1">
        <f t="array" ref="CQ744">AF744*WTP-AC744</f>
        <v>39048.833283704698</v>
      </c>
      <c r="CR744" s="109">
        <f t="shared" si="293"/>
        <v>41624.084432410833</v>
      </c>
      <c r="CT744" s="58">
        <f t="array" ref="CT744">SUM(IF(CQ744:CR744&gt;=CQ744, 1))</f>
        <v>2</v>
      </c>
      <c r="CU744" s="58">
        <f t="array" ref="CU744">SUM(IF(CQ744:CR744&gt;=CR744, 1))</f>
        <v>1</v>
      </c>
      <c r="CW744" s="109">
        <f t="shared" si="294"/>
        <v>-37141025.559018694</v>
      </c>
      <c r="CX744" s="109">
        <f t="shared" si="295"/>
        <v>0</v>
      </c>
      <c r="CZ744" s="58">
        <f t="array" ref="CZ744">SUM(IF(CW744:CX744&gt;=CW744, 1))</f>
        <v>2</v>
      </c>
      <c r="DA744" s="58">
        <f t="array" ref="DA744">SUM(IF(CW744:CX744&gt;=CX744, 1))</f>
        <v>1</v>
      </c>
      <c r="DC744" s="109">
        <f t="shared" si="296"/>
        <v>-2134815.7929509701</v>
      </c>
      <c r="DD744" s="109">
        <f t="shared" si="297"/>
        <v>0</v>
      </c>
      <c r="DF744" s="58">
        <f t="array" ref="DF744">SUM(IF(DC744:DD744&gt;=DC744, 1))</f>
        <v>2</v>
      </c>
      <c r="DG744" s="58">
        <f t="array" ref="DG744">SUM(IF(DC744:DD744&gt;=DD744, 1))</f>
        <v>1</v>
      </c>
      <c r="DI744" s="109">
        <f t="shared" si="298"/>
        <v>-141625837.54048043</v>
      </c>
      <c r="DJ744" s="109">
        <f t="shared" si="299"/>
        <v>0</v>
      </c>
      <c r="DL744" s="58">
        <f t="array" ref="DL744">SUM(IF(DI744:DJ744&gt;=DI744, 1))</f>
        <v>2</v>
      </c>
      <c r="DM744" s="58">
        <f t="array" ref="DM744">SUM(IF(DI744:DJ744&gt;=DJ744, 1))</f>
        <v>1</v>
      </c>
      <c r="DO744" s="109">
        <f t="shared" si="300"/>
        <v>-5622161.0591310449</v>
      </c>
      <c r="DP744" s="109">
        <f t="shared" si="301"/>
        <v>0</v>
      </c>
      <c r="DR744" s="58">
        <f t="array" ref="DR744">SUM(IF(DO744:DP744&gt;=DO744, 1))</f>
        <v>2</v>
      </c>
      <c r="DS744" s="58">
        <f t="array" ref="DS744">SUM(IF(DO744:DP744&gt;=DP744, 1))</f>
        <v>1</v>
      </c>
      <c r="DU744" s="109">
        <f t="shared" si="302"/>
        <v>-40933610.785957858</v>
      </c>
      <c r="DV744" s="109">
        <f t="shared" si="303"/>
        <v>0</v>
      </c>
      <c r="DX744" s="58">
        <f t="array" ref="DX744">SUM(IF(DU744:DV744&gt;=DU744, 1))</f>
        <v>2</v>
      </c>
      <c r="DY744" s="58">
        <f t="array" ref="DY744">SUM(IF(DU744:DV744&gt;=DV744, 1))</f>
        <v>1</v>
      </c>
      <c r="EA744" s="109">
        <f t="shared" si="304"/>
        <v>-227457450.73753899</v>
      </c>
      <c r="EB744" s="109">
        <f t="shared" si="305"/>
        <v>0</v>
      </c>
      <c r="ED744" s="58">
        <f t="array" ref="ED744">SUM(IF(EA744:EB744&gt;=EA744, 1))</f>
        <v>2</v>
      </c>
      <c r="EE744" s="58">
        <f t="array" ref="EE744">SUM(IF(EA744:EB744&gt;=EB744, 1))</f>
        <v>1</v>
      </c>
    </row>
    <row r="745" spans="4:135" ht="12" customHeight="1" x14ac:dyDescent="0.25">
      <c r="D745" s="11">
        <v>729</v>
      </c>
      <c r="E745" s="72">
        <v>291.493344574888</v>
      </c>
      <c r="F745" s="72">
        <v>261.19919186606722</v>
      </c>
      <c r="G745" s="73"/>
      <c r="H745" s="74">
        <v>5.8414356778999457</v>
      </c>
      <c r="I745" s="74">
        <v>5.8601277281590045</v>
      </c>
      <c r="J745" s="73"/>
      <c r="K745" s="72">
        <v>312.63400701272934</v>
      </c>
      <c r="L745" s="72">
        <v>281.62852025829108</v>
      </c>
      <c r="M745" s="73"/>
      <c r="N745" s="74">
        <v>6.7395459548002048</v>
      </c>
      <c r="O745" s="74">
        <v>6.7565075434243722</v>
      </c>
      <c r="P745" s="73"/>
      <c r="Q745" s="72">
        <v>1989.8517537906005</v>
      </c>
      <c r="R745" s="72">
        <v>1072.3501199692309</v>
      </c>
      <c r="S745" s="73"/>
      <c r="T745" s="74">
        <v>4.8220358744634391</v>
      </c>
      <c r="U745" s="74">
        <v>4.9160543808320893</v>
      </c>
      <c r="V745" s="73"/>
      <c r="W745" s="72">
        <v>10185.749752449554</v>
      </c>
      <c r="X745" s="72">
        <v>10159.536114192573</v>
      </c>
      <c r="Y745" s="73"/>
      <c r="Z745" s="74">
        <v>3.0519764611899958</v>
      </c>
      <c r="AA745" s="74">
        <v>3.1046113953619581</v>
      </c>
      <c r="AB745" s="73"/>
      <c r="AC745" s="72">
        <v>50588.446276515817</v>
      </c>
      <c r="AD745" s="72">
        <v>50469.126565413353</v>
      </c>
      <c r="AE745" s="73"/>
      <c r="AF745" s="74">
        <v>4.7175646413466188</v>
      </c>
      <c r="AG745" s="74">
        <v>4.8016795686630616</v>
      </c>
      <c r="AH745" s="73"/>
      <c r="AI745" s="72">
        <v>3195020.908920567</v>
      </c>
      <c r="AJ745" s="72">
        <v>0</v>
      </c>
      <c r="AK745" s="73"/>
      <c r="AL745" s="74">
        <v>-1971.3867551376657</v>
      </c>
      <c r="AM745" s="74">
        <v>0</v>
      </c>
      <c r="AN745" s="73"/>
      <c r="AO745" s="72">
        <v>212171.42013079041</v>
      </c>
      <c r="AP745" s="72">
        <v>0</v>
      </c>
      <c r="AQ745" s="73"/>
      <c r="AR745" s="74">
        <v>-116.06862922571972</v>
      </c>
      <c r="AS745" s="74">
        <v>0</v>
      </c>
      <c r="AT745" s="73"/>
      <c r="AU745" s="72">
        <v>21469758.185476266</v>
      </c>
      <c r="AV745" s="72">
        <v>0</v>
      </c>
      <c r="AW745" s="73"/>
      <c r="AX745" s="74">
        <v>-2200.0555882253379</v>
      </c>
      <c r="AY745" s="74">
        <v>0</v>
      </c>
      <c r="AZ745" s="73"/>
      <c r="BA745" s="72">
        <v>233973.84859600625</v>
      </c>
      <c r="BB745" s="72">
        <v>0</v>
      </c>
      <c r="BC745" s="73"/>
      <c r="BD745" s="74">
        <v>-469.80117746654088</v>
      </c>
      <c r="BE745" s="74">
        <v>0</v>
      </c>
      <c r="BF745" s="73"/>
      <c r="BG745" s="72">
        <v>1841354.2476926155</v>
      </c>
      <c r="BH745" s="72">
        <v>0</v>
      </c>
      <c r="BI745" s="73"/>
      <c r="BJ745" s="74">
        <v>-1298.0703462773415</v>
      </c>
      <c r="BK745" s="74">
        <v>0</v>
      </c>
      <c r="BL745" s="73"/>
      <c r="BM745" s="72">
        <v>26952278.610816244</v>
      </c>
      <c r="BN745" s="72">
        <v>0</v>
      </c>
      <c r="BO745" s="73"/>
      <c r="BP745" s="74">
        <v>-6055.382496332606</v>
      </c>
      <c r="BQ745" s="74">
        <v>0</v>
      </c>
      <c r="BS745" s="109">
        <f t="shared" si="285"/>
        <v>116537.22021342402</v>
      </c>
      <c r="BT745" s="109">
        <f t="shared" si="286"/>
        <v>116941.35537131403</v>
      </c>
      <c r="BV745" s="58">
        <f t="array" ref="BV745">SUM(IF(BS745:BT745&gt;=BS745, 1))</f>
        <v>2</v>
      </c>
      <c r="BW745" s="58">
        <f t="array" ref="BW745">SUM(IF(BS745:BT745&gt;=BT745, 1))</f>
        <v>1</v>
      </c>
      <c r="BY745" s="109">
        <f t="shared" si="287"/>
        <v>134478.28508899137</v>
      </c>
      <c r="BZ745" s="109">
        <f t="shared" si="288"/>
        <v>134848.52234822916</v>
      </c>
      <c r="CB745" s="58">
        <f t="array" ref="CB745">SUM(IF(BY745:BZ745&gt;=BY745, 1))</f>
        <v>2</v>
      </c>
      <c r="CC745" s="58">
        <f t="array" ref="CC745">SUM(IF(BY745:BZ745&gt;=BZ745, 1))</f>
        <v>1</v>
      </c>
      <c r="CE745" s="109">
        <f t="shared" si="289"/>
        <v>94450.865735478175</v>
      </c>
      <c r="CF745" s="109">
        <f t="shared" si="290"/>
        <v>97248.737496672562</v>
      </c>
      <c r="CH745" s="58">
        <f t="array" ref="CH745">SUM(IF(CE745:CF745&gt;=CE745, 1))</f>
        <v>2</v>
      </c>
      <c r="CI745" s="58">
        <f t="array" ref="CI745">SUM(IF(CE745:CF745&gt;=CF745, 1))</f>
        <v>1</v>
      </c>
      <c r="CK745" s="109">
        <f t="shared" si="291"/>
        <v>50853.779471350361</v>
      </c>
      <c r="CL745" s="109">
        <f t="shared" si="292"/>
        <v>51932.691793046586</v>
      </c>
      <c r="CN745" s="58">
        <f t="array" ref="CN745">SUM(IF(CK745:CL745&gt;=CK745, 1))</f>
        <v>2</v>
      </c>
      <c r="CO745" s="58">
        <f t="array" ref="CO745">SUM(IF(CK745:CL745&gt;=CL745, 1))</f>
        <v>1</v>
      </c>
      <c r="CQ745" s="109" cm="1">
        <f t="array" ref="CQ745">AF745*WTP-AC745</f>
        <v>43762.846550416558</v>
      </c>
      <c r="CR745" s="109">
        <f t="shared" si="293"/>
        <v>45564.464807847871</v>
      </c>
      <c r="CT745" s="58">
        <f t="array" ref="CT745">SUM(IF(CQ745:CR745&gt;=CQ745, 1))</f>
        <v>2</v>
      </c>
      <c r="CU745" s="58">
        <f t="array" ref="CU745">SUM(IF(CQ745:CR745&gt;=CR745, 1))</f>
        <v>1</v>
      </c>
      <c r="CW745" s="109">
        <f t="shared" si="294"/>
        <v>-42622756.011673875</v>
      </c>
      <c r="CX745" s="109">
        <f t="shared" si="295"/>
        <v>0</v>
      </c>
      <c r="CZ745" s="58">
        <f t="array" ref="CZ745">SUM(IF(CW745:CX745&gt;=CW745, 1))</f>
        <v>2</v>
      </c>
      <c r="DA745" s="58">
        <f t="array" ref="DA745">SUM(IF(CW745:CX745&gt;=CX745, 1))</f>
        <v>1</v>
      </c>
      <c r="DC745" s="109">
        <f t="shared" si="296"/>
        <v>-2533544.0046451846</v>
      </c>
      <c r="DD745" s="109">
        <f t="shared" si="297"/>
        <v>0</v>
      </c>
      <c r="DF745" s="58">
        <f t="array" ref="DF745">SUM(IF(DC745:DD745&gt;=DC745, 1))</f>
        <v>2</v>
      </c>
      <c r="DG745" s="58">
        <f t="array" ref="DG745">SUM(IF(DC745:DD745&gt;=DD745, 1))</f>
        <v>1</v>
      </c>
      <c r="DI745" s="109">
        <f t="shared" si="298"/>
        <v>-65470869.949983023</v>
      </c>
      <c r="DJ745" s="109">
        <f t="shared" si="299"/>
        <v>0</v>
      </c>
      <c r="DL745" s="58">
        <f t="array" ref="DL745">SUM(IF(DI745:DJ745&gt;=DI745, 1))</f>
        <v>2</v>
      </c>
      <c r="DM745" s="58">
        <f t="array" ref="DM745">SUM(IF(DI745:DJ745&gt;=DJ745, 1))</f>
        <v>1</v>
      </c>
      <c r="DO745" s="109">
        <f t="shared" si="300"/>
        <v>-9629997.3979268242</v>
      </c>
      <c r="DP745" s="109">
        <f t="shared" si="301"/>
        <v>0</v>
      </c>
      <c r="DR745" s="58">
        <f t="array" ref="DR745">SUM(IF(DO745:DP745&gt;=DO745, 1))</f>
        <v>2</v>
      </c>
      <c r="DS745" s="58">
        <f t="array" ref="DS745">SUM(IF(DO745:DP745&gt;=DP745, 1))</f>
        <v>1</v>
      </c>
      <c r="DU745" s="109">
        <f t="shared" si="302"/>
        <v>-27802761.173239443</v>
      </c>
      <c r="DV745" s="109">
        <f t="shared" si="303"/>
        <v>0</v>
      </c>
      <c r="DX745" s="58">
        <f t="array" ref="DX745">SUM(IF(DU745:DV745&gt;=DU745, 1))</f>
        <v>2</v>
      </c>
      <c r="DY745" s="58">
        <f t="array" ref="DY745">SUM(IF(DU745:DV745&gt;=DV745, 1))</f>
        <v>1</v>
      </c>
      <c r="EA745" s="109">
        <f t="shared" si="304"/>
        <v>-148059928.53746837</v>
      </c>
      <c r="EB745" s="109">
        <f t="shared" si="305"/>
        <v>0</v>
      </c>
      <c r="ED745" s="58">
        <f t="array" ref="ED745">SUM(IF(EA745:EB745&gt;=EA745, 1))</f>
        <v>2</v>
      </c>
      <c r="EE745" s="58">
        <f t="array" ref="EE745">SUM(IF(EA745:EB745&gt;=EB745, 1))</f>
        <v>1</v>
      </c>
    </row>
    <row r="746" spans="4:135" ht="12" customHeight="1" x14ac:dyDescent="0.25">
      <c r="D746" s="11">
        <v>730</v>
      </c>
      <c r="E746" s="72">
        <v>266.47988945770669</v>
      </c>
      <c r="F746" s="72">
        <v>230.46562908206656</v>
      </c>
      <c r="G746" s="73"/>
      <c r="H746" s="74">
        <v>5.7973817400691567</v>
      </c>
      <c r="I746" s="74">
        <v>5.8132409838363106</v>
      </c>
      <c r="J746" s="73"/>
      <c r="K746" s="72">
        <v>285.1883941008694</v>
      </c>
      <c r="L746" s="72">
        <v>248.33566715438684</v>
      </c>
      <c r="M746" s="73"/>
      <c r="N746" s="74">
        <v>6.7953859937624417</v>
      </c>
      <c r="O746" s="74">
        <v>6.8091296179942198</v>
      </c>
      <c r="P746" s="73"/>
      <c r="Q746" s="72">
        <v>3482.1482589378238</v>
      </c>
      <c r="R746" s="72">
        <v>1684.0281398734912</v>
      </c>
      <c r="S746" s="73"/>
      <c r="T746" s="74">
        <v>4.5695047854021995</v>
      </c>
      <c r="U746" s="74">
        <v>4.7217570986139368</v>
      </c>
      <c r="V746" s="73"/>
      <c r="W746" s="72">
        <v>13500.367460138819</v>
      </c>
      <c r="X746" s="72">
        <v>13471.061469819384</v>
      </c>
      <c r="Y746" s="73"/>
      <c r="Z746" s="74">
        <v>3.042254576860381</v>
      </c>
      <c r="AA746" s="74">
        <v>3.0994147124116473</v>
      </c>
      <c r="AB746" s="73"/>
      <c r="AC746" s="72">
        <v>50970.464958200515</v>
      </c>
      <c r="AD746" s="72">
        <v>50808.783377584921</v>
      </c>
      <c r="AE746" s="73"/>
      <c r="AF746" s="74">
        <v>4.6917219758708786</v>
      </c>
      <c r="AG746" s="74">
        <v>4.7488964003381762</v>
      </c>
      <c r="AH746" s="73"/>
      <c r="AI746" s="72">
        <v>3858676.6522025298</v>
      </c>
      <c r="AJ746" s="72">
        <v>0</v>
      </c>
      <c r="AK746" s="73"/>
      <c r="AL746" s="74">
        <v>-1699.2072864363909</v>
      </c>
      <c r="AM746" s="74">
        <v>0</v>
      </c>
      <c r="AN746" s="73"/>
      <c r="AO746" s="72">
        <v>254083.21936471434</v>
      </c>
      <c r="AP746" s="72">
        <v>0</v>
      </c>
      <c r="AQ746" s="73"/>
      <c r="AR746" s="74">
        <v>-94.756197977430247</v>
      </c>
      <c r="AS746" s="74">
        <v>0</v>
      </c>
      <c r="AT746" s="73"/>
      <c r="AU746" s="72">
        <v>41628851.997480497</v>
      </c>
      <c r="AV746" s="72">
        <v>0</v>
      </c>
      <c r="AW746" s="73"/>
      <c r="AX746" s="74">
        <v>-3524.8418310694028</v>
      </c>
      <c r="AY746" s="74">
        <v>0</v>
      </c>
      <c r="AZ746" s="73"/>
      <c r="BA746" s="72">
        <v>263651.09026596294</v>
      </c>
      <c r="BB746" s="72">
        <v>0</v>
      </c>
      <c r="BC746" s="73"/>
      <c r="BD746" s="74">
        <v>-514.24066866790611</v>
      </c>
      <c r="BE746" s="74">
        <v>0</v>
      </c>
      <c r="BF746" s="73"/>
      <c r="BG746" s="72">
        <v>2633802.3664851631</v>
      </c>
      <c r="BH746" s="72">
        <v>0</v>
      </c>
      <c r="BI746" s="73"/>
      <c r="BJ746" s="74">
        <v>-931.37470509038315</v>
      </c>
      <c r="BK746" s="74">
        <v>0</v>
      </c>
      <c r="BL746" s="73"/>
      <c r="BM746" s="72">
        <v>48639065.325798862</v>
      </c>
      <c r="BN746" s="72">
        <v>0</v>
      </c>
      <c r="BO746" s="73"/>
      <c r="BP746" s="74">
        <v>-6764.4206892415132</v>
      </c>
      <c r="BQ746" s="74">
        <v>0</v>
      </c>
      <c r="BS746" s="109">
        <f t="shared" si="285"/>
        <v>115681.15491192542</v>
      </c>
      <c r="BT746" s="109">
        <f t="shared" si="286"/>
        <v>116034.35404764414</v>
      </c>
      <c r="BV746" s="58">
        <f t="array" ref="BV746">SUM(IF(BS746:BT746&gt;=BS746, 1))</f>
        <v>2</v>
      </c>
      <c r="BW746" s="58">
        <f t="array" ref="BW746">SUM(IF(BS746:BT746&gt;=BT746, 1))</f>
        <v>1</v>
      </c>
      <c r="BY746" s="109">
        <f t="shared" si="287"/>
        <v>135622.53148114798</v>
      </c>
      <c r="BZ746" s="109">
        <f t="shared" si="288"/>
        <v>135934.25669273004</v>
      </c>
      <c r="CB746" s="58">
        <f t="array" ref="CB746">SUM(IF(BY746:BZ746&gt;=BY746, 1))</f>
        <v>2</v>
      </c>
      <c r="CC746" s="58">
        <f t="array" ref="CC746">SUM(IF(BY746:BZ746&gt;=BZ746, 1))</f>
        <v>1</v>
      </c>
      <c r="CE746" s="109">
        <f t="shared" si="289"/>
        <v>87907.947449106156</v>
      </c>
      <c r="CF746" s="109">
        <f t="shared" si="290"/>
        <v>92751.113832405244</v>
      </c>
      <c r="CH746" s="58">
        <f t="array" ref="CH746">SUM(IF(CE746:CF746&gt;=CE746, 1))</f>
        <v>2</v>
      </c>
      <c r="CI746" s="58">
        <f t="array" ref="CI746">SUM(IF(CE746:CF746&gt;=CF746, 1))</f>
        <v>1</v>
      </c>
      <c r="CK746" s="109">
        <f t="shared" si="291"/>
        <v>47344.7240770688</v>
      </c>
      <c r="CL746" s="109">
        <f t="shared" si="292"/>
        <v>48517.232778413563</v>
      </c>
      <c r="CN746" s="58">
        <f t="array" ref="CN746">SUM(IF(CK746:CL746&gt;=CK746, 1))</f>
        <v>2</v>
      </c>
      <c r="CO746" s="58">
        <f t="array" ref="CO746">SUM(IF(CK746:CL746&gt;=CL746, 1))</f>
        <v>1</v>
      </c>
      <c r="CQ746" s="109" cm="1">
        <f t="array" ref="CQ746">AF746*WTP-AC746</f>
        <v>42863.974559217058</v>
      </c>
      <c r="CR746" s="109">
        <f t="shared" si="293"/>
        <v>44169.144629178605</v>
      </c>
      <c r="CT746" s="58">
        <f t="array" ref="CT746">SUM(IF(CQ746:CR746&gt;=CQ746, 1))</f>
        <v>2</v>
      </c>
      <c r="CU746" s="58">
        <f t="array" ref="CU746">SUM(IF(CQ746:CR746&gt;=CR746, 1))</f>
        <v>1</v>
      </c>
      <c r="CW746" s="109">
        <f t="shared" si="294"/>
        <v>-37842822.380930349</v>
      </c>
      <c r="CX746" s="109">
        <f t="shared" si="295"/>
        <v>0</v>
      </c>
      <c r="CZ746" s="58">
        <f t="array" ref="CZ746">SUM(IF(CW746:CX746&gt;=CW746, 1))</f>
        <v>2</v>
      </c>
      <c r="DA746" s="58">
        <f t="array" ref="DA746">SUM(IF(CW746:CX746&gt;=CX746, 1))</f>
        <v>1</v>
      </c>
      <c r="DC746" s="109">
        <f t="shared" si="296"/>
        <v>-2149207.1789133195</v>
      </c>
      <c r="DD746" s="109">
        <f t="shared" si="297"/>
        <v>0</v>
      </c>
      <c r="DF746" s="58">
        <f t="array" ref="DF746">SUM(IF(DC746:DD746&gt;=DC746, 1))</f>
        <v>2</v>
      </c>
      <c r="DG746" s="58">
        <f t="array" ref="DG746">SUM(IF(DC746:DD746&gt;=DD746, 1))</f>
        <v>1</v>
      </c>
      <c r="DI746" s="109">
        <f t="shared" si="298"/>
        <v>-112125688.61886856</v>
      </c>
      <c r="DJ746" s="109">
        <f t="shared" si="299"/>
        <v>0</v>
      </c>
      <c r="DL746" s="58">
        <f t="array" ref="DL746">SUM(IF(DI746:DJ746&gt;=DI746, 1))</f>
        <v>2</v>
      </c>
      <c r="DM746" s="58">
        <f t="array" ref="DM746">SUM(IF(DI746:DJ746&gt;=DJ746, 1))</f>
        <v>1</v>
      </c>
      <c r="DO746" s="109">
        <f t="shared" si="300"/>
        <v>-10548464.463624086</v>
      </c>
      <c r="DP746" s="109">
        <f t="shared" si="301"/>
        <v>0</v>
      </c>
      <c r="DR746" s="58">
        <f t="array" ref="DR746">SUM(IF(DO746:DP746&gt;=DO746, 1))</f>
        <v>2</v>
      </c>
      <c r="DS746" s="58">
        <f t="array" ref="DS746">SUM(IF(DO746:DP746&gt;=DP746, 1))</f>
        <v>1</v>
      </c>
      <c r="DU746" s="109">
        <f t="shared" si="302"/>
        <v>-21261296.468292825</v>
      </c>
      <c r="DV746" s="109">
        <f t="shared" si="303"/>
        <v>0</v>
      </c>
      <c r="DX746" s="58">
        <f t="array" ref="DX746">SUM(IF(DU746:DV746&gt;=DU746, 1))</f>
        <v>2</v>
      </c>
      <c r="DY746" s="58">
        <f t="array" ref="DY746">SUM(IF(DU746:DV746&gt;=DV746, 1))</f>
        <v>1</v>
      </c>
      <c r="EA746" s="109">
        <f t="shared" si="304"/>
        <v>-183927479.11062914</v>
      </c>
      <c r="EB746" s="109">
        <f t="shared" si="305"/>
        <v>0</v>
      </c>
      <c r="ED746" s="58">
        <f t="array" ref="ED746">SUM(IF(EA746:EB746&gt;=EA746, 1))</f>
        <v>2</v>
      </c>
      <c r="EE746" s="58">
        <f t="array" ref="EE746">SUM(IF(EA746:EB746&gt;=EB746, 1))</f>
        <v>1</v>
      </c>
    </row>
    <row r="747" spans="4:135" ht="12" customHeight="1" x14ac:dyDescent="0.25">
      <c r="D747" s="11">
        <v>731</v>
      </c>
      <c r="E747" s="72">
        <v>244.10801137302229</v>
      </c>
      <c r="F747" s="72">
        <v>225.2387136508658</v>
      </c>
      <c r="G747" s="73"/>
      <c r="H747" s="74">
        <v>5.7774478949054062</v>
      </c>
      <c r="I747" s="74">
        <v>5.7949196879691973</v>
      </c>
      <c r="J747" s="73"/>
      <c r="K747" s="72">
        <v>262.18432140199656</v>
      </c>
      <c r="L747" s="72">
        <v>242.84505215612197</v>
      </c>
      <c r="M747" s="73"/>
      <c r="N747" s="74">
        <v>6.7244882493989442</v>
      </c>
      <c r="O747" s="74">
        <v>6.7395900099876318</v>
      </c>
      <c r="P747" s="73"/>
      <c r="Q747" s="72">
        <v>3241.6467216562287</v>
      </c>
      <c r="R747" s="72">
        <v>1772.1958086449133</v>
      </c>
      <c r="S747" s="73"/>
      <c r="T747" s="74">
        <v>4.6981138724028844</v>
      </c>
      <c r="U747" s="74">
        <v>4.7894269254831912</v>
      </c>
      <c r="V747" s="73"/>
      <c r="W747" s="72">
        <v>11133.44250171903</v>
      </c>
      <c r="X747" s="72">
        <v>11122.001798692787</v>
      </c>
      <c r="Y747" s="73"/>
      <c r="Z747" s="74">
        <v>2.8260814353319872</v>
      </c>
      <c r="AA747" s="74">
        <v>2.8668250581614201</v>
      </c>
      <c r="AB747" s="73"/>
      <c r="AC747" s="72">
        <v>50341.383167928514</v>
      </c>
      <c r="AD747" s="72">
        <v>49809.834855482623</v>
      </c>
      <c r="AE747" s="73"/>
      <c r="AF747" s="74">
        <v>4.8976574853004262</v>
      </c>
      <c r="AG747" s="74">
        <v>5.0605747785450852</v>
      </c>
      <c r="AH747" s="73"/>
      <c r="AI747" s="72">
        <v>2044493.7402953194</v>
      </c>
      <c r="AJ747" s="72">
        <v>0</v>
      </c>
      <c r="AK747" s="73"/>
      <c r="AL747" s="74">
        <v>-1893.0737156535617</v>
      </c>
      <c r="AM747" s="74">
        <v>0</v>
      </c>
      <c r="AN747" s="73"/>
      <c r="AO747" s="72">
        <v>136399.70139256783</v>
      </c>
      <c r="AP747" s="72">
        <v>0</v>
      </c>
      <c r="AQ747" s="73"/>
      <c r="AR747" s="74">
        <v>-106.51258889931681</v>
      </c>
      <c r="AS747" s="74">
        <v>0</v>
      </c>
      <c r="AT747" s="73"/>
      <c r="AU747" s="72">
        <v>33404362.769112967</v>
      </c>
      <c r="AV747" s="72">
        <v>0</v>
      </c>
      <c r="AW747" s="73"/>
      <c r="AX747" s="74">
        <v>-2075.7783221210248</v>
      </c>
      <c r="AY747" s="74">
        <v>0</v>
      </c>
      <c r="AZ747" s="73"/>
      <c r="BA747" s="72">
        <v>104966.05876884625</v>
      </c>
      <c r="BB747" s="72">
        <v>0</v>
      </c>
      <c r="BC747" s="73"/>
      <c r="BD747" s="74">
        <v>-373.81422265397828</v>
      </c>
      <c r="BE747" s="74">
        <v>0</v>
      </c>
      <c r="BF747" s="73"/>
      <c r="BG747" s="72">
        <v>8023909.9956912016</v>
      </c>
      <c r="BH747" s="72">
        <v>0</v>
      </c>
      <c r="BI747" s="73"/>
      <c r="BJ747" s="74">
        <v>-2459.2942299479928</v>
      </c>
      <c r="BK747" s="74">
        <v>0</v>
      </c>
      <c r="BL747" s="73"/>
      <c r="BM747" s="72">
        <v>43714132.265260905</v>
      </c>
      <c r="BN747" s="72">
        <v>0</v>
      </c>
      <c r="BO747" s="73"/>
      <c r="BP747" s="74">
        <v>-6908.4730792758746</v>
      </c>
      <c r="BQ747" s="74">
        <v>0</v>
      </c>
      <c r="BS747" s="109">
        <f t="shared" si="285"/>
        <v>115304.8498867351</v>
      </c>
      <c r="BT747" s="109">
        <f t="shared" si="286"/>
        <v>115673.15504573309</v>
      </c>
      <c r="BV747" s="58">
        <f t="array" ref="BV747">SUM(IF(BS747:BT747&gt;=BS747, 1))</f>
        <v>2</v>
      </c>
      <c r="BW747" s="58">
        <f t="array" ref="BW747">SUM(IF(BS747:BT747&gt;=BT747, 1))</f>
        <v>1</v>
      </c>
      <c r="BY747" s="109">
        <f t="shared" si="287"/>
        <v>134227.58066657689</v>
      </c>
      <c r="BZ747" s="109">
        <f t="shared" si="288"/>
        <v>134548.95514759651</v>
      </c>
      <c r="CB747" s="58">
        <f t="array" ref="CB747">SUM(IF(BY747:BZ747&gt;=BY747, 1))</f>
        <v>2</v>
      </c>
      <c r="CC747" s="58">
        <f t="array" ref="CC747">SUM(IF(BY747:BZ747&gt;=BZ747, 1))</f>
        <v>1</v>
      </c>
      <c r="CE747" s="109">
        <f t="shared" si="289"/>
        <v>90720.630726401461</v>
      </c>
      <c r="CF747" s="109">
        <f t="shared" si="290"/>
        <v>94016.342701018904</v>
      </c>
      <c r="CH747" s="58">
        <f t="array" ref="CH747">SUM(IF(CE747:CF747&gt;=CE747, 1))</f>
        <v>2</v>
      </c>
      <c r="CI747" s="58">
        <f t="array" ref="CI747">SUM(IF(CE747:CF747&gt;=CF747, 1))</f>
        <v>1</v>
      </c>
      <c r="CK747" s="109">
        <f t="shared" si="291"/>
        <v>45388.186204920712</v>
      </c>
      <c r="CL747" s="109">
        <f t="shared" si="292"/>
        <v>46214.499364535615</v>
      </c>
      <c r="CN747" s="58">
        <f t="array" ref="CN747">SUM(IF(CK747:CL747&gt;=CK747, 1))</f>
        <v>2</v>
      </c>
      <c r="CO747" s="58">
        <f t="array" ref="CO747">SUM(IF(CK747:CL747&gt;=CL747, 1))</f>
        <v>1</v>
      </c>
      <c r="CQ747" s="109" cm="1">
        <f t="array" ref="CQ747">AF747*WTP-AC747</f>
        <v>47611.76653808001</v>
      </c>
      <c r="CR747" s="109">
        <f t="shared" si="293"/>
        <v>51401.660715419086</v>
      </c>
      <c r="CT747" s="58">
        <f t="array" ref="CT747">SUM(IF(CQ747:CR747&gt;=CQ747, 1))</f>
        <v>2</v>
      </c>
      <c r="CU747" s="58">
        <f t="array" ref="CU747">SUM(IF(CQ747:CR747&gt;=CR747, 1))</f>
        <v>1</v>
      </c>
      <c r="CW747" s="109">
        <f t="shared" si="294"/>
        <v>-39905968.053366557</v>
      </c>
      <c r="CX747" s="109">
        <f t="shared" si="295"/>
        <v>0</v>
      </c>
      <c r="CZ747" s="58">
        <f t="array" ref="CZ747">SUM(IF(CW747:CX747&gt;=CW747, 1))</f>
        <v>2</v>
      </c>
      <c r="DA747" s="58">
        <f t="array" ref="DA747">SUM(IF(CW747:CX747&gt;=CX747, 1))</f>
        <v>1</v>
      </c>
      <c r="DC747" s="109">
        <f t="shared" si="296"/>
        <v>-2266651.4793789038</v>
      </c>
      <c r="DD747" s="109">
        <f t="shared" si="297"/>
        <v>0</v>
      </c>
      <c r="DF747" s="58">
        <f t="array" ref="DF747">SUM(IF(DC747:DD747&gt;=DC747, 1))</f>
        <v>2</v>
      </c>
      <c r="DG747" s="58">
        <f t="array" ref="DG747">SUM(IF(DC747:DD747&gt;=DD747, 1))</f>
        <v>1</v>
      </c>
      <c r="DI747" s="109">
        <f t="shared" si="298"/>
        <v>-74919929.211533457</v>
      </c>
      <c r="DJ747" s="109">
        <f t="shared" si="299"/>
        <v>0</v>
      </c>
      <c r="DL747" s="58">
        <f t="array" ref="DL747">SUM(IF(DI747:DJ747&gt;=DI747, 1))</f>
        <v>2</v>
      </c>
      <c r="DM747" s="58">
        <f t="array" ref="DM747">SUM(IF(DI747:DJ747&gt;=DJ747, 1))</f>
        <v>1</v>
      </c>
      <c r="DO747" s="109">
        <f t="shared" si="300"/>
        <v>-7581250.5118484115</v>
      </c>
      <c r="DP747" s="109">
        <f t="shared" si="301"/>
        <v>0</v>
      </c>
      <c r="DR747" s="58">
        <f t="array" ref="DR747">SUM(IF(DO747:DP747&gt;=DO747, 1))</f>
        <v>2</v>
      </c>
      <c r="DS747" s="58">
        <f t="array" ref="DS747">SUM(IF(DO747:DP747&gt;=DP747, 1))</f>
        <v>1</v>
      </c>
      <c r="DU747" s="109">
        <f t="shared" si="302"/>
        <v>-57209794.594651058</v>
      </c>
      <c r="DV747" s="109">
        <f t="shared" si="303"/>
        <v>0</v>
      </c>
      <c r="DX747" s="58">
        <f t="array" ref="DX747">SUM(IF(DU747:DV747&gt;=DU747, 1))</f>
        <v>2</v>
      </c>
      <c r="DY747" s="58">
        <f t="array" ref="DY747">SUM(IF(DU747:DV747&gt;=DV747, 1))</f>
        <v>1</v>
      </c>
      <c r="EA747" s="109">
        <f t="shared" si="304"/>
        <v>-181883593.8507784</v>
      </c>
      <c r="EB747" s="109">
        <f t="shared" si="305"/>
        <v>0</v>
      </c>
      <c r="ED747" s="58">
        <f t="array" ref="ED747">SUM(IF(EA747:EB747&gt;=EA747, 1))</f>
        <v>2</v>
      </c>
      <c r="EE747" s="58">
        <f t="array" ref="EE747">SUM(IF(EA747:EB747&gt;=EB747, 1))</f>
        <v>1</v>
      </c>
    </row>
    <row r="748" spans="4:135" ht="12" customHeight="1" x14ac:dyDescent="0.25">
      <c r="D748" s="11">
        <v>732</v>
      </c>
      <c r="E748" s="72">
        <v>240.50865173025883</v>
      </c>
      <c r="F748" s="72">
        <v>207.89381752379506</v>
      </c>
      <c r="G748" s="73"/>
      <c r="H748" s="74">
        <v>5.8475583881156545</v>
      </c>
      <c r="I748" s="74">
        <v>5.8675066051747731</v>
      </c>
      <c r="J748" s="73"/>
      <c r="K748" s="72">
        <v>257.5329700142878</v>
      </c>
      <c r="L748" s="72">
        <v>224.16030465119624</v>
      </c>
      <c r="M748" s="73"/>
      <c r="N748" s="74">
        <v>6.7115825203072212</v>
      </c>
      <c r="O748" s="74">
        <v>6.7286328880241122</v>
      </c>
      <c r="P748" s="73"/>
      <c r="Q748" s="72">
        <v>1928.4229689463193</v>
      </c>
      <c r="R748" s="72">
        <v>1217.9412631182277</v>
      </c>
      <c r="S748" s="73"/>
      <c r="T748" s="74">
        <v>4.9046942656910701</v>
      </c>
      <c r="U748" s="74">
        <v>4.9671403350515835</v>
      </c>
      <c r="V748" s="73"/>
      <c r="W748" s="72">
        <v>14786.537207350044</v>
      </c>
      <c r="X748" s="72">
        <v>14780.2147283172</v>
      </c>
      <c r="Y748" s="73"/>
      <c r="Z748" s="74">
        <v>3.1380014843987802</v>
      </c>
      <c r="AA748" s="74">
        <v>3.1958206845958408</v>
      </c>
      <c r="AB748" s="73"/>
      <c r="AC748" s="72">
        <v>48462.274618335199</v>
      </c>
      <c r="AD748" s="72">
        <v>48370.722771999819</v>
      </c>
      <c r="AE748" s="73"/>
      <c r="AF748" s="74">
        <v>4.3623945480425146</v>
      </c>
      <c r="AG748" s="74">
        <v>4.4486301992346426</v>
      </c>
      <c r="AH748" s="73"/>
      <c r="AI748" s="72">
        <v>3490934.8964649802</v>
      </c>
      <c r="AJ748" s="72">
        <v>0</v>
      </c>
      <c r="AK748" s="73"/>
      <c r="AL748" s="74">
        <v>-2135.161154372317</v>
      </c>
      <c r="AM748" s="74">
        <v>0</v>
      </c>
      <c r="AN748" s="73"/>
      <c r="AO748" s="72">
        <v>222074.11403413149</v>
      </c>
      <c r="AP748" s="72">
        <v>0</v>
      </c>
      <c r="AQ748" s="73"/>
      <c r="AR748" s="74">
        <v>-113.45948138959038</v>
      </c>
      <c r="AS748" s="74">
        <v>0</v>
      </c>
      <c r="AT748" s="73"/>
      <c r="AU748" s="72">
        <v>16438820.542656962</v>
      </c>
      <c r="AV748" s="72">
        <v>0</v>
      </c>
      <c r="AW748" s="73"/>
      <c r="AX748" s="74">
        <v>-1444.8503309671</v>
      </c>
      <c r="AY748" s="74">
        <v>0</v>
      </c>
      <c r="AZ748" s="73"/>
      <c r="BA748" s="72">
        <v>56311.495188065273</v>
      </c>
      <c r="BB748" s="72">
        <v>0</v>
      </c>
      <c r="BC748" s="73"/>
      <c r="BD748" s="74">
        <v>-514.96977637424516</v>
      </c>
      <c r="BE748" s="74">
        <v>0</v>
      </c>
      <c r="BF748" s="73"/>
      <c r="BG748" s="72">
        <v>1466006.1660858812</v>
      </c>
      <c r="BH748" s="72">
        <v>0</v>
      </c>
      <c r="BI748" s="73"/>
      <c r="BJ748" s="74">
        <v>-1380.8787200311806</v>
      </c>
      <c r="BK748" s="74">
        <v>0</v>
      </c>
      <c r="BL748" s="73"/>
      <c r="BM748" s="72">
        <v>21674147.214430019</v>
      </c>
      <c r="BN748" s="72">
        <v>0</v>
      </c>
      <c r="BO748" s="73"/>
      <c r="BP748" s="74">
        <v>-5589.3194631344331</v>
      </c>
      <c r="BQ748" s="74">
        <v>0</v>
      </c>
      <c r="BS748" s="109">
        <f t="shared" si="285"/>
        <v>116710.65911058284</v>
      </c>
      <c r="BT748" s="109">
        <f t="shared" si="286"/>
        <v>117142.23828597166</v>
      </c>
      <c r="BV748" s="58">
        <f t="array" ref="BV748">SUM(IF(BS748:BT748&gt;=BS748, 1))</f>
        <v>2</v>
      </c>
      <c r="BW748" s="58">
        <f t="array" ref="BW748">SUM(IF(BS748:BT748&gt;=BT748, 1))</f>
        <v>1</v>
      </c>
      <c r="BY748" s="109">
        <f t="shared" si="287"/>
        <v>133974.11743613012</v>
      </c>
      <c r="BZ748" s="109">
        <f t="shared" si="288"/>
        <v>134348.49745583106</v>
      </c>
      <c r="CB748" s="58">
        <f t="array" ref="CB748">SUM(IF(BY748:BZ748&gt;=BY748, 1))</f>
        <v>2</v>
      </c>
      <c r="CC748" s="58">
        <f t="array" ref="CC748">SUM(IF(BY748:BZ748&gt;=BZ748, 1))</f>
        <v>1</v>
      </c>
      <c r="CE748" s="109">
        <f t="shared" si="289"/>
        <v>96165.462344875079</v>
      </c>
      <c r="CF748" s="109">
        <f t="shared" si="290"/>
        <v>98124.865437913453</v>
      </c>
      <c r="CH748" s="58">
        <f t="array" ref="CH748">SUM(IF(CE748:CF748&gt;=CE748, 1))</f>
        <v>2</v>
      </c>
      <c r="CI748" s="58">
        <f t="array" ref="CI748">SUM(IF(CE748:CF748&gt;=CF748, 1))</f>
        <v>1</v>
      </c>
      <c r="CK748" s="109">
        <f t="shared" si="291"/>
        <v>47973.492480625559</v>
      </c>
      <c r="CL748" s="109">
        <f t="shared" si="292"/>
        <v>49136.198963599614</v>
      </c>
      <c r="CN748" s="58">
        <f t="array" ref="CN748">SUM(IF(CK748:CL748&gt;=CK748, 1))</f>
        <v>2</v>
      </c>
      <c r="CO748" s="58">
        <f t="array" ref="CO748">SUM(IF(CK748:CL748&gt;=CL748, 1))</f>
        <v>1</v>
      </c>
      <c r="CQ748" s="109" cm="1">
        <f t="array" ref="CQ748">AF748*WTP-AC748</f>
        <v>38785.616342515088</v>
      </c>
      <c r="CR748" s="109">
        <f t="shared" si="293"/>
        <v>40601.881212693028</v>
      </c>
      <c r="CT748" s="58">
        <f t="array" ref="CT748">SUM(IF(CQ748:CR748&gt;=CQ748, 1))</f>
        <v>2</v>
      </c>
      <c r="CU748" s="58">
        <f t="array" ref="CU748">SUM(IF(CQ748:CR748&gt;=CR748, 1))</f>
        <v>1</v>
      </c>
      <c r="CW748" s="109">
        <f t="shared" si="294"/>
        <v>-46194157.983911321</v>
      </c>
      <c r="CX748" s="109">
        <f t="shared" si="295"/>
        <v>0</v>
      </c>
      <c r="CZ748" s="58">
        <f t="array" ref="CZ748">SUM(IF(CW748:CX748&gt;=CW748, 1))</f>
        <v>2</v>
      </c>
      <c r="DA748" s="58">
        <f t="array" ref="DA748">SUM(IF(CW748:CX748&gt;=CX748, 1))</f>
        <v>1</v>
      </c>
      <c r="DC748" s="109">
        <f t="shared" si="296"/>
        <v>-2491263.7418259392</v>
      </c>
      <c r="DD748" s="109">
        <f t="shared" si="297"/>
        <v>0</v>
      </c>
      <c r="DF748" s="58">
        <f t="array" ref="DF748">SUM(IF(DC748:DD748&gt;=DC748, 1))</f>
        <v>2</v>
      </c>
      <c r="DG748" s="58">
        <f t="array" ref="DG748">SUM(IF(DC748:DD748&gt;=DD748, 1))</f>
        <v>1</v>
      </c>
      <c r="DI748" s="109">
        <f t="shared" si="298"/>
        <v>-45335827.161998957</v>
      </c>
      <c r="DJ748" s="109">
        <f t="shared" si="299"/>
        <v>0</v>
      </c>
      <c r="DL748" s="58">
        <f t="array" ref="DL748">SUM(IF(DI748:DJ748&gt;=DI748, 1))</f>
        <v>2</v>
      </c>
      <c r="DM748" s="58">
        <f t="array" ref="DM748">SUM(IF(DI748:DJ748&gt;=DJ748, 1))</f>
        <v>1</v>
      </c>
      <c r="DO748" s="109">
        <f t="shared" si="300"/>
        <v>-10355707.022672968</v>
      </c>
      <c r="DP748" s="109">
        <f t="shared" si="301"/>
        <v>0</v>
      </c>
      <c r="DR748" s="58">
        <f t="array" ref="DR748">SUM(IF(DO748:DP748&gt;=DO748, 1))</f>
        <v>2</v>
      </c>
      <c r="DS748" s="58">
        <f t="array" ref="DS748">SUM(IF(DO748:DP748&gt;=DP748, 1))</f>
        <v>1</v>
      </c>
      <c r="DU748" s="109">
        <f t="shared" si="302"/>
        <v>-29083580.566709492</v>
      </c>
      <c r="DV748" s="109">
        <f t="shared" si="303"/>
        <v>0</v>
      </c>
      <c r="DX748" s="58">
        <f t="array" ref="DX748">SUM(IF(DU748:DV748&gt;=DU748, 1))</f>
        <v>2</v>
      </c>
      <c r="DY748" s="58">
        <f t="array" ref="DY748">SUM(IF(DU748:DV748&gt;=DV748, 1))</f>
        <v>1</v>
      </c>
      <c r="EA748" s="109">
        <f t="shared" si="304"/>
        <v>-133460536.47711869</v>
      </c>
      <c r="EB748" s="109">
        <f t="shared" si="305"/>
        <v>0</v>
      </c>
      <c r="ED748" s="58">
        <f t="array" ref="ED748">SUM(IF(EA748:EB748&gt;=EA748, 1))</f>
        <v>2</v>
      </c>
      <c r="EE748" s="58">
        <f t="array" ref="EE748">SUM(IF(EA748:EB748&gt;=EB748, 1))</f>
        <v>1</v>
      </c>
    </row>
    <row r="749" spans="4:135" ht="12" customHeight="1" x14ac:dyDescent="0.25">
      <c r="D749" s="11">
        <v>733</v>
      </c>
      <c r="E749" s="72">
        <v>233.38815818955837</v>
      </c>
      <c r="F749" s="72">
        <v>225.56528630152638</v>
      </c>
      <c r="G749" s="73"/>
      <c r="H749" s="74">
        <v>5.8251779549866747</v>
      </c>
      <c r="I749" s="74">
        <v>5.8413496726508827</v>
      </c>
      <c r="J749" s="73"/>
      <c r="K749" s="72">
        <v>251.33930801272473</v>
      </c>
      <c r="L749" s="72">
        <v>243.30587538432712</v>
      </c>
      <c r="M749" s="73"/>
      <c r="N749" s="74">
        <v>6.6870668357306569</v>
      </c>
      <c r="O749" s="74">
        <v>6.7012741711979507</v>
      </c>
      <c r="P749" s="73"/>
      <c r="Q749" s="72">
        <v>1676.9827908192674</v>
      </c>
      <c r="R749" s="72">
        <v>1266.7423144835175</v>
      </c>
      <c r="S749" s="73"/>
      <c r="T749" s="74">
        <v>4.7824159791719802</v>
      </c>
      <c r="U749" s="74">
        <v>4.8296031332898215</v>
      </c>
      <c r="V749" s="73"/>
      <c r="W749" s="72">
        <v>12254.07184054139</v>
      </c>
      <c r="X749" s="72">
        <v>12232.374449274062</v>
      </c>
      <c r="Y749" s="73"/>
      <c r="Z749" s="74">
        <v>2.8683987601341339</v>
      </c>
      <c r="AA749" s="74">
        <v>2.9152101159956239</v>
      </c>
      <c r="AB749" s="73"/>
      <c r="AC749" s="72">
        <v>51080.103501057863</v>
      </c>
      <c r="AD749" s="72">
        <v>50968.54521382691</v>
      </c>
      <c r="AE749" s="73"/>
      <c r="AF749" s="74">
        <v>4.3218109280159815</v>
      </c>
      <c r="AG749" s="74">
        <v>4.4292630963548358</v>
      </c>
      <c r="AH749" s="73"/>
      <c r="AI749" s="72">
        <v>837542.57852738618</v>
      </c>
      <c r="AJ749" s="72">
        <v>0</v>
      </c>
      <c r="AK749" s="73"/>
      <c r="AL749" s="74">
        <v>-1731.3976638706099</v>
      </c>
      <c r="AM749" s="74">
        <v>0</v>
      </c>
      <c r="AN749" s="73"/>
      <c r="AO749" s="72">
        <v>54634.249655712338</v>
      </c>
      <c r="AP749" s="72">
        <v>0</v>
      </c>
      <c r="AQ749" s="73"/>
      <c r="AR749" s="74">
        <v>-96.622097771598888</v>
      </c>
      <c r="AS749" s="74">
        <v>0</v>
      </c>
      <c r="AT749" s="73"/>
      <c r="AU749" s="72">
        <v>9716467.2670456469</v>
      </c>
      <c r="AV749" s="72">
        <v>0</v>
      </c>
      <c r="AW749" s="73"/>
      <c r="AX749" s="74">
        <v>-1117.6187257441711</v>
      </c>
      <c r="AY749" s="74">
        <v>0</v>
      </c>
      <c r="AZ749" s="73"/>
      <c r="BA749" s="72">
        <v>193862.79647671751</v>
      </c>
      <c r="BB749" s="72">
        <v>0</v>
      </c>
      <c r="BC749" s="73"/>
      <c r="BD749" s="74">
        <v>-418.25214111525861</v>
      </c>
      <c r="BE749" s="74">
        <v>0</v>
      </c>
      <c r="BF749" s="73"/>
      <c r="BG749" s="72">
        <v>1823008.5442317685</v>
      </c>
      <c r="BH749" s="72">
        <v>0</v>
      </c>
      <c r="BI749" s="73"/>
      <c r="BJ749" s="74">
        <v>-1755.9091829047959</v>
      </c>
      <c r="BK749" s="74">
        <v>0</v>
      </c>
      <c r="BL749" s="73"/>
      <c r="BM749" s="72">
        <v>12625515.435937231</v>
      </c>
      <c r="BN749" s="72">
        <v>0</v>
      </c>
      <c r="BO749" s="73"/>
      <c r="BP749" s="74">
        <v>-5119.7998114064339</v>
      </c>
      <c r="BQ749" s="74">
        <v>0</v>
      </c>
      <c r="BS749" s="109">
        <f t="shared" si="285"/>
        <v>116270.17094154394</v>
      </c>
      <c r="BT749" s="109">
        <f t="shared" si="286"/>
        <v>116601.42816671613</v>
      </c>
      <c r="BV749" s="58">
        <f t="array" ref="BV749">SUM(IF(BS749:BT749&gt;=BS749, 1))</f>
        <v>2</v>
      </c>
      <c r="BW749" s="58">
        <f t="array" ref="BW749">SUM(IF(BS749:BT749&gt;=BT749, 1))</f>
        <v>1</v>
      </c>
      <c r="BY749" s="109">
        <f t="shared" si="287"/>
        <v>133489.99740660042</v>
      </c>
      <c r="BZ749" s="109">
        <f t="shared" si="288"/>
        <v>133782.17754857469</v>
      </c>
      <c r="CB749" s="58">
        <f t="array" ref="CB749">SUM(IF(BY749:BZ749&gt;=BY749, 1))</f>
        <v>2</v>
      </c>
      <c r="CC749" s="58">
        <f t="array" ref="CC749">SUM(IF(BY749:BZ749&gt;=BZ749, 1))</f>
        <v>1</v>
      </c>
      <c r="CE749" s="109">
        <f t="shared" si="289"/>
        <v>93971.336792620335</v>
      </c>
      <c r="CF749" s="109">
        <f t="shared" si="290"/>
        <v>95325.320351312912</v>
      </c>
      <c r="CH749" s="58">
        <f t="array" ref="CH749">SUM(IF(CE749:CF749&gt;=CE749, 1))</f>
        <v>2</v>
      </c>
      <c r="CI749" s="58">
        <f t="array" ref="CI749">SUM(IF(CE749:CF749&gt;=CF749, 1))</f>
        <v>1</v>
      </c>
      <c r="CK749" s="109">
        <f t="shared" si="291"/>
        <v>45113.903362141282</v>
      </c>
      <c r="CL749" s="109">
        <f t="shared" si="292"/>
        <v>46071.827870638415</v>
      </c>
      <c r="CN749" s="58">
        <f t="array" ref="CN749">SUM(IF(CK749:CL749&gt;=CK749, 1))</f>
        <v>2</v>
      </c>
      <c r="CO749" s="58">
        <f t="array" ref="CO749">SUM(IF(CK749:CL749&gt;=CL749, 1))</f>
        <v>1</v>
      </c>
      <c r="CQ749" s="109" cm="1">
        <f t="array" ref="CQ749">AF749*WTP-AC749</f>
        <v>35356.115059261763</v>
      </c>
      <c r="CR749" s="109">
        <f t="shared" si="293"/>
        <v>37616.716713269801</v>
      </c>
      <c r="CT749" s="58">
        <f t="array" ref="CT749">SUM(IF(CQ749:CR749&gt;=CQ749, 1))</f>
        <v>2</v>
      </c>
      <c r="CU749" s="58">
        <f t="array" ref="CU749">SUM(IF(CQ749:CR749&gt;=CR749, 1))</f>
        <v>1</v>
      </c>
      <c r="CW749" s="109">
        <f t="shared" si="294"/>
        <v>-35465495.855939582</v>
      </c>
      <c r="CX749" s="109">
        <f t="shared" si="295"/>
        <v>0</v>
      </c>
      <c r="CZ749" s="58">
        <f t="array" ref="CZ749">SUM(IF(CW749:CX749&gt;=CW749, 1))</f>
        <v>2</v>
      </c>
      <c r="DA749" s="58">
        <f t="array" ref="DA749">SUM(IF(CW749:CX749&gt;=CX749, 1))</f>
        <v>1</v>
      </c>
      <c r="DC749" s="109">
        <f t="shared" si="296"/>
        <v>-1987076.2050876901</v>
      </c>
      <c r="DD749" s="109">
        <f t="shared" si="297"/>
        <v>0</v>
      </c>
      <c r="DF749" s="58">
        <f t="array" ref="DF749">SUM(IF(DC749:DD749&gt;=DC749, 1))</f>
        <v>2</v>
      </c>
      <c r="DG749" s="58">
        <f t="array" ref="DG749">SUM(IF(DC749:DD749&gt;=DD749, 1))</f>
        <v>1</v>
      </c>
      <c r="DI749" s="109">
        <f t="shared" si="298"/>
        <v>-32068841.781929068</v>
      </c>
      <c r="DJ749" s="109">
        <f t="shared" si="299"/>
        <v>0</v>
      </c>
      <c r="DL749" s="58">
        <f t="array" ref="DL749">SUM(IF(DI749:DJ749&gt;=DI749, 1))</f>
        <v>2</v>
      </c>
      <c r="DM749" s="58">
        <f t="array" ref="DM749">SUM(IF(DI749:DJ749&gt;=DJ749, 1))</f>
        <v>1</v>
      </c>
      <c r="DO749" s="109">
        <f t="shared" si="300"/>
        <v>-8558905.6187818889</v>
      </c>
      <c r="DP749" s="109">
        <f t="shared" si="301"/>
        <v>0</v>
      </c>
      <c r="DR749" s="58">
        <f t="array" ref="DR749">SUM(IF(DO749:DP749&gt;=DO749, 1))</f>
        <v>2</v>
      </c>
      <c r="DS749" s="58">
        <f t="array" ref="DS749">SUM(IF(DO749:DP749&gt;=DP749, 1))</f>
        <v>1</v>
      </c>
      <c r="DU749" s="109">
        <f t="shared" si="302"/>
        <v>-36941192.202327684</v>
      </c>
      <c r="DV749" s="109">
        <f t="shared" si="303"/>
        <v>0</v>
      </c>
      <c r="DX749" s="58">
        <f t="array" ref="DX749">SUM(IF(DU749:DV749&gt;=DU749, 1))</f>
        <v>2</v>
      </c>
      <c r="DY749" s="58">
        <f t="array" ref="DY749">SUM(IF(DU749:DV749&gt;=DV749, 1))</f>
        <v>1</v>
      </c>
      <c r="EA749" s="109">
        <f t="shared" si="304"/>
        <v>-115021511.6640659</v>
      </c>
      <c r="EB749" s="109">
        <f t="shared" si="305"/>
        <v>0</v>
      </c>
      <c r="ED749" s="58">
        <f t="array" ref="ED749">SUM(IF(EA749:EB749&gt;=EA749, 1))</f>
        <v>2</v>
      </c>
      <c r="EE749" s="58">
        <f t="array" ref="EE749">SUM(IF(EA749:EB749&gt;=EB749, 1))</f>
        <v>1</v>
      </c>
    </row>
    <row r="750" spans="4:135" ht="12" customHeight="1" x14ac:dyDescent="0.25">
      <c r="D750" s="11">
        <v>734</v>
      </c>
      <c r="E750" s="72">
        <v>258.57953291232258</v>
      </c>
      <c r="F750" s="72">
        <v>227.01436308211359</v>
      </c>
      <c r="G750" s="73"/>
      <c r="H750" s="74">
        <v>5.80730315862764</v>
      </c>
      <c r="I750" s="74">
        <v>5.8224055055322745</v>
      </c>
      <c r="J750" s="73"/>
      <c r="K750" s="72">
        <v>276.9781444482623</v>
      </c>
      <c r="L750" s="72">
        <v>244.67097785723968</v>
      </c>
      <c r="M750" s="73"/>
      <c r="N750" s="74">
        <v>6.6955512557635952</v>
      </c>
      <c r="O750" s="74">
        <v>6.7080728047690323</v>
      </c>
      <c r="P750" s="73"/>
      <c r="Q750" s="72">
        <v>2686.3084880686097</v>
      </c>
      <c r="R750" s="72">
        <v>1210.436631137108</v>
      </c>
      <c r="S750" s="73"/>
      <c r="T750" s="74">
        <v>4.7047577231593536</v>
      </c>
      <c r="U750" s="74">
        <v>4.8332030048068377</v>
      </c>
      <c r="V750" s="73"/>
      <c r="W750" s="72">
        <v>12554.640280548652</v>
      </c>
      <c r="X750" s="72">
        <v>12505.85858535158</v>
      </c>
      <c r="Y750" s="73"/>
      <c r="Z750" s="74">
        <v>2.8862996720600909</v>
      </c>
      <c r="AA750" s="74">
        <v>2.9358038836426408</v>
      </c>
      <c r="AB750" s="73"/>
      <c r="AC750" s="72">
        <v>50966.794814890483</v>
      </c>
      <c r="AD750" s="72">
        <v>50584.575020501856</v>
      </c>
      <c r="AE750" s="73"/>
      <c r="AF750" s="74">
        <v>4.5494786886493142</v>
      </c>
      <c r="AG750" s="74">
        <v>4.7088522762962031</v>
      </c>
      <c r="AH750" s="73"/>
      <c r="AI750" s="72">
        <v>3456775.678348931</v>
      </c>
      <c r="AJ750" s="72">
        <v>0</v>
      </c>
      <c r="AK750" s="73"/>
      <c r="AL750" s="74">
        <v>-1653.8933814310237</v>
      </c>
      <c r="AM750" s="74">
        <v>0</v>
      </c>
      <c r="AN750" s="73"/>
      <c r="AO750" s="72">
        <v>221828.69231333022</v>
      </c>
      <c r="AP750" s="72">
        <v>0</v>
      </c>
      <c r="AQ750" s="73"/>
      <c r="AR750" s="74">
        <v>-85.975934589857673</v>
      </c>
      <c r="AS750" s="74">
        <v>0</v>
      </c>
      <c r="AT750" s="73"/>
      <c r="AU750" s="72">
        <v>34386618.030789673</v>
      </c>
      <c r="AV750" s="72">
        <v>0</v>
      </c>
      <c r="AW750" s="73"/>
      <c r="AX750" s="74">
        <v>-2992.6709538673917</v>
      </c>
      <c r="AY750" s="74">
        <v>0</v>
      </c>
      <c r="AZ750" s="73"/>
      <c r="BA750" s="72">
        <v>433366.97299094999</v>
      </c>
      <c r="BB750" s="72">
        <v>0</v>
      </c>
      <c r="BC750" s="73"/>
      <c r="BD750" s="74">
        <v>-439.78566626607517</v>
      </c>
      <c r="BE750" s="74">
        <v>0</v>
      </c>
      <c r="BF750" s="73"/>
      <c r="BG750" s="72">
        <v>6079817.5500300732</v>
      </c>
      <c r="BH750" s="72">
        <v>0</v>
      </c>
      <c r="BI750" s="73"/>
      <c r="BJ750" s="74">
        <v>-2535.0919795681866</v>
      </c>
      <c r="BK750" s="74">
        <v>0</v>
      </c>
      <c r="BL750" s="73"/>
      <c r="BM750" s="72">
        <v>44578406.924472965</v>
      </c>
      <c r="BN750" s="72">
        <v>0</v>
      </c>
      <c r="BO750" s="73"/>
      <c r="BP750" s="74">
        <v>-7707.4179157225353</v>
      </c>
      <c r="BQ750" s="74">
        <v>0</v>
      </c>
      <c r="BS750" s="109">
        <f t="shared" si="285"/>
        <v>115887.48363964049</v>
      </c>
      <c r="BT750" s="109">
        <f t="shared" si="286"/>
        <v>116221.09574756338</v>
      </c>
      <c r="BV750" s="58">
        <f t="array" ref="BV750">SUM(IF(BS750:BT750&gt;=BS750, 1))</f>
        <v>2</v>
      </c>
      <c r="BW750" s="58">
        <f t="array" ref="BW750">SUM(IF(BS750:BT750&gt;=BT750, 1))</f>
        <v>1</v>
      </c>
      <c r="BY750" s="109">
        <f t="shared" si="287"/>
        <v>133634.04697082366</v>
      </c>
      <c r="BZ750" s="109">
        <f t="shared" si="288"/>
        <v>133916.78511752342</v>
      </c>
      <c r="CB750" s="58">
        <f t="array" ref="CB750">SUM(IF(BY750:BZ750&gt;=BY750, 1))</f>
        <v>2</v>
      </c>
      <c r="CC750" s="58">
        <f t="array" ref="CC750">SUM(IF(BY750:BZ750&gt;=BZ750, 1))</f>
        <v>1</v>
      </c>
      <c r="CE750" s="109">
        <f t="shared" si="289"/>
        <v>91408.845975118471</v>
      </c>
      <c r="CF750" s="109">
        <f t="shared" si="290"/>
        <v>95453.623464999648</v>
      </c>
      <c r="CH750" s="58">
        <f t="array" ref="CH750">SUM(IF(CE750:CF750&gt;=CE750, 1))</f>
        <v>2</v>
      </c>
      <c r="CI750" s="58">
        <f t="array" ref="CI750">SUM(IF(CE750:CF750&gt;=CF750, 1))</f>
        <v>1</v>
      </c>
      <c r="CK750" s="109">
        <f t="shared" si="291"/>
        <v>45171.353160653169</v>
      </c>
      <c r="CL750" s="109">
        <f t="shared" si="292"/>
        <v>46210.219087501231</v>
      </c>
      <c r="CN750" s="58">
        <f t="array" ref="CN750">SUM(IF(CK750:CL750&gt;=CK750, 1))</f>
        <v>2</v>
      </c>
      <c r="CO750" s="58">
        <f t="array" ref="CO750">SUM(IF(CK750:CL750&gt;=CL750, 1))</f>
        <v>1</v>
      </c>
      <c r="CQ750" s="109" cm="1">
        <f t="array" ref="CQ750">AF750*WTP-AC750</f>
        <v>40022.778958095805</v>
      </c>
      <c r="CR750" s="109">
        <f t="shared" si="293"/>
        <v>43592.470505422199</v>
      </c>
      <c r="CT750" s="58">
        <f t="array" ref="CT750">SUM(IF(CQ750:CR750&gt;=CQ750, 1))</f>
        <v>2</v>
      </c>
      <c r="CU750" s="58">
        <f t="array" ref="CU750">SUM(IF(CQ750:CR750&gt;=CR750, 1))</f>
        <v>1</v>
      </c>
      <c r="CW750" s="109">
        <f t="shared" si="294"/>
        <v>-36534643.306969404</v>
      </c>
      <c r="CX750" s="109">
        <f t="shared" si="295"/>
        <v>0</v>
      </c>
      <c r="CZ750" s="58">
        <f t="array" ref="CZ750">SUM(IF(CW750:CX750&gt;=CW750, 1))</f>
        <v>2</v>
      </c>
      <c r="DA750" s="58">
        <f t="array" ref="DA750">SUM(IF(CW750:CX750&gt;=CX750, 1))</f>
        <v>1</v>
      </c>
      <c r="DC750" s="109">
        <f t="shared" si="296"/>
        <v>-1941347.3841104838</v>
      </c>
      <c r="DD750" s="109">
        <f t="shared" si="297"/>
        <v>0</v>
      </c>
      <c r="DF750" s="58">
        <f t="array" ref="DF750">SUM(IF(DC750:DD750&gt;=DC750, 1))</f>
        <v>2</v>
      </c>
      <c r="DG750" s="58">
        <f t="array" ref="DG750">SUM(IF(DC750:DD750&gt;=DD750, 1))</f>
        <v>1</v>
      </c>
      <c r="DI750" s="109">
        <f t="shared" si="298"/>
        <v>-94240037.108137518</v>
      </c>
      <c r="DJ750" s="109">
        <f t="shared" si="299"/>
        <v>0</v>
      </c>
      <c r="DL750" s="58">
        <f t="array" ref="DL750">SUM(IF(DI750:DJ750&gt;=DI750, 1))</f>
        <v>2</v>
      </c>
      <c r="DM750" s="58">
        <f t="array" ref="DM750">SUM(IF(DI750:DJ750&gt;=DJ750, 1))</f>
        <v>1</v>
      </c>
      <c r="DO750" s="109">
        <f t="shared" si="300"/>
        <v>-9229080.2983124536</v>
      </c>
      <c r="DP750" s="109">
        <f t="shared" si="301"/>
        <v>0</v>
      </c>
      <c r="DR750" s="58">
        <f t="array" ref="DR750">SUM(IF(DO750:DP750&gt;=DO750, 1))</f>
        <v>2</v>
      </c>
      <c r="DS750" s="58">
        <f t="array" ref="DS750">SUM(IF(DO750:DP750&gt;=DP750, 1))</f>
        <v>1</v>
      </c>
      <c r="DU750" s="109">
        <f t="shared" si="302"/>
        <v>-56781657.141393811</v>
      </c>
      <c r="DV750" s="109">
        <f t="shared" si="303"/>
        <v>0</v>
      </c>
      <c r="DX750" s="58">
        <f t="array" ref="DX750">SUM(IF(DU750:DV750&gt;=DU750, 1))</f>
        <v>2</v>
      </c>
      <c r="DY750" s="58">
        <f t="array" ref="DY750">SUM(IF(DU750:DV750&gt;=DV750, 1))</f>
        <v>1</v>
      </c>
      <c r="EA750" s="109">
        <f t="shared" si="304"/>
        <v>-198726765.23892367</v>
      </c>
      <c r="EB750" s="109">
        <f t="shared" si="305"/>
        <v>0</v>
      </c>
      <c r="ED750" s="58">
        <f t="array" ref="ED750">SUM(IF(EA750:EB750&gt;=EA750, 1))</f>
        <v>2</v>
      </c>
      <c r="EE750" s="58">
        <f t="array" ref="EE750">SUM(IF(EA750:EB750&gt;=EB750, 1))</f>
        <v>1</v>
      </c>
    </row>
    <row r="751" spans="4:135" ht="12" customHeight="1" x14ac:dyDescent="0.25">
      <c r="D751" s="11">
        <v>735</v>
      </c>
      <c r="E751" s="72">
        <v>278.38876715914643</v>
      </c>
      <c r="F751" s="72">
        <v>232.81381379172296</v>
      </c>
      <c r="G751" s="73"/>
      <c r="H751" s="74">
        <v>5.8768641129012007</v>
      </c>
      <c r="I751" s="74">
        <v>5.8988516415384948</v>
      </c>
      <c r="J751" s="73"/>
      <c r="K751" s="72">
        <v>297.69852308182874</v>
      </c>
      <c r="L751" s="72">
        <v>251.08751157137326</v>
      </c>
      <c r="M751" s="73"/>
      <c r="N751" s="74">
        <v>6.7763226937555787</v>
      </c>
      <c r="O751" s="74">
        <v>6.7958749437868207</v>
      </c>
      <c r="P751" s="73"/>
      <c r="Q751" s="72">
        <v>4377.1726744353982</v>
      </c>
      <c r="R751" s="72">
        <v>1693.1554689623886</v>
      </c>
      <c r="S751" s="73"/>
      <c r="T751" s="74">
        <v>4.7046250679690145</v>
      </c>
      <c r="U751" s="74">
        <v>4.8951640182202967</v>
      </c>
      <c r="V751" s="73"/>
      <c r="W751" s="72">
        <v>10499.247392919711</v>
      </c>
      <c r="X751" s="72">
        <v>10510.550669510147</v>
      </c>
      <c r="Y751" s="73"/>
      <c r="Z751" s="74">
        <v>3.0950578022840047</v>
      </c>
      <c r="AA751" s="74">
        <v>3.1427831866925859</v>
      </c>
      <c r="AB751" s="73"/>
      <c r="AC751" s="72">
        <v>50552.471582456608</v>
      </c>
      <c r="AD751" s="72">
        <v>50422.859650089893</v>
      </c>
      <c r="AE751" s="73"/>
      <c r="AF751" s="74">
        <v>4.3329039008125161</v>
      </c>
      <c r="AG751" s="74">
        <v>4.4205121765132835</v>
      </c>
      <c r="AH751" s="73"/>
      <c r="AI751" s="72">
        <v>4917193.8731363332</v>
      </c>
      <c r="AJ751" s="72">
        <v>0</v>
      </c>
      <c r="AK751" s="73"/>
      <c r="AL751" s="74">
        <v>-2372.288573266942</v>
      </c>
      <c r="AM751" s="74">
        <v>0</v>
      </c>
      <c r="AN751" s="73"/>
      <c r="AO751" s="72">
        <v>321917.01140619483</v>
      </c>
      <c r="AP751" s="72">
        <v>0</v>
      </c>
      <c r="AQ751" s="73"/>
      <c r="AR751" s="74">
        <v>-135.03680122694209</v>
      </c>
      <c r="AS751" s="74">
        <v>0</v>
      </c>
      <c r="AT751" s="73"/>
      <c r="AU751" s="72">
        <v>61925058.364013352</v>
      </c>
      <c r="AV751" s="72">
        <v>0</v>
      </c>
      <c r="AW751" s="73"/>
      <c r="AX751" s="74">
        <v>-4396.0730172924141</v>
      </c>
      <c r="AY751" s="74">
        <v>0</v>
      </c>
      <c r="AZ751" s="73"/>
      <c r="BA751" s="72">
        <v>-99012.255639653013</v>
      </c>
      <c r="BB751" s="72">
        <v>0</v>
      </c>
      <c r="BC751" s="73"/>
      <c r="BD751" s="74">
        <v>-418.05558978904224</v>
      </c>
      <c r="BE751" s="74">
        <v>0</v>
      </c>
      <c r="BF751" s="73"/>
      <c r="BG751" s="72">
        <v>2040264.42286435</v>
      </c>
      <c r="BH751" s="72">
        <v>0</v>
      </c>
      <c r="BI751" s="73"/>
      <c r="BJ751" s="74">
        <v>-1379.0709296350949</v>
      </c>
      <c r="BK751" s="74">
        <v>0</v>
      </c>
      <c r="BL751" s="73"/>
      <c r="BM751" s="72">
        <v>69105421.415780589</v>
      </c>
      <c r="BN751" s="72">
        <v>0</v>
      </c>
      <c r="BO751" s="73"/>
      <c r="BP751" s="74">
        <v>-8700.5249112104357</v>
      </c>
      <c r="BQ751" s="74">
        <v>0</v>
      </c>
      <c r="BS751" s="109">
        <f t="shared" si="285"/>
        <v>117258.89349086487</v>
      </c>
      <c r="BT751" s="109">
        <f t="shared" si="286"/>
        <v>117744.21901697817</v>
      </c>
      <c r="BV751" s="58">
        <f t="array" ref="BV751">SUM(IF(BS751:BT751&gt;=BS751, 1))</f>
        <v>2</v>
      </c>
      <c r="BW751" s="58">
        <f t="array" ref="BW751">SUM(IF(BS751:BT751&gt;=BT751, 1))</f>
        <v>1</v>
      </c>
      <c r="BY751" s="109">
        <f t="shared" si="287"/>
        <v>135228.75535202972</v>
      </c>
      <c r="BZ751" s="109">
        <f t="shared" si="288"/>
        <v>135666.41136416502</v>
      </c>
      <c r="CB751" s="58">
        <f t="array" ref="CB751">SUM(IF(BY751:BZ751&gt;=BY751, 1))</f>
        <v>2</v>
      </c>
      <c r="CC751" s="58">
        <f t="array" ref="CC751">SUM(IF(BY751:BZ751&gt;=BZ751, 1))</f>
        <v>1</v>
      </c>
      <c r="CE751" s="109">
        <f t="shared" si="289"/>
        <v>89715.328684944892</v>
      </c>
      <c r="CF751" s="109">
        <f t="shared" si="290"/>
        <v>96210.124895443543</v>
      </c>
      <c r="CH751" s="58">
        <f t="array" ref="CH751">SUM(IF(CE751:CF751&gt;=CE751, 1))</f>
        <v>2</v>
      </c>
      <c r="CI751" s="58">
        <f t="array" ref="CI751">SUM(IF(CE751:CF751&gt;=CF751, 1))</f>
        <v>1</v>
      </c>
      <c r="CK751" s="109">
        <f t="shared" si="291"/>
        <v>51401.908652760379</v>
      </c>
      <c r="CL751" s="109">
        <f t="shared" si="292"/>
        <v>52345.113064341567</v>
      </c>
      <c r="CN751" s="58">
        <f t="array" ref="CN751">SUM(IF(CK751:CL751&gt;=CK751, 1))</f>
        <v>2</v>
      </c>
      <c r="CO751" s="58">
        <f t="array" ref="CO751">SUM(IF(CK751:CL751&gt;=CL751, 1))</f>
        <v>1</v>
      </c>
      <c r="CQ751" s="109" cm="1">
        <f t="array" ref="CQ751">AF751*WTP-AC751</f>
        <v>36105.606433793713</v>
      </c>
      <c r="CR751" s="109">
        <f t="shared" si="293"/>
        <v>37987.383880175774</v>
      </c>
      <c r="CT751" s="58">
        <f t="array" ref="CT751">SUM(IF(CQ751:CR751&gt;=CQ751, 1))</f>
        <v>2</v>
      </c>
      <c r="CU751" s="58">
        <f t="array" ref="CU751">SUM(IF(CQ751:CR751&gt;=CR751, 1))</f>
        <v>1</v>
      </c>
      <c r="CW751" s="109">
        <f t="shared" si="294"/>
        <v>-52362965.338475175</v>
      </c>
      <c r="CX751" s="109">
        <f t="shared" si="295"/>
        <v>0</v>
      </c>
      <c r="CZ751" s="58">
        <f t="array" ref="CZ751">SUM(IF(CW751:CX751&gt;=CW751, 1))</f>
        <v>2</v>
      </c>
      <c r="DA751" s="58">
        <f t="array" ref="DA751">SUM(IF(CW751:CX751&gt;=CX751, 1))</f>
        <v>1</v>
      </c>
      <c r="DC751" s="109">
        <f t="shared" si="296"/>
        <v>-3022653.0359450364</v>
      </c>
      <c r="DD751" s="109">
        <f t="shared" si="297"/>
        <v>0</v>
      </c>
      <c r="DF751" s="58">
        <f t="array" ref="DF751">SUM(IF(DC751:DD751&gt;=DC751, 1))</f>
        <v>2</v>
      </c>
      <c r="DG751" s="58">
        <f t="array" ref="DG751">SUM(IF(DC751:DD751&gt;=DD751, 1))</f>
        <v>1</v>
      </c>
      <c r="DI751" s="109">
        <f t="shared" si="298"/>
        <v>-149846518.70986164</v>
      </c>
      <c r="DJ751" s="109">
        <f t="shared" si="299"/>
        <v>0</v>
      </c>
      <c r="DL751" s="58">
        <f t="array" ref="DL751">SUM(IF(DI751:DJ751&gt;=DI751, 1))</f>
        <v>2</v>
      </c>
      <c r="DM751" s="58">
        <f t="array" ref="DM751">SUM(IF(DI751:DJ751&gt;=DJ751, 1))</f>
        <v>1</v>
      </c>
      <c r="DO751" s="109">
        <f t="shared" si="300"/>
        <v>-8262099.5401411923</v>
      </c>
      <c r="DP751" s="109">
        <f t="shared" si="301"/>
        <v>0</v>
      </c>
      <c r="DR751" s="58">
        <f t="array" ref="DR751">SUM(IF(DO751:DP751&gt;=DO751, 1))</f>
        <v>2</v>
      </c>
      <c r="DS751" s="58">
        <f t="array" ref="DS751">SUM(IF(DO751:DP751&gt;=DP751, 1))</f>
        <v>1</v>
      </c>
      <c r="DU751" s="109">
        <f t="shared" si="302"/>
        <v>-29621683.015566248</v>
      </c>
      <c r="DV751" s="109">
        <f t="shared" si="303"/>
        <v>0</v>
      </c>
      <c r="DX751" s="58">
        <f t="array" ref="DX751">SUM(IF(DU751:DV751&gt;=DU751, 1))</f>
        <v>2</v>
      </c>
      <c r="DY751" s="58">
        <f t="array" ref="DY751">SUM(IF(DU751:DV751&gt;=DV751, 1))</f>
        <v>1</v>
      </c>
      <c r="EA751" s="109">
        <f t="shared" si="304"/>
        <v>-243115919.63998932</v>
      </c>
      <c r="EB751" s="109">
        <f t="shared" si="305"/>
        <v>0</v>
      </c>
      <c r="ED751" s="58">
        <f t="array" ref="ED751">SUM(IF(EA751:EB751&gt;=EA751, 1))</f>
        <v>2</v>
      </c>
      <c r="EE751" s="58">
        <f t="array" ref="EE751">SUM(IF(EA751:EB751&gt;=EB751, 1))</f>
        <v>1</v>
      </c>
    </row>
    <row r="752" spans="4:135" ht="12" customHeight="1" x14ac:dyDescent="0.25">
      <c r="D752" s="11">
        <v>736</v>
      </c>
      <c r="E752" s="72">
        <v>275.56028158533297</v>
      </c>
      <c r="F752" s="72">
        <v>249.0898444943243</v>
      </c>
      <c r="G752" s="73"/>
      <c r="H752" s="74">
        <v>5.8115165279177896</v>
      </c>
      <c r="I752" s="74">
        <v>5.8251909381848543</v>
      </c>
      <c r="J752" s="73"/>
      <c r="K752" s="72">
        <v>295.5290289555706</v>
      </c>
      <c r="L752" s="72">
        <v>268.46805328149156</v>
      </c>
      <c r="M752" s="73"/>
      <c r="N752" s="74">
        <v>6.6868663658390641</v>
      </c>
      <c r="O752" s="74">
        <v>6.6991102188473635</v>
      </c>
      <c r="P752" s="73"/>
      <c r="Q752" s="72">
        <v>3682.0264612488022</v>
      </c>
      <c r="R752" s="72">
        <v>1520.5384483774451</v>
      </c>
      <c r="S752" s="73"/>
      <c r="T752" s="74">
        <v>4.7835116850846804</v>
      </c>
      <c r="U752" s="74">
        <v>4.908630722943891</v>
      </c>
      <c r="V752" s="73"/>
      <c r="W752" s="72">
        <v>13086.106160510932</v>
      </c>
      <c r="X752" s="72">
        <v>13098.577977526165</v>
      </c>
      <c r="Y752" s="73"/>
      <c r="Z752" s="74">
        <v>3.0939941949822658</v>
      </c>
      <c r="AA752" s="74">
        <v>3.1405070646190172</v>
      </c>
      <c r="AB752" s="73"/>
      <c r="AC752" s="72">
        <v>50105.159466593832</v>
      </c>
      <c r="AD752" s="72">
        <v>49875.477319381287</v>
      </c>
      <c r="AE752" s="73"/>
      <c r="AF752" s="74">
        <v>4.5222497152928369</v>
      </c>
      <c r="AG752" s="74">
        <v>4.6358494082351092</v>
      </c>
      <c r="AH752" s="73"/>
      <c r="AI752" s="72">
        <v>2860063.0376310037</v>
      </c>
      <c r="AJ752" s="72">
        <v>0</v>
      </c>
      <c r="AK752" s="73"/>
      <c r="AL752" s="74">
        <v>-1477.4850612315079</v>
      </c>
      <c r="AM752" s="74">
        <v>0</v>
      </c>
      <c r="AN752" s="73"/>
      <c r="AO752" s="72">
        <v>179710.92716723977</v>
      </c>
      <c r="AP752" s="72">
        <v>0</v>
      </c>
      <c r="AQ752" s="73"/>
      <c r="AR752" s="74">
        <v>-81.310969815790116</v>
      </c>
      <c r="AS752" s="74">
        <v>0</v>
      </c>
      <c r="AT752" s="73"/>
      <c r="AU752" s="72">
        <v>49475141.158222139</v>
      </c>
      <c r="AV752" s="72">
        <v>0</v>
      </c>
      <c r="AW752" s="73"/>
      <c r="AX752" s="74">
        <v>-2863.8983990672755</v>
      </c>
      <c r="AY752" s="74">
        <v>0</v>
      </c>
      <c r="AZ752" s="73"/>
      <c r="BA752" s="72">
        <v>-114651.82572356459</v>
      </c>
      <c r="BB752" s="72">
        <v>0</v>
      </c>
      <c r="BC752" s="73"/>
      <c r="BD752" s="74">
        <v>-427.58688785940143</v>
      </c>
      <c r="BE752" s="74">
        <v>0</v>
      </c>
      <c r="BF752" s="73"/>
      <c r="BG752" s="72">
        <v>3618188.6314423718</v>
      </c>
      <c r="BH752" s="72">
        <v>0</v>
      </c>
      <c r="BI752" s="73"/>
      <c r="BJ752" s="74">
        <v>-1789.5388149550711</v>
      </c>
      <c r="BK752" s="74">
        <v>0</v>
      </c>
      <c r="BL752" s="73"/>
      <c r="BM752" s="72">
        <v>56018451.92873919</v>
      </c>
      <c r="BN752" s="72">
        <v>0</v>
      </c>
      <c r="BO752" s="73"/>
      <c r="BP752" s="74">
        <v>-6639.820132929045</v>
      </c>
      <c r="BQ752" s="74">
        <v>0</v>
      </c>
      <c r="BS752" s="109">
        <f t="shared" si="285"/>
        <v>115954.77027677046</v>
      </c>
      <c r="BT752" s="109">
        <f t="shared" si="286"/>
        <v>116254.72891920275</v>
      </c>
      <c r="BV752" s="58">
        <f t="array" ref="BV752">SUM(IF(BS752:BT752&gt;=BS752, 1))</f>
        <v>2</v>
      </c>
      <c r="BW752" s="58">
        <f t="array" ref="BW752">SUM(IF(BS752:BT752&gt;=BT752, 1))</f>
        <v>1</v>
      </c>
      <c r="BY752" s="109">
        <f t="shared" si="287"/>
        <v>133441.79828782569</v>
      </c>
      <c r="BZ752" s="109">
        <f t="shared" si="288"/>
        <v>133713.7363236658</v>
      </c>
      <c r="CB752" s="58">
        <f t="array" ref="CB752">SUM(IF(BY752:BZ752&gt;=BY752, 1))</f>
        <v>2</v>
      </c>
      <c r="CC752" s="58">
        <f t="array" ref="CC752">SUM(IF(BY752:BZ752&gt;=BZ752, 1))</f>
        <v>1</v>
      </c>
      <c r="CE752" s="109">
        <f t="shared" si="289"/>
        <v>91988.207240444812</v>
      </c>
      <c r="CF752" s="109">
        <f t="shared" si="290"/>
        <v>96652.076010500386</v>
      </c>
      <c r="CH752" s="58">
        <f t="array" ref="CH752">SUM(IF(CE752:CF752&gt;=CE752, 1))</f>
        <v>2</v>
      </c>
      <c r="CI752" s="58">
        <f t="array" ref="CI752">SUM(IF(CE752:CF752&gt;=CF752, 1))</f>
        <v>1</v>
      </c>
      <c r="CK752" s="109">
        <f t="shared" si="291"/>
        <v>48793.777739134384</v>
      </c>
      <c r="CL752" s="109">
        <f t="shared" si="292"/>
        <v>49711.563314854182</v>
      </c>
      <c r="CN752" s="58">
        <f t="array" ref="CN752">SUM(IF(CK752:CL752&gt;=CK752, 1))</f>
        <v>2</v>
      </c>
      <c r="CO752" s="58">
        <f t="array" ref="CO752">SUM(IF(CK752:CL752&gt;=CL752, 1))</f>
        <v>1</v>
      </c>
      <c r="CQ752" s="109" cm="1">
        <f t="array" ref="CQ752">AF752*WTP-AC752</f>
        <v>40339.834839262912</v>
      </c>
      <c r="CR752" s="109">
        <f t="shared" si="293"/>
        <v>42841.510845320896</v>
      </c>
      <c r="CT752" s="58">
        <f t="array" ref="CT752">SUM(IF(CQ752:CR752&gt;=CQ752, 1))</f>
        <v>2</v>
      </c>
      <c r="CU752" s="58">
        <f t="array" ref="CU752">SUM(IF(CQ752:CR752&gt;=CR752, 1))</f>
        <v>1</v>
      </c>
      <c r="CW752" s="109">
        <f t="shared" si="294"/>
        <v>-32409764.262261163</v>
      </c>
      <c r="CX752" s="109">
        <f t="shared" si="295"/>
        <v>0</v>
      </c>
      <c r="CZ752" s="58">
        <f t="array" ref="CZ752">SUM(IF(CW752:CX752&gt;=CW752, 1))</f>
        <v>2</v>
      </c>
      <c r="DA752" s="58">
        <f t="array" ref="DA752">SUM(IF(CW752:CX752&gt;=CX752, 1))</f>
        <v>1</v>
      </c>
      <c r="DC752" s="109">
        <f t="shared" si="296"/>
        <v>-1805930.3234830422</v>
      </c>
      <c r="DD752" s="109">
        <f t="shared" si="297"/>
        <v>0</v>
      </c>
      <c r="DF752" s="58">
        <f t="array" ref="DF752">SUM(IF(DC752:DD752&gt;=DC752, 1))</f>
        <v>2</v>
      </c>
      <c r="DG752" s="58">
        <f t="array" ref="DG752">SUM(IF(DC752:DD752&gt;=DD752, 1))</f>
        <v>1</v>
      </c>
      <c r="DI752" s="109">
        <f t="shared" si="298"/>
        <v>-106753109.13956764</v>
      </c>
      <c r="DJ752" s="109">
        <f t="shared" si="299"/>
        <v>0</v>
      </c>
      <c r="DL752" s="58">
        <f t="array" ref="DL752">SUM(IF(DI752:DJ752&gt;=DI752, 1))</f>
        <v>2</v>
      </c>
      <c r="DM752" s="58">
        <f t="array" ref="DM752">SUM(IF(DI752:DJ752&gt;=DJ752, 1))</f>
        <v>1</v>
      </c>
      <c r="DO752" s="109">
        <f t="shared" si="300"/>
        <v>-8437085.9314644635</v>
      </c>
      <c r="DP752" s="109">
        <f t="shared" si="301"/>
        <v>0</v>
      </c>
      <c r="DR752" s="58">
        <f t="array" ref="DR752">SUM(IF(DO752:DP752&gt;=DO752, 1))</f>
        <v>2</v>
      </c>
      <c r="DS752" s="58">
        <f t="array" ref="DS752">SUM(IF(DO752:DP752&gt;=DP752, 1))</f>
        <v>1</v>
      </c>
      <c r="DU752" s="109">
        <f t="shared" si="302"/>
        <v>-39408964.930543795</v>
      </c>
      <c r="DV752" s="109">
        <f t="shared" si="303"/>
        <v>0</v>
      </c>
      <c r="DX752" s="58">
        <f t="array" ref="DX752">SUM(IF(DU752:DV752&gt;=DU752, 1))</f>
        <v>2</v>
      </c>
      <c r="DY752" s="58">
        <f t="array" ref="DY752">SUM(IF(DU752:DV752&gt;=DV752, 1))</f>
        <v>1</v>
      </c>
      <c r="EA752" s="109">
        <f t="shared" si="304"/>
        <v>-188814854.58732009</v>
      </c>
      <c r="EB752" s="109">
        <f t="shared" si="305"/>
        <v>0</v>
      </c>
      <c r="ED752" s="58">
        <f t="array" ref="ED752">SUM(IF(EA752:EB752&gt;=EA752, 1))</f>
        <v>2</v>
      </c>
      <c r="EE752" s="58">
        <f t="array" ref="EE752">SUM(IF(EA752:EB752&gt;=EB752, 1))</f>
        <v>1</v>
      </c>
    </row>
    <row r="753" spans="4:135" ht="12" customHeight="1" x14ac:dyDescent="0.25">
      <c r="D753" s="11">
        <v>737</v>
      </c>
      <c r="E753" s="72">
        <v>286.81918676227826</v>
      </c>
      <c r="F753" s="72">
        <v>266.84771568985377</v>
      </c>
      <c r="G753" s="73"/>
      <c r="H753" s="74">
        <v>5.8168230165492814</v>
      </c>
      <c r="I753" s="74">
        <v>5.833535139601322</v>
      </c>
      <c r="J753" s="73"/>
      <c r="K753" s="72">
        <v>308.27050212243404</v>
      </c>
      <c r="L753" s="72">
        <v>287.79953569935248</v>
      </c>
      <c r="M753" s="73"/>
      <c r="N753" s="74">
        <v>6.6749602248367523</v>
      </c>
      <c r="O753" s="74">
        <v>6.6890191313133007</v>
      </c>
      <c r="P753" s="73"/>
      <c r="Q753" s="72">
        <v>1609.8424437842439</v>
      </c>
      <c r="R753" s="72">
        <v>1252.469752410107</v>
      </c>
      <c r="S753" s="73"/>
      <c r="T753" s="74">
        <v>4.8596372892806503</v>
      </c>
      <c r="U753" s="74">
        <v>4.9228762590861903</v>
      </c>
      <c r="V753" s="73"/>
      <c r="W753" s="72">
        <v>9505.7841155261558</v>
      </c>
      <c r="X753" s="72">
        <v>9507.7934209668638</v>
      </c>
      <c r="Y753" s="73"/>
      <c r="Z753" s="74">
        <v>3.0620955644459324</v>
      </c>
      <c r="AA753" s="74">
        <v>3.1227043974531967</v>
      </c>
      <c r="AB753" s="73"/>
      <c r="AC753" s="72">
        <v>50416.409220174231</v>
      </c>
      <c r="AD753" s="72">
        <v>50275.0047833403</v>
      </c>
      <c r="AE753" s="73"/>
      <c r="AF753" s="74">
        <v>4.5941737385478527</v>
      </c>
      <c r="AG753" s="74">
        <v>4.6604807446760175</v>
      </c>
      <c r="AH753" s="73"/>
      <c r="AI753" s="72">
        <v>2138215.3129282771</v>
      </c>
      <c r="AJ753" s="72">
        <v>0</v>
      </c>
      <c r="AK753" s="73"/>
      <c r="AL753" s="74">
        <v>-1789.2581518821917</v>
      </c>
      <c r="AM753" s="74">
        <v>0</v>
      </c>
      <c r="AN753" s="73"/>
      <c r="AO753" s="72">
        <v>136076.67878474161</v>
      </c>
      <c r="AP753" s="72">
        <v>0</v>
      </c>
      <c r="AQ753" s="73"/>
      <c r="AR753" s="74">
        <v>-93.45378528475041</v>
      </c>
      <c r="AS753" s="74">
        <v>0</v>
      </c>
      <c r="AT753" s="73"/>
      <c r="AU753" s="72">
        <v>8491905.8794928901</v>
      </c>
      <c r="AV753" s="72">
        <v>0</v>
      </c>
      <c r="AW753" s="73"/>
      <c r="AX753" s="74">
        <v>-1502.6872295133708</v>
      </c>
      <c r="AY753" s="74">
        <v>0</v>
      </c>
      <c r="AZ753" s="73"/>
      <c r="BA753" s="72">
        <v>-18273.018380166021</v>
      </c>
      <c r="BB753" s="72">
        <v>0</v>
      </c>
      <c r="BC753" s="73"/>
      <c r="BD753" s="74">
        <v>-551.18863319850698</v>
      </c>
      <c r="BE753" s="74">
        <v>0</v>
      </c>
      <c r="BF753" s="73"/>
      <c r="BG753" s="72">
        <v>2232782.6207235465</v>
      </c>
      <c r="BH753" s="72">
        <v>0</v>
      </c>
      <c r="BI753" s="73"/>
      <c r="BJ753" s="74">
        <v>-1046.9907043231515</v>
      </c>
      <c r="BK753" s="74">
        <v>0</v>
      </c>
      <c r="BL753" s="73"/>
      <c r="BM753" s="72">
        <v>12980707.473549291</v>
      </c>
      <c r="BN753" s="72">
        <v>0</v>
      </c>
      <c r="BO753" s="73"/>
      <c r="BP753" s="74">
        <v>-4983.5785042019716</v>
      </c>
      <c r="BQ753" s="74">
        <v>0</v>
      </c>
      <c r="BS753" s="109">
        <f t="shared" si="285"/>
        <v>116049.64114422335</v>
      </c>
      <c r="BT753" s="109">
        <f t="shared" si="286"/>
        <v>116403.85507633658</v>
      </c>
      <c r="BV753" s="58">
        <f t="array" ref="BV753">SUM(IF(BS753:BT753&gt;=BS753, 1))</f>
        <v>2</v>
      </c>
      <c r="BW753" s="58">
        <f t="array" ref="BW753">SUM(IF(BS753:BT753&gt;=BT753, 1))</f>
        <v>1</v>
      </c>
      <c r="BY753" s="109">
        <f t="shared" si="287"/>
        <v>133190.9339946126</v>
      </c>
      <c r="BZ753" s="109">
        <f t="shared" si="288"/>
        <v>133492.58309056665</v>
      </c>
      <c r="CB753" s="58">
        <f t="array" ref="CB753">SUM(IF(BY753:BZ753&gt;=BY753, 1))</f>
        <v>2</v>
      </c>
      <c r="CC753" s="58">
        <f t="array" ref="CC753">SUM(IF(BY753:BZ753&gt;=BZ753, 1))</f>
        <v>1</v>
      </c>
      <c r="CE753" s="109">
        <f t="shared" si="289"/>
        <v>95582.903341828758</v>
      </c>
      <c r="CF753" s="109">
        <f t="shared" si="290"/>
        <v>97205.055429313696</v>
      </c>
      <c r="CH753" s="58">
        <f t="array" ref="CH753">SUM(IF(CE753:CF753&gt;=CE753, 1))</f>
        <v>2</v>
      </c>
      <c r="CI753" s="58">
        <f t="array" ref="CI753">SUM(IF(CE753:CF753&gt;=CF753, 1))</f>
        <v>1</v>
      </c>
      <c r="CK753" s="109">
        <f t="shared" si="291"/>
        <v>51736.127173392495</v>
      </c>
      <c r="CL753" s="109">
        <f t="shared" si="292"/>
        <v>52946.294528097074</v>
      </c>
      <c r="CN753" s="58">
        <f t="array" ref="CN753">SUM(IF(CK753:CL753&gt;=CK753, 1))</f>
        <v>2</v>
      </c>
      <c r="CO753" s="58">
        <f t="array" ref="CO753">SUM(IF(CK753:CL753&gt;=CL753, 1))</f>
        <v>1</v>
      </c>
      <c r="CQ753" s="109" cm="1">
        <f t="array" ref="CQ753">AF753*WTP-AC753</f>
        <v>41467.06555078282</v>
      </c>
      <c r="CR753" s="109">
        <f t="shared" si="293"/>
        <v>42934.610110180052</v>
      </c>
      <c r="CT753" s="58">
        <f t="array" ref="CT753">SUM(IF(CQ753:CR753&gt;=CQ753, 1))</f>
        <v>2</v>
      </c>
      <c r="CU753" s="58">
        <f t="array" ref="CU753">SUM(IF(CQ753:CR753&gt;=CR753, 1))</f>
        <v>1</v>
      </c>
      <c r="CW753" s="109">
        <f t="shared" si="294"/>
        <v>-37923378.350572109</v>
      </c>
      <c r="CX753" s="109">
        <f t="shared" si="295"/>
        <v>0</v>
      </c>
      <c r="CZ753" s="58">
        <f t="array" ref="CZ753">SUM(IF(CW753:CX753&gt;=CW753, 1))</f>
        <v>2</v>
      </c>
      <c r="DA753" s="58">
        <f t="array" ref="DA753">SUM(IF(CW753:CX753&gt;=CX753, 1))</f>
        <v>1</v>
      </c>
      <c r="DC753" s="109">
        <f t="shared" si="296"/>
        <v>-2005152.3844797497</v>
      </c>
      <c r="DD753" s="109">
        <f t="shared" si="297"/>
        <v>0</v>
      </c>
      <c r="DF753" s="58">
        <f t="array" ref="DF753">SUM(IF(DC753:DD753&gt;=DC753, 1))</f>
        <v>2</v>
      </c>
      <c r="DG753" s="58">
        <f t="array" ref="DG753">SUM(IF(DC753:DD753&gt;=DD753, 1))</f>
        <v>1</v>
      </c>
      <c r="DI753" s="109">
        <f t="shared" si="298"/>
        <v>-38545650.469760306</v>
      </c>
      <c r="DJ753" s="109">
        <f t="shared" si="299"/>
        <v>0</v>
      </c>
      <c r="DL753" s="58">
        <f t="array" ref="DL753">SUM(IF(DI753:DJ753&gt;=DI753, 1))</f>
        <v>2</v>
      </c>
      <c r="DM753" s="58">
        <f t="array" ref="DM753">SUM(IF(DI753:DJ753&gt;=DJ753, 1))</f>
        <v>1</v>
      </c>
      <c r="DO753" s="109">
        <f t="shared" si="300"/>
        <v>-11005499.645589974</v>
      </c>
      <c r="DP753" s="109">
        <f t="shared" si="301"/>
        <v>0</v>
      </c>
      <c r="DR753" s="58">
        <f t="array" ref="DR753">SUM(IF(DO753:DP753&gt;=DO753, 1))</f>
        <v>2</v>
      </c>
      <c r="DS753" s="58">
        <f t="array" ref="DS753">SUM(IF(DO753:DP753&gt;=DP753, 1))</f>
        <v>1</v>
      </c>
      <c r="DU753" s="109">
        <f t="shared" si="302"/>
        <v>-23172596.707186576</v>
      </c>
      <c r="DV753" s="109">
        <f t="shared" si="303"/>
        <v>0</v>
      </c>
      <c r="DX753" s="58">
        <f t="array" ref="DX753">SUM(IF(DU753:DV753&gt;=DU753, 1))</f>
        <v>2</v>
      </c>
      <c r="DY753" s="58">
        <f t="array" ref="DY753">SUM(IF(DU753:DV753&gt;=DV753, 1))</f>
        <v>1</v>
      </c>
      <c r="EA753" s="109">
        <f t="shared" si="304"/>
        <v>-112652277.55758873</v>
      </c>
      <c r="EB753" s="109">
        <f t="shared" si="305"/>
        <v>0</v>
      </c>
      <c r="ED753" s="58">
        <f t="array" ref="ED753">SUM(IF(EA753:EB753&gt;=EA753, 1))</f>
        <v>2</v>
      </c>
      <c r="EE753" s="58">
        <f t="array" ref="EE753">SUM(IF(EA753:EB753&gt;=EB753, 1))</f>
        <v>1</v>
      </c>
    </row>
    <row r="754" spans="4:135" ht="12" customHeight="1" x14ac:dyDescent="0.25">
      <c r="D754" s="11">
        <v>738</v>
      </c>
      <c r="E754" s="72">
        <v>282.93207486756717</v>
      </c>
      <c r="F754" s="72">
        <v>252.56176728585439</v>
      </c>
      <c r="G754" s="73"/>
      <c r="H754" s="74">
        <v>5.8066822598420043</v>
      </c>
      <c r="I754" s="74">
        <v>5.824679707395978</v>
      </c>
      <c r="J754" s="73"/>
      <c r="K754" s="72">
        <v>303.3827036469944</v>
      </c>
      <c r="L754" s="72">
        <v>272.2622942524589</v>
      </c>
      <c r="M754" s="73"/>
      <c r="N754" s="74">
        <v>6.6431294249872952</v>
      </c>
      <c r="O754" s="74">
        <v>6.6585003380588725</v>
      </c>
      <c r="P754" s="73"/>
      <c r="Q754" s="72">
        <v>2699.4937278246598</v>
      </c>
      <c r="R754" s="72">
        <v>1570.5119293063915</v>
      </c>
      <c r="S754" s="73"/>
      <c r="T754" s="74">
        <v>4.9495776590044995</v>
      </c>
      <c r="U754" s="74">
        <v>5.0328414888096376</v>
      </c>
      <c r="V754" s="73"/>
      <c r="W754" s="72">
        <v>11574.172447027848</v>
      </c>
      <c r="X754" s="72">
        <v>11561.246940086678</v>
      </c>
      <c r="Y754" s="73"/>
      <c r="Z754" s="74">
        <v>3.0318997488126644</v>
      </c>
      <c r="AA754" s="74">
        <v>3.0831704901274586</v>
      </c>
      <c r="AB754" s="73"/>
      <c r="AC754" s="72">
        <v>49224.896114133386</v>
      </c>
      <c r="AD754" s="72">
        <v>49256.429758615981</v>
      </c>
      <c r="AE754" s="73"/>
      <c r="AF754" s="74">
        <v>4.5412831708313401</v>
      </c>
      <c r="AG754" s="74">
        <v>4.6657582099162118</v>
      </c>
      <c r="AH754" s="73"/>
      <c r="AI754" s="72">
        <v>3242886.0148399752</v>
      </c>
      <c r="AJ754" s="72">
        <v>0</v>
      </c>
      <c r="AK754" s="73"/>
      <c r="AL754" s="74">
        <v>-1921.7346027387755</v>
      </c>
      <c r="AM754" s="74">
        <v>0</v>
      </c>
      <c r="AN754" s="73"/>
      <c r="AO754" s="72">
        <v>207232.25568432384</v>
      </c>
      <c r="AP754" s="72">
        <v>0</v>
      </c>
      <c r="AQ754" s="73"/>
      <c r="AR754" s="74">
        <v>-102.35562608986608</v>
      </c>
      <c r="AS754" s="74">
        <v>0</v>
      </c>
      <c r="AT754" s="73"/>
      <c r="AU754" s="72">
        <v>26654624.615812529</v>
      </c>
      <c r="AV754" s="72">
        <v>0</v>
      </c>
      <c r="AW754" s="73"/>
      <c r="AX754" s="74">
        <v>-1965.8121419173126</v>
      </c>
      <c r="AY754" s="74">
        <v>0</v>
      </c>
      <c r="AZ754" s="73"/>
      <c r="BA754" s="72">
        <v>111798.85279416958</v>
      </c>
      <c r="BB754" s="72">
        <v>0</v>
      </c>
      <c r="BC754" s="73"/>
      <c r="BD754" s="74">
        <v>-443.46500968894998</v>
      </c>
      <c r="BE754" s="74">
        <v>0</v>
      </c>
      <c r="BF754" s="73"/>
      <c r="BG754" s="72">
        <v>-485740.71285452275</v>
      </c>
      <c r="BH754" s="72">
        <v>0</v>
      </c>
      <c r="BI754" s="73"/>
      <c r="BJ754" s="74">
        <v>-1917.3995016989547</v>
      </c>
      <c r="BK754" s="74">
        <v>0</v>
      </c>
      <c r="BL754" s="73"/>
      <c r="BM754" s="72">
        <v>29730801.026276473</v>
      </c>
      <c r="BN754" s="72">
        <v>0</v>
      </c>
      <c r="BO754" s="73"/>
      <c r="BP754" s="74">
        <v>-6350.7668821338584</v>
      </c>
      <c r="BQ754" s="74">
        <v>0</v>
      </c>
      <c r="BS754" s="109">
        <f t="shared" si="285"/>
        <v>115850.71312197251</v>
      </c>
      <c r="BT754" s="109">
        <f t="shared" si="286"/>
        <v>116241.03238063371</v>
      </c>
      <c r="BV754" s="58">
        <f t="array" ref="BV754">SUM(IF(BS754:BT754&gt;=BS754, 1))</f>
        <v>2</v>
      </c>
      <c r="BW754" s="58">
        <f t="array" ref="BW754">SUM(IF(BS754:BT754&gt;=BT754, 1))</f>
        <v>1</v>
      </c>
      <c r="BY754" s="109">
        <f t="shared" si="287"/>
        <v>132559.20579609892</v>
      </c>
      <c r="BZ754" s="109">
        <f t="shared" si="288"/>
        <v>132897.74446692498</v>
      </c>
      <c r="CB754" s="58">
        <f t="array" ref="CB754">SUM(IF(BY754:BZ754&gt;=BY754, 1))</f>
        <v>2</v>
      </c>
      <c r="CC754" s="58">
        <f t="array" ref="CC754">SUM(IF(BY754:BZ754&gt;=BZ754, 1))</f>
        <v>1</v>
      </c>
      <c r="CE754" s="109">
        <f t="shared" si="289"/>
        <v>96292.059452265326</v>
      </c>
      <c r="CF754" s="109">
        <f t="shared" si="290"/>
        <v>99086.317846886363</v>
      </c>
      <c r="CH754" s="58">
        <f t="array" ref="CH754">SUM(IF(CE754:CF754&gt;=CE754, 1))</f>
        <v>2</v>
      </c>
      <c r="CI754" s="58">
        <f t="array" ref="CI754">SUM(IF(CE754:CF754&gt;=CF754, 1))</f>
        <v>1</v>
      </c>
      <c r="CK754" s="109">
        <f t="shared" si="291"/>
        <v>49063.822529225443</v>
      </c>
      <c r="CL754" s="109">
        <f t="shared" si="292"/>
        <v>50102.162862462494</v>
      </c>
      <c r="CN754" s="58">
        <f t="array" ref="CN754">SUM(IF(CK754:CL754&gt;=CK754, 1))</f>
        <v>2</v>
      </c>
      <c r="CO754" s="58">
        <f t="array" ref="CO754">SUM(IF(CK754:CL754&gt;=CL754, 1))</f>
        <v>1</v>
      </c>
      <c r="CQ754" s="109" cm="1">
        <f t="array" ref="CQ754">AF754*WTP-AC754</f>
        <v>41600.767302493419</v>
      </c>
      <c r="CR754" s="109">
        <f t="shared" si="293"/>
        <v>44058.734439708249</v>
      </c>
      <c r="CT754" s="58">
        <f t="array" ref="CT754">SUM(IF(CQ754:CR754&gt;=CQ754, 1))</f>
        <v>2</v>
      </c>
      <c r="CU754" s="58">
        <f t="array" ref="CU754">SUM(IF(CQ754:CR754&gt;=CR754, 1))</f>
        <v>1</v>
      </c>
      <c r="CW754" s="109">
        <f t="shared" si="294"/>
        <v>-41677578.069615483</v>
      </c>
      <c r="CX754" s="109">
        <f t="shared" si="295"/>
        <v>0</v>
      </c>
      <c r="CZ754" s="58">
        <f t="array" ref="CZ754">SUM(IF(CW754:CX754&gt;=CW754, 1))</f>
        <v>2</v>
      </c>
      <c r="DA754" s="58">
        <f t="array" ref="DA754">SUM(IF(CW754:CX754&gt;=CX754, 1))</f>
        <v>1</v>
      </c>
      <c r="DC754" s="109">
        <f t="shared" si="296"/>
        <v>-2254344.7774816453</v>
      </c>
      <c r="DD754" s="109">
        <f t="shared" si="297"/>
        <v>0</v>
      </c>
      <c r="DF754" s="58">
        <f t="array" ref="DF754">SUM(IF(DC754:DD754&gt;=DC754, 1))</f>
        <v>2</v>
      </c>
      <c r="DG754" s="58">
        <f t="array" ref="DG754">SUM(IF(DC754:DD754&gt;=DD754, 1))</f>
        <v>1</v>
      </c>
      <c r="DI754" s="109">
        <f t="shared" si="298"/>
        <v>-65970867.454158783</v>
      </c>
      <c r="DJ754" s="109">
        <f t="shared" si="299"/>
        <v>0</v>
      </c>
      <c r="DL754" s="58">
        <f t="array" ref="DL754">SUM(IF(DI754:DJ754&gt;=DI754, 1))</f>
        <v>2</v>
      </c>
      <c r="DM754" s="58">
        <f t="array" ref="DM754">SUM(IF(DI754:DJ754&gt;=DJ754, 1))</f>
        <v>1</v>
      </c>
      <c r="DO754" s="109">
        <f t="shared" si="300"/>
        <v>-8981099.0465731695</v>
      </c>
      <c r="DP754" s="109">
        <f t="shared" si="301"/>
        <v>0</v>
      </c>
      <c r="DR754" s="58">
        <f t="array" ref="DR754">SUM(IF(DO754:DP754&gt;=DO754, 1))</f>
        <v>2</v>
      </c>
      <c r="DS754" s="58">
        <f t="array" ref="DS754">SUM(IF(DO754:DP754&gt;=DP754, 1))</f>
        <v>1</v>
      </c>
      <c r="DU754" s="109">
        <f t="shared" si="302"/>
        <v>-37862249.321124576</v>
      </c>
      <c r="DV754" s="109">
        <f t="shared" si="303"/>
        <v>0</v>
      </c>
      <c r="DX754" s="58">
        <f t="array" ref="DX754">SUM(IF(DU754:DV754&gt;=DU754, 1))</f>
        <v>2</v>
      </c>
      <c r="DY754" s="58">
        <f t="array" ref="DY754">SUM(IF(DU754:DV754&gt;=DV754, 1))</f>
        <v>1</v>
      </c>
      <c r="EA754" s="109">
        <f t="shared" si="304"/>
        <v>-156746138.66895366</v>
      </c>
      <c r="EB754" s="109">
        <f t="shared" si="305"/>
        <v>0</v>
      </c>
      <c r="ED754" s="58">
        <f t="array" ref="ED754">SUM(IF(EA754:EB754&gt;=EA754, 1))</f>
        <v>2</v>
      </c>
      <c r="EE754" s="58">
        <f t="array" ref="EE754">SUM(IF(EA754:EB754&gt;=EB754, 1))</f>
        <v>1</v>
      </c>
    </row>
    <row r="755" spans="4:135" ht="12" customHeight="1" x14ac:dyDescent="0.25">
      <c r="D755" s="11">
        <v>739</v>
      </c>
      <c r="E755" s="72">
        <v>358.58557641383453</v>
      </c>
      <c r="F755" s="72">
        <v>339.81701570843126</v>
      </c>
      <c r="G755" s="73"/>
      <c r="H755" s="74">
        <v>5.8336159024146861</v>
      </c>
      <c r="I755" s="74">
        <v>5.854907338367485</v>
      </c>
      <c r="J755" s="73"/>
      <c r="K755" s="72">
        <v>385.73292286066692</v>
      </c>
      <c r="L755" s="72">
        <v>366.52065502457185</v>
      </c>
      <c r="M755" s="73"/>
      <c r="N755" s="74">
        <v>6.7107169281903944</v>
      </c>
      <c r="O755" s="74">
        <v>6.73055387487135</v>
      </c>
      <c r="P755" s="73"/>
      <c r="Q755" s="72">
        <v>1443.2010999480858</v>
      </c>
      <c r="R755" s="72">
        <v>1025.286684223614</v>
      </c>
      <c r="S755" s="73"/>
      <c r="T755" s="74">
        <v>4.8869700264912144</v>
      </c>
      <c r="U755" s="74">
        <v>4.9768016365636178</v>
      </c>
      <c r="V755" s="73"/>
      <c r="W755" s="72">
        <v>10955.688917486457</v>
      </c>
      <c r="X755" s="72">
        <v>10955.47793692374</v>
      </c>
      <c r="Y755" s="73"/>
      <c r="Z755" s="74">
        <v>2.8562071579273312</v>
      </c>
      <c r="AA755" s="74">
        <v>2.8928409189180235</v>
      </c>
      <c r="AB755" s="73"/>
      <c r="AC755" s="72">
        <v>49764.337419344818</v>
      </c>
      <c r="AD755" s="72">
        <v>49583.517847850184</v>
      </c>
      <c r="AE755" s="73"/>
      <c r="AF755" s="74">
        <v>4.7159367383287112</v>
      </c>
      <c r="AG755" s="74">
        <v>4.9200238524155129</v>
      </c>
      <c r="AH755" s="73"/>
      <c r="AI755" s="72">
        <v>2025842.054648086</v>
      </c>
      <c r="AJ755" s="72">
        <v>0</v>
      </c>
      <c r="AK755" s="73"/>
      <c r="AL755" s="74">
        <v>-2298.1563175810666</v>
      </c>
      <c r="AM755" s="74">
        <v>0</v>
      </c>
      <c r="AN755" s="73"/>
      <c r="AO755" s="72">
        <v>131284.86962148704</v>
      </c>
      <c r="AP755" s="72">
        <v>0</v>
      </c>
      <c r="AQ755" s="73"/>
      <c r="AR755" s="74">
        <v>-135.55354219062212</v>
      </c>
      <c r="AS755" s="74">
        <v>0</v>
      </c>
      <c r="AT755" s="73"/>
      <c r="AU755" s="72">
        <v>9715082.4339916538</v>
      </c>
      <c r="AV755" s="72">
        <v>0</v>
      </c>
      <c r="AW755" s="73"/>
      <c r="AX755" s="74">
        <v>-2088.2780401788632</v>
      </c>
      <c r="AY755" s="74">
        <v>0</v>
      </c>
      <c r="AZ755" s="73"/>
      <c r="BA755" s="72">
        <v>1907.0186111854009</v>
      </c>
      <c r="BB755" s="72">
        <v>0</v>
      </c>
      <c r="BC755" s="73"/>
      <c r="BD755" s="74">
        <v>-331.12654126672567</v>
      </c>
      <c r="BE755" s="74">
        <v>0</v>
      </c>
      <c r="BF755" s="73"/>
      <c r="BG755" s="72">
        <v>2893602.792768111</v>
      </c>
      <c r="BH755" s="72">
        <v>0</v>
      </c>
      <c r="BI755" s="73"/>
      <c r="BJ755" s="74">
        <v>-3265.9464813911368</v>
      </c>
      <c r="BK755" s="74">
        <v>0</v>
      </c>
      <c r="BL755" s="73"/>
      <c r="BM755" s="72">
        <v>14767719.169640524</v>
      </c>
      <c r="BN755" s="72">
        <v>0</v>
      </c>
      <c r="BO755" s="73"/>
      <c r="BP755" s="74">
        <v>-8119.0609226084143</v>
      </c>
      <c r="BQ755" s="74">
        <v>0</v>
      </c>
      <c r="BS755" s="109">
        <f t="shared" si="285"/>
        <v>116313.73247187988</v>
      </c>
      <c r="BT755" s="109">
        <f t="shared" si="286"/>
        <v>116758.32975164127</v>
      </c>
      <c r="BV755" s="58">
        <f t="array" ref="BV755">SUM(IF(BS755:BT755&gt;=BS755, 1))</f>
        <v>2</v>
      </c>
      <c r="BW755" s="58">
        <f t="array" ref="BW755">SUM(IF(BS755:BT755&gt;=BT755, 1))</f>
        <v>1</v>
      </c>
      <c r="BY755" s="109">
        <f t="shared" si="287"/>
        <v>133828.60564094724</v>
      </c>
      <c r="BZ755" s="109">
        <f t="shared" si="288"/>
        <v>134244.55684240244</v>
      </c>
      <c r="CB755" s="58">
        <f t="array" ref="CB755">SUM(IF(BY755:BZ755&gt;=BY755, 1))</f>
        <v>2</v>
      </c>
      <c r="CC755" s="58">
        <f t="array" ref="CC755">SUM(IF(BY755:BZ755&gt;=BZ755, 1))</f>
        <v>1</v>
      </c>
      <c r="CE755" s="109">
        <f t="shared" si="289"/>
        <v>96296.1994298762</v>
      </c>
      <c r="CF755" s="109">
        <f t="shared" si="290"/>
        <v>98510.746047048742</v>
      </c>
      <c r="CH755" s="58">
        <f t="array" ref="CH755">SUM(IF(CE755:CF755&gt;=CE755, 1))</f>
        <v>2</v>
      </c>
      <c r="CI755" s="58">
        <f t="array" ref="CI755">SUM(IF(CE755:CF755&gt;=CF755, 1))</f>
        <v>1</v>
      </c>
      <c r="CK755" s="109">
        <f t="shared" si="291"/>
        <v>46168.454241060164</v>
      </c>
      <c r="CL755" s="109">
        <f t="shared" si="292"/>
        <v>46901.340441436725</v>
      </c>
      <c r="CN755" s="58">
        <f t="array" ref="CN755">SUM(IF(CK755:CL755&gt;=CK755, 1))</f>
        <v>2</v>
      </c>
      <c r="CO755" s="58">
        <f t="array" ref="CO755">SUM(IF(CK755:CL755&gt;=CL755, 1))</f>
        <v>1</v>
      </c>
      <c r="CQ755" s="109" cm="1">
        <f t="array" ref="CQ755">AF755*WTP-AC755</f>
        <v>44554.397347229409</v>
      </c>
      <c r="CR755" s="109">
        <f t="shared" si="293"/>
        <v>48816.959200460078</v>
      </c>
      <c r="CT755" s="58">
        <f t="array" ref="CT755">SUM(IF(CQ755:CR755&gt;=CQ755, 1))</f>
        <v>2</v>
      </c>
      <c r="CU755" s="58">
        <f t="array" ref="CU755">SUM(IF(CQ755:CR755&gt;=CR755, 1))</f>
        <v>1</v>
      </c>
      <c r="CW755" s="109">
        <f t="shared" si="294"/>
        <v>-47988968.406269416</v>
      </c>
      <c r="CX755" s="109">
        <f t="shared" si="295"/>
        <v>0</v>
      </c>
      <c r="CZ755" s="58">
        <f t="array" ref="CZ755">SUM(IF(CW755:CX755&gt;=CW755, 1))</f>
        <v>2</v>
      </c>
      <c r="DA755" s="58">
        <f t="array" ref="DA755">SUM(IF(CW755:CX755&gt;=CX755, 1))</f>
        <v>1</v>
      </c>
      <c r="DC755" s="109">
        <f t="shared" si="296"/>
        <v>-2842355.7134339293</v>
      </c>
      <c r="DD755" s="109">
        <f t="shared" si="297"/>
        <v>0</v>
      </c>
      <c r="DF755" s="58">
        <f t="array" ref="DF755">SUM(IF(DC755:DD755&gt;=DC755, 1))</f>
        <v>2</v>
      </c>
      <c r="DG755" s="58">
        <f t="array" ref="DG755">SUM(IF(DC755:DD755&gt;=DD755, 1))</f>
        <v>1</v>
      </c>
      <c r="DI755" s="109">
        <f t="shared" si="298"/>
        <v>-51480643.237568922</v>
      </c>
      <c r="DJ755" s="109">
        <f t="shared" si="299"/>
        <v>0</v>
      </c>
      <c r="DL755" s="58">
        <f t="array" ref="DL755">SUM(IF(DI755:DJ755&gt;=DI755, 1))</f>
        <v>2</v>
      </c>
      <c r="DM755" s="58">
        <f t="array" ref="DM755">SUM(IF(DI755:DJ755&gt;=DJ755, 1))</f>
        <v>1</v>
      </c>
      <c r="DO755" s="109">
        <f t="shared" si="300"/>
        <v>-6624437.8439456988</v>
      </c>
      <c r="DP755" s="109">
        <f t="shared" si="301"/>
        <v>0</v>
      </c>
      <c r="DR755" s="58">
        <f t="array" ref="DR755">SUM(IF(DO755:DP755&gt;=DO755, 1))</f>
        <v>2</v>
      </c>
      <c r="DS755" s="58">
        <f t="array" ref="DS755">SUM(IF(DO755:DP755&gt;=DP755, 1))</f>
        <v>1</v>
      </c>
      <c r="DU755" s="109">
        <f t="shared" si="302"/>
        <v>-68212532.420590848</v>
      </c>
      <c r="DV755" s="109">
        <f t="shared" si="303"/>
        <v>0</v>
      </c>
      <c r="DX755" s="58">
        <f t="array" ref="DX755">SUM(IF(DU755:DV755&gt;=DU755, 1))</f>
        <v>2</v>
      </c>
      <c r="DY755" s="58">
        <f t="array" ref="DY755">SUM(IF(DU755:DV755&gt;=DV755, 1))</f>
        <v>1</v>
      </c>
      <c r="EA755" s="109">
        <f t="shared" si="304"/>
        <v>-177148937.6218088</v>
      </c>
      <c r="EB755" s="109">
        <f t="shared" si="305"/>
        <v>0</v>
      </c>
      <c r="ED755" s="58">
        <f t="array" ref="ED755">SUM(IF(EA755:EB755&gt;=EA755, 1))</f>
        <v>2</v>
      </c>
      <c r="EE755" s="58">
        <f t="array" ref="EE755">SUM(IF(EA755:EB755&gt;=EB755, 1))</f>
        <v>1</v>
      </c>
    </row>
    <row r="756" spans="4:135" ht="12" customHeight="1" x14ac:dyDescent="0.25">
      <c r="D756" s="11">
        <v>740</v>
      </c>
      <c r="E756" s="72">
        <v>258.25423943421794</v>
      </c>
      <c r="F756" s="72">
        <v>243.64125736599254</v>
      </c>
      <c r="G756" s="73"/>
      <c r="H756" s="74">
        <v>5.8069248190814484</v>
      </c>
      <c r="I756" s="74">
        <v>5.8226733179125567</v>
      </c>
      <c r="J756" s="73"/>
      <c r="K756" s="72">
        <v>277.70177415311309</v>
      </c>
      <c r="L756" s="72">
        <v>262.70875602000353</v>
      </c>
      <c r="M756" s="73"/>
      <c r="N756" s="74">
        <v>6.6983704518309848</v>
      </c>
      <c r="O756" s="74">
        <v>6.7118551898837868</v>
      </c>
      <c r="P756" s="73"/>
      <c r="Q756" s="72">
        <v>2558.824047224844</v>
      </c>
      <c r="R756" s="72">
        <v>1391.4565091042259</v>
      </c>
      <c r="S756" s="73"/>
      <c r="T756" s="74">
        <v>4.6697508873322384</v>
      </c>
      <c r="U756" s="74">
        <v>4.7557307177232193</v>
      </c>
      <c r="V756" s="73"/>
      <c r="W756" s="72">
        <v>13005.909059326095</v>
      </c>
      <c r="X756" s="72">
        <v>12961.864752036305</v>
      </c>
      <c r="Y756" s="73"/>
      <c r="Z756" s="74">
        <v>3.0163531519239433</v>
      </c>
      <c r="AA756" s="74">
        <v>3.055904966441048</v>
      </c>
      <c r="AB756" s="73"/>
      <c r="AC756" s="72">
        <v>50569.249984503243</v>
      </c>
      <c r="AD756" s="72">
        <v>50416.111458580097</v>
      </c>
      <c r="AE756" s="73"/>
      <c r="AF756" s="74">
        <v>4.5090784413978584</v>
      </c>
      <c r="AG756" s="74">
        <v>4.5712779136902331</v>
      </c>
      <c r="AH756" s="73"/>
      <c r="AI756" s="72">
        <v>1557364.5528374244</v>
      </c>
      <c r="AJ756" s="72">
        <v>0</v>
      </c>
      <c r="AK756" s="73"/>
      <c r="AL756" s="74">
        <v>-1678.3811630960372</v>
      </c>
      <c r="AM756" s="74">
        <v>0</v>
      </c>
      <c r="AN756" s="73"/>
      <c r="AO756" s="72">
        <v>97252.853091087993</v>
      </c>
      <c r="AP756" s="72">
        <v>0</v>
      </c>
      <c r="AQ756" s="73"/>
      <c r="AR756" s="74">
        <v>-87.469329869273594</v>
      </c>
      <c r="AS756" s="74">
        <v>0</v>
      </c>
      <c r="AT756" s="73"/>
      <c r="AU756" s="72">
        <v>26831869.731023792</v>
      </c>
      <c r="AV756" s="72">
        <v>0</v>
      </c>
      <c r="AW756" s="73"/>
      <c r="AX756" s="74">
        <v>-1976.2410151137417</v>
      </c>
      <c r="AY756" s="74">
        <v>0</v>
      </c>
      <c r="AZ756" s="73"/>
      <c r="BA756" s="72">
        <v>405997.0109502679</v>
      </c>
      <c r="BB756" s="72">
        <v>0</v>
      </c>
      <c r="BC756" s="73"/>
      <c r="BD756" s="74">
        <v>-364.58556076158675</v>
      </c>
      <c r="BE756" s="74">
        <v>0</v>
      </c>
      <c r="BF756" s="73"/>
      <c r="BG756" s="72">
        <v>2427346.7875049086</v>
      </c>
      <c r="BH756" s="72">
        <v>0</v>
      </c>
      <c r="BI756" s="73"/>
      <c r="BJ756" s="74">
        <v>-985.90272005861061</v>
      </c>
      <c r="BK756" s="74">
        <v>0</v>
      </c>
      <c r="BL756" s="73"/>
      <c r="BM756" s="72">
        <v>31319830.935407478</v>
      </c>
      <c r="BN756" s="72">
        <v>0</v>
      </c>
      <c r="BO756" s="73"/>
      <c r="BP756" s="74">
        <v>-5092.5797888992502</v>
      </c>
      <c r="BQ756" s="74">
        <v>0</v>
      </c>
      <c r="BS756" s="109">
        <f t="shared" si="285"/>
        <v>115880.24214219475</v>
      </c>
      <c r="BT756" s="109">
        <f t="shared" si="286"/>
        <v>116209.82510088514</v>
      </c>
      <c r="BV756" s="58">
        <f t="array" ref="BV756">SUM(IF(BS756:BT756&gt;=BS756, 1))</f>
        <v>2</v>
      </c>
      <c r="BW756" s="58">
        <f t="array" ref="BW756">SUM(IF(BS756:BT756&gt;=BT756, 1))</f>
        <v>1</v>
      </c>
      <c r="BY756" s="109">
        <f t="shared" si="287"/>
        <v>133689.7072624666</v>
      </c>
      <c r="BZ756" s="109">
        <f t="shared" si="288"/>
        <v>133974.39504165575</v>
      </c>
      <c r="CB756" s="58">
        <f t="array" ref="CB756">SUM(IF(BY756:BZ756&gt;=BY756, 1))</f>
        <v>2</v>
      </c>
      <c r="CC756" s="58">
        <f t="array" ref="CC756">SUM(IF(BY756:BZ756&gt;=BZ756, 1))</f>
        <v>1</v>
      </c>
      <c r="CE756" s="109">
        <f t="shared" si="289"/>
        <v>90836.19369941992</v>
      </c>
      <c r="CF756" s="109">
        <f t="shared" si="290"/>
        <v>93723.157845360154</v>
      </c>
      <c r="CH756" s="58">
        <f t="array" ref="CH756">SUM(IF(CE756:CF756&gt;=CE756, 1))</f>
        <v>2</v>
      </c>
      <c r="CI756" s="58">
        <f t="array" ref="CI756">SUM(IF(CE756:CF756&gt;=CF756, 1))</f>
        <v>1</v>
      </c>
      <c r="CK756" s="109">
        <f t="shared" si="291"/>
        <v>47321.153979152776</v>
      </c>
      <c r="CL756" s="109">
        <f t="shared" si="292"/>
        <v>48156.234576784656</v>
      </c>
      <c r="CN756" s="58">
        <f t="array" ref="CN756">SUM(IF(CK756:CL756&gt;=CK756, 1))</f>
        <v>2</v>
      </c>
      <c r="CO756" s="58">
        <f t="array" ref="CO756">SUM(IF(CK756:CL756&gt;=CL756, 1))</f>
        <v>1</v>
      </c>
      <c r="CQ756" s="109" cm="1">
        <f t="array" ref="CQ756">AF756*WTP-AC756</f>
        <v>39612.318843453919</v>
      </c>
      <c r="CR756" s="109">
        <f t="shared" si="293"/>
        <v>41009.446815224568</v>
      </c>
      <c r="CT756" s="58">
        <f t="array" ref="CT756">SUM(IF(CQ756:CR756&gt;=CQ756, 1))</f>
        <v>2</v>
      </c>
      <c r="CU756" s="58">
        <f t="array" ref="CU756">SUM(IF(CQ756:CR756&gt;=CR756, 1))</f>
        <v>1</v>
      </c>
      <c r="CW756" s="109">
        <f t="shared" si="294"/>
        <v>-35124987.814758167</v>
      </c>
      <c r="CX756" s="109">
        <f t="shared" si="295"/>
        <v>0</v>
      </c>
      <c r="CZ756" s="58">
        <f t="array" ref="CZ756">SUM(IF(CW756:CX756&gt;=CW756, 1))</f>
        <v>2</v>
      </c>
      <c r="DA756" s="58">
        <f t="array" ref="DA756">SUM(IF(CW756:CX756&gt;=CX756, 1))</f>
        <v>1</v>
      </c>
      <c r="DC756" s="109">
        <f t="shared" si="296"/>
        <v>-1846639.4504765598</v>
      </c>
      <c r="DD756" s="109">
        <f t="shared" si="297"/>
        <v>0</v>
      </c>
      <c r="DF756" s="58">
        <f t="array" ref="DF756">SUM(IF(DC756:DD756&gt;=DC756, 1))</f>
        <v>2</v>
      </c>
      <c r="DG756" s="58">
        <f t="array" ref="DG756">SUM(IF(DC756:DD756&gt;=DD756, 1))</f>
        <v>1</v>
      </c>
      <c r="DI756" s="109">
        <f t="shared" si="298"/>
        <v>-66356690.033298627</v>
      </c>
      <c r="DJ756" s="109">
        <f t="shared" si="299"/>
        <v>0</v>
      </c>
      <c r="DL756" s="58">
        <f t="array" ref="DL756">SUM(IF(DI756:DJ756&gt;=DI756, 1))</f>
        <v>2</v>
      </c>
      <c r="DM756" s="58">
        <f t="array" ref="DM756">SUM(IF(DI756:DJ756&gt;=DJ756, 1))</f>
        <v>1</v>
      </c>
      <c r="DO756" s="109">
        <f t="shared" si="300"/>
        <v>-7697708.2261820035</v>
      </c>
      <c r="DP756" s="109">
        <f t="shared" si="301"/>
        <v>0</v>
      </c>
      <c r="DR756" s="58">
        <f t="array" ref="DR756">SUM(IF(DO756:DP756&gt;=DO756, 1))</f>
        <v>2</v>
      </c>
      <c r="DS756" s="58">
        <f t="array" ref="DS756">SUM(IF(DO756:DP756&gt;=DP756, 1))</f>
        <v>1</v>
      </c>
      <c r="DU756" s="109">
        <f t="shared" si="302"/>
        <v>-22145401.188677121</v>
      </c>
      <c r="DV756" s="109">
        <f t="shared" si="303"/>
        <v>0</v>
      </c>
      <c r="DX756" s="58">
        <f t="array" ref="DX756">SUM(IF(DU756:DV756&gt;=DU756, 1))</f>
        <v>2</v>
      </c>
      <c r="DY756" s="58">
        <f t="array" ref="DY756">SUM(IF(DU756:DV756&gt;=DV756, 1))</f>
        <v>1</v>
      </c>
      <c r="EA756" s="109">
        <f t="shared" si="304"/>
        <v>-133171426.71339248</v>
      </c>
      <c r="EB756" s="109">
        <f t="shared" si="305"/>
        <v>0</v>
      </c>
      <c r="ED756" s="58">
        <f t="array" ref="ED756">SUM(IF(EA756:EB756&gt;=EA756, 1))</f>
        <v>2</v>
      </c>
      <c r="EE756" s="58">
        <f t="array" ref="EE756">SUM(IF(EA756:EB756&gt;=EB756, 1))</f>
        <v>1</v>
      </c>
    </row>
    <row r="757" spans="4:135" ht="12" customHeight="1" x14ac:dyDescent="0.25">
      <c r="D757" s="11">
        <v>741</v>
      </c>
      <c r="E757" s="72">
        <v>312.95503988966465</v>
      </c>
      <c r="F757" s="72">
        <v>290.63432121732768</v>
      </c>
      <c r="G757" s="73"/>
      <c r="H757" s="74">
        <v>5.8595017974107755</v>
      </c>
      <c r="I757" s="74">
        <v>5.8738358352154973</v>
      </c>
      <c r="J757" s="73"/>
      <c r="K757" s="72">
        <v>336.25423342438233</v>
      </c>
      <c r="L757" s="72">
        <v>313.3701011570883</v>
      </c>
      <c r="M757" s="73"/>
      <c r="N757" s="74">
        <v>6.595436075066873</v>
      </c>
      <c r="O757" s="74">
        <v>6.607569779178883</v>
      </c>
      <c r="P757" s="73"/>
      <c r="Q757" s="72">
        <v>2602.2695683712886</v>
      </c>
      <c r="R757" s="72">
        <v>1616.5565847322462</v>
      </c>
      <c r="S757" s="73"/>
      <c r="T757" s="74">
        <v>4.7551077252719827</v>
      </c>
      <c r="U757" s="74">
        <v>4.8316090499507398</v>
      </c>
      <c r="V757" s="73"/>
      <c r="W757" s="72">
        <v>11973.548855794028</v>
      </c>
      <c r="X757" s="72">
        <v>11891.939732882973</v>
      </c>
      <c r="Y757" s="73"/>
      <c r="Z757" s="74">
        <v>2.8803491106035444</v>
      </c>
      <c r="AA757" s="74">
        <v>2.9197117523771823</v>
      </c>
      <c r="AB757" s="73"/>
      <c r="AC757" s="72">
        <v>49616.591890962183</v>
      </c>
      <c r="AD757" s="72">
        <v>49812.588636173692</v>
      </c>
      <c r="AE757" s="73"/>
      <c r="AF757" s="74">
        <v>4.780935029262638</v>
      </c>
      <c r="AG757" s="74">
        <v>4.9057355208911195</v>
      </c>
      <c r="AH757" s="73"/>
      <c r="AI757" s="72">
        <v>2428029.960877513</v>
      </c>
      <c r="AJ757" s="72">
        <v>0</v>
      </c>
      <c r="AK757" s="73"/>
      <c r="AL757" s="74">
        <v>-1559.245191031823</v>
      </c>
      <c r="AM757" s="74">
        <v>0</v>
      </c>
      <c r="AN757" s="73"/>
      <c r="AO757" s="72">
        <v>152865.9939087836</v>
      </c>
      <c r="AP757" s="72">
        <v>0</v>
      </c>
      <c r="AQ757" s="73"/>
      <c r="AR757" s="74">
        <v>-81.053138358600606</v>
      </c>
      <c r="AS757" s="74">
        <v>0</v>
      </c>
      <c r="AT757" s="73"/>
      <c r="AU757" s="72">
        <v>22444413.840323854</v>
      </c>
      <c r="AV757" s="72">
        <v>0</v>
      </c>
      <c r="AW757" s="73"/>
      <c r="AX757" s="74">
        <v>-1741.9141463310202</v>
      </c>
      <c r="AY757" s="74">
        <v>0</v>
      </c>
      <c r="AZ757" s="73"/>
      <c r="BA757" s="72">
        <v>727091.81391354569</v>
      </c>
      <c r="BB757" s="72">
        <v>0</v>
      </c>
      <c r="BC757" s="73"/>
      <c r="BD757" s="74">
        <v>-350.69920600441145</v>
      </c>
      <c r="BE757" s="74">
        <v>0</v>
      </c>
      <c r="BF757" s="73"/>
      <c r="BG757" s="72">
        <v>-3153076.1700876593</v>
      </c>
      <c r="BH757" s="72">
        <v>0</v>
      </c>
      <c r="BI757" s="73"/>
      <c r="BJ757" s="74">
        <v>-2007.7142390519812</v>
      </c>
      <c r="BK757" s="74">
        <v>0</v>
      </c>
      <c r="BL757" s="73"/>
      <c r="BM757" s="72">
        <v>22599325.43893604</v>
      </c>
      <c r="BN757" s="72">
        <v>0</v>
      </c>
      <c r="BO757" s="73"/>
      <c r="BP757" s="74">
        <v>-5740.6259207778367</v>
      </c>
      <c r="BQ757" s="74">
        <v>0</v>
      </c>
      <c r="BS757" s="109">
        <f t="shared" si="285"/>
        <v>116877.08090832584</v>
      </c>
      <c r="BT757" s="109">
        <f t="shared" si="286"/>
        <v>117186.08238309262</v>
      </c>
      <c r="BV757" s="58">
        <f t="array" ref="BV757">SUM(IF(BS757:BT757&gt;=BS757, 1))</f>
        <v>2</v>
      </c>
      <c r="BW757" s="58">
        <f t="array" ref="BW757">SUM(IF(BS757:BT757&gt;=BT757, 1))</f>
        <v>1</v>
      </c>
      <c r="BY757" s="109">
        <f t="shared" si="287"/>
        <v>131572.46726791307</v>
      </c>
      <c r="BZ757" s="109">
        <f t="shared" si="288"/>
        <v>131838.02548242058</v>
      </c>
      <c r="CB757" s="58">
        <f t="array" ref="CB757">SUM(IF(BY757:BZ757&gt;=BY757, 1))</f>
        <v>2</v>
      </c>
      <c r="CC757" s="58">
        <f t="array" ref="CC757">SUM(IF(BY757:BZ757&gt;=BZ757, 1))</f>
        <v>1</v>
      </c>
      <c r="CE757" s="109">
        <f t="shared" si="289"/>
        <v>92499.88493706836</v>
      </c>
      <c r="CF757" s="109">
        <f t="shared" si="290"/>
        <v>95015.62441428256</v>
      </c>
      <c r="CH757" s="58">
        <f t="array" ref="CH757">SUM(IF(CE757:CF757&gt;=CE757, 1))</f>
        <v>2</v>
      </c>
      <c r="CI757" s="58">
        <f t="array" ref="CI757">SUM(IF(CE757:CF757&gt;=CF757, 1))</f>
        <v>1</v>
      </c>
      <c r="CK757" s="109">
        <f t="shared" si="291"/>
        <v>45633.433356276859</v>
      </c>
      <c r="CL757" s="109">
        <f t="shared" si="292"/>
        <v>46502.295314660674</v>
      </c>
      <c r="CN757" s="58">
        <f t="array" ref="CN757">SUM(IF(CK757:CL757&gt;=CK757, 1))</f>
        <v>2</v>
      </c>
      <c r="CO757" s="58">
        <f t="array" ref="CO757">SUM(IF(CK757:CL757&gt;=CL757, 1))</f>
        <v>1</v>
      </c>
      <c r="CQ757" s="109" cm="1">
        <f t="array" ref="CQ757">AF757*WTP-AC757</f>
        <v>46002.108694290582</v>
      </c>
      <c r="CR757" s="109">
        <f t="shared" si="293"/>
        <v>48302.121781648704</v>
      </c>
      <c r="CT757" s="58">
        <f t="array" ref="CT757">SUM(IF(CQ757:CR757&gt;=CQ757, 1))</f>
        <v>2</v>
      </c>
      <c r="CU757" s="58">
        <f t="array" ref="CU757">SUM(IF(CQ757:CR757&gt;=CR757, 1))</f>
        <v>1</v>
      </c>
      <c r="CW757" s="109">
        <f t="shared" si="294"/>
        <v>-33612933.781513974</v>
      </c>
      <c r="CX757" s="109">
        <f t="shared" si="295"/>
        <v>0</v>
      </c>
      <c r="CZ757" s="58">
        <f t="array" ref="CZ757">SUM(IF(CW757:CX757&gt;=CW757, 1))</f>
        <v>2</v>
      </c>
      <c r="DA757" s="58">
        <f t="array" ref="DA757">SUM(IF(CW757:CX757&gt;=CX757, 1))</f>
        <v>1</v>
      </c>
      <c r="DC757" s="109">
        <f t="shared" si="296"/>
        <v>-1773928.7610807957</v>
      </c>
      <c r="DD757" s="109">
        <f t="shared" si="297"/>
        <v>0</v>
      </c>
      <c r="DF757" s="58">
        <f t="array" ref="DF757">SUM(IF(DC757:DD757&gt;=DC757, 1))</f>
        <v>2</v>
      </c>
      <c r="DG757" s="58">
        <f t="array" ref="DG757">SUM(IF(DC757:DD757&gt;=DD757, 1))</f>
        <v>1</v>
      </c>
      <c r="DI757" s="109">
        <f t="shared" si="298"/>
        <v>-57282696.766944259</v>
      </c>
      <c r="DJ757" s="109">
        <f t="shared" si="299"/>
        <v>0</v>
      </c>
      <c r="DL757" s="58">
        <f t="array" ref="DL757">SUM(IF(DI757:DJ757&gt;=DI757, 1))</f>
        <v>2</v>
      </c>
      <c r="DM757" s="58">
        <f t="array" ref="DM757">SUM(IF(DI757:DJ757&gt;=DJ757, 1))</f>
        <v>1</v>
      </c>
      <c r="DO757" s="109">
        <f t="shared" si="300"/>
        <v>-7741075.9340017745</v>
      </c>
      <c r="DP757" s="109">
        <f t="shared" si="301"/>
        <v>0</v>
      </c>
      <c r="DR757" s="58">
        <f t="array" ref="DR757">SUM(IF(DO757:DP757&gt;=DO757, 1))</f>
        <v>2</v>
      </c>
      <c r="DS757" s="58">
        <f t="array" ref="DS757">SUM(IF(DO757:DP757&gt;=DP757, 1))</f>
        <v>1</v>
      </c>
      <c r="DU757" s="109">
        <f t="shared" si="302"/>
        <v>-37001208.610951968</v>
      </c>
      <c r="DV757" s="109">
        <f t="shared" si="303"/>
        <v>0</v>
      </c>
      <c r="DX757" s="58">
        <f t="array" ref="DX757">SUM(IF(DU757:DV757&gt;=DU757, 1))</f>
        <v>2</v>
      </c>
      <c r="DY757" s="58">
        <f t="array" ref="DY757">SUM(IF(DU757:DV757&gt;=DV757, 1))</f>
        <v>1</v>
      </c>
      <c r="EA757" s="109">
        <f t="shared" si="304"/>
        <v>-137411843.85449278</v>
      </c>
      <c r="EB757" s="109">
        <f t="shared" si="305"/>
        <v>0</v>
      </c>
      <c r="ED757" s="58">
        <f t="array" ref="ED757">SUM(IF(EA757:EB757&gt;=EA757, 1))</f>
        <v>2</v>
      </c>
      <c r="EE757" s="58">
        <f t="array" ref="EE757">SUM(IF(EA757:EB757&gt;=EB757, 1))</f>
        <v>1</v>
      </c>
    </row>
    <row r="758" spans="4:135" ht="12" customHeight="1" x14ac:dyDescent="0.25">
      <c r="D758" s="11">
        <v>742</v>
      </c>
      <c r="E758" s="72">
        <v>280.65814600809597</v>
      </c>
      <c r="F758" s="72">
        <v>256.60077629447227</v>
      </c>
      <c r="G758" s="73"/>
      <c r="H758" s="74">
        <v>5.810035812433461</v>
      </c>
      <c r="I758" s="74">
        <v>5.8254142889379006</v>
      </c>
      <c r="J758" s="73"/>
      <c r="K758" s="72">
        <v>301.16646304468554</v>
      </c>
      <c r="L758" s="72">
        <v>276.54973946255495</v>
      </c>
      <c r="M758" s="73"/>
      <c r="N758" s="74">
        <v>6.6601188381138963</v>
      </c>
      <c r="O758" s="74">
        <v>6.673588024314089</v>
      </c>
      <c r="P758" s="73"/>
      <c r="Q758" s="72">
        <v>2352.3877269020209</v>
      </c>
      <c r="R758" s="72">
        <v>1488.2167807828628</v>
      </c>
      <c r="S758" s="73"/>
      <c r="T758" s="74">
        <v>4.7567211893595713</v>
      </c>
      <c r="U758" s="74">
        <v>4.831324562199776</v>
      </c>
      <c r="V758" s="73"/>
      <c r="W758" s="72">
        <v>16315.426166321991</v>
      </c>
      <c r="X758" s="72">
        <v>16203.373352903265</v>
      </c>
      <c r="Y758" s="73"/>
      <c r="Z758" s="74">
        <v>2.8270980871870393</v>
      </c>
      <c r="AA758" s="74">
        <v>2.8548311360616343</v>
      </c>
      <c r="AB758" s="73"/>
      <c r="AC758" s="72">
        <v>49636.640925200772</v>
      </c>
      <c r="AD758" s="72">
        <v>49714.986864257713</v>
      </c>
      <c r="AE758" s="73"/>
      <c r="AF758" s="74">
        <v>4.5579078263595063</v>
      </c>
      <c r="AG758" s="74">
        <v>4.6612727120008577</v>
      </c>
      <c r="AH758" s="73"/>
      <c r="AI758" s="72">
        <v>2593540.5189706236</v>
      </c>
      <c r="AJ758" s="72">
        <v>0</v>
      </c>
      <c r="AK758" s="73"/>
      <c r="AL758" s="74">
        <v>-1657.8995297110569</v>
      </c>
      <c r="AM758" s="74">
        <v>0</v>
      </c>
      <c r="AN758" s="73"/>
      <c r="AO758" s="72">
        <v>160565.68318441251</v>
      </c>
      <c r="AP758" s="72">
        <v>0</v>
      </c>
      <c r="AQ758" s="73"/>
      <c r="AR758" s="74">
        <v>-87.854465154815372</v>
      </c>
      <c r="AS758" s="74">
        <v>0</v>
      </c>
      <c r="AT758" s="73"/>
      <c r="AU758" s="72">
        <v>20423863.712682169</v>
      </c>
      <c r="AV758" s="72">
        <v>0</v>
      </c>
      <c r="AW758" s="73"/>
      <c r="AX758" s="74">
        <v>-1763.1802205771653</v>
      </c>
      <c r="AY758" s="74">
        <v>0</v>
      </c>
      <c r="AZ758" s="73"/>
      <c r="BA758" s="72">
        <v>1038492.3974650829</v>
      </c>
      <c r="BB758" s="72">
        <v>0</v>
      </c>
      <c r="BC758" s="73"/>
      <c r="BD758" s="74">
        <v>-257.02666034069796</v>
      </c>
      <c r="BE758" s="74">
        <v>0</v>
      </c>
      <c r="BF758" s="73"/>
      <c r="BG758" s="72">
        <v>-1238026.6788305265</v>
      </c>
      <c r="BH758" s="72">
        <v>0</v>
      </c>
      <c r="BI758" s="73"/>
      <c r="BJ758" s="74">
        <v>-1633.3773979689493</v>
      </c>
      <c r="BK758" s="74">
        <v>0</v>
      </c>
      <c r="BL758" s="73"/>
      <c r="BM758" s="72">
        <v>22978435.633471761</v>
      </c>
      <c r="BN758" s="72">
        <v>0</v>
      </c>
      <c r="BO758" s="73"/>
      <c r="BP758" s="74">
        <v>-5399.3382737526854</v>
      </c>
      <c r="BQ758" s="74">
        <v>0</v>
      </c>
      <c r="BS758" s="109">
        <f t="shared" si="285"/>
        <v>115920.05810266113</v>
      </c>
      <c r="BT758" s="109">
        <f t="shared" si="286"/>
        <v>116251.68500246354</v>
      </c>
      <c r="BV758" s="58">
        <f t="array" ref="BV758">SUM(IF(BS758:BT758&gt;=BS758, 1))</f>
        <v>2</v>
      </c>
      <c r="BW758" s="58">
        <f t="array" ref="BW758">SUM(IF(BS758:BT758&gt;=BT758, 1))</f>
        <v>1</v>
      </c>
      <c r="BY758" s="109">
        <f t="shared" si="287"/>
        <v>132901.21029923324</v>
      </c>
      <c r="BZ758" s="109">
        <f t="shared" si="288"/>
        <v>133195.21074681921</v>
      </c>
      <c r="CB758" s="58">
        <f t="array" ref="CB758">SUM(IF(BY758:BZ758&gt;=BY758, 1))</f>
        <v>2</v>
      </c>
      <c r="CC758" s="58">
        <f t="array" ref="CC758">SUM(IF(BY758:BZ758&gt;=BZ758, 1))</f>
        <v>1</v>
      </c>
      <c r="CE758" s="109">
        <f t="shared" si="289"/>
        <v>92782.036060289407</v>
      </c>
      <c r="CF758" s="109">
        <f t="shared" si="290"/>
        <v>95138.274463212656</v>
      </c>
      <c r="CH758" s="58">
        <f t="array" ref="CH758">SUM(IF(CE758:CF758&gt;=CE758, 1))</f>
        <v>2</v>
      </c>
      <c r="CI758" s="58">
        <f t="array" ref="CI758">SUM(IF(CE758:CF758&gt;=CF758, 1))</f>
        <v>1</v>
      </c>
      <c r="CK758" s="109">
        <f t="shared" si="291"/>
        <v>40226.535577418792</v>
      </c>
      <c r="CL758" s="109">
        <f t="shared" si="292"/>
        <v>40893.249368329416</v>
      </c>
      <c r="CN758" s="58">
        <f t="array" ref="CN758">SUM(IF(CK758:CL758&gt;=CK758, 1))</f>
        <v>2</v>
      </c>
      <c r="CO758" s="58">
        <f t="array" ref="CO758">SUM(IF(CK758:CL758&gt;=CL758, 1))</f>
        <v>1</v>
      </c>
      <c r="CQ758" s="109" cm="1">
        <f t="array" ref="CQ758">AF758*WTP-AC758</f>
        <v>41521.515601989347</v>
      </c>
      <c r="CR758" s="109">
        <f t="shared" si="293"/>
        <v>43510.467375759436</v>
      </c>
      <c r="CT758" s="58">
        <f t="array" ref="CT758">SUM(IF(CQ758:CR758&gt;=CQ758, 1))</f>
        <v>2</v>
      </c>
      <c r="CU758" s="58">
        <f t="array" ref="CU758">SUM(IF(CQ758:CR758&gt;=CR758, 1))</f>
        <v>1</v>
      </c>
      <c r="CW758" s="109">
        <f t="shared" si="294"/>
        <v>-35751531.113191761</v>
      </c>
      <c r="CX758" s="109">
        <f t="shared" si="295"/>
        <v>0</v>
      </c>
      <c r="CZ758" s="58">
        <f t="array" ref="CZ758">SUM(IF(CW758:CX758&gt;=CW758, 1))</f>
        <v>2</v>
      </c>
      <c r="DA758" s="58">
        <f t="array" ref="DA758">SUM(IF(CW758:CX758&gt;=CX758, 1))</f>
        <v>1</v>
      </c>
      <c r="DC758" s="109">
        <f t="shared" si="296"/>
        <v>-1917654.98628072</v>
      </c>
      <c r="DD758" s="109">
        <f t="shared" si="297"/>
        <v>0</v>
      </c>
      <c r="DF758" s="58">
        <f t="array" ref="DF758">SUM(IF(DC758:DD758&gt;=DC758, 1))</f>
        <v>2</v>
      </c>
      <c r="DG758" s="58">
        <f t="array" ref="DG758">SUM(IF(DC758:DD758&gt;=DD758, 1))</f>
        <v>1</v>
      </c>
      <c r="DI758" s="109">
        <f t="shared" si="298"/>
        <v>-55687468.124225482</v>
      </c>
      <c r="DJ758" s="109">
        <f t="shared" si="299"/>
        <v>0</v>
      </c>
      <c r="DL758" s="58">
        <f t="array" ref="DL758">SUM(IF(DI758:DJ758&gt;=DI758, 1))</f>
        <v>2</v>
      </c>
      <c r="DM758" s="58">
        <f t="array" ref="DM758">SUM(IF(DI758:DJ758&gt;=DJ758, 1))</f>
        <v>1</v>
      </c>
      <c r="DO758" s="109">
        <f t="shared" si="300"/>
        <v>-6179025.6042790422</v>
      </c>
      <c r="DP758" s="109">
        <f t="shared" si="301"/>
        <v>0</v>
      </c>
      <c r="DR758" s="58">
        <f t="array" ref="DR758">SUM(IF(DO758:DP758&gt;=DO758, 1))</f>
        <v>2</v>
      </c>
      <c r="DS758" s="58">
        <f t="array" ref="DS758">SUM(IF(DO758:DP758&gt;=DP758, 1))</f>
        <v>1</v>
      </c>
      <c r="DU758" s="109">
        <f t="shared" si="302"/>
        <v>-31429521.280548457</v>
      </c>
      <c r="DV758" s="109">
        <f t="shared" si="303"/>
        <v>0</v>
      </c>
      <c r="DX758" s="58">
        <f t="array" ref="DX758">SUM(IF(DU758:DV758&gt;=DU758, 1))</f>
        <v>2</v>
      </c>
      <c r="DY758" s="58">
        <f t="array" ref="DY758">SUM(IF(DU758:DV758&gt;=DV758, 1))</f>
        <v>1</v>
      </c>
      <c r="EA758" s="109">
        <f t="shared" si="304"/>
        <v>-130965201.10852547</v>
      </c>
      <c r="EB758" s="109">
        <f t="shared" si="305"/>
        <v>0</v>
      </c>
      <c r="ED758" s="58">
        <f t="array" ref="ED758">SUM(IF(EA758:EB758&gt;=EA758, 1))</f>
        <v>2</v>
      </c>
      <c r="EE758" s="58">
        <f t="array" ref="EE758">SUM(IF(EA758:EB758&gt;=EB758, 1))</f>
        <v>1</v>
      </c>
    </row>
    <row r="759" spans="4:135" ht="12" customHeight="1" x14ac:dyDescent="0.25">
      <c r="D759" s="11">
        <v>743</v>
      </c>
      <c r="E759" s="72">
        <v>296.37130519743062</v>
      </c>
      <c r="F759" s="72">
        <v>255.23260960432506</v>
      </c>
      <c r="G759" s="73"/>
      <c r="H759" s="74">
        <v>5.8282573680357164</v>
      </c>
      <c r="I759" s="74">
        <v>5.8450399720290935</v>
      </c>
      <c r="J759" s="73"/>
      <c r="K759" s="72">
        <v>317.26892218644241</v>
      </c>
      <c r="L759" s="72">
        <v>275.17320784824858</v>
      </c>
      <c r="M759" s="73"/>
      <c r="N759" s="74">
        <v>6.7027015147752165</v>
      </c>
      <c r="O759" s="74">
        <v>6.7169494681991786</v>
      </c>
      <c r="P759" s="73"/>
      <c r="Q759" s="72">
        <v>2863.0460600330616</v>
      </c>
      <c r="R759" s="72">
        <v>2012.8951277862484</v>
      </c>
      <c r="S759" s="73"/>
      <c r="T759" s="74">
        <v>4.8341476783460848</v>
      </c>
      <c r="U759" s="74">
        <v>4.8842623949081778</v>
      </c>
      <c r="V759" s="73"/>
      <c r="W759" s="72">
        <v>12126.328251265677</v>
      </c>
      <c r="X759" s="72">
        <v>12101.67626851714</v>
      </c>
      <c r="Y759" s="73"/>
      <c r="Z759" s="74">
        <v>2.9609341177519983</v>
      </c>
      <c r="AA759" s="74">
        <v>3.0081626298965216</v>
      </c>
      <c r="AB759" s="73"/>
      <c r="AC759" s="72">
        <v>49264.38195152321</v>
      </c>
      <c r="AD759" s="72">
        <v>49283.359669373167</v>
      </c>
      <c r="AE759" s="73"/>
      <c r="AF759" s="74">
        <v>4.1042598206992293</v>
      </c>
      <c r="AG759" s="74">
        <v>4.1770649804313358</v>
      </c>
      <c r="AH759" s="73"/>
      <c r="AI759" s="72">
        <v>4384421.993647892</v>
      </c>
      <c r="AJ759" s="72">
        <v>0</v>
      </c>
      <c r="AK759" s="73"/>
      <c r="AL759" s="74">
        <v>-1788.6327458466483</v>
      </c>
      <c r="AM759" s="74">
        <v>0</v>
      </c>
      <c r="AN759" s="73"/>
      <c r="AO759" s="72">
        <v>303894.96156001807</v>
      </c>
      <c r="AP759" s="72">
        <v>0</v>
      </c>
      <c r="AQ759" s="73"/>
      <c r="AR759" s="74">
        <v>-102.85800647776053</v>
      </c>
      <c r="AS759" s="74">
        <v>0</v>
      </c>
      <c r="AT759" s="73"/>
      <c r="AU759" s="72">
        <v>20111826.668952357</v>
      </c>
      <c r="AV759" s="72">
        <v>0</v>
      </c>
      <c r="AW759" s="73"/>
      <c r="AX759" s="74">
        <v>-1185.5524176122176</v>
      </c>
      <c r="AY759" s="74">
        <v>0</v>
      </c>
      <c r="AZ759" s="73"/>
      <c r="BA759" s="72">
        <v>220753.62749035587</v>
      </c>
      <c r="BB759" s="72">
        <v>0</v>
      </c>
      <c r="BC759" s="73"/>
      <c r="BD759" s="74">
        <v>-422.92198088993445</v>
      </c>
      <c r="BE759" s="74">
        <v>0</v>
      </c>
      <c r="BF759" s="73"/>
      <c r="BG759" s="72">
        <v>-303216.91397554637</v>
      </c>
      <c r="BH759" s="72">
        <v>0</v>
      </c>
      <c r="BI759" s="73"/>
      <c r="BJ759" s="74">
        <v>-1163.2460778478649</v>
      </c>
      <c r="BK759" s="74">
        <v>0</v>
      </c>
      <c r="BL759" s="73"/>
      <c r="BM759" s="72">
        <v>24717680.337675076</v>
      </c>
      <c r="BN759" s="72">
        <v>0</v>
      </c>
      <c r="BO759" s="73"/>
      <c r="BP759" s="74">
        <v>-4663.211228674425</v>
      </c>
      <c r="BQ759" s="74">
        <v>0</v>
      </c>
      <c r="BS759" s="109">
        <f t="shared" si="285"/>
        <v>116268.77605551689</v>
      </c>
      <c r="BT759" s="109">
        <f t="shared" si="286"/>
        <v>116645.56683097755</v>
      </c>
      <c r="BV759" s="58">
        <f t="array" ref="BV759">SUM(IF(BS759:BT759&gt;=BS759, 1))</f>
        <v>2</v>
      </c>
      <c r="BW759" s="58">
        <f t="array" ref="BW759">SUM(IF(BS759:BT759&gt;=BT759, 1))</f>
        <v>1</v>
      </c>
      <c r="BY759" s="109">
        <f t="shared" si="287"/>
        <v>133736.76137331786</v>
      </c>
      <c r="BZ759" s="109">
        <f t="shared" si="288"/>
        <v>134063.81615613532</v>
      </c>
      <c r="CB759" s="58">
        <f t="array" ref="CB759">SUM(IF(BY759:BZ759&gt;=BY759, 1))</f>
        <v>2</v>
      </c>
      <c r="CC759" s="58">
        <f t="array" ref="CC759">SUM(IF(BY759:BZ759&gt;=BZ759, 1))</f>
        <v>1</v>
      </c>
      <c r="CE759" s="109">
        <f t="shared" si="289"/>
        <v>93819.907506888645</v>
      </c>
      <c r="CF759" s="109">
        <f t="shared" si="290"/>
        <v>95672.3527703773</v>
      </c>
      <c r="CH759" s="58">
        <f t="array" ref="CH759">SUM(IF(CE759:CF759&gt;=CE759, 1))</f>
        <v>2</v>
      </c>
      <c r="CI759" s="58">
        <f t="array" ref="CI759">SUM(IF(CE759:CF759&gt;=CF759, 1))</f>
        <v>1</v>
      </c>
      <c r="CK759" s="109">
        <f t="shared" si="291"/>
        <v>47092.354103774283</v>
      </c>
      <c r="CL759" s="109">
        <f t="shared" si="292"/>
        <v>48061.576329413292</v>
      </c>
      <c r="CN759" s="58">
        <f t="array" ref="CN759">SUM(IF(CK759:CL759&gt;=CK759, 1))</f>
        <v>2</v>
      </c>
      <c r="CO759" s="58">
        <f t="array" ref="CO759">SUM(IF(CK759:CL759&gt;=CL759, 1))</f>
        <v>1</v>
      </c>
      <c r="CQ759" s="109" cm="1">
        <f t="array" ref="CQ759">AF759*WTP-AC759</f>
        <v>32820.814462461371</v>
      </c>
      <c r="CR759" s="109">
        <f t="shared" si="293"/>
        <v>34257.939939253542</v>
      </c>
      <c r="CT759" s="58">
        <f t="array" ref="CT759">SUM(IF(CQ759:CR759&gt;=CQ759, 1))</f>
        <v>2</v>
      </c>
      <c r="CU759" s="58">
        <f t="array" ref="CU759">SUM(IF(CQ759:CR759&gt;=CR759, 1))</f>
        <v>1</v>
      </c>
      <c r="CW759" s="109">
        <f t="shared" si="294"/>
        <v>-40157076.910580859</v>
      </c>
      <c r="CX759" s="109">
        <f t="shared" si="295"/>
        <v>0</v>
      </c>
      <c r="CZ759" s="58">
        <f t="array" ref="CZ759">SUM(IF(CW759:CX759&gt;=CW759, 1))</f>
        <v>2</v>
      </c>
      <c r="DA759" s="58">
        <f t="array" ref="DA759">SUM(IF(CW759:CX759&gt;=CX759, 1))</f>
        <v>1</v>
      </c>
      <c r="DC759" s="109">
        <f t="shared" si="296"/>
        <v>-2361055.0911152284</v>
      </c>
      <c r="DD759" s="109">
        <f t="shared" si="297"/>
        <v>0</v>
      </c>
      <c r="DF759" s="58">
        <f t="array" ref="DF759">SUM(IF(DC759:DD759&gt;=DC759, 1))</f>
        <v>2</v>
      </c>
      <c r="DG759" s="58">
        <f t="array" ref="DG759">SUM(IF(DC759:DD759&gt;=DD759, 1))</f>
        <v>1</v>
      </c>
      <c r="DI759" s="109">
        <f t="shared" si="298"/>
        <v>-43822875.021196708</v>
      </c>
      <c r="DJ759" s="109">
        <f t="shared" si="299"/>
        <v>0</v>
      </c>
      <c r="DL759" s="58">
        <f t="array" ref="DL759">SUM(IF(DI759:DJ759&gt;=DI759, 1))</f>
        <v>2</v>
      </c>
      <c r="DM759" s="58">
        <f t="array" ref="DM759">SUM(IF(DI759:DJ759&gt;=DJ759, 1))</f>
        <v>1</v>
      </c>
      <c r="DO759" s="109">
        <f t="shared" si="300"/>
        <v>-8679193.2452890463</v>
      </c>
      <c r="DP759" s="109">
        <f t="shared" si="301"/>
        <v>0</v>
      </c>
      <c r="DR759" s="58">
        <f t="array" ref="DR759">SUM(IF(DO759:DP759&gt;=DO759, 1))</f>
        <v>2</v>
      </c>
      <c r="DS759" s="58">
        <f t="array" ref="DS759">SUM(IF(DO759:DP759&gt;=DP759, 1))</f>
        <v>1</v>
      </c>
      <c r="DU759" s="109">
        <f t="shared" si="302"/>
        <v>-22961704.642981749</v>
      </c>
      <c r="DV759" s="109">
        <f t="shared" si="303"/>
        <v>0</v>
      </c>
      <c r="DX759" s="58">
        <f t="array" ref="DX759">SUM(IF(DU759:DV759&gt;=DU759, 1))</f>
        <v>2</v>
      </c>
      <c r="DY759" s="58">
        <f t="array" ref="DY759">SUM(IF(DU759:DV759&gt;=DV759, 1))</f>
        <v>1</v>
      </c>
      <c r="EA759" s="109">
        <f t="shared" si="304"/>
        <v>-117981904.91116358</v>
      </c>
      <c r="EB759" s="109">
        <f t="shared" si="305"/>
        <v>0</v>
      </c>
      <c r="ED759" s="58">
        <f t="array" ref="ED759">SUM(IF(EA759:EB759&gt;=EA759, 1))</f>
        <v>2</v>
      </c>
      <c r="EE759" s="58">
        <f t="array" ref="EE759">SUM(IF(EA759:EB759&gt;=EB759, 1))</f>
        <v>1</v>
      </c>
    </row>
    <row r="760" spans="4:135" ht="12" customHeight="1" x14ac:dyDescent="0.25">
      <c r="D760" s="11">
        <v>744</v>
      </c>
      <c r="E760" s="72">
        <v>229.33131205382793</v>
      </c>
      <c r="F760" s="72">
        <v>217.86327995632044</v>
      </c>
      <c r="G760" s="73"/>
      <c r="H760" s="74">
        <v>5.8219369372990828</v>
      </c>
      <c r="I760" s="74">
        <v>5.8378411317522678</v>
      </c>
      <c r="J760" s="73"/>
      <c r="K760" s="72">
        <v>246.7219069111899</v>
      </c>
      <c r="L760" s="72">
        <v>234.96920395801695</v>
      </c>
      <c r="M760" s="73"/>
      <c r="N760" s="74">
        <v>6.7278624622346879</v>
      </c>
      <c r="O760" s="74">
        <v>6.7419336193574511</v>
      </c>
      <c r="P760" s="73"/>
      <c r="Q760" s="72">
        <v>3198.8387215873768</v>
      </c>
      <c r="R760" s="72">
        <v>1489.3052145598542</v>
      </c>
      <c r="S760" s="73"/>
      <c r="T760" s="74">
        <v>4.695487499667987</v>
      </c>
      <c r="U760" s="74">
        <v>4.839413956059972</v>
      </c>
      <c r="V760" s="73"/>
      <c r="W760" s="72">
        <v>11398.959612777311</v>
      </c>
      <c r="X760" s="72">
        <v>11391.397646017038</v>
      </c>
      <c r="Y760" s="73"/>
      <c r="Z760" s="74">
        <v>2.9811780342802305</v>
      </c>
      <c r="AA760" s="74">
        <v>3.0259427794441427</v>
      </c>
      <c r="AB760" s="73"/>
      <c r="AC760" s="72">
        <v>50851.843679556943</v>
      </c>
      <c r="AD760" s="72">
        <v>50358.932213749184</v>
      </c>
      <c r="AE760" s="73"/>
      <c r="AF760" s="74">
        <v>4.4568112320776434</v>
      </c>
      <c r="AG760" s="74">
        <v>4.6091418773910426</v>
      </c>
      <c r="AH760" s="73"/>
      <c r="AI760" s="72">
        <v>1226360.3787413232</v>
      </c>
      <c r="AJ760" s="72">
        <v>0</v>
      </c>
      <c r="AK760" s="73"/>
      <c r="AL760" s="74">
        <v>-1700.7515995200943</v>
      </c>
      <c r="AM760" s="74">
        <v>0</v>
      </c>
      <c r="AN760" s="73"/>
      <c r="AO760" s="72">
        <v>82702.937585618565</v>
      </c>
      <c r="AP760" s="72">
        <v>0</v>
      </c>
      <c r="AQ760" s="73"/>
      <c r="AR760" s="74">
        <v>-99.017735232314124</v>
      </c>
      <c r="AS760" s="74">
        <v>0</v>
      </c>
      <c r="AT760" s="73"/>
      <c r="AU760" s="72">
        <v>38923526.250581883</v>
      </c>
      <c r="AV760" s="72">
        <v>0</v>
      </c>
      <c r="AW760" s="73"/>
      <c r="AX760" s="74">
        <v>-3276.9905828095998</v>
      </c>
      <c r="AY760" s="74">
        <v>0</v>
      </c>
      <c r="AZ760" s="73"/>
      <c r="BA760" s="72">
        <v>64530.419189471337</v>
      </c>
      <c r="BB760" s="72">
        <v>0</v>
      </c>
      <c r="BC760" s="73"/>
      <c r="BD760" s="74">
        <v>-382.00217772879307</v>
      </c>
      <c r="BE760" s="74">
        <v>0</v>
      </c>
      <c r="BF760" s="73"/>
      <c r="BG760" s="72">
        <v>7834754.2716252087</v>
      </c>
      <c r="BH760" s="72">
        <v>0</v>
      </c>
      <c r="BI760" s="73"/>
      <c r="BJ760" s="74">
        <v>-2421.2728996124542</v>
      </c>
      <c r="BK760" s="74">
        <v>0</v>
      </c>
      <c r="BL760" s="73"/>
      <c r="BM760" s="72">
        <v>48131874.257723495</v>
      </c>
      <c r="BN760" s="72">
        <v>0</v>
      </c>
      <c r="BO760" s="73"/>
      <c r="BP760" s="74">
        <v>-7880.0349949032552</v>
      </c>
      <c r="BQ760" s="74">
        <v>0</v>
      </c>
      <c r="BS760" s="109">
        <f t="shared" si="285"/>
        <v>116209.40743392783</v>
      </c>
      <c r="BT760" s="109">
        <f t="shared" si="286"/>
        <v>116538.95935508904</v>
      </c>
      <c r="BV760" s="58">
        <f t="array" ref="BV760">SUM(IF(BS760:BT760&gt;=BS760, 1))</f>
        <v>2</v>
      </c>
      <c r="BW760" s="58">
        <f t="array" ref="BW760">SUM(IF(BS760:BT760&gt;=BT760, 1))</f>
        <v>1</v>
      </c>
      <c r="BY760" s="109">
        <f t="shared" si="287"/>
        <v>134310.52733778255</v>
      </c>
      <c r="BZ760" s="109">
        <f t="shared" si="288"/>
        <v>134603.70318319098</v>
      </c>
      <c r="CB760" s="58">
        <f t="array" ref="CB760">SUM(IF(BY760:BZ760&gt;=BY760, 1))</f>
        <v>2</v>
      </c>
      <c r="CC760" s="58">
        <f t="array" ref="CC760">SUM(IF(BY760:BZ760&gt;=BZ760, 1))</f>
        <v>1</v>
      </c>
      <c r="CE760" s="109">
        <f t="shared" si="289"/>
        <v>90710.911271772362</v>
      </c>
      <c r="CF760" s="109">
        <f t="shared" si="290"/>
        <v>95298.9739066396</v>
      </c>
      <c r="CH760" s="58">
        <f t="array" ref="CH760">SUM(IF(CE760:CF760&gt;=CE760, 1))</f>
        <v>2</v>
      </c>
      <c r="CI760" s="58">
        <f t="array" ref="CI760">SUM(IF(CE760:CF760&gt;=CF760, 1))</f>
        <v>1</v>
      </c>
      <c r="CK760" s="109">
        <f t="shared" si="291"/>
        <v>48224.601072827303</v>
      </c>
      <c r="CL760" s="109">
        <f t="shared" si="292"/>
        <v>49127.457942865818</v>
      </c>
      <c r="CN760" s="58">
        <f t="array" ref="CN760">SUM(IF(CK760:CL760&gt;=CK760, 1))</f>
        <v>2</v>
      </c>
      <c r="CO760" s="58">
        <f t="array" ref="CO760">SUM(IF(CK760:CL760&gt;=CL760, 1))</f>
        <v>1</v>
      </c>
      <c r="CQ760" s="109" cm="1">
        <f t="array" ref="CQ760">AF760*WTP-AC760</f>
        <v>38284.380961995921</v>
      </c>
      <c r="CR760" s="109">
        <f t="shared" si="293"/>
        <v>41823.905334071664</v>
      </c>
      <c r="CT760" s="58">
        <f t="array" ref="CT760">SUM(IF(CQ760:CR760&gt;=CQ760, 1))</f>
        <v>2</v>
      </c>
      <c r="CU760" s="58">
        <f t="array" ref="CU760">SUM(IF(CQ760:CR760&gt;=CR760, 1))</f>
        <v>1</v>
      </c>
      <c r="CW760" s="109">
        <f t="shared" si="294"/>
        <v>-35241392.36914321</v>
      </c>
      <c r="CX760" s="109">
        <f t="shared" si="295"/>
        <v>0</v>
      </c>
      <c r="CZ760" s="58">
        <f t="array" ref="CZ760">SUM(IF(CW760:CX760&gt;=CW760, 1))</f>
        <v>2</v>
      </c>
      <c r="DA760" s="58">
        <f t="array" ref="DA760">SUM(IF(CW760:CX760&gt;=CX760, 1))</f>
        <v>1</v>
      </c>
      <c r="DC760" s="109">
        <f t="shared" si="296"/>
        <v>-2063057.6422319009</v>
      </c>
      <c r="DD760" s="109">
        <f t="shared" si="297"/>
        <v>0</v>
      </c>
      <c r="DF760" s="58">
        <f t="array" ref="DF760">SUM(IF(DC760:DD760&gt;=DC760, 1))</f>
        <v>2</v>
      </c>
      <c r="DG760" s="58">
        <f t="array" ref="DG760">SUM(IF(DC760:DD760&gt;=DD760, 1))</f>
        <v>1</v>
      </c>
      <c r="DI760" s="109">
        <f t="shared" si="298"/>
        <v>-104463337.90677388</v>
      </c>
      <c r="DJ760" s="109">
        <f t="shared" si="299"/>
        <v>0</v>
      </c>
      <c r="DL760" s="58">
        <f t="array" ref="DL760">SUM(IF(DI760:DJ760&gt;=DI760, 1))</f>
        <v>2</v>
      </c>
      <c r="DM760" s="58">
        <f t="array" ref="DM760">SUM(IF(DI760:DJ760&gt;=DJ760, 1))</f>
        <v>1</v>
      </c>
      <c r="DO760" s="109">
        <f t="shared" si="300"/>
        <v>-7704573.9737653332</v>
      </c>
      <c r="DP760" s="109">
        <f t="shared" si="301"/>
        <v>0</v>
      </c>
      <c r="DR760" s="58">
        <f t="array" ref="DR760">SUM(IF(DO760:DP760&gt;=DO760, 1))</f>
        <v>2</v>
      </c>
      <c r="DS760" s="58">
        <f t="array" ref="DS760">SUM(IF(DO760:DP760&gt;=DP760, 1))</f>
        <v>1</v>
      </c>
      <c r="DU760" s="109">
        <f t="shared" si="302"/>
        <v>-56260212.263874292</v>
      </c>
      <c r="DV760" s="109">
        <f t="shared" si="303"/>
        <v>0</v>
      </c>
      <c r="DX760" s="58">
        <f t="array" ref="DX760">SUM(IF(DU760:DV760&gt;=DU760, 1))</f>
        <v>2</v>
      </c>
      <c r="DY760" s="58">
        <f t="array" ref="DY760">SUM(IF(DU760:DV760&gt;=DV760, 1))</f>
        <v>1</v>
      </c>
      <c r="EA760" s="109">
        <f t="shared" si="304"/>
        <v>-205732574.1557886</v>
      </c>
      <c r="EB760" s="109">
        <f t="shared" si="305"/>
        <v>0</v>
      </c>
      <c r="ED760" s="58">
        <f t="array" ref="ED760">SUM(IF(EA760:EB760&gt;=EA760, 1))</f>
        <v>2</v>
      </c>
      <c r="EE760" s="58">
        <f t="array" ref="EE760">SUM(IF(EA760:EB760&gt;=EB760, 1))</f>
        <v>1</v>
      </c>
    </row>
    <row r="761" spans="4:135" ht="12" customHeight="1" x14ac:dyDescent="0.25">
      <c r="D761" s="11">
        <v>745</v>
      </c>
      <c r="E761" s="72">
        <v>229.83174617555733</v>
      </c>
      <c r="F761" s="72">
        <v>214.83421033265128</v>
      </c>
      <c r="G761" s="73"/>
      <c r="H761" s="74">
        <v>5.8486426915178775</v>
      </c>
      <c r="I761" s="74">
        <v>5.8626722393846542</v>
      </c>
      <c r="J761" s="73"/>
      <c r="K761" s="72">
        <v>247.08944594552486</v>
      </c>
      <c r="L761" s="72">
        <v>231.70316489664665</v>
      </c>
      <c r="M761" s="73"/>
      <c r="N761" s="74">
        <v>6.662628883972193</v>
      </c>
      <c r="O761" s="74">
        <v>6.6738480668180387</v>
      </c>
      <c r="P761" s="73"/>
      <c r="Q761" s="72">
        <v>2772.8115413868768</v>
      </c>
      <c r="R761" s="72">
        <v>1654.1933713266037</v>
      </c>
      <c r="S761" s="73"/>
      <c r="T761" s="74">
        <v>4.8404955492039301</v>
      </c>
      <c r="U761" s="74">
        <v>4.9290849094056615</v>
      </c>
      <c r="V761" s="73"/>
      <c r="W761" s="72">
        <v>15388.104986564238</v>
      </c>
      <c r="X761" s="72">
        <v>15339.930005876558</v>
      </c>
      <c r="Y761" s="73"/>
      <c r="Z761" s="74">
        <v>3.0990327805381281</v>
      </c>
      <c r="AA761" s="74">
        <v>3.1508993445882325</v>
      </c>
      <c r="AB761" s="73"/>
      <c r="AC761" s="72">
        <v>49948.288591710239</v>
      </c>
      <c r="AD761" s="72">
        <v>49811.224376663849</v>
      </c>
      <c r="AE761" s="73"/>
      <c r="AF761" s="74">
        <v>4.1619298561361155</v>
      </c>
      <c r="AG761" s="74">
        <v>4.2072827841590694</v>
      </c>
      <c r="AH761" s="73"/>
      <c r="AI761" s="72">
        <v>1614618.9904582838</v>
      </c>
      <c r="AJ761" s="72">
        <v>0</v>
      </c>
      <c r="AK761" s="73"/>
      <c r="AL761" s="74">
        <v>-1510.4064194622938</v>
      </c>
      <c r="AM761" s="74">
        <v>0</v>
      </c>
      <c r="AN761" s="73"/>
      <c r="AO761" s="72">
        <v>105748.37125291955</v>
      </c>
      <c r="AP761" s="72">
        <v>0</v>
      </c>
      <c r="AQ761" s="73"/>
      <c r="AR761" s="74">
        <v>-77.10832195044128</v>
      </c>
      <c r="AS761" s="74">
        <v>0</v>
      </c>
      <c r="AT761" s="73"/>
      <c r="AU761" s="72">
        <v>25737567.392038364</v>
      </c>
      <c r="AV761" s="72">
        <v>0</v>
      </c>
      <c r="AW761" s="73"/>
      <c r="AX761" s="74">
        <v>-2038.2957200550102</v>
      </c>
      <c r="AY761" s="74">
        <v>0</v>
      </c>
      <c r="AZ761" s="73"/>
      <c r="BA761" s="72">
        <v>426758.12185989157</v>
      </c>
      <c r="BB761" s="72">
        <v>0</v>
      </c>
      <c r="BC761" s="73"/>
      <c r="BD761" s="74">
        <v>-459.46001732407603</v>
      </c>
      <c r="BE761" s="74">
        <v>0</v>
      </c>
      <c r="BF761" s="73"/>
      <c r="BG761" s="72">
        <v>2183152.6073681382</v>
      </c>
      <c r="BH761" s="72">
        <v>0</v>
      </c>
      <c r="BI761" s="73"/>
      <c r="BJ761" s="74">
        <v>-722.379382770186</v>
      </c>
      <c r="BK761" s="74">
        <v>0</v>
      </c>
      <c r="BL761" s="73"/>
      <c r="BM761" s="72">
        <v>30067845.482977599</v>
      </c>
      <c r="BN761" s="72">
        <v>0</v>
      </c>
      <c r="BO761" s="73"/>
      <c r="BP761" s="74">
        <v>-4807.6498615620067</v>
      </c>
      <c r="BQ761" s="74">
        <v>0</v>
      </c>
      <c r="BS761" s="109">
        <f t="shared" si="285"/>
        <v>116743.022084182</v>
      </c>
      <c r="BT761" s="109">
        <f t="shared" si="286"/>
        <v>117038.61057736042</v>
      </c>
      <c r="BV761" s="58">
        <f t="array" ref="BV761">SUM(IF(BS761:BT761&gt;=BS761, 1))</f>
        <v>2</v>
      </c>
      <c r="BW761" s="58">
        <f t="array" ref="BW761">SUM(IF(BS761:BT761&gt;=BT761, 1))</f>
        <v>1</v>
      </c>
      <c r="BY761" s="109">
        <f t="shared" si="287"/>
        <v>133005.48823349836</v>
      </c>
      <c r="BZ761" s="109">
        <f t="shared" si="288"/>
        <v>133245.25817146414</v>
      </c>
      <c r="CB761" s="58">
        <f t="array" ref="CB761">SUM(IF(BY761:BZ761&gt;=BY761, 1))</f>
        <v>2</v>
      </c>
      <c r="CC761" s="58">
        <f t="array" ref="CC761">SUM(IF(BY761:BZ761&gt;=BZ761, 1))</f>
        <v>1</v>
      </c>
      <c r="CE761" s="109">
        <f t="shared" si="289"/>
        <v>94037.099442691717</v>
      </c>
      <c r="CF761" s="109">
        <f t="shared" si="290"/>
        <v>96927.504816786619</v>
      </c>
      <c r="CH761" s="58">
        <f t="array" ref="CH761">SUM(IF(CE761:CF761&gt;=CE761, 1))</f>
        <v>2</v>
      </c>
      <c r="CI761" s="58">
        <f t="array" ref="CI761">SUM(IF(CE761:CF761&gt;=CF761, 1))</f>
        <v>1</v>
      </c>
      <c r="CK761" s="109">
        <f t="shared" si="291"/>
        <v>46592.550624198324</v>
      </c>
      <c r="CL761" s="109">
        <f t="shared" si="292"/>
        <v>47678.056885888094</v>
      </c>
      <c r="CN761" s="58">
        <f t="array" ref="CN761">SUM(IF(CK761:CL761&gt;=CK761, 1))</f>
        <v>2</v>
      </c>
      <c r="CO761" s="58">
        <f t="array" ref="CO761">SUM(IF(CK761:CL761&gt;=CL761, 1))</f>
        <v>1</v>
      </c>
      <c r="CQ761" s="109" cm="1">
        <f t="array" ref="CQ761">AF761*WTP-AC761</f>
        <v>33290.308531012066</v>
      </c>
      <c r="CR761" s="109">
        <f t="shared" si="293"/>
        <v>34334.431306517545</v>
      </c>
      <c r="CT761" s="58">
        <f t="array" ref="CT761">SUM(IF(CQ761:CR761&gt;=CQ761, 1))</f>
        <v>2</v>
      </c>
      <c r="CU761" s="58">
        <f t="array" ref="CU761">SUM(IF(CQ761:CR761&gt;=CR761, 1))</f>
        <v>1</v>
      </c>
      <c r="CW761" s="109">
        <f t="shared" si="294"/>
        <v>-31822747.379704159</v>
      </c>
      <c r="CX761" s="109">
        <f t="shared" si="295"/>
        <v>0</v>
      </c>
      <c r="CZ761" s="58">
        <f t="array" ref="CZ761">SUM(IF(CW761:CX761&gt;=CW761, 1))</f>
        <v>2</v>
      </c>
      <c r="DA761" s="58">
        <f t="array" ref="DA761">SUM(IF(CW761:CX761&gt;=CX761, 1))</f>
        <v>1</v>
      </c>
      <c r="DC761" s="109">
        <f t="shared" si="296"/>
        <v>-1647914.8102617452</v>
      </c>
      <c r="DD761" s="109">
        <f t="shared" si="297"/>
        <v>0</v>
      </c>
      <c r="DF761" s="58">
        <f t="array" ref="DF761">SUM(IF(DC761:DD761&gt;=DC761, 1))</f>
        <v>2</v>
      </c>
      <c r="DG761" s="58">
        <f t="array" ref="DG761">SUM(IF(DC761:DD761&gt;=DD761, 1))</f>
        <v>1</v>
      </c>
      <c r="DI761" s="109">
        <f t="shared" si="298"/>
        <v>-66503481.793138564</v>
      </c>
      <c r="DJ761" s="109">
        <f t="shared" si="299"/>
        <v>0</v>
      </c>
      <c r="DL761" s="58">
        <f t="array" ref="DL761">SUM(IF(DI761:DJ761&gt;=DI761, 1))</f>
        <v>2</v>
      </c>
      <c r="DM761" s="58">
        <f t="array" ref="DM761">SUM(IF(DI761:DJ761&gt;=DJ761, 1))</f>
        <v>1</v>
      </c>
      <c r="DO761" s="109">
        <f t="shared" si="300"/>
        <v>-9615958.468341412</v>
      </c>
      <c r="DP761" s="109">
        <f t="shared" si="301"/>
        <v>0</v>
      </c>
      <c r="DR761" s="58">
        <f t="array" ref="DR761">SUM(IF(DO761:DP761&gt;=DO761, 1))</f>
        <v>2</v>
      </c>
      <c r="DS761" s="58">
        <f t="array" ref="DS761">SUM(IF(DO761:DP761&gt;=DP761, 1))</f>
        <v>1</v>
      </c>
      <c r="DU761" s="109">
        <f t="shared" si="302"/>
        <v>-16630740.262771858</v>
      </c>
      <c r="DV761" s="109">
        <f t="shared" si="303"/>
        <v>0</v>
      </c>
      <c r="DX761" s="58">
        <f t="array" ref="DX761">SUM(IF(DU761:DV761&gt;=DU761, 1))</f>
        <v>2</v>
      </c>
      <c r="DY761" s="58">
        <f t="array" ref="DY761">SUM(IF(DU761:DV761&gt;=DV761, 1))</f>
        <v>1</v>
      </c>
      <c r="EA761" s="109">
        <f t="shared" si="304"/>
        <v>-126220842.71421774</v>
      </c>
      <c r="EB761" s="109">
        <f t="shared" si="305"/>
        <v>0</v>
      </c>
      <c r="ED761" s="58">
        <f t="array" ref="ED761">SUM(IF(EA761:EB761&gt;=EA761, 1))</f>
        <v>2</v>
      </c>
      <c r="EE761" s="58">
        <f t="array" ref="EE761">SUM(IF(EA761:EB761&gt;=EB761, 1))</f>
        <v>1</v>
      </c>
    </row>
    <row r="762" spans="4:135" ht="12" customHeight="1" x14ac:dyDescent="0.25">
      <c r="D762" s="11">
        <v>746</v>
      </c>
      <c r="E762" s="72">
        <v>224.88131333461087</v>
      </c>
      <c r="F762" s="72">
        <v>203.91506603545852</v>
      </c>
      <c r="G762" s="73"/>
      <c r="H762" s="74">
        <v>5.8330181410716788</v>
      </c>
      <c r="I762" s="74">
        <v>5.8508375083294002</v>
      </c>
      <c r="J762" s="73"/>
      <c r="K762" s="72">
        <v>241.3506490876205</v>
      </c>
      <c r="L762" s="72">
        <v>219.88399888750905</v>
      </c>
      <c r="M762" s="73"/>
      <c r="N762" s="74">
        <v>6.7142525326093159</v>
      </c>
      <c r="O762" s="74">
        <v>6.7299080728544629</v>
      </c>
      <c r="P762" s="73"/>
      <c r="Q762" s="72">
        <v>2711.708611618224</v>
      </c>
      <c r="R762" s="72">
        <v>1428.5680346988627</v>
      </c>
      <c r="S762" s="73"/>
      <c r="T762" s="74">
        <v>4.8104773492283703</v>
      </c>
      <c r="U762" s="74">
        <v>4.8834814822761938</v>
      </c>
      <c r="V762" s="73"/>
      <c r="W762" s="72">
        <v>13271.674802564101</v>
      </c>
      <c r="X762" s="72">
        <v>13260.783769066484</v>
      </c>
      <c r="Y762" s="73"/>
      <c r="Z762" s="74">
        <v>3.1156860856447612</v>
      </c>
      <c r="AA762" s="74">
        <v>3.1630044681451421</v>
      </c>
      <c r="AB762" s="73"/>
      <c r="AC762" s="72">
        <v>50049.461385062961</v>
      </c>
      <c r="AD762" s="72">
        <v>49876.64446580645</v>
      </c>
      <c r="AE762" s="73"/>
      <c r="AF762" s="74">
        <v>4.8022840199421317</v>
      </c>
      <c r="AG762" s="74">
        <v>4.8729080372610714</v>
      </c>
      <c r="AH762" s="73"/>
      <c r="AI762" s="72">
        <v>2279774.7392570027</v>
      </c>
      <c r="AJ762" s="72">
        <v>0</v>
      </c>
      <c r="AK762" s="73"/>
      <c r="AL762" s="74">
        <v>-1937.5972611626564</v>
      </c>
      <c r="AM762" s="74">
        <v>0</v>
      </c>
      <c r="AN762" s="73"/>
      <c r="AO762" s="72">
        <v>147644.01761008883</v>
      </c>
      <c r="AP762" s="72">
        <v>0</v>
      </c>
      <c r="AQ762" s="73"/>
      <c r="AR762" s="74">
        <v>-107.67617854219023</v>
      </c>
      <c r="AS762" s="74">
        <v>0</v>
      </c>
      <c r="AT762" s="73"/>
      <c r="AU762" s="72">
        <v>30037210.895393085</v>
      </c>
      <c r="AV762" s="72">
        <v>0</v>
      </c>
      <c r="AW762" s="73"/>
      <c r="AX762" s="74">
        <v>-1708.9636007439726</v>
      </c>
      <c r="AY762" s="74">
        <v>0</v>
      </c>
      <c r="AZ762" s="73"/>
      <c r="BA762" s="72">
        <v>95796.573194889992</v>
      </c>
      <c r="BB762" s="72">
        <v>0</v>
      </c>
      <c r="BC762" s="73"/>
      <c r="BD762" s="74">
        <v>-416.20833263007529</v>
      </c>
      <c r="BE762" s="74">
        <v>0</v>
      </c>
      <c r="BF762" s="73"/>
      <c r="BG762" s="72">
        <v>2709942.5235839752</v>
      </c>
      <c r="BH762" s="72">
        <v>0</v>
      </c>
      <c r="BI762" s="73"/>
      <c r="BJ762" s="74">
        <v>-1107.4553842430853</v>
      </c>
      <c r="BK762" s="74">
        <v>0</v>
      </c>
      <c r="BL762" s="73"/>
      <c r="BM762" s="72">
        <v>35270368.749039046</v>
      </c>
      <c r="BN762" s="72">
        <v>0</v>
      </c>
      <c r="BO762" s="73"/>
      <c r="BP762" s="74">
        <v>-5277.9007573219797</v>
      </c>
      <c r="BQ762" s="74">
        <v>0</v>
      </c>
      <c r="BS762" s="109">
        <f t="shared" si="285"/>
        <v>116435.48150809896</v>
      </c>
      <c r="BT762" s="109">
        <f t="shared" si="286"/>
        <v>116812.83510055253</v>
      </c>
      <c r="BV762" s="58">
        <f t="array" ref="BV762">SUM(IF(BS762:BT762&gt;=BS762, 1))</f>
        <v>2</v>
      </c>
      <c r="BW762" s="58">
        <f t="array" ref="BW762">SUM(IF(BS762:BT762&gt;=BT762, 1))</f>
        <v>1</v>
      </c>
      <c r="BY762" s="109">
        <f t="shared" si="287"/>
        <v>134043.7000030987</v>
      </c>
      <c r="BZ762" s="109">
        <f t="shared" si="288"/>
        <v>134378.27745820177</v>
      </c>
      <c r="CB762" s="58">
        <f t="array" ref="CB762">SUM(IF(BY762:BZ762&gt;=BY762, 1))</f>
        <v>2</v>
      </c>
      <c r="CC762" s="58">
        <f t="array" ref="CC762">SUM(IF(BY762:BZ762&gt;=BZ762, 1))</f>
        <v>1</v>
      </c>
      <c r="CE762" s="109">
        <f t="shared" si="289"/>
        <v>93497.838372949191</v>
      </c>
      <c r="CF762" s="109">
        <f t="shared" si="290"/>
        <v>96241.061610825011</v>
      </c>
      <c r="CH762" s="58">
        <f t="array" ref="CH762">SUM(IF(CE762:CF762&gt;=CE762, 1))</f>
        <v>2</v>
      </c>
      <c r="CI762" s="58">
        <f t="array" ref="CI762">SUM(IF(CE762:CF762&gt;=CF762, 1))</f>
        <v>1</v>
      </c>
      <c r="CK762" s="109">
        <f t="shared" si="291"/>
        <v>49042.046910331126</v>
      </c>
      <c r="CL762" s="109">
        <f t="shared" si="292"/>
        <v>49999.305593836361</v>
      </c>
      <c r="CN762" s="58">
        <f t="array" ref="CN762">SUM(IF(CK762:CL762&gt;=CK762, 1))</f>
        <v>2</v>
      </c>
      <c r="CO762" s="58">
        <f t="array" ref="CO762">SUM(IF(CK762:CL762&gt;=CL762, 1))</f>
        <v>1</v>
      </c>
      <c r="CQ762" s="109" cm="1">
        <f t="array" ref="CQ762">AF762*WTP-AC762</f>
        <v>45996.219013779679</v>
      </c>
      <c r="CR762" s="109">
        <f t="shared" si="293"/>
        <v>47581.516279414973</v>
      </c>
      <c r="CT762" s="58">
        <f t="array" ref="CT762">SUM(IF(CQ762:CR762&gt;=CQ762, 1))</f>
        <v>2</v>
      </c>
      <c r="CU762" s="58">
        <f t="array" ref="CU762">SUM(IF(CQ762:CR762&gt;=CR762, 1))</f>
        <v>1</v>
      </c>
      <c r="CW762" s="109">
        <f t="shared" si="294"/>
        <v>-41031719.962510131</v>
      </c>
      <c r="CX762" s="109">
        <f t="shared" si="295"/>
        <v>0</v>
      </c>
      <c r="CZ762" s="58">
        <f t="array" ref="CZ762">SUM(IF(CW762:CX762&gt;=CW762, 1))</f>
        <v>2</v>
      </c>
      <c r="DA762" s="58">
        <f t="array" ref="DA762">SUM(IF(CW762:CX762&gt;=CX762, 1))</f>
        <v>1</v>
      </c>
      <c r="DC762" s="109">
        <f t="shared" si="296"/>
        <v>-2301167.5884538935</v>
      </c>
      <c r="DD762" s="109">
        <f t="shared" si="297"/>
        <v>0</v>
      </c>
      <c r="DF762" s="58">
        <f t="array" ref="DF762">SUM(IF(DC762:DD762&gt;=DC762, 1))</f>
        <v>2</v>
      </c>
      <c r="DG762" s="58">
        <f t="array" ref="DG762">SUM(IF(DC762:DD762&gt;=DD762, 1))</f>
        <v>1</v>
      </c>
      <c r="DI762" s="109">
        <f t="shared" si="298"/>
        <v>-64216482.910272539</v>
      </c>
      <c r="DJ762" s="109">
        <f t="shared" si="299"/>
        <v>0</v>
      </c>
      <c r="DL762" s="58">
        <f t="array" ref="DL762">SUM(IF(DI762:DJ762&gt;=DI762, 1))</f>
        <v>2</v>
      </c>
      <c r="DM762" s="58">
        <f t="array" ref="DM762">SUM(IF(DI762:DJ762&gt;=DJ762, 1))</f>
        <v>1</v>
      </c>
      <c r="DO762" s="109">
        <f t="shared" si="300"/>
        <v>-8419963.2257963959</v>
      </c>
      <c r="DP762" s="109">
        <f t="shared" si="301"/>
        <v>0</v>
      </c>
      <c r="DR762" s="58">
        <f t="array" ref="DR762">SUM(IF(DO762:DP762&gt;=DO762, 1))</f>
        <v>2</v>
      </c>
      <c r="DS762" s="58">
        <f t="array" ref="DS762">SUM(IF(DO762:DP762&gt;=DP762, 1))</f>
        <v>1</v>
      </c>
      <c r="DU762" s="109">
        <f t="shared" si="302"/>
        <v>-24859050.208445679</v>
      </c>
      <c r="DV762" s="109">
        <f t="shared" si="303"/>
        <v>0</v>
      </c>
      <c r="DX762" s="58">
        <f t="array" ref="DX762">SUM(IF(DU762:DV762&gt;=DU762, 1))</f>
        <v>2</v>
      </c>
      <c r="DY762" s="58">
        <f t="array" ref="DY762">SUM(IF(DU762:DV762&gt;=DV762, 1))</f>
        <v>1</v>
      </c>
      <c r="EA762" s="109">
        <f t="shared" si="304"/>
        <v>-140828383.89547864</v>
      </c>
      <c r="EB762" s="109">
        <f t="shared" si="305"/>
        <v>0</v>
      </c>
      <c r="ED762" s="58">
        <f t="array" ref="ED762">SUM(IF(EA762:EB762&gt;=EA762, 1))</f>
        <v>2</v>
      </c>
      <c r="EE762" s="58">
        <f t="array" ref="EE762">SUM(IF(EA762:EB762&gt;=EB762, 1))</f>
        <v>1</v>
      </c>
    </row>
    <row r="763" spans="4:135" ht="12" customHeight="1" x14ac:dyDescent="0.25">
      <c r="D763" s="11">
        <v>747</v>
      </c>
      <c r="E763" s="72">
        <v>279.10801682806135</v>
      </c>
      <c r="F763" s="72">
        <v>253.42229073662011</v>
      </c>
      <c r="G763" s="73"/>
      <c r="H763" s="74">
        <v>5.8366711657935184</v>
      </c>
      <c r="I763" s="74">
        <v>5.8513345084002433</v>
      </c>
      <c r="J763" s="73"/>
      <c r="K763" s="72">
        <v>299.57935503389831</v>
      </c>
      <c r="L763" s="72">
        <v>273.31954185465941</v>
      </c>
      <c r="M763" s="73"/>
      <c r="N763" s="74">
        <v>6.6633451810680784</v>
      </c>
      <c r="O763" s="74">
        <v>6.6763537665923218</v>
      </c>
      <c r="P763" s="73"/>
      <c r="Q763" s="72">
        <v>3435.6913071175127</v>
      </c>
      <c r="R763" s="72">
        <v>1697.0926799715344</v>
      </c>
      <c r="S763" s="73"/>
      <c r="T763" s="74">
        <v>4.8868557322880566</v>
      </c>
      <c r="U763" s="74">
        <v>5.0127793048976379</v>
      </c>
      <c r="V763" s="73"/>
      <c r="W763" s="72">
        <v>9761.472992966299</v>
      </c>
      <c r="X763" s="72">
        <v>9774.7005707807693</v>
      </c>
      <c r="Y763" s="73"/>
      <c r="Z763" s="74">
        <v>2.8755532002022512</v>
      </c>
      <c r="AA763" s="74">
        <v>2.9253805852693739</v>
      </c>
      <c r="AB763" s="73"/>
      <c r="AC763" s="72">
        <v>51208.865407756603</v>
      </c>
      <c r="AD763" s="72">
        <v>51171.389972766498</v>
      </c>
      <c r="AE763" s="73"/>
      <c r="AF763" s="74">
        <v>4.8830961577498142</v>
      </c>
      <c r="AG763" s="74">
        <v>5.0355138735493208</v>
      </c>
      <c r="AH763" s="73"/>
      <c r="AI763" s="72">
        <v>2739110.7631083941</v>
      </c>
      <c r="AJ763" s="72">
        <v>0</v>
      </c>
      <c r="AK763" s="73"/>
      <c r="AL763" s="74">
        <v>-1563.6902540438291</v>
      </c>
      <c r="AM763" s="74">
        <v>0</v>
      </c>
      <c r="AN763" s="73"/>
      <c r="AO763" s="72">
        <v>179105.98872416426</v>
      </c>
      <c r="AP763" s="72">
        <v>0</v>
      </c>
      <c r="AQ763" s="73"/>
      <c r="AR763" s="74">
        <v>-88.725519725498714</v>
      </c>
      <c r="AS763" s="74">
        <v>0</v>
      </c>
      <c r="AT763" s="73"/>
      <c r="AU763" s="72">
        <v>40584205.567358032</v>
      </c>
      <c r="AV763" s="72">
        <v>0</v>
      </c>
      <c r="AW763" s="73"/>
      <c r="AX763" s="74">
        <v>-2939.4410399096037</v>
      </c>
      <c r="AY763" s="74">
        <v>0</v>
      </c>
      <c r="AZ763" s="73"/>
      <c r="BA763" s="72">
        <v>-119132.75730093825</v>
      </c>
      <c r="BB763" s="72">
        <v>0</v>
      </c>
      <c r="BC763" s="73"/>
      <c r="BD763" s="74">
        <v>-448.76498595594245</v>
      </c>
      <c r="BE763" s="74">
        <v>0</v>
      </c>
      <c r="BF763" s="73"/>
      <c r="BG763" s="72">
        <v>585121.86351157911</v>
      </c>
      <c r="BH763" s="72">
        <v>0</v>
      </c>
      <c r="BI763" s="73"/>
      <c r="BJ763" s="74">
        <v>-2379.7705863676674</v>
      </c>
      <c r="BK763" s="74">
        <v>0</v>
      </c>
      <c r="BL763" s="73"/>
      <c r="BM763" s="72">
        <v>43968411.425401233</v>
      </c>
      <c r="BN763" s="72">
        <v>0</v>
      </c>
      <c r="BO763" s="73"/>
      <c r="BP763" s="74">
        <v>-7420.3923860025416</v>
      </c>
      <c r="BQ763" s="74">
        <v>0</v>
      </c>
      <c r="BS763" s="109">
        <f t="shared" si="285"/>
        <v>116454.31529904231</v>
      </c>
      <c r="BT763" s="109">
        <f t="shared" si="286"/>
        <v>116773.26787726824</v>
      </c>
      <c r="BV763" s="58">
        <f t="array" ref="BV763">SUM(IF(BS763:BT763&gt;=BS763, 1))</f>
        <v>2</v>
      </c>
      <c r="BW763" s="58">
        <f t="array" ref="BW763">SUM(IF(BS763:BT763&gt;=BT763, 1))</f>
        <v>1</v>
      </c>
      <c r="BY763" s="109">
        <f t="shared" si="287"/>
        <v>132967.32426632766</v>
      </c>
      <c r="BZ763" s="109">
        <f t="shared" si="288"/>
        <v>133253.75578999176</v>
      </c>
      <c r="CB763" s="58">
        <f t="array" ref="CB763">SUM(IF(BY763:BZ763&gt;=BY763, 1))</f>
        <v>2</v>
      </c>
      <c r="CC763" s="58">
        <f t="array" ref="CC763">SUM(IF(BY763:BZ763&gt;=BZ763, 1))</f>
        <v>1</v>
      </c>
      <c r="CE763" s="109">
        <f t="shared" si="289"/>
        <v>94301.423338643624</v>
      </c>
      <c r="CF763" s="109">
        <f t="shared" si="290"/>
        <v>98558.493417981226</v>
      </c>
      <c r="CH763" s="58">
        <f t="array" ref="CH763">SUM(IF(CE763:CF763&gt;=CE763, 1))</f>
        <v>2</v>
      </c>
      <c r="CI763" s="58">
        <f t="array" ref="CI763">SUM(IF(CE763:CF763&gt;=CF763, 1))</f>
        <v>1</v>
      </c>
      <c r="CK763" s="109">
        <f t="shared" si="291"/>
        <v>47749.591011078723</v>
      </c>
      <c r="CL763" s="109">
        <f t="shared" si="292"/>
        <v>48732.911134606707</v>
      </c>
      <c r="CN763" s="58">
        <f t="array" ref="CN763">SUM(IF(CK763:CL763&gt;=CK763, 1))</f>
        <v>2</v>
      </c>
      <c r="CO763" s="58">
        <f t="array" ref="CO763">SUM(IF(CK763:CL763&gt;=CL763, 1))</f>
        <v>1</v>
      </c>
      <c r="CQ763" s="109" cm="1">
        <f t="array" ref="CQ763">AF763*WTP-AC763</f>
        <v>46453.057747239684</v>
      </c>
      <c r="CR763" s="109">
        <f t="shared" si="293"/>
        <v>49538.88749821992</v>
      </c>
      <c r="CT763" s="58">
        <f t="array" ref="CT763">SUM(IF(CQ763:CR763&gt;=CQ763, 1))</f>
        <v>2</v>
      </c>
      <c r="CU763" s="58">
        <f t="array" ref="CU763">SUM(IF(CQ763:CR763&gt;=CR763, 1))</f>
        <v>1</v>
      </c>
      <c r="CW763" s="109">
        <f t="shared" si="294"/>
        <v>-34012915.843984976</v>
      </c>
      <c r="CX763" s="109">
        <f t="shared" si="295"/>
        <v>0</v>
      </c>
      <c r="CZ763" s="58">
        <f t="array" ref="CZ763">SUM(IF(CW763:CX763&gt;=CW763, 1))</f>
        <v>2</v>
      </c>
      <c r="DA763" s="58">
        <f t="array" ref="DA763">SUM(IF(CW763:CX763&gt;=CX763, 1))</f>
        <v>1</v>
      </c>
      <c r="DC763" s="109">
        <f t="shared" si="296"/>
        <v>-1953616.3832341384</v>
      </c>
      <c r="DD763" s="109">
        <f t="shared" si="297"/>
        <v>0</v>
      </c>
      <c r="DF763" s="58">
        <f t="array" ref="DF763">SUM(IF(DC763:DD763&gt;=DC763, 1))</f>
        <v>2</v>
      </c>
      <c r="DG763" s="58">
        <f t="array" ref="DG763">SUM(IF(DC763:DD763&gt;=DD763, 1))</f>
        <v>1</v>
      </c>
      <c r="DI763" s="109">
        <f t="shared" si="298"/>
        <v>-99373026.365550101</v>
      </c>
      <c r="DJ763" s="109">
        <f t="shared" si="299"/>
        <v>0</v>
      </c>
      <c r="DL763" s="58">
        <f t="array" ref="DL763">SUM(IF(DI763:DJ763&gt;=DI763, 1))</f>
        <v>2</v>
      </c>
      <c r="DM763" s="58">
        <f t="array" ref="DM763">SUM(IF(DI763:DJ763&gt;=DJ763, 1))</f>
        <v>1</v>
      </c>
      <c r="DO763" s="109">
        <f t="shared" si="300"/>
        <v>-8856166.9618179109</v>
      </c>
      <c r="DP763" s="109">
        <f t="shared" si="301"/>
        <v>0</v>
      </c>
      <c r="DR763" s="58">
        <f t="array" ref="DR763">SUM(IF(DO763:DP763&gt;=DO763, 1))</f>
        <v>2</v>
      </c>
      <c r="DS763" s="58">
        <f t="array" ref="DS763">SUM(IF(DO763:DP763&gt;=DP763, 1))</f>
        <v>1</v>
      </c>
      <c r="DU763" s="109">
        <f t="shared" si="302"/>
        <v>-48180533.590864927</v>
      </c>
      <c r="DV763" s="109">
        <f t="shared" si="303"/>
        <v>0</v>
      </c>
      <c r="DX763" s="58">
        <f t="array" ref="DX763">SUM(IF(DU763:DV763&gt;=DU763, 1))</f>
        <v>2</v>
      </c>
      <c r="DY763" s="58">
        <f t="array" ref="DY763">SUM(IF(DU763:DV763&gt;=DV763, 1))</f>
        <v>1</v>
      </c>
      <c r="EA763" s="109">
        <f t="shared" si="304"/>
        <v>-192376259.14545208</v>
      </c>
      <c r="EB763" s="109">
        <f t="shared" si="305"/>
        <v>0</v>
      </c>
      <c r="ED763" s="58">
        <f t="array" ref="ED763">SUM(IF(EA763:EB763&gt;=EA763, 1))</f>
        <v>2</v>
      </c>
      <c r="EE763" s="58">
        <f t="array" ref="EE763">SUM(IF(EA763:EB763&gt;=EB763, 1))</f>
        <v>1</v>
      </c>
    </row>
    <row r="764" spans="4:135" ht="12" customHeight="1" x14ac:dyDescent="0.25">
      <c r="D764" s="11">
        <v>748</v>
      </c>
      <c r="E764" s="72">
        <v>326.46845489382895</v>
      </c>
      <c r="F764" s="72">
        <v>313.10709531361431</v>
      </c>
      <c r="G764" s="73"/>
      <c r="H764" s="74">
        <v>5.8324348771235703</v>
      </c>
      <c r="I764" s="74">
        <v>5.8471716770803601</v>
      </c>
      <c r="J764" s="73"/>
      <c r="K764" s="72">
        <v>351.46268419966299</v>
      </c>
      <c r="L764" s="72">
        <v>337.74015818505154</v>
      </c>
      <c r="M764" s="73"/>
      <c r="N764" s="74">
        <v>6.7267762756838927</v>
      </c>
      <c r="O764" s="74">
        <v>6.7395343180935097</v>
      </c>
      <c r="P764" s="73"/>
      <c r="Q764" s="72">
        <v>4563.6057321505969</v>
      </c>
      <c r="R764" s="72">
        <v>1897.2540619100052</v>
      </c>
      <c r="S764" s="73"/>
      <c r="T764" s="74">
        <v>4.6762154179157527</v>
      </c>
      <c r="U764" s="74">
        <v>4.8493923966043138</v>
      </c>
      <c r="V764" s="73"/>
      <c r="W764" s="72">
        <v>13981.468984981297</v>
      </c>
      <c r="X764" s="72">
        <v>13877.422677136459</v>
      </c>
      <c r="Y764" s="73"/>
      <c r="Z764" s="74">
        <v>2.8308331956453454</v>
      </c>
      <c r="AA764" s="74">
        <v>2.8589574005499738</v>
      </c>
      <c r="AB764" s="73"/>
      <c r="AC764" s="72">
        <v>52855.63538971974</v>
      </c>
      <c r="AD764" s="72">
        <v>52473.852002021267</v>
      </c>
      <c r="AE764" s="73"/>
      <c r="AF764" s="74">
        <v>4.9722302935684208</v>
      </c>
      <c r="AG764" s="74">
        <v>5.1100469680787821</v>
      </c>
      <c r="AH764" s="73"/>
      <c r="AI764" s="72">
        <v>1430100.1476241089</v>
      </c>
      <c r="AJ764" s="72">
        <v>0</v>
      </c>
      <c r="AK764" s="73"/>
      <c r="AL764" s="74">
        <v>-1577.3170138254354</v>
      </c>
      <c r="AM764" s="74">
        <v>0</v>
      </c>
      <c r="AN764" s="73"/>
      <c r="AO764" s="72">
        <v>96813.461360890826</v>
      </c>
      <c r="AP764" s="72">
        <v>0</v>
      </c>
      <c r="AQ764" s="73"/>
      <c r="AR764" s="74">
        <v>-90.008956408528476</v>
      </c>
      <c r="AS764" s="74">
        <v>0</v>
      </c>
      <c r="AT764" s="73"/>
      <c r="AU764" s="72">
        <v>62647216.118479297</v>
      </c>
      <c r="AV764" s="72">
        <v>0</v>
      </c>
      <c r="AW764" s="73"/>
      <c r="AX764" s="74">
        <v>-4068.8764845743822</v>
      </c>
      <c r="AY764" s="74">
        <v>0</v>
      </c>
      <c r="AZ764" s="73"/>
      <c r="BA764" s="72">
        <v>869476.47987944237</v>
      </c>
      <c r="BB764" s="72">
        <v>0</v>
      </c>
      <c r="BC764" s="73"/>
      <c r="BD764" s="74">
        <v>-235.0235696623788</v>
      </c>
      <c r="BE764" s="74">
        <v>0</v>
      </c>
      <c r="BF764" s="73"/>
      <c r="BG764" s="72">
        <v>6042138.0760075711</v>
      </c>
      <c r="BH764" s="72">
        <v>0</v>
      </c>
      <c r="BI764" s="73"/>
      <c r="BJ764" s="74">
        <v>-2181.0990299699884</v>
      </c>
      <c r="BK764" s="74">
        <v>0</v>
      </c>
      <c r="BL764" s="73"/>
      <c r="BM764" s="72">
        <v>71085744.283351302</v>
      </c>
      <c r="BN764" s="72">
        <v>0</v>
      </c>
      <c r="BO764" s="73"/>
      <c r="BP764" s="74">
        <v>-8152.3250544407128</v>
      </c>
      <c r="BQ764" s="74">
        <v>0</v>
      </c>
      <c r="BS764" s="109">
        <f t="shared" si="285"/>
        <v>116322.22908757758</v>
      </c>
      <c r="BT764" s="109">
        <f t="shared" si="286"/>
        <v>116630.32644629359</v>
      </c>
      <c r="BV764" s="58">
        <f t="array" ref="BV764">SUM(IF(BS764:BT764&gt;=BS764, 1))</f>
        <v>2</v>
      </c>
      <c r="BW764" s="58">
        <f t="array" ref="BW764">SUM(IF(BS764:BT764&gt;=BT764, 1))</f>
        <v>1</v>
      </c>
      <c r="BY764" s="109">
        <f t="shared" si="287"/>
        <v>134184.06282947821</v>
      </c>
      <c r="BZ764" s="109">
        <f t="shared" si="288"/>
        <v>134452.94620368516</v>
      </c>
      <c r="CB764" s="58">
        <f t="array" ref="CB764">SUM(IF(BY764:BZ764&gt;=BY764, 1))</f>
        <v>2</v>
      </c>
      <c r="CC764" s="58">
        <f t="array" ref="CC764">SUM(IF(BY764:BZ764&gt;=BZ764, 1))</f>
        <v>1</v>
      </c>
      <c r="CE764" s="109">
        <f t="shared" si="289"/>
        <v>88960.702626164464</v>
      </c>
      <c r="CF764" s="109">
        <f t="shared" si="290"/>
        <v>95090.593870176264</v>
      </c>
      <c r="CH764" s="58">
        <f t="array" ref="CH764">SUM(IF(CE764:CF764&gt;=CE764, 1))</f>
        <v>2</v>
      </c>
      <c r="CI764" s="58">
        <f t="array" ref="CI764">SUM(IF(CE764:CF764&gt;=CF764, 1))</f>
        <v>1</v>
      </c>
      <c r="CK764" s="109">
        <f t="shared" si="291"/>
        <v>42635.194927925608</v>
      </c>
      <c r="CL764" s="109">
        <f t="shared" si="292"/>
        <v>43301.725333863011</v>
      </c>
      <c r="CN764" s="58">
        <f t="array" ref="CN764">SUM(IF(CK764:CL764&gt;=CK764, 1))</f>
        <v>2</v>
      </c>
      <c r="CO764" s="58">
        <f t="array" ref="CO764">SUM(IF(CK764:CL764&gt;=CL764, 1))</f>
        <v>1</v>
      </c>
      <c r="CQ764" s="109" cm="1">
        <f t="array" ref="CQ764">AF764*WTP-AC764</f>
        <v>46588.970481648677</v>
      </c>
      <c r="CR764" s="109">
        <f t="shared" si="293"/>
        <v>49727.087359554374</v>
      </c>
      <c r="CT764" s="58">
        <f t="array" ref="CT764">SUM(IF(CQ764:CR764&gt;=CQ764, 1))</f>
        <v>2</v>
      </c>
      <c r="CU764" s="58">
        <f t="array" ref="CU764">SUM(IF(CQ764:CR764&gt;=CR764, 1))</f>
        <v>1</v>
      </c>
      <c r="CW764" s="109">
        <f t="shared" si="294"/>
        <v>-32976440.424132816</v>
      </c>
      <c r="CX764" s="109">
        <f t="shared" si="295"/>
        <v>0</v>
      </c>
      <c r="CZ764" s="58">
        <f t="array" ref="CZ764">SUM(IF(CW764:CX764&gt;=CW764, 1))</f>
        <v>2</v>
      </c>
      <c r="DA764" s="58">
        <f t="array" ref="DA764">SUM(IF(CW764:CX764&gt;=CX764, 1))</f>
        <v>1</v>
      </c>
      <c r="DC764" s="109">
        <f t="shared" si="296"/>
        <v>-1896992.5895314603</v>
      </c>
      <c r="DD764" s="109">
        <f t="shared" si="297"/>
        <v>0</v>
      </c>
      <c r="DF764" s="58">
        <f t="array" ref="DF764">SUM(IF(DC764:DD764&gt;=DC764, 1))</f>
        <v>2</v>
      </c>
      <c r="DG764" s="58">
        <f t="array" ref="DG764">SUM(IF(DC764:DD764&gt;=DD764, 1))</f>
        <v>1</v>
      </c>
      <c r="DI764" s="109">
        <f t="shared" si="298"/>
        <v>-144024745.80996692</v>
      </c>
      <c r="DJ764" s="109">
        <f t="shared" si="299"/>
        <v>0</v>
      </c>
      <c r="DL764" s="58">
        <f t="array" ref="DL764">SUM(IF(DI764:DJ764&gt;=DI764, 1))</f>
        <v>2</v>
      </c>
      <c r="DM764" s="58">
        <f t="array" ref="DM764">SUM(IF(DI764:DJ764&gt;=DJ764, 1))</f>
        <v>1</v>
      </c>
      <c r="DO764" s="109">
        <f t="shared" si="300"/>
        <v>-5569947.873127019</v>
      </c>
      <c r="DP764" s="109">
        <f t="shared" si="301"/>
        <v>0</v>
      </c>
      <c r="DR764" s="58">
        <f t="array" ref="DR764">SUM(IF(DO764:DP764&gt;=DO764, 1))</f>
        <v>2</v>
      </c>
      <c r="DS764" s="58">
        <f t="array" ref="DS764">SUM(IF(DO764:DP764&gt;=DP764, 1))</f>
        <v>1</v>
      </c>
      <c r="DU764" s="109">
        <f t="shared" si="302"/>
        <v>-49664118.675407335</v>
      </c>
      <c r="DV764" s="109">
        <f t="shared" si="303"/>
        <v>0</v>
      </c>
      <c r="DX764" s="58">
        <f t="array" ref="DX764">SUM(IF(DU764:DV764&gt;=DU764, 1))</f>
        <v>2</v>
      </c>
      <c r="DY764" s="58">
        <f t="array" ref="DY764">SUM(IF(DU764:DV764&gt;=DV764, 1))</f>
        <v>1</v>
      </c>
      <c r="EA764" s="109">
        <f t="shared" si="304"/>
        <v>-234132245.37216556</v>
      </c>
      <c r="EB764" s="109">
        <f t="shared" si="305"/>
        <v>0</v>
      </c>
      <c r="ED764" s="58">
        <f t="array" ref="ED764">SUM(IF(EA764:EB764&gt;=EA764, 1))</f>
        <v>2</v>
      </c>
      <c r="EE764" s="58">
        <f t="array" ref="EE764">SUM(IF(EA764:EB764&gt;=EB764, 1))</f>
        <v>1</v>
      </c>
    </row>
    <row r="765" spans="4:135" ht="12" customHeight="1" x14ac:dyDescent="0.25">
      <c r="D765" s="11">
        <v>749</v>
      </c>
      <c r="E765" s="72">
        <v>199.82666176221477</v>
      </c>
      <c r="F765" s="72">
        <v>180.70523680042643</v>
      </c>
      <c r="G765" s="73"/>
      <c r="H765" s="74">
        <v>5.9280248277338154</v>
      </c>
      <c r="I765" s="74">
        <v>5.9437881642865378</v>
      </c>
      <c r="J765" s="73"/>
      <c r="K765" s="72">
        <v>214.40358310002151</v>
      </c>
      <c r="L765" s="72">
        <v>194.83648141169834</v>
      </c>
      <c r="M765" s="73"/>
      <c r="N765" s="74">
        <v>6.6824608392402967</v>
      </c>
      <c r="O765" s="74">
        <v>6.6960334622919557</v>
      </c>
      <c r="P765" s="73"/>
      <c r="Q765" s="72">
        <v>2447.2110300749237</v>
      </c>
      <c r="R765" s="72">
        <v>1681.4931072226691</v>
      </c>
      <c r="S765" s="73"/>
      <c r="T765" s="74">
        <v>5.019886452018711</v>
      </c>
      <c r="U765" s="74">
        <v>5.0909904818870828</v>
      </c>
      <c r="V765" s="73"/>
      <c r="W765" s="72">
        <v>15825.761683279718</v>
      </c>
      <c r="X765" s="72">
        <v>15816.310728511924</v>
      </c>
      <c r="Y765" s="73"/>
      <c r="Z765" s="74">
        <v>3.0063076901572106</v>
      </c>
      <c r="AA765" s="74">
        <v>3.0629816318332423</v>
      </c>
      <c r="AB765" s="73"/>
      <c r="AC765" s="72">
        <v>48585.110516140288</v>
      </c>
      <c r="AD765" s="72">
        <v>48757.032915920019</v>
      </c>
      <c r="AE765" s="73"/>
      <c r="AF765" s="74">
        <v>4.6108701786604893</v>
      </c>
      <c r="AG765" s="74">
        <v>4.8131521525965439</v>
      </c>
      <c r="AH765" s="73"/>
      <c r="AI765" s="72">
        <v>2052423.0885672469</v>
      </c>
      <c r="AJ765" s="72">
        <v>0</v>
      </c>
      <c r="AK765" s="73"/>
      <c r="AL765" s="74">
        <v>-1691.9782891869538</v>
      </c>
      <c r="AM765" s="74">
        <v>0</v>
      </c>
      <c r="AN765" s="73"/>
      <c r="AO765" s="72">
        <v>139914.01844077453</v>
      </c>
      <c r="AP765" s="72">
        <v>0</v>
      </c>
      <c r="AQ765" s="73"/>
      <c r="AR765" s="74">
        <v>-97.050665049323754</v>
      </c>
      <c r="AS765" s="74">
        <v>0</v>
      </c>
      <c r="AT765" s="73"/>
      <c r="AU765" s="72">
        <v>17478643.525664449</v>
      </c>
      <c r="AV765" s="72">
        <v>0</v>
      </c>
      <c r="AW765" s="73"/>
      <c r="AX765" s="74">
        <v>-1623.0545925816964</v>
      </c>
      <c r="AY765" s="74">
        <v>0</v>
      </c>
      <c r="AZ765" s="73"/>
      <c r="BA765" s="72">
        <v>81272.483061238614</v>
      </c>
      <c r="BB765" s="72">
        <v>0</v>
      </c>
      <c r="BC765" s="73"/>
      <c r="BD765" s="74">
        <v>-487.36155002827007</v>
      </c>
      <c r="BE765" s="74">
        <v>0</v>
      </c>
      <c r="BF765" s="73"/>
      <c r="BG765" s="72">
        <v>-2687530.2327952767</v>
      </c>
      <c r="BH765" s="72">
        <v>0</v>
      </c>
      <c r="BI765" s="73"/>
      <c r="BJ765" s="74">
        <v>-3162.1180323167332</v>
      </c>
      <c r="BK765" s="74">
        <v>0</v>
      </c>
      <c r="BL765" s="73"/>
      <c r="BM765" s="72">
        <v>17064722.882938433</v>
      </c>
      <c r="BN765" s="72">
        <v>0</v>
      </c>
      <c r="BO765" s="73"/>
      <c r="BP765" s="74">
        <v>-7061.563129162977</v>
      </c>
      <c r="BQ765" s="74">
        <v>0</v>
      </c>
      <c r="BS765" s="109">
        <f t="shared" si="285"/>
        <v>118360.6698929141</v>
      </c>
      <c r="BT765" s="109">
        <f t="shared" si="286"/>
        <v>118695.05804893034</v>
      </c>
      <c r="BV765" s="58">
        <f t="array" ref="BV765">SUM(IF(BS765:BT765&gt;=BS765, 1))</f>
        <v>2</v>
      </c>
      <c r="BW765" s="58">
        <f t="array" ref="BW765">SUM(IF(BS765:BT765&gt;=BT765, 1))</f>
        <v>1</v>
      </c>
      <c r="BY765" s="109">
        <f t="shared" si="287"/>
        <v>133434.81320170593</v>
      </c>
      <c r="BZ765" s="109">
        <f t="shared" si="288"/>
        <v>133725.83276442741</v>
      </c>
      <c r="CB765" s="58">
        <f t="array" ref="CB765">SUM(IF(BY765:BZ765&gt;=BY765, 1))</f>
        <v>2</v>
      </c>
      <c r="CC765" s="58">
        <f t="array" ref="CC765">SUM(IF(BY765:BZ765&gt;=BZ765, 1))</f>
        <v>1</v>
      </c>
      <c r="CE765" s="109">
        <f t="shared" si="289"/>
        <v>97950.518010299304</v>
      </c>
      <c r="CF765" s="109">
        <f t="shared" si="290"/>
        <v>100138.31653051898</v>
      </c>
      <c r="CH765" s="58">
        <f t="array" ref="CH765">SUM(IF(CE765:CF765&gt;=CE765, 1))</f>
        <v>2</v>
      </c>
      <c r="CI765" s="58">
        <f t="array" ref="CI765">SUM(IF(CE765:CF765&gt;=CF765, 1))</f>
        <v>1</v>
      </c>
      <c r="CK765" s="109">
        <f t="shared" si="291"/>
        <v>44300.392119864497</v>
      </c>
      <c r="CL765" s="109">
        <f t="shared" si="292"/>
        <v>45443.321908152924</v>
      </c>
      <c r="CN765" s="58">
        <f t="array" ref="CN765">SUM(IF(CK765:CL765&gt;=CK765, 1))</f>
        <v>2</v>
      </c>
      <c r="CO765" s="58">
        <f t="array" ref="CO765">SUM(IF(CK765:CL765&gt;=CL765, 1))</f>
        <v>1</v>
      </c>
      <c r="CQ765" s="109" cm="1">
        <f t="array" ref="CQ765">AF765*WTP-AC765</f>
        <v>43632.293057069495</v>
      </c>
      <c r="CR765" s="109">
        <f t="shared" si="293"/>
        <v>47506.010136010853</v>
      </c>
      <c r="CT765" s="58">
        <f t="array" ref="CT765">SUM(IF(CQ765:CR765&gt;=CQ765, 1))</f>
        <v>2</v>
      </c>
      <c r="CU765" s="58">
        <f t="array" ref="CU765">SUM(IF(CQ765:CR765&gt;=CR765, 1))</f>
        <v>1</v>
      </c>
      <c r="CW765" s="109">
        <f t="shared" si="294"/>
        <v>-35891988.872306325</v>
      </c>
      <c r="CX765" s="109">
        <f t="shared" si="295"/>
        <v>0</v>
      </c>
      <c r="CZ765" s="58">
        <f t="array" ref="CZ765">SUM(IF(CW765:CX765&gt;=CW765, 1))</f>
        <v>2</v>
      </c>
      <c r="DA765" s="58">
        <f t="array" ref="DA765">SUM(IF(CW765:CX765&gt;=CX765, 1))</f>
        <v>1</v>
      </c>
      <c r="DC765" s="109">
        <f t="shared" si="296"/>
        <v>-2080927.3194272495</v>
      </c>
      <c r="DD765" s="109">
        <f t="shared" si="297"/>
        <v>0</v>
      </c>
      <c r="DF765" s="58">
        <f t="array" ref="DF765">SUM(IF(DC765:DD765&gt;=DC765, 1))</f>
        <v>2</v>
      </c>
      <c r="DG765" s="58">
        <f t="array" ref="DG765">SUM(IF(DC765:DD765&gt;=DD765, 1))</f>
        <v>1</v>
      </c>
      <c r="DI765" s="109">
        <f t="shared" si="298"/>
        <v>-49939735.377298377</v>
      </c>
      <c r="DJ765" s="109">
        <f t="shared" si="299"/>
        <v>0</v>
      </c>
      <c r="DL765" s="58">
        <f t="array" ref="DL765">SUM(IF(DI765:DJ765&gt;=DI765, 1))</f>
        <v>2</v>
      </c>
      <c r="DM765" s="58">
        <f t="array" ref="DM765">SUM(IF(DI765:DJ765&gt;=DJ765, 1))</f>
        <v>1</v>
      </c>
      <c r="DO765" s="109">
        <f t="shared" si="300"/>
        <v>-9828503.4836266413</v>
      </c>
      <c r="DP765" s="109">
        <f t="shared" si="301"/>
        <v>0</v>
      </c>
      <c r="DR765" s="58">
        <f t="array" ref="DR765">SUM(IF(DO765:DP765&gt;=DO765, 1))</f>
        <v>2</v>
      </c>
      <c r="DS765" s="58">
        <f t="array" ref="DS765">SUM(IF(DO765:DP765&gt;=DP765, 1))</f>
        <v>1</v>
      </c>
      <c r="DU765" s="109">
        <f t="shared" si="302"/>
        <v>-60554830.413539387</v>
      </c>
      <c r="DV765" s="109">
        <f t="shared" si="303"/>
        <v>0</v>
      </c>
      <c r="DX765" s="58">
        <f t="array" ref="DX765">SUM(IF(DU765:DV765&gt;=DU765, 1))</f>
        <v>2</v>
      </c>
      <c r="DY765" s="58">
        <f t="array" ref="DY765">SUM(IF(DU765:DV765&gt;=DV765, 1))</f>
        <v>1</v>
      </c>
      <c r="EA765" s="109">
        <f t="shared" si="304"/>
        <v>-158295985.466198</v>
      </c>
      <c r="EB765" s="109">
        <f t="shared" si="305"/>
        <v>0</v>
      </c>
      <c r="ED765" s="58">
        <f t="array" ref="ED765">SUM(IF(EA765:EB765&gt;=EA765, 1))</f>
        <v>2</v>
      </c>
      <c r="EE765" s="58">
        <f t="array" ref="EE765">SUM(IF(EA765:EB765&gt;=EB765, 1))</f>
        <v>1</v>
      </c>
    </row>
    <row r="766" spans="4:135" ht="12" customHeight="1" x14ac:dyDescent="0.25">
      <c r="D766" s="11">
        <v>750</v>
      </c>
      <c r="E766" s="72">
        <v>273.45784872751778</v>
      </c>
      <c r="F766" s="72">
        <v>251.03667501273475</v>
      </c>
      <c r="G766" s="73"/>
      <c r="H766" s="74">
        <v>5.8249848475633375</v>
      </c>
      <c r="I766" s="74">
        <v>5.843187327454773</v>
      </c>
      <c r="J766" s="73"/>
      <c r="K766" s="72">
        <v>293.72614018978885</v>
      </c>
      <c r="L766" s="72">
        <v>270.78003061991643</v>
      </c>
      <c r="M766" s="73"/>
      <c r="N766" s="74">
        <v>6.6567022986028421</v>
      </c>
      <c r="O766" s="74">
        <v>6.6729919927687522</v>
      </c>
      <c r="P766" s="73"/>
      <c r="Q766" s="72">
        <v>4295.5071230520934</v>
      </c>
      <c r="R766" s="72">
        <v>1447.2033879875994</v>
      </c>
      <c r="S766" s="73"/>
      <c r="T766" s="74">
        <v>4.6929639367940856</v>
      </c>
      <c r="U766" s="74">
        <v>4.8567931886337297</v>
      </c>
      <c r="V766" s="73"/>
      <c r="W766" s="72">
        <v>12770.590174439252</v>
      </c>
      <c r="X766" s="72">
        <v>12748.32186398175</v>
      </c>
      <c r="Y766" s="73"/>
      <c r="Z766" s="74">
        <v>3.0887599424143977</v>
      </c>
      <c r="AA766" s="74">
        <v>3.139792607860405</v>
      </c>
      <c r="AB766" s="73"/>
      <c r="AC766" s="72">
        <v>48517.933337062408</v>
      </c>
      <c r="AD766" s="72">
        <v>48278.788991582347</v>
      </c>
      <c r="AE766" s="73"/>
      <c r="AF766" s="74">
        <v>4.108579050386175</v>
      </c>
      <c r="AG766" s="74">
        <v>4.200961111065312</v>
      </c>
      <c r="AH766" s="73"/>
      <c r="AI766" s="72">
        <v>2424722.9581952728</v>
      </c>
      <c r="AJ766" s="72">
        <v>0</v>
      </c>
      <c r="AK766" s="73"/>
      <c r="AL766" s="74">
        <v>-1968.4951131595396</v>
      </c>
      <c r="AM766" s="74">
        <v>0</v>
      </c>
      <c r="AN766" s="73"/>
      <c r="AO766" s="72">
        <v>159185.03200782216</v>
      </c>
      <c r="AP766" s="72">
        <v>0</v>
      </c>
      <c r="AQ766" s="73"/>
      <c r="AR766" s="74">
        <v>-113.00719537235472</v>
      </c>
      <c r="AS766" s="74">
        <v>0</v>
      </c>
      <c r="AT766" s="73"/>
      <c r="AU766" s="72">
        <v>65919966.817017891</v>
      </c>
      <c r="AV766" s="72">
        <v>0</v>
      </c>
      <c r="AW766" s="73"/>
      <c r="AX766" s="74">
        <v>-3791.5966306457362</v>
      </c>
      <c r="AY766" s="74">
        <v>0</v>
      </c>
      <c r="AZ766" s="73"/>
      <c r="BA766" s="72">
        <v>193277.35387601415</v>
      </c>
      <c r="BB766" s="72">
        <v>0</v>
      </c>
      <c r="BC766" s="73"/>
      <c r="BD766" s="74">
        <v>-442.93699593724813</v>
      </c>
      <c r="BE766" s="74">
        <v>0</v>
      </c>
      <c r="BF766" s="73"/>
      <c r="BG766" s="72">
        <v>3692754.3014261243</v>
      </c>
      <c r="BH766" s="72">
        <v>0</v>
      </c>
      <c r="BI766" s="73"/>
      <c r="BJ766" s="74">
        <v>-1426.5202518699559</v>
      </c>
      <c r="BK766" s="74">
        <v>0</v>
      </c>
      <c r="BL766" s="73"/>
      <c r="BM766" s="72">
        <v>72389906.462523118</v>
      </c>
      <c r="BN766" s="72">
        <v>0</v>
      </c>
      <c r="BO766" s="73"/>
      <c r="BP766" s="74">
        <v>-7742.5561869848352</v>
      </c>
      <c r="BQ766" s="74">
        <v>0</v>
      </c>
      <c r="BS766" s="109">
        <f t="shared" si="285"/>
        <v>116226.23910253923</v>
      </c>
      <c r="BT766" s="109">
        <f t="shared" si="286"/>
        <v>116612.70987408274</v>
      </c>
      <c r="BV766" s="58">
        <f t="array" ref="BV766">SUM(IF(BS766:BT766&gt;=BS766, 1))</f>
        <v>2</v>
      </c>
      <c r="BW766" s="58">
        <f t="array" ref="BW766">SUM(IF(BS766:BT766&gt;=BT766, 1))</f>
        <v>1</v>
      </c>
      <c r="BY766" s="109">
        <f t="shared" si="287"/>
        <v>132840.31983186703</v>
      </c>
      <c r="BZ766" s="109">
        <f t="shared" si="288"/>
        <v>133189.05982475512</v>
      </c>
      <c r="CB766" s="58">
        <f t="array" ref="CB766">SUM(IF(BY766:BZ766&gt;=BY766, 1))</f>
        <v>2</v>
      </c>
      <c r="CC766" s="58">
        <f t="array" ref="CC766">SUM(IF(BY766:BZ766&gt;=BZ766, 1))</f>
        <v>1</v>
      </c>
      <c r="CE766" s="109">
        <f t="shared" si="289"/>
        <v>89563.771612829616</v>
      </c>
      <c r="CF766" s="109">
        <f t="shared" si="290"/>
        <v>95688.660384686998</v>
      </c>
      <c r="CH766" s="58">
        <f t="array" ref="CH766">SUM(IF(CE766:CF766&gt;=CE766, 1))</f>
        <v>2</v>
      </c>
      <c r="CI766" s="58">
        <f t="array" ref="CI766">SUM(IF(CE766:CF766&gt;=CF766, 1))</f>
        <v>1</v>
      </c>
      <c r="CK766" s="109">
        <f t="shared" si="291"/>
        <v>49004.608673848699</v>
      </c>
      <c r="CL766" s="109">
        <f t="shared" si="292"/>
        <v>50047.530293226351</v>
      </c>
      <c r="CN766" s="58">
        <f t="array" ref="CN766">SUM(IF(CK766:CL766&gt;=CK766, 1))</f>
        <v>2</v>
      </c>
      <c r="CO766" s="58">
        <f t="array" ref="CO766">SUM(IF(CK766:CL766&gt;=CL766, 1))</f>
        <v>1</v>
      </c>
      <c r="CQ766" s="109" cm="1">
        <f t="array" ref="CQ766">AF766*WTP-AC766</f>
        <v>33653.647670661085</v>
      </c>
      <c r="CR766" s="109">
        <f t="shared" si="293"/>
        <v>35740.433229723887</v>
      </c>
      <c r="CT766" s="58">
        <f t="array" ref="CT766">SUM(IF(CQ766:CR766&gt;=CQ766, 1))</f>
        <v>2</v>
      </c>
      <c r="CU766" s="58">
        <f t="array" ref="CU766">SUM(IF(CQ766:CR766&gt;=CR766, 1))</f>
        <v>1</v>
      </c>
      <c r="CW766" s="109">
        <f t="shared" si="294"/>
        <v>-41794625.22138606</v>
      </c>
      <c r="CX766" s="109">
        <f t="shared" si="295"/>
        <v>0</v>
      </c>
      <c r="CZ766" s="58">
        <f t="array" ref="CZ766">SUM(IF(CW766:CX766&gt;=CW766, 1))</f>
        <v>2</v>
      </c>
      <c r="DA766" s="58">
        <f t="array" ref="DA766">SUM(IF(CW766:CX766&gt;=CX766, 1))</f>
        <v>1</v>
      </c>
      <c r="DC766" s="109">
        <f t="shared" si="296"/>
        <v>-2419328.9394549164</v>
      </c>
      <c r="DD766" s="109">
        <f t="shared" si="297"/>
        <v>0</v>
      </c>
      <c r="DF766" s="58">
        <f t="array" ref="DF766">SUM(IF(DC766:DD766&gt;=DC766, 1))</f>
        <v>2</v>
      </c>
      <c r="DG766" s="58">
        <f t="array" ref="DG766">SUM(IF(DC766:DD766&gt;=DD766, 1))</f>
        <v>1</v>
      </c>
      <c r="DI766" s="109">
        <f t="shared" si="298"/>
        <v>-141751899.42993262</v>
      </c>
      <c r="DJ766" s="109">
        <f t="shared" si="299"/>
        <v>0</v>
      </c>
      <c r="DL766" s="58">
        <f t="array" ref="DL766">SUM(IF(DI766:DJ766&gt;=DI766, 1))</f>
        <v>2</v>
      </c>
      <c r="DM766" s="58">
        <f t="array" ref="DM766">SUM(IF(DI766:DJ766&gt;=DJ766, 1))</f>
        <v>1</v>
      </c>
      <c r="DO766" s="109">
        <f t="shared" si="300"/>
        <v>-9052017.272620976</v>
      </c>
      <c r="DP766" s="109">
        <f t="shared" si="301"/>
        <v>0</v>
      </c>
      <c r="DR766" s="58">
        <f t="array" ref="DR766">SUM(IF(DO766:DP766&gt;=DO766, 1))</f>
        <v>2</v>
      </c>
      <c r="DS766" s="58">
        <f t="array" ref="DS766">SUM(IF(DO766:DP766&gt;=DP766, 1))</f>
        <v>1</v>
      </c>
      <c r="DU766" s="109">
        <f t="shared" si="302"/>
        <v>-32223159.338825241</v>
      </c>
      <c r="DV766" s="109">
        <f t="shared" si="303"/>
        <v>0</v>
      </c>
      <c r="DX766" s="58">
        <f t="array" ref="DX766">SUM(IF(DU766:DV766&gt;=DU766, 1))</f>
        <v>2</v>
      </c>
      <c r="DY766" s="58">
        <f t="array" ref="DY766">SUM(IF(DU766:DV766&gt;=DV766, 1))</f>
        <v>1</v>
      </c>
      <c r="EA766" s="109">
        <f t="shared" si="304"/>
        <v>-227241030.20221984</v>
      </c>
      <c r="EB766" s="109">
        <f t="shared" si="305"/>
        <v>0</v>
      </c>
      <c r="ED766" s="58">
        <f t="array" ref="ED766">SUM(IF(EA766:EB766&gt;=EA766, 1))</f>
        <v>2</v>
      </c>
      <c r="EE766" s="58">
        <f t="array" ref="EE766">SUM(IF(EA766:EB766&gt;=EB766, 1))</f>
        <v>1</v>
      </c>
    </row>
    <row r="767" spans="4:135" ht="12" customHeight="1" x14ac:dyDescent="0.25">
      <c r="D767" s="11">
        <v>751</v>
      </c>
      <c r="E767" s="72">
        <v>195.54912105743753</v>
      </c>
      <c r="F767" s="72">
        <v>161.87503827619602</v>
      </c>
      <c r="G767" s="73"/>
      <c r="H767" s="74">
        <v>5.8813914555056526</v>
      </c>
      <c r="I767" s="74">
        <v>5.9020213200295766</v>
      </c>
      <c r="J767" s="73"/>
      <c r="K767" s="72">
        <v>208.93329979948632</v>
      </c>
      <c r="L767" s="72">
        <v>174.47967254613536</v>
      </c>
      <c r="M767" s="73"/>
      <c r="N767" s="74">
        <v>6.719433862850714</v>
      </c>
      <c r="O767" s="74">
        <v>6.7374330188186313</v>
      </c>
      <c r="P767" s="73"/>
      <c r="Q767" s="72">
        <v>2009.5499753844122</v>
      </c>
      <c r="R767" s="72">
        <v>1338.0362104883325</v>
      </c>
      <c r="S767" s="73"/>
      <c r="T767" s="74">
        <v>5.1066180595736332</v>
      </c>
      <c r="U767" s="74">
        <v>5.1710787746665821</v>
      </c>
      <c r="V767" s="73"/>
      <c r="W767" s="72">
        <v>11236.107589707115</v>
      </c>
      <c r="X767" s="72">
        <v>11266.683558976754</v>
      </c>
      <c r="Y767" s="73"/>
      <c r="Z767" s="74">
        <v>2.9942953145539697</v>
      </c>
      <c r="AA767" s="74">
        <v>3.0599288472559776</v>
      </c>
      <c r="AB767" s="73"/>
      <c r="AC767" s="72">
        <v>50976.718675424388</v>
      </c>
      <c r="AD767" s="72">
        <v>50525.683861051308</v>
      </c>
      <c r="AE767" s="73"/>
      <c r="AF767" s="74">
        <v>4.4403952991033266</v>
      </c>
      <c r="AG767" s="74">
        <v>4.5772222534160889</v>
      </c>
      <c r="AH767" s="73"/>
      <c r="AI767" s="72">
        <v>3655834.3555455729</v>
      </c>
      <c r="AJ767" s="72">
        <v>0</v>
      </c>
      <c r="AK767" s="73"/>
      <c r="AL767" s="74">
        <v>-2239.6858725674142</v>
      </c>
      <c r="AM767" s="74">
        <v>0</v>
      </c>
      <c r="AN767" s="73"/>
      <c r="AO767" s="72">
        <v>228189.51937863609</v>
      </c>
      <c r="AP767" s="72">
        <v>0</v>
      </c>
      <c r="AQ767" s="73"/>
      <c r="AR767" s="74">
        <v>-119.21005354060945</v>
      </c>
      <c r="AS767" s="74">
        <v>0</v>
      </c>
      <c r="AT767" s="73"/>
      <c r="AU767" s="72">
        <v>15510502.137247674</v>
      </c>
      <c r="AV767" s="72">
        <v>0</v>
      </c>
      <c r="AW767" s="73"/>
      <c r="AX767" s="74">
        <v>-1488.9018088444147</v>
      </c>
      <c r="AY767" s="74">
        <v>0</v>
      </c>
      <c r="AZ767" s="73"/>
      <c r="BA767" s="72">
        <v>-265215.05757573643</v>
      </c>
      <c r="BB767" s="72">
        <v>0</v>
      </c>
      <c r="BC767" s="73"/>
      <c r="BD767" s="74">
        <v>-569.30333102298346</v>
      </c>
      <c r="BE767" s="74">
        <v>0</v>
      </c>
      <c r="BF767" s="73"/>
      <c r="BG767" s="72">
        <v>7176499.203532882</v>
      </c>
      <c r="BH767" s="72">
        <v>0</v>
      </c>
      <c r="BI767" s="73"/>
      <c r="BJ767" s="74">
        <v>-2177.0792350302745</v>
      </c>
      <c r="BK767" s="74">
        <v>0</v>
      </c>
      <c r="BL767" s="73"/>
      <c r="BM767" s="72">
        <v>26305810.158129029</v>
      </c>
      <c r="BN767" s="72">
        <v>0</v>
      </c>
      <c r="BO767" s="73"/>
      <c r="BP767" s="74">
        <v>-6594.1803010056956</v>
      </c>
      <c r="BQ767" s="74">
        <v>0</v>
      </c>
      <c r="BS767" s="109">
        <f t="shared" si="285"/>
        <v>117432.27998905561</v>
      </c>
      <c r="BT767" s="109">
        <f t="shared" si="286"/>
        <v>117878.55136231534</v>
      </c>
      <c r="BV767" s="58">
        <f t="array" ref="BV767">SUM(IF(BS767:BT767&gt;=BS767, 1))</f>
        <v>2</v>
      </c>
      <c r="BW767" s="58">
        <f t="array" ref="BW767">SUM(IF(BS767:BT767&gt;=BT767, 1))</f>
        <v>1</v>
      </c>
      <c r="BY767" s="109">
        <f t="shared" si="287"/>
        <v>134179.74395721481</v>
      </c>
      <c r="BZ767" s="109">
        <f t="shared" si="288"/>
        <v>134574.18070382648</v>
      </c>
      <c r="CB767" s="58">
        <f t="array" ref="CB767">SUM(IF(BY767:BZ767&gt;=BY767, 1))</f>
        <v>2</v>
      </c>
      <c r="CC767" s="58">
        <f t="array" ref="CC767">SUM(IF(BY767:BZ767&gt;=BZ767, 1))</f>
        <v>1</v>
      </c>
      <c r="CE767" s="109">
        <f t="shared" si="289"/>
        <v>100122.81121608826</v>
      </c>
      <c r="CF767" s="109">
        <f t="shared" si="290"/>
        <v>102083.5392828433</v>
      </c>
      <c r="CH767" s="58">
        <f t="array" ref="CH767">SUM(IF(CE767:CF767&gt;=CE767, 1))</f>
        <v>2</v>
      </c>
      <c r="CI767" s="58">
        <f t="array" ref="CI767">SUM(IF(CE767:CF767&gt;=CF767, 1))</f>
        <v>1</v>
      </c>
      <c r="CK767" s="109">
        <f t="shared" si="291"/>
        <v>48649.798701372281</v>
      </c>
      <c r="CL767" s="109">
        <f t="shared" si="292"/>
        <v>49931.893386142794</v>
      </c>
      <c r="CN767" s="58">
        <f t="array" ref="CN767">SUM(IF(CK767:CL767&gt;=CK767, 1))</f>
        <v>2</v>
      </c>
      <c r="CO767" s="58">
        <f t="array" ref="CO767">SUM(IF(CK767:CL767&gt;=CL767, 1))</f>
        <v>1</v>
      </c>
      <c r="CQ767" s="109" cm="1">
        <f t="array" ref="CQ767">AF767*WTP-AC767</f>
        <v>37831.187306642139</v>
      </c>
      <c r="CR767" s="109">
        <f t="shared" si="293"/>
        <v>41018.761207270465</v>
      </c>
      <c r="CT767" s="58">
        <f t="array" ref="CT767">SUM(IF(CQ767:CR767&gt;=CQ767, 1))</f>
        <v>2</v>
      </c>
      <c r="CU767" s="58">
        <f t="array" ref="CU767">SUM(IF(CQ767:CR767&gt;=CR767, 1))</f>
        <v>1</v>
      </c>
      <c r="CW767" s="109">
        <f t="shared" si="294"/>
        <v>-48449551.806893855</v>
      </c>
      <c r="CX767" s="109">
        <f t="shared" si="295"/>
        <v>0</v>
      </c>
      <c r="CZ767" s="58">
        <f t="array" ref="CZ767">SUM(IF(CW767:CX767&gt;=CW767, 1))</f>
        <v>2</v>
      </c>
      <c r="DA767" s="58">
        <f t="array" ref="DA767">SUM(IF(CW767:CX767&gt;=CX767, 1))</f>
        <v>1</v>
      </c>
      <c r="DC767" s="109">
        <f t="shared" si="296"/>
        <v>-2612390.5901908251</v>
      </c>
      <c r="DD767" s="109">
        <f t="shared" si="297"/>
        <v>0</v>
      </c>
      <c r="DF767" s="58">
        <f t="array" ref="DF767">SUM(IF(DC767:DD767&gt;=DC767, 1))</f>
        <v>2</v>
      </c>
      <c r="DG767" s="58">
        <f t="array" ref="DG767">SUM(IF(DC767:DD767&gt;=DD767, 1))</f>
        <v>1</v>
      </c>
      <c r="DI767" s="109">
        <f t="shared" si="298"/>
        <v>-45288538.314135969</v>
      </c>
      <c r="DJ767" s="109">
        <f t="shared" si="299"/>
        <v>0</v>
      </c>
      <c r="DL767" s="58">
        <f t="array" ref="DL767">SUM(IF(DI767:DJ767&gt;=DI767, 1))</f>
        <v>2</v>
      </c>
      <c r="DM767" s="58">
        <f t="array" ref="DM767">SUM(IF(DI767:DJ767&gt;=DJ767, 1))</f>
        <v>1</v>
      </c>
      <c r="DO767" s="109">
        <f t="shared" si="300"/>
        <v>-11120851.562883932</v>
      </c>
      <c r="DP767" s="109">
        <f t="shared" si="301"/>
        <v>0</v>
      </c>
      <c r="DR767" s="58">
        <f t="array" ref="DR767">SUM(IF(DO767:DP767&gt;=DO767, 1))</f>
        <v>2</v>
      </c>
      <c r="DS767" s="58">
        <f t="array" ref="DS767">SUM(IF(DO767:DP767&gt;=DP767, 1))</f>
        <v>1</v>
      </c>
      <c r="DU767" s="109">
        <f t="shared" si="302"/>
        <v>-50718083.904138371</v>
      </c>
      <c r="DV767" s="109">
        <f t="shared" si="303"/>
        <v>0</v>
      </c>
      <c r="DX767" s="58">
        <f t="array" ref="DX767">SUM(IF(DU767:DV767&gt;=DU767, 1))</f>
        <v>2</v>
      </c>
      <c r="DY767" s="58">
        <f t="array" ref="DY767">SUM(IF(DU767:DV767&gt;=DV767, 1))</f>
        <v>1</v>
      </c>
      <c r="EA767" s="109">
        <f t="shared" si="304"/>
        <v>-158189416.17824295</v>
      </c>
      <c r="EB767" s="109">
        <f t="shared" si="305"/>
        <v>0</v>
      </c>
      <c r="ED767" s="58">
        <f t="array" ref="ED767">SUM(IF(EA767:EB767&gt;=EA767, 1))</f>
        <v>2</v>
      </c>
      <c r="EE767" s="58">
        <f t="array" ref="EE767">SUM(IF(EA767:EB767&gt;=EB767, 1))</f>
        <v>1</v>
      </c>
    </row>
    <row r="768" spans="4:135" ht="12" customHeight="1" x14ac:dyDescent="0.25">
      <c r="D768" s="11">
        <v>752</v>
      </c>
      <c r="E768" s="72">
        <v>249.75057375149586</v>
      </c>
      <c r="F768" s="72">
        <v>244.64315792381419</v>
      </c>
      <c r="G768" s="73"/>
      <c r="H768" s="74">
        <v>5.8657514302939955</v>
      </c>
      <c r="I768" s="74">
        <v>5.8784572796492522</v>
      </c>
      <c r="J768" s="73"/>
      <c r="K768" s="72">
        <v>269.12553050241962</v>
      </c>
      <c r="L768" s="72">
        <v>263.87722314534193</v>
      </c>
      <c r="M768" s="73"/>
      <c r="N768" s="74">
        <v>6.8089058631089916</v>
      </c>
      <c r="O768" s="74">
        <v>6.8199093642805293</v>
      </c>
      <c r="P768" s="73"/>
      <c r="Q768" s="72">
        <v>2822.344272859521</v>
      </c>
      <c r="R768" s="72">
        <v>1302.0626860064822</v>
      </c>
      <c r="S768" s="73"/>
      <c r="T768" s="74">
        <v>4.8359024435421416</v>
      </c>
      <c r="U768" s="74">
        <v>4.945354187802451</v>
      </c>
      <c r="V768" s="73"/>
      <c r="W768" s="72">
        <v>17164.668265579912</v>
      </c>
      <c r="X768" s="72">
        <v>17150.277260162959</v>
      </c>
      <c r="Y768" s="73"/>
      <c r="Z768" s="74">
        <v>2.9036906089761199</v>
      </c>
      <c r="AA768" s="74">
        <v>2.9511498787706398</v>
      </c>
      <c r="AB768" s="73"/>
      <c r="AC768" s="72">
        <v>49852.306504547945</v>
      </c>
      <c r="AD768" s="72">
        <v>49245.312351650595</v>
      </c>
      <c r="AE768" s="73"/>
      <c r="AF768" s="74">
        <v>4.6804324818400245</v>
      </c>
      <c r="AG768" s="74">
        <v>4.8962574468194919</v>
      </c>
      <c r="AH768" s="73"/>
      <c r="AI768" s="72">
        <v>556687.65815780719</v>
      </c>
      <c r="AJ768" s="72">
        <v>0</v>
      </c>
      <c r="AK768" s="73"/>
      <c r="AL768" s="74">
        <v>-1384.8861657489877</v>
      </c>
      <c r="AM768" s="74">
        <v>0</v>
      </c>
      <c r="AN768" s="73"/>
      <c r="AO768" s="72">
        <v>35970.434955182296</v>
      </c>
      <c r="AP768" s="72">
        <v>0</v>
      </c>
      <c r="AQ768" s="73"/>
      <c r="AR768" s="74">
        <v>-75.414928326616646</v>
      </c>
      <c r="AS768" s="74">
        <v>0</v>
      </c>
      <c r="AT768" s="73"/>
      <c r="AU768" s="72">
        <v>36765184.653348938</v>
      </c>
      <c r="AV768" s="72">
        <v>0</v>
      </c>
      <c r="AW768" s="73"/>
      <c r="AX768" s="74">
        <v>-2646.8870130112205</v>
      </c>
      <c r="AY768" s="74">
        <v>0</v>
      </c>
      <c r="AZ768" s="73"/>
      <c r="BA768" s="72">
        <v>128443.90933816145</v>
      </c>
      <c r="BB768" s="72">
        <v>0</v>
      </c>
      <c r="BC768" s="73"/>
      <c r="BD768" s="74">
        <v>-423.58778765806636</v>
      </c>
      <c r="BE768" s="74">
        <v>0</v>
      </c>
      <c r="BF768" s="73"/>
      <c r="BG768" s="72">
        <v>9647159.3959023226</v>
      </c>
      <c r="BH768" s="72">
        <v>0</v>
      </c>
      <c r="BI768" s="73"/>
      <c r="BJ768" s="74">
        <v>-3430.1777518507092</v>
      </c>
      <c r="BK768" s="74">
        <v>0</v>
      </c>
      <c r="BL768" s="73"/>
      <c r="BM768" s="72">
        <v>47133446.05170241</v>
      </c>
      <c r="BN768" s="72">
        <v>0</v>
      </c>
      <c r="BO768" s="73"/>
      <c r="BP768" s="74">
        <v>-7960.9536465956007</v>
      </c>
      <c r="BQ768" s="74">
        <v>0</v>
      </c>
      <c r="BS768" s="109">
        <f t="shared" si="285"/>
        <v>117065.27803212841</v>
      </c>
      <c r="BT768" s="109">
        <f t="shared" si="286"/>
        <v>117324.50243506124</v>
      </c>
      <c r="BV768" s="58">
        <f t="array" ref="BV768">SUM(IF(BS768:BT768&gt;=BS768, 1))</f>
        <v>2</v>
      </c>
      <c r="BW768" s="58">
        <f t="array" ref="BW768">SUM(IF(BS768:BT768&gt;=BT768, 1))</f>
        <v>1</v>
      </c>
      <c r="BY768" s="109">
        <f t="shared" si="287"/>
        <v>135908.99173167741</v>
      </c>
      <c r="BZ768" s="109">
        <f t="shared" si="288"/>
        <v>136134.31006246526</v>
      </c>
      <c r="CB768" s="58">
        <f t="array" ref="CB768">SUM(IF(BY768:BZ768&gt;=BY768, 1))</f>
        <v>2</v>
      </c>
      <c r="CC768" s="58">
        <f t="array" ref="CC768">SUM(IF(BY768:BZ768&gt;=BZ768, 1))</f>
        <v>1</v>
      </c>
      <c r="CE768" s="109">
        <f t="shared" si="289"/>
        <v>93895.704597983306</v>
      </c>
      <c r="CF768" s="109">
        <f t="shared" si="290"/>
        <v>97605.021070042538</v>
      </c>
      <c r="CH768" s="58">
        <f t="array" ref="CH768">SUM(IF(CE768:CF768&gt;=CE768, 1))</f>
        <v>2</v>
      </c>
      <c r="CI768" s="58">
        <f t="array" ref="CI768">SUM(IF(CE768:CF768&gt;=CF768, 1))</f>
        <v>1</v>
      </c>
      <c r="CK768" s="109">
        <f t="shared" si="291"/>
        <v>40909.143913942491</v>
      </c>
      <c r="CL768" s="109">
        <f t="shared" si="292"/>
        <v>41872.72031524984</v>
      </c>
      <c r="CN768" s="58">
        <f t="array" ref="CN768">SUM(IF(CK768:CL768&gt;=CK768, 1))</f>
        <v>2</v>
      </c>
      <c r="CO768" s="58">
        <f t="array" ref="CO768">SUM(IF(CK768:CL768&gt;=CL768, 1))</f>
        <v>1</v>
      </c>
      <c r="CQ768" s="109" cm="1">
        <f t="array" ref="CQ768">AF768*WTP-AC768</f>
        <v>43756.343132252543</v>
      </c>
      <c r="CR768" s="109">
        <f t="shared" si="293"/>
        <v>48679.836584739249</v>
      </c>
      <c r="CT768" s="58">
        <f t="array" ref="CT768">SUM(IF(CQ768:CR768&gt;=CQ768, 1))</f>
        <v>2</v>
      </c>
      <c r="CU768" s="58">
        <f t="array" ref="CU768">SUM(IF(CQ768:CR768&gt;=CR768, 1))</f>
        <v>1</v>
      </c>
      <c r="CW768" s="109">
        <f t="shared" si="294"/>
        <v>-28254410.973137561</v>
      </c>
      <c r="CX768" s="109">
        <f t="shared" si="295"/>
        <v>0</v>
      </c>
      <c r="CZ768" s="58">
        <f t="array" ref="CZ768">SUM(IF(CW768:CX768&gt;=CW768, 1))</f>
        <v>2</v>
      </c>
      <c r="DA768" s="58">
        <f t="array" ref="DA768">SUM(IF(CW768:CX768&gt;=CX768, 1))</f>
        <v>1</v>
      </c>
      <c r="DC768" s="109">
        <f t="shared" si="296"/>
        <v>-1544269.0014875152</v>
      </c>
      <c r="DD768" s="109">
        <f t="shared" si="297"/>
        <v>0</v>
      </c>
      <c r="DF768" s="58">
        <f t="array" ref="DF768">SUM(IF(DC768:DD768&gt;=DC768, 1))</f>
        <v>2</v>
      </c>
      <c r="DG768" s="58">
        <f t="array" ref="DG768">SUM(IF(DC768:DD768&gt;=DD768, 1))</f>
        <v>1</v>
      </c>
      <c r="DI768" s="109">
        <f t="shared" si="298"/>
        <v>-89702924.913573354</v>
      </c>
      <c r="DJ768" s="109">
        <f t="shared" si="299"/>
        <v>0</v>
      </c>
      <c r="DL768" s="58">
        <f t="array" ref="DL768">SUM(IF(DI768:DJ768&gt;=DI768, 1))</f>
        <v>2</v>
      </c>
      <c r="DM768" s="58">
        <f t="array" ref="DM768">SUM(IF(DI768:DJ768&gt;=DJ768, 1))</f>
        <v>1</v>
      </c>
      <c r="DO768" s="109">
        <f t="shared" si="300"/>
        <v>-8600199.6624994893</v>
      </c>
      <c r="DP768" s="109">
        <f t="shared" si="301"/>
        <v>0</v>
      </c>
      <c r="DR768" s="58">
        <f t="array" ref="DR768">SUM(IF(DO768:DP768&gt;=DO768, 1))</f>
        <v>2</v>
      </c>
      <c r="DS768" s="58">
        <f t="array" ref="DS768">SUM(IF(DO768:DP768&gt;=DP768, 1))</f>
        <v>1</v>
      </c>
      <c r="DU768" s="109">
        <f t="shared" si="302"/>
        <v>-78250714.432916507</v>
      </c>
      <c r="DV768" s="109">
        <f t="shared" si="303"/>
        <v>0</v>
      </c>
      <c r="DX768" s="58">
        <f t="array" ref="DX768">SUM(IF(DU768:DV768&gt;=DU768, 1))</f>
        <v>2</v>
      </c>
      <c r="DY768" s="58">
        <f t="array" ref="DY768">SUM(IF(DU768:DV768&gt;=DV768, 1))</f>
        <v>1</v>
      </c>
      <c r="EA768" s="109">
        <f t="shared" si="304"/>
        <v>-206352518.98361441</v>
      </c>
      <c r="EB768" s="109">
        <f t="shared" si="305"/>
        <v>0</v>
      </c>
      <c r="ED768" s="58">
        <f t="array" ref="ED768">SUM(IF(EA768:EB768&gt;=EA768, 1))</f>
        <v>2</v>
      </c>
      <c r="EE768" s="58">
        <f t="array" ref="EE768">SUM(IF(EA768:EB768&gt;=EB768, 1))</f>
        <v>1</v>
      </c>
    </row>
    <row r="769" spans="4:135" ht="12" customHeight="1" x14ac:dyDescent="0.25">
      <c r="D769" s="11">
        <v>753</v>
      </c>
      <c r="E769" s="72">
        <v>253.16100581561508</v>
      </c>
      <c r="F769" s="72">
        <v>230.52040274217381</v>
      </c>
      <c r="G769" s="73"/>
      <c r="H769" s="74">
        <v>5.8386121257674759</v>
      </c>
      <c r="I769" s="74">
        <v>5.8562076904191844</v>
      </c>
      <c r="J769" s="73"/>
      <c r="K769" s="72">
        <v>271.80902672411338</v>
      </c>
      <c r="L769" s="72">
        <v>248.60034018932348</v>
      </c>
      <c r="M769" s="73"/>
      <c r="N769" s="74">
        <v>6.6956414239250144</v>
      </c>
      <c r="O769" s="74">
        <v>6.7113930912162569</v>
      </c>
      <c r="P769" s="73"/>
      <c r="Q769" s="72">
        <v>1506.4098178318329</v>
      </c>
      <c r="R769" s="72">
        <v>1185.5283071699432</v>
      </c>
      <c r="S769" s="73"/>
      <c r="T769" s="74">
        <v>4.8081459182119204</v>
      </c>
      <c r="U769" s="74">
        <v>4.8752529102880864</v>
      </c>
      <c r="V769" s="73"/>
      <c r="W769" s="72">
        <v>6745.9327462154961</v>
      </c>
      <c r="X769" s="72">
        <v>6713.6383189760418</v>
      </c>
      <c r="Y769" s="73"/>
      <c r="Z769" s="74">
        <v>2.8329403896297585</v>
      </c>
      <c r="AA769" s="74">
        <v>2.8626823189219968</v>
      </c>
      <c r="AB769" s="73"/>
      <c r="AC769" s="72">
        <v>50762.626610921805</v>
      </c>
      <c r="AD769" s="72">
        <v>50382.965228518246</v>
      </c>
      <c r="AE769" s="73"/>
      <c r="AF769" s="74">
        <v>4.3323729454045834</v>
      </c>
      <c r="AG769" s="74">
        <v>4.4631299737732473</v>
      </c>
      <c r="AH769" s="73"/>
      <c r="AI769" s="72">
        <v>2435907.9183359449</v>
      </c>
      <c r="AJ769" s="72">
        <v>0</v>
      </c>
      <c r="AK769" s="73"/>
      <c r="AL769" s="74">
        <v>-1893.1110237503999</v>
      </c>
      <c r="AM769" s="74">
        <v>0</v>
      </c>
      <c r="AN769" s="73"/>
      <c r="AO769" s="72">
        <v>160790.60914600801</v>
      </c>
      <c r="AP769" s="72">
        <v>0</v>
      </c>
      <c r="AQ769" s="73"/>
      <c r="AR769" s="74">
        <v>-109.12811352023665</v>
      </c>
      <c r="AS769" s="74">
        <v>0</v>
      </c>
      <c r="AT769" s="73"/>
      <c r="AU769" s="72">
        <v>7359682.9940145025</v>
      </c>
      <c r="AV769" s="72">
        <v>0</v>
      </c>
      <c r="AW769" s="73"/>
      <c r="AX769" s="74">
        <v>-1539.1543979697503</v>
      </c>
      <c r="AY769" s="74">
        <v>0</v>
      </c>
      <c r="AZ769" s="73"/>
      <c r="BA769" s="72">
        <v>300012.9841494924</v>
      </c>
      <c r="BB769" s="72">
        <v>0</v>
      </c>
      <c r="BC769" s="73"/>
      <c r="BD769" s="74">
        <v>-276.30045565342516</v>
      </c>
      <c r="BE769" s="74">
        <v>0</v>
      </c>
      <c r="BF769" s="73"/>
      <c r="BG769" s="72">
        <v>6063445.8715569433</v>
      </c>
      <c r="BH769" s="72">
        <v>0</v>
      </c>
      <c r="BI769" s="73"/>
      <c r="BJ769" s="74">
        <v>-2088.277082119153</v>
      </c>
      <c r="BK769" s="74">
        <v>0</v>
      </c>
      <c r="BL769" s="73"/>
      <c r="BM769" s="72">
        <v>16319840.377202893</v>
      </c>
      <c r="BN769" s="72">
        <v>0</v>
      </c>
      <c r="BO769" s="73"/>
      <c r="BP769" s="74">
        <v>-5905.9710730129646</v>
      </c>
      <c r="BQ769" s="74">
        <v>0</v>
      </c>
      <c r="BS769" s="109">
        <f t="shared" si="285"/>
        <v>116519.08150953389</v>
      </c>
      <c r="BT769" s="109">
        <f t="shared" si="286"/>
        <v>116893.63340564152</v>
      </c>
      <c r="BV769" s="58">
        <f t="array" ref="BV769">SUM(IF(BS769:BT769&gt;=BS769, 1))</f>
        <v>2</v>
      </c>
      <c r="BW769" s="58">
        <f t="array" ref="BW769">SUM(IF(BS769:BT769&gt;=BT769, 1))</f>
        <v>1</v>
      </c>
      <c r="BY769" s="109">
        <f t="shared" si="287"/>
        <v>133641.01945177617</v>
      </c>
      <c r="BZ769" s="109">
        <f t="shared" si="288"/>
        <v>133979.26148413582</v>
      </c>
      <c r="CB769" s="58">
        <f t="array" ref="CB769">SUM(IF(BY769:BZ769&gt;=BY769, 1))</f>
        <v>2</v>
      </c>
      <c r="CC769" s="58">
        <f t="array" ref="CC769">SUM(IF(BY769:BZ769&gt;=BZ769, 1))</f>
        <v>1</v>
      </c>
      <c r="CE769" s="109">
        <f t="shared" si="289"/>
        <v>94656.508546406563</v>
      </c>
      <c r="CF769" s="109">
        <f t="shared" si="290"/>
        <v>96319.529898591791</v>
      </c>
      <c r="CH769" s="58">
        <f t="array" ref="CH769">SUM(IF(CE769:CF769&gt;=CE769, 1))</f>
        <v>2</v>
      </c>
      <c r="CI769" s="58">
        <f t="array" ref="CI769">SUM(IF(CE769:CF769&gt;=CF769, 1))</f>
        <v>1</v>
      </c>
      <c r="CK769" s="109">
        <f t="shared" si="291"/>
        <v>49912.875046379675</v>
      </c>
      <c r="CL769" s="109">
        <f t="shared" si="292"/>
        <v>50540.0080594639</v>
      </c>
      <c r="CN769" s="58">
        <f t="array" ref="CN769">SUM(IF(CK769:CL769&gt;=CK769, 1))</f>
        <v>2</v>
      </c>
      <c r="CO769" s="58">
        <f t="array" ref="CO769">SUM(IF(CK769:CL769&gt;=CL769, 1))</f>
        <v>1</v>
      </c>
      <c r="CQ769" s="109" cm="1">
        <f t="array" ref="CQ769">AF769*WTP-AC769</f>
        <v>35884.832297169858</v>
      </c>
      <c r="CR769" s="109">
        <f t="shared" si="293"/>
        <v>38879.634246946698</v>
      </c>
      <c r="CT769" s="58">
        <f t="array" ref="CT769">SUM(IF(CQ769:CR769&gt;=CQ769, 1))</f>
        <v>2</v>
      </c>
      <c r="CU769" s="58">
        <f t="array" ref="CU769">SUM(IF(CQ769:CR769&gt;=CR769, 1))</f>
        <v>1</v>
      </c>
      <c r="CW769" s="109">
        <f t="shared" si="294"/>
        <v>-40298128.39334394</v>
      </c>
      <c r="CX769" s="109">
        <f t="shared" si="295"/>
        <v>0</v>
      </c>
      <c r="CZ769" s="58">
        <f t="array" ref="CZ769">SUM(IF(CW769:CX769&gt;=CW769, 1))</f>
        <v>2</v>
      </c>
      <c r="DA769" s="58">
        <f t="array" ref="DA769">SUM(IF(CW769:CX769&gt;=CX769, 1))</f>
        <v>1</v>
      </c>
      <c r="DC769" s="109">
        <f t="shared" si="296"/>
        <v>-2343352.8795507411</v>
      </c>
      <c r="DD769" s="109">
        <f t="shared" si="297"/>
        <v>0</v>
      </c>
      <c r="DF769" s="58">
        <f t="array" ref="DF769">SUM(IF(DC769:DD769&gt;=DC769, 1))</f>
        <v>2</v>
      </c>
      <c r="DG769" s="58">
        <f t="array" ref="DG769">SUM(IF(DC769:DD769&gt;=DD769, 1))</f>
        <v>1</v>
      </c>
      <c r="DI769" s="109">
        <f t="shared" si="298"/>
        <v>-38142770.953409508</v>
      </c>
      <c r="DJ769" s="109">
        <f t="shared" si="299"/>
        <v>0</v>
      </c>
      <c r="DL769" s="58">
        <f t="array" ref="DL769">SUM(IF(DI769:DJ769&gt;=DI769, 1))</f>
        <v>2</v>
      </c>
      <c r="DM769" s="58">
        <f t="array" ref="DM769">SUM(IF(DI769:DJ769&gt;=DJ769, 1))</f>
        <v>1</v>
      </c>
      <c r="DO769" s="109">
        <f t="shared" si="300"/>
        <v>-5826022.0972179957</v>
      </c>
      <c r="DP769" s="109">
        <f t="shared" si="301"/>
        <v>0</v>
      </c>
      <c r="DR769" s="58">
        <f t="array" ref="DR769">SUM(IF(DO769:DP769&gt;=DO769, 1))</f>
        <v>2</v>
      </c>
      <c r="DS769" s="58">
        <f t="array" ref="DS769">SUM(IF(DO769:DP769&gt;=DP769, 1))</f>
        <v>1</v>
      </c>
      <c r="DU769" s="109">
        <f t="shared" si="302"/>
        <v>-47828987.513940006</v>
      </c>
      <c r="DV769" s="109">
        <f t="shared" si="303"/>
        <v>0</v>
      </c>
      <c r="DX769" s="58">
        <f t="array" ref="DX769">SUM(IF(DU769:DV769&gt;=DU769, 1))</f>
        <v>2</v>
      </c>
      <c r="DY769" s="58">
        <f t="array" ref="DY769">SUM(IF(DU769:DV769&gt;=DV769, 1))</f>
        <v>1</v>
      </c>
      <c r="EA769" s="109">
        <f t="shared" si="304"/>
        <v>-134439261.83746219</v>
      </c>
      <c r="EB769" s="109">
        <f t="shared" si="305"/>
        <v>0</v>
      </c>
      <c r="ED769" s="58">
        <f t="array" ref="ED769">SUM(IF(EA769:EB769&gt;=EA769, 1))</f>
        <v>2</v>
      </c>
      <c r="EE769" s="58">
        <f t="array" ref="EE769">SUM(IF(EA769:EB769&gt;=EB769, 1))</f>
        <v>1</v>
      </c>
    </row>
    <row r="770" spans="4:135" ht="12" customHeight="1" x14ac:dyDescent="0.25">
      <c r="D770" s="11">
        <v>754</v>
      </c>
      <c r="E770" s="72">
        <v>256.77632852085202</v>
      </c>
      <c r="F770" s="72">
        <v>237.85448067876152</v>
      </c>
      <c r="G770" s="73"/>
      <c r="H770" s="74">
        <v>5.8514345263839243</v>
      </c>
      <c r="I770" s="74">
        <v>5.8687643683356594</v>
      </c>
      <c r="J770" s="73"/>
      <c r="K770" s="72">
        <v>275.94383177146585</v>
      </c>
      <c r="L770" s="72">
        <v>256.53790802873795</v>
      </c>
      <c r="M770" s="73"/>
      <c r="N770" s="74">
        <v>6.7655152276876471</v>
      </c>
      <c r="O770" s="74">
        <v>6.7802881661578187</v>
      </c>
      <c r="P770" s="73"/>
      <c r="Q770" s="72">
        <v>3108.4782441187876</v>
      </c>
      <c r="R770" s="72">
        <v>1702.6481016343973</v>
      </c>
      <c r="S770" s="73"/>
      <c r="T770" s="74">
        <v>4.9905268238025551</v>
      </c>
      <c r="U770" s="74">
        <v>5.1054351925951291</v>
      </c>
      <c r="V770" s="73"/>
      <c r="W770" s="72">
        <v>13270.515457259271</v>
      </c>
      <c r="X770" s="72">
        <v>13258.948727852925</v>
      </c>
      <c r="Y770" s="73"/>
      <c r="Z770" s="74">
        <v>2.9877749754561549</v>
      </c>
      <c r="AA770" s="74">
        <v>3.0258539879841826</v>
      </c>
      <c r="AB770" s="73"/>
      <c r="AC770" s="72">
        <v>49613.707132918302</v>
      </c>
      <c r="AD770" s="72">
        <v>49489.74027579985</v>
      </c>
      <c r="AE770" s="73"/>
      <c r="AF770" s="74">
        <v>4.7455011306457129</v>
      </c>
      <c r="AG770" s="74">
        <v>4.8609563600517642</v>
      </c>
      <c r="AH770" s="73"/>
      <c r="AI770" s="72">
        <v>2058737.6040280294</v>
      </c>
      <c r="AJ770" s="72">
        <v>0</v>
      </c>
      <c r="AK770" s="73"/>
      <c r="AL770" s="74">
        <v>-1885.5239507072349</v>
      </c>
      <c r="AM770" s="74">
        <v>0</v>
      </c>
      <c r="AN770" s="73"/>
      <c r="AO770" s="72">
        <v>130927.88287388528</v>
      </c>
      <c r="AP770" s="72">
        <v>0</v>
      </c>
      <c r="AQ770" s="73"/>
      <c r="AR770" s="74">
        <v>-99.670058656730973</v>
      </c>
      <c r="AS770" s="74">
        <v>0</v>
      </c>
      <c r="AT770" s="73"/>
      <c r="AU770" s="72">
        <v>32384034.588449828</v>
      </c>
      <c r="AV770" s="72">
        <v>0</v>
      </c>
      <c r="AW770" s="73"/>
      <c r="AX770" s="74">
        <v>-2646.9745362728877</v>
      </c>
      <c r="AY770" s="74">
        <v>0</v>
      </c>
      <c r="AZ770" s="73"/>
      <c r="BA770" s="72">
        <v>102514.75482626481</v>
      </c>
      <c r="BB770" s="72">
        <v>0</v>
      </c>
      <c r="BC770" s="73"/>
      <c r="BD770" s="74">
        <v>-337.4904431667016</v>
      </c>
      <c r="BE770" s="74">
        <v>0</v>
      </c>
      <c r="BF770" s="73"/>
      <c r="BG770" s="72">
        <v>2038542.4482124122</v>
      </c>
      <c r="BH770" s="72">
        <v>0</v>
      </c>
      <c r="BI770" s="73"/>
      <c r="BJ770" s="74">
        <v>-1898.5750827533489</v>
      </c>
      <c r="BK770" s="74">
        <v>0</v>
      </c>
      <c r="BL770" s="73"/>
      <c r="BM770" s="72">
        <v>36714757.278390422</v>
      </c>
      <c r="BN770" s="72">
        <v>0</v>
      </c>
      <c r="BO770" s="73"/>
      <c r="BP770" s="74">
        <v>-6868.2340715569044</v>
      </c>
      <c r="BQ770" s="74">
        <v>0</v>
      </c>
      <c r="BS770" s="109">
        <f t="shared" si="285"/>
        <v>116771.91419915763</v>
      </c>
      <c r="BT770" s="109">
        <f t="shared" si="286"/>
        <v>117137.43288603442</v>
      </c>
      <c r="BV770" s="58">
        <f t="array" ref="BV770">SUM(IF(BS770:BT770&gt;=BS770, 1))</f>
        <v>2</v>
      </c>
      <c r="BW770" s="58">
        <f t="array" ref="BW770">SUM(IF(BS770:BT770&gt;=BT770, 1))</f>
        <v>1</v>
      </c>
      <c r="BY770" s="109">
        <f t="shared" si="287"/>
        <v>135034.36072198147</v>
      </c>
      <c r="BZ770" s="109">
        <f t="shared" si="288"/>
        <v>135349.22541512764</v>
      </c>
      <c r="CB770" s="58">
        <f t="array" ref="CB770">SUM(IF(BY770:BZ770&gt;=BY770, 1))</f>
        <v>2</v>
      </c>
      <c r="CC770" s="58">
        <f t="array" ref="CC770">SUM(IF(BY770:BZ770&gt;=BZ770, 1))</f>
        <v>1</v>
      </c>
      <c r="CE770" s="109">
        <f t="shared" si="289"/>
        <v>96702.058231932315</v>
      </c>
      <c r="CF770" s="109">
        <f t="shared" si="290"/>
        <v>100406.05575026818</v>
      </c>
      <c r="CH770" s="58">
        <f t="array" ref="CH770">SUM(IF(CE770:CF770&gt;=CE770, 1))</f>
        <v>2</v>
      </c>
      <c r="CI770" s="58">
        <f t="array" ref="CI770">SUM(IF(CE770:CF770&gt;=CF770, 1))</f>
        <v>1</v>
      </c>
      <c r="CK770" s="109">
        <f t="shared" si="291"/>
        <v>46484.984051863823</v>
      </c>
      <c r="CL770" s="109">
        <f t="shared" si="292"/>
        <v>47258.131031830722</v>
      </c>
      <c r="CN770" s="58">
        <f t="array" ref="CN770">SUM(IF(CK770:CL770&gt;=CK770, 1))</f>
        <v>2</v>
      </c>
      <c r="CO770" s="58">
        <f t="array" ref="CO770">SUM(IF(CK770:CL770&gt;=CL770, 1))</f>
        <v>1</v>
      </c>
      <c r="CQ770" s="109" cm="1">
        <f t="array" ref="CQ770">AF770*WTP-AC770</f>
        <v>45296.315479995952</v>
      </c>
      <c r="CR770" s="109">
        <f t="shared" si="293"/>
        <v>47729.386925235434</v>
      </c>
      <c r="CT770" s="58">
        <f t="array" ref="CT770">SUM(IF(CQ770:CR770&gt;=CQ770, 1))</f>
        <v>2</v>
      </c>
      <c r="CU770" s="58">
        <f t="array" ref="CU770">SUM(IF(CQ770:CR770&gt;=CR770, 1))</f>
        <v>1</v>
      </c>
      <c r="CW770" s="109">
        <f t="shared" si="294"/>
        <v>-39769216.618172728</v>
      </c>
      <c r="CX770" s="109">
        <f t="shared" si="295"/>
        <v>0</v>
      </c>
      <c r="CZ770" s="58">
        <f t="array" ref="CZ770">SUM(IF(CW770:CX770&gt;=CW770, 1))</f>
        <v>2</v>
      </c>
      <c r="DA770" s="58">
        <f t="array" ref="DA770">SUM(IF(CW770:CX770&gt;=CX770, 1))</f>
        <v>1</v>
      </c>
      <c r="DC770" s="109">
        <f t="shared" si="296"/>
        <v>-2124329.0560085047</v>
      </c>
      <c r="DD770" s="109">
        <f t="shared" si="297"/>
        <v>0</v>
      </c>
      <c r="DF770" s="58">
        <f t="array" ref="DF770">SUM(IF(DC770:DD770&gt;=DC770, 1))</f>
        <v>2</v>
      </c>
      <c r="DG770" s="58">
        <f t="array" ref="DG770">SUM(IF(DC770:DD770&gt;=DD770, 1))</f>
        <v>1</v>
      </c>
      <c r="DI770" s="109">
        <f t="shared" si="298"/>
        <v>-85323525.313907579</v>
      </c>
      <c r="DJ770" s="109">
        <f t="shared" si="299"/>
        <v>0</v>
      </c>
      <c r="DL770" s="58">
        <f t="array" ref="DL770">SUM(IF(DI770:DJ770&gt;=DI770, 1))</f>
        <v>2</v>
      </c>
      <c r="DM770" s="58">
        <f t="array" ref="DM770">SUM(IF(DI770:DJ770&gt;=DJ770, 1))</f>
        <v>1</v>
      </c>
      <c r="DO770" s="109">
        <f t="shared" si="300"/>
        <v>-6852323.6181602962</v>
      </c>
      <c r="DP770" s="109">
        <f t="shared" si="301"/>
        <v>0</v>
      </c>
      <c r="DR770" s="58">
        <f t="array" ref="DR770">SUM(IF(DO770:DP770&gt;=DO770, 1))</f>
        <v>2</v>
      </c>
      <c r="DS770" s="58">
        <f t="array" ref="DS770">SUM(IF(DO770:DP770&gt;=DP770, 1))</f>
        <v>1</v>
      </c>
      <c r="DU770" s="109">
        <f t="shared" si="302"/>
        <v>-40010044.103279389</v>
      </c>
      <c r="DV770" s="109">
        <f t="shared" si="303"/>
        <v>0</v>
      </c>
      <c r="DX770" s="58">
        <f t="array" ref="DX770">SUM(IF(DU770:DV770&gt;=DU770, 1))</f>
        <v>2</v>
      </c>
      <c r="DY770" s="58">
        <f t="array" ref="DY770">SUM(IF(DU770:DV770&gt;=DV770, 1))</f>
        <v>1</v>
      </c>
      <c r="EA770" s="109">
        <f t="shared" si="304"/>
        <v>-174079438.70952851</v>
      </c>
      <c r="EB770" s="109">
        <f t="shared" si="305"/>
        <v>0</v>
      </c>
      <c r="ED770" s="58">
        <f t="array" ref="ED770">SUM(IF(EA770:EB770&gt;=EA770, 1))</f>
        <v>2</v>
      </c>
      <c r="EE770" s="58">
        <f t="array" ref="EE770">SUM(IF(EA770:EB770&gt;=EB770, 1))</f>
        <v>1</v>
      </c>
    </row>
    <row r="771" spans="4:135" ht="12" customHeight="1" x14ac:dyDescent="0.25">
      <c r="D771" s="11">
        <v>755</v>
      </c>
      <c r="E771" s="72">
        <v>261.33333133279996</v>
      </c>
      <c r="F771" s="72">
        <v>233.79452379929282</v>
      </c>
      <c r="G771" s="73"/>
      <c r="H771" s="74">
        <v>5.8483835226967056</v>
      </c>
      <c r="I771" s="74">
        <v>5.8649140416805539</v>
      </c>
      <c r="J771" s="73"/>
      <c r="K771" s="72">
        <v>280.19987977780443</v>
      </c>
      <c r="L771" s="72">
        <v>252.03924529453695</v>
      </c>
      <c r="M771" s="73"/>
      <c r="N771" s="74">
        <v>6.6795180550643209</v>
      </c>
      <c r="O771" s="74">
        <v>6.69418499973896</v>
      </c>
      <c r="P771" s="73"/>
      <c r="Q771" s="72">
        <v>2704.0625476924665</v>
      </c>
      <c r="R771" s="72">
        <v>1422.213609370647</v>
      </c>
      <c r="S771" s="73"/>
      <c r="T771" s="74">
        <v>4.7315594005627615</v>
      </c>
      <c r="U771" s="74">
        <v>4.8414346132932993</v>
      </c>
      <c r="V771" s="73"/>
      <c r="W771" s="72">
        <v>8311.0742102781551</v>
      </c>
      <c r="X771" s="72">
        <v>8302.2830782231467</v>
      </c>
      <c r="Y771" s="73"/>
      <c r="Z771" s="74">
        <v>3.1504058754247177</v>
      </c>
      <c r="AA771" s="74">
        <v>3.1988629331190115</v>
      </c>
      <c r="AB771" s="73"/>
      <c r="AC771" s="72">
        <v>50754.302326202553</v>
      </c>
      <c r="AD771" s="72">
        <v>50527.058450620098</v>
      </c>
      <c r="AE771" s="73"/>
      <c r="AF771" s="74">
        <v>5.1016494024087287</v>
      </c>
      <c r="AG771" s="74">
        <v>5.2335988390484962</v>
      </c>
      <c r="AH771" s="73"/>
      <c r="AI771" s="72">
        <v>2974019.9801848507</v>
      </c>
      <c r="AJ771" s="72">
        <v>0</v>
      </c>
      <c r="AK771" s="73"/>
      <c r="AL771" s="74">
        <v>-1785.1932652121202</v>
      </c>
      <c r="AM771" s="74">
        <v>0</v>
      </c>
      <c r="AN771" s="73"/>
      <c r="AO771" s="72">
        <v>192836.47987496649</v>
      </c>
      <c r="AP771" s="72">
        <v>0</v>
      </c>
      <c r="AQ771" s="73"/>
      <c r="AR771" s="74">
        <v>-100.43530742387257</v>
      </c>
      <c r="AS771" s="74">
        <v>0</v>
      </c>
      <c r="AT771" s="73"/>
      <c r="AU771" s="72">
        <v>30322882.951048587</v>
      </c>
      <c r="AV771" s="72">
        <v>0</v>
      </c>
      <c r="AW771" s="73"/>
      <c r="AX771" s="74">
        <v>-2599.1621284263997</v>
      </c>
      <c r="AY771" s="74">
        <v>0</v>
      </c>
      <c r="AZ771" s="73"/>
      <c r="BA771" s="72">
        <v>81752.258940874861</v>
      </c>
      <c r="BB771" s="72">
        <v>0</v>
      </c>
      <c r="BC771" s="73"/>
      <c r="BD771" s="74">
        <v>-450.62159268554569</v>
      </c>
      <c r="BE771" s="74">
        <v>0</v>
      </c>
      <c r="BF771" s="73"/>
      <c r="BG771" s="72">
        <v>3591943.6671250518</v>
      </c>
      <c r="BH771" s="72">
        <v>0</v>
      </c>
      <c r="BI771" s="73"/>
      <c r="BJ771" s="74">
        <v>-2085.66652062294</v>
      </c>
      <c r="BK771" s="74">
        <v>0</v>
      </c>
      <c r="BL771" s="73"/>
      <c r="BM771" s="72">
        <v>37163435.337174334</v>
      </c>
      <c r="BN771" s="72">
        <v>0</v>
      </c>
      <c r="BO771" s="73"/>
      <c r="BP771" s="74">
        <v>-7021.0788143708778</v>
      </c>
      <c r="BQ771" s="74">
        <v>0</v>
      </c>
      <c r="BS771" s="109">
        <f t="shared" si="285"/>
        <v>116706.33712260131</v>
      </c>
      <c r="BT771" s="109">
        <f t="shared" si="286"/>
        <v>117064.48630981178</v>
      </c>
      <c r="BV771" s="58">
        <f t="array" ref="BV771">SUM(IF(BS771:BT771&gt;=BS771, 1))</f>
        <v>2</v>
      </c>
      <c r="BW771" s="58">
        <f t="array" ref="BW771">SUM(IF(BS771:BT771&gt;=BT771, 1))</f>
        <v>1</v>
      </c>
      <c r="BY771" s="109">
        <f t="shared" si="287"/>
        <v>133310.16122150864</v>
      </c>
      <c r="BZ771" s="109">
        <f t="shared" si="288"/>
        <v>133631.66074948467</v>
      </c>
      <c r="CB771" s="58">
        <f t="array" ref="CB771">SUM(IF(BY771:BZ771&gt;=BY771, 1))</f>
        <v>2</v>
      </c>
      <c r="CC771" s="58">
        <f t="array" ref="CC771">SUM(IF(BY771:BZ771&gt;=BZ771, 1))</f>
        <v>1</v>
      </c>
      <c r="CE771" s="109">
        <f t="shared" si="289"/>
        <v>91927.12546356277</v>
      </c>
      <c r="CF771" s="109">
        <f t="shared" si="290"/>
        <v>95406.478656495339</v>
      </c>
      <c r="CH771" s="58">
        <f t="array" ref="CH771">SUM(IF(CE771:CF771&gt;=CE771, 1))</f>
        <v>2</v>
      </c>
      <c r="CI771" s="58">
        <f t="array" ref="CI771">SUM(IF(CE771:CF771&gt;=CF771, 1))</f>
        <v>1</v>
      </c>
      <c r="CK771" s="109">
        <f t="shared" si="291"/>
        <v>54697.043298216202</v>
      </c>
      <c r="CL771" s="109">
        <f t="shared" si="292"/>
        <v>55674.97558415708</v>
      </c>
      <c r="CN771" s="58">
        <f t="array" ref="CN771">SUM(IF(CK771:CL771&gt;=CK771, 1))</f>
        <v>2</v>
      </c>
      <c r="CO771" s="58">
        <f t="array" ref="CO771">SUM(IF(CK771:CL771&gt;=CL771, 1))</f>
        <v>1</v>
      </c>
      <c r="CQ771" s="109" cm="1">
        <f t="array" ref="CQ771">AF771*WTP-AC771</f>
        <v>51278.685721972026</v>
      </c>
      <c r="CR771" s="109">
        <f t="shared" si="293"/>
        <v>54144.918330349828</v>
      </c>
      <c r="CT771" s="58">
        <f t="array" ref="CT771">SUM(IF(CQ771:CR771&gt;=CQ771, 1))</f>
        <v>2</v>
      </c>
      <c r="CU771" s="58">
        <f t="array" ref="CU771">SUM(IF(CQ771:CR771&gt;=CR771, 1))</f>
        <v>1</v>
      </c>
      <c r="CW771" s="109">
        <f t="shared" si="294"/>
        <v>-38677885.284427255</v>
      </c>
      <c r="CX771" s="109">
        <f t="shared" si="295"/>
        <v>0</v>
      </c>
      <c r="CZ771" s="58">
        <f t="array" ref="CZ771">SUM(IF(CW771:CX771&gt;=CW771, 1))</f>
        <v>2</v>
      </c>
      <c r="DA771" s="58">
        <f t="array" ref="DA771">SUM(IF(CW771:CX771&gt;=CX771, 1))</f>
        <v>1</v>
      </c>
      <c r="DC771" s="109">
        <f t="shared" si="296"/>
        <v>-2201542.6283524181</v>
      </c>
      <c r="DD771" s="109">
        <f t="shared" si="297"/>
        <v>0</v>
      </c>
      <c r="DF771" s="58">
        <f t="array" ref="DF771">SUM(IF(DC771:DD771&gt;=DC771, 1))</f>
        <v>2</v>
      </c>
      <c r="DG771" s="58">
        <f t="array" ref="DG771">SUM(IF(DC771:DD771&gt;=DD771, 1))</f>
        <v>1</v>
      </c>
      <c r="DI771" s="109">
        <f t="shared" si="298"/>
        <v>-82306125.519576579</v>
      </c>
      <c r="DJ771" s="109">
        <f t="shared" si="299"/>
        <v>0</v>
      </c>
      <c r="DL771" s="58">
        <f t="array" ref="DL771">SUM(IF(DI771:DJ771&gt;=DI771, 1))</f>
        <v>2</v>
      </c>
      <c r="DM771" s="58">
        <f t="array" ref="DM771">SUM(IF(DI771:DJ771&gt;=DJ771, 1))</f>
        <v>1</v>
      </c>
      <c r="DO771" s="109">
        <f t="shared" si="300"/>
        <v>-9094184.1126517896</v>
      </c>
      <c r="DP771" s="109">
        <f t="shared" si="301"/>
        <v>0</v>
      </c>
      <c r="DR771" s="58">
        <f t="array" ref="DR771">SUM(IF(DO771:DP771&gt;=DO771, 1))</f>
        <v>2</v>
      </c>
      <c r="DS771" s="58">
        <f t="array" ref="DS771">SUM(IF(DO771:DP771&gt;=DP771, 1))</f>
        <v>1</v>
      </c>
      <c r="DU771" s="109">
        <f t="shared" si="302"/>
        <v>-45305274.079583853</v>
      </c>
      <c r="DV771" s="109">
        <f t="shared" si="303"/>
        <v>0</v>
      </c>
      <c r="DX771" s="58">
        <f t="array" ref="DX771">SUM(IF(DU771:DV771&gt;=DU771, 1))</f>
        <v>2</v>
      </c>
      <c r="DY771" s="58">
        <f t="array" ref="DY771">SUM(IF(DU771:DV771&gt;=DV771, 1))</f>
        <v>1</v>
      </c>
      <c r="EA771" s="109">
        <f t="shared" si="304"/>
        <v>-177585011.62459189</v>
      </c>
      <c r="EB771" s="109">
        <f t="shared" si="305"/>
        <v>0</v>
      </c>
      <c r="ED771" s="58">
        <f t="array" ref="ED771">SUM(IF(EA771:EB771&gt;=EA771, 1))</f>
        <v>2</v>
      </c>
      <c r="EE771" s="58">
        <f t="array" ref="EE771">SUM(IF(EA771:EB771&gt;=EB771, 1))</f>
        <v>1</v>
      </c>
    </row>
    <row r="772" spans="4:135" ht="12" customHeight="1" x14ac:dyDescent="0.25">
      <c r="D772" s="11">
        <v>756</v>
      </c>
      <c r="E772" s="72">
        <v>231.84917915669394</v>
      </c>
      <c r="F772" s="72">
        <v>210.58313997853338</v>
      </c>
      <c r="G772" s="73"/>
      <c r="H772" s="74">
        <v>5.8513621878595048</v>
      </c>
      <c r="I772" s="74">
        <v>5.8695315398664292</v>
      </c>
      <c r="J772" s="73"/>
      <c r="K772" s="72">
        <v>248.86398219205017</v>
      </c>
      <c r="L772" s="72">
        <v>227.09796141423678</v>
      </c>
      <c r="M772" s="73"/>
      <c r="N772" s="74">
        <v>6.7194645546535705</v>
      </c>
      <c r="O772" s="74">
        <v>6.7357470242721993</v>
      </c>
      <c r="P772" s="73"/>
      <c r="Q772" s="72">
        <v>2310.3856112432704</v>
      </c>
      <c r="R772" s="72">
        <v>1261.6789267184231</v>
      </c>
      <c r="S772" s="73"/>
      <c r="T772" s="74">
        <v>4.9363210327954414</v>
      </c>
      <c r="U772" s="74">
        <v>5.034463743960055</v>
      </c>
      <c r="V772" s="73"/>
      <c r="W772" s="72">
        <v>11200.496301728823</v>
      </c>
      <c r="X772" s="72">
        <v>11161.885849497497</v>
      </c>
      <c r="Y772" s="73"/>
      <c r="Z772" s="74">
        <v>2.892186854217897</v>
      </c>
      <c r="AA772" s="74">
        <v>2.9257593910487967</v>
      </c>
      <c r="AB772" s="73"/>
      <c r="AC772" s="72">
        <v>49990.333240564956</v>
      </c>
      <c r="AD772" s="72">
        <v>49712.522812082585</v>
      </c>
      <c r="AE772" s="73"/>
      <c r="AF772" s="74">
        <v>4.509999482710942</v>
      </c>
      <c r="AG772" s="74">
        <v>4.620903502459905</v>
      </c>
      <c r="AH772" s="73"/>
      <c r="AI772" s="72">
        <v>2318011.4975885581</v>
      </c>
      <c r="AJ772" s="72">
        <v>0</v>
      </c>
      <c r="AK772" s="73"/>
      <c r="AL772" s="74">
        <v>-1980.4706698291438</v>
      </c>
      <c r="AM772" s="74">
        <v>0</v>
      </c>
      <c r="AN772" s="73"/>
      <c r="AO772" s="72">
        <v>151120.91021033478</v>
      </c>
      <c r="AP772" s="72">
        <v>0</v>
      </c>
      <c r="AQ772" s="73"/>
      <c r="AR772" s="74">
        <v>-113.04875862966519</v>
      </c>
      <c r="AS772" s="74">
        <v>0</v>
      </c>
      <c r="AT772" s="73"/>
      <c r="AU772" s="72">
        <v>24643090.630752154</v>
      </c>
      <c r="AV772" s="72">
        <v>0</v>
      </c>
      <c r="AW772" s="73"/>
      <c r="AX772" s="74">
        <v>-2306.2117956014622</v>
      </c>
      <c r="AY772" s="74">
        <v>0</v>
      </c>
      <c r="AZ772" s="73"/>
      <c r="BA772" s="72">
        <v>363540.49412916292</v>
      </c>
      <c r="BB772" s="72">
        <v>0</v>
      </c>
      <c r="BC772" s="73"/>
      <c r="BD772" s="74">
        <v>-316.10550831032947</v>
      </c>
      <c r="BE772" s="74">
        <v>0</v>
      </c>
      <c r="BF772" s="73"/>
      <c r="BG772" s="72">
        <v>4377178.0861597015</v>
      </c>
      <c r="BH772" s="72">
        <v>0</v>
      </c>
      <c r="BI772" s="73"/>
      <c r="BJ772" s="74">
        <v>-1747.402527558422</v>
      </c>
      <c r="BK772" s="74">
        <v>0</v>
      </c>
      <c r="BL772" s="73"/>
      <c r="BM772" s="72">
        <v>31852941.618839912</v>
      </c>
      <c r="BN772" s="72">
        <v>0</v>
      </c>
      <c r="BO772" s="73"/>
      <c r="BP772" s="74">
        <v>-6463.2392599290224</v>
      </c>
      <c r="BQ772" s="74">
        <v>0</v>
      </c>
      <c r="BS772" s="109">
        <f t="shared" si="285"/>
        <v>116795.3945780334</v>
      </c>
      <c r="BT772" s="109">
        <f t="shared" si="286"/>
        <v>117180.04765735005</v>
      </c>
      <c r="BV772" s="58">
        <f t="array" ref="BV772">SUM(IF(BS772:BT772&gt;=BS772, 1))</f>
        <v>2</v>
      </c>
      <c r="BW772" s="58">
        <f t="array" ref="BW772">SUM(IF(BS772:BT772&gt;=BT772, 1))</f>
        <v>1</v>
      </c>
      <c r="BY772" s="109">
        <f t="shared" si="287"/>
        <v>134140.42711087936</v>
      </c>
      <c r="BZ772" s="109">
        <f t="shared" si="288"/>
        <v>134487.84252402975</v>
      </c>
      <c r="CB772" s="58">
        <f t="array" ref="CB772">SUM(IF(BY772:BZ772&gt;=BY772, 1))</f>
        <v>2</v>
      </c>
      <c r="CC772" s="58">
        <f t="array" ref="CC772">SUM(IF(BY772:BZ772&gt;=BZ772, 1))</f>
        <v>1</v>
      </c>
      <c r="CE772" s="109">
        <f t="shared" si="289"/>
        <v>96416.035044665565</v>
      </c>
      <c r="CF772" s="109">
        <f t="shared" si="290"/>
        <v>99427.595952482676</v>
      </c>
      <c r="CH772" s="58">
        <f t="array" ref="CH772">SUM(IF(CE772:CF772&gt;=CE772, 1))</f>
        <v>2</v>
      </c>
      <c r="CI772" s="58">
        <f t="array" ref="CI772">SUM(IF(CE772:CF772&gt;=CF772, 1))</f>
        <v>1</v>
      </c>
      <c r="CK772" s="109">
        <f t="shared" si="291"/>
        <v>46643.240782629116</v>
      </c>
      <c r="CL772" s="109">
        <f t="shared" si="292"/>
        <v>47353.301971478431</v>
      </c>
      <c r="CN772" s="58">
        <f t="array" ref="CN772">SUM(IF(CK772:CL772&gt;=CK772, 1))</f>
        <v>2</v>
      </c>
      <c r="CO772" s="58">
        <f t="array" ref="CO772">SUM(IF(CK772:CL772&gt;=CL772, 1))</f>
        <v>1</v>
      </c>
      <c r="CQ772" s="109" cm="1">
        <f t="array" ref="CQ772">AF772*WTP-AC772</f>
        <v>40209.65641365388</v>
      </c>
      <c r="CR772" s="109">
        <f t="shared" si="293"/>
        <v>42705.547237115512</v>
      </c>
      <c r="CT772" s="58">
        <f t="array" ref="CT772">SUM(IF(CQ772:CR772&gt;=CQ772, 1))</f>
        <v>2</v>
      </c>
      <c r="CU772" s="58">
        <f t="array" ref="CU772">SUM(IF(CQ772:CR772&gt;=CR772, 1))</f>
        <v>1</v>
      </c>
      <c r="CW772" s="109">
        <f t="shared" si="294"/>
        <v>-41927424.894171439</v>
      </c>
      <c r="CX772" s="109">
        <f t="shared" si="295"/>
        <v>0</v>
      </c>
      <c r="CZ772" s="58">
        <f t="array" ref="CZ772">SUM(IF(CW772:CX772&gt;=CW772, 1))</f>
        <v>2</v>
      </c>
      <c r="DA772" s="58">
        <f t="array" ref="DA772">SUM(IF(CW772:CX772&gt;=CX772, 1))</f>
        <v>1</v>
      </c>
      <c r="DC772" s="109">
        <f t="shared" si="296"/>
        <v>-2412096.0828036387</v>
      </c>
      <c r="DD772" s="109">
        <f t="shared" si="297"/>
        <v>0</v>
      </c>
      <c r="DF772" s="58">
        <f t="array" ref="DF772">SUM(IF(DC772:DD772&gt;=DC772, 1))</f>
        <v>2</v>
      </c>
      <c r="DG772" s="58">
        <f t="array" ref="DG772">SUM(IF(DC772:DD772&gt;=DD772, 1))</f>
        <v>1</v>
      </c>
      <c r="DI772" s="109">
        <f t="shared" si="298"/>
        <v>-70767326.542781398</v>
      </c>
      <c r="DJ772" s="109">
        <f t="shared" si="299"/>
        <v>0</v>
      </c>
      <c r="DL772" s="58">
        <f t="array" ref="DL772">SUM(IF(DI772:DJ772&gt;=DI772, 1))</f>
        <v>2</v>
      </c>
      <c r="DM772" s="58">
        <f t="array" ref="DM772">SUM(IF(DI772:DJ772&gt;=DJ772, 1))</f>
        <v>1</v>
      </c>
      <c r="DO772" s="109">
        <f t="shared" si="300"/>
        <v>-6685650.6603357522</v>
      </c>
      <c r="DP772" s="109">
        <f t="shared" si="301"/>
        <v>0</v>
      </c>
      <c r="DR772" s="58">
        <f t="array" ref="DR772">SUM(IF(DO772:DP772&gt;=DO772, 1))</f>
        <v>2</v>
      </c>
      <c r="DS772" s="58">
        <f t="array" ref="DS772">SUM(IF(DO772:DP772&gt;=DP772, 1))</f>
        <v>1</v>
      </c>
      <c r="DU772" s="109">
        <f t="shared" si="302"/>
        <v>-39325228.63732814</v>
      </c>
      <c r="DV772" s="109">
        <f t="shared" si="303"/>
        <v>0</v>
      </c>
      <c r="DX772" s="58">
        <f t="array" ref="DX772">SUM(IF(DU772:DV772&gt;=DU772, 1))</f>
        <v>2</v>
      </c>
      <c r="DY772" s="58">
        <f t="array" ref="DY772">SUM(IF(DU772:DV772&gt;=DV772, 1))</f>
        <v>1</v>
      </c>
      <c r="EA772" s="109">
        <f t="shared" si="304"/>
        <v>-161117726.81742036</v>
      </c>
      <c r="EB772" s="109">
        <f t="shared" si="305"/>
        <v>0</v>
      </c>
      <c r="ED772" s="58">
        <f t="array" ref="ED772">SUM(IF(EA772:EB772&gt;=EA772, 1))</f>
        <v>2</v>
      </c>
      <c r="EE772" s="58">
        <f t="array" ref="EE772">SUM(IF(EA772:EB772&gt;=EB772, 1))</f>
        <v>1</v>
      </c>
    </row>
    <row r="773" spans="4:135" ht="12" customHeight="1" x14ac:dyDescent="0.25">
      <c r="D773" s="11">
        <v>757</v>
      </c>
      <c r="E773" s="72">
        <v>239.1638042139233</v>
      </c>
      <c r="F773" s="72">
        <v>207.53235655576563</v>
      </c>
      <c r="G773" s="73"/>
      <c r="H773" s="74">
        <v>5.8481769513360939</v>
      </c>
      <c r="I773" s="74">
        <v>5.8680096470794378</v>
      </c>
      <c r="J773" s="73"/>
      <c r="K773" s="72">
        <v>256.13821633652282</v>
      </c>
      <c r="L773" s="72">
        <v>223.76731083537467</v>
      </c>
      <c r="M773" s="73"/>
      <c r="N773" s="74">
        <v>6.6684445171520057</v>
      </c>
      <c r="O773" s="74">
        <v>6.6860113934864369</v>
      </c>
      <c r="P773" s="73"/>
      <c r="Q773" s="72">
        <v>2525.6288321923503</v>
      </c>
      <c r="R773" s="72">
        <v>1306.9092282852732</v>
      </c>
      <c r="S773" s="73"/>
      <c r="T773" s="74">
        <v>4.8169568584370284</v>
      </c>
      <c r="U773" s="74">
        <v>4.9750361626150363</v>
      </c>
      <c r="V773" s="73"/>
      <c r="W773" s="72">
        <v>9873.7111651728428</v>
      </c>
      <c r="X773" s="72">
        <v>9874.287266264455</v>
      </c>
      <c r="Y773" s="73"/>
      <c r="Z773" s="74">
        <v>2.9829816874741235</v>
      </c>
      <c r="AA773" s="74">
        <v>3.0247483542567211</v>
      </c>
      <c r="AB773" s="73"/>
      <c r="AC773" s="72">
        <v>49705.976005396602</v>
      </c>
      <c r="AD773" s="72">
        <v>49580.974200634271</v>
      </c>
      <c r="AE773" s="73"/>
      <c r="AF773" s="74">
        <v>4.5688269552126064</v>
      </c>
      <c r="AG773" s="74">
        <v>4.6744223913720795</v>
      </c>
      <c r="AH773" s="73"/>
      <c r="AI773" s="72">
        <v>3390457.1440860685</v>
      </c>
      <c r="AJ773" s="72">
        <v>0</v>
      </c>
      <c r="AK773" s="73"/>
      <c r="AL773" s="74">
        <v>-2125.7928405993825</v>
      </c>
      <c r="AM773" s="74">
        <v>0</v>
      </c>
      <c r="AN773" s="73"/>
      <c r="AO773" s="72">
        <v>206796.06460940713</v>
      </c>
      <c r="AP773" s="72">
        <v>0</v>
      </c>
      <c r="AQ773" s="73"/>
      <c r="AR773" s="74">
        <v>-112.22302364423059</v>
      </c>
      <c r="AS773" s="74">
        <v>0</v>
      </c>
      <c r="AT773" s="73"/>
      <c r="AU773" s="72">
        <v>27437021.085210625</v>
      </c>
      <c r="AV773" s="72">
        <v>0</v>
      </c>
      <c r="AW773" s="73"/>
      <c r="AX773" s="74">
        <v>-3558.8376423607006</v>
      </c>
      <c r="AY773" s="74">
        <v>0</v>
      </c>
      <c r="AZ773" s="73"/>
      <c r="BA773" s="72">
        <v>-4937.362829677927</v>
      </c>
      <c r="BB773" s="72">
        <v>0</v>
      </c>
      <c r="BC773" s="73"/>
      <c r="BD773" s="74">
        <v>-357.95312852969704</v>
      </c>
      <c r="BE773" s="74">
        <v>0</v>
      </c>
      <c r="BF773" s="73"/>
      <c r="BG773" s="72">
        <v>1959406.6649551583</v>
      </c>
      <c r="BH773" s="72">
        <v>0</v>
      </c>
      <c r="BI773" s="73"/>
      <c r="BJ773" s="74">
        <v>-1655.21131309353</v>
      </c>
      <c r="BK773" s="74">
        <v>0</v>
      </c>
      <c r="BL773" s="73"/>
      <c r="BM773" s="72">
        <v>32988743.59603158</v>
      </c>
      <c r="BN773" s="72">
        <v>0</v>
      </c>
      <c r="BO773" s="73"/>
      <c r="BP773" s="74">
        <v>-7810.0179482275398</v>
      </c>
      <c r="BQ773" s="74">
        <v>0</v>
      </c>
      <c r="BS773" s="109">
        <f t="shared" si="285"/>
        <v>116724.37522250795</v>
      </c>
      <c r="BT773" s="109">
        <f t="shared" si="286"/>
        <v>117152.66058503299</v>
      </c>
      <c r="BV773" s="58">
        <f t="array" ref="BV773">SUM(IF(BS773:BT773&gt;=BS773, 1))</f>
        <v>2</v>
      </c>
      <c r="BW773" s="58">
        <f t="array" ref="BW773">SUM(IF(BS773:BT773&gt;=BT773, 1))</f>
        <v>1</v>
      </c>
      <c r="BY773" s="109">
        <f t="shared" si="287"/>
        <v>133112.75212670359</v>
      </c>
      <c r="BZ773" s="109">
        <f t="shared" si="288"/>
        <v>133496.46055889336</v>
      </c>
      <c r="CB773" s="58">
        <f t="array" ref="CB773">SUM(IF(BY773:BZ773&gt;=BY773, 1))</f>
        <v>2</v>
      </c>
      <c r="CC773" s="58">
        <f t="array" ref="CC773">SUM(IF(BY773:BZ773&gt;=BZ773, 1))</f>
        <v>1</v>
      </c>
      <c r="CE773" s="109">
        <f t="shared" si="289"/>
        <v>93813.508336548213</v>
      </c>
      <c r="CF773" s="109">
        <f t="shared" si="290"/>
        <v>98193.814024015446</v>
      </c>
      <c r="CH773" s="58">
        <f t="array" ref="CH773">SUM(IF(CE773:CF773&gt;=CE773, 1))</f>
        <v>2</v>
      </c>
      <c r="CI773" s="58">
        <f t="array" ref="CI773">SUM(IF(CE773:CF773&gt;=CF773, 1))</f>
        <v>1</v>
      </c>
      <c r="CK773" s="109">
        <f t="shared" si="291"/>
        <v>49785.922584309628</v>
      </c>
      <c r="CL773" s="109">
        <f t="shared" si="292"/>
        <v>50620.679818869961</v>
      </c>
      <c r="CN773" s="58">
        <f t="array" ref="CN773">SUM(IF(CK773:CL773&gt;=CK773, 1))</f>
        <v>2</v>
      </c>
      <c r="CO773" s="58">
        <f t="array" ref="CO773">SUM(IF(CK773:CL773&gt;=CL773, 1))</f>
        <v>1</v>
      </c>
      <c r="CQ773" s="109" cm="1">
        <f t="array" ref="CQ773">AF773*WTP-AC773</f>
        <v>41670.56309885552</v>
      </c>
      <c r="CR773" s="109">
        <f t="shared" si="293"/>
        <v>43907.473626807317</v>
      </c>
      <c r="CT773" s="58">
        <f t="array" ref="CT773">SUM(IF(CQ773:CR773&gt;=CQ773, 1))</f>
        <v>2</v>
      </c>
      <c r="CU773" s="58">
        <f t="array" ref="CU773">SUM(IF(CQ773:CR773&gt;=CR773, 1))</f>
        <v>1</v>
      </c>
      <c r="CW773" s="109">
        <f t="shared" si="294"/>
        <v>-45906313.956073724</v>
      </c>
      <c r="CX773" s="109">
        <f t="shared" si="295"/>
        <v>0</v>
      </c>
      <c r="CZ773" s="58">
        <f t="array" ref="CZ773">SUM(IF(CW773:CX773&gt;=CW773, 1))</f>
        <v>2</v>
      </c>
      <c r="DA773" s="58">
        <f t="array" ref="DA773">SUM(IF(CW773:CX773&gt;=CX773, 1))</f>
        <v>1</v>
      </c>
      <c r="DC773" s="109">
        <f t="shared" si="296"/>
        <v>-2451256.5374940187</v>
      </c>
      <c r="DD773" s="109">
        <f t="shared" si="297"/>
        <v>0</v>
      </c>
      <c r="DF773" s="58">
        <f t="array" ref="DF773">SUM(IF(DC773:DD773&gt;=DC773, 1))</f>
        <v>2</v>
      </c>
      <c r="DG773" s="58">
        <f t="array" ref="DG773">SUM(IF(DC773:DD773&gt;=DD773, 1))</f>
        <v>1</v>
      </c>
      <c r="DI773" s="109">
        <f t="shared" si="298"/>
        <v>-98613773.932424635</v>
      </c>
      <c r="DJ773" s="109">
        <f t="shared" si="299"/>
        <v>0</v>
      </c>
      <c r="DL773" s="58">
        <f t="array" ref="DL773">SUM(IF(DI773:DJ773&gt;=DI773, 1))</f>
        <v>2</v>
      </c>
      <c r="DM773" s="58">
        <f t="array" ref="DM773">SUM(IF(DI773:DJ773&gt;=DJ773, 1))</f>
        <v>1</v>
      </c>
      <c r="DO773" s="109">
        <f t="shared" si="300"/>
        <v>-7154125.2077642633</v>
      </c>
      <c r="DP773" s="109">
        <f t="shared" si="301"/>
        <v>0</v>
      </c>
      <c r="DR773" s="58">
        <f t="array" ref="DR773">SUM(IF(DO773:DP773&gt;=DO773, 1))</f>
        <v>2</v>
      </c>
      <c r="DS773" s="58">
        <f t="array" ref="DS773">SUM(IF(DO773:DP773&gt;=DP773, 1))</f>
        <v>1</v>
      </c>
      <c r="DU773" s="109">
        <f t="shared" si="302"/>
        <v>-35063632.926825762</v>
      </c>
      <c r="DV773" s="109">
        <f t="shared" si="303"/>
        <v>0</v>
      </c>
      <c r="DX773" s="58">
        <f t="array" ref="DX773">SUM(IF(DU773:DV773&gt;=DU773, 1))</f>
        <v>2</v>
      </c>
      <c r="DY773" s="58">
        <f t="array" ref="DY773">SUM(IF(DU773:DV773&gt;=DV773, 1))</f>
        <v>1</v>
      </c>
      <c r="EA773" s="109">
        <f t="shared" si="304"/>
        <v>-189189102.56058237</v>
      </c>
      <c r="EB773" s="109">
        <f t="shared" si="305"/>
        <v>0</v>
      </c>
      <c r="ED773" s="58">
        <f t="array" ref="ED773">SUM(IF(EA773:EB773&gt;=EA773, 1))</f>
        <v>2</v>
      </c>
      <c r="EE773" s="58">
        <f t="array" ref="EE773">SUM(IF(EA773:EB773&gt;=EB773, 1))</f>
        <v>1</v>
      </c>
    </row>
    <row r="774" spans="4:135" ht="12" customHeight="1" x14ac:dyDescent="0.25">
      <c r="D774" s="11">
        <v>758</v>
      </c>
      <c r="E774" s="72">
        <v>241.72892477025547</v>
      </c>
      <c r="F774" s="72">
        <v>221.78985981471504</v>
      </c>
      <c r="G774" s="73"/>
      <c r="H774" s="74">
        <v>5.8852503010108297</v>
      </c>
      <c r="I774" s="74">
        <v>5.903728833613207</v>
      </c>
      <c r="J774" s="73"/>
      <c r="K774" s="72">
        <v>259.58043675430451</v>
      </c>
      <c r="L774" s="72">
        <v>239.17062951505255</v>
      </c>
      <c r="M774" s="73"/>
      <c r="N774" s="74">
        <v>6.7098949323050974</v>
      </c>
      <c r="O774" s="74">
        <v>6.7264236995092173</v>
      </c>
      <c r="P774" s="73"/>
      <c r="Q774" s="72">
        <v>1934.4622847824644</v>
      </c>
      <c r="R774" s="72">
        <v>913.32047810580934</v>
      </c>
      <c r="S774" s="73"/>
      <c r="T774" s="74">
        <v>4.8250328115049088</v>
      </c>
      <c r="U774" s="74">
        <v>4.9410395903523447</v>
      </c>
      <c r="V774" s="73"/>
      <c r="W774" s="72">
        <v>13912.313580238198</v>
      </c>
      <c r="X774" s="72">
        <v>13915.527869195546</v>
      </c>
      <c r="Y774" s="73"/>
      <c r="Z774" s="74">
        <v>3.1385447824863415</v>
      </c>
      <c r="AA774" s="74">
        <v>3.1936942388660241</v>
      </c>
      <c r="AB774" s="73"/>
      <c r="AC774" s="72">
        <v>50600.918291119633</v>
      </c>
      <c r="AD774" s="72">
        <v>50545.270630439933</v>
      </c>
      <c r="AE774" s="73"/>
      <c r="AF774" s="74">
        <v>4.2851716439391865</v>
      </c>
      <c r="AG774" s="74">
        <v>4.4080347251108227</v>
      </c>
      <c r="AH774" s="73"/>
      <c r="AI774" s="72">
        <v>2133747.4486282612</v>
      </c>
      <c r="AJ774" s="72">
        <v>0</v>
      </c>
      <c r="AK774" s="73"/>
      <c r="AL774" s="74">
        <v>-1977.4508926388144</v>
      </c>
      <c r="AM774" s="74">
        <v>0</v>
      </c>
      <c r="AN774" s="73"/>
      <c r="AO774" s="72">
        <v>140241.35304800145</v>
      </c>
      <c r="AP774" s="72">
        <v>0</v>
      </c>
      <c r="AQ774" s="73"/>
      <c r="AR774" s="74">
        <v>-113.57366827371185</v>
      </c>
      <c r="AS774" s="74">
        <v>0</v>
      </c>
      <c r="AT774" s="73"/>
      <c r="AU774" s="72">
        <v>23676936.098268032</v>
      </c>
      <c r="AV774" s="72">
        <v>0</v>
      </c>
      <c r="AW774" s="73"/>
      <c r="AX774" s="74">
        <v>-2689.8174884013843</v>
      </c>
      <c r="AY774" s="74">
        <v>0</v>
      </c>
      <c r="AZ774" s="73"/>
      <c r="BA774" s="72">
        <v>-29117.701934824938</v>
      </c>
      <c r="BB774" s="72">
        <v>0</v>
      </c>
      <c r="BC774" s="73"/>
      <c r="BD774" s="74">
        <v>-499.58963056519804</v>
      </c>
      <c r="BE774" s="74">
        <v>0</v>
      </c>
      <c r="BF774" s="73"/>
      <c r="BG774" s="72">
        <v>886852.46940441418</v>
      </c>
      <c r="BH774" s="72">
        <v>0</v>
      </c>
      <c r="BI774" s="73"/>
      <c r="BJ774" s="74">
        <v>-1958.0594333132181</v>
      </c>
      <c r="BK774" s="74">
        <v>0</v>
      </c>
      <c r="BL774" s="73"/>
      <c r="BM774" s="72">
        <v>26808659.667413883</v>
      </c>
      <c r="BN774" s="72">
        <v>0</v>
      </c>
      <c r="BO774" s="73"/>
      <c r="BP774" s="74">
        <v>-7238.4911131923272</v>
      </c>
      <c r="BQ774" s="74">
        <v>0</v>
      </c>
      <c r="BS774" s="109">
        <f t="shared" si="285"/>
        <v>117463.27709544633</v>
      </c>
      <c r="BT774" s="109">
        <f t="shared" si="286"/>
        <v>117852.78681244943</v>
      </c>
      <c r="BV774" s="58">
        <f t="array" ref="BV774">SUM(IF(BS774:BT774&gt;=BS774, 1))</f>
        <v>2</v>
      </c>
      <c r="BW774" s="58">
        <f t="array" ref="BW774">SUM(IF(BS774:BT774&gt;=BT774, 1))</f>
        <v>1</v>
      </c>
      <c r="BY774" s="109">
        <f t="shared" si="287"/>
        <v>133938.31820934764</v>
      </c>
      <c r="BZ774" s="109">
        <f t="shared" si="288"/>
        <v>134289.30336066929</v>
      </c>
      <c r="CB774" s="58">
        <f t="array" ref="CB774">SUM(IF(BY774:BZ774&gt;=BY774, 1))</f>
        <v>2</v>
      </c>
      <c r="CC774" s="58">
        <f t="array" ref="CC774">SUM(IF(BY774:BZ774&gt;=BZ774, 1))</f>
        <v>1</v>
      </c>
      <c r="CE774" s="109">
        <f t="shared" si="289"/>
        <v>94566.19394531571</v>
      </c>
      <c r="CF774" s="109">
        <f t="shared" si="290"/>
        <v>97907.471328941072</v>
      </c>
      <c r="CH774" s="58">
        <f t="array" ref="CH774">SUM(IF(CE774:CF774&gt;=CE774, 1))</f>
        <v>2</v>
      </c>
      <c r="CI774" s="58">
        <f t="array" ref="CI774">SUM(IF(CE774:CF774&gt;=CF774, 1))</f>
        <v>1</v>
      </c>
      <c r="CK774" s="109">
        <f t="shared" si="291"/>
        <v>48858.582069488635</v>
      </c>
      <c r="CL774" s="109">
        <f t="shared" si="292"/>
        <v>49958.356908124937</v>
      </c>
      <c r="CN774" s="58">
        <f t="array" ref="CN774">SUM(IF(CK774:CL774&gt;=CK774, 1))</f>
        <v>2</v>
      </c>
      <c r="CO774" s="58">
        <f t="array" ref="CO774">SUM(IF(CK774:CL774&gt;=CL774, 1))</f>
        <v>1</v>
      </c>
      <c r="CQ774" s="109" cm="1">
        <f t="array" ref="CQ774">AF774*WTP-AC774</f>
        <v>35102.514587664096</v>
      </c>
      <c r="CR774" s="109">
        <f t="shared" si="293"/>
        <v>37615.423871776526</v>
      </c>
      <c r="CT774" s="58">
        <f t="array" ref="CT774">SUM(IF(CQ774:CR774&gt;=CQ774, 1))</f>
        <v>2</v>
      </c>
      <c r="CU774" s="58">
        <f t="array" ref="CU774">SUM(IF(CQ774:CR774&gt;=CR774, 1))</f>
        <v>1</v>
      </c>
      <c r="CW774" s="109">
        <f t="shared" si="294"/>
        <v>-41682765.301404551</v>
      </c>
      <c r="CX774" s="109">
        <f t="shared" si="295"/>
        <v>0</v>
      </c>
      <c r="CZ774" s="58">
        <f t="array" ref="CZ774">SUM(IF(CW774:CX774&gt;=CW774, 1))</f>
        <v>2</v>
      </c>
      <c r="DA774" s="58">
        <f t="array" ref="DA774">SUM(IF(CW774:CX774&gt;=CX774, 1))</f>
        <v>1</v>
      </c>
      <c r="DC774" s="109">
        <f t="shared" si="296"/>
        <v>-2411714.7185222385</v>
      </c>
      <c r="DD774" s="109">
        <f t="shared" si="297"/>
        <v>0</v>
      </c>
      <c r="DF774" s="58">
        <f t="array" ref="DF774">SUM(IF(DC774:DD774&gt;=DC774, 1))</f>
        <v>2</v>
      </c>
      <c r="DG774" s="58">
        <f t="array" ref="DG774">SUM(IF(DC774:DD774&gt;=DD774, 1))</f>
        <v>1</v>
      </c>
      <c r="DI774" s="109">
        <f t="shared" si="298"/>
        <v>-77473285.866295725</v>
      </c>
      <c r="DJ774" s="109">
        <f t="shared" si="299"/>
        <v>0</v>
      </c>
      <c r="DL774" s="58">
        <f t="array" ref="DL774">SUM(IF(DI774:DJ774&gt;=DI774, 1))</f>
        <v>2</v>
      </c>
      <c r="DM774" s="58">
        <f t="array" ref="DM774">SUM(IF(DI774:DJ774&gt;=DJ774, 1))</f>
        <v>1</v>
      </c>
      <c r="DO774" s="109">
        <f t="shared" si="300"/>
        <v>-9962674.9093691353</v>
      </c>
      <c r="DP774" s="109">
        <f t="shared" si="301"/>
        <v>0</v>
      </c>
      <c r="DR774" s="58">
        <f t="array" ref="DR774">SUM(IF(DO774:DP774&gt;=DO774, 1))</f>
        <v>2</v>
      </c>
      <c r="DS774" s="58">
        <f t="array" ref="DS774">SUM(IF(DO774:DP774&gt;=DP774, 1))</f>
        <v>1</v>
      </c>
      <c r="DU774" s="109">
        <f t="shared" si="302"/>
        <v>-40048041.135668777</v>
      </c>
      <c r="DV774" s="109">
        <f t="shared" si="303"/>
        <v>0</v>
      </c>
      <c r="DX774" s="58">
        <f t="array" ref="DX774">SUM(IF(DU774:DV774&gt;=DU774, 1))</f>
        <v>2</v>
      </c>
      <c r="DY774" s="58">
        <f t="array" ref="DY774">SUM(IF(DU774:DV774&gt;=DV774, 1))</f>
        <v>1</v>
      </c>
      <c r="EA774" s="109">
        <f t="shared" si="304"/>
        <v>-171578481.93126044</v>
      </c>
      <c r="EB774" s="109">
        <f t="shared" si="305"/>
        <v>0</v>
      </c>
      <c r="ED774" s="58">
        <f t="array" ref="ED774">SUM(IF(EA774:EB774&gt;=EA774, 1))</f>
        <v>2</v>
      </c>
      <c r="EE774" s="58">
        <f t="array" ref="EE774">SUM(IF(EA774:EB774&gt;=EB774, 1))</f>
        <v>1</v>
      </c>
    </row>
    <row r="775" spans="4:135" ht="12" customHeight="1" x14ac:dyDescent="0.25">
      <c r="D775" s="11">
        <v>759</v>
      </c>
      <c r="E775" s="72">
        <v>251.98422387077451</v>
      </c>
      <c r="F775" s="72">
        <v>224.55760418283884</v>
      </c>
      <c r="G775" s="73"/>
      <c r="H775" s="74">
        <v>5.8900878177972036</v>
      </c>
      <c r="I775" s="74">
        <v>5.9071727201115038</v>
      </c>
      <c r="J775" s="73"/>
      <c r="K775" s="72">
        <v>270.17739885331616</v>
      </c>
      <c r="L775" s="72">
        <v>242.07778411717737</v>
      </c>
      <c r="M775" s="73"/>
      <c r="N775" s="74">
        <v>6.7092019212131477</v>
      </c>
      <c r="O775" s="74">
        <v>6.7237428590221429</v>
      </c>
      <c r="P775" s="73"/>
      <c r="Q775" s="72">
        <v>2249.3793339772947</v>
      </c>
      <c r="R775" s="72">
        <v>1269.5198614548503</v>
      </c>
      <c r="S775" s="73"/>
      <c r="T775" s="74">
        <v>4.9141447387068879</v>
      </c>
      <c r="U775" s="74">
        <v>4.9869616015193801</v>
      </c>
      <c r="V775" s="73"/>
      <c r="W775" s="72">
        <v>9854.6015999096126</v>
      </c>
      <c r="X775" s="72">
        <v>9786.5967588684853</v>
      </c>
      <c r="Y775" s="73"/>
      <c r="Z775" s="74">
        <v>2.7946976891801203</v>
      </c>
      <c r="AA775" s="74">
        <v>2.8295543171814583</v>
      </c>
      <c r="AB775" s="73"/>
      <c r="AC775" s="72">
        <v>50903.485699842488</v>
      </c>
      <c r="AD775" s="72">
        <v>50707.299607438945</v>
      </c>
      <c r="AE775" s="73"/>
      <c r="AF775" s="74">
        <v>4.7526885617242982</v>
      </c>
      <c r="AG775" s="74">
        <v>4.8384896417161647</v>
      </c>
      <c r="AH775" s="73"/>
      <c r="AI775" s="72">
        <v>2931704.540701645</v>
      </c>
      <c r="AJ775" s="72">
        <v>0</v>
      </c>
      <c r="AK775" s="73"/>
      <c r="AL775" s="74">
        <v>-1826.2507834427231</v>
      </c>
      <c r="AM775" s="74">
        <v>0</v>
      </c>
      <c r="AN775" s="73"/>
      <c r="AO775" s="72">
        <v>193164.67461568711</v>
      </c>
      <c r="AP775" s="72">
        <v>0</v>
      </c>
      <c r="AQ775" s="73"/>
      <c r="AR775" s="74">
        <v>-99.958506437068905</v>
      </c>
      <c r="AS775" s="74">
        <v>0</v>
      </c>
      <c r="AT775" s="73"/>
      <c r="AU775" s="72">
        <v>22347873.695745394</v>
      </c>
      <c r="AV775" s="72">
        <v>0</v>
      </c>
      <c r="AW775" s="73"/>
      <c r="AX775" s="74">
        <v>-1660.7504429842811</v>
      </c>
      <c r="AY775" s="74">
        <v>0</v>
      </c>
      <c r="AZ775" s="73"/>
      <c r="BA775" s="72">
        <v>607525.76655700547</v>
      </c>
      <c r="BB775" s="72">
        <v>0</v>
      </c>
      <c r="BC775" s="73"/>
      <c r="BD775" s="74">
        <v>-311.39400257252981</v>
      </c>
      <c r="BE775" s="74">
        <v>0</v>
      </c>
      <c r="BF775" s="73"/>
      <c r="BG775" s="72">
        <v>3065627.3969571451</v>
      </c>
      <c r="BH775" s="72">
        <v>0</v>
      </c>
      <c r="BI775" s="73"/>
      <c r="BJ775" s="74">
        <v>-1340.7379610300427</v>
      </c>
      <c r="BK775" s="74">
        <v>0</v>
      </c>
      <c r="BL775" s="73"/>
      <c r="BM775" s="72">
        <v>29145896.074576873</v>
      </c>
      <c r="BN775" s="72">
        <v>0</v>
      </c>
      <c r="BO775" s="73"/>
      <c r="BP775" s="74">
        <v>-5239.0916964666449</v>
      </c>
      <c r="BQ775" s="74">
        <v>0</v>
      </c>
      <c r="BS775" s="109">
        <f t="shared" si="285"/>
        <v>117549.7721320733</v>
      </c>
      <c r="BT775" s="109">
        <f t="shared" si="286"/>
        <v>117918.89679804725</v>
      </c>
      <c r="BV775" s="58">
        <f t="array" ref="BV775">SUM(IF(BS775:BT775&gt;=BS775, 1))</f>
        <v>2</v>
      </c>
      <c r="BW775" s="58">
        <f t="array" ref="BW775">SUM(IF(BS775:BT775&gt;=BT775, 1))</f>
        <v>1</v>
      </c>
      <c r="BY775" s="109">
        <f t="shared" si="287"/>
        <v>133913.86102540963</v>
      </c>
      <c r="BZ775" s="109">
        <f t="shared" si="288"/>
        <v>134232.7793963257</v>
      </c>
      <c r="CB775" s="58">
        <f t="array" ref="CB775">SUM(IF(BY775:BZ775&gt;=BY775, 1))</f>
        <v>2</v>
      </c>
      <c r="CC775" s="58">
        <f t="array" ref="CC775">SUM(IF(BY775:BZ775&gt;=BZ775, 1))</f>
        <v>1</v>
      </c>
      <c r="CE775" s="109">
        <f t="shared" si="289"/>
        <v>96033.515440160467</v>
      </c>
      <c r="CF775" s="109">
        <f t="shared" si="290"/>
        <v>98469.712168932747</v>
      </c>
      <c r="CH775" s="58">
        <f t="array" ref="CH775">SUM(IF(CE775:CF775&gt;=CE775, 1))</f>
        <v>2</v>
      </c>
      <c r="CI775" s="58">
        <f t="array" ref="CI775">SUM(IF(CE775:CF775&gt;=CF775, 1))</f>
        <v>1</v>
      </c>
      <c r="CK775" s="109">
        <f t="shared" si="291"/>
        <v>46039.35218369279</v>
      </c>
      <c r="CL775" s="109">
        <f t="shared" si="292"/>
        <v>46804.489584760682</v>
      </c>
      <c r="CN775" s="58">
        <f t="array" ref="CN775">SUM(IF(CK775:CL775&gt;=CK775, 1))</f>
        <v>2</v>
      </c>
      <c r="CO775" s="58">
        <f t="array" ref="CO775">SUM(IF(CK775:CL775&gt;=CL775, 1))</f>
        <v>1</v>
      </c>
      <c r="CQ775" s="109" cm="1">
        <f t="array" ref="CQ775">AF775*WTP-AC775</f>
        <v>44150.285534643474</v>
      </c>
      <c r="CR775" s="109">
        <f t="shared" si="293"/>
        <v>46062.493226884348</v>
      </c>
      <c r="CT775" s="58">
        <f t="array" ref="CT775">SUM(IF(CQ775:CR775&gt;=CQ775, 1))</f>
        <v>2</v>
      </c>
      <c r="CU775" s="58">
        <f t="array" ref="CU775">SUM(IF(CQ775:CR775&gt;=CR775, 1))</f>
        <v>1</v>
      </c>
      <c r="CW775" s="109">
        <f t="shared" si="294"/>
        <v>-39456720.209556103</v>
      </c>
      <c r="CX775" s="109">
        <f t="shared" si="295"/>
        <v>0</v>
      </c>
      <c r="CZ775" s="58">
        <f t="array" ref="CZ775">SUM(IF(CW775:CX775&gt;=CW775, 1))</f>
        <v>2</v>
      </c>
      <c r="DA775" s="58">
        <f t="array" ref="DA775">SUM(IF(CW775:CX775&gt;=CX775, 1))</f>
        <v>1</v>
      </c>
      <c r="DC775" s="109">
        <f t="shared" si="296"/>
        <v>-2192334.8033570652</v>
      </c>
      <c r="DD775" s="109">
        <f t="shared" si="297"/>
        <v>0</v>
      </c>
      <c r="DF775" s="58">
        <f t="array" ref="DF775">SUM(IF(DC775:DD775&gt;=DC775, 1))</f>
        <v>2</v>
      </c>
      <c r="DG775" s="58">
        <f t="array" ref="DG775">SUM(IF(DC775:DD775&gt;=DD775, 1))</f>
        <v>1</v>
      </c>
      <c r="DI775" s="109">
        <f t="shared" si="298"/>
        <v>-55562882.555431016</v>
      </c>
      <c r="DJ775" s="109">
        <f t="shared" si="299"/>
        <v>0</v>
      </c>
      <c r="DL775" s="58">
        <f t="array" ref="DL775">SUM(IF(DI775:DJ775&gt;=DI775, 1))</f>
        <v>2</v>
      </c>
      <c r="DM775" s="58">
        <f t="array" ref="DM775">SUM(IF(DI775:DJ775&gt;=DJ775, 1))</f>
        <v>1</v>
      </c>
      <c r="DO775" s="109">
        <f t="shared" si="300"/>
        <v>-6835405.8180076014</v>
      </c>
      <c r="DP775" s="109">
        <f t="shared" si="301"/>
        <v>0</v>
      </c>
      <c r="DR775" s="58">
        <f t="array" ref="DR775">SUM(IF(DO775:DP775&gt;=DO775, 1))</f>
        <v>2</v>
      </c>
      <c r="DS775" s="58">
        <f t="array" ref="DS775">SUM(IF(DO775:DP775&gt;=DP775, 1))</f>
        <v>1</v>
      </c>
      <c r="DU775" s="109">
        <f t="shared" si="302"/>
        <v>-29880386.617557999</v>
      </c>
      <c r="DV775" s="109">
        <f t="shared" si="303"/>
        <v>0</v>
      </c>
      <c r="DX775" s="58">
        <f t="array" ref="DX775">SUM(IF(DU775:DV775&gt;=DU775, 1))</f>
        <v>2</v>
      </c>
      <c r="DY775" s="58">
        <f t="array" ref="DY775">SUM(IF(DU775:DV775&gt;=DV775, 1))</f>
        <v>1</v>
      </c>
      <c r="EA775" s="109">
        <f t="shared" si="304"/>
        <v>-133927730.00390977</v>
      </c>
      <c r="EB775" s="109">
        <f t="shared" si="305"/>
        <v>0</v>
      </c>
      <c r="ED775" s="58">
        <f t="array" ref="ED775">SUM(IF(EA775:EB775&gt;=EA775, 1))</f>
        <v>2</v>
      </c>
      <c r="EE775" s="58">
        <f t="array" ref="EE775">SUM(IF(EA775:EB775&gt;=EB775, 1))</f>
        <v>1</v>
      </c>
    </row>
    <row r="776" spans="4:135" ht="12" customHeight="1" x14ac:dyDescent="0.25">
      <c r="D776" s="11">
        <v>760</v>
      </c>
      <c r="E776" s="72">
        <v>253.14336288281677</v>
      </c>
      <c r="F776" s="72">
        <v>226.59868988026199</v>
      </c>
      <c r="G776" s="73"/>
      <c r="H776" s="74">
        <v>5.7878771755663241</v>
      </c>
      <c r="I776" s="74">
        <v>5.8012764705954281</v>
      </c>
      <c r="J776" s="73"/>
      <c r="K776" s="72">
        <v>271.43999903329603</v>
      </c>
      <c r="L776" s="72">
        <v>244.2266364827174</v>
      </c>
      <c r="M776" s="73"/>
      <c r="N776" s="74">
        <v>6.679272788820402</v>
      </c>
      <c r="O776" s="74">
        <v>6.6895927475236805</v>
      </c>
      <c r="P776" s="73"/>
      <c r="Q776" s="72">
        <v>1646.403009923366</v>
      </c>
      <c r="R776" s="72">
        <v>1372.4619756152638</v>
      </c>
      <c r="S776" s="73"/>
      <c r="T776" s="74">
        <v>4.6080108927064156</v>
      </c>
      <c r="U776" s="74">
        <v>4.644376269921862</v>
      </c>
      <c r="V776" s="73"/>
      <c r="W776" s="72">
        <v>13979.77282827855</v>
      </c>
      <c r="X776" s="72">
        <v>13982.538467246017</v>
      </c>
      <c r="Y776" s="73"/>
      <c r="Z776" s="74">
        <v>3.1049638259533117</v>
      </c>
      <c r="AA776" s="74">
        <v>3.1660454674841776</v>
      </c>
      <c r="AB776" s="73"/>
      <c r="AC776" s="72">
        <v>49022.946333227832</v>
      </c>
      <c r="AD776" s="72">
        <v>48894.461426086564</v>
      </c>
      <c r="AE776" s="73"/>
      <c r="AF776" s="74">
        <v>4.4545497788236377</v>
      </c>
      <c r="AG776" s="74">
        <v>4.5728609637946152</v>
      </c>
      <c r="AH776" s="73"/>
      <c r="AI776" s="72">
        <v>2869668.9876102041</v>
      </c>
      <c r="AJ776" s="72">
        <v>0</v>
      </c>
      <c r="AK776" s="73"/>
      <c r="AL776" s="74">
        <v>-1448.5596186157004</v>
      </c>
      <c r="AM776" s="74">
        <v>0</v>
      </c>
      <c r="AN776" s="73"/>
      <c r="AO776" s="72">
        <v>189550.05039113993</v>
      </c>
      <c r="AP776" s="72">
        <v>0</v>
      </c>
      <c r="AQ776" s="73"/>
      <c r="AR776" s="74">
        <v>-71.881917885201986</v>
      </c>
      <c r="AS776" s="74">
        <v>0</v>
      </c>
      <c r="AT776" s="73"/>
      <c r="AU776" s="72">
        <v>6430585.9419326345</v>
      </c>
      <c r="AV776" s="72">
        <v>0</v>
      </c>
      <c r="AW776" s="73"/>
      <c r="AX776" s="74">
        <v>-853.65335677208031</v>
      </c>
      <c r="AY776" s="74">
        <v>0</v>
      </c>
      <c r="AZ776" s="73"/>
      <c r="BA776" s="72">
        <v>-24805.780688611914</v>
      </c>
      <c r="BB776" s="72">
        <v>0</v>
      </c>
      <c r="BC776" s="73"/>
      <c r="BD776" s="74">
        <v>-547.85813395700814</v>
      </c>
      <c r="BE776" s="74">
        <v>0</v>
      </c>
      <c r="BF776" s="73"/>
      <c r="BG776" s="72">
        <v>2023550.8420173186</v>
      </c>
      <c r="BH776" s="72">
        <v>0</v>
      </c>
      <c r="BI776" s="73"/>
      <c r="BJ776" s="74">
        <v>-1863.3215627798224</v>
      </c>
      <c r="BK776" s="74">
        <v>0</v>
      </c>
      <c r="BL776" s="73"/>
      <c r="BM776" s="72">
        <v>11488550.041262686</v>
      </c>
      <c r="BN776" s="72">
        <v>0</v>
      </c>
      <c r="BO776" s="73"/>
      <c r="BP776" s="74">
        <v>-4785.2745900098134</v>
      </c>
      <c r="BQ776" s="74">
        <v>0</v>
      </c>
      <c r="BS776" s="109">
        <f t="shared" si="285"/>
        <v>115504.40014844366</v>
      </c>
      <c r="BT776" s="109">
        <f t="shared" si="286"/>
        <v>115798.93072202829</v>
      </c>
      <c r="BV776" s="58">
        <f t="array" ref="BV776">SUM(IF(BS776:BT776&gt;=BS776, 1))</f>
        <v>2</v>
      </c>
      <c r="BW776" s="58">
        <f t="array" ref="BW776">SUM(IF(BS776:BT776&gt;=BT776, 1))</f>
        <v>1</v>
      </c>
      <c r="BY776" s="109">
        <f t="shared" si="287"/>
        <v>133314.01577737476</v>
      </c>
      <c r="BZ776" s="109">
        <f t="shared" si="288"/>
        <v>133547.62831399089</v>
      </c>
      <c r="CB776" s="58">
        <f t="array" ref="CB776">SUM(IF(BY776:BZ776&gt;=BY776, 1))</f>
        <v>2</v>
      </c>
      <c r="CC776" s="58">
        <f t="array" ref="CC776">SUM(IF(BY776:BZ776&gt;=BZ776, 1))</f>
        <v>1</v>
      </c>
      <c r="CE776" s="109">
        <f t="shared" si="289"/>
        <v>90513.814844204942</v>
      </c>
      <c r="CF776" s="109">
        <f t="shared" si="290"/>
        <v>91515.063422821971</v>
      </c>
      <c r="CH776" s="58">
        <f t="array" ref="CH776">SUM(IF(CE776:CF776&gt;=CE776, 1))</f>
        <v>2</v>
      </c>
      <c r="CI776" s="58">
        <f t="array" ref="CI776">SUM(IF(CE776:CF776&gt;=CF776, 1))</f>
        <v>1</v>
      </c>
      <c r="CK776" s="109">
        <f t="shared" si="291"/>
        <v>48119.503690787678</v>
      </c>
      <c r="CL776" s="109">
        <f t="shared" si="292"/>
        <v>49338.370882437535</v>
      </c>
      <c r="CN776" s="58">
        <f t="array" ref="CN776">SUM(IF(CK776:CL776&gt;=CK776, 1))</f>
        <v>2</v>
      </c>
      <c r="CO776" s="58">
        <f t="array" ref="CO776">SUM(IF(CK776:CL776&gt;=CL776, 1))</f>
        <v>1</v>
      </c>
      <c r="CQ776" s="109" cm="1">
        <f t="array" ref="CQ776">AF776*WTP-AC776</f>
        <v>40068.049243244917</v>
      </c>
      <c r="CR776" s="109">
        <f t="shared" si="293"/>
        <v>42562.757849805741</v>
      </c>
      <c r="CT776" s="58">
        <f t="array" ref="CT776">SUM(IF(CQ776:CR776&gt;=CQ776, 1))</f>
        <v>2</v>
      </c>
      <c r="CU776" s="58">
        <f t="array" ref="CU776">SUM(IF(CQ776:CR776&gt;=CR776, 1))</f>
        <v>1</v>
      </c>
      <c r="CW776" s="109">
        <f t="shared" si="294"/>
        <v>-31840861.359924212</v>
      </c>
      <c r="CX776" s="109">
        <f t="shared" si="295"/>
        <v>0</v>
      </c>
      <c r="CZ776" s="58">
        <f t="array" ref="CZ776">SUM(IF(CW776:CX776&gt;=CW776, 1))</f>
        <v>2</v>
      </c>
      <c r="DA776" s="58">
        <f t="array" ref="DA776">SUM(IF(CW776:CX776&gt;=CX776, 1))</f>
        <v>1</v>
      </c>
      <c r="DC776" s="109">
        <f t="shared" si="296"/>
        <v>-1627188.4080951796</v>
      </c>
      <c r="DD776" s="109">
        <f t="shared" si="297"/>
        <v>0</v>
      </c>
      <c r="DF776" s="58">
        <f t="array" ref="DF776">SUM(IF(DC776:DD776&gt;=DC776, 1))</f>
        <v>2</v>
      </c>
      <c r="DG776" s="58">
        <f t="array" ref="DG776">SUM(IF(DC776:DD776&gt;=DD776, 1))</f>
        <v>1</v>
      </c>
      <c r="DI776" s="109">
        <f t="shared" si="298"/>
        <v>-23503653.077374239</v>
      </c>
      <c r="DJ776" s="109">
        <f t="shared" si="299"/>
        <v>0</v>
      </c>
      <c r="DL776" s="58">
        <f t="array" ref="DL776">SUM(IF(DI776:DJ776&gt;=DI776, 1))</f>
        <v>2</v>
      </c>
      <c r="DM776" s="58">
        <f t="array" ref="DM776">SUM(IF(DI776:DJ776&gt;=DJ776, 1))</f>
        <v>1</v>
      </c>
      <c r="DO776" s="109">
        <f t="shared" si="300"/>
        <v>-10932356.898451552</v>
      </c>
      <c r="DP776" s="109">
        <f t="shared" si="301"/>
        <v>0</v>
      </c>
      <c r="DR776" s="58">
        <f t="array" ref="DR776">SUM(IF(DO776:DP776&gt;=DO776, 1))</f>
        <v>2</v>
      </c>
      <c r="DS776" s="58">
        <f t="array" ref="DS776">SUM(IF(DO776:DP776&gt;=DP776, 1))</f>
        <v>1</v>
      </c>
      <c r="DU776" s="109">
        <f t="shared" si="302"/>
        <v>-39289982.097613767</v>
      </c>
      <c r="DV776" s="109">
        <f t="shared" si="303"/>
        <v>0</v>
      </c>
      <c r="DX776" s="58">
        <f t="array" ref="DX776">SUM(IF(DU776:DV776&gt;=DU776, 1))</f>
        <v>2</v>
      </c>
      <c r="DY776" s="58">
        <f t="array" ref="DY776">SUM(IF(DU776:DV776&gt;=DV776, 1))</f>
        <v>1</v>
      </c>
      <c r="EA776" s="109">
        <f t="shared" si="304"/>
        <v>-107194041.84145896</v>
      </c>
      <c r="EB776" s="109">
        <f t="shared" si="305"/>
        <v>0</v>
      </c>
      <c r="ED776" s="58">
        <f t="array" ref="ED776">SUM(IF(EA776:EB776&gt;=EA776, 1))</f>
        <v>2</v>
      </c>
      <c r="EE776" s="58">
        <f t="array" ref="EE776">SUM(IF(EA776:EB776&gt;=EB776, 1))</f>
        <v>1</v>
      </c>
    </row>
    <row r="777" spans="4:135" ht="12" customHeight="1" x14ac:dyDescent="0.25">
      <c r="D777" s="11">
        <v>761</v>
      </c>
      <c r="E777" s="72">
        <v>263.18956281044723</v>
      </c>
      <c r="F777" s="72">
        <v>251.1194450374206</v>
      </c>
      <c r="G777" s="73"/>
      <c r="H777" s="74">
        <v>5.8204070058107895</v>
      </c>
      <c r="I777" s="74">
        <v>5.8343592008301286</v>
      </c>
      <c r="J777" s="73"/>
      <c r="K777" s="72">
        <v>283.20102731149626</v>
      </c>
      <c r="L777" s="72">
        <v>270.83698015570019</v>
      </c>
      <c r="M777" s="73"/>
      <c r="N777" s="74">
        <v>6.6982431546410739</v>
      </c>
      <c r="O777" s="74">
        <v>6.7105305354033256</v>
      </c>
      <c r="P777" s="73"/>
      <c r="Q777" s="72">
        <v>1874.1405897075763</v>
      </c>
      <c r="R777" s="72">
        <v>1482.6007566273952</v>
      </c>
      <c r="S777" s="73"/>
      <c r="T777" s="74">
        <v>4.7450493632609874</v>
      </c>
      <c r="U777" s="74">
        <v>4.8031767638755039</v>
      </c>
      <c r="V777" s="73"/>
      <c r="W777" s="72">
        <v>12278.015197006524</v>
      </c>
      <c r="X777" s="72">
        <v>12244.84138648103</v>
      </c>
      <c r="Y777" s="73"/>
      <c r="Z777" s="74">
        <v>3.008225484175266</v>
      </c>
      <c r="AA777" s="74">
        <v>3.0477505364470625</v>
      </c>
      <c r="AB777" s="73"/>
      <c r="AC777" s="72">
        <v>50097.026264098036</v>
      </c>
      <c r="AD777" s="72">
        <v>49674.592366448771</v>
      </c>
      <c r="AE777" s="73"/>
      <c r="AF777" s="74">
        <v>4.3633631298834574</v>
      </c>
      <c r="AG777" s="74">
        <v>4.5291097305798873</v>
      </c>
      <c r="AH777" s="73"/>
      <c r="AI777" s="72">
        <v>1290467.4255880518</v>
      </c>
      <c r="AJ777" s="72">
        <v>0</v>
      </c>
      <c r="AK777" s="73"/>
      <c r="AL777" s="74">
        <v>-1491.6882773211062</v>
      </c>
      <c r="AM777" s="74">
        <v>0</v>
      </c>
      <c r="AN777" s="73"/>
      <c r="AO777" s="72">
        <v>84444.339579809879</v>
      </c>
      <c r="AP777" s="72">
        <v>0</v>
      </c>
      <c r="AQ777" s="73"/>
      <c r="AR777" s="74">
        <v>-83.920721148947749</v>
      </c>
      <c r="AS777" s="74">
        <v>0</v>
      </c>
      <c r="AT777" s="73"/>
      <c r="AU777" s="72">
        <v>9137635.4959468767</v>
      </c>
      <c r="AV777" s="72">
        <v>0</v>
      </c>
      <c r="AW777" s="73"/>
      <c r="AX777" s="74">
        <v>-1356.5592929942322</v>
      </c>
      <c r="AY777" s="74">
        <v>0</v>
      </c>
      <c r="AZ777" s="73"/>
      <c r="BA777" s="72">
        <v>295864.11453619483</v>
      </c>
      <c r="BB777" s="72">
        <v>0</v>
      </c>
      <c r="BC777" s="73"/>
      <c r="BD777" s="74">
        <v>-352.50833133580466</v>
      </c>
      <c r="BE777" s="74">
        <v>0</v>
      </c>
      <c r="BF777" s="73"/>
      <c r="BG777" s="72">
        <v>6604716.8531370563</v>
      </c>
      <c r="BH777" s="72">
        <v>0</v>
      </c>
      <c r="BI777" s="73"/>
      <c r="BJ777" s="74">
        <v>-2591.4335309303092</v>
      </c>
      <c r="BK777" s="74">
        <v>0</v>
      </c>
      <c r="BL777" s="73"/>
      <c r="BM777" s="72">
        <v>17413128.228787988</v>
      </c>
      <c r="BN777" s="72">
        <v>0</v>
      </c>
      <c r="BO777" s="73"/>
      <c r="BP777" s="74">
        <v>-5876.1101537304003</v>
      </c>
      <c r="BQ777" s="74">
        <v>0</v>
      </c>
      <c r="BS777" s="109">
        <f t="shared" si="285"/>
        <v>116144.95055340533</v>
      </c>
      <c r="BT777" s="109">
        <f t="shared" si="286"/>
        <v>116436.06457156515</v>
      </c>
      <c r="BV777" s="58">
        <f t="array" ref="BV777">SUM(IF(BS777:BT777&gt;=BS777, 1))</f>
        <v>2</v>
      </c>
      <c r="BW777" s="58">
        <f t="array" ref="BW777">SUM(IF(BS777:BT777&gt;=BT777, 1))</f>
        <v>1</v>
      </c>
      <c r="BY777" s="109">
        <f t="shared" si="287"/>
        <v>133681.66206550997</v>
      </c>
      <c r="BZ777" s="109">
        <f t="shared" si="288"/>
        <v>133939.77372791083</v>
      </c>
      <c r="CB777" s="58">
        <f t="array" ref="CB777">SUM(IF(BY777:BZ777&gt;=BY777, 1))</f>
        <v>2</v>
      </c>
      <c r="CC777" s="58">
        <f t="array" ref="CC777">SUM(IF(BY777:BZ777&gt;=BZ777, 1))</f>
        <v>1</v>
      </c>
      <c r="CE777" s="109">
        <f t="shared" si="289"/>
        <v>93026.846675512177</v>
      </c>
      <c r="CF777" s="109">
        <f t="shared" si="290"/>
        <v>94580.934520882685</v>
      </c>
      <c r="CH777" s="58">
        <f t="array" ref="CH777">SUM(IF(CE777:CF777&gt;=CE777, 1))</f>
        <v>2</v>
      </c>
      <c r="CI777" s="58">
        <f t="array" ref="CI777">SUM(IF(CE777:CF777&gt;=CF777, 1))</f>
        <v>1</v>
      </c>
      <c r="CK777" s="109">
        <f t="shared" si="291"/>
        <v>47886.494486498792</v>
      </c>
      <c r="CL777" s="109">
        <f t="shared" si="292"/>
        <v>48710.16934246022</v>
      </c>
      <c r="CN777" s="58">
        <f t="array" ref="CN777">SUM(IF(CK777:CL777&gt;=CK777, 1))</f>
        <v>2</v>
      </c>
      <c r="CO777" s="58">
        <f t="array" ref="CO777">SUM(IF(CK777:CL777&gt;=CL777, 1))</f>
        <v>1</v>
      </c>
      <c r="CQ777" s="109" cm="1">
        <f t="array" ref="CQ777">AF777*WTP-AC777</f>
        <v>37170.236333571112</v>
      </c>
      <c r="CR777" s="109">
        <f t="shared" si="293"/>
        <v>40907.602245148977</v>
      </c>
      <c r="CT777" s="58">
        <f t="array" ref="CT777">SUM(IF(CQ777:CR777&gt;=CQ777, 1))</f>
        <v>2</v>
      </c>
      <c r="CU777" s="58">
        <f t="array" ref="CU777">SUM(IF(CQ777:CR777&gt;=CR777, 1))</f>
        <v>1</v>
      </c>
      <c r="CW777" s="109">
        <f t="shared" si="294"/>
        <v>-31124232.972010177</v>
      </c>
      <c r="CX777" s="109">
        <f t="shared" si="295"/>
        <v>0</v>
      </c>
      <c r="CZ777" s="58">
        <f t="array" ref="CZ777">SUM(IF(CW777:CX777&gt;=CW777, 1))</f>
        <v>2</v>
      </c>
      <c r="DA777" s="58">
        <f t="array" ref="DA777">SUM(IF(CW777:CX777&gt;=CX777, 1))</f>
        <v>1</v>
      </c>
      <c r="DC777" s="109">
        <f t="shared" si="296"/>
        <v>-1762858.762558765</v>
      </c>
      <c r="DD777" s="109">
        <f t="shared" si="297"/>
        <v>0</v>
      </c>
      <c r="DF777" s="58">
        <f t="array" ref="DF777">SUM(IF(DC777:DD777&gt;=DC777, 1))</f>
        <v>2</v>
      </c>
      <c r="DG777" s="58">
        <f t="array" ref="DG777">SUM(IF(DC777:DD777&gt;=DD777, 1))</f>
        <v>1</v>
      </c>
      <c r="DI777" s="109">
        <f t="shared" si="298"/>
        <v>-36268821.355831519</v>
      </c>
      <c r="DJ777" s="109">
        <f t="shared" si="299"/>
        <v>0</v>
      </c>
      <c r="DL777" s="58">
        <f t="array" ref="DL777">SUM(IF(DI777:DJ777&gt;=DI777, 1))</f>
        <v>2</v>
      </c>
      <c r="DM777" s="58">
        <f t="array" ref="DM777">SUM(IF(DI777:DJ777&gt;=DJ777, 1))</f>
        <v>1</v>
      </c>
      <c r="DO777" s="109">
        <f t="shared" si="300"/>
        <v>-7346030.7412522882</v>
      </c>
      <c r="DP777" s="109">
        <f t="shared" si="301"/>
        <v>0</v>
      </c>
      <c r="DR777" s="58">
        <f t="array" ref="DR777">SUM(IF(DO777:DP777&gt;=DO777, 1))</f>
        <v>2</v>
      </c>
      <c r="DS777" s="58">
        <f t="array" ref="DS777">SUM(IF(DO777:DP777&gt;=DP777, 1))</f>
        <v>1</v>
      </c>
      <c r="DU777" s="109">
        <f t="shared" si="302"/>
        <v>-58433387.471743241</v>
      </c>
      <c r="DV777" s="109">
        <f t="shared" si="303"/>
        <v>0</v>
      </c>
      <c r="DX777" s="58">
        <f t="array" ref="DX777">SUM(IF(DU777:DV777&gt;=DU777, 1))</f>
        <v>2</v>
      </c>
      <c r="DY777" s="58">
        <f t="array" ref="DY777">SUM(IF(DU777:DV777&gt;=DV777, 1))</f>
        <v>1</v>
      </c>
      <c r="EA777" s="109">
        <f t="shared" si="304"/>
        <v>-134935331.30339599</v>
      </c>
      <c r="EB777" s="109">
        <f t="shared" si="305"/>
        <v>0</v>
      </c>
      <c r="ED777" s="58">
        <f t="array" ref="ED777">SUM(IF(EA777:EB777&gt;=EA777, 1))</f>
        <v>2</v>
      </c>
      <c r="EE777" s="58">
        <f t="array" ref="EE777">SUM(IF(EA777:EB777&gt;=EB777, 1))</f>
        <v>1</v>
      </c>
    </row>
    <row r="778" spans="4:135" ht="12" customHeight="1" x14ac:dyDescent="0.25">
      <c r="D778" s="11">
        <v>762</v>
      </c>
      <c r="E778" s="72">
        <v>260.22348019087588</v>
      </c>
      <c r="F778" s="72">
        <v>252.66862523054721</v>
      </c>
      <c r="G778" s="73"/>
      <c r="H778" s="74">
        <v>5.8662804465987595</v>
      </c>
      <c r="I778" s="74">
        <v>5.8805454570706051</v>
      </c>
      <c r="J778" s="73"/>
      <c r="K778" s="72">
        <v>280.21346664507229</v>
      </c>
      <c r="L778" s="72">
        <v>272.44237318878174</v>
      </c>
      <c r="M778" s="73"/>
      <c r="N778" s="74">
        <v>6.6045668432356504</v>
      </c>
      <c r="O778" s="74">
        <v>6.6167274736170043</v>
      </c>
      <c r="P778" s="73"/>
      <c r="Q778" s="72">
        <v>2793.774742547138</v>
      </c>
      <c r="R778" s="72">
        <v>1478.1408034525352</v>
      </c>
      <c r="S778" s="73"/>
      <c r="T778" s="74">
        <v>4.9493765206582347</v>
      </c>
      <c r="U778" s="74">
        <v>5.0429397574716752</v>
      </c>
      <c r="V778" s="73"/>
      <c r="W778" s="72">
        <v>10075.768577981222</v>
      </c>
      <c r="X778" s="72">
        <v>10089.934443681403</v>
      </c>
      <c r="Y778" s="73"/>
      <c r="Z778" s="74">
        <v>3.1031835638295422</v>
      </c>
      <c r="AA778" s="74">
        <v>3.1567155434429464</v>
      </c>
      <c r="AB778" s="73"/>
      <c r="AC778" s="72">
        <v>49792.484854967581</v>
      </c>
      <c r="AD778" s="72">
        <v>49653.964900368766</v>
      </c>
      <c r="AE778" s="73"/>
      <c r="AF778" s="74">
        <v>4.5130105162474958</v>
      </c>
      <c r="AG778" s="74">
        <v>4.5933824099604124</v>
      </c>
      <c r="AH778" s="73"/>
      <c r="AI778" s="72">
        <v>805435.28878425469</v>
      </c>
      <c r="AJ778" s="72">
        <v>0</v>
      </c>
      <c r="AK778" s="73"/>
      <c r="AL778" s="74">
        <v>-1520.8158050993902</v>
      </c>
      <c r="AM778" s="74">
        <v>0</v>
      </c>
      <c r="AN778" s="73"/>
      <c r="AO778" s="72">
        <v>55696.812232903561</v>
      </c>
      <c r="AP778" s="72">
        <v>0</v>
      </c>
      <c r="AQ778" s="73"/>
      <c r="AR778" s="74">
        <v>-87.157405942113087</v>
      </c>
      <c r="AS778" s="74">
        <v>0</v>
      </c>
      <c r="AT778" s="73"/>
      <c r="AU778" s="72">
        <v>30476523.309537344</v>
      </c>
      <c r="AV778" s="72">
        <v>0</v>
      </c>
      <c r="AW778" s="73"/>
      <c r="AX778" s="74">
        <v>-2167.3826456794841</v>
      </c>
      <c r="AY778" s="74">
        <v>0</v>
      </c>
      <c r="AZ778" s="73"/>
      <c r="BA778" s="72">
        <v>-128338.07415359048</v>
      </c>
      <c r="BB778" s="72">
        <v>0</v>
      </c>
      <c r="BC778" s="73"/>
      <c r="BD778" s="74">
        <v>-484.98209107868871</v>
      </c>
      <c r="BE778" s="74">
        <v>0</v>
      </c>
      <c r="BF778" s="73"/>
      <c r="BG778" s="72">
        <v>2209146.6351300371</v>
      </c>
      <c r="BH778" s="72">
        <v>0</v>
      </c>
      <c r="BI778" s="73"/>
      <c r="BJ778" s="74">
        <v>-1281.7885991166665</v>
      </c>
      <c r="BK778" s="74">
        <v>0</v>
      </c>
      <c r="BL778" s="73"/>
      <c r="BM778" s="72">
        <v>33418463.971530948</v>
      </c>
      <c r="BN778" s="72">
        <v>0</v>
      </c>
      <c r="BO778" s="73"/>
      <c r="BP778" s="74">
        <v>-5542.1265469163427</v>
      </c>
      <c r="BQ778" s="74">
        <v>0</v>
      </c>
      <c r="BS778" s="109">
        <f t="shared" si="285"/>
        <v>117065.38545178431</v>
      </c>
      <c r="BT778" s="109">
        <f t="shared" si="286"/>
        <v>117358.24051618155</v>
      </c>
      <c r="BV778" s="58">
        <f t="array" ref="BV778">SUM(IF(BS778:BT778&gt;=BS778, 1))</f>
        <v>2</v>
      </c>
      <c r="BW778" s="58">
        <f t="array" ref="BW778">SUM(IF(BS778:BT778&gt;=BT778, 1))</f>
        <v>1</v>
      </c>
      <c r="BY778" s="109">
        <f t="shared" si="287"/>
        <v>131811.12339806792</v>
      </c>
      <c r="BZ778" s="109">
        <f t="shared" si="288"/>
        <v>132062.1070991513</v>
      </c>
      <c r="CB778" s="58">
        <f t="array" ref="CB778">SUM(IF(BY778:BZ778&gt;=BY778, 1))</f>
        <v>2</v>
      </c>
      <c r="CC778" s="58">
        <f t="array" ref="CC778">SUM(IF(BY778:BZ778&gt;=BZ778, 1))</f>
        <v>1</v>
      </c>
      <c r="CE778" s="109">
        <f t="shared" si="289"/>
        <v>96193.755670617567</v>
      </c>
      <c r="CF778" s="109">
        <f t="shared" si="290"/>
        <v>99380.654345980962</v>
      </c>
      <c r="CH778" s="58">
        <f t="array" ref="CH778">SUM(IF(CE778:CF778&gt;=CE778, 1))</f>
        <v>2</v>
      </c>
      <c r="CI778" s="58">
        <f t="array" ref="CI778">SUM(IF(CE778:CF778&gt;=CF778, 1))</f>
        <v>1</v>
      </c>
      <c r="CK778" s="109">
        <f t="shared" si="291"/>
        <v>51987.902698609621</v>
      </c>
      <c r="CL778" s="109">
        <f t="shared" si="292"/>
        <v>53044.376425177528</v>
      </c>
      <c r="CN778" s="58">
        <f t="array" ref="CN778">SUM(IF(CK778:CL778&gt;=CK778, 1))</f>
        <v>2</v>
      </c>
      <c r="CO778" s="58">
        <f t="array" ref="CO778">SUM(IF(CK778:CL778&gt;=CL778, 1))</f>
        <v>1</v>
      </c>
      <c r="CQ778" s="109" cm="1">
        <f t="array" ref="CQ778">AF778*WTP-AC778</f>
        <v>40467.725469982339</v>
      </c>
      <c r="CR778" s="109">
        <f t="shared" si="293"/>
        <v>42213.683298839474</v>
      </c>
      <c r="CT778" s="58">
        <f t="array" ref="CT778">SUM(IF(CQ778:CR778&gt;=CQ778, 1))</f>
        <v>2</v>
      </c>
      <c r="CU778" s="58">
        <f t="array" ref="CU778">SUM(IF(CQ778:CR778&gt;=CR778, 1))</f>
        <v>1</v>
      </c>
      <c r="CW778" s="109">
        <f t="shared" si="294"/>
        <v>-31221751.39077206</v>
      </c>
      <c r="CX778" s="109">
        <f t="shared" si="295"/>
        <v>0</v>
      </c>
      <c r="CZ778" s="58">
        <f t="array" ref="CZ778">SUM(IF(CW778:CX778&gt;=CW778, 1))</f>
        <v>2</v>
      </c>
      <c r="DA778" s="58">
        <f t="array" ref="DA778">SUM(IF(CW778:CX778&gt;=CX778, 1))</f>
        <v>1</v>
      </c>
      <c r="DC778" s="109">
        <f t="shared" si="296"/>
        <v>-1798844.9310751655</v>
      </c>
      <c r="DD778" s="109">
        <f t="shared" si="297"/>
        <v>0</v>
      </c>
      <c r="DF778" s="58">
        <f t="array" ref="DF778">SUM(IF(DC778:DD778&gt;=DC778, 1))</f>
        <v>2</v>
      </c>
      <c r="DG778" s="58">
        <f t="array" ref="DG778">SUM(IF(DC778:DD778&gt;=DD778, 1))</f>
        <v>1</v>
      </c>
      <c r="DI778" s="109">
        <f t="shared" si="298"/>
        <v>-73824176.223127022</v>
      </c>
      <c r="DJ778" s="109">
        <f t="shared" si="299"/>
        <v>0</v>
      </c>
      <c r="DL778" s="58">
        <f t="array" ref="DL778">SUM(IF(DI778:DJ778&gt;=DI778, 1))</f>
        <v>2</v>
      </c>
      <c r="DM778" s="58">
        <f t="array" ref="DM778">SUM(IF(DI778:DJ778&gt;=DJ778, 1))</f>
        <v>1</v>
      </c>
      <c r="DO778" s="109">
        <f t="shared" si="300"/>
        <v>-9571303.7474201825</v>
      </c>
      <c r="DP778" s="109">
        <f t="shared" si="301"/>
        <v>0</v>
      </c>
      <c r="DR778" s="58">
        <f t="array" ref="DR778">SUM(IF(DO778:DP778&gt;=DO778, 1))</f>
        <v>2</v>
      </c>
      <c r="DS778" s="58">
        <f t="array" ref="DS778">SUM(IF(DO778:DP778&gt;=DP778, 1))</f>
        <v>1</v>
      </c>
      <c r="DU778" s="109">
        <f t="shared" si="302"/>
        <v>-27844918.617463369</v>
      </c>
      <c r="DV778" s="109">
        <f t="shared" si="303"/>
        <v>0</v>
      </c>
      <c r="DX778" s="58">
        <f t="array" ref="DX778">SUM(IF(DU778:DV778&gt;=DU778, 1))</f>
        <v>2</v>
      </c>
      <c r="DY778" s="58">
        <f t="array" ref="DY778">SUM(IF(DU778:DV778&gt;=DV778, 1))</f>
        <v>1</v>
      </c>
      <c r="EA778" s="109">
        <f t="shared" si="304"/>
        <v>-144260994.90985781</v>
      </c>
      <c r="EB778" s="109">
        <f t="shared" si="305"/>
        <v>0</v>
      </c>
      <c r="ED778" s="58">
        <f t="array" ref="ED778">SUM(IF(EA778:EB778&gt;=EA778, 1))</f>
        <v>2</v>
      </c>
      <c r="EE778" s="58">
        <f t="array" ref="EE778">SUM(IF(EA778:EB778&gt;=EB778, 1))</f>
        <v>1</v>
      </c>
    </row>
    <row r="779" spans="4:135" ht="12" customHeight="1" x14ac:dyDescent="0.25">
      <c r="D779" s="11">
        <v>763</v>
      </c>
      <c r="E779" s="72">
        <v>289.49636144584093</v>
      </c>
      <c r="F779" s="72">
        <v>258.63319424908889</v>
      </c>
      <c r="G779" s="73"/>
      <c r="H779" s="74">
        <v>5.8112337522174711</v>
      </c>
      <c r="I779" s="74">
        <v>5.8309623743155701</v>
      </c>
      <c r="J779" s="73"/>
      <c r="K779" s="72">
        <v>310.57271275763668</v>
      </c>
      <c r="L779" s="72">
        <v>278.97223195438949</v>
      </c>
      <c r="M779" s="73"/>
      <c r="N779" s="74">
        <v>6.6883102945674047</v>
      </c>
      <c r="O779" s="74">
        <v>6.7058000151608104</v>
      </c>
      <c r="P779" s="73"/>
      <c r="Q779" s="72">
        <v>1900.9054081274594</v>
      </c>
      <c r="R779" s="72">
        <v>1329.1864838673907</v>
      </c>
      <c r="S779" s="73"/>
      <c r="T779" s="74">
        <v>4.9117462666786569</v>
      </c>
      <c r="U779" s="74">
        <v>4.9710906139529287</v>
      </c>
      <c r="V779" s="73"/>
      <c r="W779" s="72">
        <v>11834.105420977947</v>
      </c>
      <c r="X779" s="72">
        <v>11784.696878352292</v>
      </c>
      <c r="Y779" s="73"/>
      <c r="Z779" s="74">
        <v>2.8719255430451192</v>
      </c>
      <c r="AA779" s="74">
        <v>2.9055957865036302</v>
      </c>
      <c r="AB779" s="73"/>
      <c r="AC779" s="72">
        <v>52314.166946387937</v>
      </c>
      <c r="AD779" s="72">
        <v>51842.049664390594</v>
      </c>
      <c r="AE779" s="73"/>
      <c r="AF779" s="74">
        <v>4.6482180106733786</v>
      </c>
      <c r="AG779" s="74">
        <v>4.7935099170228277</v>
      </c>
      <c r="AH779" s="73"/>
      <c r="AI779" s="72">
        <v>3319469.6054592966</v>
      </c>
      <c r="AJ779" s="72">
        <v>0</v>
      </c>
      <c r="AK779" s="73"/>
      <c r="AL779" s="74">
        <v>-2121.9002247806925</v>
      </c>
      <c r="AM779" s="74">
        <v>0</v>
      </c>
      <c r="AN779" s="73"/>
      <c r="AO779" s="72">
        <v>225386.8596965046</v>
      </c>
      <c r="AP779" s="72">
        <v>0</v>
      </c>
      <c r="AQ779" s="73"/>
      <c r="AR779" s="74">
        <v>-124.7434564701918</v>
      </c>
      <c r="AS779" s="74">
        <v>0</v>
      </c>
      <c r="AT779" s="73"/>
      <c r="AU779" s="72">
        <v>13160111.968781263</v>
      </c>
      <c r="AV779" s="72">
        <v>0</v>
      </c>
      <c r="AW779" s="73"/>
      <c r="AX779" s="74">
        <v>-1366.017848463589</v>
      </c>
      <c r="AY779" s="74">
        <v>0</v>
      </c>
      <c r="AZ779" s="73"/>
      <c r="BA779" s="72">
        <v>429317.55506905605</v>
      </c>
      <c r="BB779" s="72">
        <v>0</v>
      </c>
      <c r="BC779" s="73"/>
      <c r="BD779" s="74">
        <v>-292.56533044716855</v>
      </c>
      <c r="BE779" s="74">
        <v>0</v>
      </c>
      <c r="BF779" s="73"/>
      <c r="BG779" s="72">
        <v>7357258.9903675951</v>
      </c>
      <c r="BH779" s="72">
        <v>0</v>
      </c>
      <c r="BI779" s="73"/>
      <c r="BJ779" s="74">
        <v>-2264.1623701950098</v>
      </c>
      <c r="BK779" s="74">
        <v>0</v>
      </c>
      <c r="BL779" s="73"/>
      <c r="BM779" s="72">
        <v>24491544.979373716</v>
      </c>
      <c r="BN779" s="72">
        <v>0</v>
      </c>
      <c r="BO779" s="73"/>
      <c r="BP779" s="74">
        <v>-6169.3892303566518</v>
      </c>
      <c r="BQ779" s="74">
        <v>0</v>
      </c>
      <c r="BS779" s="109">
        <f t="shared" si="285"/>
        <v>115935.17868290358</v>
      </c>
      <c r="BT779" s="109">
        <f t="shared" si="286"/>
        <v>116360.61429206231</v>
      </c>
      <c r="BV779" s="58">
        <f t="array" ref="BV779">SUM(IF(BS779:BT779&gt;=BS779, 1))</f>
        <v>2</v>
      </c>
      <c r="BW779" s="58">
        <f t="array" ref="BW779">SUM(IF(BS779:BT779&gt;=BT779, 1))</f>
        <v>1</v>
      </c>
      <c r="BY779" s="109">
        <f t="shared" si="287"/>
        <v>133455.63317859048</v>
      </c>
      <c r="BZ779" s="109">
        <f t="shared" si="288"/>
        <v>133837.02807126183</v>
      </c>
      <c r="CB779" s="58">
        <f t="array" ref="CB779">SUM(IF(BY779:BZ779&gt;=BY779, 1))</f>
        <v>2</v>
      </c>
      <c r="CC779" s="58">
        <f t="array" ref="CC779">SUM(IF(BY779:BZ779&gt;=BZ779, 1))</f>
        <v>1</v>
      </c>
      <c r="CE779" s="109">
        <f t="shared" si="289"/>
        <v>96334.019925445667</v>
      </c>
      <c r="CF779" s="109">
        <f t="shared" si="290"/>
        <v>98092.625795191183</v>
      </c>
      <c r="CH779" s="58">
        <f t="array" ref="CH779">SUM(IF(CE779:CF779&gt;=CE779, 1))</f>
        <v>2</v>
      </c>
      <c r="CI779" s="58">
        <f t="array" ref="CI779">SUM(IF(CE779:CF779&gt;=CF779, 1))</f>
        <v>1</v>
      </c>
      <c r="CK779" s="109">
        <f t="shared" si="291"/>
        <v>45604.405439924434</v>
      </c>
      <c r="CL779" s="109">
        <f t="shared" si="292"/>
        <v>46327.21885172031</v>
      </c>
      <c r="CN779" s="58">
        <f t="array" ref="CN779">SUM(IF(CK779:CL779&gt;=CK779, 1))</f>
        <v>2</v>
      </c>
      <c r="CO779" s="58">
        <f t="array" ref="CO779">SUM(IF(CK779:CL779&gt;=CL779, 1))</f>
        <v>1</v>
      </c>
      <c r="CQ779" s="109" cm="1">
        <f t="array" ref="CQ779">AF779*WTP-AC779</f>
        <v>40650.193267079638</v>
      </c>
      <c r="CR779" s="109">
        <f t="shared" si="293"/>
        <v>44028.148676065961</v>
      </c>
      <c r="CT779" s="58">
        <f t="array" ref="CT779">SUM(IF(CQ779:CR779&gt;=CQ779, 1))</f>
        <v>2</v>
      </c>
      <c r="CU779" s="58">
        <f t="array" ref="CU779">SUM(IF(CQ779:CR779&gt;=CR779, 1))</f>
        <v>1</v>
      </c>
      <c r="CW779" s="109">
        <f t="shared" si="294"/>
        <v>-45757474.101073146</v>
      </c>
      <c r="CX779" s="109">
        <f t="shared" si="295"/>
        <v>0</v>
      </c>
      <c r="CZ779" s="58">
        <f t="array" ref="CZ779">SUM(IF(CW779:CX779&gt;=CW779, 1))</f>
        <v>2</v>
      </c>
      <c r="DA779" s="58">
        <f t="array" ref="DA779">SUM(IF(CW779:CX779&gt;=CX779, 1))</f>
        <v>1</v>
      </c>
      <c r="DC779" s="109">
        <f t="shared" si="296"/>
        <v>-2720255.9891003408</v>
      </c>
      <c r="DD779" s="109">
        <f t="shared" si="297"/>
        <v>0</v>
      </c>
      <c r="DF779" s="58">
        <f t="array" ref="DF779">SUM(IF(DC779:DD779&gt;=DC779, 1))</f>
        <v>2</v>
      </c>
      <c r="DG779" s="58">
        <f t="array" ref="DG779">SUM(IF(DC779:DD779&gt;=DD779, 1))</f>
        <v>1</v>
      </c>
      <c r="DI779" s="109">
        <f t="shared" si="298"/>
        <v>-40480468.938053042</v>
      </c>
      <c r="DJ779" s="109">
        <f t="shared" si="299"/>
        <v>0</v>
      </c>
      <c r="DL779" s="58">
        <f t="array" ref="DL779">SUM(IF(DI779:DJ779&gt;=DI779, 1))</f>
        <v>2</v>
      </c>
      <c r="DM779" s="58">
        <f t="array" ref="DM779">SUM(IF(DI779:DJ779&gt;=DJ779, 1))</f>
        <v>1</v>
      </c>
      <c r="DO779" s="109">
        <f t="shared" si="300"/>
        <v>-6280624.1640124274</v>
      </c>
      <c r="DP779" s="109">
        <f t="shared" si="301"/>
        <v>0</v>
      </c>
      <c r="DR779" s="58">
        <f t="array" ref="DR779">SUM(IF(DO779:DP779&gt;=DO779, 1))</f>
        <v>2</v>
      </c>
      <c r="DS779" s="58">
        <f t="array" ref="DS779">SUM(IF(DO779:DP779&gt;=DP779, 1))</f>
        <v>1</v>
      </c>
      <c r="DU779" s="109">
        <f t="shared" si="302"/>
        <v>-52640506.394267797</v>
      </c>
      <c r="DV779" s="109">
        <f t="shared" si="303"/>
        <v>0</v>
      </c>
      <c r="DX779" s="58">
        <f t="array" ref="DX779">SUM(IF(DU779:DV779&gt;=DU779, 1))</f>
        <v>2</v>
      </c>
      <c r="DY779" s="58">
        <f t="array" ref="DY779">SUM(IF(DU779:DV779&gt;=DV779, 1))</f>
        <v>1</v>
      </c>
      <c r="EA779" s="109">
        <f t="shared" si="304"/>
        <v>-147879329.58650675</v>
      </c>
      <c r="EB779" s="109">
        <f t="shared" si="305"/>
        <v>0</v>
      </c>
      <c r="ED779" s="58">
        <f t="array" ref="ED779">SUM(IF(EA779:EB779&gt;=EA779, 1))</f>
        <v>2</v>
      </c>
      <c r="EE779" s="58">
        <f t="array" ref="EE779">SUM(IF(EA779:EB779&gt;=EB779, 1))</f>
        <v>1</v>
      </c>
    </row>
    <row r="780" spans="4:135" ht="12" customHeight="1" x14ac:dyDescent="0.25">
      <c r="D780" s="11">
        <v>764</v>
      </c>
      <c r="E780" s="72">
        <v>271.30677338657159</v>
      </c>
      <c r="F780" s="72">
        <v>274.59230003294635</v>
      </c>
      <c r="G780" s="73"/>
      <c r="H780" s="74">
        <v>5.8515082423807625</v>
      </c>
      <c r="I780" s="74">
        <v>5.8659737251824264</v>
      </c>
      <c r="J780" s="73"/>
      <c r="K780" s="72">
        <v>292.94406092049132</v>
      </c>
      <c r="L780" s="72">
        <v>296.24342149678927</v>
      </c>
      <c r="M780" s="73"/>
      <c r="N780" s="74">
        <v>6.7329669668121088</v>
      </c>
      <c r="O780" s="74">
        <v>6.7450186130450129</v>
      </c>
      <c r="P780" s="73"/>
      <c r="Q780" s="72">
        <v>2602.7397613518579</v>
      </c>
      <c r="R780" s="72">
        <v>1334.1146193563227</v>
      </c>
      <c r="S780" s="73"/>
      <c r="T780" s="74">
        <v>4.6541301056585178</v>
      </c>
      <c r="U780" s="74">
        <v>4.738840113490939</v>
      </c>
      <c r="V780" s="73"/>
      <c r="W780" s="72">
        <v>17043.37561800575</v>
      </c>
      <c r="X780" s="72">
        <v>16960.407022909378</v>
      </c>
      <c r="Y780" s="73"/>
      <c r="Z780" s="74">
        <v>3.0011617578330845</v>
      </c>
      <c r="AA780" s="74">
        <v>3.0266429578256244</v>
      </c>
      <c r="AB780" s="73"/>
      <c r="AC780" s="72">
        <v>49239.993056292791</v>
      </c>
      <c r="AD780" s="72">
        <v>49102.852608575886</v>
      </c>
      <c r="AE780" s="73"/>
      <c r="AF780" s="74">
        <v>4.4280062045543929</v>
      </c>
      <c r="AG780" s="74">
        <v>4.4970681314051761</v>
      </c>
      <c r="AH780" s="73"/>
      <c r="AI780" s="72">
        <v>-351486.89482718607</v>
      </c>
      <c r="AJ780" s="72">
        <v>0</v>
      </c>
      <c r="AK780" s="73"/>
      <c r="AL780" s="74">
        <v>-1547.5228720920759</v>
      </c>
      <c r="AM780" s="74">
        <v>0</v>
      </c>
      <c r="AN780" s="73"/>
      <c r="AO780" s="72">
        <v>-22100.653508623989</v>
      </c>
      <c r="AP780" s="72">
        <v>0</v>
      </c>
      <c r="AQ780" s="73"/>
      <c r="AR780" s="74">
        <v>-80.727538394965393</v>
      </c>
      <c r="AS780" s="74">
        <v>0</v>
      </c>
      <c r="AT780" s="73"/>
      <c r="AU780" s="72">
        <v>29457822.624249581</v>
      </c>
      <c r="AV780" s="72">
        <v>0</v>
      </c>
      <c r="AW780" s="73"/>
      <c r="AX780" s="74">
        <v>-1966.9895405833281</v>
      </c>
      <c r="AY780" s="74">
        <v>0</v>
      </c>
      <c r="AZ780" s="73"/>
      <c r="BA780" s="72">
        <v>726664.67141384387</v>
      </c>
      <c r="BB780" s="72">
        <v>0</v>
      </c>
      <c r="BC780" s="73"/>
      <c r="BD780" s="74">
        <v>-223.17224726177287</v>
      </c>
      <c r="BE780" s="74">
        <v>0</v>
      </c>
      <c r="BF780" s="73"/>
      <c r="BG780" s="72">
        <v>2085925.3560966828</v>
      </c>
      <c r="BH780" s="72">
        <v>0</v>
      </c>
      <c r="BI780" s="73"/>
      <c r="BJ780" s="74">
        <v>-1050.4415492088633</v>
      </c>
      <c r="BK780" s="74">
        <v>0</v>
      </c>
      <c r="BL780" s="73"/>
      <c r="BM780" s="72">
        <v>31896825.103424296</v>
      </c>
      <c r="BN780" s="72">
        <v>0</v>
      </c>
      <c r="BO780" s="73"/>
      <c r="BP780" s="74">
        <v>-4868.8537475410058</v>
      </c>
      <c r="BQ780" s="74">
        <v>0</v>
      </c>
      <c r="BS780" s="109">
        <f t="shared" si="285"/>
        <v>116758.85807422867</v>
      </c>
      <c r="BT780" s="109">
        <f t="shared" si="286"/>
        <v>117044.88220361558</v>
      </c>
      <c r="BV780" s="58">
        <f t="array" ref="BV780">SUM(IF(BS780:BT780&gt;=BS780, 1))</f>
        <v>2</v>
      </c>
      <c r="BW780" s="58">
        <f t="array" ref="BW780">SUM(IF(BS780:BT780&gt;=BT780, 1))</f>
        <v>1</v>
      </c>
      <c r="BY780" s="109">
        <f t="shared" si="287"/>
        <v>134366.39527532167</v>
      </c>
      <c r="BZ780" s="109">
        <f t="shared" si="288"/>
        <v>134604.12883940348</v>
      </c>
      <c r="CB780" s="58">
        <f t="array" ref="CB780">SUM(IF(BY780:BZ780&gt;=BY780, 1))</f>
        <v>2</v>
      </c>
      <c r="CC780" s="58">
        <f t="array" ref="CC780">SUM(IF(BY780:BZ780&gt;=BZ780, 1))</f>
        <v>1</v>
      </c>
      <c r="CE780" s="109">
        <f t="shared" si="289"/>
        <v>90479.862351818505</v>
      </c>
      <c r="CF780" s="109">
        <f t="shared" si="290"/>
        <v>93442.687650462467</v>
      </c>
      <c r="CH780" s="58">
        <f t="array" ref="CH780">SUM(IF(CE780:CF780&gt;=CE780, 1))</f>
        <v>2</v>
      </c>
      <c r="CI780" s="58">
        <f t="array" ref="CI780">SUM(IF(CE780:CF780&gt;=CF780, 1))</f>
        <v>1</v>
      </c>
      <c r="CK780" s="109">
        <f t="shared" si="291"/>
        <v>42979.859538655946</v>
      </c>
      <c r="CL780" s="109">
        <f t="shared" si="292"/>
        <v>43572.45213360311</v>
      </c>
      <c r="CN780" s="58">
        <f t="array" ref="CN780">SUM(IF(CK780:CL780&gt;=CK780, 1))</f>
        <v>2</v>
      </c>
      <c r="CO780" s="58">
        <f t="array" ref="CO780">SUM(IF(CK780:CL780&gt;=CL780, 1))</f>
        <v>1</v>
      </c>
      <c r="CQ780" s="109" cm="1">
        <f t="array" ref="CQ780">AF780*WTP-AC780</f>
        <v>39320.131034795064</v>
      </c>
      <c r="CR780" s="109">
        <f t="shared" si="293"/>
        <v>40838.510019527639</v>
      </c>
      <c r="CT780" s="58">
        <f t="array" ref="CT780">SUM(IF(CQ780:CR780&gt;=CQ780, 1))</f>
        <v>2</v>
      </c>
      <c r="CU780" s="58">
        <f t="array" ref="CU780">SUM(IF(CQ780:CR780&gt;=CR780, 1))</f>
        <v>1</v>
      </c>
      <c r="CW780" s="109">
        <f t="shared" si="294"/>
        <v>-30598970.54701433</v>
      </c>
      <c r="CX780" s="109">
        <f t="shared" si="295"/>
        <v>0</v>
      </c>
      <c r="CZ780" s="58">
        <f t="array" ref="CZ780">SUM(IF(CW780:CX780&gt;=CW780, 1))</f>
        <v>2</v>
      </c>
      <c r="DA780" s="58">
        <f t="array" ref="DA780">SUM(IF(CW780:CX780&gt;=CX780, 1))</f>
        <v>1</v>
      </c>
      <c r="DC780" s="109">
        <f t="shared" si="296"/>
        <v>-1592450.1143906838</v>
      </c>
      <c r="DD780" s="109">
        <f t="shared" si="297"/>
        <v>0</v>
      </c>
      <c r="DF780" s="58">
        <f t="array" ref="DF780">SUM(IF(DC780:DD780&gt;=DC780, 1))</f>
        <v>2</v>
      </c>
      <c r="DG780" s="58">
        <f t="array" ref="DG780">SUM(IF(DC780:DD780&gt;=DD780, 1))</f>
        <v>1</v>
      </c>
      <c r="DI780" s="109">
        <f t="shared" si="298"/>
        <v>-68797613.435916141</v>
      </c>
      <c r="DJ780" s="109">
        <f t="shared" si="299"/>
        <v>0</v>
      </c>
      <c r="DL780" s="58">
        <f t="array" ref="DL780">SUM(IF(DI780:DJ780&gt;=DI780, 1))</f>
        <v>2</v>
      </c>
      <c r="DM780" s="58">
        <f t="array" ref="DM780">SUM(IF(DI780:DJ780&gt;=DJ780, 1))</f>
        <v>1</v>
      </c>
      <c r="DO780" s="109">
        <f t="shared" si="300"/>
        <v>-5190109.6166493008</v>
      </c>
      <c r="DP780" s="109">
        <f t="shared" si="301"/>
        <v>0</v>
      </c>
      <c r="DR780" s="58">
        <f t="array" ref="DR780">SUM(IF(DO780:DP780&gt;=DO780, 1))</f>
        <v>2</v>
      </c>
      <c r="DS780" s="58">
        <f t="array" ref="DS780">SUM(IF(DO780:DP780&gt;=DP780, 1))</f>
        <v>1</v>
      </c>
      <c r="DU780" s="109">
        <f t="shared" si="302"/>
        <v>-23094756.340273947</v>
      </c>
      <c r="DV780" s="109">
        <f t="shared" si="303"/>
        <v>0</v>
      </c>
      <c r="DX780" s="58">
        <f t="array" ref="DX780">SUM(IF(DU780:DV780&gt;=DU780, 1))</f>
        <v>2</v>
      </c>
      <c r="DY780" s="58">
        <f t="array" ref="DY780">SUM(IF(DU780:DV780&gt;=DV780, 1))</f>
        <v>1</v>
      </c>
      <c r="EA780" s="109">
        <f t="shared" si="304"/>
        <v>-129273900.05424441</v>
      </c>
      <c r="EB780" s="109">
        <f t="shared" si="305"/>
        <v>0</v>
      </c>
      <c r="ED780" s="58">
        <f t="array" ref="ED780">SUM(IF(EA780:EB780&gt;=EA780, 1))</f>
        <v>2</v>
      </c>
      <c r="EE780" s="58">
        <f t="array" ref="EE780">SUM(IF(EA780:EB780&gt;=EB780, 1))</f>
        <v>1</v>
      </c>
    </row>
    <row r="781" spans="4:135" ht="12" customHeight="1" x14ac:dyDescent="0.25">
      <c r="D781" s="11">
        <v>765</v>
      </c>
      <c r="E781" s="72">
        <v>268.91954887382894</v>
      </c>
      <c r="F781" s="72">
        <v>239.48173772837552</v>
      </c>
      <c r="G781" s="73"/>
      <c r="H781" s="74">
        <v>5.8251518694308428</v>
      </c>
      <c r="I781" s="74">
        <v>5.8418830282069836</v>
      </c>
      <c r="J781" s="73"/>
      <c r="K781" s="72">
        <v>288.26057097593497</v>
      </c>
      <c r="L781" s="72">
        <v>258.12252036452901</v>
      </c>
      <c r="M781" s="73"/>
      <c r="N781" s="74">
        <v>6.6165836923738315</v>
      </c>
      <c r="O781" s="74">
        <v>6.6311324663447673</v>
      </c>
      <c r="P781" s="73"/>
      <c r="Q781" s="72">
        <v>2474.4900354547876</v>
      </c>
      <c r="R781" s="72">
        <v>1071.5255231612991</v>
      </c>
      <c r="S781" s="73"/>
      <c r="T781" s="74">
        <v>4.5932558446143119</v>
      </c>
      <c r="U781" s="74">
        <v>4.7169490557331182</v>
      </c>
      <c r="V781" s="73"/>
      <c r="W781" s="72">
        <v>11678.968283072518</v>
      </c>
      <c r="X781" s="72">
        <v>11634.233679973571</v>
      </c>
      <c r="Y781" s="73"/>
      <c r="Z781" s="74">
        <v>3.0025316663498436</v>
      </c>
      <c r="AA781" s="74">
        <v>3.0306525603859251</v>
      </c>
      <c r="AB781" s="73"/>
      <c r="AC781" s="72">
        <v>48663.095485626865</v>
      </c>
      <c r="AD781" s="72">
        <v>48713.683749020311</v>
      </c>
      <c r="AE781" s="73"/>
      <c r="AF781" s="74">
        <v>4.2573027773646741</v>
      </c>
      <c r="AG781" s="74">
        <v>4.3231512051784309</v>
      </c>
      <c r="AH781" s="73"/>
      <c r="AI781" s="72">
        <v>3135278.1491362965</v>
      </c>
      <c r="AJ781" s="72">
        <v>0</v>
      </c>
      <c r="AK781" s="73"/>
      <c r="AL781" s="74">
        <v>-1781.9543804181856</v>
      </c>
      <c r="AM781" s="74">
        <v>0</v>
      </c>
      <c r="AN781" s="73"/>
      <c r="AO781" s="72">
        <v>205925.34755667421</v>
      </c>
      <c r="AP781" s="72">
        <v>0</v>
      </c>
      <c r="AQ781" s="73"/>
      <c r="AR781" s="74">
        <v>-99.407933682167396</v>
      </c>
      <c r="AS781" s="74">
        <v>0</v>
      </c>
      <c r="AT781" s="73"/>
      <c r="AU781" s="72">
        <v>31058639.291144464</v>
      </c>
      <c r="AV781" s="72">
        <v>0</v>
      </c>
      <c r="AW781" s="73"/>
      <c r="AX781" s="74">
        <v>-2738.3036372189599</v>
      </c>
      <c r="AY781" s="74">
        <v>0</v>
      </c>
      <c r="AZ781" s="73"/>
      <c r="BA781" s="72">
        <v>395565.15952128684</v>
      </c>
      <c r="BB781" s="72">
        <v>0</v>
      </c>
      <c r="BC781" s="73"/>
      <c r="BD781" s="74">
        <v>-248.65864822048121</v>
      </c>
      <c r="BE781" s="74">
        <v>0</v>
      </c>
      <c r="BF781" s="73"/>
      <c r="BG781" s="72">
        <v>-795898.08000347286</v>
      </c>
      <c r="BH781" s="72">
        <v>0</v>
      </c>
      <c r="BI781" s="73"/>
      <c r="BJ781" s="74">
        <v>-1035.9841147464044</v>
      </c>
      <c r="BK781" s="74">
        <v>0</v>
      </c>
      <c r="BL781" s="73"/>
      <c r="BM781" s="72">
        <v>33999509.867355257</v>
      </c>
      <c r="BN781" s="72">
        <v>0</v>
      </c>
      <c r="BO781" s="73"/>
      <c r="BP781" s="74">
        <v>-5904.3087142861987</v>
      </c>
      <c r="BQ781" s="74">
        <v>0</v>
      </c>
      <c r="BS781" s="109">
        <f t="shared" si="285"/>
        <v>116234.11783974302</v>
      </c>
      <c r="BT781" s="109">
        <f t="shared" si="286"/>
        <v>116598.1788264113</v>
      </c>
      <c r="BV781" s="58">
        <f t="array" ref="BV781">SUM(IF(BS781:BT781&gt;=BS781, 1))</f>
        <v>2</v>
      </c>
      <c r="BW781" s="58">
        <f t="array" ref="BW781">SUM(IF(BS781:BT781&gt;=BT781, 1))</f>
        <v>1</v>
      </c>
      <c r="BY781" s="109">
        <f t="shared" si="287"/>
        <v>132043.41327650071</v>
      </c>
      <c r="BZ781" s="109">
        <f t="shared" si="288"/>
        <v>132364.5268065308</v>
      </c>
      <c r="CB781" s="58">
        <f t="array" ref="CB781">SUM(IF(BY781:BZ781&gt;=BY781, 1))</f>
        <v>2</v>
      </c>
      <c r="CC781" s="58">
        <f t="array" ref="CC781">SUM(IF(BY781:BZ781&gt;=BZ781, 1))</f>
        <v>1</v>
      </c>
      <c r="CE781" s="109">
        <f t="shared" si="289"/>
        <v>89390.626856831455</v>
      </c>
      <c r="CF781" s="109">
        <f t="shared" si="290"/>
        <v>93267.455591501071</v>
      </c>
      <c r="CH781" s="58">
        <f t="array" ref="CH781">SUM(IF(CE781:CF781&gt;=CE781, 1))</f>
        <v>2</v>
      </c>
      <c r="CI781" s="58">
        <f t="array" ref="CI781">SUM(IF(CE781:CF781&gt;=CF781, 1))</f>
        <v>1</v>
      </c>
      <c r="CK781" s="109">
        <f t="shared" si="291"/>
        <v>48371.665043924353</v>
      </c>
      <c r="CL781" s="109">
        <f t="shared" si="292"/>
        <v>48978.817527744934</v>
      </c>
      <c r="CN781" s="58">
        <f t="array" ref="CN781">SUM(IF(CK781:CL781&gt;=CK781, 1))</f>
        <v>2</v>
      </c>
      <c r="CO781" s="58">
        <f t="array" ref="CO781">SUM(IF(CK781:CL781&gt;=CL781, 1))</f>
        <v>1</v>
      </c>
      <c r="CQ781" s="109" cm="1">
        <f t="array" ref="CQ781">AF781*WTP-AC781</f>
        <v>36482.960061666614</v>
      </c>
      <c r="CR781" s="109">
        <f t="shared" si="293"/>
        <v>37749.340354548309</v>
      </c>
      <c r="CT781" s="58">
        <f t="array" ref="CT781">SUM(IF(CQ781:CR781&gt;=CQ781, 1))</f>
        <v>2</v>
      </c>
      <c r="CU781" s="58">
        <f t="array" ref="CU781">SUM(IF(CQ781:CR781&gt;=CR781, 1))</f>
        <v>1</v>
      </c>
      <c r="CW781" s="109">
        <f t="shared" si="294"/>
        <v>-38774365.757500008</v>
      </c>
      <c r="CX781" s="109">
        <f t="shared" si="295"/>
        <v>0</v>
      </c>
      <c r="CZ781" s="58">
        <f t="array" ref="CZ781">SUM(IF(CW781:CX781&gt;=CW781, 1))</f>
        <v>2</v>
      </c>
      <c r="DA781" s="58">
        <f t="array" ref="DA781">SUM(IF(CW781:CX781&gt;=CX781, 1))</f>
        <v>1</v>
      </c>
      <c r="DC781" s="109">
        <f t="shared" si="296"/>
        <v>-2194084.0212000222</v>
      </c>
      <c r="DD781" s="109">
        <f t="shared" si="297"/>
        <v>0</v>
      </c>
      <c r="DF781" s="58">
        <f t="array" ref="DF781">SUM(IF(DC781:DD781&gt;=DC781, 1))</f>
        <v>2</v>
      </c>
      <c r="DG781" s="58">
        <f t="array" ref="DG781">SUM(IF(DC781:DD781&gt;=DD781, 1))</f>
        <v>1</v>
      </c>
      <c r="DI781" s="109">
        <f t="shared" si="298"/>
        <v>-85824712.035523668</v>
      </c>
      <c r="DJ781" s="109">
        <f t="shared" si="299"/>
        <v>0</v>
      </c>
      <c r="DL781" s="58">
        <f t="array" ref="DL781">SUM(IF(DI781:DJ781&gt;=DI781, 1))</f>
        <v>2</v>
      </c>
      <c r="DM781" s="58">
        <f t="array" ref="DM781">SUM(IF(DI781:DJ781&gt;=DJ781, 1))</f>
        <v>1</v>
      </c>
      <c r="DO781" s="109">
        <f t="shared" si="300"/>
        <v>-5368738.1239309106</v>
      </c>
      <c r="DP781" s="109">
        <f t="shared" si="301"/>
        <v>0</v>
      </c>
      <c r="DR781" s="58">
        <f t="array" ref="DR781">SUM(IF(DO781:DP781&gt;=DO781, 1))</f>
        <v>2</v>
      </c>
      <c r="DS781" s="58">
        <f t="array" ref="DS781">SUM(IF(DO781:DP781&gt;=DP781, 1))</f>
        <v>1</v>
      </c>
      <c r="DU781" s="109">
        <f t="shared" si="302"/>
        <v>-19923784.214924615</v>
      </c>
      <c r="DV781" s="109">
        <f t="shared" si="303"/>
        <v>0</v>
      </c>
      <c r="DX781" s="58">
        <f t="array" ref="DX781">SUM(IF(DU781:DV781&gt;=DU781, 1))</f>
        <v>2</v>
      </c>
      <c r="DY781" s="58">
        <f t="array" ref="DY781">SUM(IF(DU781:DV781&gt;=DV781, 1))</f>
        <v>1</v>
      </c>
      <c r="EA781" s="109">
        <f t="shared" si="304"/>
        <v>-152085684.15307921</v>
      </c>
      <c r="EB781" s="109">
        <f t="shared" si="305"/>
        <v>0</v>
      </c>
      <c r="ED781" s="58">
        <f t="array" ref="ED781">SUM(IF(EA781:EB781&gt;=EA781, 1))</f>
        <v>2</v>
      </c>
      <c r="EE781" s="58">
        <f t="array" ref="EE781">SUM(IF(EA781:EB781&gt;=EB781, 1))</f>
        <v>1</v>
      </c>
    </row>
    <row r="782" spans="4:135" ht="12" customHeight="1" x14ac:dyDescent="0.25">
      <c r="D782" s="11">
        <v>766</v>
      </c>
      <c r="E782" s="72">
        <v>238.24593905351583</v>
      </c>
      <c r="F782" s="72">
        <v>214.74131888816481</v>
      </c>
      <c r="G782" s="73"/>
      <c r="H782" s="74">
        <v>5.8610523312795397</v>
      </c>
      <c r="I782" s="74">
        <v>5.8752290068414821</v>
      </c>
      <c r="J782" s="73"/>
      <c r="K782" s="72">
        <v>255.59674639752498</v>
      </c>
      <c r="L782" s="72">
        <v>231.51447959964753</v>
      </c>
      <c r="M782" s="73"/>
      <c r="N782" s="74">
        <v>6.7091368418370081</v>
      </c>
      <c r="O782" s="74">
        <v>6.7208664432019161</v>
      </c>
      <c r="P782" s="73"/>
      <c r="Q782" s="72">
        <v>2373.0335585414377</v>
      </c>
      <c r="R782" s="72">
        <v>1172.107307477522</v>
      </c>
      <c r="S782" s="73"/>
      <c r="T782" s="74">
        <v>4.54954954265295</v>
      </c>
      <c r="U782" s="74">
        <v>4.6464371993340663</v>
      </c>
      <c r="V782" s="73"/>
      <c r="W782" s="72">
        <v>18725.646439224103</v>
      </c>
      <c r="X782" s="72">
        <v>18726.057481060714</v>
      </c>
      <c r="Y782" s="73"/>
      <c r="Z782" s="74">
        <v>3.0769502438638674</v>
      </c>
      <c r="AA782" s="74">
        <v>3.1452424524774152</v>
      </c>
      <c r="AB782" s="73"/>
      <c r="AC782" s="72">
        <v>49915.203644536654</v>
      </c>
      <c r="AD782" s="72">
        <v>49768.76869427989</v>
      </c>
      <c r="AE782" s="73"/>
      <c r="AF782" s="74">
        <v>4.9381207382044394</v>
      </c>
      <c r="AG782" s="74">
        <v>5.0639441966529715</v>
      </c>
      <c r="AH782" s="73"/>
      <c r="AI782" s="72">
        <v>2533745.7667727526</v>
      </c>
      <c r="AJ782" s="72">
        <v>0</v>
      </c>
      <c r="AK782" s="73"/>
      <c r="AL782" s="74">
        <v>-1528.2140889446594</v>
      </c>
      <c r="AM782" s="74">
        <v>0</v>
      </c>
      <c r="AN782" s="73"/>
      <c r="AO782" s="72">
        <v>159734.5502230424</v>
      </c>
      <c r="AP782" s="72">
        <v>0</v>
      </c>
      <c r="AQ782" s="73"/>
      <c r="AR782" s="74">
        <v>-77.800923561078363</v>
      </c>
      <c r="AS782" s="74">
        <v>0</v>
      </c>
      <c r="AT782" s="73"/>
      <c r="AU782" s="72">
        <v>27990200.503705122</v>
      </c>
      <c r="AV782" s="72">
        <v>0</v>
      </c>
      <c r="AW782" s="73"/>
      <c r="AX782" s="74">
        <v>-2258.1777477476908</v>
      </c>
      <c r="AY782" s="74">
        <v>0</v>
      </c>
      <c r="AZ782" s="73"/>
      <c r="BA782" s="72">
        <v>-3641.5411007514676</v>
      </c>
      <c r="BB782" s="72">
        <v>0</v>
      </c>
      <c r="BC782" s="73"/>
      <c r="BD782" s="74">
        <v>-605.02085767680467</v>
      </c>
      <c r="BE782" s="74">
        <v>0</v>
      </c>
      <c r="BF782" s="73"/>
      <c r="BG782" s="72">
        <v>2255803.2106746137</v>
      </c>
      <c r="BH782" s="72">
        <v>0</v>
      </c>
      <c r="BI782" s="73"/>
      <c r="BJ782" s="74">
        <v>-1938.2870076351337</v>
      </c>
      <c r="BK782" s="74">
        <v>0</v>
      </c>
      <c r="BL782" s="73"/>
      <c r="BM782" s="72">
        <v>32935842.490274779</v>
      </c>
      <c r="BN782" s="72">
        <v>0</v>
      </c>
      <c r="BO782" s="73"/>
      <c r="BP782" s="74">
        <v>-6407.500625565367</v>
      </c>
      <c r="BQ782" s="74">
        <v>0</v>
      </c>
      <c r="BS782" s="109">
        <f t="shared" si="285"/>
        <v>116982.80068653727</v>
      </c>
      <c r="BT782" s="109">
        <f t="shared" si="286"/>
        <v>117289.83881794148</v>
      </c>
      <c r="BV782" s="58">
        <f t="array" ref="BV782">SUM(IF(BS782:BT782&gt;=BS782, 1))</f>
        <v>2</v>
      </c>
      <c r="BW782" s="58">
        <f t="array" ref="BW782">SUM(IF(BS782:BT782&gt;=BT782, 1))</f>
        <v>1</v>
      </c>
      <c r="BY782" s="109">
        <f t="shared" si="287"/>
        <v>133927.14009034264</v>
      </c>
      <c r="BZ782" s="109">
        <f t="shared" si="288"/>
        <v>134185.81438443865</v>
      </c>
      <c r="CB782" s="58">
        <f t="array" ref="CB782">SUM(IF(BY782:BZ782&gt;=BY782, 1))</f>
        <v>2</v>
      </c>
      <c r="CC782" s="58">
        <f t="array" ref="CC782">SUM(IF(BY782:BZ782&gt;=BZ782, 1))</f>
        <v>1</v>
      </c>
      <c r="CE782" s="109">
        <f t="shared" si="289"/>
        <v>88617.957294517561</v>
      </c>
      <c r="CF782" s="109">
        <f t="shared" si="290"/>
        <v>91756.636679203802</v>
      </c>
      <c r="CH782" s="58">
        <f t="array" ref="CH782">SUM(IF(CE782:CF782&gt;=CE782, 1))</f>
        <v>2</v>
      </c>
      <c r="CI782" s="58">
        <f t="array" ref="CI782">SUM(IF(CE782:CF782&gt;=CF782, 1))</f>
        <v>1</v>
      </c>
      <c r="CK782" s="109">
        <f t="shared" si="291"/>
        <v>42813.358438053241</v>
      </c>
      <c r="CL782" s="109">
        <f t="shared" si="292"/>
        <v>44178.791568487592</v>
      </c>
      <c r="CN782" s="58">
        <f t="array" ref="CN782">SUM(IF(CK782:CL782&gt;=CK782, 1))</f>
        <v>2</v>
      </c>
      <c r="CO782" s="58">
        <f t="array" ref="CO782">SUM(IF(CK782:CL782&gt;=CL782, 1))</f>
        <v>1</v>
      </c>
      <c r="CQ782" s="109" cm="1">
        <f t="array" ref="CQ782">AF782*WTP-AC782</f>
        <v>48847.211119552128</v>
      </c>
      <c r="CR782" s="109">
        <f t="shared" si="293"/>
        <v>51510.115238779545</v>
      </c>
      <c r="CT782" s="58">
        <f t="array" ref="CT782">SUM(IF(CQ782:CR782&gt;=CQ782, 1))</f>
        <v>2</v>
      </c>
      <c r="CU782" s="58">
        <f t="array" ref="CU782">SUM(IF(CQ782:CR782&gt;=CR782, 1))</f>
        <v>1</v>
      </c>
      <c r="CW782" s="109">
        <f t="shared" si="294"/>
        <v>-33098027.545665942</v>
      </c>
      <c r="CX782" s="109">
        <f t="shared" si="295"/>
        <v>0</v>
      </c>
      <c r="CZ782" s="58">
        <f t="array" ref="CZ782">SUM(IF(CW782:CX782&gt;=CW782, 1))</f>
        <v>2</v>
      </c>
      <c r="DA782" s="58">
        <f t="array" ref="DA782">SUM(IF(CW782:CX782&gt;=CX782, 1))</f>
        <v>1</v>
      </c>
      <c r="DC782" s="109">
        <f t="shared" si="296"/>
        <v>-1715753.0214446099</v>
      </c>
      <c r="DD782" s="109">
        <f t="shared" si="297"/>
        <v>0</v>
      </c>
      <c r="DF782" s="58">
        <f t="array" ref="DF782">SUM(IF(DC782:DD782&gt;=DC782, 1))</f>
        <v>2</v>
      </c>
      <c r="DG782" s="58">
        <f t="array" ref="DG782">SUM(IF(DC782:DD782&gt;=DD782, 1))</f>
        <v>1</v>
      </c>
      <c r="DI782" s="109">
        <f t="shared" si="298"/>
        <v>-73153755.458658934</v>
      </c>
      <c r="DJ782" s="109">
        <f t="shared" si="299"/>
        <v>0</v>
      </c>
      <c r="DL782" s="58">
        <f t="array" ref="DL782">SUM(IF(DI782:DJ782&gt;=DI782, 1))</f>
        <v>2</v>
      </c>
      <c r="DM782" s="58">
        <f t="array" ref="DM782">SUM(IF(DI782:DJ782&gt;=DJ782, 1))</f>
        <v>1</v>
      </c>
      <c r="DO782" s="109">
        <f t="shared" si="300"/>
        <v>-12096775.612435341</v>
      </c>
      <c r="DP782" s="109">
        <f t="shared" si="301"/>
        <v>0</v>
      </c>
      <c r="DR782" s="58">
        <f t="array" ref="DR782">SUM(IF(DO782:DP782&gt;=DO782, 1))</f>
        <v>2</v>
      </c>
      <c r="DS782" s="58">
        <f t="array" ref="DS782">SUM(IF(DO782:DP782&gt;=DP782, 1))</f>
        <v>1</v>
      </c>
      <c r="DU782" s="109">
        <f t="shared" si="302"/>
        <v>-41021543.363377288</v>
      </c>
      <c r="DV782" s="109">
        <f t="shared" si="303"/>
        <v>0</v>
      </c>
      <c r="DX782" s="58">
        <f t="array" ref="DX782">SUM(IF(DU782:DV782&gt;=DU782, 1))</f>
        <v>2</v>
      </c>
      <c r="DY782" s="58">
        <f t="array" ref="DY782">SUM(IF(DU782:DV782&gt;=DV782, 1))</f>
        <v>1</v>
      </c>
      <c r="EA782" s="109">
        <f t="shared" si="304"/>
        <v>-161085855.00158212</v>
      </c>
      <c r="EB782" s="109">
        <f t="shared" si="305"/>
        <v>0</v>
      </c>
      <c r="ED782" s="58">
        <f t="array" ref="ED782">SUM(IF(EA782:EB782&gt;=EA782, 1))</f>
        <v>2</v>
      </c>
      <c r="EE782" s="58">
        <f t="array" ref="EE782">SUM(IF(EA782:EB782&gt;=EB782, 1))</f>
        <v>1</v>
      </c>
    </row>
    <row r="783" spans="4:135" ht="12" customHeight="1" x14ac:dyDescent="0.25">
      <c r="D783" s="11">
        <v>767</v>
      </c>
      <c r="E783" s="72">
        <v>279.73934136224875</v>
      </c>
      <c r="F783" s="72">
        <v>255.03150488783652</v>
      </c>
      <c r="G783" s="73"/>
      <c r="H783" s="74">
        <v>5.8528145504374729</v>
      </c>
      <c r="I783" s="74">
        <v>5.8730308553449682</v>
      </c>
      <c r="J783" s="73"/>
      <c r="K783" s="72">
        <v>300.36023484595148</v>
      </c>
      <c r="L783" s="72">
        <v>275.05866282118444</v>
      </c>
      <c r="M783" s="73"/>
      <c r="N783" s="74">
        <v>6.7209174468342763</v>
      </c>
      <c r="O783" s="74">
        <v>6.7386685703150757</v>
      </c>
      <c r="P783" s="73"/>
      <c r="Q783" s="72">
        <v>3006.5035176244764</v>
      </c>
      <c r="R783" s="72">
        <v>1315.5864030500161</v>
      </c>
      <c r="S783" s="73"/>
      <c r="T783" s="74">
        <v>4.5618632249913782</v>
      </c>
      <c r="U783" s="74">
        <v>4.7124930159502414</v>
      </c>
      <c r="V783" s="73"/>
      <c r="W783" s="72">
        <v>7197.0356270954862</v>
      </c>
      <c r="X783" s="72">
        <v>7189.4539055564746</v>
      </c>
      <c r="Y783" s="73"/>
      <c r="Z783" s="74">
        <v>3.0045268154231102</v>
      </c>
      <c r="AA783" s="74">
        <v>3.0541015190445187</v>
      </c>
      <c r="AB783" s="73"/>
      <c r="AC783" s="72">
        <v>51260.060224014866</v>
      </c>
      <c r="AD783" s="72">
        <v>51176.85983412253</v>
      </c>
      <c r="AE783" s="73"/>
      <c r="AF783" s="74">
        <v>5.0020956293073491</v>
      </c>
      <c r="AG783" s="74">
        <v>5.1586608454470317</v>
      </c>
      <c r="AH783" s="73"/>
      <c r="AI783" s="72">
        <v>2656212.101887329</v>
      </c>
      <c r="AJ783" s="72">
        <v>0</v>
      </c>
      <c r="AK783" s="73"/>
      <c r="AL783" s="74">
        <v>-2173.3507021686951</v>
      </c>
      <c r="AM783" s="74">
        <v>0</v>
      </c>
      <c r="AN783" s="73"/>
      <c r="AO783" s="72">
        <v>166276.88621995287</v>
      </c>
      <c r="AP783" s="72">
        <v>0</v>
      </c>
      <c r="AQ783" s="73"/>
      <c r="AR783" s="74">
        <v>-116.65684394645426</v>
      </c>
      <c r="AS783" s="74">
        <v>0</v>
      </c>
      <c r="AT783" s="73"/>
      <c r="AU783" s="72">
        <v>40085111.183523796</v>
      </c>
      <c r="AV783" s="72">
        <v>0</v>
      </c>
      <c r="AW783" s="73"/>
      <c r="AX783" s="74">
        <v>-3570.8503190923807</v>
      </c>
      <c r="AY783" s="74">
        <v>0</v>
      </c>
      <c r="AZ783" s="73"/>
      <c r="BA783" s="72">
        <v>66770.281482334016</v>
      </c>
      <c r="BB783" s="72">
        <v>0</v>
      </c>
      <c r="BC783" s="73"/>
      <c r="BD783" s="74">
        <v>-436.59172895925911</v>
      </c>
      <c r="BE783" s="74">
        <v>0</v>
      </c>
      <c r="BF783" s="73"/>
      <c r="BG783" s="72">
        <v>1333563.8725032154</v>
      </c>
      <c r="BH783" s="72">
        <v>0</v>
      </c>
      <c r="BI783" s="73"/>
      <c r="BJ783" s="74">
        <v>-2509.4800181191372</v>
      </c>
      <c r="BK783" s="74">
        <v>0</v>
      </c>
      <c r="BL783" s="73"/>
      <c r="BM783" s="72">
        <v>44307934.32561662</v>
      </c>
      <c r="BN783" s="72">
        <v>0</v>
      </c>
      <c r="BO783" s="73"/>
      <c r="BP783" s="74">
        <v>-8806.9296122859269</v>
      </c>
      <c r="BQ783" s="74">
        <v>0</v>
      </c>
      <c r="BS783" s="109">
        <f t="shared" si="285"/>
        <v>116776.5516673872</v>
      </c>
      <c r="BT783" s="109">
        <f t="shared" si="286"/>
        <v>117205.58560201152</v>
      </c>
      <c r="BV783" s="58">
        <f t="array" ref="BV783">SUM(IF(BS783:BT783&gt;=BS783, 1))</f>
        <v>2</v>
      </c>
      <c r="BW783" s="58">
        <f t="array" ref="BW783">SUM(IF(BS783:BT783&gt;=BT783, 1))</f>
        <v>1</v>
      </c>
      <c r="BY783" s="109">
        <f t="shared" si="287"/>
        <v>134117.98870183958</v>
      </c>
      <c r="BZ783" s="109">
        <f t="shared" si="288"/>
        <v>134498.31274348032</v>
      </c>
      <c r="CB783" s="58">
        <f t="array" ref="CB783">SUM(IF(BY783:BZ783&gt;=BY783, 1))</f>
        <v>2</v>
      </c>
      <c r="CC783" s="58">
        <f t="array" ref="CC783">SUM(IF(BY783:BZ783&gt;=BZ783, 1))</f>
        <v>1</v>
      </c>
      <c r="CE783" s="109">
        <f t="shared" si="289"/>
        <v>88230.760982203094</v>
      </c>
      <c r="CF783" s="109">
        <f t="shared" si="290"/>
        <v>92934.273915954807</v>
      </c>
      <c r="CH783" s="58">
        <f t="array" ref="CH783">SUM(IF(CE783:CF783&gt;=CE783, 1))</f>
        <v>2</v>
      </c>
      <c r="CI783" s="58">
        <f t="array" ref="CI783">SUM(IF(CE783:CF783&gt;=CF783, 1))</f>
        <v>1</v>
      </c>
      <c r="CK783" s="109">
        <f t="shared" si="291"/>
        <v>52893.500681366713</v>
      </c>
      <c r="CL783" s="109">
        <f t="shared" si="292"/>
        <v>53892.576475333895</v>
      </c>
      <c r="CN783" s="58">
        <f t="array" ref="CN783">SUM(IF(CK783:CL783&gt;=CK783, 1))</f>
        <v>2</v>
      </c>
      <c r="CO783" s="58">
        <f t="array" ref="CO783">SUM(IF(CK783:CL783&gt;=CL783, 1))</f>
        <v>1</v>
      </c>
      <c r="CQ783" s="109" cm="1">
        <f t="array" ref="CQ783">AF783*WTP-AC783</f>
        <v>48781.852362132115</v>
      </c>
      <c r="CR783" s="109">
        <f t="shared" si="293"/>
        <v>51996.357074818108</v>
      </c>
      <c r="CT783" s="58">
        <f t="array" ref="CT783">SUM(IF(CQ783:CR783&gt;=CQ783, 1))</f>
        <v>2</v>
      </c>
      <c r="CU783" s="58">
        <f t="array" ref="CU783">SUM(IF(CQ783:CR783&gt;=CR783, 1))</f>
        <v>1</v>
      </c>
      <c r="CW783" s="109">
        <f t="shared" si="294"/>
        <v>-46123226.145261236</v>
      </c>
      <c r="CX783" s="109">
        <f t="shared" si="295"/>
        <v>0</v>
      </c>
      <c r="CZ783" s="58">
        <f t="array" ref="CZ783">SUM(IF(CW783:CX783&gt;=CW783, 1))</f>
        <v>2</v>
      </c>
      <c r="DA783" s="58">
        <f t="array" ref="DA783">SUM(IF(CW783:CX783&gt;=CX783, 1))</f>
        <v>1</v>
      </c>
      <c r="DC783" s="109">
        <f t="shared" si="296"/>
        <v>-2499413.7651490378</v>
      </c>
      <c r="DD783" s="109">
        <f t="shared" si="297"/>
        <v>0</v>
      </c>
      <c r="DF783" s="58">
        <f t="array" ref="DF783">SUM(IF(DC783:DD783&gt;=DC783, 1))</f>
        <v>2</v>
      </c>
      <c r="DG783" s="58">
        <f t="array" ref="DG783">SUM(IF(DC783:DD783&gt;=DD783, 1))</f>
        <v>1</v>
      </c>
      <c r="DI783" s="109">
        <f t="shared" si="298"/>
        <v>-111502117.56537142</v>
      </c>
      <c r="DJ783" s="109">
        <f t="shared" si="299"/>
        <v>0</v>
      </c>
      <c r="DL783" s="58">
        <f t="array" ref="DL783">SUM(IF(DI783:DJ783&gt;=DI783, 1))</f>
        <v>2</v>
      </c>
      <c r="DM783" s="58">
        <f t="array" ref="DM783">SUM(IF(DI783:DJ783&gt;=DJ783, 1))</f>
        <v>1</v>
      </c>
      <c r="DO783" s="109">
        <f t="shared" si="300"/>
        <v>-8798604.8606675155</v>
      </c>
      <c r="DP783" s="109">
        <f t="shared" si="301"/>
        <v>0</v>
      </c>
      <c r="DR783" s="58">
        <f t="array" ref="DR783">SUM(IF(DO783:DP783&gt;=DO783, 1))</f>
        <v>2</v>
      </c>
      <c r="DS783" s="58">
        <f t="array" ref="DS783">SUM(IF(DO783:DP783&gt;=DP783, 1))</f>
        <v>1</v>
      </c>
      <c r="DU783" s="109">
        <f t="shared" si="302"/>
        <v>-51523164.234885961</v>
      </c>
      <c r="DV783" s="109">
        <f t="shared" si="303"/>
        <v>0</v>
      </c>
      <c r="DX783" s="58">
        <f t="array" ref="DX783">SUM(IF(DU783:DV783&gt;=DU783, 1))</f>
        <v>2</v>
      </c>
      <c r="DY783" s="58">
        <f t="array" ref="DY783">SUM(IF(DU783:DV783&gt;=DV783, 1))</f>
        <v>1</v>
      </c>
      <c r="EA783" s="109">
        <f t="shared" si="304"/>
        <v>-220446526.57133517</v>
      </c>
      <c r="EB783" s="109">
        <f t="shared" si="305"/>
        <v>0</v>
      </c>
      <c r="ED783" s="58">
        <f t="array" ref="ED783">SUM(IF(EA783:EB783&gt;=EA783, 1))</f>
        <v>2</v>
      </c>
      <c r="EE783" s="58">
        <f t="array" ref="EE783">SUM(IF(EA783:EB783&gt;=EB783, 1))</f>
        <v>1</v>
      </c>
    </row>
    <row r="784" spans="4:135" ht="12" customHeight="1" x14ac:dyDescent="0.25">
      <c r="D784" s="11">
        <v>768</v>
      </c>
      <c r="E784" s="72">
        <v>281.12286872501647</v>
      </c>
      <c r="F784" s="72">
        <v>240.50503592695759</v>
      </c>
      <c r="G784" s="73"/>
      <c r="H784" s="74">
        <v>5.845186719244361</v>
      </c>
      <c r="I784" s="74">
        <v>5.8625200293104127</v>
      </c>
      <c r="J784" s="73"/>
      <c r="K784" s="72">
        <v>300.92748269704521</v>
      </c>
      <c r="L784" s="72">
        <v>259.32299317089212</v>
      </c>
      <c r="M784" s="73"/>
      <c r="N784" s="74">
        <v>6.7342282914650049</v>
      </c>
      <c r="O784" s="74">
        <v>6.7489910731522409</v>
      </c>
      <c r="P784" s="73"/>
      <c r="Q784" s="72">
        <v>5116.6430026964672</v>
      </c>
      <c r="R784" s="72">
        <v>1312.4636509983116</v>
      </c>
      <c r="S784" s="73"/>
      <c r="T784" s="74">
        <v>4.7946024986405966</v>
      </c>
      <c r="U784" s="74">
        <v>5.0399585112290239</v>
      </c>
      <c r="V784" s="73"/>
      <c r="W784" s="72">
        <v>12225.274090224762</v>
      </c>
      <c r="X784" s="72">
        <v>12228.847511403623</v>
      </c>
      <c r="Y784" s="73"/>
      <c r="Z784" s="74">
        <v>2.7805828033064133</v>
      </c>
      <c r="AA784" s="74">
        <v>2.8261853175684672</v>
      </c>
      <c r="AB784" s="73"/>
      <c r="AC784" s="72">
        <v>49986.600434918189</v>
      </c>
      <c r="AD784" s="72">
        <v>49696.678228538149</v>
      </c>
      <c r="AE784" s="73"/>
      <c r="AF784" s="74">
        <v>4.1630584547924769</v>
      </c>
      <c r="AG784" s="74">
        <v>4.2582902269223268</v>
      </c>
      <c r="AH784" s="73"/>
      <c r="AI784" s="72">
        <v>4431145.247302101</v>
      </c>
      <c r="AJ784" s="72">
        <v>0</v>
      </c>
      <c r="AK784" s="73"/>
      <c r="AL784" s="74">
        <v>-1890.9530427450452</v>
      </c>
      <c r="AM784" s="74">
        <v>0</v>
      </c>
      <c r="AN784" s="73"/>
      <c r="AO784" s="72">
        <v>290561.27484071464</v>
      </c>
      <c r="AP784" s="72">
        <v>0</v>
      </c>
      <c r="AQ784" s="73"/>
      <c r="AR784" s="74">
        <v>-103.10167763366064</v>
      </c>
      <c r="AS784" s="74">
        <v>0</v>
      </c>
      <c r="AT784" s="73"/>
      <c r="AU784" s="72">
        <v>89215409.358851254</v>
      </c>
      <c r="AV784" s="72">
        <v>0</v>
      </c>
      <c r="AW784" s="73"/>
      <c r="AX784" s="74">
        <v>-5754.0759985358436</v>
      </c>
      <c r="AY784" s="74">
        <v>0</v>
      </c>
      <c r="AZ784" s="73"/>
      <c r="BA784" s="72">
        <v>-31777.956480328743</v>
      </c>
      <c r="BB784" s="72">
        <v>0</v>
      </c>
      <c r="BC784" s="73"/>
      <c r="BD784" s="74">
        <v>-405.53705848782243</v>
      </c>
      <c r="BE784" s="74">
        <v>0</v>
      </c>
      <c r="BF784" s="73"/>
      <c r="BG784" s="72">
        <v>4540042.3347182786</v>
      </c>
      <c r="BH784" s="72">
        <v>0</v>
      </c>
      <c r="BI784" s="73"/>
      <c r="BJ784" s="74">
        <v>-1491.2837566951125</v>
      </c>
      <c r="BK784" s="74">
        <v>0</v>
      </c>
      <c r="BL784" s="73"/>
      <c r="BM784" s="72">
        <v>98445380.259232014</v>
      </c>
      <c r="BN784" s="72">
        <v>0</v>
      </c>
      <c r="BO784" s="73"/>
      <c r="BP784" s="74">
        <v>-9644.9515340974849</v>
      </c>
      <c r="BQ784" s="74">
        <v>0</v>
      </c>
      <c r="BS784" s="109">
        <f t="shared" si="285"/>
        <v>116622.61151616221</v>
      </c>
      <c r="BT784" s="109">
        <f t="shared" si="286"/>
        <v>117009.8955502813</v>
      </c>
      <c r="BV784" s="58">
        <f t="array" ref="BV784">SUM(IF(BS784:BT784&gt;=BS784, 1))</f>
        <v>2</v>
      </c>
      <c r="BW784" s="58">
        <f t="array" ref="BW784">SUM(IF(BS784:BT784&gt;=BT784, 1))</f>
        <v>1</v>
      </c>
      <c r="BY784" s="109">
        <f t="shared" si="287"/>
        <v>134383.63834660305</v>
      </c>
      <c r="BZ784" s="109">
        <f t="shared" si="288"/>
        <v>134720.49846987391</v>
      </c>
      <c r="CB784" s="58">
        <f t="array" ref="CB784">SUM(IF(BY784:BZ784&gt;=BY784, 1))</f>
        <v>2</v>
      </c>
      <c r="CC784" s="58">
        <f t="array" ref="CC784">SUM(IF(BY784:BZ784&gt;=BZ784, 1))</f>
        <v>1</v>
      </c>
      <c r="CE784" s="109">
        <f t="shared" si="289"/>
        <v>90775.406970115466</v>
      </c>
      <c r="CF784" s="109">
        <f t="shared" si="290"/>
        <v>99486.706573582167</v>
      </c>
      <c r="CH784" s="58">
        <f t="array" ref="CH784">SUM(IF(CE784:CF784&gt;=CE784, 1))</f>
        <v>2</v>
      </c>
      <c r="CI784" s="58">
        <f t="array" ref="CI784">SUM(IF(CE784:CF784&gt;=CF784, 1))</f>
        <v>1</v>
      </c>
      <c r="CK784" s="109">
        <f t="shared" si="291"/>
        <v>43386.381975903503</v>
      </c>
      <c r="CL784" s="109">
        <f t="shared" si="292"/>
        <v>44294.858839965716</v>
      </c>
      <c r="CN784" s="58">
        <f t="array" ref="CN784">SUM(IF(CK784:CL784&gt;=CK784, 1))</f>
        <v>2</v>
      </c>
      <c r="CO784" s="58">
        <f t="array" ref="CO784">SUM(IF(CK784:CL784&gt;=CL784, 1))</f>
        <v>1</v>
      </c>
      <c r="CQ784" s="109" cm="1">
        <f t="array" ref="CQ784">AF784*WTP-AC784</f>
        <v>33274.568660931356</v>
      </c>
      <c r="CR784" s="109">
        <f t="shared" si="293"/>
        <v>35469.126309908388</v>
      </c>
      <c r="CT784" s="58">
        <f t="array" ref="CT784">SUM(IF(CQ784:CR784&gt;=CQ784, 1))</f>
        <v>2</v>
      </c>
      <c r="CU784" s="58">
        <f t="array" ref="CU784">SUM(IF(CQ784:CR784&gt;=CR784, 1))</f>
        <v>1</v>
      </c>
      <c r="CW784" s="109">
        <f t="shared" si="294"/>
        <v>-42250206.102203004</v>
      </c>
      <c r="CX784" s="109">
        <f t="shared" si="295"/>
        <v>0</v>
      </c>
      <c r="CZ784" s="58">
        <f t="array" ref="CZ784">SUM(IF(CW784:CX784&gt;=CW784, 1))</f>
        <v>2</v>
      </c>
      <c r="DA784" s="58">
        <f t="array" ref="DA784">SUM(IF(CW784:CX784&gt;=CX784, 1))</f>
        <v>1</v>
      </c>
      <c r="DC784" s="109">
        <f t="shared" si="296"/>
        <v>-2352594.8275139276</v>
      </c>
      <c r="DD784" s="109">
        <f t="shared" si="297"/>
        <v>0</v>
      </c>
      <c r="DF784" s="58">
        <f t="array" ref="DF784">SUM(IF(DC784:DD784&gt;=DC784, 1))</f>
        <v>2</v>
      </c>
      <c r="DG784" s="58">
        <f t="array" ref="DG784">SUM(IF(DC784:DD784&gt;=DD784, 1))</f>
        <v>1</v>
      </c>
      <c r="DI784" s="109">
        <f t="shared" si="298"/>
        <v>-204296929.32956815</v>
      </c>
      <c r="DJ784" s="109">
        <f t="shared" si="299"/>
        <v>0</v>
      </c>
      <c r="DL784" s="58">
        <f t="array" ref="DL784">SUM(IF(DI784:DJ784&gt;=DI784, 1))</f>
        <v>2</v>
      </c>
      <c r="DM784" s="58">
        <f t="array" ref="DM784">SUM(IF(DI784:DJ784&gt;=DJ784, 1))</f>
        <v>1</v>
      </c>
      <c r="DO784" s="109">
        <f t="shared" si="300"/>
        <v>-8078963.2132761199</v>
      </c>
      <c r="DP784" s="109">
        <f t="shared" si="301"/>
        <v>0</v>
      </c>
      <c r="DR784" s="58">
        <f t="array" ref="DR784">SUM(IF(DO784:DP784&gt;=DO784, 1))</f>
        <v>2</v>
      </c>
      <c r="DS784" s="58">
        <f t="array" ref="DS784">SUM(IF(DO784:DP784&gt;=DP784, 1))</f>
        <v>1</v>
      </c>
      <c r="DU784" s="109">
        <f t="shared" si="302"/>
        <v>-34365717.468620531</v>
      </c>
      <c r="DV784" s="109">
        <f t="shared" si="303"/>
        <v>0</v>
      </c>
      <c r="DX784" s="58">
        <f t="array" ref="DX784">SUM(IF(DU784:DV784&gt;=DU784, 1))</f>
        <v>2</v>
      </c>
      <c r="DY784" s="58">
        <f t="array" ref="DY784">SUM(IF(DU784:DV784&gt;=DV784, 1))</f>
        <v>1</v>
      </c>
      <c r="EA784" s="109">
        <f t="shared" si="304"/>
        <v>-291344410.94118172</v>
      </c>
      <c r="EB784" s="109">
        <f t="shared" si="305"/>
        <v>0</v>
      </c>
      <c r="ED784" s="58">
        <f t="array" ref="ED784">SUM(IF(EA784:EB784&gt;=EA784, 1))</f>
        <v>2</v>
      </c>
      <c r="EE784" s="58">
        <f t="array" ref="EE784">SUM(IF(EA784:EB784&gt;=EB784, 1))</f>
        <v>1</v>
      </c>
    </row>
    <row r="785" spans="4:135" ht="12" customHeight="1" x14ac:dyDescent="0.25">
      <c r="D785" s="11">
        <v>769</v>
      </c>
      <c r="E785" s="72">
        <v>247.81719815366588</v>
      </c>
      <c r="F785" s="72">
        <v>223.15852244776488</v>
      </c>
      <c r="G785" s="73"/>
      <c r="H785" s="74">
        <v>5.8640523173942389</v>
      </c>
      <c r="I785" s="74">
        <v>5.8822660283984138</v>
      </c>
      <c r="J785" s="73"/>
      <c r="K785" s="72">
        <v>265.84560149086991</v>
      </c>
      <c r="L785" s="72">
        <v>240.59428736206999</v>
      </c>
      <c r="M785" s="73"/>
      <c r="N785" s="74">
        <v>6.6510705048653911</v>
      </c>
      <c r="O785" s="74">
        <v>6.6665763567973002</v>
      </c>
      <c r="P785" s="73"/>
      <c r="Q785" s="72">
        <v>2707.5903684132923</v>
      </c>
      <c r="R785" s="72">
        <v>1457.4576144492289</v>
      </c>
      <c r="S785" s="73"/>
      <c r="T785" s="74">
        <v>4.9770256767760976</v>
      </c>
      <c r="U785" s="74">
        <v>5.0897618787102878</v>
      </c>
      <c r="V785" s="73"/>
      <c r="W785" s="72">
        <v>10260.022971628214</v>
      </c>
      <c r="X785" s="72">
        <v>10234.312889502866</v>
      </c>
      <c r="Y785" s="73"/>
      <c r="Z785" s="74">
        <v>3.0685539692483665</v>
      </c>
      <c r="AA785" s="74">
        <v>3.1102681816044844</v>
      </c>
      <c r="AB785" s="73"/>
      <c r="AC785" s="72">
        <v>50312.245984238936</v>
      </c>
      <c r="AD785" s="72">
        <v>50399.021341250867</v>
      </c>
      <c r="AE785" s="73"/>
      <c r="AF785" s="74">
        <v>4.7648113800296059</v>
      </c>
      <c r="AG785" s="74">
        <v>4.8218549700592312</v>
      </c>
      <c r="AH785" s="73"/>
      <c r="AI785" s="72">
        <v>2663677.6933114012</v>
      </c>
      <c r="AJ785" s="72">
        <v>0</v>
      </c>
      <c r="AK785" s="73"/>
      <c r="AL785" s="74">
        <v>-1967.4801799121346</v>
      </c>
      <c r="AM785" s="74">
        <v>0</v>
      </c>
      <c r="AN785" s="73"/>
      <c r="AO785" s="72">
        <v>173827.92247666372</v>
      </c>
      <c r="AP785" s="72">
        <v>0</v>
      </c>
      <c r="AQ785" s="73"/>
      <c r="AR785" s="74">
        <v>-106.74098044190079</v>
      </c>
      <c r="AS785" s="74">
        <v>0</v>
      </c>
      <c r="AT785" s="73"/>
      <c r="AU785" s="72">
        <v>28902732.742923431</v>
      </c>
      <c r="AV785" s="72">
        <v>0</v>
      </c>
      <c r="AW785" s="73"/>
      <c r="AX785" s="74">
        <v>-2606.4306407652234</v>
      </c>
      <c r="AY785" s="74">
        <v>0</v>
      </c>
      <c r="AZ785" s="73"/>
      <c r="BA785" s="72">
        <v>225094.92036097599</v>
      </c>
      <c r="BB785" s="72">
        <v>0</v>
      </c>
      <c r="BC785" s="73"/>
      <c r="BD785" s="74">
        <v>-365.21304220042805</v>
      </c>
      <c r="BE785" s="74">
        <v>0</v>
      </c>
      <c r="BF785" s="73"/>
      <c r="BG785" s="72">
        <v>-1336225.2506234508</v>
      </c>
      <c r="BH785" s="72">
        <v>0</v>
      </c>
      <c r="BI785" s="73"/>
      <c r="BJ785" s="74">
        <v>-878.39552620125994</v>
      </c>
      <c r="BK785" s="74">
        <v>0</v>
      </c>
      <c r="BL785" s="73"/>
      <c r="BM785" s="72">
        <v>30629108.028449021</v>
      </c>
      <c r="BN785" s="72">
        <v>0</v>
      </c>
      <c r="BO785" s="73"/>
      <c r="BP785" s="74">
        <v>-5924.2603695209464</v>
      </c>
      <c r="BQ785" s="74">
        <v>0</v>
      </c>
      <c r="BS785" s="109">
        <f t="shared" si="285"/>
        <v>117033.22914973111</v>
      </c>
      <c r="BT785" s="109">
        <f t="shared" si="286"/>
        <v>117422.16204552051</v>
      </c>
      <c r="BV785" s="58">
        <f t="array" ref="BV785">SUM(IF(BS785:BT785&gt;=BS785, 1))</f>
        <v>2</v>
      </c>
      <c r="BW785" s="58">
        <f t="array" ref="BW785">SUM(IF(BS785:BT785&gt;=BT785, 1))</f>
        <v>1</v>
      </c>
      <c r="BY785" s="109">
        <f t="shared" si="287"/>
        <v>132755.56449581694</v>
      </c>
      <c r="BZ785" s="109">
        <f t="shared" si="288"/>
        <v>133090.93284858394</v>
      </c>
      <c r="CB785" s="58">
        <f t="array" ref="CB785">SUM(IF(BY785:BZ785&gt;=BY785, 1))</f>
        <v>2</v>
      </c>
      <c r="CC785" s="58">
        <f t="array" ref="CC785">SUM(IF(BY785:BZ785&gt;=BZ785, 1))</f>
        <v>1</v>
      </c>
      <c r="CE785" s="109">
        <f t="shared" si="289"/>
        <v>96832.92316710866</v>
      </c>
      <c r="CF785" s="109">
        <f t="shared" si="290"/>
        <v>100337.77995975653</v>
      </c>
      <c r="CH785" s="58">
        <f t="array" ref="CH785">SUM(IF(CE785:CF785&gt;=CE785, 1))</f>
        <v>2</v>
      </c>
      <c r="CI785" s="58">
        <f t="array" ref="CI785">SUM(IF(CE785:CF785&gt;=CF785, 1))</f>
        <v>1</v>
      </c>
      <c r="CK785" s="109">
        <f t="shared" si="291"/>
        <v>51111.056413339116</v>
      </c>
      <c r="CL785" s="109">
        <f t="shared" si="292"/>
        <v>51971.05074258682</v>
      </c>
      <c r="CN785" s="58">
        <f t="array" ref="CN785">SUM(IF(CK785:CL785&gt;=CK785, 1))</f>
        <v>2</v>
      </c>
      <c r="CO785" s="58">
        <f t="array" ref="CO785">SUM(IF(CK785:CL785&gt;=CL785, 1))</f>
        <v>1</v>
      </c>
      <c r="CQ785" s="109" cm="1">
        <f t="array" ref="CQ785">AF785*WTP-AC785</f>
        <v>44983.98161635318</v>
      </c>
      <c r="CR785" s="109">
        <f t="shared" si="293"/>
        <v>46038.078059933752</v>
      </c>
      <c r="CT785" s="58">
        <f t="array" ref="CT785">SUM(IF(CQ785:CR785&gt;=CQ785, 1))</f>
        <v>2</v>
      </c>
      <c r="CU785" s="58">
        <f t="array" ref="CU785">SUM(IF(CQ785:CR785&gt;=CR785, 1))</f>
        <v>1</v>
      </c>
      <c r="CW785" s="109">
        <f t="shared" si="294"/>
        <v>-42013281.291554093</v>
      </c>
      <c r="CX785" s="109">
        <f t="shared" si="295"/>
        <v>0</v>
      </c>
      <c r="CZ785" s="58">
        <f t="array" ref="CZ785">SUM(IF(CW785:CX785&gt;=CW785, 1))</f>
        <v>2</v>
      </c>
      <c r="DA785" s="58">
        <f t="array" ref="DA785">SUM(IF(CW785:CX785&gt;=CX785, 1))</f>
        <v>1</v>
      </c>
      <c r="DC785" s="109">
        <f t="shared" si="296"/>
        <v>-2308647.5313146794</v>
      </c>
      <c r="DD785" s="109">
        <f t="shared" si="297"/>
        <v>0</v>
      </c>
      <c r="DF785" s="58">
        <f t="array" ref="DF785">SUM(IF(DC785:DD785&gt;=DC785, 1))</f>
        <v>2</v>
      </c>
      <c r="DG785" s="58">
        <f t="array" ref="DG785">SUM(IF(DC785:DD785&gt;=DD785, 1))</f>
        <v>1</v>
      </c>
      <c r="DI785" s="109">
        <f t="shared" si="298"/>
        <v>-81031345.558227897</v>
      </c>
      <c r="DJ785" s="109">
        <f t="shared" si="299"/>
        <v>0</v>
      </c>
      <c r="DL785" s="58">
        <f t="array" ref="DL785">SUM(IF(DI785:DJ785&gt;=DI785, 1))</f>
        <v>2</v>
      </c>
      <c r="DM785" s="58">
        <f t="array" ref="DM785">SUM(IF(DI785:DJ785&gt;=DJ785, 1))</f>
        <v>1</v>
      </c>
      <c r="DO785" s="109">
        <f t="shared" si="300"/>
        <v>-7529355.7643695371</v>
      </c>
      <c r="DP785" s="109">
        <f t="shared" si="301"/>
        <v>0</v>
      </c>
      <c r="DR785" s="58">
        <f t="array" ref="DR785">SUM(IF(DO785:DP785&gt;=DO785, 1))</f>
        <v>2</v>
      </c>
      <c r="DS785" s="58">
        <f t="array" ref="DS785">SUM(IF(DO785:DP785&gt;=DP785, 1))</f>
        <v>1</v>
      </c>
      <c r="DU785" s="109">
        <f t="shared" si="302"/>
        <v>-16231685.273401747</v>
      </c>
      <c r="DV785" s="109">
        <f t="shared" si="303"/>
        <v>0</v>
      </c>
      <c r="DX785" s="58">
        <f t="array" ref="DX785">SUM(IF(DU785:DV785&gt;=DU785, 1))</f>
        <v>2</v>
      </c>
      <c r="DY785" s="58">
        <f t="array" ref="DY785">SUM(IF(DU785:DV785&gt;=DV785, 1))</f>
        <v>1</v>
      </c>
      <c r="EA785" s="109">
        <f t="shared" si="304"/>
        <v>-149114315.41886795</v>
      </c>
      <c r="EB785" s="109">
        <f t="shared" si="305"/>
        <v>0</v>
      </c>
      <c r="ED785" s="58">
        <f t="array" ref="ED785">SUM(IF(EA785:EB785&gt;=EA785, 1))</f>
        <v>2</v>
      </c>
      <c r="EE785" s="58">
        <f t="array" ref="EE785">SUM(IF(EA785:EB785&gt;=EB785, 1))</f>
        <v>1</v>
      </c>
    </row>
    <row r="786" spans="4:135" ht="12" customHeight="1" x14ac:dyDescent="0.25">
      <c r="D786" s="11">
        <v>770</v>
      </c>
      <c r="E786" s="72">
        <v>303.19596719276637</v>
      </c>
      <c r="F786" s="72">
        <v>286.08295336444502</v>
      </c>
      <c r="G786" s="73"/>
      <c r="H786" s="74">
        <v>5.862520854936851</v>
      </c>
      <c r="I786" s="74">
        <v>5.8732950053466411</v>
      </c>
      <c r="J786" s="73"/>
      <c r="K786" s="72">
        <v>325.94313097752786</v>
      </c>
      <c r="L786" s="72">
        <v>308.37213418689259</v>
      </c>
      <c r="M786" s="73"/>
      <c r="N786" s="74">
        <v>6.6953001318521626</v>
      </c>
      <c r="O786" s="74">
        <v>6.7035752441741669</v>
      </c>
      <c r="P786" s="73"/>
      <c r="Q786" s="72">
        <v>3704.3804490171729</v>
      </c>
      <c r="R786" s="72">
        <v>1771.1301469259006</v>
      </c>
      <c r="S786" s="73"/>
      <c r="T786" s="74">
        <v>4.7966074632684199</v>
      </c>
      <c r="U786" s="74">
        <v>4.9298029339962408</v>
      </c>
      <c r="V786" s="73"/>
      <c r="W786" s="72">
        <v>13742.746910361149</v>
      </c>
      <c r="X786" s="72">
        <v>13782.843105102756</v>
      </c>
      <c r="Y786" s="73"/>
      <c r="Z786" s="74">
        <v>3.1029516596306785</v>
      </c>
      <c r="AA786" s="74">
        <v>3.1540698442820725</v>
      </c>
      <c r="AB786" s="73"/>
      <c r="AC786" s="72">
        <v>50264.833649433473</v>
      </c>
      <c r="AD786" s="72">
        <v>49963.89440285517</v>
      </c>
      <c r="AE786" s="73"/>
      <c r="AF786" s="74">
        <v>3.9269510884427539</v>
      </c>
      <c r="AG786" s="74">
        <v>3.9863508735760842</v>
      </c>
      <c r="AH786" s="73"/>
      <c r="AI786" s="72">
        <v>1804747.9985616268</v>
      </c>
      <c r="AJ786" s="72">
        <v>0</v>
      </c>
      <c r="AK786" s="73"/>
      <c r="AL786" s="74">
        <v>-1136.2479212218236</v>
      </c>
      <c r="AM786" s="74">
        <v>0</v>
      </c>
      <c r="AN786" s="73"/>
      <c r="AO786" s="72">
        <v>124585.25286462237</v>
      </c>
      <c r="AP786" s="72">
        <v>0</v>
      </c>
      <c r="AQ786" s="73"/>
      <c r="AR786" s="74">
        <v>-58.673789165423713</v>
      </c>
      <c r="AS786" s="74">
        <v>0</v>
      </c>
      <c r="AT786" s="73"/>
      <c r="AU786" s="72">
        <v>44704849.831751034</v>
      </c>
      <c r="AV786" s="72">
        <v>0</v>
      </c>
      <c r="AW786" s="73"/>
      <c r="AX786" s="74">
        <v>-3080.037546465363</v>
      </c>
      <c r="AY786" s="74">
        <v>0</v>
      </c>
      <c r="AZ786" s="73"/>
      <c r="BA786" s="72">
        <v>-355232.53684222378</v>
      </c>
      <c r="BB786" s="72">
        <v>0</v>
      </c>
      <c r="BC786" s="73"/>
      <c r="BD786" s="74">
        <v>-452.88193878509776</v>
      </c>
      <c r="BE786" s="74">
        <v>0</v>
      </c>
      <c r="BF786" s="73"/>
      <c r="BG786" s="72">
        <v>4683764.2221362079</v>
      </c>
      <c r="BH786" s="72">
        <v>0</v>
      </c>
      <c r="BI786" s="73"/>
      <c r="BJ786" s="74">
        <v>-924.48755545641825</v>
      </c>
      <c r="BK786" s="74">
        <v>0</v>
      </c>
      <c r="BL786" s="73"/>
      <c r="BM786" s="72">
        <v>50962714.768471263</v>
      </c>
      <c r="BN786" s="72">
        <v>0</v>
      </c>
      <c r="BO786" s="73"/>
      <c r="BP786" s="74">
        <v>-5652.3287510941263</v>
      </c>
      <c r="BQ786" s="74">
        <v>0</v>
      </c>
      <c r="BS786" s="109">
        <f t="shared" ref="BS786:BS849" si="306">H786*WTP-E786</f>
        <v>116947.22113154425</v>
      </c>
      <c r="BT786" s="109">
        <f t="shared" ref="BT786:BT849" si="307">I786*WTP-F786</f>
        <v>117179.81715356838</v>
      </c>
      <c r="BV786" s="58">
        <f t="array" ref="BV786">SUM(IF(BS786:BT786&gt;=BS786, 1))</f>
        <v>2</v>
      </c>
      <c r="BW786" s="58">
        <f t="array" ref="BW786">SUM(IF(BS786:BT786&gt;=BT786, 1))</f>
        <v>1</v>
      </c>
      <c r="BY786" s="109">
        <f t="shared" ref="BY786:BY849" si="308">N786*WTP-K786</f>
        <v>133580.05950606571</v>
      </c>
      <c r="BZ786" s="109">
        <f t="shared" ref="BZ786:BZ849" si="309">O786*WTP-L786</f>
        <v>133763.13274929646</v>
      </c>
      <c r="CB786" s="58">
        <f t="array" ref="CB786">SUM(IF(BY786:BZ786&gt;=BY786, 1))</f>
        <v>2</v>
      </c>
      <c r="CC786" s="58">
        <f t="array" ref="CC786">SUM(IF(BY786:BZ786&gt;=BZ786, 1))</f>
        <v>1</v>
      </c>
      <c r="CE786" s="109">
        <f t="shared" ref="CE786:CE849" si="310">T786*WTP-Q786</f>
        <v>92227.768816351221</v>
      </c>
      <c r="CF786" s="109">
        <f t="shared" ref="CF786:CF849" si="311">U786*WTP-R786</f>
        <v>96824.928532998907</v>
      </c>
      <c r="CH786" s="58">
        <f t="array" ref="CH786">SUM(IF(CE786:CF786&gt;=CE786, 1))</f>
        <v>2</v>
      </c>
      <c r="CI786" s="58">
        <f t="array" ref="CI786">SUM(IF(CE786:CF786&gt;=CF786, 1))</f>
        <v>1</v>
      </c>
      <c r="CK786" s="109">
        <f t="shared" ref="CK786:CK849" si="312">Z786*WTP-W786</f>
        <v>48316.286282252418</v>
      </c>
      <c r="CL786" s="109">
        <f t="shared" ref="CL786:CL849" si="313">AA786*WTP-X786</f>
        <v>49298.553780538692</v>
      </c>
      <c r="CN786" s="58">
        <f t="array" ref="CN786">SUM(IF(CK786:CL786&gt;=CK786, 1))</f>
        <v>2</v>
      </c>
      <c r="CO786" s="58">
        <f t="array" ref="CO786">SUM(IF(CK786:CL786&gt;=CL786, 1))</f>
        <v>1</v>
      </c>
      <c r="CQ786" s="109" cm="1">
        <f t="array" ref="CQ786">AF786*WTP-AC786</f>
        <v>28274.188119421604</v>
      </c>
      <c r="CR786" s="109">
        <f t="shared" ref="CR786:CR849" si="314">AG786*WTP-AD786</f>
        <v>29763.123068666515</v>
      </c>
      <c r="CT786" s="58">
        <f t="array" ref="CT786">SUM(IF(CQ786:CR786&gt;=CQ786, 1))</f>
        <v>2</v>
      </c>
      <c r="CU786" s="58">
        <f t="array" ref="CU786">SUM(IF(CQ786:CR786&gt;=CR786, 1))</f>
        <v>1</v>
      </c>
      <c r="CW786" s="109">
        <f t="shared" ref="CW786:CW849" si="315">AL786*WTP-AI786</f>
        <v>-24529706.422998101</v>
      </c>
      <c r="CX786" s="109">
        <f t="shared" ref="CX786:CX849" si="316">AM786*WTP-AJ786</f>
        <v>0</v>
      </c>
      <c r="CZ786" s="58">
        <f t="array" ref="CZ786">SUM(IF(CW786:CX786&gt;=CW786, 1))</f>
        <v>2</v>
      </c>
      <c r="DA786" s="58">
        <f t="array" ref="DA786">SUM(IF(CW786:CX786&gt;=CX786, 1))</f>
        <v>1</v>
      </c>
      <c r="DC786" s="109">
        <f t="shared" ref="DC786:DC849" si="317">AR786*WTP-AO786</f>
        <v>-1298061.0361730966</v>
      </c>
      <c r="DD786" s="109">
        <f t="shared" ref="DD786:DD849" si="318">AS786*WTP-AP786</f>
        <v>0</v>
      </c>
      <c r="DF786" s="58">
        <f t="array" ref="DF786">SUM(IF(DC786:DD786&gt;=DC786, 1))</f>
        <v>2</v>
      </c>
      <c r="DG786" s="58">
        <f t="array" ref="DG786">SUM(IF(DC786:DD786&gt;=DD786, 1))</f>
        <v>1</v>
      </c>
      <c r="DI786" s="109">
        <f t="shared" ref="DI786:DI849" si="319">AX786*WTP-AU786</f>
        <v>-106305600.7610583</v>
      </c>
      <c r="DJ786" s="109">
        <f t="shared" ref="DJ786:DJ849" si="320">AY786*WTP-AV786</f>
        <v>0</v>
      </c>
      <c r="DL786" s="58">
        <f t="array" ref="DL786">SUM(IF(DI786:DJ786&gt;=DI786, 1))</f>
        <v>2</v>
      </c>
      <c r="DM786" s="58">
        <f t="array" ref="DM786">SUM(IF(DI786:DJ786&gt;=DJ786, 1))</f>
        <v>1</v>
      </c>
      <c r="DO786" s="109">
        <f t="shared" ref="DO786:DO849" si="321">BD786*WTP-BA786</f>
        <v>-8702406.2388597317</v>
      </c>
      <c r="DP786" s="109">
        <f t="shared" ref="DP786:DP849" si="322">BE786*WTP-BB786</f>
        <v>0</v>
      </c>
      <c r="DR786" s="58">
        <f t="array" ref="DR786">SUM(IF(DO786:DP786&gt;=DO786, 1))</f>
        <v>2</v>
      </c>
      <c r="DS786" s="58">
        <f t="array" ref="DS786">SUM(IF(DO786:DP786&gt;=DP786, 1))</f>
        <v>1</v>
      </c>
      <c r="DU786" s="109">
        <f t="shared" ref="DU786:DU849" si="323">BJ786*WTP-BG786</f>
        <v>-23173515.33126457</v>
      </c>
      <c r="DV786" s="109">
        <f t="shared" ref="DV786:DV849" si="324">BK786*WTP-BH786</f>
        <v>0</v>
      </c>
      <c r="DX786" s="58">
        <f t="array" ref="DX786">SUM(IF(DU786:DV786&gt;=DU786, 1))</f>
        <v>2</v>
      </c>
      <c r="DY786" s="58">
        <f t="array" ref="DY786">SUM(IF(DU786:DV786&gt;=DV786, 1))</f>
        <v>1</v>
      </c>
      <c r="EA786" s="109">
        <f t="shared" ref="EA786:EA849" si="325">BP786*WTP-BM786</f>
        <v>-164009289.7903538</v>
      </c>
      <c r="EB786" s="109">
        <f t="shared" ref="EB786:EB849" si="326">BQ786*WTP-BN786</f>
        <v>0</v>
      </c>
      <c r="ED786" s="58">
        <f t="array" ref="ED786">SUM(IF(EA786:EB786&gt;=EA786, 1))</f>
        <v>2</v>
      </c>
      <c r="EE786" s="58">
        <f t="array" ref="EE786">SUM(IF(EA786:EB786&gt;=EB786, 1))</f>
        <v>1</v>
      </c>
    </row>
    <row r="787" spans="4:135" ht="12" customHeight="1" x14ac:dyDescent="0.25">
      <c r="D787" s="11">
        <v>771</v>
      </c>
      <c r="E787" s="72">
        <v>210.80111604936852</v>
      </c>
      <c r="F787" s="72">
        <v>194.33987822692538</v>
      </c>
      <c r="G787" s="73"/>
      <c r="H787" s="74">
        <v>5.7914259138942406</v>
      </c>
      <c r="I787" s="74">
        <v>5.8080912294798654</v>
      </c>
      <c r="J787" s="73"/>
      <c r="K787" s="72">
        <v>226.39432158476015</v>
      </c>
      <c r="L787" s="72">
        <v>209.55099455157918</v>
      </c>
      <c r="M787" s="73"/>
      <c r="N787" s="74">
        <v>6.7327325885568303</v>
      </c>
      <c r="O787" s="74">
        <v>6.7475951865109716</v>
      </c>
      <c r="P787" s="73"/>
      <c r="Q787" s="72">
        <v>3246.6752136130349</v>
      </c>
      <c r="R787" s="72">
        <v>1887.1401549121674</v>
      </c>
      <c r="S787" s="73"/>
      <c r="T787" s="74">
        <v>4.6558555108595989</v>
      </c>
      <c r="U787" s="74">
        <v>4.7408164237702142</v>
      </c>
      <c r="V787" s="73"/>
      <c r="W787" s="72">
        <v>12572.616156575707</v>
      </c>
      <c r="X787" s="72">
        <v>12534.307247153432</v>
      </c>
      <c r="Y787" s="73"/>
      <c r="Z787" s="74">
        <v>3.0354827512499667</v>
      </c>
      <c r="AA787" s="74">
        <v>3.0682621897297193</v>
      </c>
      <c r="AB787" s="73"/>
      <c r="AC787" s="72">
        <v>51266.093570017001</v>
      </c>
      <c r="AD787" s="72">
        <v>51179.016209653018</v>
      </c>
      <c r="AE787" s="73"/>
      <c r="AF787" s="74">
        <v>3.9645259254863805</v>
      </c>
      <c r="AG787" s="74">
        <v>4.062697869731589</v>
      </c>
      <c r="AH787" s="73"/>
      <c r="AI787" s="72">
        <v>1748177.9270216471</v>
      </c>
      <c r="AJ787" s="72">
        <v>0</v>
      </c>
      <c r="AK787" s="73"/>
      <c r="AL787" s="74">
        <v>-1769.8509169169688</v>
      </c>
      <c r="AM787" s="74">
        <v>0</v>
      </c>
      <c r="AN787" s="73"/>
      <c r="AO787" s="72">
        <v>114450.68725214116</v>
      </c>
      <c r="AP787" s="72">
        <v>0</v>
      </c>
      <c r="AQ787" s="73"/>
      <c r="AR787" s="74">
        <v>-100.99160022558092</v>
      </c>
      <c r="AS787" s="74">
        <v>0</v>
      </c>
      <c r="AT787" s="73"/>
      <c r="AU787" s="72">
        <v>31011366.505400185</v>
      </c>
      <c r="AV787" s="72">
        <v>0</v>
      </c>
      <c r="AW787" s="73"/>
      <c r="AX787" s="74">
        <v>-1937.9816592756138</v>
      </c>
      <c r="AY787" s="74">
        <v>0</v>
      </c>
      <c r="AZ787" s="73"/>
      <c r="BA787" s="72">
        <v>351145.53838729241</v>
      </c>
      <c r="BB787" s="72">
        <v>0</v>
      </c>
      <c r="BC787" s="73"/>
      <c r="BD787" s="74">
        <v>-300.46153092296953</v>
      </c>
      <c r="BE787" s="74">
        <v>0</v>
      </c>
      <c r="BF787" s="73"/>
      <c r="BG787" s="72">
        <v>1372794.8349372095</v>
      </c>
      <c r="BH787" s="72">
        <v>0</v>
      </c>
      <c r="BI787" s="73"/>
      <c r="BJ787" s="74">
        <v>-1547.7035297375637</v>
      </c>
      <c r="BK787" s="74">
        <v>0</v>
      </c>
      <c r="BL787" s="73"/>
      <c r="BM787" s="72">
        <v>34597935.492998473</v>
      </c>
      <c r="BN787" s="72">
        <v>0</v>
      </c>
      <c r="BO787" s="73"/>
      <c r="BP787" s="74">
        <v>-5656.9892370786965</v>
      </c>
      <c r="BQ787" s="74">
        <v>0</v>
      </c>
      <c r="BS787" s="109">
        <f t="shared" si="306"/>
        <v>115617.71716183545</v>
      </c>
      <c r="BT787" s="109">
        <f t="shared" si="307"/>
        <v>115967.48471137039</v>
      </c>
      <c r="BV787" s="58">
        <f t="array" ref="BV787">SUM(IF(BS787:BT787&gt;=BS787, 1))</f>
        <v>2</v>
      </c>
      <c r="BW787" s="58">
        <f t="array" ref="BW787">SUM(IF(BS787:BT787&gt;=BT787, 1))</f>
        <v>1</v>
      </c>
      <c r="BY787" s="109">
        <f t="shared" si="308"/>
        <v>134428.25744955186</v>
      </c>
      <c r="BZ787" s="109">
        <f t="shared" si="309"/>
        <v>134742.35273566787</v>
      </c>
      <c r="CB787" s="58">
        <f t="array" ref="CB787">SUM(IF(BY787:BZ787&gt;=BY787, 1))</f>
        <v>2</v>
      </c>
      <c r="CC787" s="58">
        <f t="array" ref="CC787">SUM(IF(BY787:BZ787&gt;=BZ787, 1))</f>
        <v>1</v>
      </c>
      <c r="CE787" s="109">
        <f t="shared" si="310"/>
        <v>89870.435003578939</v>
      </c>
      <c r="CF787" s="109">
        <f t="shared" si="311"/>
        <v>92929.188320492118</v>
      </c>
      <c r="CH787" s="58">
        <f t="array" ref="CH787">SUM(IF(CE787:CF787&gt;=CE787, 1))</f>
        <v>2</v>
      </c>
      <c r="CI787" s="58">
        <f t="array" ref="CI787">SUM(IF(CE787:CF787&gt;=CF787, 1))</f>
        <v>1</v>
      </c>
      <c r="CK787" s="109">
        <f t="shared" si="312"/>
        <v>48137.038868423624</v>
      </c>
      <c r="CL787" s="109">
        <f t="shared" si="313"/>
        <v>48830.936547440957</v>
      </c>
      <c r="CN787" s="58">
        <f t="array" ref="CN787">SUM(IF(CK787:CL787&gt;=CK787, 1))</f>
        <v>2</v>
      </c>
      <c r="CO787" s="58">
        <f t="array" ref="CO787">SUM(IF(CK787:CL787&gt;=CL787, 1))</f>
        <v>1</v>
      </c>
      <c r="CQ787" s="109" cm="1">
        <f t="array" ref="CQ787">AF787*WTP-AC787</f>
        <v>28024.42493971061</v>
      </c>
      <c r="CR787" s="109">
        <f t="shared" si="314"/>
        <v>30074.941184978765</v>
      </c>
      <c r="CT787" s="58">
        <f t="array" ref="CT787">SUM(IF(CQ787:CR787&gt;=CQ787, 1))</f>
        <v>2</v>
      </c>
      <c r="CU787" s="58">
        <f t="array" ref="CU787">SUM(IF(CQ787:CR787&gt;=CR787, 1))</f>
        <v>1</v>
      </c>
      <c r="CW787" s="109">
        <f t="shared" si="315"/>
        <v>-37145196.265361018</v>
      </c>
      <c r="CX787" s="109">
        <f t="shared" si="316"/>
        <v>0</v>
      </c>
      <c r="CZ787" s="58">
        <f t="array" ref="CZ787">SUM(IF(CW787:CX787&gt;=CW787, 1))</f>
        <v>2</v>
      </c>
      <c r="DA787" s="58">
        <f t="array" ref="DA787">SUM(IF(CW787:CX787&gt;=CX787, 1))</f>
        <v>1</v>
      </c>
      <c r="DC787" s="109">
        <f t="shared" si="317"/>
        <v>-2134282.6917637596</v>
      </c>
      <c r="DD787" s="109">
        <f t="shared" si="318"/>
        <v>0</v>
      </c>
      <c r="DF787" s="58">
        <f t="array" ref="DF787">SUM(IF(DC787:DD787&gt;=DC787, 1))</f>
        <v>2</v>
      </c>
      <c r="DG787" s="58">
        <f t="array" ref="DG787">SUM(IF(DC787:DD787&gt;=DD787, 1))</f>
        <v>1</v>
      </c>
      <c r="DI787" s="109">
        <f t="shared" si="319"/>
        <v>-69770999.690912455</v>
      </c>
      <c r="DJ787" s="109">
        <f t="shared" si="320"/>
        <v>0</v>
      </c>
      <c r="DL787" s="58">
        <f t="array" ref="DL787">SUM(IF(DI787:DJ787&gt;=DI787, 1))</f>
        <v>2</v>
      </c>
      <c r="DM787" s="58">
        <f t="array" ref="DM787">SUM(IF(DI787:DJ787&gt;=DJ787, 1))</f>
        <v>1</v>
      </c>
      <c r="DO787" s="109">
        <f t="shared" si="321"/>
        <v>-6360376.1568466825</v>
      </c>
      <c r="DP787" s="109">
        <f t="shared" si="322"/>
        <v>0</v>
      </c>
      <c r="DR787" s="58">
        <f t="array" ref="DR787">SUM(IF(DO787:DP787&gt;=DO787, 1))</f>
        <v>2</v>
      </c>
      <c r="DS787" s="58">
        <f t="array" ref="DS787">SUM(IF(DO787:DP787&gt;=DP787, 1))</f>
        <v>1</v>
      </c>
      <c r="DU787" s="109">
        <f t="shared" si="323"/>
        <v>-32326865.429688487</v>
      </c>
      <c r="DV787" s="109">
        <f t="shared" si="324"/>
        <v>0</v>
      </c>
      <c r="DX787" s="58">
        <f t="array" ref="DX787">SUM(IF(DU787:DV787&gt;=DU787, 1))</f>
        <v>2</v>
      </c>
      <c r="DY787" s="58">
        <f t="array" ref="DY787">SUM(IF(DU787:DV787&gt;=DV787, 1))</f>
        <v>1</v>
      </c>
      <c r="EA787" s="109">
        <f t="shared" si="325"/>
        <v>-147737720.23457241</v>
      </c>
      <c r="EB787" s="109">
        <f t="shared" si="326"/>
        <v>0</v>
      </c>
      <c r="ED787" s="58">
        <f t="array" ref="ED787">SUM(IF(EA787:EB787&gt;=EA787, 1))</f>
        <v>2</v>
      </c>
      <c r="EE787" s="58">
        <f t="array" ref="EE787">SUM(IF(EA787:EB787&gt;=EB787, 1))</f>
        <v>1</v>
      </c>
    </row>
    <row r="788" spans="4:135" ht="12" customHeight="1" x14ac:dyDescent="0.25">
      <c r="D788" s="11">
        <v>772</v>
      </c>
      <c r="E788" s="72">
        <v>259.94659887492332</v>
      </c>
      <c r="F788" s="72">
        <v>242.92099133297486</v>
      </c>
      <c r="G788" s="73"/>
      <c r="H788" s="74">
        <v>5.823979495249981</v>
      </c>
      <c r="I788" s="74">
        <v>5.8419487905287761</v>
      </c>
      <c r="J788" s="73"/>
      <c r="K788" s="72">
        <v>279.39681500566161</v>
      </c>
      <c r="L788" s="72">
        <v>261.95292073472007</v>
      </c>
      <c r="M788" s="73"/>
      <c r="N788" s="74">
        <v>6.7018912161537747</v>
      </c>
      <c r="O788" s="74">
        <v>6.7179123100523714</v>
      </c>
      <c r="P788" s="73"/>
      <c r="Q788" s="72">
        <v>3252.822256974534</v>
      </c>
      <c r="R788" s="72">
        <v>1662.1617424627707</v>
      </c>
      <c r="S788" s="73"/>
      <c r="T788" s="74">
        <v>4.8368204609734367</v>
      </c>
      <c r="U788" s="74">
        <v>4.9774648981303198</v>
      </c>
      <c r="V788" s="73"/>
      <c r="W788" s="72">
        <v>10123.054995936671</v>
      </c>
      <c r="X788" s="72">
        <v>10136.006575128644</v>
      </c>
      <c r="Y788" s="73"/>
      <c r="Z788" s="74">
        <v>3.0780967066137004</v>
      </c>
      <c r="AA788" s="74">
        <v>3.1261929965544706</v>
      </c>
      <c r="AB788" s="73"/>
      <c r="AC788" s="72">
        <v>49933.035287950494</v>
      </c>
      <c r="AD788" s="72">
        <v>49952.460927324653</v>
      </c>
      <c r="AE788" s="73"/>
      <c r="AF788" s="74">
        <v>4.2922376642600035</v>
      </c>
      <c r="AG788" s="74">
        <v>4.3764603937245345</v>
      </c>
      <c r="AH788" s="73"/>
      <c r="AI788" s="72">
        <v>1822159.7531354653</v>
      </c>
      <c r="AJ788" s="72">
        <v>0</v>
      </c>
      <c r="AK788" s="73"/>
      <c r="AL788" s="74">
        <v>-1923.1576064791843</v>
      </c>
      <c r="AM788" s="74">
        <v>0</v>
      </c>
      <c r="AN788" s="73"/>
      <c r="AO788" s="72">
        <v>122996.80113084021</v>
      </c>
      <c r="AP788" s="72">
        <v>0</v>
      </c>
      <c r="AQ788" s="73"/>
      <c r="AR788" s="74">
        <v>-112.96464364765149</v>
      </c>
      <c r="AS788" s="74">
        <v>0</v>
      </c>
      <c r="AT788" s="73"/>
      <c r="AU788" s="72">
        <v>37499128.002469927</v>
      </c>
      <c r="AV788" s="72">
        <v>0</v>
      </c>
      <c r="AW788" s="73"/>
      <c r="AX788" s="74">
        <v>-3315.6312762312523</v>
      </c>
      <c r="AY788" s="74">
        <v>0</v>
      </c>
      <c r="AZ788" s="73"/>
      <c r="BA788" s="72">
        <v>-117019.83817468796</v>
      </c>
      <c r="BB788" s="72">
        <v>0</v>
      </c>
      <c r="BC788" s="73"/>
      <c r="BD788" s="74">
        <v>-434.5585956931032</v>
      </c>
      <c r="BE788" s="74">
        <v>0</v>
      </c>
      <c r="BF788" s="73"/>
      <c r="BG788" s="72">
        <v>-312341.53826255625</v>
      </c>
      <c r="BH788" s="72">
        <v>0</v>
      </c>
      <c r="BI788" s="73"/>
      <c r="BJ788" s="74">
        <v>-1354.2028846996723</v>
      </c>
      <c r="BK788" s="74">
        <v>0</v>
      </c>
      <c r="BL788" s="73"/>
      <c r="BM788" s="72">
        <v>39014923.180298992</v>
      </c>
      <c r="BN788" s="72">
        <v>0</v>
      </c>
      <c r="BO788" s="73"/>
      <c r="BP788" s="74">
        <v>-7140.5150067508639</v>
      </c>
      <c r="BQ788" s="74">
        <v>0</v>
      </c>
      <c r="BS788" s="109">
        <f t="shared" si="306"/>
        <v>116219.64330612469</v>
      </c>
      <c r="BT788" s="109">
        <f t="shared" si="307"/>
        <v>116596.05481924255</v>
      </c>
      <c r="BV788" s="58">
        <f t="array" ref="BV788">SUM(IF(BS788:BT788&gt;=BS788, 1))</f>
        <v>2</v>
      </c>
      <c r="BW788" s="58">
        <f t="array" ref="BW788">SUM(IF(BS788:BT788&gt;=BT788, 1))</f>
        <v>1</v>
      </c>
      <c r="BY788" s="109">
        <f t="shared" si="308"/>
        <v>133758.42750806984</v>
      </c>
      <c r="BZ788" s="109">
        <f t="shared" si="309"/>
        <v>134096.29328031273</v>
      </c>
      <c r="CB788" s="58">
        <f t="array" ref="CB788">SUM(IF(BY788:BZ788&gt;=BY788, 1))</f>
        <v>2</v>
      </c>
      <c r="CC788" s="58">
        <f t="array" ref="CC788">SUM(IF(BY788:BZ788&gt;=BZ788, 1))</f>
        <v>1</v>
      </c>
      <c r="CE788" s="109">
        <f t="shared" si="310"/>
        <v>93483.586962494213</v>
      </c>
      <c r="CF788" s="109">
        <f t="shared" si="311"/>
        <v>97887.136220143613</v>
      </c>
      <c r="CH788" s="58">
        <f t="array" ref="CH788">SUM(IF(CE788:CF788&gt;=CE788, 1))</f>
        <v>2</v>
      </c>
      <c r="CI788" s="58">
        <f t="array" ref="CI788">SUM(IF(CE788:CF788&gt;=CF788, 1))</f>
        <v>1</v>
      </c>
      <c r="CK788" s="109">
        <f t="shared" si="312"/>
        <v>51438.879136337338</v>
      </c>
      <c r="CL788" s="109">
        <f t="shared" si="313"/>
        <v>52387.853355960768</v>
      </c>
      <c r="CN788" s="58">
        <f t="array" ref="CN788">SUM(IF(CK788:CL788&gt;=CK788, 1))</f>
        <v>2</v>
      </c>
      <c r="CO788" s="58">
        <f t="array" ref="CO788">SUM(IF(CK788:CL788&gt;=CL788, 1))</f>
        <v>1</v>
      </c>
      <c r="CQ788" s="109" cm="1">
        <f t="array" ref="CQ788">AF788*WTP-AC788</f>
        <v>35911.71799724958</v>
      </c>
      <c r="CR788" s="109">
        <f t="shared" si="314"/>
        <v>37576.746947166037</v>
      </c>
      <c r="CT788" s="58">
        <f t="array" ref="CT788">SUM(IF(CQ788:CR788&gt;=CQ788, 1))</f>
        <v>2</v>
      </c>
      <c r="CU788" s="58">
        <f t="array" ref="CU788">SUM(IF(CQ788:CR788&gt;=CR788, 1))</f>
        <v>1</v>
      </c>
      <c r="CW788" s="109">
        <f t="shared" si="315"/>
        <v>-40285311.882719152</v>
      </c>
      <c r="CX788" s="109">
        <f t="shared" si="316"/>
        <v>0</v>
      </c>
      <c r="CZ788" s="58">
        <f t="array" ref="CZ788">SUM(IF(CW788:CX788&gt;=CW788, 1))</f>
        <v>2</v>
      </c>
      <c r="DA788" s="58">
        <f t="array" ref="DA788">SUM(IF(CW788:CX788&gt;=CX788, 1))</f>
        <v>1</v>
      </c>
      <c r="DC788" s="109">
        <f t="shared" si="317"/>
        <v>-2382289.6740838699</v>
      </c>
      <c r="DD788" s="109">
        <f t="shared" si="318"/>
        <v>0</v>
      </c>
      <c r="DF788" s="58">
        <f t="array" ref="DF788">SUM(IF(DC788:DD788&gt;=DC788, 1))</f>
        <v>2</v>
      </c>
      <c r="DG788" s="58">
        <f t="array" ref="DG788">SUM(IF(DC788:DD788&gt;=DD788, 1))</f>
        <v>1</v>
      </c>
      <c r="DI788" s="109">
        <f t="shared" si="319"/>
        <v>-103811753.52709498</v>
      </c>
      <c r="DJ788" s="109">
        <f t="shared" si="320"/>
        <v>0</v>
      </c>
      <c r="DL788" s="58">
        <f t="array" ref="DL788">SUM(IF(DI788:DJ788&gt;=DI788, 1))</f>
        <v>2</v>
      </c>
      <c r="DM788" s="58">
        <f t="array" ref="DM788">SUM(IF(DI788:DJ788&gt;=DJ788, 1))</f>
        <v>1</v>
      </c>
      <c r="DO788" s="109">
        <f t="shared" si="321"/>
        <v>-8574152.0756873768</v>
      </c>
      <c r="DP788" s="109">
        <f t="shared" si="322"/>
        <v>0</v>
      </c>
      <c r="DR788" s="58">
        <f t="array" ref="DR788">SUM(IF(DO788:DP788&gt;=DO788, 1))</f>
        <v>2</v>
      </c>
      <c r="DS788" s="58">
        <f t="array" ref="DS788">SUM(IF(DO788:DP788&gt;=DP788, 1))</f>
        <v>1</v>
      </c>
      <c r="DU788" s="109">
        <f t="shared" si="323"/>
        <v>-26771716.155730888</v>
      </c>
      <c r="DV788" s="109">
        <f t="shared" si="324"/>
        <v>0</v>
      </c>
      <c r="DX788" s="58">
        <f t="array" ref="DX788">SUM(IF(DU788:DV788&gt;=DU788, 1))</f>
        <v>2</v>
      </c>
      <c r="DY788" s="58">
        <f t="array" ref="DY788">SUM(IF(DU788:DV788&gt;=DV788, 1))</f>
        <v>1</v>
      </c>
      <c r="EA788" s="109">
        <f t="shared" si="325"/>
        <v>-181825223.31531626</v>
      </c>
      <c r="EB788" s="109">
        <f t="shared" si="326"/>
        <v>0</v>
      </c>
      <c r="ED788" s="58">
        <f t="array" ref="ED788">SUM(IF(EA788:EB788&gt;=EA788, 1))</f>
        <v>2</v>
      </c>
      <c r="EE788" s="58">
        <f t="array" ref="EE788">SUM(IF(EA788:EB788&gt;=EB788, 1))</f>
        <v>1</v>
      </c>
    </row>
    <row r="789" spans="4:135" ht="12" customHeight="1" x14ac:dyDescent="0.25">
      <c r="D789" s="11">
        <v>773</v>
      </c>
      <c r="E789" s="72">
        <v>220.42166526209797</v>
      </c>
      <c r="F789" s="72">
        <v>211.67258835964699</v>
      </c>
      <c r="G789" s="73"/>
      <c r="H789" s="74">
        <v>5.7628920229135598</v>
      </c>
      <c r="I789" s="74">
        <v>5.7732516506550429</v>
      </c>
      <c r="J789" s="73"/>
      <c r="K789" s="72">
        <v>237.22945064862577</v>
      </c>
      <c r="L789" s="72">
        <v>228.23933617984164</v>
      </c>
      <c r="M789" s="73"/>
      <c r="N789" s="74">
        <v>6.7273055438693437</v>
      </c>
      <c r="O789" s="74">
        <v>6.7353429474784727</v>
      </c>
      <c r="P789" s="73"/>
      <c r="Q789" s="72">
        <v>2094.9283926082471</v>
      </c>
      <c r="R789" s="72">
        <v>1067.6736648339179</v>
      </c>
      <c r="S789" s="73"/>
      <c r="T789" s="74">
        <v>4.7024368237505882</v>
      </c>
      <c r="U789" s="74">
        <v>4.8253717126324949</v>
      </c>
      <c r="V789" s="73"/>
      <c r="W789" s="72">
        <v>12708.53527020167</v>
      </c>
      <c r="X789" s="72">
        <v>12801.142570216665</v>
      </c>
      <c r="Y789" s="73"/>
      <c r="Z789" s="74">
        <v>2.9634385075697152</v>
      </c>
      <c r="AA789" s="74">
        <v>3.0330173211359068</v>
      </c>
      <c r="AB789" s="73"/>
      <c r="AC789" s="72">
        <v>50560.375196053239</v>
      </c>
      <c r="AD789" s="72">
        <v>50560.199401993959</v>
      </c>
      <c r="AE789" s="73"/>
      <c r="AF789" s="74">
        <v>4.4888529745313006</v>
      </c>
      <c r="AG789" s="74">
        <v>4.5698670573782421</v>
      </c>
      <c r="AH789" s="73"/>
      <c r="AI789" s="72">
        <v>942400.38969381934</v>
      </c>
      <c r="AJ789" s="72">
        <v>0</v>
      </c>
      <c r="AK789" s="73"/>
      <c r="AL789" s="74">
        <v>-1115.8796898815124</v>
      </c>
      <c r="AM789" s="74">
        <v>0</v>
      </c>
      <c r="AN789" s="73"/>
      <c r="AO789" s="72">
        <v>62539.959123236891</v>
      </c>
      <c r="AP789" s="72">
        <v>0</v>
      </c>
      <c r="AQ789" s="73"/>
      <c r="AR789" s="74">
        <v>-55.912401885119884</v>
      </c>
      <c r="AS789" s="74">
        <v>0</v>
      </c>
      <c r="AT789" s="73"/>
      <c r="AU789" s="72">
        <v>23579363.267987944</v>
      </c>
      <c r="AV789" s="72">
        <v>0</v>
      </c>
      <c r="AW789" s="73"/>
      <c r="AX789" s="74">
        <v>-2821.8185079923142</v>
      </c>
      <c r="AY789" s="74">
        <v>0</v>
      </c>
      <c r="AZ789" s="73"/>
      <c r="BA789" s="72">
        <v>-846020.61218029144</v>
      </c>
      <c r="BB789" s="72">
        <v>0</v>
      </c>
      <c r="BC789" s="73"/>
      <c r="BD789" s="74">
        <v>-635.64222732458586</v>
      </c>
      <c r="BE789" s="74">
        <v>0</v>
      </c>
      <c r="BF789" s="73"/>
      <c r="BG789" s="72">
        <v>2846.3808838483556</v>
      </c>
      <c r="BH789" s="72">
        <v>0</v>
      </c>
      <c r="BI789" s="73"/>
      <c r="BJ789" s="74">
        <v>-1311.7447636334205</v>
      </c>
      <c r="BK789" s="74">
        <v>0</v>
      </c>
      <c r="BL789" s="73"/>
      <c r="BM789" s="72">
        <v>23741129.38550856</v>
      </c>
      <c r="BN789" s="72">
        <v>0</v>
      </c>
      <c r="BO789" s="73"/>
      <c r="BP789" s="74">
        <v>-5940.9975907169537</v>
      </c>
      <c r="BQ789" s="74">
        <v>0</v>
      </c>
      <c r="BS789" s="109">
        <f t="shared" si="306"/>
        <v>115037.4187930091</v>
      </c>
      <c r="BT789" s="109">
        <f t="shared" si="307"/>
        <v>115253.3604247412</v>
      </c>
      <c r="BV789" s="58">
        <f t="array" ref="BV789">SUM(IF(BS789:BT789&gt;=BS789, 1))</f>
        <v>2</v>
      </c>
      <c r="BW789" s="58">
        <f t="array" ref="BW789">SUM(IF(BS789:BT789&gt;=BT789, 1))</f>
        <v>1</v>
      </c>
      <c r="BY789" s="109">
        <f t="shared" si="308"/>
        <v>134308.88142673825</v>
      </c>
      <c r="BZ789" s="109">
        <f t="shared" si="309"/>
        <v>134478.61961338963</v>
      </c>
      <c r="CB789" s="58">
        <f t="array" ref="CB789">SUM(IF(BY789:BZ789&gt;=BY789, 1))</f>
        <v>2</v>
      </c>
      <c r="CC789" s="58">
        <f t="array" ref="CC789">SUM(IF(BY789:BZ789&gt;=BZ789, 1))</f>
        <v>1</v>
      </c>
      <c r="CE789" s="109">
        <f t="shared" si="310"/>
        <v>91953.808082403528</v>
      </c>
      <c r="CF789" s="109">
        <f t="shared" si="311"/>
        <v>95439.760587815981</v>
      </c>
      <c r="CH789" s="58">
        <f t="array" ref="CH789">SUM(IF(CE789:CF789&gt;=CE789, 1))</f>
        <v>2</v>
      </c>
      <c r="CI789" s="58">
        <f t="array" ref="CI789">SUM(IF(CE789:CF789&gt;=CF789, 1))</f>
        <v>1</v>
      </c>
      <c r="CK789" s="109">
        <f t="shared" si="312"/>
        <v>46560.234881192635</v>
      </c>
      <c r="CL789" s="109">
        <f t="shared" si="313"/>
        <v>47859.203852501472</v>
      </c>
      <c r="CN789" s="58">
        <f t="array" ref="CN789">SUM(IF(CK789:CL789&gt;=CK789, 1))</f>
        <v>2</v>
      </c>
      <c r="CO789" s="58">
        <f t="array" ref="CO789">SUM(IF(CK789:CL789&gt;=CL789, 1))</f>
        <v>1</v>
      </c>
      <c r="CQ789" s="109" cm="1">
        <f t="array" ref="CQ789">AF789*WTP-AC789</f>
        <v>39216.684294572769</v>
      </c>
      <c r="CR789" s="109">
        <f t="shared" si="314"/>
        <v>40837.141745570887</v>
      </c>
      <c r="CT789" s="58">
        <f t="array" ref="CT789">SUM(IF(CQ789:CR789&gt;=CQ789, 1))</f>
        <v>2</v>
      </c>
      <c r="CU789" s="58">
        <f t="array" ref="CU789">SUM(IF(CQ789:CR789&gt;=CR789, 1))</f>
        <v>1</v>
      </c>
      <c r="CW789" s="109">
        <f t="shared" si="315"/>
        <v>-23259994.187324066</v>
      </c>
      <c r="CX789" s="109">
        <f t="shared" si="316"/>
        <v>0</v>
      </c>
      <c r="CZ789" s="58">
        <f t="array" ref="CZ789">SUM(IF(CW789:CX789&gt;=CW789, 1))</f>
        <v>2</v>
      </c>
      <c r="DA789" s="58">
        <f t="array" ref="DA789">SUM(IF(CW789:CX789&gt;=CX789, 1))</f>
        <v>1</v>
      </c>
      <c r="DC789" s="109">
        <f t="shared" si="317"/>
        <v>-1180787.9968256345</v>
      </c>
      <c r="DD789" s="109">
        <f t="shared" si="318"/>
        <v>0</v>
      </c>
      <c r="DF789" s="58">
        <f t="array" ref="DF789">SUM(IF(DC789:DD789&gt;=DC789, 1))</f>
        <v>2</v>
      </c>
      <c r="DG789" s="58">
        <f t="array" ref="DG789">SUM(IF(DC789:DD789&gt;=DD789, 1))</f>
        <v>1</v>
      </c>
      <c r="DI789" s="109">
        <f t="shared" si="319"/>
        <v>-80015733.427834228</v>
      </c>
      <c r="DJ789" s="109">
        <f t="shared" si="320"/>
        <v>0</v>
      </c>
      <c r="DL789" s="58">
        <f t="array" ref="DL789">SUM(IF(DI789:DJ789&gt;=DI789, 1))</f>
        <v>2</v>
      </c>
      <c r="DM789" s="58">
        <f t="array" ref="DM789">SUM(IF(DI789:DJ789&gt;=DJ789, 1))</f>
        <v>1</v>
      </c>
      <c r="DO789" s="109">
        <f t="shared" si="321"/>
        <v>-11866823.934311427</v>
      </c>
      <c r="DP789" s="109">
        <f t="shared" si="322"/>
        <v>0</v>
      </c>
      <c r="DR789" s="58">
        <f t="array" ref="DR789">SUM(IF(DO789:DP789&gt;=DO789, 1))</f>
        <v>2</v>
      </c>
      <c r="DS789" s="58">
        <f t="array" ref="DS789">SUM(IF(DO789:DP789&gt;=DP789, 1))</f>
        <v>1</v>
      </c>
      <c r="DU789" s="109">
        <f t="shared" si="323"/>
        <v>-26237741.65355226</v>
      </c>
      <c r="DV789" s="109">
        <f t="shared" si="324"/>
        <v>0</v>
      </c>
      <c r="DX789" s="58">
        <f t="array" ref="DX789">SUM(IF(DU789:DV789&gt;=DU789, 1))</f>
        <v>2</v>
      </c>
      <c r="DY789" s="58">
        <f t="array" ref="DY789">SUM(IF(DU789:DV789&gt;=DV789, 1))</f>
        <v>1</v>
      </c>
      <c r="EA789" s="109">
        <f t="shared" si="325"/>
        <v>-142561081.19984764</v>
      </c>
      <c r="EB789" s="109">
        <f t="shared" si="326"/>
        <v>0</v>
      </c>
      <c r="ED789" s="58">
        <f t="array" ref="ED789">SUM(IF(EA789:EB789&gt;=EA789, 1))</f>
        <v>2</v>
      </c>
      <c r="EE789" s="58">
        <f t="array" ref="EE789">SUM(IF(EA789:EB789&gt;=EB789, 1))</f>
        <v>1</v>
      </c>
    </row>
    <row r="790" spans="4:135" ht="12" customHeight="1" x14ac:dyDescent="0.25">
      <c r="D790" s="11">
        <v>774</v>
      </c>
      <c r="E790" s="72">
        <v>273.86821007876273</v>
      </c>
      <c r="F790" s="72">
        <v>233.82793924638906</v>
      </c>
      <c r="G790" s="73"/>
      <c r="H790" s="74">
        <v>5.8830969424561586</v>
      </c>
      <c r="I790" s="74">
        <v>5.9047378035385778</v>
      </c>
      <c r="J790" s="73"/>
      <c r="K790" s="72">
        <v>292.96248294986344</v>
      </c>
      <c r="L790" s="72">
        <v>252.02265970677593</v>
      </c>
      <c r="M790" s="73"/>
      <c r="N790" s="74">
        <v>6.7445334812672071</v>
      </c>
      <c r="O790" s="74">
        <v>6.7638882303601493</v>
      </c>
      <c r="P790" s="73"/>
      <c r="Q790" s="72">
        <v>2434.4290071857163</v>
      </c>
      <c r="R790" s="72">
        <v>1303.3522390084318</v>
      </c>
      <c r="S790" s="73"/>
      <c r="T790" s="74">
        <v>4.7396553983099006</v>
      </c>
      <c r="U790" s="74">
        <v>4.8509591808994008</v>
      </c>
      <c r="V790" s="73"/>
      <c r="W790" s="72">
        <v>12040.723200589457</v>
      </c>
      <c r="X790" s="72">
        <v>12063.716466229822</v>
      </c>
      <c r="Y790" s="73"/>
      <c r="Z790" s="74">
        <v>3.0469487800635071</v>
      </c>
      <c r="AA790" s="74">
        <v>3.098897298321222</v>
      </c>
      <c r="AB790" s="73"/>
      <c r="AC790" s="72">
        <v>50181.272215633217</v>
      </c>
      <c r="AD790" s="72">
        <v>49968.610315216378</v>
      </c>
      <c r="AE790" s="73"/>
      <c r="AF790" s="74">
        <v>4.8599999214705489</v>
      </c>
      <c r="AG790" s="74">
        <v>4.9448253592773126</v>
      </c>
      <c r="AH790" s="73"/>
      <c r="AI790" s="72">
        <v>4285451.5054764012</v>
      </c>
      <c r="AJ790" s="72">
        <v>0</v>
      </c>
      <c r="AK790" s="73"/>
      <c r="AL790" s="74">
        <v>-2316.1896455124793</v>
      </c>
      <c r="AM790" s="74">
        <v>0</v>
      </c>
      <c r="AN790" s="73"/>
      <c r="AO790" s="72">
        <v>289697.47726175113</v>
      </c>
      <c r="AP790" s="72">
        <v>0</v>
      </c>
      <c r="AQ790" s="73"/>
      <c r="AR790" s="74">
        <v>-136.95765006035396</v>
      </c>
      <c r="AS790" s="74">
        <v>0</v>
      </c>
      <c r="AT790" s="73"/>
      <c r="AU790" s="72">
        <v>25731061.745778032</v>
      </c>
      <c r="AV790" s="72">
        <v>0</v>
      </c>
      <c r="AW790" s="73"/>
      <c r="AX790" s="74">
        <v>-2532.069071637221</v>
      </c>
      <c r="AY790" s="74">
        <v>0</v>
      </c>
      <c r="AZ790" s="73"/>
      <c r="BA790" s="72">
        <v>-204955.55581519203</v>
      </c>
      <c r="BB790" s="72">
        <v>0</v>
      </c>
      <c r="BC790" s="73"/>
      <c r="BD790" s="74">
        <v>-463.05460041283862</v>
      </c>
      <c r="BE790" s="74">
        <v>0</v>
      </c>
      <c r="BF790" s="73"/>
      <c r="BG790" s="72">
        <v>3358618.7385352454</v>
      </c>
      <c r="BH790" s="72">
        <v>0</v>
      </c>
      <c r="BI790" s="73"/>
      <c r="BJ790" s="74">
        <v>-1339.6678218516197</v>
      </c>
      <c r="BK790" s="74">
        <v>0</v>
      </c>
      <c r="BL790" s="73"/>
      <c r="BM790" s="72">
        <v>33459873.911236234</v>
      </c>
      <c r="BN790" s="72">
        <v>0</v>
      </c>
      <c r="BO790" s="73"/>
      <c r="BP790" s="74">
        <v>-6787.9387894745123</v>
      </c>
      <c r="BQ790" s="74">
        <v>0</v>
      </c>
      <c r="BS790" s="109">
        <f t="shared" si="306"/>
        <v>117388.07063904441</v>
      </c>
      <c r="BT790" s="109">
        <f t="shared" si="307"/>
        <v>117860.92813152517</v>
      </c>
      <c r="BV790" s="58">
        <f t="array" ref="BV790">SUM(IF(BS790:BT790&gt;=BS790, 1))</f>
        <v>2</v>
      </c>
      <c r="BW790" s="58">
        <f t="array" ref="BW790">SUM(IF(BS790:BT790&gt;=BT790, 1))</f>
        <v>1</v>
      </c>
      <c r="BY790" s="109">
        <f t="shared" si="308"/>
        <v>134597.70714239427</v>
      </c>
      <c r="BZ790" s="109">
        <f t="shared" si="309"/>
        <v>135025.74194749622</v>
      </c>
      <c r="CB790" s="58">
        <f t="array" ref="CB790">SUM(IF(BY790:BZ790&gt;=BY790, 1))</f>
        <v>2</v>
      </c>
      <c r="CC790" s="58">
        <f t="array" ref="CC790">SUM(IF(BY790:BZ790&gt;=BZ790, 1))</f>
        <v>1</v>
      </c>
      <c r="CE790" s="109">
        <f t="shared" si="310"/>
        <v>92358.678959012308</v>
      </c>
      <c r="CF790" s="109">
        <f t="shared" si="311"/>
        <v>95715.831378979594</v>
      </c>
      <c r="CH790" s="58">
        <f t="array" ref="CH790">SUM(IF(CE790:CF790&gt;=CE790, 1))</f>
        <v>2</v>
      </c>
      <c r="CI790" s="58">
        <f t="array" ref="CI790">SUM(IF(CE790:CF790&gt;=CF790, 1))</f>
        <v>1</v>
      </c>
      <c r="CK790" s="109">
        <f t="shared" si="312"/>
        <v>48898.252400680685</v>
      </c>
      <c r="CL790" s="109">
        <f t="shared" si="313"/>
        <v>49914.229500194619</v>
      </c>
      <c r="CN790" s="58">
        <f t="array" ref="CN790">SUM(IF(CK790:CL790&gt;=CK790, 1))</f>
        <v>2</v>
      </c>
      <c r="CO790" s="58">
        <f t="array" ref="CO790">SUM(IF(CK790:CL790&gt;=CL790, 1))</f>
        <v>1</v>
      </c>
      <c r="CQ790" s="109" cm="1">
        <f t="array" ref="CQ790">AF790*WTP-AC790</f>
        <v>47018.726213777758</v>
      </c>
      <c r="CR790" s="109">
        <f t="shared" si="314"/>
        <v>48927.896870329867</v>
      </c>
      <c r="CT790" s="58">
        <f t="array" ref="CT790">SUM(IF(CQ790:CR790&gt;=CQ790, 1))</f>
        <v>2</v>
      </c>
      <c r="CU790" s="58">
        <f t="array" ref="CU790">SUM(IF(CQ790:CR790&gt;=CR790, 1))</f>
        <v>1</v>
      </c>
      <c r="CW790" s="109">
        <f t="shared" si="315"/>
        <v>-50609244.415725984</v>
      </c>
      <c r="CX790" s="109">
        <f t="shared" si="316"/>
        <v>0</v>
      </c>
      <c r="CZ790" s="58">
        <f t="array" ref="CZ790">SUM(IF(CW790:CX790&gt;=CW790, 1))</f>
        <v>2</v>
      </c>
      <c r="DA790" s="58">
        <f t="array" ref="DA790">SUM(IF(CW790:CX790&gt;=CX790, 1))</f>
        <v>1</v>
      </c>
      <c r="DC790" s="109">
        <f t="shared" si="317"/>
        <v>-3028850.4784688302</v>
      </c>
      <c r="DD790" s="109">
        <f t="shared" si="318"/>
        <v>0</v>
      </c>
      <c r="DF790" s="58">
        <f t="array" ref="DF790">SUM(IF(DC790:DD790&gt;=DC790, 1))</f>
        <v>2</v>
      </c>
      <c r="DG790" s="58">
        <f t="array" ref="DG790">SUM(IF(DC790:DD790&gt;=DD790, 1))</f>
        <v>1</v>
      </c>
      <c r="DI790" s="109">
        <f t="shared" si="319"/>
        <v>-76372443.178522453</v>
      </c>
      <c r="DJ790" s="109">
        <f t="shared" si="320"/>
        <v>0</v>
      </c>
      <c r="DL790" s="58">
        <f t="array" ref="DL790">SUM(IF(DI790:DJ790&gt;=DI790, 1))</f>
        <v>2</v>
      </c>
      <c r="DM790" s="58">
        <f t="array" ref="DM790">SUM(IF(DI790:DJ790&gt;=DJ790, 1))</f>
        <v>1</v>
      </c>
      <c r="DO790" s="109">
        <f t="shared" si="321"/>
        <v>-9056136.4524415806</v>
      </c>
      <c r="DP790" s="109">
        <f t="shared" si="322"/>
        <v>0</v>
      </c>
      <c r="DR790" s="58">
        <f t="array" ref="DR790">SUM(IF(DO790:DP790&gt;=DO790, 1))</f>
        <v>2</v>
      </c>
      <c r="DS790" s="58">
        <f t="array" ref="DS790">SUM(IF(DO790:DP790&gt;=DP790, 1))</f>
        <v>1</v>
      </c>
      <c r="DU790" s="109">
        <f t="shared" si="323"/>
        <v>-30151975.175567638</v>
      </c>
      <c r="DV790" s="109">
        <f t="shared" si="324"/>
        <v>0</v>
      </c>
      <c r="DX790" s="58">
        <f t="array" ref="DX790">SUM(IF(DU790:DV790&gt;=DU790, 1))</f>
        <v>2</v>
      </c>
      <c r="DY790" s="58">
        <f t="array" ref="DY790">SUM(IF(DU790:DV790&gt;=DV790, 1))</f>
        <v>1</v>
      </c>
      <c r="EA790" s="109">
        <f t="shared" si="325"/>
        <v>-169218649.70072648</v>
      </c>
      <c r="EB790" s="109">
        <f t="shared" si="326"/>
        <v>0</v>
      </c>
      <c r="ED790" s="58">
        <f t="array" ref="ED790">SUM(IF(EA790:EB790&gt;=EA790, 1))</f>
        <v>2</v>
      </c>
      <c r="EE790" s="58">
        <f t="array" ref="EE790">SUM(IF(EA790:EB790&gt;=EB790, 1))</f>
        <v>1</v>
      </c>
    </row>
    <row r="791" spans="4:135" ht="12" customHeight="1" x14ac:dyDescent="0.25">
      <c r="D791" s="11">
        <v>775</v>
      </c>
      <c r="E791" s="72">
        <v>281.25382625325744</v>
      </c>
      <c r="F791" s="72">
        <v>256.87352044540745</v>
      </c>
      <c r="G791" s="73"/>
      <c r="H791" s="74">
        <v>5.8358351820990055</v>
      </c>
      <c r="I791" s="74">
        <v>5.8526026386303576</v>
      </c>
      <c r="J791" s="73"/>
      <c r="K791" s="72">
        <v>301.96665984313944</v>
      </c>
      <c r="L791" s="72">
        <v>277.00103551741182</v>
      </c>
      <c r="M791" s="73"/>
      <c r="N791" s="74">
        <v>6.7029284166355572</v>
      </c>
      <c r="O791" s="74">
        <v>6.717954911890005</v>
      </c>
      <c r="P791" s="73"/>
      <c r="Q791" s="72">
        <v>1799.984666701469</v>
      </c>
      <c r="R791" s="72">
        <v>1117.586286089962</v>
      </c>
      <c r="S791" s="73"/>
      <c r="T791" s="74">
        <v>4.8153337701098096</v>
      </c>
      <c r="U791" s="74">
        <v>4.9117728526356608</v>
      </c>
      <c r="V791" s="73"/>
      <c r="W791" s="72">
        <v>10574.641829283601</v>
      </c>
      <c r="X791" s="72">
        <v>10570.787640691713</v>
      </c>
      <c r="Y791" s="73"/>
      <c r="Z791" s="74">
        <v>3.0346844516133364</v>
      </c>
      <c r="AA791" s="74">
        <v>3.0755646278778239</v>
      </c>
      <c r="AB791" s="73"/>
      <c r="AC791" s="72">
        <v>51007.3089356731</v>
      </c>
      <c r="AD791" s="72">
        <v>50958.638065441213</v>
      </c>
      <c r="AE791" s="73"/>
      <c r="AF791" s="74">
        <v>4.6927671987548543</v>
      </c>
      <c r="AG791" s="74">
        <v>4.8193461603704453</v>
      </c>
      <c r="AH791" s="73"/>
      <c r="AI791" s="72">
        <v>2633318.7486930238</v>
      </c>
      <c r="AJ791" s="72">
        <v>0</v>
      </c>
      <c r="AK791" s="73"/>
      <c r="AL791" s="74">
        <v>-1811.0542993143195</v>
      </c>
      <c r="AM791" s="74">
        <v>0</v>
      </c>
      <c r="AN791" s="73"/>
      <c r="AO791" s="72">
        <v>176064.23730328717</v>
      </c>
      <c r="AP791" s="72">
        <v>0</v>
      </c>
      <c r="AQ791" s="73"/>
      <c r="AR791" s="74">
        <v>-105.97084982927716</v>
      </c>
      <c r="AS791" s="74">
        <v>0</v>
      </c>
      <c r="AT791" s="73"/>
      <c r="AU791" s="72">
        <v>15642451.486181214</v>
      </c>
      <c r="AV791" s="72">
        <v>0</v>
      </c>
      <c r="AW791" s="73"/>
      <c r="AX791" s="74">
        <v>-2210.6495452562858</v>
      </c>
      <c r="AY791" s="74">
        <v>0</v>
      </c>
      <c r="AZ791" s="73"/>
      <c r="BA791" s="72">
        <v>34046.423667050061</v>
      </c>
      <c r="BB791" s="72">
        <v>0</v>
      </c>
      <c r="BC791" s="73"/>
      <c r="BD791" s="74">
        <v>-361.11979668404933</v>
      </c>
      <c r="BE791" s="74">
        <v>0</v>
      </c>
      <c r="BF791" s="73"/>
      <c r="BG791" s="72">
        <v>760719.49675564573</v>
      </c>
      <c r="BH791" s="72">
        <v>0</v>
      </c>
      <c r="BI791" s="73"/>
      <c r="BJ791" s="74">
        <v>-1978.4130327092425</v>
      </c>
      <c r="BK791" s="74">
        <v>0</v>
      </c>
      <c r="BL791" s="73"/>
      <c r="BM791" s="72">
        <v>19246600.39260022</v>
      </c>
      <c r="BN791" s="72">
        <v>0</v>
      </c>
      <c r="BO791" s="73"/>
      <c r="BP791" s="74">
        <v>-6467.207523793174</v>
      </c>
      <c r="BQ791" s="74">
        <v>0</v>
      </c>
      <c r="BS791" s="109">
        <f t="shared" si="306"/>
        <v>116435.44981572685</v>
      </c>
      <c r="BT791" s="109">
        <f t="shared" si="307"/>
        <v>116795.17925216173</v>
      </c>
      <c r="BV791" s="58">
        <f t="array" ref="BV791">SUM(IF(BS791:BT791&gt;=BS791, 1))</f>
        <v>2</v>
      </c>
      <c r="BW791" s="58">
        <f t="array" ref="BW791">SUM(IF(BS791:BT791&gt;=BT791, 1))</f>
        <v>1</v>
      </c>
      <c r="BY791" s="109">
        <f t="shared" si="308"/>
        <v>133756.60167286801</v>
      </c>
      <c r="BZ791" s="109">
        <f t="shared" si="309"/>
        <v>134082.09720228269</v>
      </c>
      <c r="CB791" s="58">
        <f t="array" ref="CB791">SUM(IF(BY791:BZ791&gt;=BY791, 1))</f>
        <v>2</v>
      </c>
      <c r="CC791" s="58">
        <f t="array" ref="CC791">SUM(IF(BY791:BZ791&gt;=BZ791, 1))</f>
        <v>1</v>
      </c>
      <c r="CE791" s="109">
        <f t="shared" si="310"/>
        <v>94506.690735494733</v>
      </c>
      <c r="CF791" s="109">
        <f t="shared" si="311"/>
        <v>97117.870766623251</v>
      </c>
      <c r="CH791" s="58">
        <f t="array" ref="CH791">SUM(IF(CE791:CF791&gt;=CE791, 1))</f>
        <v>2</v>
      </c>
      <c r="CI791" s="58">
        <f t="array" ref="CI791">SUM(IF(CE791:CF791&gt;=CF791, 1))</f>
        <v>1</v>
      </c>
      <c r="CK791" s="109">
        <f t="shared" si="312"/>
        <v>50119.047202983129</v>
      </c>
      <c r="CL791" s="109">
        <f t="shared" si="313"/>
        <v>50940.504916864767</v>
      </c>
      <c r="CN791" s="58">
        <f t="array" ref="CN791">SUM(IF(CK791:CL791&gt;=CK791, 1))</f>
        <v>2</v>
      </c>
      <c r="CO791" s="58">
        <f t="array" ref="CO791">SUM(IF(CK791:CL791&gt;=CL791, 1))</f>
        <v>1</v>
      </c>
      <c r="CQ791" s="109" cm="1">
        <f t="array" ref="CQ791">AF791*WTP-AC791</f>
        <v>42848.035039423987</v>
      </c>
      <c r="CR791" s="109">
        <f t="shared" si="314"/>
        <v>45428.285141967695</v>
      </c>
      <c r="CT791" s="58">
        <f t="array" ref="CT791">SUM(IF(CQ791:CR791&gt;=CQ791, 1))</f>
        <v>2</v>
      </c>
      <c r="CU791" s="58">
        <f t="array" ref="CU791">SUM(IF(CQ791:CR791&gt;=CR791, 1))</f>
        <v>1</v>
      </c>
      <c r="CW791" s="109">
        <f t="shared" si="315"/>
        <v>-38854404.734979413</v>
      </c>
      <c r="CX791" s="109">
        <f t="shared" si="316"/>
        <v>0</v>
      </c>
      <c r="CZ791" s="58">
        <f t="array" ref="CZ791">SUM(IF(CW791:CX791&gt;=CW791, 1))</f>
        <v>2</v>
      </c>
      <c r="DA791" s="58">
        <f t="array" ref="DA791">SUM(IF(CW791:CX791&gt;=CX791, 1))</f>
        <v>1</v>
      </c>
      <c r="DC791" s="109">
        <f t="shared" si="317"/>
        <v>-2295481.2338888305</v>
      </c>
      <c r="DD791" s="109">
        <f t="shared" si="318"/>
        <v>0</v>
      </c>
      <c r="DF791" s="58">
        <f t="array" ref="DF791">SUM(IF(DC791:DD791&gt;=DC791, 1))</f>
        <v>2</v>
      </c>
      <c r="DG791" s="58">
        <f t="array" ref="DG791">SUM(IF(DC791:DD791&gt;=DD791, 1))</f>
        <v>1</v>
      </c>
      <c r="DI791" s="109">
        <f t="shared" si="319"/>
        <v>-59855442.391306929</v>
      </c>
      <c r="DJ791" s="109">
        <f t="shared" si="320"/>
        <v>0</v>
      </c>
      <c r="DL791" s="58">
        <f t="array" ref="DL791">SUM(IF(DI791:DJ791&gt;=DI791, 1))</f>
        <v>2</v>
      </c>
      <c r="DM791" s="58">
        <f t="array" ref="DM791">SUM(IF(DI791:DJ791&gt;=DJ791, 1))</f>
        <v>1</v>
      </c>
      <c r="DO791" s="109">
        <f t="shared" si="321"/>
        <v>-7256442.357348037</v>
      </c>
      <c r="DP791" s="109">
        <f t="shared" si="322"/>
        <v>0</v>
      </c>
      <c r="DR791" s="58">
        <f t="array" ref="DR791">SUM(IF(DO791:DP791&gt;=DO791, 1))</f>
        <v>2</v>
      </c>
      <c r="DS791" s="58">
        <f t="array" ref="DS791">SUM(IF(DO791:DP791&gt;=DP791, 1))</f>
        <v>1</v>
      </c>
      <c r="DU791" s="109">
        <f t="shared" si="323"/>
        <v>-40328980.150940493</v>
      </c>
      <c r="DV791" s="109">
        <f t="shared" si="324"/>
        <v>0</v>
      </c>
      <c r="DX791" s="58">
        <f t="array" ref="DX791">SUM(IF(DU791:DV791&gt;=DU791, 1))</f>
        <v>2</v>
      </c>
      <c r="DY791" s="58">
        <f t="array" ref="DY791">SUM(IF(DU791:DV791&gt;=DV791, 1))</f>
        <v>1</v>
      </c>
      <c r="EA791" s="109">
        <f t="shared" si="325"/>
        <v>-148590750.8684637</v>
      </c>
      <c r="EB791" s="109">
        <f t="shared" si="326"/>
        <v>0</v>
      </c>
      <c r="ED791" s="58">
        <f t="array" ref="ED791">SUM(IF(EA791:EB791&gt;=EA791, 1))</f>
        <v>2</v>
      </c>
      <c r="EE791" s="58">
        <f t="array" ref="EE791">SUM(IF(EA791:EB791&gt;=EB791, 1))</f>
        <v>1</v>
      </c>
    </row>
    <row r="792" spans="4:135" ht="12" customHeight="1" x14ac:dyDescent="0.25">
      <c r="D792" s="11">
        <v>776</v>
      </c>
      <c r="E792" s="72">
        <v>259.21196824121279</v>
      </c>
      <c r="F792" s="72">
        <v>243.27841640446442</v>
      </c>
      <c r="G792" s="73"/>
      <c r="H792" s="74">
        <v>5.81266126887519</v>
      </c>
      <c r="I792" s="74">
        <v>5.8284911193807796</v>
      </c>
      <c r="J792" s="73"/>
      <c r="K792" s="72">
        <v>278.67854030736049</v>
      </c>
      <c r="L792" s="72">
        <v>262.34809475098695</v>
      </c>
      <c r="M792" s="73"/>
      <c r="N792" s="74">
        <v>6.6664050378555579</v>
      </c>
      <c r="O792" s="74">
        <v>6.680271824037221</v>
      </c>
      <c r="P792" s="73"/>
      <c r="Q792" s="72">
        <v>2163.1731603269609</v>
      </c>
      <c r="R792" s="72">
        <v>1415.4097008458386</v>
      </c>
      <c r="S792" s="73"/>
      <c r="T792" s="74">
        <v>4.9895958285458173</v>
      </c>
      <c r="U792" s="74">
        <v>5.0548711968246671</v>
      </c>
      <c r="V792" s="73"/>
      <c r="W792" s="72">
        <v>11600.029321041802</v>
      </c>
      <c r="X792" s="72">
        <v>11611.592791665469</v>
      </c>
      <c r="Y792" s="73"/>
      <c r="Z792" s="74">
        <v>2.9762793526445508</v>
      </c>
      <c r="AA792" s="74">
        <v>3.0363337915281381</v>
      </c>
      <c r="AB792" s="73"/>
      <c r="AC792" s="72">
        <v>50743.912284303886</v>
      </c>
      <c r="AD792" s="72">
        <v>50586.788957229037</v>
      </c>
      <c r="AE792" s="73"/>
      <c r="AF792" s="74">
        <v>4.5411808432069245</v>
      </c>
      <c r="AG792" s="74">
        <v>4.6441078825779956</v>
      </c>
      <c r="AH792" s="73"/>
      <c r="AI792" s="72">
        <v>1696279.5398115786</v>
      </c>
      <c r="AJ792" s="72">
        <v>0</v>
      </c>
      <c r="AK792" s="73"/>
      <c r="AL792" s="74">
        <v>-1685.2395376765787</v>
      </c>
      <c r="AM792" s="74">
        <v>0</v>
      </c>
      <c r="AN792" s="73"/>
      <c r="AO792" s="72">
        <v>116270.05842791466</v>
      </c>
      <c r="AP792" s="72">
        <v>0</v>
      </c>
      <c r="AQ792" s="73"/>
      <c r="AR792" s="74">
        <v>-98.729213112014918</v>
      </c>
      <c r="AS792" s="74">
        <v>0</v>
      </c>
      <c r="AT792" s="73"/>
      <c r="AU792" s="72">
        <v>17270275.588216346</v>
      </c>
      <c r="AV792" s="72">
        <v>0</v>
      </c>
      <c r="AW792" s="73"/>
      <c r="AX792" s="74">
        <v>-1507.5938587321568</v>
      </c>
      <c r="AY792" s="74">
        <v>0</v>
      </c>
      <c r="AZ792" s="73"/>
      <c r="BA792" s="72">
        <v>-111138.00344680394</v>
      </c>
      <c r="BB792" s="72">
        <v>0</v>
      </c>
      <c r="BC792" s="73"/>
      <c r="BD792" s="74">
        <v>-577.19093625573419</v>
      </c>
      <c r="BE792" s="74">
        <v>0</v>
      </c>
      <c r="BF792" s="73"/>
      <c r="BG792" s="72">
        <v>2482050.8682256234</v>
      </c>
      <c r="BH792" s="72">
        <v>0</v>
      </c>
      <c r="BI792" s="73"/>
      <c r="BJ792" s="74">
        <v>-1625.9211931857922</v>
      </c>
      <c r="BK792" s="74">
        <v>0</v>
      </c>
      <c r="BL792" s="73"/>
      <c r="BM792" s="72">
        <v>21453738.051234659</v>
      </c>
      <c r="BN792" s="72">
        <v>0</v>
      </c>
      <c r="BO792" s="73"/>
      <c r="BP792" s="74">
        <v>-5494.6747389622778</v>
      </c>
      <c r="BQ792" s="74">
        <v>0</v>
      </c>
      <c r="BS792" s="109">
        <f t="shared" si="306"/>
        <v>115994.01340926258</v>
      </c>
      <c r="BT792" s="109">
        <f t="shared" si="307"/>
        <v>116326.54397121113</v>
      </c>
      <c r="BV792" s="58">
        <f t="array" ref="BV792">SUM(IF(BS792:BT792&gt;=BS792, 1))</f>
        <v>2</v>
      </c>
      <c r="BW792" s="58">
        <f t="array" ref="BW792">SUM(IF(BS792:BT792&gt;=BT792, 1))</f>
        <v>1</v>
      </c>
      <c r="BY792" s="109">
        <f t="shared" si="308"/>
        <v>133049.4222168038</v>
      </c>
      <c r="BZ792" s="109">
        <f t="shared" si="309"/>
        <v>133343.08838599344</v>
      </c>
      <c r="CB792" s="58">
        <f t="array" ref="CB792">SUM(IF(BY792:BZ792&gt;=BY792, 1))</f>
        <v>2</v>
      </c>
      <c r="CC792" s="58">
        <f t="array" ref="CC792">SUM(IF(BY792:BZ792&gt;=BZ792, 1))</f>
        <v>1</v>
      </c>
      <c r="CE792" s="109">
        <f t="shared" si="310"/>
        <v>97628.743410589392</v>
      </c>
      <c r="CF792" s="109">
        <f t="shared" si="311"/>
        <v>99682.014235647512</v>
      </c>
      <c r="CH792" s="58">
        <f t="array" ref="CH792">SUM(IF(CE792:CF792&gt;=CE792, 1))</f>
        <v>2</v>
      </c>
      <c r="CI792" s="58">
        <f t="array" ref="CI792">SUM(IF(CE792:CF792&gt;=CF792, 1))</f>
        <v>1</v>
      </c>
      <c r="CK792" s="109">
        <f t="shared" si="312"/>
        <v>47925.557731849214</v>
      </c>
      <c r="CL792" s="109">
        <f t="shared" si="313"/>
        <v>49115.08303889729</v>
      </c>
      <c r="CN792" s="58">
        <f t="array" ref="CN792">SUM(IF(CK792:CL792&gt;=CK792, 1))</f>
        <v>2</v>
      </c>
      <c r="CO792" s="58">
        <f t="array" ref="CO792">SUM(IF(CK792:CL792&gt;=CL792, 1))</f>
        <v>1</v>
      </c>
      <c r="CQ792" s="109" cm="1">
        <f t="array" ref="CQ792">AF792*WTP-AC792</f>
        <v>40079.704579834601</v>
      </c>
      <c r="CR792" s="109">
        <f t="shared" si="314"/>
        <v>42295.368694330878</v>
      </c>
      <c r="CT792" s="58">
        <f t="array" ref="CT792">SUM(IF(CQ792:CR792&gt;=CQ792, 1))</f>
        <v>2</v>
      </c>
      <c r="CU792" s="58">
        <f t="array" ref="CU792">SUM(IF(CQ792:CR792&gt;=CR792, 1))</f>
        <v>1</v>
      </c>
      <c r="CW792" s="109">
        <f t="shared" si="315"/>
        <v>-35401070.293343157</v>
      </c>
      <c r="CX792" s="109">
        <f t="shared" si="316"/>
        <v>0</v>
      </c>
      <c r="CZ792" s="58">
        <f t="array" ref="CZ792">SUM(IF(CW792:CX792&gt;=CW792, 1))</f>
        <v>2</v>
      </c>
      <c r="DA792" s="58">
        <f t="array" ref="DA792">SUM(IF(CW792:CX792&gt;=CX792, 1))</f>
        <v>1</v>
      </c>
      <c r="DC792" s="109">
        <f t="shared" si="317"/>
        <v>-2090854.3206682131</v>
      </c>
      <c r="DD792" s="109">
        <f t="shared" si="318"/>
        <v>0</v>
      </c>
      <c r="DF792" s="58">
        <f t="array" ref="DF792">SUM(IF(DC792:DD792&gt;=DC792, 1))</f>
        <v>2</v>
      </c>
      <c r="DG792" s="58">
        <f t="array" ref="DG792">SUM(IF(DC792:DD792&gt;=DD792, 1))</f>
        <v>1</v>
      </c>
      <c r="DI792" s="109">
        <f t="shared" si="319"/>
        <v>-47422152.762859479</v>
      </c>
      <c r="DJ792" s="109">
        <f t="shared" si="320"/>
        <v>0</v>
      </c>
      <c r="DL792" s="58">
        <f t="array" ref="DL792">SUM(IF(DI792:DJ792&gt;=DI792, 1))</f>
        <v>2</v>
      </c>
      <c r="DM792" s="58">
        <f t="array" ref="DM792">SUM(IF(DI792:DJ792&gt;=DJ792, 1))</f>
        <v>1</v>
      </c>
      <c r="DO792" s="109">
        <f t="shared" si="321"/>
        <v>-11432680.72166788</v>
      </c>
      <c r="DP792" s="109">
        <f t="shared" si="322"/>
        <v>0</v>
      </c>
      <c r="DR792" s="58">
        <f t="array" ref="DR792">SUM(IF(DO792:DP792&gt;=DO792, 1))</f>
        <v>2</v>
      </c>
      <c r="DS792" s="58">
        <f t="array" ref="DS792">SUM(IF(DO792:DP792&gt;=DP792, 1))</f>
        <v>1</v>
      </c>
      <c r="DU792" s="109">
        <f t="shared" si="323"/>
        <v>-35000474.731941469</v>
      </c>
      <c r="DV792" s="109">
        <f t="shared" si="324"/>
        <v>0</v>
      </c>
      <c r="DX792" s="58">
        <f t="array" ref="DX792">SUM(IF(DU792:DV792&gt;=DU792, 1))</f>
        <v>2</v>
      </c>
      <c r="DY792" s="58">
        <f t="array" ref="DY792">SUM(IF(DU792:DV792&gt;=DV792, 1))</f>
        <v>1</v>
      </c>
      <c r="EA792" s="109">
        <f t="shared" si="325"/>
        <v>-131347232.83048022</v>
      </c>
      <c r="EB792" s="109">
        <f t="shared" si="326"/>
        <v>0</v>
      </c>
      <c r="ED792" s="58">
        <f t="array" ref="ED792">SUM(IF(EA792:EB792&gt;=EA792, 1))</f>
        <v>2</v>
      </c>
      <c r="EE792" s="58">
        <f t="array" ref="EE792">SUM(IF(EA792:EB792&gt;=EB792, 1))</f>
        <v>1</v>
      </c>
    </row>
    <row r="793" spans="4:135" ht="12" customHeight="1" x14ac:dyDescent="0.25">
      <c r="D793" s="11">
        <v>777</v>
      </c>
      <c r="E793" s="72">
        <v>283.22899940193275</v>
      </c>
      <c r="F793" s="72">
        <v>249.89789029843476</v>
      </c>
      <c r="G793" s="73"/>
      <c r="H793" s="74">
        <v>5.8413466759563297</v>
      </c>
      <c r="I793" s="74">
        <v>5.8587295214874375</v>
      </c>
      <c r="J793" s="73"/>
      <c r="K793" s="72">
        <v>303.59712539972855</v>
      </c>
      <c r="L793" s="72">
        <v>269.45566280079112</v>
      </c>
      <c r="M793" s="73"/>
      <c r="N793" s="74">
        <v>6.6717046569114711</v>
      </c>
      <c r="O793" s="74">
        <v>6.6864669272874959</v>
      </c>
      <c r="P793" s="73"/>
      <c r="Q793" s="72">
        <v>2197.6498411649222</v>
      </c>
      <c r="R793" s="72">
        <v>1747.8245985217709</v>
      </c>
      <c r="S793" s="73"/>
      <c r="T793" s="74">
        <v>4.9831845038389524</v>
      </c>
      <c r="U793" s="74">
        <v>5.0224388775421138</v>
      </c>
      <c r="V793" s="73"/>
      <c r="W793" s="72">
        <v>14265.46464493319</v>
      </c>
      <c r="X793" s="72">
        <v>14254.182594859023</v>
      </c>
      <c r="Y793" s="73"/>
      <c r="Z793" s="74">
        <v>2.9674015040013368</v>
      </c>
      <c r="AA793" s="74">
        <v>3.0175844936568681</v>
      </c>
      <c r="AB793" s="73"/>
      <c r="AC793" s="72">
        <v>51205.003340125091</v>
      </c>
      <c r="AD793" s="72">
        <v>51131.573946536228</v>
      </c>
      <c r="AE793" s="73"/>
      <c r="AF793" s="74">
        <v>4.8149001071703719</v>
      </c>
      <c r="AG793" s="74">
        <v>4.897133375843489</v>
      </c>
      <c r="AH793" s="73"/>
      <c r="AI793" s="72">
        <v>3563511.2688292623</v>
      </c>
      <c r="AJ793" s="72">
        <v>0</v>
      </c>
      <c r="AK793" s="73"/>
      <c r="AL793" s="74">
        <v>-1858.4429861627445</v>
      </c>
      <c r="AM793" s="74">
        <v>0</v>
      </c>
      <c r="AN793" s="73"/>
      <c r="AO793" s="72">
        <v>234000.01076819518</v>
      </c>
      <c r="AP793" s="72">
        <v>0</v>
      </c>
      <c r="AQ793" s="73"/>
      <c r="AR793" s="74">
        <v>-101.17819109074519</v>
      </c>
      <c r="AS793" s="74">
        <v>0</v>
      </c>
      <c r="AT793" s="73"/>
      <c r="AU793" s="72">
        <v>10447783.505463997</v>
      </c>
      <c r="AV793" s="72">
        <v>0</v>
      </c>
      <c r="AW793" s="73"/>
      <c r="AX793" s="74">
        <v>-911.73451201483783</v>
      </c>
      <c r="AY793" s="74">
        <v>0</v>
      </c>
      <c r="AZ793" s="73"/>
      <c r="BA793" s="72">
        <v>102207.92823305151</v>
      </c>
      <c r="BB793" s="72">
        <v>0</v>
      </c>
      <c r="BC793" s="73"/>
      <c r="BD793" s="74">
        <v>-454.62476868248456</v>
      </c>
      <c r="BE793" s="74">
        <v>0</v>
      </c>
      <c r="BF793" s="73"/>
      <c r="BG793" s="72">
        <v>1158850.0580046126</v>
      </c>
      <c r="BH793" s="72">
        <v>0</v>
      </c>
      <c r="BI793" s="73"/>
      <c r="BJ793" s="74">
        <v>-1297.7913001068737</v>
      </c>
      <c r="BK793" s="74">
        <v>0</v>
      </c>
      <c r="BL793" s="73"/>
      <c r="BM793" s="72">
        <v>15506352.771299118</v>
      </c>
      <c r="BN793" s="72">
        <v>0</v>
      </c>
      <c r="BO793" s="73"/>
      <c r="BP793" s="74">
        <v>-4623.7717580576864</v>
      </c>
      <c r="BQ793" s="74">
        <v>0</v>
      </c>
      <c r="BS793" s="109">
        <f t="shared" si="306"/>
        <v>116543.70451972466</v>
      </c>
      <c r="BT793" s="109">
        <f t="shared" si="307"/>
        <v>116924.69253945032</v>
      </c>
      <c r="BV793" s="58">
        <f t="array" ref="BV793">SUM(IF(BS793:BT793&gt;=BS793, 1))</f>
        <v>2</v>
      </c>
      <c r="BW793" s="58">
        <f t="array" ref="BW793">SUM(IF(BS793:BT793&gt;=BT793, 1))</f>
        <v>1</v>
      </c>
      <c r="BY793" s="109">
        <f t="shared" si="308"/>
        <v>133130.49601282968</v>
      </c>
      <c r="BZ793" s="109">
        <f t="shared" si="309"/>
        <v>133459.88288294914</v>
      </c>
      <c r="CB793" s="58">
        <f t="array" ref="CB793">SUM(IF(BY793:BZ793&gt;=BY793, 1))</f>
        <v>2</v>
      </c>
      <c r="CC793" s="58">
        <f t="array" ref="CC793">SUM(IF(BY793:BZ793&gt;=BZ793, 1))</f>
        <v>1</v>
      </c>
      <c r="CE793" s="109">
        <f t="shared" si="310"/>
        <v>97466.040235614128</v>
      </c>
      <c r="CF793" s="109">
        <f t="shared" si="311"/>
        <v>98700.952952320513</v>
      </c>
      <c r="CH793" s="58">
        <f t="array" ref="CH793">SUM(IF(CE793:CF793&gt;=CE793, 1))</f>
        <v>2</v>
      </c>
      <c r="CI793" s="58">
        <f t="array" ref="CI793">SUM(IF(CE793:CF793&gt;=CF793, 1))</f>
        <v>1</v>
      </c>
      <c r="CK793" s="109">
        <f t="shared" si="312"/>
        <v>45082.565435093544</v>
      </c>
      <c r="CL793" s="109">
        <f t="shared" si="313"/>
        <v>46097.507278278339</v>
      </c>
      <c r="CN793" s="58">
        <f t="array" ref="CN793">SUM(IF(CK793:CL793&gt;=CK793, 1))</f>
        <v>2</v>
      </c>
      <c r="CO793" s="58">
        <f t="array" ref="CO793">SUM(IF(CK793:CL793&gt;=CL793, 1))</f>
        <v>1</v>
      </c>
      <c r="CQ793" s="109" cm="1">
        <f t="array" ref="CQ793">AF793*WTP-AC793</f>
        <v>45092.998803282353</v>
      </c>
      <c r="CR793" s="109">
        <f t="shared" si="314"/>
        <v>46811.093570333556</v>
      </c>
      <c r="CT793" s="58">
        <f t="array" ref="CT793">SUM(IF(CQ793:CR793&gt;=CQ793, 1))</f>
        <v>2</v>
      </c>
      <c r="CU793" s="58">
        <f t="array" ref="CU793">SUM(IF(CQ793:CR793&gt;=CR793, 1))</f>
        <v>1</v>
      </c>
      <c r="CW793" s="109">
        <f t="shared" si="315"/>
        <v>-40732370.992084153</v>
      </c>
      <c r="CX793" s="109">
        <f t="shared" si="316"/>
        <v>0</v>
      </c>
      <c r="CZ793" s="58">
        <f t="array" ref="CZ793">SUM(IF(CW793:CX793&gt;=CW793, 1))</f>
        <v>2</v>
      </c>
      <c r="DA793" s="58">
        <f t="array" ref="DA793">SUM(IF(CW793:CX793&gt;=CX793, 1))</f>
        <v>1</v>
      </c>
      <c r="DC793" s="109">
        <f t="shared" si="317"/>
        <v>-2257563.8325830991</v>
      </c>
      <c r="DD793" s="109">
        <f t="shared" si="318"/>
        <v>0</v>
      </c>
      <c r="DF793" s="58">
        <f t="array" ref="DF793">SUM(IF(DC793:DD793&gt;=DC793, 1))</f>
        <v>2</v>
      </c>
      <c r="DG793" s="58">
        <f t="array" ref="DG793">SUM(IF(DC793:DD793&gt;=DD793, 1))</f>
        <v>1</v>
      </c>
      <c r="DI793" s="109">
        <f t="shared" si="319"/>
        <v>-28682473.745760754</v>
      </c>
      <c r="DJ793" s="109">
        <f t="shared" si="320"/>
        <v>0</v>
      </c>
      <c r="DL793" s="58">
        <f t="array" ref="DL793">SUM(IF(DI793:DJ793&gt;=DI793, 1))</f>
        <v>2</v>
      </c>
      <c r="DM793" s="58">
        <f t="array" ref="DM793">SUM(IF(DI793:DJ793&gt;=DJ793, 1))</f>
        <v>1</v>
      </c>
      <c r="DO793" s="109">
        <f t="shared" si="321"/>
        <v>-9194703.301882742</v>
      </c>
      <c r="DP793" s="109">
        <f t="shared" si="322"/>
        <v>0</v>
      </c>
      <c r="DR793" s="58">
        <f t="array" ref="DR793">SUM(IF(DO793:DP793&gt;=DO793, 1))</f>
        <v>2</v>
      </c>
      <c r="DS793" s="58">
        <f t="array" ref="DS793">SUM(IF(DO793:DP793&gt;=DP793, 1))</f>
        <v>1</v>
      </c>
      <c r="DU793" s="109">
        <f t="shared" si="323"/>
        <v>-27114676.060142089</v>
      </c>
      <c r="DV793" s="109">
        <f t="shared" si="324"/>
        <v>0</v>
      </c>
      <c r="DX793" s="58">
        <f t="array" ref="DX793">SUM(IF(DU793:DV793&gt;=DU793, 1))</f>
        <v>2</v>
      </c>
      <c r="DY793" s="58">
        <f t="array" ref="DY793">SUM(IF(DU793:DV793&gt;=DV793, 1))</f>
        <v>1</v>
      </c>
      <c r="EA793" s="109">
        <f t="shared" si="325"/>
        <v>-107981787.93245286</v>
      </c>
      <c r="EB793" s="109">
        <f t="shared" si="326"/>
        <v>0</v>
      </c>
      <c r="ED793" s="58">
        <f t="array" ref="ED793">SUM(IF(EA793:EB793&gt;=EA793, 1))</f>
        <v>2</v>
      </c>
      <c r="EE793" s="58">
        <f t="array" ref="EE793">SUM(IF(EA793:EB793&gt;=EB793, 1))</f>
        <v>1</v>
      </c>
    </row>
    <row r="794" spans="4:135" ht="12" customHeight="1" x14ac:dyDescent="0.25">
      <c r="D794" s="11">
        <v>778</v>
      </c>
      <c r="E794" s="72">
        <v>226.63711309912657</v>
      </c>
      <c r="F794" s="72">
        <v>200.49027449400052</v>
      </c>
      <c r="G794" s="73"/>
      <c r="H794" s="74">
        <v>5.8225238829906729</v>
      </c>
      <c r="I794" s="74">
        <v>5.8421626971841816</v>
      </c>
      <c r="J794" s="73"/>
      <c r="K794" s="72">
        <v>243.01278868908048</v>
      </c>
      <c r="L794" s="72">
        <v>216.26435644944067</v>
      </c>
      <c r="M794" s="73"/>
      <c r="N794" s="74">
        <v>6.7247734481093193</v>
      </c>
      <c r="O794" s="74">
        <v>6.7418339433730372</v>
      </c>
      <c r="P794" s="73"/>
      <c r="Q794" s="72">
        <v>2194.6577985209565</v>
      </c>
      <c r="R794" s="72">
        <v>1543.1473730814132</v>
      </c>
      <c r="S794" s="73"/>
      <c r="T794" s="74">
        <v>4.7388039841105627</v>
      </c>
      <c r="U794" s="74">
        <v>4.7867552294381754</v>
      </c>
      <c r="V794" s="73"/>
      <c r="W794" s="72">
        <v>13631.275132035596</v>
      </c>
      <c r="X794" s="72">
        <v>13626.51199957049</v>
      </c>
      <c r="Y794" s="73"/>
      <c r="Z794" s="74">
        <v>2.9047525044462152</v>
      </c>
      <c r="AA794" s="74">
        <v>2.942301262312613</v>
      </c>
      <c r="AB794" s="73"/>
      <c r="AC794" s="72">
        <v>49294.669934892918</v>
      </c>
      <c r="AD794" s="72">
        <v>49540.081776225859</v>
      </c>
      <c r="AE794" s="73"/>
      <c r="AF794" s="74">
        <v>4.3894724387305235</v>
      </c>
      <c r="AG794" s="74">
        <v>4.4961147323410824</v>
      </c>
      <c r="AH794" s="73"/>
      <c r="AI794" s="72">
        <v>2814353.4648670042</v>
      </c>
      <c r="AJ794" s="72">
        <v>0</v>
      </c>
      <c r="AK794" s="73"/>
      <c r="AL794" s="74">
        <v>-2113.8526766499672</v>
      </c>
      <c r="AM794" s="74">
        <v>0</v>
      </c>
      <c r="AN794" s="73"/>
      <c r="AO794" s="72">
        <v>188014.55059034104</v>
      </c>
      <c r="AP794" s="72">
        <v>0</v>
      </c>
      <c r="AQ794" s="73"/>
      <c r="AR794" s="74">
        <v>-119.91810664338786</v>
      </c>
      <c r="AS794" s="74">
        <v>0</v>
      </c>
      <c r="AT794" s="73"/>
      <c r="AU794" s="72">
        <v>14953724.867745757</v>
      </c>
      <c r="AV794" s="72">
        <v>0</v>
      </c>
      <c r="AW794" s="73"/>
      <c r="AX794" s="74">
        <v>-1100.5959409032339</v>
      </c>
      <c r="AY794" s="74">
        <v>0</v>
      </c>
      <c r="AZ794" s="73"/>
      <c r="BA794" s="72">
        <v>41156.459463565741</v>
      </c>
      <c r="BB794" s="72">
        <v>0</v>
      </c>
      <c r="BC794" s="73"/>
      <c r="BD794" s="74">
        <v>-324.44487789425358</v>
      </c>
      <c r="BE794" s="74">
        <v>0</v>
      </c>
      <c r="BF794" s="73"/>
      <c r="BG794" s="72">
        <v>-3861880.8958413024</v>
      </c>
      <c r="BH794" s="72">
        <v>0</v>
      </c>
      <c r="BI794" s="73"/>
      <c r="BJ794" s="74">
        <v>-1678.1579655913497</v>
      </c>
      <c r="BK794" s="74">
        <v>0</v>
      </c>
      <c r="BL794" s="73"/>
      <c r="BM794" s="72">
        <v>14135368.446825368</v>
      </c>
      <c r="BN794" s="72">
        <v>0</v>
      </c>
      <c r="BO794" s="73"/>
      <c r="BP794" s="74">
        <v>-5336.9695676821921</v>
      </c>
      <c r="BQ794" s="74">
        <v>0</v>
      </c>
      <c r="BS794" s="109">
        <f t="shared" si="306"/>
        <v>116223.84054671433</v>
      </c>
      <c r="BT794" s="109">
        <f t="shared" si="307"/>
        <v>116642.76366918963</v>
      </c>
      <c r="BV794" s="58">
        <f t="array" ref="BV794">SUM(IF(BS794:BT794&gt;=BS794, 1))</f>
        <v>2</v>
      </c>
      <c r="BW794" s="58">
        <f t="array" ref="BW794">SUM(IF(BS794:BT794&gt;=BT794, 1))</f>
        <v>1</v>
      </c>
      <c r="BY794" s="109">
        <f t="shared" si="308"/>
        <v>134252.45617349731</v>
      </c>
      <c r="BZ794" s="109">
        <f t="shared" si="309"/>
        <v>134620.4145110113</v>
      </c>
      <c r="CB794" s="58">
        <f t="array" ref="CB794">SUM(IF(BY794:BZ794&gt;=BY794, 1))</f>
        <v>2</v>
      </c>
      <c r="CC794" s="58">
        <f t="array" ref="CC794">SUM(IF(BY794:BZ794&gt;=BZ794, 1))</f>
        <v>1</v>
      </c>
      <c r="CE794" s="109">
        <f t="shared" si="310"/>
        <v>92581.421883690302</v>
      </c>
      <c r="CF794" s="109">
        <f t="shared" si="311"/>
        <v>94191.957215682094</v>
      </c>
      <c r="CH794" s="58">
        <f t="array" ref="CH794">SUM(IF(CE794:CF794&gt;=CE794, 1))</f>
        <v>2</v>
      </c>
      <c r="CI794" s="58">
        <f t="array" ref="CI794">SUM(IF(CE794:CF794&gt;=CF794, 1))</f>
        <v>1</v>
      </c>
      <c r="CK794" s="109">
        <f t="shared" si="312"/>
        <v>44463.774956888708</v>
      </c>
      <c r="CL794" s="109">
        <f t="shared" si="313"/>
        <v>45219.513246681774</v>
      </c>
      <c r="CN794" s="58">
        <f t="array" ref="CN794">SUM(IF(CK794:CL794&gt;=CK794, 1))</f>
        <v>2</v>
      </c>
      <c r="CO794" s="58">
        <f t="array" ref="CO794">SUM(IF(CK794:CL794&gt;=CL794, 1))</f>
        <v>1</v>
      </c>
      <c r="CQ794" s="109" cm="1">
        <f t="array" ref="CQ794">AF794*WTP-AC794</f>
        <v>38494.778839717554</v>
      </c>
      <c r="CR794" s="109">
        <f t="shared" si="314"/>
        <v>40382.212870595795</v>
      </c>
      <c r="CT794" s="58">
        <f t="array" ref="CT794">SUM(IF(CQ794:CR794&gt;=CQ794, 1))</f>
        <v>2</v>
      </c>
      <c r="CU794" s="58">
        <f t="array" ref="CU794">SUM(IF(CQ794:CR794&gt;=CR794, 1))</f>
        <v>1</v>
      </c>
      <c r="CW794" s="109">
        <f t="shared" si="315"/>
        <v>-45091406.997866347</v>
      </c>
      <c r="CX794" s="109">
        <f t="shared" si="316"/>
        <v>0</v>
      </c>
      <c r="CZ794" s="58">
        <f t="array" ref="CZ794">SUM(IF(CW794:CX794&gt;=CW794, 1))</f>
        <v>2</v>
      </c>
      <c r="DA794" s="58">
        <f t="array" ref="DA794">SUM(IF(CW794:CX794&gt;=CX794, 1))</f>
        <v>1</v>
      </c>
      <c r="DC794" s="109">
        <f t="shared" si="317"/>
        <v>-2586376.6834580982</v>
      </c>
      <c r="DD794" s="109">
        <f t="shared" si="318"/>
        <v>0</v>
      </c>
      <c r="DF794" s="58">
        <f t="array" ref="DF794">SUM(IF(DC794:DD794&gt;=DC794, 1))</f>
        <v>2</v>
      </c>
      <c r="DG794" s="58">
        <f t="array" ref="DG794">SUM(IF(DC794:DD794&gt;=DD794, 1))</f>
        <v>1</v>
      </c>
      <c r="DI794" s="109">
        <f t="shared" si="319"/>
        <v>-36965643.685810432</v>
      </c>
      <c r="DJ794" s="109">
        <f t="shared" si="320"/>
        <v>0</v>
      </c>
      <c r="DL794" s="58">
        <f t="array" ref="DL794">SUM(IF(DI794:DJ794&gt;=DI794, 1))</f>
        <v>2</v>
      </c>
      <c r="DM794" s="58">
        <f t="array" ref="DM794">SUM(IF(DI794:DJ794&gt;=DJ794, 1))</f>
        <v>1</v>
      </c>
      <c r="DO794" s="109">
        <f t="shared" si="321"/>
        <v>-6530054.0173486369</v>
      </c>
      <c r="DP794" s="109">
        <f t="shared" si="322"/>
        <v>0</v>
      </c>
      <c r="DR794" s="58">
        <f t="array" ref="DR794">SUM(IF(DO794:DP794&gt;=DO794, 1))</f>
        <v>2</v>
      </c>
      <c r="DS794" s="58">
        <f t="array" ref="DS794">SUM(IF(DO794:DP794&gt;=DP794, 1))</f>
        <v>1</v>
      </c>
      <c r="DU794" s="109">
        <f t="shared" si="323"/>
        <v>-29701278.415985696</v>
      </c>
      <c r="DV794" s="109">
        <f t="shared" si="324"/>
        <v>0</v>
      </c>
      <c r="DX794" s="58">
        <f t="array" ref="DX794">SUM(IF(DU794:DV794&gt;=DU794, 1))</f>
        <v>2</v>
      </c>
      <c r="DY794" s="58">
        <f t="array" ref="DY794">SUM(IF(DU794:DV794&gt;=DV794, 1))</f>
        <v>1</v>
      </c>
      <c r="EA794" s="109">
        <f t="shared" si="325"/>
        <v>-120874759.8004692</v>
      </c>
      <c r="EB794" s="109">
        <f t="shared" si="326"/>
        <v>0</v>
      </c>
      <c r="ED794" s="58">
        <f t="array" ref="ED794">SUM(IF(EA794:EB794&gt;=EA794, 1))</f>
        <v>2</v>
      </c>
      <c r="EE794" s="58">
        <f t="array" ref="EE794">SUM(IF(EA794:EB794&gt;=EB794, 1))</f>
        <v>1</v>
      </c>
    </row>
    <row r="795" spans="4:135" ht="12" customHeight="1" x14ac:dyDescent="0.25">
      <c r="D795" s="11">
        <v>779</v>
      </c>
      <c r="E795" s="72">
        <v>226.56177786876984</v>
      </c>
      <c r="F795" s="72">
        <v>181.73875775446962</v>
      </c>
      <c r="G795" s="73"/>
      <c r="H795" s="74">
        <v>5.8558905281762623</v>
      </c>
      <c r="I795" s="74">
        <v>5.8753197739778429</v>
      </c>
      <c r="J795" s="73"/>
      <c r="K795" s="72">
        <v>241.6896944835029</v>
      </c>
      <c r="L795" s="72">
        <v>195.83802101042508</v>
      </c>
      <c r="M795" s="73"/>
      <c r="N795" s="74">
        <v>6.7654246837154446</v>
      </c>
      <c r="O795" s="74">
        <v>6.7825821255524961</v>
      </c>
      <c r="P795" s="73"/>
      <c r="Q795" s="72">
        <v>2096.5753893027459</v>
      </c>
      <c r="R795" s="72">
        <v>1222.7880288843942</v>
      </c>
      <c r="S795" s="73"/>
      <c r="T795" s="74">
        <v>4.9338334709268281</v>
      </c>
      <c r="U795" s="74">
        <v>5.0398418909052003</v>
      </c>
      <c r="V795" s="73"/>
      <c r="W795" s="72">
        <v>11680.416330880569</v>
      </c>
      <c r="X795" s="72">
        <v>11634.928461281841</v>
      </c>
      <c r="Y795" s="73"/>
      <c r="Z795" s="74">
        <v>2.9773733547356729</v>
      </c>
      <c r="AA795" s="74">
        <v>3.0233414518357495</v>
      </c>
      <c r="AB795" s="73"/>
      <c r="AC795" s="72">
        <v>51784.086186256056</v>
      </c>
      <c r="AD795" s="72">
        <v>51602.046260566109</v>
      </c>
      <c r="AE795" s="73"/>
      <c r="AF795" s="74">
        <v>3.7774448241768299</v>
      </c>
      <c r="AG795" s="74">
        <v>3.8147900260771381</v>
      </c>
      <c r="AH795" s="73"/>
      <c r="AI795" s="72">
        <v>4820641.41433868</v>
      </c>
      <c r="AJ795" s="72">
        <v>0</v>
      </c>
      <c r="AK795" s="73"/>
      <c r="AL795" s="74">
        <v>-2089.5831365585223</v>
      </c>
      <c r="AM795" s="74">
        <v>0</v>
      </c>
      <c r="AN795" s="73"/>
      <c r="AO795" s="72">
        <v>336839.0253710323</v>
      </c>
      <c r="AP795" s="72">
        <v>0</v>
      </c>
      <c r="AQ795" s="73"/>
      <c r="AR795" s="74">
        <v>-126.04329457344569</v>
      </c>
      <c r="AS795" s="74">
        <v>0</v>
      </c>
      <c r="AT795" s="73"/>
      <c r="AU795" s="72">
        <v>20108298.422868088</v>
      </c>
      <c r="AV795" s="72">
        <v>0</v>
      </c>
      <c r="AW795" s="73"/>
      <c r="AX795" s="74">
        <v>-2439.5511320297069</v>
      </c>
      <c r="AY795" s="74">
        <v>0</v>
      </c>
      <c r="AZ795" s="73"/>
      <c r="BA795" s="72">
        <v>406756.04926691146</v>
      </c>
      <c r="BB795" s="72">
        <v>0</v>
      </c>
      <c r="BC795" s="73"/>
      <c r="BD795" s="74">
        <v>-411.05028073831244</v>
      </c>
      <c r="BE795" s="74">
        <v>0</v>
      </c>
      <c r="BF795" s="73"/>
      <c r="BG795" s="72">
        <v>2883073.2950692656</v>
      </c>
      <c r="BH795" s="72">
        <v>0</v>
      </c>
      <c r="BI795" s="73"/>
      <c r="BJ795" s="74">
        <v>-591.45791171729945</v>
      </c>
      <c r="BK795" s="74">
        <v>0</v>
      </c>
      <c r="BL795" s="73"/>
      <c r="BM795" s="72">
        <v>28555608.206913978</v>
      </c>
      <c r="BN795" s="72">
        <v>0</v>
      </c>
      <c r="BO795" s="73"/>
      <c r="BP795" s="74">
        <v>-5657.6857556172872</v>
      </c>
      <c r="BQ795" s="74">
        <v>0</v>
      </c>
      <c r="BS795" s="109">
        <f t="shared" si="306"/>
        <v>116891.24878565647</v>
      </c>
      <c r="BT795" s="109">
        <f t="shared" si="307"/>
        <v>117324.65672180238</v>
      </c>
      <c r="BV795" s="58">
        <f t="array" ref="BV795">SUM(IF(BS795:BT795&gt;=BS795, 1))</f>
        <v>2</v>
      </c>
      <c r="BW795" s="58">
        <f t="array" ref="BW795">SUM(IF(BS795:BT795&gt;=BT795, 1))</f>
        <v>1</v>
      </c>
      <c r="BY795" s="109">
        <f t="shared" si="308"/>
        <v>135066.8039798254</v>
      </c>
      <c r="BZ795" s="109">
        <f t="shared" si="309"/>
        <v>135455.8044900395</v>
      </c>
      <c r="CB795" s="58">
        <f t="array" ref="CB795">SUM(IF(BY795:BZ795&gt;=BY795, 1))</f>
        <v>2</v>
      </c>
      <c r="CC795" s="58">
        <f t="array" ref="CC795">SUM(IF(BY795:BZ795&gt;=BZ795, 1))</f>
        <v>1</v>
      </c>
      <c r="CE795" s="109">
        <f t="shared" si="310"/>
        <v>96580.09402923382</v>
      </c>
      <c r="CF795" s="109">
        <f t="shared" si="311"/>
        <v>99574.049789219614</v>
      </c>
      <c r="CH795" s="58">
        <f t="array" ref="CH795">SUM(IF(CE795:CF795&gt;=CE795, 1))</f>
        <v>2</v>
      </c>
      <c r="CI795" s="58">
        <f t="array" ref="CI795">SUM(IF(CE795:CF795&gt;=CF795, 1))</f>
        <v>1</v>
      </c>
      <c r="CK795" s="109">
        <f t="shared" si="312"/>
        <v>47867.050763832885</v>
      </c>
      <c r="CL795" s="109">
        <f t="shared" si="313"/>
        <v>48831.900575433145</v>
      </c>
      <c r="CN795" s="58">
        <f t="array" ref="CN795">SUM(IF(CK795:CL795&gt;=CK795, 1))</f>
        <v>2</v>
      </c>
      <c r="CO795" s="58">
        <f t="array" ref="CO795">SUM(IF(CK795:CL795&gt;=CL795, 1))</f>
        <v>1</v>
      </c>
      <c r="CQ795" s="109" cm="1">
        <f t="array" ref="CQ795">AF795*WTP-AC795</f>
        <v>23764.810297280535</v>
      </c>
      <c r="CR795" s="109">
        <f t="shared" si="314"/>
        <v>24693.754260976661</v>
      </c>
      <c r="CT795" s="58">
        <f t="array" ref="CT795">SUM(IF(CQ795:CR795&gt;=CQ795, 1))</f>
        <v>2</v>
      </c>
      <c r="CU795" s="58">
        <f t="array" ref="CU795">SUM(IF(CQ795:CR795&gt;=CR795, 1))</f>
        <v>1</v>
      </c>
      <c r="CW795" s="109">
        <f t="shared" si="315"/>
        <v>-46612304.145509124</v>
      </c>
      <c r="CX795" s="109">
        <f t="shared" si="316"/>
        <v>0</v>
      </c>
      <c r="CZ795" s="58">
        <f t="array" ref="CZ795">SUM(IF(CW795:CX795&gt;=CW795, 1))</f>
        <v>2</v>
      </c>
      <c r="DA795" s="58">
        <f t="array" ref="DA795">SUM(IF(CW795:CX795&gt;=CX795, 1))</f>
        <v>1</v>
      </c>
      <c r="DC795" s="109">
        <f t="shared" si="317"/>
        <v>-2857704.9168399461</v>
      </c>
      <c r="DD795" s="109">
        <f t="shared" si="318"/>
        <v>0</v>
      </c>
      <c r="DF795" s="58">
        <f t="array" ref="DF795">SUM(IF(DC795:DD795&gt;=DC795, 1))</f>
        <v>2</v>
      </c>
      <c r="DG795" s="58">
        <f t="array" ref="DG795">SUM(IF(DC795:DD795&gt;=DD795, 1))</f>
        <v>1</v>
      </c>
      <c r="DI795" s="109">
        <f t="shared" si="319"/>
        <v>-68899321.063462228</v>
      </c>
      <c r="DJ795" s="109">
        <f t="shared" si="320"/>
        <v>0</v>
      </c>
      <c r="DL795" s="58">
        <f t="array" ref="DL795">SUM(IF(DI795:DJ795&gt;=DI795, 1))</f>
        <v>2</v>
      </c>
      <c r="DM795" s="58">
        <f t="array" ref="DM795">SUM(IF(DI795:DJ795&gt;=DJ795, 1))</f>
        <v>1</v>
      </c>
      <c r="DO795" s="109">
        <f t="shared" si="321"/>
        <v>-8627761.6640331596</v>
      </c>
      <c r="DP795" s="109">
        <f t="shared" si="322"/>
        <v>0</v>
      </c>
      <c r="DR795" s="58">
        <f t="array" ref="DR795">SUM(IF(DO795:DP795&gt;=DO795, 1))</f>
        <v>2</v>
      </c>
      <c r="DS795" s="58">
        <f t="array" ref="DS795">SUM(IF(DO795:DP795&gt;=DP795, 1))</f>
        <v>1</v>
      </c>
      <c r="DU795" s="109">
        <f t="shared" si="323"/>
        <v>-14712231.529415255</v>
      </c>
      <c r="DV795" s="109">
        <f t="shared" si="324"/>
        <v>0</v>
      </c>
      <c r="DX795" s="58">
        <f t="array" ref="DX795">SUM(IF(DU795:DV795&gt;=DU795, 1))</f>
        <v>2</v>
      </c>
      <c r="DY795" s="58">
        <f t="array" ref="DY795">SUM(IF(DU795:DV795&gt;=DV795, 1))</f>
        <v>1</v>
      </c>
      <c r="EA795" s="109">
        <f t="shared" si="325"/>
        <v>-141709323.3192597</v>
      </c>
      <c r="EB795" s="109">
        <f t="shared" si="326"/>
        <v>0</v>
      </c>
      <c r="ED795" s="58">
        <f t="array" ref="ED795">SUM(IF(EA795:EB795&gt;=EA795, 1))</f>
        <v>2</v>
      </c>
      <c r="EE795" s="58">
        <f t="array" ref="EE795">SUM(IF(EA795:EB795&gt;=EB795, 1))</f>
        <v>1</v>
      </c>
    </row>
    <row r="796" spans="4:135" ht="12" customHeight="1" x14ac:dyDescent="0.25">
      <c r="D796" s="11">
        <v>780</v>
      </c>
      <c r="E796" s="72">
        <v>274.7113118959486</v>
      </c>
      <c r="F796" s="72">
        <v>257.67479276831699</v>
      </c>
      <c r="G796" s="73"/>
      <c r="H796" s="74">
        <v>5.8109640475919111</v>
      </c>
      <c r="I796" s="74">
        <v>5.8280410460832455</v>
      </c>
      <c r="J796" s="73"/>
      <c r="K796" s="72">
        <v>295.38367170053726</v>
      </c>
      <c r="L796" s="72">
        <v>277.92922664894331</v>
      </c>
      <c r="M796" s="73"/>
      <c r="N796" s="74">
        <v>6.7044372559035148</v>
      </c>
      <c r="O796" s="74">
        <v>6.7194923922763321</v>
      </c>
      <c r="P796" s="73"/>
      <c r="Q796" s="72">
        <v>2532.27339973573</v>
      </c>
      <c r="R796" s="72">
        <v>1332.0740400838197</v>
      </c>
      <c r="S796" s="73"/>
      <c r="T796" s="74">
        <v>4.7841401055552106</v>
      </c>
      <c r="U796" s="74">
        <v>4.8706296562566109</v>
      </c>
      <c r="V796" s="73"/>
      <c r="W796" s="72">
        <v>8545.9900023571972</v>
      </c>
      <c r="X796" s="72">
        <v>8514.3261665282371</v>
      </c>
      <c r="Y796" s="73"/>
      <c r="Z796" s="74">
        <v>3.0794377616119588</v>
      </c>
      <c r="AA796" s="74">
        <v>3.1161185395457851</v>
      </c>
      <c r="AB796" s="73"/>
      <c r="AC796" s="72">
        <v>48561.966407871383</v>
      </c>
      <c r="AD796" s="72">
        <v>48123.337441309661</v>
      </c>
      <c r="AE796" s="73"/>
      <c r="AF796" s="74">
        <v>4.3423035421192333</v>
      </c>
      <c r="AG796" s="74">
        <v>4.4761720256986646</v>
      </c>
      <c r="AH796" s="73"/>
      <c r="AI796" s="72">
        <v>1834294.1844132701</v>
      </c>
      <c r="AJ796" s="72">
        <v>0</v>
      </c>
      <c r="AK796" s="73"/>
      <c r="AL796" s="74">
        <v>-1838.6525313779564</v>
      </c>
      <c r="AM796" s="74">
        <v>0</v>
      </c>
      <c r="AN796" s="73"/>
      <c r="AO796" s="72">
        <v>121409.44322165979</v>
      </c>
      <c r="AP796" s="72">
        <v>0</v>
      </c>
      <c r="AQ796" s="73"/>
      <c r="AR796" s="74">
        <v>-104.72035743599812</v>
      </c>
      <c r="AS796" s="74">
        <v>0</v>
      </c>
      <c r="AT796" s="73"/>
      <c r="AU796" s="72">
        <v>27579781.603540942</v>
      </c>
      <c r="AV796" s="72">
        <v>0</v>
      </c>
      <c r="AW796" s="73"/>
      <c r="AX796" s="74">
        <v>-1987.472247964555</v>
      </c>
      <c r="AY796" s="74">
        <v>0</v>
      </c>
      <c r="AZ796" s="73"/>
      <c r="BA796" s="72">
        <v>283098.77186580619</v>
      </c>
      <c r="BB796" s="72">
        <v>0</v>
      </c>
      <c r="BC796" s="73"/>
      <c r="BD796" s="74">
        <v>-327.95404954225381</v>
      </c>
      <c r="BE796" s="74">
        <v>0</v>
      </c>
      <c r="BF796" s="73"/>
      <c r="BG796" s="72">
        <v>6821972.1681111343</v>
      </c>
      <c r="BH796" s="72">
        <v>0</v>
      </c>
      <c r="BI796" s="73"/>
      <c r="BJ796" s="74">
        <v>-2082.0491549493086</v>
      </c>
      <c r="BK796" s="74">
        <v>0</v>
      </c>
      <c r="BL796" s="73"/>
      <c r="BM796" s="72">
        <v>36640556.171152815</v>
      </c>
      <c r="BN796" s="72">
        <v>0</v>
      </c>
      <c r="BO796" s="73"/>
      <c r="BP796" s="74">
        <v>-6340.8483412700716</v>
      </c>
      <c r="BQ796" s="74">
        <v>0</v>
      </c>
      <c r="BS796" s="109">
        <f t="shared" si="306"/>
        <v>115944.56963994227</v>
      </c>
      <c r="BT796" s="109">
        <f t="shared" si="307"/>
        <v>116303.14612889659</v>
      </c>
      <c r="BV796" s="58">
        <f t="array" ref="BV796">SUM(IF(BS796:BT796&gt;=BS796, 1))</f>
        <v>2</v>
      </c>
      <c r="BW796" s="58">
        <f t="array" ref="BW796">SUM(IF(BS796:BT796&gt;=BT796, 1))</f>
        <v>1</v>
      </c>
      <c r="BY796" s="109">
        <f t="shared" si="308"/>
        <v>133793.36144636976</v>
      </c>
      <c r="BZ796" s="109">
        <f t="shared" si="309"/>
        <v>134111.91861887771</v>
      </c>
      <c r="CB796" s="58">
        <f t="array" ref="CB796">SUM(IF(BY796:BZ796&gt;=BY796, 1))</f>
        <v>2</v>
      </c>
      <c r="CC796" s="58">
        <f t="array" ref="CC796">SUM(IF(BY796:BZ796&gt;=BZ796, 1))</f>
        <v>1</v>
      </c>
      <c r="CE796" s="109">
        <f t="shared" si="310"/>
        <v>93150.52871136849</v>
      </c>
      <c r="CF796" s="109">
        <f t="shared" si="311"/>
        <v>96080.519085048392</v>
      </c>
      <c r="CH796" s="58">
        <f t="array" ref="CH796">SUM(IF(CE796:CF796&gt;=CE796, 1))</f>
        <v>2</v>
      </c>
      <c r="CI796" s="58">
        <f t="array" ref="CI796">SUM(IF(CE796:CF796&gt;=CF796, 1))</f>
        <v>1</v>
      </c>
      <c r="CK796" s="109">
        <f t="shared" si="312"/>
        <v>53042.765229881981</v>
      </c>
      <c r="CL796" s="109">
        <f t="shared" si="313"/>
        <v>53808.044624387461</v>
      </c>
      <c r="CN796" s="58">
        <f t="array" ref="CN796">SUM(IF(CK796:CL796&gt;=CK796, 1))</f>
        <v>2</v>
      </c>
      <c r="CO796" s="58">
        <f t="array" ref="CO796">SUM(IF(CK796:CL796&gt;=CL796, 1))</f>
        <v>1</v>
      </c>
      <c r="CQ796" s="109" cm="1">
        <f t="array" ref="CQ796">AF796*WTP-AC796</f>
        <v>38284.104434513283</v>
      </c>
      <c r="CR796" s="109">
        <f t="shared" si="314"/>
        <v>41400.103072663624</v>
      </c>
      <c r="CT796" s="58">
        <f t="array" ref="CT796">SUM(IF(CQ796:CR796&gt;=CQ796, 1))</f>
        <v>2</v>
      </c>
      <c r="CU796" s="58">
        <f t="array" ref="CU796">SUM(IF(CQ796:CR796&gt;=CR796, 1))</f>
        <v>1</v>
      </c>
      <c r="CW796" s="109">
        <f t="shared" si="315"/>
        <v>-38607344.811972395</v>
      </c>
      <c r="CX796" s="109">
        <f t="shared" si="316"/>
        <v>0</v>
      </c>
      <c r="CZ796" s="58">
        <f t="array" ref="CZ796">SUM(IF(CW796:CX796&gt;=CW796, 1))</f>
        <v>2</v>
      </c>
      <c r="DA796" s="58">
        <f t="array" ref="DA796">SUM(IF(CW796:CX796&gt;=CX796, 1))</f>
        <v>1</v>
      </c>
      <c r="DC796" s="109">
        <f t="shared" si="317"/>
        <v>-2215816.5919416221</v>
      </c>
      <c r="DD796" s="109">
        <f t="shared" si="318"/>
        <v>0</v>
      </c>
      <c r="DF796" s="58">
        <f t="array" ref="DF796">SUM(IF(DC796:DD796&gt;=DC796, 1))</f>
        <v>2</v>
      </c>
      <c r="DG796" s="58">
        <f t="array" ref="DG796">SUM(IF(DC796:DD796&gt;=DD796, 1))</f>
        <v>1</v>
      </c>
      <c r="DI796" s="109">
        <f t="shared" si="319"/>
        <v>-67329226.562832043</v>
      </c>
      <c r="DJ796" s="109">
        <f t="shared" si="320"/>
        <v>0</v>
      </c>
      <c r="DL796" s="58">
        <f t="array" ref="DL796">SUM(IF(DI796:DJ796&gt;=DI796, 1))</f>
        <v>2</v>
      </c>
      <c r="DM796" s="58">
        <f t="array" ref="DM796">SUM(IF(DI796:DJ796&gt;=DJ796, 1))</f>
        <v>1</v>
      </c>
      <c r="DO796" s="109">
        <f t="shared" si="321"/>
        <v>-6842179.7627108824</v>
      </c>
      <c r="DP796" s="109">
        <f t="shared" si="322"/>
        <v>0</v>
      </c>
      <c r="DR796" s="58">
        <f t="array" ref="DR796">SUM(IF(DO796:DP796&gt;=DO796, 1))</f>
        <v>2</v>
      </c>
      <c r="DS796" s="58">
        <f t="array" ref="DS796">SUM(IF(DO796:DP796&gt;=DP796, 1))</f>
        <v>1</v>
      </c>
      <c r="DU796" s="109">
        <f t="shared" si="323"/>
        <v>-48462955.267097309</v>
      </c>
      <c r="DV796" s="109">
        <f t="shared" si="324"/>
        <v>0</v>
      </c>
      <c r="DX796" s="58">
        <f t="array" ref="DX796">SUM(IF(DU796:DV796&gt;=DU796, 1))</f>
        <v>2</v>
      </c>
      <c r="DY796" s="58">
        <f t="array" ref="DY796">SUM(IF(DU796:DV796&gt;=DV796, 1))</f>
        <v>1</v>
      </c>
      <c r="EA796" s="109">
        <f t="shared" si="325"/>
        <v>-163457522.99655426</v>
      </c>
      <c r="EB796" s="109">
        <f t="shared" si="326"/>
        <v>0</v>
      </c>
      <c r="ED796" s="58">
        <f t="array" ref="ED796">SUM(IF(EA796:EB796&gt;=EA796, 1))</f>
        <v>2</v>
      </c>
      <c r="EE796" s="58">
        <f t="array" ref="EE796">SUM(IF(EA796:EB796&gt;=EB796, 1))</f>
        <v>1</v>
      </c>
    </row>
    <row r="797" spans="4:135" ht="12" customHeight="1" x14ac:dyDescent="0.25">
      <c r="D797" s="11">
        <v>781</v>
      </c>
      <c r="E797" s="72">
        <v>199.34950562104993</v>
      </c>
      <c r="F797" s="72">
        <v>169.0725733447494</v>
      </c>
      <c r="G797" s="73"/>
      <c r="H797" s="74">
        <v>5.8007479417572929</v>
      </c>
      <c r="I797" s="74">
        <v>5.8214628147242458</v>
      </c>
      <c r="J797" s="73"/>
      <c r="K797" s="72">
        <v>213.24189125602791</v>
      </c>
      <c r="L797" s="72">
        <v>182.27823437910098</v>
      </c>
      <c r="M797" s="73"/>
      <c r="N797" s="74">
        <v>6.6698870524464215</v>
      </c>
      <c r="O797" s="74">
        <v>6.6890670809122819</v>
      </c>
      <c r="P797" s="73"/>
      <c r="Q797" s="72">
        <v>1604.3987388297144</v>
      </c>
      <c r="R797" s="72">
        <v>1307.3124360836134</v>
      </c>
      <c r="S797" s="73"/>
      <c r="T797" s="74">
        <v>4.8174846912924068</v>
      </c>
      <c r="U797" s="74">
        <v>4.8812014715278158</v>
      </c>
      <c r="V797" s="73"/>
      <c r="W797" s="72">
        <v>11180.434848551042</v>
      </c>
      <c r="X797" s="72">
        <v>11186.777502051082</v>
      </c>
      <c r="Y797" s="73"/>
      <c r="Z797" s="74">
        <v>3.1448543546036212</v>
      </c>
      <c r="AA797" s="74">
        <v>3.1860112533934957</v>
      </c>
      <c r="AB797" s="73"/>
      <c r="AC797" s="72">
        <v>51269.146114046322</v>
      </c>
      <c r="AD797" s="72">
        <v>50820.032782224451</v>
      </c>
      <c r="AE797" s="73"/>
      <c r="AF797" s="74">
        <v>4.2845236381936358</v>
      </c>
      <c r="AG797" s="74">
        <v>4.3921441733421354</v>
      </c>
      <c r="AH797" s="73"/>
      <c r="AI797" s="72">
        <v>3285967.865482559</v>
      </c>
      <c r="AJ797" s="72">
        <v>0</v>
      </c>
      <c r="AK797" s="73"/>
      <c r="AL797" s="74">
        <v>-2248.1936507233731</v>
      </c>
      <c r="AM797" s="74">
        <v>0</v>
      </c>
      <c r="AN797" s="73"/>
      <c r="AO797" s="72">
        <v>217060.83936783584</v>
      </c>
      <c r="AP797" s="72">
        <v>0</v>
      </c>
      <c r="AQ797" s="73"/>
      <c r="AR797" s="74">
        <v>-134.45547127868232</v>
      </c>
      <c r="AS797" s="74">
        <v>0</v>
      </c>
      <c r="AT797" s="73"/>
      <c r="AU797" s="72">
        <v>6923177.039958464</v>
      </c>
      <c r="AV797" s="72">
        <v>0</v>
      </c>
      <c r="AW797" s="73"/>
      <c r="AX797" s="74">
        <v>-1484.8296468345093</v>
      </c>
      <c r="AY797" s="74">
        <v>0</v>
      </c>
      <c r="AZ797" s="73"/>
      <c r="BA797" s="72">
        <v>-57891.339208999671</v>
      </c>
      <c r="BB797" s="72">
        <v>0</v>
      </c>
      <c r="BC797" s="73"/>
      <c r="BD797" s="74">
        <v>-375.65160837181298</v>
      </c>
      <c r="BE797" s="74">
        <v>0</v>
      </c>
      <c r="BF797" s="73"/>
      <c r="BG797" s="72">
        <v>7001791.7717595128</v>
      </c>
      <c r="BH797" s="72">
        <v>0</v>
      </c>
      <c r="BI797" s="73"/>
      <c r="BJ797" s="74">
        <v>-1677.831683193031</v>
      </c>
      <c r="BK797" s="74">
        <v>0</v>
      </c>
      <c r="BL797" s="73"/>
      <c r="BM797" s="72">
        <v>17370106.177359372</v>
      </c>
      <c r="BN797" s="72">
        <v>0</v>
      </c>
      <c r="BO797" s="73"/>
      <c r="BP797" s="74">
        <v>-5920.962060401409</v>
      </c>
      <c r="BQ797" s="74">
        <v>0</v>
      </c>
      <c r="BS797" s="109">
        <f t="shared" si="306"/>
        <v>115815.6093295248</v>
      </c>
      <c r="BT797" s="109">
        <f t="shared" si="307"/>
        <v>116260.18372114017</v>
      </c>
      <c r="BV797" s="58">
        <f t="array" ref="BV797">SUM(IF(BS797:BT797&gt;=BS797, 1))</f>
        <v>2</v>
      </c>
      <c r="BW797" s="58">
        <f t="array" ref="BW797">SUM(IF(BS797:BT797&gt;=BT797, 1))</f>
        <v>1</v>
      </c>
      <c r="BY797" s="109">
        <f t="shared" si="308"/>
        <v>133184.4991576724</v>
      </c>
      <c r="BZ797" s="109">
        <f t="shared" si="309"/>
        <v>133599.06338386654</v>
      </c>
      <c r="CB797" s="58">
        <f t="array" ref="CB797">SUM(IF(BY797:BZ797&gt;=BY797, 1))</f>
        <v>2</v>
      </c>
      <c r="CC797" s="58">
        <f t="array" ref="CC797">SUM(IF(BY797:BZ797&gt;=BZ797, 1))</f>
        <v>1</v>
      </c>
      <c r="CE797" s="109">
        <f t="shared" si="310"/>
        <v>94745.295087018429</v>
      </c>
      <c r="CF797" s="109">
        <f t="shared" si="311"/>
        <v>96316.716994472707</v>
      </c>
      <c r="CH797" s="58">
        <f t="array" ref="CH797">SUM(IF(CE797:CF797&gt;=CE797, 1))</f>
        <v>2</v>
      </c>
      <c r="CI797" s="58">
        <f t="array" ref="CI797">SUM(IF(CE797:CF797&gt;=CF797, 1))</f>
        <v>1</v>
      </c>
      <c r="CK797" s="109">
        <f t="shared" si="312"/>
        <v>51716.652243521385</v>
      </c>
      <c r="CL797" s="109">
        <f t="shared" si="313"/>
        <v>52533.447565818831</v>
      </c>
      <c r="CN797" s="58">
        <f t="array" ref="CN797">SUM(IF(CK797:CL797&gt;=CK797, 1))</f>
        <v>2</v>
      </c>
      <c r="CO797" s="58">
        <f t="array" ref="CO797">SUM(IF(CK797:CL797&gt;=CL797, 1))</f>
        <v>1</v>
      </c>
      <c r="CQ797" s="109" cm="1">
        <f t="array" ref="CQ797">AF797*WTP-AC797</f>
        <v>34421.326649826398</v>
      </c>
      <c r="CR797" s="109">
        <f t="shared" si="314"/>
        <v>37022.85068461825</v>
      </c>
      <c r="CT797" s="58">
        <f t="array" ref="CT797">SUM(IF(CQ797:CR797&gt;=CQ797, 1))</f>
        <v>2</v>
      </c>
      <c r="CU797" s="58">
        <f t="array" ref="CU797">SUM(IF(CQ797:CR797&gt;=CR797, 1))</f>
        <v>1</v>
      </c>
      <c r="CW797" s="109">
        <f t="shared" si="315"/>
        <v>-48249840.879950024</v>
      </c>
      <c r="CX797" s="109">
        <f t="shared" si="316"/>
        <v>0</v>
      </c>
      <c r="CZ797" s="58">
        <f t="array" ref="CZ797">SUM(IF(CW797:CX797&gt;=CW797, 1))</f>
        <v>2</v>
      </c>
      <c r="DA797" s="58">
        <f t="array" ref="DA797">SUM(IF(CW797:CX797&gt;=CX797, 1))</f>
        <v>1</v>
      </c>
      <c r="DC797" s="109">
        <f t="shared" si="317"/>
        <v>-2906170.2649414823</v>
      </c>
      <c r="DD797" s="109">
        <f t="shared" si="318"/>
        <v>0</v>
      </c>
      <c r="DF797" s="58">
        <f t="array" ref="DF797">SUM(IF(DC797:DD797&gt;=DC797, 1))</f>
        <v>2</v>
      </c>
      <c r="DG797" s="58">
        <f t="array" ref="DG797">SUM(IF(DC797:DD797&gt;=DD797, 1))</f>
        <v>1</v>
      </c>
      <c r="DI797" s="109">
        <f t="shared" si="319"/>
        <v>-36619769.976648651</v>
      </c>
      <c r="DJ797" s="109">
        <f t="shared" si="320"/>
        <v>0</v>
      </c>
      <c r="DL797" s="58">
        <f t="array" ref="DL797">SUM(IF(DI797:DJ797&gt;=DI797, 1))</f>
        <v>2</v>
      </c>
      <c r="DM797" s="58">
        <f t="array" ref="DM797">SUM(IF(DI797:DJ797&gt;=DJ797, 1))</f>
        <v>1</v>
      </c>
      <c r="DO797" s="109">
        <f t="shared" si="321"/>
        <v>-7455140.8282272602</v>
      </c>
      <c r="DP797" s="109">
        <f t="shared" si="322"/>
        <v>0</v>
      </c>
      <c r="DR797" s="58">
        <f t="array" ref="DR797">SUM(IF(DO797:DP797&gt;=DO797, 1))</f>
        <v>2</v>
      </c>
      <c r="DS797" s="58">
        <f t="array" ref="DS797">SUM(IF(DO797:DP797&gt;=DP797, 1))</f>
        <v>1</v>
      </c>
      <c r="DU797" s="109">
        <f t="shared" si="323"/>
        <v>-40558425.435620129</v>
      </c>
      <c r="DV797" s="109">
        <f t="shared" si="324"/>
        <v>0</v>
      </c>
      <c r="DX797" s="58">
        <f t="array" ref="DX797">SUM(IF(DU797:DV797&gt;=DU797, 1))</f>
        <v>2</v>
      </c>
      <c r="DY797" s="58">
        <f t="array" ref="DY797">SUM(IF(DU797:DV797&gt;=DV797, 1))</f>
        <v>1</v>
      </c>
      <c r="EA797" s="109">
        <f t="shared" si="325"/>
        <v>-135789347.38538754</v>
      </c>
      <c r="EB797" s="109">
        <f t="shared" si="326"/>
        <v>0</v>
      </c>
      <c r="ED797" s="58">
        <f t="array" ref="ED797">SUM(IF(EA797:EB797&gt;=EA797, 1))</f>
        <v>2</v>
      </c>
      <c r="EE797" s="58">
        <f t="array" ref="EE797">SUM(IF(EA797:EB797&gt;=EB797, 1))</f>
        <v>1</v>
      </c>
    </row>
    <row r="798" spans="4:135" ht="12" customHeight="1" x14ac:dyDescent="0.25">
      <c r="D798" s="11">
        <v>782</v>
      </c>
      <c r="E798" s="72">
        <v>241.4513674838262</v>
      </c>
      <c r="F798" s="72">
        <v>223.2548104735358</v>
      </c>
      <c r="G798" s="73"/>
      <c r="H798" s="74">
        <v>5.8041837889720451</v>
      </c>
      <c r="I798" s="74">
        <v>5.8260823397460566</v>
      </c>
      <c r="J798" s="73"/>
      <c r="K798" s="72">
        <v>259.41892629272672</v>
      </c>
      <c r="L798" s="72">
        <v>240.77437837766303</v>
      </c>
      <c r="M798" s="73"/>
      <c r="N798" s="74">
        <v>6.7485824767209142</v>
      </c>
      <c r="O798" s="74">
        <v>6.768460341288189</v>
      </c>
      <c r="P798" s="73"/>
      <c r="Q798" s="72">
        <v>1294.353817277158</v>
      </c>
      <c r="R798" s="72">
        <v>824.19261510566537</v>
      </c>
      <c r="S798" s="73"/>
      <c r="T798" s="74">
        <v>4.7808925642278011</v>
      </c>
      <c r="U798" s="74">
        <v>4.8630267671142393</v>
      </c>
      <c r="V798" s="73"/>
      <c r="W798" s="72">
        <v>9517.9866625649574</v>
      </c>
      <c r="X798" s="72">
        <v>9517.506240472183</v>
      </c>
      <c r="Y798" s="73"/>
      <c r="Z798" s="74">
        <v>3.186851313898015</v>
      </c>
      <c r="AA798" s="74">
        <v>3.2473254342547535</v>
      </c>
      <c r="AB798" s="73"/>
      <c r="AC798" s="72">
        <v>49199.702929371881</v>
      </c>
      <c r="AD798" s="72">
        <v>48680.299805932795</v>
      </c>
      <c r="AE798" s="73"/>
      <c r="AF798" s="74">
        <v>4.5843603310559287</v>
      </c>
      <c r="AG798" s="74">
        <v>4.7897926194530136</v>
      </c>
      <c r="AH798" s="73"/>
      <c r="AI798" s="72">
        <v>1953959.6862195099</v>
      </c>
      <c r="AJ798" s="72">
        <v>0</v>
      </c>
      <c r="AK798" s="73"/>
      <c r="AL798" s="74">
        <v>-2351.4825015991637</v>
      </c>
      <c r="AM798" s="74">
        <v>0</v>
      </c>
      <c r="AN798" s="73"/>
      <c r="AO798" s="72">
        <v>127480.3280907404</v>
      </c>
      <c r="AP798" s="72">
        <v>0</v>
      </c>
      <c r="AQ798" s="73"/>
      <c r="AR798" s="74">
        <v>-135.91301373052565</v>
      </c>
      <c r="AS798" s="74">
        <v>0</v>
      </c>
      <c r="AT798" s="73"/>
      <c r="AU798" s="72">
        <v>10762541.595308933</v>
      </c>
      <c r="AV798" s="72">
        <v>0</v>
      </c>
      <c r="AW798" s="73"/>
      <c r="AX798" s="74">
        <v>-1880.1482786757106</v>
      </c>
      <c r="AY798" s="74">
        <v>0</v>
      </c>
      <c r="AZ798" s="73"/>
      <c r="BA798" s="72">
        <v>4106.314490708497</v>
      </c>
      <c r="BB798" s="72">
        <v>0</v>
      </c>
      <c r="BC798" s="73"/>
      <c r="BD798" s="74">
        <v>-516.89079346795165</v>
      </c>
      <c r="BE798" s="74">
        <v>0</v>
      </c>
      <c r="BF798" s="73"/>
      <c r="BG798" s="72">
        <v>8348059.1974340873</v>
      </c>
      <c r="BH798" s="72">
        <v>0</v>
      </c>
      <c r="BI798" s="73"/>
      <c r="BJ798" s="74">
        <v>-3301.7916666501192</v>
      </c>
      <c r="BK798" s="74">
        <v>0</v>
      </c>
      <c r="BL798" s="73"/>
      <c r="BM798" s="72">
        <v>21196147.121543977</v>
      </c>
      <c r="BN798" s="72">
        <v>0</v>
      </c>
      <c r="BO798" s="73"/>
      <c r="BP798" s="74">
        <v>-8186.2262541234704</v>
      </c>
      <c r="BQ798" s="74">
        <v>0</v>
      </c>
      <c r="BS798" s="109">
        <f t="shared" si="306"/>
        <v>115842.22441195708</v>
      </c>
      <c r="BT798" s="109">
        <f t="shared" si="307"/>
        <v>116298.3919844476</v>
      </c>
      <c r="BV798" s="58">
        <f t="array" ref="BV798">SUM(IF(BS798:BT798&gt;=BS798, 1))</f>
        <v>2</v>
      </c>
      <c r="BW798" s="58">
        <f t="array" ref="BW798">SUM(IF(BS798:BT798&gt;=BT798, 1))</f>
        <v>1</v>
      </c>
      <c r="BY798" s="109">
        <f t="shared" si="308"/>
        <v>134712.23060812554</v>
      </c>
      <c r="BZ798" s="109">
        <f t="shared" si="309"/>
        <v>135128.43244738612</v>
      </c>
      <c r="CB798" s="58">
        <f t="array" ref="CB798">SUM(IF(BY798:BZ798&gt;=BY798, 1))</f>
        <v>2</v>
      </c>
      <c r="CC798" s="58">
        <f t="array" ref="CC798">SUM(IF(BY798:BZ798&gt;=BZ798, 1))</f>
        <v>1</v>
      </c>
      <c r="CE798" s="109">
        <f t="shared" si="310"/>
        <v>94323.497467278867</v>
      </c>
      <c r="CF798" s="109">
        <f t="shared" si="311"/>
        <v>96436.342727179115</v>
      </c>
      <c r="CH798" s="58">
        <f t="array" ref="CH798">SUM(IF(CE798:CF798&gt;=CE798, 1))</f>
        <v>2</v>
      </c>
      <c r="CI798" s="58">
        <f t="array" ref="CI798">SUM(IF(CE798:CF798&gt;=CF798, 1))</f>
        <v>1</v>
      </c>
      <c r="CK798" s="109">
        <f t="shared" si="312"/>
        <v>54219.039615395341</v>
      </c>
      <c r="CL798" s="109">
        <f t="shared" si="313"/>
        <v>55429.002444622885</v>
      </c>
      <c r="CN798" s="58">
        <f t="array" ref="CN798">SUM(IF(CK798:CL798&gt;=CK798, 1))</f>
        <v>2</v>
      </c>
      <c r="CO798" s="58">
        <f t="array" ref="CO798">SUM(IF(CK798:CL798&gt;=CL798, 1))</f>
        <v>1</v>
      </c>
      <c r="CQ798" s="109" cm="1">
        <f t="array" ref="CQ798">AF798*WTP-AC798</f>
        <v>42487.503691746693</v>
      </c>
      <c r="CR798" s="109">
        <f t="shared" si="314"/>
        <v>47115.552583127472</v>
      </c>
      <c r="CT798" s="58">
        <f t="array" ref="CT798">SUM(IF(CQ798:CR798&gt;=CQ798, 1))</f>
        <v>2</v>
      </c>
      <c r="CU798" s="58">
        <f t="array" ref="CU798">SUM(IF(CQ798:CR798&gt;=CR798, 1))</f>
        <v>1</v>
      </c>
      <c r="CW798" s="109">
        <f t="shared" si="315"/>
        <v>-48983609.718202785</v>
      </c>
      <c r="CX798" s="109">
        <f t="shared" si="316"/>
        <v>0</v>
      </c>
      <c r="CZ798" s="58">
        <f t="array" ref="CZ798">SUM(IF(CW798:CX798&gt;=CW798, 1))</f>
        <v>2</v>
      </c>
      <c r="DA798" s="58">
        <f t="array" ref="DA798">SUM(IF(CW798:CX798&gt;=CX798, 1))</f>
        <v>1</v>
      </c>
      <c r="DC798" s="109">
        <f t="shared" si="317"/>
        <v>-2845740.6027012533</v>
      </c>
      <c r="DD798" s="109">
        <f t="shared" si="318"/>
        <v>0</v>
      </c>
      <c r="DF798" s="58">
        <f t="array" ref="DF798">SUM(IF(DC798:DD798&gt;=DC798, 1))</f>
        <v>2</v>
      </c>
      <c r="DG798" s="58">
        <f t="array" ref="DG798">SUM(IF(DC798:DD798&gt;=DD798, 1))</f>
        <v>1</v>
      </c>
      <c r="DI798" s="109">
        <f t="shared" si="319"/>
        <v>-48365507.168823138</v>
      </c>
      <c r="DJ798" s="109">
        <f t="shared" si="320"/>
        <v>0</v>
      </c>
      <c r="DL798" s="58">
        <f t="array" ref="DL798">SUM(IF(DI798:DJ798&gt;=DI798, 1))</f>
        <v>2</v>
      </c>
      <c r="DM798" s="58">
        <f t="array" ref="DM798">SUM(IF(DI798:DJ798&gt;=DJ798, 1))</f>
        <v>1</v>
      </c>
      <c r="DO798" s="109">
        <f t="shared" si="321"/>
        <v>-10341922.183849741</v>
      </c>
      <c r="DP798" s="109">
        <f t="shared" si="322"/>
        <v>0</v>
      </c>
      <c r="DR798" s="58">
        <f t="array" ref="DR798">SUM(IF(DO798:DP798&gt;=DO798, 1))</f>
        <v>2</v>
      </c>
      <c r="DS798" s="58">
        <f t="array" ref="DS798">SUM(IF(DO798:DP798&gt;=DP798, 1))</f>
        <v>1</v>
      </c>
      <c r="DU798" s="109">
        <f t="shared" si="323"/>
        <v>-74383892.530436471</v>
      </c>
      <c r="DV798" s="109">
        <f t="shared" si="324"/>
        <v>0</v>
      </c>
      <c r="DX798" s="58">
        <f t="array" ref="DX798">SUM(IF(DU798:DV798&gt;=DU798, 1))</f>
        <v>2</v>
      </c>
      <c r="DY798" s="58">
        <f t="array" ref="DY798">SUM(IF(DU798:DV798&gt;=DV798, 1))</f>
        <v>1</v>
      </c>
      <c r="EA798" s="109">
        <f t="shared" si="325"/>
        <v>-184920672.20401338</v>
      </c>
      <c r="EB798" s="109">
        <f t="shared" si="326"/>
        <v>0</v>
      </c>
      <c r="ED798" s="58">
        <f t="array" ref="ED798">SUM(IF(EA798:EB798&gt;=EA798, 1))</f>
        <v>2</v>
      </c>
      <c r="EE798" s="58">
        <f t="array" ref="EE798">SUM(IF(EA798:EB798&gt;=EB798, 1))</f>
        <v>1</v>
      </c>
    </row>
    <row r="799" spans="4:135" ht="12" customHeight="1" x14ac:dyDescent="0.25">
      <c r="D799" s="11">
        <v>783</v>
      </c>
      <c r="E799" s="72">
        <v>325.41080342756777</v>
      </c>
      <c r="F799" s="72">
        <v>289.20804541193996</v>
      </c>
      <c r="G799" s="73"/>
      <c r="H799" s="74">
        <v>5.8305962457933038</v>
      </c>
      <c r="I799" s="74">
        <v>5.8469301914839402</v>
      </c>
      <c r="J799" s="73"/>
      <c r="K799" s="72">
        <v>348.96344193588294</v>
      </c>
      <c r="L799" s="72">
        <v>311.80728119278626</v>
      </c>
      <c r="M799" s="73"/>
      <c r="N799" s="74">
        <v>6.7129050165516633</v>
      </c>
      <c r="O799" s="74">
        <v>6.7262240329322935</v>
      </c>
      <c r="P799" s="73"/>
      <c r="Q799" s="72">
        <v>3187.8861085824633</v>
      </c>
      <c r="R799" s="72">
        <v>1534.0377859384764</v>
      </c>
      <c r="S799" s="73"/>
      <c r="T799" s="74">
        <v>4.9438918432444821</v>
      </c>
      <c r="U799" s="74">
        <v>5.0491549111443677</v>
      </c>
      <c r="V799" s="73"/>
      <c r="W799" s="72">
        <v>15567.248972830948</v>
      </c>
      <c r="X799" s="72">
        <v>15577.463719255067</v>
      </c>
      <c r="Y799" s="73"/>
      <c r="Z799" s="74">
        <v>3.0163512254025027</v>
      </c>
      <c r="AA799" s="74">
        <v>3.0590123719275746</v>
      </c>
      <c r="AB799" s="73"/>
      <c r="AC799" s="72">
        <v>49850.574931453171</v>
      </c>
      <c r="AD799" s="72">
        <v>49724.148050885255</v>
      </c>
      <c r="AE799" s="73"/>
      <c r="AF799" s="74">
        <v>4.2652224051948826</v>
      </c>
      <c r="AG799" s="74">
        <v>4.3420582514363302</v>
      </c>
      <c r="AH799" s="73"/>
      <c r="AI799" s="72">
        <v>3867690.1396682956</v>
      </c>
      <c r="AJ799" s="72">
        <v>0</v>
      </c>
      <c r="AK799" s="73"/>
      <c r="AL799" s="74">
        <v>-1745.0228698675655</v>
      </c>
      <c r="AM799" s="74">
        <v>0</v>
      </c>
      <c r="AN799" s="73"/>
      <c r="AO799" s="72">
        <v>253257.82968812186</v>
      </c>
      <c r="AP799" s="72">
        <v>0</v>
      </c>
      <c r="AQ799" s="73"/>
      <c r="AR799" s="74">
        <v>-90.78293113923695</v>
      </c>
      <c r="AS799" s="74">
        <v>0</v>
      </c>
      <c r="AT799" s="73"/>
      <c r="AU799" s="72">
        <v>38213948.845941499</v>
      </c>
      <c r="AV799" s="72">
        <v>0</v>
      </c>
      <c r="AW799" s="73"/>
      <c r="AX799" s="74">
        <v>-2432.2166894134193</v>
      </c>
      <c r="AY799" s="74">
        <v>0</v>
      </c>
      <c r="AZ799" s="73"/>
      <c r="BA799" s="72">
        <v>-91030.287984268056</v>
      </c>
      <c r="BB799" s="72">
        <v>0</v>
      </c>
      <c r="BC799" s="73"/>
      <c r="BD799" s="74">
        <v>-380.18138607404018</v>
      </c>
      <c r="BE799" s="74">
        <v>0</v>
      </c>
      <c r="BF799" s="73"/>
      <c r="BG799" s="72">
        <v>1947604.489383972</v>
      </c>
      <c r="BH799" s="72">
        <v>0</v>
      </c>
      <c r="BI799" s="73"/>
      <c r="BJ799" s="74">
        <v>-1183.6552354471007</v>
      </c>
      <c r="BK799" s="74">
        <v>0</v>
      </c>
      <c r="BL799" s="73"/>
      <c r="BM799" s="72">
        <v>44191471.016697623</v>
      </c>
      <c r="BN799" s="72">
        <v>0</v>
      </c>
      <c r="BO799" s="73"/>
      <c r="BP799" s="74">
        <v>-5831.8591119413632</v>
      </c>
      <c r="BQ799" s="74">
        <v>0</v>
      </c>
      <c r="BS799" s="109">
        <f t="shared" si="306"/>
        <v>116286.51411243851</v>
      </c>
      <c r="BT799" s="109">
        <f t="shared" si="307"/>
        <v>116649.39578426686</v>
      </c>
      <c r="BV799" s="58">
        <f t="array" ref="BV799">SUM(IF(BS799:BT799&gt;=BS799, 1))</f>
        <v>2</v>
      </c>
      <c r="BW799" s="58">
        <f t="array" ref="BW799">SUM(IF(BS799:BT799&gt;=BT799, 1))</f>
        <v>1</v>
      </c>
      <c r="BY799" s="109">
        <f t="shared" si="308"/>
        <v>133909.13688909737</v>
      </c>
      <c r="BZ799" s="109">
        <f t="shared" si="309"/>
        <v>134212.67337745306</v>
      </c>
      <c r="CB799" s="58">
        <f t="array" ref="CB799">SUM(IF(BY799:BZ799&gt;=BY799, 1))</f>
        <v>2</v>
      </c>
      <c r="CC799" s="58">
        <f t="array" ref="CC799">SUM(IF(BY799:BZ799&gt;=BZ799, 1))</f>
        <v>1</v>
      </c>
      <c r="CE799" s="109">
        <f t="shared" si="310"/>
        <v>95689.950756307182</v>
      </c>
      <c r="CF799" s="109">
        <f t="shared" si="311"/>
        <v>99449.060436948872</v>
      </c>
      <c r="CH799" s="58">
        <f t="array" ref="CH799">SUM(IF(CE799:CF799&gt;=CE799, 1))</f>
        <v>2</v>
      </c>
      <c r="CI799" s="58">
        <f t="array" ref="CI799">SUM(IF(CE799:CF799&gt;=CF799, 1))</f>
        <v>1</v>
      </c>
      <c r="CK799" s="109">
        <f t="shared" si="312"/>
        <v>44759.775535219102</v>
      </c>
      <c r="CL799" s="109">
        <f t="shared" si="313"/>
        <v>45602.783719296429</v>
      </c>
      <c r="CN799" s="58">
        <f t="array" ref="CN799">SUM(IF(CK799:CL799&gt;=CK799, 1))</f>
        <v>2</v>
      </c>
      <c r="CO799" s="58">
        <f t="array" ref="CO799">SUM(IF(CK799:CL799&gt;=CL799, 1))</f>
        <v>1</v>
      </c>
      <c r="CQ799" s="109" cm="1">
        <f t="array" ref="CQ799">AF799*WTP-AC799</f>
        <v>35453.873172444481</v>
      </c>
      <c r="CR799" s="109">
        <f t="shared" si="314"/>
        <v>37117.016977841355</v>
      </c>
      <c r="CT799" s="58">
        <f t="array" ref="CT799">SUM(IF(CQ799:CR799&gt;=CQ799, 1))</f>
        <v>2</v>
      </c>
      <c r="CU799" s="58">
        <f t="array" ref="CU799">SUM(IF(CQ799:CR799&gt;=CR799, 1))</f>
        <v>1</v>
      </c>
      <c r="CW799" s="109">
        <f t="shared" si="315"/>
        <v>-38768147.537019603</v>
      </c>
      <c r="CX799" s="109">
        <f t="shared" si="316"/>
        <v>0</v>
      </c>
      <c r="CZ799" s="58">
        <f t="array" ref="CZ799">SUM(IF(CW799:CX799&gt;=CW799, 1))</f>
        <v>2</v>
      </c>
      <c r="DA799" s="58">
        <f t="array" ref="DA799">SUM(IF(CW799:CX799&gt;=CX799, 1))</f>
        <v>1</v>
      </c>
      <c r="DC799" s="109">
        <f t="shared" si="317"/>
        <v>-2068916.4524728607</v>
      </c>
      <c r="DD799" s="109">
        <f t="shared" si="318"/>
        <v>0</v>
      </c>
      <c r="DF799" s="58">
        <f t="array" ref="DF799">SUM(IF(DC799:DD799&gt;=DC799, 1))</f>
        <v>2</v>
      </c>
      <c r="DG799" s="58">
        <f t="array" ref="DG799">SUM(IF(DC799:DD799&gt;=DD799, 1))</f>
        <v>1</v>
      </c>
      <c r="DI799" s="109">
        <f t="shared" si="319"/>
        <v>-86858282.634209886</v>
      </c>
      <c r="DJ799" s="109">
        <f t="shared" si="320"/>
        <v>0</v>
      </c>
      <c r="DL799" s="58">
        <f t="array" ref="DL799">SUM(IF(DI799:DJ799&gt;=DI799, 1))</f>
        <v>2</v>
      </c>
      <c r="DM799" s="58">
        <f t="array" ref="DM799">SUM(IF(DI799:DJ799&gt;=DJ799, 1))</f>
        <v>1</v>
      </c>
      <c r="DO799" s="109">
        <f t="shared" si="321"/>
        <v>-7512597.4334965358</v>
      </c>
      <c r="DP799" s="109">
        <f t="shared" si="322"/>
        <v>0</v>
      </c>
      <c r="DR799" s="58">
        <f t="array" ref="DR799">SUM(IF(DO799:DP799&gt;=DO799, 1))</f>
        <v>2</v>
      </c>
      <c r="DS799" s="58">
        <f t="array" ref="DS799">SUM(IF(DO799:DP799&gt;=DP799, 1))</f>
        <v>1</v>
      </c>
      <c r="DU799" s="109">
        <f t="shared" si="323"/>
        <v>-25620709.198325988</v>
      </c>
      <c r="DV799" s="109">
        <f t="shared" si="324"/>
        <v>0</v>
      </c>
      <c r="DX799" s="58">
        <f t="array" ref="DX799">SUM(IF(DU799:DV799&gt;=DU799, 1))</f>
        <v>2</v>
      </c>
      <c r="DY799" s="58">
        <f t="array" ref="DY799">SUM(IF(DU799:DV799&gt;=DV799, 1))</f>
        <v>1</v>
      </c>
      <c r="EA799" s="109">
        <f t="shared" si="325"/>
        <v>-160828653.25552487</v>
      </c>
      <c r="EB799" s="109">
        <f t="shared" si="326"/>
        <v>0</v>
      </c>
      <c r="ED799" s="58">
        <f t="array" ref="ED799">SUM(IF(EA799:EB799&gt;=EA799, 1))</f>
        <v>2</v>
      </c>
      <c r="EE799" s="58">
        <f t="array" ref="EE799">SUM(IF(EA799:EB799&gt;=EB799, 1))</f>
        <v>1</v>
      </c>
    </row>
    <row r="800" spans="4:135" ht="12" customHeight="1" x14ac:dyDescent="0.25">
      <c r="D800" s="11">
        <v>784</v>
      </c>
      <c r="E800" s="72">
        <v>253.11225094715084</v>
      </c>
      <c r="F800" s="72">
        <v>227.94483675133071</v>
      </c>
      <c r="G800" s="73"/>
      <c r="H800" s="74">
        <v>5.864678864170779</v>
      </c>
      <c r="I800" s="74">
        <v>5.883784649028267</v>
      </c>
      <c r="J800" s="73"/>
      <c r="K800" s="72">
        <v>271.56757377319695</v>
      </c>
      <c r="L800" s="72">
        <v>245.80267832860994</v>
      </c>
      <c r="M800" s="73"/>
      <c r="N800" s="74">
        <v>6.7657385097095082</v>
      </c>
      <c r="O800" s="74">
        <v>6.7829743832133733</v>
      </c>
      <c r="P800" s="73"/>
      <c r="Q800" s="72">
        <v>2533.9195180895808</v>
      </c>
      <c r="R800" s="72">
        <v>1106.7028763521355</v>
      </c>
      <c r="S800" s="73"/>
      <c r="T800" s="74">
        <v>4.7449933630560492</v>
      </c>
      <c r="U800" s="74">
        <v>4.8986411101888256</v>
      </c>
      <c r="V800" s="73"/>
      <c r="W800" s="72">
        <v>16494.529076034454</v>
      </c>
      <c r="X800" s="72">
        <v>16452.229320743005</v>
      </c>
      <c r="Y800" s="73"/>
      <c r="Z800" s="74">
        <v>2.8499628294202113</v>
      </c>
      <c r="AA800" s="74">
        <v>2.892206942381113</v>
      </c>
      <c r="AB800" s="73"/>
      <c r="AC800" s="72">
        <v>51025.956637127558</v>
      </c>
      <c r="AD800" s="72">
        <v>50755.051011803313</v>
      </c>
      <c r="AE800" s="73"/>
      <c r="AF800" s="74">
        <v>4.5894466325052692</v>
      </c>
      <c r="AG800" s="74">
        <v>4.7027594358106377</v>
      </c>
      <c r="AH800" s="73"/>
      <c r="AI800" s="72">
        <v>2686001.494869099</v>
      </c>
      <c r="AJ800" s="72">
        <v>0</v>
      </c>
      <c r="AK800" s="73"/>
      <c r="AL800" s="74">
        <v>-2039.0718843250622</v>
      </c>
      <c r="AM800" s="74">
        <v>0</v>
      </c>
      <c r="AN800" s="73"/>
      <c r="AO800" s="72">
        <v>177044.36135535719</v>
      </c>
      <c r="AP800" s="72">
        <v>0</v>
      </c>
      <c r="AQ800" s="73"/>
      <c r="AR800" s="74">
        <v>-118.43689501696083</v>
      </c>
      <c r="AS800" s="74">
        <v>0</v>
      </c>
      <c r="AT800" s="73"/>
      <c r="AU800" s="72">
        <v>33337207.345803421</v>
      </c>
      <c r="AV800" s="72">
        <v>0</v>
      </c>
      <c r="AW800" s="73"/>
      <c r="AX800" s="74">
        <v>-3588.9343317531407</v>
      </c>
      <c r="AY800" s="74">
        <v>0</v>
      </c>
      <c r="AZ800" s="73"/>
      <c r="BA800" s="72">
        <v>361424.78672558616</v>
      </c>
      <c r="BB800" s="72">
        <v>0</v>
      </c>
      <c r="BC800" s="73"/>
      <c r="BD800" s="74">
        <v>-360.94935803072599</v>
      </c>
      <c r="BE800" s="74">
        <v>0</v>
      </c>
      <c r="BF800" s="73"/>
      <c r="BG800" s="72">
        <v>4377221.4867234621</v>
      </c>
      <c r="BH800" s="72">
        <v>0</v>
      </c>
      <c r="BI800" s="73"/>
      <c r="BJ800" s="74">
        <v>-1830.8783243444093</v>
      </c>
      <c r="BK800" s="74">
        <v>0</v>
      </c>
      <c r="BL800" s="73"/>
      <c r="BM800" s="72">
        <v>40938899.475476928</v>
      </c>
      <c r="BN800" s="72">
        <v>0</v>
      </c>
      <c r="BO800" s="73"/>
      <c r="BP800" s="74">
        <v>-7938.2707934702994</v>
      </c>
      <c r="BQ800" s="74">
        <v>0</v>
      </c>
      <c r="BS800" s="109">
        <f t="shared" si="306"/>
        <v>117040.46503246843</v>
      </c>
      <c r="BT800" s="109">
        <f t="shared" si="307"/>
        <v>117447.74814381401</v>
      </c>
      <c r="BV800" s="58">
        <f t="array" ref="BV800">SUM(IF(BS800:BT800&gt;=BS800, 1))</f>
        <v>2</v>
      </c>
      <c r="BW800" s="58">
        <f t="array" ref="BW800">SUM(IF(BS800:BT800&gt;=BT800, 1))</f>
        <v>1</v>
      </c>
      <c r="BY800" s="109">
        <f t="shared" si="308"/>
        <v>135043.20262041697</v>
      </c>
      <c r="BZ800" s="109">
        <f t="shared" si="309"/>
        <v>135413.68498593886</v>
      </c>
      <c r="CB800" s="58">
        <f t="array" ref="CB800">SUM(IF(BY800:BZ800&gt;=BY800, 1))</f>
        <v>2</v>
      </c>
      <c r="CC800" s="58">
        <f t="array" ref="CC800">SUM(IF(BY800:BZ800&gt;=BZ800, 1))</f>
        <v>1</v>
      </c>
      <c r="CE800" s="109">
        <f t="shared" si="310"/>
        <v>92365.947743031415</v>
      </c>
      <c r="CF800" s="109">
        <f t="shared" si="311"/>
        <v>96866.119327424371</v>
      </c>
      <c r="CH800" s="58">
        <f t="array" ref="CH800">SUM(IF(CE800:CF800&gt;=CE800, 1))</f>
        <v>2</v>
      </c>
      <c r="CI800" s="58">
        <f t="array" ref="CI800">SUM(IF(CE800:CF800&gt;=CF800, 1))</f>
        <v>1</v>
      </c>
      <c r="CK800" s="109">
        <f t="shared" si="312"/>
        <v>40504.727512369776</v>
      </c>
      <c r="CL800" s="109">
        <f t="shared" si="313"/>
        <v>41391.909526879252</v>
      </c>
      <c r="CN800" s="58">
        <f t="array" ref="CN800">SUM(IF(CK800:CL800&gt;=CK800, 1))</f>
        <v>2</v>
      </c>
      <c r="CO800" s="58">
        <f t="array" ref="CO800">SUM(IF(CK800:CL800&gt;=CL800, 1))</f>
        <v>1</v>
      </c>
      <c r="CQ800" s="109" cm="1">
        <f t="array" ref="CQ800">AF800*WTP-AC800</f>
        <v>40762.97601297783</v>
      </c>
      <c r="CR800" s="109">
        <f t="shared" si="314"/>
        <v>43300.137704409441</v>
      </c>
      <c r="CT800" s="58">
        <f t="array" ref="CT800">SUM(IF(CQ800:CR800&gt;=CQ800, 1))</f>
        <v>2</v>
      </c>
      <c r="CU800" s="58">
        <f t="array" ref="CU800">SUM(IF(CQ800:CR800&gt;=CR800, 1))</f>
        <v>1</v>
      </c>
      <c r="CW800" s="109">
        <f t="shared" si="315"/>
        <v>-43467439.18137034</v>
      </c>
      <c r="CX800" s="109">
        <f t="shared" si="316"/>
        <v>0</v>
      </c>
      <c r="CZ800" s="58">
        <f t="array" ref="CZ800">SUM(IF(CW800:CX800&gt;=CW800, 1))</f>
        <v>2</v>
      </c>
      <c r="DA800" s="58">
        <f t="array" ref="DA800">SUM(IF(CW800:CX800&gt;=CX800, 1))</f>
        <v>1</v>
      </c>
      <c r="DC800" s="109">
        <f t="shared" si="317"/>
        <v>-2545782.2616945738</v>
      </c>
      <c r="DD800" s="109">
        <f t="shared" si="318"/>
        <v>0</v>
      </c>
      <c r="DF800" s="58">
        <f t="array" ref="DF800">SUM(IF(DC800:DD800&gt;=DC800, 1))</f>
        <v>2</v>
      </c>
      <c r="DG800" s="58">
        <f t="array" ref="DG800">SUM(IF(DC800:DD800&gt;=DD800, 1))</f>
        <v>1</v>
      </c>
      <c r="DI800" s="109">
        <f t="shared" si="319"/>
        <v>-105115893.98086624</v>
      </c>
      <c r="DJ800" s="109">
        <f t="shared" si="320"/>
        <v>0</v>
      </c>
      <c r="DL800" s="58">
        <f t="array" ref="DL800">SUM(IF(DI800:DJ800&gt;=DI800, 1))</f>
        <v>2</v>
      </c>
      <c r="DM800" s="58">
        <f t="array" ref="DM800">SUM(IF(DI800:DJ800&gt;=DJ800, 1))</f>
        <v>1</v>
      </c>
      <c r="DO800" s="109">
        <f t="shared" si="321"/>
        <v>-7580411.9473401057</v>
      </c>
      <c r="DP800" s="109">
        <f t="shared" si="322"/>
        <v>0</v>
      </c>
      <c r="DR800" s="58">
        <f t="array" ref="DR800">SUM(IF(DO800:DP800&gt;=DO800, 1))</f>
        <v>2</v>
      </c>
      <c r="DS800" s="58">
        <f t="array" ref="DS800">SUM(IF(DO800:DP800&gt;=DP800, 1))</f>
        <v>1</v>
      </c>
      <c r="DU800" s="109">
        <f t="shared" si="323"/>
        <v>-40994787.973611645</v>
      </c>
      <c r="DV800" s="109">
        <f t="shared" si="324"/>
        <v>0</v>
      </c>
      <c r="DX800" s="58">
        <f t="array" ref="DX800">SUM(IF(DU800:DV800&gt;=DU800, 1))</f>
        <v>2</v>
      </c>
      <c r="DY800" s="58">
        <f t="array" ref="DY800">SUM(IF(DU800:DV800&gt;=DV800, 1))</f>
        <v>1</v>
      </c>
      <c r="EA800" s="109">
        <f t="shared" si="325"/>
        <v>-199704315.34488291</v>
      </c>
      <c r="EB800" s="109">
        <f t="shared" si="326"/>
        <v>0</v>
      </c>
      <c r="ED800" s="58">
        <f t="array" ref="ED800">SUM(IF(EA800:EB800&gt;=EA800, 1))</f>
        <v>2</v>
      </c>
      <c r="EE800" s="58">
        <f t="array" ref="EE800">SUM(IF(EA800:EB800&gt;=EB800, 1))</f>
        <v>1</v>
      </c>
    </row>
    <row r="801" spans="4:135" ht="12" customHeight="1" x14ac:dyDescent="0.25">
      <c r="D801" s="11">
        <v>785</v>
      </c>
      <c r="E801" s="72">
        <v>304.058168204141</v>
      </c>
      <c r="F801" s="72">
        <v>268.38994823865096</v>
      </c>
      <c r="G801" s="73"/>
      <c r="H801" s="74">
        <v>5.8587364263964359</v>
      </c>
      <c r="I801" s="74">
        <v>5.874588761801748</v>
      </c>
      <c r="J801" s="73"/>
      <c r="K801" s="72">
        <v>325.89600310314995</v>
      </c>
      <c r="L801" s="72">
        <v>289.36917651611492</v>
      </c>
      <c r="M801" s="73"/>
      <c r="N801" s="74">
        <v>6.7244679392536097</v>
      </c>
      <c r="O801" s="74">
        <v>6.7380658662503476</v>
      </c>
      <c r="P801" s="73"/>
      <c r="Q801" s="72">
        <v>1664.6618931146563</v>
      </c>
      <c r="R801" s="72">
        <v>1241.4687536739114</v>
      </c>
      <c r="S801" s="73"/>
      <c r="T801" s="74">
        <v>4.9683659933229123</v>
      </c>
      <c r="U801" s="74">
        <v>5.0160062505826879</v>
      </c>
      <c r="V801" s="73"/>
      <c r="W801" s="72">
        <v>13014.759059182179</v>
      </c>
      <c r="X801" s="72">
        <v>13006.768686544297</v>
      </c>
      <c r="Y801" s="73"/>
      <c r="Z801" s="74">
        <v>3.0611492174513919</v>
      </c>
      <c r="AA801" s="74">
        <v>3.1094778475035354</v>
      </c>
      <c r="AB801" s="73"/>
      <c r="AC801" s="72">
        <v>49625.560337814291</v>
      </c>
      <c r="AD801" s="72">
        <v>49791.537913839493</v>
      </c>
      <c r="AE801" s="73"/>
      <c r="AF801" s="74">
        <v>4.453201753981241</v>
      </c>
      <c r="AG801" s="74">
        <v>4.578668476539077</v>
      </c>
      <c r="AH801" s="73"/>
      <c r="AI801" s="72">
        <v>3855761.5705811912</v>
      </c>
      <c r="AJ801" s="72">
        <v>0</v>
      </c>
      <c r="AK801" s="73"/>
      <c r="AL801" s="74">
        <v>-1713.6494537407318</v>
      </c>
      <c r="AM801" s="74">
        <v>0</v>
      </c>
      <c r="AN801" s="73"/>
      <c r="AO801" s="72">
        <v>254731.12624062193</v>
      </c>
      <c r="AP801" s="72">
        <v>0</v>
      </c>
      <c r="AQ801" s="73"/>
      <c r="AR801" s="74">
        <v>-94.829350974778137</v>
      </c>
      <c r="AS801" s="74">
        <v>0</v>
      </c>
      <c r="AT801" s="73"/>
      <c r="AU801" s="72">
        <v>9519939.5435971916</v>
      </c>
      <c r="AV801" s="72">
        <v>0</v>
      </c>
      <c r="AW801" s="73"/>
      <c r="AX801" s="74">
        <v>-1071.6912130329658</v>
      </c>
      <c r="AY801" s="74">
        <v>0</v>
      </c>
      <c r="AZ801" s="73"/>
      <c r="BA801" s="72">
        <v>69914.021805814671</v>
      </c>
      <c r="BB801" s="72">
        <v>0</v>
      </c>
      <c r="BC801" s="73"/>
      <c r="BD801" s="74">
        <v>-422.86499621956449</v>
      </c>
      <c r="BE801" s="74">
        <v>0</v>
      </c>
      <c r="BF801" s="73"/>
      <c r="BG801" s="72">
        <v>-2569157.1756618102</v>
      </c>
      <c r="BH801" s="72">
        <v>0</v>
      </c>
      <c r="BI801" s="73"/>
      <c r="BJ801" s="74">
        <v>-1942.0920481287824</v>
      </c>
      <c r="BK801" s="74">
        <v>0</v>
      </c>
      <c r="BL801" s="73"/>
      <c r="BM801" s="72">
        <v>11131189.08656301</v>
      </c>
      <c r="BN801" s="72">
        <v>0</v>
      </c>
      <c r="BO801" s="73"/>
      <c r="BP801" s="74">
        <v>-5245.1270620968226</v>
      </c>
      <c r="BQ801" s="74">
        <v>0</v>
      </c>
      <c r="BS801" s="109">
        <f t="shared" si="306"/>
        <v>116870.67035972458</v>
      </c>
      <c r="BT801" s="109">
        <f t="shared" si="307"/>
        <v>117223.38528779631</v>
      </c>
      <c r="BV801" s="58">
        <f t="array" ref="BV801">SUM(IF(BS801:BT801&gt;=BS801, 1))</f>
        <v>2</v>
      </c>
      <c r="BW801" s="58">
        <f t="array" ref="BW801">SUM(IF(BS801:BT801&gt;=BT801, 1))</f>
        <v>1</v>
      </c>
      <c r="BY801" s="109">
        <f t="shared" si="308"/>
        <v>134163.46278196905</v>
      </c>
      <c r="BZ801" s="109">
        <f t="shared" si="309"/>
        <v>134471.94814849086</v>
      </c>
      <c r="CB801" s="58">
        <f t="array" ref="CB801">SUM(IF(BY801:BZ801&gt;=BY801, 1))</f>
        <v>2</v>
      </c>
      <c r="CC801" s="58">
        <f t="array" ref="CC801">SUM(IF(BY801:BZ801&gt;=BZ801, 1))</f>
        <v>1</v>
      </c>
      <c r="CE801" s="109">
        <f t="shared" si="310"/>
        <v>97702.657973343594</v>
      </c>
      <c r="CF801" s="109">
        <f t="shared" si="311"/>
        <v>99078.656257979848</v>
      </c>
      <c r="CH801" s="58">
        <f t="array" ref="CH801">SUM(IF(CE801:CF801&gt;=CE801, 1))</f>
        <v>2</v>
      </c>
      <c r="CI801" s="58">
        <f t="array" ref="CI801">SUM(IF(CE801:CF801&gt;=CF801, 1))</f>
        <v>1</v>
      </c>
      <c r="CK801" s="109">
        <f t="shared" si="312"/>
        <v>48208.225289845657</v>
      </c>
      <c r="CL801" s="109">
        <f t="shared" si="313"/>
        <v>49182.78826352641</v>
      </c>
      <c r="CN801" s="58">
        <f t="array" ref="CN801">SUM(IF(CK801:CL801&gt;=CK801, 1))</f>
        <v>2</v>
      </c>
      <c r="CO801" s="58">
        <f t="array" ref="CO801">SUM(IF(CK801:CL801&gt;=CL801, 1))</f>
        <v>1</v>
      </c>
      <c r="CQ801" s="109" cm="1">
        <f t="array" ref="CQ801">AF801*WTP-AC801</f>
        <v>39438.474741810533</v>
      </c>
      <c r="CR801" s="109">
        <f t="shared" si="314"/>
        <v>41781.831616942043</v>
      </c>
      <c r="CT801" s="58">
        <f t="array" ref="CT801">SUM(IF(CQ801:CR801&gt;=CQ801, 1))</f>
        <v>2</v>
      </c>
      <c r="CU801" s="58">
        <f t="array" ref="CU801">SUM(IF(CQ801:CR801&gt;=CR801, 1))</f>
        <v>1</v>
      </c>
      <c r="CW801" s="109">
        <f t="shared" si="315"/>
        <v>-38128750.64539583</v>
      </c>
      <c r="CX801" s="109">
        <f t="shared" si="316"/>
        <v>0</v>
      </c>
      <c r="CZ801" s="58">
        <f t="array" ref="CZ801">SUM(IF(CW801:CX801&gt;=CW801, 1))</f>
        <v>2</v>
      </c>
      <c r="DA801" s="58">
        <f t="array" ref="DA801">SUM(IF(CW801:CX801&gt;=CX801, 1))</f>
        <v>1</v>
      </c>
      <c r="DC801" s="109">
        <f t="shared" si="317"/>
        <v>-2151318.1457361844</v>
      </c>
      <c r="DD801" s="109">
        <f t="shared" si="318"/>
        <v>0</v>
      </c>
      <c r="DF801" s="58">
        <f t="array" ref="DF801">SUM(IF(DC801:DD801&gt;=DC801, 1))</f>
        <v>2</v>
      </c>
      <c r="DG801" s="58">
        <f t="array" ref="DG801">SUM(IF(DC801:DD801&gt;=DD801, 1))</f>
        <v>1</v>
      </c>
      <c r="DI801" s="109">
        <f t="shared" si="319"/>
        <v>-30953763.80425651</v>
      </c>
      <c r="DJ801" s="109">
        <f t="shared" si="320"/>
        <v>0</v>
      </c>
      <c r="DL801" s="58">
        <f t="array" ref="DL801">SUM(IF(DI801:DJ801&gt;=DI801, 1))</f>
        <v>2</v>
      </c>
      <c r="DM801" s="58">
        <f t="array" ref="DM801">SUM(IF(DI801:DJ801&gt;=DJ801, 1))</f>
        <v>1</v>
      </c>
      <c r="DO801" s="109">
        <f t="shared" si="321"/>
        <v>-8527213.9461971056</v>
      </c>
      <c r="DP801" s="109">
        <f t="shared" si="322"/>
        <v>0</v>
      </c>
      <c r="DR801" s="58">
        <f t="array" ref="DR801">SUM(IF(DO801:DP801&gt;=DO801, 1))</f>
        <v>2</v>
      </c>
      <c r="DS801" s="58">
        <f t="array" ref="DS801">SUM(IF(DO801:DP801&gt;=DP801, 1))</f>
        <v>1</v>
      </c>
      <c r="DU801" s="109">
        <f t="shared" si="323"/>
        <v>-36272683.786913835</v>
      </c>
      <c r="DV801" s="109">
        <f t="shared" si="324"/>
        <v>0</v>
      </c>
      <c r="DX801" s="58">
        <f t="array" ref="DX801">SUM(IF(DU801:DV801&gt;=DU801, 1))</f>
        <v>2</v>
      </c>
      <c r="DY801" s="58">
        <f t="array" ref="DY801">SUM(IF(DU801:DV801&gt;=DV801, 1))</f>
        <v>1</v>
      </c>
      <c r="EA801" s="109">
        <f t="shared" si="325"/>
        <v>-116033730.32849945</v>
      </c>
      <c r="EB801" s="109">
        <f t="shared" si="326"/>
        <v>0</v>
      </c>
      <c r="ED801" s="58">
        <f t="array" ref="ED801">SUM(IF(EA801:EB801&gt;=EA801, 1))</f>
        <v>2</v>
      </c>
      <c r="EE801" s="58">
        <f t="array" ref="EE801">SUM(IF(EA801:EB801&gt;=EB801, 1))</f>
        <v>1</v>
      </c>
    </row>
    <row r="802" spans="4:135" ht="12" customHeight="1" x14ac:dyDescent="0.25">
      <c r="D802" s="11">
        <v>786</v>
      </c>
      <c r="E802" s="72">
        <v>267.89726060282783</v>
      </c>
      <c r="F802" s="72">
        <v>230.82228876559125</v>
      </c>
      <c r="G802" s="73"/>
      <c r="H802" s="74">
        <v>5.8391168979596779</v>
      </c>
      <c r="I802" s="74">
        <v>5.8582089674278812</v>
      </c>
      <c r="J802" s="73"/>
      <c r="K802" s="72">
        <v>286.77864725734054</v>
      </c>
      <c r="L802" s="72">
        <v>248.82573279969228</v>
      </c>
      <c r="M802" s="73"/>
      <c r="N802" s="74">
        <v>6.681295702344209</v>
      </c>
      <c r="O802" s="74">
        <v>6.698352113064435</v>
      </c>
      <c r="P802" s="73"/>
      <c r="Q802" s="72">
        <v>1959.2249744766573</v>
      </c>
      <c r="R802" s="72">
        <v>1452.1954002085513</v>
      </c>
      <c r="S802" s="73"/>
      <c r="T802" s="74">
        <v>4.8284966457095742</v>
      </c>
      <c r="U802" s="74">
        <v>4.9270028561675359</v>
      </c>
      <c r="V802" s="73"/>
      <c r="W802" s="72">
        <v>16133.359985529924</v>
      </c>
      <c r="X802" s="72">
        <v>16187.708772283118</v>
      </c>
      <c r="Y802" s="73"/>
      <c r="Z802" s="74">
        <v>2.8919756393307914</v>
      </c>
      <c r="AA802" s="74">
        <v>2.9347647572199613</v>
      </c>
      <c r="AB802" s="73"/>
      <c r="AC802" s="72">
        <v>49756.955098844825</v>
      </c>
      <c r="AD802" s="72">
        <v>49721.076605958806</v>
      </c>
      <c r="AE802" s="73"/>
      <c r="AF802" s="74">
        <v>4.7570677849314533</v>
      </c>
      <c r="AG802" s="74">
        <v>4.888722934356033</v>
      </c>
      <c r="AH802" s="73"/>
      <c r="AI802" s="72">
        <v>3972937.3215329945</v>
      </c>
      <c r="AJ802" s="72">
        <v>0</v>
      </c>
      <c r="AK802" s="73"/>
      <c r="AL802" s="74">
        <v>-2045.8975847243464</v>
      </c>
      <c r="AM802" s="74">
        <v>0</v>
      </c>
      <c r="AN802" s="73"/>
      <c r="AO802" s="72">
        <v>255410.15558446595</v>
      </c>
      <c r="AP802" s="72">
        <v>0</v>
      </c>
      <c r="AQ802" s="73"/>
      <c r="AR802" s="74">
        <v>-114.78382037370997</v>
      </c>
      <c r="AS802" s="74">
        <v>0</v>
      </c>
      <c r="AT802" s="73"/>
      <c r="AU802" s="72">
        <v>11712197.351926012</v>
      </c>
      <c r="AV802" s="72">
        <v>0</v>
      </c>
      <c r="AW802" s="73"/>
      <c r="AX802" s="74">
        <v>-2275.4573615146596</v>
      </c>
      <c r="AY802" s="74">
        <v>0</v>
      </c>
      <c r="AZ802" s="73"/>
      <c r="BA802" s="72">
        <v>-478989.72683108761</v>
      </c>
      <c r="BB802" s="72">
        <v>0</v>
      </c>
      <c r="BC802" s="73"/>
      <c r="BD802" s="74">
        <v>-377.11141524004478</v>
      </c>
      <c r="BE802" s="74">
        <v>0</v>
      </c>
      <c r="BF802" s="73"/>
      <c r="BG802" s="72">
        <v>562648.79042862449</v>
      </c>
      <c r="BH802" s="72">
        <v>0</v>
      </c>
      <c r="BI802" s="73"/>
      <c r="BJ802" s="74">
        <v>-2064.6243645954764</v>
      </c>
      <c r="BK802" s="74">
        <v>0</v>
      </c>
      <c r="BL802" s="73"/>
      <c r="BM802" s="72">
        <v>16024203.892641008</v>
      </c>
      <c r="BN802" s="72">
        <v>0</v>
      </c>
      <c r="BO802" s="73"/>
      <c r="BP802" s="74">
        <v>-6877.8745464482372</v>
      </c>
      <c r="BQ802" s="74">
        <v>0</v>
      </c>
      <c r="BS802" s="109">
        <f t="shared" si="306"/>
        <v>116514.44069859073</v>
      </c>
      <c r="BT802" s="109">
        <f t="shared" si="307"/>
        <v>116933.35705979203</v>
      </c>
      <c r="BV802" s="58">
        <f t="array" ref="BV802">SUM(IF(BS802:BT802&gt;=BS802, 1))</f>
        <v>2</v>
      </c>
      <c r="BW802" s="58">
        <f t="array" ref="BW802">SUM(IF(BS802:BT802&gt;=BT802, 1))</f>
        <v>1</v>
      </c>
      <c r="BY802" s="109">
        <f t="shared" si="308"/>
        <v>133339.13539962686</v>
      </c>
      <c r="BZ802" s="109">
        <f t="shared" si="309"/>
        <v>133718.21652848902</v>
      </c>
      <c r="CB802" s="58">
        <f t="array" ref="CB802">SUM(IF(BY802:BZ802&gt;=BY802, 1))</f>
        <v>2</v>
      </c>
      <c r="CC802" s="58">
        <f t="array" ref="CC802">SUM(IF(BY802:BZ802&gt;=BZ802, 1))</f>
        <v>1</v>
      </c>
      <c r="CE802" s="109">
        <f t="shared" si="310"/>
        <v>94610.707939714819</v>
      </c>
      <c r="CF802" s="109">
        <f t="shared" si="311"/>
        <v>97087.861723142167</v>
      </c>
      <c r="CH802" s="58">
        <f t="array" ref="CH802">SUM(IF(CE802:CF802&gt;=CE802, 1))</f>
        <v>2</v>
      </c>
      <c r="CI802" s="58">
        <f t="array" ref="CI802">SUM(IF(CE802:CF802&gt;=CF802, 1))</f>
        <v>1</v>
      </c>
      <c r="CK802" s="109">
        <f t="shared" si="312"/>
        <v>41706.152801085904</v>
      </c>
      <c r="CL802" s="109">
        <f t="shared" si="313"/>
        <v>42507.586372116108</v>
      </c>
      <c r="CN802" s="58">
        <f t="array" ref="CN802">SUM(IF(CK802:CL802&gt;=CK802, 1))</f>
        <v>2</v>
      </c>
      <c r="CO802" s="58">
        <f t="array" ref="CO802">SUM(IF(CK802:CL802&gt;=CL802, 1))</f>
        <v>1</v>
      </c>
      <c r="CQ802" s="109" cm="1">
        <f t="array" ref="CQ802">AF802*WTP-AC802</f>
        <v>45384.40059978424</v>
      </c>
      <c r="CR802" s="109">
        <f t="shared" si="314"/>
        <v>48053.38208116185</v>
      </c>
      <c r="CT802" s="58">
        <f t="array" ref="CT802">SUM(IF(CQ802:CR802&gt;=CQ802, 1))</f>
        <v>2</v>
      </c>
      <c r="CU802" s="58">
        <f t="array" ref="CU802">SUM(IF(CQ802:CR802&gt;=CR802, 1))</f>
        <v>1</v>
      </c>
      <c r="CW802" s="109">
        <f t="shared" si="315"/>
        <v>-44890889.016019925</v>
      </c>
      <c r="CX802" s="109">
        <f t="shared" si="316"/>
        <v>0</v>
      </c>
      <c r="CZ802" s="58">
        <f t="array" ref="CZ802">SUM(IF(CW802:CX802&gt;=CW802, 1))</f>
        <v>2</v>
      </c>
      <c r="DA802" s="58">
        <f t="array" ref="DA802">SUM(IF(CW802:CX802&gt;=CX802, 1))</f>
        <v>1</v>
      </c>
      <c r="DC802" s="109">
        <f t="shared" si="317"/>
        <v>-2551086.563058665</v>
      </c>
      <c r="DD802" s="109">
        <f t="shared" si="318"/>
        <v>0</v>
      </c>
      <c r="DF802" s="58">
        <f t="array" ref="DF802">SUM(IF(DC802:DD802&gt;=DC802, 1))</f>
        <v>2</v>
      </c>
      <c r="DG802" s="58">
        <f t="array" ref="DG802">SUM(IF(DC802:DD802&gt;=DD802, 1))</f>
        <v>1</v>
      </c>
      <c r="DI802" s="109">
        <f t="shared" si="319"/>
        <v>-57221344.582219206</v>
      </c>
      <c r="DJ802" s="109">
        <f t="shared" si="320"/>
        <v>0</v>
      </c>
      <c r="DL802" s="58">
        <f t="array" ref="DL802">SUM(IF(DI802:DJ802&gt;=DI802, 1))</f>
        <v>2</v>
      </c>
      <c r="DM802" s="58">
        <f t="array" ref="DM802">SUM(IF(DI802:DJ802&gt;=DJ802, 1))</f>
        <v>1</v>
      </c>
      <c r="DO802" s="109">
        <f t="shared" si="321"/>
        <v>-7063238.5779698081</v>
      </c>
      <c r="DP802" s="109">
        <f t="shared" si="322"/>
        <v>0</v>
      </c>
      <c r="DR802" s="58">
        <f t="array" ref="DR802">SUM(IF(DO802:DP802&gt;=DO802, 1))</f>
        <v>2</v>
      </c>
      <c r="DS802" s="58">
        <f t="array" ref="DS802">SUM(IF(DO802:DP802&gt;=DP802, 1))</f>
        <v>1</v>
      </c>
      <c r="DU802" s="109">
        <f t="shared" si="323"/>
        <v>-41855136.082338154</v>
      </c>
      <c r="DV802" s="109">
        <f t="shared" si="324"/>
        <v>0</v>
      </c>
      <c r="DX802" s="58">
        <f t="array" ref="DX802">SUM(IF(DU802:DV802&gt;=DU802, 1))</f>
        <v>2</v>
      </c>
      <c r="DY802" s="58">
        <f t="array" ref="DY802">SUM(IF(DU802:DV802&gt;=DV802, 1))</f>
        <v>1</v>
      </c>
      <c r="EA802" s="109">
        <f t="shared" si="325"/>
        <v>-153581694.82160574</v>
      </c>
      <c r="EB802" s="109">
        <f t="shared" si="326"/>
        <v>0</v>
      </c>
      <c r="ED802" s="58">
        <f t="array" ref="ED802">SUM(IF(EA802:EB802&gt;=EA802, 1))</f>
        <v>2</v>
      </c>
      <c r="EE802" s="58">
        <f t="array" ref="EE802">SUM(IF(EA802:EB802&gt;=EB802, 1))</f>
        <v>1</v>
      </c>
    </row>
    <row r="803" spans="4:135" ht="12" customHeight="1" x14ac:dyDescent="0.25">
      <c r="D803" s="11">
        <v>787</v>
      </c>
      <c r="E803" s="72">
        <v>261.997576740135</v>
      </c>
      <c r="F803" s="72">
        <v>229.84897246087837</v>
      </c>
      <c r="G803" s="73"/>
      <c r="H803" s="74">
        <v>5.8036330552344344</v>
      </c>
      <c r="I803" s="74">
        <v>5.8213367974871089</v>
      </c>
      <c r="J803" s="73"/>
      <c r="K803" s="72">
        <v>280.67523248289058</v>
      </c>
      <c r="L803" s="72">
        <v>247.785496259414</v>
      </c>
      <c r="M803" s="73"/>
      <c r="N803" s="74">
        <v>6.7223832700123385</v>
      </c>
      <c r="O803" s="74">
        <v>6.7380254317704669</v>
      </c>
      <c r="P803" s="73"/>
      <c r="Q803" s="72">
        <v>3055.5003908698704</v>
      </c>
      <c r="R803" s="72">
        <v>1577.207740586821</v>
      </c>
      <c r="S803" s="73"/>
      <c r="T803" s="74">
        <v>4.7701439864535891</v>
      </c>
      <c r="U803" s="74">
        <v>4.8864857622620743</v>
      </c>
      <c r="V803" s="73"/>
      <c r="W803" s="72">
        <v>11147.323874126609</v>
      </c>
      <c r="X803" s="72">
        <v>11117.605822877844</v>
      </c>
      <c r="Y803" s="73"/>
      <c r="Z803" s="74">
        <v>3.0057579263652396</v>
      </c>
      <c r="AA803" s="74">
        <v>3.0472436142502319</v>
      </c>
      <c r="AB803" s="73"/>
      <c r="AC803" s="72">
        <v>49113.783998057326</v>
      </c>
      <c r="AD803" s="72">
        <v>49037.865854646261</v>
      </c>
      <c r="AE803" s="73"/>
      <c r="AF803" s="74">
        <v>4.4484474338392266</v>
      </c>
      <c r="AG803" s="74">
        <v>4.5449332157374043</v>
      </c>
      <c r="AH803" s="73"/>
      <c r="AI803" s="72">
        <v>3437510.7037288058</v>
      </c>
      <c r="AJ803" s="72">
        <v>0</v>
      </c>
      <c r="AK803" s="73"/>
      <c r="AL803" s="74">
        <v>-1892.9843100184366</v>
      </c>
      <c r="AM803" s="74">
        <v>0</v>
      </c>
      <c r="AN803" s="73"/>
      <c r="AO803" s="72">
        <v>229561.90803320784</v>
      </c>
      <c r="AP803" s="72">
        <v>0</v>
      </c>
      <c r="AQ803" s="73"/>
      <c r="AR803" s="74">
        <v>-109.17826991865311</v>
      </c>
      <c r="AS803" s="74">
        <v>0</v>
      </c>
      <c r="AT803" s="73"/>
      <c r="AU803" s="72">
        <v>35296207.402712226</v>
      </c>
      <c r="AV803" s="72">
        <v>0</v>
      </c>
      <c r="AW803" s="73"/>
      <c r="AX803" s="74">
        <v>-2777.8149663058157</v>
      </c>
      <c r="AY803" s="74">
        <v>0</v>
      </c>
      <c r="AZ803" s="73"/>
      <c r="BA803" s="72">
        <v>265599.58308773983</v>
      </c>
      <c r="BB803" s="72">
        <v>0</v>
      </c>
      <c r="BC803" s="73"/>
      <c r="BD803" s="74">
        <v>-370.7706576762842</v>
      </c>
      <c r="BE803" s="74">
        <v>0</v>
      </c>
      <c r="BF803" s="73"/>
      <c r="BG803" s="72">
        <v>1191044.7298607817</v>
      </c>
      <c r="BH803" s="72">
        <v>0</v>
      </c>
      <c r="BI803" s="73"/>
      <c r="BJ803" s="74">
        <v>-1513.7209219419856</v>
      </c>
      <c r="BK803" s="74">
        <v>0</v>
      </c>
      <c r="BL803" s="73"/>
      <c r="BM803" s="72">
        <v>40419924.327422768</v>
      </c>
      <c r="BN803" s="72">
        <v>0</v>
      </c>
      <c r="BO803" s="73"/>
      <c r="BP803" s="74">
        <v>-6664.4691258611747</v>
      </c>
      <c r="BQ803" s="74">
        <v>0</v>
      </c>
      <c r="BS803" s="109">
        <f t="shared" si="306"/>
        <v>115810.66352794855</v>
      </c>
      <c r="BT803" s="109">
        <f t="shared" si="307"/>
        <v>116196.88697728129</v>
      </c>
      <c r="BV803" s="58">
        <f t="array" ref="BV803">SUM(IF(BS803:BT803&gt;=BS803, 1))</f>
        <v>2</v>
      </c>
      <c r="BW803" s="58">
        <f t="array" ref="BW803">SUM(IF(BS803:BT803&gt;=BT803, 1))</f>
        <v>1</v>
      </c>
      <c r="BY803" s="109">
        <f t="shared" si="308"/>
        <v>134166.99016776387</v>
      </c>
      <c r="BZ803" s="109">
        <f t="shared" si="309"/>
        <v>134512.72313914992</v>
      </c>
      <c r="CB803" s="58">
        <f t="array" ref="CB803">SUM(IF(BY803:BZ803&gt;=BY803, 1))</f>
        <v>2</v>
      </c>
      <c r="CC803" s="58">
        <f t="array" ref="CC803">SUM(IF(BY803:BZ803&gt;=BZ803, 1))</f>
        <v>1</v>
      </c>
      <c r="CE803" s="109">
        <f t="shared" si="310"/>
        <v>92347.379338201907</v>
      </c>
      <c r="CF803" s="109">
        <f t="shared" si="311"/>
        <v>96152.50750465467</v>
      </c>
      <c r="CH803" s="58">
        <f t="array" ref="CH803">SUM(IF(CE803:CF803&gt;=CE803, 1))</f>
        <v>2</v>
      </c>
      <c r="CI803" s="58">
        <f t="array" ref="CI803">SUM(IF(CE803:CF803&gt;=CF803, 1))</f>
        <v>1</v>
      </c>
      <c r="CK803" s="109">
        <f t="shared" si="312"/>
        <v>48967.834653178179</v>
      </c>
      <c r="CL803" s="109">
        <f t="shared" si="313"/>
        <v>49827.266462126798</v>
      </c>
      <c r="CN803" s="58">
        <f t="array" ref="CN803">SUM(IF(CK803:CL803&gt;=CK803, 1))</f>
        <v>2</v>
      </c>
      <c r="CO803" s="58">
        <f t="array" ref="CO803">SUM(IF(CK803:CL803&gt;=CL803, 1))</f>
        <v>1</v>
      </c>
      <c r="CQ803" s="109" cm="1">
        <f t="array" ref="CQ803">AF803*WTP-AC803</f>
        <v>39855.164678727211</v>
      </c>
      <c r="CR803" s="109">
        <f t="shared" si="314"/>
        <v>41860.798460101818</v>
      </c>
      <c r="CT803" s="58">
        <f t="array" ref="CT803">SUM(IF(CQ803:CR803&gt;=CQ803, 1))</f>
        <v>2</v>
      </c>
      <c r="CU803" s="58">
        <f t="array" ref="CU803">SUM(IF(CQ803:CR803&gt;=CR803, 1))</f>
        <v>1</v>
      </c>
      <c r="CW803" s="109">
        <f t="shared" si="315"/>
        <v>-41297196.904097535</v>
      </c>
      <c r="CX803" s="109">
        <f t="shared" si="316"/>
        <v>0</v>
      </c>
      <c r="CZ803" s="58">
        <f t="array" ref="CZ803">SUM(IF(CW803:CX803&gt;=CW803, 1))</f>
        <v>2</v>
      </c>
      <c r="DA803" s="58">
        <f t="array" ref="DA803">SUM(IF(CW803:CX803&gt;=CX803, 1))</f>
        <v>1</v>
      </c>
      <c r="DC803" s="109">
        <f t="shared" si="317"/>
        <v>-2413127.3064062702</v>
      </c>
      <c r="DD803" s="109">
        <f t="shared" si="318"/>
        <v>0</v>
      </c>
      <c r="DF803" s="58">
        <f t="array" ref="DF803">SUM(IF(DC803:DD803&gt;=DC803, 1))</f>
        <v>2</v>
      </c>
      <c r="DG803" s="58">
        <f t="array" ref="DG803">SUM(IF(DC803:DD803&gt;=DD803, 1))</f>
        <v>1</v>
      </c>
      <c r="DI803" s="109">
        <f t="shared" si="319"/>
        <v>-90852506.728828549</v>
      </c>
      <c r="DJ803" s="109">
        <f t="shared" si="320"/>
        <v>0</v>
      </c>
      <c r="DL803" s="58">
        <f t="array" ref="DL803">SUM(IF(DI803:DJ803&gt;=DI803, 1))</f>
        <v>2</v>
      </c>
      <c r="DM803" s="58">
        <f t="array" ref="DM803">SUM(IF(DI803:DJ803&gt;=DJ803, 1))</f>
        <v>1</v>
      </c>
      <c r="DO803" s="109">
        <f t="shared" si="321"/>
        <v>-7681012.7366134236</v>
      </c>
      <c r="DP803" s="109">
        <f t="shared" si="322"/>
        <v>0</v>
      </c>
      <c r="DR803" s="58">
        <f t="array" ref="DR803">SUM(IF(DO803:DP803&gt;=DO803, 1))</f>
        <v>2</v>
      </c>
      <c r="DS803" s="58">
        <f t="array" ref="DS803">SUM(IF(DO803:DP803&gt;=DP803, 1))</f>
        <v>1</v>
      </c>
      <c r="DU803" s="109">
        <f t="shared" si="323"/>
        <v>-31465463.168700494</v>
      </c>
      <c r="DV803" s="109">
        <f t="shared" si="324"/>
        <v>0</v>
      </c>
      <c r="DX803" s="58">
        <f t="array" ref="DX803">SUM(IF(DU803:DV803&gt;=DU803, 1))</f>
        <v>2</v>
      </c>
      <c r="DY803" s="58">
        <f t="array" ref="DY803">SUM(IF(DU803:DV803&gt;=DV803, 1))</f>
        <v>1</v>
      </c>
      <c r="EA803" s="109">
        <f t="shared" si="325"/>
        <v>-173709306.84464628</v>
      </c>
      <c r="EB803" s="109">
        <f t="shared" si="326"/>
        <v>0</v>
      </c>
      <c r="ED803" s="58">
        <f t="array" ref="ED803">SUM(IF(EA803:EB803&gt;=EA803, 1))</f>
        <v>2</v>
      </c>
      <c r="EE803" s="58">
        <f t="array" ref="EE803">SUM(IF(EA803:EB803&gt;=EB803, 1))</f>
        <v>1</v>
      </c>
    </row>
    <row r="804" spans="4:135" ht="12" customHeight="1" x14ac:dyDescent="0.25">
      <c r="D804" s="11">
        <v>788</v>
      </c>
      <c r="E804" s="72">
        <v>290.47089994285182</v>
      </c>
      <c r="F804" s="72">
        <v>270.13892998267892</v>
      </c>
      <c r="G804" s="73"/>
      <c r="H804" s="74">
        <v>5.8091778648027637</v>
      </c>
      <c r="I804" s="74">
        <v>5.8276519668813203</v>
      </c>
      <c r="J804" s="73"/>
      <c r="K804" s="72">
        <v>312.17774106227159</v>
      </c>
      <c r="L804" s="72">
        <v>291.33622958841926</v>
      </c>
      <c r="M804" s="73"/>
      <c r="N804" s="74">
        <v>6.6812025663481736</v>
      </c>
      <c r="O804" s="74">
        <v>6.6975363323732111</v>
      </c>
      <c r="P804" s="73"/>
      <c r="Q804" s="72">
        <v>1928.350192772984</v>
      </c>
      <c r="R804" s="72">
        <v>1247.1843317421688</v>
      </c>
      <c r="S804" s="73"/>
      <c r="T804" s="74">
        <v>4.9536167139337373</v>
      </c>
      <c r="U804" s="74">
        <v>5.0487096940023282</v>
      </c>
      <c r="V804" s="73"/>
      <c r="W804" s="72">
        <v>12009.079499869791</v>
      </c>
      <c r="X804" s="72">
        <v>11987.714033686612</v>
      </c>
      <c r="Y804" s="73"/>
      <c r="Z804" s="74">
        <v>3.0947139576569995</v>
      </c>
      <c r="AA804" s="74">
        <v>3.1300588981911739</v>
      </c>
      <c r="AB804" s="73"/>
      <c r="AC804" s="72">
        <v>48850.542001671776</v>
      </c>
      <c r="AD804" s="72">
        <v>48755.369358657634</v>
      </c>
      <c r="AE804" s="73"/>
      <c r="AF804" s="74">
        <v>3.6913117105980082</v>
      </c>
      <c r="AG804" s="74">
        <v>3.7564193919022255</v>
      </c>
      <c r="AH804" s="73"/>
      <c r="AI804" s="72">
        <v>2177481.4454753827</v>
      </c>
      <c r="AJ804" s="72">
        <v>0</v>
      </c>
      <c r="AK804" s="73"/>
      <c r="AL804" s="74">
        <v>-1978.5104235680815</v>
      </c>
      <c r="AM804" s="74">
        <v>0</v>
      </c>
      <c r="AN804" s="73"/>
      <c r="AO804" s="72">
        <v>137696.86791273108</v>
      </c>
      <c r="AP804" s="72">
        <v>0</v>
      </c>
      <c r="AQ804" s="73"/>
      <c r="AR804" s="74">
        <v>-107.91484224590772</v>
      </c>
      <c r="AS804" s="74">
        <v>0</v>
      </c>
      <c r="AT804" s="73"/>
      <c r="AU804" s="72">
        <v>15531906.349289086</v>
      </c>
      <c r="AV804" s="72">
        <v>0</v>
      </c>
      <c r="AW804" s="73"/>
      <c r="AX804" s="74">
        <v>-2168.3048804956929</v>
      </c>
      <c r="AY804" s="74">
        <v>0</v>
      </c>
      <c r="AZ804" s="73"/>
      <c r="BA804" s="72">
        <v>189192.55534499706</v>
      </c>
      <c r="BB804" s="72">
        <v>0</v>
      </c>
      <c r="BC804" s="73"/>
      <c r="BD804" s="74">
        <v>-312.98168553149299</v>
      </c>
      <c r="BE804" s="74">
        <v>0</v>
      </c>
      <c r="BF804" s="73"/>
      <c r="BG804" s="72">
        <v>1510588.5431773562</v>
      </c>
      <c r="BH804" s="72">
        <v>0</v>
      </c>
      <c r="BI804" s="73"/>
      <c r="BJ804" s="74">
        <v>-1033.3948321302623</v>
      </c>
      <c r="BK804" s="74">
        <v>0</v>
      </c>
      <c r="BL804" s="73"/>
      <c r="BM804" s="72">
        <v>19546865.761199553</v>
      </c>
      <c r="BN804" s="72">
        <v>0</v>
      </c>
      <c r="BO804" s="73"/>
      <c r="BP804" s="74">
        <v>-5601.1066639714381</v>
      </c>
      <c r="BQ804" s="74">
        <v>0</v>
      </c>
      <c r="BS804" s="109">
        <f t="shared" si="306"/>
        <v>115893.08639611241</v>
      </c>
      <c r="BT804" s="109">
        <f t="shared" si="307"/>
        <v>116282.90040764373</v>
      </c>
      <c r="BV804" s="58">
        <f t="array" ref="BV804">SUM(IF(BS804:BT804&gt;=BS804, 1))</f>
        <v>2</v>
      </c>
      <c r="BW804" s="58">
        <f t="array" ref="BW804">SUM(IF(BS804:BT804&gt;=BT804, 1))</f>
        <v>1</v>
      </c>
      <c r="BY804" s="109">
        <f t="shared" si="308"/>
        <v>133311.87358590119</v>
      </c>
      <c r="BZ804" s="109">
        <f t="shared" si="309"/>
        <v>133659.39041787578</v>
      </c>
      <c r="CB804" s="58">
        <f t="array" ref="CB804">SUM(IF(BY804:BZ804&gt;=BY804, 1))</f>
        <v>2</v>
      </c>
      <c r="CC804" s="58">
        <f t="array" ref="CC804">SUM(IF(BY804:BZ804&gt;=BZ804, 1))</f>
        <v>1</v>
      </c>
      <c r="CE804" s="109">
        <f t="shared" si="310"/>
        <v>97143.984085901757</v>
      </c>
      <c r="CF804" s="109">
        <f t="shared" si="311"/>
        <v>99727.009548304384</v>
      </c>
      <c r="CH804" s="58">
        <f t="array" ref="CH804">SUM(IF(CE804:CF804&gt;=CE804, 1))</f>
        <v>2</v>
      </c>
      <c r="CI804" s="58">
        <f t="array" ref="CI804">SUM(IF(CE804:CF804&gt;=CF804, 1))</f>
        <v>1</v>
      </c>
      <c r="CK804" s="109">
        <f t="shared" si="312"/>
        <v>49885.199653270203</v>
      </c>
      <c r="CL804" s="109">
        <f t="shared" si="313"/>
        <v>50613.463930136866</v>
      </c>
      <c r="CN804" s="58">
        <f t="array" ref="CN804">SUM(IF(CK804:CL804&gt;=CK804, 1))</f>
        <v>2</v>
      </c>
      <c r="CO804" s="58">
        <f t="array" ref="CO804">SUM(IF(CK804:CL804&gt;=CL804, 1))</f>
        <v>1</v>
      </c>
      <c r="CQ804" s="109" cm="1">
        <f t="array" ref="CQ804">AF804*WTP-AC804</f>
        <v>24975.692210288391</v>
      </c>
      <c r="CR804" s="109">
        <f t="shared" si="314"/>
        <v>26373.018479386876</v>
      </c>
      <c r="CT804" s="58">
        <f t="array" ref="CT804">SUM(IF(CQ804:CR804&gt;=CQ804, 1))</f>
        <v>2</v>
      </c>
      <c r="CU804" s="58">
        <f t="array" ref="CU804">SUM(IF(CQ804:CR804&gt;=CR804, 1))</f>
        <v>1</v>
      </c>
      <c r="CW804" s="109">
        <f t="shared" si="315"/>
        <v>-41747689.916837014</v>
      </c>
      <c r="CX804" s="109">
        <f t="shared" si="316"/>
        <v>0</v>
      </c>
      <c r="CZ804" s="58">
        <f t="array" ref="CZ804">SUM(IF(CW804:CX804&gt;=CW804, 1))</f>
        <v>2</v>
      </c>
      <c r="DA804" s="58">
        <f t="array" ref="DA804">SUM(IF(CW804:CX804&gt;=CX804, 1))</f>
        <v>1</v>
      </c>
      <c r="DC804" s="109">
        <f t="shared" si="317"/>
        <v>-2295993.7128308858</v>
      </c>
      <c r="DD804" s="109">
        <f t="shared" si="318"/>
        <v>0</v>
      </c>
      <c r="DF804" s="58">
        <f t="array" ref="DF804">SUM(IF(DC804:DD804&gt;=DC804, 1))</f>
        <v>2</v>
      </c>
      <c r="DG804" s="58">
        <f t="array" ref="DG804">SUM(IF(DC804:DD804&gt;=DD804, 1))</f>
        <v>1</v>
      </c>
      <c r="DI804" s="109">
        <f t="shared" si="319"/>
        <v>-58898003.959202945</v>
      </c>
      <c r="DJ804" s="109">
        <f t="shared" si="320"/>
        <v>0</v>
      </c>
      <c r="DL804" s="58">
        <f t="array" ref="DL804">SUM(IF(DI804:DJ804&gt;=DI804, 1))</f>
        <v>2</v>
      </c>
      <c r="DM804" s="58">
        <f t="array" ref="DM804">SUM(IF(DI804:DJ804&gt;=DJ804, 1))</f>
        <v>1</v>
      </c>
      <c r="DO804" s="109">
        <f t="shared" si="321"/>
        <v>-6448826.2659748569</v>
      </c>
      <c r="DP804" s="109">
        <f t="shared" si="322"/>
        <v>0</v>
      </c>
      <c r="DR804" s="58">
        <f t="array" ref="DR804">SUM(IF(DO804:DP804&gt;=DO804, 1))</f>
        <v>2</v>
      </c>
      <c r="DS804" s="58">
        <f t="array" ref="DS804">SUM(IF(DO804:DP804&gt;=DP804, 1))</f>
        <v>1</v>
      </c>
      <c r="DU804" s="109">
        <f t="shared" si="323"/>
        <v>-22178485.1857826</v>
      </c>
      <c r="DV804" s="109">
        <f t="shared" si="324"/>
        <v>0</v>
      </c>
      <c r="DX804" s="58">
        <f t="array" ref="DX804">SUM(IF(DU804:DV804&gt;=DU804, 1))</f>
        <v>2</v>
      </c>
      <c r="DY804" s="58">
        <f t="array" ref="DY804">SUM(IF(DU804:DV804&gt;=DV804, 1))</f>
        <v>1</v>
      </c>
      <c r="EA804" s="109">
        <f t="shared" si="325"/>
        <v>-131568999.04062831</v>
      </c>
      <c r="EB804" s="109">
        <f t="shared" si="326"/>
        <v>0</v>
      </c>
      <c r="ED804" s="58">
        <f t="array" ref="ED804">SUM(IF(EA804:EB804&gt;=EA804, 1))</f>
        <v>2</v>
      </c>
      <c r="EE804" s="58">
        <f t="array" ref="EE804">SUM(IF(EA804:EB804&gt;=EB804, 1))</f>
        <v>1</v>
      </c>
    </row>
    <row r="805" spans="4:135" ht="12" customHeight="1" x14ac:dyDescent="0.25">
      <c r="D805" s="11">
        <v>789</v>
      </c>
      <c r="E805" s="72">
        <v>234.3146306435753</v>
      </c>
      <c r="F805" s="72">
        <v>218.37586195452639</v>
      </c>
      <c r="G805" s="73"/>
      <c r="H805" s="74">
        <v>5.8278706650249372</v>
      </c>
      <c r="I805" s="74">
        <v>5.8425892290402102</v>
      </c>
      <c r="J805" s="73"/>
      <c r="K805" s="72">
        <v>251.78965480397429</v>
      </c>
      <c r="L805" s="72">
        <v>235.44089295369909</v>
      </c>
      <c r="M805" s="73"/>
      <c r="N805" s="74">
        <v>6.7324148004866897</v>
      </c>
      <c r="O805" s="74">
        <v>6.7446919390924753</v>
      </c>
      <c r="P805" s="73"/>
      <c r="Q805" s="72">
        <v>2941.1467724407803</v>
      </c>
      <c r="R805" s="72">
        <v>1426.9257888246084</v>
      </c>
      <c r="S805" s="73"/>
      <c r="T805" s="74">
        <v>4.8157622927289268</v>
      </c>
      <c r="U805" s="74">
        <v>4.9338111380051384</v>
      </c>
      <c r="V805" s="73"/>
      <c r="W805" s="72">
        <v>11595.418188404832</v>
      </c>
      <c r="X805" s="72">
        <v>11528.099830263171</v>
      </c>
      <c r="Y805" s="73"/>
      <c r="Z805" s="74">
        <v>3.0865724935041485</v>
      </c>
      <c r="AA805" s="74">
        <v>3.1187409091698783</v>
      </c>
      <c r="AB805" s="73"/>
      <c r="AC805" s="72">
        <v>48834.123683010352</v>
      </c>
      <c r="AD805" s="72">
        <v>48788.83183599983</v>
      </c>
      <c r="AE805" s="73"/>
      <c r="AF805" s="74">
        <v>4.2475400128076011</v>
      </c>
      <c r="AG805" s="74">
        <v>4.2987104470092312</v>
      </c>
      <c r="AH805" s="73"/>
      <c r="AI805" s="72">
        <v>1684601.8705531971</v>
      </c>
      <c r="AJ805" s="72">
        <v>0</v>
      </c>
      <c r="AK805" s="73"/>
      <c r="AL805" s="74">
        <v>-1555.6358810214538</v>
      </c>
      <c r="AM805" s="74">
        <v>0</v>
      </c>
      <c r="AN805" s="73"/>
      <c r="AO805" s="72">
        <v>112401.2871759116</v>
      </c>
      <c r="AP805" s="72">
        <v>0</v>
      </c>
      <c r="AQ805" s="73"/>
      <c r="AR805" s="74">
        <v>-84.407993386003753</v>
      </c>
      <c r="AS805" s="74">
        <v>0</v>
      </c>
      <c r="AT805" s="73"/>
      <c r="AU805" s="72">
        <v>35196101.178206794</v>
      </c>
      <c r="AV805" s="72">
        <v>0</v>
      </c>
      <c r="AW805" s="73"/>
      <c r="AX805" s="74">
        <v>-2743.8921711345179</v>
      </c>
      <c r="AY805" s="74">
        <v>0</v>
      </c>
      <c r="AZ805" s="73"/>
      <c r="BA805" s="72">
        <v>573851.17165785132</v>
      </c>
      <c r="BB805" s="72">
        <v>0</v>
      </c>
      <c r="BC805" s="73"/>
      <c r="BD805" s="74">
        <v>-274.21766557808411</v>
      </c>
      <c r="BE805" s="74">
        <v>0</v>
      </c>
      <c r="BF805" s="73"/>
      <c r="BG805" s="72">
        <v>698865.22369763756</v>
      </c>
      <c r="BH805" s="72">
        <v>0</v>
      </c>
      <c r="BI805" s="73"/>
      <c r="BJ805" s="74">
        <v>-789.57338473566858</v>
      </c>
      <c r="BK805" s="74">
        <v>0</v>
      </c>
      <c r="BL805" s="73"/>
      <c r="BM805" s="72">
        <v>38265820.731291398</v>
      </c>
      <c r="BN805" s="72">
        <v>0</v>
      </c>
      <c r="BO805" s="73"/>
      <c r="BP805" s="74">
        <v>-5447.7270958557283</v>
      </c>
      <c r="BQ805" s="74">
        <v>0</v>
      </c>
      <c r="BS805" s="109">
        <f t="shared" si="306"/>
        <v>116323.09866985516</v>
      </c>
      <c r="BT805" s="109">
        <f t="shared" si="307"/>
        <v>116633.40871884968</v>
      </c>
      <c r="BV805" s="58">
        <f t="array" ref="BV805">SUM(IF(BS805:BT805&gt;=BS805, 1))</f>
        <v>2</v>
      </c>
      <c r="BW805" s="58">
        <f t="array" ref="BW805">SUM(IF(BS805:BT805&gt;=BT805, 1))</f>
        <v>1</v>
      </c>
      <c r="BY805" s="109">
        <f t="shared" si="308"/>
        <v>134396.50635492982</v>
      </c>
      <c r="BZ805" s="109">
        <f t="shared" si="309"/>
        <v>134658.39788889582</v>
      </c>
      <c r="CB805" s="58">
        <f t="array" ref="CB805">SUM(IF(BY805:BZ805&gt;=BY805, 1))</f>
        <v>2</v>
      </c>
      <c r="CC805" s="58">
        <f t="array" ref="CC805">SUM(IF(BY805:BZ805&gt;=BZ805, 1))</f>
        <v>1</v>
      </c>
      <c r="CE805" s="109">
        <f t="shared" si="310"/>
        <v>93374.099082137749</v>
      </c>
      <c r="CF805" s="109">
        <f t="shared" si="311"/>
        <v>97249.296971278163</v>
      </c>
      <c r="CH805" s="58">
        <f t="array" ref="CH805">SUM(IF(CE805:CF805&gt;=CE805, 1))</f>
        <v>2</v>
      </c>
      <c r="CI805" s="58">
        <f t="array" ref="CI805">SUM(IF(CE805:CF805&gt;=CF805, 1))</f>
        <v>1</v>
      </c>
      <c r="CK805" s="109">
        <f t="shared" si="312"/>
        <v>50136.031681678141</v>
      </c>
      <c r="CL805" s="109">
        <f t="shared" si="313"/>
        <v>50846.718353134398</v>
      </c>
      <c r="CN805" s="58">
        <f t="array" ref="CN805">SUM(IF(CK805:CL805&gt;=CK805, 1))</f>
        <v>2</v>
      </c>
      <c r="CO805" s="58">
        <f t="array" ref="CO805">SUM(IF(CK805:CL805&gt;=CL805, 1))</f>
        <v>1</v>
      </c>
      <c r="CQ805" s="109" cm="1">
        <f t="array" ref="CQ805">AF805*WTP-AC805</f>
        <v>36116.676573141674</v>
      </c>
      <c r="CR805" s="109">
        <f t="shared" si="314"/>
        <v>37185.377104184801</v>
      </c>
      <c r="CT805" s="58">
        <f t="array" ref="CT805">SUM(IF(CQ805:CR805&gt;=CQ805, 1))</f>
        <v>2</v>
      </c>
      <c r="CU805" s="58">
        <f t="array" ref="CU805">SUM(IF(CQ805:CR805&gt;=CR805, 1))</f>
        <v>1</v>
      </c>
      <c r="CW805" s="109">
        <f t="shared" si="315"/>
        <v>-32797319.490982272</v>
      </c>
      <c r="CX805" s="109">
        <f t="shared" si="316"/>
        <v>0</v>
      </c>
      <c r="CZ805" s="58">
        <f t="array" ref="CZ805">SUM(IF(CW805:CX805&gt;=CW805, 1))</f>
        <v>2</v>
      </c>
      <c r="DA805" s="58">
        <f t="array" ref="DA805">SUM(IF(CW805:CX805&gt;=CX805, 1))</f>
        <v>1</v>
      </c>
      <c r="DC805" s="109">
        <f t="shared" si="317"/>
        <v>-1800561.1548959864</v>
      </c>
      <c r="DD805" s="109">
        <f t="shared" si="318"/>
        <v>0</v>
      </c>
      <c r="DF805" s="58">
        <f t="array" ref="DF805">SUM(IF(DC805:DD805&gt;=DC805, 1))</f>
        <v>2</v>
      </c>
      <c r="DG805" s="58">
        <f t="array" ref="DG805">SUM(IF(DC805:DD805&gt;=DD805, 1))</f>
        <v>1</v>
      </c>
      <c r="DI805" s="109">
        <f t="shared" si="319"/>
        <v>-90073944.600897148</v>
      </c>
      <c r="DJ805" s="109">
        <f t="shared" si="320"/>
        <v>0</v>
      </c>
      <c r="DL805" s="58">
        <f t="array" ref="DL805">SUM(IF(DI805:DJ805&gt;=DI805, 1))</f>
        <v>2</v>
      </c>
      <c r="DM805" s="58">
        <f t="array" ref="DM805">SUM(IF(DI805:DJ805&gt;=DJ805, 1))</f>
        <v>1</v>
      </c>
      <c r="DO805" s="109">
        <f t="shared" si="321"/>
        <v>-6058204.4832195332</v>
      </c>
      <c r="DP805" s="109">
        <f t="shared" si="322"/>
        <v>0</v>
      </c>
      <c r="DR805" s="58">
        <f t="array" ref="DR805">SUM(IF(DO805:DP805&gt;=DO805, 1))</f>
        <v>2</v>
      </c>
      <c r="DS805" s="58">
        <f t="array" ref="DS805">SUM(IF(DO805:DP805&gt;=DP805, 1))</f>
        <v>1</v>
      </c>
      <c r="DU805" s="109">
        <f t="shared" si="323"/>
        <v>-16490332.918411009</v>
      </c>
      <c r="DV805" s="109">
        <f t="shared" si="324"/>
        <v>0</v>
      </c>
      <c r="DX805" s="58">
        <f t="array" ref="DX805">SUM(IF(DU805:DV805&gt;=DU805, 1))</f>
        <v>2</v>
      </c>
      <c r="DY805" s="58">
        <f t="array" ref="DY805">SUM(IF(DU805:DV805&gt;=DV805, 1))</f>
        <v>1</v>
      </c>
      <c r="EA805" s="109">
        <f t="shared" si="325"/>
        <v>-147220362.64840597</v>
      </c>
      <c r="EB805" s="109">
        <f t="shared" si="326"/>
        <v>0</v>
      </c>
      <c r="ED805" s="58">
        <f t="array" ref="ED805">SUM(IF(EA805:EB805&gt;=EA805, 1))</f>
        <v>2</v>
      </c>
      <c r="EE805" s="58">
        <f t="array" ref="EE805">SUM(IF(EA805:EB805&gt;=EB805, 1))</f>
        <v>1</v>
      </c>
    </row>
    <row r="806" spans="4:135" ht="12" customHeight="1" x14ac:dyDescent="0.25">
      <c r="D806" s="11">
        <v>790</v>
      </c>
      <c r="E806" s="72">
        <v>223.9949100594423</v>
      </c>
      <c r="F806" s="72">
        <v>195.19840100022981</v>
      </c>
      <c r="G806" s="73"/>
      <c r="H806" s="74">
        <v>5.806805307150035</v>
      </c>
      <c r="I806" s="74">
        <v>5.8281245997328455</v>
      </c>
      <c r="J806" s="73"/>
      <c r="K806" s="72">
        <v>240.03461431168051</v>
      </c>
      <c r="L806" s="72">
        <v>210.50240723500093</v>
      </c>
      <c r="M806" s="73"/>
      <c r="N806" s="74">
        <v>6.7416274069208573</v>
      </c>
      <c r="O806" s="74">
        <v>6.7602340868751298</v>
      </c>
      <c r="P806" s="73"/>
      <c r="Q806" s="72">
        <v>3800.367619428268</v>
      </c>
      <c r="R806" s="72">
        <v>1891.5056442428131</v>
      </c>
      <c r="S806" s="73"/>
      <c r="T806" s="74">
        <v>4.8813976461164597</v>
      </c>
      <c r="U806" s="74">
        <v>5.0101788718437286</v>
      </c>
      <c r="V806" s="73"/>
      <c r="W806" s="72">
        <v>13375.680490574283</v>
      </c>
      <c r="X806" s="72">
        <v>13332.373085054109</v>
      </c>
      <c r="Y806" s="73"/>
      <c r="Z806" s="74">
        <v>2.9468884677159126</v>
      </c>
      <c r="AA806" s="74">
        <v>3.0006496921803225</v>
      </c>
      <c r="AB806" s="73"/>
      <c r="AC806" s="72">
        <v>50800.902407645772</v>
      </c>
      <c r="AD806" s="72">
        <v>50082.494199916</v>
      </c>
      <c r="AE806" s="73"/>
      <c r="AF806" s="74">
        <v>4.8504670295524432</v>
      </c>
      <c r="AG806" s="74">
        <v>4.9985432244516321</v>
      </c>
      <c r="AH806" s="73"/>
      <c r="AI806" s="72">
        <v>3128253.4276608396</v>
      </c>
      <c r="AJ806" s="72">
        <v>0</v>
      </c>
      <c r="AK806" s="73"/>
      <c r="AL806" s="74">
        <v>-2315.9803836064407</v>
      </c>
      <c r="AM806" s="74">
        <v>0</v>
      </c>
      <c r="AN806" s="73"/>
      <c r="AO806" s="72">
        <v>201170.74669127612</v>
      </c>
      <c r="AP806" s="72">
        <v>0</v>
      </c>
      <c r="AQ806" s="73"/>
      <c r="AR806" s="74">
        <v>-126.74703553742873</v>
      </c>
      <c r="AS806" s="74">
        <v>0</v>
      </c>
      <c r="AT806" s="73"/>
      <c r="AU806" s="72">
        <v>43613522.803568646</v>
      </c>
      <c r="AV806" s="72">
        <v>0</v>
      </c>
      <c r="AW806" s="73"/>
      <c r="AX806" s="74">
        <v>-2942.3829475057173</v>
      </c>
      <c r="AY806" s="74">
        <v>0</v>
      </c>
      <c r="AZ806" s="73"/>
      <c r="BA806" s="72">
        <v>387221.79978973744</v>
      </c>
      <c r="BB806" s="72">
        <v>0</v>
      </c>
      <c r="BC806" s="73"/>
      <c r="BD806" s="74">
        <v>-480.69187812027474</v>
      </c>
      <c r="BE806" s="74">
        <v>0</v>
      </c>
      <c r="BF806" s="73"/>
      <c r="BG806" s="72">
        <v>11273141.015460346</v>
      </c>
      <c r="BH806" s="72">
        <v>0</v>
      </c>
      <c r="BI806" s="73"/>
      <c r="BJ806" s="74">
        <v>-2323.5867967132767</v>
      </c>
      <c r="BK806" s="74">
        <v>0</v>
      </c>
      <c r="BL806" s="73"/>
      <c r="BM806" s="72">
        <v>58603309.79317084</v>
      </c>
      <c r="BN806" s="72">
        <v>0</v>
      </c>
      <c r="BO806" s="73"/>
      <c r="BP806" s="74">
        <v>-8189.3890414831385</v>
      </c>
      <c r="BQ806" s="74">
        <v>0</v>
      </c>
      <c r="BS806" s="109">
        <f t="shared" si="306"/>
        <v>115912.11123294126</v>
      </c>
      <c r="BT806" s="109">
        <f t="shared" si="307"/>
        <v>116367.29359365668</v>
      </c>
      <c r="BV806" s="58">
        <f t="array" ref="BV806">SUM(IF(BS806:BT806&gt;=BS806, 1))</f>
        <v>2</v>
      </c>
      <c r="BW806" s="58">
        <f t="array" ref="BW806">SUM(IF(BS806:BT806&gt;=BT806, 1))</f>
        <v>1</v>
      </c>
      <c r="BY806" s="109">
        <f t="shared" si="308"/>
        <v>134592.51352410548</v>
      </c>
      <c r="BZ806" s="109">
        <f t="shared" si="309"/>
        <v>134994.17933026759</v>
      </c>
      <c r="CB806" s="58">
        <f t="array" ref="CB806">SUM(IF(BY806:BZ806&gt;=BY806, 1))</f>
        <v>2</v>
      </c>
      <c r="CC806" s="58">
        <f t="array" ref="CC806">SUM(IF(BY806:BZ806&gt;=BZ806, 1))</f>
        <v>1</v>
      </c>
      <c r="CE806" s="109">
        <f t="shared" si="310"/>
        <v>93827.585302900916</v>
      </c>
      <c r="CF806" s="109">
        <f t="shared" si="311"/>
        <v>98312.071792631759</v>
      </c>
      <c r="CH806" s="58">
        <f t="array" ref="CH806">SUM(IF(CE806:CF806&gt;=CE806, 1))</f>
        <v>2</v>
      </c>
      <c r="CI806" s="58">
        <f t="array" ref="CI806">SUM(IF(CE806:CF806&gt;=CF806, 1))</f>
        <v>1</v>
      </c>
      <c r="CK806" s="109">
        <f t="shared" si="312"/>
        <v>45562.088863743971</v>
      </c>
      <c r="CL806" s="109">
        <f t="shared" si="313"/>
        <v>46680.620758552337</v>
      </c>
      <c r="CN806" s="58">
        <f t="array" ref="CN806">SUM(IF(CK806:CL806&gt;=CK806, 1))</f>
        <v>2</v>
      </c>
      <c r="CO806" s="58">
        <f t="array" ref="CO806">SUM(IF(CK806:CL806&gt;=CL806, 1))</f>
        <v>1</v>
      </c>
      <c r="CQ806" s="109" cm="1">
        <f t="array" ref="CQ806">AF806*WTP-AC806</f>
        <v>46208.438183403094</v>
      </c>
      <c r="CR806" s="109">
        <f t="shared" si="314"/>
        <v>49888.370289116639</v>
      </c>
      <c r="CT806" s="58">
        <f t="array" ref="CT806">SUM(IF(CQ806:CR806&gt;=CQ806, 1))</f>
        <v>2</v>
      </c>
      <c r="CU806" s="58">
        <f t="array" ref="CU806">SUM(IF(CQ806:CR806&gt;=CR806, 1))</f>
        <v>1</v>
      </c>
      <c r="CW806" s="109">
        <f t="shared" si="315"/>
        <v>-49447861.099789649</v>
      </c>
      <c r="CX806" s="109">
        <f t="shared" si="316"/>
        <v>0</v>
      </c>
      <c r="CZ806" s="58">
        <f t="array" ref="CZ806">SUM(IF(CW806:CX806&gt;=CW806, 1))</f>
        <v>2</v>
      </c>
      <c r="DA806" s="58">
        <f t="array" ref="DA806">SUM(IF(CW806:CX806&gt;=CX806, 1))</f>
        <v>1</v>
      </c>
      <c r="DC806" s="109">
        <f t="shared" si="317"/>
        <v>-2736111.457439851</v>
      </c>
      <c r="DD806" s="109">
        <f t="shared" si="318"/>
        <v>0</v>
      </c>
      <c r="DF806" s="58">
        <f t="array" ref="DF806">SUM(IF(DC806:DD806&gt;=DC806, 1))</f>
        <v>2</v>
      </c>
      <c r="DG806" s="58">
        <f t="array" ref="DG806">SUM(IF(DC806:DD806&gt;=DD806, 1))</f>
        <v>1</v>
      </c>
      <c r="DI806" s="109">
        <f t="shared" si="319"/>
        <v>-102461181.753683</v>
      </c>
      <c r="DJ806" s="109">
        <f t="shared" si="320"/>
        <v>0</v>
      </c>
      <c r="DL806" s="58">
        <f t="array" ref="DL806">SUM(IF(DI806:DJ806&gt;=DI806, 1))</f>
        <v>2</v>
      </c>
      <c r="DM806" s="58">
        <f t="array" ref="DM806">SUM(IF(DI806:DJ806&gt;=DJ806, 1))</f>
        <v>1</v>
      </c>
      <c r="DO806" s="109">
        <f t="shared" si="321"/>
        <v>-10001059.362195233</v>
      </c>
      <c r="DP806" s="109">
        <f t="shared" si="322"/>
        <v>0</v>
      </c>
      <c r="DR806" s="58">
        <f t="array" ref="DR806">SUM(IF(DO806:DP806&gt;=DO806, 1))</f>
        <v>2</v>
      </c>
      <c r="DS806" s="58">
        <f t="array" ref="DS806">SUM(IF(DO806:DP806&gt;=DP806, 1))</f>
        <v>1</v>
      </c>
      <c r="DU806" s="109">
        <f t="shared" si="323"/>
        <v>-57744876.949725881</v>
      </c>
      <c r="DV806" s="109">
        <f t="shared" si="324"/>
        <v>0</v>
      </c>
      <c r="DX806" s="58">
        <f t="array" ref="DX806">SUM(IF(DU806:DV806&gt;=DU806, 1))</f>
        <v>2</v>
      </c>
      <c r="DY806" s="58">
        <f t="array" ref="DY806">SUM(IF(DU806:DV806&gt;=DV806, 1))</f>
        <v>1</v>
      </c>
      <c r="EA806" s="109">
        <f t="shared" si="325"/>
        <v>-222391090.62283361</v>
      </c>
      <c r="EB806" s="109">
        <f t="shared" si="326"/>
        <v>0</v>
      </c>
      <c r="ED806" s="58">
        <f t="array" ref="ED806">SUM(IF(EA806:EB806&gt;=EA806, 1))</f>
        <v>2</v>
      </c>
      <c r="EE806" s="58">
        <f t="array" ref="EE806">SUM(IF(EA806:EB806&gt;=EB806, 1))</f>
        <v>1</v>
      </c>
    </row>
    <row r="807" spans="4:135" ht="12" customHeight="1" x14ac:dyDescent="0.25">
      <c r="D807" s="11">
        <v>791</v>
      </c>
      <c r="E807" s="72">
        <v>259.97329912423697</v>
      </c>
      <c r="F807" s="72">
        <v>229.15695845471529</v>
      </c>
      <c r="G807" s="73"/>
      <c r="H807" s="74">
        <v>5.8093100380933729</v>
      </c>
      <c r="I807" s="74">
        <v>5.8250792904853892</v>
      </c>
      <c r="J807" s="73"/>
      <c r="K807" s="72">
        <v>278.57599893856656</v>
      </c>
      <c r="L807" s="72">
        <v>247.02613214741314</v>
      </c>
      <c r="M807" s="73"/>
      <c r="N807" s="74">
        <v>6.716235899052192</v>
      </c>
      <c r="O807" s="74">
        <v>6.7300010924631621</v>
      </c>
      <c r="P807" s="73"/>
      <c r="Q807" s="72">
        <v>1802.1344784535233</v>
      </c>
      <c r="R807" s="72">
        <v>1362.8060558415202</v>
      </c>
      <c r="S807" s="73"/>
      <c r="T807" s="74">
        <v>4.8215547364939866</v>
      </c>
      <c r="U807" s="74">
        <v>4.8908612443214299</v>
      </c>
      <c r="V807" s="73"/>
      <c r="W807" s="72">
        <v>8468.1776543263823</v>
      </c>
      <c r="X807" s="72">
        <v>8409.103018720507</v>
      </c>
      <c r="Y807" s="73"/>
      <c r="Z807" s="74">
        <v>3.0162264852319227</v>
      </c>
      <c r="AA807" s="74">
        <v>3.0485813394790648</v>
      </c>
      <c r="AB807" s="73"/>
      <c r="AC807" s="72">
        <v>48606.750463069271</v>
      </c>
      <c r="AD807" s="72">
        <v>48786.335381115641</v>
      </c>
      <c r="AE807" s="73"/>
      <c r="AF807" s="74">
        <v>4.5340756780793576</v>
      </c>
      <c r="AG807" s="74">
        <v>4.6423044290622109</v>
      </c>
      <c r="AH807" s="73"/>
      <c r="AI807" s="72">
        <v>3327873.2940364145</v>
      </c>
      <c r="AJ807" s="72">
        <v>0</v>
      </c>
      <c r="AK807" s="73"/>
      <c r="AL807" s="74">
        <v>-1702.9300936503928</v>
      </c>
      <c r="AM807" s="74">
        <v>0</v>
      </c>
      <c r="AN807" s="73"/>
      <c r="AO807" s="72">
        <v>211270.90682070027</v>
      </c>
      <c r="AP807" s="72">
        <v>0</v>
      </c>
      <c r="AQ807" s="73"/>
      <c r="AR807" s="74">
        <v>-92.177406445134281</v>
      </c>
      <c r="AS807" s="74">
        <v>0</v>
      </c>
      <c r="AT807" s="73"/>
      <c r="AU807" s="72">
        <v>10095335.236083742</v>
      </c>
      <c r="AV807" s="72">
        <v>0</v>
      </c>
      <c r="AW807" s="73"/>
      <c r="AX807" s="74">
        <v>-1592.5954127903626</v>
      </c>
      <c r="AY807" s="74">
        <v>0</v>
      </c>
      <c r="AZ807" s="73"/>
      <c r="BA807" s="72">
        <v>507278.08968304045</v>
      </c>
      <c r="BB807" s="72">
        <v>0</v>
      </c>
      <c r="BC807" s="73"/>
      <c r="BD807" s="74">
        <v>-277.83343030610439</v>
      </c>
      <c r="BE807" s="74">
        <v>0</v>
      </c>
      <c r="BF807" s="73"/>
      <c r="BG807" s="72">
        <v>-2697620.4103890616</v>
      </c>
      <c r="BH807" s="72">
        <v>0</v>
      </c>
      <c r="BI807" s="73"/>
      <c r="BJ807" s="74">
        <v>-1625.7494828539768</v>
      </c>
      <c r="BK807" s="74">
        <v>0</v>
      </c>
      <c r="BL807" s="73"/>
      <c r="BM807" s="72">
        <v>11444137.116234835</v>
      </c>
      <c r="BN807" s="72">
        <v>0</v>
      </c>
      <c r="BO807" s="73"/>
      <c r="BP807" s="74">
        <v>-5291.2858260459707</v>
      </c>
      <c r="BQ807" s="74">
        <v>0</v>
      </c>
      <c r="BS807" s="109">
        <f t="shared" si="306"/>
        <v>115926.22746274322</v>
      </c>
      <c r="BT807" s="109">
        <f t="shared" si="307"/>
        <v>116272.42885125308</v>
      </c>
      <c r="BV807" s="58">
        <f t="array" ref="BV807">SUM(IF(BS807:BT807&gt;=BS807, 1))</f>
        <v>2</v>
      </c>
      <c r="BW807" s="58">
        <f t="array" ref="BW807">SUM(IF(BS807:BT807&gt;=BT807, 1))</f>
        <v>1</v>
      </c>
      <c r="BY807" s="109">
        <f t="shared" si="308"/>
        <v>134046.1419821053</v>
      </c>
      <c r="BZ807" s="109">
        <f t="shared" si="309"/>
        <v>134352.99571711585</v>
      </c>
      <c r="CB807" s="58">
        <f t="array" ref="CB807">SUM(IF(BY807:BZ807&gt;=BY807, 1))</f>
        <v>2</v>
      </c>
      <c r="CC807" s="58">
        <f t="array" ref="CC807">SUM(IF(BY807:BZ807&gt;=BZ807, 1))</f>
        <v>1</v>
      </c>
      <c r="CE807" s="109">
        <f t="shared" si="310"/>
        <v>94628.960251426208</v>
      </c>
      <c r="CF807" s="109">
        <f t="shared" si="311"/>
        <v>96454.418830587078</v>
      </c>
      <c r="CH807" s="58">
        <f t="array" ref="CH807">SUM(IF(CE807:CF807&gt;=CE807, 1))</f>
        <v>2</v>
      </c>
      <c r="CI807" s="58">
        <f t="array" ref="CI807">SUM(IF(CE807:CF807&gt;=CF807, 1))</f>
        <v>1</v>
      </c>
      <c r="CK807" s="109">
        <f t="shared" si="312"/>
        <v>51856.352050312067</v>
      </c>
      <c r="CL807" s="109">
        <f t="shared" si="313"/>
        <v>52562.523770860789</v>
      </c>
      <c r="CN807" s="58">
        <f t="array" ref="CN807">SUM(IF(CK807:CL807&gt;=CK807, 1))</f>
        <v>2</v>
      </c>
      <c r="CO807" s="58">
        <f t="array" ref="CO807">SUM(IF(CK807:CL807&gt;=CL807, 1))</f>
        <v>1</v>
      </c>
      <c r="CQ807" s="109" cm="1">
        <f t="array" ref="CQ807">AF807*WTP-AC807</f>
        <v>42074.763098517884</v>
      </c>
      <c r="CR807" s="109">
        <f t="shared" si="314"/>
        <v>44059.753200128573</v>
      </c>
      <c r="CT807" s="58">
        <f t="array" ref="CT807">SUM(IF(CQ807:CR807&gt;=CQ807, 1))</f>
        <v>2</v>
      </c>
      <c r="CU807" s="58">
        <f t="array" ref="CU807">SUM(IF(CQ807:CR807&gt;=CR807, 1))</f>
        <v>1</v>
      </c>
      <c r="CW807" s="109">
        <f t="shared" si="315"/>
        <v>-37386475.167044267</v>
      </c>
      <c r="CX807" s="109">
        <f t="shared" si="316"/>
        <v>0</v>
      </c>
      <c r="CZ807" s="58">
        <f t="array" ref="CZ807">SUM(IF(CW807:CX807&gt;=CW807, 1))</f>
        <v>2</v>
      </c>
      <c r="DA807" s="58">
        <f t="array" ref="DA807">SUM(IF(CW807:CX807&gt;=CX807, 1))</f>
        <v>1</v>
      </c>
      <c r="DC807" s="109">
        <f t="shared" si="317"/>
        <v>-2054819.0357233859</v>
      </c>
      <c r="DD807" s="109">
        <f t="shared" si="318"/>
        <v>0</v>
      </c>
      <c r="DF807" s="58">
        <f t="array" ref="DF807">SUM(IF(DC807:DD807&gt;=DC807, 1))</f>
        <v>2</v>
      </c>
      <c r="DG807" s="58">
        <f t="array" ref="DG807">SUM(IF(DC807:DD807&gt;=DD807, 1))</f>
        <v>1</v>
      </c>
      <c r="DI807" s="109">
        <f t="shared" si="319"/>
        <v>-41947243.491890997</v>
      </c>
      <c r="DJ807" s="109">
        <f t="shared" si="320"/>
        <v>0</v>
      </c>
      <c r="DL807" s="58">
        <f t="array" ref="DL807">SUM(IF(DI807:DJ807&gt;=DI807, 1))</f>
        <v>2</v>
      </c>
      <c r="DM807" s="58">
        <f t="array" ref="DM807">SUM(IF(DI807:DJ807&gt;=DJ807, 1))</f>
        <v>1</v>
      </c>
      <c r="DO807" s="109">
        <f t="shared" si="321"/>
        <v>-6063946.6958051277</v>
      </c>
      <c r="DP807" s="109">
        <f t="shared" si="322"/>
        <v>0</v>
      </c>
      <c r="DR807" s="58">
        <f t="array" ref="DR807">SUM(IF(DO807:DP807&gt;=DO807, 1))</f>
        <v>2</v>
      </c>
      <c r="DS807" s="58">
        <f t="array" ref="DS807">SUM(IF(DO807:DP807&gt;=DP807, 1))</f>
        <v>1</v>
      </c>
      <c r="DU807" s="109">
        <f t="shared" si="323"/>
        <v>-29817369.246690474</v>
      </c>
      <c r="DV807" s="109">
        <f t="shared" si="324"/>
        <v>0</v>
      </c>
      <c r="DX807" s="58">
        <f t="array" ref="DX807">SUM(IF(DU807:DV807&gt;=DU807, 1))</f>
        <v>2</v>
      </c>
      <c r="DY807" s="58">
        <f t="array" ref="DY807">SUM(IF(DU807:DV807&gt;=DV807, 1))</f>
        <v>1</v>
      </c>
      <c r="EA807" s="109">
        <f t="shared" si="325"/>
        <v>-117269853.63715425</v>
      </c>
      <c r="EB807" s="109">
        <f t="shared" si="326"/>
        <v>0</v>
      </c>
      <c r="ED807" s="58">
        <f t="array" ref="ED807">SUM(IF(EA807:EB807&gt;=EA807, 1))</f>
        <v>2</v>
      </c>
      <c r="EE807" s="58">
        <f t="array" ref="EE807">SUM(IF(EA807:EB807&gt;=EB807, 1))</f>
        <v>1</v>
      </c>
    </row>
    <row r="808" spans="4:135" ht="12" customHeight="1" x14ac:dyDescent="0.25">
      <c r="D808" s="11">
        <v>792</v>
      </c>
      <c r="E808" s="72">
        <v>272.80423847386908</v>
      </c>
      <c r="F808" s="72">
        <v>264.1539103780886</v>
      </c>
      <c r="G808" s="73"/>
      <c r="H808" s="74">
        <v>5.8792861179679852</v>
      </c>
      <c r="I808" s="74">
        <v>5.8909962104769331</v>
      </c>
      <c r="J808" s="73"/>
      <c r="K808" s="72">
        <v>293.72614731332266</v>
      </c>
      <c r="L808" s="72">
        <v>284.83200002097493</v>
      </c>
      <c r="M808" s="73"/>
      <c r="N808" s="74">
        <v>6.6542253102206113</v>
      </c>
      <c r="O808" s="74">
        <v>6.6638834730067362</v>
      </c>
      <c r="P808" s="73"/>
      <c r="Q808" s="72">
        <v>2202.1009357365979</v>
      </c>
      <c r="R808" s="72">
        <v>1178.8991276176607</v>
      </c>
      <c r="S808" s="73"/>
      <c r="T808" s="74">
        <v>4.7357207602651199</v>
      </c>
      <c r="U808" s="74">
        <v>4.827637242468624</v>
      </c>
      <c r="V808" s="73"/>
      <c r="W808" s="72">
        <v>17419.726428344627</v>
      </c>
      <c r="X808" s="72">
        <v>17347.43208331451</v>
      </c>
      <c r="Y808" s="73"/>
      <c r="Z808" s="74">
        <v>3.0119329941699355</v>
      </c>
      <c r="AA808" s="74">
        <v>3.05059864581485</v>
      </c>
      <c r="AB808" s="73"/>
      <c r="AC808" s="72">
        <v>50480.508824969816</v>
      </c>
      <c r="AD808" s="72">
        <v>50259.815638149856</v>
      </c>
      <c r="AE808" s="73"/>
      <c r="AF808" s="74">
        <v>4.4505392203834635</v>
      </c>
      <c r="AG808" s="74">
        <v>4.5418822470572868</v>
      </c>
      <c r="AH808" s="73"/>
      <c r="AI808" s="72">
        <v>922701.11714870529</v>
      </c>
      <c r="AJ808" s="72">
        <v>0</v>
      </c>
      <c r="AK808" s="73"/>
      <c r="AL808" s="74">
        <v>-1249.0757946154035</v>
      </c>
      <c r="AM808" s="74">
        <v>0</v>
      </c>
      <c r="AN808" s="73"/>
      <c r="AO808" s="72">
        <v>62394.605451533585</v>
      </c>
      <c r="AP808" s="72">
        <v>0</v>
      </c>
      <c r="AQ808" s="73"/>
      <c r="AR808" s="74">
        <v>-67.754359874996311</v>
      </c>
      <c r="AS808" s="74">
        <v>0</v>
      </c>
      <c r="AT808" s="73"/>
      <c r="AU808" s="72">
        <v>23550961.586567707</v>
      </c>
      <c r="AV808" s="72">
        <v>0</v>
      </c>
      <c r="AW808" s="73"/>
      <c r="AX808" s="74">
        <v>-2115.6349845851055</v>
      </c>
      <c r="AY808" s="74">
        <v>0</v>
      </c>
      <c r="AZ808" s="73"/>
      <c r="BA808" s="72">
        <v>653318.22554096195</v>
      </c>
      <c r="BB808" s="72">
        <v>0</v>
      </c>
      <c r="BC808" s="73"/>
      <c r="BD808" s="74">
        <v>-349.41840764332181</v>
      </c>
      <c r="BE808" s="74">
        <v>0</v>
      </c>
      <c r="BF808" s="73"/>
      <c r="BG808" s="72">
        <v>3539442.5558138289</v>
      </c>
      <c r="BH808" s="72">
        <v>0</v>
      </c>
      <c r="BI808" s="73"/>
      <c r="BJ808" s="74">
        <v>-1464.9450689654298</v>
      </c>
      <c r="BK808" s="74">
        <v>0</v>
      </c>
      <c r="BL808" s="73"/>
      <c r="BM808" s="72">
        <v>28728818.09052274</v>
      </c>
      <c r="BN808" s="72">
        <v>0</v>
      </c>
      <c r="BO808" s="73"/>
      <c r="BP808" s="74">
        <v>-5246.8286156842569</v>
      </c>
      <c r="BQ808" s="74">
        <v>0</v>
      </c>
      <c r="BS808" s="109">
        <f t="shared" si="306"/>
        <v>117312.91812088584</v>
      </c>
      <c r="BT808" s="109">
        <f t="shared" si="307"/>
        <v>117555.77029916058</v>
      </c>
      <c r="BV808" s="58">
        <f t="array" ref="BV808">SUM(IF(BS808:BT808&gt;=BS808, 1))</f>
        <v>2</v>
      </c>
      <c r="BW808" s="58">
        <f t="array" ref="BW808">SUM(IF(BS808:BT808&gt;=BT808, 1))</f>
        <v>1</v>
      </c>
      <c r="BY808" s="109">
        <f t="shared" si="308"/>
        <v>132790.78005709892</v>
      </c>
      <c r="BZ808" s="109">
        <f t="shared" si="309"/>
        <v>132992.83746011375</v>
      </c>
      <c r="CB808" s="58">
        <f t="array" ref="CB808">SUM(IF(BY808:BZ808&gt;=BY808, 1))</f>
        <v>2</v>
      </c>
      <c r="CC808" s="58">
        <f t="array" ref="CC808">SUM(IF(BY808:BZ808&gt;=BZ808, 1))</f>
        <v>1</v>
      </c>
      <c r="CE808" s="109">
        <f t="shared" si="310"/>
        <v>92512.314269565803</v>
      </c>
      <c r="CF808" s="109">
        <f t="shared" si="311"/>
        <v>95373.845721754813</v>
      </c>
      <c r="CH808" s="58">
        <f t="array" ref="CH808">SUM(IF(CE808:CF808&gt;=CE808, 1))</f>
        <v>2</v>
      </c>
      <c r="CI808" s="58">
        <f t="array" ref="CI808">SUM(IF(CE808:CF808&gt;=CF808, 1))</f>
        <v>1</v>
      </c>
      <c r="CK808" s="109">
        <f t="shared" si="312"/>
        <v>42818.933455054081</v>
      </c>
      <c r="CL808" s="109">
        <f t="shared" si="313"/>
        <v>43664.540832982486</v>
      </c>
      <c r="CN808" s="58">
        <f t="array" ref="CN808">SUM(IF(CK808:CL808&gt;=CK808, 1))</f>
        <v>2</v>
      </c>
      <c r="CO808" s="58">
        <f t="array" ref="CO808">SUM(IF(CK808:CL808&gt;=CL808, 1))</f>
        <v>1</v>
      </c>
      <c r="CQ808" s="109" cm="1">
        <f t="array" ref="CQ808">AF808*WTP-AC808</f>
        <v>38530.275582699454</v>
      </c>
      <c r="CR808" s="109">
        <f t="shared" si="314"/>
        <v>40577.829302995888</v>
      </c>
      <c r="CT808" s="58">
        <f t="array" ref="CT808">SUM(IF(CQ808:CR808&gt;=CQ808, 1))</f>
        <v>2</v>
      </c>
      <c r="CU808" s="58">
        <f t="array" ref="CU808">SUM(IF(CQ808:CR808&gt;=CR808, 1))</f>
        <v>1</v>
      </c>
      <c r="CW808" s="109">
        <f t="shared" si="315"/>
        <v>-25904217.009456776</v>
      </c>
      <c r="CX808" s="109">
        <f t="shared" si="316"/>
        <v>0</v>
      </c>
      <c r="CZ808" s="58">
        <f t="array" ref="CZ808">SUM(IF(CW808:CX808&gt;=CW808, 1))</f>
        <v>2</v>
      </c>
      <c r="DA808" s="58">
        <f t="array" ref="DA808">SUM(IF(CW808:CX808&gt;=CX808, 1))</f>
        <v>1</v>
      </c>
      <c r="DC808" s="109">
        <f t="shared" si="317"/>
        <v>-1417481.8029514598</v>
      </c>
      <c r="DD808" s="109">
        <f t="shared" si="318"/>
        <v>0</v>
      </c>
      <c r="DF808" s="58">
        <f t="array" ref="DF808">SUM(IF(DC808:DD808&gt;=DC808, 1))</f>
        <v>2</v>
      </c>
      <c r="DG808" s="58">
        <f t="array" ref="DG808">SUM(IF(DC808:DD808&gt;=DD808, 1))</f>
        <v>1</v>
      </c>
      <c r="DI808" s="109">
        <f t="shared" si="319"/>
        <v>-65863661.27826982</v>
      </c>
      <c r="DJ808" s="109">
        <f t="shared" si="320"/>
        <v>0</v>
      </c>
      <c r="DL808" s="58">
        <f t="array" ref="DL808">SUM(IF(DI808:DJ808&gt;=DI808, 1))</f>
        <v>2</v>
      </c>
      <c r="DM808" s="58">
        <f t="array" ref="DM808">SUM(IF(DI808:DJ808&gt;=DJ808, 1))</f>
        <v>1</v>
      </c>
      <c r="DO808" s="109">
        <f t="shared" si="321"/>
        <v>-7641686.3784073982</v>
      </c>
      <c r="DP808" s="109">
        <f t="shared" si="322"/>
        <v>0</v>
      </c>
      <c r="DR808" s="58">
        <f t="array" ref="DR808">SUM(IF(DO808:DP808&gt;=DO808, 1))</f>
        <v>2</v>
      </c>
      <c r="DS808" s="58">
        <f t="array" ref="DS808">SUM(IF(DO808:DP808&gt;=DP808, 1))</f>
        <v>1</v>
      </c>
      <c r="DU808" s="109">
        <f t="shared" si="323"/>
        <v>-32838343.935122427</v>
      </c>
      <c r="DV808" s="109">
        <f t="shared" si="324"/>
        <v>0</v>
      </c>
      <c r="DX808" s="58">
        <f t="array" ref="DX808">SUM(IF(DU808:DV808&gt;=DU808, 1))</f>
        <v>2</v>
      </c>
      <c r="DY808" s="58">
        <f t="array" ref="DY808">SUM(IF(DU808:DV808&gt;=DV808, 1))</f>
        <v>1</v>
      </c>
      <c r="EA808" s="109">
        <f t="shared" si="325"/>
        <v>-133665390.40420787</v>
      </c>
      <c r="EB808" s="109">
        <f t="shared" si="326"/>
        <v>0</v>
      </c>
      <c r="ED808" s="58">
        <f t="array" ref="ED808">SUM(IF(EA808:EB808&gt;=EA808, 1))</f>
        <v>2</v>
      </c>
      <c r="EE808" s="58">
        <f t="array" ref="EE808">SUM(IF(EA808:EB808&gt;=EB808, 1))</f>
        <v>1</v>
      </c>
    </row>
    <row r="809" spans="4:135" ht="12" customHeight="1" x14ac:dyDescent="0.25">
      <c r="D809" s="11">
        <v>793</v>
      </c>
      <c r="E809" s="72">
        <v>255.79614291229424</v>
      </c>
      <c r="F809" s="72">
        <v>241.57368452479218</v>
      </c>
      <c r="G809" s="73"/>
      <c r="H809" s="74">
        <v>5.8536601758840581</v>
      </c>
      <c r="I809" s="74">
        <v>5.8672465293561027</v>
      </c>
      <c r="J809" s="73"/>
      <c r="K809" s="72">
        <v>275.05734413730033</v>
      </c>
      <c r="L809" s="72">
        <v>260.49099447651611</v>
      </c>
      <c r="M809" s="73"/>
      <c r="N809" s="74">
        <v>6.7349708078532942</v>
      </c>
      <c r="O809" s="74">
        <v>6.7467416937117859</v>
      </c>
      <c r="P809" s="73"/>
      <c r="Q809" s="72">
        <v>3470.5925981195378</v>
      </c>
      <c r="R809" s="72">
        <v>1872.1325342288058</v>
      </c>
      <c r="S809" s="73"/>
      <c r="T809" s="74">
        <v>4.7977478132803517</v>
      </c>
      <c r="U809" s="74">
        <v>4.9141051676004013</v>
      </c>
      <c r="V809" s="73"/>
      <c r="W809" s="72">
        <v>12073.201137080145</v>
      </c>
      <c r="X809" s="72">
        <v>12105.266057176294</v>
      </c>
      <c r="Y809" s="73"/>
      <c r="Z809" s="74">
        <v>3.011075574666799</v>
      </c>
      <c r="AA809" s="74">
        <v>3.0542695905715944</v>
      </c>
      <c r="AB809" s="73"/>
      <c r="AC809" s="72">
        <v>51122.528930844834</v>
      </c>
      <c r="AD809" s="72">
        <v>50996.230448446251</v>
      </c>
      <c r="AE809" s="73"/>
      <c r="AF809" s="74">
        <v>4.1336998888577572</v>
      </c>
      <c r="AG809" s="74">
        <v>4.21440003586524</v>
      </c>
      <c r="AH809" s="73"/>
      <c r="AI809" s="72">
        <v>1532058.4785626901</v>
      </c>
      <c r="AJ809" s="72">
        <v>0</v>
      </c>
      <c r="AK809" s="73"/>
      <c r="AL809" s="74">
        <v>-1463.5365745128001</v>
      </c>
      <c r="AM809" s="74">
        <v>0</v>
      </c>
      <c r="AN809" s="73"/>
      <c r="AO809" s="72">
        <v>104298.623630603</v>
      </c>
      <c r="AP809" s="72">
        <v>0</v>
      </c>
      <c r="AQ809" s="73"/>
      <c r="AR809" s="74">
        <v>-84.282419586481339</v>
      </c>
      <c r="AS809" s="74">
        <v>0</v>
      </c>
      <c r="AT809" s="73"/>
      <c r="AU809" s="72">
        <v>36932138.49946072</v>
      </c>
      <c r="AV809" s="72">
        <v>0</v>
      </c>
      <c r="AW809" s="73"/>
      <c r="AX809" s="74">
        <v>-2688.4161964728651</v>
      </c>
      <c r="AY809" s="74">
        <v>0</v>
      </c>
      <c r="AZ809" s="73"/>
      <c r="BA809" s="72">
        <v>-295325.46391083114</v>
      </c>
      <c r="BB809" s="72">
        <v>0</v>
      </c>
      <c r="BC809" s="73"/>
      <c r="BD809" s="74">
        <v>-397.82705670261817</v>
      </c>
      <c r="BE809" s="74">
        <v>0</v>
      </c>
      <c r="BF809" s="73"/>
      <c r="BG809" s="72">
        <v>2030779.9406758165</v>
      </c>
      <c r="BH809" s="72">
        <v>0</v>
      </c>
      <c r="BI809" s="73"/>
      <c r="BJ809" s="74">
        <v>-1297.5946871252743</v>
      </c>
      <c r="BK809" s="74">
        <v>0</v>
      </c>
      <c r="BL809" s="73"/>
      <c r="BM809" s="72">
        <v>40303950.078419</v>
      </c>
      <c r="BN809" s="72">
        <v>0</v>
      </c>
      <c r="BO809" s="73"/>
      <c r="BP809" s="74">
        <v>-5931.6569344000391</v>
      </c>
      <c r="BQ809" s="74">
        <v>0</v>
      </c>
      <c r="BS809" s="109">
        <f t="shared" si="306"/>
        <v>116817.40737476887</v>
      </c>
      <c r="BT809" s="109">
        <f t="shared" si="307"/>
        <v>117103.35690259727</v>
      </c>
      <c r="BV809" s="58">
        <f t="array" ref="BV809">SUM(IF(BS809:BT809&gt;=BS809, 1))</f>
        <v>2</v>
      </c>
      <c r="BW809" s="58">
        <f t="array" ref="BW809">SUM(IF(BS809:BT809&gt;=BT809, 1))</f>
        <v>1</v>
      </c>
      <c r="BY809" s="109">
        <f t="shared" si="308"/>
        <v>134424.35881292858</v>
      </c>
      <c r="BZ809" s="109">
        <f t="shared" si="309"/>
        <v>134674.34287975921</v>
      </c>
      <c r="CB809" s="58">
        <f t="array" ref="CB809">SUM(IF(BY809:BZ809&gt;=BY809, 1))</f>
        <v>2</v>
      </c>
      <c r="CC809" s="58">
        <f t="array" ref="CC809">SUM(IF(BY809:BZ809&gt;=BZ809, 1))</f>
        <v>1</v>
      </c>
      <c r="CE809" s="109">
        <f t="shared" si="310"/>
        <v>92484.363667487502</v>
      </c>
      <c r="CF809" s="109">
        <f t="shared" si="311"/>
        <v>96409.97081777922</v>
      </c>
      <c r="CH809" s="58">
        <f t="array" ref="CH809">SUM(IF(CE809:CF809&gt;=CE809, 1))</f>
        <v>2</v>
      </c>
      <c r="CI809" s="58">
        <f t="array" ref="CI809">SUM(IF(CE809:CF809&gt;=CF809, 1))</f>
        <v>1</v>
      </c>
      <c r="CK809" s="109">
        <f t="shared" si="312"/>
        <v>48148.310356255839</v>
      </c>
      <c r="CL809" s="109">
        <f t="shared" si="313"/>
        <v>48980.125754255598</v>
      </c>
      <c r="CN809" s="58">
        <f t="array" ref="CN809">SUM(IF(CK809:CL809&gt;=CK809, 1))</f>
        <v>2</v>
      </c>
      <c r="CO809" s="58">
        <f t="array" ref="CO809">SUM(IF(CK809:CL809&gt;=CL809, 1))</f>
        <v>1</v>
      </c>
      <c r="CQ809" s="109" cm="1">
        <f t="array" ref="CQ809">AF809*WTP-AC809</f>
        <v>31551.468846310316</v>
      </c>
      <c r="CR809" s="109">
        <f t="shared" si="314"/>
        <v>33291.770268858556</v>
      </c>
      <c r="CT809" s="58">
        <f t="array" ref="CT809">SUM(IF(CQ809:CR809&gt;=CQ809, 1))</f>
        <v>2</v>
      </c>
      <c r="CU809" s="58">
        <f t="array" ref="CU809">SUM(IF(CQ809:CR809&gt;=CR809, 1))</f>
        <v>1</v>
      </c>
      <c r="CW809" s="109">
        <f t="shared" si="315"/>
        <v>-30802789.968818694</v>
      </c>
      <c r="CX809" s="109">
        <f t="shared" si="316"/>
        <v>0</v>
      </c>
      <c r="CZ809" s="58">
        <f t="array" ref="CZ809">SUM(IF(CW809:CX809&gt;=CW809, 1))</f>
        <v>2</v>
      </c>
      <c r="DA809" s="58">
        <f t="array" ref="DA809">SUM(IF(CW809:CX809&gt;=CX809, 1))</f>
        <v>1</v>
      </c>
      <c r="DC809" s="109">
        <f t="shared" si="317"/>
        <v>-1789947.0153602299</v>
      </c>
      <c r="DD809" s="109">
        <f t="shared" si="318"/>
        <v>0</v>
      </c>
      <c r="DF809" s="58">
        <f t="array" ref="DF809">SUM(IF(DC809:DD809&gt;=DC809, 1))</f>
        <v>2</v>
      </c>
      <c r="DG809" s="58">
        <f t="array" ref="DG809">SUM(IF(DC809:DD809&gt;=DD809, 1))</f>
        <v>1</v>
      </c>
      <c r="DI809" s="109">
        <f t="shared" si="319"/>
        <v>-90700462.428918019</v>
      </c>
      <c r="DJ809" s="109">
        <f t="shared" si="320"/>
        <v>0</v>
      </c>
      <c r="DL809" s="58">
        <f t="array" ref="DL809">SUM(IF(DI809:DJ809&gt;=DI809, 1))</f>
        <v>2</v>
      </c>
      <c r="DM809" s="58">
        <f t="array" ref="DM809">SUM(IF(DI809:DJ809&gt;=DJ809, 1))</f>
        <v>1</v>
      </c>
      <c r="DO809" s="109">
        <f t="shared" si="321"/>
        <v>-7661215.6701415321</v>
      </c>
      <c r="DP809" s="109">
        <f t="shared" si="322"/>
        <v>0</v>
      </c>
      <c r="DR809" s="58">
        <f t="array" ref="DR809">SUM(IF(DO809:DP809&gt;=DO809, 1))</f>
        <v>2</v>
      </c>
      <c r="DS809" s="58">
        <f t="array" ref="DS809">SUM(IF(DO809:DP809&gt;=DP809, 1))</f>
        <v>1</v>
      </c>
      <c r="DU809" s="109">
        <f t="shared" si="323"/>
        <v>-27982673.683181304</v>
      </c>
      <c r="DV809" s="109">
        <f t="shared" si="324"/>
        <v>0</v>
      </c>
      <c r="DX809" s="58">
        <f t="array" ref="DX809">SUM(IF(DU809:DV809&gt;=DU809, 1))</f>
        <v>2</v>
      </c>
      <c r="DY809" s="58">
        <f t="array" ref="DY809">SUM(IF(DU809:DV809&gt;=DV809, 1))</f>
        <v>1</v>
      </c>
      <c r="EA809" s="109">
        <f t="shared" si="325"/>
        <v>-158937088.76641977</v>
      </c>
      <c r="EB809" s="109">
        <f t="shared" si="326"/>
        <v>0</v>
      </c>
      <c r="ED809" s="58">
        <f t="array" ref="ED809">SUM(IF(EA809:EB809&gt;=EA809, 1))</f>
        <v>2</v>
      </c>
      <c r="EE809" s="58">
        <f t="array" ref="EE809">SUM(IF(EA809:EB809&gt;=EB809, 1))</f>
        <v>1</v>
      </c>
    </row>
    <row r="810" spans="4:135" ht="12" customHeight="1" x14ac:dyDescent="0.25">
      <c r="D810" s="11">
        <v>794</v>
      </c>
      <c r="E810" s="72">
        <v>227.83908230412092</v>
      </c>
      <c r="F810" s="72">
        <v>209.27705902839631</v>
      </c>
      <c r="G810" s="73"/>
      <c r="H810" s="74">
        <v>5.845552373745754</v>
      </c>
      <c r="I810" s="74">
        <v>5.8645820834888625</v>
      </c>
      <c r="J810" s="73"/>
      <c r="K810" s="72">
        <v>244.74369778480587</v>
      </c>
      <c r="L810" s="72">
        <v>225.71427347800531</v>
      </c>
      <c r="M810" s="73"/>
      <c r="N810" s="74">
        <v>6.7251867719243412</v>
      </c>
      <c r="O810" s="74">
        <v>6.7419266741439978</v>
      </c>
      <c r="P810" s="73"/>
      <c r="Q810" s="72">
        <v>4118.8571724075719</v>
      </c>
      <c r="R810" s="72">
        <v>1415.6554423295906</v>
      </c>
      <c r="S810" s="73"/>
      <c r="T810" s="74">
        <v>4.5733464343139838</v>
      </c>
      <c r="U810" s="74">
        <v>4.76084034341332</v>
      </c>
      <c r="V810" s="73"/>
      <c r="W810" s="72">
        <v>13152.872634466847</v>
      </c>
      <c r="X810" s="72">
        <v>13136.436133489231</v>
      </c>
      <c r="Y810" s="73"/>
      <c r="Z810" s="74">
        <v>3.162680969962691</v>
      </c>
      <c r="AA810" s="74">
        <v>3.22457041850658</v>
      </c>
      <c r="AB810" s="73"/>
      <c r="AC810" s="72">
        <v>49800.552283524907</v>
      </c>
      <c r="AD810" s="72">
        <v>49577.946934326712</v>
      </c>
      <c r="AE810" s="73"/>
      <c r="AF810" s="74">
        <v>4.6381649347740703</v>
      </c>
      <c r="AG810" s="74">
        <v>4.7188025470509878</v>
      </c>
      <c r="AH810" s="73"/>
      <c r="AI810" s="72">
        <v>1985777.8362808491</v>
      </c>
      <c r="AJ810" s="72">
        <v>0</v>
      </c>
      <c r="AK810" s="73"/>
      <c r="AL810" s="74">
        <v>-2035.8112516830338</v>
      </c>
      <c r="AM810" s="74">
        <v>0</v>
      </c>
      <c r="AN810" s="73"/>
      <c r="AO810" s="72">
        <v>132248.80012914733</v>
      </c>
      <c r="AP810" s="72">
        <v>0</v>
      </c>
      <c r="AQ810" s="73"/>
      <c r="AR810" s="74">
        <v>-116.33730727406588</v>
      </c>
      <c r="AS810" s="74">
        <v>0</v>
      </c>
      <c r="AT810" s="73"/>
      <c r="AU810" s="72">
        <v>62562483.817507677</v>
      </c>
      <c r="AV810" s="72">
        <v>0</v>
      </c>
      <c r="AW810" s="73"/>
      <c r="AX810" s="74">
        <v>-4339.3301074759556</v>
      </c>
      <c r="AY810" s="74">
        <v>0</v>
      </c>
      <c r="AZ810" s="73"/>
      <c r="BA810" s="72">
        <v>150898.04910940051</v>
      </c>
      <c r="BB810" s="72">
        <v>0</v>
      </c>
      <c r="BC810" s="73"/>
      <c r="BD810" s="74">
        <v>-568.18644421023441</v>
      </c>
      <c r="BE810" s="74">
        <v>0</v>
      </c>
      <c r="BF810" s="73"/>
      <c r="BG810" s="72">
        <v>3718640.9639151674</v>
      </c>
      <c r="BH810" s="72">
        <v>0</v>
      </c>
      <c r="BI810" s="73"/>
      <c r="BJ810" s="74">
        <v>-1347.0580528515245</v>
      </c>
      <c r="BK810" s="74">
        <v>0</v>
      </c>
      <c r="BL810" s="73"/>
      <c r="BM810" s="72">
        <v>68550049.466942236</v>
      </c>
      <c r="BN810" s="72">
        <v>0</v>
      </c>
      <c r="BO810" s="73"/>
      <c r="BP810" s="74">
        <v>-8406.723163494813</v>
      </c>
      <c r="BQ810" s="74">
        <v>0</v>
      </c>
      <c r="BS810" s="109">
        <f t="shared" si="306"/>
        <v>116683.20839261095</v>
      </c>
      <c r="BT810" s="109">
        <f t="shared" si="307"/>
        <v>117082.36461074886</v>
      </c>
      <c r="BV810" s="58">
        <f t="array" ref="BV810">SUM(IF(BS810:BT810&gt;=BS810, 1))</f>
        <v>2</v>
      </c>
      <c r="BW810" s="58">
        <f t="array" ref="BW810">SUM(IF(BS810:BT810&gt;=BT810, 1))</f>
        <v>1</v>
      </c>
      <c r="BY810" s="109">
        <f t="shared" si="308"/>
        <v>134258.99174070201</v>
      </c>
      <c r="BZ810" s="109">
        <f t="shared" si="309"/>
        <v>134612.81920940196</v>
      </c>
      <c r="CB810" s="58">
        <f t="array" ref="CB810">SUM(IF(BY810:BZ810&gt;=BY810, 1))</f>
        <v>2</v>
      </c>
      <c r="CC810" s="58">
        <f t="array" ref="CC810">SUM(IF(BY810:BZ810&gt;=BZ810, 1))</f>
        <v>1</v>
      </c>
      <c r="CE810" s="109">
        <f t="shared" si="310"/>
        <v>87348.071513872099</v>
      </c>
      <c r="CF810" s="109">
        <f t="shared" si="311"/>
        <v>93801.151425936812</v>
      </c>
      <c r="CH810" s="58">
        <f t="array" ref="CH810">SUM(IF(CE810:CF810&gt;=CE810, 1))</f>
        <v>2</v>
      </c>
      <c r="CI810" s="58">
        <f t="array" ref="CI810">SUM(IF(CE810:CF810&gt;=CF810, 1))</f>
        <v>1</v>
      </c>
      <c r="CK810" s="109">
        <f t="shared" si="312"/>
        <v>50100.746764786971</v>
      </c>
      <c r="CL810" s="109">
        <f t="shared" si="313"/>
        <v>51354.972236642367</v>
      </c>
      <c r="CN810" s="58">
        <f t="array" ref="CN810">SUM(IF(CK810:CL810&gt;=CK810, 1))</f>
        <v>2</v>
      </c>
      <c r="CO810" s="58">
        <f t="array" ref="CO810">SUM(IF(CK810:CL810&gt;=CL810, 1))</f>
        <v>1</v>
      </c>
      <c r="CQ810" s="109" cm="1">
        <f t="array" ref="CQ810">AF810*WTP-AC810</f>
        <v>42962.746411956505</v>
      </c>
      <c r="CR810" s="109">
        <f t="shared" si="314"/>
        <v>44798.104006693044</v>
      </c>
      <c r="CT810" s="58">
        <f t="array" ref="CT810">SUM(IF(CQ810:CR810&gt;=CQ810, 1))</f>
        <v>2</v>
      </c>
      <c r="CU810" s="58">
        <f t="array" ref="CU810">SUM(IF(CQ810:CR810&gt;=CR810, 1))</f>
        <v>1</v>
      </c>
      <c r="CW810" s="109">
        <f t="shared" si="315"/>
        <v>-42702002.869941525</v>
      </c>
      <c r="CX810" s="109">
        <f t="shared" si="316"/>
        <v>0</v>
      </c>
      <c r="CZ810" s="58">
        <f t="array" ref="CZ810">SUM(IF(CW810:CX810&gt;=CW810, 1))</f>
        <v>2</v>
      </c>
      <c r="DA810" s="58">
        <f t="array" ref="DA810">SUM(IF(CW810:CX810&gt;=CX810, 1))</f>
        <v>1</v>
      </c>
      <c r="DC810" s="109">
        <f t="shared" si="317"/>
        <v>-2458994.945610465</v>
      </c>
      <c r="DD810" s="109">
        <f t="shared" si="318"/>
        <v>0</v>
      </c>
      <c r="DF810" s="58">
        <f t="array" ref="DF810">SUM(IF(DC810:DD810&gt;=DC810, 1))</f>
        <v>2</v>
      </c>
      <c r="DG810" s="58">
        <f t="array" ref="DG810">SUM(IF(DC810:DD810&gt;=DD810, 1))</f>
        <v>1</v>
      </c>
      <c r="DI810" s="109">
        <f t="shared" si="319"/>
        <v>-149349085.9670268</v>
      </c>
      <c r="DJ810" s="109">
        <f t="shared" si="320"/>
        <v>0</v>
      </c>
      <c r="DL810" s="58">
        <f t="array" ref="DL810">SUM(IF(DI810:DJ810&gt;=DI810, 1))</f>
        <v>2</v>
      </c>
      <c r="DM810" s="58">
        <f t="array" ref="DM810">SUM(IF(DI810:DJ810&gt;=DJ810, 1))</f>
        <v>1</v>
      </c>
      <c r="DO810" s="109">
        <f t="shared" si="321"/>
        <v>-11514626.933314089</v>
      </c>
      <c r="DP810" s="109">
        <f t="shared" si="322"/>
        <v>0</v>
      </c>
      <c r="DR810" s="58">
        <f t="array" ref="DR810">SUM(IF(DO810:DP810&gt;=DO810, 1))</f>
        <v>2</v>
      </c>
      <c r="DS810" s="58">
        <f t="array" ref="DS810">SUM(IF(DO810:DP810&gt;=DP810, 1))</f>
        <v>1</v>
      </c>
      <c r="DU810" s="109">
        <f t="shared" si="323"/>
        <v>-30659802.020945661</v>
      </c>
      <c r="DV810" s="109">
        <f t="shared" si="324"/>
        <v>0</v>
      </c>
      <c r="DX810" s="58">
        <f t="array" ref="DX810">SUM(IF(DU810:DV810&gt;=DU810, 1))</f>
        <v>2</v>
      </c>
      <c r="DY810" s="58">
        <f t="array" ref="DY810">SUM(IF(DU810:DV810&gt;=DV810, 1))</f>
        <v>1</v>
      </c>
      <c r="EA810" s="109">
        <f t="shared" si="325"/>
        <v>-236684512.73683852</v>
      </c>
      <c r="EB810" s="109">
        <f t="shared" si="326"/>
        <v>0</v>
      </c>
      <c r="ED810" s="58">
        <f t="array" ref="ED810">SUM(IF(EA810:EB810&gt;=EA810, 1))</f>
        <v>2</v>
      </c>
      <c r="EE810" s="58">
        <f t="array" ref="EE810">SUM(IF(EA810:EB810&gt;=EB810, 1))</f>
        <v>1</v>
      </c>
    </row>
    <row r="811" spans="4:135" ht="12" customHeight="1" x14ac:dyDescent="0.25">
      <c r="D811" s="11">
        <v>795</v>
      </c>
      <c r="E811" s="72">
        <v>247.064735082049</v>
      </c>
      <c r="F811" s="72">
        <v>207.09199967263331</v>
      </c>
      <c r="G811" s="73"/>
      <c r="H811" s="74">
        <v>5.8322184461078992</v>
      </c>
      <c r="I811" s="74">
        <v>5.8489684062425313</v>
      </c>
      <c r="J811" s="73"/>
      <c r="K811" s="72">
        <v>264.12632655171865</v>
      </c>
      <c r="L811" s="72">
        <v>223.17523067514065</v>
      </c>
      <c r="M811" s="73"/>
      <c r="N811" s="74">
        <v>6.6677035099935384</v>
      </c>
      <c r="O811" s="74">
        <v>6.6821991843747224</v>
      </c>
      <c r="P811" s="73"/>
      <c r="Q811" s="72">
        <v>4126.5856074612657</v>
      </c>
      <c r="R811" s="72">
        <v>1620.4043247098712</v>
      </c>
      <c r="S811" s="73"/>
      <c r="T811" s="74">
        <v>4.6847102417393236</v>
      </c>
      <c r="U811" s="74">
        <v>4.8531676385710378</v>
      </c>
      <c r="V811" s="73"/>
      <c r="W811" s="72">
        <v>13140.11757959579</v>
      </c>
      <c r="X811" s="72">
        <v>13129.264864856021</v>
      </c>
      <c r="Y811" s="73"/>
      <c r="Z811" s="74">
        <v>3.1921167157050827</v>
      </c>
      <c r="AA811" s="74">
        <v>3.2471643543151436</v>
      </c>
      <c r="AB811" s="73"/>
      <c r="AC811" s="72">
        <v>50604.146638499486</v>
      </c>
      <c r="AD811" s="72">
        <v>50673.579061432421</v>
      </c>
      <c r="AE811" s="73"/>
      <c r="AF811" s="74">
        <v>4.2855151402635006</v>
      </c>
      <c r="AG811" s="74">
        <v>4.3628260347745904</v>
      </c>
      <c r="AH811" s="73"/>
      <c r="AI811" s="72">
        <v>4257915.6619096771</v>
      </c>
      <c r="AJ811" s="72">
        <v>0</v>
      </c>
      <c r="AK811" s="73"/>
      <c r="AL811" s="74">
        <v>-1784.2140865049064</v>
      </c>
      <c r="AM811" s="74">
        <v>0</v>
      </c>
      <c r="AN811" s="73"/>
      <c r="AO811" s="72">
        <v>281106.28831637296</v>
      </c>
      <c r="AP811" s="72">
        <v>0</v>
      </c>
      <c r="AQ811" s="73"/>
      <c r="AR811" s="74">
        <v>-99.504668549491754</v>
      </c>
      <c r="AS811" s="74">
        <v>0</v>
      </c>
      <c r="AT811" s="73"/>
      <c r="AU811" s="72">
        <v>58663232.63338726</v>
      </c>
      <c r="AV811" s="72">
        <v>0</v>
      </c>
      <c r="AW811" s="73"/>
      <c r="AX811" s="74">
        <v>-3943.1526869854033</v>
      </c>
      <c r="AY811" s="74">
        <v>0</v>
      </c>
      <c r="AZ811" s="73"/>
      <c r="BA811" s="72">
        <v>92363.313062537229</v>
      </c>
      <c r="BB811" s="72">
        <v>0</v>
      </c>
      <c r="BC811" s="73"/>
      <c r="BD811" s="74">
        <v>-468.48944252290266</v>
      </c>
      <c r="BE811" s="74">
        <v>0</v>
      </c>
      <c r="BF811" s="73"/>
      <c r="BG811" s="72">
        <v>-1106995.6751792717</v>
      </c>
      <c r="BH811" s="72">
        <v>0</v>
      </c>
      <c r="BI811" s="73"/>
      <c r="BJ811" s="74">
        <v>-1232.6060686472229</v>
      </c>
      <c r="BK811" s="74">
        <v>0</v>
      </c>
      <c r="BL811" s="73"/>
      <c r="BM811" s="72">
        <v>62187622.221496567</v>
      </c>
      <c r="BN811" s="72">
        <v>0</v>
      </c>
      <c r="BO811" s="73"/>
      <c r="BP811" s="74">
        <v>-7527.9669532099269</v>
      </c>
      <c r="BQ811" s="74">
        <v>0</v>
      </c>
      <c r="BS811" s="109">
        <f t="shared" si="306"/>
        <v>116397.30418707593</v>
      </c>
      <c r="BT811" s="109">
        <f t="shared" si="307"/>
        <v>116772.276125178</v>
      </c>
      <c r="BV811" s="58">
        <f t="array" ref="BV811">SUM(IF(BS811:BT811&gt;=BS811, 1))</f>
        <v>2</v>
      </c>
      <c r="BW811" s="58">
        <f t="array" ref="BW811">SUM(IF(BS811:BT811&gt;=BT811, 1))</f>
        <v>1</v>
      </c>
      <c r="BY811" s="109">
        <f t="shared" si="308"/>
        <v>133089.94387331905</v>
      </c>
      <c r="BZ811" s="109">
        <f t="shared" si="309"/>
        <v>133420.8084568193</v>
      </c>
      <c r="CB811" s="58">
        <f t="array" ref="CB811">SUM(IF(BY811:BZ811&gt;=BY811, 1))</f>
        <v>2</v>
      </c>
      <c r="CC811" s="58">
        <f t="array" ref="CC811">SUM(IF(BY811:BZ811&gt;=BZ811, 1))</f>
        <v>1</v>
      </c>
      <c r="CE811" s="109">
        <f t="shared" si="310"/>
        <v>89567.619227325209</v>
      </c>
      <c r="CF811" s="109">
        <f t="shared" si="311"/>
        <v>95442.948446710885</v>
      </c>
      <c r="CH811" s="58">
        <f t="array" ref="CH811">SUM(IF(CE811:CF811&gt;=CE811, 1))</f>
        <v>2</v>
      </c>
      <c r="CI811" s="58">
        <f t="array" ref="CI811">SUM(IF(CE811:CF811&gt;=CF811, 1))</f>
        <v>1</v>
      </c>
      <c r="CK811" s="109">
        <f t="shared" si="312"/>
        <v>50702.216734505862</v>
      </c>
      <c r="CL811" s="109">
        <f t="shared" si="313"/>
        <v>51814.022221446852</v>
      </c>
      <c r="CN811" s="58">
        <f t="array" ref="CN811">SUM(IF(CK811:CL811&gt;=CK811, 1))</f>
        <v>2</v>
      </c>
      <c r="CO811" s="58">
        <f t="array" ref="CO811">SUM(IF(CK811:CL811&gt;=CL811, 1))</f>
        <v>1</v>
      </c>
      <c r="CQ811" s="109" cm="1">
        <f t="array" ref="CQ811">AF811*WTP-AC811</f>
        <v>35106.156166770525</v>
      </c>
      <c r="CR811" s="109">
        <f t="shared" si="314"/>
        <v>36582.941634059389</v>
      </c>
      <c r="CT811" s="58">
        <f t="array" ref="CT811">SUM(IF(CQ811:CR811&gt;=CQ811, 1))</f>
        <v>2</v>
      </c>
      <c r="CU811" s="58">
        <f t="array" ref="CU811">SUM(IF(CQ811:CR811&gt;=CR811, 1))</f>
        <v>1</v>
      </c>
      <c r="CW811" s="109">
        <f t="shared" si="315"/>
        <v>-39942197.392007805</v>
      </c>
      <c r="CX811" s="109">
        <f t="shared" si="316"/>
        <v>0</v>
      </c>
      <c r="CZ811" s="58">
        <f t="array" ref="CZ811">SUM(IF(CW811:CX811&gt;=CW811, 1))</f>
        <v>2</v>
      </c>
      <c r="DA811" s="58">
        <f t="array" ref="DA811">SUM(IF(CW811:CX811&gt;=CX811, 1))</f>
        <v>1</v>
      </c>
      <c r="DC811" s="109">
        <f t="shared" si="317"/>
        <v>-2271199.6593062081</v>
      </c>
      <c r="DD811" s="109">
        <f t="shared" si="318"/>
        <v>0</v>
      </c>
      <c r="DF811" s="58">
        <f t="array" ref="DF811">SUM(IF(DC811:DD811&gt;=DC811, 1))</f>
        <v>2</v>
      </c>
      <c r="DG811" s="58">
        <f t="array" ref="DG811">SUM(IF(DC811:DD811&gt;=DD811, 1))</f>
        <v>1</v>
      </c>
      <c r="DI811" s="109">
        <f t="shared" si="319"/>
        <v>-137526286.37309533</v>
      </c>
      <c r="DJ811" s="109">
        <f t="shared" si="320"/>
        <v>0</v>
      </c>
      <c r="DL811" s="58">
        <f t="array" ref="DL811">SUM(IF(DI811:DJ811&gt;=DI811, 1))</f>
        <v>2</v>
      </c>
      <c r="DM811" s="58">
        <f t="array" ref="DM811">SUM(IF(DI811:DJ811&gt;=DJ811, 1))</f>
        <v>1</v>
      </c>
      <c r="DO811" s="109">
        <f t="shared" si="321"/>
        <v>-9462152.1635205913</v>
      </c>
      <c r="DP811" s="109">
        <f t="shared" si="322"/>
        <v>0</v>
      </c>
      <c r="DR811" s="58">
        <f t="array" ref="DR811">SUM(IF(DO811:DP811&gt;=DO811, 1))</f>
        <v>2</v>
      </c>
      <c r="DS811" s="58">
        <f t="array" ref="DS811">SUM(IF(DO811:DP811&gt;=DP811, 1))</f>
        <v>1</v>
      </c>
      <c r="DU811" s="109">
        <f t="shared" si="323"/>
        <v>-23545125.697765183</v>
      </c>
      <c r="DV811" s="109">
        <f t="shared" si="324"/>
        <v>0</v>
      </c>
      <c r="DX811" s="58">
        <f t="array" ref="DX811">SUM(IF(DU811:DV811&gt;=DU811, 1))</f>
        <v>2</v>
      </c>
      <c r="DY811" s="58">
        <f t="array" ref="DY811">SUM(IF(DU811:DV811&gt;=DV811, 1))</f>
        <v>1</v>
      </c>
      <c r="EA811" s="109">
        <f t="shared" si="325"/>
        <v>-212746961.28569514</v>
      </c>
      <c r="EB811" s="109">
        <f t="shared" si="326"/>
        <v>0</v>
      </c>
      <c r="ED811" s="58">
        <f t="array" ref="ED811">SUM(IF(EA811:EB811&gt;=EA811, 1))</f>
        <v>2</v>
      </c>
      <c r="EE811" s="58">
        <f t="array" ref="EE811">SUM(IF(EA811:EB811&gt;=EB811, 1))</f>
        <v>1</v>
      </c>
    </row>
    <row r="812" spans="4:135" ht="12" customHeight="1" x14ac:dyDescent="0.25">
      <c r="D812" s="11">
        <v>796</v>
      </c>
      <c r="E812" s="72">
        <v>279.82647028645431</v>
      </c>
      <c r="F812" s="72">
        <v>270.1276381264716</v>
      </c>
      <c r="G812" s="73"/>
      <c r="H812" s="74">
        <v>5.7835854017456052</v>
      </c>
      <c r="I812" s="74">
        <v>5.7939524650399479</v>
      </c>
      <c r="J812" s="73"/>
      <c r="K812" s="72">
        <v>301.09870764443468</v>
      </c>
      <c r="L812" s="72">
        <v>291.10173288130466</v>
      </c>
      <c r="M812" s="73"/>
      <c r="N812" s="74">
        <v>6.6836624442023629</v>
      </c>
      <c r="O812" s="74">
        <v>6.6914992279312884</v>
      </c>
      <c r="P812" s="73"/>
      <c r="Q812" s="72">
        <v>3281.7353274580419</v>
      </c>
      <c r="R812" s="72">
        <v>1625.140440921276</v>
      </c>
      <c r="S812" s="73"/>
      <c r="T812" s="74">
        <v>4.7568741167274764</v>
      </c>
      <c r="U812" s="74">
        <v>4.8700542814291472</v>
      </c>
      <c r="V812" s="73"/>
      <c r="W812" s="72">
        <v>14072.12643657138</v>
      </c>
      <c r="X812" s="72">
        <v>14026.907293464275</v>
      </c>
      <c r="Y812" s="73"/>
      <c r="Z812" s="74">
        <v>2.7932245696028772</v>
      </c>
      <c r="AA812" s="74">
        <v>2.8307747314455245</v>
      </c>
      <c r="AB812" s="73"/>
      <c r="AC812" s="72">
        <v>49228.169337961481</v>
      </c>
      <c r="AD812" s="72">
        <v>49068.422903480874</v>
      </c>
      <c r="AE812" s="73"/>
      <c r="AF812" s="74">
        <v>4.4977277549512795</v>
      </c>
      <c r="AG812" s="74">
        <v>4.5541732684865162</v>
      </c>
      <c r="AH812" s="73"/>
      <c r="AI812" s="72">
        <v>1040324.1317676891</v>
      </c>
      <c r="AJ812" s="72">
        <v>0</v>
      </c>
      <c r="AK812" s="73"/>
      <c r="AL812" s="74">
        <v>-1112.0004906536026</v>
      </c>
      <c r="AM812" s="74">
        <v>0</v>
      </c>
      <c r="AN812" s="73"/>
      <c r="AO812" s="72">
        <v>68208.662441014952</v>
      </c>
      <c r="AP812" s="72">
        <v>0</v>
      </c>
      <c r="AQ812" s="73"/>
      <c r="AR812" s="74">
        <v>-53.46982948891182</v>
      </c>
      <c r="AS812" s="74">
        <v>0</v>
      </c>
      <c r="AT812" s="73"/>
      <c r="AU812" s="72">
        <v>37880741.510614395</v>
      </c>
      <c r="AV812" s="72">
        <v>0</v>
      </c>
      <c r="AW812" s="73"/>
      <c r="AX812" s="74">
        <v>-2588.0488935685266</v>
      </c>
      <c r="AY812" s="74">
        <v>0</v>
      </c>
      <c r="AZ812" s="73"/>
      <c r="BA812" s="72">
        <v>408410.56362646603</v>
      </c>
      <c r="BB812" s="72">
        <v>0</v>
      </c>
      <c r="BC812" s="73"/>
      <c r="BD812" s="74">
        <v>-339.14580659117428</v>
      </c>
      <c r="BE812" s="74">
        <v>0</v>
      </c>
      <c r="BF812" s="73"/>
      <c r="BG812" s="72">
        <v>2603157.9866382214</v>
      </c>
      <c r="BH812" s="72">
        <v>0</v>
      </c>
      <c r="BI812" s="73"/>
      <c r="BJ812" s="74">
        <v>-919.81138638174286</v>
      </c>
      <c r="BK812" s="74">
        <v>0</v>
      </c>
      <c r="BL812" s="73"/>
      <c r="BM812" s="72">
        <v>42000842.855087787</v>
      </c>
      <c r="BN812" s="72">
        <v>0</v>
      </c>
      <c r="BO812" s="73"/>
      <c r="BP812" s="74">
        <v>-5012.476406683958</v>
      </c>
      <c r="BQ812" s="74">
        <v>0</v>
      </c>
      <c r="BS812" s="109">
        <f t="shared" si="306"/>
        <v>115391.88156462566</v>
      </c>
      <c r="BT812" s="109">
        <f t="shared" si="307"/>
        <v>115608.92166267248</v>
      </c>
      <c r="BV812" s="58">
        <f t="array" ref="BV812">SUM(IF(BS812:BT812&gt;=BS812, 1))</f>
        <v>2</v>
      </c>
      <c r="BW812" s="58">
        <f t="array" ref="BW812">SUM(IF(BS812:BT812&gt;=BT812, 1))</f>
        <v>1</v>
      </c>
      <c r="BY812" s="109">
        <f t="shared" si="308"/>
        <v>133372.15017640282</v>
      </c>
      <c r="BZ812" s="109">
        <f t="shared" si="309"/>
        <v>133538.88282574445</v>
      </c>
      <c r="CB812" s="58">
        <f t="array" ref="CB812">SUM(IF(BY812:BZ812&gt;=BY812, 1))</f>
        <v>2</v>
      </c>
      <c r="CC812" s="58">
        <f t="array" ref="CC812">SUM(IF(BY812:BZ812&gt;=BZ812, 1))</f>
        <v>1</v>
      </c>
      <c r="CE812" s="109">
        <f t="shared" si="310"/>
        <v>91855.747007091486</v>
      </c>
      <c r="CF812" s="109">
        <f t="shared" si="311"/>
        <v>95775.94518766168</v>
      </c>
      <c r="CH812" s="58">
        <f t="array" ref="CH812">SUM(IF(CE812:CF812&gt;=CE812, 1))</f>
        <v>2</v>
      </c>
      <c r="CI812" s="58">
        <f t="array" ref="CI812">SUM(IF(CE812:CF812&gt;=CF812, 1))</f>
        <v>1</v>
      </c>
      <c r="CK812" s="109">
        <f t="shared" si="312"/>
        <v>41792.364955486162</v>
      </c>
      <c r="CL812" s="109">
        <f t="shared" si="313"/>
        <v>42588.587335446216</v>
      </c>
      <c r="CN812" s="58">
        <f t="array" ref="CN812">SUM(IF(CK812:CL812&gt;=CK812, 1))</f>
        <v>2</v>
      </c>
      <c r="CO812" s="58">
        <f t="array" ref="CO812">SUM(IF(CK812:CL812&gt;=CL812, 1))</f>
        <v>1</v>
      </c>
      <c r="CQ812" s="109" cm="1">
        <f t="array" ref="CQ812">AF812*WTP-AC812</f>
        <v>40726.385761064106</v>
      </c>
      <c r="CR812" s="109">
        <f t="shared" si="314"/>
        <v>42015.042466249455</v>
      </c>
      <c r="CT812" s="58">
        <f t="array" ref="CT812">SUM(IF(CQ812:CR812&gt;=CQ812, 1))</f>
        <v>2</v>
      </c>
      <c r="CU812" s="58">
        <f t="array" ref="CU812">SUM(IF(CQ812:CR812&gt;=CR812, 1))</f>
        <v>1</v>
      </c>
      <c r="CW812" s="109">
        <f t="shared" si="315"/>
        <v>-23280333.944839742</v>
      </c>
      <c r="CX812" s="109">
        <f t="shared" si="316"/>
        <v>0</v>
      </c>
      <c r="CZ812" s="58">
        <f t="array" ref="CZ812">SUM(IF(CW812:CX812&gt;=CW812, 1))</f>
        <v>2</v>
      </c>
      <c r="DA812" s="58">
        <f t="array" ref="DA812">SUM(IF(CW812:CX812&gt;=CX812, 1))</f>
        <v>1</v>
      </c>
      <c r="DC812" s="109">
        <f t="shared" si="317"/>
        <v>-1137605.2522192514</v>
      </c>
      <c r="DD812" s="109">
        <f t="shared" si="318"/>
        <v>0</v>
      </c>
      <c r="DF812" s="58">
        <f t="array" ref="DF812">SUM(IF(DC812:DD812&gt;=DC812, 1))</f>
        <v>2</v>
      </c>
      <c r="DG812" s="58">
        <f t="array" ref="DG812">SUM(IF(DC812:DD812&gt;=DD812, 1))</f>
        <v>1</v>
      </c>
      <c r="DI812" s="109">
        <f t="shared" si="319"/>
        <v>-89641719.381984919</v>
      </c>
      <c r="DJ812" s="109">
        <f t="shared" si="320"/>
        <v>0</v>
      </c>
      <c r="DL812" s="58">
        <f t="array" ref="DL812">SUM(IF(DI812:DJ812&gt;=DI812, 1))</f>
        <v>2</v>
      </c>
      <c r="DM812" s="58">
        <f t="array" ref="DM812">SUM(IF(DI812:DJ812&gt;=DJ812, 1))</f>
        <v>1</v>
      </c>
      <c r="DO812" s="109">
        <f t="shared" si="321"/>
        <v>-7191326.695449952</v>
      </c>
      <c r="DP812" s="109">
        <f t="shared" si="322"/>
        <v>0</v>
      </c>
      <c r="DR812" s="58">
        <f t="array" ref="DR812">SUM(IF(DO812:DP812&gt;=DO812, 1))</f>
        <v>2</v>
      </c>
      <c r="DS812" s="58">
        <f t="array" ref="DS812">SUM(IF(DO812:DP812&gt;=DP812, 1))</f>
        <v>1</v>
      </c>
      <c r="DU812" s="109">
        <f t="shared" si="323"/>
        <v>-20999385.71427308</v>
      </c>
      <c r="DV812" s="109">
        <f t="shared" si="324"/>
        <v>0</v>
      </c>
      <c r="DX812" s="58">
        <f t="array" ref="DX812">SUM(IF(DU812:DV812&gt;=DU812, 1))</f>
        <v>2</v>
      </c>
      <c r="DY812" s="58">
        <f t="array" ref="DY812">SUM(IF(DU812:DV812&gt;=DV812, 1))</f>
        <v>1</v>
      </c>
      <c r="EA812" s="109">
        <f t="shared" si="325"/>
        <v>-142250370.98876697</v>
      </c>
      <c r="EB812" s="109">
        <f t="shared" si="326"/>
        <v>0</v>
      </c>
      <c r="ED812" s="58">
        <f t="array" ref="ED812">SUM(IF(EA812:EB812&gt;=EA812, 1))</f>
        <v>2</v>
      </c>
      <c r="EE812" s="58">
        <f t="array" ref="EE812">SUM(IF(EA812:EB812&gt;=EB812, 1))</f>
        <v>1</v>
      </c>
    </row>
    <row r="813" spans="4:135" ht="12" customHeight="1" x14ac:dyDescent="0.25">
      <c r="D813" s="11">
        <v>797</v>
      </c>
      <c r="E813" s="72">
        <v>314.15661410077269</v>
      </c>
      <c r="F813" s="72">
        <v>290.4268877963803</v>
      </c>
      <c r="G813" s="73"/>
      <c r="H813" s="74">
        <v>5.8398555116776905</v>
      </c>
      <c r="I813" s="74">
        <v>5.8581572225316254</v>
      </c>
      <c r="J813" s="73"/>
      <c r="K813" s="72">
        <v>337.54843057606155</v>
      </c>
      <c r="L813" s="72">
        <v>313.2107762216063</v>
      </c>
      <c r="M813" s="73"/>
      <c r="N813" s="74">
        <v>6.7133980081999143</v>
      </c>
      <c r="O813" s="74">
        <v>6.7291399443248734</v>
      </c>
      <c r="P813" s="73"/>
      <c r="Q813" s="72">
        <v>1946.7734670464538</v>
      </c>
      <c r="R813" s="72">
        <v>1207.1608075586648</v>
      </c>
      <c r="S813" s="73"/>
      <c r="T813" s="74">
        <v>4.7639144300197689</v>
      </c>
      <c r="U813" s="74">
        <v>4.865169721557872</v>
      </c>
      <c r="V813" s="73"/>
      <c r="W813" s="72">
        <v>11375.681461224665</v>
      </c>
      <c r="X813" s="72">
        <v>11420.326606840454</v>
      </c>
      <c r="Y813" s="73"/>
      <c r="Z813" s="74">
        <v>2.8072802300263002</v>
      </c>
      <c r="AA813" s="74">
        <v>2.8548443878813123</v>
      </c>
      <c r="AB813" s="73"/>
      <c r="AC813" s="72">
        <v>50717.811883174836</v>
      </c>
      <c r="AD813" s="72">
        <v>50147.603289183302</v>
      </c>
      <c r="AE813" s="73"/>
      <c r="AF813" s="74">
        <v>4.695001438490638</v>
      </c>
      <c r="AG813" s="74">
        <v>4.8695405280822746</v>
      </c>
      <c r="AH813" s="73"/>
      <c r="AI813" s="72">
        <v>2546192.4028907353</v>
      </c>
      <c r="AJ813" s="72">
        <v>0</v>
      </c>
      <c r="AK813" s="73"/>
      <c r="AL813" s="74">
        <v>-1963.7679987723436</v>
      </c>
      <c r="AM813" s="74">
        <v>0</v>
      </c>
      <c r="AN813" s="73"/>
      <c r="AO813" s="72">
        <v>164485.96768377814</v>
      </c>
      <c r="AP813" s="72">
        <v>0</v>
      </c>
      <c r="AQ813" s="73"/>
      <c r="AR813" s="74">
        <v>-106.39183049520635</v>
      </c>
      <c r="AS813" s="74">
        <v>0</v>
      </c>
      <c r="AT813" s="73"/>
      <c r="AU813" s="72">
        <v>17437444.343080807</v>
      </c>
      <c r="AV813" s="72">
        <v>0</v>
      </c>
      <c r="AW813" s="73"/>
      <c r="AX813" s="74">
        <v>-2387.2407914987079</v>
      </c>
      <c r="AY813" s="74">
        <v>0</v>
      </c>
      <c r="AZ813" s="73"/>
      <c r="BA813" s="72">
        <v>-412378.60005209467</v>
      </c>
      <c r="BB813" s="72">
        <v>0</v>
      </c>
      <c r="BC813" s="73"/>
      <c r="BD813" s="74">
        <v>-439.34095316222397</v>
      </c>
      <c r="BE813" s="74">
        <v>0</v>
      </c>
      <c r="BF813" s="73"/>
      <c r="BG813" s="72">
        <v>9028472.77134954</v>
      </c>
      <c r="BH813" s="72">
        <v>0</v>
      </c>
      <c r="BI813" s="73"/>
      <c r="BJ813" s="74">
        <v>-2763.5876318230744</v>
      </c>
      <c r="BK813" s="74">
        <v>0</v>
      </c>
      <c r="BL813" s="73"/>
      <c r="BM813" s="72">
        <v>28764216.884952769</v>
      </c>
      <c r="BN813" s="72">
        <v>0</v>
      </c>
      <c r="BO813" s="73"/>
      <c r="BP813" s="74">
        <v>-7660.3292057515555</v>
      </c>
      <c r="BQ813" s="74">
        <v>0</v>
      </c>
      <c r="BS813" s="109">
        <f t="shared" si="306"/>
        <v>116482.95361945304</v>
      </c>
      <c r="BT813" s="109">
        <f t="shared" si="307"/>
        <v>116872.71756283613</v>
      </c>
      <c r="BV813" s="58">
        <f t="array" ref="BV813">SUM(IF(BS813:BT813&gt;=BS813, 1))</f>
        <v>2</v>
      </c>
      <c r="BW813" s="58">
        <f t="array" ref="BW813">SUM(IF(BS813:BT813&gt;=BT813, 1))</f>
        <v>1</v>
      </c>
      <c r="BY813" s="109">
        <f t="shared" si="308"/>
        <v>133930.41173342222</v>
      </c>
      <c r="BZ813" s="109">
        <f t="shared" si="309"/>
        <v>134269.58811027586</v>
      </c>
      <c r="CB813" s="58">
        <f t="array" ref="CB813">SUM(IF(BY813:BZ813&gt;=BY813, 1))</f>
        <v>2</v>
      </c>
      <c r="CC813" s="58">
        <f t="array" ref="CC813">SUM(IF(BY813:BZ813&gt;=BZ813, 1))</f>
        <v>1</v>
      </c>
      <c r="CE813" s="109">
        <f t="shared" si="310"/>
        <v>93331.515133348919</v>
      </c>
      <c r="CF813" s="109">
        <f t="shared" si="311"/>
        <v>96096.233623598775</v>
      </c>
      <c r="CH813" s="58">
        <f t="array" ref="CH813">SUM(IF(CE813:CF813&gt;=CE813, 1))</f>
        <v>2</v>
      </c>
      <c r="CI813" s="58">
        <f t="array" ref="CI813">SUM(IF(CE813:CF813&gt;=CF813, 1))</f>
        <v>1</v>
      </c>
      <c r="CK813" s="109">
        <f t="shared" si="312"/>
        <v>44769.92313930134</v>
      </c>
      <c r="CL813" s="109">
        <f t="shared" si="313"/>
        <v>45676.56115078579</v>
      </c>
      <c r="CN813" s="58">
        <f t="array" ref="CN813">SUM(IF(CK813:CL813&gt;=CK813, 1))</f>
        <v>2</v>
      </c>
      <c r="CO813" s="58">
        <f t="array" ref="CO813">SUM(IF(CK813:CL813&gt;=CL813, 1))</f>
        <v>1</v>
      </c>
      <c r="CQ813" s="109" cm="1">
        <f t="array" ref="CQ813">AF813*WTP-AC813</f>
        <v>43182.216886637929</v>
      </c>
      <c r="CR813" s="109">
        <f t="shared" si="314"/>
        <v>47243.207272462183</v>
      </c>
      <c r="CT813" s="58">
        <f t="array" ref="CT813">SUM(IF(CQ813:CR813&gt;=CQ813, 1))</f>
        <v>2</v>
      </c>
      <c r="CU813" s="58">
        <f t="array" ref="CU813">SUM(IF(CQ813:CR813&gt;=CR813, 1))</f>
        <v>1</v>
      </c>
      <c r="CW813" s="109">
        <f t="shared" si="315"/>
        <v>-41821552.378337607</v>
      </c>
      <c r="CX813" s="109">
        <f t="shared" si="316"/>
        <v>0</v>
      </c>
      <c r="CZ813" s="58">
        <f t="array" ref="CZ813">SUM(IF(CW813:CX813&gt;=CW813, 1))</f>
        <v>2</v>
      </c>
      <c r="DA813" s="58">
        <f t="array" ref="DA813">SUM(IF(CW813:CX813&gt;=CX813, 1))</f>
        <v>1</v>
      </c>
      <c r="DC813" s="109">
        <f t="shared" si="317"/>
        <v>-2292322.5775879053</v>
      </c>
      <c r="DD813" s="109">
        <f t="shared" si="318"/>
        <v>0</v>
      </c>
      <c r="DF813" s="58">
        <f t="array" ref="DF813">SUM(IF(DC813:DD813&gt;=DC813, 1))</f>
        <v>2</v>
      </c>
      <c r="DG813" s="58">
        <f t="array" ref="DG813">SUM(IF(DC813:DD813&gt;=DD813, 1))</f>
        <v>1</v>
      </c>
      <c r="DI813" s="109">
        <f t="shared" si="319"/>
        <v>-65182260.173054963</v>
      </c>
      <c r="DJ813" s="109">
        <f t="shared" si="320"/>
        <v>0</v>
      </c>
      <c r="DL813" s="58">
        <f t="array" ref="DL813">SUM(IF(DI813:DJ813&gt;=DI813, 1))</f>
        <v>2</v>
      </c>
      <c r="DM813" s="58">
        <f t="array" ref="DM813">SUM(IF(DI813:DJ813&gt;=DJ813, 1))</f>
        <v>1</v>
      </c>
      <c r="DO813" s="109">
        <f t="shared" si="321"/>
        <v>-8374440.4631923838</v>
      </c>
      <c r="DP813" s="109">
        <f t="shared" si="322"/>
        <v>0</v>
      </c>
      <c r="DR813" s="58">
        <f t="array" ref="DR813">SUM(IF(DO813:DP813&gt;=DO813, 1))</f>
        <v>2</v>
      </c>
      <c r="DS813" s="58">
        <f t="array" ref="DS813">SUM(IF(DO813:DP813&gt;=DP813, 1))</f>
        <v>1</v>
      </c>
      <c r="DU813" s="109">
        <f t="shared" si="323"/>
        <v>-64300225.407811031</v>
      </c>
      <c r="DV813" s="109">
        <f t="shared" si="324"/>
        <v>0</v>
      </c>
      <c r="DX813" s="58">
        <f t="array" ref="DX813">SUM(IF(DU813:DV813&gt;=DU813, 1))</f>
        <v>2</v>
      </c>
      <c r="DY813" s="58">
        <f t="array" ref="DY813">SUM(IF(DU813:DV813&gt;=DV813, 1))</f>
        <v>1</v>
      </c>
      <c r="EA813" s="109">
        <f t="shared" si="325"/>
        <v>-181970800.99998391</v>
      </c>
      <c r="EB813" s="109">
        <f t="shared" si="326"/>
        <v>0</v>
      </c>
      <c r="ED813" s="58">
        <f t="array" ref="ED813">SUM(IF(EA813:EB813&gt;=EA813, 1))</f>
        <v>2</v>
      </c>
      <c r="EE813" s="58">
        <f t="array" ref="EE813">SUM(IF(EA813:EB813&gt;=EB813, 1))</f>
        <v>1</v>
      </c>
    </row>
    <row r="814" spans="4:135" ht="12" customHeight="1" x14ac:dyDescent="0.25">
      <c r="D814" s="11">
        <v>798</v>
      </c>
      <c r="E814" s="72">
        <v>237.07171134297664</v>
      </c>
      <c r="F814" s="72">
        <v>207.06412218298368</v>
      </c>
      <c r="G814" s="73"/>
      <c r="H814" s="74">
        <v>5.7993193421975846</v>
      </c>
      <c r="I814" s="74">
        <v>5.8165698303913036</v>
      </c>
      <c r="J814" s="73"/>
      <c r="K814" s="72">
        <v>253.9689278942015</v>
      </c>
      <c r="L814" s="72">
        <v>223.22402654276587</v>
      </c>
      <c r="M814" s="73"/>
      <c r="N814" s="74">
        <v>6.6840472199711218</v>
      </c>
      <c r="O814" s="74">
        <v>6.698744834468549</v>
      </c>
      <c r="P814" s="73"/>
      <c r="Q814" s="72">
        <v>2132.106370429342</v>
      </c>
      <c r="R814" s="72">
        <v>1173.5338289890612</v>
      </c>
      <c r="S814" s="73"/>
      <c r="T814" s="74">
        <v>4.7402005368937434</v>
      </c>
      <c r="U814" s="74">
        <v>4.8262545847932801</v>
      </c>
      <c r="V814" s="73"/>
      <c r="W814" s="72">
        <v>13318.547140976352</v>
      </c>
      <c r="X814" s="72">
        <v>13331.891319452221</v>
      </c>
      <c r="Y814" s="73"/>
      <c r="Z814" s="74">
        <v>3.0193411007997986</v>
      </c>
      <c r="AA814" s="74">
        <v>3.0728833833883407</v>
      </c>
      <c r="AB814" s="73"/>
      <c r="AC814" s="72">
        <v>49123.110511408537</v>
      </c>
      <c r="AD814" s="72">
        <v>48949.701363092914</v>
      </c>
      <c r="AE814" s="73"/>
      <c r="AF814" s="74">
        <v>4.7531113186820395</v>
      </c>
      <c r="AG814" s="74">
        <v>4.8724604048246691</v>
      </c>
      <c r="AH814" s="73"/>
      <c r="AI814" s="72">
        <v>3243952.077398668</v>
      </c>
      <c r="AJ814" s="72">
        <v>0</v>
      </c>
      <c r="AK814" s="73"/>
      <c r="AL814" s="74">
        <v>-1864.8534780249256</v>
      </c>
      <c r="AM814" s="74">
        <v>0</v>
      </c>
      <c r="AN814" s="73"/>
      <c r="AO814" s="72">
        <v>216213.47493434764</v>
      </c>
      <c r="AP814" s="72">
        <v>0</v>
      </c>
      <c r="AQ814" s="73"/>
      <c r="AR814" s="74">
        <v>-103.36095300516475</v>
      </c>
      <c r="AS814" s="74">
        <v>0</v>
      </c>
      <c r="AT814" s="73"/>
      <c r="AU814" s="72">
        <v>22171667.808981691</v>
      </c>
      <c r="AV814" s="72">
        <v>0</v>
      </c>
      <c r="AW814" s="73"/>
      <c r="AX814" s="74">
        <v>-1990.4197973164989</v>
      </c>
      <c r="AY814" s="74">
        <v>0</v>
      </c>
      <c r="AZ814" s="73"/>
      <c r="BA814" s="72">
        <v>-119402.0468956929</v>
      </c>
      <c r="BB814" s="72">
        <v>0</v>
      </c>
      <c r="BC814" s="73"/>
      <c r="BD814" s="74">
        <v>-479.08967555406576</v>
      </c>
      <c r="BE814" s="74">
        <v>0</v>
      </c>
      <c r="BF814" s="73"/>
      <c r="BG814" s="72">
        <v>2789630.699925913</v>
      </c>
      <c r="BH814" s="72">
        <v>0</v>
      </c>
      <c r="BI814" s="73"/>
      <c r="BJ814" s="74">
        <v>-1919.9671871151627</v>
      </c>
      <c r="BK814" s="74">
        <v>0</v>
      </c>
      <c r="BL814" s="73"/>
      <c r="BM814" s="72">
        <v>28302062.014344927</v>
      </c>
      <c r="BN814" s="72">
        <v>0</v>
      </c>
      <c r="BO814" s="73"/>
      <c r="BP814" s="74">
        <v>-6357.6910910158185</v>
      </c>
      <c r="BQ814" s="74">
        <v>0</v>
      </c>
      <c r="BS814" s="109">
        <f t="shared" si="306"/>
        <v>115749.31513260872</v>
      </c>
      <c r="BT814" s="109">
        <f t="shared" si="307"/>
        <v>116124.33248564308</v>
      </c>
      <c r="BV814" s="58">
        <f t="array" ref="BV814">SUM(IF(BS814:BT814&gt;=BS814, 1))</f>
        <v>2</v>
      </c>
      <c r="BW814" s="58">
        <f t="array" ref="BW814">SUM(IF(BS814:BT814&gt;=BT814, 1))</f>
        <v>1</v>
      </c>
      <c r="BY814" s="109">
        <f t="shared" si="308"/>
        <v>133426.97547152825</v>
      </c>
      <c r="BZ814" s="109">
        <f t="shared" si="309"/>
        <v>133751.6726628282</v>
      </c>
      <c r="CB814" s="58">
        <f t="array" ref="CB814">SUM(IF(BY814:BZ814&gt;=BY814, 1))</f>
        <v>2</v>
      </c>
      <c r="CC814" s="58">
        <f t="array" ref="CC814">SUM(IF(BY814:BZ814&gt;=BZ814, 1))</f>
        <v>1</v>
      </c>
      <c r="CE814" s="109">
        <f t="shared" si="310"/>
        <v>92671.904367445517</v>
      </c>
      <c r="CF814" s="109">
        <f t="shared" si="311"/>
        <v>95351.557866876537</v>
      </c>
      <c r="CH814" s="58">
        <f t="array" ref="CH814">SUM(IF(CE814:CF814&gt;=CE814, 1))</f>
        <v>2</v>
      </c>
      <c r="CI814" s="58">
        <f t="array" ref="CI814">SUM(IF(CE814:CF814&gt;=CF814, 1))</f>
        <v>1</v>
      </c>
      <c r="CK814" s="109">
        <f t="shared" si="312"/>
        <v>47068.274875019619</v>
      </c>
      <c r="CL814" s="109">
        <f t="shared" si="313"/>
        <v>48125.776348314597</v>
      </c>
      <c r="CN814" s="58">
        <f t="array" ref="CN814">SUM(IF(CK814:CL814&gt;=CK814, 1))</f>
        <v>2</v>
      </c>
      <c r="CO814" s="58">
        <f t="array" ref="CO814">SUM(IF(CK814:CL814&gt;=CL814, 1))</f>
        <v>1</v>
      </c>
      <c r="CQ814" s="109" cm="1">
        <f t="array" ref="CQ814">AF814*WTP-AC814</f>
        <v>45939.115862232255</v>
      </c>
      <c r="CR814" s="109">
        <f t="shared" si="314"/>
        <v>48499.506733400471</v>
      </c>
      <c r="CT814" s="58">
        <f t="array" ref="CT814">SUM(IF(CQ814:CR814&gt;=CQ814, 1))</f>
        <v>2</v>
      </c>
      <c r="CU814" s="58">
        <f t="array" ref="CU814">SUM(IF(CQ814:CR814&gt;=CR814, 1))</f>
        <v>1</v>
      </c>
      <c r="CW814" s="109">
        <f t="shared" si="315"/>
        <v>-40541021.637897179</v>
      </c>
      <c r="CX814" s="109">
        <f t="shared" si="316"/>
        <v>0</v>
      </c>
      <c r="CZ814" s="58">
        <f t="array" ref="CZ814">SUM(IF(CW814:CX814&gt;=CW814, 1))</f>
        <v>2</v>
      </c>
      <c r="DA814" s="58">
        <f t="array" ref="DA814">SUM(IF(CW814:CX814&gt;=CX814, 1))</f>
        <v>1</v>
      </c>
      <c r="DC814" s="109">
        <f t="shared" si="317"/>
        <v>-2283432.5350376423</v>
      </c>
      <c r="DD814" s="109">
        <f t="shared" si="318"/>
        <v>0</v>
      </c>
      <c r="DF814" s="58">
        <f t="array" ref="DF814">SUM(IF(DC814:DD814&gt;=DC814, 1))</f>
        <v>2</v>
      </c>
      <c r="DG814" s="58">
        <f t="array" ref="DG814">SUM(IF(DC814:DD814&gt;=DD814, 1))</f>
        <v>1</v>
      </c>
      <c r="DI814" s="109">
        <f t="shared" si="319"/>
        <v>-61980063.755311668</v>
      </c>
      <c r="DJ814" s="109">
        <f t="shared" si="320"/>
        <v>0</v>
      </c>
      <c r="DL814" s="58">
        <f t="array" ref="DL814">SUM(IF(DI814:DJ814&gt;=DI814, 1))</f>
        <v>2</v>
      </c>
      <c r="DM814" s="58">
        <f t="array" ref="DM814">SUM(IF(DI814:DJ814&gt;=DJ814, 1))</f>
        <v>1</v>
      </c>
      <c r="DO814" s="109">
        <f t="shared" si="321"/>
        <v>-9462391.4641856235</v>
      </c>
      <c r="DP814" s="109">
        <f t="shared" si="322"/>
        <v>0</v>
      </c>
      <c r="DR814" s="58">
        <f t="array" ref="DR814">SUM(IF(DO814:DP814&gt;=DO814, 1))</f>
        <v>2</v>
      </c>
      <c r="DS814" s="58">
        <f t="array" ref="DS814">SUM(IF(DO814:DP814&gt;=DP814, 1))</f>
        <v>1</v>
      </c>
      <c r="DU814" s="109">
        <f t="shared" si="323"/>
        <v>-41188974.442229167</v>
      </c>
      <c r="DV814" s="109">
        <f t="shared" si="324"/>
        <v>0</v>
      </c>
      <c r="DX814" s="58">
        <f t="array" ref="DX814">SUM(IF(DU814:DV814&gt;=DU814, 1))</f>
        <v>2</v>
      </c>
      <c r="DY814" s="58">
        <f t="array" ref="DY814">SUM(IF(DU814:DV814&gt;=DV814, 1))</f>
        <v>1</v>
      </c>
      <c r="EA814" s="109">
        <f t="shared" si="325"/>
        <v>-155455883.8346613</v>
      </c>
      <c r="EB814" s="109">
        <f t="shared" si="326"/>
        <v>0</v>
      </c>
      <c r="ED814" s="58">
        <f t="array" ref="ED814">SUM(IF(EA814:EB814&gt;=EA814, 1))</f>
        <v>2</v>
      </c>
      <c r="EE814" s="58">
        <f t="array" ref="EE814">SUM(IF(EA814:EB814&gt;=EB814, 1))</f>
        <v>1</v>
      </c>
    </row>
    <row r="815" spans="4:135" ht="12" customHeight="1" x14ac:dyDescent="0.25">
      <c r="D815" s="11">
        <v>799</v>
      </c>
      <c r="E815" s="72">
        <v>208.91784949512501</v>
      </c>
      <c r="F815" s="72">
        <v>191.94006692474784</v>
      </c>
      <c r="G815" s="73"/>
      <c r="H815" s="74">
        <v>5.8471161653217969</v>
      </c>
      <c r="I815" s="74">
        <v>5.8663565019183883</v>
      </c>
      <c r="J815" s="73"/>
      <c r="K815" s="72">
        <v>224.374671366326</v>
      </c>
      <c r="L815" s="72">
        <v>206.98011520507765</v>
      </c>
      <c r="M815" s="73"/>
      <c r="N815" s="74">
        <v>6.7240011763139265</v>
      </c>
      <c r="O815" s="74">
        <v>6.74075633411758</v>
      </c>
      <c r="P815" s="73"/>
      <c r="Q815" s="72">
        <v>1762.579489621708</v>
      </c>
      <c r="R815" s="72">
        <v>1175.750187380942</v>
      </c>
      <c r="S815" s="73"/>
      <c r="T815" s="74">
        <v>4.8450062007276236</v>
      </c>
      <c r="U815" s="74">
        <v>4.9054378774951433</v>
      </c>
      <c r="V815" s="73"/>
      <c r="W815" s="72">
        <v>13967.253903993989</v>
      </c>
      <c r="X815" s="72">
        <v>13997.92620488783</v>
      </c>
      <c r="Y815" s="73"/>
      <c r="Z815" s="74">
        <v>3.0154927648914298</v>
      </c>
      <c r="AA815" s="74">
        <v>3.089614024680277</v>
      </c>
      <c r="AB815" s="73"/>
      <c r="AC815" s="72">
        <v>51606.124443326342</v>
      </c>
      <c r="AD815" s="72">
        <v>51363.142013054807</v>
      </c>
      <c r="AE815" s="73"/>
      <c r="AF815" s="74">
        <v>4.0971905254456003</v>
      </c>
      <c r="AG815" s="74">
        <v>4.2035995138167559</v>
      </c>
      <c r="AH815" s="73"/>
      <c r="AI815" s="72">
        <v>1836333.8988379387</v>
      </c>
      <c r="AJ815" s="72">
        <v>0</v>
      </c>
      <c r="AK815" s="73"/>
      <c r="AL815" s="74">
        <v>-2081.0539993025759</v>
      </c>
      <c r="AM815" s="74">
        <v>0</v>
      </c>
      <c r="AN815" s="73"/>
      <c r="AO815" s="72">
        <v>121672.85466337179</v>
      </c>
      <c r="AP815" s="72">
        <v>0</v>
      </c>
      <c r="AQ815" s="73"/>
      <c r="AR815" s="74">
        <v>-117.20033908352922</v>
      </c>
      <c r="AS815" s="74">
        <v>0</v>
      </c>
      <c r="AT815" s="73"/>
      <c r="AU815" s="72">
        <v>13302052.780887319</v>
      </c>
      <c r="AV815" s="72">
        <v>0</v>
      </c>
      <c r="AW815" s="73"/>
      <c r="AX815" s="74">
        <v>-1369.8452870870049</v>
      </c>
      <c r="AY815" s="74">
        <v>0</v>
      </c>
      <c r="AZ815" s="73"/>
      <c r="BA815" s="72">
        <v>-273761.09785540734</v>
      </c>
      <c r="BB815" s="72">
        <v>0</v>
      </c>
      <c r="BC815" s="73"/>
      <c r="BD815" s="74">
        <v>-661.55837230637735</v>
      </c>
      <c r="BE815" s="74">
        <v>0</v>
      </c>
      <c r="BF815" s="73"/>
      <c r="BG815" s="72">
        <v>3783204.2137383614</v>
      </c>
      <c r="BH815" s="72">
        <v>0</v>
      </c>
      <c r="BI815" s="73"/>
      <c r="BJ815" s="74">
        <v>-1656.7738364272677</v>
      </c>
      <c r="BK815" s="74">
        <v>0</v>
      </c>
      <c r="BL815" s="73"/>
      <c r="BM815" s="72">
        <v>18769502.650271583</v>
      </c>
      <c r="BN815" s="72">
        <v>0</v>
      </c>
      <c r="BO815" s="73"/>
      <c r="BP815" s="74">
        <v>-5886.4318342067545</v>
      </c>
      <c r="BQ815" s="74">
        <v>0</v>
      </c>
      <c r="BS815" s="109">
        <f t="shared" si="306"/>
        <v>116733.40545694082</v>
      </c>
      <c r="BT815" s="109">
        <f t="shared" si="307"/>
        <v>117135.18997144302</v>
      </c>
      <c r="BV815" s="58">
        <f t="array" ref="BV815">SUM(IF(BS815:BT815&gt;=BS815, 1))</f>
        <v>2</v>
      </c>
      <c r="BW815" s="58">
        <f t="array" ref="BW815">SUM(IF(BS815:BT815&gt;=BT815, 1))</f>
        <v>1</v>
      </c>
      <c r="BY815" s="109">
        <f t="shared" si="308"/>
        <v>134255.6488549122</v>
      </c>
      <c r="BZ815" s="109">
        <f t="shared" si="309"/>
        <v>134608.14656714653</v>
      </c>
      <c r="CB815" s="58">
        <f t="array" ref="CB815">SUM(IF(BY815:BZ815&gt;=BY815, 1))</f>
        <v>2</v>
      </c>
      <c r="CC815" s="58">
        <f t="array" ref="CC815">SUM(IF(BY815:BZ815&gt;=BZ815, 1))</f>
        <v>1</v>
      </c>
      <c r="CE815" s="109">
        <f t="shared" si="310"/>
        <v>95137.544524930752</v>
      </c>
      <c r="CF815" s="109">
        <f t="shared" si="311"/>
        <v>96933.007362521923</v>
      </c>
      <c r="CH815" s="58">
        <f t="array" ref="CH815">SUM(IF(CE815:CF815&gt;=CE815, 1))</f>
        <v>2</v>
      </c>
      <c r="CI815" s="58">
        <f t="array" ref="CI815">SUM(IF(CE815:CF815&gt;=CF815, 1))</f>
        <v>1</v>
      </c>
      <c r="CK815" s="109">
        <f t="shared" si="312"/>
        <v>46342.601393834608</v>
      </c>
      <c r="CL815" s="109">
        <f t="shared" si="313"/>
        <v>47794.35428871771</v>
      </c>
      <c r="CN815" s="58">
        <f t="array" ref="CN815">SUM(IF(CK815:CL815&gt;=CK815, 1))</f>
        <v>2</v>
      </c>
      <c r="CO815" s="58">
        <f t="array" ref="CO815">SUM(IF(CK815:CL815&gt;=CL815, 1))</f>
        <v>1</v>
      </c>
      <c r="CQ815" s="109" cm="1">
        <f t="array" ref="CQ815">AF815*WTP-AC815</f>
        <v>30337.686065585665</v>
      </c>
      <c r="CR815" s="109">
        <f t="shared" si="314"/>
        <v>32708.848263280306</v>
      </c>
      <c r="CT815" s="58">
        <f t="array" ref="CT815">SUM(IF(CQ815:CR815&gt;=CQ815, 1))</f>
        <v>2</v>
      </c>
      <c r="CU815" s="58">
        <f t="array" ref="CU815">SUM(IF(CQ815:CR815&gt;=CR815, 1))</f>
        <v>1</v>
      </c>
      <c r="CW815" s="109">
        <f t="shared" si="315"/>
        <v>-43457413.884889454</v>
      </c>
      <c r="CX815" s="109">
        <f t="shared" si="316"/>
        <v>0</v>
      </c>
      <c r="CZ815" s="58">
        <f t="array" ref="CZ815">SUM(IF(CW815:CX815&gt;=CW815, 1))</f>
        <v>2</v>
      </c>
      <c r="DA815" s="58">
        <f t="array" ref="DA815">SUM(IF(CW815:CX815&gt;=CX815, 1))</f>
        <v>1</v>
      </c>
      <c r="DC815" s="109">
        <f t="shared" si="317"/>
        <v>-2465679.6363339559</v>
      </c>
      <c r="DD815" s="109">
        <f t="shared" si="318"/>
        <v>0</v>
      </c>
      <c r="DF815" s="58">
        <f t="array" ref="DF815">SUM(IF(DC815:DD815&gt;=DC815, 1))</f>
        <v>2</v>
      </c>
      <c r="DG815" s="58">
        <f t="array" ref="DG815">SUM(IF(DC815:DD815&gt;=DD815, 1))</f>
        <v>1</v>
      </c>
      <c r="DI815" s="109">
        <f t="shared" si="319"/>
        <v>-40698958.522627413</v>
      </c>
      <c r="DJ815" s="109">
        <f t="shared" si="320"/>
        <v>0</v>
      </c>
      <c r="DL815" s="58">
        <f t="array" ref="DL815">SUM(IF(DI815:DJ815&gt;=DI815, 1))</f>
        <v>2</v>
      </c>
      <c r="DM815" s="58">
        <f t="array" ref="DM815">SUM(IF(DI815:DJ815&gt;=DJ815, 1))</f>
        <v>1</v>
      </c>
      <c r="DO815" s="109">
        <f t="shared" si="321"/>
        <v>-12957406.348272139</v>
      </c>
      <c r="DP815" s="109">
        <f t="shared" si="322"/>
        <v>0</v>
      </c>
      <c r="DR815" s="58">
        <f t="array" ref="DR815">SUM(IF(DO815:DP815&gt;=DO815, 1))</f>
        <v>2</v>
      </c>
      <c r="DS815" s="58">
        <f t="array" ref="DS815">SUM(IF(DO815:DP815&gt;=DP815, 1))</f>
        <v>1</v>
      </c>
      <c r="DU815" s="109">
        <f t="shared" si="323"/>
        <v>-36918680.942283712</v>
      </c>
      <c r="DV815" s="109">
        <f t="shared" si="324"/>
        <v>0</v>
      </c>
      <c r="DX815" s="58">
        <f t="array" ref="DX815">SUM(IF(DU815:DV815&gt;=DU815, 1))</f>
        <v>2</v>
      </c>
      <c r="DY815" s="58">
        <f t="array" ref="DY815">SUM(IF(DU815:DV815&gt;=DV815, 1))</f>
        <v>1</v>
      </c>
      <c r="EA815" s="109">
        <f t="shared" si="325"/>
        <v>-136498139.33440667</v>
      </c>
      <c r="EB815" s="109">
        <f t="shared" si="326"/>
        <v>0</v>
      </c>
      <c r="ED815" s="58">
        <f t="array" ref="ED815">SUM(IF(EA815:EB815&gt;=EA815, 1))</f>
        <v>2</v>
      </c>
      <c r="EE815" s="58">
        <f t="array" ref="EE815">SUM(IF(EA815:EB815&gt;=EB815, 1))</f>
        <v>1</v>
      </c>
    </row>
    <row r="816" spans="4:135" ht="12" customHeight="1" x14ac:dyDescent="0.25">
      <c r="D816" s="11">
        <v>800</v>
      </c>
      <c r="E816" s="72">
        <v>270.63841308444228</v>
      </c>
      <c r="F816" s="72">
        <v>261.72522643483836</v>
      </c>
      <c r="G816" s="73"/>
      <c r="H816" s="74">
        <v>5.8068500173816826</v>
      </c>
      <c r="I816" s="74">
        <v>5.8214688959830037</v>
      </c>
      <c r="J816" s="73"/>
      <c r="K816" s="72">
        <v>291.50174738681596</v>
      </c>
      <c r="L816" s="72">
        <v>282.33834681655583</v>
      </c>
      <c r="M816" s="73"/>
      <c r="N816" s="74">
        <v>6.637748524050032</v>
      </c>
      <c r="O816" s="74">
        <v>6.6502360070851605</v>
      </c>
      <c r="P816" s="73"/>
      <c r="Q816" s="72">
        <v>3684.9013462050179</v>
      </c>
      <c r="R816" s="72">
        <v>1474.4787892770887</v>
      </c>
      <c r="S816" s="73"/>
      <c r="T816" s="74">
        <v>4.5763580657531149</v>
      </c>
      <c r="U816" s="74">
        <v>4.7146632465739549</v>
      </c>
      <c r="V816" s="73"/>
      <c r="W816" s="72">
        <v>15042.883936762302</v>
      </c>
      <c r="X816" s="72">
        <v>15062.251794843856</v>
      </c>
      <c r="Y816" s="73"/>
      <c r="Z816" s="74">
        <v>3.1155757193568903</v>
      </c>
      <c r="AA816" s="74">
        <v>3.1745224926725086</v>
      </c>
      <c r="AB816" s="73"/>
      <c r="AC816" s="72">
        <v>49253.912753338256</v>
      </c>
      <c r="AD816" s="72">
        <v>49148.877878295076</v>
      </c>
      <c r="AE816" s="73"/>
      <c r="AF816" s="74">
        <v>4.6591005908246439</v>
      </c>
      <c r="AG816" s="74">
        <v>4.791691528060495</v>
      </c>
      <c r="AH816" s="73"/>
      <c r="AI816" s="72">
        <v>960301.25519514573</v>
      </c>
      <c r="AJ816" s="72">
        <v>0</v>
      </c>
      <c r="AK816" s="73"/>
      <c r="AL816" s="74">
        <v>-1575.0290016666381</v>
      </c>
      <c r="AM816" s="74">
        <v>0</v>
      </c>
      <c r="AN816" s="73"/>
      <c r="AO816" s="72">
        <v>63476.194898621878</v>
      </c>
      <c r="AP816" s="72">
        <v>0</v>
      </c>
      <c r="AQ816" s="73"/>
      <c r="AR816" s="74">
        <v>-86.502592662338117</v>
      </c>
      <c r="AS816" s="74">
        <v>0</v>
      </c>
      <c r="AT816" s="73"/>
      <c r="AU816" s="72">
        <v>53185695.925302908</v>
      </c>
      <c r="AV816" s="72">
        <v>0</v>
      </c>
      <c r="AW816" s="73"/>
      <c r="AX816" s="74">
        <v>-3327.8059296745896</v>
      </c>
      <c r="AY816" s="74">
        <v>0</v>
      </c>
      <c r="AZ816" s="73"/>
      <c r="BA816" s="72">
        <v>-173911.97733160612</v>
      </c>
      <c r="BB816" s="72">
        <v>0</v>
      </c>
      <c r="BC816" s="73"/>
      <c r="BD816" s="74">
        <v>-529.30736385355635</v>
      </c>
      <c r="BE816" s="74">
        <v>0</v>
      </c>
      <c r="BF816" s="73"/>
      <c r="BG816" s="72">
        <v>1614319.7318414592</v>
      </c>
      <c r="BH816" s="72">
        <v>0</v>
      </c>
      <c r="BI816" s="73"/>
      <c r="BJ816" s="74">
        <v>-2037.8390144720249</v>
      </c>
      <c r="BK816" s="74">
        <v>0</v>
      </c>
      <c r="BL816" s="73"/>
      <c r="BM816" s="72">
        <v>55649881.129906528</v>
      </c>
      <c r="BN816" s="72">
        <v>0</v>
      </c>
      <c r="BO816" s="73"/>
      <c r="BP816" s="74">
        <v>-7556.483902329147</v>
      </c>
      <c r="BQ816" s="74">
        <v>0</v>
      </c>
      <c r="BS816" s="109">
        <f t="shared" si="306"/>
        <v>115866.36193454922</v>
      </c>
      <c r="BT816" s="109">
        <f t="shared" si="307"/>
        <v>116167.65269322523</v>
      </c>
      <c r="BV816" s="58">
        <f t="array" ref="BV816">SUM(IF(BS816:BT816&gt;=BS816, 1))</f>
        <v>2</v>
      </c>
      <c r="BW816" s="58">
        <f t="array" ref="BW816">SUM(IF(BS816:BT816&gt;=BT816, 1))</f>
        <v>1</v>
      </c>
      <c r="BY816" s="109">
        <f t="shared" si="308"/>
        <v>132463.46873361382</v>
      </c>
      <c r="BZ816" s="109">
        <f t="shared" si="309"/>
        <v>132722.38179488663</v>
      </c>
      <c r="CB816" s="58">
        <f t="array" ref="CB816">SUM(IF(BY816:BZ816&gt;=BY816, 1))</f>
        <v>2</v>
      </c>
      <c r="CC816" s="58">
        <f t="array" ref="CC816">SUM(IF(BY816:BZ816&gt;=BZ816, 1))</f>
        <v>1</v>
      </c>
      <c r="CE816" s="109">
        <f t="shared" si="310"/>
        <v>87842.259968857281</v>
      </c>
      <c r="CF816" s="109">
        <f t="shared" si="311"/>
        <v>92818.786142202007</v>
      </c>
      <c r="CH816" s="58">
        <f t="array" ref="CH816">SUM(IF(CE816:CF816&gt;=CE816, 1))</f>
        <v>2</v>
      </c>
      <c r="CI816" s="58">
        <f t="array" ref="CI816">SUM(IF(CE816:CF816&gt;=CF816, 1))</f>
        <v>1</v>
      </c>
      <c r="CK816" s="109">
        <f t="shared" si="312"/>
        <v>47268.630450375502</v>
      </c>
      <c r="CL816" s="109">
        <f t="shared" si="313"/>
        <v>48428.198058606322</v>
      </c>
      <c r="CN816" s="58">
        <f t="array" ref="CN816">SUM(IF(CK816:CL816&gt;=CK816, 1))</f>
        <v>2</v>
      </c>
      <c r="CO816" s="58">
        <f t="array" ref="CO816">SUM(IF(CK816:CL816&gt;=CL816, 1))</f>
        <v>1</v>
      </c>
      <c r="CQ816" s="109" cm="1">
        <f t="array" ref="CQ816">AF816*WTP-AC816</f>
        <v>43928.099063154616</v>
      </c>
      <c r="CR816" s="109">
        <f t="shared" si="314"/>
        <v>46684.952682914831</v>
      </c>
      <c r="CT816" s="58">
        <f t="array" ref="CT816">SUM(IF(CQ816:CR816&gt;=CQ816, 1))</f>
        <v>2</v>
      </c>
      <c r="CU816" s="58">
        <f t="array" ref="CU816">SUM(IF(CQ816:CR816&gt;=CR816, 1))</f>
        <v>1</v>
      </c>
      <c r="CW816" s="109">
        <f t="shared" si="315"/>
        <v>-32460881.288527906</v>
      </c>
      <c r="CX816" s="109">
        <f t="shared" si="316"/>
        <v>0</v>
      </c>
      <c r="CZ816" s="58">
        <f t="array" ref="CZ816">SUM(IF(CW816:CX816&gt;=CW816, 1))</f>
        <v>2</v>
      </c>
      <c r="DA816" s="58">
        <f t="array" ref="DA816">SUM(IF(CW816:CX816&gt;=CX816, 1))</f>
        <v>1</v>
      </c>
      <c r="DC816" s="109">
        <f t="shared" si="317"/>
        <v>-1793528.0481453843</v>
      </c>
      <c r="DD816" s="109">
        <f t="shared" si="318"/>
        <v>0</v>
      </c>
      <c r="DF816" s="58">
        <f t="array" ref="DF816">SUM(IF(DC816:DD816&gt;=DC816, 1))</f>
        <v>2</v>
      </c>
      <c r="DG816" s="58">
        <f t="array" ref="DG816">SUM(IF(DC816:DD816&gt;=DD816, 1))</f>
        <v>1</v>
      </c>
      <c r="DI816" s="109">
        <f t="shared" si="319"/>
        <v>-119741814.5187947</v>
      </c>
      <c r="DJ816" s="109">
        <f t="shared" si="320"/>
        <v>0</v>
      </c>
      <c r="DL816" s="58">
        <f t="array" ref="DL816">SUM(IF(DI816:DJ816&gt;=DI816, 1))</f>
        <v>2</v>
      </c>
      <c r="DM816" s="58">
        <f t="array" ref="DM816">SUM(IF(DI816:DJ816&gt;=DJ816, 1))</f>
        <v>1</v>
      </c>
      <c r="DO816" s="109">
        <f t="shared" si="321"/>
        <v>-10412235.299739521</v>
      </c>
      <c r="DP816" s="109">
        <f t="shared" si="322"/>
        <v>0</v>
      </c>
      <c r="DR816" s="58">
        <f t="array" ref="DR816">SUM(IF(DO816:DP816&gt;=DO816, 1))</f>
        <v>2</v>
      </c>
      <c r="DS816" s="58">
        <f t="array" ref="DS816">SUM(IF(DO816:DP816&gt;=DP816, 1))</f>
        <v>1</v>
      </c>
      <c r="DU816" s="109">
        <f t="shared" si="323"/>
        <v>-42371100.021281958</v>
      </c>
      <c r="DV816" s="109">
        <f t="shared" si="324"/>
        <v>0</v>
      </c>
      <c r="DX816" s="58">
        <f t="array" ref="DX816">SUM(IF(DU816:DV816&gt;=DU816, 1))</f>
        <v>2</v>
      </c>
      <c r="DY816" s="58">
        <f t="array" ref="DY816">SUM(IF(DU816:DV816&gt;=DV816, 1))</f>
        <v>1</v>
      </c>
      <c r="EA816" s="109">
        <f t="shared" si="325"/>
        <v>-206779559.17648947</v>
      </c>
      <c r="EB816" s="109">
        <f t="shared" si="326"/>
        <v>0</v>
      </c>
      <c r="ED816" s="58">
        <f t="array" ref="ED816">SUM(IF(EA816:EB816&gt;=EA816, 1))</f>
        <v>2</v>
      </c>
      <c r="EE816" s="58">
        <f t="array" ref="EE816">SUM(IF(EA816:EB816&gt;=EB816, 1))</f>
        <v>1</v>
      </c>
    </row>
    <row r="817" spans="4:135" ht="12" customHeight="1" x14ac:dyDescent="0.25">
      <c r="D817" s="11">
        <v>801</v>
      </c>
      <c r="E817" s="72">
        <v>315.44248052630269</v>
      </c>
      <c r="F817" s="72">
        <v>290.06714649122853</v>
      </c>
      <c r="G817" s="73"/>
      <c r="H817" s="74">
        <v>5.8250079712881053</v>
      </c>
      <c r="I817" s="74">
        <v>5.8410233208860758</v>
      </c>
      <c r="J817" s="73"/>
      <c r="K817" s="72">
        <v>338.69449385764983</v>
      </c>
      <c r="L817" s="72">
        <v>312.7210690519197</v>
      </c>
      <c r="M817" s="73"/>
      <c r="N817" s="74">
        <v>6.7266427768469637</v>
      </c>
      <c r="O817" s="74">
        <v>6.7406462553426465</v>
      </c>
      <c r="P817" s="73"/>
      <c r="Q817" s="72">
        <v>2001.1182207584625</v>
      </c>
      <c r="R817" s="72">
        <v>1330.7400168464169</v>
      </c>
      <c r="S817" s="73"/>
      <c r="T817" s="74">
        <v>5.0641344721333574</v>
      </c>
      <c r="U817" s="74">
        <v>5.113309688688906</v>
      </c>
      <c r="V817" s="73"/>
      <c r="W817" s="72">
        <v>13864.367568471962</v>
      </c>
      <c r="X817" s="72">
        <v>13845.740012260972</v>
      </c>
      <c r="Y817" s="73"/>
      <c r="Z817" s="74">
        <v>2.9744569184121521</v>
      </c>
      <c r="AA817" s="74">
        <v>3.012351240117412</v>
      </c>
      <c r="AB817" s="73"/>
      <c r="AC817" s="72">
        <v>50972.260323130104</v>
      </c>
      <c r="AD817" s="72">
        <v>50423.839712724293</v>
      </c>
      <c r="AE817" s="73"/>
      <c r="AF817" s="74">
        <v>4.9287026679569887</v>
      </c>
      <c r="AG817" s="74">
        <v>5.1370538449173484</v>
      </c>
      <c r="AH817" s="73"/>
      <c r="AI817" s="72">
        <v>2745253.4283631346</v>
      </c>
      <c r="AJ817" s="72">
        <v>0</v>
      </c>
      <c r="AK817" s="73"/>
      <c r="AL817" s="74">
        <v>-1732.6350592859917</v>
      </c>
      <c r="AM817" s="74">
        <v>0</v>
      </c>
      <c r="AN817" s="73"/>
      <c r="AO817" s="72">
        <v>182492.80325079107</v>
      </c>
      <c r="AP817" s="72">
        <v>0</v>
      </c>
      <c r="AQ817" s="73"/>
      <c r="AR817" s="74">
        <v>-98.390338011009732</v>
      </c>
      <c r="AS817" s="74">
        <v>0</v>
      </c>
      <c r="AT817" s="73"/>
      <c r="AU817" s="72">
        <v>15247469.379561013</v>
      </c>
      <c r="AV817" s="72">
        <v>0</v>
      </c>
      <c r="AW817" s="73"/>
      <c r="AX817" s="74">
        <v>-1118.4695509020203</v>
      </c>
      <c r="AY817" s="74">
        <v>0</v>
      </c>
      <c r="AZ817" s="73"/>
      <c r="BA817" s="72">
        <v>160036.1489067839</v>
      </c>
      <c r="BB817" s="72">
        <v>0</v>
      </c>
      <c r="BC817" s="73"/>
      <c r="BD817" s="74">
        <v>-325.56397857313971</v>
      </c>
      <c r="BE817" s="74">
        <v>0</v>
      </c>
      <c r="BF817" s="73"/>
      <c r="BG817" s="72">
        <v>8913155.9762635604</v>
      </c>
      <c r="BH817" s="72">
        <v>0</v>
      </c>
      <c r="BI817" s="73"/>
      <c r="BJ817" s="74">
        <v>-3386.2085101280531</v>
      </c>
      <c r="BK817" s="74">
        <v>0</v>
      </c>
      <c r="BL817" s="73"/>
      <c r="BM817" s="72">
        <v>27248407.73634528</v>
      </c>
      <c r="BN817" s="72">
        <v>0</v>
      </c>
      <c r="BO817" s="73"/>
      <c r="BP817" s="74">
        <v>-6661.2674369002143</v>
      </c>
      <c r="BQ817" s="74">
        <v>0</v>
      </c>
      <c r="BS817" s="109">
        <f t="shared" si="306"/>
        <v>116184.71694523581</v>
      </c>
      <c r="BT817" s="109">
        <f t="shared" si="307"/>
        <v>116530.39927123029</v>
      </c>
      <c r="BV817" s="58">
        <f t="array" ref="BV817">SUM(IF(BS817:BT817&gt;=BS817, 1))</f>
        <v>2</v>
      </c>
      <c r="BW817" s="58">
        <f t="array" ref="BW817">SUM(IF(BS817:BT817&gt;=BT817, 1))</f>
        <v>1</v>
      </c>
      <c r="BY817" s="109">
        <f t="shared" si="308"/>
        <v>134194.16104308164</v>
      </c>
      <c r="BZ817" s="109">
        <f t="shared" si="309"/>
        <v>134500.20403780101</v>
      </c>
      <c r="CB817" s="58">
        <f t="array" ref="CB817">SUM(IF(BY817:BZ817&gt;=BY817, 1))</f>
        <v>2</v>
      </c>
      <c r="CC817" s="58">
        <f t="array" ref="CC817">SUM(IF(BY817:BZ817&gt;=BZ817, 1))</f>
        <v>1</v>
      </c>
      <c r="CE817" s="109">
        <f t="shared" si="310"/>
        <v>99281.571221908685</v>
      </c>
      <c r="CF817" s="109">
        <f t="shared" si="311"/>
        <v>100935.4537569317</v>
      </c>
      <c r="CH817" s="58">
        <f t="array" ref="CH817">SUM(IF(CE817:CF817&gt;=CE817, 1))</f>
        <v>2</v>
      </c>
      <c r="CI817" s="58">
        <f t="array" ref="CI817">SUM(IF(CE817:CF817&gt;=CF817, 1))</f>
        <v>1</v>
      </c>
      <c r="CK817" s="109">
        <f t="shared" si="312"/>
        <v>45624.770799771075</v>
      </c>
      <c r="CL817" s="109">
        <f t="shared" si="313"/>
        <v>46401.284790087273</v>
      </c>
      <c r="CN817" s="58">
        <f t="array" ref="CN817">SUM(IF(CK817:CL817&gt;=CK817, 1))</f>
        <v>2</v>
      </c>
      <c r="CO817" s="58">
        <f t="array" ref="CO817">SUM(IF(CK817:CL817&gt;=CL817, 1))</f>
        <v>1</v>
      </c>
      <c r="CQ817" s="109" cm="1">
        <f t="array" ref="CQ817">AF817*WTP-AC817</f>
        <v>47601.793036009665</v>
      </c>
      <c r="CR817" s="109">
        <f t="shared" si="314"/>
        <v>52317.237185622682</v>
      </c>
      <c r="CT817" s="58">
        <f t="array" ref="CT817">SUM(IF(CQ817:CR817&gt;=CQ817, 1))</f>
        <v>2</v>
      </c>
      <c r="CU817" s="58">
        <f t="array" ref="CU817">SUM(IF(CQ817:CR817&gt;=CR817, 1))</f>
        <v>1</v>
      </c>
      <c r="CW817" s="109">
        <f t="shared" si="315"/>
        <v>-37397954.61408297</v>
      </c>
      <c r="CX817" s="109">
        <f t="shared" si="316"/>
        <v>0</v>
      </c>
      <c r="CZ817" s="58">
        <f t="array" ref="CZ817">SUM(IF(CW817:CX817&gt;=CW817, 1))</f>
        <v>2</v>
      </c>
      <c r="DA817" s="58">
        <f t="array" ref="DA817">SUM(IF(CW817:CX817&gt;=CX817, 1))</f>
        <v>1</v>
      </c>
      <c r="DC817" s="109">
        <f t="shared" si="317"/>
        <v>-2150299.5634709857</v>
      </c>
      <c r="DD817" s="109">
        <f t="shared" si="318"/>
        <v>0</v>
      </c>
      <c r="DF817" s="58">
        <f t="array" ref="DF817">SUM(IF(DC817:DD817&gt;=DC817, 1))</f>
        <v>2</v>
      </c>
      <c r="DG817" s="58">
        <f t="array" ref="DG817">SUM(IF(DC817:DD817&gt;=DD817, 1))</f>
        <v>1</v>
      </c>
      <c r="DI817" s="109">
        <f t="shared" si="319"/>
        <v>-37616860.397601418</v>
      </c>
      <c r="DJ817" s="109">
        <f t="shared" si="320"/>
        <v>0</v>
      </c>
      <c r="DL817" s="58">
        <f t="array" ref="DL817">SUM(IF(DI817:DJ817&gt;=DI817, 1))</f>
        <v>2</v>
      </c>
      <c r="DM817" s="58">
        <f t="array" ref="DM817">SUM(IF(DI817:DJ817&gt;=DJ817, 1))</f>
        <v>1</v>
      </c>
      <c r="DO817" s="109">
        <f t="shared" si="321"/>
        <v>-6671315.7203695783</v>
      </c>
      <c r="DP817" s="109">
        <f t="shared" si="322"/>
        <v>0</v>
      </c>
      <c r="DR817" s="58">
        <f t="array" ref="DR817">SUM(IF(DO817:DP817&gt;=DO817, 1))</f>
        <v>2</v>
      </c>
      <c r="DS817" s="58">
        <f t="array" ref="DS817">SUM(IF(DO817:DP817&gt;=DP817, 1))</f>
        <v>1</v>
      </c>
      <c r="DU817" s="109">
        <f t="shared" si="323"/>
        <v>-76637326.178824633</v>
      </c>
      <c r="DV817" s="109">
        <f t="shared" si="324"/>
        <v>0</v>
      </c>
      <c r="DX817" s="58">
        <f t="array" ref="DX817">SUM(IF(DU817:DV817&gt;=DU817, 1))</f>
        <v>2</v>
      </c>
      <c r="DY817" s="58">
        <f t="array" ref="DY817">SUM(IF(DU817:DV817&gt;=DV817, 1))</f>
        <v>1</v>
      </c>
      <c r="EA817" s="109">
        <f t="shared" si="325"/>
        <v>-160473756.47434956</v>
      </c>
      <c r="EB817" s="109">
        <f t="shared" si="326"/>
        <v>0</v>
      </c>
      <c r="ED817" s="58">
        <f t="array" ref="ED817">SUM(IF(EA817:EB817&gt;=EA817, 1))</f>
        <v>2</v>
      </c>
      <c r="EE817" s="58">
        <f t="array" ref="EE817">SUM(IF(EA817:EB817&gt;=EB817, 1))</f>
        <v>1</v>
      </c>
    </row>
    <row r="818" spans="4:135" ht="12" customHeight="1" x14ac:dyDescent="0.25">
      <c r="D818" s="11">
        <v>802</v>
      </c>
      <c r="E818" s="72">
        <v>257.12597884847213</v>
      </c>
      <c r="F818" s="72">
        <v>232.09765786764083</v>
      </c>
      <c r="G818" s="73"/>
      <c r="H818" s="74">
        <v>5.843460664692997</v>
      </c>
      <c r="I818" s="74">
        <v>5.8600492121105576</v>
      </c>
      <c r="J818" s="73"/>
      <c r="K818" s="72">
        <v>275.82193567143315</v>
      </c>
      <c r="L818" s="72">
        <v>250.21769060563406</v>
      </c>
      <c r="M818" s="73"/>
      <c r="N818" s="74">
        <v>6.7791836121289446</v>
      </c>
      <c r="O818" s="74">
        <v>6.7941914828568617</v>
      </c>
      <c r="P818" s="73"/>
      <c r="Q818" s="72">
        <v>3288.0851466820141</v>
      </c>
      <c r="R818" s="72">
        <v>1700.7843324673725</v>
      </c>
      <c r="S818" s="73"/>
      <c r="T818" s="74">
        <v>4.8673656600665991</v>
      </c>
      <c r="U818" s="74">
        <v>4.9718411484235743</v>
      </c>
      <c r="V818" s="73"/>
      <c r="W818" s="72">
        <v>10667.609019377898</v>
      </c>
      <c r="X818" s="72">
        <v>10705.712908902349</v>
      </c>
      <c r="Y818" s="73"/>
      <c r="Z818" s="74">
        <v>2.9743268671433643</v>
      </c>
      <c r="AA818" s="74">
        <v>3.0333597498173335</v>
      </c>
      <c r="AB818" s="73"/>
      <c r="AC818" s="72">
        <v>50218.975881896738</v>
      </c>
      <c r="AD818" s="72">
        <v>49394.717372690255</v>
      </c>
      <c r="AE818" s="73"/>
      <c r="AF818" s="74">
        <v>4.2777419184111514</v>
      </c>
      <c r="AG818" s="74">
        <v>4.4626828635131215</v>
      </c>
      <c r="AH818" s="73"/>
      <c r="AI818" s="72">
        <v>2688650.9111279738</v>
      </c>
      <c r="AJ818" s="72">
        <v>0</v>
      </c>
      <c r="AK818" s="73"/>
      <c r="AL818" s="74">
        <v>-1782.0137900050495</v>
      </c>
      <c r="AM818" s="74">
        <v>0</v>
      </c>
      <c r="AN818" s="73"/>
      <c r="AO818" s="72">
        <v>183701.96876490806</v>
      </c>
      <c r="AP818" s="72">
        <v>0</v>
      </c>
      <c r="AQ818" s="73"/>
      <c r="AR818" s="74">
        <v>-107.67649632326939</v>
      </c>
      <c r="AS818" s="74">
        <v>0</v>
      </c>
      <c r="AT818" s="73"/>
      <c r="AU818" s="72">
        <v>36467067.223168492</v>
      </c>
      <c r="AV818" s="72">
        <v>0</v>
      </c>
      <c r="AW818" s="73"/>
      <c r="AX818" s="74">
        <v>-2400.2474029928758</v>
      </c>
      <c r="AY818" s="74">
        <v>0</v>
      </c>
      <c r="AZ818" s="73"/>
      <c r="BA818" s="72">
        <v>-338014.18320254394</v>
      </c>
      <c r="BB818" s="72">
        <v>0</v>
      </c>
      <c r="BC818" s="73"/>
      <c r="BD818" s="74">
        <v>-523.67230401319</v>
      </c>
      <c r="BE818" s="74">
        <v>0</v>
      </c>
      <c r="BF818" s="73"/>
      <c r="BG818" s="72">
        <v>12864992.894780695</v>
      </c>
      <c r="BH818" s="72">
        <v>0</v>
      </c>
      <c r="BI818" s="73"/>
      <c r="BJ818" s="74">
        <v>-2886.5506611286273</v>
      </c>
      <c r="BK818" s="74">
        <v>0</v>
      </c>
      <c r="BL818" s="73"/>
      <c r="BM818" s="72">
        <v>51866398.814639531</v>
      </c>
      <c r="BN818" s="72">
        <v>0</v>
      </c>
      <c r="BO818" s="73"/>
      <c r="BP818" s="74">
        <v>-7700.1606544630122</v>
      </c>
      <c r="BQ818" s="74">
        <v>0</v>
      </c>
      <c r="BS818" s="109">
        <f t="shared" si="306"/>
        <v>116612.08731501146</v>
      </c>
      <c r="BT818" s="109">
        <f t="shared" si="307"/>
        <v>116968.88658434352</v>
      </c>
      <c r="BV818" s="58">
        <f t="array" ref="BV818">SUM(IF(BS818:BT818&gt;=BS818, 1))</f>
        <v>2</v>
      </c>
      <c r="BW818" s="58">
        <f t="array" ref="BW818">SUM(IF(BS818:BT818&gt;=BT818, 1))</f>
        <v>1</v>
      </c>
      <c r="BY818" s="109">
        <f t="shared" si="308"/>
        <v>135307.85030690746</v>
      </c>
      <c r="BZ818" s="109">
        <f t="shared" si="309"/>
        <v>135633.61196653161</v>
      </c>
      <c r="CB818" s="58">
        <f t="array" ref="CB818">SUM(IF(BY818:BZ818&gt;=BY818, 1))</f>
        <v>2</v>
      </c>
      <c r="CC818" s="58">
        <f t="array" ref="CC818">SUM(IF(BY818:BZ818&gt;=BZ818, 1))</f>
        <v>1</v>
      </c>
      <c r="CE818" s="109">
        <f t="shared" si="310"/>
        <v>94059.228054649968</v>
      </c>
      <c r="CF818" s="109">
        <f t="shared" si="311"/>
        <v>97736.038636004116</v>
      </c>
      <c r="CH818" s="58">
        <f t="array" ref="CH818">SUM(IF(CE818:CF818&gt;=CE818, 1))</f>
        <v>2</v>
      </c>
      <c r="CI818" s="58">
        <f t="array" ref="CI818">SUM(IF(CE818:CF818&gt;=CF818, 1))</f>
        <v>1</v>
      </c>
      <c r="CK818" s="109">
        <f t="shared" si="312"/>
        <v>48818.928323489381</v>
      </c>
      <c r="CL818" s="109">
        <f t="shared" si="313"/>
        <v>49961.482087444318</v>
      </c>
      <c r="CN818" s="58">
        <f t="array" ref="CN818">SUM(IF(CK818:CL818&gt;=CK818, 1))</f>
        <v>2</v>
      </c>
      <c r="CO818" s="58">
        <f t="array" ref="CO818">SUM(IF(CK818:CL818&gt;=CL818, 1))</f>
        <v>1</v>
      </c>
      <c r="CQ818" s="109" cm="1">
        <f t="array" ref="CQ818">AF818*WTP-AC818</f>
        <v>35335.862486326296</v>
      </c>
      <c r="CR818" s="109">
        <f t="shared" si="314"/>
        <v>39858.939897572171</v>
      </c>
      <c r="CT818" s="58">
        <f t="array" ref="CT818">SUM(IF(CQ818:CR818&gt;=CQ818, 1))</f>
        <v>2</v>
      </c>
      <c r="CU818" s="58">
        <f t="array" ref="CU818">SUM(IF(CQ818:CR818&gt;=CR818, 1))</f>
        <v>1</v>
      </c>
      <c r="CW818" s="109">
        <f t="shared" si="315"/>
        <v>-38328926.711228967</v>
      </c>
      <c r="CX818" s="109">
        <f t="shared" si="316"/>
        <v>0</v>
      </c>
      <c r="CZ818" s="58">
        <f t="array" ref="CZ818">SUM(IF(CW818:CX818&gt;=CW818, 1))</f>
        <v>2</v>
      </c>
      <c r="DA818" s="58">
        <f t="array" ref="DA818">SUM(IF(CW818:CX818&gt;=CX818, 1))</f>
        <v>1</v>
      </c>
      <c r="DC818" s="109">
        <f t="shared" si="317"/>
        <v>-2337231.8952302961</v>
      </c>
      <c r="DD818" s="109">
        <f t="shared" si="318"/>
        <v>0</v>
      </c>
      <c r="DF818" s="58">
        <f t="array" ref="DF818">SUM(IF(DC818:DD818&gt;=DC818, 1))</f>
        <v>2</v>
      </c>
      <c r="DG818" s="58">
        <f t="array" ref="DG818">SUM(IF(DC818:DD818&gt;=DD818, 1))</f>
        <v>1</v>
      </c>
      <c r="DI818" s="109">
        <f t="shared" si="319"/>
        <v>-84472015.28302601</v>
      </c>
      <c r="DJ818" s="109">
        <f t="shared" si="320"/>
        <v>0</v>
      </c>
      <c r="DL818" s="58">
        <f t="array" ref="DL818">SUM(IF(DI818:DJ818&gt;=DI818, 1))</f>
        <v>2</v>
      </c>
      <c r="DM818" s="58">
        <f t="array" ref="DM818">SUM(IF(DI818:DJ818&gt;=DJ818, 1))</f>
        <v>1</v>
      </c>
      <c r="DO818" s="109">
        <f t="shared" si="321"/>
        <v>-10135431.897061257</v>
      </c>
      <c r="DP818" s="109">
        <f t="shared" si="322"/>
        <v>0</v>
      </c>
      <c r="DR818" s="58">
        <f t="array" ref="DR818">SUM(IF(DO818:DP818&gt;=DO818, 1))</f>
        <v>2</v>
      </c>
      <c r="DS818" s="58">
        <f t="array" ref="DS818">SUM(IF(DO818:DP818&gt;=DP818, 1))</f>
        <v>1</v>
      </c>
      <c r="DU818" s="109">
        <f t="shared" si="323"/>
        <v>-70596006.117353246</v>
      </c>
      <c r="DV818" s="109">
        <f t="shared" si="324"/>
        <v>0</v>
      </c>
      <c r="DX818" s="58">
        <f t="array" ref="DX818">SUM(IF(DU818:DV818&gt;=DU818, 1))</f>
        <v>2</v>
      </c>
      <c r="DY818" s="58">
        <f t="array" ref="DY818">SUM(IF(DU818:DV818&gt;=DV818, 1))</f>
        <v>1</v>
      </c>
      <c r="EA818" s="109">
        <f t="shared" si="325"/>
        <v>-205869611.90389979</v>
      </c>
      <c r="EB818" s="109">
        <f t="shared" si="326"/>
        <v>0</v>
      </c>
      <c r="ED818" s="58">
        <f t="array" ref="ED818">SUM(IF(EA818:EB818&gt;=EA818, 1))</f>
        <v>2</v>
      </c>
      <c r="EE818" s="58">
        <f t="array" ref="EE818">SUM(IF(EA818:EB818&gt;=EB818, 1))</f>
        <v>1</v>
      </c>
    </row>
    <row r="819" spans="4:135" ht="12" customHeight="1" x14ac:dyDescent="0.25">
      <c r="D819" s="11">
        <v>803</v>
      </c>
      <c r="E819" s="72">
        <v>199.69295755789901</v>
      </c>
      <c r="F819" s="72">
        <v>177.66281174697835</v>
      </c>
      <c r="G819" s="73"/>
      <c r="H819" s="74">
        <v>5.842665143298313</v>
      </c>
      <c r="I819" s="74">
        <v>5.8585123782355293</v>
      </c>
      <c r="J819" s="73"/>
      <c r="K819" s="72">
        <v>214.0574189485059</v>
      </c>
      <c r="L819" s="72">
        <v>191.50748715786298</v>
      </c>
      <c r="M819" s="73"/>
      <c r="N819" s="74">
        <v>6.6350923874969716</v>
      </c>
      <c r="O819" s="74">
        <v>6.6487626354018809</v>
      </c>
      <c r="P819" s="73"/>
      <c r="Q819" s="72">
        <v>2357.9623608244465</v>
      </c>
      <c r="R819" s="72">
        <v>1252.1953930683148</v>
      </c>
      <c r="S819" s="73"/>
      <c r="T819" s="74">
        <v>4.7697632001457526</v>
      </c>
      <c r="U819" s="74">
        <v>4.869776370054506</v>
      </c>
      <c r="V819" s="73"/>
      <c r="W819" s="72">
        <v>13551.462297455453</v>
      </c>
      <c r="X819" s="72">
        <v>13493.904784377291</v>
      </c>
      <c r="Y819" s="73"/>
      <c r="Z819" s="74">
        <v>3.0762900539744789</v>
      </c>
      <c r="AA819" s="74">
        <v>3.1125009829440606</v>
      </c>
      <c r="AB819" s="73"/>
      <c r="AC819" s="72">
        <v>49950.190784698832</v>
      </c>
      <c r="AD819" s="72">
        <v>49906.430767756035</v>
      </c>
      <c r="AE819" s="73"/>
      <c r="AF819" s="74">
        <v>4.8146028308532118</v>
      </c>
      <c r="AG819" s="74">
        <v>4.8724268614639046</v>
      </c>
      <c r="AH819" s="73"/>
      <c r="AI819" s="72">
        <v>2342092.3665101579</v>
      </c>
      <c r="AJ819" s="72">
        <v>0</v>
      </c>
      <c r="AK819" s="73"/>
      <c r="AL819" s="74">
        <v>-1684.768148849409</v>
      </c>
      <c r="AM819" s="74">
        <v>0</v>
      </c>
      <c r="AN819" s="73"/>
      <c r="AO819" s="72">
        <v>154565.43833166547</v>
      </c>
      <c r="AP819" s="72">
        <v>0</v>
      </c>
      <c r="AQ819" s="73"/>
      <c r="AR819" s="74">
        <v>-93.700853694005872</v>
      </c>
      <c r="AS819" s="74">
        <v>0</v>
      </c>
      <c r="AT819" s="73"/>
      <c r="AU819" s="72">
        <v>25560368.706754148</v>
      </c>
      <c r="AV819" s="72">
        <v>0</v>
      </c>
      <c r="AW819" s="73"/>
      <c r="AX819" s="74">
        <v>-2311.8555472736593</v>
      </c>
      <c r="AY819" s="74">
        <v>0</v>
      </c>
      <c r="AZ819" s="73"/>
      <c r="BA819" s="72">
        <v>504331.79122780496</v>
      </c>
      <c r="BB819" s="72">
        <v>0</v>
      </c>
      <c r="BC819" s="73"/>
      <c r="BD819" s="74">
        <v>-317.28825122190733</v>
      </c>
      <c r="BE819" s="74">
        <v>0</v>
      </c>
      <c r="BF819" s="73"/>
      <c r="BG819" s="72">
        <v>674716.00458121975</v>
      </c>
      <c r="BH819" s="72">
        <v>0</v>
      </c>
      <c r="BI819" s="73"/>
      <c r="BJ819" s="74">
        <v>-891.56270102520466</v>
      </c>
      <c r="BK819" s="74">
        <v>0</v>
      </c>
      <c r="BL819" s="73"/>
      <c r="BM819" s="72">
        <v>29236074.307404999</v>
      </c>
      <c r="BN819" s="72">
        <v>0</v>
      </c>
      <c r="BO819" s="73"/>
      <c r="BP819" s="74">
        <v>-5299.1755020641867</v>
      </c>
      <c r="BQ819" s="74">
        <v>0</v>
      </c>
      <c r="BS819" s="109">
        <f t="shared" si="306"/>
        <v>116653.60990840837</v>
      </c>
      <c r="BT819" s="109">
        <f t="shared" si="307"/>
        <v>116992.58475296361</v>
      </c>
      <c r="BV819" s="58">
        <f t="array" ref="BV819">SUM(IF(BS819:BT819&gt;=BS819, 1))</f>
        <v>2</v>
      </c>
      <c r="BW819" s="58">
        <f t="array" ref="BW819">SUM(IF(BS819:BT819&gt;=BT819, 1))</f>
        <v>1</v>
      </c>
      <c r="BY819" s="109">
        <f t="shared" si="308"/>
        <v>132487.79033099092</v>
      </c>
      <c r="BZ819" s="109">
        <f t="shared" si="309"/>
        <v>132783.74522087976</v>
      </c>
      <c r="CB819" s="58">
        <f t="array" ref="CB819">SUM(IF(BY819:BZ819&gt;=BY819, 1))</f>
        <v>2</v>
      </c>
      <c r="CC819" s="58">
        <f t="array" ref="CC819">SUM(IF(BY819:BZ819&gt;=BZ819, 1))</f>
        <v>1</v>
      </c>
      <c r="CE819" s="109">
        <f t="shared" si="310"/>
        <v>93037.301642090606</v>
      </c>
      <c r="CF819" s="109">
        <f t="shared" si="311"/>
        <v>96143.332008021811</v>
      </c>
      <c r="CH819" s="58">
        <f t="array" ref="CH819">SUM(IF(CE819:CF819&gt;=CE819, 1))</f>
        <v>2</v>
      </c>
      <c r="CI819" s="58">
        <f t="array" ref="CI819">SUM(IF(CE819:CF819&gt;=CF819, 1))</f>
        <v>1</v>
      </c>
      <c r="CK819" s="109">
        <f t="shared" si="312"/>
        <v>47974.338782034123</v>
      </c>
      <c r="CL819" s="109">
        <f t="shared" si="313"/>
        <v>48756.114874503917</v>
      </c>
      <c r="CN819" s="58">
        <f t="array" ref="CN819">SUM(IF(CK819:CL819&gt;=CK819, 1))</f>
        <v>2</v>
      </c>
      <c r="CO819" s="58">
        <f t="array" ref="CO819">SUM(IF(CK819:CL819&gt;=CL819, 1))</f>
        <v>1</v>
      </c>
      <c r="CQ819" s="109" cm="1">
        <f t="array" ref="CQ819">AF819*WTP-AC819</f>
        <v>46341.865832365409</v>
      </c>
      <c r="CR819" s="109">
        <f t="shared" si="314"/>
        <v>47542.10646152206</v>
      </c>
      <c r="CT819" s="58">
        <f t="array" ref="CT819">SUM(IF(CQ819:CR819&gt;=CQ819, 1))</f>
        <v>2</v>
      </c>
      <c r="CU819" s="58">
        <f t="array" ref="CU819">SUM(IF(CQ819:CR819&gt;=CR819, 1))</f>
        <v>1</v>
      </c>
      <c r="CW819" s="109">
        <f t="shared" si="315"/>
        <v>-36037455.343498342</v>
      </c>
      <c r="CX819" s="109">
        <f t="shared" si="316"/>
        <v>0</v>
      </c>
      <c r="CZ819" s="58">
        <f t="array" ref="CZ819">SUM(IF(CW819:CX819&gt;=CW819, 1))</f>
        <v>2</v>
      </c>
      <c r="DA819" s="58">
        <f t="array" ref="DA819">SUM(IF(CW819:CX819&gt;=CX819, 1))</f>
        <v>1</v>
      </c>
      <c r="DC819" s="109">
        <f t="shared" si="317"/>
        <v>-2028582.5122117829</v>
      </c>
      <c r="DD819" s="109">
        <f t="shared" si="318"/>
        <v>0</v>
      </c>
      <c r="DF819" s="58">
        <f t="array" ref="DF819">SUM(IF(DC819:DD819&gt;=DC819, 1))</f>
        <v>2</v>
      </c>
      <c r="DG819" s="58">
        <f t="array" ref="DG819">SUM(IF(DC819:DD819&gt;=DD819, 1))</f>
        <v>1</v>
      </c>
      <c r="DI819" s="109">
        <f t="shared" si="319"/>
        <v>-71797479.652227342</v>
      </c>
      <c r="DJ819" s="109">
        <f t="shared" si="320"/>
        <v>0</v>
      </c>
      <c r="DL819" s="58">
        <f t="array" ref="DL819">SUM(IF(DI819:DJ819&gt;=DI819, 1))</f>
        <v>2</v>
      </c>
      <c r="DM819" s="58">
        <f t="array" ref="DM819">SUM(IF(DI819:DJ819&gt;=DJ819, 1))</f>
        <v>1</v>
      </c>
      <c r="DO819" s="109">
        <f t="shared" si="321"/>
        <v>-6850096.815665951</v>
      </c>
      <c r="DP819" s="109">
        <f t="shared" si="322"/>
        <v>0</v>
      </c>
      <c r="DR819" s="58">
        <f t="array" ref="DR819">SUM(IF(DO819:DP819&gt;=DO819, 1))</f>
        <v>2</v>
      </c>
      <c r="DS819" s="58">
        <f t="array" ref="DS819">SUM(IF(DO819:DP819&gt;=DP819, 1))</f>
        <v>1</v>
      </c>
      <c r="DU819" s="109">
        <f t="shared" si="323"/>
        <v>-18505970.025085315</v>
      </c>
      <c r="DV819" s="109">
        <f t="shared" si="324"/>
        <v>0</v>
      </c>
      <c r="DX819" s="58">
        <f t="array" ref="DX819">SUM(IF(DU819:DV819&gt;=DU819, 1))</f>
        <v>2</v>
      </c>
      <c r="DY819" s="58">
        <f t="array" ref="DY819">SUM(IF(DU819:DV819&gt;=DV819, 1))</f>
        <v>1</v>
      </c>
      <c r="EA819" s="109">
        <f t="shared" si="325"/>
        <v>-135219584.34868875</v>
      </c>
      <c r="EB819" s="109">
        <f t="shared" si="326"/>
        <v>0</v>
      </c>
      <c r="ED819" s="58">
        <f t="array" ref="ED819">SUM(IF(EA819:EB819&gt;=EA819, 1))</f>
        <v>2</v>
      </c>
      <c r="EE819" s="58">
        <f t="array" ref="EE819">SUM(IF(EA819:EB819&gt;=EB819, 1))</f>
        <v>1</v>
      </c>
    </row>
    <row r="820" spans="4:135" ht="12" customHeight="1" x14ac:dyDescent="0.25">
      <c r="D820" s="11">
        <v>804</v>
      </c>
      <c r="E820" s="72">
        <v>299.25511612542095</v>
      </c>
      <c r="F820" s="72">
        <v>268.86649629586117</v>
      </c>
      <c r="G820" s="73"/>
      <c r="H820" s="74">
        <v>5.8205820776228192</v>
      </c>
      <c r="I820" s="74">
        <v>5.8370448241989124</v>
      </c>
      <c r="J820" s="73"/>
      <c r="K820" s="72">
        <v>320.91610654929457</v>
      </c>
      <c r="L820" s="72">
        <v>289.81595558016681</v>
      </c>
      <c r="M820" s="73"/>
      <c r="N820" s="74">
        <v>6.6579801636715921</v>
      </c>
      <c r="O820" s="74">
        <v>6.6720526214976905</v>
      </c>
      <c r="P820" s="73"/>
      <c r="Q820" s="72">
        <v>2352.8037625640795</v>
      </c>
      <c r="R820" s="72">
        <v>1376.6491302617374</v>
      </c>
      <c r="S820" s="73"/>
      <c r="T820" s="74">
        <v>4.8787059768071614</v>
      </c>
      <c r="U820" s="74">
        <v>4.9351249148374778</v>
      </c>
      <c r="V820" s="73"/>
      <c r="W820" s="72">
        <v>10690.660247013493</v>
      </c>
      <c r="X820" s="72">
        <v>10659.032543094114</v>
      </c>
      <c r="Y820" s="73"/>
      <c r="Z820" s="74">
        <v>3.0201922960609453</v>
      </c>
      <c r="AA820" s="74">
        <v>3.0524045329841329</v>
      </c>
      <c r="AB820" s="73"/>
      <c r="AC820" s="72">
        <v>50963.540422994534</v>
      </c>
      <c r="AD820" s="72">
        <v>50541.032265787544</v>
      </c>
      <c r="AE820" s="73"/>
      <c r="AF820" s="74">
        <v>5.0641194628982857</v>
      </c>
      <c r="AG820" s="74">
        <v>5.2063105366029978</v>
      </c>
      <c r="AH820" s="73"/>
      <c r="AI820" s="72">
        <v>3228993.2987285843</v>
      </c>
      <c r="AJ820" s="72">
        <v>0</v>
      </c>
      <c r="AK820" s="73"/>
      <c r="AL820" s="74">
        <v>-1749.2764946555249</v>
      </c>
      <c r="AM820" s="74">
        <v>0</v>
      </c>
      <c r="AN820" s="73"/>
      <c r="AO820" s="72">
        <v>213883.35886436963</v>
      </c>
      <c r="AP820" s="72">
        <v>0</v>
      </c>
      <c r="AQ820" s="73"/>
      <c r="AR820" s="74">
        <v>-96.779740725726043</v>
      </c>
      <c r="AS820" s="74">
        <v>0</v>
      </c>
      <c r="AT820" s="73"/>
      <c r="AU820" s="72">
        <v>22792622.324602805</v>
      </c>
      <c r="AV820" s="72">
        <v>0</v>
      </c>
      <c r="AW820" s="73"/>
      <c r="AX820" s="74">
        <v>-1317.3481986631414</v>
      </c>
      <c r="AY820" s="74">
        <v>0</v>
      </c>
      <c r="AZ820" s="73"/>
      <c r="BA820" s="72">
        <v>282108.97693707736</v>
      </c>
      <c r="BB820" s="72">
        <v>0</v>
      </c>
      <c r="BC820" s="73"/>
      <c r="BD820" s="74">
        <v>-287.32282388944236</v>
      </c>
      <c r="BE820" s="74">
        <v>0</v>
      </c>
      <c r="BF820" s="73"/>
      <c r="BG820" s="72">
        <v>6747518.5876626959</v>
      </c>
      <c r="BH820" s="72">
        <v>0</v>
      </c>
      <c r="BI820" s="73"/>
      <c r="BJ820" s="74">
        <v>-2270.8127558167471</v>
      </c>
      <c r="BK820" s="74">
        <v>0</v>
      </c>
      <c r="BL820" s="73"/>
      <c r="BM820" s="72">
        <v>33265126.546795532</v>
      </c>
      <c r="BN820" s="72">
        <v>0</v>
      </c>
      <c r="BO820" s="73"/>
      <c r="BP820" s="74">
        <v>-5721.5400137505821</v>
      </c>
      <c r="BQ820" s="74">
        <v>0</v>
      </c>
      <c r="BS820" s="109">
        <f t="shared" si="306"/>
        <v>116112.38643633095</v>
      </c>
      <c r="BT820" s="109">
        <f t="shared" si="307"/>
        <v>116472.02998768238</v>
      </c>
      <c r="BV820" s="58">
        <f t="array" ref="BV820">SUM(IF(BS820:BT820&gt;=BS820, 1))</f>
        <v>2</v>
      </c>
      <c r="BW820" s="58">
        <f t="array" ref="BW820">SUM(IF(BS820:BT820&gt;=BT820, 1))</f>
        <v>1</v>
      </c>
      <c r="BY820" s="109">
        <f t="shared" si="308"/>
        <v>132838.68716688253</v>
      </c>
      <c r="BZ820" s="109">
        <f t="shared" si="309"/>
        <v>133151.23647437367</v>
      </c>
      <c r="CB820" s="58">
        <f t="array" ref="CB820">SUM(IF(BY820:BZ820&gt;=BY820, 1))</f>
        <v>2</v>
      </c>
      <c r="CC820" s="58">
        <f t="array" ref="CC820">SUM(IF(BY820:BZ820&gt;=BZ820, 1))</f>
        <v>1</v>
      </c>
      <c r="CE820" s="109">
        <f t="shared" si="310"/>
        <v>95221.315773579146</v>
      </c>
      <c r="CF820" s="109">
        <f t="shared" si="311"/>
        <v>97325.849166487824</v>
      </c>
      <c r="CH820" s="58">
        <f t="array" ref="CH820">SUM(IF(CE820:CF820&gt;=CE820, 1))</f>
        <v>2</v>
      </c>
      <c r="CI820" s="58">
        <f t="array" ref="CI820">SUM(IF(CE820:CF820&gt;=CF820, 1))</f>
        <v>1</v>
      </c>
      <c r="CK820" s="109">
        <f t="shared" si="312"/>
        <v>49713.185674205408</v>
      </c>
      <c r="CL820" s="109">
        <f t="shared" si="313"/>
        <v>50389.058116588545</v>
      </c>
      <c r="CN820" s="58">
        <f t="array" ref="CN820">SUM(IF(CK820:CL820&gt;=CK820, 1))</f>
        <v>2</v>
      </c>
      <c r="CO820" s="58">
        <f t="array" ref="CO820">SUM(IF(CK820:CL820&gt;=CL820, 1))</f>
        <v>1</v>
      </c>
      <c r="CQ820" s="109" cm="1">
        <f t="array" ref="CQ820">AF820*WTP-AC820</f>
        <v>50318.848834971177</v>
      </c>
      <c r="CR820" s="109">
        <f t="shared" si="314"/>
        <v>53585.178466272417</v>
      </c>
      <c r="CT820" s="58">
        <f t="array" ref="CT820">SUM(IF(CQ820:CR820&gt;=CQ820, 1))</f>
        <v>2</v>
      </c>
      <c r="CU820" s="58">
        <f t="array" ref="CU820">SUM(IF(CQ820:CR820&gt;=CR820, 1))</f>
        <v>1</v>
      </c>
      <c r="CW820" s="109">
        <f t="shared" si="315"/>
        <v>-38214523.191839084</v>
      </c>
      <c r="CX820" s="109">
        <f t="shared" si="316"/>
        <v>0</v>
      </c>
      <c r="CZ820" s="58">
        <f t="array" ref="CZ820">SUM(IF(CW820:CX820&gt;=CW820, 1))</f>
        <v>2</v>
      </c>
      <c r="DA820" s="58">
        <f t="array" ref="DA820">SUM(IF(CW820:CX820&gt;=CX820, 1))</f>
        <v>1</v>
      </c>
      <c r="DC820" s="109">
        <f t="shared" si="317"/>
        <v>-2149478.1733788904</v>
      </c>
      <c r="DD820" s="109">
        <f t="shared" si="318"/>
        <v>0</v>
      </c>
      <c r="DF820" s="58">
        <f t="array" ref="DF820">SUM(IF(DC820:DD820&gt;=DC820, 1))</f>
        <v>2</v>
      </c>
      <c r="DG820" s="58">
        <f t="array" ref="DG820">SUM(IF(DC820:DD820&gt;=DD820, 1))</f>
        <v>1</v>
      </c>
      <c r="DI820" s="109">
        <f t="shared" si="319"/>
        <v>-49139586.297865629</v>
      </c>
      <c r="DJ820" s="109">
        <f t="shared" si="320"/>
        <v>0</v>
      </c>
      <c r="DL820" s="58">
        <f t="array" ref="DL820">SUM(IF(DI820:DJ820&gt;=DI820, 1))</f>
        <v>2</v>
      </c>
      <c r="DM820" s="58">
        <f t="array" ref="DM820">SUM(IF(DI820:DJ820&gt;=DJ820, 1))</f>
        <v>1</v>
      </c>
      <c r="DO820" s="109">
        <f t="shared" si="321"/>
        <v>-6028565.4547259239</v>
      </c>
      <c r="DP820" s="109">
        <f t="shared" si="322"/>
        <v>0</v>
      </c>
      <c r="DR820" s="58">
        <f t="array" ref="DR820">SUM(IF(DO820:DP820&gt;=DO820, 1))</f>
        <v>2</v>
      </c>
      <c r="DS820" s="58">
        <f t="array" ref="DS820">SUM(IF(DO820:DP820&gt;=DP820, 1))</f>
        <v>1</v>
      </c>
      <c r="DU820" s="109">
        <f t="shared" si="323"/>
        <v>-52163773.703997642</v>
      </c>
      <c r="DV820" s="109">
        <f t="shared" si="324"/>
        <v>0</v>
      </c>
      <c r="DX820" s="58">
        <f t="array" ref="DX820">SUM(IF(DU820:DV820&gt;=DU820, 1))</f>
        <v>2</v>
      </c>
      <c r="DY820" s="58">
        <f t="array" ref="DY820">SUM(IF(DU820:DV820&gt;=DV820, 1))</f>
        <v>1</v>
      </c>
      <c r="EA820" s="109">
        <f t="shared" si="325"/>
        <v>-147695926.82180718</v>
      </c>
      <c r="EB820" s="109">
        <f t="shared" si="326"/>
        <v>0</v>
      </c>
      <c r="ED820" s="58">
        <f t="array" ref="ED820">SUM(IF(EA820:EB820&gt;=EA820, 1))</f>
        <v>2</v>
      </c>
      <c r="EE820" s="58">
        <f t="array" ref="EE820">SUM(IF(EA820:EB820&gt;=EB820, 1))</f>
        <v>1</v>
      </c>
    </row>
    <row r="821" spans="4:135" ht="12" customHeight="1" x14ac:dyDescent="0.25">
      <c r="D821" s="11">
        <v>805</v>
      </c>
      <c r="E821" s="72">
        <v>263.80625960778923</v>
      </c>
      <c r="F821" s="72">
        <v>247.99655377190376</v>
      </c>
      <c r="G821" s="73"/>
      <c r="H821" s="74">
        <v>5.7696150186404385</v>
      </c>
      <c r="I821" s="74">
        <v>5.7846582537811493</v>
      </c>
      <c r="J821" s="73"/>
      <c r="K821" s="72">
        <v>283.65303268639752</v>
      </c>
      <c r="L821" s="72">
        <v>267.41620076537828</v>
      </c>
      <c r="M821" s="73"/>
      <c r="N821" s="74">
        <v>6.7101375422989804</v>
      </c>
      <c r="O821" s="74">
        <v>6.7227014986421754</v>
      </c>
      <c r="P821" s="73"/>
      <c r="Q821" s="72">
        <v>3674.4687321064348</v>
      </c>
      <c r="R821" s="72">
        <v>1659.3638863827819</v>
      </c>
      <c r="S821" s="73"/>
      <c r="T821" s="74">
        <v>4.7137165627047031</v>
      </c>
      <c r="U821" s="74">
        <v>4.8517325633968369</v>
      </c>
      <c r="V821" s="73"/>
      <c r="W821" s="72">
        <v>8214.8534241775506</v>
      </c>
      <c r="X821" s="72">
        <v>8265.1120497611755</v>
      </c>
      <c r="Y821" s="73"/>
      <c r="Z821" s="74">
        <v>3.0012815028582538</v>
      </c>
      <c r="AA821" s="74">
        <v>3.061714949716404</v>
      </c>
      <c r="AB821" s="73"/>
      <c r="AC821" s="72">
        <v>50300.921949584364</v>
      </c>
      <c r="AD821" s="72">
        <v>50071.042281699782</v>
      </c>
      <c r="AE821" s="73"/>
      <c r="AF821" s="74">
        <v>4.9779980026924937</v>
      </c>
      <c r="AG821" s="74">
        <v>5.1760899393198363</v>
      </c>
      <c r="AH821" s="73"/>
      <c r="AI821" s="72">
        <v>1697124.0062368391</v>
      </c>
      <c r="AJ821" s="72">
        <v>0</v>
      </c>
      <c r="AK821" s="73"/>
      <c r="AL821" s="74">
        <v>-1614.8457000899064</v>
      </c>
      <c r="AM821" s="74">
        <v>0</v>
      </c>
      <c r="AN821" s="73"/>
      <c r="AO821" s="72">
        <v>110900.91888219329</v>
      </c>
      <c r="AP821" s="72">
        <v>0</v>
      </c>
      <c r="AQ821" s="73"/>
      <c r="AR821" s="74">
        <v>-85.814419342010169</v>
      </c>
      <c r="AS821" s="74">
        <v>0</v>
      </c>
      <c r="AT821" s="73"/>
      <c r="AU821" s="72">
        <v>47892102.797478534</v>
      </c>
      <c r="AV821" s="72">
        <v>0</v>
      </c>
      <c r="AW821" s="73"/>
      <c r="AX821" s="74">
        <v>-3280.1650528862879</v>
      </c>
      <c r="AY821" s="74">
        <v>0</v>
      </c>
      <c r="AZ821" s="73"/>
      <c r="BA821" s="72">
        <v>-464817.23054489202</v>
      </c>
      <c r="BB821" s="72">
        <v>0</v>
      </c>
      <c r="BC821" s="73"/>
      <c r="BD821" s="74">
        <v>-558.91913228203384</v>
      </c>
      <c r="BE821" s="74">
        <v>0</v>
      </c>
      <c r="BF821" s="73"/>
      <c r="BG821" s="72">
        <v>3622569.1162770563</v>
      </c>
      <c r="BH821" s="72">
        <v>0</v>
      </c>
      <c r="BI821" s="73"/>
      <c r="BJ821" s="74">
        <v>-3121.6407193089117</v>
      </c>
      <c r="BK821" s="74">
        <v>0</v>
      </c>
      <c r="BL821" s="73"/>
      <c r="BM821" s="72">
        <v>52857879.608329728</v>
      </c>
      <c r="BN821" s="72">
        <v>0</v>
      </c>
      <c r="BO821" s="73"/>
      <c r="BP821" s="74">
        <v>-8661.385023909148</v>
      </c>
      <c r="BQ821" s="74">
        <v>0</v>
      </c>
      <c r="BS821" s="109">
        <f t="shared" si="306"/>
        <v>115128.49411320097</v>
      </c>
      <c r="BT821" s="109">
        <f t="shared" si="307"/>
        <v>115445.16852185107</v>
      </c>
      <c r="BV821" s="58">
        <f t="array" ref="BV821">SUM(IF(BS821:BT821&gt;=BS821, 1))</f>
        <v>2</v>
      </c>
      <c r="BW821" s="58">
        <f t="array" ref="BW821">SUM(IF(BS821:BT821&gt;=BT821, 1))</f>
        <v>1</v>
      </c>
      <c r="BY821" s="109">
        <f t="shared" si="308"/>
        <v>133919.09781329322</v>
      </c>
      <c r="BZ821" s="109">
        <f t="shared" si="309"/>
        <v>134186.61377207813</v>
      </c>
      <c r="CB821" s="58">
        <f t="array" ref="CB821">SUM(IF(BY821:BZ821&gt;=BY821, 1))</f>
        <v>2</v>
      </c>
      <c r="CC821" s="58">
        <f t="array" ref="CC821">SUM(IF(BY821:BZ821&gt;=BZ821, 1))</f>
        <v>1</v>
      </c>
      <c r="CE821" s="109">
        <f t="shared" si="310"/>
        <v>90599.862521987627</v>
      </c>
      <c r="CF821" s="109">
        <f t="shared" si="311"/>
        <v>95375.287381553964</v>
      </c>
      <c r="CH821" s="58">
        <f t="array" ref="CH821">SUM(IF(CE821:CF821&gt;=CE821, 1))</f>
        <v>2</v>
      </c>
      <c r="CI821" s="58">
        <f t="array" ref="CI821">SUM(IF(CE821:CF821&gt;=CF821, 1))</f>
        <v>1</v>
      </c>
      <c r="CK821" s="109">
        <f t="shared" si="312"/>
        <v>51810.77663298753</v>
      </c>
      <c r="CL821" s="109">
        <f t="shared" si="313"/>
        <v>52969.1869445669</v>
      </c>
      <c r="CN821" s="58">
        <f t="array" ref="CN821">SUM(IF(CK821:CL821&gt;=CK821, 1))</f>
        <v>2</v>
      </c>
      <c r="CO821" s="58">
        <f t="array" ref="CO821">SUM(IF(CK821:CL821&gt;=CL821, 1))</f>
        <v>1</v>
      </c>
      <c r="CQ821" s="109" cm="1">
        <f t="array" ref="CQ821">AF821*WTP-AC821</f>
        <v>49259.038104265514</v>
      </c>
      <c r="CR821" s="109">
        <f t="shared" si="314"/>
        <v>53450.756504696947</v>
      </c>
      <c r="CT821" s="58">
        <f t="array" ref="CT821">SUM(IF(CQ821:CR821&gt;=CQ821, 1))</f>
        <v>2</v>
      </c>
      <c r="CU821" s="58">
        <f t="array" ref="CU821">SUM(IF(CQ821:CR821&gt;=CR821, 1))</f>
        <v>1</v>
      </c>
      <c r="CW821" s="109">
        <f t="shared" si="315"/>
        <v>-33994038.008034967</v>
      </c>
      <c r="CX821" s="109">
        <f t="shared" si="316"/>
        <v>0</v>
      </c>
      <c r="CZ821" s="58">
        <f t="array" ref="CZ821">SUM(IF(CW821:CX821&gt;=CW821, 1))</f>
        <v>2</v>
      </c>
      <c r="DA821" s="58">
        <f t="array" ref="DA821">SUM(IF(CW821:CX821&gt;=CX821, 1))</f>
        <v>1</v>
      </c>
      <c r="DC821" s="109">
        <f t="shared" si="317"/>
        <v>-1827189.3057223966</v>
      </c>
      <c r="DD821" s="109">
        <f t="shared" si="318"/>
        <v>0</v>
      </c>
      <c r="DF821" s="58">
        <f t="array" ref="DF821">SUM(IF(DC821:DD821&gt;=DC821, 1))</f>
        <v>2</v>
      </c>
      <c r="DG821" s="58">
        <f t="array" ref="DG821">SUM(IF(DC821:DD821&gt;=DD821, 1))</f>
        <v>1</v>
      </c>
      <c r="DI821" s="109">
        <f t="shared" si="319"/>
        <v>-113495403.85520428</v>
      </c>
      <c r="DJ821" s="109">
        <f t="shared" si="320"/>
        <v>0</v>
      </c>
      <c r="DL821" s="58">
        <f t="array" ref="DL821">SUM(IF(DI821:DJ821&gt;=DI821, 1))</f>
        <v>2</v>
      </c>
      <c r="DM821" s="58">
        <f t="array" ref="DM821">SUM(IF(DI821:DJ821&gt;=DJ821, 1))</f>
        <v>1</v>
      </c>
      <c r="DO821" s="109">
        <f t="shared" si="321"/>
        <v>-10713565.415095786</v>
      </c>
      <c r="DP821" s="109">
        <f t="shared" si="322"/>
        <v>0</v>
      </c>
      <c r="DR821" s="58">
        <f t="array" ref="DR821">SUM(IF(DO821:DP821&gt;=DO821, 1))</f>
        <v>2</v>
      </c>
      <c r="DS821" s="58">
        <f t="array" ref="DS821">SUM(IF(DO821:DP821&gt;=DP821, 1))</f>
        <v>1</v>
      </c>
      <c r="DU821" s="109">
        <f t="shared" si="323"/>
        <v>-66055383.502455287</v>
      </c>
      <c r="DV821" s="109">
        <f t="shared" si="324"/>
        <v>0</v>
      </c>
      <c r="DX821" s="58">
        <f t="array" ref="DX821">SUM(IF(DU821:DV821&gt;=DU821, 1))</f>
        <v>2</v>
      </c>
      <c r="DY821" s="58">
        <f t="array" ref="DY821">SUM(IF(DU821:DV821&gt;=DV821, 1))</f>
        <v>1</v>
      </c>
      <c r="EA821" s="109">
        <f t="shared" si="325"/>
        <v>-226085580.08651268</v>
      </c>
      <c r="EB821" s="109">
        <f t="shared" si="326"/>
        <v>0</v>
      </c>
      <c r="ED821" s="58">
        <f t="array" ref="ED821">SUM(IF(EA821:EB821&gt;=EA821, 1))</f>
        <v>2</v>
      </c>
      <c r="EE821" s="58">
        <f t="array" ref="EE821">SUM(IF(EA821:EB821&gt;=EB821, 1))</f>
        <v>1</v>
      </c>
    </row>
    <row r="822" spans="4:135" ht="12" customHeight="1" x14ac:dyDescent="0.25">
      <c r="D822" s="11">
        <v>806</v>
      </c>
      <c r="E822" s="72">
        <v>238.66466602376926</v>
      </c>
      <c r="F822" s="72">
        <v>211.59331864621475</v>
      </c>
      <c r="G822" s="73"/>
      <c r="H822" s="74">
        <v>5.8653739881719513</v>
      </c>
      <c r="I822" s="74">
        <v>5.8808318803396737</v>
      </c>
      <c r="J822" s="73"/>
      <c r="K822" s="72">
        <v>255.68158795624907</v>
      </c>
      <c r="L822" s="72">
        <v>227.9762229945843</v>
      </c>
      <c r="M822" s="73"/>
      <c r="N822" s="74">
        <v>6.6553762172363164</v>
      </c>
      <c r="O822" s="74">
        <v>6.6686524543435484</v>
      </c>
      <c r="P822" s="73"/>
      <c r="Q822" s="72">
        <v>2023.7041331772475</v>
      </c>
      <c r="R822" s="72">
        <v>1234.5171792920623</v>
      </c>
      <c r="S822" s="73"/>
      <c r="T822" s="74">
        <v>4.7460351660432591</v>
      </c>
      <c r="U822" s="74">
        <v>4.8274541189328479</v>
      </c>
      <c r="V822" s="73"/>
      <c r="W822" s="72">
        <v>11407.032097598589</v>
      </c>
      <c r="X822" s="72">
        <v>11401.147706115227</v>
      </c>
      <c r="Y822" s="73"/>
      <c r="Z822" s="74">
        <v>2.9610180154391026</v>
      </c>
      <c r="AA822" s="74">
        <v>2.9972073710400533</v>
      </c>
      <c r="AB822" s="73"/>
      <c r="AC822" s="72">
        <v>49821.464048824557</v>
      </c>
      <c r="AD822" s="72">
        <v>49480.894140648823</v>
      </c>
      <c r="AE822" s="73"/>
      <c r="AF822" s="74">
        <v>4.5855846297527627</v>
      </c>
      <c r="AG822" s="74">
        <v>4.7104175944362039</v>
      </c>
      <c r="AH822" s="73"/>
      <c r="AI822" s="72">
        <v>2920413.8389941044</v>
      </c>
      <c r="AJ822" s="72">
        <v>0</v>
      </c>
      <c r="AK822" s="73"/>
      <c r="AL822" s="74">
        <v>-1667.5727875194209</v>
      </c>
      <c r="AM822" s="74">
        <v>0</v>
      </c>
      <c r="AN822" s="73"/>
      <c r="AO822" s="72">
        <v>194615.77936825893</v>
      </c>
      <c r="AP822" s="72">
        <v>0</v>
      </c>
      <c r="AQ822" s="73"/>
      <c r="AR822" s="74">
        <v>-93.258660742308592</v>
      </c>
      <c r="AS822" s="74">
        <v>0</v>
      </c>
      <c r="AT822" s="73"/>
      <c r="AU822" s="72">
        <v>18072178.388029851</v>
      </c>
      <c r="AV822" s="72">
        <v>0</v>
      </c>
      <c r="AW822" s="73"/>
      <c r="AX822" s="74">
        <v>-1864.4730929007678</v>
      </c>
      <c r="AY822" s="74">
        <v>0</v>
      </c>
      <c r="AZ822" s="73"/>
      <c r="BA822" s="72">
        <v>51155.720449407527</v>
      </c>
      <c r="BB822" s="72">
        <v>0</v>
      </c>
      <c r="BC822" s="73"/>
      <c r="BD822" s="74">
        <v>-314.61070589900339</v>
      </c>
      <c r="BE822" s="74">
        <v>0</v>
      </c>
      <c r="BF822" s="73"/>
      <c r="BG822" s="72">
        <v>5416953.6475130627</v>
      </c>
      <c r="BH822" s="72">
        <v>0</v>
      </c>
      <c r="BI822" s="73"/>
      <c r="BJ822" s="74">
        <v>-1985.5376741708776</v>
      </c>
      <c r="BK822" s="74">
        <v>0</v>
      </c>
      <c r="BL822" s="73"/>
      <c r="BM822" s="72">
        <v>26655317.374354683</v>
      </c>
      <c r="BN822" s="72">
        <v>0</v>
      </c>
      <c r="BO822" s="73"/>
      <c r="BP822" s="74">
        <v>-5925.4529212323778</v>
      </c>
      <c r="BQ822" s="74">
        <v>0</v>
      </c>
      <c r="BS822" s="109">
        <f t="shared" si="306"/>
        <v>117068.81509741525</v>
      </c>
      <c r="BT822" s="109">
        <f t="shared" si="307"/>
        <v>117405.04428814726</v>
      </c>
      <c r="BV822" s="58">
        <f t="array" ref="BV822">SUM(IF(BS822:BT822&gt;=BS822, 1))</f>
        <v>2</v>
      </c>
      <c r="BW822" s="58">
        <f t="array" ref="BW822">SUM(IF(BS822:BT822&gt;=BT822, 1))</f>
        <v>1</v>
      </c>
      <c r="BY822" s="109">
        <f t="shared" si="308"/>
        <v>132851.84275677009</v>
      </c>
      <c r="BZ822" s="109">
        <f t="shared" si="309"/>
        <v>133145.07286387638</v>
      </c>
      <c r="CB822" s="58">
        <f t="array" ref="CB822">SUM(IF(BY822:BZ822&gt;=BY822, 1))</f>
        <v>2</v>
      </c>
      <c r="CC822" s="58">
        <f t="array" ref="CC822">SUM(IF(BY822:BZ822&gt;=BZ822, 1))</f>
        <v>1</v>
      </c>
      <c r="CE822" s="109">
        <f t="shared" si="310"/>
        <v>92896.999187687936</v>
      </c>
      <c r="CF822" s="109">
        <f t="shared" si="311"/>
        <v>95314.565199364893</v>
      </c>
      <c r="CH822" s="58">
        <f t="array" ref="CH822">SUM(IF(CE822:CF822&gt;=CE822, 1))</f>
        <v>2</v>
      </c>
      <c r="CI822" s="58">
        <f t="array" ref="CI822">SUM(IF(CE822:CF822&gt;=CF822, 1))</f>
        <v>1</v>
      </c>
      <c r="CK822" s="109">
        <f t="shared" si="312"/>
        <v>47813.328211183463</v>
      </c>
      <c r="CL822" s="109">
        <f t="shared" si="313"/>
        <v>48542.999714685844</v>
      </c>
      <c r="CN822" s="58">
        <f t="array" ref="CN822">SUM(IF(CK822:CL822&gt;=CK822, 1))</f>
        <v>2</v>
      </c>
      <c r="CO822" s="58">
        <f t="array" ref="CO822">SUM(IF(CK822:CL822&gt;=CL822, 1))</f>
        <v>1</v>
      </c>
      <c r="CQ822" s="109" cm="1">
        <f t="array" ref="CQ822">AF822*WTP-AC822</f>
        <v>41890.228546230697</v>
      </c>
      <c r="CR822" s="109">
        <f t="shared" si="314"/>
        <v>44727.457748075256</v>
      </c>
      <c r="CT822" s="58">
        <f t="array" ref="CT822">SUM(IF(CQ822:CR822&gt;=CQ822, 1))</f>
        <v>2</v>
      </c>
      <c r="CU822" s="58">
        <f t="array" ref="CU822">SUM(IF(CQ822:CR822&gt;=CR822, 1))</f>
        <v>1</v>
      </c>
      <c r="CW822" s="109">
        <f t="shared" si="315"/>
        <v>-36271869.589382522</v>
      </c>
      <c r="CX822" s="109">
        <f t="shared" si="316"/>
        <v>0</v>
      </c>
      <c r="CZ822" s="58">
        <f t="array" ref="CZ822">SUM(IF(CW822:CX822&gt;=CW822, 1))</f>
        <v>2</v>
      </c>
      <c r="DA822" s="58">
        <f t="array" ref="DA822">SUM(IF(CW822:CX822&gt;=CX822, 1))</f>
        <v>1</v>
      </c>
      <c r="DC822" s="109">
        <f t="shared" si="317"/>
        <v>-2059788.9942144309</v>
      </c>
      <c r="DD822" s="109">
        <f t="shared" si="318"/>
        <v>0</v>
      </c>
      <c r="DF822" s="58">
        <f t="array" ref="DF822">SUM(IF(DC822:DD822&gt;=DC822, 1))</f>
        <v>2</v>
      </c>
      <c r="DG822" s="58">
        <f t="array" ref="DG822">SUM(IF(DC822:DD822&gt;=DD822, 1))</f>
        <v>1</v>
      </c>
      <c r="DI822" s="109">
        <f t="shared" si="319"/>
        <v>-55361640.246045209</v>
      </c>
      <c r="DJ822" s="109">
        <f t="shared" si="320"/>
        <v>0</v>
      </c>
      <c r="DL822" s="58">
        <f t="array" ref="DL822">SUM(IF(DI822:DJ822&gt;=DI822, 1))</f>
        <v>2</v>
      </c>
      <c r="DM822" s="58">
        <f t="array" ref="DM822">SUM(IF(DI822:DJ822&gt;=DJ822, 1))</f>
        <v>1</v>
      </c>
      <c r="DO822" s="109">
        <f t="shared" si="321"/>
        <v>-6343369.8384294752</v>
      </c>
      <c r="DP822" s="109">
        <f t="shared" si="322"/>
        <v>0</v>
      </c>
      <c r="DR822" s="58">
        <f t="array" ref="DR822">SUM(IF(DO822:DP822&gt;=DO822, 1))</f>
        <v>2</v>
      </c>
      <c r="DS822" s="58">
        <f t="array" ref="DS822">SUM(IF(DO822:DP822&gt;=DP822, 1))</f>
        <v>1</v>
      </c>
      <c r="DU822" s="109">
        <f t="shared" si="323"/>
        <v>-45127707.130930617</v>
      </c>
      <c r="DV822" s="109">
        <f t="shared" si="324"/>
        <v>0</v>
      </c>
      <c r="DX822" s="58">
        <f t="array" ref="DX822">SUM(IF(DU822:DV822&gt;=DU822, 1))</f>
        <v>2</v>
      </c>
      <c r="DY822" s="58">
        <f t="array" ref="DY822">SUM(IF(DU822:DV822&gt;=DV822, 1))</f>
        <v>1</v>
      </c>
      <c r="EA822" s="109">
        <f t="shared" si="325"/>
        <v>-145164375.79900223</v>
      </c>
      <c r="EB822" s="109">
        <f t="shared" si="326"/>
        <v>0</v>
      </c>
      <c r="ED822" s="58">
        <f t="array" ref="ED822">SUM(IF(EA822:EB822&gt;=EA822, 1))</f>
        <v>2</v>
      </c>
      <c r="EE822" s="58">
        <f t="array" ref="EE822">SUM(IF(EA822:EB822&gt;=EB822, 1))</f>
        <v>1</v>
      </c>
    </row>
    <row r="823" spans="4:135" ht="12" customHeight="1" x14ac:dyDescent="0.25">
      <c r="D823" s="11">
        <v>807</v>
      </c>
      <c r="E823" s="72">
        <v>302.99353892286518</v>
      </c>
      <c r="F823" s="72">
        <v>288.00699207375322</v>
      </c>
      <c r="G823" s="73"/>
      <c r="H823" s="74">
        <v>5.7910212541584523</v>
      </c>
      <c r="I823" s="74">
        <v>5.8049759943558445</v>
      </c>
      <c r="J823" s="73"/>
      <c r="K823" s="72">
        <v>325.89114811547847</v>
      </c>
      <c r="L823" s="72">
        <v>310.54319365635797</v>
      </c>
      <c r="M823" s="73"/>
      <c r="N823" s="74">
        <v>6.7116878584844768</v>
      </c>
      <c r="O823" s="74">
        <v>6.7239573554098984</v>
      </c>
      <c r="P823" s="73"/>
      <c r="Q823" s="72">
        <v>3391.0347521340909</v>
      </c>
      <c r="R823" s="72">
        <v>1422.8331412769701</v>
      </c>
      <c r="S823" s="73"/>
      <c r="T823" s="74">
        <v>4.8330151155043506</v>
      </c>
      <c r="U823" s="74">
        <v>4.9722979041438844</v>
      </c>
      <c r="V823" s="73"/>
      <c r="W823" s="72">
        <v>13467.966867468584</v>
      </c>
      <c r="X823" s="72">
        <v>13433.35966622044</v>
      </c>
      <c r="Y823" s="73"/>
      <c r="Z823" s="74">
        <v>3.0775640385775009</v>
      </c>
      <c r="AA823" s="74">
        <v>3.1190258277506708</v>
      </c>
      <c r="AB823" s="73"/>
      <c r="AC823" s="72">
        <v>51826.306508130539</v>
      </c>
      <c r="AD823" s="72">
        <v>51501.449558017339</v>
      </c>
      <c r="AE823" s="73"/>
      <c r="AF823" s="74">
        <v>4.3404535442737444</v>
      </c>
      <c r="AG823" s="74">
        <v>4.4360362194415845</v>
      </c>
      <c r="AH823" s="73"/>
      <c r="AI823" s="72">
        <v>1596770.681498338</v>
      </c>
      <c r="AJ823" s="72">
        <v>0</v>
      </c>
      <c r="AK823" s="73"/>
      <c r="AL823" s="74">
        <v>-1486.8348419064066</v>
      </c>
      <c r="AM823" s="74">
        <v>0</v>
      </c>
      <c r="AN823" s="73"/>
      <c r="AO823" s="72">
        <v>106602.34526361078</v>
      </c>
      <c r="AP823" s="72">
        <v>0</v>
      </c>
      <c r="AQ823" s="73"/>
      <c r="AR823" s="74">
        <v>-85.220291142924836</v>
      </c>
      <c r="AS823" s="74">
        <v>0</v>
      </c>
      <c r="AT823" s="73"/>
      <c r="AU823" s="72">
        <v>44908211.468808748</v>
      </c>
      <c r="AV823" s="72">
        <v>0</v>
      </c>
      <c r="AW823" s="73"/>
      <c r="AX823" s="74">
        <v>-3177.9980728019264</v>
      </c>
      <c r="AY823" s="74">
        <v>0</v>
      </c>
      <c r="AZ823" s="73"/>
      <c r="BA823" s="72">
        <v>313166.29313084105</v>
      </c>
      <c r="BB823" s="72">
        <v>0</v>
      </c>
      <c r="BC823" s="73"/>
      <c r="BD823" s="74">
        <v>-375.1945940046383</v>
      </c>
      <c r="BE823" s="74">
        <v>0</v>
      </c>
      <c r="BF823" s="73"/>
      <c r="BG823" s="72">
        <v>5351485.405405662</v>
      </c>
      <c r="BH823" s="72">
        <v>0</v>
      </c>
      <c r="BI823" s="73"/>
      <c r="BJ823" s="74">
        <v>-1574.5677935844828</v>
      </c>
      <c r="BK823" s="74">
        <v>0</v>
      </c>
      <c r="BL823" s="73"/>
      <c r="BM823" s="72">
        <v>52276236.194107197</v>
      </c>
      <c r="BN823" s="72">
        <v>0</v>
      </c>
      <c r="BO823" s="73"/>
      <c r="BP823" s="74">
        <v>-6699.8155934403785</v>
      </c>
      <c r="BQ823" s="74">
        <v>0</v>
      </c>
      <c r="BS823" s="109">
        <f t="shared" si="306"/>
        <v>115517.43154424618</v>
      </c>
      <c r="BT823" s="109">
        <f t="shared" si="307"/>
        <v>115811.51289504314</v>
      </c>
      <c r="BV823" s="58">
        <f t="array" ref="BV823">SUM(IF(BS823:BT823&gt;=BS823, 1))</f>
        <v>2</v>
      </c>
      <c r="BW823" s="58">
        <f t="array" ref="BW823">SUM(IF(BS823:BT823&gt;=BT823, 1))</f>
        <v>1</v>
      </c>
      <c r="BY823" s="109">
        <f t="shared" si="308"/>
        <v>133907.86602157407</v>
      </c>
      <c r="BZ823" s="109">
        <f t="shared" si="309"/>
        <v>134168.6039145416</v>
      </c>
      <c r="CB823" s="58">
        <f t="array" ref="CB823">SUM(IF(BY823:BZ823&gt;=BY823, 1))</f>
        <v>2</v>
      </c>
      <c r="CC823" s="58">
        <f t="array" ref="CC823">SUM(IF(BY823:BZ823&gt;=BZ823, 1))</f>
        <v>1</v>
      </c>
      <c r="CE823" s="109">
        <f t="shared" si="310"/>
        <v>93269.267557952917</v>
      </c>
      <c r="CF823" s="109">
        <f t="shared" si="311"/>
        <v>98023.124941600705</v>
      </c>
      <c r="CH823" s="58">
        <f t="array" ref="CH823">SUM(IF(CE823:CF823&gt;=CE823, 1))</f>
        <v>2</v>
      </c>
      <c r="CI823" s="58">
        <f t="array" ref="CI823">SUM(IF(CE823:CF823&gt;=CF823, 1))</f>
        <v>1</v>
      </c>
      <c r="CK823" s="109">
        <f t="shared" si="312"/>
        <v>48083.313904081435</v>
      </c>
      <c r="CL823" s="109">
        <f t="shared" si="313"/>
        <v>48947.156888792975</v>
      </c>
      <c r="CN823" s="58">
        <f t="array" ref="CN823">SUM(IF(CK823:CL823&gt;=CK823, 1))</f>
        <v>2</v>
      </c>
      <c r="CO823" s="58">
        <f t="array" ref="CO823">SUM(IF(CK823:CL823&gt;=CL823, 1))</f>
        <v>1</v>
      </c>
      <c r="CQ823" s="109" cm="1">
        <f t="array" ref="CQ823">AF823*WTP-AC823</f>
        <v>34982.764377344356</v>
      </c>
      <c r="CR823" s="109">
        <f t="shared" si="314"/>
        <v>37219.274830814349</v>
      </c>
      <c r="CT823" s="58">
        <f t="array" ref="CT823">SUM(IF(CQ823:CR823&gt;=CQ823, 1))</f>
        <v>2</v>
      </c>
      <c r="CU823" s="58">
        <f t="array" ref="CU823">SUM(IF(CQ823:CR823&gt;=CR823, 1))</f>
        <v>1</v>
      </c>
      <c r="CW823" s="109">
        <f t="shared" si="315"/>
        <v>-31333467.519626468</v>
      </c>
      <c r="CX823" s="109">
        <f t="shared" si="316"/>
        <v>0</v>
      </c>
      <c r="CZ823" s="58">
        <f t="array" ref="CZ823">SUM(IF(CW823:CX823&gt;=CW823, 1))</f>
        <v>2</v>
      </c>
      <c r="DA823" s="58">
        <f t="array" ref="DA823">SUM(IF(CW823:CX823&gt;=CX823, 1))</f>
        <v>1</v>
      </c>
      <c r="DC823" s="109">
        <f t="shared" si="317"/>
        <v>-1811008.1681221076</v>
      </c>
      <c r="DD823" s="109">
        <f t="shared" si="318"/>
        <v>0</v>
      </c>
      <c r="DF823" s="58">
        <f t="array" ref="DF823">SUM(IF(DC823:DD823&gt;=DC823, 1))</f>
        <v>2</v>
      </c>
      <c r="DG823" s="58">
        <f t="array" ref="DG823">SUM(IF(DC823:DD823&gt;=DD823, 1))</f>
        <v>1</v>
      </c>
      <c r="DI823" s="109">
        <f t="shared" si="319"/>
        <v>-108468172.92484728</v>
      </c>
      <c r="DJ823" s="109">
        <f t="shared" si="320"/>
        <v>0</v>
      </c>
      <c r="DL823" s="58">
        <f t="array" ref="DL823">SUM(IF(DI823:DJ823&gt;=DI823, 1))</f>
        <v>2</v>
      </c>
      <c r="DM823" s="58">
        <f t="array" ref="DM823">SUM(IF(DI823:DJ823&gt;=DJ823, 1))</f>
        <v>1</v>
      </c>
      <c r="DO823" s="109">
        <f t="shared" si="321"/>
        <v>-7817058.1732236072</v>
      </c>
      <c r="DP823" s="109">
        <f t="shared" si="322"/>
        <v>0</v>
      </c>
      <c r="DR823" s="58">
        <f t="array" ref="DR823">SUM(IF(DO823:DP823&gt;=DO823, 1))</f>
        <v>2</v>
      </c>
      <c r="DS823" s="58">
        <f t="array" ref="DS823">SUM(IF(DO823:DP823&gt;=DP823, 1))</f>
        <v>1</v>
      </c>
      <c r="DU823" s="109">
        <f t="shared" si="323"/>
        <v>-36842841.277095318</v>
      </c>
      <c r="DV823" s="109">
        <f t="shared" si="324"/>
        <v>0</v>
      </c>
      <c r="DX823" s="58">
        <f t="array" ref="DX823">SUM(IF(DU823:DV823&gt;=DU823, 1))</f>
        <v>2</v>
      </c>
      <c r="DY823" s="58">
        <f t="array" ref="DY823">SUM(IF(DU823:DV823&gt;=DV823, 1))</f>
        <v>1</v>
      </c>
      <c r="EA823" s="109">
        <f t="shared" si="325"/>
        <v>-186272548.06291476</v>
      </c>
      <c r="EB823" s="109">
        <f t="shared" si="326"/>
        <v>0</v>
      </c>
      <c r="ED823" s="58">
        <f t="array" ref="ED823">SUM(IF(EA823:EB823&gt;=EA823, 1))</f>
        <v>2</v>
      </c>
      <c r="EE823" s="58">
        <f t="array" ref="EE823">SUM(IF(EA823:EB823&gt;=EB823, 1))</f>
        <v>1</v>
      </c>
    </row>
    <row r="824" spans="4:135" ht="12" customHeight="1" x14ac:dyDescent="0.25">
      <c r="D824" s="11">
        <v>808</v>
      </c>
      <c r="E824" s="72">
        <v>248.26632851370815</v>
      </c>
      <c r="F824" s="72">
        <v>234.15924345787425</v>
      </c>
      <c r="G824" s="73"/>
      <c r="H824" s="74">
        <v>5.8570906388185451</v>
      </c>
      <c r="I824" s="74">
        <v>5.8713629273615151</v>
      </c>
      <c r="J824" s="73"/>
      <c r="K824" s="72">
        <v>266.98276029732216</v>
      </c>
      <c r="L824" s="72">
        <v>252.5102519385093</v>
      </c>
      <c r="M824" s="73"/>
      <c r="N824" s="74">
        <v>6.6997929790788673</v>
      </c>
      <c r="O824" s="74">
        <v>6.7116271327890358</v>
      </c>
      <c r="P824" s="73"/>
      <c r="Q824" s="72">
        <v>2292.8417186017718</v>
      </c>
      <c r="R824" s="72">
        <v>1462.2991589485896</v>
      </c>
      <c r="S824" s="73"/>
      <c r="T824" s="74">
        <v>4.7637279251596345</v>
      </c>
      <c r="U824" s="74">
        <v>4.8617369624267814</v>
      </c>
      <c r="V824" s="73"/>
      <c r="W824" s="72">
        <v>10412.856512532026</v>
      </c>
      <c r="X824" s="72">
        <v>10447.799902987708</v>
      </c>
      <c r="Y824" s="73"/>
      <c r="Z824" s="74">
        <v>3.2093271316173135</v>
      </c>
      <c r="AA824" s="74">
        <v>3.2670120054499092</v>
      </c>
      <c r="AB824" s="73"/>
      <c r="AC824" s="72">
        <v>50481.645607044098</v>
      </c>
      <c r="AD824" s="72">
        <v>50468.979194604879</v>
      </c>
      <c r="AE824" s="73"/>
      <c r="AF824" s="74">
        <v>4.7726239668795563</v>
      </c>
      <c r="AG824" s="74">
        <v>4.8751126908837961</v>
      </c>
      <c r="AH824" s="73"/>
      <c r="AI824" s="72">
        <v>1517390.2512183515</v>
      </c>
      <c r="AJ824" s="72">
        <v>0</v>
      </c>
      <c r="AK824" s="73"/>
      <c r="AL824" s="74">
        <v>-1535.1599151748312</v>
      </c>
      <c r="AM824" s="74">
        <v>0</v>
      </c>
      <c r="AN824" s="73"/>
      <c r="AO824" s="72">
        <v>98160.142675016075</v>
      </c>
      <c r="AP824" s="72">
        <v>0</v>
      </c>
      <c r="AQ824" s="73"/>
      <c r="AR824" s="74">
        <v>-80.265437602655936</v>
      </c>
      <c r="AS824" s="74">
        <v>0</v>
      </c>
      <c r="AT824" s="73"/>
      <c r="AU824" s="72">
        <v>19436360.436219964</v>
      </c>
      <c r="AV824" s="72">
        <v>0</v>
      </c>
      <c r="AW824" s="73"/>
      <c r="AX824" s="74">
        <v>-2293.6078978621476</v>
      </c>
      <c r="AY824" s="74">
        <v>0</v>
      </c>
      <c r="AZ824" s="73"/>
      <c r="BA824" s="72">
        <v>-316458.43838711054</v>
      </c>
      <c r="BB824" s="72">
        <v>0</v>
      </c>
      <c r="BC824" s="73"/>
      <c r="BD824" s="74">
        <v>-522.41253220040721</v>
      </c>
      <c r="BE824" s="74">
        <v>0</v>
      </c>
      <c r="BF824" s="73"/>
      <c r="BG824" s="72">
        <v>200625.6595732533</v>
      </c>
      <c r="BH824" s="72">
        <v>0</v>
      </c>
      <c r="BI824" s="73"/>
      <c r="BJ824" s="74">
        <v>-1623.3379380972806</v>
      </c>
      <c r="BK824" s="74">
        <v>0</v>
      </c>
      <c r="BL824" s="73"/>
      <c r="BM824" s="72">
        <v>20936078.051299475</v>
      </c>
      <c r="BN824" s="72">
        <v>0</v>
      </c>
      <c r="BO824" s="73"/>
      <c r="BP824" s="74">
        <v>-6054.7837209373229</v>
      </c>
      <c r="BQ824" s="74">
        <v>0</v>
      </c>
      <c r="BS824" s="109">
        <f t="shared" si="306"/>
        <v>116893.5464478572</v>
      </c>
      <c r="BT824" s="109">
        <f t="shared" si="307"/>
        <v>117193.09930377243</v>
      </c>
      <c r="BV824" s="58">
        <f t="array" ref="BV824">SUM(IF(BS824:BT824&gt;=BS824, 1))</f>
        <v>2</v>
      </c>
      <c r="BW824" s="58">
        <f t="array" ref="BW824">SUM(IF(BS824:BT824&gt;=BT824, 1))</f>
        <v>1</v>
      </c>
      <c r="BY824" s="109">
        <f t="shared" si="308"/>
        <v>133728.87682128005</v>
      </c>
      <c r="BZ824" s="109">
        <f t="shared" si="309"/>
        <v>133980.0324038422</v>
      </c>
      <c r="CB824" s="58">
        <f t="array" ref="CB824">SUM(IF(BY824:BZ824&gt;=BY824, 1))</f>
        <v>2</v>
      </c>
      <c r="CC824" s="58">
        <f t="array" ref="CC824">SUM(IF(BY824:BZ824&gt;=BZ824, 1))</f>
        <v>1</v>
      </c>
      <c r="CE824" s="109">
        <f t="shared" si="310"/>
        <v>92981.716784590913</v>
      </c>
      <c r="CF824" s="109">
        <f t="shared" si="311"/>
        <v>95772.440089587035</v>
      </c>
      <c r="CH824" s="58">
        <f t="array" ref="CH824">SUM(IF(CE824:CF824&gt;=CE824, 1))</f>
        <v>2</v>
      </c>
      <c r="CI824" s="58">
        <f t="array" ref="CI824">SUM(IF(CE824:CF824&gt;=CF824, 1))</f>
        <v>1</v>
      </c>
      <c r="CK824" s="109">
        <f t="shared" si="312"/>
        <v>53773.686119814243</v>
      </c>
      <c r="CL824" s="109">
        <f t="shared" si="313"/>
        <v>54892.440206010477</v>
      </c>
      <c r="CN824" s="58">
        <f t="array" ref="CN824">SUM(IF(CK824:CL824&gt;=CK824, 1))</f>
        <v>2</v>
      </c>
      <c r="CO824" s="58">
        <f t="array" ref="CO824">SUM(IF(CK824:CL824&gt;=CL824, 1))</f>
        <v>1</v>
      </c>
      <c r="CQ824" s="109" cm="1">
        <f t="array" ref="CQ824">AF824*WTP-AC824</f>
        <v>44970.833730547027</v>
      </c>
      <c r="CR824" s="109">
        <f t="shared" si="314"/>
        <v>47033.274623071047</v>
      </c>
      <c r="CT824" s="58">
        <f t="array" ref="CT824">SUM(IF(CQ824:CR824&gt;=CQ824, 1))</f>
        <v>2</v>
      </c>
      <c r="CU824" s="58">
        <f t="array" ref="CU824">SUM(IF(CQ824:CR824&gt;=CR824, 1))</f>
        <v>1</v>
      </c>
      <c r="CW824" s="109">
        <f t="shared" si="315"/>
        <v>-32220588.554714978</v>
      </c>
      <c r="CX824" s="109">
        <f t="shared" si="316"/>
        <v>0</v>
      </c>
      <c r="CZ824" s="58">
        <f t="array" ref="CZ824">SUM(IF(CW824:CX824&gt;=CW824, 1))</f>
        <v>2</v>
      </c>
      <c r="DA824" s="58">
        <f t="array" ref="DA824">SUM(IF(CW824:CX824&gt;=CX824, 1))</f>
        <v>1</v>
      </c>
      <c r="DC824" s="109">
        <f t="shared" si="317"/>
        <v>-1703468.8947281349</v>
      </c>
      <c r="DD824" s="109">
        <f t="shared" si="318"/>
        <v>0</v>
      </c>
      <c r="DF824" s="58">
        <f t="array" ref="DF824">SUM(IF(DC824:DD824&gt;=DC824, 1))</f>
        <v>2</v>
      </c>
      <c r="DG824" s="58">
        <f t="array" ref="DG824">SUM(IF(DC824:DD824&gt;=DD824, 1))</f>
        <v>1</v>
      </c>
      <c r="DI824" s="109">
        <f t="shared" si="319"/>
        <v>-65308518.393462911</v>
      </c>
      <c r="DJ824" s="109">
        <f t="shared" si="320"/>
        <v>0</v>
      </c>
      <c r="DL824" s="58">
        <f t="array" ref="DL824">SUM(IF(DI824:DJ824&gt;=DI824, 1))</f>
        <v>2</v>
      </c>
      <c r="DM824" s="58">
        <f t="array" ref="DM824">SUM(IF(DI824:DJ824&gt;=DJ824, 1))</f>
        <v>1</v>
      </c>
      <c r="DO824" s="109">
        <f t="shared" si="321"/>
        <v>-10131792.205621034</v>
      </c>
      <c r="DP824" s="109">
        <f t="shared" si="322"/>
        <v>0</v>
      </c>
      <c r="DR824" s="58">
        <f t="array" ref="DR824">SUM(IF(DO824:DP824&gt;=DO824, 1))</f>
        <v>2</v>
      </c>
      <c r="DS824" s="58">
        <f t="array" ref="DS824">SUM(IF(DO824:DP824&gt;=DP824, 1))</f>
        <v>1</v>
      </c>
      <c r="DU824" s="109">
        <f t="shared" si="323"/>
        <v>-32667384.421518866</v>
      </c>
      <c r="DV824" s="109">
        <f t="shared" si="324"/>
        <v>0</v>
      </c>
      <c r="DX824" s="58">
        <f t="array" ref="DX824">SUM(IF(DU824:DV824&gt;=DU824, 1))</f>
        <v>2</v>
      </c>
      <c r="DY824" s="58">
        <f t="array" ref="DY824">SUM(IF(DU824:DV824&gt;=DV824, 1))</f>
        <v>1</v>
      </c>
      <c r="EA824" s="109">
        <f t="shared" si="325"/>
        <v>-142031752.47004592</v>
      </c>
      <c r="EB824" s="109">
        <f t="shared" si="326"/>
        <v>0</v>
      </c>
      <c r="ED824" s="58">
        <f t="array" ref="ED824">SUM(IF(EA824:EB824&gt;=EA824, 1))</f>
        <v>2</v>
      </c>
      <c r="EE824" s="58">
        <f t="array" ref="EE824">SUM(IF(EA824:EB824&gt;=EB824, 1))</f>
        <v>1</v>
      </c>
    </row>
    <row r="825" spans="4:135" ht="12" customHeight="1" x14ac:dyDescent="0.25">
      <c r="D825" s="11">
        <v>809</v>
      </c>
      <c r="E825" s="72">
        <v>193.96369816245181</v>
      </c>
      <c r="F825" s="72">
        <v>179.35227313954402</v>
      </c>
      <c r="G825" s="73"/>
      <c r="H825" s="74">
        <v>5.86033126959006</v>
      </c>
      <c r="I825" s="74">
        <v>5.878549579206986</v>
      </c>
      <c r="J825" s="73"/>
      <c r="K825" s="72">
        <v>208.38081824017453</v>
      </c>
      <c r="L825" s="72">
        <v>193.43716470171418</v>
      </c>
      <c r="M825" s="73"/>
      <c r="N825" s="74">
        <v>6.7051594298546968</v>
      </c>
      <c r="O825" s="74">
        <v>6.7216180027913568</v>
      </c>
      <c r="P825" s="73"/>
      <c r="Q825" s="72">
        <v>2735.9381050243992</v>
      </c>
      <c r="R825" s="72">
        <v>1567.9903094861259</v>
      </c>
      <c r="S825" s="73"/>
      <c r="T825" s="74">
        <v>4.8732485997547261</v>
      </c>
      <c r="U825" s="74">
        <v>4.9819358648319927</v>
      </c>
      <c r="V825" s="73"/>
      <c r="W825" s="72">
        <v>13841.646958883453</v>
      </c>
      <c r="X825" s="72">
        <v>13771.57202373305</v>
      </c>
      <c r="Y825" s="73"/>
      <c r="Z825" s="74">
        <v>3.2549643582322694</v>
      </c>
      <c r="AA825" s="74">
        <v>3.2878763808113667</v>
      </c>
      <c r="AB825" s="73"/>
      <c r="AC825" s="72">
        <v>49993.061190230539</v>
      </c>
      <c r="AD825" s="72">
        <v>49912.885274343673</v>
      </c>
      <c r="AE825" s="73"/>
      <c r="AF825" s="74">
        <v>4.7858392534000158</v>
      </c>
      <c r="AG825" s="74">
        <v>4.8917923112105797</v>
      </c>
      <c r="AH825" s="73"/>
      <c r="AI825" s="72">
        <v>1578786.8414102523</v>
      </c>
      <c r="AJ825" s="72">
        <v>0</v>
      </c>
      <c r="AK825" s="73"/>
      <c r="AL825" s="74">
        <v>-1968.5162433401392</v>
      </c>
      <c r="AM825" s="74">
        <v>0</v>
      </c>
      <c r="AN825" s="73"/>
      <c r="AO825" s="72">
        <v>104397.07654602097</v>
      </c>
      <c r="AP825" s="72">
        <v>0</v>
      </c>
      <c r="AQ825" s="73"/>
      <c r="AR825" s="74">
        <v>-114.98037573506203</v>
      </c>
      <c r="AS825" s="74">
        <v>0</v>
      </c>
      <c r="AT825" s="73"/>
      <c r="AU825" s="72">
        <v>27127256.433419403</v>
      </c>
      <c r="AV825" s="72">
        <v>0</v>
      </c>
      <c r="AW825" s="73"/>
      <c r="AX825" s="74">
        <v>-2524.4170347863987</v>
      </c>
      <c r="AY825" s="74">
        <v>0</v>
      </c>
      <c r="AZ825" s="73"/>
      <c r="BA825" s="72">
        <v>602507.46394861559</v>
      </c>
      <c r="BB825" s="72">
        <v>0</v>
      </c>
      <c r="BC825" s="73"/>
      <c r="BD825" s="74">
        <v>-282.97905970216596</v>
      </c>
      <c r="BE825" s="74">
        <v>0</v>
      </c>
      <c r="BF825" s="73"/>
      <c r="BG825" s="72">
        <v>1255406.7547565983</v>
      </c>
      <c r="BH825" s="72">
        <v>0</v>
      </c>
      <c r="BI825" s="73"/>
      <c r="BJ825" s="74">
        <v>-1659.0291858990468</v>
      </c>
      <c r="BK825" s="74">
        <v>0</v>
      </c>
      <c r="BL825" s="73"/>
      <c r="BM825" s="72">
        <v>30668354.570080891</v>
      </c>
      <c r="BN825" s="72">
        <v>0</v>
      </c>
      <c r="BO825" s="73"/>
      <c r="BP825" s="74">
        <v>-6549.9218994628127</v>
      </c>
      <c r="BQ825" s="74">
        <v>0</v>
      </c>
      <c r="BS825" s="109">
        <f t="shared" si="306"/>
        <v>117012.66169363874</v>
      </c>
      <c r="BT825" s="109">
        <f t="shared" si="307"/>
        <v>117391.63931100017</v>
      </c>
      <c r="BV825" s="58">
        <f t="array" ref="BV825">SUM(IF(BS825:BT825&gt;=BS825, 1))</f>
        <v>2</v>
      </c>
      <c r="BW825" s="58">
        <f t="array" ref="BW825">SUM(IF(BS825:BT825&gt;=BT825, 1))</f>
        <v>1</v>
      </c>
      <c r="BY825" s="109">
        <f t="shared" si="308"/>
        <v>133894.80777885378</v>
      </c>
      <c r="BZ825" s="109">
        <f t="shared" si="309"/>
        <v>134238.9228911254</v>
      </c>
      <c r="CB825" s="58">
        <f t="array" ref="CB825">SUM(IF(BY825:BZ825&gt;=BY825, 1))</f>
        <v>2</v>
      </c>
      <c r="CC825" s="58">
        <f t="array" ref="CC825">SUM(IF(BY825:BZ825&gt;=BZ825, 1))</f>
        <v>1</v>
      </c>
      <c r="CE825" s="109">
        <f t="shared" si="310"/>
        <v>94729.033890070132</v>
      </c>
      <c r="CF825" s="109">
        <f t="shared" si="311"/>
        <v>98070.726987153728</v>
      </c>
      <c r="CH825" s="58">
        <f t="array" ref="CH825">SUM(IF(CE825:CF825&gt;=CE825, 1))</f>
        <v>2</v>
      </c>
      <c r="CI825" s="58">
        <f t="array" ref="CI825">SUM(IF(CE825:CF825&gt;=CF825, 1))</f>
        <v>1</v>
      </c>
      <c r="CK825" s="109">
        <f t="shared" si="312"/>
        <v>51257.640205761934</v>
      </c>
      <c r="CL825" s="109">
        <f t="shared" si="313"/>
        <v>51985.955592494283</v>
      </c>
      <c r="CN825" s="58">
        <f t="array" ref="CN825">SUM(IF(CK825:CL825&gt;=CK825, 1))</f>
        <v>2</v>
      </c>
      <c r="CO825" s="58">
        <f t="array" ref="CO825">SUM(IF(CK825:CL825&gt;=CL825, 1))</f>
        <v>1</v>
      </c>
      <c r="CQ825" s="109" cm="1">
        <f t="array" ref="CQ825">AF825*WTP-AC825</f>
        <v>45723.723877769778</v>
      </c>
      <c r="CR825" s="109">
        <f t="shared" si="314"/>
        <v>47922.96094986792</v>
      </c>
      <c r="CT825" s="58">
        <f t="array" ref="CT825">SUM(IF(CQ825:CR825&gt;=CQ825, 1))</f>
        <v>2</v>
      </c>
      <c r="CU825" s="58">
        <f t="array" ref="CU825">SUM(IF(CQ825:CR825&gt;=CR825, 1))</f>
        <v>1</v>
      </c>
      <c r="CW825" s="109">
        <f t="shared" si="315"/>
        <v>-40949111.708213031</v>
      </c>
      <c r="CX825" s="109">
        <f t="shared" si="316"/>
        <v>0</v>
      </c>
      <c r="CZ825" s="58">
        <f t="array" ref="CZ825">SUM(IF(CW825:CX825&gt;=CW825, 1))</f>
        <v>2</v>
      </c>
      <c r="DA825" s="58">
        <f t="array" ref="DA825">SUM(IF(CW825:CX825&gt;=CX825, 1))</f>
        <v>1</v>
      </c>
      <c r="DC825" s="109">
        <f t="shared" si="317"/>
        <v>-2404004.5912472615</v>
      </c>
      <c r="DD825" s="109">
        <f t="shared" si="318"/>
        <v>0</v>
      </c>
      <c r="DF825" s="58">
        <f t="array" ref="DF825">SUM(IF(DC825:DD825&gt;=DC825, 1))</f>
        <v>2</v>
      </c>
      <c r="DG825" s="58">
        <f t="array" ref="DG825">SUM(IF(DC825:DD825&gt;=DD825, 1))</f>
        <v>1</v>
      </c>
      <c r="DI825" s="109">
        <f t="shared" si="319"/>
        <v>-77615597.129147381</v>
      </c>
      <c r="DJ825" s="109">
        <f t="shared" si="320"/>
        <v>0</v>
      </c>
      <c r="DL825" s="58">
        <f t="array" ref="DL825">SUM(IF(DI825:DJ825&gt;=DI825, 1))</f>
        <v>2</v>
      </c>
      <c r="DM825" s="58">
        <f t="array" ref="DM825">SUM(IF(DI825:DJ825&gt;=DJ825, 1))</f>
        <v>1</v>
      </c>
      <c r="DO825" s="109">
        <f t="shared" si="321"/>
        <v>-6262088.6579919346</v>
      </c>
      <c r="DP825" s="109">
        <f t="shared" si="322"/>
        <v>0</v>
      </c>
      <c r="DR825" s="58">
        <f t="array" ref="DR825">SUM(IF(DO825:DP825&gt;=DO825, 1))</f>
        <v>2</v>
      </c>
      <c r="DS825" s="58">
        <f t="array" ref="DS825">SUM(IF(DO825:DP825&gt;=DP825, 1))</f>
        <v>1</v>
      </c>
      <c r="DU825" s="109">
        <f t="shared" si="323"/>
        <v>-34435990.472737536</v>
      </c>
      <c r="DV825" s="109">
        <f t="shared" si="324"/>
        <v>0</v>
      </c>
      <c r="DX825" s="58">
        <f t="array" ref="DX825">SUM(IF(DU825:DV825&gt;=DU825, 1))</f>
        <v>2</v>
      </c>
      <c r="DY825" s="58">
        <f t="array" ref="DY825">SUM(IF(DU825:DV825&gt;=DV825, 1))</f>
        <v>1</v>
      </c>
      <c r="EA825" s="109">
        <f t="shared" si="325"/>
        <v>-161666792.55933714</v>
      </c>
      <c r="EB825" s="109">
        <f t="shared" si="326"/>
        <v>0</v>
      </c>
      <c r="ED825" s="58">
        <f t="array" ref="ED825">SUM(IF(EA825:EB825&gt;=EA825, 1))</f>
        <v>2</v>
      </c>
      <c r="EE825" s="58">
        <f t="array" ref="EE825">SUM(IF(EA825:EB825&gt;=EB825, 1))</f>
        <v>1</v>
      </c>
    </row>
    <row r="826" spans="4:135" ht="12" customHeight="1" x14ac:dyDescent="0.25">
      <c r="D826" s="11">
        <v>810</v>
      </c>
      <c r="E826" s="72">
        <v>349.32630801125998</v>
      </c>
      <c r="F826" s="72">
        <v>336.40304087116567</v>
      </c>
      <c r="G826" s="73"/>
      <c r="H826" s="74">
        <v>5.7995126732590814</v>
      </c>
      <c r="I826" s="74">
        <v>5.815425528272768</v>
      </c>
      <c r="J826" s="73"/>
      <c r="K826" s="72">
        <v>376.15973879469288</v>
      </c>
      <c r="L826" s="72">
        <v>362.85916466895759</v>
      </c>
      <c r="M826" s="73"/>
      <c r="N826" s="74">
        <v>6.6146228517465167</v>
      </c>
      <c r="O826" s="74">
        <v>6.6280101303357979</v>
      </c>
      <c r="P826" s="73"/>
      <c r="Q826" s="72">
        <v>2879.0403584743422</v>
      </c>
      <c r="R826" s="72">
        <v>2088.0440787538673</v>
      </c>
      <c r="S826" s="73"/>
      <c r="T826" s="74">
        <v>4.8529577110812285</v>
      </c>
      <c r="U826" s="74">
        <v>4.9143152840364772</v>
      </c>
      <c r="V826" s="73"/>
      <c r="W826" s="72">
        <v>15866.714192437972</v>
      </c>
      <c r="X826" s="72">
        <v>15886.10035243663</v>
      </c>
      <c r="Y826" s="73"/>
      <c r="Z826" s="74">
        <v>2.8799776669036001</v>
      </c>
      <c r="AA826" s="74">
        <v>2.9312364807766649</v>
      </c>
      <c r="AB826" s="73"/>
      <c r="AC826" s="72">
        <v>50513.3569730854</v>
      </c>
      <c r="AD826" s="72">
        <v>50594.71290832814</v>
      </c>
      <c r="AE826" s="73"/>
      <c r="AF826" s="74">
        <v>4.5974708525472572</v>
      </c>
      <c r="AG826" s="74">
        <v>4.7276783805817368</v>
      </c>
      <c r="AH826" s="73"/>
      <c r="AI826" s="72">
        <v>1382976.9077407073</v>
      </c>
      <c r="AJ826" s="72">
        <v>0</v>
      </c>
      <c r="AK826" s="73"/>
      <c r="AL826" s="74">
        <v>-1702.9061445211289</v>
      </c>
      <c r="AM826" s="74">
        <v>0</v>
      </c>
      <c r="AN826" s="73"/>
      <c r="AO826" s="72">
        <v>88893.606602511441</v>
      </c>
      <c r="AP826" s="72">
        <v>0</v>
      </c>
      <c r="AQ826" s="73"/>
      <c r="AR826" s="74">
        <v>-89.473090796221669</v>
      </c>
      <c r="AS826" s="74">
        <v>0</v>
      </c>
      <c r="AT826" s="73"/>
      <c r="AU826" s="72">
        <v>18211165.064621225</v>
      </c>
      <c r="AV826" s="72">
        <v>0</v>
      </c>
      <c r="AW826" s="73"/>
      <c r="AX826" s="74">
        <v>-1412.6398792260329</v>
      </c>
      <c r="AY826" s="74">
        <v>0</v>
      </c>
      <c r="AZ826" s="73"/>
      <c r="BA826" s="72">
        <v>-182926.14454866634</v>
      </c>
      <c r="BB826" s="72">
        <v>0</v>
      </c>
      <c r="BC826" s="73"/>
      <c r="BD826" s="74">
        <v>-483.6737753421362</v>
      </c>
      <c r="BE826" s="74">
        <v>0</v>
      </c>
      <c r="BF826" s="73"/>
      <c r="BG826" s="72">
        <v>-1302621.9595081052</v>
      </c>
      <c r="BH826" s="72">
        <v>0</v>
      </c>
      <c r="BI826" s="73"/>
      <c r="BJ826" s="74">
        <v>-2084.8040748952722</v>
      </c>
      <c r="BK826" s="74">
        <v>0</v>
      </c>
      <c r="BL826" s="73"/>
      <c r="BM826" s="72">
        <v>18197487.47490767</v>
      </c>
      <c r="BN826" s="72">
        <v>0</v>
      </c>
      <c r="BO826" s="73"/>
      <c r="BP826" s="74">
        <v>-5773.496964780792</v>
      </c>
      <c r="BQ826" s="74">
        <v>0</v>
      </c>
      <c r="BS826" s="109">
        <f t="shared" si="306"/>
        <v>115640.92715717036</v>
      </c>
      <c r="BT826" s="109">
        <f t="shared" si="307"/>
        <v>115972.10752458419</v>
      </c>
      <c r="BV826" s="58">
        <f t="array" ref="BV826">SUM(IF(BS826:BT826&gt;=BS826, 1))</f>
        <v>2</v>
      </c>
      <c r="BW826" s="58">
        <f t="array" ref="BW826">SUM(IF(BS826:BT826&gt;=BT826, 1))</f>
        <v>1</v>
      </c>
      <c r="BY826" s="109">
        <f t="shared" si="308"/>
        <v>131916.29729613563</v>
      </c>
      <c r="BZ826" s="109">
        <f t="shared" si="309"/>
        <v>132197.34344204701</v>
      </c>
      <c r="CB826" s="58">
        <f t="array" ref="CB826">SUM(IF(BY826:BZ826&gt;=BY826, 1))</f>
        <v>2</v>
      </c>
      <c r="CC826" s="58">
        <f t="array" ref="CC826">SUM(IF(BY826:BZ826&gt;=BZ826, 1))</f>
        <v>1</v>
      </c>
      <c r="CE826" s="109">
        <f t="shared" si="310"/>
        <v>94180.113863150225</v>
      </c>
      <c r="CF826" s="109">
        <f t="shared" si="311"/>
        <v>96198.261601975682</v>
      </c>
      <c r="CH826" s="58">
        <f t="array" ref="CH826">SUM(IF(CE826:CF826&gt;=CE826, 1))</f>
        <v>2</v>
      </c>
      <c r="CI826" s="58">
        <f t="array" ref="CI826">SUM(IF(CE826:CF826&gt;=CF826, 1))</f>
        <v>1</v>
      </c>
      <c r="CK826" s="109">
        <f t="shared" si="312"/>
        <v>41732.839145634032</v>
      </c>
      <c r="CL826" s="109">
        <f t="shared" si="313"/>
        <v>42738.629263096664</v>
      </c>
      <c r="CN826" s="58">
        <f t="array" ref="CN826">SUM(IF(CK826:CL826&gt;=CK826, 1))</f>
        <v>2</v>
      </c>
      <c r="CO826" s="58">
        <f t="array" ref="CO826">SUM(IF(CK826:CL826&gt;=CL826, 1))</f>
        <v>1</v>
      </c>
      <c r="CQ826" s="109" cm="1">
        <f t="array" ref="CQ826">AF826*WTP-AC826</f>
        <v>41436.060077859751</v>
      </c>
      <c r="CR826" s="109">
        <f t="shared" si="314"/>
        <v>43958.854703306592</v>
      </c>
      <c r="CT826" s="58">
        <f t="array" ref="CT826">SUM(IF(CQ826:CR826&gt;=CQ826, 1))</f>
        <v>2</v>
      </c>
      <c r="CU826" s="58">
        <f t="array" ref="CU826">SUM(IF(CQ826:CR826&gt;=CR826, 1))</f>
        <v>1</v>
      </c>
      <c r="CW826" s="109">
        <f t="shared" si="315"/>
        <v>-35441099.79816328</v>
      </c>
      <c r="CX826" s="109">
        <f t="shared" si="316"/>
        <v>0</v>
      </c>
      <c r="CZ826" s="58">
        <f t="array" ref="CZ826">SUM(IF(CW826:CX826&gt;=CW826, 1))</f>
        <v>2</v>
      </c>
      <c r="DA826" s="58">
        <f t="array" ref="DA826">SUM(IF(CW826:CX826&gt;=CX826, 1))</f>
        <v>1</v>
      </c>
      <c r="DC826" s="109">
        <f t="shared" si="317"/>
        <v>-1878355.4225269447</v>
      </c>
      <c r="DD826" s="109">
        <f t="shared" si="318"/>
        <v>0</v>
      </c>
      <c r="DF826" s="58">
        <f t="array" ref="DF826">SUM(IF(DC826:DD826&gt;=DC826, 1))</f>
        <v>2</v>
      </c>
      <c r="DG826" s="58">
        <f t="array" ref="DG826">SUM(IF(DC826:DD826&gt;=DD826, 1))</f>
        <v>1</v>
      </c>
      <c r="DI826" s="109">
        <f t="shared" si="319"/>
        <v>-46463962.649141878</v>
      </c>
      <c r="DJ826" s="109">
        <f t="shared" si="320"/>
        <v>0</v>
      </c>
      <c r="DL826" s="58">
        <f t="array" ref="DL826">SUM(IF(DI826:DJ826&gt;=DI826, 1))</f>
        <v>2</v>
      </c>
      <c r="DM826" s="58">
        <f t="array" ref="DM826">SUM(IF(DI826:DJ826&gt;=DJ826, 1))</f>
        <v>1</v>
      </c>
      <c r="DO826" s="109">
        <f t="shared" si="321"/>
        <v>-9490549.3622940574</v>
      </c>
      <c r="DP826" s="109">
        <f t="shared" si="322"/>
        <v>0</v>
      </c>
      <c r="DR826" s="58">
        <f t="array" ref="DR826">SUM(IF(DO826:DP826&gt;=DO826, 1))</f>
        <v>2</v>
      </c>
      <c r="DS826" s="58">
        <f t="array" ref="DS826">SUM(IF(DO826:DP826&gt;=DP826, 1))</f>
        <v>1</v>
      </c>
      <c r="DU826" s="109">
        <f t="shared" si="323"/>
        <v>-40393459.538397335</v>
      </c>
      <c r="DV826" s="109">
        <f t="shared" si="324"/>
        <v>0</v>
      </c>
      <c r="DX826" s="58">
        <f t="array" ref="DX826">SUM(IF(DU826:DV826&gt;=DU826, 1))</f>
        <v>2</v>
      </c>
      <c r="DY826" s="58">
        <f t="array" ref="DY826">SUM(IF(DU826:DV826&gt;=DV826, 1))</f>
        <v>1</v>
      </c>
      <c r="EA826" s="109">
        <f t="shared" si="325"/>
        <v>-133667426.7705235</v>
      </c>
      <c r="EB826" s="109">
        <f t="shared" si="326"/>
        <v>0</v>
      </c>
      <c r="ED826" s="58">
        <f t="array" ref="ED826">SUM(IF(EA826:EB826&gt;=EA826, 1))</f>
        <v>2</v>
      </c>
      <c r="EE826" s="58">
        <f t="array" ref="EE826">SUM(IF(EA826:EB826&gt;=EB826, 1))</f>
        <v>1</v>
      </c>
    </row>
    <row r="827" spans="4:135" ht="12" customHeight="1" x14ac:dyDescent="0.25">
      <c r="D827" s="11">
        <v>811</v>
      </c>
      <c r="E827" s="72">
        <v>256.79726590880807</v>
      </c>
      <c r="F827" s="72">
        <v>233.00654754034736</v>
      </c>
      <c r="G827" s="73"/>
      <c r="H827" s="74">
        <v>5.8060603600416245</v>
      </c>
      <c r="I827" s="74">
        <v>5.8264827306130407</v>
      </c>
      <c r="J827" s="73"/>
      <c r="K827" s="72">
        <v>275.63480312669247</v>
      </c>
      <c r="L827" s="72">
        <v>251.29288226087337</v>
      </c>
      <c r="M827" s="73"/>
      <c r="N827" s="74">
        <v>6.7028522866388851</v>
      </c>
      <c r="O827" s="74">
        <v>6.7215550880466131</v>
      </c>
      <c r="P827" s="73"/>
      <c r="Q827" s="72">
        <v>2476.0946556207405</v>
      </c>
      <c r="R827" s="72">
        <v>1366.7149302069372</v>
      </c>
      <c r="S827" s="73"/>
      <c r="T827" s="74">
        <v>4.8783168895125826</v>
      </c>
      <c r="U827" s="74">
        <v>4.9542916185521202</v>
      </c>
      <c r="V827" s="73"/>
      <c r="W827" s="72">
        <v>14197.679009092441</v>
      </c>
      <c r="X827" s="72">
        <v>14056.978388221891</v>
      </c>
      <c r="Y827" s="73"/>
      <c r="Z827" s="74">
        <v>2.9605948775112916</v>
      </c>
      <c r="AA827" s="74">
        <v>2.9915899152775856</v>
      </c>
      <c r="AB827" s="73"/>
      <c r="AC827" s="72">
        <v>48925.622277297727</v>
      </c>
      <c r="AD827" s="72">
        <v>48767.076223354794</v>
      </c>
      <c r="AE827" s="73"/>
      <c r="AF827" s="74">
        <v>4.3478511060183527</v>
      </c>
      <c r="AG827" s="74">
        <v>4.3917725305259161</v>
      </c>
      <c r="AH827" s="73"/>
      <c r="AI827" s="72">
        <v>2534104.9901908757</v>
      </c>
      <c r="AJ827" s="72">
        <v>0</v>
      </c>
      <c r="AK827" s="73"/>
      <c r="AL827" s="74">
        <v>-2175.320239390544</v>
      </c>
      <c r="AM827" s="74">
        <v>0</v>
      </c>
      <c r="AN827" s="73"/>
      <c r="AO827" s="72">
        <v>170402.96345721954</v>
      </c>
      <c r="AP827" s="72">
        <v>0</v>
      </c>
      <c r="AQ827" s="73"/>
      <c r="AR827" s="74">
        <v>-130.92692242311495</v>
      </c>
      <c r="AS827" s="74">
        <v>0</v>
      </c>
      <c r="AT827" s="73"/>
      <c r="AU827" s="72">
        <v>25698238.181947071</v>
      </c>
      <c r="AV827" s="72">
        <v>0</v>
      </c>
      <c r="AW827" s="73"/>
      <c r="AX827" s="74">
        <v>-1759.9174006345472</v>
      </c>
      <c r="AY827" s="74">
        <v>0</v>
      </c>
      <c r="AZ827" s="73"/>
      <c r="BA827" s="72">
        <v>1258329.7344182115</v>
      </c>
      <c r="BB827" s="72">
        <v>0</v>
      </c>
      <c r="BC827" s="73"/>
      <c r="BD827" s="74">
        <v>-277.19833359247593</v>
      </c>
      <c r="BE827" s="74">
        <v>0</v>
      </c>
      <c r="BF827" s="73"/>
      <c r="BG827" s="72">
        <v>2533562.7862286489</v>
      </c>
      <c r="BH827" s="72">
        <v>0</v>
      </c>
      <c r="BI827" s="73"/>
      <c r="BJ827" s="74">
        <v>-701.86348939700974</v>
      </c>
      <c r="BK827" s="74">
        <v>0</v>
      </c>
      <c r="BL827" s="73"/>
      <c r="BM827" s="72">
        <v>32194638.656242028</v>
      </c>
      <c r="BN827" s="72">
        <v>0</v>
      </c>
      <c r="BO827" s="73"/>
      <c r="BP827" s="74">
        <v>-5045.2263854376924</v>
      </c>
      <c r="BQ827" s="74">
        <v>0</v>
      </c>
      <c r="BS827" s="109">
        <f t="shared" si="306"/>
        <v>115864.40993492368</v>
      </c>
      <c r="BT827" s="109">
        <f t="shared" si="307"/>
        <v>116296.64806472046</v>
      </c>
      <c r="BV827" s="58">
        <f t="array" ref="BV827">SUM(IF(BS827:BT827&gt;=BS827, 1))</f>
        <v>2</v>
      </c>
      <c r="BW827" s="58">
        <f t="array" ref="BW827">SUM(IF(BS827:BT827&gt;=BT827, 1))</f>
        <v>1</v>
      </c>
      <c r="BY827" s="109">
        <f t="shared" si="308"/>
        <v>133781.41092965103</v>
      </c>
      <c r="BZ827" s="109">
        <f t="shared" si="309"/>
        <v>134179.80887867141</v>
      </c>
      <c r="CB827" s="58">
        <f t="array" ref="CB827">SUM(IF(BY827:BZ827&gt;=BY827, 1))</f>
        <v>2</v>
      </c>
      <c r="CC827" s="58">
        <f t="array" ref="CC827">SUM(IF(BY827:BZ827&gt;=BZ827, 1))</f>
        <v>1</v>
      </c>
      <c r="CE827" s="109">
        <f t="shared" si="310"/>
        <v>95090.243134630917</v>
      </c>
      <c r="CF827" s="109">
        <f t="shared" si="311"/>
        <v>97719.117440835471</v>
      </c>
      <c r="CH827" s="58">
        <f t="array" ref="CH827">SUM(IF(CE827:CF827&gt;=CE827, 1))</f>
        <v>2</v>
      </c>
      <c r="CI827" s="58">
        <f t="array" ref="CI827">SUM(IF(CE827:CF827&gt;=CF827, 1))</f>
        <v>1</v>
      </c>
      <c r="CK827" s="109">
        <f t="shared" si="312"/>
        <v>45014.218541133392</v>
      </c>
      <c r="CL827" s="109">
        <f t="shared" si="313"/>
        <v>45774.81991732982</v>
      </c>
      <c r="CN827" s="58">
        <f t="array" ref="CN827">SUM(IF(CK827:CL827&gt;=CK827, 1))</f>
        <v>2</v>
      </c>
      <c r="CO827" s="58">
        <f t="array" ref="CO827">SUM(IF(CK827:CL827&gt;=CL827, 1))</f>
        <v>1</v>
      </c>
      <c r="CQ827" s="109" cm="1">
        <f t="array" ref="CQ827">AF827*WTP-AC827</f>
        <v>38031.399843069325</v>
      </c>
      <c r="CR827" s="109">
        <f t="shared" si="314"/>
        <v>39068.374387163531</v>
      </c>
      <c r="CT827" s="58">
        <f t="array" ref="CT827">SUM(IF(CQ827:CR827&gt;=CQ827, 1))</f>
        <v>2</v>
      </c>
      <c r="CU827" s="58">
        <f t="array" ref="CU827">SUM(IF(CQ827:CR827&gt;=CR827, 1))</f>
        <v>1</v>
      </c>
      <c r="CW827" s="109">
        <f t="shared" si="315"/>
        <v>-46040509.778001755</v>
      </c>
      <c r="CX827" s="109">
        <f t="shared" si="316"/>
        <v>0</v>
      </c>
      <c r="CZ827" s="58">
        <f t="array" ref="CZ827">SUM(IF(CW827:CX827&gt;=CW827, 1))</f>
        <v>2</v>
      </c>
      <c r="DA827" s="58">
        <f t="array" ref="DA827">SUM(IF(CW827:CX827&gt;=CX827, 1))</f>
        <v>1</v>
      </c>
      <c r="DC827" s="109">
        <f t="shared" si="317"/>
        <v>-2788941.4119195184</v>
      </c>
      <c r="DD827" s="109">
        <f t="shared" si="318"/>
        <v>0</v>
      </c>
      <c r="DF827" s="58">
        <f t="array" ref="DF827">SUM(IF(DC827:DD827&gt;=DC827, 1))</f>
        <v>2</v>
      </c>
      <c r="DG827" s="58">
        <f t="array" ref="DG827">SUM(IF(DC827:DD827&gt;=DD827, 1))</f>
        <v>1</v>
      </c>
      <c r="DI827" s="109">
        <f t="shared" si="319"/>
        <v>-60896586.194638014</v>
      </c>
      <c r="DJ827" s="109">
        <f t="shared" si="320"/>
        <v>0</v>
      </c>
      <c r="DL827" s="58">
        <f t="array" ref="DL827">SUM(IF(DI827:DJ827&gt;=DI827, 1))</f>
        <v>2</v>
      </c>
      <c r="DM827" s="58">
        <f t="array" ref="DM827">SUM(IF(DI827:DJ827&gt;=DJ827, 1))</f>
        <v>1</v>
      </c>
      <c r="DO827" s="109">
        <f t="shared" si="321"/>
        <v>-6802296.4062677305</v>
      </c>
      <c r="DP827" s="109">
        <f t="shared" si="322"/>
        <v>0</v>
      </c>
      <c r="DR827" s="58">
        <f t="array" ref="DR827">SUM(IF(DO827:DP827&gt;=DO827, 1))</f>
        <v>2</v>
      </c>
      <c r="DS827" s="58">
        <f t="array" ref="DS827">SUM(IF(DO827:DP827&gt;=DP827, 1))</f>
        <v>1</v>
      </c>
      <c r="DU827" s="109">
        <f t="shared" si="323"/>
        <v>-16570832.574168844</v>
      </c>
      <c r="DV827" s="109">
        <f t="shared" si="324"/>
        <v>0</v>
      </c>
      <c r="DX827" s="58">
        <f t="array" ref="DX827">SUM(IF(DU827:DV827&gt;=DU827, 1))</f>
        <v>2</v>
      </c>
      <c r="DY827" s="58">
        <f t="array" ref="DY827">SUM(IF(DU827:DV827&gt;=DV827, 1))</f>
        <v>1</v>
      </c>
      <c r="EA827" s="109">
        <f t="shared" si="325"/>
        <v>-133099166.36499588</v>
      </c>
      <c r="EB827" s="109">
        <f t="shared" si="326"/>
        <v>0</v>
      </c>
      <c r="ED827" s="58">
        <f t="array" ref="ED827">SUM(IF(EA827:EB827&gt;=EA827, 1))</f>
        <v>2</v>
      </c>
      <c r="EE827" s="58">
        <f t="array" ref="EE827">SUM(IF(EA827:EB827&gt;=EB827, 1))</f>
        <v>1</v>
      </c>
    </row>
    <row r="828" spans="4:135" ht="12" customHeight="1" x14ac:dyDescent="0.25">
      <c r="D828" s="11">
        <v>812</v>
      </c>
      <c r="E828" s="72">
        <v>347.75475463295868</v>
      </c>
      <c r="F828" s="72">
        <v>307.4501731341411</v>
      </c>
      <c r="G828" s="73"/>
      <c r="H828" s="74">
        <v>5.788008903755685</v>
      </c>
      <c r="I828" s="74">
        <v>5.8003831028377544</v>
      </c>
      <c r="J828" s="73"/>
      <c r="K828" s="72">
        <v>372.69827696052937</v>
      </c>
      <c r="L828" s="72">
        <v>331.44801218181857</v>
      </c>
      <c r="M828" s="73"/>
      <c r="N828" s="74">
        <v>6.7195274417613726</v>
      </c>
      <c r="O828" s="74">
        <v>6.7304275323757734</v>
      </c>
      <c r="P828" s="73"/>
      <c r="Q828" s="72">
        <v>2383.7225621323332</v>
      </c>
      <c r="R828" s="72">
        <v>1548.9097305403398</v>
      </c>
      <c r="S828" s="73"/>
      <c r="T828" s="74">
        <v>4.7750023837925513</v>
      </c>
      <c r="U828" s="74">
        <v>4.844243074284261</v>
      </c>
      <c r="V828" s="73"/>
      <c r="W828" s="72">
        <v>13467.860226205961</v>
      </c>
      <c r="X828" s="72">
        <v>13496.239549424061</v>
      </c>
      <c r="Y828" s="73"/>
      <c r="Z828" s="74">
        <v>2.9902849166727332</v>
      </c>
      <c r="AA828" s="74">
        <v>3.0525251105737876</v>
      </c>
      <c r="AB828" s="73"/>
      <c r="AC828" s="72">
        <v>50369.058464683076</v>
      </c>
      <c r="AD828" s="72">
        <v>50430.087494194217</v>
      </c>
      <c r="AE828" s="73"/>
      <c r="AF828" s="74">
        <v>4.4238444666460337</v>
      </c>
      <c r="AG828" s="74">
        <v>4.4752949297699738</v>
      </c>
      <c r="AH828" s="73"/>
      <c r="AI828" s="72">
        <v>4336077.1739490628</v>
      </c>
      <c r="AJ828" s="72">
        <v>0</v>
      </c>
      <c r="AK828" s="73"/>
      <c r="AL828" s="74">
        <v>-1331.2502001102923</v>
      </c>
      <c r="AM828" s="74">
        <v>0</v>
      </c>
      <c r="AN828" s="73"/>
      <c r="AO828" s="72">
        <v>284042.65624919173</v>
      </c>
      <c r="AP828" s="72">
        <v>0</v>
      </c>
      <c r="AQ828" s="73"/>
      <c r="AR828" s="74">
        <v>-75.05626225868906</v>
      </c>
      <c r="AS828" s="74">
        <v>0</v>
      </c>
      <c r="AT828" s="73"/>
      <c r="AU828" s="72">
        <v>18847765.815872699</v>
      </c>
      <c r="AV828" s="72">
        <v>0</v>
      </c>
      <c r="AW828" s="73"/>
      <c r="AX828" s="74">
        <v>-1563.2633686623674</v>
      </c>
      <c r="AY828" s="74">
        <v>0</v>
      </c>
      <c r="AZ828" s="73"/>
      <c r="BA828" s="72">
        <v>-261865.15537824467</v>
      </c>
      <c r="BB828" s="72">
        <v>0</v>
      </c>
      <c r="BC828" s="73"/>
      <c r="BD828" s="74">
        <v>-574.31031464051466</v>
      </c>
      <c r="BE828" s="74">
        <v>0</v>
      </c>
      <c r="BF828" s="73"/>
      <c r="BG828" s="72">
        <v>-982894.44071658724</v>
      </c>
      <c r="BH828" s="72">
        <v>0</v>
      </c>
      <c r="BI828" s="73"/>
      <c r="BJ828" s="74">
        <v>-828.62818861608923</v>
      </c>
      <c r="BK828" s="74">
        <v>0</v>
      </c>
      <c r="BL828" s="73"/>
      <c r="BM828" s="72">
        <v>22223126.049976122</v>
      </c>
      <c r="BN828" s="72">
        <v>0</v>
      </c>
      <c r="BO828" s="73"/>
      <c r="BP828" s="74">
        <v>-4372.5083342879525</v>
      </c>
      <c r="BQ828" s="74">
        <v>0</v>
      </c>
      <c r="BS828" s="109">
        <f t="shared" si="306"/>
        <v>115412.42332048074</v>
      </c>
      <c r="BT828" s="109">
        <f t="shared" si="307"/>
        <v>115700.21188362094</v>
      </c>
      <c r="BV828" s="58">
        <f t="array" ref="BV828">SUM(IF(BS828:BT828&gt;=BS828, 1))</f>
        <v>2</v>
      </c>
      <c r="BW828" s="58">
        <f t="array" ref="BW828">SUM(IF(BS828:BT828&gt;=BT828, 1))</f>
        <v>1</v>
      </c>
      <c r="BY828" s="109">
        <f t="shared" si="308"/>
        <v>134017.85055826692</v>
      </c>
      <c r="BZ828" s="109">
        <f t="shared" si="309"/>
        <v>134277.10263533363</v>
      </c>
      <c r="CB828" s="58">
        <f t="array" ref="CB828">SUM(IF(BY828:BZ828&gt;=BY828, 1))</f>
        <v>2</v>
      </c>
      <c r="CC828" s="58">
        <f t="array" ref="CC828">SUM(IF(BY828:BZ828&gt;=BZ828, 1))</f>
        <v>1</v>
      </c>
      <c r="CE828" s="109">
        <f t="shared" si="310"/>
        <v>93116.325113718689</v>
      </c>
      <c r="CF828" s="109">
        <f t="shared" si="311"/>
        <v>95335.951755144881</v>
      </c>
      <c r="CH828" s="58">
        <f t="array" ref="CH828">SUM(IF(CE828:CF828&gt;=CE828, 1))</f>
        <v>2</v>
      </c>
      <c r="CI828" s="58">
        <f t="array" ref="CI828">SUM(IF(CE828:CF828&gt;=CF828, 1))</f>
        <v>1</v>
      </c>
      <c r="CK828" s="109">
        <f t="shared" si="312"/>
        <v>46337.83810724871</v>
      </c>
      <c r="CL828" s="109">
        <f t="shared" si="313"/>
        <v>47554.262662051689</v>
      </c>
      <c r="CN828" s="58">
        <f t="array" ref="CN828">SUM(IF(CK828:CL828&gt;=CK828, 1))</f>
        <v>2</v>
      </c>
      <c r="CO828" s="58">
        <f t="array" ref="CO828">SUM(IF(CK828:CL828&gt;=CL828, 1))</f>
        <v>1</v>
      </c>
      <c r="CQ828" s="109" cm="1">
        <f t="array" ref="CQ828">AF828*WTP-AC828</f>
        <v>38107.830868237601</v>
      </c>
      <c r="CR828" s="109">
        <f t="shared" si="314"/>
        <v>39075.811101205254</v>
      </c>
      <c r="CT828" s="58">
        <f t="array" ref="CT828">SUM(IF(CQ828:CR828&gt;=CQ828, 1))</f>
        <v>2</v>
      </c>
      <c r="CU828" s="58">
        <f t="array" ref="CU828">SUM(IF(CQ828:CR828&gt;=CR828, 1))</f>
        <v>1</v>
      </c>
      <c r="CW828" s="109">
        <f t="shared" si="315"/>
        <v>-30961081.176154908</v>
      </c>
      <c r="CX828" s="109">
        <f t="shared" si="316"/>
        <v>0</v>
      </c>
      <c r="CZ828" s="58">
        <f t="array" ref="CZ828">SUM(IF(CW828:CX828&gt;=CW828, 1))</f>
        <v>2</v>
      </c>
      <c r="DA828" s="58">
        <f t="array" ref="DA828">SUM(IF(CW828:CX828&gt;=CX828, 1))</f>
        <v>1</v>
      </c>
      <c r="DC828" s="109">
        <f t="shared" si="317"/>
        <v>-1785167.9014229728</v>
      </c>
      <c r="DD828" s="109">
        <f t="shared" si="318"/>
        <v>0</v>
      </c>
      <c r="DF828" s="58">
        <f t="array" ref="DF828">SUM(IF(DC828:DD828&gt;=DC828, 1))</f>
        <v>2</v>
      </c>
      <c r="DG828" s="58">
        <f t="array" ref="DG828">SUM(IF(DC828:DD828&gt;=DD828, 1))</f>
        <v>1</v>
      </c>
      <c r="DI828" s="109">
        <f t="shared" si="319"/>
        <v>-50113033.189120047</v>
      </c>
      <c r="DJ828" s="109">
        <f t="shared" si="320"/>
        <v>0</v>
      </c>
      <c r="DL828" s="58">
        <f t="array" ref="DL828">SUM(IF(DI828:DJ828&gt;=DI828, 1))</f>
        <v>2</v>
      </c>
      <c r="DM828" s="58">
        <f t="array" ref="DM828">SUM(IF(DI828:DJ828&gt;=DJ828, 1))</f>
        <v>1</v>
      </c>
      <c r="DO828" s="109">
        <f t="shared" si="321"/>
        <v>-11224341.137432048</v>
      </c>
      <c r="DP828" s="109">
        <f t="shared" si="322"/>
        <v>0</v>
      </c>
      <c r="DR828" s="58">
        <f t="array" ref="DR828">SUM(IF(DO828:DP828&gt;=DO828, 1))</f>
        <v>2</v>
      </c>
      <c r="DS828" s="58">
        <f t="array" ref="DS828">SUM(IF(DO828:DP828&gt;=DP828, 1))</f>
        <v>1</v>
      </c>
      <c r="DU828" s="109">
        <f t="shared" si="323"/>
        <v>-15589669.331605198</v>
      </c>
      <c r="DV828" s="109">
        <f t="shared" si="324"/>
        <v>0</v>
      </c>
      <c r="DX828" s="58">
        <f t="array" ref="DX828">SUM(IF(DU828:DV828&gt;=DU828, 1))</f>
        <v>2</v>
      </c>
      <c r="DY828" s="58">
        <f t="array" ref="DY828">SUM(IF(DU828:DV828&gt;=DV828, 1))</f>
        <v>1</v>
      </c>
      <c r="EA828" s="109">
        <f t="shared" si="325"/>
        <v>-109673292.73573518</v>
      </c>
      <c r="EB828" s="109">
        <f t="shared" si="326"/>
        <v>0</v>
      </c>
      <c r="ED828" s="58">
        <f t="array" ref="ED828">SUM(IF(EA828:EB828&gt;=EA828, 1))</f>
        <v>2</v>
      </c>
      <c r="EE828" s="58">
        <f t="array" ref="EE828">SUM(IF(EA828:EB828&gt;=EB828, 1))</f>
        <v>1</v>
      </c>
    </row>
    <row r="829" spans="4:135" ht="12" customHeight="1" x14ac:dyDescent="0.25">
      <c r="D829" s="11">
        <v>813</v>
      </c>
      <c r="E829" s="72">
        <v>230.72665795220601</v>
      </c>
      <c r="F829" s="72">
        <v>211.78498235564103</v>
      </c>
      <c r="G829" s="73"/>
      <c r="H829" s="74">
        <v>5.8486506648296359</v>
      </c>
      <c r="I829" s="74">
        <v>5.8647204555121331</v>
      </c>
      <c r="J829" s="73"/>
      <c r="K829" s="72">
        <v>247.76043033635736</v>
      </c>
      <c r="L829" s="72">
        <v>228.36004274090442</v>
      </c>
      <c r="M829" s="73"/>
      <c r="N829" s="74">
        <v>6.7315808933593777</v>
      </c>
      <c r="O829" s="74">
        <v>6.7458981916643177</v>
      </c>
      <c r="P829" s="73"/>
      <c r="Q829" s="72">
        <v>4812.0103194322182</v>
      </c>
      <c r="R829" s="72">
        <v>1826.3763891897847</v>
      </c>
      <c r="S829" s="73"/>
      <c r="T829" s="74">
        <v>4.7638684459201155</v>
      </c>
      <c r="U829" s="74">
        <v>4.9173250016475727</v>
      </c>
      <c r="V829" s="73"/>
      <c r="W829" s="72">
        <v>11003.250181343576</v>
      </c>
      <c r="X829" s="72">
        <v>10976.855738619079</v>
      </c>
      <c r="Y829" s="73"/>
      <c r="Z829" s="74">
        <v>2.9270150120773835</v>
      </c>
      <c r="AA829" s="74">
        <v>2.965339831799056</v>
      </c>
      <c r="AB829" s="73"/>
      <c r="AC829" s="72">
        <v>50753.34338425038</v>
      </c>
      <c r="AD829" s="72">
        <v>50255.775614531427</v>
      </c>
      <c r="AE829" s="73"/>
      <c r="AF829" s="74">
        <v>4.8462328674262656</v>
      </c>
      <c r="AG829" s="74">
        <v>5.0161507259538327</v>
      </c>
      <c r="AH829" s="73"/>
      <c r="AI829" s="72">
        <v>2056846.3017888006</v>
      </c>
      <c r="AJ829" s="72">
        <v>0</v>
      </c>
      <c r="AK829" s="73"/>
      <c r="AL829" s="74">
        <v>-1744.9929055805637</v>
      </c>
      <c r="AM829" s="74">
        <v>0</v>
      </c>
      <c r="AN829" s="73"/>
      <c r="AO829" s="72">
        <v>135712.0610731779</v>
      </c>
      <c r="AP829" s="72">
        <v>0</v>
      </c>
      <c r="AQ829" s="73"/>
      <c r="AR829" s="74">
        <v>-100.15418776572949</v>
      </c>
      <c r="AS829" s="74">
        <v>0</v>
      </c>
      <c r="AT829" s="73"/>
      <c r="AU829" s="72">
        <v>68153792.107340708</v>
      </c>
      <c r="AV829" s="72">
        <v>0</v>
      </c>
      <c r="AW829" s="73"/>
      <c r="AX829" s="74">
        <v>-3502.9901323865315</v>
      </c>
      <c r="AY829" s="74">
        <v>0</v>
      </c>
      <c r="AZ829" s="73"/>
      <c r="BA829" s="72">
        <v>225458.37638086555</v>
      </c>
      <c r="BB829" s="72">
        <v>0</v>
      </c>
      <c r="BC829" s="73"/>
      <c r="BD829" s="74">
        <v>-327.36632175674652</v>
      </c>
      <c r="BE829" s="74">
        <v>0</v>
      </c>
      <c r="BF829" s="73"/>
      <c r="BG829" s="72">
        <v>7835568.1045019627</v>
      </c>
      <c r="BH829" s="72">
        <v>0</v>
      </c>
      <c r="BI829" s="73"/>
      <c r="BJ829" s="74">
        <v>-2675.8223375599941</v>
      </c>
      <c r="BK829" s="74">
        <v>0</v>
      </c>
      <c r="BL829" s="73"/>
      <c r="BM829" s="72">
        <v>78407376.951085508</v>
      </c>
      <c r="BN829" s="72">
        <v>0</v>
      </c>
      <c r="BO829" s="73"/>
      <c r="BP829" s="74">
        <v>-8351.3258850495658</v>
      </c>
      <c r="BQ829" s="74">
        <v>0</v>
      </c>
      <c r="BS829" s="109">
        <f t="shared" si="306"/>
        <v>116742.28663864051</v>
      </c>
      <c r="BT829" s="109">
        <f t="shared" si="307"/>
        <v>117082.62412788701</v>
      </c>
      <c r="BV829" s="58">
        <f t="array" ref="BV829">SUM(IF(BS829:BT829&gt;=BS829, 1))</f>
        <v>2</v>
      </c>
      <c r="BW829" s="58">
        <f t="array" ref="BW829">SUM(IF(BS829:BT829&gt;=BT829, 1))</f>
        <v>1</v>
      </c>
      <c r="BY829" s="109">
        <f t="shared" si="308"/>
        <v>134383.85743685122</v>
      </c>
      <c r="BZ829" s="109">
        <f t="shared" si="309"/>
        <v>134689.60379054543</v>
      </c>
      <c r="CB829" s="58">
        <f t="array" ref="CB829">SUM(IF(BY829:BZ829&gt;=BY829, 1))</f>
        <v>2</v>
      </c>
      <c r="CC829" s="58">
        <f t="array" ref="CC829">SUM(IF(BY829:BZ829&gt;=BZ829, 1))</f>
        <v>1</v>
      </c>
      <c r="CE829" s="109">
        <f t="shared" si="310"/>
        <v>90465.358598970095</v>
      </c>
      <c r="CF829" s="109">
        <f t="shared" si="311"/>
        <v>96520.123643761675</v>
      </c>
      <c r="CH829" s="58">
        <f t="array" ref="CH829">SUM(IF(CE829:CF829&gt;=CE829, 1))</f>
        <v>2</v>
      </c>
      <c r="CI829" s="58">
        <f t="array" ref="CI829">SUM(IF(CE829:CF829&gt;=CF829, 1))</f>
        <v>1</v>
      </c>
      <c r="CK829" s="109">
        <f t="shared" si="312"/>
        <v>47537.050060204092</v>
      </c>
      <c r="CL829" s="109">
        <f t="shared" si="313"/>
        <v>48329.940897362038</v>
      </c>
      <c r="CN829" s="58">
        <f t="array" ref="CN829">SUM(IF(CK829:CL829&gt;=CK829, 1))</f>
        <v>2</v>
      </c>
      <c r="CO829" s="58">
        <f t="array" ref="CO829">SUM(IF(CK829:CL829&gt;=CL829, 1))</f>
        <v>1</v>
      </c>
      <c r="CQ829" s="109" cm="1">
        <f t="array" ref="CQ829">AF829*WTP-AC829</f>
        <v>46171.313964274937</v>
      </c>
      <c r="CR829" s="109">
        <f t="shared" si="314"/>
        <v>50067.238904545222</v>
      </c>
      <c r="CT829" s="58">
        <f t="array" ref="CT829">SUM(IF(CQ829:CR829&gt;=CQ829, 1))</f>
        <v>2</v>
      </c>
      <c r="CU829" s="58">
        <f t="array" ref="CU829">SUM(IF(CQ829:CR829&gt;=CR829, 1))</f>
        <v>1</v>
      </c>
      <c r="CW829" s="109">
        <f t="shared" si="315"/>
        <v>-36956704.413400076</v>
      </c>
      <c r="CX829" s="109">
        <f t="shared" si="316"/>
        <v>0</v>
      </c>
      <c r="CZ829" s="58">
        <f t="array" ref="CZ829">SUM(IF(CW829:CX829&gt;=CW829, 1))</f>
        <v>2</v>
      </c>
      <c r="DA829" s="58">
        <f t="array" ref="DA829">SUM(IF(CW829:CX829&gt;=CX829, 1))</f>
        <v>1</v>
      </c>
      <c r="DC829" s="109">
        <f t="shared" si="317"/>
        <v>-2138795.8163877674</v>
      </c>
      <c r="DD829" s="109">
        <f t="shared" si="318"/>
        <v>0</v>
      </c>
      <c r="DF829" s="58">
        <f t="array" ref="DF829">SUM(IF(DC829:DD829&gt;=DC829, 1))</f>
        <v>2</v>
      </c>
      <c r="DG829" s="58">
        <f t="array" ref="DG829">SUM(IF(DC829:DD829&gt;=DD829, 1))</f>
        <v>1</v>
      </c>
      <c r="DI829" s="109">
        <f t="shared" si="319"/>
        <v>-138213594.75507134</v>
      </c>
      <c r="DJ829" s="109">
        <f t="shared" si="320"/>
        <v>0</v>
      </c>
      <c r="DL829" s="58">
        <f t="array" ref="DL829">SUM(IF(DI829:DJ829&gt;=DI829, 1))</f>
        <v>2</v>
      </c>
      <c r="DM829" s="58">
        <f t="array" ref="DM829">SUM(IF(DI829:DJ829&gt;=DJ829, 1))</f>
        <v>1</v>
      </c>
      <c r="DO829" s="109">
        <f t="shared" si="321"/>
        <v>-6772784.811515796</v>
      </c>
      <c r="DP829" s="109">
        <f t="shared" si="322"/>
        <v>0</v>
      </c>
      <c r="DR829" s="58">
        <f t="array" ref="DR829">SUM(IF(DO829:DP829&gt;=DO829, 1))</f>
        <v>2</v>
      </c>
      <c r="DS829" s="58">
        <f t="array" ref="DS829">SUM(IF(DO829:DP829&gt;=DP829, 1))</f>
        <v>1</v>
      </c>
      <c r="DU829" s="109">
        <f t="shared" si="323"/>
        <v>-61352014.855701849</v>
      </c>
      <c r="DV829" s="109">
        <f t="shared" si="324"/>
        <v>0</v>
      </c>
      <c r="DX829" s="58">
        <f t="array" ref="DX829">SUM(IF(DU829:DV829&gt;=DU829, 1))</f>
        <v>2</v>
      </c>
      <c r="DY829" s="58">
        <f t="array" ref="DY829">SUM(IF(DU829:DV829&gt;=DV829, 1))</f>
        <v>1</v>
      </c>
      <c r="EA829" s="109">
        <f t="shared" si="325"/>
        <v>-245433894.65207681</v>
      </c>
      <c r="EB829" s="109">
        <f t="shared" si="326"/>
        <v>0</v>
      </c>
      <c r="ED829" s="58">
        <f t="array" ref="ED829">SUM(IF(EA829:EB829&gt;=EA829, 1))</f>
        <v>2</v>
      </c>
      <c r="EE829" s="58">
        <f t="array" ref="EE829">SUM(IF(EA829:EB829&gt;=EB829, 1))</f>
        <v>1</v>
      </c>
    </row>
    <row r="830" spans="4:135" ht="12" customHeight="1" x14ac:dyDescent="0.25">
      <c r="D830" s="11">
        <v>814</v>
      </c>
      <c r="E830" s="72">
        <v>281.87028751533126</v>
      </c>
      <c r="F830" s="72">
        <v>253.69491394933667</v>
      </c>
      <c r="G830" s="73"/>
      <c r="H830" s="74">
        <v>5.8950229745325213</v>
      </c>
      <c r="I830" s="74">
        <v>5.9127204096362114</v>
      </c>
      <c r="J830" s="73"/>
      <c r="K830" s="72">
        <v>302.38495719756548</v>
      </c>
      <c r="L830" s="72">
        <v>273.5549818066558</v>
      </c>
      <c r="M830" s="73"/>
      <c r="N830" s="74">
        <v>6.768617251084927</v>
      </c>
      <c r="O830" s="74">
        <v>6.7838504671959976</v>
      </c>
      <c r="P830" s="73"/>
      <c r="Q830" s="72">
        <v>1816.7339073631078</v>
      </c>
      <c r="R830" s="72">
        <v>1462.8033467026032</v>
      </c>
      <c r="S830" s="73"/>
      <c r="T830" s="74">
        <v>4.9888885050808351</v>
      </c>
      <c r="U830" s="74">
        <v>5.039797535740048</v>
      </c>
      <c r="V830" s="73"/>
      <c r="W830" s="72">
        <v>11963.774926803875</v>
      </c>
      <c r="X830" s="72">
        <v>11916.000480469769</v>
      </c>
      <c r="Y830" s="73"/>
      <c r="Z830" s="74">
        <v>3.0886204838892333</v>
      </c>
      <c r="AA830" s="74">
        <v>3.1344859021826239</v>
      </c>
      <c r="AB830" s="73"/>
      <c r="AC830" s="72">
        <v>50959.712700339558</v>
      </c>
      <c r="AD830" s="72">
        <v>50785.566309526432</v>
      </c>
      <c r="AE830" s="73"/>
      <c r="AF830" s="74">
        <v>4.7524507932531019</v>
      </c>
      <c r="AG830" s="74">
        <v>4.8827739039739466</v>
      </c>
      <c r="AH830" s="73"/>
      <c r="AI830" s="72">
        <v>3028383.58568141</v>
      </c>
      <c r="AJ830" s="72">
        <v>0</v>
      </c>
      <c r="AK830" s="73"/>
      <c r="AL830" s="74">
        <v>-1902.179641066456</v>
      </c>
      <c r="AM830" s="74">
        <v>0</v>
      </c>
      <c r="AN830" s="73"/>
      <c r="AO830" s="72">
        <v>193385.0025491651</v>
      </c>
      <c r="AP830" s="72">
        <v>0</v>
      </c>
      <c r="AQ830" s="73"/>
      <c r="AR830" s="74">
        <v>-102.18099379301717</v>
      </c>
      <c r="AS830" s="74">
        <v>0</v>
      </c>
      <c r="AT830" s="73"/>
      <c r="AU830" s="72">
        <v>8049608.780875802</v>
      </c>
      <c r="AV830" s="72">
        <v>0</v>
      </c>
      <c r="AW830" s="73"/>
      <c r="AX830" s="74">
        <v>-1157.8479672835006</v>
      </c>
      <c r="AY830" s="74">
        <v>0</v>
      </c>
      <c r="AZ830" s="73"/>
      <c r="BA830" s="72">
        <v>413268.7867047945</v>
      </c>
      <c r="BB830" s="72">
        <v>0</v>
      </c>
      <c r="BC830" s="73"/>
      <c r="BD830" s="74">
        <v>-396.7549019251685</v>
      </c>
      <c r="BE830" s="74">
        <v>0</v>
      </c>
      <c r="BF830" s="73"/>
      <c r="BG830" s="72">
        <v>2750265.6019758745</v>
      </c>
      <c r="BH830" s="72">
        <v>0</v>
      </c>
      <c r="BI830" s="73"/>
      <c r="BJ830" s="74">
        <v>-2058.1716731795523</v>
      </c>
      <c r="BK830" s="74">
        <v>0</v>
      </c>
      <c r="BL830" s="73"/>
      <c r="BM830" s="72">
        <v>14434911.757787047</v>
      </c>
      <c r="BN830" s="72">
        <v>0</v>
      </c>
      <c r="BO830" s="73"/>
      <c r="BP830" s="74">
        <v>-5617.1351772476946</v>
      </c>
      <c r="BQ830" s="74">
        <v>0</v>
      </c>
      <c r="BS830" s="109">
        <f t="shared" si="306"/>
        <v>117618.5892031351</v>
      </c>
      <c r="BT830" s="109">
        <f t="shared" si="307"/>
        <v>118000.71327877489</v>
      </c>
      <c r="BV830" s="58">
        <f t="array" ref="BV830">SUM(IF(BS830:BT830&gt;=BS830, 1))</f>
        <v>2</v>
      </c>
      <c r="BW830" s="58">
        <f t="array" ref="BW830">SUM(IF(BS830:BT830&gt;=BT830, 1))</f>
        <v>1</v>
      </c>
      <c r="BY830" s="109">
        <f t="shared" si="308"/>
        <v>135069.96006450098</v>
      </c>
      <c r="BZ830" s="109">
        <f t="shared" si="309"/>
        <v>135403.45436211329</v>
      </c>
      <c r="CB830" s="58">
        <f t="array" ref="CB830">SUM(IF(BY830:BZ830&gt;=BY830, 1))</f>
        <v>2</v>
      </c>
      <c r="CC830" s="58">
        <f t="array" ref="CC830">SUM(IF(BY830:BZ830&gt;=BZ830, 1))</f>
        <v>1</v>
      </c>
      <c r="CE830" s="109">
        <f t="shared" si="310"/>
        <v>97961.036194253596</v>
      </c>
      <c r="CF830" s="109">
        <f t="shared" si="311"/>
        <v>99333.147368098362</v>
      </c>
      <c r="CH830" s="58">
        <f t="array" ref="CH830">SUM(IF(CE830:CF830&gt;=CE830, 1))</f>
        <v>2</v>
      </c>
      <c r="CI830" s="58">
        <f t="array" ref="CI830">SUM(IF(CE830:CF830&gt;=CF830, 1))</f>
        <v>1</v>
      </c>
      <c r="CK830" s="109">
        <f t="shared" si="312"/>
        <v>49808.634750980789</v>
      </c>
      <c r="CL830" s="109">
        <f t="shared" si="313"/>
        <v>50773.717563182712</v>
      </c>
      <c r="CN830" s="58">
        <f t="array" ref="CN830">SUM(IF(CK830:CL830&gt;=CK830, 1))</f>
        <v>2</v>
      </c>
      <c r="CO830" s="58">
        <f t="array" ref="CO830">SUM(IF(CK830:CL830&gt;=CL830, 1))</f>
        <v>1</v>
      </c>
      <c r="CQ830" s="109" cm="1">
        <f t="array" ref="CQ830">AF830*WTP-AC830</f>
        <v>44089.303164722485</v>
      </c>
      <c r="CR830" s="109">
        <f t="shared" si="314"/>
        <v>46869.911769952494</v>
      </c>
      <c r="CT830" s="58">
        <f t="array" ref="CT830">SUM(IF(CQ830:CR830&gt;=CQ830, 1))</f>
        <v>2</v>
      </c>
      <c r="CU830" s="58">
        <f t="array" ref="CU830">SUM(IF(CQ830:CR830&gt;=CR830, 1))</f>
        <v>1</v>
      </c>
      <c r="CW830" s="109">
        <f t="shared" si="315"/>
        <v>-41071976.407010533</v>
      </c>
      <c r="CX830" s="109">
        <f t="shared" si="316"/>
        <v>0</v>
      </c>
      <c r="CZ830" s="58">
        <f t="array" ref="CZ830">SUM(IF(CW830:CX830&gt;=CW830, 1))</f>
        <v>2</v>
      </c>
      <c r="DA830" s="58">
        <f t="array" ref="DA830">SUM(IF(CW830:CX830&gt;=CX830, 1))</f>
        <v>1</v>
      </c>
      <c r="DC830" s="109">
        <f t="shared" si="317"/>
        <v>-2237004.8784095082</v>
      </c>
      <c r="DD830" s="109">
        <f t="shared" si="318"/>
        <v>0</v>
      </c>
      <c r="DF830" s="58">
        <f t="array" ref="DF830">SUM(IF(DC830:DD830&gt;=DC830, 1))</f>
        <v>2</v>
      </c>
      <c r="DG830" s="58">
        <f t="array" ref="DG830">SUM(IF(DC830:DD830&gt;=DD830, 1))</f>
        <v>1</v>
      </c>
      <c r="DI830" s="109">
        <f t="shared" si="319"/>
        <v>-31206568.126545813</v>
      </c>
      <c r="DJ830" s="109">
        <f t="shared" si="320"/>
        <v>0</v>
      </c>
      <c r="DL830" s="58">
        <f t="array" ref="DL830">SUM(IF(DI830:DJ830&gt;=DI830, 1))</f>
        <v>2</v>
      </c>
      <c r="DM830" s="58">
        <f t="array" ref="DM830">SUM(IF(DI830:DJ830&gt;=DJ830, 1))</f>
        <v>1</v>
      </c>
      <c r="DO830" s="109">
        <f t="shared" si="321"/>
        <v>-8348366.8252081648</v>
      </c>
      <c r="DP830" s="109">
        <f t="shared" si="322"/>
        <v>0</v>
      </c>
      <c r="DR830" s="58">
        <f t="array" ref="DR830">SUM(IF(DO830:DP830&gt;=DO830, 1))</f>
        <v>2</v>
      </c>
      <c r="DS830" s="58">
        <f t="array" ref="DS830">SUM(IF(DO830:DP830&gt;=DP830, 1))</f>
        <v>1</v>
      </c>
      <c r="DU830" s="109">
        <f t="shared" si="323"/>
        <v>-43913699.06556692</v>
      </c>
      <c r="DV830" s="109">
        <f t="shared" si="324"/>
        <v>0</v>
      </c>
      <c r="DX830" s="58">
        <f t="array" ref="DX830">SUM(IF(DU830:DV830&gt;=DU830, 1))</f>
        <v>2</v>
      </c>
      <c r="DY830" s="58">
        <f t="array" ref="DY830">SUM(IF(DU830:DV830&gt;=DV830, 1))</f>
        <v>1</v>
      </c>
      <c r="EA830" s="109">
        <f t="shared" si="325"/>
        <v>-126777615.30274095</v>
      </c>
      <c r="EB830" s="109">
        <f t="shared" si="326"/>
        <v>0</v>
      </c>
      <c r="ED830" s="58">
        <f t="array" ref="ED830">SUM(IF(EA830:EB830&gt;=EA830, 1))</f>
        <v>2</v>
      </c>
      <c r="EE830" s="58">
        <f t="array" ref="EE830">SUM(IF(EA830:EB830&gt;=EB830, 1))</f>
        <v>1</v>
      </c>
    </row>
    <row r="831" spans="4:135" ht="12" customHeight="1" x14ac:dyDescent="0.25">
      <c r="D831" s="11">
        <v>815</v>
      </c>
      <c r="E831" s="72">
        <v>290.41401688425339</v>
      </c>
      <c r="F831" s="72">
        <v>274.28177326296026</v>
      </c>
      <c r="G831" s="73"/>
      <c r="H831" s="74">
        <v>5.8447692134236933</v>
      </c>
      <c r="I831" s="74">
        <v>5.8598362532829871</v>
      </c>
      <c r="J831" s="73"/>
      <c r="K831" s="72">
        <v>312.35086546131794</v>
      </c>
      <c r="L831" s="72">
        <v>295.80850731300757</v>
      </c>
      <c r="M831" s="73"/>
      <c r="N831" s="74">
        <v>6.7082113239118311</v>
      </c>
      <c r="O831" s="74">
        <v>6.7213153804078694</v>
      </c>
      <c r="P831" s="73"/>
      <c r="Q831" s="72">
        <v>2483.0362778202143</v>
      </c>
      <c r="R831" s="72">
        <v>1263.8616627395152</v>
      </c>
      <c r="S831" s="73"/>
      <c r="T831" s="74">
        <v>4.7515014206174957</v>
      </c>
      <c r="U831" s="74">
        <v>4.917099183533403</v>
      </c>
      <c r="V831" s="73"/>
      <c r="W831" s="72">
        <v>6902.5907233998505</v>
      </c>
      <c r="X831" s="72">
        <v>6923.1147649642389</v>
      </c>
      <c r="Y831" s="73"/>
      <c r="Z831" s="74">
        <v>2.9500686838308501</v>
      </c>
      <c r="AA831" s="74">
        <v>3.0098682456696011</v>
      </c>
      <c r="AB831" s="73"/>
      <c r="AC831" s="72">
        <v>51127.564608766057</v>
      </c>
      <c r="AD831" s="72">
        <v>50947.296470902053</v>
      </c>
      <c r="AE831" s="73"/>
      <c r="AF831" s="74">
        <v>5.2042908332673843</v>
      </c>
      <c r="AG831" s="74">
        <v>5.3506568584923775</v>
      </c>
      <c r="AH831" s="73"/>
      <c r="AI831" s="72">
        <v>1726161.5807481818</v>
      </c>
      <c r="AJ831" s="72">
        <v>0</v>
      </c>
      <c r="AK831" s="73"/>
      <c r="AL831" s="74">
        <v>-1612.1840179989608</v>
      </c>
      <c r="AM831" s="74">
        <v>0</v>
      </c>
      <c r="AN831" s="73"/>
      <c r="AO831" s="72">
        <v>118756.47445323321</v>
      </c>
      <c r="AP831" s="72">
        <v>0</v>
      </c>
      <c r="AQ831" s="73"/>
      <c r="AR831" s="74">
        <v>-94.073138578760933</v>
      </c>
      <c r="AS831" s="74">
        <v>0</v>
      </c>
      <c r="AT831" s="73"/>
      <c r="AU831" s="72">
        <v>27564596.626141753</v>
      </c>
      <c r="AV831" s="72">
        <v>0</v>
      </c>
      <c r="AW831" s="73"/>
      <c r="AX831" s="74">
        <v>-3744.0375484411643</v>
      </c>
      <c r="AY831" s="74">
        <v>0</v>
      </c>
      <c r="AZ831" s="73"/>
      <c r="BA831" s="72">
        <v>-180605.12661759683</v>
      </c>
      <c r="BB831" s="72">
        <v>0</v>
      </c>
      <c r="BC831" s="73"/>
      <c r="BD831" s="74">
        <v>-526.21738285230663</v>
      </c>
      <c r="BE831" s="74">
        <v>0</v>
      </c>
      <c r="BF831" s="73"/>
      <c r="BG831" s="72">
        <v>2806870.408550716</v>
      </c>
      <c r="BH831" s="72">
        <v>0</v>
      </c>
      <c r="BI831" s="73"/>
      <c r="BJ831" s="74">
        <v>-2278.996554183936</v>
      </c>
      <c r="BK831" s="74">
        <v>0</v>
      </c>
      <c r="BL831" s="73"/>
      <c r="BM831" s="72">
        <v>32035779.963276289</v>
      </c>
      <c r="BN831" s="72">
        <v>0</v>
      </c>
      <c r="BO831" s="73"/>
      <c r="BP831" s="74">
        <v>-8255.5086420551288</v>
      </c>
      <c r="BQ831" s="74">
        <v>0</v>
      </c>
      <c r="BS831" s="109">
        <f t="shared" si="306"/>
        <v>116604.97025158961</v>
      </c>
      <c r="BT831" s="109">
        <f t="shared" si="307"/>
        <v>116922.44329239678</v>
      </c>
      <c r="BV831" s="58">
        <f t="array" ref="BV831">SUM(IF(BS831:BT831&gt;=BS831, 1))</f>
        <v>2</v>
      </c>
      <c r="BW831" s="58">
        <f t="array" ref="BW831">SUM(IF(BS831:BT831&gt;=BT831, 1))</f>
        <v>1</v>
      </c>
      <c r="BY831" s="109">
        <f t="shared" si="308"/>
        <v>133851.8756127753</v>
      </c>
      <c r="BZ831" s="109">
        <f t="shared" si="309"/>
        <v>134130.49910084438</v>
      </c>
      <c r="CB831" s="58">
        <f t="array" ref="CB831">SUM(IF(BY831:BZ831&gt;=BY831, 1))</f>
        <v>2</v>
      </c>
      <c r="CC831" s="58">
        <f t="array" ref="CC831">SUM(IF(BY831:BZ831&gt;=BZ831, 1))</f>
        <v>1</v>
      </c>
      <c r="CE831" s="109">
        <f t="shared" si="310"/>
        <v>92546.992134529704</v>
      </c>
      <c r="CF831" s="109">
        <f t="shared" si="311"/>
        <v>97078.122007928556</v>
      </c>
      <c r="CH831" s="58">
        <f t="array" ref="CH831">SUM(IF(CE831:CF831&gt;=CE831, 1))</f>
        <v>2</v>
      </c>
      <c r="CI831" s="58">
        <f t="array" ref="CI831">SUM(IF(CE831:CF831&gt;=CF831, 1))</f>
        <v>1</v>
      </c>
      <c r="CK831" s="109">
        <f t="shared" si="312"/>
        <v>52098.782953217153</v>
      </c>
      <c r="CL831" s="109">
        <f t="shared" si="313"/>
        <v>53274.250148427782</v>
      </c>
      <c r="CN831" s="58">
        <f t="array" ref="CN831">SUM(IF(CK831:CL831&gt;=CK831, 1))</f>
        <v>2</v>
      </c>
      <c r="CO831" s="58">
        <f t="array" ref="CO831">SUM(IF(CK831:CL831&gt;=CL831, 1))</f>
        <v>1</v>
      </c>
      <c r="CQ831" s="109" cm="1">
        <f t="array" ref="CQ831">AF831*WTP-AC831</f>
        <v>52958.252056581623</v>
      </c>
      <c r="CR831" s="109">
        <f t="shared" si="314"/>
        <v>56065.840698945503</v>
      </c>
      <c r="CT831" s="58">
        <f t="array" ref="CT831">SUM(IF(CQ831:CR831&gt;=CQ831, 1))</f>
        <v>2</v>
      </c>
      <c r="CU831" s="58">
        <f t="array" ref="CU831">SUM(IF(CQ831:CR831&gt;=CR831, 1))</f>
        <v>1</v>
      </c>
      <c r="CW831" s="109">
        <f t="shared" si="315"/>
        <v>-33969841.940727398</v>
      </c>
      <c r="CX831" s="109">
        <f t="shared" si="316"/>
        <v>0</v>
      </c>
      <c r="CZ831" s="58">
        <f t="array" ref="CZ831">SUM(IF(CW831:CX831&gt;=CW831, 1))</f>
        <v>2</v>
      </c>
      <c r="DA831" s="58">
        <f t="array" ref="DA831">SUM(IF(CW831:CX831&gt;=CX831, 1))</f>
        <v>1</v>
      </c>
      <c r="DC831" s="109">
        <f t="shared" si="317"/>
        <v>-2000219.2460284519</v>
      </c>
      <c r="DD831" s="109">
        <f t="shared" si="318"/>
        <v>0</v>
      </c>
      <c r="DF831" s="58">
        <f t="array" ref="DF831">SUM(IF(DC831:DD831&gt;=DC831, 1))</f>
        <v>2</v>
      </c>
      <c r="DG831" s="58">
        <f t="array" ref="DG831">SUM(IF(DC831:DD831&gt;=DD831, 1))</f>
        <v>1</v>
      </c>
      <c r="DI831" s="109">
        <f t="shared" si="319"/>
        <v>-102445347.59496504</v>
      </c>
      <c r="DJ831" s="109">
        <f t="shared" si="320"/>
        <v>0</v>
      </c>
      <c r="DL831" s="58">
        <f t="array" ref="DL831">SUM(IF(DI831:DJ831&gt;=DI831, 1))</f>
        <v>2</v>
      </c>
      <c r="DM831" s="58">
        <f t="array" ref="DM831">SUM(IF(DI831:DJ831&gt;=DJ831, 1))</f>
        <v>1</v>
      </c>
      <c r="DO831" s="109">
        <f t="shared" si="321"/>
        <v>-10343742.530428534</v>
      </c>
      <c r="DP831" s="109">
        <f t="shared" si="322"/>
        <v>0</v>
      </c>
      <c r="DR831" s="58">
        <f t="array" ref="DR831">SUM(IF(DO831:DP831&gt;=DO831, 1))</f>
        <v>2</v>
      </c>
      <c r="DS831" s="58">
        <f t="array" ref="DS831">SUM(IF(DO831:DP831&gt;=DP831, 1))</f>
        <v>1</v>
      </c>
      <c r="DU831" s="109">
        <f t="shared" si="323"/>
        <v>-48386801.492229439</v>
      </c>
      <c r="DV831" s="109">
        <f t="shared" si="324"/>
        <v>0</v>
      </c>
      <c r="DX831" s="58">
        <f t="array" ref="DX831">SUM(IF(DU831:DV831&gt;=DU831, 1))</f>
        <v>2</v>
      </c>
      <c r="DY831" s="58">
        <f t="array" ref="DY831">SUM(IF(DU831:DV831&gt;=DV831, 1))</f>
        <v>1</v>
      </c>
      <c r="EA831" s="109">
        <f t="shared" si="325"/>
        <v>-197145952.80437887</v>
      </c>
      <c r="EB831" s="109">
        <f t="shared" si="326"/>
        <v>0</v>
      </c>
      <c r="ED831" s="58">
        <f t="array" ref="ED831">SUM(IF(EA831:EB831&gt;=EA831, 1))</f>
        <v>2</v>
      </c>
      <c r="EE831" s="58">
        <f t="array" ref="EE831">SUM(IF(EA831:EB831&gt;=EB831, 1))</f>
        <v>1</v>
      </c>
    </row>
    <row r="832" spans="4:135" ht="12" customHeight="1" x14ac:dyDescent="0.25">
      <c r="D832" s="11">
        <v>816</v>
      </c>
      <c r="E832" s="72">
        <v>303.70945954440293</v>
      </c>
      <c r="F832" s="72">
        <v>267.54751391401584</v>
      </c>
      <c r="G832" s="73"/>
      <c r="H832" s="74">
        <v>5.8500387595117864</v>
      </c>
      <c r="I832" s="74">
        <v>5.8652100256677402</v>
      </c>
      <c r="J832" s="73"/>
      <c r="K832" s="72">
        <v>325.46329416668726</v>
      </c>
      <c r="L832" s="72">
        <v>288.42474151508719</v>
      </c>
      <c r="M832" s="73"/>
      <c r="N832" s="74">
        <v>6.7248032617831237</v>
      </c>
      <c r="O832" s="74">
        <v>6.7377886118192754</v>
      </c>
      <c r="P832" s="73"/>
      <c r="Q832" s="72">
        <v>2189.5611909248505</v>
      </c>
      <c r="R832" s="72">
        <v>1269.1094806618084</v>
      </c>
      <c r="S832" s="73"/>
      <c r="T832" s="74">
        <v>4.8611302534167731</v>
      </c>
      <c r="U832" s="74">
        <v>4.9470773367858625</v>
      </c>
      <c r="V832" s="73"/>
      <c r="W832" s="72">
        <v>15184.028117291971</v>
      </c>
      <c r="X832" s="72">
        <v>15179.465502706018</v>
      </c>
      <c r="Y832" s="73"/>
      <c r="Z832" s="74">
        <v>2.9411280625060883</v>
      </c>
      <c r="AA832" s="74">
        <v>2.9775693756918655</v>
      </c>
      <c r="AB832" s="73"/>
      <c r="AC832" s="72">
        <v>50927.772208188078</v>
      </c>
      <c r="AD832" s="72">
        <v>50719.805896830745</v>
      </c>
      <c r="AE832" s="73"/>
      <c r="AF832" s="74">
        <v>3.8513909956158745</v>
      </c>
      <c r="AG832" s="74">
        <v>3.9090290290536616</v>
      </c>
      <c r="AH832" s="73"/>
      <c r="AI832" s="72">
        <v>3891923.4163600653</v>
      </c>
      <c r="AJ832" s="72">
        <v>0</v>
      </c>
      <c r="AK832" s="73"/>
      <c r="AL832" s="74">
        <v>-1632.805010319224</v>
      </c>
      <c r="AM832" s="74">
        <v>0</v>
      </c>
      <c r="AN832" s="73"/>
      <c r="AO832" s="72">
        <v>256017.92155478918</v>
      </c>
      <c r="AP832" s="72">
        <v>0</v>
      </c>
      <c r="AQ832" s="73"/>
      <c r="AR832" s="74">
        <v>-89.757349813001738</v>
      </c>
      <c r="AS832" s="74">
        <v>0</v>
      </c>
      <c r="AT832" s="73"/>
      <c r="AU832" s="72">
        <v>22070736.64643674</v>
      </c>
      <c r="AV832" s="72">
        <v>0</v>
      </c>
      <c r="AW832" s="73"/>
      <c r="AX832" s="74">
        <v>-2060.8527545963539</v>
      </c>
      <c r="AY832" s="74">
        <v>0</v>
      </c>
      <c r="AZ832" s="73"/>
      <c r="BA832" s="72">
        <v>39160.551681858531</v>
      </c>
      <c r="BB832" s="72">
        <v>0</v>
      </c>
      <c r="BC832" s="73"/>
      <c r="BD832" s="74">
        <v>-312.77284142295491</v>
      </c>
      <c r="BE832" s="74">
        <v>0</v>
      </c>
      <c r="BF832" s="73"/>
      <c r="BG832" s="72">
        <v>3260786.1318661729</v>
      </c>
      <c r="BH832" s="72">
        <v>0</v>
      </c>
      <c r="BI832" s="73"/>
      <c r="BJ832" s="74">
        <v>-903.72954578706799</v>
      </c>
      <c r="BK832" s="74">
        <v>0</v>
      </c>
      <c r="BL832" s="73"/>
      <c r="BM832" s="72">
        <v>29518624.667899624</v>
      </c>
      <c r="BN832" s="72">
        <v>0</v>
      </c>
      <c r="BO832" s="73"/>
      <c r="BP832" s="74">
        <v>-4999.9175019386021</v>
      </c>
      <c r="BQ832" s="74">
        <v>0</v>
      </c>
      <c r="BS832" s="109">
        <f t="shared" si="306"/>
        <v>116697.06573069132</v>
      </c>
      <c r="BT832" s="109">
        <f t="shared" si="307"/>
        <v>117036.65299944079</v>
      </c>
      <c r="BV832" s="58">
        <f t="array" ref="BV832">SUM(IF(BS832:BT832&gt;=BS832, 1))</f>
        <v>2</v>
      </c>
      <c r="BW832" s="58">
        <f t="array" ref="BW832">SUM(IF(BS832:BT832&gt;=BT832, 1))</f>
        <v>1</v>
      </c>
      <c r="BY832" s="109">
        <f t="shared" si="308"/>
        <v>134170.60194149578</v>
      </c>
      <c r="BZ832" s="109">
        <f t="shared" si="309"/>
        <v>134467.34749487042</v>
      </c>
      <c r="CB832" s="58">
        <f t="array" ref="CB832">SUM(IF(BY832:BZ832&gt;=BY832, 1))</f>
        <v>2</v>
      </c>
      <c r="CC832" s="58">
        <f t="array" ref="CC832">SUM(IF(BY832:BZ832&gt;=BZ832, 1))</f>
        <v>1</v>
      </c>
      <c r="CE832" s="109">
        <f t="shared" si="310"/>
        <v>95033.043877410601</v>
      </c>
      <c r="CF832" s="109">
        <f t="shared" si="311"/>
        <v>97672.43725505544</v>
      </c>
      <c r="CH832" s="58">
        <f t="array" ref="CH832">SUM(IF(CE832:CF832&gt;=CE832, 1))</f>
        <v>2</v>
      </c>
      <c r="CI832" s="58">
        <f t="array" ref="CI832">SUM(IF(CE832:CF832&gt;=CF832, 1))</f>
        <v>1</v>
      </c>
      <c r="CK832" s="109">
        <f t="shared" si="312"/>
        <v>43638.533132829791</v>
      </c>
      <c r="CL832" s="109">
        <f t="shared" si="313"/>
        <v>44371.92201113129</v>
      </c>
      <c r="CN832" s="58">
        <f t="array" ref="CN832">SUM(IF(CK832:CL832&gt;=CK832, 1))</f>
        <v>2</v>
      </c>
      <c r="CO832" s="58">
        <f t="array" ref="CO832">SUM(IF(CK832:CL832&gt;=CL832, 1))</f>
        <v>1</v>
      </c>
      <c r="CQ832" s="109" cm="1">
        <f t="array" ref="CQ832">AF832*WTP-AC832</f>
        <v>26100.047704129407</v>
      </c>
      <c r="CR832" s="109">
        <f t="shared" si="314"/>
        <v>27460.774684242482</v>
      </c>
      <c r="CT832" s="58">
        <f t="array" ref="CT832">SUM(IF(CQ832:CR832&gt;=CQ832, 1))</f>
        <v>2</v>
      </c>
      <c r="CU832" s="58">
        <f t="array" ref="CU832">SUM(IF(CQ832:CR832&gt;=CR832, 1))</f>
        <v>1</v>
      </c>
      <c r="CW832" s="109">
        <f t="shared" si="315"/>
        <v>-36548023.622744545</v>
      </c>
      <c r="CX832" s="109">
        <f t="shared" si="316"/>
        <v>0</v>
      </c>
      <c r="CZ832" s="58">
        <f t="array" ref="CZ832">SUM(IF(CW832:CX832&gt;=CW832, 1))</f>
        <v>2</v>
      </c>
      <c r="DA832" s="58">
        <f t="array" ref="DA832">SUM(IF(CW832:CX832&gt;=CX832, 1))</f>
        <v>1</v>
      </c>
      <c r="DC832" s="109">
        <f t="shared" si="317"/>
        <v>-2051164.917814824</v>
      </c>
      <c r="DD832" s="109">
        <f t="shared" si="318"/>
        <v>0</v>
      </c>
      <c r="DF832" s="58">
        <f t="array" ref="DF832">SUM(IF(DC832:DD832&gt;=DC832, 1))</f>
        <v>2</v>
      </c>
      <c r="DG832" s="58">
        <f t="array" ref="DG832">SUM(IF(DC832:DD832&gt;=DD832, 1))</f>
        <v>1</v>
      </c>
      <c r="DI832" s="109">
        <f t="shared" si="319"/>
        <v>-63287791.738363817</v>
      </c>
      <c r="DJ832" s="109">
        <f t="shared" si="320"/>
        <v>0</v>
      </c>
      <c r="DL832" s="58">
        <f t="array" ref="DL832">SUM(IF(DI832:DJ832&gt;=DI832, 1))</f>
        <v>2</v>
      </c>
      <c r="DM832" s="58">
        <f t="array" ref="DM832">SUM(IF(DI832:DJ832&gt;=DJ832, 1))</f>
        <v>1</v>
      </c>
      <c r="DO832" s="109">
        <f t="shared" si="321"/>
        <v>-6294617.3801409565</v>
      </c>
      <c r="DP832" s="109">
        <f t="shared" si="322"/>
        <v>0</v>
      </c>
      <c r="DR832" s="58">
        <f t="array" ref="DR832">SUM(IF(DO832:DP832&gt;=DO832, 1))</f>
        <v>2</v>
      </c>
      <c r="DS832" s="58">
        <f t="array" ref="DS832">SUM(IF(DO832:DP832&gt;=DP832, 1))</f>
        <v>1</v>
      </c>
      <c r="DU832" s="109">
        <f t="shared" si="323"/>
        <v>-21335377.047607534</v>
      </c>
      <c r="DV832" s="109">
        <f t="shared" si="324"/>
        <v>0</v>
      </c>
      <c r="DX832" s="58">
        <f t="array" ref="DX832">SUM(IF(DU832:DV832&gt;=DU832, 1))</f>
        <v>2</v>
      </c>
      <c r="DY832" s="58">
        <f t="array" ref="DY832">SUM(IF(DU832:DV832&gt;=DV832, 1))</f>
        <v>1</v>
      </c>
      <c r="EA832" s="109">
        <f t="shared" si="325"/>
        <v>-129516974.70667167</v>
      </c>
      <c r="EB832" s="109">
        <f t="shared" si="326"/>
        <v>0</v>
      </c>
      <c r="ED832" s="58">
        <f t="array" ref="ED832">SUM(IF(EA832:EB832&gt;=EA832, 1))</f>
        <v>2</v>
      </c>
      <c r="EE832" s="58">
        <f t="array" ref="EE832">SUM(IF(EA832:EB832&gt;=EB832, 1))</f>
        <v>1</v>
      </c>
    </row>
    <row r="833" spans="4:135" ht="12" customHeight="1" x14ac:dyDescent="0.25">
      <c r="D833" s="11">
        <v>817</v>
      </c>
      <c r="E833" s="72">
        <v>244.47621671362239</v>
      </c>
      <c r="F833" s="72">
        <v>228.69203349280073</v>
      </c>
      <c r="G833" s="73"/>
      <c r="H833" s="74">
        <v>5.8143064468810186</v>
      </c>
      <c r="I833" s="74">
        <v>5.8321560538609587</v>
      </c>
      <c r="J833" s="73"/>
      <c r="K833" s="72">
        <v>262.79711639933635</v>
      </c>
      <c r="L833" s="72">
        <v>246.6094765350083</v>
      </c>
      <c r="M833" s="73"/>
      <c r="N833" s="74">
        <v>6.7146140391201268</v>
      </c>
      <c r="O833" s="74">
        <v>6.7301861790958259</v>
      </c>
      <c r="P833" s="73"/>
      <c r="Q833" s="72">
        <v>2073.7864271967987</v>
      </c>
      <c r="R833" s="72">
        <v>1068.9090707427074</v>
      </c>
      <c r="S833" s="73"/>
      <c r="T833" s="74">
        <v>4.6268023651749974</v>
      </c>
      <c r="U833" s="74">
        <v>4.7306936444575758</v>
      </c>
      <c r="V833" s="73"/>
      <c r="W833" s="72">
        <v>18648.790240807244</v>
      </c>
      <c r="X833" s="72">
        <v>18653.4157282667</v>
      </c>
      <c r="Y833" s="73"/>
      <c r="Z833" s="74">
        <v>3.1986630643703173</v>
      </c>
      <c r="AA833" s="74">
        <v>3.2536797443200598</v>
      </c>
      <c r="AB833" s="73"/>
      <c r="AC833" s="72">
        <v>50993.478407583549</v>
      </c>
      <c r="AD833" s="72">
        <v>50370.296884389114</v>
      </c>
      <c r="AE833" s="73"/>
      <c r="AF833" s="74">
        <v>4.5319485696822275</v>
      </c>
      <c r="AG833" s="74">
        <v>4.6792978649321526</v>
      </c>
      <c r="AH833" s="73"/>
      <c r="AI833" s="72">
        <v>1716285.902607182</v>
      </c>
      <c r="AJ833" s="72">
        <v>0</v>
      </c>
      <c r="AK833" s="73"/>
      <c r="AL833" s="74">
        <v>-1940.8688050666965</v>
      </c>
      <c r="AM833" s="74">
        <v>0</v>
      </c>
      <c r="AN833" s="73"/>
      <c r="AO833" s="72">
        <v>112518.12936183478</v>
      </c>
      <c r="AP833" s="72">
        <v>0</v>
      </c>
      <c r="AQ833" s="73"/>
      <c r="AR833" s="74">
        <v>-108.23987158791726</v>
      </c>
      <c r="AS833" s="74">
        <v>0</v>
      </c>
      <c r="AT833" s="73"/>
      <c r="AU833" s="72">
        <v>24014420.995581862</v>
      </c>
      <c r="AV833" s="72">
        <v>0</v>
      </c>
      <c r="AW833" s="73"/>
      <c r="AX833" s="74">
        <v>-2482.7795177563935</v>
      </c>
      <c r="AY833" s="74">
        <v>0</v>
      </c>
      <c r="AZ833" s="73"/>
      <c r="BA833" s="72">
        <v>-40942.982925490804</v>
      </c>
      <c r="BB833" s="72">
        <v>0</v>
      </c>
      <c r="BC833" s="73"/>
      <c r="BD833" s="74">
        <v>-486.98585987829972</v>
      </c>
      <c r="BE833" s="74">
        <v>0</v>
      </c>
      <c r="BF833" s="73"/>
      <c r="BG833" s="72">
        <v>10033412.695344914</v>
      </c>
      <c r="BH833" s="72">
        <v>0</v>
      </c>
      <c r="BI833" s="73"/>
      <c r="BJ833" s="74">
        <v>-2372.3686190700073</v>
      </c>
      <c r="BK833" s="74">
        <v>0</v>
      </c>
      <c r="BL833" s="73"/>
      <c r="BM833" s="72">
        <v>35835694.739970304</v>
      </c>
      <c r="BN833" s="72">
        <v>0</v>
      </c>
      <c r="BO833" s="73"/>
      <c r="BP833" s="74">
        <v>-7391.2426733593138</v>
      </c>
      <c r="BQ833" s="74">
        <v>0</v>
      </c>
      <c r="BS833" s="109">
        <f t="shared" si="306"/>
        <v>116041.65272090676</v>
      </c>
      <c r="BT833" s="109">
        <f t="shared" si="307"/>
        <v>116414.42904372637</v>
      </c>
      <c r="BV833" s="58">
        <f t="array" ref="BV833">SUM(IF(BS833:BT833&gt;=BS833, 1))</f>
        <v>2</v>
      </c>
      <c r="BW833" s="58">
        <f t="array" ref="BW833">SUM(IF(BS833:BT833&gt;=BT833, 1))</f>
        <v>1</v>
      </c>
      <c r="BY833" s="109">
        <f t="shared" si="308"/>
        <v>134029.48366600319</v>
      </c>
      <c r="BZ833" s="109">
        <f t="shared" si="309"/>
        <v>134357.11410538151</v>
      </c>
      <c r="CB833" s="58">
        <f t="array" ref="CB833">SUM(IF(BY833:BZ833&gt;=BY833, 1))</f>
        <v>2</v>
      </c>
      <c r="CC833" s="58">
        <f t="array" ref="CC833">SUM(IF(BY833:BZ833&gt;=BZ833, 1))</f>
        <v>1</v>
      </c>
      <c r="CE833" s="109">
        <f t="shared" si="310"/>
        <v>90462.260876303146</v>
      </c>
      <c r="CF833" s="109">
        <f t="shared" si="311"/>
        <v>93544.963818408811</v>
      </c>
      <c r="CH833" s="58">
        <f t="array" ref="CH833">SUM(IF(CE833:CF833&gt;=CE833, 1))</f>
        <v>2</v>
      </c>
      <c r="CI833" s="58">
        <f t="array" ref="CI833">SUM(IF(CE833:CF833&gt;=CF833, 1))</f>
        <v>1</v>
      </c>
      <c r="CK833" s="109">
        <f t="shared" si="312"/>
        <v>45324.471046599108</v>
      </c>
      <c r="CL833" s="109">
        <f t="shared" si="313"/>
        <v>46420.179158134495</v>
      </c>
      <c r="CN833" s="58">
        <f t="array" ref="CN833">SUM(IF(CK833:CL833&gt;=CK833, 1))</f>
        <v>2</v>
      </c>
      <c r="CO833" s="58">
        <f t="array" ref="CO833">SUM(IF(CK833:CL833&gt;=CL833, 1))</f>
        <v>1</v>
      </c>
      <c r="CQ833" s="109" cm="1">
        <f t="array" ref="CQ833">AF833*WTP-AC833</f>
        <v>39645.492986060999</v>
      </c>
      <c r="CR833" s="109">
        <f t="shared" si="314"/>
        <v>43215.660414253944</v>
      </c>
      <c r="CT833" s="58">
        <f t="array" ref="CT833">SUM(IF(CQ833:CR833&gt;=CQ833, 1))</f>
        <v>2</v>
      </c>
      <c r="CU833" s="58">
        <f t="array" ref="CU833">SUM(IF(CQ833:CR833&gt;=CR833, 1))</f>
        <v>1</v>
      </c>
      <c r="CW833" s="109">
        <f t="shared" si="315"/>
        <v>-40533662.003941111</v>
      </c>
      <c r="CX833" s="109">
        <f t="shared" si="316"/>
        <v>0</v>
      </c>
      <c r="CZ833" s="58">
        <f t="array" ref="CZ833">SUM(IF(CW833:CX833&gt;=CW833, 1))</f>
        <v>2</v>
      </c>
      <c r="DA833" s="58">
        <f t="array" ref="DA833">SUM(IF(CW833:CX833&gt;=CX833, 1))</f>
        <v>1</v>
      </c>
      <c r="DC833" s="109">
        <f t="shared" si="317"/>
        <v>-2277315.5611201799</v>
      </c>
      <c r="DD833" s="109">
        <f t="shared" si="318"/>
        <v>0</v>
      </c>
      <c r="DF833" s="58">
        <f t="array" ref="DF833">SUM(IF(DC833:DD833&gt;=DC833, 1))</f>
        <v>2</v>
      </c>
      <c r="DG833" s="58">
        <f t="array" ref="DG833">SUM(IF(DC833:DD833&gt;=DD833, 1))</f>
        <v>1</v>
      </c>
      <c r="DI833" s="109">
        <f t="shared" si="319"/>
        <v>-73670011.350709736</v>
      </c>
      <c r="DJ833" s="109">
        <f t="shared" si="320"/>
        <v>0</v>
      </c>
      <c r="DL833" s="58">
        <f t="array" ref="DL833">SUM(IF(DI833:DJ833&gt;=DI833, 1))</f>
        <v>2</v>
      </c>
      <c r="DM833" s="58">
        <f t="array" ref="DM833">SUM(IF(DI833:DJ833&gt;=DJ833, 1))</f>
        <v>1</v>
      </c>
      <c r="DO833" s="109">
        <f t="shared" si="321"/>
        <v>-9698774.2146405037</v>
      </c>
      <c r="DP833" s="109">
        <f t="shared" si="322"/>
        <v>0</v>
      </c>
      <c r="DR833" s="58">
        <f t="array" ref="DR833">SUM(IF(DO833:DP833&gt;=DO833, 1))</f>
        <v>2</v>
      </c>
      <c r="DS833" s="58">
        <f t="array" ref="DS833">SUM(IF(DO833:DP833&gt;=DP833, 1))</f>
        <v>1</v>
      </c>
      <c r="DU833" s="109">
        <f t="shared" si="323"/>
        <v>-57480785.076745063</v>
      </c>
      <c r="DV833" s="109">
        <f t="shared" si="324"/>
        <v>0</v>
      </c>
      <c r="DX833" s="58">
        <f t="array" ref="DX833">SUM(IF(DU833:DV833&gt;=DU833, 1))</f>
        <v>2</v>
      </c>
      <c r="DY833" s="58">
        <f t="array" ref="DY833">SUM(IF(DU833:DV833&gt;=DV833, 1))</f>
        <v>1</v>
      </c>
      <c r="EA833" s="109">
        <f t="shared" si="325"/>
        <v>-183660548.20715657</v>
      </c>
      <c r="EB833" s="109">
        <f t="shared" si="326"/>
        <v>0</v>
      </c>
      <c r="ED833" s="58">
        <f t="array" ref="ED833">SUM(IF(EA833:EB833&gt;=EA833, 1))</f>
        <v>2</v>
      </c>
      <c r="EE833" s="58">
        <f t="array" ref="EE833">SUM(IF(EA833:EB833&gt;=EB833, 1))</f>
        <v>1</v>
      </c>
    </row>
    <row r="834" spans="4:135" ht="12" customHeight="1" x14ac:dyDescent="0.25">
      <c r="D834" s="11">
        <v>818</v>
      </c>
      <c r="E834" s="72">
        <v>230.95428568513918</v>
      </c>
      <c r="F834" s="72">
        <v>221.71339606276297</v>
      </c>
      <c r="G834" s="73"/>
      <c r="H834" s="74">
        <v>5.8587461990381984</v>
      </c>
      <c r="I834" s="74">
        <v>5.8722274993202079</v>
      </c>
      <c r="J834" s="73"/>
      <c r="K834" s="72">
        <v>248.56384369350124</v>
      </c>
      <c r="L834" s="72">
        <v>239.0856882534132</v>
      </c>
      <c r="M834" s="73"/>
      <c r="N834" s="74">
        <v>6.6584522920646165</v>
      </c>
      <c r="O834" s="74">
        <v>6.6702858248189871</v>
      </c>
      <c r="P834" s="73"/>
      <c r="Q834" s="72">
        <v>2513.5148327410211</v>
      </c>
      <c r="R834" s="72">
        <v>1546.4853405573679</v>
      </c>
      <c r="S834" s="73"/>
      <c r="T834" s="74">
        <v>4.7805869617416494</v>
      </c>
      <c r="U834" s="74">
        <v>4.8794281535283943</v>
      </c>
      <c r="V834" s="73"/>
      <c r="W834" s="72">
        <v>12689.038295369855</v>
      </c>
      <c r="X834" s="72">
        <v>12700.456164849989</v>
      </c>
      <c r="Y834" s="73"/>
      <c r="Z834" s="74">
        <v>3.0273977167918846</v>
      </c>
      <c r="AA834" s="74">
        <v>3.0776987478615299</v>
      </c>
      <c r="AB834" s="73"/>
      <c r="AC834" s="72">
        <v>49212.932459013304</v>
      </c>
      <c r="AD834" s="72">
        <v>49266.707942852583</v>
      </c>
      <c r="AE834" s="73"/>
      <c r="AF834" s="74">
        <v>4.8941982360114755</v>
      </c>
      <c r="AG834" s="74">
        <v>4.9335302394892659</v>
      </c>
      <c r="AH834" s="73"/>
      <c r="AI834" s="72">
        <v>993335.7824869816</v>
      </c>
      <c r="AJ834" s="72">
        <v>0</v>
      </c>
      <c r="AK834" s="73"/>
      <c r="AL834" s="74">
        <v>-1449.1524638651001</v>
      </c>
      <c r="AM834" s="74">
        <v>0</v>
      </c>
      <c r="AN834" s="73"/>
      <c r="AO834" s="72">
        <v>68015.508172046015</v>
      </c>
      <c r="AP834" s="72">
        <v>0</v>
      </c>
      <c r="AQ834" s="73"/>
      <c r="AR834" s="74">
        <v>-84.917761567285623</v>
      </c>
      <c r="AS834" s="74">
        <v>0</v>
      </c>
      <c r="AT834" s="73"/>
      <c r="AU834" s="72">
        <v>21955396.998801641</v>
      </c>
      <c r="AV834" s="72">
        <v>0</v>
      </c>
      <c r="AW834" s="73"/>
      <c r="AX834" s="74">
        <v>-2244.0862693984336</v>
      </c>
      <c r="AY834" s="74">
        <v>0</v>
      </c>
      <c r="AZ834" s="73"/>
      <c r="BA834" s="72">
        <v>-103508.56819747205</v>
      </c>
      <c r="BB834" s="72">
        <v>0</v>
      </c>
      <c r="BC834" s="73"/>
      <c r="BD834" s="74">
        <v>-456.00343513599597</v>
      </c>
      <c r="BE834" s="74">
        <v>0</v>
      </c>
      <c r="BF834" s="73"/>
      <c r="BG834" s="72">
        <v>-851652.03220885538</v>
      </c>
      <c r="BH834" s="72">
        <v>0</v>
      </c>
      <c r="BI834" s="73"/>
      <c r="BJ834" s="74">
        <v>-622.90802985278901</v>
      </c>
      <c r="BK834" s="74">
        <v>0</v>
      </c>
      <c r="BL834" s="73"/>
      <c r="BM834" s="72">
        <v>22061587.68905434</v>
      </c>
      <c r="BN834" s="72">
        <v>0</v>
      </c>
      <c r="BO834" s="73"/>
      <c r="BP834" s="74">
        <v>-4857.0679598196048</v>
      </c>
      <c r="BQ834" s="74">
        <v>0</v>
      </c>
      <c r="BS834" s="109">
        <f t="shared" si="306"/>
        <v>116943.96969507883</v>
      </c>
      <c r="BT834" s="109">
        <f t="shared" si="307"/>
        <v>117222.83659034139</v>
      </c>
      <c r="BV834" s="58">
        <f t="array" ref="BV834">SUM(IF(BS834:BT834&gt;=BS834, 1))</f>
        <v>2</v>
      </c>
      <c r="BW834" s="58">
        <f t="array" ref="BW834">SUM(IF(BS834:BT834&gt;=BT834, 1))</f>
        <v>1</v>
      </c>
      <c r="BY834" s="109">
        <f t="shared" si="308"/>
        <v>132920.48199759884</v>
      </c>
      <c r="BZ834" s="109">
        <f t="shared" si="309"/>
        <v>133166.63080812636</v>
      </c>
      <c r="CB834" s="58">
        <f t="array" ref="CB834">SUM(IF(BY834:BZ834&gt;=BY834, 1))</f>
        <v>2</v>
      </c>
      <c r="CC834" s="58">
        <f t="array" ref="CC834">SUM(IF(BY834:BZ834&gt;=BZ834, 1))</f>
        <v>1</v>
      </c>
      <c r="CE834" s="109">
        <f t="shared" si="310"/>
        <v>93098.224402091961</v>
      </c>
      <c r="CF834" s="109">
        <f t="shared" si="311"/>
        <v>96042.077730010526</v>
      </c>
      <c r="CH834" s="58">
        <f t="array" ref="CH834">SUM(IF(CE834:CF834&gt;=CE834, 1))</f>
        <v>2</v>
      </c>
      <c r="CI834" s="58">
        <f t="array" ref="CI834">SUM(IF(CE834:CF834&gt;=CF834, 1))</f>
        <v>1</v>
      </c>
      <c r="CK834" s="109">
        <f t="shared" si="312"/>
        <v>47858.916040467833</v>
      </c>
      <c r="CL834" s="109">
        <f t="shared" si="313"/>
        <v>48853.518792380608</v>
      </c>
      <c r="CN834" s="58">
        <f t="array" ref="CN834">SUM(IF(CK834:CL834&gt;=CK834, 1))</f>
        <v>2</v>
      </c>
      <c r="CO834" s="58">
        <f t="array" ref="CO834">SUM(IF(CK834:CL834&gt;=CL834, 1))</f>
        <v>1</v>
      </c>
      <c r="CQ834" s="109" cm="1">
        <f t="array" ref="CQ834">AF834*WTP-AC834</f>
        <v>48671.032261216213</v>
      </c>
      <c r="CR834" s="109">
        <f t="shared" si="314"/>
        <v>49403.89684693273</v>
      </c>
      <c r="CT834" s="58">
        <f t="array" ref="CT834">SUM(IF(CQ834:CR834&gt;=CQ834, 1))</f>
        <v>2</v>
      </c>
      <c r="CU834" s="58">
        <f t="array" ref="CU834">SUM(IF(CQ834:CR834&gt;=CR834, 1))</f>
        <v>1</v>
      </c>
      <c r="CW834" s="109">
        <f t="shared" si="315"/>
        <v>-29976385.059788983</v>
      </c>
      <c r="CX834" s="109">
        <f t="shared" si="316"/>
        <v>0</v>
      </c>
      <c r="CZ834" s="58">
        <f t="array" ref="CZ834">SUM(IF(CW834:CX834&gt;=CW834, 1))</f>
        <v>2</v>
      </c>
      <c r="DA834" s="58">
        <f t="array" ref="DA834">SUM(IF(CW834:CX834&gt;=CX834, 1))</f>
        <v>1</v>
      </c>
      <c r="DC834" s="109">
        <f t="shared" si="317"/>
        <v>-1766370.7395177584</v>
      </c>
      <c r="DD834" s="109">
        <f t="shared" si="318"/>
        <v>0</v>
      </c>
      <c r="DF834" s="58">
        <f t="array" ref="DF834">SUM(IF(DC834:DD834&gt;=DC834, 1))</f>
        <v>2</v>
      </c>
      <c r="DG834" s="58">
        <f t="array" ref="DG834">SUM(IF(DC834:DD834&gt;=DD834, 1))</f>
        <v>1</v>
      </c>
      <c r="DI834" s="109">
        <f t="shared" si="319"/>
        <v>-66837122.386770315</v>
      </c>
      <c r="DJ834" s="109">
        <f t="shared" si="320"/>
        <v>0</v>
      </c>
      <c r="DL834" s="58">
        <f t="array" ref="DL834">SUM(IF(DI834:DJ834&gt;=DI834, 1))</f>
        <v>2</v>
      </c>
      <c r="DM834" s="58">
        <f t="array" ref="DM834">SUM(IF(DI834:DJ834&gt;=DJ834, 1))</f>
        <v>1</v>
      </c>
      <c r="DO834" s="109">
        <f t="shared" si="321"/>
        <v>-9016560.1345224474</v>
      </c>
      <c r="DP834" s="109">
        <f t="shared" si="322"/>
        <v>0</v>
      </c>
      <c r="DR834" s="58">
        <f t="array" ref="DR834">SUM(IF(DO834:DP834&gt;=DO834, 1))</f>
        <v>2</v>
      </c>
      <c r="DS834" s="58">
        <f t="array" ref="DS834">SUM(IF(DO834:DP834&gt;=DP834, 1))</f>
        <v>1</v>
      </c>
      <c r="DU834" s="109">
        <f t="shared" si="323"/>
        <v>-11606508.564846924</v>
      </c>
      <c r="DV834" s="109">
        <f t="shared" si="324"/>
        <v>0</v>
      </c>
      <c r="DX834" s="58">
        <f t="array" ref="DX834">SUM(IF(DU834:DV834&gt;=DU834, 1))</f>
        <v>2</v>
      </c>
      <c r="DY834" s="58">
        <f t="array" ref="DY834">SUM(IF(DU834:DV834&gt;=DV834, 1))</f>
        <v>1</v>
      </c>
      <c r="EA834" s="109">
        <f t="shared" si="325"/>
        <v>-119202946.88544643</v>
      </c>
      <c r="EB834" s="109">
        <f t="shared" si="326"/>
        <v>0</v>
      </c>
      <c r="ED834" s="58">
        <f t="array" ref="ED834">SUM(IF(EA834:EB834&gt;=EA834, 1))</f>
        <v>2</v>
      </c>
      <c r="EE834" s="58">
        <f t="array" ref="EE834">SUM(IF(EA834:EB834&gt;=EB834, 1))</f>
        <v>1</v>
      </c>
    </row>
    <row r="835" spans="4:135" ht="12" customHeight="1" x14ac:dyDescent="0.25">
      <c r="D835" s="11">
        <v>819</v>
      </c>
      <c r="E835" s="72">
        <v>244.39959439581827</v>
      </c>
      <c r="F835" s="72">
        <v>222.03959306452973</v>
      </c>
      <c r="G835" s="73"/>
      <c r="H835" s="74">
        <v>5.8359844755152999</v>
      </c>
      <c r="I835" s="74">
        <v>5.8491955603301493</v>
      </c>
      <c r="J835" s="73"/>
      <c r="K835" s="72">
        <v>262.34051031318711</v>
      </c>
      <c r="L835" s="72">
        <v>239.42879912623337</v>
      </c>
      <c r="M835" s="73"/>
      <c r="N835" s="74">
        <v>6.6810615887931286</v>
      </c>
      <c r="O835" s="74">
        <v>6.6921330275383246</v>
      </c>
      <c r="P835" s="73"/>
      <c r="Q835" s="72">
        <v>2157.254205001394</v>
      </c>
      <c r="R835" s="72">
        <v>1149.8225506032747</v>
      </c>
      <c r="S835" s="73"/>
      <c r="T835" s="74">
        <v>4.8541203726454549</v>
      </c>
      <c r="U835" s="74">
        <v>4.9587827480296003</v>
      </c>
      <c r="V835" s="73"/>
      <c r="W835" s="72">
        <v>10312.313068941594</v>
      </c>
      <c r="X835" s="72">
        <v>10304.729492063279</v>
      </c>
      <c r="Y835" s="73"/>
      <c r="Z835" s="74">
        <v>3.0526575367955839</v>
      </c>
      <c r="AA835" s="74">
        <v>3.1133938272176254</v>
      </c>
      <c r="AB835" s="73"/>
      <c r="AC835" s="72">
        <v>51139.370515008159</v>
      </c>
      <c r="AD835" s="72">
        <v>50727.947811402293</v>
      </c>
      <c r="AE835" s="73"/>
      <c r="AF835" s="74">
        <v>4.7151360085389538</v>
      </c>
      <c r="AG835" s="74">
        <v>4.8162423954262579</v>
      </c>
      <c r="AH835" s="73"/>
      <c r="AI835" s="72">
        <v>2426856.0902723162</v>
      </c>
      <c r="AJ835" s="72">
        <v>0</v>
      </c>
      <c r="AK835" s="73"/>
      <c r="AL835" s="74">
        <v>-1433.8729755421662</v>
      </c>
      <c r="AM835" s="74">
        <v>0</v>
      </c>
      <c r="AN835" s="73"/>
      <c r="AO835" s="72">
        <v>160496.54115704572</v>
      </c>
      <c r="AP835" s="72">
        <v>0</v>
      </c>
      <c r="AQ835" s="73"/>
      <c r="AR835" s="74">
        <v>-77.555430484296167</v>
      </c>
      <c r="AS835" s="74">
        <v>0</v>
      </c>
      <c r="AT835" s="73"/>
      <c r="AU835" s="72">
        <v>23258694.734780684</v>
      </c>
      <c r="AV835" s="72">
        <v>0</v>
      </c>
      <c r="AW835" s="73"/>
      <c r="AX835" s="74">
        <v>-2416.3527408032628</v>
      </c>
      <c r="AY835" s="74">
        <v>0</v>
      </c>
      <c r="AZ835" s="73"/>
      <c r="BA835" s="72">
        <v>67834.400165340368</v>
      </c>
      <c r="BB835" s="72">
        <v>0</v>
      </c>
      <c r="BC835" s="73"/>
      <c r="BD835" s="74">
        <v>-543.28055153345963</v>
      </c>
      <c r="BE835" s="74">
        <v>0</v>
      </c>
      <c r="BF835" s="73"/>
      <c r="BG835" s="72">
        <v>6471983.5109315524</v>
      </c>
      <c r="BH835" s="72">
        <v>0</v>
      </c>
      <c r="BI835" s="73"/>
      <c r="BJ835" s="74">
        <v>-1590.4782673621255</v>
      </c>
      <c r="BK835" s="74">
        <v>0</v>
      </c>
      <c r="BL835" s="73"/>
      <c r="BM835" s="72">
        <v>32385865.27730694</v>
      </c>
      <c r="BN835" s="72">
        <v>0</v>
      </c>
      <c r="BO835" s="73"/>
      <c r="BP835" s="74">
        <v>-6061.5399657253101</v>
      </c>
      <c r="BQ835" s="74">
        <v>0</v>
      </c>
      <c r="BS835" s="109">
        <f t="shared" si="306"/>
        <v>116475.28991591018</v>
      </c>
      <c r="BT835" s="109">
        <f t="shared" si="307"/>
        <v>116761.87161353846</v>
      </c>
      <c r="BV835" s="58">
        <f t="array" ref="BV835">SUM(IF(BS835:BT835&gt;=BS835, 1))</f>
        <v>2</v>
      </c>
      <c r="BW835" s="58">
        <f t="array" ref="BW835">SUM(IF(BS835:BT835&gt;=BT835, 1))</f>
        <v>1</v>
      </c>
      <c r="BY835" s="109">
        <f t="shared" si="308"/>
        <v>133358.89126554938</v>
      </c>
      <c r="BZ835" s="109">
        <f t="shared" si="309"/>
        <v>133603.23175164024</v>
      </c>
      <c r="CB835" s="58">
        <f t="array" ref="CB835">SUM(IF(BY835:BZ835&gt;=BY835, 1))</f>
        <v>2</v>
      </c>
      <c r="CC835" s="58">
        <f t="array" ref="CC835">SUM(IF(BY835:BZ835&gt;=BZ835, 1))</f>
        <v>1</v>
      </c>
      <c r="CE835" s="109">
        <f t="shared" si="310"/>
        <v>94925.153247907714</v>
      </c>
      <c r="CF835" s="109">
        <f t="shared" si="311"/>
        <v>98025.832409988725</v>
      </c>
      <c r="CH835" s="58">
        <f t="array" ref="CH835">SUM(IF(CE835:CF835&gt;=CE835, 1))</f>
        <v>2</v>
      </c>
      <c r="CI835" s="58">
        <f t="array" ref="CI835">SUM(IF(CE835:CF835&gt;=CF835, 1))</f>
        <v>1</v>
      </c>
      <c r="CK835" s="109">
        <f t="shared" si="312"/>
        <v>50740.837666970088</v>
      </c>
      <c r="CL835" s="109">
        <f t="shared" si="313"/>
        <v>51963.147052289227</v>
      </c>
      <c r="CN835" s="58">
        <f t="array" ref="CN835">SUM(IF(CK835:CL835&gt;=CK835, 1))</f>
        <v>2</v>
      </c>
      <c r="CO835" s="58">
        <f t="array" ref="CO835">SUM(IF(CK835:CL835&gt;=CL835, 1))</f>
        <v>1</v>
      </c>
      <c r="CQ835" s="109" cm="1">
        <f t="array" ref="CQ835">AF835*WTP-AC835</f>
        <v>43163.349655770922</v>
      </c>
      <c r="CR835" s="109">
        <f t="shared" si="314"/>
        <v>45596.900097122867</v>
      </c>
      <c r="CT835" s="58">
        <f t="array" ref="CT835">SUM(IF(CQ835:CR835&gt;=CQ835, 1))</f>
        <v>2</v>
      </c>
      <c r="CU835" s="58">
        <f t="array" ref="CU835">SUM(IF(CQ835:CR835&gt;=CR835, 1))</f>
        <v>1</v>
      </c>
      <c r="CW835" s="109">
        <f t="shared" si="315"/>
        <v>-31104315.601115637</v>
      </c>
      <c r="CX835" s="109">
        <f t="shared" si="316"/>
        <v>0</v>
      </c>
      <c r="CZ835" s="58">
        <f t="array" ref="CZ835">SUM(IF(CW835:CX835&gt;=CW835, 1))</f>
        <v>2</v>
      </c>
      <c r="DA835" s="58">
        <f t="array" ref="DA835">SUM(IF(CW835:CX835&gt;=CX835, 1))</f>
        <v>1</v>
      </c>
      <c r="DC835" s="109">
        <f t="shared" si="317"/>
        <v>-1711605.1508429691</v>
      </c>
      <c r="DD835" s="109">
        <f t="shared" si="318"/>
        <v>0</v>
      </c>
      <c r="DF835" s="58">
        <f t="array" ref="DF835">SUM(IF(DC835:DD835&gt;=DC835, 1))</f>
        <v>2</v>
      </c>
      <c r="DG835" s="58">
        <f t="array" ref="DG835">SUM(IF(DC835:DD835&gt;=DD835, 1))</f>
        <v>1</v>
      </c>
      <c r="DI835" s="109">
        <f t="shared" si="319"/>
        <v>-71585749.550845951</v>
      </c>
      <c r="DJ835" s="109">
        <f t="shared" si="320"/>
        <v>0</v>
      </c>
      <c r="DL835" s="58">
        <f t="array" ref="DL835">SUM(IF(DI835:DJ835&gt;=DI835, 1))</f>
        <v>2</v>
      </c>
      <c r="DM835" s="58">
        <f t="array" ref="DM835">SUM(IF(DI835:DJ835&gt;=DJ835, 1))</f>
        <v>1</v>
      </c>
      <c r="DO835" s="109">
        <f t="shared" si="321"/>
        <v>-10933445.430834532</v>
      </c>
      <c r="DP835" s="109">
        <f t="shared" si="322"/>
        <v>0</v>
      </c>
      <c r="DR835" s="58">
        <f t="array" ref="DR835">SUM(IF(DO835:DP835&gt;=DO835, 1))</f>
        <v>2</v>
      </c>
      <c r="DS835" s="58">
        <f t="array" ref="DS835">SUM(IF(DO835:DP835&gt;=DP835, 1))</f>
        <v>1</v>
      </c>
      <c r="DU835" s="109">
        <f t="shared" si="323"/>
        <v>-38281548.858174063</v>
      </c>
      <c r="DV835" s="109">
        <f t="shared" si="324"/>
        <v>0</v>
      </c>
      <c r="DX835" s="58">
        <f t="array" ref="DX835">SUM(IF(DU835:DV835&gt;=DU835, 1))</f>
        <v>2</v>
      </c>
      <c r="DY835" s="58">
        <f t="array" ref="DY835">SUM(IF(DU835:DV835&gt;=DV835, 1))</f>
        <v>1</v>
      </c>
      <c r="EA835" s="109">
        <f t="shared" si="325"/>
        <v>-153616664.59181315</v>
      </c>
      <c r="EB835" s="109">
        <f t="shared" si="326"/>
        <v>0</v>
      </c>
      <c r="ED835" s="58">
        <f t="array" ref="ED835">SUM(IF(EA835:EB835&gt;=EA835, 1))</f>
        <v>2</v>
      </c>
      <c r="EE835" s="58">
        <f t="array" ref="EE835">SUM(IF(EA835:EB835&gt;=EB835, 1))</f>
        <v>1</v>
      </c>
    </row>
    <row r="836" spans="4:135" ht="12" customHeight="1" x14ac:dyDescent="0.25">
      <c r="D836" s="11">
        <v>820</v>
      </c>
      <c r="E836" s="72">
        <v>282.91611213820346</v>
      </c>
      <c r="F836" s="72">
        <v>264.7143411148266</v>
      </c>
      <c r="G836" s="73"/>
      <c r="H836" s="74">
        <v>5.8337917013203144</v>
      </c>
      <c r="I836" s="74">
        <v>5.84943667357311</v>
      </c>
      <c r="J836" s="73"/>
      <c r="K836" s="72">
        <v>304.17613840818922</v>
      </c>
      <c r="L836" s="72">
        <v>285.51934334456212</v>
      </c>
      <c r="M836" s="73"/>
      <c r="N836" s="74">
        <v>6.7024922822313533</v>
      </c>
      <c r="O836" s="74">
        <v>6.7160731187167988</v>
      </c>
      <c r="P836" s="73"/>
      <c r="Q836" s="72">
        <v>2791.5160576450157</v>
      </c>
      <c r="R836" s="72">
        <v>1577.7741909280658</v>
      </c>
      <c r="S836" s="73"/>
      <c r="T836" s="74">
        <v>4.7118735589804848</v>
      </c>
      <c r="U836" s="74">
        <v>4.8236918752214981</v>
      </c>
      <c r="V836" s="73"/>
      <c r="W836" s="72">
        <v>10159.441255275246</v>
      </c>
      <c r="X836" s="72">
        <v>10082.682372786407</v>
      </c>
      <c r="Y836" s="73"/>
      <c r="Z836" s="74">
        <v>2.9594071472180983</v>
      </c>
      <c r="AA836" s="74">
        <v>2.9900137225533028</v>
      </c>
      <c r="AB836" s="73"/>
      <c r="AC836" s="72">
        <v>51037.838337885631</v>
      </c>
      <c r="AD836" s="72">
        <v>50904.15489013723</v>
      </c>
      <c r="AE836" s="73"/>
      <c r="AF836" s="74">
        <v>4.571067002637978</v>
      </c>
      <c r="AG836" s="74">
        <v>4.6515656728760044</v>
      </c>
      <c r="AH836" s="73"/>
      <c r="AI836" s="72">
        <v>1930306.4677250325</v>
      </c>
      <c r="AJ836" s="72">
        <v>0</v>
      </c>
      <c r="AK836" s="73"/>
      <c r="AL836" s="74">
        <v>-1659.1567429435372</v>
      </c>
      <c r="AM836" s="74">
        <v>0</v>
      </c>
      <c r="AN836" s="73"/>
      <c r="AO836" s="72">
        <v>122729.96207137007</v>
      </c>
      <c r="AP836" s="72">
        <v>0</v>
      </c>
      <c r="AQ836" s="73"/>
      <c r="AR836" s="74">
        <v>-89.338792706455578</v>
      </c>
      <c r="AS836" s="74">
        <v>0</v>
      </c>
      <c r="AT836" s="73"/>
      <c r="AU836" s="72">
        <v>28523233.157045934</v>
      </c>
      <c r="AV836" s="72">
        <v>0</v>
      </c>
      <c r="AW836" s="73"/>
      <c r="AX836" s="74">
        <v>-2627.7580042598188</v>
      </c>
      <c r="AY836" s="74">
        <v>0</v>
      </c>
      <c r="AZ836" s="73"/>
      <c r="BA836" s="72">
        <v>683866.97237573226</v>
      </c>
      <c r="BB836" s="72">
        <v>0</v>
      </c>
      <c r="BC836" s="73"/>
      <c r="BD836" s="74">
        <v>-272.68278706792654</v>
      </c>
      <c r="BE836" s="74">
        <v>0</v>
      </c>
      <c r="BF836" s="73"/>
      <c r="BG836" s="72">
        <v>2056455.8800500131</v>
      </c>
      <c r="BH836" s="72">
        <v>0</v>
      </c>
      <c r="BI836" s="73"/>
      <c r="BJ836" s="74">
        <v>-1238.3130936206471</v>
      </c>
      <c r="BK836" s="74">
        <v>0</v>
      </c>
      <c r="BL836" s="73"/>
      <c r="BM836" s="72">
        <v>33316592.439268082</v>
      </c>
      <c r="BN836" s="72">
        <v>0</v>
      </c>
      <c r="BO836" s="73"/>
      <c r="BP836" s="74">
        <v>-5887.2494205983849</v>
      </c>
      <c r="BQ836" s="74">
        <v>0</v>
      </c>
      <c r="BS836" s="109">
        <f t="shared" si="306"/>
        <v>116392.91791426808</v>
      </c>
      <c r="BT836" s="109">
        <f t="shared" si="307"/>
        <v>116724.01913034737</v>
      </c>
      <c r="BV836" s="58">
        <f t="array" ref="BV836">SUM(IF(BS836:BT836&gt;=BS836, 1))</f>
        <v>2</v>
      </c>
      <c r="BW836" s="58">
        <f t="array" ref="BW836">SUM(IF(BS836:BT836&gt;=BT836, 1))</f>
        <v>1</v>
      </c>
      <c r="BY836" s="109">
        <f t="shared" si="308"/>
        <v>133745.66950621887</v>
      </c>
      <c r="BZ836" s="109">
        <f t="shared" si="309"/>
        <v>134035.94303099142</v>
      </c>
      <c r="CB836" s="58">
        <f t="array" ref="CB836">SUM(IF(BY836:BZ836&gt;=BY836, 1))</f>
        <v>2</v>
      </c>
      <c r="CC836" s="58">
        <f t="array" ref="CC836">SUM(IF(BY836:BZ836&gt;=BZ836, 1))</f>
        <v>1</v>
      </c>
      <c r="CE836" s="109">
        <f t="shared" si="310"/>
        <v>91445.955121964682</v>
      </c>
      <c r="CF836" s="109">
        <f t="shared" si="311"/>
        <v>94896.063313501902</v>
      </c>
      <c r="CH836" s="58">
        <f t="array" ref="CH836">SUM(IF(CE836:CF836&gt;=CE836, 1))</f>
        <v>2</v>
      </c>
      <c r="CI836" s="58">
        <f t="array" ref="CI836">SUM(IF(CE836:CF836&gt;=CF836, 1))</f>
        <v>1</v>
      </c>
      <c r="CK836" s="109">
        <f t="shared" si="312"/>
        <v>49028.701689086716</v>
      </c>
      <c r="CL836" s="109">
        <f t="shared" si="313"/>
        <v>49717.592078279646</v>
      </c>
      <c r="CN836" s="58">
        <f t="array" ref="CN836">SUM(IF(CK836:CL836&gt;=CK836, 1))</f>
        <v>2</v>
      </c>
      <c r="CO836" s="58">
        <f t="array" ref="CO836">SUM(IF(CK836:CL836&gt;=CL836, 1))</f>
        <v>1</v>
      </c>
      <c r="CQ836" s="109" cm="1">
        <f t="array" ref="CQ836">AF836*WTP-AC836</f>
        <v>40383.501714873935</v>
      </c>
      <c r="CR836" s="109">
        <f t="shared" si="314"/>
        <v>42127.158567382852</v>
      </c>
      <c r="CT836" s="58">
        <f t="array" ref="CT836">SUM(IF(CQ836:CR836&gt;=CQ836, 1))</f>
        <v>2</v>
      </c>
      <c r="CU836" s="58">
        <f t="array" ref="CU836">SUM(IF(CQ836:CR836&gt;=CR836, 1))</f>
        <v>1</v>
      </c>
      <c r="CW836" s="109">
        <f t="shared" si="315"/>
        <v>-35113441.326595776</v>
      </c>
      <c r="CX836" s="109">
        <f t="shared" si="316"/>
        <v>0</v>
      </c>
      <c r="CZ836" s="58">
        <f t="array" ref="CZ836">SUM(IF(CW836:CX836&gt;=CW836, 1))</f>
        <v>2</v>
      </c>
      <c r="DA836" s="58">
        <f t="array" ref="DA836">SUM(IF(CW836:CX836&gt;=CX836, 1))</f>
        <v>1</v>
      </c>
      <c r="DC836" s="109">
        <f t="shared" si="317"/>
        <v>-1909505.8162004817</v>
      </c>
      <c r="DD836" s="109">
        <f t="shared" si="318"/>
        <v>0</v>
      </c>
      <c r="DF836" s="58">
        <f t="array" ref="DF836">SUM(IF(DC836:DD836&gt;=DC836, 1))</f>
        <v>2</v>
      </c>
      <c r="DG836" s="58">
        <f t="array" ref="DG836">SUM(IF(DC836:DD836&gt;=DD836, 1))</f>
        <v>1</v>
      </c>
      <c r="DI836" s="109">
        <f t="shared" si="319"/>
        <v>-81078393.242242306</v>
      </c>
      <c r="DJ836" s="109">
        <f t="shared" si="320"/>
        <v>0</v>
      </c>
      <c r="DL836" s="58">
        <f t="array" ref="DL836">SUM(IF(DI836:DJ836&gt;=DI836, 1))</f>
        <v>2</v>
      </c>
      <c r="DM836" s="58">
        <f t="array" ref="DM836">SUM(IF(DI836:DJ836&gt;=DJ836, 1))</f>
        <v>1</v>
      </c>
      <c r="DO836" s="109">
        <f t="shared" si="321"/>
        <v>-6137522.7137342626</v>
      </c>
      <c r="DP836" s="109">
        <f t="shared" si="322"/>
        <v>0</v>
      </c>
      <c r="DR836" s="58">
        <f t="array" ref="DR836">SUM(IF(DO836:DP836&gt;=DO836, 1))</f>
        <v>2</v>
      </c>
      <c r="DS836" s="58">
        <f t="array" ref="DS836">SUM(IF(DO836:DP836&gt;=DP836, 1))</f>
        <v>1</v>
      </c>
      <c r="DU836" s="109">
        <f t="shared" si="323"/>
        <v>-26822717.752462957</v>
      </c>
      <c r="DV836" s="109">
        <f t="shared" si="324"/>
        <v>0</v>
      </c>
      <c r="DX836" s="58">
        <f t="array" ref="DX836">SUM(IF(DU836:DV836&gt;=DU836, 1))</f>
        <v>2</v>
      </c>
      <c r="DY836" s="58">
        <f t="array" ref="DY836">SUM(IF(DU836:DV836&gt;=DV836, 1))</f>
        <v>1</v>
      </c>
      <c r="EA836" s="109">
        <f t="shared" si="325"/>
        <v>-151061580.85123578</v>
      </c>
      <c r="EB836" s="109">
        <f t="shared" si="326"/>
        <v>0</v>
      </c>
      <c r="ED836" s="58">
        <f t="array" ref="ED836">SUM(IF(EA836:EB836&gt;=EA836, 1))</f>
        <v>2</v>
      </c>
      <c r="EE836" s="58">
        <f t="array" ref="EE836">SUM(IF(EA836:EB836&gt;=EB836, 1))</f>
        <v>1</v>
      </c>
    </row>
    <row r="837" spans="4:135" ht="12" customHeight="1" x14ac:dyDescent="0.25">
      <c r="D837" s="11">
        <v>821</v>
      </c>
      <c r="E837" s="72">
        <v>241.92916749751282</v>
      </c>
      <c r="F837" s="72">
        <v>204.62854341387109</v>
      </c>
      <c r="G837" s="73"/>
      <c r="H837" s="74">
        <v>5.8652881675512205</v>
      </c>
      <c r="I837" s="74">
        <v>5.8824356469103032</v>
      </c>
      <c r="J837" s="73"/>
      <c r="K837" s="72">
        <v>258.66357685493892</v>
      </c>
      <c r="L837" s="72">
        <v>220.52611655800462</v>
      </c>
      <c r="M837" s="73"/>
      <c r="N837" s="74">
        <v>6.7039408510766272</v>
      </c>
      <c r="O837" s="74">
        <v>6.7191651000027379</v>
      </c>
      <c r="P837" s="73"/>
      <c r="Q837" s="72">
        <v>2563.5528340033261</v>
      </c>
      <c r="R837" s="72">
        <v>1587.2331618443463</v>
      </c>
      <c r="S837" s="73"/>
      <c r="T837" s="74">
        <v>4.9178907186526786</v>
      </c>
      <c r="U837" s="74">
        <v>4.9994504374847226</v>
      </c>
      <c r="V837" s="73"/>
      <c r="W837" s="72">
        <v>15442.84169007725</v>
      </c>
      <c r="X837" s="72">
        <v>15420.921145986929</v>
      </c>
      <c r="Y837" s="73"/>
      <c r="Z837" s="74">
        <v>2.9323784682770264</v>
      </c>
      <c r="AA837" s="74">
        <v>2.9699062304581068</v>
      </c>
      <c r="AB837" s="73"/>
      <c r="AC837" s="72">
        <v>51470.835947001753</v>
      </c>
      <c r="AD837" s="72">
        <v>51111.531157471763</v>
      </c>
      <c r="AE837" s="73"/>
      <c r="AF837" s="74">
        <v>4.6401510291532624</v>
      </c>
      <c r="AG837" s="74">
        <v>4.7379753004583156</v>
      </c>
      <c r="AH837" s="73"/>
      <c r="AI837" s="72">
        <v>4039404.8378960351</v>
      </c>
      <c r="AJ837" s="72">
        <v>0</v>
      </c>
      <c r="AK837" s="73"/>
      <c r="AL837" s="74">
        <v>-1856.9558226554586</v>
      </c>
      <c r="AM837" s="74">
        <v>0</v>
      </c>
      <c r="AN837" s="73"/>
      <c r="AO837" s="72">
        <v>268623.51619081368</v>
      </c>
      <c r="AP837" s="72">
        <v>0</v>
      </c>
      <c r="AQ837" s="73"/>
      <c r="AR837" s="74">
        <v>-107.23292128146323</v>
      </c>
      <c r="AS837" s="74">
        <v>0</v>
      </c>
      <c r="AT837" s="73"/>
      <c r="AU837" s="72">
        <v>22144486.491246641</v>
      </c>
      <c r="AV837" s="72">
        <v>0</v>
      </c>
      <c r="AW837" s="73"/>
      <c r="AX837" s="74">
        <v>-1849.9044354111677</v>
      </c>
      <c r="AY837" s="74">
        <v>0</v>
      </c>
      <c r="AZ837" s="73"/>
      <c r="BA837" s="72">
        <v>195042.8886035427</v>
      </c>
      <c r="BB837" s="72">
        <v>0</v>
      </c>
      <c r="BC837" s="73"/>
      <c r="BD837" s="74">
        <v>-333.91156298245136</v>
      </c>
      <c r="BE837" s="74">
        <v>0</v>
      </c>
      <c r="BF837" s="73"/>
      <c r="BG837" s="72">
        <v>5774349.3977130391</v>
      </c>
      <c r="BH837" s="72">
        <v>0</v>
      </c>
      <c r="BI837" s="73"/>
      <c r="BJ837" s="74">
        <v>-1572.1235523494283</v>
      </c>
      <c r="BK837" s="74">
        <v>0</v>
      </c>
      <c r="BL837" s="73"/>
      <c r="BM837" s="72">
        <v>32421907.131650072</v>
      </c>
      <c r="BN837" s="72">
        <v>0</v>
      </c>
      <c r="BO837" s="73"/>
      <c r="BP837" s="74">
        <v>-5720.1282946799693</v>
      </c>
      <c r="BQ837" s="74">
        <v>0</v>
      </c>
      <c r="BS837" s="109">
        <f t="shared" si="306"/>
        <v>117063.83418352689</v>
      </c>
      <c r="BT837" s="109">
        <f t="shared" si="307"/>
        <v>117444.0843947922</v>
      </c>
      <c r="BV837" s="58">
        <f t="array" ref="BV837">SUM(IF(BS837:BT837&gt;=BS837, 1))</f>
        <v>2</v>
      </c>
      <c r="BW837" s="58">
        <f t="array" ref="BW837">SUM(IF(BS837:BT837&gt;=BT837, 1))</f>
        <v>1</v>
      </c>
      <c r="BY837" s="109">
        <f t="shared" si="308"/>
        <v>133820.15344467759</v>
      </c>
      <c r="BZ837" s="109">
        <f t="shared" si="309"/>
        <v>134162.77588349677</v>
      </c>
      <c r="CB837" s="58">
        <f t="array" ref="CB837">SUM(IF(BY837:BZ837&gt;=BY837, 1))</f>
        <v>2</v>
      </c>
      <c r="CC837" s="58">
        <f t="array" ref="CC837">SUM(IF(BY837:BZ837&gt;=BZ837, 1))</f>
        <v>1</v>
      </c>
      <c r="CE837" s="109">
        <f t="shared" si="310"/>
        <v>95794.261539050247</v>
      </c>
      <c r="CF837" s="109">
        <f t="shared" si="311"/>
        <v>98401.775587850105</v>
      </c>
      <c r="CH837" s="58">
        <f t="array" ref="CH837">SUM(IF(CE837:CF837&gt;=CE837, 1))</f>
        <v>2</v>
      </c>
      <c r="CI837" s="58">
        <f t="array" ref="CI837">SUM(IF(CE837:CF837&gt;=CF837, 1))</f>
        <v>1</v>
      </c>
      <c r="CK837" s="109">
        <f t="shared" si="312"/>
        <v>43204.727675463277</v>
      </c>
      <c r="CL837" s="109">
        <f t="shared" si="313"/>
        <v>43977.203463175203</v>
      </c>
      <c r="CN837" s="58">
        <f t="array" ref="CN837">SUM(IF(CK837:CL837&gt;=CK837, 1))</f>
        <v>2</v>
      </c>
      <c r="CO837" s="58">
        <f t="array" ref="CO837">SUM(IF(CK837:CL837&gt;=CL837, 1))</f>
        <v>1</v>
      </c>
      <c r="CQ837" s="109" cm="1">
        <f t="array" ref="CQ837">AF837*WTP-AC837</f>
        <v>41332.184636063488</v>
      </c>
      <c r="CR837" s="109">
        <f t="shared" si="314"/>
        <v>43647.974851694555</v>
      </c>
      <c r="CT837" s="58">
        <f t="array" ref="CT837">SUM(IF(CQ837:CR837&gt;=CQ837, 1))</f>
        <v>2</v>
      </c>
      <c r="CU837" s="58">
        <f t="array" ref="CU837">SUM(IF(CQ837:CR837&gt;=CR837, 1))</f>
        <v>1</v>
      </c>
      <c r="CW837" s="109">
        <f t="shared" si="315"/>
        <v>-41178521.291005209</v>
      </c>
      <c r="CX837" s="109">
        <f t="shared" si="316"/>
        <v>0</v>
      </c>
      <c r="CZ837" s="58">
        <f t="array" ref="CZ837">SUM(IF(CW837:CX837&gt;=CW837, 1))</f>
        <v>2</v>
      </c>
      <c r="DA837" s="58">
        <f t="array" ref="DA837">SUM(IF(CW837:CX837&gt;=CX837, 1))</f>
        <v>1</v>
      </c>
      <c r="DC837" s="109">
        <f t="shared" si="317"/>
        <v>-2413281.9418200785</v>
      </c>
      <c r="DD837" s="109">
        <f t="shared" si="318"/>
        <v>0</v>
      </c>
      <c r="DF837" s="58">
        <f t="array" ref="DF837">SUM(IF(DC837:DD837&gt;=DC837, 1))</f>
        <v>2</v>
      </c>
      <c r="DG837" s="58">
        <f t="array" ref="DG837">SUM(IF(DC837:DD837&gt;=DD837, 1))</f>
        <v>1</v>
      </c>
      <c r="DI837" s="109">
        <f t="shared" si="319"/>
        <v>-59142575.199469991</v>
      </c>
      <c r="DJ837" s="109">
        <f t="shared" si="320"/>
        <v>0</v>
      </c>
      <c r="DL837" s="58">
        <f t="array" ref="DL837">SUM(IF(DI837:DJ837&gt;=DI837, 1))</f>
        <v>2</v>
      </c>
      <c r="DM837" s="58">
        <f t="array" ref="DM837">SUM(IF(DI837:DJ837&gt;=DJ837, 1))</f>
        <v>1</v>
      </c>
      <c r="DO837" s="109">
        <f t="shared" si="321"/>
        <v>-6873274.1482525701</v>
      </c>
      <c r="DP837" s="109">
        <f t="shared" si="322"/>
        <v>0</v>
      </c>
      <c r="DR837" s="58">
        <f t="array" ref="DR837">SUM(IF(DO837:DP837&gt;=DO837, 1))</f>
        <v>2</v>
      </c>
      <c r="DS837" s="58">
        <f t="array" ref="DS837">SUM(IF(DO837:DP837&gt;=DP837, 1))</f>
        <v>1</v>
      </c>
      <c r="DU837" s="109">
        <f t="shared" si="323"/>
        <v>-37216820.444701605</v>
      </c>
      <c r="DV837" s="109">
        <f t="shared" si="324"/>
        <v>0</v>
      </c>
      <c r="DX837" s="58">
        <f t="array" ref="DX837">SUM(IF(DU837:DV837&gt;=DU837, 1))</f>
        <v>2</v>
      </c>
      <c r="DY837" s="58">
        <f t="array" ref="DY837">SUM(IF(DU837:DV837&gt;=DV837, 1))</f>
        <v>1</v>
      </c>
      <c r="EA837" s="109">
        <f t="shared" si="325"/>
        <v>-146824473.02524945</v>
      </c>
      <c r="EB837" s="109">
        <f t="shared" si="326"/>
        <v>0</v>
      </c>
      <c r="ED837" s="58">
        <f t="array" ref="ED837">SUM(IF(EA837:EB837&gt;=EA837, 1))</f>
        <v>2</v>
      </c>
      <c r="EE837" s="58">
        <f t="array" ref="EE837">SUM(IF(EA837:EB837&gt;=EB837, 1))</f>
        <v>1</v>
      </c>
    </row>
    <row r="838" spans="4:135" ht="12" customHeight="1" x14ac:dyDescent="0.25">
      <c r="D838" s="11">
        <v>822</v>
      </c>
      <c r="E838" s="72">
        <v>223.36424663966687</v>
      </c>
      <c r="F838" s="72">
        <v>208.37872905474774</v>
      </c>
      <c r="G838" s="73"/>
      <c r="H838" s="74">
        <v>5.7767903808313088</v>
      </c>
      <c r="I838" s="74">
        <v>5.789978074644643</v>
      </c>
      <c r="J838" s="73"/>
      <c r="K838" s="72">
        <v>240.03912325161085</v>
      </c>
      <c r="L838" s="72">
        <v>224.65951766692689</v>
      </c>
      <c r="M838" s="73"/>
      <c r="N838" s="74">
        <v>6.6975984514443967</v>
      </c>
      <c r="O838" s="74">
        <v>6.7082675041120963</v>
      </c>
      <c r="P838" s="73"/>
      <c r="Q838" s="72">
        <v>2467.3575868266394</v>
      </c>
      <c r="R838" s="72">
        <v>1157.2050697306024</v>
      </c>
      <c r="S838" s="73"/>
      <c r="T838" s="74">
        <v>4.8284472451386833</v>
      </c>
      <c r="U838" s="74">
        <v>4.9386179492039144</v>
      </c>
      <c r="V838" s="73"/>
      <c r="W838" s="72">
        <v>10229.487848451317</v>
      </c>
      <c r="X838" s="72">
        <v>10216.664599526312</v>
      </c>
      <c r="Y838" s="73"/>
      <c r="Z838" s="74">
        <v>2.9084081827938641</v>
      </c>
      <c r="AA838" s="74">
        <v>2.9595295143768854</v>
      </c>
      <c r="AB838" s="73"/>
      <c r="AC838" s="72">
        <v>49885.435570051952</v>
      </c>
      <c r="AD838" s="72">
        <v>49879.193575092708</v>
      </c>
      <c r="AE838" s="73"/>
      <c r="AF838" s="74">
        <v>4.468341578393888</v>
      </c>
      <c r="AG838" s="74">
        <v>4.6253376554704309</v>
      </c>
      <c r="AH838" s="73"/>
      <c r="AI838" s="72">
        <v>1626371.6109665041</v>
      </c>
      <c r="AJ838" s="72">
        <v>0</v>
      </c>
      <c r="AK838" s="73"/>
      <c r="AL838" s="74">
        <v>-1431.2545903459391</v>
      </c>
      <c r="AM838" s="74">
        <v>0</v>
      </c>
      <c r="AN838" s="73"/>
      <c r="AO838" s="72">
        <v>107093.67475642241</v>
      </c>
      <c r="AP838" s="72">
        <v>0</v>
      </c>
      <c r="AQ838" s="73"/>
      <c r="AR838" s="74">
        <v>-74.292416022139392</v>
      </c>
      <c r="AS838" s="74">
        <v>0</v>
      </c>
      <c r="AT838" s="73"/>
      <c r="AU838" s="72">
        <v>30098527.141399175</v>
      </c>
      <c r="AV838" s="72">
        <v>0</v>
      </c>
      <c r="AW838" s="73"/>
      <c r="AX838" s="74">
        <v>-2530.9846626439348</v>
      </c>
      <c r="AY838" s="74">
        <v>0</v>
      </c>
      <c r="AZ838" s="73"/>
      <c r="BA838" s="72">
        <v>118629.21948419682</v>
      </c>
      <c r="BB838" s="72">
        <v>0</v>
      </c>
      <c r="BC838" s="73"/>
      <c r="BD838" s="74">
        <v>-472.9287952026458</v>
      </c>
      <c r="BE838" s="74">
        <v>0</v>
      </c>
      <c r="BF838" s="73"/>
      <c r="BG838" s="72">
        <v>98262.239275037471</v>
      </c>
      <c r="BH838" s="72">
        <v>0</v>
      </c>
      <c r="BI838" s="73"/>
      <c r="BJ838" s="74">
        <v>-2471.4512253957027</v>
      </c>
      <c r="BK838" s="74">
        <v>0</v>
      </c>
      <c r="BL838" s="73"/>
      <c r="BM838" s="72">
        <v>32048883.885881335</v>
      </c>
      <c r="BN838" s="72">
        <v>0</v>
      </c>
      <c r="BO838" s="73"/>
      <c r="BP838" s="74">
        <v>-6980.9116896103624</v>
      </c>
      <c r="BQ838" s="74">
        <v>0</v>
      </c>
      <c r="BS838" s="109">
        <f t="shared" si="306"/>
        <v>115312.4433699865</v>
      </c>
      <c r="BT838" s="109">
        <f t="shared" si="307"/>
        <v>115591.18276383811</v>
      </c>
      <c r="BV838" s="58">
        <f t="array" ref="BV838">SUM(IF(BS838:BT838&gt;=BS838, 1))</f>
        <v>2</v>
      </c>
      <c r="BW838" s="58">
        <f t="array" ref="BW838">SUM(IF(BS838:BT838&gt;=BT838, 1))</f>
        <v>1</v>
      </c>
      <c r="BY838" s="109">
        <f t="shared" si="308"/>
        <v>133711.92990563632</v>
      </c>
      <c r="BZ838" s="109">
        <f t="shared" si="309"/>
        <v>133940.69056457499</v>
      </c>
      <c r="CB838" s="58">
        <f t="array" ref="CB838">SUM(IF(BY838:BZ838&gt;=BY838, 1))</f>
        <v>2</v>
      </c>
      <c r="CC838" s="58">
        <f t="array" ref="CC838">SUM(IF(BY838:BZ838&gt;=BZ838, 1))</f>
        <v>1</v>
      </c>
      <c r="CE838" s="109">
        <f t="shared" si="310"/>
        <v>94101.587315947036</v>
      </c>
      <c r="CF838" s="109">
        <f t="shared" si="311"/>
        <v>97615.153914347684</v>
      </c>
      <c r="CH838" s="58">
        <f t="array" ref="CH838">SUM(IF(CE838:CF838&gt;=CE838, 1))</f>
        <v>2</v>
      </c>
      <c r="CI838" s="58">
        <f t="array" ref="CI838">SUM(IF(CE838:CF838&gt;=CF838, 1))</f>
        <v>1</v>
      </c>
      <c r="CK838" s="109">
        <f t="shared" si="312"/>
        <v>47938.675807425963</v>
      </c>
      <c r="CL838" s="109">
        <f t="shared" si="313"/>
        <v>48973.925688011397</v>
      </c>
      <c r="CN838" s="58">
        <f t="array" ref="CN838">SUM(IF(CK838:CL838&gt;=CK838, 1))</f>
        <v>2</v>
      </c>
      <c r="CO838" s="58">
        <f t="array" ref="CO838">SUM(IF(CK838:CL838&gt;=CL838, 1))</f>
        <v>1</v>
      </c>
      <c r="CQ838" s="109" cm="1">
        <f t="array" ref="CQ838">AF838*WTP-AC838</f>
        <v>39481.395997825806</v>
      </c>
      <c r="CR838" s="109">
        <f t="shared" si="314"/>
        <v>42627.559534315908</v>
      </c>
      <c r="CT838" s="58">
        <f t="array" ref="CT838">SUM(IF(CQ838:CR838&gt;=CQ838, 1))</f>
        <v>2</v>
      </c>
      <c r="CU838" s="58">
        <f t="array" ref="CU838">SUM(IF(CQ838:CR838&gt;=CR838, 1))</f>
        <v>1</v>
      </c>
      <c r="CW838" s="109">
        <f t="shared" si="315"/>
        <v>-30251463.417885285</v>
      </c>
      <c r="CX838" s="109">
        <f t="shared" si="316"/>
        <v>0</v>
      </c>
      <c r="CZ838" s="58">
        <f t="array" ref="CZ838">SUM(IF(CW838:CX838&gt;=CW838, 1))</f>
        <v>2</v>
      </c>
      <c r="DA838" s="58">
        <f t="array" ref="DA838">SUM(IF(CW838:CX838&gt;=CX838, 1))</f>
        <v>1</v>
      </c>
      <c r="DC838" s="109">
        <f t="shared" si="317"/>
        <v>-1592941.9951992102</v>
      </c>
      <c r="DD838" s="109">
        <f t="shared" si="318"/>
        <v>0</v>
      </c>
      <c r="DF838" s="58">
        <f t="array" ref="DF838">SUM(IF(DC838:DD838&gt;=DC838, 1))</f>
        <v>2</v>
      </c>
      <c r="DG838" s="58">
        <f t="array" ref="DG838">SUM(IF(DC838:DD838&gt;=DD838, 1))</f>
        <v>1</v>
      </c>
      <c r="DI838" s="109">
        <f t="shared" si="319"/>
        <v>-80718220.394277871</v>
      </c>
      <c r="DJ838" s="109">
        <f t="shared" si="320"/>
        <v>0</v>
      </c>
      <c r="DL838" s="58">
        <f t="array" ref="DL838">SUM(IF(DI838:DJ838&gt;=DI838, 1))</f>
        <v>2</v>
      </c>
      <c r="DM838" s="58">
        <f t="array" ref="DM838">SUM(IF(DI838:DJ838&gt;=DJ838, 1))</f>
        <v>1</v>
      </c>
      <c r="DO838" s="109">
        <f t="shared" si="321"/>
        <v>-9577205.1235371139</v>
      </c>
      <c r="DP838" s="109">
        <f t="shared" si="322"/>
        <v>0</v>
      </c>
      <c r="DR838" s="58">
        <f t="array" ref="DR838">SUM(IF(DO838:DP838&gt;=DO838, 1))</f>
        <v>2</v>
      </c>
      <c r="DS838" s="58">
        <f t="array" ref="DS838">SUM(IF(DO838:DP838&gt;=DP838, 1))</f>
        <v>1</v>
      </c>
      <c r="DU838" s="109">
        <f t="shared" si="323"/>
        <v>-49527286.74718909</v>
      </c>
      <c r="DV838" s="109">
        <f t="shared" si="324"/>
        <v>0</v>
      </c>
      <c r="DX838" s="58">
        <f t="array" ref="DX838">SUM(IF(DU838:DV838&gt;=DU838, 1))</f>
        <v>2</v>
      </c>
      <c r="DY838" s="58">
        <f t="array" ref="DY838">SUM(IF(DU838:DV838&gt;=DV838, 1))</f>
        <v>1</v>
      </c>
      <c r="EA838" s="109">
        <f t="shared" si="325"/>
        <v>-171667117.67808858</v>
      </c>
      <c r="EB838" s="109">
        <f t="shared" si="326"/>
        <v>0</v>
      </c>
      <c r="ED838" s="58">
        <f t="array" ref="ED838">SUM(IF(EA838:EB838&gt;=EA838, 1))</f>
        <v>2</v>
      </c>
      <c r="EE838" s="58">
        <f t="array" ref="EE838">SUM(IF(EA838:EB838&gt;=EB838, 1))</f>
        <v>1</v>
      </c>
    </row>
    <row r="839" spans="4:135" ht="12" customHeight="1" x14ac:dyDescent="0.25">
      <c r="D839" s="11">
        <v>823</v>
      </c>
      <c r="E839" s="72">
        <v>210.91521461639266</v>
      </c>
      <c r="F839" s="72">
        <v>196.98825143842279</v>
      </c>
      <c r="G839" s="73"/>
      <c r="H839" s="74">
        <v>5.9192270633083419</v>
      </c>
      <c r="I839" s="74">
        <v>5.9367121769573261</v>
      </c>
      <c r="J839" s="73"/>
      <c r="K839" s="72">
        <v>226.73740682678246</v>
      </c>
      <c r="L839" s="72">
        <v>212.46815326924141</v>
      </c>
      <c r="M839" s="73"/>
      <c r="N839" s="74">
        <v>6.7368340561521656</v>
      </c>
      <c r="O839" s="74">
        <v>6.7523728952223845</v>
      </c>
      <c r="P839" s="73"/>
      <c r="Q839" s="72">
        <v>3353.3637034785534</v>
      </c>
      <c r="R839" s="72">
        <v>1874.6062272156271</v>
      </c>
      <c r="S839" s="73"/>
      <c r="T839" s="74">
        <v>4.8216310137562548</v>
      </c>
      <c r="U839" s="74">
        <v>4.9232936468096371</v>
      </c>
      <c r="V839" s="73"/>
      <c r="W839" s="72">
        <v>14782.602057659567</v>
      </c>
      <c r="X839" s="72">
        <v>14753.119902996435</v>
      </c>
      <c r="Y839" s="73"/>
      <c r="Z839" s="74">
        <v>3.1455833153638451</v>
      </c>
      <c r="AA839" s="74">
        <v>3.1788053285599442</v>
      </c>
      <c r="AB839" s="73"/>
      <c r="AC839" s="72">
        <v>51318.724030774603</v>
      </c>
      <c r="AD839" s="72">
        <v>50819.55328536201</v>
      </c>
      <c r="AE839" s="73"/>
      <c r="AF839" s="74">
        <v>4.5920133388966171</v>
      </c>
      <c r="AG839" s="74">
        <v>4.6995918406314283</v>
      </c>
      <c r="AH839" s="73"/>
      <c r="AI839" s="72">
        <v>1498199.3966733143</v>
      </c>
      <c r="AJ839" s="72">
        <v>0</v>
      </c>
      <c r="AK839" s="73"/>
      <c r="AL839" s="74">
        <v>-1880.969051538131</v>
      </c>
      <c r="AM839" s="74">
        <v>0</v>
      </c>
      <c r="AN839" s="73"/>
      <c r="AO839" s="72">
        <v>100128.37087072556</v>
      </c>
      <c r="AP839" s="72">
        <v>0</v>
      </c>
      <c r="AQ839" s="73"/>
      <c r="AR839" s="74">
        <v>-109.03714304671145</v>
      </c>
      <c r="AS839" s="74">
        <v>0</v>
      </c>
      <c r="AT839" s="73"/>
      <c r="AU839" s="72">
        <v>34998787.004328959</v>
      </c>
      <c r="AV839" s="72">
        <v>0</v>
      </c>
      <c r="AW839" s="73"/>
      <c r="AX839" s="74">
        <v>-2406.1206098017033</v>
      </c>
      <c r="AY839" s="74">
        <v>0</v>
      </c>
      <c r="AZ839" s="73"/>
      <c r="BA839" s="72">
        <v>275720.35147205769</v>
      </c>
      <c r="BB839" s="72">
        <v>0</v>
      </c>
      <c r="BC839" s="73"/>
      <c r="BD839" s="74">
        <v>-310.69591960632914</v>
      </c>
      <c r="BE839" s="74">
        <v>0</v>
      </c>
      <c r="BF839" s="73"/>
      <c r="BG839" s="72">
        <v>7964983.7821128396</v>
      </c>
      <c r="BH839" s="72">
        <v>0</v>
      </c>
      <c r="BI839" s="73"/>
      <c r="BJ839" s="74">
        <v>-1716.5689886604312</v>
      </c>
      <c r="BK839" s="74">
        <v>0</v>
      </c>
      <c r="BL839" s="73"/>
      <c r="BM839" s="72">
        <v>44837818.905457892</v>
      </c>
      <c r="BN839" s="72">
        <v>0</v>
      </c>
      <c r="BO839" s="73"/>
      <c r="BP839" s="74">
        <v>-6423.3917126533061</v>
      </c>
      <c r="BQ839" s="74">
        <v>0</v>
      </c>
      <c r="BS839" s="109">
        <f t="shared" si="306"/>
        <v>118173.62605155044</v>
      </c>
      <c r="BT839" s="109">
        <f t="shared" si="307"/>
        <v>118537.2552877081</v>
      </c>
      <c r="BV839" s="58">
        <f t="array" ref="BV839">SUM(IF(BS839:BT839&gt;=BS839, 1))</f>
        <v>2</v>
      </c>
      <c r="BW839" s="58">
        <f t="array" ref="BW839">SUM(IF(BS839:BT839&gt;=BT839, 1))</f>
        <v>1</v>
      </c>
      <c r="BY839" s="109">
        <f t="shared" si="308"/>
        <v>134509.94371621654</v>
      </c>
      <c r="BZ839" s="109">
        <f t="shared" si="309"/>
        <v>134834.98975117845</v>
      </c>
      <c r="CB839" s="58">
        <f t="array" ref="CB839">SUM(IF(BY839:BZ839&gt;=BY839, 1))</f>
        <v>2</v>
      </c>
      <c r="CC839" s="58">
        <f t="array" ref="CC839">SUM(IF(BY839:BZ839&gt;=BZ839, 1))</f>
        <v>1</v>
      </c>
      <c r="CE839" s="109">
        <f t="shared" si="310"/>
        <v>93079.256571646547</v>
      </c>
      <c r="CF839" s="109">
        <f t="shared" si="311"/>
        <v>96591.266708977113</v>
      </c>
      <c r="CH839" s="58">
        <f t="array" ref="CH839">SUM(IF(CE839:CF839&gt;=CE839, 1))</f>
        <v>2</v>
      </c>
      <c r="CI839" s="58">
        <f t="array" ref="CI839">SUM(IF(CE839:CF839&gt;=CF839, 1))</f>
        <v>1</v>
      </c>
      <c r="CK839" s="109">
        <f t="shared" si="312"/>
        <v>48129.064249617331</v>
      </c>
      <c r="CL839" s="109">
        <f t="shared" si="313"/>
        <v>48822.986668202451</v>
      </c>
      <c r="CN839" s="58">
        <f t="array" ref="CN839">SUM(IF(CK839:CL839&gt;=CK839, 1))</f>
        <v>2</v>
      </c>
      <c r="CO839" s="58">
        <f t="array" ref="CO839">SUM(IF(CK839:CL839&gt;=CL839, 1))</f>
        <v>1</v>
      </c>
      <c r="CQ839" s="109" cm="1">
        <f t="array" ref="CQ839">AF839*WTP-AC839</f>
        <v>40521.542747157735</v>
      </c>
      <c r="CR839" s="109">
        <f t="shared" si="314"/>
        <v>43172.283527266554</v>
      </c>
      <c r="CT839" s="58">
        <f t="array" ref="CT839">SUM(IF(CQ839:CR839&gt;=CQ839, 1))</f>
        <v>2</v>
      </c>
      <c r="CU839" s="58">
        <f t="array" ref="CU839">SUM(IF(CQ839:CR839&gt;=CR839, 1))</f>
        <v>1</v>
      </c>
      <c r="CW839" s="109">
        <f t="shared" si="315"/>
        <v>-39117580.427435935</v>
      </c>
      <c r="CX839" s="109">
        <f t="shared" si="316"/>
        <v>0</v>
      </c>
      <c r="CZ839" s="58">
        <f t="array" ref="CZ839">SUM(IF(CW839:CX839&gt;=CW839, 1))</f>
        <v>2</v>
      </c>
      <c r="DA839" s="58">
        <f t="array" ref="DA839">SUM(IF(CW839:CX839&gt;=CX839, 1))</f>
        <v>1</v>
      </c>
      <c r="DC839" s="109">
        <f t="shared" si="317"/>
        <v>-2280871.2318049548</v>
      </c>
      <c r="DD839" s="109">
        <f t="shared" si="318"/>
        <v>0</v>
      </c>
      <c r="DF839" s="58">
        <f t="array" ref="DF839">SUM(IF(DC839:DD839&gt;=DC839, 1))</f>
        <v>2</v>
      </c>
      <c r="DG839" s="58">
        <f t="array" ref="DG839">SUM(IF(DC839:DD839&gt;=DD839, 1))</f>
        <v>1</v>
      </c>
      <c r="DI839" s="109">
        <f t="shared" si="319"/>
        <v>-83121199.200363025</v>
      </c>
      <c r="DJ839" s="109">
        <f t="shared" si="320"/>
        <v>0</v>
      </c>
      <c r="DL839" s="58">
        <f t="array" ref="DL839">SUM(IF(DI839:DJ839&gt;=DI839, 1))</f>
        <v>2</v>
      </c>
      <c r="DM839" s="58">
        <f t="array" ref="DM839">SUM(IF(DI839:DJ839&gt;=DJ839, 1))</f>
        <v>1</v>
      </c>
      <c r="DO839" s="109">
        <f t="shared" si="321"/>
        <v>-6489638.74359864</v>
      </c>
      <c r="DP839" s="109">
        <f t="shared" si="322"/>
        <v>0</v>
      </c>
      <c r="DR839" s="58">
        <f t="array" ref="DR839">SUM(IF(DO839:DP839&gt;=DO839, 1))</f>
        <v>2</v>
      </c>
      <c r="DS839" s="58">
        <f t="array" ref="DS839">SUM(IF(DO839:DP839&gt;=DP839, 1))</f>
        <v>1</v>
      </c>
      <c r="DU839" s="109">
        <f t="shared" si="323"/>
        <v>-42296363.555321462</v>
      </c>
      <c r="DV839" s="109">
        <f t="shared" si="324"/>
        <v>0</v>
      </c>
      <c r="DX839" s="58">
        <f t="array" ref="DX839">SUM(IF(DU839:DV839&gt;=DU839, 1))</f>
        <v>2</v>
      </c>
      <c r="DY839" s="58">
        <f t="array" ref="DY839">SUM(IF(DU839:DV839&gt;=DV839, 1))</f>
        <v>1</v>
      </c>
      <c r="EA839" s="109">
        <f t="shared" si="325"/>
        <v>-173305653.15852401</v>
      </c>
      <c r="EB839" s="109">
        <f t="shared" si="326"/>
        <v>0</v>
      </c>
      <c r="ED839" s="58">
        <f t="array" ref="ED839">SUM(IF(EA839:EB839&gt;=EA839, 1))</f>
        <v>2</v>
      </c>
      <c r="EE839" s="58">
        <f t="array" ref="EE839">SUM(IF(EA839:EB839&gt;=EB839, 1))</f>
        <v>1</v>
      </c>
    </row>
    <row r="840" spans="4:135" ht="12" customHeight="1" x14ac:dyDescent="0.25">
      <c r="D840" s="11">
        <v>824</v>
      </c>
      <c r="E840" s="72">
        <v>260.37345564786608</v>
      </c>
      <c r="F840" s="72">
        <v>246.61098681852391</v>
      </c>
      <c r="G840" s="73"/>
      <c r="H840" s="74">
        <v>5.780389643262831</v>
      </c>
      <c r="I840" s="74">
        <v>5.7975534065617351</v>
      </c>
      <c r="J840" s="73"/>
      <c r="K840" s="72">
        <v>280.14029497465896</v>
      </c>
      <c r="L840" s="72">
        <v>266.01295187705171</v>
      </c>
      <c r="M840" s="73"/>
      <c r="N840" s="74">
        <v>6.6622558921658399</v>
      </c>
      <c r="O840" s="74">
        <v>6.676722964868139</v>
      </c>
      <c r="P840" s="73"/>
      <c r="Q840" s="72">
        <v>2104.2800290110836</v>
      </c>
      <c r="R840" s="72">
        <v>1630.1689583297382</v>
      </c>
      <c r="S840" s="73"/>
      <c r="T840" s="74">
        <v>4.902666987845735</v>
      </c>
      <c r="U840" s="74">
        <v>4.9557191375864313</v>
      </c>
      <c r="V840" s="73"/>
      <c r="W840" s="72">
        <v>11378.862473370709</v>
      </c>
      <c r="X840" s="72">
        <v>11374.358655332087</v>
      </c>
      <c r="Y840" s="73"/>
      <c r="Z840" s="74">
        <v>2.9889540008461153</v>
      </c>
      <c r="AA840" s="74">
        <v>3.0474626791557489</v>
      </c>
      <c r="AB840" s="73"/>
      <c r="AC840" s="72">
        <v>48998.153358971736</v>
      </c>
      <c r="AD840" s="72">
        <v>48819.11464543816</v>
      </c>
      <c r="AE840" s="73"/>
      <c r="AF840" s="74">
        <v>4.750098228145859</v>
      </c>
      <c r="AG840" s="74">
        <v>4.9308374800373933</v>
      </c>
      <c r="AH840" s="73"/>
      <c r="AI840" s="72">
        <v>1484771.6332933374</v>
      </c>
      <c r="AJ840" s="72">
        <v>0</v>
      </c>
      <c r="AK840" s="73"/>
      <c r="AL840" s="74">
        <v>-1851.7221860979312</v>
      </c>
      <c r="AM840" s="74">
        <v>0</v>
      </c>
      <c r="AN840" s="73"/>
      <c r="AO840" s="72">
        <v>98619.678975852265</v>
      </c>
      <c r="AP840" s="72">
        <v>0</v>
      </c>
      <c r="AQ840" s="73"/>
      <c r="AR840" s="74">
        <v>-100.99125191223658</v>
      </c>
      <c r="AS840" s="74">
        <v>0</v>
      </c>
      <c r="AT840" s="73"/>
      <c r="AU840" s="72">
        <v>11111501.814114779</v>
      </c>
      <c r="AV840" s="72">
        <v>0</v>
      </c>
      <c r="AW840" s="73"/>
      <c r="AX840" s="74">
        <v>-1243.3564507137148</v>
      </c>
      <c r="AY840" s="74">
        <v>0</v>
      </c>
      <c r="AZ840" s="73"/>
      <c r="BA840" s="72">
        <v>40014.986812593073</v>
      </c>
      <c r="BB840" s="72">
        <v>0</v>
      </c>
      <c r="BC840" s="73"/>
      <c r="BD840" s="74">
        <v>-519.83094585647461</v>
      </c>
      <c r="BE840" s="74">
        <v>0</v>
      </c>
      <c r="BF840" s="73"/>
      <c r="BG840" s="72">
        <v>2759246.4044911084</v>
      </c>
      <c r="BH840" s="72">
        <v>0</v>
      </c>
      <c r="BI840" s="73"/>
      <c r="BJ840" s="74">
        <v>-2785.4541684840806</v>
      </c>
      <c r="BK840" s="74">
        <v>0</v>
      </c>
      <c r="BL840" s="73"/>
      <c r="BM840" s="72">
        <v>15494154.517687671</v>
      </c>
      <c r="BN840" s="72">
        <v>0</v>
      </c>
      <c r="BO840" s="73"/>
      <c r="BP840" s="74">
        <v>-6501.3550030644374</v>
      </c>
      <c r="BQ840" s="74">
        <v>0</v>
      </c>
      <c r="BS840" s="109">
        <f t="shared" si="306"/>
        <v>115347.41940960876</v>
      </c>
      <c r="BT840" s="109">
        <f t="shared" si="307"/>
        <v>115704.45714441617</v>
      </c>
      <c r="BV840" s="58">
        <f t="array" ref="BV840">SUM(IF(BS840:BT840&gt;=BS840, 1))</f>
        <v>2</v>
      </c>
      <c r="BW840" s="58">
        <f t="array" ref="BW840">SUM(IF(BS840:BT840&gt;=BT840, 1))</f>
        <v>1</v>
      </c>
      <c r="BY840" s="109">
        <f t="shared" si="308"/>
        <v>132964.97754834214</v>
      </c>
      <c r="BZ840" s="109">
        <f t="shared" si="309"/>
        <v>133268.44634548572</v>
      </c>
      <c r="CB840" s="58">
        <f t="array" ref="CB840">SUM(IF(BY840:BZ840&gt;=BY840, 1))</f>
        <v>2</v>
      </c>
      <c r="CC840" s="58">
        <f t="array" ref="CC840">SUM(IF(BY840:BZ840&gt;=BZ840, 1))</f>
        <v>1</v>
      </c>
      <c r="CE840" s="109">
        <f t="shared" si="310"/>
        <v>95949.059727903616</v>
      </c>
      <c r="CF840" s="109">
        <f t="shared" si="311"/>
        <v>97484.213793398885</v>
      </c>
      <c r="CH840" s="58">
        <f t="array" ref="CH840">SUM(IF(CE840:CF840&gt;=CE840, 1))</f>
        <v>2</v>
      </c>
      <c r="CI840" s="58">
        <f t="array" ref="CI840">SUM(IF(CE840:CF840&gt;=CF840, 1))</f>
        <v>1</v>
      </c>
      <c r="CK840" s="109">
        <f t="shared" si="312"/>
        <v>48400.217543551596</v>
      </c>
      <c r="CL840" s="109">
        <f t="shared" si="313"/>
        <v>49574.894927782894</v>
      </c>
      <c r="CN840" s="58">
        <f t="array" ref="CN840">SUM(IF(CK840:CL840&gt;=CK840, 1))</f>
        <v>2</v>
      </c>
      <c r="CO840" s="58">
        <f t="array" ref="CO840">SUM(IF(CK840:CL840&gt;=CL840, 1))</f>
        <v>1</v>
      </c>
      <c r="CQ840" s="109" cm="1">
        <f t="array" ref="CQ840">AF840*WTP-AC840</f>
        <v>46003.81120394545</v>
      </c>
      <c r="CR840" s="109">
        <f t="shared" si="314"/>
        <v>49797.634955309702</v>
      </c>
      <c r="CT840" s="58">
        <f t="array" ref="CT840">SUM(IF(CQ840:CR840&gt;=CQ840, 1))</f>
        <v>2</v>
      </c>
      <c r="CU840" s="58">
        <f t="array" ref="CU840">SUM(IF(CQ840:CR840&gt;=CR840, 1))</f>
        <v>1</v>
      </c>
      <c r="CW840" s="109">
        <f t="shared" si="315"/>
        <v>-38519215.35525196</v>
      </c>
      <c r="CX840" s="109">
        <f t="shared" si="316"/>
        <v>0</v>
      </c>
      <c r="CZ840" s="58">
        <f t="array" ref="CZ840">SUM(IF(CW840:CX840&gt;=CW840, 1))</f>
        <v>2</v>
      </c>
      <c r="DA840" s="58">
        <f t="array" ref="DA840">SUM(IF(CW840:CX840&gt;=CX840, 1))</f>
        <v>1</v>
      </c>
      <c r="DC840" s="109">
        <f t="shared" si="317"/>
        <v>-2118444.7172205839</v>
      </c>
      <c r="DD840" s="109">
        <f t="shared" si="318"/>
        <v>0</v>
      </c>
      <c r="DF840" s="58">
        <f t="array" ref="DF840">SUM(IF(DC840:DD840&gt;=DC840, 1))</f>
        <v>2</v>
      </c>
      <c r="DG840" s="58">
        <f t="array" ref="DG840">SUM(IF(DC840:DD840&gt;=DD840, 1))</f>
        <v>1</v>
      </c>
      <c r="DI840" s="109">
        <f t="shared" si="319"/>
        <v>-35978630.828389078</v>
      </c>
      <c r="DJ840" s="109">
        <f t="shared" si="320"/>
        <v>0</v>
      </c>
      <c r="DL840" s="58">
        <f t="array" ref="DL840">SUM(IF(DI840:DJ840&gt;=DI840, 1))</f>
        <v>2</v>
      </c>
      <c r="DM840" s="58">
        <f t="array" ref="DM840">SUM(IF(DI840:DJ840&gt;=DJ840, 1))</f>
        <v>1</v>
      </c>
      <c r="DO840" s="109">
        <f t="shared" si="321"/>
        <v>-10436633.903942086</v>
      </c>
      <c r="DP840" s="109">
        <f t="shared" si="322"/>
        <v>0</v>
      </c>
      <c r="DR840" s="58">
        <f t="array" ref="DR840">SUM(IF(DO840:DP840&gt;=DO840, 1))</f>
        <v>2</v>
      </c>
      <c r="DS840" s="58">
        <f t="array" ref="DS840">SUM(IF(DO840:DP840&gt;=DP840, 1))</f>
        <v>1</v>
      </c>
      <c r="DU840" s="109">
        <f t="shared" si="323"/>
        <v>-58468329.774172723</v>
      </c>
      <c r="DV840" s="109">
        <f t="shared" si="324"/>
        <v>0</v>
      </c>
      <c r="DX840" s="58">
        <f t="array" ref="DX840">SUM(IF(DU840:DV840&gt;=DU840, 1))</f>
        <v>2</v>
      </c>
      <c r="DY840" s="58">
        <f t="array" ref="DY840">SUM(IF(DU840:DV840&gt;=DV840, 1))</f>
        <v>1</v>
      </c>
      <c r="EA840" s="109">
        <f t="shared" si="325"/>
        <v>-145521254.57897642</v>
      </c>
      <c r="EB840" s="109">
        <f t="shared" si="326"/>
        <v>0</v>
      </c>
      <c r="ED840" s="58">
        <f t="array" ref="ED840">SUM(IF(EA840:EB840&gt;=EA840, 1))</f>
        <v>2</v>
      </c>
      <c r="EE840" s="58">
        <f t="array" ref="EE840">SUM(IF(EA840:EB840&gt;=EB840, 1))</f>
        <v>1</v>
      </c>
    </row>
    <row r="841" spans="4:135" ht="12" customHeight="1" x14ac:dyDescent="0.25">
      <c r="D841" s="11">
        <v>825</v>
      </c>
      <c r="E841" s="72">
        <v>287.08249126671609</v>
      </c>
      <c r="F841" s="72">
        <v>274.63878183171039</v>
      </c>
      <c r="G841" s="73"/>
      <c r="H841" s="74">
        <v>5.8655186761081195</v>
      </c>
      <c r="I841" s="74">
        <v>5.8832243136159077</v>
      </c>
      <c r="J841" s="73"/>
      <c r="K841" s="72">
        <v>309.09828937793105</v>
      </c>
      <c r="L841" s="72">
        <v>296.30104972570177</v>
      </c>
      <c r="M841" s="73"/>
      <c r="N841" s="74">
        <v>6.6835325017974005</v>
      </c>
      <c r="O841" s="74">
        <v>6.6983650280579683</v>
      </c>
      <c r="P841" s="73"/>
      <c r="Q841" s="72">
        <v>2803.0494160720709</v>
      </c>
      <c r="R841" s="72">
        <v>1509.8066213604329</v>
      </c>
      <c r="S841" s="73"/>
      <c r="T841" s="74">
        <v>4.8372143974405368</v>
      </c>
      <c r="U841" s="74">
        <v>4.9521702816547934</v>
      </c>
      <c r="V841" s="73"/>
      <c r="W841" s="72">
        <v>12645.439171994285</v>
      </c>
      <c r="X841" s="72">
        <v>12612.483515717211</v>
      </c>
      <c r="Y841" s="73"/>
      <c r="Z841" s="74">
        <v>2.95053662069631</v>
      </c>
      <c r="AA841" s="74">
        <v>2.9974748993752458</v>
      </c>
      <c r="AB841" s="73"/>
      <c r="AC841" s="72">
        <v>49072.285236526535</v>
      </c>
      <c r="AD841" s="72">
        <v>48948.219296060299</v>
      </c>
      <c r="AE841" s="73"/>
      <c r="AF841" s="74">
        <v>4.4215989265177136</v>
      </c>
      <c r="AG841" s="74">
        <v>4.5581143171495047</v>
      </c>
      <c r="AH841" s="73"/>
      <c r="AI841" s="72">
        <v>1331199.8318048159</v>
      </c>
      <c r="AJ841" s="72">
        <v>0</v>
      </c>
      <c r="AK841" s="73"/>
      <c r="AL841" s="74">
        <v>-1894.1089709198829</v>
      </c>
      <c r="AM841" s="74">
        <v>0</v>
      </c>
      <c r="AN841" s="73"/>
      <c r="AO841" s="72">
        <v>87525.803954023868</v>
      </c>
      <c r="AP841" s="72">
        <v>0</v>
      </c>
      <c r="AQ841" s="73"/>
      <c r="AR841" s="74">
        <v>-101.44600092717744</v>
      </c>
      <c r="AS841" s="74">
        <v>0</v>
      </c>
      <c r="AT841" s="73"/>
      <c r="AU841" s="72">
        <v>29621738.623433869</v>
      </c>
      <c r="AV841" s="72">
        <v>0</v>
      </c>
      <c r="AW841" s="73"/>
      <c r="AX841" s="74">
        <v>-2633.0656310980748</v>
      </c>
      <c r="AY841" s="74">
        <v>0</v>
      </c>
      <c r="AZ841" s="73"/>
      <c r="BA841" s="72">
        <v>293935.01532221813</v>
      </c>
      <c r="BB841" s="72">
        <v>0</v>
      </c>
      <c r="BC841" s="73"/>
      <c r="BD841" s="74">
        <v>-418.64751673264237</v>
      </c>
      <c r="BE841" s="74">
        <v>0</v>
      </c>
      <c r="BF841" s="73"/>
      <c r="BG841" s="72">
        <v>2031306.297295145</v>
      </c>
      <c r="BH841" s="72">
        <v>0</v>
      </c>
      <c r="BI841" s="73"/>
      <c r="BJ841" s="74">
        <v>-2235.1386015046569</v>
      </c>
      <c r="BK841" s="74">
        <v>0</v>
      </c>
      <c r="BL841" s="73"/>
      <c r="BM841" s="72">
        <v>33365705.571810074</v>
      </c>
      <c r="BN841" s="72">
        <v>0</v>
      </c>
      <c r="BO841" s="73"/>
      <c r="BP841" s="74">
        <v>-7282.4067211824349</v>
      </c>
      <c r="BQ841" s="74">
        <v>0</v>
      </c>
      <c r="BS841" s="109">
        <f t="shared" si="306"/>
        <v>117023.29103089568</v>
      </c>
      <c r="BT841" s="109">
        <f t="shared" si="307"/>
        <v>117389.84749048644</v>
      </c>
      <c r="BV841" s="58">
        <f t="array" ref="BV841">SUM(IF(BS841:BT841&gt;=BS841, 1))</f>
        <v>2</v>
      </c>
      <c r="BW841" s="58">
        <f t="array" ref="BW841">SUM(IF(BS841:BT841&gt;=BT841, 1))</f>
        <v>1</v>
      </c>
      <c r="BY841" s="109">
        <f t="shared" si="308"/>
        <v>133361.55174657007</v>
      </c>
      <c r="BZ841" s="109">
        <f t="shared" si="309"/>
        <v>133670.99951143365</v>
      </c>
      <c r="CB841" s="58">
        <f t="array" ref="CB841">SUM(IF(BY841:BZ841&gt;=BY841, 1))</f>
        <v>2</v>
      </c>
      <c r="CC841" s="58">
        <f t="array" ref="CC841">SUM(IF(BY841:BZ841&gt;=BZ841, 1))</f>
        <v>1</v>
      </c>
      <c r="CE841" s="109">
        <f t="shared" si="310"/>
        <v>93941.238532738673</v>
      </c>
      <c r="CF841" s="109">
        <f t="shared" si="311"/>
        <v>97533.599011735438</v>
      </c>
      <c r="CH841" s="58">
        <f t="array" ref="CH841">SUM(IF(CE841:CF841&gt;=CE841, 1))</f>
        <v>2</v>
      </c>
      <c r="CI841" s="58">
        <f t="array" ref="CI841">SUM(IF(CE841:CF841&gt;=CF841, 1))</f>
        <v>1</v>
      </c>
      <c r="CK841" s="109">
        <f t="shared" si="312"/>
        <v>46365.293241931911</v>
      </c>
      <c r="CL841" s="109">
        <f t="shared" si="313"/>
        <v>47337.014471787705</v>
      </c>
      <c r="CN841" s="58">
        <f t="array" ref="CN841">SUM(IF(CK841:CL841&gt;=CK841, 1))</f>
        <v>2</v>
      </c>
      <c r="CO841" s="58">
        <f t="array" ref="CO841">SUM(IF(CK841:CL841&gt;=CL841, 1))</f>
        <v>1</v>
      </c>
      <c r="CQ841" s="109" cm="1">
        <f t="array" ref="CQ841">AF841*WTP-AC841</f>
        <v>39359.693293827739</v>
      </c>
      <c r="CR841" s="109">
        <f t="shared" si="314"/>
        <v>42214.067046929791</v>
      </c>
      <c r="CT841" s="58">
        <f t="array" ref="CT841">SUM(IF(CQ841:CR841&gt;=CQ841, 1))</f>
        <v>2</v>
      </c>
      <c r="CU841" s="58">
        <f t="array" ref="CU841">SUM(IF(CQ841:CR841&gt;=CR841, 1))</f>
        <v>1</v>
      </c>
      <c r="CW841" s="109">
        <f t="shared" si="315"/>
        <v>-39213379.250202477</v>
      </c>
      <c r="CX841" s="109">
        <f t="shared" si="316"/>
        <v>0</v>
      </c>
      <c r="CZ841" s="58">
        <f t="array" ref="CZ841">SUM(IF(CW841:CX841&gt;=CW841, 1))</f>
        <v>2</v>
      </c>
      <c r="DA841" s="58">
        <f t="array" ref="DA841">SUM(IF(CW841:CX841&gt;=CX841, 1))</f>
        <v>1</v>
      </c>
      <c r="DC841" s="109">
        <f t="shared" si="317"/>
        <v>-2116445.8224975727</v>
      </c>
      <c r="DD841" s="109">
        <f t="shared" si="318"/>
        <v>0</v>
      </c>
      <c r="DF841" s="58">
        <f t="array" ref="DF841">SUM(IF(DC841:DD841&gt;=DC841, 1))</f>
        <v>2</v>
      </c>
      <c r="DG841" s="58">
        <f t="array" ref="DG841">SUM(IF(DC841:DD841&gt;=DD841, 1))</f>
        <v>1</v>
      </c>
      <c r="DI841" s="109">
        <f t="shared" si="319"/>
        <v>-82283051.245395362</v>
      </c>
      <c r="DJ841" s="109">
        <f t="shared" si="320"/>
        <v>0</v>
      </c>
      <c r="DL841" s="58">
        <f t="array" ref="DL841">SUM(IF(DI841:DJ841&gt;=DI841, 1))</f>
        <v>2</v>
      </c>
      <c r="DM841" s="58">
        <f t="array" ref="DM841">SUM(IF(DI841:DJ841&gt;=DJ841, 1))</f>
        <v>1</v>
      </c>
      <c r="DO841" s="109">
        <f t="shared" si="321"/>
        <v>-8666885.3499750663</v>
      </c>
      <c r="DP841" s="109">
        <f t="shared" si="322"/>
        <v>0</v>
      </c>
      <c r="DR841" s="58">
        <f t="array" ref="DR841">SUM(IF(DO841:DP841&gt;=DO841, 1))</f>
        <v>2</v>
      </c>
      <c r="DS841" s="58">
        <f t="array" ref="DS841">SUM(IF(DO841:DP841&gt;=DP841, 1))</f>
        <v>1</v>
      </c>
      <c r="DU841" s="109">
        <f t="shared" si="323"/>
        <v>-46734078.327388287</v>
      </c>
      <c r="DV841" s="109">
        <f t="shared" si="324"/>
        <v>0</v>
      </c>
      <c r="DX841" s="58">
        <f t="array" ref="DX841">SUM(IF(DU841:DV841&gt;=DU841, 1))</f>
        <v>2</v>
      </c>
      <c r="DY841" s="58">
        <f t="array" ref="DY841">SUM(IF(DU841:DV841&gt;=DV841, 1))</f>
        <v>1</v>
      </c>
      <c r="EA841" s="109">
        <f t="shared" si="325"/>
        <v>-179013839.99545875</v>
      </c>
      <c r="EB841" s="109">
        <f t="shared" si="326"/>
        <v>0</v>
      </c>
      <c r="ED841" s="58">
        <f t="array" ref="ED841">SUM(IF(EA841:EB841&gt;=EA841, 1))</f>
        <v>2</v>
      </c>
      <c r="EE841" s="58">
        <f t="array" ref="EE841">SUM(IF(EA841:EB841&gt;=EB841, 1))</f>
        <v>1</v>
      </c>
    </row>
    <row r="842" spans="4:135" ht="12" customHeight="1" x14ac:dyDescent="0.25">
      <c r="D842" s="11">
        <v>826</v>
      </c>
      <c r="E842" s="72">
        <v>253.22174763118201</v>
      </c>
      <c r="F842" s="72">
        <v>228.67915085595519</v>
      </c>
      <c r="G842" s="73"/>
      <c r="H842" s="74">
        <v>5.866236892487966</v>
      </c>
      <c r="I842" s="74">
        <v>5.8821878580409539</v>
      </c>
      <c r="J842" s="73"/>
      <c r="K842" s="72">
        <v>271.67626265827147</v>
      </c>
      <c r="L842" s="72">
        <v>246.54982676875534</v>
      </c>
      <c r="M842" s="73"/>
      <c r="N842" s="74">
        <v>6.660694562206662</v>
      </c>
      <c r="O842" s="74">
        <v>6.6742406173478974</v>
      </c>
      <c r="P842" s="73"/>
      <c r="Q842" s="72">
        <v>2430.5859978061681</v>
      </c>
      <c r="R842" s="72">
        <v>1028.7533513010321</v>
      </c>
      <c r="S842" s="73"/>
      <c r="T842" s="74">
        <v>4.8525105419632748</v>
      </c>
      <c r="U842" s="74">
        <v>4.9830272371265005</v>
      </c>
      <c r="V842" s="73"/>
      <c r="W842" s="72">
        <v>14617.141176555928</v>
      </c>
      <c r="X842" s="72">
        <v>14512.086224370387</v>
      </c>
      <c r="Y842" s="73"/>
      <c r="Z842" s="74">
        <v>3.042385676426151</v>
      </c>
      <c r="AA842" s="74">
        <v>3.0678172837729059</v>
      </c>
      <c r="AB842" s="73"/>
      <c r="AC842" s="72">
        <v>50801.052218183118</v>
      </c>
      <c r="AD842" s="72">
        <v>50607.523007279662</v>
      </c>
      <c r="AE842" s="73"/>
      <c r="AF842" s="74">
        <v>4.2379356717278238</v>
      </c>
      <c r="AG842" s="74">
        <v>4.3088145102784878</v>
      </c>
      <c r="AH842" s="73"/>
      <c r="AI842" s="72">
        <v>2624048.3130480186</v>
      </c>
      <c r="AJ842" s="72">
        <v>0</v>
      </c>
      <c r="AK842" s="73"/>
      <c r="AL842" s="74">
        <v>-1705.4472529595703</v>
      </c>
      <c r="AM842" s="74">
        <v>0</v>
      </c>
      <c r="AN842" s="73"/>
      <c r="AO842" s="72">
        <v>181325.30041433341</v>
      </c>
      <c r="AP842" s="72">
        <v>0</v>
      </c>
      <c r="AQ842" s="73"/>
      <c r="AR842" s="74">
        <v>-97.755309535901617</v>
      </c>
      <c r="AS842" s="74">
        <v>0</v>
      </c>
      <c r="AT842" s="73"/>
      <c r="AU842" s="72">
        <v>31598923.144188721</v>
      </c>
      <c r="AV842" s="72">
        <v>0</v>
      </c>
      <c r="AW842" s="73"/>
      <c r="AX842" s="74">
        <v>-2941.9966996618004</v>
      </c>
      <c r="AY842" s="74">
        <v>0</v>
      </c>
      <c r="AZ842" s="73"/>
      <c r="BA842" s="72">
        <v>969962.65244595928</v>
      </c>
      <c r="BB842" s="72">
        <v>0</v>
      </c>
      <c r="BC842" s="73"/>
      <c r="BD842" s="74">
        <v>-234.80767736161602</v>
      </c>
      <c r="BE842" s="74">
        <v>0</v>
      </c>
      <c r="BF842" s="73"/>
      <c r="BG842" s="72">
        <v>3042394.0722817839</v>
      </c>
      <c r="BH842" s="72">
        <v>0</v>
      </c>
      <c r="BI842" s="73"/>
      <c r="BJ842" s="74">
        <v>-1114.2574149404886</v>
      </c>
      <c r="BK842" s="74">
        <v>0</v>
      </c>
      <c r="BL842" s="73"/>
      <c r="BM842" s="72">
        <v>38416653.482378818</v>
      </c>
      <c r="BN842" s="72">
        <v>0</v>
      </c>
      <c r="BO842" s="73"/>
      <c r="BP842" s="74">
        <v>-6094.2643544593775</v>
      </c>
      <c r="BQ842" s="74">
        <v>0</v>
      </c>
      <c r="BS842" s="109">
        <f t="shared" si="306"/>
        <v>117071.51610212814</v>
      </c>
      <c r="BT842" s="109">
        <f t="shared" si="307"/>
        <v>117415.07800996312</v>
      </c>
      <c r="BV842" s="58">
        <f t="array" ref="BV842">SUM(IF(BS842:BT842&gt;=BS842, 1))</f>
        <v>2</v>
      </c>
      <c r="BW842" s="58">
        <f t="array" ref="BW842">SUM(IF(BS842:BT842&gt;=BT842, 1))</f>
        <v>1</v>
      </c>
      <c r="BY842" s="109">
        <f t="shared" si="308"/>
        <v>132942.21498147497</v>
      </c>
      <c r="BZ842" s="109">
        <f t="shared" si="309"/>
        <v>133238.26252018919</v>
      </c>
      <c r="CB842" s="58">
        <f t="array" ref="CB842">SUM(IF(BY842:BZ842&gt;=BY842, 1))</f>
        <v>2</v>
      </c>
      <c r="CC842" s="58">
        <f t="array" ref="CC842">SUM(IF(BY842:BZ842&gt;=BZ842, 1))</f>
        <v>1</v>
      </c>
      <c r="CE842" s="109">
        <f t="shared" si="310"/>
        <v>94619.624841459328</v>
      </c>
      <c r="CF842" s="109">
        <f t="shared" si="311"/>
        <v>98631.791391228981</v>
      </c>
      <c r="CH842" s="58">
        <f t="array" ref="CH842">SUM(IF(CE842:CF842&gt;=CE842, 1))</f>
        <v>2</v>
      </c>
      <c r="CI842" s="58">
        <f t="array" ref="CI842">SUM(IF(CE842:CF842&gt;=CF842, 1))</f>
        <v>1</v>
      </c>
      <c r="CK842" s="109">
        <f t="shared" si="312"/>
        <v>46230.572351967086</v>
      </c>
      <c r="CL842" s="109">
        <f t="shared" si="313"/>
        <v>46844.259451087732</v>
      </c>
      <c r="CN842" s="58">
        <f t="array" ref="CN842">SUM(IF(CK842:CL842&gt;=CK842, 1))</f>
        <v>2</v>
      </c>
      <c r="CO842" s="58">
        <f t="array" ref="CO842">SUM(IF(CK842:CL842&gt;=CL842, 1))</f>
        <v>1</v>
      </c>
      <c r="CQ842" s="109" cm="1">
        <f t="array" ref="CQ842">AF842*WTP-AC842</f>
        <v>33957.661216373352</v>
      </c>
      <c r="CR842" s="109">
        <f t="shared" si="314"/>
        <v>35568.767198290101</v>
      </c>
      <c r="CT842" s="58">
        <f t="array" ref="CT842">SUM(IF(CQ842:CR842&gt;=CQ842, 1))</f>
        <v>2</v>
      </c>
      <c r="CU842" s="58">
        <f t="array" ref="CU842">SUM(IF(CQ842:CR842&gt;=CR842, 1))</f>
        <v>1</v>
      </c>
      <c r="CW842" s="109">
        <f t="shared" si="315"/>
        <v>-36732993.372239426</v>
      </c>
      <c r="CX842" s="109">
        <f t="shared" si="316"/>
        <v>0</v>
      </c>
      <c r="CZ842" s="58">
        <f t="array" ref="CZ842">SUM(IF(CW842:CX842&gt;=CW842, 1))</f>
        <v>2</v>
      </c>
      <c r="DA842" s="58">
        <f t="array" ref="DA842">SUM(IF(CW842:CX842&gt;=CX842, 1))</f>
        <v>1</v>
      </c>
      <c r="DC842" s="109">
        <f t="shared" si="317"/>
        <v>-2136431.491132366</v>
      </c>
      <c r="DD842" s="109">
        <f t="shared" si="318"/>
        <v>0</v>
      </c>
      <c r="DF842" s="58">
        <f t="array" ref="DF842">SUM(IF(DC842:DD842&gt;=DC842, 1))</f>
        <v>2</v>
      </c>
      <c r="DG842" s="58">
        <f t="array" ref="DG842">SUM(IF(DC842:DD842&gt;=DD842, 1))</f>
        <v>1</v>
      </c>
      <c r="DI842" s="109">
        <f t="shared" si="319"/>
        <v>-90438857.137424722</v>
      </c>
      <c r="DJ842" s="109">
        <f t="shared" si="320"/>
        <v>0</v>
      </c>
      <c r="DL842" s="58">
        <f t="array" ref="DL842">SUM(IF(DI842:DJ842&gt;=DI842, 1))</f>
        <v>2</v>
      </c>
      <c r="DM842" s="58">
        <f t="array" ref="DM842">SUM(IF(DI842:DJ842&gt;=DJ842, 1))</f>
        <v>1</v>
      </c>
      <c r="DO842" s="109">
        <f t="shared" si="321"/>
        <v>-5666116.1996782795</v>
      </c>
      <c r="DP842" s="109">
        <f t="shared" si="322"/>
        <v>0</v>
      </c>
      <c r="DR842" s="58">
        <f t="array" ref="DR842">SUM(IF(DO842:DP842&gt;=DO842, 1))</f>
        <v>2</v>
      </c>
      <c r="DS842" s="58">
        <f t="array" ref="DS842">SUM(IF(DO842:DP842&gt;=DP842, 1))</f>
        <v>1</v>
      </c>
      <c r="DU842" s="109">
        <f t="shared" si="323"/>
        <v>-25327542.371091556</v>
      </c>
      <c r="DV842" s="109">
        <f t="shared" si="324"/>
        <v>0</v>
      </c>
      <c r="DX842" s="58">
        <f t="array" ref="DX842">SUM(IF(DU842:DV842&gt;=DU842, 1))</f>
        <v>2</v>
      </c>
      <c r="DY842" s="58">
        <f t="array" ref="DY842">SUM(IF(DU842:DV842&gt;=DV842, 1))</f>
        <v>1</v>
      </c>
      <c r="EA842" s="109">
        <f t="shared" si="325"/>
        <v>-160301940.57156637</v>
      </c>
      <c r="EB842" s="109">
        <f t="shared" si="326"/>
        <v>0</v>
      </c>
      <c r="ED842" s="58">
        <f t="array" ref="ED842">SUM(IF(EA842:EB842&gt;=EA842, 1))</f>
        <v>2</v>
      </c>
      <c r="EE842" s="58">
        <f t="array" ref="EE842">SUM(IF(EA842:EB842&gt;=EB842, 1))</f>
        <v>1</v>
      </c>
    </row>
    <row r="843" spans="4:135" ht="12" customHeight="1" x14ac:dyDescent="0.25">
      <c r="D843" s="11">
        <v>827</v>
      </c>
      <c r="E843" s="72">
        <v>300.29272987857775</v>
      </c>
      <c r="F843" s="72">
        <v>273.89433786636988</v>
      </c>
      <c r="G843" s="73"/>
      <c r="H843" s="74">
        <v>5.8108477153712901</v>
      </c>
      <c r="I843" s="74">
        <v>5.82802655924666</v>
      </c>
      <c r="J843" s="73"/>
      <c r="K843" s="72">
        <v>322.44645482223342</v>
      </c>
      <c r="L843" s="72">
        <v>295.41805736299773</v>
      </c>
      <c r="M843" s="73"/>
      <c r="N843" s="74">
        <v>6.729061004894211</v>
      </c>
      <c r="O843" s="74">
        <v>6.7440671461184509</v>
      </c>
      <c r="P843" s="73"/>
      <c r="Q843" s="72">
        <v>2575.998643773506</v>
      </c>
      <c r="R843" s="72">
        <v>1354.0154177974655</v>
      </c>
      <c r="S843" s="73"/>
      <c r="T843" s="74">
        <v>4.6772479052336644</v>
      </c>
      <c r="U843" s="74">
        <v>4.7803230171469426</v>
      </c>
      <c r="V843" s="73"/>
      <c r="W843" s="72">
        <v>11768.527152984558</v>
      </c>
      <c r="X843" s="72">
        <v>11766.670437656878</v>
      </c>
      <c r="Y843" s="73"/>
      <c r="Z843" s="74">
        <v>2.5591808172299064</v>
      </c>
      <c r="AA843" s="74">
        <v>2.589739974105767</v>
      </c>
      <c r="AB843" s="73"/>
      <c r="AC843" s="72">
        <v>51155.636108208011</v>
      </c>
      <c r="AD843" s="72">
        <v>50858.58217168587</v>
      </c>
      <c r="AE843" s="73"/>
      <c r="AF843" s="74">
        <v>4.8940077997877793</v>
      </c>
      <c r="AG843" s="74">
        <v>4.9988547670935253</v>
      </c>
      <c r="AH843" s="73"/>
      <c r="AI843" s="72">
        <v>2808338.1801261427</v>
      </c>
      <c r="AJ843" s="72">
        <v>0</v>
      </c>
      <c r="AK843" s="73"/>
      <c r="AL843" s="74">
        <v>-1827.5356742682375</v>
      </c>
      <c r="AM843" s="74">
        <v>0</v>
      </c>
      <c r="AN843" s="73"/>
      <c r="AO843" s="72">
        <v>183413.1822904583</v>
      </c>
      <c r="AP843" s="72">
        <v>0</v>
      </c>
      <c r="AQ843" s="73"/>
      <c r="AR843" s="74">
        <v>-101.83082885283685</v>
      </c>
      <c r="AS843" s="74">
        <v>0</v>
      </c>
      <c r="AT843" s="73"/>
      <c r="AU843" s="72">
        <v>27840009.154523674</v>
      </c>
      <c r="AV843" s="72">
        <v>0</v>
      </c>
      <c r="AW843" s="73"/>
      <c r="AX843" s="74">
        <v>-2348.323608924467</v>
      </c>
      <c r="AY843" s="74">
        <v>0</v>
      </c>
      <c r="AZ843" s="73"/>
      <c r="BA843" s="72">
        <v>16083.517768695256</v>
      </c>
      <c r="BB843" s="72">
        <v>0</v>
      </c>
      <c r="BC843" s="73"/>
      <c r="BD843" s="74">
        <v>-264.7141084483888</v>
      </c>
      <c r="BE843" s="74">
        <v>0</v>
      </c>
      <c r="BF843" s="73"/>
      <c r="BG843" s="72">
        <v>4770273.2183813807</v>
      </c>
      <c r="BH843" s="72">
        <v>0</v>
      </c>
      <c r="BI843" s="73"/>
      <c r="BJ843" s="74">
        <v>-1683.6965233410704</v>
      </c>
      <c r="BK843" s="74">
        <v>0</v>
      </c>
      <c r="BL843" s="73"/>
      <c r="BM843" s="72">
        <v>35618117.253090352</v>
      </c>
      <c r="BN843" s="72">
        <v>0</v>
      </c>
      <c r="BO843" s="73"/>
      <c r="BP843" s="74">
        <v>-6226.1007438350007</v>
      </c>
      <c r="BQ843" s="74">
        <v>0</v>
      </c>
      <c r="BS843" s="109">
        <f t="shared" si="306"/>
        <v>115916.66157754722</v>
      </c>
      <c r="BT843" s="109">
        <f t="shared" si="307"/>
        <v>116286.63684706684</v>
      </c>
      <c r="BV843" s="58">
        <f t="array" ref="BV843">SUM(IF(BS843:BT843&gt;=BS843, 1))</f>
        <v>2</v>
      </c>
      <c r="BW843" s="58">
        <f t="array" ref="BW843">SUM(IF(BS843:BT843&gt;=BT843, 1))</f>
        <v>1</v>
      </c>
      <c r="BY843" s="109">
        <f t="shared" si="308"/>
        <v>134258.77364306198</v>
      </c>
      <c r="BZ843" s="109">
        <f t="shared" si="309"/>
        <v>134585.92486500603</v>
      </c>
      <c r="CB843" s="58">
        <f t="array" ref="CB843">SUM(IF(BY843:BZ843&gt;=BY843, 1))</f>
        <v>2</v>
      </c>
      <c r="CC843" s="58">
        <f t="array" ref="CC843">SUM(IF(BY843:BZ843&gt;=BZ843, 1))</f>
        <v>1</v>
      </c>
      <c r="CE843" s="109">
        <f t="shared" si="310"/>
        <v>90968.959460899787</v>
      </c>
      <c r="CF843" s="109">
        <f t="shared" si="311"/>
        <v>94252.44492514139</v>
      </c>
      <c r="CH843" s="58">
        <f t="array" ref="CH843">SUM(IF(CE843:CF843&gt;=CE843, 1))</f>
        <v>2</v>
      </c>
      <c r="CI843" s="58">
        <f t="array" ref="CI843">SUM(IF(CE843:CF843&gt;=CF843, 1))</f>
        <v>1</v>
      </c>
      <c r="CK843" s="109">
        <f t="shared" si="312"/>
        <v>39415.089191613573</v>
      </c>
      <c r="CL843" s="109">
        <f t="shared" si="313"/>
        <v>40028.129044458459</v>
      </c>
      <c r="CN843" s="58">
        <f t="array" ref="CN843">SUM(IF(CK843:CL843&gt;=CK843, 1))</f>
        <v>2</v>
      </c>
      <c r="CO843" s="58">
        <f t="array" ref="CO843">SUM(IF(CK843:CL843&gt;=CL843, 1))</f>
        <v>1</v>
      </c>
      <c r="CQ843" s="109" cm="1">
        <f t="array" ref="CQ843">AF843*WTP-AC843</f>
        <v>46724.519887547576</v>
      </c>
      <c r="CR843" s="109">
        <f t="shared" si="314"/>
        <v>49118.513170184633</v>
      </c>
      <c r="CT843" s="58">
        <f t="array" ref="CT843">SUM(IF(CQ843:CR843&gt;=CQ843, 1))</f>
        <v>2</v>
      </c>
      <c r="CU843" s="58">
        <f t="array" ref="CU843">SUM(IF(CQ843:CR843&gt;=CR843, 1))</f>
        <v>1</v>
      </c>
      <c r="CW843" s="109">
        <f t="shared" si="315"/>
        <v>-39359051.665490896</v>
      </c>
      <c r="CX843" s="109">
        <f t="shared" si="316"/>
        <v>0</v>
      </c>
      <c r="CZ843" s="58">
        <f t="array" ref="CZ843">SUM(IF(CW843:CX843&gt;=CW843, 1))</f>
        <v>2</v>
      </c>
      <c r="DA843" s="58">
        <f t="array" ref="DA843">SUM(IF(CW843:CX843&gt;=CX843, 1))</f>
        <v>1</v>
      </c>
      <c r="DC843" s="109">
        <f t="shared" si="317"/>
        <v>-2220029.7593471953</v>
      </c>
      <c r="DD843" s="109">
        <f t="shared" si="318"/>
        <v>0</v>
      </c>
      <c r="DF843" s="58">
        <f t="array" ref="DF843">SUM(IF(DC843:DD843&gt;=DC843, 1))</f>
        <v>2</v>
      </c>
      <c r="DG843" s="58">
        <f t="array" ref="DG843">SUM(IF(DC843:DD843&gt;=DD843, 1))</f>
        <v>1</v>
      </c>
      <c r="DI843" s="109">
        <f t="shared" si="319"/>
        <v>-74806481.333013013</v>
      </c>
      <c r="DJ843" s="109">
        <f t="shared" si="320"/>
        <v>0</v>
      </c>
      <c r="DL843" s="58">
        <f t="array" ref="DL843">SUM(IF(DI843:DJ843&gt;=DI843, 1))</f>
        <v>2</v>
      </c>
      <c r="DM843" s="58">
        <f t="array" ref="DM843">SUM(IF(DI843:DJ843&gt;=DJ843, 1))</f>
        <v>1</v>
      </c>
      <c r="DO843" s="109">
        <f t="shared" si="321"/>
        <v>-5310365.686736471</v>
      </c>
      <c r="DP843" s="109">
        <f t="shared" si="322"/>
        <v>0</v>
      </c>
      <c r="DR843" s="58">
        <f t="array" ref="DR843">SUM(IF(DO843:DP843&gt;=DO843, 1))</f>
        <v>2</v>
      </c>
      <c r="DS843" s="58">
        <f t="array" ref="DS843">SUM(IF(DO843:DP843&gt;=DP843, 1))</f>
        <v>1</v>
      </c>
      <c r="DU843" s="109">
        <f t="shared" si="323"/>
        <v>-38444203.685202792</v>
      </c>
      <c r="DV843" s="109">
        <f t="shared" si="324"/>
        <v>0</v>
      </c>
      <c r="DX843" s="58">
        <f t="array" ref="DX843">SUM(IF(DU843:DV843&gt;=DU843, 1))</f>
        <v>2</v>
      </c>
      <c r="DY843" s="58">
        <f t="array" ref="DY843">SUM(IF(DU843:DV843&gt;=DV843, 1))</f>
        <v>1</v>
      </c>
      <c r="EA843" s="109">
        <f t="shared" si="325"/>
        <v>-160140132.12979037</v>
      </c>
      <c r="EB843" s="109">
        <f t="shared" si="326"/>
        <v>0</v>
      </c>
      <c r="ED843" s="58">
        <f t="array" ref="ED843">SUM(IF(EA843:EB843&gt;=EA843, 1))</f>
        <v>2</v>
      </c>
      <c r="EE843" s="58">
        <f t="array" ref="EE843">SUM(IF(EA843:EB843&gt;=EB843, 1))</f>
        <v>1</v>
      </c>
    </row>
    <row r="844" spans="4:135" ht="12" customHeight="1" x14ac:dyDescent="0.25">
      <c r="D844" s="11">
        <v>828</v>
      </c>
      <c r="E844" s="72">
        <v>335.14101895682933</v>
      </c>
      <c r="F844" s="72">
        <v>321.7537858832676</v>
      </c>
      <c r="G844" s="73"/>
      <c r="H844" s="74">
        <v>5.7756313092399578</v>
      </c>
      <c r="I844" s="74">
        <v>5.7916797909850937</v>
      </c>
      <c r="J844" s="73"/>
      <c r="K844" s="72">
        <v>360.72011379767861</v>
      </c>
      <c r="L844" s="72">
        <v>346.97487020588051</v>
      </c>
      <c r="M844" s="73"/>
      <c r="N844" s="74">
        <v>6.7118436979717826</v>
      </c>
      <c r="O844" s="74">
        <v>6.7260263852722071</v>
      </c>
      <c r="P844" s="73"/>
      <c r="Q844" s="72">
        <v>2093.0666747081127</v>
      </c>
      <c r="R844" s="72">
        <v>1937.5459445145671</v>
      </c>
      <c r="S844" s="73"/>
      <c r="T844" s="74">
        <v>4.8174392671491537</v>
      </c>
      <c r="U844" s="74">
        <v>4.8570085065493567</v>
      </c>
      <c r="V844" s="73"/>
      <c r="W844" s="72">
        <v>14375.486106835704</v>
      </c>
      <c r="X844" s="72">
        <v>14371.069746594205</v>
      </c>
      <c r="Y844" s="73"/>
      <c r="Z844" s="74">
        <v>3.1284166905011355</v>
      </c>
      <c r="AA844" s="74">
        <v>3.1825579745207415</v>
      </c>
      <c r="AB844" s="73"/>
      <c r="AC844" s="72">
        <v>50002.048007706115</v>
      </c>
      <c r="AD844" s="72">
        <v>50122.094794156081</v>
      </c>
      <c r="AE844" s="73"/>
      <c r="AF844" s="74">
        <v>4.6681810573101492</v>
      </c>
      <c r="AG844" s="74">
        <v>4.8089095998155438</v>
      </c>
      <c r="AH844" s="73"/>
      <c r="AI844" s="72">
        <v>1447766.9030561377</v>
      </c>
      <c r="AJ844" s="72">
        <v>0</v>
      </c>
      <c r="AK844" s="73"/>
      <c r="AL844" s="74">
        <v>-1735.5685515622872</v>
      </c>
      <c r="AM844" s="74">
        <v>0</v>
      </c>
      <c r="AN844" s="73"/>
      <c r="AO844" s="72">
        <v>94407.130063816381</v>
      </c>
      <c r="AP844" s="72">
        <v>0</v>
      </c>
      <c r="AQ844" s="73"/>
      <c r="AR844" s="74">
        <v>-97.411646122049973</v>
      </c>
      <c r="AS844" s="74">
        <v>0</v>
      </c>
      <c r="AT844" s="73"/>
      <c r="AU844" s="72">
        <v>3564589.7707033106</v>
      </c>
      <c r="AV844" s="72">
        <v>0</v>
      </c>
      <c r="AW844" s="73"/>
      <c r="AX844" s="74">
        <v>-906.94086778617486</v>
      </c>
      <c r="AY844" s="74">
        <v>0</v>
      </c>
      <c r="AZ844" s="73"/>
      <c r="BA844" s="72">
        <v>39796.898413103976</v>
      </c>
      <c r="BB844" s="72">
        <v>0</v>
      </c>
      <c r="BC844" s="73"/>
      <c r="BD844" s="74">
        <v>-487.88030465373419</v>
      </c>
      <c r="BE844" s="74">
        <v>0</v>
      </c>
      <c r="BF844" s="73"/>
      <c r="BG844" s="72">
        <v>-1946706.7184740833</v>
      </c>
      <c r="BH844" s="72">
        <v>0</v>
      </c>
      <c r="BI844" s="73"/>
      <c r="BJ844" s="74">
        <v>-2282.0869035965334</v>
      </c>
      <c r="BK844" s="74">
        <v>0</v>
      </c>
      <c r="BL844" s="73"/>
      <c r="BM844" s="72">
        <v>3199853.9837622847</v>
      </c>
      <c r="BN844" s="72">
        <v>0</v>
      </c>
      <c r="BO844" s="73"/>
      <c r="BP844" s="74">
        <v>-5509.8882737207796</v>
      </c>
      <c r="BQ844" s="74">
        <v>0</v>
      </c>
      <c r="BS844" s="109">
        <f t="shared" si="306"/>
        <v>115177.48516584233</v>
      </c>
      <c r="BT844" s="109">
        <f t="shared" si="307"/>
        <v>115511.84203381861</v>
      </c>
      <c r="BV844" s="58">
        <f t="array" ref="BV844">SUM(IF(BS844:BT844&gt;=BS844, 1))</f>
        <v>2</v>
      </c>
      <c r="BW844" s="58">
        <f t="array" ref="BW844">SUM(IF(BS844:BT844&gt;=BT844, 1))</f>
        <v>1</v>
      </c>
      <c r="BY844" s="109">
        <f t="shared" si="308"/>
        <v>133876.15384563798</v>
      </c>
      <c r="BZ844" s="109">
        <f t="shared" si="309"/>
        <v>134173.55283523825</v>
      </c>
      <c r="CB844" s="58">
        <f t="array" ref="CB844">SUM(IF(BY844:BZ844&gt;=BY844, 1))</f>
        <v>2</v>
      </c>
      <c r="CC844" s="58">
        <f t="array" ref="CC844">SUM(IF(BY844:BZ844&gt;=BZ844, 1))</f>
        <v>1</v>
      </c>
      <c r="CE844" s="109">
        <f t="shared" si="310"/>
        <v>94255.71866827496</v>
      </c>
      <c r="CF844" s="109">
        <f t="shared" si="311"/>
        <v>95202.62418647256</v>
      </c>
      <c r="CH844" s="58">
        <f t="array" ref="CH844">SUM(IF(CE844:CF844&gt;=CE844, 1))</f>
        <v>2</v>
      </c>
      <c r="CI844" s="58">
        <f t="array" ref="CI844">SUM(IF(CE844:CF844&gt;=CF844, 1))</f>
        <v>1</v>
      </c>
      <c r="CK844" s="109">
        <f t="shared" si="312"/>
        <v>48192.847703187006</v>
      </c>
      <c r="CL844" s="109">
        <f t="shared" si="313"/>
        <v>49280.089743820623</v>
      </c>
      <c r="CN844" s="58">
        <f t="array" ref="CN844">SUM(IF(CK844:CL844&gt;=CK844, 1))</f>
        <v>2</v>
      </c>
      <c r="CO844" s="58">
        <f t="array" ref="CO844">SUM(IF(CK844:CL844&gt;=CL844, 1))</f>
        <v>1</v>
      </c>
      <c r="CQ844" s="109" cm="1">
        <f t="array" ref="CQ844">AF844*WTP-AC844</f>
        <v>43361.573138496875</v>
      </c>
      <c r="CR844" s="109">
        <f t="shared" si="314"/>
        <v>46056.0972021548</v>
      </c>
      <c r="CT844" s="58">
        <f t="array" ref="CT844">SUM(IF(CQ844:CR844&gt;=CQ844, 1))</f>
        <v>2</v>
      </c>
      <c r="CU844" s="58">
        <f t="array" ref="CU844">SUM(IF(CQ844:CR844&gt;=CR844, 1))</f>
        <v>1</v>
      </c>
      <c r="CW844" s="109">
        <f t="shared" si="315"/>
        <v>-36159137.934301883</v>
      </c>
      <c r="CX844" s="109">
        <f t="shared" si="316"/>
        <v>0</v>
      </c>
      <c r="CZ844" s="58">
        <f t="array" ref="CZ844">SUM(IF(CW844:CX844&gt;=CW844, 1))</f>
        <v>2</v>
      </c>
      <c r="DA844" s="58">
        <f t="array" ref="DA844">SUM(IF(CW844:CX844&gt;=CX844, 1))</f>
        <v>1</v>
      </c>
      <c r="DC844" s="109">
        <f t="shared" si="317"/>
        <v>-2042640.0525048159</v>
      </c>
      <c r="DD844" s="109">
        <f t="shared" si="318"/>
        <v>0</v>
      </c>
      <c r="DF844" s="58">
        <f t="array" ref="DF844">SUM(IF(DC844:DD844&gt;=DC844, 1))</f>
        <v>2</v>
      </c>
      <c r="DG844" s="58">
        <f t="array" ref="DG844">SUM(IF(DC844:DD844&gt;=DD844, 1))</f>
        <v>1</v>
      </c>
      <c r="DI844" s="109">
        <f t="shared" si="319"/>
        <v>-21703407.126426809</v>
      </c>
      <c r="DJ844" s="109">
        <f t="shared" si="320"/>
        <v>0</v>
      </c>
      <c r="DL844" s="58">
        <f t="array" ref="DL844">SUM(IF(DI844:DJ844&gt;=DI844, 1))</f>
        <v>2</v>
      </c>
      <c r="DM844" s="58">
        <f t="array" ref="DM844">SUM(IF(DI844:DJ844&gt;=DJ844, 1))</f>
        <v>1</v>
      </c>
      <c r="DO844" s="109">
        <f t="shared" si="321"/>
        <v>-9797402.9914877862</v>
      </c>
      <c r="DP844" s="109">
        <f t="shared" si="322"/>
        <v>0</v>
      </c>
      <c r="DR844" s="58">
        <f t="array" ref="DR844">SUM(IF(DO844:DP844&gt;=DO844, 1))</f>
        <v>2</v>
      </c>
      <c r="DS844" s="58">
        <f t="array" ref="DS844">SUM(IF(DO844:DP844&gt;=DP844, 1))</f>
        <v>1</v>
      </c>
      <c r="DU844" s="109">
        <f t="shared" si="323"/>
        <v>-43695031.353456587</v>
      </c>
      <c r="DV844" s="109">
        <f t="shared" si="324"/>
        <v>0</v>
      </c>
      <c r="DX844" s="58">
        <f t="array" ref="DX844">SUM(IF(DU844:DV844&gt;=DU844, 1))</f>
        <v>2</v>
      </c>
      <c r="DY844" s="58">
        <f t="array" ref="DY844">SUM(IF(DU844:DV844&gt;=DV844, 1))</f>
        <v>1</v>
      </c>
      <c r="EA844" s="109">
        <f t="shared" si="325"/>
        <v>-113397619.45817786</v>
      </c>
      <c r="EB844" s="109">
        <f t="shared" si="326"/>
        <v>0</v>
      </c>
      <c r="ED844" s="58">
        <f t="array" ref="ED844">SUM(IF(EA844:EB844&gt;=EA844, 1))</f>
        <v>2</v>
      </c>
      <c r="EE844" s="58">
        <f t="array" ref="EE844">SUM(IF(EA844:EB844&gt;=EB844, 1))</f>
        <v>1</v>
      </c>
    </row>
    <row r="845" spans="4:135" ht="12" customHeight="1" x14ac:dyDescent="0.25">
      <c r="D845" s="11">
        <v>829</v>
      </c>
      <c r="E845" s="72">
        <v>270.55089884557168</v>
      </c>
      <c r="F845" s="72">
        <v>235.20923552773979</v>
      </c>
      <c r="G845" s="73"/>
      <c r="H845" s="74">
        <v>5.8060065717540157</v>
      </c>
      <c r="I845" s="74">
        <v>5.8242252422983976</v>
      </c>
      <c r="J845" s="73"/>
      <c r="K845" s="72">
        <v>289.67196258912435</v>
      </c>
      <c r="L845" s="72">
        <v>253.54286200726142</v>
      </c>
      <c r="M845" s="73"/>
      <c r="N845" s="74">
        <v>6.6411068223502365</v>
      </c>
      <c r="O845" s="74">
        <v>6.6573979951337252</v>
      </c>
      <c r="P845" s="73"/>
      <c r="Q845" s="72">
        <v>2017.5067938926475</v>
      </c>
      <c r="R845" s="72">
        <v>1085.6958167032953</v>
      </c>
      <c r="S845" s="73"/>
      <c r="T845" s="74">
        <v>4.8496930971834766</v>
      </c>
      <c r="U845" s="74">
        <v>4.9389768339991429</v>
      </c>
      <c r="V845" s="73"/>
      <c r="W845" s="72">
        <v>13469.475429073807</v>
      </c>
      <c r="X845" s="72">
        <v>13394.512546998434</v>
      </c>
      <c r="Y845" s="73"/>
      <c r="Z845" s="74">
        <v>2.8964387598913239</v>
      </c>
      <c r="AA845" s="74">
        <v>2.9251990471388054</v>
      </c>
      <c r="AB845" s="73"/>
      <c r="AC845" s="72">
        <v>49590.610453406465</v>
      </c>
      <c r="AD845" s="72">
        <v>49298.619281905972</v>
      </c>
      <c r="AE845" s="73"/>
      <c r="AF845" s="74">
        <v>4.9879030844024532</v>
      </c>
      <c r="AG845" s="74">
        <v>5.1109271799750635</v>
      </c>
      <c r="AH845" s="73"/>
      <c r="AI845" s="72">
        <v>3805624.1679226123</v>
      </c>
      <c r="AJ845" s="72">
        <v>0</v>
      </c>
      <c r="AK845" s="73"/>
      <c r="AL845" s="74">
        <v>-1961.803900048382</v>
      </c>
      <c r="AM845" s="74">
        <v>0</v>
      </c>
      <c r="AN845" s="73"/>
      <c r="AO845" s="72">
        <v>239380.84892434109</v>
      </c>
      <c r="AP845" s="72">
        <v>0</v>
      </c>
      <c r="AQ845" s="73"/>
      <c r="AR845" s="74">
        <v>-107.94054399578293</v>
      </c>
      <c r="AS845" s="74">
        <v>0</v>
      </c>
      <c r="AT845" s="73"/>
      <c r="AU845" s="72">
        <v>22020136.308612816</v>
      </c>
      <c r="AV845" s="72">
        <v>0</v>
      </c>
      <c r="AW845" s="73"/>
      <c r="AX845" s="74">
        <v>-2109.9129576188357</v>
      </c>
      <c r="AY845" s="74">
        <v>0</v>
      </c>
      <c r="AZ845" s="73"/>
      <c r="BA845" s="72">
        <v>667567.0498842228</v>
      </c>
      <c r="BB845" s="72">
        <v>0</v>
      </c>
      <c r="BC845" s="73"/>
      <c r="BD845" s="74">
        <v>-256.11902290949155</v>
      </c>
      <c r="BE845" s="74">
        <v>0</v>
      </c>
      <c r="BF845" s="73"/>
      <c r="BG845" s="72">
        <v>4725665.3631693898</v>
      </c>
      <c r="BH845" s="72">
        <v>0</v>
      </c>
      <c r="BI845" s="73"/>
      <c r="BJ845" s="74">
        <v>-1991.0557716356982</v>
      </c>
      <c r="BK845" s="74">
        <v>0</v>
      </c>
      <c r="BL845" s="73"/>
      <c r="BM845" s="72">
        <v>31458373.738513384</v>
      </c>
      <c r="BN845" s="72">
        <v>0</v>
      </c>
      <c r="BO845" s="73"/>
      <c r="BP845" s="74">
        <v>-6426.83219620819</v>
      </c>
      <c r="BQ845" s="74">
        <v>0</v>
      </c>
      <c r="BS845" s="109">
        <f t="shared" si="306"/>
        <v>115849.58053623475</v>
      </c>
      <c r="BT845" s="109">
        <f t="shared" si="307"/>
        <v>116249.29561044021</v>
      </c>
      <c r="BV845" s="58">
        <f t="array" ref="BV845">SUM(IF(BS845:BT845&gt;=BS845, 1))</f>
        <v>2</v>
      </c>
      <c r="BW845" s="58">
        <f t="array" ref="BW845">SUM(IF(BS845:BT845&gt;=BT845, 1))</f>
        <v>1</v>
      </c>
      <c r="BY845" s="109">
        <f t="shared" si="308"/>
        <v>132532.46448441563</v>
      </c>
      <c r="BZ845" s="109">
        <f t="shared" si="309"/>
        <v>132894.41704066726</v>
      </c>
      <c r="CB845" s="58">
        <f t="array" ref="CB845">SUM(IF(BY845:BZ845&gt;=BY845, 1))</f>
        <v>2</v>
      </c>
      <c r="CC845" s="58">
        <f t="array" ref="CC845">SUM(IF(BY845:BZ845&gt;=BZ845, 1))</f>
        <v>1</v>
      </c>
      <c r="CE845" s="109">
        <f t="shared" si="310"/>
        <v>94976.355149776879</v>
      </c>
      <c r="CF845" s="109">
        <f t="shared" si="311"/>
        <v>97693.840863279562</v>
      </c>
      <c r="CH845" s="58">
        <f t="array" ref="CH845">SUM(IF(CE845:CF845&gt;=CE845, 1))</f>
        <v>2</v>
      </c>
      <c r="CI845" s="58">
        <f t="array" ref="CI845">SUM(IF(CE845:CF845&gt;=CF845, 1))</f>
        <v>1</v>
      </c>
      <c r="CK845" s="109">
        <f t="shared" si="312"/>
        <v>44459.299768752673</v>
      </c>
      <c r="CL845" s="109">
        <f t="shared" si="313"/>
        <v>45109.468395777672</v>
      </c>
      <c r="CN845" s="58">
        <f t="array" ref="CN845">SUM(IF(CK845:CL845&gt;=CK845, 1))</f>
        <v>2</v>
      </c>
      <c r="CO845" s="58">
        <f t="array" ref="CO845">SUM(IF(CK845:CL845&gt;=CL845, 1))</f>
        <v>1</v>
      </c>
      <c r="CQ845" s="109" cm="1">
        <f t="array" ref="CQ845">AF845*WTP-AC845</f>
        <v>50167.451234642605</v>
      </c>
      <c r="CR845" s="109">
        <f t="shared" si="314"/>
        <v>52919.924317595294</v>
      </c>
      <c r="CT845" s="58">
        <f t="array" ref="CT845">SUM(IF(CQ845:CR845&gt;=CQ845, 1))</f>
        <v>2</v>
      </c>
      <c r="CU845" s="58">
        <f t="array" ref="CU845">SUM(IF(CQ845:CR845&gt;=CR845, 1))</f>
        <v>1</v>
      </c>
      <c r="CW845" s="109">
        <f t="shared" si="315"/>
        <v>-43041702.168890253</v>
      </c>
      <c r="CX845" s="109">
        <f t="shared" si="316"/>
        <v>0</v>
      </c>
      <c r="CZ845" s="58">
        <f t="array" ref="CZ845">SUM(IF(CW845:CX845&gt;=CW845, 1))</f>
        <v>2</v>
      </c>
      <c r="DA845" s="58">
        <f t="array" ref="DA845">SUM(IF(CW845:CX845&gt;=CX845, 1))</f>
        <v>1</v>
      </c>
      <c r="DC845" s="109">
        <f t="shared" si="317"/>
        <v>-2398191.72884</v>
      </c>
      <c r="DD845" s="109">
        <f t="shared" si="318"/>
        <v>0</v>
      </c>
      <c r="DF845" s="58">
        <f t="array" ref="DF845">SUM(IF(DC845:DD845&gt;=DC845, 1))</f>
        <v>2</v>
      </c>
      <c r="DG845" s="58">
        <f t="array" ref="DG845">SUM(IF(DC845:DD845&gt;=DD845, 1))</f>
        <v>1</v>
      </c>
      <c r="DI845" s="109">
        <f t="shared" si="319"/>
        <v>-64218395.460989527</v>
      </c>
      <c r="DJ845" s="109">
        <f t="shared" si="320"/>
        <v>0</v>
      </c>
      <c r="DL845" s="58">
        <f t="array" ref="DL845">SUM(IF(DI845:DJ845&gt;=DI845, 1))</f>
        <v>2</v>
      </c>
      <c r="DM845" s="58">
        <f t="array" ref="DM845">SUM(IF(DI845:DJ845&gt;=DJ845, 1))</f>
        <v>1</v>
      </c>
      <c r="DO845" s="109">
        <f t="shared" si="321"/>
        <v>-5789947.5080740536</v>
      </c>
      <c r="DP845" s="109">
        <f t="shared" si="322"/>
        <v>0</v>
      </c>
      <c r="DR845" s="58">
        <f t="array" ref="DR845">SUM(IF(DO845:DP845&gt;=DO845, 1))</f>
        <v>2</v>
      </c>
      <c r="DS845" s="58">
        <f t="array" ref="DS845">SUM(IF(DO845:DP845&gt;=DP845, 1))</f>
        <v>1</v>
      </c>
      <c r="DU845" s="109">
        <f t="shared" si="323"/>
        <v>-44546780.79588335</v>
      </c>
      <c r="DV845" s="109">
        <f t="shared" si="324"/>
        <v>0</v>
      </c>
      <c r="DX845" s="58">
        <f t="array" ref="DX845">SUM(IF(DU845:DV845&gt;=DU845, 1))</f>
        <v>2</v>
      </c>
      <c r="DY845" s="58">
        <f t="array" ref="DY845">SUM(IF(DU845:DV845&gt;=DV845, 1))</f>
        <v>1</v>
      </c>
      <c r="EA845" s="109">
        <f t="shared" si="325"/>
        <v>-159995017.6626772</v>
      </c>
      <c r="EB845" s="109">
        <f t="shared" si="326"/>
        <v>0</v>
      </c>
      <c r="ED845" s="58">
        <f t="array" ref="ED845">SUM(IF(EA845:EB845&gt;=EA845, 1))</f>
        <v>2</v>
      </c>
      <c r="EE845" s="58">
        <f t="array" ref="EE845">SUM(IF(EA845:EB845&gt;=EB845, 1))</f>
        <v>1</v>
      </c>
    </row>
    <row r="846" spans="4:135" ht="12" customHeight="1" x14ac:dyDescent="0.25">
      <c r="D846" s="11">
        <v>830</v>
      </c>
      <c r="E846" s="72">
        <v>198.19849932568599</v>
      </c>
      <c r="F846" s="72">
        <v>165.28178438976994</v>
      </c>
      <c r="G846" s="73"/>
      <c r="H846" s="74">
        <v>5.8217139504304116</v>
      </c>
      <c r="I846" s="74">
        <v>5.8408217446482835</v>
      </c>
      <c r="J846" s="73"/>
      <c r="K846" s="72">
        <v>211.83586563138542</v>
      </c>
      <c r="L846" s="72">
        <v>178.14983372999481</v>
      </c>
      <c r="M846" s="73"/>
      <c r="N846" s="74">
        <v>6.7566124994746417</v>
      </c>
      <c r="O846" s="74">
        <v>6.7732464575883373</v>
      </c>
      <c r="P846" s="73"/>
      <c r="Q846" s="72">
        <v>2413.1386684554882</v>
      </c>
      <c r="R846" s="72">
        <v>1311.2006396114427</v>
      </c>
      <c r="S846" s="73"/>
      <c r="T846" s="74">
        <v>4.7797615622442926</v>
      </c>
      <c r="U846" s="74">
        <v>4.8783732791477066</v>
      </c>
      <c r="V846" s="73"/>
      <c r="W846" s="72">
        <v>13456.656369684657</v>
      </c>
      <c r="X846" s="72">
        <v>13432.383274222755</v>
      </c>
      <c r="Y846" s="73"/>
      <c r="Z846" s="74">
        <v>3.0021105802057777</v>
      </c>
      <c r="AA846" s="74">
        <v>3.048271456569879</v>
      </c>
      <c r="AB846" s="73"/>
      <c r="AC846" s="72">
        <v>51934.43085779476</v>
      </c>
      <c r="AD846" s="72">
        <v>51380.914602445126</v>
      </c>
      <c r="AE846" s="73"/>
      <c r="AF846" s="74">
        <v>4.4171403796960371</v>
      </c>
      <c r="AG846" s="74">
        <v>4.5800038721538616</v>
      </c>
      <c r="AH846" s="73"/>
      <c r="AI846" s="72">
        <v>3532664.7789431373</v>
      </c>
      <c r="AJ846" s="72">
        <v>0</v>
      </c>
      <c r="AK846" s="73"/>
      <c r="AL846" s="74">
        <v>-2050.6733970320138</v>
      </c>
      <c r="AM846" s="74">
        <v>0</v>
      </c>
      <c r="AN846" s="73"/>
      <c r="AO846" s="72">
        <v>238678.16167719243</v>
      </c>
      <c r="AP846" s="72">
        <v>0</v>
      </c>
      <c r="AQ846" s="73"/>
      <c r="AR846" s="74">
        <v>-117.8578277077626</v>
      </c>
      <c r="AS846" s="74">
        <v>0</v>
      </c>
      <c r="AT846" s="73"/>
      <c r="AU846" s="72">
        <v>25736584.120673131</v>
      </c>
      <c r="AV846" s="72">
        <v>0</v>
      </c>
      <c r="AW846" s="73"/>
      <c r="AX846" s="74">
        <v>-2303.1501599332723</v>
      </c>
      <c r="AY846" s="74">
        <v>0</v>
      </c>
      <c r="AZ846" s="73"/>
      <c r="BA846" s="72">
        <v>213619.15638785591</v>
      </c>
      <c r="BB846" s="72">
        <v>0</v>
      </c>
      <c r="BC846" s="73"/>
      <c r="BD846" s="74">
        <v>-406.2459805549164</v>
      </c>
      <c r="BE846" s="74">
        <v>0</v>
      </c>
      <c r="BF846" s="73"/>
      <c r="BG846" s="72">
        <v>9049634.4508336224</v>
      </c>
      <c r="BH846" s="72">
        <v>0</v>
      </c>
      <c r="BI846" s="73"/>
      <c r="BJ846" s="74">
        <v>-2662.7132588878276</v>
      </c>
      <c r="BK846" s="74">
        <v>0</v>
      </c>
      <c r="BL846" s="73"/>
      <c r="BM846" s="72">
        <v>38771180.668514937</v>
      </c>
      <c r="BN846" s="72">
        <v>0</v>
      </c>
      <c r="BO846" s="73"/>
      <c r="BP846" s="74">
        <v>-7540.6406241157929</v>
      </c>
      <c r="BQ846" s="74">
        <v>0</v>
      </c>
      <c r="BS846" s="109">
        <f t="shared" si="306"/>
        <v>116236.08050928255</v>
      </c>
      <c r="BT846" s="109">
        <f t="shared" si="307"/>
        <v>116651.15310857591</v>
      </c>
      <c r="BV846" s="58">
        <f t="array" ref="BV846">SUM(IF(BS846:BT846&gt;=BS846, 1))</f>
        <v>2</v>
      </c>
      <c r="BW846" s="58">
        <f t="array" ref="BW846">SUM(IF(BS846:BT846&gt;=BT846, 1))</f>
        <v>1</v>
      </c>
      <c r="BY846" s="109">
        <f t="shared" si="308"/>
        <v>134920.41412386147</v>
      </c>
      <c r="BZ846" s="109">
        <f t="shared" si="309"/>
        <v>135286.77931803677</v>
      </c>
      <c r="CB846" s="58">
        <f t="array" ref="CB846">SUM(IF(BY846:BZ846&gt;=BY846, 1))</f>
        <v>2</v>
      </c>
      <c r="CC846" s="58">
        <f t="array" ref="CC846">SUM(IF(BY846:BZ846&gt;=BZ846, 1))</f>
        <v>1</v>
      </c>
      <c r="CE846" s="109">
        <f t="shared" si="310"/>
        <v>93182.092576430368</v>
      </c>
      <c r="CF846" s="109">
        <f t="shared" si="311"/>
        <v>96256.264943342685</v>
      </c>
      <c r="CH846" s="58">
        <f t="array" ref="CH846">SUM(IF(CE846:CF846&gt;=CE846, 1))</f>
        <v>2</v>
      </c>
      <c r="CI846" s="58">
        <f t="array" ref="CI846">SUM(IF(CE846:CF846&gt;=CF846, 1))</f>
        <v>1</v>
      </c>
      <c r="CK846" s="109">
        <f t="shared" si="312"/>
        <v>46585.555234430896</v>
      </c>
      <c r="CL846" s="109">
        <f t="shared" si="313"/>
        <v>47533.045857174824</v>
      </c>
      <c r="CN846" s="58">
        <f t="array" ref="CN846">SUM(IF(CK846:CL846&gt;=CK846, 1))</f>
        <v>2</v>
      </c>
      <c r="CO846" s="58">
        <f t="array" ref="CO846">SUM(IF(CK846:CL846&gt;=CL846, 1))</f>
        <v>1</v>
      </c>
      <c r="CQ846" s="109" cm="1">
        <f t="array" ref="CQ846">AF846*WTP-AC846</f>
        <v>36408.376736125989</v>
      </c>
      <c r="CR846" s="109">
        <f t="shared" si="314"/>
        <v>40219.162840632103</v>
      </c>
      <c r="CT846" s="58">
        <f t="array" ref="CT846">SUM(IF(CQ846:CR846&gt;=CQ846, 1))</f>
        <v>2</v>
      </c>
      <c r="CU846" s="58">
        <f t="array" ref="CU846">SUM(IF(CQ846:CR846&gt;=CR846, 1))</f>
        <v>1</v>
      </c>
      <c r="CW846" s="109">
        <f t="shared" si="315"/>
        <v>-44546132.719583414</v>
      </c>
      <c r="CX846" s="109">
        <f t="shared" si="316"/>
        <v>0</v>
      </c>
      <c r="CZ846" s="58">
        <f t="array" ref="CZ846">SUM(IF(CW846:CX846&gt;=CW846, 1))</f>
        <v>2</v>
      </c>
      <c r="DA846" s="58">
        <f t="array" ref="DA846">SUM(IF(CW846:CX846&gt;=CX846, 1))</f>
        <v>1</v>
      </c>
      <c r="DC846" s="109">
        <f t="shared" si="317"/>
        <v>-2595834.7158324444</v>
      </c>
      <c r="DD846" s="109">
        <f t="shared" si="318"/>
        <v>0</v>
      </c>
      <c r="DF846" s="58">
        <f t="array" ref="DF846">SUM(IF(DC846:DD846&gt;=DC846, 1))</f>
        <v>2</v>
      </c>
      <c r="DG846" s="58">
        <f t="array" ref="DG846">SUM(IF(DC846:DD846&gt;=DD846, 1))</f>
        <v>1</v>
      </c>
      <c r="DI846" s="109">
        <f t="shared" si="319"/>
        <v>-71799587.319338575</v>
      </c>
      <c r="DJ846" s="109">
        <f t="shared" si="320"/>
        <v>0</v>
      </c>
      <c r="DL846" s="58">
        <f t="array" ref="DL846">SUM(IF(DI846:DJ846&gt;=DI846, 1))</f>
        <v>2</v>
      </c>
      <c r="DM846" s="58">
        <f t="array" ref="DM846">SUM(IF(DI846:DJ846&gt;=DJ846, 1))</f>
        <v>1</v>
      </c>
      <c r="DO846" s="109">
        <f t="shared" si="321"/>
        <v>-8338538.7674861839</v>
      </c>
      <c r="DP846" s="109">
        <f t="shared" si="322"/>
        <v>0</v>
      </c>
      <c r="DR846" s="58">
        <f t="array" ref="DR846">SUM(IF(DO846:DP846&gt;=DO846, 1))</f>
        <v>2</v>
      </c>
      <c r="DS846" s="58">
        <f t="array" ref="DS846">SUM(IF(DO846:DP846&gt;=DP846, 1))</f>
        <v>1</v>
      </c>
      <c r="DU846" s="109">
        <f t="shared" si="323"/>
        <v>-62303899.628590167</v>
      </c>
      <c r="DV846" s="109">
        <f t="shared" si="324"/>
        <v>0</v>
      </c>
      <c r="DX846" s="58">
        <f t="array" ref="DX846">SUM(IF(DU846:DV846&gt;=DU846, 1))</f>
        <v>2</v>
      </c>
      <c r="DY846" s="58">
        <f t="array" ref="DY846">SUM(IF(DU846:DV846&gt;=DV846, 1))</f>
        <v>1</v>
      </c>
      <c r="EA846" s="109">
        <f t="shared" si="325"/>
        <v>-189583993.15083081</v>
      </c>
      <c r="EB846" s="109">
        <f t="shared" si="326"/>
        <v>0</v>
      </c>
      <c r="ED846" s="58">
        <f t="array" ref="ED846">SUM(IF(EA846:EB846&gt;=EA846, 1))</f>
        <v>2</v>
      </c>
      <c r="EE846" s="58">
        <f t="array" ref="EE846">SUM(IF(EA846:EB846&gt;=EB846, 1))</f>
        <v>1</v>
      </c>
    </row>
    <row r="847" spans="4:135" ht="12" customHeight="1" x14ac:dyDescent="0.25">
      <c r="D847" s="11">
        <v>831</v>
      </c>
      <c r="E847" s="72">
        <v>247.41384045688417</v>
      </c>
      <c r="F847" s="72">
        <v>244.12673344164432</v>
      </c>
      <c r="G847" s="73"/>
      <c r="H847" s="74">
        <v>5.8586860774656992</v>
      </c>
      <c r="I847" s="74">
        <v>5.8730264726379344</v>
      </c>
      <c r="J847" s="73"/>
      <c r="K847" s="72">
        <v>266.76597832435493</v>
      </c>
      <c r="L847" s="72">
        <v>263.35877705121317</v>
      </c>
      <c r="M847" s="73"/>
      <c r="N847" s="74">
        <v>6.6594226723670307</v>
      </c>
      <c r="O847" s="74">
        <v>6.6716490451344024</v>
      </c>
      <c r="P847" s="73"/>
      <c r="Q847" s="72">
        <v>3206.9920549653389</v>
      </c>
      <c r="R847" s="72">
        <v>1618.5054845447603</v>
      </c>
      <c r="S847" s="73"/>
      <c r="T847" s="74">
        <v>4.7600164735798893</v>
      </c>
      <c r="U847" s="74">
        <v>4.8781798562130954</v>
      </c>
      <c r="V847" s="73"/>
      <c r="W847" s="72">
        <v>10884.264545621834</v>
      </c>
      <c r="X847" s="72">
        <v>10868.391028565287</v>
      </c>
      <c r="Y847" s="73"/>
      <c r="Z847" s="74">
        <v>2.9391331380753378</v>
      </c>
      <c r="AA847" s="74">
        <v>2.9716550326396578</v>
      </c>
      <c r="AB847" s="73"/>
      <c r="AC847" s="72">
        <v>50363.485834917752</v>
      </c>
      <c r="AD847" s="72">
        <v>50412.487167395251</v>
      </c>
      <c r="AE847" s="73"/>
      <c r="AF847" s="74">
        <v>4.661101850952539</v>
      </c>
      <c r="AG847" s="74">
        <v>4.7935249845233026</v>
      </c>
      <c r="AH847" s="73"/>
      <c r="AI847" s="72">
        <v>348579.08274711348</v>
      </c>
      <c r="AJ847" s="72">
        <v>0</v>
      </c>
      <c r="AK847" s="73"/>
      <c r="AL847" s="74">
        <v>-1520.7176925464719</v>
      </c>
      <c r="AM847" s="74">
        <v>0</v>
      </c>
      <c r="AN847" s="73"/>
      <c r="AO847" s="72">
        <v>22702.76637283307</v>
      </c>
      <c r="AP847" s="72">
        <v>0</v>
      </c>
      <c r="AQ847" s="73"/>
      <c r="AR847" s="74">
        <v>-81.46641840998727</v>
      </c>
      <c r="AS847" s="74">
        <v>0</v>
      </c>
      <c r="AT847" s="73"/>
      <c r="AU847" s="72">
        <v>37019422.659515128</v>
      </c>
      <c r="AV847" s="72">
        <v>0</v>
      </c>
      <c r="AW847" s="73"/>
      <c r="AX847" s="74">
        <v>-2753.7785248121322</v>
      </c>
      <c r="AY847" s="74">
        <v>0</v>
      </c>
      <c r="AZ847" s="73"/>
      <c r="BA847" s="72">
        <v>147312.414464737</v>
      </c>
      <c r="BB847" s="72">
        <v>0</v>
      </c>
      <c r="BC847" s="73"/>
      <c r="BD847" s="74">
        <v>-301.81583540502254</v>
      </c>
      <c r="BE847" s="74">
        <v>0</v>
      </c>
      <c r="BF847" s="73"/>
      <c r="BG847" s="72">
        <v>-783901.27607959544</v>
      </c>
      <c r="BH847" s="72">
        <v>0</v>
      </c>
      <c r="BI847" s="73"/>
      <c r="BJ847" s="74">
        <v>-2118.4457266799263</v>
      </c>
      <c r="BK847" s="74">
        <v>0</v>
      </c>
      <c r="BL847" s="73"/>
      <c r="BM847" s="72">
        <v>36754115.647020213</v>
      </c>
      <c r="BN847" s="72">
        <v>0</v>
      </c>
      <c r="BO847" s="73"/>
      <c r="BP847" s="74">
        <v>-6776.2241978535403</v>
      </c>
      <c r="BQ847" s="74">
        <v>0</v>
      </c>
      <c r="BS847" s="109">
        <f t="shared" si="306"/>
        <v>116926.3077088571</v>
      </c>
      <c r="BT847" s="109">
        <f t="shared" si="307"/>
        <v>117216.40271931705</v>
      </c>
      <c r="BV847" s="58">
        <f t="array" ref="BV847">SUM(IF(BS847:BT847&gt;=BS847, 1))</f>
        <v>2</v>
      </c>
      <c r="BW847" s="58">
        <f t="array" ref="BW847">SUM(IF(BS847:BT847&gt;=BT847, 1))</f>
        <v>1</v>
      </c>
      <c r="BY847" s="109">
        <f t="shared" si="308"/>
        <v>132921.68746901627</v>
      </c>
      <c r="BZ847" s="109">
        <f t="shared" si="309"/>
        <v>133169.62212563684</v>
      </c>
      <c r="CB847" s="58">
        <f t="array" ref="CB847">SUM(IF(BY847:BZ847&gt;=BY847, 1))</f>
        <v>2</v>
      </c>
      <c r="CC847" s="58">
        <f t="array" ref="CC847">SUM(IF(BY847:BZ847&gt;=BZ847, 1))</f>
        <v>1</v>
      </c>
      <c r="CE847" s="109">
        <f t="shared" si="310"/>
        <v>91993.33741663245</v>
      </c>
      <c r="CF847" s="109">
        <f t="shared" si="311"/>
        <v>95945.091639717153</v>
      </c>
      <c r="CH847" s="58">
        <f t="array" ref="CH847">SUM(IF(CE847:CF847&gt;=CE847, 1))</f>
        <v>2</v>
      </c>
      <c r="CI847" s="58">
        <f t="array" ref="CI847">SUM(IF(CE847:CF847&gt;=CF847, 1))</f>
        <v>1</v>
      </c>
      <c r="CK847" s="109">
        <f t="shared" si="312"/>
        <v>47898.398215884925</v>
      </c>
      <c r="CL847" s="109">
        <f t="shared" si="313"/>
        <v>48564.709624227864</v>
      </c>
      <c r="CN847" s="58">
        <f t="array" ref="CN847">SUM(IF(CK847:CL847&gt;=CK847, 1))</f>
        <v>2</v>
      </c>
      <c r="CO847" s="58">
        <f t="array" ref="CO847">SUM(IF(CK847:CL847&gt;=CL847, 1))</f>
        <v>1</v>
      </c>
      <c r="CQ847" s="109" cm="1">
        <f t="array" ref="CQ847">AF847*WTP-AC847</f>
        <v>42858.55118413303</v>
      </c>
      <c r="CR847" s="109">
        <f t="shared" si="314"/>
        <v>45458.0125230708</v>
      </c>
      <c r="CT847" s="58">
        <f t="array" ref="CT847">SUM(IF(CQ847:CR847&gt;=CQ847, 1))</f>
        <v>2</v>
      </c>
      <c r="CU847" s="58">
        <f t="array" ref="CU847">SUM(IF(CQ847:CR847&gt;=CR847, 1))</f>
        <v>1</v>
      </c>
      <c r="CW847" s="109">
        <f t="shared" si="315"/>
        <v>-30762932.933676552</v>
      </c>
      <c r="CX847" s="109">
        <f t="shared" si="316"/>
        <v>0</v>
      </c>
      <c r="CZ847" s="58">
        <f t="array" ref="CZ847">SUM(IF(CW847:CX847&gt;=CW847, 1))</f>
        <v>2</v>
      </c>
      <c r="DA847" s="58">
        <f t="array" ref="DA847">SUM(IF(CW847:CX847&gt;=CX847, 1))</f>
        <v>1</v>
      </c>
      <c r="DC847" s="109">
        <f t="shared" si="317"/>
        <v>-1652031.1345725786</v>
      </c>
      <c r="DD847" s="109">
        <f t="shared" si="318"/>
        <v>0</v>
      </c>
      <c r="DF847" s="58">
        <f t="array" ref="DF847">SUM(IF(DC847:DD847&gt;=DC847, 1))</f>
        <v>2</v>
      </c>
      <c r="DG847" s="58">
        <f t="array" ref="DG847">SUM(IF(DC847:DD847&gt;=DD847, 1))</f>
        <v>1</v>
      </c>
      <c r="DI847" s="109">
        <f t="shared" si="319"/>
        <v>-92094993.15575777</v>
      </c>
      <c r="DJ847" s="109">
        <f t="shared" si="320"/>
        <v>0</v>
      </c>
      <c r="DL847" s="58">
        <f t="array" ref="DL847">SUM(IF(DI847:DJ847&gt;=DI847, 1))</f>
        <v>2</v>
      </c>
      <c r="DM847" s="58">
        <f t="array" ref="DM847">SUM(IF(DI847:DJ847&gt;=DJ847, 1))</f>
        <v>1</v>
      </c>
      <c r="DO847" s="109">
        <f t="shared" si="321"/>
        <v>-6183629.1225651884</v>
      </c>
      <c r="DP847" s="109">
        <f t="shared" si="322"/>
        <v>0</v>
      </c>
      <c r="DR847" s="58">
        <f t="array" ref="DR847">SUM(IF(DO847:DP847&gt;=DO847, 1))</f>
        <v>2</v>
      </c>
      <c r="DS847" s="58">
        <f t="array" ref="DS847">SUM(IF(DO847:DP847&gt;=DP847, 1))</f>
        <v>1</v>
      </c>
      <c r="DU847" s="109">
        <f t="shared" si="323"/>
        <v>-41585013.257518932</v>
      </c>
      <c r="DV847" s="109">
        <f t="shared" si="324"/>
        <v>0</v>
      </c>
      <c r="DX847" s="58">
        <f t="array" ref="DX847">SUM(IF(DU847:DV847&gt;=DU847, 1))</f>
        <v>2</v>
      </c>
      <c r="DY847" s="58">
        <f t="array" ref="DY847">SUM(IF(DU847:DV847&gt;=DV847, 1))</f>
        <v>1</v>
      </c>
      <c r="EA847" s="109">
        <f t="shared" si="325"/>
        <v>-172278599.60409102</v>
      </c>
      <c r="EB847" s="109">
        <f t="shared" si="326"/>
        <v>0</v>
      </c>
      <c r="ED847" s="58">
        <f t="array" ref="ED847">SUM(IF(EA847:EB847&gt;=EA847, 1))</f>
        <v>2</v>
      </c>
      <c r="EE847" s="58">
        <f t="array" ref="EE847">SUM(IF(EA847:EB847&gt;=EB847, 1))</f>
        <v>1</v>
      </c>
    </row>
    <row r="848" spans="4:135" ht="12" customHeight="1" x14ac:dyDescent="0.25">
      <c r="D848" s="11">
        <v>832</v>
      </c>
      <c r="E848" s="72">
        <v>255.55491488496645</v>
      </c>
      <c r="F848" s="72">
        <v>232.81775013914145</v>
      </c>
      <c r="G848" s="73"/>
      <c r="H848" s="74">
        <v>5.9120648905584252</v>
      </c>
      <c r="I848" s="74">
        <v>5.9290067526542547</v>
      </c>
      <c r="J848" s="73"/>
      <c r="K848" s="72">
        <v>274.35782166099438</v>
      </c>
      <c r="L848" s="72">
        <v>251.06498396307683</v>
      </c>
      <c r="M848" s="73"/>
      <c r="N848" s="74">
        <v>6.7546588636653739</v>
      </c>
      <c r="O848" s="74">
        <v>6.7691923123150843</v>
      </c>
      <c r="P848" s="73"/>
      <c r="Q848" s="72">
        <v>1808.9486735554233</v>
      </c>
      <c r="R848" s="72">
        <v>1279.4987082461375</v>
      </c>
      <c r="S848" s="73"/>
      <c r="T848" s="74">
        <v>4.9228060051794564</v>
      </c>
      <c r="U848" s="74">
        <v>4.9817943889008989</v>
      </c>
      <c r="V848" s="73"/>
      <c r="W848" s="72">
        <v>11258.58774100253</v>
      </c>
      <c r="X848" s="72">
        <v>11250.201899098991</v>
      </c>
      <c r="Y848" s="73"/>
      <c r="Z848" s="74">
        <v>2.7973793060536072</v>
      </c>
      <c r="AA848" s="74">
        <v>2.8489624544851586</v>
      </c>
      <c r="AB848" s="73"/>
      <c r="AC848" s="72">
        <v>48903.149149865269</v>
      </c>
      <c r="AD848" s="72">
        <v>48919.297219357846</v>
      </c>
      <c r="AE848" s="73"/>
      <c r="AF848" s="74">
        <v>4.4799162777877788</v>
      </c>
      <c r="AG848" s="74">
        <v>4.5476429830817722</v>
      </c>
      <c r="AH848" s="73"/>
      <c r="AI848" s="72">
        <v>2462885.9449514733</v>
      </c>
      <c r="AJ848" s="72">
        <v>0</v>
      </c>
      <c r="AK848" s="73"/>
      <c r="AL848" s="74">
        <v>-1835.1397152446748</v>
      </c>
      <c r="AM848" s="74">
        <v>0</v>
      </c>
      <c r="AN848" s="73"/>
      <c r="AO848" s="72">
        <v>161148.63869472771</v>
      </c>
      <c r="AP848" s="72">
        <v>0</v>
      </c>
      <c r="AQ848" s="73"/>
      <c r="AR848" s="74">
        <v>-100.54788067535222</v>
      </c>
      <c r="AS848" s="74">
        <v>0</v>
      </c>
      <c r="AT848" s="73"/>
      <c r="AU848" s="72">
        <v>12055639.052630052</v>
      </c>
      <c r="AV848" s="72">
        <v>0</v>
      </c>
      <c r="AW848" s="73"/>
      <c r="AX848" s="74">
        <v>-1343.1725546120758</v>
      </c>
      <c r="AY848" s="74">
        <v>0</v>
      </c>
      <c r="AZ848" s="73"/>
      <c r="BA848" s="72">
        <v>72865.706159589608</v>
      </c>
      <c r="BB848" s="72">
        <v>0</v>
      </c>
      <c r="BC848" s="73"/>
      <c r="BD848" s="74">
        <v>-448.21290213136996</v>
      </c>
      <c r="BE848" s="74">
        <v>0</v>
      </c>
      <c r="BF848" s="73"/>
      <c r="BG848" s="72">
        <v>-260991.09099706195</v>
      </c>
      <c r="BH848" s="72">
        <v>0</v>
      </c>
      <c r="BI848" s="73"/>
      <c r="BJ848" s="74">
        <v>-1094.6241414455471</v>
      </c>
      <c r="BK848" s="74">
        <v>0</v>
      </c>
      <c r="BL848" s="73"/>
      <c r="BM848" s="72">
        <v>14491548.25143878</v>
      </c>
      <c r="BN848" s="72">
        <v>0</v>
      </c>
      <c r="BO848" s="73"/>
      <c r="BP848" s="74">
        <v>-4821.6971941090196</v>
      </c>
      <c r="BQ848" s="74">
        <v>0</v>
      </c>
      <c r="BS848" s="109">
        <f t="shared" si="306"/>
        <v>117985.74289628354</v>
      </c>
      <c r="BT848" s="109">
        <f t="shared" si="307"/>
        <v>118347.31730294594</v>
      </c>
      <c r="BV848" s="58">
        <f t="array" ref="BV848">SUM(IF(BS848:BT848&gt;=BS848, 1))</f>
        <v>2</v>
      </c>
      <c r="BW848" s="58">
        <f t="array" ref="BW848">SUM(IF(BS848:BT848&gt;=BT848, 1))</f>
        <v>1</v>
      </c>
      <c r="BY848" s="109">
        <f t="shared" si="308"/>
        <v>134818.8194516465</v>
      </c>
      <c r="BZ848" s="109">
        <f t="shared" si="309"/>
        <v>135132.78126233863</v>
      </c>
      <c r="CB848" s="58">
        <f t="array" ref="CB848">SUM(IF(BY848:BZ848&gt;=BY848, 1))</f>
        <v>2</v>
      </c>
      <c r="CC848" s="58">
        <f t="array" ref="CC848">SUM(IF(BY848:BZ848&gt;=BZ848, 1))</f>
        <v>1</v>
      </c>
      <c r="CE848" s="109">
        <f t="shared" si="310"/>
        <v>96647.171430033704</v>
      </c>
      <c r="CF848" s="109">
        <f t="shared" si="311"/>
        <v>98356.389069771831</v>
      </c>
      <c r="CH848" s="58">
        <f t="array" ref="CH848">SUM(IF(CE848:CF848&gt;=CE848, 1))</f>
        <v>2</v>
      </c>
      <c r="CI848" s="58">
        <f t="array" ref="CI848">SUM(IF(CE848:CF848&gt;=CF848, 1))</f>
        <v>1</v>
      </c>
      <c r="CK848" s="109">
        <f t="shared" si="312"/>
        <v>44688.998380069614</v>
      </c>
      <c r="CL848" s="109">
        <f t="shared" si="313"/>
        <v>45729.047190604186</v>
      </c>
      <c r="CN848" s="58">
        <f t="array" ref="CN848">SUM(IF(CK848:CL848&gt;=CK848, 1))</f>
        <v>2</v>
      </c>
      <c r="CO848" s="58">
        <f t="array" ref="CO848">SUM(IF(CK848:CL848&gt;=CL848, 1))</f>
        <v>1</v>
      </c>
      <c r="CQ848" s="109" cm="1">
        <f t="array" ref="CQ848">AF848*WTP-AC848</f>
        <v>40695.176405890314</v>
      </c>
      <c r="CR848" s="109">
        <f t="shared" si="314"/>
        <v>42033.562442277602</v>
      </c>
      <c r="CT848" s="58">
        <f t="array" ref="CT848">SUM(IF(CQ848:CR848&gt;=CQ848, 1))</f>
        <v>2</v>
      </c>
      <c r="CU848" s="58">
        <f t="array" ref="CU848">SUM(IF(CQ848:CR848&gt;=CR848, 1))</f>
        <v>1</v>
      </c>
      <c r="CW848" s="109">
        <f t="shared" si="315"/>
        <v>-39165680.249844968</v>
      </c>
      <c r="CX848" s="109">
        <f t="shared" si="316"/>
        <v>0</v>
      </c>
      <c r="CZ848" s="58">
        <f t="array" ref="CZ848">SUM(IF(CW848:CX848&gt;=CW848, 1))</f>
        <v>2</v>
      </c>
      <c r="DA848" s="58">
        <f t="array" ref="DA848">SUM(IF(CW848:CX848&gt;=CX848, 1))</f>
        <v>1</v>
      </c>
      <c r="DC848" s="109">
        <f t="shared" si="317"/>
        <v>-2172106.2522017718</v>
      </c>
      <c r="DD848" s="109">
        <f t="shared" si="318"/>
        <v>0</v>
      </c>
      <c r="DF848" s="58">
        <f t="array" ref="DF848">SUM(IF(DC848:DD848&gt;=DC848, 1))</f>
        <v>2</v>
      </c>
      <c r="DG848" s="58">
        <f t="array" ref="DG848">SUM(IF(DC848:DD848&gt;=DD848, 1))</f>
        <v>1</v>
      </c>
      <c r="DI848" s="109">
        <f t="shared" si="319"/>
        <v>-38919090.14487157</v>
      </c>
      <c r="DJ848" s="109">
        <f t="shared" si="320"/>
        <v>0</v>
      </c>
      <c r="DL848" s="58">
        <f t="array" ref="DL848">SUM(IF(DI848:DJ848&gt;=DI848, 1))</f>
        <v>2</v>
      </c>
      <c r="DM848" s="58">
        <f t="array" ref="DM848">SUM(IF(DI848:DJ848&gt;=DJ848, 1))</f>
        <v>1</v>
      </c>
      <c r="DO848" s="109">
        <f t="shared" si="321"/>
        <v>-9037123.7487869896</v>
      </c>
      <c r="DP848" s="109">
        <f t="shared" si="322"/>
        <v>0</v>
      </c>
      <c r="DR848" s="58">
        <f t="array" ref="DR848">SUM(IF(DO848:DP848&gt;=DO848, 1))</f>
        <v>2</v>
      </c>
      <c r="DS848" s="58">
        <f t="array" ref="DS848">SUM(IF(DO848:DP848&gt;=DP848, 1))</f>
        <v>1</v>
      </c>
      <c r="DU848" s="109">
        <f t="shared" si="323"/>
        <v>-21631491.73791388</v>
      </c>
      <c r="DV848" s="109">
        <f t="shared" si="324"/>
        <v>0</v>
      </c>
      <c r="DX848" s="58">
        <f t="array" ref="DX848">SUM(IF(DU848:DV848&gt;=DU848, 1))</f>
        <v>2</v>
      </c>
      <c r="DY848" s="58">
        <f t="array" ref="DY848">SUM(IF(DU848:DV848&gt;=DV848, 1))</f>
        <v>1</v>
      </c>
      <c r="EA848" s="109">
        <f t="shared" si="325"/>
        <v>-110925492.13361917</v>
      </c>
      <c r="EB848" s="109">
        <f t="shared" si="326"/>
        <v>0</v>
      </c>
      <c r="ED848" s="58">
        <f t="array" ref="ED848">SUM(IF(EA848:EB848&gt;=EA848, 1))</f>
        <v>2</v>
      </c>
      <c r="EE848" s="58">
        <f t="array" ref="EE848">SUM(IF(EA848:EB848&gt;=EB848, 1))</f>
        <v>1</v>
      </c>
    </row>
    <row r="849" spans="4:135" ht="12" customHeight="1" x14ac:dyDescent="0.25">
      <c r="D849" s="11">
        <v>833</v>
      </c>
      <c r="E849" s="72">
        <v>265.46554800740205</v>
      </c>
      <c r="F849" s="72">
        <v>244.07350469044056</v>
      </c>
      <c r="G849" s="73"/>
      <c r="H849" s="74">
        <v>5.8283039452149703</v>
      </c>
      <c r="I849" s="74">
        <v>5.8430922839554666</v>
      </c>
      <c r="J849" s="73"/>
      <c r="K849" s="72">
        <v>285.04282995113857</v>
      </c>
      <c r="L849" s="72">
        <v>263.12915979382484</v>
      </c>
      <c r="M849" s="73"/>
      <c r="N849" s="74">
        <v>6.6797723252222303</v>
      </c>
      <c r="O849" s="74">
        <v>6.6923248073122803</v>
      </c>
      <c r="P849" s="73"/>
      <c r="Q849" s="72">
        <v>1709.4292179216795</v>
      </c>
      <c r="R849" s="72">
        <v>1408.2933007676779</v>
      </c>
      <c r="S849" s="73"/>
      <c r="T849" s="74">
        <v>4.9495831285260223</v>
      </c>
      <c r="U849" s="74">
        <v>4.9868957039379209</v>
      </c>
      <c r="V849" s="73"/>
      <c r="W849" s="72">
        <v>13150.247100551467</v>
      </c>
      <c r="X849" s="72">
        <v>13174.411260655726</v>
      </c>
      <c r="Y849" s="73"/>
      <c r="Z849" s="74">
        <v>2.9032058918883168</v>
      </c>
      <c r="AA849" s="74">
        <v>2.946966930690508</v>
      </c>
      <c r="AB849" s="73"/>
      <c r="AC849" s="72">
        <v>49113.824430374843</v>
      </c>
      <c r="AD849" s="72">
        <v>49120.209342543312</v>
      </c>
      <c r="AE849" s="73"/>
      <c r="AF849" s="74">
        <v>4.7873970663589898</v>
      </c>
      <c r="AG849" s="74">
        <v>4.8528263452122173</v>
      </c>
      <c r="AH849" s="73"/>
      <c r="AI849" s="72">
        <v>2305699.0911283274</v>
      </c>
      <c r="AJ849" s="72">
        <v>0</v>
      </c>
      <c r="AK849" s="73"/>
      <c r="AL849" s="74">
        <v>-1593.9318506439629</v>
      </c>
      <c r="AM849" s="74">
        <v>0</v>
      </c>
      <c r="AN849" s="73"/>
      <c r="AO849" s="72">
        <v>151967.63740099885</v>
      </c>
      <c r="AP849" s="72">
        <v>0</v>
      </c>
      <c r="AQ849" s="73"/>
      <c r="AR849" s="74">
        <v>-87.049363846822104</v>
      </c>
      <c r="AS849" s="74">
        <v>0</v>
      </c>
      <c r="AT849" s="73"/>
      <c r="AU849" s="72">
        <v>7001397.5490843318</v>
      </c>
      <c r="AV849" s="72">
        <v>0</v>
      </c>
      <c r="AW849" s="73"/>
      <c r="AX849" s="74">
        <v>-867.51582643425502</v>
      </c>
      <c r="AY849" s="74">
        <v>0</v>
      </c>
      <c r="AZ849" s="73"/>
      <c r="BA849" s="72">
        <v>-215097.05250248898</v>
      </c>
      <c r="BB849" s="72">
        <v>0</v>
      </c>
      <c r="BC849" s="73"/>
      <c r="BD849" s="74">
        <v>-389.53849089665727</v>
      </c>
      <c r="BE849" s="74">
        <v>0</v>
      </c>
      <c r="BF849" s="73"/>
      <c r="BG849" s="72">
        <v>-102226.48471450699</v>
      </c>
      <c r="BH849" s="72">
        <v>0</v>
      </c>
      <c r="BI849" s="73"/>
      <c r="BJ849" s="74">
        <v>-1047.564163466737</v>
      </c>
      <c r="BK849" s="74">
        <v>0</v>
      </c>
      <c r="BL849" s="73"/>
      <c r="BM849" s="72">
        <v>9141740.7403966635</v>
      </c>
      <c r="BN849" s="72">
        <v>0</v>
      </c>
      <c r="BO849" s="73"/>
      <c r="BP849" s="74">
        <v>-3985.5996952884343</v>
      </c>
      <c r="BQ849" s="74">
        <v>0</v>
      </c>
      <c r="BS849" s="109">
        <f t="shared" si="306"/>
        <v>116300.613356292</v>
      </c>
      <c r="BT849" s="109">
        <f t="shared" si="307"/>
        <v>116617.77217441889</v>
      </c>
      <c r="BV849" s="58">
        <f t="array" ref="BV849">SUM(IF(BS849:BT849&gt;=BS849, 1))</f>
        <v>2</v>
      </c>
      <c r="BW849" s="58">
        <f t="array" ref="BW849">SUM(IF(BS849:BT849&gt;=BT849, 1))</f>
        <v>1</v>
      </c>
      <c r="BY849" s="109">
        <f t="shared" si="308"/>
        <v>133310.40367449349</v>
      </c>
      <c r="BZ849" s="109">
        <f t="shared" si="309"/>
        <v>133583.36698645179</v>
      </c>
      <c r="CB849" s="58">
        <f t="array" ref="CB849">SUM(IF(BY849:BZ849&gt;=BY849, 1))</f>
        <v>2</v>
      </c>
      <c r="CC849" s="58">
        <f t="array" ref="CC849">SUM(IF(BY849:BZ849&gt;=BZ849, 1))</f>
        <v>1</v>
      </c>
      <c r="CE849" s="109">
        <f t="shared" si="310"/>
        <v>97282.233352598763</v>
      </c>
      <c r="CF849" s="109">
        <f t="shared" si="311"/>
        <v>98329.620777990742</v>
      </c>
      <c r="CH849" s="58">
        <f t="array" ref="CH849">SUM(IF(CE849:CF849&gt;=CE849, 1))</f>
        <v>2</v>
      </c>
      <c r="CI849" s="58">
        <f t="array" ref="CI849">SUM(IF(CE849:CF849&gt;=CF849, 1))</f>
        <v>1</v>
      </c>
      <c r="CK849" s="109">
        <f t="shared" si="312"/>
        <v>44913.870737214871</v>
      </c>
      <c r="CL849" s="109">
        <f t="shared" si="313"/>
        <v>45764.927353154431</v>
      </c>
      <c r="CN849" s="58">
        <f t="array" ref="CN849">SUM(IF(CK849:CL849&gt;=CK849, 1))</f>
        <v>2</v>
      </c>
      <c r="CO849" s="58">
        <f t="array" ref="CO849">SUM(IF(CK849:CL849&gt;=CL849, 1))</f>
        <v>1</v>
      </c>
      <c r="CQ849" s="109" cm="1">
        <f t="array" ref="CQ849">AF849*WTP-AC849</f>
        <v>46634.116896804953</v>
      </c>
      <c r="CR849" s="109">
        <f t="shared" si="314"/>
        <v>47936.317561701027</v>
      </c>
      <c r="CT849" s="58">
        <f t="array" ref="CT849">SUM(IF(CQ849:CR849&gt;=CQ849, 1))</f>
        <v>2</v>
      </c>
      <c r="CU849" s="58">
        <f t="array" ref="CU849">SUM(IF(CQ849:CR849&gt;=CR849, 1))</f>
        <v>1</v>
      </c>
      <c r="CW849" s="109">
        <f t="shared" si="315"/>
        <v>-34184336.104007587</v>
      </c>
      <c r="CX849" s="109">
        <f t="shared" si="316"/>
        <v>0</v>
      </c>
      <c r="CZ849" s="58">
        <f t="array" ref="CZ849">SUM(IF(CW849:CX849&gt;=CW849, 1))</f>
        <v>2</v>
      </c>
      <c r="DA849" s="58">
        <f t="array" ref="DA849">SUM(IF(CW849:CX849&gt;=CX849, 1))</f>
        <v>1</v>
      </c>
      <c r="DC849" s="109">
        <f t="shared" si="317"/>
        <v>-1892954.9143374409</v>
      </c>
      <c r="DD849" s="109">
        <f t="shared" si="318"/>
        <v>0</v>
      </c>
      <c r="DF849" s="58">
        <f t="array" ref="DF849">SUM(IF(DC849:DD849&gt;=DC849, 1))</f>
        <v>2</v>
      </c>
      <c r="DG849" s="58">
        <f t="array" ref="DG849">SUM(IF(DC849:DD849&gt;=DD849, 1))</f>
        <v>1</v>
      </c>
      <c r="DI849" s="109">
        <f t="shared" si="319"/>
        <v>-24351714.077769432</v>
      </c>
      <c r="DJ849" s="109">
        <f t="shared" si="320"/>
        <v>0</v>
      </c>
      <c r="DL849" s="58">
        <f t="array" ref="DL849">SUM(IF(DI849:DJ849&gt;=DI849, 1))</f>
        <v>2</v>
      </c>
      <c r="DM849" s="58">
        <f t="array" ref="DM849">SUM(IF(DI849:DJ849&gt;=DJ849, 1))</f>
        <v>1</v>
      </c>
      <c r="DO849" s="109">
        <f t="shared" si="321"/>
        <v>-7575672.7654306563</v>
      </c>
      <c r="DP849" s="109">
        <f t="shared" si="322"/>
        <v>0</v>
      </c>
      <c r="DR849" s="58">
        <f t="array" ref="DR849">SUM(IF(DO849:DP849&gt;=DO849, 1))</f>
        <v>2</v>
      </c>
      <c r="DS849" s="58">
        <f t="array" ref="DS849">SUM(IF(DO849:DP849&gt;=DP849, 1))</f>
        <v>1</v>
      </c>
      <c r="DU849" s="109">
        <f t="shared" si="323"/>
        <v>-20849056.784620233</v>
      </c>
      <c r="DV849" s="109">
        <f t="shared" si="324"/>
        <v>0</v>
      </c>
      <c r="DX849" s="58">
        <f t="array" ref="DX849">SUM(IF(DU849:DV849&gt;=DU849, 1))</f>
        <v>2</v>
      </c>
      <c r="DY849" s="58">
        <f t="array" ref="DY849">SUM(IF(DU849:DV849&gt;=DV849, 1))</f>
        <v>1</v>
      </c>
      <c r="EA849" s="109">
        <f t="shared" si="325"/>
        <v>-88853734.646165356</v>
      </c>
      <c r="EB849" s="109">
        <f t="shared" si="326"/>
        <v>0</v>
      </c>
      <c r="ED849" s="58">
        <f t="array" ref="ED849">SUM(IF(EA849:EB849&gt;=EA849, 1))</f>
        <v>2</v>
      </c>
      <c r="EE849" s="58">
        <f t="array" ref="EE849">SUM(IF(EA849:EB849&gt;=EB849, 1))</f>
        <v>1</v>
      </c>
    </row>
    <row r="850" spans="4:135" ht="12" customHeight="1" x14ac:dyDescent="0.25">
      <c r="D850" s="11">
        <v>834</v>
      </c>
      <c r="E850" s="72">
        <v>305.42538832802273</v>
      </c>
      <c r="F850" s="72">
        <v>268.64691013571274</v>
      </c>
      <c r="G850" s="73"/>
      <c r="H850" s="74">
        <v>5.7695262578743911</v>
      </c>
      <c r="I850" s="74">
        <v>5.7886514282508701</v>
      </c>
      <c r="J850" s="73"/>
      <c r="K850" s="72">
        <v>327.29554366374776</v>
      </c>
      <c r="L850" s="72">
        <v>289.67998048040374</v>
      </c>
      <c r="M850" s="73"/>
      <c r="N850" s="74">
        <v>6.6301570009617503</v>
      </c>
      <c r="O850" s="74">
        <v>6.6471224161539304</v>
      </c>
      <c r="P850" s="73"/>
      <c r="Q850" s="72">
        <v>3167.2550544538867</v>
      </c>
      <c r="R850" s="72">
        <v>1771.4893841280332</v>
      </c>
      <c r="S850" s="73"/>
      <c r="T850" s="74">
        <v>4.8224736276783249</v>
      </c>
      <c r="U850" s="74">
        <v>4.9356237236325944</v>
      </c>
      <c r="V850" s="73"/>
      <c r="W850" s="72">
        <v>13533.506079454597</v>
      </c>
      <c r="X850" s="72">
        <v>13433.144337846048</v>
      </c>
      <c r="Y850" s="73"/>
      <c r="Z850" s="74">
        <v>3.1175699960018504</v>
      </c>
      <c r="AA850" s="74">
        <v>3.1553099943267422</v>
      </c>
      <c r="AB850" s="73"/>
      <c r="AC850" s="72">
        <v>50580.805892006771</v>
      </c>
      <c r="AD850" s="72">
        <v>50517.005704251715</v>
      </c>
      <c r="AE850" s="73"/>
      <c r="AF850" s="74">
        <v>5.0556734763940376</v>
      </c>
      <c r="AG850" s="74">
        <v>5.1665536742663081</v>
      </c>
      <c r="AH850" s="73"/>
      <c r="AI850" s="72">
        <v>3932908.5368913198</v>
      </c>
      <c r="AJ850" s="72">
        <v>0</v>
      </c>
      <c r="AK850" s="73"/>
      <c r="AL850" s="74">
        <v>-2045.1511193544275</v>
      </c>
      <c r="AM850" s="74">
        <v>0</v>
      </c>
      <c r="AN850" s="73"/>
      <c r="AO850" s="72">
        <v>258647.95160479238</v>
      </c>
      <c r="AP850" s="72">
        <v>0</v>
      </c>
      <c r="AQ850" s="73"/>
      <c r="AR850" s="74">
        <v>-116.65570089151875</v>
      </c>
      <c r="AS850" s="74">
        <v>0</v>
      </c>
      <c r="AT850" s="73"/>
      <c r="AU850" s="72">
        <v>32399973.017447792</v>
      </c>
      <c r="AV850" s="72">
        <v>0</v>
      </c>
      <c r="AW850" s="73"/>
      <c r="AX850" s="74">
        <v>-2626.5584071745275</v>
      </c>
      <c r="AY850" s="74">
        <v>0</v>
      </c>
      <c r="AZ850" s="73"/>
      <c r="BA850" s="72">
        <v>915473.07365263486</v>
      </c>
      <c r="BB850" s="72">
        <v>0</v>
      </c>
      <c r="BC850" s="73"/>
      <c r="BD850" s="74">
        <v>-344.25421193757956</v>
      </c>
      <c r="BE850" s="74">
        <v>0</v>
      </c>
      <c r="BF850" s="73"/>
      <c r="BG850" s="72">
        <v>1030059.3114680279</v>
      </c>
      <c r="BH850" s="72">
        <v>0</v>
      </c>
      <c r="BI850" s="73"/>
      <c r="BJ850" s="74">
        <v>-1790.1699711957126</v>
      </c>
      <c r="BK850" s="74">
        <v>0</v>
      </c>
      <c r="BL850" s="73"/>
      <c r="BM850" s="72">
        <v>38537061.891064562</v>
      </c>
      <c r="BN850" s="72">
        <v>0</v>
      </c>
      <c r="BO850" s="73"/>
      <c r="BP850" s="74">
        <v>-6922.7894105537662</v>
      </c>
      <c r="BQ850" s="74">
        <v>0</v>
      </c>
      <c r="BS850" s="109">
        <f t="shared" ref="BS850:BS913" si="327">H850*WTP-E850</f>
        <v>115085.0997691598</v>
      </c>
      <c r="BT850" s="109">
        <f t="shared" ref="BT850:BT913" si="328">I850*WTP-F850</f>
        <v>115504.3816548817</v>
      </c>
      <c r="BV850" s="58">
        <f t="array" ref="BV850">SUM(IF(BS850:BT850&gt;=BS850, 1))</f>
        <v>2</v>
      </c>
      <c r="BW850" s="58">
        <f t="array" ref="BW850">SUM(IF(BS850:BT850&gt;=BT850, 1))</f>
        <v>1</v>
      </c>
      <c r="BY850" s="109">
        <f t="shared" ref="BY850:BY913" si="329">N850*WTP-K850</f>
        <v>132275.84447557124</v>
      </c>
      <c r="BZ850" s="109">
        <f t="shared" ref="BZ850:BZ913" si="330">O850*WTP-L850</f>
        <v>132652.7683425982</v>
      </c>
      <c r="CB850" s="58">
        <f t="array" ref="CB850">SUM(IF(BY850:BZ850&gt;=BY850, 1))</f>
        <v>2</v>
      </c>
      <c r="CC850" s="58">
        <f t="array" ref="CC850">SUM(IF(BY850:BZ850&gt;=BZ850, 1))</f>
        <v>1</v>
      </c>
      <c r="CE850" s="109">
        <f t="shared" ref="CE850:CE913" si="331">T850*WTP-Q850</f>
        <v>93282.217499112608</v>
      </c>
      <c r="CF850" s="109">
        <f t="shared" ref="CF850:CF913" si="332">U850*WTP-R850</f>
        <v>96940.985088523856</v>
      </c>
      <c r="CH850" s="58">
        <f t="array" ref="CH850">SUM(IF(CE850:CF850&gt;=CE850, 1))</f>
        <v>2</v>
      </c>
      <c r="CI850" s="58">
        <f t="array" ref="CI850">SUM(IF(CE850:CF850&gt;=CF850, 1))</f>
        <v>1</v>
      </c>
      <c r="CK850" s="109">
        <f t="shared" ref="CK850:CK913" si="333">Z850*WTP-W850</f>
        <v>48817.893840582416</v>
      </c>
      <c r="CL850" s="109">
        <f t="shared" ref="CL850:CL913" si="334">AA850*WTP-X850</f>
        <v>49673.055548688797</v>
      </c>
      <c r="CN850" s="58">
        <f t="array" ref="CN850">SUM(IF(CK850:CL850&gt;=CK850, 1))</f>
        <v>2</v>
      </c>
      <c r="CO850" s="58">
        <f t="array" ref="CO850">SUM(IF(CK850:CL850&gt;=CL850, 1))</f>
        <v>1</v>
      </c>
      <c r="CQ850" s="109" cm="1">
        <f t="array" ref="CQ850">AF850*WTP-AC850</f>
        <v>50532.663635873978</v>
      </c>
      <c r="CR850" s="109">
        <f t="shared" ref="CR850:CR913" si="335">AG850*WTP-AD850</f>
        <v>52814.067781074453</v>
      </c>
      <c r="CT850" s="58">
        <f t="array" ref="CT850">SUM(IF(CQ850:CR850&gt;=CQ850, 1))</f>
        <v>2</v>
      </c>
      <c r="CU850" s="58">
        <f t="array" ref="CU850">SUM(IF(CQ850:CR850&gt;=CR850, 1))</f>
        <v>1</v>
      </c>
      <c r="CW850" s="109">
        <f t="shared" ref="CW850:CW913" si="336">AL850*WTP-AI850</f>
        <v>-44835930.923979871</v>
      </c>
      <c r="CX850" s="109">
        <f t="shared" ref="CX850:CX913" si="337">AM850*WTP-AJ850</f>
        <v>0</v>
      </c>
      <c r="CZ850" s="58">
        <f t="array" ref="CZ850">SUM(IF(CW850:CX850&gt;=CW850, 1))</f>
        <v>2</v>
      </c>
      <c r="DA850" s="58">
        <f t="array" ref="DA850">SUM(IF(CW850:CX850&gt;=CX850, 1))</f>
        <v>1</v>
      </c>
      <c r="DC850" s="109">
        <f t="shared" ref="DC850:DC913" si="338">AR850*WTP-AO850</f>
        <v>-2591761.9694351675</v>
      </c>
      <c r="DD850" s="109">
        <f t="shared" ref="DD850:DD913" si="339">AS850*WTP-AP850</f>
        <v>0</v>
      </c>
      <c r="DF850" s="58">
        <f t="array" ref="DF850">SUM(IF(DC850:DD850&gt;=DC850, 1))</f>
        <v>2</v>
      </c>
      <c r="DG850" s="58">
        <f t="array" ref="DG850">SUM(IF(DC850:DD850&gt;=DD850, 1))</f>
        <v>1</v>
      </c>
      <c r="DI850" s="109">
        <f t="shared" ref="DI850:DI913" si="340">AX850*WTP-AU850</f>
        <v>-84931141.160938352</v>
      </c>
      <c r="DJ850" s="109">
        <f t="shared" ref="DJ850:DJ913" si="341">AY850*WTP-AV850</f>
        <v>0</v>
      </c>
      <c r="DL850" s="58">
        <f t="array" ref="DL850">SUM(IF(DI850:DJ850&gt;=DI850, 1))</f>
        <v>2</v>
      </c>
      <c r="DM850" s="58">
        <f t="array" ref="DM850">SUM(IF(DI850:DJ850&gt;=DJ850, 1))</f>
        <v>1</v>
      </c>
      <c r="DO850" s="109">
        <f t="shared" ref="DO850:DO913" si="342">BD850*WTP-BA850</f>
        <v>-7800557.3124042265</v>
      </c>
      <c r="DP850" s="109">
        <f t="shared" ref="DP850:DP913" si="343">BE850*WTP-BB850</f>
        <v>0</v>
      </c>
      <c r="DR850" s="58">
        <f t="array" ref="DR850">SUM(IF(DO850:DP850&gt;=DO850, 1))</f>
        <v>2</v>
      </c>
      <c r="DS850" s="58">
        <f t="array" ref="DS850">SUM(IF(DO850:DP850&gt;=DP850, 1))</f>
        <v>1</v>
      </c>
      <c r="DU850" s="109">
        <f t="shared" ref="DU850:DU913" si="344">BJ850*WTP-BG850</f>
        <v>-36833458.735382281</v>
      </c>
      <c r="DV850" s="109">
        <f t="shared" ref="DV850:DV913" si="345">BK850*WTP-BH850</f>
        <v>0</v>
      </c>
      <c r="DX850" s="58">
        <f t="array" ref="DX850">SUM(IF(DU850:DV850&gt;=DU850, 1))</f>
        <v>2</v>
      </c>
      <c r="DY850" s="58">
        <f t="array" ref="DY850">SUM(IF(DU850:DV850&gt;=DV850, 1))</f>
        <v>1</v>
      </c>
      <c r="EA850" s="109">
        <f t="shared" ref="EA850:EA913" si="346">BP850*WTP-BM850</f>
        <v>-176992850.10213989</v>
      </c>
      <c r="EB850" s="109">
        <f t="shared" ref="EB850:EB913" si="347">BQ850*WTP-BN850</f>
        <v>0</v>
      </c>
      <c r="ED850" s="58">
        <f t="array" ref="ED850">SUM(IF(EA850:EB850&gt;=EA850, 1))</f>
        <v>2</v>
      </c>
      <c r="EE850" s="58">
        <f t="array" ref="EE850">SUM(IF(EA850:EB850&gt;=EB850, 1))</f>
        <v>1</v>
      </c>
    </row>
    <row r="851" spans="4:135" ht="12" customHeight="1" x14ac:dyDescent="0.25">
      <c r="D851" s="11">
        <v>835</v>
      </c>
      <c r="E851" s="72">
        <v>271.18321477190653</v>
      </c>
      <c r="F851" s="72">
        <v>245.68655670917428</v>
      </c>
      <c r="G851" s="73"/>
      <c r="H851" s="74">
        <v>5.8088718177482654</v>
      </c>
      <c r="I851" s="74">
        <v>5.8229242285871727</v>
      </c>
      <c r="J851" s="73"/>
      <c r="K851" s="72">
        <v>291.00815513057159</v>
      </c>
      <c r="L851" s="72">
        <v>264.91214441399489</v>
      </c>
      <c r="M851" s="73"/>
      <c r="N851" s="74">
        <v>6.7006098424778733</v>
      </c>
      <c r="O851" s="74">
        <v>6.712614736946164</v>
      </c>
      <c r="P851" s="73"/>
      <c r="Q851" s="72">
        <v>2452.1501812535016</v>
      </c>
      <c r="R851" s="72">
        <v>1418.3679500283981</v>
      </c>
      <c r="S851" s="73"/>
      <c r="T851" s="74">
        <v>4.7321412154666165</v>
      </c>
      <c r="U851" s="74">
        <v>4.8034716183454016</v>
      </c>
      <c r="V851" s="73"/>
      <c r="W851" s="72">
        <v>15557.451579823271</v>
      </c>
      <c r="X851" s="72">
        <v>15574.125802699129</v>
      </c>
      <c r="Y851" s="73"/>
      <c r="Z851" s="74">
        <v>2.9556577747065087</v>
      </c>
      <c r="AA851" s="74">
        <v>3.0137989549387472</v>
      </c>
      <c r="AB851" s="73"/>
      <c r="AC851" s="72">
        <v>49802.572639821214</v>
      </c>
      <c r="AD851" s="72">
        <v>49645.279455103584</v>
      </c>
      <c r="AE851" s="73"/>
      <c r="AF851" s="74">
        <v>4.7508502108719384</v>
      </c>
      <c r="AG851" s="74">
        <v>4.8677086929014299</v>
      </c>
      <c r="AH851" s="73"/>
      <c r="AI851" s="72">
        <v>2744426.9004930598</v>
      </c>
      <c r="AJ851" s="72">
        <v>0</v>
      </c>
      <c r="AK851" s="73"/>
      <c r="AL851" s="74">
        <v>-1512.5831090564761</v>
      </c>
      <c r="AM851" s="74">
        <v>0</v>
      </c>
      <c r="AN851" s="73"/>
      <c r="AO851" s="72">
        <v>174053.25735913686</v>
      </c>
      <c r="AP851" s="72">
        <v>0</v>
      </c>
      <c r="AQ851" s="73"/>
      <c r="AR851" s="74">
        <v>-80.069364208660019</v>
      </c>
      <c r="AS851" s="74">
        <v>0</v>
      </c>
      <c r="AT851" s="73"/>
      <c r="AU851" s="72">
        <v>24259980.341185302</v>
      </c>
      <c r="AV851" s="72">
        <v>0</v>
      </c>
      <c r="AW851" s="73"/>
      <c r="AX851" s="74">
        <v>-1673.9252419897202</v>
      </c>
      <c r="AY851" s="74">
        <v>0</v>
      </c>
      <c r="AZ851" s="73"/>
      <c r="BA851" s="72">
        <v>-153121.3159922144</v>
      </c>
      <c r="BB851" s="72">
        <v>0</v>
      </c>
      <c r="BC851" s="73"/>
      <c r="BD851" s="74">
        <v>-533.91717843659876</v>
      </c>
      <c r="BE851" s="74">
        <v>0</v>
      </c>
      <c r="BF851" s="73"/>
      <c r="BG851" s="72">
        <v>2519452.0651159543</v>
      </c>
      <c r="BH851" s="72">
        <v>0</v>
      </c>
      <c r="BI851" s="73"/>
      <c r="BJ851" s="74">
        <v>-1871.7870351729182</v>
      </c>
      <c r="BK851" s="74">
        <v>0</v>
      </c>
      <c r="BL851" s="73"/>
      <c r="BM851" s="72">
        <v>29544791.248161238</v>
      </c>
      <c r="BN851" s="72">
        <v>0</v>
      </c>
      <c r="BO851" s="73"/>
      <c r="BP851" s="74">
        <v>-5672.2819288643732</v>
      </c>
      <c r="BQ851" s="74">
        <v>0</v>
      </c>
      <c r="BS851" s="109">
        <f t="shared" si="327"/>
        <v>115906.2531401934</v>
      </c>
      <c r="BT851" s="109">
        <f t="shared" si="328"/>
        <v>116212.79801503428</v>
      </c>
      <c r="BV851" s="58">
        <f t="array" ref="BV851">SUM(IF(BS851:BT851&gt;=BS851, 1))</f>
        <v>2</v>
      </c>
      <c r="BW851" s="58">
        <f t="array" ref="BW851">SUM(IF(BS851:BT851&gt;=BT851, 1))</f>
        <v>1</v>
      </c>
      <c r="BY851" s="109">
        <f t="shared" si="329"/>
        <v>133721.18869442688</v>
      </c>
      <c r="BZ851" s="109">
        <f t="shared" si="330"/>
        <v>133987.38259450928</v>
      </c>
      <c r="CB851" s="58">
        <f t="array" ref="CB851">SUM(IF(BY851:BZ851&gt;=BY851, 1))</f>
        <v>2</v>
      </c>
      <c r="CC851" s="58">
        <f t="array" ref="CC851">SUM(IF(BY851:BZ851&gt;=BZ851, 1))</f>
        <v>1</v>
      </c>
      <c r="CE851" s="109">
        <f t="shared" si="331"/>
        <v>92190.674128078826</v>
      </c>
      <c r="CF851" s="109">
        <f t="shared" si="332"/>
        <v>94651.064416879628</v>
      </c>
      <c r="CH851" s="58">
        <f t="array" ref="CH851">SUM(IF(CE851:CF851&gt;=CE851, 1))</f>
        <v>2</v>
      </c>
      <c r="CI851" s="58">
        <f t="array" ref="CI851">SUM(IF(CE851:CF851&gt;=CF851, 1))</f>
        <v>1</v>
      </c>
      <c r="CK851" s="109">
        <f t="shared" si="333"/>
        <v>43555.703914306898</v>
      </c>
      <c r="CL851" s="109">
        <f t="shared" si="334"/>
        <v>44701.853296075817</v>
      </c>
      <c r="CN851" s="58">
        <f t="array" ref="CN851">SUM(IF(CK851:CL851&gt;=CK851, 1))</f>
        <v>2</v>
      </c>
      <c r="CO851" s="58">
        <f t="array" ref="CO851">SUM(IF(CK851:CL851&gt;=CL851, 1))</f>
        <v>1</v>
      </c>
      <c r="CQ851" s="109" cm="1">
        <f t="array" ref="CQ851">AF851*WTP-AC851</f>
        <v>45214.43157761755</v>
      </c>
      <c r="CR851" s="109">
        <f t="shared" si="335"/>
        <v>47708.89440292502</v>
      </c>
      <c r="CT851" s="58">
        <f t="array" ref="CT851">SUM(IF(CQ851:CR851&gt;=CQ851, 1))</f>
        <v>2</v>
      </c>
      <c r="CU851" s="58">
        <f t="array" ref="CU851">SUM(IF(CQ851:CR851&gt;=CR851, 1))</f>
        <v>1</v>
      </c>
      <c r="CW851" s="109">
        <f t="shared" si="336"/>
        <v>-32996089.081622582</v>
      </c>
      <c r="CX851" s="109">
        <f t="shared" si="337"/>
        <v>0</v>
      </c>
      <c r="CZ851" s="58">
        <f t="array" ref="CZ851">SUM(IF(CW851:CX851&gt;=CW851, 1))</f>
        <v>2</v>
      </c>
      <c r="DA851" s="58">
        <f t="array" ref="DA851">SUM(IF(CW851:CX851&gt;=CX851, 1))</f>
        <v>1</v>
      </c>
      <c r="DC851" s="109">
        <f t="shared" si="338"/>
        <v>-1775440.5415323372</v>
      </c>
      <c r="DD851" s="109">
        <f t="shared" si="339"/>
        <v>0</v>
      </c>
      <c r="DF851" s="58">
        <f t="array" ref="DF851">SUM(IF(DC851:DD851&gt;=DC851, 1))</f>
        <v>2</v>
      </c>
      <c r="DG851" s="58">
        <f t="array" ref="DG851">SUM(IF(DC851:DD851&gt;=DD851, 1))</f>
        <v>1</v>
      </c>
      <c r="DI851" s="109">
        <f t="shared" si="340"/>
        <v>-57738485.180979706</v>
      </c>
      <c r="DJ851" s="109">
        <f t="shared" si="341"/>
        <v>0</v>
      </c>
      <c r="DL851" s="58">
        <f t="array" ref="DL851">SUM(IF(DI851:DJ851&gt;=DI851, 1))</f>
        <v>2</v>
      </c>
      <c r="DM851" s="58">
        <f t="array" ref="DM851">SUM(IF(DI851:DJ851&gt;=DJ851, 1))</f>
        <v>1</v>
      </c>
      <c r="DO851" s="109">
        <f t="shared" si="342"/>
        <v>-10525222.252739761</v>
      </c>
      <c r="DP851" s="109">
        <f t="shared" si="343"/>
        <v>0</v>
      </c>
      <c r="DR851" s="58">
        <f t="array" ref="DR851">SUM(IF(DO851:DP851&gt;=DO851, 1))</f>
        <v>2</v>
      </c>
      <c r="DS851" s="58">
        <f t="array" ref="DS851">SUM(IF(DO851:DP851&gt;=DP851, 1))</f>
        <v>1</v>
      </c>
      <c r="DU851" s="109">
        <f t="shared" si="344"/>
        <v>-39955192.768574312</v>
      </c>
      <c r="DV851" s="109">
        <f t="shared" si="345"/>
        <v>0</v>
      </c>
      <c r="DX851" s="58">
        <f t="array" ref="DX851">SUM(IF(DU851:DV851&gt;=DU851, 1))</f>
        <v>2</v>
      </c>
      <c r="DY851" s="58">
        <f t="array" ref="DY851">SUM(IF(DU851:DV851&gt;=DV851, 1))</f>
        <v>1</v>
      </c>
      <c r="EA851" s="109">
        <f t="shared" si="346"/>
        <v>-142990429.82544869</v>
      </c>
      <c r="EB851" s="109">
        <f t="shared" si="347"/>
        <v>0</v>
      </c>
      <c r="ED851" s="58">
        <f t="array" ref="ED851">SUM(IF(EA851:EB851&gt;=EA851, 1))</f>
        <v>2</v>
      </c>
      <c r="EE851" s="58">
        <f t="array" ref="EE851">SUM(IF(EA851:EB851&gt;=EB851, 1))</f>
        <v>1</v>
      </c>
    </row>
    <row r="852" spans="4:135" ht="12" customHeight="1" x14ac:dyDescent="0.25">
      <c r="D852" s="11">
        <v>836</v>
      </c>
      <c r="E852" s="72">
        <v>240.83209757858498</v>
      </c>
      <c r="F852" s="72">
        <v>228.92713501718993</v>
      </c>
      <c r="G852" s="73"/>
      <c r="H852" s="74">
        <v>5.720808718832612</v>
      </c>
      <c r="I852" s="74">
        <v>5.7358550824993362</v>
      </c>
      <c r="J852" s="73"/>
      <c r="K852" s="72">
        <v>259.13733216797101</v>
      </c>
      <c r="L852" s="72">
        <v>246.90736364385023</v>
      </c>
      <c r="M852" s="73"/>
      <c r="N852" s="74">
        <v>6.6982469701065002</v>
      </c>
      <c r="O852" s="74">
        <v>6.7106549466975371</v>
      </c>
      <c r="P852" s="73"/>
      <c r="Q852" s="72">
        <v>2278.6205141966211</v>
      </c>
      <c r="R852" s="72">
        <v>1146.0411558805804</v>
      </c>
      <c r="S852" s="73"/>
      <c r="T852" s="74">
        <v>4.7072437050649336</v>
      </c>
      <c r="U852" s="74">
        <v>4.8321153843202964</v>
      </c>
      <c r="V852" s="73"/>
      <c r="W852" s="72">
        <v>11245.4924958222</v>
      </c>
      <c r="X852" s="72">
        <v>11205.271515544433</v>
      </c>
      <c r="Y852" s="73"/>
      <c r="Z852" s="74">
        <v>2.8621140949967274</v>
      </c>
      <c r="AA852" s="74">
        <v>2.8913772249279073</v>
      </c>
      <c r="AB852" s="73"/>
      <c r="AC852" s="72">
        <v>50623.21014894644</v>
      </c>
      <c r="AD852" s="72">
        <v>50498.928646532317</v>
      </c>
      <c r="AE852" s="73"/>
      <c r="AF852" s="74">
        <v>4.0401553511276305</v>
      </c>
      <c r="AG852" s="74">
        <v>4.121464956561276</v>
      </c>
      <c r="AH852" s="73"/>
      <c r="AI852" s="72">
        <v>1293075.9815842835</v>
      </c>
      <c r="AJ852" s="72">
        <v>0</v>
      </c>
      <c r="AK852" s="73"/>
      <c r="AL852" s="74">
        <v>-1634.2841371643558</v>
      </c>
      <c r="AM852" s="74">
        <v>0</v>
      </c>
      <c r="AN852" s="73"/>
      <c r="AO852" s="72">
        <v>80133.364968208334</v>
      </c>
      <c r="AP852" s="72">
        <v>0</v>
      </c>
      <c r="AQ852" s="73"/>
      <c r="AR852" s="74">
        <v>-81.299711828819497</v>
      </c>
      <c r="AS852" s="74">
        <v>0</v>
      </c>
      <c r="AT852" s="73"/>
      <c r="AU852" s="72">
        <v>26500185.484039221</v>
      </c>
      <c r="AV852" s="72">
        <v>0</v>
      </c>
      <c r="AW852" s="73"/>
      <c r="AX852" s="74">
        <v>-2921.7578774265212</v>
      </c>
      <c r="AY852" s="74">
        <v>0</v>
      </c>
      <c r="AZ852" s="73"/>
      <c r="BA852" s="72">
        <v>378828.5937349092</v>
      </c>
      <c r="BB852" s="72">
        <v>0</v>
      </c>
      <c r="BC852" s="73"/>
      <c r="BD852" s="74">
        <v>-275.62009388017458</v>
      </c>
      <c r="BE852" s="74">
        <v>0</v>
      </c>
      <c r="BF852" s="73"/>
      <c r="BG852" s="72">
        <v>1925188.6705672997</v>
      </c>
      <c r="BH852" s="72">
        <v>0</v>
      </c>
      <c r="BI852" s="73"/>
      <c r="BJ852" s="74">
        <v>-1259.5304059613823</v>
      </c>
      <c r="BK852" s="74">
        <v>0</v>
      </c>
      <c r="BL852" s="73"/>
      <c r="BM852" s="72">
        <v>30177412.094893921</v>
      </c>
      <c r="BN852" s="72">
        <v>0</v>
      </c>
      <c r="BO852" s="73"/>
      <c r="BP852" s="74">
        <v>-6172.4922262612527</v>
      </c>
      <c r="BQ852" s="74">
        <v>0</v>
      </c>
      <c r="BS852" s="109">
        <f t="shared" si="327"/>
        <v>114175.34227907365</v>
      </c>
      <c r="BT852" s="109">
        <f t="shared" si="328"/>
        <v>114488.17451496953</v>
      </c>
      <c r="BV852" s="58">
        <f t="array" ref="BV852">SUM(IF(BS852:BT852&gt;=BS852, 1))</f>
        <v>2</v>
      </c>
      <c r="BW852" s="58">
        <f t="array" ref="BW852">SUM(IF(BS852:BT852&gt;=BT852, 1))</f>
        <v>1</v>
      </c>
      <c r="BY852" s="109">
        <f t="shared" si="329"/>
        <v>133705.80206996202</v>
      </c>
      <c r="BZ852" s="109">
        <f t="shared" si="330"/>
        <v>133966.1915703069</v>
      </c>
      <c r="CB852" s="58">
        <f t="array" ref="CB852">SUM(IF(BY852:BZ852&gt;=BY852, 1))</f>
        <v>2</v>
      </c>
      <c r="CC852" s="58">
        <f t="array" ref="CC852">SUM(IF(BY852:BZ852&gt;=BZ852, 1))</f>
        <v>1</v>
      </c>
      <c r="CE852" s="109">
        <f t="shared" si="331"/>
        <v>91866.253587102052</v>
      </c>
      <c r="CF852" s="109">
        <f t="shared" si="332"/>
        <v>95496.266530525347</v>
      </c>
      <c r="CH852" s="58">
        <f t="array" ref="CH852">SUM(IF(CE852:CF852&gt;=CE852, 1))</f>
        <v>2</v>
      </c>
      <c r="CI852" s="58">
        <f t="array" ref="CI852">SUM(IF(CE852:CF852&gt;=CF852, 1))</f>
        <v>1</v>
      </c>
      <c r="CK852" s="109">
        <f t="shared" si="333"/>
        <v>45996.789404112351</v>
      </c>
      <c r="CL852" s="109">
        <f t="shared" si="334"/>
        <v>46622.272983013718</v>
      </c>
      <c r="CN852" s="58">
        <f t="array" ref="CN852">SUM(IF(CK852:CL852&gt;=CK852, 1))</f>
        <v>2</v>
      </c>
      <c r="CO852" s="58">
        <f t="array" ref="CO852">SUM(IF(CK852:CL852&gt;=CL852, 1))</f>
        <v>1</v>
      </c>
      <c r="CQ852" s="109" cm="1">
        <f t="array" ref="CQ852">AF852*WTP-AC852</f>
        <v>30179.896873606165</v>
      </c>
      <c r="CR852" s="109">
        <f t="shared" si="335"/>
        <v>31930.370484693201</v>
      </c>
      <c r="CT852" s="58">
        <f t="array" ref="CT852">SUM(IF(CQ852:CR852&gt;=CQ852, 1))</f>
        <v>2</v>
      </c>
      <c r="CU852" s="58">
        <f t="array" ref="CU852">SUM(IF(CQ852:CR852&gt;=CR852, 1))</f>
        <v>1</v>
      </c>
      <c r="CW852" s="109">
        <f t="shared" si="336"/>
        <v>-33978758.724871397</v>
      </c>
      <c r="CX852" s="109">
        <f t="shared" si="337"/>
        <v>0</v>
      </c>
      <c r="CZ852" s="58">
        <f t="array" ref="CZ852">SUM(IF(CW852:CX852&gt;=CW852, 1))</f>
        <v>2</v>
      </c>
      <c r="DA852" s="58">
        <f t="array" ref="DA852">SUM(IF(CW852:CX852&gt;=CX852, 1))</f>
        <v>1</v>
      </c>
      <c r="DC852" s="109">
        <f t="shared" si="338"/>
        <v>-1706127.6015445984</v>
      </c>
      <c r="DD852" s="109">
        <f t="shared" si="339"/>
        <v>0</v>
      </c>
      <c r="DF852" s="58">
        <f t="array" ref="DF852">SUM(IF(DC852:DD852&gt;=DC852, 1))</f>
        <v>2</v>
      </c>
      <c r="DG852" s="58">
        <f t="array" ref="DG852">SUM(IF(DC852:DD852&gt;=DD852, 1))</f>
        <v>1</v>
      </c>
      <c r="DI852" s="109">
        <f t="shared" si="340"/>
        <v>-84935343.032569647</v>
      </c>
      <c r="DJ852" s="109">
        <f t="shared" si="341"/>
        <v>0</v>
      </c>
      <c r="DL852" s="58">
        <f t="array" ref="DL852">SUM(IF(DI852:DJ852&gt;=DI852, 1))</f>
        <v>2</v>
      </c>
      <c r="DM852" s="58">
        <f t="array" ref="DM852">SUM(IF(DI852:DJ852&gt;=DJ852, 1))</f>
        <v>1</v>
      </c>
      <c r="DO852" s="109">
        <f t="shared" si="342"/>
        <v>-5891230.4713384006</v>
      </c>
      <c r="DP852" s="109">
        <f t="shared" si="343"/>
        <v>0</v>
      </c>
      <c r="DR852" s="58">
        <f t="array" ref="DR852">SUM(IF(DO852:DP852&gt;=DO852, 1))</f>
        <v>2</v>
      </c>
      <c r="DS852" s="58">
        <f t="array" ref="DS852">SUM(IF(DO852:DP852&gt;=DP852, 1))</f>
        <v>1</v>
      </c>
      <c r="DU852" s="109">
        <f t="shared" si="344"/>
        <v>-27115796.789794944</v>
      </c>
      <c r="DV852" s="109">
        <f t="shared" si="345"/>
        <v>0</v>
      </c>
      <c r="DX852" s="58">
        <f t="array" ref="DX852">SUM(IF(DU852:DV852&gt;=DU852, 1))</f>
        <v>2</v>
      </c>
      <c r="DY852" s="58">
        <f t="array" ref="DY852">SUM(IF(DU852:DV852&gt;=DV852, 1))</f>
        <v>1</v>
      </c>
      <c r="EA852" s="109">
        <f t="shared" si="346"/>
        <v>-153627256.62011898</v>
      </c>
      <c r="EB852" s="109">
        <f t="shared" si="347"/>
        <v>0</v>
      </c>
      <c r="ED852" s="58">
        <f t="array" ref="ED852">SUM(IF(EA852:EB852&gt;=EA852, 1))</f>
        <v>2</v>
      </c>
      <c r="EE852" s="58">
        <f t="array" ref="EE852">SUM(IF(EA852:EB852&gt;=EB852, 1))</f>
        <v>1</v>
      </c>
    </row>
    <row r="853" spans="4:135" ht="12" customHeight="1" x14ac:dyDescent="0.25">
      <c r="D853" s="11">
        <v>837</v>
      </c>
      <c r="E853" s="72">
        <v>280.88510087170772</v>
      </c>
      <c r="F853" s="72">
        <v>252.94624629489849</v>
      </c>
      <c r="G853" s="73"/>
      <c r="H853" s="74">
        <v>5.7967032996841334</v>
      </c>
      <c r="I853" s="74">
        <v>5.8159945044063273</v>
      </c>
      <c r="J853" s="73"/>
      <c r="K853" s="72">
        <v>301.40127840037076</v>
      </c>
      <c r="L853" s="72">
        <v>272.82919411121003</v>
      </c>
      <c r="M853" s="73"/>
      <c r="N853" s="74">
        <v>6.7327469346652613</v>
      </c>
      <c r="O853" s="74">
        <v>6.7498192580155427</v>
      </c>
      <c r="P853" s="73"/>
      <c r="Q853" s="72">
        <v>2049.4023102415485</v>
      </c>
      <c r="R853" s="72">
        <v>1450.2627983963857</v>
      </c>
      <c r="S853" s="73"/>
      <c r="T853" s="74">
        <v>4.9351007351614964</v>
      </c>
      <c r="U853" s="74">
        <v>4.9909637619422504</v>
      </c>
      <c r="V853" s="73"/>
      <c r="W853" s="72">
        <v>12220.747179899885</v>
      </c>
      <c r="X853" s="72">
        <v>12269.903044786135</v>
      </c>
      <c r="Y853" s="73"/>
      <c r="Z853" s="74">
        <v>3.0029979674589709</v>
      </c>
      <c r="AA853" s="74">
        <v>3.0779603796035486</v>
      </c>
      <c r="AB853" s="73"/>
      <c r="AC853" s="72">
        <v>49697.382604400533</v>
      </c>
      <c r="AD853" s="72">
        <v>49718.897973983054</v>
      </c>
      <c r="AE853" s="73"/>
      <c r="AF853" s="74">
        <v>4.4718212245165025</v>
      </c>
      <c r="AG853" s="74">
        <v>4.5110077626438416</v>
      </c>
      <c r="AH853" s="73"/>
      <c r="AI853" s="72">
        <v>3017149.3870927976</v>
      </c>
      <c r="AJ853" s="72">
        <v>0</v>
      </c>
      <c r="AK853" s="73"/>
      <c r="AL853" s="74">
        <v>-2083.2796256494207</v>
      </c>
      <c r="AM853" s="74">
        <v>0</v>
      </c>
      <c r="AN853" s="73"/>
      <c r="AO853" s="72">
        <v>188805.70409372504</v>
      </c>
      <c r="AP853" s="72">
        <v>0</v>
      </c>
      <c r="AQ853" s="73"/>
      <c r="AR853" s="74">
        <v>-112.81473196159004</v>
      </c>
      <c r="AS853" s="74">
        <v>0</v>
      </c>
      <c r="AT853" s="73"/>
      <c r="AU853" s="72">
        <v>13953281.956630312</v>
      </c>
      <c r="AV853" s="72">
        <v>0</v>
      </c>
      <c r="AW853" s="73"/>
      <c r="AX853" s="74">
        <v>-1300.9867455112735</v>
      </c>
      <c r="AY853" s="74">
        <v>0</v>
      </c>
      <c r="AZ853" s="73"/>
      <c r="BA853" s="72">
        <v>-438680.68594611244</v>
      </c>
      <c r="BB853" s="72">
        <v>0</v>
      </c>
      <c r="BC853" s="73"/>
      <c r="BD853" s="74">
        <v>-668.98553114375238</v>
      </c>
      <c r="BE853" s="74">
        <v>0</v>
      </c>
      <c r="BF853" s="73"/>
      <c r="BG853" s="72">
        <v>-343871.47794728813</v>
      </c>
      <c r="BH853" s="72">
        <v>0</v>
      </c>
      <c r="BI853" s="73"/>
      <c r="BJ853" s="74">
        <v>-626.30264052879352</v>
      </c>
      <c r="BK853" s="74">
        <v>0</v>
      </c>
      <c r="BL853" s="73"/>
      <c r="BM853" s="72">
        <v>16376684.883923436</v>
      </c>
      <c r="BN853" s="72">
        <v>0</v>
      </c>
      <c r="BO853" s="73"/>
      <c r="BP853" s="74">
        <v>-4792.3692747948307</v>
      </c>
      <c r="BQ853" s="74">
        <v>0</v>
      </c>
      <c r="BS853" s="109">
        <f t="shared" si="327"/>
        <v>115653.18089281097</v>
      </c>
      <c r="BT853" s="109">
        <f t="shared" si="328"/>
        <v>116066.94384183164</v>
      </c>
      <c r="BV853" s="58">
        <f t="array" ref="BV853">SUM(IF(BS853:BT853&gt;=BS853, 1))</f>
        <v>2</v>
      </c>
      <c r="BW853" s="58">
        <f t="array" ref="BW853">SUM(IF(BS853:BT853&gt;=BT853, 1))</f>
        <v>1</v>
      </c>
      <c r="BY853" s="109">
        <f t="shared" si="329"/>
        <v>134353.53741490486</v>
      </c>
      <c r="BZ853" s="109">
        <f t="shared" si="330"/>
        <v>134723.55596619967</v>
      </c>
      <c r="CB853" s="58">
        <f t="array" ref="CB853">SUM(IF(BY853:BZ853&gt;=BY853, 1))</f>
        <v>2</v>
      </c>
      <c r="CC853" s="58">
        <f t="array" ref="CC853">SUM(IF(BY853:BZ853&gt;=BZ853, 1))</f>
        <v>1</v>
      </c>
      <c r="CE853" s="109">
        <f t="shared" si="331"/>
        <v>96652.612392988376</v>
      </c>
      <c r="CF853" s="109">
        <f t="shared" si="332"/>
        <v>98369.012440448612</v>
      </c>
      <c r="CH853" s="58">
        <f t="array" ref="CH853">SUM(IF(CE853:CF853&gt;=CE853, 1))</f>
        <v>2</v>
      </c>
      <c r="CI853" s="58">
        <f t="array" ref="CI853">SUM(IF(CE853:CF853&gt;=CF853, 1))</f>
        <v>1</v>
      </c>
      <c r="CK853" s="109">
        <f t="shared" si="333"/>
        <v>47839.212169279534</v>
      </c>
      <c r="CL853" s="109">
        <f t="shared" si="334"/>
        <v>49289.304547284839</v>
      </c>
      <c r="CN853" s="58">
        <f t="array" ref="CN853">SUM(IF(CK853:CL853&gt;=CK853, 1))</f>
        <v>2</v>
      </c>
      <c r="CO853" s="58">
        <f t="array" ref="CO853">SUM(IF(CK853:CL853&gt;=CL853, 1))</f>
        <v>1</v>
      </c>
      <c r="CQ853" s="109" cm="1">
        <f t="array" ref="CQ853">AF853*WTP-AC853</f>
        <v>39739.041885929524</v>
      </c>
      <c r="CR853" s="109">
        <f t="shared" si="335"/>
        <v>40501.257278893783</v>
      </c>
      <c r="CT853" s="58">
        <f t="array" ref="CT853">SUM(IF(CQ853:CR853&gt;=CQ853, 1))</f>
        <v>2</v>
      </c>
      <c r="CU853" s="58">
        <f t="array" ref="CU853">SUM(IF(CQ853:CR853&gt;=CR853, 1))</f>
        <v>1</v>
      </c>
      <c r="CW853" s="109">
        <f t="shared" si="336"/>
        <v>-44682741.90008121</v>
      </c>
      <c r="CX853" s="109">
        <f t="shared" si="337"/>
        <v>0</v>
      </c>
      <c r="CZ853" s="58">
        <f t="array" ref="CZ853">SUM(IF(CW853:CX853&gt;=CW853, 1))</f>
        <v>2</v>
      </c>
      <c r="DA853" s="58">
        <f t="array" ref="DA853">SUM(IF(CW853:CX853&gt;=CX853, 1))</f>
        <v>1</v>
      </c>
      <c r="DC853" s="109">
        <f t="shared" si="338"/>
        <v>-2445100.343325526</v>
      </c>
      <c r="DD853" s="109">
        <f t="shared" si="339"/>
        <v>0</v>
      </c>
      <c r="DF853" s="58">
        <f t="array" ref="DF853">SUM(IF(DC853:DD853&gt;=DC853, 1))</f>
        <v>2</v>
      </c>
      <c r="DG853" s="58">
        <f t="array" ref="DG853">SUM(IF(DC853:DD853&gt;=DD853, 1))</f>
        <v>1</v>
      </c>
      <c r="DI853" s="109">
        <f t="shared" si="340"/>
        <v>-39973016.866855785</v>
      </c>
      <c r="DJ853" s="109">
        <f t="shared" si="341"/>
        <v>0</v>
      </c>
      <c r="DL853" s="58">
        <f t="array" ref="DL853">SUM(IF(DI853:DJ853&gt;=DI853, 1))</f>
        <v>2</v>
      </c>
      <c r="DM853" s="58">
        <f t="array" ref="DM853">SUM(IF(DI853:DJ853&gt;=DJ853, 1))</f>
        <v>1</v>
      </c>
      <c r="DO853" s="109">
        <f t="shared" si="342"/>
        <v>-12941029.936928935</v>
      </c>
      <c r="DP853" s="109">
        <f t="shared" si="343"/>
        <v>0</v>
      </c>
      <c r="DR853" s="58">
        <f t="array" ref="DR853">SUM(IF(DO853:DP853&gt;=DO853, 1))</f>
        <v>2</v>
      </c>
      <c r="DS853" s="58">
        <f t="array" ref="DS853">SUM(IF(DO853:DP853&gt;=DP853, 1))</f>
        <v>1</v>
      </c>
      <c r="DU853" s="109">
        <f t="shared" si="344"/>
        <v>-12182181.332628584</v>
      </c>
      <c r="DV853" s="109">
        <f t="shared" si="345"/>
        <v>0</v>
      </c>
      <c r="DX853" s="58">
        <f t="array" ref="DX853">SUM(IF(DU853:DV853&gt;=DU853, 1))</f>
        <v>2</v>
      </c>
      <c r="DY853" s="58">
        <f t="array" ref="DY853">SUM(IF(DU853:DV853&gt;=DV853, 1))</f>
        <v>1</v>
      </c>
      <c r="EA853" s="109">
        <f t="shared" si="346"/>
        <v>-112224070.37982005</v>
      </c>
      <c r="EB853" s="109">
        <f t="shared" si="347"/>
        <v>0</v>
      </c>
      <c r="ED853" s="58">
        <f t="array" ref="ED853">SUM(IF(EA853:EB853&gt;=EA853, 1))</f>
        <v>2</v>
      </c>
      <c r="EE853" s="58">
        <f t="array" ref="EE853">SUM(IF(EA853:EB853&gt;=EB853, 1))</f>
        <v>1</v>
      </c>
    </row>
    <row r="854" spans="4:135" ht="12" customHeight="1" x14ac:dyDescent="0.25">
      <c r="D854" s="11">
        <v>838</v>
      </c>
      <c r="E854" s="72">
        <v>226.05875863137601</v>
      </c>
      <c r="F854" s="72">
        <v>209.65667601923519</v>
      </c>
      <c r="G854" s="73"/>
      <c r="H854" s="74">
        <v>5.8405280897521976</v>
      </c>
      <c r="I854" s="74">
        <v>5.8645360383223695</v>
      </c>
      <c r="J854" s="73"/>
      <c r="K854" s="72">
        <v>242.89986154846193</v>
      </c>
      <c r="L854" s="72">
        <v>226.11899558463944</v>
      </c>
      <c r="M854" s="73"/>
      <c r="N854" s="74">
        <v>6.6958067897105646</v>
      </c>
      <c r="O854" s="74">
        <v>6.7183544979422116</v>
      </c>
      <c r="P854" s="73"/>
      <c r="Q854" s="72">
        <v>1909.3993520794863</v>
      </c>
      <c r="R854" s="72">
        <v>1168.0434348779906</v>
      </c>
      <c r="S854" s="73"/>
      <c r="T854" s="74">
        <v>4.8047682202152089</v>
      </c>
      <c r="U854" s="74">
        <v>4.8921083983154876</v>
      </c>
      <c r="V854" s="73"/>
      <c r="W854" s="72">
        <v>10422.130435988476</v>
      </c>
      <c r="X854" s="72">
        <v>10408.079945352043</v>
      </c>
      <c r="Y854" s="73"/>
      <c r="Z854" s="74">
        <v>2.9852855718234053</v>
      </c>
      <c r="AA854" s="74">
        <v>3.0194866695678511</v>
      </c>
      <c r="AB854" s="73"/>
      <c r="AC854" s="72">
        <v>51057.318430601052</v>
      </c>
      <c r="AD854" s="72">
        <v>50417.001699878587</v>
      </c>
      <c r="AE854" s="73"/>
      <c r="AF854" s="74">
        <v>4.8048693726208143</v>
      </c>
      <c r="AG854" s="74">
        <v>4.9569646950973612</v>
      </c>
      <c r="AH854" s="73"/>
      <c r="AI854" s="72">
        <v>1756586.3528506509</v>
      </c>
      <c r="AJ854" s="72">
        <v>0</v>
      </c>
      <c r="AK854" s="73"/>
      <c r="AL854" s="74">
        <v>-2571.1390324963036</v>
      </c>
      <c r="AM854" s="74">
        <v>0</v>
      </c>
      <c r="AN854" s="73"/>
      <c r="AO854" s="72">
        <v>112477.31172947565</v>
      </c>
      <c r="AP854" s="72">
        <v>0</v>
      </c>
      <c r="AQ854" s="73"/>
      <c r="AR854" s="74">
        <v>-151.13079462190788</v>
      </c>
      <c r="AS854" s="74">
        <v>0</v>
      </c>
      <c r="AT854" s="73"/>
      <c r="AU854" s="72">
        <v>16832859.948109422</v>
      </c>
      <c r="AV854" s="72">
        <v>0</v>
      </c>
      <c r="AW854" s="73"/>
      <c r="AX854" s="74">
        <v>-1983.1027873287196</v>
      </c>
      <c r="AY854" s="74">
        <v>0</v>
      </c>
      <c r="AZ854" s="73"/>
      <c r="BA854" s="72">
        <v>125348.54997590429</v>
      </c>
      <c r="BB854" s="72">
        <v>0</v>
      </c>
      <c r="BC854" s="73"/>
      <c r="BD854" s="74">
        <v>-305.11802902697622</v>
      </c>
      <c r="BE854" s="74">
        <v>0</v>
      </c>
      <c r="BF854" s="73"/>
      <c r="BG854" s="72">
        <v>10525853.52248987</v>
      </c>
      <c r="BH854" s="72">
        <v>0</v>
      </c>
      <c r="BI854" s="73"/>
      <c r="BJ854" s="74">
        <v>-2500.2206080694973</v>
      </c>
      <c r="BK854" s="74">
        <v>0</v>
      </c>
      <c r="BL854" s="73"/>
      <c r="BM854" s="72">
        <v>29353125.685155325</v>
      </c>
      <c r="BN854" s="72">
        <v>0</v>
      </c>
      <c r="BO854" s="73"/>
      <c r="BP854" s="74">
        <v>-7510.7112515434037</v>
      </c>
      <c r="BQ854" s="74">
        <v>0</v>
      </c>
      <c r="BS854" s="109">
        <f t="shared" si="327"/>
        <v>116584.50303641257</v>
      </c>
      <c r="BT854" s="109">
        <f t="shared" si="328"/>
        <v>117081.06409042815</v>
      </c>
      <c r="BV854" s="58">
        <f t="array" ref="BV854">SUM(IF(BS854:BT854&gt;=BS854, 1))</f>
        <v>2</v>
      </c>
      <c r="BW854" s="58">
        <f t="array" ref="BW854">SUM(IF(BS854:BT854&gt;=BT854, 1))</f>
        <v>1</v>
      </c>
      <c r="BY854" s="109">
        <f t="shared" si="329"/>
        <v>133673.23593266282</v>
      </c>
      <c r="BZ854" s="109">
        <f t="shared" si="330"/>
        <v>134140.97096325961</v>
      </c>
      <c r="CB854" s="58">
        <f t="array" ref="CB854">SUM(IF(BY854:BZ854&gt;=BY854, 1))</f>
        <v>2</v>
      </c>
      <c r="CC854" s="58">
        <f t="array" ref="CC854">SUM(IF(BY854:BZ854&gt;=BZ854, 1))</f>
        <v>1</v>
      </c>
      <c r="CE854" s="109">
        <f t="shared" si="331"/>
        <v>94185.965052224681</v>
      </c>
      <c r="CF854" s="109">
        <f t="shared" si="332"/>
        <v>96674.124531431749</v>
      </c>
      <c r="CH854" s="58">
        <f t="array" ref="CH854">SUM(IF(CE854:CF854&gt;=CE854, 1))</f>
        <v>2</v>
      </c>
      <c r="CI854" s="58">
        <f t="array" ref="CI854">SUM(IF(CE854:CF854&gt;=CF854, 1))</f>
        <v>1</v>
      </c>
      <c r="CK854" s="109">
        <f t="shared" si="333"/>
        <v>49283.581000479629</v>
      </c>
      <c r="CL854" s="109">
        <f t="shared" si="334"/>
        <v>49981.653446004973</v>
      </c>
      <c r="CN854" s="58">
        <f t="array" ref="CN854">SUM(IF(CK854:CL854&gt;=CK854, 1))</f>
        <v>2</v>
      </c>
      <c r="CO854" s="58">
        <f t="array" ref="CO854">SUM(IF(CK854:CL854&gt;=CL854, 1))</f>
        <v>1</v>
      </c>
      <c r="CQ854" s="109" cm="1">
        <f t="array" ref="CQ854">AF854*WTP-AC854</f>
        <v>45040.06902181523</v>
      </c>
      <c r="CR854" s="109">
        <f t="shared" si="335"/>
        <v>48722.292202068638</v>
      </c>
      <c r="CT854" s="58">
        <f t="array" ref="CT854">SUM(IF(CQ854:CR854&gt;=CQ854, 1))</f>
        <v>2</v>
      </c>
      <c r="CU854" s="58">
        <f t="array" ref="CU854">SUM(IF(CQ854:CR854&gt;=CR854, 1))</f>
        <v>1</v>
      </c>
      <c r="CW854" s="109">
        <f t="shared" si="336"/>
        <v>-53179367.002776727</v>
      </c>
      <c r="CX854" s="109">
        <f t="shared" si="337"/>
        <v>0</v>
      </c>
      <c r="CZ854" s="58">
        <f t="array" ref="CZ854">SUM(IF(CW854:CX854&gt;=CW854, 1))</f>
        <v>2</v>
      </c>
      <c r="DA854" s="58">
        <f t="array" ref="DA854">SUM(IF(CW854:CX854&gt;=CX854, 1))</f>
        <v>1</v>
      </c>
      <c r="DC854" s="109">
        <f t="shared" si="338"/>
        <v>-3135093.2041676333</v>
      </c>
      <c r="DD854" s="109">
        <f t="shared" si="339"/>
        <v>0</v>
      </c>
      <c r="DF854" s="58">
        <f t="array" ref="DF854">SUM(IF(DC854:DD854&gt;=DC854, 1))</f>
        <v>2</v>
      </c>
      <c r="DG854" s="58">
        <f t="array" ref="DG854">SUM(IF(DC854:DD854&gt;=DD854, 1))</f>
        <v>1</v>
      </c>
      <c r="DI854" s="109">
        <f t="shared" si="340"/>
        <v>-56494915.69468382</v>
      </c>
      <c r="DJ854" s="109">
        <f t="shared" si="341"/>
        <v>0</v>
      </c>
      <c r="DL854" s="58">
        <f t="array" ref="DL854">SUM(IF(DI854:DJ854&gt;=DI854, 1))</f>
        <v>2</v>
      </c>
      <c r="DM854" s="58">
        <f t="array" ref="DM854">SUM(IF(DI854:DJ854&gt;=DJ854, 1))</f>
        <v>1</v>
      </c>
      <c r="DO854" s="109">
        <f t="shared" si="342"/>
        <v>-6227709.1305154292</v>
      </c>
      <c r="DP854" s="109">
        <f t="shared" si="343"/>
        <v>0</v>
      </c>
      <c r="DR854" s="58">
        <f t="array" ref="DR854">SUM(IF(DO854:DP854&gt;=DO854, 1))</f>
        <v>2</v>
      </c>
      <c r="DS854" s="58">
        <f t="array" ref="DS854">SUM(IF(DO854:DP854&gt;=DP854, 1))</f>
        <v>1</v>
      </c>
      <c r="DU854" s="109">
        <f t="shared" si="344"/>
        <v>-60530265.683879815</v>
      </c>
      <c r="DV854" s="109">
        <f t="shared" si="345"/>
        <v>0</v>
      </c>
      <c r="DX854" s="58">
        <f t="array" ref="DX854">SUM(IF(DU854:DV854&gt;=DU854, 1))</f>
        <v>2</v>
      </c>
      <c r="DY854" s="58">
        <f t="array" ref="DY854">SUM(IF(DU854:DV854&gt;=DV854, 1))</f>
        <v>1</v>
      </c>
      <c r="EA854" s="109">
        <f t="shared" si="346"/>
        <v>-179567350.71602342</v>
      </c>
      <c r="EB854" s="109">
        <f t="shared" si="347"/>
        <v>0</v>
      </c>
      <c r="ED854" s="58">
        <f t="array" ref="ED854">SUM(IF(EA854:EB854&gt;=EA854, 1))</f>
        <v>2</v>
      </c>
      <c r="EE854" s="58">
        <f t="array" ref="EE854">SUM(IF(EA854:EB854&gt;=EB854, 1))</f>
        <v>1</v>
      </c>
    </row>
    <row r="855" spans="4:135" ht="12" customHeight="1" x14ac:dyDescent="0.25">
      <c r="D855" s="11">
        <v>839</v>
      </c>
      <c r="E855" s="72">
        <v>322.72386075816667</v>
      </c>
      <c r="F855" s="72">
        <v>320.49407527144245</v>
      </c>
      <c r="G855" s="73"/>
      <c r="H855" s="74">
        <v>5.8014966716845864</v>
      </c>
      <c r="I855" s="74">
        <v>5.8160286028769503</v>
      </c>
      <c r="J855" s="73"/>
      <c r="K855" s="72">
        <v>348.02756845970885</v>
      </c>
      <c r="L855" s="72">
        <v>345.6694787317499</v>
      </c>
      <c r="M855" s="73"/>
      <c r="N855" s="74">
        <v>6.742602543561711</v>
      </c>
      <c r="O855" s="74">
        <v>6.7547827445834958</v>
      </c>
      <c r="P855" s="73"/>
      <c r="Q855" s="72">
        <v>3284.3355124440982</v>
      </c>
      <c r="R855" s="72">
        <v>1607.5732958076567</v>
      </c>
      <c r="S855" s="73"/>
      <c r="T855" s="74">
        <v>4.7143267901201948</v>
      </c>
      <c r="U855" s="74">
        <v>4.8296992147449291</v>
      </c>
      <c r="V855" s="73"/>
      <c r="W855" s="72">
        <v>10383.482712827685</v>
      </c>
      <c r="X855" s="72">
        <v>10325.666814107975</v>
      </c>
      <c r="Y855" s="73"/>
      <c r="Z855" s="74">
        <v>3.1224962677950088</v>
      </c>
      <c r="AA855" s="74">
        <v>3.1621922131424847</v>
      </c>
      <c r="AB855" s="73"/>
      <c r="AC855" s="72">
        <v>50375.624698709398</v>
      </c>
      <c r="AD855" s="72">
        <v>49946.075485484704</v>
      </c>
      <c r="AE855" s="73"/>
      <c r="AF855" s="74">
        <v>4.3817332117413317</v>
      </c>
      <c r="AG855" s="74">
        <v>4.4928894123710066</v>
      </c>
      <c r="AH855" s="73"/>
      <c r="AI855" s="72">
        <v>240388.54356081717</v>
      </c>
      <c r="AJ855" s="72">
        <v>0</v>
      </c>
      <c r="AK855" s="73"/>
      <c r="AL855" s="74">
        <v>-1566.6573288134634</v>
      </c>
      <c r="AM855" s="74">
        <v>0</v>
      </c>
      <c r="AN855" s="73"/>
      <c r="AO855" s="72">
        <v>16941.386150488463</v>
      </c>
      <c r="AP855" s="72">
        <v>0</v>
      </c>
      <c r="AQ855" s="73"/>
      <c r="AR855" s="74">
        <v>-87.507055585725496</v>
      </c>
      <c r="AS855" s="74">
        <v>0</v>
      </c>
      <c r="AT855" s="73"/>
      <c r="AU855" s="72">
        <v>36990201.594814926</v>
      </c>
      <c r="AV855" s="72">
        <v>0</v>
      </c>
      <c r="AW855" s="73"/>
      <c r="AX855" s="74">
        <v>-2545.1725969304989</v>
      </c>
      <c r="AY855" s="74">
        <v>0</v>
      </c>
      <c r="AZ855" s="73"/>
      <c r="BA855" s="72">
        <v>521790.17625752528</v>
      </c>
      <c r="BB855" s="72">
        <v>0</v>
      </c>
      <c r="BC855" s="73"/>
      <c r="BD855" s="74">
        <v>-358.25706731611382</v>
      </c>
      <c r="BE855" s="74">
        <v>0</v>
      </c>
      <c r="BF855" s="73"/>
      <c r="BG855" s="72">
        <v>6855032.5708199935</v>
      </c>
      <c r="BH855" s="72">
        <v>0</v>
      </c>
      <c r="BI855" s="73"/>
      <c r="BJ855" s="74">
        <v>-1773.9047175636117</v>
      </c>
      <c r="BK855" s="74">
        <v>0</v>
      </c>
      <c r="BL855" s="73"/>
      <c r="BM855" s="72">
        <v>44624354.271603756</v>
      </c>
      <c r="BN855" s="72">
        <v>0</v>
      </c>
      <c r="BO855" s="73"/>
      <c r="BP855" s="74">
        <v>-6331.4987662094127</v>
      </c>
      <c r="BQ855" s="74">
        <v>0</v>
      </c>
      <c r="BS855" s="109">
        <f t="shared" si="327"/>
        <v>115707.20957293356</v>
      </c>
      <c r="BT855" s="109">
        <f t="shared" si="328"/>
        <v>116000.07798226755</v>
      </c>
      <c r="BV855" s="58">
        <f t="array" ref="BV855">SUM(IF(BS855:BT855&gt;=BS855, 1))</f>
        <v>2</v>
      </c>
      <c r="BW855" s="58">
        <f t="array" ref="BW855">SUM(IF(BS855:BT855&gt;=BT855, 1))</f>
        <v>1</v>
      </c>
      <c r="BY855" s="109">
        <f t="shared" si="329"/>
        <v>134504.0233027745</v>
      </c>
      <c r="BZ855" s="109">
        <f t="shared" si="330"/>
        <v>134749.98541293817</v>
      </c>
      <c r="CB855" s="58">
        <f t="array" ref="CB855">SUM(IF(BY855:BZ855&gt;=BY855, 1))</f>
        <v>2</v>
      </c>
      <c r="CC855" s="58">
        <f t="array" ref="CC855">SUM(IF(BY855:BZ855&gt;=BZ855, 1))</f>
        <v>1</v>
      </c>
      <c r="CE855" s="109">
        <f t="shared" si="331"/>
        <v>91002.200289959801</v>
      </c>
      <c r="CF855" s="109">
        <f t="shared" si="332"/>
        <v>94986.410999090935</v>
      </c>
      <c r="CH855" s="58">
        <f t="array" ref="CH855">SUM(IF(CE855:CF855&gt;=CE855, 1))</f>
        <v>2</v>
      </c>
      <c r="CI855" s="58">
        <f t="array" ref="CI855">SUM(IF(CE855:CF855&gt;=CF855, 1))</f>
        <v>1</v>
      </c>
      <c r="CK855" s="109">
        <f t="shared" si="333"/>
        <v>52066.442643072485</v>
      </c>
      <c r="CL855" s="109">
        <f t="shared" si="334"/>
        <v>52918.177448741713</v>
      </c>
      <c r="CN855" s="58">
        <f t="array" ref="CN855">SUM(IF(CK855:CL855&gt;=CK855, 1))</f>
        <v>2</v>
      </c>
      <c r="CO855" s="58">
        <f t="array" ref="CO855">SUM(IF(CK855:CL855&gt;=CL855, 1))</f>
        <v>1</v>
      </c>
      <c r="CQ855" s="109" cm="1">
        <f t="array" ref="CQ855">AF855*WTP-AC855</f>
        <v>37259.039536117234</v>
      </c>
      <c r="CR855" s="109">
        <f t="shared" si="335"/>
        <v>39911.712761935429</v>
      </c>
      <c r="CT855" s="58">
        <f t="array" ref="CT855">SUM(IF(CQ855:CR855&gt;=CQ855, 1))</f>
        <v>2</v>
      </c>
      <c r="CU855" s="58">
        <f t="array" ref="CU855">SUM(IF(CQ855:CR855&gt;=CR855, 1))</f>
        <v>1</v>
      </c>
      <c r="CW855" s="109">
        <f t="shared" si="336"/>
        <v>-31573535.119830087</v>
      </c>
      <c r="CX855" s="109">
        <f t="shared" si="337"/>
        <v>0</v>
      </c>
      <c r="CZ855" s="58">
        <f t="array" ref="CZ855">SUM(IF(CW855:CX855&gt;=CW855, 1))</f>
        <v>2</v>
      </c>
      <c r="DA855" s="58">
        <f t="array" ref="DA855">SUM(IF(CW855:CX855&gt;=CX855, 1))</f>
        <v>1</v>
      </c>
      <c r="DC855" s="109">
        <f t="shared" si="338"/>
        <v>-1767082.4978649984</v>
      </c>
      <c r="DD855" s="109">
        <f t="shared" si="339"/>
        <v>0</v>
      </c>
      <c r="DF855" s="58">
        <f t="array" ref="DF855">SUM(IF(DC855:DD855&gt;=DC855, 1))</f>
        <v>2</v>
      </c>
      <c r="DG855" s="58">
        <f t="array" ref="DG855">SUM(IF(DC855:DD855&gt;=DD855, 1))</f>
        <v>1</v>
      </c>
      <c r="DI855" s="109">
        <f t="shared" si="340"/>
        <v>-87893653.533424914</v>
      </c>
      <c r="DJ855" s="109">
        <f t="shared" si="341"/>
        <v>0</v>
      </c>
      <c r="DL855" s="58">
        <f t="array" ref="DL855">SUM(IF(DI855:DJ855&gt;=DI855, 1))</f>
        <v>2</v>
      </c>
      <c r="DM855" s="58">
        <f t="array" ref="DM855">SUM(IF(DI855:DJ855&gt;=DJ855, 1))</f>
        <v>1</v>
      </c>
      <c r="DO855" s="109">
        <f t="shared" si="342"/>
        <v>-7686931.5225798022</v>
      </c>
      <c r="DP855" s="109">
        <f t="shared" si="343"/>
        <v>0</v>
      </c>
      <c r="DR855" s="58">
        <f t="array" ref="DR855">SUM(IF(DO855:DP855&gt;=DO855, 1))</f>
        <v>2</v>
      </c>
      <c r="DS855" s="58">
        <f t="array" ref="DS855">SUM(IF(DO855:DP855&gt;=DP855, 1))</f>
        <v>1</v>
      </c>
      <c r="DU855" s="109">
        <f t="shared" si="344"/>
        <v>-42333126.922092229</v>
      </c>
      <c r="DV855" s="109">
        <f t="shared" si="345"/>
        <v>0</v>
      </c>
      <c r="DX855" s="58">
        <f t="array" ref="DX855">SUM(IF(DU855:DV855&gt;=DU855, 1))</f>
        <v>2</v>
      </c>
      <c r="DY855" s="58">
        <f t="array" ref="DY855">SUM(IF(DU855:DV855&gt;=DV855, 1))</f>
        <v>1</v>
      </c>
      <c r="EA855" s="109">
        <f t="shared" si="346"/>
        <v>-171254329.595792</v>
      </c>
      <c r="EB855" s="109">
        <f t="shared" si="347"/>
        <v>0</v>
      </c>
      <c r="ED855" s="58">
        <f t="array" ref="ED855">SUM(IF(EA855:EB855&gt;=EA855, 1))</f>
        <v>2</v>
      </c>
      <c r="EE855" s="58">
        <f t="array" ref="EE855">SUM(IF(EA855:EB855&gt;=EB855, 1))</f>
        <v>1</v>
      </c>
    </row>
    <row r="856" spans="4:135" ht="12" customHeight="1" x14ac:dyDescent="0.25">
      <c r="D856" s="11">
        <v>840</v>
      </c>
      <c r="E856" s="72">
        <v>318.59305336991974</v>
      </c>
      <c r="F856" s="72">
        <v>296.85478203381695</v>
      </c>
      <c r="G856" s="73"/>
      <c r="H856" s="74">
        <v>5.886389189843162</v>
      </c>
      <c r="I856" s="74">
        <v>5.9009898587189076</v>
      </c>
      <c r="J856" s="73"/>
      <c r="K856" s="72">
        <v>342.44683815416124</v>
      </c>
      <c r="L856" s="72">
        <v>320.19205183912976</v>
      </c>
      <c r="M856" s="73"/>
      <c r="N856" s="74">
        <v>6.71201797253838</v>
      </c>
      <c r="O856" s="74">
        <v>6.724766323765671</v>
      </c>
      <c r="P856" s="73"/>
      <c r="Q856" s="72">
        <v>2785.6175942864493</v>
      </c>
      <c r="R856" s="72">
        <v>1427.5342753638622</v>
      </c>
      <c r="S856" s="73"/>
      <c r="T856" s="74">
        <v>4.9047769740246761</v>
      </c>
      <c r="U856" s="74">
        <v>4.99331924620523</v>
      </c>
      <c r="V856" s="73"/>
      <c r="W856" s="72">
        <v>10789.838327476868</v>
      </c>
      <c r="X856" s="72">
        <v>10842.621540766098</v>
      </c>
      <c r="Y856" s="73"/>
      <c r="Z856" s="74">
        <v>2.9981510331156627</v>
      </c>
      <c r="AA856" s="74">
        <v>3.0695595906265916</v>
      </c>
      <c r="AB856" s="73"/>
      <c r="AC856" s="72">
        <v>49553.107832302288</v>
      </c>
      <c r="AD856" s="72">
        <v>49225.6173943576</v>
      </c>
      <c r="AE856" s="73"/>
      <c r="AF856" s="74">
        <v>4.6340414260623151</v>
      </c>
      <c r="AG856" s="74">
        <v>4.7333124126983668</v>
      </c>
      <c r="AH856" s="73"/>
      <c r="AI856" s="72">
        <v>2330199.3393343389</v>
      </c>
      <c r="AJ856" s="72">
        <v>0</v>
      </c>
      <c r="AK856" s="73"/>
      <c r="AL856" s="74">
        <v>-1565.0954228176172</v>
      </c>
      <c r="AM856" s="74">
        <v>0</v>
      </c>
      <c r="AN856" s="73"/>
      <c r="AO856" s="72">
        <v>150664.38564910842</v>
      </c>
      <c r="AP856" s="72">
        <v>0</v>
      </c>
      <c r="AQ856" s="73"/>
      <c r="AR856" s="74">
        <v>-86.306041249272738</v>
      </c>
      <c r="AS856" s="74">
        <v>0</v>
      </c>
      <c r="AT856" s="73"/>
      <c r="AU856" s="72">
        <v>30634063.743743215</v>
      </c>
      <c r="AV856" s="72">
        <v>0</v>
      </c>
      <c r="AW856" s="73"/>
      <c r="AX856" s="74">
        <v>-1997.233580739949</v>
      </c>
      <c r="AY856" s="74">
        <v>0</v>
      </c>
      <c r="AZ856" s="73"/>
      <c r="BA856" s="72">
        <v>-464688.9800995313</v>
      </c>
      <c r="BB856" s="72">
        <v>0</v>
      </c>
      <c r="BC856" s="73"/>
      <c r="BD856" s="74">
        <v>-628.66141889285905</v>
      </c>
      <c r="BE856" s="74">
        <v>0</v>
      </c>
      <c r="BF856" s="73"/>
      <c r="BG856" s="72">
        <v>5126637.3153472133</v>
      </c>
      <c r="BH856" s="72">
        <v>0</v>
      </c>
      <c r="BI856" s="73"/>
      <c r="BJ856" s="74">
        <v>-1554.0189436177423</v>
      </c>
      <c r="BK856" s="74">
        <v>0</v>
      </c>
      <c r="BL856" s="73"/>
      <c r="BM856" s="72">
        <v>37776875.803974345</v>
      </c>
      <c r="BN856" s="72">
        <v>0</v>
      </c>
      <c r="BO856" s="73"/>
      <c r="BP856" s="74">
        <v>-5831.3154073174401</v>
      </c>
      <c r="BQ856" s="74">
        <v>0</v>
      </c>
      <c r="BS856" s="109">
        <f t="shared" si="327"/>
        <v>117409.19074349332</v>
      </c>
      <c r="BT856" s="109">
        <f t="shared" si="328"/>
        <v>117722.94239234434</v>
      </c>
      <c r="BV856" s="58">
        <f t="array" ref="BV856">SUM(IF(BS856:BT856&gt;=BS856, 1))</f>
        <v>2</v>
      </c>
      <c r="BW856" s="58">
        <f t="array" ref="BW856">SUM(IF(BS856:BT856&gt;=BT856, 1))</f>
        <v>1</v>
      </c>
      <c r="BY856" s="109">
        <f t="shared" si="329"/>
        <v>133897.91261261344</v>
      </c>
      <c r="BZ856" s="109">
        <f t="shared" si="330"/>
        <v>134175.13442347429</v>
      </c>
      <c r="CB856" s="58">
        <f t="array" ref="CB856">SUM(IF(BY856:BZ856&gt;=BY856, 1))</f>
        <v>2</v>
      </c>
      <c r="CC856" s="58">
        <f t="array" ref="CC856">SUM(IF(BY856:BZ856&gt;=BZ856, 1))</f>
        <v>1</v>
      </c>
      <c r="CE856" s="109">
        <f t="shared" si="331"/>
        <v>95309.92188620707</v>
      </c>
      <c r="CF856" s="109">
        <f t="shared" si="332"/>
        <v>98438.850648740729</v>
      </c>
      <c r="CH856" s="58">
        <f t="array" ref="CH856">SUM(IF(CE856:CF856&gt;=CE856, 1))</f>
        <v>2</v>
      </c>
      <c r="CI856" s="58">
        <f t="array" ref="CI856">SUM(IF(CE856:CF856&gt;=CF856, 1))</f>
        <v>1</v>
      </c>
      <c r="CK856" s="109">
        <f t="shared" si="333"/>
        <v>49173.182334836383</v>
      </c>
      <c r="CL856" s="109">
        <f t="shared" si="334"/>
        <v>50548.570271765733</v>
      </c>
      <c r="CN856" s="58">
        <f t="array" ref="CN856">SUM(IF(CK856:CL856&gt;=CK856, 1))</f>
        <v>2</v>
      </c>
      <c r="CO856" s="58">
        <f t="array" ref="CO856">SUM(IF(CK856:CL856&gt;=CL856, 1))</f>
        <v>1</v>
      </c>
      <c r="CQ856" s="109" cm="1">
        <f t="array" ref="CQ856">AF856*WTP-AC856</f>
        <v>43127.720688944006</v>
      </c>
      <c r="CR856" s="109">
        <f t="shared" si="335"/>
        <v>45440.630859609737</v>
      </c>
      <c r="CT856" s="58">
        <f t="array" ref="CT856">SUM(IF(CQ856:CR856&gt;=CQ856, 1))</f>
        <v>2</v>
      </c>
      <c r="CU856" s="58">
        <f t="array" ref="CU856">SUM(IF(CQ856:CR856&gt;=CR856, 1))</f>
        <v>1</v>
      </c>
      <c r="CW856" s="109">
        <f t="shared" si="336"/>
        <v>-33632107.795686685</v>
      </c>
      <c r="CX856" s="109">
        <f t="shared" si="337"/>
        <v>0</v>
      </c>
      <c r="CZ856" s="58">
        <f t="array" ref="CZ856">SUM(IF(CW856:CX856&gt;=CW856, 1))</f>
        <v>2</v>
      </c>
      <c r="DA856" s="58">
        <f t="array" ref="DA856">SUM(IF(CW856:CX856&gt;=CX856, 1))</f>
        <v>1</v>
      </c>
      <c r="DC856" s="109">
        <f t="shared" si="338"/>
        <v>-1876785.2106345631</v>
      </c>
      <c r="DD856" s="109">
        <f t="shared" si="339"/>
        <v>0</v>
      </c>
      <c r="DF856" s="58">
        <f t="array" ref="DF856">SUM(IF(DC856:DD856&gt;=DC856, 1))</f>
        <v>2</v>
      </c>
      <c r="DG856" s="58">
        <f t="array" ref="DG856">SUM(IF(DC856:DD856&gt;=DD856, 1))</f>
        <v>1</v>
      </c>
      <c r="DI856" s="109">
        <f t="shared" si="340"/>
        <v>-70578735.358542189</v>
      </c>
      <c r="DJ856" s="109">
        <f t="shared" si="341"/>
        <v>0</v>
      </c>
      <c r="DL856" s="58">
        <f t="array" ref="DL856">SUM(IF(DI856:DJ856&gt;=DI856, 1))</f>
        <v>2</v>
      </c>
      <c r="DM856" s="58">
        <f t="array" ref="DM856">SUM(IF(DI856:DJ856&gt;=DJ856, 1))</f>
        <v>1</v>
      </c>
      <c r="DO856" s="109">
        <f t="shared" si="342"/>
        <v>-12108539.397757649</v>
      </c>
      <c r="DP856" s="109">
        <f t="shared" si="343"/>
        <v>0</v>
      </c>
      <c r="DR856" s="58">
        <f t="array" ref="DR856">SUM(IF(DO856:DP856&gt;=DO856, 1))</f>
        <v>2</v>
      </c>
      <c r="DS856" s="58">
        <f t="array" ref="DS856">SUM(IF(DO856:DP856&gt;=DP856, 1))</f>
        <v>1</v>
      </c>
      <c r="DU856" s="109">
        <f t="shared" si="344"/>
        <v>-36207016.18770206</v>
      </c>
      <c r="DV856" s="109">
        <f t="shared" si="345"/>
        <v>0</v>
      </c>
      <c r="DX856" s="58">
        <f t="array" ref="DX856">SUM(IF(DU856:DV856&gt;=DU856, 1))</f>
        <v>2</v>
      </c>
      <c r="DY856" s="58">
        <f t="array" ref="DY856">SUM(IF(DU856:DV856&gt;=DV856, 1))</f>
        <v>1</v>
      </c>
      <c r="EA856" s="109">
        <f t="shared" si="346"/>
        <v>-154403183.95032316</v>
      </c>
      <c r="EB856" s="109">
        <f t="shared" si="347"/>
        <v>0</v>
      </c>
      <c r="ED856" s="58">
        <f t="array" ref="ED856">SUM(IF(EA856:EB856&gt;=EA856, 1))</f>
        <v>2</v>
      </c>
      <c r="EE856" s="58">
        <f t="array" ref="EE856">SUM(IF(EA856:EB856&gt;=EB856, 1))</f>
        <v>1</v>
      </c>
    </row>
    <row r="857" spans="4:135" ht="12" customHeight="1" x14ac:dyDescent="0.25">
      <c r="D857" s="11">
        <v>841</v>
      </c>
      <c r="E857" s="72">
        <v>229.10514007913059</v>
      </c>
      <c r="F857" s="72">
        <v>195.56438519515532</v>
      </c>
      <c r="G857" s="73"/>
      <c r="H857" s="74">
        <v>5.8561081854885391</v>
      </c>
      <c r="I857" s="74">
        <v>5.8735917320639306</v>
      </c>
      <c r="J857" s="73"/>
      <c r="K857" s="72">
        <v>245.18543065058083</v>
      </c>
      <c r="L857" s="72">
        <v>210.85100515484993</v>
      </c>
      <c r="M857" s="73"/>
      <c r="N857" s="74">
        <v>6.6942599996881675</v>
      </c>
      <c r="O857" s="74">
        <v>6.7090247308314455</v>
      </c>
      <c r="P857" s="73"/>
      <c r="Q857" s="72">
        <v>1919.5375356473205</v>
      </c>
      <c r="R857" s="72">
        <v>1290.8256707662163</v>
      </c>
      <c r="S857" s="73"/>
      <c r="T857" s="74">
        <v>4.9709309906042707</v>
      </c>
      <c r="U857" s="74">
        <v>5.0238334205641051</v>
      </c>
      <c r="V857" s="73"/>
      <c r="W857" s="72">
        <v>13834.55821916007</v>
      </c>
      <c r="X857" s="72">
        <v>13780.754566792544</v>
      </c>
      <c r="Y857" s="73"/>
      <c r="Z857" s="74">
        <v>2.9689884174664303</v>
      </c>
      <c r="AA857" s="74">
        <v>3.0070614427271671</v>
      </c>
      <c r="AB857" s="73"/>
      <c r="AC857" s="72">
        <v>50559.307641300271</v>
      </c>
      <c r="AD857" s="72">
        <v>49943.804868489016</v>
      </c>
      <c r="AE857" s="73"/>
      <c r="AF857" s="74">
        <v>4.5386585345137052</v>
      </c>
      <c r="AG857" s="74">
        <v>4.715726093695336</v>
      </c>
      <c r="AH857" s="73"/>
      <c r="AI857" s="72">
        <v>3644526.912950174</v>
      </c>
      <c r="AJ857" s="72">
        <v>0</v>
      </c>
      <c r="AK857" s="73"/>
      <c r="AL857" s="74">
        <v>-1899.7561697180333</v>
      </c>
      <c r="AM857" s="74">
        <v>0</v>
      </c>
      <c r="AN857" s="73"/>
      <c r="AO857" s="72">
        <v>244244.79779132825</v>
      </c>
      <c r="AP857" s="72">
        <v>0</v>
      </c>
      <c r="AQ857" s="73"/>
      <c r="AR857" s="74">
        <v>-105.0318658450142</v>
      </c>
      <c r="AS857" s="74">
        <v>0</v>
      </c>
      <c r="AT857" s="73"/>
      <c r="AU857" s="72">
        <v>14419072.815650241</v>
      </c>
      <c r="AV857" s="72">
        <v>0</v>
      </c>
      <c r="AW857" s="73"/>
      <c r="AX857" s="74">
        <v>-1213.2807289392306</v>
      </c>
      <c r="AY857" s="74">
        <v>0</v>
      </c>
      <c r="AZ857" s="73"/>
      <c r="BA857" s="72">
        <v>487937.37271499838</v>
      </c>
      <c r="BB857" s="72">
        <v>0</v>
      </c>
      <c r="BC857" s="73"/>
      <c r="BD857" s="74">
        <v>-345.27864001010573</v>
      </c>
      <c r="BE857" s="74">
        <v>0</v>
      </c>
      <c r="BF857" s="73"/>
      <c r="BG857" s="72">
        <v>9690049.7326420229</v>
      </c>
      <c r="BH857" s="72">
        <v>0</v>
      </c>
      <c r="BI857" s="73"/>
      <c r="BJ857" s="74">
        <v>-2787.6291225639857</v>
      </c>
      <c r="BK857" s="74">
        <v>0</v>
      </c>
      <c r="BL857" s="73"/>
      <c r="BM857" s="72">
        <v>28485831.631748766</v>
      </c>
      <c r="BN857" s="72">
        <v>0</v>
      </c>
      <c r="BO857" s="73"/>
      <c r="BP857" s="74">
        <v>-6350.9765270763692</v>
      </c>
      <c r="BQ857" s="74">
        <v>0</v>
      </c>
      <c r="BS857" s="109">
        <f t="shared" si="327"/>
        <v>116893.05856969165</v>
      </c>
      <c r="BT857" s="109">
        <f t="shared" si="328"/>
        <v>117276.27025608344</v>
      </c>
      <c r="BV857" s="58">
        <f t="array" ref="BV857">SUM(IF(BS857:BT857&gt;=BS857, 1))</f>
        <v>2</v>
      </c>
      <c r="BW857" s="58">
        <f t="array" ref="BW857">SUM(IF(BS857:BT857&gt;=BT857, 1))</f>
        <v>1</v>
      </c>
      <c r="BY857" s="109">
        <f t="shared" si="329"/>
        <v>133640.01456311278</v>
      </c>
      <c r="BZ857" s="109">
        <f t="shared" si="330"/>
        <v>133969.64361147408</v>
      </c>
      <c r="CB857" s="58">
        <f t="array" ref="CB857">SUM(IF(BY857:BZ857&gt;=BY857, 1))</f>
        <v>2</v>
      </c>
      <c r="CC857" s="58">
        <f t="array" ref="CC857">SUM(IF(BY857:BZ857&gt;=BZ857, 1))</f>
        <v>1</v>
      </c>
      <c r="CE857" s="109">
        <f t="shared" si="331"/>
        <v>97499.082276438086</v>
      </c>
      <c r="CF857" s="109">
        <f t="shared" si="332"/>
        <v>99185.842740515873</v>
      </c>
      <c r="CH857" s="58">
        <f t="array" ref="CH857">SUM(IF(CE857:CF857&gt;=CE857, 1))</f>
        <v>2</v>
      </c>
      <c r="CI857" s="58">
        <f t="array" ref="CI857">SUM(IF(CE857:CF857&gt;=CF857, 1))</f>
        <v>1</v>
      </c>
      <c r="CK857" s="109">
        <f t="shared" si="333"/>
        <v>45545.210130168532</v>
      </c>
      <c r="CL857" s="109">
        <f t="shared" si="334"/>
        <v>46360.474287750796</v>
      </c>
      <c r="CN857" s="58">
        <f t="array" ref="CN857">SUM(IF(CK857:CL857&gt;=CK857, 1))</f>
        <v>2</v>
      </c>
      <c r="CO857" s="58">
        <f t="array" ref="CO857">SUM(IF(CK857:CL857&gt;=CL857, 1))</f>
        <v>1</v>
      </c>
      <c r="CQ857" s="109" cm="1">
        <f t="array" ref="CQ857">AF857*WTP-AC857</f>
        <v>40213.863048973828</v>
      </c>
      <c r="CR857" s="109">
        <f t="shared" si="335"/>
        <v>44370.717005417704</v>
      </c>
      <c r="CT857" s="58">
        <f t="array" ref="CT857">SUM(IF(CQ857:CR857&gt;=CQ857, 1))</f>
        <v>2</v>
      </c>
      <c r="CU857" s="58">
        <f t="array" ref="CU857">SUM(IF(CQ857:CR857&gt;=CR857, 1))</f>
        <v>1</v>
      </c>
      <c r="CW857" s="109">
        <f t="shared" si="336"/>
        <v>-41639650.307310842</v>
      </c>
      <c r="CX857" s="109">
        <f t="shared" si="337"/>
        <v>0</v>
      </c>
      <c r="CZ857" s="58">
        <f t="array" ref="CZ857">SUM(IF(CW857:CX857&gt;=CW857, 1))</f>
        <v>2</v>
      </c>
      <c r="DA857" s="58">
        <f t="array" ref="DA857">SUM(IF(CW857:CX857&gt;=CX857, 1))</f>
        <v>1</v>
      </c>
      <c r="DC857" s="109">
        <f t="shared" si="338"/>
        <v>-2344882.1146916123</v>
      </c>
      <c r="DD857" s="109">
        <f t="shared" si="339"/>
        <v>0</v>
      </c>
      <c r="DF857" s="58">
        <f t="array" ref="DF857">SUM(IF(DC857:DD857&gt;=DC857, 1))</f>
        <v>2</v>
      </c>
      <c r="DG857" s="58">
        <f t="array" ref="DG857">SUM(IF(DC857:DD857&gt;=DD857, 1))</f>
        <v>1</v>
      </c>
      <c r="DI857" s="109">
        <f t="shared" si="340"/>
        <v>-38684687.394434854</v>
      </c>
      <c r="DJ857" s="109">
        <f t="shared" si="341"/>
        <v>0</v>
      </c>
      <c r="DL857" s="58">
        <f t="array" ref="DL857">SUM(IF(DI857:DJ857&gt;=DI857, 1))</f>
        <v>2</v>
      </c>
      <c r="DM857" s="58">
        <f t="array" ref="DM857">SUM(IF(DI857:DJ857&gt;=DJ857, 1))</f>
        <v>1</v>
      </c>
      <c r="DO857" s="109">
        <f t="shared" si="342"/>
        <v>-7393510.1729171127</v>
      </c>
      <c r="DP857" s="109">
        <f t="shared" si="343"/>
        <v>0</v>
      </c>
      <c r="DR857" s="58">
        <f t="array" ref="DR857">SUM(IF(DO857:DP857&gt;=DO857, 1))</f>
        <v>2</v>
      </c>
      <c r="DS857" s="58">
        <f t="array" ref="DS857">SUM(IF(DO857:DP857&gt;=DP857, 1))</f>
        <v>1</v>
      </c>
      <c r="DU857" s="109">
        <f t="shared" si="344"/>
        <v>-65442632.183921739</v>
      </c>
      <c r="DV857" s="109">
        <f t="shared" si="345"/>
        <v>0</v>
      </c>
      <c r="DX857" s="58">
        <f t="array" ref="DX857">SUM(IF(DU857:DV857&gt;=DU857, 1))</f>
        <v>2</v>
      </c>
      <c r="DY857" s="58">
        <f t="array" ref="DY857">SUM(IF(DU857:DV857&gt;=DV857, 1))</f>
        <v>1</v>
      </c>
      <c r="EA857" s="109">
        <f t="shared" si="346"/>
        <v>-155505362.17327616</v>
      </c>
      <c r="EB857" s="109">
        <f t="shared" si="347"/>
        <v>0</v>
      </c>
      <c r="ED857" s="58">
        <f t="array" ref="ED857">SUM(IF(EA857:EB857&gt;=EA857, 1))</f>
        <v>2</v>
      </c>
      <c r="EE857" s="58">
        <f t="array" ref="EE857">SUM(IF(EA857:EB857&gt;=EB857, 1))</f>
        <v>1</v>
      </c>
    </row>
    <row r="858" spans="4:135" ht="12" customHeight="1" x14ac:dyDescent="0.25">
      <c r="D858" s="11">
        <v>842</v>
      </c>
      <c r="E858" s="72">
        <v>288.54711983871147</v>
      </c>
      <c r="F858" s="72">
        <v>254.91371946278522</v>
      </c>
      <c r="G858" s="73"/>
      <c r="H858" s="74">
        <v>5.8712278151285995</v>
      </c>
      <c r="I858" s="74">
        <v>5.8884954300777892</v>
      </c>
      <c r="J858" s="73"/>
      <c r="K858" s="72">
        <v>309.20666765315474</v>
      </c>
      <c r="L858" s="72">
        <v>274.77596773393805</v>
      </c>
      <c r="M858" s="73"/>
      <c r="N858" s="74">
        <v>6.7074061640642828</v>
      </c>
      <c r="O858" s="74">
        <v>6.7225647593346558</v>
      </c>
      <c r="P858" s="73"/>
      <c r="Q858" s="72">
        <v>1792.4325579391723</v>
      </c>
      <c r="R858" s="72">
        <v>1097.1330179001209</v>
      </c>
      <c r="S858" s="73"/>
      <c r="T858" s="74">
        <v>5.0006747748297817</v>
      </c>
      <c r="U858" s="74">
        <v>5.070490878581265</v>
      </c>
      <c r="V858" s="73"/>
      <c r="W858" s="72">
        <v>11470.798610299325</v>
      </c>
      <c r="X858" s="72">
        <v>11507.253378644322</v>
      </c>
      <c r="Y858" s="73"/>
      <c r="Z858" s="74">
        <v>2.9554757603297799</v>
      </c>
      <c r="AA858" s="74">
        <v>3.013686215070905</v>
      </c>
      <c r="AB858" s="73"/>
      <c r="AC858" s="72">
        <v>50551.680264530281</v>
      </c>
      <c r="AD858" s="72">
        <v>49662.231935668409</v>
      </c>
      <c r="AE858" s="73"/>
      <c r="AF858" s="74">
        <v>4.1265933210459602</v>
      </c>
      <c r="AG858" s="74">
        <v>4.2873873486449217</v>
      </c>
      <c r="AH858" s="73"/>
      <c r="AI858" s="72">
        <v>3588400.0177977947</v>
      </c>
      <c r="AJ858" s="72">
        <v>0</v>
      </c>
      <c r="AK858" s="73"/>
      <c r="AL858" s="74">
        <v>-1842.3088090536671</v>
      </c>
      <c r="AM858" s="74">
        <v>0</v>
      </c>
      <c r="AN858" s="73"/>
      <c r="AO858" s="72">
        <v>233477.80431131093</v>
      </c>
      <c r="AP858" s="72">
        <v>0</v>
      </c>
      <c r="AQ858" s="73"/>
      <c r="AR858" s="74">
        <v>-102.79185577041351</v>
      </c>
      <c r="AS858" s="74">
        <v>0</v>
      </c>
      <c r="AT858" s="73"/>
      <c r="AU858" s="72">
        <v>16103952.224403808</v>
      </c>
      <c r="AV858" s="72">
        <v>0</v>
      </c>
      <c r="AW858" s="73"/>
      <c r="AX858" s="74">
        <v>-1617.0227859560489</v>
      </c>
      <c r="AY858" s="74">
        <v>0</v>
      </c>
      <c r="AZ858" s="73"/>
      <c r="BA858" s="72">
        <v>-320662.59409910202</v>
      </c>
      <c r="BB858" s="72">
        <v>0</v>
      </c>
      <c r="BC858" s="73"/>
      <c r="BD858" s="74">
        <v>-512.02946194388642</v>
      </c>
      <c r="BE858" s="74">
        <v>0</v>
      </c>
      <c r="BF858" s="73"/>
      <c r="BG858" s="72">
        <v>13920070.722701093</v>
      </c>
      <c r="BH858" s="72">
        <v>0</v>
      </c>
      <c r="BI858" s="73"/>
      <c r="BJ858" s="74">
        <v>-2516.4634789179399</v>
      </c>
      <c r="BK858" s="74">
        <v>0</v>
      </c>
      <c r="BL858" s="73"/>
      <c r="BM858" s="72">
        <v>33525238.175114907</v>
      </c>
      <c r="BN858" s="72">
        <v>0</v>
      </c>
      <c r="BO858" s="73"/>
      <c r="BP858" s="74">
        <v>-6590.6163916419555</v>
      </c>
      <c r="BQ858" s="74">
        <v>0</v>
      </c>
      <c r="BS858" s="109">
        <f t="shared" si="327"/>
        <v>117136.00918273328</v>
      </c>
      <c r="BT858" s="109">
        <f t="shared" si="328"/>
        <v>117514.994882093</v>
      </c>
      <c r="BV858" s="58">
        <f t="array" ref="BV858">SUM(IF(BS858:BT858&gt;=BS858, 1))</f>
        <v>2</v>
      </c>
      <c r="BW858" s="58">
        <f t="array" ref="BW858">SUM(IF(BS858:BT858&gt;=BT858, 1))</f>
        <v>1</v>
      </c>
      <c r="BY858" s="109">
        <f t="shared" si="329"/>
        <v>133838.91661363249</v>
      </c>
      <c r="BZ858" s="109">
        <f t="shared" si="330"/>
        <v>134176.51921895918</v>
      </c>
      <c r="CB858" s="58">
        <f t="array" ref="CB858">SUM(IF(BY858:BZ858&gt;=BY858, 1))</f>
        <v>2</v>
      </c>
      <c r="CC858" s="58">
        <f t="array" ref="CC858">SUM(IF(BY858:BZ858&gt;=BZ858, 1))</f>
        <v>1</v>
      </c>
      <c r="CE858" s="109">
        <f t="shared" si="331"/>
        <v>98221.062938656454</v>
      </c>
      <c r="CF858" s="109">
        <f t="shared" si="332"/>
        <v>100312.68455372518</v>
      </c>
      <c r="CH858" s="58">
        <f t="array" ref="CH858">SUM(IF(CE858:CF858&gt;=CE858, 1))</f>
        <v>2</v>
      </c>
      <c r="CI858" s="58">
        <f t="array" ref="CI858">SUM(IF(CE858:CF858&gt;=CF858, 1))</f>
        <v>1</v>
      </c>
      <c r="CK858" s="109">
        <f t="shared" si="333"/>
        <v>47638.716596296275</v>
      </c>
      <c r="CL858" s="109">
        <f t="shared" si="334"/>
        <v>48766.470922773777</v>
      </c>
      <c r="CN858" s="58">
        <f t="array" ref="CN858">SUM(IF(CK858:CL858&gt;=CK858, 1))</f>
        <v>2</v>
      </c>
      <c r="CO858" s="58">
        <f t="array" ref="CO858">SUM(IF(CK858:CL858&gt;=CL858, 1))</f>
        <v>1</v>
      </c>
      <c r="CQ858" s="109" cm="1">
        <f t="array" ref="CQ858">AF858*WTP-AC858</f>
        <v>31980.186156388925</v>
      </c>
      <c r="CR858" s="109">
        <f t="shared" si="335"/>
        <v>36085.51503723002</v>
      </c>
      <c r="CT858" s="58">
        <f t="array" ref="CT858">SUM(IF(CQ858:CR858&gt;=CQ858, 1))</f>
        <v>2</v>
      </c>
      <c r="CU858" s="58">
        <f t="array" ref="CU858">SUM(IF(CQ858:CR858&gt;=CR858, 1))</f>
        <v>1</v>
      </c>
      <c r="CW858" s="109">
        <f t="shared" si="336"/>
        <v>-40434576.198871143</v>
      </c>
      <c r="CX858" s="109">
        <f t="shared" si="337"/>
        <v>0</v>
      </c>
      <c r="CZ858" s="58">
        <f t="array" ref="CZ858">SUM(IF(CW858:CX858&gt;=CW858, 1))</f>
        <v>2</v>
      </c>
      <c r="DA858" s="58">
        <f t="array" ref="DA858">SUM(IF(CW858:CX858&gt;=CX858, 1))</f>
        <v>1</v>
      </c>
      <c r="DC858" s="109">
        <f t="shared" si="338"/>
        <v>-2289314.919719581</v>
      </c>
      <c r="DD858" s="109">
        <f t="shared" si="339"/>
        <v>0</v>
      </c>
      <c r="DF858" s="58">
        <f t="array" ref="DF858">SUM(IF(DC858:DD858&gt;=DC858, 1))</f>
        <v>2</v>
      </c>
      <c r="DG858" s="58">
        <f t="array" ref="DG858">SUM(IF(DC858:DD858&gt;=DD858, 1))</f>
        <v>1</v>
      </c>
      <c r="DI858" s="109">
        <f t="shared" si="340"/>
        <v>-48444407.943524785</v>
      </c>
      <c r="DJ858" s="109">
        <f t="shared" si="341"/>
        <v>0</v>
      </c>
      <c r="DL858" s="58">
        <f t="array" ref="DL858">SUM(IF(DI858:DJ858&gt;=DI858, 1))</f>
        <v>2</v>
      </c>
      <c r="DM858" s="58">
        <f t="array" ref="DM858">SUM(IF(DI858:DJ858&gt;=DJ858, 1))</f>
        <v>1</v>
      </c>
      <c r="DO858" s="109">
        <f t="shared" si="342"/>
        <v>-9919926.644778626</v>
      </c>
      <c r="DP858" s="109">
        <f t="shared" si="343"/>
        <v>0</v>
      </c>
      <c r="DR858" s="58">
        <f t="array" ref="DR858">SUM(IF(DO858:DP858&gt;=DO858, 1))</f>
        <v>2</v>
      </c>
      <c r="DS858" s="58">
        <f t="array" ref="DS858">SUM(IF(DO858:DP858&gt;=DP858, 1))</f>
        <v>1</v>
      </c>
      <c r="DU858" s="109">
        <f t="shared" si="344"/>
        <v>-64249340.301059894</v>
      </c>
      <c r="DV858" s="109">
        <f t="shared" si="345"/>
        <v>0</v>
      </c>
      <c r="DX858" s="58">
        <f t="array" ref="DX858">SUM(IF(DU858:DV858&gt;=DU858, 1))</f>
        <v>2</v>
      </c>
      <c r="DY858" s="58">
        <f t="array" ref="DY858">SUM(IF(DU858:DV858&gt;=DV858, 1))</f>
        <v>1</v>
      </c>
      <c r="EA858" s="109">
        <f t="shared" si="346"/>
        <v>-165337566.00795403</v>
      </c>
      <c r="EB858" s="109">
        <f t="shared" si="347"/>
        <v>0</v>
      </c>
      <c r="ED858" s="58">
        <f t="array" ref="ED858">SUM(IF(EA858:EB858&gt;=EA858, 1))</f>
        <v>2</v>
      </c>
      <c r="EE858" s="58">
        <f t="array" ref="EE858">SUM(IF(EA858:EB858&gt;=EB858, 1))</f>
        <v>1</v>
      </c>
    </row>
    <row r="859" spans="4:135" ht="12" customHeight="1" x14ac:dyDescent="0.25">
      <c r="D859" s="11">
        <v>843</v>
      </c>
      <c r="E859" s="72">
        <v>234.51319263186255</v>
      </c>
      <c r="F859" s="72">
        <v>215.15842080945831</v>
      </c>
      <c r="G859" s="73"/>
      <c r="H859" s="74">
        <v>5.8534820895271453</v>
      </c>
      <c r="I859" s="74">
        <v>5.8690621782335937</v>
      </c>
      <c r="J859" s="73"/>
      <c r="K859" s="72">
        <v>251.81150107528038</v>
      </c>
      <c r="L859" s="72">
        <v>231.98976451889177</v>
      </c>
      <c r="M859" s="73"/>
      <c r="N859" s="74">
        <v>6.6855976264215871</v>
      </c>
      <c r="O859" s="74">
        <v>6.6988284578489345</v>
      </c>
      <c r="P859" s="73"/>
      <c r="Q859" s="72">
        <v>3545.1009628679572</v>
      </c>
      <c r="R859" s="72">
        <v>1959.2935452982192</v>
      </c>
      <c r="S859" s="73"/>
      <c r="T859" s="74">
        <v>4.9174584808945294</v>
      </c>
      <c r="U859" s="74">
        <v>5.00135020273565</v>
      </c>
      <c r="V859" s="73"/>
      <c r="W859" s="72">
        <v>11633.199202810138</v>
      </c>
      <c r="X859" s="72">
        <v>11633.178633570264</v>
      </c>
      <c r="Y859" s="73"/>
      <c r="Z859" s="74">
        <v>2.990699368936895</v>
      </c>
      <c r="AA859" s="74">
        <v>3.0419030952647375</v>
      </c>
      <c r="AB859" s="73"/>
      <c r="AC859" s="72">
        <v>50235.917126295128</v>
      </c>
      <c r="AD859" s="72">
        <v>49985.213977416672</v>
      </c>
      <c r="AE859" s="73"/>
      <c r="AF859" s="74">
        <v>4.7903721342771535</v>
      </c>
      <c r="AG859" s="74">
        <v>4.9147291365252057</v>
      </c>
      <c r="AH859" s="73"/>
      <c r="AI859" s="72">
        <v>2080865.4435149378</v>
      </c>
      <c r="AJ859" s="72">
        <v>0</v>
      </c>
      <c r="AK859" s="73"/>
      <c r="AL859" s="74">
        <v>-1675.0426454843359</v>
      </c>
      <c r="AM859" s="74">
        <v>0</v>
      </c>
      <c r="AN859" s="73"/>
      <c r="AO859" s="72">
        <v>130832.8955717794</v>
      </c>
      <c r="AP859" s="72">
        <v>0</v>
      </c>
      <c r="AQ859" s="73"/>
      <c r="AR859" s="74">
        <v>-87.329784730897146</v>
      </c>
      <c r="AS859" s="74">
        <v>0</v>
      </c>
      <c r="AT859" s="73"/>
      <c r="AU859" s="72">
        <v>37401167.786966585</v>
      </c>
      <c r="AV859" s="72">
        <v>0</v>
      </c>
      <c r="AW859" s="73"/>
      <c r="AX859" s="74">
        <v>-1978.5809611899476</v>
      </c>
      <c r="AY859" s="74">
        <v>0</v>
      </c>
      <c r="AZ859" s="73"/>
      <c r="BA859" s="72">
        <v>180.04370299482161</v>
      </c>
      <c r="BB859" s="72">
        <v>0</v>
      </c>
      <c r="BC859" s="73"/>
      <c r="BD859" s="74">
        <v>-448.18907026514023</v>
      </c>
      <c r="BE859" s="74">
        <v>0</v>
      </c>
      <c r="BF859" s="73"/>
      <c r="BG859" s="72">
        <v>3961737.5747433095</v>
      </c>
      <c r="BH859" s="72">
        <v>0</v>
      </c>
      <c r="BI859" s="73"/>
      <c r="BJ859" s="74">
        <v>-1965.152056097226</v>
      </c>
      <c r="BK859" s="74">
        <v>0</v>
      </c>
      <c r="BL859" s="73"/>
      <c r="BM859" s="72">
        <v>43574783.744499609</v>
      </c>
      <c r="BN859" s="72">
        <v>0</v>
      </c>
      <c r="BO859" s="73"/>
      <c r="BP859" s="74">
        <v>-6154.2945177675465</v>
      </c>
      <c r="BQ859" s="74">
        <v>0</v>
      </c>
      <c r="BS859" s="109">
        <f t="shared" si="327"/>
        <v>116835.12859791105</v>
      </c>
      <c r="BT859" s="109">
        <f t="shared" si="328"/>
        <v>117166.08514386242</v>
      </c>
      <c r="BV859" s="58">
        <f t="array" ref="BV859">SUM(IF(BS859:BT859&gt;=BS859, 1))</f>
        <v>2</v>
      </c>
      <c r="BW859" s="58">
        <f t="array" ref="BW859">SUM(IF(BS859:BT859&gt;=BT859, 1))</f>
        <v>1</v>
      </c>
      <c r="BY859" s="109">
        <f t="shared" si="329"/>
        <v>133460.14102735647</v>
      </c>
      <c r="BZ859" s="109">
        <f t="shared" si="330"/>
        <v>133744.5793924598</v>
      </c>
      <c r="CB859" s="58">
        <f t="array" ref="CB859">SUM(IF(BY859:BZ859&gt;=BY859, 1))</f>
        <v>2</v>
      </c>
      <c r="CC859" s="58">
        <f t="array" ref="CC859">SUM(IF(BY859:BZ859&gt;=BZ859, 1))</f>
        <v>1</v>
      </c>
      <c r="CE859" s="109">
        <f t="shared" si="331"/>
        <v>94804.068655022624</v>
      </c>
      <c r="CF859" s="109">
        <f t="shared" si="332"/>
        <v>98067.710509414785</v>
      </c>
      <c r="CH859" s="58">
        <f t="array" ref="CH859">SUM(IF(CE859:CF859&gt;=CE859, 1))</f>
        <v>2</v>
      </c>
      <c r="CI859" s="58">
        <f t="array" ref="CI859">SUM(IF(CE859:CF859&gt;=CF859, 1))</f>
        <v>1</v>
      </c>
      <c r="CK859" s="109">
        <f t="shared" si="333"/>
        <v>48180.788175927766</v>
      </c>
      <c r="CL859" s="109">
        <f t="shared" si="334"/>
        <v>49204.883271724488</v>
      </c>
      <c r="CN859" s="58">
        <f t="array" ref="CN859">SUM(IF(CK859:CL859&gt;=CK859, 1))</f>
        <v>2</v>
      </c>
      <c r="CO859" s="58">
        <f t="array" ref="CO859">SUM(IF(CK859:CL859&gt;=CL859, 1))</f>
        <v>1</v>
      </c>
      <c r="CQ859" s="109" cm="1">
        <f t="array" ref="CQ859">AF859*WTP-AC859</f>
        <v>45571.525559247937</v>
      </c>
      <c r="CR859" s="109">
        <f t="shared" si="335"/>
        <v>48309.368753087445</v>
      </c>
      <c r="CT859" s="58">
        <f t="array" ref="CT859">SUM(IF(CQ859:CR859&gt;=CQ859, 1))</f>
        <v>2</v>
      </c>
      <c r="CU859" s="58">
        <f t="array" ref="CU859">SUM(IF(CQ859:CR859&gt;=CR859, 1))</f>
        <v>1</v>
      </c>
      <c r="CW859" s="109">
        <f t="shared" si="336"/>
        <v>-35581718.353201658</v>
      </c>
      <c r="CX859" s="109">
        <f t="shared" si="337"/>
        <v>0</v>
      </c>
      <c r="CZ859" s="58">
        <f t="array" ref="CZ859">SUM(IF(CW859:CX859&gt;=CW859, 1))</f>
        <v>2</v>
      </c>
      <c r="DA859" s="58">
        <f t="array" ref="DA859">SUM(IF(CW859:CX859&gt;=CX859, 1))</f>
        <v>1</v>
      </c>
      <c r="DC859" s="109">
        <f t="shared" si="338"/>
        <v>-1877428.5901897224</v>
      </c>
      <c r="DD859" s="109">
        <f t="shared" si="339"/>
        <v>0</v>
      </c>
      <c r="DF859" s="58">
        <f t="array" ref="DF859">SUM(IF(DC859:DD859&gt;=DC859, 1))</f>
        <v>2</v>
      </c>
      <c r="DG859" s="58">
        <f t="array" ref="DG859">SUM(IF(DC859:DD859&gt;=DD859, 1))</f>
        <v>1</v>
      </c>
      <c r="DI859" s="109">
        <f t="shared" si="340"/>
        <v>-76972787.010765538</v>
      </c>
      <c r="DJ859" s="109">
        <f t="shared" si="341"/>
        <v>0</v>
      </c>
      <c r="DL859" s="58">
        <f t="array" ref="DL859">SUM(IF(DI859:DJ859&gt;=DI859, 1))</f>
        <v>2</v>
      </c>
      <c r="DM859" s="58">
        <f t="array" ref="DM859">SUM(IF(DI859:DJ859&gt;=DJ859, 1))</f>
        <v>1</v>
      </c>
      <c r="DO859" s="109">
        <f t="shared" si="342"/>
        <v>-8963961.4490057994</v>
      </c>
      <c r="DP859" s="109">
        <f t="shared" si="343"/>
        <v>0</v>
      </c>
      <c r="DR859" s="58">
        <f t="array" ref="DR859">SUM(IF(DO859:DP859&gt;=DO859, 1))</f>
        <v>2</v>
      </c>
      <c r="DS859" s="58">
        <f t="array" ref="DS859">SUM(IF(DO859:DP859&gt;=DP859, 1))</f>
        <v>1</v>
      </c>
      <c r="DU859" s="109">
        <f t="shared" si="344"/>
        <v>-43264778.696687825</v>
      </c>
      <c r="DV859" s="109">
        <f t="shared" si="345"/>
        <v>0</v>
      </c>
      <c r="DX859" s="58">
        <f t="array" ref="DX859">SUM(IF(DU859:DV859&gt;=DU859, 1))</f>
        <v>2</v>
      </c>
      <c r="DY859" s="58">
        <f t="array" ref="DY859">SUM(IF(DU859:DV859&gt;=DV859, 1))</f>
        <v>1</v>
      </c>
      <c r="EA859" s="109">
        <f t="shared" si="346"/>
        <v>-166660674.09985054</v>
      </c>
      <c r="EB859" s="109">
        <f t="shared" si="347"/>
        <v>0</v>
      </c>
      <c r="ED859" s="58">
        <f t="array" ref="ED859">SUM(IF(EA859:EB859&gt;=EA859, 1))</f>
        <v>2</v>
      </c>
      <c r="EE859" s="58">
        <f t="array" ref="EE859">SUM(IF(EA859:EB859&gt;=EB859, 1))</f>
        <v>1</v>
      </c>
    </row>
    <row r="860" spans="4:135" ht="12" customHeight="1" x14ac:dyDescent="0.25">
      <c r="D860" s="11">
        <v>844</v>
      </c>
      <c r="E860" s="72">
        <v>243.95876917378115</v>
      </c>
      <c r="F860" s="72">
        <v>218.38902192895196</v>
      </c>
      <c r="G860" s="73"/>
      <c r="H860" s="74">
        <v>5.8643158905089052</v>
      </c>
      <c r="I860" s="74">
        <v>5.879505664570174</v>
      </c>
      <c r="J860" s="73"/>
      <c r="K860" s="72">
        <v>261.66117170951344</v>
      </c>
      <c r="L860" s="72">
        <v>235.48501845685692</v>
      </c>
      <c r="M860" s="73"/>
      <c r="N860" s="74">
        <v>6.6141196913971516</v>
      </c>
      <c r="O860" s="74">
        <v>6.6271028140104589</v>
      </c>
      <c r="P860" s="73"/>
      <c r="Q860" s="72">
        <v>1938.487939022102</v>
      </c>
      <c r="R860" s="72">
        <v>1100.8020055959132</v>
      </c>
      <c r="S860" s="73"/>
      <c r="T860" s="74">
        <v>4.6739969168241693</v>
      </c>
      <c r="U860" s="74">
        <v>4.7519425544621079</v>
      </c>
      <c r="V860" s="73"/>
      <c r="W860" s="72">
        <v>15304.725908765951</v>
      </c>
      <c r="X860" s="72">
        <v>15317.364062583476</v>
      </c>
      <c r="Y860" s="73"/>
      <c r="Z860" s="74">
        <v>2.8213491566209363</v>
      </c>
      <c r="AA860" s="74">
        <v>2.8805132616933129</v>
      </c>
      <c r="AB860" s="73"/>
      <c r="AC860" s="72">
        <v>51148.155081290723</v>
      </c>
      <c r="AD860" s="72">
        <v>50511.659957283235</v>
      </c>
      <c r="AE860" s="73"/>
      <c r="AF860" s="74">
        <v>4.9699126839576087</v>
      </c>
      <c r="AG860" s="74">
        <v>5.1503120774798559</v>
      </c>
      <c r="AH860" s="73"/>
      <c r="AI860" s="72">
        <v>2750767.5944451359</v>
      </c>
      <c r="AJ860" s="72">
        <v>0</v>
      </c>
      <c r="AK860" s="73"/>
      <c r="AL860" s="74">
        <v>-1634.1005585470152</v>
      </c>
      <c r="AM860" s="74">
        <v>0</v>
      </c>
      <c r="AN860" s="73"/>
      <c r="AO860" s="72">
        <v>177574.550178139</v>
      </c>
      <c r="AP860" s="72">
        <v>0</v>
      </c>
      <c r="AQ860" s="73"/>
      <c r="AR860" s="74">
        <v>-88.075285001308828</v>
      </c>
      <c r="AS860" s="74">
        <v>0</v>
      </c>
      <c r="AT860" s="73"/>
      <c r="AU860" s="72">
        <v>19845586.44974922</v>
      </c>
      <c r="AV860" s="72">
        <v>0</v>
      </c>
      <c r="AW860" s="73"/>
      <c r="AX860" s="74">
        <v>-1846.6072168571727</v>
      </c>
      <c r="AY860" s="74">
        <v>0</v>
      </c>
      <c r="AZ860" s="73"/>
      <c r="BA860" s="72">
        <v>-111466.19345689089</v>
      </c>
      <c r="BB860" s="72">
        <v>0</v>
      </c>
      <c r="BC860" s="73"/>
      <c r="BD860" s="74">
        <v>-521.81653087310053</v>
      </c>
      <c r="BE860" s="74">
        <v>0</v>
      </c>
      <c r="BF860" s="73"/>
      <c r="BG860" s="72">
        <v>9820549.4575372394</v>
      </c>
      <c r="BH860" s="72">
        <v>0</v>
      </c>
      <c r="BI860" s="73"/>
      <c r="BJ860" s="74">
        <v>-2783.4010024153931</v>
      </c>
      <c r="BK860" s="74">
        <v>0</v>
      </c>
      <c r="BL860" s="73"/>
      <c r="BM860" s="72">
        <v>32483011.858452842</v>
      </c>
      <c r="BN860" s="72">
        <v>0</v>
      </c>
      <c r="BO860" s="73"/>
      <c r="BP860" s="74">
        <v>-6874.0005936939906</v>
      </c>
      <c r="BQ860" s="74">
        <v>0</v>
      </c>
      <c r="BS860" s="109">
        <f t="shared" si="327"/>
        <v>117042.35904100433</v>
      </c>
      <c r="BT860" s="109">
        <f t="shared" si="328"/>
        <v>117371.72426947454</v>
      </c>
      <c r="BV860" s="58">
        <f t="array" ref="BV860">SUM(IF(BS860:BT860&gt;=BS860, 1))</f>
        <v>2</v>
      </c>
      <c r="BW860" s="58">
        <f t="array" ref="BW860">SUM(IF(BS860:BT860&gt;=BT860, 1))</f>
        <v>1</v>
      </c>
      <c r="BY860" s="109">
        <f t="shared" si="329"/>
        <v>132020.73265623354</v>
      </c>
      <c r="BZ860" s="109">
        <f t="shared" si="330"/>
        <v>132306.57126175234</v>
      </c>
      <c r="CB860" s="58">
        <f t="array" ref="CB860">SUM(IF(BY860:BZ860&gt;=BY860, 1))</f>
        <v>2</v>
      </c>
      <c r="CC860" s="58">
        <f t="array" ref="CC860">SUM(IF(BY860:BZ860&gt;=BZ860, 1))</f>
        <v>1</v>
      </c>
      <c r="CE860" s="109">
        <f t="shared" si="331"/>
        <v>91541.450397461289</v>
      </c>
      <c r="CF860" s="109">
        <f t="shared" si="332"/>
        <v>93938.049083646241</v>
      </c>
      <c r="CH860" s="58">
        <f t="array" ref="CH860">SUM(IF(CE860:CF860&gt;=CE860, 1))</f>
        <v>2</v>
      </c>
      <c r="CI860" s="58">
        <f t="array" ref="CI860">SUM(IF(CE860:CF860&gt;=CF860, 1))</f>
        <v>1</v>
      </c>
      <c r="CK860" s="109">
        <f t="shared" si="333"/>
        <v>41122.257223652778</v>
      </c>
      <c r="CL860" s="109">
        <f t="shared" si="334"/>
        <v>42292.901171282785</v>
      </c>
      <c r="CN860" s="58">
        <f t="array" ref="CN860">SUM(IF(CK860:CL860&gt;=CK860, 1))</f>
        <v>2</v>
      </c>
      <c r="CO860" s="58">
        <f t="array" ref="CO860">SUM(IF(CK860:CL860&gt;=CL860, 1))</f>
        <v>1</v>
      </c>
      <c r="CQ860" s="109" cm="1">
        <f t="array" ref="CQ860">AF860*WTP-AC860</f>
        <v>48250.098597861448</v>
      </c>
      <c r="CR860" s="109">
        <f t="shared" si="335"/>
        <v>52494.581592313887</v>
      </c>
      <c r="CT860" s="58">
        <f t="array" ref="CT860">SUM(IF(CQ860:CR860&gt;=CQ860, 1))</f>
        <v>2</v>
      </c>
      <c r="CU860" s="58">
        <f t="array" ref="CU860">SUM(IF(CQ860:CR860&gt;=CR860, 1))</f>
        <v>1</v>
      </c>
      <c r="CW860" s="109">
        <f t="shared" si="336"/>
        <v>-35432778.765385441</v>
      </c>
      <c r="CX860" s="109">
        <f t="shared" si="337"/>
        <v>0</v>
      </c>
      <c r="CZ860" s="58">
        <f t="array" ref="CZ860">SUM(IF(CW860:CX860&gt;=CW860, 1))</f>
        <v>2</v>
      </c>
      <c r="DA860" s="58">
        <f t="array" ref="DA860">SUM(IF(CW860:CX860&gt;=CX860, 1))</f>
        <v>1</v>
      </c>
      <c r="DC860" s="109">
        <f t="shared" si="338"/>
        <v>-1939080.2502043156</v>
      </c>
      <c r="DD860" s="109">
        <f t="shared" si="339"/>
        <v>0</v>
      </c>
      <c r="DF860" s="58">
        <f t="array" ref="DF860">SUM(IF(DC860:DD860&gt;=DC860, 1))</f>
        <v>2</v>
      </c>
      <c r="DG860" s="58">
        <f t="array" ref="DG860">SUM(IF(DC860:DD860&gt;=DD860, 1))</f>
        <v>1</v>
      </c>
      <c r="DI860" s="109">
        <f t="shared" si="340"/>
        <v>-56777730.786892667</v>
      </c>
      <c r="DJ860" s="109">
        <f t="shared" si="341"/>
        <v>0</v>
      </c>
      <c r="DL860" s="58">
        <f t="array" ref="DL860">SUM(IF(DI860:DJ860&gt;=DI860, 1))</f>
        <v>2</v>
      </c>
      <c r="DM860" s="58">
        <f t="array" ref="DM860">SUM(IF(DI860:DJ860&gt;=DJ860, 1))</f>
        <v>1</v>
      </c>
      <c r="DO860" s="109">
        <f t="shared" si="342"/>
        <v>-10324864.424005121</v>
      </c>
      <c r="DP860" s="109">
        <f t="shared" si="343"/>
        <v>0</v>
      </c>
      <c r="DR860" s="58">
        <f t="array" ref="DR860">SUM(IF(DO860:DP860&gt;=DO860, 1))</f>
        <v>2</v>
      </c>
      <c r="DS860" s="58">
        <f t="array" ref="DS860">SUM(IF(DO860:DP860&gt;=DP860, 1))</f>
        <v>1</v>
      </c>
      <c r="DU860" s="109">
        <f t="shared" si="344"/>
        <v>-65488569.505845107</v>
      </c>
      <c r="DV860" s="109">
        <f t="shared" si="345"/>
        <v>0</v>
      </c>
      <c r="DX860" s="58">
        <f t="array" ref="DX860">SUM(IF(DU860:DV860&gt;=DU860, 1))</f>
        <v>2</v>
      </c>
      <c r="DY860" s="58">
        <f t="array" ref="DY860">SUM(IF(DU860:DV860&gt;=DV860, 1))</f>
        <v>1</v>
      </c>
      <c r="EA860" s="109">
        <f t="shared" si="346"/>
        <v>-169963023.73233265</v>
      </c>
      <c r="EB860" s="109">
        <f t="shared" si="347"/>
        <v>0</v>
      </c>
      <c r="ED860" s="58">
        <f t="array" ref="ED860">SUM(IF(EA860:EB860&gt;=EA860, 1))</f>
        <v>2</v>
      </c>
      <c r="EE860" s="58">
        <f t="array" ref="EE860">SUM(IF(EA860:EB860&gt;=EB860, 1))</f>
        <v>1</v>
      </c>
    </row>
    <row r="861" spans="4:135" ht="12" customHeight="1" x14ac:dyDescent="0.25">
      <c r="D861" s="11">
        <v>845</v>
      </c>
      <c r="E861" s="72">
        <v>243.08753979466496</v>
      </c>
      <c r="F861" s="72">
        <v>219.5178443552245</v>
      </c>
      <c r="G861" s="73"/>
      <c r="H861" s="74">
        <v>5.8211457361385399</v>
      </c>
      <c r="I861" s="74">
        <v>5.8383495798062457</v>
      </c>
      <c r="J861" s="73"/>
      <c r="K861" s="72">
        <v>260.83104226581645</v>
      </c>
      <c r="L861" s="72">
        <v>236.69422492331316</v>
      </c>
      <c r="M861" s="73"/>
      <c r="N861" s="74">
        <v>6.6928968989241175</v>
      </c>
      <c r="O861" s="74">
        <v>6.7076657600636542</v>
      </c>
      <c r="P861" s="73"/>
      <c r="Q861" s="72">
        <v>2194.5452289559048</v>
      </c>
      <c r="R861" s="72">
        <v>1414.2458803574741</v>
      </c>
      <c r="S861" s="73"/>
      <c r="T861" s="74">
        <v>4.8979546452851039</v>
      </c>
      <c r="U861" s="74">
        <v>4.9748613962196782</v>
      </c>
      <c r="V861" s="73"/>
      <c r="W861" s="72">
        <v>10579.149708567211</v>
      </c>
      <c r="X861" s="72">
        <v>10583.645382348162</v>
      </c>
      <c r="Y861" s="73"/>
      <c r="Z861" s="74">
        <v>2.9363574325677737</v>
      </c>
      <c r="AA861" s="74">
        <v>2.9825032091776253</v>
      </c>
      <c r="AB861" s="73"/>
      <c r="AC861" s="72">
        <v>49423.60539576786</v>
      </c>
      <c r="AD861" s="72">
        <v>49420.348511858312</v>
      </c>
      <c r="AE861" s="73"/>
      <c r="AF861" s="74">
        <v>4.9413315830360052</v>
      </c>
      <c r="AG861" s="74">
        <v>5.0883988232627972</v>
      </c>
      <c r="AH861" s="73"/>
      <c r="AI861" s="72">
        <v>2575573.0511996727</v>
      </c>
      <c r="AJ861" s="72">
        <v>0</v>
      </c>
      <c r="AK861" s="73"/>
      <c r="AL861" s="74">
        <v>-1879.9460621561188</v>
      </c>
      <c r="AM861" s="74">
        <v>0</v>
      </c>
      <c r="AN861" s="73"/>
      <c r="AO861" s="72">
        <v>164562.76348167294</v>
      </c>
      <c r="AP861" s="72">
        <v>0</v>
      </c>
      <c r="AQ861" s="73"/>
      <c r="AR861" s="74">
        <v>-100.69283651243731</v>
      </c>
      <c r="AS861" s="74">
        <v>0</v>
      </c>
      <c r="AT861" s="73"/>
      <c r="AU861" s="72">
        <v>18494962.188383631</v>
      </c>
      <c r="AV861" s="72">
        <v>0</v>
      </c>
      <c r="AW861" s="73"/>
      <c r="AX861" s="74">
        <v>-1822.8740714973965</v>
      </c>
      <c r="AY861" s="74">
        <v>0</v>
      </c>
      <c r="AZ861" s="73"/>
      <c r="BA861" s="72">
        <v>-38661.591873805599</v>
      </c>
      <c r="BB861" s="72">
        <v>0</v>
      </c>
      <c r="BC861" s="73"/>
      <c r="BD861" s="74">
        <v>-396.84133433993213</v>
      </c>
      <c r="BE861" s="74">
        <v>0</v>
      </c>
      <c r="BF861" s="73"/>
      <c r="BG861" s="72">
        <v>52273.021262156049</v>
      </c>
      <c r="BH861" s="72">
        <v>0</v>
      </c>
      <c r="BI861" s="73"/>
      <c r="BJ861" s="74">
        <v>-2360.4307641440873</v>
      </c>
      <c r="BK861" s="74">
        <v>0</v>
      </c>
      <c r="BL861" s="73"/>
      <c r="BM861" s="72">
        <v>21248709.432453327</v>
      </c>
      <c r="BN861" s="72">
        <v>0</v>
      </c>
      <c r="BO861" s="73"/>
      <c r="BP861" s="74">
        <v>-6560.7850686499723</v>
      </c>
      <c r="BQ861" s="74">
        <v>0</v>
      </c>
      <c r="BS861" s="109">
        <f t="shared" si="327"/>
        <v>116179.82718297614</v>
      </c>
      <c r="BT861" s="109">
        <f t="shared" si="328"/>
        <v>116547.47375176969</v>
      </c>
      <c r="BV861" s="58">
        <f t="array" ref="BV861">SUM(IF(BS861:BT861&gt;=BS861, 1))</f>
        <v>2</v>
      </c>
      <c r="BW861" s="58">
        <f t="array" ref="BW861">SUM(IF(BS861:BT861&gt;=BT861, 1))</f>
        <v>1</v>
      </c>
      <c r="BY861" s="109">
        <f t="shared" si="329"/>
        <v>133597.10693621653</v>
      </c>
      <c r="BZ861" s="109">
        <f t="shared" si="330"/>
        <v>133916.62097634975</v>
      </c>
      <c r="CB861" s="58">
        <f t="array" ref="CB861">SUM(IF(BY861:BZ861&gt;=BY861, 1))</f>
        <v>2</v>
      </c>
      <c r="CC861" s="58">
        <f t="array" ref="CC861">SUM(IF(BY861:BZ861&gt;=BZ861, 1))</f>
        <v>1</v>
      </c>
      <c r="CE861" s="109">
        <f t="shared" si="331"/>
        <v>95764.547676746181</v>
      </c>
      <c r="CF861" s="109">
        <f t="shared" si="332"/>
        <v>98082.982044036093</v>
      </c>
      <c r="CH861" s="58">
        <f t="array" ref="CH861">SUM(IF(CE861:CF861&gt;=CE861, 1))</f>
        <v>2</v>
      </c>
      <c r="CI861" s="58">
        <f t="array" ref="CI861">SUM(IF(CE861:CF861&gt;=CF861, 1))</f>
        <v>1</v>
      </c>
      <c r="CK861" s="109">
        <f t="shared" si="333"/>
        <v>48147.998942788268</v>
      </c>
      <c r="CL861" s="109">
        <f t="shared" si="334"/>
        <v>49066.418801204345</v>
      </c>
      <c r="CN861" s="58">
        <f t="array" ref="CN861">SUM(IF(CK861:CL861&gt;=CK861, 1))</f>
        <v>2</v>
      </c>
      <c r="CO861" s="58">
        <f t="array" ref="CO861">SUM(IF(CK861:CL861&gt;=CL861, 1))</f>
        <v>1</v>
      </c>
      <c r="CQ861" s="109" cm="1">
        <f t="array" ref="CQ861">AF861*WTP-AC861</f>
        <v>49403.026264952241</v>
      </c>
      <c r="CR861" s="109">
        <f t="shared" si="335"/>
        <v>52347.627953397627</v>
      </c>
      <c r="CT861" s="58">
        <f t="array" ref="CT861">SUM(IF(CQ861:CR861&gt;=CQ861, 1))</f>
        <v>2</v>
      </c>
      <c r="CU861" s="58">
        <f t="array" ref="CU861">SUM(IF(CQ861:CR861&gt;=CR861, 1))</f>
        <v>1</v>
      </c>
      <c r="CW861" s="109">
        <f t="shared" si="336"/>
        <v>-40174494.294322051</v>
      </c>
      <c r="CX861" s="109">
        <f t="shared" si="337"/>
        <v>0</v>
      </c>
      <c r="CZ861" s="58">
        <f t="array" ref="CZ861">SUM(IF(CW861:CX861&gt;=CW861, 1))</f>
        <v>2</v>
      </c>
      <c r="DA861" s="58">
        <f t="array" ref="DA861">SUM(IF(CW861:CX861&gt;=CX861, 1))</f>
        <v>1</v>
      </c>
      <c r="DC861" s="109">
        <f t="shared" si="338"/>
        <v>-2178419.4937304193</v>
      </c>
      <c r="DD861" s="109">
        <f t="shared" si="339"/>
        <v>0</v>
      </c>
      <c r="DF861" s="58">
        <f t="array" ref="DF861">SUM(IF(DC861:DD861&gt;=DC861, 1))</f>
        <v>2</v>
      </c>
      <c r="DG861" s="58">
        <f t="array" ref="DG861">SUM(IF(DC861:DD861&gt;=DD861, 1))</f>
        <v>1</v>
      </c>
      <c r="DI861" s="109">
        <f t="shared" si="340"/>
        <v>-54952443.618331559</v>
      </c>
      <c r="DJ861" s="109">
        <f t="shared" si="341"/>
        <v>0</v>
      </c>
      <c r="DL861" s="58">
        <f t="array" ref="DL861">SUM(IF(DI861:DJ861&gt;=DI861, 1))</f>
        <v>2</v>
      </c>
      <c r="DM861" s="58">
        <f t="array" ref="DM861">SUM(IF(DI861:DJ861&gt;=DJ861, 1))</f>
        <v>1</v>
      </c>
      <c r="DO861" s="109">
        <f t="shared" si="342"/>
        <v>-7898165.0949248364</v>
      </c>
      <c r="DP861" s="109">
        <f t="shared" si="343"/>
        <v>0</v>
      </c>
      <c r="DR861" s="58">
        <f t="array" ref="DR861">SUM(IF(DO861:DP861&gt;=DO861, 1))</f>
        <v>2</v>
      </c>
      <c r="DS861" s="58">
        <f t="array" ref="DS861">SUM(IF(DO861:DP861&gt;=DP861, 1))</f>
        <v>1</v>
      </c>
      <c r="DU861" s="109">
        <f t="shared" si="344"/>
        <v>-47260888.304143898</v>
      </c>
      <c r="DV861" s="109">
        <f t="shared" si="345"/>
        <v>0</v>
      </c>
      <c r="DX861" s="58">
        <f t="array" ref="DX861">SUM(IF(DU861:DV861&gt;=DU861, 1))</f>
        <v>2</v>
      </c>
      <c r="DY861" s="58">
        <f t="array" ref="DY861">SUM(IF(DU861:DV861&gt;=DV861, 1))</f>
        <v>1</v>
      </c>
      <c r="EA861" s="109">
        <f t="shared" si="346"/>
        <v>-152464410.80545276</v>
      </c>
      <c r="EB861" s="109">
        <f t="shared" si="347"/>
        <v>0</v>
      </c>
      <c r="ED861" s="58">
        <f t="array" ref="ED861">SUM(IF(EA861:EB861&gt;=EA861, 1))</f>
        <v>2</v>
      </c>
      <c r="EE861" s="58">
        <f t="array" ref="EE861">SUM(IF(EA861:EB861&gt;=EB861, 1))</f>
        <v>1</v>
      </c>
    </row>
    <row r="862" spans="4:135" ht="12" customHeight="1" x14ac:dyDescent="0.25">
      <c r="D862" s="11">
        <v>846</v>
      </c>
      <c r="E862" s="72">
        <v>252.01628248190656</v>
      </c>
      <c r="F862" s="72">
        <v>243.89334708771227</v>
      </c>
      <c r="G862" s="73"/>
      <c r="H862" s="74">
        <v>5.8243700532361098</v>
      </c>
      <c r="I862" s="74">
        <v>5.8421052313244184</v>
      </c>
      <c r="J862" s="73"/>
      <c r="K862" s="72">
        <v>271.49000854353574</v>
      </c>
      <c r="L862" s="72">
        <v>263.1166885474891</v>
      </c>
      <c r="M862" s="73"/>
      <c r="N862" s="74">
        <v>6.7490565823730151</v>
      </c>
      <c r="O862" s="74">
        <v>6.7644167181354113</v>
      </c>
      <c r="P862" s="73"/>
      <c r="Q862" s="72">
        <v>3597.8992277152461</v>
      </c>
      <c r="R862" s="72">
        <v>1708.6827359546182</v>
      </c>
      <c r="S862" s="73"/>
      <c r="T862" s="74">
        <v>4.6848420452055572</v>
      </c>
      <c r="U862" s="74">
        <v>4.8058998335964986</v>
      </c>
      <c r="V862" s="73"/>
      <c r="W862" s="72">
        <v>11657.110569255525</v>
      </c>
      <c r="X862" s="72">
        <v>11686.326454264074</v>
      </c>
      <c r="Y862" s="73"/>
      <c r="Z862" s="74">
        <v>3.2650666589606914</v>
      </c>
      <c r="AA862" s="74">
        <v>3.3147581030698401</v>
      </c>
      <c r="AB862" s="73"/>
      <c r="AC862" s="72">
        <v>51061.117267083209</v>
      </c>
      <c r="AD862" s="72">
        <v>50779.344315492723</v>
      </c>
      <c r="AE862" s="73"/>
      <c r="AF862" s="74">
        <v>3.7804487909456901</v>
      </c>
      <c r="AG862" s="74">
        <v>3.8607358086763419</v>
      </c>
      <c r="AH862" s="73"/>
      <c r="AI862" s="72">
        <v>880829.24461229658</v>
      </c>
      <c r="AJ862" s="72">
        <v>0</v>
      </c>
      <c r="AK862" s="73"/>
      <c r="AL862" s="74">
        <v>-1923.1549631374278</v>
      </c>
      <c r="AM862" s="74">
        <v>0</v>
      </c>
      <c r="AN862" s="73"/>
      <c r="AO862" s="72">
        <v>58167.823741944456</v>
      </c>
      <c r="AP862" s="72">
        <v>0</v>
      </c>
      <c r="AQ862" s="73"/>
      <c r="AR862" s="74">
        <v>-106.70387255010469</v>
      </c>
      <c r="AS862" s="74">
        <v>0</v>
      </c>
      <c r="AT862" s="73"/>
      <c r="AU862" s="72">
        <v>44696377.133625656</v>
      </c>
      <c r="AV862" s="72">
        <v>0</v>
      </c>
      <c r="AW862" s="73"/>
      <c r="AX862" s="74">
        <v>-2864.0680348082328</v>
      </c>
      <c r="AY862" s="74">
        <v>0</v>
      </c>
      <c r="AZ862" s="73"/>
      <c r="BA862" s="72">
        <v>-259099.92498724535</v>
      </c>
      <c r="BB862" s="72">
        <v>0</v>
      </c>
      <c r="BC862" s="73"/>
      <c r="BD862" s="74">
        <v>-440.68661406015792</v>
      </c>
      <c r="BE862" s="74">
        <v>0</v>
      </c>
      <c r="BF862" s="73"/>
      <c r="BG862" s="72">
        <v>4499154.0798240025</v>
      </c>
      <c r="BH862" s="72">
        <v>0</v>
      </c>
      <c r="BI862" s="73"/>
      <c r="BJ862" s="74">
        <v>-1281.9671346763864</v>
      </c>
      <c r="BK862" s="74">
        <v>0</v>
      </c>
      <c r="BL862" s="73"/>
      <c r="BM862" s="72">
        <v>49875428.356816649</v>
      </c>
      <c r="BN862" s="72">
        <v>0</v>
      </c>
      <c r="BO862" s="73"/>
      <c r="BP862" s="74">
        <v>-6616.5806192323089</v>
      </c>
      <c r="BQ862" s="74">
        <v>0</v>
      </c>
      <c r="BS862" s="109">
        <f t="shared" si="327"/>
        <v>116235.38478224029</v>
      </c>
      <c r="BT862" s="109">
        <f t="shared" si="328"/>
        <v>116598.21127940065</v>
      </c>
      <c r="BV862" s="58">
        <f t="array" ref="BV862">SUM(IF(BS862:BT862&gt;=BS862, 1))</f>
        <v>2</v>
      </c>
      <c r="BW862" s="58">
        <f t="array" ref="BW862">SUM(IF(BS862:BT862&gt;=BT862, 1))</f>
        <v>1</v>
      </c>
      <c r="BY862" s="109">
        <f t="shared" si="329"/>
        <v>134709.64163891677</v>
      </c>
      <c r="BZ862" s="109">
        <f t="shared" si="330"/>
        <v>135025.21767416075</v>
      </c>
      <c r="CB862" s="58">
        <f t="array" ref="CB862">SUM(IF(BY862:BZ862&gt;=BY862, 1))</f>
        <v>2</v>
      </c>
      <c r="CC862" s="58">
        <f t="array" ref="CC862">SUM(IF(BY862:BZ862&gt;=BZ862, 1))</f>
        <v>1</v>
      </c>
      <c r="CE862" s="109">
        <f t="shared" si="331"/>
        <v>90098.941676395902</v>
      </c>
      <c r="CF862" s="109">
        <f t="shared" si="332"/>
        <v>94409.313935975355</v>
      </c>
      <c r="CH862" s="58">
        <f t="array" ref="CH862">SUM(IF(CE862:CF862&gt;=CE862, 1))</f>
        <v>2</v>
      </c>
      <c r="CI862" s="58">
        <f t="array" ref="CI862">SUM(IF(CE862:CF862&gt;=CF862, 1))</f>
        <v>1</v>
      </c>
      <c r="CK862" s="109">
        <f t="shared" si="333"/>
        <v>53644.222609958306</v>
      </c>
      <c r="CL862" s="109">
        <f t="shared" si="334"/>
        <v>54608.835607132722</v>
      </c>
      <c r="CN862" s="58">
        <f t="array" ref="CN862">SUM(IF(CK862:CL862&gt;=CK862, 1))</f>
        <v>2</v>
      </c>
      <c r="CO862" s="58">
        <f t="array" ref="CO862">SUM(IF(CK862:CL862&gt;=CL862, 1))</f>
        <v>1</v>
      </c>
      <c r="CQ862" s="109" cm="1">
        <f t="array" ref="CQ862">AF862*WTP-AC862</f>
        <v>24547.858551830599</v>
      </c>
      <c r="CR862" s="109">
        <f t="shared" si="335"/>
        <v>26435.371858034123</v>
      </c>
      <c r="CT862" s="58">
        <f t="array" ref="CT862">SUM(IF(CQ862:CR862&gt;=CQ862, 1))</f>
        <v>2</v>
      </c>
      <c r="CU862" s="58">
        <f t="array" ref="CU862">SUM(IF(CQ862:CR862&gt;=CR862, 1))</f>
        <v>1</v>
      </c>
      <c r="CW862" s="109">
        <f t="shared" si="336"/>
        <v>-39343928.507360853</v>
      </c>
      <c r="CX862" s="109">
        <f t="shared" si="337"/>
        <v>0</v>
      </c>
      <c r="CZ862" s="58">
        <f t="array" ref="CZ862">SUM(IF(CW862:CX862&gt;=CW862, 1))</f>
        <v>2</v>
      </c>
      <c r="DA862" s="58">
        <f t="array" ref="DA862">SUM(IF(CW862:CX862&gt;=CX862, 1))</f>
        <v>1</v>
      </c>
      <c r="DC862" s="109">
        <f t="shared" si="338"/>
        <v>-2192245.2747440385</v>
      </c>
      <c r="DD862" s="109">
        <f t="shared" si="339"/>
        <v>0</v>
      </c>
      <c r="DF862" s="58">
        <f t="array" ref="DF862">SUM(IF(DC862:DD862&gt;=DC862, 1))</f>
        <v>2</v>
      </c>
      <c r="DG862" s="58">
        <f t="array" ref="DG862">SUM(IF(DC862:DD862&gt;=DD862, 1))</f>
        <v>1</v>
      </c>
      <c r="DI862" s="109">
        <f t="shared" si="340"/>
        <v>-101977737.82979032</v>
      </c>
      <c r="DJ862" s="109">
        <f t="shared" si="341"/>
        <v>0</v>
      </c>
      <c r="DL862" s="58">
        <f t="array" ref="DL862">SUM(IF(DI862:DJ862&gt;=DI862, 1))</f>
        <v>2</v>
      </c>
      <c r="DM862" s="58">
        <f t="array" ref="DM862">SUM(IF(DI862:DJ862&gt;=DJ862, 1))</f>
        <v>1</v>
      </c>
      <c r="DO862" s="109">
        <f t="shared" si="342"/>
        <v>-8554632.3562159128</v>
      </c>
      <c r="DP862" s="109">
        <f t="shared" si="343"/>
        <v>0</v>
      </c>
      <c r="DR862" s="58">
        <f t="array" ref="DR862">SUM(IF(DO862:DP862&gt;=DO862, 1))</f>
        <v>2</v>
      </c>
      <c r="DS862" s="58">
        <f t="array" ref="DS862">SUM(IF(DO862:DP862&gt;=DP862, 1))</f>
        <v>1</v>
      </c>
      <c r="DU862" s="109">
        <f t="shared" si="344"/>
        <v>-30138496.773351729</v>
      </c>
      <c r="DV862" s="109">
        <f t="shared" si="345"/>
        <v>0</v>
      </c>
      <c r="DX862" s="58">
        <f t="array" ref="DX862">SUM(IF(DU862:DV862&gt;=DU862, 1))</f>
        <v>2</v>
      </c>
      <c r="DY862" s="58">
        <f t="array" ref="DY862">SUM(IF(DU862:DV862&gt;=DV862, 1))</f>
        <v>1</v>
      </c>
      <c r="EA862" s="109">
        <f t="shared" si="346"/>
        <v>-182207040.74146283</v>
      </c>
      <c r="EB862" s="109">
        <f t="shared" si="347"/>
        <v>0</v>
      </c>
      <c r="ED862" s="58">
        <f t="array" ref="ED862">SUM(IF(EA862:EB862&gt;=EA862, 1))</f>
        <v>2</v>
      </c>
      <c r="EE862" s="58">
        <f t="array" ref="EE862">SUM(IF(EA862:EB862&gt;=EB862, 1))</f>
        <v>1</v>
      </c>
    </row>
    <row r="863" spans="4:135" ht="12" customHeight="1" x14ac:dyDescent="0.25">
      <c r="D863" s="11">
        <v>847</v>
      </c>
      <c r="E863" s="72">
        <v>268.48514197452994</v>
      </c>
      <c r="F863" s="72">
        <v>221.53533183805217</v>
      </c>
      <c r="G863" s="73"/>
      <c r="H863" s="74">
        <v>5.8760365375734889</v>
      </c>
      <c r="I863" s="74">
        <v>5.8921218166060996</v>
      </c>
      <c r="J863" s="73"/>
      <c r="K863" s="72">
        <v>286.7891297318975</v>
      </c>
      <c r="L863" s="72">
        <v>238.76241750593189</v>
      </c>
      <c r="M863" s="73"/>
      <c r="N863" s="74">
        <v>6.6965112607508308</v>
      </c>
      <c r="O863" s="74">
        <v>6.7100089429440688</v>
      </c>
      <c r="P863" s="73"/>
      <c r="Q863" s="72">
        <v>2159.6343680698915</v>
      </c>
      <c r="R863" s="72">
        <v>1200.8276000360743</v>
      </c>
      <c r="S863" s="73"/>
      <c r="T863" s="74">
        <v>4.7996321142494986</v>
      </c>
      <c r="U863" s="74">
        <v>4.8944671875175407</v>
      </c>
      <c r="V863" s="73"/>
      <c r="W863" s="72">
        <v>9156.3985262793813</v>
      </c>
      <c r="X863" s="72">
        <v>9111.1504697659439</v>
      </c>
      <c r="Y863" s="73"/>
      <c r="Z863" s="74">
        <v>3.1219054209949677</v>
      </c>
      <c r="AA863" s="74">
        <v>3.1544393254880143</v>
      </c>
      <c r="AB863" s="73"/>
      <c r="AC863" s="72">
        <v>51721.437808956434</v>
      </c>
      <c r="AD863" s="72">
        <v>51176.093626807065</v>
      </c>
      <c r="AE863" s="73"/>
      <c r="AF863" s="74">
        <v>4.3413288996605477</v>
      </c>
      <c r="AG863" s="74">
        <v>4.444248289548292</v>
      </c>
      <c r="AH863" s="73"/>
      <c r="AI863" s="72">
        <v>5036006.5263482071</v>
      </c>
      <c r="AJ863" s="72">
        <v>0</v>
      </c>
      <c r="AK863" s="73"/>
      <c r="AL863" s="74">
        <v>-1725.3652347237501</v>
      </c>
      <c r="AM863" s="74">
        <v>0</v>
      </c>
      <c r="AN863" s="73"/>
      <c r="AO863" s="72">
        <v>321365.4467937579</v>
      </c>
      <c r="AP863" s="72">
        <v>0</v>
      </c>
      <c r="AQ863" s="73"/>
      <c r="AR863" s="74">
        <v>-90.318251399372471</v>
      </c>
      <c r="AS863" s="74">
        <v>0</v>
      </c>
      <c r="AT863" s="73"/>
      <c r="AU863" s="72">
        <v>22522265.15285781</v>
      </c>
      <c r="AV863" s="72">
        <v>0</v>
      </c>
      <c r="AW863" s="73"/>
      <c r="AX863" s="74">
        <v>-2227.6654036490991</v>
      </c>
      <c r="AY863" s="74">
        <v>0</v>
      </c>
      <c r="AZ863" s="73"/>
      <c r="BA863" s="72">
        <v>386842.30735540233</v>
      </c>
      <c r="BB863" s="72">
        <v>0</v>
      </c>
      <c r="BC863" s="73"/>
      <c r="BD863" s="74">
        <v>-278.14433704203191</v>
      </c>
      <c r="BE863" s="74">
        <v>0</v>
      </c>
      <c r="BF863" s="73"/>
      <c r="BG863" s="72">
        <v>8683449.940282546</v>
      </c>
      <c r="BH863" s="72">
        <v>0</v>
      </c>
      <c r="BI863" s="73"/>
      <c r="BJ863" s="74">
        <v>-1638.7730890468499</v>
      </c>
      <c r="BK863" s="74">
        <v>0</v>
      </c>
      <c r="BL863" s="73"/>
      <c r="BM863" s="72">
        <v>36949929.373637721</v>
      </c>
      <c r="BN863" s="72">
        <v>0</v>
      </c>
      <c r="BO863" s="73"/>
      <c r="BP863" s="74">
        <v>-5960.266315861104</v>
      </c>
      <c r="BQ863" s="74">
        <v>0</v>
      </c>
      <c r="BS863" s="109">
        <f t="shared" si="327"/>
        <v>117252.24560949525</v>
      </c>
      <c r="BT863" s="109">
        <f t="shared" si="328"/>
        <v>117620.90100028393</v>
      </c>
      <c r="BV863" s="58">
        <f t="array" ref="BV863">SUM(IF(BS863:BT863&gt;=BS863, 1))</f>
        <v>2</v>
      </c>
      <c r="BW863" s="58">
        <f t="array" ref="BW863">SUM(IF(BS863:BT863&gt;=BT863, 1))</f>
        <v>1</v>
      </c>
      <c r="BY863" s="109">
        <f t="shared" si="329"/>
        <v>133643.43608528472</v>
      </c>
      <c r="BZ863" s="109">
        <f t="shared" si="330"/>
        <v>133961.41644137545</v>
      </c>
      <c r="CB863" s="58">
        <f t="array" ref="CB863">SUM(IF(BY863:BZ863&gt;=BY863, 1))</f>
        <v>2</v>
      </c>
      <c r="CC863" s="58">
        <f t="array" ref="CC863">SUM(IF(BY863:BZ863&gt;=BZ863, 1))</f>
        <v>1</v>
      </c>
      <c r="CE863" s="109">
        <f t="shared" si="331"/>
        <v>93833.007916920076</v>
      </c>
      <c r="CF863" s="109">
        <f t="shared" si="332"/>
        <v>96688.516150314739</v>
      </c>
      <c r="CH863" s="58">
        <f t="array" ref="CH863">SUM(IF(CE863:CF863&gt;=CE863, 1))</f>
        <v>2</v>
      </c>
      <c r="CI863" s="58">
        <f t="array" ref="CI863">SUM(IF(CE863:CF863&gt;=CF863, 1))</f>
        <v>1</v>
      </c>
      <c r="CK863" s="109">
        <f t="shared" si="333"/>
        <v>53281.709893619976</v>
      </c>
      <c r="CL863" s="109">
        <f t="shared" si="334"/>
        <v>53977.636039994337</v>
      </c>
      <c r="CN863" s="58">
        <f t="array" ref="CN863">SUM(IF(CK863:CL863&gt;=CK863, 1))</f>
        <v>2</v>
      </c>
      <c r="CO863" s="58">
        <f t="array" ref="CO863">SUM(IF(CK863:CL863&gt;=CL863, 1))</f>
        <v>1</v>
      </c>
      <c r="CQ863" s="109" cm="1">
        <f t="array" ref="CQ863">AF863*WTP-AC863</f>
        <v>35105.140184254524</v>
      </c>
      <c r="CR863" s="109">
        <f t="shared" si="335"/>
        <v>37708.872164158776</v>
      </c>
      <c r="CT863" s="58">
        <f t="array" ref="CT863">SUM(IF(CQ863:CR863&gt;=CQ863, 1))</f>
        <v>2</v>
      </c>
      <c r="CU863" s="58">
        <f t="array" ref="CU863">SUM(IF(CQ863:CR863&gt;=CR863, 1))</f>
        <v>1</v>
      </c>
      <c r="CW863" s="109">
        <f t="shared" si="336"/>
        <v>-39543311.220823213</v>
      </c>
      <c r="CX863" s="109">
        <f t="shared" si="337"/>
        <v>0</v>
      </c>
      <c r="CZ863" s="58">
        <f t="array" ref="CZ863">SUM(IF(CW863:CX863&gt;=CW863, 1))</f>
        <v>2</v>
      </c>
      <c r="DA863" s="58">
        <f t="array" ref="DA863">SUM(IF(CW863:CX863&gt;=CX863, 1))</f>
        <v>1</v>
      </c>
      <c r="DC863" s="109">
        <f t="shared" si="338"/>
        <v>-2127730.4747812073</v>
      </c>
      <c r="DD863" s="109">
        <f t="shared" si="339"/>
        <v>0</v>
      </c>
      <c r="DF863" s="58">
        <f t="array" ref="DF863">SUM(IF(DC863:DD863&gt;=DC863, 1))</f>
        <v>2</v>
      </c>
      <c r="DG863" s="58">
        <f t="array" ref="DG863">SUM(IF(DC863:DD863&gt;=DD863, 1))</f>
        <v>1</v>
      </c>
      <c r="DI863" s="109">
        <f t="shared" si="340"/>
        <v>-67075573.225839794</v>
      </c>
      <c r="DJ863" s="109">
        <f t="shared" si="341"/>
        <v>0</v>
      </c>
      <c r="DL863" s="58">
        <f t="array" ref="DL863">SUM(IF(DI863:DJ863&gt;=DI863, 1))</f>
        <v>2</v>
      </c>
      <c r="DM863" s="58">
        <f t="array" ref="DM863">SUM(IF(DI863:DJ863&gt;=DJ863, 1))</f>
        <v>1</v>
      </c>
      <c r="DO863" s="109">
        <f t="shared" si="342"/>
        <v>-5949729.0481960401</v>
      </c>
      <c r="DP863" s="109">
        <f t="shared" si="343"/>
        <v>0</v>
      </c>
      <c r="DR863" s="58">
        <f t="array" ref="DR863">SUM(IF(DO863:DP863&gt;=DO863, 1))</f>
        <v>2</v>
      </c>
      <c r="DS863" s="58">
        <f t="array" ref="DS863">SUM(IF(DO863:DP863&gt;=DP863, 1))</f>
        <v>1</v>
      </c>
      <c r="DU863" s="109">
        <f t="shared" si="344"/>
        <v>-41458911.72121954</v>
      </c>
      <c r="DV863" s="109">
        <f t="shared" si="345"/>
        <v>0</v>
      </c>
      <c r="DX863" s="58">
        <f t="array" ref="DX863">SUM(IF(DU863:DV863&gt;=DU863, 1))</f>
        <v>2</v>
      </c>
      <c r="DY863" s="58">
        <f t="array" ref="DY863">SUM(IF(DU863:DV863&gt;=DV863, 1))</f>
        <v>1</v>
      </c>
      <c r="EA863" s="109">
        <f t="shared" si="346"/>
        <v>-156155255.69085979</v>
      </c>
      <c r="EB863" s="109">
        <f t="shared" si="347"/>
        <v>0</v>
      </c>
      <c r="ED863" s="58">
        <f t="array" ref="ED863">SUM(IF(EA863:EB863&gt;=EA863, 1))</f>
        <v>2</v>
      </c>
      <c r="EE863" s="58">
        <f t="array" ref="EE863">SUM(IF(EA863:EB863&gt;=EB863, 1))</f>
        <v>1</v>
      </c>
    </row>
    <row r="864" spans="4:135" ht="12" customHeight="1" x14ac:dyDescent="0.25">
      <c r="D864" s="11">
        <v>848</v>
      </c>
      <c r="E864" s="72">
        <v>254.97438010878446</v>
      </c>
      <c r="F864" s="72">
        <v>234.76044354533158</v>
      </c>
      <c r="G864" s="73"/>
      <c r="H864" s="74">
        <v>5.7779813162329905</v>
      </c>
      <c r="I864" s="74">
        <v>5.7921350144441286</v>
      </c>
      <c r="J864" s="73"/>
      <c r="K864" s="72">
        <v>273.80881281474831</v>
      </c>
      <c r="L864" s="72">
        <v>253.09073682457202</v>
      </c>
      <c r="M864" s="73"/>
      <c r="N864" s="74">
        <v>6.6835156654337959</v>
      </c>
      <c r="O864" s="74">
        <v>6.6954763731760059</v>
      </c>
      <c r="P864" s="73"/>
      <c r="Q864" s="72">
        <v>3157.5383715405569</v>
      </c>
      <c r="R864" s="72">
        <v>1779.7288845759094</v>
      </c>
      <c r="S864" s="73"/>
      <c r="T864" s="74">
        <v>4.7099890113541134</v>
      </c>
      <c r="U864" s="74">
        <v>4.7971470809081014</v>
      </c>
      <c r="V864" s="73"/>
      <c r="W864" s="72">
        <v>16445.432051632633</v>
      </c>
      <c r="X864" s="72">
        <v>16404.30531705746</v>
      </c>
      <c r="Y864" s="73"/>
      <c r="Z864" s="74">
        <v>3.0521392923685737</v>
      </c>
      <c r="AA864" s="74">
        <v>3.0913508729837904</v>
      </c>
      <c r="AB864" s="73"/>
      <c r="AC864" s="72">
        <v>49840.92374398659</v>
      </c>
      <c r="AD864" s="72">
        <v>50008.47697252057</v>
      </c>
      <c r="AE864" s="73"/>
      <c r="AF864" s="74">
        <v>5.1008066228225317</v>
      </c>
      <c r="AG864" s="74">
        <v>5.196693161847489</v>
      </c>
      <c r="AH864" s="73"/>
      <c r="AI864" s="72">
        <v>2197647.5824174052</v>
      </c>
      <c r="AJ864" s="72">
        <v>0</v>
      </c>
      <c r="AK864" s="73"/>
      <c r="AL864" s="74">
        <v>-1538.7819467194356</v>
      </c>
      <c r="AM864" s="74">
        <v>0</v>
      </c>
      <c r="AN864" s="73"/>
      <c r="AO864" s="72">
        <v>136747.94065079195</v>
      </c>
      <c r="AP864" s="72">
        <v>0</v>
      </c>
      <c r="AQ864" s="73"/>
      <c r="AR864" s="74">
        <v>-78.94565852778652</v>
      </c>
      <c r="AS864" s="74">
        <v>0</v>
      </c>
      <c r="AT864" s="73"/>
      <c r="AU864" s="72">
        <v>32823059.281503204</v>
      </c>
      <c r="AV864" s="72">
        <v>0</v>
      </c>
      <c r="AW864" s="73"/>
      <c r="AX864" s="74">
        <v>-2076.335306802348</v>
      </c>
      <c r="AY864" s="74">
        <v>0</v>
      </c>
      <c r="AZ864" s="73"/>
      <c r="BA864" s="72">
        <v>369174.19680181006</v>
      </c>
      <c r="BB864" s="72">
        <v>0</v>
      </c>
      <c r="BC864" s="73"/>
      <c r="BD864" s="74">
        <v>-351.98281430519182</v>
      </c>
      <c r="BE864" s="74">
        <v>0</v>
      </c>
      <c r="BF864" s="73"/>
      <c r="BG864" s="72">
        <v>-2621362.8453709693</v>
      </c>
      <c r="BH864" s="72">
        <v>0</v>
      </c>
      <c r="BI864" s="73"/>
      <c r="BJ864" s="74">
        <v>-1500.1406596009717</v>
      </c>
      <c r="BK864" s="74">
        <v>0</v>
      </c>
      <c r="BL864" s="73"/>
      <c r="BM864" s="72">
        <v>32905266.156002246</v>
      </c>
      <c r="BN864" s="72">
        <v>0</v>
      </c>
      <c r="BO864" s="73"/>
      <c r="BP864" s="74">
        <v>-5546.1863859557334</v>
      </c>
      <c r="BQ864" s="74">
        <v>0</v>
      </c>
      <c r="BS864" s="109">
        <f t="shared" si="327"/>
        <v>115304.65194455102</v>
      </c>
      <c r="BT864" s="109">
        <f t="shared" si="328"/>
        <v>115607.93984533724</v>
      </c>
      <c r="BV864" s="58">
        <f t="array" ref="BV864">SUM(IF(BS864:BT864&gt;=BS864, 1))</f>
        <v>2</v>
      </c>
      <c r="BW864" s="58">
        <f t="array" ref="BW864">SUM(IF(BS864:BT864&gt;=BT864, 1))</f>
        <v>1</v>
      </c>
      <c r="BY864" s="109">
        <f t="shared" si="329"/>
        <v>133396.50449586118</v>
      </c>
      <c r="BZ864" s="109">
        <f t="shared" si="330"/>
        <v>133656.43672669554</v>
      </c>
      <c r="CB864" s="58">
        <f t="array" ref="CB864">SUM(IF(BY864:BZ864&gt;=BY864, 1))</f>
        <v>2</v>
      </c>
      <c r="CC864" s="58">
        <f t="array" ref="CC864">SUM(IF(BY864:BZ864&gt;=BZ864, 1))</f>
        <v>1</v>
      </c>
      <c r="CE864" s="109">
        <f t="shared" si="331"/>
        <v>91042.24185554171</v>
      </c>
      <c r="CF864" s="109">
        <f t="shared" si="332"/>
        <v>94163.21273358613</v>
      </c>
      <c r="CH864" s="58">
        <f t="array" ref="CH864">SUM(IF(CE864:CF864&gt;=CE864, 1))</f>
        <v>2</v>
      </c>
      <c r="CI864" s="58">
        <f t="array" ref="CI864">SUM(IF(CE864:CF864&gt;=CF864, 1))</f>
        <v>1</v>
      </c>
      <c r="CK864" s="109">
        <f t="shared" si="333"/>
        <v>44597.35379573884</v>
      </c>
      <c r="CL864" s="109">
        <f t="shared" si="334"/>
        <v>45422.712142618344</v>
      </c>
      <c r="CN864" s="58">
        <f t="array" ref="CN864">SUM(IF(CK864:CL864&gt;=CK864, 1))</f>
        <v>2</v>
      </c>
      <c r="CO864" s="58">
        <f t="array" ref="CO864">SUM(IF(CK864:CL864&gt;=CL864, 1))</f>
        <v>1</v>
      </c>
      <c r="CQ864" s="109" cm="1">
        <f t="array" ref="CQ864">AF864*WTP-AC864</f>
        <v>52175.208712464046</v>
      </c>
      <c r="CR864" s="109">
        <f t="shared" si="335"/>
        <v>53925.386264429209</v>
      </c>
      <c r="CT864" s="58">
        <f t="array" ref="CT864">SUM(IF(CQ864:CR864&gt;=CQ864, 1))</f>
        <v>2</v>
      </c>
      <c r="CU864" s="58">
        <f t="array" ref="CU864">SUM(IF(CQ864:CR864&gt;=CR864, 1))</f>
        <v>1</v>
      </c>
      <c r="CW864" s="109">
        <f t="shared" si="336"/>
        <v>-32973286.516806118</v>
      </c>
      <c r="CX864" s="109">
        <f t="shared" si="337"/>
        <v>0</v>
      </c>
      <c r="CZ864" s="58">
        <f t="array" ref="CZ864">SUM(IF(CW864:CX864&gt;=CW864, 1))</f>
        <v>2</v>
      </c>
      <c r="DA864" s="58">
        <f t="array" ref="DA864">SUM(IF(CW864:CX864&gt;=CX864, 1))</f>
        <v>1</v>
      </c>
      <c r="DC864" s="109">
        <f t="shared" si="338"/>
        <v>-1715661.1112065222</v>
      </c>
      <c r="DD864" s="109">
        <f t="shared" si="339"/>
        <v>0</v>
      </c>
      <c r="DF864" s="58">
        <f t="array" ref="DF864">SUM(IF(DC864:DD864&gt;=DC864, 1))</f>
        <v>2</v>
      </c>
      <c r="DG864" s="58">
        <f t="array" ref="DG864">SUM(IF(DC864:DD864&gt;=DD864, 1))</f>
        <v>1</v>
      </c>
      <c r="DI864" s="109">
        <f t="shared" si="340"/>
        <v>-74349765.417550161</v>
      </c>
      <c r="DJ864" s="109">
        <f t="shared" si="341"/>
        <v>0</v>
      </c>
      <c r="DL864" s="58">
        <f t="array" ref="DL864">SUM(IF(DI864:DJ864&gt;=DI864, 1))</f>
        <v>2</v>
      </c>
      <c r="DM864" s="58">
        <f t="array" ref="DM864">SUM(IF(DI864:DJ864&gt;=DJ864, 1))</f>
        <v>1</v>
      </c>
      <c r="DO864" s="109">
        <f t="shared" si="342"/>
        <v>-7408830.4829056468</v>
      </c>
      <c r="DP864" s="109">
        <f t="shared" si="343"/>
        <v>0</v>
      </c>
      <c r="DR864" s="58">
        <f t="array" ref="DR864">SUM(IF(DO864:DP864&gt;=DO864, 1))</f>
        <v>2</v>
      </c>
      <c r="DS864" s="58">
        <f t="array" ref="DS864">SUM(IF(DO864:DP864&gt;=DP864, 1))</f>
        <v>1</v>
      </c>
      <c r="DU864" s="109">
        <f t="shared" si="344"/>
        <v>-27381450.346648462</v>
      </c>
      <c r="DV864" s="109">
        <f t="shared" si="345"/>
        <v>0</v>
      </c>
      <c r="DX864" s="58">
        <f t="array" ref="DX864">SUM(IF(DU864:DV864&gt;=DU864, 1))</f>
        <v>2</v>
      </c>
      <c r="DY864" s="58">
        <f t="array" ref="DY864">SUM(IF(DU864:DV864&gt;=DV864, 1))</f>
        <v>1</v>
      </c>
      <c r="EA864" s="109">
        <f t="shared" si="346"/>
        <v>-143828993.87511691</v>
      </c>
      <c r="EB864" s="109">
        <f t="shared" si="347"/>
        <v>0</v>
      </c>
      <c r="ED864" s="58">
        <f t="array" ref="ED864">SUM(IF(EA864:EB864&gt;=EA864, 1))</f>
        <v>2</v>
      </c>
      <c r="EE864" s="58">
        <f t="array" ref="EE864">SUM(IF(EA864:EB864&gt;=EB864, 1))</f>
        <v>1</v>
      </c>
    </row>
    <row r="865" spans="4:135" ht="12" customHeight="1" x14ac:dyDescent="0.25">
      <c r="D865" s="11">
        <v>849</v>
      </c>
      <c r="E865" s="72">
        <v>265.49267151390609</v>
      </c>
      <c r="F865" s="72">
        <v>224.16611307532295</v>
      </c>
      <c r="G865" s="73"/>
      <c r="H865" s="74">
        <v>5.9111590940113814</v>
      </c>
      <c r="I865" s="74">
        <v>5.9264500167461263</v>
      </c>
      <c r="J865" s="73"/>
      <c r="K865" s="72">
        <v>283.83246770148264</v>
      </c>
      <c r="L865" s="72">
        <v>241.56492165046865</v>
      </c>
      <c r="M865" s="73"/>
      <c r="N865" s="74">
        <v>6.6875379798282202</v>
      </c>
      <c r="O865" s="74">
        <v>6.7006569461421241</v>
      </c>
      <c r="P865" s="73"/>
      <c r="Q865" s="72">
        <v>2267.0029183312145</v>
      </c>
      <c r="R865" s="72">
        <v>1539.6416972465731</v>
      </c>
      <c r="S865" s="73"/>
      <c r="T865" s="74">
        <v>4.9487395582706357</v>
      </c>
      <c r="U865" s="74">
        <v>5.00800487537719</v>
      </c>
      <c r="V865" s="73"/>
      <c r="W865" s="72">
        <v>13880.993500128026</v>
      </c>
      <c r="X865" s="72">
        <v>13880.312527683038</v>
      </c>
      <c r="Y865" s="73"/>
      <c r="Z865" s="74">
        <v>2.7756110192024552</v>
      </c>
      <c r="AA865" s="74">
        <v>2.8270264049551961</v>
      </c>
      <c r="AB865" s="73"/>
      <c r="AC865" s="72">
        <v>49515.0992547805</v>
      </c>
      <c r="AD865" s="72">
        <v>49308.815395749378</v>
      </c>
      <c r="AE865" s="73"/>
      <c r="AF865" s="74">
        <v>4.1848105087841247</v>
      </c>
      <c r="AG865" s="74">
        <v>4.2890586267527073</v>
      </c>
      <c r="AH865" s="73"/>
      <c r="AI865" s="72">
        <v>4469106.745968068</v>
      </c>
      <c r="AJ865" s="72">
        <v>0</v>
      </c>
      <c r="AK865" s="73"/>
      <c r="AL865" s="74">
        <v>-1653.5798897331954</v>
      </c>
      <c r="AM865" s="74">
        <v>0</v>
      </c>
      <c r="AN865" s="73"/>
      <c r="AO865" s="72">
        <v>277731.16264092876</v>
      </c>
      <c r="AP865" s="72">
        <v>0</v>
      </c>
      <c r="AQ865" s="73"/>
      <c r="AR865" s="74">
        <v>-86.201970717917291</v>
      </c>
      <c r="AS865" s="74">
        <v>0</v>
      </c>
      <c r="AT865" s="73"/>
      <c r="AU865" s="72">
        <v>17356127.297878318</v>
      </c>
      <c r="AV865" s="72">
        <v>0</v>
      </c>
      <c r="AW865" s="73"/>
      <c r="AX865" s="74">
        <v>-1414.1754581260298</v>
      </c>
      <c r="AY865" s="74">
        <v>0</v>
      </c>
      <c r="AZ865" s="73"/>
      <c r="BA865" s="72">
        <v>5866.5112927543742</v>
      </c>
      <c r="BB865" s="72">
        <v>0</v>
      </c>
      <c r="BC865" s="73"/>
      <c r="BD865" s="74">
        <v>-442.9385408462943</v>
      </c>
      <c r="BE865" s="74">
        <v>0</v>
      </c>
      <c r="BF865" s="73"/>
      <c r="BG865" s="72">
        <v>3163447.9495694302</v>
      </c>
      <c r="BH865" s="72">
        <v>0</v>
      </c>
      <c r="BI865" s="73"/>
      <c r="BJ865" s="74">
        <v>-1598.6878303669414</v>
      </c>
      <c r="BK865" s="74">
        <v>0</v>
      </c>
      <c r="BL865" s="73"/>
      <c r="BM865" s="72">
        <v>25272279.667349499</v>
      </c>
      <c r="BN865" s="72">
        <v>0</v>
      </c>
      <c r="BO865" s="73"/>
      <c r="BP865" s="74">
        <v>-5195.5836897903782</v>
      </c>
      <c r="BQ865" s="74">
        <v>0</v>
      </c>
      <c r="BS865" s="109">
        <f t="shared" si="327"/>
        <v>117957.68920871372</v>
      </c>
      <c r="BT865" s="109">
        <f t="shared" si="328"/>
        <v>118304.83422184721</v>
      </c>
      <c r="BV865" s="58">
        <f t="array" ref="BV865">SUM(IF(BS865:BT865&gt;=BS865, 1))</f>
        <v>2</v>
      </c>
      <c r="BW865" s="58">
        <f t="array" ref="BW865">SUM(IF(BS865:BT865&gt;=BT865, 1))</f>
        <v>1</v>
      </c>
      <c r="BY865" s="109">
        <f t="shared" si="329"/>
        <v>133466.92712886291</v>
      </c>
      <c r="BZ865" s="109">
        <f t="shared" si="330"/>
        <v>133771.574001192</v>
      </c>
      <c r="CB865" s="58">
        <f t="array" ref="CB865">SUM(IF(BY865:BZ865&gt;=BY865, 1))</f>
        <v>2</v>
      </c>
      <c r="CC865" s="58">
        <f t="array" ref="CC865">SUM(IF(BY865:BZ865&gt;=BZ865, 1))</f>
        <v>1</v>
      </c>
      <c r="CE865" s="109">
        <f t="shared" si="331"/>
        <v>96707.788247081495</v>
      </c>
      <c r="CF865" s="109">
        <f t="shared" si="332"/>
        <v>98620.455810297237</v>
      </c>
      <c r="CH865" s="58">
        <f t="array" ref="CH865">SUM(IF(CE865:CF865&gt;=CE865, 1))</f>
        <v>2</v>
      </c>
      <c r="CI865" s="58">
        <f t="array" ref="CI865">SUM(IF(CE865:CF865&gt;=CF865, 1))</f>
        <v>1</v>
      </c>
      <c r="CK865" s="109">
        <f t="shared" si="333"/>
        <v>41631.226883921081</v>
      </c>
      <c r="CL865" s="109">
        <f t="shared" si="334"/>
        <v>42660.215571420878</v>
      </c>
      <c r="CN865" s="58">
        <f t="array" ref="CN865">SUM(IF(CK865:CL865&gt;=CK865, 1))</f>
        <v>2</v>
      </c>
      <c r="CO865" s="58">
        <f t="array" ref="CO865">SUM(IF(CK865:CL865&gt;=CL865, 1))</f>
        <v>1</v>
      </c>
      <c r="CQ865" s="109" cm="1">
        <f t="array" ref="CQ865">AF865*WTP-AC865</f>
        <v>34181.110920902</v>
      </c>
      <c r="CR865" s="109">
        <f t="shared" si="335"/>
        <v>36472.357139304775</v>
      </c>
      <c r="CT865" s="58">
        <f t="array" ref="CT865">SUM(IF(CQ865:CR865&gt;=CQ865, 1))</f>
        <v>2</v>
      </c>
      <c r="CU865" s="58">
        <f t="array" ref="CU865">SUM(IF(CQ865:CR865&gt;=CR865, 1))</f>
        <v>1</v>
      </c>
      <c r="CW865" s="109">
        <f t="shared" si="336"/>
        <v>-37540704.540631972</v>
      </c>
      <c r="CX865" s="109">
        <f t="shared" si="337"/>
        <v>0</v>
      </c>
      <c r="CZ865" s="58">
        <f t="array" ref="CZ865">SUM(IF(CW865:CX865&gt;=CW865, 1))</f>
        <v>2</v>
      </c>
      <c r="DA865" s="58">
        <f t="array" ref="DA865">SUM(IF(CW865:CX865&gt;=CX865, 1))</f>
        <v>1</v>
      </c>
      <c r="DC865" s="109">
        <f t="shared" si="338"/>
        <v>-2001770.5769992745</v>
      </c>
      <c r="DD865" s="109">
        <f t="shared" si="339"/>
        <v>0</v>
      </c>
      <c r="DF865" s="58">
        <f t="array" ref="DF865">SUM(IF(DC865:DD865&gt;=DC865, 1))</f>
        <v>2</v>
      </c>
      <c r="DG865" s="58">
        <f t="array" ref="DG865">SUM(IF(DC865:DD865&gt;=DD865, 1))</f>
        <v>1</v>
      </c>
      <c r="DI865" s="109">
        <f t="shared" si="340"/>
        <v>-45639636.460398912</v>
      </c>
      <c r="DJ865" s="109">
        <f t="shared" si="341"/>
        <v>0</v>
      </c>
      <c r="DL865" s="58">
        <f t="array" ref="DL865">SUM(IF(DI865:DJ865&gt;=DI865, 1))</f>
        <v>2</v>
      </c>
      <c r="DM865" s="58">
        <f t="array" ref="DM865">SUM(IF(DI865:DJ865&gt;=DJ865, 1))</f>
        <v>1</v>
      </c>
      <c r="DO865" s="109">
        <f t="shared" si="342"/>
        <v>-8864637.3282186389</v>
      </c>
      <c r="DP865" s="109">
        <f t="shared" si="343"/>
        <v>0</v>
      </c>
      <c r="DR865" s="58">
        <f t="array" ref="DR865">SUM(IF(DO865:DP865&gt;=DO865, 1))</f>
        <v>2</v>
      </c>
      <c r="DS865" s="58">
        <f t="array" ref="DS865">SUM(IF(DO865:DP865&gt;=DP865, 1))</f>
        <v>1</v>
      </c>
      <c r="DU865" s="109">
        <f t="shared" si="344"/>
        <v>-35137204.556908257</v>
      </c>
      <c r="DV865" s="109">
        <f t="shared" si="345"/>
        <v>0</v>
      </c>
      <c r="DX865" s="58">
        <f t="array" ref="DX865">SUM(IF(DU865:DV865&gt;=DU865, 1))</f>
        <v>2</v>
      </c>
      <c r="DY865" s="58">
        <f t="array" ref="DY865">SUM(IF(DU865:DV865&gt;=DV865, 1))</f>
        <v>1</v>
      </c>
      <c r="EA865" s="109">
        <f t="shared" si="346"/>
        <v>-129183953.46315707</v>
      </c>
      <c r="EB865" s="109">
        <f t="shared" si="347"/>
        <v>0</v>
      </c>
      <c r="ED865" s="58">
        <f t="array" ref="ED865">SUM(IF(EA865:EB865&gt;=EA865, 1))</f>
        <v>2</v>
      </c>
      <c r="EE865" s="58">
        <f t="array" ref="EE865">SUM(IF(EA865:EB865&gt;=EB865, 1))</f>
        <v>1</v>
      </c>
    </row>
    <row r="866" spans="4:135" ht="12" customHeight="1" x14ac:dyDescent="0.25">
      <c r="D866" s="11">
        <v>850</v>
      </c>
      <c r="E866" s="72">
        <v>268.51370417863598</v>
      </c>
      <c r="F866" s="72">
        <v>254.70853405560294</v>
      </c>
      <c r="G866" s="73"/>
      <c r="H866" s="74">
        <v>5.8424030084910754</v>
      </c>
      <c r="I866" s="74">
        <v>5.8589069709683219</v>
      </c>
      <c r="J866" s="73"/>
      <c r="K866" s="72">
        <v>288.88489831067801</v>
      </c>
      <c r="L866" s="72">
        <v>274.70535885889313</v>
      </c>
      <c r="M866" s="73"/>
      <c r="N866" s="74">
        <v>6.6935915978358187</v>
      </c>
      <c r="O866" s="74">
        <v>6.70766363443731</v>
      </c>
      <c r="P866" s="73"/>
      <c r="Q866" s="72">
        <v>2109.8086798503127</v>
      </c>
      <c r="R866" s="72">
        <v>1392.0380917826719</v>
      </c>
      <c r="S866" s="73"/>
      <c r="T866" s="74">
        <v>4.9059807441023837</v>
      </c>
      <c r="U866" s="74">
        <v>4.9701476165238763</v>
      </c>
      <c r="V866" s="73"/>
      <c r="W866" s="72">
        <v>17044.94152866818</v>
      </c>
      <c r="X866" s="72">
        <v>17003.357687521042</v>
      </c>
      <c r="Y866" s="73"/>
      <c r="Z866" s="74">
        <v>2.9545337929285616</v>
      </c>
      <c r="AA866" s="74">
        <v>3.0063309126041813</v>
      </c>
      <c r="AB866" s="73"/>
      <c r="AC866" s="72">
        <v>50166.544797519084</v>
      </c>
      <c r="AD866" s="72">
        <v>49868.288076982928</v>
      </c>
      <c r="AE866" s="73"/>
      <c r="AF866" s="74">
        <v>3.6581952969314848</v>
      </c>
      <c r="AG866" s="74">
        <v>3.6971719407021704</v>
      </c>
      <c r="AH866" s="73"/>
      <c r="AI866" s="72">
        <v>1475858.9117559064</v>
      </c>
      <c r="AJ866" s="72">
        <v>0</v>
      </c>
      <c r="AK866" s="73"/>
      <c r="AL866" s="74">
        <v>-1764.3766707873006</v>
      </c>
      <c r="AM866" s="74">
        <v>0</v>
      </c>
      <c r="AN866" s="73"/>
      <c r="AO866" s="72">
        <v>96777.999023757875</v>
      </c>
      <c r="AP866" s="72">
        <v>0</v>
      </c>
      <c r="AQ866" s="73"/>
      <c r="AR866" s="74">
        <v>-96.044272038044127</v>
      </c>
      <c r="AS866" s="74">
        <v>0</v>
      </c>
      <c r="AT866" s="73"/>
      <c r="AU866" s="72">
        <v>16912395.547607902</v>
      </c>
      <c r="AV866" s="72">
        <v>0</v>
      </c>
      <c r="AW866" s="73"/>
      <c r="AX866" s="74">
        <v>-1511.9253219427083</v>
      </c>
      <c r="AY866" s="74">
        <v>0</v>
      </c>
      <c r="AZ866" s="73"/>
      <c r="BA866" s="72">
        <v>365732.60448999703</v>
      </c>
      <c r="BB866" s="72">
        <v>0</v>
      </c>
      <c r="BC866" s="73"/>
      <c r="BD866" s="74">
        <v>-455.55905759197549</v>
      </c>
      <c r="BE866" s="74">
        <v>0</v>
      </c>
      <c r="BF866" s="73"/>
      <c r="BG866" s="72">
        <v>4582941.1705836318</v>
      </c>
      <c r="BH866" s="72">
        <v>0</v>
      </c>
      <c r="BI866" s="73"/>
      <c r="BJ866" s="74">
        <v>-598.90575175218237</v>
      </c>
      <c r="BK866" s="74">
        <v>0</v>
      </c>
      <c r="BL866" s="73"/>
      <c r="BM866" s="72">
        <v>23433706.233461197</v>
      </c>
      <c r="BN866" s="72">
        <v>0</v>
      </c>
      <c r="BO866" s="73"/>
      <c r="BP866" s="74">
        <v>-4426.8110741122109</v>
      </c>
      <c r="BQ866" s="74">
        <v>0</v>
      </c>
      <c r="BS866" s="109">
        <f t="shared" si="327"/>
        <v>116579.54646564287</v>
      </c>
      <c r="BT866" s="109">
        <f t="shared" si="328"/>
        <v>116923.43088531084</v>
      </c>
      <c r="BV866" s="58">
        <f t="array" ref="BV866">SUM(IF(BS866:BT866&gt;=BS866, 1))</f>
        <v>2</v>
      </c>
      <c r="BW866" s="58">
        <f t="array" ref="BW866">SUM(IF(BS866:BT866&gt;=BT866, 1))</f>
        <v>1</v>
      </c>
      <c r="BY866" s="109">
        <f t="shared" si="329"/>
        <v>133582.9470584057</v>
      </c>
      <c r="BZ866" s="109">
        <f t="shared" si="330"/>
        <v>133878.5673298873</v>
      </c>
      <c r="CB866" s="58">
        <f t="array" ref="CB866">SUM(IF(BY866:BZ866&gt;=BY866, 1))</f>
        <v>2</v>
      </c>
      <c r="CC866" s="58">
        <f t="array" ref="CC866">SUM(IF(BY866:BZ866&gt;=BZ866, 1))</f>
        <v>1</v>
      </c>
      <c r="CE866" s="109">
        <f t="shared" si="331"/>
        <v>96009.806202197375</v>
      </c>
      <c r="CF866" s="109">
        <f t="shared" si="332"/>
        <v>98010.914238694852</v>
      </c>
      <c r="CH866" s="58">
        <f t="array" ref="CH866">SUM(IF(CE866:CF866&gt;=CE866, 1))</f>
        <v>2</v>
      </c>
      <c r="CI866" s="58">
        <f t="array" ref="CI866">SUM(IF(CE866:CF866&gt;=CF866, 1))</f>
        <v>1</v>
      </c>
      <c r="CK866" s="109">
        <f t="shared" si="333"/>
        <v>42045.734329903047</v>
      </c>
      <c r="CL866" s="109">
        <f t="shared" si="334"/>
        <v>43123.260564562581</v>
      </c>
      <c r="CN866" s="58">
        <f t="array" ref="CN866">SUM(IF(CK866:CL866&gt;=CK866, 1))</f>
        <v>2</v>
      </c>
      <c r="CO866" s="58">
        <f t="array" ref="CO866">SUM(IF(CK866:CL866&gt;=CL866, 1))</f>
        <v>1</v>
      </c>
      <c r="CQ866" s="109" cm="1">
        <f t="array" ref="CQ866">AF866*WTP-AC866</f>
        <v>22997.361141110618</v>
      </c>
      <c r="CR866" s="109">
        <f t="shared" si="335"/>
        <v>24075.150737060474</v>
      </c>
      <c r="CT866" s="58">
        <f t="array" ref="CT866">SUM(IF(CQ866:CR866&gt;=CQ866, 1))</f>
        <v>2</v>
      </c>
      <c r="CU866" s="58">
        <f t="array" ref="CU866">SUM(IF(CQ866:CR866&gt;=CR866, 1))</f>
        <v>1</v>
      </c>
      <c r="CW866" s="109">
        <f t="shared" si="336"/>
        <v>-36763392.327501915</v>
      </c>
      <c r="CX866" s="109">
        <f t="shared" si="337"/>
        <v>0</v>
      </c>
      <c r="CZ866" s="58">
        <f t="array" ref="CZ866">SUM(IF(CW866:CX866&gt;=CW866, 1))</f>
        <v>2</v>
      </c>
      <c r="DA866" s="58">
        <f t="array" ref="DA866">SUM(IF(CW866:CX866&gt;=CX866, 1))</f>
        <v>1</v>
      </c>
      <c r="DC866" s="109">
        <f t="shared" si="338"/>
        <v>-2017663.4397846404</v>
      </c>
      <c r="DD866" s="109">
        <f t="shared" si="339"/>
        <v>0</v>
      </c>
      <c r="DF866" s="58">
        <f t="array" ref="DF866">SUM(IF(DC866:DD866&gt;=DC866, 1))</f>
        <v>2</v>
      </c>
      <c r="DG866" s="58">
        <f t="array" ref="DG866">SUM(IF(DC866:DD866&gt;=DD866, 1))</f>
        <v>1</v>
      </c>
      <c r="DI866" s="109">
        <f t="shared" si="340"/>
        <v>-47150901.986462072</v>
      </c>
      <c r="DJ866" s="109">
        <f t="shared" si="341"/>
        <v>0</v>
      </c>
      <c r="DL866" s="58">
        <f t="array" ref="DL866">SUM(IF(DI866:DJ866&gt;=DI866, 1))</f>
        <v>2</v>
      </c>
      <c r="DM866" s="58">
        <f t="array" ref="DM866">SUM(IF(DI866:DJ866&gt;=DJ866, 1))</f>
        <v>1</v>
      </c>
      <c r="DO866" s="109">
        <f t="shared" si="342"/>
        <v>-9476913.7563295066</v>
      </c>
      <c r="DP866" s="109">
        <f t="shared" si="343"/>
        <v>0</v>
      </c>
      <c r="DR866" s="58">
        <f t="array" ref="DR866">SUM(IF(DO866:DP866&gt;=DO866, 1))</f>
        <v>2</v>
      </c>
      <c r="DS866" s="58">
        <f t="array" ref="DS866">SUM(IF(DO866:DP866&gt;=DP866, 1))</f>
        <v>1</v>
      </c>
      <c r="DU866" s="109">
        <f t="shared" si="344"/>
        <v>-16561056.205627279</v>
      </c>
      <c r="DV866" s="109">
        <f t="shared" si="345"/>
        <v>0</v>
      </c>
      <c r="DX866" s="58">
        <f t="array" ref="DX866">SUM(IF(DU866:DV866&gt;=DU866, 1))</f>
        <v>2</v>
      </c>
      <c r="DY866" s="58">
        <f t="array" ref="DY866">SUM(IF(DU866:DV866&gt;=DV866, 1))</f>
        <v>1</v>
      </c>
      <c r="EA866" s="109">
        <f t="shared" si="346"/>
        <v>-111969927.71570542</v>
      </c>
      <c r="EB866" s="109">
        <f t="shared" si="347"/>
        <v>0</v>
      </c>
      <c r="ED866" s="58">
        <f t="array" ref="ED866">SUM(IF(EA866:EB866&gt;=EA866, 1))</f>
        <v>2</v>
      </c>
      <c r="EE866" s="58">
        <f t="array" ref="EE866">SUM(IF(EA866:EB866&gt;=EB866, 1))</f>
        <v>1</v>
      </c>
    </row>
    <row r="867" spans="4:135" ht="12" customHeight="1" x14ac:dyDescent="0.25">
      <c r="D867" s="11">
        <v>851</v>
      </c>
      <c r="E867" s="72">
        <v>235.28905754937568</v>
      </c>
      <c r="F867" s="72">
        <v>200.45491117831583</v>
      </c>
      <c r="G867" s="73"/>
      <c r="H867" s="74">
        <v>5.8449895915760983</v>
      </c>
      <c r="I867" s="74">
        <v>5.8629886523554173</v>
      </c>
      <c r="J867" s="73"/>
      <c r="K867" s="72">
        <v>251.69982051777356</v>
      </c>
      <c r="L867" s="72">
        <v>216.06945941443539</v>
      </c>
      <c r="M867" s="73"/>
      <c r="N867" s="74">
        <v>6.696821415134214</v>
      </c>
      <c r="O867" s="74">
        <v>6.7126095318721655</v>
      </c>
      <c r="P867" s="73"/>
      <c r="Q867" s="72">
        <v>2889.8154550528507</v>
      </c>
      <c r="R867" s="72">
        <v>1470.1233017059906</v>
      </c>
      <c r="S867" s="73"/>
      <c r="T867" s="74">
        <v>4.8115544700041992</v>
      </c>
      <c r="U867" s="74">
        <v>4.9049364057991962</v>
      </c>
      <c r="V867" s="73"/>
      <c r="W867" s="72">
        <v>15076.909685966835</v>
      </c>
      <c r="X867" s="72">
        <v>15004.574102445447</v>
      </c>
      <c r="Y867" s="73"/>
      <c r="Z867" s="74">
        <v>3.0367711114255926</v>
      </c>
      <c r="AA867" s="74">
        <v>3.0796952352403788</v>
      </c>
      <c r="AB867" s="73"/>
      <c r="AC867" s="72">
        <v>50963.745363091752</v>
      </c>
      <c r="AD867" s="72">
        <v>50676.700819839054</v>
      </c>
      <c r="AE867" s="73"/>
      <c r="AF867" s="74">
        <v>4.2689919150235509</v>
      </c>
      <c r="AG867" s="74">
        <v>4.3774537125420787</v>
      </c>
      <c r="AH867" s="73"/>
      <c r="AI867" s="72">
        <v>3755017.8444243991</v>
      </c>
      <c r="AJ867" s="72">
        <v>0</v>
      </c>
      <c r="AK867" s="73"/>
      <c r="AL867" s="74">
        <v>-1940.2454617166443</v>
      </c>
      <c r="AM867" s="74">
        <v>0</v>
      </c>
      <c r="AN867" s="73"/>
      <c r="AO867" s="72">
        <v>257819.06421787303</v>
      </c>
      <c r="AP867" s="72">
        <v>0</v>
      </c>
      <c r="AQ867" s="73"/>
      <c r="AR867" s="74">
        <v>-114.24182514837942</v>
      </c>
      <c r="AS867" s="74">
        <v>0</v>
      </c>
      <c r="AT867" s="73"/>
      <c r="AU867" s="72">
        <v>31806194.298452072</v>
      </c>
      <c r="AV867" s="72">
        <v>0</v>
      </c>
      <c r="AW867" s="73"/>
      <c r="AX867" s="74">
        <v>-2092.0901667726466</v>
      </c>
      <c r="AY867" s="74">
        <v>0</v>
      </c>
      <c r="AZ867" s="73"/>
      <c r="BA867" s="72">
        <v>665663.62562853098</v>
      </c>
      <c r="BB867" s="72">
        <v>0</v>
      </c>
      <c r="BC867" s="73"/>
      <c r="BD867" s="74">
        <v>-395.00653059680059</v>
      </c>
      <c r="BE867" s="74">
        <v>0</v>
      </c>
      <c r="BF867" s="73"/>
      <c r="BG867" s="72">
        <v>4581078.4068692476</v>
      </c>
      <c r="BH867" s="72">
        <v>0</v>
      </c>
      <c r="BI867" s="73"/>
      <c r="BJ867" s="74">
        <v>-1730.9926638979321</v>
      </c>
      <c r="BK867" s="74">
        <v>0</v>
      </c>
      <c r="BL867" s="73"/>
      <c r="BM867" s="72">
        <v>41065773.23959212</v>
      </c>
      <c r="BN867" s="72">
        <v>0</v>
      </c>
      <c r="BO867" s="73"/>
      <c r="BP867" s="74">
        <v>-6272.5766481324035</v>
      </c>
      <c r="BQ867" s="74">
        <v>0</v>
      </c>
      <c r="BS867" s="109">
        <f t="shared" si="327"/>
        <v>116664.50277397259</v>
      </c>
      <c r="BT867" s="109">
        <f t="shared" si="328"/>
        <v>117059.31813593004</v>
      </c>
      <c r="BV867" s="58">
        <f t="array" ref="BV867">SUM(IF(BS867:BT867&gt;=BS867, 1))</f>
        <v>2</v>
      </c>
      <c r="BW867" s="58">
        <f t="array" ref="BW867">SUM(IF(BS867:BT867&gt;=BT867, 1))</f>
        <v>1</v>
      </c>
      <c r="BY867" s="109">
        <f t="shared" si="329"/>
        <v>133684.72848216651</v>
      </c>
      <c r="BZ867" s="109">
        <f t="shared" si="330"/>
        <v>134036.12117802887</v>
      </c>
      <c r="CB867" s="58">
        <f t="array" ref="CB867">SUM(IF(BY867:BZ867&gt;=BY867, 1))</f>
        <v>2</v>
      </c>
      <c r="CC867" s="58">
        <f t="array" ref="CC867">SUM(IF(BY867:BZ867&gt;=BZ867, 1))</f>
        <v>1</v>
      </c>
      <c r="CE867" s="109">
        <f t="shared" si="331"/>
        <v>93341.273945031135</v>
      </c>
      <c r="CF867" s="109">
        <f t="shared" si="332"/>
        <v>96628.604814277933</v>
      </c>
      <c r="CH867" s="58">
        <f t="array" ref="CH867">SUM(IF(CE867:CF867&gt;=CE867, 1))</f>
        <v>2</v>
      </c>
      <c r="CI867" s="58">
        <f t="array" ref="CI867">SUM(IF(CE867:CF867&gt;=CF867, 1))</f>
        <v>1</v>
      </c>
      <c r="CK867" s="109">
        <f t="shared" si="333"/>
        <v>45658.512542545017</v>
      </c>
      <c r="CL867" s="109">
        <f t="shared" si="334"/>
        <v>46589.330602362126</v>
      </c>
      <c r="CN867" s="58">
        <f t="array" ref="CN867">SUM(IF(CK867:CL867&gt;=CK867, 1))</f>
        <v>2</v>
      </c>
      <c r="CO867" s="58">
        <f t="array" ref="CO867">SUM(IF(CK867:CL867&gt;=CL867, 1))</f>
        <v>1</v>
      </c>
      <c r="CQ867" s="109" cm="1">
        <f t="array" ref="CQ867">AF867*WTP-AC867</f>
        <v>34416.092937379268</v>
      </c>
      <c r="CR867" s="109">
        <f t="shared" si="335"/>
        <v>36872.373431002517</v>
      </c>
      <c r="CT867" s="58">
        <f t="array" ref="CT867">SUM(IF(CQ867:CR867&gt;=CQ867, 1))</f>
        <v>2</v>
      </c>
      <c r="CU867" s="58">
        <f t="array" ref="CU867">SUM(IF(CQ867:CR867&gt;=CR867, 1))</f>
        <v>1</v>
      </c>
      <c r="CW867" s="109">
        <f t="shared" si="336"/>
        <v>-42559927.078757286</v>
      </c>
      <c r="CX867" s="109">
        <f t="shared" si="337"/>
        <v>0</v>
      </c>
      <c r="CZ867" s="58">
        <f t="array" ref="CZ867">SUM(IF(CW867:CX867&gt;=CW867, 1))</f>
        <v>2</v>
      </c>
      <c r="DA867" s="58">
        <f t="array" ref="DA867">SUM(IF(CW867:CX867&gt;=CX867, 1))</f>
        <v>1</v>
      </c>
      <c r="DC867" s="109">
        <f t="shared" si="338"/>
        <v>-2542655.5671854615</v>
      </c>
      <c r="DD867" s="109">
        <f t="shared" si="339"/>
        <v>0</v>
      </c>
      <c r="DF867" s="58">
        <f t="array" ref="DF867">SUM(IF(DC867:DD867&gt;=DC867, 1))</f>
        <v>2</v>
      </c>
      <c r="DG867" s="58">
        <f t="array" ref="DG867">SUM(IF(DC867:DD867&gt;=DD867, 1))</f>
        <v>1</v>
      </c>
      <c r="DI867" s="109">
        <f t="shared" si="340"/>
        <v>-73647997.633904994</v>
      </c>
      <c r="DJ867" s="109">
        <f t="shared" si="341"/>
        <v>0</v>
      </c>
      <c r="DL867" s="58">
        <f t="array" ref="DL867">SUM(IF(DI867:DJ867&gt;=DI867, 1))</f>
        <v>2</v>
      </c>
      <c r="DM867" s="58">
        <f t="array" ref="DM867">SUM(IF(DI867:DJ867&gt;=DJ867, 1))</f>
        <v>1</v>
      </c>
      <c r="DO867" s="109">
        <f t="shared" si="342"/>
        <v>-8565794.2375645414</v>
      </c>
      <c r="DP867" s="109">
        <f t="shared" si="343"/>
        <v>0</v>
      </c>
      <c r="DR867" s="58">
        <f t="array" ref="DR867">SUM(IF(DO867:DP867&gt;=DO867, 1))</f>
        <v>2</v>
      </c>
      <c r="DS867" s="58">
        <f t="array" ref="DS867">SUM(IF(DO867:DP867&gt;=DP867, 1))</f>
        <v>1</v>
      </c>
      <c r="DU867" s="109">
        <f t="shared" si="344"/>
        <v>-39200931.684827887</v>
      </c>
      <c r="DV867" s="109">
        <f t="shared" si="345"/>
        <v>0</v>
      </c>
      <c r="DX867" s="58">
        <f t="array" ref="DX867">SUM(IF(DU867:DV867&gt;=DU867, 1))</f>
        <v>2</v>
      </c>
      <c r="DY867" s="58">
        <f t="array" ref="DY867">SUM(IF(DU867:DV867&gt;=DV867, 1))</f>
        <v>1</v>
      </c>
      <c r="EA867" s="109">
        <f t="shared" si="346"/>
        <v>-166517306.20224017</v>
      </c>
      <c r="EB867" s="109">
        <f t="shared" si="347"/>
        <v>0</v>
      </c>
      <c r="ED867" s="58">
        <f t="array" ref="ED867">SUM(IF(EA867:EB867&gt;=EA867, 1))</f>
        <v>2</v>
      </c>
      <c r="EE867" s="58">
        <f t="array" ref="EE867">SUM(IF(EA867:EB867&gt;=EB867, 1))</f>
        <v>1</v>
      </c>
    </row>
    <row r="868" spans="4:135" ht="12" customHeight="1" x14ac:dyDescent="0.25">
      <c r="D868" s="11">
        <v>852</v>
      </c>
      <c r="E868" s="72">
        <v>343.53529339060566</v>
      </c>
      <c r="F868" s="72">
        <v>321.41925235201165</v>
      </c>
      <c r="G868" s="73"/>
      <c r="H868" s="74">
        <v>5.8377164859197714</v>
      </c>
      <c r="I868" s="74">
        <v>5.8535382743215818</v>
      </c>
      <c r="J868" s="73"/>
      <c r="K868" s="72">
        <v>369.27336589182096</v>
      </c>
      <c r="L868" s="72">
        <v>346.58498432130062</v>
      </c>
      <c r="M868" s="73"/>
      <c r="N868" s="74">
        <v>6.635797510392198</v>
      </c>
      <c r="O868" s="74">
        <v>6.649103915536827</v>
      </c>
      <c r="P868" s="73"/>
      <c r="Q868" s="72">
        <v>2824.9835435319142</v>
      </c>
      <c r="R868" s="72">
        <v>1631.8140511368856</v>
      </c>
      <c r="S868" s="73"/>
      <c r="T868" s="74">
        <v>4.8318791639917125</v>
      </c>
      <c r="U868" s="74">
        <v>4.9314721873498826</v>
      </c>
      <c r="V868" s="73"/>
      <c r="W868" s="72">
        <v>13467.599226951246</v>
      </c>
      <c r="X868" s="72">
        <v>13564.535328917891</v>
      </c>
      <c r="Y868" s="73"/>
      <c r="Z868" s="74">
        <v>3.0964024292265218</v>
      </c>
      <c r="AA868" s="74">
        <v>3.1708173873170025</v>
      </c>
      <c r="AB868" s="73"/>
      <c r="AC868" s="72">
        <v>48667.036562677364</v>
      </c>
      <c r="AD868" s="72">
        <v>48713.728199572994</v>
      </c>
      <c r="AE868" s="73"/>
      <c r="AF868" s="74">
        <v>4.9139271100373056</v>
      </c>
      <c r="AG868" s="74">
        <v>5.0268661582131475</v>
      </c>
      <c r="AH868" s="73"/>
      <c r="AI868" s="72">
        <v>2356079.3890306954</v>
      </c>
      <c r="AJ868" s="72">
        <v>0</v>
      </c>
      <c r="AK868" s="73"/>
      <c r="AL868" s="74">
        <v>-1685.5362804788936</v>
      </c>
      <c r="AM868" s="74">
        <v>0</v>
      </c>
      <c r="AN868" s="73"/>
      <c r="AO868" s="72">
        <v>164369.53252999054</v>
      </c>
      <c r="AP868" s="72">
        <v>0</v>
      </c>
      <c r="AQ868" s="73"/>
      <c r="AR868" s="74">
        <v>-96.400335408638355</v>
      </c>
      <c r="AS868" s="74">
        <v>0</v>
      </c>
      <c r="AT868" s="73"/>
      <c r="AU868" s="72">
        <v>27741739.916000657</v>
      </c>
      <c r="AV868" s="72">
        <v>0</v>
      </c>
      <c r="AW868" s="73"/>
      <c r="AX868" s="74">
        <v>-2315.5836359046061</v>
      </c>
      <c r="AY868" s="74">
        <v>0</v>
      </c>
      <c r="AZ868" s="73"/>
      <c r="BA868" s="72">
        <v>-869725.45744973095</v>
      </c>
      <c r="BB868" s="72">
        <v>0</v>
      </c>
      <c r="BC868" s="73"/>
      <c r="BD868" s="74">
        <v>-667.66232758787703</v>
      </c>
      <c r="BE868" s="74">
        <v>0</v>
      </c>
      <c r="BF868" s="73"/>
      <c r="BG868" s="72">
        <v>-734326.79508576577</v>
      </c>
      <c r="BH868" s="72">
        <v>0</v>
      </c>
      <c r="BI868" s="73"/>
      <c r="BJ868" s="74">
        <v>-1776.2103623050541</v>
      </c>
      <c r="BK868" s="74">
        <v>0</v>
      </c>
      <c r="BL868" s="73"/>
      <c r="BM868" s="72">
        <v>28658136.585025847</v>
      </c>
      <c r="BN868" s="72">
        <v>0</v>
      </c>
      <c r="BO868" s="73"/>
      <c r="BP868" s="74">
        <v>-6541.3929416850697</v>
      </c>
      <c r="BQ868" s="74">
        <v>0</v>
      </c>
      <c r="BS868" s="109">
        <f t="shared" si="327"/>
        <v>116410.79442500482</v>
      </c>
      <c r="BT868" s="109">
        <f t="shared" si="328"/>
        <v>116749.34623407962</v>
      </c>
      <c r="BV868" s="58">
        <f t="array" ref="BV868">SUM(IF(BS868:BT868&gt;=BS868, 1))</f>
        <v>2</v>
      </c>
      <c r="BW868" s="58">
        <f t="array" ref="BW868">SUM(IF(BS868:BT868&gt;=BT868, 1))</f>
        <v>1</v>
      </c>
      <c r="BY868" s="109">
        <f t="shared" si="329"/>
        <v>132346.67684195214</v>
      </c>
      <c r="BZ868" s="109">
        <f t="shared" si="330"/>
        <v>132635.49332641525</v>
      </c>
      <c r="CB868" s="58">
        <f t="array" ref="CB868">SUM(IF(BY868:BZ868&gt;=BY868, 1))</f>
        <v>2</v>
      </c>
      <c r="CC868" s="58">
        <f t="array" ref="CC868">SUM(IF(BY868:BZ868&gt;=BZ868, 1))</f>
        <v>1</v>
      </c>
      <c r="CE868" s="109">
        <f t="shared" si="331"/>
        <v>93812.599736302334</v>
      </c>
      <c r="CF868" s="109">
        <f t="shared" si="332"/>
        <v>96997.629695860771</v>
      </c>
      <c r="CH868" s="58">
        <f t="array" ref="CH868">SUM(IF(CE868:CF868&gt;=CE868, 1))</f>
        <v>2</v>
      </c>
      <c r="CI868" s="58">
        <f t="array" ref="CI868">SUM(IF(CE868:CF868&gt;=CF868, 1))</f>
        <v>1</v>
      </c>
      <c r="CK868" s="109">
        <f t="shared" si="333"/>
        <v>48460.449357579186</v>
      </c>
      <c r="CL868" s="109">
        <f t="shared" si="334"/>
        <v>49851.812417422159</v>
      </c>
      <c r="CN868" s="58">
        <f t="array" ref="CN868">SUM(IF(CK868:CL868&gt;=CK868, 1))</f>
        <v>2</v>
      </c>
      <c r="CO868" s="58">
        <f t="array" ref="CO868">SUM(IF(CK868:CL868&gt;=CL868, 1))</f>
        <v>1</v>
      </c>
      <c r="CQ868" s="109" cm="1">
        <f t="array" ref="CQ868">AF868*WTP-AC868</f>
        <v>49611.505638068753</v>
      </c>
      <c r="CR868" s="109">
        <f t="shared" si="335"/>
        <v>51823.594964689961</v>
      </c>
      <c r="CT868" s="58">
        <f t="array" ref="CT868">SUM(IF(CQ868:CR868&gt;=CQ868, 1))</f>
        <v>2</v>
      </c>
      <c r="CU868" s="58">
        <f t="array" ref="CU868">SUM(IF(CQ868:CR868&gt;=CR868, 1))</f>
        <v>1</v>
      </c>
      <c r="CW868" s="109">
        <f t="shared" si="336"/>
        <v>-36066804.998608567</v>
      </c>
      <c r="CX868" s="109">
        <f t="shared" si="337"/>
        <v>0</v>
      </c>
      <c r="CZ868" s="58">
        <f t="array" ref="CZ868">SUM(IF(CW868:CX868&gt;=CW868, 1))</f>
        <v>2</v>
      </c>
      <c r="DA868" s="58">
        <f t="array" ref="DA868">SUM(IF(CW868:CX868&gt;=CX868, 1))</f>
        <v>1</v>
      </c>
      <c r="DC868" s="109">
        <f t="shared" si="338"/>
        <v>-2092376.2407027576</v>
      </c>
      <c r="DD868" s="109">
        <f t="shared" si="339"/>
        <v>0</v>
      </c>
      <c r="DF868" s="58">
        <f t="array" ref="DF868">SUM(IF(DC868:DD868&gt;=DC868, 1))</f>
        <v>2</v>
      </c>
      <c r="DG868" s="58">
        <f t="array" ref="DG868">SUM(IF(DC868:DD868&gt;=DD868, 1))</f>
        <v>1</v>
      </c>
      <c r="DI868" s="109">
        <f t="shared" si="340"/>
        <v>-74053412.634092778</v>
      </c>
      <c r="DJ868" s="109">
        <f t="shared" si="341"/>
        <v>0</v>
      </c>
      <c r="DL868" s="58">
        <f t="array" ref="DL868">SUM(IF(DI868:DJ868&gt;=DI868, 1))</f>
        <v>2</v>
      </c>
      <c r="DM868" s="58">
        <f t="array" ref="DM868">SUM(IF(DI868:DJ868&gt;=DJ868, 1))</f>
        <v>1</v>
      </c>
      <c r="DO868" s="109">
        <f t="shared" si="342"/>
        <v>-12483521.09430781</v>
      </c>
      <c r="DP868" s="109">
        <f t="shared" si="343"/>
        <v>0</v>
      </c>
      <c r="DR868" s="58">
        <f t="array" ref="DR868">SUM(IF(DO868:DP868&gt;=DO868, 1))</f>
        <v>2</v>
      </c>
      <c r="DS868" s="58">
        <f t="array" ref="DS868">SUM(IF(DO868:DP868&gt;=DP868, 1))</f>
        <v>1</v>
      </c>
      <c r="DU868" s="109">
        <f t="shared" si="344"/>
        <v>-34789880.451015316</v>
      </c>
      <c r="DV868" s="109">
        <f t="shared" si="345"/>
        <v>0</v>
      </c>
      <c r="DX868" s="58">
        <f t="array" ref="DX868">SUM(IF(DU868:DV868&gt;=DU868, 1))</f>
        <v>2</v>
      </c>
      <c r="DY868" s="58">
        <f t="array" ref="DY868">SUM(IF(DU868:DV868&gt;=DV868, 1))</f>
        <v>1</v>
      </c>
      <c r="EA868" s="109">
        <f t="shared" si="346"/>
        <v>-159485995.41872722</v>
      </c>
      <c r="EB868" s="109">
        <f t="shared" si="347"/>
        <v>0</v>
      </c>
      <c r="ED868" s="58">
        <f t="array" ref="ED868">SUM(IF(EA868:EB868&gt;=EA868, 1))</f>
        <v>2</v>
      </c>
      <c r="EE868" s="58">
        <f t="array" ref="EE868">SUM(IF(EA868:EB868&gt;=EB868, 1))</f>
        <v>1</v>
      </c>
    </row>
    <row r="869" spans="4:135" ht="12" customHeight="1" x14ac:dyDescent="0.25">
      <c r="D869" s="11">
        <v>853</v>
      </c>
      <c r="E869" s="72">
        <v>225.01877519272821</v>
      </c>
      <c r="F869" s="72">
        <v>219.82901462835065</v>
      </c>
      <c r="G869" s="73"/>
      <c r="H869" s="74">
        <v>5.815481700395317</v>
      </c>
      <c r="I869" s="74">
        <v>5.8300320068894038</v>
      </c>
      <c r="J869" s="73"/>
      <c r="K869" s="72">
        <v>242.43106559297868</v>
      </c>
      <c r="L869" s="72">
        <v>237.09195489497475</v>
      </c>
      <c r="M869" s="73"/>
      <c r="N869" s="74">
        <v>6.6955489103930992</v>
      </c>
      <c r="O869" s="74">
        <v>6.708153539828646</v>
      </c>
      <c r="P869" s="73"/>
      <c r="Q869" s="72">
        <v>1642.6381595183523</v>
      </c>
      <c r="R869" s="72">
        <v>1225.2842882400789</v>
      </c>
      <c r="S869" s="73"/>
      <c r="T869" s="74">
        <v>4.8555161681440246</v>
      </c>
      <c r="U869" s="74">
        <v>4.9237163204534289</v>
      </c>
      <c r="V869" s="73"/>
      <c r="W869" s="72">
        <v>12821.972973296366</v>
      </c>
      <c r="X869" s="72">
        <v>12795.286511984505</v>
      </c>
      <c r="Y869" s="73"/>
      <c r="Z869" s="74">
        <v>2.8918066081508615</v>
      </c>
      <c r="AA869" s="74">
        <v>2.9300100406206142</v>
      </c>
      <c r="AB869" s="73"/>
      <c r="AC869" s="72">
        <v>48587.221924185724</v>
      </c>
      <c r="AD869" s="72">
        <v>48229.581095334506</v>
      </c>
      <c r="AE869" s="73"/>
      <c r="AF869" s="74">
        <v>4.9990086380431684</v>
      </c>
      <c r="AG869" s="74">
        <v>5.1342981656914644</v>
      </c>
      <c r="AH869" s="73"/>
      <c r="AI869" s="72">
        <v>558672.97015961504</v>
      </c>
      <c r="AJ869" s="72">
        <v>0</v>
      </c>
      <c r="AK869" s="73"/>
      <c r="AL869" s="74">
        <v>-1566.3271638349981</v>
      </c>
      <c r="AM869" s="74">
        <v>0</v>
      </c>
      <c r="AN869" s="73"/>
      <c r="AO869" s="72">
        <v>36498.878556613934</v>
      </c>
      <c r="AP869" s="72">
        <v>0</v>
      </c>
      <c r="AQ869" s="73"/>
      <c r="AR869" s="74">
        <v>-86.16694147044764</v>
      </c>
      <c r="AS869" s="74">
        <v>0</v>
      </c>
      <c r="AT869" s="73"/>
      <c r="AU869" s="72">
        <v>9912926.4109379891</v>
      </c>
      <c r="AV869" s="72">
        <v>0</v>
      </c>
      <c r="AW869" s="73"/>
      <c r="AX869" s="74">
        <v>-1619.879765311</v>
      </c>
      <c r="AY869" s="74">
        <v>0</v>
      </c>
      <c r="AZ869" s="73"/>
      <c r="BA869" s="72">
        <v>239511.72469389846</v>
      </c>
      <c r="BB869" s="72">
        <v>0</v>
      </c>
      <c r="BC869" s="73"/>
      <c r="BD869" s="74">
        <v>-342.87685778669851</v>
      </c>
      <c r="BE869" s="74">
        <v>0</v>
      </c>
      <c r="BF869" s="73"/>
      <c r="BG869" s="72">
        <v>5501500.1084533036</v>
      </c>
      <c r="BH869" s="72">
        <v>0</v>
      </c>
      <c r="BI869" s="73"/>
      <c r="BJ869" s="74">
        <v>-2081.1252267266477</v>
      </c>
      <c r="BK869" s="74">
        <v>0</v>
      </c>
      <c r="BL869" s="73"/>
      <c r="BM869" s="72">
        <v>16249110.09280142</v>
      </c>
      <c r="BN869" s="72">
        <v>0</v>
      </c>
      <c r="BO869" s="73"/>
      <c r="BP869" s="74">
        <v>-5696.3759551297917</v>
      </c>
      <c r="BQ869" s="74">
        <v>0</v>
      </c>
      <c r="BS869" s="109">
        <f t="shared" si="327"/>
        <v>116084.61523271361</v>
      </c>
      <c r="BT869" s="109">
        <f t="shared" si="328"/>
        <v>116380.81112315973</v>
      </c>
      <c r="BV869" s="58">
        <f t="array" ref="BV869">SUM(IF(BS869:BT869&gt;=BS869, 1))</f>
        <v>2</v>
      </c>
      <c r="BW869" s="58">
        <f t="array" ref="BW869">SUM(IF(BS869:BT869&gt;=BT869, 1))</f>
        <v>1</v>
      </c>
      <c r="BY869" s="109">
        <f t="shared" si="329"/>
        <v>133668.547142269</v>
      </c>
      <c r="BZ869" s="109">
        <f t="shared" si="330"/>
        <v>133925.97884167795</v>
      </c>
      <c r="CB869" s="58">
        <f t="array" ref="CB869">SUM(IF(BY869:BZ869&gt;=BY869, 1))</f>
        <v>2</v>
      </c>
      <c r="CC869" s="58">
        <f t="array" ref="CC869">SUM(IF(BY869:BZ869&gt;=BZ869, 1))</f>
        <v>1</v>
      </c>
      <c r="CE869" s="109">
        <f t="shared" si="331"/>
        <v>95467.68520336214</v>
      </c>
      <c r="CF869" s="109">
        <f t="shared" si="332"/>
        <v>97249.042120828512</v>
      </c>
      <c r="CH869" s="58">
        <f t="array" ref="CH869">SUM(IF(CE869:CF869&gt;=CE869, 1))</f>
        <v>2</v>
      </c>
      <c r="CI869" s="58">
        <f t="array" ref="CI869">SUM(IF(CE869:CF869&gt;=CF869, 1))</f>
        <v>1</v>
      </c>
      <c r="CK869" s="109">
        <f t="shared" si="333"/>
        <v>45014.159189720864</v>
      </c>
      <c r="CL869" s="109">
        <f t="shared" si="334"/>
        <v>45804.914300427787</v>
      </c>
      <c r="CN869" s="58">
        <f t="array" ref="CN869">SUM(IF(CK869:CL869&gt;=CK869, 1))</f>
        <v>2</v>
      </c>
      <c r="CO869" s="58">
        <f t="array" ref="CO869">SUM(IF(CK869:CL869&gt;=CL869, 1))</f>
        <v>1</v>
      </c>
      <c r="CQ869" s="109" cm="1">
        <f t="array" ref="CQ869">AF869*WTP-AC869</f>
        <v>51392.950836677643</v>
      </c>
      <c r="CR869" s="109">
        <f t="shared" si="335"/>
        <v>54456.382218494778</v>
      </c>
      <c r="CT869" s="58">
        <f t="array" ref="CT869">SUM(IF(CQ869:CR869&gt;=CQ869, 1))</f>
        <v>2</v>
      </c>
      <c r="CU869" s="58">
        <f t="array" ref="CU869">SUM(IF(CQ869:CR869&gt;=CR869, 1))</f>
        <v>1</v>
      </c>
      <c r="CW869" s="109">
        <f t="shared" si="336"/>
        <v>-31885216.24685958</v>
      </c>
      <c r="CX869" s="109">
        <f t="shared" si="337"/>
        <v>0</v>
      </c>
      <c r="CZ869" s="58">
        <f t="array" ref="CZ869">SUM(IF(CW869:CX869&gt;=CW869, 1))</f>
        <v>2</v>
      </c>
      <c r="DA869" s="58">
        <f t="array" ref="DA869">SUM(IF(CW869:CX869&gt;=CX869, 1))</f>
        <v>1</v>
      </c>
      <c r="DC869" s="109">
        <f t="shared" si="338"/>
        <v>-1759837.7079655668</v>
      </c>
      <c r="DD869" s="109">
        <f t="shared" si="339"/>
        <v>0</v>
      </c>
      <c r="DF869" s="58">
        <f t="array" ref="DF869">SUM(IF(DC869:DD869&gt;=DC869, 1))</f>
        <v>2</v>
      </c>
      <c r="DG869" s="58">
        <f t="array" ref="DG869">SUM(IF(DC869:DD869&gt;=DD869, 1))</f>
        <v>1</v>
      </c>
      <c r="DI869" s="109">
        <f t="shared" si="340"/>
        <v>-42310521.71715799</v>
      </c>
      <c r="DJ869" s="109">
        <f t="shared" si="341"/>
        <v>0</v>
      </c>
      <c r="DL869" s="58">
        <f t="array" ref="DL869">SUM(IF(DI869:DJ869&gt;=DI869, 1))</f>
        <v>2</v>
      </c>
      <c r="DM869" s="58">
        <f t="array" ref="DM869">SUM(IF(DI869:DJ869&gt;=DJ869, 1))</f>
        <v>1</v>
      </c>
      <c r="DO869" s="109">
        <f t="shared" si="342"/>
        <v>-7097048.8804278681</v>
      </c>
      <c r="DP869" s="109">
        <f t="shared" si="343"/>
        <v>0</v>
      </c>
      <c r="DR869" s="58">
        <f t="array" ref="DR869">SUM(IF(DO869:DP869&gt;=DO869, 1))</f>
        <v>2</v>
      </c>
      <c r="DS869" s="58">
        <f t="array" ref="DS869">SUM(IF(DO869:DP869&gt;=DP869, 1))</f>
        <v>1</v>
      </c>
      <c r="DU869" s="109">
        <f t="shared" si="344"/>
        <v>-47124004.64298626</v>
      </c>
      <c r="DV869" s="109">
        <f t="shared" si="345"/>
        <v>0</v>
      </c>
      <c r="DX869" s="58">
        <f t="array" ref="DX869">SUM(IF(DU869:DV869&gt;=DU869, 1))</f>
        <v>2</v>
      </c>
      <c r="DY869" s="58">
        <f t="array" ref="DY869">SUM(IF(DU869:DV869&gt;=DV869, 1))</f>
        <v>1</v>
      </c>
      <c r="EA869" s="109">
        <f t="shared" si="346"/>
        <v>-130176629.19539726</v>
      </c>
      <c r="EB869" s="109">
        <f t="shared" si="347"/>
        <v>0</v>
      </c>
      <c r="ED869" s="58">
        <f t="array" ref="ED869">SUM(IF(EA869:EB869&gt;=EA869, 1))</f>
        <v>2</v>
      </c>
      <c r="EE869" s="58">
        <f t="array" ref="EE869">SUM(IF(EA869:EB869&gt;=EB869, 1))</f>
        <v>1</v>
      </c>
    </row>
    <row r="870" spans="4:135" ht="12" customHeight="1" x14ac:dyDescent="0.25">
      <c r="D870" s="11">
        <v>854</v>
      </c>
      <c r="E870" s="72">
        <v>284.73409474323842</v>
      </c>
      <c r="F870" s="72">
        <v>241.98912875896607</v>
      </c>
      <c r="G870" s="73"/>
      <c r="H870" s="74">
        <v>5.8488492324250059</v>
      </c>
      <c r="I870" s="74">
        <v>5.8671261331553941</v>
      </c>
      <c r="J870" s="73"/>
      <c r="K870" s="72">
        <v>304.67794937980807</v>
      </c>
      <c r="L870" s="72">
        <v>260.89023894489793</v>
      </c>
      <c r="M870" s="73"/>
      <c r="N870" s="74">
        <v>6.7430622608756581</v>
      </c>
      <c r="O870" s="74">
        <v>6.7587172836794229</v>
      </c>
      <c r="P870" s="73"/>
      <c r="Q870" s="72">
        <v>2266.6358842091427</v>
      </c>
      <c r="R870" s="72">
        <v>1485.304435947882</v>
      </c>
      <c r="S870" s="73"/>
      <c r="T870" s="74">
        <v>4.8613105875530351</v>
      </c>
      <c r="U870" s="74">
        <v>4.9360953699837751</v>
      </c>
      <c r="V870" s="73"/>
      <c r="W870" s="72">
        <v>10131.573181702923</v>
      </c>
      <c r="X870" s="72">
        <v>10138.603195488558</v>
      </c>
      <c r="Y870" s="73"/>
      <c r="Z870" s="74">
        <v>3.0054617622013295</v>
      </c>
      <c r="AA870" s="74">
        <v>3.0467266506460913</v>
      </c>
      <c r="AB870" s="73"/>
      <c r="AC870" s="72">
        <v>49099.829585218147</v>
      </c>
      <c r="AD870" s="72">
        <v>48979.41567501727</v>
      </c>
      <c r="AE870" s="73"/>
      <c r="AF870" s="74">
        <v>4.672700294370018</v>
      </c>
      <c r="AG870" s="74">
        <v>4.7761906165567005</v>
      </c>
      <c r="AH870" s="73"/>
      <c r="AI870" s="72">
        <v>4568500.2298726821</v>
      </c>
      <c r="AJ870" s="72">
        <v>0</v>
      </c>
      <c r="AK870" s="73"/>
      <c r="AL870" s="74">
        <v>-1953.4002019994882</v>
      </c>
      <c r="AM870" s="74">
        <v>0</v>
      </c>
      <c r="AN870" s="73"/>
      <c r="AO870" s="72">
        <v>286786.56094214576</v>
      </c>
      <c r="AP870" s="72">
        <v>0</v>
      </c>
      <c r="AQ870" s="73"/>
      <c r="AR870" s="74">
        <v>-102.53219697422628</v>
      </c>
      <c r="AS870" s="74">
        <v>0</v>
      </c>
      <c r="AT870" s="73"/>
      <c r="AU870" s="72">
        <v>17913081.100008443</v>
      </c>
      <c r="AV870" s="72">
        <v>0</v>
      </c>
      <c r="AW870" s="73"/>
      <c r="AX870" s="74">
        <v>-1714.5423695788429</v>
      </c>
      <c r="AY870" s="74">
        <v>0</v>
      </c>
      <c r="AZ870" s="73"/>
      <c r="BA870" s="72">
        <v>-61361.891243930004</v>
      </c>
      <c r="BB870" s="72">
        <v>0</v>
      </c>
      <c r="BC870" s="73"/>
      <c r="BD870" s="74">
        <v>-360.18302014060902</v>
      </c>
      <c r="BE870" s="74">
        <v>0</v>
      </c>
      <c r="BF870" s="73"/>
      <c r="BG870" s="72">
        <v>1951837.192730784</v>
      </c>
      <c r="BH870" s="72">
        <v>0</v>
      </c>
      <c r="BI870" s="73"/>
      <c r="BJ870" s="74">
        <v>-1677.5159912561883</v>
      </c>
      <c r="BK870" s="74">
        <v>0</v>
      </c>
      <c r="BL870" s="73"/>
      <c r="BM870" s="72">
        <v>24658843.192310125</v>
      </c>
      <c r="BN870" s="72">
        <v>0</v>
      </c>
      <c r="BO870" s="73"/>
      <c r="BP870" s="74">
        <v>-5808.1737799493549</v>
      </c>
      <c r="BQ870" s="74">
        <v>0</v>
      </c>
      <c r="BS870" s="109">
        <f t="shared" si="327"/>
        <v>116692.25055375688</v>
      </c>
      <c r="BT870" s="109">
        <f t="shared" si="328"/>
        <v>117100.53353434891</v>
      </c>
      <c r="BV870" s="58">
        <f t="array" ref="BV870">SUM(IF(BS870:BT870&gt;=BS870, 1))</f>
        <v>2</v>
      </c>
      <c r="BW870" s="58">
        <f t="array" ref="BW870">SUM(IF(BS870:BT870&gt;=BT870, 1))</f>
        <v>1</v>
      </c>
      <c r="BY870" s="109">
        <f t="shared" si="329"/>
        <v>134556.56726813334</v>
      </c>
      <c r="BZ870" s="109">
        <f t="shared" si="330"/>
        <v>134913.45543464355</v>
      </c>
      <c r="CB870" s="58">
        <f t="array" ref="CB870">SUM(IF(BY870:BZ870&gt;=BY870, 1))</f>
        <v>2</v>
      </c>
      <c r="CC870" s="58">
        <f t="array" ref="CC870">SUM(IF(BY870:BZ870&gt;=BZ870, 1))</f>
        <v>1</v>
      </c>
      <c r="CE870" s="109">
        <f t="shared" si="331"/>
        <v>94959.575866851563</v>
      </c>
      <c r="CF870" s="109">
        <f t="shared" si="332"/>
        <v>97236.602963727622</v>
      </c>
      <c r="CH870" s="58">
        <f t="array" ref="CH870">SUM(IF(CE870:CF870&gt;=CE870, 1))</f>
        <v>2</v>
      </c>
      <c r="CI870" s="58">
        <f t="array" ref="CI870">SUM(IF(CE870:CF870&gt;=CF870, 1))</f>
        <v>1</v>
      </c>
      <c r="CK870" s="109">
        <f t="shared" si="333"/>
        <v>49977.662062323667</v>
      </c>
      <c r="CL870" s="109">
        <f t="shared" si="334"/>
        <v>50795.929817433265</v>
      </c>
      <c r="CN870" s="58">
        <f t="array" ref="CN870">SUM(IF(CK870:CL870&gt;=CK870, 1))</f>
        <v>2</v>
      </c>
      <c r="CO870" s="58">
        <f t="array" ref="CO870">SUM(IF(CK870:CL870&gt;=CL870, 1))</f>
        <v>1</v>
      </c>
      <c r="CQ870" s="109" cm="1">
        <f t="array" ref="CQ870">AF870*WTP-AC870</f>
        <v>44354.176302182212</v>
      </c>
      <c r="CR870" s="109">
        <f t="shared" si="335"/>
        <v>46544.396656116747</v>
      </c>
      <c r="CT870" s="58">
        <f t="array" ref="CT870">SUM(IF(CQ870:CR870&gt;=CQ870, 1))</f>
        <v>2</v>
      </c>
      <c r="CU870" s="58">
        <f t="array" ref="CU870">SUM(IF(CQ870:CR870&gt;=CR870, 1))</f>
        <v>1</v>
      </c>
      <c r="CW870" s="109">
        <f t="shared" si="336"/>
        <v>-43636504.269862443</v>
      </c>
      <c r="CX870" s="109">
        <f t="shared" si="337"/>
        <v>0</v>
      </c>
      <c r="CZ870" s="58">
        <f t="array" ref="CZ870">SUM(IF(CW870:CX870&gt;=CW870, 1))</f>
        <v>2</v>
      </c>
      <c r="DA870" s="58">
        <f t="array" ref="DA870">SUM(IF(CW870:CX870&gt;=CX870, 1))</f>
        <v>1</v>
      </c>
      <c r="DC870" s="109">
        <f t="shared" si="338"/>
        <v>-2337430.5004266715</v>
      </c>
      <c r="DD870" s="109">
        <f t="shared" si="339"/>
        <v>0</v>
      </c>
      <c r="DF870" s="58">
        <f t="array" ref="DF870">SUM(IF(DC870:DD870&gt;=DC870, 1))</f>
        <v>2</v>
      </c>
      <c r="DG870" s="58">
        <f t="array" ref="DG870">SUM(IF(DC870:DD870&gt;=DD870, 1))</f>
        <v>1</v>
      </c>
      <c r="DI870" s="109">
        <f t="shared" si="340"/>
        <v>-52203928.491585299</v>
      </c>
      <c r="DJ870" s="109">
        <f t="shared" si="341"/>
        <v>0</v>
      </c>
      <c r="DL870" s="58">
        <f t="array" ref="DL870">SUM(IF(DI870:DJ870&gt;=DI870, 1))</f>
        <v>2</v>
      </c>
      <c r="DM870" s="58">
        <f t="array" ref="DM870">SUM(IF(DI870:DJ870&gt;=DJ870, 1))</f>
        <v>1</v>
      </c>
      <c r="DO870" s="109">
        <f t="shared" si="342"/>
        <v>-7142298.5115682501</v>
      </c>
      <c r="DP870" s="109">
        <f t="shared" si="343"/>
        <v>0</v>
      </c>
      <c r="DR870" s="58">
        <f t="array" ref="DR870">SUM(IF(DO870:DP870&gt;=DO870, 1))</f>
        <v>2</v>
      </c>
      <c r="DS870" s="58">
        <f t="array" ref="DS870">SUM(IF(DO870:DP870&gt;=DP870, 1))</f>
        <v>1</v>
      </c>
      <c r="DU870" s="109">
        <f t="shared" si="344"/>
        <v>-35502157.017854549</v>
      </c>
      <c r="DV870" s="109">
        <f t="shared" si="345"/>
        <v>0</v>
      </c>
      <c r="DX870" s="58">
        <f t="array" ref="DX870">SUM(IF(DU870:DV870&gt;=DU870, 1))</f>
        <v>2</v>
      </c>
      <c r="DY870" s="58">
        <f t="array" ref="DY870">SUM(IF(DU870:DV870&gt;=DV870, 1))</f>
        <v>1</v>
      </c>
      <c r="EA870" s="109">
        <f t="shared" si="346"/>
        <v>-140822318.79129723</v>
      </c>
      <c r="EB870" s="109">
        <f t="shared" si="347"/>
        <v>0</v>
      </c>
      <c r="ED870" s="58">
        <f t="array" ref="ED870">SUM(IF(EA870:EB870&gt;=EA870, 1))</f>
        <v>2</v>
      </c>
      <c r="EE870" s="58">
        <f t="array" ref="EE870">SUM(IF(EA870:EB870&gt;=EB870, 1))</f>
        <v>1</v>
      </c>
    </row>
    <row r="871" spans="4:135" ht="12" customHeight="1" x14ac:dyDescent="0.25">
      <c r="D871" s="11">
        <v>855</v>
      </c>
      <c r="E871" s="72">
        <v>264.06837537648448</v>
      </c>
      <c r="F871" s="72">
        <v>224.36535020388837</v>
      </c>
      <c r="G871" s="73"/>
      <c r="H871" s="74">
        <v>5.8444994554447121</v>
      </c>
      <c r="I871" s="74">
        <v>5.8590657417984033</v>
      </c>
      <c r="J871" s="73"/>
      <c r="K871" s="72">
        <v>282.47060736139866</v>
      </c>
      <c r="L871" s="72">
        <v>241.83047172966207</v>
      </c>
      <c r="M871" s="73"/>
      <c r="N871" s="74">
        <v>6.6780096622561746</v>
      </c>
      <c r="O871" s="74">
        <v>6.6898676862384416</v>
      </c>
      <c r="P871" s="73"/>
      <c r="Q871" s="72">
        <v>1777.1571316258969</v>
      </c>
      <c r="R871" s="72">
        <v>1107.1729681949248</v>
      </c>
      <c r="S871" s="73"/>
      <c r="T871" s="74">
        <v>4.8653950271925668</v>
      </c>
      <c r="U871" s="74">
        <v>4.9593922755194031</v>
      </c>
      <c r="V871" s="73"/>
      <c r="W871" s="72">
        <v>13772.460320748834</v>
      </c>
      <c r="X871" s="72">
        <v>13796.996359282612</v>
      </c>
      <c r="Y871" s="73"/>
      <c r="Z871" s="74">
        <v>3.0460654635908639</v>
      </c>
      <c r="AA871" s="74">
        <v>3.10097909129078</v>
      </c>
      <c r="AB871" s="73"/>
      <c r="AC871" s="72">
        <v>48093.484683901821</v>
      </c>
      <c r="AD871" s="72">
        <v>48036.918712429862</v>
      </c>
      <c r="AE871" s="73"/>
      <c r="AF871" s="74">
        <v>3.4339981353161817</v>
      </c>
      <c r="AG871" s="74">
        <v>3.5196214074953702</v>
      </c>
      <c r="AH871" s="73"/>
      <c r="AI871" s="72">
        <v>4266664.4002813352</v>
      </c>
      <c r="AJ871" s="72">
        <v>0</v>
      </c>
      <c r="AK871" s="73"/>
      <c r="AL871" s="74">
        <v>-1565.3581851615506</v>
      </c>
      <c r="AM871" s="74">
        <v>0</v>
      </c>
      <c r="AN871" s="73"/>
      <c r="AO871" s="72">
        <v>289497.34648782556</v>
      </c>
      <c r="AP871" s="72">
        <v>0</v>
      </c>
      <c r="AQ871" s="73"/>
      <c r="AR871" s="74">
        <v>-84.469857791874702</v>
      </c>
      <c r="AS871" s="74">
        <v>0</v>
      </c>
      <c r="AT871" s="73"/>
      <c r="AU871" s="72">
        <v>15776053.812308153</v>
      </c>
      <c r="AV871" s="72">
        <v>0</v>
      </c>
      <c r="AW871" s="73"/>
      <c r="AX871" s="74">
        <v>-2213.344327751181</v>
      </c>
      <c r="AY871" s="74">
        <v>0</v>
      </c>
      <c r="AZ871" s="73"/>
      <c r="BA871" s="72">
        <v>-231581.99587157497</v>
      </c>
      <c r="BB871" s="72">
        <v>0</v>
      </c>
      <c r="BC871" s="73"/>
      <c r="BD871" s="74">
        <v>-518.29913316236764</v>
      </c>
      <c r="BE871" s="74">
        <v>0</v>
      </c>
      <c r="BF871" s="73"/>
      <c r="BG871" s="72">
        <v>887955.29698769876</v>
      </c>
      <c r="BH871" s="72">
        <v>0</v>
      </c>
      <c r="BI871" s="73"/>
      <c r="BJ871" s="74">
        <v>-1344.0879047683288</v>
      </c>
      <c r="BK871" s="74">
        <v>0</v>
      </c>
      <c r="BL871" s="73"/>
      <c r="BM871" s="72">
        <v>20988588.860193439</v>
      </c>
      <c r="BN871" s="72">
        <v>0</v>
      </c>
      <c r="BO871" s="73"/>
      <c r="BP871" s="74">
        <v>-5725.559408635303</v>
      </c>
      <c r="BQ871" s="74">
        <v>0</v>
      </c>
      <c r="BS871" s="109">
        <f t="shared" si="327"/>
        <v>116625.92073351775</v>
      </c>
      <c r="BT871" s="109">
        <f t="shared" si="328"/>
        <v>116956.94948576417</v>
      </c>
      <c r="BV871" s="58">
        <f t="array" ref="BV871">SUM(IF(BS871:BT871&gt;=BS871, 1))</f>
        <v>2</v>
      </c>
      <c r="BW871" s="58">
        <f t="array" ref="BW871">SUM(IF(BS871:BT871&gt;=BT871, 1))</f>
        <v>1</v>
      </c>
      <c r="BY871" s="109">
        <f t="shared" si="329"/>
        <v>133277.72263776208</v>
      </c>
      <c r="BZ871" s="109">
        <f t="shared" si="330"/>
        <v>133555.52325303917</v>
      </c>
      <c r="CB871" s="58">
        <f t="array" ref="CB871">SUM(IF(BY871:BZ871&gt;=BY871, 1))</f>
        <v>2</v>
      </c>
      <c r="CC871" s="58">
        <f t="array" ref="CC871">SUM(IF(BY871:BZ871&gt;=BZ871, 1))</f>
        <v>1</v>
      </c>
      <c r="CE871" s="109">
        <f t="shared" si="331"/>
        <v>95530.743412225449</v>
      </c>
      <c r="CF871" s="109">
        <f t="shared" si="332"/>
        <v>98080.672542193133</v>
      </c>
      <c r="CH871" s="58">
        <f t="array" ref="CH871">SUM(IF(CE871:CF871&gt;=CE871, 1))</f>
        <v>2</v>
      </c>
      <c r="CI871" s="58">
        <f t="array" ref="CI871">SUM(IF(CE871:CF871&gt;=CF871, 1))</f>
        <v>1</v>
      </c>
      <c r="CK871" s="109">
        <f t="shared" si="333"/>
        <v>47148.848951068445</v>
      </c>
      <c r="CL871" s="109">
        <f t="shared" si="334"/>
        <v>48222.58546653299</v>
      </c>
      <c r="CN871" s="58">
        <f t="array" ref="CN871">SUM(IF(CK871:CL871&gt;=CK871, 1))</f>
        <v>2</v>
      </c>
      <c r="CO871" s="58">
        <f t="array" ref="CO871">SUM(IF(CK871:CL871&gt;=CL871, 1))</f>
        <v>1</v>
      </c>
      <c r="CQ871" s="109" cm="1">
        <f t="array" ref="CQ871">AF871*WTP-AC871</f>
        <v>20586.478022421819</v>
      </c>
      <c r="CR871" s="109">
        <f t="shared" si="335"/>
        <v>22355.509437477536</v>
      </c>
      <c r="CT871" s="58">
        <f t="array" ref="CT871">SUM(IF(CQ871:CR871&gt;=CQ871, 1))</f>
        <v>2</v>
      </c>
      <c r="CU871" s="58">
        <f t="array" ref="CU871">SUM(IF(CQ871:CR871&gt;=CR871, 1))</f>
        <v>1</v>
      </c>
      <c r="CW871" s="109">
        <f t="shared" si="336"/>
        <v>-35573828.103512347</v>
      </c>
      <c r="CX871" s="109">
        <f t="shared" si="337"/>
        <v>0</v>
      </c>
      <c r="CZ871" s="58">
        <f t="array" ref="CZ871">SUM(IF(CW871:CX871&gt;=CW871, 1))</f>
        <v>2</v>
      </c>
      <c r="DA871" s="58">
        <f t="array" ref="DA871">SUM(IF(CW871:CX871&gt;=CX871, 1))</f>
        <v>1</v>
      </c>
      <c r="DC871" s="109">
        <f t="shared" si="338"/>
        <v>-1978894.5023253195</v>
      </c>
      <c r="DD871" s="109">
        <f t="shared" si="339"/>
        <v>0</v>
      </c>
      <c r="DF871" s="58">
        <f t="array" ref="DF871">SUM(IF(DC871:DD871&gt;=DC871, 1))</f>
        <v>2</v>
      </c>
      <c r="DG871" s="58">
        <f t="array" ref="DG871">SUM(IF(DC871:DD871&gt;=DD871, 1))</f>
        <v>1</v>
      </c>
      <c r="DI871" s="109">
        <f t="shared" si="340"/>
        <v>-60042940.367331773</v>
      </c>
      <c r="DJ871" s="109">
        <f t="shared" si="341"/>
        <v>0</v>
      </c>
      <c r="DL871" s="58">
        <f t="array" ref="DL871">SUM(IF(DI871:DJ871&gt;=DI871, 1))</f>
        <v>2</v>
      </c>
      <c r="DM871" s="58">
        <f t="array" ref="DM871">SUM(IF(DI871:DJ871&gt;=DJ871, 1))</f>
        <v>1</v>
      </c>
      <c r="DO871" s="109">
        <f t="shared" si="342"/>
        <v>-10134400.667375777</v>
      </c>
      <c r="DP871" s="109">
        <f t="shared" si="343"/>
        <v>0</v>
      </c>
      <c r="DR871" s="58">
        <f t="array" ref="DR871">SUM(IF(DO871:DP871&gt;=DO871, 1))</f>
        <v>2</v>
      </c>
      <c r="DS871" s="58">
        <f t="array" ref="DS871">SUM(IF(DO871:DP871&gt;=DP871, 1))</f>
        <v>1</v>
      </c>
      <c r="DU871" s="109">
        <f t="shared" si="344"/>
        <v>-27769713.392354272</v>
      </c>
      <c r="DV871" s="109">
        <f t="shared" si="345"/>
        <v>0</v>
      </c>
      <c r="DX871" s="58">
        <f t="array" ref="DX871">SUM(IF(DU871:DV871&gt;=DU871, 1))</f>
        <v>2</v>
      </c>
      <c r="DY871" s="58">
        <f t="array" ref="DY871">SUM(IF(DU871:DV871&gt;=DV871, 1))</f>
        <v>1</v>
      </c>
      <c r="EA871" s="109">
        <f t="shared" si="346"/>
        <v>-135499777.0328995</v>
      </c>
      <c r="EB871" s="109">
        <f t="shared" si="347"/>
        <v>0</v>
      </c>
      <c r="ED871" s="58">
        <f t="array" ref="ED871">SUM(IF(EA871:EB871&gt;=EA871, 1))</f>
        <v>2</v>
      </c>
      <c r="EE871" s="58">
        <f t="array" ref="EE871">SUM(IF(EA871:EB871&gt;=EB871, 1))</f>
        <v>1</v>
      </c>
    </row>
    <row r="872" spans="4:135" ht="12" customHeight="1" x14ac:dyDescent="0.25">
      <c r="D872" s="11">
        <v>856</v>
      </c>
      <c r="E872" s="72">
        <v>312.0676128880952</v>
      </c>
      <c r="F872" s="72">
        <v>294.9704098047311</v>
      </c>
      <c r="G872" s="73"/>
      <c r="H872" s="74">
        <v>5.8649234722870043</v>
      </c>
      <c r="I872" s="74">
        <v>5.8770966289591478</v>
      </c>
      <c r="J872" s="73"/>
      <c r="K872" s="72">
        <v>335.51947719216753</v>
      </c>
      <c r="L872" s="72">
        <v>317.98119149407597</v>
      </c>
      <c r="M872" s="73"/>
      <c r="N872" s="74">
        <v>6.6930999264775988</v>
      </c>
      <c r="O872" s="74">
        <v>6.7031011143266239</v>
      </c>
      <c r="P872" s="73"/>
      <c r="Q872" s="72">
        <v>2081.0449459385404</v>
      </c>
      <c r="R872" s="72">
        <v>1431.9249556923182</v>
      </c>
      <c r="S872" s="73"/>
      <c r="T872" s="74">
        <v>4.9830127802858071</v>
      </c>
      <c r="U872" s="74">
        <v>5.0458028678722986</v>
      </c>
      <c r="V872" s="73"/>
      <c r="W872" s="72">
        <v>12963.970687377816</v>
      </c>
      <c r="X872" s="72">
        <v>12893.428163401684</v>
      </c>
      <c r="Y872" s="73"/>
      <c r="Z872" s="74">
        <v>2.7932637564337259</v>
      </c>
      <c r="AA872" s="74">
        <v>2.8201130995173012</v>
      </c>
      <c r="AB872" s="73"/>
      <c r="AC872" s="72">
        <v>50352.579415593798</v>
      </c>
      <c r="AD872" s="72">
        <v>50034.33399799902</v>
      </c>
      <c r="AE872" s="73"/>
      <c r="AF872" s="74">
        <v>4.5202066355216903</v>
      </c>
      <c r="AG872" s="74">
        <v>4.6282999628535695</v>
      </c>
      <c r="AH872" s="73"/>
      <c r="AI872" s="72">
        <v>1839696.2898468671</v>
      </c>
      <c r="AJ872" s="72">
        <v>0</v>
      </c>
      <c r="AK872" s="73"/>
      <c r="AL872" s="74">
        <v>-1309.8581713202936</v>
      </c>
      <c r="AM872" s="74">
        <v>0</v>
      </c>
      <c r="AN872" s="73"/>
      <c r="AO872" s="72">
        <v>118672.99681092049</v>
      </c>
      <c r="AP872" s="72">
        <v>0</v>
      </c>
      <c r="AQ872" s="73"/>
      <c r="AR872" s="74">
        <v>-67.673144008705989</v>
      </c>
      <c r="AS872" s="74">
        <v>0</v>
      </c>
      <c r="AT872" s="73"/>
      <c r="AU872" s="72">
        <v>14846137.842958435</v>
      </c>
      <c r="AV872" s="72">
        <v>0</v>
      </c>
      <c r="AW872" s="73"/>
      <c r="AX872" s="74">
        <v>-1436.0831733542682</v>
      </c>
      <c r="AY872" s="74">
        <v>0</v>
      </c>
      <c r="AZ872" s="73"/>
      <c r="BA872" s="72">
        <v>633887.05607838056</v>
      </c>
      <c r="BB872" s="72">
        <v>0</v>
      </c>
      <c r="BC872" s="73"/>
      <c r="BD872" s="74">
        <v>-241.2651275512134</v>
      </c>
      <c r="BE872" s="74">
        <v>0</v>
      </c>
      <c r="BF872" s="73"/>
      <c r="BG872" s="72">
        <v>5085365.4148459248</v>
      </c>
      <c r="BH872" s="72">
        <v>0</v>
      </c>
      <c r="BI872" s="73"/>
      <c r="BJ872" s="74">
        <v>-1727.264676876141</v>
      </c>
      <c r="BK872" s="74">
        <v>0</v>
      </c>
      <c r="BL872" s="73"/>
      <c r="BM872" s="72">
        <v>22523759.60054053</v>
      </c>
      <c r="BN872" s="72">
        <v>0</v>
      </c>
      <c r="BO872" s="73"/>
      <c r="BP872" s="74">
        <v>-4782.144293110623</v>
      </c>
      <c r="BQ872" s="74">
        <v>0</v>
      </c>
      <c r="BS872" s="109">
        <f t="shared" si="327"/>
        <v>116986.40183285199</v>
      </c>
      <c r="BT872" s="109">
        <f t="shared" si="328"/>
        <v>117246.96216937822</v>
      </c>
      <c r="BV872" s="58">
        <f t="array" ref="BV872">SUM(IF(BS872:BT872&gt;=BS872, 1))</f>
        <v>2</v>
      </c>
      <c r="BW872" s="58">
        <f t="array" ref="BW872">SUM(IF(BS872:BT872&gt;=BT872, 1))</f>
        <v>1</v>
      </c>
      <c r="BY872" s="109">
        <f t="shared" si="329"/>
        <v>133526.47905235982</v>
      </c>
      <c r="BZ872" s="109">
        <f t="shared" si="330"/>
        <v>133744.04109503841</v>
      </c>
      <c r="CB872" s="58">
        <f t="array" ref="CB872">SUM(IF(BY872:BZ872&gt;=BY872, 1))</f>
        <v>2</v>
      </c>
      <c r="CC872" s="58">
        <f t="array" ref="CC872">SUM(IF(BY872:BZ872&gt;=BZ872, 1))</f>
        <v>1</v>
      </c>
      <c r="CE872" s="109">
        <f t="shared" si="331"/>
        <v>97579.2106597776</v>
      </c>
      <c r="CF872" s="109">
        <f t="shared" si="332"/>
        <v>99484.132401753654</v>
      </c>
      <c r="CH872" s="58">
        <f t="array" ref="CH872">SUM(IF(CE872:CF872&gt;=CE872, 1))</f>
        <v>2</v>
      </c>
      <c r="CI872" s="58">
        <f t="array" ref="CI872">SUM(IF(CE872:CF872&gt;=CF872, 1))</f>
        <v>1</v>
      </c>
      <c r="CK872" s="109">
        <f t="shared" si="333"/>
        <v>42901.304441296699</v>
      </c>
      <c r="CL872" s="109">
        <f t="shared" si="334"/>
        <v>43508.833826944334</v>
      </c>
      <c r="CN872" s="58">
        <f t="array" ref="CN872">SUM(IF(CK872:CL872&gt;=CK872, 1))</f>
        <v>2</v>
      </c>
      <c r="CO872" s="58">
        <f t="array" ref="CO872">SUM(IF(CK872:CL872&gt;=CL872, 1))</f>
        <v>1</v>
      </c>
      <c r="CQ872" s="109" cm="1">
        <f t="array" ref="CQ872">AF872*WTP-AC872</f>
        <v>40051.553294840014</v>
      </c>
      <c r="CR872" s="109">
        <f t="shared" si="335"/>
        <v>42531.665259072375</v>
      </c>
      <c r="CT872" s="58">
        <f t="array" ref="CT872">SUM(IF(CQ872:CR872&gt;=CQ872, 1))</f>
        <v>2</v>
      </c>
      <c r="CU872" s="58">
        <f t="array" ref="CU872">SUM(IF(CQ872:CR872&gt;=CR872, 1))</f>
        <v>1</v>
      </c>
      <c r="CW872" s="109">
        <f t="shared" si="336"/>
        <v>-28036859.71625274</v>
      </c>
      <c r="CX872" s="109">
        <f t="shared" si="337"/>
        <v>0</v>
      </c>
      <c r="CZ872" s="58">
        <f t="array" ref="CZ872">SUM(IF(CW872:CX872&gt;=CW872, 1))</f>
        <v>2</v>
      </c>
      <c r="DA872" s="58">
        <f t="array" ref="DA872">SUM(IF(CW872:CX872&gt;=CX872, 1))</f>
        <v>1</v>
      </c>
      <c r="DC872" s="109">
        <f t="shared" si="338"/>
        <v>-1472135.8769850403</v>
      </c>
      <c r="DD872" s="109">
        <f t="shared" si="339"/>
        <v>0</v>
      </c>
      <c r="DF872" s="58">
        <f t="array" ref="DF872">SUM(IF(DC872:DD872&gt;=DC872, 1))</f>
        <v>2</v>
      </c>
      <c r="DG872" s="58">
        <f t="array" ref="DG872">SUM(IF(DC872:DD872&gt;=DD872, 1))</f>
        <v>1</v>
      </c>
      <c r="DI872" s="109">
        <f t="shared" si="340"/>
        <v>-43567801.310043797</v>
      </c>
      <c r="DJ872" s="109">
        <f t="shared" si="341"/>
        <v>0</v>
      </c>
      <c r="DL872" s="58">
        <f t="array" ref="DL872">SUM(IF(DI872:DJ872&gt;=DI872, 1))</f>
        <v>2</v>
      </c>
      <c r="DM872" s="58">
        <f t="array" ref="DM872">SUM(IF(DI872:DJ872&gt;=DJ872, 1))</f>
        <v>1</v>
      </c>
      <c r="DO872" s="109">
        <f t="shared" si="342"/>
        <v>-5459189.6071026493</v>
      </c>
      <c r="DP872" s="109">
        <f t="shared" si="343"/>
        <v>0</v>
      </c>
      <c r="DR872" s="58">
        <f t="array" ref="DR872">SUM(IF(DO872:DP872&gt;=DO872, 1))</f>
        <v>2</v>
      </c>
      <c r="DS872" s="58">
        <f t="array" ref="DS872">SUM(IF(DO872:DP872&gt;=DP872, 1))</f>
        <v>1</v>
      </c>
      <c r="DU872" s="109">
        <f t="shared" si="344"/>
        <v>-39630658.952368751</v>
      </c>
      <c r="DV872" s="109">
        <f t="shared" si="345"/>
        <v>0</v>
      </c>
      <c r="DX872" s="58">
        <f t="array" ref="DX872">SUM(IF(DU872:DV872&gt;=DU872, 1))</f>
        <v>2</v>
      </c>
      <c r="DY872" s="58">
        <f t="array" ref="DY872">SUM(IF(DU872:DV872&gt;=DV872, 1))</f>
        <v>1</v>
      </c>
      <c r="EA872" s="109">
        <f t="shared" si="346"/>
        <v>-118166645.462753</v>
      </c>
      <c r="EB872" s="109">
        <f t="shared" si="347"/>
        <v>0</v>
      </c>
      <c r="ED872" s="58">
        <f t="array" ref="ED872">SUM(IF(EA872:EB872&gt;=EA872, 1))</f>
        <v>2</v>
      </c>
      <c r="EE872" s="58">
        <f t="array" ref="EE872">SUM(IF(EA872:EB872&gt;=EB872, 1))</f>
        <v>1</v>
      </c>
    </row>
    <row r="873" spans="4:135" ht="12" customHeight="1" x14ac:dyDescent="0.25">
      <c r="D873" s="11">
        <v>857</v>
      </c>
      <c r="E873" s="72">
        <v>378.17497866607317</v>
      </c>
      <c r="F873" s="72">
        <v>365.02304718150157</v>
      </c>
      <c r="G873" s="73"/>
      <c r="H873" s="74">
        <v>5.8311558478944239</v>
      </c>
      <c r="I873" s="74">
        <v>5.8412140302881062</v>
      </c>
      <c r="J873" s="73"/>
      <c r="K873" s="72">
        <v>406.8876139651469</v>
      </c>
      <c r="L873" s="72">
        <v>393.33248229513572</v>
      </c>
      <c r="M873" s="73"/>
      <c r="N873" s="74">
        <v>6.6281155963896747</v>
      </c>
      <c r="O873" s="74">
        <v>6.6357040136267962</v>
      </c>
      <c r="P873" s="73"/>
      <c r="Q873" s="72">
        <v>3015.7693878689888</v>
      </c>
      <c r="R873" s="72">
        <v>1481.1563827126761</v>
      </c>
      <c r="S873" s="73"/>
      <c r="T873" s="74">
        <v>4.7360637782055752</v>
      </c>
      <c r="U873" s="74">
        <v>4.8303691886470332</v>
      </c>
      <c r="V873" s="73"/>
      <c r="W873" s="72">
        <v>14015.795732189361</v>
      </c>
      <c r="X873" s="72">
        <v>14091.96408327879</v>
      </c>
      <c r="Y873" s="73"/>
      <c r="Z873" s="74">
        <v>3.1161823939111994</v>
      </c>
      <c r="AA873" s="74">
        <v>3.1993485491548492</v>
      </c>
      <c r="AB873" s="73"/>
      <c r="AC873" s="72">
        <v>48778.089126680665</v>
      </c>
      <c r="AD873" s="72">
        <v>48872.725435134889</v>
      </c>
      <c r="AE873" s="73"/>
      <c r="AF873" s="74">
        <v>4.3532275505286266</v>
      </c>
      <c r="AG873" s="74">
        <v>4.5557459131507336</v>
      </c>
      <c r="AH873" s="73"/>
      <c r="AI873" s="72">
        <v>1398352.7023795941</v>
      </c>
      <c r="AJ873" s="72">
        <v>0</v>
      </c>
      <c r="AK873" s="73"/>
      <c r="AL873" s="74">
        <v>-1069.416043394983</v>
      </c>
      <c r="AM873" s="74">
        <v>0</v>
      </c>
      <c r="AN873" s="73"/>
      <c r="AO873" s="72">
        <v>95830.049875915051</v>
      </c>
      <c r="AP873" s="72">
        <v>0</v>
      </c>
      <c r="AQ873" s="73"/>
      <c r="AR873" s="74">
        <v>-53.647461346423214</v>
      </c>
      <c r="AS873" s="74">
        <v>0</v>
      </c>
      <c r="AT873" s="73"/>
      <c r="AU873" s="72">
        <v>36217815.71557226</v>
      </c>
      <c r="AV873" s="72">
        <v>0</v>
      </c>
      <c r="AW873" s="73"/>
      <c r="AX873" s="74">
        <v>-2225.6659919301483</v>
      </c>
      <c r="AY873" s="74">
        <v>0</v>
      </c>
      <c r="AZ873" s="73"/>
      <c r="BA873" s="72">
        <v>-711271.18332560034</v>
      </c>
      <c r="BB873" s="72">
        <v>0</v>
      </c>
      <c r="BC873" s="73"/>
      <c r="BD873" s="74">
        <v>-776.61770022222458</v>
      </c>
      <c r="BE873" s="74">
        <v>0</v>
      </c>
      <c r="BF873" s="73"/>
      <c r="BG873" s="72">
        <v>-1533578.1139362694</v>
      </c>
      <c r="BH873" s="72">
        <v>0</v>
      </c>
      <c r="BI873" s="73"/>
      <c r="BJ873" s="74">
        <v>-3281.8030802384746</v>
      </c>
      <c r="BK873" s="74">
        <v>0</v>
      </c>
      <c r="BL873" s="73"/>
      <c r="BM873" s="72">
        <v>35467149.170565896</v>
      </c>
      <c r="BN873" s="72">
        <v>0</v>
      </c>
      <c r="BO873" s="73"/>
      <c r="BP873" s="74">
        <v>-7407.1502771322539</v>
      </c>
      <c r="BQ873" s="74">
        <v>0</v>
      </c>
      <c r="BS873" s="109">
        <f t="shared" si="327"/>
        <v>116244.94197922239</v>
      </c>
      <c r="BT873" s="109">
        <f t="shared" si="328"/>
        <v>116459.25755858062</v>
      </c>
      <c r="BV873" s="58">
        <f t="array" ref="BV873">SUM(IF(BS873:BT873&gt;=BS873, 1))</f>
        <v>2</v>
      </c>
      <c r="BW873" s="58">
        <f t="array" ref="BW873">SUM(IF(BS873:BT873&gt;=BT873, 1))</f>
        <v>1</v>
      </c>
      <c r="BY873" s="109">
        <f t="shared" si="329"/>
        <v>132155.42431382835</v>
      </c>
      <c r="BZ873" s="109">
        <f t="shared" si="330"/>
        <v>132320.74779024077</v>
      </c>
      <c r="CB873" s="58">
        <f t="array" ref="CB873">SUM(IF(BY873:BZ873&gt;=BY873, 1))</f>
        <v>2</v>
      </c>
      <c r="CC873" s="58">
        <f t="array" ref="CC873">SUM(IF(BY873:BZ873&gt;=BZ873, 1))</f>
        <v>1</v>
      </c>
      <c r="CE873" s="109">
        <f t="shared" si="331"/>
        <v>91705.506176242518</v>
      </c>
      <c r="CF873" s="109">
        <f t="shared" si="332"/>
        <v>95126.227390227985</v>
      </c>
      <c r="CH873" s="58">
        <f t="array" ref="CH873">SUM(IF(CE873:CF873&gt;=CE873, 1))</f>
        <v>2</v>
      </c>
      <c r="CI873" s="58">
        <f t="array" ref="CI873">SUM(IF(CE873:CF873&gt;=CF873, 1))</f>
        <v>1</v>
      </c>
      <c r="CK873" s="109">
        <f t="shared" si="333"/>
        <v>48307.852146034624</v>
      </c>
      <c r="CL873" s="109">
        <f t="shared" si="334"/>
        <v>49895.006899818196</v>
      </c>
      <c r="CN873" s="58">
        <f t="array" ref="CN873">SUM(IF(CK873:CL873&gt;=CK873, 1))</f>
        <v>2</v>
      </c>
      <c r="CO873" s="58">
        <f t="array" ref="CO873">SUM(IF(CK873:CL873&gt;=CL873, 1))</f>
        <v>1</v>
      </c>
      <c r="CQ873" s="109" cm="1">
        <f t="array" ref="CQ873">AF873*WTP-AC873</f>
        <v>38286.461883891861</v>
      </c>
      <c r="CR873" s="109">
        <f t="shared" si="335"/>
        <v>42242.192827879779</v>
      </c>
      <c r="CT873" s="58">
        <f t="array" ref="CT873">SUM(IF(CQ873:CR873&gt;=CQ873, 1))</f>
        <v>2</v>
      </c>
      <c r="CU873" s="58">
        <f t="array" ref="CU873">SUM(IF(CQ873:CR873&gt;=CR873, 1))</f>
        <v>1</v>
      </c>
      <c r="CW873" s="109">
        <f t="shared" si="336"/>
        <v>-22786673.570279256</v>
      </c>
      <c r="CX873" s="109">
        <f t="shared" si="337"/>
        <v>0</v>
      </c>
      <c r="CZ873" s="58">
        <f t="array" ref="CZ873">SUM(IF(CW873:CX873&gt;=CW873, 1))</f>
        <v>2</v>
      </c>
      <c r="DA873" s="58">
        <f t="array" ref="DA873">SUM(IF(CW873:CX873&gt;=CX873, 1))</f>
        <v>1</v>
      </c>
      <c r="DC873" s="109">
        <f t="shared" si="338"/>
        <v>-1168779.2768043794</v>
      </c>
      <c r="DD873" s="109">
        <f t="shared" si="339"/>
        <v>0</v>
      </c>
      <c r="DF873" s="58">
        <f t="array" ref="DF873">SUM(IF(DC873:DD873&gt;=DC873, 1))</f>
        <v>2</v>
      </c>
      <c r="DG873" s="58">
        <f t="array" ref="DG873">SUM(IF(DC873:DD873&gt;=DD873, 1))</f>
        <v>1</v>
      </c>
      <c r="DI873" s="109">
        <f t="shared" si="340"/>
        <v>-80731135.554175228</v>
      </c>
      <c r="DJ873" s="109">
        <f t="shared" si="341"/>
        <v>0</v>
      </c>
      <c r="DL873" s="58">
        <f t="array" ref="DL873">SUM(IF(DI873:DJ873&gt;=DI873, 1))</f>
        <v>2</v>
      </c>
      <c r="DM873" s="58">
        <f t="array" ref="DM873">SUM(IF(DI873:DJ873&gt;=DJ873, 1))</f>
        <v>1</v>
      </c>
      <c r="DO873" s="109">
        <f t="shared" si="342"/>
        <v>-14821082.821118891</v>
      </c>
      <c r="DP873" s="109">
        <f t="shared" si="343"/>
        <v>0</v>
      </c>
      <c r="DR873" s="58">
        <f t="array" ref="DR873">SUM(IF(DO873:DP873&gt;=DO873, 1))</f>
        <v>2</v>
      </c>
      <c r="DS873" s="58">
        <f t="array" ref="DS873">SUM(IF(DO873:DP873&gt;=DP873, 1))</f>
        <v>1</v>
      </c>
      <c r="DU873" s="109">
        <f t="shared" si="344"/>
        <v>-64102483.490833223</v>
      </c>
      <c r="DV873" s="109">
        <f t="shared" si="345"/>
        <v>0</v>
      </c>
      <c r="DX873" s="58">
        <f t="array" ref="DX873">SUM(IF(DU873:DV873&gt;=DU873, 1))</f>
        <v>2</v>
      </c>
      <c r="DY873" s="58">
        <f t="array" ref="DY873">SUM(IF(DU873:DV873&gt;=DV873, 1))</f>
        <v>1</v>
      </c>
      <c r="EA873" s="109">
        <f t="shared" si="346"/>
        <v>-183610154.71321097</v>
      </c>
      <c r="EB873" s="109">
        <f t="shared" si="347"/>
        <v>0</v>
      </c>
      <c r="ED873" s="58">
        <f t="array" ref="ED873">SUM(IF(EA873:EB873&gt;=EA873, 1))</f>
        <v>2</v>
      </c>
      <c r="EE873" s="58">
        <f t="array" ref="EE873">SUM(IF(EA873:EB873&gt;=EB873, 1))</f>
        <v>1</v>
      </c>
    </row>
    <row r="874" spans="4:135" ht="12" customHeight="1" x14ac:dyDescent="0.25">
      <c r="D874" s="11">
        <v>858</v>
      </c>
      <c r="E874" s="72">
        <v>231.46487412140905</v>
      </c>
      <c r="F874" s="72">
        <v>217.8220507564732</v>
      </c>
      <c r="G874" s="73"/>
      <c r="H874" s="74">
        <v>5.931935549549948</v>
      </c>
      <c r="I874" s="74">
        <v>5.9485813375761056</v>
      </c>
      <c r="J874" s="73"/>
      <c r="K874" s="72">
        <v>248.94512637172662</v>
      </c>
      <c r="L874" s="72">
        <v>234.93521873970511</v>
      </c>
      <c r="M874" s="73"/>
      <c r="N874" s="74">
        <v>6.6479403564326427</v>
      </c>
      <c r="O874" s="74">
        <v>6.6618788728451861</v>
      </c>
      <c r="P874" s="73"/>
      <c r="Q874" s="72">
        <v>2327.1785362441756</v>
      </c>
      <c r="R874" s="72">
        <v>1383.4953452617831</v>
      </c>
      <c r="S874" s="73"/>
      <c r="T874" s="74">
        <v>4.9431247526642199</v>
      </c>
      <c r="U874" s="74">
        <v>5.0541060956218153</v>
      </c>
      <c r="V874" s="73"/>
      <c r="W874" s="72">
        <v>15165.257643654648</v>
      </c>
      <c r="X874" s="72">
        <v>15163.605132004726</v>
      </c>
      <c r="Y874" s="73"/>
      <c r="Z874" s="74">
        <v>2.9246264813732687</v>
      </c>
      <c r="AA874" s="74">
        <v>2.9711599544336598</v>
      </c>
      <c r="AB874" s="73"/>
      <c r="AC874" s="72">
        <v>49668.914175979437</v>
      </c>
      <c r="AD874" s="72">
        <v>49230.774568951994</v>
      </c>
      <c r="AE874" s="73"/>
      <c r="AF874" s="74">
        <v>4.6808782322144804</v>
      </c>
      <c r="AG874" s="74">
        <v>4.8149001940544069</v>
      </c>
      <c r="AH874" s="73"/>
      <c r="AI874" s="72">
        <v>1486301.9277364777</v>
      </c>
      <c r="AJ874" s="72">
        <v>0</v>
      </c>
      <c r="AK874" s="73"/>
      <c r="AL874" s="74">
        <v>-1813.4565089773319</v>
      </c>
      <c r="AM874" s="74">
        <v>0</v>
      </c>
      <c r="AN874" s="73"/>
      <c r="AO874" s="72">
        <v>94068.359333154003</v>
      </c>
      <c r="AP874" s="72">
        <v>0</v>
      </c>
      <c r="AQ874" s="73"/>
      <c r="AR874" s="74">
        <v>-93.589008928890863</v>
      </c>
      <c r="AS874" s="74">
        <v>0</v>
      </c>
      <c r="AT874" s="73"/>
      <c r="AU874" s="72">
        <v>22093732.849170756</v>
      </c>
      <c r="AV874" s="72">
        <v>0</v>
      </c>
      <c r="AW874" s="73"/>
      <c r="AX874" s="74">
        <v>-2598.3213073814954</v>
      </c>
      <c r="AY874" s="74">
        <v>0</v>
      </c>
      <c r="AZ874" s="73"/>
      <c r="BA874" s="72">
        <v>14403.864169927303</v>
      </c>
      <c r="BB874" s="72">
        <v>0</v>
      </c>
      <c r="BC874" s="73"/>
      <c r="BD874" s="74">
        <v>-405.60187599807864</v>
      </c>
      <c r="BE874" s="74">
        <v>0</v>
      </c>
      <c r="BF874" s="73"/>
      <c r="BG874" s="72">
        <v>6792985.4445187142</v>
      </c>
      <c r="BH874" s="72">
        <v>0</v>
      </c>
      <c r="BI874" s="73"/>
      <c r="BJ874" s="74">
        <v>-2077.8975957027355</v>
      </c>
      <c r="BK874" s="74">
        <v>0</v>
      </c>
      <c r="BL874" s="73"/>
      <c r="BM874" s="72">
        <v>30481492.444929026</v>
      </c>
      <c r="BN874" s="72">
        <v>0</v>
      </c>
      <c r="BO874" s="73"/>
      <c r="BP874" s="74">
        <v>-6988.8662969885318</v>
      </c>
      <c r="BQ874" s="74">
        <v>0</v>
      </c>
      <c r="BS874" s="109">
        <f t="shared" si="327"/>
        <v>118407.24611687755</v>
      </c>
      <c r="BT874" s="109">
        <f t="shared" si="328"/>
        <v>118753.80470076564</v>
      </c>
      <c r="BV874" s="58">
        <f t="array" ref="BV874">SUM(IF(BS874:BT874&gt;=BS874, 1))</f>
        <v>2</v>
      </c>
      <c r="BW874" s="58">
        <f t="array" ref="BW874">SUM(IF(BS874:BT874&gt;=BT874, 1))</f>
        <v>1</v>
      </c>
      <c r="BY874" s="109">
        <f t="shared" si="329"/>
        <v>132709.86200228112</v>
      </c>
      <c r="BZ874" s="109">
        <f t="shared" si="330"/>
        <v>133002.64223816403</v>
      </c>
      <c r="CB874" s="58">
        <f t="array" ref="CB874">SUM(IF(BY874:BZ874&gt;=BY874, 1))</f>
        <v>2</v>
      </c>
      <c r="CC874" s="58">
        <f t="array" ref="CC874">SUM(IF(BY874:BZ874&gt;=BZ874, 1))</f>
        <v>1</v>
      </c>
      <c r="CE874" s="109">
        <f t="shared" si="331"/>
        <v>96535.316517040221</v>
      </c>
      <c r="CF874" s="109">
        <f t="shared" si="332"/>
        <v>99698.626567174535</v>
      </c>
      <c r="CH874" s="58">
        <f t="array" ref="CH874">SUM(IF(CE874:CF874&gt;=CE874, 1))</f>
        <v>2</v>
      </c>
      <c r="CI874" s="58">
        <f t="array" ref="CI874">SUM(IF(CE874:CF874&gt;=CF874, 1))</f>
        <v>1</v>
      </c>
      <c r="CK874" s="109">
        <f t="shared" si="333"/>
        <v>43327.27198381073</v>
      </c>
      <c r="CL874" s="109">
        <f t="shared" si="334"/>
        <v>44259.593956668468</v>
      </c>
      <c r="CN874" s="58">
        <f t="array" ref="CN874">SUM(IF(CK874:CL874&gt;=CK874, 1))</f>
        <v>2</v>
      </c>
      <c r="CO874" s="58">
        <f t="array" ref="CO874">SUM(IF(CK874:CL874&gt;=CL874, 1))</f>
        <v>1</v>
      </c>
      <c r="CQ874" s="109" cm="1">
        <f t="array" ref="CQ874">AF874*WTP-AC874</f>
        <v>43948.650468310174</v>
      </c>
      <c r="CR874" s="109">
        <f t="shared" si="335"/>
        <v>47067.229312136144</v>
      </c>
      <c r="CT874" s="58">
        <f t="array" ref="CT874">SUM(IF(CQ874:CR874&gt;=CQ874, 1))</f>
        <v>2</v>
      </c>
      <c r="CU874" s="58">
        <f t="array" ref="CU874">SUM(IF(CQ874:CR874&gt;=CR874, 1))</f>
        <v>1</v>
      </c>
      <c r="CW874" s="109">
        <f t="shared" si="336"/>
        <v>-37755432.107283115</v>
      </c>
      <c r="CX874" s="109">
        <f t="shared" si="337"/>
        <v>0</v>
      </c>
      <c r="CZ874" s="58">
        <f t="array" ref="CZ874">SUM(IF(CW874:CX874&gt;=CW874, 1))</f>
        <v>2</v>
      </c>
      <c r="DA874" s="58">
        <f t="array" ref="DA874">SUM(IF(CW874:CX874&gt;=CX874, 1))</f>
        <v>1</v>
      </c>
      <c r="DC874" s="109">
        <f t="shared" si="338"/>
        <v>-1965848.5379109713</v>
      </c>
      <c r="DD874" s="109">
        <f t="shared" si="339"/>
        <v>0</v>
      </c>
      <c r="DF874" s="58">
        <f t="array" ref="DF874">SUM(IF(DC874:DD874&gt;=DC874, 1))</f>
        <v>2</v>
      </c>
      <c r="DG874" s="58">
        <f t="array" ref="DG874">SUM(IF(DC874:DD874&gt;=DD874, 1))</f>
        <v>1</v>
      </c>
      <c r="DI874" s="109">
        <f t="shared" si="340"/>
        <v>-74060158.996800661</v>
      </c>
      <c r="DJ874" s="109">
        <f t="shared" si="341"/>
        <v>0</v>
      </c>
      <c r="DL874" s="58">
        <f t="array" ref="DL874">SUM(IF(DI874:DJ874&gt;=DI874, 1))</f>
        <v>2</v>
      </c>
      <c r="DM874" s="58">
        <f t="array" ref="DM874">SUM(IF(DI874:DJ874&gt;=DJ874, 1))</f>
        <v>1</v>
      </c>
      <c r="DO874" s="109">
        <f t="shared" si="342"/>
        <v>-8126441.3841315005</v>
      </c>
      <c r="DP874" s="109">
        <f t="shared" si="343"/>
        <v>0</v>
      </c>
      <c r="DR874" s="58">
        <f t="array" ref="DR874">SUM(IF(DO874:DP874&gt;=DO874, 1))</f>
        <v>2</v>
      </c>
      <c r="DS874" s="58">
        <f t="array" ref="DS874">SUM(IF(DO874:DP874&gt;=DP874, 1))</f>
        <v>1</v>
      </c>
      <c r="DU874" s="109">
        <f t="shared" si="344"/>
        <v>-48350937.358573429</v>
      </c>
      <c r="DV874" s="109">
        <f t="shared" si="345"/>
        <v>0</v>
      </c>
      <c r="DX874" s="58">
        <f t="array" ref="DX874">SUM(IF(DU874:DV874&gt;=DU874, 1))</f>
        <v>2</v>
      </c>
      <c r="DY874" s="58">
        <f t="array" ref="DY874">SUM(IF(DU874:DV874&gt;=DV874, 1))</f>
        <v>1</v>
      </c>
      <c r="EA874" s="109">
        <f t="shared" si="346"/>
        <v>-170258818.38469967</v>
      </c>
      <c r="EB874" s="109">
        <f t="shared" si="347"/>
        <v>0</v>
      </c>
      <c r="ED874" s="58">
        <f t="array" ref="ED874">SUM(IF(EA874:EB874&gt;=EA874, 1))</f>
        <v>2</v>
      </c>
      <c r="EE874" s="58">
        <f t="array" ref="EE874">SUM(IF(EA874:EB874&gt;=EB874, 1))</f>
        <v>1</v>
      </c>
    </row>
    <row r="875" spans="4:135" ht="12" customHeight="1" x14ac:dyDescent="0.25">
      <c r="D875" s="11">
        <v>859</v>
      </c>
      <c r="E875" s="72">
        <v>267.75768316764527</v>
      </c>
      <c r="F875" s="72">
        <v>251.59066797819901</v>
      </c>
      <c r="G875" s="73"/>
      <c r="H875" s="74">
        <v>5.8144950079962738</v>
      </c>
      <c r="I875" s="74">
        <v>5.8325258839118481</v>
      </c>
      <c r="J875" s="73"/>
      <c r="K875" s="72">
        <v>287.92970838636904</v>
      </c>
      <c r="L875" s="72">
        <v>271.3745210987413</v>
      </c>
      <c r="M875" s="73"/>
      <c r="N875" s="74">
        <v>6.6735262629421985</v>
      </c>
      <c r="O875" s="74">
        <v>6.6894985153471476</v>
      </c>
      <c r="P875" s="73"/>
      <c r="Q875" s="72">
        <v>2244.3853042741785</v>
      </c>
      <c r="R875" s="72">
        <v>1669.7616261691198</v>
      </c>
      <c r="S875" s="73"/>
      <c r="T875" s="74">
        <v>4.8943856430421731</v>
      </c>
      <c r="U875" s="74">
        <v>4.951104576442372</v>
      </c>
      <c r="V875" s="73"/>
      <c r="W875" s="72">
        <v>12491.759772600246</v>
      </c>
      <c r="X875" s="72">
        <v>12500.438124501819</v>
      </c>
      <c r="Y875" s="73"/>
      <c r="Z875" s="74">
        <v>2.9581509948519313</v>
      </c>
      <c r="AA875" s="74">
        <v>2.9973158226156627</v>
      </c>
      <c r="AB875" s="73"/>
      <c r="AC875" s="72">
        <v>51152.450364705481</v>
      </c>
      <c r="AD875" s="72">
        <v>51068.490716311862</v>
      </c>
      <c r="AE875" s="73"/>
      <c r="AF875" s="74">
        <v>4.3754441557650328</v>
      </c>
      <c r="AG875" s="74">
        <v>4.4823371606174298</v>
      </c>
      <c r="AH875" s="73"/>
      <c r="AI875" s="72">
        <v>1730512.8899533888</v>
      </c>
      <c r="AJ875" s="72">
        <v>0</v>
      </c>
      <c r="AK875" s="73"/>
      <c r="AL875" s="74">
        <v>-1930.0200329755576</v>
      </c>
      <c r="AM875" s="74">
        <v>0</v>
      </c>
      <c r="AN875" s="73"/>
      <c r="AO875" s="72">
        <v>114963.77776263337</v>
      </c>
      <c r="AP875" s="72">
        <v>0</v>
      </c>
      <c r="AQ875" s="73"/>
      <c r="AR875" s="74">
        <v>-110.91571746962508</v>
      </c>
      <c r="AS875" s="74">
        <v>0</v>
      </c>
      <c r="AT875" s="73"/>
      <c r="AU875" s="72">
        <v>13059190.87784574</v>
      </c>
      <c r="AV875" s="72">
        <v>0</v>
      </c>
      <c r="AW875" s="73"/>
      <c r="AX875" s="74">
        <v>-1289.023418080581</v>
      </c>
      <c r="AY875" s="74">
        <v>0</v>
      </c>
      <c r="AZ875" s="73"/>
      <c r="BA875" s="72">
        <v>-74181.368920319888</v>
      </c>
      <c r="BB875" s="72">
        <v>0</v>
      </c>
      <c r="BC875" s="73"/>
      <c r="BD875" s="74">
        <v>-334.77560831744762</v>
      </c>
      <c r="BE875" s="74">
        <v>0</v>
      </c>
      <c r="BF875" s="73"/>
      <c r="BG875" s="72">
        <v>1373268.3103551881</v>
      </c>
      <c r="BH875" s="72">
        <v>0</v>
      </c>
      <c r="BI875" s="73"/>
      <c r="BJ875" s="74">
        <v>-1748.3729264116073</v>
      </c>
      <c r="BK875" s="74">
        <v>0</v>
      </c>
      <c r="BL875" s="73"/>
      <c r="BM875" s="72">
        <v>16203754.48699663</v>
      </c>
      <c r="BN875" s="72">
        <v>0</v>
      </c>
      <c r="BO875" s="73"/>
      <c r="BP875" s="74">
        <v>-5413.1077032548183</v>
      </c>
      <c r="BQ875" s="74">
        <v>0</v>
      </c>
      <c r="BS875" s="109">
        <f t="shared" si="327"/>
        <v>116022.14247675783</v>
      </c>
      <c r="BT875" s="109">
        <f t="shared" si="328"/>
        <v>116398.92701025876</v>
      </c>
      <c r="BV875" s="58">
        <f t="array" ref="BV875">SUM(IF(BS875:BT875&gt;=BS875, 1))</f>
        <v>2</v>
      </c>
      <c r="BW875" s="58">
        <f t="array" ref="BW875">SUM(IF(BS875:BT875&gt;=BT875, 1))</f>
        <v>1</v>
      </c>
      <c r="BY875" s="109">
        <f t="shared" si="329"/>
        <v>133182.5955504576</v>
      </c>
      <c r="BZ875" s="109">
        <f t="shared" si="330"/>
        <v>133518.5957858442</v>
      </c>
      <c r="CB875" s="58">
        <f t="array" ref="CB875">SUM(IF(BY875:BZ875&gt;=BY875, 1))</f>
        <v>2</v>
      </c>
      <c r="CC875" s="58">
        <f t="array" ref="CC875">SUM(IF(BY875:BZ875&gt;=BZ875, 1))</f>
        <v>1</v>
      </c>
      <c r="CE875" s="109">
        <f t="shared" si="331"/>
        <v>95643.327556569275</v>
      </c>
      <c r="CF875" s="109">
        <f t="shared" si="332"/>
        <v>97352.329902678321</v>
      </c>
      <c r="CH875" s="58">
        <f t="array" ref="CH875">SUM(IF(CE875:CF875&gt;=CE875, 1))</f>
        <v>2</v>
      </c>
      <c r="CI875" s="58">
        <f t="array" ref="CI875">SUM(IF(CE875:CF875&gt;=CF875, 1))</f>
        <v>1</v>
      </c>
      <c r="CK875" s="109">
        <f t="shared" si="333"/>
        <v>46671.260124438384</v>
      </c>
      <c r="CL875" s="109">
        <f t="shared" si="334"/>
        <v>47445.878327811428</v>
      </c>
      <c r="CN875" s="58">
        <f t="array" ref="CN875">SUM(IF(CK875:CL875&gt;=CK875, 1))</f>
        <v>2</v>
      </c>
      <c r="CO875" s="58">
        <f t="array" ref="CO875">SUM(IF(CK875:CL875&gt;=CL875, 1))</f>
        <v>1</v>
      </c>
      <c r="CQ875" s="109" cm="1">
        <f t="array" ref="CQ875">AF875*WTP-AC875</f>
        <v>36356.432750595181</v>
      </c>
      <c r="CR875" s="109">
        <f t="shared" si="335"/>
        <v>38578.25249603673</v>
      </c>
      <c r="CT875" s="58">
        <f t="array" ref="CT875">SUM(IF(CQ875:CR875&gt;=CQ875, 1))</f>
        <v>2</v>
      </c>
      <c r="CU875" s="58">
        <f t="array" ref="CU875">SUM(IF(CQ875:CR875&gt;=CR875, 1))</f>
        <v>1</v>
      </c>
      <c r="CW875" s="109">
        <f t="shared" si="336"/>
        <v>-40330913.549464539</v>
      </c>
      <c r="CX875" s="109">
        <f t="shared" si="337"/>
        <v>0</v>
      </c>
      <c r="CZ875" s="58">
        <f t="array" ref="CZ875">SUM(IF(CW875:CX875&gt;=CW875, 1))</f>
        <v>2</v>
      </c>
      <c r="DA875" s="58">
        <f t="array" ref="DA875">SUM(IF(CW875:CX875&gt;=CX875, 1))</f>
        <v>1</v>
      </c>
      <c r="DC875" s="109">
        <f t="shared" si="338"/>
        <v>-2333278.1271551349</v>
      </c>
      <c r="DD875" s="109">
        <f t="shared" si="339"/>
        <v>0</v>
      </c>
      <c r="DF875" s="58">
        <f t="array" ref="DF875">SUM(IF(DC875:DD875&gt;=DC875, 1))</f>
        <v>2</v>
      </c>
      <c r="DG875" s="58">
        <f t="array" ref="DG875">SUM(IF(DC875:DD875&gt;=DD875, 1))</f>
        <v>1</v>
      </c>
      <c r="DI875" s="109">
        <f t="shared" si="340"/>
        <v>-38839659.239457361</v>
      </c>
      <c r="DJ875" s="109">
        <f t="shared" si="341"/>
        <v>0</v>
      </c>
      <c r="DL875" s="58">
        <f t="array" ref="DL875">SUM(IF(DI875:DJ875&gt;=DI875, 1))</f>
        <v>2</v>
      </c>
      <c r="DM875" s="58">
        <f t="array" ref="DM875">SUM(IF(DI875:DJ875&gt;=DJ875, 1))</f>
        <v>1</v>
      </c>
      <c r="DO875" s="109">
        <f t="shared" si="342"/>
        <v>-6621330.7974286331</v>
      </c>
      <c r="DP875" s="109">
        <f t="shared" si="343"/>
        <v>0</v>
      </c>
      <c r="DR875" s="58">
        <f t="array" ref="DR875">SUM(IF(DO875:DP875&gt;=DO875, 1))</f>
        <v>2</v>
      </c>
      <c r="DS875" s="58">
        <f t="array" ref="DS875">SUM(IF(DO875:DP875&gt;=DP875, 1))</f>
        <v>1</v>
      </c>
      <c r="DU875" s="109">
        <f t="shared" si="344"/>
        <v>-36340726.838587329</v>
      </c>
      <c r="DV875" s="109">
        <f t="shared" si="345"/>
        <v>0</v>
      </c>
      <c r="DX875" s="58">
        <f t="array" ref="DX875">SUM(IF(DU875:DV875&gt;=DU875, 1))</f>
        <v>2</v>
      </c>
      <c r="DY875" s="58">
        <f t="array" ref="DY875">SUM(IF(DU875:DV875&gt;=DV875, 1))</f>
        <v>1</v>
      </c>
      <c r="EA875" s="109">
        <f t="shared" si="346"/>
        <v>-124465908.552093</v>
      </c>
      <c r="EB875" s="109">
        <f t="shared" si="347"/>
        <v>0</v>
      </c>
      <c r="ED875" s="58">
        <f t="array" ref="ED875">SUM(IF(EA875:EB875&gt;=EA875, 1))</f>
        <v>2</v>
      </c>
      <c r="EE875" s="58">
        <f t="array" ref="EE875">SUM(IF(EA875:EB875&gt;=EB875, 1))</f>
        <v>1</v>
      </c>
    </row>
    <row r="876" spans="4:135" ht="12" customHeight="1" x14ac:dyDescent="0.25">
      <c r="D876" s="11">
        <v>860</v>
      </c>
      <c r="E876" s="72">
        <v>280.21244446365603</v>
      </c>
      <c r="F876" s="72">
        <v>238.40779008589246</v>
      </c>
      <c r="G876" s="73"/>
      <c r="H876" s="74">
        <v>5.8640641979582044</v>
      </c>
      <c r="I876" s="74">
        <v>5.8795200314383198</v>
      </c>
      <c r="J876" s="73"/>
      <c r="K876" s="72">
        <v>299.75479615810463</v>
      </c>
      <c r="L876" s="72">
        <v>256.9591801839955</v>
      </c>
      <c r="M876" s="73"/>
      <c r="N876" s="74">
        <v>6.7413659190141555</v>
      </c>
      <c r="O876" s="74">
        <v>6.7540697555113551</v>
      </c>
      <c r="P876" s="73"/>
      <c r="Q876" s="72">
        <v>4630.0143208832342</v>
      </c>
      <c r="R876" s="72">
        <v>1773.2899479220364</v>
      </c>
      <c r="S876" s="73"/>
      <c r="T876" s="74">
        <v>4.6376379933812553</v>
      </c>
      <c r="U876" s="74">
        <v>4.8343643140754562</v>
      </c>
      <c r="V876" s="73"/>
      <c r="W876" s="72">
        <v>10060.032730329249</v>
      </c>
      <c r="X876" s="72">
        <v>10020.810645146481</v>
      </c>
      <c r="Y876" s="73"/>
      <c r="Z876" s="74">
        <v>3.2123742438743577</v>
      </c>
      <c r="AA876" s="74">
        <v>3.259846601821565</v>
      </c>
      <c r="AB876" s="73"/>
      <c r="AC876" s="72">
        <v>49515.300782304104</v>
      </c>
      <c r="AD876" s="72">
        <v>49592.118524348924</v>
      </c>
      <c r="AE876" s="73"/>
      <c r="AF876" s="74">
        <v>4.7413434550388942</v>
      </c>
      <c r="AG876" s="74">
        <v>4.785285369814666</v>
      </c>
      <c r="AH876" s="73"/>
      <c r="AI876" s="72">
        <v>4492042.4027255476</v>
      </c>
      <c r="AJ876" s="72">
        <v>0</v>
      </c>
      <c r="AK876" s="73"/>
      <c r="AL876" s="74">
        <v>-1660.7782170559738</v>
      </c>
      <c r="AM876" s="74">
        <v>0</v>
      </c>
      <c r="AN876" s="73"/>
      <c r="AO876" s="72">
        <v>294122.31631739676</v>
      </c>
      <c r="AP876" s="72">
        <v>0</v>
      </c>
      <c r="AQ876" s="73"/>
      <c r="AR876" s="74">
        <v>-87.309920224874716</v>
      </c>
      <c r="AS876" s="74">
        <v>0</v>
      </c>
      <c r="AT876" s="73"/>
      <c r="AU876" s="72">
        <v>65201235.66320312</v>
      </c>
      <c r="AV876" s="72">
        <v>0</v>
      </c>
      <c r="AW876" s="73"/>
      <c r="AX876" s="74">
        <v>-4490.0373722234808</v>
      </c>
      <c r="AY876" s="74">
        <v>0</v>
      </c>
      <c r="AZ876" s="73"/>
      <c r="BA876" s="72">
        <v>347880.33641546953</v>
      </c>
      <c r="BB876" s="72">
        <v>0</v>
      </c>
      <c r="BC876" s="73"/>
      <c r="BD876" s="74">
        <v>-421.05614161395482</v>
      </c>
      <c r="BE876" s="74">
        <v>0</v>
      </c>
      <c r="BF876" s="73"/>
      <c r="BG876" s="72">
        <v>-1211444.8361280395</v>
      </c>
      <c r="BH876" s="72">
        <v>0</v>
      </c>
      <c r="BI876" s="73"/>
      <c r="BJ876" s="74">
        <v>-692.98061004745932</v>
      </c>
      <c r="BK876" s="74">
        <v>0</v>
      </c>
      <c r="BL876" s="73"/>
      <c r="BM876" s="72">
        <v>69123835.882533491</v>
      </c>
      <c r="BN876" s="72">
        <v>0</v>
      </c>
      <c r="BO876" s="73"/>
      <c r="BP876" s="74">
        <v>-7352.1622611657422</v>
      </c>
      <c r="BQ876" s="74">
        <v>0</v>
      </c>
      <c r="BS876" s="109">
        <f t="shared" si="327"/>
        <v>117001.07151470044</v>
      </c>
      <c r="BT876" s="109">
        <f t="shared" si="328"/>
        <v>117351.9928386805</v>
      </c>
      <c r="BV876" s="58">
        <f t="array" ref="BV876">SUM(IF(BS876:BT876&gt;=BS876, 1))</f>
        <v>2</v>
      </c>
      <c r="BW876" s="58">
        <f t="array" ref="BW876">SUM(IF(BS876:BT876&gt;=BT876, 1))</f>
        <v>1</v>
      </c>
      <c r="BY876" s="109">
        <f t="shared" si="329"/>
        <v>134527.56358412499</v>
      </c>
      <c r="BZ876" s="109">
        <f t="shared" si="330"/>
        <v>134824.43593004311</v>
      </c>
      <c r="CB876" s="58">
        <f t="array" ref="CB876">SUM(IF(BY876:BZ876&gt;=BY876, 1))</f>
        <v>2</v>
      </c>
      <c r="CC876" s="58">
        <f t="array" ref="CC876">SUM(IF(BY876:BZ876&gt;=BZ876, 1))</f>
        <v>1</v>
      </c>
      <c r="CE876" s="109">
        <f t="shared" si="331"/>
        <v>88122.745546741877</v>
      </c>
      <c r="CF876" s="109">
        <f t="shared" si="332"/>
        <v>94913.996333587085</v>
      </c>
      <c r="CH876" s="58">
        <f t="array" ref="CH876">SUM(IF(CE876:CF876&gt;=CE876, 1))</f>
        <v>2</v>
      </c>
      <c r="CI876" s="58">
        <f t="array" ref="CI876">SUM(IF(CE876:CF876&gt;=CF876, 1))</f>
        <v>1</v>
      </c>
      <c r="CK876" s="109">
        <f t="shared" si="333"/>
        <v>54187.452147157899</v>
      </c>
      <c r="CL876" s="109">
        <f t="shared" si="334"/>
        <v>55176.121391284818</v>
      </c>
      <c r="CN876" s="58">
        <f t="array" ref="CN876">SUM(IF(CK876:CL876&gt;=CK876, 1))</f>
        <v>2</v>
      </c>
      <c r="CO876" s="58">
        <f t="array" ref="CO876">SUM(IF(CK876:CL876&gt;=CL876, 1))</f>
        <v>1</v>
      </c>
      <c r="CQ876" s="109" cm="1">
        <f t="array" ref="CQ876">AF876*WTP-AC876</f>
        <v>45311.568318473779</v>
      </c>
      <c r="CR876" s="109">
        <f t="shared" si="335"/>
        <v>46113.588871944397</v>
      </c>
      <c r="CT876" s="58">
        <f t="array" ref="CT876">SUM(IF(CQ876:CR876&gt;=CQ876, 1))</f>
        <v>2</v>
      </c>
      <c r="CU876" s="58">
        <f t="array" ref="CU876">SUM(IF(CQ876:CR876&gt;=CR876, 1))</f>
        <v>1</v>
      </c>
      <c r="CW876" s="109">
        <f t="shared" si="336"/>
        <v>-37707606.743845023</v>
      </c>
      <c r="CX876" s="109">
        <f t="shared" si="337"/>
        <v>0</v>
      </c>
      <c r="CZ876" s="58">
        <f t="array" ref="CZ876">SUM(IF(CW876:CX876&gt;=CW876, 1))</f>
        <v>2</v>
      </c>
      <c r="DA876" s="58">
        <f t="array" ref="DA876">SUM(IF(CW876:CX876&gt;=CX876, 1))</f>
        <v>1</v>
      </c>
      <c r="DC876" s="109">
        <f t="shared" si="338"/>
        <v>-2040320.7208148909</v>
      </c>
      <c r="DD876" s="109">
        <f t="shared" si="339"/>
        <v>0</v>
      </c>
      <c r="DF876" s="58">
        <f t="array" ref="DF876">SUM(IF(DC876:DD876&gt;=DC876, 1))</f>
        <v>2</v>
      </c>
      <c r="DG876" s="58">
        <f t="array" ref="DG876">SUM(IF(DC876:DD876&gt;=DD876, 1))</f>
        <v>1</v>
      </c>
      <c r="DI876" s="109">
        <f t="shared" si="340"/>
        <v>-155001983.10767275</v>
      </c>
      <c r="DJ876" s="109">
        <f t="shared" si="341"/>
        <v>0</v>
      </c>
      <c r="DL876" s="58">
        <f t="array" ref="DL876">SUM(IF(DI876:DJ876&gt;=DI876, 1))</f>
        <v>2</v>
      </c>
      <c r="DM876" s="58">
        <f t="array" ref="DM876">SUM(IF(DI876:DJ876&gt;=DJ876, 1))</f>
        <v>1</v>
      </c>
      <c r="DO876" s="109">
        <f t="shared" si="342"/>
        <v>-8769003.1686945669</v>
      </c>
      <c r="DP876" s="109">
        <f t="shared" si="343"/>
        <v>0</v>
      </c>
      <c r="DR876" s="58">
        <f t="array" ref="DR876">SUM(IF(DO876:DP876&gt;=DO876, 1))</f>
        <v>2</v>
      </c>
      <c r="DS876" s="58">
        <f t="array" ref="DS876">SUM(IF(DO876:DP876&gt;=DP876, 1))</f>
        <v>1</v>
      </c>
      <c r="DU876" s="109">
        <f t="shared" si="344"/>
        <v>-12648167.364821147</v>
      </c>
      <c r="DV876" s="109">
        <f t="shared" si="345"/>
        <v>0</v>
      </c>
      <c r="DX876" s="58">
        <f t="array" ref="DX876">SUM(IF(DU876:DV876&gt;=DU876, 1))</f>
        <v>2</v>
      </c>
      <c r="DY876" s="58">
        <f t="array" ref="DY876">SUM(IF(DU876:DV876&gt;=DV876, 1))</f>
        <v>1</v>
      </c>
      <c r="EA876" s="109">
        <f t="shared" si="346"/>
        <v>-216167081.10584834</v>
      </c>
      <c r="EB876" s="109">
        <f t="shared" si="347"/>
        <v>0</v>
      </c>
      <c r="ED876" s="58">
        <f t="array" ref="ED876">SUM(IF(EA876:EB876&gt;=EA876, 1))</f>
        <v>2</v>
      </c>
      <c r="EE876" s="58">
        <f t="array" ref="EE876">SUM(IF(EA876:EB876&gt;=EB876, 1))</f>
        <v>1</v>
      </c>
    </row>
    <row r="877" spans="4:135" ht="12" customHeight="1" x14ac:dyDescent="0.25">
      <c r="D877" s="11">
        <v>861</v>
      </c>
      <c r="E877" s="72">
        <v>246.59893429478427</v>
      </c>
      <c r="F877" s="72">
        <v>224.60698393936968</v>
      </c>
      <c r="G877" s="73"/>
      <c r="H877" s="74">
        <v>5.8234422841818327</v>
      </c>
      <c r="I877" s="74">
        <v>5.8412732388914499</v>
      </c>
      <c r="J877" s="73"/>
      <c r="K877" s="72">
        <v>264.66611574864123</v>
      </c>
      <c r="L877" s="72">
        <v>242.11069605296973</v>
      </c>
      <c r="M877" s="73"/>
      <c r="N877" s="74">
        <v>6.6972676148916594</v>
      </c>
      <c r="O877" s="74">
        <v>6.712453357544133</v>
      </c>
      <c r="P877" s="73"/>
      <c r="Q877" s="72">
        <v>3021.7581620196925</v>
      </c>
      <c r="R877" s="72">
        <v>1616.9973451813871</v>
      </c>
      <c r="S877" s="73"/>
      <c r="T877" s="74">
        <v>4.8468155966002033</v>
      </c>
      <c r="U877" s="74">
        <v>4.9586492014340084</v>
      </c>
      <c r="V877" s="73"/>
      <c r="W877" s="72">
        <v>12522.518310242269</v>
      </c>
      <c r="X877" s="72">
        <v>12486.73633889564</v>
      </c>
      <c r="Y877" s="73"/>
      <c r="Z877" s="74">
        <v>3.0654870865246169</v>
      </c>
      <c r="AA877" s="74">
        <v>3.1125086837861833</v>
      </c>
      <c r="AB877" s="73"/>
      <c r="AC877" s="72">
        <v>49333.129500147028</v>
      </c>
      <c r="AD877" s="72">
        <v>49122.980970923149</v>
      </c>
      <c r="AE877" s="73"/>
      <c r="AF877" s="74">
        <v>4.1599878661388416</v>
      </c>
      <c r="AG877" s="74">
        <v>4.2815628732287889</v>
      </c>
      <c r="AH877" s="73"/>
      <c r="AI877" s="72">
        <v>2361762.6793496856</v>
      </c>
      <c r="AJ877" s="72">
        <v>0</v>
      </c>
      <c r="AK877" s="73"/>
      <c r="AL877" s="74">
        <v>-1914.9044395682663</v>
      </c>
      <c r="AM877" s="74">
        <v>0</v>
      </c>
      <c r="AN877" s="73"/>
      <c r="AO877" s="72">
        <v>156113.08295568713</v>
      </c>
      <c r="AP877" s="72">
        <v>0</v>
      </c>
      <c r="AQ877" s="73"/>
      <c r="AR877" s="74">
        <v>-105.10525339079648</v>
      </c>
      <c r="AS877" s="74">
        <v>0</v>
      </c>
      <c r="AT877" s="73"/>
      <c r="AU877" s="72">
        <v>32741590.8057198</v>
      </c>
      <c r="AV877" s="72">
        <v>0</v>
      </c>
      <c r="AW877" s="73"/>
      <c r="AX877" s="74">
        <v>-2606.5719401529145</v>
      </c>
      <c r="AY877" s="74">
        <v>0</v>
      </c>
      <c r="AZ877" s="73"/>
      <c r="BA877" s="72">
        <v>318330.7525168343</v>
      </c>
      <c r="BB877" s="72">
        <v>0</v>
      </c>
      <c r="BC877" s="73"/>
      <c r="BD877" s="74">
        <v>-418.32296761447736</v>
      </c>
      <c r="BE877" s="74">
        <v>0</v>
      </c>
      <c r="BF877" s="73"/>
      <c r="BG877" s="72">
        <v>3285871.6487947358</v>
      </c>
      <c r="BH877" s="72">
        <v>0</v>
      </c>
      <c r="BI877" s="73"/>
      <c r="BJ877" s="74">
        <v>-1900.9405893737912</v>
      </c>
      <c r="BK877" s="74">
        <v>0</v>
      </c>
      <c r="BL877" s="73"/>
      <c r="BM877" s="72">
        <v>38863668.969336741</v>
      </c>
      <c r="BN877" s="72">
        <v>0</v>
      </c>
      <c r="BO877" s="73"/>
      <c r="BP877" s="74">
        <v>-6945.8451901002454</v>
      </c>
      <c r="BQ877" s="74">
        <v>0</v>
      </c>
      <c r="BS877" s="109">
        <f t="shared" si="327"/>
        <v>116222.24674934187</v>
      </c>
      <c r="BT877" s="109">
        <f t="shared" si="328"/>
        <v>116600.85779388962</v>
      </c>
      <c r="BV877" s="58">
        <f t="array" ref="BV877">SUM(IF(BS877:BT877&gt;=BS877, 1))</f>
        <v>2</v>
      </c>
      <c r="BW877" s="58">
        <f t="array" ref="BW877">SUM(IF(BS877:BT877&gt;=BT877, 1))</f>
        <v>1</v>
      </c>
      <c r="BY877" s="109">
        <f t="shared" si="329"/>
        <v>133680.68618208455</v>
      </c>
      <c r="BZ877" s="109">
        <f t="shared" si="330"/>
        <v>134006.95645482969</v>
      </c>
      <c r="CB877" s="58">
        <f t="array" ref="CB877">SUM(IF(BY877:BZ877&gt;=BY877, 1))</f>
        <v>2</v>
      </c>
      <c r="CC877" s="58">
        <f t="array" ref="CC877">SUM(IF(BY877:BZ877&gt;=BZ877, 1))</f>
        <v>1</v>
      </c>
      <c r="CE877" s="109">
        <f t="shared" si="331"/>
        <v>93914.553769984384</v>
      </c>
      <c r="CF877" s="109">
        <f t="shared" si="332"/>
        <v>97555.986683498777</v>
      </c>
      <c r="CH877" s="58">
        <f t="array" ref="CH877">SUM(IF(CE877:CF877&gt;=CE877, 1))</f>
        <v>2</v>
      </c>
      <c r="CI877" s="58">
        <f t="array" ref="CI877">SUM(IF(CE877:CF877&gt;=CF877, 1))</f>
        <v>1</v>
      </c>
      <c r="CK877" s="109">
        <f t="shared" si="333"/>
        <v>48787.223420250069</v>
      </c>
      <c r="CL877" s="109">
        <f t="shared" si="334"/>
        <v>49763.437336828021</v>
      </c>
      <c r="CN877" s="58">
        <f t="array" ref="CN877">SUM(IF(CK877:CL877&gt;=CK877, 1))</f>
        <v>2</v>
      </c>
      <c r="CO877" s="58">
        <f t="array" ref="CO877">SUM(IF(CK877:CL877&gt;=CL877, 1))</f>
        <v>1</v>
      </c>
      <c r="CQ877" s="109" cm="1">
        <f t="array" ref="CQ877">AF877*WTP-AC877</f>
        <v>33866.627822629802</v>
      </c>
      <c r="CR877" s="109">
        <f t="shared" si="335"/>
        <v>36508.276493652636</v>
      </c>
      <c r="CT877" s="58">
        <f t="array" ref="CT877">SUM(IF(CQ877:CR877&gt;=CQ877, 1))</f>
        <v>2</v>
      </c>
      <c r="CU877" s="58">
        <f t="array" ref="CU877">SUM(IF(CQ877:CR877&gt;=CR877, 1))</f>
        <v>1</v>
      </c>
      <c r="CW877" s="109">
        <f t="shared" si="336"/>
        <v>-40659851.470715009</v>
      </c>
      <c r="CX877" s="109">
        <f t="shared" si="337"/>
        <v>0</v>
      </c>
      <c r="CZ877" s="58">
        <f t="array" ref="CZ877">SUM(IF(CW877:CX877&gt;=CW877, 1))</f>
        <v>2</v>
      </c>
      <c r="DA877" s="58">
        <f t="array" ref="DA877">SUM(IF(CW877:CX877&gt;=CX877, 1))</f>
        <v>1</v>
      </c>
      <c r="DC877" s="109">
        <f t="shared" si="338"/>
        <v>-2258218.150771617</v>
      </c>
      <c r="DD877" s="109">
        <f t="shared" si="339"/>
        <v>0</v>
      </c>
      <c r="DF877" s="58">
        <f t="array" ref="DF877">SUM(IF(DC877:DD877&gt;=DC877, 1))</f>
        <v>2</v>
      </c>
      <c r="DG877" s="58">
        <f t="array" ref="DG877">SUM(IF(DC877:DD877&gt;=DD877, 1))</f>
        <v>1</v>
      </c>
      <c r="DI877" s="109">
        <f t="shared" si="340"/>
        <v>-84873029.608778089</v>
      </c>
      <c r="DJ877" s="109">
        <f t="shared" si="341"/>
        <v>0</v>
      </c>
      <c r="DL877" s="58">
        <f t="array" ref="DL877">SUM(IF(DI877:DJ877&gt;=DI877, 1))</f>
        <v>2</v>
      </c>
      <c r="DM877" s="58">
        <f t="array" ref="DM877">SUM(IF(DI877:DJ877&gt;=DJ877, 1))</f>
        <v>1</v>
      </c>
      <c r="DO877" s="109">
        <f t="shared" si="342"/>
        <v>-8684790.1048063822</v>
      </c>
      <c r="DP877" s="109">
        <f t="shared" si="343"/>
        <v>0</v>
      </c>
      <c r="DR877" s="58">
        <f t="array" ref="DR877">SUM(IF(DO877:DP877&gt;=DO877, 1))</f>
        <v>2</v>
      </c>
      <c r="DS877" s="58">
        <f t="array" ref="DS877">SUM(IF(DO877:DP877&gt;=DP877, 1))</f>
        <v>1</v>
      </c>
      <c r="DU877" s="109">
        <f t="shared" si="344"/>
        <v>-41304683.436270557</v>
      </c>
      <c r="DV877" s="109">
        <f t="shared" si="345"/>
        <v>0</v>
      </c>
      <c r="DX877" s="58">
        <f t="array" ref="DX877">SUM(IF(DU877:DV877&gt;=DU877, 1))</f>
        <v>2</v>
      </c>
      <c r="DY877" s="58">
        <f t="array" ref="DY877">SUM(IF(DU877:DV877&gt;=DV877, 1))</f>
        <v>1</v>
      </c>
      <c r="EA877" s="109">
        <f t="shared" si="346"/>
        <v>-177780572.77134165</v>
      </c>
      <c r="EB877" s="109">
        <f t="shared" si="347"/>
        <v>0</v>
      </c>
      <c r="ED877" s="58">
        <f t="array" ref="ED877">SUM(IF(EA877:EB877&gt;=EA877, 1))</f>
        <v>2</v>
      </c>
      <c r="EE877" s="58">
        <f t="array" ref="EE877">SUM(IF(EA877:EB877&gt;=EB877, 1))</f>
        <v>1</v>
      </c>
    </row>
    <row r="878" spans="4:135" ht="12" customHeight="1" x14ac:dyDescent="0.25">
      <c r="D878" s="11">
        <v>862</v>
      </c>
      <c r="E878" s="72">
        <v>317.421842627969</v>
      </c>
      <c r="F878" s="72">
        <v>276.865084400341</v>
      </c>
      <c r="G878" s="73"/>
      <c r="H878" s="74">
        <v>5.888367298019527</v>
      </c>
      <c r="I878" s="74">
        <v>5.9036478545317079</v>
      </c>
      <c r="J878" s="73"/>
      <c r="K878" s="72">
        <v>339.93302150543292</v>
      </c>
      <c r="L878" s="72">
        <v>298.39973696961465</v>
      </c>
      <c r="M878" s="73"/>
      <c r="N878" s="74">
        <v>6.7134529303638057</v>
      </c>
      <c r="O878" s="74">
        <v>6.7262308521636349</v>
      </c>
      <c r="P878" s="73"/>
      <c r="Q878" s="72">
        <v>2887.8362931110901</v>
      </c>
      <c r="R878" s="72">
        <v>1363.8672359414338</v>
      </c>
      <c r="S878" s="73"/>
      <c r="T878" s="74">
        <v>4.7609854196729149</v>
      </c>
      <c r="U878" s="74">
        <v>4.882359936091893</v>
      </c>
      <c r="V878" s="73"/>
      <c r="W878" s="72">
        <v>13445.57934653086</v>
      </c>
      <c r="X878" s="72">
        <v>13423.265740399554</v>
      </c>
      <c r="Y878" s="73"/>
      <c r="Z878" s="74">
        <v>2.9871697890309634</v>
      </c>
      <c r="AA878" s="74">
        <v>3.0314870520359909</v>
      </c>
      <c r="AB878" s="73"/>
      <c r="AC878" s="72">
        <v>51176.190295238972</v>
      </c>
      <c r="AD878" s="72">
        <v>51179.27683575041</v>
      </c>
      <c r="AE878" s="73"/>
      <c r="AF878" s="74">
        <v>4.0563912682423409</v>
      </c>
      <c r="AG878" s="74">
        <v>4.1334772528522947</v>
      </c>
      <c r="AH878" s="73"/>
      <c r="AI878" s="72">
        <v>4365522.6496164212</v>
      </c>
      <c r="AJ878" s="72">
        <v>0</v>
      </c>
      <c r="AK878" s="73"/>
      <c r="AL878" s="74">
        <v>-1644.7965386747126</v>
      </c>
      <c r="AM878" s="74">
        <v>0</v>
      </c>
      <c r="AN878" s="73"/>
      <c r="AO878" s="72">
        <v>290151.25544525799</v>
      </c>
      <c r="AP878" s="72">
        <v>0</v>
      </c>
      <c r="AQ878" s="73"/>
      <c r="AR878" s="74">
        <v>-89.266478527706951</v>
      </c>
      <c r="AS878" s="74">
        <v>0</v>
      </c>
      <c r="AT878" s="73"/>
      <c r="AU878" s="72">
        <v>33967621.767538428</v>
      </c>
      <c r="AV878" s="72">
        <v>0</v>
      </c>
      <c r="AW878" s="73"/>
      <c r="AX878" s="74">
        <v>-2705.3066770231408</v>
      </c>
      <c r="AY878" s="74">
        <v>0</v>
      </c>
      <c r="AZ878" s="73"/>
      <c r="BA878" s="72">
        <v>197073.9700530422</v>
      </c>
      <c r="BB878" s="72">
        <v>0</v>
      </c>
      <c r="BC878" s="73"/>
      <c r="BD878" s="74">
        <v>-391.41046547524951</v>
      </c>
      <c r="BE878" s="74">
        <v>0</v>
      </c>
      <c r="BF878" s="73"/>
      <c r="BG878" s="72">
        <v>-48927.344986607161</v>
      </c>
      <c r="BH878" s="72">
        <v>0</v>
      </c>
      <c r="BI878" s="73"/>
      <c r="BJ878" s="74">
        <v>-1221.9546604577265</v>
      </c>
      <c r="BK878" s="74">
        <v>0</v>
      </c>
      <c r="BL878" s="73"/>
      <c r="BM878" s="72">
        <v>38771442.297666535</v>
      </c>
      <c r="BN878" s="72">
        <v>0</v>
      </c>
      <c r="BO878" s="73"/>
      <c r="BP878" s="74">
        <v>-6052.7348201585355</v>
      </c>
      <c r="BQ878" s="74">
        <v>0</v>
      </c>
      <c r="BS878" s="109">
        <f t="shared" si="327"/>
        <v>117449.92411776257</v>
      </c>
      <c r="BT878" s="109">
        <f t="shared" si="328"/>
        <v>117796.09200623381</v>
      </c>
      <c r="BV878" s="58">
        <f t="array" ref="BV878">SUM(IF(BS878:BT878&gt;=BS878, 1))</f>
        <v>2</v>
      </c>
      <c r="BW878" s="58">
        <f t="array" ref="BW878">SUM(IF(BS878:BT878&gt;=BT878, 1))</f>
        <v>1</v>
      </c>
      <c r="BY878" s="109">
        <f t="shared" si="329"/>
        <v>133929.1255857707</v>
      </c>
      <c r="BZ878" s="109">
        <f t="shared" si="330"/>
        <v>134226.21730630309</v>
      </c>
      <c r="CB878" s="58">
        <f t="array" ref="CB878">SUM(IF(BY878:BZ878&gt;=BY878, 1))</f>
        <v>2</v>
      </c>
      <c r="CC878" s="58">
        <f t="array" ref="CC878">SUM(IF(BY878:BZ878&gt;=BZ878, 1))</f>
        <v>1</v>
      </c>
      <c r="CE878" s="109">
        <f t="shared" si="331"/>
        <v>92331.872100347202</v>
      </c>
      <c r="CF878" s="109">
        <f t="shared" si="332"/>
        <v>96283.33148589643</v>
      </c>
      <c r="CH878" s="58">
        <f t="array" ref="CH878">SUM(IF(CE878:CF878&gt;=CE878, 1))</f>
        <v>2</v>
      </c>
      <c r="CI878" s="58">
        <f t="array" ref="CI878">SUM(IF(CE878:CF878&gt;=CF878, 1))</f>
        <v>1</v>
      </c>
      <c r="CK878" s="109">
        <f t="shared" si="333"/>
        <v>46297.81643408841</v>
      </c>
      <c r="CL878" s="109">
        <f t="shared" si="334"/>
        <v>47206.475300320264</v>
      </c>
      <c r="CN878" s="58">
        <f t="array" ref="CN878">SUM(IF(CK878:CL878&gt;=CK878, 1))</f>
        <v>2</v>
      </c>
      <c r="CO878" s="58">
        <f t="array" ref="CO878">SUM(IF(CK878:CL878&gt;=CL878, 1))</f>
        <v>1</v>
      </c>
      <c r="CQ878" s="109" cm="1">
        <f t="array" ref="CQ878">AF878*WTP-AC878</f>
        <v>29951.635069607852</v>
      </c>
      <c r="CR878" s="109">
        <f t="shared" si="335"/>
        <v>31490.268221295482</v>
      </c>
      <c r="CT878" s="58">
        <f t="array" ref="CT878">SUM(IF(CQ878:CR878&gt;=CQ878, 1))</f>
        <v>2</v>
      </c>
      <c r="CU878" s="58">
        <f t="array" ref="CU878">SUM(IF(CQ878:CR878&gt;=CR878, 1))</f>
        <v>1</v>
      </c>
      <c r="CW878" s="109">
        <f t="shared" si="336"/>
        <v>-37261453.423110671</v>
      </c>
      <c r="CX878" s="109">
        <f t="shared" si="337"/>
        <v>0</v>
      </c>
      <c r="CZ878" s="58">
        <f t="array" ref="CZ878">SUM(IF(CW878:CX878&gt;=CW878, 1))</f>
        <v>2</v>
      </c>
      <c r="DA878" s="58">
        <f t="array" ref="DA878">SUM(IF(CW878:CX878&gt;=CX878, 1))</f>
        <v>1</v>
      </c>
      <c r="DC878" s="109">
        <f t="shared" si="338"/>
        <v>-2075480.8259993971</v>
      </c>
      <c r="DD878" s="109">
        <f t="shared" si="339"/>
        <v>0</v>
      </c>
      <c r="DF878" s="58">
        <f t="array" ref="DF878">SUM(IF(DC878:DD878&gt;=DC878, 1))</f>
        <v>2</v>
      </c>
      <c r="DG878" s="58">
        <f t="array" ref="DG878">SUM(IF(DC878:DD878&gt;=DD878, 1))</f>
        <v>1</v>
      </c>
      <c r="DI878" s="109">
        <f t="shared" si="340"/>
        <v>-88073755.30800125</v>
      </c>
      <c r="DJ878" s="109">
        <f t="shared" si="341"/>
        <v>0</v>
      </c>
      <c r="DL878" s="58">
        <f t="array" ref="DL878">SUM(IF(DI878:DJ878&gt;=DI878, 1))</f>
        <v>2</v>
      </c>
      <c r="DM878" s="58">
        <f t="array" ref="DM878">SUM(IF(DI878:DJ878&gt;=DJ878, 1))</f>
        <v>1</v>
      </c>
      <c r="DO878" s="109">
        <f t="shared" si="342"/>
        <v>-8025283.2795580328</v>
      </c>
      <c r="DP878" s="109">
        <f t="shared" si="343"/>
        <v>0</v>
      </c>
      <c r="DR878" s="58">
        <f t="array" ref="DR878">SUM(IF(DO878:DP878&gt;=DO878, 1))</f>
        <v>2</v>
      </c>
      <c r="DS878" s="58">
        <f t="array" ref="DS878">SUM(IF(DO878:DP878&gt;=DP878, 1))</f>
        <v>1</v>
      </c>
      <c r="DU878" s="109">
        <f t="shared" si="344"/>
        <v>-24390165.864167925</v>
      </c>
      <c r="DV878" s="109">
        <f t="shared" si="345"/>
        <v>0</v>
      </c>
      <c r="DX878" s="58">
        <f t="array" ref="DX878">SUM(IF(DU878:DV878&gt;=DU878, 1))</f>
        <v>2</v>
      </c>
      <c r="DY878" s="58">
        <f t="array" ref="DY878">SUM(IF(DU878:DV878&gt;=DV878, 1))</f>
        <v>1</v>
      </c>
      <c r="EA878" s="109">
        <f t="shared" si="346"/>
        <v>-159826138.70083725</v>
      </c>
      <c r="EB878" s="109">
        <f t="shared" si="347"/>
        <v>0</v>
      </c>
      <c r="ED878" s="58">
        <f t="array" ref="ED878">SUM(IF(EA878:EB878&gt;=EA878, 1))</f>
        <v>2</v>
      </c>
      <c r="EE878" s="58">
        <f t="array" ref="EE878">SUM(IF(EA878:EB878&gt;=EB878, 1))</f>
        <v>1</v>
      </c>
    </row>
    <row r="879" spans="4:135" ht="12" customHeight="1" x14ac:dyDescent="0.25">
      <c r="D879" s="11">
        <v>863</v>
      </c>
      <c r="E879" s="72">
        <v>250.42094010502456</v>
      </c>
      <c r="F879" s="72">
        <v>232.55349788984046</v>
      </c>
      <c r="G879" s="73"/>
      <c r="H879" s="74">
        <v>5.8589532669634279</v>
      </c>
      <c r="I879" s="74">
        <v>5.8761085638969721</v>
      </c>
      <c r="J879" s="73"/>
      <c r="K879" s="72">
        <v>269.12790478610219</v>
      </c>
      <c r="L879" s="72">
        <v>250.84503051886472</v>
      </c>
      <c r="M879" s="73"/>
      <c r="N879" s="74">
        <v>6.6671379105073401</v>
      </c>
      <c r="O879" s="74">
        <v>6.6825173205551209</v>
      </c>
      <c r="P879" s="73"/>
      <c r="Q879" s="72">
        <v>2194.5215724157142</v>
      </c>
      <c r="R879" s="72">
        <v>1164.6832844950602</v>
      </c>
      <c r="S879" s="73"/>
      <c r="T879" s="74">
        <v>4.8344004441047863</v>
      </c>
      <c r="U879" s="74">
        <v>4.9671660489463054</v>
      </c>
      <c r="V879" s="73"/>
      <c r="W879" s="72">
        <v>12592.101041168442</v>
      </c>
      <c r="X879" s="72">
        <v>12522.643170960895</v>
      </c>
      <c r="Y879" s="73"/>
      <c r="Z879" s="74">
        <v>2.8951255861811083</v>
      </c>
      <c r="AA879" s="74">
        <v>2.9280417485142096</v>
      </c>
      <c r="AB879" s="73"/>
      <c r="AC879" s="72">
        <v>47840.558981186005</v>
      </c>
      <c r="AD879" s="72">
        <v>48016.868751489579</v>
      </c>
      <c r="AE879" s="73"/>
      <c r="AF879" s="74">
        <v>4.3702800499558387</v>
      </c>
      <c r="AG879" s="74">
        <v>4.4739226529317691</v>
      </c>
      <c r="AH879" s="73"/>
      <c r="AI879" s="72">
        <v>1932306.8882951285</v>
      </c>
      <c r="AJ879" s="72">
        <v>0</v>
      </c>
      <c r="AK879" s="73"/>
      <c r="AL879" s="74">
        <v>-1855.2906474360884</v>
      </c>
      <c r="AM879" s="74">
        <v>0</v>
      </c>
      <c r="AN879" s="73"/>
      <c r="AO879" s="72">
        <v>133241.15707519991</v>
      </c>
      <c r="AP879" s="72">
        <v>0</v>
      </c>
      <c r="AQ879" s="73"/>
      <c r="AR879" s="74">
        <v>-112.08141345545155</v>
      </c>
      <c r="AS879" s="74">
        <v>0</v>
      </c>
      <c r="AT879" s="73"/>
      <c r="AU879" s="72">
        <v>24507458.049917426</v>
      </c>
      <c r="AV879" s="72">
        <v>0</v>
      </c>
      <c r="AW879" s="73"/>
      <c r="AX879" s="74">
        <v>-3159.4741905499391</v>
      </c>
      <c r="AY879" s="74">
        <v>0</v>
      </c>
      <c r="AZ879" s="73"/>
      <c r="BA879" s="72">
        <v>629413.36189908674</v>
      </c>
      <c r="BB879" s="72">
        <v>0</v>
      </c>
      <c r="BC879" s="73"/>
      <c r="BD879" s="74">
        <v>-298.27969577797865</v>
      </c>
      <c r="BE879" s="74">
        <v>0</v>
      </c>
      <c r="BF879" s="73"/>
      <c r="BG879" s="72">
        <v>-2776572.4302380215</v>
      </c>
      <c r="BH879" s="72">
        <v>0</v>
      </c>
      <c r="BI879" s="73"/>
      <c r="BJ879" s="74">
        <v>-1632.1908509413943</v>
      </c>
      <c r="BK879" s="74">
        <v>0</v>
      </c>
      <c r="BL879" s="73"/>
      <c r="BM879" s="72">
        <v>24425847.026948817</v>
      </c>
      <c r="BN879" s="72">
        <v>0</v>
      </c>
      <c r="BO879" s="73"/>
      <c r="BP879" s="74">
        <v>-7057.3167981608512</v>
      </c>
      <c r="BQ879" s="74">
        <v>0</v>
      </c>
      <c r="BS879" s="109">
        <f t="shared" si="327"/>
        <v>116928.64439916355</v>
      </c>
      <c r="BT879" s="109">
        <f t="shared" si="328"/>
        <v>117289.61778004961</v>
      </c>
      <c r="BV879" s="58">
        <f t="array" ref="BV879">SUM(IF(BS879:BT879&gt;=BS879, 1))</f>
        <v>2</v>
      </c>
      <c r="BW879" s="58">
        <f t="array" ref="BW879">SUM(IF(BS879:BT879&gt;=BT879, 1))</f>
        <v>1</v>
      </c>
      <c r="BY879" s="109">
        <f t="shared" si="329"/>
        <v>133073.63030536071</v>
      </c>
      <c r="BZ879" s="109">
        <f t="shared" si="330"/>
        <v>133399.50138058356</v>
      </c>
      <c r="CB879" s="58">
        <f t="array" ref="CB879">SUM(IF(BY879:BZ879&gt;=BY879, 1))</f>
        <v>2</v>
      </c>
      <c r="CC879" s="58">
        <f t="array" ref="CC879">SUM(IF(BY879:BZ879&gt;=BZ879, 1))</f>
        <v>1</v>
      </c>
      <c r="CE879" s="109">
        <f t="shared" si="331"/>
        <v>94493.487309680015</v>
      </c>
      <c r="CF879" s="109">
        <f t="shared" si="332"/>
        <v>98178.637694431047</v>
      </c>
      <c r="CH879" s="58">
        <f t="array" ref="CH879">SUM(IF(CE879:CF879&gt;=CE879, 1))</f>
        <v>2</v>
      </c>
      <c r="CI879" s="58">
        <f t="array" ref="CI879">SUM(IF(CE879:CF879&gt;=CF879, 1))</f>
        <v>1</v>
      </c>
      <c r="CK879" s="109">
        <f t="shared" si="333"/>
        <v>45310.410682453723</v>
      </c>
      <c r="CL879" s="109">
        <f t="shared" si="334"/>
        <v>46038.1917993233</v>
      </c>
      <c r="CN879" s="58">
        <f t="array" ref="CN879">SUM(IF(CK879:CL879&gt;=CK879, 1))</f>
        <v>2</v>
      </c>
      <c r="CO879" s="58">
        <f t="array" ref="CO879">SUM(IF(CK879:CL879&gt;=CL879, 1))</f>
        <v>1</v>
      </c>
      <c r="CQ879" s="109" cm="1">
        <f t="array" ref="CQ879">AF879*WTP-AC879</f>
        <v>39565.042017930777</v>
      </c>
      <c r="CR879" s="109">
        <f t="shared" si="335"/>
        <v>41461.5843071458</v>
      </c>
      <c r="CT879" s="58">
        <f t="array" ref="CT879">SUM(IF(CQ879:CR879&gt;=CQ879, 1))</f>
        <v>2</v>
      </c>
      <c r="CU879" s="58">
        <f t="array" ref="CU879">SUM(IF(CQ879:CR879&gt;=CR879, 1))</f>
        <v>1</v>
      </c>
      <c r="CW879" s="109">
        <f t="shared" si="336"/>
        <v>-39038119.837016895</v>
      </c>
      <c r="CX879" s="109">
        <f t="shared" si="337"/>
        <v>0</v>
      </c>
      <c r="CZ879" s="58">
        <f t="array" ref="CZ879">SUM(IF(CW879:CX879&gt;=CW879, 1))</f>
        <v>2</v>
      </c>
      <c r="DA879" s="58">
        <f t="array" ref="DA879">SUM(IF(CW879:CX879&gt;=CX879, 1))</f>
        <v>1</v>
      </c>
      <c r="DC879" s="109">
        <f t="shared" si="338"/>
        <v>-2374869.4261842309</v>
      </c>
      <c r="DD879" s="109">
        <f t="shared" si="339"/>
        <v>0</v>
      </c>
      <c r="DF879" s="58">
        <f t="array" ref="DF879">SUM(IF(DC879:DD879&gt;=DC879, 1))</f>
        <v>2</v>
      </c>
      <c r="DG879" s="58">
        <f t="array" ref="DG879">SUM(IF(DC879:DD879&gt;=DD879, 1))</f>
        <v>1</v>
      </c>
      <c r="DI879" s="109">
        <f t="shared" si="340"/>
        <v>-87696941.860916212</v>
      </c>
      <c r="DJ879" s="109">
        <f t="shared" si="341"/>
        <v>0</v>
      </c>
      <c r="DL879" s="58">
        <f t="array" ref="DL879">SUM(IF(DI879:DJ879&gt;=DI879, 1))</f>
        <v>2</v>
      </c>
      <c r="DM879" s="58">
        <f t="array" ref="DM879">SUM(IF(DI879:DJ879&gt;=DJ879, 1))</f>
        <v>1</v>
      </c>
      <c r="DO879" s="109">
        <f t="shared" si="342"/>
        <v>-6595007.2774586603</v>
      </c>
      <c r="DP879" s="109">
        <f t="shared" si="343"/>
        <v>0</v>
      </c>
      <c r="DR879" s="58">
        <f t="array" ref="DR879">SUM(IF(DO879:DP879&gt;=DO879, 1))</f>
        <v>2</v>
      </c>
      <c r="DS879" s="58">
        <f t="array" ref="DS879">SUM(IF(DO879:DP879&gt;=DP879, 1))</f>
        <v>1</v>
      </c>
      <c r="DU879" s="109">
        <f t="shared" si="344"/>
        <v>-29867244.588589862</v>
      </c>
      <c r="DV879" s="109">
        <f t="shared" si="345"/>
        <v>0</v>
      </c>
      <c r="DX879" s="58">
        <f t="array" ref="DX879">SUM(IF(DU879:DV879&gt;=DU879, 1))</f>
        <v>2</v>
      </c>
      <c r="DY879" s="58">
        <f t="array" ref="DY879">SUM(IF(DU879:DV879&gt;=DV879, 1))</f>
        <v>1</v>
      </c>
      <c r="EA879" s="109">
        <f t="shared" si="346"/>
        <v>-165572182.99016583</v>
      </c>
      <c r="EB879" s="109">
        <f t="shared" si="347"/>
        <v>0</v>
      </c>
      <c r="ED879" s="58">
        <f t="array" ref="ED879">SUM(IF(EA879:EB879&gt;=EA879, 1))</f>
        <v>2</v>
      </c>
      <c r="EE879" s="58">
        <f t="array" ref="EE879">SUM(IF(EA879:EB879&gt;=EB879, 1))</f>
        <v>1</v>
      </c>
    </row>
    <row r="880" spans="4:135" ht="12" customHeight="1" x14ac:dyDescent="0.25">
      <c r="D880" s="11">
        <v>864</v>
      </c>
      <c r="E880" s="72">
        <v>358.4605675368548</v>
      </c>
      <c r="F880" s="72">
        <v>316.87133633634357</v>
      </c>
      <c r="G880" s="73"/>
      <c r="H880" s="74">
        <v>5.7986736888915607</v>
      </c>
      <c r="I880" s="74">
        <v>5.8145990516346204</v>
      </c>
      <c r="J880" s="73"/>
      <c r="K880" s="72">
        <v>384.17444711750301</v>
      </c>
      <c r="L880" s="72">
        <v>341.57942578522329</v>
      </c>
      <c r="M880" s="73"/>
      <c r="N880" s="74">
        <v>6.6879592077220771</v>
      </c>
      <c r="O880" s="74">
        <v>6.7013491665897469</v>
      </c>
      <c r="P880" s="73"/>
      <c r="Q880" s="72">
        <v>1729.4990571413316</v>
      </c>
      <c r="R880" s="72">
        <v>1310.7123452658752</v>
      </c>
      <c r="S880" s="73"/>
      <c r="T880" s="74">
        <v>4.7219785069073978</v>
      </c>
      <c r="U880" s="74">
        <v>4.7785943943331199</v>
      </c>
      <c r="V880" s="73"/>
      <c r="W880" s="72">
        <v>12782.842518807871</v>
      </c>
      <c r="X880" s="72">
        <v>12762.565461158758</v>
      </c>
      <c r="Y880" s="73"/>
      <c r="Z880" s="74">
        <v>2.776759588432737</v>
      </c>
      <c r="AA880" s="74">
        <v>2.8196626298889398</v>
      </c>
      <c r="AB880" s="73"/>
      <c r="AC880" s="72">
        <v>49790.882595178482</v>
      </c>
      <c r="AD880" s="72">
        <v>49463.405524009133</v>
      </c>
      <c r="AE880" s="73"/>
      <c r="AF880" s="74">
        <v>4.3813218259758173</v>
      </c>
      <c r="AG880" s="74">
        <v>4.5519200413813072</v>
      </c>
      <c r="AH880" s="73"/>
      <c r="AI880" s="72">
        <v>4475559.8177232528</v>
      </c>
      <c r="AJ880" s="72">
        <v>0</v>
      </c>
      <c r="AK880" s="73"/>
      <c r="AL880" s="74">
        <v>-1713.7829076924409</v>
      </c>
      <c r="AM880" s="74">
        <v>0</v>
      </c>
      <c r="AN880" s="73"/>
      <c r="AO880" s="72">
        <v>302076.05688154924</v>
      </c>
      <c r="AP880" s="72">
        <v>0</v>
      </c>
      <c r="AQ880" s="73"/>
      <c r="AR880" s="74">
        <v>-94.959125504336242</v>
      </c>
      <c r="AS880" s="74">
        <v>0</v>
      </c>
      <c r="AT880" s="73"/>
      <c r="AU880" s="72">
        <v>9628851.8204363193</v>
      </c>
      <c r="AV880" s="72">
        <v>0</v>
      </c>
      <c r="AW880" s="73"/>
      <c r="AX880" s="74">
        <v>-1301.7270492262032</v>
      </c>
      <c r="AY880" s="74">
        <v>0</v>
      </c>
      <c r="AZ880" s="73"/>
      <c r="BA880" s="72">
        <v>180696.17244871866</v>
      </c>
      <c r="BB880" s="72">
        <v>0</v>
      </c>
      <c r="BC880" s="73"/>
      <c r="BD880" s="74">
        <v>-382.3244728943049</v>
      </c>
      <c r="BE880" s="74">
        <v>0</v>
      </c>
      <c r="BF880" s="73"/>
      <c r="BG880" s="72">
        <v>5148115.4751956668</v>
      </c>
      <c r="BH880" s="72">
        <v>0</v>
      </c>
      <c r="BI880" s="73"/>
      <c r="BJ880" s="74">
        <v>-2681.8955893116254</v>
      </c>
      <c r="BK880" s="74">
        <v>0</v>
      </c>
      <c r="BL880" s="73"/>
      <c r="BM880" s="72">
        <v>19735299.342685506</v>
      </c>
      <c r="BN880" s="72">
        <v>0</v>
      </c>
      <c r="BO880" s="73"/>
      <c r="BP880" s="74">
        <v>-6174.6891446289101</v>
      </c>
      <c r="BQ880" s="74">
        <v>0</v>
      </c>
      <c r="BS880" s="109">
        <f t="shared" si="327"/>
        <v>115615.01321029436</v>
      </c>
      <c r="BT880" s="109">
        <f t="shared" si="328"/>
        <v>115975.10969635606</v>
      </c>
      <c r="BV880" s="58">
        <f t="array" ref="BV880">SUM(IF(BS880:BT880&gt;=BS880, 1))</f>
        <v>2</v>
      </c>
      <c r="BW880" s="58">
        <f t="array" ref="BW880">SUM(IF(BS880:BT880&gt;=BT880, 1))</f>
        <v>1</v>
      </c>
      <c r="BY880" s="109">
        <f t="shared" si="329"/>
        <v>133375.00970732406</v>
      </c>
      <c r="BZ880" s="109">
        <f t="shared" si="330"/>
        <v>133685.40390600971</v>
      </c>
      <c r="CB880" s="58">
        <f t="array" ref="CB880">SUM(IF(BY880:BZ880&gt;=BY880, 1))</f>
        <v>2</v>
      </c>
      <c r="CC880" s="58">
        <f t="array" ref="CC880">SUM(IF(BY880:BZ880&gt;=BZ880, 1))</f>
        <v>1</v>
      </c>
      <c r="CE880" s="109">
        <f t="shared" si="331"/>
        <v>92710.071081006623</v>
      </c>
      <c r="CF880" s="109">
        <f t="shared" si="332"/>
        <v>94261.175541396529</v>
      </c>
      <c r="CH880" s="58">
        <f t="array" ref="CH880">SUM(IF(CE880:CF880&gt;=CE880, 1))</f>
        <v>2</v>
      </c>
      <c r="CI880" s="58">
        <f t="array" ref="CI880">SUM(IF(CE880:CF880&gt;=CF880, 1))</f>
        <v>1</v>
      </c>
      <c r="CK880" s="109">
        <f t="shared" si="333"/>
        <v>42752.349249846869</v>
      </c>
      <c r="CL880" s="109">
        <f t="shared" si="334"/>
        <v>43630.687136620036</v>
      </c>
      <c r="CN880" s="58">
        <f t="array" ref="CN880">SUM(IF(CK880:CL880&gt;=CK880, 1))</f>
        <v>2</v>
      </c>
      <c r="CO880" s="58">
        <f t="array" ref="CO880">SUM(IF(CK880:CL880&gt;=CL880, 1))</f>
        <v>1</v>
      </c>
      <c r="CQ880" s="109" cm="1">
        <f t="array" ref="CQ880">AF880*WTP-AC880</f>
        <v>37835.553924337859</v>
      </c>
      <c r="CR880" s="109">
        <f t="shared" si="335"/>
        <v>41574.995303617012</v>
      </c>
      <c r="CT880" s="58">
        <f t="array" ref="CT880">SUM(IF(CQ880:CR880&gt;=CQ880, 1))</f>
        <v>2</v>
      </c>
      <c r="CU880" s="58">
        <f t="array" ref="CU880">SUM(IF(CQ880:CR880&gt;=CR880, 1))</f>
        <v>1</v>
      </c>
      <c r="CW880" s="109">
        <f t="shared" si="336"/>
        <v>-38751217.971572071</v>
      </c>
      <c r="CX880" s="109">
        <f t="shared" si="337"/>
        <v>0</v>
      </c>
      <c r="CZ880" s="58">
        <f t="array" ref="CZ880">SUM(IF(CW880:CX880&gt;=CW880, 1))</f>
        <v>2</v>
      </c>
      <c r="DA880" s="58">
        <f t="array" ref="DA880">SUM(IF(CW880:CX880&gt;=CX880, 1))</f>
        <v>1</v>
      </c>
      <c r="DC880" s="109">
        <f t="shared" si="338"/>
        <v>-2201258.5669682738</v>
      </c>
      <c r="DD880" s="109">
        <f t="shared" si="339"/>
        <v>0</v>
      </c>
      <c r="DF880" s="58">
        <f t="array" ref="DF880">SUM(IF(DC880:DD880&gt;=DC880, 1))</f>
        <v>2</v>
      </c>
      <c r="DG880" s="58">
        <f t="array" ref="DG880">SUM(IF(DC880:DD880&gt;=DD880, 1))</f>
        <v>1</v>
      </c>
      <c r="DI880" s="109">
        <f t="shared" si="340"/>
        <v>-35663392.804960385</v>
      </c>
      <c r="DJ880" s="109">
        <f t="shared" si="341"/>
        <v>0</v>
      </c>
      <c r="DL880" s="58">
        <f t="array" ref="DL880">SUM(IF(DI880:DJ880&gt;=DI880, 1))</f>
        <v>2</v>
      </c>
      <c r="DM880" s="58">
        <f t="array" ref="DM880">SUM(IF(DI880:DJ880&gt;=DJ880, 1))</f>
        <v>1</v>
      </c>
      <c r="DO880" s="109">
        <f t="shared" si="342"/>
        <v>-7827185.6303348169</v>
      </c>
      <c r="DP880" s="109">
        <f t="shared" si="343"/>
        <v>0</v>
      </c>
      <c r="DR880" s="58">
        <f t="array" ref="DR880">SUM(IF(DO880:DP880&gt;=DO880, 1))</f>
        <v>2</v>
      </c>
      <c r="DS880" s="58">
        <f t="array" ref="DS880">SUM(IF(DO880:DP880&gt;=DP880, 1))</f>
        <v>1</v>
      </c>
      <c r="DU880" s="109">
        <f t="shared" si="344"/>
        <v>-58786027.261428177</v>
      </c>
      <c r="DV880" s="109">
        <f t="shared" si="345"/>
        <v>0</v>
      </c>
      <c r="DX880" s="58">
        <f t="array" ref="DX880">SUM(IF(DU880:DV880&gt;=DU880, 1))</f>
        <v>2</v>
      </c>
      <c r="DY880" s="58">
        <f t="array" ref="DY880">SUM(IF(DU880:DV880&gt;=DV880, 1))</f>
        <v>1</v>
      </c>
      <c r="EA880" s="109">
        <f t="shared" si="346"/>
        <v>-143229082.23526371</v>
      </c>
      <c r="EB880" s="109">
        <f t="shared" si="347"/>
        <v>0</v>
      </c>
      <c r="ED880" s="58">
        <f t="array" ref="ED880">SUM(IF(EA880:EB880&gt;=EA880, 1))</f>
        <v>2</v>
      </c>
      <c r="EE880" s="58">
        <f t="array" ref="EE880">SUM(IF(EA880:EB880&gt;=EB880, 1))</f>
        <v>1</v>
      </c>
    </row>
    <row r="881" spans="4:135" ht="12" customHeight="1" x14ac:dyDescent="0.25">
      <c r="D881" s="11">
        <v>865</v>
      </c>
      <c r="E881" s="72">
        <v>277.54081763050846</v>
      </c>
      <c r="F881" s="72">
        <v>252.06637041539116</v>
      </c>
      <c r="G881" s="73"/>
      <c r="H881" s="74">
        <v>5.7900702080297002</v>
      </c>
      <c r="I881" s="74">
        <v>5.8087790517258018</v>
      </c>
      <c r="J881" s="73"/>
      <c r="K881" s="72">
        <v>297.98555681111867</v>
      </c>
      <c r="L881" s="72">
        <v>271.85991443960387</v>
      </c>
      <c r="M881" s="73"/>
      <c r="N881" s="74">
        <v>6.7379236301068417</v>
      </c>
      <c r="O881" s="74">
        <v>6.753323490578552</v>
      </c>
      <c r="P881" s="73"/>
      <c r="Q881" s="72">
        <v>1857.9203835006419</v>
      </c>
      <c r="R881" s="72">
        <v>1416.9274651881331</v>
      </c>
      <c r="S881" s="73"/>
      <c r="T881" s="74">
        <v>4.7125766743985009</v>
      </c>
      <c r="U881" s="74">
        <v>4.7950435076004423</v>
      </c>
      <c r="V881" s="73"/>
      <c r="W881" s="72">
        <v>11661.01729870491</v>
      </c>
      <c r="X881" s="72">
        <v>11658.1716754517</v>
      </c>
      <c r="Y881" s="73"/>
      <c r="Z881" s="74">
        <v>3.1102184241025768</v>
      </c>
      <c r="AA881" s="74">
        <v>3.1595529957053974</v>
      </c>
      <c r="AB881" s="73"/>
      <c r="AC881" s="72">
        <v>50141.554885035774</v>
      </c>
      <c r="AD881" s="72">
        <v>50127.518304713027</v>
      </c>
      <c r="AE881" s="73"/>
      <c r="AF881" s="74">
        <v>4.7756183716960985</v>
      </c>
      <c r="AG881" s="74">
        <v>4.87817855862248</v>
      </c>
      <c r="AH881" s="73"/>
      <c r="AI881" s="72">
        <v>2722128.6857543793</v>
      </c>
      <c r="AJ881" s="72">
        <v>0</v>
      </c>
      <c r="AK881" s="73"/>
      <c r="AL881" s="74">
        <v>-1999.1750820889656</v>
      </c>
      <c r="AM881" s="74">
        <v>0</v>
      </c>
      <c r="AN881" s="73"/>
      <c r="AO881" s="72">
        <v>184846.76342000981</v>
      </c>
      <c r="AP881" s="72">
        <v>0</v>
      </c>
      <c r="AQ881" s="73"/>
      <c r="AR881" s="74">
        <v>-108.95863630205308</v>
      </c>
      <c r="AS881" s="74">
        <v>0</v>
      </c>
      <c r="AT881" s="73"/>
      <c r="AU881" s="72">
        <v>10267592.195246929</v>
      </c>
      <c r="AV881" s="72">
        <v>0</v>
      </c>
      <c r="AW881" s="73"/>
      <c r="AX881" s="74">
        <v>-1920.0666899393284</v>
      </c>
      <c r="AY881" s="74">
        <v>0</v>
      </c>
      <c r="AZ881" s="73"/>
      <c r="BA881" s="72">
        <v>25462.509216158633</v>
      </c>
      <c r="BB881" s="72">
        <v>0</v>
      </c>
      <c r="BC881" s="73"/>
      <c r="BD881" s="74">
        <v>-441.44353357215863</v>
      </c>
      <c r="BE881" s="74">
        <v>0</v>
      </c>
      <c r="BF881" s="73"/>
      <c r="BG881" s="72">
        <v>218866.00073143156</v>
      </c>
      <c r="BH881" s="72">
        <v>0</v>
      </c>
      <c r="BI881" s="73"/>
      <c r="BJ881" s="74">
        <v>-1599.174259735395</v>
      </c>
      <c r="BK881" s="74">
        <v>0</v>
      </c>
      <c r="BL881" s="73"/>
      <c r="BM881" s="72">
        <v>13418896.154368907</v>
      </c>
      <c r="BN881" s="72">
        <v>0</v>
      </c>
      <c r="BO881" s="73"/>
      <c r="BP881" s="74">
        <v>-6068.8182016379005</v>
      </c>
      <c r="BQ881" s="74">
        <v>0</v>
      </c>
      <c r="BS881" s="109">
        <f t="shared" si="327"/>
        <v>115523.86334296349</v>
      </c>
      <c r="BT881" s="109">
        <f t="shared" si="328"/>
        <v>115923.51466410066</v>
      </c>
      <c r="BV881" s="58">
        <f t="array" ref="BV881">SUM(IF(BS881:BT881&gt;=BS881, 1))</f>
        <v>2</v>
      </c>
      <c r="BW881" s="58">
        <f t="array" ref="BW881">SUM(IF(BS881:BT881&gt;=BT881, 1))</f>
        <v>1</v>
      </c>
      <c r="BY881" s="109">
        <f t="shared" si="329"/>
        <v>134460.48704532572</v>
      </c>
      <c r="BZ881" s="109">
        <f t="shared" si="330"/>
        <v>134794.60989713142</v>
      </c>
      <c r="CB881" s="58">
        <f t="array" ref="CB881">SUM(IF(BY881:BZ881&gt;=BY881, 1))</f>
        <v>2</v>
      </c>
      <c r="CC881" s="58">
        <f t="array" ref="CC881">SUM(IF(BY881:BZ881&gt;=BZ881, 1))</f>
        <v>1</v>
      </c>
      <c r="CE881" s="109">
        <f t="shared" si="331"/>
        <v>92393.613104469376</v>
      </c>
      <c r="CF881" s="109">
        <f t="shared" si="332"/>
        <v>94483.942686820723</v>
      </c>
      <c r="CH881" s="58">
        <f t="array" ref="CH881">SUM(IF(CE881:CF881&gt;=CE881, 1))</f>
        <v>2</v>
      </c>
      <c r="CI881" s="58">
        <f t="array" ref="CI881">SUM(IF(CE881:CF881&gt;=CF881, 1))</f>
        <v>1</v>
      </c>
      <c r="CK881" s="109">
        <f t="shared" si="333"/>
        <v>50543.351183346625</v>
      </c>
      <c r="CL881" s="109">
        <f t="shared" si="334"/>
        <v>51532.888238656247</v>
      </c>
      <c r="CN881" s="58">
        <f t="array" ref="CN881">SUM(IF(CK881:CL881&gt;=CK881, 1))</f>
        <v>2</v>
      </c>
      <c r="CO881" s="58">
        <f t="array" ref="CO881">SUM(IF(CK881:CL881&gt;=CL881, 1))</f>
        <v>1</v>
      </c>
      <c r="CQ881" s="109" cm="1">
        <f t="array" ref="CQ881">AF881*WTP-AC881</f>
        <v>45370.812548886199</v>
      </c>
      <c r="CR881" s="109">
        <f t="shared" si="335"/>
        <v>47436.052867736566</v>
      </c>
      <c r="CT881" s="58">
        <f t="array" ref="CT881">SUM(IF(CQ881:CR881&gt;=CQ881, 1))</f>
        <v>2</v>
      </c>
      <c r="CU881" s="58">
        <f t="array" ref="CU881">SUM(IF(CQ881:CR881&gt;=CR881, 1))</f>
        <v>1</v>
      </c>
      <c r="CW881" s="109">
        <f t="shared" si="336"/>
        <v>-42705630.327533692</v>
      </c>
      <c r="CX881" s="109">
        <f t="shared" si="337"/>
        <v>0</v>
      </c>
      <c r="CZ881" s="58">
        <f t="array" ref="CZ881">SUM(IF(CW881:CX881&gt;=CW881, 1))</f>
        <v>2</v>
      </c>
      <c r="DA881" s="58">
        <f t="array" ref="DA881">SUM(IF(CW881:CX881&gt;=CX881, 1))</f>
        <v>1</v>
      </c>
      <c r="DC881" s="109">
        <f t="shared" si="338"/>
        <v>-2364019.4894610718</v>
      </c>
      <c r="DD881" s="109">
        <f t="shared" si="339"/>
        <v>0</v>
      </c>
      <c r="DF881" s="58">
        <f t="array" ref="DF881">SUM(IF(DC881:DD881&gt;=DC881, 1))</f>
        <v>2</v>
      </c>
      <c r="DG881" s="58">
        <f t="array" ref="DG881">SUM(IF(DC881:DD881&gt;=DD881, 1))</f>
        <v>1</v>
      </c>
      <c r="DI881" s="109">
        <f t="shared" si="340"/>
        <v>-48668925.994033493</v>
      </c>
      <c r="DJ881" s="109">
        <f t="shared" si="341"/>
        <v>0</v>
      </c>
      <c r="DL881" s="58">
        <f t="array" ref="DL881">SUM(IF(DI881:DJ881&gt;=DI881, 1))</f>
        <v>2</v>
      </c>
      <c r="DM881" s="58">
        <f t="array" ref="DM881">SUM(IF(DI881:DJ881&gt;=DJ881, 1))</f>
        <v>1</v>
      </c>
      <c r="DO881" s="109">
        <f t="shared" si="342"/>
        <v>-8854333.1806593295</v>
      </c>
      <c r="DP881" s="109">
        <f t="shared" si="343"/>
        <v>0</v>
      </c>
      <c r="DR881" s="58">
        <f t="array" ref="DR881">SUM(IF(DO881:DP881&gt;=DO881, 1))</f>
        <v>2</v>
      </c>
      <c r="DS881" s="58">
        <f t="array" ref="DS881">SUM(IF(DO881:DP881&gt;=DP881, 1))</f>
        <v>1</v>
      </c>
      <c r="DU881" s="109">
        <f t="shared" si="344"/>
        <v>-32202351.195439331</v>
      </c>
      <c r="DV881" s="109">
        <f t="shared" si="345"/>
        <v>0</v>
      </c>
      <c r="DX881" s="58">
        <f t="array" ref="DX881">SUM(IF(DU881:DV881&gt;=DU881, 1))</f>
        <v>2</v>
      </c>
      <c r="DY881" s="58">
        <f t="array" ref="DY881">SUM(IF(DU881:DV881&gt;=DV881, 1))</f>
        <v>1</v>
      </c>
      <c r="EA881" s="109">
        <f t="shared" si="346"/>
        <v>-134795260.18712693</v>
      </c>
      <c r="EB881" s="109">
        <f t="shared" si="347"/>
        <v>0</v>
      </c>
      <c r="ED881" s="58">
        <f t="array" ref="ED881">SUM(IF(EA881:EB881&gt;=EA881, 1))</f>
        <v>2</v>
      </c>
      <c r="EE881" s="58">
        <f t="array" ref="EE881">SUM(IF(EA881:EB881&gt;=EB881, 1))</f>
        <v>1</v>
      </c>
    </row>
    <row r="882" spans="4:135" ht="12" customHeight="1" x14ac:dyDescent="0.25">
      <c r="D882" s="11">
        <v>866</v>
      </c>
      <c r="E882" s="72">
        <v>214.56824029799745</v>
      </c>
      <c r="F882" s="72">
        <v>188.02167015130883</v>
      </c>
      <c r="G882" s="73"/>
      <c r="H882" s="74">
        <v>5.8320999012951011</v>
      </c>
      <c r="I882" s="74">
        <v>5.8517231683059556</v>
      </c>
      <c r="J882" s="73"/>
      <c r="K882" s="72">
        <v>229.94369397663382</v>
      </c>
      <c r="L882" s="72">
        <v>202.75055604440942</v>
      </c>
      <c r="M882" s="73"/>
      <c r="N882" s="74">
        <v>6.659699107846885</v>
      </c>
      <c r="O882" s="74">
        <v>6.6769702984045569</v>
      </c>
      <c r="P882" s="73"/>
      <c r="Q882" s="72">
        <v>2930.3274877941271</v>
      </c>
      <c r="R882" s="72">
        <v>1595.642125945056</v>
      </c>
      <c r="S882" s="73"/>
      <c r="T882" s="74">
        <v>4.8865566569527878</v>
      </c>
      <c r="U882" s="74">
        <v>4.9949696922756308</v>
      </c>
      <c r="V882" s="73"/>
      <c r="W882" s="72">
        <v>11789.495409301335</v>
      </c>
      <c r="X882" s="72">
        <v>11834.144460286652</v>
      </c>
      <c r="Y882" s="73"/>
      <c r="Z882" s="74">
        <v>3.0209612586457197</v>
      </c>
      <c r="AA882" s="74">
        <v>3.0766667079251255</v>
      </c>
      <c r="AB882" s="73"/>
      <c r="AC882" s="72">
        <v>51396.730570858686</v>
      </c>
      <c r="AD882" s="72">
        <v>51188.700350441875</v>
      </c>
      <c r="AE882" s="73"/>
      <c r="AF882" s="74">
        <v>4.2734714707616321</v>
      </c>
      <c r="AG882" s="74">
        <v>4.3797701475753303</v>
      </c>
      <c r="AH882" s="73"/>
      <c r="AI882" s="72">
        <v>2844318.7206452182</v>
      </c>
      <c r="AJ882" s="72">
        <v>0</v>
      </c>
      <c r="AK882" s="73"/>
      <c r="AL882" s="74">
        <v>-2102.5249367724964</v>
      </c>
      <c r="AM882" s="74">
        <v>0</v>
      </c>
      <c r="AN882" s="73"/>
      <c r="AO882" s="72">
        <v>172318.62843781066</v>
      </c>
      <c r="AP882" s="72">
        <v>0</v>
      </c>
      <c r="AQ882" s="73"/>
      <c r="AR882" s="74">
        <v>-109.44481198910459</v>
      </c>
      <c r="AS882" s="74">
        <v>0</v>
      </c>
      <c r="AT882" s="73"/>
      <c r="AU882" s="72">
        <v>31043000.064627193</v>
      </c>
      <c r="AV882" s="72">
        <v>0</v>
      </c>
      <c r="AW882" s="73"/>
      <c r="AX882" s="74">
        <v>-2521.5424988784871</v>
      </c>
      <c r="AY882" s="74">
        <v>0</v>
      </c>
      <c r="AZ882" s="73"/>
      <c r="BA882" s="72">
        <v>-390499.99190545984</v>
      </c>
      <c r="BB882" s="72">
        <v>0</v>
      </c>
      <c r="BC882" s="73"/>
      <c r="BD882" s="74">
        <v>-487.19910082414282</v>
      </c>
      <c r="BE882" s="74">
        <v>0</v>
      </c>
      <c r="BF882" s="73"/>
      <c r="BG882" s="72">
        <v>3368633.3858623439</v>
      </c>
      <c r="BH882" s="72">
        <v>0</v>
      </c>
      <c r="BI882" s="73"/>
      <c r="BJ882" s="74">
        <v>-1721.2944872632477</v>
      </c>
      <c r="BK882" s="74">
        <v>0</v>
      </c>
      <c r="BL882" s="73"/>
      <c r="BM882" s="72">
        <v>37037770.807667106</v>
      </c>
      <c r="BN882" s="72">
        <v>0</v>
      </c>
      <c r="BO882" s="73"/>
      <c r="BP882" s="74">
        <v>-6942.0058357274793</v>
      </c>
      <c r="BQ882" s="74">
        <v>0</v>
      </c>
      <c r="BS882" s="109">
        <f t="shared" si="327"/>
        <v>116427.42978560402</v>
      </c>
      <c r="BT882" s="109">
        <f t="shared" si="328"/>
        <v>116846.44169596781</v>
      </c>
      <c r="BV882" s="58">
        <f t="array" ref="BV882">SUM(IF(BS882:BT882&gt;=BS882, 1))</f>
        <v>2</v>
      </c>
      <c r="BW882" s="58">
        <f t="array" ref="BW882">SUM(IF(BS882:BT882&gt;=BT882, 1))</f>
        <v>1</v>
      </c>
      <c r="BY882" s="109">
        <f t="shared" si="329"/>
        <v>132964.03846296106</v>
      </c>
      <c r="BZ882" s="109">
        <f t="shared" si="330"/>
        <v>133336.65541204673</v>
      </c>
      <c r="CB882" s="58">
        <f t="array" ref="CB882">SUM(IF(BY882:BZ882&gt;=BY882, 1))</f>
        <v>2</v>
      </c>
      <c r="CC882" s="58">
        <f t="array" ref="CC882">SUM(IF(BY882:BZ882&gt;=BZ882, 1))</f>
        <v>1</v>
      </c>
      <c r="CE882" s="109">
        <f t="shared" si="331"/>
        <v>94800.805651261631</v>
      </c>
      <c r="CF882" s="109">
        <f t="shared" si="332"/>
        <v>98303.751719567561</v>
      </c>
      <c r="CH882" s="58">
        <f t="array" ref="CH882">SUM(IF(CE882:CF882&gt;=CE882, 1))</f>
        <v>2</v>
      </c>
      <c r="CI882" s="58">
        <f t="array" ref="CI882">SUM(IF(CE882:CF882&gt;=CF882, 1))</f>
        <v>1</v>
      </c>
      <c r="CK882" s="109">
        <f t="shared" si="333"/>
        <v>48629.729763613061</v>
      </c>
      <c r="CL882" s="109">
        <f t="shared" si="334"/>
        <v>49699.189698215858</v>
      </c>
      <c r="CN882" s="58">
        <f t="array" ref="CN882">SUM(IF(CK882:CL882&gt;=CK882, 1))</f>
        <v>2</v>
      </c>
      <c r="CO882" s="58">
        <f t="array" ref="CO882">SUM(IF(CK882:CL882&gt;=CL882, 1))</f>
        <v>1</v>
      </c>
      <c r="CQ882" s="109" cm="1">
        <f t="array" ref="CQ882">AF882*WTP-AC882</f>
        <v>34072.698844373961</v>
      </c>
      <c r="CR882" s="109">
        <f t="shared" si="335"/>
        <v>36406.702601064731</v>
      </c>
      <c r="CT882" s="58">
        <f t="array" ref="CT882">SUM(IF(CQ882:CR882&gt;=CQ882, 1))</f>
        <v>2</v>
      </c>
      <c r="CU882" s="58">
        <f t="array" ref="CU882">SUM(IF(CQ882:CR882&gt;=CR882, 1))</f>
        <v>1</v>
      </c>
      <c r="CW882" s="109">
        <f t="shared" si="336"/>
        <v>-44894817.456095144</v>
      </c>
      <c r="CX882" s="109">
        <f t="shared" si="337"/>
        <v>0</v>
      </c>
      <c r="CZ882" s="58">
        <f t="array" ref="CZ882">SUM(IF(CW882:CX882&gt;=CW882, 1))</f>
        <v>2</v>
      </c>
      <c r="DA882" s="58">
        <f t="array" ref="DA882">SUM(IF(CW882:CX882&gt;=CX882, 1))</f>
        <v>1</v>
      </c>
      <c r="DC882" s="109">
        <f t="shared" si="338"/>
        <v>-2361214.8682199023</v>
      </c>
      <c r="DD882" s="109">
        <f t="shared" si="339"/>
        <v>0</v>
      </c>
      <c r="DF882" s="58">
        <f t="array" ref="DF882">SUM(IF(DC882:DD882&gt;=DC882, 1))</f>
        <v>2</v>
      </c>
      <c r="DG882" s="58">
        <f t="array" ref="DG882">SUM(IF(DC882:DD882&gt;=DD882, 1))</f>
        <v>1</v>
      </c>
      <c r="DI882" s="109">
        <f t="shared" si="340"/>
        <v>-81473850.042196929</v>
      </c>
      <c r="DJ882" s="109">
        <f t="shared" si="341"/>
        <v>0</v>
      </c>
      <c r="DL882" s="58">
        <f t="array" ref="DL882">SUM(IF(DI882:DJ882&gt;=DI882, 1))</f>
        <v>2</v>
      </c>
      <c r="DM882" s="58">
        <f t="array" ref="DM882">SUM(IF(DI882:DJ882&gt;=DJ882, 1))</f>
        <v>1</v>
      </c>
      <c r="DO882" s="109">
        <f t="shared" si="342"/>
        <v>-9353482.024577396</v>
      </c>
      <c r="DP882" s="109">
        <f t="shared" si="343"/>
        <v>0</v>
      </c>
      <c r="DR882" s="58">
        <f t="array" ref="DR882">SUM(IF(DO882:DP882&gt;=DO882, 1))</f>
        <v>2</v>
      </c>
      <c r="DS882" s="58">
        <f t="array" ref="DS882">SUM(IF(DO882:DP882&gt;=DP882, 1))</f>
        <v>1</v>
      </c>
      <c r="DU882" s="109">
        <f t="shared" si="344"/>
        <v>-37794523.131127298</v>
      </c>
      <c r="DV882" s="109">
        <f t="shared" si="345"/>
        <v>0</v>
      </c>
      <c r="DX882" s="58">
        <f t="array" ref="DX882">SUM(IF(DU882:DV882&gt;=DU882, 1))</f>
        <v>2</v>
      </c>
      <c r="DY882" s="58">
        <f t="array" ref="DY882">SUM(IF(DU882:DV882&gt;=DV882, 1))</f>
        <v>1</v>
      </c>
      <c r="EA882" s="109">
        <f t="shared" si="346"/>
        <v>-175877887.52221668</v>
      </c>
      <c r="EB882" s="109">
        <f t="shared" si="347"/>
        <v>0</v>
      </c>
      <c r="ED882" s="58">
        <f t="array" ref="ED882">SUM(IF(EA882:EB882&gt;=EA882, 1))</f>
        <v>2</v>
      </c>
      <c r="EE882" s="58">
        <f t="array" ref="EE882">SUM(IF(EA882:EB882&gt;=EB882, 1))</f>
        <v>1</v>
      </c>
    </row>
    <row r="883" spans="4:135" ht="12" customHeight="1" x14ac:dyDescent="0.25">
      <c r="D883" s="11">
        <v>867</v>
      </c>
      <c r="E883" s="72">
        <v>214.89186971963355</v>
      </c>
      <c r="F883" s="72">
        <v>196.99987184157115</v>
      </c>
      <c r="G883" s="73"/>
      <c r="H883" s="74">
        <v>5.8624680701711158</v>
      </c>
      <c r="I883" s="74">
        <v>5.8806439006135429</v>
      </c>
      <c r="J883" s="73"/>
      <c r="K883" s="72">
        <v>230.75174790980108</v>
      </c>
      <c r="L883" s="72">
        <v>212.41968446492189</v>
      </c>
      <c r="M883" s="73"/>
      <c r="N883" s="74">
        <v>6.669256278894431</v>
      </c>
      <c r="O883" s="74">
        <v>6.6850941028446957</v>
      </c>
      <c r="P883" s="73"/>
      <c r="Q883" s="72">
        <v>2904.0067229116098</v>
      </c>
      <c r="R883" s="72">
        <v>1624.8474884598395</v>
      </c>
      <c r="S883" s="73"/>
      <c r="T883" s="74">
        <v>4.867171942762277</v>
      </c>
      <c r="U883" s="74">
        <v>4.9491491437571167</v>
      </c>
      <c r="V883" s="73"/>
      <c r="W883" s="72">
        <v>15780.245743969052</v>
      </c>
      <c r="X883" s="72">
        <v>15755.78286407371</v>
      </c>
      <c r="Y883" s="73"/>
      <c r="Z883" s="74">
        <v>3.1056590666652006</v>
      </c>
      <c r="AA883" s="74">
        <v>3.152919882750099</v>
      </c>
      <c r="AB883" s="73"/>
      <c r="AC883" s="72">
        <v>50186.838599054114</v>
      </c>
      <c r="AD883" s="72">
        <v>50020.837175542983</v>
      </c>
      <c r="AE883" s="73"/>
      <c r="AF883" s="74">
        <v>4.5340413631431771</v>
      </c>
      <c r="AG883" s="74">
        <v>4.6559275020828803</v>
      </c>
      <c r="AH883" s="73"/>
      <c r="AI883" s="72">
        <v>1930416.5396304922</v>
      </c>
      <c r="AJ883" s="72">
        <v>0</v>
      </c>
      <c r="AK883" s="73"/>
      <c r="AL883" s="74">
        <v>-1961.0400105513759</v>
      </c>
      <c r="AM883" s="74">
        <v>0</v>
      </c>
      <c r="AN883" s="73"/>
      <c r="AO883" s="72">
        <v>124633.01336603909</v>
      </c>
      <c r="AP883" s="72">
        <v>0</v>
      </c>
      <c r="AQ883" s="73"/>
      <c r="AR883" s="74">
        <v>-107.67558873104983</v>
      </c>
      <c r="AS883" s="74">
        <v>0</v>
      </c>
      <c r="AT883" s="73"/>
      <c r="AU883" s="72">
        <v>29358640.900035739</v>
      </c>
      <c r="AV883" s="72">
        <v>0</v>
      </c>
      <c r="AW883" s="73"/>
      <c r="AX883" s="74">
        <v>-1881.5008649247986</v>
      </c>
      <c r="AY883" s="74">
        <v>0</v>
      </c>
      <c r="AZ883" s="73"/>
      <c r="BA883" s="72">
        <v>222326.43778797216</v>
      </c>
      <c r="BB883" s="72">
        <v>0</v>
      </c>
      <c r="BC883" s="73"/>
      <c r="BD883" s="74">
        <v>-429.52133731028022</v>
      </c>
      <c r="BE883" s="74">
        <v>0</v>
      </c>
      <c r="BF883" s="73"/>
      <c r="BG883" s="72">
        <v>2672153.9632282434</v>
      </c>
      <c r="BH883" s="72">
        <v>0</v>
      </c>
      <c r="BI883" s="73"/>
      <c r="BJ883" s="74">
        <v>-1962.022507647222</v>
      </c>
      <c r="BK883" s="74">
        <v>0</v>
      </c>
      <c r="BL883" s="73"/>
      <c r="BM883" s="72">
        <v>34308170.854048483</v>
      </c>
      <c r="BN883" s="72">
        <v>0</v>
      </c>
      <c r="BO883" s="73"/>
      <c r="BP883" s="74">
        <v>-6341.760309164727</v>
      </c>
      <c r="BQ883" s="74">
        <v>0</v>
      </c>
      <c r="BS883" s="109">
        <f t="shared" si="327"/>
        <v>117034.46953370268</v>
      </c>
      <c r="BT883" s="109">
        <f t="shared" si="328"/>
        <v>117415.87814042928</v>
      </c>
      <c r="BV883" s="58">
        <f t="array" ref="BV883">SUM(IF(BS883:BT883&gt;=BS883, 1))</f>
        <v>2</v>
      </c>
      <c r="BW883" s="58">
        <f t="array" ref="BW883">SUM(IF(BS883:BT883&gt;=BT883, 1))</f>
        <v>1</v>
      </c>
      <c r="BY883" s="109">
        <f t="shared" si="329"/>
        <v>133154.37382997884</v>
      </c>
      <c r="BZ883" s="109">
        <f t="shared" si="330"/>
        <v>133489.462372429</v>
      </c>
      <c r="CB883" s="58">
        <f t="array" ref="CB883">SUM(IF(BY883:BZ883&gt;=BY883, 1))</f>
        <v>2</v>
      </c>
      <c r="CC883" s="58">
        <f t="array" ref="CC883">SUM(IF(BY883:BZ883&gt;=BZ883, 1))</f>
        <v>1</v>
      </c>
      <c r="CE883" s="109">
        <f t="shared" si="331"/>
        <v>94439.432132333925</v>
      </c>
      <c r="CF883" s="109">
        <f t="shared" si="332"/>
        <v>97358.135386682494</v>
      </c>
      <c r="CH883" s="58">
        <f t="array" ref="CH883">SUM(IF(CE883:CF883&gt;=CE883, 1))</f>
        <v>2</v>
      </c>
      <c r="CI883" s="58">
        <f t="array" ref="CI883">SUM(IF(CE883:CF883&gt;=CF883, 1))</f>
        <v>1</v>
      </c>
      <c r="CK883" s="109">
        <f t="shared" si="333"/>
        <v>46332.935589334957</v>
      </c>
      <c r="CL883" s="109">
        <f t="shared" si="334"/>
        <v>47302.614790928274</v>
      </c>
      <c r="CN883" s="58">
        <f t="array" ref="CN883">SUM(IF(CK883:CL883&gt;=CK883, 1))</f>
        <v>2</v>
      </c>
      <c r="CO883" s="58">
        <f t="array" ref="CO883">SUM(IF(CK883:CL883&gt;=CL883, 1))</f>
        <v>1</v>
      </c>
      <c r="CQ883" s="109" cm="1">
        <f t="array" ref="CQ883">AF883*WTP-AC883</f>
        <v>40493.988663809432</v>
      </c>
      <c r="CR883" s="109">
        <f t="shared" si="335"/>
        <v>43097.712866114627</v>
      </c>
      <c r="CT883" s="58">
        <f t="array" ref="CT883">SUM(IF(CQ883:CR883&gt;=CQ883, 1))</f>
        <v>2</v>
      </c>
      <c r="CU883" s="58">
        <f t="array" ref="CU883">SUM(IF(CQ883:CR883&gt;=CR883, 1))</f>
        <v>1</v>
      </c>
      <c r="CW883" s="109">
        <f t="shared" si="336"/>
        <v>-41151216.750658013</v>
      </c>
      <c r="CX883" s="109">
        <f t="shared" si="337"/>
        <v>0</v>
      </c>
      <c r="CZ883" s="58">
        <f t="array" ref="CZ883">SUM(IF(CW883:CX883&gt;=CW883, 1))</f>
        <v>2</v>
      </c>
      <c r="DA883" s="58">
        <f t="array" ref="DA883">SUM(IF(CW883:CX883&gt;=CX883, 1))</f>
        <v>1</v>
      </c>
      <c r="DC883" s="109">
        <f t="shared" si="338"/>
        <v>-2278144.7879870357</v>
      </c>
      <c r="DD883" s="109">
        <f t="shared" si="339"/>
        <v>0</v>
      </c>
      <c r="DF883" s="58">
        <f t="array" ref="DF883">SUM(IF(DC883:DD883&gt;=DC883, 1))</f>
        <v>2</v>
      </c>
      <c r="DG883" s="58">
        <f t="array" ref="DG883">SUM(IF(DC883:DD883&gt;=DD883, 1))</f>
        <v>1</v>
      </c>
      <c r="DI883" s="109">
        <f t="shared" si="340"/>
        <v>-66988658.19853171</v>
      </c>
      <c r="DJ883" s="109">
        <f t="shared" si="341"/>
        <v>0</v>
      </c>
      <c r="DL883" s="58">
        <f t="array" ref="DL883">SUM(IF(DI883:DJ883&gt;=DI883, 1))</f>
        <v>2</v>
      </c>
      <c r="DM883" s="58">
        <f t="array" ref="DM883">SUM(IF(DI883:DJ883&gt;=DJ883, 1))</f>
        <v>1</v>
      </c>
      <c r="DO883" s="109">
        <f t="shared" si="342"/>
        <v>-8812753.1839935761</v>
      </c>
      <c r="DP883" s="109">
        <f t="shared" si="343"/>
        <v>0</v>
      </c>
      <c r="DR883" s="58">
        <f t="array" ref="DR883">SUM(IF(DO883:DP883&gt;=DO883, 1))</f>
        <v>2</v>
      </c>
      <c r="DS883" s="58">
        <f t="array" ref="DS883">SUM(IF(DO883:DP883&gt;=DP883, 1))</f>
        <v>1</v>
      </c>
      <c r="DU883" s="109">
        <f t="shared" si="344"/>
        <v>-41912604.116172679</v>
      </c>
      <c r="DV883" s="109">
        <f t="shared" si="345"/>
        <v>0</v>
      </c>
      <c r="DX883" s="58">
        <f t="array" ref="DX883">SUM(IF(DU883:DV883&gt;=DU883, 1))</f>
        <v>2</v>
      </c>
      <c r="DY883" s="58">
        <f t="array" ref="DY883">SUM(IF(DU883:DV883&gt;=DV883, 1))</f>
        <v>1</v>
      </c>
      <c r="EA883" s="109">
        <f t="shared" si="346"/>
        <v>-161143377.03734303</v>
      </c>
      <c r="EB883" s="109">
        <f t="shared" si="347"/>
        <v>0</v>
      </c>
      <c r="ED883" s="58">
        <f t="array" ref="ED883">SUM(IF(EA883:EB883&gt;=EA883, 1))</f>
        <v>2</v>
      </c>
      <c r="EE883" s="58">
        <f t="array" ref="EE883">SUM(IF(EA883:EB883&gt;=EB883, 1))</f>
        <v>1</v>
      </c>
    </row>
    <row r="884" spans="4:135" ht="12" customHeight="1" x14ac:dyDescent="0.25">
      <c r="D884" s="11">
        <v>868</v>
      </c>
      <c r="E884" s="72">
        <v>284.77374401907628</v>
      </c>
      <c r="F884" s="72">
        <v>245.48272120231286</v>
      </c>
      <c r="G884" s="73"/>
      <c r="H884" s="74">
        <v>5.8184076378633627</v>
      </c>
      <c r="I884" s="74">
        <v>5.8353807164709357</v>
      </c>
      <c r="J884" s="73"/>
      <c r="K884" s="72">
        <v>304.9031196764343</v>
      </c>
      <c r="L884" s="72">
        <v>264.72322962174388</v>
      </c>
      <c r="M884" s="73"/>
      <c r="N884" s="74">
        <v>6.7560112642348962</v>
      </c>
      <c r="O884" s="74">
        <v>6.7714216721688683</v>
      </c>
      <c r="P884" s="73"/>
      <c r="Q884" s="72">
        <v>3148.1166158177948</v>
      </c>
      <c r="R884" s="72">
        <v>1650.2942278902503</v>
      </c>
      <c r="S884" s="73"/>
      <c r="T884" s="74">
        <v>4.7907525912811622</v>
      </c>
      <c r="U884" s="74">
        <v>4.889932922086393</v>
      </c>
      <c r="V884" s="73"/>
      <c r="W884" s="72">
        <v>11911.3193003058</v>
      </c>
      <c r="X884" s="72">
        <v>11863.279718566329</v>
      </c>
      <c r="Y884" s="73"/>
      <c r="Z884" s="74">
        <v>2.9822082134142907</v>
      </c>
      <c r="AA884" s="74">
        <v>3.0191903422209641</v>
      </c>
      <c r="AB884" s="73"/>
      <c r="AC884" s="72">
        <v>48905.009126289326</v>
      </c>
      <c r="AD884" s="72">
        <v>48886.878978175315</v>
      </c>
      <c r="AE884" s="73"/>
      <c r="AF884" s="74">
        <v>4.9135542938175218</v>
      </c>
      <c r="AG884" s="74">
        <v>4.9850979160149764</v>
      </c>
      <c r="AH884" s="73"/>
      <c r="AI884" s="72">
        <v>4216313.4474905441</v>
      </c>
      <c r="AJ884" s="72">
        <v>0</v>
      </c>
      <c r="AK884" s="73"/>
      <c r="AL884" s="74">
        <v>-1821.3783823385654</v>
      </c>
      <c r="AM884" s="74">
        <v>0</v>
      </c>
      <c r="AN884" s="73"/>
      <c r="AO884" s="72">
        <v>277937.1267453201</v>
      </c>
      <c r="AP884" s="72">
        <v>0</v>
      </c>
      <c r="AQ884" s="73"/>
      <c r="AR884" s="74">
        <v>-106.59871137804402</v>
      </c>
      <c r="AS884" s="74">
        <v>0</v>
      </c>
      <c r="AT884" s="73"/>
      <c r="AU884" s="72">
        <v>34551866.126847886</v>
      </c>
      <c r="AV884" s="72">
        <v>0</v>
      </c>
      <c r="AW884" s="73"/>
      <c r="AX884" s="74">
        <v>-2287.8984451156389</v>
      </c>
      <c r="AY884" s="74">
        <v>0</v>
      </c>
      <c r="AZ884" s="73"/>
      <c r="BA884" s="72">
        <v>453201.86652176944</v>
      </c>
      <c r="BB884" s="72">
        <v>0</v>
      </c>
      <c r="BC884" s="73"/>
      <c r="BD884" s="74">
        <v>-348.88667212025211</v>
      </c>
      <c r="BE884" s="74">
        <v>0</v>
      </c>
      <c r="BF884" s="73"/>
      <c r="BG884" s="72">
        <v>286130.71121227799</v>
      </c>
      <c r="BH884" s="72">
        <v>0</v>
      </c>
      <c r="BI884" s="73"/>
      <c r="BJ884" s="74">
        <v>-1129.1042617705111</v>
      </c>
      <c r="BK884" s="74">
        <v>0</v>
      </c>
      <c r="BL884" s="73"/>
      <c r="BM884" s="72">
        <v>39785449.278817795</v>
      </c>
      <c r="BN884" s="72">
        <v>0</v>
      </c>
      <c r="BO884" s="73"/>
      <c r="BP884" s="74">
        <v>-5693.8664727230116</v>
      </c>
      <c r="BQ884" s="74">
        <v>0</v>
      </c>
      <c r="BS884" s="109">
        <f t="shared" si="327"/>
        <v>116083.37901324817</v>
      </c>
      <c r="BT884" s="109">
        <f t="shared" si="328"/>
        <v>116462.13160821641</v>
      </c>
      <c r="BV884" s="58">
        <f t="array" ref="BV884">SUM(IF(BS884:BT884&gt;=BS884, 1))</f>
        <v>2</v>
      </c>
      <c r="BW884" s="58">
        <f t="array" ref="BW884">SUM(IF(BS884:BT884&gt;=BT884, 1))</f>
        <v>1</v>
      </c>
      <c r="BY884" s="109">
        <f t="shared" si="329"/>
        <v>134815.3221650215</v>
      </c>
      <c r="BZ884" s="109">
        <f t="shared" si="330"/>
        <v>135163.71021375564</v>
      </c>
      <c r="CB884" s="58">
        <f t="array" ref="CB884">SUM(IF(BY884:BZ884&gt;=BY884, 1))</f>
        <v>2</v>
      </c>
      <c r="CC884" s="58">
        <f t="array" ref="CC884">SUM(IF(BY884:BZ884&gt;=BZ884, 1))</f>
        <v>1</v>
      </c>
      <c r="CE884" s="109">
        <f t="shared" si="331"/>
        <v>92666.935209805451</v>
      </c>
      <c r="CF884" s="109">
        <f t="shared" si="332"/>
        <v>96148.364213837616</v>
      </c>
      <c r="CH884" s="58">
        <f t="array" ref="CH884">SUM(IF(CE884:CF884&gt;=CE884, 1))</f>
        <v>2</v>
      </c>
      <c r="CI884" s="58">
        <f t="array" ref="CI884">SUM(IF(CE884:CF884&gt;=CF884, 1))</f>
        <v>1</v>
      </c>
      <c r="CK884" s="109">
        <f t="shared" si="333"/>
        <v>47732.844967980011</v>
      </c>
      <c r="CL884" s="109">
        <f t="shared" si="334"/>
        <v>48520.527125852954</v>
      </c>
      <c r="CN884" s="58">
        <f t="array" ref="CN884">SUM(IF(CK884:CL884&gt;=CK884, 1))</f>
        <v>2</v>
      </c>
      <c r="CO884" s="58">
        <f t="array" ref="CO884">SUM(IF(CK884:CL884&gt;=CL884, 1))</f>
        <v>1</v>
      </c>
      <c r="CQ884" s="109" cm="1">
        <f t="array" ref="CQ884">AF884*WTP-AC884</f>
        <v>49366.076750061111</v>
      </c>
      <c r="CR884" s="109">
        <f t="shared" si="335"/>
        <v>50815.079342124212</v>
      </c>
      <c r="CT884" s="58">
        <f t="array" ref="CT884">SUM(IF(CQ884:CR884&gt;=CQ884, 1))</f>
        <v>2</v>
      </c>
      <c r="CU884" s="58">
        <f t="array" ref="CU884">SUM(IF(CQ884:CR884&gt;=CR884, 1))</f>
        <v>1</v>
      </c>
      <c r="CW884" s="109">
        <f t="shared" si="336"/>
        <v>-40643881.094261855</v>
      </c>
      <c r="CX884" s="109">
        <f t="shared" si="337"/>
        <v>0</v>
      </c>
      <c r="CZ884" s="58">
        <f t="array" ref="CZ884">SUM(IF(CW884:CX884&gt;=CW884, 1))</f>
        <v>2</v>
      </c>
      <c r="DA884" s="58">
        <f t="array" ref="DA884">SUM(IF(CW884:CX884&gt;=CX884, 1))</f>
        <v>1</v>
      </c>
      <c r="DC884" s="109">
        <f t="shared" si="338"/>
        <v>-2409911.3543062001</v>
      </c>
      <c r="DD884" s="109">
        <f t="shared" si="339"/>
        <v>0</v>
      </c>
      <c r="DF884" s="58">
        <f t="array" ref="DF884">SUM(IF(DC884:DD884&gt;=DC884, 1))</f>
        <v>2</v>
      </c>
      <c r="DG884" s="58">
        <f t="array" ref="DG884">SUM(IF(DC884:DD884&gt;=DD884, 1))</f>
        <v>1</v>
      </c>
      <c r="DI884" s="109">
        <f t="shared" si="340"/>
        <v>-80309835.029160663</v>
      </c>
      <c r="DJ884" s="109">
        <f t="shared" si="341"/>
        <v>0</v>
      </c>
      <c r="DL884" s="58">
        <f t="array" ref="DL884">SUM(IF(DI884:DJ884&gt;=DI884, 1))</f>
        <v>2</v>
      </c>
      <c r="DM884" s="58">
        <f t="array" ref="DM884">SUM(IF(DI884:DJ884&gt;=DJ884, 1))</f>
        <v>1</v>
      </c>
      <c r="DO884" s="109">
        <f t="shared" si="342"/>
        <v>-7430935.3089268114</v>
      </c>
      <c r="DP884" s="109">
        <f t="shared" si="343"/>
        <v>0</v>
      </c>
      <c r="DR884" s="58">
        <f t="array" ref="DR884">SUM(IF(DO884:DP884&gt;=DO884, 1))</f>
        <v>2</v>
      </c>
      <c r="DS884" s="58">
        <f t="array" ref="DS884">SUM(IF(DO884:DP884&gt;=DP884, 1))</f>
        <v>1</v>
      </c>
      <c r="DU884" s="109">
        <f t="shared" si="344"/>
        <v>-22868215.946622498</v>
      </c>
      <c r="DV884" s="109">
        <f t="shared" si="345"/>
        <v>0</v>
      </c>
      <c r="DX884" s="58">
        <f t="array" ref="DX884">SUM(IF(DU884:DV884&gt;=DU884, 1))</f>
        <v>2</v>
      </c>
      <c r="DY884" s="58">
        <f t="array" ref="DY884">SUM(IF(DU884:DV884&gt;=DV884, 1))</f>
        <v>1</v>
      </c>
      <c r="EA884" s="109">
        <f t="shared" si="346"/>
        <v>-153662778.73327804</v>
      </c>
      <c r="EB884" s="109">
        <f t="shared" si="347"/>
        <v>0</v>
      </c>
      <c r="ED884" s="58">
        <f t="array" ref="ED884">SUM(IF(EA884:EB884&gt;=EA884, 1))</f>
        <v>2</v>
      </c>
      <c r="EE884" s="58">
        <f t="array" ref="EE884">SUM(IF(EA884:EB884&gt;=EB884, 1))</f>
        <v>1</v>
      </c>
    </row>
    <row r="885" spans="4:135" ht="12" customHeight="1" x14ac:dyDescent="0.25">
      <c r="D885" s="11">
        <v>869</v>
      </c>
      <c r="E885" s="72">
        <v>325.2702071452531</v>
      </c>
      <c r="F885" s="72">
        <v>306.31289792914475</v>
      </c>
      <c r="G885" s="73"/>
      <c r="H885" s="74">
        <v>5.7513002441422243</v>
      </c>
      <c r="I885" s="74">
        <v>5.7679070583607013</v>
      </c>
      <c r="J885" s="73"/>
      <c r="K885" s="72">
        <v>349.84906315270297</v>
      </c>
      <c r="L885" s="72">
        <v>330.41238852683273</v>
      </c>
      <c r="M885" s="73"/>
      <c r="N885" s="74">
        <v>6.7425520470428264</v>
      </c>
      <c r="O885" s="74">
        <v>6.7574850029039437</v>
      </c>
      <c r="P885" s="73"/>
      <c r="Q885" s="72">
        <v>3089.6688250347224</v>
      </c>
      <c r="R885" s="72">
        <v>1386.5343485619583</v>
      </c>
      <c r="S885" s="73"/>
      <c r="T885" s="74">
        <v>4.5972085712352584</v>
      </c>
      <c r="U885" s="74">
        <v>4.7115421460610252</v>
      </c>
      <c r="V885" s="73"/>
      <c r="W885" s="72">
        <v>13861.794539532193</v>
      </c>
      <c r="X885" s="72">
        <v>13837.684701601131</v>
      </c>
      <c r="Y885" s="73"/>
      <c r="Z885" s="74">
        <v>2.8424500895583602</v>
      </c>
      <c r="AA885" s="74">
        <v>2.8878817469557676</v>
      </c>
      <c r="AB885" s="73"/>
      <c r="AC885" s="72">
        <v>51812.131764682243</v>
      </c>
      <c r="AD885" s="72">
        <v>50921.127247333192</v>
      </c>
      <c r="AE885" s="73"/>
      <c r="AF885" s="74">
        <v>3.9248188126654342</v>
      </c>
      <c r="AG885" s="74">
        <v>4.0546447528399261</v>
      </c>
      <c r="AH885" s="73"/>
      <c r="AI885" s="72">
        <v>2021231.9044367615</v>
      </c>
      <c r="AJ885" s="72">
        <v>0</v>
      </c>
      <c r="AK885" s="73"/>
      <c r="AL885" s="74">
        <v>-1770.6216819482979</v>
      </c>
      <c r="AM885" s="74">
        <v>0</v>
      </c>
      <c r="AN885" s="73"/>
      <c r="AO885" s="72">
        <v>137656.0116412823</v>
      </c>
      <c r="AP885" s="72">
        <v>0</v>
      </c>
      <c r="AQ885" s="73"/>
      <c r="AR885" s="74">
        <v>-105.75940511555915</v>
      </c>
      <c r="AS885" s="74">
        <v>0</v>
      </c>
      <c r="AT885" s="73"/>
      <c r="AU885" s="72">
        <v>39171439.55455105</v>
      </c>
      <c r="AV885" s="72">
        <v>0</v>
      </c>
      <c r="AW885" s="73"/>
      <c r="AX885" s="74">
        <v>-2629.6283571327749</v>
      </c>
      <c r="AY885" s="74">
        <v>0</v>
      </c>
      <c r="AZ885" s="73"/>
      <c r="BA885" s="72">
        <v>220221.23895316091</v>
      </c>
      <c r="BB885" s="72">
        <v>0</v>
      </c>
      <c r="BC885" s="73"/>
      <c r="BD885" s="74">
        <v>-414.97648836794616</v>
      </c>
      <c r="BE885" s="74">
        <v>0</v>
      </c>
      <c r="BF885" s="73"/>
      <c r="BG885" s="72">
        <v>13873580.283526847</v>
      </c>
      <c r="BH885" s="72">
        <v>0</v>
      </c>
      <c r="BI885" s="73"/>
      <c r="BJ885" s="74">
        <v>-2021.4831337264327</v>
      </c>
      <c r="BK885" s="74">
        <v>0</v>
      </c>
      <c r="BL885" s="73"/>
      <c r="BM885" s="72">
        <v>55424128.9931091</v>
      </c>
      <c r="BN885" s="72">
        <v>0</v>
      </c>
      <c r="BO885" s="73"/>
      <c r="BP885" s="74">
        <v>-6942.4690662910107</v>
      </c>
      <c r="BQ885" s="74">
        <v>0</v>
      </c>
      <c r="BS885" s="109">
        <f t="shared" si="327"/>
        <v>114700.73467569923</v>
      </c>
      <c r="BT885" s="109">
        <f t="shared" si="328"/>
        <v>115051.82826928487</v>
      </c>
      <c r="BV885" s="58">
        <f t="array" ref="BV885">SUM(IF(BS885:BT885&gt;=BS885, 1))</f>
        <v>2</v>
      </c>
      <c r="BW885" s="58">
        <f t="array" ref="BW885">SUM(IF(BS885:BT885&gt;=BT885, 1))</f>
        <v>1</v>
      </c>
      <c r="BY885" s="109">
        <f t="shared" si="329"/>
        <v>134501.19187770382</v>
      </c>
      <c r="BZ885" s="109">
        <f t="shared" si="330"/>
        <v>134819.28766955205</v>
      </c>
      <c r="CB885" s="58">
        <f t="array" ref="CB885">SUM(IF(BY885:BZ885&gt;=BY885, 1))</f>
        <v>2</v>
      </c>
      <c r="CC885" s="58">
        <f t="array" ref="CC885">SUM(IF(BY885:BZ885&gt;=BZ885, 1))</f>
        <v>1</v>
      </c>
      <c r="CE885" s="109">
        <f t="shared" si="331"/>
        <v>88854.50259967045</v>
      </c>
      <c r="CF885" s="109">
        <f t="shared" si="332"/>
        <v>92844.308572658556</v>
      </c>
      <c r="CH885" s="58">
        <f t="array" ref="CH885">SUM(IF(CE885:CF885&gt;=CE885, 1))</f>
        <v>2</v>
      </c>
      <c r="CI885" s="58">
        <f t="array" ref="CI885">SUM(IF(CE885:CF885&gt;=CF885, 1))</f>
        <v>1</v>
      </c>
      <c r="CK885" s="109">
        <f t="shared" si="333"/>
        <v>42987.207251635009</v>
      </c>
      <c r="CL885" s="109">
        <f t="shared" si="334"/>
        <v>43919.950237514218</v>
      </c>
      <c r="CN885" s="58">
        <f t="array" ref="CN885">SUM(IF(CK885:CL885&gt;=CK885, 1))</f>
        <v>2</v>
      </c>
      <c r="CO885" s="58">
        <f t="array" ref="CO885">SUM(IF(CK885:CL885&gt;=CL885, 1))</f>
        <v>1</v>
      </c>
      <c r="CQ885" s="109" cm="1">
        <f t="array" ref="CQ885">AF885*WTP-AC885</f>
        <v>26684.244488626442</v>
      </c>
      <c r="CR885" s="109">
        <f t="shared" si="335"/>
        <v>30171.767809465324</v>
      </c>
      <c r="CT885" s="58">
        <f t="array" ref="CT885">SUM(IF(CQ885:CR885&gt;=CQ885, 1))</f>
        <v>2</v>
      </c>
      <c r="CU885" s="58">
        <f t="array" ref="CU885">SUM(IF(CQ885:CR885&gt;=CR885, 1))</f>
        <v>1</v>
      </c>
      <c r="CW885" s="109">
        <f t="shared" si="336"/>
        <v>-37433665.543402717</v>
      </c>
      <c r="CX885" s="109">
        <f t="shared" si="337"/>
        <v>0</v>
      </c>
      <c r="CZ885" s="58">
        <f t="array" ref="CZ885">SUM(IF(CW885:CX885&gt;=CW885, 1))</f>
        <v>2</v>
      </c>
      <c r="DA885" s="58">
        <f t="array" ref="DA885">SUM(IF(CW885:CX885&gt;=CX885, 1))</f>
        <v>1</v>
      </c>
      <c r="DC885" s="109">
        <f t="shared" si="338"/>
        <v>-2252844.1139524649</v>
      </c>
      <c r="DD885" s="109">
        <f t="shared" si="339"/>
        <v>0</v>
      </c>
      <c r="DF885" s="58">
        <f t="array" ref="DF885">SUM(IF(DC885:DD885&gt;=DC885, 1))</f>
        <v>2</v>
      </c>
      <c r="DG885" s="58">
        <f t="array" ref="DG885">SUM(IF(DC885:DD885&gt;=DD885, 1))</f>
        <v>1</v>
      </c>
      <c r="DI885" s="109">
        <f t="shared" si="340"/>
        <v>-91764006.697206557</v>
      </c>
      <c r="DJ885" s="109">
        <f t="shared" si="341"/>
        <v>0</v>
      </c>
      <c r="DL885" s="58">
        <f t="array" ref="DL885">SUM(IF(DI885:DJ885&gt;=DI885, 1))</f>
        <v>2</v>
      </c>
      <c r="DM885" s="58">
        <f t="array" ref="DM885">SUM(IF(DI885:DJ885&gt;=DJ885, 1))</f>
        <v>1</v>
      </c>
      <c r="DO885" s="109">
        <f t="shared" si="342"/>
        <v>-8519751.0063120835</v>
      </c>
      <c r="DP885" s="109">
        <f t="shared" si="343"/>
        <v>0</v>
      </c>
      <c r="DR885" s="58">
        <f t="array" ref="DR885">SUM(IF(DO885:DP885&gt;=DO885, 1))</f>
        <v>2</v>
      </c>
      <c r="DS885" s="58">
        <f t="array" ref="DS885">SUM(IF(DO885:DP885&gt;=DP885, 1))</f>
        <v>1</v>
      </c>
      <c r="DU885" s="109">
        <f t="shared" si="344"/>
        <v>-54303242.958055496</v>
      </c>
      <c r="DV885" s="109">
        <f t="shared" si="345"/>
        <v>0</v>
      </c>
      <c r="DX885" s="58">
        <f t="array" ref="DX885">SUM(IF(DU885:DV885&gt;=DU885, 1))</f>
        <v>2</v>
      </c>
      <c r="DY885" s="58">
        <f t="array" ref="DY885">SUM(IF(DU885:DV885&gt;=DV885, 1))</f>
        <v>1</v>
      </c>
      <c r="EA885" s="109">
        <f t="shared" si="346"/>
        <v>-194273510.31892931</v>
      </c>
      <c r="EB885" s="109">
        <f t="shared" si="347"/>
        <v>0</v>
      </c>
      <c r="ED885" s="58">
        <f t="array" ref="ED885">SUM(IF(EA885:EB885&gt;=EA885, 1))</f>
        <v>2</v>
      </c>
      <c r="EE885" s="58">
        <f t="array" ref="EE885">SUM(IF(EA885:EB885&gt;=EB885, 1))</f>
        <v>1</v>
      </c>
    </row>
    <row r="886" spans="4:135" ht="12" customHeight="1" x14ac:dyDescent="0.25">
      <c r="D886" s="11">
        <v>870</v>
      </c>
      <c r="E886" s="72">
        <v>259.95857613773001</v>
      </c>
      <c r="F886" s="72">
        <v>231.07227255676068</v>
      </c>
      <c r="G886" s="73"/>
      <c r="H886" s="74">
        <v>5.8394506416798757</v>
      </c>
      <c r="I886" s="74">
        <v>5.8568097486882111</v>
      </c>
      <c r="J886" s="73"/>
      <c r="K886" s="72">
        <v>278.76623709478611</v>
      </c>
      <c r="L886" s="72">
        <v>249.16805751285477</v>
      </c>
      <c r="M886" s="73"/>
      <c r="N886" s="74">
        <v>6.6680845611358919</v>
      </c>
      <c r="O886" s="74">
        <v>6.6830715676320258</v>
      </c>
      <c r="P886" s="73"/>
      <c r="Q886" s="72">
        <v>1396.6730087706787</v>
      </c>
      <c r="R886" s="72">
        <v>1049.6058186690998</v>
      </c>
      <c r="S886" s="73"/>
      <c r="T886" s="74">
        <v>4.9164849368795123</v>
      </c>
      <c r="U886" s="74">
        <v>4.977186775023414</v>
      </c>
      <c r="V886" s="73"/>
      <c r="W886" s="72">
        <v>17731.621381098314</v>
      </c>
      <c r="X886" s="72">
        <v>17698.781940622124</v>
      </c>
      <c r="Y886" s="73"/>
      <c r="Z886" s="74">
        <v>3.1050052670193433</v>
      </c>
      <c r="AA886" s="74">
        <v>3.1592498496069008</v>
      </c>
      <c r="AB886" s="73"/>
      <c r="AC886" s="72">
        <v>50843.821712175035</v>
      </c>
      <c r="AD886" s="72">
        <v>50572.53922755552</v>
      </c>
      <c r="AE886" s="73"/>
      <c r="AF886" s="74">
        <v>4.2458115331187738</v>
      </c>
      <c r="AG886" s="74">
        <v>4.3521210208351988</v>
      </c>
      <c r="AH886" s="73"/>
      <c r="AI886" s="72">
        <v>3140338.7934816517</v>
      </c>
      <c r="AJ886" s="72">
        <v>0</v>
      </c>
      <c r="AK886" s="73"/>
      <c r="AL886" s="74">
        <v>-1887.17386444658</v>
      </c>
      <c r="AM886" s="74">
        <v>0</v>
      </c>
      <c r="AN886" s="73"/>
      <c r="AO886" s="72">
        <v>210095.67740217142</v>
      </c>
      <c r="AP886" s="72">
        <v>0</v>
      </c>
      <c r="AQ886" s="73"/>
      <c r="AR886" s="74">
        <v>-106.38172098794139</v>
      </c>
      <c r="AS886" s="74">
        <v>0</v>
      </c>
      <c r="AT886" s="73"/>
      <c r="AU886" s="72">
        <v>8078699.2919772435</v>
      </c>
      <c r="AV886" s="72">
        <v>0</v>
      </c>
      <c r="AW886" s="73"/>
      <c r="AX886" s="74">
        <v>-1412.9595387317634</v>
      </c>
      <c r="AY886" s="74">
        <v>0</v>
      </c>
      <c r="AZ886" s="73"/>
      <c r="BA886" s="72">
        <v>300557.46638572949</v>
      </c>
      <c r="BB886" s="72">
        <v>0</v>
      </c>
      <c r="BC886" s="73"/>
      <c r="BD886" s="74">
        <v>-496.46443639893573</v>
      </c>
      <c r="BE886" s="74">
        <v>0</v>
      </c>
      <c r="BF886" s="73"/>
      <c r="BG886" s="72">
        <v>4508940.2296598367</v>
      </c>
      <c r="BH886" s="72">
        <v>0</v>
      </c>
      <c r="BI886" s="73"/>
      <c r="BJ886" s="74">
        <v>-1766.9519896627926</v>
      </c>
      <c r="BK886" s="74">
        <v>0</v>
      </c>
      <c r="BL886" s="73"/>
      <c r="BM886" s="72">
        <v>16238631.458906632</v>
      </c>
      <c r="BN886" s="72">
        <v>0</v>
      </c>
      <c r="BO886" s="73"/>
      <c r="BP886" s="74">
        <v>-5669.9315502280133</v>
      </c>
      <c r="BQ886" s="74">
        <v>0</v>
      </c>
      <c r="BS886" s="109">
        <f t="shared" si="327"/>
        <v>116529.05425745979</v>
      </c>
      <c r="BT886" s="109">
        <f t="shared" si="328"/>
        <v>116905.12270120747</v>
      </c>
      <c r="BV886" s="58">
        <f t="array" ref="BV886">SUM(IF(BS886:BT886&gt;=BS886, 1))</f>
        <v>2</v>
      </c>
      <c r="BW886" s="58">
        <f t="array" ref="BW886">SUM(IF(BS886:BT886&gt;=BT886, 1))</f>
        <v>1</v>
      </c>
      <c r="BY886" s="109">
        <f t="shared" si="329"/>
        <v>133082.92498562305</v>
      </c>
      <c r="BZ886" s="109">
        <f t="shared" si="330"/>
        <v>133412.26329512766</v>
      </c>
      <c r="CB886" s="58">
        <f t="array" ref="CB886">SUM(IF(BY886:BZ886&gt;=BY886, 1))</f>
        <v>2</v>
      </c>
      <c r="CC886" s="58">
        <f t="array" ref="CC886">SUM(IF(BY886:BZ886&gt;=BZ886, 1))</f>
        <v>1</v>
      </c>
      <c r="CE886" s="109">
        <f t="shared" si="331"/>
        <v>96933.025728819557</v>
      </c>
      <c r="CF886" s="109">
        <f t="shared" si="332"/>
        <v>98494.129681799182</v>
      </c>
      <c r="CH886" s="58">
        <f t="array" ref="CH886">SUM(IF(CE886:CF886&gt;=CE886, 1))</f>
        <v>2</v>
      </c>
      <c r="CI886" s="58">
        <f t="array" ref="CI886">SUM(IF(CE886:CF886&gt;=CF886, 1))</f>
        <v>1</v>
      </c>
      <c r="CK886" s="109">
        <f t="shared" si="333"/>
        <v>44368.483959288555</v>
      </c>
      <c r="CL886" s="109">
        <f t="shared" si="334"/>
        <v>45486.215051515894</v>
      </c>
      <c r="CN886" s="58">
        <f t="array" ref="CN886">SUM(IF(CK886:CL886&gt;=CK886, 1))</f>
        <v>2</v>
      </c>
      <c r="CO886" s="58">
        <f t="array" ref="CO886">SUM(IF(CK886:CL886&gt;=CL886, 1))</f>
        <v>1</v>
      </c>
      <c r="CQ886" s="109" cm="1">
        <f t="array" ref="CQ886">AF886*WTP-AC886</f>
        <v>34072.408950200435</v>
      </c>
      <c r="CR886" s="109">
        <f t="shared" si="335"/>
        <v>36469.881189148451</v>
      </c>
      <c r="CT886" s="58">
        <f t="array" ref="CT886">SUM(IF(CQ886:CR886&gt;=CQ886, 1))</f>
        <v>2</v>
      </c>
      <c r="CU886" s="58">
        <f t="array" ref="CU886">SUM(IF(CQ886:CR886&gt;=CR886, 1))</f>
        <v>1</v>
      </c>
      <c r="CW886" s="109">
        <f t="shared" si="336"/>
        <v>-40883816.082413256</v>
      </c>
      <c r="CX886" s="109">
        <f t="shared" si="337"/>
        <v>0</v>
      </c>
      <c r="CZ886" s="58">
        <f t="array" ref="CZ886">SUM(IF(CW886:CX886&gt;=CW886, 1))</f>
        <v>2</v>
      </c>
      <c r="DA886" s="58">
        <f t="array" ref="DA886">SUM(IF(CW886:CX886&gt;=CX886, 1))</f>
        <v>1</v>
      </c>
      <c r="DC886" s="109">
        <f t="shared" si="338"/>
        <v>-2337730.0971609992</v>
      </c>
      <c r="DD886" s="109">
        <f t="shared" si="339"/>
        <v>0</v>
      </c>
      <c r="DF886" s="58">
        <f t="array" ref="DF886">SUM(IF(DC886:DD886&gt;=DC886, 1))</f>
        <v>2</v>
      </c>
      <c r="DG886" s="58">
        <f t="array" ref="DG886">SUM(IF(DC886:DD886&gt;=DD886, 1))</f>
        <v>1</v>
      </c>
      <c r="DI886" s="109">
        <f t="shared" si="340"/>
        <v>-36337890.066612512</v>
      </c>
      <c r="DJ886" s="109">
        <f t="shared" si="341"/>
        <v>0</v>
      </c>
      <c r="DL886" s="58">
        <f t="array" ref="DL886">SUM(IF(DI886:DJ886&gt;=DI886, 1))</f>
        <v>2</v>
      </c>
      <c r="DM886" s="58">
        <f t="array" ref="DM886">SUM(IF(DI886:DJ886&gt;=DJ886, 1))</f>
        <v>1</v>
      </c>
      <c r="DO886" s="109">
        <f t="shared" si="342"/>
        <v>-10229846.194364443</v>
      </c>
      <c r="DP886" s="109">
        <f t="shared" si="343"/>
        <v>0</v>
      </c>
      <c r="DR886" s="58">
        <f t="array" ref="DR886">SUM(IF(DO886:DP886&gt;=DO886, 1))</f>
        <v>2</v>
      </c>
      <c r="DS886" s="58">
        <f t="array" ref="DS886">SUM(IF(DO886:DP886&gt;=DP886, 1))</f>
        <v>1</v>
      </c>
      <c r="DU886" s="109">
        <f t="shared" si="344"/>
        <v>-39847980.022915691</v>
      </c>
      <c r="DV886" s="109">
        <f t="shared" si="345"/>
        <v>0</v>
      </c>
      <c r="DX886" s="58">
        <f t="array" ref="DX886">SUM(IF(DU886:DV886&gt;=DU886, 1))</f>
        <v>2</v>
      </c>
      <c r="DY886" s="58">
        <f t="array" ref="DY886">SUM(IF(DU886:DV886&gt;=DV886, 1))</f>
        <v>1</v>
      </c>
      <c r="EA886" s="109">
        <f t="shared" si="346"/>
        <v>-129637262.4634669</v>
      </c>
      <c r="EB886" s="109">
        <f t="shared" si="347"/>
        <v>0</v>
      </c>
      <c r="ED886" s="58">
        <f t="array" ref="ED886">SUM(IF(EA886:EB886&gt;=EA886, 1))</f>
        <v>2</v>
      </c>
      <c r="EE886" s="58">
        <f t="array" ref="EE886">SUM(IF(EA886:EB886&gt;=EB886, 1))</f>
        <v>1</v>
      </c>
    </row>
    <row r="887" spans="4:135" ht="12" customHeight="1" x14ac:dyDescent="0.25">
      <c r="D887" s="11">
        <v>871</v>
      </c>
      <c r="E887" s="72">
        <v>346.43237410918925</v>
      </c>
      <c r="F887" s="72">
        <v>309.05004884015284</v>
      </c>
      <c r="G887" s="73"/>
      <c r="H887" s="74">
        <v>5.825961486784073</v>
      </c>
      <c r="I887" s="74">
        <v>5.8425166180989834</v>
      </c>
      <c r="J887" s="73"/>
      <c r="K887" s="72">
        <v>371.45678300093317</v>
      </c>
      <c r="L887" s="72">
        <v>333.14060193899149</v>
      </c>
      <c r="M887" s="73"/>
      <c r="N887" s="74">
        <v>6.7235804016248579</v>
      </c>
      <c r="O887" s="74">
        <v>6.737381645269644</v>
      </c>
      <c r="P887" s="73"/>
      <c r="Q887" s="72">
        <v>3145.593907336568</v>
      </c>
      <c r="R887" s="72">
        <v>1420.5389563606861</v>
      </c>
      <c r="S887" s="73"/>
      <c r="T887" s="74">
        <v>4.7584418294899962</v>
      </c>
      <c r="U887" s="74">
        <v>4.8765706583955977</v>
      </c>
      <c r="V887" s="73"/>
      <c r="W887" s="72">
        <v>14318.228763662439</v>
      </c>
      <c r="X887" s="72">
        <v>14375.850616831374</v>
      </c>
      <c r="Y887" s="73"/>
      <c r="Z887" s="74">
        <v>2.9776701419949552</v>
      </c>
      <c r="AA887" s="74">
        <v>3.0222977172150962</v>
      </c>
      <c r="AB887" s="73"/>
      <c r="AC887" s="72">
        <v>51347.017145408521</v>
      </c>
      <c r="AD887" s="72">
        <v>51242.698689026103</v>
      </c>
      <c r="AE887" s="73"/>
      <c r="AF887" s="74">
        <v>4.4941351328668464</v>
      </c>
      <c r="AG887" s="74">
        <v>4.6478791937917192</v>
      </c>
      <c r="AH887" s="73"/>
      <c r="AI887" s="72">
        <v>4017234.0766381281</v>
      </c>
      <c r="AJ887" s="72">
        <v>0</v>
      </c>
      <c r="AK887" s="73"/>
      <c r="AL887" s="74">
        <v>-1779.0717185954022</v>
      </c>
      <c r="AM887" s="74">
        <v>0</v>
      </c>
      <c r="AN887" s="73"/>
      <c r="AO887" s="72">
        <v>258963.81071320886</v>
      </c>
      <c r="AP887" s="72">
        <v>0</v>
      </c>
      <c r="AQ887" s="73"/>
      <c r="AR887" s="74">
        <v>-93.277110290754649</v>
      </c>
      <c r="AS887" s="74">
        <v>0</v>
      </c>
      <c r="AT887" s="73"/>
      <c r="AU887" s="72">
        <v>40609537.661236994</v>
      </c>
      <c r="AV887" s="72">
        <v>0</v>
      </c>
      <c r="AW887" s="73"/>
      <c r="AX887" s="74">
        <v>-2780.8720664846319</v>
      </c>
      <c r="AY887" s="74">
        <v>0</v>
      </c>
      <c r="AZ887" s="73"/>
      <c r="BA887" s="72">
        <v>-515230.69846938015</v>
      </c>
      <c r="BB887" s="72">
        <v>0</v>
      </c>
      <c r="BC887" s="73"/>
      <c r="BD887" s="74">
        <v>-399.0412575634424</v>
      </c>
      <c r="BE887" s="74">
        <v>0</v>
      </c>
      <c r="BF887" s="73"/>
      <c r="BG887" s="72">
        <v>1632969.4770999262</v>
      </c>
      <c r="BH887" s="72">
        <v>0</v>
      </c>
      <c r="BI887" s="73"/>
      <c r="BJ887" s="74">
        <v>-2406.6629001425949</v>
      </c>
      <c r="BK887" s="74">
        <v>0</v>
      </c>
      <c r="BL887" s="73"/>
      <c r="BM887" s="72">
        <v>46003474.327218875</v>
      </c>
      <c r="BN887" s="72">
        <v>0</v>
      </c>
      <c r="BO887" s="73"/>
      <c r="BP887" s="74">
        <v>-7458.9250530768259</v>
      </c>
      <c r="BQ887" s="74">
        <v>0</v>
      </c>
      <c r="BS887" s="109">
        <f t="shared" si="327"/>
        <v>116172.79736157227</v>
      </c>
      <c r="BT887" s="109">
        <f t="shared" si="328"/>
        <v>116541.28231313951</v>
      </c>
      <c r="BV887" s="58">
        <f t="array" ref="BV887">SUM(IF(BS887:BT887&gt;=BS887, 1))</f>
        <v>2</v>
      </c>
      <c r="BW887" s="58">
        <f t="array" ref="BW887">SUM(IF(BS887:BT887&gt;=BT887, 1))</f>
        <v>1</v>
      </c>
      <c r="BY887" s="109">
        <f t="shared" si="329"/>
        <v>134100.15124949624</v>
      </c>
      <c r="BZ887" s="109">
        <f t="shared" si="330"/>
        <v>134414.49230345388</v>
      </c>
      <c r="CB887" s="58">
        <f t="array" ref="CB887">SUM(IF(BY887:BZ887&gt;=BY887, 1))</f>
        <v>2</v>
      </c>
      <c r="CC887" s="58">
        <f t="array" ref="CC887">SUM(IF(BY887:BZ887&gt;=BZ887, 1))</f>
        <v>1</v>
      </c>
      <c r="CE887" s="109">
        <f t="shared" si="331"/>
        <v>92023.242682463344</v>
      </c>
      <c r="CF887" s="109">
        <f t="shared" si="332"/>
        <v>96110.874211551272</v>
      </c>
      <c r="CH887" s="58">
        <f t="array" ref="CH887">SUM(IF(CE887:CF887&gt;=CE887, 1))</f>
        <v>2</v>
      </c>
      <c r="CI887" s="58">
        <f t="array" ref="CI887">SUM(IF(CE887:CF887&gt;=CF887, 1))</f>
        <v>1</v>
      </c>
      <c r="CK887" s="109">
        <f t="shared" si="333"/>
        <v>45235.174076236668</v>
      </c>
      <c r="CL887" s="109">
        <f t="shared" si="334"/>
        <v>46070.103727470545</v>
      </c>
      <c r="CN887" s="58">
        <f t="array" ref="CN887">SUM(IF(CK887:CL887&gt;=CK887, 1))</f>
        <v>2</v>
      </c>
      <c r="CO887" s="58">
        <f t="array" ref="CO887">SUM(IF(CK887:CL887&gt;=CL887, 1))</f>
        <v>1</v>
      </c>
      <c r="CQ887" s="109" cm="1">
        <f t="array" ref="CQ887">AF887*WTP-AC887</f>
        <v>38535.685511928401</v>
      </c>
      <c r="CR887" s="109">
        <f t="shared" si="335"/>
        <v>41714.885186808286</v>
      </c>
      <c r="CT887" s="58">
        <f t="array" ref="CT887">SUM(IF(CQ887:CR887&gt;=CQ887, 1))</f>
        <v>2</v>
      </c>
      <c r="CU887" s="58">
        <f t="array" ref="CU887">SUM(IF(CQ887:CR887&gt;=CR887, 1))</f>
        <v>1</v>
      </c>
      <c r="CW887" s="109">
        <f t="shared" si="336"/>
        <v>-39598668.448546171</v>
      </c>
      <c r="CX887" s="109">
        <f t="shared" si="337"/>
        <v>0</v>
      </c>
      <c r="CZ887" s="58">
        <f t="array" ref="CZ887">SUM(IF(CW887:CX887&gt;=CW887, 1))</f>
        <v>2</v>
      </c>
      <c r="DA887" s="58">
        <f t="array" ref="DA887">SUM(IF(CW887:CX887&gt;=CX887, 1))</f>
        <v>1</v>
      </c>
      <c r="DC887" s="109">
        <f t="shared" si="338"/>
        <v>-2124506.0165283019</v>
      </c>
      <c r="DD887" s="109">
        <f t="shared" si="339"/>
        <v>0</v>
      </c>
      <c r="DF887" s="58">
        <f t="array" ref="DF887">SUM(IF(DC887:DD887&gt;=DC887, 1))</f>
        <v>2</v>
      </c>
      <c r="DG887" s="58">
        <f t="array" ref="DG887">SUM(IF(DC887:DD887&gt;=DD887, 1))</f>
        <v>1</v>
      </c>
      <c r="DI887" s="109">
        <f t="shared" si="340"/>
        <v>-96226978.990929633</v>
      </c>
      <c r="DJ887" s="109">
        <f t="shared" si="341"/>
        <v>0</v>
      </c>
      <c r="DL887" s="58">
        <f t="array" ref="DL887">SUM(IF(DI887:DJ887&gt;=DI887, 1))</f>
        <v>2</v>
      </c>
      <c r="DM887" s="58">
        <f t="array" ref="DM887">SUM(IF(DI887:DJ887&gt;=DJ887, 1))</f>
        <v>1</v>
      </c>
      <c r="DO887" s="109">
        <f t="shared" si="342"/>
        <v>-7465594.4527994683</v>
      </c>
      <c r="DP887" s="109">
        <f t="shared" si="343"/>
        <v>0</v>
      </c>
      <c r="DR887" s="58">
        <f t="array" ref="DR887">SUM(IF(DO887:DP887&gt;=DO887, 1))</f>
        <v>2</v>
      </c>
      <c r="DS887" s="58">
        <f t="array" ref="DS887">SUM(IF(DO887:DP887&gt;=DP887, 1))</f>
        <v>1</v>
      </c>
      <c r="DU887" s="109">
        <f t="shared" si="344"/>
        <v>-49766227.479951821</v>
      </c>
      <c r="DV887" s="109">
        <f t="shared" si="345"/>
        <v>0</v>
      </c>
      <c r="DX887" s="58">
        <f t="array" ref="DX887">SUM(IF(DU887:DV887&gt;=DU887, 1))</f>
        <v>2</v>
      </c>
      <c r="DY887" s="58">
        <f t="array" ref="DY887">SUM(IF(DU887:DV887&gt;=DV887, 1))</f>
        <v>1</v>
      </c>
      <c r="EA887" s="109">
        <f t="shared" si="346"/>
        <v>-195181975.38875538</v>
      </c>
      <c r="EB887" s="109">
        <f t="shared" si="347"/>
        <v>0</v>
      </c>
      <c r="ED887" s="58">
        <f t="array" ref="ED887">SUM(IF(EA887:EB887&gt;=EA887, 1))</f>
        <v>2</v>
      </c>
      <c r="EE887" s="58">
        <f t="array" ref="EE887">SUM(IF(EA887:EB887&gt;=EB887, 1))</f>
        <v>1</v>
      </c>
    </row>
    <row r="888" spans="4:135" ht="12" customHeight="1" x14ac:dyDescent="0.25">
      <c r="D888" s="11">
        <v>872</v>
      </c>
      <c r="E888" s="72">
        <v>215.46421273350583</v>
      </c>
      <c r="F888" s="72">
        <v>198.81510675211692</v>
      </c>
      <c r="G888" s="73"/>
      <c r="H888" s="74">
        <v>5.8710332547111337</v>
      </c>
      <c r="I888" s="74">
        <v>5.8845987506916932</v>
      </c>
      <c r="J888" s="73"/>
      <c r="K888" s="72">
        <v>231.40145940518386</v>
      </c>
      <c r="L888" s="72">
        <v>214.32822956722313</v>
      </c>
      <c r="M888" s="73"/>
      <c r="N888" s="74">
        <v>6.7041128985136673</v>
      </c>
      <c r="O888" s="74">
        <v>6.715344283496739</v>
      </c>
      <c r="P888" s="73"/>
      <c r="Q888" s="72">
        <v>2093.2795460933498</v>
      </c>
      <c r="R888" s="72">
        <v>1158.7382376869787</v>
      </c>
      <c r="S888" s="73"/>
      <c r="T888" s="74">
        <v>4.9537027132947218</v>
      </c>
      <c r="U888" s="74">
        <v>5.061645165751548</v>
      </c>
      <c r="V888" s="73"/>
      <c r="W888" s="72">
        <v>16565.589909589915</v>
      </c>
      <c r="X888" s="72">
        <v>16472.843484296773</v>
      </c>
      <c r="Y888" s="73"/>
      <c r="Z888" s="74">
        <v>3.1753457692850908</v>
      </c>
      <c r="AA888" s="74">
        <v>3.2148303845492809</v>
      </c>
      <c r="AB888" s="73"/>
      <c r="AC888" s="72">
        <v>51181.088979541659</v>
      </c>
      <c r="AD888" s="72">
        <v>50912.780821879925</v>
      </c>
      <c r="AE888" s="73"/>
      <c r="AF888" s="74">
        <v>4.3062686125876164</v>
      </c>
      <c r="AG888" s="74">
        <v>4.4090464101205766</v>
      </c>
      <c r="AH888" s="73"/>
      <c r="AI888" s="72">
        <v>1783784.6111484147</v>
      </c>
      <c r="AJ888" s="72">
        <v>0</v>
      </c>
      <c r="AK888" s="73"/>
      <c r="AL888" s="74">
        <v>-1453.4067474714436</v>
      </c>
      <c r="AM888" s="74">
        <v>0</v>
      </c>
      <c r="AN888" s="73"/>
      <c r="AO888" s="72">
        <v>110759.65550931037</v>
      </c>
      <c r="AP888" s="72">
        <v>0</v>
      </c>
      <c r="AQ888" s="73"/>
      <c r="AR888" s="74">
        <v>-72.861687180686431</v>
      </c>
      <c r="AS888" s="74">
        <v>0</v>
      </c>
      <c r="AT888" s="73"/>
      <c r="AU888" s="72">
        <v>21426177.675990149</v>
      </c>
      <c r="AV888" s="72">
        <v>0</v>
      </c>
      <c r="AW888" s="73"/>
      <c r="AX888" s="74">
        <v>-2474.7907281551584</v>
      </c>
      <c r="AY888" s="74">
        <v>0</v>
      </c>
      <c r="AZ888" s="73"/>
      <c r="BA888" s="72">
        <v>816911.99088636669</v>
      </c>
      <c r="BB888" s="72">
        <v>0</v>
      </c>
      <c r="BC888" s="73"/>
      <c r="BD888" s="74">
        <v>-347.78112000438222</v>
      </c>
      <c r="BE888" s="74">
        <v>0</v>
      </c>
      <c r="BF888" s="73"/>
      <c r="BG888" s="72">
        <v>4165938.8346551172</v>
      </c>
      <c r="BH888" s="72">
        <v>0</v>
      </c>
      <c r="BI888" s="73"/>
      <c r="BJ888" s="74">
        <v>-1595.799478533507</v>
      </c>
      <c r="BK888" s="74">
        <v>0</v>
      </c>
      <c r="BL888" s="73"/>
      <c r="BM888" s="72">
        <v>28303572.768189359</v>
      </c>
      <c r="BN888" s="72">
        <v>0</v>
      </c>
      <c r="BO888" s="73"/>
      <c r="BP888" s="74">
        <v>-5944.6397613451772</v>
      </c>
      <c r="BQ888" s="74">
        <v>0</v>
      </c>
      <c r="BS888" s="109">
        <f t="shared" si="327"/>
        <v>117205.20088148916</v>
      </c>
      <c r="BT888" s="109">
        <f t="shared" si="328"/>
        <v>117493.15990708176</v>
      </c>
      <c r="BV888" s="58">
        <f t="array" ref="BV888">SUM(IF(BS888:BT888&gt;=BS888, 1))</f>
        <v>2</v>
      </c>
      <c r="BW888" s="58">
        <f t="array" ref="BW888">SUM(IF(BS888:BT888&gt;=BT888, 1))</f>
        <v>1</v>
      </c>
      <c r="BY888" s="109">
        <f t="shared" si="329"/>
        <v>133850.85651086818</v>
      </c>
      <c r="BZ888" s="109">
        <f t="shared" si="330"/>
        <v>134092.55744036756</v>
      </c>
      <c r="CB888" s="58">
        <f t="array" ref="CB888">SUM(IF(BY888:BZ888&gt;=BY888, 1))</f>
        <v>2</v>
      </c>
      <c r="CC888" s="58">
        <f t="array" ref="CC888">SUM(IF(BY888:BZ888&gt;=BZ888, 1))</f>
        <v>1</v>
      </c>
      <c r="CE888" s="109">
        <f t="shared" si="331"/>
        <v>96980.774719801077</v>
      </c>
      <c r="CF888" s="109">
        <f t="shared" si="332"/>
        <v>100074.16507734398</v>
      </c>
      <c r="CH888" s="58">
        <f t="array" ref="CH888">SUM(IF(CE888:CF888&gt;=CE888, 1))</f>
        <v>2</v>
      </c>
      <c r="CI888" s="58">
        <f t="array" ref="CI888">SUM(IF(CE888:CF888&gt;=CF888, 1))</f>
        <v>1</v>
      </c>
      <c r="CK888" s="109">
        <f t="shared" si="333"/>
        <v>46941.325476111902</v>
      </c>
      <c r="CL888" s="109">
        <f t="shared" si="334"/>
        <v>47823.764206688851</v>
      </c>
      <c r="CN888" s="58">
        <f t="array" ref="CN888">SUM(IF(CK888:CL888&gt;=CK888, 1))</f>
        <v>2</v>
      </c>
      <c r="CO888" s="58">
        <f t="array" ref="CO888">SUM(IF(CK888:CL888&gt;=CL888, 1))</f>
        <v>1</v>
      </c>
      <c r="CQ888" s="109" cm="1">
        <f t="array" ref="CQ888">AF888*WTP-AC888</f>
        <v>34944.283272210669</v>
      </c>
      <c r="CR888" s="109">
        <f t="shared" si="335"/>
        <v>37268.147380531613</v>
      </c>
      <c r="CT888" s="58">
        <f t="array" ref="CT888">SUM(IF(CQ888:CR888&gt;=CQ888, 1))</f>
        <v>2</v>
      </c>
      <c r="CU888" s="58">
        <f t="array" ref="CU888">SUM(IF(CQ888:CR888&gt;=CR888, 1))</f>
        <v>1</v>
      </c>
      <c r="CW888" s="109">
        <f t="shared" si="336"/>
        <v>-30851919.560577285</v>
      </c>
      <c r="CX888" s="109">
        <f t="shared" si="337"/>
        <v>0</v>
      </c>
      <c r="CZ888" s="58">
        <f t="array" ref="CZ888">SUM(IF(CW888:CX888&gt;=CW888, 1))</f>
        <v>2</v>
      </c>
      <c r="DA888" s="58">
        <f t="array" ref="DA888">SUM(IF(CW888:CX888&gt;=CX888, 1))</f>
        <v>1</v>
      </c>
      <c r="DC888" s="109">
        <f t="shared" si="338"/>
        <v>-1567993.3991230389</v>
      </c>
      <c r="DD888" s="109">
        <f t="shared" si="339"/>
        <v>0</v>
      </c>
      <c r="DF888" s="58">
        <f t="array" ref="DF888">SUM(IF(DC888:DD888&gt;=DC888, 1))</f>
        <v>2</v>
      </c>
      <c r="DG888" s="58">
        <f t="array" ref="DG888">SUM(IF(DC888:DD888&gt;=DD888, 1))</f>
        <v>1</v>
      </c>
      <c r="DI888" s="109">
        <f t="shared" si="340"/>
        <v>-70921992.239093319</v>
      </c>
      <c r="DJ888" s="109">
        <f t="shared" si="341"/>
        <v>0</v>
      </c>
      <c r="DL888" s="58">
        <f t="array" ref="DL888">SUM(IF(DI888:DJ888&gt;=DI888, 1))</f>
        <v>2</v>
      </c>
      <c r="DM888" s="58">
        <f t="array" ref="DM888">SUM(IF(DI888:DJ888&gt;=DJ888, 1))</f>
        <v>1</v>
      </c>
      <c r="DO888" s="109">
        <f t="shared" si="342"/>
        <v>-7772534.3909740113</v>
      </c>
      <c r="DP888" s="109">
        <f t="shared" si="343"/>
        <v>0</v>
      </c>
      <c r="DR888" s="58">
        <f t="array" ref="DR888">SUM(IF(DO888:DP888&gt;=DO888, 1))</f>
        <v>2</v>
      </c>
      <c r="DS888" s="58">
        <f t="array" ref="DS888">SUM(IF(DO888:DP888&gt;=DP888, 1))</f>
        <v>1</v>
      </c>
      <c r="DU888" s="109">
        <f t="shared" si="344"/>
        <v>-36081928.405325256</v>
      </c>
      <c r="DV888" s="109">
        <f t="shared" si="345"/>
        <v>0</v>
      </c>
      <c r="DX888" s="58">
        <f t="array" ref="DX888">SUM(IF(DU888:DV888&gt;=DU888, 1))</f>
        <v>2</v>
      </c>
      <c r="DY888" s="58">
        <f t="array" ref="DY888">SUM(IF(DU888:DV888&gt;=DV888, 1))</f>
        <v>1</v>
      </c>
      <c r="EA888" s="109">
        <f t="shared" si="346"/>
        <v>-147196367.9950929</v>
      </c>
      <c r="EB888" s="109">
        <f t="shared" si="347"/>
        <v>0</v>
      </c>
      <c r="ED888" s="58">
        <f t="array" ref="ED888">SUM(IF(EA888:EB888&gt;=EA888, 1))</f>
        <v>2</v>
      </c>
      <c r="EE888" s="58">
        <f t="array" ref="EE888">SUM(IF(EA888:EB888&gt;=EB888, 1))</f>
        <v>1</v>
      </c>
    </row>
    <row r="889" spans="4:135" ht="12" customHeight="1" x14ac:dyDescent="0.25">
      <c r="D889" s="11">
        <v>873</v>
      </c>
      <c r="E889" s="72">
        <v>278.89627936578376</v>
      </c>
      <c r="F889" s="72">
        <v>251.88285213727281</v>
      </c>
      <c r="G889" s="73"/>
      <c r="H889" s="74">
        <v>5.9285357411394015</v>
      </c>
      <c r="I889" s="74">
        <v>5.9454790916395392</v>
      </c>
      <c r="J889" s="73"/>
      <c r="K889" s="72">
        <v>299.32461999740826</v>
      </c>
      <c r="L889" s="72">
        <v>271.65054264825358</v>
      </c>
      <c r="M889" s="73"/>
      <c r="N889" s="74">
        <v>6.7458469065260251</v>
      </c>
      <c r="O889" s="74">
        <v>6.7603546582384491</v>
      </c>
      <c r="P889" s="73"/>
      <c r="Q889" s="72">
        <v>2120.3895089506882</v>
      </c>
      <c r="R889" s="72">
        <v>1579.5435447726657</v>
      </c>
      <c r="S889" s="73"/>
      <c r="T889" s="74">
        <v>4.9654952487892619</v>
      </c>
      <c r="U889" s="74">
        <v>5.0375292734022166</v>
      </c>
      <c r="V889" s="73"/>
      <c r="W889" s="72">
        <v>11096.946138380159</v>
      </c>
      <c r="X889" s="72">
        <v>11082.819274354481</v>
      </c>
      <c r="Y889" s="73"/>
      <c r="Z889" s="74">
        <v>3.1071878646893887</v>
      </c>
      <c r="AA889" s="74">
        <v>3.140338069516956</v>
      </c>
      <c r="AB889" s="73"/>
      <c r="AC889" s="72">
        <v>52101.454365015023</v>
      </c>
      <c r="AD889" s="72">
        <v>51382.927306273159</v>
      </c>
      <c r="AE889" s="73"/>
      <c r="AF889" s="74">
        <v>4.3627495048231353</v>
      </c>
      <c r="AG889" s="74">
        <v>4.5291147899332511</v>
      </c>
      <c r="AH889" s="73"/>
      <c r="AI889" s="72">
        <v>2887959.3976270766</v>
      </c>
      <c r="AJ889" s="72">
        <v>0</v>
      </c>
      <c r="AK889" s="73"/>
      <c r="AL889" s="74">
        <v>-1811.3846825225455</v>
      </c>
      <c r="AM889" s="74">
        <v>0</v>
      </c>
      <c r="AN889" s="73"/>
      <c r="AO889" s="72">
        <v>191104.45910722355</v>
      </c>
      <c r="AP889" s="72">
        <v>0</v>
      </c>
      <c r="AQ889" s="73"/>
      <c r="AR889" s="74">
        <v>-100.18386553181165</v>
      </c>
      <c r="AS889" s="74">
        <v>0</v>
      </c>
      <c r="AT889" s="73"/>
      <c r="AU889" s="72">
        <v>12356966.883818226</v>
      </c>
      <c r="AV889" s="72">
        <v>0</v>
      </c>
      <c r="AW889" s="73"/>
      <c r="AX889" s="74">
        <v>-1645.7958746225195</v>
      </c>
      <c r="AY889" s="74">
        <v>0</v>
      </c>
      <c r="AZ889" s="73"/>
      <c r="BA889" s="72">
        <v>126465.49958518412</v>
      </c>
      <c r="BB889" s="72">
        <v>0</v>
      </c>
      <c r="BC889" s="73"/>
      <c r="BD889" s="74">
        <v>-296.76488761051337</v>
      </c>
      <c r="BE889" s="74">
        <v>0</v>
      </c>
      <c r="BF889" s="73"/>
      <c r="BG889" s="72">
        <v>10885304.730424859</v>
      </c>
      <c r="BH889" s="72">
        <v>0</v>
      </c>
      <c r="BI889" s="73"/>
      <c r="BJ889" s="74">
        <v>-2520.346037014338</v>
      </c>
      <c r="BK889" s="74">
        <v>0</v>
      </c>
      <c r="BL889" s="73"/>
      <c r="BM889" s="72">
        <v>26447800.97056257</v>
      </c>
      <c r="BN889" s="72">
        <v>0</v>
      </c>
      <c r="BO889" s="73"/>
      <c r="BP889" s="74">
        <v>-6374.4753473017281</v>
      </c>
      <c r="BQ889" s="74">
        <v>0</v>
      </c>
      <c r="BS889" s="109">
        <f t="shared" si="327"/>
        <v>118291.81854342224</v>
      </c>
      <c r="BT889" s="109">
        <f t="shared" si="328"/>
        <v>118657.69898065351</v>
      </c>
      <c r="BV889" s="58">
        <f t="array" ref="BV889">SUM(IF(BS889:BT889&gt;=BS889, 1))</f>
        <v>2</v>
      </c>
      <c r="BW889" s="58">
        <f t="array" ref="BW889">SUM(IF(BS889:BT889&gt;=BT889, 1))</f>
        <v>1</v>
      </c>
      <c r="BY889" s="109">
        <f t="shared" si="329"/>
        <v>134617.61351052311</v>
      </c>
      <c r="BZ889" s="109">
        <f t="shared" si="330"/>
        <v>134935.44262212072</v>
      </c>
      <c r="CB889" s="58">
        <f t="array" ref="CB889">SUM(IF(BY889:BZ889&gt;=BY889, 1))</f>
        <v>2</v>
      </c>
      <c r="CC889" s="58">
        <f t="array" ref="CC889">SUM(IF(BY889:BZ889&gt;=BZ889, 1))</f>
        <v>1</v>
      </c>
      <c r="CE889" s="109">
        <f t="shared" si="331"/>
        <v>97189.515466834549</v>
      </c>
      <c r="CF889" s="109">
        <f t="shared" si="332"/>
        <v>99171.041923271667</v>
      </c>
      <c r="CH889" s="58">
        <f t="array" ref="CH889">SUM(IF(CE889:CF889&gt;=CE889, 1))</f>
        <v>2</v>
      </c>
      <c r="CI889" s="58">
        <f t="array" ref="CI889">SUM(IF(CE889:CF889&gt;=CF889, 1))</f>
        <v>1</v>
      </c>
      <c r="CK889" s="109">
        <f t="shared" si="333"/>
        <v>51046.811155407609</v>
      </c>
      <c r="CL889" s="109">
        <f t="shared" si="334"/>
        <v>51723.942115984639</v>
      </c>
      <c r="CN889" s="58">
        <f t="array" ref="CN889">SUM(IF(CK889:CL889&gt;=CK889, 1))</f>
        <v>2</v>
      </c>
      <c r="CO889" s="58">
        <f t="array" ref="CO889">SUM(IF(CK889:CL889&gt;=CL889, 1))</f>
        <v>1</v>
      </c>
      <c r="CQ889" s="109" cm="1">
        <f t="array" ref="CQ889">AF889*WTP-AC889</f>
        <v>35153.535731447679</v>
      </c>
      <c r="CR889" s="109">
        <f t="shared" si="335"/>
        <v>39199.36849239187</v>
      </c>
      <c r="CT889" s="58">
        <f t="array" ref="CT889">SUM(IF(CQ889:CR889&gt;=CQ889, 1))</f>
        <v>2</v>
      </c>
      <c r="CU889" s="58">
        <f t="array" ref="CU889">SUM(IF(CQ889:CR889&gt;=CR889, 1))</f>
        <v>1</v>
      </c>
      <c r="CW889" s="109">
        <f t="shared" si="336"/>
        <v>-39115653.048077986</v>
      </c>
      <c r="CX889" s="109">
        <f t="shared" si="337"/>
        <v>0</v>
      </c>
      <c r="CZ889" s="58">
        <f t="array" ref="CZ889">SUM(IF(CW889:CX889&gt;=CW889, 1))</f>
        <v>2</v>
      </c>
      <c r="DA889" s="58">
        <f t="array" ref="DA889">SUM(IF(CW889:CX889&gt;=CX889, 1))</f>
        <v>1</v>
      </c>
      <c r="DC889" s="109">
        <f t="shared" si="338"/>
        <v>-2194781.7697434565</v>
      </c>
      <c r="DD889" s="109">
        <f t="shared" si="339"/>
        <v>0</v>
      </c>
      <c r="DF889" s="58">
        <f t="array" ref="DF889">SUM(IF(DC889:DD889&gt;=DC889, 1))</f>
        <v>2</v>
      </c>
      <c r="DG889" s="58">
        <f t="array" ref="DG889">SUM(IF(DC889:DD889&gt;=DD889, 1))</f>
        <v>1</v>
      </c>
      <c r="DI889" s="109">
        <f t="shared" si="340"/>
        <v>-45272884.376268618</v>
      </c>
      <c r="DJ889" s="109">
        <f t="shared" si="341"/>
        <v>0</v>
      </c>
      <c r="DL889" s="58">
        <f t="array" ref="DL889">SUM(IF(DI889:DJ889&gt;=DI889, 1))</f>
        <v>2</v>
      </c>
      <c r="DM889" s="58">
        <f t="array" ref="DM889">SUM(IF(DI889:DJ889&gt;=DJ889, 1))</f>
        <v>1</v>
      </c>
      <c r="DO889" s="109">
        <f t="shared" si="342"/>
        <v>-6061763.2517954521</v>
      </c>
      <c r="DP889" s="109">
        <f t="shared" si="343"/>
        <v>0</v>
      </c>
      <c r="DR889" s="58">
        <f t="array" ref="DR889">SUM(IF(DO889:DP889&gt;=DO889, 1))</f>
        <v>2</v>
      </c>
      <c r="DS889" s="58">
        <f t="array" ref="DS889">SUM(IF(DO889:DP889&gt;=DP889, 1))</f>
        <v>1</v>
      </c>
      <c r="DU889" s="109">
        <f t="shared" si="344"/>
        <v>-61292225.470711619</v>
      </c>
      <c r="DV889" s="109">
        <f t="shared" si="345"/>
        <v>0</v>
      </c>
      <c r="DX889" s="58">
        <f t="array" ref="DX889">SUM(IF(DU889:DV889&gt;=DU889, 1))</f>
        <v>2</v>
      </c>
      <c r="DY889" s="58">
        <f t="array" ref="DY889">SUM(IF(DU889:DV889&gt;=DV889, 1))</f>
        <v>1</v>
      </c>
      <c r="EA889" s="109">
        <f t="shared" si="346"/>
        <v>-153937307.91659713</v>
      </c>
      <c r="EB889" s="109">
        <f t="shared" si="347"/>
        <v>0</v>
      </c>
      <c r="ED889" s="58">
        <f t="array" ref="ED889">SUM(IF(EA889:EB889&gt;=EA889, 1))</f>
        <v>2</v>
      </c>
      <c r="EE889" s="58">
        <f t="array" ref="EE889">SUM(IF(EA889:EB889&gt;=EB889, 1))</f>
        <v>1</v>
      </c>
    </row>
    <row r="890" spans="4:135" ht="12" customHeight="1" x14ac:dyDescent="0.25">
      <c r="D890" s="11">
        <v>874</v>
      </c>
      <c r="E890" s="72">
        <v>301.77117569430493</v>
      </c>
      <c r="F890" s="72">
        <v>265.70652303066225</v>
      </c>
      <c r="G890" s="73"/>
      <c r="H890" s="74">
        <v>5.8702096027680568</v>
      </c>
      <c r="I890" s="74">
        <v>5.8899726189600958</v>
      </c>
      <c r="J890" s="73"/>
      <c r="K890" s="72">
        <v>323.39438175810631</v>
      </c>
      <c r="L890" s="72">
        <v>286.51802473868997</v>
      </c>
      <c r="M890" s="73"/>
      <c r="N890" s="74">
        <v>6.6954966527748576</v>
      </c>
      <c r="O890" s="74">
        <v>6.712798570426294</v>
      </c>
      <c r="P890" s="73"/>
      <c r="Q890" s="72">
        <v>2067.2334527649787</v>
      </c>
      <c r="R890" s="72">
        <v>1266.9536965494212</v>
      </c>
      <c r="S890" s="73"/>
      <c r="T890" s="74">
        <v>4.8258352524229178</v>
      </c>
      <c r="U890" s="74">
        <v>4.9070160005398895</v>
      </c>
      <c r="V890" s="73"/>
      <c r="W890" s="72">
        <v>10694.590490840175</v>
      </c>
      <c r="X890" s="72">
        <v>10744.441330073589</v>
      </c>
      <c r="Y890" s="73"/>
      <c r="Z890" s="74">
        <v>3.0233862107985585</v>
      </c>
      <c r="AA890" s="74">
        <v>3.0927753332127863</v>
      </c>
      <c r="AB890" s="73"/>
      <c r="AC890" s="72">
        <v>50179.440791124536</v>
      </c>
      <c r="AD890" s="72">
        <v>50165.753223829735</v>
      </c>
      <c r="AE890" s="73"/>
      <c r="AF890" s="74">
        <v>4.8949785581794671</v>
      </c>
      <c r="AG890" s="74">
        <v>4.966900270682939</v>
      </c>
      <c r="AH890" s="73"/>
      <c r="AI890" s="72">
        <v>3895392.4671031032</v>
      </c>
      <c r="AJ890" s="72">
        <v>0</v>
      </c>
      <c r="AK890" s="73"/>
      <c r="AL890" s="74">
        <v>-2134.6304127674266</v>
      </c>
      <c r="AM890" s="74">
        <v>0</v>
      </c>
      <c r="AN890" s="73"/>
      <c r="AO890" s="72">
        <v>250415.77005815969</v>
      </c>
      <c r="AP890" s="72">
        <v>0</v>
      </c>
      <c r="AQ890" s="73"/>
      <c r="AR890" s="74">
        <v>-117.4918940579204</v>
      </c>
      <c r="AS890" s="74">
        <v>0</v>
      </c>
      <c r="AT890" s="73"/>
      <c r="AU890" s="72">
        <v>17717162.582947854</v>
      </c>
      <c r="AV890" s="72">
        <v>0</v>
      </c>
      <c r="AW890" s="73"/>
      <c r="AX890" s="74">
        <v>-1797.2371559106618</v>
      </c>
      <c r="AY890" s="74">
        <v>0</v>
      </c>
      <c r="AZ890" s="73"/>
      <c r="BA890" s="72">
        <v>-449799.44514583511</v>
      </c>
      <c r="BB890" s="72">
        <v>0</v>
      </c>
      <c r="BC890" s="73"/>
      <c r="BD890" s="74">
        <v>-626.09154110601753</v>
      </c>
      <c r="BE890" s="74">
        <v>0</v>
      </c>
      <c r="BF890" s="73"/>
      <c r="BG890" s="72">
        <v>213224.98930798084</v>
      </c>
      <c r="BH890" s="72">
        <v>0</v>
      </c>
      <c r="BI890" s="73"/>
      <c r="BJ890" s="74">
        <v>-1120.3967841231804</v>
      </c>
      <c r="BK890" s="74">
        <v>0</v>
      </c>
      <c r="BL890" s="73"/>
      <c r="BM890" s="72">
        <v>21626396.364271265</v>
      </c>
      <c r="BN890" s="72">
        <v>0</v>
      </c>
      <c r="BO890" s="73"/>
      <c r="BP890" s="74">
        <v>-5795.8477879652073</v>
      </c>
      <c r="BQ890" s="74">
        <v>0</v>
      </c>
      <c r="BS890" s="109">
        <f t="shared" si="327"/>
        <v>117102.42087966684</v>
      </c>
      <c r="BT890" s="109">
        <f t="shared" si="328"/>
        <v>117533.74585617126</v>
      </c>
      <c r="BV890" s="58">
        <f t="array" ref="BV890">SUM(IF(BS890:BT890&gt;=BS890, 1))</f>
        <v>2</v>
      </c>
      <c r="BW890" s="58">
        <f t="array" ref="BW890">SUM(IF(BS890:BT890&gt;=BT890, 1))</f>
        <v>1</v>
      </c>
      <c r="BY890" s="109">
        <f t="shared" si="329"/>
        <v>133586.53867373904</v>
      </c>
      <c r="BZ890" s="109">
        <f t="shared" si="330"/>
        <v>133969.45338378719</v>
      </c>
      <c r="CB890" s="58">
        <f t="array" ref="CB890">SUM(IF(BY890:BZ890&gt;=BY890, 1))</f>
        <v>2</v>
      </c>
      <c r="CC890" s="58">
        <f t="array" ref="CC890">SUM(IF(BY890:BZ890&gt;=BZ890, 1))</f>
        <v>1</v>
      </c>
      <c r="CE890" s="109">
        <f t="shared" si="331"/>
        <v>94449.47159569338</v>
      </c>
      <c r="CF890" s="109">
        <f t="shared" si="332"/>
        <v>96873.366314248371</v>
      </c>
      <c r="CH890" s="58">
        <f t="array" ref="CH890">SUM(IF(CE890:CF890&gt;=CE890, 1))</f>
        <v>2</v>
      </c>
      <c r="CI890" s="58">
        <f t="array" ref="CI890">SUM(IF(CE890:CF890&gt;=CF890, 1))</f>
        <v>1</v>
      </c>
      <c r="CK890" s="109">
        <f t="shared" si="333"/>
        <v>49773.133725130989</v>
      </c>
      <c r="CL890" s="109">
        <f t="shared" si="334"/>
        <v>51111.065334182138</v>
      </c>
      <c r="CN890" s="58">
        <f t="array" ref="CN890">SUM(IF(CK890:CL890&gt;=CK890, 1))</f>
        <v>2</v>
      </c>
      <c r="CO890" s="58">
        <f t="array" ref="CO890">SUM(IF(CK890:CL890&gt;=CL890, 1))</f>
        <v>1</v>
      </c>
      <c r="CQ890" s="109" cm="1">
        <f t="array" ref="CQ890">AF890*WTP-AC890</f>
        <v>47720.130372464802</v>
      </c>
      <c r="CR890" s="109">
        <f t="shared" si="335"/>
        <v>49172.252189829051</v>
      </c>
      <c r="CT890" s="58">
        <f t="array" ref="CT890">SUM(IF(CQ890:CR890&gt;=CQ890, 1))</f>
        <v>2</v>
      </c>
      <c r="CU890" s="58">
        <f t="array" ref="CU890">SUM(IF(CQ890:CR890&gt;=CR890, 1))</f>
        <v>1</v>
      </c>
      <c r="CW890" s="109">
        <f t="shared" si="336"/>
        <v>-46588000.722451635</v>
      </c>
      <c r="CX890" s="109">
        <f t="shared" si="337"/>
        <v>0</v>
      </c>
      <c r="CZ890" s="58">
        <f t="array" ref="CZ890">SUM(IF(CW890:CX890&gt;=CW890, 1))</f>
        <v>2</v>
      </c>
      <c r="DA890" s="58">
        <f t="array" ref="DA890">SUM(IF(CW890:CX890&gt;=CX890, 1))</f>
        <v>1</v>
      </c>
      <c r="DC890" s="109">
        <f t="shared" si="338"/>
        <v>-2600253.651216568</v>
      </c>
      <c r="DD890" s="109">
        <f t="shared" si="339"/>
        <v>0</v>
      </c>
      <c r="DF890" s="58">
        <f t="array" ref="DF890">SUM(IF(DC890:DD890&gt;=DC890, 1))</f>
        <v>2</v>
      </c>
      <c r="DG890" s="58">
        <f t="array" ref="DG890">SUM(IF(DC890:DD890&gt;=DD890, 1))</f>
        <v>1</v>
      </c>
      <c r="DI890" s="109">
        <f t="shared" si="340"/>
        <v>-53661905.701161087</v>
      </c>
      <c r="DJ890" s="109">
        <f t="shared" si="341"/>
        <v>0</v>
      </c>
      <c r="DL890" s="58">
        <f t="array" ref="DL890">SUM(IF(DI890:DJ890&gt;=DI890, 1))</f>
        <v>2</v>
      </c>
      <c r="DM890" s="58">
        <f t="array" ref="DM890">SUM(IF(DI890:DJ890&gt;=DJ890, 1))</f>
        <v>1</v>
      </c>
      <c r="DO890" s="109">
        <f t="shared" si="342"/>
        <v>-12072031.376974516</v>
      </c>
      <c r="DP890" s="109">
        <f t="shared" si="343"/>
        <v>0</v>
      </c>
      <c r="DR890" s="58">
        <f t="array" ref="DR890">SUM(IF(DO890:DP890&gt;=DO890, 1))</f>
        <v>2</v>
      </c>
      <c r="DS890" s="58">
        <f t="array" ref="DS890">SUM(IF(DO890:DP890&gt;=DP890, 1))</f>
        <v>1</v>
      </c>
      <c r="DU890" s="109">
        <f t="shared" si="344"/>
        <v>-22621160.67177159</v>
      </c>
      <c r="DV890" s="109">
        <f t="shared" si="345"/>
        <v>0</v>
      </c>
      <c r="DX890" s="58">
        <f t="array" ref="DX890">SUM(IF(DU890:DV890&gt;=DU890, 1))</f>
        <v>2</v>
      </c>
      <c r="DY890" s="58">
        <f t="array" ref="DY890">SUM(IF(DU890:DV890&gt;=DV890, 1))</f>
        <v>1</v>
      </c>
      <c r="EA890" s="109">
        <f t="shared" si="346"/>
        <v>-137543352.12357542</v>
      </c>
      <c r="EB890" s="109">
        <f t="shared" si="347"/>
        <v>0</v>
      </c>
      <c r="ED890" s="58">
        <f t="array" ref="ED890">SUM(IF(EA890:EB890&gt;=EA890, 1))</f>
        <v>2</v>
      </c>
      <c r="EE890" s="58">
        <f t="array" ref="EE890">SUM(IF(EA890:EB890&gt;=EB890, 1))</f>
        <v>1</v>
      </c>
    </row>
    <row r="891" spans="4:135" ht="12" customHeight="1" x14ac:dyDescent="0.25">
      <c r="D891" s="11">
        <v>875</v>
      </c>
      <c r="E891" s="72">
        <v>283.05924659269107</v>
      </c>
      <c r="F891" s="72">
        <v>252.07243178319916</v>
      </c>
      <c r="G891" s="73"/>
      <c r="H891" s="74">
        <v>5.8252553068901394</v>
      </c>
      <c r="I891" s="74">
        <v>5.8437069745459755</v>
      </c>
      <c r="J891" s="73"/>
      <c r="K891" s="72">
        <v>303.45106907386855</v>
      </c>
      <c r="L891" s="72">
        <v>271.73107132407182</v>
      </c>
      <c r="M891" s="73"/>
      <c r="N891" s="74">
        <v>6.7161299400622498</v>
      </c>
      <c r="O891" s="74">
        <v>6.7325763760949231</v>
      </c>
      <c r="P891" s="73"/>
      <c r="Q891" s="72">
        <v>1885.8282831788283</v>
      </c>
      <c r="R891" s="72">
        <v>1310.7422717613053</v>
      </c>
      <c r="S891" s="73"/>
      <c r="T891" s="74">
        <v>4.8105382710241216</v>
      </c>
      <c r="U891" s="74">
        <v>4.8682987894714618</v>
      </c>
      <c r="V891" s="73"/>
      <c r="W891" s="72">
        <v>9640.1812701121326</v>
      </c>
      <c r="X891" s="72">
        <v>9604.6650800089119</v>
      </c>
      <c r="Y891" s="73"/>
      <c r="Z891" s="74">
        <v>3.090724515197957</v>
      </c>
      <c r="AA891" s="74">
        <v>3.1240720624152627</v>
      </c>
      <c r="AB891" s="73"/>
      <c r="AC891" s="72">
        <v>50387.659828870746</v>
      </c>
      <c r="AD891" s="72">
        <v>50435.230515365452</v>
      </c>
      <c r="AE891" s="73"/>
      <c r="AF891" s="74">
        <v>4.9552568678598448</v>
      </c>
      <c r="AG891" s="74">
        <v>4.9940186057815676</v>
      </c>
      <c r="AH891" s="73"/>
      <c r="AI891" s="72">
        <v>3366015.6829508282</v>
      </c>
      <c r="AJ891" s="72">
        <v>0</v>
      </c>
      <c r="AK891" s="73"/>
      <c r="AL891" s="74">
        <v>-2004.3558232101975</v>
      </c>
      <c r="AM891" s="74">
        <v>0</v>
      </c>
      <c r="AN891" s="73"/>
      <c r="AO891" s="72">
        <v>234760.06868405</v>
      </c>
      <c r="AP891" s="72">
        <v>0</v>
      </c>
      <c r="AQ891" s="73"/>
      <c r="AR891" s="74">
        <v>-121.72026250105743</v>
      </c>
      <c r="AS891" s="74">
        <v>0</v>
      </c>
      <c r="AT891" s="73"/>
      <c r="AU891" s="72">
        <v>13577320.81414742</v>
      </c>
      <c r="AV891" s="72">
        <v>0</v>
      </c>
      <c r="AW891" s="73"/>
      <c r="AX891" s="74">
        <v>-1363.6796475330202</v>
      </c>
      <c r="AY891" s="74">
        <v>0</v>
      </c>
      <c r="AZ891" s="73"/>
      <c r="BA891" s="72">
        <v>315878.6277842425</v>
      </c>
      <c r="BB891" s="72">
        <v>0</v>
      </c>
      <c r="BC891" s="73"/>
      <c r="BD891" s="74">
        <v>-296.59086248717722</v>
      </c>
      <c r="BE891" s="74">
        <v>0</v>
      </c>
      <c r="BF891" s="73"/>
      <c r="BG891" s="72">
        <v>-753629.72497211152</v>
      </c>
      <c r="BH891" s="72">
        <v>0</v>
      </c>
      <c r="BI891" s="73"/>
      <c r="BJ891" s="74">
        <v>-614.07560079335792</v>
      </c>
      <c r="BK891" s="74">
        <v>0</v>
      </c>
      <c r="BL891" s="73"/>
      <c r="BM891" s="72">
        <v>16740345.468594426</v>
      </c>
      <c r="BN891" s="72">
        <v>0</v>
      </c>
      <c r="BO891" s="73"/>
      <c r="BP891" s="74">
        <v>-4400.4221965248107</v>
      </c>
      <c r="BQ891" s="74">
        <v>0</v>
      </c>
      <c r="BS891" s="109">
        <f t="shared" si="327"/>
        <v>116222.04689121009</v>
      </c>
      <c r="BT891" s="109">
        <f t="shared" si="328"/>
        <v>116622.0670591363</v>
      </c>
      <c r="BV891" s="58">
        <f t="array" ref="BV891">SUM(IF(BS891:BT891&gt;=BS891, 1))</f>
        <v>2</v>
      </c>
      <c r="BW891" s="58">
        <f t="array" ref="BW891">SUM(IF(BS891:BT891&gt;=BT891, 1))</f>
        <v>1</v>
      </c>
      <c r="BY891" s="109">
        <f t="shared" si="329"/>
        <v>134019.14773217114</v>
      </c>
      <c r="BZ891" s="109">
        <f t="shared" si="330"/>
        <v>134379.79645057442</v>
      </c>
      <c r="CB891" s="58">
        <f t="array" ref="CB891">SUM(IF(BY891:BZ891&gt;=BY891, 1))</f>
        <v>2</v>
      </c>
      <c r="CC891" s="58">
        <f t="array" ref="CC891">SUM(IF(BY891:BZ891&gt;=BZ891, 1))</f>
        <v>1</v>
      </c>
      <c r="CE891" s="109">
        <f t="shared" si="331"/>
        <v>94324.937137303612</v>
      </c>
      <c r="CF891" s="109">
        <f t="shared" si="332"/>
        <v>96055.233517667933</v>
      </c>
      <c r="CH891" s="58">
        <f t="array" ref="CH891">SUM(IF(CE891:CF891&gt;=CE891, 1))</f>
        <v>2</v>
      </c>
      <c r="CI891" s="58">
        <f t="array" ref="CI891">SUM(IF(CE891:CF891&gt;=CF891, 1))</f>
        <v>1</v>
      </c>
      <c r="CK891" s="109">
        <f t="shared" si="333"/>
        <v>52174.309033847007</v>
      </c>
      <c r="CL891" s="109">
        <f t="shared" si="334"/>
        <v>52876.776168296339</v>
      </c>
      <c r="CN891" s="58">
        <f t="array" ref="CN891">SUM(IF(CK891:CL891&gt;=CK891, 1))</f>
        <v>2</v>
      </c>
      <c r="CO891" s="58">
        <f t="array" ref="CO891">SUM(IF(CK891:CL891&gt;=CL891, 1))</f>
        <v>1</v>
      </c>
      <c r="CQ891" s="109" cm="1">
        <f t="array" ref="CQ891">AF891*WTP-AC891</f>
        <v>48717.477528326155</v>
      </c>
      <c r="CR891" s="109">
        <f t="shared" si="335"/>
        <v>49445.141600265903</v>
      </c>
      <c r="CT891" s="58">
        <f t="array" ref="CT891">SUM(IF(CQ891:CR891&gt;=CQ891, 1))</f>
        <v>2</v>
      </c>
      <c r="CU891" s="58">
        <f t="array" ref="CU891">SUM(IF(CQ891:CR891&gt;=CR891, 1))</f>
        <v>1</v>
      </c>
      <c r="CW891" s="109">
        <f t="shared" si="336"/>
        <v>-43453132.147154778</v>
      </c>
      <c r="CX891" s="109">
        <f t="shared" si="337"/>
        <v>0</v>
      </c>
      <c r="CZ891" s="58">
        <f t="array" ref="CZ891">SUM(IF(CW891:CX891&gt;=CW891, 1))</f>
        <v>2</v>
      </c>
      <c r="DA891" s="58">
        <f t="array" ref="DA891">SUM(IF(CW891:CX891&gt;=CX891, 1))</f>
        <v>1</v>
      </c>
      <c r="DC891" s="109">
        <f t="shared" si="338"/>
        <v>-2669165.3187051984</v>
      </c>
      <c r="DD891" s="109">
        <f t="shared" si="339"/>
        <v>0</v>
      </c>
      <c r="DF891" s="58">
        <f t="array" ref="DF891">SUM(IF(DC891:DD891&gt;=DC891, 1))</f>
        <v>2</v>
      </c>
      <c r="DG891" s="58">
        <f t="array" ref="DG891">SUM(IF(DC891:DD891&gt;=DD891, 1))</f>
        <v>1</v>
      </c>
      <c r="DI891" s="109">
        <f t="shared" si="340"/>
        <v>-40850913.76480782</v>
      </c>
      <c r="DJ891" s="109">
        <f t="shared" si="341"/>
        <v>0</v>
      </c>
      <c r="DL891" s="58">
        <f t="array" ref="DL891">SUM(IF(DI891:DJ891&gt;=DI891, 1))</f>
        <v>2</v>
      </c>
      <c r="DM891" s="58">
        <f t="array" ref="DM891">SUM(IF(DI891:DJ891&gt;=DJ891, 1))</f>
        <v>1</v>
      </c>
      <c r="DO891" s="109">
        <f t="shared" si="342"/>
        <v>-6247695.8775277874</v>
      </c>
      <c r="DP891" s="109">
        <f t="shared" si="343"/>
        <v>0</v>
      </c>
      <c r="DR891" s="58">
        <f t="array" ref="DR891">SUM(IF(DO891:DP891&gt;=DO891, 1))</f>
        <v>2</v>
      </c>
      <c r="DS891" s="58">
        <f t="array" ref="DS891">SUM(IF(DO891:DP891&gt;=DP891, 1))</f>
        <v>1</v>
      </c>
      <c r="DU891" s="109">
        <f t="shared" si="344"/>
        <v>-11527882.290895047</v>
      </c>
      <c r="DV891" s="109">
        <f t="shared" si="345"/>
        <v>0</v>
      </c>
      <c r="DX891" s="58">
        <f t="array" ref="DX891">SUM(IF(DU891:DV891&gt;=DU891, 1))</f>
        <v>2</v>
      </c>
      <c r="DY891" s="58">
        <f t="array" ref="DY891">SUM(IF(DU891:DV891&gt;=DV891, 1))</f>
        <v>1</v>
      </c>
      <c r="EA891" s="109">
        <f t="shared" si="346"/>
        <v>-104748789.39909065</v>
      </c>
      <c r="EB891" s="109">
        <f t="shared" si="347"/>
        <v>0</v>
      </c>
      <c r="ED891" s="58">
        <f t="array" ref="ED891">SUM(IF(EA891:EB891&gt;=EA891, 1))</f>
        <v>2</v>
      </c>
      <c r="EE891" s="58">
        <f t="array" ref="EE891">SUM(IF(EA891:EB891&gt;=EB891, 1))</f>
        <v>1</v>
      </c>
    </row>
    <row r="892" spans="4:135" ht="12" customHeight="1" x14ac:dyDescent="0.25">
      <c r="D892" s="11">
        <v>876</v>
      </c>
      <c r="E892" s="72">
        <v>239.37113026419479</v>
      </c>
      <c r="F892" s="72">
        <v>220.59901342887377</v>
      </c>
      <c r="G892" s="73"/>
      <c r="H892" s="74">
        <v>5.7910775350078447</v>
      </c>
      <c r="I892" s="74">
        <v>5.8075845241234534</v>
      </c>
      <c r="J892" s="73"/>
      <c r="K892" s="72">
        <v>257.12826205977194</v>
      </c>
      <c r="L892" s="72">
        <v>237.87122827429545</v>
      </c>
      <c r="M892" s="73"/>
      <c r="N892" s="74">
        <v>6.6842616163108097</v>
      </c>
      <c r="O892" s="74">
        <v>6.6980666938218825</v>
      </c>
      <c r="P892" s="73"/>
      <c r="Q892" s="72">
        <v>1475.1793551912488</v>
      </c>
      <c r="R892" s="72">
        <v>1001.8679179535214</v>
      </c>
      <c r="S892" s="73"/>
      <c r="T892" s="74">
        <v>4.6069608455948403</v>
      </c>
      <c r="U892" s="74">
        <v>4.6681948255036989</v>
      </c>
      <c r="V892" s="73"/>
      <c r="W892" s="72">
        <v>10664.500956210053</v>
      </c>
      <c r="X892" s="72">
        <v>10760.025919308107</v>
      </c>
      <c r="Y892" s="73"/>
      <c r="Z892" s="74">
        <v>3.0924205008827284</v>
      </c>
      <c r="AA892" s="74">
        <v>3.1864887605348891</v>
      </c>
      <c r="AB892" s="73"/>
      <c r="AC892" s="72">
        <v>50310.81242323554</v>
      </c>
      <c r="AD892" s="72">
        <v>50127.629924887508</v>
      </c>
      <c r="AE892" s="73"/>
      <c r="AF892" s="74">
        <v>4.6474996373767494</v>
      </c>
      <c r="AG892" s="74">
        <v>4.7338618796044605</v>
      </c>
      <c r="AH892" s="73"/>
      <c r="AI892" s="72">
        <v>2018074.3534322651</v>
      </c>
      <c r="AJ892" s="72">
        <v>0</v>
      </c>
      <c r="AK892" s="73"/>
      <c r="AL892" s="74">
        <v>-1774.5644606215092</v>
      </c>
      <c r="AM892" s="74">
        <v>0</v>
      </c>
      <c r="AN892" s="73"/>
      <c r="AO892" s="72">
        <v>133470.37905183728</v>
      </c>
      <c r="AP892" s="72">
        <v>0</v>
      </c>
      <c r="AQ892" s="73"/>
      <c r="AR892" s="74">
        <v>-95.68290468662542</v>
      </c>
      <c r="AS892" s="74">
        <v>0</v>
      </c>
      <c r="AT892" s="73"/>
      <c r="AU892" s="72">
        <v>11225531.728643676</v>
      </c>
      <c r="AV892" s="72">
        <v>0</v>
      </c>
      <c r="AW892" s="73"/>
      <c r="AX892" s="74">
        <v>-1452.2868670776982</v>
      </c>
      <c r="AY892" s="74">
        <v>0</v>
      </c>
      <c r="AZ892" s="73"/>
      <c r="BA892" s="72">
        <v>-850617.15563775296</v>
      </c>
      <c r="BB892" s="72">
        <v>0</v>
      </c>
      <c r="BC892" s="73"/>
      <c r="BD892" s="74">
        <v>-837.64570920566371</v>
      </c>
      <c r="BE892" s="74">
        <v>0</v>
      </c>
      <c r="BF892" s="73"/>
      <c r="BG892" s="72">
        <v>2838671.8652666626</v>
      </c>
      <c r="BH892" s="72">
        <v>0</v>
      </c>
      <c r="BI892" s="73"/>
      <c r="BJ892" s="74">
        <v>-1338.3050752336273</v>
      </c>
      <c r="BK892" s="74">
        <v>0</v>
      </c>
      <c r="BL892" s="73"/>
      <c r="BM892" s="72">
        <v>15365131.170756688</v>
      </c>
      <c r="BN892" s="72">
        <v>0</v>
      </c>
      <c r="BO892" s="73"/>
      <c r="BP892" s="74">
        <v>-5498.4850168251241</v>
      </c>
      <c r="BQ892" s="74">
        <v>0</v>
      </c>
      <c r="BS892" s="109">
        <f t="shared" si="327"/>
        <v>115582.1795698927</v>
      </c>
      <c r="BT892" s="109">
        <f t="shared" si="328"/>
        <v>115931.0914690402</v>
      </c>
      <c r="BV892" s="58">
        <f t="array" ref="BV892">SUM(IF(BS892:BT892&gt;=BS892, 1))</f>
        <v>2</v>
      </c>
      <c r="BW892" s="58">
        <f t="array" ref="BW892">SUM(IF(BS892:BT892&gt;=BT892, 1))</f>
        <v>1</v>
      </c>
      <c r="BY892" s="109">
        <f t="shared" si="329"/>
        <v>133428.10406415642</v>
      </c>
      <c r="BZ892" s="109">
        <f t="shared" si="330"/>
        <v>133723.46264816335</v>
      </c>
      <c r="CB892" s="58">
        <f t="array" ref="CB892">SUM(IF(BY892:BZ892&gt;=BY892, 1))</f>
        <v>2</v>
      </c>
      <c r="CC892" s="58">
        <f t="array" ref="CC892">SUM(IF(BY892:BZ892&gt;=BZ892, 1))</f>
        <v>1</v>
      </c>
      <c r="CE892" s="109">
        <f t="shared" si="331"/>
        <v>90664.03755670556</v>
      </c>
      <c r="CF892" s="109">
        <f t="shared" si="332"/>
        <v>92362.028592120449</v>
      </c>
      <c r="CH892" s="58">
        <f t="array" ref="CH892">SUM(IF(CE892:CF892&gt;=CE892, 1))</f>
        <v>2</v>
      </c>
      <c r="CI892" s="58">
        <f t="array" ref="CI892">SUM(IF(CE892:CF892&gt;=CF892, 1))</f>
        <v>1</v>
      </c>
      <c r="CK892" s="109">
        <f t="shared" si="333"/>
        <v>51183.909061444516</v>
      </c>
      <c r="CL892" s="109">
        <f t="shared" si="334"/>
        <v>52969.749291389671</v>
      </c>
      <c r="CN892" s="58">
        <f t="array" ref="CN892">SUM(IF(CK892:CL892&gt;=CK892, 1))</f>
        <v>2</v>
      </c>
      <c r="CO892" s="58">
        <f t="array" ref="CO892">SUM(IF(CK892:CL892&gt;=CL892, 1))</f>
        <v>1</v>
      </c>
      <c r="CQ892" s="109" cm="1">
        <f t="array" ref="CQ892">AF892*WTP-AC892</f>
        <v>42639.180324299443</v>
      </c>
      <c r="CR892" s="109">
        <f t="shared" si="335"/>
        <v>44549.607667201701</v>
      </c>
      <c r="CT892" s="58">
        <f t="array" ref="CT892">SUM(IF(CQ892:CR892&gt;=CQ892, 1))</f>
        <v>2</v>
      </c>
      <c r="CU892" s="58">
        <f t="array" ref="CU892">SUM(IF(CQ892:CR892&gt;=CR892, 1))</f>
        <v>1</v>
      </c>
      <c r="CW892" s="109">
        <f t="shared" si="336"/>
        <v>-37509363.565862454</v>
      </c>
      <c r="CX892" s="109">
        <f t="shared" si="337"/>
        <v>0</v>
      </c>
      <c r="CZ892" s="58">
        <f t="array" ref="CZ892">SUM(IF(CW892:CX892&gt;=CW892, 1))</f>
        <v>2</v>
      </c>
      <c r="DA892" s="58">
        <f t="array" ref="DA892">SUM(IF(CW892:CX892&gt;=CX892, 1))</f>
        <v>1</v>
      </c>
      <c r="DC892" s="109">
        <f t="shared" si="338"/>
        <v>-2047128.4727843457</v>
      </c>
      <c r="DD892" s="109">
        <f t="shared" si="339"/>
        <v>0</v>
      </c>
      <c r="DF892" s="58">
        <f t="array" ref="DF892">SUM(IF(DC892:DD892&gt;=DC892, 1))</f>
        <v>2</v>
      </c>
      <c r="DG892" s="58">
        <f t="array" ref="DG892">SUM(IF(DC892:DD892&gt;=DD892, 1))</f>
        <v>1</v>
      </c>
      <c r="DI892" s="109">
        <f t="shared" si="340"/>
        <v>-40271269.070197642</v>
      </c>
      <c r="DJ892" s="109">
        <f t="shared" si="341"/>
        <v>0</v>
      </c>
      <c r="DL892" s="58">
        <f t="array" ref="DL892">SUM(IF(DI892:DJ892&gt;=DI892, 1))</f>
        <v>2</v>
      </c>
      <c r="DM892" s="58">
        <f t="array" ref="DM892">SUM(IF(DI892:DJ892&gt;=DJ892, 1))</f>
        <v>1</v>
      </c>
      <c r="DO892" s="109">
        <f t="shared" si="342"/>
        <v>-15902297.028475521</v>
      </c>
      <c r="DP892" s="109">
        <f t="shared" si="343"/>
        <v>0</v>
      </c>
      <c r="DR892" s="58">
        <f t="array" ref="DR892">SUM(IF(DO892:DP892&gt;=DO892, 1))</f>
        <v>2</v>
      </c>
      <c r="DS892" s="58">
        <f t="array" ref="DS892">SUM(IF(DO892:DP892&gt;=DP892, 1))</f>
        <v>1</v>
      </c>
      <c r="DU892" s="109">
        <f t="shared" si="344"/>
        <v>-29604773.369939208</v>
      </c>
      <c r="DV892" s="109">
        <f t="shared" si="345"/>
        <v>0</v>
      </c>
      <c r="DX892" s="58">
        <f t="array" ref="DX892">SUM(IF(DU892:DV892&gt;=DU892, 1))</f>
        <v>2</v>
      </c>
      <c r="DY892" s="58">
        <f t="array" ref="DY892">SUM(IF(DU892:DV892&gt;=DV892, 1))</f>
        <v>1</v>
      </c>
      <c r="EA892" s="109">
        <f t="shared" si="346"/>
        <v>-125334831.50725916</v>
      </c>
      <c r="EB892" s="109">
        <f t="shared" si="347"/>
        <v>0</v>
      </c>
      <c r="ED892" s="58">
        <f t="array" ref="ED892">SUM(IF(EA892:EB892&gt;=EA892, 1))</f>
        <v>2</v>
      </c>
      <c r="EE892" s="58">
        <f t="array" ref="EE892">SUM(IF(EA892:EB892&gt;=EB892, 1))</f>
        <v>1</v>
      </c>
    </row>
    <row r="893" spans="4:135" ht="12" customHeight="1" x14ac:dyDescent="0.25">
      <c r="D893" s="11">
        <v>877</v>
      </c>
      <c r="E893" s="72">
        <v>270.61716970547235</v>
      </c>
      <c r="F893" s="72">
        <v>240.08640072589986</v>
      </c>
      <c r="G893" s="73"/>
      <c r="H893" s="74">
        <v>5.7839237590438826</v>
      </c>
      <c r="I893" s="74">
        <v>5.8031838352714145</v>
      </c>
      <c r="J893" s="73"/>
      <c r="K893" s="72">
        <v>290.07863061173583</v>
      </c>
      <c r="L893" s="72">
        <v>258.8379846860613</v>
      </c>
      <c r="M893" s="73"/>
      <c r="N893" s="74">
        <v>6.7219707784828344</v>
      </c>
      <c r="O893" s="74">
        <v>6.7390973199407211</v>
      </c>
      <c r="P893" s="73"/>
      <c r="Q893" s="72">
        <v>2443.1554575335426</v>
      </c>
      <c r="R893" s="72">
        <v>1417.1631359206744</v>
      </c>
      <c r="S893" s="73"/>
      <c r="T893" s="74">
        <v>4.8973372679851943</v>
      </c>
      <c r="U893" s="74">
        <v>4.9657569036924096</v>
      </c>
      <c r="V893" s="73"/>
      <c r="W893" s="72">
        <v>14957.506037524861</v>
      </c>
      <c r="X893" s="72">
        <v>14980.9636973302</v>
      </c>
      <c r="Y893" s="73"/>
      <c r="Z893" s="74">
        <v>3.0037813564269906</v>
      </c>
      <c r="AA893" s="74">
        <v>3.072743047959583</v>
      </c>
      <c r="AB893" s="73"/>
      <c r="AC893" s="72">
        <v>50522.002967235661</v>
      </c>
      <c r="AD893" s="72">
        <v>50176.640748766265</v>
      </c>
      <c r="AE893" s="73"/>
      <c r="AF893" s="74">
        <v>4.9607149821154133</v>
      </c>
      <c r="AG893" s="74">
        <v>5.1042052283584436</v>
      </c>
      <c r="AH893" s="73"/>
      <c r="AI893" s="72">
        <v>3269102.7156728092</v>
      </c>
      <c r="AJ893" s="72">
        <v>0</v>
      </c>
      <c r="AK893" s="73"/>
      <c r="AL893" s="74">
        <v>-2062.2856745474446</v>
      </c>
      <c r="AM893" s="74">
        <v>0</v>
      </c>
      <c r="AN893" s="73"/>
      <c r="AO893" s="72">
        <v>217280.66911912253</v>
      </c>
      <c r="AP893" s="72">
        <v>0</v>
      </c>
      <c r="AQ893" s="73"/>
      <c r="AR893" s="74">
        <v>-119.11617949639664</v>
      </c>
      <c r="AS893" s="74">
        <v>0</v>
      </c>
      <c r="AT893" s="73"/>
      <c r="AU893" s="72">
        <v>23555560.599272456</v>
      </c>
      <c r="AV893" s="72">
        <v>0</v>
      </c>
      <c r="AW893" s="73"/>
      <c r="AX893" s="74">
        <v>-1570.8332714887272</v>
      </c>
      <c r="AY893" s="74">
        <v>0</v>
      </c>
      <c r="AZ893" s="73"/>
      <c r="BA893" s="72">
        <v>-217183.30163745047</v>
      </c>
      <c r="BB893" s="72">
        <v>0</v>
      </c>
      <c r="BC893" s="73"/>
      <c r="BD893" s="74">
        <v>-638.48346245275991</v>
      </c>
      <c r="BE893" s="74">
        <v>0</v>
      </c>
      <c r="BF893" s="73"/>
      <c r="BG893" s="72">
        <v>5403969.8992217919</v>
      </c>
      <c r="BH893" s="72">
        <v>0</v>
      </c>
      <c r="BI893" s="73"/>
      <c r="BJ893" s="74">
        <v>-2245.2281403733564</v>
      </c>
      <c r="BK893" s="74">
        <v>0</v>
      </c>
      <c r="BL893" s="73"/>
      <c r="BM893" s="72">
        <v>32228730.58164873</v>
      </c>
      <c r="BN893" s="72">
        <v>0</v>
      </c>
      <c r="BO893" s="73"/>
      <c r="BP893" s="74">
        <v>-6635.9467283586855</v>
      </c>
      <c r="BQ893" s="74">
        <v>0</v>
      </c>
      <c r="BS893" s="109">
        <f t="shared" si="327"/>
        <v>115407.85801117218</v>
      </c>
      <c r="BT893" s="109">
        <f t="shared" si="328"/>
        <v>115823.59030470239</v>
      </c>
      <c r="BV893" s="58">
        <f t="array" ref="BV893">SUM(IF(BS893:BT893&gt;=BS893, 1))</f>
        <v>2</v>
      </c>
      <c r="BW893" s="58">
        <f t="array" ref="BW893">SUM(IF(BS893:BT893&gt;=BT893, 1))</f>
        <v>1</v>
      </c>
      <c r="BY893" s="109">
        <f t="shared" si="329"/>
        <v>134149.33693904494</v>
      </c>
      <c r="BZ893" s="109">
        <f t="shared" si="330"/>
        <v>134523.10841412836</v>
      </c>
      <c r="CB893" s="58">
        <f t="array" ref="CB893">SUM(IF(BY893:BZ893&gt;=BY893, 1))</f>
        <v>2</v>
      </c>
      <c r="CC893" s="58">
        <f t="array" ref="CC893">SUM(IF(BY893:BZ893&gt;=BZ893, 1))</f>
        <v>1</v>
      </c>
      <c r="CE893" s="109">
        <f t="shared" si="331"/>
        <v>95503.589902170337</v>
      </c>
      <c r="CF893" s="109">
        <f t="shared" si="332"/>
        <v>97897.974937927516</v>
      </c>
      <c r="CH893" s="58">
        <f t="array" ref="CH893">SUM(IF(CE893:CF893&gt;=CE893, 1))</f>
        <v>2</v>
      </c>
      <c r="CI893" s="58">
        <f t="array" ref="CI893">SUM(IF(CE893:CF893&gt;=CF893, 1))</f>
        <v>1</v>
      </c>
      <c r="CK893" s="109">
        <f t="shared" si="333"/>
        <v>45118.121091014953</v>
      </c>
      <c r="CL893" s="109">
        <f t="shared" si="334"/>
        <v>46473.897261861464</v>
      </c>
      <c r="CN893" s="58">
        <f t="array" ref="CN893">SUM(IF(CK893:CL893&gt;=CK893, 1))</f>
        <v>2</v>
      </c>
      <c r="CO893" s="58">
        <f t="array" ref="CO893">SUM(IF(CK893:CL893&gt;=CL893, 1))</f>
        <v>1</v>
      </c>
      <c r="CQ893" s="109" cm="1">
        <f t="array" ref="CQ893">AF893*WTP-AC893</f>
        <v>48692.296675072605</v>
      </c>
      <c r="CR893" s="109">
        <f t="shared" si="335"/>
        <v>51907.463818402612</v>
      </c>
      <c r="CT893" s="58">
        <f t="array" ref="CT893">SUM(IF(CQ893:CR893&gt;=CQ893, 1))</f>
        <v>2</v>
      </c>
      <c r="CU893" s="58">
        <f t="array" ref="CU893">SUM(IF(CQ893:CR893&gt;=CR893, 1))</f>
        <v>1</v>
      </c>
      <c r="CW893" s="109">
        <f t="shared" si="336"/>
        <v>-44514816.206621699</v>
      </c>
      <c r="CX893" s="109">
        <f t="shared" si="337"/>
        <v>0</v>
      </c>
      <c r="CZ893" s="58">
        <f t="array" ref="CZ893">SUM(IF(CW893:CX893&gt;=CW893, 1))</f>
        <v>2</v>
      </c>
      <c r="DA893" s="58">
        <f t="array" ref="DA893">SUM(IF(CW893:CX893&gt;=CX893, 1))</f>
        <v>1</v>
      </c>
      <c r="DC893" s="109">
        <f t="shared" si="338"/>
        <v>-2599604.2590470552</v>
      </c>
      <c r="DD893" s="109">
        <f t="shared" si="339"/>
        <v>0</v>
      </c>
      <c r="DF893" s="58">
        <f t="array" ref="DF893">SUM(IF(DC893:DD893&gt;=DC893, 1))</f>
        <v>2</v>
      </c>
      <c r="DG893" s="58">
        <f t="array" ref="DG893">SUM(IF(DC893:DD893&gt;=DD893, 1))</f>
        <v>1</v>
      </c>
      <c r="DI893" s="109">
        <f t="shared" si="340"/>
        <v>-54972226.029046997</v>
      </c>
      <c r="DJ893" s="109">
        <f t="shared" si="341"/>
        <v>0</v>
      </c>
      <c r="DL893" s="58">
        <f t="array" ref="DL893">SUM(IF(DI893:DJ893&gt;=DI893, 1))</f>
        <v>2</v>
      </c>
      <c r="DM893" s="58">
        <f t="array" ref="DM893">SUM(IF(DI893:DJ893&gt;=DJ893, 1))</f>
        <v>1</v>
      </c>
      <c r="DO893" s="109">
        <f t="shared" si="342"/>
        <v>-12552485.947417747</v>
      </c>
      <c r="DP893" s="109">
        <f t="shared" si="343"/>
        <v>0</v>
      </c>
      <c r="DR893" s="58">
        <f t="array" ref="DR893">SUM(IF(DO893:DP893&gt;=DO893, 1))</f>
        <v>2</v>
      </c>
      <c r="DS893" s="58">
        <f t="array" ref="DS893">SUM(IF(DO893:DP893&gt;=DP893, 1))</f>
        <v>1</v>
      </c>
      <c r="DU893" s="109">
        <f t="shared" si="344"/>
        <v>-50308532.706688918</v>
      </c>
      <c r="DV893" s="109">
        <f t="shared" si="345"/>
        <v>0</v>
      </c>
      <c r="DX893" s="58">
        <f t="array" ref="DX893">SUM(IF(DU893:DV893&gt;=DU893, 1))</f>
        <v>2</v>
      </c>
      <c r="DY893" s="58">
        <f t="array" ref="DY893">SUM(IF(DU893:DV893&gt;=DV893, 1))</f>
        <v>1</v>
      </c>
      <c r="EA893" s="109">
        <f t="shared" si="346"/>
        <v>-164947665.14882243</v>
      </c>
      <c r="EB893" s="109">
        <f t="shared" si="347"/>
        <v>0</v>
      </c>
      <c r="ED893" s="58">
        <f t="array" ref="ED893">SUM(IF(EA893:EB893&gt;=EA893, 1))</f>
        <v>2</v>
      </c>
      <c r="EE893" s="58">
        <f t="array" ref="EE893">SUM(IF(EA893:EB893&gt;=EB893, 1))</f>
        <v>1</v>
      </c>
    </row>
    <row r="894" spans="4:135" ht="12" customHeight="1" x14ac:dyDescent="0.25">
      <c r="D894" s="11">
        <v>878</v>
      </c>
      <c r="E894" s="72">
        <v>269.3325156523178</v>
      </c>
      <c r="F894" s="72">
        <v>250.66691976910565</v>
      </c>
      <c r="G894" s="73"/>
      <c r="H894" s="74">
        <v>5.875904994747124</v>
      </c>
      <c r="I894" s="74">
        <v>5.8934498642882991</v>
      </c>
      <c r="J894" s="73"/>
      <c r="K894" s="72">
        <v>289.49665132866642</v>
      </c>
      <c r="L894" s="72">
        <v>270.37250386928412</v>
      </c>
      <c r="M894" s="73"/>
      <c r="N894" s="74">
        <v>6.7602317048253022</v>
      </c>
      <c r="O894" s="74">
        <v>6.7754642458248107</v>
      </c>
      <c r="P894" s="73"/>
      <c r="Q894" s="72">
        <v>3353.4908146357043</v>
      </c>
      <c r="R894" s="72">
        <v>1738.1032027033609</v>
      </c>
      <c r="S894" s="73"/>
      <c r="T894" s="74">
        <v>4.7744589765452696</v>
      </c>
      <c r="U894" s="74">
        <v>4.8829948660486515</v>
      </c>
      <c r="V894" s="73"/>
      <c r="W894" s="72">
        <v>11719.180935075439</v>
      </c>
      <c r="X894" s="72">
        <v>11676.119456451066</v>
      </c>
      <c r="Y894" s="73"/>
      <c r="Z894" s="74">
        <v>2.9890360910791145</v>
      </c>
      <c r="AA894" s="74">
        <v>3.0280100899726068</v>
      </c>
      <c r="AB894" s="73"/>
      <c r="AC894" s="72">
        <v>50121.989506901446</v>
      </c>
      <c r="AD894" s="72">
        <v>49825.640853731988</v>
      </c>
      <c r="AE894" s="73"/>
      <c r="AF894" s="74">
        <v>3.9977231594073674</v>
      </c>
      <c r="AG894" s="74">
        <v>4.1175716247175984</v>
      </c>
      <c r="AH894" s="73"/>
      <c r="AI894" s="72">
        <v>1978536.7044593324</v>
      </c>
      <c r="AJ894" s="72">
        <v>0</v>
      </c>
      <c r="AK894" s="73"/>
      <c r="AL894" s="74">
        <v>-1859.7407004502058</v>
      </c>
      <c r="AM894" s="74">
        <v>0</v>
      </c>
      <c r="AN894" s="73"/>
      <c r="AO894" s="72">
        <v>138447.80291329313</v>
      </c>
      <c r="AP894" s="72">
        <v>0</v>
      </c>
      <c r="AQ894" s="73"/>
      <c r="AR894" s="74">
        <v>-110.27481557793415</v>
      </c>
      <c r="AS894" s="74">
        <v>0</v>
      </c>
      <c r="AT894" s="73"/>
      <c r="AU894" s="72">
        <v>37493096.181880206</v>
      </c>
      <c r="AV894" s="72">
        <v>0</v>
      </c>
      <c r="AW894" s="73"/>
      <c r="AX894" s="74">
        <v>-2519.114616378929</v>
      </c>
      <c r="AY894" s="74">
        <v>0</v>
      </c>
      <c r="AZ894" s="73"/>
      <c r="BA894" s="72">
        <v>400718.8083072165</v>
      </c>
      <c r="BB894" s="72">
        <v>0</v>
      </c>
      <c r="BC894" s="73"/>
      <c r="BD894" s="74">
        <v>-362.68179566707425</v>
      </c>
      <c r="BE894" s="74">
        <v>0</v>
      </c>
      <c r="BF894" s="73"/>
      <c r="BG894" s="72">
        <v>4603346.2397219734</v>
      </c>
      <c r="BH894" s="72">
        <v>0</v>
      </c>
      <c r="BI894" s="73"/>
      <c r="BJ894" s="74">
        <v>-1861.6719739462624</v>
      </c>
      <c r="BK894" s="74">
        <v>0</v>
      </c>
      <c r="BL894" s="73"/>
      <c r="BM894" s="72">
        <v>44614145.737282023</v>
      </c>
      <c r="BN894" s="72">
        <v>0</v>
      </c>
      <c r="BO894" s="73"/>
      <c r="BP894" s="74">
        <v>-6713.4839020204054</v>
      </c>
      <c r="BQ894" s="74">
        <v>0</v>
      </c>
      <c r="BS894" s="109">
        <f t="shared" si="327"/>
        <v>117248.76737929016</v>
      </c>
      <c r="BT894" s="109">
        <f t="shared" si="328"/>
        <v>117618.33036599688</v>
      </c>
      <c r="BV894" s="58">
        <f t="array" ref="BV894">SUM(IF(BS894:BT894&gt;=BS894, 1))</f>
        <v>2</v>
      </c>
      <c r="BW894" s="58">
        <f t="array" ref="BW894">SUM(IF(BS894:BT894&gt;=BT894, 1))</f>
        <v>1</v>
      </c>
      <c r="BY894" s="109">
        <f t="shared" si="329"/>
        <v>134915.13744517739</v>
      </c>
      <c r="BZ894" s="109">
        <f t="shared" si="330"/>
        <v>135238.91241262693</v>
      </c>
      <c r="CB894" s="58">
        <f t="array" ref="CB894">SUM(IF(BY894:BZ894&gt;=BY894, 1))</f>
        <v>2</v>
      </c>
      <c r="CC894" s="58">
        <f t="array" ref="CC894">SUM(IF(BY894:BZ894&gt;=BZ894, 1))</f>
        <v>1</v>
      </c>
      <c r="CE894" s="109">
        <f t="shared" si="331"/>
        <v>92135.688716269695</v>
      </c>
      <c r="CF894" s="109">
        <f t="shared" si="332"/>
        <v>95921.794118269667</v>
      </c>
      <c r="CH894" s="58">
        <f t="array" ref="CH894">SUM(IF(CE894:CF894&gt;=CE894, 1))</f>
        <v>2</v>
      </c>
      <c r="CI894" s="58">
        <f t="array" ref="CI894">SUM(IF(CE894:CF894&gt;=CF894, 1))</f>
        <v>1</v>
      </c>
      <c r="CK894" s="109">
        <f t="shared" si="333"/>
        <v>48061.540886506846</v>
      </c>
      <c r="CL894" s="109">
        <f t="shared" si="334"/>
        <v>48884.082343001071</v>
      </c>
      <c r="CN894" s="58">
        <f t="array" ref="CN894">SUM(IF(CK894:CL894&gt;=CK894, 1))</f>
        <v>2</v>
      </c>
      <c r="CO894" s="58">
        <f t="array" ref="CO894">SUM(IF(CK894:CL894&gt;=CL894, 1))</f>
        <v>1</v>
      </c>
      <c r="CQ894" s="109" cm="1">
        <f t="array" ref="CQ894">AF894*WTP-AC894</f>
        <v>29832.473681245901</v>
      </c>
      <c r="CR894" s="109">
        <f t="shared" si="335"/>
        <v>32525.791640619987</v>
      </c>
      <c r="CT894" s="58">
        <f t="array" ref="CT894">SUM(IF(CQ894:CR894&gt;=CQ894, 1))</f>
        <v>2</v>
      </c>
      <c r="CU894" s="58">
        <f t="array" ref="CU894">SUM(IF(CQ894:CR894&gt;=CR894, 1))</f>
        <v>1</v>
      </c>
      <c r="CW894" s="109">
        <f t="shared" si="336"/>
        <v>-39173350.713463448</v>
      </c>
      <c r="CX894" s="109">
        <f t="shared" si="337"/>
        <v>0</v>
      </c>
      <c r="CZ894" s="58">
        <f t="array" ref="CZ894">SUM(IF(CW894:CX894&gt;=CW894, 1))</f>
        <v>2</v>
      </c>
      <c r="DA894" s="58">
        <f t="array" ref="DA894">SUM(IF(CW894:CX894&gt;=CX894, 1))</f>
        <v>1</v>
      </c>
      <c r="DC894" s="109">
        <f t="shared" si="338"/>
        <v>-2343944.1144719762</v>
      </c>
      <c r="DD894" s="109">
        <f t="shared" si="339"/>
        <v>0</v>
      </c>
      <c r="DF894" s="58">
        <f t="array" ref="DF894">SUM(IF(DC894:DD894&gt;=DC894, 1))</f>
        <v>2</v>
      </c>
      <c r="DG894" s="58">
        <f t="array" ref="DG894">SUM(IF(DC894:DD894&gt;=DD894, 1))</f>
        <v>1</v>
      </c>
      <c r="DI894" s="109">
        <f t="shared" si="340"/>
        <v>-87875388.50945878</v>
      </c>
      <c r="DJ894" s="109">
        <f t="shared" si="341"/>
        <v>0</v>
      </c>
      <c r="DL894" s="58">
        <f t="array" ref="DL894">SUM(IF(DI894:DJ894&gt;=DI894, 1))</f>
        <v>2</v>
      </c>
      <c r="DM894" s="58">
        <f t="array" ref="DM894">SUM(IF(DI894:DJ894&gt;=DJ894, 1))</f>
        <v>1</v>
      </c>
      <c r="DO894" s="109">
        <f t="shared" si="342"/>
        <v>-7654354.7216487015</v>
      </c>
      <c r="DP894" s="109">
        <f t="shared" si="343"/>
        <v>0</v>
      </c>
      <c r="DR894" s="58">
        <f t="array" ref="DR894">SUM(IF(DO894:DP894&gt;=DO894, 1))</f>
        <v>2</v>
      </c>
      <c r="DS894" s="58">
        <f t="array" ref="DS894">SUM(IF(DO894:DP894&gt;=DP894, 1))</f>
        <v>1</v>
      </c>
      <c r="DU894" s="109">
        <f t="shared" si="344"/>
        <v>-41836785.718647227</v>
      </c>
      <c r="DV894" s="109">
        <f t="shared" si="345"/>
        <v>0</v>
      </c>
      <c r="DX894" s="58">
        <f t="array" ref="DX894">SUM(IF(DU894:DV894&gt;=DU894, 1))</f>
        <v>2</v>
      </c>
      <c r="DY894" s="58">
        <f t="array" ref="DY894">SUM(IF(DU894:DV894&gt;=DV894, 1))</f>
        <v>1</v>
      </c>
      <c r="EA894" s="109">
        <f t="shared" si="346"/>
        <v>-178883823.77769011</v>
      </c>
      <c r="EB894" s="109">
        <f t="shared" si="347"/>
        <v>0</v>
      </c>
      <c r="ED894" s="58">
        <f t="array" ref="ED894">SUM(IF(EA894:EB894&gt;=EA894, 1))</f>
        <v>2</v>
      </c>
      <c r="EE894" s="58">
        <f t="array" ref="EE894">SUM(IF(EA894:EB894&gt;=EB894, 1))</f>
        <v>1</v>
      </c>
    </row>
    <row r="895" spans="4:135" ht="12" customHeight="1" x14ac:dyDescent="0.25">
      <c r="D895" s="11">
        <v>879</v>
      </c>
      <c r="E895" s="72">
        <v>236.94462712985163</v>
      </c>
      <c r="F895" s="72">
        <v>200.38530648328145</v>
      </c>
      <c r="G895" s="73"/>
      <c r="H895" s="74">
        <v>5.8672886360666681</v>
      </c>
      <c r="I895" s="74">
        <v>5.8855269399856809</v>
      </c>
      <c r="J895" s="73"/>
      <c r="K895" s="72">
        <v>253.41787183866438</v>
      </c>
      <c r="L895" s="72">
        <v>215.99927157618882</v>
      </c>
      <c r="M895" s="73"/>
      <c r="N895" s="74">
        <v>6.7538331013723214</v>
      </c>
      <c r="O895" s="74">
        <v>6.7699606238351597</v>
      </c>
      <c r="P895" s="73"/>
      <c r="Q895" s="72">
        <v>2330.3312742994794</v>
      </c>
      <c r="R895" s="72">
        <v>1262.055258684705</v>
      </c>
      <c r="S895" s="73"/>
      <c r="T895" s="74">
        <v>4.8330068913602426</v>
      </c>
      <c r="U895" s="74">
        <v>4.9315435278931687</v>
      </c>
      <c r="V895" s="73"/>
      <c r="W895" s="72">
        <v>10391.007372560691</v>
      </c>
      <c r="X895" s="72">
        <v>10356.184076942838</v>
      </c>
      <c r="Y895" s="73"/>
      <c r="Z895" s="74">
        <v>2.9044073957934606</v>
      </c>
      <c r="AA895" s="74">
        <v>2.9577135756508568</v>
      </c>
      <c r="AB895" s="73"/>
      <c r="AC895" s="72">
        <v>48844.27015025376</v>
      </c>
      <c r="AD895" s="72">
        <v>48956.610590302145</v>
      </c>
      <c r="AE895" s="73"/>
      <c r="AF895" s="74">
        <v>4.5555311271067884</v>
      </c>
      <c r="AG895" s="74">
        <v>4.7128679113685035</v>
      </c>
      <c r="AH895" s="73"/>
      <c r="AI895" s="72">
        <v>3931845.5229962002</v>
      </c>
      <c r="AJ895" s="72">
        <v>0</v>
      </c>
      <c r="AK895" s="73"/>
      <c r="AL895" s="74">
        <v>-1961.4750039875848</v>
      </c>
      <c r="AM895" s="74">
        <v>0</v>
      </c>
      <c r="AN895" s="73"/>
      <c r="AO895" s="72">
        <v>255773.72349348324</v>
      </c>
      <c r="AP895" s="72">
        <v>0</v>
      </c>
      <c r="AQ895" s="73"/>
      <c r="AR895" s="74">
        <v>-110.23919767468196</v>
      </c>
      <c r="AS895" s="74">
        <v>0</v>
      </c>
      <c r="AT895" s="73"/>
      <c r="AU895" s="72">
        <v>25260372.025198769</v>
      </c>
      <c r="AV895" s="72">
        <v>0</v>
      </c>
      <c r="AW895" s="73"/>
      <c r="AX895" s="74">
        <v>-2329.9896848298026</v>
      </c>
      <c r="AY895" s="74">
        <v>0</v>
      </c>
      <c r="AZ895" s="73"/>
      <c r="BA895" s="72">
        <v>316521.49998678232</v>
      </c>
      <c r="BB895" s="72">
        <v>0</v>
      </c>
      <c r="BC895" s="73"/>
      <c r="BD895" s="74">
        <v>-484.51910445771512</v>
      </c>
      <c r="BE895" s="74">
        <v>0</v>
      </c>
      <c r="BF895" s="73"/>
      <c r="BG895" s="72">
        <v>-1809262.5748419315</v>
      </c>
      <c r="BH895" s="72">
        <v>0</v>
      </c>
      <c r="BI895" s="73"/>
      <c r="BJ895" s="74">
        <v>-2533.9366241408288</v>
      </c>
      <c r="BK895" s="74">
        <v>0</v>
      </c>
      <c r="BL895" s="73"/>
      <c r="BM895" s="72">
        <v>27955250.196833305</v>
      </c>
      <c r="BN895" s="72">
        <v>0</v>
      </c>
      <c r="BO895" s="73"/>
      <c r="BP895" s="74">
        <v>-7420.1596150906134</v>
      </c>
      <c r="BQ895" s="74">
        <v>0</v>
      </c>
      <c r="BS895" s="109">
        <f t="shared" si="327"/>
        <v>117108.82809420351</v>
      </c>
      <c r="BT895" s="109">
        <f t="shared" si="328"/>
        <v>117510.15349323033</v>
      </c>
      <c r="BV895" s="58">
        <f t="array" ref="BV895">SUM(IF(BS895:BT895&gt;=BS895, 1))</f>
        <v>2</v>
      </c>
      <c r="BW895" s="58">
        <f t="array" ref="BW895">SUM(IF(BS895:BT895&gt;=BT895, 1))</f>
        <v>1</v>
      </c>
      <c r="BY895" s="109">
        <f t="shared" si="329"/>
        <v>134823.24415560777</v>
      </c>
      <c r="BZ895" s="109">
        <f t="shared" si="330"/>
        <v>135183.21320512702</v>
      </c>
      <c r="CB895" s="58">
        <f t="array" ref="CB895">SUM(IF(BY895:BZ895&gt;=BY895, 1))</f>
        <v>2</v>
      </c>
      <c r="CC895" s="58">
        <f t="array" ref="CC895">SUM(IF(BY895:BZ895&gt;=BZ895, 1))</f>
        <v>1</v>
      </c>
      <c r="CE895" s="109">
        <f t="shared" si="331"/>
        <v>94329.806552905371</v>
      </c>
      <c r="CF895" s="109">
        <f t="shared" si="332"/>
        <v>97368.815299178677</v>
      </c>
      <c r="CH895" s="58">
        <f t="array" ref="CH895">SUM(IF(CE895:CF895&gt;=CE895, 1))</f>
        <v>2</v>
      </c>
      <c r="CI895" s="58">
        <f t="array" ref="CI895">SUM(IF(CE895:CF895&gt;=CF895, 1))</f>
        <v>1</v>
      </c>
      <c r="CK895" s="109">
        <f t="shared" si="333"/>
        <v>47697.140543308516</v>
      </c>
      <c r="CL895" s="109">
        <f t="shared" si="334"/>
        <v>48798.087436074296</v>
      </c>
      <c r="CN895" s="58">
        <f t="array" ref="CN895">SUM(IF(CK895:CL895&gt;=CK895, 1))</f>
        <v>2</v>
      </c>
      <c r="CO895" s="58">
        <f t="array" ref="CO895">SUM(IF(CK895:CL895&gt;=CL895, 1))</f>
        <v>1</v>
      </c>
      <c r="CQ895" s="109" cm="1">
        <f t="array" ref="CQ895">AF895*WTP-AC895</f>
        <v>42266.352391882006</v>
      </c>
      <c r="CR895" s="109">
        <f t="shared" si="335"/>
        <v>45300.747637067929</v>
      </c>
      <c r="CT895" s="58">
        <f t="array" ref="CT895">SUM(IF(CQ895:CR895&gt;=CQ895, 1))</f>
        <v>2</v>
      </c>
      <c r="CU895" s="58">
        <f t="array" ref="CU895">SUM(IF(CQ895:CR895&gt;=CR895, 1))</f>
        <v>1</v>
      </c>
      <c r="CW895" s="109">
        <f t="shared" si="336"/>
        <v>-43161345.602747902</v>
      </c>
      <c r="CX895" s="109">
        <f t="shared" si="337"/>
        <v>0</v>
      </c>
      <c r="CZ895" s="58">
        <f t="array" ref="CZ895">SUM(IF(CW895:CX895&gt;=CW895, 1))</f>
        <v>2</v>
      </c>
      <c r="DA895" s="58">
        <f t="array" ref="DA895">SUM(IF(CW895:CX895&gt;=CX895, 1))</f>
        <v>1</v>
      </c>
      <c r="DC895" s="109">
        <f t="shared" si="338"/>
        <v>-2460557.6769871227</v>
      </c>
      <c r="DD895" s="109">
        <f t="shared" si="339"/>
        <v>0</v>
      </c>
      <c r="DF895" s="58">
        <f t="array" ref="DF895">SUM(IF(DC895:DD895&gt;=DC895, 1))</f>
        <v>2</v>
      </c>
      <c r="DG895" s="58">
        <f t="array" ref="DG895">SUM(IF(DC895:DD895&gt;=DD895, 1))</f>
        <v>1</v>
      </c>
      <c r="DI895" s="109">
        <f t="shared" si="340"/>
        <v>-71860165.721794829</v>
      </c>
      <c r="DJ895" s="109">
        <f t="shared" si="341"/>
        <v>0</v>
      </c>
      <c r="DL895" s="58">
        <f t="array" ref="DL895">SUM(IF(DI895:DJ895&gt;=DI895, 1))</f>
        <v>2</v>
      </c>
      <c r="DM895" s="58">
        <f t="array" ref="DM895">SUM(IF(DI895:DJ895&gt;=DJ895, 1))</f>
        <v>1</v>
      </c>
      <c r="DO895" s="109">
        <f t="shared" si="342"/>
        <v>-10006903.589141086</v>
      </c>
      <c r="DP895" s="109">
        <f t="shared" si="343"/>
        <v>0</v>
      </c>
      <c r="DR895" s="58">
        <f t="array" ref="DR895">SUM(IF(DO895:DP895&gt;=DO895, 1))</f>
        <v>2</v>
      </c>
      <c r="DS895" s="58">
        <f t="array" ref="DS895">SUM(IF(DO895:DP895&gt;=DP895, 1))</f>
        <v>1</v>
      </c>
      <c r="DU895" s="109">
        <f t="shared" si="344"/>
        <v>-48869469.907974645</v>
      </c>
      <c r="DV895" s="109">
        <f t="shared" si="345"/>
        <v>0</v>
      </c>
      <c r="DX895" s="58">
        <f t="array" ref="DX895">SUM(IF(DU895:DV895&gt;=DU895, 1))</f>
        <v>2</v>
      </c>
      <c r="DY895" s="58">
        <f t="array" ref="DY895">SUM(IF(DU895:DV895&gt;=DV895, 1))</f>
        <v>1</v>
      </c>
      <c r="EA895" s="109">
        <f t="shared" si="346"/>
        <v>-176358442.49864557</v>
      </c>
      <c r="EB895" s="109">
        <f t="shared" si="347"/>
        <v>0</v>
      </c>
      <c r="ED895" s="58">
        <f t="array" ref="ED895">SUM(IF(EA895:EB895&gt;=EA895, 1))</f>
        <v>2</v>
      </c>
      <c r="EE895" s="58">
        <f t="array" ref="EE895">SUM(IF(EA895:EB895&gt;=EB895, 1))</f>
        <v>1</v>
      </c>
    </row>
    <row r="896" spans="4:135" ht="12" customHeight="1" x14ac:dyDescent="0.25">
      <c r="D896" s="11">
        <v>880</v>
      </c>
      <c r="E896" s="72">
        <v>258.85383174293059</v>
      </c>
      <c r="F896" s="72">
        <v>243.67037449765488</v>
      </c>
      <c r="G896" s="73"/>
      <c r="H896" s="74">
        <v>5.8202572493856817</v>
      </c>
      <c r="I896" s="74">
        <v>5.832432097932001</v>
      </c>
      <c r="J896" s="73"/>
      <c r="K896" s="72">
        <v>278.32969614530708</v>
      </c>
      <c r="L896" s="72">
        <v>262.75748860399034</v>
      </c>
      <c r="M896" s="73"/>
      <c r="N896" s="74">
        <v>6.6386626048052193</v>
      </c>
      <c r="O896" s="74">
        <v>6.6486121381824868</v>
      </c>
      <c r="P896" s="73"/>
      <c r="Q896" s="72">
        <v>2445.6651213610967</v>
      </c>
      <c r="R896" s="72">
        <v>1297.9692869542444</v>
      </c>
      <c r="S896" s="73"/>
      <c r="T896" s="74">
        <v>4.7142827019027242</v>
      </c>
      <c r="U896" s="74">
        <v>4.7879560107604497</v>
      </c>
      <c r="V896" s="73"/>
      <c r="W896" s="72">
        <v>7108.285959501969</v>
      </c>
      <c r="X896" s="72">
        <v>7098.2746884655407</v>
      </c>
      <c r="Y896" s="73"/>
      <c r="Z896" s="74">
        <v>2.8481796960158139</v>
      </c>
      <c r="AA896" s="74">
        <v>2.8934516952818559</v>
      </c>
      <c r="AB896" s="73"/>
      <c r="AC896" s="72">
        <v>51731.042609237091</v>
      </c>
      <c r="AD896" s="72">
        <v>51461.115600237157</v>
      </c>
      <c r="AE896" s="73"/>
      <c r="AF896" s="74">
        <v>4.1204183294773209</v>
      </c>
      <c r="AG896" s="74">
        <v>4.2548775159558341</v>
      </c>
      <c r="AH896" s="73"/>
      <c r="AI896" s="72">
        <v>1639977.7017353163</v>
      </c>
      <c r="AJ896" s="72">
        <v>0</v>
      </c>
      <c r="AK896" s="73"/>
      <c r="AL896" s="74">
        <v>-1315.0154023176012</v>
      </c>
      <c r="AM896" s="74">
        <v>0</v>
      </c>
      <c r="AN896" s="73"/>
      <c r="AO896" s="72">
        <v>101362.71555716509</v>
      </c>
      <c r="AP896" s="72">
        <v>0</v>
      </c>
      <c r="AQ896" s="73"/>
      <c r="AR896" s="74">
        <v>-64.763567976515915</v>
      </c>
      <c r="AS896" s="74">
        <v>0</v>
      </c>
      <c r="AT896" s="73"/>
      <c r="AU896" s="72">
        <v>26676176.573021665</v>
      </c>
      <c r="AV896" s="72">
        <v>0</v>
      </c>
      <c r="AW896" s="73"/>
      <c r="AX896" s="74">
        <v>-1712.4068388931257</v>
      </c>
      <c r="AY896" s="74">
        <v>0</v>
      </c>
      <c r="AZ896" s="73"/>
      <c r="BA896" s="72">
        <v>89986.328044454101</v>
      </c>
      <c r="BB896" s="72">
        <v>0</v>
      </c>
      <c r="BC896" s="73"/>
      <c r="BD896" s="74">
        <v>-406.9274483088775</v>
      </c>
      <c r="BE896" s="74">
        <v>0</v>
      </c>
      <c r="BF896" s="73"/>
      <c r="BG896" s="72">
        <v>4349813.4054787541</v>
      </c>
      <c r="BH896" s="72">
        <v>0</v>
      </c>
      <c r="BI896" s="73"/>
      <c r="BJ896" s="74">
        <v>-2166.779730568378</v>
      </c>
      <c r="BK896" s="74">
        <v>0</v>
      </c>
      <c r="BL896" s="73"/>
      <c r="BM896" s="72">
        <v>32857316.723837357</v>
      </c>
      <c r="BN896" s="72">
        <v>0</v>
      </c>
      <c r="BO896" s="73"/>
      <c r="BP896" s="74">
        <v>-5665.8929880644982</v>
      </c>
      <c r="BQ896" s="74">
        <v>0</v>
      </c>
      <c r="BS896" s="109">
        <f t="shared" si="327"/>
        <v>116146.2911559707</v>
      </c>
      <c r="BT896" s="109">
        <f t="shared" si="328"/>
        <v>116404.97158414236</v>
      </c>
      <c r="BV896" s="58">
        <f t="array" ref="BV896">SUM(IF(BS896:BT896&gt;=BS896, 1))</f>
        <v>2</v>
      </c>
      <c r="BW896" s="58">
        <f t="array" ref="BW896">SUM(IF(BS896:BT896&gt;=BT896, 1))</f>
        <v>1</v>
      </c>
      <c r="BY896" s="109">
        <f t="shared" si="329"/>
        <v>132494.92239995906</v>
      </c>
      <c r="BZ896" s="109">
        <f t="shared" si="330"/>
        <v>132709.48527504574</v>
      </c>
      <c r="CB896" s="58">
        <f t="array" ref="CB896">SUM(IF(BY896:BZ896&gt;=BY896, 1))</f>
        <v>2</v>
      </c>
      <c r="CC896" s="58">
        <f t="array" ref="CC896">SUM(IF(BY896:BZ896&gt;=BZ896, 1))</f>
        <v>1</v>
      </c>
      <c r="CE896" s="109">
        <f t="shared" si="331"/>
        <v>91839.988916693401</v>
      </c>
      <c r="CF896" s="109">
        <f t="shared" si="332"/>
        <v>94461.150928254749</v>
      </c>
      <c r="CH896" s="58">
        <f t="array" ref="CH896">SUM(IF(CE896:CF896&gt;=CE896, 1))</f>
        <v>2</v>
      </c>
      <c r="CI896" s="58">
        <f t="array" ref="CI896">SUM(IF(CE896:CF896&gt;=CF896, 1))</f>
        <v>1</v>
      </c>
      <c r="CK896" s="109">
        <f t="shared" si="333"/>
        <v>49855.307960814309</v>
      </c>
      <c r="CL896" s="109">
        <f t="shared" si="334"/>
        <v>50770.759217171573</v>
      </c>
      <c r="CN896" s="58">
        <f t="array" ref="CN896">SUM(IF(CK896:CL896&gt;=CK896, 1))</f>
        <v>2</v>
      </c>
      <c r="CO896" s="58">
        <f t="array" ref="CO896">SUM(IF(CK896:CL896&gt;=CL896, 1))</f>
        <v>1</v>
      </c>
      <c r="CQ896" s="109" cm="1">
        <f t="array" ref="CQ896">AF896*WTP-AC896</f>
        <v>30677.323980309331</v>
      </c>
      <c r="CR896" s="109">
        <f t="shared" si="335"/>
        <v>33636.434718879522</v>
      </c>
      <c r="CT896" s="58">
        <f t="array" ref="CT896">SUM(IF(CQ896:CR896&gt;=CQ896, 1))</f>
        <v>2</v>
      </c>
      <c r="CU896" s="58">
        <f t="array" ref="CU896">SUM(IF(CQ896:CR896&gt;=CR896, 1))</f>
        <v>1</v>
      </c>
      <c r="CW896" s="109">
        <f t="shared" si="336"/>
        <v>-27940285.748087343</v>
      </c>
      <c r="CX896" s="109">
        <f t="shared" si="337"/>
        <v>0</v>
      </c>
      <c r="CZ896" s="58">
        <f t="array" ref="CZ896">SUM(IF(CW896:CX896&gt;=CW896, 1))</f>
        <v>2</v>
      </c>
      <c r="DA896" s="58">
        <f t="array" ref="DA896">SUM(IF(CW896:CX896&gt;=CX896, 1))</f>
        <v>1</v>
      </c>
      <c r="DC896" s="109">
        <f t="shared" si="338"/>
        <v>-1396634.0750874835</v>
      </c>
      <c r="DD896" s="109">
        <f t="shared" si="339"/>
        <v>0</v>
      </c>
      <c r="DF896" s="58">
        <f t="array" ref="DF896">SUM(IF(DC896:DD896&gt;=DC896, 1))</f>
        <v>2</v>
      </c>
      <c r="DG896" s="58">
        <f t="array" ref="DG896">SUM(IF(DC896:DD896&gt;=DD896, 1))</f>
        <v>1</v>
      </c>
      <c r="DI896" s="109">
        <f t="shared" si="340"/>
        <v>-60924313.350884177</v>
      </c>
      <c r="DJ896" s="109">
        <f t="shared" si="341"/>
        <v>0</v>
      </c>
      <c r="DL896" s="58">
        <f t="array" ref="DL896">SUM(IF(DI896:DJ896&gt;=DI896, 1))</f>
        <v>2</v>
      </c>
      <c r="DM896" s="58">
        <f t="array" ref="DM896">SUM(IF(DI896:DJ896&gt;=DJ896, 1))</f>
        <v>1</v>
      </c>
      <c r="DO896" s="109">
        <f t="shared" si="342"/>
        <v>-8228535.2942220047</v>
      </c>
      <c r="DP896" s="109">
        <f t="shared" si="343"/>
        <v>0</v>
      </c>
      <c r="DR896" s="58">
        <f t="array" ref="DR896">SUM(IF(DO896:DP896&gt;=DO896, 1))</f>
        <v>2</v>
      </c>
      <c r="DS896" s="58">
        <f t="array" ref="DS896">SUM(IF(DO896:DP896&gt;=DP896, 1))</f>
        <v>1</v>
      </c>
      <c r="DU896" s="109">
        <f t="shared" si="344"/>
        <v>-47685408.016846314</v>
      </c>
      <c r="DV896" s="109">
        <f t="shared" si="345"/>
        <v>0</v>
      </c>
      <c r="DX896" s="58">
        <f t="array" ref="DX896">SUM(IF(DU896:DV896&gt;=DU896, 1))</f>
        <v>2</v>
      </c>
      <c r="DY896" s="58">
        <f t="array" ref="DY896">SUM(IF(DU896:DV896&gt;=DV896, 1))</f>
        <v>1</v>
      </c>
      <c r="EA896" s="109">
        <f t="shared" si="346"/>
        <v>-146175176.48512733</v>
      </c>
      <c r="EB896" s="109">
        <f t="shared" si="347"/>
        <v>0</v>
      </c>
      <c r="ED896" s="58">
        <f t="array" ref="ED896">SUM(IF(EA896:EB896&gt;=EA896, 1))</f>
        <v>2</v>
      </c>
      <c r="EE896" s="58">
        <f t="array" ref="EE896">SUM(IF(EA896:EB896&gt;=EB896, 1))</f>
        <v>1</v>
      </c>
    </row>
    <row r="897" spans="4:135" ht="12" customHeight="1" x14ac:dyDescent="0.25">
      <c r="D897" s="11">
        <v>881</v>
      </c>
      <c r="E897" s="72">
        <v>251.73506163600777</v>
      </c>
      <c r="F897" s="72">
        <v>227.53226083433043</v>
      </c>
      <c r="G897" s="73"/>
      <c r="H897" s="74">
        <v>5.8365279018383607</v>
      </c>
      <c r="I897" s="74">
        <v>5.8504689414238245</v>
      </c>
      <c r="J897" s="73"/>
      <c r="K897" s="72">
        <v>270.06182794906368</v>
      </c>
      <c r="L897" s="72">
        <v>245.26353568352312</v>
      </c>
      <c r="M897" s="73"/>
      <c r="N897" s="74">
        <v>6.733154296389837</v>
      </c>
      <c r="O897" s="74">
        <v>6.7446818408451588</v>
      </c>
      <c r="P897" s="73"/>
      <c r="Q897" s="72">
        <v>2454.5997314912338</v>
      </c>
      <c r="R897" s="72">
        <v>1087.1280121576888</v>
      </c>
      <c r="S897" s="73"/>
      <c r="T897" s="74">
        <v>4.823892108858459</v>
      </c>
      <c r="U897" s="74">
        <v>4.9674465433228194</v>
      </c>
      <c r="V897" s="73"/>
      <c r="W897" s="72">
        <v>12382.285682906831</v>
      </c>
      <c r="X897" s="72">
        <v>12332.077494682948</v>
      </c>
      <c r="Y897" s="73"/>
      <c r="Z897" s="74">
        <v>2.9367482382507042</v>
      </c>
      <c r="AA897" s="74">
        <v>2.9871094457969667</v>
      </c>
      <c r="AB897" s="73"/>
      <c r="AC897" s="72">
        <v>51528.622470267204</v>
      </c>
      <c r="AD897" s="72">
        <v>51338.853150381539</v>
      </c>
      <c r="AE897" s="73"/>
      <c r="AF897" s="74">
        <v>4.7906378274386761</v>
      </c>
      <c r="AG897" s="74">
        <v>4.8996873443353461</v>
      </c>
      <c r="AH897" s="73"/>
      <c r="AI897" s="72">
        <v>2610141.1470150356</v>
      </c>
      <c r="AJ897" s="72">
        <v>0</v>
      </c>
      <c r="AK897" s="73"/>
      <c r="AL897" s="74">
        <v>-1503.4657084672042</v>
      </c>
      <c r="AM897" s="74">
        <v>0</v>
      </c>
      <c r="AN897" s="73"/>
      <c r="AO897" s="72">
        <v>169474.18053730391</v>
      </c>
      <c r="AP897" s="72">
        <v>0</v>
      </c>
      <c r="AQ897" s="73"/>
      <c r="AR897" s="74">
        <v>-78.780471221711124</v>
      </c>
      <c r="AS897" s="74">
        <v>0</v>
      </c>
      <c r="AT897" s="73"/>
      <c r="AU897" s="72">
        <v>31559900.986817375</v>
      </c>
      <c r="AV897" s="72">
        <v>0</v>
      </c>
      <c r="AW897" s="73"/>
      <c r="AX897" s="74">
        <v>-3313.0950160503562</v>
      </c>
      <c r="AY897" s="74">
        <v>0</v>
      </c>
      <c r="AZ897" s="73"/>
      <c r="BA897" s="72">
        <v>464956.53673563764</v>
      </c>
      <c r="BB897" s="72">
        <v>0</v>
      </c>
      <c r="BC897" s="73"/>
      <c r="BD897" s="74">
        <v>-466.37358317176268</v>
      </c>
      <c r="BE897" s="74">
        <v>0</v>
      </c>
      <c r="BF897" s="73"/>
      <c r="BG897" s="72">
        <v>2904456.9870373444</v>
      </c>
      <c r="BH897" s="72">
        <v>0</v>
      </c>
      <c r="BI897" s="73"/>
      <c r="BJ897" s="74">
        <v>-1669.0244317385352</v>
      </c>
      <c r="BK897" s="74">
        <v>0</v>
      </c>
      <c r="BL897" s="73"/>
      <c r="BM897" s="72">
        <v>37708929.8381427</v>
      </c>
      <c r="BN897" s="72">
        <v>0</v>
      </c>
      <c r="BO897" s="73"/>
      <c r="BP897" s="74">
        <v>-7030.7392106495699</v>
      </c>
      <c r="BQ897" s="74">
        <v>0</v>
      </c>
      <c r="BS897" s="109">
        <f t="shared" si="327"/>
        <v>116478.8229751312</v>
      </c>
      <c r="BT897" s="109">
        <f t="shared" si="328"/>
        <v>116781.84656764216</v>
      </c>
      <c r="BV897" s="58">
        <f t="array" ref="BV897">SUM(IF(BS897:BT897&gt;=BS897, 1))</f>
        <v>2</v>
      </c>
      <c r="BW897" s="58">
        <f t="array" ref="BW897">SUM(IF(BS897:BT897&gt;=BT897, 1))</f>
        <v>1</v>
      </c>
      <c r="BY897" s="109">
        <f t="shared" si="329"/>
        <v>134393.02409984768</v>
      </c>
      <c r="BZ897" s="109">
        <f t="shared" si="330"/>
        <v>134648.37328121965</v>
      </c>
      <c r="CB897" s="58">
        <f t="array" ref="CB897">SUM(IF(BY897:BZ897&gt;=BY897, 1))</f>
        <v>2</v>
      </c>
      <c r="CC897" s="58">
        <f t="array" ref="CC897">SUM(IF(BY897:BZ897&gt;=BZ897, 1))</f>
        <v>1</v>
      </c>
      <c r="CE897" s="109">
        <f t="shared" si="331"/>
        <v>94023.242445677941</v>
      </c>
      <c r="CF897" s="109">
        <f t="shared" si="332"/>
        <v>98261.802854298701</v>
      </c>
      <c r="CH897" s="58">
        <f t="array" ref="CH897">SUM(IF(CE897:CF897&gt;=CE897, 1))</f>
        <v>2</v>
      </c>
      <c r="CI897" s="58">
        <f t="array" ref="CI897">SUM(IF(CE897:CF897&gt;=CF897, 1))</f>
        <v>1</v>
      </c>
      <c r="CK897" s="109">
        <f t="shared" si="333"/>
        <v>46352.67908210725</v>
      </c>
      <c r="CL897" s="109">
        <f t="shared" si="334"/>
        <v>47410.111421256384</v>
      </c>
      <c r="CN897" s="58">
        <f t="array" ref="CN897">SUM(IF(CK897:CL897&gt;=CK897, 1))</f>
        <v>2</v>
      </c>
      <c r="CO897" s="58">
        <f t="array" ref="CO897">SUM(IF(CK897:CL897&gt;=CL897, 1))</f>
        <v>1</v>
      </c>
      <c r="CQ897" s="109" cm="1">
        <f t="array" ref="CQ897">AF897*WTP-AC897</f>
        <v>44284.134078506322</v>
      </c>
      <c r="CR897" s="109">
        <f t="shared" si="335"/>
        <v>46654.893736325386</v>
      </c>
      <c r="CT897" s="58">
        <f t="array" ref="CT897">SUM(IF(CQ897:CR897&gt;=CQ897, 1))</f>
        <v>2</v>
      </c>
      <c r="CU897" s="58">
        <f t="array" ref="CU897">SUM(IF(CQ897:CR897&gt;=CR897, 1))</f>
        <v>1</v>
      </c>
      <c r="CW897" s="109">
        <f t="shared" si="336"/>
        <v>-32679455.316359118</v>
      </c>
      <c r="CX897" s="109">
        <f t="shared" si="337"/>
        <v>0</v>
      </c>
      <c r="CZ897" s="58">
        <f t="array" ref="CZ897">SUM(IF(CW897:CX897&gt;=CW897, 1))</f>
        <v>2</v>
      </c>
      <c r="DA897" s="58">
        <f t="array" ref="DA897">SUM(IF(CW897:CX897&gt;=CX897, 1))</f>
        <v>1</v>
      </c>
      <c r="DC897" s="109">
        <f t="shared" si="338"/>
        <v>-1745083.6049715264</v>
      </c>
      <c r="DD897" s="109">
        <f t="shared" si="339"/>
        <v>0</v>
      </c>
      <c r="DF897" s="58">
        <f t="array" ref="DF897">SUM(IF(DC897:DD897&gt;=DC897, 1))</f>
        <v>2</v>
      </c>
      <c r="DG897" s="58">
        <f t="array" ref="DG897">SUM(IF(DC897:DD897&gt;=DD897, 1))</f>
        <v>1</v>
      </c>
      <c r="DI897" s="109">
        <f t="shared" si="340"/>
        <v>-97821801.307824492</v>
      </c>
      <c r="DJ897" s="109">
        <f t="shared" si="341"/>
        <v>0</v>
      </c>
      <c r="DL897" s="58">
        <f t="array" ref="DL897">SUM(IF(DI897:DJ897&gt;=DI897, 1))</f>
        <v>2</v>
      </c>
      <c r="DM897" s="58">
        <f t="array" ref="DM897">SUM(IF(DI897:DJ897&gt;=DJ897, 1))</f>
        <v>1</v>
      </c>
      <c r="DO897" s="109">
        <f t="shared" si="342"/>
        <v>-9792428.2001708914</v>
      </c>
      <c r="DP897" s="109">
        <f t="shared" si="343"/>
        <v>0</v>
      </c>
      <c r="DR897" s="58">
        <f t="array" ref="DR897">SUM(IF(DO897:DP897&gt;=DO897, 1))</f>
        <v>2</v>
      </c>
      <c r="DS897" s="58">
        <f t="array" ref="DS897">SUM(IF(DO897:DP897&gt;=DP897, 1))</f>
        <v>1</v>
      </c>
      <c r="DU897" s="109">
        <f t="shared" si="344"/>
        <v>-36284945.621808045</v>
      </c>
      <c r="DV897" s="109">
        <f t="shared" si="345"/>
        <v>0</v>
      </c>
      <c r="DX897" s="58">
        <f t="array" ref="DX897">SUM(IF(DU897:DV897&gt;=DU897, 1))</f>
        <v>2</v>
      </c>
      <c r="DY897" s="58">
        <f t="array" ref="DY897">SUM(IF(DU897:DV897&gt;=DV897, 1))</f>
        <v>1</v>
      </c>
      <c r="EA897" s="109">
        <f t="shared" si="346"/>
        <v>-178323714.05113408</v>
      </c>
      <c r="EB897" s="109">
        <f t="shared" si="347"/>
        <v>0</v>
      </c>
      <c r="ED897" s="58">
        <f t="array" ref="ED897">SUM(IF(EA897:EB897&gt;=EA897, 1))</f>
        <v>2</v>
      </c>
      <c r="EE897" s="58">
        <f t="array" ref="EE897">SUM(IF(EA897:EB897&gt;=EB897, 1))</f>
        <v>1</v>
      </c>
    </row>
    <row r="898" spans="4:135" ht="12" customHeight="1" x14ac:dyDescent="0.25">
      <c r="D898" s="11">
        <v>882</v>
      </c>
      <c r="E898" s="72">
        <v>288.00556108348962</v>
      </c>
      <c r="F898" s="72">
        <v>261.76207514742867</v>
      </c>
      <c r="G898" s="73"/>
      <c r="H898" s="74">
        <v>5.9100342090256719</v>
      </c>
      <c r="I898" s="74">
        <v>5.9255501178060701</v>
      </c>
      <c r="J898" s="73"/>
      <c r="K898" s="72">
        <v>309.12946450894464</v>
      </c>
      <c r="L898" s="72">
        <v>282.24401248977864</v>
      </c>
      <c r="M898" s="73"/>
      <c r="N898" s="74">
        <v>6.7335658912951182</v>
      </c>
      <c r="O898" s="74">
        <v>6.7470535415543527</v>
      </c>
      <c r="P898" s="73"/>
      <c r="Q898" s="72">
        <v>1910.8737657358604</v>
      </c>
      <c r="R898" s="72">
        <v>984.85826131275007</v>
      </c>
      <c r="S898" s="73"/>
      <c r="T898" s="74">
        <v>4.8165377234779427</v>
      </c>
      <c r="U898" s="74">
        <v>4.9464798954805369</v>
      </c>
      <c r="V898" s="73"/>
      <c r="W898" s="72">
        <v>19301.23718337189</v>
      </c>
      <c r="X898" s="72">
        <v>19267.407251390876</v>
      </c>
      <c r="Y898" s="73"/>
      <c r="Z898" s="74">
        <v>3.0511585246816462</v>
      </c>
      <c r="AA898" s="74">
        <v>3.0970464174951631</v>
      </c>
      <c r="AB898" s="73"/>
      <c r="AC898" s="72">
        <v>49539.353026580102</v>
      </c>
      <c r="AD898" s="72">
        <v>49280.445563996385</v>
      </c>
      <c r="AE898" s="73"/>
      <c r="AF898" s="74">
        <v>4.3251200220210055</v>
      </c>
      <c r="AG898" s="74">
        <v>4.4656358630510553</v>
      </c>
      <c r="AH898" s="73"/>
      <c r="AI898" s="72">
        <v>2862651.8045906243</v>
      </c>
      <c r="AJ898" s="72">
        <v>0</v>
      </c>
      <c r="AK898" s="73"/>
      <c r="AL898" s="74">
        <v>-1692.4826365783185</v>
      </c>
      <c r="AM898" s="74">
        <v>0</v>
      </c>
      <c r="AN898" s="73"/>
      <c r="AO898" s="72">
        <v>183558.48446604965</v>
      </c>
      <c r="AP898" s="72">
        <v>0</v>
      </c>
      <c r="AQ898" s="73"/>
      <c r="AR898" s="74">
        <v>-92.085959307222524</v>
      </c>
      <c r="AS898" s="74">
        <v>0</v>
      </c>
      <c r="AT898" s="73"/>
      <c r="AU898" s="72">
        <v>21087374.892898548</v>
      </c>
      <c r="AV898" s="72">
        <v>0</v>
      </c>
      <c r="AW898" s="73"/>
      <c r="AX898" s="74">
        <v>-2959.0641650468506</v>
      </c>
      <c r="AY898" s="74">
        <v>0</v>
      </c>
      <c r="AZ898" s="73"/>
      <c r="BA898" s="72">
        <v>301182.32168134564</v>
      </c>
      <c r="BB898" s="72">
        <v>0</v>
      </c>
      <c r="BC898" s="73"/>
      <c r="BD898" s="74">
        <v>-408.53236425057486</v>
      </c>
      <c r="BE898" s="74">
        <v>0</v>
      </c>
      <c r="BF898" s="73"/>
      <c r="BG898" s="72">
        <v>4132350.3175988486</v>
      </c>
      <c r="BH898" s="72">
        <v>0</v>
      </c>
      <c r="BI898" s="73"/>
      <c r="BJ898" s="74">
        <v>-2242.7344291802387</v>
      </c>
      <c r="BK898" s="74">
        <v>0</v>
      </c>
      <c r="BL898" s="73"/>
      <c r="BM898" s="72">
        <v>28567117.821235418</v>
      </c>
      <c r="BN898" s="72">
        <v>0</v>
      </c>
      <c r="BO898" s="73"/>
      <c r="BP898" s="74">
        <v>-7394.8995543632045</v>
      </c>
      <c r="BQ898" s="74">
        <v>0</v>
      </c>
      <c r="BS898" s="109">
        <f t="shared" si="327"/>
        <v>117912.67861942995</v>
      </c>
      <c r="BT898" s="109">
        <f t="shared" si="328"/>
        <v>118249.24028097397</v>
      </c>
      <c r="BV898" s="58">
        <f t="array" ref="BV898">SUM(IF(BS898:BT898&gt;=BS898, 1))</f>
        <v>2</v>
      </c>
      <c r="BW898" s="58">
        <f t="array" ref="BW898">SUM(IF(BS898:BT898&gt;=BT898, 1))</f>
        <v>1</v>
      </c>
      <c r="BY898" s="109">
        <f t="shared" si="329"/>
        <v>134362.18836139343</v>
      </c>
      <c r="BZ898" s="109">
        <f t="shared" si="330"/>
        <v>134658.82681859727</v>
      </c>
      <c r="CB898" s="58">
        <f t="array" ref="CB898">SUM(IF(BY898:BZ898&gt;=BY898, 1))</f>
        <v>2</v>
      </c>
      <c r="CC898" s="58">
        <f t="array" ref="CC898">SUM(IF(BY898:BZ898&gt;=BZ898, 1))</f>
        <v>1</v>
      </c>
      <c r="CE898" s="109">
        <f t="shared" si="331"/>
        <v>94419.880703823001</v>
      </c>
      <c r="CF898" s="109">
        <f t="shared" si="332"/>
        <v>97944.739648297982</v>
      </c>
      <c r="CH898" s="58">
        <f t="array" ref="CH898">SUM(IF(CE898:CF898&gt;=CE898, 1))</f>
        <v>2</v>
      </c>
      <c r="CI898" s="58">
        <f t="array" ref="CI898">SUM(IF(CE898:CF898&gt;=CF898, 1))</f>
        <v>1</v>
      </c>
      <c r="CK898" s="109">
        <f t="shared" si="333"/>
        <v>41721.93331026104</v>
      </c>
      <c r="CL898" s="109">
        <f t="shared" si="334"/>
        <v>42673.521098512385</v>
      </c>
      <c r="CN898" s="58">
        <f t="array" ref="CN898">SUM(IF(CK898:CL898&gt;=CK898, 1))</f>
        <v>2</v>
      </c>
      <c r="CO898" s="58">
        <f t="array" ref="CO898">SUM(IF(CK898:CL898&gt;=CL898, 1))</f>
        <v>1</v>
      </c>
      <c r="CQ898" s="109" cm="1">
        <f t="array" ref="CQ898">AF898*WTP-AC898</f>
        <v>36963.04741384001</v>
      </c>
      <c r="CR898" s="109">
        <f t="shared" si="335"/>
        <v>40032.271697024727</v>
      </c>
      <c r="CT898" s="58">
        <f t="array" ref="CT898">SUM(IF(CQ898:CR898&gt;=CQ898, 1))</f>
        <v>2</v>
      </c>
      <c r="CU898" s="58">
        <f t="array" ref="CU898">SUM(IF(CQ898:CR898&gt;=CR898, 1))</f>
        <v>1</v>
      </c>
      <c r="CW898" s="109">
        <f t="shared" si="336"/>
        <v>-36712304.536156997</v>
      </c>
      <c r="CX898" s="109">
        <f t="shared" si="337"/>
        <v>0</v>
      </c>
      <c r="CZ898" s="58">
        <f t="array" ref="CZ898">SUM(IF(CW898:CX898&gt;=CW898, 1))</f>
        <v>2</v>
      </c>
      <c r="DA898" s="58">
        <f t="array" ref="DA898">SUM(IF(CW898:CX898&gt;=CX898, 1))</f>
        <v>1</v>
      </c>
      <c r="DC898" s="109">
        <f t="shared" si="338"/>
        <v>-2025277.6706105</v>
      </c>
      <c r="DD898" s="109">
        <f t="shared" si="339"/>
        <v>0</v>
      </c>
      <c r="DF898" s="58">
        <f t="array" ref="DF898">SUM(IF(DC898:DD898&gt;=DC898, 1))</f>
        <v>2</v>
      </c>
      <c r="DG898" s="58">
        <f t="array" ref="DG898">SUM(IF(DC898:DD898&gt;=DD898, 1))</f>
        <v>1</v>
      </c>
      <c r="DI898" s="109">
        <f t="shared" si="340"/>
        <v>-80268658.193835557</v>
      </c>
      <c r="DJ898" s="109">
        <f t="shared" si="341"/>
        <v>0</v>
      </c>
      <c r="DL898" s="58">
        <f t="array" ref="DL898">SUM(IF(DI898:DJ898&gt;=DI898, 1))</f>
        <v>2</v>
      </c>
      <c r="DM898" s="58">
        <f t="array" ref="DM898">SUM(IF(DI898:DJ898&gt;=DJ898, 1))</f>
        <v>1</v>
      </c>
      <c r="DO898" s="109">
        <f t="shared" si="342"/>
        <v>-8471829.6066928431</v>
      </c>
      <c r="DP898" s="109">
        <f t="shared" si="343"/>
        <v>0</v>
      </c>
      <c r="DR898" s="58">
        <f t="array" ref="DR898">SUM(IF(DO898:DP898&gt;=DO898, 1))</f>
        <v>2</v>
      </c>
      <c r="DS898" s="58">
        <f t="array" ref="DS898">SUM(IF(DO898:DP898&gt;=DP898, 1))</f>
        <v>1</v>
      </c>
      <c r="DU898" s="109">
        <f t="shared" si="344"/>
        <v>-48987038.901203625</v>
      </c>
      <c r="DV898" s="109">
        <f t="shared" si="345"/>
        <v>0</v>
      </c>
      <c r="DX898" s="58">
        <f t="array" ref="DX898">SUM(IF(DU898:DV898&gt;=DU898, 1))</f>
        <v>2</v>
      </c>
      <c r="DY898" s="58">
        <f t="array" ref="DY898">SUM(IF(DU898:DV898&gt;=DV898, 1))</f>
        <v>1</v>
      </c>
      <c r="EA898" s="109">
        <f t="shared" si="346"/>
        <v>-176465108.90849951</v>
      </c>
      <c r="EB898" s="109">
        <f t="shared" si="347"/>
        <v>0</v>
      </c>
      <c r="ED898" s="58">
        <f t="array" ref="ED898">SUM(IF(EA898:EB898&gt;=EA898, 1))</f>
        <v>2</v>
      </c>
      <c r="EE898" s="58">
        <f t="array" ref="EE898">SUM(IF(EA898:EB898&gt;=EB898, 1))</f>
        <v>1</v>
      </c>
    </row>
    <row r="899" spans="4:135" ht="12" customHeight="1" x14ac:dyDescent="0.25">
      <c r="D899" s="11">
        <v>883</v>
      </c>
      <c r="E899" s="72">
        <v>260.71372458794127</v>
      </c>
      <c r="F899" s="72">
        <v>243.6040924345634</v>
      </c>
      <c r="G899" s="73"/>
      <c r="H899" s="74">
        <v>5.824486585806758</v>
      </c>
      <c r="I899" s="74">
        <v>5.8371337143833397</v>
      </c>
      <c r="J899" s="73"/>
      <c r="K899" s="72">
        <v>280.22676108120925</v>
      </c>
      <c r="L899" s="72">
        <v>262.68536575522654</v>
      </c>
      <c r="M899" s="73"/>
      <c r="N899" s="74">
        <v>6.6687228928688898</v>
      </c>
      <c r="O899" s="74">
        <v>6.6791771965963536</v>
      </c>
      <c r="P899" s="73"/>
      <c r="Q899" s="72">
        <v>3162.2379212419319</v>
      </c>
      <c r="R899" s="72">
        <v>1584.6787306736471</v>
      </c>
      <c r="S899" s="73"/>
      <c r="T899" s="74">
        <v>4.7898559055347683</v>
      </c>
      <c r="U899" s="74">
        <v>4.8950392481944949</v>
      </c>
      <c r="V899" s="73"/>
      <c r="W899" s="72">
        <v>13019.680895939915</v>
      </c>
      <c r="X899" s="72">
        <v>12947.715258970215</v>
      </c>
      <c r="Y899" s="73"/>
      <c r="Z899" s="74">
        <v>3.106928742714997</v>
      </c>
      <c r="AA899" s="74">
        <v>3.1412146514795625</v>
      </c>
      <c r="AB899" s="73"/>
      <c r="AC899" s="72">
        <v>50071.632282629245</v>
      </c>
      <c r="AD899" s="72">
        <v>49930.22924583713</v>
      </c>
      <c r="AE899" s="73"/>
      <c r="AF899" s="74">
        <v>4.739162623477724</v>
      </c>
      <c r="AG899" s="74">
        <v>4.8697190393701701</v>
      </c>
      <c r="AH899" s="73"/>
      <c r="AI899" s="72">
        <v>1832809.262317461</v>
      </c>
      <c r="AJ899" s="72">
        <v>0</v>
      </c>
      <c r="AK899" s="73"/>
      <c r="AL899" s="74">
        <v>-1354.7792371621779</v>
      </c>
      <c r="AM899" s="74">
        <v>0</v>
      </c>
      <c r="AN899" s="73"/>
      <c r="AO899" s="72">
        <v>124415.0503661566</v>
      </c>
      <c r="AP899" s="72">
        <v>0</v>
      </c>
      <c r="AQ899" s="73"/>
      <c r="AR899" s="74">
        <v>-74.14876072423516</v>
      </c>
      <c r="AS899" s="74">
        <v>0</v>
      </c>
      <c r="AT899" s="73"/>
      <c r="AU899" s="72">
        <v>36909119.239931233</v>
      </c>
      <c r="AV899" s="72">
        <v>0</v>
      </c>
      <c r="AW899" s="73"/>
      <c r="AX899" s="74">
        <v>-2460.9057837531282</v>
      </c>
      <c r="AY899" s="74">
        <v>0</v>
      </c>
      <c r="AZ899" s="73"/>
      <c r="BA899" s="72">
        <v>667912.31131376093</v>
      </c>
      <c r="BB899" s="72">
        <v>0</v>
      </c>
      <c r="BC899" s="73"/>
      <c r="BD899" s="74">
        <v>-318.20715459067242</v>
      </c>
      <c r="BE899" s="74">
        <v>0</v>
      </c>
      <c r="BF899" s="73"/>
      <c r="BG899" s="72">
        <v>2188227.292758944</v>
      </c>
      <c r="BH899" s="72">
        <v>0</v>
      </c>
      <c r="BI899" s="73"/>
      <c r="BJ899" s="74">
        <v>-2020.3746608401614</v>
      </c>
      <c r="BK899" s="74">
        <v>0</v>
      </c>
      <c r="BL899" s="73"/>
      <c r="BM899" s="72">
        <v>41722483.156687558</v>
      </c>
      <c r="BN899" s="72">
        <v>0</v>
      </c>
      <c r="BO899" s="73"/>
      <c r="BP899" s="74">
        <v>-6228.415597070376</v>
      </c>
      <c r="BQ899" s="74">
        <v>0</v>
      </c>
      <c r="BS899" s="109">
        <f t="shared" si="327"/>
        <v>116229.01799154723</v>
      </c>
      <c r="BT899" s="109">
        <f t="shared" si="328"/>
        <v>116499.07019523224</v>
      </c>
      <c r="BV899" s="58">
        <f t="array" ref="BV899">SUM(IF(BS899:BT899&gt;=BS899, 1))</f>
        <v>2</v>
      </c>
      <c r="BW899" s="58">
        <f t="array" ref="BW899">SUM(IF(BS899:BT899&gt;=BT899, 1))</f>
        <v>1</v>
      </c>
      <c r="BY899" s="109">
        <f t="shared" si="329"/>
        <v>133094.2310962966</v>
      </c>
      <c r="BZ899" s="109">
        <f t="shared" si="330"/>
        <v>133320.85856617184</v>
      </c>
      <c r="CB899" s="58">
        <f t="array" ref="CB899">SUM(IF(BY899:BZ899&gt;=BY899, 1))</f>
        <v>2</v>
      </c>
      <c r="CC899" s="58">
        <f t="array" ref="CC899">SUM(IF(BY899:BZ899&gt;=BZ899, 1))</f>
        <v>1</v>
      </c>
      <c r="CE899" s="109">
        <f t="shared" si="331"/>
        <v>92634.880189453426</v>
      </c>
      <c r="CF899" s="109">
        <f t="shared" si="332"/>
        <v>96316.10623321624</v>
      </c>
      <c r="CH899" s="58">
        <f t="array" ref="CH899">SUM(IF(CE899:CF899&gt;=CE899, 1))</f>
        <v>2</v>
      </c>
      <c r="CI899" s="58">
        <f t="array" ref="CI899">SUM(IF(CE899:CF899&gt;=CF899, 1))</f>
        <v>1</v>
      </c>
      <c r="CK899" s="109">
        <f t="shared" si="333"/>
        <v>49118.89395836003</v>
      </c>
      <c r="CL899" s="109">
        <f t="shared" si="334"/>
        <v>49876.577770621036</v>
      </c>
      <c r="CN899" s="58">
        <f t="array" ref="CN899">SUM(IF(CK899:CL899&gt;=CK899, 1))</f>
        <v>2</v>
      </c>
      <c r="CO899" s="58">
        <f t="array" ref="CO899">SUM(IF(CK899:CL899&gt;=CL899, 1))</f>
        <v>1</v>
      </c>
      <c r="CQ899" s="109" cm="1">
        <f t="array" ref="CQ899">AF899*WTP-AC899</f>
        <v>44711.62018692524</v>
      </c>
      <c r="CR899" s="109">
        <f t="shared" si="335"/>
        <v>47464.15154156628</v>
      </c>
      <c r="CT899" s="58">
        <f t="array" ref="CT899">SUM(IF(CQ899:CR899&gt;=CQ899, 1))</f>
        <v>2</v>
      </c>
      <c r="CU899" s="58">
        <f t="array" ref="CU899">SUM(IF(CQ899:CR899&gt;=CR899, 1))</f>
        <v>1</v>
      </c>
      <c r="CW899" s="109">
        <f t="shared" si="336"/>
        <v>-28928394.005561016</v>
      </c>
      <c r="CX899" s="109">
        <f t="shared" si="337"/>
        <v>0</v>
      </c>
      <c r="CZ899" s="58">
        <f t="array" ref="CZ899">SUM(IF(CW899:CX899&gt;=CW899, 1))</f>
        <v>2</v>
      </c>
      <c r="DA899" s="58">
        <f t="array" ref="DA899">SUM(IF(CW899:CX899&gt;=CX899, 1))</f>
        <v>1</v>
      </c>
      <c r="DC899" s="109">
        <f t="shared" si="338"/>
        <v>-1607390.2648508598</v>
      </c>
      <c r="DD899" s="109">
        <f t="shared" si="339"/>
        <v>0</v>
      </c>
      <c r="DF899" s="58">
        <f t="array" ref="DF899">SUM(IF(DC899:DD899&gt;=DC899, 1))</f>
        <v>2</v>
      </c>
      <c r="DG899" s="58">
        <f t="array" ref="DG899">SUM(IF(DC899:DD899&gt;=DD899, 1))</f>
        <v>1</v>
      </c>
      <c r="DI899" s="109">
        <f t="shared" si="340"/>
        <v>-86127234.914993793</v>
      </c>
      <c r="DJ899" s="109">
        <f t="shared" si="341"/>
        <v>0</v>
      </c>
      <c r="DL899" s="58">
        <f t="array" ref="DL899">SUM(IF(DI899:DJ899&gt;=DI899, 1))</f>
        <v>2</v>
      </c>
      <c r="DM899" s="58">
        <f t="array" ref="DM899">SUM(IF(DI899:DJ899&gt;=DJ899, 1))</f>
        <v>1</v>
      </c>
      <c r="DO899" s="109">
        <f t="shared" si="342"/>
        <v>-7032055.4031272084</v>
      </c>
      <c r="DP899" s="109">
        <f t="shared" si="343"/>
        <v>0</v>
      </c>
      <c r="DR899" s="58">
        <f t="array" ref="DR899">SUM(IF(DO899:DP899&gt;=DO899, 1))</f>
        <v>2</v>
      </c>
      <c r="DS899" s="58">
        <f t="array" ref="DS899">SUM(IF(DO899:DP899&gt;=DP899, 1))</f>
        <v>1</v>
      </c>
      <c r="DU899" s="109">
        <f t="shared" si="344"/>
        <v>-42595720.509562172</v>
      </c>
      <c r="DV899" s="109">
        <f t="shared" si="345"/>
        <v>0</v>
      </c>
      <c r="DX899" s="58">
        <f t="array" ref="DX899">SUM(IF(DU899:DV899&gt;=DU899, 1))</f>
        <v>2</v>
      </c>
      <c r="DY899" s="58">
        <f t="array" ref="DY899">SUM(IF(DU899:DV899&gt;=DV899, 1))</f>
        <v>1</v>
      </c>
      <c r="EA899" s="109">
        <f t="shared" si="346"/>
        <v>-166290795.09809506</v>
      </c>
      <c r="EB899" s="109">
        <f t="shared" si="347"/>
        <v>0</v>
      </c>
      <c r="ED899" s="58">
        <f t="array" ref="ED899">SUM(IF(EA899:EB899&gt;=EA899, 1))</f>
        <v>2</v>
      </c>
      <c r="EE899" s="58">
        <f t="array" ref="EE899">SUM(IF(EA899:EB899&gt;=EB899, 1))</f>
        <v>1</v>
      </c>
    </row>
    <row r="900" spans="4:135" ht="12" customHeight="1" x14ac:dyDescent="0.25">
      <c r="D900" s="11">
        <v>884</v>
      </c>
      <c r="E900" s="72">
        <v>214.44499516950444</v>
      </c>
      <c r="F900" s="72">
        <v>185.75176420706097</v>
      </c>
      <c r="G900" s="73"/>
      <c r="H900" s="74">
        <v>5.8312142048599309</v>
      </c>
      <c r="I900" s="74">
        <v>5.8499345332443573</v>
      </c>
      <c r="J900" s="73"/>
      <c r="K900" s="72">
        <v>229.66921759345712</v>
      </c>
      <c r="L900" s="72">
        <v>200.28173227837399</v>
      </c>
      <c r="M900" s="73"/>
      <c r="N900" s="74">
        <v>6.7435514874725939</v>
      </c>
      <c r="O900" s="74">
        <v>6.7599818632688997</v>
      </c>
      <c r="P900" s="73"/>
      <c r="Q900" s="72">
        <v>2062.5145756049142</v>
      </c>
      <c r="R900" s="72">
        <v>1356.5944757147722</v>
      </c>
      <c r="S900" s="73"/>
      <c r="T900" s="74">
        <v>4.9770076176355849</v>
      </c>
      <c r="U900" s="74">
        <v>5.0386711742686838</v>
      </c>
      <c r="V900" s="73"/>
      <c r="W900" s="72">
        <v>10279.491078122694</v>
      </c>
      <c r="X900" s="72">
        <v>10258.264433715156</v>
      </c>
      <c r="Y900" s="73"/>
      <c r="Z900" s="74">
        <v>3.1687053108337717</v>
      </c>
      <c r="AA900" s="74">
        <v>3.2286865365041764</v>
      </c>
      <c r="AB900" s="73"/>
      <c r="AC900" s="72">
        <v>49906.46065188662</v>
      </c>
      <c r="AD900" s="72">
        <v>49700.971748426418</v>
      </c>
      <c r="AE900" s="73"/>
      <c r="AF900" s="74">
        <v>4.7782767484414297</v>
      </c>
      <c r="AG900" s="74">
        <v>4.8836714627019164</v>
      </c>
      <c r="AH900" s="73"/>
      <c r="AI900" s="72">
        <v>3082854.9637402631</v>
      </c>
      <c r="AJ900" s="72">
        <v>0</v>
      </c>
      <c r="AK900" s="73"/>
      <c r="AL900" s="74">
        <v>-2011.3474623445463</v>
      </c>
      <c r="AM900" s="74">
        <v>0</v>
      </c>
      <c r="AN900" s="73"/>
      <c r="AO900" s="72">
        <v>216185.63868488182</v>
      </c>
      <c r="AP900" s="72">
        <v>0</v>
      </c>
      <c r="AQ900" s="73"/>
      <c r="AR900" s="74">
        <v>-120.86816028229278</v>
      </c>
      <c r="AS900" s="74">
        <v>0</v>
      </c>
      <c r="AT900" s="73"/>
      <c r="AU900" s="72">
        <v>16427217.378771642</v>
      </c>
      <c r="AV900" s="72">
        <v>0</v>
      </c>
      <c r="AW900" s="73"/>
      <c r="AX900" s="74">
        <v>-1434.950852536645</v>
      </c>
      <c r="AY900" s="74">
        <v>0</v>
      </c>
      <c r="AZ900" s="73"/>
      <c r="BA900" s="72">
        <v>188785.39891915303</v>
      </c>
      <c r="BB900" s="72">
        <v>0</v>
      </c>
      <c r="BC900" s="73"/>
      <c r="BD900" s="74">
        <v>-533.46065437578375</v>
      </c>
      <c r="BE900" s="74">
        <v>0</v>
      </c>
      <c r="BF900" s="73"/>
      <c r="BG900" s="72">
        <v>3319322.8097645347</v>
      </c>
      <c r="BH900" s="72">
        <v>0</v>
      </c>
      <c r="BI900" s="73"/>
      <c r="BJ900" s="74">
        <v>-1702.4718764982078</v>
      </c>
      <c r="BK900" s="74">
        <v>0</v>
      </c>
      <c r="BL900" s="73"/>
      <c r="BM900" s="72">
        <v>23234366.189880475</v>
      </c>
      <c r="BN900" s="72">
        <v>0</v>
      </c>
      <c r="BO900" s="73"/>
      <c r="BP900" s="74">
        <v>-5803.0990060374761</v>
      </c>
      <c r="BQ900" s="74">
        <v>0</v>
      </c>
      <c r="BS900" s="109">
        <f t="shared" si="327"/>
        <v>116409.83910202912</v>
      </c>
      <c r="BT900" s="109">
        <f t="shared" si="328"/>
        <v>116812.93890068009</v>
      </c>
      <c r="BV900" s="58">
        <f t="array" ref="BV900">SUM(IF(BS900:BT900&gt;=BS900, 1))</f>
        <v>2</v>
      </c>
      <c r="BW900" s="58">
        <f t="array" ref="BW900">SUM(IF(BS900:BT900&gt;=BT900, 1))</f>
        <v>1</v>
      </c>
      <c r="BY900" s="109">
        <f t="shared" si="329"/>
        <v>134641.36053185843</v>
      </c>
      <c r="BZ900" s="109">
        <f t="shared" si="330"/>
        <v>134999.35553309962</v>
      </c>
      <c r="CB900" s="58">
        <f t="array" ref="CB900">SUM(IF(BY900:BZ900&gt;=BY900, 1))</f>
        <v>2</v>
      </c>
      <c r="CC900" s="58">
        <f t="array" ref="CC900">SUM(IF(BY900:BZ900&gt;=BZ900, 1))</f>
        <v>1</v>
      </c>
      <c r="CE900" s="109">
        <f t="shared" si="331"/>
        <v>97477.637777106778</v>
      </c>
      <c r="CF900" s="109">
        <f t="shared" si="332"/>
        <v>99416.829009658904</v>
      </c>
      <c r="CH900" s="58">
        <f t="array" ref="CH900">SUM(IF(CE900:CF900&gt;=CE900, 1))</f>
        <v>2</v>
      </c>
      <c r="CI900" s="58">
        <f t="array" ref="CI900">SUM(IF(CE900:CF900&gt;=CF900, 1))</f>
        <v>1</v>
      </c>
      <c r="CK900" s="109">
        <f t="shared" si="333"/>
        <v>53094.615138552741</v>
      </c>
      <c r="CL900" s="109">
        <f t="shared" si="334"/>
        <v>54315.466296368366</v>
      </c>
      <c r="CN900" s="58">
        <f t="array" ref="CN900">SUM(IF(CK900:CL900&gt;=CK900, 1))</f>
        <v>2</v>
      </c>
      <c r="CO900" s="58">
        <f t="array" ref="CO900">SUM(IF(CK900:CL900&gt;=CL900, 1))</f>
        <v>1</v>
      </c>
      <c r="CQ900" s="109" cm="1">
        <f t="array" ref="CQ900">AF900*WTP-AC900</f>
        <v>45659.074316941973</v>
      </c>
      <c r="CR900" s="109">
        <f t="shared" si="335"/>
        <v>47972.457505611914</v>
      </c>
      <c r="CT900" s="58">
        <f t="array" ref="CT900">SUM(IF(CQ900:CR900&gt;=CQ900, 1))</f>
        <v>2</v>
      </c>
      <c r="CU900" s="58">
        <f t="array" ref="CU900">SUM(IF(CQ900:CR900&gt;=CR900, 1))</f>
        <v>1</v>
      </c>
      <c r="CW900" s="109">
        <f t="shared" si="336"/>
        <v>-43309804.210631192</v>
      </c>
      <c r="CX900" s="109">
        <f t="shared" si="337"/>
        <v>0</v>
      </c>
      <c r="CZ900" s="58">
        <f t="array" ref="CZ900">SUM(IF(CW900:CX900&gt;=CW900, 1))</f>
        <v>2</v>
      </c>
      <c r="DA900" s="58">
        <f t="array" ref="DA900">SUM(IF(CW900:CX900&gt;=CX900, 1))</f>
        <v>1</v>
      </c>
      <c r="DC900" s="109">
        <f t="shared" si="338"/>
        <v>-2633548.8443307374</v>
      </c>
      <c r="DD900" s="109">
        <f t="shared" si="339"/>
        <v>0</v>
      </c>
      <c r="DF900" s="58">
        <f t="array" ref="DF900">SUM(IF(DC900:DD900&gt;=DC900, 1))</f>
        <v>2</v>
      </c>
      <c r="DG900" s="58">
        <f t="array" ref="DG900">SUM(IF(DC900:DD900&gt;=DD900, 1))</f>
        <v>1</v>
      </c>
      <c r="DI900" s="109">
        <f t="shared" si="340"/>
        <v>-45126234.429504544</v>
      </c>
      <c r="DJ900" s="109">
        <f t="shared" si="341"/>
        <v>0</v>
      </c>
      <c r="DL900" s="58">
        <f t="array" ref="DL900">SUM(IF(DI900:DJ900&gt;=DI900, 1))</f>
        <v>2</v>
      </c>
      <c r="DM900" s="58">
        <f t="array" ref="DM900">SUM(IF(DI900:DJ900&gt;=DJ900, 1))</f>
        <v>1</v>
      </c>
      <c r="DO900" s="109">
        <f t="shared" si="342"/>
        <v>-10857998.486434828</v>
      </c>
      <c r="DP900" s="109">
        <f t="shared" si="343"/>
        <v>0</v>
      </c>
      <c r="DR900" s="58">
        <f t="array" ref="DR900">SUM(IF(DO900:DP900&gt;=DO900, 1))</f>
        <v>2</v>
      </c>
      <c r="DS900" s="58">
        <f t="array" ref="DS900">SUM(IF(DO900:DP900&gt;=DP900, 1))</f>
        <v>1</v>
      </c>
      <c r="DU900" s="109">
        <f t="shared" si="344"/>
        <v>-37368760.339728691</v>
      </c>
      <c r="DV900" s="109">
        <f t="shared" si="345"/>
        <v>0</v>
      </c>
      <c r="DX900" s="58">
        <f t="array" ref="DX900">SUM(IF(DU900:DV900&gt;=DU900, 1))</f>
        <v>2</v>
      </c>
      <c r="DY900" s="58">
        <f t="array" ref="DY900">SUM(IF(DU900:DV900&gt;=DV900, 1))</f>
        <v>1</v>
      </c>
      <c r="EA900" s="109">
        <f t="shared" si="346"/>
        <v>-139296346.31062999</v>
      </c>
      <c r="EB900" s="109">
        <f t="shared" si="347"/>
        <v>0</v>
      </c>
      <c r="ED900" s="58">
        <f t="array" ref="ED900">SUM(IF(EA900:EB900&gt;=EA900, 1))</f>
        <v>2</v>
      </c>
      <c r="EE900" s="58">
        <f t="array" ref="EE900">SUM(IF(EA900:EB900&gt;=EB900, 1))</f>
        <v>1</v>
      </c>
    </row>
    <row r="901" spans="4:135" ht="12" customHeight="1" x14ac:dyDescent="0.25">
      <c r="D901" s="11">
        <v>885</v>
      </c>
      <c r="E901" s="72">
        <v>246.79134433371487</v>
      </c>
      <c r="F901" s="72">
        <v>225.29246746041562</v>
      </c>
      <c r="G901" s="73"/>
      <c r="H901" s="74">
        <v>5.8775545682221395</v>
      </c>
      <c r="I901" s="74">
        <v>5.8954750786915291</v>
      </c>
      <c r="J901" s="73"/>
      <c r="K901" s="72">
        <v>264.91605043275467</v>
      </c>
      <c r="L901" s="72">
        <v>242.91481103017827</v>
      </c>
      <c r="M901" s="73"/>
      <c r="N901" s="74">
        <v>6.6572167368752382</v>
      </c>
      <c r="O901" s="74">
        <v>6.6732806396407565</v>
      </c>
      <c r="P901" s="73"/>
      <c r="Q901" s="72">
        <v>2099.5590138418488</v>
      </c>
      <c r="R901" s="72">
        <v>1157.1468437059898</v>
      </c>
      <c r="S901" s="73"/>
      <c r="T901" s="74">
        <v>4.7748323874533991</v>
      </c>
      <c r="U901" s="74">
        <v>4.8596025896388184</v>
      </c>
      <c r="V901" s="73"/>
      <c r="W901" s="72">
        <v>12328.891602374986</v>
      </c>
      <c r="X901" s="72">
        <v>12227.639237012932</v>
      </c>
      <c r="Y901" s="73"/>
      <c r="Z901" s="74">
        <v>2.8904947804540346</v>
      </c>
      <c r="AA901" s="74">
        <v>2.9175328278457933</v>
      </c>
      <c r="AB901" s="73"/>
      <c r="AC901" s="72">
        <v>51779.735443222642</v>
      </c>
      <c r="AD901" s="72">
        <v>51628.34759848722</v>
      </c>
      <c r="AE901" s="73"/>
      <c r="AF901" s="74">
        <v>4.292259124397706</v>
      </c>
      <c r="AG901" s="74">
        <v>4.3448442121129096</v>
      </c>
      <c r="AH901" s="73"/>
      <c r="AI901" s="72">
        <v>2296235.2223499562</v>
      </c>
      <c r="AJ901" s="72">
        <v>0</v>
      </c>
      <c r="AK901" s="73"/>
      <c r="AL901" s="74">
        <v>-1914.0398628641763</v>
      </c>
      <c r="AM901" s="74">
        <v>0</v>
      </c>
      <c r="AN901" s="73"/>
      <c r="AO901" s="72">
        <v>154619.6201714483</v>
      </c>
      <c r="AP901" s="72">
        <v>0</v>
      </c>
      <c r="AQ901" s="73"/>
      <c r="AR901" s="74">
        <v>-112.89339198702849</v>
      </c>
      <c r="AS901" s="74">
        <v>0</v>
      </c>
      <c r="AT901" s="73"/>
      <c r="AU901" s="72">
        <v>22209476.62679632</v>
      </c>
      <c r="AV901" s="72">
        <v>0</v>
      </c>
      <c r="AW901" s="73"/>
      <c r="AX901" s="74">
        <v>-1997.7477835568022</v>
      </c>
      <c r="AY901" s="74">
        <v>0</v>
      </c>
      <c r="AZ901" s="73"/>
      <c r="BA901" s="72">
        <v>933518.93933457264</v>
      </c>
      <c r="BB901" s="72">
        <v>0</v>
      </c>
      <c r="BC901" s="73"/>
      <c r="BD901" s="74">
        <v>-249.28335483895566</v>
      </c>
      <c r="BE901" s="74">
        <v>0</v>
      </c>
      <c r="BF901" s="73"/>
      <c r="BG901" s="72">
        <v>2340178.137759577</v>
      </c>
      <c r="BH901" s="72">
        <v>0</v>
      </c>
      <c r="BI901" s="73"/>
      <c r="BJ901" s="74">
        <v>-812.86891202101901</v>
      </c>
      <c r="BK901" s="74">
        <v>0</v>
      </c>
      <c r="BL901" s="73"/>
      <c r="BM901" s="72">
        <v>27934028.546411872</v>
      </c>
      <c r="BN901" s="72">
        <v>0</v>
      </c>
      <c r="BO901" s="73"/>
      <c r="BP901" s="74">
        <v>-5086.8333052679818</v>
      </c>
      <c r="BQ901" s="74">
        <v>0</v>
      </c>
      <c r="BS901" s="109">
        <f t="shared" si="327"/>
        <v>117304.30002010908</v>
      </c>
      <c r="BT901" s="109">
        <f t="shared" si="328"/>
        <v>117684.20910637017</v>
      </c>
      <c r="BV901" s="58">
        <f t="array" ref="BV901">SUM(IF(BS901:BT901&gt;=BS901, 1))</f>
        <v>2</v>
      </c>
      <c r="BW901" s="58">
        <f t="array" ref="BW901">SUM(IF(BS901:BT901&gt;=BT901, 1))</f>
        <v>1</v>
      </c>
      <c r="BY901" s="109">
        <f t="shared" si="329"/>
        <v>132879.41868707203</v>
      </c>
      <c r="BZ901" s="109">
        <f t="shared" si="330"/>
        <v>133222.69798178496</v>
      </c>
      <c r="CB901" s="58">
        <f t="array" ref="CB901">SUM(IF(BY901:BZ901&gt;=BY901, 1))</f>
        <v>2</v>
      </c>
      <c r="CC901" s="58">
        <f t="array" ref="CC901">SUM(IF(BY901:BZ901&gt;=BZ901, 1))</f>
        <v>1</v>
      </c>
      <c r="CE901" s="109">
        <f t="shared" si="331"/>
        <v>93397.088735226134</v>
      </c>
      <c r="CF901" s="109">
        <f t="shared" si="332"/>
        <v>96034.904949070376</v>
      </c>
      <c r="CH901" s="58">
        <f t="array" ref="CH901">SUM(IF(CE901:CF901&gt;=CE901, 1))</f>
        <v>2</v>
      </c>
      <c r="CI901" s="58">
        <f t="array" ref="CI901">SUM(IF(CE901:CF901&gt;=CF901, 1))</f>
        <v>1</v>
      </c>
      <c r="CK901" s="109">
        <f t="shared" si="333"/>
        <v>45481.004006705705</v>
      </c>
      <c r="CL901" s="109">
        <f t="shared" si="334"/>
        <v>46123.01731990293</v>
      </c>
      <c r="CN901" s="58">
        <f t="array" ref="CN901">SUM(IF(CK901:CL901&gt;=CK901, 1))</f>
        <v>2</v>
      </c>
      <c r="CO901" s="58">
        <f t="array" ref="CO901">SUM(IF(CK901:CL901&gt;=CL901, 1))</f>
        <v>1</v>
      </c>
      <c r="CQ901" s="109" cm="1">
        <f t="array" ref="CQ901">AF901*WTP-AC901</f>
        <v>34065.447044731482</v>
      </c>
      <c r="CR901" s="109">
        <f t="shared" si="335"/>
        <v>35268.536643770974</v>
      </c>
      <c r="CT901" s="58">
        <f t="array" ref="CT901">SUM(IF(CQ901:CR901&gt;=CQ901, 1))</f>
        <v>2</v>
      </c>
      <c r="CU901" s="58">
        <f t="array" ref="CU901">SUM(IF(CQ901:CR901&gt;=CR901, 1))</f>
        <v>1</v>
      </c>
      <c r="CW901" s="109">
        <f t="shared" si="336"/>
        <v>-40577032.47963348</v>
      </c>
      <c r="CX901" s="109">
        <f t="shared" si="337"/>
        <v>0</v>
      </c>
      <c r="CZ901" s="58">
        <f t="array" ref="CZ901">SUM(IF(CW901:CX901&gt;=CW901, 1))</f>
        <v>2</v>
      </c>
      <c r="DA901" s="58">
        <f t="array" ref="DA901">SUM(IF(CW901:CX901&gt;=CX901, 1))</f>
        <v>1</v>
      </c>
      <c r="DC901" s="109">
        <f t="shared" si="338"/>
        <v>-2412487.4599120179</v>
      </c>
      <c r="DD901" s="109">
        <f t="shared" si="339"/>
        <v>0</v>
      </c>
      <c r="DF901" s="58">
        <f t="array" ref="DF901">SUM(IF(DC901:DD901&gt;=DC901, 1))</f>
        <v>2</v>
      </c>
      <c r="DG901" s="58">
        <f t="array" ref="DG901">SUM(IF(DC901:DD901&gt;=DD901, 1))</f>
        <v>1</v>
      </c>
      <c r="DI901" s="109">
        <f t="shared" si="340"/>
        <v>-62164432.297932364</v>
      </c>
      <c r="DJ901" s="109">
        <f t="shared" si="341"/>
        <v>0</v>
      </c>
      <c r="DL901" s="58">
        <f t="array" ref="DL901">SUM(IF(DI901:DJ901&gt;=DI901, 1))</f>
        <v>2</v>
      </c>
      <c r="DM901" s="58">
        <f t="array" ref="DM901">SUM(IF(DI901:DJ901&gt;=DJ901, 1))</f>
        <v>1</v>
      </c>
      <c r="DO901" s="109">
        <f t="shared" si="342"/>
        <v>-5919186.0361136859</v>
      </c>
      <c r="DP901" s="109">
        <f t="shared" si="343"/>
        <v>0</v>
      </c>
      <c r="DR901" s="58">
        <f t="array" ref="DR901">SUM(IF(DO901:DP901&gt;=DO901, 1))</f>
        <v>2</v>
      </c>
      <c r="DS901" s="58">
        <f t="array" ref="DS901">SUM(IF(DO901:DP901&gt;=DP901, 1))</f>
        <v>1</v>
      </c>
      <c r="DU901" s="109">
        <f t="shared" si="344"/>
        <v>-18597556.378179956</v>
      </c>
      <c r="DV901" s="109">
        <f t="shared" si="345"/>
        <v>0</v>
      </c>
      <c r="DX901" s="58">
        <f t="array" ref="DX901">SUM(IF(DU901:DV901&gt;=DU901, 1))</f>
        <v>2</v>
      </c>
      <c r="DY901" s="58">
        <f t="array" ref="DY901">SUM(IF(DU901:DV901&gt;=DV901, 1))</f>
        <v>1</v>
      </c>
      <c r="EA901" s="109">
        <f t="shared" si="346"/>
        <v>-129670694.65177152</v>
      </c>
      <c r="EB901" s="109">
        <f t="shared" si="347"/>
        <v>0</v>
      </c>
      <c r="ED901" s="58">
        <f t="array" ref="ED901">SUM(IF(EA901:EB901&gt;=EA901, 1))</f>
        <v>2</v>
      </c>
      <c r="EE901" s="58">
        <f t="array" ref="EE901">SUM(IF(EA901:EB901&gt;=EB901, 1))</f>
        <v>1</v>
      </c>
    </row>
    <row r="902" spans="4:135" ht="12" customHeight="1" x14ac:dyDescent="0.25">
      <c r="D902" s="11">
        <v>886</v>
      </c>
      <c r="E902" s="72">
        <v>262.2784875740067</v>
      </c>
      <c r="F902" s="72">
        <v>229.44222440082947</v>
      </c>
      <c r="G902" s="73"/>
      <c r="H902" s="74">
        <v>5.7885381941900258</v>
      </c>
      <c r="I902" s="74">
        <v>5.8080754060837618</v>
      </c>
      <c r="J902" s="73"/>
      <c r="K902" s="72">
        <v>280.97611526291047</v>
      </c>
      <c r="L902" s="72">
        <v>247.4291196064529</v>
      </c>
      <c r="M902" s="73"/>
      <c r="N902" s="74">
        <v>6.7042762482279024</v>
      </c>
      <c r="O902" s="74">
        <v>6.7224619578877922</v>
      </c>
      <c r="P902" s="73"/>
      <c r="Q902" s="72">
        <v>2717.808678271605</v>
      </c>
      <c r="R902" s="72">
        <v>1484.8950759109384</v>
      </c>
      <c r="S902" s="73"/>
      <c r="T902" s="74">
        <v>4.6649042699910632</v>
      </c>
      <c r="U902" s="74">
        <v>4.7595162697823312</v>
      </c>
      <c r="V902" s="73"/>
      <c r="W902" s="72">
        <v>12912.41918819887</v>
      </c>
      <c r="X902" s="72">
        <v>12881.40215094158</v>
      </c>
      <c r="Y902" s="73"/>
      <c r="Z902" s="74">
        <v>2.9055329698900496</v>
      </c>
      <c r="AA902" s="74">
        <v>2.9418736215500267</v>
      </c>
      <c r="AB902" s="73"/>
      <c r="AC902" s="72">
        <v>50213.867822207249</v>
      </c>
      <c r="AD902" s="72">
        <v>50177.453839362446</v>
      </c>
      <c r="AE902" s="73"/>
      <c r="AF902" s="74">
        <v>4.5348623424680943</v>
      </c>
      <c r="AG902" s="74">
        <v>4.6420310169853396</v>
      </c>
      <c r="AH902" s="73"/>
      <c r="AI902" s="72">
        <v>3562229.7261476736</v>
      </c>
      <c r="AJ902" s="72">
        <v>0</v>
      </c>
      <c r="AK902" s="73"/>
      <c r="AL902" s="74">
        <v>-2119.4871233326844</v>
      </c>
      <c r="AM902" s="74">
        <v>0</v>
      </c>
      <c r="AN902" s="73"/>
      <c r="AO902" s="72">
        <v>230615.49092295981</v>
      </c>
      <c r="AP902" s="72">
        <v>0</v>
      </c>
      <c r="AQ902" s="73"/>
      <c r="AR902" s="74">
        <v>-125.01585548661834</v>
      </c>
      <c r="AS902" s="74">
        <v>0</v>
      </c>
      <c r="AT902" s="73"/>
      <c r="AU902" s="72">
        <v>28219119.493987348</v>
      </c>
      <c r="AV902" s="72">
        <v>0</v>
      </c>
      <c r="AW902" s="73"/>
      <c r="AX902" s="74">
        <v>-2165.4942589350039</v>
      </c>
      <c r="AY902" s="74">
        <v>0</v>
      </c>
      <c r="AZ902" s="73"/>
      <c r="BA902" s="72">
        <v>280174.2378968799</v>
      </c>
      <c r="BB902" s="72">
        <v>0</v>
      </c>
      <c r="BC902" s="73"/>
      <c r="BD902" s="74">
        <v>-328.26199030718118</v>
      </c>
      <c r="BE902" s="74">
        <v>0</v>
      </c>
      <c r="BF902" s="73"/>
      <c r="BG902" s="72">
        <v>568886.00615269283</v>
      </c>
      <c r="BH902" s="72">
        <v>0</v>
      </c>
      <c r="BI902" s="73"/>
      <c r="BJ902" s="74">
        <v>-1674.2678077988871</v>
      </c>
      <c r="BK902" s="74">
        <v>0</v>
      </c>
      <c r="BL902" s="73"/>
      <c r="BM902" s="72">
        <v>32861024.955107555</v>
      </c>
      <c r="BN902" s="72">
        <v>0</v>
      </c>
      <c r="BO902" s="73"/>
      <c r="BP902" s="74">
        <v>-6412.5270358603757</v>
      </c>
      <c r="BQ902" s="74">
        <v>0</v>
      </c>
      <c r="BS902" s="109">
        <f t="shared" si="327"/>
        <v>115508.48539622652</v>
      </c>
      <c r="BT902" s="109">
        <f t="shared" si="328"/>
        <v>115932.0658972744</v>
      </c>
      <c r="BV902" s="58">
        <f t="array" ref="BV902">SUM(IF(BS902:BT902&gt;=BS902, 1))</f>
        <v>2</v>
      </c>
      <c r="BW902" s="58">
        <f t="array" ref="BW902">SUM(IF(BS902:BT902&gt;=BT902, 1))</f>
        <v>1</v>
      </c>
      <c r="BY902" s="109">
        <f t="shared" si="329"/>
        <v>133804.54884929513</v>
      </c>
      <c r="BZ902" s="109">
        <f t="shared" si="330"/>
        <v>134201.81003814939</v>
      </c>
      <c r="CB902" s="58">
        <f t="array" ref="CB902">SUM(IF(BY902:BZ902&gt;=BY902, 1))</f>
        <v>2</v>
      </c>
      <c r="CC902" s="58">
        <f t="array" ref="CC902">SUM(IF(BY902:BZ902&gt;=BZ902, 1))</f>
        <v>1</v>
      </c>
      <c r="CE902" s="109">
        <f t="shared" si="331"/>
        <v>90580.276721549671</v>
      </c>
      <c r="CF902" s="109">
        <f t="shared" si="332"/>
        <v>93705.430319735678</v>
      </c>
      <c r="CH902" s="58">
        <f t="array" ref="CH902">SUM(IF(CE902:CF902&gt;=CE902, 1))</f>
        <v>2</v>
      </c>
      <c r="CI902" s="58">
        <f t="array" ref="CI902">SUM(IF(CE902:CF902&gt;=CF902, 1))</f>
        <v>1</v>
      </c>
      <c r="CK902" s="109">
        <f t="shared" si="333"/>
        <v>45198.240209602125</v>
      </c>
      <c r="CL902" s="109">
        <f t="shared" si="334"/>
        <v>45956.07028005895</v>
      </c>
      <c r="CN902" s="58">
        <f t="array" ref="CN902">SUM(IF(CK902:CL902&gt;=CK902, 1))</f>
        <v>2</v>
      </c>
      <c r="CO902" s="58">
        <f t="array" ref="CO902">SUM(IF(CK902:CL902&gt;=CL902, 1))</f>
        <v>1</v>
      </c>
      <c r="CQ902" s="109" cm="1">
        <f t="array" ref="CQ902">AF902*WTP-AC902</f>
        <v>40483.379027154631</v>
      </c>
      <c r="CR902" s="109">
        <f t="shared" si="335"/>
        <v>42663.166500344341</v>
      </c>
      <c r="CT902" s="58">
        <f t="array" ref="CT902">SUM(IF(CQ902:CR902&gt;=CQ902, 1))</f>
        <v>2</v>
      </c>
      <c r="CU902" s="58">
        <f t="array" ref="CU902">SUM(IF(CQ902:CR902&gt;=CR902, 1))</f>
        <v>1</v>
      </c>
      <c r="CW902" s="109">
        <f t="shared" si="336"/>
        <v>-45951972.192801364</v>
      </c>
      <c r="CX902" s="109">
        <f t="shared" si="337"/>
        <v>0</v>
      </c>
      <c r="CZ902" s="58">
        <f t="array" ref="CZ902">SUM(IF(CW902:CX902&gt;=CW902, 1))</f>
        <v>2</v>
      </c>
      <c r="DA902" s="58">
        <f t="array" ref="DA902">SUM(IF(CW902:CX902&gt;=CX902, 1))</f>
        <v>1</v>
      </c>
      <c r="DC902" s="109">
        <f t="shared" si="338"/>
        <v>-2730932.6006553266</v>
      </c>
      <c r="DD902" s="109">
        <f t="shared" si="339"/>
        <v>0</v>
      </c>
      <c r="DF902" s="58">
        <f t="array" ref="DF902">SUM(IF(DC902:DD902&gt;=DC902, 1))</f>
        <v>2</v>
      </c>
      <c r="DG902" s="58">
        <f t="array" ref="DG902">SUM(IF(DC902:DD902&gt;=DD902, 1))</f>
        <v>1</v>
      </c>
      <c r="DI902" s="109">
        <f t="shared" si="340"/>
        <v>-71529004.672687426</v>
      </c>
      <c r="DJ902" s="109">
        <f t="shared" si="341"/>
        <v>0</v>
      </c>
      <c r="DL902" s="58">
        <f t="array" ref="DL902">SUM(IF(DI902:DJ902&gt;=DI902, 1))</f>
        <v>2</v>
      </c>
      <c r="DM902" s="58">
        <f t="array" ref="DM902">SUM(IF(DI902:DJ902&gt;=DJ902, 1))</f>
        <v>1</v>
      </c>
      <c r="DO902" s="109">
        <f t="shared" si="342"/>
        <v>-6845414.0440405039</v>
      </c>
      <c r="DP902" s="109">
        <f t="shared" si="343"/>
        <v>0</v>
      </c>
      <c r="DR902" s="58">
        <f t="array" ref="DR902">SUM(IF(DO902:DP902&gt;=DO902, 1))</f>
        <v>2</v>
      </c>
      <c r="DS902" s="58">
        <f t="array" ref="DS902">SUM(IF(DO902:DP902&gt;=DP902, 1))</f>
        <v>1</v>
      </c>
      <c r="DU902" s="109">
        <f t="shared" si="344"/>
        <v>-34054242.16213043</v>
      </c>
      <c r="DV902" s="109">
        <f t="shared" si="345"/>
        <v>0</v>
      </c>
      <c r="DX902" s="58">
        <f t="array" ref="DX902">SUM(IF(DU902:DV902&gt;=DU902, 1))</f>
        <v>2</v>
      </c>
      <c r="DY902" s="58">
        <f t="array" ref="DY902">SUM(IF(DU902:DV902&gt;=DV902, 1))</f>
        <v>1</v>
      </c>
      <c r="EA902" s="109">
        <f t="shared" si="346"/>
        <v>-161111565.67231506</v>
      </c>
      <c r="EB902" s="109">
        <f t="shared" si="347"/>
        <v>0</v>
      </c>
      <c r="ED902" s="58">
        <f t="array" ref="ED902">SUM(IF(EA902:EB902&gt;=EA902, 1))</f>
        <v>2</v>
      </c>
      <c r="EE902" s="58">
        <f t="array" ref="EE902">SUM(IF(EA902:EB902&gt;=EB902, 1))</f>
        <v>1</v>
      </c>
    </row>
    <row r="903" spans="4:135" ht="12" customHeight="1" x14ac:dyDescent="0.25">
      <c r="D903" s="11">
        <v>887</v>
      </c>
      <c r="E903" s="72">
        <v>194.95115804013287</v>
      </c>
      <c r="F903" s="72">
        <v>166.86536292243585</v>
      </c>
      <c r="G903" s="73"/>
      <c r="H903" s="74">
        <v>5.8097883774156589</v>
      </c>
      <c r="I903" s="74">
        <v>5.826339570094575</v>
      </c>
      <c r="J903" s="73"/>
      <c r="K903" s="72">
        <v>208.61571284387409</v>
      </c>
      <c r="L903" s="72">
        <v>179.88470080676265</v>
      </c>
      <c r="M903" s="73"/>
      <c r="N903" s="74">
        <v>6.6989492101996913</v>
      </c>
      <c r="O903" s="74">
        <v>6.7130702091519412</v>
      </c>
      <c r="P903" s="73"/>
      <c r="Q903" s="72">
        <v>2538.4413187174127</v>
      </c>
      <c r="R903" s="72">
        <v>1469.794322799534</v>
      </c>
      <c r="S903" s="73"/>
      <c r="T903" s="74">
        <v>5.0154834975520055</v>
      </c>
      <c r="U903" s="74">
        <v>5.1053777923851946</v>
      </c>
      <c r="V903" s="73"/>
      <c r="W903" s="72">
        <v>12056.388907554745</v>
      </c>
      <c r="X903" s="72">
        <v>12016.298602052457</v>
      </c>
      <c r="Y903" s="73"/>
      <c r="Z903" s="74">
        <v>2.9620744001560215</v>
      </c>
      <c r="AA903" s="74">
        <v>3.010236994802491</v>
      </c>
      <c r="AB903" s="73"/>
      <c r="AC903" s="72">
        <v>51463.542902803478</v>
      </c>
      <c r="AD903" s="72">
        <v>51217.352252959376</v>
      </c>
      <c r="AE903" s="73"/>
      <c r="AF903" s="74">
        <v>4.6950678085057636</v>
      </c>
      <c r="AG903" s="74">
        <v>4.7941489645399376</v>
      </c>
      <c r="AH903" s="73"/>
      <c r="AI903" s="72">
        <v>3000934.9506764603</v>
      </c>
      <c r="AJ903" s="72">
        <v>0</v>
      </c>
      <c r="AK903" s="73"/>
      <c r="AL903" s="74">
        <v>-1768.4759280410417</v>
      </c>
      <c r="AM903" s="74">
        <v>0</v>
      </c>
      <c r="AN903" s="73"/>
      <c r="AO903" s="72">
        <v>191103.14934303466</v>
      </c>
      <c r="AP903" s="72">
        <v>0</v>
      </c>
      <c r="AQ903" s="73"/>
      <c r="AR903" s="74">
        <v>-93.925245938394212</v>
      </c>
      <c r="AS903" s="74">
        <v>0</v>
      </c>
      <c r="AT903" s="73"/>
      <c r="AU903" s="72">
        <v>25274412.46740507</v>
      </c>
      <c r="AV903" s="72">
        <v>0</v>
      </c>
      <c r="AW903" s="73"/>
      <c r="AX903" s="74">
        <v>-2126.0767070505462</v>
      </c>
      <c r="AY903" s="74">
        <v>0</v>
      </c>
      <c r="AZ903" s="73"/>
      <c r="BA903" s="72">
        <v>358068.48441951763</v>
      </c>
      <c r="BB903" s="72">
        <v>0</v>
      </c>
      <c r="BC903" s="73"/>
      <c r="BD903" s="74">
        <v>-430.16652167413861</v>
      </c>
      <c r="BE903" s="74">
        <v>0</v>
      </c>
      <c r="BF903" s="73"/>
      <c r="BG903" s="72">
        <v>3855395.1180343349</v>
      </c>
      <c r="BH903" s="72">
        <v>0</v>
      </c>
      <c r="BI903" s="73"/>
      <c r="BJ903" s="74">
        <v>-1551.6308418099898</v>
      </c>
      <c r="BK903" s="74">
        <v>0</v>
      </c>
      <c r="BL903" s="73"/>
      <c r="BM903" s="72">
        <v>32679914.169878416</v>
      </c>
      <c r="BN903" s="72">
        <v>0</v>
      </c>
      <c r="BO903" s="73"/>
      <c r="BP903" s="74">
        <v>-5970.2752445141105</v>
      </c>
      <c r="BQ903" s="74">
        <v>0</v>
      </c>
      <c r="BS903" s="109">
        <f t="shared" si="327"/>
        <v>116000.81639027304</v>
      </c>
      <c r="BT903" s="109">
        <f t="shared" si="328"/>
        <v>116359.92603896906</v>
      </c>
      <c r="BV903" s="58">
        <f t="array" ref="BV903">SUM(IF(BS903:BT903&gt;=BS903, 1))</f>
        <v>2</v>
      </c>
      <c r="BW903" s="58">
        <f t="array" ref="BW903">SUM(IF(BS903:BT903&gt;=BT903, 1))</f>
        <v>1</v>
      </c>
      <c r="BY903" s="109">
        <f t="shared" si="329"/>
        <v>133770.36849114997</v>
      </c>
      <c r="BZ903" s="109">
        <f t="shared" si="330"/>
        <v>134081.51948223208</v>
      </c>
      <c r="CB903" s="58">
        <f t="array" ref="CB903">SUM(IF(BY903:BZ903&gt;=BY903, 1))</f>
        <v>2</v>
      </c>
      <c r="CC903" s="58">
        <f t="array" ref="CC903">SUM(IF(BY903:BZ903&gt;=BZ903, 1))</f>
        <v>1</v>
      </c>
      <c r="CE903" s="109">
        <f t="shared" si="331"/>
        <v>97771.228632322702</v>
      </c>
      <c r="CF903" s="109">
        <f t="shared" si="332"/>
        <v>100637.76152490436</v>
      </c>
      <c r="CH903" s="58">
        <f t="array" ref="CH903">SUM(IF(CE903:CF903&gt;=CE903, 1))</f>
        <v>2</v>
      </c>
      <c r="CI903" s="58">
        <f t="array" ref="CI903">SUM(IF(CE903:CF903&gt;=CF903, 1))</f>
        <v>1</v>
      </c>
      <c r="CK903" s="109">
        <f t="shared" si="333"/>
        <v>47185.099095565689</v>
      </c>
      <c r="CL903" s="109">
        <f t="shared" si="334"/>
        <v>48188.441293997363</v>
      </c>
      <c r="CN903" s="58">
        <f t="array" ref="CN903">SUM(IF(CK903:CL903&gt;=CK903, 1))</f>
        <v>2</v>
      </c>
      <c r="CO903" s="58">
        <f t="array" ref="CO903">SUM(IF(CK903:CL903&gt;=CL903, 1))</f>
        <v>1</v>
      </c>
      <c r="CQ903" s="109" cm="1">
        <f t="array" ref="CQ903">AF903*WTP-AC903</f>
        <v>42437.813267311787</v>
      </c>
      <c r="CR903" s="109">
        <f t="shared" si="335"/>
        <v>44665.627037839382</v>
      </c>
      <c r="CT903" s="58">
        <f t="array" ref="CT903">SUM(IF(CQ903:CR903&gt;=CQ903, 1))</f>
        <v>2</v>
      </c>
      <c r="CU903" s="58">
        <f t="array" ref="CU903">SUM(IF(CQ903:CR903&gt;=CR903, 1))</f>
        <v>1</v>
      </c>
      <c r="CW903" s="109">
        <f t="shared" si="336"/>
        <v>-38370453.511497296</v>
      </c>
      <c r="CX903" s="109">
        <f t="shared" si="337"/>
        <v>0</v>
      </c>
      <c r="CZ903" s="58">
        <f t="array" ref="CZ903">SUM(IF(CW903:CX903&gt;=CW903, 1))</f>
        <v>2</v>
      </c>
      <c r="DA903" s="58">
        <f t="array" ref="DA903">SUM(IF(CW903:CX903&gt;=CX903, 1))</f>
        <v>1</v>
      </c>
      <c r="DC903" s="109">
        <f t="shared" si="338"/>
        <v>-2069608.0681109189</v>
      </c>
      <c r="DD903" s="109">
        <f t="shared" si="339"/>
        <v>0</v>
      </c>
      <c r="DF903" s="58">
        <f t="array" ref="DF903">SUM(IF(DC903:DD903&gt;=DC903, 1))</f>
        <v>2</v>
      </c>
      <c r="DG903" s="58">
        <f t="array" ref="DG903">SUM(IF(DC903:DD903&gt;=DD903, 1))</f>
        <v>1</v>
      </c>
      <c r="DI903" s="109">
        <f t="shared" si="340"/>
        <v>-67795946.608415991</v>
      </c>
      <c r="DJ903" s="109">
        <f t="shared" si="341"/>
        <v>0</v>
      </c>
      <c r="DL903" s="58">
        <f t="array" ref="DL903">SUM(IF(DI903:DJ903&gt;=DI903, 1))</f>
        <v>2</v>
      </c>
      <c r="DM903" s="58">
        <f t="array" ref="DM903">SUM(IF(DI903:DJ903&gt;=DJ903, 1))</f>
        <v>1</v>
      </c>
      <c r="DO903" s="109">
        <f t="shared" si="342"/>
        <v>-8961398.917902289</v>
      </c>
      <c r="DP903" s="109">
        <f t="shared" si="343"/>
        <v>0</v>
      </c>
      <c r="DR903" s="58">
        <f t="array" ref="DR903">SUM(IF(DO903:DP903&gt;=DO903, 1))</f>
        <v>2</v>
      </c>
      <c r="DS903" s="58">
        <f t="array" ref="DS903">SUM(IF(DO903:DP903&gt;=DP903, 1))</f>
        <v>1</v>
      </c>
      <c r="DU903" s="109">
        <f t="shared" si="344"/>
        <v>-34888011.954234131</v>
      </c>
      <c r="DV903" s="109">
        <f t="shared" si="345"/>
        <v>0</v>
      </c>
      <c r="DX903" s="58">
        <f t="array" ref="DX903">SUM(IF(DU903:DV903&gt;=DU903, 1))</f>
        <v>2</v>
      </c>
      <c r="DY903" s="58">
        <f t="array" ref="DY903">SUM(IF(DU903:DV903&gt;=DV903, 1))</f>
        <v>1</v>
      </c>
      <c r="EA903" s="109">
        <f t="shared" si="346"/>
        <v>-152085419.06016064</v>
      </c>
      <c r="EB903" s="109">
        <f t="shared" si="347"/>
        <v>0</v>
      </c>
      <c r="ED903" s="58">
        <f t="array" ref="ED903">SUM(IF(EA903:EB903&gt;=EA903, 1))</f>
        <v>2</v>
      </c>
      <c r="EE903" s="58">
        <f t="array" ref="EE903">SUM(IF(EA903:EB903&gt;=EB903, 1))</f>
        <v>1</v>
      </c>
    </row>
    <row r="904" spans="4:135" ht="12" customHeight="1" x14ac:dyDescent="0.25">
      <c r="D904" s="11">
        <v>888</v>
      </c>
      <c r="E904" s="72">
        <v>213.06101928884195</v>
      </c>
      <c r="F904" s="72">
        <v>198.03700237885334</v>
      </c>
      <c r="G904" s="73"/>
      <c r="H904" s="74">
        <v>5.8027916712914838</v>
      </c>
      <c r="I904" s="74">
        <v>5.819192804655291</v>
      </c>
      <c r="J904" s="73"/>
      <c r="K904" s="72">
        <v>228.94748118709001</v>
      </c>
      <c r="L904" s="72">
        <v>213.56044229608159</v>
      </c>
      <c r="M904" s="73"/>
      <c r="N904" s="74">
        <v>6.7317225188101864</v>
      </c>
      <c r="O904" s="74">
        <v>6.7462488262471192</v>
      </c>
      <c r="P904" s="73"/>
      <c r="Q904" s="72">
        <v>2277.9232347962602</v>
      </c>
      <c r="R904" s="72">
        <v>1521.1165392071562</v>
      </c>
      <c r="S904" s="73"/>
      <c r="T904" s="74">
        <v>4.7505063879145855</v>
      </c>
      <c r="U904" s="74">
        <v>4.8277000240778252</v>
      </c>
      <c r="V904" s="73"/>
      <c r="W904" s="72">
        <v>14912.536113035754</v>
      </c>
      <c r="X904" s="72">
        <v>14860.144376978198</v>
      </c>
      <c r="Y904" s="73"/>
      <c r="Z904" s="74">
        <v>2.923139568266059</v>
      </c>
      <c r="AA904" s="74">
        <v>2.9530624300635533</v>
      </c>
      <c r="AB904" s="73"/>
      <c r="AC904" s="72">
        <v>52115.513759757174</v>
      </c>
      <c r="AD904" s="72">
        <v>51801.778380556134</v>
      </c>
      <c r="AE904" s="73"/>
      <c r="AF904" s="74">
        <v>3.8888385579761948</v>
      </c>
      <c r="AG904" s="74">
        <v>3.9719437535912885</v>
      </c>
      <c r="AH904" s="73"/>
      <c r="AI904" s="72">
        <v>1640518.1558630837</v>
      </c>
      <c r="AJ904" s="72">
        <v>0</v>
      </c>
      <c r="AK904" s="73"/>
      <c r="AL904" s="74">
        <v>-1790.8896948970435</v>
      </c>
      <c r="AM904" s="74">
        <v>0</v>
      </c>
      <c r="AN904" s="73"/>
      <c r="AO904" s="72">
        <v>105132.55354957408</v>
      </c>
      <c r="AP904" s="72">
        <v>0</v>
      </c>
      <c r="AQ904" s="73"/>
      <c r="AR904" s="74">
        <v>-99.251571748697316</v>
      </c>
      <c r="AS904" s="74">
        <v>0</v>
      </c>
      <c r="AT904" s="73"/>
      <c r="AU904" s="72">
        <v>17355897.431564786</v>
      </c>
      <c r="AV904" s="72">
        <v>0</v>
      </c>
      <c r="AW904" s="73"/>
      <c r="AX904" s="74">
        <v>-1770.2867052145141</v>
      </c>
      <c r="AY904" s="74">
        <v>0</v>
      </c>
      <c r="AZ904" s="73"/>
      <c r="BA904" s="72">
        <v>486858.75930691184</v>
      </c>
      <c r="BB904" s="72">
        <v>0</v>
      </c>
      <c r="BC904" s="73"/>
      <c r="BD904" s="74">
        <v>-278.06307761277532</v>
      </c>
      <c r="BE904" s="74">
        <v>0</v>
      </c>
      <c r="BF904" s="73"/>
      <c r="BG904" s="72">
        <v>4814368.7347898642</v>
      </c>
      <c r="BH904" s="72">
        <v>0</v>
      </c>
      <c r="BI904" s="73"/>
      <c r="BJ904" s="74">
        <v>-1275.275541084327</v>
      </c>
      <c r="BK904" s="74">
        <v>0</v>
      </c>
      <c r="BL904" s="73"/>
      <c r="BM904" s="72">
        <v>24402775.635074217</v>
      </c>
      <c r="BN904" s="72">
        <v>0</v>
      </c>
      <c r="BO904" s="73"/>
      <c r="BP904" s="74">
        <v>-5213.7665905573576</v>
      </c>
      <c r="BQ904" s="74">
        <v>0</v>
      </c>
      <c r="BS904" s="109">
        <f t="shared" si="327"/>
        <v>115842.77240654084</v>
      </c>
      <c r="BT904" s="109">
        <f t="shared" si="328"/>
        <v>116185.81909072696</v>
      </c>
      <c r="BV904" s="58">
        <f t="array" ref="BV904">SUM(IF(BS904:BT904&gt;=BS904, 1))</f>
        <v>2</v>
      </c>
      <c r="BW904" s="58">
        <f t="array" ref="BW904">SUM(IF(BS904:BT904&gt;=BT904, 1))</f>
        <v>1</v>
      </c>
      <c r="BY904" s="109">
        <f t="shared" si="329"/>
        <v>134405.50289501663</v>
      </c>
      <c r="BZ904" s="109">
        <f t="shared" si="330"/>
        <v>134711.41608264629</v>
      </c>
      <c r="CB904" s="58">
        <f t="array" ref="CB904">SUM(IF(BY904:BZ904&gt;=BY904, 1))</f>
        <v>2</v>
      </c>
      <c r="CC904" s="58">
        <f t="array" ref="CC904">SUM(IF(BY904:BZ904&gt;=BZ904, 1))</f>
        <v>1</v>
      </c>
      <c r="CE904" s="109">
        <f t="shared" si="331"/>
        <v>92732.204523495457</v>
      </c>
      <c r="CF904" s="109">
        <f t="shared" si="332"/>
        <v>95032.883942349348</v>
      </c>
      <c r="CH904" s="58">
        <f t="array" ref="CH904">SUM(IF(CE904:CF904&gt;=CE904, 1))</f>
        <v>2</v>
      </c>
      <c r="CI904" s="58">
        <f t="array" ref="CI904">SUM(IF(CE904:CF904&gt;=CF904, 1))</f>
        <v>1</v>
      </c>
      <c r="CK904" s="109">
        <f t="shared" si="333"/>
        <v>43550.255252285424</v>
      </c>
      <c r="CL904" s="109">
        <f t="shared" si="334"/>
        <v>44201.104224292867</v>
      </c>
      <c r="CN904" s="58">
        <f t="array" ref="CN904">SUM(IF(CK904:CL904&gt;=CK904, 1))</f>
        <v>2</v>
      </c>
      <c r="CO904" s="58">
        <f t="array" ref="CO904">SUM(IF(CK904:CL904&gt;=CL904, 1))</f>
        <v>1</v>
      </c>
      <c r="CQ904" s="109" cm="1">
        <f t="array" ref="CQ904">AF904*WTP-AC904</f>
        <v>25661.25739976672</v>
      </c>
      <c r="CR904" s="109">
        <f t="shared" si="335"/>
        <v>27637.096691269631</v>
      </c>
      <c r="CT904" s="58">
        <f t="array" ref="CT904">SUM(IF(CQ904:CR904&gt;=CQ904, 1))</f>
        <v>2</v>
      </c>
      <c r="CU904" s="58">
        <f t="array" ref="CU904">SUM(IF(CQ904:CR904&gt;=CR904, 1))</f>
        <v>1</v>
      </c>
      <c r="CW904" s="109">
        <f t="shared" si="336"/>
        <v>-37458312.053803951</v>
      </c>
      <c r="CX904" s="109">
        <f t="shared" si="337"/>
        <v>0</v>
      </c>
      <c r="CZ904" s="58">
        <f t="array" ref="CZ904">SUM(IF(CW904:CX904&gt;=CW904, 1))</f>
        <v>2</v>
      </c>
      <c r="DA904" s="58">
        <f t="array" ref="DA904">SUM(IF(CW904:CX904&gt;=CX904, 1))</f>
        <v>1</v>
      </c>
      <c r="DC904" s="109">
        <f t="shared" si="338"/>
        <v>-2090163.9885235203</v>
      </c>
      <c r="DD904" s="109">
        <f t="shared" si="339"/>
        <v>0</v>
      </c>
      <c r="DF904" s="58">
        <f t="array" ref="DF904">SUM(IF(DC904:DD904&gt;=DC904, 1))</f>
        <v>2</v>
      </c>
      <c r="DG904" s="58">
        <f t="array" ref="DG904">SUM(IF(DC904:DD904&gt;=DD904, 1))</f>
        <v>1</v>
      </c>
      <c r="DI904" s="109">
        <f t="shared" si="340"/>
        <v>-52761631.53585507</v>
      </c>
      <c r="DJ904" s="109">
        <f t="shared" si="341"/>
        <v>0</v>
      </c>
      <c r="DL904" s="58">
        <f t="array" ref="DL904">SUM(IF(DI904:DJ904&gt;=DI904, 1))</f>
        <v>2</v>
      </c>
      <c r="DM904" s="58">
        <f t="array" ref="DM904">SUM(IF(DI904:DJ904&gt;=DJ904, 1))</f>
        <v>1</v>
      </c>
      <c r="DO904" s="109">
        <f t="shared" si="342"/>
        <v>-6048120.3115624189</v>
      </c>
      <c r="DP904" s="109">
        <f t="shared" si="343"/>
        <v>0</v>
      </c>
      <c r="DR904" s="58">
        <f t="array" ref="DR904">SUM(IF(DO904:DP904&gt;=DO904, 1))</f>
        <v>2</v>
      </c>
      <c r="DS904" s="58">
        <f t="array" ref="DS904">SUM(IF(DO904:DP904&gt;=DP904, 1))</f>
        <v>1</v>
      </c>
      <c r="DU904" s="109">
        <f t="shared" si="344"/>
        <v>-30319879.556476403</v>
      </c>
      <c r="DV904" s="109">
        <f t="shared" si="345"/>
        <v>0</v>
      </c>
      <c r="DX904" s="58">
        <f t="array" ref="DX904">SUM(IF(DU904:DV904&gt;=DU904, 1))</f>
        <v>2</v>
      </c>
      <c r="DY904" s="58">
        <f t="array" ref="DY904">SUM(IF(DU904:DV904&gt;=DV904, 1))</f>
        <v>1</v>
      </c>
      <c r="EA904" s="109">
        <f t="shared" si="346"/>
        <v>-128678107.44622137</v>
      </c>
      <c r="EB904" s="109">
        <f t="shared" si="347"/>
        <v>0</v>
      </c>
      <c r="ED904" s="58">
        <f t="array" ref="ED904">SUM(IF(EA904:EB904&gt;=EA904, 1))</f>
        <v>2</v>
      </c>
      <c r="EE904" s="58">
        <f t="array" ref="EE904">SUM(IF(EA904:EB904&gt;=EB904, 1))</f>
        <v>1</v>
      </c>
    </row>
    <row r="905" spans="4:135" ht="12" customHeight="1" x14ac:dyDescent="0.25">
      <c r="D905" s="11">
        <v>889</v>
      </c>
      <c r="E905" s="72">
        <v>310.9233868017547</v>
      </c>
      <c r="F905" s="72">
        <v>294.55513841086531</v>
      </c>
      <c r="G905" s="73"/>
      <c r="H905" s="74">
        <v>5.8397185486851342</v>
      </c>
      <c r="I905" s="74">
        <v>5.8528122711857105</v>
      </c>
      <c r="J905" s="73"/>
      <c r="K905" s="72">
        <v>334.32960204517997</v>
      </c>
      <c r="L905" s="72">
        <v>317.5514452357142</v>
      </c>
      <c r="M905" s="73"/>
      <c r="N905" s="74">
        <v>6.7050442040399343</v>
      </c>
      <c r="O905" s="74">
        <v>6.7161660480737702</v>
      </c>
      <c r="P905" s="73"/>
      <c r="Q905" s="72">
        <v>2793.7281507067846</v>
      </c>
      <c r="R905" s="72">
        <v>1522.4061506204732</v>
      </c>
      <c r="S905" s="73"/>
      <c r="T905" s="74">
        <v>4.79330290898098</v>
      </c>
      <c r="U905" s="74">
        <v>4.8908258753419247</v>
      </c>
      <c r="V905" s="73"/>
      <c r="W905" s="72">
        <v>15341.817749679089</v>
      </c>
      <c r="X905" s="72">
        <v>15344.293472734927</v>
      </c>
      <c r="Y905" s="73"/>
      <c r="Z905" s="74">
        <v>3.2521886680155632</v>
      </c>
      <c r="AA905" s="74">
        <v>3.3047702792072715</v>
      </c>
      <c r="AB905" s="73"/>
      <c r="AC905" s="72">
        <v>51124.107651045058</v>
      </c>
      <c r="AD905" s="72">
        <v>50804.621528919626</v>
      </c>
      <c r="AE905" s="73"/>
      <c r="AF905" s="74">
        <v>4.5282190632047881</v>
      </c>
      <c r="AG905" s="74">
        <v>4.6516094783355282</v>
      </c>
      <c r="AH905" s="73"/>
      <c r="AI905" s="72">
        <v>1765775.8056138984</v>
      </c>
      <c r="AJ905" s="72">
        <v>0</v>
      </c>
      <c r="AK905" s="73"/>
      <c r="AL905" s="74">
        <v>-1412.5261203763791</v>
      </c>
      <c r="AM905" s="74">
        <v>0</v>
      </c>
      <c r="AN905" s="73"/>
      <c r="AO905" s="72">
        <v>118621.53081363157</v>
      </c>
      <c r="AP905" s="72">
        <v>0</v>
      </c>
      <c r="AQ905" s="73"/>
      <c r="AR905" s="74">
        <v>-78.631412243075431</v>
      </c>
      <c r="AS905" s="74">
        <v>0</v>
      </c>
      <c r="AT905" s="73"/>
      <c r="AU905" s="72">
        <v>29139233.387345694</v>
      </c>
      <c r="AV905" s="72">
        <v>0</v>
      </c>
      <c r="AW905" s="73"/>
      <c r="AX905" s="74">
        <v>-2235.2672865134891</v>
      </c>
      <c r="AY905" s="74">
        <v>0</v>
      </c>
      <c r="AZ905" s="73"/>
      <c r="BA905" s="72">
        <v>-21961.115668428898</v>
      </c>
      <c r="BB905" s="72">
        <v>0</v>
      </c>
      <c r="BC905" s="73"/>
      <c r="BD905" s="74">
        <v>-466.42973360450259</v>
      </c>
      <c r="BE905" s="74">
        <v>0</v>
      </c>
      <c r="BF905" s="73"/>
      <c r="BG905" s="72">
        <v>5060727.0890335254</v>
      </c>
      <c r="BH905" s="72">
        <v>0</v>
      </c>
      <c r="BI905" s="73"/>
      <c r="BJ905" s="74">
        <v>-1954.5300190975668</v>
      </c>
      <c r="BK905" s="74">
        <v>0</v>
      </c>
      <c r="BL905" s="73"/>
      <c r="BM905" s="72">
        <v>36062396.697138324</v>
      </c>
      <c r="BN905" s="72">
        <v>0</v>
      </c>
      <c r="BO905" s="73"/>
      <c r="BP905" s="74">
        <v>-6147.384571835013</v>
      </c>
      <c r="BQ905" s="74">
        <v>0</v>
      </c>
      <c r="BS905" s="109">
        <f t="shared" si="327"/>
        <v>116483.44758690092</v>
      </c>
      <c r="BT905" s="109">
        <f t="shared" si="328"/>
        <v>116761.69028530334</v>
      </c>
      <c r="BV905" s="58">
        <f t="array" ref="BV905">SUM(IF(BS905:BT905&gt;=BS905, 1))</f>
        <v>2</v>
      </c>
      <c r="BW905" s="58">
        <f t="array" ref="BW905">SUM(IF(BS905:BT905&gt;=BT905, 1))</f>
        <v>1</v>
      </c>
      <c r="BY905" s="109">
        <f t="shared" si="329"/>
        <v>133766.5544787535</v>
      </c>
      <c r="BZ905" s="109">
        <f t="shared" si="330"/>
        <v>134005.7695162397</v>
      </c>
      <c r="CB905" s="58">
        <f t="array" ref="CB905">SUM(IF(BY905:BZ905&gt;=BY905, 1))</f>
        <v>2</v>
      </c>
      <c r="CC905" s="58">
        <f t="array" ref="CC905">SUM(IF(BY905:BZ905&gt;=BZ905, 1))</f>
        <v>1</v>
      </c>
      <c r="CE905" s="109">
        <f t="shared" si="331"/>
        <v>93072.330028912824</v>
      </c>
      <c r="CF905" s="109">
        <f t="shared" si="332"/>
        <v>96294.111356218025</v>
      </c>
      <c r="CH905" s="58">
        <f t="array" ref="CH905">SUM(IF(CE905:CF905&gt;=CE905, 1))</f>
        <v>2</v>
      </c>
      <c r="CI905" s="58">
        <f t="array" ref="CI905">SUM(IF(CE905:CF905&gt;=CF905, 1))</f>
        <v>1</v>
      </c>
      <c r="CK905" s="109">
        <f t="shared" si="333"/>
        <v>49701.955610632176</v>
      </c>
      <c r="CL905" s="109">
        <f t="shared" si="334"/>
        <v>50751.112111410497</v>
      </c>
      <c r="CN905" s="58">
        <f t="array" ref="CN905">SUM(IF(CK905:CL905&gt;=CK905, 1))</f>
        <v>2</v>
      </c>
      <c r="CO905" s="58">
        <f t="array" ref="CO905">SUM(IF(CK905:CL905&gt;=CL905, 1))</f>
        <v>1</v>
      </c>
      <c r="CQ905" s="109" cm="1">
        <f t="array" ref="CQ905">AF905*WTP-AC905</f>
        <v>39440.273613050704</v>
      </c>
      <c r="CR905" s="109">
        <f t="shared" si="335"/>
        <v>42227.56803779093</v>
      </c>
      <c r="CT905" s="58">
        <f t="array" ref="CT905">SUM(IF(CQ905:CR905&gt;=CQ905, 1))</f>
        <v>2</v>
      </c>
      <c r="CU905" s="58">
        <f t="array" ref="CU905">SUM(IF(CQ905:CR905&gt;=CR905, 1))</f>
        <v>1</v>
      </c>
      <c r="CW905" s="109">
        <f t="shared" si="336"/>
        <v>-30016298.213141482</v>
      </c>
      <c r="CX905" s="109">
        <f t="shared" si="337"/>
        <v>0</v>
      </c>
      <c r="CZ905" s="58">
        <f t="array" ref="CZ905">SUM(IF(CW905:CX905&gt;=CW905, 1))</f>
        <v>2</v>
      </c>
      <c r="DA905" s="58">
        <f t="array" ref="DA905">SUM(IF(CW905:CX905&gt;=CX905, 1))</f>
        <v>1</v>
      </c>
      <c r="DC905" s="109">
        <f t="shared" si="338"/>
        <v>-1691249.7756751403</v>
      </c>
      <c r="DD905" s="109">
        <f t="shared" si="339"/>
        <v>0</v>
      </c>
      <c r="DF905" s="58">
        <f t="array" ref="DF905">SUM(IF(DC905:DD905&gt;=DC905, 1))</f>
        <v>2</v>
      </c>
      <c r="DG905" s="58">
        <f t="array" ref="DG905">SUM(IF(DC905:DD905&gt;=DD905, 1))</f>
        <v>1</v>
      </c>
      <c r="DI905" s="109">
        <f t="shared" si="340"/>
        <v>-73844579.117615476</v>
      </c>
      <c r="DJ905" s="109">
        <f t="shared" si="341"/>
        <v>0</v>
      </c>
      <c r="DL905" s="58">
        <f t="array" ref="DL905">SUM(IF(DI905:DJ905&gt;=DI905, 1))</f>
        <v>2</v>
      </c>
      <c r="DM905" s="58">
        <f t="array" ref="DM905">SUM(IF(DI905:DJ905&gt;=DJ905, 1))</f>
        <v>1</v>
      </c>
      <c r="DO905" s="109">
        <f t="shared" si="342"/>
        <v>-9306633.5564216226</v>
      </c>
      <c r="DP905" s="109">
        <f t="shared" si="343"/>
        <v>0</v>
      </c>
      <c r="DR905" s="58">
        <f t="array" ref="DR905">SUM(IF(DO905:DP905&gt;=DO905, 1))</f>
        <v>2</v>
      </c>
      <c r="DS905" s="58">
        <f t="array" ref="DS905">SUM(IF(DO905:DP905&gt;=DP905, 1))</f>
        <v>1</v>
      </c>
      <c r="DU905" s="109">
        <f t="shared" si="344"/>
        <v>-44151327.470984861</v>
      </c>
      <c r="DV905" s="109">
        <f t="shared" si="345"/>
        <v>0</v>
      </c>
      <c r="DX905" s="58">
        <f t="array" ref="DX905">SUM(IF(DU905:DV905&gt;=DU905, 1))</f>
        <v>2</v>
      </c>
      <c r="DY905" s="58">
        <f t="array" ref="DY905">SUM(IF(DU905:DV905&gt;=DV905, 1))</f>
        <v>1</v>
      </c>
      <c r="EA905" s="109">
        <f t="shared" si="346"/>
        <v>-159010088.13383859</v>
      </c>
      <c r="EB905" s="109">
        <f t="shared" si="347"/>
        <v>0</v>
      </c>
      <c r="ED905" s="58">
        <f t="array" ref="ED905">SUM(IF(EA905:EB905&gt;=EA905, 1))</f>
        <v>2</v>
      </c>
      <c r="EE905" s="58">
        <f t="array" ref="EE905">SUM(IF(EA905:EB905&gt;=EB905, 1))</f>
        <v>1</v>
      </c>
    </row>
    <row r="906" spans="4:135" ht="12" customHeight="1" x14ac:dyDescent="0.25">
      <c r="D906" s="11">
        <v>890</v>
      </c>
      <c r="E906" s="72">
        <v>239.16622314559402</v>
      </c>
      <c r="F906" s="72">
        <v>219.40247783433171</v>
      </c>
      <c r="G906" s="73"/>
      <c r="H906" s="74">
        <v>5.8524504524891823</v>
      </c>
      <c r="I906" s="74">
        <v>5.8715133700193505</v>
      </c>
      <c r="J906" s="73"/>
      <c r="K906" s="72">
        <v>256.77627387864294</v>
      </c>
      <c r="L906" s="72">
        <v>236.57099147255218</v>
      </c>
      <c r="M906" s="73"/>
      <c r="N906" s="74">
        <v>6.7146369143977198</v>
      </c>
      <c r="O906" s="74">
        <v>6.7317094433769098</v>
      </c>
      <c r="P906" s="73"/>
      <c r="Q906" s="72">
        <v>2438.3397418016903</v>
      </c>
      <c r="R906" s="72">
        <v>1501.396550376116</v>
      </c>
      <c r="S906" s="73"/>
      <c r="T906" s="74">
        <v>4.9416882094511463</v>
      </c>
      <c r="U906" s="74">
        <v>5.036515662383124</v>
      </c>
      <c r="V906" s="73"/>
      <c r="W906" s="72">
        <v>9293.4577079079645</v>
      </c>
      <c r="X906" s="72">
        <v>9279.6533726876405</v>
      </c>
      <c r="Y906" s="73"/>
      <c r="Z906" s="74">
        <v>3.0729879608441384</v>
      </c>
      <c r="AA906" s="74">
        <v>3.1246483280974067</v>
      </c>
      <c r="AB906" s="73"/>
      <c r="AC906" s="72">
        <v>51071.63459711468</v>
      </c>
      <c r="AD906" s="72">
        <v>50954.50386495563</v>
      </c>
      <c r="AE906" s="73"/>
      <c r="AF906" s="74">
        <v>4.9373688564830829</v>
      </c>
      <c r="AG906" s="74">
        <v>5.1070017753820851</v>
      </c>
      <c r="AH906" s="73"/>
      <c r="AI906" s="72">
        <v>2118454.8246981665</v>
      </c>
      <c r="AJ906" s="72">
        <v>0</v>
      </c>
      <c r="AK906" s="73"/>
      <c r="AL906" s="74">
        <v>-2043.3338407571675</v>
      </c>
      <c r="AM906" s="74">
        <v>0</v>
      </c>
      <c r="AN906" s="73"/>
      <c r="AO906" s="72">
        <v>135659.4285671598</v>
      </c>
      <c r="AP906" s="72">
        <v>0</v>
      </c>
      <c r="AQ906" s="73"/>
      <c r="AR906" s="74">
        <v>-114.62594181881022</v>
      </c>
      <c r="AS906" s="74">
        <v>0</v>
      </c>
      <c r="AT906" s="73"/>
      <c r="AU906" s="72">
        <v>21772158.009586327</v>
      </c>
      <c r="AV906" s="72">
        <v>0</v>
      </c>
      <c r="AW906" s="73"/>
      <c r="AX906" s="74">
        <v>-2203.5469255508533</v>
      </c>
      <c r="AY906" s="74">
        <v>0</v>
      </c>
      <c r="AZ906" s="73"/>
      <c r="BA906" s="72">
        <v>125921.4759491774</v>
      </c>
      <c r="BB906" s="72">
        <v>0</v>
      </c>
      <c r="BC906" s="73"/>
      <c r="BD906" s="74">
        <v>-471.23962065414224</v>
      </c>
      <c r="BE906" s="74">
        <v>0</v>
      </c>
      <c r="BF906" s="73"/>
      <c r="BG906" s="72">
        <v>1815414.3358724746</v>
      </c>
      <c r="BH906" s="72">
        <v>0</v>
      </c>
      <c r="BI906" s="73"/>
      <c r="BJ906" s="74">
        <v>-2629.1480222882487</v>
      </c>
      <c r="BK906" s="74">
        <v>0</v>
      </c>
      <c r="BL906" s="73"/>
      <c r="BM906" s="72">
        <v>25967608.074673302</v>
      </c>
      <c r="BN906" s="72">
        <v>0</v>
      </c>
      <c r="BO906" s="73"/>
      <c r="BP906" s="74">
        <v>-7461.8943510692225</v>
      </c>
      <c r="BQ906" s="74">
        <v>0</v>
      </c>
      <c r="BS906" s="109">
        <f t="shared" si="327"/>
        <v>116809.84282663805</v>
      </c>
      <c r="BT906" s="109">
        <f t="shared" si="328"/>
        <v>117210.86492255268</v>
      </c>
      <c r="BV906" s="58">
        <f t="array" ref="BV906">SUM(IF(BS906:BT906&gt;=BS906, 1))</f>
        <v>2</v>
      </c>
      <c r="BW906" s="58">
        <f t="array" ref="BW906">SUM(IF(BS906:BT906&gt;=BT906, 1))</f>
        <v>1</v>
      </c>
      <c r="BY906" s="109">
        <f t="shared" si="329"/>
        <v>134035.96201407575</v>
      </c>
      <c r="BZ906" s="109">
        <f t="shared" si="330"/>
        <v>134397.61787606566</v>
      </c>
      <c r="CB906" s="58">
        <f t="array" ref="CB906">SUM(IF(BY906:BZ906&gt;=BY906, 1))</f>
        <v>2</v>
      </c>
      <c r="CC906" s="58">
        <f t="array" ref="CC906">SUM(IF(BY906:BZ906&gt;=BZ906, 1))</f>
        <v>1</v>
      </c>
      <c r="CE906" s="109">
        <f t="shared" si="331"/>
        <v>96395.424447221245</v>
      </c>
      <c r="CF906" s="109">
        <f t="shared" si="332"/>
        <v>99228.91669728636</v>
      </c>
      <c r="CH906" s="58">
        <f t="array" ref="CH906">SUM(IF(CE906:CF906&gt;=CE906, 1))</f>
        <v>2</v>
      </c>
      <c r="CI906" s="58">
        <f t="array" ref="CI906">SUM(IF(CE906:CF906&gt;=CF906, 1))</f>
        <v>1</v>
      </c>
      <c r="CK906" s="109">
        <f t="shared" si="333"/>
        <v>52166.301508974808</v>
      </c>
      <c r="CL906" s="109">
        <f t="shared" si="334"/>
        <v>53213.313189260487</v>
      </c>
      <c r="CN906" s="58">
        <f t="array" ref="CN906">SUM(IF(CK906:CL906&gt;=CK906, 1))</f>
        <v>2</v>
      </c>
      <c r="CO906" s="58">
        <f t="array" ref="CO906">SUM(IF(CK906:CL906&gt;=CL906, 1))</f>
        <v>1</v>
      </c>
      <c r="CQ906" s="109" cm="1">
        <f t="array" ref="CQ906">AF906*WTP-AC906</f>
        <v>47675.742532546981</v>
      </c>
      <c r="CR906" s="109">
        <f t="shared" si="335"/>
        <v>51185.531642686074</v>
      </c>
      <c r="CT906" s="58">
        <f t="array" ref="CT906">SUM(IF(CQ906:CR906&gt;=CQ906, 1))</f>
        <v>2</v>
      </c>
      <c r="CU906" s="58">
        <f t="array" ref="CU906">SUM(IF(CQ906:CR906&gt;=CR906, 1))</f>
        <v>1</v>
      </c>
      <c r="CW906" s="109">
        <f t="shared" si="336"/>
        <v>-42985131.639841519</v>
      </c>
      <c r="CX906" s="109">
        <f t="shared" si="337"/>
        <v>0</v>
      </c>
      <c r="CZ906" s="58">
        <f t="array" ref="CZ906">SUM(IF(CW906:CX906&gt;=CW906, 1))</f>
        <v>2</v>
      </c>
      <c r="DA906" s="58">
        <f t="array" ref="DA906">SUM(IF(CW906:CX906&gt;=CX906, 1))</f>
        <v>1</v>
      </c>
      <c r="DC906" s="109">
        <f t="shared" si="338"/>
        <v>-2428178.2649433641</v>
      </c>
      <c r="DD906" s="109">
        <f t="shared" si="339"/>
        <v>0</v>
      </c>
      <c r="DF906" s="58">
        <f t="array" ref="DF906">SUM(IF(DC906:DD906&gt;=DC906, 1))</f>
        <v>2</v>
      </c>
      <c r="DG906" s="58">
        <f t="array" ref="DG906">SUM(IF(DC906:DD906&gt;=DD906, 1))</f>
        <v>1</v>
      </c>
      <c r="DI906" s="109">
        <f t="shared" si="340"/>
        <v>-65843096.520603396</v>
      </c>
      <c r="DJ906" s="109">
        <f t="shared" si="341"/>
        <v>0</v>
      </c>
      <c r="DL906" s="58">
        <f t="array" ref="DL906">SUM(IF(DI906:DJ906&gt;=DI906, 1))</f>
        <v>2</v>
      </c>
      <c r="DM906" s="58">
        <f t="array" ref="DM906">SUM(IF(DI906:DJ906&gt;=DJ906, 1))</f>
        <v>1</v>
      </c>
      <c r="DO906" s="109">
        <f t="shared" si="342"/>
        <v>-9550713.889032023</v>
      </c>
      <c r="DP906" s="109">
        <f t="shared" si="343"/>
        <v>0</v>
      </c>
      <c r="DR906" s="58">
        <f t="array" ref="DR906">SUM(IF(DO906:DP906&gt;=DO906, 1))</f>
        <v>2</v>
      </c>
      <c r="DS906" s="58">
        <f t="array" ref="DS906">SUM(IF(DO906:DP906&gt;=DP906, 1))</f>
        <v>1</v>
      </c>
      <c r="DU906" s="109">
        <f t="shared" si="344"/>
        <v>-54398374.781637445</v>
      </c>
      <c r="DV906" s="109">
        <f t="shared" si="345"/>
        <v>0</v>
      </c>
      <c r="DX906" s="58">
        <f t="array" ref="DX906">SUM(IF(DU906:DV906&gt;=DU906, 1))</f>
        <v>2</v>
      </c>
      <c r="DY906" s="58">
        <f t="array" ref="DY906">SUM(IF(DU906:DV906&gt;=DV906, 1))</f>
        <v>1</v>
      </c>
      <c r="EA906" s="109">
        <f t="shared" si="346"/>
        <v>-175205495.09605774</v>
      </c>
      <c r="EB906" s="109">
        <f t="shared" si="347"/>
        <v>0</v>
      </c>
      <c r="ED906" s="58">
        <f t="array" ref="ED906">SUM(IF(EA906:EB906&gt;=EA906, 1))</f>
        <v>2</v>
      </c>
      <c r="EE906" s="58">
        <f t="array" ref="EE906">SUM(IF(EA906:EB906&gt;=EB906, 1))</f>
        <v>1</v>
      </c>
    </row>
    <row r="907" spans="4:135" ht="12" customHeight="1" x14ac:dyDescent="0.25">
      <c r="D907" s="11">
        <v>891</v>
      </c>
      <c r="E907" s="72">
        <v>220.46732218955415</v>
      </c>
      <c r="F907" s="72">
        <v>196.5283717401459</v>
      </c>
      <c r="G907" s="73"/>
      <c r="H907" s="74">
        <v>5.8368055921518538</v>
      </c>
      <c r="I907" s="74">
        <v>5.8506878667838249</v>
      </c>
      <c r="J907" s="73"/>
      <c r="K907" s="72">
        <v>236.35086510223513</v>
      </c>
      <c r="L907" s="72">
        <v>211.83966693379972</v>
      </c>
      <c r="M907" s="73"/>
      <c r="N907" s="74">
        <v>6.6709407990736</v>
      </c>
      <c r="O907" s="74">
        <v>6.6823491995124282</v>
      </c>
      <c r="P907" s="73"/>
      <c r="Q907" s="72">
        <v>2544.5425743187602</v>
      </c>
      <c r="R907" s="72">
        <v>1540.2592045272143</v>
      </c>
      <c r="S907" s="73"/>
      <c r="T907" s="74">
        <v>4.7198085541461534</v>
      </c>
      <c r="U907" s="74">
        <v>4.7798622725982058</v>
      </c>
      <c r="V907" s="73"/>
      <c r="W907" s="72">
        <v>15542.697376393175</v>
      </c>
      <c r="X907" s="72">
        <v>15488.380599910017</v>
      </c>
      <c r="Y907" s="73"/>
      <c r="Z907" s="74">
        <v>2.9257308103696889</v>
      </c>
      <c r="AA907" s="74">
        <v>2.9739036282904485</v>
      </c>
      <c r="AB907" s="73"/>
      <c r="AC907" s="72">
        <v>51504.625244866933</v>
      </c>
      <c r="AD907" s="72">
        <v>51167.081036726413</v>
      </c>
      <c r="AE907" s="73"/>
      <c r="AF907" s="74">
        <v>4.1165475079952314</v>
      </c>
      <c r="AG907" s="74">
        <v>4.1631259108973255</v>
      </c>
      <c r="AH907" s="73"/>
      <c r="AI907" s="72">
        <v>2569584.6554443408</v>
      </c>
      <c r="AJ907" s="72">
        <v>0</v>
      </c>
      <c r="AK907" s="73"/>
      <c r="AL907" s="74">
        <v>-1490.1104353912465</v>
      </c>
      <c r="AM907" s="74">
        <v>0</v>
      </c>
      <c r="AN907" s="73"/>
      <c r="AO907" s="72">
        <v>168648.25805017471</v>
      </c>
      <c r="AP907" s="72">
        <v>0</v>
      </c>
      <c r="AQ907" s="73"/>
      <c r="AR907" s="74">
        <v>-78.495014724530449</v>
      </c>
      <c r="AS907" s="74">
        <v>0</v>
      </c>
      <c r="AT907" s="73"/>
      <c r="AU907" s="72">
        <v>22781157.486096788</v>
      </c>
      <c r="AV907" s="72">
        <v>0</v>
      </c>
      <c r="AW907" s="73"/>
      <c r="AX907" s="74">
        <v>-1362.2581622215762</v>
      </c>
      <c r="AY907" s="74">
        <v>0</v>
      </c>
      <c r="AZ907" s="73"/>
      <c r="BA907" s="72">
        <v>482781.81609795184</v>
      </c>
      <c r="BB907" s="72">
        <v>0</v>
      </c>
      <c r="BC907" s="73"/>
      <c r="BD907" s="74">
        <v>-428.17269411323917</v>
      </c>
      <c r="BE907" s="74">
        <v>0</v>
      </c>
      <c r="BF907" s="73"/>
      <c r="BG907" s="72">
        <v>5208415.7235817676</v>
      </c>
      <c r="BH907" s="72">
        <v>0</v>
      </c>
      <c r="BI907" s="73"/>
      <c r="BJ907" s="74">
        <v>-718.71974160374077</v>
      </c>
      <c r="BK907" s="74">
        <v>0</v>
      </c>
      <c r="BL907" s="73"/>
      <c r="BM907" s="72">
        <v>31210587.939271025</v>
      </c>
      <c r="BN907" s="72">
        <v>0</v>
      </c>
      <c r="BO907" s="73"/>
      <c r="BP907" s="74">
        <v>-4077.756048054333</v>
      </c>
      <c r="BQ907" s="74">
        <v>0</v>
      </c>
      <c r="BS907" s="109">
        <f t="shared" si="327"/>
        <v>116515.64452084752</v>
      </c>
      <c r="BT907" s="109">
        <f t="shared" si="328"/>
        <v>116817.22896393634</v>
      </c>
      <c r="BV907" s="58">
        <f t="array" ref="BV907">SUM(IF(BS907:BT907&gt;=BS907, 1))</f>
        <v>2</v>
      </c>
      <c r="BW907" s="58">
        <f t="array" ref="BW907">SUM(IF(BS907:BT907&gt;=BT907, 1))</f>
        <v>1</v>
      </c>
      <c r="BY907" s="109">
        <f t="shared" si="329"/>
        <v>133182.46511636977</v>
      </c>
      <c r="BZ907" s="109">
        <f t="shared" si="330"/>
        <v>133435.14432331474</v>
      </c>
      <c r="CB907" s="58">
        <f t="array" ref="CB907">SUM(IF(BY907:BZ907&gt;=BY907, 1))</f>
        <v>2</v>
      </c>
      <c r="CC907" s="58">
        <f t="array" ref="CC907">SUM(IF(BY907:BZ907&gt;=BZ907, 1))</f>
        <v>1</v>
      </c>
      <c r="CE907" s="109">
        <f t="shared" si="331"/>
        <v>91851.628508604306</v>
      </c>
      <c r="CF907" s="109">
        <f t="shared" si="332"/>
        <v>94056.9862474369</v>
      </c>
      <c r="CH907" s="58">
        <f t="array" ref="CH907">SUM(IF(CE907:CF907&gt;=CE907, 1))</f>
        <v>2</v>
      </c>
      <c r="CI907" s="58">
        <f t="array" ref="CI907">SUM(IF(CE907:CF907&gt;=CF907, 1))</f>
        <v>1</v>
      </c>
      <c r="CK907" s="109">
        <f t="shared" si="333"/>
        <v>42971.918831000599</v>
      </c>
      <c r="CL907" s="109">
        <f t="shared" si="334"/>
        <v>43989.691965898957</v>
      </c>
      <c r="CN907" s="58">
        <f t="array" ref="CN907">SUM(IF(CK907:CL907&gt;=CK907, 1))</f>
        <v>2</v>
      </c>
      <c r="CO907" s="58">
        <f t="array" ref="CO907">SUM(IF(CK907:CL907&gt;=CL907, 1))</f>
        <v>1</v>
      </c>
      <c r="CQ907" s="109" cm="1">
        <f t="array" ref="CQ907">AF907*WTP-AC907</f>
        <v>30826.324915037701</v>
      </c>
      <c r="CR907" s="109">
        <f t="shared" si="335"/>
        <v>32095.437181220092</v>
      </c>
      <c r="CT907" s="58">
        <f t="array" ref="CT907">SUM(IF(CQ907:CR907&gt;=CQ907, 1))</f>
        <v>2</v>
      </c>
      <c r="CU907" s="58">
        <f t="array" ref="CU907">SUM(IF(CQ907:CR907&gt;=CR907, 1))</f>
        <v>1</v>
      </c>
      <c r="CW907" s="109">
        <f t="shared" si="336"/>
        <v>-32371793.363269269</v>
      </c>
      <c r="CX907" s="109">
        <f t="shared" si="337"/>
        <v>0</v>
      </c>
      <c r="CZ907" s="58">
        <f t="array" ref="CZ907">SUM(IF(CW907:CX907&gt;=CW907, 1))</f>
        <v>2</v>
      </c>
      <c r="DA907" s="58">
        <f t="array" ref="DA907">SUM(IF(CW907:CX907&gt;=CX907, 1))</f>
        <v>1</v>
      </c>
      <c r="DC907" s="109">
        <f t="shared" si="338"/>
        <v>-1738548.5525407838</v>
      </c>
      <c r="DD907" s="109">
        <f t="shared" si="339"/>
        <v>0</v>
      </c>
      <c r="DF907" s="58">
        <f t="array" ref="DF907">SUM(IF(DC907:DD907&gt;=DC907, 1))</f>
        <v>2</v>
      </c>
      <c r="DG907" s="58">
        <f t="array" ref="DG907">SUM(IF(DC907:DD907&gt;=DD907, 1))</f>
        <v>1</v>
      </c>
      <c r="DI907" s="109">
        <f t="shared" si="340"/>
        <v>-50026320.73052831</v>
      </c>
      <c r="DJ907" s="109">
        <f t="shared" si="341"/>
        <v>0</v>
      </c>
      <c r="DL907" s="58">
        <f t="array" ref="DL907">SUM(IF(DI907:DJ907&gt;=DI907, 1))</f>
        <v>2</v>
      </c>
      <c r="DM907" s="58">
        <f t="array" ref="DM907">SUM(IF(DI907:DJ907&gt;=DJ907, 1))</f>
        <v>1</v>
      </c>
      <c r="DO907" s="109">
        <f t="shared" si="342"/>
        <v>-9046235.698362736</v>
      </c>
      <c r="DP907" s="109">
        <f t="shared" si="343"/>
        <v>0</v>
      </c>
      <c r="DR907" s="58">
        <f t="array" ref="DR907">SUM(IF(DO907:DP907&gt;=DO907, 1))</f>
        <v>2</v>
      </c>
      <c r="DS907" s="58">
        <f t="array" ref="DS907">SUM(IF(DO907:DP907&gt;=DP907, 1))</f>
        <v>1</v>
      </c>
      <c r="DU907" s="109">
        <f t="shared" si="344"/>
        <v>-19582810.555656582</v>
      </c>
      <c r="DV907" s="109">
        <f t="shared" si="345"/>
        <v>0</v>
      </c>
      <c r="DX907" s="58">
        <f t="array" ref="DX907">SUM(IF(DU907:DV907&gt;=DU907, 1))</f>
        <v>2</v>
      </c>
      <c r="DY907" s="58">
        <f t="array" ref="DY907">SUM(IF(DU907:DV907&gt;=DV907, 1))</f>
        <v>1</v>
      </c>
      <c r="EA907" s="109">
        <f t="shared" si="346"/>
        <v>-112765708.90035769</v>
      </c>
      <c r="EB907" s="109">
        <f t="shared" si="347"/>
        <v>0</v>
      </c>
      <c r="ED907" s="58">
        <f t="array" ref="ED907">SUM(IF(EA907:EB907&gt;=EA907, 1))</f>
        <v>2</v>
      </c>
      <c r="EE907" s="58">
        <f t="array" ref="EE907">SUM(IF(EA907:EB907&gt;=EB907, 1))</f>
        <v>1</v>
      </c>
    </row>
    <row r="908" spans="4:135" ht="12" customHeight="1" x14ac:dyDescent="0.25">
      <c r="D908" s="11">
        <v>892</v>
      </c>
      <c r="E908" s="72">
        <v>267.41641738144756</v>
      </c>
      <c r="F908" s="72">
        <v>249.88548240210164</v>
      </c>
      <c r="G908" s="73"/>
      <c r="H908" s="74">
        <v>5.8740849150387264</v>
      </c>
      <c r="I908" s="74">
        <v>5.889921410410655</v>
      </c>
      <c r="J908" s="73"/>
      <c r="K908" s="72">
        <v>287.48839048263062</v>
      </c>
      <c r="L908" s="72">
        <v>269.5067795480503</v>
      </c>
      <c r="M908" s="73"/>
      <c r="N908" s="74">
        <v>6.6774857557435787</v>
      </c>
      <c r="O908" s="74">
        <v>6.6906333800437308</v>
      </c>
      <c r="P908" s="73"/>
      <c r="Q908" s="72">
        <v>3101.6908174333248</v>
      </c>
      <c r="R908" s="72">
        <v>1634.792057205394</v>
      </c>
      <c r="S908" s="73"/>
      <c r="T908" s="74">
        <v>4.870586072970327</v>
      </c>
      <c r="U908" s="74">
        <v>4.9957223160060327</v>
      </c>
      <c r="V908" s="73"/>
      <c r="W908" s="72">
        <v>8860.3757017133503</v>
      </c>
      <c r="X908" s="72">
        <v>8839.571963192855</v>
      </c>
      <c r="Y908" s="73"/>
      <c r="Z908" s="74">
        <v>2.9882034738545946</v>
      </c>
      <c r="AA908" s="74">
        <v>3.0425559108120002</v>
      </c>
      <c r="AB908" s="73"/>
      <c r="AC908" s="72">
        <v>50141.347304635121</v>
      </c>
      <c r="AD908" s="72">
        <v>50241.526439680754</v>
      </c>
      <c r="AE908" s="73"/>
      <c r="AF908" s="74">
        <v>4.2568826420636832</v>
      </c>
      <c r="AG908" s="74">
        <v>4.354468662896184</v>
      </c>
      <c r="AH908" s="73"/>
      <c r="AI908" s="72">
        <v>1864101.1208899717</v>
      </c>
      <c r="AJ908" s="72">
        <v>0</v>
      </c>
      <c r="AK908" s="73"/>
      <c r="AL908" s="74">
        <v>-1683.9278001179541</v>
      </c>
      <c r="AM908" s="74">
        <v>0</v>
      </c>
      <c r="AN908" s="73"/>
      <c r="AO908" s="72">
        <v>123094.10486870812</v>
      </c>
      <c r="AP908" s="72">
        <v>0</v>
      </c>
      <c r="AQ908" s="73"/>
      <c r="AR908" s="74">
        <v>-90.00278396998155</v>
      </c>
      <c r="AS908" s="74">
        <v>0</v>
      </c>
      <c r="AT908" s="73"/>
      <c r="AU908" s="72">
        <v>33375223.914208617</v>
      </c>
      <c r="AV908" s="72">
        <v>0</v>
      </c>
      <c r="AW908" s="73"/>
      <c r="AX908" s="74">
        <v>-2847.1290891612439</v>
      </c>
      <c r="AY908" s="74">
        <v>0</v>
      </c>
      <c r="AZ908" s="73"/>
      <c r="BA908" s="72">
        <v>186666.48073176152</v>
      </c>
      <c r="BB908" s="72">
        <v>0</v>
      </c>
      <c r="BC908" s="73"/>
      <c r="BD908" s="74">
        <v>-487.69013877186052</v>
      </c>
      <c r="BE908" s="74">
        <v>0</v>
      </c>
      <c r="BF908" s="73"/>
      <c r="BG908" s="72">
        <v>-1612421.753207841</v>
      </c>
      <c r="BH908" s="72">
        <v>0</v>
      </c>
      <c r="BI908" s="73"/>
      <c r="BJ908" s="74">
        <v>-1570.68458145144</v>
      </c>
      <c r="BK908" s="74">
        <v>0</v>
      </c>
      <c r="BL908" s="73"/>
      <c r="BM908" s="72">
        <v>33936663.867491223</v>
      </c>
      <c r="BN908" s="72">
        <v>0</v>
      </c>
      <c r="BO908" s="73"/>
      <c r="BP908" s="74">
        <v>-6679.4343934724802</v>
      </c>
      <c r="BQ908" s="74">
        <v>0</v>
      </c>
      <c r="BS908" s="109">
        <f t="shared" si="327"/>
        <v>117214.28188339308</v>
      </c>
      <c r="BT908" s="109">
        <f t="shared" si="328"/>
        <v>117548.542725811</v>
      </c>
      <c r="BV908" s="58">
        <f t="array" ref="BV908">SUM(IF(BS908:BT908&gt;=BS908, 1))</f>
        <v>2</v>
      </c>
      <c r="BW908" s="58">
        <f t="array" ref="BW908">SUM(IF(BS908:BT908&gt;=BT908, 1))</f>
        <v>1</v>
      </c>
      <c r="BY908" s="109">
        <f t="shared" si="329"/>
        <v>133262.22672438892</v>
      </c>
      <c r="BZ908" s="109">
        <f t="shared" si="330"/>
        <v>133543.16082132657</v>
      </c>
      <c r="CB908" s="58">
        <f t="array" ref="CB908">SUM(IF(BY908:BZ908&gt;=BY908, 1))</f>
        <v>2</v>
      </c>
      <c r="CC908" s="58">
        <f t="array" ref="CC908">SUM(IF(BY908:BZ908&gt;=BZ908, 1))</f>
        <v>1</v>
      </c>
      <c r="CE908" s="109">
        <f t="shared" si="331"/>
        <v>94310.030641973222</v>
      </c>
      <c r="CF908" s="109">
        <f t="shared" si="332"/>
        <v>98279.654262915254</v>
      </c>
      <c r="CH908" s="58">
        <f t="array" ref="CH908">SUM(IF(CE908:CF908&gt;=CE908, 1))</f>
        <v>2</v>
      </c>
      <c r="CI908" s="58">
        <f t="array" ref="CI908">SUM(IF(CE908:CF908&gt;=CF908, 1))</f>
        <v>1</v>
      </c>
      <c r="CK908" s="109">
        <f t="shared" si="333"/>
        <v>50903.693775378546</v>
      </c>
      <c r="CL908" s="109">
        <f t="shared" si="334"/>
        <v>52011.546253047141</v>
      </c>
      <c r="CN908" s="58">
        <f t="array" ref="CN908">SUM(IF(CK908:CL908&gt;=CK908, 1))</f>
        <v>2</v>
      </c>
      <c r="CO908" s="58">
        <f t="array" ref="CO908">SUM(IF(CK908:CL908&gt;=CL908, 1))</f>
        <v>1</v>
      </c>
      <c r="CQ908" s="109" cm="1">
        <f t="array" ref="CQ908">AF908*WTP-AC908</f>
        <v>34996.305536638545</v>
      </c>
      <c r="CR908" s="109">
        <f t="shared" si="335"/>
        <v>36847.846818242928</v>
      </c>
      <c r="CT908" s="58">
        <f t="array" ref="CT908">SUM(IF(CQ908:CR908&gt;=CQ908, 1))</f>
        <v>2</v>
      </c>
      <c r="CU908" s="58">
        <f t="array" ref="CU908">SUM(IF(CQ908:CR908&gt;=CR908, 1))</f>
        <v>1</v>
      </c>
      <c r="CW908" s="109">
        <f t="shared" si="336"/>
        <v>-35542657.123249054</v>
      </c>
      <c r="CX908" s="109">
        <f t="shared" si="337"/>
        <v>0</v>
      </c>
      <c r="CZ908" s="58">
        <f t="array" ref="CZ908">SUM(IF(CW908:CX908&gt;=CW908, 1))</f>
        <v>2</v>
      </c>
      <c r="DA908" s="58">
        <f t="array" ref="DA908">SUM(IF(CW908:CX908&gt;=CX908, 1))</f>
        <v>1</v>
      </c>
      <c r="DC908" s="109">
        <f t="shared" si="338"/>
        <v>-1923149.7842683392</v>
      </c>
      <c r="DD908" s="109">
        <f t="shared" si="339"/>
        <v>0</v>
      </c>
      <c r="DF908" s="58">
        <f t="array" ref="DF908">SUM(IF(DC908:DD908&gt;=DC908, 1))</f>
        <v>2</v>
      </c>
      <c r="DG908" s="58">
        <f t="array" ref="DG908">SUM(IF(DC908:DD908&gt;=DD908, 1))</f>
        <v>1</v>
      </c>
      <c r="DI908" s="109">
        <f t="shared" si="340"/>
        <v>-90317805.697433501</v>
      </c>
      <c r="DJ908" s="109">
        <f t="shared" si="341"/>
        <v>0</v>
      </c>
      <c r="DL908" s="58">
        <f t="array" ref="DL908">SUM(IF(DI908:DJ908&gt;=DI908, 1))</f>
        <v>2</v>
      </c>
      <c r="DM908" s="58">
        <f t="array" ref="DM908">SUM(IF(DI908:DJ908&gt;=DJ908, 1))</f>
        <v>1</v>
      </c>
      <c r="DO908" s="109">
        <f t="shared" si="342"/>
        <v>-9940469.2561689708</v>
      </c>
      <c r="DP908" s="109">
        <f t="shared" si="343"/>
        <v>0</v>
      </c>
      <c r="DR908" s="58">
        <f t="array" ref="DR908">SUM(IF(DO908:DP908&gt;=DO908, 1))</f>
        <v>2</v>
      </c>
      <c r="DS908" s="58">
        <f t="array" ref="DS908">SUM(IF(DO908:DP908&gt;=DP908, 1))</f>
        <v>1</v>
      </c>
      <c r="DU908" s="109">
        <f t="shared" si="344"/>
        <v>-29801269.875820961</v>
      </c>
      <c r="DV908" s="109">
        <f t="shared" si="345"/>
        <v>0</v>
      </c>
      <c r="DX908" s="58">
        <f t="array" ref="DX908">SUM(IF(DU908:DV908&gt;=DU908, 1))</f>
        <v>2</v>
      </c>
      <c r="DY908" s="58">
        <f t="array" ref="DY908">SUM(IF(DU908:DV908&gt;=DV908, 1))</f>
        <v>1</v>
      </c>
      <c r="EA908" s="109">
        <f t="shared" si="346"/>
        <v>-167525351.73694083</v>
      </c>
      <c r="EB908" s="109">
        <f t="shared" si="347"/>
        <v>0</v>
      </c>
      <c r="ED908" s="58">
        <f t="array" ref="ED908">SUM(IF(EA908:EB908&gt;=EA908, 1))</f>
        <v>2</v>
      </c>
      <c r="EE908" s="58">
        <f t="array" ref="EE908">SUM(IF(EA908:EB908&gt;=EB908, 1))</f>
        <v>1</v>
      </c>
    </row>
    <row r="909" spans="4:135" ht="12" customHeight="1" x14ac:dyDescent="0.25">
      <c r="D909" s="11">
        <v>893</v>
      </c>
      <c r="E909" s="72">
        <v>260.75863650133158</v>
      </c>
      <c r="F909" s="72">
        <v>257.79470652111848</v>
      </c>
      <c r="G909" s="73"/>
      <c r="H909" s="74">
        <v>5.8297525795170948</v>
      </c>
      <c r="I909" s="74">
        <v>5.8420090413774615</v>
      </c>
      <c r="J909" s="73"/>
      <c r="K909" s="72">
        <v>281.14997921234732</v>
      </c>
      <c r="L909" s="72">
        <v>278.08176828605804</v>
      </c>
      <c r="M909" s="73"/>
      <c r="N909" s="74">
        <v>6.6724400929685084</v>
      </c>
      <c r="O909" s="74">
        <v>6.6827717409218188</v>
      </c>
      <c r="P909" s="73"/>
      <c r="Q909" s="72">
        <v>1751.6876744837587</v>
      </c>
      <c r="R909" s="72">
        <v>1032.0438108243661</v>
      </c>
      <c r="S909" s="73"/>
      <c r="T909" s="74">
        <v>4.6732152320115654</v>
      </c>
      <c r="U909" s="74">
        <v>4.7564913319015067</v>
      </c>
      <c r="V909" s="73"/>
      <c r="W909" s="72">
        <v>12021.527252343249</v>
      </c>
      <c r="X909" s="72">
        <v>11991.482618472497</v>
      </c>
      <c r="Y909" s="73"/>
      <c r="Z909" s="74">
        <v>3.2274626755267426</v>
      </c>
      <c r="AA909" s="74">
        <v>3.2701633036715161</v>
      </c>
      <c r="AB909" s="73"/>
      <c r="AC909" s="72">
        <v>49703.960398949224</v>
      </c>
      <c r="AD909" s="72">
        <v>49706.797065844527</v>
      </c>
      <c r="AE909" s="73"/>
      <c r="AF909" s="74">
        <v>4.384310426904916</v>
      </c>
      <c r="AG909" s="74">
        <v>4.501792039167011</v>
      </c>
      <c r="AH909" s="73"/>
      <c r="AI909" s="72">
        <v>323050.78365458926</v>
      </c>
      <c r="AJ909" s="72">
        <v>0</v>
      </c>
      <c r="AK909" s="73"/>
      <c r="AL909" s="74">
        <v>-1335.8816285327248</v>
      </c>
      <c r="AM909" s="74">
        <v>0</v>
      </c>
      <c r="AN909" s="73"/>
      <c r="AO909" s="72">
        <v>22113.62452187332</v>
      </c>
      <c r="AP909" s="72">
        <v>0</v>
      </c>
      <c r="AQ909" s="73"/>
      <c r="AR909" s="74">
        <v>-74.46364967091796</v>
      </c>
      <c r="AS909" s="74">
        <v>0</v>
      </c>
      <c r="AT909" s="73"/>
      <c r="AU909" s="72">
        <v>16947255.932163879</v>
      </c>
      <c r="AV909" s="72">
        <v>0</v>
      </c>
      <c r="AW909" s="73"/>
      <c r="AX909" s="74">
        <v>-1961.1108343101903</v>
      </c>
      <c r="AY909" s="74">
        <v>0</v>
      </c>
      <c r="AZ909" s="73"/>
      <c r="BA909" s="72">
        <v>267054.07663831685</v>
      </c>
      <c r="BB909" s="72">
        <v>0</v>
      </c>
      <c r="BC909" s="73"/>
      <c r="BD909" s="74">
        <v>-379.54787101532264</v>
      </c>
      <c r="BE909" s="74">
        <v>0</v>
      </c>
      <c r="BF909" s="73"/>
      <c r="BG909" s="72">
        <v>-45980.112479823074</v>
      </c>
      <c r="BH909" s="72">
        <v>0</v>
      </c>
      <c r="BI909" s="73"/>
      <c r="BJ909" s="74">
        <v>-1904.2834232909247</v>
      </c>
      <c r="BK909" s="74">
        <v>0</v>
      </c>
      <c r="BL909" s="73"/>
      <c r="BM909" s="72">
        <v>17513494.304498836</v>
      </c>
      <c r="BN909" s="72">
        <v>0</v>
      </c>
      <c r="BO909" s="73"/>
      <c r="BP909" s="74">
        <v>-5655.2874068200799</v>
      </c>
      <c r="BQ909" s="74">
        <v>0</v>
      </c>
      <c r="BS909" s="109">
        <f t="shared" si="327"/>
        <v>116334.29295384057</v>
      </c>
      <c r="BT909" s="109">
        <f t="shared" si="328"/>
        <v>116582.3861210281</v>
      </c>
      <c r="BV909" s="58">
        <f t="array" ref="BV909">SUM(IF(BS909:BT909&gt;=BS909, 1))</f>
        <v>2</v>
      </c>
      <c r="BW909" s="58">
        <f t="array" ref="BW909">SUM(IF(BS909:BT909&gt;=BT909, 1))</f>
        <v>1</v>
      </c>
      <c r="BY909" s="109">
        <f t="shared" si="329"/>
        <v>133167.65188015782</v>
      </c>
      <c r="BZ909" s="109">
        <f t="shared" si="330"/>
        <v>133377.3530501503</v>
      </c>
      <c r="CB909" s="58">
        <f t="array" ref="CB909">SUM(IF(BY909:BZ909&gt;=BY909, 1))</f>
        <v>2</v>
      </c>
      <c r="CC909" s="58">
        <f t="array" ref="CC909">SUM(IF(BY909:BZ909&gt;=BZ909, 1))</f>
        <v>1</v>
      </c>
      <c r="CE909" s="109">
        <f t="shared" si="331"/>
        <v>91712.61696574754</v>
      </c>
      <c r="CF909" s="109">
        <f t="shared" si="332"/>
        <v>94097.782827205767</v>
      </c>
      <c r="CH909" s="58">
        <f t="array" ref="CH909">SUM(IF(CE909:CF909&gt;=CE909, 1))</f>
        <v>2</v>
      </c>
      <c r="CI909" s="58">
        <f t="array" ref="CI909">SUM(IF(CE909:CF909&gt;=CF909, 1))</f>
        <v>1</v>
      </c>
      <c r="CK909" s="109">
        <f t="shared" si="333"/>
        <v>52527.7262581916</v>
      </c>
      <c r="CL909" s="109">
        <f t="shared" si="334"/>
        <v>53411.783454957826</v>
      </c>
      <c r="CN909" s="58">
        <f t="array" ref="CN909">SUM(IF(CK909:CL909&gt;=CK909, 1))</f>
        <v>2</v>
      </c>
      <c r="CO909" s="58">
        <f t="array" ref="CO909">SUM(IF(CK909:CL909&gt;=CL909, 1))</f>
        <v>1</v>
      </c>
      <c r="CQ909" s="109" cm="1">
        <f t="array" ref="CQ909">AF909*WTP-AC909</f>
        <v>37982.248139149095</v>
      </c>
      <c r="CR909" s="109">
        <f t="shared" si="335"/>
        <v>40329.04371749569</v>
      </c>
      <c r="CT909" s="58">
        <f t="array" ref="CT909">SUM(IF(CQ909:CR909&gt;=CQ909, 1))</f>
        <v>2</v>
      </c>
      <c r="CU909" s="58">
        <f t="array" ref="CU909">SUM(IF(CQ909:CR909&gt;=CR909, 1))</f>
        <v>1</v>
      </c>
      <c r="CW909" s="109">
        <f t="shared" si="336"/>
        <v>-27040683.354309086</v>
      </c>
      <c r="CX909" s="109">
        <f t="shared" si="337"/>
        <v>0</v>
      </c>
      <c r="CZ909" s="58">
        <f t="array" ref="CZ909">SUM(IF(CW909:CX909&gt;=CW909, 1))</f>
        <v>2</v>
      </c>
      <c r="DA909" s="58">
        <f t="array" ref="DA909">SUM(IF(CW909:CX909&gt;=CX909, 1))</f>
        <v>1</v>
      </c>
      <c r="DC909" s="109">
        <f t="shared" si="338"/>
        <v>-1511386.6179402326</v>
      </c>
      <c r="DD909" s="109">
        <f t="shared" si="339"/>
        <v>0</v>
      </c>
      <c r="DF909" s="58">
        <f t="array" ref="DF909">SUM(IF(DC909:DD909&gt;=DC909, 1))</f>
        <v>2</v>
      </c>
      <c r="DG909" s="58">
        <f t="array" ref="DG909">SUM(IF(DC909:DD909&gt;=DD909, 1))</f>
        <v>1</v>
      </c>
      <c r="DI909" s="109">
        <f t="shared" si="340"/>
        <v>-56169472.618367687</v>
      </c>
      <c r="DJ909" s="109">
        <f t="shared" si="341"/>
        <v>0</v>
      </c>
      <c r="DL909" s="58">
        <f t="array" ref="DL909">SUM(IF(DI909:DJ909&gt;=DI909, 1))</f>
        <v>2</v>
      </c>
      <c r="DM909" s="58">
        <f t="array" ref="DM909">SUM(IF(DI909:DJ909&gt;=DJ909, 1))</f>
        <v>1</v>
      </c>
      <c r="DO909" s="109">
        <f t="shared" si="342"/>
        <v>-7858011.4969447693</v>
      </c>
      <c r="DP909" s="109">
        <f t="shared" si="343"/>
        <v>0</v>
      </c>
      <c r="DR909" s="58">
        <f t="array" ref="DR909">SUM(IF(DO909:DP909&gt;=DO909, 1))</f>
        <v>2</v>
      </c>
      <c r="DS909" s="58">
        <f t="array" ref="DS909">SUM(IF(DO909:DP909&gt;=DP909, 1))</f>
        <v>1</v>
      </c>
      <c r="DU909" s="109">
        <f t="shared" si="344"/>
        <v>-38039688.353338674</v>
      </c>
      <c r="DV909" s="109">
        <f t="shared" si="345"/>
        <v>0</v>
      </c>
      <c r="DX909" s="58">
        <f t="array" ref="DX909">SUM(IF(DU909:DV909&gt;=DU909, 1))</f>
        <v>2</v>
      </c>
      <c r="DY909" s="58">
        <f t="array" ref="DY909">SUM(IF(DU909:DV909&gt;=DV909, 1))</f>
        <v>1</v>
      </c>
      <c r="EA909" s="109">
        <f t="shared" si="346"/>
        <v>-130619242.44090043</v>
      </c>
      <c r="EB909" s="109">
        <f t="shared" si="347"/>
        <v>0</v>
      </c>
      <c r="ED909" s="58">
        <f t="array" ref="ED909">SUM(IF(EA909:EB909&gt;=EA909, 1))</f>
        <v>2</v>
      </c>
      <c r="EE909" s="58">
        <f t="array" ref="EE909">SUM(IF(EA909:EB909&gt;=EB909, 1))</f>
        <v>1</v>
      </c>
    </row>
    <row r="910" spans="4:135" ht="12" customHeight="1" x14ac:dyDescent="0.25">
      <c r="D910" s="11">
        <v>894</v>
      </c>
      <c r="E910" s="72">
        <v>231.60211155974642</v>
      </c>
      <c r="F910" s="72">
        <v>201.22194283460243</v>
      </c>
      <c r="G910" s="73"/>
      <c r="H910" s="74">
        <v>5.8707377817577768</v>
      </c>
      <c r="I910" s="74">
        <v>5.8859091981310527</v>
      </c>
      <c r="J910" s="73"/>
      <c r="K910" s="72">
        <v>248.0049175460353</v>
      </c>
      <c r="L910" s="72">
        <v>216.90278848627958</v>
      </c>
      <c r="M910" s="73"/>
      <c r="N910" s="74">
        <v>6.6991983127118724</v>
      </c>
      <c r="O910" s="74">
        <v>6.7119402722018284</v>
      </c>
      <c r="P910" s="73"/>
      <c r="Q910" s="72">
        <v>2393.0789988263614</v>
      </c>
      <c r="R910" s="72">
        <v>1174.9623538936069</v>
      </c>
      <c r="S910" s="73"/>
      <c r="T910" s="74">
        <v>4.7060386476125222</v>
      </c>
      <c r="U910" s="74">
        <v>4.8376229192587168</v>
      </c>
      <c r="V910" s="73"/>
      <c r="W910" s="72">
        <v>12659.458119257704</v>
      </c>
      <c r="X910" s="72">
        <v>12697.835107905747</v>
      </c>
      <c r="Y910" s="73"/>
      <c r="Z910" s="74">
        <v>3.0728318640939452</v>
      </c>
      <c r="AA910" s="74">
        <v>3.1436257040425319</v>
      </c>
      <c r="AB910" s="73"/>
      <c r="AC910" s="72">
        <v>52250.063767676118</v>
      </c>
      <c r="AD910" s="72">
        <v>51717.143399009277</v>
      </c>
      <c r="AE910" s="73"/>
      <c r="AF910" s="74">
        <v>4.9604282923693628</v>
      </c>
      <c r="AG910" s="74">
        <v>5.1133083297635435</v>
      </c>
      <c r="AH910" s="73"/>
      <c r="AI910" s="72">
        <v>3281414.4726147386</v>
      </c>
      <c r="AJ910" s="72">
        <v>0</v>
      </c>
      <c r="AK910" s="73"/>
      <c r="AL910" s="74">
        <v>-1638.6908745549044</v>
      </c>
      <c r="AM910" s="74">
        <v>0</v>
      </c>
      <c r="AN910" s="73"/>
      <c r="AO910" s="72">
        <v>220880.34101470603</v>
      </c>
      <c r="AP910" s="72">
        <v>0</v>
      </c>
      <c r="AQ910" s="73"/>
      <c r="AR910" s="74">
        <v>-90.490536899571524</v>
      </c>
      <c r="AS910" s="74">
        <v>0</v>
      </c>
      <c r="AT910" s="73"/>
      <c r="AU910" s="72">
        <v>27519372.132684372</v>
      </c>
      <c r="AV910" s="72">
        <v>0</v>
      </c>
      <c r="AW910" s="73"/>
      <c r="AX910" s="74">
        <v>-2972.7173939403474</v>
      </c>
      <c r="AY910" s="74">
        <v>0</v>
      </c>
      <c r="AZ910" s="73"/>
      <c r="BA910" s="72">
        <v>-330066.91604036029</v>
      </c>
      <c r="BB910" s="72">
        <v>0</v>
      </c>
      <c r="BC910" s="73"/>
      <c r="BD910" s="74">
        <v>-608.87279720622178</v>
      </c>
      <c r="BE910" s="74">
        <v>0</v>
      </c>
      <c r="BF910" s="73"/>
      <c r="BG910" s="72">
        <v>8512767.3579129856</v>
      </c>
      <c r="BH910" s="72">
        <v>0</v>
      </c>
      <c r="BI910" s="73"/>
      <c r="BJ910" s="74">
        <v>-2442.0762810424671</v>
      </c>
      <c r="BK910" s="74">
        <v>0</v>
      </c>
      <c r="BL910" s="73"/>
      <c r="BM910" s="72">
        <v>39204367.38818644</v>
      </c>
      <c r="BN910" s="72">
        <v>0</v>
      </c>
      <c r="BO910" s="73"/>
      <c r="BP910" s="74">
        <v>-7752.8478836435115</v>
      </c>
      <c r="BQ910" s="74">
        <v>0</v>
      </c>
      <c r="BS910" s="109">
        <f t="shared" si="327"/>
        <v>117183.1535235958</v>
      </c>
      <c r="BT910" s="109">
        <f t="shared" si="328"/>
        <v>117516.96201978646</v>
      </c>
      <c r="BV910" s="58">
        <f t="array" ref="BV910">SUM(IF(BS910:BT910&gt;=BS910, 1))</f>
        <v>2</v>
      </c>
      <c r="BW910" s="58">
        <f t="array" ref="BW910">SUM(IF(BS910:BT910&gt;=BT910, 1))</f>
        <v>1</v>
      </c>
      <c r="BY910" s="109">
        <f t="shared" si="329"/>
        <v>133735.96133669143</v>
      </c>
      <c r="BZ910" s="109">
        <f t="shared" si="330"/>
        <v>134021.90265555031</v>
      </c>
      <c r="CB910" s="58">
        <f t="array" ref="CB910">SUM(IF(BY910:BZ910&gt;=BY910, 1))</f>
        <v>2</v>
      </c>
      <c r="CC910" s="58">
        <f t="array" ref="CC910">SUM(IF(BY910:BZ910&gt;=BZ910, 1))</f>
        <v>1</v>
      </c>
      <c r="CE910" s="109">
        <f t="shared" si="331"/>
        <v>91727.693953424081</v>
      </c>
      <c r="CF910" s="109">
        <f t="shared" si="332"/>
        <v>95577.496031280723</v>
      </c>
      <c r="CH910" s="58">
        <f t="array" ref="CH910">SUM(IF(CE910:CF910&gt;=CE910, 1))</f>
        <v>2</v>
      </c>
      <c r="CI910" s="58">
        <f t="array" ref="CI910">SUM(IF(CE910:CF910&gt;=CF910, 1))</f>
        <v>1</v>
      </c>
      <c r="CK910" s="109">
        <f t="shared" si="333"/>
        <v>48797.1791626212</v>
      </c>
      <c r="CL910" s="109">
        <f t="shared" si="334"/>
        <v>50174.678972944894</v>
      </c>
      <c r="CN910" s="58">
        <f t="array" ref="CN910">SUM(IF(CK910:CL910&gt;=CK910, 1))</f>
        <v>2</v>
      </c>
      <c r="CO910" s="58">
        <f t="array" ref="CO910">SUM(IF(CK910:CL910&gt;=CL910, 1))</f>
        <v>1</v>
      </c>
      <c r="CQ910" s="109" cm="1">
        <f t="array" ref="CQ910">AF910*WTP-AC910</f>
        <v>46958.502079711143</v>
      </c>
      <c r="CR910" s="109">
        <f t="shared" si="335"/>
        <v>50549.023196261594</v>
      </c>
      <c r="CT910" s="58">
        <f t="array" ref="CT910">SUM(IF(CQ910:CR910&gt;=CQ910, 1))</f>
        <v>2</v>
      </c>
      <c r="CU910" s="58">
        <f t="array" ref="CU910">SUM(IF(CQ910:CR910&gt;=CR910, 1))</f>
        <v>1</v>
      </c>
      <c r="CW910" s="109">
        <f t="shared" si="336"/>
        <v>-36055231.963712826</v>
      </c>
      <c r="CX910" s="109">
        <f t="shared" si="337"/>
        <v>0</v>
      </c>
      <c r="CZ910" s="58">
        <f t="array" ref="CZ910">SUM(IF(CW910:CX910&gt;=CW910, 1))</f>
        <v>2</v>
      </c>
      <c r="DA910" s="58">
        <f t="array" ref="DA910">SUM(IF(CW910:CX910&gt;=CX910, 1))</f>
        <v>1</v>
      </c>
      <c r="DC910" s="109">
        <f t="shared" si="338"/>
        <v>-2030691.0790061366</v>
      </c>
      <c r="DD910" s="109">
        <f t="shared" si="339"/>
        <v>0</v>
      </c>
      <c r="DF910" s="58">
        <f t="array" ref="DF910">SUM(IF(DC910:DD910&gt;=DC910, 1))</f>
        <v>2</v>
      </c>
      <c r="DG910" s="58">
        <f t="array" ref="DG910">SUM(IF(DC910:DD910&gt;=DD910, 1))</f>
        <v>1</v>
      </c>
      <c r="DI910" s="109">
        <f t="shared" si="340"/>
        <v>-86973720.011491328</v>
      </c>
      <c r="DJ910" s="109">
        <f t="shared" si="341"/>
        <v>0</v>
      </c>
      <c r="DL910" s="58">
        <f t="array" ref="DL910">SUM(IF(DI910:DJ910&gt;=DI910, 1))</f>
        <v>2</v>
      </c>
      <c r="DM910" s="58">
        <f t="array" ref="DM910">SUM(IF(DI910:DJ910&gt;=DJ910, 1))</f>
        <v>1</v>
      </c>
      <c r="DO910" s="109">
        <f t="shared" si="342"/>
        <v>-11847389.028084075</v>
      </c>
      <c r="DP910" s="109">
        <f t="shared" si="343"/>
        <v>0</v>
      </c>
      <c r="DR910" s="58">
        <f t="array" ref="DR910">SUM(IF(DO910:DP910&gt;=DO910, 1))</f>
        <v>2</v>
      </c>
      <c r="DS910" s="58">
        <f t="array" ref="DS910">SUM(IF(DO910:DP910&gt;=DP910, 1))</f>
        <v>1</v>
      </c>
      <c r="DU910" s="109">
        <f t="shared" si="344"/>
        <v>-57354292.978762329</v>
      </c>
      <c r="DV910" s="109">
        <f t="shared" si="345"/>
        <v>0</v>
      </c>
      <c r="DX910" s="58">
        <f t="array" ref="DX910">SUM(IF(DU910:DV910&gt;=DU910, 1))</f>
        <v>2</v>
      </c>
      <c r="DY910" s="58">
        <f t="array" ref="DY910">SUM(IF(DU910:DV910&gt;=DV910, 1))</f>
        <v>1</v>
      </c>
      <c r="EA910" s="109">
        <f t="shared" si="346"/>
        <v>-194261325.06105667</v>
      </c>
      <c r="EB910" s="109">
        <f t="shared" si="347"/>
        <v>0</v>
      </c>
      <c r="ED910" s="58">
        <f t="array" ref="ED910">SUM(IF(EA910:EB910&gt;=EA910, 1))</f>
        <v>2</v>
      </c>
      <c r="EE910" s="58">
        <f t="array" ref="EE910">SUM(IF(EA910:EB910&gt;=EB910, 1))</f>
        <v>1</v>
      </c>
    </row>
    <row r="911" spans="4:135" ht="12" customHeight="1" x14ac:dyDescent="0.25">
      <c r="D911" s="11">
        <v>895</v>
      </c>
      <c r="E911" s="72">
        <v>335.91613804051008</v>
      </c>
      <c r="F911" s="72">
        <v>307.10293203396765</v>
      </c>
      <c r="G911" s="73"/>
      <c r="H911" s="74">
        <v>5.7643161358087571</v>
      </c>
      <c r="I911" s="74">
        <v>5.7807012858623459</v>
      </c>
      <c r="J911" s="73"/>
      <c r="K911" s="72">
        <v>360.50687185778014</v>
      </c>
      <c r="L911" s="72">
        <v>331.02070867194453</v>
      </c>
      <c r="M911" s="73"/>
      <c r="N911" s="74">
        <v>6.7470058770678198</v>
      </c>
      <c r="O911" s="74">
        <v>6.761574852541373</v>
      </c>
      <c r="P911" s="73"/>
      <c r="Q911" s="72">
        <v>2285.6174903613505</v>
      </c>
      <c r="R911" s="72">
        <v>1289.3474545886183</v>
      </c>
      <c r="S911" s="73"/>
      <c r="T911" s="74">
        <v>4.5986773580487839</v>
      </c>
      <c r="U911" s="74">
        <v>4.6739289408365847</v>
      </c>
      <c r="V911" s="73"/>
      <c r="W911" s="72">
        <v>9431.7622963810081</v>
      </c>
      <c r="X911" s="72">
        <v>9447.5437863434072</v>
      </c>
      <c r="Y911" s="73"/>
      <c r="Z911" s="74">
        <v>3.1638720303990211</v>
      </c>
      <c r="AA911" s="74">
        <v>3.21942084030225</v>
      </c>
      <c r="AB911" s="73"/>
      <c r="AC911" s="72">
        <v>49708.329139881018</v>
      </c>
      <c r="AD911" s="72">
        <v>49637.996792570593</v>
      </c>
      <c r="AE911" s="73"/>
      <c r="AF911" s="74">
        <v>4.3640022226047934</v>
      </c>
      <c r="AG911" s="74">
        <v>4.4462288377445596</v>
      </c>
      <c r="AH911" s="73"/>
      <c r="AI911" s="72">
        <v>3071210.0682138689</v>
      </c>
      <c r="AJ911" s="72">
        <v>0</v>
      </c>
      <c r="AK911" s="73"/>
      <c r="AL911" s="74">
        <v>-1746.4990810932479</v>
      </c>
      <c r="AM911" s="74">
        <v>0</v>
      </c>
      <c r="AN911" s="73"/>
      <c r="AO911" s="72">
        <v>210808.75064579619</v>
      </c>
      <c r="AP911" s="72">
        <v>0</v>
      </c>
      <c r="AQ911" s="73"/>
      <c r="AR911" s="74">
        <v>-104.15961881552465</v>
      </c>
      <c r="AS911" s="74">
        <v>0</v>
      </c>
      <c r="AT911" s="73"/>
      <c r="AU911" s="72">
        <v>23378654.376807954</v>
      </c>
      <c r="AV911" s="72">
        <v>0</v>
      </c>
      <c r="AW911" s="73"/>
      <c r="AX911" s="74">
        <v>-1765.8673674143017</v>
      </c>
      <c r="AY911" s="74">
        <v>0</v>
      </c>
      <c r="AZ911" s="73"/>
      <c r="BA911" s="72">
        <v>-142623.55348161323</v>
      </c>
      <c r="BB911" s="72">
        <v>0</v>
      </c>
      <c r="BC911" s="73"/>
      <c r="BD911" s="74">
        <v>-502.01651928616491</v>
      </c>
      <c r="BE911" s="74">
        <v>0</v>
      </c>
      <c r="BF911" s="73"/>
      <c r="BG911" s="72">
        <v>1130887.2995817675</v>
      </c>
      <c r="BH911" s="72">
        <v>0</v>
      </c>
      <c r="BI911" s="73"/>
      <c r="BJ911" s="74">
        <v>-1322.13751289624</v>
      </c>
      <c r="BK911" s="74">
        <v>0</v>
      </c>
      <c r="BL911" s="73"/>
      <c r="BM911" s="72">
        <v>27648936.941767775</v>
      </c>
      <c r="BN911" s="72">
        <v>0</v>
      </c>
      <c r="BO911" s="73"/>
      <c r="BP911" s="74">
        <v>-5440.6800995054791</v>
      </c>
      <c r="BQ911" s="74">
        <v>0</v>
      </c>
      <c r="BS911" s="109">
        <f t="shared" si="327"/>
        <v>114950.40657813463</v>
      </c>
      <c r="BT911" s="109">
        <f t="shared" si="328"/>
        <v>115306.92278521294</v>
      </c>
      <c r="BV911" s="58">
        <f t="array" ref="BV911">SUM(IF(BS911:BT911&gt;=BS911, 1))</f>
        <v>2</v>
      </c>
      <c r="BW911" s="58">
        <f t="array" ref="BW911">SUM(IF(BS911:BT911&gt;=BT911, 1))</f>
        <v>1</v>
      </c>
      <c r="BY911" s="109">
        <f t="shared" si="329"/>
        <v>134579.61066949862</v>
      </c>
      <c r="BZ911" s="109">
        <f t="shared" si="330"/>
        <v>134900.47634215551</v>
      </c>
      <c r="CB911" s="58">
        <f t="array" ref="CB911">SUM(IF(BY911:BZ911&gt;=BY911, 1))</f>
        <v>2</v>
      </c>
      <c r="CC911" s="58">
        <f t="array" ref="CC911">SUM(IF(BY911:BZ911&gt;=BZ911, 1))</f>
        <v>1</v>
      </c>
      <c r="CE911" s="109">
        <f t="shared" si="331"/>
        <v>89687.929670614321</v>
      </c>
      <c r="CF911" s="109">
        <f t="shared" si="332"/>
        <v>92189.23136214308</v>
      </c>
      <c r="CH911" s="58">
        <f t="array" ref="CH911">SUM(IF(CE911:CF911&gt;=CE911, 1))</f>
        <v>2</v>
      </c>
      <c r="CI911" s="58">
        <f t="array" ref="CI911">SUM(IF(CE911:CF911&gt;=CF911, 1))</f>
        <v>1</v>
      </c>
      <c r="CK911" s="109">
        <f t="shared" si="333"/>
        <v>53845.678311599419</v>
      </c>
      <c r="CL911" s="109">
        <f t="shared" si="334"/>
        <v>54940.87301970159</v>
      </c>
      <c r="CN911" s="58">
        <f t="array" ref="CN911">SUM(IF(CK911:CL911&gt;=CK911, 1))</f>
        <v>2</v>
      </c>
      <c r="CO911" s="58">
        <f t="array" ref="CO911">SUM(IF(CK911:CL911&gt;=CL911, 1))</f>
        <v>1</v>
      </c>
      <c r="CQ911" s="109" cm="1">
        <f t="array" ref="CQ911">AF911*WTP-AC911</f>
        <v>37571.715312214852</v>
      </c>
      <c r="CR911" s="109">
        <f t="shared" si="335"/>
        <v>39286.579962320604</v>
      </c>
      <c r="CT911" s="58">
        <f t="array" ref="CT911">SUM(IF(CQ911:CR911&gt;=CQ911, 1))</f>
        <v>2</v>
      </c>
      <c r="CU911" s="58">
        <f t="array" ref="CU911">SUM(IF(CQ911:CR911&gt;=CR911, 1))</f>
        <v>1</v>
      </c>
      <c r="CW911" s="109">
        <f t="shared" si="336"/>
        <v>-38001191.690078825</v>
      </c>
      <c r="CX911" s="109">
        <f t="shared" si="337"/>
        <v>0</v>
      </c>
      <c r="CZ911" s="58">
        <f t="array" ref="CZ911">SUM(IF(CW911:CX911&gt;=CW911, 1))</f>
        <v>2</v>
      </c>
      <c r="DA911" s="58">
        <f t="array" ref="DA911">SUM(IF(CW911:CX911&gt;=CX911, 1))</f>
        <v>1</v>
      </c>
      <c r="DC911" s="109">
        <f t="shared" si="338"/>
        <v>-2294001.1269562892</v>
      </c>
      <c r="DD911" s="109">
        <f t="shared" si="339"/>
        <v>0</v>
      </c>
      <c r="DF911" s="58">
        <f t="array" ref="DF911">SUM(IF(DC911:DD911&gt;=DC911, 1))</f>
        <v>2</v>
      </c>
      <c r="DG911" s="58">
        <f t="array" ref="DG911">SUM(IF(DC911:DD911&gt;=DD911, 1))</f>
        <v>1</v>
      </c>
      <c r="DI911" s="109">
        <f t="shared" si="340"/>
        <v>-58696001.725093991</v>
      </c>
      <c r="DJ911" s="109">
        <f t="shared" si="341"/>
        <v>0</v>
      </c>
      <c r="DL911" s="58">
        <f t="array" ref="DL911">SUM(IF(DI911:DJ911&gt;=DI911, 1))</f>
        <v>2</v>
      </c>
      <c r="DM911" s="58">
        <f t="array" ref="DM911">SUM(IF(DI911:DJ911&gt;=DJ911, 1))</f>
        <v>1</v>
      </c>
      <c r="DO911" s="109">
        <f t="shared" si="342"/>
        <v>-9897706.8322416861</v>
      </c>
      <c r="DP911" s="109">
        <f t="shared" si="343"/>
        <v>0</v>
      </c>
      <c r="DR911" s="58">
        <f t="array" ref="DR911">SUM(IF(DO911:DP911&gt;=DO911, 1))</f>
        <v>2</v>
      </c>
      <c r="DS911" s="58">
        <f t="array" ref="DS911">SUM(IF(DO911:DP911&gt;=DP911, 1))</f>
        <v>1</v>
      </c>
      <c r="DU911" s="109">
        <f t="shared" si="344"/>
        <v>-27573637.557506565</v>
      </c>
      <c r="DV911" s="109">
        <f t="shared" si="345"/>
        <v>0</v>
      </c>
      <c r="DX911" s="58">
        <f t="array" ref="DX911">SUM(IF(DU911:DV911&gt;=DU911, 1))</f>
        <v>2</v>
      </c>
      <c r="DY911" s="58">
        <f t="array" ref="DY911">SUM(IF(DU911:DV911&gt;=DV911, 1))</f>
        <v>1</v>
      </c>
      <c r="EA911" s="109">
        <f t="shared" si="346"/>
        <v>-136462538.93187734</v>
      </c>
      <c r="EB911" s="109">
        <f t="shared" si="347"/>
        <v>0</v>
      </c>
      <c r="ED911" s="58">
        <f t="array" ref="ED911">SUM(IF(EA911:EB911&gt;=EA911, 1))</f>
        <v>2</v>
      </c>
      <c r="EE911" s="58">
        <f t="array" ref="EE911">SUM(IF(EA911:EB911&gt;=EB911, 1))</f>
        <v>1</v>
      </c>
    </row>
    <row r="912" spans="4:135" ht="12" customHeight="1" x14ac:dyDescent="0.25">
      <c r="D912" s="11">
        <v>896</v>
      </c>
      <c r="E912" s="72">
        <v>234.51691862698002</v>
      </c>
      <c r="F912" s="72">
        <v>216.11478688725796</v>
      </c>
      <c r="G912" s="73"/>
      <c r="H912" s="74">
        <v>5.902699339625447</v>
      </c>
      <c r="I912" s="74">
        <v>5.9191599579485645</v>
      </c>
      <c r="J912" s="73"/>
      <c r="K912" s="72">
        <v>251.95002224470196</v>
      </c>
      <c r="L912" s="72">
        <v>233.09253125661354</v>
      </c>
      <c r="M912" s="73"/>
      <c r="N912" s="74">
        <v>6.6851214079211818</v>
      </c>
      <c r="O912" s="74">
        <v>6.6994129632834571</v>
      </c>
      <c r="P912" s="73"/>
      <c r="Q912" s="72">
        <v>2738.6792825225293</v>
      </c>
      <c r="R912" s="72">
        <v>1892.1633051221693</v>
      </c>
      <c r="S912" s="73"/>
      <c r="T912" s="74">
        <v>4.8726366795062086</v>
      </c>
      <c r="U912" s="74">
        <v>4.9277384693969761</v>
      </c>
      <c r="V912" s="73"/>
      <c r="W912" s="72">
        <v>12392.683549184359</v>
      </c>
      <c r="X912" s="72">
        <v>12403.810240937033</v>
      </c>
      <c r="Y912" s="73"/>
      <c r="Z912" s="74">
        <v>2.9445534706038923</v>
      </c>
      <c r="AA912" s="74">
        <v>2.9922935731561995</v>
      </c>
      <c r="AB912" s="73"/>
      <c r="AC912" s="72">
        <v>48131.294180413053</v>
      </c>
      <c r="AD912" s="72">
        <v>47970.966183220902</v>
      </c>
      <c r="AE912" s="73"/>
      <c r="AF912" s="74">
        <v>4.7010112615622797</v>
      </c>
      <c r="AG912" s="74">
        <v>4.8105473977270847</v>
      </c>
      <c r="AH912" s="73"/>
      <c r="AI912" s="72">
        <v>1964278.6382999169</v>
      </c>
      <c r="AJ912" s="72">
        <v>0</v>
      </c>
      <c r="AK912" s="73"/>
      <c r="AL912" s="74">
        <v>-1757.0377933723182</v>
      </c>
      <c r="AM912" s="74">
        <v>0</v>
      </c>
      <c r="AN912" s="73"/>
      <c r="AO912" s="72">
        <v>128752.87943556196</v>
      </c>
      <c r="AP912" s="72">
        <v>0</v>
      </c>
      <c r="AQ912" s="73"/>
      <c r="AR912" s="74">
        <v>-97.57814046778573</v>
      </c>
      <c r="AS912" s="74">
        <v>0</v>
      </c>
      <c r="AT912" s="73"/>
      <c r="AU912" s="72">
        <v>19739975.077197332</v>
      </c>
      <c r="AV912" s="72">
        <v>0</v>
      </c>
      <c r="AW912" s="73"/>
      <c r="AX912" s="74">
        <v>-1284.923129854031</v>
      </c>
      <c r="AY912" s="74">
        <v>0</v>
      </c>
      <c r="AZ912" s="73"/>
      <c r="BA912" s="72">
        <v>-98651.213113279809</v>
      </c>
      <c r="BB912" s="72">
        <v>0</v>
      </c>
      <c r="BC912" s="73"/>
      <c r="BD912" s="74">
        <v>-423.27217609904665</v>
      </c>
      <c r="BE912" s="74">
        <v>0</v>
      </c>
      <c r="BF912" s="73"/>
      <c r="BG912" s="72">
        <v>2484351.685579103</v>
      </c>
      <c r="BH912" s="72">
        <v>0</v>
      </c>
      <c r="BI912" s="73"/>
      <c r="BJ912" s="74">
        <v>-1697.3098228546799</v>
      </c>
      <c r="BK912" s="74">
        <v>0</v>
      </c>
      <c r="BL912" s="73"/>
      <c r="BM912" s="72">
        <v>24218707.067398634</v>
      </c>
      <c r="BN912" s="72">
        <v>0</v>
      </c>
      <c r="BO912" s="73"/>
      <c r="BP912" s="74">
        <v>-5260.1210626478614</v>
      </c>
      <c r="BQ912" s="74">
        <v>0</v>
      </c>
      <c r="BS912" s="109">
        <f t="shared" si="327"/>
        <v>117819.46987388196</v>
      </c>
      <c r="BT912" s="109">
        <f t="shared" si="328"/>
        <v>118167.08437208402</v>
      </c>
      <c r="BV912" s="58">
        <f t="array" ref="BV912">SUM(IF(BS912:BT912&gt;=BS912, 1))</f>
        <v>2</v>
      </c>
      <c r="BW912" s="58">
        <f t="array" ref="BW912">SUM(IF(BS912:BT912&gt;=BT912, 1))</f>
        <v>1</v>
      </c>
      <c r="BY912" s="109">
        <f t="shared" si="329"/>
        <v>133450.47813617892</v>
      </c>
      <c r="BZ912" s="109">
        <f t="shared" si="330"/>
        <v>133755.16673441255</v>
      </c>
      <c r="CB912" s="58">
        <f t="array" ref="CB912">SUM(IF(BY912:BZ912&gt;=BY912, 1))</f>
        <v>2</v>
      </c>
      <c r="CC912" s="58">
        <f t="array" ref="CC912">SUM(IF(BY912:BZ912&gt;=BZ912, 1))</f>
        <v>1</v>
      </c>
      <c r="CE912" s="109">
        <f t="shared" si="331"/>
        <v>94714.054307601647</v>
      </c>
      <c r="CF912" s="109">
        <f t="shared" si="332"/>
        <v>96662.60608281735</v>
      </c>
      <c r="CH912" s="58">
        <f t="array" ref="CH912">SUM(IF(CE912:CF912&gt;=CE912, 1))</f>
        <v>2</v>
      </c>
      <c r="CI912" s="58">
        <f t="array" ref="CI912">SUM(IF(CE912:CF912&gt;=CF912, 1))</f>
        <v>1</v>
      </c>
      <c r="CK912" s="109">
        <f t="shared" si="333"/>
        <v>46498.385862893483</v>
      </c>
      <c r="CL912" s="109">
        <f t="shared" si="334"/>
        <v>47442.06122218696</v>
      </c>
      <c r="CN912" s="58">
        <f t="array" ref="CN912">SUM(IF(CK912:CL912&gt;=CK912, 1))</f>
        <v>2</v>
      </c>
      <c r="CO912" s="58">
        <f t="array" ref="CO912">SUM(IF(CK912:CL912&gt;=CL912, 1))</f>
        <v>1</v>
      </c>
      <c r="CQ912" s="109" cm="1">
        <f t="array" ref="CQ912">AF912*WTP-AC912</f>
        <v>45888.931050832543</v>
      </c>
      <c r="CR912" s="109">
        <f t="shared" si="335"/>
        <v>48239.981771320796</v>
      </c>
      <c r="CT912" s="58">
        <f t="array" ref="CT912">SUM(IF(CQ912:CR912&gt;=CQ912, 1))</f>
        <v>2</v>
      </c>
      <c r="CU912" s="58">
        <f t="array" ref="CU912">SUM(IF(CQ912:CR912&gt;=CR912, 1))</f>
        <v>1</v>
      </c>
      <c r="CW912" s="109">
        <f t="shared" si="336"/>
        <v>-37105034.505746283</v>
      </c>
      <c r="CX912" s="109">
        <f t="shared" si="337"/>
        <v>0</v>
      </c>
      <c r="CZ912" s="58">
        <f t="array" ref="CZ912">SUM(IF(CW912:CX912&gt;=CW912, 1))</f>
        <v>2</v>
      </c>
      <c r="DA912" s="58">
        <f t="array" ref="DA912">SUM(IF(CW912:CX912&gt;=CX912, 1))</f>
        <v>1</v>
      </c>
      <c r="DC912" s="109">
        <f t="shared" si="338"/>
        <v>-2080315.6887912767</v>
      </c>
      <c r="DD912" s="109">
        <f t="shared" si="339"/>
        <v>0</v>
      </c>
      <c r="DF912" s="58">
        <f t="array" ref="DF912">SUM(IF(DC912:DD912&gt;=DC912, 1))</f>
        <v>2</v>
      </c>
      <c r="DG912" s="58">
        <f t="array" ref="DG912">SUM(IF(DC912:DD912&gt;=DD912, 1))</f>
        <v>1</v>
      </c>
      <c r="DI912" s="109">
        <f t="shared" si="340"/>
        <v>-45438437.674277954</v>
      </c>
      <c r="DJ912" s="109">
        <f t="shared" si="341"/>
        <v>0</v>
      </c>
      <c r="DL912" s="58">
        <f t="array" ref="DL912">SUM(IF(DI912:DJ912&gt;=DI912, 1))</f>
        <v>2</v>
      </c>
      <c r="DM912" s="58">
        <f t="array" ref="DM912">SUM(IF(DI912:DJ912&gt;=DJ912, 1))</f>
        <v>1</v>
      </c>
      <c r="DO912" s="109">
        <f t="shared" si="342"/>
        <v>-8366792.3088676538</v>
      </c>
      <c r="DP912" s="109">
        <f t="shared" si="343"/>
        <v>0</v>
      </c>
      <c r="DR912" s="58">
        <f t="array" ref="DR912">SUM(IF(DO912:DP912&gt;=DO912, 1))</f>
        <v>2</v>
      </c>
      <c r="DS912" s="58">
        <f t="array" ref="DS912">SUM(IF(DO912:DP912&gt;=DP912, 1))</f>
        <v>1</v>
      </c>
      <c r="DU912" s="109">
        <f t="shared" si="344"/>
        <v>-36430548.142672703</v>
      </c>
      <c r="DV912" s="109">
        <f t="shared" si="345"/>
        <v>0</v>
      </c>
      <c r="DX912" s="58">
        <f t="array" ref="DX912">SUM(IF(DU912:DV912&gt;=DU912, 1))</f>
        <v>2</v>
      </c>
      <c r="DY912" s="58">
        <f t="array" ref="DY912">SUM(IF(DU912:DV912&gt;=DV912, 1))</f>
        <v>1</v>
      </c>
      <c r="EA912" s="109">
        <f t="shared" si="346"/>
        <v>-129421128.32035586</v>
      </c>
      <c r="EB912" s="109">
        <f t="shared" si="347"/>
        <v>0</v>
      </c>
      <c r="ED912" s="58">
        <f t="array" ref="ED912">SUM(IF(EA912:EB912&gt;=EA912, 1))</f>
        <v>2</v>
      </c>
      <c r="EE912" s="58">
        <f t="array" ref="EE912">SUM(IF(EA912:EB912&gt;=EB912, 1))</f>
        <v>1</v>
      </c>
    </row>
    <row r="913" spans="4:135" ht="12" customHeight="1" x14ac:dyDescent="0.25">
      <c r="D913" s="11">
        <v>897</v>
      </c>
      <c r="E913" s="72">
        <v>248.00240486281265</v>
      </c>
      <c r="F913" s="72">
        <v>215.55997580035873</v>
      </c>
      <c r="G913" s="73"/>
      <c r="H913" s="74">
        <v>5.8544785584584593</v>
      </c>
      <c r="I913" s="74">
        <v>5.8693281668615365</v>
      </c>
      <c r="J913" s="73"/>
      <c r="K913" s="72">
        <v>265.55255042986789</v>
      </c>
      <c r="L913" s="72">
        <v>232.31573895096537</v>
      </c>
      <c r="M913" s="73"/>
      <c r="N913" s="74">
        <v>6.6491248408682821</v>
      </c>
      <c r="O913" s="74">
        <v>6.6607914390424039</v>
      </c>
      <c r="P913" s="73"/>
      <c r="Q913" s="72">
        <v>2636.4452464085439</v>
      </c>
      <c r="R913" s="72">
        <v>1795.4354920564224</v>
      </c>
      <c r="S913" s="73"/>
      <c r="T913" s="74">
        <v>4.7431431525359162</v>
      </c>
      <c r="U913" s="74">
        <v>4.8048482289442243</v>
      </c>
      <c r="V913" s="73"/>
      <c r="W913" s="72">
        <v>13856.065400079784</v>
      </c>
      <c r="X913" s="72">
        <v>13863.936770358096</v>
      </c>
      <c r="Y913" s="73"/>
      <c r="Z913" s="74">
        <v>3.20206339863278</v>
      </c>
      <c r="AA913" s="74">
        <v>3.2600488135980825</v>
      </c>
      <c r="AB913" s="73"/>
      <c r="AC913" s="72">
        <v>48642.703216049442</v>
      </c>
      <c r="AD913" s="72">
        <v>48596.407428345337</v>
      </c>
      <c r="AE913" s="73"/>
      <c r="AF913" s="74">
        <v>4.1907802784583756</v>
      </c>
      <c r="AG913" s="74">
        <v>4.2591240898952547</v>
      </c>
      <c r="AH913" s="73"/>
      <c r="AI913" s="72">
        <v>3482473.8215903216</v>
      </c>
      <c r="AJ913" s="72">
        <v>0</v>
      </c>
      <c r="AK913" s="73"/>
      <c r="AL913" s="74">
        <v>-1594.0043338010225</v>
      </c>
      <c r="AM913" s="74">
        <v>0</v>
      </c>
      <c r="AN913" s="73"/>
      <c r="AO913" s="72">
        <v>232811.61003039946</v>
      </c>
      <c r="AP913" s="72">
        <v>0</v>
      </c>
      <c r="AQ913" s="73"/>
      <c r="AR913" s="74">
        <v>-81.72021874658742</v>
      </c>
      <c r="AS913" s="74">
        <v>0</v>
      </c>
      <c r="AT913" s="73"/>
      <c r="AU913" s="72">
        <v>19733204.523168392</v>
      </c>
      <c r="AV913" s="72">
        <v>0</v>
      </c>
      <c r="AW913" s="73"/>
      <c r="AX913" s="74">
        <v>-1447.82969113229</v>
      </c>
      <c r="AY913" s="74">
        <v>0</v>
      </c>
      <c r="AZ913" s="73"/>
      <c r="BA913" s="72">
        <v>-69943.25507844759</v>
      </c>
      <c r="BB913" s="72">
        <v>0</v>
      </c>
      <c r="BC913" s="73"/>
      <c r="BD913" s="74">
        <v>-515.24557051046679</v>
      </c>
      <c r="BE913" s="74">
        <v>0</v>
      </c>
      <c r="BF913" s="73"/>
      <c r="BG913" s="72">
        <v>752777.86306028697</v>
      </c>
      <c r="BH913" s="72">
        <v>0</v>
      </c>
      <c r="BI913" s="73"/>
      <c r="BJ913" s="74">
        <v>-1111.2827079576364</v>
      </c>
      <c r="BK913" s="74">
        <v>0</v>
      </c>
      <c r="BL913" s="73"/>
      <c r="BM913" s="72">
        <v>24131324.562770955</v>
      </c>
      <c r="BN913" s="72">
        <v>0</v>
      </c>
      <c r="BO913" s="73"/>
      <c r="BP913" s="74">
        <v>-4750.0825221480027</v>
      </c>
      <c r="BQ913" s="74">
        <v>0</v>
      </c>
      <c r="BS913" s="109">
        <f t="shared" si="327"/>
        <v>116841.56876430637</v>
      </c>
      <c r="BT913" s="109">
        <f t="shared" si="328"/>
        <v>117171.00336143038</v>
      </c>
      <c r="BV913" s="58">
        <f t="array" ref="BV913">SUM(IF(BS913:BT913&gt;=BS913, 1))</f>
        <v>2</v>
      </c>
      <c r="BW913" s="58">
        <f t="array" ref="BW913">SUM(IF(BS913:BT913&gt;=BT913, 1))</f>
        <v>1</v>
      </c>
      <c r="BY913" s="109">
        <f t="shared" si="329"/>
        <v>132716.94426693578</v>
      </c>
      <c r="BZ913" s="109">
        <f t="shared" si="330"/>
        <v>132983.51304189709</v>
      </c>
      <c r="CB913" s="58">
        <f t="array" ref="CB913">SUM(IF(BY913:BZ913&gt;=BY913, 1))</f>
        <v>2</v>
      </c>
      <c r="CC913" s="58">
        <f t="array" ref="CC913">SUM(IF(BY913:BZ913&gt;=BZ913, 1))</f>
        <v>1</v>
      </c>
      <c r="CE913" s="109">
        <f t="shared" si="331"/>
        <v>92226.417804309778</v>
      </c>
      <c r="CF913" s="109">
        <f t="shared" si="332"/>
        <v>94301.529086828057</v>
      </c>
      <c r="CH913" s="58">
        <f t="array" ref="CH913">SUM(IF(CE913:CF913&gt;=CE913, 1))</f>
        <v>2</v>
      </c>
      <c r="CI913" s="58">
        <f t="array" ref="CI913">SUM(IF(CE913:CF913&gt;=CF913, 1))</f>
        <v>1</v>
      </c>
      <c r="CK913" s="109">
        <f t="shared" si="333"/>
        <v>50185.202572575814</v>
      </c>
      <c r="CL913" s="109">
        <f t="shared" si="334"/>
        <v>51337.039501603555</v>
      </c>
      <c r="CN913" s="58">
        <f t="array" ref="CN913">SUM(IF(CK913:CL913&gt;=CK913, 1))</f>
        <v>2</v>
      </c>
      <c r="CO913" s="58">
        <f t="array" ref="CO913">SUM(IF(CK913:CL913&gt;=CL913, 1))</f>
        <v>1</v>
      </c>
      <c r="CQ913" s="109" cm="1">
        <f t="array" ref="CQ913">AF913*WTP-AC913</f>
        <v>35172.902353118072</v>
      </c>
      <c r="CR913" s="109">
        <f t="shared" si="335"/>
        <v>36586.074369559763</v>
      </c>
      <c r="CT913" s="58">
        <f t="array" ref="CT913">SUM(IF(CQ913:CR913&gt;=CQ913, 1))</f>
        <v>2</v>
      </c>
      <c r="CU913" s="58">
        <f t="array" ref="CU913">SUM(IF(CQ913:CR913&gt;=CR913, 1))</f>
        <v>1</v>
      </c>
      <c r="CW913" s="109">
        <f t="shared" si="336"/>
        <v>-35362560.49761077</v>
      </c>
      <c r="CX913" s="109">
        <f t="shared" si="337"/>
        <v>0</v>
      </c>
      <c r="CZ913" s="58">
        <f t="array" ref="CZ913">SUM(IF(CW913:CX913&gt;=CW913, 1))</f>
        <v>2</v>
      </c>
      <c r="DA913" s="58">
        <f t="array" ref="DA913">SUM(IF(CW913:CX913&gt;=CX913, 1))</f>
        <v>1</v>
      </c>
      <c r="DC913" s="109">
        <f t="shared" si="338"/>
        <v>-1867215.9849621479</v>
      </c>
      <c r="DD913" s="109">
        <f t="shared" si="339"/>
        <v>0</v>
      </c>
      <c r="DF913" s="58">
        <f t="array" ref="DF913">SUM(IF(DC913:DD913&gt;=DC913, 1))</f>
        <v>2</v>
      </c>
      <c r="DG913" s="58">
        <f t="array" ref="DG913">SUM(IF(DC913:DD913&gt;=DD913, 1))</f>
        <v>1</v>
      </c>
      <c r="DI913" s="109">
        <f t="shared" si="340"/>
        <v>-48689798.345814191</v>
      </c>
      <c r="DJ913" s="109">
        <f t="shared" si="341"/>
        <v>0</v>
      </c>
      <c r="DL913" s="58">
        <f t="array" ref="DL913">SUM(IF(DI913:DJ913&gt;=DI913, 1))</f>
        <v>2</v>
      </c>
      <c r="DM913" s="58">
        <f t="array" ref="DM913">SUM(IF(DI913:DJ913&gt;=DJ913, 1))</f>
        <v>1</v>
      </c>
      <c r="DO913" s="109">
        <f t="shared" si="342"/>
        <v>-10234968.155130887</v>
      </c>
      <c r="DP913" s="109">
        <f t="shared" si="343"/>
        <v>0</v>
      </c>
      <c r="DR913" s="58">
        <f t="array" ref="DR913">SUM(IF(DO913:DP913&gt;=DO913, 1))</f>
        <v>2</v>
      </c>
      <c r="DS913" s="58">
        <f t="array" ref="DS913">SUM(IF(DO913:DP913&gt;=DP913, 1))</f>
        <v>1</v>
      </c>
      <c r="DU913" s="109">
        <f t="shared" si="344"/>
        <v>-22978432.022213016</v>
      </c>
      <c r="DV913" s="109">
        <f t="shared" si="345"/>
        <v>0</v>
      </c>
      <c r="DX913" s="58">
        <f t="array" ref="DX913">SUM(IF(DU913:DV913&gt;=DU913, 1))</f>
        <v>2</v>
      </c>
      <c r="DY913" s="58">
        <f t="array" ref="DY913">SUM(IF(DU913:DV913&gt;=DV913, 1))</f>
        <v>1</v>
      </c>
      <c r="EA913" s="109">
        <f t="shared" si="346"/>
        <v>-119132975.00573102</v>
      </c>
      <c r="EB913" s="109">
        <f t="shared" si="347"/>
        <v>0</v>
      </c>
      <c r="ED913" s="58">
        <f t="array" ref="ED913">SUM(IF(EA913:EB913&gt;=EA913, 1))</f>
        <v>2</v>
      </c>
      <c r="EE913" s="58">
        <f t="array" ref="EE913">SUM(IF(EA913:EB913&gt;=EB913, 1))</f>
        <v>1</v>
      </c>
    </row>
    <row r="914" spans="4:135" ht="12" customHeight="1" x14ac:dyDescent="0.25">
      <c r="D914" s="11">
        <v>898</v>
      </c>
      <c r="E914" s="72">
        <v>259.35349090404605</v>
      </c>
      <c r="F914" s="72">
        <v>231.27630776934743</v>
      </c>
      <c r="G914" s="73"/>
      <c r="H914" s="74">
        <v>5.821048471538834</v>
      </c>
      <c r="I914" s="74">
        <v>5.8388660697199821</v>
      </c>
      <c r="J914" s="73"/>
      <c r="K914" s="72">
        <v>278.08211316404964</v>
      </c>
      <c r="L914" s="72">
        <v>249.36938772440206</v>
      </c>
      <c r="M914" s="73"/>
      <c r="N914" s="74">
        <v>6.7049316426251711</v>
      </c>
      <c r="O914" s="74">
        <v>6.7208337143201407</v>
      </c>
      <c r="P914" s="73"/>
      <c r="Q914" s="72">
        <v>2425.8155732599312</v>
      </c>
      <c r="R914" s="72">
        <v>1240.2860064089564</v>
      </c>
      <c r="S914" s="73"/>
      <c r="T914" s="74">
        <v>4.7026729153192255</v>
      </c>
      <c r="U914" s="74">
        <v>4.8029300632498586</v>
      </c>
      <c r="V914" s="73"/>
      <c r="W914" s="72">
        <v>12036.951396758759</v>
      </c>
      <c r="X914" s="72">
        <v>12023.56548480108</v>
      </c>
      <c r="Y914" s="73"/>
      <c r="Z914" s="74">
        <v>2.8313361858293491</v>
      </c>
      <c r="AA914" s="74">
        <v>2.8692990341903242</v>
      </c>
      <c r="AB914" s="73"/>
      <c r="AC914" s="72">
        <v>51656.874694261263</v>
      </c>
      <c r="AD914" s="72">
        <v>51285.328698838355</v>
      </c>
      <c r="AE914" s="73"/>
      <c r="AF914" s="74">
        <v>4.3909253390766354</v>
      </c>
      <c r="AG914" s="74">
        <v>4.5078101196787115</v>
      </c>
      <c r="AH914" s="73"/>
      <c r="AI914" s="72">
        <v>3015810.0503396019</v>
      </c>
      <c r="AJ914" s="72">
        <v>0</v>
      </c>
      <c r="AK914" s="73"/>
      <c r="AL914" s="74">
        <v>-1913.813483704228</v>
      </c>
      <c r="AM914" s="74">
        <v>0</v>
      </c>
      <c r="AN914" s="73"/>
      <c r="AO914" s="72">
        <v>200312.5621667513</v>
      </c>
      <c r="AP914" s="72">
        <v>0</v>
      </c>
      <c r="AQ914" s="73"/>
      <c r="AR914" s="74">
        <v>-110.93982463191175</v>
      </c>
      <c r="AS914" s="74">
        <v>0</v>
      </c>
      <c r="AT914" s="73"/>
      <c r="AU914" s="72">
        <v>27891995.402425334</v>
      </c>
      <c r="AV914" s="72">
        <v>0</v>
      </c>
      <c r="AW914" s="73"/>
      <c r="AX914" s="74">
        <v>-2358.7534105701552</v>
      </c>
      <c r="AY914" s="74">
        <v>0</v>
      </c>
      <c r="AZ914" s="73"/>
      <c r="BA914" s="72">
        <v>121422.86058316752</v>
      </c>
      <c r="BB914" s="72">
        <v>0</v>
      </c>
      <c r="BC914" s="73"/>
      <c r="BD914" s="74">
        <v>-344.35887957788572</v>
      </c>
      <c r="BE914" s="74">
        <v>0</v>
      </c>
      <c r="BF914" s="73"/>
      <c r="BG914" s="72">
        <v>5984104.8227049336</v>
      </c>
      <c r="BH914" s="72">
        <v>0</v>
      </c>
      <c r="BI914" s="73"/>
      <c r="BJ914" s="74">
        <v>-1882.5415639470136</v>
      </c>
      <c r="BK914" s="74">
        <v>0</v>
      </c>
      <c r="BL914" s="73"/>
      <c r="BM914" s="72">
        <v>37213645.698219791</v>
      </c>
      <c r="BN914" s="72">
        <v>0</v>
      </c>
      <c r="BO914" s="73"/>
      <c r="BP914" s="74">
        <v>-6610.4071624311946</v>
      </c>
      <c r="BQ914" s="74">
        <v>0</v>
      </c>
      <c r="BS914" s="109">
        <f t="shared" ref="BS914:BS977" si="348">H914*WTP-E914</f>
        <v>116161.61593987263</v>
      </c>
      <c r="BT914" s="109">
        <f t="shared" ref="BT914:BT977" si="349">I914*WTP-F914</f>
        <v>116546.04508663029</v>
      </c>
      <c r="BV914" s="58">
        <f t="array" ref="BV914">SUM(IF(BS914:BT914&gt;=BS914, 1))</f>
        <v>2</v>
      </c>
      <c r="BW914" s="58">
        <f t="array" ref="BW914">SUM(IF(BS914:BT914&gt;=BT914, 1))</f>
        <v>1</v>
      </c>
      <c r="BY914" s="109">
        <f t="shared" ref="BY914:BY977" si="350">N914*WTP-K914</f>
        <v>133820.55073933938</v>
      </c>
      <c r="BZ914" s="109">
        <f t="shared" ref="BZ914:BZ977" si="351">O914*WTP-L914</f>
        <v>134167.30489867841</v>
      </c>
      <c r="CB914" s="58">
        <f t="array" ref="CB914">SUM(IF(BY914:BZ914&gt;=BY914, 1))</f>
        <v>2</v>
      </c>
      <c r="CC914" s="58">
        <f t="array" ref="CC914">SUM(IF(BY914:BZ914&gt;=BZ914, 1))</f>
        <v>1</v>
      </c>
      <c r="CE914" s="109">
        <f t="shared" ref="CE914:CE977" si="352">T914*WTP-Q914</f>
        <v>91627.64273312458</v>
      </c>
      <c r="CF914" s="109">
        <f t="shared" ref="CF914:CF977" si="353">U914*WTP-R914</f>
        <v>94818.315258588205</v>
      </c>
      <c r="CH914" s="58">
        <f t="array" ref="CH914">SUM(IF(CE914:CF914&gt;=CE914, 1))</f>
        <v>2</v>
      </c>
      <c r="CI914" s="58">
        <f t="array" ref="CI914">SUM(IF(CE914:CF914&gt;=CF914, 1))</f>
        <v>1</v>
      </c>
      <c r="CK914" s="109">
        <f t="shared" ref="CK914:CK977" si="354">Z914*WTP-W914</f>
        <v>44589.772319828218</v>
      </c>
      <c r="CL914" s="109">
        <f t="shared" ref="CL914:CL977" si="355">AA914*WTP-X914</f>
        <v>45362.415199005402</v>
      </c>
      <c r="CN914" s="58">
        <f t="array" ref="CN914">SUM(IF(CK914:CL914&gt;=CK914, 1))</f>
        <v>2</v>
      </c>
      <c r="CO914" s="58">
        <f t="array" ref="CO914">SUM(IF(CK914:CL914&gt;=CL914, 1))</f>
        <v>1</v>
      </c>
      <c r="CQ914" s="109" cm="1">
        <f t="array" ref="CQ914">AF914*WTP-AC914</f>
        <v>36161.632087271442</v>
      </c>
      <c r="CR914" s="109">
        <f t="shared" ref="CR914:CR977" si="356">AG914*WTP-AD914</f>
        <v>38870.873694735878</v>
      </c>
      <c r="CT914" s="58">
        <f t="array" ref="CT914">SUM(IF(CQ914:CR914&gt;=CQ914, 1))</f>
        <v>2</v>
      </c>
      <c r="CU914" s="58">
        <f t="array" ref="CU914">SUM(IF(CQ914:CR914&gt;=CR914, 1))</f>
        <v>1</v>
      </c>
      <c r="CW914" s="109">
        <f t="shared" ref="CW914:CW977" si="357">AL914*WTP-AI914</f>
        <v>-41292079.724424161</v>
      </c>
      <c r="CX914" s="109">
        <f t="shared" ref="CX914:CX977" si="358">AM914*WTP-AJ914</f>
        <v>0</v>
      </c>
      <c r="CZ914" s="58">
        <f t="array" ref="CZ914">SUM(IF(CW914:CX914&gt;=CW914, 1))</f>
        <v>2</v>
      </c>
      <c r="DA914" s="58">
        <f t="array" ref="DA914">SUM(IF(CW914:CX914&gt;=CX914, 1))</f>
        <v>1</v>
      </c>
      <c r="DC914" s="109">
        <f t="shared" ref="DC914:DC977" si="359">AR914*WTP-AO914</f>
        <v>-2419109.0548049863</v>
      </c>
      <c r="DD914" s="109">
        <f t="shared" ref="DD914:DD977" si="360">AS914*WTP-AP914</f>
        <v>0</v>
      </c>
      <c r="DF914" s="58">
        <f t="array" ref="DF914">SUM(IF(DC914:DD914&gt;=DC914, 1))</f>
        <v>2</v>
      </c>
      <c r="DG914" s="58">
        <f t="array" ref="DG914">SUM(IF(DC914:DD914&gt;=DD914, 1))</f>
        <v>1</v>
      </c>
      <c r="DI914" s="109">
        <f t="shared" ref="DI914:DI977" si="361">AX914*WTP-AU914</f>
        <v>-75067063.613828436</v>
      </c>
      <c r="DJ914" s="109">
        <f t="shared" ref="DJ914:DJ977" si="362">AY914*WTP-AV914</f>
        <v>0</v>
      </c>
      <c r="DL914" s="58">
        <f t="array" ref="DL914">SUM(IF(DI914:DJ914&gt;=DI914, 1))</f>
        <v>2</v>
      </c>
      <c r="DM914" s="58">
        <f t="array" ref="DM914">SUM(IF(DI914:DJ914&gt;=DJ914, 1))</f>
        <v>1</v>
      </c>
      <c r="DO914" s="109">
        <f t="shared" ref="DO914:DO977" si="363">BD914*WTP-BA914</f>
        <v>-7008600.4521408817</v>
      </c>
      <c r="DP914" s="109">
        <f t="shared" ref="DP914:DP977" si="364">BE914*WTP-BB914</f>
        <v>0</v>
      </c>
      <c r="DR914" s="58">
        <f t="array" ref="DR914">SUM(IF(DO914:DP914&gt;=DO914, 1))</f>
        <v>2</v>
      </c>
      <c r="DS914" s="58">
        <f t="array" ref="DS914">SUM(IF(DO914:DP914&gt;=DP914, 1))</f>
        <v>1</v>
      </c>
      <c r="DU914" s="109">
        <f t="shared" ref="DU914:DU977" si="365">BJ914*WTP-BG914</f>
        <v>-43634936.101645209</v>
      </c>
      <c r="DV914" s="109">
        <f t="shared" ref="DV914:DV977" si="366">BK914*WTP-BH914</f>
        <v>0</v>
      </c>
      <c r="DX914" s="58">
        <f t="array" ref="DX914">SUM(IF(DU914:DV914&gt;=DU914, 1))</f>
        <v>2</v>
      </c>
      <c r="DY914" s="58">
        <f t="array" ref="DY914">SUM(IF(DU914:DV914&gt;=DV914, 1))</f>
        <v>1</v>
      </c>
      <c r="EA914" s="109">
        <f t="shared" ref="EA914:EA977" si="367">BP914*WTP-BM914</f>
        <v>-169421788.94684368</v>
      </c>
      <c r="EB914" s="109">
        <f t="shared" ref="EB914:EB977" si="368">BQ914*WTP-BN914</f>
        <v>0</v>
      </c>
      <c r="ED914" s="58">
        <f t="array" ref="ED914">SUM(IF(EA914:EB914&gt;=EA914, 1))</f>
        <v>2</v>
      </c>
      <c r="EE914" s="58">
        <f t="array" ref="EE914">SUM(IF(EA914:EB914&gt;=EB914, 1))</f>
        <v>1</v>
      </c>
    </row>
    <row r="915" spans="4:135" ht="12" customHeight="1" x14ac:dyDescent="0.25">
      <c r="D915" s="11">
        <v>899</v>
      </c>
      <c r="E915" s="72">
        <v>299.67802165098334</v>
      </c>
      <c r="F915" s="72">
        <v>271.9549684184725</v>
      </c>
      <c r="G915" s="73"/>
      <c r="H915" s="74">
        <v>5.7644702938853492</v>
      </c>
      <c r="I915" s="74">
        <v>5.7785633829857241</v>
      </c>
      <c r="J915" s="73"/>
      <c r="K915" s="72">
        <v>321.61709379158106</v>
      </c>
      <c r="L915" s="72">
        <v>293.22348348960594</v>
      </c>
      <c r="M915" s="73"/>
      <c r="N915" s="74">
        <v>6.6697437219053191</v>
      </c>
      <c r="O915" s="74">
        <v>6.6816956041781461</v>
      </c>
      <c r="P915" s="73"/>
      <c r="Q915" s="72">
        <v>1757.3815285734813</v>
      </c>
      <c r="R915" s="72">
        <v>1125.1439157292546</v>
      </c>
      <c r="S915" s="73"/>
      <c r="T915" s="74">
        <v>4.7482480552046331</v>
      </c>
      <c r="U915" s="74">
        <v>4.8095030698536902</v>
      </c>
      <c r="V915" s="73"/>
      <c r="W915" s="72">
        <v>12960.355960087423</v>
      </c>
      <c r="X915" s="72">
        <v>12927.131500434974</v>
      </c>
      <c r="Y915" s="73"/>
      <c r="Z915" s="74">
        <v>2.938657218408149</v>
      </c>
      <c r="AA915" s="74">
        <v>2.9785779056392134</v>
      </c>
      <c r="AB915" s="73"/>
      <c r="AC915" s="72">
        <v>50493.287377176326</v>
      </c>
      <c r="AD915" s="72">
        <v>50133.5915426879</v>
      </c>
      <c r="AE915" s="73"/>
      <c r="AF915" s="74">
        <v>4.3617849537654569</v>
      </c>
      <c r="AG915" s="74">
        <v>4.4363320728948725</v>
      </c>
      <c r="AH915" s="73"/>
      <c r="AI915" s="72">
        <v>2981800.2506211698</v>
      </c>
      <c r="AJ915" s="72">
        <v>0</v>
      </c>
      <c r="AK915" s="73"/>
      <c r="AL915" s="74">
        <v>-1515.8062230405594</v>
      </c>
      <c r="AM915" s="74">
        <v>0</v>
      </c>
      <c r="AN915" s="73"/>
      <c r="AO915" s="72">
        <v>200040.36681944327</v>
      </c>
      <c r="AP915" s="72">
        <v>0</v>
      </c>
      <c r="AQ915" s="73"/>
      <c r="AR915" s="74">
        <v>-84.204118060774192</v>
      </c>
      <c r="AS915" s="74">
        <v>0</v>
      </c>
      <c r="AT915" s="73"/>
      <c r="AU915" s="72">
        <v>14568912.368076188</v>
      </c>
      <c r="AV915" s="72">
        <v>0</v>
      </c>
      <c r="AW915" s="73"/>
      <c r="AX915" s="74">
        <v>-1411.5245951797151</v>
      </c>
      <c r="AY915" s="74">
        <v>0</v>
      </c>
      <c r="AZ915" s="73"/>
      <c r="BA915" s="72">
        <v>301494.45883494057</v>
      </c>
      <c r="BB915" s="72">
        <v>0</v>
      </c>
      <c r="BC915" s="73"/>
      <c r="BD915" s="74">
        <v>-362.25919454980823</v>
      </c>
      <c r="BE915" s="74">
        <v>0</v>
      </c>
      <c r="BF915" s="73"/>
      <c r="BG915" s="72">
        <v>5571531.8569534374</v>
      </c>
      <c r="BH915" s="72">
        <v>0</v>
      </c>
      <c r="BI915" s="73"/>
      <c r="BJ915" s="74">
        <v>-1154.7024159019177</v>
      </c>
      <c r="BK915" s="74">
        <v>0</v>
      </c>
      <c r="BL915" s="73"/>
      <c r="BM915" s="72">
        <v>23623779.301305179</v>
      </c>
      <c r="BN915" s="72">
        <v>0</v>
      </c>
      <c r="BO915" s="73"/>
      <c r="BP915" s="74">
        <v>-4528.4965467327747</v>
      </c>
      <c r="BQ915" s="74">
        <v>0</v>
      </c>
      <c r="BS915" s="109">
        <f t="shared" si="348"/>
        <v>114989.72785605601</v>
      </c>
      <c r="BT915" s="109">
        <f t="shared" si="349"/>
        <v>115299.31269129601</v>
      </c>
      <c r="BV915" s="58">
        <f t="array" ref="BV915">SUM(IF(BS915:BT915&gt;=BS915, 1))</f>
        <v>2</v>
      </c>
      <c r="BW915" s="58">
        <f t="array" ref="BW915">SUM(IF(BS915:BT915&gt;=BT915, 1))</f>
        <v>1</v>
      </c>
      <c r="BY915" s="109">
        <f t="shared" si="350"/>
        <v>133073.2573443148</v>
      </c>
      <c r="BZ915" s="109">
        <f t="shared" si="351"/>
        <v>133340.68860007334</v>
      </c>
      <c r="CB915" s="58">
        <f t="array" ref="CB915">SUM(IF(BY915:BZ915&gt;=BY915, 1))</f>
        <v>2</v>
      </c>
      <c r="CC915" s="58">
        <f t="array" ref="CC915">SUM(IF(BY915:BZ915&gt;=BZ915, 1))</f>
        <v>1</v>
      </c>
      <c r="CE915" s="109">
        <f t="shared" si="352"/>
        <v>93207.579575519194</v>
      </c>
      <c r="CF915" s="109">
        <f t="shared" si="353"/>
        <v>95064.917481344557</v>
      </c>
      <c r="CH915" s="58">
        <f t="array" ref="CH915">SUM(IF(CE915:CF915&gt;=CE915, 1))</f>
        <v>2</v>
      </c>
      <c r="CI915" s="58">
        <f t="array" ref="CI915">SUM(IF(CE915:CF915&gt;=CF915, 1))</f>
        <v>1</v>
      </c>
      <c r="CK915" s="109">
        <f t="shared" si="354"/>
        <v>45812.788408075561</v>
      </c>
      <c r="CL915" s="109">
        <f t="shared" si="355"/>
        <v>46644.426612349293</v>
      </c>
      <c r="CN915" s="58">
        <f t="array" ref="CN915">SUM(IF(CK915:CL915&gt;=CK915, 1))</f>
        <v>2</v>
      </c>
      <c r="CO915" s="58">
        <f t="array" ref="CO915">SUM(IF(CK915:CL915&gt;=CL915, 1))</f>
        <v>1</v>
      </c>
      <c r="CQ915" s="109" cm="1">
        <f t="array" ref="CQ915">AF915*WTP-AC915</f>
        <v>36742.411698132812</v>
      </c>
      <c r="CR915" s="109">
        <f t="shared" si="356"/>
        <v>38593.049915209551</v>
      </c>
      <c r="CT915" s="58">
        <f t="array" ref="CT915">SUM(IF(CQ915:CR915&gt;=CQ915, 1))</f>
        <v>2</v>
      </c>
      <c r="CU915" s="58">
        <f t="array" ref="CU915">SUM(IF(CQ915:CR915&gt;=CR915, 1))</f>
        <v>1</v>
      </c>
      <c r="CW915" s="109">
        <f t="shared" si="357"/>
        <v>-33297924.711432356</v>
      </c>
      <c r="CX915" s="109">
        <f t="shared" si="358"/>
        <v>0</v>
      </c>
      <c r="CZ915" s="58">
        <f t="array" ref="CZ915">SUM(IF(CW915:CX915&gt;=CW915, 1))</f>
        <v>2</v>
      </c>
      <c r="DA915" s="58">
        <f t="array" ref="DA915">SUM(IF(CW915:CX915&gt;=CX915, 1))</f>
        <v>1</v>
      </c>
      <c r="DC915" s="109">
        <f t="shared" si="359"/>
        <v>-1884122.728034927</v>
      </c>
      <c r="DD915" s="109">
        <f t="shared" si="360"/>
        <v>0</v>
      </c>
      <c r="DF915" s="58">
        <f t="array" ref="DF915">SUM(IF(DC915:DD915&gt;=DC915, 1))</f>
        <v>2</v>
      </c>
      <c r="DG915" s="58">
        <f t="array" ref="DG915">SUM(IF(DC915:DD915&gt;=DD915, 1))</f>
        <v>1</v>
      </c>
      <c r="DI915" s="109">
        <f t="shared" si="361"/>
        <v>-42799404.271670491</v>
      </c>
      <c r="DJ915" s="109">
        <f t="shared" si="362"/>
        <v>0</v>
      </c>
      <c r="DL915" s="58">
        <f t="array" ref="DL915">SUM(IF(DI915:DJ915&gt;=DI915, 1))</f>
        <v>2</v>
      </c>
      <c r="DM915" s="58">
        <f t="array" ref="DM915">SUM(IF(DI915:DJ915&gt;=DJ915, 1))</f>
        <v>1</v>
      </c>
      <c r="DO915" s="109">
        <f t="shared" si="363"/>
        <v>-7546678.3498311052</v>
      </c>
      <c r="DP915" s="109">
        <f t="shared" si="364"/>
        <v>0</v>
      </c>
      <c r="DR915" s="58">
        <f t="array" ref="DR915">SUM(IF(DO915:DP915&gt;=DO915, 1))</f>
        <v>2</v>
      </c>
      <c r="DS915" s="58">
        <f t="array" ref="DS915">SUM(IF(DO915:DP915&gt;=DP915, 1))</f>
        <v>1</v>
      </c>
      <c r="DU915" s="109">
        <f t="shared" si="365"/>
        <v>-28665580.17499179</v>
      </c>
      <c r="DV915" s="109">
        <f t="shared" si="366"/>
        <v>0</v>
      </c>
      <c r="DX915" s="58">
        <f t="array" ref="DX915">SUM(IF(DU915:DV915&gt;=DU915, 1))</f>
        <v>2</v>
      </c>
      <c r="DY915" s="58">
        <f t="array" ref="DY915">SUM(IF(DU915:DV915&gt;=DV915, 1))</f>
        <v>1</v>
      </c>
      <c r="EA915" s="109">
        <f t="shared" si="367"/>
        <v>-114193710.23596066</v>
      </c>
      <c r="EB915" s="109">
        <f t="shared" si="368"/>
        <v>0</v>
      </c>
      <c r="ED915" s="58">
        <f t="array" ref="ED915">SUM(IF(EA915:EB915&gt;=EA915, 1))</f>
        <v>2</v>
      </c>
      <c r="EE915" s="58">
        <f t="array" ref="EE915">SUM(IF(EA915:EB915&gt;=EB915, 1))</f>
        <v>1</v>
      </c>
    </row>
    <row r="916" spans="4:135" ht="12" customHeight="1" x14ac:dyDescent="0.25">
      <c r="D916" s="11">
        <v>900</v>
      </c>
      <c r="E916" s="72">
        <v>265.79509422910758</v>
      </c>
      <c r="F916" s="72">
        <v>226.40265290123796</v>
      </c>
      <c r="G916" s="73"/>
      <c r="H916" s="74">
        <v>5.9138120878301841</v>
      </c>
      <c r="I916" s="74">
        <v>5.9288914706727329</v>
      </c>
      <c r="J916" s="73"/>
      <c r="K916" s="72">
        <v>284.36621965056588</v>
      </c>
      <c r="L916" s="72">
        <v>244.104770818074</v>
      </c>
      <c r="M916" s="73"/>
      <c r="N916" s="74">
        <v>6.6557036721506222</v>
      </c>
      <c r="O916" s="74">
        <v>6.6692405834494553</v>
      </c>
      <c r="P916" s="73"/>
      <c r="Q916" s="72">
        <v>3681.0935635100655</v>
      </c>
      <c r="R916" s="72">
        <v>1731.8435599377285</v>
      </c>
      <c r="S916" s="73"/>
      <c r="T916" s="74">
        <v>4.6661265480995304</v>
      </c>
      <c r="U916" s="74">
        <v>4.7778002456191482</v>
      </c>
      <c r="V916" s="73"/>
      <c r="W916" s="72">
        <v>12786.51165021479</v>
      </c>
      <c r="X916" s="72">
        <v>12746.214064657728</v>
      </c>
      <c r="Y916" s="73"/>
      <c r="Z916" s="74">
        <v>3.1439466841054098</v>
      </c>
      <c r="AA916" s="74">
        <v>3.1870506196611412</v>
      </c>
      <c r="AB916" s="73"/>
      <c r="AC916" s="72">
        <v>52322.434509540974</v>
      </c>
      <c r="AD916" s="72">
        <v>51904.393418432977</v>
      </c>
      <c r="AE916" s="73"/>
      <c r="AF916" s="74">
        <v>4.971668608745488</v>
      </c>
      <c r="AG916" s="74">
        <v>5.093555853868625</v>
      </c>
      <c r="AH916" s="73"/>
      <c r="AI916" s="72">
        <v>4284252.468385471</v>
      </c>
      <c r="AJ916" s="72">
        <v>0</v>
      </c>
      <c r="AK916" s="73"/>
      <c r="AL916" s="74">
        <v>-1640.0070924066595</v>
      </c>
      <c r="AM916" s="74">
        <v>0</v>
      </c>
      <c r="AN916" s="73"/>
      <c r="AO916" s="72">
        <v>267497.22335358802</v>
      </c>
      <c r="AP916" s="72">
        <v>0</v>
      </c>
      <c r="AQ916" s="73"/>
      <c r="AR916" s="74">
        <v>-89.939291561195844</v>
      </c>
      <c r="AS916" s="74">
        <v>0</v>
      </c>
      <c r="AT916" s="73"/>
      <c r="AU916" s="72">
        <v>44911077.633865193</v>
      </c>
      <c r="AV916" s="72">
        <v>0</v>
      </c>
      <c r="AW916" s="73"/>
      <c r="AX916" s="74">
        <v>-2572.9824751944448</v>
      </c>
      <c r="AY916" s="74">
        <v>0</v>
      </c>
      <c r="AZ916" s="73"/>
      <c r="BA916" s="72">
        <v>362734.48969390732</v>
      </c>
      <c r="BB916" s="72">
        <v>0</v>
      </c>
      <c r="BC916" s="73"/>
      <c r="BD916" s="74">
        <v>-387.99555485693958</v>
      </c>
      <c r="BE916" s="74">
        <v>0</v>
      </c>
      <c r="BF916" s="73"/>
      <c r="BG916" s="72">
        <v>6566780.6647160864</v>
      </c>
      <c r="BH916" s="72">
        <v>0</v>
      </c>
      <c r="BI916" s="73"/>
      <c r="BJ916" s="74">
        <v>-1914.6605957531337</v>
      </c>
      <c r="BK916" s="74">
        <v>0</v>
      </c>
      <c r="BL916" s="73"/>
      <c r="BM916" s="72">
        <v>56392342.48001425</v>
      </c>
      <c r="BN916" s="72">
        <v>0</v>
      </c>
      <c r="BO916" s="73"/>
      <c r="BP916" s="74">
        <v>-6605.5850097723733</v>
      </c>
      <c r="BQ916" s="74">
        <v>0</v>
      </c>
      <c r="BS916" s="109">
        <f t="shared" si="348"/>
        <v>118010.44666237457</v>
      </c>
      <c r="BT916" s="109">
        <f t="shared" si="349"/>
        <v>118351.42676055343</v>
      </c>
      <c r="BV916" s="58">
        <f t="array" ref="BV916">SUM(IF(BS916:BT916&gt;=BS916, 1))</f>
        <v>2</v>
      </c>
      <c r="BW916" s="58">
        <f t="array" ref="BW916">SUM(IF(BS916:BT916&gt;=BT916, 1))</f>
        <v>1</v>
      </c>
      <c r="BY916" s="109">
        <f t="shared" si="350"/>
        <v>132829.70722336188</v>
      </c>
      <c r="BZ916" s="109">
        <f t="shared" si="351"/>
        <v>133140.70689817102</v>
      </c>
      <c r="CB916" s="58">
        <f t="array" ref="CB916">SUM(IF(BY916:BZ916&gt;=BY916, 1))</f>
        <v>2</v>
      </c>
      <c r="CC916" s="58">
        <f t="array" ref="CC916">SUM(IF(BY916:BZ916&gt;=BZ916, 1))</f>
        <v>1</v>
      </c>
      <c r="CE916" s="109">
        <f t="shared" si="352"/>
        <v>89641.437398480542</v>
      </c>
      <c r="CF916" s="109">
        <f t="shared" si="353"/>
        <v>93824.16135244524</v>
      </c>
      <c r="CH916" s="58">
        <f t="array" ref="CH916">SUM(IF(CE916:CF916&gt;=CE916, 1))</f>
        <v>2</v>
      </c>
      <c r="CI916" s="58">
        <f t="array" ref="CI916">SUM(IF(CE916:CF916&gt;=CF916, 1))</f>
        <v>1</v>
      </c>
      <c r="CK916" s="109">
        <f t="shared" si="354"/>
        <v>50092.422031893409</v>
      </c>
      <c r="CL916" s="109">
        <f t="shared" si="355"/>
        <v>50994.798328565099</v>
      </c>
      <c r="CN916" s="58">
        <f t="array" ref="CN916">SUM(IF(CK916:CL916&gt;=CK916, 1))</f>
        <v>2</v>
      </c>
      <c r="CO916" s="58">
        <f t="array" ref="CO916">SUM(IF(CK916:CL916&gt;=CL916, 1))</f>
        <v>1</v>
      </c>
      <c r="CQ916" s="109" cm="1">
        <f t="array" ref="CQ916">AF916*WTP-AC916</f>
        <v>47110.937665368787</v>
      </c>
      <c r="CR916" s="109">
        <f t="shared" si="356"/>
        <v>49966.723658939525</v>
      </c>
      <c r="CT916" s="58">
        <f t="array" ref="CT916">SUM(IF(CQ916:CR916&gt;=CQ916, 1))</f>
        <v>2</v>
      </c>
      <c r="CU916" s="58">
        <f t="array" ref="CU916">SUM(IF(CQ916:CR916&gt;=CR916, 1))</f>
        <v>1</v>
      </c>
      <c r="CW916" s="109">
        <f t="shared" si="357"/>
        <v>-37084394.316518657</v>
      </c>
      <c r="CX916" s="109">
        <f t="shared" si="358"/>
        <v>0</v>
      </c>
      <c r="CZ916" s="58">
        <f t="array" ref="CZ916">SUM(IF(CW916:CX916&gt;=CW916, 1))</f>
        <v>2</v>
      </c>
      <c r="DA916" s="58">
        <f t="array" ref="DA916">SUM(IF(CW916:CX916&gt;=CX916, 1))</f>
        <v>1</v>
      </c>
      <c r="DC916" s="109">
        <f t="shared" si="359"/>
        <v>-2066283.054577505</v>
      </c>
      <c r="DD916" s="109">
        <f t="shared" si="360"/>
        <v>0</v>
      </c>
      <c r="DF916" s="58">
        <f t="array" ref="DF916">SUM(IF(DC916:DD916&gt;=DC916, 1))</f>
        <v>2</v>
      </c>
      <c r="DG916" s="58">
        <f t="array" ref="DG916">SUM(IF(DC916:DD916&gt;=DD916, 1))</f>
        <v>1</v>
      </c>
      <c r="DI916" s="109">
        <f t="shared" si="361"/>
        <v>-96370727.137754083</v>
      </c>
      <c r="DJ916" s="109">
        <f t="shared" si="362"/>
        <v>0</v>
      </c>
      <c r="DL916" s="58">
        <f t="array" ref="DL916">SUM(IF(DI916:DJ916&gt;=DI916, 1))</f>
        <v>2</v>
      </c>
      <c r="DM916" s="58">
        <f t="array" ref="DM916">SUM(IF(DI916:DJ916&gt;=DJ916, 1))</f>
        <v>1</v>
      </c>
      <c r="DO916" s="109">
        <f t="shared" si="363"/>
        <v>-8122645.5868326984</v>
      </c>
      <c r="DP916" s="109">
        <f t="shared" si="364"/>
        <v>0</v>
      </c>
      <c r="DR916" s="58">
        <f t="array" ref="DR916">SUM(IF(DO916:DP916&gt;=DO916, 1))</f>
        <v>2</v>
      </c>
      <c r="DS916" s="58">
        <f t="array" ref="DS916">SUM(IF(DO916:DP916&gt;=DP916, 1))</f>
        <v>1</v>
      </c>
      <c r="DU916" s="109">
        <f t="shared" si="365"/>
        <v>-44859992.579778761</v>
      </c>
      <c r="DV916" s="109">
        <f t="shared" si="366"/>
        <v>0</v>
      </c>
      <c r="DX916" s="58">
        <f t="array" ref="DX916">SUM(IF(DU916:DV916&gt;=DU916, 1))</f>
        <v>2</v>
      </c>
      <c r="DY916" s="58">
        <f t="array" ref="DY916">SUM(IF(DU916:DV916&gt;=DV916, 1))</f>
        <v>1</v>
      </c>
      <c r="EA916" s="109">
        <f t="shared" si="367"/>
        <v>-188504042.67546171</v>
      </c>
      <c r="EB916" s="109">
        <f t="shared" si="368"/>
        <v>0</v>
      </c>
      <c r="ED916" s="58">
        <f t="array" ref="ED916">SUM(IF(EA916:EB916&gt;=EA916, 1))</f>
        <v>2</v>
      </c>
      <c r="EE916" s="58">
        <f t="array" ref="EE916">SUM(IF(EA916:EB916&gt;=EB916, 1))</f>
        <v>1</v>
      </c>
    </row>
    <row r="917" spans="4:135" ht="12" customHeight="1" x14ac:dyDescent="0.25">
      <c r="D917" s="11">
        <v>901</v>
      </c>
      <c r="E917" s="72">
        <v>275.62880003415296</v>
      </c>
      <c r="F917" s="72">
        <v>255.85218404844736</v>
      </c>
      <c r="G917" s="73"/>
      <c r="H917" s="74">
        <v>5.7893698142954824</v>
      </c>
      <c r="I917" s="74">
        <v>5.8053554745592306</v>
      </c>
      <c r="J917" s="73"/>
      <c r="K917" s="72">
        <v>296.1297808656027</v>
      </c>
      <c r="L917" s="72">
        <v>275.83193979756891</v>
      </c>
      <c r="M917" s="73"/>
      <c r="N917" s="74">
        <v>6.6856750216415026</v>
      </c>
      <c r="O917" s="74">
        <v>6.6992029351418196</v>
      </c>
      <c r="P917" s="73"/>
      <c r="Q917" s="72">
        <v>2490.3449504717701</v>
      </c>
      <c r="R917" s="72">
        <v>1024.0755336155366</v>
      </c>
      <c r="S917" s="73"/>
      <c r="T917" s="74">
        <v>4.8004757434579188</v>
      </c>
      <c r="U917" s="74">
        <v>4.9592940258614719</v>
      </c>
      <c r="V917" s="73"/>
      <c r="W917" s="72">
        <v>8881.456595880878</v>
      </c>
      <c r="X917" s="72">
        <v>8852.3434046830516</v>
      </c>
      <c r="Y917" s="73"/>
      <c r="Z917" s="74">
        <v>3.0902735231985248</v>
      </c>
      <c r="AA917" s="74">
        <v>3.1266289261107287</v>
      </c>
      <c r="AB917" s="73"/>
      <c r="AC917" s="72">
        <v>48993.666452442863</v>
      </c>
      <c r="AD917" s="72">
        <v>48947.125414548398</v>
      </c>
      <c r="AE917" s="73"/>
      <c r="AF917" s="74">
        <v>4.718542869628255</v>
      </c>
      <c r="AG917" s="74">
        <v>4.763019234420188</v>
      </c>
      <c r="AH917" s="73"/>
      <c r="AI917" s="72">
        <v>2131513.8045835914</v>
      </c>
      <c r="AJ917" s="72">
        <v>0</v>
      </c>
      <c r="AK917" s="73"/>
      <c r="AL917" s="74">
        <v>-1722.9264881408924</v>
      </c>
      <c r="AM917" s="74">
        <v>0</v>
      </c>
      <c r="AN917" s="73"/>
      <c r="AO917" s="72">
        <v>138486.33576704809</v>
      </c>
      <c r="AP917" s="72">
        <v>0</v>
      </c>
      <c r="AQ917" s="73"/>
      <c r="AR917" s="74">
        <v>-92.297065729954497</v>
      </c>
      <c r="AS917" s="74">
        <v>0</v>
      </c>
      <c r="AT917" s="73"/>
      <c r="AU917" s="72">
        <v>34565163.356017411</v>
      </c>
      <c r="AV917" s="72">
        <v>0</v>
      </c>
      <c r="AW917" s="73"/>
      <c r="AX917" s="74">
        <v>-3743.9094153453025</v>
      </c>
      <c r="AY917" s="74">
        <v>0</v>
      </c>
      <c r="AZ917" s="73"/>
      <c r="BA917" s="72">
        <v>253958.58492764182</v>
      </c>
      <c r="BB917" s="72">
        <v>0</v>
      </c>
      <c r="BC917" s="73"/>
      <c r="BD917" s="74">
        <v>-317.13344701102068</v>
      </c>
      <c r="BE917" s="74">
        <v>0</v>
      </c>
      <c r="BF917" s="73"/>
      <c r="BG917" s="72">
        <v>736087.53356186952</v>
      </c>
      <c r="BH917" s="72">
        <v>0</v>
      </c>
      <c r="BI917" s="73"/>
      <c r="BJ917" s="74">
        <v>-703.43290873161425</v>
      </c>
      <c r="BK917" s="74">
        <v>0</v>
      </c>
      <c r="BL917" s="73"/>
      <c r="BM917" s="72">
        <v>37825209.614857562</v>
      </c>
      <c r="BN917" s="72">
        <v>0</v>
      </c>
      <c r="BO917" s="73"/>
      <c r="BP917" s="74">
        <v>-6579.699324958784</v>
      </c>
      <c r="BQ917" s="74">
        <v>0</v>
      </c>
      <c r="BS917" s="109">
        <f t="shared" si="348"/>
        <v>115511.76748587549</v>
      </c>
      <c r="BT917" s="109">
        <f t="shared" si="349"/>
        <v>115851.25730713617</v>
      </c>
      <c r="BV917" s="58">
        <f t="array" ref="BV917">SUM(IF(BS917:BT917&gt;=BS917, 1))</f>
        <v>2</v>
      </c>
      <c r="BW917" s="58">
        <f t="array" ref="BW917">SUM(IF(BS917:BT917&gt;=BT917, 1))</f>
        <v>1</v>
      </c>
      <c r="BY917" s="109">
        <f t="shared" si="350"/>
        <v>133417.37065196445</v>
      </c>
      <c r="BZ917" s="109">
        <f t="shared" si="351"/>
        <v>133708.22676303884</v>
      </c>
      <c r="CB917" s="58">
        <f t="array" ref="CB917">SUM(IF(BY917:BZ917&gt;=BY917, 1))</f>
        <v>2</v>
      </c>
      <c r="CC917" s="58">
        <f t="array" ref="CC917">SUM(IF(BY917:BZ917&gt;=BZ917, 1))</f>
        <v>1</v>
      </c>
      <c r="CE917" s="109">
        <f t="shared" si="352"/>
        <v>93519.169918686603</v>
      </c>
      <c r="CF917" s="109">
        <f t="shared" si="353"/>
        <v>98161.804983613896</v>
      </c>
      <c r="CH917" s="58">
        <f t="array" ref="CH917">SUM(IF(CE917:CF917&gt;=CE917, 1))</f>
        <v>2</v>
      </c>
      <c r="CI917" s="58">
        <f t="array" ref="CI917">SUM(IF(CE917:CF917&gt;=CF917, 1))</f>
        <v>1</v>
      </c>
      <c r="CK917" s="109">
        <f t="shared" si="354"/>
        <v>52924.01386808962</v>
      </c>
      <c r="CL917" s="109">
        <f t="shared" si="355"/>
        <v>53680.23511753152</v>
      </c>
      <c r="CN917" s="58">
        <f t="array" ref="CN917">SUM(IF(CK917:CL917&gt;=CK917, 1))</f>
        <v>2</v>
      </c>
      <c r="CO917" s="58">
        <f t="array" ref="CO917">SUM(IF(CK917:CL917&gt;=CL917, 1))</f>
        <v>1</v>
      </c>
      <c r="CQ917" s="109" cm="1">
        <f t="array" ref="CQ917">AF917*WTP-AC917</f>
        <v>45377.190940122236</v>
      </c>
      <c r="CR917" s="109">
        <f t="shared" si="356"/>
        <v>46313.259273855365</v>
      </c>
      <c r="CT917" s="58">
        <f t="array" ref="CT917">SUM(IF(CQ917:CR917&gt;=CQ917, 1))</f>
        <v>2</v>
      </c>
      <c r="CU917" s="58">
        <f t="array" ref="CU917">SUM(IF(CQ917:CR917&gt;=CR917, 1))</f>
        <v>1</v>
      </c>
      <c r="CW917" s="109">
        <f t="shared" si="357"/>
        <v>-36590043.567401439</v>
      </c>
      <c r="CX917" s="109">
        <f t="shared" si="358"/>
        <v>0</v>
      </c>
      <c r="CZ917" s="58">
        <f t="array" ref="CZ917">SUM(IF(CW917:CX917&gt;=CW917, 1))</f>
        <v>2</v>
      </c>
      <c r="DA917" s="58">
        <f t="array" ref="DA917">SUM(IF(CW917:CX917&gt;=CX917, 1))</f>
        <v>1</v>
      </c>
      <c r="DC917" s="109">
        <f t="shared" si="359"/>
        <v>-1984427.6503661382</v>
      </c>
      <c r="DD917" s="109">
        <f t="shared" si="360"/>
        <v>0</v>
      </c>
      <c r="DF917" s="58">
        <f t="array" ref="DF917">SUM(IF(DC917:DD917&gt;=DC917, 1))</f>
        <v>2</v>
      </c>
      <c r="DG917" s="58">
        <f t="array" ref="DG917">SUM(IF(DC917:DD917&gt;=DD917, 1))</f>
        <v>1</v>
      </c>
      <c r="DI917" s="109">
        <f t="shared" si="361"/>
        <v>-109443351.66292346</v>
      </c>
      <c r="DJ917" s="109">
        <f t="shared" si="362"/>
        <v>0</v>
      </c>
      <c r="DL917" s="58">
        <f t="array" ref="DL917">SUM(IF(DI917:DJ917&gt;=DI917, 1))</f>
        <v>2</v>
      </c>
      <c r="DM917" s="58">
        <f t="array" ref="DM917">SUM(IF(DI917:DJ917&gt;=DJ917, 1))</f>
        <v>1</v>
      </c>
      <c r="DO917" s="109">
        <f t="shared" si="363"/>
        <v>-6596627.5251480555</v>
      </c>
      <c r="DP917" s="109">
        <f t="shared" si="364"/>
        <v>0</v>
      </c>
      <c r="DR917" s="58">
        <f t="array" ref="DR917">SUM(IF(DO917:DP917&gt;=DO917, 1))</f>
        <v>2</v>
      </c>
      <c r="DS917" s="58">
        <f t="array" ref="DS917">SUM(IF(DO917:DP917&gt;=DP917, 1))</f>
        <v>1</v>
      </c>
      <c r="DU917" s="109">
        <f t="shared" si="365"/>
        <v>-14804745.708194155</v>
      </c>
      <c r="DV917" s="109">
        <f t="shared" si="366"/>
        <v>0</v>
      </c>
      <c r="DX917" s="58">
        <f t="array" ref="DX917">SUM(IF(DU917:DV917&gt;=DU917, 1))</f>
        <v>2</v>
      </c>
      <c r="DY917" s="58">
        <f t="array" ref="DY917">SUM(IF(DU917:DV917&gt;=DV917, 1))</f>
        <v>1</v>
      </c>
      <c r="EA917" s="109">
        <f t="shared" si="367"/>
        <v>-169419196.11403325</v>
      </c>
      <c r="EB917" s="109">
        <f t="shared" si="368"/>
        <v>0</v>
      </c>
      <c r="ED917" s="58">
        <f t="array" ref="ED917">SUM(IF(EA917:EB917&gt;=EA917, 1))</f>
        <v>2</v>
      </c>
      <c r="EE917" s="58">
        <f t="array" ref="EE917">SUM(IF(EA917:EB917&gt;=EB917, 1))</f>
        <v>1</v>
      </c>
    </row>
    <row r="918" spans="4:135" ht="12" customHeight="1" x14ac:dyDescent="0.25">
      <c r="D918" s="11">
        <v>902</v>
      </c>
      <c r="E918" s="72">
        <v>182.89088910643625</v>
      </c>
      <c r="F918" s="72">
        <v>158.64763886901801</v>
      </c>
      <c r="G918" s="73"/>
      <c r="H918" s="74">
        <v>5.8267913638086402</v>
      </c>
      <c r="I918" s="74">
        <v>5.8421288598362402</v>
      </c>
      <c r="J918" s="73"/>
      <c r="K918" s="72">
        <v>195.78708653904977</v>
      </c>
      <c r="L918" s="72">
        <v>170.96221363706059</v>
      </c>
      <c r="M918" s="73"/>
      <c r="N918" s="74">
        <v>6.6751382718926928</v>
      </c>
      <c r="O918" s="74">
        <v>6.6883038867760094</v>
      </c>
      <c r="P918" s="73"/>
      <c r="Q918" s="72">
        <v>2486.9718135467651</v>
      </c>
      <c r="R918" s="72">
        <v>1432.0923226613672</v>
      </c>
      <c r="S918" s="73"/>
      <c r="T918" s="74">
        <v>4.9636468702981595</v>
      </c>
      <c r="U918" s="74">
        <v>5.0721659813171485</v>
      </c>
      <c r="V918" s="73"/>
      <c r="W918" s="72">
        <v>12214.772308273194</v>
      </c>
      <c r="X918" s="72">
        <v>12211.039045203621</v>
      </c>
      <c r="Y918" s="73"/>
      <c r="Z918" s="74">
        <v>3.1021882907465552</v>
      </c>
      <c r="AA918" s="74">
        <v>3.1548965235585995</v>
      </c>
      <c r="AB918" s="73"/>
      <c r="AC918" s="72">
        <v>49334.942754255811</v>
      </c>
      <c r="AD918" s="72">
        <v>49278.18700751428</v>
      </c>
      <c r="AE918" s="73"/>
      <c r="AF918" s="74">
        <v>5.0208461495628471</v>
      </c>
      <c r="AG918" s="74">
        <v>5.1373273796008823</v>
      </c>
      <c r="AH918" s="73"/>
      <c r="AI918" s="72">
        <v>2608540.8607618446</v>
      </c>
      <c r="AJ918" s="72">
        <v>0</v>
      </c>
      <c r="AK918" s="73"/>
      <c r="AL918" s="74">
        <v>-1650.2937806588366</v>
      </c>
      <c r="AM918" s="74">
        <v>0</v>
      </c>
      <c r="AN918" s="73"/>
      <c r="AO918" s="72">
        <v>167005.24164528301</v>
      </c>
      <c r="AP918" s="72">
        <v>0</v>
      </c>
      <c r="AQ918" s="73"/>
      <c r="AR918" s="74">
        <v>-88.569504612482376</v>
      </c>
      <c r="AS918" s="74">
        <v>0</v>
      </c>
      <c r="AT918" s="73"/>
      <c r="AU918" s="72">
        <v>24241100.448714141</v>
      </c>
      <c r="AV918" s="72">
        <v>0</v>
      </c>
      <c r="AW918" s="73"/>
      <c r="AX918" s="74">
        <v>-2493.7660591054782</v>
      </c>
      <c r="AY918" s="74">
        <v>0</v>
      </c>
      <c r="AZ918" s="73"/>
      <c r="BA918" s="72">
        <v>32449.150478122028</v>
      </c>
      <c r="BB918" s="72">
        <v>0</v>
      </c>
      <c r="BC918" s="73"/>
      <c r="BD918" s="74">
        <v>-458.13470577353013</v>
      </c>
      <c r="BE918" s="74">
        <v>0</v>
      </c>
      <c r="BF918" s="73"/>
      <c r="BG918" s="72">
        <v>899546.18113426236</v>
      </c>
      <c r="BH918" s="72">
        <v>0</v>
      </c>
      <c r="BI918" s="73"/>
      <c r="BJ918" s="74">
        <v>-1846.1609910924085</v>
      </c>
      <c r="BK918" s="74">
        <v>0</v>
      </c>
      <c r="BL918" s="73"/>
      <c r="BM918" s="72">
        <v>27948641.882733651</v>
      </c>
      <c r="BN918" s="72">
        <v>0</v>
      </c>
      <c r="BO918" s="73"/>
      <c r="BP918" s="74">
        <v>-6536.9250412427355</v>
      </c>
      <c r="BQ918" s="74">
        <v>0</v>
      </c>
      <c r="BS918" s="109">
        <f t="shared" si="348"/>
        <v>116352.93638706637</v>
      </c>
      <c r="BT918" s="109">
        <f t="shared" si="349"/>
        <v>116683.92955785578</v>
      </c>
      <c r="BV918" s="58">
        <f t="array" ref="BV918">SUM(IF(BS918:BT918&gt;=BS918, 1))</f>
        <v>2</v>
      </c>
      <c r="BW918" s="58">
        <f t="array" ref="BW918">SUM(IF(BS918:BT918&gt;=BT918, 1))</f>
        <v>1</v>
      </c>
      <c r="BY918" s="109">
        <f t="shared" si="350"/>
        <v>133306.97835131478</v>
      </c>
      <c r="BZ918" s="109">
        <f t="shared" si="351"/>
        <v>133595.11552188313</v>
      </c>
      <c r="CB918" s="58">
        <f t="array" ref="CB918">SUM(IF(BY918:BZ918&gt;=BY918, 1))</f>
        <v>2</v>
      </c>
      <c r="CC918" s="58">
        <f t="array" ref="CC918">SUM(IF(BY918:BZ918&gt;=BZ918, 1))</f>
        <v>1</v>
      </c>
      <c r="CE918" s="109">
        <f t="shared" si="352"/>
        <v>96785.965592416425</v>
      </c>
      <c r="CF918" s="109">
        <f t="shared" si="353"/>
        <v>100011.2273036816</v>
      </c>
      <c r="CH918" s="58">
        <f t="array" ref="CH918">SUM(IF(CE918:CF918&gt;=CE918, 1))</f>
        <v>2</v>
      </c>
      <c r="CI918" s="58">
        <f t="array" ref="CI918">SUM(IF(CE918:CF918&gt;=CF918, 1))</f>
        <v>1</v>
      </c>
      <c r="CK918" s="109">
        <f t="shared" si="354"/>
        <v>49828.993506657906</v>
      </c>
      <c r="CL918" s="109">
        <f t="shared" si="355"/>
        <v>50886.891425968366</v>
      </c>
      <c r="CN918" s="58">
        <f t="array" ref="CN918">SUM(IF(CK918:CL918&gt;=CK918, 1))</f>
        <v>2</v>
      </c>
      <c r="CO918" s="58">
        <f t="array" ref="CO918">SUM(IF(CK918:CL918&gt;=CL918, 1))</f>
        <v>1</v>
      </c>
      <c r="CQ918" s="109" cm="1">
        <f t="array" ref="CQ918">AF918*WTP-AC918</f>
        <v>51081.980237001131</v>
      </c>
      <c r="CR918" s="109">
        <f t="shared" si="356"/>
        <v>53468.36058450336</v>
      </c>
      <c r="CT918" s="58">
        <f t="array" ref="CT918">SUM(IF(CQ918:CR918&gt;=CQ918, 1))</f>
        <v>2</v>
      </c>
      <c r="CU918" s="58">
        <f t="array" ref="CU918">SUM(IF(CQ918:CR918&gt;=CR918, 1))</f>
        <v>1</v>
      </c>
      <c r="CW918" s="109">
        <f t="shared" si="357"/>
        <v>-35614416.473938577</v>
      </c>
      <c r="CX918" s="109">
        <f t="shared" si="358"/>
        <v>0</v>
      </c>
      <c r="CZ918" s="58">
        <f t="array" ref="CZ918">SUM(IF(CW918:CX918&gt;=CW918, 1))</f>
        <v>2</v>
      </c>
      <c r="DA918" s="58">
        <f t="array" ref="DA918">SUM(IF(CW918:CX918&gt;=CX918, 1))</f>
        <v>1</v>
      </c>
      <c r="DC918" s="109">
        <f t="shared" si="359"/>
        <v>-1938395.3338949305</v>
      </c>
      <c r="DD918" s="109">
        <f t="shared" si="360"/>
        <v>0</v>
      </c>
      <c r="DF918" s="58">
        <f t="array" ref="DF918">SUM(IF(DC918:DD918&gt;=DC918, 1))</f>
        <v>2</v>
      </c>
      <c r="DG918" s="58">
        <f t="array" ref="DG918">SUM(IF(DC918:DD918&gt;=DD918, 1))</f>
        <v>1</v>
      </c>
      <c r="DI918" s="109">
        <f t="shared" si="361"/>
        <v>-74116421.630823702</v>
      </c>
      <c r="DJ918" s="109">
        <f t="shared" si="362"/>
        <v>0</v>
      </c>
      <c r="DL918" s="58">
        <f t="array" ref="DL918">SUM(IF(DI918:DJ918&gt;=DI918, 1))</f>
        <v>2</v>
      </c>
      <c r="DM918" s="58">
        <f t="array" ref="DM918">SUM(IF(DI918:DJ918&gt;=DJ918, 1))</f>
        <v>1</v>
      </c>
      <c r="DO918" s="109">
        <f t="shared" si="363"/>
        <v>-9195143.2659487259</v>
      </c>
      <c r="DP918" s="109">
        <f t="shared" si="364"/>
        <v>0</v>
      </c>
      <c r="DR918" s="58">
        <f t="array" ref="DR918">SUM(IF(DO918:DP918&gt;=DO918, 1))</f>
        <v>2</v>
      </c>
      <c r="DS918" s="58">
        <f t="array" ref="DS918">SUM(IF(DO918:DP918&gt;=DP918, 1))</f>
        <v>1</v>
      </c>
      <c r="DU918" s="109">
        <f t="shared" si="365"/>
        <v>-37822766.00298243</v>
      </c>
      <c r="DV918" s="109">
        <f t="shared" si="366"/>
        <v>0</v>
      </c>
      <c r="DX918" s="58">
        <f t="array" ref="DX918">SUM(IF(DU918:DV918&gt;=DU918, 1))</f>
        <v>2</v>
      </c>
      <c r="DY918" s="58">
        <f t="array" ref="DY918">SUM(IF(DU918:DV918&gt;=DV918, 1))</f>
        <v>1</v>
      </c>
      <c r="EA918" s="109">
        <f t="shared" si="367"/>
        <v>-158687142.70758834</v>
      </c>
      <c r="EB918" s="109">
        <f t="shared" si="368"/>
        <v>0</v>
      </c>
      <c r="ED918" s="58">
        <f t="array" ref="ED918">SUM(IF(EA918:EB918&gt;=EA918, 1))</f>
        <v>2</v>
      </c>
      <c r="EE918" s="58">
        <f t="array" ref="EE918">SUM(IF(EA918:EB918&gt;=EB918, 1))</f>
        <v>1</v>
      </c>
    </row>
    <row r="919" spans="4:135" ht="12" customHeight="1" x14ac:dyDescent="0.25">
      <c r="D919" s="11">
        <v>903</v>
      </c>
      <c r="E919" s="72">
        <v>284.96230174726708</v>
      </c>
      <c r="F919" s="72">
        <v>224.98554932172038</v>
      </c>
      <c r="G919" s="73"/>
      <c r="H919" s="74">
        <v>5.8278771948640777</v>
      </c>
      <c r="I919" s="74">
        <v>5.8472319583042616</v>
      </c>
      <c r="J919" s="73"/>
      <c r="K919" s="72">
        <v>303.89478865553258</v>
      </c>
      <c r="L919" s="72">
        <v>242.42898347866054</v>
      </c>
      <c r="M919" s="73"/>
      <c r="N919" s="74">
        <v>6.6848054357438</v>
      </c>
      <c r="O919" s="74">
        <v>6.7007495711685685</v>
      </c>
      <c r="P919" s="73"/>
      <c r="Q919" s="72">
        <v>1798.9736533363359</v>
      </c>
      <c r="R919" s="72">
        <v>1224.2066078670466</v>
      </c>
      <c r="S919" s="73"/>
      <c r="T919" s="74">
        <v>4.7105130031826432</v>
      </c>
      <c r="U919" s="74">
        <v>4.783765825950546</v>
      </c>
      <c r="V919" s="73"/>
      <c r="W919" s="72">
        <v>10971.492221916536</v>
      </c>
      <c r="X919" s="72">
        <v>10997.110794618158</v>
      </c>
      <c r="Y919" s="73"/>
      <c r="Z919" s="74">
        <v>2.9089026163540792</v>
      </c>
      <c r="AA919" s="74">
        <v>2.9605613043340919</v>
      </c>
      <c r="AB919" s="73"/>
      <c r="AC919" s="72">
        <v>50428.764382059941</v>
      </c>
      <c r="AD919" s="72">
        <v>50114.650272682433</v>
      </c>
      <c r="AE919" s="73"/>
      <c r="AF919" s="74">
        <v>4.785978388159668</v>
      </c>
      <c r="AG919" s="74">
        <v>4.9472616640981144</v>
      </c>
      <c r="AH919" s="73"/>
      <c r="AI919" s="72">
        <v>6389640.2917983215</v>
      </c>
      <c r="AJ919" s="72">
        <v>0</v>
      </c>
      <c r="AK919" s="73"/>
      <c r="AL919" s="74">
        <v>-2061.9652000855467</v>
      </c>
      <c r="AM919" s="74">
        <v>0</v>
      </c>
      <c r="AN919" s="73"/>
      <c r="AO919" s="72">
        <v>426183.3633371988</v>
      </c>
      <c r="AP919" s="72">
        <v>0</v>
      </c>
      <c r="AQ919" s="73"/>
      <c r="AR919" s="74">
        <v>-110.55130964734241</v>
      </c>
      <c r="AS919" s="74">
        <v>0</v>
      </c>
      <c r="AT919" s="73"/>
      <c r="AU919" s="72">
        <v>12983840.567573588</v>
      </c>
      <c r="AV919" s="72">
        <v>0</v>
      </c>
      <c r="AW919" s="73"/>
      <c r="AX919" s="74">
        <v>-1654.7625328216445</v>
      </c>
      <c r="AY919" s="74">
        <v>0</v>
      </c>
      <c r="AZ919" s="73"/>
      <c r="BA919" s="72">
        <v>-234128.78532415486</v>
      </c>
      <c r="BB919" s="72">
        <v>0</v>
      </c>
      <c r="BC919" s="73"/>
      <c r="BD919" s="74">
        <v>-472.11005894306601</v>
      </c>
      <c r="BE919" s="74">
        <v>0</v>
      </c>
      <c r="BF919" s="73"/>
      <c r="BG919" s="72">
        <v>4855526.1057460932</v>
      </c>
      <c r="BH919" s="72">
        <v>0</v>
      </c>
      <c r="BI919" s="73"/>
      <c r="BJ919" s="74">
        <v>-2493.0913109611893</v>
      </c>
      <c r="BK919" s="74">
        <v>0</v>
      </c>
      <c r="BL919" s="73"/>
      <c r="BM919" s="72">
        <v>24421061.543131046</v>
      </c>
      <c r="BN919" s="72">
        <v>0</v>
      </c>
      <c r="BO919" s="73"/>
      <c r="BP919" s="74">
        <v>-6792.480412458789</v>
      </c>
      <c r="BQ919" s="74">
        <v>0</v>
      </c>
      <c r="BS919" s="109">
        <f t="shared" si="348"/>
        <v>116272.5815955343</v>
      </c>
      <c r="BT919" s="109">
        <f t="shared" si="349"/>
        <v>116719.65361676351</v>
      </c>
      <c r="BV919" s="58">
        <f t="array" ref="BV919">SUM(IF(BS919:BT919&gt;=BS919, 1))</f>
        <v>2</v>
      </c>
      <c r="BW919" s="58">
        <f t="array" ref="BW919">SUM(IF(BS919:BT919&gt;=BT919, 1))</f>
        <v>1</v>
      </c>
      <c r="BY919" s="109">
        <f t="shared" si="350"/>
        <v>133392.21392622046</v>
      </c>
      <c r="BZ919" s="109">
        <f t="shared" si="351"/>
        <v>133772.5624398927</v>
      </c>
      <c r="CB919" s="58">
        <f t="array" ref="CB919">SUM(IF(BY919:BZ919&gt;=BY919, 1))</f>
        <v>2</v>
      </c>
      <c r="CC919" s="58">
        <f t="array" ref="CC919">SUM(IF(BY919:BZ919&gt;=BZ919, 1))</f>
        <v>1</v>
      </c>
      <c r="CE919" s="109">
        <f t="shared" si="352"/>
        <v>92411.286410316534</v>
      </c>
      <c r="CF919" s="109">
        <f t="shared" si="353"/>
        <v>94451.109911143867</v>
      </c>
      <c r="CH919" s="58">
        <f t="array" ref="CH919">SUM(IF(CE919:CF919&gt;=CE919, 1))</f>
        <v>2</v>
      </c>
      <c r="CI919" s="58">
        <f t="array" ref="CI919">SUM(IF(CE919:CF919&gt;=CF919, 1))</f>
        <v>1</v>
      </c>
      <c r="CK919" s="109">
        <f t="shared" si="354"/>
        <v>47206.560105165045</v>
      </c>
      <c r="CL919" s="109">
        <f t="shared" si="355"/>
        <v>48214.115292063681</v>
      </c>
      <c r="CN919" s="58">
        <f t="array" ref="CN919">SUM(IF(CK919:CL919&gt;=CK919, 1))</f>
        <v>2</v>
      </c>
      <c r="CO919" s="58">
        <f t="array" ref="CO919">SUM(IF(CK919:CL919&gt;=CL919, 1))</f>
        <v>1</v>
      </c>
      <c r="CQ919" s="109" cm="1">
        <f t="array" ref="CQ919">AF919*WTP-AC919</f>
        <v>45290.803381133424</v>
      </c>
      <c r="CR919" s="109">
        <f t="shared" si="356"/>
        <v>48830.58300927985</v>
      </c>
      <c r="CT919" s="58">
        <f t="array" ref="CT919">SUM(IF(CQ919:CR919&gt;=CQ919, 1))</f>
        <v>2</v>
      </c>
      <c r="CU919" s="58">
        <f t="array" ref="CU919">SUM(IF(CQ919:CR919&gt;=CR919, 1))</f>
        <v>1</v>
      </c>
      <c r="CW919" s="109">
        <f t="shared" si="357"/>
        <v>-47628944.29350926</v>
      </c>
      <c r="CX919" s="109">
        <f t="shared" si="358"/>
        <v>0</v>
      </c>
      <c r="CZ919" s="58">
        <f t="array" ref="CZ919">SUM(IF(CW919:CX919&gt;=CW919, 1))</f>
        <v>2</v>
      </c>
      <c r="DA919" s="58">
        <f t="array" ref="DA919">SUM(IF(CW919:CX919&gt;=CX919, 1))</f>
        <v>1</v>
      </c>
      <c r="DC919" s="109">
        <f t="shared" si="359"/>
        <v>-2637209.5562840467</v>
      </c>
      <c r="DD919" s="109">
        <f t="shared" si="360"/>
        <v>0</v>
      </c>
      <c r="DF919" s="58">
        <f t="array" ref="DF919">SUM(IF(DC919:DD919&gt;=DC919, 1))</f>
        <v>2</v>
      </c>
      <c r="DG919" s="58">
        <f t="array" ref="DG919">SUM(IF(DC919:DD919&gt;=DD919, 1))</f>
        <v>1</v>
      </c>
      <c r="DI919" s="109">
        <f t="shared" si="361"/>
        <v>-46079091.224006474</v>
      </c>
      <c r="DJ919" s="109">
        <f t="shared" si="362"/>
        <v>0</v>
      </c>
      <c r="DL919" s="58">
        <f t="array" ref="DL919">SUM(IF(DI919:DJ919&gt;=DI919, 1))</f>
        <v>2</v>
      </c>
      <c r="DM919" s="58">
        <f t="array" ref="DM919">SUM(IF(DI919:DJ919&gt;=DJ919, 1))</f>
        <v>1</v>
      </c>
      <c r="DO919" s="109">
        <f t="shared" si="363"/>
        <v>-9208072.3935371656</v>
      </c>
      <c r="DP919" s="109">
        <f t="shared" si="364"/>
        <v>0</v>
      </c>
      <c r="DR919" s="58">
        <f t="array" ref="DR919">SUM(IF(DO919:DP919&gt;=DO919, 1))</f>
        <v>2</v>
      </c>
      <c r="DS919" s="58">
        <f t="array" ref="DS919">SUM(IF(DO919:DP919&gt;=DP919, 1))</f>
        <v>1</v>
      </c>
      <c r="DU919" s="109">
        <f t="shared" si="365"/>
        <v>-54717352.324969873</v>
      </c>
      <c r="DV919" s="109">
        <f t="shared" si="366"/>
        <v>0</v>
      </c>
      <c r="DX919" s="58">
        <f t="array" ref="DX919">SUM(IF(DU919:DV919&gt;=DU919, 1))</f>
        <v>2</v>
      </c>
      <c r="DY919" s="58">
        <f t="array" ref="DY919">SUM(IF(DU919:DV919&gt;=DV919, 1))</f>
        <v>1</v>
      </c>
      <c r="EA919" s="109">
        <f t="shared" si="367"/>
        <v>-160270669.79230684</v>
      </c>
      <c r="EB919" s="109">
        <f t="shared" si="368"/>
        <v>0</v>
      </c>
      <c r="ED919" s="58">
        <f t="array" ref="ED919">SUM(IF(EA919:EB919&gt;=EA919, 1))</f>
        <v>2</v>
      </c>
      <c r="EE919" s="58">
        <f t="array" ref="EE919">SUM(IF(EA919:EB919&gt;=EB919, 1))</f>
        <v>1</v>
      </c>
    </row>
    <row r="920" spans="4:135" ht="12" customHeight="1" x14ac:dyDescent="0.25">
      <c r="D920" s="11">
        <v>904</v>
      </c>
      <c r="E920" s="72">
        <v>213.53590684776509</v>
      </c>
      <c r="F920" s="72">
        <v>176.62355100157237</v>
      </c>
      <c r="G920" s="73"/>
      <c r="H920" s="74">
        <v>5.8929178838764731</v>
      </c>
      <c r="I920" s="74">
        <v>5.9138760695347994</v>
      </c>
      <c r="J920" s="73"/>
      <c r="K920" s="72">
        <v>228.1534983395095</v>
      </c>
      <c r="L920" s="72">
        <v>190.38454189193158</v>
      </c>
      <c r="M920" s="73"/>
      <c r="N920" s="74">
        <v>6.6253980729099364</v>
      </c>
      <c r="O920" s="74">
        <v>6.6442998625755276</v>
      </c>
      <c r="P920" s="73"/>
      <c r="Q920" s="72">
        <v>1867.7820213757582</v>
      </c>
      <c r="R920" s="72">
        <v>1086.1396027541118</v>
      </c>
      <c r="S920" s="73"/>
      <c r="T920" s="74">
        <v>4.8397219146436123</v>
      </c>
      <c r="U920" s="74">
        <v>4.932946660522723</v>
      </c>
      <c r="V920" s="73"/>
      <c r="W920" s="72">
        <v>10043.189300545873</v>
      </c>
      <c r="X920" s="72">
        <v>10024.098988081972</v>
      </c>
      <c r="Y920" s="73"/>
      <c r="Z920" s="74">
        <v>2.8802410698607579</v>
      </c>
      <c r="AA920" s="74">
        <v>2.9196437288961867</v>
      </c>
      <c r="AB920" s="73"/>
      <c r="AC920" s="72">
        <v>50183.894256940948</v>
      </c>
      <c r="AD920" s="72">
        <v>49739.514819718424</v>
      </c>
      <c r="AE920" s="73"/>
      <c r="AF920" s="74">
        <v>4.7942864435000976</v>
      </c>
      <c r="AG920" s="74">
        <v>4.8670001671240559</v>
      </c>
      <c r="AH920" s="73"/>
      <c r="AI920" s="72">
        <v>3948803.0964282961</v>
      </c>
      <c r="AJ920" s="72">
        <v>0</v>
      </c>
      <c r="AK920" s="73"/>
      <c r="AL920" s="74">
        <v>-2242.0608635212357</v>
      </c>
      <c r="AM920" s="74">
        <v>0</v>
      </c>
      <c r="AN920" s="73"/>
      <c r="AO920" s="72">
        <v>265639.50740892964</v>
      </c>
      <c r="AP920" s="72">
        <v>0</v>
      </c>
      <c r="AQ920" s="73"/>
      <c r="AR920" s="74">
        <v>-132.94150985833861</v>
      </c>
      <c r="AS920" s="74">
        <v>0</v>
      </c>
      <c r="AT920" s="73"/>
      <c r="AU920" s="72">
        <v>18176847.521836113</v>
      </c>
      <c r="AV920" s="72">
        <v>0</v>
      </c>
      <c r="AW920" s="73"/>
      <c r="AX920" s="74">
        <v>-2167.9120154388033</v>
      </c>
      <c r="AY920" s="74">
        <v>0</v>
      </c>
      <c r="AZ920" s="73"/>
      <c r="BA920" s="72">
        <v>173448.58395980691</v>
      </c>
      <c r="BB920" s="72">
        <v>0</v>
      </c>
      <c r="BC920" s="73"/>
      <c r="BD920" s="74">
        <v>-358.00018605613462</v>
      </c>
      <c r="BE920" s="74">
        <v>0</v>
      </c>
      <c r="BF920" s="73"/>
      <c r="BG920" s="72">
        <v>6943331.9352040505</v>
      </c>
      <c r="BH920" s="72">
        <v>0</v>
      </c>
      <c r="BI920" s="73"/>
      <c r="BJ920" s="74">
        <v>-1136.1360969387379</v>
      </c>
      <c r="BK920" s="74">
        <v>0</v>
      </c>
      <c r="BL920" s="73"/>
      <c r="BM920" s="72">
        <v>29508070.644837197</v>
      </c>
      <c r="BN920" s="72">
        <v>0</v>
      </c>
      <c r="BO920" s="73"/>
      <c r="BP920" s="74">
        <v>-6037.0506718132492</v>
      </c>
      <c r="BQ920" s="74">
        <v>0</v>
      </c>
      <c r="BS920" s="109">
        <f t="shared" si="348"/>
        <v>117644.82177068169</v>
      </c>
      <c r="BT920" s="109">
        <f t="shared" si="349"/>
        <v>118100.89783969441</v>
      </c>
      <c r="BV920" s="58">
        <f t="array" ref="BV920">SUM(IF(BS920:BT920&gt;=BS920, 1))</f>
        <v>2</v>
      </c>
      <c r="BW920" s="58">
        <f t="array" ref="BW920">SUM(IF(BS920:BT920&gt;=BT920, 1))</f>
        <v>1</v>
      </c>
      <c r="BY920" s="109">
        <f t="shared" si="350"/>
        <v>132279.80795985923</v>
      </c>
      <c r="BZ920" s="109">
        <f t="shared" si="351"/>
        <v>132695.61270961864</v>
      </c>
      <c r="CB920" s="58">
        <f t="array" ref="CB920">SUM(IF(BY920:BZ920&gt;=BY920, 1))</f>
        <v>2</v>
      </c>
      <c r="CC920" s="58">
        <f t="array" ref="CC920">SUM(IF(BY920:BZ920&gt;=BZ920, 1))</f>
        <v>1</v>
      </c>
      <c r="CE920" s="109">
        <f t="shared" si="352"/>
        <v>94926.656271496497</v>
      </c>
      <c r="CF920" s="109">
        <f t="shared" si="353"/>
        <v>97572.793607700354</v>
      </c>
      <c r="CH920" s="58">
        <f t="array" ref="CH920">SUM(IF(CE920:CF920&gt;=CE920, 1))</f>
        <v>2</v>
      </c>
      <c r="CI920" s="58">
        <f t="array" ref="CI920">SUM(IF(CE920:CF920&gt;=CF920, 1))</f>
        <v>1</v>
      </c>
      <c r="CK920" s="109">
        <f t="shared" si="354"/>
        <v>47561.632096669287</v>
      </c>
      <c r="CL920" s="109">
        <f t="shared" si="355"/>
        <v>48368.775589841767</v>
      </c>
      <c r="CN920" s="58">
        <f t="array" ref="CN920">SUM(IF(CK920:CL920&gt;=CK920, 1))</f>
        <v>2</v>
      </c>
      <c r="CO920" s="58">
        <f t="array" ref="CO920">SUM(IF(CK920:CL920&gt;=CL920, 1))</f>
        <v>1</v>
      </c>
      <c r="CQ920" s="109" cm="1">
        <f t="array" ref="CQ920">AF920*WTP-AC920</f>
        <v>45701.834613061008</v>
      </c>
      <c r="CR920" s="109">
        <f t="shared" si="356"/>
        <v>47600.488522762687</v>
      </c>
      <c r="CT920" s="58">
        <f t="array" ref="CT920">SUM(IF(CQ920:CR920&gt;=CQ920, 1))</f>
        <v>2</v>
      </c>
      <c r="CU920" s="58">
        <f t="array" ref="CU920">SUM(IF(CQ920:CR920&gt;=CR920, 1))</f>
        <v>1</v>
      </c>
      <c r="CW920" s="109">
        <f t="shared" si="357"/>
        <v>-48790020.366853014</v>
      </c>
      <c r="CX920" s="109">
        <f t="shared" si="358"/>
        <v>0</v>
      </c>
      <c r="CZ920" s="58">
        <f t="array" ref="CZ920">SUM(IF(CW920:CX920&gt;=CW920, 1))</f>
        <v>2</v>
      </c>
      <c r="DA920" s="58">
        <f t="array" ref="DA920">SUM(IF(CW920:CX920&gt;=CX920, 1))</f>
        <v>1</v>
      </c>
      <c r="DC920" s="109">
        <f t="shared" si="359"/>
        <v>-2924469.7045757016</v>
      </c>
      <c r="DD920" s="109">
        <f t="shared" si="360"/>
        <v>0</v>
      </c>
      <c r="DF920" s="58">
        <f t="array" ref="DF920">SUM(IF(DC920:DD920&gt;=DC920, 1))</f>
        <v>2</v>
      </c>
      <c r="DG920" s="58">
        <f t="array" ref="DG920">SUM(IF(DC920:DD920&gt;=DD920, 1))</f>
        <v>1</v>
      </c>
      <c r="DI920" s="109">
        <f t="shared" si="361"/>
        <v>-61535087.830612183</v>
      </c>
      <c r="DJ920" s="109">
        <f t="shared" si="362"/>
        <v>0</v>
      </c>
      <c r="DL920" s="58">
        <f t="array" ref="DL920">SUM(IF(DI920:DJ920&gt;=DI920, 1))</f>
        <v>2</v>
      </c>
      <c r="DM920" s="58">
        <f t="array" ref="DM920">SUM(IF(DI920:DJ920&gt;=DJ920, 1))</f>
        <v>1</v>
      </c>
      <c r="DO920" s="109">
        <f t="shared" si="363"/>
        <v>-7333452.305082499</v>
      </c>
      <c r="DP920" s="109">
        <f t="shared" si="364"/>
        <v>0</v>
      </c>
      <c r="DR920" s="58">
        <f t="array" ref="DR920">SUM(IF(DO920:DP920&gt;=DO920, 1))</f>
        <v>2</v>
      </c>
      <c r="DS920" s="58">
        <f t="array" ref="DS920">SUM(IF(DO920:DP920&gt;=DP920, 1))</f>
        <v>1</v>
      </c>
      <c r="DU920" s="109">
        <f t="shared" si="365"/>
        <v>-29666053.873978809</v>
      </c>
      <c r="DV920" s="109">
        <f t="shared" si="366"/>
        <v>0</v>
      </c>
      <c r="DX920" s="58">
        <f t="array" ref="DX920">SUM(IF(DU920:DV920&gt;=DU920, 1))</f>
        <v>2</v>
      </c>
      <c r="DY920" s="58">
        <f t="array" ref="DY920">SUM(IF(DU920:DV920&gt;=DV920, 1))</f>
        <v>1</v>
      </c>
      <c r="EA920" s="109">
        <f t="shared" si="367"/>
        <v>-150249084.08110216</v>
      </c>
      <c r="EB920" s="109">
        <f t="shared" si="368"/>
        <v>0</v>
      </c>
      <c r="ED920" s="58">
        <f t="array" ref="ED920">SUM(IF(EA920:EB920&gt;=EA920, 1))</f>
        <v>2</v>
      </c>
      <c r="EE920" s="58">
        <f t="array" ref="EE920">SUM(IF(EA920:EB920&gt;=EB920, 1))</f>
        <v>1</v>
      </c>
    </row>
    <row r="921" spans="4:135" ht="12" customHeight="1" x14ac:dyDescent="0.25">
      <c r="D921" s="11">
        <v>905</v>
      </c>
      <c r="E921" s="72">
        <v>296.46613677908817</v>
      </c>
      <c r="F921" s="72">
        <v>268.90865739037491</v>
      </c>
      <c r="G921" s="73"/>
      <c r="H921" s="74">
        <v>5.7930494256417511</v>
      </c>
      <c r="I921" s="74">
        <v>5.80924844273658</v>
      </c>
      <c r="J921" s="73"/>
      <c r="K921" s="72">
        <v>318.15154653102667</v>
      </c>
      <c r="L921" s="72">
        <v>289.91250965628905</v>
      </c>
      <c r="M921" s="73"/>
      <c r="N921" s="74">
        <v>6.6947027012149816</v>
      </c>
      <c r="O921" s="74">
        <v>6.7085544912750077</v>
      </c>
      <c r="P921" s="73"/>
      <c r="Q921" s="72">
        <v>2880.5325884282834</v>
      </c>
      <c r="R921" s="72">
        <v>1637.608044726941</v>
      </c>
      <c r="S921" s="73"/>
      <c r="T921" s="74">
        <v>4.6406336001999176</v>
      </c>
      <c r="U921" s="74">
        <v>4.7399657475592472</v>
      </c>
      <c r="V921" s="73"/>
      <c r="W921" s="72">
        <v>14366.025454661247</v>
      </c>
      <c r="X921" s="72">
        <v>14348.364854135993</v>
      </c>
      <c r="Y921" s="73"/>
      <c r="Z921" s="74">
        <v>2.8844651415258369</v>
      </c>
      <c r="AA921" s="74">
        <v>2.9203801426487876</v>
      </c>
      <c r="AB921" s="73"/>
      <c r="AC921" s="72">
        <v>50447.221955922323</v>
      </c>
      <c r="AD921" s="72">
        <v>50264.090338195208</v>
      </c>
      <c r="AE921" s="73"/>
      <c r="AF921" s="74">
        <v>4.3218101070212045</v>
      </c>
      <c r="AG921" s="74">
        <v>4.3764370462120921</v>
      </c>
      <c r="AH921" s="73"/>
      <c r="AI921" s="72">
        <v>2962482.6584452474</v>
      </c>
      <c r="AJ921" s="72">
        <v>0</v>
      </c>
      <c r="AK921" s="73"/>
      <c r="AL921" s="74">
        <v>-1741.4258593964121</v>
      </c>
      <c r="AM921" s="74">
        <v>0</v>
      </c>
      <c r="AN921" s="73"/>
      <c r="AO921" s="72">
        <v>196140.57202520728</v>
      </c>
      <c r="AP921" s="72">
        <v>0</v>
      </c>
      <c r="AQ921" s="73"/>
      <c r="AR921" s="74">
        <v>-96.210718446177466</v>
      </c>
      <c r="AS921" s="74">
        <v>0</v>
      </c>
      <c r="AT921" s="73"/>
      <c r="AU921" s="72">
        <v>28192586.631607708</v>
      </c>
      <c r="AV921" s="72">
        <v>0</v>
      </c>
      <c r="AW921" s="73"/>
      <c r="AX921" s="74">
        <v>-2253.0974900471733</v>
      </c>
      <c r="AY921" s="74">
        <v>0</v>
      </c>
      <c r="AZ921" s="73"/>
      <c r="BA921" s="72">
        <v>155638.86350578471</v>
      </c>
      <c r="BB921" s="72">
        <v>0</v>
      </c>
      <c r="BC921" s="73"/>
      <c r="BD921" s="74">
        <v>-316.51075225849718</v>
      </c>
      <c r="BE921" s="74">
        <v>0</v>
      </c>
      <c r="BF921" s="73"/>
      <c r="BG921" s="72">
        <v>2865599.6702758288</v>
      </c>
      <c r="BH921" s="72">
        <v>0</v>
      </c>
      <c r="BI921" s="73"/>
      <c r="BJ921" s="74">
        <v>-854.78925417916992</v>
      </c>
      <c r="BK921" s="74">
        <v>0</v>
      </c>
      <c r="BL921" s="73"/>
      <c r="BM921" s="72">
        <v>34372448.395859778</v>
      </c>
      <c r="BN921" s="72">
        <v>0</v>
      </c>
      <c r="BO921" s="73"/>
      <c r="BP921" s="74">
        <v>-5262.0340743274301</v>
      </c>
      <c r="BQ921" s="74">
        <v>0</v>
      </c>
      <c r="BS921" s="109">
        <f t="shared" si="348"/>
        <v>115564.52237605593</v>
      </c>
      <c r="BT921" s="109">
        <f t="shared" si="349"/>
        <v>115916.06019734123</v>
      </c>
      <c r="BV921" s="58">
        <f t="array" ref="BV921">SUM(IF(BS921:BT921&gt;=BS921, 1))</f>
        <v>2</v>
      </c>
      <c r="BW921" s="58">
        <f t="array" ref="BW921">SUM(IF(BS921:BT921&gt;=BT921, 1))</f>
        <v>1</v>
      </c>
      <c r="BY921" s="109">
        <f t="shared" si="350"/>
        <v>133575.9024777686</v>
      </c>
      <c r="BZ921" s="109">
        <f t="shared" si="351"/>
        <v>133881.17731584387</v>
      </c>
      <c r="CB921" s="58">
        <f t="array" ref="CB921">SUM(IF(BY921:BZ921&gt;=BY921, 1))</f>
        <v>2</v>
      </c>
      <c r="CC921" s="58">
        <f t="array" ref="CC921">SUM(IF(BY921:BZ921&gt;=BZ921, 1))</f>
        <v>1</v>
      </c>
      <c r="CE921" s="109">
        <f t="shared" si="352"/>
        <v>89932.139415570069</v>
      </c>
      <c r="CF921" s="109">
        <f t="shared" si="353"/>
        <v>93161.706906458014</v>
      </c>
      <c r="CH921" s="58">
        <f t="array" ref="CH921">SUM(IF(CE921:CF921&gt;=CE921, 1))</f>
        <v>2</v>
      </c>
      <c r="CI921" s="58">
        <f t="array" ref="CI921">SUM(IF(CE921:CF921&gt;=CF921, 1))</f>
        <v>1</v>
      </c>
      <c r="CK921" s="109">
        <f t="shared" si="354"/>
        <v>43323.27737585549</v>
      </c>
      <c r="CL921" s="109">
        <f t="shared" si="355"/>
        <v>44059.237998839759</v>
      </c>
      <c r="CN921" s="58">
        <f t="array" ref="CN921">SUM(IF(CK921:CL921&gt;=CK921, 1))</f>
        <v>2</v>
      </c>
      <c r="CO921" s="58">
        <f t="array" ref="CO921">SUM(IF(CK921:CL921&gt;=CL921, 1))</f>
        <v>1</v>
      </c>
      <c r="CQ921" s="109" cm="1">
        <f t="array" ref="CQ921">AF921*WTP-AC921</f>
        <v>35988.980184501772</v>
      </c>
      <c r="CR921" s="109">
        <f t="shared" si="356"/>
        <v>37264.650586046628</v>
      </c>
      <c r="CT921" s="58">
        <f t="array" ref="CT921">SUM(IF(CQ921:CR921&gt;=CQ921, 1))</f>
        <v>2</v>
      </c>
      <c r="CU921" s="58">
        <f t="array" ref="CU921">SUM(IF(CQ921:CR921&gt;=CR921, 1))</f>
        <v>1</v>
      </c>
      <c r="CW921" s="109">
        <f t="shared" si="357"/>
        <v>-37790999.846373491</v>
      </c>
      <c r="CX921" s="109">
        <f t="shared" si="358"/>
        <v>0</v>
      </c>
      <c r="CZ921" s="58">
        <f t="array" ref="CZ921">SUM(IF(CW921:CX921&gt;=CW921, 1))</f>
        <v>2</v>
      </c>
      <c r="DA921" s="58">
        <f t="array" ref="DA921">SUM(IF(CW921:CX921&gt;=CX921, 1))</f>
        <v>1</v>
      </c>
      <c r="DC921" s="109">
        <f t="shared" si="359"/>
        <v>-2120354.9409487564</v>
      </c>
      <c r="DD921" s="109">
        <f t="shared" si="360"/>
        <v>0</v>
      </c>
      <c r="DF921" s="58">
        <f t="array" ref="DF921">SUM(IF(DC921:DD921&gt;=DC921, 1))</f>
        <v>2</v>
      </c>
      <c r="DG921" s="58">
        <f t="array" ref="DG921">SUM(IF(DC921:DD921&gt;=DD921, 1))</f>
        <v>1</v>
      </c>
      <c r="DI921" s="109">
        <f t="shared" si="361"/>
        <v>-73254536.432551175</v>
      </c>
      <c r="DJ921" s="109">
        <f t="shared" si="362"/>
        <v>0</v>
      </c>
      <c r="DL921" s="58">
        <f t="array" ref="DL921">SUM(IF(DI921:DJ921&gt;=DI921, 1))</f>
        <v>2</v>
      </c>
      <c r="DM921" s="58">
        <f t="array" ref="DM921">SUM(IF(DI921:DJ921&gt;=DJ921, 1))</f>
        <v>1</v>
      </c>
      <c r="DO921" s="109">
        <f t="shared" si="363"/>
        <v>-6485853.9086757284</v>
      </c>
      <c r="DP921" s="109">
        <f t="shared" si="364"/>
        <v>0</v>
      </c>
      <c r="DR921" s="58">
        <f t="array" ref="DR921">SUM(IF(DO921:DP921&gt;=DO921, 1))</f>
        <v>2</v>
      </c>
      <c r="DS921" s="58">
        <f t="array" ref="DS921">SUM(IF(DO921:DP921&gt;=DP921, 1))</f>
        <v>1</v>
      </c>
      <c r="DU921" s="109">
        <f t="shared" si="365"/>
        <v>-19961384.753859229</v>
      </c>
      <c r="DV921" s="109">
        <f t="shared" si="366"/>
        <v>0</v>
      </c>
      <c r="DX921" s="58">
        <f t="array" ref="DX921">SUM(IF(DU921:DV921&gt;=DU921, 1))</f>
        <v>2</v>
      </c>
      <c r="DY921" s="58">
        <f t="array" ref="DY921">SUM(IF(DU921:DV921&gt;=DV921, 1))</f>
        <v>1</v>
      </c>
      <c r="EA921" s="109">
        <f t="shared" si="367"/>
        <v>-139613129.88240838</v>
      </c>
      <c r="EB921" s="109">
        <f t="shared" si="368"/>
        <v>0</v>
      </c>
      <c r="ED921" s="58">
        <f t="array" ref="ED921">SUM(IF(EA921:EB921&gt;=EA921, 1))</f>
        <v>2</v>
      </c>
      <c r="EE921" s="58">
        <f t="array" ref="EE921">SUM(IF(EA921:EB921&gt;=EB921, 1))</f>
        <v>1</v>
      </c>
    </row>
    <row r="922" spans="4:135" ht="12" customHeight="1" x14ac:dyDescent="0.25">
      <c r="D922" s="11">
        <v>906</v>
      </c>
      <c r="E922" s="72">
        <v>252.46615228109212</v>
      </c>
      <c r="F922" s="72">
        <v>218.30337794326138</v>
      </c>
      <c r="G922" s="73"/>
      <c r="H922" s="74">
        <v>5.7931756631225122</v>
      </c>
      <c r="I922" s="74">
        <v>5.8056999498163506</v>
      </c>
      <c r="J922" s="73"/>
      <c r="K922" s="72">
        <v>270.302261173337</v>
      </c>
      <c r="L922" s="72">
        <v>235.34557522042249</v>
      </c>
      <c r="M922" s="73"/>
      <c r="N922" s="74">
        <v>6.6425186440288444</v>
      </c>
      <c r="O922" s="74">
        <v>6.6534569638328307</v>
      </c>
      <c r="P922" s="73"/>
      <c r="Q922" s="72">
        <v>2342.1905620159941</v>
      </c>
      <c r="R922" s="72">
        <v>1516.395874123622</v>
      </c>
      <c r="S922" s="73"/>
      <c r="T922" s="74">
        <v>4.7422975236307394</v>
      </c>
      <c r="U922" s="74">
        <v>4.820762821827917</v>
      </c>
      <c r="V922" s="73"/>
      <c r="W922" s="72">
        <v>11996.139430172614</v>
      </c>
      <c r="X922" s="72">
        <v>11934.809539462856</v>
      </c>
      <c r="Y922" s="73"/>
      <c r="Z922" s="74">
        <v>3.0914921758121747</v>
      </c>
      <c r="AA922" s="74">
        <v>3.1226310230074601</v>
      </c>
      <c r="AB922" s="73"/>
      <c r="AC922" s="72">
        <v>50752.867834416815</v>
      </c>
      <c r="AD922" s="72">
        <v>50837.860187019571</v>
      </c>
      <c r="AE922" s="73"/>
      <c r="AF922" s="74">
        <v>4.05860676185078</v>
      </c>
      <c r="AG922" s="74">
        <v>4.144703233753404</v>
      </c>
      <c r="AH922" s="73"/>
      <c r="AI922" s="72">
        <v>3638343.2348583732</v>
      </c>
      <c r="AJ922" s="72">
        <v>0</v>
      </c>
      <c r="AK922" s="73"/>
      <c r="AL922" s="74">
        <v>-1333.8393806469533</v>
      </c>
      <c r="AM922" s="74">
        <v>0</v>
      </c>
      <c r="AN922" s="73"/>
      <c r="AO922" s="72">
        <v>240354.72357590403</v>
      </c>
      <c r="AP922" s="72">
        <v>0</v>
      </c>
      <c r="AQ922" s="73"/>
      <c r="AR922" s="74">
        <v>-75.209556089305536</v>
      </c>
      <c r="AS922" s="74">
        <v>0</v>
      </c>
      <c r="AT922" s="73"/>
      <c r="AU922" s="72">
        <v>19205260.513664283</v>
      </c>
      <c r="AV922" s="72">
        <v>0</v>
      </c>
      <c r="AW922" s="73"/>
      <c r="AX922" s="74">
        <v>-1824.8440142007221</v>
      </c>
      <c r="AY922" s="74">
        <v>0</v>
      </c>
      <c r="AZ922" s="73"/>
      <c r="BA922" s="72">
        <v>561462.30577745428</v>
      </c>
      <c r="BB922" s="72">
        <v>0</v>
      </c>
      <c r="BC922" s="73"/>
      <c r="BD922" s="74">
        <v>-285.06962499339784</v>
      </c>
      <c r="BE922" s="74">
        <v>0</v>
      </c>
      <c r="BF922" s="73"/>
      <c r="BG922" s="72">
        <v>-1355260.2063767449</v>
      </c>
      <c r="BH922" s="72">
        <v>0</v>
      </c>
      <c r="BI922" s="73"/>
      <c r="BJ922" s="74">
        <v>-1372.8661309614845</v>
      </c>
      <c r="BK922" s="74">
        <v>0</v>
      </c>
      <c r="BL922" s="73"/>
      <c r="BM922" s="72">
        <v>22290160.571499266</v>
      </c>
      <c r="BN922" s="72">
        <v>0</v>
      </c>
      <c r="BO922" s="73"/>
      <c r="BP922" s="74">
        <v>-4891.8287068918635</v>
      </c>
      <c r="BQ922" s="74">
        <v>0</v>
      </c>
      <c r="BS922" s="109">
        <f t="shared" si="348"/>
        <v>115611.04711016915</v>
      </c>
      <c r="BT922" s="109">
        <f t="shared" si="349"/>
        <v>115895.69561838375</v>
      </c>
      <c r="BV922" s="58">
        <f t="array" ref="BV922">SUM(IF(BS922:BT922&gt;=BS922, 1))</f>
        <v>2</v>
      </c>
      <c r="BW922" s="58">
        <f t="array" ref="BW922">SUM(IF(BS922:BT922&gt;=BT922, 1))</f>
        <v>1</v>
      </c>
      <c r="BY922" s="109">
        <f t="shared" si="350"/>
        <v>132580.07061940353</v>
      </c>
      <c r="BZ922" s="109">
        <f t="shared" si="351"/>
        <v>132833.7937014362</v>
      </c>
      <c r="CB922" s="58">
        <f t="array" ref="CB922">SUM(IF(BY922:BZ922&gt;=BY922, 1))</f>
        <v>2</v>
      </c>
      <c r="CC922" s="58">
        <f t="array" ref="CC922">SUM(IF(BY922:BZ922&gt;=BZ922, 1))</f>
        <v>1</v>
      </c>
      <c r="CE922" s="109">
        <f t="shared" si="352"/>
        <v>92503.75991059879</v>
      </c>
      <c r="CF922" s="109">
        <f t="shared" si="353"/>
        <v>94898.860562434711</v>
      </c>
      <c r="CH922" s="58">
        <f t="array" ref="CH922">SUM(IF(CE922:CF922&gt;=CE922, 1))</f>
        <v>2</v>
      </c>
      <c r="CI922" s="58">
        <f t="array" ref="CI922">SUM(IF(CE922:CF922&gt;=CF922, 1))</f>
        <v>1</v>
      </c>
      <c r="CK922" s="109">
        <f t="shared" si="354"/>
        <v>49833.70408607088</v>
      </c>
      <c r="CL922" s="109">
        <f t="shared" si="355"/>
        <v>50517.810920686345</v>
      </c>
      <c r="CN922" s="58">
        <f t="array" ref="CN922">SUM(IF(CK922:CL922&gt;=CK922, 1))</f>
        <v>2</v>
      </c>
      <c r="CO922" s="58">
        <f t="array" ref="CO922">SUM(IF(CK922:CL922&gt;=CL922, 1))</f>
        <v>1</v>
      </c>
      <c r="CQ922" s="109" cm="1">
        <f t="array" ref="CQ922">AF922*WTP-AC922</f>
        <v>30419.26740259878</v>
      </c>
      <c r="CR922" s="109">
        <f t="shared" si="356"/>
        <v>32056.204488048505</v>
      </c>
      <c r="CT922" s="58">
        <f t="array" ref="CT922">SUM(IF(CQ922:CR922&gt;=CQ922, 1))</f>
        <v>2</v>
      </c>
      <c r="CU922" s="58">
        <f t="array" ref="CU922">SUM(IF(CQ922:CR922&gt;=CR922, 1))</f>
        <v>1</v>
      </c>
      <c r="CW922" s="109">
        <f t="shared" si="357"/>
        <v>-30315130.847797439</v>
      </c>
      <c r="CX922" s="109">
        <f t="shared" si="358"/>
        <v>0</v>
      </c>
      <c r="CZ922" s="58">
        <f t="array" ref="CZ922">SUM(IF(CW922:CX922&gt;=CW922, 1))</f>
        <v>2</v>
      </c>
      <c r="DA922" s="58">
        <f t="array" ref="DA922">SUM(IF(CW922:CX922&gt;=CX922, 1))</f>
        <v>1</v>
      </c>
      <c r="DC922" s="109">
        <f t="shared" si="359"/>
        <v>-1744545.8453620148</v>
      </c>
      <c r="DD922" s="109">
        <f t="shared" si="360"/>
        <v>0</v>
      </c>
      <c r="DF922" s="58">
        <f t="array" ref="DF922">SUM(IF(DC922:DD922&gt;=DC922, 1))</f>
        <v>2</v>
      </c>
      <c r="DG922" s="58">
        <f t="array" ref="DG922">SUM(IF(DC922:DD922&gt;=DD922, 1))</f>
        <v>1</v>
      </c>
      <c r="DI922" s="109">
        <f t="shared" si="361"/>
        <v>-55702140.797678724</v>
      </c>
      <c r="DJ922" s="109">
        <f t="shared" si="362"/>
        <v>0</v>
      </c>
      <c r="DL922" s="58">
        <f t="array" ref="DL922">SUM(IF(DI922:DJ922&gt;=DI922, 1))</f>
        <v>2</v>
      </c>
      <c r="DM922" s="58">
        <f t="array" ref="DM922">SUM(IF(DI922:DJ922&gt;=DJ922, 1))</f>
        <v>1</v>
      </c>
      <c r="DO922" s="109">
        <f t="shared" si="363"/>
        <v>-6262854.8056454118</v>
      </c>
      <c r="DP922" s="109">
        <f t="shared" si="364"/>
        <v>0</v>
      </c>
      <c r="DR922" s="58">
        <f t="array" ref="DR922">SUM(IF(DO922:DP922&gt;=DO922, 1))</f>
        <v>2</v>
      </c>
      <c r="DS922" s="58">
        <f t="array" ref="DS922">SUM(IF(DO922:DP922&gt;=DP922, 1))</f>
        <v>1</v>
      </c>
      <c r="DU922" s="109">
        <f t="shared" si="365"/>
        <v>-26102062.412852943</v>
      </c>
      <c r="DV922" s="109">
        <f t="shared" si="366"/>
        <v>0</v>
      </c>
      <c r="DX922" s="58">
        <f t="array" ref="DX922">SUM(IF(DU922:DV922&gt;=DU922, 1))</f>
        <v>2</v>
      </c>
      <c r="DY922" s="58">
        <f t="array" ref="DY922">SUM(IF(DU922:DV922&gt;=DV922, 1))</f>
        <v>1</v>
      </c>
      <c r="EA922" s="109">
        <f t="shared" si="367"/>
        <v>-120126734.70933655</v>
      </c>
      <c r="EB922" s="109">
        <f t="shared" si="368"/>
        <v>0</v>
      </c>
      <c r="ED922" s="58">
        <f t="array" ref="ED922">SUM(IF(EA922:EB922&gt;=EA922, 1))</f>
        <v>2</v>
      </c>
      <c r="EE922" s="58">
        <f t="array" ref="EE922">SUM(IF(EA922:EB922&gt;=EB922, 1))</f>
        <v>1</v>
      </c>
    </row>
    <row r="923" spans="4:135" ht="12" customHeight="1" x14ac:dyDescent="0.25">
      <c r="D923" s="11">
        <v>907</v>
      </c>
      <c r="E923" s="72">
        <v>274.71006615182705</v>
      </c>
      <c r="F923" s="72">
        <v>256.79137630315824</v>
      </c>
      <c r="G923" s="73"/>
      <c r="H923" s="74">
        <v>5.8343000356000729</v>
      </c>
      <c r="I923" s="74">
        <v>5.8489403703706486</v>
      </c>
      <c r="J923" s="73"/>
      <c r="K923" s="72">
        <v>295.39385135438675</v>
      </c>
      <c r="L923" s="72">
        <v>277.02339215002081</v>
      </c>
      <c r="M923" s="73"/>
      <c r="N923" s="74">
        <v>6.6337255629803735</v>
      </c>
      <c r="O923" s="74">
        <v>6.6460298594613265</v>
      </c>
      <c r="P923" s="73"/>
      <c r="Q923" s="72">
        <v>2883.0801409370224</v>
      </c>
      <c r="R923" s="72">
        <v>1634.9263512745588</v>
      </c>
      <c r="S923" s="73"/>
      <c r="T923" s="74">
        <v>4.7502243871326053</v>
      </c>
      <c r="U923" s="74">
        <v>4.8440516237763482</v>
      </c>
      <c r="V923" s="73"/>
      <c r="W923" s="72">
        <v>10615.949831032694</v>
      </c>
      <c r="X923" s="72">
        <v>10611.414496302383</v>
      </c>
      <c r="Y923" s="73"/>
      <c r="Z923" s="74">
        <v>2.9777530664197376</v>
      </c>
      <c r="AA923" s="74">
        <v>3.0133924066099027</v>
      </c>
      <c r="AB923" s="73"/>
      <c r="AC923" s="72">
        <v>51217.353159032791</v>
      </c>
      <c r="AD923" s="72">
        <v>50994.776229531046</v>
      </c>
      <c r="AE923" s="73"/>
      <c r="AF923" s="74">
        <v>4.5612459764304454</v>
      </c>
      <c r="AG923" s="74">
        <v>4.7042215920040391</v>
      </c>
      <c r="AH923" s="73"/>
      <c r="AI923" s="72">
        <v>1937607.8072694805</v>
      </c>
      <c r="AJ923" s="72">
        <v>0</v>
      </c>
      <c r="AK923" s="73"/>
      <c r="AL923" s="74">
        <v>-1583.1083183022849</v>
      </c>
      <c r="AM923" s="74">
        <v>0</v>
      </c>
      <c r="AN923" s="73"/>
      <c r="AO923" s="72">
        <v>127914.88998496442</v>
      </c>
      <c r="AP923" s="72">
        <v>0</v>
      </c>
      <c r="AQ923" s="73"/>
      <c r="AR923" s="74">
        <v>-85.675742407649309</v>
      </c>
      <c r="AS923" s="74">
        <v>0</v>
      </c>
      <c r="AT923" s="73"/>
      <c r="AU923" s="72">
        <v>29729653.562528059</v>
      </c>
      <c r="AV923" s="72">
        <v>0</v>
      </c>
      <c r="AW923" s="73"/>
      <c r="AX923" s="74">
        <v>-2234.8618121026275</v>
      </c>
      <c r="AY923" s="74">
        <v>0</v>
      </c>
      <c r="AZ923" s="73"/>
      <c r="BA923" s="72">
        <v>41266.60538635929</v>
      </c>
      <c r="BB923" s="72">
        <v>0</v>
      </c>
      <c r="BC923" s="73"/>
      <c r="BD923" s="74">
        <v>-324.27917128769332</v>
      </c>
      <c r="BE923" s="74">
        <v>0</v>
      </c>
      <c r="BF923" s="73"/>
      <c r="BG923" s="72">
        <v>3463109.5778341368</v>
      </c>
      <c r="BH923" s="72">
        <v>0</v>
      </c>
      <c r="BI923" s="73"/>
      <c r="BJ923" s="74">
        <v>-2224.5801700924326</v>
      </c>
      <c r="BK923" s="74">
        <v>0</v>
      </c>
      <c r="BL923" s="73"/>
      <c r="BM923" s="72">
        <v>35299552.443002999</v>
      </c>
      <c r="BN923" s="72">
        <v>0</v>
      </c>
      <c r="BO923" s="73"/>
      <c r="BP923" s="74">
        <v>-6452.5052141926881</v>
      </c>
      <c r="BQ923" s="74">
        <v>0</v>
      </c>
      <c r="BS923" s="109">
        <f t="shared" si="348"/>
        <v>116411.29064584963</v>
      </c>
      <c r="BT923" s="109">
        <f t="shared" si="349"/>
        <v>116722.01603110982</v>
      </c>
      <c r="BV923" s="58">
        <f t="array" ref="BV923">SUM(IF(BS923:BT923&gt;=BS923, 1))</f>
        <v>2</v>
      </c>
      <c r="BW923" s="58">
        <f t="array" ref="BW923">SUM(IF(BS923:BT923&gt;=BT923, 1))</f>
        <v>1</v>
      </c>
      <c r="BY923" s="109">
        <f t="shared" si="350"/>
        <v>132379.11740825308</v>
      </c>
      <c r="BZ923" s="109">
        <f t="shared" si="351"/>
        <v>132643.5737970765</v>
      </c>
      <c r="CB923" s="58">
        <f t="array" ref="CB923">SUM(IF(BY923:BZ923&gt;=BY923, 1))</f>
        <v>2</v>
      </c>
      <c r="CC923" s="58">
        <f t="array" ref="CC923">SUM(IF(BY923:BZ923&gt;=BZ923, 1))</f>
        <v>1</v>
      </c>
      <c r="CE923" s="109">
        <f t="shared" si="352"/>
        <v>92121.407601715095</v>
      </c>
      <c r="CF923" s="109">
        <f t="shared" si="353"/>
        <v>95246.106124252416</v>
      </c>
      <c r="CH923" s="58">
        <f t="array" ref="CH923">SUM(IF(CE923:CF923&gt;=CE923, 1))</f>
        <v>2</v>
      </c>
      <c r="CI923" s="58">
        <f t="array" ref="CI923">SUM(IF(CE923:CF923&gt;=CF923, 1))</f>
        <v>1</v>
      </c>
      <c r="CK923" s="109">
        <f t="shared" si="354"/>
        <v>48939.111497362057</v>
      </c>
      <c r="CL923" s="109">
        <f t="shared" si="355"/>
        <v>49656.433635895664</v>
      </c>
      <c r="CN923" s="58">
        <f t="array" ref="CN923">SUM(IF(CK923:CL923&gt;=CK923, 1))</f>
        <v>2</v>
      </c>
      <c r="CO923" s="58">
        <f t="array" ref="CO923">SUM(IF(CK923:CL923&gt;=CL923, 1))</f>
        <v>1</v>
      </c>
      <c r="CQ923" s="109" cm="1">
        <f t="array" ref="CQ923">AF923*WTP-AC923</f>
        <v>40007.566369576118</v>
      </c>
      <c r="CR923" s="109">
        <f t="shared" si="356"/>
        <v>43089.655610549737</v>
      </c>
      <c r="CT923" s="58">
        <f t="array" ref="CT923">SUM(IF(CQ923:CR923&gt;=CQ923, 1))</f>
        <v>2</v>
      </c>
      <c r="CU923" s="58">
        <f t="array" ref="CU923">SUM(IF(CQ923:CR923&gt;=CR923, 1))</f>
        <v>1</v>
      </c>
      <c r="CW923" s="109">
        <f t="shared" si="357"/>
        <v>-33599774.173315182</v>
      </c>
      <c r="CX923" s="109">
        <f t="shared" si="358"/>
        <v>0</v>
      </c>
      <c r="CZ923" s="58">
        <f t="array" ref="CZ923">SUM(IF(CW923:CX923&gt;=CW923, 1))</f>
        <v>2</v>
      </c>
      <c r="DA923" s="58">
        <f t="array" ref="DA923">SUM(IF(CW923:CX923&gt;=CX923, 1))</f>
        <v>1</v>
      </c>
      <c r="DC923" s="109">
        <f t="shared" si="359"/>
        <v>-1841429.7381379507</v>
      </c>
      <c r="DD923" s="109">
        <f t="shared" si="360"/>
        <v>0</v>
      </c>
      <c r="DF923" s="58">
        <f t="array" ref="DF923">SUM(IF(DC923:DD923&gt;=DC923, 1))</f>
        <v>2</v>
      </c>
      <c r="DG923" s="58">
        <f t="array" ref="DG923">SUM(IF(DC923:DD923&gt;=DD923, 1))</f>
        <v>1</v>
      </c>
      <c r="DI923" s="109">
        <f t="shared" si="361"/>
        <v>-74426889.804580599</v>
      </c>
      <c r="DJ923" s="109">
        <f t="shared" si="362"/>
        <v>0</v>
      </c>
      <c r="DL923" s="58">
        <f t="array" ref="DL923">SUM(IF(DI923:DJ923&gt;=DI923, 1))</f>
        <v>2</v>
      </c>
      <c r="DM923" s="58">
        <f t="array" ref="DM923">SUM(IF(DI923:DJ923&gt;=DJ923, 1))</f>
        <v>1</v>
      </c>
      <c r="DO923" s="109">
        <f t="shared" si="363"/>
        <v>-6526850.0311402259</v>
      </c>
      <c r="DP923" s="109">
        <f t="shared" si="364"/>
        <v>0</v>
      </c>
      <c r="DR923" s="58">
        <f t="array" ref="DR923">SUM(IF(DO923:DP923&gt;=DO923, 1))</f>
        <v>2</v>
      </c>
      <c r="DS923" s="58">
        <f t="array" ref="DS923">SUM(IF(DO923:DP923&gt;=DP923, 1))</f>
        <v>1</v>
      </c>
      <c r="DU923" s="109">
        <f t="shared" si="365"/>
        <v>-47954712.979682788</v>
      </c>
      <c r="DV923" s="109">
        <f t="shared" si="366"/>
        <v>0</v>
      </c>
      <c r="DX923" s="58">
        <f t="array" ref="DX923">SUM(IF(DU923:DV923&gt;=DU923, 1))</f>
        <v>2</v>
      </c>
      <c r="DY923" s="58">
        <f t="array" ref="DY923">SUM(IF(DU923:DV923&gt;=DV923, 1))</f>
        <v>1</v>
      </c>
      <c r="EA923" s="109">
        <f t="shared" si="367"/>
        <v>-164349656.72685677</v>
      </c>
      <c r="EB923" s="109">
        <f t="shared" si="368"/>
        <v>0</v>
      </c>
      <c r="ED923" s="58">
        <f t="array" ref="ED923">SUM(IF(EA923:EB923&gt;=EA923, 1))</f>
        <v>2</v>
      </c>
      <c r="EE923" s="58">
        <f t="array" ref="EE923">SUM(IF(EA923:EB923&gt;=EB923, 1))</f>
        <v>1</v>
      </c>
    </row>
    <row r="924" spans="4:135" ht="12" customHeight="1" x14ac:dyDescent="0.25">
      <c r="D924" s="11">
        <v>908</v>
      </c>
      <c r="E924" s="72">
        <v>248.27928956453042</v>
      </c>
      <c r="F924" s="72">
        <v>210.92676653423521</v>
      </c>
      <c r="G924" s="73"/>
      <c r="H924" s="74">
        <v>5.8630212533080819</v>
      </c>
      <c r="I924" s="74">
        <v>5.8805723203566407</v>
      </c>
      <c r="J924" s="73"/>
      <c r="K924" s="72">
        <v>265.62109637341933</v>
      </c>
      <c r="L924" s="72">
        <v>227.37183644763576</v>
      </c>
      <c r="M924" s="73"/>
      <c r="N924" s="74">
        <v>6.6894508926893996</v>
      </c>
      <c r="O924" s="74">
        <v>6.7043264627519861</v>
      </c>
      <c r="P924" s="73"/>
      <c r="Q924" s="72">
        <v>2842.9153244624863</v>
      </c>
      <c r="R924" s="72">
        <v>1444.3909844479388</v>
      </c>
      <c r="S924" s="73"/>
      <c r="T924" s="74">
        <v>4.8362698590430968</v>
      </c>
      <c r="U924" s="74">
        <v>4.9508218339671544</v>
      </c>
      <c r="V924" s="73"/>
      <c r="W924" s="72">
        <v>10902.695491550452</v>
      </c>
      <c r="X924" s="72">
        <v>10956.616821187285</v>
      </c>
      <c r="Y924" s="73"/>
      <c r="Z924" s="74">
        <v>3.0525642450266401</v>
      </c>
      <c r="AA924" s="74">
        <v>3.1181467661036795</v>
      </c>
      <c r="AB924" s="73"/>
      <c r="AC924" s="72">
        <v>50413.776775434424</v>
      </c>
      <c r="AD924" s="72">
        <v>50254.68457716181</v>
      </c>
      <c r="AE924" s="73"/>
      <c r="AF924" s="74">
        <v>4.6561727107013544</v>
      </c>
      <c r="AG924" s="74">
        <v>4.7576842044540646</v>
      </c>
      <c r="AH924" s="73"/>
      <c r="AI924" s="72">
        <v>3981985.2398498883</v>
      </c>
      <c r="AJ924" s="72">
        <v>0</v>
      </c>
      <c r="AK924" s="73"/>
      <c r="AL924" s="74">
        <v>-1871.040675734095</v>
      </c>
      <c r="AM924" s="74">
        <v>0</v>
      </c>
      <c r="AN924" s="73"/>
      <c r="AO924" s="72">
        <v>269080.81995382259</v>
      </c>
      <c r="AP924" s="72">
        <v>0</v>
      </c>
      <c r="AQ924" s="73"/>
      <c r="AR924" s="74">
        <v>-104.64857614207277</v>
      </c>
      <c r="AS924" s="74">
        <v>0</v>
      </c>
      <c r="AT924" s="73"/>
      <c r="AU924" s="72">
        <v>33207774.286601726</v>
      </c>
      <c r="AV924" s="72">
        <v>0</v>
      </c>
      <c r="AW924" s="73"/>
      <c r="AX924" s="74">
        <v>-2720.0213957827823</v>
      </c>
      <c r="AY924" s="74">
        <v>0</v>
      </c>
      <c r="AZ924" s="73"/>
      <c r="BA924" s="72">
        <v>-500172.44203029445</v>
      </c>
      <c r="BB924" s="72">
        <v>0</v>
      </c>
      <c r="BC924" s="73"/>
      <c r="BD924" s="74">
        <v>-608.34126202999403</v>
      </c>
      <c r="BE924" s="74">
        <v>0</v>
      </c>
      <c r="BF924" s="73"/>
      <c r="BG924" s="72">
        <v>2497618.4922737018</v>
      </c>
      <c r="BH924" s="72">
        <v>0</v>
      </c>
      <c r="BI924" s="73"/>
      <c r="BJ924" s="74">
        <v>-1593.6481281165304</v>
      </c>
      <c r="BK924" s="74">
        <v>0</v>
      </c>
      <c r="BL924" s="73"/>
      <c r="BM924" s="72">
        <v>39456286.396648847</v>
      </c>
      <c r="BN924" s="72">
        <v>0</v>
      </c>
      <c r="BO924" s="73"/>
      <c r="BP924" s="74">
        <v>-6897.7000378054745</v>
      </c>
      <c r="BQ924" s="74">
        <v>0</v>
      </c>
      <c r="BS924" s="109">
        <f t="shared" si="348"/>
        <v>117012.14577659711</v>
      </c>
      <c r="BT924" s="109">
        <f t="shared" si="349"/>
        <v>117400.51964059858</v>
      </c>
      <c r="BV924" s="58">
        <f t="array" ref="BV924">SUM(IF(BS924:BT924&gt;=BS924, 1))</f>
        <v>2</v>
      </c>
      <c r="BW924" s="58">
        <f t="array" ref="BW924">SUM(IF(BS924:BT924&gt;=BT924, 1))</f>
        <v>1</v>
      </c>
      <c r="BY924" s="109">
        <f t="shared" si="350"/>
        <v>133523.39675741456</v>
      </c>
      <c r="BZ924" s="109">
        <f t="shared" si="351"/>
        <v>133859.15741859211</v>
      </c>
      <c r="CB924" s="58">
        <f t="array" ref="CB924">SUM(IF(BY924:BZ924&gt;=BY924, 1))</f>
        <v>2</v>
      </c>
      <c r="CC924" s="58">
        <f t="array" ref="CC924">SUM(IF(BY924:BZ924&gt;=BZ924, 1))</f>
        <v>1</v>
      </c>
      <c r="CE924" s="109">
        <f t="shared" si="352"/>
        <v>93882.481856399449</v>
      </c>
      <c r="CF924" s="109">
        <f t="shared" si="353"/>
        <v>97572.045694895147</v>
      </c>
      <c r="CH924" s="58">
        <f t="array" ref="CH924">SUM(IF(CE924:CF924&gt;=CE924, 1))</f>
        <v>2</v>
      </c>
      <c r="CI924" s="58">
        <f t="array" ref="CI924">SUM(IF(CE924:CF924&gt;=CF924, 1))</f>
        <v>1</v>
      </c>
      <c r="CK924" s="109">
        <f t="shared" si="354"/>
        <v>50148.589408982349</v>
      </c>
      <c r="CL924" s="109">
        <f t="shared" si="355"/>
        <v>51406.3185008863</v>
      </c>
      <c r="CN924" s="58">
        <f t="array" ref="CN924">SUM(IF(CK924:CL924&gt;=CK924, 1))</f>
        <v>2</v>
      </c>
      <c r="CO924" s="58">
        <f t="array" ref="CO924">SUM(IF(CK924:CL924&gt;=CL924, 1))</f>
        <v>1</v>
      </c>
      <c r="CQ924" s="109" cm="1">
        <f t="array" ref="CQ924">AF924*WTP-AC924</f>
        <v>42709.677438592669</v>
      </c>
      <c r="CR924" s="109">
        <f t="shared" si="356"/>
        <v>44898.999511919479</v>
      </c>
      <c r="CT924" s="58">
        <f t="array" ref="CT924">SUM(IF(CQ924:CR924&gt;=CQ924, 1))</f>
        <v>2</v>
      </c>
      <c r="CU924" s="58">
        <f t="array" ref="CU924">SUM(IF(CQ924:CR924&gt;=CR924, 1))</f>
        <v>1</v>
      </c>
      <c r="CW924" s="109">
        <f t="shared" si="357"/>
        <v>-41402798.754531786</v>
      </c>
      <c r="CX924" s="109">
        <f t="shared" si="358"/>
        <v>0</v>
      </c>
      <c r="CZ924" s="58">
        <f t="array" ref="CZ924">SUM(IF(CW924:CX924&gt;=CW924, 1))</f>
        <v>2</v>
      </c>
      <c r="DA924" s="58">
        <f t="array" ref="DA924">SUM(IF(CW924:CX924&gt;=CX924, 1))</f>
        <v>1</v>
      </c>
      <c r="DC924" s="109">
        <f t="shared" si="359"/>
        <v>-2362052.3427952779</v>
      </c>
      <c r="DD924" s="109">
        <f t="shared" si="360"/>
        <v>0</v>
      </c>
      <c r="DF924" s="58">
        <f t="array" ref="DF924">SUM(IF(DC924:DD924&gt;=DC924, 1))</f>
        <v>2</v>
      </c>
      <c r="DG924" s="58">
        <f t="array" ref="DG924">SUM(IF(DC924:DD924&gt;=DD924, 1))</f>
        <v>1</v>
      </c>
      <c r="DI924" s="109">
        <f t="shared" si="361"/>
        <v>-87608202.202257365</v>
      </c>
      <c r="DJ924" s="109">
        <f t="shared" si="362"/>
        <v>0</v>
      </c>
      <c r="DL924" s="58">
        <f t="array" ref="DL924">SUM(IF(DI924:DJ924&gt;=DI924, 1))</f>
        <v>2</v>
      </c>
      <c r="DM924" s="58">
        <f t="array" ref="DM924">SUM(IF(DI924:DJ924&gt;=DJ924, 1))</f>
        <v>1</v>
      </c>
      <c r="DO924" s="109">
        <f t="shared" si="363"/>
        <v>-11666652.798569586</v>
      </c>
      <c r="DP924" s="109">
        <f t="shared" si="364"/>
        <v>0</v>
      </c>
      <c r="DR924" s="58">
        <f t="array" ref="DR924">SUM(IF(DO924:DP924&gt;=DO924, 1))</f>
        <v>2</v>
      </c>
      <c r="DS924" s="58">
        <f t="array" ref="DS924">SUM(IF(DO924:DP924&gt;=DP924, 1))</f>
        <v>1</v>
      </c>
      <c r="DU924" s="109">
        <f t="shared" si="365"/>
        <v>-34370581.054604307</v>
      </c>
      <c r="DV924" s="109">
        <f t="shared" si="366"/>
        <v>0</v>
      </c>
      <c r="DX924" s="58">
        <f t="array" ref="DX924">SUM(IF(DU924:DV924&gt;=DU924, 1))</f>
        <v>2</v>
      </c>
      <c r="DY924" s="58">
        <f t="array" ref="DY924">SUM(IF(DU924:DV924&gt;=DV924, 1))</f>
        <v>1</v>
      </c>
      <c r="EA924" s="109">
        <f t="shared" si="367"/>
        <v>-177410287.15275833</v>
      </c>
      <c r="EB924" s="109">
        <f t="shared" si="368"/>
        <v>0</v>
      </c>
      <c r="ED924" s="58">
        <f t="array" ref="ED924">SUM(IF(EA924:EB924&gt;=EA924, 1))</f>
        <v>2</v>
      </c>
      <c r="EE924" s="58">
        <f t="array" ref="EE924">SUM(IF(EA924:EB924&gt;=EB924, 1))</f>
        <v>1</v>
      </c>
    </row>
    <row r="925" spans="4:135" ht="12" customHeight="1" x14ac:dyDescent="0.25">
      <c r="D925" s="11">
        <v>909</v>
      </c>
      <c r="E925" s="72">
        <v>268.79999466579255</v>
      </c>
      <c r="F925" s="72">
        <v>254.20347567456989</v>
      </c>
      <c r="G925" s="73"/>
      <c r="H925" s="74">
        <v>5.8824933244289337</v>
      </c>
      <c r="I925" s="74">
        <v>5.8953674942831915</v>
      </c>
      <c r="J925" s="73"/>
      <c r="K925" s="72">
        <v>289.03389595835904</v>
      </c>
      <c r="L925" s="72">
        <v>274.06925492723929</v>
      </c>
      <c r="M925" s="73"/>
      <c r="N925" s="74">
        <v>6.7462140359121916</v>
      </c>
      <c r="O925" s="74">
        <v>6.7570458388520693</v>
      </c>
      <c r="P925" s="73"/>
      <c r="Q925" s="72">
        <v>2233.6126718513447</v>
      </c>
      <c r="R925" s="72">
        <v>1504.285528462884</v>
      </c>
      <c r="S925" s="73"/>
      <c r="T925" s="74">
        <v>4.8266342919444121</v>
      </c>
      <c r="U925" s="74">
        <v>4.8902454267286535</v>
      </c>
      <c r="V925" s="73"/>
      <c r="W925" s="72">
        <v>8564.9833396439662</v>
      </c>
      <c r="X925" s="72">
        <v>8591.2352756033397</v>
      </c>
      <c r="Y925" s="73"/>
      <c r="Z925" s="74">
        <v>2.9839428654440061</v>
      </c>
      <c r="AA925" s="74">
        <v>3.043002057454538</v>
      </c>
      <c r="AB925" s="73"/>
      <c r="AC925" s="72">
        <v>50944.816421068819</v>
      </c>
      <c r="AD925" s="72">
        <v>51026.993613972219</v>
      </c>
      <c r="AE925" s="73"/>
      <c r="AF925" s="74">
        <v>4.4458619932768615</v>
      </c>
      <c r="AG925" s="74">
        <v>4.5686017526374583</v>
      </c>
      <c r="AH925" s="73"/>
      <c r="AI925" s="72">
        <v>1580110.9248620053</v>
      </c>
      <c r="AJ925" s="72">
        <v>0</v>
      </c>
      <c r="AK925" s="73"/>
      <c r="AL925" s="74">
        <v>-1393.6621770899289</v>
      </c>
      <c r="AM925" s="74">
        <v>0</v>
      </c>
      <c r="AN925" s="73"/>
      <c r="AO925" s="72">
        <v>102848.15448571664</v>
      </c>
      <c r="AP925" s="72">
        <v>0</v>
      </c>
      <c r="AQ925" s="73"/>
      <c r="AR925" s="74">
        <v>-74.444214184803968</v>
      </c>
      <c r="AS925" s="74">
        <v>0</v>
      </c>
      <c r="AT925" s="73"/>
      <c r="AU925" s="72">
        <v>17175185.918630674</v>
      </c>
      <c r="AV925" s="72">
        <v>0</v>
      </c>
      <c r="AW925" s="73"/>
      <c r="AX925" s="74">
        <v>-1498.0013788304959</v>
      </c>
      <c r="AY925" s="74">
        <v>0</v>
      </c>
      <c r="AZ925" s="73"/>
      <c r="BA925" s="72">
        <v>-241322.13172477772</v>
      </c>
      <c r="BB925" s="72">
        <v>0</v>
      </c>
      <c r="BC925" s="73"/>
      <c r="BD925" s="74">
        <v>-542.90434564448321</v>
      </c>
      <c r="BE925" s="74">
        <v>0</v>
      </c>
      <c r="BF925" s="73"/>
      <c r="BG925" s="72">
        <v>-1301396.5497304485</v>
      </c>
      <c r="BH925" s="72">
        <v>0</v>
      </c>
      <c r="BI925" s="73"/>
      <c r="BJ925" s="74">
        <v>-1943.7643670110911</v>
      </c>
      <c r="BK925" s="74">
        <v>0</v>
      </c>
      <c r="BL925" s="73"/>
      <c r="BM925" s="72">
        <v>17315426.316523168</v>
      </c>
      <c r="BN925" s="72">
        <v>0</v>
      </c>
      <c r="BO925" s="73"/>
      <c r="BP925" s="74">
        <v>-5452.7764827608034</v>
      </c>
      <c r="BQ925" s="74">
        <v>0</v>
      </c>
      <c r="BS925" s="109">
        <f t="shared" si="348"/>
        <v>117381.06649391288</v>
      </c>
      <c r="BT925" s="109">
        <f t="shared" si="349"/>
        <v>117653.14640998926</v>
      </c>
      <c r="BV925" s="58">
        <f t="array" ref="BV925">SUM(IF(BS925:BT925&gt;=BS925, 1))</f>
        <v>2</v>
      </c>
      <c r="BW925" s="58">
        <f t="array" ref="BW925">SUM(IF(BS925:BT925&gt;=BT925, 1))</f>
        <v>1</v>
      </c>
      <c r="BY925" s="109">
        <f t="shared" si="350"/>
        <v>134635.24682228547</v>
      </c>
      <c r="BZ925" s="109">
        <f t="shared" si="351"/>
        <v>134866.84752211414</v>
      </c>
      <c r="CB925" s="58">
        <f t="array" ref="CB925">SUM(IF(BY925:BZ925&gt;=BY925, 1))</f>
        <v>2</v>
      </c>
      <c r="CC925" s="58">
        <f t="array" ref="CC925">SUM(IF(BY925:BZ925&gt;=BZ925, 1))</f>
        <v>1</v>
      </c>
      <c r="CE925" s="109">
        <f t="shared" si="352"/>
        <v>94299.073167036899</v>
      </c>
      <c r="CF925" s="109">
        <f t="shared" si="353"/>
        <v>96300.623006110181</v>
      </c>
      <c r="CH925" s="58">
        <f t="array" ref="CH925">SUM(IF(CE925:CF925&gt;=CE925, 1))</f>
        <v>2</v>
      </c>
      <c r="CI925" s="58">
        <f t="array" ref="CI925">SUM(IF(CE925:CF925&gt;=CF925, 1))</f>
        <v>1</v>
      </c>
      <c r="CK925" s="109">
        <f t="shared" si="354"/>
        <v>51113.873969236156</v>
      </c>
      <c r="CL925" s="109">
        <f t="shared" si="355"/>
        <v>52268.805873487421</v>
      </c>
      <c r="CN925" s="58">
        <f t="array" ref="CN925">SUM(IF(CK925:CL925&gt;=CK925, 1))</f>
        <v>2</v>
      </c>
      <c r="CO925" s="58">
        <f t="array" ref="CO925">SUM(IF(CK925:CL925&gt;=CL925, 1))</f>
        <v>1</v>
      </c>
      <c r="CQ925" s="109" cm="1">
        <f t="array" ref="CQ925">AF925*WTP-AC925</f>
        <v>37972.423444468404</v>
      </c>
      <c r="CR925" s="109">
        <f t="shared" si="356"/>
        <v>40345.041438776949</v>
      </c>
      <c r="CT925" s="58">
        <f t="array" ref="CT925">SUM(IF(CQ925:CR925&gt;=CQ925, 1))</f>
        <v>2</v>
      </c>
      <c r="CU925" s="58">
        <f t="array" ref="CU925">SUM(IF(CQ925:CR925&gt;=CR925, 1))</f>
        <v>1</v>
      </c>
      <c r="CW925" s="109">
        <f t="shared" si="357"/>
        <v>-29453354.466660585</v>
      </c>
      <c r="CX925" s="109">
        <f t="shared" si="358"/>
        <v>0</v>
      </c>
      <c r="CZ925" s="58">
        <f t="array" ref="CZ925">SUM(IF(CW925:CX925&gt;=CW925, 1))</f>
        <v>2</v>
      </c>
      <c r="DA925" s="58">
        <f t="array" ref="DA925">SUM(IF(CW925:CX925&gt;=CX925, 1))</f>
        <v>1</v>
      </c>
      <c r="DC925" s="109">
        <f t="shared" si="359"/>
        <v>-1591732.4381817961</v>
      </c>
      <c r="DD925" s="109">
        <f t="shared" si="360"/>
        <v>0</v>
      </c>
      <c r="DF925" s="58">
        <f t="array" ref="DF925">SUM(IF(DC925:DD925&gt;=DC925, 1))</f>
        <v>2</v>
      </c>
      <c r="DG925" s="58">
        <f t="array" ref="DG925">SUM(IF(DC925:DD925&gt;=DD925, 1))</f>
        <v>1</v>
      </c>
      <c r="DI925" s="109">
        <f t="shared" si="361"/>
        <v>-47135213.495240591</v>
      </c>
      <c r="DJ925" s="109">
        <f t="shared" si="362"/>
        <v>0</v>
      </c>
      <c r="DL925" s="58">
        <f t="array" ref="DL925">SUM(IF(DI925:DJ925&gt;=DI925, 1))</f>
        <v>2</v>
      </c>
      <c r="DM925" s="58">
        <f t="array" ref="DM925">SUM(IF(DI925:DJ925&gt;=DJ925, 1))</f>
        <v>1</v>
      </c>
      <c r="DO925" s="109">
        <f t="shared" si="363"/>
        <v>-10616764.781164886</v>
      </c>
      <c r="DP925" s="109">
        <f t="shared" si="364"/>
        <v>0</v>
      </c>
      <c r="DR925" s="58">
        <f t="array" ref="DR925">SUM(IF(DO925:DP925&gt;=DO925, 1))</f>
        <v>2</v>
      </c>
      <c r="DS925" s="58">
        <f t="array" ref="DS925">SUM(IF(DO925:DP925&gt;=DP925, 1))</f>
        <v>1</v>
      </c>
      <c r="DU925" s="109">
        <f t="shared" si="365"/>
        <v>-37573890.790491372</v>
      </c>
      <c r="DV925" s="109">
        <f t="shared" si="366"/>
        <v>0</v>
      </c>
      <c r="DX925" s="58">
        <f t="array" ref="DX925">SUM(IF(DU925:DV925&gt;=DU925, 1))</f>
        <v>2</v>
      </c>
      <c r="DY925" s="58">
        <f t="array" ref="DY925">SUM(IF(DU925:DV925&gt;=DV925, 1))</f>
        <v>1</v>
      </c>
      <c r="EA925" s="109">
        <f t="shared" si="367"/>
        <v>-126370955.97173923</v>
      </c>
      <c r="EB925" s="109">
        <f t="shared" si="368"/>
        <v>0</v>
      </c>
      <c r="ED925" s="58">
        <f t="array" ref="ED925">SUM(IF(EA925:EB925&gt;=EA925, 1))</f>
        <v>2</v>
      </c>
      <c r="EE925" s="58">
        <f t="array" ref="EE925">SUM(IF(EA925:EB925&gt;=EB925, 1))</f>
        <v>1</v>
      </c>
    </row>
    <row r="926" spans="4:135" ht="12" customHeight="1" x14ac:dyDescent="0.25">
      <c r="D926" s="11">
        <v>910</v>
      </c>
      <c r="E926" s="72">
        <v>278.70462135877699</v>
      </c>
      <c r="F926" s="72">
        <v>247.80754135464738</v>
      </c>
      <c r="G926" s="73"/>
      <c r="H926" s="74">
        <v>5.8767943641827785</v>
      </c>
      <c r="I926" s="74">
        <v>5.8937843325610411</v>
      </c>
      <c r="J926" s="73"/>
      <c r="K926" s="72">
        <v>298.84783913646652</v>
      </c>
      <c r="L926" s="72">
        <v>267.22595383223222</v>
      </c>
      <c r="M926" s="73"/>
      <c r="N926" s="74">
        <v>6.6735545661557403</v>
      </c>
      <c r="O926" s="74">
        <v>6.6887411094148872</v>
      </c>
      <c r="P926" s="73"/>
      <c r="Q926" s="72">
        <v>3449.1470181877771</v>
      </c>
      <c r="R926" s="72">
        <v>1561.6648118003677</v>
      </c>
      <c r="S926" s="73"/>
      <c r="T926" s="74">
        <v>4.6956235410153724</v>
      </c>
      <c r="U926" s="74">
        <v>4.8062145853165879</v>
      </c>
      <c r="V926" s="73"/>
      <c r="W926" s="72">
        <v>11394.809188470452</v>
      </c>
      <c r="X926" s="72">
        <v>11375.861248487232</v>
      </c>
      <c r="Y926" s="73"/>
      <c r="Z926" s="74">
        <v>2.8496544629981209</v>
      </c>
      <c r="AA926" s="74">
        <v>2.9012644947674509</v>
      </c>
      <c r="AB926" s="73"/>
      <c r="AC926" s="72">
        <v>51235.394348844769</v>
      </c>
      <c r="AD926" s="72">
        <v>50808.143389028293</v>
      </c>
      <c r="AE926" s="73"/>
      <c r="AF926" s="74">
        <v>4.4533788691574587</v>
      </c>
      <c r="AG926" s="74">
        <v>4.587202174844589</v>
      </c>
      <c r="AH926" s="73"/>
      <c r="AI926" s="72">
        <v>3327195.335449575</v>
      </c>
      <c r="AJ926" s="72">
        <v>0</v>
      </c>
      <c r="AK926" s="73"/>
      <c r="AL926" s="74">
        <v>-1829.5885413778794</v>
      </c>
      <c r="AM926" s="74">
        <v>0</v>
      </c>
      <c r="AN926" s="73"/>
      <c r="AO926" s="72">
        <v>223971.3526659465</v>
      </c>
      <c r="AP926" s="72">
        <v>0</v>
      </c>
      <c r="AQ926" s="73"/>
      <c r="AR926" s="74">
        <v>-107.56318300906599</v>
      </c>
      <c r="AS926" s="74">
        <v>0</v>
      </c>
      <c r="AT926" s="73"/>
      <c r="AU926" s="72">
        <v>42628612.499450304</v>
      </c>
      <c r="AV926" s="72">
        <v>0</v>
      </c>
      <c r="AW926" s="73"/>
      <c r="AX926" s="74">
        <v>-2497.6885914327013</v>
      </c>
      <c r="AY926" s="74">
        <v>0</v>
      </c>
      <c r="AZ926" s="73"/>
      <c r="BA926" s="72">
        <v>167692.69830697129</v>
      </c>
      <c r="BB926" s="72">
        <v>0</v>
      </c>
      <c r="BC926" s="73"/>
      <c r="BD926" s="74">
        <v>-456.75812224294208</v>
      </c>
      <c r="BE926" s="74">
        <v>0</v>
      </c>
      <c r="BF926" s="73"/>
      <c r="BG926" s="72">
        <v>6696408.1296271831</v>
      </c>
      <c r="BH926" s="72">
        <v>0</v>
      </c>
      <c r="BI926" s="73"/>
      <c r="BJ926" s="74">
        <v>-2097.4451936206633</v>
      </c>
      <c r="BK926" s="74">
        <v>0</v>
      </c>
      <c r="BL926" s="73"/>
      <c r="BM926" s="72">
        <v>53043880.015499979</v>
      </c>
      <c r="BN926" s="72">
        <v>0</v>
      </c>
      <c r="BO926" s="73"/>
      <c r="BP926" s="74">
        <v>-6989.043631683252</v>
      </c>
      <c r="BQ926" s="74">
        <v>0</v>
      </c>
      <c r="BS926" s="109">
        <f t="shared" si="348"/>
        <v>117257.18266229679</v>
      </c>
      <c r="BT926" s="109">
        <f t="shared" si="349"/>
        <v>117627.87910986617</v>
      </c>
      <c r="BV926" s="58">
        <f t="array" ref="BV926">SUM(IF(BS926:BT926&gt;=BS926, 1))</f>
        <v>2</v>
      </c>
      <c r="BW926" s="58">
        <f t="array" ref="BW926">SUM(IF(BS926:BT926&gt;=BT926, 1))</f>
        <v>1</v>
      </c>
      <c r="BY926" s="109">
        <f t="shared" si="350"/>
        <v>133172.24348397835</v>
      </c>
      <c r="BZ926" s="109">
        <f t="shared" si="351"/>
        <v>133507.59623446551</v>
      </c>
      <c r="CB926" s="58">
        <f t="array" ref="CB926">SUM(IF(BY926:BZ926&gt;=BY926, 1))</f>
        <v>2</v>
      </c>
      <c r="CC926" s="58">
        <f t="array" ref="CC926">SUM(IF(BY926:BZ926&gt;=BZ926, 1))</f>
        <v>1</v>
      </c>
      <c r="CE926" s="109">
        <f t="shared" si="352"/>
        <v>90463.323802119659</v>
      </c>
      <c r="CF926" s="109">
        <f t="shared" si="353"/>
        <v>94562.626894531393</v>
      </c>
      <c r="CH926" s="58">
        <f t="array" ref="CH926">SUM(IF(CE926:CF926&gt;=CE926, 1))</f>
        <v>2</v>
      </c>
      <c r="CI926" s="58">
        <f t="array" ref="CI926">SUM(IF(CE926:CF926&gt;=CF926, 1))</f>
        <v>1</v>
      </c>
      <c r="CK926" s="109">
        <f t="shared" si="354"/>
        <v>45598.280071491972</v>
      </c>
      <c r="CL926" s="109">
        <f t="shared" si="355"/>
        <v>46649.428646861779</v>
      </c>
      <c r="CN926" s="58">
        <f t="array" ref="CN926">SUM(IF(CK926:CL926&gt;=CK926, 1))</f>
        <v>2</v>
      </c>
      <c r="CO926" s="58">
        <f t="array" ref="CO926">SUM(IF(CK926:CL926&gt;=CL926, 1))</f>
        <v>1</v>
      </c>
      <c r="CQ926" s="109" cm="1">
        <f t="array" ref="CQ926">AF926*WTP-AC926</f>
        <v>37832.183034304398</v>
      </c>
      <c r="CR926" s="109">
        <f t="shared" si="356"/>
        <v>40935.90010786349</v>
      </c>
      <c r="CT926" s="58">
        <f t="array" ref="CT926">SUM(IF(CQ926:CR926&gt;=CQ926, 1))</f>
        <v>2</v>
      </c>
      <c r="CU926" s="58">
        <f t="array" ref="CU926">SUM(IF(CQ926:CR926&gt;=CR926, 1))</f>
        <v>1</v>
      </c>
      <c r="CW926" s="109">
        <f t="shared" si="357"/>
        <v>-39918966.163007163</v>
      </c>
      <c r="CX926" s="109">
        <f t="shared" si="358"/>
        <v>0</v>
      </c>
      <c r="CZ926" s="58">
        <f t="array" ref="CZ926">SUM(IF(CW926:CX926&gt;=CW926, 1))</f>
        <v>2</v>
      </c>
      <c r="DA926" s="58">
        <f t="array" ref="DA926">SUM(IF(CW926:CX926&gt;=CX926, 1))</f>
        <v>1</v>
      </c>
      <c r="DC926" s="109">
        <f t="shared" si="359"/>
        <v>-2375235.0128472662</v>
      </c>
      <c r="DD926" s="109">
        <f t="shared" si="360"/>
        <v>0</v>
      </c>
      <c r="DF926" s="58">
        <f t="array" ref="DF926">SUM(IF(DC926:DD926&gt;=DC926, 1))</f>
        <v>2</v>
      </c>
      <c r="DG926" s="58">
        <f t="array" ref="DG926">SUM(IF(DC926:DD926&gt;=DD926, 1))</f>
        <v>1</v>
      </c>
      <c r="DI926" s="109">
        <f t="shared" si="361"/>
        <v>-92582384.328104332</v>
      </c>
      <c r="DJ926" s="109">
        <f t="shared" si="362"/>
        <v>0</v>
      </c>
      <c r="DL926" s="58">
        <f t="array" ref="DL926">SUM(IF(DI926:DJ926&gt;=DI926, 1))</f>
        <v>2</v>
      </c>
      <c r="DM926" s="58">
        <f t="array" ref="DM926">SUM(IF(DI926:DJ926&gt;=DJ926, 1))</f>
        <v>1</v>
      </c>
      <c r="DO926" s="109">
        <f t="shared" si="363"/>
        <v>-9302855.1431658138</v>
      </c>
      <c r="DP926" s="109">
        <f t="shared" si="364"/>
        <v>0</v>
      </c>
      <c r="DR926" s="58">
        <f t="array" ref="DR926">SUM(IF(DO926:DP926&gt;=DO926, 1))</f>
        <v>2</v>
      </c>
      <c r="DS926" s="58">
        <f t="array" ref="DS926">SUM(IF(DO926:DP926&gt;=DP926, 1))</f>
        <v>1</v>
      </c>
      <c r="DU926" s="109">
        <f t="shared" si="365"/>
        <v>-48645312.002040446</v>
      </c>
      <c r="DV926" s="109">
        <f t="shared" si="366"/>
        <v>0</v>
      </c>
      <c r="DX926" s="58">
        <f t="array" ref="DX926">SUM(IF(DU926:DV926&gt;=DU926, 1))</f>
        <v>2</v>
      </c>
      <c r="DY926" s="58">
        <f t="array" ref="DY926">SUM(IF(DU926:DV926&gt;=DV926, 1))</f>
        <v>1</v>
      </c>
      <c r="EA926" s="109">
        <f t="shared" si="367"/>
        <v>-192824752.649165</v>
      </c>
      <c r="EB926" s="109">
        <f t="shared" si="368"/>
        <v>0</v>
      </c>
      <c r="ED926" s="58">
        <f t="array" ref="ED926">SUM(IF(EA926:EB926&gt;=EA926, 1))</f>
        <v>2</v>
      </c>
      <c r="EE926" s="58">
        <f t="array" ref="EE926">SUM(IF(EA926:EB926&gt;=EB926, 1))</f>
        <v>1</v>
      </c>
    </row>
    <row r="927" spans="4:135" ht="12" customHeight="1" x14ac:dyDescent="0.25">
      <c r="D927" s="11">
        <v>911</v>
      </c>
      <c r="E927" s="72">
        <v>239.61798061138802</v>
      </c>
      <c r="F927" s="72">
        <v>218.48359723960485</v>
      </c>
      <c r="G927" s="73"/>
      <c r="H927" s="74">
        <v>5.8861735810136562</v>
      </c>
      <c r="I927" s="74">
        <v>5.9010190713856829</v>
      </c>
      <c r="J927" s="73"/>
      <c r="K927" s="72">
        <v>257.23125189926833</v>
      </c>
      <c r="L927" s="72">
        <v>235.56683338574177</v>
      </c>
      <c r="M927" s="73"/>
      <c r="N927" s="74">
        <v>6.6671944448308835</v>
      </c>
      <c r="O927" s="74">
        <v>6.6796999675277009</v>
      </c>
      <c r="P927" s="73"/>
      <c r="Q927" s="72">
        <v>2309.0100537587205</v>
      </c>
      <c r="R927" s="72">
        <v>1222.449937554693</v>
      </c>
      <c r="S927" s="73"/>
      <c r="T927" s="74">
        <v>4.7941246344498945</v>
      </c>
      <c r="U927" s="74">
        <v>4.8995367637079337</v>
      </c>
      <c r="V927" s="73"/>
      <c r="W927" s="72">
        <v>16410.830678023773</v>
      </c>
      <c r="X927" s="72">
        <v>16333.591551372352</v>
      </c>
      <c r="Y927" s="73"/>
      <c r="Z927" s="74">
        <v>2.9692419881664649</v>
      </c>
      <c r="AA927" s="74">
        <v>3.002681985340899</v>
      </c>
      <c r="AB927" s="73"/>
      <c r="AC927" s="72">
        <v>52635.580844126074</v>
      </c>
      <c r="AD927" s="72">
        <v>52194.086811519475</v>
      </c>
      <c r="AE927" s="73"/>
      <c r="AF927" s="74">
        <v>4.7920929849505871</v>
      </c>
      <c r="AG927" s="74">
        <v>4.9261896386631445</v>
      </c>
      <c r="AH927" s="73"/>
      <c r="AI927" s="72">
        <v>2273661.4295136924</v>
      </c>
      <c r="AJ927" s="72">
        <v>0</v>
      </c>
      <c r="AK927" s="73"/>
      <c r="AL927" s="74">
        <v>-1597.0950402157971</v>
      </c>
      <c r="AM927" s="74">
        <v>0</v>
      </c>
      <c r="AN927" s="73"/>
      <c r="AO927" s="72">
        <v>146091.31792646335</v>
      </c>
      <c r="AP927" s="72">
        <v>0</v>
      </c>
      <c r="AQ927" s="73"/>
      <c r="AR927" s="74">
        <v>-84.329440506176667</v>
      </c>
      <c r="AS927" s="74">
        <v>0</v>
      </c>
      <c r="AT927" s="73"/>
      <c r="AU927" s="72">
        <v>25537305.457086731</v>
      </c>
      <c r="AV927" s="72">
        <v>0</v>
      </c>
      <c r="AW927" s="73"/>
      <c r="AX927" s="74">
        <v>-2477.4899277077648</v>
      </c>
      <c r="AY927" s="74">
        <v>0</v>
      </c>
      <c r="AZ927" s="73"/>
      <c r="BA927" s="72">
        <v>663053.88955098542</v>
      </c>
      <c r="BB927" s="72">
        <v>0</v>
      </c>
      <c r="BC927" s="73"/>
      <c r="BD927" s="74">
        <v>-287.06332081079705</v>
      </c>
      <c r="BE927" s="74">
        <v>0</v>
      </c>
      <c r="BF927" s="73"/>
      <c r="BG927" s="72">
        <v>6938290.7788318638</v>
      </c>
      <c r="BH927" s="72">
        <v>0</v>
      </c>
      <c r="BI927" s="73"/>
      <c r="BJ927" s="74">
        <v>-2107.3933217917297</v>
      </c>
      <c r="BK927" s="74">
        <v>0</v>
      </c>
      <c r="BL927" s="73"/>
      <c r="BM927" s="72">
        <v>35558402.872909732</v>
      </c>
      <c r="BN927" s="72">
        <v>0</v>
      </c>
      <c r="BO927" s="73"/>
      <c r="BP927" s="74">
        <v>-6553.3710510322653</v>
      </c>
      <c r="BQ927" s="74">
        <v>0</v>
      </c>
      <c r="BS927" s="109">
        <f t="shared" si="348"/>
        <v>117483.85363966173</v>
      </c>
      <c r="BT927" s="109">
        <f t="shared" si="349"/>
        <v>117801.89783047404</v>
      </c>
      <c r="BV927" s="58">
        <f t="array" ref="BV927">SUM(IF(BS927:BT927&gt;=BS927, 1))</f>
        <v>2</v>
      </c>
      <c r="BW927" s="58">
        <f t="array" ref="BW927">SUM(IF(BS927:BT927&gt;=BT927, 1))</f>
        <v>1</v>
      </c>
      <c r="BY927" s="109">
        <f t="shared" si="350"/>
        <v>133086.65764471839</v>
      </c>
      <c r="BZ927" s="109">
        <f t="shared" si="351"/>
        <v>133358.43251716829</v>
      </c>
      <c r="CB927" s="58">
        <f t="array" ref="CB927">SUM(IF(BY927:BZ927&gt;=BY927, 1))</f>
        <v>2</v>
      </c>
      <c r="CC927" s="58">
        <f t="array" ref="CC927">SUM(IF(BY927:BZ927&gt;=BZ927, 1))</f>
        <v>1</v>
      </c>
      <c r="CE927" s="109">
        <f t="shared" si="352"/>
        <v>93573.482635239168</v>
      </c>
      <c r="CF927" s="109">
        <f t="shared" si="353"/>
        <v>96768.285336603993</v>
      </c>
      <c r="CH927" s="58">
        <f t="array" ref="CH927">SUM(IF(CE927:CF927&gt;=CE927, 1))</f>
        <v>2</v>
      </c>
      <c r="CI927" s="58">
        <f t="array" ref="CI927">SUM(IF(CE927:CF927&gt;=CF927, 1))</f>
        <v>1</v>
      </c>
      <c r="CK927" s="109">
        <f t="shared" si="354"/>
        <v>42974.00908530553</v>
      </c>
      <c r="CL927" s="109">
        <f t="shared" si="355"/>
        <v>43720.048155445627</v>
      </c>
      <c r="CN927" s="58">
        <f t="array" ref="CN927">SUM(IF(CK927:CL927&gt;=CK927, 1))</f>
        <v>2</v>
      </c>
      <c r="CO927" s="58">
        <f t="array" ref="CO927">SUM(IF(CK927:CL927&gt;=CL927, 1))</f>
        <v>1</v>
      </c>
      <c r="CQ927" s="109" cm="1">
        <f t="array" ref="CQ927">AF927*WTP-AC927</f>
        <v>43206.278854885662</v>
      </c>
      <c r="CR927" s="109">
        <f t="shared" si="356"/>
        <v>46329.705961743413</v>
      </c>
      <c r="CT927" s="58">
        <f t="array" ref="CT927">SUM(IF(CQ927:CR927&gt;=CQ927, 1))</f>
        <v>2</v>
      </c>
      <c r="CU927" s="58">
        <f t="array" ref="CU927">SUM(IF(CQ927:CR927&gt;=CR927, 1))</f>
        <v>1</v>
      </c>
      <c r="CW927" s="109">
        <f t="shared" si="357"/>
        <v>-34215562.233829632</v>
      </c>
      <c r="CX927" s="109">
        <f t="shared" si="358"/>
        <v>0</v>
      </c>
      <c r="CZ927" s="58">
        <f t="array" ref="CZ927">SUM(IF(CW927:CX927&gt;=CW927, 1))</f>
        <v>2</v>
      </c>
      <c r="DA927" s="58">
        <f t="array" ref="DA927">SUM(IF(CW927:CX927&gt;=CX927, 1))</f>
        <v>1</v>
      </c>
      <c r="DC927" s="109">
        <f t="shared" si="359"/>
        <v>-1832680.1280499967</v>
      </c>
      <c r="DD927" s="109">
        <f t="shared" si="360"/>
        <v>0</v>
      </c>
      <c r="DF927" s="58">
        <f t="array" ref="DF927">SUM(IF(DC927:DD927&gt;=DC927, 1))</f>
        <v>2</v>
      </c>
      <c r="DG927" s="58">
        <f t="array" ref="DG927">SUM(IF(DC927:DD927&gt;=DD927, 1))</f>
        <v>1</v>
      </c>
      <c r="DI927" s="109">
        <f t="shared" si="361"/>
        <v>-75087104.011242032</v>
      </c>
      <c r="DJ927" s="109">
        <f t="shared" si="362"/>
        <v>0</v>
      </c>
      <c r="DL927" s="58">
        <f t="array" ref="DL927">SUM(IF(DI927:DJ927&gt;=DI927, 1))</f>
        <v>2</v>
      </c>
      <c r="DM927" s="58">
        <f t="array" ref="DM927">SUM(IF(DI927:DJ927&gt;=DJ927, 1))</f>
        <v>1</v>
      </c>
      <c r="DO927" s="109">
        <f t="shared" si="363"/>
        <v>-6404320.3057669271</v>
      </c>
      <c r="DP927" s="109">
        <f t="shared" si="364"/>
        <v>0</v>
      </c>
      <c r="DR927" s="58">
        <f t="array" ref="DR927">SUM(IF(DO927:DP927&gt;=DO927, 1))</f>
        <v>2</v>
      </c>
      <c r="DS927" s="58">
        <f t="array" ref="DS927">SUM(IF(DO927:DP927&gt;=DP927, 1))</f>
        <v>1</v>
      </c>
      <c r="DU927" s="109">
        <f t="shared" si="365"/>
        <v>-49086157.214666456</v>
      </c>
      <c r="DV927" s="109">
        <f t="shared" si="366"/>
        <v>0</v>
      </c>
      <c r="DX927" s="58">
        <f t="array" ref="DX927">SUM(IF(DU927:DV927&gt;=DU927, 1))</f>
        <v>2</v>
      </c>
      <c r="DY927" s="58">
        <f t="array" ref="DY927">SUM(IF(DU927:DV927&gt;=DV927, 1))</f>
        <v>1</v>
      </c>
      <c r="EA927" s="109">
        <f t="shared" si="367"/>
        <v>-166625823.89355505</v>
      </c>
      <c r="EB927" s="109">
        <f t="shared" si="368"/>
        <v>0</v>
      </c>
      <c r="ED927" s="58">
        <f t="array" ref="ED927">SUM(IF(EA927:EB927&gt;=EA927, 1))</f>
        <v>2</v>
      </c>
      <c r="EE927" s="58">
        <f t="array" ref="EE927">SUM(IF(EA927:EB927&gt;=EB927, 1))</f>
        <v>1</v>
      </c>
    </row>
    <row r="928" spans="4:135" ht="12" customHeight="1" x14ac:dyDescent="0.25">
      <c r="D928" s="11">
        <v>912</v>
      </c>
      <c r="E928" s="72">
        <v>183.63375500105457</v>
      </c>
      <c r="F928" s="72">
        <v>169.46126565851057</v>
      </c>
      <c r="G928" s="73"/>
      <c r="H928" s="74">
        <v>5.7830311070562477</v>
      </c>
      <c r="I928" s="74">
        <v>5.7968388578000436</v>
      </c>
      <c r="J928" s="73"/>
      <c r="K928" s="72">
        <v>197.28203090599462</v>
      </c>
      <c r="L928" s="72">
        <v>182.7525956815482</v>
      </c>
      <c r="M928" s="73"/>
      <c r="N928" s="74">
        <v>6.6775600186198787</v>
      </c>
      <c r="O928" s="74">
        <v>6.6890382233581915</v>
      </c>
      <c r="P928" s="73"/>
      <c r="Q928" s="72">
        <v>3099.7116896902298</v>
      </c>
      <c r="R928" s="72">
        <v>1405.6901732900351</v>
      </c>
      <c r="S928" s="73"/>
      <c r="T928" s="74">
        <v>4.7613828701108529</v>
      </c>
      <c r="U928" s="74">
        <v>4.8992176498947533</v>
      </c>
      <c r="V928" s="73"/>
      <c r="W928" s="72">
        <v>12560.658828369875</v>
      </c>
      <c r="X928" s="72">
        <v>12572.615387464299</v>
      </c>
      <c r="Y928" s="73"/>
      <c r="Z928" s="74">
        <v>3.0625570312670023</v>
      </c>
      <c r="AA928" s="74">
        <v>3.1096080966193709</v>
      </c>
      <c r="AB928" s="73"/>
      <c r="AC928" s="72">
        <v>51335.950160474182</v>
      </c>
      <c r="AD928" s="72">
        <v>51068.301271419507</v>
      </c>
      <c r="AE928" s="73"/>
      <c r="AF928" s="74">
        <v>4.3457613484302495</v>
      </c>
      <c r="AG928" s="74">
        <v>4.4301829469053429</v>
      </c>
      <c r="AH928" s="73"/>
      <c r="AI928" s="72">
        <v>1523452.3228768101</v>
      </c>
      <c r="AJ928" s="72">
        <v>0</v>
      </c>
      <c r="AK928" s="73"/>
      <c r="AL928" s="74">
        <v>-1484.2452469654836</v>
      </c>
      <c r="AM928" s="74">
        <v>0</v>
      </c>
      <c r="AN928" s="73"/>
      <c r="AO928" s="72">
        <v>97238.030873801312</v>
      </c>
      <c r="AP928" s="72">
        <v>0</v>
      </c>
      <c r="AQ928" s="73"/>
      <c r="AR928" s="74">
        <v>-76.81771586289598</v>
      </c>
      <c r="AS928" s="74">
        <v>0</v>
      </c>
      <c r="AT928" s="73"/>
      <c r="AU928" s="72">
        <v>40052800.283742361</v>
      </c>
      <c r="AV928" s="72">
        <v>0</v>
      </c>
      <c r="AW928" s="73"/>
      <c r="AX928" s="74">
        <v>-3258.9130972607845</v>
      </c>
      <c r="AY928" s="74">
        <v>0</v>
      </c>
      <c r="AZ928" s="73"/>
      <c r="BA928" s="72">
        <v>-105136.79625875408</v>
      </c>
      <c r="BB928" s="72">
        <v>0</v>
      </c>
      <c r="BC928" s="73"/>
      <c r="BD928" s="74">
        <v>-413.73092648505275</v>
      </c>
      <c r="BE928" s="74">
        <v>0</v>
      </c>
      <c r="BF928" s="73"/>
      <c r="BG928" s="72">
        <v>4237553.7068656441</v>
      </c>
      <c r="BH928" s="72">
        <v>0</v>
      </c>
      <c r="BI928" s="73"/>
      <c r="BJ928" s="74">
        <v>-1336.6058003124217</v>
      </c>
      <c r="BK928" s="74">
        <v>0</v>
      </c>
      <c r="BL928" s="73"/>
      <c r="BM928" s="72">
        <v>45805907.548099861</v>
      </c>
      <c r="BN928" s="72">
        <v>0</v>
      </c>
      <c r="BO928" s="73"/>
      <c r="BP928" s="74">
        <v>-6570.3127868866386</v>
      </c>
      <c r="BQ928" s="74">
        <v>0</v>
      </c>
      <c r="BS928" s="109">
        <f t="shared" si="348"/>
        <v>115476.98838612391</v>
      </c>
      <c r="BT928" s="109">
        <f t="shared" si="349"/>
        <v>115767.31589034236</v>
      </c>
      <c r="BV928" s="58">
        <f t="array" ref="BV928">SUM(IF(BS928:BT928&gt;=BS928, 1))</f>
        <v>2</v>
      </c>
      <c r="BW928" s="58">
        <f t="array" ref="BW928">SUM(IF(BS928:BT928&gt;=BT928, 1))</f>
        <v>1</v>
      </c>
      <c r="BY928" s="109">
        <f t="shared" si="350"/>
        <v>133353.91834149158</v>
      </c>
      <c r="BZ928" s="109">
        <f t="shared" si="351"/>
        <v>133598.01187148227</v>
      </c>
      <c r="CB928" s="58">
        <f t="array" ref="CB928">SUM(IF(BY928:BZ928&gt;=BY928, 1))</f>
        <v>2</v>
      </c>
      <c r="CC928" s="58">
        <f t="array" ref="CC928">SUM(IF(BY928:BZ928&gt;=BZ928, 1))</f>
        <v>1</v>
      </c>
      <c r="CE928" s="109">
        <f t="shared" si="352"/>
        <v>92127.945712526824</v>
      </c>
      <c r="CF928" s="109">
        <f t="shared" si="353"/>
        <v>96578.662824605039</v>
      </c>
      <c r="CH928" s="58">
        <f t="array" ref="CH928">SUM(IF(CE928:CF928&gt;=CE928, 1))</f>
        <v>2</v>
      </c>
      <c r="CI928" s="58">
        <f t="array" ref="CI928">SUM(IF(CE928:CF928&gt;=CF928, 1))</f>
        <v>1</v>
      </c>
      <c r="CK928" s="109">
        <f t="shared" si="354"/>
        <v>48690.481796970176</v>
      </c>
      <c r="CL928" s="109">
        <f t="shared" si="355"/>
        <v>49619.54654492312</v>
      </c>
      <c r="CN928" s="58">
        <f t="array" ref="CN928">SUM(IF(CK928:CL928&gt;=CK928, 1))</f>
        <v>2</v>
      </c>
      <c r="CO928" s="58">
        <f t="array" ref="CO928">SUM(IF(CK928:CL928&gt;=CL928, 1))</f>
        <v>1</v>
      </c>
      <c r="CQ928" s="109" cm="1">
        <f t="array" ref="CQ928">AF928*WTP-AC928</f>
        <v>35579.276808130802</v>
      </c>
      <c r="CR928" s="109">
        <f t="shared" si="356"/>
        <v>37535.357666687356</v>
      </c>
      <c r="CT928" s="58">
        <f t="array" ref="CT928">SUM(IF(CQ928:CR928&gt;=CQ928, 1))</f>
        <v>2</v>
      </c>
      <c r="CU928" s="58">
        <f t="array" ref="CU928">SUM(IF(CQ928:CR928&gt;=CR928, 1))</f>
        <v>1</v>
      </c>
      <c r="CW928" s="109">
        <f t="shared" si="357"/>
        <v>-31208357.262186483</v>
      </c>
      <c r="CX928" s="109">
        <f t="shared" si="358"/>
        <v>0</v>
      </c>
      <c r="CZ928" s="58">
        <f t="array" ref="CZ928">SUM(IF(CW928:CX928&gt;=CW928, 1))</f>
        <v>2</v>
      </c>
      <c r="DA928" s="58">
        <f t="array" ref="DA928">SUM(IF(CW928:CX928&gt;=CX928, 1))</f>
        <v>1</v>
      </c>
      <c r="DC928" s="109">
        <f t="shared" si="359"/>
        <v>-1633592.3481317209</v>
      </c>
      <c r="DD928" s="109">
        <f t="shared" si="360"/>
        <v>0</v>
      </c>
      <c r="DF928" s="58">
        <f t="array" ref="DF928">SUM(IF(DC928:DD928&gt;=DC928, 1))</f>
        <v>2</v>
      </c>
      <c r="DG928" s="58">
        <f t="array" ref="DG928">SUM(IF(DC928:DD928&gt;=DD928, 1))</f>
        <v>1</v>
      </c>
      <c r="DI928" s="109">
        <f t="shared" si="361"/>
        <v>-105231062.22895804</v>
      </c>
      <c r="DJ928" s="109">
        <f t="shared" si="362"/>
        <v>0</v>
      </c>
      <c r="DL928" s="58">
        <f t="array" ref="DL928">SUM(IF(DI928:DJ928&gt;=DI928, 1))</f>
        <v>2</v>
      </c>
      <c r="DM928" s="58">
        <f t="array" ref="DM928">SUM(IF(DI928:DJ928&gt;=DJ928, 1))</f>
        <v>1</v>
      </c>
      <c r="DO928" s="109">
        <f t="shared" si="363"/>
        <v>-8169481.7334423009</v>
      </c>
      <c r="DP928" s="109">
        <f t="shared" si="364"/>
        <v>0</v>
      </c>
      <c r="DR928" s="58">
        <f t="array" ref="DR928">SUM(IF(DO928:DP928&gt;=DO928, 1))</f>
        <v>2</v>
      </c>
      <c r="DS928" s="58">
        <f t="array" ref="DS928">SUM(IF(DO928:DP928&gt;=DP928, 1))</f>
        <v>1</v>
      </c>
      <c r="DU928" s="109">
        <f t="shared" si="365"/>
        <v>-30969669.713114075</v>
      </c>
      <c r="DV928" s="109">
        <f t="shared" si="366"/>
        <v>0</v>
      </c>
      <c r="DX928" s="58">
        <f t="array" ref="DX928">SUM(IF(DU928:DV928&gt;=DU928, 1))</f>
        <v>2</v>
      </c>
      <c r="DY928" s="58">
        <f t="array" ref="DY928">SUM(IF(DU928:DV928&gt;=DV928, 1))</f>
        <v>1</v>
      </c>
      <c r="EA928" s="109">
        <f t="shared" si="367"/>
        <v>-177212163.28583264</v>
      </c>
      <c r="EB928" s="109">
        <f t="shared" si="368"/>
        <v>0</v>
      </c>
      <c r="ED928" s="58">
        <f t="array" ref="ED928">SUM(IF(EA928:EB928&gt;=EA928, 1))</f>
        <v>2</v>
      </c>
      <c r="EE928" s="58">
        <f t="array" ref="EE928">SUM(IF(EA928:EB928&gt;=EB928, 1))</f>
        <v>1</v>
      </c>
    </row>
    <row r="929" spans="4:135" ht="12" customHeight="1" x14ac:dyDescent="0.25">
      <c r="D929" s="11">
        <v>913</v>
      </c>
      <c r="E929" s="72">
        <v>249.08322709772915</v>
      </c>
      <c r="F929" s="72">
        <v>231.25730297335275</v>
      </c>
      <c r="G929" s="73"/>
      <c r="H929" s="74">
        <v>5.8356282006637912</v>
      </c>
      <c r="I929" s="74">
        <v>5.8536316645932249</v>
      </c>
      <c r="J929" s="73"/>
      <c r="K929" s="72">
        <v>267.67543339657783</v>
      </c>
      <c r="L929" s="72">
        <v>249.39579164967026</v>
      </c>
      <c r="M929" s="73"/>
      <c r="N929" s="74">
        <v>6.7285426681736205</v>
      </c>
      <c r="O929" s="74">
        <v>6.7442898778238369</v>
      </c>
      <c r="P929" s="73"/>
      <c r="Q929" s="72">
        <v>3081.4209874722887</v>
      </c>
      <c r="R929" s="72">
        <v>1391.7699380617055</v>
      </c>
      <c r="S929" s="73"/>
      <c r="T929" s="74">
        <v>4.9101011971816275</v>
      </c>
      <c r="U929" s="74">
        <v>5.056909345236031</v>
      </c>
      <c r="V929" s="73"/>
      <c r="W929" s="72">
        <v>10857.205803204901</v>
      </c>
      <c r="X929" s="72">
        <v>10816.539054968667</v>
      </c>
      <c r="Y929" s="73"/>
      <c r="Z929" s="74">
        <v>2.8281809979464692</v>
      </c>
      <c r="AA929" s="74">
        <v>2.8658443346448599</v>
      </c>
      <c r="AB929" s="73"/>
      <c r="AC929" s="72">
        <v>49711.251206350586</v>
      </c>
      <c r="AD929" s="72">
        <v>49614.762193286035</v>
      </c>
      <c r="AE929" s="73"/>
      <c r="AF929" s="74">
        <v>4.7555802854960572</v>
      </c>
      <c r="AG929" s="74">
        <v>4.8657451683550219</v>
      </c>
      <c r="AH929" s="73"/>
      <c r="AI929" s="72">
        <v>1930806.8250526036</v>
      </c>
      <c r="AJ929" s="72">
        <v>0</v>
      </c>
      <c r="AK929" s="73"/>
      <c r="AL929" s="74">
        <v>-1950.0369679013818</v>
      </c>
      <c r="AM929" s="74">
        <v>0</v>
      </c>
      <c r="AN929" s="73"/>
      <c r="AO929" s="72">
        <v>124193.08891238681</v>
      </c>
      <c r="AP929" s="72">
        <v>0</v>
      </c>
      <c r="AQ929" s="73"/>
      <c r="AR929" s="74">
        <v>-106.98757860187176</v>
      </c>
      <c r="AS929" s="74">
        <v>0</v>
      </c>
      <c r="AT929" s="73"/>
      <c r="AU929" s="72">
        <v>40074461.507797919</v>
      </c>
      <c r="AV929" s="72">
        <v>0</v>
      </c>
      <c r="AW929" s="73"/>
      <c r="AX929" s="74">
        <v>-3481.9363917121232</v>
      </c>
      <c r="AY929" s="74">
        <v>0</v>
      </c>
      <c r="AZ929" s="73"/>
      <c r="BA929" s="72">
        <v>354025.96722718474</v>
      </c>
      <c r="BB929" s="72">
        <v>0</v>
      </c>
      <c r="BC929" s="73"/>
      <c r="BD929" s="74">
        <v>-327.87965062253573</v>
      </c>
      <c r="BE929" s="74">
        <v>0</v>
      </c>
      <c r="BF929" s="73"/>
      <c r="BG929" s="72">
        <v>1526576.6716673323</v>
      </c>
      <c r="BH929" s="72">
        <v>0</v>
      </c>
      <c r="BI929" s="73"/>
      <c r="BJ929" s="74">
        <v>-1742.9460087538812</v>
      </c>
      <c r="BK929" s="74">
        <v>0</v>
      </c>
      <c r="BL929" s="73"/>
      <c r="BM929" s="72">
        <v>44010064.060657427</v>
      </c>
      <c r="BN929" s="72">
        <v>0</v>
      </c>
      <c r="BO929" s="73"/>
      <c r="BP929" s="74">
        <v>-7609.786597591793</v>
      </c>
      <c r="BQ929" s="74">
        <v>0</v>
      </c>
      <c r="BS929" s="109">
        <f t="shared" si="348"/>
        <v>116463.4807861781</v>
      </c>
      <c r="BT929" s="109">
        <f t="shared" si="349"/>
        <v>116841.37598889116</v>
      </c>
      <c r="BV929" s="58">
        <f t="array" ref="BV929">SUM(IF(BS929:BT929&gt;=BS929, 1))</f>
        <v>2</v>
      </c>
      <c r="BW929" s="58">
        <f t="array" ref="BW929">SUM(IF(BS929:BT929&gt;=BT929, 1))</f>
        <v>1</v>
      </c>
      <c r="BY929" s="109">
        <f t="shared" si="350"/>
        <v>134303.17793007585</v>
      </c>
      <c r="BZ929" s="109">
        <f t="shared" si="351"/>
        <v>134636.40176482705</v>
      </c>
      <c r="CB929" s="58">
        <f t="array" ref="CB929">SUM(IF(BY929:BZ929&gt;=BY929, 1))</f>
        <v>2</v>
      </c>
      <c r="CC929" s="58">
        <f t="array" ref="CC929">SUM(IF(BY929:BZ929&gt;=BZ929, 1))</f>
        <v>1</v>
      </c>
      <c r="CE929" s="109">
        <f t="shared" si="352"/>
        <v>95120.602956160263</v>
      </c>
      <c r="CF929" s="109">
        <f t="shared" si="353"/>
        <v>99746.4169666589</v>
      </c>
      <c r="CH929" s="58">
        <f t="array" ref="CH929">SUM(IF(CE929:CF929&gt;=CE929, 1))</f>
        <v>2</v>
      </c>
      <c r="CI929" s="58">
        <f t="array" ref="CI929">SUM(IF(CE929:CF929&gt;=CF929, 1))</f>
        <v>1</v>
      </c>
      <c r="CK929" s="109">
        <f t="shared" si="354"/>
        <v>45706.41415572448</v>
      </c>
      <c r="CL929" s="109">
        <f t="shared" si="355"/>
        <v>46500.347637928528</v>
      </c>
      <c r="CN929" s="58">
        <f t="array" ref="CN929">SUM(IF(CK929:CL929&gt;=CK929, 1))</f>
        <v>2</v>
      </c>
      <c r="CO929" s="58">
        <f t="array" ref="CO929">SUM(IF(CK929:CL929&gt;=CL929, 1))</f>
        <v>1</v>
      </c>
      <c r="CQ929" s="109" cm="1">
        <f t="array" ref="CQ929">AF929*WTP-AC929</f>
        <v>45400.354503570561</v>
      </c>
      <c r="CR929" s="109">
        <f t="shared" si="356"/>
        <v>47700.141173814409</v>
      </c>
      <c r="CT929" s="58">
        <f t="array" ref="CT929">SUM(IF(CQ929:CR929&gt;=CQ929, 1))</f>
        <v>2</v>
      </c>
      <c r="CU929" s="58">
        <f t="array" ref="CU929">SUM(IF(CQ929:CR929&gt;=CR929, 1))</f>
        <v>1</v>
      </c>
      <c r="CW929" s="109">
        <f t="shared" si="357"/>
        <v>-40931546.183080241</v>
      </c>
      <c r="CX929" s="109">
        <f t="shared" si="358"/>
        <v>0</v>
      </c>
      <c r="CZ929" s="58">
        <f t="array" ref="CZ929">SUM(IF(CW929:CX929&gt;=CW929, 1))</f>
        <v>2</v>
      </c>
      <c r="DA929" s="58">
        <f t="array" ref="DA929">SUM(IF(CW929:CX929&gt;=CX929, 1))</f>
        <v>1</v>
      </c>
      <c r="DC929" s="109">
        <f t="shared" si="359"/>
        <v>-2263944.660949822</v>
      </c>
      <c r="DD929" s="109">
        <f t="shared" si="360"/>
        <v>0</v>
      </c>
      <c r="DF929" s="58">
        <f t="array" ref="DF929">SUM(IF(DC929:DD929&gt;=DC929, 1))</f>
        <v>2</v>
      </c>
      <c r="DG929" s="58">
        <f t="array" ref="DG929">SUM(IF(DC929:DD929&gt;=DD929, 1))</f>
        <v>1</v>
      </c>
      <c r="DI929" s="109">
        <f t="shared" si="361"/>
        <v>-109713189.34204039</v>
      </c>
      <c r="DJ929" s="109">
        <f t="shared" si="362"/>
        <v>0</v>
      </c>
      <c r="DL929" s="58">
        <f t="array" ref="DL929">SUM(IF(DI929:DJ929&gt;=DI929, 1))</f>
        <v>2</v>
      </c>
      <c r="DM929" s="58">
        <f t="array" ref="DM929">SUM(IF(DI929:DJ929&gt;=DJ929, 1))</f>
        <v>1</v>
      </c>
      <c r="DO929" s="109">
        <f t="shared" si="363"/>
        <v>-6911618.9796778997</v>
      </c>
      <c r="DP929" s="109">
        <f t="shared" si="364"/>
        <v>0</v>
      </c>
      <c r="DR929" s="58">
        <f t="array" ref="DR929">SUM(IF(DO929:DP929&gt;=DO929, 1))</f>
        <v>2</v>
      </c>
      <c r="DS929" s="58">
        <f t="array" ref="DS929">SUM(IF(DO929:DP929&gt;=DP929, 1))</f>
        <v>1</v>
      </c>
      <c r="DU929" s="109">
        <f t="shared" si="365"/>
        <v>-36385496.846744955</v>
      </c>
      <c r="DV929" s="109">
        <f t="shared" si="366"/>
        <v>0</v>
      </c>
      <c r="DX929" s="58">
        <f t="array" ref="DX929">SUM(IF(DU929:DV929&gt;=DU929, 1))</f>
        <v>2</v>
      </c>
      <c r="DY929" s="58">
        <f t="array" ref="DY929">SUM(IF(DU929:DV929&gt;=DV929, 1))</f>
        <v>1</v>
      </c>
      <c r="EA929" s="109">
        <f t="shared" si="367"/>
        <v>-196205796.01249331</v>
      </c>
      <c r="EB929" s="109">
        <f t="shared" si="368"/>
        <v>0</v>
      </c>
      <c r="ED929" s="58">
        <f t="array" ref="ED929">SUM(IF(EA929:EB929&gt;=EA929, 1))</f>
        <v>2</v>
      </c>
      <c r="EE929" s="58">
        <f t="array" ref="EE929">SUM(IF(EA929:EB929&gt;=EB929, 1))</f>
        <v>1</v>
      </c>
    </row>
    <row r="930" spans="4:135" ht="12" customHeight="1" x14ac:dyDescent="0.25">
      <c r="D930" s="11">
        <v>914</v>
      </c>
      <c r="E930" s="72">
        <v>232.53103313448827</v>
      </c>
      <c r="F930" s="72">
        <v>208.65514200160084</v>
      </c>
      <c r="G930" s="73"/>
      <c r="H930" s="74">
        <v>5.8237132185700018</v>
      </c>
      <c r="I930" s="74">
        <v>5.8386937723546319</v>
      </c>
      <c r="J930" s="73"/>
      <c r="K930" s="72">
        <v>249.36468133054348</v>
      </c>
      <c r="L930" s="72">
        <v>224.93844528994927</v>
      </c>
      <c r="M930" s="73"/>
      <c r="N930" s="74">
        <v>6.6751712524914328</v>
      </c>
      <c r="O930" s="74">
        <v>6.6888370617629702</v>
      </c>
      <c r="P930" s="73"/>
      <c r="Q930" s="72">
        <v>2956.1191810557507</v>
      </c>
      <c r="R930" s="72">
        <v>1362.3303403350583</v>
      </c>
      <c r="S930" s="73"/>
      <c r="T930" s="74">
        <v>4.8745507591619424</v>
      </c>
      <c r="U930" s="74">
        <v>5.0173449603019744</v>
      </c>
      <c r="V930" s="73"/>
      <c r="W930" s="72">
        <v>19595.488961776387</v>
      </c>
      <c r="X930" s="72">
        <v>19763.131251560433</v>
      </c>
      <c r="Y930" s="73"/>
      <c r="Z930" s="74">
        <v>2.9677735321947432</v>
      </c>
      <c r="AA930" s="74">
        <v>3.0555578757905884</v>
      </c>
      <c r="AB930" s="73"/>
      <c r="AC930" s="72">
        <v>49709.400498204159</v>
      </c>
      <c r="AD930" s="72">
        <v>49401.077771415803</v>
      </c>
      <c r="AE930" s="73"/>
      <c r="AF930" s="74">
        <v>4.6000865493672327</v>
      </c>
      <c r="AG930" s="74">
        <v>4.7241631380127167</v>
      </c>
      <c r="AH930" s="73"/>
      <c r="AI930" s="72">
        <v>2569942.4649313148</v>
      </c>
      <c r="AJ930" s="72">
        <v>0</v>
      </c>
      <c r="AK930" s="73"/>
      <c r="AL930" s="74">
        <v>-1612.4701316919029</v>
      </c>
      <c r="AM930" s="74">
        <v>0</v>
      </c>
      <c r="AN930" s="73"/>
      <c r="AO930" s="72">
        <v>166226.02128287093</v>
      </c>
      <c r="AP930" s="72">
        <v>0</v>
      </c>
      <c r="AQ930" s="73"/>
      <c r="AR930" s="74">
        <v>-92.998900814804657</v>
      </c>
      <c r="AS930" s="74">
        <v>0</v>
      </c>
      <c r="AT930" s="73"/>
      <c r="AU930" s="72">
        <v>37695360.589369051</v>
      </c>
      <c r="AV930" s="72">
        <v>0</v>
      </c>
      <c r="AW930" s="73"/>
      <c r="AX930" s="74">
        <v>-3377.2848476027839</v>
      </c>
      <c r="AY930" s="74">
        <v>0</v>
      </c>
      <c r="AZ930" s="73"/>
      <c r="BA930" s="72">
        <v>-1516921.6448094314</v>
      </c>
      <c r="BB930" s="72">
        <v>0</v>
      </c>
      <c r="BC930" s="73"/>
      <c r="BD930" s="74">
        <v>-794.32207140252638</v>
      </c>
      <c r="BE930" s="74">
        <v>0</v>
      </c>
      <c r="BF930" s="73"/>
      <c r="BG930" s="72">
        <v>4781645.5302759716</v>
      </c>
      <c r="BH930" s="72">
        <v>0</v>
      </c>
      <c r="BI930" s="73"/>
      <c r="BJ930" s="74">
        <v>-1924.2508383620564</v>
      </c>
      <c r="BK930" s="74">
        <v>0</v>
      </c>
      <c r="BL930" s="73"/>
      <c r="BM930" s="72">
        <v>43696252.961049773</v>
      </c>
      <c r="BN930" s="72">
        <v>0</v>
      </c>
      <c r="BO930" s="73"/>
      <c r="BP930" s="74">
        <v>-7801.3267898740742</v>
      </c>
      <c r="BQ930" s="74">
        <v>0</v>
      </c>
      <c r="BS930" s="109">
        <f t="shared" si="348"/>
        <v>116241.73333826553</v>
      </c>
      <c r="BT930" s="109">
        <f t="shared" si="349"/>
        <v>116565.22030509103</v>
      </c>
      <c r="BV930" s="58">
        <f t="array" ref="BV930">SUM(IF(BS930:BT930&gt;=BS930, 1))</f>
        <v>2</v>
      </c>
      <c r="BW930" s="58">
        <f t="array" ref="BW930">SUM(IF(BS930:BT930&gt;=BT930, 1))</f>
        <v>1</v>
      </c>
      <c r="BY930" s="109">
        <f t="shared" si="350"/>
        <v>133254.06036849812</v>
      </c>
      <c r="BZ930" s="109">
        <f t="shared" si="351"/>
        <v>133551.80278996946</v>
      </c>
      <c r="CB930" s="58">
        <f t="array" ref="CB930">SUM(IF(BY930:BZ930&gt;=BY930, 1))</f>
        <v>2</v>
      </c>
      <c r="CC930" s="58">
        <f t="array" ref="CC930">SUM(IF(BY930:BZ930&gt;=BZ930, 1))</f>
        <v>1</v>
      </c>
      <c r="CE930" s="109">
        <f t="shared" si="352"/>
        <v>94534.896002183101</v>
      </c>
      <c r="CF930" s="109">
        <f t="shared" si="353"/>
        <v>98984.568865704423</v>
      </c>
      <c r="CH930" s="58">
        <f t="array" ref="CH930">SUM(IF(CE930:CF930&gt;=CE930, 1))</f>
        <v>2</v>
      </c>
      <c r="CI930" s="58">
        <f t="array" ref="CI930">SUM(IF(CE930:CF930&gt;=CF930, 1))</f>
        <v>1</v>
      </c>
      <c r="CK930" s="109">
        <f t="shared" si="354"/>
        <v>39759.98168211848</v>
      </c>
      <c r="CL930" s="109">
        <f t="shared" si="355"/>
        <v>41348.026264251341</v>
      </c>
      <c r="CN930" s="58">
        <f t="array" ref="CN930">SUM(IF(CK930:CL930&gt;=CK930, 1))</f>
        <v>2</v>
      </c>
      <c r="CO930" s="58">
        <f t="array" ref="CO930">SUM(IF(CK930:CL930&gt;=CL930, 1))</f>
        <v>1</v>
      </c>
      <c r="CQ930" s="109" cm="1">
        <f t="array" ref="CQ930">AF930*WTP-AC930</f>
        <v>42292.330489140491</v>
      </c>
      <c r="CR930" s="109">
        <f t="shared" si="356"/>
        <v>45082.184988838533</v>
      </c>
      <c r="CT930" s="58">
        <f t="array" ref="CT930">SUM(IF(CQ930:CR930&gt;=CQ930, 1))</f>
        <v>2</v>
      </c>
      <c r="CU930" s="58">
        <f t="array" ref="CU930">SUM(IF(CQ930:CR930&gt;=CR930, 1))</f>
        <v>1</v>
      </c>
      <c r="CW930" s="109">
        <f t="shared" si="357"/>
        <v>-34819345.098769374</v>
      </c>
      <c r="CX930" s="109">
        <f t="shared" si="358"/>
        <v>0</v>
      </c>
      <c r="CZ930" s="58">
        <f t="array" ref="CZ930">SUM(IF(CW930:CX930&gt;=CW930, 1))</f>
        <v>2</v>
      </c>
      <c r="DA930" s="58">
        <f t="array" ref="DA930">SUM(IF(CW930:CX930&gt;=CX930, 1))</f>
        <v>1</v>
      </c>
      <c r="DC930" s="109">
        <f t="shared" si="359"/>
        <v>-2026204.0375789641</v>
      </c>
      <c r="DD930" s="109">
        <f t="shared" si="360"/>
        <v>0</v>
      </c>
      <c r="DF930" s="58">
        <f t="array" ref="DF930">SUM(IF(DC930:DD930&gt;=DC930, 1))</f>
        <v>2</v>
      </c>
      <c r="DG930" s="58">
        <f t="array" ref="DG930">SUM(IF(DC930:DD930&gt;=DD930, 1))</f>
        <v>1</v>
      </c>
      <c r="DI930" s="109">
        <f t="shared" si="361"/>
        <v>-105241057.54142472</v>
      </c>
      <c r="DJ930" s="109">
        <f t="shared" si="362"/>
        <v>0</v>
      </c>
      <c r="DL930" s="58">
        <f t="array" ref="DL930">SUM(IF(DI930:DJ930&gt;=DI930, 1))</f>
        <v>2</v>
      </c>
      <c r="DM930" s="58">
        <f t="array" ref="DM930">SUM(IF(DI930:DJ930&gt;=DJ930, 1))</f>
        <v>1</v>
      </c>
      <c r="DO930" s="109">
        <f t="shared" si="363"/>
        <v>-14369519.783241097</v>
      </c>
      <c r="DP930" s="109">
        <f t="shared" si="364"/>
        <v>0</v>
      </c>
      <c r="DR930" s="58">
        <f t="array" ref="DR930">SUM(IF(DO930:DP930&gt;=DO930, 1))</f>
        <v>2</v>
      </c>
      <c r="DS930" s="58">
        <f t="array" ref="DS930">SUM(IF(DO930:DP930&gt;=DP930, 1))</f>
        <v>1</v>
      </c>
      <c r="DU930" s="109">
        <f t="shared" si="365"/>
        <v>-43266662.297517098</v>
      </c>
      <c r="DV930" s="109">
        <f t="shared" si="366"/>
        <v>0</v>
      </c>
      <c r="DX930" s="58">
        <f t="array" ref="DX930">SUM(IF(DU930:DV930&gt;=DU930, 1))</f>
        <v>2</v>
      </c>
      <c r="DY930" s="58">
        <f t="array" ref="DY930">SUM(IF(DU930:DV930&gt;=DV930, 1))</f>
        <v>1</v>
      </c>
      <c r="EA930" s="109">
        <f t="shared" si="367"/>
        <v>-199722788.75853124</v>
      </c>
      <c r="EB930" s="109">
        <f t="shared" si="368"/>
        <v>0</v>
      </c>
      <c r="ED930" s="58">
        <f t="array" ref="ED930">SUM(IF(EA930:EB930&gt;=EA930, 1))</f>
        <v>2</v>
      </c>
      <c r="EE930" s="58">
        <f t="array" ref="EE930">SUM(IF(EA930:EB930&gt;=EB930, 1))</f>
        <v>1</v>
      </c>
    </row>
    <row r="931" spans="4:135" ht="12" customHeight="1" x14ac:dyDescent="0.25">
      <c r="D931" s="11">
        <v>915</v>
      </c>
      <c r="E931" s="72">
        <v>260.14359733877575</v>
      </c>
      <c r="F931" s="72">
        <v>224.85402485351895</v>
      </c>
      <c r="G931" s="73"/>
      <c r="H931" s="74">
        <v>5.8618462340803408</v>
      </c>
      <c r="I931" s="74">
        <v>5.878335510018303</v>
      </c>
      <c r="J931" s="73"/>
      <c r="K931" s="72">
        <v>278.5134519830666</v>
      </c>
      <c r="L931" s="72">
        <v>242.39268904416463</v>
      </c>
      <c r="M931" s="73"/>
      <c r="N931" s="74">
        <v>6.6594091759610983</v>
      </c>
      <c r="O931" s="74">
        <v>6.6727507808312732</v>
      </c>
      <c r="P931" s="73"/>
      <c r="Q931" s="72">
        <v>3094.4501591266499</v>
      </c>
      <c r="R931" s="72">
        <v>1666.3985941423066</v>
      </c>
      <c r="S931" s="73"/>
      <c r="T931" s="74">
        <v>4.8758647777012198</v>
      </c>
      <c r="U931" s="74">
        <v>4.9581632430044111</v>
      </c>
      <c r="V931" s="73"/>
      <c r="W931" s="72">
        <v>13607.868471431559</v>
      </c>
      <c r="X931" s="72">
        <v>13464.113183462723</v>
      </c>
      <c r="Y931" s="73"/>
      <c r="Z931" s="74">
        <v>3.2170138306048051</v>
      </c>
      <c r="AA931" s="74">
        <v>3.2580553534814922</v>
      </c>
      <c r="AB931" s="73"/>
      <c r="AC931" s="72">
        <v>49614.649610673172</v>
      </c>
      <c r="AD931" s="72">
        <v>49315.336491309921</v>
      </c>
      <c r="AE931" s="73"/>
      <c r="AF931" s="74">
        <v>4.1703457283717693</v>
      </c>
      <c r="AG931" s="74">
        <v>4.2709108491872909</v>
      </c>
      <c r="AH931" s="73"/>
      <c r="AI931" s="72">
        <v>3758692.8082509907</v>
      </c>
      <c r="AJ931" s="72">
        <v>0</v>
      </c>
      <c r="AK931" s="73"/>
      <c r="AL931" s="74">
        <v>-1756.2729870750868</v>
      </c>
      <c r="AM931" s="74">
        <v>0</v>
      </c>
      <c r="AN931" s="73"/>
      <c r="AO931" s="72">
        <v>241278.47615523834</v>
      </c>
      <c r="AP931" s="72">
        <v>0</v>
      </c>
      <c r="AQ931" s="73"/>
      <c r="AR931" s="74">
        <v>-89.11888428231957</v>
      </c>
      <c r="AS931" s="74">
        <v>0</v>
      </c>
      <c r="AT931" s="73"/>
      <c r="AU931" s="72">
        <v>32655769.02277432</v>
      </c>
      <c r="AV931" s="72">
        <v>0</v>
      </c>
      <c r="AW931" s="73"/>
      <c r="AX931" s="74">
        <v>-1881.9486213015609</v>
      </c>
      <c r="AY931" s="74">
        <v>0</v>
      </c>
      <c r="AZ931" s="73"/>
      <c r="BA931" s="72">
        <v>1321280.6711426578</v>
      </c>
      <c r="BB931" s="72">
        <v>0</v>
      </c>
      <c r="BC931" s="73"/>
      <c r="BD931" s="74">
        <v>-377.22000809446268</v>
      </c>
      <c r="BE931" s="74">
        <v>0</v>
      </c>
      <c r="BF931" s="73"/>
      <c r="BG931" s="72">
        <v>4635446.4195018774</v>
      </c>
      <c r="BH931" s="72">
        <v>0</v>
      </c>
      <c r="BI931" s="73"/>
      <c r="BJ931" s="74">
        <v>-1557.4466973007611</v>
      </c>
      <c r="BK931" s="74">
        <v>0</v>
      </c>
      <c r="BL931" s="73"/>
      <c r="BM931" s="72">
        <v>42612467.397825085</v>
      </c>
      <c r="BN931" s="72">
        <v>0</v>
      </c>
      <c r="BO931" s="73"/>
      <c r="BP931" s="74">
        <v>-5662.0071980541916</v>
      </c>
      <c r="BQ931" s="74">
        <v>0</v>
      </c>
      <c r="BS931" s="109">
        <f t="shared" si="348"/>
        <v>116976.78108426805</v>
      </c>
      <c r="BT931" s="109">
        <f t="shared" si="349"/>
        <v>117341.85617551254</v>
      </c>
      <c r="BV931" s="58">
        <f t="array" ref="BV931">SUM(IF(BS931:BT931&gt;=BS931, 1))</f>
        <v>2</v>
      </c>
      <c r="BW931" s="58">
        <f t="array" ref="BW931">SUM(IF(BS931:BT931&gt;=BT931, 1))</f>
        <v>1</v>
      </c>
      <c r="BY931" s="109">
        <f t="shared" si="350"/>
        <v>132909.67006723888</v>
      </c>
      <c r="BZ931" s="109">
        <f t="shared" si="351"/>
        <v>133212.62292758131</v>
      </c>
      <c r="CB931" s="58">
        <f t="array" ref="CB931">SUM(IF(BY931:BZ931&gt;=BY931, 1))</f>
        <v>2</v>
      </c>
      <c r="CC931" s="58">
        <f t="array" ref="CC931">SUM(IF(BY931:BZ931&gt;=BZ931, 1))</f>
        <v>1</v>
      </c>
      <c r="CE931" s="109">
        <f t="shared" si="352"/>
        <v>94422.845394897755</v>
      </c>
      <c r="CF931" s="109">
        <f t="shared" si="353"/>
        <v>97496.866265945922</v>
      </c>
      <c r="CH931" s="58">
        <f t="array" ref="CH931">SUM(IF(CE931:CF931&gt;=CE931, 1))</f>
        <v>2</v>
      </c>
      <c r="CI931" s="58">
        <f t="array" ref="CI931">SUM(IF(CE931:CF931&gt;=CF931, 1))</f>
        <v>1</v>
      </c>
      <c r="CK931" s="109">
        <f t="shared" si="354"/>
        <v>50732.408140664542</v>
      </c>
      <c r="CL931" s="109">
        <f t="shared" si="355"/>
        <v>51696.993886167118</v>
      </c>
      <c r="CN931" s="58">
        <f t="array" ref="CN931">SUM(IF(CK931:CL931&gt;=CK931, 1))</f>
        <v>2</v>
      </c>
      <c r="CO931" s="58">
        <f t="array" ref="CO931">SUM(IF(CK931:CL931&gt;=CL931, 1))</f>
        <v>1</v>
      </c>
      <c r="CQ931" s="109" cm="1">
        <f t="array" ref="CQ931">AF931*WTP-AC931</f>
        <v>33792.264956762221</v>
      </c>
      <c r="CR931" s="109">
        <f t="shared" si="356"/>
        <v>36102.880492435899</v>
      </c>
      <c r="CT931" s="58">
        <f t="array" ref="CT931">SUM(IF(CQ931:CR931&gt;=CQ931, 1))</f>
        <v>2</v>
      </c>
      <c r="CU931" s="58">
        <f t="array" ref="CU931">SUM(IF(CQ931:CR931&gt;=CR931, 1))</f>
        <v>1</v>
      </c>
      <c r="CW931" s="109">
        <f t="shared" si="357"/>
        <v>-38884152.549752727</v>
      </c>
      <c r="CX931" s="109">
        <f t="shared" si="358"/>
        <v>0</v>
      </c>
      <c r="CZ931" s="58">
        <f t="array" ref="CZ931">SUM(IF(CW931:CX931&gt;=CW931, 1))</f>
        <v>2</v>
      </c>
      <c r="DA931" s="58">
        <f t="array" ref="DA931">SUM(IF(CW931:CX931&gt;=CX931, 1))</f>
        <v>1</v>
      </c>
      <c r="DC931" s="109">
        <f t="shared" si="359"/>
        <v>-2023656.1618016297</v>
      </c>
      <c r="DD931" s="109">
        <f t="shared" si="360"/>
        <v>0</v>
      </c>
      <c r="DF931" s="58">
        <f t="array" ref="DF931">SUM(IF(DC931:DD931&gt;=DC931, 1))</f>
        <v>2</v>
      </c>
      <c r="DG931" s="58">
        <f t="array" ref="DG931">SUM(IF(DC931:DD931&gt;=DD931, 1))</f>
        <v>1</v>
      </c>
      <c r="DI931" s="109">
        <f t="shared" si="361"/>
        <v>-70294741.448805541</v>
      </c>
      <c r="DJ931" s="109">
        <f t="shared" si="362"/>
        <v>0</v>
      </c>
      <c r="DL931" s="58">
        <f t="array" ref="DL931">SUM(IF(DI931:DJ931&gt;=DI931, 1))</f>
        <v>2</v>
      </c>
      <c r="DM931" s="58">
        <f t="array" ref="DM931">SUM(IF(DI931:DJ931&gt;=DJ931, 1))</f>
        <v>1</v>
      </c>
      <c r="DO931" s="109">
        <f t="shared" si="363"/>
        <v>-8865680.8330319114</v>
      </c>
      <c r="DP931" s="109">
        <f t="shared" si="364"/>
        <v>0</v>
      </c>
      <c r="DR931" s="58">
        <f t="array" ref="DR931">SUM(IF(DO931:DP931&gt;=DO931, 1))</f>
        <v>2</v>
      </c>
      <c r="DS931" s="58">
        <f t="array" ref="DS931">SUM(IF(DO931:DP931&gt;=DP931, 1))</f>
        <v>1</v>
      </c>
      <c r="DU931" s="109">
        <f t="shared" si="365"/>
        <v>-35784380.365517102</v>
      </c>
      <c r="DV931" s="109">
        <f t="shared" si="366"/>
        <v>0</v>
      </c>
      <c r="DX931" s="58">
        <f t="array" ref="DX931">SUM(IF(DU931:DV931&gt;=DU931, 1))</f>
        <v>2</v>
      </c>
      <c r="DY931" s="58">
        <f t="array" ref="DY931">SUM(IF(DU931:DV931&gt;=DV931, 1))</f>
        <v>1</v>
      </c>
      <c r="EA931" s="109">
        <f t="shared" si="367"/>
        <v>-155852611.35890892</v>
      </c>
      <c r="EB931" s="109">
        <f t="shared" si="368"/>
        <v>0</v>
      </c>
      <c r="ED931" s="58">
        <f t="array" ref="ED931">SUM(IF(EA931:EB931&gt;=EA931, 1))</f>
        <v>2</v>
      </c>
      <c r="EE931" s="58">
        <f t="array" ref="EE931">SUM(IF(EA931:EB931&gt;=EB931, 1))</f>
        <v>1</v>
      </c>
    </row>
    <row r="932" spans="4:135" ht="12" customHeight="1" x14ac:dyDescent="0.25">
      <c r="D932" s="11">
        <v>916</v>
      </c>
      <c r="E932" s="72">
        <v>226.82642433598809</v>
      </c>
      <c r="F932" s="72">
        <v>208.76299703883495</v>
      </c>
      <c r="G932" s="73"/>
      <c r="H932" s="74">
        <v>5.858544592567136</v>
      </c>
      <c r="I932" s="74">
        <v>5.8786377874230711</v>
      </c>
      <c r="J932" s="73"/>
      <c r="K932" s="72">
        <v>243.70890781761713</v>
      </c>
      <c r="L932" s="72">
        <v>225.18939775821048</v>
      </c>
      <c r="M932" s="73"/>
      <c r="N932" s="74">
        <v>6.7035848628386594</v>
      </c>
      <c r="O932" s="74">
        <v>6.7212480647481483</v>
      </c>
      <c r="P932" s="73"/>
      <c r="Q932" s="72">
        <v>2550.2735885445059</v>
      </c>
      <c r="R932" s="72">
        <v>1475.2741544091205</v>
      </c>
      <c r="S932" s="73"/>
      <c r="T932" s="74">
        <v>4.8728546993584168</v>
      </c>
      <c r="U932" s="74">
        <v>4.9782543049634329</v>
      </c>
      <c r="V932" s="73"/>
      <c r="W932" s="72">
        <v>13350.656008608317</v>
      </c>
      <c r="X932" s="72">
        <v>13323.89425738422</v>
      </c>
      <c r="Y932" s="73"/>
      <c r="Z932" s="74">
        <v>2.8141995675319511</v>
      </c>
      <c r="AA932" s="74">
        <v>2.8509802216298255</v>
      </c>
      <c r="AB932" s="73"/>
      <c r="AC932" s="72">
        <v>49539.638963074263</v>
      </c>
      <c r="AD932" s="72">
        <v>49586.559318940417</v>
      </c>
      <c r="AE932" s="73"/>
      <c r="AF932" s="74">
        <v>5.1721712182027595</v>
      </c>
      <c r="AG932" s="74">
        <v>5.3036615750752638</v>
      </c>
      <c r="AH932" s="73"/>
      <c r="AI932" s="72">
        <v>1943736.9125061987</v>
      </c>
      <c r="AJ932" s="72">
        <v>0</v>
      </c>
      <c r="AK932" s="73"/>
      <c r="AL932" s="74">
        <v>-2162.1525023557424</v>
      </c>
      <c r="AM932" s="74">
        <v>0</v>
      </c>
      <c r="AN932" s="73"/>
      <c r="AO932" s="72">
        <v>126848.9915038207</v>
      </c>
      <c r="AP932" s="72">
        <v>0</v>
      </c>
      <c r="AQ932" s="73"/>
      <c r="AR932" s="74">
        <v>-120.98372698628566</v>
      </c>
      <c r="AS932" s="74">
        <v>0</v>
      </c>
      <c r="AT932" s="73"/>
      <c r="AU932" s="72">
        <v>24996216.622825366</v>
      </c>
      <c r="AV932" s="72">
        <v>0</v>
      </c>
      <c r="AW932" s="73"/>
      <c r="AX932" s="74">
        <v>-2450.7839632328046</v>
      </c>
      <c r="AY932" s="74">
        <v>0</v>
      </c>
      <c r="AZ932" s="73"/>
      <c r="BA932" s="72">
        <v>232361.2976919405</v>
      </c>
      <c r="BB932" s="72">
        <v>0</v>
      </c>
      <c r="BC932" s="73"/>
      <c r="BD932" s="74">
        <v>-319.35131765386291</v>
      </c>
      <c r="BE932" s="74">
        <v>0</v>
      </c>
      <c r="BF932" s="73"/>
      <c r="BG932" s="72">
        <v>-764265.1773415365</v>
      </c>
      <c r="BH932" s="72">
        <v>0</v>
      </c>
      <c r="BI932" s="73"/>
      <c r="BJ932" s="74">
        <v>-2141.788975355103</v>
      </c>
      <c r="BK932" s="74">
        <v>0</v>
      </c>
      <c r="BL932" s="73"/>
      <c r="BM932" s="72">
        <v>26534898.647185791</v>
      </c>
      <c r="BN932" s="72">
        <v>0</v>
      </c>
      <c r="BO932" s="73"/>
      <c r="BP932" s="74">
        <v>-7195.0604855837992</v>
      </c>
      <c r="BQ932" s="74">
        <v>0</v>
      </c>
      <c r="BS932" s="109">
        <f t="shared" si="348"/>
        <v>116944.06542700673</v>
      </c>
      <c r="BT932" s="109">
        <f t="shared" si="349"/>
        <v>117363.99275142259</v>
      </c>
      <c r="BV932" s="58">
        <f t="array" ref="BV932">SUM(IF(BS932:BT932&gt;=BS932, 1))</f>
        <v>2</v>
      </c>
      <c r="BW932" s="58">
        <f t="array" ref="BW932">SUM(IF(BS932:BT932&gt;=BT932, 1))</f>
        <v>1</v>
      </c>
      <c r="BY932" s="109">
        <f t="shared" si="350"/>
        <v>133827.98834895558</v>
      </c>
      <c r="BZ932" s="109">
        <f t="shared" si="351"/>
        <v>134199.77189720474</v>
      </c>
      <c r="CB932" s="58">
        <f t="array" ref="CB932">SUM(IF(BY932:BZ932&gt;=BY932, 1))</f>
        <v>2</v>
      </c>
      <c r="CC932" s="58">
        <f t="array" ref="CC932">SUM(IF(BY932:BZ932&gt;=BZ932, 1))</f>
        <v>1</v>
      </c>
      <c r="CE932" s="109">
        <f t="shared" si="352"/>
        <v>94906.820398623837</v>
      </c>
      <c r="CF932" s="109">
        <f t="shared" si="353"/>
        <v>98089.811944859539</v>
      </c>
      <c r="CH932" s="58">
        <f t="array" ref="CH932">SUM(IF(CE932:CF932&gt;=CE932, 1))</f>
        <v>2</v>
      </c>
      <c r="CI932" s="58">
        <f t="array" ref="CI932">SUM(IF(CE932:CF932&gt;=CF932, 1))</f>
        <v>1</v>
      </c>
      <c r="CK932" s="109">
        <f t="shared" si="354"/>
        <v>42933.335342030703</v>
      </c>
      <c r="CL932" s="109">
        <f t="shared" si="355"/>
        <v>43695.710175212291</v>
      </c>
      <c r="CN932" s="58">
        <f t="array" ref="CN932">SUM(IF(CK932:CL932&gt;=CK932, 1))</f>
        <v>2</v>
      </c>
      <c r="CO932" s="58">
        <f t="array" ref="CO932">SUM(IF(CK932:CL932&gt;=CL932, 1))</f>
        <v>1</v>
      </c>
      <c r="CQ932" s="109" cm="1">
        <f t="array" ref="CQ932">AF932*WTP-AC932</f>
        <v>53903.785400980923</v>
      </c>
      <c r="CR932" s="109">
        <f t="shared" si="356"/>
        <v>56486.672182564856</v>
      </c>
      <c r="CT932" s="58">
        <f t="array" ref="CT932">SUM(IF(CQ932:CR932&gt;=CQ932, 1))</f>
        <v>2</v>
      </c>
      <c r="CU932" s="58">
        <f t="array" ref="CU932">SUM(IF(CQ932:CR932&gt;=CR932, 1))</f>
        <v>1</v>
      </c>
      <c r="CW932" s="109">
        <f t="shared" si="357"/>
        <v>-45186786.959621049</v>
      </c>
      <c r="CX932" s="109">
        <f t="shared" si="358"/>
        <v>0</v>
      </c>
      <c r="CZ932" s="58">
        <f t="array" ref="CZ932">SUM(IF(CW932:CX932&gt;=CW932, 1))</f>
        <v>2</v>
      </c>
      <c r="DA932" s="58">
        <f t="array" ref="DA932">SUM(IF(CW932:CX932&gt;=CX932, 1))</f>
        <v>1</v>
      </c>
      <c r="DC932" s="109">
        <f t="shared" si="359"/>
        <v>-2546523.5312295342</v>
      </c>
      <c r="DD932" s="109">
        <f t="shared" si="360"/>
        <v>0</v>
      </c>
      <c r="DF932" s="58">
        <f t="array" ref="DF932">SUM(IF(DC932:DD932&gt;=DC932, 1))</f>
        <v>2</v>
      </c>
      <c r="DG932" s="58">
        <f t="array" ref="DG932">SUM(IF(DC932:DD932&gt;=DD932, 1))</f>
        <v>1</v>
      </c>
      <c r="DI932" s="109">
        <f t="shared" si="361"/>
        <v>-74011895.887481451</v>
      </c>
      <c r="DJ932" s="109">
        <f t="shared" si="362"/>
        <v>0</v>
      </c>
      <c r="DL932" s="58">
        <f t="array" ref="DL932">SUM(IF(DI932:DJ932&gt;=DI932, 1))</f>
        <v>2</v>
      </c>
      <c r="DM932" s="58">
        <f t="array" ref="DM932">SUM(IF(DI932:DJ932&gt;=DJ932, 1))</f>
        <v>1</v>
      </c>
      <c r="DO932" s="109">
        <f t="shared" si="363"/>
        <v>-6619387.6507691983</v>
      </c>
      <c r="DP932" s="109">
        <f t="shared" si="364"/>
        <v>0</v>
      </c>
      <c r="DR932" s="58">
        <f t="array" ref="DR932">SUM(IF(DO932:DP932&gt;=DO932, 1))</f>
        <v>2</v>
      </c>
      <c r="DS932" s="58">
        <f t="array" ref="DS932">SUM(IF(DO932:DP932&gt;=DP932, 1))</f>
        <v>1</v>
      </c>
      <c r="DU932" s="109">
        <f t="shared" si="365"/>
        <v>-42071514.329760522</v>
      </c>
      <c r="DV932" s="109">
        <f t="shared" si="366"/>
        <v>0</v>
      </c>
      <c r="DX932" s="58">
        <f t="array" ref="DX932">SUM(IF(DU932:DV932&gt;=DU932, 1))</f>
        <v>2</v>
      </c>
      <c r="DY932" s="58">
        <f t="array" ref="DY932">SUM(IF(DU932:DV932&gt;=DV932, 1))</f>
        <v>1</v>
      </c>
      <c r="EA932" s="109">
        <f t="shared" si="367"/>
        <v>-170436108.35886177</v>
      </c>
      <c r="EB932" s="109">
        <f t="shared" si="368"/>
        <v>0</v>
      </c>
      <c r="ED932" s="58">
        <f t="array" ref="ED932">SUM(IF(EA932:EB932&gt;=EA932, 1))</f>
        <v>2</v>
      </c>
      <c r="EE932" s="58">
        <f t="array" ref="EE932">SUM(IF(EA932:EB932&gt;=EB932, 1))</f>
        <v>1</v>
      </c>
    </row>
    <row r="933" spans="4:135" ht="12" customHeight="1" x14ac:dyDescent="0.25">
      <c r="D933" s="11">
        <v>917</v>
      </c>
      <c r="E933" s="72">
        <v>261.4654065806738</v>
      </c>
      <c r="F933" s="72">
        <v>241.2744604418026</v>
      </c>
      <c r="G933" s="73"/>
      <c r="H933" s="74">
        <v>5.8237252524132046</v>
      </c>
      <c r="I933" s="74">
        <v>5.8361693634868574</v>
      </c>
      <c r="J933" s="73"/>
      <c r="K933" s="72">
        <v>280.77670554237392</v>
      </c>
      <c r="L933" s="72">
        <v>260.08088788872163</v>
      </c>
      <c r="M933" s="73"/>
      <c r="N933" s="74">
        <v>6.6449897434452607</v>
      </c>
      <c r="O933" s="74">
        <v>6.6551780239266876</v>
      </c>
      <c r="P933" s="73"/>
      <c r="Q933" s="72">
        <v>3272.5511262023033</v>
      </c>
      <c r="R933" s="72">
        <v>1498.8845409891223</v>
      </c>
      <c r="S933" s="73"/>
      <c r="T933" s="74">
        <v>4.8168081184148948</v>
      </c>
      <c r="U933" s="74">
        <v>4.9424698787988026</v>
      </c>
      <c r="V933" s="73"/>
      <c r="W933" s="72">
        <v>13908.927965450834</v>
      </c>
      <c r="X933" s="72">
        <v>13901.590763044764</v>
      </c>
      <c r="Y933" s="73"/>
      <c r="Z933" s="74">
        <v>2.8284476763420519</v>
      </c>
      <c r="AA933" s="74">
        <v>2.8751371224498392</v>
      </c>
      <c r="AB933" s="73"/>
      <c r="AC933" s="72">
        <v>50654.923567430567</v>
      </c>
      <c r="AD933" s="72">
        <v>50284.15129990314</v>
      </c>
      <c r="AE933" s="73"/>
      <c r="AF933" s="74">
        <v>4.671886359476944</v>
      </c>
      <c r="AG933" s="74">
        <v>4.8295303245366163</v>
      </c>
      <c r="AH933" s="73"/>
      <c r="AI933" s="72">
        <v>2192826.0227865609</v>
      </c>
      <c r="AJ933" s="72">
        <v>0</v>
      </c>
      <c r="AK933" s="73"/>
      <c r="AL933" s="74">
        <v>-1351.4854829025819</v>
      </c>
      <c r="AM933" s="74">
        <v>0</v>
      </c>
      <c r="AN933" s="73"/>
      <c r="AO933" s="72">
        <v>148395.73818197462</v>
      </c>
      <c r="AP933" s="72">
        <v>0</v>
      </c>
      <c r="AQ933" s="73"/>
      <c r="AR933" s="74">
        <v>-73.053281979391997</v>
      </c>
      <c r="AS933" s="74">
        <v>0</v>
      </c>
      <c r="AT933" s="73"/>
      <c r="AU933" s="72">
        <v>41987207.817314871</v>
      </c>
      <c r="AV933" s="72">
        <v>0</v>
      </c>
      <c r="AW933" s="73"/>
      <c r="AX933" s="74">
        <v>-2974.7340858285424</v>
      </c>
      <c r="AY933" s="74">
        <v>0</v>
      </c>
      <c r="AZ933" s="73"/>
      <c r="BA933" s="72">
        <v>65418.361169332726</v>
      </c>
      <c r="BB933" s="72">
        <v>0</v>
      </c>
      <c r="BC933" s="73"/>
      <c r="BD933" s="74">
        <v>-416.28223936530628</v>
      </c>
      <c r="BE933" s="74">
        <v>0</v>
      </c>
      <c r="BF933" s="73"/>
      <c r="BG933" s="72">
        <v>5803252.6791473273</v>
      </c>
      <c r="BH933" s="72">
        <v>0</v>
      </c>
      <c r="BI933" s="73"/>
      <c r="BJ933" s="74">
        <v>-2467.4115156584012</v>
      </c>
      <c r="BK933" s="74">
        <v>0</v>
      </c>
      <c r="BL933" s="73"/>
      <c r="BM933" s="72">
        <v>50197100.618600063</v>
      </c>
      <c r="BN933" s="72">
        <v>0</v>
      </c>
      <c r="BO933" s="73"/>
      <c r="BP933" s="74">
        <v>-7282.9666057342238</v>
      </c>
      <c r="BQ933" s="74">
        <v>0</v>
      </c>
      <c r="BS933" s="109">
        <f t="shared" si="348"/>
        <v>116213.03964168343</v>
      </c>
      <c r="BT933" s="109">
        <f t="shared" si="349"/>
        <v>116482.11280929536</v>
      </c>
      <c r="BV933" s="58">
        <f t="array" ref="BV933">SUM(IF(BS933:BT933&gt;=BS933, 1))</f>
        <v>2</v>
      </c>
      <c r="BW933" s="58">
        <f t="array" ref="BW933">SUM(IF(BS933:BT933&gt;=BT933, 1))</f>
        <v>1</v>
      </c>
      <c r="BY933" s="109">
        <f t="shared" si="350"/>
        <v>132619.01816336284</v>
      </c>
      <c r="BZ933" s="109">
        <f t="shared" si="351"/>
        <v>132843.47959064503</v>
      </c>
      <c r="CB933" s="58">
        <f t="array" ref="CB933">SUM(IF(BY933:BZ933&gt;=BY933, 1))</f>
        <v>2</v>
      </c>
      <c r="CC933" s="58">
        <f t="array" ref="CC933">SUM(IF(BY933:BZ933&gt;=BZ933, 1))</f>
        <v>1</v>
      </c>
      <c r="CE933" s="109">
        <f t="shared" si="352"/>
        <v>93063.611242095591</v>
      </c>
      <c r="CF933" s="109">
        <f t="shared" si="353"/>
        <v>97350.513034986929</v>
      </c>
      <c r="CH933" s="58">
        <f t="array" ref="CH933">SUM(IF(CE933:CF933&gt;=CE933, 1))</f>
        <v>2</v>
      </c>
      <c r="CI933" s="58">
        <f t="array" ref="CI933">SUM(IF(CE933:CF933&gt;=CF933, 1))</f>
        <v>1</v>
      </c>
      <c r="CK933" s="109">
        <f t="shared" si="354"/>
        <v>42660.025561390205</v>
      </c>
      <c r="CL933" s="109">
        <f t="shared" si="355"/>
        <v>43601.15168595202</v>
      </c>
      <c r="CN933" s="58">
        <f t="array" ref="CN933">SUM(IF(CK933:CL933&gt;=CK933, 1))</f>
        <v>2</v>
      </c>
      <c r="CO933" s="58">
        <f t="array" ref="CO933">SUM(IF(CK933:CL933&gt;=CL933, 1))</f>
        <v>1</v>
      </c>
      <c r="CQ933" s="109" cm="1">
        <f t="array" ref="CQ933">AF933*WTP-AC933</f>
        <v>42782.803622108317</v>
      </c>
      <c r="CR933" s="109">
        <f t="shared" si="356"/>
        <v>46306.455190829191</v>
      </c>
      <c r="CT933" s="58">
        <f t="array" ref="CT933">SUM(IF(CQ933:CR933&gt;=CQ933, 1))</f>
        <v>2</v>
      </c>
      <c r="CU933" s="58">
        <f t="array" ref="CU933">SUM(IF(CQ933:CR933&gt;=CR933, 1))</f>
        <v>1</v>
      </c>
      <c r="CW933" s="109">
        <f t="shared" si="357"/>
        <v>-29222535.680838201</v>
      </c>
      <c r="CX933" s="109">
        <f t="shared" si="358"/>
        <v>0</v>
      </c>
      <c r="CZ933" s="58">
        <f t="array" ref="CZ933">SUM(IF(CW933:CX933&gt;=CW933, 1))</f>
        <v>2</v>
      </c>
      <c r="DA933" s="58">
        <f t="array" ref="DA933">SUM(IF(CW933:CX933&gt;=CX933, 1))</f>
        <v>1</v>
      </c>
      <c r="DC933" s="109">
        <f t="shared" si="359"/>
        <v>-1609461.3777698143</v>
      </c>
      <c r="DD933" s="109">
        <f t="shared" si="360"/>
        <v>0</v>
      </c>
      <c r="DF933" s="58">
        <f t="array" ref="DF933">SUM(IF(DC933:DD933&gt;=DC933, 1))</f>
        <v>2</v>
      </c>
      <c r="DG933" s="58">
        <f t="array" ref="DG933">SUM(IF(DC933:DD933&gt;=DD933, 1))</f>
        <v>1</v>
      </c>
      <c r="DI933" s="109">
        <f t="shared" si="361"/>
        <v>-101481889.53388572</v>
      </c>
      <c r="DJ933" s="109">
        <f t="shared" si="362"/>
        <v>0</v>
      </c>
      <c r="DL933" s="58">
        <f t="array" ref="DL933">SUM(IF(DI933:DJ933&gt;=DI933, 1))</f>
        <v>2</v>
      </c>
      <c r="DM933" s="58">
        <f t="array" ref="DM933">SUM(IF(DI933:DJ933&gt;=DJ933, 1))</f>
        <v>1</v>
      </c>
      <c r="DO933" s="109">
        <f t="shared" si="363"/>
        <v>-8391063.1484754588</v>
      </c>
      <c r="DP933" s="109">
        <f t="shared" si="364"/>
        <v>0</v>
      </c>
      <c r="DR933" s="58">
        <f t="array" ref="DR933">SUM(IF(DO933:DP933&gt;=DO933, 1))</f>
        <v>2</v>
      </c>
      <c r="DS933" s="58">
        <f t="array" ref="DS933">SUM(IF(DO933:DP933&gt;=DP933, 1))</f>
        <v>1</v>
      </c>
      <c r="DU933" s="109">
        <f t="shared" si="365"/>
        <v>-55151482.992315352</v>
      </c>
      <c r="DV933" s="109">
        <f t="shared" si="366"/>
        <v>0</v>
      </c>
      <c r="DX933" s="58">
        <f t="array" ref="DX933">SUM(IF(DU933:DV933&gt;=DU933, 1))</f>
        <v>2</v>
      </c>
      <c r="DY933" s="58">
        <f t="array" ref="DY933">SUM(IF(DU933:DV933&gt;=DV933, 1))</f>
        <v>1</v>
      </c>
      <c r="EA933" s="109">
        <f t="shared" si="367"/>
        <v>-195856432.73328453</v>
      </c>
      <c r="EB933" s="109">
        <f t="shared" si="368"/>
        <v>0</v>
      </c>
      <c r="ED933" s="58">
        <f t="array" ref="ED933">SUM(IF(EA933:EB933&gt;=EA933, 1))</f>
        <v>2</v>
      </c>
      <c r="EE933" s="58">
        <f t="array" ref="EE933">SUM(IF(EA933:EB933&gt;=EB933, 1))</f>
        <v>1</v>
      </c>
    </row>
    <row r="934" spans="4:135" ht="12" customHeight="1" x14ac:dyDescent="0.25">
      <c r="D934" s="11">
        <v>918</v>
      </c>
      <c r="E934" s="72">
        <v>198.28472930657716</v>
      </c>
      <c r="F934" s="72">
        <v>179.92540441177178</v>
      </c>
      <c r="G934" s="73"/>
      <c r="H934" s="74">
        <v>5.8533606292706972</v>
      </c>
      <c r="I934" s="74">
        <v>5.8686033132745843</v>
      </c>
      <c r="J934" s="73"/>
      <c r="K934" s="72">
        <v>212.80506747090604</v>
      </c>
      <c r="L934" s="72">
        <v>194.0084029100577</v>
      </c>
      <c r="M934" s="73"/>
      <c r="N934" s="74">
        <v>6.6316987846442874</v>
      </c>
      <c r="O934" s="74">
        <v>6.6446512651956864</v>
      </c>
      <c r="P934" s="73"/>
      <c r="Q934" s="72">
        <v>2060.7736479065875</v>
      </c>
      <c r="R934" s="72">
        <v>1415.6604044282071</v>
      </c>
      <c r="S934" s="73"/>
      <c r="T934" s="74">
        <v>4.8314679413115522</v>
      </c>
      <c r="U934" s="74">
        <v>4.8955052093486735</v>
      </c>
      <c r="V934" s="73"/>
      <c r="W934" s="72">
        <v>15197.422028189925</v>
      </c>
      <c r="X934" s="72">
        <v>15196.335593038562</v>
      </c>
      <c r="Y934" s="73"/>
      <c r="Z934" s="74">
        <v>2.8644998296619146</v>
      </c>
      <c r="AA934" s="74">
        <v>2.91620984360374</v>
      </c>
      <c r="AB934" s="73"/>
      <c r="AC934" s="72">
        <v>50092.826161830119</v>
      </c>
      <c r="AD934" s="72">
        <v>50081.964230820122</v>
      </c>
      <c r="AE934" s="73"/>
      <c r="AF934" s="74">
        <v>4.6710124641114454</v>
      </c>
      <c r="AG934" s="74">
        <v>4.7792972705595922</v>
      </c>
      <c r="AH934" s="73"/>
      <c r="AI934" s="72">
        <v>1973354.5398731648</v>
      </c>
      <c r="AJ934" s="72">
        <v>0</v>
      </c>
      <c r="AK934" s="73"/>
      <c r="AL934" s="74">
        <v>-1638.3619687145072</v>
      </c>
      <c r="AM934" s="74">
        <v>0</v>
      </c>
      <c r="AN934" s="73"/>
      <c r="AO934" s="72">
        <v>129372.62248225324</v>
      </c>
      <c r="AP934" s="72">
        <v>0</v>
      </c>
      <c r="AQ934" s="73"/>
      <c r="AR934" s="74">
        <v>-89.14860246403407</v>
      </c>
      <c r="AS934" s="74">
        <v>0</v>
      </c>
      <c r="AT934" s="73"/>
      <c r="AU934" s="72">
        <v>14892456.317988481</v>
      </c>
      <c r="AV934" s="72">
        <v>0</v>
      </c>
      <c r="AW934" s="73"/>
      <c r="AX934" s="74">
        <v>-1478.3020293058194</v>
      </c>
      <c r="AY934" s="74">
        <v>0</v>
      </c>
      <c r="AZ934" s="73"/>
      <c r="BA934" s="72">
        <v>9525.7107267546089</v>
      </c>
      <c r="BB934" s="72">
        <v>0</v>
      </c>
      <c r="BC934" s="73"/>
      <c r="BD934" s="74">
        <v>-453.38613525933187</v>
      </c>
      <c r="BE934" s="74">
        <v>0</v>
      </c>
      <c r="BF934" s="73"/>
      <c r="BG934" s="72">
        <v>175477.92070683304</v>
      </c>
      <c r="BH934" s="72">
        <v>0</v>
      </c>
      <c r="BI934" s="73"/>
      <c r="BJ934" s="74">
        <v>-1749.3751950896035</v>
      </c>
      <c r="BK934" s="74">
        <v>0</v>
      </c>
      <c r="BL934" s="73"/>
      <c r="BM934" s="72">
        <v>17180187.111777488</v>
      </c>
      <c r="BN934" s="72">
        <v>0</v>
      </c>
      <c r="BO934" s="73"/>
      <c r="BP934" s="74">
        <v>-5408.5739308332959</v>
      </c>
      <c r="BQ934" s="74">
        <v>0</v>
      </c>
      <c r="BS934" s="109">
        <f t="shared" si="348"/>
        <v>116868.92785610737</v>
      </c>
      <c r="BT934" s="109">
        <f t="shared" si="349"/>
        <v>117192.14086107991</v>
      </c>
      <c r="BV934" s="58">
        <f t="array" ref="BV934">SUM(IF(BS934:BT934&gt;=BS934, 1))</f>
        <v>2</v>
      </c>
      <c r="BW934" s="58">
        <f t="array" ref="BW934">SUM(IF(BS934:BT934&gt;=BT934, 1))</f>
        <v>1</v>
      </c>
      <c r="BY934" s="109">
        <f t="shared" si="350"/>
        <v>132421.17062541484</v>
      </c>
      <c r="BZ934" s="109">
        <f t="shared" si="351"/>
        <v>132699.01690100366</v>
      </c>
      <c r="CB934" s="58">
        <f t="array" ref="CB934">SUM(IF(BY934:BZ934&gt;=BY934, 1))</f>
        <v>2</v>
      </c>
      <c r="CC934" s="58">
        <f t="array" ref="CC934">SUM(IF(BY934:BZ934&gt;=BZ934, 1))</f>
        <v>1</v>
      </c>
      <c r="CE934" s="109">
        <f t="shared" si="352"/>
        <v>94568.585178324458</v>
      </c>
      <c r="CF934" s="109">
        <f t="shared" si="353"/>
        <v>96494.443782545262</v>
      </c>
      <c r="CH934" s="58">
        <f t="array" ref="CH934">SUM(IF(CE934:CF934&gt;=CE934, 1))</f>
        <v>2</v>
      </c>
      <c r="CI934" s="58">
        <f t="array" ref="CI934">SUM(IF(CE934:CF934&gt;=CF934, 1))</f>
        <v>1</v>
      </c>
      <c r="CK934" s="109">
        <f t="shared" si="354"/>
        <v>42092.574565048366</v>
      </c>
      <c r="CL934" s="109">
        <f t="shared" si="355"/>
        <v>43127.861279036239</v>
      </c>
      <c r="CN934" s="58">
        <f t="array" ref="CN934">SUM(IF(CK934:CL934&gt;=CK934, 1))</f>
        <v>2</v>
      </c>
      <c r="CO934" s="58">
        <f t="array" ref="CO934">SUM(IF(CK934:CL934&gt;=CL934, 1))</f>
        <v>1</v>
      </c>
      <c r="CQ934" s="109" cm="1">
        <f t="array" ref="CQ934">AF934*WTP-AC934</f>
        <v>43327.423120398787</v>
      </c>
      <c r="CR934" s="109">
        <f t="shared" si="356"/>
        <v>45503.981180371724</v>
      </c>
      <c r="CT934" s="58">
        <f t="array" ref="CT934">SUM(IF(CQ934:CR934&gt;=CQ934, 1))</f>
        <v>2</v>
      </c>
      <c r="CU934" s="58">
        <f t="array" ref="CU934">SUM(IF(CQ934:CR934&gt;=CR934, 1))</f>
        <v>1</v>
      </c>
      <c r="CW934" s="109">
        <f t="shared" si="357"/>
        <v>-34740593.914163306</v>
      </c>
      <c r="CX934" s="109">
        <f t="shared" si="358"/>
        <v>0</v>
      </c>
      <c r="CZ934" s="58">
        <f t="array" ref="CZ934">SUM(IF(CW934:CX934&gt;=CW934, 1))</f>
        <v>2</v>
      </c>
      <c r="DA934" s="58">
        <f t="array" ref="DA934">SUM(IF(CW934:CX934&gt;=CX934, 1))</f>
        <v>1</v>
      </c>
      <c r="DC934" s="109">
        <f t="shared" si="359"/>
        <v>-1912344.6717629347</v>
      </c>
      <c r="DD934" s="109">
        <f t="shared" si="360"/>
        <v>0</v>
      </c>
      <c r="DF934" s="58">
        <f t="array" ref="DF934">SUM(IF(DC934:DD934&gt;=DC934, 1))</f>
        <v>2</v>
      </c>
      <c r="DG934" s="58">
        <f t="array" ref="DG934">SUM(IF(DC934:DD934&gt;=DD934, 1))</f>
        <v>1</v>
      </c>
      <c r="DI934" s="109">
        <f t="shared" si="361"/>
        <v>-44458496.904104874</v>
      </c>
      <c r="DJ934" s="109">
        <f t="shared" si="362"/>
        <v>0</v>
      </c>
      <c r="DL934" s="58">
        <f t="array" ref="DL934">SUM(IF(DI934:DJ934&gt;=DI934, 1))</f>
        <v>2</v>
      </c>
      <c r="DM934" s="58">
        <f t="array" ref="DM934">SUM(IF(DI934:DJ934&gt;=DJ934, 1))</f>
        <v>1</v>
      </c>
      <c r="DO934" s="109">
        <f t="shared" si="363"/>
        <v>-9077248.4159133919</v>
      </c>
      <c r="DP934" s="109">
        <f t="shared" si="364"/>
        <v>0</v>
      </c>
      <c r="DR934" s="58">
        <f t="array" ref="DR934">SUM(IF(DO934:DP934&gt;=DO934, 1))</f>
        <v>2</v>
      </c>
      <c r="DS934" s="58">
        <f t="array" ref="DS934">SUM(IF(DO934:DP934&gt;=DP934, 1))</f>
        <v>1</v>
      </c>
      <c r="DU934" s="109">
        <f t="shared" si="365"/>
        <v>-35162981.822498903</v>
      </c>
      <c r="DV934" s="109">
        <f t="shared" si="366"/>
        <v>0</v>
      </c>
      <c r="DX934" s="58">
        <f t="array" ref="DX934">SUM(IF(DU934:DV934&gt;=DU934, 1))</f>
        <v>2</v>
      </c>
      <c r="DY934" s="58">
        <f t="array" ref="DY934">SUM(IF(DU934:DV934&gt;=DV934, 1))</f>
        <v>1</v>
      </c>
      <c r="EA934" s="109">
        <f t="shared" si="367"/>
        <v>-125351665.7284434</v>
      </c>
      <c r="EB934" s="109">
        <f t="shared" si="368"/>
        <v>0</v>
      </c>
      <c r="ED934" s="58">
        <f t="array" ref="ED934">SUM(IF(EA934:EB934&gt;=EA934, 1))</f>
        <v>2</v>
      </c>
      <c r="EE934" s="58">
        <f t="array" ref="EE934">SUM(IF(EA934:EB934&gt;=EB934, 1))</f>
        <v>1</v>
      </c>
    </row>
    <row r="935" spans="4:135" ht="12" customHeight="1" x14ac:dyDescent="0.25">
      <c r="D935" s="11">
        <v>919</v>
      </c>
      <c r="E935" s="72">
        <v>250.29694558869068</v>
      </c>
      <c r="F935" s="72">
        <v>233.49104437502521</v>
      </c>
      <c r="G935" s="73"/>
      <c r="H935" s="74">
        <v>5.8422497222466747</v>
      </c>
      <c r="I935" s="74">
        <v>5.8594065721279263</v>
      </c>
      <c r="J935" s="73"/>
      <c r="K935" s="72">
        <v>269.02376683607656</v>
      </c>
      <c r="L935" s="72">
        <v>251.80860305413961</v>
      </c>
      <c r="M935" s="73"/>
      <c r="N935" s="74">
        <v>6.7070403730953334</v>
      </c>
      <c r="O935" s="74">
        <v>6.7218126601733026</v>
      </c>
      <c r="P935" s="73"/>
      <c r="Q935" s="72">
        <v>3550.6902660101241</v>
      </c>
      <c r="R935" s="72">
        <v>1789.3514252237255</v>
      </c>
      <c r="S935" s="73"/>
      <c r="T935" s="74">
        <v>4.8217767523149107</v>
      </c>
      <c r="U935" s="74">
        <v>4.9352884121782656</v>
      </c>
      <c r="V935" s="73"/>
      <c r="W935" s="72">
        <v>14199.235699183682</v>
      </c>
      <c r="X935" s="72">
        <v>14292.817068089189</v>
      </c>
      <c r="Y935" s="73"/>
      <c r="Z935" s="74">
        <v>2.9347216129904856</v>
      </c>
      <c r="AA935" s="74">
        <v>2.9943701552955932</v>
      </c>
      <c r="AB935" s="73"/>
      <c r="AC935" s="72">
        <v>51201.816746843651</v>
      </c>
      <c r="AD935" s="72">
        <v>50866.207858328802</v>
      </c>
      <c r="AE935" s="73"/>
      <c r="AF935" s="74">
        <v>4.3245464333863479</v>
      </c>
      <c r="AG935" s="74">
        <v>4.4361181918693751</v>
      </c>
      <c r="AH935" s="73"/>
      <c r="AI935" s="72">
        <v>1773408.7460259025</v>
      </c>
      <c r="AJ935" s="72">
        <v>0</v>
      </c>
      <c r="AK935" s="73"/>
      <c r="AL935" s="74">
        <v>-1810.4418945961927</v>
      </c>
      <c r="AM935" s="74">
        <v>0</v>
      </c>
      <c r="AN935" s="73"/>
      <c r="AO935" s="72">
        <v>110420.8562023721</v>
      </c>
      <c r="AP935" s="72">
        <v>0</v>
      </c>
      <c r="AQ935" s="73"/>
      <c r="AR935" s="74">
        <v>-94.751848305277335</v>
      </c>
      <c r="AS935" s="74">
        <v>0</v>
      </c>
      <c r="AT935" s="73"/>
      <c r="AU935" s="72">
        <v>40826652.865461349</v>
      </c>
      <c r="AV935" s="72">
        <v>0</v>
      </c>
      <c r="AW935" s="73"/>
      <c r="AX935" s="74">
        <v>-2631.1241347260607</v>
      </c>
      <c r="AY935" s="74">
        <v>0</v>
      </c>
      <c r="AZ935" s="73"/>
      <c r="BA935" s="72">
        <v>-844235.41602315253</v>
      </c>
      <c r="BB935" s="72">
        <v>0</v>
      </c>
      <c r="BC935" s="73"/>
      <c r="BD935" s="74">
        <v>-538.11364929888236</v>
      </c>
      <c r="BE935" s="74">
        <v>0</v>
      </c>
      <c r="BF935" s="73"/>
      <c r="BG935" s="72">
        <v>5304506.3180363895</v>
      </c>
      <c r="BH935" s="72">
        <v>0</v>
      </c>
      <c r="BI935" s="73"/>
      <c r="BJ935" s="74">
        <v>-1763.4607367124649</v>
      </c>
      <c r="BK935" s="74">
        <v>0</v>
      </c>
      <c r="BL935" s="73"/>
      <c r="BM935" s="72">
        <v>47170753.369702868</v>
      </c>
      <c r="BN935" s="72">
        <v>0</v>
      </c>
      <c r="BO935" s="73"/>
      <c r="BP935" s="74">
        <v>-6837.8922636388779</v>
      </c>
      <c r="BQ935" s="74">
        <v>0</v>
      </c>
      <c r="BS935" s="109">
        <f t="shared" si="348"/>
        <v>116594.69749934479</v>
      </c>
      <c r="BT935" s="109">
        <f t="shared" si="349"/>
        <v>116954.6403981835</v>
      </c>
      <c r="BV935" s="58">
        <f t="array" ref="BV935">SUM(IF(BS935:BT935&gt;=BS935, 1))</f>
        <v>2</v>
      </c>
      <c r="BW935" s="58">
        <f t="array" ref="BW935">SUM(IF(BS935:BT935&gt;=BT935, 1))</f>
        <v>1</v>
      </c>
      <c r="BY935" s="109">
        <f t="shared" si="350"/>
        <v>133871.7836950706</v>
      </c>
      <c r="BZ935" s="109">
        <f t="shared" si="351"/>
        <v>134184.44460041189</v>
      </c>
      <c r="CB935" s="58">
        <f t="array" ref="CB935">SUM(IF(BY935:BZ935&gt;=BY935, 1))</f>
        <v>2</v>
      </c>
      <c r="CC935" s="58">
        <f t="array" ref="CC935">SUM(IF(BY935:BZ935&gt;=BZ935, 1))</f>
        <v>1</v>
      </c>
      <c r="CE935" s="109">
        <f t="shared" si="352"/>
        <v>92884.844780288098</v>
      </c>
      <c r="CF935" s="109">
        <f t="shared" si="353"/>
        <v>96916.41681834159</v>
      </c>
      <c r="CH935" s="58">
        <f t="array" ref="CH935">SUM(IF(CE935:CF935&gt;=CE935, 1))</f>
        <v>2</v>
      </c>
      <c r="CI935" s="58">
        <f t="array" ref="CI935">SUM(IF(CE935:CF935&gt;=CF935, 1))</f>
        <v>1</v>
      </c>
      <c r="CK935" s="109">
        <f t="shared" si="354"/>
        <v>44495.196560626035</v>
      </c>
      <c r="CL935" s="109">
        <f t="shared" si="355"/>
        <v>45594.586037822679</v>
      </c>
      <c r="CN935" s="58">
        <f t="array" ref="CN935">SUM(IF(CK935:CL935&gt;=CK935, 1))</f>
        <v>2</v>
      </c>
      <c r="CO935" s="58">
        <f t="array" ref="CO935">SUM(IF(CK935:CL935&gt;=CL935, 1))</f>
        <v>1</v>
      </c>
      <c r="CQ935" s="109" cm="1">
        <f t="array" ref="CQ935">AF935*WTP-AC935</f>
        <v>35289.111920883304</v>
      </c>
      <c r="CR935" s="109">
        <f t="shared" si="356"/>
        <v>37856.155979058698</v>
      </c>
      <c r="CT935" s="58">
        <f t="array" ref="CT935">SUM(IF(CQ935:CR935&gt;=CQ935, 1))</f>
        <v>2</v>
      </c>
      <c r="CU935" s="58">
        <f t="array" ref="CU935">SUM(IF(CQ935:CR935&gt;=CR935, 1))</f>
        <v>1</v>
      </c>
      <c r="CW935" s="109">
        <f t="shared" si="357"/>
        <v>-37982246.637949757</v>
      </c>
      <c r="CX935" s="109">
        <f t="shared" si="358"/>
        <v>0</v>
      </c>
      <c r="CZ935" s="58">
        <f t="array" ref="CZ935">SUM(IF(CW935:CX935&gt;=CW935, 1))</f>
        <v>2</v>
      </c>
      <c r="DA935" s="58">
        <f t="array" ref="DA935">SUM(IF(CW935:CX935&gt;=CX935, 1))</f>
        <v>1</v>
      </c>
      <c r="DC935" s="109">
        <f t="shared" si="359"/>
        <v>-2005457.8223079189</v>
      </c>
      <c r="DD935" s="109">
        <f t="shared" si="360"/>
        <v>0</v>
      </c>
      <c r="DF935" s="58">
        <f t="array" ref="DF935">SUM(IF(DC935:DD935&gt;=DC935, 1))</f>
        <v>2</v>
      </c>
      <c r="DG935" s="58">
        <f t="array" ref="DG935">SUM(IF(DC935:DD935&gt;=DD935, 1))</f>
        <v>1</v>
      </c>
      <c r="DI935" s="109">
        <f t="shared" si="361"/>
        <v>-93449135.559982568</v>
      </c>
      <c r="DJ935" s="109">
        <f t="shared" si="362"/>
        <v>0</v>
      </c>
      <c r="DL935" s="58">
        <f t="array" ref="DL935">SUM(IF(DI935:DJ935&gt;=DI935, 1))</f>
        <v>2</v>
      </c>
      <c r="DM935" s="58">
        <f t="array" ref="DM935">SUM(IF(DI935:DJ935&gt;=DJ935, 1))</f>
        <v>1</v>
      </c>
      <c r="DO935" s="109">
        <f t="shared" si="363"/>
        <v>-9918037.5699544959</v>
      </c>
      <c r="DP935" s="109">
        <f t="shared" si="364"/>
        <v>0</v>
      </c>
      <c r="DR935" s="58">
        <f t="array" ref="DR935">SUM(IF(DO935:DP935&gt;=DO935, 1))</f>
        <v>2</v>
      </c>
      <c r="DS935" s="58">
        <f t="array" ref="DS935">SUM(IF(DO935:DP935&gt;=DP935, 1))</f>
        <v>1</v>
      </c>
      <c r="DU935" s="109">
        <f t="shared" si="365"/>
        <v>-40573721.052285694</v>
      </c>
      <c r="DV935" s="109">
        <f t="shared" si="366"/>
        <v>0</v>
      </c>
      <c r="DX935" s="58">
        <f t="array" ref="DX935">SUM(IF(DU935:DV935&gt;=DU935, 1))</f>
        <v>2</v>
      </c>
      <c r="DY935" s="58">
        <f t="array" ref="DY935">SUM(IF(DU935:DV935&gt;=DV935, 1))</f>
        <v>1</v>
      </c>
      <c r="EA935" s="109">
        <f t="shared" si="367"/>
        <v>-183928598.64248043</v>
      </c>
      <c r="EB935" s="109">
        <f t="shared" si="368"/>
        <v>0</v>
      </c>
      <c r="ED935" s="58">
        <f t="array" ref="ED935">SUM(IF(EA935:EB935&gt;=EA935, 1))</f>
        <v>2</v>
      </c>
      <c r="EE935" s="58">
        <f t="array" ref="EE935">SUM(IF(EA935:EB935&gt;=EB935, 1))</f>
        <v>1</v>
      </c>
    </row>
    <row r="936" spans="4:135" ht="12" customHeight="1" x14ac:dyDescent="0.25">
      <c r="D936" s="11">
        <v>920</v>
      </c>
      <c r="E936" s="72">
        <v>269.59565519452462</v>
      </c>
      <c r="F936" s="72">
        <v>224.25898941233584</v>
      </c>
      <c r="G936" s="73"/>
      <c r="H936" s="74">
        <v>5.81510677237587</v>
      </c>
      <c r="I936" s="74">
        <v>5.8372807072445996</v>
      </c>
      <c r="J936" s="73"/>
      <c r="K936" s="72">
        <v>288.20574700672228</v>
      </c>
      <c r="L936" s="72">
        <v>241.77406925235346</v>
      </c>
      <c r="M936" s="73"/>
      <c r="N936" s="74">
        <v>6.7547817802172796</v>
      </c>
      <c r="O936" s="74">
        <v>6.7745283558946001</v>
      </c>
      <c r="P936" s="73"/>
      <c r="Q936" s="72">
        <v>1337.7285224718785</v>
      </c>
      <c r="R936" s="72">
        <v>1261.615747466946</v>
      </c>
      <c r="S936" s="73"/>
      <c r="T936" s="74">
        <v>4.6570901929838318</v>
      </c>
      <c r="U936" s="74">
        <v>4.6980328905035922</v>
      </c>
      <c r="V936" s="73"/>
      <c r="W936" s="72">
        <v>16175.833132311807</v>
      </c>
      <c r="X936" s="72">
        <v>16193.316810970489</v>
      </c>
      <c r="Y936" s="73"/>
      <c r="Z936" s="74">
        <v>2.9762539701369159</v>
      </c>
      <c r="AA936" s="74">
        <v>3.0234336748392097</v>
      </c>
      <c r="AB936" s="73"/>
      <c r="AC936" s="72">
        <v>52995.669028757664</v>
      </c>
      <c r="AD936" s="72">
        <v>52122.775935111997</v>
      </c>
      <c r="AE936" s="73"/>
      <c r="AF936" s="74">
        <v>3.9582499537826052</v>
      </c>
      <c r="AG936" s="74">
        <v>4.0596969385394743</v>
      </c>
      <c r="AH936" s="73"/>
      <c r="AI936" s="72">
        <v>4887187.7005661074</v>
      </c>
      <c r="AJ936" s="72">
        <v>0</v>
      </c>
      <c r="AK936" s="73"/>
      <c r="AL936" s="74">
        <v>-2390.2988870915838</v>
      </c>
      <c r="AM936" s="74">
        <v>0</v>
      </c>
      <c r="AN936" s="73"/>
      <c r="AO936" s="72">
        <v>314783.44285104226</v>
      </c>
      <c r="AP936" s="72">
        <v>0</v>
      </c>
      <c r="AQ936" s="73"/>
      <c r="AR936" s="74">
        <v>-133.87186026550037</v>
      </c>
      <c r="AS936" s="74">
        <v>0</v>
      </c>
      <c r="AT936" s="73"/>
      <c r="AU936" s="72">
        <v>1744249.9730180281</v>
      </c>
      <c r="AV936" s="72">
        <v>0</v>
      </c>
      <c r="AW936" s="73"/>
      <c r="AX936" s="74">
        <v>-938.26954856789052</v>
      </c>
      <c r="AY936" s="74">
        <v>0</v>
      </c>
      <c r="AZ936" s="73"/>
      <c r="BA936" s="72">
        <v>-159657.64355558919</v>
      </c>
      <c r="BB936" s="72">
        <v>0</v>
      </c>
      <c r="BC936" s="73"/>
      <c r="BD936" s="74">
        <v>-430.83613142685101</v>
      </c>
      <c r="BE936" s="74">
        <v>0</v>
      </c>
      <c r="BF936" s="73"/>
      <c r="BG936" s="72">
        <v>13395639.489373473</v>
      </c>
      <c r="BH936" s="72">
        <v>0</v>
      </c>
      <c r="BI936" s="73"/>
      <c r="BJ936" s="74">
        <v>-1556.8312373870388</v>
      </c>
      <c r="BK936" s="74">
        <v>0</v>
      </c>
      <c r="BL936" s="73"/>
      <c r="BM936" s="72">
        <v>20182202.962253064</v>
      </c>
      <c r="BN936" s="72">
        <v>0</v>
      </c>
      <c r="BO936" s="73"/>
      <c r="BP936" s="74">
        <v>-5450.1076647388645</v>
      </c>
      <c r="BQ936" s="74">
        <v>0</v>
      </c>
      <c r="BS936" s="109">
        <f t="shared" si="348"/>
        <v>116032.53979232287</v>
      </c>
      <c r="BT936" s="109">
        <f t="shared" si="349"/>
        <v>116521.35515547966</v>
      </c>
      <c r="BV936" s="58">
        <f t="array" ref="BV936">SUM(IF(BS936:BT936&gt;=BS936, 1))</f>
        <v>2</v>
      </c>
      <c r="BW936" s="58">
        <f t="array" ref="BW936">SUM(IF(BS936:BT936&gt;=BT936, 1))</f>
        <v>1</v>
      </c>
      <c r="BY936" s="109">
        <f t="shared" si="350"/>
        <v>134807.42985733887</v>
      </c>
      <c r="BZ936" s="109">
        <f t="shared" si="351"/>
        <v>135248.79304863964</v>
      </c>
      <c r="CB936" s="58">
        <f t="array" ref="CB936">SUM(IF(BY936:BZ936&gt;=BY936, 1))</f>
        <v>2</v>
      </c>
      <c r="CC936" s="58">
        <f t="array" ref="CC936">SUM(IF(BY936:BZ936&gt;=BZ936, 1))</f>
        <v>1</v>
      </c>
      <c r="CE936" s="109">
        <f t="shared" si="352"/>
        <v>91804.075337204762</v>
      </c>
      <c r="CF936" s="109">
        <f t="shared" si="353"/>
        <v>92699.042062604902</v>
      </c>
      <c r="CH936" s="58">
        <f t="array" ref="CH936">SUM(IF(CE936:CF936&gt;=CE936, 1))</f>
        <v>2</v>
      </c>
      <c r="CI936" s="58">
        <f t="array" ref="CI936">SUM(IF(CE936:CF936&gt;=CF936, 1))</f>
        <v>1</v>
      </c>
      <c r="CK936" s="109">
        <f t="shared" si="354"/>
        <v>43349.246270426505</v>
      </c>
      <c r="CL936" s="109">
        <f t="shared" si="355"/>
        <v>44275.356685813706</v>
      </c>
      <c r="CN936" s="58">
        <f t="array" ref="CN936">SUM(IF(CK936:CL936&gt;=CK936, 1))</f>
        <v>2</v>
      </c>
      <c r="CO936" s="58">
        <f t="array" ref="CO936">SUM(IF(CK936:CL936&gt;=CL936, 1))</f>
        <v>1</v>
      </c>
      <c r="CQ936" s="109" cm="1">
        <f t="array" ref="CQ936">AF936*WTP-AC936</f>
        <v>26169.330046894436</v>
      </c>
      <c r="CR936" s="109">
        <f t="shared" si="356"/>
        <v>29071.162835677496</v>
      </c>
      <c r="CT936" s="58">
        <f t="array" ref="CT936">SUM(IF(CQ936:CR936&gt;=CQ936, 1))</f>
        <v>2</v>
      </c>
      <c r="CU936" s="58">
        <f t="array" ref="CU936">SUM(IF(CQ936:CR936&gt;=CR936, 1))</f>
        <v>1</v>
      </c>
      <c r="CW936" s="109">
        <f t="shared" si="357"/>
        <v>-52693165.442397781</v>
      </c>
      <c r="CX936" s="109">
        <f t="shared" si="358"/>
        <v>0</v>
      </c>
      <c r="CZ936" s="58">
        <f t="array" ref="CZ936">SUM(IF(CW936:CX936&gt;=CW936, 1))</f>
        <v>2</v>
      </c>
      <c r="DA936" s="58">
        <f t="array" ref="DA936">SUM(IF(CW936:CX936&gt;=CX936, 1))</f>
        <v>1</v>
      </c>
      <c r="DC936" s="109">
        <f t="shared" si="359"/>
        <v>-2992220.6481610499</v>
      </c>
      <c r="DD936" s="109">
        <f t="shared" si="360"/>
        <v>0</v>
      </c>
      <c r="DF936" s="58">
        <f t="array" ref="DF936">SUM(IF(DC936:DD936&gt;=DC936, 1))</f>
        <v>2</v>
      </c>
      <c r="DG936" s="58">
        <f t="array" ref="DG936">SUM(IF(DC936:DD936&gt;=DD936, 1))</f>
        <v>1</v>
      </c>
      <c r="DI936" s="109">
        <f t="shared" si="361"/>
        <v>-20509640.944375839</v>
      </c>
      <c r="DJ936" s="109">
        <f t="shared" si="362"/>
        <v>0</v>
      </c>
      <c r="DL936" s="58">
        <f t="array" ref="DL936">SUM(IF(DI936:DJ936&gt;=DI936, 1))</f>
        <v>2</v>
      </c>
      <c r="DM936" s="58">
        <f t="array" ref="DM936">SUM(IF(DI936:DJ936&gt;=DJ936, 1))</f>
        <v>1</v>
      </c>
      <c r="DO936" s="109">
        <f t="shared" si="363"/>
        <v>-8457064.9849814307</v>
      </c>
      <c r="DP936" s="109">
        <f t="shared" si="364"/>
        <v>0</v>
      </c>
      <c r="DR936" s="58">
        <f t="array" ref="DR936">SUM(IF(DO936:DP936&gt;=DO936, 1))</f>
        <v>2</v>
      </c>
      <c r="DS936" s="58">
        <f t="array" ref="DS936">SUM(IF(DO936:DP936&gt;=DP936, 1))</f>
        <v>1</v>
      </c>
      <c r="DU936" s="109">
        <f t="shared" si="365"/>
        <v>-44532264.237114251</v>
      </c>
      <c r="DV936" s="109">
        <f t="shared" si="366"/>
        <v>0</v>
      </c>
      <c r="DX936" s="58">
        <f t="array" ref="DX936">SUM(IF(DU936:DV936&gt;=DU936, 1))</f>
        <v>2</v>
      </c>
      <c r="DY936" s="58">
        <f t="array" ref="DY936">SUM(IF(DU936:DV936&gt;=DV936, 1))</f>
        <v>1</v>
      </c>
      <c r="EA936" s="109">
        <f t="shared" si="367"/>
        <v>-129184356.25703035</v>
      </c>
      <c r="EB936" s="109">
        <f t="shared" si="368"/>
        <v>0</v>
      </c>
      <c r="ED936" s="58">
        <f t="array" ref="ED936">SUM(IF(EA936:EB936&gt;=EA936, 1))</f>
        <v>2</v>
      </c>
      <c r="EE936" s="58">
        <f t="array" ref="EE936">SUM(IF(EA936:EB936&gt;=EB936, 1))</f>
        <v>1</v>
      </c>
    </row>
    <row r="937" spans="4:135" ht="12" customHeight="1" x14ac:dyDescent="0.25">
      <c r="D937" s="11">
        <v>921</v>
      </c>
      <c r="E937" s="72">
        <v>297.75265448037015</v>
      </c>
      <c r="F937" s="72">
        <v>288.19955560238247</v>
      </c>
      <c r="G937" s="73"/>
      <c r="H937" s="74">
        <v>5.8261295420048169</v>
      </c>
      <c r="I937" s="74">
        <v>5.8407858837187687</v>
      </c>
      <c r="J937" s="73"/>
      <c r="K937" s="72">
        <v>320.68032561826328</v>
      </c>
      <c r="L937" s="72">
        <v>310.85128462773253</v>
      </c>
      <c r="M937" s="73"/>
      <c r="N937" s="74">
        <v>6.6437794072441756</v>
      </c>
      <c r="O937" s="74">
        <v>6.6559979249502739</v>
      </c>
      <c r="P937" s="73"/>
      <c r="Q937" s="72">
        <v>2513.4840935062748</v>
      </c>
      <c r="R937" s="72">
        <v>1339.0288020745372</v>
      </c>
      <c r="S937" s="73"/>
      <c r="T937" s="74">
        <v>4.8267363334119739</v>
      </c>
      <c r="U937" s="74">
        <v>4.9719612175248029</v>
      </c>
      <c r="V937" s="73"/>
      <c r="W937" s="72">
        <v>11386.742211645787</v>
      </c>
      <c r="X937" s="72">
        <v>11373.927920631008</v>
      </c>
      <c r="Y937" s="73"/>
      <c r="Z937" s="74">
        <v>3.0096058956536171</v>
      </c>
      <c r="AA937" s="74">
        <v>3.0548930060599404</v>
      </c>
      <c r="AB937" s="73"/>
      <c r="AC937" s="72">
        <v>49037.290470993881</v>
      </c>
      <c r="AD937" s="72">
        <v>48945.74949479683</v>
      </c>
      <c r="AE937" s="73"/>
      <c r="AF937" s="74">
        <v>4.8955931000014941</v>
      </c>
      <c r="AG937" s="74">
        <v>4.9509569928928192</v>
      </c>
      <c r="AH937" s="73"/>
      <c r="AI937" s="72">
        <v>1035826.6184578751</v>
      </c>
      <c r="AJ937" s="72">
        <v>0</v>
      </c>
      <c r="AK937" s="73"/>
      <c r="AL937" s="74">
        <v>-1589.1627492212976</v>
      </c>
      <c r="AM937" s="74">
        <v>0</v>
      </c>
      <c r="AN937" s="73"/>
      <c r="AO937" s="72">
        <v>68814.625426358907</v>
      </c>
      <c r="AP937" s="72">
        <v>0</v>
      </c>
      <c r="AQ937" s="73"/>
      <c r="AR937" s="74">
        <v>-85.54371886540315</v>
      </c>
      <c r="AS937" s="74">
        <v>0</v>
      </c>
      <c r="AT937" s="73"/>
      <c r="AU937" s="72">
        <v>26663532.989303898</v>
      </c>
      <c r="AV937" s="72">
        <v>0</v>
      </c>
      <c r="AW937" s="73"/>
      <c r="AX937" s="74">
        <v>-3297.0250265463715</v>
      </c>
      <c r="AY937" s="74">
        <v>0</v>
      </c>
      <c r="AZ937" s="73"/>
      <c r="BA937" s="72">
        <v>113013.68623658684</v>
      </c>
      <c r="BB937" s="72">
        <v>0</v>
      </c>
      <c r="BC937" s="73"/>
      <c r="BD937" s="74">
        <v>-399.40276681080201</v>
      </c>
      <c r="BE937" s="74">
        <v>0</v>
      </c>
      <c r="BF937" s="73"/>
      <c r="BG937" s="72">
        <v>1420005.0073940731</v>
      </c>
      <c r="BH937" s="72">
        <v>0</v>
      </c>
      <c r="BI937" s="73"/>
      <c r="BJ937" s="74">
        <v>-858.81763993077448</v>
      </c>
      <c r="BK937" s="74">
        <v>0</v>
      </c>
      <c r="BL937" s="73"/>
      <c r="BM937" s="72">
        <v>29301192.926818792</v>
      </c>
      <c r="BN937" s="72">
        <v>0</v>
      </c>
      <c r="BO937" s="73"/>
      <c r="BP937" s="74">
        <v>-6229.9519013746485</v>
      </c>
      <c r="BQ937" s="74">
        <v>0</v>
      </c>
      <c r="BS937" s="109">
        <f t="shared" si="348"/>
        <v>116224.83818561597</v>
      </c>
      <c r="BT937" s="109">
        <f t="shared" si="349"/>
        <v>116527.518118773</v>
      </c>
      <c r="BV937" s="58">
        <f t="array" ref="BV937">SUM(IF(BS937:BT937&gt;=BS937, 1))</f>
        <v>2</v>
      </c>
      <c r="BW937" s="58">
        <f t="array" ref="BW937">SUM(IF(BS937:BT937&gt;=BT937, 1))</f>
        <v>1</v>
      </c>
      <c r="BY937" s="109">
        <f t="shared" si="350"/>
        <v>132554.90781926524</v>
      </c>
      <c r="BZ937" s="109">
        <f t="shared" si="351"/>
        <v>132809.10721437773</v>
      </c>
      <c r="CB937" s="58">
        <f t="array" ref="CB937">SUM(IF(BY937:BZ937&gt;=BY937, 1))</f>
        <v>2</v>
      </c>
      <c r="CC937" s="58">
        <f t="array" ref="CC937">SUM(IF(BY937:BZ937&gt;=BZ937, 1))</f>
        <v>1</v>
      </c>
      <c r="CE937" s="109">
        <f t="shared" si="352"/>
        <v>94021.242574733216</v>
      </c>
      <c r="CF937" s="109">
        <f t="shared" si="353"/>
        <v>98100.195548421529</v>
      </c>
      <c r="CH937" s="58">
        <f t="array" ref="CH937">SUM(IF(CE937:CF937&gt;=CE937, 1))</f>
        <v>2</v>
      </c>
      <c r="CI937" s="58">
        <f t="array" ref="CI937">SUM(IF(CE937:CF937&gt;=CF937, 1))</f>
        <v>1</v>
      </c>
      <c r="CK937" s="109">
        <f t="shared" si="354"/>
        <v>48805.37570142655</v>
      </c>
      <c r="CL937" s="109">
        <f t="shared" si="355"/>
        <v>49723.932200567797</v>
      </c>
      <c r="CN937" s="58">
        <f t="array" ref="CN937">SUM(IF(CK937:CL937&gt;=CK937, 1))</f>
        <v>2</v>
      </c>
      <c r="CO937" s="58">
        <f t="array" ref="CO937">SUM(IF(CK937:CL937&gt;=CL937, 1))</f>
        <v>1</v>
      </c>
      <c r="CQ937" s="109" cm="1">
        <f t="array" ref="CQ937">AF937*WTP-AC937</f>
        <v>48874.571529036002</v>
      </c>
      <c r="CR937" s="109">
        <f t="shared" si="356"/>
        <v>50073.390363059552</v>
      </c>
      <c r="CT937" s="58">
        <f t="array" ref="CT937">SUM(IF(CQ937:CR937&gt;=CQ937, 1))</f>
        <v>2</v>
      </c>
      <c r="CU937" s="58">
        <f t="array" ref="CU937">SUM(IF(CQ937:CR937&gt;=CR937, 1))</f>
        <v>1</v>
      </c>
      <c r="CW937" s="109">
        <f t="shared" si="357"/>
        <v>-32819081.602883831</v>
      </c>
      <c r="CX937" s="109">
        <f t="shared" si="358"/>
        <v>0</v>
      </c>
      <c r="CZ937" s="58">
        <f t="array" ref="CZ937">SUM(IF(CW937:CX937&gt;=CW937, 1))</f>
        <v>2</v>
      </c>
      <c r="DA937" s="58">
        <f t="array" ref="DA937">SUM(IF(CW937:CX937&gt;=CX937, 1))</f>
        <v>1</v>
      </c>
      <c r="DC937" s="109">
        <f t="shared" si="359"/>
        <v>-1779689.002734422</v>
      </c>
      <c r="DD937" s="109">
        <f t="shared" si="360"/>
        <v>0</v>
      </c>
      <c r="DF937" s="58">
        <f t="array" ref="DF937">SUM(IF(DC937:DD937&gt;=DC937, 1))</f>
        <v>2</v>
      </c>
      <c r="DG937" s="58">
        <f t="array" ref="DG937">SUM(IF(DC937:DD937&gt;=DD937, 1))</f>
        <v>1</v>
      </c>
      <c r="DI937" s="109">
        <f t="shared" si="361"/>
        <v>-92604033.520231321</v>
      </c>
      <c r="DJ937" s="109">
        <f t="shared" si="362"/>
        <v>0</v>
      </c>
      <c r="DL937" s="58">
        <f t="array" ref="DL937">SUM(IF(DI937:DJ937&gt;=DI937, 1))</f>
        <v>2</v>
      </c>
      <c r="DM937" s="58">
        <f t="array" ref="DM937">SUM(IF(DI937:DJ937&gt;=DJ937, 1))</f>
        <v>1</v>
      </c>
      <c r="DO937" s="109">
        <f t="shared" si="363"/>
        <v>-8101069.0224526264</v>
      </c>
      <c r="DP937" s="109">
        <f t="shared" si="364"/>
        <v>0</v>
      </c>
      <c r="DR937" s="58">
        <f t="array" ref="DR937">SUM(IF(DO937:DP937&gt;=DO937, 1))</f>
        <v>2</v>
      </c>
      <c r="DS937" s="58">
        <f t="array" ref="DS937">SUM(IF(DO937:DP937&gt;=DP937, 1))</f>
        <v>1</v>
      </c>
      <c r="DU937" s="109">
        <f t="shared" si="365"/>
        <v>-18596357.806009561</v>
      </c>
      <c r="DV937" s="109">
        <f t="shared" si="366"/>
        <v>0</v>
      </c>
      <c r="DX937" s="58">
        <f t="array" ref="DX937">SUM(IF(DU937:DV937&gt;=DU937, 1))</f>
        <v>2</v>
      </c>
      <c r="DY937" s="58">
        <f t="array" ref="DY937">SUM(IF(DU937:DV937&gt;=DV937, 1))</f>
        <v>1</v>
      </c>
      <c r="EA937" s="109">
        <f t="shared" si="367"/>
        <v>-153900230.95431176</v>
      </c>
      <c r="EB937" s="109">
        <f t="shared" si="368"/>
        <v>0</v>
      </c>
      <c r="ED937" s="58">
        <f t="array" ref="ED937">SUM(IF(EA937:EB937&gt;=EA937, 1))</f>
        <v>2</v>
      </c>
      <c r="EE937" s="58">
        <f t="array" ref="EE937">SUM(IF(EA937:EB937&gt;=EB937, 1))</f>
        <v>1</v>
      </c>
    </row>
    <row r="938" spans="4:135" ht="12" customHeight="1" x14ac:dyDescent="0.25">
      <c r="D938" s="11">
        <v>922</v>
      </c>
      <c r="E938" s="72">
        <v>301.13137976296986</v>
      </c>
      <c r="F938" s="72">
        <v>288.70452118045415</v>
      </c>
      <c r="G938" s="73"/>
      <c r="H938" s="74">
        <v>5.8110556231199242</v>
      </c>
      <c r="I938" s="74">
        <v>5.8247544687182407</v>
      </c>
      <c r="J938" s="73"/>
      <c r="K938" s="72">
        <v>324.08536325779022</v>
      </c>
      <c r="L938" s="72">
        <v>311.30336586657268</v>
      </c>
      <c r="M938" s="73"/>
      <c r="N938" s="74">
        <v>6.6314616123070182</v>
      </c>
      <c r="O938" s="74">
        <v>6.6427673249776742</v>
      </c>
      <c r="P938" s="73"/>
      <c r="Q938" s="72">
        <v>1965.606107976869</v>
      </c>
      <c r="R938" s="72">
        <v>1550.0956284565864</v>
      </c>
      <c r="S938" s="73"/>
      <c r="T938" s="74">
        <v>4.8831246489874571</v>
      </c>
      <c r="U938" s="74">
        <v>4.9203421974682868</v>
      </c>
      <c r="V938" s="73"/>
      <c r="W938" s="72">
        <v>12458.067100293112</v>
      </c>
      <c r="X938" s="72">
        <v>12465.937046807087</v>
      </c>
      <c r="Y938" s="73"/>
      <c r="Z938" s="74">
        <v>3.0673371095290958</v>
      </c>
      <c r="AA938" s="74">
        <v>3.1136965004401822</v>
      </c>
      <c r="AB938" s="73"/>
      <c r="AC938" s="72">
        <v>51302.242885519801</v>
      </c>
      <c r="AD938" s="72">
        <v>50661.778431995299</v>
      </c>
      <c r="AE938" s="73"/>
      <c r="AF938" s="74">
        <v>4.9573811544444961</v>
      </c>
      <c r="AG938" s="74">
        <v>5.1105198453476852</v>
      </c>
      <c r="AH938" s="73"/>
      <c r="AI938" s="72">
        <v>1317667.0554340358</v>
      </c>
      <c r="AJ938" s="72">
        <v>0</v>
      </c>
      <c r="AK938" s="73"/>
      <c r="AL938" s="74">
        <v>-1452.5406740989079</v>
      </c>
      <c r="AM938" s="74">
        <v>0</v>
      </c>
      <c r="AN938" s="73"/>
      <c r="AO938" s="72">
        <v>85337.809422230435</v>
      </c>
      <c r="AP938" s="72">
        <v>0</v>
      </c>
      <c r="AQ938" s="73"/>
      <c r="AR938" s="74">
        <v>-75.481532638540983</v>
      </c>
      <c r="AS938" s="74">
        <v>0</v>
      </c>
      <c r="AT938" s="73"/>
      <c r="AU938" s="72">
        <v>9273939.0648375787</v>
      </c>
      <c r="AV938" s="72">
        <v>0</v>
      </c>
      <c r="AW938" s="73"/>
      <c r="AX938" s="74">
        <v>-830.67285607896395</v>
      </c>
      <c r="AY938" s="74">
        <v>0</v>
      </c>
      <c r="AZ938" s="73"/>
      <c r="BA938" s="72">
        <v>-69889.244036851771</v>
      </c>
      <c r="BB938" s="72">
        <v>0</v>
      </c>
      <c r="BC938" s="73"/>
      <c r="BD938" s="74">
        <v>-411.69565498717759</v>
      </c>
      <c r="BE938" s="74">
        <v>0</v>
      </c>
      <c r="BF938" s="73"/>
      <c r="BG938" s="72">
        <v>10314856.384115119</v>
      </c>
      <c r="BH938" s="72">
        <v>0</v>
      </c>
      <c r="BI938" s="73"/>
      <c r="BJ938" s="74">
        <v>-2466.3407856988279</v>
      </c>
      <c r="BK938" s="74">
        <v>0</v>
      </c>
      <c r="BL938" s="73"/>
      <c r="BM938" s="72">
        <v>20921911.069772109</v>
      </c>
      <c r="BN938" s="72">
        <v>0</v>
      </c>
      <c r="BO938" s="73"/>
      <c r="BP938" s="74">
        <v>-5236.7315035024185</v>
      </c>
      <c r="BQ938" s="74">
        <v>0</v>
      </c>
      <c r="BS938" s="109">
        <f t="shared" si="348"/>
        <v>115919.98108263551</v>
      </c>
      <c r="BT938" s="109">
        <f t="shared" si="349"/>
        <v>116206.38485318437</v>
      </c>
      <c r="BV938" s="58">
        <f t="array" ref="BV938">SUM(IF(BS938:BT938&gt;=BS938, 1))</f>
        <v>2</v>
      </c>
      <c r="BW938" s="58">
        <f t="array" ref="BW938">SUM(IF(BS938:BT938&gt;=BT938, 1))</f>
        <v>1</v>
      </c>
      <c r="BY938" s="109">
        <f t="shared" si="350"/>
        <v>132305.14688288257</v>
      </c>
      <c r="BZ938" s="109">
        <f t="shared" si="351"/>
        <v>132544.04313368691</v>
      </c>
      <c r="CB938" s="58">
        <f t="array" ref="CB938">SUM(IF(BY938:BZ938&gt;=BY938, 1))</f>
        <v>2</v>
      </c>
      <c r="CC938" s="58">
        <f t="array" ref="CC938">SUM(IF(BY938:BZ938&gt;=BZ938, 1))</f>
        <v>1</v>
      </c>
      <c r="CE938" s="109">
        <f t="shared" si="352"/>
        <v>95696.88687177228</v>
      </c>
      <c r="CF938" s="109">
        <f t="shared" si="353"/>
        <v>96856.748320909144</v>
      </c>
      <c r="CH938" s="58">
        <f t="array" ref="CH938">SUM(IF(CE938:CF938&gt;=CE938, 1))</f>
        <v>2</v>
      </c>
      <c r="CI938" s="58">
        <f t="array" ref="CI938">SUM(IF(CE938:CF938&gt;=CF938, 1))</f>
        <v>1</v>
      </c>
      <c r="CK938" s="109">
        <f t="shared" si="354"/>
        <v>48888.675090288802</v>
      </c>
      <c r="CL938" s="109">
        <f t="shared" si="355"/>
        <v>49807.992961996562</v>
      </c>
      <c r="CN938" s="58">
        <f t="array" ref="CN938">SUM(IF(CK938:CL938&gt;=CK938, 1))</f>
        <v>2</v>
      </c>
      <c r="CO938" s="58">
        <f t="array" ref="CO938">SUM(IF(CK938:CL938&gt;=CL938, 1))</f>
        <v>1</v>
      </c>
      <c r="CQ938" s="109" cm="1">
        <f t="array" ref="CQ938">AF938*WTP-AC938</f>
        <v>47845.380203370114</v>
      </c>
      <c r="CR938" s="109">
        <f t="shared" si="356"/>
        <v>51548.618474958399</v>
      </c>
      <c r="CT938" s="58">
        <f t="array" ref="CT938">SUM(IF(CQ938:CR938&gt;=CQ938, 1))</f>
        <v>2</v>
      </c>
      <c r="CU938" s="58">
        <f t="array" ref="CU938">SUM(IF(CQ938:CR938&gt;=CR938, 1))</f>
        <v>1</v>
      </c>
      <c r="CW938" s="109">
        <f t="shared" si="357"/>
        <v>-30368480.537412193</v>
      </c>
      <c r="CX938" s="109">
        <f t="shared" si="358"/>
        <v>0</v>
      </c>
      <c r="CZ938" s="58">
        <f t="array" ref="CZ938">SUM(IF(CW938:CX938&gt;=CW938, 1))</f>
        <v>2</v>
      </c>
      <c r="DA938" s="58">
        <f t="array" ref="DA938">SUM(IF(CW938:CX938&gt;=CX938, 1))</f>
        <v>1</v>
      </c>
      <c r="DC938" s="109">
        <f t="shared" si="359"/>
        <v>-1594968.46219305</v>
      </c>
      <c r="DD938" s="109">
        <f t="shared" si="360"/>
        <v>0</v>
      </c>
      <c r="DF938" s="58">
        <f t="array" ref="DF938">SUM(IF(DC938:DD938&gt;=DC938, 1))</f>
        <v>2</v>
      </c>
      <c r="DG938" s="58">
        <f t="array" ref="DG938">SUM(IF(DC938:DD938&gt;=DD938, 1))</f>
        <v>1</v>
      </c>
      <c r="DI938" s="109">
        <f t="shared" si="361"/>
        <v>-25887396.186416857</v>
      </c>
      <c r="DJ938" s="109">
        <f t="shared" si="362"/>
        <v>0</v>
      </c>
      <c r="DL938" s="58">
        <f t="array" ref="DL938">SUM(IF(DI938:DJ938&gt;=DI938, 1))</f>
        <v>2</v>
      </c>
      <c r="DM938" s="58">
        <f t="array" ref="DM938">SUM(IF(DI938:DJ938&gt;=DJ938, 1))</f>
        <v>1</v>
      </c>
      <c r="DO938" s="109">
        <f t="shared" si="363"/>
        <v>-8164023.8557067001</v>
      </c>
      <c r="DP938" s="109">
        <f t="shared" si="364"/>
        <v>0</v>
      </c>
      <c r="DR938" s="58">
        <f t="array" ref="DR938">SUM(IF(DO938:DP938&gt;=DO938, 1))</f>
        <v>2</v>
      </c>
      <c r="DS938" s="58">
        <f t="array" ref="DS938">SUM(IF(DO938:DP938&gt;=DP938, 1))</f>
        <v>1</v>
      </c>
      <c r="DU938" s="109">
        <f t="shared" si="365"/>
        <v>-59641672.098091677</v>
      </c>
      <c r="DV938" s="109">
        <f t="shared" si="366"/>
        <v>0</v>
      </c>
      <c r="DX938" s="58">
        <f t="array" ref="DX938">SUM(IF(DU938:DV938&gt;=DU938, 1))</f>
        <v>2</v>
      </c>
      <c r="DY938" s="58">
        <f t="array" ref="DY938">SUM(IF(DU938:DV938&gt;=DV938, 1))</f>
        <v>1</v>
      </c>
      <c r="EA938" s="109">
        <f t="shared" si="367"/>
        <v>-125656541.13982049</v>
      </c>
      <c r="EB938" s="109">
        <f t="shared" si="368"/>
        <v>0</v>
      </c>
      <c r="ED938" s="58">
        <f t="array" ref="ED938">SUM(IF(EA938:EB938&gt;=EA938, 1))</f>
        <v>2</v>
      </c>
      <c r="EE938" s="58">
        <f t="array" ref="EE938">SUM(IF(EA938:EB938&gt;=EB938, 1))</f>
        <v>1</v>
      </c>
    </row>
    <row r="939" spans="4:135" ht="12" customHeight="1" x14ac:dyDescent="0.25">
      <c r="D939" s="11">
        <v>923</v>
      </c>
      <c r="E939" s="72">
        <v>262.13779342976545</v>
      </c>
      <c r="F939" s="72">
        <v>227.66549175354211</v>
      </c>
      <c r="G939" s="73"/>
      <c r="H939" s="74">
        <v>5.8664596459958807</v>
      </c>
      <c r="I939" s="74">
        <v>5.8839057344057109</v>
      </c>
      <c r="J939" s="73"/>
      <c r="K939" s="72">
        <v>280.71831747945834</v>
      </c>
      <c r="L939" s="72">
        <v>245.43890169966167</v>
      </c>
      <c r="M939" s="73"/>
      <c r="N939" s="74">
        <v>6.7001374749857856</v>
      </c>
      <c r="O939" s="74">
        <v>6.7153518741363412</v>
      </c>
      <c r="P939" s="73"/>
      <c r="Q939" s="72">
        <v>2789.6337596603789</v>
      </c>
      <c r="R939" s="72">
        <v>1473.2776732212999</v>
      </c>
      <c r="S939" s="73"/>
      <c r="T939" s="74">
        <v>4.7961322545766683</v>
      </c>
      <c r="U939" s="74">
        <v>4.8780711792672991</v>
      </c>
      <c r="V939" s="73"/>
      <c r="W939" s="72">
        <v>13440.457475942596</v>
      </c>
      <c r="X939" s="72">
        <v>13407.736008065054</v>
      </c>
      <c r="Y939" s="73"/>
      <c r="Z939" s="74">
        <v>2.9568085420739725</v>
      </c>
      <c r="AA939" s="74">
        <v>3.005715017351934</v>
      </c>
      <c r="AB939" s="73"/>
      <c r="AC939" s="72">
        <v>52899.645124711707</v>
      </c>
      <c r="AD939" s="72">
        <v>52094.389294773464</v>
      </c>
      <c r="AE939" s="73"/>
      <c r="AF939" s="74">
        <v>4.7782739165192698</v>
      </c>
      <c r="AG939" s="74">
        <v>4.9197790874191218</v>
      </c>
      <c r="AH939" s="73"/>
      <c r="AI939" s="72">
        <v>3685725.8733442626</v>
      </c>
      <c r="AJ939" s="72">
        <v>0</v>
      </c>
      <c r="AK939" s="73"/>
      <c r="AL939" s="74">
        <v>-1865.3091413711268</v>
      </c>
      <c r="AM939" s="74">
        <v>0</v>
      </c>
      <c r="AN939" s="73"/>
      <c r="AO939" s="72">
        <v>241406.62224044913</v>
      </c>
      <c r="AP939" s="72">
        <v>0</v>
      </c>
      <c r="AQ939" s="73"/>
      <c r="AR939" s="74">
        <v>-104.10763974319828</v>
      </c>
      <c r="AS939" s="74">
        <v>0</v>
      </c>
      <c r="AT939" s="73"/>
      <c r="AU939" s="72">
        <v>30496454.443801638</v>
      </c>
      <c r="AV939" s="72">
        <v>0</v>
      </c>
      <c r="AW939" s="73"/>
      <c r="AX939" s="74">
        <v>-1898.3060204945252</v>
      </c>
      <c r="AY939" s="74">
        <v>0</v>
      </c>
      <c r="AZ939" s="73"/>
      <c r="BA939" s="72">
        <v>311665.85428166098</v>
      </c>
      <c r="BB939" s="72">
        <v>0</v>
      </c>
      <c r="BC939" s="73"/>
      <c r="BD939" s="74">
        <v>-465.82501905033558</v>
      </c>
      <c r="BE939" s="74">
        <v>0</v>
      </c>
      <c r="BF939" s="73"/>
      <c r="BG939" s="72">
        <v>12817071.483011043</v>
      </c>
      <c r="BH939" s="72">
        <v>0</v>
      </c>
      <c r="BI939" s="73"/>
      <c r="BJ939" s="74">
        <v>-2252.3051969436742</v>
      </c>
      <c r="BK939" s="74">
        <v>0</v>
      </c>
      <c r="BL939" s="73"/>
      <c r="BM939" s="72">
        <v>47552324.276679061</v>
      </c>
      <c r="BN939" s="72">
        <v>0</v>
      </c>
      <c r="BO939" s="73"/>
      <c r="BP939" s="74">
        <v>-6585.8530176028598</v>
      </c>
      <c r="BQ939" s="74">
        <v>0</v>
      </c>
      <c r="BS939" s="109">
        <f t="shared" si="348"/>
        <v>117067.05512648784</v>
      </c>
      <c r="BT939" s="109">
        <f t="shared" si="349"/>
        <v>117450.44919636067</v>
      </c>
      <c r="BV939" s="58">
        <f t="array" ref="BV939">SUM(IF(BS939:BT939&gt;=BS939, 1))</f>
        <v>2</v>
      </c>
      <c r="BW939" s="58">
        <f t="array" ref="BW939">SUM(IF(BS939:BT939&gt;=BT939, 1))</f>
        <v>1</v>
      </c>
      <c r="BY939" s="109">
        <f t="shared" si="350"/>
        <v>133722.03118223627</v>
      </c>
      <c r="BZ939" s="109">
        <f t="shared" si="351"/>
        <v>134061.59858102715</v>
      </c>
      <c r="CB939" s="58">
        <f t="array" ref="CB939">SUM(IF(BY939:BZ939&gt;=BY939, 1))</f>
        <v>2</v>
      </c>
      <c r="CC939" s="58">
        <f t="array" ref="CC939">SUM(IF(BY939:BZ939&gt;=BZ939, 1))</f>
        <v>1</v>
      </c>
      <c r="CE939" s="109">
        <f t="shared" si="352"/>
        <v>93133.011331872985</v>
      </c>
      <c r="CF939" s="109">
        <f t="shared" si="353"/>
        <v>96088.145912124688</v>
      </c>
      <c r="CH939" s="58">
        <f t="array" ref="CH939">SUM(IF(CE939:CF939&gt;=CE939, 1))</f>
        <v>2</v>
      </c>
      <c r="CI939" s="58">
        <f t="array" ref="CI939">SUM(IF(CE939:CF939&gt;=CF939, 1))</f>
        <v>1</v>
      </c>
      <c r="CK939" s="109">
        <f t="shared" si="354"/>
        <v>45695.713365536853</v>
      </c>
      <c r="CL939" s="109">
        <f t="shared" si="355"/>
        <v>46706.564338973629</v>
      </c>
      <c r="CN939" s="58">
        <f t="array" ref="CN939">SUM(IF(CK939:CL939&gt;=CK939, 1))</f>
        <v>2</v>
      </c>
      <c r="CO939" s="58">
        <f t="array" ref="CO939">SUM(IF(CK939:CL939&gt;=CL939, 1))</f>
        <v>1</v>
      </c>
      <c r="CQ939" s="109" cm="1">
        <f t="array" ref="CQ939">AF939*WTP-AC939</f>
        <v>42665.833205673684</v>
      </c>
      <c r="CR939" s="109">
        <f t="shared" si="356"/>
        <v>46301.192453608972</v>
      </c>
      <c r="CT939" s="58">
        <f t="array" ref="CT939">SUM(IF(CQ939:CR939&gt;=CQ939, 1))</f>
        <v>2</v>
      </c>
      <c r="CU939" s="58">
        <f t="array" ref="CU939">SUM(IF(CQ939:CR939&gt;=CR939, 1))</f>
        <v>1</v>
      </c>
      <c r="CW939" s="109">
        <f t="shared" si="357"/>
        <v>-40991908.700766802</v>
      </c>
      <c r="CX939" s="109">
        <f t="shared" si="358"/>
        <v>0</v>
      </c>
      <c r="CZ939" s="58">
        <f t="array" ref="CZ939">SUM(IF(CW939:CX939&gt;=CW939, 1))</f>
        <v>2</v>
      </c>
      <c r="DA939" s="58">
        <f t="array" ref="DA939">SUM(IF(CW939:CX939&gt;=CX939, 1))</f>
        <v>1</v>
      </c>
      <c r="DC939" s="109">
        <f t="shared" si="359"/>
        <v>-2323559.4171044147</v>
      </c>
      <c r="DD939" s="109">
        <f t="shared" si="360"/>
        <v>0</v>
      </c>
      <c r="DF939" s="58">
        <f t="array" ref="DF939">SUM(IF(DC939:DD939&gt;=DC939, 1))</f>
        <v>2</v>
      </c>
      <c r="DG939" s="58">
        <f t="array" ref="DG939">SUM(IF(DC939:DD939&gt;=DD939, 1))</f>
        <v>1</v>
      </c>
      <c r="DI939" s="109">
        <f t="shared" si="361"/>
        <v>-68462574.853692144</v>
      </c>
      <c r="DJ939" s="109">
        <f t="shared" si="362"/>
        <v>0</v>
      </c>
      <c r="DL939" s="58">
        <f t="array" ref="DL939">SUM(IF(DI939:DJ939&gt;=DI939, 1))</f>
        <v>2</v>
      </c>
      <c r="DM939" s="58">
        <f t="array" ref="DM939">SUM(IF(DI939:DJ939&gt;=DJ939, 1))</f>
        <v>1</v>
      </c>
      <c r="DO939" s="109">
        <f t="shared" si="363"/>
        <v>-9628166.2352883723</v>
      </c>
      <c r="DP939" s="109">
        <f t="shared" si="364"/>
        <v>0</v>
      </c>
      <c r="DR939" s="58">
        <f t="array" ref="DR939">SUM(IF(DO939:DP939&gt;=DO939, 1))</f>
        <v>2</v>
      </c>
      <c r="DS939" s="58">
        <f t="array" ref="DS939">SUM(IF(DO939:DP939&gt;=DP939, 1))</f>
        <v>1</v>
      </c>
      <c r="DU939" s="109">
        <f t="shared" si="365"/>
        <v>-57863175.421884529</v>
      </c>
      <c r="DV939" s="109">
        <f t="shared" si="366"/>
        <v>0</v>
      </c>
      <c r="DX939" s="58">
        <f t="array" ref="DX939">SUM(IF(DU939:DV939&gt;=DU939, 1))</f>
        <v>2</v>
      </c>
      <c r="DY939" s="58">
        <f t="array" ref="DY939">SUM(IF(DU939:DV939&gt;=DV939, 1))</f>
        <v>1</v>
      </c>
      <c r="EA939" s="109">
        <f t="shared" si="367"/>
        <v>-179269384.62873626</v>
      </c>
      <c r="EB939" s="109">
        <f t="shared" si="368"/>
        <v>0</v>
      </c>
      <c r="ED939" s="58">
        <f t="array" ref="ED939">SUM(IF(EA939:EB939&gt;=EA939, 1))</f>
        <v>2</v>
      </c>
      <c r="EE939" s="58">
        <f t="array" ref="EE939">SUM(IF(EA939:EB939&gt;=EB939, 1))</f>
        <v>1</v>
      </c>
    </row>
    <row r="940" spans="4:135" ht="12" customHeight="1" x14ac:dyDescent="0.25">
      <c r="D940" s="11">
        <v>924</v>
      </c>
      <c r="E940" s="72">
        <v>246.31261768561046</v>
      </c>
      <c r="F940" s="72">
        <v>213.31875957121659</v>
      </c>
      <c r="G940" s="73"/>
      <c r="H940" s="74">
        <v>5.838389833533749</v>
      </c>
      <c r="I940" s="74">
        <v>5.8532203497111679</v>
      </c>
      <c r="J940" s="73"/>
      <c r="K940" s="72">
        <v>263.68175358277637</v>
      </c>
      <c r="L940" s="72">
        <v>229.93509636326499</v>
      </c>
      <c r="M940" s="73"/>
      <c r="N940" s="74">
        <v>6.7201090437319291</v>
      </c>
      <c r="O940" s="74">
        <v>6.7326979772389732</v>
      </c>
      <c r="P940" s="73"/>
      <c r="Q940" s="72">
        <v>2564.8429674557078</v>
      </c>
      <c r="R940" s="72">
        <v>1414.1566087060323</v>
      </c>
      <c r="S940" s="73"/>
      <c r="T940" s="74">
        <v>4.8764662224736091</v>
      </c>
      <c r="U940" s="74">
        <v>4.9509474093375863</v>
      </c>
      <c r="V940" s="73"/>
      <c r="W940" s="72">
        <v>10436.616081317336</v>
      </c>
      <c r="X940" s="72">
        <v>10418.671895917683</v>
      </c>
      <c r="Y940" s="73"/>
      <c r="Z940" s="74">
        <v>3.0260098473156933</v>
      </c>
      <c r="AA940" s="74">
        <v>3.0685418945590279</v>
      </c>
      <c r="AB940" s="73"/>
      <c r="AC940" s="72">
        <v>50405.838620866794</v>
      </c>
      <c r="AD940" s="72">
        <v>49984.529065568706</v>
      </c>
      <c r="AE940" s="73"/>
      <c r="AF940" s="74">
        <v>4.6178828750610972</v>
      </c>
      <c r="AG940" s="74">
        <v>4.7141305232665385</v>
      </c>
      <c r="AH940" s="73"/>
      <c r="AI940" s="72">
        <v>3553259.2225157758</v>
      </c>
      <c r="AJ940" s="72">
        <v>0</v>
      </c>
      <c r="AK940" s="73"/>
      <c r="AL940" s="74">
        <v>-1597.1659997862998</v>
      </c>
      <c r="AM940" s="74">
        <v>0</v>
      </c>
      <c r="AN940" s="73"/>
      <c r="AO940" s="72">
        <v>225379.09235930475</v>
      </c>
      <c r="AP940" s="72">
        <v>0</v>
      </c>
      <c r="AQ940" s="73"/>
      <c r="AR940" s="74">
        <v>-84.075954223661981</v>
      </c>
      <c r="AS940" s="74">
        <v>0</v>
      </c>
      <c r="AT940" s="73"/>
      <c r="AU940" s="72">
        <v>26432000.144015715</v>
      </c>
      <c r="AV940" s="72">
        <v>0</v>
      </c>
      <c r="AW940" s="73"/>
      <c r="AX940" s="74">
        <v>-1710.8804036351507</v>
      </c>
      <c r="AY940" s="74">
        <v>0</v>
      </c>
      <c r="AZ940" s="73"/>
      <c r="BA940" s="72">
        <v>159613.00022021966</v>
      </c>
      <c r="BB940" s="72">
        <v>0</v>
      </c>
      <c r="BC940" s="73"/>
      <c r="BD940" s="74">
        <v>-378.32130658593792</v>
      </c>
      <c r="BE940" s="74">
        <v>0</v>
      </c>
      <c r="BF940" s="73"/>
      <c r="BG940" s="72">
        <v>6542042.4683771227</v>
      </c>
      <c r="BH940" s="72">
        <v>0</v>
      </c>
      <c r="BI940" s="73"/>
      <c r="BJ940" s="74">
        <v>-1494.5215320262994</v>
      </c>
      <c r="BK940" s="74">
        <v>0</v>
      </c>
      <c r="BL940" s="73"/>
      <c r="BM940" s="72">
        <v>36912293.927488141</v>
      </c>
      <c r="BN940" s="72">
        <v>0</v>
      </c>
      <c r="BO940" s="73"/>
      <c r="BP940" s="74">
        <v>-5264.9651962573498</v>
      </c>
      <c r="BQ940" s="74">
        <v>0</v>
      </c>
      <c r="BS940" s="109">
        <f t="shared" si="348"/>
        <v>116521.48405298936</v>
      </c>
      <c r="BT940" s="109">
        <f t="shared" si="349"/>
        <v>116851.08823465214</v>
      </c>
      <c r="BV940" s="58">
        <f t="array" ref="BV940">SUM(IF(BS940:BT940&gt;=BS940, 1))</f>
        <v>2</v>
      </c>
      <c r="BW940" s="58">
        <f t="array" ref="BW940">SUM(IF(BS940:BT940&gt;=BT940, 1))</f>
        <v>1</v>
      </c>
      <c r="BY940" s="109">
        <f t="shared" si="350"/>
        <v>134138.49912105579</v>
      </c>
      <c r="BZ940" s="109">
        <f t="shared" si="351"/>
        <v>134424.0244484162</v>
      </c>
      <c r="CB940" s="58">
        <f t="array" ref="CB940">SUM(IF(BY940:BZ940&gt;=BY940, 1))</f>
        <v>2</v>
      </c>
      <c r="CC940" s="58">
        <f t="array" ref="CC940">SUM(IF(BY940:BZ940&gt;=BZ940, 1))</f>
        <v>1</v>
      </c>
      <c r="CE940" s="109">
        <f t="shared" si="352"/>
        <v>94964.481482016476</v>
      </c>
      <c r="CF940" s="109">
        <f t="shared" si="353"/>
        <v>97604.791578045697</v>
      </c>
      <c r="CH940" s="58">
        <f t="array" ref="CH940">SUM(IF(CE940:CF940&gt;=CE940, 1))</f>
        <v>2</v>
      </c>
      <c r="CI940" s="58">
        <f t="array" ref="CI940">SUM(IF(CE940:CF940&gt;=CF940, 1))</f>
        <v>1</v>
      </c>
      <c r="CK940" s="109">
        <f t="shared" si="354"/>
        <v>50083.580864996533</v>
      </c>
      <c r="CL940" s="109">
        <f t="shared" si="355"/>
        <v>50952.165995262869</v>
      </c>
      <c r="CN940" s="58">
        <f t="array" ref="CN940">SUM(IF(CK940:CL940&gt;=CK940, 1))</f>
        <v>2</v>
      </c>
      <c r="CO940" s="58">
        <f t="array" ref="CO940">SUM(IF(CK940:CL940&gt;=CL940, 1))</f>
        <v>1</v>
      </c>
      <c r="CQ940" s="109" cm="1">
        <f t="array" ref="CQ940">AF940*WTP-AC940</f>
        <v>41951.818880355146</v>
      </c>
      <c r="CR940" s="109">
        <f t="shared" si="356"/>
        <v>44298.081399762064</v>
      </c>
      <c r="CT940" s="58">
        <f t="array" ref="CT940">SUM(IF(CQ940:CR940&gt;=CQ940, 1))</f>
        <v>2</v>
      </c>
      <c r="CU940" s="58">
        <f t="array" ref="CU940">SUM(IF(CQ940:CR940&gt;=CR940, 1))</f>
        <v>1</v>
      </c>
      <c r="CW940" s="109">
        <f t="shared" si="357"/>
        <v>-35496579.218241774</v>
      </c>
      <c r="CX940" s="109">
        <f t="shared" si="358"/>
        <v>0</v>
      </c>
      <c r="CZ940" s="58">
        <f t="array" ref="CZ940">SUM(IF(CW940:CX940&gt;=CW940, 1))</f>
        <v>2</v>
      </c>
      <c r="DA940" s="58">
        <f t="array" ref="DA940">SUM(IF(CW940:CX940&gt;=CX940, 1))</f>
        <v>1</v>
      </c>
      <c r="DC940" s="109">
        <f t="shared" si="359"/>
        <v>-1906898.1768325444</v>
      </c>
      <c r="DD940" s="109">
        <f t="shared" si="360"/>
        <v>0</v>
      </c>
      <c r="DF940" s="58">
        <f t="array" ref="DF940">SUM(IF(DC940:DD940&gt;=DC940, 1))</f>
        <v>2</v>
      </c>
      <c r="DG940" s="58">
        <f t="array" ref="DG940">SUM(IF(DC940:DD940&gt;=DD940, 1))</f>
        <v>1</v>
      </c>
      <c r="DI940" s="109">
        <f t="shared" si="361"/>
        <v>-60649608.216718726</v>
      </c>
      <c r="DJ940" s="109">
        <f t="shared" si="362"/>
        <v>0</v>
      </c>
      <c r="DL940" s="58">
        <f t="array" ref="DL940">SUM(IF(DI940:DJ940&gt;=DI940, 1))</f>
        <v>2</v>
      </c>
      <c r="DM940" s="58">
        <f t="array" ref="DM940">SUM(IF(DI940:DJ940&gt;=DJ940, 1))</f>
        <v>1</v>
      </c>
      <c r="DO940" s="109">
        <f t="shared" si="363"/>
        <v>-7726039.1319389781</v>
      </c>
      <c r="DP940" s="109">
        <f t="shared" si="364"/>
        <v>0</v>
      </c>
      <c r="DR940" s="58">
        <f t="array" ref="DR940">SUM(IF(DO940:DP940&gt;=DO940, 1))</f>
        <v>2</v>
      </c>
      <c r="DS940" s="58">
        <f t="array" ref="DS940">SUM(IF(DO940:DP940&gt;=DP940, 1))</f>
        <v>1</v>
      </c>
      <c r="DU940" s="109">
        <f t="shared" si="365"/>
        <v>-36432473.10890311</v>
      </c>
      <c r="DV940" s="109">
        <f t="shared" si="366"/>
        <v>0</v>
      </c>
      <c r="DX940" s="58">
        <f t="array" ref="DX940">SUM(IF(DU940:DV940&gt;=DU940, 1))</f>
        <v>2</v>
      </c>
      <c r="DY940" s="58">
        <f t="array" ref="DY940">SUM(IF(DU940:DV940&gt;=DV940, 1))</f>
        <v>1</v>
      </c>
      <c r="EA940" s="109">
        <f t="shared" si="367"/>
        <v>-142211597.85263515</v>
      </c>
      <c r="EB940" s="109">
        <f t="shared" si="368"/>
        <v>0</v>
      </c>
      <c r="ED940" s="58">
        <f t="array" ref="ED940">SUM(IF(EA940:EB940&gt;=EA940, 1))</f>
        <v>2</v>
      </c>
      <c r="EE940" s="58">
        <f t="array" ref="EE940">SUM(IF(EA940:EB940&gt;=EB940, 1))</f>
        <v>1</v>
      </c>
    </row>
    <row r="941" spans="4:135" ht="12" customHeight="1" x14ac:dyDescent="0.25">
      <c r="D941" s="11">
        <v>925</v>
      </c>
      <c r="E941" s="72">
        <v>227.80565291863036</v>
      </c>
      <c r="F941" s="72">
        <v>194.07728639286503</v>
      </c>
      <c r="G941" s="73"/>
      <c r="H941" s="74">
        <v>5.9009536643807214</v>
      </c>
      <c r="I941" s="74">
        <v>5.919568681092211</v>
      </c>
      <c r="J941" s="73"/>
      <c r="K941" s="72">
        <v>243.83464108980289</v>
      </c>
      <c r="L941" s="72">
        <v>209.27902625360275</v>
      </c>
      <c r="M941" s="73"/>
      <c r="N941" s="74">
        <v>6.6230012756270042</v>
      </c>
      <c r="O941" s="74">
        <v>6.6389056864965292</v>
      </c>
      <c r="P941" s="73"/>
      <c r="Q941" s="72">
        <v>1645.6480785868241</v>
      </c>
      <c r="R941" s="72">
        <v>1211.6565932253625</v>
      </c>
      <c r="S941" s="73"/>
      <c r="T941" s="74">
        <v>5.0439581389852091</v>
      </c>
      <c r="U941" s="74">
        <v>5.1046498232170956</v>
      </c>
      <c r="V941" s="73"/>
      <c r="W941" s="72">
        <v>13201.597309942994</v>
      </c>
      <c r="X941" s="72">
        <v>13152.134917327461</v>
      </c>
      <c r="Y941" s="73"/>
      <c r="Z941" s="74">
        <v>2.9900979870559854</v>
      </c>
      <c r="AA941" s="74">
        <v>3.021481211546122</v>
      </c>
      <c r="AB941" s="73"/>
      <c r="AC941" s="72">
        <v>50364.301846257033</v>
      </c>
      <c r="AD941" s="72">
        <v>50438.670536210855</v>
      </c>
      <c r="AE941" s="73"/>
      <c r="AF941" s="74">
        <v>4.1728073361355067</v>
      </c>
      <c r="AG941" s="74">
        <v>4.2211160217926658</v>
      </c>
      <c r="AH941" s="73"/>
      <c r="AI941" s="72">
        <v>3619277.3276442131</v>
      </c>
      <c r="AJ941" s="72">
        <v>0</v>
      </c>
      <c r="AK941" s="73"/>
      <c r="AL941" s="74">
        <v>-1997.5146998638591</v>
      </c>
      <c r="AM941" s="74">
        <v>0</v>
      </c>
      <c r="AN941" s="73"/>
      <c r="AO941" s="72">
        <v>249395.57646035621</v>
      </c>
      <c r="AP941" s="72">
        <v>0</v>
      </c>
      <c r="AQ941" s="73"/>
      <c r="AR941" s="74">
        <v>-114.78567913982774</v>
      </c>
      <c r="AS941" s="74">
        <v>0</v>
      </c>
      <c r="AT941" s="73"/>
      <c r="AU941" s="72">
        <v>9972735.1051819529</v>
      </c>
      <c r="AV941" s="72">
        <v>0</v>
      </c>
      <c r="AW941" s="73"/>
      <c r="AX941" s="74">
        <v>-1394.6404718697277</v>
      </c>
      <c r="AY941" s="74">
        <v>0</v>
      </c>
      <c r="AZ941" s="73"/>
      <c r="BA941" s="72">
        <v>445755.67681992997</v>
      </c>
      <c r="BB941" s="72">
        <v>0</v>
      </c>
      <c r="BC941" s="73"/>
      <c r="BD941" s="74">
        <v>-282.82599635100541</v>
      </c>
      <c r="BE941" s="74">
        <v>0</v>
      </c>
      <c r="BF941" s="73"/>
      <c r="BG941" s="72">
        <v>-1166755.6298115503</v>
      </c>
      <c r="BH941" s="72">
        <v>0</v>
      </c>
      <c r="BI941" s="73"/>
      <c r="BJ941" s="74">
        <v>-757.90538994683152</v>
      </c>
      <c r="BK941" s="74">
        <v>0</v>
      </c>
      <c r="BL941" s="73"/>
      <c r="BM941" s="72">
        <v>13120408.056294903</v>
      </c>
      <c r="BN941" s="72">
        <v>0</v>
      </c>
      <c r="BO941" s="73"/>
      <c r="BP941" s="74">
        <v>-4547.6722371712513</v>
      </c>
      <c r="BQ941" s="74">
        <v>0</v>
      </c>
      <c r="BS941" s="109">
        <f t="shared" si="348"/>
        <v>117791.2676346958</v>
      </c>
      <c r="BT941" s="109">
        <f t="shared" si="349"/>
        <v>118197.29633545136</v>
      </c>
      <c r="BV941" s="58">
        <f t="array" ref="BV941">SUM(IF(BS941:BT941&gt;=BS941, 1))</f>
        <v>2</v>
      </c>
      <c r="BW941" s="58">
        <f t="array" ref="BW941">SUM(IF(BS941:BT941&gt;=BT941, 1))</f>
        <v>1</v>
      </c>
      <c r="BY941" s="109">
        <f t="shared" si="350"/>
        <v>132216.19087145026</v>
      </c>
      <c r="BZ941" s="109">
        <f t="shared" si="351"/>
        <v>132568.83470367698</v>
      </c>
      <c r="CB941" s="58">
        <f t="array" ref="CB941">SUM(IF(BY941:BZ941&gt;=BY941, 1))</f>
        <v>2</v>
      </c>
      <c r="CC941" s="58">
        <f t="array" ref="CC941">SUM(IF(BY941:BZ941&gt;=BZ941, 1))</f>
        <v>1</v>
      </c>
      <c r="CE941" s="109">
        <f t="shared" si="352"/>
        <v>99233.514701117369</v>
      </c>
      <c r="CF941" s="109">
        <f t="shared" si="353"/>
        <v>100881.33987111655</v>
      </c>
      <c r="CH941" s="58">
        <f t="array" ref="CH941">SUM(IF(CE941:CF941&gt;=CE941, 1))</f>
        <v>2</v>
      </c>
      <c r="CI941" s="58">
        <f t="array" ref="CI941">SUM(IF(CE941:CF941&gt;=CF941, 1))</f>
        <v>1</v>
      </c>
      <c r="CK941" s="109">
        <f t="shared" si="354"/>
        <v>46600.36243117672</v>
      </c>
      <c r="CL941" s="109">
        <f t="shared" si="355"/>
        <v>47277.489313594982</v>
      </c>
      <c r="CN941" s="58">
        <f t="array" ref="CN941">SUM(IF(CK941:CL941&gt;=CK941, 1))</f>
        <v>2</v>
      </c>
      <c r="CO941" s="58">
        <f t="array" ref="CO941">SUM(IF(CK941:CL941&gt;=CL941, 1))</f>
        <v>1</v>
      </c>
      <c r="CQ941" s="109" cm="1">
        <f t="array" ref="CQ941">AF941*WTP-AC941</f>
        <v>33091.844876453106</v>
      </c>
      <c r="CR941" s="109">
        <f t="shared" si="356"/>
        <v>33983.649899642456</v>
      </c>
      <c r="CT941" s="58">
        <f t="array" ref="CT941">SUM(IF(CQ941:CR941&gt;=CQ941, 1))</f>
        <v>2</v>
      </c>
      <c r="CU941" s="58">
        <f t="array" ref="CU941">SUM(IF(CQ941:CR941&gt;=CR941, 1))</f>
        <v>1</v>
      </c>
      <c r="CW941" s="109">
        <f t="shared" si="357"/>
        <v>-43569571.324921392</v>
      </c>
      <c r="CX941" s="109">
        <f t="shared" si="358"/>
        <v>0</v>
      </c>
      <c r="CZ941" s="58">
        <f t="array" ref="CZ941">SUM(IF(CW941:CX941&gt;=CW941, 1))</f>
        <v>2</v>
      </c>
      <c r="DA941" s="58">
        <f t="array" ref="DA941">SUM(IF(CW941:CX941&gt;=CX941, 1))</f>
        <v>1</v>
      </c>
      <c r="DC941" s="109">
        <f t="shared" si="359"/>
        <v>-2545109.1592569109</v>
      </c>
      <c r="DD941" s="109">
        <f t="shared" si="360"/>
        <v>0</v>
      </c>
      <c r="DF941" s="58">
        <f t="array" ref="DF941">SUM(IF(DC941:DD941&gt;=DC941, 1))</f>
        <v>2</v>
      </c>
      <c r="DG941" s="58">
        <f t="array" ref="DG941">SUM(IF(DC941:DD941&gt;=DD941, 1))</f>
        <v>1</v>
      </c>
      <c r="DI941" s="109">
        <f t="shared" si="361"/>
        <v>-37865544.542576507</v>
      </c>
      <c r="DJ941" s="109">
        <f t="shared" si="362"/>
        <v>0</v>
      </c>
      <c r="DL941" s="58">
        <f t="array" ref="DL941">SUM(IF(DI941:DJ941&gt;=DI941, 1))</f>
        <v>2</v>
      </c>
      <c r="DM941" s="58">
        <f t="array" ref="DM941">SUM(IF(DI941:DJ941&gt;=DJ941, 1))</f>
        <v>1</v>
      </c>
      <c r="DO941" s="109">
        <f t="shared" si="363"/>
        <v>-6102275.6038400382</v>
      </c>
      <c r="DP941" s="109">
        <f t="shared" si="364"/>
        <v>0</v>
      </c>
      <c r="DR941" s="58">
        <f t="array" ref="DR941">SUM(IF(DO941:DP941&gt;=DO941, 1))</f>
        <v>2</v>
      </c>
      <c r="DS941" s="58">
        <f t="array" ref="DS941">SUM(IF(DO941:DP941&gt;=DP941, 1))</f>
        <v>1</v>
      </c>
      <c r="DU941" s="109">
        <f t="shared" si="365"/>
        <v>-13991352.16912508</v>
      </c>
      <c r="DV941" s="109">
        <f t="shared" si="366"/>
        <v>0</v>
      </c>
      <c r="DX941" s="58">
        <f t="array" ref="DX941">SUM(IF(DU941:DV941&gt;=DU941, 1))</f>
        <v>2</v>
      </c>
      <c r="DY941" s="58">
        <f t="array" ref="DY941">SUM(IF(DU941:DV941&gt;=DV941, 1))</f>
        <v>1</v>
      </c>
      <c r="EA941" s="109">
        <f t="shared" si="367"/>
        <v>-104073852.79971993</v>
      </c>
      <c r="EB941" s="109">
        <f t="shared" si="368"/>
        <v>0</v>
      </c>
      <c r="ED941" s="58">
        <f t="array" ref="ED941">SUM(IF(EA941:EB941&gt;=EA941, 1))</f>
        <v>2</v>
      </c>
      <c r="EE941" s="58">
        <f t="array" ref="EE941">SUM(IF(EA941:EB941&gt;=EB941, 1))</f>
        <v>1</v>
      </c>
    </row>
    <row r="942" spans="4:135" ht="12" customHeight="1" x14ac:dyDescent="0.25">
      <c r="D942" s="11">
        <v>926</v>
      </c>
      <c r="E942" s="72">
        <v>268.55162756713435</v>
      </c>
      <c r="F942" s="72">
        <v>247.75513161545939</v>
      </c>
      <c r="G942" s="73"/>
      <c r="H942" s="74">
        <v>5.8213859017320528</v>
      </c>
      <c r="I942" s="74">
        <v>5.8338942233875848</v>
      </c>
      <c r="J942" s="73"/>
      <c r="K942" s="72">
        <v>288.414752479931</v>
      </c>
      <c r="L942" s="72">
        <v>267.11276908651996</v>
      </c>
      <c r="M942" s="73"/>
      <c r="N942" s="74">
        <v>6.6799666553917563</v>
      </c>
      <c r="O942" s="74">
        <v>6.6905862508558611</v>
      </c>
      <c r="P942" s="73"/>
      <c r="Q942" s="72">
        <v>1709.6753942259411</v>
      </c>
      <c r="R942" s="72">
        <v>1106.1904458331569</v>
      </c>
      <c r="S942" s="73"/>
      <c r="T942" s="74">
        <v>4.9907887203267638</v>
      </c>
      <c r="U942" s="74">
        <v>5.0740598084561803</v>
      </c>
      <c r="V942" s="73"/>
      <c r="W942" s="72">
        <v>10373.400753857044</v>
      </c>
      <c r="X942" s="72">
        <v>10349.050734845205</v>
      </c>
      <c r="Y942" s="73"/>
      <c r="Z942" s="74">
        <v>3.0048552879707509</v>
      </c>
      <c r="AA942" s="74">
        <v>3.0551371861246515</v>
      </c>
      <c r="AB942" s="73"/>
      <c r="AC942" s="72">
        <v>49970.613307865933</v>
      </c>
      <c r="AD942" s="72">
        <v>49279.219458418069</v>
      </c>
      <c r="AE942" s="73"/>
      <c r="AF942" s="74">
        <v>4.5518535270346572</v>
      </c>
      <c r="AG942" s="74">
        <v>4.7417197508354816</v>
      </c>
      <c r="AH942" s="73"/>
      <c r="AI942" s="72">
        <v>2229408.1280048173</v>
      </c>
      <c r="AJ942" s="72">
        <v>0</v>
      </c>
      <c r="AK942" s="73"/>
      <c r="AL942" s="74">
        <v>-1340.9063734266083</v>
      </c>
      <c r="AM942" s="74">
        <v>0</v>
      </c>
      <c r="AN942" s="73"/>
      <c r="AO942" s="72">
        <v>146809.17678675681</v>
      </c>
      <c r="AP942" s="72">
        <v>0</v>
      </c>
      <c r="AQ942" s="73"/>
      <c r="AR942" s="74">
        <v>-73.188211590468313</v>
      </c>
      <c r="AS942" s="74">
        <v>0</v>
      </c>
      <c r="AT942" s="73"/>
      <c r="AU942" s="72">
        <v>14154009.68848224</v>
      </c>
      <c r="AV942" s="72">
        <v>0</v>
      </c>
      <c r="AW942" s="73"/>
      <c r="AX942" s="74">
        <v>-1953.0226748705977</v>
      </c>
      <c r="AY942" s="74">
        <v>0</v>
      </c>
      <c r="AZ942" s="73"/>
      <c r="BA942" s="72">
        <v>224953.28531267776</v>
      </c>
      <c r="BB942" s="72">
        <v>0</v>
      </c>
      <c r="BC942" s="73"/>
      <c r="BD942" s="74">
        <v>-464.52030185183025</v>
      </c>
      <c r="BE942" s="74">
        <v>0</v>
      </c>
      <c r="BF942" s="73"/>
      <c r="BG942" s="72">
        <v>11058213.070958482</v>
      </c>
      <c r="BH942" s="72">
        <v>0</v>
      </c>
      <c r="BI942" s="73"/>
      <c r="BJ942" s="74">
        <v>-3036.7368171477019</v>
      </c>
      <c r="BK942" s="74">
        <v>0</v>
      </c>
      <c r="BL942" s="73"/>
      <c r="BM942" s="72">
        <v>27813393.349544972</v>
      </c>
      <c r="BN942" s="72">
        <v>0</v>
      </c>
      <c r="BO942" s="73"/>
      <c r="BP942" s="74">
        <v>-6868.3743788872061</v>
      </c>
      <c r="BQ942" s="74">
        <v>0</v>
      </c>
      <c r="BS942" s="109">
        <f t="shared" si="348"/>
        <v>116159.16640707392</v>
      </c>
      <c r="BT942" s="109">
        <f t="shared" si="349"/>
        <v>116430.12933613623</v>
      </c>
      <c r="BV942" s="58">
        <f t="array" ref="BV942">SUM(IF(BS942:BT942&gt;=BS942, 1))</f>
        <v>2</v>
      </c>
      <c r="BW942" s="58">
        <f t="array" ref="BW942">SUM(IF(BS942:BT942&gt;=BT942, 1))</f>
        <v>1</v>
      </c>
      <c r="BY942" s="109">
        <f t="shared" si="350"/>
        <v>133310.91835535518</v>
      </c>
      <c r="BZ942" s="109">
        <f t="shared" si="351"/>
        <v>133544.61224803069</v>
      </c>
      <c r="CB942" s="58">
        <f t="array" ref="CB942">SUM(IF(BY942:BZ942&gt;=BY942, 1))</f>
        <v>2</v>
      </c>
      <c r="CC942" s="58">
        <f t="array" ref="CC942">SUM(IF(BY942:BZ942&gt;=BZ942, 1))</f>
        <v>1</v>
      </c>
      <c r="CE942" s="109">
        <f t="shared" si="352"/>
        <v>98106.099012309336</v>
      </c>
      <c r="CF942" s="109">
        <f t="shared" si="353"/>
        <v>100375.00572329045</v>
      </c>
      <c r="CH942" s="58">
        <f t="array" ref="CH942">SUM(IF(CE942:CF942&gt;=CE942, 1))</f>
        <v>2</v>
      </c>
      <c r="CI942" s="58">
        <f t="array" ref="CI942">SUM(IF(CE942:CF942&gt;=CF942, 1))</f>
        <v>1</v>
      </c>
      <c r="CK942" s="109">
        <f t="shared" si="354"/>
        <v>49723.705005557975</v>
      </c>
      <c r="CL942" s="109">
        <f t="shared" si="355"/>
        <v>50753.692987647824</v>
      </c>
      <c r="CN942" s="58">
        <f t="array" ref="CN942">SUM(IF(CK942:CL942&gt;=CK942, 1))</f>
        <v>2</v>
      </c>
      <c r="CO942" s="58">
        <f t="array" ref="CO942">SUM(IF(CK942:CL942&gt;=CL942, 1))</f>
        <v>1</v>
      </c>
      <c r="CQ942" s="109" cm="1">
        <f t="array" ref="CQ942">AF942*WTP-AC942</f>
        <v>41066.457232827204</v>
      </c>
      <c r="CR942" s="109">
        <f t="shared" si="356"/>
        <v>45555.175558291565</v>
      </c>
      <c r="CT942" s="58">
        <f t="array" ref="CT942">SUM(IF(CQ942:CR942&gt;=CQ942, 1))</f>
        <v>2</v>
      </c>
      <c r="CU942" s="58">
        <f t="array" ref="CU942">SUM(IF(CQ942:CR942&gt;=CR942, 1))</f>
        <v>1</v>
      </c>
      <c r="CW942" s="109">
        <f t="shared" si="357"/>
        <v>-29047535.596536987</v>
      </c>
      <c r="CX942" s="109">
        <f t="shared" si="358"/>
        <v>0</v>
      </c>
      <c r="CZ942" s="58">
        <f t="array" ref="CZ942">SUM(IF(CW942:CX942&gt;=CW942, 1))</f>
        <v>2</v>
      </c>
      <c r="DA942" s="58">
        <f t="array" ref="DA942">SUM(IF(CW942:CX942&gt;=CX942, 1))</f>
        <v>1</v>
      </c>
      <c r="DC942" s="109">
        <f t="shared" si="359"/>
        <v>-1610573.4085961231</v>
      </c>
      <c r="DD942" s="109">
        <f t="shared" si="360"/>
        <v>0</v>
      </c>
      <c r="DF942" s="58">
        <f t="array" ref="DF942">SUM(IF(DC942:DD942&gt;=DC942, 1))</f>
        <v>2</v>
      </c>
      <c r="DG942" s="58">
        <f t="array" ref="DG942">SUM(IF(DC942:DD942&gt;=DD942, 1))</f>
        <v>1</v>
      </c>
      <c r="DI942" s="109">
        <f t="shared" si="361"/>
        <v>-53214463.185894191</v>
      </c>
      <c r="DJ942" s="109">
        <f t="shared" si="362"/>
        <v>0</v>
      </c>
      <c r="DL942" s="58">
        <f t="array" ref="DL942">SUM(IF(DI942:DJ942&gt;=DI942, 1))</f>
        <v>2</v>
      </c>
      <c r="DM942" s="58">
        <f t="array" ref="DM942">SUM(IF(DI942:DJ942&gt;=DJ942, 1))</f>
        <v>1</v>
      </c>
      <c r="DO942" s="109">
        <f t="shared" si="363"/>
        <v>-9515359.3223492838</v>
      </c>
      <c r="DP942" s="109">
        <f t="shared" si="364"/>
        <v>0</v>
      </c>
      <c r="DR942" s="58">
        <f t="array" ref="DR942">SUM(IF(DO942:DP942&gt;=DO942, 1))</f>
        <v>2</v>
      </c>
      <c r="DS942" s="58">
        <f t="array" ref="DS942">SUM(IF(DO942:DP942&gt;=DP942, 1))</f>
        <v>1</v>
      </c>
      <c r="DU942" s="109">
        <f t="shared" si="365"/>
        <v>-71792949.41391252</v>
      </c>
      <c r="DV942" s="109">
        <f t="shared" si="366"/>
        <v>0</v>
      </c>
      <c r="DX942" s="58">
        <f t="array" ref="DX942">SUM(IF(DU942:DV942&gt;=DU942, 1))</f>
        <v>2</v>
      </c>
      <c r="DY942" s="58">
        <f t="array" ref="DY942">SUM(IF(DU942:DV942&gt;=DV942, 1))</f>
        <v>1</v>
      </c>
      <c r="EA942" s="109">
        <f t="shared" si="367"/>
        <v>-165180880.9272891</v>
      </c>
      <c r="EB942" s="109">
        <f t="shared" si="368"/>
        <v>0</v>
      </c>
      <c r="ED942" s="58">
        <f t="array" ref="ED942">SUM(IF(EA942:EB942&gt;=EA942, 1))</f>
        <v>2</v>
      </c>
      <c r="EE942" s="58">
        <f t="array" ref="EE942">SUM(IF(EA942:EB942&gt;=EB942, 1))</f>
        <v>1</v>
      </c>
    </row>
    <row r="943" spans="4:135" ht="12" customHeight="1" x14ac:dyDescent="0.25">
      <c r="D943" s="11">
        <v>927</v>
      </c>
      <c r="E943" s="72">
        <v>258.09958269499555</v>
      </c>
      <c r="F943" s="72">
        <v>233.35012206939325</v>
      </c>
      <c r="G943" s="73"/>
      <c r="H943" s="74">
        <v>5.803804458545204</v>
      </c>
      <c r="I943" s="74">
        <v>5.8192058566150813</v>
      </c>
      <c r="J943" s="73"/>
      <c r="K943" s="72">
        <v>276.98337031697741</v>
      </c>
      <c r="L943" s="72">
        <v>251.62101431658294</v>
      </c>
      <c r="M943" s="73"/>
      <c r="N943" s="74">
        <v>6.6599454251528822</v>
      </c>
      <c r="O943" s="74">
        <v>6.673104425475505</v>
      </c>
      <c r="P943" s="73"/>
      <c r="Q943" s="72">
        <v>2105.4863702106709</v>
      </c>
      <c r="R943" s="72">
        <v>1328.214008703208</v>
      </c>
      <c r="S943" s="73"/>
      <c r="T943" s="74">
        <v>4.6960226402248084</v>
      </c>
      <c r="U943" s="74">
        <v>4.7638240770347826</v>
      </c>
      <c r="V943" s="73"/>
      <c r="W943" s="72">
        <v>13522.500684726856</v>
      </c>
      <c r="X943" s="72">
        <v>13547.537460657886</v>
      </c>
      <c r="Y943" s="73"/>
      <c r="Z943" s="74">
        <v>2.9365349229528834</v>
      </c>
      <c r="AA943" s="74">
        <v>2.986652479186553</v>
      </c>
      <c r="AB943" s="73"/>
      <c r="AC943" s="72">
        <v>49307.910255891889</v>
      </c>
      <c r="AD943" s="72">
        <v>49319.230886977137</v>
      </c>
      <c r="AE943" s="73"/>
      <c r="AF943" s="74">
        <v>4.6903167416202649</v>
      </c>
      <c r="AG943" s="74">
        <v>4.7574533979814779</v>
      </c>
      <c r="AH943" s="73"/>
      <c r="AI943" s="72">
        <v>2663803.5699882247</v>
      </c>
      <c r="AJ943" s="72">
        <v>0</v>
      </c>
      <c r="AK943" s="73"/>
      <c r="AL943" s="74">
        <v>-1657.6643742655483</v>
      </c>
      <c r="AM943" s="74">
        <v>0</v>
      </c>
      <c r="AN943" s="73"/>
      <c r="AO943" s="72">
        <v>178008.23337010763</v>
      </c>
      <c r="AP943" s="72">
        <v>0</v>
      </c>
      <c r="AQ943" s="73"/>
      <c r="AR943" s="74">
        <v>-92.357760466350911</v>
      </c>
      <c r="AS943" s="74">
        <v>0</v>
      </c>
      <c r="AT943" s="73"/>
      <c r="AU943" s="72">
        <v>17730034.049314894</v>
      </c>
      <c r="AV943" s="72">
        <v>0</v>
      </c>
      <c r="AW943" s="73"/>
      <c r="AX943" s="74">
        <v>-1546.5901565081865</v>
      </c>
      <c r="AY943" s="74">
        <v>0</v>
      </c>
      <c r="AZ943" s="73"/>
      <c r="BA943" s="72">
        <v>-232525.59383832634</v>
      </c>
      <c r="BB943" s="72">
        <v>0</v>
      </c>
      <c r="BC943" s="73"/>
      <c r="BD943" s="74">
        <v>-465.45987219210627</v>
      </c>
      <c r="BE943" s="74">
        <v>0</v>
      </c>
      <c r="BF943" s="73"/>
      <c r="BG943" s="72">
        <v>-179377.63525162678</v>
      </c>
      <c r="BH943" s="72">
        <v>0</v>
      </c>
      <c r="BI943" s="73"/>
      <c r="BJ943" s="74">
        <v>-1063.7935788287593</v>
      </c>
      <c r="BK943" s="74">
        <v>0</v>
      </c>
      <c r="BL943" s="73"/>
      <c r="BM943" s="72">
        <v>20159942.623583272</v>
      </c>
      <c r="BN943" s="72">
        <v>0</v>
      </c>
      <c r="BO943" s="73"/>
      <c r="BP943" s="74">
        <v>-4825.8657422609513</v>
      </c>
      <c r="BQ943" s="74">
        <v>0</v>
      </c>
      <c r="BS943" s="109">
        <f t="shared" si="348"/>
        <v>115817.98958820908</v>
      </c>
      <c r="BT943" s="109">
        <f t="shared" si="349"/>
        <v>116150.76701023224</v>
      </c>
      <c r="BV943" s="58">
        <f t="array" ref="BV943">SUM(IF(BS943:BT943&gt;=BS943, 1))</f>
        <v>2</v>
      </c>
      <c r="BW943" s="58">
        <f t="array" ref="BW943">SUM(IF(BS943:BT943&gt;=BT943, 1))</f>
        <v>1</v>
      </c>
      <c r="BY943" s="109">
        <f t="shared" si="350"/>
        <v>132921.92513274067</v>
      </c>
      <c r="BZ943" s="109">
        <f t="shared" si="351"/>
        <v>133210.4674951935</v>
      </c>
      <c r="CB943" s="58">
        <f t="array" ref="CB943">SUM(IF(BY943:BZ943&gt;=BY943, 1))</f>
        <v>2</v>
      </c>
      <c r="CC943" s="58">
        <f t="array" ref="CC943">SUM(IF(BY943:BZ943&gt;=BZ943, 1))</f>
        <v>1</v>
      </c>
      <c r="CE943" s="109">
        <f t="shared" si="352"/>
        <v>91814.966434285496</v>
      </c>
      <c r="CF943" s="109">
        <f t="shared" si="353"/>
        <v>93948.267531992446</v>
      </c>
      <c r="CH943" s="58">
        <f t="array" ref="CH943">SUM(IF(CE943:CF943&gt;=CE943, 1))</f>
        <v>2</v>
      </c>
      <c r="CI943" s="58">
        <f t="array" ref="CI943">SUM(IF(CE943:CF943&gt;=CF943, 1))</f>
        <v>1</v>
      </c>
      <c r="CK943" s="109">
        <f t="shared" si="354"/>
        <v>45208.197774330809</v>
      </c>
      <c r="CL943" s="109">
        <f t="shared" si="355"/>
        <v>46185.512123073175</v>
      </c>
      <c r="CN943" s="58">
        <f t="array" ref="CN943">SUM(IF(CK943:CL943&gt;=CK943, 1))</f>
        <v>2</v>
      </c>
      <c r="CO943" s="58">
        <f t="array" ref="CO943">SUM(IF(CK943:CL943&gt;=CL943, 1))</f>
        <v>1</v>
      </c>
      <c r="CQ943" s="109" cm="1">
        <f t="array" ref="CQ943">AF943*WTP-AC943</f>
        <v>44498.424576513404</v>
      </c>
      <c r="CR943" s="109">
        <f t="shared" si="356"/>
        <v>45829.837072652415</v>
      </c>
      <c r="CT943" s="58">
        <f t="array" ref="CT943">SUM(IF(CQ943:CR943&gt;=CQ943, 1))</f>
        <v>2</v>
      </c>
      <c r="CU943" s="58">
        <f t="array" ref="CU943">SUM(IF(CQ943:CR943&gt;=CR943, 1))</f>
        <v>1</v>
      </c>
      <c r="CW943" s="109">
        <f t="shared" si="357"/>
        <v>-35817091.055299193</v>
      </c>
      <c r="CX943" s="109">
        <f t="shared" si="358"/>
        <v>0</v>
      </c>
      <c r="CZ943" s="58">
        <f t="array" ref="CZ943">SUM(IF(CW943:CX943&gt;=CW943, 1))</f>
        <v>2</v>
      </c>
      <c r="DA943" s="58">
        <f t="array" ref="DA943">SUM(IF(CW943:CX943&gt;=CX943, 1))</f>
        <v>1</v>
      </c>
      <c r="DC943" s="109">
        <f t="shared" si="359"/>
        <v>-2025163.4426971257</v>
      </c>
      <c r="DD943" s="109">
        <f t="shared" si="360"/>
        <v>0</v>
      </c>
      <c r="DF943" s="58">
        <f t="array" ref="DF943">SUM(IF(DC943:DD943&gt;=DC943, 1))</f>
        <v>2</v>
      </c>
      <c r="DG943" s="58">
        <f t="array" ref="DG943">SUM(IF(DC943:DD943&gt;=DD943, 1))</f>
        <v>1</v>
      </c>
      <c r="DI943" s="109">
        <f t="shared" si="361"/>
        <v>-48661837.179478623</v>
      </c>
      <c r="DJ943" s="109">
        <f t="shared" si="362"/>
        <v>0</v>
      </c>
      <c r="DL943" s="58">
        <f t="array" ref="DL943">SUM(IF(DI943:DJ943&gt;=DI943, 1))</f>
        <v>2</v>
      </c>
      <c r="DM943" s="58">
        <f t="array" ref="DM943">SUM(IF(DI943:DJ943&gt;=DJ943, 1))</f>
        <v>1</v>
      </c>
      <c r="DO943" s="109">
        <f t="shared" si="363"/>
        <v>-9076671.8500037994</v>
      </c>
      <c r="DP943" s="109">
        <f t="shared" si="364"/>
        <v>0</v>
      </c>
      <c r="DR943" s="58">
        <f t="array" ref="DR943">SUM(IF(DO943:DP943&gt;=DO943, 1))</f>
        <v>2</v>
      </c>
      <c r="DS943" s="58">
        <f t="array" ref="DS943">SUM(IF(DO943:DP943&gt;=DP943, 1))</f>
        <v>1</v>
      </c>
      <c r="DU943" s="109">
        <f t="shared" si="365"/>
        <v>-21096493.94132356</v>
      </c>
      <c r="DV943" s="109">
        <f t="shared" si="366"/>
        <v>0</v>
      </c>
      <c r="DX943" s="58">
        <f t="array" ref="DX943">SUM(IF(DU943:DV943&gt;=DU943, 1))</f>
        <v>2</v>
      </c>
      <c r="DY943" s="58">
        <f t="array" ref="DY943">SUM(IF(DU943:DV943&gt;=DV943, 1))</f>
        <v>1</v>
      </c>
      <c r="EA943" s="109">
        <f t="shared" si="367"/>
        <v>-116677257.4688023</v>
      </c>
      <c r="EB943" s="109">
        <f t="shared" si="368"/>
        <v>0</v>
      </c>
      <c r="ED943" s="58">
        <f t="array" ref="ED943">SUM(IF(EA943:EB943&gt;=EA943, 1))</f>
        <v>2</v>
      </c>
      <c r="EE943" s="58">
        <f t="array" ref="EE943">SUM(IF(EA943:EB943&gt;=EB943, 1))</f>
        <v>1</v>
      </c>
    </row>
    <row r="944" spans="4:135" ht="12" customHeight="1" x14ac:dyDescent="0.25">
      <c r="D944" s="11">
        <v>928</v>
      </c>
      <c r="E944" s="72">
        <v>293.08714434151523</v>
      </c>
      <c r="F944" s="72">
        <v>261.94428082631612</v>
      </c>
      <c r="G944" s="73"/>
      <c r="H944" s="74">
        <v>5.8598100979486469</v>
      </c>
      <c r="I944" s="74">
        <v>5.8788587897246032</v>
      </c>
      <c r="J944" s="73"/>
      <c r="K944" s="72">
        <v>314.38505146977036</v>
      </c>
      <c r="L944" s="72">
        <v>282.49237908866229</v>
      </c>
      <c r="M944" s="73"/>
      <c r="N944" s="74">
        <v>6.7316987537197583</v>
      </c>
      <c r="O944" s="74">
        <v>6.7480631623277416</v>
      </c>
      <c r="P944" s="73"/>
      <c r="Q944" s="72">
        <v>1970.4401215219871</v>
      </c>
      <c r="R944" s="72">
        <v>1510.8816628064008</v>
      </c>
      <c r="S944" s="73"/>
      <c r="T944" s="74">
        <v>4.8311740364145068</v>
      </c>
      <c r="U944" s="74">
        <v>4.8870628351178134</v>
      </c>
      <c r="V944" s="73"/>
      <c r="W944" s="72">
        <v>13326.983269025886</v>
      </c>
      <c r="X944" s="72">
        <v>13295.342935511982</v>
      </c>
      <c r="Y944" s="73"/>
      <c r="Z944" s="74">
        <v>2.9116308133201496</v>
      </c>
      <c r="AA944" s="74">
        <v>2.9504275883661797</v>
      </c>
      <c r="AB944" s="73"/>
      <c r="AC944" s="72">
        <v>50546.459601684677</v>
      </c>
      <c r="AD944" s="72">
        <v>50581.350822865708</v>
      </c>
      <c r="AE944" s="73"/>
      <c r="AF944" s="74">
        <v>4.5735742905051993</v>
      </c>
      <c r="AG944" s="74">
        <v>4.679611367009211</v>
      </c>
      <c r="AH944" s="73"/>
      <c r="AI944" s="72">
        <v>3374206.9186090413</v>
      </c>
      <c r="AJ944" s="72">
        <v>0</v>
      </c>
      <c r="AK944" s="73"/>
      <c r="AL944" s="74">
        <v>-2063.8509220423493</v>
      </c>
      <c r="AM944" s="74">
        <v>0</v>
      </c>
      <c r="AN944" s="73"/>
      <c r="AO944" s="72">
        <v>212420.12424790071</v>
      </c>
      <c r="AP944" s="72">
        <v>0</v>
      </c>
      <c r="AQ944" s="73"/>
      <c r="AR944" s="74">
        <v>-108.99462008741359</v>
      </c>
      <c r="AS944" s="74">
        <v>0</v>
      </c>
      <c r="AT944" s="73"/>
      <c r="AU944" s="72">
        <v>10451645.784193322</v>
      </c>
      <c r="AV944" s="72">
        <v>0</v>
      </c>
      <c r="AW944" s="73"/>
      <c r="AX944" s="74">
        <v>-1271.0677309337746</v>
      </c>
      <c r="AY944" s="74">
        <v>0</v>
      </c>
      <c r="AZ944" s="73"/>
      <c r="BA944" s="72">
        <v>276856.26340692001</v>
      </c>
      <c r="BB944" s="72">
        <v>0</v>
      </c>
      <c r="BC944" s="73"/>
      <c r="BD944" s="74">
        <v>-339.47588342463854</v>
      </c>
      <c r="BE944" s="74">
        <v>0</v>
      </c>
      <c r="BF944" s="73"/>
      <c r="BG944" s="72">
        <v>-565455.70404492575</v>
      </c>
      <c r="BH944" s="72">
        <v>0</v>
      </c>
      <c r="BI944" s="73"/>
      <c r="BJ944" s="74">
        <v>-1718.462917601717</v>
      </c>
      <c r="BK944" s="74">
        <v>0</v>
      </c>
      <c r="BL944" s="73"/>
      <c r="BM944" s="72">
        <v>13749673.386412259</v>
      </c>
      <c r="BN944" s="72">
        <v>0</v>
      </c>
      <c r="BO944" s="73"/>
      <c r="BP944" s="74">
        <v>-5501.852074089893</v>
      </c>
      <c r="BQ944" s="74">
        <v>0</v>
      </c>
      <c r="BS944" s="109">
        <f t="shared" si="348"/>
        <v>116903.11481463142</v>
      </c>
      <c r="BT944" s="109">
        <f t="shared" si="349"/>
        <v>117315.23151366576</v>
      </c>
      <c r="BV944" s="58">
        <f t="array" ref="BV944">SUM(IF(BS944:BT944&gt;=BS944, 1))</f>
        <v>2</v>
      </c>
      <c r="BW944" s="58">
        <f t="array" ref="BW944">SUM(IF(BS944:BT944&gt;=BT944, 1))</f>
        <v>1</v>
      </c>
      <c r="BY944" s="109">
        <f t="shared" si="350"/>
        <v>134319.59002292537</v>
      </c>
      <c r="BZ944" s="109">
        <f t="shared" si="351"/>
        <v>134678.77086746617</v>
      </c>
      <c r="CB944" s="58">
        <f t="array" ref="CB944">SUM(IF(BY944:BZ944&gt;=BY944, 1))</f>
        <v>2</v>
      </c>
      <c r="CC944" s="58">
        <f t="array" ref="CC944">SUM(IF(BY944:BZ944&gt;=BZ944, 1))</f>
        <v>1</v>
      </c>
      <c r="CE944" s="109">
        <f t="shared" si="352"/>
        <v>94653.040606768147</v>
      </c>
      <c r="CF944" s="109">
        <f t="shared" si="353"/>
        <v>96230.375039549879</v>
      </c>
      <c r="CH944" s="58">
        <f t="array" ref="CH944">SUM(IF(CE944:CF944&gt;=CE944, 1))</f>
        <v>2</v>
      </c>
      <c r="CI944" s="58">
        <f t="array" ref="CI944">SUM(IF(CE944:CF944&gt;=CF944, 1))</f>
        <v>1</v>
      </c>
      <c r="CK944" s="109">
        <f t="shared" si="354"/>
        <v>44905.632997377106</v>
      </c>
      <c r="CL944" s="109">
        <f t="shared" si="355"/>
        <v>45713.208831811615</v>
      </c>
      <c r="CN944" s="58">
        <f t="array" ref="CN944">SUM(IF(CK944:CL944&gt;=CK944, 1))</f>
        <v>2</v>
      </c>
      <c r="CO944" s="58">
        <f t="array" ref="CO944">SUM(IF(CK944:CL944&gt;=CL944, 1))</f>
        <v>1</v>
      </c>
      <c r="CQ944" s="109" cm="1">
        <f t="array" ref="CQ944">AF944*WTP-AC944</f>
        <v>40925.026208419309</v>
      </c>
      <c r="CR944" s="109">
        <f t="shared" si="356"/>
        <v>43010.876517318517</v>
      </c>
      <c r="CT944" s="58">
        <f t="array" ref="CT944">SUM(IF(CQ944:CR944&gt;=CQ944, 1))</f>
        <v>2</v>
      </c>
      <c r="CU944" s="58">
        <f t="array" ref="CU944">SUM(IF(CQ944:CR944&gt;=CR944, 1))</f>
        <v>1</v>
      </c>
      <c r="CW944" s="109">
        <f t="shared" si="357"/>
        <v>-44651225.359456025</v>
      </c>
      <c r="CX944" s="109">
        <f t="shared" si="358"/>
        <v>0</v>
      </c>
      <c r="CZ944" s="58">
        <f t="array" ref="CZ944">SUM(IF(CW944:CX944&gt;=CW944, 1))</f>
        <v>2</v>
      </c>
      <c r="DA944" s="58">
        <f t="array" ref="DA944">SUM(IF(CW944:CX944&gt;=CX944, 1))</f>
        <v>1</v>
      </c>
      <c r="DC944" s="109">
        <f t="shared" si="359"/>
        <v>-2392312.5259961723</v>
      </c>
      <c r="DD944" s="109">
        <f t="shared" si="360"/>
        <v>0</v>
      </c>
      <c r="DF944" s="58">
        <f t="array" ref="DF944">SUM(IF(DC944:DD944&gt;=DC944, 1))</f>
        <v>2</v>
      </c>
      <c r="DG944" s="58">
        <f t="array" ref="DG944">SUM(IF(DC944:DD944&gt;=DD944, 1))</f>
        <v>1</v>
      </c>
      <c r="DI944" s="109">
        <f t="shared" si="361"/>
        <v>-35873000.402868815</v>
      </c>
      <c r="DJ944" s="109">
        <f t="shared" si="362"/>
        <v>0</v>
      </c>
      <c r="DL944" s="58">
        <f t="array" ref="DL944">SUM(IF(DI944:DJ944&gt;=DI944, 1))</f>
        <v>2</v>
      </c>
      <c r="DM944" s="58">
        <f t="array" ref="DM944">SUM(IF(DI944:DJ944&gt;=DJ944, 1))</f>
        <v>1</v>
      </c>
      <c r="DO944" s="109">
        <f t="shared" si="363"/>
        <v>-7066373.931899691</v>
      </c>
      <c r="DP944" s="109">
        <f t="shared" si="364"/>
        <v>0</v>
      </c>
      <c r="DR944" s="58">
        <f t="array" ref="DR944">SUM(IF(DO944:DP944&gt;=DO944, 1))</f>
        <v>2</v>
      </c>
      <c r="DS944" s="58">
        <f t="array" ref="DS944">SUM(IF(DO944:DP944&gt;=DP944, 1))</f>
        <v>1</v>
      </c>
      <c r="DU944" s="109">
        <f t="shared" si="365"/>
        <v>-33803802.647989415</v>
      </c>
      <c r="DV944" s="109">
        <f t="shared" si="366"/>
        <v>0</v>
      </c>
      <c r="DX944" s="58">
        <f t="array" ref="DX944">SUM(IF(DU944:DV944&gt;=DU944, 1))</f>
        <v>2</v>
      </c>
      <c r="DY944" s="58">
        <f t="array" ref="DY944">SUM(IF(DU944:DV944&gt;=DV944, 1))</f>
        <v>1</v>
      </c>
      <c r="EA944" s="109">
        <f t="shared" si="367"/>
        <v>-123786714.86821012</v>
      </c>
      <c r="EB944" s="109">
        <f t="shared" si="368"/>
        <v>0</v>
      </c>
      <c r="ED944" s="58">
        <f t="array" ref="ED944">SUM(IF(EA944:EB944&gt;=EA944, 1))</f>
        <v>2</v>
      </c>
      <c r="EE944" s="58">
        <f t="array" ref="EE944">SUM(IF(EA944:EB944&gt;=EB944, 1))</f>
        <v>1</v>
      </c>
    </row>
    <row r="945" spans="4:135" ht="12" customHeight="1" x14ac:dyDescent="0.25">
      <c r="D945" s="11">
        <v>929</v>
      </c>
      <c r="E945" s="72">
        <v>214.85182850680292</v>
      </c>
      <c r="F945" s="72">
        <v>192.22627401732757</v>
      </c>
      <c r="G945" s="73"/>
      <c r="H945" s="74">
        <v>5.8575177164043613</v>
      </c>
      <c r="I945" s="74">
        <v>5.8777483798460075</v>
      </c>
      <c r="J945" s="73"/>
      <c r="K945" s="72">
        <v>230.48916136622188</v>
      </c>
      <c r="L945" s="72">
        <v>207.31001189737901</v>
      </c>
      <c r="M945" s="73"/>
      <c r="N945" s="74">
        <v>6.7111238474909802</v>
      </c>
      <c r="O945" s="74">
        <v>6.728824524158914</v>
      </c>
      <c r="P945" s="73"/>
      <c r="Q945" s="72">
        <v>2271.2258745784338</v>
      </c>
      <c r="R945" s="72">
        <v>1310.9476602340371</v>
      </c>
      <c r="S945" s="73"/>
      <c r="T945" s="74">
        <v>4.9141947281325891</v>
      </c>
      <c r="U945" s="74">
        <v>5.0141702024326618</v>
      </c>
      <c r="V945" s="73"/>
      <c r="W945" s="72">
        <v>15579.774131480868</v>
      </c>
      <c r="X945" s="72">
        <v>15576.499956949528</v>
      </c>
      <c r="Y945" s="73"/>
      <c r="Z945" s="74">
        <v>2.8815071986220788</v>
      </c>
      <c r="AA945" s="74">
        <v>2.9256587384921997</v>
      </c>
      <c r="AB945" s="73"/>
      <c r="AC945" s="72">
        <v>50864.372773648713</v>
      </c>
      <c r="AD945" s="72">
        <v>50833.869596285207</v>
      </c>
      <c r="AE945" s="73"/>
      <c r="AF945" s="74">
        <v>4.629748715536337</v>
      </c>
      <c r="AG945" s="74">
        <v>4.6738305182636513</v>
      </c>
      <c r="AH945" s="73"/>
      <c r="AI945" s="72">
        <v>2423822.2838791525</v>
      </c>
      <c r="AJ945" s="72">
        <v>0</v>
      </c>
      <c r="AK945" s="73"/>
      <c r="AL945" s="74">
        <v>-2167.2632549328764</v>
      </c>
      <c r="AM945" s="74">
        <v>0</v>
      </c>
      <c r="AN945" s="73"/>
      <c r="AO945" s="72">
        <v>161744.4901716905</v>
      </c>
      <c r="AP945" s="72">
        <v>0</v>
      </c>
      <c r="AQ945" s="73"/>
      <c r="AR945" s="74">
        <v>-123.51561592875838</v>
      </c>
      <c r="AS945" s="74">
        <v>0</v>
      </c>
      <c r="AT945" s="73"/>
      <c r="AU945" s="72">
        <v>22201224.541306373</v>
      </c>
      <c r="AV945" s="72">
        <v>0</v>
      </c>
      <c r="AW945" s="73"/>
      <c r="AX945" s="74">
        <v>-2311.3905120453805</v>
      </c>
      <c r="AY945" s="74">
        <v>0</v>
      </c>
      <c r="AZ945" s="73"/>
      <c r="BA945" s="72">
        <v>29415.352194860166</v>
      </c>
      <c r="BB945" s="72">
        <v>0</v>
      </c>
      <c r="BC945" s="73"/>
      <c r="BD945" s="74">
        <v>-396.65970240554776</v>
      </c>
      <c r="BE945" s="74">
        <v>0</v>
      </c>
      <c r="BF945" s="73"/>
      <c r="BG945" s="72">
        <v>492008.8257575531</v>
      </c>
      <c r="BH945" s="72">
        <v>0</v>
      </c>
      <c r="BI945" s="73"/>
      <c r="BJ945" s="74">
        <v>-711.02874755239714</v>
      </c>
      <c r="BK945" s="74">
        <v>0</v>
      </c>
      <c r="BL945" s="73"/>
      <c r="BM945" s="72">
        <v>25308215.493309628</v>
      </c>
      <c r="BN945" s="72">
        <v>0</v>
      </c>
      <c r="BO945" s="73"/>
      <c r="BP945" s="74">
        <v>-5709.857832864961</v>
      </c>
      <c r="BQ945" s="74">
        <v>0</v>
      </c>
      <c r="BS945" s="109">
        <f t="shared" si="348"/>
        <v>116935.50249958043</v>
      </c>
      <c r="BT945" s="109">
        <f t="shared" si="349"/>
        <v>117362.74132290282</v>
      </c>
      <c r="BV945" s="58">
        <f t="array" ref="BV945">SUM(IF(BS945:BT945&gt;=BS945, 1))</f>
        <v>2</v>
      </c>
      <c r="BW945" s="58">
        <f t="array" ref="BW945">SUM(IF(BS945:BT945&gt;=BT945, 1))</f>
        <v>1</v>
      </c>
      <c r="BY945" s="109">
        <f t="shared" si="350"/>
        <v>133991.98778845338</v>
      </c>
      <c r="BZ945" s="109">
        <f t="shared" si="351"/>
        <v>134369.18047128091</v>
      </c>
      <c r="CB945" s="58">
        <f t="array" ref="CB945">SUM(IF(BY945:BZ945&gt;=BY945, 1))</f>
        <v>2</v>
      </c>
      <c r="CC945" s="58">
        <f t="array" ref="CC945">SUM(IF(BY945:BZ945&gt;=BZ945, 1))</f>
        <v>1</v>
      </c>
      <c r="CE945" s="109">
        <f t="shared" si="352"/>
        <v>96012.668688073347</v>
      </c>
      <c r="CF945" s="109">
        <f t="shared" si="353"/>
        <v>98972.456388419188</v>
      </c>
      <c r="CH945" s="58">
        <f t="array" ref="CH945">SUM(IF(CE945:CF945&gt;=CE945, 1))</f>
        <v>2</v>
      </c>
      <c r="CI945" s="58">
        <f t="array" ref="CI945">SUM(IF(CE945:CF945&gt;=CF945, 1))</f>
        <v>1</v>
      </c>
      <c r="CK945" s="109">
        <f t="shared" si="354"/>
        <v>42050.36984096071</v>
      </c>
      <c r="CL945" s="109">
        <f t="shared" si="355"/>
        <v>42936.674812894467</v>
      </c>
      <c r="CN945" s="58">
        <f t="array" ref="CN945">SUM(IF(CK945:CL945&gt;=CK945, 1))</f>
        <v>2</v>
      </c>
      <c r="CO945" s="58">
        <f t="array" ref="CO945">SUM(IF(CK945:CL945&gt;=CL945, 1))</f>
        <v>1</v>
      </c>
      <c r="CQ945" s="109" cm="1">
        <f t="array" ref="CQ945">AF945*WTP-AC945</f>
        <v>41730.60153707803</v>
      </c>
      <c r="CR945" s="109">
        <f t="shared" si="356"/>
        <v>42642.740768987816</v>
      </c>
      <c r="CT945" s="58">
        <f t="array" ref="CT945">SUM(IF(CQ945:CR945&gt;=CQ945, 1))</f>
        <v>2</v>
      </c>
      <c r="CU945" s="58">
        <f t="array" ref="CU945">SUM(IF(CQ945:CR945&gt;=CR945, 1))</f>
        <v>1</v>
      </c>
      <c r="CW945" s="109">
        <f t="shared" si="357"/>
        <v>-45769087.38253668</v>
      </c>
      <c r="CX945" s="109">
        <f t="shared" si="358"/>
        <v>0</v>
      </c>
      <c r="CZ945" s="58">
        <f t="array" ref="CZ945">SUM(IF(CW945:CX945&gt;=CW945, 1))</f>
        <v>2</v>
      </c>
      <c r="DA945" s="58">
        <f t="array" ref="DA945">SUM(IF(CW945:CX945&gt;=CX945, 1))</f>
        <v>1</v>
      </c>
      <c r="DC945" s="109">
        <f t="shared" si="359"/>
        <v>-2632056.808746858</v>
      </c>
      <c r="DD945" s="109">
        <f t="shared" si="360"/>
        <v>0</v>
      </c>
      <c r="DF945" s="58">
        <f t="array" ref="DF945">SUM(IF(DC945:DD945&gt;=DC945, 1))</f>
        <v>2</v>
      </c>
      <c r="DG945" s="58">
        <f t="array" ref="DG945">SUM(IF(DC945:DD945&gt;=DD945, 1))</f>
        <v>1</v>
      </c>
      <c r="DI945" s="109">
        <f t="shared" si="361"/>
        <v>-68429034.782213986</v>
      </c>
      <c r="DJ945" s="109">
        <f t="shared" si="362"/>
        <v>0</v>
      </c>
      <c r="DL945" s="58">
        <f t="array" ref="DL945">SUM(IF(DI945:DJ945&gt;=DI945, 1))</f>
        <v>2</v>
      </c>
      <c r="DM945" s="58">
        <f t="array" ref="DM945">SUM(IF(DI945:DJ945&gt;=DJ945, 1))</f>
        <v>1</v>
      </c>
      <c r="DO945" s="109">
        <f t="shared" si="363"/>
        <v>-7962609.400305816</v>
      </c>
      <c r="DP945" s="109">
        <f t="shared" si="364"/>
        <v>0</v>
      </c>
      <c r="DR945" s="58">
        <f t="array" ref="DR945">SUM(IF(DO945:DP945&gt;=DO945, 1))</f>
        <v>2</v>
      </c>
      <c r="DS945" s="58">
        <f t="array" ref="DS945">SUM(IF(DO945:DP945&gt;=DP945, 1))</f>
        <v>1</v>
      </c>
      <c r="DU945" s="109">
        <f t="shared" si="365"/>
        <v>-14712583.776805496</v>
      </c>
      <c r="DV945" s="109">
        <f t="shared" si="366"/>
        <v>0</v>
      </c>
      <c r="DX945" s="58">
        <f t="array" ref="DX945">SUM(IF(DU945:DV945&gt;=DU945, 1))</f>
        <v>2</v>
      </c>
      <c r="DY945" s="58">
        <f t="array" ref="DY945">SUM(IF(DU945:DV945&gt;=DV945, 1))</f>
        <v>1</v>
      </c>
      <c r="EA945" s="109">
        <f t="shared" si="367"/>
        <v>-139505372.15060884</v>
      </c>
      <c r="EB945" s="109">
        <f t="shared" si="368"/>
        <v>0</v>
      </c>
      <c r="ED945" s="58">
        <f t="array" ref="ED945">SUM(IF(EA945:EB945&gt;=EA945, 1))</f>
        <v>2</v>
      </c>
      <c r="EE945" s="58">
        <f t="array" ref="EE945">SUM(IF(EA945:EB945&gt;=EB945, 1))</f>
        <v>1</v>
      </c>
    </row>
    <row r="946" spans="4:135" ht="12" customHeight="1" x14ac:dyDescent="0.25">
      <c r="D946" s="11">
        <v>930</v>
      </c>
      <c r="E946" s="72">
        <v>263.4103590758246</v>
      </c>
      <c r="F946" s="72">
        <v>250.60167286303022</v>
      </c>
      <c r="G946" s="73"/>
      <c r="H946" s="74">
        <v>5.7935439031334752</v>
      </c>
      <c r="I946" s="74">
        <v>5.8074738156752286</v>
      </c>
      <c r="J946" s="73"/>
      <c r="K946" s="72">
        <v>283.35595450803635</v>
      </c>
      <c r="L946" s="72">
        <v>270.20245003113769</v>
      </c>
      <c r="M946" s="73"/>
      <c r="N946" s="74">
        <v>6.7090228623728407</v>
      </c>
      <c r="O946" s="74">
        <v>6.7208661919530517</v>
      </c>
      <c r="P946" s="73"/>
      <c r="Q946" s="72">
        <v>1821.4341675606961</v>
      </c>
      <c r="R946" s="72">
        <v>1380.6290390687695</v>
      </c>
      <c r="S946" s="73"/>
      <c r="T946" s="74">
        <v>4.7308418305593465</v>
      </c>
      <c r="U946" s="74">
        <v>4.8129181330329294</v>
      </c>
      <c r="V946" s="73"/>
      <c r="W946" s="72">
        <v>9107.7519579648888</v>
      </c>
      <c r="X946" s="72">
        <v>9107.2945381988848</v>
      </c>
      <c r="Y946" s="73"/>
      <c r="Z946" s="74">
        <v>2.9967079400505567</v>
      </c>
      <c r="AA946" s="74">
        <v>3.0292900033645958</v>
      </c>
      <c r="AB946" s="73"/>
      <c r="AC946" s="72">
        <v>50490.872807376254</v>
      </c>
      <c r="AD946" s="72">
        <v>50503.492193622857</v>
      </c>
      <c r="AE946" s="73"/>
      <c r="AF946" s="74">
        <v>4.9461672604848914</v>
      </c>
      <c r="AG946" s="74">
        <v>5.0508038554200629</v>
      </c>
      <c r="AH946" s="73"/>
      <c r="AI946" s="72">
        <v>1378039.6573227406</v>
      </c>
      <c r="AJ946" s="72">
        <v>0</v>
      </c>
      <c r="AK946" s="73"/>
      <c r="AL946" s="74">
        <v>-1498.6682932710928</v>
      </c>
      <c r="AM946" s="74">
        <v>0</v>
      </c>
      <c r="AN946" s="73"/>
      <c r="AO946" s="72">
        <v>91862.422946363964</v>
      </c>
      <c r="AP946" s="72">
        <v>0</v>
      </c>
      <c r="AQ946" s="73"/>
      <c r="AR946" s="74">
        <v>-82.712326049782916</v>
      </c>
      <c r="AS946" s="74">
        <v>0</v>
      </c>
      <c r="AT946" s="73"/>
      <c r="AU946" s="72">
        <v>10543610.771731868</v>
      </c>
      <c r="AV946" s="72">
        <v>0</v>
      </c>
      <c r="AW946" s="73"/>
      <c r="AX946" s="74">
        <v>-1963.1817574922818</v>
      </c>
      <c r="AY946" s="74">
        <v>0</v>
      </c>
      <c r="AZ946" s="73"/>
      <c r="BA946" s="72">
        <v>4084.1889901005147</v>
      </c>
      <c r="BB946" s="72">
        <v>0</v>
      </c>
      <c r="BC946" s="73"/>
      <c r="BD946" s="74">
        <v>-290.91725839583802</v>
      </c>
      <c r="BE946" s="74">
        <v>0</v>
      </c>
      <c r="BF946" s="73"/>
      <c r="BG946" s="72">
        <v>-198724.36870763634</v>
      </c>
      <c r="BH946" s="72">
        <v>0</v>
      </c>
      <c r="BI946" s="73"/>
      <c r="BJ946" s="74">
        <v>-1647.7696193669394</v>
      </c>
      <c r="BK946" s="74">
        <v>0</v>
      </c>
      <c r="BL946" s="73"/>
      <c r="BM946" s="72">
        <v>11818872.672283437</v>
      </c>
      <c r="BN946" s="72">
        <v>0</v>
      </c>
      <c r="BO946" s="73"/>
      <c r="BP946" s="74">
        <v>-5483.2492545759342</v>
      </c>
      <c r="BQ946" s="74">
        <v>0</v>
      </c>
      <c r="BS946" s="109">
        <f t="shared" si="348"/>
        <v>115607.46770359368</v>
      </c>
      <c r="BT946" s="109">
        <f t="shared" si="349"/>
        <v>115898.87464064153</v>
      </c>
      <c r="BV946" s="58">
        <f t="array" ref="BV946">SUM(IF(BS946:BT946&gt;=BS946, 1))</f>
        <v>2</v>
      </c>
      <c r="BW946" s="58">
        <f t="array" ref="BW946">SUM(IF(BS946:BT946&gt;=BT946, 1))</f>
        <v>1</v>
      </c>
      <c r="BY946" s="109">
        <f t="shared" si="350"/>
        <v>133897.10129294879</v>
      </c>
      <c r="BZ946" s="109">
        <f t="shared" si="351"/>
        <v>134147.1213890299</v>
      </c>
      <c r="CB946" s="58">
        <f t="array" ref="CB946">SUM(IF(BY946:BZ946&gt;=BY946, 1))</f>
        <v>2</v>
      </c>
      <c r="CC946" s="58">
        <f t="array" ref="CC946">SUM(IF(BY946:BZ946&gt;=BZ946, 1))</f>
        <v>1</v>
      </c>
      <c r="CE946" s="109">
        <f t="shared" si="352"/>
        <v>92795.402443626226</v>
      </c>
      <c r="CF946" s="109">
        <f t="shared" si="353"/>
        <v>94877.733621589825</v>
      </c>
      <c r="CH946" s="58">
        <f t="array" ref="CH946">SUM(IF(CE946:CF946&gt;=CE946, 1))</f>
        <v>2</v>
      </c>
      <c r="CI946" s="58">
        <f t="array" ref="CI946">SUM(IF(CE946:CF946&gt;=CF946, 1))</f>
        <v>1</v>
      </c>
      <c r="CK946" s="109">
        <f t="shared" si="354"/>
        <v>50826.40684304625</v>
      </c>
      <c r="CL946" s="109">
        <f t="shared" si="355"/>
        <v>51478.505529093032</v>
      </c>
      <c r="CN946" s="58">
        <f t="array" ref="CN946">SUM(IF(CK946:CL946&gt;=CK946, 1))</f>
        <v>2</v>
      </c>
      <c r="CO946" s="58">
        <f t="array" ref="CO946">SUM(IF(CK946:CL946&gt;=CL946, 1))</f>
        <v>1</v>
      </c>
      <c r="CQ946" s="109" cm="1">
        <f t="array" ref="CQ946">AF946*WTP-AC946</f>
        <v>48432.472402321575</v>
      </c>
      <c r="CR946" s="109">
        <f t="shared" si="356"/>
        <v>50512.584914778396</v>
      </c>
      <c r="CT946" s="58">
        <f t="array" ref="CT946">SUM(IF(CQ946:CR946&gt;=CQ946, 1))</f>
        <v>2</v>
      </c>
      <c r="CU946" s="58">
        <f t="array" ref="CU946">SUM(IF(CQ946:CR946&gt;=CR946, 1))</f>
        <v>1</v>
      </c>
      <c r="CW946" s="109">
        <f t="shared" si="357"/>
        <v>-31351405.5227446</v>
      </c>
      <c r="CX946" s="109">
        <f t="shared" si="358"/>
        <v>0</v>
      </c>
      <c r="CZ946" s="58">
        <f t="array" ref="CZ946">SUM(IF(CW946:CX946&gt;=CW946, 1))</f>
        <v>2</v>
      </c>
      <c r="DA946" s="58">
        <f t="array" ref="DA946">SUM(IF(CW946:CX946&gt;=CX946, 1))</f>
        <v>1</v>
      </c>
      <c r="DC946" s="109">
        <f t="shared" si="359"/>
        <v>-1746108.9439420223</v>
      </c>
      <c r="DD946" s="109">
        <f t="shared" si="360"/>
        <v>0</v>
      </c>
      <c r="DF946" s="58">
        <f t="array" ref="DF946">SUM(IF(DC946:DD946&gt;=DC946, 1))</f>
        <v>2</v>
      </c>
      <c r="DG946" s="58">
        <f t="array" ref="DG946">SUM(IF(DC946:DD946&gt;=DD946, 1))</f>
        <v>1</v>
      </c>
      <c r="DI946" s="109">
        <f t="shared" si="361"/>
        <v>-49807245.921577506</v>
      </c>
      <c r="DJ946" s="109">
        <f t="shared" si="362"/>
        <v>0</v>
      </c>
      <c r="DL946" s="58">
        <f t="array" ref="DL946">SUM(IF(DI946:DJ946&gt;=DI946, 1))</f>
        <v>2</v>
      </c>
      <c r="DM946" s="58">
        <f t="array" ref="DM946">SUM(IF(DI946:DJ946&gt;=DJ946, 1))</f>
        <v>1</v>
      </c>
      <c r="DO946" s="109">
        <f t="shared" si="363"/>
        <v>-5822429.3569068611</v>
      </c>
      <c r="DP946" s="109">
        <f t="shared" si="364"/>
        <v>0</v>
      </c>
      <c r="DR946" s="58">
        <f t="array" ref="DR946">SUM(IF(DO946:DP946&gt;=DO946, 1))</f>
        <v>2</v>
      </c>
      <c r="DS946" s="58">
        <f t="array" ref="DS946">SUM(IF(DO946:DP946&gt;=DP946, 1))</f>
        <v>1</v>
      </c>
      <c r="DU946" s="109">
        <f t="shared" si="365"/>
        <v>-32756668.018631153</v>
      </c>
      <c r="DV946" s="109">
        <f t="shared" si="366"/>
        <v>0</v>
      </c>
      <c r="DX946" s="58">
        <f t="array" ref="DX946">SUM(IF(DU946:DV946&gt;=DU946, 1))</f>
        <v>2</v>
      </c>
      <c r="DY946" s="58">
        <f t="array" ref="DY946">SUM(IF(DU946:DV946&gt;=DV946, 1))</f>
        <v>1</v>
      </c>
      <c r="EA946" s="109">
        <f t="shared" si="367"/>
        <v>-121483857.76380213</v>
      </c>
      <c r="EB946" s="109">
        <f t="shared" si="368"/>
        <v>0</v>
      </c>
      <c r="ED946" s="58">
        <f t="array" ref="ED946">SUM(IF(EA946:EB946&gt;=EA946, 1))</f>
        <v>2</v>
      </c>
      <c r="EE946" s="58">
        <f t="array" ref="EE946">SUM(IF(EA946:EB946&gt;=EB946, 1))</f>
        <v>1</v>
      </c>
    </row>
    <row r="947" spans="4:135" ht="12" customHeight="1" x14ac:dyDescent="0.25">
      <c r="D947" s="11">
        <v>931</v>
      </c>
      <c r="E947" s="72">
        <v>289.82864551917936</v>
      </c>
      <c r="F947" s="72">
        <v>250.24042306045942</v>
      </c>
      <c r="G947" s="73"/>
      <c r="H947" s="74">
        <v>5.8017855298748602</v>
      </c>
      <c r="I947" s="74">
        <v>5.8205243987570405</v>
      </c>
      <c r="J947" s="73"/>
      <c r="K947" s="72">
        <v>310.25601829550857</v>
      </c>
      <c r="L947" s="72">
        <v>269.74799236395921</v>
      </c>
      <c r="M947" s="73"/>
      <c r="N947" s="74">
        <v>6.6714314571817237</v>
      </c>
      <c r="O947" s="74">
        <v>6.6876061769041284</v>
      </c>
      <c r="P947" s="73"/>
      <c r="Q947" s="72">
        <v>1786.2707985318661</v>
      </c>
      <c r="R947" s="72">
        <v>1370.4741025854394</v>
      </c>
      <c r="S947" s="73"/>
      <c r="T947" s="74">
        <v>4.7635999079595548</v>
      </c>
      <c r="U947" s="74">
        <v>4.8106868130256499</v>
      </c>
      <c r="V947" s="73"/>
      <c r="W947" s="72">
        <v>10211.616714788526</v>
      </c>
      <c r="X947" s="72">
        <v>10217.748739197728</v>
      </c>
      <c r="Y947" s="73"/>
      <c r="Z947" s="74">
        <v>2.8931841201258894</v>
      </c>
      <c r="AA947" s="74">
        <v>2.9333538510420025</v>
      </c>
      <c r="AB947" s="73"/>
      <c r="AC947" s="72">
        <v>49510.637816319242</v>
      </c>
      <c r="AD947" s="72">
        <v>49384.954484478993</v>
      </c>
      <c r="AE947" s="73"/>
      <c r="AF947" s="74">
        <v>4.2455606878681245</v>
      </c>
      <c r="AG947" s="74">
        <v>4.3329078802261414</v>
      </c>
      <c r="AH947" s="73"/>
      <c r="AI947" s="72">
        <v>4253327.8867551265</v>
      </c>
      <c r="AJ947" s="72">
        <v>0</v>
      </c>
      <c r="AK947" s="73"/>
      <c r="AL947" s="74">
        <v>-2013.2895248311354</v>
      </c>
      <c r="AM947" s="74">
        <v>0</v>
      </c>
      <c r="AN947" s="73"/>
      <c r="AO947" s="72">
        <v>280955.02756494231</v>
      </c>
      <c r="AP947" s="72">
        <v>0</v>
      </c>
      <c r="AQ947" s="73"/>
      <c r="AR947" s="74">
        <v>-112.18440595309487</v>
      </c>
      <c r="AS947" s="74">
        <v>0</v>
      </c>
      <c r="AT947" s="73"/>
      <c r="AU947" s="72">
        <v>9723680.9700817484</v>
      </c>
      <c r="AV947" s="72">
        <v>0</v>
      </c>
      <c r="AW947" s="73"/>
      <c r="AX947" s="74">
        <v>-1101.1584440060769</v>
      </c>
      <c r="AY947" s="74">
        <v>0</v>
      </c>
      <c r="AZ947" s="73"/>
      <c r="BA947" s="72">
        <v>-53659.433845766529</v>
      </c>
      <c r="BB947" s="72">
        <v>0</v>
      </c>
      <c r="BC947" s="73"/>
      <c r="BD947" s="74">
        <v>-351.51279167459705</v>
      </c>
      <c r="BE947" s="74">
        <v>0</v>
      </c>
      <c r="BF947" s="73"/>
      <c r="BG947" s="72">
        <v>1976254.2438080381</v>
      </c>
      <c r="BH947" s="72">
        <v>0</v>
      </c>
      <c r="BI947" s="73"/>
      <c r="BJ947" s="74">
        <v>-1373.4538785274867</v>
      </c>
      <c r="BK947" s="74">
        <v>0</v>
      </c>
      <c r="BL947" s="73"/>
      <c r="BM947" s="72">
        <v>16180558.69436409</v>
      </c>
      <c r="BN947" s="72">
        <v>0</v>
      </c>
      <c r="BO947" s="73"/>
      <c r="BP947" s="74">
        <v>-4951.5990449923902</v>
      </c>
      <c r="BQ947" s="74">
        <v>0</v>
      </c>
      <c r="BS947" s="109">
        <f t="shared" si="348"/>
        <v>115745.88195197802</v>
      </c>
      <c r="BT947" s="109">
        <f t="shared" si="349"/>
        <v>116160.24755208036</v>
      </c>
      <c r="BV947" s="58">
        <f t="array" ref="BV947">SUM(IF(BS947:BT947&gt;=BS947, 1))</f>
        <v>2</v>
      </c>
      <c r="BW947" s="58">
        <f t="array" ref="BW947">SUM(IF(BS947:BT947&gt;=BT947, 1))</f>
        <v>1</v>
      </c>
      <c r="BY947" s="109">
        <f t="shared" si="350"/>
        <v>133118.37312533896</v>
      </c>
      <c r="BZ947" s="109">
        <f t="shared" si="351"/>
        <v>133482.37554571862</v>
      </c>
      <c r="CB947" s="58">
        <f t="array" ref="CB947">SUM(IF(BY947:BZ947&gt;=BY947, 1))</f>
        <v>2</v>
      </c>
      <c r="CC947" s="58">
        <f t="array" ref="CC947">SUM(IF(BY947:BZ947&gt;=BZ947, 1))</f>
        <v>1</v>
      </c>
      <c r="CE947" s="109">
        <f t="shared" si="352"/>
        <v>93485.727360659221</v>
      </c>
      <c r="CF947" s="109">
        <f t="shared" si="353"/>
        <v>94843.262157927558</v>
      </c>
      <c r="CH947" s="58">
        <f t="array" ref="CH947">SUM(IF(CE947:CF947&gt;=CE947, 1))</f>
        <v>2</v>
      </c>
      <c r="CI947" s="58">
        <f t="array" ref="CI947">SUM(IF(CE947:CF947&gt;=CF947, 1))</f>
        <v>1</v>
      </c>
      <c r="CK947" s="109">
        <f t="shared" si="354"/>
        <v>47652.065687729264</v>
      </c>
      <c r="CL947" s="109">
        <f t="shared" si="355"/>
        <v>48449.328281642323</v>
      </c>
      <c r="CN947" s="58">
        <f t="array" ref="CN947">SUM(IF(CK947:CL947&gt;=CK947, 1))</f>
        <v>2</v>
      </c>
      <c r="CO947" s="58">
        <f t="array" ref="CO947">SUM(IF(CK947:CL947&gt;=CL947, 1))</f>
        <v>1</v>
      </c>
      <c r="CQ947" s="109" cm="1">
        <f t="array" ref="CQ947">AF947*WTP-AC947</f>
        <v>35400.575941043251</v>
      </c>
      <c r="CR947" s="109">
        <f t="shared" si="356"/>
        <v>37273.203120043836</v>
      </c>
      <c r="CT947" s="58">
        <f t="array" ref="CT947">SUM(IF(CQ947:CR947&gt;=CQ947, 1))</f>
        <v>2</v>
      </c>
      <c r="CU947" s="58">
        <f t="array" ref="CU947">SUM(IF(CQ947:CR947&gt;=CR947, 1))</f>
        <v>1</v>
      </c>
      <c r="CW947" s="109">
        <f t="shared" si="357"/>
        <v>-44519118.383377835</v>
      </c>
      <c r="CX947" s="109">
        <f t="shared" si="358"/>
        <v>0</v>
      </c>
      <c r="CZ947" s="58">
        <f t="array" ref="CZ947">SUM(IF(CW947:CX947&gt;=CW947, 1))</f>
        <v>2</v>
      </c>
      <c r="DA947" s="58">
        <f t="array" ref="DA947">SUM(IF(CW947:CX947&gt;=CX947, 1))</f>
        <v>1</v>
      </c>
      <c r="DC947" s="109">
        <f t="shared" si="359"/>
        <v>-2524643.1466268399</v>
      </c>
      <c r="DD947" s="109">
        <f t="shared" si="360"/>
        <v>0</v>
      </c>
      <c r="DF947" s="58">
        <f t="array" ref="DF947">SUM(IF(DC947:DD947&gt;=DC947, 1))</f>
        <v>2</v>
      </c>
      <c r="DG947" s="58">
        <f t="array" ref="DG947">SUM(IF(DC947:DD947&gt;=DD947, 1))</f>
        <v>1</v>
      </c>
      <c r="DI947" s="109">
        <f t="shared" si="361"/>
        <v>-31746849.850203291</v>
      </c>
      <c r="DJ947" s="109">
        <f t="shared" si="362"/>
        <v>0</v>
      </c>
      <c r="DL947" s="58">
        <f t="array" ref="DL947">SUM(IF(DI947:DJ947&gt;=DI947, 1))</f>
        <v>2</v>
      </c>
      <c r="DM947" s="58">
        <f t="array" ref="DM947">SUM(IF(DI947:DJ947&gt;=DJ947, 1))</f>
        <v>1</v>
      </c>
      <c r="DO947" s="109">
        <f t="shared" si="363"/>
        <v>-6976596.3996461742</v>
      </c>
      <c r="DP947" s="109">
        <f t="shared" si="364"/>
        <v>0</v>
      </c>
      <c r="DR947" s="58">
        <f t="array" ref="DR947">SUM(IF(DO947:DP947&gt;=DO947, 1))</f>
        <v>2</v>
      </c>
      <c r="DS947" s="58">
        <f t="array" ref="DS947">SUM(IF(DO947:DP947&gt;=DP947, 1))</f>
        <v>1</v>
      </c>
      <c r="DU947" s="109">
        <f t="shared" si="365"/>
        <v>-29445331.814357772</v>
      </c>
      <c r="DV947" s="109">
        <f t="shared" si="366"/>
        <v>0</v>
      </c>
      <c r="DX947" s="58">
        <f t="array" ref="DX947">SUM(IF(DU947:DV947&gt;=DU947, 1))</f>
        <v>2</v>
      </c>
      <c r="DY947" s="58">
        <f t="array" ref="DY947">SUM(IF(DU947:DV947&gt;=DV947, 1))</f>
        <v>1</v>
      </c>
      <c r="EA947" s="109">
        <f t="shared" si="367"/>
        <v>-115212539.59421189</v>
      </c>
      <c r="EB947" s="109">
        <f t="shared" si="368"/>
        <v>0</v>
      </c>
      <c r="ED947" s="58">
        <f t="array" ref="ED947">SUM(IF(EA947:EB947&gt;=EA947, 1))</f>
        <v>2</v>
      </c>
      <c r="EE947" s="58">
        <f t="array" ref="EE947">SUM(IF(EA947:EB947&gt;=EB947, 1))</f>
        <v>1</v>
      </c>
    </row>
    <row r="948" spans="4:135" ht="12" customHeight="1" x14ac:dyDescent="0.25">
      <c r="D948" s="11">
        <v>932</v>
      </c>
      <c r="E948" s="72">
        <v>272.1552755549672</v>
      </c>
      <c r="F948" s="72">
        <v>251.38317603551087</v>
      </c>
      <c r="G948" s="73"/>
      <c r="H948" s="74">
        <v>5.8499651344216641</v>
      </c>
      <c r="I948" s="74">
        <v>5.8670156792193024</v>
      </c>
      <c r="J948" s="73"/>
      <c r="K948" s="72">
        <v>292.32117582760696</v>
      </c>
      <c r="L948" s="72">
        <v>271.05636515635234</v>
      </c>
      <c r="M948" s="73"/>
      <c r="N948" s="74">
        <v>6.7444204993789842</v>
      </c>
      <c r="O948" s="74">
        <v>6.759719972701645</v>
      </c>
      <c r="P948" s="73"/>
      <c r="Q948" s="72">
        <v>3510.0254245287188</v>
      </c>
      <c r="R948" s="72">
        <v>1645.564810998226</v>
      </c>
      <c r="S948" s="73"/>
      <c r="T948" s="74">
        <v>4.9481959866443335</v>
      </c>
      <c r="U948" s="74">
        <v>5.0542008495057464</v>
      </c>
      <c r="V948" s="73"/>
      <c r="W948" s="72">
        <v>11128.774781232029</v>
      </c>
      <c r="X948" s="72">
        <v>11076.584342653012</v>
      </c>
      <c r="Y948" s="73"/>
      <c r="Z948" s="74">
        <v>2.8235883813800431</v>
      </c>
      <c r="AA948" s="74">
        <v>2.8581322399474325</v>
      </c>
      <c r="AB948" s="73"/>
      <c r="AC948" s="72">
        <v>50489.537763107182</v>
      </c>
      <c r="AD948" s="72">
        <v>50097.0590806447</v>
      </c>
      <c r="AE948" s="73"/>
      <c r="AF948" s="74">
        <v>4.657047025266924</v>
      </c>
      <c r="AG948" s="74">
        <v>4.7571006173322621</v>
      </c>
      <c r="AH948" s="73"/>
      <c r="AI948" s="72">
        <v>2233604.7121640178</v>
      </c>
      <c r="AJ948" s="72">
        <v>0</v>
      </c>
      <c r="AK948" s="73"/>
      <c r="AL948" s="74">
        <v>-1833.4293637143842</v>
      </c>
      <c r="AM948" s="74">
        <v>0</v>
      </c>
      <c r="AN948" s="73"/>
      <c r="AO948" s="72">
        <v>148991.35955652865</v>
      </c>
      <c r="AP948" s="72">
        <v>0</v>
      </c>
      <c r="AQ948" s="73"/>
      <c r="AR948" s="74">
        <v>-107.19537390113913</v>
      </c>
      <c r="AS948" s="74">
        <v>0</v>
      </c>
      <c r="AT948" s="73"/>
      <c r="AU948" s="72">
        <v>44261648.090188764</v>
      </c>
      <c r="AV948" s="72">
        <v>0</v>
      </c>
      <c r="AW948" s="73"/>
      <c r="AX948" s="74">
        <v>-2516.5186659191636</v>
      </c>
      <c r="AY948" s="74">
        <v>0</v>
      </c>
      <c r="AZ948" s="73"/>
      <c r="BA948" s="72">
        <v>471719.65356462338</v>
      </c>
      <c r="BB948" s="72">
        <v>0</v>
      </c>
      <c r="BC948" s="73"/>
      <c r="BD948" s="74">
        <v>-312.22226599080022</v>
      </c>
      <c r="BE948" s="74">
        <v>0</v>
      </c>
      <c r="BF948" s="73"/>
      <c r="BG948" s="72">
        <v>6178756.8077490963</v>
      </c>
      <c r="BH948" s="72">
        <v>0</v>
      </c>
      <c r="BI948" s="73"/>
      <c r="BJ948" s="74">
        <v>-1575.134754414473</v>
      </c>
      <c r="BK948" s="74">
        <v>0</v>
      </c>
      <c r="BL948" s="73"/>
      <c r="BM948" s="72">
        <v>53294720.623223037</v>
      </c>
      <c r="BN948" s="72">
        <v>0</v>
      </c>
      <c r="BO948" s="73"/>
      <c r="BP948" s="74">
        <v>-6344.5004239399595</v>
      </c>
      <c r="BQ948" s="74">
        <v>0</v>
      </c>
      <c r="BS948" s="109">
        <f t="shared" si="348"/>
        <v>116727.14741287832</v>
      </c>
      <c r="BT948" s="109">
        <f t="shared" si="349"/>
        <v>117088.93040835054</v>
      </c>
      <c r="BV948" s="58">
        <f t="array" ref="BV948">SUM(IF(BS948:BT948&gt;=BS948, 1))</f>
        <v>2</v>
      </c>
      <c r="BW948" s="58">
        <f t="array" ref="BW948">SUM(IF(BS948:BT948&gt;=BT948, 1))</f>
        <v>1</v>
      </c>
      <c r="BY948" s="109">
        <f t="shared" si="350"/>
        <v>134596.08881175207</v>
      </c>
      <c r="BZ948" s="109">
        <f t="shared" si="351"/>
        <v>134923.34308887657</v>
      </c>
      <c r="CB948" s="58">
        <f t="array" ref="CB948">SUM(IF(BY948:BZ948&gt;=BY948, 1))</f>
        <v>2</v>
      </c>
      <c r="CC948" s="58">
        <f t="array" ref="CC948">SUM(IF(BY948:BZ948&gt;=BZ948, 1))</f>
        <v>1</v>
      </c>
      <c r="CE948" s="109">
        <f t="shared" si="352"/>
        <v>95453.894308357951</v>
      </c>
      <c r="CF948" s="109">
        <f t="shared" si="353"/>
        <v>99438.452179116706</v>
      </c>
      <c r="CH948" s="58">
        <f t="array" ref="CH948">SUM(IF(CE948:CF948&gt;=CE948, 1))</f>
        <v>2</v>
      </c>
      <c r="CI948" s="58">
        <f t="array" ref="CI948">SUM(IF(CE948:CF948&gt;=CF948, 1))</f>
        <v>1</v>
      </c>
      <c r="CK948" s="109">
        <f t="shared" si="354"/>
        <v>45342.992846368834</v>
      </c>
      <c r="CL948" s="109">
        <f t="shared" si="355"/>
        <v>46086.060456295636</v>
      </c>
      <c r="CN948" s="58">
        <f t="array" ref="CN948">SUM(IF(CK948:CL948&gt;=CK948, 1))</f>
        <v>2</v>
      </c>
      <c r="CO948" s="58">
        <f t="array" ref="CO948">SUM(IF(CK948:CL948&gt;=CL948, 1))</f>
        <v>1</v>
      </c>
      <c r="CQ948" s="109" cm="1">
        <f t="array" ref="CQ948">AF948*WTP-AC948</f>
        <v>42651.402742231301</v>
      </c>
      <c r="CR948" s="109">
        <f t="shared" si="356"/>
        <v>45044.953266000535</v>
      </c>
      <c r="CT948" s="58">
        <f t="array" ref="CT948">SUM(IF(CQ948:CR948&gt;=CQ948, 1))</f>
        <v>2</v>
      </c>
      <c r="CU948" s="58">
        <f t="array" ref="CU948">SUM(IF(CQ948:CR948&gt;=CR948, 1))</f>
        <v>1</v>
      </c>
      <c r="CW948" s="109">
        <f t="shared" si="357"/>
        <v>-38902191.9864517</v>
      </c>
      <c r="CX948" s="109">
        <f t="shared" si="358"/>
        <v>0</v>
      </c>
      <c r="CZ948" s="58">
        <f t="array" ref="CZ948">SUM(IF(CW948:CX948&gt;=CW948, 1))</f>
        <v>2</v>
      </c>
      <c r="DA948" s="58">
        <f t="array" ref="DA948">SUM(IF(CW948:CX948&gt;=CX948, 1))</f>
        <v>1</v>
      </c>
      <c r="DC948" s="109">
        <f t="shared" si="359"/>
        <v>-2292898.8375793113</v>
      </c>
      <c r="DD948" s="109">
        <f t="shared" si="360"/>
        <v>0</v>
      </c>
      <c r="DF948" s="58">
        <f t="array" ref="DF948">SUM(IF(DC948:DD948&gt;=DC948, 1))</f>
        <v>2</v>
      </c>
      <c r="DG948" s="58">
        <f t="array" ref="DG948">SUM(IF(DC948:DD948&gt;=DD948, 1))</f>
        <v>1</v>
      </c>
      <c r="DI948" s="109">
        <f t="shared" si="361"/>
        <v>-94592021.408572033</v>
      </c>
      <c r="DJ948" s="109">
        <f t="shared" si="362"/>
        <v>0</v>
      </c>
      <c r="DL948" s="58">
        <f t="array" ref="DL948">SUM(IF(DI948:DJ948&gt;=DI948, 1))</f>
        <v>2</v>
      </c>
      <c r="DM948" s="58">
        <f t="array" ref="DM948">SUM(IF(DI948:DJ948&gt;=DJ948, 1))</f>
        <v>1</v>
      </c>
      <c r="DO948" s="109">
        <f t="shared" si="363"/>
        <v>-6716164.973380628</v>
      </c>
      <c r="DP948" s="109">
        <f t="shared" si="364"/>
        <v>0</v>
      </c>
      <c r="DR948" s="58">
        <f t="array" ref="DR948">SUM(IF(DO948:DP948&gt;=DO948, 1))</f>
        <v>2</v>
      </c>
      <c r="DS948" s="58">
        <f t="array" ref="DS948">SUM(IF(DO948:DP948&gt;=DP948, 1))</f>
        <v>1</v>
      </c>
      <c r="DU948" s="109">
        <f t="shared" si="365"/>
        <v>-37681451.896038562</v>
      </c>
      <c r="DV948" s="109">
        <f t="shared" si="366"/>
        <v>0</v>
      </c>
      <c r="DX948" s="58">
        <f t="array" ref="DX948">SUM(IF(DU948:DV948&gt;=DU948, 1))</f>
        <v>2</v>
      </c>
      <c r="DY948" s="58">
        <f t="array" ref="DY948">SUM(IF(DU948:DV948&gt;=DV948, 1))</f>
        <v>1</v>
      </c>
      <c r="EA948" s="109">
        <f t="shared" si="367"/>
        <v>-180184729.10202223</v>
      </c>
      <c r="EB948" s="109">
        <f t="shared" si="368"/>
        <v>0</v>
      </c>
      <c r="ED948" s="58">
        <f t="array" ref="ED948">SUM(IF(EA948:EB948&gt;=EA948, 1))</f>
        <v>2</v>
      </c>
      <c r="EE948" s="58">
        <f t="array" ref="EE948">SUM(IF(EA948:EB948&gt;=EB948, 1))</f>
        <v>1</v>
      </c>
    </row>
    <row r="949" spans="4:135" ht="12" customHeight="1" x14ac:dyDescent="0.25">
      <c r="D949" s="11">
        <v>933</v>
      </c>
      <c r="E949" s="72">
        <v>219.68191567959946</v>
      </c>
      <c r="F949" s="72">
        <v>202.37685661938298</v>
      </c>
      <c r="G949" s="73"/>
      <c r="H949" s="74">
        <v>5.847055572521823</v>
      </c>
      <c r="I949" s="74">
        <v>5.8634222257640873</v>
      </c>
      <c r="J949" s="73"/>
      <c r="K949" s="72">
        <v>235.88121841668166</v>
      </c>
      <c r="L949" s="72">
        <v>218.15761494322496</v>
      </c>
      <c r="M949" s="73"/>
      <c r="N949" s="74">
        <v>6.6903636391017995</v>
      </c>
      <c r="O949" s="74">
        <v>6.704496435916572</v>
      </c>
      <c r="P949" s="73"/>
      <c r="Q949" s="72">
        <v>2493.7077108428693</v>
      </c>
      <c r="R949" s="72">
        <v>1254.4750280870899</v>
      </c>
      <c r="S949" s="73"/>
      <c r="T949" s="74">
        <v>4.768811185308846</v>
      </c>
      <c r="U949" s="74">
        <v>4.86136146400895</v>
      </c>
      <c r="V949" s="73"/>
      <c r="W949" s="72">
        <v>12253.109132638769</v>
      </c>
      <c r="X949" s="72">
        <v>12303.08666968804</v>
      </c>
      <c r="Y949" s="73"/>
      <c r="Z949" s="74">
        <v>2.8315600111053469</v>
      </c>
      <c r="AA949" s="74">
        <v>2.8777649411675714</v>
      </c>
      <c r="AB949" s="73"/>
      <c r="AC949" s="72">
        <v>51217.154707068148</v>
      </c>
      <c r="AD949" s="72">
        <v>50725.757458102489</v>
      </c>
      <c r="AE949" s="73"/>
      <c r="AF949" s="74">
        <v>4.6735279643953351</v>
      </c>
      <c r="AG949" s="74">
        <v>4.7874217627274858</v>
      </c>
      <c r="AH949" s="73"/>
      <c r="AI949" s="72">
        <v>1878038.0615866713</v>
      </c>
      <c r="AJ949" s="72">
        <v>0</v>
      </c>
      <c r="AK949" s="73"/>
      <c r="AL949" s="74">
        <v>-1776.197216247981</v>
      </c>
      <c r="AM949" s="74">
        <v>0</v>
      </c>
      <c r="AN949" s="73"/>
      <c r="AO949" s="72">
        <v>123245.80982857521</v>
      </c>
      <c r="AP949" s="72">
        <v>0</v>
      </c>
      <c r="AQ949" s="73"/>
      <c r="AR949" s="74">
        <v>-98.276176805010806</v>
      </c>
      <c r="AS949" s="74">
        <v>0</v>
      </c>
      <c r="AT949" s="73"/>
      <c r="AU949" s="72">
        <v>29174890.06481912</v>
      </c>
      <c r="AV949" s="72">
        <v>0</v>
      </c>
      <c r="AW949" s="73"/>
      <c r="AX949" s="74">
        <v>-2178.8839530437349</v>
      </c>
      <c r="AY949" s="74">
        <v>0</v>
      </c>
      <c r="AZ949" s="73"/>
      <c r="BA949" s="72">
        <v>-446141.12218088779</v>
      </c>
      <c r="BB949" s="72">
        <v>0</v>
      </c>
      <c r="BC949" s="73"/>
      <c r="BD949" s="74">
        <v>-412.46368999591778</v>
      </c>
      <c r="BE949" s="74">
        <v>0</v>
      </c>
      <c r="BF949" s="73"/>
      <c r="BG949" s="72">
        <v>7765352.173003885</v>
      </c>
      <c r="BH949" s="72">
        <v>0</v>
      </c>
      <c r="BI949" s="73"/>
      <c r="BJ949" s="74">
        <v>-1799.8176754791718</v>
      </c>
      <c r="BK949" s="74">
        <v>0</v>
      </c>
      <c r="BL949" s="73"/>
      <c r="BM949" s="72">
        <v>38495384.987057365</v>
      </c>
      <c r="BN949" s="72">
        <v>0</v>
      </c>
      <c r="BO949" s="73"/>
      <c r="BP949" s="74">
        <v>-6265.6387115718162</v>
      </c>
      <c r="BQ949" s="74">
        <v>0</v>
      </c>
      <c r="BS949" s="109">
        <f t="shared" si="348"/>
        <v>116721.42953475685</v>
      </c>
      <c r="BT949" s="109">
        <f t="shared" si="349"/>
        <v>117066.06765866237</v>
      </c>
      <c r="BV949" s="58">
        <f t="array" ref="BV949">SUM(IF(BS949:BT949&gt;=BS949, 1))</f>
        <v>2</v>
      </c>
      <c r="BW949" s="58">
        <f t="array" ref="BW949">SUM(IF(BS949:BT949&gt;=BT949, 1))</f>
        <v>1</v>
      </c>
      <c r="BY949" s="109">
        <f t="shared" si="350"/>
        <v>133571.39156361931</v>
      </c>
      <c r="BZ949" s="109">
        <f t="shared" si="351"/>
        <v>133871.77110338822</v>
      </c>
      <c r="CB949" s="58">
        <f t="array" ref="CB949">SUM(IF(BY949:BZ949&gt;=BY949, 1))</f>
        <v>2</v>
      </c>
      <c r="CC949" s="58">
        <f t="array" ref="CC949">SUM(IF(BY949:BZ949&gt;=BZ949, 1))</f>
        <v>1</v>
      </c>
      <c r="CE949" s="109">
        <f t="shared" si="352"/>
        <v>92882.515995334048</v>
      </c>
      <c r="CF949" s="109">
        <f t="shared" si="353"/>
        <v>95972.754252091909</v>
      </c>
      <c r="CH949" s="58">
        <f t="array" ref="CH949">SUM(IF(CE949:CF949&gt;=CE949, 1))</f>
        <v>2</v>
      </c>
      <c r="CI949" s="58">
        <f t="array" ref="CI949">SUM(IF(CE949:CF949&gt;=CF949, 1))</f>
        <v>1</v>
      </c>
      <c r="CK949" s="109">
        <f t="shared" si="354"/>
        <v>44378.091089468173</v>
      </c>
      <c r="CL949" s="109">
        <f t="shared" si="355"/>
        <v>45252.212153663386</v>
      </c>
      <c r="CN949" s="58">
        <f t="array" ref="CN949">SUM(IF(CK949:CL949&gt;=CK949, 1))</f>
        <v>2</v>
      </c>
      <c r="CO949" s="58">
        <f t="array" ref="CO949">SUM(IF(CK949:CL949&gt;=CL949, 1))</f>
        <v>1</v>
      </c>
      <c r="CQ949" s="109" cm="1">
        <f t="array" ref="CQ949">AF949*WTP-AC949</f>
        <v>42253.404580838549</v>
      </c>
      <c r="CR949" s="109">
        <f t="shared" si="356"/>
        <v>45022.67779644722</v>
      </c>
      <c r="CT949" s="58">
        <f t="array" ref="CT949">SUM(IF(CQ949:CR949&gt;=CQ949, 1))</f>
        <v>2</v>
      </c>
      <c r="CU949" s="58">
        <f t="array" ref="CU949">SUM(IF(CQ949:CR949&gt;=CR949, 1))</f>
        <v>1</v>
      </c>
      <c r="CW949" s="109">
        <f t="shared" si="357"/>
        <v>-37401982.386546291</v>
      </c>
      <c r="CX949" s="109">
        <f t="shared" si="358"/>
        <v>0</v>
      </c>
      <c r="CZ949" s="58">
        <f t="array" ref="CZ949">SUM(IF(CW949:CX949&gt;=CW949, 1))</f>
        <v>2</v>
      </c>
      <c r="DA949" s="58">
        <f t="array" ref="DA949">SUM(IF(CW949:CX949&gt;=CX949, 1))</f>
        <v>1</v>
      </c>
      <c r="DC949" s="109">
        <f t="shared" si="359"/>
        <v>-2088769.3459287914</v>
      </c>
      <c r="DD949" s="109">
        <f t="shared" si="360"/>
        <v>0</v>
      </c>
      <c r="DF949" s="58">
        <f t="array" ref="DF949">SUM(IF(DC949:DD949&gt;=DC949, 1))</f>
        <v>2</v>
      </c>
      <c r="DG949" s="58">
        <f t="array" ref="DG949">SUM(IF(DC949:DD949&gt;=DD949, 1))</f>
        <v>1</v>
      </c>
      <c r="DI949" s="109">
        <f t="shared" si="361"/>
        <v>-72752569.125693828</v>
      </c>
      <c r="DJ949" s="109">
        <f t="shared" si="362"/>
        <v>0</v>
      </c>
      <c r="DL949" s="58">
        <f t="array" ref="DL949">SUM(IF(DI949:DJ949&gt;=DI949, 1))</f>
        <v>2</v>
      </c>
      <c r="DM949" s="58">
        <f t="array" ref="DM949">SUM(IF(DI949:DJ949&gt;=DJ949, 1))</f>
        <v>1</v>
      </c>
      <c r="DO949" s="109">
        <f t="shared" si="363"/>
        <v>-7803132.6777374679</v>
      </c>
      <c r="DP949" s="109">
        <f t="shared" si="364"/>
        <v>0</v>
      </c>
      <c r="DR949" s="58">
        <f t="array" ref="DR949">SUM(IF(DO949:DP949&gt;=DO949, 1))</f>
        <v>2</v>
      </c>
      <c r="DS949" s="58">
        <f t="array" ref="DS949">SUM(IF(DO949:DP949&gt;=DP949, 1))</f>
        <v>1</v>
      </c>
      <c r="DU949" s="109">
        <f t="shared" si="365"/>
        <v>-43761705.682587318</v>
      </c>
      <c r="DV949" s="109">
        <f t="shared" si="366"/>
        <v>0</v>
      </c>
      <c r="DX949" s="58">
        <f t="array" ref="DX949">SUM(IF(DU949:DV949&gt;=DU949, 1))</f>
        <v>2</v>
      </c>
      <c r="DY949" s="58">
        <f t="array" ref="DY949">SUM(IF(DU949:DV949&gt;=DV949, 1))</f>
        <v>1</v>
      </c>
      <c r="EA949" s="109">
        <f t="shared" si="367"/>
        <v>-163808159.2184937</v>
      </c>
      <c r="EB949" s="109">
        <f t="shared" si="368"/>
        <v>0</v>
      </c>
      <c r="ED949" s="58">
        <f t="array" ref="ED949">SUM(IF(EA949:EB949&gt;=EA949, 1))</f>
        <v>2</v>
      </c>
      <c r="EE949" s="58">
        <f t="array" ref="EE949">SUM(IF(EA949:EB949&gt;=EB949, 1))</f>
        <v>1</v>
      </c>
    </row>
    <row r="950" spans="4:135" ht="12" customHeight="1" x14ac:dyDescent="0.25">
      <c r="D950" s="11">
        <v>934</v>
      </c>
      <c r="E950" s="72">
        <v>252.7263256922387</v>
      </c>
      <c r="F950" s="72">
        <v>232.47112254793811</v>
      </c>
      <c r="G950" s="73"/>
      <c r="H950" s="74">
        <v>5.8305440013692005</v>
      </c>
      <c r="I950" s="74">
        <v>5.844700493654269</v>
      </c>
      <c r="J950" s="73"/>
      <c r="K950" s="72">
        <v>271.44818008143881</v>
      </c>
      <c r="L950" s="72">
        <v>250.68931365017289</v>
      </c>
      <c r="M950" s="73"/>
      <c r="N950" s="74">
        <v>6.7237640525646185</v>
      </c>
      <c r="O950" s="74">
        <v>6.7355828534712678</v>
      </c>
      <c r="P950" s="73"/>
      <c r="Q950" s="72">
        <v>2129.5835223617028</v>
      </c>
      <c r="R950" s="72">
        <v>1765.7161238052763</v>
      </c>
      <c r="S950" s="73"/>
      <c r="T950" s="74">
        <v>4.6687774227494332</v>
      </c>
      <c r="U950" s="74">
        <v>4.7132513454793017</v>
      </c>
      <c r="V950" s="73"/>
      <c r="W950" s="72">
        <v>16629.652944863785</v>
      </c>
      <c r="X950" s="72">
        <v>16548.897544306688</v>
      </c>
      <c r="Y950" s="73"/>
      <c r="Z950" s="74">
        <v>2.9495360236854524</v>
      </c>
      <c r="AA950" s="74">
        <v>2.9851544552055245</v>
      </c>
      <c r="AB950" s="73"/>
      <c r="AC950" s="72">
        <v>51764.168123403506</v>
      </c>
      <c r="AD950" s="72">
        <v>51548.642427370876</v>
      </c>
      <c r="AE950" s="73"/>
      <c r="AF950" s="74">
        <v>4.5796023563801835</v>
      </c>
      <c r="AG950" s="74">
        <v>4.6379141814052058</v>
      </c>
      <c r="AH950" s="73"/>
      <c r="AI950" s="72">
        <v>2162365.0363534847</v>
      </c>
      <c r="AJ950" s="72">
        <v>0</v>
      </c>
      <c r="AK950" s="73"/>
      <c r="AL950" s="74">
        <v>-1511.290888398398</v>
      </c>
      <c r="AM950" s="74">
        <v>0</v>
      </c>
      <c r="AN950" s="73"/>
      <c r="AO950" s="72">
        <v>142993.63198757239</v>
      </c>
      <c r="AP950" s="72">
        <v>0</v>
      </c>
      <c r="AQ950" s="73"/>
      <c r="AR950" s="74">
        <v>-81.411635504065472</v>
      </c>
      <c r="AS950" s="74">
        <v>0</v>
      </c>
      <c r="AT950" s="73"/>
      <c r="AU950" s="72">
        <v>8578779.4507055189</v>
      </c>
      <c r="AV950" s="72">
        <v>0</v>
      </c>
      <c r="AW950" s="73"/>
      <c r="AX950" s="74">
        <v>-1048.5467396115048</v>
      </c>
      <c r="AY950" s="74">
        <v>0</v>
      </c>
      <c r="AZ950" s="73"/>
      <c r="BA950" s="72">
        <v>715465.97034582205</v>
      </c>
      <c r="BB950" s="72">
        <v>0</v>
      </c>
      <c r="BC950" s="73"/>
      <c r="BD950" s="74">
        <v>-315.56744804561748</v>
      </c>
      <c r="BE950" s="74">
        <v>0</v>
      </c>
      <c r="BF950" s="73"/>
      <c r="BG950" s="72">
        <v>3316506.8535247529</v>
      </c>
      <c r="BH950" s="72">
        <v>0</v>
      </c>
      <c r="BI950" s="73"/>
      <c r="BJ950" s="74">
        <v>-897.30167166584181</v>
      </c>
      <c r="BK950" s="74">
        <v>0</v>
      </c>
      <c r="BL950" s="73"/>
      <c r="BM950" s="72">
        <v>14916110.94291715</v>
      </c>
      <c r="BN950" s="72">
        <v>0</v>
      </c>
      <c r="BO950" s="73"/>
      <c r="BP950" s="74">
        <v>-3854.1183832254274</v>
      </c>
      <c r="BQ950" s="74">
        <v>0</v>
      </c>
      <c r="BS950" s="109">
        <f t="shared" si="348"/>
        <v>116358.15370169176</v>
      </c>
      <c r="BT950" s="109">
        <f t="shared" si="349"/>
        <v>116661.53875053744</v>
      </c>
      <c r="BV950" s="58">
        <f t="array" ref="BV950">SUM(IF(BS950:BT950&gt;=BS950, 1))</f>
        <v>2</v>
      </c>
      <c r="BW950" s="58">
        <f t="array" ref="BW950">SUM(IF(BS950:BT950&gt;=BT950, 1))</f>
        <v>1</v>
      </c>
      <c r="BY950" s="109">
        <f t="shared" si="350"/>
        <v>134203.83287121094</v>
      </c>
      <c r="BZ950" s="109">
        <f t="shared" si="351"/>
        <v>134460.9677557752</v>
      </c>
      <c r="CB950" s="58">
        <f t="array" ref="CB950">SUM(IF(BY950:BZ950&gt;=BY950, 1))</f>
        <v>2</v>
      </c>
      <c r="CC950" s="58">
        <f t="array" ref="CC950">SUM(IF(BY950:BZ950&gt;=BZ950, 1))</f>
        <v>1</v>
      </c>
      <c r="CE950" s="109">
        <f t="shared" si="352"/>
        <v>91245.964932626957</v>
      </c>
      <c r="CF950" s="109">
        <f t="shared" si="353"/>
        <v>92499.310785780748</v>
      </c>
      <c r="CH950" s="58">
        <f t="array" ref="CH950">SUM(IF(CE950:CF950&gt;=CE950, 1))</f>
        <v>2</v>
      </c>
      <c r="CI950" s="58">
        <f t="array" ref="CI950">SUM(IF(CE950:CF950&gt;=CF950, 1))</f>
        <v>1</v>
      </c>
      <c r="CK950" s="109">
        <f t="shared" si="354"/>
        <v>42361.067528845262</v>
      </c>
      <c r="CL950" s="109">
        <f t="shared" si="355"/>
        <v>43154.191559803803</v>
      </c>
      <c r="CN950" s="58">
        <f t="array" ref="CN950">SUM(IF(CK950:CL950&gt;=CK950, 1))</f>
        <v>2</v>
      </c>
      <c r="CO950" s="58">
        <f t="array" ref="CO950">SUM(IF(CK950:CL950&gt;=CL950, 1))</f>
        <v>1</v>
      </c>
      <c r="CQ950" s="109" cm="1">
        <f t="array" ref="CQ950">AF950*WTP-AC950</f>
        <v>39827.879004200164</v>
      </c>
      <c r="CR950" s="109">
        <f t="shared" si="356"/>
        <v>41209.641200733247</v>
      </c>
      <c r="CT950" s="58">
        <f t="array" ref="CT950">SUM(IF(CQ950:CR950&gt;=CQ950, 1))</f>
        <v>2</v>
      </c>
      <c r="CU950" s="58">
        <f t="array" ref="CU950">SUM(IF(CQ950:CR950&gt;=CR950, 1))</f>
        <v>1</v>
      </c>
      <c r="CW950" s="109">
        <f t="shared" si="357"/>
        <v>-32388182.804321446</v>
      </c>
      <c r="CX950" s="109">
        <f t="shared" si="358"/>
        <v>0</v>
      </c>
      <c r="CZ950" s="58">
        <f t="array" ref="CZ950">SUM(IF(CW950:CX950&gt;=CW950, 1))</f>
        <v>2</v>
      </c>
      <c r="DA950" s="58">
        <f t="array" ref="DA950">SUM(IF(CW950:CX950&gt;=CX950, 1))</f>
        <v>1</v>
      </c>
      <c r="DC950" s="109">
        <f t="shared" si="359"/>
        <v>-1771226.342068882</v>
      </c>
      <c r="DD950" s="109">
        <f t="shared" si="360"/>
        <v>0</v>
      </c>
      <c r="DF950" s="58">
        <f t="array" ref="DF950">SUM(IF(DC950:DD950&gt;=DC950, 1))</f>
        <v>2</v>
      </c>
      <c r="DG950" s="58">
        <f t="array" ref="DG950">SUM(IF(DC950:DD950&gt;=DD950, 1))</f>
        <v>1</v>
      </c>
      <c r="DI950" s="109">
        <f t="shared" si="361"/>
        <v>-29549714.242935613</v>
      </c>
      <c r="DJ950" s="109">
        <f t="shared" si="362"/>
        <v>0</v>
      </c>
      <c r="DL950" s="58">
        <f t="array" ref="DL950">SUM(IF(DI950:DJ950&gt;=DI950, 1))</f>
        <v>2</v>
      </c>
      <c r="DM950" s="58">
        <f t="array" ref="DM950">SUM(IF(DI950:DJ950&gt;=DJ950, 1))</f>
        <v>1</v>
      </c>
      <c r="DO950" s="109">
        <f t="shared" si="363"/>
        <v>-7026814.9312581718</v>
      </c>
      <c r="DP950" s="109">
        <f t="shared" si="364"/>
        <v>0</v>
      </c>
      <c r="DR950" s="58">
        <f t="array" ref="DR950">SUM(IF(DO950:DP950&gt;=DO950, 1))</f>
        <v>2</v>
      </c>
      <c r="DS950" s="58">
        <f t="array" ref="DS950">SUM(IF(DO950:DP950&gt;=DP950, 1))</f>
        <v>1</v>
      </c>
      <c r="DU950" s="109">
        <f t="shared" si="365"/>
        <v>-21262540.28684159</v>
      </c>
      <c r="DV950" s="109">
        <f t="shared" si="366"/>
        <v>0</v>
      </c>
      <c r="DX950" s="58">
        <f t="array" ref="DX950">SUM(IF(DU950:DV950&gt;=DU950, 1))</f>
        <v>2</v>
      </c>
      <c r="DY950" s="58">
        <f t="array" ref="DY950">SUM(IF(DU950:DV950&gt;=DV950, 1))</f>
        <v>1</v>
      </c>
      <c r="EA950" s="109">
        <f t="shared" si="367"/>
        <v>-91998478.607425705</v>
      </c>
      <c r="EB950" s="109">
        <f t="shared" si="368"/>
        <v>0</v>
      </c>
      <c r="ED950" s="58">
        <f t="array" ref="ED950">SUM(IF(EA950:EB950&gt;=EA950, 1))</f>
        <v>2</v>
      </c>
      <c r="EE950" s="58">
        <f t="array" ref="EE950">SUM(IF(EA950:EB950&gt;=EB950, 1))</f>
        <v>1</v>
      </c>
    </row>
    <row r="951" spans="4:135" ht="12" customHeight="1" x14ac:dyDescent="0.25">
      <c r="D951" s="11">
        <v>935</v>
      </c>
      <c r="E951" s="72">
        <v>260.33319124460979</v>
      </c>
      <c r="F951" s="72">
        <v>235.28339789368692</v>
      </c>
      <c r="G951" s="73"/>
      <c r="H951" s="74">
        <v>5.903239936208319</v>
      </c>
      <c r="I951" s="74">
        <v>5.9212106079990914</v>
      </c>
      <c r="J951" s="73"/>
      <c r="K951" s="72">
        <v>279.41864526533737</v>
      </c>
      <c r="L951" s="72">
        <v>253.75989096692501</v>
      </c>
      <c r="M951" s="73"/>
      <c r="N951" s="74">
        <v>6.6640404894771761</v>
      </c>
      <c r="O951" s="74">
        <v>6.6798106837925593</v>
      </c>
      <c r="P951" s="73"/>
      <c r="Q951" s="72">
        <v>2841.0363171802828</v>
      </c>
      <c r="R951" s="72">
        <v>1257.1897290221343</v>
      </c>
      <c r="S951" s="73"/>
      <c r="T951" s="74">
        <v>4.897745254864744</v>
      </c>
      <c r="U951" s="74">
        <v>5.0213401120092778</v>
      </c>
      <c r="V951" s="73"/>
      <c r="W951" s="72">
        <v>10644.350330781674</v>
      </c>
      <c r="X951" s="72">
        <v>10574.230401158131</v>
      </c>
      <c r="Y951" s="73"/>
      <c r="Z951" s="74">
        <v>2.890135206627205</v>
      </c>
      <c r="AA951" s="74">
        <v>2.9261628989903343</v>
      </c>
      <c r="AB951" s="73"/>
      <c r="AC951" s="72">
        <v>50865.559307362651</v>
      </c>
      <c r="AD951" s="72">
        <v>50584.619103120109</v>
      </c>
      <c r="AE951" s="73"/>
      <c r="AF951" s="74">
        <v>4.9898342745472419</v>
      </c>
      <c r="AG951" s="74">
        <v>5.0785677529960465</v>
      </c>
      <c r="AH951" s="73"/>
      <c r="AI951" s="72">
        <v>2721925.6984314099</v>
      </c>
      <c r="AJ951" s="72">
        <v>0</v>
      </c>
      <c r="AK951" s="73"/>
      <c r="AL951" s="74">
        <v>-1952.7040674600084</v>
      </c>
      <c r="AM951" s="74">
        <v>0</v>
      </c>
      <c r="AN951" s="73"/>
      <c r="AO951" s="72">
        <v>176913.56958832472</v>
      </c>
      <c r="AP951" s="72">
        <v>0</v>
      </c>
      <c r="AQ951" s="73"/>
      <c r="AR951" s="74">
        <v>-108.7333132773548</v>
      </c>
      <c r="AS951" s="74">
        <v>0</v>
      </c>
      <c r="AT951" s="73"/>
      <c r="AU951" s="72">
        <v>37061545.889966466</v>
      </c>
      <c r="AV951" s="72">
        <v>0</v>
      </c>
      <c r="AW951" s="73"/>
      <c r="AX951" s="74">
        <v>-2892.0834278228781</v>
      </c>
      <c r="AY951" s="74">
        <v>0</v>
      </c>
      <c r="AZ951" s="73"/>
      <c r="BA951" s="72">
        <v>625277.86025788414</v>
      </c>
      <c r="BB951" s="72">
        <v>0</v>
      </c>
      <c r="BC951" s="73"/>
      <c r="BD951" s="74">
        <v>-321.26841130318644</v>
      </c>
      <c r="BE951" s="74">
        <v>0</v>
      </c>
      <c r="BF951" s="73"/>
      <c r="BG951" s="72">
        <v>4533522.410461612</v>
      </c>
      <c r="BH951" s="72">
        <v>0</v>
      </c>
      <c r="BI951" s="73"/>
      <c r="BJ951" s="74">
        <v>-1431.889088962766</v>
      </c>
      <c r="BK951" s="74">
        <v>0</v>
      </c>
      <c r="BL951" s="73"/>
      <c r="BM951" s="72">
        <v>45119185.4287057</v>
      </c>
      <c r="BN951" s="72">
        <v>0</v>
      </c>
      <c r="BO951" s="73"/>
      <c r="BP951" s="74">
        <v>-6706.6783088261927</v>
      </c>
      <c r="BQ951" s="74">
        <v>0</v>
      </c>
      <c r="BS951" s="109">
        <f t="shared" si="348"/>
        <v>117804.46553292176</v>
      </c>
      <c r="BT951" s="109">
        <f t="shared" si="349"/>
        <v>118188.92876208815</v>
      </c>
      <c r="BV951" s="58">
        <f t="array" ref="BV951">SUM(IF(BS951:BT951&gt;=BS951, 1))</f>
        <v>2</v>
      </c>
      <c r="BW951" s="58">
        <f t="array" ref="BW951">SUM(IF(BS951:BT951&gt;=BT951, 1))</f>
        <v>1</v>
      </c>
      <c r="BY951" s="109">
        <f t="shared" si="350"/>
        <v>133001.3911442782</v>
      </c>
      <c r="BZ951" s="109">
        <f t="shared" si="351"/>
        <v>133342.45378488424</v>
      </c>
      <c r="CB951" s="58">
        <f t="array" ref="CB951">SUM(IF(BY951:BZ951&gt;=BY951, 1))</f>
        <v>2</v>
      </c>
      <c r="CC951" s="58">
        <f t="array" ref="CC951">SUM(IF(BY951:BZ951&gt;=BZ951, 1))</f>
        <v>1</v>
      </c>
      <c r="CE951" s="109">
        <f t="shared" si="352"/>
        <v>95113.868780114586</v>
      </c>
      <c r="CF951" s="109">
        <f t="shared" si="353"/>
        <v>99169.612511163417</v>
      </c>
      <c r="CH951" s="58">
        <f t="array" ref="CH951">SUM(IF(CE951:CF951&gt;=CE951, 1))</f>
        <v>2</v>
      </c>
      <c r="CI951" s="58">
        <f t="array" ref="CI951">SUM(IF(CE951:CF951&gt;=CF951, 1))</f>
        <v>1</v>
      </c>
      <c r="CK951" s="109">
        <f t="shared" si="354"/>
        <v>47158.353801762431</v>
      </c>
      <c r="CL951" s="109">
        <f t="shared" si="355"/>
        <v>47949.027578648558</v>
      </c>
      <c r="CN951" s="58">
        <f t="array" ref="CN951">SUM(IF(CK951:CL951&gt;=CK951, 1))</f>
        <v>2</v>
      </c>
      <c r="CO951" s="58">
        <f t="array" ref="CO951">SUM(IF(CK951:CL951&gt;=CL951, 1))</f>
        <v>1</v>
      </c>
      <c r="CQ951" s="109" cm="1">
        <f t="array" ref="CQ951">AF951*WTP-AC951</f>
        <v>48931.126183582193</v>
      </c>
      <c r="CR951" s="109">
        <f t="shared" si="356"/>
        <v>50986.735956800818</v>
      </c>
      <c r="CT951" s="58">
        <f t="array" ref="CT951">SUM(IF(CQ951:CR951&gt;=CQ951, 1))</f>
        <v>2</v>
      </c>
      <c r="CU951" s="58">
        <f t="array" ref="CU951">SUM(IF(CQ951:CR951&gt;=CR951, 1))</f>
        <v>1</v>
      </c>
      <c r="CW951" s="109">
        <f t="shared" si="357"/>
        <v>-41776007.047631577</v>
      </c>
      <c r="CX951" s="109">
        <f t="shared" si="358"/>
        <v>0</v>
      </c>
      <c r="CZ951" s="58">
        <f t="array" ref="CZ951">SUM(IF(CW951:CX951&gt;=CW951, 1))</f>
        <v>2</v>
      </c>
      <c r="DA951" s="58">
        <f t="array" ref="DA951">SUM(IF(CW951:CX951&gt;=CX951, 1))</f>
        <v>1</v>
      </c>
      <c r="DC951" s="109">
        <f t="shared" si="359"/>
        <v>-2351579.8351354203</v>
      </c>
      <c r="DD951" s="109">
        <f t="shared" si="360"/>
        <v>0</v>
      </c>
      <c r="DF951" s="58">
        <f t="array" ref="DF951">SUM(IF(DC951:DD951&gt;=DC951, 1))</f>
        <v>2</v>
      </c>
      <c r="DG951" s="58">
        <f t="array" ref="DG951">SUM(IF(DC951:DD951&gt;=DD951, 1))</f>
        <v>1</v>
      </c>
      <c r="DI951" s="109">
        <f t="shared" si="361"/>
        <v>-94903214.446424037</v>
      </c>
      <c r="DJ951" s="109">
        <f t="shared" si="362"/>
        <v>0</v>
      </c>
      <c r="DL951" s="58">
        <f t="array" ref="DL951">SUM(IF(DI951:DJ951&gt;=DI951, 1))</f>
        <v>2</v>
      </c>
      <c r="DM951" s="58">
        <f t="array" ref="DM951">SUM(IF(DI951:DJ951&gt;=DJ951, 1))</f>
        <v>1</v>
      </c>
      <c r="DO951" s="109">
        <f t="shared" si="363"/>
        <v>-7050646.0863216128</v>
      </c>
      <c r="DP951" s="109">
        <f t="shared" si="364"/>
        <v>0</v>
      </c>
      <c r="DR951" s="58">
        <f t="array" ref="DR951">SUM(IF(DO951:DP951&gt;=DO951, 1))</f>
        <v>2</v>
      </c>
      <c r="DS951" s="58">
        <f t="array" ref="DS951">SUM(IF(DO951:DP951&gt;=DP951, 1))</f>
        <v>1</v>
      </c>
      <c r="DU951" s="109">
        <f t="shared" si="365"/>
        <v>-33171304.189716931</v>
      </c>
      <c r="DV951" s="109">
        <f t="shared" si="366"/>
        <v>0</v>
      </c>
      <c r="DX951" s="58">
        <f t="array" ref="DX951">SUM(IF(DU951:DV951&gt;=DU951, 1))</f>
        <v>2</v>
      </c>
      <c r="DY951" s="58">
        <f t="array" ref="DY951">SUM(IF(DU951:DV951&gt;=DV951, 1))</f>
        <v>1</v>
      </c>
      <c r="EA951" s="109">
        <f t="shared" si="367"/>
        <v>-179252751.60522956</v>
      </c>
      <c r="EB951" s="109">
        <f t="shared" si="368"/>
        <v>0</v>
      </c>
      <c r="ED951" s="58">
        <f t="array" ref="ED951">SUM(IF(EA951:EB951&gt;=EA951, 1))</f>
        <v>2</v>
      </c>
      <c r="EE951" s="58">
        <f t="array" ref="EE951">SUM(IF(EA951:EB951&gt;=EB951, 1))</f>
        <v>1</v>
      </c>
    </row>
    <row r="952" spans="4:135" ht="12" customHeight="1" x14ac:dyDescent="0.25">
      <c r="D952" s="11">
        <v>936</v>
      </c>
      <c r="E952" s="72">
        <v>222.60767665689252</v>
      </c>
      <c r="F952" s="72">
        <v>202.39252070166444</v>
      </c>
      <c r="G952" s="73"/>
      <c r="H952" s="74">
        <v>5.8516109214422611</v>
      </c>
      <c r="I952" s="74">
        <v>5.8694091272620996</v>
      </c>
      <c r="J952" s="73"/>
      <c r="K952" s="72">
        <v>239.01245509059981</v>
      </c>
      <c r="L952" s="72">
        <v>218.28023812963062</v>
      </c>
      <c r="M952" s="73"/>
      <c r="N952" s="74">
        <v>6.6984685912389788</v>
      </c>
      <c r="O952" s="74">
        <v>6.7133634943206193</v>
      </c>
      <c r="P952" s="73"/>
      <c r="Q952" s="72">
        <v>2014.2719496027903</v>
      </c>
      <c r="R952" s="72">
        <v>1253.2016146531339</v>
      </c>
      <c r="S952" s="73"/>
      <c r="T952" s="74">
        <v>4.8665820596472242</v>
      </c>
      <c r="U952" s="74">
        <v>4.929357736260255</v>
      </c>
      <c r="V952" s="73"/>
      <c r="W952" s="72">
        <v>11500.478212242946</v>
      </c>
      <c r="X952" s="72">
        <v>11472.070214344751</v>
      </c>
      <c r="Y952" s="73"/>
      <c r="Z952" s="74">
        <v>2.9340407277500642</v>
      </c>
      <c r="AA952" s="74">
        <v>2.9782368959266803</v>
      </c>
      <c r="AB952" s="73"/>
      <c r="AC952" s="72">
        <v>50633.398049110729</v>
      </c>
      <c r="AD952" s="72">
        <v>49974.563580618851</v>
      </c>
      <c r="AE952" s="73"/>
      <c r="AF952" s="74">
        <v>4.6210050743129001</v>
      </c>
      <c r="AG952" s="74">
        <v>4.7825709640354344</v>
      </c>
      <c r="AH952" s="73"/>
      <c r="AI952" s="72">
        <v>2150201.8050159412</v>
      </c>
      <c r="AJ952" s="72">
        <v>0</v>
      </c>
      <c r="AK952" s="73"/>
      <c r="AL952" s="74">
        <v>-1893.1209021894558</v>
      </c>
      <c r="AM952" s="74">
        <v>0</v>
      </c>
      <c r="AN952" s="73"/>
      <c r="AO952" s="72">
        <v>143905.15217633586</v>
      </c>
      <c r="AP952" s="72">
        <v>0</v>
      </c>
      <c r="AQ952" s="73"/>
      <c r="AR952" s="74">
        <v>-103.38755853513186</v>
      </c>
      <c r="AS952" s="74">
        <v>0</v>
      </c>
      <c r="AT952" s="73"/>
      <c r="AU952" s="72">
        <v>17924278.832819376</v>
      </c>
      <c r="AV952" s="72">
        <v>0</v>
      </c>
      <c r="AW952" s="73"/>
      <c r="AX952" s="74">
        <v>-1478.4556431374926</v>
      </c>
      <c r="AY952" s="74">
        <v>0</v>
      </c>
      <c r="AZ952" s="73"/>
      <c r="BA952" s="72">
        <v>265269.22916472983</v>
      </c>
      <c r="BB952" s="72">
        <v>0</v>
      </c>
      <c r="BC952" s="73"/>
      <c r="BD952" s="74">
        <v>-412.69657602271474</v>
      </c>
      <c r="BE952" s="74">
        <v>0</v>
      </c>
      <c r="BF952" s="73"/>
      <c r="BG952" s="72">
        <v>10317247.671161275</v>
      </c>
      <c r="BH952" s="72">
        <v>0</v>
      </c>
      <c r="BI952" s="73"/>
      <c r="BJ952" s="74">
        <v>-2530.0972842155829</v>
      </c>
      <c r="BK952" s="74">
        <v>0</v>
      </c>
      <c r="BL952" s="73"/>
      <c r="BM952" s="72">
        <v>30800902.690337658</v>
      </c>
      <c r="BN952" s="72">
        <v>0</v>
      </c>
      <c r="BO952" s="73"/>
      <c r="BP952" s="74">
        <v>-6417.7579641003776</v>
      </c>
      <c r="BQ952" s="74">
        <v>0</v>
      </c>
      <c r="BS952" s="109">
        <f t="shared" si="348"/>
        <v>116809.61075218834</v>
      </c>
      <c r="BT952" s="109">
        <f t="shared" si="349"/>
        <v>117185.79002454033</v>
      </c>
      <c r="BV952" s="58">
        <f t="array" ref="BV952">SUM(IF(BS952:BT952&gt;=BS952, 1))</f>
        <v>2</v>
      </c>
      <c r="BW952" s="58">
        <f t="array" ref="BW952">SUM(IF(BS952:BT952&gt;=BT952, 1))</f>
        <v>1</v>
      </c>
      <c r="BY952" s="109">
        <f t="shared" si="350"/>
        <v>133730.35936968899</v>
      </c>
      <c r="BZ952" s="109">
        <f t="shared" si="351"/>
        <v>134048.98964828276</v>
      </c>
      <c r="CB952" s="58">
        <f t="array" ref="CB952">SUM(IF(BY952:BZ952&gt;=BY952, 1))</f>
        <v>2</v>
      </c>
      <c r="CC952" s="58">
        <f t="array" ref="CC952">SUM(IF(BY952:BZ952&gt;=BZ952, 1))</f>
        <v>1</v>
      </c>
      <c r="CE952" s="109">
        <f t="shared" si="352"/>
        <v>95317.369243341702</v>
      </c>
      <c r="CF952" s="109">
        <f t="shared" si="353"/>
        <v>97333.953110551956</v>
      </c>
      <c r="CH952" s="58">
        <f t="array" ref="CH952">SUM(IF(CE952:CF952&gt;=CE952, 1))</f>
        <v>2</v>
      </c>
      <c r="CI952" s="58">
        <f t="array" ref="CI952">SUM(IF(CE952:CF952&gt;=CF952, 1))</f>
        <v>1</v>
      </c>
      <c r="CK952" s="109">
        <f t="shared" si="354"/>
        <v>47180.336342758339</v>
      </c>
      <c r="CL952" s="109">
        <f t="shared" si="355"/>
        <v>48092.667704188854</v>
      </c>
      <c r="CN952" s="58">
        <f t="array" ref="CN952">SUM(IF(CK952:CL952&gt;=CK952, 1))</f>
        <v>2</v>
      </c>
      <c r="CO952" s="58">
        <f t="array" ref="CO952">SUM(IF(CK952:CL952&gt;=CL952, 1))</f>
        <v>1</v>
      </c>
      <c r="CQ952" s="109" cm="1">
        <f t="array" ref="CQ952">AF952*WTP-AC952</f>
        <v>41786.703437147276</v>
      </c>
      <c r="CR952" s="109">
        <f t="shared" si="356"/>
        <v>45676.855700089829</v>
      </c>
      <c r="CT952" s="58">
        <f t="array" ref="CT952">SUM(IF(CQ952:CR952&gt;=CQ952, 1))</f>
        <v>2</v>
      </c>
      <c r="CU952" s="58">
        <f t="array" ref="CU952">SUM(IF(CQ952:CR952&gt;=CR952, 1))</f>
        <v>1</v>
      </c>
      <c r="CW952" s="109">
        <f t="shared" si="357"/>
        <v>-40012619.848805062</v>
      </c>
      <c r="CX952" s="109">
        <f t="shared" si="358"/>
        <v>0</v>
      </c>
      <c r="CZ952" s="58">
        <f t="array" ref="CZ952">SUM(IF(CW952:CX952&gt;=CW952, 1))</f>
        <v>2</v>
      </c>
      <c r="DA952" s="58">
        <f t="array" ref="DA952">SUM(IF(CW952:CX952&gt;=CX952, 1))</f>
        <v>1</v>
      </c>
      <c r="DC952" s="109">
        <f t="shared" si="359"/>
        <v>-2211656.3228789731</v>
      </c>
      <c r="DD952" s="109">
        <f t="shared" si="360"/>
        <v>0</v>
      </c>
      <c r="DF952" s="58">
        <f t="array" ref="DF952">SUM(IF(DC952:DD952&gt;=DC952, 1))</f>
        <v>2</v>
      </c>
      <c r="DG952" s="58">
        <f t="array" ref="DG952">SUM(IF(DC952:DD952&gt;=DD952, 1))</f>
        <v>1</v>
      </c>
      <c r="DI952" s="109">
        <f t="shared" si="361"/>
        <v>-47493391.695569232</v>
      </c>
      <c r="DJ952" s="109">
        <f t="shared" si="362"/>
        <v>0</v>
      </c>
      <c r="DL952" s="58">
        <f t="array" ref="DL952">SUM(IF(DI952:DJ952&gt;=DI952, 1))</f>
        <v>2</v>
      </c>
      <c r="DM952" s="58">
        <f t="array" ref="DM952">SUM(IF(DI952:DJ952&gt;=DJ952, 1))</f>
        <v>1</v>
      </c>
      <c r="DO952" s="109">
        <f t="shared" si="363"/>
        <v>-8519200.7496190257</v>
      </c>
      <c r="DP952" s="109">
        <f t="shared" si="364"/>
        <v>0</v>
      </c>
      <c r="DR952" s="58">
        <f t="array" ref="DR952">SUM(IF(DO952:DP952&gt;=DO952, 1))</f>
        <v>2</v>
      </c>
      <c r="DS952" s="58">
        <f t="array" ref="DS952">SUM(IF(DO952:DP952&gt;=DP952, 1))</f>
        <v>1</v>
      </c>
      <c r="DU952" s="109">
        <f t="shared" si="365"/>
        <v>-60919193.355472937</v>
      </c>
      <c r="DV952" s="109">
        <f t="shared" si="366"/>
        <v>0</v>
      </c>
      <c r="DX952" s="58">
        <f t="array" ref="DX952">SUM(IF(DU952:DV952&gt;=DU952, 1))</f>
        <v>2</v>
      </c>
      <c r="DY952" s="58">
        <f t="array" ref="DY952">SUM(IF(DU952:DV952&gt;=DV952, 1))</f>
        <v>1</v>
      </c>
      <c r="EA952" s="109">
        <f t="shared" si="367"/>
        <v>-159156061.97234523</v>
      </c>
      <c r="EB952" s="109">
        <f t="shared" si="368"/>
        <v>0</v>
      </c>
      <c r="ED952" s="58">
        <f t="array" ref="ED952">SUM(IF(EA952:EB952&gt;=EA952, 1))</f>
        <v>2</v>
      </c>
      <c r="EE952" s="58">
        <f t="array" ref="EE952">SUM(IF(EA952:EB952&gt;=EB952, 1))</f>
        <v>1</v>
      </c>
    </row>
    <row r="953" spans="4:135" ht="12" customHeight="1" x14ac:dyDescent="0.25">
      <c r="D953" s="11">
        <v>937</v>
      </c>
      <c r="E953" s="72">
        <v>285.34957843520357</v>
      </c>
      <c r="F953" s="72">
        <v>276.90105829332964</v>
      </c>
      <c r="G953" s="73"/>
      <c r="H953" s="74">
        <v>5.7720140196192347</v>
      </c>
      <c r="I953" s="74">
        <v>5.7867709093572488</v>
      </c>
      <c r="J953" s="73"/>
      <c r="K953" s="72">
        <v>307.35326443100615</v>
      </c>
      <c r="L953" s="72">
        <v>298.67140873968162</v>
      </c>
      <c r="M953" s="73"/>
      <c r="N953" s="74">
        <v>6.6981184952786821</v>
      </c>
      <c r="O953" s="74">
        <v>6.7111281508379372</v>
      </c>
      <c r="P953" s="73"/>
      <c r="Q953" s="72">
        <v>2928.3800622011481</v>
      </c>
      <c r="R953" s="72">
        <v>1749.8433701266092</v>
      </c>
      <c r="S953" s="73"/>
      <c r="T953" s="74">
        <v>4.687597793376435</v>
      </c>
      <c r="U953" s="74">
        <v>4.7728342184575254</v>
      </c>
      <c r="V953" s="73"/>
      <c r="W953" s="72">
        <v>11262.019192223064</v>
      </c>
      <c r="X953" s="72">
        <v>11296.41580267694</v>
      </c>
      <c r="Y953" s="73"/>
      <c r="Z953" s="74">
        <v>3.0159357269567622</v>
      </c>
      <c r="AA953" s="74">
        <v>3.0672785092110186</v>
      </c>
      <c r="AB953" s="73"/>
      <c r="AC953" s="72">
        <v>49533.772492038785</v>
      </c>
      <c r="AD953" s="72">
        <v>49522.476004958138</v>
      </c>
      <c r="AE953" s="73"/>
      <c r="AF953" s="74">
        <v>4.1835969342538286</v>
      </c>
      <c r="AG953" s="74">
        <v>4.2502107526000863</v>
      </c>
      <c r="AH953" s="73"/>
      <c r="AI953" s="72">
        <v>902286.43014093011</v>
      </c>
      <c r="AJ953" s="72">
        <v>0</v>
      </c>
      <c r="AK953" s="73"/>
      <c r="AL953" s="74">
        <v>-1576.0087137275596</v>
      </c>
      <c r="AM953" s="74">
        <v>0</v>
      </c>
      <c r="AN953" s="73"/>
      <c r="AO953" s="72">
        <v>60442.788007906973</v>
      </c>
      <c r="AP953" s="72">
        <v>0</v>
      </c>
      <c r="AQ953" s="73"/>
      <c r="AR953" s="74">
        <v>-90.57278547139515</v>
      </c>
      <c r="AS953" s="74">
        <v>0</v>
      </c>
      <c r="AT953" s="73"/>
      <c r="AU953" s="72">
        <v>27337994.439859279</v>
      </c>
      <c r="AV953" s="72">
        <v>0</v>
      </c>
      <c r="AW953" s="73"/>
      <c r="AX953" s="74">
        <v>-1977.1916569169948</v>
      </c>
      <c r="AY953" s="74">
        <v>0</v>
      </c>
      <c r="AZ953" s="73"/>
      <c r="BA953" s="72">
        <v>-307897.32742625137</v>
      </c>
      <c r="BB953" s="72">
        <v>0</v>
      </c>
      <c r="BC953" s="73"/>
      <c r="BD953" s="74">
        <v>-459.58904758687481</v>
      </c>
      <c r="BE953" s="74">
        <v>0</v>
      </c>
      <c r="BF953" s="73"/>
      <c r="BG953" s="72">
        <v>182142.23860178216</v>
      </c>
      <c r="BH953" s="72">
        <v>0</v>
      </c>
      <c r="BI953" s="73"/>
      <c r="BJ953" s="74">
        <v>-1074.0675316831007</v>
      </c>
      <c r="BK953" s="74">
        <v>0</v>
      </c>
      <c r="BL953" s="73"/>
      <c r="BM953" s="72">
        <v>28174968.569183648</v>
      </c>
      <c r="BN953" s="72">
        <v>0</v>
      </c>
      <c r="BO953" s="73"/>
      <c r="BP953" s="74">
        <v>-5177.4297353859256</v>
      </c>
      <c r="BQ953" s="74">
        <v>0</v>
      </c>
      <c r="BS953" s="109">
        <f t="shared" si="348"/>
        <v>115154.9308139495</v>
      </c>
      <c r="BT953" s="109">
        <f t="shared" si="349"/>
        <v>115458.51712885164</v>
      </c>
      <c r="BV953" s="58">
        <f t="array" ref="BV953">SUM(IF(BS953:BT953&gt;=BS953, 1))</f>
        <v>2</v>
      </c>
      <c r="BW953" s="58">
        <f t="array" ref="BW953">SUM(IF(BS953:BT953&gt;=BT953, 1))</f>
        <v>1</v>
      </c>
      <c r="BY953" s="109">
        <f t="shared" si="350"/>
        <v>133655.01664114263</v>
      </c>
      <c r="BZ953" s="109">
        <f t="shared" si="351"/>
        <v>133923.89160801907</v>
      </c>
      <c r="CB953" s="58">
        <f t="array" ref="CB953">SUM(IF(BY953:BZ953&gt;=BY953, 1))</f>
        <v>2</v>
      </c>
      <c r="CC953" s="58">
        <f t="array" ref="CC953">SUM(IF(BY953:BZ953&gt;=BZ953, 1))</f>
        <v>1</v>
      </c>
      <c r="CE953" s="109">
        <f t="shared" si="352"/>
        <v>90823.575805327549</v>
      </c>
      <c r="CF953" s="109">
        <f t="shared" si="353"/>
        <v>93706.840999023902</v>
      </c>
      <c r="CH953" s="58">
        <f t="array" ref="CH953">SUM(IF(CE953:CF953&gt;=CE953, 1))</f>
        <v>2</v>
      </c>
      <c r="CI953" s="58">
        <f t="array" ref="CI953">SUM(IF(CE953:CF953&gt;=CF953, 1))</f>
        <v>1</v>
      </c>
      <c r="CK953" s="109">
        <f t="shared" si="354"/>
        <v>49056.69534691218</v>
      </c>
      <c r="CL953" s="109">
        <f t="shared" si="355"/>
        <v>50049.154381543427</v>
      </c>
      <c r="CN953" s="58">
        <f t="array" ref="CN953">SUM(IF(CK953:CL953&gt;=CK953, 1))</f>
        <v>2</v>
      </c>
      <c r="CO953" s="58">
        <f t="array" ref="CO953">SUM(IF(CK953:CL953&gt;=CL953, 1))</f>
        <v>1</v>
      </c>
      <c r="CQ953" s="109" cm="1">
        <f t="array" ref="CQ953">AF953*WTP-AC953</f>
        <v>34138.166193037789</v>
      </c>
      <c r="CR953" s="109">
        <f t="shared" si="356"/>
        <v>35481.739047043593</v>
      </c>
      <c r="CT953" s="58">
        <f t="array" ref="CT953">SUM(IF(CQ953:CR953&gt;=CQ953, 1))</f>
        <v>2</v>
      </c>
      <c r="CU953" s="58">
        <f t="array" ref="CU953">SUM(IF(CQ953:CR953&gt;=CR953, 1))</f>
        <v>1</v>
      </c>
      <c r="CW953" s="109">
        <f t="shared" si="357"/>
        <v>-32422460.704692122</v>
      </c>
      <c r="CX953" s="109">
        <f t="shared" si="358"/>
        <v>0</v>
      </c>
      <c r="CZ953" s="58">
        <f t="array" ref="CZ953">SUM(IF(CW953:CX953&gt;=CW953, 1))</f>
        <v>2</v>
      </c>
      <c r="DA953" s="58">
        <f t="array" ref="DA953">SUM(IF(CW953:CX953&gt;=CX953, 1))</f>
        <v>1</v>
      </c>
      <c r="DC953" s="109">
        <f t="shared" si="359"/>
        <v>-1871898.4974358098</v>
      </c>
      <c r="DD953" s="109">
        <f t="shared" si="360"/>
        <v>0</v>
      </c>
      <c r="DF953" s="58">
        <f t="array" ref="DF953">SUM(IF(DC953:DD953&gt;=DC953, 1))</f>
        <v>2</v>
      </c>
      <c r="DG953" s="58">
        <f t="array" ref="DG953">SUM(IF(DC953:DD953&gt;=DD953, 1))</f>
        <v>1</v>
      </c>
      <c r="DI953" s="109">
        <f t="shared" si="361"/>
        <v>-66881827.578199178</v>
      </c>
      <c r="DJ953" s="109">
        <f t="shared" si="362"/>
        <v>0</v>
      </c>
      <c r="DL953" s="58">
        <f t="array" ref="DL953">SUM(IF(DI953:DJ953&gt;=DI953, 1))</f>
        <v>2</v>
      </c>
      <c r="DM953" s="58">
        <f t="array" ref="DM953">SUM(IF(DI953:DJ953&gt;=DJ953, 1))</f>
        <v>1</v>
      </c>
      <c r="DO953" s="109">
        <f t="shared" si="363"/>
        <v>-8883883.624311246</v>
      </c>
      <c r="DP953" s="109">
        <f t="shared" si="364"/>
        <v>0</v>
      </c>
      <c r="DR953" s="58">
        <f t="array" ref="DR953">SUM(IF(DO953:DP953&gt;=DO953, 1))</f>
        <v>2</v>
      </c>
      <c r="DS953" s="58">
        <f t="array" ref="DS953">SUM(IF(DO953:DP953&gt;=DP953, 1))</f>
        <v>1</v>
      </c>
      <c r="DU953" s="109">
        <f t="shared" si="365"/>
        <v>-21663492.872263797</v>
      </c>
      <c r="DV953" s="109">
        <f t="shared" si="366"/>
        <v>0</v>
      </c>
      <c r="DX953" s="58">
        <f t="array" ref="DX953">SUM(IF(DU953:DV953&gt;=DU953, 1))</f>
        <v>2</v>
      </c>
      <c r="DY953" s="58">
        <f t="array" ref="DY953">SUM(IF(DU953:DV953&gt;=DV953, 1))</f>
        <v>1</v>
      </c>
      <c r="EA953" s="109">
        <f t="shared" si="367"/>
        <v>-131723563.27690215</v>
      </c>
      <c r="EB953" s="109">
        <f t="shared" si="368"/>
        <v>0</v>
      </c>
      <c r="ED953" s="58">
        <f t="array" ref="ED953">SUM(IF(EA953:EB953&gt;=EA953, 1))</f>
        <v>2</v>
      </c>
      <c r="EE953" s="58">
        <f t="array" ref="EE953">SUM(IF(EA953:EB953&gt;=EB953, 1))</f>
        <v>1</v>
      </c>
    </row>
    <row r="954" spans="4:135" ht="12" customHeight="1" x14ac:dyDescent="0.25">
      <c r="D954" s="11">
        <v>938</v>
      </c>
      <c r="E954" s="72">
        <v>269.43256694790847</v>
      </c>
      <c r="F954" s="72">
        <v>249.48486640987971</v>
      </c>
      <c r="G954" s="73"/>
      <c r="H954" s="74">
        <v>5.8492678135337028</v>
      </c>
      <c r="I954" s="74">
        <v>5.8659569562084073</v>
      </c>
      <c r="J954" s="73"/>
      <c r="K954" s="72">
        <v>289.47077548161161</v>
      </c>
      <c r="L954" s="72">
        <v>269.03067422580284</v>
      </c>
      <c r="M954" s="73"/>
      <c r="N954" s="74">
        <v>6.7194019768331046</v>
      </c>
      <c r="O954" s="74">
        <v>6.7340057303409742</v>
      </c>
      <c r="P954" s="73"/>
      <c r="Q954" s="72">
        <v>1770.2087861679845</v>
      </c>
      <c r="R954" s="72">
        <v>1137.250558635569</v>
      </c>
      <c r="S954" s="73"/>
      <c r="T954" s="74">
        <v>4.924660671265471</v>
      </c>
      <c r="U954" s="74">
        <v>4.9957708077266139</v>
      </c>
      <c r="V954" s="73"/>
      <c r="W954" s="72">
        <v>13756.392061520497</v>
      </c>
      <c r="X954" s="72">
        <v>13753.326149582794</v>
      </c>
      <c r="Y954" s="73"/>
      <c r="Z954" s="74">
        <v>3.1048917525616289</v>
      </c>
      <c r="AA954" s="74">
        <v>3.145765394935732</v>
      </c>
      <c r="AB954" s="73"/>
      <c r="AC954" s="72">
        <v>51486.935914417991</v>
      </c>
      <c r="AD954" s="72">
        <v>50504.971807738752</v>
      </c>
      <c r="AE954" s="73"/>
      <c r="AF954" s="74">
        <v>4.5342556999341861</v>
      </c>
      <c r="AG954" s="74">
        <v>4.706065480302871</v>
      </c>
      <c r="AH954" s="73"/>
      <c r="AI954" s="72">
        <v>2132961.26216025</v>
      </c>
      <c r="AJ954" s="72">
        <v>0</v>
      </c>
      <c r="AK954" s="73"/>
      <c r="AL954" s="74">
        <v>-1784.5312423828798</v>
      </c>
      <c r="AM954" s="74">
        <v>0</v>
      </c>
      <c r="AN954" s="73"/>
      <c r="AO954" s="72">
        <v>136250.19292840516</v>
      </c>
      <c r="AP954" s="72">
        <v>0</v>
      </c>
      <c r="AQ954" s="73"/>
      <c r="AR954" s="74">
        <v>-97.346104504283815</v>
      </c>
      <c r="AS954" s="74">
        <v>0</v>
      </c>
      <c r="AT954" s="73"/>
      <c r="AU954" s="72">
        <v>14939877.340449575</v>
      </c>
      <c r="AV954" s="72">
        <v>0</v>
      </c>
      <c r="AW954" s="73"/>
      <c r="AX954" s="74">
        <v>-1678.4310088420452</v>
      </c>
      <c r="AY954" s="74">
        <v>0</v>
      </c>
      <c r="AZ954" s="73"/>
      <c r="BA954" s="72">
        <v>26804.02233693</v>
      </c>
      <c r="BB954" s="72">
        <v>0</v>
      </c>
      <c r="BC954" s="73"/>
      <c r="BD954" s="74">
        <v>-357.34164759078669</v>
      </c>
      <c r="BE954" s="74">
        <v>0</v>
      </c>
      <c r="BF954" s="73"/>
      <c r="BG954" s="72">
        <v>14996094.956444932</v>
      </c>
      <c r="BH954" s="72">
        <v>0</v>
      </c>
      <c r="BI954" s="73"/>
      <c r="BJ954" s="74">
        <v>-2623.7983275862834</v>
      </c>
      <c r="BK954" s="74">
        <v>0</v>
      </c>
      <c r="BL954" s="73"/>
      <c r="BM954" s="72">
        <v>32231987.774320096</v>
      </c>
      <c r="BN954" s="72">
        <v>0</v>
      </c>
      <c r="BO954" s="73"/>
      <c r="BP954" s="74">
        <v>-6541.4483309062789</v>
      </c>
      <c r="BQ954" s="74">
        <v>0</v>
      </c>
      <c r="BS954" s="109">
        <f t="shared" si="348"/>
        <v>116715.92370372615</v>
      </c>
      <c r="BT954" s="109">
        <f t="shared" si="349"/>
        <v>117069.65425775826</v>
      </c>
      <c r="BV954" s="58">
        <f t="array" ref="BV954">SUM(IF(BS954:BT954&gt;=BS954, 1))</f>
        <v>2</v>
      </c>
      <c r="BW954" s="58">
        <f t="array" ref="BW954">SUM(IF(BS954:BT954&gt;=BT954, 1))</f>
        <v>1</v>
      </c>
      <c r="BY954" s="109">
        <f t="shared" si="350"/>
        <v>134098.56876118048</v>
      </c>
      <c r="BZ954" s="109">
        <f t="shared" si="351"/>
        <v>134411.0839325937</v>
      </c>
      <c r="CB954" s="58">
        <f t="array" ref="CB954">SUM(IF(BY954:BZ954&gt;=BY954, 1))</f>
        <v>2</v>
      </c>
      <c r="CC954" s="58">
        <f t="array" ref="CC954">SUM(IF(BY954:BZ954&gt;=BZ954, 1))</f>
        <v>1</v>
      </c>
      <c r="CE954" s="109">
        <f t="shared" si="352"/>
        <v>96723.004639141436</v>
      </c>
      <c r="CF954" s="109">
        <f t="shared" si="353"/>
        <v>98778.165595896702</v>
      </c>
      <c r="CH954" s="58">
        <f t="array" ref="CH954">SUM(IF(CE954:CF954&gt;=CE954, 1))</f>
        <v>2</v>
      </c>
      <c r="CI954" s="58">
        <f t="array" ref="CI954">SUM(IF(CE954:CF954&gt;=CF954, 1))</f>
        <v>1</v>
      </c>
      <c r="CK954" s="109">
        <f t="shared" si="354"/>
        <v>48341.442989712079</v>
      </c>
      <c r="CL954" s="109">
        <f t="shared" si="355"/>
        <v>49161.981749131854</v>
      </c>
      <c r="CN954" s="58">
        <f t="array" ref="CN954">SUM(IF(CK954:CL954&gt;=CK954, 1))</f>
        <v>2</v>
      </c>
      <c r="CO954" s="58">
        <f t="array" ref="CO954">SUM(IF(CK954:CL954&gt;=CL954, 1))</f>
        <v>1</v>
      </c>
      <c r="CQ954" s="109" cm="1">
        <f t="array" ref="CQ954">AF954*WTP-AC954</f>
        <v>39198.178084265732</v>
      </c>
      <c r="CR954" s="109">
        <f t="shared" si="356"/>
        <v>43616.337798318666</v>
      </c>
      <c r="CT954" s="58">
        <f t="array" ref="CT954">SUM(IF(CQ954:CR954&gt;=CQ954, 1))</f>
        <v>2</v>
      </c>
      <c r="CU954" s="58">
        <f t="array" ref="CU954">SUM(IF(CQ954:CR954&gt;=CR954, 1))</f>
        <v>1</v>
      </c>
      <c r="CW954" s="109">
        <f t="shared" si="357"/>
        <v>-37823586.109817848</v>
      </c>
      <c r="CX954" s="109">
        <f t="shared" si="358"/>
        <v>0</v>
      </c>
      <c r="CZ954" s="58">
        <f t="array" ref="CZ954">SUM(IF(CW954:CX954&gt;=CW954, 1))</f>
        <v>2</v>
      </c>
      <c r="DA954" s="58">
        <f t="array" ref="DA954">SUM(IF(CW954:CX954&gt;=CX954, 1))</f>
        <v>1</v>
      </c>
      <c r="DC954" s="109">
        <f t="shared" si="359"/>
        <v>-2083172.2830140817</v>
      </c>
      <c r="DD954" s="109">
        <f t="shared" si="360"/>
        <v>0</v>
      </c>
      <c r="DF954" s="58">
        <f t="array" ref="DF954">SUM(IF(DC954:DD954&gt;=DC954, 1))</f>
        <v>2</v>
      </c>
      <c r="DG954" s="58">
        <f t="array" ref="DG954">SUM(IF(DC954:DD954&gt;=DD954, 1))</f>
        <v>1</v>
      </c>
      <c r="DI954" s="109">
        <f t="shared" si="361"/>
        <v>-48508497.517290473</v>
      </c>
      <c r="DJ954" s="109">
        <f t="shared" si="362"/>
        <v>0</v>
      </c>
      <c r="DL954" s="58">
        <f t="array" ref="DL954">SUM(IF(DI954:DJ954&gt;=DI954, 1))</f>
        <v>2</v>
      </c>
      <c r="DM954" s="58">
        <f t="array" ref="DM954">SUM(IF(DI954:DJ954&gt;=DJ954, 1))</f>
        <v>1</v>
      </c>
      <c r="DO954" s="109">
        <f t="shared" si="363"/>
        <v>-7173636.9741526637</v>
      </c>
      <c r="DP954" s="109">
        <f t="shared" si="364"/>
        <v>0</v>
      </c>
      <c r="DR954" s="58">
        <f t="array" ref="DR954">SUM(IF(DO954:DP954&gt;=DO954, 1))</f>
        <v>2</v>
      </c>
      <c r="DS954" s="58">
        <f t="array" ref="DS954">SUM(IF(DO954:DP954&gt;=DP954, 1))</f>
        <v>1</v>
      </c>
      <c r="DU954" s="109">
        <f t="shared" si="365"/>
        <v>-67472061.508170605</v>
      </c>
      <c r="DV954" s="109">
        <f t="shared" si="366"/>
        <v>0</v>
      </c>
      <c r="DX954" s="58">
        <f t="array" ref="DX954">SUM(IF(DU954:DV954&gt;=DU954, 1))</f>
        <v>2</v>
      </c>
      <c r="DY954" s="58">
        <f t="array" ref="DY954">SUM(IF(DU954:DV954&gt;=DV954, 1))</f>
        <v>1</v>
      </c>
      <c r="EA954" s="109">
        <f t="shared" si="367"/>
        <v>-163060954.39244568</v>
      </c>
      <c r="EB954" s="109">
        <f t="shared" si="368"/>
        <v>0</v>
      </c>
      <c r="ED954" s="58">
        <f t="array" ref="ED954">SUM(IF(EA954:EB954&gt;=EA954, 1))</f>
        <v>2</v>
      </c>
      <c r="EE954" s="58">
        <f t="array" ref="EE954">SUM(IF(EA954:EB954&gt;=EB954, 1))</f>
        <v>1</v>
      </c>
    </row>
    <row r="955" spans="4:135" ht="12" customHeight="1" x14ac:dyDescent="0.25">
      <c r="D955" s="11">
        <v>939</v>
      </c>
      <c r="E955" s="72">
        <v>248.49886642902584</v>
      </c>
      <c r="F955" s="72">
        <v>217.74563766480441</v>
      </c>
      <c r="G955" s="73"/>
      <c r="H955" s="74">
        <v>5.8289467476707522</v>
      </c>
      <c r="I955" s="74">
        <v>5.8455435277747734</v>
      </c>
      <c r="J955" s="73"/>
      <c r="K955" s="72">
        <v>266.19613878428538</v>
      </c>
      <c r="L955" s="72">
        <v>234.71175839107494</v>
      </c>
      <c r="M955" s="73"/>
      <c r="N955" s="74">
        <v>6.7014038211765747</v>
      </c>
      <c r="O955" s="74">
        <v>6.7155756514014806</v>
      </c>
      <c r="P955" s="73"/>
      <c r="Q955" s="72">
        <v>2662.5990163500164</v>
      </c>
      <c r="R955" s="72">
        <v>1386.6261776209171</v>
      </c>
      <c r="S955" s="73"/>
      <c r="T955" s="74">
        <v>4.9492750184147862</v>
      </c>
      <c r="U955" s="74">
        <v>5.049738061894093</v>
      </c>
      <c r="V955" s="73"/>
      <c r="W955" s="72">
        <v>11590.380722529164</v>
      </c>
      <c r="X955" s="72">
        <v>11563.295920410263</v>
      </c>
      <c r="Y955" s="73"/>
      <c r="Z955" s="74">
        <v>3.0197316852195328</v>
      </c>
      <c r="AA955" s="74">
        <v>3.0731260788912214</v>
      </c>
      <c r="AB955" s="73"/>
      <c r="AC955" s="72">
        <v>48469.775087181857</v>
      </c>
      <c r="AD955" s="72">
        <v>48341.865008162931</v>
      </c>
      <c r="AE955" s="73"/>
      <c r="AF955" s="74">
        <v>4.8265179536253529</v>
      </c>
      <c r="AG955" s="74">
        <v>4.9271368147848555</v>
      </c>
      <c r="AH955" s="73"/>
      <c r="AI955" s="72">
        <v>3342279.0527339955</v>
      </c>
      <c r="AJ955" s="72">
        <v>0</v>
      </c>
      <c r="AK955" s="73"/>
      <c r="AL955" s="74">
        <v>-1803.7478571693246</v>
      </c>
      <c r="AM955" s="74">
        <v>0</v>
      </c>
      <c r="AN955" s="73"/>
      <c r="AO955" s="72">
        <v>214911.47732606914</v>
      </c>
      <c r="AP955" s="72">
        <v>0</v>
      </c>
      <c r="AQ955" s="73"/>
      <c r="AR955" s="74">
        <v>-96.736506547403962</v>
      </c>
      <c r="AS955" s="74">
        <v>0</v>
      </c>
      <c r="AT955" s="73"/>
      <c r="AU955" s="72">
        <v>29383317.337470274</v>
      </c>
      <c r="AV955" s="72">
        <v>0</v>
      </c>
      <c r="AW955" s="73"/>
      <c r="AX955" s="74">
        <v>-2313.4798779735379</v>
      </c>
      <c r="AY955" s="74">
        <v>0</v>
      </c>
      <c r="AZ955" s="73"/>
      <c r="BA955" s="72">
        <v>240571.57807397476</v>
      </c>
      <c r="BB955" s="72">
        <v>0</v>
      </c>
      <c r="BC955" s="73"/>
      <c r="BD955" s="74">
        <v>-474.25761094769393</v>
      </c>
      <c r="BE955" s="74">
        <v>0</v>
      </c>
      <c r="BF955" s="73"/>
      <c r="BG955" s="72">
        <v>2002466.0893348099</v>
      </c>
      <c r="BH955" s="72">
        <v>0</v>
      </c>
      <c r="BI955" s="73"/>
      <c r="BJ955" s="74">
        <v>-1575.2148616027293</v>
      </c>
      <c r="BK955" s="74">
        <v>0</v>
      </c>
      <c r="BL955" s="73"/>
      <c r="BM955" s="72">
        <v>35183545.534939125</v>
      </c>
      <c r="BN955" s="72">
        <v>0</v>
      </c>
      <c r="BO955" s="73"/>
      <c r="BP955" s="74">
        <v>-6263.43671424069</v>
      </c>
      <c r="BQ955" s="74">
        <v>0</v>
      </c>
      <c r="BS955" s="109">
        <f t="shared" si="348"/>
        <v>116330.43608698601</v>
      </c>
      <c r="BT955" s="109">
        <f t="shared" si="349"/>
        <v>116693.12491783066</v>
      </c>
      <c r="BV955" s="58">
        <f t="array" ref="BV955">SUM(IF(BS955:BT955&gt;=BS955, 1))</f>
        <v>2</v>
      </c>
      <c r="BW955" s="58">
        <f t="array" ref="BW955">SUM(IF(BS955:BT955&gt;=BT955, 1))</f>
        <v>1</v>
      </c>
      <c r="BY955" s="109">
        <f t="shared" si="350"/>
        <v>133761.8802847472</v>
      </c>
      <c r="BZ955" s="109">
        <f t="shared" si="351"/>
        <v>134076.80126963853</v>
      </c>
      <c r="CB955" s="58">
        <f t="array" ref="CB955">SUM(IF(BY955:BZ955&gt;=BY955, 1))</f>
        <v>2</v>
      </c>
      <c r="CC955" s="58">
        <f t="array" ref="CC955">SUM(IF(BY955:BZ955&gt;=BZ955, 1))</f>
        <v>1</v>
      </c>
      <c r="CE955" s="109">
        <f t="shared" si="352"/>
        <v>96322.901351945708</v>
      </c>
      <c r="CF955" s="109">
        <f t="shared" si="353"/>
        <v>99608.135060260945</v>
      </c>
      <c r="CH955" s="58">
        <f t="array" ref="CH955">SUM(IF(CE955:CF955&gt;=CE955, 1))</f>
        <v>2</v>
      </c>
      <c r="CI955" s="58">
        <f t="array" ref="CI955">SUM(IF(CE955:CF955&gt;=CF955, 1))</f>
        <v>1</v>
      </c>
      <c r="CK955" s="109">
        <f t="shared" si="354"/>
        <v>48804.252981861486</v>
      </c>
      <c r="CL955" s="109">
        <f t="shared" si="355"/>
        <v>49899.225657414165</v>
      </c>
      <c r="CN955" s="58">
        <f t="array" ref="CN955">SUM(IF(CK955:CL955&gt;=CK955, 1))</f>
        <v>2</v>
      </c>
      <c r="CO955" s="58">
        <f t="array" ref="CO955">SUM(IF(CK955:CL955&gt;=CL955, 1))</f>
        <v>1</v>
      </c>
      <c r="CQ955" s="109" cm="1">
        <f t="array" ref="CQ955">AF955*WTP-AC955</f>
        <v>48060.583985325196</v>
      </c>
      <c r="CR955" s="109">
        <f t="shared" si="356"/>
        <v>50200.871287534173</v>
      </c>
      <c r="CT955" s="58">
        <f t="array" ref="CT955">SUM(IF(CQ955:CR955&gt;=CQ955, 1))</f>
        <v>2</v>
      </c>
      <c r="CU955" s="58">
        <f t="array" ref="CU955">SUM(IF(CQ955:CR955&gt;=CR955, 1))</f>
        <v>1</v>
      </c>
      <c r="CW955" s="109">
        <f t="shared" si="357"/>
        <v>-39417236.196120486</v>
      </c>
      <c r="CX955" s="109">
        <f t="shared" si="358"/>
        <v>0</v>
      </c>
      <c r="CZ955" s="58">
        <f t="array" ref="CZ955">SUM(IF(CW955:CX955&gt;=CW955, 1))</f>
        <v>2</v>
      </c>
      <c r="DA955" s="58">
        <f t="array" ref="DA955">SUM(IF(CW955:CX955&gt;=CX955, 1))</f>
        <v>1</v>
      </c>
      <c r="DC955" s="109">
        <f t="shared" si="359"/>
        <v>-2149641.6082741483</v>
      </c>
      <c r="DD955" s="109">
        <f t="shared" si="360"/>
        <v>0</v>
      </c>
      <c r="DF955" s="58">
        <f t="array" ref="DF955">SUM(IF(DC955:DD955&gt;=DC955, 1))</f>
        <v>2</v>
      </c>
      <c r="DG955" s="58">
        <f t="array" ref="DG955">SUM(IF(DC955:DD955&gt;=DD955, 1))</f>
        <v>1</v>
      </c>
      <c r="DI955" s="109">
        <f t="shared" si="361"/>
        <v>-75652914.896941036</v>
      </c>
      <c r="DJ955" s="109">
        <f t="shared" si="362"/>
        <v>0</v>
      </c>
      <c r="DL955" s="58">
        <f t="array" ref="DL955">SUM(IF(DI955:DJ955&gt;=DI955, 1))</f>
        <v>2</v>
      </c>
      <c r="DM955" s="58">
        <f t="array" ref="DM955">SUM(IF(DI955:DJ955&gt;=DJ955, 1))</f>
        <v>1</v>
      </c>
      <c r="DO955" s="109">
        <f t="shared" si="363"/>
        <v>-9725723.7970278542</v>
      </c>
      <c r="DP955" s="109">
        <f t="shared" si="364"/>
        <v>0</v>
      </c>
      <c r="DR955" s="58">
        <f t="array" ref="DR955">SUM(IF(DO955:DP955&gt;=DO955, 1))</f>
        <v>2</v>
      </c>
      <c r="DS955" s="58">
        <f t="array" ref="DS955">SUM(IF(DO955:DP955&gt;=DP955, 1))</f>
        <v>1</v>
      </c>
      <c r="DU955" s="109">
        <f t="shared" si="365"/>
        <v>-33506763.321389396</v>
      </c>
      <c r="DV955" s="109">
        <f t="shared" si="366"/>
        <v>0</v>
      </c>
      <c r="DX955" s="58">
        <f t="array" ref="DX955">SUM(IF(DU955:DV955&gt;=DU955, 1))</f>
        <v>2</v>
      </c>
      <c r="DY955" s="58">
        <f t="array" ref="DY955">SUM(IF(DU955:DV955&gt;=DV955, 1))</f>
        <v>1</v>
      </c>
      <c r="EA955" s="109">
        <f t="shared" si="367"/>
        <v>-160452279.81975293</v>
      </c>
      <c r="EB955" s="109">
        <f t="shared" si="368"/>
        <v>0</v>
      </c>
      <c r="ED955" s="58">
        <f t="array" ref="ED955">SUM(IF(EA955:EB955&gt;=EA955, 1))</f>
        <v>2</v>
      </c>
      <c r="EE955" s="58">
        <f t="array" ref="EE955">SUM(IF(EA955:EB955&gt;=EB955, 1))</f>
        <v>1</v>
      </c>
    </row>
    <row r="956" spans="4:135" ht="12" customHeight="1" x14ac:dyDescent="0.25">
      <c r="D956" s="11">
        <v>940</v>
      </c>
      <c r="E956" s="72">
        <v>266.480565788771</v>
      </c>
      <c r="F956" s="72">
        <v>252.1289101200783</v>
      </c>
      <c r="G956" s="73"/>
      <c r="H956" s="74">
        <v>5.8486156527184789</v>
      </c>
      <c r="I956" s="74">
        <v>5.8618630334325079</v>
      </c>
      <c r="J956" s="73"/>
      <c r="K956" s="72">
        <v>286.60075855243281</v>
      </c>
      <c r="L956" s="72">
        <v>271.88056852212719</v>
      </c>
      <c r="M956" s="73"/>
      <c r="N956" s="74">
        <v>6.7296003290657636</v>
      </c>
      <c r="O956" s="74">
        <v>6.7409005962419375</v>
      </c>
      <c r="P956" s="73"/>
      <c r="Q956" s="72">
        <v>1792.9204870490091</v>
      </c>
      <c r="R956" s="72">
        <v>1382.7349335230351</v>
      </c>
      <c r="S956" s="73"/>
      <c r="T956" s="74">
        <v>4.8438442105123167</v>
      </c>
      <c r="U956" s="74">
        <v>4.8917150201135096</v>
      </c>
      <c r="V956" s="73"/>
      <c r="W956" s="72">
        <v>10630.232720234262</v>
      </c>
      <c r="X956" s="72">
        <v>10622.721378937315</v>
      </c>
      <c r="Y956" s="73"/>
      <c r="Z956" s="74">
        <v>3.2053397919615674</v>
      </c>
      <c r="AA956" s="74">
        <v>3.2463041030354676</v>
      </c>
      <c r="AB956" s="73"/>
      <c r="AC956" s="72">
        <v>51422.961094503364</v>
      </c>
      <c r="AD956" s="72">
        <v>51310.322465031393</v>
      </c>
      <c r="AE956" s="73"/>
      <c r="AF956" s="74">
        <v>5.0551434394254651</v>
      </c>
      <c r="AG956" s="74">
        <v>5.1498068169870557</v>
      </c>
      <c r="AH956" s="73"/>
      <c r="AI956" s="72">
        <v>1524401.4438340086</v>
      </c>
      <c r="AJ956" s="72">
        <v>0</v>
      </c>
      <c r="AK956" s="73"/>
      <c r="AL956" s="74">
        <v>-1407.107775832256</v>
      </c>
      <c r="AM956" s="74">
        <v>0</v>
      </c>
      <c r="AN956" s="73"/>
      <c r="AO956" s="72">
        <v>102425.65447010107</v>
      </c>
      <c r="AP956" s="72">
        <v>0</v>
      </c>
      <c r="AQ956" s="73"/>
      <c r="AR956" s="74">
        <v>-78.629233646013347</v>
      </c>
      <c r="AS956" s="74">
        <v>0</v>
      </c>
      <c r="AT956" s="73"/>
      <c r="AU956" s="72">
        <v>9778777.7111026924</v>
      </c>
      <c r="AV956" s="72">
        <v>0</v>
      </c>
      <c r="AW956" s="73"/>
      <c r="AX956" s="74">
        <v>-1141.234745876887</v>
      </c>
      <c r="AY956" s="74">
        <v>0</v>
      </c>
      <c r="AZ956" s="73"/>
      <c r="BA956" s="72">
        <v>70408.054303789308</v>
      </c>
      <c r="BB956" s="72">
        <v>0</v>
      </c>
      <c r="BC956" s="73"/>
      <c r="BD956" s="74">
        <v>-383.98167844943083</v>
      </c>
      <c r="BE956" s="74">
        <v>0</v>
      </c>
      <c r="BF956" s="73"/>
      <c r="BG956" s="72">
        <v>1799470.7854925944</v>
      </c>
      <c r="BH956" s="72">
        <v>0</v>
      </c>
      <c r="BI956" s="73"/>
      <c r="BJ956" s="74">
        <v>-1512.3051760899368</v>
      </c>
      <c r="BK956" s="74">
        <v>0</v>
      </c>
      <c r="BL956" s="73"/>
      <c r="BM956" s="72">
        <v>13275483.649203185</v>
      </c>
      <c r="BN956" s="72">
        <v>0</v>
      </c>
      <c r="BO956" s="73"/>
      <c r="BP956" s="74">
        <v>-4523.2586098945239</v>
      </c>
      <c r="BQ956" s="74">
        <v>0</v>
      </c>
      <c r="BS956" s="109">
        <f t="shared" si="348"/>
        <v>116705.8324885808</v>
      </c>
      <c r="BT956" s="109">
        <f t="shared" si="349"/>
        <v>116985.13175853007</v>
      </c>
      <c r="BV956" s="58">
        <f t="array" ref="BV956">SUM(IF(BS956:BT956&gt;=BS956, 1))</f>
        <v>2</v>
      </c>
      <c r="BW956" s="58">
        <f t="array" ref="BW956">SUM(IF(BS956:BT956&gt;=BT956, 1))</f>
        <v>1</v>
      </c>
      <c r="BY956" s="109">
        <f t="shared" si="350"/>
        <v>134305.40582276284</v>
      </c>
      <c r="BZ956" s="109">
        <f t="shared" si="351"/>
        <v>134546.13135631665</v>
      </c>
      <c r="CB956" s="58">
        <f t="array" ref="CB956">SUM(IF(BY956:BZ956&gt;=BY956, 1))</f>
        <v>2</v>
      </c>
      <c r="CC956" s="58">
        <f t="array" ref="CC956">SUM(IF(BY956:BZ956&gt;=BZ956, 1))</f>
        <v>1</v>
      </c>
      <c r="CE956" s="109">
        <f t="shared" si="352"/>
        <v>95083.963723197332</v>
      </c>
      <c r="CF956" s="109">
        <f t="shared" si="353"/>
        <v>96451.565468747154</v>
      </c>
      <c r="CH956" s="58">
        <f t="array" ref="CH956">SUM(IF(CE956:CF956&gt;=CE956, 1))</f>
        <v>2</v>
      </c>
      <c r="CI956" s="58">
        <f t="array" ref="CI956">SUM(IF(CE956:CF956&gt;=CF956, 1))</f>
        <v>1</v>
      </c>
      <c r="CK956" s="109">
        <f t="shared" si="354"/>
        <v>53476.563118997081</v>
      </c>
      <c r="CL956" s="109">
        <f t="shared" si="355"/>
        <v>54303.360681772036</v>
      </c>
      <c r="CN956" s="58">
        <f t="array" ref="CN956">SUM(IF(CK956:CL956&gt;=CK956, 1))</f>
        <v>2</v>
      </c>
      <c r="CO956" s="58">
        <f t="array" ref="CO956">SUM(IF(CK956:CL956&gt;=CL956, 1))</f>
        <v>1</v>
      </c>
      <c r="CQ956" s="109" cm="1">
        <f t="array" ref="CQ956">AF956*WTP-AC956</f>
        <v>49679.907694005931</v>
      </c>
      <c r="CR956" s="109">
        <f t="shared" si="356"/>
        <v>51685.813874709725</v>
      </c>
      <c r="CT956" s="58">
        <f t="array" ref="CT956">SUM(IF(CQ956:CR956&gt;=CQ956, 1))</f>
        <v>2</v>
      </c>
      <c r="CU956" s="58">
        <f t="array" ref="CU956">SUM(IF(CQ956:CR956&gt;=CR956, 1))</f>
        <v>1</v>
      </c>
      <c r="CW956" s="109">
        <f t="shared" si="357"/>
        <v>-29666556.960479133</v>
      </c>
      <c r="CX956" s="109">
        <f t="shared" si="358"/>
        <v>0</v>
      </c>
      <c r="CZ956" s="58">
        <f t="array" ref="CZ956">SUM(IF(CW956:CX956&gt;=CW956, 1))</f>
        <v>2</v>
      </c>
      <c r="DA956" s="58">
        <f t="array" ref="DA956">SUM(IF(CW956:CX956&gt;=CX956, 1))</f>
        <v>1</v>
      </c>
      <c r="DC956" s="109">
        <f t="shared" si="359"/>
        <v>-1675010.3273903679</v>
      </c>
      <c r="DD956" s="109">
        <f t="shared" si="360"/>
        <v>0</v>
      </c>
      <c r="DF956" s="58">
        <f t="array" ref="DF956">SUM(IF(DC956:DD956&gt;=DC956, 1))</f>
        <v>2</v>
      </c>
      <c r="DG956" s="58">
        <f t="array" ref="DG956">SUM(IF(DC956:DD956&gt;=DD956, 1))</f>
        <v>1</v>
      </c>
      <c r="DI956" s="109">
        <f t="shared" si="361"/>
        <v>-32603472.628640436</v>
      </c>
      <c r="DJ956" s="109">
        <f t="shared" si="362"/>
        <v>0</v>
      </c>
      <c r="DL956" s="58">
        <f t="array" ref="DL956">SUM(IF(DI956:DJ956&gt;=DI956, 1))</f>
        <v>2</v>
      </c>
      <c r="DM956" s="58">
        <f t="array" ref="DM956">SUM(IF(DI956:DJ956&gt;=DJ956, 1))</f>
        <v>1</v>
      </c>
      <c r="DO956" s="109">
        <f t="shared" si="363"/>
        <v>-7750041.6232924061</v>
      </c>
      <c r="DP956" s="109">
        <f t="shared" si="364"/>
        <v>0</v>
      </c>
      <c r="DR956" s="58">
        <f t="array" ref="DR956">SUM(IF(DO956:DP956&gt;=DO956, 1))</f>
        <v>2</v>
      </c>
      <c r="DS956" s="58">
        <f t="array" ref="DS956">SUM(IF(DO956:DP956&gt;=DP956, 1))</f>
        <v>1</v>
      </c>
      <c r="DU956" s="109">
        <f t="shared" si="365"/>
        <v>-32045574.307291333</v>
      </c>
      <c r="DV956" s="109">
        <f t="shared" si="366"/>
        <v>0</v>
      </c>
      <c r="DX956" s="58">
        <f t="array" ref="DX956">SUM(IF(DU956:DV956&gt;=DU956, 1))</f>
        <v>2</v>
      </c>
      <c r="DY956" s="58">
        <f t="array" ref="DY956">SUM(IF(DU956:DV956&gt;=DV956, 1))</f>
        <v>1</v>
      </c>
      <c r="EA956" s="109">
        <f t="shared" si="367"/>
        <v>-103740655.84709366</v>
      </c>
      <c r="EB956" s="109">
        <f t="shared" si="368"/>
        <v>0</v>
      </c>
      <c r="ED956" s="58">
        <f t="array" ref="ED956">SUM(IF(EA956:EB956&gt;=EA956, 1))</f>
        <v>2</v>
      </c>
      <c r="EE956" s="58">
        <f t="array" ref="EE956">SUM(IF(EA956:EB956&gt;=EB956, 1))</f>
        <v>1</v>
      </c>
    </row>
    <row r="957" spans="4:135" ht="12" customHeight="1" x14ac:dyDescent="0.25">
      <c r="D957" s="11">
        <v>941</v>
      </c>
      <c r="E957" s="72">
        <v>270.1264532109069</v>
      </c>
      <c r="F957" s="72">
        <v>251.60884956158648</v>
      </c>
      <c r="G957" s="73"/>
      <c r="H957" s="74">
        <v>5.8070003430636108</v>
      </c>
      <c r="I957" s="74">
        <v>5.8215557621137357</v>
      </c>
      <c r="J957" s="73"/>
      <c r="K957" s="72">
        <v>290.16564770386606</v>
      </c>
      <c r="L957" s="72">
        <v>271.1894927936537</v>
      </c>
      <c r="M957" s="73"/>
      <c r="N957" s="74">
        <v>6.6909797447071071</v>
      </c>
      <c r="O957" s="74">
        <v>6.7034541372880367</v>
      </c>
      <c r="P957" s="73"/>
      <c r="Q957" s="72">
        <v>1910.8644072994541</v>
      </c>
      <c r="R957" s="72">
        <v>1318.5616555918359</v>
      </c>
      <c r="S957" s="73"/>
      <c r="T957" s="74">
        <v>4.7811860982047358</v>
      </c>
      <c r="U957" s="74">
        <v>4.8747158112698408</v>
      </c>
      <c r="V957" s="73"/>
      <c r="W957" s="72">
        <v>10070.507859855947</v>
      </c>
      <c r="X957" s="72">
        <v>10077.470389576421</v>
      </c>
      <c r="Y957" s="73"/>
      <c r="Z957" s="74">
        <v>3.0838556584548917</v>
      </c>
      <c r="AA957" s="74">
        <v>3.1325401390321232</v>
      </c>
      <c r="AB957" s="73"/>
      <c r="AC957" s="72">
        <v>50116.933232832569</v>
      </c>
      <c r="AD957" s="72">
        <v>49884.995539302596</v>
      </c>
      <c r="AE957" s="73"/>
      <c r="AF957" s="74">
        <v>4.4742367814829507</v>
      </c>
      <c r="AG957" s="74">
        <v>4.5779917249074691</v>
      </c>
      <c r="AH957" s="73"/>
      <c r="AI957" s="72">
        <v>1953288.9861810182</v>
      </c>
      <c r="AJ957" s="72">
        <v>0</v>
      </c>
      <c r="AK957" s="73"/>
      <c r="AL957" s="74">
        <v>-1535.3465955030185</v>
      </c>
      <c r="AM957" s="74">
        <v>0</v>
      </c>
      <c r="AN957" s="73"/>
      <c r="AO957" s="72">
        <v>135166.02166427241</v>
      </c>
      <c r="AP957" s="72">
        <v>0</v>
      </c>
      <c r="AQ957" s="73"/>
      <c r="AR957" s="74">
        <v>-88.854355680621154</v>
      </c>
      <c r="AS957" s="74">
        <v>0</v>
      </c>
      <c r="AT957" s="73"/>
      <c r="AU957" s="72">
        <v>13813083.511301586</v>
      </c>
      <c r="AV957" s="72">
        <v>0</v>
      </c>
      <c r="AW957" s="73"/>
      <c r="AX957" s="74">
        <v>-2181.205023329208</v>
      </c>
      <c r="AY957" s="74">
        <v>0</v>
      </c>
      <c r="AZ957" s="73"/>
      <c r="BA957" s="72">
        <v>-60225.316080144323</v>
      </c>
      <c r="BB957" s="72">
        <v>0</v>
      </c>
      <c r="BC957" s="73"/>
      <c r="BD957" s="74">
        <v>-421.11679930631283</v>
      </c>
      <c r="BE957" s="74">
        <v>0</v>
      </c>
      <c r="BF957" s="73"/>
      <c r="BG957" s="72">
        <v>3611275.2045576214</v>
      </c>
      <c r="BH957" s="72">
        <v>0</v>
      </c>
      <c r="BI957" s="73"/>
      <c r="BJ957" s="74">
        <v>-1615.4668473100999</v>
      </c>
      <c r="BK957" s="74">
        <v>0</v>
      </c>
      <c r="BL957" s="73"/>
      <c r="BM957" s="72">
        <v>19452588.407624353</v>
      </c>
      <c r="BN957" s="72">
        <v>0</v>
      </c>
      <c r="BO957" s="73"/>
      <c r="BP957" s="74">
        <v>-5841.9896211292607</v>
      </c>
      <c r="BQ957" s="74">
        <v>0</v>
      </c>
      <c r="BS957" s="109">
        <f t="shared" si="348"/>
        <v>115869.8804080613</v>
      </c>
      <c r="BT957" s="109">
        <f t="shared" si="349"/>
        <v>116179.50639271313</v>
      </c>
      <c r="BV957" s="58">
        <f t="array" ref="BV957">SUM(IF(BS957:BT957&gt;=BS957, 1))</f>
        <v>2</v>
      </c>
      <c r="BW957" s="58">
        <f t="array" ref="BW957">SUM(IF(BS957:BT957&gt;=BT957, 1))</f>
        <v>1</v>
      </c>
      <c r="BY957" s="109">
        <f t="shared" si="350"/>
        <v>133529.42924643829</v>
      </c>
      <c r="BZ957" s="109">
        <f t="shared" si="351"/>
        <v>133797.89325296707</v>
      </c>
      <c r="CB957" s="58">
        <f t="array" ref="CB957">SUM(IF(BY957:BZ957&gt;=BY957, 1))</f>
        <v>2</v>
      </c>
      <c r="CC957" s="58">
        <f t="array" ref="CC957">SUM(IF(BY957:BZ957&gt;=BZ957, 1))</f>
        <v>1</v>
      </c>
      <c r="CE957" s="109">
        <f t="shared" si="352"/>
        <v>93712.857556795265</v>
      </c>
      <c r="CF957" s="109">
        <f t="shared" si="353"/>
        <v>96175.75456980498</v>
      </c>
      <c r="CH957" s="58">
        <f t="array" ref="CH957">SUM(IF(CE957:CF957&gt;=CE957, 1))</f>
        <v>2</v>
      </c>
      <c r="CI957" s="58">
        <f t="array" ref="CI957">SUM(IF(CE957:CF957&gt;=CF957, 1))</f>
        <v>1</v>
      </c>
      <c r="CK957" s="109">
        <f t="shared" si="354"/>
        <v>51606.605309241888</v>
      </c>
      <c r="CL957" s="109">
        <f t="shared" si="355"/>
        <v>52573.33239106604</v>
      </c>
      <c r="CN957" s="58">
        <f t="array" ref="CN957">SUM(IF(CK957:CL957&gt;=CK957, 1))</f>
        <v>2</v>
      </c>
      <c r="CO957" s="58">
        <f t="array" ref="CO957">SUM(IF(CK957:CL957&gt;=CL957, 1))</f>
        <v>1</v>
      </c>
      <c r="CQ957" s="109" cm="1">
        <f t="array" ref="CQ957">AF957*WTP-AC957</f>
        <v>39367.802396826446</v>
      </c>
      <c r="CR957" s="109">
        <f t="shared" si="356"/>
        <v>41674.838958846791</v>
      </c>
      <c r="CT957" s="58">
        <f t="array" ref="CT957">SUM(IF(CQ957:CR957&gt;=CQ957, 1))</f>
        <v>2</v>
      </c>
      <c r="CU957" s="58">
        <f t="array" ref="CU957">SUM(IF(CQ957:CR957&gt;=CR957, 1))</f>
        <v>1</v>
      </c>
      <c r="CW957" s="109">
        <f t="shared" si="357"/>
        <v>-32660220.896241389</v>
      </c>
      <c r="CX957" s="109">
        <f t="shared" si="358"/>
        <v>0</v>
      </c>
      <c r="CZ957" s="58">
        <f t="array" ref="CZ957">SUM(IF(CW957:CX957&gt;=CW957, 1))</f>
        <v>2</v>
      </c>
      <c r="DA957" s="58">
        <f t="array" ref="DA957">SUM(IF(CW957:CX957&gt;=CX957, 1))</f>
        <v>1</v>
      </c>
      <c r="DC957" s="109">
        <f t="shared" si="359"/>
        <v>-1912253.1352766957</v>
      </c>
      <c r="DD957" s="109">
        <f t="shared" si="360"/>
        <v>0</v>
      </c>
      <c r="DF957" s="58">
        <f t="array" ref="DF957">SUM(IF(DC957:DD957&gt;=DC957, 1))</f>
        <v>2</v>
      </c>
      <c r="DG957" s="58">
        <f t="array" ref="DG957">SUM(IF(DC957:DD957&gt;=DD957, 1))</f>
        <v>1</v>
      </c>
      <c r="DI957" s="109">
        <f t="shared" si="361"/>
        <v>-57437183.977885745</v>
      </c>
      <c r="DJ957" s="109">
        <f t="shared" si="362"/>
        <v>0</v>
      </c>
      <c r="DL957" s="58">
        <f t="array" ref="DL957">SUM(IF(DI957:DJ957&gt;=DI957, 1))</f>
        <v>2</v>
      </c>
      <c r="DM957" s="58">
        <f t="array" ref="DM957">SUM(IF(DI957:DJ957&gt;=DJ957, 1))</f>
        <v>1</v>
      </c>
      <c r="DO957" s="109">
        <f t="shared" si="363"/>
        <v>-8362110.6700461125</v>
      </c>
      <c r="DP957" s="109">
        <f t="shared" si="364"/>
        <v>0</v>
      </c>
      <c r="DR957" s="58">
        <f t="array" ref="DR957">SUM(IF(DO957:DP957&gt;=DO957, 1))</f>
        <v>2</v>
      </c>
      <c r="DS957" s="58">
        <f t="array" ref="DS957">SUM(IF(DO957:DP957&gt;=DP957, 1))</f>
        <v>1</v>
      </c>
      <c r="DU957" s="109">
        <f t="shared" si="365"/>
        <v>-35920612.150759622</v>
      </c>
      <c r="DV957" s="109">
        <f t="shared" si="366"/>
        <v>0</v>
      </c>
      <c r="DX957" s="58">
        <f t="array" ref="DX957">SUM(IF(DU957:DV957&gt;=DU957, 1))</f>
        <v>2</v>
      </c>
      <c r="DY957" s="58">
        <f t="array" ref="DY957">SUM(IF(DU957:DV957&gt;=DV957, 1))</f>
        <v>1</v>
      </c>
      <c r="EA957" s="109">
        <f t="shared" si="367"/>
        <v>-136292380.83020958</v>
      </c>
      <c r="EB957" s="109">
        <f t="shared" si="368"/>
        <v>0</v>
      </c>
      <c r="ED957" s="58">
        <f t="array" ref="ED957">SUM(IF(EA957:EB957&gt;=EA957, 1))</f>
        <v>2</v>
      </c>
      <c r="EE957" s="58">
        <f t="array" ref="EE957">SUM(IF(EA957:EB957&gt;=EB957, 1))</f>
        <v>1</v>
      </c>
    </row>
    <row r="958" spans="4:135" ht="12" customHeight="1" x14ac:dyDescent="0.25">
      <c r="D958" s="11">
        <v>942</v>
      </c>
      <c r="E958" s="72">
        <v>214.17887661313841</v>
      </c>
      <c r="F958" s="72">
        <v>173.40218985454368</v>
      </c>
      <c r="G958" s="73"/>
      <c r="H958" s="74">
        <v>5.8942073218066211</v>
      </c>
      <c r="I958" s="74">
        <v>5.9116819368147837</v>
      </c>
      <c r="J958" s="73"/>
      <c r="K958" s="72">
        <v>228.62499207675131</v>
      </c>
      <c r="L958" s="72">
        <v>186.90011274565546</v>
      </c>
      <c r="M958" s="73"/>
      <c r="N958" s="74">
        <v>6.7077895057565211</v>
      </c>
      <c r="O958" s="74">
        <v>6.7226642351480956</v>
      </c>
      <c r="P958" s="73"/>
      <c r="Q958" s="72">
        <v>2557.4252707623796</v>
      </c>
      <c r="R958" s="72">
        <v>1521.5036135024541</v>
      </c>
      <c r="S958" s="73"/>
      <c r="T958" s="74">
        <v>4.84995098213773</v>
      </c>
      <c r="U958" s="74">
        <v>4.9463107208239281</v>
      </c>
      <c r="V958" s="73"/>
      <c r="W958" s="72">
        <v>11706.312043072594</v>
      </c>
      <c r="X958" s="72">
        <v>11720.394881948436</v>
      </c>
      <c r="Y958" s="73"/>
      <c r="Z958" s="74">
        <v>3.014729630238465</v>
      </c>
      <c r="AA958" s="74">
        <v>3.06165416126677</v>
      </c>
      <c r="AB958" s="73"/>
      <c r="AC958" s="72">
        <v>49939.695674552466</v>
      </c>
      <c r="AD958" s="72">
        <v>50074.616319495442</v>
      </c>
      <c r="AE958" s="73"/>
      <c r="AF958" s="74">
        <v>4.2822441898661632</v>
      </c>
      <c r="AG958" s="74">
        <v>4.3729544462313266</v>
      </c>
      <c r="AH958" s="73"/>
      <c r="AI958" s="72">
        <v>4372370.296474874</v>
      </c>
      <c r="AJ958" s="72">
        <v>0</v>
      </c>
      <c r="AK958" s="73"/>
      <c r="AL958" s="74">
        <v>-1873.7541884253214</v>
      </c>
      <c r="AM958" s="74">
        <v>0</v>
      </c>
      <c r="AN958" s="73"/>
      <c r="AO958" s="72">
        <v>284654.73018810165</v>
      </c>
      <c r="AP958" s="72">
        <v>0</v>
      </c>
      <c r="AQ958" s="73"/>
      <c r="AR958" s="74">
        <v>-101.47811448370382</v>
      </c>
      <c r="AS958" s="74">
        <v>0</v>
      </c>
      <c r="AT958" s="73"/>
      <c r="AU958" s="72">
        <v>23277299.778261576</v>
      </c>
      <c r="AV958" s="72">
        <v>0</v>
      </c>
      <c r="AW958" s="73"/>
      <c r="AX958" s="74">
        <v>-2165.2163638382035</v>
      </c>
      <c r="AY958" s="74">
        <v>0</v>
      </c>
      <c r="AZ958" s="73"/>
      <c r="BA958" s="72">
        <v>-124705.21889237921</v>
      </c>
      <c r="BB958" s="72">
        <v>0</v>
      </c>
      <c r="BC958" s="73"/>
      <c r="BD958" s="74">
        <v>-415.52232223186741</v>
      </c>
      <c r="BE958" s="74">
        <v>0</v>
      </c>
      <c r="BF958" s="73"/>
      <c r="BG958" s="72">
        <v>-2096545.0359184204</v>
      </c>
      <c r="BH958" s="72">
        <v>0</v>
      </c>
      <c r="BI958" s="73"/>
      <c r="BJ958" s="74">
        <v>-1409.5555040494223</v>
      </c>
      <c r="BK958" s="74">
        <v>0</v>
      </c>
      <c r="BL958" s="73"/>
      <c r="BM958" s="72">
        <v>25713074.550113749</v>
      </c>
      <c r="BN958" s="72">
        <v>0</v>
      </c>
      <c r="BO958" s="73"/>
      <c r="BP958" s="74">
        <v>-5965.5264930285175</v>
      </c>
      <c r="BQ958" s="74">
        <v>0</v>
      </c>
      <c r="BS958" s="109">
        <f t="shared" si="348"/>
        <v>117669.96755951928</v>
      </c>
      <c r="BT958" s="109">
        <f t="shared" si="349"/>
        <v>118060.23654644113</v>
      </c>
      <c r="BV958" s="58">
        <f t="array" ref="BV958">SUM(IF(BS958:BT958&gt;=BS958, 1))</f>
        <v>2</v>
      </c>
      <c r="BW958" s="58">
        <f t="array" ref="BW958">SUM(IF(BS958:BT958&gt;=BT958, 1))</f>
        <v>1</v>
      </c>
      <c r="BY958" s="109">
        <f t="shared" si="350"/>
        <v>133927.16512305368</v>
      </c>
      <c r="BZ958" s="109">
        <f t="shared" si="351"/>
        <v>134266.38459021627</v>
      </c>
      <c r="CB958" s="58">
        <f t="array" ref="CB958">SUM(IF(BY958:BZ958&gt;=BY958, 1))</f>
        <v>2</v>
      </c>
      <c r="CC958" s="58">
        <f t="array" ref="CC958">SUM(IF(BY958:BZ958&gt;=BZ958, 1))</f>
        <v>1</v>
      </c>
      <c r="CE958" s="109">
        <f t="shared" si="352"/>
        <v>94441.594371992222</v>
      </c>
      <c r="CF958" s="109">
        <f t="shared" si="353"/>
        <v>97404.7108029761</v>
      </c>
      <c r="CH958" s="58">
        <f t="array" ref="CH958">SUM(IF(CE958:CF958&gt;=CE958, 1))</f>
        <v>2</v>
      </c>
      <c r="CI958" s="58">
        <f t="array" ref="CI958">SUM(IF(CE958:CF958&gt;=CF958, 1))</f>
        <v>1</v>
      </c>
      <c r="CK958" s="109">
        <f t="shared" si="354"/>
        <v>48588.280561696709</v>
      </c>
      <c r="CL958" s="109">
        <f t="shared" si="355"/>
        <v>49512.688343386966</v>
      </c>
      <c r="CN958" s="58">
        <f t="array" ref="CN958">SUM(IF(CK958:CL958&gt;=CK958, 1))</f>
        <v>2</v>
      </c>
      <c r="CO958" s="58">
        <f t="array" ref="CO958">SUM(IF(CK958:CL958&gt;=CL958, 1))</f>
        <v>1</v>
      </c>
      <c r="CQ958" s="109" cm="1">
        <f t="array" ref="CQ958">AF958*WTP-AC958</f>
        <v>35705.188122770793</v>
      </c>
      <c r="CR958" s="109">
        <f t="shared" si="356"/>
        <v>37384.472605131086</v>
      </c>
      <c r="CT958" s="58">
        <f t="array" ref="CT958">SUM(IF(CQ958:CR958&gt;=CQ958, 1))</f>
        <v>2</v>
      </c>
      <c r="CU958" s="58">
        <f t="array" ref="CU958">SUM(IF(CQ958:CR958&gt;=CR958, 1))</f>
        <v>1</v>
      </c>
      <c r="CW958" s="109">
        <f t="shared" si="357"/>
        <v>-41847454.064981304</v>
      </c>
      <c r="CX958" s="109">
        <f t="shared" si="358"/>
        <v>0</v>
      </c>
      <c r="CZ958" s="58">
        <f t="array" ref="CZ958">SUM(IF(CW958:CX958&gt;=CW958, 1))</f>
        <v>2</v>
      </c>
      <c r="DA958" s="58">
        <f t="array" ref="DA958">SUM(IF(CW958:CX958&gt;=CX958, 1))</f>
        <v>1</v>
      </c>
      <c r="DC958" s="109">
        <f t="shared" si="359"/>
        <v>-2314217.0198621782</v>
      </c>
      <c r="DD958" s="109">
        <f t="shared" si="360"/>
        <v>0</v>
      </c>
      <c r="DF958" s="58">
        <f t="array" ref="DF958">SUM(IF(DC958:DD958&gt;=DC958, 1))</f>
        <v>2</v>
      </c>
      <c r="DG958" s="58">
        <f t="array" ref="DG958">SUM(IF(DC958:DD958&gt;=DD958, 1))</f>
        <v>1</v>
      </c>
      <c r="DI958" s="109">
        <f t="shared" si="361"/>
        <v>-66581627.055025652</v>
      </c>
      <c r="DJ958" s="109">
        <f t="shared" si="362"/>
        <v>0</v>
      </c>
      <c r="DL958" s="58">
        <f t="array" ref="DL958">SUM(IF(DI958:DJ958&gt;=DI958, 1))</f>
        <v>2</v>
      </c>
      <c r="DM958" s="58">
        <f t="array" ref="DM958">SUM(IF(DI958:DJ958&gt;=DJ958, 1))</f>
        <v>1</v>
      </c>
      <c r="DO958" s="109">
        <f t="shared" si="363"/>
        <v>-8185741.2257449683</v>
      </c>
      <c r="DP958" s="109">
        <f t="shared" si="364"/>
        <v>0</v>
      </c>
      <c r="DR958" s="58">
        <f t="array" ref="DR958">SUM(IF(DO958:DP958&gt;=DO958, 1))</f>
        <v>2</v>
      </c>
      <c r="DS958" s="58">
        <f t="array" ref="DS958">SUM(IF(DO958:DP958&gt;=DP958, 1))</f>
        <v>1</v>
      </c>
      <c r="DU958" s="109">
        <f t="shared" si="365"/>
        <v>-26094565.045070026</v>
      </c>
      <c r="DV958" s="109">
        <f t="shared" si="366"/>
        <v>0</v>
      </c>
      <c r="DX958" s="58">
        <f t="array" ref="DX958">SUM(IF(DU958:DV958&gt;=DU958, 1))</f>
        <v>2</v>
      </c>
      <c r="DY958" s="58">
        <f t="array" ref="DY958">SUM(IF(DU958:DV958&gt;=DV958, 1))</f>
        <v>1</v>
      </c>
      <c r="EA958" s="109">
        <f t="shared" si="367"/>
        <v>-145023604.41068411</v>
      </c>
      <c r="EB958" s="109">
        <f t="shared" si="368"/>
        <v>0</v>
      </c>
      <c r="ED958" s="58">
        <f t="array" ref="ED958">SUM(IF(EA958:EB958&gt;=EA958, 1))</f>
        <v>2</v>
      </c>
      <c r="EE958" s="58">
        <f t="array" ref="EE958">SUM(IF(EA958:EB958&gt;=EB958, 1))</f>
        <v>1</v>
      </c>
    </row>
    <row r="959" spans="4:135" ht="12" customHeight="1" x14ac:dyDescent="0.25">
      <c r="D959" s="11">
        <v>943</v>
      </c>
      <c r="E959" s="72">
        <v>240.76834069043514</v>
      </c>
      <c r="F959" s="72">
        <v>223.90102590906875</v>
      </c>
      <c r="G959" s="73"/>
      <c r="H959" s="74">
        <v>5.8277702293260054</v>
      </c>
      <c r="I959" s="74">
        <v>5.8451546949190174</v>
      </c>
      <c r="J959" s="73"/>
      <c r="K959" s="72">
        <v>258.74607874460395</v>
      </c>
      <c r="L959" s="72">
        <v>241.475342374284</v>
      </c>
      <c r="M959" s="73"/>
      <c r="N959" s="74">
        <v>6.7142618002930208</v>
      </c>
      <c r="O959" s="74">
        <v>6.7295767967851274</v>
      </c>
      <c r="P959" s="73"/>
      <c r="Q959" s="72">
        <v>1980.3004089064682</v>
      </c>
      <c r="R959" s="72">
        <v>1030.6724930482194</v>
      </c>
      <c r="S959" s="73"/>
      <c r="T959" s="74">
        <v>4.8596915918990984</v>
      </c>
      <c r="U959" s="74">
        <v>4.9398099947987859</v>
      </c>
      <c r="V959" s="73"/>
      <c r="W959" s="72">
        <v>13141.642968036351</v>
      </c>
      <c r="X959" s="72">
        <v>13110.377985056126</v>
      </c>
      <c r="Y959" s="73"/>
      <c r="Z959" s="74">
        <v>2.9207264660540631</v>
      </c>
      <c r="AA959" s="74">
        <v>2.9625854514822794</v>
      </c>
      <c r="AB959" s="73"/>
      <c r="AC959" s="72">
        <v>47987.003021826393</v>
      </c>
      <c r="AD959" s="72">
        <v>47884.487719579585</v>
      </c>
      <c r="AE959" s="73"/>
      <c r="AF959" s="74">
        <v>4.4107670357663524</v>
      </c>
      <c r="AG959" s="74">
        <v>4.5466702061883781</v>
      </c>
      <c r="AH959" s="73"/>
      <c r="AI959" s="72">
        <v>1812435.9109356403</v>
      </c>
      <c r="AJ959" s="72">
        <v>0</v>
      </c>
      <c r="AK959" s="73"/>
      <c r="AL959" s="74">
        <v>-1868.0050821134648</v>
      </c>
      <c r="AM959" s="74">
        <v>0</v>
      </c>
      <c r="AN959" s="73"/>
      <c r="AO959" s="72">
        <v>117477.31799953691</v>
      </c>
      <c r="AP959" s="72">
        <v>0</v>
      </c>
      <c r="AQ959" s="73"/>
      <c r="AR959" s="74">
        <v>-104.1741750025726</v>
      </c>
      <c r="AS959" s="74">
        <v>0</v>
      </c>
      <c r="AT959" s="73"/>
      <c r="AU959" s="72">
        <v>22319339.434353694</v>
      </c>
      <c r="AV959" s="72">
        <v>0</v>
      </c>
      <c r="AW959" s="73"/>
      <c r="AX959" s="74">
        <v>-1883.0426100525005</v>
      </c>
      <c r="AY959" s="74">
        <v>0</v>
      </c>
      <c r="AZ959" s="73"/>
      <c r="BA959" s="72">
        <v>280959.59635750711</v>
      </c>
      <c r="BB959" s="72">
        <v>0</v>
      </c>
      <c r="BC959" s="73"/>
      <c r="BD959" s="74">
        <v>-376.16152413340717</v>
      </c>
      <c r="BE959" s="74">
        <v>0</v>
      </c>
      <c r="BF959" s="73"/>
      <c r="BG959" s="72">
        <v>1629542.6596170429</v>
      </c>
      <c r="BH959" s="72">
        <v>0</v>
      </c>
      <c r="BI959" s="73"/>
      <c r="BJ959" s="74">
        <v>-2160.2629941696587</v>
      </c>
      <c r="BK959" s="74">
        <v>0</v>
      </c>
      <c r="BL959" s="73"/>
      <c r="BM959" s="72">
        <v>26159754.919263422</v>
      </c>
      <c r="BN959" s="72">
        <v>0</v>
      </c>
      <c r="BO959" s="73"/>
      <c r="BP959" s="74">
        <v>-6391.6463854716039</v>
      </c>
      <c r="BQ959" s="74">
        <v>0</v>
      </c>
      <c r="BS959" s="109">
        <f t="shared" si="348"/>
        <v>116314.63624582966</v>
      </c>
      <c r="BT959" s="109">
        <f t="shared" si="349"/>
        <v>116679.19287247128</v>
      </c>
      <c r="BV959" s="58">
        <f t="array" ref="BV959">SUM(IF(BS959:BT959&gt;=BS959, 1))</f>
        <v>2</v>
      </c>
      <c r="BW959" s="58">
        <f t="array" ref="BW959">SUM(IF(BS959:BT959&gt;=BT959, 1))</f>
        <v>1</v>
      </c>
      <c r="BY959" s="109">
        <f t="shared" si="350"/>
        <v>134026.48992711579</v>
      </c>
      <c r="BZ959" s="109">
        <f t="shared" si="351"/>
        <v>134350.06059332826</v>
      </c>
      <c r="CB959" s="58">
        <f t="array" ref="CB959">SUM(IF(BY959:BZ959&gt;=BY959, 1))</f>
        <v>2</v>
      </c>
      <c r="CC959" s="58">
        <f t="array" ref="CC959">SUM(IF(BY959:BZ959&gt;=BZ959, 1))</f>
        <v>1</v>
      </c>
      <c r="CE959" s="109">
        <f t="shared" si="352"/>
        <v>95213.531429075505</v>
      </c>
      <c r="CF959" s="109">
        <f t="shared" si="353"/>
        <v>97765.527402927502</v>
      </c>
      <c r="CH959" s="58">
        <f t="array" ref="CH959">SUM(IF(CE959:CF959&gt;=CE959, 1))</f>
        <v>2</v>
      </c>
      <c r="CI959" s="58">
        <f t="array" ref="CI959">SUM(IF(CE959:CF959&gt;=CF959, 1))</f>
        <v>1</v>
      </c>
      <c r="CK959" s="109">
        <f t="shared" si="354"/>
        <v>45272.886353044909</v>
      </c>
      <c r="CL959" s="109">
        <f t="shared" si="355"/>
        <v>46141.33104458946</v>
      </c>
      <c r="CN959" s="58">
        <f t="array" ref="CN959">SUM(IF(CK959:CL959&gt;=CK959, 1))</f>
        <v>2</v>
      </c>
      <c r="CO959" s="58">
        <f t="array" ref="CO959">SUM(IF(CK959:CL959&gt;=CL959, 1))</f>
        <v>1</v>
      </c>
      <c r="CQ959" s="109" cm="1">
        <f t="array" ref="CQ959">AF959*WTP-AC959</f>
        <v>40228.33769350066</v>
      </c>
      <c r="CR959" s="109">
        <f t="shared" si="356"/>
        <v>43048.91640418797</v>
      </c>
      <c r="CT959" s="58">
        <f t="array" ref="CT959">SUM(IF(CQ959:CR959&gt;=CQ959, 1))</f>
        <v>2</v>
      </c>
      <c r="CU959" s="58">
        <f t="array" ref="CU959">SUM(IF(CQ959:CR959&gt;=CR959, 1))</f>
        <v>1</v>
      </c>
      <c r="CW959" s="109">
        <f t="shared" si="357"/>
        <v>-39172537.553204939</v>
      </c>
      <c r="CX959" s="109">
        <f t="shared" si="358"/>
        <v>0</v>
      </c>
      <c r="CZ959" s="58">
        <f t="array" ref="CZ959">SUM(IF(CW959:CX959&gt;=CW959, 1))</f>
        <v>2</v>
      </c>
      <c r="DA959" s="58">
        <f t="array" ref="DA959">SUM(IF(CW959:CX959&gt;=CX959, 1))</f>
        <v>1</v>
      </c>
      <c r="DC959" s="109">
        <f t="shared" si="359"/>
        <v>-2200960.8180509889</v>
      </c>
      <c r="DD959" s="109">
        <f t="shared" si="360"/>
        <v>0</v>
      </c>
      <c r="DF959" s="58">
        <f t="array" ref="DF959">SUM(IF(DC959:DD959&gt;=DC959, 1))</f>
        <v>2</v>
      </c>
      <c r="DG959" s="58">
        <f t="array" ref="DG959">SUM(IF(DC959:DD959&gt;=DD959, 1))</f>
        <v>1</v>
      </c>
      <c r="DI959" s="109">
        <f t="shared" si="361"/>
        <v>-59980191.635403708</v>
      </c>
      <c r="DJ959" s="109">
        <f t="shared" si="362"/>
        <v>0</v>
      </c>
      <c r="DL959" s="58">
        <f t="array" ref="DL959">SUM(IF(DI959:DJ959&gt;=DI959, 1))</f>
        <v>2</v>
      </c>
      <c r="DM959" s="58">
        <f t="array" ref="DM959">SUM(IF(DI959:DJ959&gt;=DJ959, 1))</f>
        <v>1</v>
      </c>
      <c r="DO959" s="109">
        <f t="shared" si="363"/>
        <v>-7804190.0790256504</v>
      </c>
      <c r="DP959" s="109">
        <f t="shared" si="364"/>
        <v>0</v>
      </c>
      <c r="DR959" s="58">
        <f t="array" ref="DR959">SUM(IF(DO959:DP959&gt;=DO959, 1))</f>
        <v>2</v>
      </c>
      <c r="DS959" s="58">
        <f t="array" ref="DS959">SUM(IF(DO959:DP959&gt;=DP959, 1))</f>
        <v>1</v>
      </c>
      <c r="DU959" s="109">
        <f t="shared" si="365"/>
        <v>-44834802.54301022</v>
      </c>
      <c r="DV959" s="109">
        <f t="shared" si="366"/>
        <v>0</v>
      </c>
      <c r="DX959" s="58">
        <f t="array" ref="DX959">SUM(IF(DU959:DV959&gt;=DU959, 1))</f>
        <v>2</v>
      </c>
      <c r="DY959" s="58">
        <f t="array" ref="DY959">SUM(IF(DU959:DV959&gt;=DV959, 1))</f>
        <v>1</v>
      </c>
      <c r="EA959" s="109">
        <f t="shared" si="367"/>
        <v>-153992682.62869549</v>
      </c>
      <c r="EB959" s="109">
        <f t="shared" si="368"/>
        <v>0</v>
      </c>
      <c r="ED959" s="58">
        <f t="array" ref="ED959">SUM(IF(EA959:EB959&gt;=EA959, 1))</f>
        <v>2</v>
      </c>
      <c r="EE959" s="58">
        <f t="array" ref="EE959">SUM(IF(EA959:EB959&gt;=EB959, 1))</f>
        <v>1</v>
      </c>
    </row>
    <row r="960" spans="4:135" ht="12" customHeight="1" x14ac:dyDescent="0.25">
      <c r="D960" s="11">
        <v>944</v>
      </c>
      <c r="E960" s="72">
        <v>303.63247963983179</v>
      </c>
      <c r="F960" s="72">
        <v>260.26500464521837</v>
      </c>
      <c r="G960" s="73"/>
      <c r="H960" s="74">
        <v>5.8340100975508582</v>
      </c>
      <c r="I960" s="74">
        <v>5.8518785628165153</v>
      </c>
      <c r="J960" s="73"/>
      <c r="K960" s="72">
        <v>324.98452845296958</v>
      </c>
      <c r="L960" s="72">
        <v>280.57145920368214</v>
      </c>
      <c r="M960" s="73"/>
      <c r="N960" s="74">
        <v>6.6893233391675961</v>
      </c>
      <c r="O960" s="74">
        <v>6.7045113112775301</v>
      </c>
      <c r="P960" s="73"/>
      <c r="Q960" s="72">
        <v>3138.4202943524133</v>
      </c>
      <c r="R960" s="72">
        <v>1810.897166812535</v>
      </c>
      <c r="S960" s="73"/>
      <c r="T960" s="74">
        <v>4.9364755569471042</v>
      </c>
      <c r="U960" s="74">
        <v>5.0468091208150234</v>
      </c>
      <c r="V960" s="73"/>
      <c r="W960" s="72">
        <v>15386.998335351302</v>
      </c>
      <c r="X960" s="72">
        <v>15386.98222389999</v>
      </c>
      <c r="Y960" s="73"/>
      <c r="Z960" s="74">
        <v>3.2320150294519081</v>
      </c>
      <c r="AA960" s="74">
        <v>3.2866976228515692</v>
      </c>
      <c r="AB960" s="73"/>
      <c r="AC960" s="72">
        <v>50856.385989947725</v>
      </c>
      <c r="AD960" s="72">
        <v>50540.38705107243</v>
      </c>
      <c r="AE960" s="73"/>
      <c r="AF960" s="74">
        <v>4.4559206075391895</v>
      </c>
      <c r="AG960" s="74">
        <v>4.582875383954228</v>
      </c>
      <c r="AH960" s="73"/>
      <c r="AI960" s="72">
        <v>4664099.0454510013</v>
      </c>
      <c r="AJ960" s="72">
        <v>0</v>
      </c>
      <c r="AK960" s="73"/>
      <c r="AL960" s="74">
        <v>-1921.7234067599557</v>
      </c>
      <c r="AM960" s="74">
        <v>0</v>
      </c>
      <c r="AN960" s="73"/>
      <c r="AO960" s="72">
        <v>297748.17228917422</v>
      </c>
      <c r="AP960" s="72">
        <v>0</v>
      </c>
      <c r="AQ960" s="73"/>
      <c r="AR960" s="74">
        <v>-101.82117590498068</v>
      </c>
      <c r="AS960" s="74">
        <v>0</v>
      </c>
      <c r="AT960" s="73"/>
      <c r="AU960" s="72">
        <v>30191649.542851243</v>
      </c>
      <c r="AV960" s="72">
        <v>0</v>
      </c>
      <c r="AW960" s="73"/>
      <c r="AX960" s="74">
        <v>-2509.298876989958</v>
      </c>
      <c r="AY960" s="74">
        <v>0</v>
      </c>
      <c r="AZ960" s="73"/>
      <c r="BA960" s="72">
        <v>151.00119003779636</v>
      </c>
      <c r="BB960" s="72">
        <v>0</v>
      </c>
      <c r="BC960" s="73"/>
      <c r="BD960" s="74">
        <v>-512.50110978524333</v>
      </c>
      <c r="BE960" s="74">
        <v>0</v>
      </c>
      <c r="BF960" s="73"/>
      <c r="BG960" s="72">
        <v>4943561.8953402406</v>
      </c>
      <c r="BH960" s="72">
        <v>0</v>
      </c>
      <c r="BI960" s="73"/>
      <c r="BJ960" s="74">
        <v>-1986.1104513534542</v>
      </c>
      <c r="BK960" s="74">
        <v>0</v>
      </c>
      <c r="BL960" s="73"/>
      <c r="BM960" s="72">
        <v>40097209.657121696</v>
      </c>
      <c r="BN960" s="72">
        <v>0</v>
      </c>
      <c r="BO960" s="73"/>
      <c r="BP960" s="74">
        <v>-7031.4550207935918</v>
      </c>
      <c r="BQ960" s="74">
        <v>0</v>
      </c>
      <c r="BS960" s="109">
        <f t="shared" si="348"/>
        <v>116376.56947137734</v>
      </c>
      <c r="BT960" s="109">
        <f t="shared" si="349"/>
        <v>116777.30625168509</v>
      </c>
      <c r="BV960" s="58">
        <f t="array" ref="BV960">SUM(IF(BS960:BT960&gt;=BS960, 1))</f>
        <v>2</v>
      </c>
      <c r="BW960" s="58">
        <f t="array" ref="BW960">SUM(IF(BS960:BT960&gt;=BT960, 1))</f>
        <v>1</v>
      </c>
      <c r="BY960" s="109">
        <f t="shared" si="350"/>
        <v>133461.48225489896</v>
      </c>
      <c r="BZ960" s="109">
        <f t="shared" si="351"/>
        <v>133809.65476634691</v>
      </c>
      <c r="CB960" s="58">
        <f t="array" ref="CB960">SUM(IF(BY960:BZ960&gt;=BY960, 1))</f>
        <v>2</v>
      </c>
      <c r="CC960" s="58">
        <f t="array" ref="CC960">SUM(IF(BY960:BZ960&gt;=BZ960, 1))</f>
        <v>1</v>
      </c>
      <c r="CE960" s="109">
        <f t="shared" si="352"/>
        <v>95591.090844589664</v>
      </c>
      <c r="CF960" s="109">
        <f t="shared" si="353"/>
        <v>99125.285249487933</v>
      </c>
      <c r="CH960" s="58">
        <f t="array" ref="CH960">SUM(IF(CE960:CF960&gt;=CE960, 1))</f>
        <v>2</v>
      </c>
      <c r="CI960" s="58">
        <f t="array" ref="CI960">SUM(IF(CE960:CF960&gt;=CF960, 1))</f>
        <v>1</v>
      </c>
      <c r="CK960" s="109">
        <f t="shared" si="354"/>
        <v>49253.302253686859</v>
      </c>
      <c r="CL960" s="109">
        <f t="shared" si="355"/>
        <v>50346.970233131389</v>
      </c>
      <c r="CN960" s="58">
        <f t="array" ref="CN960">SUM(IF(CK960:CL960&gt;=CK960, 1))</f>
        <v>2</v>
      </c>
      <c r="CO960" s="58">
        <f t="array" ref="CO960">SUM(IF(CK960:CL960&gt;=CL960, 1))</f>
        <v>1</v>
      </c>
      <c r="CQ960" s="109" cm="1">
        <f t="array" ref="CQ960">AF960*WTP-AC960</f>
        <v>38262.02616083606</v>
      </c>
      <c r="CR960" s="109">
        <f t="shared" si="356"/>
        <v>41117.120628012133</v>
      </c>
      <c r="CT960" s="58">
        <f t="array" ref="CT960">SUM(IF(CQ960:CR960&gt;=CQ960, 1))</f>
        <v>2</v>
      </c>
      <c r="CU960" s="58">
        <f t="array" ref="CU960">SUM(IF(CQ960:CR960&gt;=CR960, 1))</f>
        <v>1</v>
      </c>
      <c r="CW960" s="109">
        <f t="shared" si="357"/>
        <v>-43098567.180650115</v>
      </c>
      <c r="CX960" s="109">
        <f t="shared" si="358"/>
        <v>0</v>
      </c>
      <c r="CZ960" s="58">
        <f t="array" ref="CZ960">SUM(IF(CW960:CX960&gt;=CW960, 1))</f>
        <v>2</v>
      </c>
      <c r="DA960" s="58">
        <f t="array" ref="DA960">SUM(IF(CW960:CX960&gt;=CX960, 1))</f>
        <v>1</v>
      </c>
      <c r="DC960" s="109">
        <f t="shared" si="359"/>
        <v>-2334171.6903887875</v>
      </c>
      <c r="DD960" s="109">
        <f t="shared" si="360"/>
        <v>0</v>
      </c>
      <c r="DF960" s="58">
        <f t="array" ref="DF960">SUM(IF(DC960:DD960&gt;=DC960, 1))</f>
        <v>2</v>
      </c>
      <c r="DG960" s="58">
        <f t="array" ref="DG960">SUM(IF(DC960:DD960&gt;=DD960, 1))</f>
        <v>1</v>
      </c>
      <c r="DI960" s="109">
        <f t="shared" si="361"/>
        <v>-80377627.082650408</v>
      </c>
      <c r="DJ960" s="109">
        <f t="shared" si="362"/>
        <v>0</v>
      </c>
      <c r="DL960" s="58">
        <f t="array" ref="DL960">SUM(IF(DI960:DJ960&gt;=DI960, 1))</f>
        <v>2</v>
      </c>
      <c r="DM960" s="58">
        <f t="array" ref="DM960">SUM(IF(DI960:DJ960&gt;=DJ960, 1))</f>
        <v>1</v>
      </c>
      <c r="DO960" s="109">
        <f t="shared" si="363"/>
        <v>-10250173.196894905</v>
      </c>
      <c r="DP960" s="109">
        <f t="shared" si="364"/>
        <v>0</v>
      </c>
      <c r="DR960" s="58">
        <f t="array" ref="DR960">SUM(IF(DO960:DP960&gt;=DO960, 1))</f>
        <v>2</v>
      </c>
      <c r="DS960" s="58">
        <f t="array" ref="DS960">SUM(IF(DO960:DP960&gt;=DP960, 1))</f>
        <v>1</v>
      </c>
      <c r="DU960" s="109">
        <f t="shared" si="365"/>
        <v>-44665770.922409326</v>
      </c>
      <c r="DV960" s="109">
        <f t="shared" si="366"/>
        <v>0</v>
      </c>
      <c r="DX960" s="58">
        <f t="array" ref="DX960">SUM(IF(DU960:DV960&gt;=DU960, 1))</f>
        <v>2</v>
      </c>
      <c r="DY960" s="58">
        <f t="array" ref="DY960">SUM(IF(DU960:DV960&gt;=DV960, 1))</f>
        <v>1</v>
      </c>
      <c r="EA960" s="109">
        <f t="shared" si="367"/>
        <v>-180726310.07299352</v>
      </c>
      <c r="EB960" s="109">
        <f t="shared" si="368"/>
        <v>0</v>
      </c>
      <c r="ED960" s="58">
        <f t="array" ref="ED960">SUM(IF(EA960:EB960&gt;=EA960, 1))</f>
        <v>2</v>
      </c>
      <c r="EE960" s="58">
        <f t="array" ref="EE960">SUM(IF(EA960:EB960&gt;=EB960, 1))</f>
        <v>1</v>
      </c>
    </row>
    <row r="961" spans="4:135" ht="12" customHeight="1" x14ac:dyDescent="0.25">
      <c r="D961" s="11">
        <v>945</v>
      </c>
      <c r="E961" s="72">
        <v>205.81191913954035</v>
      </c>
      <c r="F961" s="72">
        <v>189.89611961450319</v>
      </c>
      <c r="G961" s="73"/>
      <c r="H961" s="74">
        <v>5.8360843151548893</v>
      </c>
      <c r="I961" s="74">
        <v>5.8503873843568952</v>
      </c>
      <c r="J961" s="73"/>
      <c r="K961" s="72">
        <v>221.10072980075165</v>
      </c>
      <c r="L961" s="72">
        <v>204.78938855532098</v>
      </c>
      <c r="M961" s="73"/>
      <c r="N961" s="74">
        <v>6.6683109252448087</v>
      </c>
      <c r="O961" s="74">
        <v>6.6804386217927512</v>
      </c>
      <c r="P961" s="73"/>
      <c r="Q961" s="72">
        <v>2335.2748792521306</v>
      </c>
      <c r="R961" s="72">
        <v>1460.0091481058253</v>
      </c>
      <c r="S961" s="73"/>
      <c r="T961" s="74">
        <v>4.8465283052112706</v>
      </c>
      <c r="U961" s="74">
        <v>4.9022462798789022</v>
      </c>
      <c r="V961" s="73"/>
      <c r="W961" s="72">
        <v>14663.112321055634</v>
      </c>
      <c r="X961" s="72">
        <v>14690.350524418167</v>
      </c>
      <c r="Y961" s="73"/>
      <c r="Z961" s="74">
        <v>3.0486274574128376</v>
      </c>
      <c r="AA961" s="74">
        <v>3.1250842194524657</v>
      </c>
      <c r="AB961" s="73"/>
      <c r="AC961" s="72">
        <v>50428.380494826066</v>
      </c>
      <c r="AD961" s="72">
        <v>49904.595560953618</v>
      </c>
      <c r="AE961" s="73"/>
      <c r="AF961" s="74">
        <v>4.7251152731724044</v>
      </c>
      <c r="AG961" s="74">
        <v>4.8756451294417378</v>
      </c>
      <c r="AH961" s="73"/>
      <c r="AI961" s="72">
        <v>1689906.5360319701</v>
      </c>
      <c r="AJ961" s="72">
        <v>0</v>
      </c>
      <c r="AK961" s="73"/>
      <c r="AL961" s="74">
        <v>-1518.6701800160329</v>
      </c>
      <c r="AM961" s="74">
        <v>0</v>
      </c>
      <c r="AN961" s="73"/>
      <c r="AO961" s="72">
        <v>115988.29329319738</v>
      </c>
      <c r="AP961" s="72">
        <v>0</v>
      </c>
      <c r="AQ961" s="73"/>
      <c r="AR961" s="74">
        <v>-86.238820156355828</v>
      </c>
      <c r="AS961" s="74">
        <v>0</v>
      </c>
      <c r="AT961" s="73"/>
      <c r="AU961" s="72">
        <v>20207606.644076135</v>
      </c>
      <c r="AV961" s="72">
        <v>0</v>
      </c>
      <c r="AW961" s="73"/>
      <c r="AX961" s="74">
        <v>-1286.3829520818877</v>
      </c>
      <c r="AY961" s="74">
        <v>0</v>
      </c>
      <c r="AZ961" s="73"/>
      <c r="BA961" s="72">
        <v>-247566.47157692083</v>
      </c>
      <c r="BB961" s="72">
        <v>0</v>
      </c>
      <c r="BC961" s="73"/>
      <c r="BD961" s="74">
        <v>-694.91113471835934</v>
      </c>
      <c r="BE961" s="74">
        <v>0</v>
      </c>
      <c r="BF961" s="73"/>
      <c r="BG961" s="72">
        <v>8346972.0217797207</v>
      </c>
      <c r="BH961" s="72">
        <v>0</v>
      </c>
      <c r="BI961" s="73"/>
      <c r="BJ961" s="74">
        <v>-2398.8251999409795</v>
      </c>
      <c r="BK961" s="74">
        <v>0</v>
      </c>
      <c r="BL961" s="73"/>
      <c r="BM961" s="72">
        <v>30112907.023604099</v>
      </c>
      <c r="BN961" s="72">
        <v>0</v>
      </c>
      <c r="BO961" s="73"/>
      <c r="BP961" s="74">
        <v>-5985.0282869136154</v>
      </c>
      <c r="BQ961" s="74">
        <v>0</v>
      </c>
      <c r="BS961" s="109">
        <f t="shared" si="348"/>
        <v>116515.87438395825</v>
      </c>
      <c r="BT961" s="109">
        <f t="shared" si="349"/>
        <v>116817.85156752339</v>
      </c>
      <c r="BV961" s="58">
        <f t="array" ref="BV961">SUM(IF(BS961:BT961&gt;=BS961, 1))</f>
        <v>2</v>
      </c>
      <c r="BW961" s="58">
        <f t="array" ref="BW961">SUM(IF(BS961:BT961&gt;=BT961, 1))</f>
        <v>1</v>
      </c>
      <c r="BY961" s="109">
        <f t="shared" si="350"/>
        <v>133145.11777509542</v>
      </c>
      <c r="BZ961" s="109">
        <f t="shared" si="351"/>
        <v>133403.9830472997</v>
      </c>
      <c r="CB961" s="58">
        <f t="array" ref="CB961">SUM(IF(BY961:BZ961&gt;=BY961, 1))</f>
        <v>2</v>
      </c>
      <c r="CC961" s="58">
        <f t="array" ref="CC961">SUM(IF(BY961:BZ961&gt;=BZ961, 1))</f>
        <v>1</v>
      </c>
      <c r="CE961" s="109">
        <f t="shared" si="352"/>
        <v>94595.291224973276</v>
      </c>
      <c r="CF961" s="109">
        <f t="shared" si="353"/>
        <v>96584.916449472221</v>
      </c>
      <c r="CH961" s="58">
        <f t="array" ref="CH961">SUM(IF(CE961:CF961&gt;=CE961, 1))</f>
        <v>2</v>
      </c>
      <c r="CI961" s="58">
        <f t="array" ref="CI961">SUM(IF(CE961:CF961&gt;=CF961, 1))</f>
        <v>1</v>
      </c>
      <c r="CK961" s="109">
        <f t="shared" si="354"/>
        <v>46309.43682720112</v>
      </c>
      <c r="CL961" s="109">
        <f t="shared" si="355"/>
        <v>47811.333864631146</v>
      </c>
      <c r="CN961" s="58">
        <f t="array" ref="CN961">SUM(IF(CK961:CL961&gt;=CK961, 1))</f>
        <v>2</v>
      </c>
      <c r="CO961" s="58">
        <f t="array" ref="CO961">SUM(IF(CK961:CL961&gt;=CL961, 1))</f>
        <v>1</v>
      </c>
      <c r="CQ961" s="109" cm="1">
        <f t="array" ref="CQ961">AF961*WTP-AC961</f>
        <v>44073.924968622028</v>
      </c>
      <c r="CR961" s="109">
        <f t="shared" si="356"/>
        <v>47608.307027881136</v>
      </c>
      <c r="CT961" s="58">
        <f t="array" ref="CT961">SUM(IF(CQ961:CR961&gt;=CQ961, 1))</f>
        <v>2</v>
      </c>
      <c r="CU961" s="58">
        <f t="array" ref="CU961">SUM(IF(CQ961:CR961&gt;=CR961, 1))</f>
        <v>1</v>
      </c>
      <c r="CW961" s="109">
        <f t="shared" si="357"/>
        <v>-32063310.136352625</v>
      </c>
      <c r="CX961" s="109">
        <f t="shared" si="358"/>
        <v>0</v>
      </c>
      <c r="CZ961" s="58">
        <f t="array" ref="CZ961">SUM(IF(CW961:CX961&gt;=CW961, 1))</f>
        <v>2</v>
      </c>
      <c r="DA961" s="58">
        <f t="array" ref="DA961">SUM(IF(CW961:CX961&gt;=CX961, 1))</f>
        <v>1</v>
      </c>
      <c r="DC961" s="109">
        <f t="shared" si="359"/>
        <v>-1840764.696420314</v>
      </c>
      <c r="DD961" s="109">
        <f t="shared" si="360"/>
        <v>0</v>
      </c>
      <c r="DF961" s="58">
        <f t="array" ref="DF961">SUM(IF(DC961:DD961&gt;=DC961, 1))</f>
        <v>2</v>
      </c>
      <c r="DG961" s="58">
        <f t="array" ref="DG961">SUM(IF(DC961:DD961&gt;=DD961, 1))</f>
        <v>1</v>
      </c>
      <c r="DI961" s="109">
        <f t="shared" si="361"/>
        <v>-45935265.685713887</v>
      </c>
      <c r="DJ961" s="109">
        <f t="shared" si="362"/>
        <v>0</v>
      </c>
      <c r="DL961" s="58">
        <f t="array" ref="DL961">SUM(IF(DI961:DJ961&gt;=DI961, 1))</f>
        <v>2</v>
      </c>
      <c r="DM961" s="58">
        <f t="array" ref="DM961">SUM(IF(DI961:DJ961&gt;=DJ961, 1))</f>
        <v>1</v>
      </c>
      <c r="DO961" s="109">
        <f t="shared" si="363"/>
        <v>-13650656.222790265</v>
      </c>
      <c r="DP961" s="109">
        <f t="shared" si="364"/>
        <v>0</v>
      </c>
      <c r="DR961" s="58">
        <f t="array" ref="DR961">SUM(IF(DO961:DP961&gt;=DO961, 1))</f>
        <v>2</v>
      </c>
      <c r="DS961" s="58">
        <f t="array" ref="DS961">SUM(IF(DO961:DP961&gt;=DP961, 1))</f>
        <v>1</v>
      </c>
      <c r="DU961" s="109">
        <f t="shared" si="365"/>
        <v>-56323476.020599313</v>
      </c>
      <c r="DV961" s="109">
        <f t="shared" si="366"/>
        <v>0</v>
      </c>
      <c r="DX961" s="58">
        <f t="array" ref="DX961">SUM(IF(DU961:DV961&gt;=DU961, 1))</f>
        <v>2</v>
      </c>
      <c r="DY961" s="58">
        <f t="array" ref="DY961">SUM(IF(DU961:DV961&gt;=DV961, 1))</f>
        <v>1</v>
      </c>
      <c r="EA961" s="109">
        <f t="shared" si="367"/>
        <v>-149813472.7618764</v>
      </c>
      <c r="EB961" s="109">
        <f t="shared" si="368"/>
        <v>0</v>
      </c>
      <c r="ED961" s="58">
        <f t="array" ref="ED961">SUM(IF(EA961:EB961&gt;=EA961, 1))</f>
        <v>2</v>
      </c>
      <c r="EE961" s="58">
        <f t="array" ref="EE961">SUM(IF(EA961:EB961&gt;=EB961, 1))</f>
        <v>1</v>
      </c>
    </row>
    <row r="962" spans="4:135" ht="12" customHeight="1" x14ac:dyDescent="0.25">
      <c r="D962" s="11">
        <v>946</v>
      </c>
      <c r="E962" s="72">
        <v>230.8600638950177</v>
      </c>
      <c r="F962" s="72">
        <v>216.23643546173378</v>
      </c>
      <c r="G962" s="73"/>
      <c r="H962" s="74">
        <v>5.7930882037279856</v>
      </c>
      <c r="I962" s="74">
        <v>5.807229236120393</v>
      </c>
      <c r="J962" s="73"/>
      <c r="K962" s="72">
        <v>248.13537739979</v>
      </c>
      <c r="L962" s="72">
        <v>233.14763581812605</v>
      </c>
      <c r="M962" s="73"/>
      <c r="N962" s="74">
        <v>6.674202186898091</v>
      </c>
      <c r="O962" s="74">
        <v>6.6861415151563826</v>
      </c>
      <c r="P962" s="73"/>
      <c r="Q962" s="72">
        <v>1955.7176211908366</v>
      </c>
      <c r="R962" s="72">
        <v>1355.4467209403963</v>
      </c>
      <c r="S962" s="73"/>
      <c r="T962" s="74">
        <v>4.6832475888643046</v>
      </c>
      <c r="U962" s="74">
        <v>4.7450992907119014</v>
      </c>
      <c r="V962" s="73"/>
      <c r="W962" s="72">
        <v>15036.327584367646</v>
      </c>
      <c r="X962" s="72">
        <v>15055.874852421972</v>
      </c>
      <c r="Y962" s="73"/>
      <c r="Z962" s="74">
        <v>2.9677025876033158</v>
      </c>
      <c r="AA962" s="74">
        <v>3.0188303037781203</v>
      </c>
      <c r="AB962" s="73"/>
      <c r="AC962" s="72">
        <v>49985.091943526422</v>
      </c>
      <c r="AD962" s="72">
        <v>50005.275691565628</v>
      </c>
      <c r="AE962" s="73"/>
      <c r="AF962" s="74">
        <v>4.3688065669682397</v>
      </c>
      <c r="AG962" s="74">
        <v>4.4190611811294547</v>
      </c>
      <c r="AH962" s="73"/>
      <c r="AI962" s="72">
        <v>1566220.6971802642</v>
      </c>
      <c r="AJ962" s="72">
        <v>0</v>
      </c>
      <c r="AK962" s="73"/>
      <c r="AL962" s="74">
        <v>-1514.533668133646</v>
      </c>
      <c r="AM962" s="74">
        <v>0</v>
      </c>
      <c r="AN962" s="73"/>
      <c r="AO962" s="72">
        <v>102122.75761065478</v>
      </c>
      <c r="AP962" s="72">
        <v>0</v>
      </c>
      <c r="AQ962" s="73"/>
      <c r="AR962" s="74">
        <v>-81.351624533426673</v>
      </c>
      <c r="AS962" s="74">
        <v>0</v>
      </c>
      <c r="AT962" s="73"/>
      <c r="AU962" s="72">
        <v>14202098.26165914</v>
      </c>
      <c r="AV962" s="72">
        <v>0</v>
      </c>
      <c r="AW962" s="73"/>
      <c r="AX962" s="74">
        <v>-1463.3791958329564</v>
      </c>
      <c r="AY962" s="74">
        <v>0</v>
      </c>
      <c r="AZ962" s="73"/>
      <c r="BA962" s="72">
        <v>-179329.89163246343</v>
      </c>
      <c r="BB962" s="72">
        <v>0</v>
      </c>
      <c r="BC962" s="73"/>
      <c r="BD962" s="74">
        <v>-469.05418064361265</v>
      </c>
      <c r="BE962" s="74">
        <v>0</v>
      </c>
      <c r="BF962" s="73"/>
      <c r="BG962" s="72">
        <v>-309368.45654558216</v>
      </c>
      <c r="BH962" s="72">
        <v>0</v>
      </c>
      <c r="BI962" s="73"/>
      <c r="BJ962" s="74">
        <v>-770.28272386026458</v>
      </c>
      <c r="BK962" s="74">
        <v>0</v>
      </c>
      <c r="BL962" s="73"/>
      <c r="BM962" s="72">
        <v>15381743.368272012</v>
      </c>
      <c r="BN962" s="72">
        <v>0</v>
      </c>
      <c r="BO962" s="73"/>
      <c r="BP962" s="74">
        <v>-4298.6013930039062</v>
      </c>
      <c r="BQ962" s="74">
        <v>0</v>
      </c>
      <c r="BS962" s="109">
        <f t="shared" si="348"/>
        <v>115630.9040106647</v>
      </c>
      <c r="BT962" s="109">
        <f t="shared" si="349"/>
        <v>115928.34828694613</v>
      </c>
      <c r="BV962" s="58">
        <f t="array" ref="BV962">SUM(IF(BS962:BT962&gt;=BS962, 1))</f>
        <v>2</v>
      </c>
      <c r="BW962" s="58">
        <f t="array" ref="BW962">SUM(IF(BS962:BT962&gt;=BT962, 1))</f>
        <v>1</v>
      </c>
      <c r="BY962" s="109">
        <f t="shared" si="350"/>
        <v>133235.90836056203</v>
      </c>
      <c r="BZ962" s="109">
        <f t="shared" si="351"/>
        <v>133489.68266730951</v>
      </c>
      <c r="CB962" s="58">
        <f t="array" ref="CB962">SUM(IF(BY962:BZ962&gt;=BY962, 1))</f>
        <v>2</v>
      </c>
      <c r="CC962" s="58">
        <f t="array" ref="CC962">SUM(IF(BY962:BZ962&gt;=BZ962, 1))</f>
        <v>1</v>
      </c>
      <c r="CE962" s="109">
        <f t="shared" si="352"/>
        <v>91709.234156095248</v>
      </c>
      <c r="CF962" s="109">
        <f t="shared" si="353"/>
        <v>93546.53909329763</v>
      </c>
      <c r="CH962" s="58">
        <f t="array" ref="CH962">SUM(IF(CE962:CF962&gt;=CE962, 1))</f>
        <v>2</v>
      </c>
      <c r="CI962" s="58">
        <f t="array" ref="CI962">SUM(IF(CE962:CF962&gt;=CF962, 1))</f>
        <v>1</v>
      </c>
      <c r="CK962" s="109">
        <f t="shared" si="354"/>
        <v>44317.724167698674</v>
      </c>
      <c r="CL962" s="109">
        <f t="shared" si="355"/>
        <v>45320.731223140436</v>
      </c>
      <c r="CN962" s="58">
        <f t="array" ref="CN962">SUM(IF(CK962:CL962&gt;=CK962, 1))</f>
        <v>2</v>
      </c>
      <c r="CO962" s="58">
        <f t="array" ref="CO962">SUM(IF(CK962:CL962&gt;=CL962, 1))</f>
        <v>1</v>
      </c>
      <c r="CQ962" s="109" cm="1">
        <f t="array" ref="CQ962">AF962*WTP-AC962</f>
        <v>37391.039395838365</v>
      </c>
      <c r="CR962" s="109">
        <f t="shared" si="356"/>
        <v>38375.947931023467</v>
      </c>
      <c r="CT962" s="58">
        <f t="array" ref="CT962">SUM(IF(CQ962:CR962&gt;=CQ962, 1))</f>
        <v>2</v>
      </c>
      <c r="CU962" s="58">
        <f t="array" ref="CU962">SUM(IF(CQ962:CR962&gt;=CR962, 1))</f>
        <v>1</v>
      </c>
      <c r="CW962" s="109">
        <f t="shared" si="357"/>
        <v>-31856894.059853181</v>
      </c>
      <c r="CX962" s="109">
        <f t="shared" si="358"/>
        <v>0</v>
      </c>
      <c r="CZ962" s="58">
        <f t="array" ref="CZ962">SUM(IF(CW962:CX962&gt;=CW962, 1))</f>
        <v>2</v>
      </c>
      <c r="DA962" s="58">
        <f t="array" ref="DA962">SUM(IF(CW962:CX962&gt;=CX962, 1))</f>
        <v>1</v>
      </c>
      <c r="DC962" s="109">
        <f t="shared" si="359"/>
        <v>-1729155.2482791881</v>
      </c>
      <c r="DD962" s="109">
        <f t="shared" si="360"/>
        <v>0</v>
      </c>
      <c r="DF962" s="58">
        <f t="array" ref="DF962">SUM(IF(DC962:DD962&gt;=DC962, 1))</f>
        <v>2</v>
      </c>
      <c r="DG962" s="58">
        <f t="array" ref="DG962">SUM(IF(DC962:DD962&gt;=DD962, 1))</f>
        <v>1</v>
      </c>
      <c r="DI962" s="109">
        <f t="shared" si="361"/>
        <v>-43469682.17831827</v>
      </c>
      <c r="DJ962" s="109">
        <f t="shared" si="362"/>
        <v>0</v>
      </c>
      <c r="DL962" s="58">
        <f t="array" ref="DL962">SUM(IF(DI962:DJ962&gt;=DI962, 1))</f>
        <v>2</v>
      </c>
      <c r="DM962" s="58">
        <f t="array" ref="DM962">SUM(IF(DI962:DJ962&gt;=DJ962, 1))</f>
        <v>1</v>
      </c>
      <c r="DO962" s="109">
        <f t="shared" si="363"/>
        <v>-9201753.7212397885</v>
      </c>
      <c r="DP962" s="109">
        <f t="shared" si="364"/>
        <v>0</v>
      </c>
      <c r="DR962" s="58">
        <f t="array" ref="DR962">SUM(IF(DO962:DP962&gt;=DO962, 1))</f>
        <v>2</v>
      </c>
      <c r="DS962" s="58">
        <f t="array" ref="DS962">SUM(IF(DO962:DP962&gt;=DP962, 1))</f>
        <v>1</v>
      </c>
      <c r="DU962" s="109">
        <f t="shared" si="365"/>
        <v>-15096286.020659709</v>
      </c>
      <c r="DV962" s="109">
        <f t="shared" si="366"/>
        <v>0</v>
      </c>
      <c r="DX962" s="58">
        <f t="array" ref="DX962">SUM(IF(DU962:DV962&gt;=DU962, 1))</f>
        <v>2</v>
      </c>
      <c r="DY962" s="58">
        <f t="array" ref="DY962">SUM(IF(DU962:DV962&gt;=DV962, 1))</f>
        <v>1</v>
      </c>
      <c r="EA962" s="109">
        <f t="shared" si="367"/>
        <v>-101353771.22835013</v>
      </c>
      <c r="EB962" s="109">
        <f t="shared" si="368"/>
        <v>0</v>
      </c>
      <c r="ED962" s="58">
        <f t="array" ref="ED962">SUM(IF(EA962:EB962&gt;=EA962, 1))</f>
        <v>2</v>
      </c>
      <c r="EE962" s="58">
        <f t="array" ref="EE962">SUM(IF(EA962:EB962&gt;=EB962, 1))</f>
        <v>1</v>
      </c>
    </row>
    <row r="963" spans="4:135" ht="12" customHeight="1" x14ac:dyDescent="0.25">
      <c r="D963" s="11">
        <v>947</v>
      </c>
      <c r="E963" s="72">
        <v>276.5074988531552</v>
      </c>
      <c r="F963" s="72">
        <v>243.04121770732863</v>
      </c>
      <c r="G963" s="73"/>
      <c r="H963" s="74">
        <v>5.7801426315805475</v>
      </c>
      <c r="I963" s="74">
        <v>5.796464356596112</v>
      </c>
      <c r="J963" s="73"/>
      <c r="K963" s="72">
        <v>296.24327482551661</v>
      </c>
      <c r="L963" s="72">
        <v>261.98992955987558</v>
      </c>
      <c r="M963" s="73"/>
      <c r="N963" s="74">
        <v>6.7096007195996483</v>
      </c>
      <c r="O963" s="74">
        <v>6.7240674025645895</v>
      </c>
      <c r="P963" s="73"/>
      <c r="Q963" s="72">
        <v>2828.803669550472</v>
      </c>
      <c r="R963" s="72">
        <v>1335.8327477599066</v>
      </c>
      <c r="S963" s="73"/>
      <c r="T963" s="74">
        <v>4.7530167515527166</v>
      </c>
      <c r="U963" s="74">
        <v>4.8584051277911948</v>
      </c>
      <c r="V963" s="73"/>
      <c r="W963" s="72">
        <v>12234.961219178726</v>
      </c>
      <c r="X963" s="72">
        <v>12198.0365001638</v>
      </c>
      <c r="Y963" s="73"/>
      <c r="Z963" s="74">
        <v>2.9623233244527549</v>
      </c>
      <c r="AA963" s="74">
        <v>3.0053379839035648</v>
      </c>
      <c r="AB963" s="73"/>
      <c r="AC963" s="72">
        <v>51184.575984685544</v>
      </c>
      <c r="AD963" s="72">
        <v>50250.463369727317</v>
      </c>
      <c r="AE963" s="73"/>
      <c r="AF963" s="74">
        <v>3.7899661679448049</v>
      </c>
      <c r="AG963" s="74">
        <v>3.888954080055067</v>
      </c>
      <c r="AH963" s="73"/>
      <c r="AI963" s="72">
        <v>3676362.8259155145</v>
      </c>
      <c r="AJ963" s="72">
        <v>0</v>
      </c>
      <c r="AK963" s="73"/>
      <c r="AL963" s="74">
        <v>-1792.9862849287504</v>
      </c>
      <c r="AM963" s="74">
        <v>0</v>
      </c>
      <c r="AN963" s="73"/>
      <c r="AO963" s="72">
        <v>243121.46007182094</v>
      </c>
      <c r="AP963" s="72">
        <v>0</v>
      </c>
      <c r="AQ963" s="73"/>
      <c r="AR963" s="74">
        <v>-102.68080555508939</v>
      </c>
      <c r="AS963" s="74">
        <v>0</v>
      </c>
      <c r="AT963" s="73"/>
      <c r="AU963" s="72">
        <v>34602498.506445162</v>
      </c>
      <c r="AV963" s="72">
        <v>0</v>
      </c>
      <c r="AW963" s="73"/>
      <c r="AX963" s="74">
        <v>-2442.5801455094806</v>
      </c>
      <c r="AY963" s="74">
        <v>0</v>
      </c>
      <c r="AZ963" s="73"/>
      <c r="BA963" s="72">
        <v>333152.69720004057</v>
      </c>
      <c r="BB963" s="72">
        <v>0</v>
      </c>
      <c r="BC963" s="73"/>
      <c r="BD963" s="74">
        <v>-388.09908910575592</v>
      </c>
      <c r="BE963" s="74">
        <v>0</v>
      </c>
      <c r="BF963" s="73"/>
      <c r="BG963" s="72">
        <v>15131712.888912179</v>
      </c>
      <c r="BH963" s="72">
        <v>0</v>
      </c>
      <c r="BI963" s="73"/>
      <c r="BJ963" s="74">
        <v>-1603.5075873505284</v>
      </c>
      <c r="BK963" s="74">
        <v>0</v>
      </c>
      <c r="BL963" s="73"/>
      <c r="BM963" s="72">
        <v>53986848.378544711</v>
      </c>
      <c r="BN963" s="72">
        <v>0</v>
      </c>
      <c r="BO963" s="73"/>
      <c r="BP963" s="74">
        <v>-6329.8539124496046</v>
      </c>
      <c r="BQ963" s="74">
        <v>0</v>
      </c>
      <c r="BS963" s="109">
        <f t="shared" si="348"/>
        <v>115326.34513275779</v>
      </c>
      <c r="BT963" s="109">
        <f t="shared" si="349"/>
        <v>115686.24591421492</v>
      </c>
      <c r="BV963" s="58">
        <f t="array" ref="BV963">SUM(IF(BS963:BT963&gt;=BS963, 1))</f>
        <v>2</v>
      </c>
      <c r="BW963" s="58">
        <f t="array" ref="BW963">SUM(IF(BS963:BT963&gt;=BT963, 1))</f>
        <v>1</v>
      </c>
      <c r="BY963" s="109">
        <f t="shared" si="350"/>
        <v>133895.77111716746</v>
      </c>
      <c r="BZ963" s="109">
        <f t="shared" si="351"/>
        <v>134219.35812173193</v>
      </c>
      <c r="CB963" s="58">
        <f t="array" ref="CB963">SUM(IF(BY963:BZ963&gt;=BY963, 1))</f>
        <v>2</v>
      </c>
      <c r="CC963" s="58">
        <f t="array" ref="CC963">SUM(IF(BY963:BZ963&gt;=BZ963, 1))</f>
        <v>1</v>
      </c>
      <c r="CE963" s="109">
        <f t="shared" si="352"/>
        <v>92231.531361503861</v>
      </c>
      <c r="CF963" s="109">
        <f t="shared" si="353"/>
        <v>95832.269808063982</v>
      </c>
      <c r="CH963" s="58">
        <f t="array" ref="CH963">SUM(IF(CE963:CF963&gt;=CE963, 1))</f>
        <v>2</v>
      </c>
      <c r="CI963" s="58">
        <f t="array" ref="CI963">SUM(IF(CE963:CF963&gt;=CF963, 1))</f>
        <v>1</v>
      </c>
      <c r="CK963" s="109">
        <f t="shared" si="354"/>
        <v>47011.505269876376</v>
      </c>
      <c r="CL963" s="109">
        <f t="shared" si="355"/>
        <v>47908.723177907494</v>
      </c>
      <c r="CN963" s="58">
        <f t="array" ref="CN963">SUM(IF(CK963:CL963&gt;=CK963, 1))</f>
        <v>2</v>
      </c>
      <c r="CO963" s="58">
        <f t="array" ref="CO963">SUM(IF(CK963:CL963&gt;=CL963, 1))</f>
        <v>1</v>
      </c>
      <c r="CQ963" s="109" cm="1">
        <f t="array" ref="CQ963">AF963*WTP-AC963</f>
        <v>24614.747374210558</v>
      </c>
      <c r="CR963" s="109">
        <f t="shared" si="356"/>
        <v>27528.618231374021</v>
      </c>
      <c r="CT963" s="58">
        <f t="array" ref="CT963">SUM(IF(CQ963:CR963&gt;=CQ963, 1))</f>
        <v>2</v>
      </c>
      <c r="CU963" s="58">
        <f t="array" ref="CU963">SUM(IF(CQ963:CR963&gt;=CR963, 1))</f>
        <v>1</v>
      </c>
      <c r="CW963" s="109">
        <f t="shared" si="357"/>
        <v>-39536088.52449052</v>
      </c>
      <c r="CX963" s="109">
        <f t="shared" si="358"/>
        <v>0</v>
      </c>
      <c r="CZ963" s="58">
        <f t="array" ref="CZ963">SUM(IF(CW963:CX963&gt;=CW963, 1))</f>
        <v>2</v>
      </c>
      <c r="DA963" s="58">
        <f t="array" ref="DA963">SUM(IF(CW963:CX963&gt;=CX963, 1))</f>
        <v>1</v>
      </c>
      <c r="DC963" s="109">
        <f t="shared" si="359"/>
        <v>-2296737.5711736088</v>
      </c>
      <c r="DD963" s="109">
        <f t="shared" si="360"/>
        <v>0</v>
      </c>
      <c r="DF963" s="58">
        <f t="array" ref="DF963">SUM(IF(DC963:DD963&gt;=DC963, 1))</f>
        <v>2</v>
      </c>
      <c r="DG963" s="58">
        <f t="array" ref="DG963">SUM(IF(DC963:DD963&gt;=DD963, 1))</f>
        <v>1</v>
      </c>
      <c r="DI963" s="109">
        <f t="shared" si="361"/>
        <v>-83454101.416634768</v>
      </c>
      <c r="DJ963" s="109">
        <f t="shared" si="362"/>
        <v>0</v>
      </c>
      <c r="DL963" s="58">
        <f t="array" ref="DL963">SUM(IF(DI963:DJ963&gt;=DI963, 1))</f>
        <v>2</v>
      </c>
      <c r="DM963" s="58">
        <f t="array" ref="DM963">SUM(IF(DI963:DJ963&gt;=DJ963, 1))</f>
        <v>1</v>
      </c>
      <c r="DO963" s="109">
        <f t="shared" si="363"/>
        <v>-8095134.4793151589</v>
      </c>
      <c r="DP963" s="109">
        <f t="shared" si="364"/>
        <v>0</v>
      </c>
      <c r="DR963" s="58">
        <f t="array" ref="DR963">SUM(IF(DO963:DP963&gt;=DO963, 1))</f>
        <v>2</v>
      </c>
      <c r="DS963" s="58">
        <f t="array" ref="DS963">SUM(IF(DO963:DP963&gt;=DP963, 1))</f>
        <v>1</v>
      </c>
      <c r="DU963" s="109">
        <f t="shared" si="365"/>
        <v>-47201864.635922745</v>
      </c>
      <c r="DV963" s="109">
        <f t="shared" si="366"/>
        <v>0</v>
      </c>
      <c r="DX963" s="58">
        <f t="array" ref="DX963">SUM(IF(DU963:DV963&gt;=DU963, 1))</f>
        <v>2</v>
      </c>
      <c r="DY963" s="58">
        <f t="array" ref="DY963">SUM(IF(DU963:DV963&gt;=DV963, 1))</f>
        <v>1</v>
      </c>
      <c r="EA963" s="109">
        <f t="shared" si="367"/>
        <v>-180583926.6275368</v>
      </c>
      <c r="EB963" s="109">
        <f t="shared" si="368"/>
        <v>0</v>
      </c>
      <c r="ED963" s="58">
        <f t="array" ref="ED963">SUM(IF(EA963:EB963&gt;=EA963, 1))</f>
        <v>2</v>
      </c>
      <c r="EE963" s="58">
        <f t="array" ref="EE963">SUM(IF(EA963:EB963&gt;=EB963, 1))</f>
        <v>1</v>
      </c>
    </row>
    <row r="964" spans="4:135" ht="12" customHeight="1" x14ac:dyDescent="0.25">
      <c r="D964" s="11">
        <v>948</v>
      </c>
      <c r="E964" s="72">
        <v>191.05184515316662</v>
      </c>
      <c r="F964" s="72">
        <v>176.96529045237673</v>
      </c>
      <c r="G964" s="73"/>
      <c r="H964" s="74">
        <v>5.8383098527381829</v>
      </c>
      <c r="I964" s="74">
        <v>5.8543470036145555</v>
      </c>
      <c r="J964" s="73"/>
      <c r="K964" s="72">
        <v>205.2743686028372</v>
      </c>
      <c r="L964" s="72">
        <v>190.82781443462733</v>
      </c>
      <c r="M964" s="73"/>
      <c r="N964" s="74">
        <v>6.683804803487833</v>
      </c>
      <c r="O964" s="74">
        <v>6.6971643317979197</v>
      </c>
      <c r="P964" s="73"/>
      <c r="Q964" s="72">
        <v>1919.5615144253097</v>
      </c>
      <c r="R964" s="72">
        <v>1435.5260152540588</v>
      </c>
      <c r="S964" s="73"/>
      <c r="T964" s="74">
        <v>4.8819096235326196</v>
      </c>
      <c r="U964" s="74">
        <v>4.9698553312970333</v>
      </c>
      <c r="V964" s="73"/>
      <c r="W964" s="72">
        <v>12044.560916585937</v>
      </c>
      <c r="X964" s="72">
        <v>11994.709669140428</v>
      </c>
      <c r="Y964" s="73"/>
      <c r="Z964" s="74">
        <v>3.0249158996812158</v>
      </c>
      <c r="AA964" s="74">
        <v>3.049372511073972</v>
      </c>
      <c r="AB964" s="73"/>
      <c r="AC964" s="72">
        <v>49737.256680005252</v>
      </c>
      <c r="AD964" s="72">
        <v>49718.990072564273</v>
      </c>
      <c r="AE964" s="73"/>
      <c r="AF964" s="74">
        <v>4.1607529698981294</v>
      </c>
      <c r="AG964" s="74">
        <v>4.3186422364826456</v>
      </c>
      <c r="AH964" s="73"/>
      <c r="AI964" s="72">
        <v>1523713.5856931645</v>
      </c>
      <c r="AJ964" s="72">
        <v>0</v>
      </c>
      <c r="AK964" s="73"/>
      <c r="AL964" s="74">
        <v>-1734.7055532869028</v>
      </c>
      <c r="AM964" s="74">
        <v>0</v>
      </c>
      <c r="AN964" s="73"/>
      <c r="AO964" s="72">
        <v>96389.180352225609</v>
      </c>
      <c r="AP964" s="72">
        <v>0</v>
      </c>
      <c r="AQ964" s="73"/>
      <c r="AR964" s="74">
        <v>-89.136410572928696</v>
      </c>
      <c r="AS964" s="74">
        <v>0</v>
      </c>
      <c r="AT964" s="73"/>
      <c r="AU964" s="72">
        <v>11383777.034972591</v>
      </c>
      <c r="AV964" s="72">
        <v>0</v>
      </c>
      <c r="AW964" s="73"/>
      <c r="AX964" s="74">
        <v>-2068.3489745836528</v>
      </c>
      <c r="AY964" s="74">
        <v>0</v>
      </c>
      <c r="AZ964" s="73"/>
      <c r="BA964" s="72">
        <v>449464.59991731483</v>
      </c>
      <c r="BB964" s="72">
        <v>0</v>
      </c>
      <c r="BC964" s="73"/>
      <c r="BD964" s="74">
        <v>-220.50363066629055</v>
      </c>
      <c r="BE964" s="74">
        <v>0</v>
      </c>
      <c r="BF964" s="73"/>
      <c r="BG964" s="72">
        <v>283245.93565097864</v>
      </c>
      <c r="BH964" s="72">
        <v>0</v>
      </c>
      <c r="BI964" s="73"/>
      <c r="BJ964" s="74">
        <v>-2448.2648563767057</v>
      </c>
      <c r="BK964" s="74">
        <v>0</v>
      </c>
      <c r="BL964" s="73"/>
      <c r="BM964" s="72">
        <v>13736590.336586274</v>
      </c>
      <c r="BN964" s="72">
        <v>0</v>
      </c>
      <c r="BO964" s="73"/>
      <c r="BP964" s="74">
        <v>-6560.9594254864805</v>
      </c>
      <c r="BQ964" s="74">
        <v>0</v>
      </c>
      <c r="BS964" s="109">
        <f t="shared" si="348"/>
        <v>116575.14520961049</v>
      </c>
      <c r="BT964" s="109">
        <f t="shared" si="349"/>
        <v>116909.97478183873</v>
      </c>
      <c r="BV964" s="58">
        <f t="array" ref="BV964">SUM(IF(BS964:BT964&gt;=BS964, 1))</f>
        <v>2</v>
      </c>
      <c r="BW964" s="58">
        <f t="array" ref="BW964">SUM(IF(BS964:BT964&gt;=BT964, 1))</f>
        <v>1</v>
      </c>
      <c r="BY964" s="109">
        <f t="shared" si="350"/>
        <v>133470.82170115382</v>
      </c>
      <c r="BZ964" s="109">
        <f t="shared" si="351"/>
        <v>133752.45882152376</v>
      </c>
      <c r="CB964" s="58">
        <f t="array" ref="CB964">SUM(IF(BY964:BZ964&gt;=BY964, 1))</f>
        <v>2</v>
      </c>
      <c r="CC964" s="58">
        <f t="array" ref="CC964">SUM(IF(BY964:BZ964&gt;=BZ964, 1))</f>
        <v>1</v>
      </c>
      <c r="CE964" s="109">
        <f t="shared" si="352"/>
        <v>95718.630956227076</v>
      </c>
      <c r="CF964" s="109">
        <f t="shared" si="353"/>
        <v>97961.580610686608</v>
      </c>
      <c r="CH964" s="58">
        <f t="array" ref="CH964">SUM(IF(CE964:CF964&gt;=CE964, 1))</f>
        <v>2</v>
      </c>
      <c r="CI964" s="58">
        <f t="array" ref="CI964">SUM(IF(CE964:CF964&gt;=CF964, 1))</f>
        <v>1</v>
      </c>
      <c r="CK964" s="109">
        <f t="shared" si="354"/>
        <v>48453.757077038383</v>
      </c>
      <c r="CL964" s="109">
        <f t="shared" si="355"/>
        <v>48992.740552339012</v>
      </c>
      <c r="CN964" s="58">
        <f t="array" ref="CN964">SUM(IF(CK964:CL964&gt;=CK964, 1))</f>
        <v>2</v>
      </c>
      <c r="CO964" s="58">
        <f t="array" ref="CO964">SUM(IF(CK964:CL964&gt;=CL964, 1))</f>
        <v>1</v>
      </c>
      <c r="CQ964" s="109" cm="1">
        <f t="array" ref="CQ964">AF964*WTP-AC964</f>
        <v>33477.802717957333</v>
      </c>
      <c r="CR964" s="109">
        <f t="shared" si="356"/>
        <v>36653.854657088632</v>
      </c>
      <c r="CT964" s="58">
        <f t="array" ref="CT964">SUM(IF(CQ964:CR964&gt;=CQ964, 1))</f>
        <v>2</v>
      </c>
      <c r="CU964" s="58">
        <f t="array" ref="CU964">SUM(IF(CQ964:CR964&gt;=CR964, 1))</f>
        <v>1</v>
      </c>
      <c r="CW964" s="109">
        <f t="shared" si="357"/>
        <v>-36217824.651431225</v>
      </c>
      <c r="CX964" s="109">
        <f t="shared" si="358"/>
        <v>0</v>
      </c>
      <c r="CZ964" s="58">
        <f t="array" ref="CZ964">SUM(IF(CW964:CX964&gt;=CW964, 1))</f>
        <v>2</v>
      </c>
      <c r="DA964" s="58">
        <f t="array" ref="DA964">SUM(IF(CW964:CX964&gt;=CX964, 1))</f>
        <v>1</v>
      </c>
      <c r="DC964" s="109">
        <f t="shared" si="359"/>
        <v>-1879117.3918107995</v>
      </c>
      <c r="DD964" s="109">
        <f t="shared" si="360"/>
        <v>0</v>
      </c>
      <c r="DF964" s="58">
        <f t="array" ref="DF964">SUM(IF(DC964:DD964&gt;=DC964, 1))</f>
        <v>2</v>
      </c>
      <c r="DG964" s="58">
        <f t="array" ref="DG964">SUM(IF(DC964:DD964&gt;=DD964, 1))</f>
        <v>1</v>
      </c>
      <c r="DI964" s="109">
        <f t="shared" si="361"/>
        <v>-52750756.526645645</v>
      </c>
      <c r="DJ964" s="109">
        <f t="shared" si="362"/>
        <v>0</v>
      </c>
      <c r="DL964" s="58">
        <f t="array" ref="DL964">SUM(IF(DI964:DJ964&gt;=DI964, 1))</f>
        <v>2</v>
      </c>
      <c r="DM964" s="58">
        <f t="array" ref="DM964">SUM(IF(DI964:DJ964&gt;=DJ964, 1))</f>
        <v>1</v>
      </c>
      <c r="DO964" s="109">
        <f t="shared" si="363"/>
        <v>-4859537.2132431259</v>
      </c>
      <c r="DP964" s="109">
        <f t="shared" si="364"/>
        <v>0</v>
      </c>
      <c r="DR964" s="58">
        <f t="array" ref="DR964">SUM(IF(DO964:DP964&gt;=DO964, 1))</f>
        <v>2</v>
      </c>
      <c r="DS964" s="58">
        <f t="array" ref="DS964">SUM(IF(DO964:DP964&gt;=DP964, 1))</f>
        <v>1</v>
      </c>
      <c r="DU964" s="109">
        <f t="shared" si="365"/>
        <v>-49248543.063185096</v>
      </c>
      <c r="DV964" s="109">
        <f t="shared" si="366"/>
        <v>0</v>
      </c>
      <c r="DX964" s="58">
        <f t="array" ref="DX964">SUM(IF(DU964:DV964&gt;=DU964, 1))</f>
        <v>2</v>
      </c>
      <c r="DY964" s="58">
        <f t="array" ref="DY964">SUM(IF(DU964:DV964&gt;=DV964, 1))</f>
        <v>1</v>
      </c>
      <c r="EA964" s="109">
        <f t="shared" si="367"/>
        <v>-144955778.84631589</v>
      </c>
      <c r="EB964" s="109">
        <f t="shared" si="368"/>
        <v>0</v>
      </c>
      <c r="ED964" s="58">
        <f t="array" ref="ED964">SUM(IF(EA964:EB964&gt;=EA964, 1))</f>
        <v>2</v>
      </c>
      <c r="EE964" s="58">
        <f t="array" ref="EE964">SUM(IF(EA964:EB964&gt;=EB964, 1))</f>
        <v>1</v>
      </c>
    </row>
    <row r="965" spans="4:135" ht="12" customHeight="1" x14ac:dyDescent="0.25">
      <c r="D965" s="11">
        <v>949</v>
      </c>
      <c r="E965" s="72">
        <v>206.64161132172455</v>
      </c>
      <c r="F965" s="72">
        <v>187.71647091956376</v>
      </c>
      <c r="G965" s="73"/>
      <c r="H965" s="74">
        <v>5.8626415689840421</v>
      </c>
      <c r="I965" s="74">
        <v>5.8803855615221883</v>
      </c>
      <c r="J965" s="73"/>
      <c r="K965" s="72">
        <v>221.78940667639458</v>
      </c>
      <c r="L965" s="72">
        <v>202.41404440205645</v>
      </c>
      <c r="M965" s="73"/>
      <c r="N965" s="74">
        <v>6.6871183640694598</v>
      </c>
      <c r="O965" s="74">
        <v>6.7029192483740756</v>
      </c>
      <c r="P965" s="73"/>
      <c r="Q965" s="72">
        <v>3284.6161058705216</v>
      </c>
      <c r="R965" s="72">
        <v>1508.9523256655189</v>
      </c>
      <c r="S965" s="73"/>
      <c r="T965" s="74">
        <v>4.7584173219073316</v>
      </c>
      <c r="U965" s="74">
        <v>4.9102112917561547</v>
      </c>
      <c r="V965" s="73"/>
      <c r="W965" s="72">
        <v>13428.873870285279</v>
      </c>
      <c r="X965" s="72">
        <v>13366.563867597981</v>
      </c>
      <c r="Y965" s="73"/>
      <c r="Z965" s="74">
        <v>3.0920283225314082</v>
      </c>
      <c r="AA965" s="74">
        <v>3.1357211321881335</v>
      </c>
      <c r="AB965" s="73"/>
      <c r="AC965" s="72">
        <v>49877.078232335938</v>
      </c>
      <c r="AD965" s="72">
        <v>49932.303837106978</v>
      </c>
      <c r="AE965" s="73"/>
      <c r="AF965" s="74">
        <v>4.2594188841735603</v>
      </c>
      <c r="AG965" s="74">
        <v>4.3380814376008558</v>
      </c>
      <c r="AH965" s="73"/>
      <c r="AI965" s="72">
        <v>2036114.5390261412</v>
      </c>
      <c r="AJ965" s="72">
        <v>0</v>
      </c>
      <c r="AK965" s="73"/>
      <c r="AL965" s="74">
        <v>-1909.0374189861104</v>
      </c>
      <c r="AM965" s="74">
        <v>0</v>
      </c>
      <c r="AN965" s="73"/>
      <c r="AO965" s="72">
        <v>132488.91919430307</v>
      </c>
      <c r="AP965" s="72">
        <v>0</v>
      </c>
      <c r="AQ965" s="73"/>
      <c r="AR965" s="74">
        <v>-108.04660342302095</v>
      </c>
      <c r="AS965" s="74">
        <v>0</v>
      </c>
      <c r="AT965" s="73"/>
      <c r="AU965" s="72">
        <v>41368813.506528109</v>
      </c>
      <c r="AV965" s="72">
        <v>0</v>
      </c>
      <c r="AW965" s="73"/>
      <c r="AX965" s="74">
        <v>-3536.4445116780685</v>
      </c>
      <c r="AY965" s="74">
        <v>0</v>
      </c>
      <c r="AZ965" s="73"/>
      <c r="BA965" s="72">
        <v>546362.67107881163</v>
      </c>
      <c r="BB965" s="72">
        <v>0</v>
      </c>
      <c r="BC965" s="73"/>
      <c r="BD965" s="74">
        <v>-383.1185870876696</v>
      </c>
      <c r="BE965" s="74">
        <v>0</v>
      </c>
      <c r="BF965" s="73"/>
      <c r="BG965" s="72">
        <v>-840598.04236864729</v>
      </c>
      <c r="BH965" s="72">
        <v>0</v>
      </c>
      <c r="BI965" s="73"/>
      <c r="BJ965" s="74">
        <v>-1197.3357049297333</v>
      </c>
      <c r="BK965" s="74">
        <v>0</v>
      </c>
      <c r="BL965" s="73"/>
      <c r="BM965" s="72">
        <v>43243181.593458712</v>
      </c>
      <c r="BN965" s="72">
        <v>0</v>
      </c>
      <c r="BO965" s="73"/>
      <c r="BP965" s="74">
        <v>-7133.9828261046023</v>
      </c>
      <c r="BQ965" s="74">
        <v>0</v>
      </c>
      <c r="BS965" s="109">
        <f t="shared" si="348"/>
        <v>117046.18976835911</v>
      </c>
      <c r="BT965" s="109">
        <f t="shared" si="349"/>
        <v>117419.9947595242</v>
      </c>
      <c r="BV965" s="58">
        <f t="array" ref="BV965">SUM(IF(BS965:BT965&gt;=BS965, 1))</f>
        <v>2</v>
      </c>
      <c r="BW965" s="58">
        <f t="array" ref="BW965">SUM(IF(BS965:BT965&gt;=BT965, 1))</f>
        <v>1</v>
      </c>
      <c r="BY965" s="109">
        <f t="shared" si="350"/>
        <v>133520.57787471279</v>
      </c>
      <c r="BZ965" s="109">
        <f t="shared" si="351"/>
        <v>133855.97092307947</v>
      </c>
      <c r="CB965" s="58">
        <f t="array" ref="CB965">SUM(IF(BY965:BZ965&gt;=BY965, 1))</f>
        <v>2</v>
      </c>
      <c r="CC965" s="58">
        <f t="array" ref="CC965">SUM(IF(BY965:BZ965&gt;=BZ965, 1))</f>
        <v>1</v>
      </c>
      <c r="CE965" s="109">
        <f t="shared" si="352"/>
        <v>91883.730332276114</v>
      </c>
      <c r="CF965" s="109">
        <f t="shared" si="353"/>
        <v>96695.273509457576</v>
      </c>
      <c r="CH965" s="58">
        <f t="array" ref="CH965">SUM(IF(CE965:CF965&gt;=CE965, 1))</f>
        <v>2</v>
      </c>
      <c r="CI965" s="58">
        <f t="array" ref="CI965">SUM(IF(CE965:CF965&gt;=CF965, 1))</f>
        <v>1</v>
      </c>
      <c r="CK965" s="109">
        <f t="shared" si="354"/>
        <v>48411.692580342889</v>
      </c>
      <c r="CL965" s="109">
        <f t="shared" si="355"/>
        <v>49347.858776164692</v>
      </c>
      <c r="CN965" s="58">
        <f t="array" ref="CN965">SUM(IF(CK965:CL965&gt;=CK965, 1))</f>
        <v>2</v>
      </c>
      <c r="CO965" s="58">
        <f t="array" ref="CO965">SUM(IF(CK965:CL965&gt;=CL965, 1))</f>
        <v>1</v>
      </c>
      <c r="CQ965" s="109" cm="1">
        <f t="array" ref="CQ965">AF965*WTP-AC965</f>
        <v>35311.299451135266</v>
      </c>
      <c r="CR965" s="109">
        <f t="shared" si="356"/>
        <v>36829.324914910139</v>
      </c>
      <c r="CT965" s="58">
        <f t="array" ref="CT965">SUM(IF(CQ965:CR965&gt;=CQ965, 1))</f>
        <v>2</v>
      </c>
      <c r="CU965" s="58">
        <f t="array" ref="CU965">SUM(IF(CQ965:CR965&gt;=CR965, 1))</f>
        <v>1</v>
      </c>
      <c r="CW965" s="109">
        <f t="shared" si="357"/>
        <v>-40216862.918748349</v>
      </c>
      <c r="CX965" s="109">
        <f t="shared" si="358"/>
        <v>0</v>
      </c>
      <c r="CZ965" s="58">
        <f t="array" ref="CZ965">SUM(IF(CW965:CX965&gt;=CW965, 1))</f>
        <v>2</v>
      </c>
      <c r="DA965" s="58">
        <f t="array" ref="DA965">SUM(IF(CW965:CX965&gt;=CX965, 1))</f>
        <v>1</v>
      </c>
      <c r="DC965" s="109">
        <f t="shared" si="359"/>
        <v>-2293420.9876547223</v>
      </c>
      <c r="DD965" s="109">
        <f t="shared" si="360"/>
        <v>0</v>
      </c>
      <c r="DF965" s="58">
        <f t="array" ref="DF965">SUM(IF(DC965:DD965&gt;=DC965, 1))</f>
        <v>2</v>
      </c>
      <c r="DG965" s="58">
        <f t="array" ref="DG965">SUM(IF(DC965:DD965&gt;=DD965, 1))</f>
        <v>1</v>
      </c>
      <c r="DI965" s="109">
        <f t="shared" si="361"/>
        <v>-112097703.74008948</v>
      </c>
      <c r="DJ965" s="109">
        <f t="shared" si="362"/>
        <v>0</v>
      </c>
      <c r="DL965" s="58">
        <f t="array" ref="DL965">SUM(IF(DI965:DJ965&gt;=DI965, 1))</f>
        <v>2</v>
      </c>
      <c r="DM965" s="58">
        <f t="array" ref="DM965">SUM(IF(DI965:DJ965&gt;=DJ965, 1))</f>
        <v>1</v>
      </c>
      <c r="DO965" s="109">
        <f t="shared" si="363"/>
        <v>-8208734.4128322033</v>
      </c>
      <c r="DP965" s="109">
        <f t="shared" si="364"/>
        <v>0</v>
      </c>
      <c r="DR965" s="58">
        <f t="array" ref="DR965">SUM(IF(DO965:DP965&gt;=DO965, 1))</f>
        <v>2</v>
      </c>
      <c r="DS965" s="58">
        <f t="array" ref="DS965">SUM(IF(DO965:DP965&gt;=DP965, 1))</f>
        <v>1</v>
      </c>
      <c r="DU965" s="109">
        <f t="shared" si="365"/>
        <v>-23106116.056226019</v>
      </c>
      <c r="DV965" s="109">
        <f t="shared" si="366"/>
        <v>0</v>
      </c>
      <c r="DX965" s="58">
        <f t="array" ref="DX965">SUM(IF(DU965:DV965&gt;=DU965, 1))</f>
        <v>2</v>
      </c>
      <c r="DY965" s="58">
        <f t="array" ref="DY965">SUM(IF(DU965:DV965&gt;=DV965, 1))</f>
        <v>1</v>
      </c>
      <c r="EA965" s="109">
        <f t="shared" si="367"/>
        <v>-185922838.11555076</v>
      </c>
      <c r="EB965" s="109">
        <f t="shared" si="368"/>
        <v>0</v>
      </c>
      <c r="ED965" s="58">
        <f t="array" ref="ED965">SUM(IF(EA965:EB965&gt;=EA965, 1))</f>
        <v>2</v>
      </c>
      <c r="EE965" s="58">
        <f t="array" ref="EE965">SUM(IF(EA965:EB965&gt;=EB965, 1))</f>
        <v>1</v>
      </c>
    </row>
    <row r="966" spans="4:135" ht="12" customHeight="1" x14ac:dyDescent="0.25">
      <c r="D966" s="11">
        <v>950</v>
      </c>
      <c r="E966" s="72">
        <v>219.31838384467048</v>
      </c>
      <c r="F966" s="72">
        <v>188.20188750711543</v>
      </c>
      <c r="G966" s="73"/>
      <c r="H966" s="74">
        <v>5.827217293642744</v>
      </c>
      <c r="I966" s="74">
        <v>5.8457364020778684</v>
      </c>
      <c r="J966" s="73"/>
      <c r="K966" s="72">
        <v>234.69893132837262</v>
      </c>
      <c r="L966" s="72">
        <v>202.85829707987745</v>
      </c>
      <c r="M966" s="73"/>
      <c r="N966" s="74">
        <v>6.6815155212018658</v>
      </c>
      <c r="O966" s="74">
        <v>6.6980017319854568</v>
      </c>
      <c r="P966" s="73"/>
      <c r="Q966" s="72">
        <v>1944.2222376617078</v>
      </c>
      <c r="R966" s="72">
        <v>1414.569902950301</v>
      </c>
      <c r="S966" s="73"/>
      <c r="T966" s="74">
        <v>4.7710719634119343</v>
      </c>
      <c r="U966" s="74">
        <v>4.8210242709888673</v>
      </c>
      <c r="V966" s="73"/>
      <c r="W966" s="72">
        <v>15661.531996833686</v>
      </c>
      <c r="X966" s="72">
        <v>15618.754799796852</v>
      </c>
      <c r="Y966" s="73"/>
      <c r="Z966" s="74">
        <v>2.98528534042432</v>
      </c>
      <c r="AA966" s="74">
        <v>3.0315113898802104</v>
      </c>
      <c r="AB966" s="73"/>
      <c r="AC966" s="72">
        <v>49845.49388908437</v>
      </c>
      <c r="AD966" s="72">
        <v>49572.960041309685</v>
      </c>
      <c r="AE966" s="73"/>
      <c r="AF966" s="74">
        <v>4.8817405336780162</v>
      </c>
      <c r="AG966" s="74">
        <v>5.0251014679718065</v>
      </c>
      <c r="AH966" s="73"/>
      <c r="AI966" s="72">
        <v>3318753.2443888783</v>
      </c>
      <c r="AJ966" s="72">
        <v>0</v>
      </c>
      <c r="AK966" s="73"/>
      <c r="AL966" s="74">
        <v>-1975.1693936081397</v>
      </c>
      <c r="AM966" s="74">
        <v>0</v>
      </c>
      <c r="AN966" s="73"/>
      <c r="AO966" s="72">
        <v>236271.86436319104</v>
      </c>
      <c r="AP966" s="72">
        <v>0</v>
      </c>
      <c r="AQ966" s="73"/>
      <c r="AR966" s="74">
        <v>-122.33511831843265</v>
      </c>
      <c r="AS966" s="74">
        <v>0</v>
      </c>
      <c r="AT966" s="73"/>
      <c r="AU966" s="72">
        <v>11854767.457659507</v>
      </c>
      <c r="AV966" s="72">
        <v>0</v>
      </c>
      <c r="AW966" s="73"/>
      <c r="AX966" s="74">
        <v>-1118.0409326821584</v>
      </c>
      <c r="AY966" s="74">
        <v>0</v>
      </c>
      <c r="AZ966" s="73"/>
      <c r="BA966" s="72">
        <v>369486.92882670899</v>
      </c>
      <c r="BB966" s="72">
        <v>0</v>
      </c>
      <c r="BC966" s="73"/>
      <c r="BD966" s="74">
        <v>-399.27630205741542</v>
      </c>
      <c r="BE966" s="74">
        <v>0</v>
      </c>
      <c r="BF966" s="73"/>
      <c r="BG966" s="72">
        <v>4299169.3932022741</v>
      </c>
      <c r="BH966" s="72">
        <v>0</v>
      </c>
      <c r="BI966" s="73"/>
      <c r="BJ966" s="74">
        <v>-2261.4913557683826</v>
      </c>
      <c r="BK966" s="74">
        <v>0</v>
      </c>
      <c r="BL966" s="73"/>
      <c r="BM966" s="72">
        <v>20078448.888440561</v>
      </c>
      <c r="BN966" s="72">
        <v>0</v>
      </c>
      <c r="BO966" s="73"/>
      <c r="BP966" s="74">
        <v>-5876.3131024345284</v>
      </c>
      <c r="BQ966" s="74">
        <v>0</v>
      </c>
      <c r="BS966" s="109">
        <f t="shared" si="348"/>
        <v>116325.02748901022</v>
      </c>
      <c r="BT966" s="109">
        <f t="shared" si="349"/>
        <v>116726.52615405024</v>
      </c>
      <c r="BV966" s="58">
        <f t="array" ref="BV966">SUM(IF(BS966:BT966&gt;=BS966, 1))</f>
        <v>2</v>
      </c>
      <c r="BW966" s="58">
        <f t="array" ref="BW966">SUM(IF(BS966:BT966&gt;=BT966, 1))</f>
        <v>1</v>
      </c>
      <c r="BY966" s="109">
        <f t="shared" si="350"/>
        <v>133395.61149270894</v>
      </c>
      <c r="BZ966" s="109">
        <f t="shared" si="351"/>
        <v>133757.17634262925</v>
      </c>
      <c r="CB966" s="58">
        <f t="array" ref="CB966">SUM(IF(BY966:BZ966&gt;=BY966, 1))</f>
        <v>2</v>
      </c>
      <c r="CC966" s="58">
        <f t="array" ref="CC966">SUM(IF(BY966:BZ966&gt;=BZ966, 1))</f>
        <v>1</v>
      </c>
      <c r="CE966" s="109">
        <f t="shared" si="352"/>
        <v>93477.217030576969</v>
      </c>
      <c r="CF966" s="109">
        <f t="shared" si="353"/>
        <v>95005.915516827052</v>
      </c>
      <c r="CH966" s="58">
        <f t="array" ref="CH966">SUM(IF(CE966:CF966&gt;=CE966, 1))</f>
        <v>2</v>
      </c>
      <c r="CI966" s="58">
        <f t="array" ref="CI966">SUM(IF(CE966:CF966&gt;=CF966, 1))</f>
        <v>1</v>
      </c>
      <c r="CK966" s="109">
        <f t="shared" si="354"/>
        <v>44044.174811652716</v>
      </c>
      <c r="CL966" s="109">
        <f t="shared" si="355"/>
        <v>45011.472997807359</v>
      </c>
      <c r="CN966" s="58">
        <f t="array" ref="CN966">SUM(IF(CK966:CL966&gt;=CK966, 1))</f>
        <v>2</v>
      </c>
      <c r="CO966" s="58">
        <f t="array" ref="CO966">SUM(IF(CK966:CL966&gt;=CL966, 1))</f>
        <v>1</v>
      </c>
      <c r="CQ966" s="109" cm="1">
        <f t="array" ref="CQ966">AF966*WTP-AC966</f>
        <v>47789.316784475952</v>
      </c>
      <c r="CR966" s="109">
        <f t="shared" si="356"/>
        <v>50929.069318126443</v>
      </c>
      <c r="CT966" s="58">
        <f t="array" ref="CT966">SUM(IF(CQ966:CR966&gt;=CQ966, 1))</f>
        <v>2</v>
      </c>
      <c r="CU966" s="58">
        <f t="array" ref="CU966">SUM(IF(CQ966:CR966&gt;=CR966, 1))</f>
        <v>1</v>
      </c>
      <c r="CW966" s="109">
        <f t="shared" si="357"/>
        <v>-42822141.116551675</v>
      </c>
      <c r="CX966" s="109">
        <f t="shared" si="358"/>
        <v>0</v>
      </c>
      <c r="CZ966" s="58">
        <f t="array" ref="CZ966">SUM(IF(CW966:CX966&gt;=CW966, 1))</f>
        <v>2</v>
      </c>
      <c r="DA966" s="58">
        <f t="array" ref="DA966">SUM(IF(CW966:CX966&gt;=CX966, 1))</f>
        <v>1</v>
      </c>
      <c r="DC966" s="109">
        <f t="shared" si="359"/>
        <v>-2682974.230731844</v>
      </c>
      <c r="DD966" s="109">
        <f t="shared" si="360"/>
        <v>0</v>
      </c>
      <c r="DF966" s="58">
        <f t="array" ref="DF966">SUM(IF(DC966:DD966&gt;=DC966, 1))</f>
        <v>2</v>
      </c>
      <c r="DG966" s="58">
        <f t="array" ref="DG966">SUM(IF(DC966:DD966&gt;=DD966, 1))</f>
        <v>1</v>
      </c>
      <c r="DI966" s="109">
        <f t="shared" si="361"/>
        <v>-34215586.111302674</v>
      </c>
      <c r="DJ966" s="109">
        <f t="shared" si="362"/>
        <v>0</v>
      </c>
      <c r="DL966" s="58">
        <f t="array" ref="DL966">SUM(IF(DI966:DJ966&gt;=DI966, 1))</f>
        <v>2</v>
      </c>
      <c r="DM966" s="58">
        <f t="array" ref="DM966">SUM(IF(DI966:DJ966&gt;=DJ966, 1))</f>
        <v>1</v>
      </c>
      <c r="DO966" s="109">
        <f t="shared" si="363"/>
        <v>-8355012.9699750179</v>
      </c>
      <c r="DP966" s="109">
        <f t="shared" si="364"/>
        <v>0</v>
      </c>
      <c r="DR966" s="58">
        <f t="array" ref="DR966">SUM(IF(DO966:DP966&gt;=DO966, 1))</f>
        <v>2</v>
      </c>
      <c r="DS966" s="58">
        <f t="array" ref="DS966">SUM(IF(DO966:DP966&gt;=DP966, 1))</f>
        <v>1</v>
      </c>
      <c r="DU966" s="109">
        <f t="shared" si="365"/>
        <v>-49528996.508569926</v>
      </c>
      <c r="DV966" s="109">
        <f t="shared" si="366"/>
        <v>0</v>
      </c>
      <c r="DX966" s="58">
        <f t="array" ref="DX966">SUM(IF(DU966:DV966&gt;=DU966, 1))</f>
        <v>2</v>
      </c>
      <c r="DY966" s="58">
        <f t="array" ref="DY966">SUM(IF(DU966:DV966&gt;=DV966, 1))</f>
        <v>1</v>
      </c>
      <c r="EA966" s="109">
        <f t="shared" si="367"/>
        <v>-137604710.93713114</v>
      </c>
      <c r="EB966" s="109">
        <f t="shared" si="368"/>
        <v>0</v>
      </c>
      <c r="ED966" s="58">
        <f t="array" ref="ED966">SUM(IF(EA966:EB966&gt;=EA966, 1))</f>
        <v>2</v>
      </c>
      <c r="EE966" s="58">
        <f t="array" ref="EE966">SUM(IF(EA966:EB966&gt;=EB966, 1))</f>
        <v>1</v>
      </c>
    </row>
    <row r="967" spans="4:135" ht="12" customHeight="1" x14ac:dyDescent="0.25">
      <c r="D967" s="11">
        <v>951</v>
      </c>
      <c r="E967" s="72">
        <v>315.27826749065161</v>
      </c>
      <c r="F967" s="72">
        <v>280.94593070666383</v>
      </c>
      <c r="G967" s="73"/>
      <c r="H967" s="74">
        <v>5.8722953551469299</v>
      </c>
      <c r="I967" s="74">
        <v>5.8897033662549836</v>
      </c>
      <c r="J967" s="73"/>
      <c r="K967" s="72">
        <v>338.0069403815271</v>
      </c>
      <c r="L967" s="72">
        <v>302.88635840817426</v>
      </c>
      <c r="M967" s="73"/>
      <c r="N967" s="74">
        <v>6.6744836567848118</v>
      </c>
      <c r="O967" s="74">
        <v>6.6899269092221179</v>
      </c>
      <c r="P967" s="73"/>
      <c r="Q967" s="72">
        <v>2376.5274839324693</v>
      </c>
      <c r="R967" s="72">
        <v>1348.9479596609888</v>
      </c>
      <c r="S967" s="73"/>
      <c r="T967" s="74">
        <v>4.8780504295519131</v>
      </c>
      <c r="U967" s="74">
        <v>4.9456636555434166</v>
      </c>
      <c r="V967" s="73"/>
      <c r="W967" s="72">
        <v>13776.834639034929</v>
      </c>
      <c r="X967" s="72">
        <v>13736.865401395937</v>
      </c>
      <c r="Y967" s="73"/>
      <c r="Z967" s="74">
        <v>3.057107697636821</v>
      </c>
      <c r="AA967" s="74">
        <v>3.0932816232168068</v>
      </c>
      <c r="AB967" s="73"/>
      <c r="AC967" s="72">
        <v>50601.817274954628</v>
      </c>
      <c r="AD967" s="72">
        <v>50359.979382406389</v>
      </c>
      <c r="AE967" s="73"/>
      <c r="AF967" s="74">
        <v>4.3300406959001521</v>
      </c>
      <c r="AG967" s="74">
        <v>4.4536819744785419</v>
      </c>
      <c r="AH967" s="73"/>
      <c r="AI967" s="72">
        <v>3733198.8833369357</v>
      </c>
      <c r="AJ967" s="72">
        <v>0</v>
      </c>
      <c r="AK967" s="73"/>
      <c r="AL967" s="74">
        <v>-1892.8967182919057</v>
      </c>
      <c r="AM967" s="74">
        <v>0</v>
      </c>
      <c r="AN967" s="73"/>
      <c r="AO967" s="72">
        <v>238578.26216846987</v>
      </c>
      <c r="AP967" s="72">
        <v>0</v>
      </c>
      <c r="AQ967" s="73"/>
      <c r="AR967" s="74">
        <v>-104.90783813084185</v>
      </c>
      <c r="AS967" s="74">
        <v>0</v>
      </c>
      <c r="AT967" s="73"/>
      <c r="AU967" s="72">
        <v>24071256.219651677</v>
      </c>
      <c r="AV967" s="72">
        <v>0</v>
      </c>
      <c r="AW967" s="73"/>
      <c r="AX967" s="74">
        <v>-1583.8533643734868</v>
      </c>
      <c r="AY967" s="74">
        <v>0</v>
      </c>
      <c r="AZ967" s="73"/>
      <c r="BA967" s="72">
        <v>337572.34416641272</v>
      </c>
      <c r="BB967" s="72">
        <v>0</v>
      </c>
      <c r="BC967" s="73"/>
      <c r="BD967" s="74">
        <v>-305.51788267846189</v>
      </c>
      <c r="BE967" s="74">
        <v>0</v>
      </c>
      <c r="BF967" s="73"/>
      <c r="BG967" s="72">
        <v>3763838.5558796525</v>
      </c>
      <c r="BH967" s="72">
        <v>0</v>
      </c>
      <c r="BI967" s="73"/>
      <c r="BJ967" s="74">
        <v>-1924.2882350158345</v>
      </c>
      <c r="BK967" s="74">
        <v>0</v>
      </c>
      <c r="BL967" s="73"/>
      <c r="BM967" s="72">
        <v>32144444.265203148</v>
      </c>
      <c r="BN967" s="72">
        <v>0</v>
      </c>
      <c r="BO967" s="73"/>
      <c r="BP967" s="74">
        <v>-5811.4640384905306</v>
      </c>
      <c r="BQ967" s="74">
        <v>0</v>
      </c>
      <c r="BS967" s="109">
        <f t="shared" si="348"/>
        <v>117130.62883544795</v>
      </c>
      <c r="BT967" s="109">
        <f t="shared" si="349"/>
        <v>117513.12139439302</v>
      </c>
      <c r="BV967" s="58">
        <f t="array" ref="BV967">SUM(IF(BS967:BT967&gt;=BS967, 1))</f>
        <v>2</v>
      </c>
      <c r="BW967" s="58">
        <f t="array" ref="BW967">SUM(IF(BS967:BT967&gt;=BT967, 1))</f>
        <v>1</v>
      </c>
      <c r="BY967" s="109">
        <f t="shared" si="350"/>
        <v>133151.66619531473</v>
      </c>
      <c r="BZ967" s="109">
        <f t="shared" si="351"/>
        <v>133495.65182603418</v>
      </c>
      <c r="CB967" s="58">
        <f t="array" ref="CB967">SUM(IF(BY967:BZ967&gt;=BY967, 1))</f>
        <v>2</v>
      </c>
      <c r="CC967" s="58">
        <f t="array" ref="CC967">SUM(IF(BY967:BZ967&gt;=BZ967, 1))</f>
        <v>1</v>
      </c>
      <c r="CE967" s="109">
        <f t="shared" si="352"/>
        <v>95184.481107105792</v>
      </c>
      <c r="CF967" s="109">
        <f t="shared" si="353"/>
        <v>97564.325151207348</v>
      </c>
      <c r="CH967" s="58">
        <f t="array" ref="CH967">SUM(IF(CE967:CF967&gt;=CE967, 1))</f>
        <v>2</v>
      </c>
      <c r="CI967" s="58">
        <f t="array" ref="CI967">SUM(IF(CE967:CF967&gt;=CF967, 1))</f>
        <v>1</v>
      </c>
      <c r="CK967" s="109">
        <f t="shared" si="354"/>
        <v>47365.31931370149</v>
      </c>
      <c r="CL967" s="109">
        <f t="shared" si="355"/>
        <v>48128.767062940198</v>
      </c>
      <c r="CN967" s="58">
        <f t="array" ref="CN967">SUM(IF(CK967:CL967&gt;=CK967, 1))</f>
        <v>2</v>
      </c>
      <c r="CO967" s="58">
        <f t="array" ref="CO967">SUM(IF(CK967:CL967&gt;=CL967, 1))</f>
        <v>1</v>
      </c>
      <c r="CQ967" s="109" cm="1">
        <f t="array" ref="CQ967">AF967*WTP-AC967</f>
        <v>35998.996643048413</v>
      </c>
      <c r="CR967" s="109">
        <f t="shared" si="356"/>
        <v>38713.660107164447</v>
      </c>
      <c r="CT967" s="58">
        <f t="array" ref="CT967">SUM(IF(CQ967:CR967&gt;=CQ967, 1))</f>
        <v>2</v>
      </c>
      <c r="CU967" s="58">
        <f t="array" ref="CU967">SUM(IF(CQ967:CR967&gt;=CR967, 1))</f>
        <v>1</v>
      </c>
      <c r="CW967" s="109">
        <f t="shared" si="357"/>
        <v>-41591133.249175049</v>
      </c>
      <c r="CX967" s="109">
        <f t="shared" si="358"/>
        <v>0</v>
      </c>
      <c r="CZ967" s="58">
        <f t="array" ref="CZ967">SUM(IF(CW967:CX967&gt;=CW967, 1))</f>
        <v>2</v>
      </c>
      <c r="DA967" s="58">
        <f t="array" ref="DA967">SUM(IF(CW967:CX967&gt;=CX967, 1))</f>
        <v>1</v>
      </c>
      <c r="DC967" s="109">
        <f t="shared" si="359"/>
        <v>-2336735.0247853068</v>
      </c>
      <c r="DD967" s="109">
        <f t="shared" si="360"/>
        <v>0</v>
      </c>
      <c r="DF967" s="58">
        <f t="array" ref="DF967">SUM(IF(DC967:DD967&gt;=DC967, 1))</f>
        <v>2</v>
      </c>
      <c r="DG967" s="58">
        <f t="array" ref="DG967">SUM(IF(DC967:DD967&gt;=DD967, 1))</f>
        <v>1</v>
      </c>
      <c r="DI967" s="109">
        <f t="shared" si="361"/>
        <v>-55748323.507121414</v>
      </c>
      <c r="DJ967" s="109">
        <f t="shared" si="362"/>
        <v>0</v>
      </c>
      <c r="DL967" s="58">
        <f t="array" ref="DL967">SUM(IF(DI967:DJ967&gt;=DI967, 1))</f>
        <v>2</v>
      </c>
      <c r="DM967" s="58">
        <f t="array" ref="DM967">SUM(IF(DI967:DJ967&gt;=DJ967, 1))</f>
        <v>1</v>
      </c>
      <c r="DO967" s="109">
        <f t="shared" si="363"/>
        <v>-6447929.9977356503</v>
      </c>
      <c r="DP967" s="109">
        <f t="shared" si="364"/>
        <v>0</v>
      </c>
      <c r="DR967" s="58">
        <f t="array" ref="DR967">SUM(IF(DO967:DP967&gt;=DO967, 1))</f>
        <v>2</v>
      </c>
      <c r="DS967" s="58">
        <f t="array" ref="DS967">SUM(IF(DO967:DP967&gt;=DP967, 1))</f>
        <v>1</v>
      </c>
      <c r="DU967" s="109">
        <f t="shared" si="365"/>
        <v>-42249603.256196342</v>
      </c>
      <c r="DV967" s="109">
        <f t="shared" si="366"/>
        <v>0</v>
      </c>
      <c r="DX967" s="58">
        <f t="array" ref="DX967">SUM(IF(DU967:DV967&gt;=DU967, 1))</f>
        <v>2</v>
      </c>
      <c r="DY967" s="58">
        <f t="array" ref="DY967">SUM(IF(DU967:DV967&gt;=DV967, 1))</f>
        <v>1</v>
      </c>
      <c r="EA967" s="109">
        <f t="shared" si="367"/>
        <v>-148373725.03501377</v>
      </c>
      <c r="EB967" s="109">
        <f t="shared" si="368"/>
        <v>0</v>
      </c>
      <c r="ED967" s="58">
        <f t="array" ref="ED967">SUM(IF(EA967:EB967&gt;=EA967, 1))</f>
        <v>2</v>
      </c>
      <c r="EE967" s="58">
        <f t="array" ref="EE967">SUM(IF(EA967:EB967&gt;=EB967, 1))</f>
        <v>1</v>
      </c>
    </row>
    <row r="968" spans="4:135" ht="12" customHeight="1" x14ac:dyDescent="0.25">
      <c r="D968" s="11">
        <v>952</v>
      </c>
      <c r="E968" s="72">
        <v>265.44043575116694</v>
      </c>
      <c r="F968" s="72">
        <v>226.49853315289346</v>
      </c>
      <c r="G968" s="73"/>
      <c r="H968" s="74">
        <v>5.8448255628845134</v>
      </c>
      <c r="I968" s="74">
        <v>5.8618909083857034</v>
      </c>
      <c r="J968" s="73"/>
      <c r="K968" s="72">
        <v>284.08396107715612</v>
      </c>
      <c r="L968" s="72">
        <v>244.20894725666543</v>
      </c>
      <c r="M968" s="73"/>
      <c r="N968" s="74">
        <v>6.7097424265697647</v>
      </c>
      <c r="O968" s="74">
        <v>6.7242224848245833</v>
      </c>
      <c r="P968" s="73"/>
      <c r="Q968" s="72">
        <v>1963.817426593384</v>
      </c>
      <c r="R968" s="72">
        <v>1184.1601015517099</v>
      </c>
      <c r="S968" s="73"/>
      <c r="T968" s="74">
        <v>4.8342514539974779</v>
      </c>
      <c r="U968" s="74">
        <v>4.921701746193575</v>
      </c>
      <c r="V968" s="73"/>
      <c r="W968" s="72">
        <v>12523.104852521503</v>
      </c>
      <c r="X968" s="72">
        <v>12521.713805183657</v>
      </c>
      <c r="Y968" s="73"/>
      <c r="Z968" s="74">
        <v>3.0701422346095919</v>
      </c>
      <c r="AA968" s="74">
        <v>3.1126503391059983</v>
      </c>
      <c r="AB968" s="73"/>
      <c r="AC968" s="72">
        <v>49698.20523908663</v>
      </c>
      <c r="AD968" s="72">
        <v>49260.808227277557</v>
      </c>
      <c r="AE968" s="73"/>
      <c r="AF968" s="74">
        <v>3.8679494890218544</v>
      </c>
      <c r="AG968" s="74">
        <v>3.9319874023940731</v>
      </c>
      <c r="AH968" s="73"/>
      <c r="AI968" s="72">
        <v>4153780.0388455377</v>
      </c>
      <c r="AJ968" s="72">
        <v>0</v>
      </c>
      <c r="AK968" s="73"/>
      <c r="AL968" s="74">
        <v>-1820.2934825785383</v>
      </c>
      <c r="AM968" s="74">
        <v>0</v>
      </c>
      <c r="AN968" s="73"/>
      <c r="AO968" s="72">
        <v>282243.61058297619</v>
      </c>
      <c r="AP968" s="72">
        <v>0</v>
      </c>
      <c r="AQ968" s="73"/>
      <c r="AR968" s="74">
        <v>-102.49285283486658</v>
      </c>
      <c r="AS968" s="74">
        <v>0</v>
      </c>
      <c r="AT968" s="73"/>
      <c r="AU968" s="72">
        <v>17853612.988309961</v>
      </c>
      <c r="AV968" s="72">
        <v>0</v>
      </c>
      <c r="AW968" s="73"/>
      <c r="AX968" s="74">
        <v>-2002.5511496352406</v>
      </c>
      <c r="AY968" s="74">
        <v>0</v>
      </c>
      <c r="AZ968" s="73"/>
      <c r="BA968" s="72">
        <v>12936.425574561898</v>
      </c>
      <c r="BB968" s="72">
        <v>0</v>
      </c>
      <c r="BC968" s="73"/>
      <c r="BD968" s="74">
        <v>-395.31575610155801</v>
      </c>
      <c r="BE968" s="74">
        <v>0</v>
      </c>
      <c r="BF968" s="73"/>
      <c r="BG968" s="72">
        <v>7106056.7749252757</v>
      </c>
      <c r="BH968" s="72">
        <v>0</v>
      </c>
      <c r="BI968" s="73"/>
      <c r="BJ968" s="74">
        <v>-1040.3753018078874</v>
      </c>
      <c r="BK968" s="74">
        <v>0</v>
      </c>
      <c r="BL968" s="73"/>
      <c r="BM968" s="72">
        <v>29408629.838238314</v>
      </c>
      <c r="BN968" s="72">
        <v>0</v>
      </c>
      <c r="BO968" s="73"/>
      <c r="BP968" s="74">
        <v>-5361.0285429580908</v>
      </c>
      <c r="BQ968" s="74">
        <v>0</v>
      </c>
      <c r="BS968" s="109">
        <f t="shared" si="348"/>
        <v>116631.07082193909</v>
      </c>
      <c r="BT968" s="109">
        <f t="shared" si="349"/>
        <v>117011.31963456118</v>
      </c>
      <c r="BV968" s="58">
        <f t="array" ref="BV968">SUM(IF(BS968:BT968&gt;=BS968, 1))</f>
        <v>2</v>
      </c>
      <c r="BW968" s="58">
        <f t="array" ref="BW968">SUM(IF(BS968:BT968&gt;=BT968, 1))</f>
        <v>1</v>
      </c>
      <c r="BY968" s="109">
        <f t="shared" si="350"/>
        <v>133910.76457031813</v>
      </c>
      <c r="BZ968" s="109">
        <f t="shared" si="351"/>
        <v>134240.240749235</v>
      </c>
      <c r="CB968" s="58">
        <f t="array" ref="CB968">SUM(IF(BY968:BZ968&gt;=BY968, 1))</f>
        <v>2</v>
      </c>
      <c r="CC968" s="58">
        <f t="array" ref="CC968">SUM(IF(BY968:BZ968&gt;=BZ968, 1))</f>
        <v>1</v>
      </c>
      <c r="CE968" s="109">
        <f t="shared" si="352"/>
        <v>94721.211653356178</v>
      </c>
      <c r="CF968" s="109">
        <f t="shared" si="353"/>
        <v>97249.874822319791</v>
      </c>
      <c r="CH968" s="58">
        <f t="array" ref="CH968">SUM(IF(CE968:CF968&gt;=CE968, 1))</f>
        <v>2</v>
      </c>
      <c r="CI968" s="58">
        <f t="array" ref="CI968">SUM(IF(CE968:CF968&gt;=CF968, 1))</f>
        <v>1</v>
      </c>
      <c r="CK968" s="109">
        <f t="shared" si="354"/>
        <v>48879.739839670336</v>
      </c>
      <c r="CL968" s="109">
        <f t="shared" si="355"/>
        <v>49731.292976936304</v>
      </c>
      <c r="CN968" s="58">
        <f t="array" ref="CN968">SUM(IF(CK968:CL968&gt;=CK968, 1))</f>
        <v>2</v>
      </c>
      <c r="CO968" s="58">
        <f t="array" ref="CO968">SUM(IF(CK968:CL968&gt;=CL968, 1))</f>
        <v>1</v>
      </c>
      <c r="CQ968" s="109" cm="1">
        <f t="array" ref="CQ968">AF968*WTP-AC968</f>
        <v>27660.784541350455</v>
      </c>
      <c r="CR968" s="109">
        <f t="shared" si="356"/>
        <v>29378.939820603911</v>
      </c>
      <c r="CT968" s="58">
        <f t="array" ref="CT968">SUM(IF(CQ968:CR968&gt;=CQ968, 1))</f>
        <v>2</v>
      </c>
      <c r="CU968" s="58">
        <f t="array" ref="CU968">SUM(IF(CQ968:CR968&gt;=CR968, 1))</f>
        <v>1</v>
      </c>
      <c r="CW968" s="109">
        <f t="shared" si="357"/>
        <v>-40559649.690416306</v>
      </c>
      <c r="CX968" s="109">
        <f t="shared" si="358"/>
        <v>0</v>
      </c>
      <c r="CZ968" s="58">
        <f t="array" ref="CZ968">SUM(IF(CW968:CX968&gt;=CW968, 1))</f>
        <v>2</v>
      </c>
      <c r="DA968" s="58">
        <f t="array" ref="DA968">SUM(IF(CW968:CX968&gt;=CX968, 1))</f>
        <v>1</v>
      </c>
      <c r="DC968" s="109">
        <f t="shared" si="359"/>
        <v>-2332100.667280308</v>
      </c>
      <c r="DD968" s="109">
        <f t="shared" si="360"/>
        <v>0</v>
      </c>
      <c r="DF968" s="58">
        <f t="array" ref="DF968">SUM(IF(DC968:DD968&gt;=DC968, 1))</f>
        <v>2</v>
      </c>
      <c r="DG968" s="58">
        <f t="array" ref="DG968">SUM(IF(DC968:DD968&gt;=DD968, 1))</f>
        <v>1</v>
      </c>
      <c r="DI968" s="109">
        <f t="shared" si="361"/>
        <v>-57904635.981014773</v>
      </c>
      <c r="DJ968" s="109">
        <f t="shared" si="362"/>
        <v>0</v>
      </c>
      <c r="DL968" s="58">
        <f t="array" ref="DL968">SUM(IF(DI968:DJ968&gt;=DI968, 1))</f>
        <v>2</v>
      </c>
      <c r="DM968" s="58">
        <f t="array" ref="DM968">SUM(IF(DI968:DJ968&gt;=DJ968, 1))</f>
        <v>1</v>
      </c>
      <c r="DO968" s="109">
        <f t="shared" si="363"/>
        <v>-7919251.5476057222</v>
      </c>
      <c r="DP968" s="109">
        <f t="shared" si="364"/>
        <v>0</v>
      </c>
      <c r="DR968" s="58">
        <f t="array" ref="DR968">SUM(IF(DO968:DP968&gt;=DO968, 1))</f>
        <v>2</v>
      </c>
      <c r="DS968" s="58">
        <f t="array" ref="DS968">SUM(IF(DO968:DP968&gt;=DP968, 1))</f>
        <v>1</v>
      </c>
      <c r="DU968" s="109">
        <f t="shared" si="365"/>
        <v>-27913562.811083023</v>
      </c>
      <c r="DV968" s="109">
        <f t="shared" si="366"/>
        <v>0</v>
      </c>
      <c r="DX968" s="58">
        <f t="array" ref="DX968">SUM(IF(DU968:DV968&gt;=DU968, 1))</f>
        <v>2</v>
      </c>
      <c r="DY968" s="58">
        <f t="array" ref="DY968">SUM(IF(DU968:DV968&gt;=DV968, 1))</f>
        <v>1</v>
      </c>
      <c r="EA968" s="109">
        <f t="shared" si="367"/>
        <v>-136629200.69740015</v>
      </c>
      <c r="EB968" s="109">
        <f t="shared" si="368"/>
        <v>0</v>
      </c>
      <c r="ED968" s="58">
        <f t="array" ref="ED968">SUM(IF(EA968:EB968&gt;=EA968, 1))</f>
        <v>2</v>
      </c>
      <c r="EE968" s="58">
        <f t="array" ref="EE968">SUM(IF(EA968:EB968&gt;=EB968, 1))</f>
        <v>1</v>
      </c>
    </row>
    <row r="969" spans="4:135" ht="12" customHeight="1" x14ac:dyDescent="0.25">
      <c r="D969" s="11">
        <v>953</v>
      </c>
      <c r="E969" s="72">
        <v>235.13331114499121</v>
      </c>
      <c r="F969" s="72">
        <v>209.78307272779747</v>
      </c>
      <c r="G969" s="73"/>
      <c r="H969" s="74">
        <v>5.8253696944523377</v>
      </c>
      <c r="I969" s="74">
        <v>5.843223198441482</v>
      </c>
      <c r="J969" s="73"/>
      <c r="K969" s="72">
        <v>252.09646300948526</v>
      </c>
      <c r="L969" s="72">
        <v>226.15096591440505</v>
      </c>
      <c r="M969" s="73"/>
      <c r="N969" s="74">
        <v>6.6434266574712613</v>
      </c>
      <c r="O969" s="74">
        <v>6.6590507842252435</v>
      </c>
      <c r="P969" s="73"/>
      <c r="Q969" s="72">
        <v>3302.2138525069527</v>
      </c>
      <c r="R969" s="72">
        <v>1620.0100405837936</v>
      </c>
      <c r="S969" s="73"/>
      <c r="T969" s="74">
        <v>4.9003387503035603</v>
      </c>
      <c r="U969" s="74">
        <v>5.0144541695512155</v>
      </c>
      <c r="V969" s="73"/>
      <c r="W969" s="72">
        <v>11564.780711241607</v>
      </c>
      <c r="X969" s="72">
        <v>11519.843903224166</v>
      </c>
      <c r="Y969" s="73"/>
      <c r="Z969" s="74">
        <v>2.7785241595104329</v>
      </c>
      <c r="AA969" s="74">
        <v>2.8097562764079917</v>
      </c>
      <c r="AB969" s="73"/>
      <c r="AC969" s="72">
        <v>49355.00946236711</v>
      </c>
      <c r="AD969" s="72">
        <v>49270.717733478159</v>
      </c>
      <c r="AE969" s="73"/>
      <c r="AF969" s="74">
        <v>4.3814496589856367</v>
      </c>
      <c r="AG969" s="74">
        <v>4.4867897950667492</v>
      </c>
      <c r="AH969" s="73"/>
      <c r="AI969" s="72">
        <v>2728521.2454707921</v>
      </c>
      <c r="AJ969" s="72">
        <v>0</v>
      </c>
      <c r="AK969" s="73"/>
      <c r="AL969" s="74">
        <v>-1921.6255144739735</v>
      </c>
      <c r="AM969" s="74">
        <v>0</v>
      </c>
      <c r="AN969" s="73"/>
      <c r="AO969" s="72">
        <v>182880.89561143515</v>
      </c>
      <c r="AP969" s="72">
        <v>0</v>
      </c>
      <c r="AQ969" s="73"/>
      <c r="AR969" s="74">
        <v>-110.12910191867846</v>
      </c>
      <c r="AS969" s="74">
        <v>0</v>
      </c>
      <c r="AT969" s="73"/>
      <c r="AU969" s="72">
        <v>39062134.713931225</v>
      </c>
      <c r="AV969" s="72">
        <v>0</v>
      </c>
      <c r="AW969" s="73"/>
      <c r="AX969" s="74">
        <v>-2649.852442369965</v>
      </c>
      <c r="AY969" s="74">
        <v>0</v>
      </c>
      <c r="AZ969" s="73"/>
      <c r="BA969" s="72">
        <v>406704.44059426483</v>
      </c>
      <c r="BB969" s="72">
        <v>0</v>
      </c>
      <c r="BC969" s="73"/>
      <c r="BD969" s="74">
        <v>-282.66895651481047</v>
      </c>
      <c r="BE969" s="74">
        <v>0</v>
      </c>
      <c r="BF969" s="73"/>
      <c r="BG969" s="72">
        <v>1296634.7229672566</v>
      </c>
      <c r="BH969" s="72">
        <v>0</v>
      </c>
      <c r="BI969" s="73"/>
      <c r="BJ969" s="74">
        <v>-1620.4161424285392</v>
      </c>
      <c r="BK969" s="74">
        <v>0</v>
      </c>
      <c r="BL969" s="73"/>
      <c r="BM969" s="72">
        <v>43676876.018574975</v>
      </c>
      <c r="BN969" s="72">
        <v>0</v>
      </c>
      <c r="BO969" s="73"/>
      <c r="BP969" s="74">
        <v>-6584.6921577059675</v>
      </c>
      <c r="BQ969" s="74">
        <v>0</v>
      </c>
      <c r="BS969" s="109">
        <f t="shared" si="348"/>
        <v>116272.26057790176</v>
      </c>
      <c r="BT969" s="109">
        <f t="shared" si="349"/>
        <v>116654.68089610185</v>
      </c>
      <c r="BV969" s="58">
        <f t="array" ref="BV969">SUM(IF(BS969:BT969&gt;=BS969, 1))</f>
        <v>2</v>
      </c>
      <c r="BW969" s="58">
        <f t="array" ref="BW969">SUM(IF(BS969:BT969&gt;=BT969, 1))</f>
        <v>1</v>
      </c>
      <c r="BY969" s="109">
        <f t="shared" si="350"/>
        <v>132616.43668641575</v>
      </c>
      <c r="BZ969" s="109">
        <f t="shared" si="351"/>
        <v>132954.86471859048</v>
      </c>
      <c r="CB969" s="58">
        <f t="array" ref="CB969">SUM(IF(BY969:BZ969&gt;=BY969, 1))</f>
        <v>2</v>
      </c>
      <c r="CC969" s="58">
        <f t="array" ref="CC969">SUM(IF(BY969:BZ969&gt;=BZ969, 1))</f>
        <v>1</v>
      </c>
      <c r="CE969" s="109">
        <f t="shared" si="352"/>
        <v>94704.561153564253</v>
      </c>
      <c r="CF969" s="109">
        <f t="shared" si="353"/>
        <v>98669.073350440522</v>
      </c>
      <c r="CH969" s="58">
        <f t="array" ref="CH969">SUM(IF(CE969:CF969&gt;=CE969, 1))</f>
        <v>2</v>
      </c>
      <c r="CI969" s="58">
        <f t="array" ref="CI969">SUM(IF(CE969:CF969&gt;=CF969, 1))</f>
        <v>1</v>
      </c>
      <c r="CK969" s="109">
        <f t="shared" si="354"/>
        <v>44005.702478967054</v>
      </c>
      <c r="CL969" s="109">
        <f t="shared" si="355"/>
        <v>44675.281624935669</v>
      </c>
      <c r="CN969" s="58">
        <f t="array" ref="CN969">SUM(IF(CK969:CL969&gt;=CK969, 1))</f>
        <v>2</v>
      </c>
      <c r="CO969" s="58">
        <f t="array" ref="CO969">SUM(IF(CK969:CL969&gt;=CL969, 1))</f>
        <v>1</v>
      </c>
      <c r="CQ969" s="109" cm="1">
        <f t="array" ref="CQ969">AF969*WTP-AC969</f>
        <v>38273.983717345625</v>
      </c>
      <c r="CR969" s="109">
        <f t="shared" si="356"/>
        <v>40465.078167856831</v>
      </c>
      <c r="CT969" s="58">
        <f t="array" ref="CT969">SUM(IF(CQ969:CR969&gt;=CQ969, 1))</f>
        <v>2</v>
      </c>
      <c r="CU969" s="58">
        <f t="array" ref="CU969">SUM(IF(CQ969:CR969&gt;=CR969, 1))</f>
        <v>1</v>
      </c>
      <c r="CW969" s="109">
        <f t="shared" si="357"/>
        <v>-41161031.534950264</v>
      </c>
      <c r="CX969" s="109">
        <f t="shared" si="358"/>
        <v>0</v>
      </c>
      <c r="CZ969" s="58">
        <f t="array" ref="CZ969">SUM(IF(CW969:CX969&gt;=CW969, 1))</f>
        <v>2</v>
      </c>
      <c r="DA969" s="58">
        <f t="array" ref="DA969">SUM(IF(CW969:CX969&gt;=CX969, 1))</f>
        <v>1</v>
      </c>
      <c r="DC969" s="109">
        <f t="shared" si="359"/>
        <v>-2385462.9339850042</v>
      </c>
      <c r="DD969" s="109">
        <f t="shared" si="360"/>
        <v>0</v>
      </c>
      <c r="DF969" s="58">
        <f t="array" ref="DF969">SUM(IF(DC969:DD969&gt;=DC969, 1))</f>
        <v>2</v>
      </c>
      <c r="DG969" s="58">
        <f t="array" ref="DG969">SUM(IF(DC969:DD969&gt;=DD969, 1))</f>
        <v>1</v>
      </c>
      <c r="DI969" s="109">
        <f t="shared" si="361"/>
        <v>-92059183.561330527</v>
      </c>
      <c r="DJ969" s="109">
        <f t="shared" si="362"/>
        <v>0</v>
      </c>
      <c r="DL969" s="58">
        <f t="array" ref="DL969">SUM(IF(DI969:DJ969&gt;=DI969, 1))</f>
        <v>2</v>
      </c>
      <c r="DM969" s="58">
        <f t="array" ref="DM969">SUM(IF(DI969:DJ969&gt;=DJ969, 1))</f>
        <v>1</v>
      </c>
      <c r="DO969" s="109">
        <f t="shared" si="363"/>
        <v>-6060083.5708904751</v>
      </c>
      <c r="DP969" s="109">
        <f t="shared" si="364"/>
        <v>0</v>
      </c>
      <c r="DR969" s="58">
        <f t="array" ref="DR969">SUM(IF(DO969:DP969&gt;=DO969, 1))</f>
        <v>2</v>
      </c>
      <c r="DS969" s="58">
        <f t="array" ref="DS969">SUM(IF(DO969:DP969&gt;=DP969, 1))</f>
        <v>1</v>
      </c>
      <c r="DU969" s="109">
        <f t="shared" si="365"/>
        <v>-33704957.571538039</v>
      </c>
      <c r="DV969" s="109">
        <f t="shared" si="366"/>
        <v>0</v>
      </c>
      <c r="DX969" s="58">
        <f t="array" ref="DX969">SUM(IF(DU969:DV969&gt;=DU969, 1))</f>
        <v>2</v>
      </c>
      <c r="DY969" s="58">
        <f t="array" ref="DY969">SUM(IF(DU969:DV969&gt;=DV969, 1))</f>
        <v>1</v>
      </c>
      <c r="EA969" s="109">
        <f t="shared" si="367"/>
        <v>-175370719.17269433</v>
      </c>
      <c r="EB969" s="109">
        <f t="shared" si="368"/>
        <v>0</v>
      </c>
      <c r="ED969" s="58">
        <f t="array" ref="ED969">SUM(IF(EA969:EB969&gt;=EA969, 1))</f>
        <v>2</v>
      </c>
      <c r="EE969" s="58">
        <f t="array" ref="EE969">SUM(IF(EA969:EB969&gt;=EB969, 1))</f>
        <v>1</v>
      </c>
    </row>
    <row r="970" spans="4:135" ht="12" customHeight="1" x14ac:dyDescent="0.25">
      <c r="D970" s="11">
        <v>954</v>
      </c>
      <c r="E970" s="72">
        <v>284.57281206699014</v>
      </c>
      <c r="F970" s="72">
        <v>233.89865852516894</v>
      </c>
      <c r="G970" s="73"/>
      <c r="H970" s="74">
        <v>5.9257070870618289</v>
      </c>
      <c r="I970" s="74">
        <v>5.9462024820710617</v>
      </c>
      <c r="J970" s="73"/>
      <c r="K970" s="72">
        <v>304.02832759190477</v>
      </c>
      <c r="L970" s="72">
        <v>252.13427177181737</v>
      </c>
      <c r="M970" s="73"/>
      <c r="N970" s="74">
        <v>6.6554786387163016</v>
      </c>
      <c r="O970" s="74">
        <v>6.673285457438892</v>
      </c>
      <c r="P970" s="73"/>
      <c r="Q970" s="72">
        <v>2423.8812936627683</v>
      </c>
      <c r="R970" s="72">
        <v>1428.9411857256387</v>
      </c>
      <c r="S970" s="73"/>
      <c r="T970" s="74">
        <v>4.8812579953916639</v>
      </c>
      <c r="U970" s="74">
        <v>4.9569592414630517</v>
      </c>
      <c r="V970" s="73"/>
      <c r="W970" s="72">
        <v>13867.145664505013</v>
      </c>
      <c r="X970" s="72">
        <v>13894.300402223867</v>
      </c>
      <c r="Y970" s="73"/>
      <c r="Z970" s="74">
        <v>2.9456922332454742</v>
      </c>
      <c r="AA970" s="74">
        <v>3.0032964855889142</v>
      </c>
      <c r="AB970" s="73"/>
      <c r="AC970" s="72">
        <v>50897.978781596539</v>
      </c>
      <c r="AD970" s="72">
        <v>50188.44527477627</v>
      </c>
      <c r="AE970" s="73"/>
      <c r="AF970" s="74">
        <v>4.514286490906807</v>
      </c>
      <c r="AG970" s="74">
        <v>4.6587125943834247</v>
      </c>
      <c r="AH970" s="73"/>
      <c r="AI970" s="72">
        <v>5400528.3762447564</v>
      </c>
      <c r="AJ970" s="72">
        <v>0</v>
      </c>
      <c r="AK970" s="73"/>
      <c r="AL970" s="74">
        <v>-2184.2685983567189</v>
      </c>
      <c r="AM970" s="74">
        <v>0</v>
      </c>
      <c r="AN970" s="73"/>
      <c r="AO970" s="72">
        <v>355676.89281970111</v>
      </c>
      <c r="AP970" s="72">
        <v>0</v>
      </c>
      <c r="AQ970" s="73"/>
      <c r="AR970" s="74">
        <v>-122.04623158020796</v>
      </c>
      <c r="AS970" s="74">
        <v>0</v>
      </c>
      <c r="AT970" s="73"/>
      <c r="AU970" s="72">
        <v>22633735.908531345</v>
      </c>
      <c r="AV970" s="72">
        <v>0</v>
      </c>
      <c r="AW970" s="73"/>
      <c r="AX970" s="74">
        <v>-1722.1157312464138</v>
      </c>
      <c r="AY970" s="74">
        <v>0</v>
      </c>
      <c r="AZ970" s="73"/>
      <c r="BA970" s="72">
        <v>-241665.18582293211</v>
      </c>
      <c r="BB970" s="72">
        <v>0</v>
      </c>
      <c r="BC970" s="73"/>
      <c r="BD970" s="74">
        <v>-512.6524325478091</v>
      </c>
      <c r="BE970" s="74">
        <v>0</v>
      </c>
      <c r="BF970" s="73"/>
      <c r="BG970" s="72">
        <v>11389226.945036231</v>
      </c>
      <c r="BH970" s="72">
        <v>0</v>
      </c>
      <c r="BI970" s="73"/>
      <c r="BJ970" s="74">
        <v>-2318.2861041390561</v>
      </c>
      <c r="BK970" s="74">
        <v>0</v>
      </c>
      <c r="BL970" s="73"/>
      <c r="BM970" s="72">
        <v>39537502.9368091</v>
      </c>
      <c r="BN970" s="72">
        <v>0</v>
      </c>
      <c r="BO970" s="73"/>
      <c r="BP970" s="74">
        <v>-6859.3690978702061</v>
      </c>
      <c r="BQ970" s="74">
        <v>0</v>
      </c>
      <c r="BS970" s="109">
        <f t="shared" si="348"/>
        <v>118229.56892916959</v>
      </c>
      <c r="BT970" s="109">
        <f t="shared" si="349"/>
        <v>118690.15098289607</v>
      </c>
      <c r="BV970" s="58">
        <f t="array" ref="BV970">SUM(IF(BS970:BT970&gt;=BS970, 1))</f>
        <v>2</v>
      </c>
      <c r="BW970" s="58">
        <f t="array" ref="BW970">SUM(IF(BS970:BT970&gt;=BT970, 1))</f>
        <v>1</v>
      </c>
      <c r="BY970" s="109">
        <f t="shared" si="350"/>
        <v>132805.54444673413</v>
      </c>
      <c r="BZ970" s="109">
        <f t="shared" si="351"/>
        <v>133213.57487700603</v>
      </c>
      <c r="CB970" s="58">
        <f t="array" ref="CB970">SUM(IF(BY970:BZ970&gt;=BY970, 1))</f>
        <v>2</v>
      </c>
      <c r="CC970" s="58">
        <f t="array" ref="CC970">SUM(IF(BY970:BZ970&gt;=BZ970, 1))</f>
        <v>1</v>
      </c>
      <c r="CE970" s="109">
        <f t="shared" si="352"/>
        <v>95201.278614170515</v>
      </c>
      <c r="CF970" s="109">
        <f t="shared" si="353"/>
        <v>97710.243643535403</v>
      </c>
      <c r="CH970" s="58">
        <f t="array" ref="CH970">SUM(IF(CE970:CF970&gt;=CE970, 1))</f>
        <v>2</v>
      </c>
      <c r="CI970" s="58">
        <f t="array" ref="CI970">SUM(IF(CE970:CF970&gt;=CF970, 1))</f>
        <v>1</v>
      </c>
      <c r="CK970" s="109">
        <f t="shared" si="354"/>
        <v>45046.699000404471</v>
      </c>
      <c r="CL970" s="109">
        <f t="shared" si="355"/>
        <v>46171.629309554417</v>
      </c>
      <c r="CN970" s="58">
        <f t="array" ref="CN970">SUM(IF(CK970:CL970&gt;=CK970, 1))</f>
        <v>2</v>
      </c>
      <c r="CO970" s="58">
        <f t="array" ref="CO970">SUM(IF(CK970:CL970&gt;=CL970, 1))</f>
        <v>1</v>
      </c>
      <c r="CQ970" s="109" cm="1">
        <f t="array" ref="CQ970">AF970*WTP-AC970</f>
        <v>39387.751036539601</v>
      </c>
      <c r="CR970" s="109">
        <f t="shared" si="356"/>
        <v>42985.806612892222</v>
      </c>
      <c r="CT970" s="58">
        <f t="array" ref="CT970">SUM(IF(CQ970:CR970&gt;=CQ970, 1))</f>
        <v>2</v>
      </c>
      <c r="CU970" s="58">
        <f t="array" ref="CU970">SUM(IF(CQ970:CR970&gt;=CR970, 1))</f>
        <v>1</v>
      </c>
      <c r="CW970" s="109">
        <f t="shared" si="357"/>
        <v>-49085900.343379132</v>
      </c>
      <c r="CX970" s="109">
        <f t="shared" si="358"/>
        <v>0</v>
      </c>
      <c r="CZ970" s="58">
        <f t="array" ref="CZ970">SUM(IF(CW970:CX970&gt;=CW970, 1))</f>
        <v>2</v>
      </c>
      <c r="DA970" s="58">
        <f t="array" ref="DA970">SUM(IF(CW970:CX970&gt;=CX970, 1))</f>
        <v>1</v>
      </c>
      <c r="DC970" s="109">
        <f t="shared" si="359"/>
        <v>-2796601.5244238605</v>
      </c>
      <c r="DD970" s="109">
        <f t="shared" si="360"/>
        <v>0</v>
      </c>
      <c r="DF970" s="58">
        <f t="array" ref="DF970">SUM(IF(DC970:DD970&gt;=DC970, 1))</f>
        <v>2</v>
      </c>
      <c r="DG970" s="58">
        <f t="array" ref="DG970">SUM(IF(DC970:DD970&gt;=DD970, 1))</f>
        <v>1</v>
      </c>
      <c r="DI970" s="109">
        <f t="shared" si="361"/>
        <v>-57076050.533459619</v>
      </c>
      <c r="DJ970" s="109">
        <f t="shared" si="362"/>
        <v>0</v>
      </c>
      <c r="DL970" s="58">
        <f t="array" ref="DL970">SUM(IF(DI970:DJ970&gt;=DI970, 1))</f>
        <v>2</v>
      </c>
      <c r="DM970" s="58">
        <f t="array" ref="DM970">SUM(IF(DI970:DJ970&gt;=DJ970, 1))</f>
        <v>1</v>
      </c>
      <c r="DO970" s="109">
        <f t="shared" si="363"/>
        <v>-10011383.46513325</v>
      </c>
      <c r="DP970" s="109">
        <f t="shared" si="364"/>
        <v>0</v>
      </c>
      <c r="DR970" s="58">
        <f t="array" ref="DR970">SUM(IF(DO970:DP970&gt;=DO970, 1))</f>
        <v>2</v>
      </c>
      <c r="DS970" s="58">
        <f t="array" ref="DS970">SUM(IF(DO970:DP970&gt;=DP970, 1))</f>
        <v>1</v>
      </c>
      <c r="DU970" s="109">
        <f t="shared" si="365"/>
        <v>-57754949.027817354</v>
      </c>
      <c r="DV970" s="109">
        <f t="shared" si="366"/>
        <v>0</v>
      </c>
      <c r="DX970" s="58">
        <f t="array" ref="DX970">SUM(IF(DU970:DV970&gt;=DU970, 1))</f>
        <v>2</v>
      </c>
      <c r="DY970" s="58">
        <f t="array" ref="DY970">SUM(IF(DU970:DV970&gt;=DV970, 1))</f>
        <v>1</v>
      </c>
      <c r="EA970" s="109">
        <f t="shared" si="367"/>
        <v>-176724884.89421323</v>
      </c>
      <c r="EB970" s="109">
        <f t="shared" si="368"/>
        <v>0</v>
      </c>
      <c r="ED970" s="58">
        <f t="array" ref="ED970">SUM(IF(EA970:EB970&gt;=EA970, 1))</f>
        <v>2</v>
      </c>
      <c r="EE970" s="58">
        <f t="array" ref="EE970">SUM(IF(EA970:EB970&gt;=EB970, 1))</f>
        <v>1</v>
      </c>
    </row>
    <row r="971" spans="4:135" ht="12" customHeight="1" x14ac:dyDescent="0.25">
      <c r="D971" s="11">
        <v>955</v>
      </c>
      <c r="E971" s="72">
        <v>243.96175896706799</v>
      </c>
      <c r="F971" s="72">
        <v>219.59663836385027</v>
      </c>
      <c r="G971" s="73"/>
      <c r="H971" s="74">
        <v>5.8664826387650617</v>
      </c>
      <c r="I971" s="74">
        <v>5.8833031771079938</v>
      </c>
      <c r="J971" s="73"/>
      <c r="K971" s="72">
        <v>261.78658377128403</v>
      </c>
      <c r="L971" s="72">
        <v>236.8706919813113</v>
      </c>
      <c r="M971" s="73"/>
      <c r="N971" s="74">
        <v>6.6730207590140118</v>
      </c>
      <c r="O971" s="74">
        <v>6.6884854071104352</v>
      </c>
      <c r="P971" s="73"/>
      <c r="Q971" s="72">
        <v>2250.6666149978023</v>
      </c>
      <c r="R971" s="72">
        <v>1433.6098599223678</v>
      </c>
      <c r="S971" s="73"/>
      <c r="T971" s="74">
        <v>4.8704680355596963</v>
      </c>
      <c r="U971" s="74">
        <v>4.9468636178608945</v>
      </c>
      <c r="V971" s="73"/>
      <c r="W971" s="72">
        <v>12666.566392478033</v>
      </c>
      <c r="X971" s="72">
        <v>12682.686470059187</v>
      </c>
      <c r="Y971" s="73"/>
      <c r="Z971" s="74">
        <v>3.0679354230530533</v>
      </c>
      <c r="AA971" s="74">
        <v>3.1197861785481025</v>
      </c>
      <c r="AB971" s="73"/>
      <c r="AC971" s="72">
        <v>50045.13087494651</v>
      </c>
      <c r="AD971" s="72">
        <v>49951.071295817666</v>
      </c>
      <c r="AE971" s="73"/>
      <c r="AF971" s="74">
        <v>4.3564204408626788</v>
      </c>
      <c r="AG971" s="74">
        <v>4.4497057049115041</v>
      </c>
      <c r="AH971" s="73"/>
      <c r="AI971" s="72">
        <v>2601693.9108934421</v>
      </c>
      <c r="AJ971" s="72">
        <v>0</v>
      </c>
      <c r="AK971" s="73"/>
      <c r="AL971" s="74">
        <v>-1796.0876491198951</v>
      </c>
      <c r="AM971" s="74">
        <v>0</v>
      </c>
      <c r="AN971" s="73"/>
      <c r="AO971" s="72">
        <v>174318.40987439305</v>
      </c>
      <c r="AP971" s="72">
        <v>0</v>
      </c>
      <c r="AQ971" s="73"/>
      <c r="AR971" s="74">
        <v>-108.19491785240757</v>
      </c>
      <c r="AS971" s="74">
        <v>0</v>
      </c>
      <c r="AT971" s="73"/>
      <c r="AU971" s="72">
        <v>19079989.642187387</v>
      </c>
      <c r="AV971" s="72">
        <v>0</v>
      </c>
      <c r="AW971" s="73"/>
      <c r="AX971" s="74">
        <v>-1783.9971458055684</v>
      </c>
      <c r="AY971" s="74">
        <v>0</v>
      </c>
      <c r="AZ971" s="73"/>
      <c r="BA971" s="72">
        <v>-145149.05467417926</v>
      </c>
      <c r="BB971" s="72">
        <v>0</v>
      </c>
      <c r="BC971" s="73"/>
      <c r="BD971" s="74">
        <v>-466.87667018719327</v>
      </c>
      <c r="BE971" s="74">
        <v>0</v>
      </c>
      <c r="BF971" s="73"/>
      <c r="BG971" s="72">
        <v>1479079.7012321479</v>
      </c>
      <c r="BH971" s="72">
        <v>0</v>
      </c>
      <c r="BI971" s="73"/>
      <c r="BJ971" s="74">
        <v>-1466.9036557105771</v>
      </c>
      <c r="BK971" s="74">
        <v>0</v>
      </c>
      <c r="BL971" s="73"/>
      <c r="BM971" s="72">
        <v>23189932.60951319</v>
      </c>
      <c r="BN971" s="72">
        <v>0</v>
      </c>
      <c r="BO971" s="73"/>
      <c r="BP971" s="74">
        <v>-5622.0600386756423</v>
      </c>
      <c r="BQ971" s="74">
        <v>0</v>
      </c>
      <c r="BS971" s="109">
        <f t="shared" si="348"/>
        <v>117085.69101633417</v>
      </c>
      <c r="BT971" s="109">
        <f t="shared" si="349"/>
        <v>117446.46690379603</v>
      </c>
      <c r="BV971" s="58">
        <f t="array" ref="BV971">SUM(IF(BS971:BT971&gt;=BS971, 1))</f>
        <v>2</v>
      </c>
      <c r="BW971" s="58">
        <f t="array" ref="BW971">SUM(IF(BS971:BT971&gt;=BT971, 1))</f>
        <v>1</v>
      </c>
      <c r="BY971" s="109">
        <f t="shared" si="350"/>
        <v>133198.62859650893</v>
      </c>
      <c r="BZ971" s="109">
        <f t="shared" si="351"/>
        <v>133532.83745022738</v>
      </c>
      <c r="CB971" s="58">
        <f t="array" ref="CB971">SUM(IF(BY971:BZ971&gt;=BY971, 1))</f>
        <v>2</v>
      </c>
      <c r="CC971" s="58">
        <f t="array" ref="CC971">SUM(IF(BY971:BZ971&gt;=BZ971, 1))</f>
        <v>1</v>
      </c>
      <c r="CE971" s="109">
        <f t="shared" si="352"/>
        <v>95158.694096196123</v>
      </c>
      <c r="CF971" s="109">
        <f t="shared" si="353"/>
        <v>97503.662497295532</v>
      </c>
      <c r="CH971" s="58">
        <f t="array" ref="CH971">SUM(IF(CE971:CF971&gt;=CE971, 1))</f>
        <v>2</v>
      </c>
      <c r="CI971" s="58">
        <f t="array" ref="CI971">SUM(IF(CE971:CF971&gt;=CF971, 1))</f>
        <v>1</v>
      </c>
      <c r="CK971" s="109">
        <f t="shared" si="354"/>
        <v>48692.142068583038</v>
      </c>
      <c r="CL971" s="109">
        <f t="shared" si="355"/>
        <v>49713.03710090286</v>
      </c>
      <c r="CN971" s="58">
        <f t="array" ref="CN971">SUM(IF(CK971:CL971&gt;=CK971, 1))</f>
        <v>2</v>
      </c>
      <c r="CO971" s="58">
        <f t="array" ref="CO971">SUM(IF(CK971:CL971&gt;=CL971, 1))</f>
        <v>1</v>
      </c>
      <c r="CQ971" s="109" cm="1">
        <f t="array" ref="CQ971">AF971*WTP-AC971</f>
        <v>37083.277942307061</v>
      </c>
      <c r="CR971" s="109">
        <f t="shared" si="356"/>
        <v>39043.042802412419</v>
      </c>
      <c r="CT971" s="58">
        <f t="array" ref="CT971">SUM(IF(CQ971:CR971&gt;=CQ971, 1))</f>
        <v>2</v>
      </c>
      <c r="CU971" s="58">
        <f t="array" ref="CU971">SUM(IF(CQ971:CR971&gt;=CR971, 1))</f>
        <v>1</v>
      </c>
      <c r="CW971" s="109">
        <f t="shared" si="357"/>
        <v>-38523446.893291339</v>
      </c>
      <c r="CX971" s="109">
        <f t="shared" si="358"/>
        <v>0</v>
      </c>
      <c r="CZ971" s="58">
        <f t="array" ref="CZ971">SUM(IF(CW971:CX971&gt;=CW971, 1))</f>
        <v>2</v>
      </c>
      <c r="DA971" s="58">
        <f t="array" ref="DA971">SUM(IF(CW971:CX971&gt;=CX971, 1))</f>
        <v>1</v>
      </c>
      <c r="DC971" s="109">
        <f t="shared" si="359"/>
        <v>-2338216.7669225447</v>
      </c>
      <c r="DD971" s="109">
        <f t="shared" si="360"/>
        <v>0</v>
      </c>
      <c r="DF971" s="58">
        <f t="array" ref="DF971">SUM(IF(DC971:DD971&gt;=DC971, 1))</f>
        <v>2</v>
      </c>
      <c r="DG971" s="58">
        <f t="array" ref="DG971">SUM(IF(DC971:DD971&gt;=DD971, 1))</f>
        <v>1</v>
      </c>
      <c r="DI971" s="109">
        <f t="shared" si="361"/>
        <v>-54759932.558298752</v>
      </c>
      <c r="DJ971" s="109">
        <f t="shared" si="362"/>
        <v>0</v>
      </c>
      <c r="DL971" s="58">
        <f t="array" ref="DL971">SUM(IF(DI971:DJ971&gt;=DI971, 1))</f>
        <v>2</v>
      </c>
      <c r="DM971" s="58">
        <f t="array" ref="DM971">SUM(IF(DI971:DJ971&gt;=DJ971, 1))</f>
        <v>1</v>
      </c>
      <c r="DO971" s="109">
        <f t="shared" si="363"/>
        <v>-9192384.3490696866</v>
      </c>
      <c r="DP971" s="109">
        <f t="shared" si="364"/>
        <v>0</v>
      </c>
      <c r="DR971" s="58">
        <f t="array" ref="DR971">SUM(IF(DO971:DP971&gt;=DO971, 1))</f>
        <v>2</v>
      </c>
      <c r="DS971" s="58">
        <f t="array" ref="DS971">SUM(IF(DO971:DP971&gt;=DP971, 1))</f>
        <v>1</v>
      </c>
      <c r="DU971" s="109">
        <f t="shared" si="365"/>
        <v>-30817152.815443691</v>
      </c>
      <c r="DV971" s="109">
        <f t="shared" si="366"/>
        <v>0</v>
      </c>
      <c r="DX971" s="58">
        <f t="array" ref="DX971">SUM(IF(DU971:DV971&gt;=DU971, 1))</f>
        <v>2</v>
      </c>
      <c r="DY971" s="58">
        <f t="array" ref="DY971">SUM(IF(DU971:DV971&gt;=DV971, 1))</f>
        <v>1</v>
      </c>
      <c r="EA971" s="109">
        <f t="shared" si="367"/>
        <v>-135631133.38302603</v>
      </c>
      <c r="EB971" s="109">
        <f t="shared" si="368"/>
        <v>0</v>
      </c>
      <c r="ED971" s="58">
        <f t="array" ref="ED971">SUM(IF(EA971:EB971&gt;=EA971, 1))</f>
        <v>2</v>
      </c>
      <c r="EE971" s="58">
        <f t="array" ref="EE971">SUM(IF(EA971:EB971&gt;=EB971, 1))</f>
        <v>1</v>
      </c>
    </row>
    <row r="972" spans="4:135" ht="12" customHeight="1" x14ac:dyDescent="0.25">
      <c r="D972" s="11">
        <v>956</v>
      </c>
      <c r="E972" s="72">
        <v>226.66658769322643</v>
      </c>
      <c r="F972" s="72">
        <v>224.55211780752475</v>
      </c>
      <c r="G972" s="73"/>
      <c r="H972" s="74">
        <v>5.8459351731695657</v>
      </c>
      <c r="I972" s="74">
        <v>5.8610737142510123</v>
      </c>
      <c r="J972" s="73"/>
      <c r="K972" s="72">
        <v>244.44686915707956</v>
      </c>
      <c r="L972" s="72">
        <v>242.23348157168965</v>
      </c>
      <c r="M972" s="73"/>
      <c r="N972" s="74">
        <v>6.7594763217373286</v>
      </c>
      <c r="O972" s="74">
        <v>6.7722324960303268</v>
      </c>
      <c r="P972" s="73"/>
      <c r="Q972" s="72">
        <v>2132.6762832473296</v>
      </c>
      <c r="R972" s="72">
        <v>1413.4676362663413</v>
      </c>
      <c r="S972" s="73"/>
      <c r="T972" s="74">
        <v>4.7133045280481332</v>
      </c>
      <c r="U972" s="74">
        <v>4.7900481433809281</v>
      </c>
      <c r="V972" s="73"/>
      <c r="W972" s="72">
        <v>15805.148314544129</v>
      </c>
      <c r="X972" s="72">
        <v>15845.003866547799</v>
      </c>
      <c r="Y972" s="73"/>
      <c r="Z972" s="74">
        <v>3.0926080131444977</v>
      </c>
      <c r="AA972" s="74">
        <v>3.1464927535706693</v>
      </c>
      <c r="AB972" s="73"/>
      <c r="AC972" s="72">
        <v>48409.369521410998</v>
      </c>
      <c r="AD972" s="72">
        <v>48421.846677754707</v>
      </c>
      <c r="AE972" s="73"/>
      <c r="AF972" s="74">
        <v>4.3928254148839398</v>
      </c>
      <c r="AG972" s="74">
        <v>4.555424730384523</v>
      </c>
      <c r="AH972" s="73"/>
      <c r="AI972" s="72">
        <v>227448.21686943434</v>
      </c>
      <c r="AJ972" s="72">
        <v>0</v>
      </c>
      <c r="AK972" s="73"/>
      <c r="AL972" s="74">
        <v>-1628.4148562546625</v>
      </c>
      <c r="AM972" s="74">
        <v>0</v>
      </c>
      <c r="AN972" s="73"/>
      <c r="AO972" s="72">
        <v>15151.02857892216</v>
      </c>
      <c r="AP972" s="72">
        <v>0</v>
      </c>
      <c r="AQ972" s="73"/>
      <c r="AR972" s="74">
        <v>-87.318263889549357</v>
      </c>
      <c r="AS972" s="74">
        <v>0</v>
      </c>
      <c r="AT972" s="73"/>
      <c r="AU972" s="72">
        <v>16995691.631949797</v>
      </c>
      <c r="AV972" s="72">
        <v>0</v>
      </c>
      <c r="AW972" s="73"/>
      <c r="AX972" s="74">
        <v>-1813.5360668871874</v>
      </c>
      <c r="AY972" s="74">
        <v>0</v>
      </c>
      <c r="AZ972" s="73"/>
      <c r="BA972" s="72">
        <v>-355571.86647983792</v>
      </c>
      <c r="BB972" s="72">
        <v>0</v>
      </c>
      <c r="BC972" s="73"/>
      <c r="BD972" s="74">
        <v>-480.73346785790829</v>
      </c>
      <c r="BE972" s="74">
        <v>0</v>
      </c>
      <c r="BF972" s="73"/>
      <c r="BG972" s="72">
        <v>-198681.40818714761</v>
      </c>
      <c r="BH972" s="72">
        <v>0</v>
      </c>
      <c r="BI972" s="73"/>
      <c r="BJ972" s="74">
        <v>-2589.1685640541455</v>
      </c>
      <c r="BK972" s="74">
        <v>0</v>
      </c>
      <c r="BL972" s="73"/>
      <c r="BM972" s="72">
        <v>16684037.602731172</v>
      </c>
      <c r="BN972" s="72">
        <v>0</v>
      </c>
      <c r="BO972" s="73"/>
      <c r="BP972" s="74">
        <v>-6599.1712189434529</v>
      </c>
      <c r="BQ972" s="74">
        <v>0</v>
      </c>
      <c r="BS972" s="109">
        <f t="shared" si="348"/>
        <v>116692.03687569809</v>
      </c>
      <c r="BT972" s="109">
        <f t="shared" si="349"/>
        <v>116996.92216721272</v>
      </c>
      <c r="BV972" s="58">
        <f t="array" ref="BV972">SUM(IF(BS972:BT972&gt;=BS972, 1))</f>
        <v>2</v>
      </c>
      <c r="BW972" s="58">
        <f t="array" ref="BW972">SUM(IF(BS972:BT972&gt;=BT972, 1))</f>
        <v>1</v>
      </c>
      <c r="BY972" s="109">
        <f t="shared" si="350"/>
        <v>134945.07956558949</v>
      </c>
      <c r="BZ972" s="109">
        <f t="shared" si="351"/>
        <v>135202.41643903486</v>
      </c>
      <c r="CB972" s="58">
        <f t="array" ref="CB972">SUM(IF(BY972:BZ972&gt;=BY972, 1))</f>
        <v>2</v>
      </c>
      <c r="CC972" s="58">
        <f t="array" ref="CC972">SUM(IF(BY972:BZ972&gt;=BZ972, 1))</f>
        <v>1</v>
      </c>
      <c r="CE972" s="109">
        <f t="shared" si="352"/>
        <v>92133.414277715332</v>
      </c>
      <c r="CF972" s="109">
        <f t="shared" si="353"/>
        <v>94387.495231352223</v>
      </c>
      <c r="CH972" s="58">
        <f t="array" ref="CH972">SUM(IF(CE972:CF972&gt;=CE972, 1))</f>
        <v>2</v>
      </c>
      <c r="CI972" s="58">
        <f t="array" ref="CI972">SUM(IF(CE972:CF972&gt;=CF972, 1))</f>
        <v>1</v>
      </c>
      <c r="CK972" s="109">
        <f t="shared" si="354"/>
        <v>46047.011948345826</v>
      </c>
      <c r="CL972" s="109">
        <f t="shared" si="355"/>
        <v>47084.85120486559</v>
      </c>
      <c r="CN972" s="58">
        <f t="array" ref="CN972">SUM(IF(CK972:CL972&gt;=CK972, 1))</f>
        <v>2</v>
      </c>
      <c r="CO972" s="58">
        <f t="array" ref="CO972">SUM(IF(CK972:CL972&gt;=CL972, 1))</f>
        <v>1</v>
      </c>
      <c r="CQ972" s="109" cm="1">
        <f t="array" ref="CQ972">AF972*WTP-AC972</f>
        <v>39447.138776267799</v>
      </c>
      <c r="CR972" s="109">
        <f t="shared" si="356"/>
        <v>42686.647929935752</v>
      </c>
      <c r="CT972" s="58">
        <f t="array" ref="CT972">SUM(IF(CQ972:CR972&gt;=CQ972, 1))</f>
        <v>2</v>
      </c>
      <c r="CU972" s="58">
        <f t="array" ref="CU972">SUM(IF(CQ972:CR972&gt;=CR972, 1))</f>
        <v>1</v>
      </c>
      <c r="CW972" s="109">
        <f t="shared" si="357"/>
        <v>-32795745.341962688</v>
      </c>
      <c r="CX972" s="109">
        <f t="shared" si="358"/>
        <v>0</v>
      </c>
      <c r="CZ972" s="58">
        <f t="array" ref="CZ972">SUM(IF(CW972:CX972&gt;=CW972, 1))</f>
        <v>2</v>
      </c>
      <c r="DA972" s="58">
        <f t="array" ref="DA972">SUM(IF(CW972:CX972&gt;=CX972, 1))</f>
        <v>1</v>
      </c>
      <c r="DC972" s="109">
        <f t="shared" si="359"/>
        <v>-1761516.3063699093</v>
      </c>
      <c r="DD972" s="109">
        <f t="shared" si="360"/>
        <v>0</v>
      </c>
      <c r="DF972" s="58">
        <f t="array" ref="DF972">SUM(IF(DC972:DD972&gt;=DC972, 1))</f>
        <v>2</v>
      </c>
      <c r="DG972" s="58">
        <f t="array" ref="DG972">SUM(IF(DC972:DD972&gt;=DD972, 1))</f>
        <v>1</v>
      </c>
      <c r="DI972" s="109">
        <f t="shared" si="361"/>
        <v>-53266412.969693549</v>
      </c>
      <c r="DJ972" s="109">
        <f t="shared" si="362"/>
        <v>0</v>
      </c>
      <c r="DL972" s="58">
        <f t="array" ref="DL972">SUM(IF(DI972:DJ972&gt;=DI972, 1))</f>
        <v>2</v>
      </c>
      <c r="DM972" s="58">
        <f t="array" ref="DM972">SUM(IF(DI972:DJ972&gt;=DJ972, 1))</f>
        <v>1</v>
      </c>
      <c r="DO972" s="109">
        <f t="shared" si="363"/>
        <v>-9259097.4906783272</v>
      </c>
      <c r="DP972" s="109">
        <f t="shared" si="364"/>
        <v>0</v>
      </c>
      <c r="DR972" s="58">
        <f t="array" ref="DR972">SUM(IF(DO972:DP972&gt;=DO972, 1))</f>
        <v>2</v>
      </c>
      <c r="DS972" s="58">
        <f t="array" ref="DS972">SUM(IF(DO972:DP972&gt;=DP972, 1))</f>
        <v>1</v>
      </c>
      <c r="DU972" s="109">
        <f t="shared" si="365"/>
        <v>-51584689.872895755</v>
      </c>
      <c r="DV972" s="109">
        <f t="shared" si="366"/>
        <v>0</v>
      </c>
      <c r="DX972" s="58">
        <f t="array" ref="DX972">SUM(IF(DU972:DV972&gt;=DU972, 1))</f>
        <v>2</v>
      </c>
      <c r="DY972" s="58">
        <f t="array" ref="DY972">SUM(IF(DU972:DV972&gt;=DV972, 1))</f>
        <v>1</v>
      </c>
      <c r="EA972" s="109">
        <f t="shared" si="367"/>
        <v>-148667461.98160022</v>
      </c>
      <c r="EB972" s="109">
        <f t="shared" si="368"/>
        <v>0</v>
      </c>
      <c r="ED972" s="58">
        <f t="array" ref="ED972">SUM(IF(EA972:EB972&gt;=EA972, 1))</f>
        <v>2</v>
      </c>
      <c r="EE972" s="58">
        <f t="array" ref="EE972">SUM(IF(EA972:EB972&gt;=EB972, 1))</f>
        <v>1</v>
      </c>
    </row>
    <row r="973" spans="4:135" ht="12" customHeight="1" x14ac:dyDescent="0.25">
      <c r="D973" s="11">
        <v>957</v>
      </c>
      <c r="E973" s="72">
        <v>268.37469251420822</v>
      </c>
      <c r="F973" s="72">
        <v>247.68522181770803</v>
      </c>
      <c r="G973" s="73"/>
      <c r="H973" s="74">
        <v>5.8585365954581361</v>
      </c>
      <c r="I973" s="74">
        <v>5.8763957629776877</v>
      </c>
      <c r="J973" s="73"/>
      <c r="K973" s="72">
        <v>288.25577020629396</v>
      </c>
      <c r="L973" s="72">
        <v>267.09124852397105</v>
      </c>
      <c r="M973" s="73"/>
      <c r="N973" s="74">
        <v>6.7111353510086111</v>
      </c>
      <c r="O973" s="74">
        <v>6.7272615961419078</v>
      </c>
      <c r="P973" s="73"/>
      <c r="Q973" s="72">
        <v>2379.3677576125247</v>
      </c>
      <c r="R973" s="72">
        <v>1570.2572147723606</v>
      </c>
      <c r="S973" s="73"/>
      <c r="T973" s="74">
        <v>4.8174182021359497</v>
      </c>
      <c r="U973" s="74">
        <v>4.8803102528945201</v>
      </c>
      <c r="V973" s="73"/>
      <c r="W973" s="72">
        <v>14335.843165326327</v>
      </c>
      <c r="X973" s="72">
        <v>14317.268803444453</v>
      </c>
      <c r="Y973" s="73"/>
      <c r="Z973" s="74">
        <v>3.024629816829981</v>
      </c>
      <c r="AA973" s="74">
        <v>3.0729806498175818</v>
      </c>
      <c r="AB973" s="73"/>
      <c r="AC973" s="72">
        <v>50887.536939505444</v>
      </c>
      <c r="AD973" s="72">
        <v>50537.449375264972</v>
      </c>
      <c r="AE973" s="73"/>
      <c r="AF973" s="74">
        <v>4.417440014528327</v>
      </c>
      <c r="AG973" s="74">
        <v>4.5025574950307021</v>
      </c>
      <c r="AH973" s="73"/>
      <c r="AI973" s="72">
        <v>2211448.2231713575</v>
      </c>
      <c r="AJ973" s="72">
        <v>0</v>
      </c>
      <c r="AK973" s="73"/>
      <c r="AL973" s="74">
        <v>-1908.9238607304217</v>
      </c>
      <c r="AM973" s="74">
        <v>0</v>
      </c>
      <c r="AN973" s="73"/>
      <c r="AO973" s="72">
        <v>148014.60388046913</v>
      </c>
      <c r="AP973" s="72">
        <v>0</v>
      </c>
      <c r="AQ973" s="73"/>
      <c r="AR973" s="74">
        <v>-112.77929269140317</v>
      </c>
      <c r="AS973" s="74">
        <v>0</v>
      </c>
      <c r="AT973" s="73"/>
      <c r="AU973" s="72">
        <v>18204064.937153265</v>
      </c>
      <c r="AV973" s="72">
        <v>0</v>
      </c>
      <c r="AW973" s="73"/>
      <c r="AX973" s="74">
        <v>-1414.999453623388</v>
      </c>
      <c r="AY973" s="74">
        <v>0</v>
      </c>
      <c r="AZ973" s="73"/>
      <c r="BA973" s="72">
        <v>167659.1670100989</v>
      </c>
      <c r="BB973" s="72">
        <v>0</v>
      </c>
      <c r="BC973" s="73"/>
      <c r="BD973" s="74">
        <v>-436.4327794677161</v>
      </c>
      <c r="BE973" s="74">
        <v>0</v>
      </c>
      <c r="BF973" s="73"/>
      <c r="BG973" s="72">
        <v>5513972.1992512457</v>
      </c>
      <c r="BH973" s="72">
        <v>0</v>
      </c>
      <c r="BI973" s="73"/>
      <c r="BJ973" s="74">
        <v>-1340.6229443729237</v>
      </c>
      <c r="BK973" s="74">
        <v>0</v>
      </c>
      <c r="BL973" s="73"/>
      <c r="BM973" s="72">
        <v>26245159.130466435</v>
      </c>
      <c r="BN973" s="72">
        <v>0</v>
      </c>
      <c r="BO973" s="73"/>
      <c r="BP973" s="74">
        <v>-5213.758330885853</v>
      </c>
      <c r="BQ973" s="74">
        <v>0</v>
      </c>
      <c r="BS973" s="109">
        <f t="shared" si="348"/>
        <v>116902.35721664852</v>
      </c>
      <c r="BT973" s="109">
        <f t="shared" si="349"/>
        <v>117280.23003773605</v>
      </c>
      <c r="BV973" s="58">
        <f t="array" ref="BV973">SUM(IF(BS973:BT973&gt;=BS973, 1))</f>
        <v>2</v>
      </c>
      <c r="BW973" s="58">
        <f t="array" ref="BW973">SUM(IF(BS973:BT973&gt;=BT973, 1))</f>
        <v>1</v>
      </c>
      <c r="BY973" s="109">
        <f t="shared" si="350"/>
        <v>133934.4512499659</v>
      </c>
      <c r="BZ973" s="109">
        <f t="shared" si="351"/>
        <v>134278.1406743142</v>
      </c>
      <c r="CB973" s="58">
        <f t="array" ref="CB973">SUM(IF(BY973:BZ973&gt;=BY973, 1))</f>
        <v>2</v>
      </c>
      <c r="CC973" s="58">
        <f t="array" ref="CC973">SUM(IF(BY973:BZ973&gt;=BZ973, 1))</f>
        <v>1</v>
      </c>
      <c r="CE973" s="109">
        <f t="shared" si="352"/>
        <v>93968.996285106477</v>
      </c>
      <c r="CF973" s="109">
        <f t="shared" si="353"/>
        <v>96035.947843118047</v>
      </c>
      <c r="CH973" s="58">
        <f t="array" ref="CH973">SUM(IF(CE973:CF973&gt;=CE973, 1))</f>
        <v>2</v>
      </c>
      <c r="CI973" s="58">
        <f t="array" ref="CI973">SUM(IF(CE973:CF973&gt;=CF973, 1))</f>
        <v>1</v>
      </c>
      <c r="CK973" s="109">
        <f t="shared" si="354"/>
        <v>46156.753171273296</v>
      </c>
      <c r="CL973" s="109">
        <f t="shared" si="355"/>
        <v>47142.344192907185</v>
      </c>
      <c r="CN973" s="58">
        <f t="array" ref="CN973">SUM(IF(CK973:CL973&gt;=CK973, 1))</f>
        <v>2</v>
      </c>
      <c r="CO973" s="58">
        <f t="array" ref="CO973">SUM(IF(CK973:CL973&gt;=CL973, 1))</f>
        <v>1</v>
      </c>
      <c r="CQ973" s="109" cm="1">
        <f t="array" ref="CQ973">AF973*WTP-AC973</f>
        <v>37461.26335106109</v>
      </c>
      <c r="CR973" s="109">
        <f t="shared" si="356"/>
        <v>39513.700525349064</v>
      </c>
      <c r="CT973" s="58">
        <f t="array" ref="CT973">SUM(IF(CQ973:CR973&gt;=CQ973, 1))</f>
        <v>2</v>
      </c>
      <c r="CU973" s="58">
        <f t="array" ref="CU973">SUM(IF(CQ973:CR973&gt;=CR973, 1))</f>
        <v>1</v>
      </c>
      <c r="CW973" s="109">
        <f t="shared" si="357"/>
        <v>-40389925.437779792</v>
      </c>
      <c r="CX973" s="109">
        <f t="shared" si="358"/>
        <v>0</v>
      </c>
      <c r="CZ973" s="58">
        <f t="array" ref="CZ973">SUM(IF(CW973:CX973&gt;=CW973, 1))</f>
        <v>2</v>
      </c>
      <c r="DA973" s="58">
        <f t="array" ref="DA973">SUM(IF(CW973:CX973&gt;=CX973, 1))</f>
        <v>1</v>
      </c>
      <c r="DC973" s="109">
        <f t="shared" si="359"/>
        <v>-2403600.4577085325</v>
      </c>
      <c r="DD973" s="109">
        <f t="shared" si="360"/>
        <v>0</v>
      </c>
      <c r="DF973" s="58">
        <f t="array" ref="DF973">SUM(IF(DC973:DD973&gt;=DC973, 1))</f>
        <v>2</v>
      </c>
      <c r="DG973" s="58">
        <f t="array" ref="DG973">SUM(IF(DC973:DD973&gt;=DD973, 1))</f>
        <v>1</v>
      </c>
      <c r="DI973" s="109">
        <f t="shared" si="361"/>
        <v>-46504054.009621024</v>
      </c>
      <c r="DJ973" s="109">
        <f t="shared" si="362"/>
        <v>0</v>
      </c>
      <c r="DL973" s="58">
        <f t="array" ref="DL973">SUM(IF(DI973:DJ973&gt;=DI973, 1))</f>
        <v>2</v>
      </c>
      <c r="DM973" s="58">
        <f t="array" ref="DM973">SUM(IF(DI973:DJ973&gt;=DJ973, 1))</f>
        <v>1</v>
      </c>
      <c r="DO973" s="109">
        <f t="shared" si="363"/>
        <v>-8896314.7563644201</v>
      </c>
      <c r="DP973" s="109">
        <f t="shared" si="364"/>
        <v>0</v>
      </c>
      <c r="DR973" s="58">
        <f t="array" ref="DR973">SUM(IF(DO973:DP973&gt;=DO973, 1))</f>
        <v>2</v>
      </c>
      <c r="DS973" s="58">
        <f t="array" ref="DS973">SUM(IF(DO973:DP973&gt;=DP973, 1))</f>
        <v>1</v>
      </c>
      <c r="DU973" s="109">
        <f t="shared" si="365"/>
        <v>-32326431.086709719</v>
      </c>
      <c r="DV973" s="109">
        <f t="shared" si="366"/>
        <v>0</v>
      </c>
      <c r="DX973" s="58">
        <f t="array" ref="DX973">SUM(IF(DU973:DV973&gt;=DU973, 1))</f>
        <v>2</v>
      </c>
      <c r="DY973" s="58">
        <f t="array" ref="DY973">SUM(IF(DU973:DV973&gt;=DV973, 1))</f>
        <v>1</v>
      </c>
      <c r="EA973" s="109">
        <f t="shared" si="367"/>
        <v>-130520325.74818349</v>
      </c>
      <c r="EB973" s="109">
        <f t="shared" si="368"/>
        <v>0</v>
      </c>
      <c r="ED973" s="58">
        <f t="array" ref="ED973">SUM(IF(EA973:EB973&gt;=EA973, 1))</f>
        <v>2</v>
      </c>
      <c r="EE973" s="58">
        <f t="array" ref="EE973">SUM(IF(EA973:EB973&gt;=EB973, 1))</f>
        <v>1</v>
      </c>
    </row>
    <row r="974" spans="4:135" ht="12" customHeight="1" x14ac:dyDescent="0.25">
      <c r="D974" s="11">
        <v>958</v>
      </c>
      <c r="E974" s="72">
        <v>206.96845751385459</v>
      </c>
      <c r="F974" s="72">
        <v>178.54773677030562</v>
      </c>
      <c r="G974" s="73"/>
      <c r="H974" s="74">
        <v>5.7810928959874888</v>
      </c>
      <c r="I974" s="74">
        <v>5.7998753247814383</v>
      </c>
      <c r="J974" s="73"/>
      <c r="K974" s="72">
        <v>221.53949525865337</v>
      </c>
      <c r="L974" s="72">
        <v>192.46579870169654</v>
      </c>
      <c r="M974" s="73"/>
      <c r="N974" s="74">
        <v>6.7142205516231872</v>
      </c>
      <c r="O974" s="74">
        <v>6.7307144611512033</v>
      </c>
      <c r="P974" s="73"/>
      <c r="Q974" s="72">
        <v>2464.1274955223389</v>
      </c>
      <c r="R974" s="72">
        <v>2036.461208984394</v>
      </c>
      <c r="S974" s="73"/>
      <c r="T974" s="74">
        <v>4.8894546355195683</v>
      </c>
      <c r="U974" s="74">
        <v>4.92962581183897</v>
      </c>
      <c r="V974" s="73"/>
      <c r="W974" s="72">
        <v>9175.0783545502127</v>
      </c>
      <c r="X974" s="72">
        <v>9152.1440591100945</v>
      </c>
      <c r="Y974" s="73"/>
      <c r="Z974" s="74">
        <v>3.0516772155935876</v>
      </c>
      <c r="AA974" s="74">
        <v>3.0935587487389751</v>
      </c>
      <c r="AB974" s="73"/>
      <c r="AC974" s="72">
        <v>47906.251172175194</v>
      </c>
      <c r="AD974" s="72">
        <v>47963.063194524468</v>
      </c>
      <c r="AE974" s="73"/>
      <c r="AF974" s="74">
        <v>4.6337901390974778</v>
      </c>
      <c r="AG974" s="74">
        <v>4.7687554536787022</v>
      </c>
      <c r="AH974" s="73"/>
      <c r="AI974" s="72">
        <v>3050540.0002285214</v>
      </c>
      <c r="AJ974" s="72">
        <v>0</v>
      </c>
      <c r="AK974" s="73"/>
      <c r="AL974" s="74">
        <v>-2016.0132761725392</v>
      </c>
      <c r="AM974" s="74">
        <v>0</v>
      </c>
      <c r="AN974" s="73"/>
      <c r="AO974" s="72">
        <v>192117.72541841958</v>
      </c>
      <c r="AP974" s="72">
        <v>0</v>
      </c>
      <c r="AQ974" s="73"/>
      <c r="AR974" s="74">
        <v>-108.99103853450035</v>
      </c>
      <c r="AS974" s="74">
        <v>0</v>
      </c>
      <c r="AT974" s="73"/>
      <c r="AU974" s="72">
        <v>10025412.440392399</v>
      </c>
      <c r="AV974" s="72">
        <v>0</v>
      </c>
      <c r="AW974" s="73"/>
      <c r="AX974" s="74">
        <v>-941.69829022048418</v>
      </c>
      <c r="AY974" s="74">
        <v>0</v>
      </c>
      <c r="AZ974" s="73"/>
      <c r="BA974" s="72">
        <v>209472.071668586</v>
      </c>
      <c r="BB974" s="72">
        <v>0</v>
      </c>
      <c r="BC974" s="73"/>
      <c r="BD974" s="74">
        <v>-382.52805871134552</v>
      </c>
      <c r="BE974" s="74">
        <v>0</v>
      </c>
      <c r="BF974" s="73"/>
      <c r="BG974" s="72">
        <v>-899073.6748009522</v>
      </c>
      <c r="BH974" s="72">
        <v>0</v>
      </c>
      <c r="BI974" s="73"/>
      <c r="BJ974" s="74">
        <v>-2135.8817435718352</v>
      </c>
      <c r="BK974" s="74">
        <v>0</v>
      </c>
      <c r="BL974" s="73"/>
      <c r="BM974" s="72">
        <v>12578468.562906973</v>
      </c>
      <c r="BN974" s="72">
        <v>0</v>
      </c>
      <c r="BO974" s="73"/>
      <c r="BP974" s="74">
        <v>-5585.112407210705</v>
      </c>
      <c r="BQ974" s="74">
        <v>0</v>
      </c>
      <c r="BS974" s="109">
        <f t="shared" si="348"/>
        <v>115414.88946223592</v>
      </c>
      <c r="BT974" s="109">
        <f t="shared" si="349"/>
        <v>115818.95875885847</v>
      </c>
      <c r="BV974" s="58">
        <f t="array" ref="BV974">SUM(IF(BS974:BT974&gt;=BS974, 1))</f>
        <v>2</v>
      </c>
      <c r="BW974" s="58">
        <f t="array" ref="BW974">SUM(IF(BS974:BT974&gt;=BT974, 1))</f>
        <v>1</v>
      </c>
      <c r="BY974" s="109">
        <f t="shared" si="350"/>
        <v>134062.87153720509</v>
      </c>
      <c r="BZ974" s="109">
        <f t="shared" si="351"/>
        <v>134421.82342432239</v>
      </c>
      <c r="CB974" s="58">
        <f t="array" ref="CB974">SUM(IF(BY974:BZ974&gt;=BY974, 1))</f>
        <v>2</v>
      </c>
      <c r="CC974" s="58">
        <f t="array" ref="CC974">SUM(IF(BY974:BZ974&gt;=BZ974, 1))</f>
        <v>1</v>
      </c>
      <c r="CE974" s="109">
        <f t="shared" si="352"/>
        <v>95324.965214869037</v>
      </c>
      <c r="CF974" s="109">
        <f t="shared" si="353"/>
        <v>96556.055027794995</v>
      </c>
      <c r="CH974" s="58">
        <f t="array" ref="CH974">SUM(IF(CE974:CF974&gt;=CE974, 1))</f>
        <v>2</v>
      </c>
      <c r="CI974" s="58">
        <f t="array" ref="CI974">SUM(IF(CE974:CF974&gt;=CF974, 1))</f>
        <v>1</v>
      </c>
      <c r="CK974" s="109">
        <f t="shared" si="354"/>
        <v>51858.465957321539</v>
      </c>
      <c r="CL974" s="109">
        <f t="shared" si="355"/>
        <v>52719.030915669413</v>
      </c>
      <c r="CN974" s="58">
        <f t="array" ref="CN974">SUM(IF(CK974:CL974&gt;=CK974, 1))</f>
        <v>2</v>
      </c>
      <c r="CO974" s="58">
        <f t="array" ref="CO974">SUM(IF(CK974:CL974&gt;=CL974, 1))</f>
        <v>1</v>
      </c>
      <c r="CQ974" s="109" cm="1">
        <f t="array" ref="CQ974">AF974*WTP-AC974</f>
        <v>44769.551609774368</v>
      </c>
      <c r="CR974" s="109">
        <f t="shared" si="356"/>
        <v>47412.045879049576</v>
      </c>
      <c r="CT974" s="58">
        <f t="array" ref="CT974">SUM(IF(CQ974:CR974&gt;=CQ974, 1))</f>
        <v>2</v>
      </c>
      <c r="CU974" s="58">
        <f t="array" ref="CU974">SUM(IF(CQ974:CR974&gt;=CR974, 1))</f>
        <v>1</v>
      </c>
      <c r="CW974" s="109">
        <f t="shared" si="357"/>
        <v>-43370805.523679309</v>
      </c>
      <c r="CX974" s="109">
        <f t="shared" si="358"/>
        <v>0</v>
      </c>
      <c r="CZ974" s="58">
        <f t="array" ref="CZ974">SUM(IF(CW974:CX974&gt;=CW974, 1))</f>
        <v>2</v>
      </c>
      <c r="DA974" s="58">
        <f t="array" ref="DA974">SUM(IF(CW974:CX974&gt;=CX974, 1))</f>
        <v>1</v>
      </c>
      <c r="DC974" s="109">
        <f t="shared" si="359"/>
        <v>-2371938.4961084267</v>
      </c>
      <c r="DD974" s="109">
        <f t="shared" si="360"/>
        <v>0</v>
      </c>
      <c r="DF974" s="58">
        <f t="array" ref="DF974">SUM(IF(DC974:DD974&gt;=DC974, 1))</f>
        <v>2</v>
      </c>
      <c r="DG974" s="58">
        <f t="array" ref="DG974">SUM(IF(DC974:DD974&gt;=DD974, 1))</f>
        <v>1</v>
      </c>
      <c r="DI974" s="109">
        <f t="shared" si="361"/>
        <v>-28859378.24480208</v>
      </c>
      <c r="DJ974" s="109">
        <f t="shared" si="362"/>
        <v>0</v>
      </c>
      <c r="DL974" s="58">
        <f t="array" ref="DL974">SUM(IF(DI974:DJ974&gt;=DI974, 1))</f>
        <v>2</v>
      </c>
      <c r="DM974" s="58">
        <f t="array" ref="DM974">SUM(IF(DI974:DJ974&gt;=DJ974, 1))</f>
        <v>1</v>
      </c>
      <c r="DO974" s="109">
        <f t="shared" si="363"/>
        <v>-7860033.2458954966</v>
      </c>
      <c r="DP974" s="109">
        <f t="shared" si="364"/>
        <v>0</v>
      </c>
      <c r="DR974" s="58">
        <f t="array" ref="DR974">SUM(IF(DO974:DP974&gt;=DO974, 1))</f>
        <v>2</v>
      </c>
      <c r="DS974" s="58">
        <f t="array" ref="DS974">SUM(IF(DO974:DP974&gt;=DP974, 1))</f>
        <v>1</v>
      </c>
      <c r="DU974" s="109">
        <f t="shared" si="365"/>
        <v>-41818561.196635745</v>
      </c>
      <c r="DV974" s="109">
        <f t="shared" si="366"/>
        <v>0</v>
      </c>
      <c r="DX974" s="58">
        <f t="array" ref="DX974">SUM(IF(DU974:DV974&gt;=DU974, 1))</f>
        <v>2</v>
      </c>
      <c r="DY974" s="58">
        <f t="array" ref="DY974">SUM(IF(DU974:DV974&gt;=DV974, 1))</f>
        <v>1</v>
      </c>
      <c r="EA974" s="109">
        <f t="shared" si="367"/>
        <v>-124280716.70712107</v>
      </c>
      <c r="EB974" s="109">
        <f t="shared" si="368"/>
        <v>0</v>
      </c>
      <c r="ED974" s="58">
        <f t="array" ref="ED974">SUM(IF(EA974:EB974&gt;=EA974, 1))</f>
        <v>2</v>
      </c>
      <c r="EE974" s="58">
        <f t="array" ref="EE974">SUM(IF(EA974:EB974&gt;=EB974, 1))</f>
        <v>1</v>
      </c>
    </row>
    <row r="975" spans="4:135" ht="12" customHeight="1" x14ac:dyDescent="0.25">
      <c r="D975" s="11">
        <v>959</v>
      </c>
      <c r="E975" s="72">
        <v>251.78810378822817</v>
      </c>
      <c r="F975" s="72">
        <v>231.35986867410762</v>
      </c>
      <c r="G975" s="73"/>
      <c r="H975" s="74">
        <v>5.8488294196916462</v>
      </c>
      <c r="I975" s="74">
        <v>5.8669093153930891</v>
      </c>
      <c r="J975" s="73"/>
      <c r="K975" s="72">
        <v>270.5332115551841</v>
      </c>
      <c r="L975" s="72">
        <v>249.54762071834395</v>
      </c>
      <c r="M975" s="73"/>
      <c r="N975" s="74">
        <v>6.6602303908909688</v>
      </c>
      <c r="O975" s="74">
        <v>6.6747663387752612</v>
      </c>
      <c r="P975" s="73"/>
      <c r="Q975" s="72">
        <v>2381.3353061397584</v>
      </c>
      <c r="R975" s="72">
        <v>1324.9382944941017</v>
      </c>
      <c r="S975" s="73"/>
      <c r="T975" s="74">
        <v>4.8554647598813077</v>
      </c>
      <c r="U975" s="74">
        <v>4.9374482756343792</v>
      </c>
      <c r="V975" s="73"/>
      <c r="W975" s="72">
        <v>13366.082179687772</v>
      </c>
      <c r="X975" s="72">
        <v>13362.822081781716</v>
      </c>
      <c r="Y975" s="73"/>
      <c r="Z975" s="74">
        <v>2.9744763300525672</v>
      </c>
      <c r="AA975" s="74">
        <v>3.0311356819690114</v>
      </c>
      <c r="AB975" s="73"/>
      <c r="AC975" s="72">
        <v>50477.747471893395</v>
      </c>
      <c r="AD975" s="72">
        <v>50147.952462896763</v>
      </c>
      <c r="AE975" s="73"/>
      <c r="AF975" s="74">
        <v>4.6466352533373003</v>
      </c>
      <c r="AG975" s="74">
        <v>4.8130481795297575</v>
      </c>
      <c r="AH975" s="73"/>
      <c r="AI975" s="72">
        <v>2195583.8798166541</v>
      </c>
      <c r="AJ975" s="72">
        <v>0</v>
      </c>
      <c r="AK975" s="73"/>
      <c r="AL975" s="74">
        <v>-1943.1892833177596</v>
      </c>
      <c r="AM975" s="74">
        <v>0</v>
      </c>
      <c r="AN975" s="73"/>
      <c r="AO975" s="72">
        <v>147281.11065044915</v>
      </c>
      <c r="AP975" s="72">
        <v>0</v>
      </c>
      <c r="AQ975" s="73"/>
      <c r="AR975" s="74">
        <v>-102.01621509732918</v>
      </c>
      <c r="AS975" s="74">
        <v>0</v>
      </c>
      <c r="AT975" s="73"/>
      <c r="AU975" s="72">
        <v>25266342.507942937</v>
      </c>
      <c r="AV975" s="72">
        <v>0</v>
      </c>
      <c r="AW975" s="73"/>
      <c r="AX975" s="74">
        <v>-1960.8381755979919</v>
      </c>
      <c r="AY975" s="74">
        <v>0</v>
      </c>
      <c r="AZ975" s="73"/>
      <c r="BA975" s="72">
        <v>30056.222033574955</v>
      </c>
      <c r="BB975" s="72">
        <v>0</v>
      </c>
      <c r="BC975" s="73"/>
      <c r="BD975" s="74">
        <v>-522.36653945760906</v>
      </c>
      <c r="BE975" s="74">
        <v>0</v>
      </c>
      <c r="BF975" s="73"/>
      <c r="BG975" s="72">
        <v>5321510.6138642943</v>
      </c>
      <c r="BH975" s="72">
        <v>0</v>
      </c>
      <c r="BI975" s="73"/>
      <c r="BJ975" s="74">
        <v>-2685.2078680985092</v>
      </c>
      <c r="BK975" s="74">
        <v>0</v>
      </c>
      <c r="BL975" s="73"/>
      <c r="BM975" s="72">
        <v>32960774.334307909</v>
      </c>
      <c r="BN975" s="72">
        <v>0</v>
      </c>
      <c r="BO975" s="73"/>
      <c r="BP975" s="74">
        <v>-7213.6180815691987</v>
      </c>
      <c r="BQ975" s="74">
        <v>0</v>
      </c>
      <c r="BS975" s="109">
        <f t="shared" si="348"/>
        <v>116724.80029004469</v>
      </c>
      <c r="BT975" s="109">
        <f t="shared" si="349"/>
        <v>117106.82643918769</v>
      </c>
      <c r="BV975" s="58">
        <f t="array" ref="BV975">SUM(IF(BS975:BT975&gt;=BS975, 1))</f>
        <v>2</v>
      </c>
      <c r="BW975" s="58">
        <f t="array" ref="BW975">SUM(IF(BS975:BT975&gt;=BT975, 1))</f>
        <v>1</v>
      </c>
      <c r="BY975" s="109">
        <f t="shared" si="350"/>
        <v>132934.07460626418</v>
      </c>
      <c r="BZ975" s="109">
        <f t="shared" si="351"/>
        <v>133245.7791547869</v>
      </c>
      <c r="CB975" s="58">
        <f t="array" ref="CB975">SUM(IF(BY975:BZ975&gt;=BY975, 1))</f>
        <v>2</v>
      </c>
      <c r="CC975" s="58">
        <f t="array" ref="CC975">SUM(IF(BY975:BZ975&gt;=BZ975, 1))</f>
        <v>1</v>
      </c>
      <c r="CE975" s="109">
        <f t="shared" si="352"/>
        <v>94727.959891486389</v>
      </c>
      <c r="CF975" s="109">
        <f t="shared" si="353"/>
        <v>97424.027218193485</v>
      </c>
      <c r="CH975" s="58">
        <f t="array" ref="CH975">SUM(IF(CE975:CF975&gt;=CE975, 1))</f>
        <v>2</v>
      </c>
      <c r="CI975" s="58">
        <f t="array" ref="CI975">SUM(IF(CE975:CF975&gt;=CF975, 1))</f>
        <v>1</v>
      </c>
      <c r="CK975" s="109">
        <f t="shared" si="354"/>
        <v>46123.444421363572</v>
      </c>
      <c r="CL975" s="109">
        <f t="shared" si="355"/>
        <v>47259.891557598516</v>
      </c>
      <c r="CN975" s="58">
        <f t="array" ref="CN975">SUM(IF(CK975:CL975&gt;=CK975, 1))</f>
        <v>2</v>
      </c>
      <c r="CO975" s="58">
        <f t="array" ref="CO975">SUM(IF(CK975:CL975&gt;=CL975, 1))</f>
        <v>1</v>
      </c>
      <c r="CQ975" s="109" cm="1">
        <f t="array" ref="CQ975">AF975*WTP-AC975</f>
        <v>42454.957594852618</v>
      </c>
      <c r="CR975" s="109">
        <f t="shared" si="356"/>
        <v>46113.011127698381</v>
      </c>
      <c r="CT975" s="58">
        <f t="array" ref="CT975">SUM(IF(CQ975:CR975&gt;=CQ975, 1))</f>
        <v>2</v>
      </c>
      <c r="CU975" s="58">
        <f t="array" ref="CU975">SUM(IF(CQ975:CR975&gt;=CR975, 1))</f>
        <v>1</v>
      </c>
      <c r="CW975" s="109">
        <f t="shared" si="357"/>
        <v>-41059369.546171844</v>
      </c>
      <c r="CX975" s="109">
        <f t="shared" si="358"/>
        <v>0</v>
      </c>
      <c r="CZ975" s="58">
        <f t="array" ref="CZ975">SUM(IF(CW975:CX975&gt;=CW975, 1))</f>
        <v>2</v>
      </c>
      <c r="DA975" s="58">
        <f t="array" ref="DA975">SUM(IF(CW975:CX975&gt;=CX975, 1))</f>
        <v>1</v>
      </c>
      <c r="DC975" s="109">
        <f t="shared" si="359"/>
        <v>-2187605.4125970327</v>
      </c>
      <c r="DD975" s="109">
        <f t="shared" si="360"/>
        <v>0</v>
      </c>
      <c r="DF975" s="58">
        <f t="array" ref="DF975">SUM(IF(DC975:DD975&gt;=DC975, 1))</f>
        <v>2</v>
      </c>
      <c r="DG975" s="58">
        <f t="array" ref="DG975">SUM(IF(DC975:DD975&gt;=DD975, 1))</f>
        <v>1</v>
      </c>
      <c r="DI975" s="109">
        <f t="shared" si="361"/>
        <v>-64483106.019902773</v>
      </c>
      <c r="DJ975" s="109">
        <f t="shared" si="362"/>
        <v>0</v>
      </c>
      <c r="DL975" s="58">
        <f t="array" ref="DL975">SUM(IF(DI975:DJ975&gt;=DI975, 1))</f>
        <v>2</v>
      </c>
      <c r="DM975" s="58">
        <f t="array" ref="DM975">SUM(IF(DI975:DJ975&gt;=DJ975, 1))</f>
        <v>1</v>
      </c>
      <c r="DO975" s="109">
        <f t="shared" si="363"/>
        <v>-10477387.011185756</v>
      </c>
      <c r="DP975" s="109">
        <f t="shared" si="364"/>
        <v>0</v>
      </c>
      <c r="DR975" s="58">
        <f t="array" ref="DR975">SUM(IF(DO975:DP975&gt;=DO975, 1))</f>
        <v>2</v>
      </c>
      <c r="DS975" s="58">
        <f t="array" ref="DS975">SUM(IF(DO975:DP975&gt;=DP975, 1))</f>
        <v>1</v>
      </c>
      <c r="DU975" s="109">
        <f t="shared" si="365"/>
        <v>-59025667.975834481</v>
      </c>
      <c r="DV975" s="109">
        <f t="shared" si="366"/>
        <v>0</v>
      </c>
      <c r="DX975" s="58">
        <f t="array" ref="DX975">SUM(IF(DU975:DV975&gt;=DU975, 1))</f>
        <v>2</v>
      </c>
      <c r="DY975" s="58">
        <f t="array" ref="DY975">SUM(IF(DU975:DV975&gt;=DV975, 1))</f>
        <v>1</v>
      </c>
      <c r="EA975" s="109">
        <f t="shared" si="367"/>
        <v>-177233135.96569189</v>
      </c>
      <c r="EB975" s="109">
        <f t="shared" si="368"/>
        <v>0</v>
      </c>
      <c r="ED975" s="58">
        <f t="array" ref="ED975">SUM(IF(EA975:EB975&gt;=EA975, 1))</f>
        <v>2</v>
      </c>
      <c r="EE975" s="58">
        <f t="array" ref="EE975">SUM(IF(EA975:EB975&gt;=EB975, 1))</f>
        <v>1</v>
      </c>
    </row>
    <row r="976" spans="4:135" ht="12" customHeight="1" x14ac:dyDescent="0.25">
      <c r="D976" s="11">
        <v>960</v>
      </c>
      <c r="E976" s="72">
        <v>251.74013929699984</v>
      </c>
      <c r="F976" s="72">
        <v>245.34679243272808</v>
      </c>
      <c r="G976" s="73"/>
      <c r="H976" s="74">
        <v>5.7637504839081828</v>
      </c>
      <c r="I976" s="74">
        <v>5.7807766127645994</v>
      </c>
      <c r="J976" s="73"/>
      <c r="K976" s="72">
        <v>271.2788809681598</v>
      </c>
      <c r="L976" s="72">
        <v>264.67677237249842</v>
      </c>
      <c r="M976" s="73"/>
      <c r="N976" s="74">
        <v>6.6592744466236846</v>
      </c>
      <c r="O976" s="74">
        <v>6.6737168275766123</v>
      </c>
      <c r="P976" s="73"/>
      <c r="Q976" s="72">
        <v>3233.5367930507618</v>
      </c>
      <c r="R976" s="72">
        <v>1462.6878416620748</v>
      </c>
      <c r="S976" s="73"/>
      <c r="T976" s="74">
        <v>4.7225087827476644</v>
      </c>
      <c r="U976" s="74">
        <v>4.8258294235478907</v>
      </c>
      <c r="V976" s="73"/>
      <c r="W976" s="72">
        <v>12980.031366392594</v>
      </c>
      <c r="X976" s="72">
        <v>12971.705633578875</v>
      </c>
      <c r="Y976" s="73"/>
      <c r="Z976" s="74">
        <v>2.9018702345421579</v>
      </c>
      <c r="AA976" s="74">
        <v>2.9323236180990704</v>
      </c>
      <c r="AB976" s="73"/>
      <c r="AC976" s="72">
        <v>49125.131366267342</v>
      </c>
      <c r="AD976" s="72">
        <v>48958.990984207878</v>
      </c>
      <c r="AE976" s="73"/>
      <c r="AF976" s="74">
        <v>4.8813978628885231</v>
      </c>
      <c r="AG976" s="74">
        <v>4.9913579769767082</v>
      </c>
      <c r="AH976" s="73"/>
      <c r="AI976" s="72">
        <v>684825.53433102649</v>
      </c>
      <c r="AJ976" s="72">
        <v>0</v>
      </c>
      <c r="AK976" s="73"/>
      <c r="AL976" s="74">
        <v>-1823.7596112365102</v>
      </c>
      <c r="AM976" s="74">
        <v>0</v>
      </c>
      <c r="AN976" s="73"/>
      <c r="AO976" s="72">
        <v>45547.136409800529</v>
      </c>
      <c r="AP976" s="72">
        <v>0</v>
      </c>
      <c r="AQ976" s="73"/>
      <c r="AR976" s="74">
        <v>-99.636212554514401</v>
      </c>
      <c r="AS976" s="74">
        <v>0</v>
      </c>
      <c r="AT976" s="73"/>
      <c r="AU976" s="72">
        <v>40841234.969911546</v>
      </c>
      <c r="AV976" s="72">
        <v>0</v>
      </c>
      <c r="AW976" s="73"/>
      <c r="AX976" s="74">
        <v>-2382.8924340807157</v>
      </c>
      <c r="AY976" s="74">
        <v>0</v>
      </c>
      <c r="AZ976" s="73"/>
      <c r="BA976" s="72">
        <v>77455.82371459619</v>
      </c>
      <c r="BB976" s="72">
        <v>0</v>
      </c>
      <c r="BC976" s="73"/>
      <c r="BD976" s="74">
        <v>-283.31342850811666</v>
      </c>
      <c r="BE976" s="74">
        <v>0</v>
      </c>
      <c r="BF976" s="73"/>
      <c r="BG976" s="72">
        <v>2627091.6616201554</v>
      </c>
      <c r="BH976" s="72">
        <v>0</v>
      </c>
      <c r="BI976" s="73"/>
      <c r="BJ976" s="74">
        <v>-1738.7422326287863</v>
      </c>
      <c r="BK976" s="74">
        <v>0</v>
      </c>
      <c r="BL976" s="73"/>
      <c r="BM976" s="72">
        <v>44276155.125987127</v>
      </c>
      <c r="BN976" s="72">
        <v>0</v>
      </c>
      <c r="BO976" s="73"/>
      <c r="BP976" s="74">
        <v>-6328.3439190086428</v>
      </c>
      <c r="BQ976" s="74">
        <v>0</v>
      </c>
      <c r="BS976" s="109">
        <f t="shared" si="348"/>
        <v>115023.26953886665</v>
      </c>
      <c r="BT976" s="109">
        <f t="shared" si="349"/>
        <v>115370.18546285926</v>
      </c>
      <c r="BV976" s="58">
        <f t="array" ref="BV976">SUM(IF(BS976:BT976&gt;=BS976, 1))</f>
        <v>2</v>
      </c>
      <c r="BW976" s="58">
        <f t="array" ref="BW976">SUM(IF(BS976:BT976&gt;=BT976, 1))</f>
        <v>1</v>
      </c>
      <c r="BY976" s="109">
        <f t="shared" si="350"/>
        <v>132914.21005150554</v>
      </c>
      <c r="BZ976" s="109">
        <f t="shared" si="351"/>
        <v>133209.65977915973</v>
      </c>
      <c r="CB976" s="58">
        <f t="array" ref="CB976">SUM(IF(BY976:BZ976&gt;=BY976, 1))</f>
        <v>2</v>
      </c>
      <c r="CC976" s="58">
        <f t="array" ref="CC976">SUM(IF(BY976:BZ976&gt;=BZ976, 1))</f>
        <v>1</v>
      </c>
      <c r="CE976" s="109">
        <f t="shared" si="352"/>
        <v>91216.638861902524</v>
      </c>
      <c r="CF976" s="109">
        <f t="shared" si="353"/>
        <v>95053.900629295735</v>
      </c>
      <c r="CH976" s="58">
        <f t="array" ref="CH976">SUM(IF(CE976:CF976&gt;=CE976, 1))</f>
        <v>2</v>
      </c>
      <c r="CI976" s="58">
        <f t="array" ref="CI976">SUM(IF(CE976:CF976&gt;=CF976, 1))</f>
        <v>1</v>
      </c>
      <c r="CK976" s="109">
        <f t="shared" si="354"/>
        <v>45057.373324450564</v>
      </c>
      <c r="CL976" s="109">
        <f t="shared" si="355"/>
        <v>45674.766728402537</v>
      </c>
      <c r="CN976" s="58">
        <f t="array" ref="CN976">SUM(IF(CK976:CL976&gt;=CK976, 1))</f>
        <v>2</v>
      </c>
      <c r="CO976" s="58">
        <f t="array" ref="CO976">SUM(IF(CK976:CL976&gt;=CL976, 1))</f>
        <v>1</v>
      </c>
      <c r="CQ976" s="109" cm="1">
        <f t="array" ref="CQ976">AF976*WTP-AC976</f>
        <v>48502.825891503126</v>
      </c>
      <c r="CR976" s="109">
        <f t="shared" si="356"/>
        <v>50868.168555326294</v>
      </c>
      <c r="CT976" s="58">
        <f t="array" ref="CT976">SUM(IF(CQ976:CR976&gt;=CQ976, 1))</f>
        <v>2</v>
      </c>
      <c r="CU976" s="58">
        <f t="array" ref="CU976">SUM(IF(CQ976:CR976&gt;=CR976, 1))</f>
        <v>1</v>
      </c>
      <c r="CW976" s="109">
        <f t="shared" si="357"/>
        <v>-37160017.759061225</v>
      </c>
      <c r="CX976" s="109">
        <f t="shared" si="358"/>
        <v>0</v>
      </c>
      <c r="CZ976" s="58">
        <f t="array" ref="CZ976">SUM(IF(CW976:CX976&gt;=CW976, 1))</f>
        <v>2</v>
      </c>
      <c r="DA976" s="58">
        <f t="array" ref="DA976">SUM(IF(CW976:CX976&gt;=CX976, 1))</f>
        <v>1</v>
      </c>
      <c r="DC976" s="109">
        <f t="shared" si="359"/>
        <v>-2038271.3875000884</v>
      </c>
      <c r="DD976" s="109">
        <f t="shared" si="360"/>
        <v>0</v>
      </c>
      <c r="DF976" s="58">
        <f t="array" ref="DF976">SUM(IF(DC976:DD976&gt;=DC976, 1))</f>
        <v>2</v>
      </c>
      <c r="DG976" s="58">
        <f t="array" ref="DG976">SUM(IF(DC976:DD976&gt;=DD976, 1))</f>
        <v>1</v>
      </c>
      <c r="DI976" s="109">
        <f t="shared" si="361"/>
        <v>-88499083.651525855</v>
      </c>
      <c r="DJ976" s="109">
        <f t="shared" si="362"/>
        <v>0</v>
      </c>
      <c r="DL976" s="58">
        <f t="array" ref="DL976">SUM(IF(DI976:DJ976&gt;=DI976, 1))</f>
        <v>2</v>
      </c>
      <c r="DM976" s="58">
        <f t="array" ref="DM976">SUM(IF(DI976:DJ976&gt;=DJ976, 1))</f>
        <v>1</v>
      </c>
      <c r="DO976" s="109">
        <f t="shared" si="363"/>
        <v>-5743724.3938769298</v>
      </c>
      <c r="DP976" s="109">
        <f t="shared" si="364"/>
        <v>0</v>
      </c>
      <c r="DR976" s="58">
        <f t="array" ref="DR976">SUM(IF(DO976:DP976&gt;=DO976, 1))</f>
        <v>2</v>
      </c>
      <c r="DS976" s="58">
        <f t="array" ref="DS976">SUM(IF(DO976:DP976&gt;=DP976, 1))</f>
        <v>1</v>
      </c>
      <c r="DU976" s="109">
        <f t="shared" si="365"/>
        <v>-37401936.314195879</v>
      </c>
      <c r="DV976" s="109">
        <f t="shared" si="366"/>
        <v>0</v>
      </c>
      <c r="DX976" s="58">
        <f t="array" ref="DX976">SUM(IF(DU976:DV976&gt;=DU976, 1))</f>
        <v>2</v>
      </c>
      <c r="DY976" s="58">
        <f t="array" ref="DY976">SUM(IF(DU976:DV976&gt;=DV976, 1))</f>
        <v>1</v>
      </c>
      <c r="EA976" s="109">
        <f t="shared" si="367"/>
        <v>-170843033.50615999</v>
      </c>
      <c r="EB976" s="109">
        <f t="shared" si="368"/>
        <v>0</v>
      </c>
      <c r="ED976" s="58">
        <f t="array" ref="ED976">SUM(IF(EA976:EB976&gt;=EA976, 1))</f>
        <v>2</v>
      </c>
      <c r="EE976" s="58">
        <f t="array" ref="EE976">SUM(IF(EA976:EB976&gt;=EB976, 1))</f>
        <v>1</v>
      </c>
    </row>
    <row r="977" spans="4:135" ht="12" customHeight="1" x14ac:dyDescent="0.25">
      <c r="D977" s="11">
        <v>961</v>
      </c>
      <c r="E977" s="72">
        <v>276.38116343379681</v>
      </c>
      <c r="F977" s="72">
        <v>247.11632447927457</v>
      </c>
      <c r="G977" s="73"/>
      <c r="H977" s="74">
        <v>5.8521493230156816</v>
      </c>
      <c r="I977" s="74">
        <v>5.8702854694201418</v>
      </c>
      <c r="J977" s="73"/>
      <c r="K977" s="72">
        <v>296.38052781112987</v>
      </c>
      <c r="L977" s="72">
        <v>266.39610327342467</v>
      </c>
      <c r="M977" s="73"/>
      <c r="N977" s="74">
        <v>6.7653366372761239</v>
      </c>
      <c r="O977" s="74">
        <v>6.780924116519631</v>
      </c>
      <c r="P977" s="73"/>
      <c r="Q977" s="72">
        <v>1591.1116245966261</v>
      </c>
      <c r="R977" s="72">
        <v>1054.8041746365036</v>
      </c>
      <c r="S977" s="73"/>
      <c r="T977" s="74">
        <v>4.762531130457142</v>
      </c>
      <c r="U977" s="74">
        <v>4.8858973900544216</v>
      </c>
      <c r="V977" s="73"/>
      <c r="W977" s="72">
        <v>12634.841292845847</v>
      </c>
      <c r="X977" s="72">
        <v>12616.014091570773</v>
      </c>
      <c r="Y977" s="73"/>
      <c r="Z977" s="74">
        <v>2.9265117354825887</v>
      </c>
      <c r="AA977" s="74">
        <v>2.9747066092220846</v>
      </c>
      <c r="AB977" s="73"/>
      <c r="AC977" s="72">
        <v>50722.511101529075</v>
      </c>
      <c r="AD977" s="72">
        <v>50327.245499878532</v>
      </c>
      <c r="AE977" s="73"/>
      <c r="AF977" s="74">
        <v>4.5669126917602556</v>
      </c>
      <c r="AG977" s="74">
        <v>4.7191723200286644</v>
      </c>
      <c r="AH977" s="73"/>
      <c r="AI977" s="72">
        <v>3173839.5622110632</v>
      </c>
      <c r="AJ977" s="72">
        <v>0</v>
      </c>
      <c r="AK977" s="73"/>
      <c r="AL977" s="74">
        <v>-1966.9070810189123</v>
      </c>
      <c r="AM977" s="74">
        <v>0</v>
      </c>
      <c r="AN977" s="73"/>
      <c r="AO977" s="72">
        <v>202805.45609243392</v>
      </c>
      <c r="AP977" s="72">
        <v>0</v>
      </c>
      <c r="AQ977" s="73"/>
      <c r="AR977" s="74">
        <v>-105.42893138854774</v>
      </c>
      <c r="AS977" s="74">
        <v>0</v>
      </c>
      <c r="AT977" s="73"/>
      <c r="AU977" s="72">
        <v>12467919.096484771</v>
      </c>
      <c r="AV977" s="72">
        <v>0</v>
      </c>
      <c r="AW977" s="73"/>
      <c r="AX977" s="74">
        <v>-2867.9828035377604</v>
      </c>
      <c r="AY977" s="74">
        <v>0</v>
      </c>
      <c r="AZ977" s="73"/>
      <c r="BA977" s="72">
        <v>177670.31224707884</v>
      </c>
      <c r="BB977" s="72">
        <v>0</v>
      </c>
      <c r="BC977" s="73"/>
      <c r="BD977" s="74">
        <v>-454.80993913529574</v>
      </c>
      <c r="BE977" s="74">
        <v>0</v>
      </c>
      <c r="BF977" s="73"/>
      <c r="BG977" s="72">
        <v>6262651.2701955</v>
      </c>
      <c r="BH977" s="72">
        <v>0</v>
      </c>
      <c r="BI977" s="73"/>
      <c r="BJ977" s="74">
        <v>-2412.4258483228327</v>
      </c>
      <c r="BK977" s="74">
        <v>0</v>
      </c>
      <c r="BL977" s="73"/>
      <c r="BM977" s="72">
        <v>22284885.697230846</v>
      </c>
      <c r="BN977" s="72">
        <v>0</v>
      </c>
      <c r="BO977" s="73"/>
      <c r="BP977" s="74">
        <v>-7807.5546034033487</v>
      </c>
      <c r="BQ977" s="74">
        <v>0</v>
      </c>
      <c r="BS977" s="109">
        <f t="shared" si="348"/>
        <v>116766.60529687985</v>
      </c>
      <c r="BT977" s="109">
        <f t="shared" si="349"/>
        <v>117158.59306392357</v>
      </c>
      <c r="BV977" s="58">
        <f t="array" ref="BV977">SUM(IF(BS977:BT977&gt;=BS977, 1))</f>
        <v>2</v>
      </c>
      <c r="BW977" s="58">
        <f t="array" ref="BW977">SUM(IF(BS977:BT977&gt;=BT977, 1))</f>
        <v>1</v>
      </c>
      <c r="BY977" s="109">
        <f t="shared" si="350"/>
        <v>135010.35221771136</v>
      </c>
      <c r="BZ977" s="109">
        <f t="shared" si="351"/>
        <v>135352.08622711917</v>
      </c>
      <c r="CB977" s="58">
        <f t="array" ref="CB977">SUM(IF(BY977:BZ977&gt;=BY977, 1))</f>
        <v>2</v>
      </c>
      <c r="CC977" s="58">
        <f t="array" ref="CC977">SUM(IF(BY977:BZ977&gt;=BZ977, 1))</f>
        <v>1</v>
      </c>
      <c r="CE977" s="109">
        <f t="shared" si="352"/>
        <v>93659.510984546214</v>
      </c>
      <c r="CF977" s="109">
        <f t="shared" si="353"/>
        <v>96663.143626451929</v>
      </c>
      <c r="CH977" s="58">
        <f t="array" ref="CH977">SUM(IF(CE977:CF977&gt;=CE977, 1))</f>
        <v>2</v>
      </c>
      <c r="CI977" s="58">
        <f t="array" ref="CI977">SUM(IF(CE977:CF977&gt;=CF977, 1))</f>
        <v>1</v>
      </c>
      <c r="CK977" s="109">
        <f t="shared" si="354"/>
        <v>45895.393416805928</v>
      </c>
      <c r="CL977" s="109">
        <f t="shared" si="355"/>
        <v>46878.118092870922</v>
      </c>
      <c r="CN977" s="58">
        <f t="array" ref="CN977">SUM(IF(CK977:CL977&gt;=CK977, 1))</f>
        <v>2</v>
      </c>
      <c r="CO977" s="58">
        <f t="array" ref="CO977">SUM(IF(CK977:CL977&gt;=CL977, 1))</f>
        <v>1</v>
      </c>
      <c r="CQ977" s="109" cm="1">
        <f t="array" ref="CQ977">AF977*WTP-AC977</f>
        <v>40615.74273367603</v>
      </c>
      <c r="CR977" s="109">
        <f t="shared" si="356"/>
        <v>44056.200900694756</v>
      </c>
      <c r="CT977" s="58">
        <f t="array" ref="CT977">SUM(IF(CQ977:CR977&gt;=CQ977, 1))</f>
        <v>2</v>
      </c>
      <c r="CU977" s="58">
        <f t="array" ref="CU977">SUM(IF(CQ977:CR977&gt;=CR977, 1))</f>
        <v>1</v>
      </c>
      <c r="CW977" s="109">
        <f t="shared" si="357"/>
        <v>-42511981.182589315</v>
      </c>
      <c r="CX977" s="109">
        <f t="shared" si="358"/>
        <v>0</v>
      </c>
      <c r="CZ977" s="58">
        <f t="array" ref="CZ977">SUM(IF(CW977:CX977&gt;=CW977, 1))</f>
        <v>2</v>
      </c>
      <c r="DA977" s="58">
        <f t="array" ref="DA977">SUM(IF(CW977:CX977&gt;=CX977, 1))</f>
        <v>1</v>
      </c>
      <c r="DC977" s="109">
        <f t="shared" si="359"/>
        <v>-2311384.0838633887</v>
      </c>
      <c r="DD977" s="109">
        <f t="shared" si="360"/>
        <v>0</v>
      </c>
      <c r="DF977" s="58">
        <f t="array" ref="DF977">SUM(IF(DC977:DD977&gt;=DC977, 1))</f>
        <v>2</v>
      </c>
      <c r="DG977" s="58">
        <f t="array" ref="DG977">SUM(IF(DC977:DD977&gt;=DD977, 1))</f>
        <v>1</v>
      </c>
      <c r="DI977" s="109">
        <f t="shared" si="361"/>
        <v>-69827575.167239979</v>
      </c>
      <c r="DJ977" s="109">
        <f t="shared" si="362"/>
        <v>0</v>
      </c>
      <c r="DL977" s="58">
        <f t="array" ref="DL977">SUM(IF(DI977:DJ977&gt;=DI977, 1))</f>
        <v>2</v>
      </c>
      <c r="DM977" s="58">
        <f t="array" ref="DM977">SUM(IF(DI977:DJ977&gt;=DJ977, 1))</f>
        <v>1</v>
      </c>
      <c r="DO977" s="109">
        <f t="shared" si="363"/>
        <v>-9273869.0949529931</v>
      </c>
      <c r="DP977" s="109">
        <f t="shared" si="364"/>
        <v>0</v>
      </c>
      <c r="DR977" s="58">
        <f t="array" ref="DR977">SUM(IF(DO977:DP977&gt;=DO977, 1))</f>
        <v>2</v>
      </c>
      <c r="DS977" s="58">
        <f t="array" ref="DS977">SUM(IF(DO977:DP977&gt;=DP977, 1))</f>
        <v>1</v>
      </c>
      <c r="DU977" s="109">
        <f t="shared" si="365"/>
        <v>-54511168.236652151</v>
      </c>
      <c r="DV977" s="109">
        <f t="shared" si="366"/>
        <v>0</v>
      </c>
      <c r="DX977" s="58">
        <f t="array" ref="DX977">SUM(IF(DU977:DV977&gt;=DU977, 1))</f>
        <v>2</v>
      </c>
      <c r="DY977" s="58">
        <f t="array" ref="DY977">SUM(IF(DU977:DV977&gt;=DV977, 1))</f>
        <v>1</v>
      </c>
      <c r="EA977" s="109">
        <f t="shared" si="367"/>
        <v>-178435977.76529783</v>
      </c>
      <c r="EB977" s="109">
        <f t="shared" si="368"/>
        <v>0</v>
      </c>
      <c r="ED977" s="58">
        <f t="array" ref="ED977">SUM(IF(EA977:EB977&gt;=EA977, 1))</f>
        <v>2</v>
      </c>
      <c r="EE977" s="58">
        <f t="array" ref="EE977">SUM(IF(EA977:EB977&gt;=EB977, 1))</f>
        <v>1</v>
      </c>
    </row>
    <row r="978" spans="4:135" ht="12" customHeight="1" x14ac:dyDescent="0.25">
      <c r="D978" s="11">
        <v>962</v>
      </c>
      <c r="E978" s="72">
        <v>245.5563216682547</v>
      </c>
      <c r="F978" s="72">
        <v>217.37585617121815</v>
      </c>
      <c r="G978" s="73"/>
      <c r="H978" s="74">
        <v>5.810392723144207</v>
      </c>
      <c r="I978" s="74">
        <v>5.8245319911447107</v>
      </c>
      <c r="J978" s="73"/>
      <c r="K978" s="72">
        <v>263.13811336454677</v>
      </c>
      <c r="L978" s="72">
        <v>234.2788250064001</v>
      </c>
      <c r="M978" s="73"/>
      <c r="N978" s="74">
        <v>6.7321668415659159</v>
      </c>
      <c r="O978" s="74">
        <v>6.7439096036582775</v>
      </c>
      <c r="P978" s="73"/>
      <c r="Q978" s="72">
        <v>2263.3567405017311</v>
      </c>
      <c r="R978" s="72">
        <v>1533.4230487354901</v>
      </c>
      <c r="S978" s="73"/>
      <c r="T978" s="74">
        <v>4.8733411198826309</v>
      </c>
      <c r="U978" s="74">
        <v>4.9362404576697045</v>
      </c>
      <c r="V978" s="73"/>
      <c r="W978" s="72">
        <v>14213.716950298309</v>
      </c>
      <c r="X978" s="72">
        <v>14243.768689007231</v>
      </c>
      <c r="Y978" s="73"/>
      <c r="Z978" s="74">
        <v>3.0074178271823766</v>
      </c>
      <c r="AA978" s="74">
        <v>3.0637843183115678</v>
      </c>
      <c r="AB978" s="73"/>
      <c r="AC978" s="72">
        <v>51371.072851177953</v>
      </c>
      <c r="AD978" s="72">
        <v>51126.522152554127</v>
      </c>
      <c r="AE978" s="73"/>
      <c r="AF978" s="74">
        <v>4.6764450362692083</v>
      </c>
      <c r="AG978" s="74">
        <v>4.7697710503254038</v>
      </c>
      <c r="AH978" s="73"/>
      <c r="AI978" s="72">
        <v>3001569.404182957</v>
      </c>
      <c r="AJ978" s="72">
        <v>0</v>
      </c>
      <c r="AK978" s="73"/>
      <c r="AL978" s="74">
        <v>-1506.007565145366</v>
      </c>
      <c r="AM978" s="74">
        <v>0</v>
      </c>
      <c r="AN978" s="73"/>
      <c r="AO978" s="72">
        <v>201280.64623197133</v>
      </c>
      <c r="AP978" s="72">
        <v>0</v>
      </c>
      <c r="AQ978" s="73"/>
      <c r="AR978" s="74">
        <v>-81.900520663102839</v>
      </c>
      <c r="AS978" s="74">
        <v>0</v>
      </c>
      <c r="AT978" s="73"/>
      <c r="AU978" s="72">
        <v>16901938.109379809</v>
      </c>
      <c r="AV978" s="72">
        <v>0</v>
      </c>
      <c r="AW978" s="73"/>
      <c r="AX978" s="74">
        <v>-1456.4620408541921</v>
      </c>
      <c r="AY978" s="74">
        <v>0</v>
      </c>
      <c r="AZ978" s="73"/>
      <c r="BA978" s="72">
        <v>-262060.46511821481</v>
      </c>
      <c r="BB978" s="72">
        <v>0</v>
      </c>
      <c r="BC978" s="73"/>
      <c r="BD978" s="74">
        <v>-491.5332528833701</v>
      </c>
      <c r="BE978" s="74">
        <v>0</v>
      </c>
      <c r="BF978" s="73"/>
      <c r="BG978" s="72">
        <v>3887959.3936990937</v>
      </c>
      <c r="BH978" s="72">
        <v>0</v>
      </c>
      <c r="BI978" s="73"/>
      <c r="BJ978" s="74">
        <v>-1483.7322284015306</v>
      </c>
      <c r="BK978" s="74">
        <v>0</v>
      </c>
      <c r="BL978" s="73"/>
      <c r="BM978" s="72">
        <v>23730687.088375617</v>
      </c>
      <c r="BN978" s="72">
        <v>0</v>
      </c>
      <c r="BO978" s="73"/>
      <c r="BP978" s="74">
        <v>-5019.6356079475618</v>
      </c>
      <c r="BQ978" s="74">
        <v>0</v>
      </c>
      <c r="BS978" s="109">
        <f t="shared" ref="BS978:BS1016" si="369">H978*WTP-E978</f>
        <v>115962.29814121588</v>
      </c>
      <c r="BT978" s="109">
        <f t="shared" ref="BT978:BT1016" si="370">I978*WTP-F978</f>
        <v>116273.263966723</v>
      </c>
      <c r="BV978" s="58">
        <f t="array" ref="BV978">SUM(IF(BS978:BT978&gt;=BS978, 1))</f>
        <v>2</v>
      </c>
      <c r="BW978" s="58">
        <f t="array" ref="BW978">SUM(IF(BS978:BT978&gt;=BT978, 1))</f>
        <v>1</v>
      </c>
      <c r="BY978" s="109">
        <f t="shared" ref="BY978:BY1016" si="371">N978*WTP-K978</f>
        <v>134380.19871795378</v>
      </c>
      <c r="BZ978" s="109">
        <f t="shared" ref="BZ978:BZ1016" si="372">O978*WTP-L978</f>
        <v>134643.91324815917</v>
      </c>
      <c r="CB978" s="58">
        <f t="array" ref="CB978">SUM(IF(BY978:BZ978&gt;=BY978, 1))</f>
        <v>2</v>
      </c>
      <c r="CC978" s="58">
        <f t="array" ref="CC978">SUM(IF(BY978:BZ978&gt;=BZ978, 1))</f>
        <v>1</v>
      </c>
      <c r="CE978" s="109">
        <f t="shared" ref="CE978:CE1016" si="373">T978*WTP-Q978</f>
        <v>95203.465657150897</v>
      </c>
      <c r="CF978" s="109">
        <f t="shared" ref="CF978:CF1016" si="374">U978*WTP-R978</f>
        <v>97191.386104658595</v>
      </c>
      <c r="CH978" s="58">
        <f t="array" ref="CH978">SUM(IF(CE978:CF978&gt;=CE978, 1))</f>
        <v>2</v>
      </c>
      <c r="CI978" s="58">
        <f t="array" ref="CI978">SUM(IF(CE978:CF978&gt;=CF978, 1))</f>
        <v>1</v>
      </c>
      <c r="CK978" s="109">
        <f t="shared" ref="CK978:CK1016" si="375">Z978*WTP-W978</f>
        <v>45934.639593349224</v>
      </c>
      <c r="CL978" s="109">
        <f t="shared" ref="CL978:CL1016" si="376">AA978*WTP-X978</f>
        <v>47031.917677224126</v>
      </c>
      <c r="CN978" s="58">
        <f t="array" ref="CN978">SUM(IF(CK978:CL978&gt;=CK978, 1))</f>
        <v>2</v>
      </c>
      <c r="CO978" s="58">
        <f t="array" ref="CO978">SUM(IF(CK978:CL978&gt;=CL978, 1))</f>
        <v>1</v>
      </c>
      <c r="CQ978" s="109" cm="1">
        <f t="array" ref="CQ978">AF978*WTP-AC978</f>
        <v>42157.827874206218</v>
      </c>
      <c r="CR978" s="109">
        <f t="shared" ref="CR978:CR1016" si="377">AG978*WTP-AD978</f>
        <v>44268.898853953942</v>
      </c>
      <c r="CT978" s="58">
        <f t="array" ref="CT978">SUM(IF(CQ978:CR978&gt;=CQ978, 1))</f>
        <v>2</v>
      </c>
      <c r="CU978" s="58">
        <f t="array" ref="CU978">SUM(IF(CQ978:CR978&gt;=CR978, 1))</f>
        <v>1</v>
      </c>
      <c r="CW978" s="109">
        <f t="shared" ref="CW978:CW1016" si="378">AL978*WTP-AI978</f>
        <v>-33121720.707090277</v>
      </c>
      <c r="CX978" s="109">
        <f t="shared" ref="CX978:CX1016" si="379">AM978*WTP-AJ978</f>
        <v>0</v>
      </c>
      <c r="CZ978" s="58">
        <f t="array" ref="CZ978">SUM(IF(CW978:CX978&gt;=CW978, 1))</f>
        <v>2</v>
      </c>
      <c r="DA978" s="58">
        <f t="array" ref="DA978">SUM(IF(CW978:CX978&gt;=CX978, 1))</f>
        <v>1</v>
      </c>
      <c r="DC978" s="109">
        <f t="shared" ref="DC978:DC1016" si="380">AR978*WTP-AO978</f>
        <v>-1839291.0594940283</v>
      </c>
      <c r="DD978" s="109">
        <f t="shared" ref="DD978:DD1016" si="381">AS978*WTP-AP978</f>
        <v>0</v>
      </c>
      <c r="DF978" s="58">
        <f t="array" ref="DF978">SUM(IF(DC978:DD978&gt;=DC978, 1))</f>
        <v>2</v>
      </c>
      <c r="DG978" s="58">
        <f t="array" ref="DG978">SUM(IF(DC978:DD978&gt;=DD978, 1))</f>
        <v>1</v>
      </c>
      <c r="DI978" s="109">
        <f t="shared" ref="DI978:DI1016" si="382">AX978*WTP-AU978</f>
        <v>-46031178.926463649</v>
      </c>
      <c r="DJ978" s="109">
        <f t="shared" ref="DJ978:DJ1016" si="383">AY978*WTP-AV978</f>
        <v>0</v>
      </c>
      <c r="DL978" s="58">
        <f t="array" ref="DL978">SUM(IF(DI978:DJ978&gt;=DI978, 1))</f>
        <v>2</v>
      </c>
      <c r="DM978" s="58">
        <f t="array" ref="DM978">SUM(IF(DI978:DJ978&gt;=DJ978, 1))</f>
        <v>1</v>
      </c>
      <c r="DO978" s="109">
        <f t="shared" ref="DO978:DO1016" si="384">BD978*WTP-BA978</f>
        <v>-9568604.5925491881</v>
      </c>
      <c r="DP978" s="109">
        <f t="shared" ref="DP978:DP1016" si="385">BE978*WTP-BB978</f>
        <v>0</v>
      </c>
      <c r="DR978" s="58">
        <f t="array" ref="DR978">SUM(IF(DO978:DP978&gt;=DO978, 1))</f>
        <v>2</v>
      </c>
      <c r="DS978" s="58">
        <f t="array" ref="DS978">SUM(IF(DO978:DP978&gt;=DP978, 1))</f>
        <v>1</v>
      </c>
      <c r="DU978" s="109">
        <f t="shared" ref="DU978:DU1016" si="386">BJ978*WTP-BG978</f>
        <v>-33562603.961729705</v>
      </c>
      <c r="DV978" s="109">
        <f t="shared" ref="DV978:DV1016" si="387">BK978*WTP-BH978</f>
        <v>0</v>
      </c>
      <c r="DX978" s="58">
        <f t="array" ref="DX978">SUM(IF(DU978:DV978&gt;=DU978, 1))</f>
        <v>2</v>
      </c>
      <c r="DY978" s="58">
        <f t="array" ref="DY978">SUM(IF(DU978:DV978&gt;=DV978, 1))</f>
        <v>1</v>
      </c>
      <c r="EA978" s="109">
        <f t="shared" ref="EA978:EA1016" si="388">BP978*WTP-BM978</f>
        <v>-124123399.24732685</v>
      </c>
      <c r="EB978" s="109">
        <f t="shared" ref="EB978:EB1016" si="389">BQ978*WTP-BN978</f>
        <v>0</v>
      </c>
      <c r="ED978" s="58">
        <f t="array" ref="ED978">SUM(IF(EA978:EB978&gt;=EA978, 1))</f>
        <v>2</v>
      </c>
      <c r="EE978" s="58">
        <f t="array" ref="EE978">SUM(IF(EA978:EB978&gt;=EB978, 1))</f>
        <v>1</v>
      </c>
    </row>
    <row r="979" spans="4:135" ht="12" customHeight="1" x14ac:dyDescent="0.25">
      <c r="D979" s="11">
        <v>963</v>
      </c>
      <c r="E979" s="72">
        <v>304.21665061188151</v>
      </c>
      <c r="F979" s="72">
        <v>259.60729823087576</v>
      </c>
      <c r="G979" s="73"/>
      <c r="H979" s="74">
        <v>5.8148130358629846</v>
      </c>
      <c r="I979" s="74">
        <v>5.83584028092206</v>
      </c>
      <c r="J979" s="73"/>
      <c r="K979" s="72">
        <v>325.58645506902837</v>
      </c>
      <c r="L979" s="72">
        <v>279.89540470373117</v>
      </c>
      <c r="M979" s="73"/>
      <c r="N979" s="74">
        <v>6.7439197920650331</v>
      </c>
      <c r="O979" s="74">
        <v>6.7617589305558345</v>
      </c>
      <c r="P979" s="73"/>
      <c r="Q979" s="72">
        <v>3393.5945213198906</v>
      </c>
      <c r="R979" s="72">
        <v>1346.8412715655488</v>
      </c>
      <c r="S979" s="73"/>
      <c r="T979" s="74">
        <v>4.6752718331145902</v>
      </c>
      <c r="U979" s="74">
        <v>4.8498939811567237</v>
      </c>
      <c r="V979" s="73"/>
      <c r="W979" s="72">
        <v>14781.384220545884</v>
      </c>
      <c r="X979" s="72">
        <v>14797.192457946801</v>
      </c>
      <c r="Y979" s="73"/>
      <c r="Z979" s="74">
        <v>3.0355967379441133</v>
      </c>
      <c r="AA979" s="74">
        <v>3.0779088001771395</v>
      </c>
      <c r="AB979" s="73"/>
      <c r="AC979" s="72">
        <v>51191.638415285583</v>
      </c>
      <c r="AD979" s="72">
        <v>50398.340544057799</v>
      </c>
      <c r="AE979" s="73"/>
      <c r="AF979" s="74">
        <v>4.8893252972336514</v>
      </c>
      <c r="AG979" s="74">
        <v>5.0599646805017207</v>
      </c>
      <c r="AH979" s="73"/>
      <c r="AI979" s="72">
        <v>4834588.0060065277</v>
      </c>
      <c r="AJ979" s="72">
        <v>0</v>
      </c>
      <c r="AK979" s="73"/>
      <c r="AL979" s="74">
        <v>-2278.8509883243887</v>
      </c>
      <c r="AM979" s="74">
        <v>0</v>
      </c>
      <c r="AN979" s="73"/>
      <c r="AO979" s="72">
        <v>300391.84077139519</v>
      </c>
      <c r="AP979" s="72">
        <v>0</v>
      </c>
      <c r="AQ979" s="73"/>
      <c r="AR979" s="74">
        <v>-117.28186605877855</v>
      </c>
      <c r="AS979" s="74">
        <v>0</v>
      </c>
      <c r="AT979" s="73"/>
      <c r="AU979" s="72">
        <v>47413603.042057261</v>
      </c>
      <c r="AV979" s="72">
        <v>0</v>
      </c>
      <c r="AW979" s="73"/>
      <c r="AX979" s="74">
        <v>-4045.1701789723816</v>
      </c>
      <c r="AY979" s="74">
        <v>0</v>
      </c>
      <c r="AZ979" s="73"/>
      <c r="BA979" s="72">
        <v>-138445.60649228131</v>
      </c>
      <c r="BB979" s="72">
        <v>0</v>
      </c>
      <c r="BC979" s="73"/>
      <c r="BD979" s="74">
        <v>-370.56118080884551</v>
      </c>
      <c r="BE979" s="74">
        <v>0</v>
      </c>
      <c r="BF979" s="73"/>
      <c r="BG979" s="72">
        <v>12649190.312351087</v>
      </c>
      <c r="BH979" s="72">
        <v>0</v>
      </c>
      <c r="BI979" s="73"/>
      <c r="BJ979" s="74">
        <v>-2720.8569593151719</v>
      </c>
      <c r="BK979" s="74">
        <v>0</v>
      </c>
      <c r="BL979" s="73"/>
      <c r="BM979" s="72">
        <v>65059327.594693989</v>
      </c>
      <c r="BN979" s="72">
        <v>0</v>
      </c>
      <c r="BO979" s="73"/>
      <c r="BP979" s="74">
        <v>-9532.7211734795656</v>
      </c>
      <c r="BQ979" s="74">
        <v>0</v>
      </c>
      <c r="BS979" s="109">
        <f t="shared" si="369"/>
        <v>115992.04406664781</v>
      </c>
      <c r="BT979" s="109">
        <f t="shared" si="370"/>
        <v>116457.19832021033</v>
      </c>
      <c r="BV979" s="58">
        <f t="array" ref="BV979">SUM(IF(BS979:BT979&gt;=BS979, 1))</f>
        <v>2</v>
      </c>
      <c r="BW979" s="58">
        <f t="array" ref="BW979">SUM(IF(BS979:BT979&gt;=BT979, 1))</f>
        <v>1</v>
      </c>
      <c r="BY979" s="109">
        <f t="shared" si="371"/>
        <v>134552.80938623165</v>
      </c>
      <c r="BZ979" s="109">
        <f t="shared" si="372"/>
        <v>134955.28320641295</v>
      </c>
      <c r="CB979" s="58">
        <f t="array" ref="CB979">SUM(IF(BY979:BZ979&gt;=BY979, 1))</f>
        <v>2</v>
      </c>
      <c r="CC979" s="58">
        <f t="array" ref="CC979">SUM(IF(BY979:BZ979&gt;=BZ979, 1))</f>
        <v>1</v>
      </c>
      <c r="CE979" s="109">
        <f t="shared" si="373"/>
        <v>90111.842140971916</v>
      </c>
      <c r="CF979" s="109">
        <f t="shared" si="374"/>
        <v>95651.038351568932</v>
      </c>
      <c r="CH979" s="58">
        <f t="array" ref="CH979">SUM(IF(CE979:CF979&gt;=CE979, 1))</f>
        <v>2</v>
      </c>
      <c r="CI979" s="58">
        <f t="array" ref="CI979">SUM(IF(CE979:CF979&gt;=CF979, 1))</f>
        <v>1</v>
      </c>
      <c r="CK979" s="109">
        <f t="shared" si="375"/>
        <v>45930.550538336378</v>
      </c>
      <c r="CL979" s="109">
        <f t="shared" si="376"/>
        <v>46760.983545595984</v>
      </c>
      <c r="CN979" s="58">
        <f t="array" ref="CN979">SUM(IF(CK979:CL979&gt;=CK979, 1))</f>
        <v>2</v>
      </c>
      <c r="CO979" s="58">
        <f t="array" ref="CO979">SUM(IF(CK979:CL979&gt;=CL979, 1))</f>
        <v>1</v>
      </c>
      <c r="CQ979" s="109" cm="1">
        <f t="array" ref="CQ979">AF979*WTP-AC979</f>
        <v>46594.867529387448</v>
      </c>
      <c r="CR979" s="109">
        <f t="shared" si="377"/>
        <v>50800.95306597661</v>
      </c>
      <c r="CT979" s="58">
        <f t="array" ref="CT979">SUM(IF(CQ979:CR979&gt;=CQ979, 1))</f>
        <v>2</v>
      </c>
      <c r="CU979" s="58">
        <f t="array" ref="CU979">SUM(IF(CQ979:CR979&gt;=CR979, 1))</f>
        <v>1</v>
      </c>
      <c r="CW979" s="109">
        <f t="shared" si="378"/>
        <v>-50411607.772494301</v>
      </c>
      <c r="CX979" s="109">
        <f t="shared" si="379"/>
        <v>0</v>
      </c>
      <c r="CZ979" s="58">
        <f t="array" ref="CZ979">SUM(IF(CW979:CX979&gt;=CW979, 1))</f>
        <v>2</v>
      </c>
      <c r="DA979" s="58">
        <f t="array" ref="DA979">SUM(IF(CW979:CX979&gt;=CX979, 1))</f>
        <v>1</v>
      </c>
      <c r="DC979" s="109">
        <f t="shared" si="380"/>
        <v>-2646029.1619469663</v>
      </c>
      <c r="DD979" s="109">
        <f t="shared" si="381"/>
        <v>0</v>
      </c>
      <c r="DF979" s="58">
        <f t="array" ref="DF979">SUM(IF(DC979:DD979&gt;=DC979, 1))</f>
        <v>2</v>
      </c>
      <c r="DG979" s="58">
        <f t="array" ref="DG979">SUM(IF(DC979:DD979&gt;=DD979, 1))</f>
        <v>1</v>
      </c>
      <c r="DI979" s="109">
        <f t="shared" si="382"/>
        <v>-128317006.62150489</v>
      </c>
      <c r="DJ979" s="109">
        <f t="shared" si="383"/>
        <v>0</v>
      </c>
      <c r="DL979" s="58">
        <f t="array" ref="DL979">SUM(IF(DI979:DJ979&gt;=DI979, 1))</f>
        <v>2</v>
      </c>
      <c r="DM979" s="58">
        <f t="array" ref="DM979">SUM(IF(DI979:DJ979&gt;=DJ979, 1))</f>
        <v>1</v>
      </c>
      <c r="DO979" s="109">
        <f t="shared" si="384"/>
        <v>-7272778.0096846288</v>
      </c>
      <c r="DP979" s="109">
        <f t="shared" si="385"/>
        <v>0</v>
      </c>
      <c r="DR979" s="58">
        <f t="array" ref="DR979">SUM(IF(DO979:DP979&gt;=DO979, 1))</f>
        <v>2</v>
      </c>
      <c r="DS979" s="58">
        <f t="array" ref="DS979">SUM(IF(DO979:DP979&gt;=DP979, 1))</f>
        <v>1</v>
      </c>
      <c r="DU979" s="109">
        <f t="shared" si="386"/>
        <v>-67066329.498654522</v>
      </c>
      <c r="DV979" s="109">
        <f t="shared" si="387"/>
        <v>0</v>
      </c>
      <c r="DX979" s="58">
        <f t="array" ref="DX979">SUM(IF(DU979:DV979&gt;=DU979, 1))</f>
        <v>2</v>
      </c>
      <c r="DY979" s="58">
        <f t="array" ref="DY979">SUM(IF(DU979:DV979&gt;=DV979, 1))</f>
        <v>1</v>
      </c>
      <c r="EA979" s="109">
        <f t="shared" si="388"/>
        <v>-255713751.06428531</v>
      </c>
      <c r="EB979" s="109">
        <f t="shared" si="389"/>
        <v>0</v>
      </c>
      <c r="ED979" s="58">
        <f t="array" ref="ED979">SUM(IF(EA979:EB979&gt;=EA979, 1))</f>
        <v>2</v>
      </c>
      <c r="EE979" s="58">
        <f t="array" ref="EE979">SUM(IF(EA979:EB979&gt;=EB979, 1))</f>
        <v>1</v>
      </c>
    </row>
    <row r="980" spans="4:135" ht="12" customHeight="1" x14ac:dyDescent="0.25">
      <c r="D980" s="11">
        <v>964</v>
      </c>
      <c r="E980" s="72">
        <v>211.03094032978731</v>
      </c>
      <c r="F980" s="72">
        <v>194.13989264858486</v>
      </c>
      <c r="G980" s="73"/>
      <c r="H980" s="74">
        <v>5.8279488609219667</v>
      </c>
      <c r="I980" s="74">
        <v>5.8452882579127081</v>
      </c>
      <c r="J980" s="73"/>
      <c r="K980" s="72">
        <v>226.65372383948829</v>
      </c>
      <c r="L980" s="72">
        <v>209.35503575565232</v>
      </c>
      <c r="M980" s="73"/>
      <c r="N980" s="74">
        <v>6.6927573691819049</v>
      </c>
      <c r="O980" s="74">
        <v>6.7081552706667313</v>
      </c>
      <c r="P980" s="73"/>
      <c r="Q980" s="72">
        <v>2234.5994546140114</v>
      </c>
      <c r="R980" s="72">
        <v>1439.150440514197</v>
      </c>
      <c r="S980" s="73"/>
      <c r="T980" s="74">
        <v>4.5920329481598738</v>
      </c>
      <c r="U980" s="74">
        <v>4.6625999870813919</v>
      </c>
      <c r="V980" s="73"/>
      <c r="W980" s="72">
        <v>8609.6282094610633</v>
      </c>
      <c r="X980" s="72">
        <v>8605.7765037117952</v>
      </c>
      <c r="Y980" s="73"/>
      <c r="Z980" s="74">
        <v>2.9655411477968134</v>
      </c>
      <c r="AA980" s="74">
        <v>2.9926946985096485</v>
      </c>
      <c r="AB980" s="73"/>
      <c r="AC980" s="72">
        <v>50041.71520705556</v>
      </c>
      <c r="AD980" s="72">
        <v>49901.103557378548</v>
      </c>
      <c r="AE980" s="73"/>
      <c r="AF980" s="74">
        <v>4.3376461377898803</v>
      </c>
      <c r="AG980" s="74">
        <v>4.4514774418988763</v>
      </c>
      <c r="AH980" s="73"/>
      <c r="AI980" s="72">
        <v>1792011.2510287405</v>
      </c>
      <c r="AJ980" s="72">
        <v>0</v>
      </c>
      <c r="AK980" s="73"/>
      <c r="AL980" s="74">
        <v>-1839.5776910891086</v>
      </c>
      <c r="AM980" s="74">
        <v>0</v>
      </c>
      <c r="AN980" s="73"/>
      <c r="AO980" s="72">
        <v>121235.33863306794</v>
      </c>
      <c r="AP980" s="72">
        <v>0</v>
      </c>
      <c r="AQ980" s="73"/>
      <c r="AR980" s="74">
        <v>-107.91395230115043</v>
      </c>
      <c r="AS980" s="74">
        <v>0</v>
      </c>
      <c r="AT980" s="73"/>
      <c r="AU980" s="72">
        <v>18557744.213924032</v>
      </c>
      <c r="AV980" s="72">
        <v>0</v>
      </c>
      <c r="AW980" s="73"/>
      <c r="AX980" s="74">
        <v>-1646.3218069627617</v>
      </c>
      <c r="AY980" s="74">
        <v>0</v>
      </c>
      <c r="AZ980" s="73"/>
      <c r="BA980" s="72">
        <v>35678.896551244623</v>
      </c>
      <c r="BB980" s="72">
        <v>0</v>
      </c>
      <c r="BC980" s="73"/>
      <c r="BD980" s="74">
        <v>-251.52719079496106</v>
      </c>
      <c r="BE980" s="74">
        <v>0</v>
      </c>
      <c r="BF980" s="73"/>
      <c r="BG980" s="72">
        <v>2236850.792990441</v>
      </c>
      <c r="BH980" s="72">
        <v>0</v>
      </c>
      <c r="BI980" s="73"/>
      <c r="BJ980" s="74">
        <v>-1810.8289281024722</v>
      </c>
      <c r="BK980" s="74">
        <v>0</v>
      </c>
      <c r="BL980" s="73"/>
      <c r="BM980" s="72">
        <v>22743520.493127525</v>
      </c>
      <c r="BN980" s="72">
        <v>0</v>
      </c>
      <c r="BO980" s="73"/>
      <c r="BP980" s="74">
        <v>-5656.1695692504545</v>
      </c>
      <c r="BQ980" s="74">
        <v>0</v>
      </c>
      <c r="BS980" s="109">
        <f t="shared" si="369"/>
        <v>116347.94627810955</v>
      </c>
      <c r="BT980" s="109">
        <f t="shared" si="370"/>
        <v>116711.62526560557</v>
      </c>
      <c r="BV980" s="58">
        <f t="array" ref="BV980">SUM(IF(BS980:BT980&gt;=BS980, 1))</f>
        <v>2</v>
      </c>
      <c r="BW980" s="58">
        <f t="array" ref="BW980">SUM(IF(BS980:BT980&gt;=BT980, 1))</f>
        <v>1</v>
      </c>
      <c r="BY980" s="109">
        <f t="shared" si="371"/>
        <v>133628.49365979861</v>
      </c>
      <c r="BZ980" s="109">
        <f t="shared" si="372"/>
        <v>133953.75037757898</v>
      </c>
      <c r="CB980" s="58">
        <f t="array" ref="CB980">SUM(IF(BY980:BZ980&gt;=BY980, 1))</f>
        <v>2</v>
      </c>
      <c r="CC980" s="58">
        <f t="array" ref="CC980">SUM(IF(BY980:BZ980&gt;=BZ980, 1))</f>
        <v>1</v>
      </c>
      <c r="CE980" s="109">
        <f t="shared" si="373"/>
        <v>89606.059508583465</v>
      </c>
      <c r="CF980" s="109">
        <f t="shared" si="374"/>
        <v>91812.849301113631</v>
      </c>
      <c r="CH980" s="58">
        <f t="array" ref="CH980">SUM(IF(CE980:CF980&gt;=CE980, 1))</f>
        <v>2</v>
      </c>
      <c r="CI980" s="58">
        <f t="array" ref="CI980">SUM(IF(CE980:CF980&gt;=CF980, 1))</f>
        <v>1</v>
      </c>
      <c r="CK980" s="109">
        <f t="shared" si="375"/>
        <v>50701.194746475201</v>
      </c>
      <c r="CL980" s="109">
        <f t="shared" si="376"/>
        <v>51248.117466481177</v>
      </c>
      <c r="CN980" s="58">
        <f t="array" ref="CN980">SUM(IF(CK980:CL980&gt;=CK980, 1))</f>
        <v>2</v>
      </c>
      <c r="CO980" s="58">
        <f t="array" ref="CO980">SUM(IF(CK980:CL980&gt;=CL980, 1))</f>
        <v>1</v>
      </c>
      <c r="CQ980" s="109" cm="1">
        <f t="array" ref="CQ980">AF980*WTP-AC980</f>
        <v>36711.207548742052</v>
      </c>
      <c r="CR980" s="109">
        <f t="shared" si="377"/>
        <v>39128.445280598971</v>
      </c>
      <c r="CT980" s="58">
        <f t="array" ref="CT980">SUM(IF(CQ980:CR980&gt;=CQ980, 1))</f>
        <v>2</v>
      </c>
      <c r="CU980" s="58">
        <f t="array" ref="CU980">SUM(IF(CQ980:CR980&gt;=CR980, 1))</f>
        <v>1</v>
      </c>
      <c r="CW980" s="109">
        <f t="shared" si="378"/>
        <v>-38583565.072810911</v>
      </c>
      <c r="CX980" s="109">
        <f t="shared" si="379"/>
        <v>0</v>
      </c>
      <c r="CZ980" s="58">
        <f t="array" ref="CZ980">SUM(IF(CW980:CX980&gt;=CW980, 1))</f>
        <v>2</v>
      </c>
      <c r="DA980" s="58">
        <f t="array" ref="DA980">SUM(IF(CW980:CX980&gt;=CX980, 1))</f>
        <v>1</v>
      </c>
      <c r="DC980" s="109">
        <f t="shared" si="380"/>
        <v>-2279514.3846560763</v>
      </c>
      <c r="DD980" s="109">
        <f t="shared" si="381"/>
        <v>0</v>
      </c>
      <c r="DF980" s="58">
        <f t="array" ref="DF980">SUM(IF(DC980:DD980&gt;=DC980, 1))</f>
        <v>2</v>
      </c>
      <c r="DG980" s="58">
        <f t="array" ref="DG980">SUM(IF(DC980:DD980&gt;=DD980, 1))</f>
        <v>1</v>
      </c>
      <c r="DI980" s="109">
        <f t="shared" si="382"/>
        <v>-51484180.353179261</v>
      </c>
      <c r="DJ980" s="109">
        <f t="shared" si="383"/>
        <v>0</v>
      </c>
      <c r="DL980" s="58">
        <f t="array" ref="DL980">SUM(IF(DI980:DJ980&gt;=DI980, 1))</f>
        <v>2</v>
      </c>
      <c r="DM980" s="58">
        <f t="array" ref="DM980">SUM(IF(DI980:DJ980&gt;=DJ980, 1))</f>
        <v>1</v>
      </c>
      <c r="DO980" s="109">
        <f t="shared" si="384"/>
        <v>-5066222.7124504661</v>
      </c>
      <c r="DP980" s="109">
        <f t="shared" si="385"/>
        <v>0</v>
      </c>
      <c r="DR980" s="58">
        <f t="array" ref="DR980">SUM(IF(DO980:DP980&gt;=DO980, 1))</f>
        <v>2</v>
      </c>
      <c r="DS980" s="58">
        <f t="array" ref="DS980">SUM(IF(DO980:DP980&gt;=DP980, 1))</f>
        <v>1</v>
      </c>
      <c r="DU980" s="109">
        <f t="shared" si="386"/>
        <v>-38453429.35503988</v>
      </c>
      <c r="DV980" s="109">
        <f t="shared" si="387"/>
        <v>0</v>
      </c>
      <c r="DX980" s="58">
        <f t="array" ref="DX980">SUM(IF(DU980:DV980&gt;=DU980, 1))</f>
        <v>2</v>
      </c>
      <c r="DY980" s="58">
        <f t="array" ref="DY980">SUM(IF(DU980:DV980&gt;=DV980, 1))</f>
        <v>1</v>
      </c>
      <c r="EA980" s="109">
        <f t="shared" si="388"/>
        <v>-135866911.87813663</v>
      </c>
      <c r="EB980" s="109">
        <f t="shared" si="389"/>
        <v>0</v>
      </c>
      <c r="ED980" s="58">
        <f t="array" ref="ED980">SUM(IF(EA980:EB980&gt;=EA980, 1))</f>
        <v>2</v>
      </c>
      <c r="EE980" s="58">
        <f t="array" ref="EE980">SUM(IF(EA980:EB980&gt;=EB980, 1))</f>
        <v>1</v>
      </c>
    </row>
    <row r="981" spans="4:135" ht="12" customHeight="1" x14ac:dyDescent="0.25">
      <c r="D981" s="11">
        <v>965</v>
      </c>
      <c r="E981" s="72">
        <v>236.19585291304145</v>
      </c>
      <c r="F981" s="72">
        <v>214.1888436315129</v>
      </c>
      <c r="G981" s="73"/>
      <c r="H981" s="74">
        <v>5.8312816705633868</v>
      </c>
      <c r="I981" s="74">
        <v>5.8493549998219079</v>
      </c>
      <c r="J981" s="73"/>
      <c r="K981" s="72">
        <v>253.51670041389394</v>
      </c>
      <c r="L981" s="72">
        <v>230.97167240352141</v>
      </c>
      <c r="M981" s="73"/>
      <c r="N981" s="74">
        <v>6.7106744033995822</v>
      </c>
      <c r="O981" s="74">
        <v>6.726219588523155</v>
      </c>
      <c r="P981" s="73"/>
      <c r="Q981" s="72">
        <v>2450.9082796107473</v>
      </c>
      <c r="R981" s="72">
        <v>1474.0394398476624</v>
      </c>
      <c r="S981" s="73"/>
      <c r="T981" s="74">
        <v>4.9831162946039731</v>
      </c>
      <c r="U981" s="74">
        <v>5.0830961643343429</v>
      </c>
      <c r="V981" s="73"/>
      <c r="W981" s="72">
        <v>14155.69205613693</v>
      </c>
      <c r="X981" s="72">
        <v>14225.418189890013</v>
      </c>
      <c r="Y981" s="73"/>
      <c r="Z981" s="74">
        <v>2.7075080468420363</v>
      </c>
      <c r="AA981" s="74">
        <v>2.7568827405687477</v>
      </c>
      <c r="AB981" s="73"/>
      <c r="AC981" s="72">
        <v>50058.924001126332</v>
      </c>
      <c r="AD981" s="72">
        <v>49608.15203364582</v>
      </c>
      <c r="AE981" s="73"/>
      <c r="AF981" s="74">
        <v>4.5859907838422931</v>
      </c>
      <c r="AG981" s="74">
        <v>4.7496282826966576</v>
      </c>
      <c r="AH981" s="73"/>
      <c r="AI981" s="72">
        <v>2357979.0812155204</v>
      </c>
      <c r="AJ981" s="72">
        <v>0</v>
      </c>
      <c r="AK981" s="73"/>
      <c r="AL981" s="74">
        <v>-1936.4981299518572</v>
      </c>
      <c r="AM981" s="74">
        <v>0</v>
      </c>
      <c r="AN981" s="73"/>
      <c r="AO981" s="72">
        <v>149427.14244796909</v>
      </c>
      <c r="AP981" s="72">
        <v>0</v>
      </c>
      <c r="AQ981" s="73"/>
      <c r="AR981" s="74">
        <v>-103.0325884168988</v>
      </c>
      <c r="AS981" s="74">
        <v>0</v>
      </c>
      <c r="AT981" s="73"/>
      <c r="AU981" s="72">
        <v>22634273.713989761</v>
      </c>
      <c r="AV981" s="72">
        <v>0</v>
      </c>
      <c r="AW981" s="73"/>
      <c r="AX981" s="74">
        <v>-2316.5563740522789</v>
      </c>
      <c r="AY981" s="74">
        <v>0</v>
      </c>
      <c r="AZ981" s="73"/>
      <c r="BA981" s="72">
        <v>-604828.89305800374</v>
      </c>
      <c r="BB981" s="72">
        <v>0</v>
      </c>
      <c r="BC981" s="73"/>
      <c r="BD981" s="74">
        <v>-428.29337788263888</v>
      </c>
      <c r="BE981" s="74">
        <v>0</v>
      </c>
      <c r="BF981" s="73"/>
      <c r="BG981" s="72">
        <v>7292448.9774507135</v>
      </c>
      <c r="BH981" s="72">
        <v>0</v>
      </c>
      <c r="BI981" s="73"/>
      <c r="BJ981" s="74">
        <v>-2647.2766659889799</v>
      </c>
      <c r="BK981" s="74">
        <v>0</v>
      </c>
      <c r="BL981" s="73"/>
      <c r="BM981" s="72">
        <v>31829300.022045963</v>
      </c>
      <c r="BN981" s="72">
        <v>0</v>
      </c>
      <c r="BO981" s="73"/>
      <c r="BP981" s="74">
        <v>-7431.6571362926534</v>
      </c>
      <c r="BQ981" s="74">
        <v>0</v>
      </c>
      <c r="BS981" s="109">
        <f t="shared" si="369"/>
        <v>116389.43755835469</v>
      </c>
      <c r="BT981" s="109">
        <f t="shared" si="370"/>
        <v>116772.91115280666</v>
      </c>
      <c r="BV981" s="58">
        <f t="array" ref="BV981">SUM(IF(BS981:BT981&gt;=BS981, 1))</f>
        <v>2</v>
      </c>
      <c r="BW981" s="58">
        <f t="array" ref="BW981">SUM(IF(BS981:BT981&gt;=BT981, 1))</f>
        <v>1</v>
      </c>
      <c r="BY981" s="109">
        <f t="shared" si="371"/>
        <v>133959.97136757776</v>
      </c>
      <c r="BZ981" s="109">
        <f t="shared" si="372"/>
        <v>134293.42009805958</v>
      </c>
      <c r="CB981" s="58">
        <f t="array" ref="CB981">SUM(IF(BY981:BZ981&gt;=BY981, 1))</f>
        <v>2</v>
      </c>
      <c r="CC981" s="58">
        <f t="array" ref="CC981">SUM(IF(BY981:BZ981&gt;=BZ981, 1))</f>
        <v>1</v>
      </c>
      <c r="CE981" s="109">
        <f t="shared" si="373"/>
        <v>97211.417612468707</v>
      </c>
      <c r="CF981" s="109">
        <f t="shared" si="374"/>
        <v>100187.88384683919</v>
      </c>
      <c r="CH981" s="58">
        <f t="array" ref="CH981">SUM(IF(CE981:CF981&gt;=CE981, 1))</f>
        <v>2</v>
      </c>
      <c r="CI981" s="58">
        <f t="array" ref="CI981">SUM(IF(CE981:CF981&gt;=CF981, 1))</f>
        <v>1</v>
      </c>
      <c r="CK981" s="109">
        <f t="shared" si="375"/>
        <v>39994.468880703789</v>
      </c>
      <c r="CL981" s="109">
        <f t="shared" si="376"/>
        <v>40912.236621484939</v>
      </c>
      <c r="CN981" s="58">
        <f t="array" ref="CN981">SUM(IF(CK981:CL981&gt;=CK981, 1))</f>
        <v>2</v>
      </c>
      <c r="CO981" s="58">
        <f t="array" ref="CO981">SUM(IF(CK981:CL981&gt;=CL981, 1))</f>
        <v>1</v>
      </c>
      <c r="CQ981" s="109" cm="1">
        <f t="array" ref="CQ981">AF981*WTP-AC981</f>
        <v>41660.891675719526</v>
      </c>
      <c r="CR981" s="109">
        <f t="shared" si="377"/>
        <v>45384.413620287334</v>
      </c>
      <c r="CT981" s="58">
        <f t="array" ref="CT981">SUM(IF(CQ981:CR981&gt;=CQ981, 1))</f>
        <v>2</v>
      </c>
      <c r="CU981" s="58">
        <f t="array" ref="CU981">SUM(IF(CQ981:CR981&gt;=CR981, 1))</f>
        <v>1</v>
      </c>
      <c r="CW981" s="109">
        <f t="shared" si="378"/>
        <v>-41087941.680252664</v>
      </c>
      <c r="CX981" s="109">
        <f t="shared" si="379"/>
        <v>0</v>
      </c>
      <c r="CZ981" s="58">
        <f t="array" ref="CZ981">SUM(IF(CW981:CX981&gt;=CW981, 1))</f>
        <v>2</v>
      </c>
      <c r="DA981" s="58">
        <f t="array" ref="DA981">SUM(IF(CW981:CX981&gt;=CX981, 1))</f>
        <v>1</v>
      </c>
      <c r="DC981" s="109">
        <f t="shared" si="380"/>
        <v>-2210078.9107859451</v>
      </c>
      <c r="DD981" s="109">
        <f t="shared" si="381"/>
        <v>0</v>
      </c>
      <c r="DF981" s="58">
        <f t="array" ref="DF981">SUM(IF(DC981:DD981&gt;=DC981, 1))</f>
        <v>2</v>
      </c>
      <c r="DG981" s="58">
        <f t="array" ref="DG981">SUM(IF(DC981:DD981&gt;=DD981, 1))</f>
        <v>1</v>
      </c>
      <c r="DI981" s="109">
        <f t="shared" si="382"/>
        <v>-68965401.195035338</v>
      </c>
      <c r="DJ981" s="109">
        <f t="shared" si="383"/>
        <v>0</v>
      </c>
      <c r="DL981" s="58">
        <f t="array" ref="DL981">SUM(IF(DI981:DJ981&gt;=DI981, 1))</f>
        <v>2</v>
      </c>
      <c r="DM981" s="58">
        <f t="array" ref="DM981">SUM(IF(DI981:DJ981&gt;=DJ981, 1))</f>
        <v>1</v>
      </c>
      <c r="DO981" s="109">
        <f t="shared" si="384"/>
        <v>-7961038.6645947732</v>
      </c>
      <c r="DP981" s="109">
        <f t="shared" si="385"/>
        <v>0</v>
      </c>
      <c r="DR981" s="58">
        <f t="array" ref="DR981">SUM(IF(DO981:DP981&gt;=DO981, 1))</f>
        <v>2</v>
      </c>
      <c r="DS981" s="58">
        <f t="array" ref="DS981">SUM(IF(DO981:DP981&gt;=DP981, 1))</f>
        <v>1</v>
      </c>
      <c r="DU981" s="109">
        <f t="shared" si="386"/>
        <v>-60237982.297230311</v>
      </c>
      <c r="DV981" s="109">
        <f t="shared" si="387"/>
        <v>0</v>
      </c>
      <c r="DX981" s="58">
        <f t="array" ref="DX981">SUM(IF(DU981:DV981&gt;=DU981, 1))</f>
        <v>2</v>
      </c>
      <c r="DY981" s="58">
        <f t="array" ref="DY981">SUM(IF(DU981:DV981&gt;=DV981, 1))</f>
        <v>1</v>
      </c>
      <c r="EA981" s="109">
        <f t="shared" si="388"/>
        <v>-180462442.74789903</v>
      </c>
      <c r="EB981" s="109">
        <f t="shared" si="389"/>
        <v>0</v>
      </c>
      <c r="ED981" s="58">
        <f t="array" ref="ED981">SUM(IF(EA981:EB981&gt;=EA981, 1))</f>
        <v>2</v>
      </c>
      <c r="EE981" s="58">
        <f t="array" ref="EE981">SUM(IF(EA981:EB981&gt;=EB981, 1))</f>
        <v>1</v>
      </c>
    </row>
    <row r="982" spans="4:135" ht="12" customHeight="1" x14ac:dyDescent="0.25">
      <c r="D982" s="11">
        <v>966</v>
      </c>
      <c r="E982" s="72">
        <v>206.67066596852447</v>
      </c>
      <c r="F982" s="72">
        <v>172.8562315759082</v>
      </c>
      <c r="G982" s="73"/>
      <c r="H982" s="74">
        <v>5.8354094513736721</v>
      </c>
      <c r="I982" s="74">
        <v>5.8548538672347687</v>
      </c>
      <c r="J982" s="73"/>
      <c r="K982" s="72">
        <v>220.82924874161793</v>
      </c>
      <c r="L982" s="72">
        <v>186.28491597273933</v>
      </c>
      <c r="M982" s="73"/>
      <c r="N982" s="74">
        <v>6.7079699563674842</v>
      </c>
      <c r="O982" s="74">
        <v>6.7258112466243549</v>
      </c>
      <c r="P982" s="73"/>
      <c r="Q982" s="72">
        <v>2410.7067661285182</v>
      </c>
      <c r="R982" s="72">
        <v>1335.6057420836378</v>
      </c>
      <c r="S982" s="73"/>
      <c r="T982" s="74">
        <v>4.712743213395461</v>
      </c>
      <c r="U982" s="74">
        <v>4.7919260892370161</v>
      </c>
      <c r="V982" s="73"/>
      <c r="W982" s="72">
        <v>11302.303455158921</v>
      </c>
      <c r="X982" s="72">
        <v>11265.241635282195</v>
      </c>
      <c r="Y982" s="73"/>
      <c r="Z982" s="74">
        <v>2.9956747513268982</v>
      </c>
      <c r="AA982" s="74">
        <v>3.0445227558572086</v>
      </c>
      <c r="AB982" s="73"/>
      <c r="AC982" s="72">
        <v>50147.78809153496</v>
      </c>
      <c r="AD982" s="72">
        <v>49819.310450163619</v>
      </c>
      <c r="AE982" s="73"/>
      <c r="AF982" s="74">
        <v>4.3826590156929344</v>
      </c>
      <c r="AG982" s="74">
        <v>4.459353710520416</v>
      </c>
      <c r="AH982" s="73"/>
      <c r="AI982" s="72">
        <v>3620134.9694143254</v>
      </c>
      <c r="AJ982" s="72">
        <v>0</v>
      </c>
      <c r="AK982" s="73"/>
      <c r="AL982" s="74">
        <v>-2081.6970942433195</v>
      </c>
      <c r="AM982" s="74">
        <v>0</v>
      </c>
      <c r="AN982" s="73"/>
      <c r="AO982" s="72">
        <v>226835.65867030621</v>
      </c>
      <c r="AP982" s="72">
        <v>0</v>
      </c>
      <c r="AQ982" s="73"/>
      <c r="AR982" s="74">
        <v>-117.15498614555442</v>
      </c>
      <c r="AS982" s="74">
        <v>0</v>
      </c>
      <c r="AT982" s="73"/>
      <c r="AU982" s="72">
        <v>25107357.855734318</v>
      </c>
      <c r="AV982" s="72">
        <v>0</v>
      </c>
      <c r="AW982" s="73"/>
      <c r="AX982" s="74">
        <v>-1849.1962665241699</v>
      </c>
      <c r="AY982" s="74">
        <v>0</v>
      </c>
      <c r="AZ982" s="73"/>
      <c r="BA982" s="72">
        <v>335833.96039810334</v>
      </c>
      <c r="BB982" s="72">
        <v>0</v>
      </c>
      <c r="BC982" s="73"/>
      <c r="BD982" s="74">
        <v>-442.63392552022111</v>
      </c>
      <c r="BE982" s="74">
        <v>0</v>
      </c>
      <c r="BF982" s="73"/>
      <c r="BG982" s="72">
        <v>5210193.1555993101</v>
      </c>
      <c r="BH982" s="72">
        <v>0</v>
      </c>
      <c r="BI982" s="73"/>
      <c r="BJ982" s="74">
        <v>-1216.5034198147605</v>
      </c>
      <c r="BK982" s="74">
        <v>0</v>
      </c>
      <c r="BL982" s="73"/>
      <c r="BM982" s="72">
        <v>34500355.59981636</v>
      </c>
      <c r="BN982" s="72">
        <v>0</v>
      </c>
      <c r="BO982" s="73"/>
      <c r="BP982" s="74">
        <v>-5707.1856922480256</v>
      </c>
      <c r="BQ982" s="74">
        <v>0</v>
      </c>
      <c r="BS982" s="109">
        <f t="shared" si="369"/>
        <v>116501.51836150492</v>
      </c>
      <c r="BT982" s="109">
        <f t="shared" si="370"/>
        <v>116924.22111311946</v>
      </c>
      <c r="BV982" s="58">
        <f t="array" ref="BV982">SUM(IF(BS982:BT982&gt;=BS982, 1))</f>
        <v>2</v>
      </c>
      <c r="BW982" s="58">
        <f t="array" ref="BW982">SUM(IF(BS982:BT982&gt;=BT982, 1))</f>
        <v>1</v>
      </c>
      <c r="BY982" s="109">
        <f t="shared" si="371"/>
        <v>133938.56987860808</v>
      </c>
      <c r="BZ982" s="109">
        <f t="shared" si="372"/>
        <v>134329.94001651436</v>
      </c>
      <c r="CB982" s="58">
        <f t="array" ref="CB982">SUM(IF(BY982:BZ982&gt;=BY982, 1))</f>
        <v>2</v>
      </c>
      <c r="CC982" s="58">
        <f t="array" ref="CC982">SUM(IF(BY982:BZ982&gt;=BZ982, 1))</f>
        <v>1</v>
      </c>
      <c r="CE982" s="109">
        <f t="shared" si="373"/>
        <v>91844.15750178069</v>
      </c>
      <c r="CF982" s="109">
        <f t="shared" si="374"/>
        <v>94502.916042656681</v>
      </c>
      <c r="CH982" s="58">
        <f t="array" ref="CH982">SUM(IF(CE982:CF982&gt;=CE982, 1))</f>
        <v>2</v>
      </c>
      <c r="CI982" s="58">
        <f t="array" ref="CI982">SUM(IF(CE982:CF982&gt;=CF982, 1))</f>
        <v>1</v>
      </c>
      <c r="CK982" s="109">
        <f t="shared" si="375"/>
        <v>48611.191571379044</v>
      </c>
      <c r="CL982" s="109">
        <f t="shared" si="376"/>
        <v>49625.213481861974</v>
      </c>
      <c r="CN982" s="58">
        <f t="array" ref="CN982">SUM(IF(CK982:CL982&gt;=CK982, 1))</f>
        <v>2</v>
      </c>
      <c r="CO982" s="58">
        <f t="array" ref="CO982">SUM(IF(CK982:CL982&gt;=CL982, 1))</f>
        <v>1</v>
      </c>
      <c r="CQ982" s="109" cm="1">
        <f t="array" ref="CQ982">AF982*WTP-AC982</f>
        <v>37505.392222323724</v>
      </c>
      <c r="CR982" s="109">
        <f t="shared" si="377"/>
        <v>39367.763760244699</v>
      </c>
      <c r="CT982" s="58">
        <f t="array" ref="CT982">SUM(IF(CQ982:CR982&gt;=CQ982, 1))</f>
        <v>2</v>
      </c>
      <c r="CU982" s="58">
        <f t="array" ref="CU982">SUM(IF(CQ982:CR982&gt;=CR982, 1))</f>
        <v>1</v>
      </c>
      <c r="CW982" s="109">
        <f t="shared" si="378"/>
        <v>-45254076.85428071</v>
      </c>
      <c r="CX982" s="109">
        <f t="shared" si="379"/>
        <v>0</v>
      </c>
      <c r="CZ982" s="58">
        <f t="array" ref="CZ982">SUM(IF(CW982:CX982&gt;=CW982, 1))</f>
        <v>2</v>
      </c>
      <c r="DA982" s="58">
        <f t="array" ref="DA982">SUM(IF(CW982:CX982&gt;=CX982, 1))</f>
        <v>1</v>
      </c>
      <c r="DC982" s="109">
        <f t="shared" si="380"/>
        <v>-2569935.3815813945</v>
      </c>
      <c r="DD982" s="109">
        <f t="shared" si="381"/>
        <v>0</v>
      </c>
      <c r="DF982" s="58">
        <f t="array" ref="DF982">SUM(IF(DC982:DD982&gt;=DC982, 1))</f>
        <v>2</v>
      </c>
      <c r="DG982" s="58">
        <f t="array" ref="DG982">SUM(IF(DC982:DD982&gt;=DD982, 1))</f>
        <v>1</v>
      </c>
      <c r="DI982" s="109">
        <f t="shared" si="382"/>
        <v>-62091283.186217718</v>
      </c>
      <c r="DJ982" s="109">
        <f t="shared" si="383"/>
        <v>0</v>
      </c>
      <c r="DL982" s="58">
        <f t="array" ref="DL982">SUM(IF(DI982:DJ982&gt;=DI982, 1))</f>
        <v>2</v>
      </c>
      <c r="DM982" s="58">
        <f t="array" ref="DM982">SUM(IF(DI982:DJ982&gt;=DJ982, 1))</f>
        <v>1</v>
      </c>
      <c r="DO982" s="109">
        <f t="shared" si="384"/>
        <v>-9188512.4708025269</v>
      </c>
      <c r="DP982" s="109">
        <f t="shared" si="385"/>
        <v>0</v>
      </c>
      <c r="DR982" s="58">
        <f t="array" ref="DR982">SUM(IF(DO982:DP982&gt;=DO982, 1))</f>
        <v>2</v>
      </c>
      <c r="DS982" s="58">
        <f t="array" ref="DS982">SUM(IF(DO982:DP982&gt;=DP982, 1))</f>
        <v>1</v>
      </c>
      <c r="DU982" s="109">
        <f t="shared" si="386"/>
        <v>-29540261.551894519</v>
      </c>
      <c r="DV982" s="109">
        <f t="shared" si="387"/>
        <v>0</v>
      </c>
      <c r="DX982" s="58">
        <f t="array" ref="DX982">SUM(IF(DU982:DV982&gt;=DU982, 1))</f>
        <v>2</v>
      </c>
      <c r="DY982" s="58">
        <f t="array" ref="DY982">SUM(IF(DU982:DV982&gt;=DV982, 1))</f>
        <v>1</v>
      </c>
      <c r="EA982" s="109">
        <f t="shared" si="388"/>
        <v>-148644069.44477686</v>
      </c>
      <c r="EB982" s="109">
        <f t="shared" si="389"/>
        <v>0</v>
      </c>
      <c r="ED982" s="58">
        <f t="array" ref="ED982">SUM(IF(EA982:EB982&gt;=EA982, 1))</f>
        <v>2</v>
      </c>
      <c r="EE982" s="58">
        <f t="array" ref="EE982">SUM(IF(EA982:EB982&gt;=EB982, 1))</f>
        <v>1</v>
      </c>
    </row>
    <row r="983" spans="4:135" ht="12" customHeight="1" x14ac:dyDescent="0.25">
      <c r="D983" s="11">
        <v>967</v>
      </c>
      <c r="E983" s="72">
        <v>300.370366592609</v>
      </c>
      <c r="F983" s="72">
        <v>281.40796824975604</v>
      </c>
      <c r="G983" s="73"/>
      <c r="H983" s="74">
        <v>5.8485698347423121</v>
      </c>
      <c r="I983" s="74">
        <v>5.8661815029465085</v>
      </c>
      <c r="J983" s="73"/>
      <c r="K983" s="72">
        <v>322.9127753057748</v>
      </c>
      <c r="L983" s="72">
        <v>303.46996333176372</v>
      </c>
      <c r="M983" s="73"/>
      <c r="N983" s="74">
        <v>6.7236600630029146</v>
      </c>
      <c r="O983" s="74">
        <v>6.7393458678332996</v>
      </c>
      <c r="P983" s="73"/>
      <c r="Q983" s="72">
        <v>2349.1841588996226</v>
      </c>
      <c r="R983" s="72">
        <v>1125.4053075687486</v>
      </c>
      <c r="S983" s="73"/>
      <c r="T983" s="74">
        <v>4.916705232466164</v>
      </c>
      <c r="U983" s="74">
        <v>5.0071021326993783</v>
      </c>
      <c r="V983" s="73"/>
      <c r="W983" s="72">
        <v>9296.2761753035429</v>
      </c>
      <c r="X983" s="72">
        <v>9320.8022496153553</v>
      </c>
      <c r="Y983" s="73"/>
      <c r="Z983" s="74">
        <v>3.0393205606728961</v>
      </c>
      <c r="AA983" s="74">
        <v>3.0953296479975179</v>
      </c>
      <c r="AB983" s="73"/>
      <c r="AC983" s="72">
        <v>50428.294713466865</v>
      </c>
      <c r="AD983" s="72">
        <v>50218.551101442514</v>
      </c>
      <c r="AE983" s="73"/>
      <c r="AF983" s="74">
        <v>4.4834102181011319</v>
      </c>
      <c r="AG983" s="74">
        <v>4.5381804062470756</v>
      </c>
      <c r="AH983" s="73"/>
      <c r="AI983" s="72">
        <v>2026050.1209497689</v>
      </c>
      <c r="AJ983" s="72">
        <v>0</v>
      </c>
      <c r="AK983" s="73"/>
      <c r="AL983" s="74">
        <v>-1881.730456774643</v>
      </c>
      <c r="AM983" s="74">
        <v>0</v>
      </c>
      <c r="AN983" s="73"/>
      <c r="AO983" s="72">
        <v>133339.9742007865</v>
      </c>
      <c r="AP983" s="72">
        <v>0</v>
      </c>
      <c r="AQ983" s="73"/>
      <c r="AR983" s="74">
        <v>-107.57419318758207</v>
      </c>
      <c r="AS983" s="74">
        <v>0</v>
      </c>
      <c r="AT983" s="73"/>
      <c r="AU983" s="72">
        <v>28135686.522382412</v>
      </c>
      <c r="AV983" s="72">
        <v>0</v>
      </c>
      <c r="AW983" s="73"/>
      <c r="AX983" s="74">
        <v>-2078.2993959985838</v>
      </c>
      <c r="AY983" s="74">
        <v>0</v>
      </c>
      <c r="AZ983" s="73"/>
      <c r="BA983" s="72">
        <v>-220991.88934715601</v>
      </c>
      <c r="BB983" s="72">
        <v>0</v>
      </c>
      <c r="BC983" s="73"/>
      <c r="BD983" s="74">
        <v>-504.66918884432499</v>
      </c>
      <c r="BE983" s="74">
        <v>0</v>
      </c>
      <c r="BF983" s="73"/>
      <c r="BG983" s="72">
        <v>3492451.983092838</v>
      </c>
      <c r="BH983" s="72">
        <v>0</v>
      </c>
      <c r="BI983" s="73"/>
      <c r="BJ983" s="74">
        <v>-911.98130116335187</v>
      </c>
      <c r="BK983" s="74">
        <v>0</v>
      </c>
      <c r="BL983" s="73"/>
      <c r="BM983" s="72">
        <v>33566536.711278655</v>
      </c>
      <c r="BN983" s="72">
        <v>0</v>
      </c>
      <c r="BO983" s="73"/>
      <c r="BP983" s="74">
        <v>-5484.2545359684864</v>
      </c>
      <c r="BQ983" s="74">
        <v>0</v>
      </c>
      <c r="BS983" s="109">
        <f t="shared" si="369"/>
        <v>116671.02632825363</v>
      </c>
      <c r="BT983" s="109">
        <f t="shared" si="370"/>
        <v>117042.22209068041</v>
      </c>
      <c r="BV983" s="58">
        <f t="array" ref="BV983">SUM(IF(BS983:BT983&gt;=BS983, 1))</f>
        <v>2</v>
      </c>
      <c r="BW983" s="58">
        <f t="array" ref="BW983">SUM(IF(BS983:BT983&gt;=BT983, 1))</f>
        <v>1</v>
      </c>
      <c r="BY983" s="109">
        <f t="shared" si="371"/>
        <v>134150.28848475253</v>
      </c>
      <c r="BZ983" s="109">
        <f t="shared" si="372"/>
        <v>134483.44739333424</v>
      </c>
      <c r="CB983" s="58">
        <f t="array" ref="CB983">SUM(IF(BY983:BZ983&gt;=BY983, 1))</f>
        <v>2</v>
      </c>
      <c r="CC983" s="58">
        <f t="array" ref="CC983">SUM(IF(BY983:BZ983&gt;=BZ983, 1))</f>
        <v>1</v>
      </c>
      <c r="CE983" s="109">
        <f t="shared" si="373"/>
        <v>95984.920490423669</v>
      </c>
      <c r="CF983" s="109">
        <f t="shared" si="374"/>
        <v>99016.637346418807</v>
      </c>
      <c r="CH983" s="58">
        <f t="array" ref="CH983">SUM(IF(CE983:CF983&gt;=CE983, 1))</f>
        <v>2</v>
      </c>
      <c r="CI983" s="58">
        <f t="array" ref="CI983">SUM(IF(CE983:CF983&gt;=CF983, 1))</f>
        <v>1</v>
      </c>
      <c r="CK983" s="109">
        <f t="shared" si="375"/>
        <v>51490.135038154374</v>
      </c>
      <c r="CL983" s="109">
        <f t="shared" si="376"/>
        <v>52585.790710335001</v>
      </c>
      <c r="CN983" s="58">
        <f t="array" ref="CN983">SUM(IF(CK983:CL983&gt;=CK983, 1))</f>
        <v>2</v>
      </c>
      <c r="CO983" s="58">
        <f t="array" ref="CO983">SUM(IF(CK983:CL983&gt;=CL983, 1))</f>
        <v>1</v>
      </c>
      <c r="CQ983" s="109" cm="1">
        <f t="array" ref="CQ983">AF983*WTP-AC983</f>
        <v>39239.909648555767</v>
      </c>
      <c r="CR983" s="109">
        <f t="shared" si="377"/>
        <v>40545.057023499001</v>
      </c>
      <c r="CT983" s="58">
        <f t="array" ref="CT983">SUM(IF(CQ983:CR983&gt;=CQ983, 1))</f>
        <v>2</v>
      </c>
      <c r="CU983" s="58">
        <f t="array" ref="CU983">SUM(IF(CQ983:CR983&gt;=CR983, 1))</f>
        <v>1</v>
      </c>
      <c r="CW983" s="109">
        <f t="shared" si="378"/>
        <v>-39660659.256442629</v>
      </c>
      <c r="CX983" s="109">
        <f t="shared" si="379"/>
        <v>0</v>
      </c>
      <c r="CZ983" s="58">
        <f t="array" ref="CZ983">SUM(IF(CW983:CX983&gt;=CW983, 1))</f>
        <v>2</v>
      </c>
      <c r="DA983" s="58">
        <f t="array" ref="DA983">SUM(IF(CW983:CX983&gt;=CX983, 1))</f>
        <v>1</v>
      </c>
      <c r="DC983" s="109">
        <f t="shared" si="380"/>
        <v>-2284823.837952428</v>
      </c>
      <c r="DD983" s="109">
        <f t="shared" si="381"/>
        <v>0</v>
      </c>
      <c r="DF983" s="58">
        <f t="array" ref="DF983">SUM(IF(DC983:DD983&gt;=DC983, 1))</f>
        <v>2</v>
      </c>
      <c r="DG983" s="58">
        <f t="array" ref="DG983">SUM(IF(DC983:DD983&gt;=DD983, 1))</f>
        <v>1</v>
      </c>
      <c r="DI983" s="109">
        <f t="shared" si="382"/>
        <v>-69701674.442354083</v>
      </c>
      <c r="DJ983" s="109">
        <f t="shared" si="383"/>
        <v>0</v>
      </c>
      <c r="DL983" s="58">
        <f t="array" ref="DL983">SUM(IF(DI983:DJ983&gt;=DI983, 1))</f>
        <v>2</v>
      </c>
      <c r="DM983" s="58">
        <f t="array" ref="DM983">SUM(IF(DI983:DJ983&gt;=DJ983, 1))</f>
        <v>1</v>
      </c>
      <c r="DO983" s="109">
        <f t="shared" si="384"/>
        <v>-9872391.8875393439</v>
      </c>
      <c r="DP983" s="109">
        <f t="shared" si="385"/>
        <v>0</v>
      </c>
      <c r="DR983" s="58">
        <f t="array" ref="DR983">SUM(IF(DO983:DP983&gt;=DO983, 1))</f>
        <v>2</v>
      </c>
      <c r="DS983" s="58">
        <f t="array" ref="DS983">SUM(IF(DO983:DP983&gt;=DP983, 1))</f>
        <v>1</v>
      </c>
      <c r="DU983" s="109">
        <f t="shared" si="386"/>
        <v>-21732078.006359875</v>
      </c>
      <c r="DV983" s="109">
        <f t="shared" si="387"/>
        <v>0</v>
      </c>
      <c r="DX983" s="58">
        <f t="array" ref="DX983">SUM(IF(DU983:DV983&gt;=DU983, 1))</f>
        <v>2</v>
      </c>
      <c r="DY983" s="58">
        <f t="array" ref="DY983">SUM(IF(DU983:DV983&gt;=DV983, 1))</f>
        <v>1</v>
      </c>
      <c r="EA983" s="109">
        <f t="shared" si="388"/>
        <v>-143251627.43064839</v>
      </c>
      <c r="EB983" s="109">
        <f t="shared" si="389"/>
        <v>0</v>
      </c>
      <c r="ED983" s="58">
        <f t="array" ref="ED983">SUM(IF(EA983:EB983&gt;=EA983, 1))</f>
        <v>2</v>
      </c>
      <c r="EE983" s="58">
        <f t="array" ref="EE983">SUM(IF(EA983:EB983&gt;=EB983, 1))</f>
        <v>1</v>
      </c>
    </row>
    <row r="984" spans="4:135" ht="12" customHeight="1" x14ac:dyDescent="0.25">
      <c r="D984" s="11">
        <v>968</v>
      </c>
      <c r="E984" s="72">
        <v>202.58243943956833</v>
      </c>
      <c r="F984" s="72">
        <v>178.7355801614419</v>
      </c>
      <c r="G984" s="73"/>
      <c r="H984" s="74">
        <v>5.8294725332083974</v>
      </c>
      <c r="I984" s="74">
        <v>5.8496414725095356</v>
      </c>
      <c r="J984" s="73"/>
      <c r="K984" s="72">
        <v>217.15671435744966</v>
      </c>
      <c r="L984" s="72">
        <v>192.72319445736852</v>
      </c>
      <c r="M984" s="73"/>
      <c r="N984" s="74">
        <v>6.6624089422796455</v>
      </c>
      <c r="O984" s="74">
        <v>6.6797538356661885</v>
      </c>
      <c r="P984" s="73"/>
      <c r="Q984" s="72">
        <v>2094.2568465036538</v>
      </c>
      <c r="R984" s="72">
        <v>1427.7678821791571</v>
      </c>
      <c r="S984" s="73"/>
      <c r="T984" s="74">
        <v>4.8601595998272913</v>
      </c>
      <c r="U984" s="74">
        <v>4.9251551103499613</v>
      </c>
      <c r="V984" s="73"/>
      <c r="W984" s="72">
        <v>11738.946486657731</v>
      </c>
      <c r="X984" s="72">
        <v>11758.648323034515</v>
      </c>
      <c r="Y984" s="73"/>
      <c r="Z984" s="74">
        <v>2.9739555684538539</v>
      </c>
      <c r="AA984" s="74">
        <v>3.0221201985014705</v>
      </c>
      <c r="AB984" s="73"/>
      <c r="AC984" s="72">
        <v>50216.210703511912</v>
      </c>
      <c r="AD984" s="72">
        <v>50301.592619060219</v>
      </c>
      <c r="AE984" s="73"/>
      <c r="AF984" s="74">
        <v>4.9202112304886771</v>
      </c>
      <c r="AG984" s="74">
        <v>4.9683020028328988</v>
      </c>
      <c r="AH984" s="73"/>
      <c r="AI984" s="72">
        <v>2541098.3326445906</v>
      </c>
      <c r="AJ984" s="72">
        <v>0</v>
      </c>
      <c r="AK984" s="73"/>
      <c r="AL984" s="74">
        <v>-2149.1827259760976</v>
      </c>
      <c r="AM984" s="74">
        <v>0</v>
      </c>
      <c r="AN984" s="73"/>
      <c r="AO984" s="72">
        <v>160272.11884931344</v>
      </c>
      <c r="AP984" s="72">
        <v>0</v>
      </c>
      <c r="AQ984" s="73"/>
      <c r="AR984" s="74">
        <v>-113.77414411205885</v>
      </c>
      <c r="AS984" s="74">
        <v>0</v>
      </c>
      <c r="AT984" s="73"/>
      <c r="AU984" s="72">
        <v>15569071.694762301</v>
      </c>
      <c r="AV984" s="72">
        <v>0</v>
      </c>
      <c r="AW984" s="73"/>
      <c r="AX984" s="74">
        <v>-1518.2843487749774</v>
      </c>
      <c r="AY984" s="74">
        <v>0</v>
      </c>
      <c r="AZ984" s="73"/>
      <c r="BA984" s="72">
        <v>-164329.76856881336</v>
      </c>
      <c r="BB984" s="72">
        <v>0</v>
      </c>
      <c r="BC984" s="73"/>
      <c r="BD984" s="74">
        <v>-401.73323732675294</v>
      </c>
      <c r="BE984" s="74">
        <v>0</v>
      </c>
      <c r="BF984" s="73"/>
      <c r="BG984" s="72">
        <v>-1344423.0095222879</v>
      </c>
      <c r="BH984" s="72">
        <v>0</v>
      </c>
      <c r="BI984" s="73"/>
      <c r="BJ984" s="74">
        <v>-757.23694496746032</v>
      </c>
      <c r="BK984" s="74">
        <v>0</v>
      </c>
      <c r="BL984" s="73"/>
      <c r="BM984" s="72">
        <v>16761689.368165104</v>
      </c>
      <c r="BN984" s="72">
        <v>0</v>
      </c>
      <c r="BO984" s="73"/>
      <c r="BP984" s="74">
        <v>-4940.2114011573476</v>
      </c>
      <c r="BQ984" s="74">
        <v>0</v>
      </c>
      <c r="BS984" s="109">
        <f t="shared" si="369"/>
        <v>116386.86822472837</v>
      </c>
      <c r="BT984" s="109">
        <f t="shared" si="370"/>
        <v>116814.09387002926</v>
      </c>
      <c r="BV984" s="58">
        <f t="array" ref="BV984">SUM(IF(BS984:BT984&gt;=BS984, 1))</f>
        <v>2</v>
      </c>
      <c r="BW984" s="58">
        <f t="array" ref="BW984">SUM(IF(BS984:BT984&gt;=BT984, 1))</f>
        <v>1</v>
      </c>
      <c r="BY984" s="109">
        <f t="shared" si="371"/>
        <v>133031.02213123548</v>
      </c>
      <c r="BZ984" s="109">
        <f t="shared" si="372"/>
        <v>133402.35351886641</v>
      </c>
      <c r="CB984" s="58">
        <f t="array" ref="CB984">SUM(IF(BY984:BZ984&gt;=BY984, 1))</f>
        <v>2</v>
      </c>
      <c r="CC984" s="58">
        <f t="array" ref="CC984">SUM(IF(BY984:BZ984&gt;=BZ984, 1))</f>
        <v>1</v>
      </c>
      <c r="CE984" s="109">
        <f t="shared" si="373"/>
        <v>95108.935150042162</v>
      </c>
      <c r="CF984" s="109">
        <f t="shared" si="374"/>
        <v>97075.334324820069</v>
      </c>
      <c r="CH984" s="58">
        <f t="array" ref="CH984">SUM(IF(CE984:CF984&gt;=CE984, 1))</f>
        <v>2</v>
      </c>
      <c r="CI984" s="58">
        <f t="array" ref="CI984">SUM(IF(CE984:CF984&gt;=CF984, 1))</f>
        <v>1</v>
      </c>
      <c r="CK984" s="109">
        <f t="shared" si="375"/>
        <v>47740.164882419347</v>
      </c>
      <c r="CL984" s="109">
        <f t="shared" si="376"/>
        <v>48683.75564699489</v>
      </c>
      <c r="CN984" s="58">
        <f t="array" ref="CN984">SUM(IF(CK984:CL984&gt;=CK984, 1))</f>
        <v>2</v>
      </c>
      <c r="CO984" s="58">
        <f t="array" ref="CO984">SUM(IF(CK984:CL984&gt;=CL984, 1))</f>
        <v>1</v>
      </c>
      <c r="CQ984" s="109" cm="1">
        <f t="array" ref="CQ984">AF984*WTP-AC984</f>
        <v>48188.013906261636</v>
      </c>
      <c r="CR984" s="109">
        <f t="shared" si="377"/>
        <v>49064.447437597759</v>
      </c>
      <c r="CT984" s="58">
        <f t="array" ref="CT984">SUM(IF(CQ984:CR984&gt;=CQ984, 1))</f>
        <v>2</v>
      </c>
      <c r="CU984" s="58">
        <f t="array" ref="CU984">SUM(IF(CQ984:CR984&gt;=CR984, 1))</f>
        <v>1</v>
      </c>
      <c r="CW984" s="109">
        <f t="shared" si="378"/>
        <v>-45524752.852166541</v>
      </c>
      <c r="CX984" s="109">
        <f t="shared" si="379"/>
        <v>0</v>
      </c>
      <c r="CZ984" s="58">
        <f t="array" ref="CZ984">SUM(IF(CW984:CX984&gt;=CW984, 1))</f>
        <v>2</v>
      </c>
      <c r="DA984" s="58">
        <f t="array" ref="DA984">SUM(IF(CW984:CX984&gt;=CX984, 1))</f>
        <v>1</v>
      </c>
      <c r="DC984" s="109">
        <f t="shared" si="380"/>
        <v>-2435755.0010904903</v>
      </c>
      <c r="DD984" s="109">
        <f t="shared" si="381"/>
        <v>0</v>
      </c>
      <c r="DF984" s="58">
        <f t="array" ref="DF984">SUM(IF(DC984:DD984&gt;=DC984, 1))</f>
        <v>2</v>
      </c>
      <c r="DG984" s="58">
        <f t="array" ref="DG984">SUM(IF(DC984:DD984&gt;=DD984, 1))</f>
        <v>1</v>
      </c>
      <c r="DI984" s="109">
        <f t="shared" si="382"/>
        <v>-45934758.670261845</v>
      </c>
      <c r="DJ984" s="109">
        <f t="shared" si="383"/>
        <v>0</v>
      </c>
      <c r="DL984" s="58">
        <f t="array" ref="DL984">SUM(IF(DI984:DJ984&gt;=DI984, 1))</f>
        <v>2</v>
      </c>
      <c r="DM984" s="58">
        <f t="array" ref="DM984">SUM(IF(DI984:DJ984&gt;=DJ984, 1))</f>
        <v>1</v>
      </c>
      <c r="DO984" s="109">
        <f t="shared" si="384"/>
        <v>-7870334.9779662453</v>
      </c>
      <c r="DP984" s="109">
        <f t="shared" si="385"/>
        <v>0</v>
      </c>
      <c r="DR984" s="58">
        <f t="array" ref="DR984">SUM(IF(DO984:DP984&gt;=DO984, 1))</f>
        <v>2</v>
      </c>
      <c r="DS984" s="58">
        <f t="array" ref="DS984">SUM(IF(DO984:DP984&gt;=DP984, 1))</f>
        <v>1</v>
      </c>
      <c r="DU984" s="109">
        <f t="shared" si="386"/>
        <v>-13800315.88982692</v>
      </c>
      <c r="DV984" s="109">
        <f t="shared" si="387"/>
        <v>0</v>
      </c>
      <c r="DX984" s="58">
        <f t="array" ref="DX984">SUM(IF(DU984:DV984&gt;=DU984, 1))</f>
        <v>2</v>
      </c>
      <c r="DY984" s="58">
        <f t="array" ref="DY984">SUM(IF(DU984:DV984&gt;=DV984, 1))</f>
        <v>1</v>
      </c>
      <c r="EA984" s="109">
        <f t="shared" si="388"/>
        <v>-115565917.39131206</v>
      </c>
      <c r="EB984" s="109">
        <f t="shared" si="389"/>
        <v>0</v>
      </c>
      <c r="ED984" s="58">
        <f t="array" ref="ED984">SUM(IF(EA984:EB984&gt;=EA984, 1))</f>
        <v>2</v>
      </c>
      <c r="EE984" s="58">
        <f t="array" ref="EE984">SUM(IF(EA984:EB984&gt;=EB984, 1))</f>
        <v>1</v>
      </c>
    </row>
    <row r="985" spans="4:135" ht="12" customHeight="1" x14ac:dyDescent="0.25">
      <c r="D985" s="11">
        <v>969</v>
      </c>
      <c r="E985" s="72">
        <v>229.13499597433346</v>
      </c>
      <c r="F985" s="72">
        <v>206.62364346454515</v>
      </c>
      <c r="G985" s="73"/>
      <c r="H985" s="74">
        <v>5.8573713444543563</v>
      </c>
      <c r="I985" s="74">
        <v>5.8713763041181766</v>
      </c>
      <c r="J985" s="73"/>
      <c r="K985" s="72">
        <v>245.75215877567501</v>
      </c>
      <c r="L985" s="72">
        <v>222.69792747077446</v>
      </c>
      <c r="M985" s="73"/>
      <c r="N985" s="74">
        <v>6.678817612260203</v>
      </c>
      <c r="O985" s="74">
        <v>6.6905515876523465</v>
      </c>
      <c r="P985" s="73"/>
      <c r="Q985" s="72">
        <v>2015.9801293857715</v>
      </c>
      <c r="R985" s="72">
        <v>1175.448546750963</v>
      </c>
      <c r="S985" s="73"/>
      <c r="T985" s="74">
        <v>4.7946288249045264</v>
      </c>
      <c r="U985" s="74">
        <v>4.8935853174732751</v>
      </c>
      <c r="V985" s="73"/>
      <c r="W985" s="72">
        <v>14227.19573167716</v>
      </c>
      <c r="X985" s="72">
        <v>14229.262181063659</v>
      </c>
      <c r="Y985" s="73"/>
      <c r="Z985" s="74">
        <v>2.9135483264465556</v>
      </c>
      <c r="AA985" s="74">
        <v>2.9602075217021873</v>
      </c>
      <c r="AB985" s="73"/>
      <c r="AC985" s="72">
        <v>49437.768629988415</v>
      </c>
      <c r="AD985" s="72">
        <v>49573.369709253297</v>
      </c>
      <c r="AE985" s="73"/>
      <c r="AF985" s="74">
        <v>3.5234570915832402</v>
      </c>
      <c r="AG985" s="74">
        <v>3.6270196323847315</v>
      </c>
      <c r="AH985" s="73"/>
      <c r="AI985" s="72">
        <v>2413732.6780741904</v>
      </c>
      <c r="AJ985" s="72">
        <v>0</v>
      </c>
      <c r="AK985" s="73"/>
      <c r="AL985" s="74">
        <v>-1501.6525009314914</v>
      </c>
      <c r="AM985" s="74">
        <v>0</v>
      </c>
      <c r="AN985" s="73"/>
      <c r="AO985" s="72">
        <v>152840.7737700594</v>
      </c>
      <c r="AP985" s="72">
        <v>0</v>
      </c>
      <c r="AQ985" s="73"/>
      <c r="AR985" s="74">
        <v>-77.791788180455384</v>
      </c>
      <c r="AS985" s="74">
        <v>0</v>
      </c>
      <c r="AT985" s="73"/>
      <c r="AU985" s="72">
        <v>19203280.382575255</v>
      </c>
      <c r="AV985" s="72">
        <v>0</v>
      </c>
      <c r="AW985" s="73"/>
      <c r="AX985" s="74">
        <v>-2260.8184055583997</v>
      </c>
      <c r="AY985" s="74">
        <v>0</v>
      </c>
      <c r="AZ985" s="73"/>
      <c r="BA985" s="72">
        <v>-18138.5835426136</v>
      </c>
      <c r="BB985" s="72">
        <v>0</v>
      </c>
      <c r="BC985" s="73"/>
      <c r="BD985" s="74">
        <v>-409.55840327129698</v>
      </c>
      <c r="BE985" s="74">
        <v>0</v>
      </c>
      <c r="BF985" s="73"/>
      <c r="BG985" s="72">
        <v>-2187557.5973409447</v>
      </c>
      <c r="BH985" s="72">
        <v>0</v>
      </c>
      <c r="BI985" s="73"/>
      <c r="BJ985" s="74">
        <v>-1670.7022109145321</v>
      </c>
      <c r="BK985" s="74">
        <v>0</v>
      </c>
      <c r="BL985" s="73"/>
      <c r="BM985" s="72">
        <v>19564157.653535943</v>
      </c>
      <c r="BN985" s="72">
        <v>0</v>
      </c>
      <c r="BO985" s="73"/>
      <c r="BP985" s="74">
        <v>-5920.5233088561754</v>
      </c>
      <c r="BQ985" s="74">
        <v>0</v>
      </c>
      <c r="BS985" s="109">
        <f t="shared" si="369"/>
        <v>116918.29189311279</v>
      </c>
      <c r="BT985" s="109">
        <f t="shared" si="370"/>
        <v>117220.90243889899</v>
      </c>
      <c r="BV985" s="58">
        <f t="array" ref="BV985">SUM(IF(BS985:BT985&gt;=BS985, 1))</f>
        <v>2</v>
      </c>
      <c r="BW985" s="58">
        <f t="array" ref="BW985">SUM(IF(BS985:BT985&gt;=BT985, 1))</f>
        <v>1</v>
      </c>
      <c r="BY985" s="109">
        <f t="shared" si="371"/>
        <v>133330.6000864284</v>
      </c>
      <c r="BZ985" s="109">
        <f t="shared" si="372"/>
        <v>133588.33382557615</v>
      </c>
      <c r="CB985" s="58">
        <f t="array" ref="CB985">SUM(IF(BY985:BZ985&gt;=BY985, 1))</f>
        <v>2</v>
      </c>
      <c r="CC985" s="58">
        <f t="array" ref="CC985">SUM(IF(BY985:BZ985&gt;=BZ985, 1))</f>
        <v>1</v>
      </c>
      <c r="CE985" s="109">
        <f t="shared" si="373"/>
        <v>93876.596368704748</v>
      </c>
      <c r="CF985" s="109">
        <f t="shared" si="374"/>
        <v>96696.257802714536</v>
      </c>
      <c r="CH985" s="58">
        <f t="array" ref="CH985">SUM(IF(CE985:CF985&gt;=CE985, 1))</f>
        <v>2</v>
      </c>
      <c r="CI985" s="58">
        <f t="array" ref="CI985">SUM(IF(CE985:CF985&gt;=CF985, 1))</f>
        <v>1</v>
      </c>
      <c r="CK985" s="109">
        <f t="shared" si="375"/>
        <v>44043.77079725395</v>
      </c>
      <c r="CL985" s="109">
        <f t="shared" si="376"/>
        <v>44974.88825298009</v>
      </c>
      <c r="CN985" s="58">
        <f t="array" ref="CN985">SUM(IF(CK985:CL985&gt;=CK985, 1))</f>
        <v>2</v>
      </c>
      <c r="CO985" s="58">
        <f t="array" ref="CO985">SUM(IF(CK985:CL985&gt;=CL985, 1))</f>
        <v>1</v>
      </c>
      <c r="CQ985" s="109" cm="1">
        <f t="array" ref="CQ985">AF985*WTP-AC985</f>
        <v>21031.37320167639</v>
      </c>
      <c r="CR985" s="109">
        <f t="shared" si="377"/>
        <v>22967.02293844134</v>
      </c>
      <c r="CT985" s="58">
        <f t="array" ref="CT985">SUM(IF(CQ985:CR985&gt;=CQ985, 1))</f>
        <v>2</v>
      </c>
      <c r="CU985" s="58">
        <f t="array" ref="CU985">SUM(IF(CQ985:CR985&gt;=CR985, 1))</f>
        <v>1</v>
      </c>
      <c r="CW985" s="109">
        <f t="shared" si="378"/>
        <v>-32446782.696704023</v>
      </c>
      <c r="CX985" s="109">
        <f t="shared" si="379"/>
        <v>0</v>
      </c>
      <c r="CZ985" s="58">
        <f t="array" ref="CZ985">SUM(IF(CW985:CX985&gt;=CW985, 1))</f>
        <v>2</v>
      </c>
      <c r="DA985" s="58">
        <f t="array" ref="DA985">SUM(IF(CW985:CX985&gt;=CX985, 1))</f>
        <v>1</v>
      </c>
      <c r="DC985" s="109">
        <f t="shared" si="380"/>
        <v>-1708676.537379167</v>
      </c>
      <c r="DD985" s="109">
        <f t="shared" si="381"/>
        <v>0</v>
      </c>
      <c r="DF985" s="58">
        <f t="array" ref="DF985">SUM(IF(DC985:DD985&gt;=DC985, 1))</f>
        <v>2</v>
      </c>
      <c r="DG985" s="58">
        <f t="array" ref="DG985">SUM(IF(DC985:DD985&gt;=DD985, 1))</f>
        <v>1</v>
      </c>
      <c r="DI985" s="109">
        <f t="shared" si="382"/>
        <v>-64419648.493743256</v>
      </c>
      <c r="DJ985" s="109">
        <f t="shared" si="383"/>
        <v>0</v>
      </c>
      <c r="DL985" s="58">
        <f t="array" ref="DL985">SUM(IF(DI985:DJ985&gt;=DI985, 1))</f>
        <v>2</v>
      </c>
      <c r="DM985" s="58">
        <f t="array" ref="DM985">SUM(IF(DI985:DJ985&gt;=DJ985, 1))</f>
        <v>1</v>
      </c>
      <c r="DO985" s="109">
        <f t="shared" si="384"/>
        <v>-8173029.4818833265</v>
      </c>
      <c r="DP985" s="109">
        <f t="shared" si="385"/>
        <v>0</v>
      </c>
      <c r="DR985" s="58">
        <f t="array" ref="DR985">SUM(IF(DO985:DP985&gt;=DO985, 1))</f>
        <v>2</v>
      </c>
      <c r="DS985" s="58">
        <f t="array" ref="DS985">SUM(IF(DO985:DP985&gt;=DP985, 1))</f>
        <v>1</v>
      </c>
      <c r="DU985" s="109">
        <f t="shared" si="386"/>
        <v>-31226486.620949697</v>
      </c>
      <c r="DV985" s="109">
        <f t="shared" si="387"/>
        <v>0</v>
      </c>
      <c r="DX985" s="58">
        <f t="array" ref="DX985">SUM(IF(DU985:DV985&gt;=DU985, 1))</f>
        <v>2</v>
      </c>
      <c r="DY985" s="58">
        <f t="array" ref="DY985">SUM(IF(DU985:DV985&gt;=DV985, 1))</f>
        <v>1</v>
      </c>
      <c r="EA985" s="109">
        <f t="shared" si="388"/>
        <v>-137974623.83065945</v>
      </c>
      <c r="EB985" s="109">
        <f t="shared" si="389"/>
        <v>0</v>
      </c>
      <c r="ED985" s="58">
        <f t="array" ref="ED985">SUM(IF(EA985:EB985&gt;=EA985, 1))</f>
        <v>2</v>
      </c>
      <c r="EE985" s="58">
        <f t="array" ref="EE985">SUM(IF(EA985:EB985&gt;=EB985, 1))</f>
        <v>1</v>
      </c>
    </row>
    <row r="986" spans="4:135" ht="12" customHeight="1" x14ac:dyDescent="0.25">
      <c r="D986" s="11">
        <v>970</v>
      </c>
      <c r="E986" s="72">
        <v>293.17813082432576</v>
      </c>
      <c r="F986" s="72">
        <v>270.05364968059865</v>
      </c>
      <c r="G986" s="73"/>
      <c r="H986" s="74">
        <v>5.7909537315099699</v>
      </c>
      <c r="I986" s="74">
        <v>5.8123996206193436</v>
      </c>
      <c r="J986" s="73"/>
      <c r="K986" s="72">
        <v>314.99094473583216</v>
      </c>
      <c r="L986" s="72">
        <v>291.31662686605114</v>
      </c>
      <c r="M986" s="73"/>
      <c r="N986" s="74">
        <v>6.7143938987022622</v>
      </c>
      <c r="O986" s="74">
        <v>6.734027044781465</v>
      </c>
      <c r="P986" s="73"/>
      <c r="Q986" s="72">
        <v>2296.2210815533454</v>
      </c>
      <c r="R986" s="72">
        <v>1404.1810880223941</v>
      </c>
      <c r="S986" s="73"/>
      <c r="T986" s="74">
        <v>4.9312204195943279</v>
      </c>
      <c r="U986" s="74">
        <v>5.0046878905477801</v>
      </c>
      <c r="V986" s="73"/>
      <c r="W986" s="72">
        <v>10516.457824934581</v>
      </c>
      <c r="X986" s="72">
        <v>10552.130283260914</v>
      </c>
      <c r="Y986" s="73"/>
      <c r="Z986" s="74">
        <v>2.8880260787102916</v>
      </c>
      <c r="AA986" s="74">
        <v>2.9427328742445087</v>
      </c>
      <c r="AB986" s="73"/>
      <c r="AC986" s="72">
        <v>49456.376975715655</v>
      </c>
      <c r="AD986" s="72">
        <v>49390.520441884932</v>
      </c>
      <c r="AE986" s="73"/>
      <c r="AF986" s="74">
        <v>4.2339860635924715</v>
      </c>
      <c r="AG986" s="74">
        <v>4.3141829756726473</v>
      </c>
      <c r="AH986" s="73"/>
      <c r="AI986" s="72">
        <v>2515890.2358526262</v>
      </c>
      <c r="AJ986" s="72">
        <v>0</v>
      </c>
      <c r="AK986" s="73"/>
      <c r="AL986" s="74">
        <v>-2333.2632924431068</v>
      </c>
      <c r="AM986" s="74">
        <v>0</v>
      </c>
      <c r="AN986" s="73"/>
      <c r="AO986" s="72">
        <v>162765.66364279826</v>
      </c>
      <c r="AP986" s="72">
        <v>0</v>
      </c>
      <c r="AQ986" s="73"/>
      <c r="AR986" s="74">
        <v>-134.98180047064628</v>
      </c>
      <c r="AS986" s="74">
        <v>0</v>
      </c>
      <c r="AT986" s="73"/>
      <c r="AU986" s="72">
        <v>20872843.211879667</v>
      </c>
      <c r="AV986" s="72">
        <v>0</v>
      </c>
      <c r="AW986" s="73"/>
      <c r="AX986" s="74">
        <v>-1719.065303692041</v>
      </c>
      <c r="AY986" s="74">
        <v>0</v>
      </c>
      <c r="AZ986" s="73"/>
      <c r="BA986" s="72">
        <v>-326826.42853261257</v>
      </c>
      <c r="BB986" s="72">
        <v>0</v>
      </c>
      <c r="BC986" s="73"/>
      <c r="BD986" s="74">
        <v>-501.21655304348565</v>
      </c>
      <c r="BE986" s="74">
        <v>0</v>
      </c>
      <c r="BF986" s="73"/>
      <c r="BG986" s="72">
        <v>1042817.7600412045</v>
      </c>
      <c r="BH986" s="72">
        <v>0</v>
      </c>
      <c r="BI986" s="73"/>
      <c r="BJ986" s="74">
        <v>-1269.8931959072336</v>
      </c>
      <c r="BK986" s="74">
        <v>0</v>
      </c>
      <c r="BL986" s="73"/>
      <c r="BM986" s="72">
        <v>24267490.442883682</v>
      </c>
      <c r="BN986" s="72">
        <v>0</v>
      </c>
      <c r="BO986" s="73"/>
      <c r="BP986" s="74">
        <v>-5958.4201455565135</v>
      </c>
      <c r="BQ986" s="74">
        <v>0</v>
      </c>
      <c r="BS986" s="109">
        <f t="shared" si="369"/>
        <v>115525.89649937507</v>
      </c>
      <c r="BT986" s="109">
        <f t="shared" si="370"/>
        <v>115977.93876270627</v>
      </c>
      <c r="BV986" s="58">
        <f t="array" ref="BV986">SUM(IF(BS986:BT986&gt;=BS986, 1))</f>
        <v>2</v>
      </c>
      <c r="BW986" s="58">
        <f t="array" ref="BW986">SUM(IF(BS986:BT986&gt;=BT986, 1))</f>
        <v>1</v>
      </c>
      <c r="BY986" s="109">
        <f t="shared" si="371"/>
        <v>133972.88702930941</v>
      </c>
      <c r="BZ986" s="109">
        <f t="shared" si="372"/>
        <v>134389.22426876324</v>
      </c>
      <c r="CB986" s="58">
        <f t="array" ref="CB986">SUM(IF(BY986:BZ986&gt;=BY986, 1))</f>
        <v>2</v>
      </c>
      <c r="CC986" s="58">
        <f t="array" ref="CC986">SUM(IF(BY986:BZ986&gt;=BZ986, 1))</f>
        <v>1</v>
      </c>
      <c r="CE986" s="109">
        <f t="shared" si="373"/>
        <v>96328.187310333204</v>
      </c>
      <c r="CF986" s="109">
        <f t="shared" si="374"/>
        <v>98689.576722933212</v>
      </c>
      <c r="CH986" s="58">
        <f t="array" ref="CH986">SUM(IF(CE986:CF986&gt;=CE986, 1))</f>
        <v>2</v>
      </c>
      <c r="CI986" s="58">
        <f t="array" ref="CI986">SUM(IF(CE986:CF986&gt;=CF986, 1))</f>
        <v>1</v>
      </c>
      <c r="CK986" s="109">
        <f t="shared" si="375"/>
        <v>47244.063749271256</v>
      </c>
      <c r="CL986" s="109">
        <f t="shared" si="376"/>
        <v>48302.527201629258</v>
      </c>
      <c r="CN986" s="58">
        <f t="array" ref="CN986">SUM(IF(CK986:CL986&gt;=CK986, 1))</f>
        <v>2</v>
      </c>
      <c r="CO986" s="58">
        <f t="array" ref="CO986">SUM(IF(CK986:CL986&gt;=CL986, 1))</f>
        <v>1</v>
      </c>
      <c r="CQ986" s="109" cm="1">
        <f t="array" ref="CQ986">AF986*WTP-AC986</f>
        <v>35223.344296133771</v>
      </c>
      <c r="CR986" s="109">
        <f t="shared" si="377"/>
        <v>36893.139071568017</v>
      </c>
      <c r="CT986" s="58">
        <f t="array" ref="CT986">SUM(IF(CQ986:CR986&gt;=CQ986, 1))</f>
        <v>2</v>
      </c>
      <c r="CU986" s="58">
        <f t="array" ref="CU986">SUM(IF(CQ986:CR986&gt;=CR986, 1))</f>
        <v>1</v>
      </c>
      <c r="CW986" s="109">
        <f t="shared" si="378"/>
        <v>-49181156.084714763</v>
      </c>
      <c r="CX986" s="109">
        <f t="shared" si="379"/>
        <v>0</v>
      </c>
      <c r="CZ986" s="58">
        <f t="array" ref="CZ986">SUM(IF(CW986:CX986&gt;=CW986, 1))</f>
        <v>2</v>
      </c>
      <c r="DA986" s="58">
        <f t="array" ref="DA986">SUM(IF(CW986:CX986&gt;=CX986, 1))</f>
        <v>1</v>
      </c>
      <c r="DC986" s="109">
        <f t="shared" si="380"/>
        <v>-2862401.6730557238</v>
      </c>
      <c r="DD986" s="109">
        <f t="shared" si="381"/>
        <v>0</v>
      </c>
      <c r="DF986" s="58">
        <f t="array" ref="DF986">SUM(IF(DC986:DD986&gt;=DC986, 1))</f>
        <v>2</v>
      </c>
      <c r="DG986" s="58">
        <f t="array" ref="DG986">SUM(IF(DC986:DD986&gt;=DD986, 1))</f>
        <v>1</v>
      </c>
      <c r="DI986" s="109">
        <f t="shared" si="382"/>
        <v>-55254149.285720482</v>
      </c>
      <c r="DJ986" s="109">
        <f t="shared" si="383"/>
        <v>0</v>
      </c>
      <c r="DL986" s="58">
        <f t="array" ref="DL986">SUM(IF(DI986:DJ986&gt;=DI986, 1))</f>
        <v>2</v>
      </c>
      <c r="DM986" s="58">
        <f t="array" ref="DM986">SUM(IF(DI986:DJ986&gt;=DJ986, 1))</f>
        <v>1</v>
      </c>
      <c r="DO986" s="109">
        <f t="shared" si="384"/>
        <v>-9697504.6323370989</v>
      </c>
      <c r="DP986" s="109">
        <f t="shared" si="385"/>
        <v>0</v>
      </c>
      <c r="DR986" s="58">
        <f t="array" ref="DR986">SUM(IF(DO986:DP986&gt;=DO986, 1))</f>
        <v>2</v>
      </c>
      <c r="DS986" s="58">
        <f t="array" ref="DS986">SUM(IF(DO986:DP986&gt;=DP986, 1))</f>
        <v>1</v>
      </c>
      <c r="DU986" s="109">
        <f t="shared" si="386"/>
        <v>-26440681.678185876</v>
      </c>
      <c r="DV986" s="109">
        <f t="shared" si="387"/>
        <v>0</v>
      </c>
      <c r="DX986" s="58">
        <f t="array" ref="DX986">SUM(IF(DU986:DV986&gt;=DU986, 1))</f>
        <v>2</v>
      </c>
      <c r="DY986" s="58">
        <f t="array" ref="DY986">SUM(IF(DU986:DV986&gt;=DV986, 1))</f>
        <v>1</v>
      </c>
      <c r="EA986" s="109">
        <f t="shared" si="388"/>
        <v>-143435893.35401395</v>
      </c>
      <c r="EB986" s="109">
        <f t="shared" si="389"/>
        <v>0</v>
      </c>
      <c r="ED986" s="58">
        <f t="array" ref="ED986">SUM(IF(EA986:EB986&gt;=EA986, 1))</f>
        <v>2</v>
      </c>
      <c r="EE986" s="58">
        <f t="array" ref="EE986">SUM(IF(EA986:EB986&gt;=EB986, 1))</f>
        <v>1</v>
      </c>
    </row>
    <row r="987" spans="4:135" ht="12" customHeight="1" x14ac:dyDescent="0.25">
      <c r="D987" s="11">
        <v>971</v>
      </c>
      <c r="E987" s="72">
        <v>248.26975882924276</v>
      </c>
      <c r="F987" s="72">
        <v>205.00261407223744</v>
      </c>
      <c r="G987" s="73"/>
      <c r="H987" s="74">
        <v>5.8459942502639937</v>
      </c>
      <c r="I987" s="74">
        <v>5.8620875594530819</v>
      </c>
      <c r="J987" s="73"/>
      <c r="K987" s="72">
        <v>265.14264557804194</v>
      </c>
      <c r="L987" s="72">
        <v>220.91906867419129</v>
      </c>
      <c r="M987" s="73"/>
      <c r="N987" s="74">
        <v>6.6653752494008494</v>
      </c>
      <c r="O987" s="74">
        <v>6.6794651093548252</v>
      </c>
      <c r="P987" s="73"/>
      <c r="Q987" s="72">
        <v>1954.8040601907903</v>
      </c>
      <c r="R987" s="72">
        <v>1254.9063800176536</v>
      </c>
      <c r="S987" s="73"/>
      <c r="T987" s="74">
        <v>5.0196408457317707</v>
      </c>
      <c r="U987" s="74">
        <v>5.1061188066658261</v>
      </c>
      <c r="V987" s="73"/>
      <c r="W987" s="72">
        <v>15763.703071242764</v>
      </c>
      <c r="X987" s="72">
        <v>15833.05334803679</v>
      </c>
      <c r="Y987" s="73"/>
      <c r="Z987" s="74">
        <v>3.1050002007456308</v>
      </c>
      <c r="AA987" s="74">
        <v>3.1627519328014135</v>
      </c>
      <c r="AB987" s="73"/>
      <c r="AC987" s="72">
        <v>48980.615835868281</v>
      </c>
      <c r="AD987" s="72">
        <v>49004.067243556958</v>
      </c>
      <c r="AE987" s="73"/>
      <c r="AF987" s="74">
        <v>4.6482859303815998</v>
      </c>
      <c r="AG987" s="74">
        <v>4.7036619905656618</v>
      </c>
      <c r="AH987" s="73"/>
      <c r="AI987" s="72">
        <v>4614157.0790784173</v>
      </c>
      <c r="AJ987" s="72">
        <v>0</v>
      </c>
      <c r="AK987" s="73"/>
      <c r="AL987" s="74">
        <v>-1716.2458243470389</v>
      </c>
      <c r="AM987" s="74">
        <v>0</v>
      </c>
      <c r="AN987" s="73"/>
      <c r="AO987" s="72">
        <v>286334.2013896578</v>
      </c>
      <c r="AP987" s="72">
        <v>0</v>
      </c>
      <c r="AQ987" s="73"/>
      <c r="AR987" s="74">
        <v>-91.227555075096248</v>
      </c>
      <c r="AS987" s="74">
        <v>0</v>
      </c>
      <c r="AT987" s="73"/>
      <c r="AU987" s="72">
        <v>16305352.724418165</v>
      </c>
      <c r="AV987" s="72">
        <v>0</v>
      </c>
      <c r="AW987" s="73"/>
      <c r="AX987" s="74">
        <v>-2014.6568503690655</v>
      </c>
      <c r="AY987" s="74">
        <v>0</v>
      </c>
      <c r="AZ987" s="73"/>
      <c r="BA987" s="72">
        <v>-605322.96414982411</v>
      </c>
      <c r="BB987" s="72">
        <v>0</v>
      </c>
      <c r="BC987" s="73"/>
      <c r="BD987" s="74">
        <v>-504.08522141333543</v>
      </c>
      <c r="BE987" s="74">
        <v>0</v>
      </c>
      <c r="BF987" s="73"/>
      <c r="BG987" s="72">
        <v>-367991.11428998644</v>
      </c>
      <c r="BH987" s="72">
        <v>0</v>
      </c>
      <c r="BI987" s="73"/>
      <c r="BJ987" s="74">
        <v>-868.94136005154394</v>
      </c>
      <c r="BK987" s="74">
        <v>0</v>
      </c>
      <c r="BL987" s="73"/>
      <c r="BM987" s="72">
        <v>20232529.926446427</v>
      </c>
      <c r="BN987" s="72">
        <v>0</v>
      </c>
      <c r="BO987" s="73"/>
      <c r="BP987" s="74">
        <v>-5195.1568112560799</v>
      </c>
      <c r="BQ987" s="74">
        <v>0</v>
      </c>
      <c r="BS987" s="109">
        <f t="shared" si="369"/>
        <v>116671.61524645063</v>
      </c>
      <c r="BT987" s="109">
        <f t="shared" si="370"/>
        <v>117036.74857498941</v>
      </c>
      <c r="BV987" s="58">
        <f t="array" ref="BV987">SUM(IF(BS987:BT987&gt;=BS987, 1))</f>
        <v>2</v>
      </c>
      <c r="BW987" s="58">
        <f t="array" ref="BW987">SUM(IF(BS987:BT987&gt;=BT987, 1))</f>
        <v>1</v>
      </c>
      <c r="BY987" s="109">
        <f t="shared" si="371"/>
        <v>133042.36234243895</v>
      </c>
      <c r="BZ987" s="109">
        <f t="shared" si="372"/>
        <v>133368.38311842232</v>
      </c>
      <c r="CB987" s="58">
        <f t="array" ref="CB987">SUM(IF(BY987:BZ987&gt;=BY987, 1))</f>
        <v>2</v>
      </c>
      <c r="CC987" s="58">
        <f t="array" ref="CC987">SUM(IF(BY987:BZ987&gt;=BZ987, 1))</f>
        <v>1</v>
      </c>
      <c r="CE987" s="109">
        <f t="shared" si="373"/>
        <v>98438.012854444634</v>
      </c>
      <c r="CF987" s="109">
        <f t="shared" si="374"/>
        <v>100867.46975329886</v>
      </c>
      <c r="CH987" s="58">
        <f t="array" ref="CH987">SUM(IF(CE987:CF987&gt;=CE987, 1))</f>
        <v>2</v>
      </c>
      <c r="CI987" s="58">
        <f t="array" ref="CI987">SUM(IF(CE987:CF987&gt;=CF987, 1))</f>
        <v>1</v>
      </c>
      <c r="CK987" s="109">
        <f t="shared" si="375"/>
        <v>46336.300943669848</v>
      </c>
      <c r="CL987" s="109">
        <f t="shared" si="376"/>
        <v>47421.985307991483</v>
      </c>
      <c r="CN987" s="58">
        <f t="array" ref="CN987">SUM(IF(CK987:CL987&gt;=CK987, 1))</f>
        <v>2</v>
      </c>
      <c r="CO987" s="58">
        <f t="array" ref="CO987">SUM(IF(CK987:CL987&gt;=CL987, 1))</f>
        <v>1</v>
      </c>
      <c r="CQ987" s="109" cm="1">
        <f t="array" ref="CQ987">AF987*WTP-AC987</f>
        <v>43985.102771763712</v>
      </c>
      <c r="CR987" s="109">
        <f t="shared" si="377"/>
        <v>45069.172567756279</v>
      </c>
      <c r="CT987" s="58">
        <f t="array" ref="CT987">SUM(IF(CQ987:CR987&gt;=CQ987, 1))</f>
        <v>2</v>
      </c>
      <c r="CU987" s="58">
        <f t="array" ref="CU987">SUM(IF(CQ987:CR987&gt;=CR987, 1))</f>
        <v>1</v>
      </c>
      <c r="CW987" s="109">
        <f t="shared" si="378"/>
        <v>-38939073.566019192</v>
      </c>
      <c r="CX987" s="109">
        <f t="shared" si="379"/>
        <v>0</v>
      </c>
      <c r="CZ987" s="58">
        <f t="array" ref="CZ987">SUM(IF(CW987:CX987&gt;=CW987, 1))</f>
        <v>2</v>
      </c>
      <c r="DA987" s="58">
        <f t="array" ref="DA987">SUM(IF(CW987:CX987&gt;=CX987, 1))</f>
        <v>1</v>
      </c>
      <c r="DC987" s="109">
        <f t="shared" si="380"/>
        <v>-2110885.3028915827</v>
      </c>
      <c r="DD987" s="109">
        <f t="shared" si="381"/>
        <v>0</v>
      </c>
      <c r="DF987" s="58">
        <f t="array" ref="DF987">SUM(IF(DC987:DD987&gt;=DC987, 1))</f>
        <v>2</v>
      </c>
      <c r="DG987" s="58">
        <f t="array" ref="DG987">SUM(IF(DC987:DD987&gt;=DD987, 1))</f>
        <v>1</v>
      </c>
      <c r="DI987" s="109">
        <f t="shared" si="382"/>
        <v>-56598489.731799476</v>
      </c>
      <c r="DJ987" s="109">
        <f t="shared" si="383"/>
        <v>0</v>
      </c>
      <c r="DL987" s="58">
        <f t="array" ref="DL987">SUM(IF(DI987:DJ987&gt;=DI987, 1))</f>
        <v>2</v>
      </c>
      <c r="DM987" s="58">
        <f t="array" ref="DM987">SUM(IF(DI987:DJ987&gt;=DJ987, 1))</f>
        <v>1</v>
      </c>
      <c r="DO987" s="109">
        <f t="shared" si="384"/>
        <v>-9476381.4641168844</v>
      </c>
      <c r="DP987" s="109">
        <f t="shared" si="385"/>
        <v>0</v>
      </c>
      <c r="DR987" s="58">
        <f t="array" ref="DR987">SUM(IF(DO987:DP987&gt;=DO987, 1))</f>
        <v>2</v>
      </c>
      <c r="DS987" s="58">
        <f t="array" ref="DS987">SUM(IF(DO987:DP987&gt;=DP987, 1))</f>
        <v>1</v>
      </c>
      <c r="DU987" s="109">
        <f t="shared" si="386"/>
        <v>-17010836.086740892</v>
      </c>
      <c r="DV987" s="109">
        <f t="shared" si="387"/>
        <v>0</v>
      </c>
      <c r="DX987" s="58">
        <f t="array" ref="DX987">SUM(IF(DU987:DV987&gt;=DU987, 1))</f>
        <v>2</v>
      </c>
      <c r="DY987" s="58">
        <f t="array" ref="DY987">SUM(IF(DU987:DV987&gt;=DV987, 1))</f>
        <v>1</v>
      </c>
      <c r="EA987" s="109">
        <f t="shared" si="388"/>
        <v>-124135666.15156803</v>
      </c>
      <c r="EB987" s="109">
        <f t="shared" si="389"/>
        <v>0</v>
      </c>
      <c r="ED987" s="58">
        <f t="array" ref="ED987">SUM(IF(EA987:EB987&gt;=EA987, 1))</f>
        <v>2</v>
      </c>
      <c r="EE987" s="58">
        <f t="array" ref="EE987">SUM(IF(EA987:EB987&gt;=EB987, 1))</f>
        <v>1</v>
      </c>
    </row>
    <row r="988" spans="4:135" ht="12" customHeight="1" x14ac:dyDescent="0.25">
      <c r="D988" s="11">
        <v>972</v>
      </c>
      <c r="E988" s="72">
        <v>218.16538497643157</v>
      </c>
      <c r="F988" s="72">
        <v>201.25278450463003</v>
      </c>
      <c r="G988" s="73"/>
      <c r="H988" s="74">
        <v>5.7893469632895007</v>
      </c>
      <c r="I988" s="74">
        <v>5.8063941852923442</v>
      </c>
      <c r="J988" s="73"/>
      <c r="K988" s="72">
        <v>234.37065507663294</v>
      </c>
      <c r="L988" s="72">
        <v>217.03017952462687</v>
      </c>
      <c r="M988" s="73"/>
      <c r="N988" s="74">
        <v>6.7404071764845659</v>
      </c>
      <c r="O988" s="74">
        <v>6.7550583294028455</v>
      </c>
      <c r="P988" s="73"/>
      <c r="Q988" s="72">
        <v>2640.0316660964231</v>
      </c>
      <c r="R988" s="72">
        <v>1535.1191908416315</v>
      </c>
      <c r="S988" s="73"/>
      <c r="T988" s="74">
        <v>4.7097128440112419</v>
      </c>
      <c r="U988" s="74">
        <v>4.7934573571298946</v>
      </c>
      <c r="V988" s="73"/>
      <c r="W988" s="72">
        <v>10824.213739348046</v>
      </c>
      <c r="X988" s="72">
        <v>10862.312525563148</v>
      </c>
      <c r="Y988" s="73"/>
      <c r="Z988" s="74">
        <v>2.9585108321772311</v>
      </c>
      <c r="AA988" s="74">
        <v>3.0118604905401867</v>
      </c>
      <c r="AB988" s="73"/>
      <c r="AC988" s="72">
        <v>50812.558454500053</v>
      </c>
      <c r="AD988" s="72">
        <v>50552.721500577361</v>
      </c>
      <c r="AE988" s="73"/>
      <c r="AF988" s="74">
        <v>4.1926658433549981</v>
      </c>
      <c r="AG988" s="74">
        <v>4.2607952966219553</v>
      </c>
      <c r="AH988" s="73"/>
      <c r="AI988" s="72">
        <v>1811378.9093889736</v>
      </c>
      <c r="AJ988" s="72">
        <v>0</v>
      </c>
      <c r="AK988" s="73"/>
      <c r="AL988" s="74">
        <v>-1825.7971889720329</v>
      </c>
      <c r="AM988" s="74">
        <v>0</v>
      </c>
      <c r="AN988" s="73"/>
      <c r="AO988" s="72">
        <v>116249.73295162617</v>
      </c>
      <c r="AP988" s="72">
        <v>0</v>
      </c>
      <c r="AQ988" s="73"/>
      <c r="AR988" s="74">
        <v>-98.220640436034657</v>
      </c>
      <c r="AS988" s="74">
        <v>0</v>
      </c>
      <c r="AT988" s="73"/>
      <c r="AU988" s="72">
        <v>25582756.246517632</v>
      </c>
      <c r="AV988" s="72">
        <v>0</v>
      </c>
      <c r="AW988" s="73"/>
      <c r="AX988" s="74">
        <v>-1938.9911093218057</v>
      </c>
      <c r="AY988" s="74">
        <v>0</v>
      </c>
      <c r="AZ988" s="73"/>
      <c r="BA988" s="72">
        <v>-342532.08790176077</v>
      </c>
      <c r="BB988" s="72">
        <v>0</v>
      </c>
      <c r="BC988" s="73"/>
      <c r="BD988" s="74">
        <v>-479.64703559677844</v>
      </c>
      <c r="BE988" s="74">
        <v>0</v>
      </c>
      <c r="BF988" s="73"/>
      <c r="BG988" s="72">
        <v>4041444.1153006991</v>
      </c>
      <c r="BH988" s="72">
        <v>0</v>
      </c>
      <c r="BI988" s="73"/>
      <c r="BJ988" s="74">
        <v>-1059.669819198695</v>
      </c>
      <c r="BK988" s="74">
        <v>0</v>
      </c>
      <c r="BL988" s="73"/>
      <c r="BM988" s="72">
        <v>31209296.916257173</v>
      </c>
      <c r="BN988" s="72">
        <v>0</v>
      </c>
      <c r="BO988" s="73"/>
      <c r="BP988" s="74">
        <v>-5402.3257935253469</v>
      </c>
      <c r="BQ988" s="74">
        <v>0</v>
      </c>
      <c r="BS988" s="109">
        <f t="shared" si="369"/>
        <v>115568.77388081359</v>
      </c>
      <c r="BT988" s="109">
        <f t="shared" si="370"/>
        <v>115926.63092134225</v>
      </c>
      <c r="BV988" s="58">
        <f t="array" ref="BV988">SUM(IF(BS988:BT988&gt;=BS988, 1))</f>
        <v>2</v>
      </c>
      <c r="BW988" s="58">
        <f t="array" ref="BW988">SUM(IF(BS988:BT988&gt;=BT988, 1))</f>
        <v>1</v>
      </c>
      <c r="BY988" s="109">
        <f t="shared" si="371"/>
        <v>134573.77287461469</v>
      </c>
      <c r="BZ988" s="109">
        <f t="shared" si="372"/>
        <v>134884.1364085323</v>
      </c>
      <c r="CB988" s="58">
        <f t="array" ref="CB988">SUM(IF(BY988:BZ988&gt;=BY988, 1))</f>
        <v>2</v>
      </c>
      <c r="CC988" s="58">
        <f t="array" ref="CC988">SUM(IF(BY988:BZ988&gt;=BZ988, 1))</f>
        <v>1</v>
      </c>
      <c r="CE988" s="109">
        <f t="shared" si="373"/>
        <v>91554.225214128426</v>
      </c>
      <c r="CF988" s="109">
        <f t="shared" si="374"/>
        <v>94334.027951756259</v>
      </c>
      <c r="CH988" s="58">
        <f t="array" ref="CH988">SUM(IF(CE988:CF988&gt;=CE988, 1))</f>
        <v>2</v>
      </c>
      <c r="CI988" s="58">
        <f t="array" ref="CI988">SUM(IF(CE988:CF988&gt;=CF988, 1))</f>
        <v>1</v>
      </c>
      <c r="CK988" s="109">
        <f t="shared" si="375"/>
        <v>48346.002904196575</v>
      </c>
      <c r="CL988" s="109">
        <f t="shared" si="376"/>
        <v>49374.897285240586</v>
      </c>
      <c r="CN988" s="58">
        <f t="array" ref="CN988">SUM(IF(CK988:CL988&gt;=CK988, 1))</f>
        <v>2</v>
      </c>
      <c r="CO988" s="58">
        <f t="array" ref="CO988">SUM(IF(CK988:CL988&gt;=CL988, 1))</f>
        <v>1</v>
      </c>
      <c r="CQ988" s="109" cm="1">
        <f t="array" ref="CQ988">AF988*WTP-AC988</f>
        <v>33040.758412599906</v>
      </c>
      <c r="CR988" s="109">
        <f t="shared" si="377"/>
        <v>34663.184431861751</v>
      </c>
      <c r="CT988" s="58">
        <f t="array" ref="CT988">SUM(IF(CQ988:CR988&gt;=CQ988, 1))</f>
        <v>2</v>
      </c>
      <c r="CU988" s="58">
        <f t="array" ref="CU988">SUM(IF(CQ988:CR988&gt;=CR988, 1))</f>
        <v>1</v>
      </c>
      <c r="CW988" s="109">
        <f t="shared" si="378"/>
        <v>-38327322.688829631</v>
      </c>
      <c r="CX988" s="109">
        <f t="shared" si="379"/>
        <v>0</v>
      </c>
      <c r="CZ988" s="58">
        <f t="array" ref="CZ988">SUM(IF(CW988:CX988&gt;=CW988, 1))</f>
        <v>2</v>
      </c>
      <c r="DA988" s="58">
        <f t="array" ref="DA988">SUM(IF(CW988:CX988&gt;=CX988, 1))</f>
        <v>1</v>
      </c>
      <c r="DC988" s="109">
        <f t="shared" si="380"/>
        <v>-2080662.5416723194</v>
      </c>
      <c r="DD988" s="109">
        <f t="shared" si="381"/>
        <v>0</v>
      </c>
      <c r="DF988" s="58">
        <f t="array" ref="DF988">SUM(IF(DC988:DD988&gt;=DC988, 1))</f>
        <v>2</v>
      </c>
      <c r="DG988" s="58">
        <f t="array" ref="DG988">SUM(IF(DC988:DD988&gt;=DD988, 1))</f>
        <v>1</v>
      </c>
      <c r="DI988" s="109">
        <f t="shared" si="382"/>
        <v>-64362578.432953745</v>
      </c>
      <c r="DJ988" s="109">
        <f t="shared" si="383"/>
        <v>0</v>
      </c>
      <c r="DL988" s="58">
        <f t="array" ref="DL988">SUM(IF(DI988:DJ988&gt;=DI988, 1))</f>
        <v>2</v>
      </c>
      <c r="DM988" s="58">
        <f t="array" ref="DM988">SUM(IF(DI988:DJ988&gt;=DJ988, 1))</f>
        <v>1</v>
      </c>
      <c r="DO988" s="109">
        <f t="shared" si="384"/>
        <v>-9250408.6240338087</v>
      </c>
      <c r="DP988" s="109">
        <f t="shared" si="385"/>
        <v>0</v>
      </c>
      <c r="DR988" s="58">
        <f t="array" ref="DR988">SUM(IF(DO988:DP988&gt;=DO988, 1))</f>
        <v>2</v>
      </c>
      <c r="DS988" s="58">
        <f t="array" ref="DS988">SUM(IF(DO988:DP988&gt;=DP988, 1))</f>
        <v>1</v>
      </c>
      <c r="DU988" s="109">
        <f t="shared" si="386"/>
        <v>-25234840.4992746</v>
      </c>
      <c r="DV988" s="109">
        <f t="shared" si="387"/>
        <v>0</v>
      </c>
      <c r="DX988" s="58">
        <f t="array" ref="DX988">SUM(IF(DU988:DV988&gt;=DU988, 1))</f>
        <v>2</v>
      </c>
      <c r="DY988" s="58">
        <f t="array" ref="DY988">SUM(IF(DU988:DV988&gt;=DV988, 1))</f>
        <v>1</v>
      </c>
      <c r="EA988" s="109">
        <f t="shared" si="388"/>
        <v>-139255812.78676412</v>
      </c>
      <c r="EB988" s="109">
        <f t="shared" si="389"/>
        <v>0</v>
      </c>
      <c r="ED988" s="58">
        <f t="array" ref="ED988">SUM(IF(EA988:EB988&gt;=EA988, 1))</f>
        <v>2</v>
      </c>
      <c r="EE988" s="58">
        <f t="array" ref="EE988">SUM(IF(EA988:EB988&gt;=EB988, 1))</f>
        <v>1</v>
      </c>
    </row>
    <row r="989" spans="4:135" ht="12" customHeight="1" x14ac:dyDescent="0.25">
      <c r="D989" s="11">
        <v>973</v>
      </c>
      <c r="E989" s="72">
        <v>261.87462480111327</v>
      </c>
      <c r="F989" s="72">
        <v>232.4458392463165</v>
      </c>
      <c r="G989" s="73"/>
      <c r="H989" s="74">
        <v>5.840895149821911</v>
      </c>
      <c r="I989" s="74">
        <v>5.8601854506832884</v>
      </c>
      <c r="J989" s="73"/>
      <c r="K989" s="72">
        <v>280.81063106870835</v>
      </c>
      <c r="L989" s="72">
        <v>250.63659130406177</v>
      </c>
      <c r="M989" s="73"/>
      <c r="N989" s="74">
        <v>6.70712984927387</v>
      </c>
      <c r="O989" s="74">
        <v>6.7238718957348347</v>
      </c>
      <c r="P989" s="73"/>
      <c r="Q989" s="72">
        <v>3054.2024934683604</v>
      </c>
      <c r="R989" s="72">
        <v>1792.877445639605</v>
      </c>
      <c r="S989" s="73"/>
      <c r="T989" s="74">
        <v>4.9282401925928063</v>
      </c>
      <c r="U989" s="74">
        <v>5.0015869874506986</v>
      </c>
      <c r="V989" s="73"/>
      <c r="W989" s="72">
        <v>14260.088433350053</v>
      </c>
      <c r="X989" s="72">
        <v>14207.461514848226</v>
      </c>
      <c r="Y989" s="73"/>
      <c r="Z989" s="74">
        <v>3.0394151530421891</v>
      </c>
      <c r="AA989" s="74">
        <v>3.0850917923395653</v>
      </c>
      <c r="AB989" s="73"/>
      <c r="AC989" s="72">
        <v>50881.758824124219</v>
      </c>
      <c r="AD989" s="72">
        <v>50702.05871783456</v>
      </c>
      <c r="AE989" s="73"/>
      <c r="AF989" s="74">
        <v>4.4316011061104135</v>
      </c>
      <c r="AG989" s="74">
        <v>4.5060735181148006</v>
      </c>
      <c r="AH989" s="73"/>
      <c r="AI989" s="72">
        <v>3173798.2751575052</v>
      </c>
      <c r="AJ989" s="72">
        <v>0</v>
      </c>
      <c r="AK989" s="73"/>
      <c r="AL989" s="74">
        <v>-2080.3958589154126</v>
      </c>
      <c r="AM989" s="74">
        <v>0</v>
      </c>
      <c r="AN989" s="73"/>
      <c r="AO989" s="72">
        <v>214534.50209328652</v>
      </c>
      <c r="AP989" s="72">
        <v>0</v>
      </c>
      <c r="AQ989" s="73"/>
      <c r="AR989" s="74">
        <v>-119.03432982593185</v>
      </c>
      <c r="AS989" s="74">
        <v>0</v>
      </c>
      <c r="AT989" s="73"/>
      <c r="AU989" s="72">
        <v>29041606.078049589</v>
      </c>
      <c r="AV989" s="72">
        <v>0</v>
      </c>
      <c r="AW989" s="73"/>
      <c r="AX989" s="74">
        <v>-1688.7865082971198</v>
      </c>
      <c r="AY989" s="74">
        <v>0</v>
      </c>
      <c r="AZ989" s="73"/>
      <c r="BA989" s="72">
        <v>457440.53172988218</v>
      </c>
      <c r="BB989" s="72">
        <v>0</v>
      </c>
      <c r="BC989" s="73"/>
      <c r="BD989" s="74">
        <v>-397.02773338516261</v>
      </c>
      <c r="BE989" s="74">
        <v>0</v>
      </c>
      <c r="BF989" s="73"/>
      <c r="BG989" s="72">
        <v>2882209.1687446577</v>
      </c>
      <c r="BH989" s="72">
        <v>0</v>
      </c>
      <c r="BI989" s="73"/>
      <c r="BJ989" s="74">
        <v>-1194.4626696635705</v>
      </c>
      <c r="BK989" s="74">
        <v>0</v>
      </c>
      <c r="BL989" s="73"/>
      <c r="BM989" s="72">
        <v>35769588.55577492</v>
      </c>
      <c r="BN989" s="72">
        <v>0</v>
      </c>
      <c r="BO989" s="73"/>
      <c r="BP989" s="74">
        <v>-5479.7071000871974</v>
      </c>
      <c r="BQ989" s="74">
        <v>0</v>
      </c>
      <c r="BS989" s="109">
        <f t="shared" si="369"/>
        <v>116556.02837163711</v>
      </c>
      <c r="BT989" s="109">
        <f t="shared" si="370"/>
        <v>116971.26317441945</v>
      </c>
      <c r="BV989" s="58">
        <f t="array" ref="BV989">SUM(IF(BS989:BT989&gt;=BS989, 1))</f>
        <v>2</v>
      </c>
      <c r="BW989" s="58">
        <f t="array" ref="BW989">SUM(IF(BS989:BT989&gt;=BT989, 1))</f>
        <v>1</v>
      </c>
      <c r="BY989" s="109">
        <f t="shared" si="371"/>
        <v>133861.78635440869</v>
      </c>
      <c r="BZ989" s="109">
        <f t="shared" si="372"/>
        <v>134226.80132339263</v>
      </c>
      <c r="CB989" s="58">
        <f t="array" ref="CB989">SUM(IF(BY989:BZ989&gt;=BY989, 1))</f>
        <v>2</v>
      </c>
      <c r="CC989" s="58">
        <f t="array" ref="CC989">SUM(IF(BY989:BZ989&gt;=BZ989, 1))</f>
        <v>1</v>
      </c>
      <c r="CE989" s="109">
        <f t="shared" si="373"/>
        <v>95510.601358387765</v>
      </c>
      <c r="CF989" s="109">
        <f t="shared" si="374"/>
        <v>98238.862303374364</v>
      </c>
      <c r="CH989" s="58">
        <f t="array" ref="CH989">SUM(IF(CE989:CF989&gt;=CE989, 1))</f>
        <v>2</v>
      </c>
      <c r="CI989" s="58">
        <f t="array" ref="CI989">SUM(IF(CE989:CF989&gt;=CF989, 1))</f>
        <v>1</v>
      </c>
      <c r="CK989" s="109">
        <f t="shared" si="375"/>
        <v>46528.214627493733</v>
      </c>
      <c r="CL989" s="109">
        <f t="shared" si="376"/>
        <v>47494.37433194308</v>
      </c>
      <c r="CN989" s="58">
        <f t="array" ref="CN989">SUM(IF(CK989:CL989&gt;=CK989, 1))</f>
        <v>2</v>
      </c>
      <c r="CO989" s="58">
        <f t="array" ref="CO989">SUM(IF(CK989:CL989&gt;=CL989, 1))</f>
        <v>1</v>
      </c>
      <c r="CQ989" s="109" cm="1">
        <f t="array" ref="CQ989">AF989*WTP-AC989</f>
        <v>37750.263298084057</v>
      </c>
      <c r="CR989" s="109">
        <f t="shared" si="377"/>
        <v>39419.411644461448</v>
      </c>
      <c r="CT989" s="58">
        <f t="array" ref="CT989">SUM(IF(CQ989:CR989&gt;=CQ989, 1))</f>
        <v>2</v>
      </c>
      <c r="CU989" s="58">
        <f t="array" ref="CU989">SUM(IF(CQ989:CR989&gt;=CR989, 1))</f>
        <v>1</v>
      </c>
      <c r="CW989" s="109">
        <f t="shared" si="378"/>
        <v>-44781715.45346576</v>
      </c>
      <c r="CX989" s="109">
        <f t="shared" si="379"/>
        <v>0</v>
      </c>
      <c r="CZ989" s="58">
        <f t="array" ref="CZ989">SUM(IF(CW989:CX989&gt;=CW989, 1))</f>
        <v>2</v>
      </c>
      <c r="DA989" s="58">
        <f t="array" ref="DA989">SUM(IF(CW989:CX989&gt;=CX989, 1))</f>
        <v>1</v>
      </c>
      <c r="DC989" s="109">
        <f t="shared" si="380"/>
        <v>-2595221.0986119239</v>
      </c>
      <c r="DD989" s="109">
        <f t="shared" si="381"/>
        <v>0</v>
      </c>
      <c r="DF989" s="58">
        <f t="array" ref="DF989">SUM(IF(DC989:DD989&gt;=DC989, 1))</f>
        <v>2</v>
      </c>
      <c r="DG989" s="58">
        <f t="array" ref="DG989">SUM(IF(DC989:DD989&gt;=DD989, 1))</f>
        <v>1</v>
      </c>
      <c r="DI989" s="109">
        <f t="shared" si="382"/>
        <v>-62817336.243991986</v>
      </c>
      <c r="DJ989" s="109">
        <f t="shared" si="383"/>
        <v>0</v>
      </c>
      <c r="DL989" s="58">
        <f t="array" ref="DL989">SUM(IF(DI989:DJ989&gt;=DI989, 1))</f>
        <v>2</v>
      </c>
      <c r="DM989" s="58">
        <f t="array" ref="DM989">SUM(IF(DI989:DJ989&gt;=DJ989, 1))</f>
        <v>1</v>
      </c>
      <c r="DO989" s="109">
        <f t="shared" si="384"/>
        <v>-8397995.1994331349</v>
      </c>
      <c r="DP989" s="109">
        <f t="shared" si="385"/>
        <v>0</v>
      </c>
      <c r="DR989" s="58">
        <f t="array" ref="DR989">SUM(IF(DO989:DP989&gt;=DO989, 1))</f>
        <v>2</v>
      </c>
      <c r="DS989" s="58">
        <f t="array" ref="DS989">SUM(IF(DO989:DP989&gt;=DP989, 1))</f>
        <v>1</v>
      </c>
      <c r="DU989" s="109">
        <f t="shared" si="386"/>
        <v>-26771462.562016066</v>
      </c>
      <c r="DV989" s="109">
        <f t="shared" si="387"/>
        <v>0</v>
      </c>
      <c r="DX989" s="58">
        <f t="array" ref="DX989">SUM(IF(DU989:DV989&gt;=DU989, 1))</f>
        <v>2</v>
      </c>
      <c r="DY989" s="58">
        <f t="array" ref="DY989">SUM(IF(DU989:DV989&gt;=DV989, 1))</f>
        <v>1</v>
      </c>
      <c r="EA989" s="109">
        <f t="shared" si="388"/>
        <v>-145363730.55751887</v>
      </c>
      <c r="EB989" s="109">
        <f t="shared" si="389"/>
        <v>0</v>
      </c>
      <c r="ED989" s="58">
        <f t="array" ref="ED989">SUM(IF(EA989:EB989&gt;=EA989, 1))</f>
        <v>2</v>
      </c>
      <c r="EE989" s="58">
        <f t="array" ref="EE989">SUM(IF(EA989:EB989&gt;=EB989, 1))</f>
        <v>1</v>
      </c>
    </row>
    <row r="990" spans="4:135" ht="12" customHeight="1" x14ac:dyDescent="0.25">
      <c r="D990" s="11">
        <v>974</v>
      </c>
      <c r="E990" s="72">
        <v>191.02580325459698</v>
      </c>
      <c r="F990" s="72">
        <v>179.85979341350654</v>
      </c>
      <c r="G990" s="73"/>
      <c r="H990" s="74">
        <v>5.8134710525317272</v>
      </c>
      <c r="I990" s="74">
        <v>5.8289420145503019</v>
      </c>
      <c r="J990" s="73"/>
      <c r="K990" s="72">
        <v>205.40401126353007</v>
      </c>
      <c r="L990" s="72">
        <v>193.95184293755403</v>
      </c>
      <c r="M990" s="73"/>
      <c r="N990" s="74">
        <v>6.7139819442631037</v>
      </c>
      <c r="O990" s="74">
        <v>6.7273630000486575</v>
      </c>
      <c r="P990" s="73"/>
      <c r="Q990" s="72">
        <v>1564.1802793922463</v>
      </c>
      <c r="R990" s="72">
        <v>1002.4820172722808</v>
      </c>
      <c r="S990" s="73"/>
      <c r="T990" s="74">
        <v>4.7265740124719162</v>
      </c>
      <c r="U990" s="74">
        <v>4.8441226676296738</v>
      </c>
      <c r="V990" s="73"/>
      <c r="W990" s="72">
        <v>12378.196300364998</v>
      </c>
      <c r="X990" s="72">
        <v>12387.642958400618</v>
      </c>
      <c r="Y990" s="73"/>
      <c r="Z990" s="74">
        <v>3.0264349633207241</v>
      </c>
      <c r="AA990" s="74">
        <v>3.0957100112788241</v>
      </c>
      <c r="AB990" s="73"/>
      <c r="AC990" s="72">
        <v>49225.779469697074</v>
      </c>
      <c r="AD990" s="72">
        <v>49128.580949689735</v>
      </c>
      <c r="AE990" s="73"/>
      <c r="AF990" s="74">
        <v>4.3158557572037903</v>
      </c>
      <c r="AG990" s="74">
        <v>4.4484657647849453</v>
      </c>
      <c r="AH990" s="73"/>
      <c r="AI990" s="72">
        <v>1203301.2628461223</v>
      </c>
      <c r="AJ990" s="72">
        <v>0</v>
      </c>
      <c r="AK990" s="73"/>
      <c r="AL990" s="74">
        <v>-1667.2229739479869</v>
      </c>
      <c r="AM990" s="74">
        <v>0</v>
      </c>
      <c r="AN990" s="73"/>
      <c r="AO990" s="72">
        <v>75741.552819940523</v>
      </c>
      <c r="AP990" s="72">
        <v>0</v>
      </c>
      <c r="AQ990" s="73"/>
      <c r="AR990" s="74">
        <v>-88.498694283880752</v>
      </c>
      <c r="AS990" s="74">
        <v>0</v>
      </c>
      <c r="AT990" s="73"/>
      <c r="AU990" s="72">
        <v>12868972.146992302</v>
      </c>
      <c r="AV990" s="72">
        <v>0</v>
      </c>
      <c r="AW990" s="73"/>
      <c r="AX990" s="74">
        <v>-2693.1369939302072</v>
      </c>
      <c r="AY990" s="74">
        <v>0</v>
      </c>
      <c r="AZ990" s="73"/>
      <c r="BA990" s="72">
        <v>-83310.15753867841</v>
      </c>
      <c r="BB990" s="72">
        <v>0</v>
      </c>
      <c r="BC990" s="73"/>
      <c r="BD990" s="74">
        <v>-610.93723697069345</v>
      </c>
      <c r="BE990" s="74">
        <v>0</v>
      </c>
      <c r="BF990" s="73"/>
      <c r="BG990" s="72">
        <v>1510039.9371298079</v>
      </c>
      <c r="BH990" s="72">
        <v>0</v>
      </c>
      <c r="BI990" s="73"/>
      <c r="BJ990" s="74">
        <v>-2060.179594252153</v>
      </c>
      <c r="BK990" s="74">
        <v>0</v>
      </c>
      <c r="BL990" s="73"/>
      <c r="BM990" s="72">
        <v>15574744.742249494</v>
      </c>
      <c r="BN990" s="72">
        <v>0</v>
      </c>
      <c r="BO990" s="73"/>
      <c r="BP990" s="74">
        <v>-7119.9754933849208</v>
      </c>
      <c r="BQ990" s="74">
        <v>0</v>
      </c>
      <c r="BS990" s="109">
        <f t="shared" si="369"/>
        <v>116078.39524737994</v>
      </c>
      <c r="BT990" s="109">
        <f t="shared" si="370"/>
        <v>116398.98049759254</v>
      </c>
      <c r="BV990" s="58">
        <f t="array" ref="BV990">SUM(IF(BS990:BT990&gt;=BS990, 1))</f>
        <v>2</v>
      </c>
      <c r="BW990" s="58">
        <f t="array" ref="BW990">SUM(IF(BS990:BT990&gt;=BT990, 1))</f>
        <v>1</v>
      </c>
      <c r="BY990" s="109">
        <f t="shared" si="371"/>
        <v>134074.23487399853</v>
      </c>
      <c r="BZ990" s="109">
        <f t="shared" si="372"/>
        <v>134353.30815803559</v>
      </c>
      <c r="CB990" s="58">
        <f t="array" ref="CB990">SUM(IF(BY990:BZ990&gt;=BY990, 1))</f>
        <v>2</v>
      </c>
      <c r="CC990" s="58">
        <f t="array" ref="CC990">SUM(IF(BY990:BZ990&gt;=BZ990, 1))</f>
        <v>1</v>
      </c>
      <c r="CE990" s="109">
        <f t="shared" si="373"/>
        <v>92967.299970046079</v>
      </c>
      <c r="CF990" s="109">
        <f t="shared" si="374"/>
        <v>95879.971335321199</v>
      </c>
      <c r="CH990" s="58">
        <f t="array" ref="CH990">SUM(IF(CE990:CF990&gt;=CE990, 1))</f>
        <v>2</v>
      </c>
      <c r="CI990" s="58">
        <f t="array" ref="CI990">SUM(IF(CE990:CF990&gt;=CF990, 1))</f>
        <v>1</v>
      </c>
      <c r="CK990" s="109">
        <f t="shared" si="375"/>
        <v>48150.502966049491</v>
      </c>
      <c r="CL990" s="109">
        <f t="shared" si="376"/>
        <v>49526.557267175864</v>
      </c>
      <c r="CN990" s="58">
        <f t="array" ref="CN990">SUM(IF(CK990:CL990&gt;=CK990, 1))</f>
        <v>2</v>
      </c>
      <c r="CO990" s="58">
        <f t="array" ref="CO990">SUM(IF(CK990:CL990&gt;=CL990, 1))</f>
        <v>1</v>
      </c>
      <c r="CQ990" s="109" cm="1">
        <f t="array" ref="CQ990">AF990*WTP-AC990</f>
        <v>37091.335674378737</v>
      </c>
      <c r="CR990" s="109">
        <f t="shared" si="377"/>
        <v>39840.734346009172</v>
      </c>
      <c r="CT990" s="58">
        <f t="array" ref="CT990">SUM(IF(CQ990:CR990&gt;=CQ990, 1))</f>
        <v>2</v>
      </c>
      <c r="CU990" s="58">
        <f t="array" ref="CU990">SUM(IF(CQ990:CR990&gt;=CR990, 1))</f>
        <v>1</v>
      </c>
      <c r="CW990" s="109">
        <f t="shared" si="378"/>
        <v>-34547760.741805859</v>
      </c>
      <c r="CX990" s="109">
        <f t="shared" si="379"/>
        <v>0</v>
      </c>
      <c r="CZ990" s="58">
        <f t="array" ref="CZ990">SUM(IF(CW990:CX990&gt;=CW990, 1))</f>
        <v>2</v>
      </c>
      <c r="DA990" s="58">
        <f t="array" ref="DA990">SUM(IF(CW990:CX990&gt;=CX990, 1))</f>
        <v>1</v>
      </c>
      <c r="DC990" s="109">
        <f t="shared" si="380"/>
        <v>-1845715.4384975554</v>
      </c>
      <c r="DD990" s="109">
        <f t="shared" si="381"/>
        <v>0</v>
      </c>
      <c r="DF990" s="58">
        <f t="array" ref="DF990">SUM(IF(DC990:DD990&gt;=DC990, 1))</f>
        <v>2</v>
      </c>
      <c r="DG990" s="58">
        <f t="array" ref="DG990">SUM(IF(DC990:DD990&gt;=DD990, 1))</f>
        <v>1</v>
      </c>
      <c r="DI990" s="109">
        <f t="shared" si="382"/>
        <v>-66731712.025596447</v>
      </c>
      <c r="DJ990" s="109">
        <f t="shared" si="383"/>
        <v>0</v>
      </c>
      <c r="DL990" s="58">
        <f t="array" ref="DL990">SUM(IF(DI990:DJ990&gt;=DI990, 1))</f>
        <v>2</v>
      </c>
      <c r="DM990" s="58">
        <f t="array" ref="DM990">SUM(IF(DI990:DJ990&gt;=DJ990, 1))</f>
        <v>1</v>
      </c>
      <c r="DO990" s="109">
        <f t="shared" si="384"/>
        <v>-12135434.58187519</v>
      </c>
      <c r="DP990" s="109">
        <f t="shared" si="385"/>
        <v>0</v>
      </c>
      <c r="DR990" s="58">
        <f t="array" ref="DR990">SUM(IF(DO990:DP990&gt;=DO990, 1))</f>
        <v>2</v>
      </c>
      <c r="DS990" s="58">
        <f t="array" ref="DS990">SUM(IF(DO990:DP990&gt;=DP990, 1))</f>
        <v>1</v>
      </c>
      <c r="DU990" s="109">
        <f t="shared" si="386"/>
        <v>-42713631.822172873</v>
      </c>
      <c r="DV990" s="109">
        <f t="shared" si="387"/>
        <v>0</v>
      </c>
      <c r="DX990" s="58">
        <f t="array" ref="DX990">SUM(IF(DU990:DV990&gt;=DU990, 1))</f>
        <v>2</v>
      </c>
      <c r="DY990" s="58">
        <f t="array" ref="DY990">SUM(IF(DU990:DV990&gt;=DV990, 1))</f>
        <v>1</v>
      </c>
      <c r="EA990" s="109">
        <f t="shared" si="388"/>
        <v>-157974254.60994792</v>
      </c>
      <c r="EB990" s="109">
        <f t="shared" si="389"/>
        <v>0</v>
      </c>
      <c r="ED990" s="58">
        <f t="array" ref="ED990">SUM(IF(EA990:EB990&gt;=EA990, 1))</f>
        <v>2</v>
      </c>
      <c r="EE990" s="58">
        <f t="array" ref="EE990">SUM(IF(EA990:EB990&gt;=EB990, 1))</f>
        <v>1</v>
      </c>
    </row>
    <row r="991" spans="4:135" ht="12" customHeight="1" x14ac:dyDescent="0.25">
      <c r="D991" s="11">
        <v>975</v>
      </c>
      <c r="E991" s="72">
        <v>237.16394053097034</v>
      </c>
      <c r="F991" s="72">
        <v>219.78636382134459</v>
      </c>
      <c r="G991" s="73"/>
      <c r="H991" s="74">
        <v>5.8350033955383127</v>
      </c>
      <c r="I991" s="74">
        <v>5.8492761078568387</v>
      </c>
      <c r="J991" s="73"/>
      <c r="K991" s="72">
        <v>254.85253899282191</v>
      </c>
      <c r="L991" s="72">
        <v>237.0432436891472</v>
      </c>
      <c r="M991" s="73"/>
      <c r="N991" s="74">
        <v>6.7007937943287654</v>
      </c>
      <c r="O991" s="74">
        <v>6.7126885740339191</v>
      </c>
      <c r="P991" s="73"/>
      <c r="Q991" s="72">
        <v>2207.201822358028</v>
      </c>
      <c r="R991" s="72">
        <v>1325.373708186115</v>
      </c>
      <c r="S991" s="73"/>
      <c r="T991" s="74">
        <v>4.8065602185478014</v>
      </c>
      <c r="U991" s="74">
        <v>4.8853247802944644</v>
      </c>
      <c r="V991" s="73"/>
      <c r="W991" s="72">
        <v>13468.45828572022</v>
      </c>
      <c r="X991" s="72">
        <v>13507.339265433284</v>
      </c>
      <c r="Y991" s="73"/>
      <c r="Z991" s="74">
        <v>2.9810788775573682</v>
      </c>
      <c r="AA991" s="74">
        <v>3.0365738736320673</v>
      </c>
      <c r="AB991" s="73"/>
      <c r="AC991" s="72">
        <v>50946.738447756667</v>
      </c>
      <c r="AD991" s="72">
        <v>50374.460715147332</v>
      </c>
      <c r="AE991" s="73"/>
      <c r="AF991" s="74">
        <v>4.1012253826128919</v>
      </c>
      <c r="AG991" s="74">
        <v>4.177983277485068</v>
      </c>
      <c r="AH991" s="73"/>
      <c r="AI991" s="72">
        <v>1866552.2138838477</v>
      </c>
      <c r="AJ991" s="72">
        <v>0</v>
      </c>
      <c r="AK991" s="73"/>
      <c r="AL991" s="74">
        <v>-1533.0539592160278</v>
      </c>
      <c r="AM991" s="74">
        <v>0</v>
      </c>
      <c r="AN991" s="73"/>
      <c r="AO991" s="72">
        <v>118154.11777978684</v>
      </c>
      <c r="AP991" s="72">
        <v>0</v>
      </c>
      <c r="AQ991" s="73"/>
      <c r="AR991" s="74">
        <v>-78.914812646031606</v>
      </c>
      <c r="AS991" s="74">
        <v>0</v>
      </c>
      <c r="AT991" s="73"/>
      <c r="AU991" s="72">
        <v>20583972.258400396</v>
      </c>
      <c r="AV991" s="72">
        <v>0</v>
      </c>
      <c r="AW991" s="73"/>
      <c r="AX991" s="74">
        <v>-1838.5528062471203</v>
      </c>
      <c r="AY991" s="74">
        <v>0</v>
      </c>
      <c r="AZ991" s="73"/>
      <c r="BA991" s="72">
        <v>-353761.81267982186</v>
      </c>
      <c r="BB991" s="72">
        <v>0</v>
      </c>
      <c r="BC991" s="73"/>
      <c r="BD991" s="74">
        <v>-504.92581593691403</v>
      </c>
      <c r="BE991" s="74">
        <v>0</v>
      </c>
      <c r="BF991" s="73"/>
      <c r="BG991" s="72">
        <v>9044047.9191935826</v>
      </c>
      <c r="BH991" s="72">
        <v>0</v>
      </c>
      <c r="BI991" s="73"/>
      <c r="BJ991" s="74">
        <v>-1213.051006257273</v>
      </c>
      <c r="BK991" s="74">
        <v>0</v>
      </c>
      <c r="BL991" s="73"/>
      <c r="BM991" s="72">
        <v>31258964.696577787</v>
      </c>
      <c r="BN991" s="72">
        <v>0</v>
      </c>
      <c r="BO991" s="73"/>
      <c r="BP991" s="74">
        <v>-5168.4984003033669</v>
      </c>
      <c r="BQ991" s="74">
        <v>0</v>
      </c>
      <c r="BS991" s="109">
        <f t="shared" si="369"/>
        <v>116462.90397023529</v>
      </c>
      <c r="BT991" s="109">
        <f t="shared" si="370"/>
        <v>116765.73579331543</v>
      </c>
      <c r="BV991" s="58">
        <f t="array" ref="BV991">SUM(IF(BS991:BT991&gt;=BS991, 1))</f>
        <v>2</v>
      </c>
      <c r="BW991" s="58">
        <f t="array" ref="BW991">SUM(IF(BS991:BT991&gt;=BT991, 1))</f>
        <v>1</v>
      </c>
      <c r="BY991" s="109">
        <f t="shared" si="371"/>
        <v>133761.02334758249</v>
      </c>
      <c r="BZ991" s="109">
        <f t="shared" si="372"/>
        <v>134016.72823698923</v>
      </c>
      <c r="CB991" s="58">
        <f t="array" ref="CB991">SUM(IF(BY991:BZ991&gt;=BY991, 1))</f>
        <v>2</v>
      </c>
      <c r="CC991" s="58">
        <f t="array" ref="CC991">SUM(IF(BY991:BZ991&gt;=BZ991, 1))</f>
        <v>1</v>
      </c>
      <c r="CE991" s="109">
        <f t="shared" si="373"/>
        <v>93924.002548598</v>
      </c>
      <c r="CF991" s="109">
        <f t="shared" si="374"/>
        <v>96381.121897703168</v>
      </c>
      <c r="CH991" s="58">
        <f t="array" ref="CH991">SUM(IF(CE991:CF991&gt;=CE991, 1))</f>
        <v>2</v>
      </c>
      <c r="CI991" s="58">
        <f t="array" ref="CI991">SUM(IF(CE991:CF991&gt;=CF991, 1))</f>
        <v>1</v>
      </c>
      <c r="CK991" s="109">
        <f t="shared" si="375"/>
        <v>46153.119265427144</v>
      </c>
      <c r="CL991" s="109">
        <f t="shared" si="376"/>
        <v>47224.13820720806</v>
      </c>
      <c r="CN991" s="58">
        <f t="array" ref="CN991">SUM(IF(CK991:CL991&gt;=CK991, 1))</f>
        <v>2</v>
      </c>
      <c r="CO991" s="58">
        <f t="array" ref="CO991">SUM(IF(CK991:CL991&gt;=CL991, 1))</f>
        <v>1</v>
      </c>
      <c r="CQ991" s="109" cm="1">
        <f t="array" ref="CQ991">AF991*WTP-AC991</f>
        <v>31077.769204501179</v>
      </c>
      <c r="CR991" s="109">
        <f t="shared" si="377"/>
        <v>33185.204834554024</v>
      </c>
      <c r="CT991" s="58">
        <f t="array" ref="CT991">SUM(IF(CQ991:CR991&gt;=CQ991, 1))</f>
        <v>2</v>
      </c>
      <c r="CU991" s="58">
        <f t="array" ref="CU991">SUM(IF(CQ991:CR991&gt;=CR991, 1))</f>
        <v>1</v>
      </c>
      <c r="CW991" s="109">
        <f t="shared" si="378"/>
        <v>-32527631.398204405</v>
      </c>
      <c r="CX991" s="109">
        <f t="shared" si="379"/>
        <v>0</v>
      </c>
      <c r="CZ991" s="58">
        <f t="array" ref="CZ991">SUM(IF(CW991:CX991&gt;=CW991, 1))</f>
        <v>2</v>
      </c>
      <c r="DA991" s="58">
        <f t="array" ref="DA991">SUM(IF(CW991:CX991&gt;=CX991, 1))</f>
        <v>1</v>
      </c>
      <c r="DC991" s="109">
        <f t="shared" si="380"/>
        <v>-1696450.3707004189</v>
      </c>
      <c r="DD991" s="109">
        <f t="shared" si="381"/>
        <v>0</v>
      </c>
      <c r="DF991" s="58">
        <f t="array" ref="DF991">SUM(IF(DC991:DD991&gt;=DC991, 1))</f>
        <v>2</v>
      </c>
      <c r="DG991" s="58">
        <f t="array" ref="DG991">SUM(IF(DC991:DD991&gt;=DD991, 1))</f>
        <v>1</v>
      </c>
      <c r="DI991" s="109">
        <f t="shared" si="382"/>
        <v>-57355028.383342803</v>
      </c>
      <c r="DJ991" s="109">
        <f t="shared" si="383"/>
        <v>0</v>
      </c>
      <c r="DL991" s="58">
        <f t="array" ref="DL991">SUM(IF(DI991:DJ991&gt;=DI991, 1))</f>
        <v>2</v>
      </c>
      <c r="DM991" s="58">
        <f t="array" ref="DM991">SUM(IF(DI991:DJ991&gt;=DJ991, 1))</f>
        <v>1</v>
      </c>
      <c r="DO991" s="109">
        <f t="shared" si="384"/>
        <v>-9744754.5060584582</v>
      </c>
      <c r="DP991" s="109">
        <f t="shared" si="385"/>
        <v>0</v>
      </c>
      <c r="DR991" s="58">
        <f t="array" ref="DR991">SUM(IF(DO991:DP991&gt;=DO991, 1))</f>
        <v>2</v>
      </c>
      <c r="DS991" s="58">
        <f t="array" ref="DS991">SUM(IF(DO991:DP991&gt;=DP991, 1))</f>
        <v>1</v>
      </c>
      <c r="DU991" s="109">
        <f t="shared" si="386"/>
        <v>-33305068.044339046</v>
      </c>
      <c r="DV991" s="109">
        <f t="shared" si="387"/>
        <v>0</v>
      </c>
      <c r="DX991" s="58">
        <f t="array" ref="DX991">SUM(IF(DU991:DV991&gt;=DU991, 1))</f>
        <v>2</v>
      </c>
      <c r="DY991" s="58">
        <f t="array" ref="DY991">SUM(IF(DU991:DV991&gt;=DV991, 1))</f>
        <v>1</v>
      </c>
      <c r="EA991" s="109">
        <f t="shared" si="388"/>
        <v>-134628932.70264512</v>
      </c>
      <c r="EB991" s="109">
        <f t="shared" si="389"/>
        <v>0</v>
      </c>
      <c r="ED991" s="58">
        <f t="array" ref="ED991">SUM(IF(EA991:EB991&gt;=EA991, 1))</f>
        <v>2</v>
      </c>
      <c r="EE991" s="58">
        <f t="array" ref="EE991">SUM(IF(EA991:EB991&gt;=EB991, 1))</f>
        <v>1</v>
      </c>
    </row>
    <row r="992" spans="4:135" ht="12" customHeight="1" x14ac:dyDescent="0.25">
      <c r="D992" s="11">
        <v>976</v>
      </c>
      <c r="E992" s="72">
        <v>239.63163238287385</v>
      </c>
      <c r="F992" s="72">
        <v>217.35629214572862</v>
      </c>
      <c r="G992" s="73"/>
      <c r="H992" s="74">
        <v>5.8552660444318025</v>
      </c>
      <c r="I992" s="74">
        <v>5.8732269455020543</v>
      </c>
      <c r="J992" s="73"/>
      <c r="K992" s="72">
        <v>257.19354546528899</v>
      </c>
      <c r="L992" s="72">
        <v>234.39573221677742</v>
      </c>
      <c r="M992" s="73"/>
      <c r="N992" s="74">
        <v>6.7292001902201948</v>
      </c>
      <c r="O992" s="74">
        <v>6.7452610429853967</v>
      </c>
      <c r="P992" s="73"/>
      <c r="Q992" s="72">
        <v>1942.3185889289257</v>
      </c>
      <c r="R992" s="72">
        <v>1432.8892266048495</v>
      </c>
      <c r="S992" s="73"/>
      <c r="T992" s="74">
        <v>4.8944765094688876</v>
      </c>
      <c r="U992" s="74">
        <v>4.9448066289297108</v>
      </c>
      <c r="V992" s="73"/>
      <c r="W992" s="72">
        <v>10944.612979946371</v>
      </c>
      <c r="X992" s="72">
        <v>10926.371181993109</v>
      </c>
      <c r="Y992" s="73"/>
      <c r="Z992" s="74">
        <v>3.1245070584436783</v>
      </c>
      <c r="AA992" s="74">
        <v>3.1589783946978982</v>
      </c>
      <c r="AB992" s="73"/>
      <c r="AC992" s="72">
        <v>49430.117329491033</v>
      </c>
      <c r="AD992" s="72">
        <v>49418.858264266404</v>
      </c>
      <c r="AE992" s="73"/>
      <c r="AF992" s="74">
        <v>4.7571315371569565</v>
      </c>
      <c r="AG992" s="74">
        <v>4.8697020715055421</v>
      </c>
      <c r="AH992" s="73"/>
      <c r="AI992" s="72">
        <v>2383441.4966426278</v>
      </c>
      <c r="AJ992" s="72">
        <v>0</v>
      </c>
      <c r="AK992" s="73"/>
      <c r="AL992" s="74">
        <v>-1921.8003618434175</v>
      </c>
      <c r="AM992" s="74">
        <v>0</v>
      </c>
      <c r="AN992" s="73"/>
      <c r="AO992" s="72">
        <v>160356.57044791392</v>
      </c>
      <c r="AP992" s="72">
        <v>0</v>
      </c>
      <c r="AQ992" s="73"/>
      <c r="AR992" s="74">
        <v>-112.96975020465308</v>
      </c>
      <c r="AS992" s="74">
        <v>0</v>
      </c>
      <c r="AT992" s="73"/>
      <c r="AU992" s="72">
        <v>11763799.9303493</v>
      </c>
      <c r="AV992" s="72">
        <v>0</v>
      </c>
      <c r="AW992" s="73"/>
      <c r="AX992" s="74">
        <v>-1162.2287594625402</v>
      </c>
      <c r="AY992" s="74">
        <v>0</v>
      </c>
      <c r="AZ992" s="73"/>
      <c r="BA992" s="72">
        <v>158996.57709579248</v>
      </c>
      <c r="BB992" s="72">
        <v>0</v>
      </c>
      <c r="BC992" s="73"/>
      <c r="BD992" s="74">
        <v>-300.45418145632885</v>
      </c>
      <c r="BE992" s="74">
        <v>0</v>
      </c>
      <c r="BF992" s="73"/>
      <c r="BG992" s="72">
        <v>177378.95048042716</v>
      </c>
      <c r="BH992" s="72">
        <v>0</v>
      </c>
      <c r="BI992" s="73"/>
      <c r="BJ992" s="74">
        <v>-1773.4725609453017</v>
      </c>
      <c r="BK992" s="74">
        <v>0</v>
      </c>
      <c r="BL992" s="73"/>
      <c r="BM992" s="72">
        <v>14643973.52501606</v>
      </c>
      <c r="BN992" s="72">
        <v>0</v>
      </c>
      <c r="BO992" s="73"/>
      <c r="BP992" s="74">
        <v>-5270.9256139122417</v>
      </c>
      <c r="BQ992" s="74">
        <v>0</v>
      </c>
      <c r="BS992" s="109">
        <f t="shared" si="369"/>
        <v>116865.68925625317</v>
      </c>
      <c r="BT992" s="109">
        <f t="shared" si="370"/>
        <v>117247.18261789535</v>
      </c>
      <c r="BV992" s="58">
        <f t="array" ref="BV992">SUM(IF(BS992:BT992&gt;=BS992, 1))</f>
        <v>2</v>
      </c>
      <c r="BW992" s="58">
        <f t="array" ref="BW992">SUM(IF(BS992:BT992&gt;=BT992, 1))</f>
        <v>1</v>
      </c>
      <c r="BY992" s="109">
        <f t="shared" si="371"/>
        <v>134326.81025893858</v>
      </c>
      <c r="BZ992" s="109">
        <f t="shared" si="372"/>
        <v>134670.82512749117</v>
      </c>
      <c r="CB992" s="58">
        <f t="array" ref="CB992">SUM(IF(BY992:BZ992&gt;=BY992, 1))</f>
        <v>2</v>
      </c>
      <c r="CC992" s="58">
        <f t="array" ref="CC992">SUM(IF(BY992:BZ992&gt;=BZ992, 1))</f>
        <v>1</v>
      </c>
      <c r="CE992" s="109">
        <f t="shared" si="373"/>
        <v>95947.21160044882</v>
      </c>
      <c r="CF992" s="109">
        <f t="shared" si="374"/>
        <v>97463.243351989368</v>
      </c>
      <c r="CH992" s="58">
        <f t="array" ref="CH992">SUM(IF(CE992:CF992&gt;=CE992, 1))</f>
        <v>2</v>
      </c>
      <c r="CI992" s="58">
        <f t="array" ref="CI992">SUM(IF(CE992:CF992&gt;=CF992, 1))</f>
        <v>1</v>
      </c>
      <c r="CK992" s="109">
        <f t="shared" si="375"/>
        <v>51545.528188927201</v>
      </c>
      <c r="CL992" s="109">
        <f t="shared" si="376"/>
        <v>52253.196711964862</v>
      </c>
      <c r="CN992" s="58">
        <f t="array" ref="CN992">SUM(IF(CK992:CL992&gt;=CK992, 1))</f>
        <v>2</v>
      </c>
      <c r="CO992" s="58">
        <f t="array" ref="CO992">SUM(IF(CK992:CL992&gt;=CL992, 1))</f>
        <v>1</v>
      </c>
      <c r="CQ992" s="109" cm="1">
        <f t="array" ref="CQ992">AF992*WTP-AC992</f>
        <v>45712.513413648099</v>
      </c>
      <c r="CR992" s="109">
        <f t="shared" si="377"/>
        <v>47975.183165844435</v>
      </c>
      <c r="CT992" s="58">
        <f t="array" ref="CT992">SUM(IF(CQ992:CR992&gt;=CQ992, 1))</f>
        <v>2</v>
      </c>
      <c r="CU992" s="58">
        <f t="array" ref="CU992">SUM(IF(CQ992:CR992&gt;=CR992, 1))</f>
        <v>1</v>
      </c>
      <c r="CW992" s="109">
        <f t="shared" si="378"/>
        <v>-40819448.733510979</v>
      </c>
      <c r="CX992" s="109">
        <f t="shared" si="379"/>
        <v>0</v>
      </c>
      <c r="CZ992" s="58">
        <f t="array" ref="CZ992">SUM(IF(CW992:CX992&gt;=CW992, 1))</f>
        <v>2</v>
      </c>
      <c r="DA992" s="58">
        <f t="array" ref="DA992">SUM(IF(CW992:CX992&gt;=CX992, 1))</f>
        <v>1</v>
      </c>
      <c r="DC992" s="109">
        <f t="shared" si="380"/>
        <v>-2419751.5745409755</v>
      </c>
      <c r="DD992" s="109">
        <f t="shared" si="381"/>
        <v>0</v>
      </c>
      <c r="DF992" s="58">
        <f t="array" ref="DF992">SUM(IF(DC992:DD992&gt;=DC992, 1))</f>
        <v>2</v>
      </c>
      <c r="DG992" s="58">
        <f t="array" ref="DG992">SUM(IF(DC992:DD992&gt;=DD992, 1))</f>
        <v>1</v>
      </c>
      <c r="DI992" s="109">
        <f t="shared" si="382"/>
        <v>-35008375.119600102</v>
      </c>
      <c r="DJ992" s="109">
        <f t="shared" si="383"/>
        <v>0</v>
      </c>
      <c r="DL992" s="58">
        <f t="array" ref="DL992">SUM(IF(DI992:DJ992&gt;=DI992, 1))</f>
        <v>2</v>
      </c>
      <c r="DM992" s="58">
        <f t="array" ref="DM992">SUM(IF(DI992:DJ992&gt;=DJ992, 1))</f>
        <v>1</v>
      </c>
      <c r="DO992" s="109">
        <f t="shared" si="384"/>
        <v>-6168080.2062223693</v>
      </c>
      <c r="DP992" s="109">
        <f t="shared" si="385"/>
        <v>0</v>
      </c>
      <c r="DR992" s="58">
        <f t="array" ref="DR992">SUM(IF(DO992:DP992&gt;=DO992, 1))</f>
        <v>2</v>
      </c>
      <c r="DS992" s="58">
        <f t="array" ref="DS992">SUM(IF(DO992:DP992&gt;=DP992, 1))</f>
        <v>1</v>
      </c>
      <c r="DU992" s="109">
        <f t="shared" si="386"/>
        <v>-35646830.169386454</v>
      </c>
      <c r="DV992" s="109">
        <f t="shared" si="387"/>
        <v>0</v>
      </c>
      <c r="DX992" s="58">
        <f t="array" ref="DX992">SUM(IF(DU992:DV992&gt;=DU992, 1))</f>
        <v>2</v>
      </c>
      <c r="DY992" s="58">
        <f t="array" ref="DY992">SUM(IF(DU992:DV992&gt;=DV992, 1))</f>
        <v>1</v>
      </c>
      <c r="EA992" s="109">
        <f t="shared" si="388"/>
        <v>-120062485.80326089</v>
      </c>
      <c r="EB992" s="109">
        <f t="shared" si="389"/>
        <v>0</v>
      </c>
      <c r="ED992" s="58">
        <f t="array" ref="ED992">SUM(IF(EA992:EB992&gt;=EA992, 1))</f>
        <v>2</v>
      </c>
      <c r="EE992" s="58">
        <f t="array" ref="EE992">SUM(IF(EA992:EB992&gt;=EB992, 1))</f>
        <v>1</v>
      </c>
    </row>
    <row r="993" spans="4:135" ht="12" customHeight="1" x14ac:dyDescent="0.25">
      <c r="D993" s="11">
        <v>977</v>
      </c>
      <c r="E993" s="72">
        <v>211.83551543689927</v>
      </c>
      <c r="F993" s="72">
        <v>177.23255877305095</v>
      </c>
      <c r="G993" s="73"/>
      <c r="H993" s="74">
        <v>5.7923944621488328</v>
      </c>
      <c r="I993" s="74">
        <v>5.8131756479537895</v>
      </c>
      <c r="J993" s="73"/>
      <c r="K993" s="72">
        <v>226.44708128887294</v>
      </c>
      <c r="L993" s="72">
        <v>191.08481853511168</v>
      </c>
      <c r="M993" s="73"/>
      <c r="N993" s="74">
        <v>6.7020041004617017</v>
      </c>
      <c r="O993" s="74">
        <v>6.7211009441927381</v>
      </c>
      <c r="P993" s="73"/>
      <c r="Q993" s="72">
        <v>2348.8711753152925</v>
      </c>
      <c r="R993" s="72">
        <v>1438.6976203971069</v>
      </c>
      <c r="S993" s="73"/>
      <c r="T993" s="74">
        <v>4.6568016282422624</v>
      </c>
      <c r="U993" s="74">
        <v>4.7494317158761055</v>
      </c>
      <c r="V993" s="73"/>
      <c r="W993" s="72">
        <v>9656.0162231817158</v>
      </c>
      <c r="X993" s="72">
        <v>9636.5674467911886</v>
      </c>
      <c r="Y993" s="73"/>
      <c r="Z993" s="74">
        <v>3.1840580290015468</v>
      </c>
      <c r="AA993" s="74">
        <v>3.2192285019070459</v>
      </c>
      <c r="AB993" s="73"/>
      <c r="AC993" s="72">
        <v>49463.661883211294</v>
      </c>
      <c r="AD993" s="72">
        <v>49597.418214161597</v>
      </c>
      <c r="AE993" s="73"/>
      <c r="AF993" s="74">
        <v>4.278629368757116</v>
      </c>
      <c r="AG993" s="74">
        <v>4.4247932227492601</v>
      </c>
      <c r="AH993" s="73"/>
      <c r="AI993" s="72">
        <v>3666361.0967802266</v>
      </c>
      <c r="AJ993" s="72">
        <v>0</v>
      </c>
      <c r="AK993" s="73"/>
      <c r="AL993" s="74">
        <v>-2201.8734387473924</v>
      </c>
      <c r="AM993" s="74">
        <v>0</v>
      </c>
      <c r="AN993" s="73"/>
      <c r="AO993" s="72">
        <v>249027.21207652742</v>
      </c>
      <c r="AP993" s="72">
        <v>0</v>
      </c>
      <c r="AQ993" s="73"/>
      <c r="AR993" s="74">
        <v>-134.4832989595744</v>
      </c>
      <c r="AS993" s="74">
        <v>0</v>
      </c>
      <c r="AT993" s="73"/>
      <c r="AU993" s="72">
        <v>21688935.258860447</v>
      </c>
      <c r="AV993" s="72">
        <v>0</v>
      </c>
      <c r="AW993" s="73"/>
      <c r="AX993" s="74">
        <v>-2207.3240458997766</v>
      </c>
      <c r="AY993" s="74">
        <v>0</v>
      </c>
      <c r="AZ993" s="73"/>
      <c r="BA993" s="72">
        <v>175740.67728838525</v>
      </c>
      <c r="BB993" s="72">
        <v>0</v>
      </c>
      <c r="BC993" s="73"/>
      <c r="BD993" s="74">
        <v>-317.80316688589755</v>
      </c>
      <c r="BE993" s="74">
        <v>0</v>
      </c>
      <c r="BF993" s="73"/>
      <c r="BG993" s="72">
        <v>-2083278.8936209076</v>
      </c>
      <c r="BH993" s="72">
        <v>0</v>
      </c>
      <c r="BI993" s="73"/>
      <c r="BJ993" s="74">
        <v>-2276.5282949130888</v>
      </c>
      <c r="BK993" s="74">
        <v>0</v>
      </c>
      <c r="BL993" s="73"/>
      <c r="BM993" s="72">
        <v>23696785.351384681</v>
      </c>
      <c r="BN993" s="72">
        <v>0</v>
      </c>
      <c r="BO993" s="73"/>
      <c r="BP993" s="74">
        <v>-7138.01224540573</v>
      </c>
      <c r="BQ993" s="74">
        <v>0</v>
      </c>
      <c r="BS993" s="109">
        <f t="shared" si="369"/>
        <v>115636.05372753975</v>
      </c>
      <c r="BT993" s="109">
        <f t="shared" si="370"/>
        <v>116086.28040030274</v>
      </c>
      <c r="BV993" s="58">
        <f t="array" ref="BV993">SUM(IF(BS993:BT993&gt;=BS993, 1))</f>
        <v>2</v>
      </c>
      <c r="BW993" s="58">
        <f t="array" ref="BW993">SUM(IF(BS993:BT993&gt;=BT993, 1))</f>
        <v>1</v>
      </c>
      <c r="BY993" s="109">
        <f t="shared" si="371"/>
        <v>133813.63492794515</v>
      </c>
      <c r="BZ993" s="109">
        <f t="shared" si="372"/>
        <v>134230.93406531966</v>
      </c>
      <c r="CB993" s="58">
        <f t="array" ref="CB993">SUM(IF(BY993:BZ993&gt;=BY993, 1))</f>
        <v>2</v>
      </c>
      <c r="CC993" s="58">
        <f t="array" ref="CC993">SUM(IF(BY993:BZ993&gt;=BZ993, 1))</f>
        <v>1</v>
      </c>
      <c r="CE993" s="109">
        <f t="shared" si="373"/>
        <v>90787.161389529952</v>
      </c>
      <c r="CF993" s="109">
        <f t="shared" si="374"/>
        <v>93549.936697124998</v>
      </c>
      <c r="CH993" s="58">
        <f t="array" ref="CH993">SUM(IF(CE993:CF993&gt;=CE993, 1))</f>
        <v>2</v>
      </c>
      <c r="CI993" s="58">
        <f t="array" ref="CI993">SUM(IF(CE993:CF993&gt;=CF993, 1))</f>
        <v>1</v>
      </c>
      <c r="CK993" s="109">
        <f t="shared" si="375"/>
        <v>54025.144356849218</v>
      </c>
      <c r="CL993" s="109">
        <f t="shared" si="376"/>
        <v>54748.00259134973</v>
      </c>
      <c r="CN993" s="58">
        <f t="array" ref="CN993">SUM(IF(CK993:CL993&gt;=CK993, 1))</f>
        <v>2</v>
      </c>
      <c r="CO993" s="58">
        <f t="array" ref="CO993">SUM(IF(CK993:CL993&gt;=CL993, 1))</f>
        <v>1</v>
      </c>
      <c r="CQ993" s="109" cm="1">
        <f t="array" ref="CQ993">AF993*WTP-AC993</f>
        <v>36108.925491931026</v>
      </c>
      <c r="CR993" s="109">
        <f t="shared" si="377"/>
        <v>38898.446240823607</v>
      </c>
      <c r="CT993" s="58">
        <f t="array" ref="CT993">SUM(IF(CQ993:CR993&gt;=CQ993, 1))</f>
        <v>2</v>
      </c>
      <c r="CU993" s="58">
        <f t="array" ref="CU993">SUM(IF(CQ993:CR993&gt;=CR993, 1))</f>
        <v>1</v>
      </c>
      <c r="CW993" s="109">
        <f t="shared" si="378"/>
        <v>-47703829.87172807</v>
      </c>
      <c r="CX993" s="109">
        <f t="shared" si="379"/>
        <v>0</v>
      </c>
      <c r="CZ993" s="58">
        <f t="array" ref="CZ993">SUM(IF(CW993:CX993&gt;=CW993, 1))</f>
        <v>2</v>
      </c>
      <c r="DA993" s="58">
        <f t="array" ref="DA993">SUM(IF(CW993:CX993&gt;=CX993, 1))</f>
        <v>1</v>
      </c>
      <c r="DC993" s="109">
        <f t="shared" si="380"/>
        <v>-2938693.1912680157</v>
      </c>
      <c r="DD993" s="109">
        <f t="shared" si="381"/>
        <v>0</v>
      </c>
      <c r="DF993" s="58">
        <f t="array" ref="DF993">SUM(IF(DC993:DD993&gt;=DC993, 1))</f>
        <v>2</v>
      </c>
      <c r="DG993" s="58">
        <f t="array" ref="DG993">SUM(IF(DC993:DD993&gt;=DD993, 1))</f>
        <v>1</v>
      </c>
      <c r="DI993" s="109">
        <f t="shared" si="382"/>
        <v>-65835416.176855981</v>
      </c>
      <c r="DJ993" s="109">
        <f t="shared" si="383"/>
        <v>0</v>
      </c>
      <c r="DL993" s="58">
        <f t="array" ref="DL993">SUM(IF(DI993:DJ993&gt;=DI993, 1))</f>
        <v>2</v>
      </c>
      <c r="DM993" s="58">
        <f t="array" ref="DM993">SUM(IF(DI993:DJ993&gt;=DJ993, 1))</f>
        <v>1</v>
      </c>
      <c r="DO993" s="109">
        <f t="shared" si="384"/>
        <v>-6531804.0150063364</v>
      </c>
      <c r="DP993" s="109">
        <f t="shared" si="385"/>
        <v>0</v>
      </c>
      <c r="DR993" s="58">
        <f t="array" ref="DR993">SUM(IF(DO993:DP993&gt;=DO993, 1))</f>
        <v>2</v>
      </c>
      <c r="DS993" s="58">
        <f t="array" ref="DS993">SUM(IF(DO993:DP993&gt;=DP993, 1))</f>
        <v>1</v>
      </c>
      <c r="DU993" s="109">
        <f t="shared" si="386"/>
        <v>-43447287.00464087</v>
      </c>
      <c r="DV993" s="109">
        <f t="shared" si="387"/>
        <v>0</v>
      </c>
      <c r="DX993" s="58">
        <f t="array" ref="DX993">SUM(IF(DU993:DV993&gt;=DU993, 1))</f>
        <v>2</v>
      </c>
      <c r="DY993" s="58">
        <f t="array" ref="DY993">SUM(IF(DU993:DV993&gt;=DV993, 1))</f>
        <v>1</v>
      </c>
      <c r="EA993" s="109">
        <f t="shared" si="388"/>
        <v>-166457030.25949928</v>
      </c>
      <c r="EB993" s="109">
        <f t="shared" si="389"/>
        <v>0</v>
      </c>
      <c r="ED993" s="58">
        <f t="array" ref="ED993">SUM(IF(EA993:EB993&gt;=EA993, 1))</f>
        <v>2</v>
      </c>
      <c r="EE993" s="58">
        <f t="array" ref="EE993">SUM(IF(EA993:EB993&gt;=EB993, 1))</f>
        <v>1</v>
      </c>
    </row>
    <row r="994" spans="4:135" ht="12" customHeight="1" x14ac:dyDescent="0.25">
      <c r="D994" s="11">
        <v>978</v>
      </c>
      <c r="E994" s="72">
        <v>320.2323592318844</v>
      </c>
      <c r="F994" s="72">
        <v>286.08399685256245</v>
      </c>
      <c r="G994" s="73"/>
      <c r="H994" s="74">
        <v>5.9331748323611162</v>
      </c>
      <c r="I994" s="74">
        <v>5.9458607646018748</v>
      </c>
      <c r="J994" s="73"/>
      <c r="K994" s="72">
        <v>343.25538358062192</v>
      </c>
      <c r="L994" s="72">
        <v>308.28733996464894</v>
      </c>
      <c r="M994" s="73"/>
      <c r="N994" s="74">
        <v>6.6667975742212713</v>
      </c>
      <c r="O994" s="74">
        <v>6.6771740721315114</v>
      </c>
      <c r="P994" s="73"/>
      <c r="Q994" s="72">
        <v>3891.914200301148</v>
      </c>
      <c r="R994" s="72">
        <v>1343.0326942490094</v>
      </c>
      <c r="S994" s="73"/>
      <c r="T994" s="74">
        <v>4.955342150449038</v>
      </c>
      <c r="U994" s="74">
        <v>5.1117391005238115</v>
      </c>
      <c r="V994" s="73"/>
      <c r="W994" s="72">
        <v>10924.392516843813</v>
      </c>
      <c r="X994" s="72">
        <v>10917.439315033669</v>
      </c>
      <c r="Y994" s="73"/>
      <c r="Z994" s="74">
        <v>3.1913891657444062</v>
      </c>
      <c r="AA994" s="74">
        <v>3.2518551227137413</v>
      </c>
      <c r="AB994" s="73"/>
      <c r="AC994" s="72">
        <v>50786.679909906336</v>
      </c>
      <c r="AD994" s="72">
        <v>50341.563157130251</v>
      </c>
      <c r="AE994" s="73"/>
      <c r="AF994" s="74">
        <v>4.1279056285013596</v>
      </c>
      <c r="AG994" s="74">
        <v>4.2243995895965112</v>
      </c>
      <c r="AH994" s="73"/>
      <c r="AI994" s="72">
        <v>3667652.5864686766</v>
      </c>
      <c r="AJ994" s="72">
        <v>0</v>
      </c>
      <c r="AK994" s="73"/>
      <c r="AL994" s="74">
        <v>-1362.5131324821284</v>
      </c>
      <c r="AM994" s="74">
        <v>0</v>
      </c>
      <c r="AN994" s="73"/>
      <c r="AO994" s="72">
        <v>238868.27255319673</v>
      </c>
      <c r="AP994" s="72">
        <v>0</v>
      </c>
      <c r="AQ994" s="73"/>
      <c r="AR994" s="74">
        <v>-70.88232210505204</v>
      </c>
      <c r="AS994" s="74">
        <v>0</v>
      </c>
      <c r="AT994" s="73"/>
      <c r="AU994" s="72">
        <v>59533517.541825049</v>
      </c>
      <c r="AV994" s="72">
        <v>0</v>
      </c>
      <c r="AW994" s="73"/>
      <c r="AX994" s="74">
        <v>-3652.9201332649191</v>
      </c>
      <c r="AY994" s="74">
        <v>0</v>
      </c>
      <c r="AZ994" s="73"/>
      <c r="BA994" s="72">
        <v>63552.919976703495</v>
      </c>
      <c r="BB994" s="72">
        <v>0</v>
      </c>
      <c r="BC994" s="73"/>
      <c r="BD994" s="74">
        <v>-552.6645464224772</v>
      </c>
      <c r="BE994" s="74">
        <v>0</v>
      </c>
      <c r="BF994" s="73"/>
      <c r="BG994" s="72">
        <v>7003952.6260014037</v>
      </c>
      <c r="BH994" s="72">
        <v>0</v>
      </c>
      <c r="BI994" s="73"/>
      <c r="BJ994" s="74">
        <v>-1518.3412621309374</v>
      </c>
      <c r="BK994" s="74">
        <v>0</v>
      </c>
      <c r="BL994" s="73"/>
      <c r="BM994" s="72">
        <v>70507543.946825027</v>
      </c>
      <c r="BN994" s="72">
        <v>0</v>
      </c>
      <c r="BO994" s="73"/>
      <c r="BP994" s="74">
        <v>-7157.321396405514</v>
      </c>
      <c r="BQ994" s="74">
        <v>0</v>
      </c>
      <c r="BS994" s="109">
        <f t="shared" si="369"/>
        <v>118343.26428799043</v>
      </c>
      <c r="BT994" s="109">
        <f t="shared" si="370"/>
        <v>118631.13129518492</v>
      </c>
      <c r="BV994" s="58">
        <f t="array" ref="BV994">SUM(IF(BS994:BT994&gt;=BS994, 1))</f>
        <v>2</v>
      </c>
      <c r="BW994" s="58">
        <f t="array" ref="BW994">SUM(IF(BS994:BT994&gt;=BT994, 1))</f>
        <v>1</v>
      </c>
      <c r="BY994" s="109">
        <f t="shared" si="371"/>
        <v>132992.6961008448</v>
      </c>
      <c r="BZ994" s="109">
        <f t="shared" si="372"/>
        <v>133235.19410266558</v>
      </c>
      <c r="CB994" s="58">
        <f t="array" ref="CB994">SUM(IF(BY994:BZ994&gt;=BY994, 1))</f>
        <v>2</v>
      </c>
      <c r="CC994" s="58">
        <f t="array" ref="CC994">SUM(IF(BY994:BZ994&gt;=BZ994, 1))</f>
        <v>1</v>
      </c>
      <c r="CE994" s="109">
        <f t="shared" si="373"/>
        <v>95214.928808679615</v>
      </c>
      <c r="CF994" s="109">
        <f t="shared" si="374"/>
        <v>100891.74931622723</v>
      </c>
      <c r="CH994" s="58">
        <f t="array" ref="CH994">SUM(IF(CE994:CF994&gt;=CE994, 1))</f>
        <v>2</v>
      </c>
      <c r="CI994" s="58">
        <f t="array" ref="CI994">SUM(IF(CE994:CF994&gt;=CF994, 1))</f>
        <v>1</v>
      </c>
      <c r="CK994" s="109">
        <f t="shared" si="375"/>
        <v>52903.390798044311</v>
      </c>
      <c r="CL994" s="109">
        <f t="shared" si="376"/>
        <v>54119.663139241158</v>
      </c>
      <c r="CN994" s="58">
        <f t="array" ref="CN994">SUM(IF(CK994:CL994&gt;=CK994, 1))</f>
        <v>2</v>
      </c>
      <c r="CO994" s="58">
        <f t="array" ref="CO994">SUM(IF(CK994:CL994&gt;=CL994, 1))</f>
        <v>1</v>
      </c>
      <c r="CQ994" s="109" cm="1">
        <f t="array" ref="CQ994">AF994*WTP-AC994</f>
        <v>31771.43266012086</v>
      </c>
      <c r="CR994" s="109">
        <f t="shared" si="377"/>
        <v>34146.428634799973</v>
      </c>
      <c r="CT994" s="58">
        <f t="array" ref="CT994">SUM(IF(CQ994:CR994&gt;=CQ994, 1))</f>
        <v>2</v>
      </c>
      <c r="CU994" s="58">
        <f t="array" ref="CU994">SUM(IF(CQ994:CR994&gt;=CR994, 1))</f>
        <v>1</v>
      </c>
      <c r="CW994" s="109">
        <f t="shared" si="378"/>
        <v>-30917915.236111246</v>
      </c>
      <c r="CX994" s="109">
        <f t="shared" si="379"/>
        <v>0</v>
      </c>
      <c r="CZ994" s="58">
        <f t="array" ref="CZ994">SUM(IF(CW994:CX994&gt;=CW994, 1))</f>
        <v>2</v>
      </c>
      <c r="DA994" s="58">
        <f t="array" ref="DA994">SUM(IF(CW994:CX994&gt;=CX994, 1))</f>
        <v>1</v>
      </c>
      <c r="DC994" s="109">
        <f t="shared" si="380"/>
        <v>-1656514.7146542375</v>
      </c>
      <c r="DD994" s="109">
        <f t="shared" si="381"/>
        <v>0</v>
      </c>
      <c r="DF994" s="58">
        <f t="array" ref="DF994">SUM(IF(DC994:DD994&gt;=DC994, 1))</f>
        <v>2</v>
      </c>
      <c r="DG994" s="58">
        <f t="array" ref="DG994">SUM(IF(DC994:DD994&gt;=DD994, 1))</f>
        <v>1</v>
      </c>
      <c r="DI994" s="109">
        <f t="shared" si="382"/>
        <v>-132591920.20712343</v>
      </c>
      <c r="DJ994" s="109">
        <f t="shared" si="383"/>
        <v>0</v>
      </c>
      <c r="DL994" s="58">
        <f t="array" ref="DL994">SUM(IF(DI994:DJ994&gt;=DI994, 1))</f>
        <v>2</v>
      </c>
      <c r="DM994" s="58">
        <f t="array" ref="DM994">SUM(IF(DI994:DJ994&gt;=DJ994, 1))</f>
        <v>1</v>
      </c>
      <c r="DO994" s="109">
        <f t="shared" si="384"/>
        <v>-11116843.848426247</v>
      </c>
      <c r="DP994" s="109">
        <f t="shared" si="385"/>
        <v>0</v>
      </c>
      <c r="DR994" s="58">
        <f t="array" ref="DR994">SUM(IF(DO994:DP994&gt;=DO994, 1))</f>
        <v>2</v>
      </c>
      <c r="DS994" s="58">
        <f t="array" ref="DS994">SUM(IF(DO994:DP994&gt;=DP994, 1))</f>
        <v>1</v>
      </c>
      <c r="DU994" s="109">
        <f t="shared" si="386"/>
        <v>-37370777.86862015</v>
      </c>
      <c r="DV994" s="109">
        <f t="shared" si="387"/>
        <v>0</v>
      </c>
      <c r="DX994" s="58">
        <f t="array" ref="DX994">SUM(IF(DU994:DV994&gt;=DU994, 1))</f>
        <v>2</v>
      </c>
      <c r="DY994" s="58">
        <f t="array" ref="DY994">SUM(IF(DU994:DV994&gt;=DV994, 1))</f>
        <v>1</v>
      </c>
      <c r="EA994" s="109">
        <f t="shared" si="388"/>
        <v>-213653971.8749353</v>
      </c>
      <c r="EB994" s="109">
        <f t="shared" si="389"/>
        <v>0</v>
      </c>
      <c r="ED994" s="58">
        <f t="array" ref="ED994">SUM(IF(EA994:EB994&gt;=EA994, 1))</f>
        <v>2</v>
      </c>
      <c r="EE994" s="58">
        <f t="array" ref="EE994">SUM(IF(EA994:EB994&gt;=EB994, 1))</f>
        <v>1</v>
      </c>
    </row>
    <row r="995" spans="4:135" ht="12" customHeight="1" x14ac:dyDescent="0.25">
      <c r="D995" s="11">
        <v>979</v>
      </c>
      <c r="E995" s="72">
        <v>218.9360971659965</v>
      </c>
      <c r="F995" s="72">
        <v>195.99723522505479</v>
      </c>
      <c r="G995" s="73"/>
      <c r="H995" s="74">
        <v>5.8154647202741376</v>
      </c>
      <c r="I995" s="74">
        <v>5.835427388641734</v>
      </c>
      <c r="J995" s="73"/>
      <c r="K995" s="72">
        <v>234.81294993067419</v>
      </c>
      <c r="L995" s="72">
        <v>211.33702726307143</v>
      </c>
      <c r="M995" s="73"/>
      <c r="N995" s="74">
        <v>6.7362999938308938</v>
      </c>
      <c r="O995" s="74">
        <v>6.7543822856631381</v>
      </c>
      <c r="P995" s="73"/>
      <c r="Q995" s="72">
        <v>2591.4127783572403</v>
      </c>
      <c r="R995" s="72">
        <v>1489.7300814378202</v>
      </c>
      <c r="S995" s="73"/>
      <c r="T995" s="74">
        <v>4.8403768660125204</v>
      </c>
      <c r="U995" s="74">
        <v>4.922045352777304</v>
      </c>
      <c r="V995" s="73"/>
      <c r="W995" s="72">
        <v>14239.01665265866</v>
      </c>
      <c r="X995" s="72">
        <v>14211.352307235793</v>
      </c>
      <c r="Y995" s="73"/>
      <c r="Z995" s="74">
        <v>3.0925666802246847</v>
      </c>
      <c r="AA995" s="74">
        <v>3.1420391127346967</v>
      </c>
      <c r="AB995" s="73"/>
      <c r="AC995" s="72">
        <v>51899.027115574267</v>
      </c>
      <c r="AD995" s="72">
        <v>51551.813778622462</v>
      </c>
      <c r="AE995" s="73"/>
      <c r="AF995" s="74">
        <v>4.2672681195386177</v>
      </c>
      <c r="AG995" s="74">
        <v>4.3669911030417348</v>
      </c>
      <c r="AH995" s="73"/>
      <c r="AI995" s="72">
        <v>2506170.5067382203</v>
      </c>
      <c r="AJ995" s="72">
        <v>0</v>
      </c>
      <c r="AK995" s="73"/>
      <c r="AL995" s="74">
        <v>-2181.0084051890972</v>
      </c>
      <c r="AM995" s="74">
        <v>0</v>
      </c>
      <c r="AN995" s="73"/>
      <c r="AO995" s="72">
        <v>163697.27429763935</v>
      </c>
      <c r="AP995" s="72">
        <v>0</v>
      </c>
      <c r="AQ995" s="73"/>
      <c r="AR995" s="74">
        <v>-126.08756332622225</v>
      </c>
      <c r="AS995" s="74">
        <v>0</v>
      </c>
      <c r="AT995" s="73"/>
      <c r="AU995" s="72">
        <v>25451037.76423854</v>
      </c>
      <c r="AV995" s="72">
        <v>0</v>
      </c>
      <c r="AW995" s="73"/>
      <c r="AX995" s="74">
        <v>-1886.7027199490951</v>
      </c>
      <c r="AY995" s="74">
        <v>0</v>
      </c>
      <c r="AZ995" s="73"/>
      <c r="BA995" s="72">
        <v>256508.87448211137</v>
      </c>
      <c r="BB995" s="72">
        <v>0</v>
      </c>
      <c r="BC995" s="73"/>
      <c r="BD995" s="74">
        <v>-458.71744973752067</v>
      </c>
      <c r="BE995" s="74">
        <v>0</v>
      </c>
      <c r="BF995" s="73"/>
      <c r="BG995" s="72">
        <v>5588292.8001706302</v>
      </c>
      <c r="BH995" s="72">
        <v>0</v>
      </c>
      <c r="BI995" s="73"/>
      <c r="BJ995" s="74">
        <v>-1605.0110160352417</v>
      </c>
      <c r="BK995" s="74">
        <v>0</v>
      </c>
      <c r="BL995" s="73"/>
      <c r="BM995" s="72">
        <v>33965707.21992714</v>
      </c>
      <c r="BN995" s="72">
        <v>0</v>
      </c>
      <c r="BO995" s="73"/>
      <c r="BP995" s="74">
        <v>-6257.5271542371765</v>
      </c>
      <c r="BQ995" s="74">
        <v>0</v>
      </c>
      <c r="BS995" s="109">
        <f t="shared" si="369"/>
        <v>116090.35830831676</v>
      </c>
      <c r="BT995" s="109">
        <f t="shared" si="370"/>
        <v>116512.55053760963</v>
      </c>
      <c r="BV995" s="58">
        <f t="array" ref="BV995">SUM(IF(BS995:BT995&gt;=BS995, 1))</f>
        <v>2</v>
      </c>
      <c r="BW995" s="58">
        <f t="array" ref="BW995">SUM(IF(BS995:BT995&gt;=BT995, 1))</f>
        <v>1</v>
      </c>
      <c r="BY995" s="109">
        <f t="shared" si="371"/>
        <v>134491.18692668722</v>
      </c>
      <c r="BZ995" s="109">
        <f t="shared" si="372"/>
        <v>134876.30868599968</v>
      </c>
      <c r="CB995" s="58">
        <f t="array" ref="CB995">SUM(IF(BY995:BZ995&gt;=BY995, 1))</f>
        <v>2</v>
      </c>
      <c r="CC995" s="58">
        <f t="array" ref="CC995">SUM(IF(BY995:BZ995&gt;=BZ995, 1))</f>
        <v>1</v>
      </c>
      <c r="CE995" s="109">
        <f t="shared" si="373"/>
        <v>94216.124541893165</v>
      </c>
      <c r="CF995" s="109">
        <f t="shared" si="374"/>
        <v>96951.176974108253</v>
      </c>
      <c r="CH995" s="58">
        <f t="array" ref="CH995">SUM(IF(CE995:CF995&gt;=CE995, 1))</f>
        <v>2</v>
      </c>
      <c r="CI995" s="58">
        <f t="array" ref="CI995">SUM(IF(CE995:CF995&gt;=CF995, 1))</f>
        <v>1</v>
      </c>
      <c r="CK995" s="109">
        <f t="shared" si="375"/>
        <v>47612.316951835033</v>
      </c>
      <c r="CL995" s="109">
        <f t="shared" si="376"/>
        <v>48629.429947458142</v>
      </c>
      <c r="CN995" s="58">
        <f t="array" ref="CN995">SUM(IF(CK995:CL995&gt;=CK995, 1))</f>
        <v>2</v>
      </c>
      <c r="CO995" s="58">
        <f t="array" ref="CO995">SUM(IF(CK995:CL995&gt;=CL995, 1))</f>
        <v>1</v>
      </c>
      <c r="CQ995" s="109" cm="1">
        <f t="array" ref="CQ995">AF995*WTP-AC995</f>
        <v>33446.335275198086</v>
      </c>
      <c r="CR995" s="109">
        <f t="shared" si="377"/>
        <v>35788.008282212228</v>
      </c>
      <c r="CT995" s="58">
        <f t="array" ref="CT995">SUM(IF(CQ995:CR995&gt;=CQ995, 1))</f>
        <v>2</v>
      </c>
      <c r="CU995" s="58">
        <f t="array" ref="CU995">SUM(IF(CQ995:CR995&gt;=CR995, 1))</f>
        <v>1</v>
      </c>
      <c r="CW995" s="109">
        <f t="shared" si="378"/>
        <v>-46126338.610520169</v>
      </c>
      <c r="CX995" s="109">
        <f t="shared" si="379"/>
        <v>0</v>
      </c>
      <c r="CZ995" s="58">
        <f t="array" ref="CZ995">SUM(IF(CW995:CX995&gt;=CW995, 1))</f>
        <v>2</v>
      </c>
      <c r="DA995" s="58">
        <f t="array" ref="DA995">SUM(IF(CW995:CX995&gt;=CX995, 1))</f>
        <v>1</v>
      </c>
      <c r="DC995" s="109">
        <f t="shared" si="380"/>
        <v>-2685448.5408220845</v>
      </c>
      <c r="DD995" s="109">
        <f t="shared" si="381"/>
        <v>0</v>
      </c>
      <c r="DF995" s="58">
        <f t="array" ref="DF995">SUM(IF(DC995:DD995&gt;=DC995, 1))</f>
        <v>2</v>
      </c>
      <c r="DG995" s="58">
        <f t="array" ref="DG995">SUM(IF(DC995:DD995&gt;=DD995, 1))</f>
        <v>1</v>
      </c>
      <c r="DI995" s="109">
        <f t="shared" si="382"/>
        <v>-63185092.163220435</v>
      </c>
      <c r="DJ995" s="109">
        <f t="shared" si="383"/>
        <v>0</v>
      </c>
      <c r="DL995" s="58">
        <f t="array" ref="DL995">SUM(IF(DI995:DJ995&gt;=DI995, 1))</f>
        <v>2</v>
      </c>
      <c r="DM995" s="58">
        <f t="array" ref="DM995">SUM(IF(DI995:DJ995&gt;=DJ995, 1))</f>
        <v>1</v>
      </c>
      <c r="DO995" s="109">
        <f t="shared" si="384"/>
        <v>-9430857.869232526</v>
      </c>
      <c r="DP995" s="109">
        <f t="shared" si="385"/>
        <v>0</v>
      </c>
      <c r="DR995" s="58">
        <f t="array" ref="DR995">SUM(IF(DO995:DP995&gt;=DO995, 1))</f>
        <v>2</v>
      </c>
      <c r="DS995" s="58">
        <f t="array" ref="DS995">SUM(IF(DO995:DP995&gt;=DP995, 1))</f>
        <v>1</v>
      </c>
      <c r="DU995" s="109">
        <f t="shared" si="386"/>
        <v>-37688513.120875463</v>
      </c>
      <c r="DV995" s="109">
        <f t="shared" si="387"/>
        <v>0</v>
      </c>
      <c r="DX995" s="58">
        <f t="array" ref="DX995">SUM(IF(DU995:DV995&gt;=DU995, 1))</f>
        <v>2</v>
      </c>
      <c r="DY995" s="58">
        <f t="array" ref="DY995">SUM(IF(DU995:DV995&gt;=DV995, 1))</f>
        <v>1</v>
      </c>
      <c r="EA995" s="109">
        <f t="shared" si="388"/>
        <v>-159116250.30467066</v>
      </c>
      <c r="EB995" s="109">
        <f t="shared" si="389"/>
        <v>0</v>
      </c>
      <c r="ED995" s="58">
        <f t="array" ref="ED995">SUM(IF(EA995:EB995&gt;=EA995, 1))</f>
        <v>2</v>
      </c>
      <c r="EE995" s="58">
        <f t="array" ref="EE995">SUM(IF(EA995:EB995&gt;=EB995, 1))</f>
        <v>1</v>
      </c>
    </row>
    <row r="996" spans="4:135" ht="12" customHeight="1" x14ac:dyDescent="0.25">
      <c r="D996" s="11">
        <v>980</v>
      </c>
      <c r="E996" s="72">
        <v>339.44948029883795</v>
      </c>
      <c r="F996" s="72">
        <v>318.53989378930095</v>
      </c>
      <c r="G996" s="73"/>
      <c r="H996" s="74">
        <v>5.7947541743833906</v>
      </c>
      <c r="I996" s="74">
        <v>5.8079968170614666</v>
      </c>
      <c r="J996" s="73"/>
      <c r="K996" s="72">
        <v>364.78026579661503</v>
      </c>
      <c r="L996" s="72">
        <v>343.37301385969204</v>
      </c>
      <c r="M996" s="73"/>
      <c r="N996" s="74">
        <v>6.6904572520350376</v>
      </c>
      <c r="O996" s="74">
        <v>6.7019605355039955</v>
      </c>
      <c r="P996" s="73"/>
      <c r="Q996" s="72">
        <v>3145.8954458890535</v>
      </c>
      <c r="R996" s="72">
        <v>1555.1120293429117</v>
      </c>
      <c r="S996" s="73"/>
      <c r="T996" s="74">
        <v>4.738036436862612</v>
      </c>
      <c r="U996" s="74">
        <v>4.8480834310776215</v>
      </c>
      <c r="V996" s="73"/>
      <c r="W996" s="72">
        <v>11845.150527301599</v>
      </c>
      <c r="X996" s="72">
        <v>11802.89932590215</v>
      </c>
      <c r="Y996" s="73"/>
      <c r="Z996" s="74">
        <v>2.9589669213409082</v>
      </c>
      <c r="AA996" s="74">
        <v>2.9950600988392093</v>
      </c>
      <c r="AB996" s="73"/>
      <c r="AC996" s="72">
        <v>51017.250039719365</v>
      </c>
      <c r="AD996" s="72">
        <v>50728.73124946154</v>
      </c>
      <c r="AE996" s="73"/>
      <c r="AF996" s="74">
        <v>4.4014060106967943</v>
      </c>
      <c r="AG996" s="74">
        <v>4.4950282839410711</v>
      </c>
      <c r="AH996" s="73"/>
      <c r="AI996" s="72">
        <v>2226286.4298750605</v>
      </c>
      <c r="AJ996" s="72">
        <v>0</v>
      </c>
      <c r="AK996" s="73"/>
      <c r="AL996" s="74">
        <v>-1409.9712434025498</v>
      </c>
      <c r="AM996" s="74">
        <v>0</v>
      </c>
      <c r="AN996" s="73"/>
      <c r="AO996" s="72">
        <v>145906.68428527337</v>
      </c>
      <c r="AP996" s="72">
        <v>0</v>
      </c>
      <c r="AQ996" s="73"/>
      <c r="AR996" s="74">
        <v>-78.403615480151799</v>
      </c>
      <c r="AS996" s="74">
        <v>0</v>
      </c>
      <c r="AT996" s="73"/>
      <c r="AU996" s="72">
        <v>36481320.384026118</v>
      </c>
      <c r="AV996" s="72">
        <v>0</v>
      </c>
      <c r="AW996" s="73"/>
      <c r="AX996" s="74">
        <v>-2523.6997139266964</v>
      </c>
      <c r="AY996" s="74">
        <v>0</v>
      </c>
      <c r="AZ996" s="73"/>
      <c r="BA996" s="72">
        <v>372823.75366355752</v>
      </c>
      <c r="BB996" s="72">
        <v>0</v>
      </c>
      <c r="BC996" s="73"/>
      <c r="BD996" s="74">
        <v>-318.48547427901275</v>
      </c>
      <c r="BE996" s="74">
        <v>0</v>
      </c>
      <c r="BF996" s="73"/>
      <c r="BG996" s="72">
        <v>4457259.5847327141</v>
      </c>
      <c r="BH996" s="72">
        <v>0</v>
      </c>
      <c r="BI996" s="73"/>
      <c r="BJ996" s="74">
        <v>-1446.3486914998246</v>
      </c>
      <c r="BK996" s="74">
        <v>0</v>
      </c>
      <c r="BL996" s="73"/>
      <c r="BM996" s="72">
        <v>43683596.83658272</v>
      </c>
      <c r="BN996" s="72">
        <v>0</v>
      </c>
      <c r="BO996" s="73"/>
      <c r="BP996" s="74">
        <v>-5776.9087385882358</v>
      </c>
      <c r="BQ996" s="74">
        <v>0</v>
      </c>
      <c r="BS996" s="109">
        <f t="shared" si="369"/>
        <v>115555.63400736898</v>
      </c>
      <c r="BT996" s="109">
        <f t="shared" si="370"/>
        <v>115841.39644744003</v>
      </c>
      <c r="BV996" s="58">
        <f t="array" ref="BV996">SUM(IF(BS996:BT996&gt;=BS996, 1))</f>
        <v>2</v>
      </c>
      <c r="BW996" s="58">
        <f t="array" ref="BW996">SUM(IF(BS996:BT996&gt;=BT996, 1))</f>
        <v>1</v>
      </c>
      <c r="BY996" s="109">
        <f t="shared" si="371"/>
        <v>133444.36477490416</v>
      </c>
      <c r="BZ996" s="109">
        <f t="shared" si="372"/>
        <v>133695.8376962202</v>
      </c>
      <c r="CB996" s="58">
        <f t="array" ref="CB996">SUM(IF(BY996:BZ996&gt;=BY996, 1))</f>
        <v>2</v>
      </c>
      <c r="CC996" s="58">
        <f t="array" ref="CC996">SUM(IF(BY996:BZ996&gt;=BZ996, 1))</f>
        <v>1</v>
      </c>
      <c r="CE996" s="109">
        <f t="shared" si="373"/>
        <v>91614.833291363189</v>
      </c>
      <c r="CF996" s="109">
        <f t="shared" si="374"/>
        <v>95406.556592209512</v>
      </c>
      <c r="CH996" s="58">
        <f t="array" ref="CH996">SUM(IF(CE996:CF996&gt;=CE996, 1))</f>
        <v>2</v>
      </c>
      <c r="CI996" s="58">
        <f t="array" ref="CI996">SUM(IF(CE996:CF996&gt;=CF996, 1))</f>
        <v>1</v>
      </c>
      <c r="CK996" s="109">
        <f t="shared" si="375"/>
        <v>47334.187899516561</v>
      </c>
      <c r="CL996" s="109">
        <f t="shared" si="376"/>
        <v>48098.302650882033</v>
      </c>
      <c r="CN996" s="58">
        <f t="array" ref="CN996">SUM(IF(CK996:CL996&gt;=CK996, 1))</f>
        <v>2</v>
      </c>
      <c r="CO996" s="58">
        <f t="array" ref="CO996">SUM(IF(CK996:CL996&gt;=CL996, 1))</f>
        <v>1</v>
      </c>
      <c r="CQ996" s="109" cm="1">
        <f t="array" ref="CQ996">AF996*WTP-AC996</f>
        <v>37010.870174216514</v>
      </c>
      <c r="CR996" s="109">
        <f t="shared" si="377"/>
        <v>39171.834429359886</v>
      </c>
      <c r="CT996" s="58">
        <f t="array" ref="CT996">SUM(IF(CQ996:CR996&gt;=CQ996, 1))</f>
        <v>2</v>
      </c>
      <c r="CU996" s="58">
        <f t="array" ref="CU996">SUM(IF(CQ996:CR996&gt;=CR996, 1))</f>
        <v>1</v>
      </c>
      <c r="CW996" s="109">
        <f t="shared" si="378"/>
        <v>-30425711.297926057</v>
      </c>
      <c r="CX996" s="109">
        <f t="shared" si="379"/>
        <v>0</v>
      </c>
      <c r="CZ996" s="58">
        <f t="array" ref="CZ996">SUM(IF(CW996:CX996&gt;=CW996, 1))</f>
        <v>2</v>
      </c>
      <c r="DA996" s="58">
        <f t="array" ref="DA996">SUM(IF(CW996:CX996&gt;=CX996, 1))</f>
        <v>1</v>
      </c>
      <c r="DC996" s="109">
        <f t="shared" si="380"/>
        <v>-1713978.9938883092</v>
      </c>
      <c r="DD996" s="109">
        <f t="shared" si="381"/>
        <v>0</v>
      </c>
      <c r="DF996" s="58">
        <f t="array" ref="DF996">SUM(IF(DC996:DD996&gt;=DC996, 1))</f>
        <v>2</v>
      </c>
      <c r="DG996" s="58">
        <f t="array" ref="DG996">SUM(IF(DC996:DD996&gt;=DD996, 1))</f>
        <v>1</v>
      </c>
      <c r="DI996" s="109">
        <f t="shared" si="382"/>
        <v>-86955314.662560046</v>
      </c>
      <c r="DJ996" s="109">
        <f t="shared" si="383"/>
        <v>0</v>
      </c>
      <c r="DL996" s="58">
        <f t="array" ref="DL996">SUM(IF(DI996:DJ996&gt;=DI996, 1))</f>
        <v>2</v>
      </c>
      <c r="DM996" s="58">
        <f t="array" ref="DM996">SUM(IF(DI996:DJ996&gt;=DJ996, 1))</f>
        <v>1</v>
      </c>
      <c r="DO996" s="109">
        <f t="shared" si="384"/>
        <v>-6742533.2392438129</v>
      </c>
      <c r="DP996" s="109">
        <f t="shared" si="385"/>
        <v>0</v>
      </c>
      <c r="DR996" s="58">
        <f t="array" ref="DR996">SUM(IF(DO996:DP996&gt;=DO996, 1))</f>
        <v>2</v>
      </c>
      <c r="DS996" s="58">
        <f t="array" ref="DS996">SUM(IF(DO996:DP996&gt;=DP996, 1))</f>
        <v>1</v>
      </c>
      <c r="DU996" s="109">
        <f t="shared" si="386"/>
        <v>-33384233.414729208</v>
      </c>
      <c r="DV996" s="109">
        <f t="shared" si="387"/>
        <v>0</v>
      </c>
      <c r="DX996" s="58">
        <f t="array" ref="DX996">SUM(IF(DU996:DV996&gt;=DU996, 1))</f>
        <v>2</v>
      </c>
      <c r="DY996" s="58">
        <f t="array" ref="DY996">SUM(IF(DU996:DV996&gt;=DV996, 1))</f>
        <v>1</v>
      </c>
      <c r="EA996" s="109">
        <f t="shared" si="388"/>
        <v>-159221771.60834742</v>
      </c>
      <c r="EB996" s="109">
        <f t="shared" si="389"/>
        <v>0</v>
      </c>
      <c r="ED996" s="58">
        <f t="array" ref="ED996">SUM(IF(EA996:EB996&gt;=EA996, 1))</f>
        <v>2</v>
      </c>
      <c r="EE996" s="58">
        <f t="array" ref="EE996">SUM(IF(EA996:EB996&gt;=EB996, 1))</f>
        <v>1</v>
      </c>
    </row>
    <row r="997" spans="4:135" ht="12" customHeight="1" x14ac:dyDescent="0.25">
      <c r="D997" s="11">
        <v>981</v>
      </c>
      <c r="E997" s="72">
        <v>250.38782180187954</v>
      </c>
      <c r="F997" s="72">
        <v>219.84694939022057</v>
      </c>
      <c r="G997" s="73"/>
      <c r="H997" s="74">
        <v>5.8404139488582105</v>
      </c>
      <c r="I997" s="74">
        <v>5.85923360620294</v>
      </c>
      <c r="J997" s="73"/>
      <c r="K997" s="72">
        <v>268.22657572731521</v>
      </c>
      <c r="L997" s="72">
        <v>236.98395611310099</v>
      </c>
      <c r="M997" s="73"/>
      <c r="N997" s="74">
        <v>6.7085402858015959</v>
      </c>
      <c r="O997" s="74">
        <v>6.7253126354710648</v>
      </c>
      <c r="P997" s="73"/>
      <c r="Q997" s="72">
        <v>3773.5778944602071</v>
      </c>
      <c r="R997" s="72">
        <v>1679.2825771338846</v>
      </c>
      <c r="S997" s="73"/>
      <c r="T997" s="74">
        <v>4.8592849438156707</v>
      </c>
      <c r="U997" s="74">
        <v>4.9664400261823047</v>
      </c>
      <c r="V997" s="73"/>
      <c r="W997" s="72">
        <v>13574.116031219692</v>
      </c>
      <c r="X997" s="72">
        <v>13548.798271329077</v>
      </c>
      <c r="Y997" s="73"/>
      <c r="Z997" s="74">
        <v>2.8703417655373826</v>
      </c>
      <c r="AA997" s="74">
        <v>2.9016114676504272</v>
      </c>
      <c r="AB997" s="73"/>
      <c r="AC997" s="72">
        <v>51616.738226655019</v>
      </c>
      <c r="AD997" s="72">
        <v>51014.486646601283</v>
      </c>
      <c r="AE997" s="73"/>
      <c r="AF997" s="74">
        <v>4.5408215587246881</v>
      </c>
      <c r="AG997" s="74">
        <v>4.6567886159590675</v>
      </c>
      <c r="AH997" s="73"/>
      <c r="AI997" s="72">
        <v>3300916.8844338199</v>
      </c>
      <c r="AJ997" s="72">
        <v>0</v>
      </c>
      <c r="AK997" s="73"/>
      <c r="AL997" s="74">
        <v>-2034.0651652361219</v>
      </c>
      <c r="AM997" s="74">
        <v>0</v>
      </c>
      <c r="AN997" s="73"/>
      <c r="AO997" s="72">
        <v>207735.71867526398</v>
      </c>
      <c r="AP997" s="72">
        <v>0</v>
      </c>
      <c r="AQ997" s="73"/>
      <c r="AR997" s="74">
        <v>-111.52125383477029</v>
      </c>
      <c r="AS997" s="74">
        <v>0</v>
      </c>
      <c r="AT997" s="73"/>
      <c r="AU997" s="72">
        <v>49528112.424644187</v>
      </c>
      <c r="AV997" s="72">
        <v>0</v>
      </c>
      <c r="AW997" s="73"/>
      <c r="AX997" s="74">
        <v>-2534.1168088472218</v>
      </c>
      <c r="AY997" s="74">
        <v>0</v>
      </c>
      <c r="AZ997" s="73"/>
      <c r="BA997" s="72">
        <v>223607.84016376323</v>
      </c>
      <c r="BB997" s="72">
        <v>0</v>
      </c>
      <c r="BC997" s="73"/>
      <c r="BD997" s="74">
        <v>-276.1757194266653</v>
      </c>
      <c r="BE997" s="74">
        <v>0</v>
      </c>
      <c r="BF997" s="73"/>
      <c r="BG997" s="72">
        <v>9541343.0047296789</v>
      </c>
      <c r="BH997" s="72">
        <v>0</v>
      </c>
      <c r="BI997" s="73"/>
      <c r="BJ997" s="74">
        <v>-1837.2412907967876</v>
      </c>
      <c r="BK997" s="74">
        <v>0</v>
      </c>
      <c r="BL997" s="73"/>
      <c r="BM997" s="72">
        <v>62801715.872646712</v>
      </c>
      <c r="BN997" s="72">
        <v>0</v>
      </c>
      <c r="BO997" s="73"/>
      <c r="BP997" s="74">
        <v>-6793.1202381415669</v>
      </c>
      <c r="BQ997" s="74">
        <v>0</v>
      </c>
      <c r="BS997" s="109">
        <f t="shared" si="369"/>
        <v>116557.89115536233</v>
      </c>
      <c r="BT997" s="109">
        <f t="shared" si="370"/>
        <v>116964.82517466857</v>
      </c>
      <c r="BV997" s="58">
        <f t="array" ref="BV997">SUM(IF(BS997:BT997&gt;=BS997, 1))</f>
        <v>2</v>
      </c>
      <c r="BW997" s="58">
        <f t="array" ref="BW997">SUM(IF(BS997:BT997&gt;=BT997, 1))</f>
        <v>1</v>
      </c>
      <c r="BY997" s="109">
        <f t="shared" si="371"/>
        <v>133902.57914030462</v>
      </c>
      <c r="BZ997" s="109">
        <f t="shared" si="372"/>
        <v>134269.26875330819</v>
      </c>
      <c r="CB997" s="58">
        <f t="array" ref="CB997">SUM(IF(BY997:BZ997&gt;=BY997, 1))</f>
        <v>2</v>
      </c>
      <c r="CC997" s="58">
        <f t="array" ref="CC997">SUM(IF(BY997:BZ997&gt;=BZ997, 1))</f>
        <v>1</v>
      </c>
      <c r="CE997" s="109">
        <f t="shared" si="373"/>
        <v>93412.120981853208</v>
      </c>
      <c r="CF997" s="109">
        <f t="shared" si="374"/>
        <v>97649.517946512206</v>
      </c>
      <c r="CH997" s="58">
        <f t="array" ref="CH997">SUM(IF(CE997:CF997&gt;=CE997, 1))</f>
        <v>2</v>
      </c>
      <c r="CI997" s="58">
        <f t="array" ref="CI997">SUM(IF(CE997:CF997&gt;=CF997, 1))</f>
        <v>1</v>
      </c>
      <c r="CK997" s="109">
        <f t="shared" si="375"/>
        <v>43832.719279527955</v>
      </c>
      <c r="CL997" s="109">
        <f t="shared" si="376"/>
        <v>44483.431081679468</v>
      </c>
      <c r="CN997" s="58">
        <f t="array" ref="CN997">SUM(IF(CK997:CL997&gt;=CK997, 1))</f>
        <v>2</v>
      </c>
      <c r="CO997" s="58">
        <f t="array" ref="CO997">SUM(IF(CK997:CL997&gt;=CL997, 1))</f>
        <v>1</v>
      </c>
      <c r="CQ997" s="109" cm="1">
        <f t="array" ref="CQ997">AF997*WTP-AC997</f>
        <v>39199.692947838739</v>
      </c>
      <c r="CR997" s="109">
        <f t="shared" si="377"/>
        <v>42121.285672580059</v>
      </c>
      <c r="CT997" s="58">
        <f t="array" ref="CT997">SUM(IF(CQ997:CR997&gt;=CQ997, 1))</f>
        <v>2</v>
      </c>
      <c r="CU997" s="58">
        <f t="array" ref="CU997">SUM(IF(CQ997:CR997&gt;=CR997, 1))</f>
        <v>1</v>
      </c>
      <c r="CW997" s="109">
        <f t="shared" si="378"/>
        <v>-43982220.189156257</v>
      </c>
      <c r="CX997" s="109">
        <f t="shared" si="379"/>
        <v>0</v>
      </c>
      <c r="CZ997" s="58">
        <f t="array" ref="CZ997">SUM(IF(CW997:CX997&gt;=CW997, 1))</f>
        <v>2</v>
      </c>
      <c r="DA997" s="58">
        <f t="array" ref="DA997">SUM(IF(CW997:CX997&gt;=CX997, 1))</f>
        <v>1</v>
      </c>
      <c r="DC997" s="109">
        <f t="shared" si="380"/>
        <v>-2438160.79537067</v>
      </c>
      <c r="DD997" s="109">
        <f t="shared" si="381"/>
        <v>0</v>
      </c>
      <c r="DF997" s="58">
        <f t="array" ref="DF997">SUM(IF(DC997:DD997&gt;=DC997, 1))</f>
        <v>2</v>
      </c>
      <c r="DG997" s="58">
        <f t="array" ref="DG997">SUM(IF(DC997:DD997&gt;=DD997, 1))</f>
        <v>1</v>
      </c>
      <c r="DI997" s="109">
        <f t="shared" si="382"/>
        <v>-100210448.60158862</v>
      </c>
      <c r="DJ997" s="109">
        <f t="shared" si="383"/>
        <v>0</v>
      </c>
      <c r="DL997" s="58">
        <f t="array" ref="DL997">SUM(IF(DI997:DJ997&gt;=DI997, 1))</f>
        <v>2</v>
      </c>
      <c r="DM997" s="58">
        <f t="array" ref="DM997">SUM(IF(DI997:DJ997&gt;=DJ997, 1))</f>
        <v>1</v>
      </c>
      <c r="DO997" s="109">
        <f t="shared" si="384"/>
        <v>-5747122.2286970699</v>
      </c>
      <c r="DP997" s="109">
        <f t="shared" si="385"/>
        <v>0</v>
      </c>
      <c r="DR997" s="58">
        <f t="array" ref="DR997">SUM(IF(DO997:DP997&gt;=DO997, 1))</f>
        <v>2</v>
      </c>
      <c r="DS997" s="58">
        <f t="array" ref="DS997">SUM(IF(DO997:DP997&gt;=DP997, 1))</f>
        <v>1</v>
      </c>
      <c r="DU997" s="109">
        <f t="shared" si="386"/>
        <v>-46286168.820665434</v>
      </c>
      <c r="DV997" s="109">
        <f t="shared" si="387"/>
        <v>0</v>
      </c>
      <c r="DX997" s="58">
        <f t="array" ref="DX997">SUM(IF(DU997:DV997&gt;=DU997, 1))</f>
        <v>2</v>
      </c>
      <c r="DY997" s="58">
        <f t="array" ref="DY997">SUM(IF(DU997:DV997&gt;=DV997, 1))</f>
        <v>1</v>
      </c>
      <c r="EA997" s="109">
        <f t="shared" si="388"/>
        <v>-198664120.63547805</v>
      </c>
      <c r="EB997" s="109">
        <f t="shared" si="389"/>
        <v>0</v>
      </c>
      <c r="ED997" s="58">
        <f t="array" ref="ED997">SUM(IF(EA997:EB997&gt;=EA997, 1))</f>
        <v>2</v>
      </c>
      <c r="EE997" s="58">
        <f t="array" ref="EE997">SUM(IF(EA997:EB997&gt;=EB997, 1))</f>
        <v>1</v>
      </c>
    </row>
    <row r="998" spans="4:135" ht="12" customHeight="1" x14ac:dyDescent="0.25">
      <c r="D998" s="11">
        <v>982</v>
      </c>
      <c r="E998" s="72">
        <v>250.77733113146127</v>
      </c>
      <c r="F998" s="72">
        <v>223.54595375442219</v>
      </c>
      <c r="G998" s="73"/>
      <c r="H998" s="74">
        <v>5.8307868434278518</v>
      </c>
      <c r="I998" s="74">
        <v>5.850125718398715</v>
      </c>
      <c r="J998" s="73"/>
      <c r="K998" s="72">
        <v>268.91095217846242</v>
      </c>
      <c r="L998" s="72">
        <v>241.00629469434008</v>
      </c>
      <c r="M998" s="73"/>
      <c r="N998" s="74">
        <v>6.7213245649925764</v>
      </c>
      <c r="O998" s="74">
        <v>6.7381349278119664</v>
      </c>
      <c r="P998" s="73"/>
      <c r="Q998" s="72">
        <v>1727.1333740871939</v>
      </c>
      <c r="R998" s="72">
        <v>1097.9903913233857</v>
      </c>
      <c r="S998" s="73"/>
      <c r="T998" s="74">
        <v>4.9610167819265039</v>
      </c>
      <c r="U998" s="74">
        <v>5.0302724695196295</v>
      </c>
      <c r="V998" s="73"/>
      <c r="W998" s="72">
        <v>14698.627991401472</v>
      </c>
      <c r="X998" s="72">
        <v>14656.9171086839</v>
      </c>
      <c r="Y998" s="73"/>
      <c r="Z998" s="74">
        <v>2.6722086562296754</v>
      </c>
      <c r="AA998" s="74">
        <v>2.7058952855232214</v>
      </c>
      <c r="AB998" s="73"/>
      <c r="AC998" s="72">
        <v>50393.125076841221</v>
      </c>
      <c r="AD998" s="72">
        <v>50337.453658451297</v>
      </c>
      <c r="AE998" s="73"/>
      <c r="AF998" s="74">
        <v>4.5928027701860632</v>
      </c>
      <c r="AG998" s="74">
        <v>4.6224606435826354</v>
      </c>
      <c r="AH998" s="73"/>
      <c r="AI998" s="72">
        <v>2938987.6120840628</v>
      </c>
      <c r="AJ998" s="72">
        <v>0</v>
      </c>
      <c r="AK998" s="73"/>
      <c r="AL998" s="74">
        <v>-2087.1773463406562</v>
      </c>
      <c r="AM998" s="74">
        <v>0</v>
      </c>
      <c r="AN998" s="73"/>
      <c r="AO998" s="72">
        <v>196961.05485693424</v>
      </c>
      <c r="AP998" s="72">
        <v>0</v>
      </c>
      <c r="AQ998" s="73"/>
      <c r="AR998" s="74">
        <v>-118.65355435087486</v>
      </c>
      <c r="AS998" s="74">
        <v>0</v>
      </c>
      <c r="AT998" s="73"/>
      <c r="AU998" s="72">
        <v>15139240.85040381</v>
      </c>
      <c r="AV998" s="72">
        <v>0</v>
      </c>
      <c r="AW998" s="73"/>
      <c r="AX998" s="74">
        <v>-1666.5186824888572</v>
      </c>
      <c r="AY998" s="74">
        <v>0</v>
      </c>
      <c r="AZ998" s="73"/>
      <c r="BA998" s="72">
        <v>354771.57999805955</v>
      </c>
      <c r="BB998" s="72">
        <v>0</v>
      </c>
      <c r="BC998" s="73"/>
      <c r="BD998" s="74">
        <v>-286.5213565534383</v>
      </c>
      <c r="BE998" s="74">
        <v>0</v>
      </c>
      <c r="BF998" s="73"/>
      <c r="BG998" s="72">
        <v>885586.3851879983</v>
      </c>
      <c r="BH998" s="72">
        <v>0</v>
      </c>
      <c r="BI998" s="73"/>
      <c r="BJ998" s="74">
        <v>-471.77905024218626</v>
      </c>
      <c r="BK998" s="74">
        <v>0</v>
      </c>
      <c r="BL998" s="73"/>
      <c r="BM998" s="72">
        <v>19515547.482530866</v>
      </c>
      <c r="BN998" s="72">
        <v>0</v>
      </c>
      <c r="BO998" s="73"/>
      <c r="BP998" s="74">
        <v>-4630.6499899760129</v>
      </c>
      <c r="BQ998" s="74">
        <v>0</v>
      </c>
      <c r="BS998" s="109">
        <f t="shared" si="369"/>
        <v>116364.95953742557</v>
      </c>
      <c r="BT998" s="109">
        <f t="shared" si="370"/>
        <v>116778.96841421988</v>
      </c>
      <c r="BV998" s="58">
        <f t="array" ref="BV998">SUM(IF(BS998:BT998&gt;=BS998, 1))</f>
        <v>2</v>
      </c>
      <c r="BW998" s="58">
        <f t="array" ref="BW998">SUM(IF(BS998:BT998&gt;=BT998, 1))</f>
        <v>1</v>
      </c>
      <c r="BY998" s="109">
        <f t="shared" si="371"/>
        <v>134157.58034767307</v>
      </c>
      <c r="BZ998" s="109">
        <f t="shared" si="372"/>
        <v>134521.69226154499</v>
      </c>
      <c r="CB998" s="58">
        <f t="array" ref="CB998">SUM(IF(BY998:BZ998&gt;=BY998, 1))</f>
        <v>2</v>
      </c>
      <c r="CC998" s="58">
        <f t="array" ref="CC998">SUM(IF(BY998:BZ998&gt;=BZ998, 1))</f>
        <v>1</v>
      </c>
      <c r="CE998" s="109">
        <f t="shared" si="373"/>
        <v>97493.20226444288</v>
      </c>
      <c r="CF998" s="109">
        <f t="shared" si="374"/>
        <v>99507.458999069204</v>
      </c>
      <c r="CH998" s="58">
        <f t="array" ref="CH998">SUM(IF(CE998:CF998&gt;=CE998, 1))</f>
        <v>2</v>
      </c>
      <c r="CI998" s="58">
        <f t="array" ref="CI998">SUM(IF(CE998:CF998&gt;=CF998, 1))</f>
        <v>1</v>
      </c>
      <c r="CK998" s="109">
        <f t="shared" si="375"/>
        <v>38745.545133192034</v>
      </c>
      <c r="CL998" s="109">
        <f t="shared" si="376"/>
        <v>39460.988601780533</v>
      </c>
      <c r="CN998" s="58">
        <f t="array" ref="CN998">SUM(IF(CK998:CL998&gt;=CK998, 1))</f>
        <v>2</v>
      </c>
      <c r="CO998" s="58">
        <f t="array" ref="CO998">SUM(IF(CK998:CL998&gt;=CL998, 1))</f>
        <v>1</v>
      </c>
      <c r="CQ998" s="109" cm="1">
        <f t="array" ref="CQ998">AF998*WTP-AC998</f>
        <v>41462.930326880036</v>
      </c>
      <c r="CR998" s="109">
        <f t="shared" si="377"/>
        <v>42111.759213201411</v>
      </c>
      <c r="CT998" s="58">
        <f t="array" ref="CT998">SUM(IF(CQ998:CR998&gt;=CQ998, 1))</f>
        <v>2</v>
      </c>
      <c r="CU998" s="58">
        <f t="array" ref="CU998">SUM(IF(CQ998:CR998&gt;=CR998, 1))</f>
        <v>1</v>
      </c>
      <c r="CW998" s="109">
        <f t="shared" si="378"/>
        <v>-44682534.538897187</v>
      </c>
      <c r="CX998" s="109">
        <f t="shared" si="379"/>
        <v>0</v>
      </c>
      <c r="CZ998" s="58">
        <f t="array" ref="CZ998">SUM(IF(CW998:CX998&gt;=CW998, 1))</f>
        <v>2</v>
      </c>
      <c r="DA998" s="58">
        <f t="array" ref="DA998">SUM(IF(CW998:CX998&gt;=CX998, 1))</f>
        <v>1</v>
      </c>
      <c r="DC998" s="109">
        <f t="shared" si="380"/>
        <v>-2570032.1418744312</v>
      </c>
      <c r="DD998" s="109">
        <f t="shared" si="381"/>
        <v>0</v>
      </c>
      <c r="DF998" s="58">
        <f t="array" ref="DF998">SUM(IF(DC998:DD998&gt;=DC998, 1))</f>
        <v>2</v>
      </c>
      <c r="DG998" s="58">
        <f t="array" ref="DG998">SUM(IF(DC998:DD998&gt;=DD998, 1))</f>
        <v>1</v>
      </c>
      <c r="DI998" s="109">
        <f t="shared" si="382"/>
        <v>-48469614.500180952</v>
      </c>
      <c r="DJ998" s="109">
        <f t="shared" si="383"/>
        <v>0</v>
      </c>
      <c r="DL998" s="58">
        <f t="array" ref="DL998">SUM(IF(DI998:DJ998&gt;=DI998, 1))</f>
        <v>2</v>
      </c>
      <c r="DM998" s="58">
        <f t="array" ref="DM998">SUM(IF(DI998:DJ998&gt;=DJ998, 1))</f>
        <v>1</v>
      </c>
      <c r="DO998" s="109">
        <f t="shared" si="384"/>
        <v>-6085198.7110668253</v>
      </c>
      <c r="DP998" s="109">
        <f t="shared" si="385"/>
        <v>0</v>
      </c>
      <c r="DR998" s="58">
        <f t="array" ref="DR998">SUM(IF(DO998:DP998&gt;=DO998, 1))</f>
        <v>2</v>
      </c>
      <c r="DS998" s="58">
        <f t="array" ref="DS998">SUM(IF(DO998:DP998&gt;=DP998, 1))</f>
        <v>1</v>
      </c>
      <c r="DU998" s="109">
        <f t="shared" si="386"/>
        <v>-10321167.390031723</v>
      </c>
      <c r="DV998" s="109">
        <f t="shared" si="387"/>
        <v>0</v>
      </c>
      <c r="DX998" s="58">
        <f t="array" ref="DX998">SUM(IF(DU998:DV998&gt;=DU998, 1))</f>
        <v>2</v>
      </c>
      <c r="DY998" s="58">
        <f t="array" ref="DY998">SUM(IF(DU998:DV998&gt;=DV998, 1))</f>
        <v>1</v>
      </c>
      <c r="EA998" s="109">
        <f t="shared" si="388"/>
        <v>-112128547.28205112</v>
      </c>
      <c r="EB998" s="109">
        <f t="shared" si="389"/>
        <v>0</v>
      </c>
      <c r="ED998" s="58">
        <f t="array" ref="ED998">SUM(IF(EA998:EB998&gt;=EA998, 1))</f>
        <v>2</v>
      </c>
      <c r="EE998" s="58">
        <f t="array" ref="EE998">SUM(IF(EA998:EB998&gt;=EB998, 1))</f>
        <v>1</v>
      </c>
    </row>
    <row r="999" spans="4:135" ht="12" customHeight="1" x14ac:dyDescent="0.25">
      <c r="D999" s="11">
        <v>983</v>
      </c>
      <c r="E999" s="72">
        <v>283.44336294308619</v>
      </c>
      <c r="F999" s="72">
        <v>256.91965370072029</v>
      </c>
      <c r="G999" s="73"/>
      <c r="H999" s="74">
        <v>5.8699096716207553</v>
      </c>
      <c r="I999" s="74">
        <v>5.8925908775017684</v>
      </c>
      <c r="J999" s="73"/>
      <c r="K999" s="72">
        <v>304.24071428693281</v>
      </c>
      <c r="L999" s="72">
        <v>277.08923238838247</v>
      </c>
      <c r="M999" s="73"/>
      <c r="N999" s="74">
        <v>6.7454275902328158</v>
      </c>
      <c r="O999" s="74">
        <v>6.7661377783354668</v>
      </c>
      <c r="P999" s="73"/>
      <c r="Q999" s="72">
        <v>2485.8994720064734</v>
      </c>
      <c r="R999" s="72">
        <v>1348.3538215441754</v>
      </c>
      <c r="S999" s="73"/>
      <c r="T999" s="74">
        <v>4.7534398851188362</v>
      </c>
      <c r="U999" s="74">
        <v>4.8269916530802766</v>
      </c>
      <c r="V999" s="73"/>
      <c r="W999" s="72">
        <v>13062.414644470362</v>
      </c>
      <c r="X999" s="72">
        <v>13124.85404612622</v>
      </c>
      <c r="Y999" s="73"/>
      <c r="Z999" s="74">
        <v>3.112068885764455</v>
      </c>
      <c r="AA999" s="74">
        <v>3.1619985785493161</v>
      </c>
      <c r="AB999" s="73"/>
      <c r="AC999" s="72">
        <v>50213.462352015507</v>
      </c>
      <c r="AD999" s="72">
        <v>50073.631461602119</v>
      </c>
      <c r="AE999" s="73"/>
      <c r="AF999" s="74">
        <v>4.8861173324347398</v>
      </c>
      <c r="AG999" s="74">
        <v>4.9681686582612112</v>
      </c>
      <c r="AH999" s="73"/>
      <c r="AI999" s="72">
        <v>2847986.4229873703</v>
      </c>
      <c r="AJ999" s="72">
        <v>0</v>
      </c>
      <c r="AK999" s="73"/>
      <c r="AL999" s="74">
        <v>-2435.3971692212931</v>
      </c>
      <c r="AM999" s="74">
        <v>0</v>
      </c>
      <c r="AN999" s="73"/>
      <c r="AO999" s="72">
        <v>182277.27419800116</v>
      </c>
      <c r="AP999" s="72">
        <v>0</v>
      </c>
      <c r="AQ999" s="73"/>
      <c r="AR999" s="74">
        <v>-139.03464457609047</v>
      </c>
      <c r="AS999" s="74">
        <v>0</v>
      </c>
      <c r="AT999" s="73"/>
      <c r="AU999" s="72">
        <v>26598209.738532975</v>
      </c>
      <c r="AV999" s="72">
        <v>0</v>
      </c>
      <c r="AW999" s="73"/>
      <c r="AX999" s="74">
        <v>-1719.7950254420496</v>
      </c>
      <c r="AY999" s="74">
        <v>0</v>
      </c>
      <c r="AZ999" s="73"/>
      <c r="BA999" s="72">
        <v>-561494.29532724316</v>
      </c>
      <c r="BB999" s="72">
        <v>0</v>
      </c>
      <c r="BC999" s="73"/>
      <c r="BD999" s="74">
        <v>-448.99914032906281</v>
      </c>
      <c r="BE999" s="74">
        <v>0</v>
      </c>
      <c r="BF999" s="73"/>
      <c r="BG999" s="72">
        <v>2200805.662859444</v>
      </c>
      <c r="BH999" s="72">
        <v>0</v>
      </c>
      <c r="BI999" s="73"/>
      <c r="BJ999" s="74">
        <v>-1291.4100882156292</v>
      </c>
      <c r="BK999" s="74">
        <v>0</v>
      </c>
      <c r="BL999" s="73"/>
      <c r="BM999" s="72">
        <v>31267784.803250547</v>
      </c>
      <c r="BN999" s="72">
        <v>0</v>
      </c>
      <c r="BO999" s="73"/>
      <c r="BP999" s="74">
        <v>-6034.6360677841258</v>
      </c>
      <c r="BQ999" s="74">
        <v>0</v>
      </c>
      <c r="BS999" s="109">
        <f t="shared" si="369"/>
        <v>117114.75006947202</v>
      </c>
      <c r="BT999" s="109">
        <f t="shared" si="370"/>
        <v>117594.89789633465</v>
      </c>
      <c r="BV999" s="58">
        <f t="array" ref="BV999">SUM(IF(BS999:BT999&gt;=BS999, 1))</f>
        <v>2</v>
      </c>
      <c r="BW999" s="58">
        <f t="array" ref="BW999">SUM(IF(BS999:BT999&gt;=BT999, 1))</f>
        <v>1</v>
      </c>
      <c r="BY999" s="109">
        <f t="shared" si="371"/>
        <v>134604.31109036939</v>
      </c>
      <c r="BZ999" s="109">
        <f t="shared" si="372"/>
        <v>135045.66633432094</v>
      </c>
      <c r="CB999" s="58">
        <f t="array" ref="CB999">SUM(IF(BY999:BZ999&gt;=BY999, 1))</f>
        <v>2</v>
      </c>
      <c r="CC999" s="58">
        <f t="array" ref="CC999">SUM(IF(BY999:BZ999&gt;=BZ999, 1))</f>
        <v>1</v>
      </c>
      <c r="CE999" s="109">
        <f t="shared" si="373"/>
        <v>92582.898230370251</v>
      </c>
      <c r="CF999" s="109">
        <f t="shared" si="374"/>
        <v>95191.479240061351</v>
      </c>
      <c r="CH999" s="58">
        <f t="array" ref="CH999">SUM(IF(CE999:CF999&gt;=CE999, 1))</f>
        <v>2</v>
      </c>
      <c r="CI999" s="58">
        <f t="array" ref="CI999">SUM(IF(CE999:CF999&gt;=CF999, 1))</f>
        <v>1</v>
      </c>
      <c r="CK999" s="109">
        <f t="shared" si="375"/>
        <v>49178.963070818732</v>
      </c>
      <c r="CL999" s="109">
        <f t="shared" si="376"/>
        <v>50115.117524860107</v>
      </c>
      <c r="CN999" s="58">
        <f t="array" ref="CN999">SUM(IF(CK999:CL999&gt;=CK999, 1))</f>
        <v>2</v>
      </c>
      <c r="CO999" s="58">
        <f t="array" ref="CO999">SUM(IF(CK999:CL999&gt;=CL999, 1))</f>
        <v>1</v>
      </c>
      <c r="CQ999" s="109" cm="1">
        <f t="array" ref="CQ999">AF999*WTP-AC999</f>
        <v>47508.884296679294</v>
      </c>
      <c r="CR999" s="109">
        <f t="shared" si="377"/>
        <v>49289.741703622109</v>
      </c>
      <c r="CT999" s="58">
        <f t="array" ref="CT999">SUM(IF(CQ999:CR999&gt;=CQ999, 1))</f>
        <v>2</v>
      </c>
      <c r="CU999" s="58">
        <f t="array" ref="CU999">SUM(IF(CQ999:CR999&gt;=CR999, 1))</f>
        <v>1</v>
      </c>
      <c r="CW999" s="109">
        <f t="shared" si="378"/>
        <v>-51555929.807413235</v>
      </c>
      <c r="CX999" s="109">
        <f t="shared" si="379"/>
        <v>0</v>
      </c>
      <c r="CZ999" s="58">
        <f t="array" ref="CZ999">SUM(IF(CW999:CX999&gt;=CW999, 1))</f>
        <v>2</v>
      </c>
      <c r="DA999" s="58">
        <f t="array" ref="DA999">SUM(IF(CW999:CX999&gt;=CX999, 1))</f>
        <v>1</v>
      </c>
      <c r="DC999" s="109">
        <f t="shared" si="380"/>
        <v>-2962970.1657198109</v>
      </c>
      <c r="DD999" s="109">
        <f t="shared" si="381"/>
        <v>0</v>
      </c>
      <c r="DF999" s="58">
        <f t="array" ref="DF999">SUM(IF(DC999:DD999&gt;=DC999, 1))</f>
        <v>2</v>
      </c>
      <c r="DG999" s="58">
        <f t="array" ref="DG999">SUM(IF(DC999:DD999&gt;=DD999, 1))</f>
        <v>1</v>
      </c>
      <c r="DI999" s="109">
        <f t="shared" si="382"/>
        <v>-60994110.247373968</v>
      </c>
      <c r="DJ999" s="109">
        <f t="shared" si="383"/>
        <v>0</v>
      </c>
      <c r="DL999" s="58">
        <f t="array" ref="DL999">SUM(IF(DI999:DJ999&gt;=DI999, 1))</f>
        <v>2</v>
      </c>
      <c r="DM999" s="58">
        <f t="array" ref="DM999">SUM(IF(DI999:DJ999&gt;=DJ999, 1))</f>
        <v>1</v>
      </c>
      <c r="DO999" s="109">
        <f t="shared" si="384"/>
        <v>-8418488.5112540144</v>
      </c>
      <c r="DP999" s="109">
        <f t="shared" si="385"/>
        <v>0</v>
      </c>
      <c r="DR999" s="58">
        <f t="array" ref="DR999">SUM(IF(DO999:DP999&gt;=DO999, 1))</f>
        <v>2</v>
      </c>
      <c r="DS999" s="58">
        <f t="array" ref="DS999">SUM(IF(DO999:DP999&gt;=DP999, 1))</f>
        <v>1</v>
      </c>
      <c r="DU999" s="109">
        <f t="shared" si="386"/>
        <v>-28029007.427172028</v>
      </c>
      <c r="DV999" s="109">
        <f t="shared" si="387"/>
        <v>0</v>
      </c>
      <c r="DX999" s="58">
        <f t="array" ref="DX999">SUM(IF(DU999:DV999&gt;=DU999, 1))</f>
        <v>2</v>
      </c>
      <c r="DY999" s="58">
        <f t="array" ref="DY999">SUM(IF(DU999:DV999&gt;=DV999, 1))</f>
        <v>1</v>
      </c>
      <c r="EA999" s="109">
        <f t="shared" si="388"/>
        <v>-151960506.15893307</v>
      </c>
      <c r="EB999" s="109">
        <f t="shared" si="389"/>
        <v>0</v>
      </c>
      <c r="ED999" s="58">
        <f t="array" ref="ED999">SUM(IF(EA999:EB999&gt;=EA999, 1))</f>
        <v>2</v>
      </c>
      <c r="EE999" s="58">
        <f t="array" ref="EE999">SUM(IF(EA999:EB999&gt;=EB999, 1))</f>
        <v>1</v>
      </c>
    </row>
    <row r="1000" spans="4:135" ht="12" customHeight="1" x14ac:dyDescent="0.25">
      <c r="D1000" s="11">
        <v>984</v>
      </c>
      <c r="E1000" s="72">
        <v>289.88159620161355</v>
      </c>
      <c r="F1000" s="72">
        <v>262.24292314126438</v>
      </c>
      <c r="G1000" s="73"/>
      <c r="H1000" s="74">
        <v>5.8863299012684909</v>
      </c>
      <c r="I1000" s="74">
        <v>5.9020330869686912</v>
      </c>
      <c r="J1000" s="73"/>
      <c r="K1000" s="72">
        <v>311.0317940337859</v>
      </c>
      <c r="L1000" s="72">
        <v>282.72396490685236</v>
      </c>
      <c r="M1000" s="73"/>
      <c r="N1000" s="74">
        <v>6.7064740640719496</v>
      </c>
      <c r="O1000" s="74">
        <v>6.7204717522239257</v>
      </c>
      <c r="P1000" s="73"/>
      <c r="Q1000" s="72">
        <v>1809.7808372225468</v>
      </c>
      <c r="R1000" s="72">
        <v>1174.4686953078067</v>
      </c>
      <c r="S1000" s="73"/>
      <c r="T1000" s="74">
        <v>4.8187460299807219</v>
      </c>
      <c r="U1000" s="74">
        <v>4.8969867720982236</v>
      </c>
      <c r="V1000" s="73"/>
      <c r="W1000" s="72">
        <v>10575.612014509981</v>
      </c>
      <c r="X1000" s="72">
        <v>10568.710261481749</v>
      </c>
      <c r="Y1000" s="73"/>
      <c r="Z1000" s="74">
        <v>2.9065220078226042</v>
      </c>
      <c r="AA1000" s="74">
        <v>2.9426100311862595</v>
      </c>
      <c r="AB1000" s="73"/>
      <c r="AC1000" s="72">
        <v>49257.223041775149</v>
      </c>
      <c r="AD1000" s="72">
        <v>49253.105714390265</v>
      </c>
      <c r="AE1000" s="73"/>
      <c r="AF1000" s="74">
        <v>4.3565810136050382</v>
      </c>
      <c r="AG1000" s="74">
        <v>4.40579891416035</v>
      </c>
      <c r="AH1000" s="73"/>
      <c r="AI1000" s="72">
        <v>2957805.3673272319</v>
      </c>
      <c r="AJ1000" s="72">
        <v>0</v>
      </c>
      <c r="AK1000" s="73"/>
      <c r="AL1000" s="74">
        <v>-1680.5063993763983</v>
      </c>
      <c r="AM1000" s="74">
        <v>0</v>
      </c>
      <c r="AN1000" s="73"/>
      <c r="AO1000" s="72">
        <v>200285.51127361739</v>
      </c>
      <c r="AP1000" s="72">
        <v>0</v>
      </c>
      <c r="AQ1000" s="73"/>
      <c r="AR1000" s="74">
        <v>-99.037411720836019</v>
      </c>
      <c r="AS1000" s="74">
        <v>0</v>
      </c>
      <c r="AT1000" s="73"/>
      <c r="AU1000" s="72">
        <v>14534364.219365126</v>
      </c>
      <c r="AV1000" s="72">
        <v>0</v>
      </c>
      <c r="AW1000" s="73"/>
      <c r="AX1000" s="74">
        <v>-1789.9538946349978</v>
      </c>
      <c r="AY1000" s="74">
        <v>0</v>
      </c>
      <c r="AZ1000" s="73"/>
      <c r="BA1000" s="72">
        <v>64892.03176526758</v>
      </c>
      <c r="BB1000" s="72">
        <v>0</v>
      </c>
      <c r="BC1000" s="73"/>
      <c r="BD1000" s="74">
        <v>-339.30874502180279</v>
      </c>
      <c r="BE1000" s="74">
        <v>0</v>
      </c>
      <c r="BF1000" s="73"/>
      <c r="BG1000" s="72">
        <v>64158.704219398714</v>
      </c>
      <c r="BH1000" s="72">
        <v>0</v>
      </c>
      <c r="BI1000" s="73"/>
      <c r="BJ1000" s="74">
        <v>-766.94331755630947</v>
      </c>
      <c r="BK1000" s="74">
        <v>0</v>
      </c>
      <c r="BL1000" s="73"/>
      <c r="BM1000" s="72">
        <v>17821505.833950639</v>
      </c>
      <c r="BN1000" s="72">
        <v>0</v>
      </c>
      <c r="BO1000" s="73"/>
      <c r="BP1000" s="74">
        <v>-4675.7497683103447</v>
      </c>
      <c r="BQ1000" s="74">
        <v>0</v>
      </c>
      <c r="BS1000" s="109">
        <f t="shared" si="369"/>
        <v>117436.71642916821</v>
      </c>
      <c r="BT1000" s="109">
        <f t="shared" si="370"/>
        <v>117778.41881623256</v>
      </c>
      <c r="BV1000" s="58">
        <f t="array" ref="BV1000">SUM(IF(BS1000:BT1000&gt;=BS1000, 1))</f>
        <v>2</v>
      </c>
      <c r="BW1000" s="58">
        <f t="array" ref="BW1000">SUM(IF(BS1000:BT1000&gt;=BT1000, 1))</f>
        <v>1</v>
      </c>
      <c r="BY1000" s="109">
        <f t="shared" si="371"/>
        <v>133818.44948740519</v>
      </c>
      <c r="BZ1000" s="109">
        <f t="shared" si="372"/>
        <v>134126.71107957166</v>
      </c>
      <c r="CB1000" s="58">
        <f t="array" ref="CB1000">SUM(IF(BY1000:BZ1000&gt;=BY1000, 1))</f>
        <v>2</v>
      </c>
      <c r="CC1000" s="58">
        <f t="array" ref="CC1000">SUM(IF(BY1000:BZ1000&gt;=BZ1000, 1))</f>
        <v>1</v>
      </c>
      <c r="CE1000" s="109">
        <f t="shared" si="373"/>
        <v>94565.139762391904</v>
      </c>
      <c r="CF1000" s="109">
        <f t="shared" si="374"/>
        <v>96765.266746656664</v>
      </c>
      <c r="CH1000" s="58">
        <f t="array" ref="CH1000">SUM(IF(CE1000:CF1000&gt;=CE1000, 1))</f>
        <v>2</v>
      </c>
      <c r="CI1000" s="58">
        <f t="array" ref="CI1000">SUM(IF(CE1000:CF1000&gt;=CF1000, 1))</f>
        <v>1</v>
      </c>
      <c r="CK1000" s="109">
        <f t="shared" si="375"/>
        <v>47554.828141942096</v>
      </c>
      <c r="CL1000" s="109">
        <f t="shared" si="376"/>
        <v>48283.490362243443</v>
      </c>
      <c r="CN1000" s="58">
        <f t="array" ref="CN1000">SUM(IF(CK1000:CL1000&gt;=CK1000, 1))</f>
        <v>2</v>
      </c>
      <c r="CO1000" s="58">
        <f t="array" ref="CO1000">SUM(IF(CK1000:CL1000&gt;=CL1000, 1))</f>
        <v>1</v>
      </c>
      <c r="CQ1000" s="109" cm="1">
        <f t="array" ref="CQ1000">AF1000*WTP-AC1000</f>
        <v>37874.397230325623</v>
      </c>
      <c r="CR1000" s="109">
        <f t="shared" si="377"/>
        <v>38862.87256881674</v>
      </c>
      <c r="CT1000" s="58">
        <f t="array" ref="CT1000">SUM(IF(CQ1000:CR1000&gt;=CQ1000, 1))</f>
        <v>2</v>
      </c>
      <c r="CU1000" s="58">
        <f t="array" ref="CU1000">SUM(IF(CQ1000:CR1000&gt;=CR1000, 1))</f>
        <v>1</v>
      </c>
      <c r="CW1000" s="109">
        <f t="shared" si="378"/>
        <v>-36567933.354855195</v>
      </c>
      <c r="CX1000" s="109">
        <f t="shared" si="379"/>
        <v>0</v>
      </c>
      <c r="CZ1000" s="58">
        <f t="array" ref="CZ1000">SUM(IF(CW1000:CX1000&gt;=CW1000, 1))</f>
        <v>2</v>
      </c>
      <c r="DA1000" s="58">
        <f t="array" ref="DA1000">SUM(IF(CW1000:CX1000&gt;=CX1000, 1))</f>
        <v>1</v>
      </c>
      <c r="DC1000" s="109">
        <f t="shared" si="380"/>
        <v>-2181033.7456903378</v>
      </c>
      <c r="DD1000" s="109">
        <f t="shared" si="381"/>
        <v>0</v>
      </c>
      <c r="DF1000" s="58">
        <f t="array" ref="DF1000">SUM(IF(DC1000:DD1000&gt;=DC1000, 1))</f>
        <v>2</v>
      </c>
      <c r="DG1000" s="58">
        <f t="array" ref="DG1000">SUM(IF(DC1000:DD1000&gt;=DD1000, 1))</f>
        <v>1</v>
      </c>
      <c r="DI1000" s="109">
        <f t="shared" si="382"/>
        <v>-50333442.112065084</v>
      </c>
      <c r="DJ1000" s="109">
        <f t="shared" si="383"/>
        <v>0</v>
      </c>
      <c r="DL1000" s="58">
        <f t="array" ref="DL1000">SUM(IF(DI1000:DJ1000&gt;=DI1000, 1))</f>
        <v>2</v>
      </c>
      <c r="DM1000" s="58">
        <f t="array" ref="DM1000">SUM(IF(DI1000:DJ1000&gt;=DJ1000, 1))</f>
        <v>1</v>
      </c>
      <c r="DO1000" s="109">
        <f t="shared" si="384"/>
        <v>-6851066.9322013231</v>
      </c>
      <c r="DP1000" s="109">
        <f t="shared" si="385"/>
        <v>0</v>
      </c>
      <c r="DR1000" s="58">
        <f t="array" ref="DR1000">SUM(IF(DO1000:DP1000&gt;=DO1000, 1))</f>
        <v>2</v>
      </c>
      <c r="DS1000" s="58">
        <f t="array" ref="DS1000">SUM(IF(DO1000:DP1000&gt;=DP1000, 1))</f>
        <v>1</v>
      </c>
      <c r="DU1000" s="109">
        <f t="shared" si="386"/>
        <v>-15403025.055345587</v>
      </c>
      <c r="DV1000" s="109">
        <f t="shared" si="387"/>
        <v>0</v>
      </c>
      <c r="DX1000" s="58">
        <f t="array" ref="DX1000">SUM(IF(DU1000:DV1000&gt;=DU1000, 1))</f>
        <v>2</v>
      </c>
      <c r="DY1000" s="58">
        <f t="array" ref="DY1000">SUM(IF(DU1000:DV1000&gt;=DV1000, 1))</f>
        <v>1</v>
      </c>
      <c r="EA1000" s="109">
        <f t="shared" si="388"/>
        <v>-111336501.20015754</v>
      </c>
      <c r="EB1000" s="109">
        <f t="shared" si="389"/>
        <v>0</v>
      </c>
      <c r="ED1000" s="58">
        <f t="array" ref="ED1000">SUM(IF(EA1000:EB1000&gt;=EA1000, 1))</f>
        <v>2</v>
      </c>
      <c r="EE1000" s="58">
        <f t="array" ref="EE1000">SUM(IF(EA1000:EB1000&gt;=EB1000, 1))</f>
        <v>1</v>
      </c>
    </row>
    <row r="1001" spans="4:135" ht="12" customHeight="1" x14ac:dyDescent="0.25">
      <c r="D1001" s="11">
        <v>985</v>
      </c>
      <c r="E1001" s="72">
        <v>232.71684901084154</v>
      </c>
      <c r="F1001" s="72">
        <v>206.48682851934603</v>
      </c>
      <c r="G1001" s="73"/>
      <c r="H1001" s="74">
        <v>5.9205014366366164</v>
      </c>
      <c r="I1001" s="74">
        <v>5.9388312601330568</v>
      </c>
      <c r="J1001" s="73"/>
      <c r="K1001" s="72">
        <v>249.49059829603323</v>
      </c>
      <c r="L1001" s="72">
        <v>222.63244159637537</v>
      </c>
      <c r="M1001" s="73"/>
      <c r="N1001" s="74">
        <v>6.7360585751905075</v>
      </c>
      <c r="O1001" s="74">
        <v>6.7520664476752872</v>
      </c>
      <c r="P1001" s="73"/>
      <c r="Q1001" s="72">
        <v>2825.8720625552023</v>
      </c>
      <c r="R1001" s="72">
        <v>1856.8863634845079</v>
      </c>
      <c r="S1001" s="73"/>
      <c r="T1001" s="74">
        <v>4.7749107688879864</v>
      </c>
      <c r="U1001" s="74">
        <v>4.8740643946689763</v>
      </c>
      <c r="V1001" s="73"/>
      <c r="W1001" s="72">
        <v>17074.769309201802</v>
      </c>
      <c r="X1001" s="72">
        <v>17083.03227536648</v>
      </c>
      <c r="Y1001" s="73"/>
      <c r="Z1001" s="74">
        <v>2.990908831238098</v>
      </c>
      <c r="AA1001" s="74">
        <v>3.0364370068142121</v>
      </c>
      <c r="AB1001" s="73"/>
      <c r="AC1001" s="72">
        <v>48759.220253723448</v>
      </c>
      <c r="AD1001" s="72">
        <v>48702.435415764521</v>
      </c>
      <c r="AE1001" s="73"/>
      <c r="AF1001" s="74">
        <v>4.6519339598779235</v>
      </c>
      <c r="AG1001" s="74">
        <v>4.8023619453821489</v>
      </c>
      <c r="AH1001" s="73"/>
      <c r="AI1001" s="72">
        <v>2837048.7373930728</v>
      </c>
      <c r="AJ1001" s="72">
        <v>0</v>
      </c>
      <c r="AK1001" s="73"/>
      <c r="AL1001" s="74">
        <v>-1982.5605025384871</v>
      </c>
      <c r="AM1001" s="74">
        <v>0</v>
      </c>
      <c r="AN1001" s="73"/>
      <c r="AO1001" s="72">
        <v>186647.70558479222</v>
      </c>
      <c r="AP1001" s="72">
        <v>0</v>
      </c>
      <c r="AQ1001" s="73"/>
      <c r="AR1001" s="74">
        <v>-111.24488936413526</v>
      </c>
      <c r="AS1001" s="74">
        <v>0</v>
      </c>
      <c r="AT1001" s="73"/>
      <c r="AU1001" s="72">
        <v>21994662.018919393</v>
      </c>
      <c r="AV1001" s="72">
        <v>0</v>
      </c>
      <c r="AW1001" s="73"/>
      <c r="AX1001" s="74">
        <v>-2250.6529137579955</v>
      </c>
      <c r="AY1001" s="74">
        <v>0</v>
      </c>
      <c r="AZ1001" s="73"/>
      <c r="BA1001" s="72">
        <v>-74040.382757125175</v>
      </c>
      <c r="BB1001" s="72">
        <v>0</v>
      </c>
      <c r="BC1001" s="73"/>
      <c r="BD1001" s="74">
        <v>-407.95562739910133</v>
      </c>
      <c r="BE1001" s="74">
        <v>0</v>
      </c>
      <c r="BF1001" s="73"/>
      <c r="BG1001" s="72">
        <v>881177.36016220588</v>
      </c>
      <c r="BH1001" s="72">
        <v>0</v>
      </c>
      <c r="BI1001" s="73"/>
      <c r="BJ1001" s="74">
        <v>-2334.3156364558045</v>
      </c>
      <c r="BK1001" s="74">
        <v>0</v>
      </c>
      <c r="BL1001" s="73"/>
      <c r="BM1001" s="72">
        <v>25825495.43930234</v>
      </c>
      <c r="BN1001" s="72">
        <v>0</v>
      </c>
      <c r="BO1001" s="73"/>
      <c r="BP1001" s="74">
        <v>-7086.7295695155235</v>
      </c>
      <c r="BQ1001" s="74">
        <v>0</v>
      </c>
      <c r="BS1001" s="109">
        <f t="shared" si="369"/>
        <v>118177.31188372149</v>
      </c>
      <c r="BT1001" s="109">
        <f t="shared" si="370"/>
        <v>118570.13837414178</v>
      </c>
      <c r="BV1001" s="58">
        <f t="array" ref="BV1001">SUM(IF(BS1001:BT1001&gt;=BS1001, 1))</f>
        <v>2</v>
      </c>
      <c r="BW1001" s="58">
        <f t="array" ref="BW1001">SUM(IF(BS1001:BT1001&gt;=BT1001, 1))</f>
        <v>1</v>
      </c>
      <c r="BY1001" s="109">
        <f t="shared" si="371"/>
        <v>134471.68090551413</v>
      </c>
      <c r="BZ1001" s="109">
        <f t="shared" si="372"/>
        <v>134818.69651190939</v>
      </c>
      <c r="CB1001" s="58">
        <f t="array" ref="CB1001">SUM(IF(BY1001:BZ1001&gt;=BY1001, 1))</f>
        <v>2</v>
      </c>
      <c r="CC1001" s="58">
        <f t="array" ref="CC1001">SUM(IF(BY1001:BZ1001&gt;=BZ1001, 1))</f>
        <v>1</v>
      </c>
      <c r="CE1001" s="109">
        <f t="shared" si="373"/>
        <v>92672.343315204518</v>
      </c>
      <c r="CF1001" s="109">
        <f t="shared" si="374"/>
        <v>95624.401529895025</v>
      </c>
      <c r="CH1001" s="58">
        <f t="array" ref="CH1001">SUM(IF(CE1001:CF1001&gt;=CE1001, 1))</f>
        <v>2</v>
      </c>
      <c r="CI1001" s="58">
        <f t="array" ref="CI1001">SUM(IF(CE1001:CF1001&gt;=CF1001, 1))</f>
        <v>1</v>
      </c>
      <c r="CK1001" s="109">
        <f t="shared" si="375"/>
        <v>42743.407315560158</v>
      </c>
      <c r="CL1001" s="109">
        <f t="shared" si="376"/>
        <v>43645.707860917762</v>
      </c>
      <c r="CN1001" s="58">
        <f t="array" ref="CN1001">SUM(IF(CK1001:CL1001&gt;=CK1001, 1))</f>
        <v>2</v>
      </c>
      <c r="CO1001" s="58">
        <f t="array" ref="CO1001">SUM(IF(CK1001:CL1001&gt;=CL1001, 1))</f>
        <v>1</v>
      </c>
      <c r="CQ1001" s="109" cm="1">
        <f t="array" ref="CQ1001">AF1001*WTP-AC1001</f>
        <v>44279.458943835016</v>
      </c>
      <c r="CR1001" s="109">
        <f t="shared" si="377"/>
        <v>47344.803491878462</v>
      </c>
      <c r="CT1001" s="58">
        <f t="array" ref="CT1001">SUM(IF(CQ1001:CR1001&gt;=CQ1001, 1))</f>
        <v>2</v>
      </c>
      <c r="CU1001" s="58">
        <f t="array" ref="CU1001">SUM(IF(CQ1001:CR1001&gt;=CR1001, 1))</f>
        <v>1</v>
      </c>
      <c r="CW1001" s="109">
        <f t="shared" si="378"/>
        <v>-42488258.788162813</v>
      </c>
      <c r="CX1001" s="109">
        <f t="shared" si="379"/>
        <v>0</v>
      </c>
      <c r="CZ1001" s="58">
        <f t="array" ref="CZ1001">SUM(IF(CW1001:CX1001&gt;=CW1001, 1))</f>
        <v>2</v>
      </c>
      <c r="DA1001" s="58">
        <f t="array" ref="DA1001">SUM(IF(CW1001:CX1001&gt;=CX1001, 1))</f>
        <v>1</v>
      </c>
      <c r="DC1001" s="109">
        <f t="shared" si="380"/>
        <v>-2411545.4928674977</v>
      </c>
      <c r="DD1001" s="109">
        <f t="shared" si="381"/>
        <v>0</v>
      </c>
      <c r="DF1001" s="58">
        <f t="array" ref="DF1001">SUM(IF(DC1001:DD1001&gt;=DC1001, 1))</f>
        <v>2</v>
      </c>
      <c r="DG1001" s="58">
        <f t="array" ref="DG1001">SUM(IF(DC1001:DD1001&gt;=DD1001, 1))</f>
        <v>1</v>
      </c>
      <c r="DI1001" s="109">
        <f t="shared" si="382"/>
        <v>-67007720.294079304</v>
      </c>
      <c r="DJ1001" s="109">
        <f t="shared" si="383"/>
        <v>0</v>
      </c>
      <c r="DL1001" s="58">
        <f t="array" ref="DL1001">SUM(IF(DI1001:DJ1001&gt;=DI1001, 1))</f>
        <v>2</v>
      </c>
      <c r="DM1001" s="58">
        <f t="array" ref="DM1001">SUM(IF(DI1001:DJ1001&gt;=DJ1001, 1))</f>
        <v>1</v>
      </c>
      <c r="DO1001" s="109">
        <f t="shared" si="384"/>
        <v>-8085072.1652249014</v>
      </c>
      <c r="DP1001" s="109">
        <f t="shared" si="385"/>
        <v>0</v>
      </c>
      <c r="DR1001" s="58">
        <f t="array" ref="DR1001">SUM(IF(DO1001:DP1001&gt;=DO1001, 1))</f>
        <v>2</v>
      </c>
      <c r="DS1001" s="58">
        <f t="array" ref="DS1001">SUM(IF(DO1001:DP1001&gt;=DP1001, 1))</f>
        <v>1</v>
      </c>
      <c r="DU1001" s="109">
        <f t="shared" si="386"/>
        <v>-47567490.089278296</v>
      </c>
      <c r="DV1001" s="109">
        <f t="shared" si="387"/>
        <v>0</v>
      </c>
      <c r="DX1001" s="58">
        <f t="array" ref="DX1001">SUM(IF(DU1001:DV1001&gt;=DU1001, 1))</f>
        <v>2</v>
      </c>
      <c r="DY1001" s="58">
        <f t="array" ref="DY1001">SUM(IF(DU1001:DV1001&gt;=DV1001, 1))</f>
        <v>1</v>
      </c>
      <c r="EA1001" s="109">
        <f t="shared" si="388"/>
        <v>-167560086.82961279</v>
      </c>
      <c r="EB1001" s="109">
        <f t="shared" si="389"/>
        <v>0</v>
      </c>
      <c r="ED1001" s="58">
        <f t="array" ref="ED1001">SUM(IF(EA1001:EB1001&gt;=EA1001, 1))</f>
        <v>2</v>
      </c>
      <c r="EE1001" s="58">
        <f t="array" ref="EE1001">SUM(IF(EA1001:EB1001&gt;=EB1001, 1))</f>
        <v>1</v>
      </c>
    </row>
    <row r="1002" spans="4:135" ht="12" customHeight="1" x14ac:dyDescent="0.25">
      <c r="D1002" s="11">
        <v>986</v>
      </c>
      <c r="E1002" s="72">
        <v>238.60682451879271</v>
      </c>
      <c r="F1002" s="72">
        <v>222.19102132104615</v>
      </c>
      <c r="G1002" s="73"/>
      <c r="H1002" s="74">
        <v>5.8811671136595756</v>
      </c>
      <c r="I1002" s="74">
        <v>5.8966916332807244</v>
      </c>
      <c r="J1002" s="73"/>
      <c r="K1002" s="72">
        <v>256.42312171509491</v>
      </c>
      <c r="L1002" s="72">
        <v>239.58942364781706</v>
      </c>
      <c r="M1002" s="73"/>
      <c r="N1002" s="74">
        <v>6.6995471987998041</v>
      </c>
      <c r="O1002" s="74">
        <v>6.7124379926298534</v>
      </c>
      <c r="P1002" s="73"/>
      <c r="Q1002" s="72">
        <v>2767.075435902032</v>
      </c>
      <c r="R1002" s="72">
        <v>1539.9372425229817</v>
      </c>
      <c r="S1002" s="73"/>
      <c r="T1002" s="74">
        <v>4.7497547686286516</v>
      </c>
      <c r="U1002" s="74">
        <v>4.8581225518994531</v>
      </c>
      <c r="V1002" s="73"/>
      <c r="W1002" s="72">
        <v>8883.5574823108982</v>
      </c>
      <c r="X1002" s="72">
        <v>8921.9670527126018</v>
      </c>
      <c r="Y1002" s="73"/>
      <c r="Z1002" s="74">
        <v>2.9426417121397073</v>
      </c>
      <c r="AA1002" s="74">
        <v>3.0041300552923342</v>
      </c>
      <c r="AB1002" s="73"/>
      <c r="AC1002" s="72">
        <v>49294.378746435134</v>
      </c>
      <c r="AD1002" s="72">
        <v>48827.101946697905</v>
      </c>
      <c r="AE1002" s="73"/>
      <c r="AF1002" s="74">
        <v>4.5673142288511537</v>
      </c>
      <c r="AG1002" s="74">
        <v>4.6740988297235022</v>
      </c>
      <c r="AH1002" s="73"/>
      <c r="AI1002" s="72">
        <v>1770964.4546153597</v>
      </c>
      <c r="AJ1002" s="72">
        <v>0</v>
      </c>
      <c r="AK1002" s="73"/>
      <c r="AL1002" s="74">
        <v>-1674.8112835445938</v>
      </c>
      <c r="AM1002" s="74">
        <v>0</v>
      </c>
      <c r="AN1002" s="73"/>
      <c r="AO1002" s="72">
        <v>116730.50384916754</v>
      </c>
      <c r="AP1002" s="72">
        <v>0</v>
      </c>
      <c r="AQ1002" s="73"/>
      <c r="AR1002" s="74">
        <v>-89.389084488951369</v>
      </c>
      <c r="AS1002" s="74">
        <v>0</v>
      </c>
      <c r="AT1002" s="73"/>
      <c r="AU1002" s="72">
        <v>28903912.188400462</v>
      </c>
      <c r="AV1002" s="72">
        <v>0</v>
      </c>
      <c r="AW1002" s="73"/>
      <c r="AX1002" s="74">
        <v>-2552.4858639481172</v>
      </c>
      <c r="AY1002" s="74">
        <v>0</v>
      </c>
      <c r="AZ1002" s="73"/>
      <c r="BA1002" s="72">
        <v>-357043.68486188538</v>
      </c>
      <c r="BB1002" s="72">
        <v>0</v>
      </c>
      <c r="BC1002" s="73"/>
      <c r="BD1002" s="74">
        <v>-571.57693735341206</v>
      </c>
      <c r="BE1002" s="74">
        <v>0</v>
      </c>
      <c r="BF1002" s="73"/>
      <c r="BG1002" s="72">
        <v>7506894.4775404073</v>
      </c>
      <c r="BH1002" s="72">
        <v>0</v>
      </c>
      <c r="BI1002" s="73"/>
      <c r="BJ1002" s="74">
        <v>-1715.5157949758657</v>
      </c>
      <c r="BK1002" s="74">
        <v>0</v>
      </c>
      <c r="BL1002" s="73"/>
      <c r="BM1002" s="72">
        <v>37941457.939543515</v>
      </c>
      <c r="BN1002" s="72">
        <v>0</v>
      </c>
      <c r="BO1002" s="73"/>
      <c r="BP1002" s="74">
        <v>-6603.7789643109409</v>
      </c>
      <c r="BQ1002" s="74">
        <v>0</v>
      </c>
      <c r="BS1002" s="109">
        <f t="shared" si="369"/>
        <v>117384.73544867271</v>
      </c>
      <c r="BT1002" s="109">
        <f t="shared" si="370"/>
        <v>117711.64164429344</v>
      </c>
      <c r="BV1002" s="58">
        <f t="array" ref="BV1002">SUM(IF(BS1002:BT1002&gt;=BS1002, 1))</f>
        <v>2</v>
      </c>
      <c r="BW1002" s="58">
        <f t="array" ref="BW1002">SUM(IF(BS1002:BT1002&gt;=BT1002, 1))</f>
        <v>1</v>
      </c>
      <c r="BY1002" s="109">
        <f t="shared" si="371"/>
        <v>133734.520854281</v>
      </c>
      <c r="BZ1002" s="109">
        <f t="shared" si="372"/>
        <v>134009.17042894926</v>
      </c>
      <c r="CB1002" s="58">
        <f t="array" ref="CB1002">SUM(IF(BY1002:BZ1002&gt;=BY1002, 1))</f>
        <v>2</v>
      </c>
      <c r="CC1002" s="58">
        <f t="array" ref="CC1002">SUM(IF(BY1002:BZ1002&gt;=BZ1002, 1))</f>
        <v>1</v>
      </c>
      <c r="CE1002" s="109">
        <f t="shared" si="373"/>
        <v>92228.019936671</v>
      </c>
      <c r="CF1002" s="109">
        <f t="shared" si="374"/>
        <v>95622.513795466075</v>
      </c>
      <c r="CH1002" s="58">
        <f t="array" ref="CH1002">SUM(IF(CE1002:CF1002&gt;=CE1002, 1))</f>
        <v>2</v>
      </c>
      <c r="CI1002" s="58">
        <f t="array" ref="CI1002">SUM(IF(CE1002:CF1002&gt;=CF1002, 1))</f>
        <v>1</v>
      </c>
      <c r="CK1002" s="109">
        <f t="shared" si="375"/>
        <v>49969.276760483248</v>
      </c>
      <c r="CL1002" s="109">
        <f t="shared" si="376"/>
        <v>51160.634053134083</v>
      </c>
      <c r="CN1002" s="58">
        <f t="array" ref="CN1002">SUM(IF(CK1002:CL1002&gt;=CK1002, 1))</f>
        <v>2</v>
      </c>
      <c r="CO1002" s="58">
        <f t="array" ref="CO1002">SUM(IF(CK1002:CL1002&gt;=CL1002, 1))</f>
        <v>1</v>
      </c>
      <c r="CQ1002" s="109" cm="1">
        <f t="array" ref="CQ1002">AF1002*WTP-AC1002</f>
        <v>42051.905830587944</v>
      </c>
      <c r="CR1002" s="109">
        <f t="shared" si="377"/>
        <v>44654.874647772143</v>
      </c>
      <c r="CT1002" s="58">
        <f t="array" ref="CT1002">SUM(IF(CQ1002:CR1002&gt;=CQ1002, 1))</f>
        <v>2</v>
      </c>
      <c r="CU1002" s="58">
        <f t="array" ref="CU1002">SUM(IF(CQ1002:CR1002&gt;=CR1002, 1))</f>
        <v>1</v>
      </c>
      <c r="CW1002" s="109">
        <f t="shared" si="378"/>
        <v>-35267190.125507236</v>
      </c>
      <c r="CX1002" s="109">
        <f t="shared" si="379"/>
        <v>0</v>
      </c>
      <c r="CZ1002" s="58">
        <f t="array" ref="CZ1002">SUM(IF(CW1002:CX1002&gt;=CW1002, 1))</f>
        <v>2</v>
      </c>
      <c r="DA1002" s="58">
        <f t="array" ref="DA1002">SUM(IF(CW1002:CX1002&gt;=CX1002, 1))</f>
        <v>1</v>
      </c>
      <c r="DC1002" s="109">
        <f t="shared" si="380"/>
        <v>-1904512.193628195</v>
      </c>
      <c r="DD1002" s="109">
        <f t="shared" si="381"/>
        <v>0</v>
      </c>
      <c r="DF1002" s="58">
        <f t="array" ref="DF1002">SUM(IF(DC1002:DD1002&gt;=DC1002, 1))</f>
        <v>2</v>
      </c>
      <c r="DG1002" s="58">
        <f t="array" ref="DG1002">SUM(IF(DC1002:DD1002&gt;=DD1002, 1))</f>
        <v>1</v>
      </c>
      <c r="DI1002" s="109">
        <f t="shared" si="382"/>
        <v>-79953629.467362806</v>
      </c>
      <c r="DJ1002" s="109">
        <f t="shared" si="383"/>
        <v>0</v>
      </c>
      <c r="DL1002" s="58">
        <f t="array" ref="DL1002">SUM(IF(DI1002:DJ1002&gt;=DI1002, 1))</f>
        <v>2</v>
      </c>
      <c r="DM1002" s="58">
        <f t="array" ref="DM1002">SUM(IF(DI1002:DJ1002&gt;=DJ1002, 1))</f>
        <v>1</v>
      </c>
      <c r="DO1002" s="109">
        <f t="shared" si="384"/>
        <v>-11074495.062206356</v>
      </c>
      <c r="DP1002" s="109">
        <f t="shared" si="385"/>
        <v>0</v>
      </c>
      <c r="DR1002" s="58">
        <f t="array" ref="DR1002">SUM(IF(DO1002:DP1002&gt;=DO1002, 1))</f>
        <v>2</v>
      </c>
      <c r="DS1002" s="58">
        <f t="array" ref="DS1002">SUM(IF(DO1002:DP1002&gt;=DP1002, 1))</f>
        <v>1</v>
      </c>
      <c r="DU1002" s="109">
        <f t="shared" si="386"/>
        <v>-41817210.377057716</v>
      </c>
      <c r="DV1002" s="109">
        <f t="shared" si="387"/>
        <v>0</v>
      </c>
      <c r="DX1002" s="58">
        <f t="array" ref="DX1002">SUM(IF(DU1002:DV1002&gt;=DU1002, 1))</f>
        <v>2</v>
      </c>
      <c r="DY1002" s="58">
        <f t="array" ref="DY1002">SUM(IF(DU1002:DV1002&gt;=DV1002, 1))</f>
        <v>1</v>
      </c>
      <c r="EA1002" s="109">
        <f t="shared" si="388"/>
        <v>-170017037.22576234</v>
      </c>
      <c r="EB1002" s="109">
        <f t="shared" si="389"/>
        <v>0</v>
      </c>
      <c r="ED1002" s="58">
        <f t="array" ref="ED1002">SUM(IF(EA1002:EB1002&gt;=EA1002, 1))</f>
        <v>2</v>
      </c>
      <c r="EE1002" s="58">
        <f t="array" ref="EE1002">SUM(IF(EA1002:EB1002&gt;=EB1002, 1))</f>
        <v>1</v>
      </c>
    </row>
    <row r="1003" spans="4:135" ht="12" customHeight="1" x14ac:dyDescent="0.25">
      <c r="D1003" s="11">
        <v>987</v>
      </c>
      <c r="E1003" s="72">
        <v>261.79138694095877</v>
      </c>
      <c r="F1003" s="72">
        <v>250.59364694450989</v>
      </c>
      <c r="G1003" s="73"/>
      <c r="H1003" s="74">
        <v>5.733803268058157</v>
      </c>
      <c r="I1003" s="74">
        <v>5.7469821609816556</v>
      </c>
      <c r="J1003" s="73"/>
      <c r="K1003" s="72">
        <v>281.69098347071423</v>
      </c>
      <c r="L1003" s="72">
        <v>270.18525773286569</v>
      </c>
      <c r="M1003" s="73"/>
      <c r="N1003" s="74">
        <v>6.6670315109917162</v>
      </c>
      <c r="O1003" s="74">
        <v>6.6780457457580935</v>
      </c>
      <c r="P1003" s="73"/>
      <c r="Q1003" s="72">
        <v>3435.8328746965581</v>
      </c>
      <c r="R1003" s="72">
        <v>1863.6784351003364</v>
      </c>
      <c r="S1003" s="73"/>
      <c r="T1003" s="74">
        <v>4.8734291857773302</v>
      </c>
      <c r="U1003" s="74">
        <v>4.9886758876173936</v>
      </c>
      <c r="V1003" s="73"/>
      <c r="W1003" s="72">
        <v>15231.603496619524</v>
      </c>
      <c r="X1003" s="72">
        <v>15126.011730547703</v>
      </c>
      <c r="Y1003" s="73"/>
      <c r="Z1003" s="74">
        <v>3.0418539078733238</v>
      </c>
      <c r="AA1003" s="74">
        <v>3.0781172749076671</v>
      </c>
      <c r="AB1003" s="73"/>
      <c r="AC1003" s="72">
        <v>52283.94177947945</v>
      </c>
      <c r="AD1003" s="72">
        <v>51901.647205341375</v>
      </c>
      <c r="AE1003" s="73"/>
      <c r="AF1003" s="74">
        <v>4.4849421509571421</v>
      </c>
      <c r="AG1003" s="74">
        <v>4.6320464367901328</v>
      </c>
      <c r="AH1003" s="73"/>
      <c r="AI1003" s="72">
        <v>1218522.9742982448</v>
      </c>
      <c r="AJ1003" s="72">
        <v>0</v>
      </c>
      <c r="AK1003" s="73"/>
      <c r="AL1003" s="74">
        <v>-1434.1093656570254</v>
      </c>
      <c r="AM1003" s="74">
        <v>0</v>
      </c>
      <c r="AN1003" s="73"/>
      <c r="AO1003" s="72">
        <v>78505.313792882982</v>
      </c>
      <c r="AP1003" s="72">
        <v>0</v>
      </c>
      <c r="AQ1003" s="73"/>
      <c r="AR1003" s="74">
        <v>-75.151796264232701</v>
      </c>
      <c r="AS1003" s="74">
        <v>0</v>
      </c>
      <c r="AT1003" s="73"/>
      <c r="AU1003" s="72">
        <v>35879627.684457436</v>
      </c>
      <c r="AV1003" s="72">
        <v>0</v>
      </c>
      <c r="AW1003" s="73"/>
      <c r="AX1003" s="74">
        <v>-2630.1542963839793</v>
      </c>
      <c r="AY1003" s="74">
        <v>0</v>
      </c>
      <c r="AZ1003" s="73"/>
      <c r="BA1003" s="72">
        <v>914036.86801600491</v>
      </c>
      <c r="BB1003" s="72">
        <v>0</v>
      </c>
      <c r="BC1003" s="73"/>
      <c r="BD1003" s="74">
        <v>-313.9075674256739</v>
      </c>
      <c r="BE1003" s="74">
        <v>0</v>
      </c>
      <c r="BF1003" s="73"/>
      <c r="BG1003" s="72">
        <v>6034159.0669311872</v>
      </c>
      <c r="BH1003" s="72">
        <v>0</v>
      </c>
      <c r="BI1003" s="73"/>
      <c r="BJ1003" s="74">
        <v>-2321.9023239994517</v>
      </c>
      <c r="BK1003" s="74">
        <v>0</v>
      </c>
      <c r="BL1003" s="73"/>
      <c r="BM1003" s="72">
        <v>44124851.907495759</v>
      </c>
      <c r="BN1003" s="72">
        <v>0</v>
      </c>
      <c r="BO1003" s="73"/>
      <c r="BP1003" s="74">
        <v>-6775.2253497303627</v>
      </c>
      <c r="BQ1003" s="74">
        <v>0</v>
      </c>
      <c r="BS1003" s="109">
        <f t="shared" si="369"/>
        <v>114414.27397422219</v>
      </c>
      <c r="BT1003" s="109">
        <f t="shared" si="370"/>
        <v>114689.0495726886</v>
      </c>
      <c r="BV1003" s="58">
        <f t="array" ref="BV1003">SUM(IF(BS1003:BT1003&gt;=BS1003, 1))</f>
        <v>2</v>
      </c>
      <c r="BW1003" s="58">
        <f t="array" ref="BW1003">SUM(IF(BS1003:BT1003&gt;=BT1003, 1))</f>
        <v>1</v>
      </c>
      <c r="BY1003" s="109">
        <f t="shared" si="371"/>
        <v>133058.93923636363</v>
      </c>
      <c r="BZ1003" s="109">
        <f t="shared" si="372"/>
        <v>133290.72965742901</v>
      </c>
      <c r="CB1003" s="58">
        <f t="array" ref="CB1003">SUM(IF(BY1003:BZ1003&gt;=BY1003, 1))</f>
        <v>2</v>
      </c>
      <c r="CC1003" s="58">
        <f t="array" ref="CC1003">SUM(IF(BY1003:BZ1003&gt;=BZ1003, 1))</f>
        <v>1</v>
      </c>
      <c r="CE1003" s="109">
        <f t="shared" si="373"/>
        <v>94032.750840850043</v>
      </c>
      <c r="CF1003" s="109">
        <f t="shared" si="374"/>
        <v>97909.839317247548</v>
      </c>
      <c r="CH1003" s="58">
        <f t="array" ref="CH1003">SUM(IF(CE1003:CF1003&gt;=CE1003, 1))</f>
        <v>2</v>
      </c>
      <c r="CI1003" s="58">
        <f t="array" ref="CI1003">SUM(IF(CE1003:CF1003&gt;=CF1003, 1))</f>
        <v>1</v>
      </c>
      <c r="CK1003" s="109">
        <f t="shared" si="375"/>
        <v>45605.47466084695</v>
      </c>
      <c r="CL1003" s="109">
        <f t="shared" si="376"/>
        <v>46436.33376760564</v>
      </c>
      <c r="CN1003" s="58">
        <f t="array" ref="CN1003">SUM(IF(CK1003:CL1003&gt;=CK1003, 1))</f>
        <v>2</v>
      </c>
      <c r="CO1003" s="58">
        <f t="array" ref="CO1003">SUM(IF(CK1003:CL1003&gt;=CL1003, 1))</f>
        <v>1</v>
      </c>
      <c r="CQ1003" s="109" cm="1">
        <f t="array" ref="CQ1003">AF1003*WTP-AC1003</f>
        <v>37414.901239663399</v>
      </c>
      <c r="CR1003" s="109">
        <f t="shared" si="377"/>
        <v>40739.281530461289</v>
      </c>
      <c r="CT1003" s="58">
        <f t="array" ref="CT1003">SUM(IF(CQ1003:CR1003&gt;=CQ1003, 1))</f>
        <v>2</v>
      </c>
      <c r="CU1003" s="58">
        <f t="array" ref="CU1003">SUM(IF(CQ1003:CR1003&gt;=CR1003, 1))</f>
        <v>1</v>
      </c>
      <c r="CW1003" s="109">
        <f t="shared" si="378"/>
        <v>-29900710.287438754</v>
      </c>
      <c r="CX1003" s="109">
        <f t="shared" si="379"/>
        <v>0</v>
      </c>
      <c r="CZ1003" s="58">
        <f t="array" ref="CZ1003">SUM(IF(CW1003:CX1003&gt;=CW1003, 1))</f>
        <v>2</v>
      </c>
      <c r="DA1003" s="58">
        <f t="array" ref="DA1003">SUM(IF(CW1003:CX1003&gt;=CX1003, 1))</f>
        <v>1</v>
      </c>
      <c r="DC1003" s="109">
        <f t="shared" si="380"/>
        <v>-1581541.2390775369</v>
      </c>
      <c r="DD1003" s="109">
        <f t="shared" si="381"/>
        <v>0</v>
      </c>
      <c r="DF1003" s="58">
        <f t="array" ref="DF1003">SUM(IF(DC1003:DD1003&gt;=DC1003, 1))</f>
        <v>2</v>
      </c>
      <c r="DG1003" s="58">
        <f t="array" ref="DG1003">SUM(IF(DC1003:DD1003&gt;=DD1003, 1))</f>
        <v>1</v>
      </c>
      <c r="DI1003" s="109">
        <f t="shared" si="382"/>
        <v>-88482713.61213702</v>
      </c>
      <c r="DJ1003" s="109">
        <f t="shared" si="383"/>
        <v>0</v>
      </c>
      <c r="DL1003" s="58">
        <f t="array" ref="DL1003">SUM(IF(DI1003:DJ1003&gt;=DI1003, 1))</f>
        <v>2</v>
      </c>
      <c r="DM1003" s="58">
        <f t="array" ref="DM1003">SUM(IF(DI1003:DJ1003&gt;=DJ1003, 1))</f>
        <v>1</v>
      </c>
      <c r="DO1003" s="109">
        <f t="shared" si="384"/>
        <v>-7192188.216529483</v>
      </c>
      <c r="DP1003" s="109">
        <f t="shared" si="385"/>
        <v>0</v>
      </c>
      <c r="DR1003" s="58">
        <f t="array" ref="DR1003">SUM(IF(DO1003:DP1003&gt;=DO1003, 1))</f>
        <v>2</v>
      </c>
      <c r="DS1003" s="58">
        <f t="array" ref="DS1003">SUM(IF(DO1003:DP1003&gt;=DP1003, 1))</f>
        <v>1</v>
      </c>
      <c r="DU1003" s="109">
        <f t="shared" si="386"/>
        <v>-52472205.546920225</v>
      </c>
      <c r="DV1003" s="109">
        <f t="shared" si="387"/>
        <v>0</v>
      </c>
      <c r="DX1003" s="58">
        <f t="array" ref="DX1003">SUM(IF(DU1003:DV1003&gt;=DU1003, 1))</f>
        <v>2</v>
      </c>
      <c r="DY1003" s="58">
        <f t="array" ref="DY1003">SUM(IF(DU1003:DV1003&gt;=DV1003, 1))</f>
        <v>1</v>
      </c>
      <c r="EA1003" s="109">
        <f t="shared" si="388"/>
        <v>-179629358.90210301</v>
      </c>
      <c r="EB1003" s="109">
        <f t="shared" si="389"/>
        <v>0</v>
      </c>
      <c r="ED1003" s="58">
        <f t="array" ref="ED1003">SUM(IF(EA1003:EB1003&gt;=EA1003, 1))</f>
        <v>2</v>
      </c>
      <c r="EE1003" s="58">
        <f t="array" ref="EE1003">SUM(IF(EA1003:EB1003&gt;=EB1003, 1))</f>
        <v>1</v>
      </c>
    </row>
    <row r="1004" spans="4:135" ht="12" customHeight="1" x14ac:dyDescent="0.25">
      <c r="D1004" s="11">
        <v>988</v>
      </c>
      <c r="E1004" s="72">
        <v>299.62180254130578</v>
      </c>
      <c r="F1004" s="72">
        <v>275.81619797831365</v>
      </c>
      <c r="G1004" s="73"/>
      <c r="H1004" s="74">
        <v>5.7671438895381488</v>
      </c>
      <c r="I1004" s="74">
        <v>5.7830764434248438</v>
      </c>
      <c r="J1004" s="73"/>
      <c r="K1004" s="72">
        <v>321.80737750890853</v>
      </c>
      <c r="L1004" s="72">
        <v>297.41397324807292</v>
      </c>
      <c r="M1004" s="73"/>
      <c r="N1004" s="74">
        <v>6.7435582695016363</v>
      </c>
      <c r="O1004" s="74">
        <v>6.7573819400669999</v>
      </c>
      <c r="P1004" s="73"/>
      <c r="Q1004" s="72">
        <v>2310.4686758884891</v>
      </c>
      <c r="R1004" s="72">
        <v>1710.4122879484441</v>
      </c>
      <c r="S1004" s="73"/>
      <c r="T1004" s="74">
        <v>4.7171933376244324</v>
      </c>
      <c r="U1004" s="74">
        <v>4.7745330638270129</v>
      </c>
      <c r="V1004" s="73"/>
      <c r="W1004" s="72">
        <v>13139.198681375921</v>
      </c>
      <c r="X1004" s="72">
        <v>13150.309508739219</v>
      </c>
      <c r="Y1004" s="73"/>
      <c r="Z1004" s="74">
        <v>2.9530159479870073</v>
      </c>
      <c r="AA1004" s="74">
        <v>3.0022529945329657</v>
      </c>
      <c r="AB1004" s="73"/>
      <c r="AC1004" s="72">
        <v>51046.63507064127</v>
      </c>
      <c r="AD1004" s="72">
        <v>50916.229133870205</v>
      </c>
      <c r="AE1004" s="73"/>
      <c r="AF1004" s="74">
        <v>4.3092407009993048</v>
      </c>
      <c r="AG1004" s="74">
        <v>4.4027289326766228</v>
      </c>
      <c r="AH1004" s="73"/>
      <c r="AI1004" s="72">
        <v>2572103.314716252</v>
      </c>
      <c r="AJ1004" s="72">
        <v>0</v>
      </c>
      <c r="AK1004" s="73"/>
      <c r="AL1004" s="74">
        <v>-1721.4507010492296</v>
      </c>
      <c r="AM1004" s="74">
        <v>0</v>
      </c>
      <c r="AN1004" s="73"/>
      <c r="AO1004" s="72">
        <v>166584.62538608318</v>
      </c>
      <c r="AP1004" s="72">
        <v>0</v>
      </c>
      <c r="AQ1004" s="73"/>
      <c r="AR1004" s="74">
        <v>-94.403018044060232</v>
      </c>
      <c r="AS1004" s="74">
        <v>0</v>
      </c>
      <c r="AT1004" s="73"/>
      <c r="AU1004" s="72">
        <v>13858313.73027759</v>
      </c>
      <c r="AV1004" s="72">
        <v>0</v>
      </c>
      <c r="AW1004" s="73"/>
      <c r="AX1004" s="74">
        <v>-1324.2620708555407</v>
      </c>
      <c r="AY1004" s="74">
        <v>0</v>
      </c>
      <c r="AZ1004" s="73"/>
      <c r="BA1004" s="72">
        <v>-104241.80508854683</v>
      </c>
      <c r="BB1004" s="72">
        <v>0</v>
      </c>
      <c r="BC1004" s="73"/>
      <c r="BD1004" s="74">
        <v>-461.94207158088523</v>
      </c>
      <c r="BE1004" s="74">
        <v>0</v>
      </c>
      <c r="BF1004" s="73"/>
      <c r="BG1004" s="72">
        <v>2052489.7593003185</v>
      </c>
      <c r="BH1004" s="72">
        <v>0</v>
      </c>
      <c r="BI1004" s="73"/>
      <c r="BJ1004" s="74">
        <v>-1471.4333019182493</v>
      </c>
      <c r="BK1004" s="74">
        <v>0</v>
      </c>
      <c r="BL1004" s="73"/>
      <c r="BM1004" s="72">
        <v>18545249.624591697</v>
      </c>
      <c r="BN1004" s="72">
        <v>0</v>
      </c>
      <c r="BO1004" s="73"/>
      <c r="BP1004" s="74">
        <v>-5073.4911634479649</v>
      </c>
      <c r="BQ1004" s="74">
        <v>0</v>
      </c>
      <c r="BS1004" s="109">
        <f t="shared" si="369"/>
        <v>115043.25598822166</v>
      </c>
      <c r="BT1004" s="109">
        <f t="shared" si="370"/>
        <v>115385.71267051857</v>
      </c>
      <c r="BV1004" s="58">
        <f t="array" ref="BV1004">SUM(IF(BS1004:BT1004&gt;=BS1004, 1))</f>
        <v>2</v>
      </c>
      <c r="BW1004" s="58">
        <f t="array" ref="BW1004">SUM(IF(BS1004:BT1004&gt;=BT1004, 1))</f>
        <v>1</v>
      </c>
      <c r="BY1004" s="109">
        <f t="shared" si="371"/>
        <v>134549.35801252382</v>
      </c>
      <c r="BZ1004" s="109">
        <f t="shared" si="372"/>
        <v>134850.22482809192</v>
      </c>
      <c r="CB1004" s="58">
        <f t="array" ref="CB1004">SUM(IF(BY1004:BZ1004&gt;=BY1004, 1))</f>
        <v>2</v>
      </c>
      <c r="CC1004" s="58">
        <f t="array" ref="CC1004">SUM(IF(BY1004:BZ1004&gt;=BZ1004, 1))</f>
        <v>1</v>
      </c>
      <c r="CE1004" s="109">
        <f t="shared" si="373"/>
        <v>92033.398076600148</v>
      </c>
      <c r="CF1004" s="109">
        <f t="shared" si="374"/>
        <v>93780.248988591804</v>
      </c>
      <c r="CH1004" s="58">
        <f t="array" ref="CH1004">SUM(IF(CE1004:CF1004&gt;=CE1004, 1))</f>
        <v>2</v>
      </c>
      <c r="CI1004" s="58">
        <f t="array" ref="CI1004">SUM(IF(CE1004:CF1004&gt;=CF1004, 1))</f>
        <v>1</v>
      </c>
      <c r="CK1004" s="109">
        <f t="shared" si="375"/>
        <v>45921.120278364222</v>
      </c>
      <c r="CL1004" s="109">
        <f t="shared" si="376"/>
        <v>46894.750381920094</v>
      </c>
      <c r="CN1004" s="58">
        <f t="array" ref="CN1004">SUM(IF(CK1004:CL1004&gt;=CK1004, 1))</f>
        <v>2</v>
      </c>
      <c r="CO1004" s="58">
        <f t="array" ref="CO1004">SUM(IF(CK1004:CL1004&gt;=CL1004, 1))</f>
        <v>1</v>
      </c>
      <c r="CQ1004" s="109" cm="1">
        <f t="array" ref="CQ1004">AF1004*WTP-AC1004</f>
        <v>35138.178949344823</v>
      </c>
      <c r="CR1004" s="109">
        <f t="shared" si="377"/>
        <v>37138.349519662253</v>
      </c>
      <c r="CT1004" s="58">
        <f t="array" ref="CT1004">SUM(IF(CQ1004:CR1004&gt;=CQ1004, 1))</f>
        <v>2</v>
      </c>
      <c r="CU1004" s="58">
        <f t="array" ref="CU1004">SUM(IF(CQ1004:CR1004&gt;=CR1004, 1))</f>
        <v>1</v>
      </c>
      <c r="CW1004" s="109">
        <f t="shared" si="378"/>
        <v>-37001117.33570084</v>
      </c>
      <c r="CX1004" s="109">
        <f t="shared" si="379"/>
        <v>0</v>
      </c>
      <c r="CZ1004" s="58">
        <f t="array" ref="CZ1004">SUM(IF(CW1004:CX1004&gt;=CW1004, 1))</f>
        <v>2</v>
      </c>
      <c r="DA1004" s="58">
        <f t="array" ref="DA1004">SUM(IF(CW1004:CX1004&gt;=CX1004, 1))</f>
        <v>1</v>
      </c>
      <c r="DC1004" s="109">
        <f t="shared" si="380"/>
        <v>-2054644.986267288</v>
      </c>
      <c r="DD1004" s="109">
        <f t="shared" si="381"/>
        <v>0</v>
      </c>
      <c r="DF1004" s="58">
        <f t="array" ref="DF1004">SUM(IF(DC1004:DD1004&gt;=DC1004, 1))</f>
        <v>2</v>
      </c>
      <c r="DG1004" s="58">
        <f t="array" ref="DG1004">SUM(IF(DC1004:DD1004&gt;=DD1004, 1))</f>
        <v>1</v>
      </c>
      <c r="DI1004" s="109">
        <f t="shared" si="382"/>
        <v>-40343555.147388406</v>
      </c>
      <c r="DJ1004" s="109">
        <f t="shared" si="383"/>
        <v>0</v>
      </c>
      <c r="DL1004" s="58">
        <f t="array" ref="DL1004">SUM(IF(DI1004:DJ1004&gt;=DI1004, 1))</f>
        <v>2</v>
      </c>
      <c r="DM1004" s="58">
        <f t="array" ref="DM1004">SUM(IF(DI1004:DJ1004&gt;=DJ1004, 1))</f>
        <v>1</v>
      </c>
      <c r="DO1004" s="109">
        <f t="shared" si="384"/>
        <v>-9134599.626529159</v>
      </c>
      <c r="DP1004" s="109">
        <f t="shared" si="385"/>
        <v>0</v>
      </c>
      <c r="DR1004" s="58">
        <f t="array" ref="DR1004">SUM(IF(DO1004:DP1004&gt;=DO1004, 1))</f>
        <v>2</v>
      </c>
      <c r="DS1004" s="58">
        <f t="array" ref="DS1004">SUM(IF(DO1004:DP1004&gt;=DP1004, 1))</f>
        <v>1</v>
      </c>
      <c r="DU1004" s="109">
        <f t="shared" si="386"/>
        <v>-31481155.797665305</v>
      </c>
      <c r="DV1004" s="109">
        <f t="shared" si="387"/>
        <v>0</v>
      </c>
      <c r="DX1004" s="58">
        <f t="array" ref="DX1004">SUM(IF(DU1004:DV1004&gt;=DU1004, 1))</f>
        <v>2</v>
      </c>
      <c r="DY1004" s="58">
        <f t="array" ref="DY1004">SUM(IF(DU1004:DV1004&gt;=DV1004, 1))</f>
        <v>1</v>
      </c>
      <c r="EA1004" s="109">
        <f t="shared" si="388"/>
        <v>-120015072.89355099</v>
      </c>
      <c r="EB1004" s="109">
        <f t="shared" si="389"/>
        <v>0</v>
      </c>
      <c r="ED1004" s="58">
        <f t="array" ref="ED1004">SUM(IF(EA1004:EB1004&gt;=EA1004, 1))</f>
        <v>2</v>
      </c>
      <c r="EE1004" s="58">
        <f t="array" ref="EE1004">SUM(IF(EA1004:EB1004&gt;=EB1004, 1))</f>
        <v>1</v>
      </c>
    </row>
    <row r="1005" spans="4:135" ht="12" customHeight="1" x14ac:dyDescent="0.25">
      <c r="D1005" s="11">
        <v>989</v>
      </c>
      <c r="E1005" s="72">
        <v>254.20446187271037</v>
      </c>
      <c r="F1005" s="72">
        <v>226.85600097848109</v>
      </c>
      <c r="G1005" s="73"/>
      <c r="H1005" s="74">
        <v>5.7680157902443652</v>
      </c>
      <c r="I1005" s="74">
        <v>5.7851334728973134</v>
      </c>
      <c r="J1005" s="73"/>
      <c r="K1005" s="72">
        <v>272.60519391118402</v>
      </c>
      <c r="L1005" s="72">
        <v>244.54734338081266</v>
      </c>
      <c r="M1005" s="73"/>
      <c r="N1005" s="74">
        <v>6.7470526150905661</v>
      </c>
      <c r="O1005" s="74">
        <v>6.7616466961506907</v>
      </c>
      <c r="P1005" s="73"/>
      <c r="Q1005" s="72">
        <v>2769.42480964686</v>
      </c>
      <c r="R1005" s="72">
        <v>1177.4213609495134</v>
      </c>
      <c r="S1005" s="73"/>
      <c r="T1005" s="74">
        <v>4.5636113178727218</v>
      </c>
      <c r="U1005" s="74">
        <v>4.6959912401774719</v>
      </c>
      <c r="V1005" s="73"/>
      <c r="W1005" s="72">
        <v>12520.594564343004</v>
      </c>
      <c r="X1005" s="72">
        <v>12525.145169831991</v>
      </c>
      <c r="Y1005" s="73"/>
      <c r="Z1005" s="74">
        <v>2.8269454673899785</v>
      </c>
      <c r="AA1005" s="74">
        <v>2.8617131322271754</v>
      </c>
      <c r="AB1005" s="73"/>
      <c r="AC1005" s="72">
        <v>49707.759534660348</v>
      </c>
      <c r="AD1005" s="72">
        <v>49519.64581643464</v>
      </c>
      <c r="AE1005" s="73"/>
      <c r="AF1005" s="74">
        <v>4.2125240948610534</v>
      </c>
      <c r="AG1005" s="74">
        <v>4.2721088853501747</v>
      </c>
      <c r="AH1005" s="73"/>
      <c r="AI1005" s="72">
        <v>2940516.9234958882</v>
      </c>
      <c r="AJ1005" s="72">
        <v>0</v>
      </c>
      <c r="AK1005" s="73"/>
      <c r="AL1005" s="74">
        <v>-1840.4997534119825</v>
      </c>
      <c r="AM1005" s="74">
        <v>0</v>
      </c>
      <c r="AN1005" s="73"/>
      <c r="AO1005" s="72">
        <v>192092.69383916268</v>
      </c>
      <c r="AP1005" s="72">
        <v>0</v>
      </c>
      <c r="AQ1005" s="73"/>
      <c r="AR1005" s="74">
        <v>-99.915577706562658</v>
      </c>
      <c r="AS1005" s="74">
        <v>0</v>
      </c>
      <c r="AT1005" s="73"/>
      <c r="AU1005" s="72">
        <v>36374844.44138518</v>
      </c>
      <c r="AV1005" s="72">
        <v>0</v>
      </c>
      <c r="AW1005" s="73"/>
      <c r="AX1005" s="74">
        <v>-3024.6788001232353</v>
      </c>
      <c r="AY1005" s="74">
        <v>0</v>
      </c>
      <c r="AZ1005" s="73"/>
      <c r="BA1005" s="72">
        <v>-41754.461953937185</v>
      </c>
      <c r="BB1005" s="72">
        <v>0</v>
      </c>
      <c r="BC1005" s="73"/>
      <c r="BD1005" s="74">
        <v>-319.01362185437006</v>
      </c>
      <c r="BE1005" s="74">
        <v>0</v>
      </c>
      <c r="BF1005" s="73"/>
      <c r="BG1005" s="72">
        <v>3013448.9639656567</v>
      </c>
      <c r="BH1005" s="72">
        <v>0</v>
      </c>
      <c r="BI1005" s="73"/>
      <c r="BJ1005" s="74">
        <v>-954.50627876119995</v>
      </c>
      <c r="BK1005" s="74">
        <v>0</v>
      </c>
      <c r="BL1005" s="73"/>
      <c r="BM1005" s="72">
        <v>42479148.560731947</v>
      </c>
      <c r="BN1005" s="72">
        <v>0</v>
      </c>
      <c r="BO1005" s="73"/>
      <c r="BP1005" s="74">
        <v>-6238.6140318573498</v>
      </c>
      <c r="BQ1005" s="74">
        <v>0</v>
      </c>
      <c r="BS1005" s="109">
        <f t="shared" si="369"/>
        <v>115106.11134301459</v>
      </c>
      <c r="BT1005" s="109">
        <f t="shared" si="370"/>
        <v>115475.81345696778</v>
      </c>
      <c r="BV1005" s="58">
        <f t="array" ref="BV1005">SUM(IF(BS1005:BT1005&gt;=BS1005, 1))</f>
        <v>2</v>
      </c>
      <c r="BW1005" s="58">
        <f t="array" ref="BW1005">SUM(IF(BS1005:BT1005&gt;=BT1005, 1))</f>
        <v>1</v>
      </c>
      <c r="BY1005" s="109">
        <f t="shared" si="371"/>
        <v>134668.44710790014</v>
      </c>
      <c r="BZ1005" s="109">
        <f t="shared" si="372"/>
        <v>134988.38657963299</v>
      </c>
      <c r="CB1005" s="58">
        <f t="array" ref="CB1005">SUM(IF(BY1005:BZ1005&gt;=BY1005, 1))</f>
        <v>2</v>
      </c>
      <c r="CC1005" s="58">
        <f t="array" ref="CC1005">SUM(IF(BY1005:BZ1005&gt;=BZ1005, 1))</f>
        <v>1</v>
      </c>
      <c r="CE1005" s="109">
        <f t="shared" si="373"/>
        <v>88502.801547807569</v>
      </c>
      <c r="CF1005" s="109">
        <f t="shared" si="374"/>
        <v>92742.403442599913</v>
      </c>
      <c r="CH1005" s="58">
        <f t="array" ref="CH1005">SUM(IF(CE1005:CF1005&gt;=CE1005, 1))</f>
        <v>2</v>
      </c>
      <c r="CI1005" s="58">
        <f t="array" ref="CI1005">SUM(IF(CE1005:CF1005&gt;=CF1005, 1))</f>
        <v>1</v>
      </c>
      <c r="CK1005" s="109">
        <f t="shared" si="375"/>
        <v>44018.314783456568</v>
      </c>
      <c r="CL1005" s="109">
        <f t="shared" si="376"/>
        <v>44709.117474711515</v>
      </c>
      <c r="CN1005" s="58">
        <f t="array" ref="CN1005">SUM(IF(CK1005:CL1005&gt;=CK1005, 1))</f>
        <v>2</v>
      </c>
      <c r="CO1005" s="58">
        <f t="array" ref="CO1005">SUM(IF(CK1005:CL1005&gt;=CL1005, 1))</f>
        <v>1</v>
      </c>
      <c r="CQ1005" s="109" cm="1">
        <f t="array" ref="CQ1005">AF1005*WTP-AC1005</f>
        <v>34542.722362560715</v>
      </c>
      <c r="CR1005" s="109">
        <f t="shared" si="377"/>
        <v>35922.531890568847</v>
      </c>
      <c r="CT1005" s="58">
        <f t="array" ref="CT1005">SUM(IF(CQ1005:CR1005&gt;=CQ1005, 1))</f>
        <v>2</v>
      </c>
      <c r="CU1005" s="58">
        <f t="array" ref="CU1005">SUM(IF(CQ1005:CR1005&gt;=CR1005, 1))</f>
        <v>1</v>
      </c>
      <c r="CW1005" s="109">
        <f t="shared" si="378"/>
        <v>-39750511.99173554</v>
      </c>
      <c r="CX1005" s="109">
        <f t="shared" si="379"/>
        <v>0</v>
      </c>
      <c r="CZ1005" s="58">
        <f t="array" ref="CZ1005">SUM(IF(CW1005:CX1005&gt;=CW1005, 1))</f>
        <v>2</v>
      </c>
      <c r="DA1005" s="58">
        <f t="array" ref="DA1005">SUM(IF(CW1005:CX1005&gt;=CX1005, 1))</f>
        <v>1</v>
      </c>
      <c r="DC1005" s="109">
        <f t="shared" si="380"/>
        <v>-2190404.2479704157</v>
      </c>
      <c r="DD1005" s="109">
        <f t="shared" si="381"/>
        <v>0</v>
      </c>
      <c r="DF1005" s="58">
        <f t="array" ref="DF1005">SUM(IF(DC1005:DD1005&gt;=DC1005, 1))</f>
        <v>2</v>
      </c>
      <c r="DG1005" s="58">
        <f t="array" ref="DG1005">SUM(IF(DC1005:DD1005&gt;=DD1005, 1))</f>
        <v>1</v>
      </c>
      <c r="DI1005" s="109">
        <f t="shared" si="382"/>
        <v>-96868420.443849891</v>
      </c>
      <c r="DJ1005" s="109">
        <f t="shared" si="383"/>
        <v>0</v>
      </c>
      <c r="DL1005" s="58">
        <f t="array" ref="DL1005">SUM(IF(DI1005:DJ1005&gt;=DI1005, 1))</f>
        <v>2</v>
      </c>
      <c r="DM1005" s="58">
        <f t="array" ref="DM1005">SUM(IF(DI1005:DJ1005&gt;=DJ1005, 1))</f>
        <v>1</v>
      </c>
      <c r="DO1005" s="109">
        <f t="shared" si="384"/>
        <v>-6338517.9751334637</v>
      </c>
      <c r="DP1005" s="109">
        <f t="shared" si="385"/>
        <v>0</v>
      </c>
      <c r="DR1005" s="58">
        <f t="array" ref="DR1005">SUM(IF(DO1005:DP1005&gt;=DO1005, 1))</f>
        <v>2</v>
      </c>
      <c r="DS1005" s="58">
        <f t="array" ref="DS1005">SUM(IF(DO1005:DP1005&gt;=DP1005, 1))</f>
        <v>1</v>
      </c>
      <c r="DU1005" s="109">
        <f t="shared" si="386"/>
        <v>-22103574.539189655</v>
      </c>
      <c r="DV1005" s="109">
        <f t="shared" si="387"/>
        <v>0</v>
      </c>
      <c r="DX1005" s="58">
        <f t="array" ref="DX1005">SUM(IF(DU1005:DV1005&gt;=DU1005, 1))</f>
        <v>2</v>
      </c>
      <c r="DY1005" s="58">
        <f t="array" ref="DY1005">SUM(IF(DU1005:DV1005&gt;=DV1005, 1))</f>
        <v>1</v>
      </c>
      <c r="EA1005" s="109">
        <f t="shared" si="388"/>
        <v>-167251429.19787896</v>
      </c>
      <c r="EB1005" s="109">
        <f t="shared" si="389"/>
        <v>0</v>
      </c>
      <c r="ED1005" s="58">
        <f t="array" ref="ED1005">SUM(IF(EA1005:EB1005&gt;=EA1005, 1))</f>
        <v>2</v>
      </c>
      <c r="EE1005" s="58">
        <f t="array" ref="EE1005">SUM(IF(EA1005:EB1005&gt;=EB1005, 1))</f>
        <v>1</v>
      </c>
    </row>
    <row r="1006" spans="4:135" ht="12" customHeight="1" x14ac:dyDescent="0.25">
      <c r="D1006" s="11">
        <v>990</v>
      </c>
      <c r="E1006" s="72">
        <v>250.28111336027888</v>
      </c>
      <c r="F1006" s="72">
        <v>236.00872466550877</v>
      </c>
      <c r="G1006" s="73"/>
      <c r="H1006" s="74">
        <v>5.8805090199192414</v>
      </c>
      <c r="I1006" s="74">
        <v>5.9000432222576817</v>
      </c>
      <c r="J1006" s="73"/>
      <c r="K1006" s="72">
        <v>269.19342679129744</v>
      </c>
      <c r="L1006" s="72">
        <v>254.54670807311086</v>
      </c>
      <c r="M1006" s="73"/>
      <c r="N1006" s="74">
        <v>6.7197277919629066</v>
      </c>
      <c r="O1006" s="74">
        <v>6.7368218944013343</v>
      </c>
      <c r="P1006" s="73"/>
      <c r="Q1006" s="72">
        <v>1771.2529078299372</v>
      </c>
      <c r="R1006" s="72">
        <v>1256.511174755469</v>
      </c>
      <c r="S1006" s="73"/>
      <c r="T1006" s="74">
        <v>5.0694634500493745</v>
      </c>
      <c r="U1006" s="74">
        <v>5.1263466518080891</v>
      </c>
      <c r="V1006" s="73"/>
      <c r="W1006" s="72">
        <v>13058.241568437374</v>
      </c>
      <c r="X1006" s="72">
        <v>13053.639189020319</v>
      </c>
      <c r="Y1006" s="73"/>
      <c r="Z1006" s="74">
        <v>2.9915038346775216</v>
      </c>
      <c r="AA1006" s="74">
        <v>3.0409985209280443</v>
      </c>
      <c r="AB1006" s="73"/>
      <c r="AC1006" s="72">
        <v>49977.368416747871</v>
      </c>
      <c r="AD1006" s="72">
        <v>49868.272561231468</v>
      </c>
      <c r="AE1006" s="73"/>
      <c r="AF1006" s="74">
        <v>4.410931927609532</v>
      </c>
      <c r="AG1006" s="74">
        <v>4.5040914796814437</v>
      </c>
      <c r="AH1006" s="73"/>
      <c r="AI1006" s="72">
        <v>1525075.0433130299</v>
      </c>
      <c r="AJ1006" s="72">
        <v>0</v>
      </c>
      <c r="AK1006" s="73"/>
      <c r="AL1006" s="74">
        <v>-2087.3257528572594</v>
      </c>
      <c r="AM1006" s="74">
        <v>0</v>
      </c>
      <c r="AN1006" s="73"/>
      <c r="AO1006" s="72">
        <v>92544.335174132764</v>
      </c>
      <c r="AP1006" s="72">
        <v>0</v>
      </c>
      <c r="AQ1006" s="73"/>
      <c r="AR1006" s="74">
        <v>-108.00796929338969</v>
      </c>
      <c r="AS1006" s="74">
        <v>0</v>
      </c>
      <c r="AT1006" s="73"/>
      <c r="AU1006" s="72">
        <v>11847113.184281308</v>
      </c>
      <c r="AV1006" s="72">
        <v>0</v>
      </c>
      <c r="AW1006" s="73"/>
      <c r="AX1006" s="74">
        <v>-1309.2035990450925</v>
      </c>
      <c r="AY1006" s="74">
        <v>0</v>
      </c>
      <c r="AZ1006" s="73"/>
      <c r="BA1006" s="72">
        <v>41937.115831773015</v>
      </c>
      <c r="BB1006" s="72">
        <v>0</v>
      </c>
      <c r="BC1006" s="73"/>
      <c r="BD1006" s="74">
        <v>-450.99810386210964</v>
      </c>
      <c r="BE1006" s="74">
        <v>0</v>
      </c>
      <c r="BF1006" s="73"/>
      <c r="BG1006" s="72">
        <v>1706759.9127304044</v>
      </c>
      <c r="BH1006" s="72">
        <v>0</v>
      </c>
      <c r="BI1006" s="73"/>
      <c r="BJ1006" s="74">
        <v>-1457.442981785432</v>
      </c>
      <c r="BK1006" s="74">
        <v>0</v>
      </c>
      <c r="BL1006" s="73"/>
      <c r="BM1006" s="72">
        <v>15213429.591330649</v>
      </c>
      <c r="BN1006" s="72">
        <v>0</v>
      </c>
      <c r="BO1006" s="73"/>
      <c r="BP1006" s="74">
        <v>-5412.9784068432828</v>
      </c>
      <c r="BQ1006" s="74">
        <v>0</v>
      </c>
      <c r="BS1006" s="109">
        <f t="shared" si="369"/>
        <v>117359.89928502454</v>
      </c>
      <c r="BT1006" s="109">
        <f t="shared" si="370"/>
        <v>117764.85572048814</v>
      </c>
      <c r="BV1006" s="58">
        <f t="array" ref="BV1006">SUM(IF(BS1006:BT1006&gt;=BS1006, 1))</f>
        <v>2</v>
      </c>
      <c r="BW1006" s="58">
        <f t="array" ref="BW1006">SUM(IF(BS1006:BT1006&gt;=BT1006, 1))</f>
        <v>1</v>
      </c>
      <c r="BY1006" s="109">
        <f t="shared" si="371"/>
        <v>134125.36241246684</v>
      </c>
      <c r="BZ1006" s="109">
        <f t="shared" si="372"/>
        <v>134481.89117995356</v>
      </c>
      <c r="CB1006" s="58">
        <f t="array" ref="CB1006">SUM(IF(BY1006:BZ1006&gt;=BY1006, 1))</f>
        <v>2</v>
      </c>
      <c r="CC1006" s="58">
        <f t="array" ref="CC1006">SUM(IF(BY1006:BZ1006&gt;=BZ1006, 1))</f>
        <v>1</v>
      </c>
      <c r="CE1006" s="109">
        <f t="shared" si="373"/>
        <v>99618.016093157552</v>
      </c>
      <c r="CF1006" s="109">
        <f t="shared" si="374"/>
        <v>101270.42186140631</v>
      </c>
      <c r="CH1006" s="58">
        <f t="array" ref="CH1006">SUM(IF(CE1006:CF1006&gt;=CE1006, 1))</f>
        <v>2</v>
      </c>
      <c r="CI1006" s="58">
        <f t="array" ref="CI1006">SUM(IF(CE1006:CF1006&gt;=CF1006, 1))</f>
        <v>1</v>
      </c>
      <c r="CK1006" s="109">
        <f t="shared" si="375"/>
        <v>46771.835125113052</v>
      </c>
      <c r="CL1006" s="109">
        <f t="shared" si="376"/>
        <v>47766.331229540563</v>
      </c>
      <c r="CN1006" s="58">
        <f t="array" ref="CN1006">SUM(IF(CK1006:CL1006&gt;=CK1006, 1))</f>
        <v>2</v>
      </c>
      <c r="CO1006" s="58">
        <f t="array" ref="CO1006">SUM(IF(CK1006:CL1006&gt;=CL1006, 1))</f>
        <v>1</v>
      </c>
      <c r="CQ1006" s="109" cm="1">
        <f t="array" ref="CQ1006">AF1006*WTP-AC1006</f>
        <v>38241.270135442763</v>
      </c>
      <c r="CR1006" s="109">
        <f t="shared" si="377"/>
        <v>40213.55703239741</v>
      </c>
      <c r="CT1006" s="58">
        <f t="array" ref="CT1006">SUM(IF(CQ1006:CR1006&gt;=CQ1006, 1))</f>
        <v>2</v>
      </c>
      <c r="CU1006" s="58">
        <f t="array" ref="CU1006">SUM(IF(CQ1006:CR1006&gt;=CR1006, 1))</f>
        <v>1</v>
      </c>
      <c r="CW1006" s="109">
        <f t="shared" si="378"/>
        <v>-43271590.100458212</v>
      </c>
      <c r="CX1006" s="109">
        <f t="shared" si="379"/>
        <v>0</v>
      </c>
      <c r="CZ1006" s="58">
        <f t="array" ref="CZ1006">SUM(IF(CW1006:CX1006&gt;=CW1006, 1))</f>
        <v>2</v>
      </c>
      <c r="DA1006" s="58">
        <f t="array" ref="DA1006">SUM(IF(CW1006:CX1006&gt;=CX1006, 1))</f>
        <v>1</v>
      </c>
      <c r="DC1006" s="109">
        <f t="shared" si="380"/>
        <v>-2252703.7210419266</v>
      </c>
      <c r="DD1006" s="109">
        <f t="shared" si="381"/>
        <v>0</v>
      </c>
      <c r="DF1006" s="58">
        <f t="array" ref="DF1006">SUM(IF(DC1006:DD1006&gt;=DC1006, 1))</f>
        <v>2</v>
      </c>
      <c r="DG1006" s="58">
        <f t="array" ref="DG1006">SUM(IF(DC1006:DD1006&gt;=DD1006, 1))</f>
        <v>1</v>
      </c>
      <c r="DI1006" s="109">
        <f t="shared" si="382"/>
        <v>-38031185.165183157</v>
      </c>
      <c r="DJ1006" s="109">
        <f t="shared" si="383"/>
        <v>0</v>
      </c>
      <c r="DL1006" s="58">
        <f t="array" ref="DL1006">SUM(IF(DI1006:DJ1006&gt;=DI1006, 1))</f>
        <v>2</v>
      </c>
      <c r="DM1006" s="58">
        <f t="array" ref="DM1006">SUM(IF(DI1006:DJ1006&gt;=DJ1006, 1))</f>
        <v>1</v>
      </c>
      <c r="DO1006" s="109">
        <f t="shared" si="384"/>
        <v>-9061899.1930739675</v>
      </c>
      <c r="DP1006" s="109">
        <f t="shared" si="385"/>
        <v>0</v>
      </c>
      <c r="DR1006" s="58">
        <f t="array" ref="DR1006">SUM(IF(DO1006:DP1006&gt;=DO1006, 1))</f>
        <v>2</v>
      </c>
      <c r="DS1006" s="58">
        <f t="array" ref="DS1006">SUM(IF(DO1006:DP1006&gt;=DP1006, 1))</f>
        <v>1</v>
      </c>
      <c r="DU1006" s="109">
        <f t="shared" si="386"/>
        <v>-30855619.548439045</v>
      </c>
      <c r="DV1006" s="109">
        <f t="shared" si="387"/>
        <v>0</v>
      </c>
      <c r="DX1006" s="58">
        <f t="array" ref="DX1006">SUM(IF(DU1006:DV1006&gt;=DU1006, 1))</f>
        <v>2</v>
      </c>
      <c r="DY1006" s="58">
        <f t="array" ref="DY1006">SUM(IF(DU1006:DV1006&gt;=DV1006, 1))</f>
        <v>1</v>
      </c>
      <c r="EA1006" s="109">
        <f t="shared" si="388"/>
        <v>-123472997.72819631</v>
      </c>
      <c r="EB1006" s="109">
        <f t="shared" si="389"/>
        <v>0</v>
      </c>
      <c r="ED1006" s="58">
        <f t="array" ref="ED1006">SUM(IF(EA1006:EB1006&gt;=EA1006, 1))</f>
        <v>2</v>
      </c>
      <c r="EE1006" s="58">
        <f t="array" ref="EE1006">SUM(IF(EA1006:EB1006&gt;=EB1006, 1))</f>
        <v>1</v>
      </c>
    </row>
    <row r="1007" spans="4:135" ht="12" customHeight="1" x14ac:dyDescent="0.25">
      <c r="D1007" s="11">
        <v>991</v>
      </c>
      <c r="E1007" s="72">
        <v>211.71497677273845</v>
      </c>
      <c r="F1007" s="72">
        <v>198.25679720644533</v>
      </c>
      <c r="G1007" s="73"/>
      <c r="H1007" s="74">
        <v>5.7564993831292526</v>
      </c>
      <c r="I1007" s="74">
        <v>5.7744611869583906</v>
      </c>
      <c r="J1007" s="73"/>
      <c r="K1007" s="72">
        <v>227.61564028163087</v>
      </c>
      <c r="L1007" s="72">
        <v>213.84661765823023</v>
      </c>
      <c r="M1007" s="73"/>
      <c r="N1007" s="74">
        <v>6.6883372774456777</v>
      </c>
      <c r="O1007" s="74">
        <v>6.7050833399314769</v>
      </c>
      <c r="P1007" s="73"/>
      <c r="Q1007" s="72">
        <v>1687.4727380559416</v>
      </c>
      <c r="R1007" s="72">
        <v>1259.9033416972011</v>
      </c>
      <c r="S1007" s="73"/>
      <c r="T1007" s="74">
        <v>4.7221264461687138</v>
      </c>
      <c r="U1007" s="74">
        <v>4.7667305062995755</v>
      </c>
      <c r="V1007" s="73"/>
      <c r="W1007" s="72">
        <v>15675.566572029567</v>
      </c>
      <c r="X1007" s="72">
        <v>15679.827322095602</v>
      </c>
      <c r="Y1007" s="73"/>
      <c r="Z1007" s="74">
        <v>3.142507939582583</v>
      </c>
      <c r="AA1007" s="74">
        <v>3.1870465578431277</v>
      </c>
      <c r="AB1007" s="73"/>
      <c r="AC1007" s="72">
        <v>50607.125333576463</v>
      </c>
      <c r="AD1007" s="72">
        <v>49938.140479600319</v>
      </c>
      <c r="AE1007" s="73"/>
      <c r="AF1007" s="74">
        <v>3.9358513879796995</v>
      </c>
      <c r="AG1007" s="74">
        <v>4.0300001047790488</v>
      </c>
      <c r="AH1007" s="73"/>
      <c r="AI1007" s="72">
        <v>1451824.0785976346</v>
      </c>
      <c r="AJ1007" s="72">
        <v>0</v>
      </c>
      <c r="AK1007" s="73"/>
      <c r="AL1007" s="74">
        <v>-1937.6602285425183</v>
      </c>
      <c r="AM1007" s="74">
        <v>0</v>
      </c>
      <c r="AN1007" s="73"/>
      <c r="AO1007" s="72">
        <v>96393.261824290879</v>
      </c>
      <c r="AP1007" s="72">
        <v>0</v>
      </c>
      <c r="AQ1007" s="73"/>
      <c r="AR1007" s="74">
        <v>-117.23472535924247</v>
      </c>
      <c r="AS1007" s="74">
        <v>0</v>
      </c>
      <c r="AT1007" s="73"/>
      <c r="AU1007" s="72">
        <v>9806821.3163074516</v>
      </c>
      <c r="AV1007" s="72">
        <v>0</v>
      </c>
      <c r="AW1007" s="73"/>
      <c r="AX1007" s="74">
        <v>-1023.0480745590717</v>
      </c>
      <c r="AY1007" s="74">
        <v>0</v>
      </c>
      <c r="AZ1007" s="73"/>
      <c r="BA1007" s="72">
        <v>-38187.264236687908</v>
      </c>
      <c r="BB1007" s="72">
        <v>0</v>
      </c>
      <c r="BC1007" s="73"/>
      <c r="BD1007" s="74">
        <v>-399.18041609876707</v>
      </c>
      <c r="BE1007" s="74">
        <v>0</v>
      </c>
      <c r="BF1007" s="73"/>
      <c r="BG1007" s="72">
        <v>10590459.804228807</v>
      </c>
      <c r="BH1007" s="72">
        <v>0</v>
      </c>
      <c r="BI1007" s="73"/>
      <c r="BJ1007" s="74">
        <v>-1490.4346413181815</v>
      </c>
      <c r="BK1007" s="74">
        <v>0</v>
      </c>
      <c r="BL1007" s="73"/>
      <c r="BM1007" s="72">
        <v>21907311.196721494</v>
      </c>
      <c r="BN1007" s="72">
        <v>0</v>
      </c>
      <c r="BO1007" s="73"/>
      <c r="BP1007" s="74">
        <v>-4967.5580858777812</v>
      </c>
      <c r="BQ1007" s="74">
        <v>0</v>
      </c>
      <c r="BS1007" s="109">
        <f t="shared" si="369"/>
        <v>114918.27268581231</v>
      </c>
      <c r="BT1007" s="109">
        <f t="shared" si="370"/>
        <v>115290.96694196136</v>
      </c>
      <c r="BV1007" s="58">
        <f t="array" ref="BV1007">SUM(IF(BS1007:BT1007&gt;=BS1007, 1))</f>
        <v>2</v>
      </c>
      <c r="BW1007" s="58">
        <f t="array" ref="BW1007">SUM(IF(BS1007:BT1007&gt;=BT1007, 1))</f>
        <v>1</v>
      </c>
      <c r="BY1007" s="109">
        <f t="shared" si="371"/>
        <v>133539.1299086319</v>
      </c>
      <c r="BZ1007" s="109">
        <f t="shared" si="372"/>
        <v>133887.82018097129</v>
      </c>
      <c r="CB1007" s="58">
        <f t="array" ref="CB1007">SUM(IF(BY1007:BZ1007&gt;=BY1007, 1))</f>
        <v>2</v>
      </c>
      <c r="CC1007" s="58">
        <f t="array" ref="CC1007">SUM(IF(BY1007:BZ1007&gt;=BZ1007, 1))</f>
        <v>1</v>
      </c>
      <c r="CE1007" s="109">
        <f t="shared" si="373"/>
        <v>92755.056185318332</v>
      </c>
      <c r="CF1007" s="109">
        <f t="shared" si="374"/>
        <v>94074.706784294322</v>
      </c>
      <c r="CH1007" s="58">
        <f t="array" ref="CH1007">SUM(IF(CE1007:CF1007&gt;=CE1007, 1))</f>
        <v>2</v>
      </c>
      <c r="CI1007" s="58">
        <f t="array" ref="CI1007">SUM(IF(CE1007:CF1007&gt;=CF1007, 1))</f>
        <v>1</v>
      </c>
      <c r="CK1007" s="109">
        <f t="shared" si="375"/>
        <v>47174.592219622093</v>
      </c>
      <c r="CL1007" s="109">
        <f t="shared" si="376"/>
        <v>48061.103834766953</v>
      </c>
      <c r="CN1007" s="58">
        <f t="array" ref="CN1007">SUM(IF(CK1007:CL1007&gt;=CK1007, 1))</f>
        <v>2</v>
      </c>
      <c r="CO1007" s="58">
        <f t="array" ref="CO1007">SUM(IF(CK1007:CL1007&gt;=CL1007, 1))</f>
        <v>1</v>
      </c>
      <c r="CQ1007" s="109" cm="1">
        <f t="array" ref="CQ1007">AF1007*WTP-AC1007</f>
        <v>28109.902426017521</v>
      </c>
      <c r="CR1007" s="109">
        <f t="shared" si="377"/>
        <v>30661.861615980655</v>
      </c>
      <c r="CT1007" s="58">
        <f t="array" ref="CT1007">SUM(IF(CQ1007:CR1007&gt;=CQ1007, 1))</f>
        <v>2</v>
      </c>
      <c r="CU1007" s="58">
        <f t="array" ref="CU1007">SUM(IF(CQ1007:CR1007&gt;=CR1007, 1))</f>
        <v>1</v>
      </c>
      <c r="CW1007" s="109">
        <f t="shared" si="378"/>
        <v>-40205028.649448</v>
      </c>
      <c r="CX1007" s="109">
        <f t="shared" si="379"/>
        <v>0</v>
      </c>
      <c r="CZ1007" s="58">
        <f t="array" ref="CZ1007">SUM(IF(CW1007:CX1007&gt;=CW1007, 1))</f>
        <v>2</v>
      </c>
      <c r="DA1007" s="58">
        <f t="array" ref="DA1007">SUM(IF(CW1007:CX1007&gt;=CX1007, 1))</f>
        <v>1</v>
      </c>
      <c r="DC1007" s="109">
        <f t="shared" si="380"/>
        <v>-2441087.7690091403</v>
      </c>
      <c r="DD1007" s="109">
        <f t="shared" si="381"/>
        <v>0</v>
      </c>
      <c r="DF1007" s="58">
        <f t="array" ref="DF1007">SUM(IF(DC1007:DD1007&gt;=DC1007, 1))</f>
        <v>2</v>
      </c>
      <c r="DG1007" s="58">
        <f t="array" ref="DG1007">SUM(IF(DC1007:DD1007&gt;=DD1007, 1))</f>
        <v>1</v>
      </c>
      <c r="DI1007" s="109">
        <f t="shared" si="382"/>
        <v>-30267782.807488885</v>
      </c>
      <c r="DJ1007" s="109">
        <f t="shared" si="383"/>
        <v>0</v>
      </c>
      <c r="DL1007" s="58">
        <f t="array" ref="DL1007">SUM(IF(DI1007:DJ1007&gt;=DI1007, 1))</f>
        <v>2</v>
      </c>
      <c r="DM1007" s="58">
        <f t="array" ref="DM1007">SUM(IF(DI1007:DJ1007&gt;=DJ1007, 1))</f>
        <v>1</v>
      </c>
      <c r="DO1007" s="109">
        <f t="shared" si="384"/>
        <v>-7945421.0577386534</v>
      </c>
      <c r="DP1007" s="109">
        <f t="shared" si="385"/>
        <v>0</v>
      </c>
      <c r="DR1007" s="58">
        <f t="array" ref="DR1007">SUM(IF(DO1007:DP1007&gt;=DO1007, 1))</f>
        <v>2</v>
      </c>
      <c r="DS1007" s="58">
        <f t="array" ref="DS1007">SUM(IF(DO1007:DP1007&gt;=DP1007, 1))</f>
        <v>1</v>
      </c>
      <c r="DU1007" s="109">
        <f t="shared" si="386"/>
        <v>-40399152.630592436</v>
      </c>
      <c r="DV1007" s="109">
        <f t="shared" si="387"/>
        <v>0</v>
      </c>
      <c r="DX1007" s="58">
        <f t="array" ref="DX1007">SUM(IF(DU1007:DV1007&gt;=DU1007, 1))</f>
        <v>2</v>
      </c>
      <c r="DY1007" s="58">
        <f t="array" ref="DY1007">SUM(IF(DU1007:DV1007&gt;=DV1007, 1))</f>
        <v>1</v>
      </c>
      <c r="EA1007" s="109">
        <f t="shared" si="388"/>
        <v>-121258472.91427712</v>
      </c>
      <c r="EB1007" s="109">
        <f t="shared" si="389"/>
        <v>0</v>
      </c>
      <c r="ED1007" s="58">
        <f t="array" ref="ED1007">SUM(IF(EA1007:EB1007&gt;=EA1007, 1))</f>
        <v>2</v>
      </c>
      <c r="EE1007" s="58">
        <f t="array" ref="EE1007">SUM(IF(EA1007:EB1007&gt;=EB1007, 1))</f>
        <v>1</v>
      </c>
    </row>
    <row r="1008" spans="4:135" ht="12" customHeight="1" x14ac:dyDescent="0.25">
      <c r="D1008" s="11">
        <v>992</v>
      </c>
      <c r="E1008" s="72">
        <v>307.2503278472048</v>
      </c>
      <c r="F1008" s="72">
        <v>263.80599060332912</v>
      </c>
      <c r="G1008" s="73"/>
      <c r="H1008" s="74">
        <v>5.8440381412386033</v>
      </c>
      <c r="I1008" s="74">
        <v>5.8619310628140324</v>
      </c>
      <c r="J1008" s="73"/>
      <c r="K1008" s="72">
        <v>328.8943607666655</v>
      </c>
      <c r="L1008" s="72">
        <v>284.44589991469383</v>
      </c>
      <c r="M1008" s="73"/>
      <c r="N1008" s="74">
        <v>6.701521722818419</v>
      </c>
      <c r="O1008" s="74">
        <v>6.7169457100208234</v>
      </c>
      <c r="P1008" s="73"/>
      <c r="Q1008" s="72">
        <v>1728.2133757258221</v>
      </c>
      <c r="R1008" s="72">
        <v>1207.8512144889114</v>
      </c>
      <c r="S1008" s="73"/>
      <c r="T1008" s="74">
        <v>4.9113799072032469</v>
      </c>
      <c r="U1008" s="74">
        <v>4.9588925887371529</v>
      </c>
      <c r="V1008" s="73"/>
      <c r="W1008" s="72">
        <v>10113.18341958659</v>
      </c>
      <c r="X1008" s="72">
        <v>10223.258778945228</v>
      </c>
      <c r="Y1008" s="73"/>
      <c r="Z1008" s="74">
        <v>2.8905291098721975</v>
      </c>
      <c r="AA1008" s="74">
        <v>2.98220774667017</v>
      </c>
      <c r="AB1008" s="73"/>
      <c r="AC1008" s="72">
        <v>49197.264946129893</v>
      </c>
      <c r="AD1008" s="72">
        <v>49003.437636779301</v>
      </c>
      <c r="AE1008" s="73"/>
      <c r="AF1008" s="74">
        <v>4.4645637739110704</v>
      </c>
      <c r="AG1008" s="74">
        <v>4.5659662645699957</v>
      </c>
      <c r="AH1008" s="73"/>
      <c r="AI1008" s="72">
        <v>4646653.5811261507</v>
      </c>
      <c r="AJ1008" s="72">
        <v>0</v>
      </c>
      <c r="AK1008" s="73"/>
      <c r="AL1008" s="74">
        <v>-1913.7639883549493</v>
      </c>
      <c r="AM1008" s="74">
        <v>0</v>
      </c>
      <c r="AN1008" s="73"/>
      <c r="AO1008" s="72">
        <v>310004.61594156432</v>
      </c>
      <c r="AP1008" s="72">
        <v>0</v>
      </c>
      <c r="AQ1008" s="73"/>
      <c r="AR1008" s="74">
        <v>-107.57419126149324</v>
      </c>
      <c r="AS1008" s="74">
        <v>0</v>
      </c>
      <c r="AT1008" s="73"/>
      <c r="AU1008" s="72">
        <v>12156101.822201133</v>
      </c>
      <c r="AV1008" s="72">
        <v>0</v>
      </c>
      <c r="AW1008" s="73"/>
      <c r="AX1008" s="74">
        <v>-1109.9365741718887</v>
      </c>
      <c r="AY1008" s="74">
        <v>0</v>
      </c>
      <c r="AZ1008" s="73"/>
      <c r="BA1008" s="72">
        <v>-969307.36486691772</v>
      </c>
      <c r="BB1008" s="72">
        <v>0</v>
      </c>
      <c r="BC1008" s="73"/>
      <c r="BD1008" s="74">
        <v>-807.30854177548133</v>
      </c>
      <c r="BE1008" s="74">
        <v>0</v>
      </c>
      <c r="BF1008" s="73"/>
      <c r="BG1008" s="72">
        <v>3159294.8933882802</v>
      </c>
      <c r="BH1008" s="72">
        <v>0</v>
      </c>
      <c r="BI1008" s="73"/>
      <c r="BJ1008" s="74">
        <v>-1652.8133831550629</v>
      </c>
      <c r="BK1008" s="74">
        <v>0</v>
      </c>
      <c r="BL1008" s="73"/>
      <c r="BM1008" s="72">
        <v>19302747.547790211</v>
      </c>
      <c r="BN1008" s="72">
        <v>0</v>
      </c>
      <c r="BO1008" s="73"/>
      <c r="BP1008" s="74">
        <v>-5591.3966787188756</v>
      </c>
      <c r="BQ1008" s="74">
        <v>0</v>
      </c>
      <c r="BS1008" s="109">
        <f t="shared" si="369"/>
        <v>116573.51249692487</v>
      </c>
      <c r="BT1008" s="109">
        <f t="shared" si="370"/>
        <v>116974.81526567732</v>
      </c>
      <c r="BV1008" s="58">
        <f t="array" ref="BV1008">SUM(IF(BS1008:BT1008&gt;=BS1008, 1))</f>
        <v>2</v>
      </c>
      <c r="BW1008" s="58">
        <f t="array" ref="BW1008">SUM(IF(BS1008:BT1008&gt;=BT1008, 1))</f>
        <v>1</v>
      </c>
      <c r="BY1008" s="109">
        <f t="shared" si="371"/>
        <v>133701.54009560173</v>
      </c>
      <c r="BZ1008" s="109">
        <f t="shared" si="372"/>
        <v>134054.46830050179</v>
      </c>
      <c r="CB1008" s="58">
        <f t="array" ref="CB1008">SUM(IF(BY1008:BZ1008&gt;=BY1008, 1))</f>
        <v>2</v>
      </c>
      <c r="CC1008" s="58">
        <f t="array" ref="CC1008">SUM(IF(BY1008:BZ1008&gt;=BZ1008, 1))</f>
        <v>1</v>
      </c>
      <c r="CE1008" s="109">
        <f t="shared" si="373"/>
        <v>96499.384768339107</v>
      </c>
      <c r="CF1008" s="109">
        <f t="shared" si="374"/>
        <v>97970.00056025415</v>
      </c>
      <c r="CH1008" s="58">
        <f t="array" ref="CH1008">SUM(IF(CE1008:CF1008&gt;=CE1008, 1))</f>
        <v>2</v>
      </c>
      <c r="CI1008" s="58">
        <f t="array" ref="CI1008">SUM(IF(CE1008:CF1008&gt;=CF1008, 1))</f>
        <v>1</v>
      </c>
      <c r="CK1008" s="109">
        <f t="shared" si="375"/>
        <v>47697.398777857357</v>
      </c>
      <c r="CL1008" s="109">
        <f t="shared" si="376"/>
        <v>49420.896154458169</v>
      </c>
      <c r="CN1008" s="58">
        <f t="array" ref="CN1008">SUM(IF(CK1008:CL1008&gt;=CK1008, 1))</f>
        <v>2</v>
      </c>
      <c r="CO1008" s="58">
        <f t="array" ref="CO1008">SUM(IF(CK1008:CL1008&gt;=CL1008, 1))</f>
        <v>1</v>
      </c>
      <c r="CQ1008" s="109" cm="1">
        <f t="array" ref="CQ1008">AF1008*WTP-AC1008</f>
        <v>40094.01053209151</v>
      </c>
      <c r="CR1008" s="109">
        <f t="shared" si="377"/>
        <v>42315.887654620616</v>
      </c>
      <c r="CT1008" s="58">
        <f t="array" ref="CT1008">SUM(IF(CQ1008:CR1008&gt;=CQ1008, 1))</f>
        <v>2</v>
      </c>
      <c r="CU1008" s="58">
        <f t="array" ref="CU1008">SUM(IF(CQ1008:CR1008&gt;=CR1008, 1))</f>
        <v>1</v>
      </c>
      <c r="CW1008" s="109">
        <f t="shared" si="378"/>
        <v>-42921933.348225139</v>
      </c>
      <c r="CX1008" s="109">
        <f t="shared" si="379"/>
        <v>0</v>
      </c>
      <c r="CZ1008" s="58">
        <f t="array" ref="CZ1008">SUM(IF(CW1008:CX1008&gt;=CW1008, 1))</f>
        <v>2</v>
      </c>
      <c r="DA1008" s="58">
        <f t="array" ref="DA1008">SUM(IF(CW1008:CX1008&gt;=CX1008, 1))</f>
        <v>1</v>
      </c>
      <c r="DC1008" s="109">
        <f t="shared" si="380"/>
        <v>-2461488.4411714291</v>
      </c>
      <c r="DD1008" s="109">
        <f t="shared" si="381"/>
        <v>0</v>
      </c>
      <c r="DF1008" s="58">
        <f t="array" ref="DF1008">SUM(IF(DC1008:DD1008&gt;=DC1008, 1))</f>
        <v>2</v>
      </c>
      <c r="DG1008" s="58">
        <f t="array" ref="DG1008">SUM(IF(DC1008:DD1008&gt;=DD1008, 1))</f>
        <v>1</v>
      </c>
      <c r="DI1008" s="109">
        <f t="shared" si="382"/>
        <v>-34354833.305638909</v>
      </c>
      <c r="DJ1008" s="109">
        <f t="shared" si="383"/>
        <v>0</v>
      </c>
      <c r="DL1008" s="58">
        <f t="array" ref="DL1008">SUM(IF(DI1008:DJ1008&gt;=DI1008, 1))</f>
        <v>2</v>
      </c>
      <c r="DM1008" s="58">
        <f t="array" ref="DM1008">SUM(IF(DI1008:DJ1008&gt;=DJ1008, 1))</f>
        <v>1</v>
      </c>
      <c r="DO1008" s="109">
        <f t="shared" si="384"/>
        <v>-15176863.470642708</v>
      </c>
      <c r="DP1008" s="109">
        <f t="shared" si="385"/>
        <v>0</v>
      </c>
      <c r="DR1008" s="58">
        <f t="array" ref="DR1008">SUM(IF(DO1008:DP1008&gt;=DO1008, 1))</f>
        <v>2</v>
      </c>
      <c r="DS1008" s="58">
        <f t="array" ref="DS1008">SUM(IF(DO1008:DP1008&gt;=DP1008, 1))</f>
        <v>1</v>
      </c>
      <c r="DU1008" s="109">
        <f t="shared" si="386"/>
        <v>-36215562.556489535</v>
      </c>
      <c r="DV1008" s="109">
        <f t="shared" si="387"/>
        <v>0</v>
      </c>
      <c r="DX1008" s="58">
        <f t="array" ref="DX1008">SUM(IF(DU1008:DV1008&gt;=DU1008, 1))</f>
        <v>2</v>
      </c>
      <c r="DY1008" s="58">
        <f t="array" ref="DY1008">SUM(IF(DU1008:DV1008&gt;=DV1008, 1))</f>
        <v>1</v>
      </c>
      <c r="EA1008" s="109">
        <f t="shared" si="388"/>
        <v>-131130681.12216772</v>
      </c>
      <c r="EB1008" s="109">
        <f t="shared" si="389"/>
        <v>0</v>
      </c>
      <c r="ED1008" s="58">
        <f t="array" ref="ED1008">SUM(IF(EA1008:EB1008&gt;=EA1008, 1))</f>
        <v>2</v>
      </c>
      <c r="EE1008" s="58">
        <f t="array" ref="EE1008">SUM(IF(EA1008:EB1008&gt;=EB1008, 1))</f>
        <v>1</v>
      </c>
    </row>
    <row r="1009" spans="4:135" ht="12" customHeight="1" x14ac:dyDescent="0.25">
      <c r="D1009" s="11">
        <v>993</v>
      </c>
      <c r="E1009" s="72">
        <v>311.80493947694731</v>
      </c>
      <c r="F1009" s="72">
        <v>286.65524257571167</v>
      </c>
      <c r="G1009" s="73"/>
      <c r="H1009" s="74">
        <v>5.8939051439107919</v>
      </c>
      <c r="I1009" s="74">
        <v>5.9109933881872392</v>
      </c>
      <c r="J1009" s="73"/>
      <c r="K1009" s="72">
        <v>334.86242793812119</v>
      </c>
      <c r="L1009" s="72">
        <v>309.11058921078444</v>
      </c>
      <c r="M1009" s="73"/>
      <c r="N1009" s="74">
        <v>6.6816663621841847</v>
      </c>
      <c r="O1009" s="74">
        <v>6.6966727398417918</v>
      </c>
      <c r="P1009" s="73"/>
      <c r="Q1009" s="72">
        <v>1973.0291547218296</v>
      </c>
      <c r="R1009" s="72">
        <v>1490.6693580068952</v>
      </c>
      <c r="S1009" s="73"/>
      <c r="T1009" s="74">
        <v>4.9517530330111068</v>
      </c>
      <c r="U1009" s="74">
        <v>5.0033599734465088</v>
      </c>
      <c r="V1009" s="73"/>
      <c r="W1009" s="72">
        <v>11294.854907742483</v>
      </c>
      <c r="X1009" s="72">
        <v>11309.706181880214</v>
      </c>
      <c r="Y1009" s="73"/>
      <c r="Z1009" s="74">
        <v>3.1308987933478778</v>
      </c>
      <c r="AA1009" s="74">
        <v>3.2009776932090004</v>
      </c>
      <c r="AB1009" s="73"/>
      <c r="AC1009" s="72">
        <v>50172.355146603091</v>
      </c>
      <c r="AD1009" s="72">
        <v>50162.983258045628</v>
      </c>
      <c r="AE1009" s="73"/>
      <c r="AF1009" s="74">
        <v>5.0749316414376731</v>
      </c>
      <c r="AG1009" s="74">
        <v>5.1299764794640748</v>
      </c>
      <c r="AH1009" s="73"/>
      <c r="AI1009" s="72">
        <v>2689120.1509283241</v>
      </c>
      <c r="AJ1009" s="72">
        <v>0</v>
      </c>
      <c r="AK1009" s="73"/>
      <c r="AL1009" s="74">
        <v>-1827.1529159272802</v>
      </c>
      <c r="AM1009" s="74">
        <v>0</v>
      </c>
      <c r="AN1009" s="73"/>
      <c r="AO1009" s="72">
        <v>183084.89792426678</v>
      </c>
      <c r="AP1009" s="72">
        <v>0</v>
      </c>
      <c r="AQ1009" s="73"/>
      <c r="AR1009" s="74">
        <v>-106.68912425035688</v>
      </c>
      <c r="AS1009" s="74">
        <v>0</v>
      </c>
      <c r="AT1009" s="73"/>
      <c r="AU1009" s="72">
        <v>11090702.093742758</v>
      </c>
      <c r="AV1009" s="72">
        <v>0</v>
      </c>
      <c r="AW1009" s="73"/>
      <c r="AX1009" s="74">
        <v>-1186.5773355005031</v>
      </c>
      <c r="AY1009" s="74">
        <v>0</v>
      </c>
      <c r="AZ1009" s="73"/>
      <c r="BA1009" s="72">
        <v>-135014.39424700689</v>
      </c>
      <c r="BB1009" s="72">
        <v>0</v>
      </c>
      <c r="BC1009" s="73"/>
      <c r="BD1009" s="74">
        <v>-637.09417296446304</v>
      </c>
      <c r="BE1009" s="74">
        <v>0</v>
      </c>
      <c r="BF1009" s="73"/>
      <c r="BG1009" s="72">
        <v>144126.15430693992</v>
      </c>
      <c r="BH1009" s="72">
        <v>0</v>
      </c>
      <c r="BI1009" s="73"/>
      <c r="BJ1009" s="74">
        <v>-846.51036667265168</v>
      </c>
      <c r="BK1009" s="74">
        <v>0</v>
      </c>
      <c r="BL1009" s="73"/>
      <c r="BM1009" s="72">
        <v>13972018.902655283</v>
      </c>
      <c r="BN1009" s="72">
        <v>0</v>
      </c>
      <c r="BO1009" s="73"/>
      <c r="BP1009" s="74">
        <v>-4604.0239153152552</v>
      </c>
      <c r="BQ1009" s="74">
        <v>0</v>
      </c>
      <c r="BS1009" s="109">
        <f t="shared" si="369"/>
        <v>117566.29793873889</v>
      </c>
      <c r="BT1009" s="109">
        <f t="shared" si="370"/>
        <v>117933.21252116907</v>
      </c>
      <c r="BV1009" s="58">
        <f t="array" ref="BV1009">SUM(IF(BS1009:BT1009&gt;=BS1009, 1))</f>
        <v>2</v>
      </c>
      <c r="BW1009" s="58">
        <f t="array" ref="BW1009">SUM(IF(BS1009:BT1009&gt;=BT1009, 1))</f>
        <v>1</v>
      </c>
      <c r="BY1009" s="109">
        <f t="shared" si="371"/>
        <v>133298.46481574557</v>
      </c>
      <c r="BZ1009" s="109">
        <f t="shared" si="372"/>
        <v>133624.34420762505</v>
      </c>
      <c r="CB1009" s="58">
        <f t="array" ref="CB1009">SUM(IF(BY1009:BZ1009&gt;=BY1009, 1))</f>
        <v>2</v>
      </c>
      <c r="CC1009" s="58">
        <f t="array" ref="CC1009">SUM(IF(BY1009:BZ1009&gt;=BZ1009, 1))</f>
        <v>1</v>
      </c>
      <c r="CE1009" s="109">
        <f t="shared" si="373"/>
        <v>97062.031505500301</v>
      </c>
      <c r="CF1009" s="109">
        <f t="shared" si="374"/>
        <v>98576.530110923282</v>
      </c>
      <c r="CH1009" s="58">
        <f t="array" ref="CH1009">SUM(IF(CE1009:CF1009&gt;=CE1009, 1))</f>
        <v>2</v>
      </c>
      <c r="CI1009" s="58">
        <f t="array" ref="CI1009">SUM(IF(CE1009:CF1009&gt;=CF1009, 1))</f>
        <v>1</v>
      </c>
      <c r="CK1009" s="109">
        <f t="shared" si="375"/>
        <v>51323.12095921507</v>
      </c>
      <c r="CL1009" s="109">
        <f t="shared" si="376"/>
        <v>52709.847682299791</v>
      </c>
      <c r="CN1009" s="58">
        <f t="array" ref="CN1009">SUM(IF(CK1009:CL1009&gt;=CK1009, 1))</f>
        <v>2</v>
      </c>
      <c r="CO1009" s="58">
        <f t="array" ref="CO1009">SUM(IF(CK1009:CL1009&gt;=CL1009, 1))</f>
        <v>1</v>
      </c>
      <c r="CQ1009" s="109" cm="1">
        <f t="array" ref="CQ1009">AF1009*WTP-AC1009</f>
        <v>51326.277682150365</v>
      </c>
      <c r="CR1009" s="109">
        <f t="shared" si="377"/>
        <v>52436.546331235862</v>
      </c>
      <c r="CT1009" s="58">
        <f t="array" ref="CT1009">SUM(IF(CQ1009:CR1009&gt;=CQ1009, 1))</f>
        <v>2</v>
      </c>
      <c r="CU1009" s="58">
        <f t="array" ref="CU1009">SUM(IF(CQ1009:CR1009&gt;=CR1009, 1))</f>
        <v>1</v>
      </c>
      <c r="CW1009" s="109">
        <f t="shared" si="378"/>
        <v>-39232178.469473928</v>
      </c>
      <c r="CX1009" s="109">
        <f t="shared" si="379"/>
        <v>0</v>
      </c>
      <c r="CZ1009" s="58">
        <f t="array" ref="CZ1009">SUM(IF(CW1009:CX1009&gt;=CW1009, 1))</f>
        <v>2</v>
      </c>
      <c r="DA1009" s="58">
        <f t="array" ref="DA1009">SUM(IF(CW1009:CX1009&gt;=CX1009, 1))</f>
        <v>1</v>
      </c>
      <c r="DC1009" s="109">
        <f t="shared" si="380"/>
        <v>-2316867.3829314043</v>
      </c>
      <c r="DD1009" s="109">
        <f t="shared" si="381"/>
        <v>0</v>
      </c>
      <c r="DF1009" s="58">
        <f t="array" ref="DF1009">SUM(IF(DC1009:DD1009&gt;=DC1009, 1))</f>
        <v>2</v>
      </c>
      <c r="DG1009" s="58">
        <f t="array" ref="DG1009">SUM(IF(DC1009:DD1009&gt;=DD1009, 1))</f>
        <v>1</v>
      </c>
      <c r="DI1009" s="109">
        <f t="shared" si="382"/>
        <v>-34822248.803752825</v>
      </c>
      <c r="DJ1009" s="109">
        <f t="shared" si="383"/>
        <v>0</v>
      </c>
      <c r="DL1009" s="58">
        <f t="array" ref="DL1009">SUM(IF(DI1009:DJ1009&gt;=DI1009, 1))</f>
        <v>2</v>
      </c>
      <c r="DM1009" s="58">
        <f t="array" ref="DM1009">SUM(IF(DI1009:DJ1009&gt;=DJ1009, 1))</f>
        <v>1</v>
      </c>
      <c r="DO1009" s="109">
        <f t="shared" si="384"/>
        <v>-12606869.065042254</v>
      </c>
      <c r="DP1009" s="109">
        <f t="shared" si="385"/>
        <v>0</v>
      </c>
      <c r="DR1009" s="58">
        <f t="array" ref="DR1009">SUM(IF(DO1009:DP1009&gt;=DO1009, 1))</f>
        <v>2</v>
      </c>
      <c r="DS1009" s="58">
        <f t="array" ref="DS1009">SUM(IF(DO1009:DP1009&gt;=DP1009, 1))</f>
        <v>1</v>
      </c>
      <c r="DU1009" s="109">
        <f t="shared" si="386"/>
        <v>-17074333.487759974</v>
      </c>
      <c r="DV1009" s="109">
        <f t="shared" si="387"/>
        <v>0</v>
      </c>
      <c r="DX1009" s="58">
        <f t="array" ref="DX1009">SUM(IF(DU1009:DV1009&gt;=DU1009, 1))</f>
        <v>2</v>
      </c>
      <c r="DY1009" s="58">
        <f t="array" ref="DY1009">SUM(IF(DU1009:DV1009&gt;=DV1009, 1))</f>
        <v>1</v>
      </c>
      <c r="EA1009" s="109">
        <f t="shared" si="388"/>
        <v>-106052497.2089604</v>
      </c>
      <c r="EB1009" s="109">
        <f t="shared" si="389"/>
        <v>0</v>
      </c>
      <c r="ED1009" s="58">
        <f t="array" ref="ED1009">SUM(IF(EA1009:EB1009&gt;=EA1009, 1))</f>
        <v>2</v>
      </c>
      <c r="EE1009" s="58">
        <f t="array" ref="EE1009">SUM(IF(EA1009:EB1009&gt;=EB1009, 1))</f>
        <v>1</v>
      </c>
    </row>
    <row r="1010" spans="4:135" ht="12" customHeight="1" x14ac:dyDescent="0.25">
      <c r="D1010" s="11">
        <v>994</v>
      </c>
      <c r="E1010" s="72">
        <v>240.86668654768792</v>
      </c>
      <c r="F1010" s="72">
        <v>212.31838799728189</v>
      </c>
      <c r="G1010" s="73"/>
      <c r="H1010" s="74">
        <v>5.8685496977220613</v>
      </c>
      <c r="I1010" s="74">
        <v>5.8885596237697388</v>
      </c>
      <c r="J1010" s="73"/>
      <c r="K1010" s="72">
        <v>258.14674562252509</v>
      </c>
      <c r="L1010" s="72">
        <v>228.93032725969027</v>
      </c>
      <c r="M1010" s="73"/>
      <c r="N1010" s="74">
        <v>6.7216265446701797</v>
      </c>
      <c r="O1010" s="74">
        <v>6.7397618337545024</v>
      </c>
      <c r="P1010" s="73"/>
      <c r="Q1010" s="72">
        <v>2583.7767974515655</v>
      </c>
      <c r="R1010" s="72">
        <v>1224.2067049289594</v>
      </c>
      <c r="S1010" s="73"/>
      <c r="T1010" s="74">
        <v>4.882099673348935</v>
      </c>
      <c r="U1010" s="74">
        <v>5.0050983366271931</v>
      </c>
      <c r="V1010" s="73"/>
      <c r="W1010" s="72">
        <v>11096.549037162515</v>
      </c>
      <c r="X1010" s="72">
        <v>11105.468849331091</v>
      </c>
      <c r="Y1010" s="73"/>
      <c r="Z1010" s="74">
        <v>3.1808588942170326</v>
      </c>
      <c r="AA1010" s="74">
        <v>3.2441355727737906</v>
      </c>
      <c r="AB1010" s="73"/>
      <c r="AC1010" s="72">
        <v>51297.006137427983</v>
      </c>
      <c r="AD1010" s="72">
        <v>51057.8476381277</v>
      </c>
      <c r="AE1010" s="73"/>
      <c r="AF1010" s="74">
        <v>4.4075769660352098</v>
      </c>
      <c r="AG1010" s="74">
        <v>4.5582470895664544</v>
      </c>
      <c r="AH1010" s="73"/>
      <c r="AI1010" s="72">
        <v>3059719.7721230448</v>
      </c>
      <c r="AJ1010" s="72">
        <v>0</v>
      </c>
      <c r="AK1010" s="73"/>
      <c r="AL1010" s="74">
        <v>-2144.6029877646874</v>
      </c>
      <c r="AM1010" s="74">
        <v>0</v>
      </c>
      <c r="AN1010" s="73"/>
      <c r="AO1010" s="72">
        <v>203385.72935897851</v>
      </c>
      <c r="AP1010" s="72">
        <v>0</v>
      </c>
      <c r="AQ1010" s="73"/>
      <c r="AR1010" s="74">
        <v>-126.24610421936102</v>
      </c>
      <c r="AS1010" s="74">
        <v>0</v>
      </c>
      <c r="AT1010" s="73"/>
      <c r="AU1010" s="72">
        <v>31752555.994046673</v>
      </c>
      <c r="AV1010" s="72">
        <v>0</v>
      </c>
      <c r="AW1010" s="73"/>
      <c r="AX1010" s="74">
        <v>-2872.6153689430635</v>
      </c>
      <c r="AY1010" s="74">
        <v>0</v>
      </c>
      <c r="AZ1010" s="73"/>
      <c r="BA1010" s="72">
        <v>-81637.955947801325</v>
      </c>
      <c r="BB1010" s="72">
        <v>0</v>
      </c>
      <c r="BC1010" s="73"/>
      <c r="BD1010" s="74">
        <v>-579.13536730494252</v>
      </c>
      <c r="BE1010" s="74">
        <v>0</v>
      </c>
      <c r="BF1010" s="73"/>
      <c r="BG1010" s="72">
        <v>3765104.2027128418</v>
      </c>
      <c r="BH1010" s="72">
        <v>0</v>
      </c>
      <c r="BI1010" s="73"/>
      <c r="BJ1010" s="74">
        <v>-2372.0198821722574</v>
      </c>
      <c r="BK1010" s="74">
        <v>0</v>
      </c>
      <c r="BL1010" s="73"/>
      <c r="BM1010" s="72">
        <v>38699127.742293738</v>
      </c>
      <c r="BN1010" s="72">
        <v>0</v>
      </c>
      <c r="BO1010" s="73"/>
      <c r="BP1010" s="74">
        <v>-8094.6197104043113</v>
      </c>
      <c r="BQ1010" s="74">
        <v>0</v>
      </c>
      <c r="BS1010" s="109">
        <f t="shared" si="369"/>
        <v>117130.12726789353</v>
      </c>
      <c r="BT1010" s="109">
        <f t="shared" si="370"/>
        <v>117558.8740873975</v>
      </c>
      <c r="BV1010" s="58">
        <f t="array" ref="BV1010">SUM(IF(BS1010:BT1010&gt;=BS1010, 1))</f>
        <v>2</v>
      </c>
      <c r="BW1010" s="58">
        <f t="array" ref="BW1010">SUM(IF(BS1010:BT1010&gt;=BT1010, 1))</f>
        <v>1</v>
      </c>
      <c r="BY1010" s="109">
        <f t="shared" si="371"/>
        <v>134174.38414778106</v>
      </c>
      <c r="BZ1010" s="109">
        <f t="shared" si="372"/>
        <v>134566.30634783034</v>
      </c>
      <c r="CB1010" s="58">
        <f t="array" ref="CB1010">SUM(IF(BY1010:BZ1010&gt;=BY1010, 1))</f>
        <v>2</v>
      </c>
      <c r="CC1010" s="58">
        <f t="array" ref="CC1010">SUM(IF(BY1010:BZ1010&gt;=BZ1010, 1))</f>
        <v>1</v>
      </c>
      <c r="CE1010" s="109">
        <f t="shared" si="373"/>
        <v>95058.216669527144</v>
      </c>
      <c r="CF1010" s="109">
        <f t="shared" si="374"/>
        <v>98877.760027614902</v>
      </c>
      <c r="CH1010" s="58">
        <f t="array" ref="CH1010">SUM(IF(CE1010:CF1010&gt;=CE1010, 1))</f>
        <v>2</v>
      </c>
      <c r="CI1010" s="58">
        <f t="array" ref="CI1010">SUM(IF(CE1010:CF1010&gt;=CF1010, 1))</f>
        <v>1</v>
      </c>
      <c r="CK1010" s="109">
        <f t="shared" si="375"/>
        <v>52520.628847178137</v>
      </c>
      <c r="CL1010" s="109">
        <f t="shared" si="376"/>
        <v>53777.242606144726</v>
      </c>
      <c r="CN1010" s="58">
        <f t="array" ref="CN1010">SUM(IF(CK1010:CL1010&gt;=CK1010, 1))</f>
        <v>2</v>
      </c>
      <c r="CO1010" s="58">
        <f t="array" ref="CO1010">SUM(IF(CK1010:CL1010&gt;=CL1010, 1))</f>
        <v>1</v>
      </c>
      <c r="CQ1010" s="109" cm="1">
        <f t="array" ref="CQ1010">AF1010*WTP-AC1010</f>
        <v>36854.533183276209</v>
      </c>
      <c r="CR1010" s="109">
        <f t="shared" si="377"/>
        <v>40107.094153201382</v>
      </c>
      <c r="CT1010" s="58">
        <f t="array" ref="CT1010">SUM(IF(CQ1010:CR1010&gt;=CQ1010, 1))</f>
        <v>2</v>
      </c>
      <c r="CU1010" s="58">
        <f t="array" ref="CU1010">SUM(IF(CQ1010:CR1010&gt;=CR1010, 1))</f>
        <v>1</v>
      </c>
      <c r="CW1010" s="109">
        <f t="shared" si="378"/>
        <v>-45951779.527416795</v>
      </c>
      <c r="CX1010" s="109">
        <f t="shared" si="379"/>
        <v>0</v>
      </c>
      <c r="CZ1010" s="58">
        <f t="array" ref="CZ1010">SUM(IF(CW1010:CX1010&gt;=CW1010, 1))</f>
        <v>2</v>
      </c>
      <c r="DA1010" s="58">
        <f t="array" ref="DA1010">SUM(IF(CW1010:CX1010&gt;=CX1010, 1))</f>
        <v>1</v>
      </c>
      <c r="DC1010" s="109">
        <f t="shared" si="380"/>
        <v>-2728307.813746199</v>
      </c>
      <c r="DD1010" s="109">
        <f t="shared" si="381"/>
        <v>0</v>
      </c>
      <c r="DF1010" s="58">
        <f t="array" ref="DF1010">SUM(IF(DC1010:DD1010&gt;=DC1010, 1))</f>
        <v>2</v>
      </c>
      <c r="DG1010" s="58">
        <f t="array" ref="DG1010">SUM(IF(DC1010:DD1010&gt;=DD1010, 1))</f>
        <v>1</v>
      </c>
      <c r="DI1010" s="109">
        <f t="shared" si="382"/>
        <v>-89204863.372907937</v>
      </c>
      <c r="DJ1010" s="109">
        <f t="shared" si="383"/>
        <v>0</v>
      </c>
      <c r="DL1010" s="58">
        <f t="array" ref="DL1010">SUM(IF(DI1010:DJ1010&gt;=DI1010, 1))</f>
        <v>2</v>
      </c>
      <c r="DM1010" s="58">
        <f t="array" ref="DM1010">SUM(IF(DI1010:DJ1010&gt;=DJ1010, 1))</f>
        <v>1</v>
      </c>
      <c r="DO1010" s="109">
        <f t="shared" si="384"/>
        <v>-11501069.390151048</v>
      </c>
      <c r="DP1010" s="109">
        <f t="shared" si="385"/>
        <v>0</v>
      </c>
      <c r="DR1010" s="58">
        <f t="array" ref="DR1010">SUM(IF(DO1010:DP1010&gt;=DO1010, 1))</f>
        <v>2</v>
      </c>
      <c r="DS1010" s="58">
        <f t="array" ref="DS1010">SUM(IF(DO1010:DP1010&gt;=DP1010, 1))</f>
        <v>1</v>
      </c>
      <c r="DU1010" s="109">
        <f t="shared" si="386"/>
        <v>-51205501.84615799</v>
      </c>
      <c r="DV1010" s="109">
        <f t="shared" si="387"/>
        <v>0</v>
      </c>
      <c r="DX1010" s="58">
        <f t="array" ref="DX1010">SUM(IF(DU1010:DV1010&gt;=DU1010, 1))</f>
        <v>2</v>
      </c>
      <c r="DY1010" s="58">
        <f t="array" ref="DY1010">SUM(IF(DU1010:DV1010&gt;=DV1010, 1))</f>
        <v>1</v>
      </c>
      <c r="EA1010" s="109">
        <f t="shared" si="388"/>
        <v>-200591521.95037997</v>
      </c>
      <c r="EB1010" s="109">
        <f t="shared" si="389"/>
        <v>0</v>
      </c>
      <c r="ED1010" s="58">
        <f t="array" ref="ED1010">SUM(IF(EA1010:EB1010&gt;=EA1010, 1))</f>
        <v>2</v>
      </c>
      <c r="EE1010" s="58">
        <f t="array" ref="EE1010">SUM(IF(EA1010:EB1010&gt;=EB1010, 1))</f>
        <v>1</v>
      </c>
    </row>
    <row r="1011" spans="4:135" ht="12" customHeight="1" x14ac:dyDescent="0.25">
      <c r="D1011" s="11">
        <v>995</v>
      </c>
      <c r="E1011" s="72">
        <v>197.20551228373853</v>
      </c>
      <c r="F1011" s="72">
        <v>171.00654574979058</v>
      </c>
      <c r="G1011" s="73"/>
      <c r="H1011" s="74">
        <v>5.8709289615491098</v>
      </c>
      <c r="I1011" s="74">
        <v>5.8874229065462025</v>
      </c>
      <c r="J1011" s="73"/>
      <c r="K1011" s="72">
        <v>211.1517597275589</v>
      </c>
      <c r="L1011" s="72">
        <v>184.34568114096959</v>
      </c>
      <c r="M1011" s="73"/>
      <c r="N1011" s="74">
        <v>6.6990700147860469</v>
      </c>
      <c r="O1011" s="74">
        <v>6.7131042119625501</v>
      </c>
      <c r="P1011" s="73"/>
      <c r="Q1011" s="72">
        <v>1676.178878270639</v>
      </c>
      <c r="R1011" s="72">
        <v>1025.0280078178937</v>
      </c>
      <c r="S1011" s="73"/>
      <c r="T1011" s="74">
        <v>4.8657964244026601</v>
      </c>
      <c r="U1011" s="74">
        <v>4.9582594356517342</v>
      </c>
      <c r="V1011" s="73"/>
      <c r="W1011" s="72">
        <v>19783.037150702938</v>
      </c>
      <c r="X1011" s="72">
        <v>19795.38784555078</v>
      </c>
      <c r="Y1011" s="73"/>
      <c r="Z1011" s="74">
        <v>2.8972289229446457</v>
      </c>
      <c r="AA1011" s="74">
        <v>2.9532471272259375</v>
      </c>
      <c r="AB1011" s="73"/>
      <c r="AC1011" s="72">
        <v>50243.058326530059</v>
      </c>
      <c r="AD1011" s="72">
        <v>50125.732626679688</v>
      </c>
      <c r="AE1011" s="73"/>
      <c r="AF1011" s="74">
        <v>4.1580588075613187</v>
      </c>
      <c r="AG1011" s="74">
        <v>4.2185589094643339</v>
      </c>
      <c r="AH1011" s="73"/>
      <c r="AI1011" s="72">
        <v>2803311.8967823866</v>
      </c>
      <c r="AJ1011" s="72">
        <v>0</v>
      </c>
      <c r="AK1011" s="73"/>
      <c r="AL1011" s="74">
        <v>-1764.8662658242877</v>
      </c>
      <c r="AM1011" s="74">
        <v>0</v>
      </c>
      <c r="AN1011" s="73"/>
      <c r="AO1011" s="72">
        <v>183734.23080340918</v>
      </c>
      <c r="AP1011" s="72">
        <v>0</v>
      </c>
      <c r="AQ1011" s="73"/>
      <c r="AR1011" s="74">
        <v>-96.193197928555449</v>
      </c>
      <c r="AS1011" s="74">
        <v>0</v>
      </c>
      <c r="AT1011" s="73"/>
      <c r="AU1011" s="72">
        <v>15054386.281557709</v>
      </c>
      <c r="AV1011" s="72">
        <v>0</v>
      </c>
      <c r="AW1011" s="73"/>
      <c r="AX1011" s="74">
        <v>-2137.7133184690938</v>
      </c>
      <c r="AY1011" s="74">
        <v>0</v>
      </c>
      <c r="AZ1011" s="73"/>
      <c r="BA1011" s="72">
        <v>-114303.14223780207</v>
      </c>
      <c r="BB1011" s="72">
        <v>0</v>
      </c>
      <c r="BC1011" s="73"/>
      <c r="BD1011" s="74">
        <v>-518.43696656380894</v>
      </c>
      <c r="BE1011" s="74">
        <v>0</v>
      </c>
      <c r="BF1011" s="73"/>
      <c r="BG1011" s="72">
        <v>1866661.5272595522</v>
      </c>
      <c r="BH1011" s="72">
        <v>0</v>
      </c>
      <c r="BI1011" s="73"/>
      <c r="BJ1011" s="74">
        <v>-962.56159359516073</v>
      </c>
      <c r="BK1011" s="74">
        <v>0</v>
      </c>
      <c r="BL1011" s="73"/>
      <c r="BM1011" s="72">
        <v>19793790.794165254</v>
      </c>
      <c r="BN1011" s="72">
        <v>0</v>
      </c>
      <c r="BO1011" s="73"/>
      <c r="BP1011" s="74">
        <v>-5479.7713423809064</v>
      </c>
      <c r="BQ1011" s="74">
        <v>0</v>
      </c>
      <c r="BS1011" s="109">
        <f t="shared" si="369"/>
        <v>117221.37371869847</v>
      </c>
      <c r="BT1011" s="109">
        <f t="shared" si="370"/>
        <v>117577.45158517426</v>
      </c>
      <c r="BV1011" s="58">
        <f t="array" ref="BV1011">SUM(IF(BS1011:BT1011&gt;=BS1011, 1))</f>
        <v>2</v>
      </c>
      <c r="BW1011" s="58">
        <f t="array" ref="BW1011">SUM(IF(BS1011:BT1011&gt;=BT1011, 1))</f>
        <v>1</v>
      </c>
      <c r="BY1011" s="109">
        <f t="shared" si="371"/>
        <v>133770.24853599336</v>
      </c>
      <c r="BZ1011" s="109">
        <f t="shared" si="372"/>
        <v>134077.73855811005</v>
      </c>
      <c r="CB1011" s="58">
        <f t="array" ref="CB1011">SUM(IF(BY1011:BZ1011&gt;=BY1011, 1))</f>
        <v>2</v>
      </c>
      <c r="CC1011" s="58">
        <f t="array" ref="CC1011">SUM(IF(BY1011:BZ1011&gt;=BZ1011, 1))</f>
        <v>1</v>
      </c>
      <c r="CE1011" s="109">
        <f t="shared" si="373"/>
        <v>95639.749609782564</v>
      </c>
      <c r="CF1011" s="109">
        <f t="shared" si="374"/>
        <v>98140.160705216796</v>
      </c>
      <c r="CH1011" s="58">
        <f t="array" ref="CH1011">SUM(IF(CE1011:CF1011&gt;=CE1011, 1))</f>
        <v>2</v>
      </c>
      <c r="CI1011" s="58">
        <f t="array" ref="CI1011">SUM(IF(CE1011:CF1011&gt;=CF1011, 1))</f>
        <v>1</v>
      </c>
      <c r="CK1011" s="109">
        <f t="shared" si="375"/>
        <v>38161.541308189975</v>
      </c>
      <c r="CL1011" s="109">
        <f t="shared" si="376"/>
        <v>39269.554698967971</v>
      </c>
      <c r="CN1011" s="58">
        <f t="array" ref="CN1011">SUM(IF(CK1011:CL1011&gt;=CK1011, 1))</f>
        <v>2</v>
      </c>
      <c r="CO1011" s="58">
        <f t="array" ref="CO1011">SUM(IF(CK1011:CL1011&gt;=CL1011, 1))</f>
        <v>1</v>
      </c>
      <c r="CQ1011" s="109" cm="1">
        <f t="array" ref="CQ1011">AF1011*WTP-AC1011</f>
        <v>32918.117824696317</v>
      </c>
      <c r="CR1011" s="109">
        <f t="shared" si="377"/>
        <v>34245.445562606983</v>
      </c>
      <c r="CT1011" s="58">
        <f t="array" ref="CT1011">SUM(IF(CQ1011:CR1011&gt;=CQ1011, 1))</f>
        <v>2</v>
      </c>
      <c r="CU1011" s="58">
        <f t="array" ref="CU1011">SUM(IF(CQ1011:CR1011&gt;=CR1011, 1))</f>
        <v>1</v>
      </c>
      <c r="CW1011" s="109">
        <f t="shared" si="378"/>
        <v>-38100637.213268138</v>
      </c>
      <c r="CX1011" s="109">
        <f t="shared" si="379"/>
        <v>0</v>
      </c>
      <c r="CZ1011" s="58">
        <f t="array" ref="CZ1011">SUM(IF(CW1011:CX1011&gt;=CW1011, 1))</f>
        <v>2</v>
      </c>
      <c r="DA1011" s="58">
        <f t="array" ref="DA1011">SUM(IF(CW1011:CX1011&gt;=CX1011, 1))</f>
        <v>1</v>
      </c>
      <c r="DC1011" s="109">
        <f t="shared" si="380"/>
        <v>-2107598.1893745181</v>
      </c>
      <c r="DD1011" s="109">
        <f t="shared" si="381"/>
        <v>0</v>
      </c>
      <c r="DF1011" s="58">
        <f t="array" ref="DF1011">SUM(IF(DC1011:DD1011&gt;=DC1011, 1))</f>
        <v>2</v>
      </c>
      <c r="DG1011" s="58">
        <f t="array" ref="DG1011">SUM(IF(DC1011:DD1011&gt;=DD1011, 1))</f>
        <v>1</v>
      </c>
      <c r="DI1011" s="109">
        <f t="shared" si="382"/>
        <v>-57808652.650939584</v>
      </c>
      <c r="DJ1011" s="109">
        <f t="shared" si="383"/>
        <v>0</v>
      </c>
      <c r="DL1011" s="58">
        <f t="array" ref="DL1011">SUM(IF(DI1011:DJ1011&gt;=DI1011, 1))</f>
        <v>2</v>
      </c>
      <c r="DM1011" s="58">
        <f t="array" ref="DM1011">SUM(IF(DI1011:DJ1011&gt;=DJ1011, 1))</f>
        <v>1</v>
      </c>
      <c r="DO1011" s="109">
        <f t="shared" si="384"/>
        <v>-10254436.189038375</v>
      </c>
      <c r="DP1011" s="109">
        <f t="shared" si="385"/>
        <v>0</v>
      </c>
      <c r="DR1011" s="58">
        <f t="array" ref="DR1011">SUM(IF(DO1011:DP1011&gt;=DO1011, 1))</f>
        <v>2</v>
      </c>
      <c r="DS1011" s="58">
        <f t="array" ref="DS1011">SUM(IF(DO1011:DP1011&gt;=DP1011, 1))</f>
        <v>1</v>
      </c>
      <c r="DU1011" s="109">
        <f t="shared" si="386"/>
        <v>-21117893.399162766</v>
      </c>
      <c r="DV1011" s="109">
        <f t="shared" si="387"/>
        <v>0</v>
      </c>
      <c r="DX1011" s="58">
        <f t="array" ref="DX1011">SUM(IF(DU1011:DV1011&gt;=DU1011, 1))</f>
        <v>2</v>
      </c>
      <c r="DY1011" s="58">
        <f t="array" ref="DY1011">SUM(IF(DU1011:DV1011&gt;=DV1011, 1))</f>
        <v>1</v>
      </c>
      <c r="EA1011" s="109">
        <f t="shared" si="388"/>
        <v>-129389217.64178339</v>
      </c>
      <c r="EB1011" s="109">
        <f t="shared" si="389"/>
        <v>0</v>
      </c>
      <c r="ED1011" s="58">
        <f t="array" ref="ED1011">SUM(IF(EA1011:EB1011&gt;=EA1011, 1))</f>
        <v>2</v>
      </c>
      <c r="EE1011" s="58">
        <f t="array" ref="EE1011">SUM(IF(EA1011:EB1011&gt;=EB1011, 1))</f>
        <v>1</v>
      </c>
    </row>
    <row r="1012" spans="4:135" ht="12" customHeight="1" x14ac:dyDescent="0.25">
      <c r="D1012" s="11">
        <v>996</v>
      </c>
      <c r="E1012" s="72">
        <v>270.44093727149362</v>
      </c>
      <c r="F1012" s="72">
        <v>233.79474439632949</v>
      </c>
      <c r="G1012" s="73"/>
      <c r="H1012" s="74">
        <v>5.8481044697703348</v>
      </c>
      <c r="I1012" s="74">
        <v>5.8666854073123966</v>
      </c>
      <c r="J1012" s="73"/>
      <c r="K1012" s="72">
        <v>289.53618017301187</v>
      </c>
      <c r="L1012" s="72">
        <v>252.04044092612401</v>
      </c>
      <c r="M1012" s="73"/>
      <c r="N1012" s="74">
        <v>6.7056791407749357</v>
      </c>
      <c r="O1012" s="74">
        <v>6.7220966557137283</v>
      </c>
      <c r="P1012" s="73"/>
      <c r="Q1012" s="72">
        <v>4480.247251352368</v>
      </c>
      <c r="R1012" s="72">
        <v>1356.7495024011334</v>
      </c>
      <c r="S1012" s="73"/>
      <c r="T1012" s="74">
        <v>4.7618210585456486</v>
      </c>
      <c r="U1012" s="74">
        <v>4.9845889556494827</v>
      </c>
      <c r="V1012" s="73"/>
      <c r="W1012" s="72">
        <v>13670.389324196814</v>
      </c>
      <c r="X1012" s="72">
        <v>13605.473353318121</v>
      </c>
      <c r="Y1012" s="73"/>
      <c r="Z1012" s="74">
        <v>3.0757555039859441</v>
      </c>
      <c r="AA1012" s="74">
        <v>3.1211686802547223</v>
      </c>
      <c r="AB1012" s="73"/>
      <c r="AC1012" s="72">
        <v>50005.183965124241</v>
      </c>
      <c r="AD1012" s="72">
        <v>49803.926556611361</v>
      </c>
      <c r="AE1012" s="73"/>
      <c r="AF1012" s="74">
        <v>4.8511611363816618</v>
      </c>
      <c r="AG1012" s="74">
        <v>4.9125223894793475</v>
      </c>
      <c r="AH1012" s="73"/>
      <c r="AI1012" s="72">
        <v>3907942.4191679219</v>
      </c>
      <c r="AJ1012" s="72">
        <v>0</v>
      </c>
      <c r="AK1012" s="73"/>
      <c r="AL1012" s="74">
        <v>-1981.46733156951</v>
      </c>
      <c r="AM1012" s="74">
        <v>0</v>
      </c>
      <c r="AN1012" s="73"/>
      <c r="AO1012" s="72">
        <v>257358.01142478859</v>
      </c>
      <c r="AP1012" s="72">
        <v>0</v>
      </c>
      <c r="AQ1012" s="73"/>
      <c r="AR1012" s="74">
        <v>-112.68424311797287</v>
      </c>
      <c r="AS1012" s="74">
        <v>0</v>
      </c>
      <c r="AT1012" s="73"/>
      <c r="AU1012" s="72">
        <v>74631965.3219347</v>
      </c>
      <c r="AV1012" s="72">
        <v>0</v>
      </c>
      <c r="AW1012" s="73"/>
      <c r="AX1012" s="74">
        <v>-5322.7526663260687</v>
      </c>
      <c r="AY1012" s="74">
        <v>0</v>
      </c>
      <c r="AZ1012" s="73"/>
      <c r="BA1012" s="72">
        <v>542595.668929587</v>
      </c>
      <c r="BB1012" s="72">
        <v>0</v>
      </c>
      <c r="BC1012" s="73"/>
      <c r="BD1012" s="74">
        <v>-379.58290421044006</v>
      </c>
      <c r="BE1012" s="74">
        <v>0</v>
      </c>
      <c r="BF1012" s="73"/>
      <c r="BG1012" s="72">
        <v>3146416.4757418106</v>
      </c>
      <c r="BH1012" s="72">
        <v>0</v>
      </c>
      <c r="BI1012" s="73"/>
      <c r="BJ1012" s="74">
        <v>-959.30907162786843</v>
      </c>
      <c r="BK1012" s="74">
        <v>0</v>
      </c>
      <c r="BL1012" s="73"/>
      <c r="BM1012" s="72">
        <v>82486277.897198811</v>
      </c>
      <c r="BN1012" s="72">
        <v>0</v>
      </c>
      <c r="BO1012" s="73"/>
      <c r="BP1012" s="74">
        <v>-8755.7962168518607</v>
      </c>
      <c r="BQ1012" s="74">
        <v>0</v>
      </c>
      <c r="BS1012" s="109">
        <f t="shared" si="369"/>
        <v>116691.64845813521</v>
      </c>
      <c r="BT1012" s="109">
        <f t="shared" si="370"/>
        <v>117099.91340185159</v>
      </c>
      <c r="BV1012" s="58">
        <f t="array" ref="BV1012">SUM(IF(BS1012:BT1012&gt;=BS1012, 1))</f>
        <v>2</v>
      </c>
      <c r="BW1012" s="58">
        <f t="array" ref="BW1012">SUM(IF(BS1012:BT1012&gt;=BT1012, 1))</f>
        <v>1</v>
      </c>
      <c r="BY1012" s="109">
        <f t="shared" si="371"/>
        <v>133824.04663532571</v>
      </c>
      <c r="BZ1012" s="109">
        <f t="shared" si="372"/>
        <v>134189.89267334845</v>
      </c>
      <c r="CB1012" s="58">
        <f t="array" ref="CB1012">SUM(IF(BY1012:BZ1012&gt;=BY1012, 1))</f>
        <v>2</v>
      </c>
      <c r="CC1012" s="58">
        <f t="array" ref="CC1012">SUM(IF(BY1012:BZ1012&gt;=BZ1012, 1))</f>
        <v>1</v>
      </c>
      <c r="CE1012" s="109">
        <f t="shared" si="373"/>
        <v>90756.173919560606</v>
      </c>
      <c r="CF1012" s="109">
        <f t="shared" si="374"/>
        <v>98335.029610588521</v>
      </c>
      <c r="CH1012" s="58">
        <f t="array" ref="CH1012">SUM(IF(CE1012:CF1012&gt;=CE1012, 1))</f>
        <v>2</v>
      </c>
      <c r="CI1012" s="58">
        <f t="array" ref="CI1012">SUM(IF(CE1012:CF1012&gt;=CF1012, 1))</f>
        <v>1</v>
      </c>
      <c r="CK1012" s="109">
        <f t="shared" si="375"/>
        <v>47844.720755522067</v>
      </c>
      <c r="CL1012" s="109">
        <f t="shared" si="376"/>
        <v>48817.900251776322</v>
      </c>
      <c r="CN1012" s="58">
        <f t="array" ref="CN1012">SUM(IF(CK1012:CL1012&gt;=CK1012, 1))</f>
        <v>2</v>
      </c>
      <c r="CO1012" s="58">
        <f t="array" ref="CO1012">SUM(IF(CK1012:CL1012&gt;=CL1012, 1))</f>
        <v>1</v>
      </c>
      <c r="CQ1012" s="109" cm="1">
        <f t="array" ref="CQ1012">AF1012*WTP-AC1012</f>
        <v>47018.038762509001</v>
      </c>
      <c r="CR1012" s="109">
        <f t="shared" si="377"/>
        <v>48446.521232975589</v>
      </c>
      <c r="CT1012" s="58">
        <f t="array" ref="CT1012">SUM(IF(CQ1012:CR1012&gt;=CQ1012, 1))</f>
        <v>2</v>
      </c>
      <c r="CU1012" s="58">
        <f t="array" ref="CU1012">SUM(IF(CQ1012:CR1012&gt;=CR1012, 1))</f>
        <v>1</v>
      </c>
      <c r="CW1012" s="109">
        <f t="shared" si="378"/>
        <v>-43537289.05055812</v>
      </c>
      <c r="CX1012" s="109">
        <f t="shared" si="379"/>
        <v>0</v>
      </c>
      <c r="CZ1012" s="58">
        <f t="array" ref="CZ1012">SUM(IF(CW1012:CX1012&gt;=CW1012, 1))</f>
        <v>2</v>
      </c>
      <c r="DA1012" s="58">
        <f t="array" ref="DA1012">SUM(IF(CW1012:CX1012&gt;=CX1012, 1))</f>
        <v>1</v>
      </c>
      <c r="DC1012" s="109">
        <f t="shared" si="380"/>
        <v>-2511042.8737842459</v>
      </c>
      <c r="DD1012" s="109">
        <f t="shared" si="381"/>
        <v>0</v>
      </c>
      <c r="DF1012" s="58">
        <f t="array" ref="DF1012">SUM(IF(DC1012:DD1012&gt;=DC1012, 1))</f>
        <v>2</v>
      </c>
      <c r="DG1012" s="58">
        <f t="array" ref="DG1012">SUM(IF(DC1012:DD1012&gt;=DD1012, 1))</f>
        <v>1</v>
      </c>
      <c r="DI1012" s="109">
        <f t="shared" si="382"/>
        <v>-181087018.6484561</v>
      </c>
      <c r="DJ1012" s="109">
        <f t="shared" si="383"/>
        <v>0</v>
      </c>
      <c r="DL1012" s="58">
        <f t="array" ref="DL1012">SUM(IF(DI1012:DJ1012&gt;=DI1012, 1))</f>
        <v>2</v>
      </c>
      <c r="DM1012" s="58">
        <f t="array" ref="DM1012">SUM(IF(DI1012:DJ1012&gt;=DJ1012, 1))</f>
        <v>1</v>
      </c>
      <c r="DO1012" s="109">
        <f t="shared" si="384"/>
        <v>-8134253.7531383885</v>
      </c>
      <c r="DP1012" s="109">
        <f t="shared" si="385"/>
        <v>0</v>
      </c>
      <c r="DR1012" s="58">
        <f t="array" ref="DR1012">SUM(IF(DO1012:DP1012&gt;=DO1012, 1))</f>
        <v>2</v>
      </c>
      <c r="DS1012" s="58">
        <f t="array" ref="DS1012">SUM(IF(DO1012:DP1012&gt;=DP1012, 1))</f>
        <v>1</v>
      </c>
      <c r="DU1012" s="109">
        <f t="shared" si="386"/>
        <v>-22332597.908299182</v>
      </c>
      <c r="DV1012" s="109">
        <f t="shared" si="387"/>
        <v>0</v>
      </c>
      <c r="DX1012" s="58">
        <f t="array" ref="DX1012">SUM(IF(DU1012:DV1012&gt;=DU1012, 1))</f>
        <v>2</v>
      </c>
      <c r="DY1012" s="58">
        <f t="array" ref="DY1012">SUM(IF(DU1012:DV1012&gt;=DV1012, 1))</f>
        <v>1</v>
      </c>
      <c r="EA1012" s="109">
        <f t="shared" si="388"/>
        <v>-257602202.234236</v>
      </c>
      <c r="EB1012" s="109">
        <f t="shared" si="389"/>
        <v>0</v>
      </c>
      <c r="ED1012" s="58">
        <f t="array" ref="ED1012">SUM(IF(EA1012:EB1012&gt;=EA1012, 1))</f>
        <v>2</v>
      </c>
      <c r="EE1012" s="58">
        <f t="array" ref="EE1012">SUM(IF(EA1012:EB1012&gt;=EB1012, 1))</f>
        <v>1</v>
      </c>
    </row>
    <row r="1013" spans="4:135" ht="12" customHeight="1" x14ac:dyDescent="0.25">
      <c r="D1013" s="11">
        <v>997</v>
      </c>
      <c r="E1013" s="72">
        <v>277.62903103997536</v>
      </c>
      <c r="F1013" s="72">
        <v>234.54033066747769</v>
      </c>
      <c r="G1013" s="73"/>
      <c r="H1013" s="74">
        <v>5.8477716723822422</v>
      </c>
      <c r="I1013" s="74">
        <v>5.8681560489071867</v>
      </c>
      <c r="J1013" s="73"/>
      <c r="K1013" s="72">
        <v>296.95459070030739</v>
      </c>
      <c r="L1013" s="72">
        <v>252.82908891727013</v>
      </c>
      <c r="M1013" s="73"/>
      <c r="N1013" s="74">
        <v>6.6836884383713633</v>
      </c>
      <c r="O1013" s="74">
        <v>6.7013333341612782</v>
      </c>
      <c r="P1013" s="73"/>
      <c r="Q1013" s="72">
        <v>2706.8924277277379</v>
      </c>
      <c r="R1013" s="72">
        <v>1639.5122381664212</v>
      </c>
      <c r="S1013" s="73"/>
      <c r="T1013" s="74">
        <v>4.8215869681298722</v>
      </c>
      <c r="U1013" s="74">
        <v>4.9130759940792874</v>
      </c>
      <c r="V1013" s="73"/>
      <c r="W1013" s="72">
        <v>15160.346788227553</v>
      </c>
      <c r="X1013" s="72">
        <v>15126.649469704696</v>
      </c>
      <c r="Y1013" s="73"/>
      <c r="Z1013" s="74">
        <v>3.0536166873488932</v>
      </c>
      <c r="AA1013" s="74">
        <v>3.087077440156814</v>
      </c>
      <c r="AB1013" s="73"/>
      <c r="AC1013" s="72">
        <v>50004.313067021845</v>
      </c>
      <c r="AD1013" s="72">
        <v>50166.422546333757</v>
      </c>
      <c r="AE1013" s="73"/>
      <c r="AF1013" s="74">
        <v>4.6171321252130504</v>
      </c>
      <c r="AG1013" s="74">
        <v>4.7136047245113337</v>
      </c>
      <c r="AH1013" s="73"/>
      <c r="AI1013" s="72">
        <v>4660014.3642924177</v>
      </c>
      <c r="AJ1013" s="72">
        <v>0</v>
      </c>
      <c r="AK1013" s="73"/>
      <c r="AL1013" s="74">
        <v>-2204.5568000936282</v>
      </c>
      <c r="AM1013" s="74">
        <v>0</v>
      </c>
      <c r="AN1013" s="73"/>
      <c r="AO1013" s="72">
        <v>299051.84602844663</v>
      </c>
      <c r="AP1013" s="72">
        <v>0</v>
      </c>
      <c r="AQ1013" s="73"/>
      <c r="AR1013" s="74">
        <v>-119.58478534474374</v>
      </c>
      <c r="AS1013" s="74">
        <v>0</v>
      </c>
      <c r="AT1013" s="73"/>
      <c r="AU1013" s="72">
        <v>24759797.576559395</v>
      </c>
      <c r="AV1013" s="72">
        <v>0</v>
      </c>
      <c r="AW1013" s="73"/>
      <c r="AX1013" s="74">
        <v>-2122.25201960616</v>
      </c>
      <c r="AY1013" s="74">
        <v>0</v>
      </c>
      <c r="AZ1013" s="73"/>
      <c r="BA1013" s="72">
        <v>305925.09109247942</v>
      </c>
      <c r="BB1013" s="72">
        <v>0</v>
      </c>
      <c r="BC1013" s="73"/>
      <c r="BD1013" s="74">
        <v>-303.77740127431434</v>
      </c>
      <c r="BE1013" s="74">
        <v>0</v>
      </c>
      <c r="BF1013" s="73"/>
      <c r="BG1013" s="72">
        <v>-2632339.829574639</v>
      </c>
      <c r="BH1013" s="72">
        <v>0</v>
      </c>
      <c r="BI1013" s="73"/>
      <c r="BJ1013" s="74">
        <v>-1566.5257002451265</v>
      </c>
      <c r="BK1013" s="74">
        <v>0</v>
      </c>
      <c r="BL1013" s="73"/>
      <c r="BM1013" s="72">
        <v>27392449.0483981</v>
      </c>
      <c r="BN1013" s="72">
        <v>0</v>
      </c>
      <c r="BO1013" s="73"/>
      <c r="BP1013" s="74">
        <v>-6316.6967065639719</v>
      </c>
      <c r="BQ1013" s="74">
        <v>0</v>
      </c>
      <c r="BS1013" s="109">
        <f t="shared" si="369"/>
        <v>116677.80441660486</v>
      </c>
      <c r="BT1013" s="109">
        <f t="shared" si="370"/>
        <v>117128.58064747626</v>
      </c>
      <c r="BV1013" s="58">
        <f t="array" ref="BV1013">SUM(IF(BS1013:BT1013&gt;=BS1013, 1))</f>
        <v>2</v>
      </c>
      <c r="BW1013" s="58">
        <f t="array" ref="BW1013">SUM(IF(BS1013:BT1013&gt;=BT1013, 1))</f>
        <v>1</v>
      </c>
      <c r="BY1013" s="109">
        <f t="shared" si="371"/>
        <v>133376.81417672697</v>
      </c>
      <c r="BZ1013" s="109">
        <f t="shared" si="372"/>
        <v>133773.83759430831</v>
      </c>
      <c r="CB1013" s="58">
        <f t="array" ref="CB1013">SUM(IF(BY1013:BZ1013&gt;=BY1013, 1))</f>
        <v>2</v>
      </c>
      <c r="CC1013" s="58">
        <f t="array" ref="CC1013">SUM(IF(BY1013:BZ1013&gt;=BZ1013, 1))</f>
        <v>1</v>
      </c>
      <c r="CE1013" s="109">
        <f t="shared" si="373"/>
        <v>93724.846934869711</v>
      </c>
      <c r="CF1013" s="109">
        <f t="shared" si="374"/>
        <v>96622.007643419318</v>
      </c>
      <c r="CH1013" s="58">
        <f t="array" ref="CH1013">SUM(IF(CE1013:CF1013&gt;=CE1013, 1))</f>
        <v>2</v>
      </c>
      <c r="CI1013" s="58">
        <f t="array" ref="CI1013">SUM(IF(CE1013:CF1013&gt;=CF1013, 1))</f>
        <v>1</v>
      </c>
      <c r="CK1013" s="109">
        <f t="shared" si="375"/>
        <v>45911.986958750313</v>
      </c>
      <c r="CL1013" s="109">
        <f t="shared" si="376"/>
        <v>46614.899333431582</v>
      </c>
      <c r="CN1013" s="58">
        <f t="array" ref="CN1013">SUM(IF(CK1013:CL1013&gt;=CK1013, 1))</f>
        <v>2</v>
      </c>
      <c r="CO1013" s="58">
        <f t="array" ref="CO1013">SUM(IF(CK1013:CL1013&gt;=CL1013, 1))</f>
        <v>1</v>
      </c>
      <c r="CQ1013" s="109" cm="1">
        <f t="array" ref="CQ1013">AF1013*WTP-AC1013</f>
        <v>42338.329437239161</v>
      </c>
      <c r="CR1013" s="109">
        <f t="shared" si="377"/>
        <v>44105.671943892921</v>
      </c>
      <c r="CT1013" s="58">
        <f t="array" ref="CT1013">SUM(IF(CQ1013:CR1013&gt;=CQ1013, 1))</f>
        <v>2</v>
      </c>
      <c r="CU1013" s="58">
        <f t="array" ref="CU1013">SUM(IF(CQ1013:CR1013&gt;=CR1013, 1))</f>
        <v>1</v>
      </c>
      <c r="CW1013" s="109">
        <f t="shared" si="378"/>
        <v>-48751150.366164982</v>
      </c>
      <c r="CX1013" s="109">
        <f t="shared" si="379"/>
        <v>0</v>
      </c>
      <c r="CZ1013" s="58">
        <f t="array" ref="CZ1013">SUM(IF(CW1013:CX1013&gt;=CW1013, 1))</f>
        <v>2</v>
      </c>
      <c r="DA1013" s="58">
        <f t="array" ref="DA1013">SUM(IF(CW1013:CX1013&gt;=CX1013, 1))</f>
        <v>1</v>
      </c>
      <c r="DC1013" s="109">
        <f t="shared" si="380"/>
        <v>-2690747.5529233213</v>
      </c>
      <c r="DD1013" s="109">
        <f t="shared" si="381"/>
        <v>0</v>
      </c>
      <c r="DF1013" s="58">
        <f t="array" ref="DF1013">SUM(IF(DC1013:DD1013&gt;=DC1013, 1))</f>
        <v>2</v>
      </c>
      <c r="DG1013" s="58">
        <f t="array" ref="DG1013">SUM(IF(DC1013:DD1013&gt;=DD1013, 1))</f>
        <v>1</v>
      </c>
      <c r="DI1013" s="109">
        <f t="shared" si="382"/>
        <v>-67204837.968682587</v>
      </c>
      <c r="DJ1013" s="109">
        <f t="shared" si="383"/>
        <v>0</v>
      </c>
      <c r="DL1013" s="58">
        <f t="array" ref="DL1013">SUM(IF(DI1013:DJ1013&gt;=DI1013, 1))</f>
        <v>2</v>
      </c>
      <c r="DM1013" s="58">
        <f t="array" ref="DM1013">SUM(IF(DI1013:DJ1013&gt;=DJ1013, 1))</f>
        <v>1</v>
      </c>
      <c r="DO1013" s="109">
        <f t="shared" si="384"/>
        <v>-6381473.1165787661</v>
      </c>
      <c r="DP1013" s="109">
        <f t="shared" si="385"/>
        <v>0</v>
      </c>
      <c r="DR1013" s="58">
        <f t="array" ref="DR1013">SUM(IF(DO1013:DP1013&gt;=DO1013, 1))</f>
        <v>2</v>
      </c>
      <c r="DS1013" s="58">
        <f t="array" ref="DS1013">SUM(IF(DO1013:DP1013&gt;=DP1013, 1))</f>
        <v>1</v>
      </c>
      <c r="DU1013" s="109">
        <f t="shared" si="386"/>
        <v>-28698174.17532789</v>
      </c>
      <c r="DV1013" s="109">
        <f t="shared" si="387"/>
        <v>0</v>
      </c>
      <c r="DX1013" s="58">
        <f t="array" ref="DX1013">SUM(IF(DU1013:DV1013&gt;=DU1013, 1))</f>
        <v>2</v>
      </c>
      <c r="DY1013" s="58">
        <f t="array" ref="DY1013">SUM(IF(DU1013:DV1013&gt;=DV1013, 1))</f>
        <v>1</v>
      </c>
      <c r="EA1013" s="109">
        <f t="shared" si="388"/>
        <v>-153726383.17967755</v>
      </c>
      <c r="EB1013" s="109">
        <f t="shared" si="389"/>
        <v>0</v>
      </c>
      <c r="ED1013" s="58">
        <f t="array" ref="ED1013">SUM(IF(EA1013:EB1013&gt;=EA1013, 1))</f>
        <v>2</v>
      </c>
      <c r="EE1013" s="58">
        <f t="array" ref="EE1013">SUM(IF(EA1013:EB1013&gt;=EB1013, 1))</f>
        <v>1</v>
      </c>
    </row>
    <row r="1014" spans="4:135" ht="12" customHeight="1" x14ac:dyDescent="0.25">
      <c r="D1014" s="11">
        <v>998</v>
      </c>
      <c r="E1014" s="72">
        <v>303.71562446362725</v>
      </c>
      <c r="F1014" s="72">
        <v>272.22264282033956</v>
      </c>
      <c r="G1014" s="73"/>
      <c r="H1014" s="74">
        <v>5.8339809209888962</v>
      </c>
      <c r="I1014" s="74">
        <v>5.8501570823249773</v>
      </c>
      <c r="J1014" s="73"/>
      <c r="K1014" s="72">
        <v>325.74226430848785</v>
      </c>
      <c r="L1014" s="72">
        <v>293.46332089596859</v>
      </c>
      <c r="M1014" s="73"/>
      <c r="N1014" s="74">
        <v>6.6407712147523368</v>
      </c>
      <c r="O1014" s="74">
        <v>6.6540999521694637</v>
      </c>
      <c r="P1014" s="73"/>
      <c r="Q1014" s="72">
        <v>4177.2428043741338</v>
      </c>
      <c r="R1014" s="72">
        <v>1860.0853304512414</v>
      </c>
      <c r="S1014" s="73"/>
      <c r="T1014" s="74">
        <v>4.7319091478350019</v>
      </c>
      <c r="U1014" s="74">
        <v>4.8424299075418098</v>
      </c>
      <c r="V1014" s="73"/>
      <c r="W1014" s="72">
        <v>12848.538243498742</v>
      </c>
      <c r="X1014" s="72">
        <v>12839.029414925426</v>
      </c>
      <c r="Y1014" s="73"/>
      <c r="Z1014" s="74">
        <v>2.9384157256264385</v>
      </c>
      <c r="AA1014" s="74">
        <v>2.984006979188274</v>
      </c>
      <c r="AB1014" s="73"/>
      <c r="AC1014" s="72">
        <v>49661.811278200665</v>
      </c>
      <c r="AD1014" s="72">
        <v>49667.642021105836</v>
      </c>
      <c r="AE1014" s="73"/>
      <c r="AF1014" s="74">
        <v>4.3166573522208198</v>
      </c>
      <c r="AG1014" s="74">
        <v>4.4596563688076811</v>
      </c>
      <c r="AH1014" s="73"/>
      <c r="AI1014" s="72">
        <v>3361835.3901052224</v>
      </c>
      <c r="AJ1014" s="72">
        <v>0</v>
      </c>
      <c r="AK1014" s="73"/>
      <c r="AL1014" s="74">
        <v>-1726.7844712721901</v>
      </c>
      <c r="AM1014" s="74">
        <v>0</v>
      </c>
      <c r="AN1014" s="73"/>
      <c r="AO1014" s="72">
        <v>222459.28876344868</v>
      </c>
      <c r="AP1014" s="72">
        <v>0</v>
      </c>
      <c r="AQ1014" s="73"/>
      <c r="AR1014" s="74">
        <v>-91.858689673802004</v>
      </c>
      <c r="AS1014" s="74">
        <v>0</v>
      </c>
      <c r="AT1014" s="73"/>
      <c r="AU1014" s="72">
        <v>53463381.003096417</v>
      </c>
      <c r="AV1014" s="72">
        <v>0</v>
      </c>
      <c r="AW1014" s="73"/>
      <c r="AX1014" s="74">
        <v>-2550.0267251811997</v>
      </c>
      <c r="AY1014" s="74">
        <v>0</v>
      </c>
      <c r="AZ1014" s="73"/>
      <c r="BA1014" s="72">
        <v>85326.962591659511</v>
      </c>
      <c r="BB1014" s="72">
        <v>0</v>
      </c>
      <c r="BC1014" s="73"/>
      <c r="BD1014" s="74">
        <v>-409.11066564962204</v>
      </c>
      <c r="BE1014" s="74">
        <v>0</v>
      </c>
      <c r="BF1014" s="73"/>
      <c r="BG1014" s="72">
        <v>-90738.091141552213</v>
      </c>
      <c r="BH1014" s="72">
        <v>0</v>
      </c>
      <c r="BI1014" s="73"/>
      <c r="BJ1014" s="74">
        <v>-2225.3524141329435</v>
      </c>
      <c r="BK1014" s="74">
        <v>0</v>
      </c>
      <c r="BL1014" s="73"/>
      <c r="BM1014" s="72">
        <v>57042264.553415202</v>
      </c>
      <c r="BN1014" s="72">
        <v>0</v>
      </c>
      <c r="BO1014" s="73"/>
      <c r="BP1014" s="74">
        <v>-7003.1329659097573</v>
      </c>
      <c r="BQ1014" s="74">
        <v>0</v>
      </c>
      <c r="BS1014" s="109">
        <f t="shared" si="369"/>
        <v>116375.90279531429</v>
      </c>
      <c r="BT1014" s="109">
        <f t="shared" si="370"/>
        <v>116730.9190036792</v>
      </c>
      <c r="BV1014" s="58">
        <f t="array" ref="BV1014">SUM(IF(BS1014:BT1014&gt;=BS1014, 1))</f>
        <v>2</v>
      </c>
      <c r="BW1014" s="58">
        <f t="array" ref="BW1014">SUM(IF(BS1014:BT1014&gt;=BT1014, 1))</f>
        <v>1</v>
      </c>
      <c r="BY1014" s="109">
        <f t="shared" si="371"/>
        <v>132489.68203073824</v>
      </c>
      <c r="BZ1014" s="109">
        <f t="shared" si="372"/>
        <v>132788.53572249331</v>
      </c>
      <c r="CB1014" s="58">
        <f t="array" ref="CB1014">SUM(IF(BY1014:BZ1014&gt;=BY1014, 1))</f>
        <v>2</v>
      </c>
      <c r="CC1014" s="58">
        <f t="array" ref="CC1014">SUM(IF(BY1014:BZ1014&gt;=BZ1014, 1))</f>
        <v>1</v>
      </c>
      <c r="CE1014" s="109">
        <f t="shared" si="373"/>
        <v>90460.9401523259</v>
      </c>
      <c r="CF1014" s="109">
        <f t="shared" si="374"/>
        <v>94988.51282038496</v>
      </c>
      <c r="CH1014" s="58">
        <f t="array" ref="CH1014">SUM(IF(CE1014:CF1014&gt;=CE1014, 1))</f>
        <v>2</v>
      </c>
      <c r="CI1014" s="58">
        <f t="array" ref="CI1014">SUM(IF(CE1014:CF1014&gt;=CF1014, 1))</f>
        <v>1</v>
      </c>
      <c r="CK1014" s="109">
        <f t="shared" si="375"/>
        <v>45919.77626903003</v>
      </c>
      <c r="CL1014" s="109">
        <f t="shared" si="376"/>
        <v>46841.110168840052</v>
      </c>
      <c r="CN1014" s="58">
        <f t="array" ref="CN1014">SUM(IF(CK1014:CL1014&gt;=CK1014, 1))</f>
        <v>2</v>
      </c>
      <c r="CO1014" s="58">
        <f t="array" ref="CO1014">SUM(IF(CK1014:CL1014&gt;=CL1014, 1))</f>
        <v>1</v>
      </c>
      <c r="CQ1014" s="109" cm="1">
        <f t="array" ref="CQ1014">AF1014*WTP-AC1014</f>
        <v>36671.335766215736</v>
      </c>
      <c r="CR1014" s="109">
        <f t="shared" si="377"/>
        <v>39525.485355047793</v>
      </c>
      <c r="CT1014" s="58">
        <f t="array" ref="CT1014">SUM(IF(CQ1014:CR1014&gt;=CQ1014, 1))</f>
        <v>2</v>
      </c>
      <c r="CU1014" s="58">
        <f t="array" ref="CU1014">SUM(IF(CQ1014:CR1014&gt;=CR1014, 1))</f>
        <v>1</v>
      </c>
      <c r="CW1014" s="109">
        <f t="shared" si="378"/>
        <v>-37897524.815549031</v>
      </c>
      <c r="CX1014" s="109">
        <f t="shared" si="379"/>
        <v>0</v>
      </c>
      <c r="CZ1014" s="58">
        <f t="array" ref="CZ1014">SUM(IF(CW1014:CX1014&gt;=CW1014, 1))</f>
        <v>2</v>
      </c>
      <c r="DA1014" s="58">
        <f t="array" ref="DA1014">SUM(IF(CW1014:CX1014&gt;=CX1014, 1))</f>
        <v>1</v>
      </c>
      <c r="DC1014" s="109">
        <f t="shared" si="380"/>
        <v>-2059633.0822394886</v>
      </c>
      <c r="DD1014" s="109">
        <f t="shared" si="381"/>
        <v>0</v>
      </c>
      <c r="DF1014" s="58">
        <f t="array" ref="DF1014">SUM(IF(DC1014:DD1014&gt;=DC1014, 1))</f>
        <v>2</v>
      </c>
      <c r="DG1014" s="58">
        <f t="array" ref="DG1014">SUM(IF(DC1014:DD1014&gt;=DD1014, 1))</f>
        <v>1</v>
      </c>
      <c r="DI1014" s="109">
        <f t="shared" si="382"/>
        <v>-104463915.50672041</v>
      </c>
      <c r="DJ1014" s="109">
        <f t="shared" si="383"/>
        <v>0</v>
      </c>
      <c r="DL1014" s="58">
        <f t="array" ref="DL1014">SUM(IF(DI1014:DJ1014&gt;=DI1014, 1))</f>
        <v>2</v>
      </c>
      <c r="DM1014" s="58">
        <f t="array" ref="DM1014">SUM(IF(DI1014:DJ1014&gt;=DJ1014, 1))</f>
        <v>1</v>
      </c>
      <c r="DO1014" s="109">
        <f t="shared" si="384"/>
        <v>-8267540.2755840998</v>
      </c>
      <c r="DP1014" s="109">
        <f t="shared" si="385"/>
        <v>0</v>
      </c>
      <c r="DR1014" s="58">
        <f t="array" ref="DR1014">SUM(IF(DO1014:DP1014&gt;=DO1014, 1))</f>
        <v>2</v>
      </c>
      <c r="DS1014" s="58">
        <f t="array" ref="DS1014">SUM(IF(DO1014:DP1014&gt;=DP1014, 1))</f>
        <v>1</v>
      </c>
      <c r="DU1014" s="109">
        <f t="shared" si="386"/>
        <v>-44416310.191517316</v>
      </c>
      <c r="DV1014" s="109">
        <f t="shared" si="387"/>
        <v>0</v>
      </c>
      <c r="DX1014" s="58">
        <f t="array" ref="DX1014">SUM(IF(DU1014:DV1014&gt;=DU1014, 1))</f>
        <v>2</v>
      </c>
      <c r="DY1014" s="58">
        <f t="array" ref="DY1014">SUM(IF(DU1014:DV1014&gt;=DV1014, 1))</f>
        <v>1</v>
      </c>
      <c r="EA1014" s="109">
        <f t="shared" si="388"/>
        <v>-197104923.87161034</v>
      </c>
      <c r="EB1014" s="109">
        <f t="shared" si="389"/>
        <v>0</v>
      </c>
      <c r="ED1014" s="58">
        <f t="array" ref="ED1014">SUM(IF(EA1014:EB1014&gt;=EA1014, 1))</f>
        <v>2</v>
      </c>
      <c r="EE1014" s="58">
        <f t="array" ref="EE1014">SUM(IF(EA1014:EB1014&gt;=EB1014, 1))</f>
        <v>1</v>
      </c>
    </row>
    <row r="1015" spans="4:135" ht="12" customHeight="1" x14ac:dyDescent="0.25">
      <c r="D1015" s="11">
        <v>999</v>
      </c>
      <c r="E1015" s="72">
        <v>201.0852538174021</v>
      </c>
      <c r="F1015" s="72">
        <v>182.60046510419528</v>
      </c>
      <c r="G1015" s="73"/>
      <c r="H1015" s="74">
        <v>5.8740638277564399</v>
      </c>
      <c r="I1015" s="74">
        <v>5.8902867133427561</v>
      </c>
      <c r="J1015" s="73"/>
      <c r="K1015" s="72">
        <v>215.836540972065</v>
      </c>
      <c r="L1015" s="72">
        <v>196.88897791430153</v>
      </c>
      <c r="M1015" s="73"/>
      <c r="N1015" s="74">
        <v>6.7166717430848024</v>
      </c>
      <c r="O1015" s="74">
        <v>6.7302758123334918</v>
      </c>
      <c r="P1015" s="73"/>
      <c r="Q1015" s="72">
        <v>1921.084643921085</v>
      </c>
      <c r="R1015" s="72">
        <v>1320.1814339698342</v>
      </c>
      <c r="S1015" s="73"/>
      <c r="T1015" s="74">
        <v>4.6542708386151439</v>
      </c>
      <c r="U1015" s="74">
        <v>4.7089795731447532</v>
      </c>
      <c r="V1015" s="73"/>
      <c r="W1015" s="72">
        <v>10582.522168245448</v>
      </c>
      <c r="X1015" s="72">
        <v>10558.930586899829</v>
      </c>
      <c r="Y1015" s="73"/>
      <c r="Z1015" s="74">
        <v>2.8495907971416079</v>
      </c>
      <c r="AA1015" s="74">
        <v>2.8941417323005592</v>
      </c>
      <c r="AB1015" s="73"/>
      <c r="AC1015" s="72">
        <v>50277.150601605623</v>
      </c>
      <c r="AD1015" s="72">
        <v>50041.540876027531</v>
      </c>
      <c r="AE1015" s="73"/>
      <c r="AF1015" s="74">
        <v>4.5870016132635172</v>
      </c>
      <c r="AG1015" s="74">
        <v>4.7123057292745107</v>
      </c>
      <c r="AH1015" s="73"/>
      <c r="AI1015" s="72">
        <v>1995226.0593170153</v>
      </c>
      <c r="AJ1015" s="72">
        <v>0</v>
      </c>
      <c r="AK1015" s="73"/>
      <c r="AL1015" s="74">
        <v>-1751.0789320524048</v>
      </c>
      <c r="AM1015" s="74">
        <v>0</v>
      </c>
      <c r="AN1015" s="73"/>
      <c r="AO1015" s="72">
        <v>136437.54698745834</v>
      </c>
      <c r="AP1015" s="72">
        <v>0</v>
      </c>
      <c r="AQ1015" s="73"/>
      <c r="AR1015" s="74">
        <v>-97.960135120288584</v>
      </c>
      <c r="AS1015" s="74">
        <v>0</v>
      </c>
      <c r="AT1015" s="73"/>
      <c r="AU1015" s="72">
        <v>13527553.628961511</v>
      </c>
      <c r="AV1015" s="72">
        <v>0</v>
      </c>
      <c r="AW1015" s="73"/>
      <c r="AX1015" s="74">
        <v>-1231.6049041940521</v>
      </c>
      <c r="AY1015" s="74">
        <v>0</v>
      </c>
      <c r="AZ1015" s="73"/>
      <c r="BA1015" s="72">
        <v>205975.51251701097</v>
      </c>
      <c r="BB1015" s="72">
        <v>0</v>
      </c>
      <c r="BC1015" s="73"/>
      <c r="BD1015" s="74">
        <v>-388.96933478268056</v>
      </c>
      <c r="BE1015" s="74">
        <v>0</v>
      </c>
      <c r="BF1015" s="73"/>
      <c r="BG1015" s="72">
        <v>3836764.1365190884</v>
      </c>
      <c r="BH1015" s="72">
        <v>0</v>
      </c>
      <c r="BI1015" s="73"/>
      <c r="BJ1015" s="74">
        <v>-2040.5029431175224</v>
      </c>
      <c r="BK1015" s="74">
        <v>0</v>
      </c>
      <c r="BL1015" s="73"/>
      <c r="BM1015" s="72">
        <v>19701956.884302083</v>
      </c>
      <c r="BN1015" s="72">
        <v>0</v>
      </c>
      <c r="BO1015" s="73"/>
      <c r="BP1015" s="74">
        <v>-5510.1162492669482</v>
      </c>
      <c r="BQ1015" s="74">
        <v>0</v>
      </c>
      <c r="BS1015" s="109">
        <f t="shared" si="369"/>
        <v>117280.1913013114</v>
      </c>
      <c r="BT1015" s="109">
        <f t="shared" si="370"/>
        <v>117623.13380175093</v>
      </c>
      <c r="BV1015" s="58">
        <f t="array" ref="BV1015">SUM(IF(BS1015:BT1015&gt;=BS1015, 1))</f>
        <v>2</v>
      </c>
      <c r="BW1015" s="58">
        <f t="array" ref="BW1015">SUM(IF(BS1015:BT1015&gt;=BT1015, 1))</f>
        <v>1</v>
      </c>
      <c r="BY1015" s="109">
        <f t="shared" si="371"/>
        <v>134117.59832072398</v>
      </c>
      <c r="BZ1015" s="109">
        <f t="shared" si="372"/>
        <v>134408.62726875555</v>
      </c>
      <c r="CB1015" s="58">
        <f t="array" ref="CB1015">SUM(IF(BY1015:BZ1015&gt;=BY1015, 1))</f>
        <v>2</v>
      </c>
      <c r="CC1015" s="58">
        <f t="array" ref="CC1015">SUM(IF(BY1015:BZ1015&gt;=BZ1015, 1))</f>
        <v>1</v>
      </c>
      <c r="CE1015" s="109">
        <f t="shared" si="373"/>
        <v>91164.332128381793</v>
      </c>
      <c r="CF1015" s="109">
        <f t="shared" si="374"/>
        <v>92859.410028925238</v>
      </c>
      <c r="CH1015" s="58">
        <f t="array" ref="CH1015">SUM(IF(CE1015:CF1015&gt;=CE1015, 1))</f>
        <v>2</v>
      </c>
      <c r="CI1015" s="58">
        <f t="array" ref="CI1015">SUM(IF(CE1015:CF1015&gt;=CF1015, 1))</f>
        <v>1</v>
      </c>
      <c r="CK1015" s="109">
        <f t="shared" si="375"/>
        <v>46409.293774586709</v>
      </c>
      <c r="CL1015" s="109">
        <f t="shared" si="376"/>
        <v>47323.904059111359</v>
      </c>
      <c r="CN1015" s="58">
        <f t="array" ref="CN1015">SUM(IF(CK1015:CL1015&gt;=CK1015, 1))</f>
        <v>2</v>
      </c>
      <c r="CO1015" s="58">
        <f t="array" ref="CO1015">SUM(IF(CK1015:CL1015&gt;=CL1015, 1))</f>
        <v>1</v>
      </c>
      <c r="CQ1015" s="109" cm="1">
        <f t="array" ref="CQ1015">AF1015*WTP-AC1015</f>
        <v>41462.881663664724</v>
      </c>
      <c r="CR1015" s="109">
        <f t="shared" si="377"/>
        <v>44204.573709462682</v>
      </c>
      <c r="CT1015" s="58">
        <f t="array" ref="CT1015">SUM(IF(CQ1015:CR1015&gt;=CQ1015, 1))</f>
        <v>2</v>
      </c>
      <c r="CU1015" s="58">
        <f t="array" ref="CU1015">SUM(IF(CQ1015:CR1015&gt;=CR1015, 1))</f>
        <v>1</v>
      </c>
      <c r="CW1015" s="109">
        <f t="shared" si="378"/>
        <v>-37016804.700365111</v>
      </c>
      <c r="CX1015" s="109">
        <f t="shared" si="379"/>
        <v>0</v>
      </c>
      <c r="CZ1015" s="58">
        <f t="array" ref="CZ1015">SUM(IF(CW1015:CX1015&gt;=CW1015, 1))</f>
        <v>2</v>
      </c>
      <c r="DA1015" s="58">
        <f t="array" ref="DA1015">SUM(IF(CW1015:CX1015&gt;=CX1015, 1))</f>
        <v>1</v>
      </c>
      <c r="DC1015" s="109">
        <f t="shared" si="380"/>
        <v>-2095640.2493932301</v>
      </c>
      <c r="DD1015" s="109">
        <f t="shared" si="381"/>
        <v>0</v>
      </c>
      <c r="DF1015" s="58">
        <f t="array" ref="DF1015">SUM(IF(DC1015:DD1015&gt;=DC1015, 1))</f>
        <v>2</v>
      </c>
      <c r="DG1015" s="58">
        <f t="array" ref="DG1015">SUM(IF(DC1015:DD1015&gt;=DD1015, 1))</f>
        <v>1</v>
      </c>
      <c r="DI1015" s="109">
        <f t="shared" si="382"/>
        <v>-38159651.712842554</v>
      </c>
      <c r="DJ1015" s="109">
        <f t="shared" si="383"/>
        <v>0</v>
      </c>
      <c r="DL1015" s="58">
        <f t="array" ref="DL1015">SUM(IF(DI1015:DJ1015&gt;=DI1015, 1))</f>
        <v>2</v>
      </c>
      <c r="DM1015" s="58">
        <f t="array" ref="DM1015">SUM(IF(DI1015:DJ1015&gt;=DJ1015, 1))</f>
        <v>1</v>
      </c>
      <c r="DO1015" s="109">
        <f t="shared" si="384"/>
        <v>-7985362.2081706217</v>
      </c>
      <c r="DP1015" s="109">
        <f t="shared" si="385"/>
        <v>0</v>
      </c>
      <c r="DR1015" s="58">
        <f t="array" ref="DR1015">SUM(IF(DO1015:DP1015&gt;=DO1015, 1))</f>
        <v>2</v>
      </c>
      <c r="DS1015" s="58">
        <f t="array" ref="DS1015">SUM(IF(DO1015:DP1015&gt;=DP1015, 1))</f>
        <v>1</v>
      </c>
      <c r="DU1015" s="109">
        <f t="shared" si="386"/>
        <v>-44646822.998869538</v>
      </c>
      <c r="DV1015" s="109">
        <f t="shared" si="387"/>
        <v>0</v>
      </c>
      <c r="DX1015" s="58">
        <f t="array" ref="DX1015">SUM(IF(DU1015:DV1015&gt;=DU1015, 1))</f>
        <v>2</v>
      </c>
      <c r="DY1015" s="58">
        <f t="array" ref="DY1015">SUM(IF(DU1015:DV1015&gt;=DV1015, 1))</f>
        <v>1</v>
      </c>
      <c r="EA1015" s="109">
        <f t="shared" si="388"/>
        <v>-129904281.86964105</v>
      </c>
      <c r="EB1015" s="109">
        <f t="shared" si="389"/>
        <v>0</v>
      </c>
      <c r="ED1015" s="58">
        <f t="array" ref="ED1015">SUM(IF(EA1015:EB1015&gt;=EA1015, 1))</f>
        <v>2</v>
      </c>
      <c r="EE1015" s="58">
        <f t="array" ref="EE1015">SUM(IF(EA1015:EB1015&gt;=EB1015, 1))</f>
        <v>1</v>
      </c>
    </row>
    <row r="1016" spans="4:135" ht="12" customHeight="1" x14ac:dyDescent="0.25">
      <c r="D1016" s="11">
        <v>1000</v>
      </c>
      <c r="E1016" s="72">
        <v>270.99966709092638</v>
      </c>
      <c r="F1016" s="72">
        <v>242.9982779231608</v>
      </c>
      <c r="G1016" s="73"/>
      <c r="H1016" s="74">
        <v>5.7535216300322709</v>
      </c>
      <c r="I1016" s="74">
        <v>5.7699166694499606</v>
      </c>
      <c r="J1016" s="73"/>
      <c r="K1016" s="72">
        <v>290.66852480468577</v>
      </c>
      <c r="L1016" s="72">
        <v>262.0146409054318</v>
      </c>
      <c r="M1016" s="73"/>
      <c r="N1016" s="74">
        <v>6.7785062334631272</v>
      </c>
      <c r="O1016" s="74">
        <v>6.7929123742381492</v>
      </c>
      <c r="P1016" s="73"/>
      <c r="Q1016" s="72">
        <v>3462.4644416541842</v>
      </c>
      <c r="R1016" s="72">
        <v>1731.1769272975864</v>
      </c>
      <c r="S1016" s="73"/>
      <c r="T1016" s="74">
        <v>4.7444901287630836</v>
      </c>
      <c r="U1016" s="74">
        <v>4.8660043978430156</v>
      </c>
      <c r="V1016" s="73"/>
      <c r="W1016" s="72">
        <v>10713.944771347262</v>
      </c>
      <c r="X1016" s="72">
        <v>10723.218810333388</v>
      </c>
      <c r="Y1016" s="73"/>
      <c r="Z1016" s="74">
        <v>3.0846159330587688</v>
      </c>
      <c r="AA1016" s="74">
        <v>3.1469311478947279</v>
      </c>
      <c r="AB1016" s="73"/>
      <c r="AC1016" s="72">
        <v>50783.94367909267</v>
      </c>
      <c r="AD1016" s="72">
        <v>50721.3794572146</v>
      </c>
      <c r="AE1016" s="73"/>
      <c r="AF1016" s="74">
        <v>4.542670914196103</v>
      </c>
      <c r="AG1016" s="74">
        <v>4.5971547121894796</v>
      </c>
      <c r="AH1016" s="73"/>
      <c r="AI1016" s="72">
        <v>2961124.9248214648</v>
      </c>
      <c r="AJ1016" s="72">
        <v>0</v>
      </c>
      <c r="AK1016" s="73"/>
      <c r="AL1016" s="74">
        <v>-1733.762549146606</v>
      </c>
      <c r="AM1016" s="74">
        <v>0</v>
      </c>
      <c r="AN1016" s="73"/>
      <c r="AO1016" s="72">
        <v>201073.20690013765</v>
      </c>
      <c r="AP1016" s="72">
        <v>0</v>
      </c>
      <c r="AQ1016" s="73"/>
      <c r="AR1016" s="74">
        <v>-101.09236621719984</v>
      </c>
      <c r="AS1016" s="74">
        <v>0</v>
      </c>
      <c r="AT1016" s="73"/>
      <c r="AU1016" s="72">
        <v>41112932.620374121</v>
      </c>
      <c r="AV1016" s="72">
        <v>0</v>
      </c>
      <c r="AW1016" s="73"/>
      <c r="AX1016" s="74">
        <v>-2885.6027180175552</v>
      </c>
      <c r="AY1016" s="74">
        <v>0</v>
      </c>
      <c r="AZ1016" s="73"/>
      <c r="BA1016" s="72">
        <v>-80134.652022928989</v>
      </c>
      <c r="BB1016" s="72">
        <v>0</v>
      </c>
      <c r="BC1016" s="73"/>
      <c r="BD1016" s="74">
        <v>-538.45019026595128</v>
      </c>
      <c r="BE1016" s="74">
        <v>0</v>
      </c>
      <c r="BF1016" s="73"/>
      <c r="BG1016" s="72">
        <v>1006596.9544937037</v>
      </c>
      <c r="BH1016" s="72">
        <v>0</v>
      </c>
      <c r="BI1016" s="73"/>
      <c r="BJ1016" s="74">
        <v>-876.59086108775364</v>
      </c>
      <c r="BK1016" s="74">
        <v>0</v>
      </c>
      <c r="BL1016" s="73"/>
      <c r="BM1016" s="72">
        <v>45201593.054566495</v>
      </c>
      <c r="BN1016" s="72">
        <v>0</v>
      </c>
      <c r="BO1016" s="73"/>
      <c r="BP1016" s="74">
        <v>-6135.4986847350665</v>
      </c>
      <c r="BQ1016" s="74">
        <v>0</v>
      </c>
      <c r="BS1016" s="109">
        <f t="shared" si="369"/>
        <v>114799.43293355449</v>
      </c>
      <c r="BT1016" s="109">
        <f t="shared" si="370"/>
        <v>115155.33511107604</v>
      </c>
      <c r="BV1016" s="58">
        <f t="array" ref="BV1016">SUM(IF(BS1016:BT1016&gt;=BS1016, 1))</f>
        <v>2</v>
      </c>
      <c r="BW1016" s="58">
        <f t="array" ref="BW1016">SUM(IF(BS1016:BT1016&gt;=BT1016, 1))</f>
        <v>1</v>
      </c>
      <c r="BY1016" s="109">
        <f t="shared" si="371"/>
        <v>135279.45614445786</v>
      </c>
      <c r="BZ1016" s="109">
        <f t="shared" si="372"/>
        <v>135596.23284385755</v>
      </c>
      <c r="CB1016" s="58">
        <f t="array" ref="CB1016">SUM(IF(BY1016:BZ1016&gt;=BY1016, 1))</f>
        <v>2</v>
      </c>
      <c r="CC1016" s="58">
        <f t="array" ref="CC1016">SUM(IF(BY1016:BZ1016&gt;=BZ1016, 1))</f>
        <v>1</v>
      </c>
      <c r="CE1016" s="109">
        <f t="shared" si="373"/>
        <v>91427.338133607482</v>
      </c>
      <c r="CF1016" s="109">
        <f t="shared" si="374"/>
        <v>95588.911029562732</v>
      </c>
      <c r="CH1016" s="58">
        <f t="array" ref="CH1016">SUM(IF(CE1016:CF1016&gt;=CE1016, 1))</f>
        <v>2</v>
      </c>
      <c r="CI1016" s="58">
        <f t="array" ref="CI1016">SUM(IF(CE1016:CF1016&gt;=CF1016, 1))</f>
        <v>1</v>
      </c>
      <c r="CK1016" s="109">
        <f t="shared" si="375"/>
        <v>50978.373889828115</v>
      </c>
      <c r="CL1016" s="109">
        <f t="shared" si="376"/>
        <v>52215.404147561167</v>
      </c>
      <c r="CN1016" s="58">
        <f t="array" ref="CN1016">SUM(IF(CK1016:CL1016&gt;=CK1016, 1))</f>
        <v>2</v>
      </c>
      <c r="CO1016" s="58">
        <f t="array" ref="CO1016">SUM(IF(CK1016:CL1016&gt;=CL1016, 1))</f>
        <v>1</v>
      </c>
      <c r="CQ1016" s="109" cm="1">
        <f t="array" ref="CQ1016">AF1016*WTP-AC1016</f>
        <v>40069.474604829389</v>
      </c>
      <c r="CR1016" s="109">
        <f t="shared" si="377"/>
        <v>41221.714786574987</v>
      </c>
      <c r="CT1016" s="58">
        <f t="array" ref="CT1016">SUM(IF(CQ1016:CR1016&gt;=CQ1016, 1))</f>
        <v>2</v>
      </c>
      <c r="CU1016" s="58">
        <f t="array" ref="CU1016">SUM(IF(CQ1016:CR1016&gt;=CR1016, 1))</f>
        <v>1</v>
      </c>
      <c r="CW1016" s="109">
        <f t="shared" si="378"/>
        <v>-37636375.907753587</v>
      </c>
      <c r="CX1016" s="109">
        <f t="shared" si="379"/>
        <v>0</v>
      </c>
      <c r="CZ1016" s="58">
        <f t="array" ref="CZ1016">SUM(IF(CW1016:CX1016&gt;=CW1016, 1))</f>
        <v>2</v>
      </c>
      <c r="DA1016" s="58">
        <f t="array" ref="DA1016">SUM(IF(CW1016:CX1016&gt;=CX1016, 1))</f>
        <v>1</v>
      </c>
      <c r="DC1016" s="109">
        <f t="shared" si="380"/>
        <v>-2222920.5312441345</v>
      </c>
      <c r="DD1016" s="109">
        <f t="shared" si="381"/>
        <v>0</v>
      </c>
      <c r="DF1016" s="58">
        <f t="array" ref="DF1016">SUM(IF(DC1016:DD1016&gt;=DC1016, 1))</f>
        <v>2</v>
      </c>
      <c r="DG1016" s="58">
        <f t="array" ref="DG1016">SUM(IF(DC1016:DD1016&gt;=DD1016, 1))</f>
        <v>1</v>
      </c>
      <c r="DI1016" s="109">
        <f t="shared" si="382"/>
        <v>-98824986.980725229</v>
      </c>
      <c r="DJ1016" s="109">
        <f t="shared" si="383"/>
        <v>0</v>
      </c>
      <c r="DL1016" s="58">
        <f t="array" ref="DL1016">SUM(IF(DI1016:DJ1016&gt;=DI1016, 1))</f>
        <v>2</v>
      </c>
      <c r="DM1016" s="58">
        <f t="array" ref="DM1016">SUM(IF(DI1016:DJ1016&gt;=DJ1016, 1))</f>
        <v>1</v>
      </c>
      <c r="DO1016" s="109">
        <f t="shared" si="384"/>
        <v>-10688869.153296096</v>
      </c>
      <c r="DP1016" s="109">
        <f t="shared" si="385"/>
        <v>0</v>
      </c>
      <c r="DR1016" s="58">
        <f t="array" ref="DR1016">SUM(IF(DO1016:DP1016&gt;=DO1016, 1))</f>
        <v>2</v>
      </c>
      <c r="DS1016" s="58">
        <f t="array" ref="DS1016">SUM(IF(DO1016:DP1016&gt;=DP1016, 1))</f>
        <v>1</v>
      </c>
      <c r="DU1016" s="109">
        <f t="shared" si="386"/>
        <v>-18538414.176248778</v>
      </c>
      <c r="DV1016" s="109">
        <f t="shared" si="387"/>
        <v>0</v>
      </c>
      <c r="DX1016" s="58">
        <f t="array" ref="DX1016">SUM(IF(DU1016:DV1016&gt;=DU1016, 1))</f>
        <v>2</v>
      </c>
      <c r="DY1016" s="58">
        <f t="array" ref="DY1016">SUM(IF(DU1016:DV1016&gt;=DV1016, 1))</f>
        <v>1</v>
      </c>
      <c r="EA1016" s="109">
        <f t="shared" si="388"/>
        <v>-167911566.74926782</v>
      </c>
      <c r="EB1016" s="109">
        <f t="shared" si="389"/>
        <v>0</v>
      </c>
      <c r="ED1016" s="58">
        <f t="array" ref="ED1016">SUM(IF(EA1016:EB1016&gt;=EA1016, 1))</f>
        <v>2</v>
      </c>
      <c r="EE1016" s="58">
        <f t="array" ref="EE1016">SUM(IF(EA1016:EB1016&gt;=EB1016, 1))</f>
        <v>1</v>
      </c>
    </row>
  </sheetData>
  <mergeCells count="110">
    <mergeCell ref="DG13:DG15"/>
    <mergeCell ref="DO4:DS4"/>
    <mergeCell ref="DO13:DO15"/>
    <mergeCell ref="DP13:DP15"/>
    <mergeCell ref="E4:I4"/>
    <mergeCell ref="K4:O4"/>
    <mergeCell ref="BY4:CC4"/>
    <mergeCell ref="BY13:BY15"/>
    <mergeCell ref="BZ13:BZ15"/>
    <mergeCell ref="BS4:BW4"/>
    <mergeCell ref="BS13:BS15"/>
    <mergeCell ref="E13:E15"/>
    <mergeCell ref="I13:I15"/>
    <mergeCell ref="CC13:CC15"/>
    <mergeCell ref="F13:F15"/>
    <mergeCell ref="CB13:CB15"/>
    <mergeCell ref="H13:H15"/>
    <mergeCell ref="K13:K15"/>
    <mergeCell ref="BM4:BQ4"/>
    <mergeCell ref="BM13:BM15"/>
    <mergeCell ref="BN13:BN15"/>
    <mergeCell ref="BP13:BP15"/>
    <mergeCell ref="BQ13:BQ15"/>
    <mergeCell ref="L13:L15"/>
    <mergeCell ref="N13:N15"/>
    <mergeCell ref="O13:O15"/>
    <mergeCell ref="BJ13:BJ15"/>
    <mergeCell ref="BK13:BK15"/>
    <mergeCell ref="AS13:AS15"/>
    <mergeCell ref="AL13:AL15"/>
    <mergeCell ref="AM13:AM15"/>
    <mergeCell ref="BA4:BE4"/>
    <mergeCell ref="BA13:BA15"/>
    <mergeCell ref="BB13:BB15"/>
    <mergeCell ref="BD13:BD15"/>
    <mergeCell ref="BE13:BE15"/>
    <mergeCell ref="AU4:AY4"/>
    <mergeCell ref="AU13:AU15"/>
    <mergeCell ref="AV13:AV15"/>
    <mergeCell ref="AX13:AX15"/>
    <mergeCell ref="AY13:AY15"/>
    <mergeCell ref="AO4:AS4"/>
    <mergeCell ref="AO13:AO15"/>
    <mergeCell ref="AP13:AP15"/>
    <mergeCell ref="AR13:AR15"/>
    <mergeCell ref="BG4:BK4"/>
    <mergeCell ref="BG13:BG15"/>
    <mergeCell ref="BH13:BH15"/>
    <mergeCell ref="Q4:U4"/>
    <mergeCell ref="Q13:Q15"/>
    <mergeCell ref="R13:R15"/>
    <mergeCell ref="T13:T15"/>
    <mergeCell ref="U13:U15"/>
    <mergeCell ref="AC4:AG4"/>
    <mergeCell ref="AC13:AC15"/>
    <mergeCell ref="AD13:AD15"/>
    <mergeCell ref="AF13:AF15"/>
    <mergeCell ref="AG13:AG15"/>
    <mergeCell ref="W4:AA4"/>
    <mergeCell ref="W13:W15"/>
    <mergeCell ref="X13:X15"/>
    <mergeCell ref="Z13:Z15"/>
    <mergeCell ref="AA13:AA15"/>
    <mergeCell ref="AI4:AM4"/>
    <mergeCell ref="AI13:AI15"/>
    <mergeCell ref="AJ13:AJ15"/>
    <mergeCell ref="EA4:EE4"/>
    <mergeCell ref="EA13:EA15"/>
    <mergeCell ref="EB13:EB15"/>
    <mergeCell ref="ED13:ED15"/>
    <mergeCell ref="EE13:EE15"/>
    <mergeCell ref="DU4:DY4"/>
    <mergeCell ref="DU13:DU15"/>
    <mergeCell ref="DV13:DV15"/>
    <mergeCell ref="DX13:DX15"/>
    <mergeCell ref="DY13:DY15"/>
    <mergeCell ref="DR13:DR15"/>
    <mergeCell ref="DS13:DS15"/>
    <mergeCell ref="DI4:DM4"/>
    <mergeCell ref="DI13:DI15"/>
    <mergeCell ref="DJ13:DJ15"/>
    <mergeCell ref="DL13:DL15"/>
    <mergeCell ref="DM13:DM15"/>
    <mergeCell ref="DC4:DG4"/>
    <mergeCell ref="DC13:DC15"/>
    <mergeCell ref="DD13:DD15"/>
    <mergeCell ref="DF13:DF15"/>
    <mergeCell ref="CW4:DA4"/>
    <mergeCell ref="CW13:CW15"/>
    <mergeCell ref="CX13:CX15"/>
    <mergeCell ref="CZ13:CZ15"/>
    <mergeCell ref="DA13:DA15"/>
    <mergeCell ref="CQ4:CU4"/>
    <mergeCell ref="CQ13:CQ15"/>
    <mergeCell ref="CR13:CR15"/>
    <mergeCell ref="CT13:CT15"/>
    <mergeCell ref="CU13:CU15"/>
    <mergeCell ref="BW13:BW15"/>
    <mergeCell ref="BT13:BT15"/>
    <mergeCell ref="BV13:BV15"/>
    <mergeCell ref="CO13:CO15"/>
    <mergeCell ref="CE4:CI4"/>
    <mergeCell ref="CE13:CE15"/>
    <mergeCell ref="CF13:CF15"/>
    <mergeCell ref="CH13:CH15"/>
    <mergeCell ref="CI13:CI15"/>
    <mergeCell ref="CK4:CO4"/>
    <mergeCell ref="CK13:CK15"/>
    <mergeCell ref="CL13:CL15"/>
    <mergeCell ref="CN13:CN1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MC">
                <anchor moveWithCells="1" sizeWithCells="1">
                  <from>
                    <xdr:col>1</xdr:col>
                    <xdr:colOff>142875</xdr:colOff>
                    <xdr:row>6</xdr:row>
                    <xdr:rowOff>95250</xdr:rowOff>
                  </from>
                  <to>
                    <xdr:col>1</xdr:col>
                    <xdr:colOff>1057275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tPSA2">
    <tabColor rgb="FFFF00FF"/>
  </sheetPr>
  <dimension ref="A1:P1014"/>
  <sheetViews>
    <sheetView zoomScaleNormal="100" workbookViewId="0">
      <pane xSplit="4" ySplit="14" topLeftCell="E15" activePane="bottomRight" state="frozen"/>
      <selection activeCell="E2" sqref="E2"/>
      <selection pane="topRight" activeCell="E2" sqref="E2"/>
      <selection pane="bottomLeft" activeCell="E2" sqref="E2"/>
      <selection pane="bottomRight" activeCell="E15" sqref="E15"/>
    </sheetView>
  </sheetViews>
  <sheetFormatPr defaultColWidth="9.28515625" defaultRowHeight="12" customHeight="1" x14ac:dyDescent="0.25"/>
  <cols>
    <col min="1" max="1" width="1.7109375" style="69" customWidth="1"/>
    <col min="2" max="2" width="19.7109375" style="69" customWidth="1"/>
    <col min="3" max="3" width="1.7109375" style="94" customWidth="1"/>
    <col min="4" max="4" width="6.28515625" hidden="1" customWidth="1"/>
    <col min="5" max="5" width="2.7109375" customWidth="1"/>
    <col min="6" max="8" width="28.140625" customWidth="1"/>
    <col min="9" max="9" width="6.28515625" customWidth="1"/>
    <col min="10" max="10" width="12.7109375" customWidth="1"/>
    <col min="11" max="13" width="16.5703125" customWidth="1"/>
    <col min="14" max="16" width="16.5703125" style="11" customWidth="1"/>
    <col min="17" max="17" width="2.7109375" style="11" customWidth="1"/>
    <col min="18" max="20" width="8.7109375" style="11" customWidth="1"/>
    <col min="21" max="16384" width="9.28515625" style="11"/>
  </cols>
  <sheetData>
    <row r="1" spans="1:16" s="5" customFormat="1" ht="24.95" customHeight="1" thickBot="1" x14ac:dyDescent="0.3">
      <c r="A1" s="68"/>
      <c r="B1" s="69"/>
      <c r="C1" s="68"/>
      <c r="D1"/>
      <c r="E1" s="4" t="str">
        <f>zWorkbookTitle</f>
        <v>Camacho et al. (2024) Harms of hazardous prescribing of NSAIDs</v>
      </c>
      <c r="F1" s="4"/>
      <c r="G1" s="4"/>
      <c r="H1" s="4"/>
      <c r="I1" s="4"/>
    </row>
    <row r="2" spans="1:16" ht="12" hidden="1" customHeight="1" thickTop="1" x14ac:dyDescent="0.25">
      <c r="F2">
        <f>MATCH(drpPSA.Q, lstQs, 0)</f>
        <v>11</v>
      </c>
      <c r="G2" t="b">
        <f>OR(AND(F2&gt;=15, F2&lt;=20), AND(F2&gt;=27, F2&lt;=32))</f>
        <v>0</v>
      </c>
      <c r="H2" s="38" t="str">
        <f>IF(G2, "Difference in " &amp; IF(G3, "HPE", "QALY") &amp; "s per practice,
" &amp; IF(F2&lt;27, "PINCER", "OptimiseRx") &amp; " -v- no intervention", IF(F2&lt;=26, "QALY impact of hazardous prescribing", "Incremental QALYs"))</f>
        <v>QALY impact of hazardous prescribing</v>
      </c>
      <c r="I2" s="40" t="str">
        <f>"Value of 1 " &amp; IF(G3, "HPE", "QALY")</f>
        <v>Value of 1 HPE</v>
      </c>
      <c r="K2" s="11"/>
      <c r="L2" s="53">
        <f ca="1">MAX(L15:L122)</f>
        <v>-3740.9108139326659</v>
      </c>
      <c r="M2" s="11">
        <v>-40000000</v>
      </c>
      <c r="N2" s="11">
        <v>180000000</v>
      </c>
      <c r="O2" s="11">
        <v>-12000</v>
      </c>
      <c r="P2" s="11">
        <v>2000</v>
      </c>
    </row>
    <row r="3" spans="1:16" ht="12" hidden="1" customHeight="1" thickBot="1" x14ac:dyDescent="0.3">
      <c r="G3" t="b">
        <f>ISNA(MATCH(F2, {15,16,17,30,31,32}, 0))</f>
        <v>1</v>
      </c>
      <c r="H3" s="11" t="str">
        <f>IF(G2, "Difference in costs per practice,
" &amp; IF(F2&lt;27, "PINCER", "OptimiseRx") &amp; " -v- no intervention", IF(F2&lt;=26, "Cost impact of hazardous prescribing", "Incremental costs"))</f>
        <v>Cost impact of hazardous prescribing</v>
      </c>
      <c r="K3" s="11" cm="1">
        <f t="array" aca="1" ref="K3" ca="1">AVERAGE(IF(K15:K164&lt;0, 1, 0))</f>
        <v>0</v>
      </c>
      <c r="L3" s="11" cm="1">
        <f t="array" aca="1" ref="L3" ca="1">AVERAGE(IF(L15:L164&gt;0, 1, 0))</f>
        <v>0</v>
      </c>
      <c r="M3" s="11"/>
    </row>
    <row r="4" spans="1:16" ht="12" customHeight="1" thickTop="1" thickBot="1" x14ac:dyDescent="0.3">
      <c r="F4" s="524" t="s">
        <v>431</v>
      </c>
      <c r="G4" s="525"/>
      <c r="H4" s="526"/>
      <c r="J4" s="91"/>
      <c r="K4" s="91"/>
      <c r="L4" s="91"/>
      <c r="M4" s="91"/>
      <c r="N4" s="91"/>
      <c r="O4" s="91"/>
      <c r="P4" s="91"/>
    </row>
    <row r="5" spans="1:16" ht="12" customHeight="1" thickBot="1" x14ac:dyDescent="0.3">
      <c r="F5" s="521" t="s">
        <v>888</v>
      </c>
      <c r="G5" s="522"/>
      <c r="H5" s="523"/>
      <c r="J5" s="446"/>
      <c r="K5" s="452" t="s">
        <v>39</v>
      </c>
      <c r="L5" s="452" t="s">
        <v>40</v>
      </c>
      <c r="M5" s="452" t="s">
        <v>432</v>
      </c>
      <c r="N5" s="446"/>
      <c r="O5" s="446"/>
      <c r="P5" s="518"/>
    </row>
    <row r="6" spans="1:16" ht="12" customHeight="1" thickBot="1" x14ac:dyDescent="0.3">
      <c r="J6" s="466"/>
      <c r="K6" s="452"/>
      <c r="L6" s="452"/>
      <c r="M6" s="452"/>
      <c r="N6" s="466"/>
      <c r="O6" s="466"/>
      <c r="P6" s="519"/>
    </row>
    <row r="7" spans="1:16" ht="12" customHeight="1" thickBot="1" x14ac:dyDescent="0.3">
      <c r="B7" s="400"/>
      <c r="J7" s="447"/>
      <c r="K7" s="452"/>
      <c r="L7" s="452"/>
      <c r="M7" s="452"/>
      <c r="N7" s="447"/>
      <c r="O7" s="447"/>
      <c r="P7" s="520"/>
    </row>
    <row r="8" spans="1:16" ht="12" customHeight="1" thickBot="1" x14ac:dyDescent="0.3">
      <c r="J8" s="25" t="s">
        <v>8</v>
      </c>
      <c r="K8" s="67">
        <f ca="1">AVERAGE(OFFSET(K$15, 0, 0, numSims))</f>
        <v>31197502.332743172</v>
      </c>
      <c r="L8" s="92">
        <f ca="1">AVERAGE(OFFSET(L$15, 0, 0, numSims))</f>
        <v>-6174.5594430818865</v>
      </c>
      <c r="M8" s="75">
        <f ca="1">AVERAGE(OFFSET(M$15, 0, 0, numSims))</f>
        <v>-7734.4345597190477</v>
      </c>
      <c r="N8" s="517" t="s">
        <v>73</v>
      </c>
      <c r="O8" s="517"/>
      <c r="P8" s="517"/>
    </row>
    <row r="9" spans="1:16" ht="12" customHeight="1" thickBot="1" x14ac:dyDescent="0.3">
      <c r="J9" s="25" t="s">
        <v>9</v>
      </c>
      <c r="K9" s="67">
        <f ca="1">_xlfn.STDEV.S(OFFSET(K$15, 0, 0, numSims))</f>
        <v>14708239.642822415</v>
      </c>
      <c r="L9" s="92">
        <f ca="1">_xlfn.STDEV.S(OFFSET(L$15, 0, 0, numSims))</f>
        <v>1072.3055397985613</v>
      </c>
      <c r="M9" s="75">
        <f ca="1">_xlfn.STDEV.S(OFFSET(M$15, 0, 0, numSims))</f>
        <v>1648.075470382541</v>
      </c>
      <c r="N9" s="112"/>
      <c r="O9" s="112" t="s">
        <v>69</v>
      </c>
      <c r="P9" s="112" t="s">
        <v>70</v>
      </c>
    </row>
    <row r="10" spans="1:16" ht="12" customHeight="1" thickBot="1" x14ac:dyDescent="0.3">
      <c r="J10" s="25" t="s">
        <v>44</v>
      </c>
      <c r="K10" s="67">
        <f ca="1">_xlfn.PERCENTILE.INC(OFFSET(K$15, 0, 0, numSims), 0)</f>
        <v>2948222.5973036462</v>
      </c>
      <c r="L10" s="92">
        <f ca="1">_xlfn.PERCENTILE.INC(OFFSET(L$15, 0, 0, numSims), 0)</f>
        <v>-10604.481929986221</v>
      </c>
      <c r="M10" s="75">
        <f ca="1">_xlfn.PERCENTILE.INC(OFFSET(M$15, 0, 0, numSims), 0)</f>
        <v>-18359.827952973246</v>
      </c>
      <c r="N10" t="s">
        <v>60</v>
      </c>
      <c r="O10" s="16">
        <v>0.95</v>
      </c>
      <c r="P10" s="93">
        <f ca="1">CORREL(OFFSET($K$15, 0, 0, numSims), OFFSET($L$15, 0, 0, numSims))</f>
        <v>-0.6502032476791525</v>
      </c>
    </row>
    <row r="11" spans="1:16" ht="12" customHeight="1" thickBot="1" x14ac:dyDescent="0.3">
      <c r="J11" s="25">
        <v>2.5000000000000001E-2</v>
      </c>
      <c r="K11" s="67">
        <f ca="1">_xlfn.PERCENTILE.INC(OFFSET(K$15, 0, 0, numSims), 0.025)</f>
        <v>10200386.579611752</v>
      </c>
      <c r="L11" s="92">
        <f ca="1">_xlfn.PERCENTILE.INC(OFFSET(L$15, 0, 0, numSims), 0.025)</f>
        <v>-8501.5865988972801</v>
      </c>
      <c r="M11" s="75">
        <f ca="1">_xlfn.PERCENTILE.INC(OFFSET(M$15, 0, 0, numSims), 0.025)</f>
        <v>-11597.780766473845</v>
      </c>
      <c r="N11" s="112"/>
      <c r="O11" s="112" t="s">
        <v>39</v>
      </c>
      <c r="P11" s="112" t="s">
        <v>40</v>
      </c>
    </row>
    <row r="12" spans="1:16" ht="12" customHeight="1" thickBot="1" x14ac:dyDescent="0.3">
      <c r="J12" s="25">
        <v>0.5</v>
      </c>
      <c r="K12" s="67">
        <f ca="1">_xlfn.PERCENTILE.INC(OFFSET(K$15, 0, 0, numSims), 0.5)</f>
        <v>29018517.300545737</v>
      </c>
      <c r="L12" s="92">
        <f ca="1">_xlfn.PERCENTILE.INC(OFFSET(L$15, 0, 0, numSims), 0.5)</f>
        <v>-6093.8018719032771</v>
      </c>
      <c r="M12" s="75">
        <f ca="1">_xlfn.PERCENTILE.INC(OFFSET(M$15, 0, 0, numSims), 0.5)</f>
        <v>-7580.8376252817543</v>
      </c>
      <c r="N12" t="s">
        <v>71</v>
      </c>
      <c r="O12" s="50">
        <f ca="1">AVERAGE(OFFSET(K15, 0, 0, numSims))</f>
        <v>31197502.332743172</v>
      </c>
      <c r="P12" s="75">
        <f ca="1">AVERAGE(OFFSET(L15, 0, 0, numSims))</f>
        <v>-6174.5594430818865</v>
      </c>
    </row>
    <row r="13" spans="1:16" ht="12" customHeight="1" thickBot="1" x14ac:dyDescent="0.3">
      <c r="J13" s="25">
        <v>0.97499999999999998</v>
      </c>
      <c r="K13" s="67">
        <f ca="1">_xlfn.PERCENTILE.INC(OFFSET(K$15, 0, 0, numSims), 0.975)</f>
        <v>68554941.847311586</v>
      </c>
      <c r="L13" s="92">
        <f ca="1">_xlfn.PERCENTILE.INC(OFFSET(L$15, 0, 0, numSims), 0.975)</f>
        <v>-4299.1955705591008</v>
      </c>
      <c r="M13" s="75">
        <f ca="1">_xlfn.PERCENTILE.INC(OFFSET(M$15, 0, 0, numSims), 0.975)</f>
        <v>-5015.4570391416473</v>
      </c>
      <c r="N13" t="s">
        <v>9</v>
      </c>
      <c r="O13" s="50">
        <f ca="1">_xlfn.STDEV.S(OFFSET(K15, 0, 0, numSims))</f>
        <v>14708239.642822415</v>
      </c>
      <c r="P13" s="75">
        <f ca="1">_xlfn.STDEV.S(OFFSET(L15, 0, 0, numSims))</f>
        <v>1072.3055397985613</v>
      </c>
    </row>
    <row r="14" spans="1:16" ht="12" customHeight="1" thickBot="1" x14ac:dyDescent="0.3">
      <c r="J14" s="25" t="s">
        <v>45</v>
      </c>
      <c r="K14" s="67">
        <f ca="1">_xlfn.PERCENTILE.INC(OFFSET(K$15, 0, 0, numSims), 1)</f>
        <v>155106920.45974052</v>
      </c>
      <c r="L14" s="92">
        <f ca="1">_xlfn.PERCENTILE.INC(OFFSET(L$15, 0, 0, numSims), 1)</f>
        <v>-3164.7032224278291</v>
      </c>
      <c r="M14" s="75">
        <f ca="1">_xlfn.PERCENTILE.INC(OFFSET(M$15, 0, 0, numSims), 1)</f>
        <v>-3312.1143522930115</v>
      </c>
      <c r="N14" s="112" t="s">
        <v>72</v>
      </c>
      <c r="O14" s="112" t="s">
        <v>39</v>
      </c>
      <c r="P14" s="112" t="s">
        <v>40</v>
      </c>
    </row>
    <row r="15" spans="1:16" ht="12" customHeight="1" x14ac:dyDescent="0.25">
      <c r="D15">
        <v>1</v>
      </c>
      <c r="K15" s="90">
        <f ca="1">_xlfn.LET(_xlpm.int, OFFSET(PSA.Data!$E17, 0, ($F$2-1)*6), _xlpm.ctrl, OFFSET(PSA.Data!$E17, 0, ($F$2-1)*6 + 1),
_xlpm.int - _xlpm.ctrl)</f>
        <v>45142105.452131391</v>
      </c>
      <c r="L15" s="421">
        <f ca="1">_xlfn.LET(_xlpm.int, OFFSET(PSA.Data!$H17, 0, ($F$2-1)*6), _xlpm.ctrl, OFFSET(PSA.Data!$H17, 0, ($F$2-1)*6 + 1),
_xlpm.int - _xlpm.ctrl)</f>
        <v>-6879.0715947478493</v>
      </c>
      <c r="M15" s="134">
        <f t="shared" ref="M15" ca="1" si="0">L15-K15/WTP</f>
        <v>-9136.1768673544193</v>
      </c>
      <c r="N15" s="80">
        <v>0</v>
      </c>
      <c r="O15" s="90">
        <f t="shared" ref="O15:O46" ca="1" si="1">O$12+SQRT(-2*LN(1-$O$10))*O$13*COS($N15-ACOS($P$10)/2)</f>
        <v>46253865.541996375</v>
      </c>
      <c r="P15" s="80">
        <f t="shared" ref="P15:P46" ca="1" si="2">P$12+SQRT(-2*LN(1-$O$10))*P$13*COS($N15+ACOS($P$10)/2)</f>
        <v>-5076.8739232256612</v>
      </c>
    </row>
    <row r="16" spans="1:16" ht="12" customHeight="1" x14ac:dyDescent="0.25">
      <c r="D16">
        <f>D15+1</f>
        <v>2</v>
      </c>
      <c r="K16" s="90">
        <f ca="1">_xlfn.LET(_xlpm.int, OFFSET(PSA.Data!$E18, 0, ($F$2-1)*6), _xlpm.ctrl, OFFSET(PSA.Data!$E18, 0, ($F$2-1)*6 + 1),
_xlpm.int - _xlpm.ctrl)</f>
        <v>27810082.317612607</v>
      </c>
      <c r="L16" s="421">
        <f ca="1">_xlfn.LET(_xlpm.int, OFFSET(PSA.Data!$H18, 0, ($F$2-1)*6), _xlpm.ctrl, OFFSET(PSA.Data!$H18, 0, ($F$2-1)*6 + 1),
_xlpm.int - _xlpm.ctrl)</f>
        <v>-5693.8424392899287</v>
      </c>
      <c r="M16" s="134">
        <f t="shared" ref="M16:M79" ca="1" si="3">L16-K16/WTP</f>
        <v>-7084.3465551705594</v>
      </c>
      <c r="N16" s="80">
        <f>N15+(2*PI()/100)</f>
        <v>6.2831853071795868E-2</v>
      </c>
      <c r="O16" s="90">
        <f t="shared" ca="1" si="1"/>
        <v>48277562.027870052</v>
      </c>
      <c r="P16" s="80">
        <f t="shared" ca="1" si="2"/>
        <v>-5228.7437615968038</v>
      </c>
    </row>
    <row r="17" spans="4:16" ht="12" customHeight="1" x14ac:dyDescent="0.25">
      <c r="D17">
        <f t="shared" ref="D17:D80" si="4">D16+1</f>
        <v>3</v>
      </c>
      <c r="K17" s="90">
        <f ca="1">_xlfn.LET(_xlpm.int, OFFSET(PSA.Data!$E19, 0, ($F$2-1)*6), _xlpm.ctrl, OFFSET(PSA.Data!$E19, 0, ($F$2-1)*6 + 1),
_xlpm.int - _xlpm.ctrl)</f>
        <v>16211638.612541543</v>
      </c>
      <c r="L17" s="421">
        <f ca="1">_xlfn.LET(_xlpm.int, OFFSET(PSA.Data!$H19, 0, ($F$2-1)*6), _xlpm.ctrl, OFFSET(PSA.Data!$H19, 0, ($F$2-1)*6 + 1),
_xlpm.int - _xlpm.ctrl)</f>
        <v>-5577.7627633588672</v>
      </c>
      <c r="M17" s="134">
        <f t="shared" ca="1" si="3"/>
        <v>-6388.3446939859441</v>
      </c>
      <c r="N17" s="80">
        <f>N16+(2*PI()/100)</f>
        <v>0.12566370614359174</v>
      </c>
      <c r="O17" s="90">
        <f t="shared" ca="1" si="1"/>
        <v>50233851.321264073</v>
      </c>
      <c r="P17" s="80">
        <f t="shared" ca="1" si="2"/>
        <v>-5384.3463023606855</v>
      </c>
    </row>
    <row r="18" spans="4:16" ht="12" customHeight="1" x14ac:dyDescent="0.25">
      <c r="D18">
        <f t="shared" si="4"/>
        <v>4</v>
      </c>
      <c r="K18" s="90">
        <f ca="1">_xlfn.LET(_xlpm.int, OFFSET(PSA.Data!$E20, 0, ($F$2-1)*6), _xlpm.ctrl, OFFSET(PSA.Data!$E20, 0, ($F$2-1)*6 + 1),
_xlpm.int - _xlpm.ctrl)</f>
        <v>34220027.503995091</v>
      </c>
      <c r="L18" s="421">
        <f ca="1">_xlfn.LET(_xlpm.int, OFFSET(PSA.Data!$H20, 0, ($F$2-1)*6), _xlpm.ctrl, OFFSET(PSA.Data!$H20, 0, ($F$2-1)*6 + 1),
_xlpm.int - _xlpm.ctrl)</f>
        <v>-5573.5834266291931</v>
      </c>
      <c r="M18" s="134">
        <f t="shared" ca="1" si="3"/>
        <v>-7284.584801828948</v>
      </c>
      <c r="N18" s="80">
        <f>N17+(2*PI()/100)</f>
        <v>0.1884955592153876</v>
      </c>
      <c r="O18" s="90">
        <f t="shared" ca="1" si="1"/>
        <v>52115012.842081018</v>
      </c>
      <c r="P18" s="80">
        <f t="shared" ca="1" si="2"/>
        <v>-5543.0674533769497</v>
      </c>
    </row>
    <row r="19" spans="4:16" ht="12" customHeight="1" x14ac:dyDescent="0.25">
      <c r="D19">
        <f t="shared" si="4"/>
        <v>5</v>
      </c>
      <c r="K19" s="90">
        <f ca="1">_xlfn.LET(_xlpm.int, OFFSET(PSA.Data!$E21, 0, ($F$2-1)*6), _xlpm.ctrl, OFFSET(PSA.Data!$E21, 0, ($F$2-1)*6 + 1),
_xlpm.int - _xlpm.ctrl)</f>
        <v>23993878.769540519</v>
      </c>
      <c r="L19" s="421">
        <f ca="1">_xlfn.LET(_xlpm.int, OFFSET(PSA.Data!$H21, 0, ($F$2-1)*6), _xlpm.ctrl, OFFSET(PSA.Data!$H21, 0, ($F$2-1)*6 + 1),
_xlpm.int - _xlpm.ctrl)</f>
        <v>-7528.7824254827237</v>
      </c>
      <c r="M19" s="134">
        <f t="shared" ca="1" si="3"/>
        <v>-8728.4763639597495</v>
      </c>
      <c r="N19" s="80">
        <f t="shared" ref="N19:N82" si="5">N18+(2*PI()/100)</f>
        <v>0.25132741228718347</v>
      </c>
      <c r="O19" s="90">
        <f t="shared" ca="1" si="1"/>
        <v>53913622.505219132</v>
      </c>
      <c r="P19" s="80">
        <f t="shared" ca="1" si="2"/>
        <v>-5704.2808147753312</v>
      </c>
    </row>
    <row r="20" spans="4:16" ht="12" customHeight="1" x14ac:dyDescent="0.25">
      <c r="D20">
        <f t="shared" si="4"/>
        <v>6</v>
      </c>
      <c r="K20" s="90">
        <f ca="1">_xlfn.LET(_xlpm.int, OFFSET(PSA.Data!$E22, 0, ($F$2-1)*6), _xlpm.ctrl, OFFSET(PSA.Data!$E22, 0, ($F$2-1)*6 + 1),
_xlpm.int - _xlpm.ctrl)</f>
        <v>28892445.987412669</v>
      </c>
      <c r="L20" s="421">
        <f ca="1">_xlfn.LET(_xlpm.int, OFFSET(PSA.Data!$H22, 0, ($F$2-1)*6), _xlpm.ctrl, OFFSET(PSA.Data!$H22, 0, ($F$2-1)*6 + 1),
_xlpm.int - _xlpm.ctrl)</f>
        <v>-5649.513184297668</v>
      </c>
      <c r="M20" s="134">
        <f t="shared" ca="1" si="3"/>
        <v>-7094.1354836683013</v>
      </c>
      <c r="N20" s="80">
        <f t="shared" si="5"/>
        <v>0.31415926535897931</v>
      </c>
      <c r="O20" s="90">
        <f t="shared" ca="1" si="1"/>
        <v>55622582.020044625</v>
      </c>
      <c r="P20" s="80">
        <f t="shared" ca="1" si="2"/>
        <v>-5867.3501510697715</v>
      </c>
    </row>
    <row r="21" spans="4:16" ht="12" customHeight="1" x14ac:dyDescent="0.25">
      <c r="D21">
        <f t="shared" si="4"/>
        <v>7</v>
      </c>
      <c r="K21" s="90">
        <f ca="1">_xlfn.LET(_xlpm.int, OFFSET(PSA.Data!$E23, 0, ($F$2-1)*6), _xlpm.ctrl, OFFSET(PSA.Data!$E23, 0, ($F$2-1)*6 + 1),
_xlpm.int - _xlpm.ctrl)</f>
        <v>19206139.323500611</v>
      </c>
      <c r="L21" s="421">
        <f ca="1">_xlfn.LET(_xlpm.int, OFFSET(PSA.Data!$H23, 0, ($F$2-1)*6), _xlpm.ctrl, OFFSET(PSA.Data!$H23, 0, ($F$2-1)*6 + 1),
_xlpm.int - _xlpm.ctrl)</f>
        <v>-6274.3060663523265</v>
      </c>
      <c r="M21" s="134">
        <f t="shared" ca="1" si="3"/>
        <v>-7234.6130325273571</v>
      </c>
      <c r="N21" s="80">
        <f t="shared" si="5"/>
        <v>0.37699111843077515</v>
      </c>
      <c r="O21" s="90">
        <f t="shared" ca="1" si="1"/>
        <v>57235146.904101811</v>
      </c>
      <c r="P21" s="80">
        <f t="shared" ca="1" si="2"/>
        <v>-6031.6319020892079</v>
      </c>
    </row>
    <row r="22" spans="4:16" ht="12" customHeight="1" x14ac:dyDescent="0.25">
      <c r="D22">
        <f t="shared" si="4"/>
        <v>8</v>
      </c>
      <c r="K22" s="90">
        <f ca="1">_xlfn.LET(_xlpm.int, OFFSET(PSA.Data!$E24, 0, ($F$2-1)*6), _xlpm.ctrl, OFFSET(PSA.Data!$E24, 0, ($F$2-1)*6 + 1),
_xlpm.int - _xlpm.ctrl)</f>
        <v>48295089.529413015</v>
      </c>
      <c r="L22" s="421">
        <f ca="1">_xlfn.LET(_xlpm.int, OFFSET(PSA.Data!$H24, 0, ($F$2-1)*6), _xlpm.ctrl, OFFSET(PSA.Data!$H24, 0, ($F$2-1)*6 + 1),
_xlpm.int - _xlpm.ctrl)</f>
        <v>-8325.9433765336089</v>
      </c>
      <c r="M22" s="134">
        <f t="shared" ca="1" si="3"/>
        <v>-10740.69785300426</v>
      </c>
      <c r="N22" s="80">
        <f t="shared" si="5"/>
        <v>0.43982297150257099</v>
      </c>
      <c r="O22" s="90">
        <f t="shared" ca="1" si="1"/>
        <v>58744953.10050413</v>
      </c>
      <c r="P22" s="80">
        <f t="shared" ca="1" si="2"/>
        <v>-6196.477722815559</v>
      </c>
    </row>
    <row r="23" spans="4:16" ht="12" customHeight="1" x14ac:dyDescent="0.25">
      <c r="D23">
        <f t="shared" si="4"/>
        <v>9</v>
      </c>
      <c r="K23" s="90">
        <f ca="1">_xlfn.LET(_xlpm.int, OFFSET(PSA.Data!$E25, 0, ($F$2-1)*6), _xlpm.ctrl, OFFSET(PSA.Data!$E25, 0, ($F$2-1)*6 + 1),
_xlpm.int - _xlpm.ctrl)</f>
        <v>30176936.510240927</v>
      </c>
      <c r="L23" s="421">
        <f ca="1">_xlfn.LET(_xlpm.int, OFFSET(PSA.Data!$H25, 0, ($F$2-1)*6), _xlpm.ctrl, OFFSET(PSA.Data!$H25, 0, ($F$2-1)*6 + 1),
_xlpm.int - _xlpm.ctrl)</f>
        <v>-7095.1528393598473</v>
      </c>
      <c r="M23" s="134">
        <f t="shared" ca="1" si="3"/>
        <v>-8603.9996648718934</v>
      </c>
      <c r="N23" s="80">
        <f t="shared" si="5"/>
        <v>0.50265482457436683</v>
      </c>
      <c r="O23" s="90">
        <f t="shared" ca="1" si="1"/>
        <v>60146042.093959227</v>
      </c>
      <c r="P23" s="80">
        <f t="shared" ca="1" si="2"/>
        <v>-6361.237042105312</v>
      </c>
    </row>
    <row r="24" spans="4:16" ht="12" customHeight="1" x14ac:dyDescent="0.25">
      <c r="D24">
        <f t="shared" si="4"/>
        <v>10</v>
      </c>
      <c r="K24" s="90">
        <f ca="1">_xlfn.LET(_xlpm.int, OFFSET(PSA.Data!$E26, 0, ($F$2-1)*6), _xlpm.ctrl, OFFSET(PSA.Data!$E26, 0, ($F$2-1)*6 + 1),
_xlpm.int - _xlpm.ctrl)</f>
        <v>20973570.984158065</v>
      </c>
      <c r="L24" s="421">
        <f ca="1">_xlfn.LET(_xlpm.int, OFFSET(PSA.Data!$H26, 0, ($F$2-1)*6), _xlpm.ctrl, OFFSET(PSA.Data!$H26, 0, ($F$2-1)*6 + 1),
_xlpm.int - _xlpm.ctrl)</f>
        <v>-5715.385338351949</v>
      </c>
      <c r="M24" s="134">
        <f t="shared" ca="1" si="3"/>
        <v>-6764.0638875598524</v>
      </c>
      <c r="N24" s="80">
        <f t="shared" si="5"/>
        <v>0.56548667764616267</v>
      </c>
      <c r="O24" s="90">
        <f t="shared" ca="1" si="1"/>
        <v>61432884.426306613</v>
      </c>
      <c r="P24" s="80">
        <f t="shared" ca="1" si="2"/>
        <v>-6525.2596301966023</v>
      </c>
    </row>
    <row r="25" spans="4:16" ht="12" customHeight="1" x14ac:dyDescent="0.25">
      <c r="D25">
        <f t="shared" si="4"/>
        <v>11</v>
      </c>
      <c r="K25" s="90">
        <f ca="1">_xlfn.LET(_xlpm.int, OFFSET(PSA.Data!$E27, 0, ($F$2-1)*6), _xlpm.ctrl, OFFSET(PSA.Data!$E27, 0, ($F$2-1)*6 + 1),
_xlpm.int - _xlpm.ctrl)</f>
        <v>27248019.229219001</v>
      </c>
      <c r="L25" s="421">
        <f ca="1">_xlfn.LET(_xlpm.int, OFFSET(PSA.Data!$H27, 0, ($F$2-1)*6), _xlpm.ctrl, OFFSET(PSA.Data!$H27, 0, ($F$2-1)*6 + 1),
_xlpm.int - _xlpm.ctrl)</f>
        <v>-6354.4768646739185</v>
      </c>
      <c r="M25" s="134">
        <f t="shared" ca="1" si="3"/>
        <v>-7716.8778261348689</v>
      </c>
      <c r="N25" s="80">
        <f t="shared" si="5"/>
        <v>0.62831853071795851</v>
      </c>
      <c r="O25" s="90">
        <f t="shared" ca="1" si="1"/>
        <v>62600401.518762842</v>
      </c>
      <c r="P25" s="80">
        <f t="shared" ca="1" si="2"/>
        <v>-6687.898164869026</v>
      </c>
    </row>
    <row r="26" spans="4:16" ht="12" customHeight="1" x14ac:dyDescent="0.25">
      <c r="D26">
        <f t="shared" si="4"/>
        <v>12</v>
      </c>
      <c r="K26" s="90">
        <f ca="1">_xlfn.LET(_xlpm.int, OFFSET(PSA.Data!$E28, 0, ($F$2-1)*6), _xlpm.ctrl, OFFSET(PSA.Data!$E28, 0, ($F$2-1)*6 + 1),
_xlpm.int - _xlpm.ctrl)</f>
        <v>14869962.401851116</v>
      </c>
      <c r="L26" s="421">
        <f ca="1">_xlfn.LET(_xlpm.int, OFFSET(PSA.Data!$H28, 0, ($F$2-1)*6), _xlpm.ctrl, OFFSET(PSA.Data!$H28, 0, ($F$2-1)*6 + 1),
_xlpm.int - _xlpm.ctrl)</f>
        <v>-4120.5097219774107</v>
      </c>
      <c r="M26" s="134">
        <f t="shared" ca="1" si="3"/>
        <v>-4864.0078420699665</v>
      </c>
      <c r="N26" s="80">
        <f t="shared" si="5"/>
        <v>0.69115038378975435</v>
      </c>
      <c r="O26" s="90">
        <f t="shared" ca="1" si="1"/>
        <v>63643985.714751817</v>
      </c>
      <c r="P26" s="80">
        <f t="shared" ca="1" si="2"/>
        <v>-6848.5107861287088</v>
      </c>
    </row>
    <row r="27" spans="4:16" ht="12" customHeight="1" x14ac:dyDescent="0.25">
      <c r="D27">
        <f t="shared" si="4"/>
        <v>13</v>
      </c>
      <c r="K27" s="90">
        <f ca="1">_xlfn.LET(_xlpm.int, OFFSET(PSA.Data!$E29, 0, ($F$2-1)*6), _xlpm.ctrl, OFFSET(PSA.Data!$E29, 0, ($F$2-1)*6 + 1),
_xlpm.int - _xlpm.ctrl)</f>
        <v>50827572.785095014</v>
      </c>
      <c r="L27" s="421">
        <f ca="1">_xlfn.LET(_xlpm.int, OFFSET(PSA.Data!$H29, 0, ($F$2-1)*6), _xlpm.ctrl, OFFSET(PSA.Data!$H29, 0, ($F$2-1)*6 + 1),
_xlpm.int - _xlpm.ctrl)</f>
        <v>-7882.5097405315155</v>
      </c>
      <c r="M27" s="134">
        <f t="shared" ca="1" si="3"/>
        <v>-10423.888379786265</v>
      </c>
      <c r="N27" s="80">
        <f t="shared" si="5"/>
        <v>0.75398223686155019</v>
      </c>
      <c r="O27" s="90">
        <f t="shared" ca="1" si="1"/>
        <v>64559518.464220241</v>
      </c>
      <c r="P27" s="80">
        <f t="shared" ca="1" si="2"/>
        <v>-7006.4636293364665</v>
      </c>
    </row>
    <row r="28" spans="4:16" ht="12" customHeight="1" x14ac:dyDescent="0.25">
      <c r="D28">
        <f t="shared" si="4"/>
        <v>14</v>
      </c>
      <c r="K28" s="90">
        <f ca="1">_xlfn.LET(_xlpm.int, OFFSET(PSA.Data!$E30, 0, ($F$2-1)*6), _xlpm.ctrl, OFFSET(PSA.Data!$E30, 0, ($F$2-1)*6 + 1),
_xlpm.int - _xlpm.ctrl)</f>
        <v>28690036.879044533</v>
      </c>
      <c r="L28" s="421">
        <f ca="1">_xlfn.LET(_xlpm.int, OFFSET(PSA.Data!$H30, 0, ($F$2-1)*6), _xlpm.ctrl, OFFSET(PSA.Data!$H30, 0, ($F$2-1)*6 + 1),
_xlpm.int - _xlpm.ctrl)</f>
        <v>-6735.5202995349809</v>
      </c>
      <c r="M28" s="134">
        <f t="shared" ca="1" si="3"/>
        <v>-8170.0221434872074</v>
      </c>
      <c r="N28" s="80">
        <f t="shared" si="5"/>
        <v>0.81681408993334603</v>
      </c>
      <c r="O28" s="90">
        <f t="shared" ca="1" si="1"/>
        <v>65343386.577673092</v>
      </c>
      <c r="P28" s="80">
        <f t="shared" ca="1" si="2"/>
        <v>-7161.1333267819491</v>
      </c>
    </row>
    <row r="29" spans="4:16" ht="12" customHeight="1" x14ac:dyDescent="0.25">
      <c r="D29">
        <f t="shared" si="4"/>
        <v>15</v>
      </c>
      <c r="K29" s="90">
        <f ca="1">_xlfn.LET(_xlpm.int, OFFSET(PSA.Data!$E31, 0, ($F$2-1)*6), _xlpm.ctrl, OFFSET(PSA.Data!$E31, 0, ($F$2-1)*6 + 1),
_xlpm.int - _xlpm.ctrl)</f>
        <v>25456474.530610643</v>
      </c>
      <c r="L29" s="421">
        <f ca="1">_xlfn.LET(_xlpm.int, OFFSET(PSA.Data!$H31, 0, ($F$2-1)*6), _xlpm.ctrl, OFFSET(PSA.Data!$H31, 0, ($F$2-1)*6 + 1),
_xlpm.int - _xlpm.ctrl)</f>
        <v>-6189.2268139212792</v>
      </c>
      <c r="M29" s="134">
        <f t="shared" ca="1" si="3"/>
        <v>-7462.0505404518117</v>
      </c>
      <c r="N29" s="80">
        <f t="shared" si="5"/>
        <v>0.87964594300514187</v>
      </c>
      <c r="O29" s="90">
        <f t="shared" ca="1" si="1"/>
        <v>65992496.485781834</v>
      </c>
      <c r="P29" s="80">
        <f t="shared" ca="1" si="2"/>
        <v>-7311.9094678312013</v>
      </c>
    </row>
    <row r="30" spans="4:16" ht="12" customHeight="1" x14ac:dyDescent="0.25">
      <c r="D30">
        <f t="shared" si="4"/>
        <v>16</v>
      </c>
      <c r="K30" s="90">
        <f ca="1">_xlfn.LET(_xlpm.int, OFFSET(PSA.Data!$E32, 0, ($F$2-1)*6), _xlpm.ctrl, OFFSET(PSA.Data!$E32, 0, ($F$2-1)*6 + 1),
_xlpm.int - _xlpm.ctrl)</f>
        <v>31645897.576933682</v>
      </c>
      <c r="L30" s="421">
        <f ca="1">_xlfn.LET(_xlpm.int, OFFSET(PSA.Data!$H32, 0, ($F$2-1)*6), _xlpm.ctrl, OFFSET(PSA.Data!$H32, 0, ($F$2-1)*6 + 1),
_xlpm.int - _xlpm.ctrl)</f>
        <v>-5787.7698541812706</v>
      </c>
      <c r="M30" s="134">
        <f t="shared" ca="1" si="3"/>
        <v>-7370.0647330279544</v>
      </c>
      <c r="N30" s="80">
        <f t="shared" si="5"/>
        <v>0.94247779607693771</v>
      </c>
      <c r="O30" s="90">
        <f t="shared" ca="1" si="1"/>
        <v>66504286.448289275</v>
      </c>
      <c r="P30" s="80">
        <f t="shared" ca="1" si="2"/>
        <v>-7458.1970079385683</v>
      </c>
    </row>
    <row r="31" spans="4:16" ht="12" customHeight="1" x14ac:dyDescent="0.25">
      <c r="D31">
        <f t="shared" si="4"/>
        <v>17</v>
      </c>
      <c r="K31" s="90">
        <f ca="1">_xlfn.LET(_xlpm.int, OFFSET(PSA.Data!$E33, 0, ($F$2-1)*6), _xlpm.ctrl, OFFSET(PSA.Data!$E33, 0, ($F$2-1)*6 + 1),
_xlpm.int - _xlpm.ctrl)</f>
        <v>31291623.097820435</v>
      </c>
      <c r="L31" s="421">
        <f ca="1">_xlfn.LET(_xlpm.int, OFFSET(PSA.Data!$H33, 0, ($F$2-1)*6), _xlpm.ctrl, OFFSET(PSA.Data!$H33, 0, ($F$2-1)*6 + 1),
_xlpm.int - _xlpm.ctrl)</f>
        <v>-5209.6654063881533</v>
      </c>
      <c r="M31" s="134">
        <f t="shared" ca="1" si="3"/>
        <v>-6774.2465612791748</v>
      </c>
      <c r="N31" s="80">
        <f t="shared" si="5"/>
        <v>1.0053096491487337</v>
      </c>
      <c r="O31" s="90">
        <f t="shared" ca="1" si="1"/>
        <v>66876736.664028019</v>
      </c>
      <c r="P31" s="80">
        <f t="shared" ca="1" si="2"/>
        <v>-7599.4186170156681</v>
      </c>
    </row>
    <row r="32" spans="4:16" ht="12" customHeight="1" x14ac:dyDescent="0.25">
      <c r="D32">
        <f t="shared" si="4"/>
        <v>18</v>
      </c>
      <c r="K32" s="90">
        <f ca="1">_xlfn.LET(_xlpm.int, OFFSET(PSA.Data!$E34, 0, ($F$2-1)*6), _xlpm.ctrl, OFFSET(PSA.Data!$E34, 0, ($F$2-1)*6 + 1),
_xlpm.int - _xlpm.ctrl)</f>
        <v>17675634.460154928</v>
      </c>
      <c r="L32" s="421">
        <f ca="1">_xlfn.LET(_xlpm.int, OFFSET(PSA.Data!$H34, 0, ($F$2-1)*6), _xlpm.ctrl, OFFSET(PSA.Data!$H34, 0, ($F$2-1)*6 + 1),
_xlpm.int - _xlpm.ctrl)</f>
        <v>-4826.4435467784933</v>
      </c>
      <c r="M32" s="134">
        <f t="shared" ca="1" si="3"/>
        <v>-5710.2252697862396</v>
      </c>
      <c r="N32" s="80">
        <f t="shared" si="5"/>
        <v>1.0681415022205296</v>
      </c>
      <c r="O32" s="90">
        <f t="shared" ca="1" si="1"/>
        <v>67108377.24215281</v>
      </c>
      <c r="P32" s="80">
        <f t="shared" ca="1" si="2"/>
        <v>-7735.0169578894856</v>
      </c>
    </row>
    <row r="33" spans="4:16" ht="12" customHeight="1" x14ac:dyDescent="0.25">
      <c r="D33">
        <f t="shared" si="4"/>
        <v>19</v>
      </c>
      <c r="K33" s="90">
        <f ca="1">_xlfn.LET(_xlpm.int, OFFSET(PSA.Data!$E35, 0, ($F$2-1)*6), _xlpm.ctrl, OFFSET(PSA.Data!$E35, 0, ($F$2-1)*6 + 1),
_xlpm.int - _xlpm.ctrl)</f>
        <v>24562286.385111462</v>
      </c>
      <c r="L33" s="421">
        <f ca="1">_xlfn.LET(_xlpm.int, OFFSET(PSA.Data!$H35, 0, ($F$2-1)*6), _xlpm.ctrl, OFFSET(PSA.Data!$H35, 0, ($F$2-1)*6 + 1),
_xlpm.int - _xlpm.ctrl)</f>
        <v>-5182.9102769730234</v>
      </c>
      <c r="M33" s="134">
        <f t="shared" ca="1" si="3"/>
        <v>-6411.0245962285962</v>
      </c>
      <c r="N33" s="80">
        <f t="shared" si="5"/>
        <v>1.1309733552923256</v>
      </c>
      <c r="O33" s="90">
        <f t="shared" ca="1" si="1"/>
        <v>67198294.00312835</v>
      </c>
      <c r="P33" s="80">
        <f t="shared" ca="1" si="2"/>
        <v>-7864.4568858575849</v>
      </c>
    </row>
    <row r="34" spans="4:16" ht="12" customHeight="1" x14ac:dyDescent="0.25">
      <c r="D34">
        <f t="shared" si="4"/>
        <v>20</v>
      </c>
      <c r="K34" s="90">
        <f ca="1">_xlfn.LET(_xlpm.int, OFFSET(PSA.Data!$E36, 0, ($F$2-1)*6), _xlpm.ctrl, OFFSET(PSA.Data!$E36, 0, ($F$2-1)*6 + 1),
_xlpm.int - _xlpm.ctrl)</f>
        <v>17836972.129455023</v>
      </c>
      <c r="L34" s="421">
        <f ca="1">_xlfn.LET(_xlpm.int, OFFSET(PSA.Data!$H36, 0, ($F$2-1)*6), _xlpm.ctrl, OFFSET(PSA.Data!$H36, 0, ($F$2-1)*6 + 1),
_xlpm.int - _xlpm.ctrl)</f>
        <v>-6797.3901266840185</v>
      </c>
      <c r="M34" s="134">
        <f t="shared" ca="1" si="3"/>
        <v>-7689.2387331567697</v>
      </c>
      <c r="N34" s="80">
        <f t="shared" si="5"/>
        <v>1.1938052083641215</v>
      </c>
      <c r="O34" s="90">
        <f t="shared" ca="1" si="1"/>
        <v>67146132.086578101</v>
      </c>
      <c r="P34" s="80">
        <f t="shared" ca="1" si="2"/>
        <v>-7987.2275606597514</v>
      </c>
    </row>
    <row r="35" spans="4:16" ht="12" customHeight="1" x14ac:dyDescent="0.25">
      <c r="D35">
        <f t="shared" si="4"/>
        <v>21</v>
      </c>
      <c r="K35" s="90">
        <f ca="1">_xlfn.LET(_xlpm.int, OFFSET(PSA.Data!$E37, 0, ($F$2-1)*6), _xlpm.ctrl, OFFSET(PSA.Data!$E37, 0, ($F$2-1)*6 + 1),
_xlpm.int - _xlpm.ctrl)</f>
        <v>36373206.601690352</v>
      </c>
      <c r="L35" s="421">
        <f ca="1">_xlfn.LET(_xlpm.int, OFFSET(PSA.Data!$H37, 0, ($F$2-1)*6), _xlpm.ctrl, OFFSET(PSA.Data!$H37, 0, ($F$2-1)*6 + 1),
_xlpm.int - _xlpm.ctrl)</f>
        <v>-6550.7665543893681</v>
      </c>
      <c r="M35" s="134">
        <f t="shared" ca="1" si="3"/>
        <v>-8369.4268844738854</v>
      </c>
      <c r="N35" s="80">
        <f t="shared" si="5"/>
        <v>1.2566370614359175</v>
      </c>
      <c r="O35" s="90">
        <f t="shared" ca="1" si="1"/>
        <v>66952097.3517562</v>
      </c>
      <c r="P35" s="80">
        <f t="shared" ca="1" si="2"/>
        <v>-8102.8444625311295</v>
      </c>
    </row>
    <row r="36" spans="4:16" ht="12" customHeight="1" x14ac:dyDescent="0.25">
      <c r="D36">
        <f t="shared" si="4"/>
        <v>22</v>
      </c>
      <c r="K36" s="90">
        <f ca="1">_xlfn.LET(_xlpm.int, OFFSET(PSA.Data!$E38, 0, ($F$2-1)*6), _xlpm.ctrl, OFFSET(PSA.Data!$E38, 0, ($F$2-1)*6 + 1),
_xlpm.int - _xlpm.ctrl)</f>
        <v>27550943.486803524</v>
      </c>
      <c r="L36" s="421">
        <f ca="1">_xlfn.LET(_xlpm.int, OFFSET(PSA.Data!$H38, 0, ($F$2-1)*6), _xlpm.ctrl, OFFSET(PSA.Data!$H38, 0, ($F$2-1)*6 + 1),
_xlpm.int - _xlpm.ctrl)</f>
        <v>-6573.9201871590385</v>
      </c>
      <c r="M36" s="134">
        <f t="shared" ca="1" si="3"/>
        <v>-7951.4673614992153</v>
      </c>
      <c r="N36" s="80">
        <f t="shared" si="5"/>
        <v>1.3194689145077134</v>
      </c>
      <c r="O36" s="90">
        <f t="shared" ca="1" si="1"/>
        <v>66616955.56511493</v>
      </c>
      <c r="P36" s="80">
        <f t="shared" ca="1" si="2"/>
        <v>-8210.8513043803687</v>
      </c>
    </row>
    <row r="37" spans="4:16" ht="12" customHeight="1" x14ac:dyDescent="0.25">
      <c r="D37">
        <f t="shared" si="4"/>
        <v>23</v>
      </c>
      <c r="K37" s="90">
        <f ca="1">_xlfn.LET(_xlpm.int, OFFSET(PSA.Data!$E39, 0, ($F$2-1)*6), _xlpm.ctrl, OFFSET(PSA.Data!$E39, 0, ($F$2-1)*6 + 1),
_xlpm.int - _xlpm.ctrl)</f>
        <v>32410395.686533943</v>
      </c>
      <c r="L37" s="421">
        <f ca="1">_xlfn.LET(_xlpm.int, OFFSET(PSA.Data!$H39, 0, ($F$2-1)*6), _xlpm.ctrl, OFFSET(PSA.Data!$H39, 0, ($F$2-1)*6 + 1),
_xlpm.int - _xlpm.ctrl)</f>
        <v>-5525.8350781909658</v>
      </c>
      <c r="M37" s="134">
        <f t="shared" ca="1" si="3"/>
        <v>-7146.3548625176627</v>
      </c>
      <c r="N37" s="80">
        <f t="shared" si="5"/>
        <v>1.3823007675795094</v>
      </c>
      <c r="O37" s="90">
        <f t="shared" ca="1" si="1"/>
        <v>66142029.378174439</v>
      </c>
      <c r="P37" s="80">
        <f t="shared" ca="1" si="2"/>
        <v>-8310.821832546324</v>
      </c>
    </row>
    <row r="38" spans="4:16" ht="12" customHeight="1" x14ac:dyDescent="0.25">
      <c r="D38">
        <f t="shared" si="4"/>
        <v>24</v>
      </c>
      <c r="K38" s="90">
        <f ca="1">_xlfn.LET(_xlpm.int, OFFSET(PSA.Data!$E40, 0, ($F$2-1)*6), _xlpm.ctrl, OFFSET(PSA.Data!$E40, 0, ($F$2-1)*6 + 1),
_xlpm.int - _xlpm.ctrl)</f>
        <v>12234471.580737375</v>
      </c>
      <c r="L38" s="421">
        <f ca="1">_xlfn.LET(_xlpm.int, OFFSET(PSA.Data!$H40, 0, ($F$2-1)*6), _xlpm.ctrl, OFFSET(PSA.Data!$H40, 0, ($F$2-1)*6 + 1),
_xlpm.int - _xlpm.ctrl)</f>
        <v>-4837.0243390468277</v>
      </c>
      <c r="M38" s="134">
        <f t="shared" ca="1" si="3"/>
        <v>-5448.7479180836963</v>
      </c>
      <c r="N38" s="80">
        <f t="shared" si="5"/>
        <v>1.4451326206513053</v>
      </c>
      <c r="O38" s="90">
        <f t="shared" ca="1" si="1"/>
        <v>65529193.107621476</v>
      </c>
      <c r="P38" s="80">
        <f t="shared" ca="1" si="2"/>
        <v>-8402.3615090265121</v>
      </c>
    </row>
    <row r="39" spans="4:16" ht="12" customHeight="1" x14ac:dyDescent="0.25">
      <c r="D39">
        <f t="shared" si="4"/>
        <v>25</v>
      </c>
      <c r="K39" s="90">
        <f ca="1">_xlfn.LET(_xlpm.int, OFFSET(PSA.Data!$E41, 0, ($F$2-1)*6), _xlpm.ctrl, OFFSET(PSA.Data!$E41, 0, ($F$2-1)*6 + 1),
_xlpm.int - _xlpm.ctrl)</f>
        <v>33014466.881378364</v>
      </c>
      <c r="L39" s="421">
        <f ca="1">_xlfn.LET(_xlpm.int, OFFSET(PSA.Data!$H41, 0, ($F$2-1)*6), _xlpm.ctrl, OFFSET(PSA.Data!$H41, 0, ($F$2-1)*6 + 1),
_xlpm.int - _xlpm.ctrl)</f>
        <v>-7120.661713655114</v>
      </c>
      <c r="M39" s="134">
        <f t="shared" ca="1" si="3"/>
        <v>-8771.3850577240319</v>
      </c>
      <c r="N39" s="80">
        <f t="shared" si="5"/>
        <v>1.5079644737231013</v>
      </c>
      <c r="O39" s="90">
        <f t="shared" ca="1" si="1"/>
        <v>64780865.338237628</v>
      </c>
      <c r="P39" s="80">
        <f t="shared" ca="1" si="2"/>
        <v>-8485.1090685383679</v>
      </c>
    </row>
    <row r="40" spans="4:16" ht="12" customHeight="1" x14ac:dyDescent="0.25">
      <c r="D40">
        <f t="shared" si="4"/>
        <v>26</v>
      </c>
      <c r="K40" s="90">
        <f ca="1">_xlfn.LET(_xlpm.int, OFFSET(PSA.Data!$E42, 0, ($F$2-1)*6), _xlpm.ctrl, OFFSET(PSA.Data!$E42, 0, ($F$2-1)*6 + 1),
_xlpm.int - _xlpm.ctrl)</f>
        <v>27516729.102734424</v>
      </c>
      <c r="L40" s="421">
        <f ca="1">_xlfn.LET(_xlpm.int, OFFSET(PSA.Data!$H42, 0, ($F$2-1)*6), _xlpm.ctrl, OFFSET(PSA.Data!$H42, 0, ($F$2-1)*6 + 1),
_xlpm.int - _xlpm.ctrl)</f>
        <v>-5321.4833249135681</v>
      </c>
      <c r="M40" s="134">
        <f t="shared" ca="1" si="3"/>
        <v>-6697.3197800502894</v>
      </c>
      <c r="N40" s="80">
        <f t="shared" si="5"/>
        <v>1.5707963267948972</v>
      </c>
      <c r="O40" s="90">
        <f t="shared" ca="1" si="1"/>
        <v>63899999.377850212</v>
      </c>
      <c r="P40" s="80">
        <f t="shared" ca="1" si="2"/>
        <v>-8558.7379442682613</v>
      </c>
    </row>
    <row r="41" spans="4:16" ht="12" customHeight="1" x14ac:dyDescent="0.25">
      <c r="D41">
        <f t="shared" si="4"/>
        <v>27</v>
      </c>
      <c r="K41" s="90">
        <f ca="1">_xlfn.LET(_xlpm.int, OFFSET(PSA.Data!$E43, 0, ($F$2-1)*6), _xlpm.ctrl, OFFSET(PSA.Data!$E43, 0, ($F$2-1)*6 + 1),
_xlpm.int - _xlpm.ctrl)</f>
        <v>23518476.658055961</v>
      </c>
      <c r="L41" s="421">
        <f ca="1">_xlfn.LET(_xlpm.int, OFFSET(PSA.Data!$H43, 0, ($F$2-1)*6), _xlpm.ctrl, OFFSET(PSA.Data!$H43, 0, ($F$2-1)*6 + 1),
_xlpm.int - _xlpm.ctrl)</f>
        <v>-7026.5695820902038</v>
      </c>
      <c r="M41" s="134">
        <f t="shared" ca="1" si="3"/>
        <v>-8202.4934149930014</v>
      </c>
      <c r="N41" s="80">
        <f t="shared" si="5"/>
        <v>1.6336281798666932</v>
      </c>
      <c r="O41" s="90">
        <f t="shared" ca="1" si="1"/>
        <v>62890071.601975515</v>
      </c>
      <c r="P41" s="80">
        <f t="shared" ca="1" si="2"/>
        <v>-8622.957556681522</v>
      </c>
    </row>
    <row r="42" spans="4:16" ht="12" customHeight="1" x14ac:dyDescent="0.25">
      <c r="D42">
        <f t="shared" si="4"/>
        <v>28</v>
      </c>
      <c r="K42" s="90">
        <f ca="1">_xlfn.LET(_xlpm.int, OFFSET(PSA.Data!$E44, 0, ($F$2-1)*6), _xlpm.ctrl, OFFSET(PSA.Data!$E44, 0, ($F$2-1)*6 + 1),
_xlpm.int - _xlpm.ctrl)</f>
        <v>32477963.191213075</v>
      </c>
      <c r="L42" s="421">
        <f ca="1">_xlfn.LET(_xlpm.int, OFFSET(PSA.Data!$H44, 0, ($F$2-1)*6), _xlpm.ctrl, OFFSET(PSA.Data!$H44, 0, ($F$2-1)*6 + 1),
_xlpm.int - _xlpm.ctrl)</f>
        <v>-5893.3889897889812</v>
      </c>
      <c r="M42" s="134">
        <f t="shared" ca="1" si="3"/>
        <v>-7517.287149349635</v>
      </c>
      <c r="N42" s="80">
        <f t="shared" si="5"/>
        <v>1.6964600329384891</v>
      </c>
      <c r="O42" s="90">
        <f t="shared" ca="1" si="1"/>
        <v>61755067.734152801</v>
      </c>
      <c r="P42" s="80">
        <f t="shared" ca="1" si="2"/>
        <v>-8677.5144603071021</v>
      </c>
    </row>
    <row r="43" spans="4:16" ht="12" customHeight="1" x14ac:dyDescent="0.25">
      <c r="D43">
        <f t="shared" si="4"/>
        <v>29</v>
      </c>
      <c r="K43" s="90">
        <f ca="1">_xlfn.LET(_xlpm.int, OFFSET(PSA.Data!$E45, 0, ($F$2-1)*6), _xlpm.ctrl, OFFSET(PSA.Data!$E45, 0, ($F$2-1)*6 + 1),
_xlpm.int - _xlpm.ctrl)</f>
        <v>18596181.050279565</v>
      </c>
      <c r="L43" s="421">
        <f ca="1">_xlfn.LET(_xlpm.int, OFFSET(PSA.Data!$H45, 0, ($F$2-1)*6), _xlpm.ctrl, OFFSET(PSA.Data!$H45, 0, ($F$2-1)*6 + 1),
_xlpm.int - _xlpm.ctrl)</f>
        <v>-6496.3978834934387</v>
      </c>
      <c r="M43" s="134">
        <f t="shared" ca="1" si="3"/>
        <v>-7426.2069360074165</v>
      </c>
      <c r="N43" s="80">
        <f t="shared" si="5"/>
        <v>1.7592918860102851</v>
      </c>
      <c r="O43" s="90">
        <f t="shared" ca="1" si="1"/>
        <v>60499467.116114423</v>
      </c>
      <c r="P43" s="80">
        <f t="shared" ca="1" si="2"/>
        <v>-8722.193343971072</v>
      </c>
    </row>
    <row r="44" spans="4:16" ht="12" customHeight="1" x14ac:dyDescent="0.25">
      <c r="D44">
        <f t="shared" si="4"/>
        <v>30</v>
      </c>
      <c r="K44" s="90">
        <f ca="1">_xlfn.LET(_xlpm.int, OFFSET(PSA.Data!$E46, 0, ($F$2-1)*6), _xlpm.ctrl, OFFSET(PSA.Data!$E46, 0, ($F$2-1)*6 + 1),
_xlpm.int - _xlpm.ctrl)</f>
        <v>12869832.281258747</v>
      </c>
      <c r="L44" s="421">
        <f ca="1">_xlfn.LET(_xlpm.int, OFFSET(PSA.Data!$H46, 0, ($F$2-1)*6), _xlpm.ctrl, OFFSET(PSA.Data!$H46, 0, ($F$2-1)*6 + 1),
_xlpm.int - _xlpm.ctrl)</f>
        <v>-6391.5603052532897</v>
      </c>
      <c r="M44" s="134">
        <f t="shared" ca="1" si="3"/>
        <v>-7035.0519193162272</v>
      </c>
      <c r="N44" s="80">
        <f t="shared" si="5"/>
        <v>1.822123739082081</v>
      </c>
      <c r="O44" s="90">
        <f t="shared" ca="1" si="1"/>
        <v>59128225.029870406</v>
      </c>
      <c r="P44" s="80">
        <f t="shared" ca="1" si="2"/>
        <v>-8756.8178805314474</v>
      </c>
    </row>
    <row r="45" spans="4:16" ht="12" customHeight="1" x14ac:dyDescent="0.25">
      <c r="D45">
        <f t="shared" si="4"/>
        <v>31</v>
      </c>
      <c r="K45" s="90">
        <f ca="1">_xlfn.LET(_xlpm.int, OFFSET(PSA.Data!$E47, 0, ($F$2-1)*6), _xlpm.ctrl, OFFSET(PSA.Data!$E47, 0, ($F$2-1)*6 + 1),
_xlpm.int - _xlpm.ctrl)</f>
        <v>18397303.437306851</v>
      </c>
      <c r="L45" s="421">
        <f ca="1">_xlfn.LET(_xlpm.int, OFFSET(PSA.Data!$H47, 0, ($F$2-1)*6), _xlpm.ctrl, OFFSET(PSA.Data!$H47, 0, ($F$2-1)*6 + 1),
_xlpm.int - _xlpm.ctrl)</f>
        <v>-3740.9108139326659</v>
      </c>
      <c r="M45" s="134">
        <f t="shared" ca="1" si="3"/>
        <v>-4660.7759857980082</v>
      </c>
      <c r="N45" s="80">
        <f t="shared" si="5"/>
        <v>1.884955592153877</v>
      </c>
      <c r="O45" s="90">
        <f t="shared" ca="1" si="1"/>
        <v>57646753.141474247</v>
      </c>
      <c r="P45" s="80">
        <f t="shared" ca="1" si="2"/>
        <v>-8781.2514227608735</v>
      </c>
    </row>
    <row r="46" spans="4:16" ht="12" customHeight="1" x14ac:dyDescent="0.25">
      <c r="D46">
        <f t="shared" si="4"/>
        <v>32</v>
      </c>
      <c r="K46" s="90">
        <f ca="1">_xlfn.LET(_xlpm.int, OFFSET(PSA.Data!$E48, 0, ($F$2-1)*6), _xlpm.ctrl, OFFSET(PSA.Data!$E48, 0, ($F$2-1)*6 + 1),
_xlpm.int - _xlpm.ctrl)</f>
        <v>39497011.10931626</v>
      </c>
      <c r="L46" s="421">
        <f ca="1">_xlfn.LET(_xlpm.int, OFFSET(PSA.Data!$H48, 0, ($F$2-1)*6), _xlpm.ctrl, OFFSET(PSA.Data!$H48, 0, ($F$2-1)*6 + 1),
_xlpm.int - _xlpm.ctrl)</f>
        <v>-6658.8637352556079</v>
      </c>
      <c r="M46" s="134">
        <f t="shared" ca="1" si="3"/>
        <v>-8633.7142907214202</v>
      </c>
      <c r="N46" s="80">
        <f t="shared" si="5"/>
        <v>1.9477874452256729</v>
      </c>
      <c r="O46" s="90">
        <f t="shared" ca="1" si="1"/>
        <v>56060898.143649325</v>
      </c>
      <c r="P46" s="80">
        <f t="shared" ca="1" si="2"/>
        <v>-8795.3975426307934</v>
      </c>
    </row>
    <row r="47" spans="4:16" ht="12" customHeight="1" x14ac:dyDescent="0.25">
      <c r="D47">
        <f t="shared" si="4"/>
        <v>33</v>
      </c>
      <c r="K47" s="90">
        <f ca="1">_xlfn.LET(_xlpm.int, OFFSET(PSA.Data!$E49, 0, ($F$2-1)*6), _xlpm.ctrl, OFFSET(PSA.Data!$E49, 0, ($F$2-1)*6 + 1),
_xlpm.int - _xlpm.ctrl)</f>
        <v>22391178.086840127</v>
      </c>
      <c r="L47" s="421">
        <f ca="1">_xlfn.LET(_xlpm.int, OFFSET(PSA.Data!$H49, 0, ($F$2-1)*6), _xlpm.ctrl, OFFSET(PSA.Data!$H49, 0, ($F$2-1)*6 + 1),
_xlpm.int - _xlpm.ctrl)</f>
        <v>-4863.6223470327523</v>
      </c>
      <c r="M47" s="134">
        <f t="shared" ca="1" si="3"/>
        <v>-5983.1812513747591</v>
      </c>
      <c r="N47" s="80">
        <f t="shared" si="5"/>
        <v>2.0106192982974687</v>
      </c>
      <c r="O47" s="90">
        <f t="shared" ref="O47:O78" ca="1" si="6">O$12+SQRT(-2*LN(1-$O$10))*O$13*COS($N47-ACOS($P$10)/2)</f>
        <v>54376918.681563817</v>
      </c>
      <c r="P47" s="80">
        <f t="shared" ref="P47:P78" ca="1" si="7">P$12+SQRT(-2*LN(1-$O$10))*P$13*COS($N47+ACOS($P$10)/2)</f>
        <v>-8799.2004118688274</v>
      </c>
    </row>
    <row r="48" spans="4:16" ht="12" customHeight="1" x14ac:dyDescent="0.25">
      <c r="D48">
        <f t="shared" si="4"/>
        <v>34</v>
      </c>
      <c r="K48" s="90">
        <f ca="1">_xlfn.LET(_xlpm.int, OFFSET(PSA.Data!$E50, 0, ($F$2-1)*6), _xlpm.ctrl, OFFSET(PSA.Data!$E50, 0, ($F$2-1)*6 + 1),
_xlpm.int - _xlpm.ctrl)</f>
        <v>12698111.709124709</v>
      </c>
      <c r="L48" s="421">
        <f ca="1">_xlfn.LET(_xlpm.int, OFFSET(PSA.Data!$H50, 0, ($F$2-1)*6), _xlpm.ctrl, OFFSET(PSA.Data!$H50, 0, ($F$2-1)*6 + 1),
_xlpm.int - _xlpm.ctrl)</f>
        <v>-5567.4281568401311</v>
      </c>
      <c r="M48" s="134">
        <f t="shared" ca="1" si="3"/>
        <v>-6202.3337422963668</v>
      </c>
      <c r="N48" s="80">
        <f t="shared" si="5"/>
        <v>2.0734511513692646</v>
      </c>
      <c r="O48" s="90">
        <f t="shared" ca="1" si="6"/>
        <v>52601460.652817532</v>
      </c>
      <c r="P48" s="80">
        <f t="shared" ca="1" si="7"/>
        <v>-8792.645022287461</v>
      </c>
    </row>
    <row r="49" spans="4:16" ht="12" customHeight="1" x14ac:dyDescent="0.25">
      <c r="D49">
        <f t="shared" si="4"/>
        <v>35</v>
      </c>
      <c r="K49" s="90">
        <f ca="1">_xlfn.LET(_xlpm.int, OFFSET(PSA.Data!$E51, 0, ($F$2-1)*6), _xlpm.ctrl, OFFSET(PSA.Data!$E51, 0, ($F$2-1)*6 + 1),
_xlpm.int - _xlpm.ctrl)</f>
        <v>39122956.59117382</v>
      </c>
      <c r="L49" s="421">
        <f ca="1">_xlfn.LET(_xlpm.int, OFFSET(PSA.Data!$H51, 0, ($F$2-1)*6), _xlpm.ctrl, OFFSET(PSA.Data!$H51, 0, ($F$2-1)*6 + 1),
_xlpm.int - _xlpm.ctrl)</f>
        <v>-9319.1035425284535</v>
      </c>
      <c r="M49" s="134">
        <f t="shared" ca="1" si="3"/>
        <v>-11275.251372087145</v>
      </c>
      <c r="N49" s="80">
        <f t="shared" si="5"/>
        <v>2.1362830044410606</v>
      </c>
      <c r="O49" s="90">
        <f t="shared" ca="1" si="6"/>
        <v>50741530.979120329</v>
      </c>
      <c r="P49" s="80">
        <f t="shared" ca="1" si="7"/>
        <v>-8775.7572450144962</v>
      </c>
    </row>
    <row r="50" spans="4:16" ht="12" customHeight="1" x14ac:dyDescent="0.25">
      <c r="D50">
        <f t="shared" si="4"/>
        <v>36</v>
      </c>
      <c r="K50" s="90">
        <f ca="1">_xlfn.LET(_xlpm.int, OFFSET(PSA.Data!$E52, 0, ($F$2-1)*6), _xlpm.ctrl, OFFSET(PSA.Data!$E52, 0, ($F$2-1)*6 + 1),
_xlpm.int - _xlpm.ctrl)</f>
        <v>24108351.206123892</v>
      </c>
      <c r="L50" s="421">
        <f ca="1">_xlfn.LET(_xlpm.int, OFFSET(PSA.Data!$H52, 0, ($F$2-1)*6), _xlpm.ctrl, OFFSET(PSA.Data!$H52, 0, ($F$2-1)*6 + 1),
_xlpm.int - _xlpm.ctrl)</f>
        <v>-8078.2428519391669</v>
      </c>
      <c r="M50" s="134">
        <f t="shared" ca="1" si="3"/>
        <v>-9283.6604122453609</v>
      </c>
      <c r="N50" s="80">
        <f t="shared" si="5"/>
        <v>2.1991148575128565</v>
      </c>
      <c r="O50" s="90">
        <f t="shared" ca="1" si="6"/>
        <v>48804469.953173235</v>
      </c>
      <c r="P50" s="80">
        <f t="shared" ca="1" si="7"/>
        <v>-8748.6037283915393</v>
      </c>
    </row>
    <row r="51" spans="4:16" ht="12" customHeight="1" x14ac:dyDescent="0.25">
      <c r="D51">
        <f t="shared" si="4"/>
        <v>37</v>
      </c>
      <c r="K51" s="90">
        <f ca="1">_xlfn.LET(_xlpm.int, OFFSET(PSA.Data!$E53, 0, ($F$2-1)*6), _xlpm.ctrl, OFFSET(PSA.Data!$E53, 0, ($F$2-1)*6 + 1),
_xlpm.int - _xlpm.ctrl)</f>
        <v>41668110.672002837</v>
      </c>
      <c r="L51" s="421">
        <f ca="1">_xlfn.LET(_xlpm.int, OFFSET(PSA.Data!$H53, 0, ($F$2-1)*6), _xlpm.ctrl, OFFSET(PSA.Data!$H53, 0, ($F$2-1)*6 + 1),
_xlpm.int - _xlpm.ctrl)</f>
        <v>-6343.3397144715382</v>
      </c>
      <c r="M51" s="134">
        <f t="shared" ca="1" si="3"/>
        <v>-8426.7452480716802</v>
      </c>
      <c r="N51" s="80">
        <f t="shared" si="5"/>
        <v>2.2619467105846525</v>
      </c>
      <c r="O51" s="90">
        <f t="shared" ca="1" si="6"/>
        <v>46797922.269886658</v>
      </c>
      <c r="P51" s="80">
        <f t="shared" ca="1" si="7"/>
        <v>-8711.2916349434399</v>
      </c>
    </row>
    <row r="52" spans="4:16" ht="12" customHeight="1" x14ac:dyDescent="0.25">
      <c r="D52">
        <f t="shared" si="4"/>
        <v>38</v>
      </c>
      <c r="K52" s="90">
        <f ca="1">_xlfn.LET(_xlpm.int, OFFSET(PSA.Data!$E54, 0, ($F$2-1)*6), _xlpm.ctrl, OFFSET(PSA.Data!$E54, 0, ($F$2-1)*6 + 1),
_xlpm.int - _xlpm.ctrl)</f>
        <v>21037438.583100788</v>
      </c>
      <c r="L52" s="421">
        <f ca="1">_xlfn.LET(_xlpm.int, OFFSET(PSA.Data!$H54, 0, ($F$2-1)*6), _xlpm.ctrl, OFFSET(PSA.Data!$H54, 0, ($F$2-1)*6 + 1),
_xlpm.int - _xlpm.ctrl)</f>
        <v>-5934.7158329161157</v>
      </c>
      <c r="M52" s="134">
        <f t="shared" ca="1" si="3"/>
        <v>-6986.5877620711553</v>
      </c>
      <c r="N52" s="80">
        <f t="shared" si="5"/>
        <v>2.3247785636564484</v>
      </c>
      <c r="O52" s="90">
        <f t="shared" ca="1" si="6"/>
        <v>44729806.85626211</v>
      </c>
      <c r="P52" s="80">
        <f t="shared" ca="1" si="7"/>
        <v>-8663.9682184567628</v>
      </c>
    </row>
    <row r="53" spans="4:16" ht="12" customHeight="1" x14ac:dyDescent="0.25">
      <c r="D53">
        <f t="shared" si="4"/>
        <v>39</v>
      </c>
      <c r="K53" s="90">
        <f ca="1">_xlfn.LET(_xlpm.int, OFFSET(PSA.Data!$E55, 0, ($F$2-1)*6), _xlpm.ctrl, OFFSET(PSA.Data!$E55, 0, ($F$2-1)*6 + 1),
_xlpm.int - _xlpm.ctrl)</f>
        <v>20277174.291485146</v>
      </c>
      <c r="L53" s="421">
        <f ca="1">_xlfn.LET(_xlpm.int, OFFSET(PSA.Data!$H55, 0, ($F$2-1)*6), _xlpm.ctrl, OFFSET(PSA.Data!$H55, 0, ($F$2-1)*6 + 1),
_xlpm.int - _xlpm.ctrl)</f>
        <v>-5791.0223827052032</v>
      </c>
      <c r="M53" s="134">
        <f t="shared" ca="1" si="3"/>
        <v>-6804.8810972794608</v>
      </c>
      <c r="N53" s="80">
        <f t="shared" si="5"/>
        <v>2.3876104167282444</v>
      </c>
      <c r="O53" s="90">
        <f t="shared" ca="1" si="6"/>
        <v>42608285.619005099</v>
      </c>
      <c r="P53" s="80">
        <f t="shared" ca="1" si="7"/>
        <v>-8606.8202428363675</v>
      </c>
    </row>
    <row r="54" spans="4:16" ht="12" customHeight="1" x14ac:dyDescent="0.25">
      <c r="D54">
        <f t="shared" si="4"/>
        <v>40</v>
      </c>
      <c r="K54" s="90">
        <f ca="1">_xlfn.LET(_xlpm.int, OFFSET(PSA.Data!$E56, 0, ($F$2-1)*6), _xlpm.ctrl, OFFSET(PSA.Data!$E56, 0, ($F$2-1)*6 + 1),
_xlpm.int - _xlpm.ctrl)</f>
        <v>54810881.654334873</v>
      </c>
      <c r="L54" s="421">
        <f ca="1">_xlfn.LET(_xlpm.int, OFFSET(PSA.Data!$H56, 0, ($F$2-1)*6), _xlpm.ctrl, OFFSET(PSA.Data!$H56, 0, ($F$2-1)*6 + 1),
_xlpm.int - _xlpm.ctrl)</f>
        <v>-7778.3991658543819</v>
      </c>
      <c r="M54" s="134">
        <f t="shared" ca="1" si="3"/>
        <v>-10518.943248571126</v>
      </c>
      <c r="N54" s="80">
        <f t="shared" si="5"/>
        <v>2.4504422698000403</v>
      </c>
      <c r="O54" s="90">
        <f t="shared" ca="1" si="6"/>
        <v>40441731.233208209</v>
      </c>
      <c r="P54" s="80">
        <f t="shared" ca="1" si="7"/>
        <v>-8540.0732450336036</v>
      </c>
    </row>
    <row r="55" spans="4:16" ht="12" customHeight="1" x14ac:dyDescent="0.25">
      <c r="D55">
        <f t="shared" si="4"/>
        <v>41</v>
      </c>
      <c r="K55" s="90">
        <f ca="1">_xlfn.LET(_xlpm.int, OFFSET(PSA.Data!$E57, 0, ($F$2-1)*6), _xlpm.ctrl, OFFSET(PSA.Data!$E57, 0, ($F$2-1)*6 + 1),
_xlpm.int - _xlpm.ctrl)</f>
        <v>7284339.0986038558</v>
      </c>
      <c r="L55" s="421">
        <f ca="1">_xlfn.LET(_xlpm.int, OFFSET(PSA.Data!$H57, 0, ($F$2-1)*6), _xlpm.ctrl, OFFSET(PSA.Data!$H57, 0, ($F$2-1)*6 + 1),
_xlpm.int - _xlpm.ctrl)</f>
        <v>-3863.6849219208707</v>
      </c>
      <c r="M55" s="134">
        <f t="shared" ca="1" si="3"/>
        <v>-4227.9018768510632</v>
      </c>
      <c r="N55" s="80">
        <f t="shared" si="5"/>
        <v>2.5132741228718363</v>
      </c>
      <c r="O55" s="90">
        <f t="shared" ca="1" si="6"/>
        <v>38238694.099227652</v>
      </c>
      <c r="P55" s="80">
        <f t="shared" ca="1" si="7"/>
        <v>-8463.9906449549926</v>
      </c>
    </row>
    <row r="56" spans="4:16" ht="12" customHeight="1" x14ac:dyDescent="0.25">
      <c r="D56">
        <f t="shared" si="4"/>
        <v>42</v>
      </c>
      <c r="K56" s="90">
        <f ca="1">_xlfn.LET(_xlpm.int, OFFSET(PSA.Data!$E58, 0, ($F$2-1)*6), _xlpm.ctrl, OFFSET(PSA.Data!$E58, 0, ($F$2-1)*6 + 1),
_xlpm.int - _xlpm.ctrl)</f>
        <v>33692770.559824109</v>
      </c>
      <c r="L56" s="421">
        <f ca="1">_xlfn.LET(_xlpm.int, OFFSET(PSA.Data!$H58, 0, ($F$2-1)*6), _xlpm.ctrl, OFFSET(PSA.Data!$H58, 0, ($F$2-1)*6 + 1),
_xlpm.int - _xlpm.ctrl)</f>
        <v>-5693.0190174287854</v>
      </c>
      <c r="M56" s="134">
        <f t="shared" ca="1" si="3"/>
        <v>-7377.657545419991</v>
      </c>
      <c r="N56" s="80">
        <f t="shared" si="5"/>
        <v>2.5761059759436322</v>
      </c>
      <c r="O56" s="90">
        <f t="shared" ca="1" si="6"/>
        <v>36007868.598159306</v>
      </c>
      <c r="P56" s="80">
        <f t="shared" ca="1" si="7"/>
        <v>-8378.8727058642144</v>
      </c>
    </row>
    <row r="57" spans="4:16" ht="12" customHeight="1" x14ac:dyDescent="0.25">
      <c r="D57">
        <f t="shared" si="4"/>
        <v>43</v>
      </c>
      <c r="K57" s="90">
        <f ca="1">_xlfn.LET(_xlpm.int, OFFSET(PSA.Data!$E59, 0, ($F$2-1)*6), _xlpm.ctrl, OFFSET(PSA.Data!$E59, 0, ($F$2-1)*6 + 1),
_xlpm.int - _xlpm.ctrl)</f>
        <v>27198777.246285409</v>
      </c>
      <c r="L57" s="421">
        <f ca="1">_xlfn.LET(_xlpm.int, OFFSET(PSA.Data!$H59, 0, ($F$2-1)*6), _xlpm.ctrl, OFFSET(PSA.Data!$H59, 0, ($F$2-1)*6 + 1),
_xlpm.int - _xlpm.ctrl)</f>
        <v>-6179.6249363416118</v>
      </c>
      <c r="M57" s="134">
        <f t="shared" ca="1" si="3"/>
        <v>-7539.5637986558822</v>
      </c>
      <c r="N57" s="80">
        <f t="shared" si="5"/>
        <v>2.6389378290154282</v>
      </c>
      <c r="O57" s="90">
        <f t="shared" ca="1" si="6"/>
        <v>33758058.779088661</v>
      </c>
      <c r="P57" s="80">
        <f t="shared" ca="1" si="7"/>
        <v>-8285.0553493801708</v>
      </c>
    </row>
    <row r="58" spans="4:16" ht="12" customHeight="1" x14ac:dyDescent="0.25">
      <c r="D58">
        <f t="shared" si="4"/>
        <v>44</v>
      </c>
      <c r="K58" s="90">
        <f ca="1">_xlfn.LET(_xlpm.int, OFFSET(PSA.Data!$E60, 0, ($F$2-1)*6), _xlpm.ctrl, OFFSET(PSA.Data!$E60, 0, ($F$2-1)*6 + 1),
_xlpm.int - _xlpm.ctrl)</f>
        <v>38803915.939791262</v>
      </c>
      <c r="L58" s="421">
        <f ca="1">_xlfn.LET(_xlpm.int, OFFSET(PSA.Data!$H60, 0, ($F$2-1)*6), _xlpm.ctrl, OFFSET(PSA.Data!$H60, 0, ($F$2-1)*6 + 1),
_xlpm.int - _xlpm.ctrl)</f>
        <v>-6786.5995277423499</v>
      </c>
      <c r="M58" s="134">
        <f t="shared" ca="1" si="3"/>
        <v>-8726.7953247319128</v>
      </c>
      <c r="N58" s="80">
        <f t="shared" si="5"/>
        <v>2.7017696820872241</v>
      </c>
      <c r="O58" s="90">
        <f t="shared" ca="1" si="6"/>
        <v>31498143.613531265</v>
      </c>
      <c r="P58" s="80">
        <f t="shared" ca="1" si="7"/>
        <v>-8182.9088297478329</v>
      </c>
    </row>
    <row r="59" spans="4:16" ht="12" customHeight="1" x14ac:dyDescent="0.25">
      <c r="D59">
        <f t="shared" si="4"/>
        <v>45</v>
      </c>
      <c r="K59" s="90">
        <f ca="1">_xlfn.LET(_xlpm.int, OFFSET(PSA.Data!$E61, 0, ($F$2-1)*6), _xlpm.ctrl, OFFSET(PSA.Data!$E61, 0, ($F$2-1)*6 + 1),
_xlpm.int - _xlpm.ctrl)</f>
        <v>46011637.535516582</v>
      </c>
      <c r="L59" s="421">
        <f ca="1">_xlfn.LET(_xlpm.int, OFFSET(PSA.Data!$H61, 0, ($F$2-1)*6), _xlpm.ctrl, OFFSET(PSA.Data!$H61, 0, ($F$2-1)*6 + 1),
_xlpm.int - _xlpm.ctrl)</f>
        <v>-6502.9276506343967</v>
      </c>
      <c r="M59" s="134">
        <f t="shared" ca="1" si="3"/>
        <v>-8803.5095274102259</v>
      </c>
      <c r="N59" s="80">
        <f t="shared" si="5"/>
        <v>2.7646015351590201</v>
      </c>
      <c r="O59" s="90">
        <f t="shared" ca="1" si="6"/>
        <v>29237041.954188533</v>
      </c>
      <c r="P59" s="80">
        <f t="shared" ca="1" si="7"/>
        <v>-8072.8362726138821</v>
      </c>
    </row>
    <row r="60" spans="4:16" ht="12" customHeight="1" x14ac:dyDescent="0.25">
      <c r="D60">
        <f t="shared" si="4"/>
        <v>46</v>
      </c>
      <c r="K60" s="90">
        <f ca="1">_xlfn.LET(_xlpm.int, OFFSET(PSA.Data!$E62, 0, ($F$2-1)*6), _xlpm.ctrl, OFFSET(PSA.Data!$E62, 0, ($F$2-1)*6 + 1),
_xlpm.int - _xlpm.ctrl)</f>
        <v>46060092.960532807</v>
      </c>
      <c r="L60" s="421">
        <f ca="1">_xlfn.LET(_xlpm.int, OFFSET(PSA.Data!$H62, 0, ($F$2-1)*6), _xlpm.ctrl, OFFSET(PSA.Data!$H62, 0, ($F$2-1)*6 + 1),
_xlpm.int - _xlpm.ctrl)</f>
        <v>-7479.8524283456327</v>
      </c>
      <c r="M60" s="134">
        <f t="shared" ca="1" si="3"/>
        <v>-9782.8570763722728</v>
      </c>
      <c r="N60" s="80">
        <f t="shared" si="5"/>
        <v>2.827433388230816</v>
      </c>
      <c r="O60" s="90">
        <f t="shared" ca="1" si="6"/>
        <v>26983677.336310804</v>
      </c>
      <c r="P60" s="80">
        <f t="shared" ca="1" si="7"/>
        <v>-7955.2720840739585</v>
      </c>
    </row>
    <row r="61" spans="4:16" ht="12" customHeight="1" x14ac:dyDescent="0.25">
      <c r="D61">
        <f t="shared" si="4"/>
        <v>47</v>
      </c>
      <c r="K61" s="90">
        <f ca="1">_xlfn.LET(_xlpm.int, OFFSET(PSA.Data!$E63, 0, ($F$2-1)*6), _xlpm.ctrl, OFFSET(PSA.Data!$E63, 0, ($F$2-1)*6 + 1),
_xlpm.int - _xlpm.ctrl)</f>
        <v>45196369.457354866</v>
      </c>
      <c r="L61" s="421">
        <f ca="1">_xlfn.LET(_xlpm.int, OFFSET(PSA.Data!$H63, 0, ($F$2-1)*6), _xlpm.ctrl, OFFSET(PSA.Data!$H63, 0, ($F$2-1)*6 + 1),
_xlpm.int - _xlpm.ctrl)</f>
        <v>-8966.9328036959341</v>
      </c>
      <c r="M61" s="134">
        <f t="shared" ca="1" si="3"/>
        <v>-11226.751276563678</v>
      </c>
      <c r="N61" s="80">
        <f t="shared" si="5"/>
        <v>2.890265241302612</v>
      </c>
      <c r="O61" s="90">
        <f t="shared" ca="1" si="6"/>
        <v>24746942.760580469</v>
      </c>
      <c r="P61" s="80">
        <f t="shared" ca="1" si="7"/>
        <v>-7830.6802362702601</v>
      </c>
    </row>
    <row r="62" spans="4:16" ht="12" customHeight="1" x14ac:dyDescent="0.25">
      <c r="D62">
        <f t="shared" si="4"/>
        <v>48</v>
      </c>
      <c r="K62" s="90">
        <f ca="1">_xlfn.LET(_xlpm.int, OFFSET(PSA.Data!$E64, 0, ($F$2-1)*6), _xlpm.ctrl, OFFSET(PSA.Data!$E64, 0, ($F$2-1)*6 + 1),
_xlpm.int - _xlpm.ctrl)</f>
        <v>23549623.051165696</v>
      </c>
      <c r="L62" s="421">
        <f ca="1">_xlfn.LET(_xlpm.int, OFFSET(PSA.Data!$H64, 0, ($F$2-1)*6), _xlpm.ctrl, OFFSET(PSA.Data!$H64, 0, ($F$2-1)*6 + 1),
_xlpm.int - _xlpm.ctrl)</f>
        <v>-5958.1055636084802</v>
      </c>
      <c r="M62" s="134">
        <f t="shared" ca="1" si="3"/>
        <v>-7135.5867161667647</v>
      </c>
      <c r="N62" s="80">
        <f t="shared" si="5"/>
        <v>2.9530970943744079</v>
      </c>
      <c r="O62" s="90">
        <f t="shared" ca="1" si="6"/>
        <v>22535665.596501116</v>
      </c>
      <c r="P62" s="80">
        <f t="shared" ca="1" si="7"/>
        <v>-7699.5524363054701</v>
      </c>
    </row>
    <row r="63" spans="4:16" ht="12" customHeight="1" x14ac:dyDescent="0.25">
      <c r="D63">
        <f t="shared" si="4"/>
        <v>49</v>
      </c>
      <c r="K63" s="90">
        <f ca="1">_xlfn.LET(_xlpm.int, OFFSET(PSA.Data!$E65, 0, ($F$2-1)*6), _xlpm.ctrl, OFFSET(PSA.Data!$E65, 0, ($F$2-1)*6 + 1),
_xlpm.int - _xlpm.ctrl)</f>
        <v>12553916.026810121</v>
      </c>
      <c r="L63" s="421">
        <f ca="1">_xlfn.LET(_xlpm.int, OFFSET(PSA.Data!$H65, 0, ($F$2-1)*6), _xlpm.ctrl, OFFSET(PSA.Data!$H65, 0, ($F$2-1)*6 + 1),
_xlpm.int - _xlpm.ctrl)</f>
        <v>-5056.4860770468131</v>
      </c>
      <c r="M63" s="134">
        <f t="shared" ca="1" si="3"/>
        <v>-5684.1818783873186</v>
      </c>
      <c r="N63" s="80">
        <f t="shared" si="5"/>
        <v>3.0159289474462039</v>
      </c>
      <c r="O63" s="90">
        <f t="shared" ca="1" si="6"/>
        <v>20358572.744802922</v>
      </c>
      <c r="P63" s="80">
        <f t="shared" ca="1" si="7"/>
        <v>-7562.4061856994531</v>
      </c>
    </row>
    <row r="64" spans="4:16" ht="12" customHeight="1" x14ac:dyDescent="0.25">
      <c r="D64">
        <f t="shared" si="4"/>
        <v>50</v>
      </c>
      <c r="K64" s="90">
        <f ca="1">_xlfn.LET(_xlpm.int, OFFSET(PSA.Data!$E66, 0, ($F$2-1)*6), _xlpm.ctrl, OFFSET(PSA.Data!$E66, 0, ($F$2-1)*6 + 1),
_xlpm.int - _xlpm.ctrl)</f>
        <v>48405190.36717812</v>
      </c>
      <c r="L64" s="421">
        <f ca="1">_xlfn.LET(_xlpm.int, OFFSET(PSA.Data!$H66, 0, ($F$2-1)*6), _xlpm.ctrl, OFFSET(PSA.Data!$H66, 0, ($F$2-1)*6 + 1),
_xlpm.int - _xlpm.ctrl)</f>
        <v>-6130.3530156324869</v>
      </c>
      <c r="M64" s="134">
        <f t="shared" ca="1" si="3"/>
        <v>-8550.6125339913924</v>
      </c>
      <c r="N64" s="80">
        <f t="shared" si="5"/>
        <v>3.0787608005179998</v>
      </c>
      <c r="O64" s="90">
        <f t="shared" ca="1" si="6"/>
        <v>18224256.196352426</v>
      </c>
      <c r="P64" s="80">
        <f t="shared" ca="1" si="7"/>
        <v>-7419.7827380471881</v>
      </c>
    </row>
    <row r="65" spans="4:16" ht="12" customHeight="1" x14ac:dyDescent="0.25">
      <c r="D65">
        <f t="shared" si="4"/>
        <v>51</v>
      </c>
      <c r="K65" s="90">
        <f ca="1">_xlfn.LET(_xlpm.int, OFFSET(PSA.Data!$E67, 0, ($F$2-1)*6), _xlpm.ctrl, OFFSET(PSA.Data!$E67, 0, ($F$2-1)*6 + 1),
_xlpm.int - _xlpm.ctrl)</f>
        <v>30218988.675304256</v>
      </c>
      <c r="L65" s="421">
        <f ca="1">_xlfn.LET(_xlpm.int, OFFSET(PSA.Data!$H67, 0, ($F$2-1)*6), _xlpm.ctrl, OFFSET(PSA.Data!$H67, 0, ($F$2-1)*6 + 1),
_xlpm.int - _xlpm.ctrl)</f>
        <v>-6260.3311565110607</v>
      </c>
      <c r="M65" s="134">
        <f t="shared" ca="1" si="3"/>
        <v>-7771.2805902762739</v>
      </c>
      <c r="N65" s="80">
        <f t="shared" si="5"/>
        <v>3.1415926535897958</v>
      </c>
      <c r="O65" s="90">
        <f t="shared" ca="1" si="6"/>
        <v>16141139.123489881</v>
      </c>
      <c r="P65" s="80">
        <f t="shared" ca="1" si="7"/>
        <v>-7272.2449629381044</v>
      </c>
    </row>
    <row r="66" spans="4:16" ht="12" customHeight="1" x14ac:dyDescent="0.25">
      <c r="D66">
        <f t="shared" si="4"/>
        <v>52</v>
      </c>
      <c r="K66" s="90">
        <f ca="1">_xlfn.LET(_xlpm.int, OFFSET(PSA.Data!$E68, 0, ($F$2-1)*6), _xlpm.ctrl, OFFSET(PSA.Data!$E68, 0, ($F$2-1)*6 + 1),
_xlpm.int - _xlpm.ctrl)</f>
        <v>24903049.550171513</v>
      </c>
      <c r="L66" s="421">
        <f ca="1">_xlfn.LET(_xlpm.int, OFFSET(PSA.Data!$H68, 0, ($F$2-1)*6), _xlpm.ctrl, OFFSET(PSA.Data!$H68, 0, ($F$2-1)*6 + 1),
_xlpm.int - _xlpm.ctrl)</f>
        <v>-6437.5794901570389</v>
      </c>
      <c r="M66" s="134">
        <f t="shared" ca="1" si="3"/>
        <v>-7682.7319676656143</v>
      </c>
      <c r="N66" s="80">
        <f t="shared" si="5"/>
        <v>3.2044245066615917</v>
      </c>
      <c r="O66" s="90">
        <f t="shared" ca="1" si="6"/>
        <v>14117442.63761621</v>
      </c>
      <c r="P66" s="80">
        <f t="shared" ca="1" si="7"/>
        <v>-7120.3751245669628</v>
      </c>
    </row>
    <row r="67" spans="4:16" ht="12" customHeight="1" x14ac:dyDescent="0.25">
      <c r="D67">
        <f t="shared" si="4"/>
        <v>53</v>
      </c>
      <c r="K67" s="90">
        <f ca="1">_xlfn.LET(_xlpm.int, OFFSET(PSA.Data!$E69, 0, ($F$2-1)*6), _xlpm.ctrl, OFFSET(PSA.Data!$E69, 0, ($F$2-1)*6 + 1),
_xlpm.int - _xlpm.ctrl)</f>
        <v>95385413.415144339</v>
      </c>
      <c r="L67" s="421">
        <f ca="1">_xlfn.LET(_xlpm.int, OFFSET(PSA.Data!$H69, 0, ($F$2-1)*6), _xlpm.ctrl, OFFSET(PSA.Data!$H69, 0, ($F$2-1)*6 + 1),
_xlpm.int - _xlpm.ctrl)</f>
        <v>-7961.8556706992886</v>
      </c>
      <c r="M67" s="134">
        <f t="shared" ca="1" si="3"/>
        <v>-12731.126341456506</v>
      </c>
      <c r="N67" s="80">
        <f t="shared" si="5"/>
        <v>3.2672563597333877</v>
      </c>
      <c r="O67" s="90">
        <f t="shared" ca="1" si="6"/>
        <v>12161153.344222177</v>
      </c>
      <c r="P67" s="80">
        <f t="shared" ca="1" si="7"/>
        <v>-6964.7725838030819</v>
      </c>
    </row>
    <row r="68" spans="4:16" ht="12" customHeight="1" x14ac:dyDescent="0.25">
      <c r="D68">
        <f t="shared" si="4"/>
        <v>54</v>
      </c>
      <c r="K68" s="90">
        <f ca="1">_xlfn.LET(_xlpm.int, OFFSET(PSA.Data!$E70, 0, ($F$2-1)*6), _xlpm.ctrl, OFFSET(PSA.Data!$E70, 0, ($F$2-1)*6 + 1),
_xlpm.int - _xlpm.ctrl)</f>
        <v>60388190.684132971</v>
      </c>
      <c r="L68" s="421">
        <f ca="1">_xlfn.LET(_xlpm.int, OFFSET(PSA.Data!$H70, 0, ($F$2-1)*6), _xlpm.ctrl, OFFSET(PSA.Data!$H70, 0, ($F$2-1)*6 + 1),
_xlpm.int - _xlpm.ctrl)</f>
        <v>-8577.5115735241161</v>
      </c>
      <c r="M68" s="134">
        <f t="shared" ca="1" si="3"/>
        <v>-11596.921107730765</v>
      </c>
      <c r="N68" s="80">
        <f t="shared" si="5"/>
        <v>3.3300882128051836</v>
      </c>
      <c r="O68" s="90">
        <f t="shared" ca="1" si="6"/>
        <v>10279991.823405247</v>
      </c>
      <c r="P68" s="80">
        <f t="shared" ca="1" si="7"/>
        <v>-6806.0514327868168</v>
      </c>
    </row>
    <row r="69" spans="4:16" ht="12" customHeight="1" x14ac:dyDescent="0.25">
      <c r="D69">
        <f t="shared" si="4"/>
        <v>55</v>
      </c>
      <c r="K69" s="90">
        <f ca="1">_xlfn.LET(_xlpm.int, OFFSET(PSA.Data!$E71, 0, ($F$2-1)*6), _xlpm.ctrl, OFFSET(PSA.Data!$E71, 0, ($F$2-1)*6 + 1),
_xlpm.int - _xlpm.ctrl)</f>
        <v>32174041.53478016</v>
      </c>
      <c r="L69" s="421">
        <f ca="1">_xlfn.LET(_xlpm.int, OFFSET(PSA.Data!$H71, 0, ($F$2-1)*6), _xlpm.ctrl, OFFSET(PSA.Data!$H71, 0, ($F$2-1)*6 + 1),
_xlpm.int - _xlpm.ctrl)</f>
        <v>-5633.3427537388279</v>
      </c>
      <c r="M69" s="134">
        <f t="shared" ca="1" si="3"/>
        <v>-7242.0448304778356</v>
      </c>
      <c r="N69" s="80">
        <f t="shared" si="5"/>
        <v>3.3929200658769796</v>
      </c>
      <c r="O69" s="90">
        <f t="shared" ca="1" si="6"/>
        <v>8481382.1602671258</v>
      </c>
      <c r="P69" s="80">
        <f t="shared" ca="1" si="7"/>
        <v>-6644.8380713884326</v>
      </c>
    </row>
    <row r="70" spans="4:16" ht="12" customHeight="1" x14ac:dyDescent="0.25">
      <c r="D70">
        <f t="shared" si="4"/>
        <v>56</v>
      </c>
      <c r="K70" s="90">
        <f ca="1">_xlfn.LET(_xlpm.int, OFFSET(PSA.Data!$E72, 0, ($F$2-1)*6), _xlpm.ctrl, OFFSET(PSA.Data!$E72, 0, ($F$2-1)*6 + 1),
_xlpm.int - _xlpm.ctrl)</f>
        <v>20013435.194246717</v>
      </c>
      <c r="L70" s="421">
        <f ca="1">_xlfn.LET(_xlpm.int, OFFSET(PSA.Data!$H72, 0, ($F$2-1)*6), _xlpm.ctrl, OFFSET(PSA.Data!$H72, 0, ($F$2-1)*6 + 1),
_xlpm.int - _xlpm.ctrl)</f>
        <v>-5778.0991514999769</v>
      </c>
      <c r="M70" s="134">
        <f t="shared" ca="1" si="3"/>
        <v>-6778.770911212313</v>
      </c>
      <c r="N70" s="80">
        <f t="shared" si="5"/>
        <v>3.4557519189487755</v>
      </c>
      <c r="O70" s="90">
        <f t="shared" ca="1" si="6"/>
        <v>6772422.6454416402</v>
      </c>
      <c r="P70" s="80">
        <f t="shared" ca="1" si="7"/>
        <v>-6481.7687350939941</v>
      </c>
    </row>
    <row r="71" spans="4:16" ht="12" customHeight="1" x14ac:dyDescent="0.25">
      <c r="D71">
        <f t="shared" si="4"/>
        <v>57</v>
      </c>
      <c r="K71" s="90">
        <f ca="1">_xlfn.LET(_xlpm.int, OFFSET(PSA.Data!$E73, 0, ($F$2-1)*6), _xlpm.ctrl, OFFSET(PSA.Data!$E73, 0, ($F$2-1)*6 + 1),
_xlpm.int - _xlpm.ctrl)</f>
        <v>7514333.3100612089</v>
      </c>
      <c r="L71" s="421">
        <f ca="1">_xlfn.LET(_xlpm.int, OFFSET(PSA.Data!$H73, 0, ($F$2-1)*6), _xlpm.ctrl, OFFSET(PSA.Data!$H73, 0, ($F$2-1)*6 + 1),
_xlpm.int - _xlpm.ctrl)</f>
        <v>-4230.6937992656012</v>
      </c>
      <c r="M71" s="134">
        <f t="shared" ca="1" si="3"/>
        <v>-4606.4104647686618</v>
      </c>
      <c r="N71" s="80">
        <f t="shared" si="5"/>
        <v>3.5185837720205715</v>
      </c>
      <c r="O71" s="90">
        <f t="shared" ca="1" si="6"/>
        <v>5159857.7613844573</v>
      </c>
      <c r="P71" s="80">
        <f t="shared" ca="1" si="7"/>
        <v>-6317.4869840745587</v>
      </c>
    </row>
    <row r="72" spans="4:16" ht="12" customHeight="1" x14ac:dyDescent="0.25">
      <c r="D72">
        <f t="shared" si="4"/>
        <v>58</v>
      </c>
      <c r="K72" s="90">
        <f ca="1">_xlfn.LET(_xlpm.int, OFFSET(PSA.Data!$E74, 0, ($F$2-1)*6), _xlpm.ctrl, OFFSET(PSA.Data!$E74, 0, ($F$2-1)*6 + 1),
_xlpm.int - _xlpm.ctrl)</f>
        <v>42589386.789905936</v>
      </c>
      <c r="L72" s="421">
        <f ca="1">_xlfn.LET(_xlpm.int, OFFSET(PSA.Data!$H74, 0, ($F$2-1)*6), _xlpm.ctrl, OFFSET(PSA.Data!$H74, 0, ($F$2-1)*6 + 1),
_xlpm.int - _xlpm.ctrl)</f>
        <v>-6872.909294660667</v>
      </c>
      <c r="M72" s="134">
        <f t="shared" ca="1" si="3"/>
        <v>-9002.3786341559644</v>
      </c>
      <c r="N72" s="80">
        <f t="shared" si="5"/>
        <v>3.5814156250923674</v>
      </c>
      <c r="O72" s="90">
        <f t="shared" ca="1" si="6"/>
        <v>3650051.5649821386</v>
      </c>
      <c r="P72" s="80">
        <f t="shared" ca="1" si="7"/>
        <v>-6152.6411633482048</v>
      </c>
    </row>
    <row r="73" spans="4:16" ht="12" customHeight="1" x14ac:dyDescent="0.25">
      <c r="D73">
        <f t="shared" si="4"/>
        <v>59</v>
      </c>
      <c r="K73" s="90">
        <f ca="1">_xlfn.LET(_xlpm.int, OFFSET(PSA.Data!$E75, 0, ($F$2-1)*6), _xlpm.ctrl, OFFSET(PSA.Data!$E75, 0, ($F$2-1)*6 + 1),
_xlpm.int - _xlpm.ctrl)</f>
        <v>41644355.107339621</v>
      </c>
      <c r="L73" s="421">
        <f ca="1">_xlfn.LET(_xlpm.int, OFFSET(PSA.Data!$H75, 0, ($F$2-1)*6), _xlpm.ctrl, OFFSET(PSA.Data!$H75, 0, ($F$2-1)*6 + 1),
_xlpm.int - _xlpm.ctrl)</f>
        <v>-6332.268857048397</v>
      </c>
      <c r="M73" s="134">
        <f t="shared" ca="1" si="3"/>
        <v>-8414.4866124153777</v>
      </c>
      <c r="N73" s="80">
        <f t="shared" si="5"/>
        <v>3.6442474781641634</v>
      </c>
      <c r="O73" s="90">
        <f t="shared" ca="1" si="6"/>
        <v>2248962.5715270415</v>
      </c>
      <c r="P73" s="80">
        <f t="shared" ca="1" si="7"/>
        <v>-5987.881844058451</v>
      </c>
    </row>
    <row r="74" spans="4:16" ht="12" customHeight="1" x14ac:dyDescent="0.25">
      <c r="D74">
        <f t="shared" si="4"/>
        <v>60</v>
      </c>
      <c r="K74" s="90">
        <f ca="1">_xlfn.LET(_xlpm.int, OFFSET(PSA.Data!$E76, 0, ($F$2-1)*6), _xlpm.ctrl, OFFSET(PSA.Data!$E76, 0, ($F$2-1)*6 + 1),
_xlpm.int - _xlpm.ctrl)</f>
        <v>13210697.382591303</v>
      </c>
      <c r="L74" s="421">
        <f ca="1">_xlfn.LET(_xlpm.int, OFFSET(PSA.Data!$H76, 0, ($F$2-1)*6), _xlpm.ctrl, OFFSET(PSA.Data!$H76, 0, ($F$2-1)*6 + 1),
_xlpm.int - _xlpm.ctrl)</f>
        <v>-5035.6709452686191</v>
      </c>
      <c r="M74" s="134">
        <f t="shared" ca="1" si="3"/>
        <v>-5696.205814398184</v>
      </c>
      <c r="N74" s="80">
        <f t="shared" si="5"/>
        <v>3.7070793312359593</v>
      </c>
      <c r="O74" s="90">
        <f t="shared" ca="1" si="6"/>
        <v>962120.23917966709</v>
      </c>
      <c r="P74" s="80">
        <f t="shared" ca="1" si="7"/>
        <v>-5823.8592559671615</v>
      </c>
    </row>
    <row r="75" spans="4:16" ht="12" customHeight="1" x14ac:dyDescent="0.25">
      <c r="D75">
        <f t="shared" si="4"/>
        <v>61</v>
      </c>
      <c r="K75" s="90">
        <f ca="1">_xlfn.LET(_xlpm.int, OFFSET(PSA.Data!$E77, 0, ($F$2-1)*6), _xlpm.ctrl, OFFSET(PSA.Data!$E77, 0, ($F$2-1)*6 + 1),
_xlpm.int - _xlpm.ctrl)</f>
        <v>25036230.520664465</v>
      </c>
      <c r="L75" s="421">
        <f ca="1">_xlfn.LET(_xlpm.int, OFFSET(PSA.Data!$H77, 0, ($F$2-1)*6), _xlpm.ctrl, OFFSET(PSA.Data!$H77, 0, ($F$2-1)*6 + 1),
_xlpm.int - _xlpm.ctrl)</f>
        <v>-4769.6192794823983</v>
      </c>
      <c r="M75" s="134">
        <f t="shared" ca="1" si="3"/>
        <v>-6021.4308055156216</v>
      </c>
      <c r="N75" s="80">
        <f t="shared" si="5"/>
        <v>3.7699111843077553</v>
      </c>
      <c r="O75" s="90">
        <f t="shared" ca="1" si="6"/>
        <v>-205396.85327656195</v>
      </c>
      <c r="P75" s="80">
        <f t="shared" ca="1" si="7"/>
        <v>-5661.2207212947396</v>
      </c>
    </row>
    <row r="76" spans="4:16" ht="12" customHeight="1" x14ac:dyDescent="0.25">
      <c r="D76">
        <f t="shared" si="4"/>
        <v>62</v>
      </c>
      <c r="K76" s="90">
        <f ca="1">_xlfn.LET(_xlpm.int, OFFSET(PSA.Data!$E78, 0, ($F$2-1)*6), _xlpm.ctrl, OFFSET(PSA.Data!$E78, 0, ($F$2-1)*6 + 1),
_xlpm.int - _xlpm.ctrl)</f>
        <v>11812457.759732584</v>
      </c>
      <c r="L76" s="421">
        <f ca="1">_xlfn.LET(_xlpm.int, OFFSET(PSA.Data!$H78, 0, ($F$2-1)*6), _xlpm.ctrl, OFFSET(PSA.Data!$H78, 0, ($F$2-1)*6 + 1),
_xlpm.int - _xlpm.ctrl)</f>
        <v>-5298.9091878002891</v>
      </c>
      <c r="M76" s="134">
        <f t="shared" ca="1" si="3"/>
        <v>-5889.5320757869185</v>
      </c>
      <c r="N76" s="80">
        <f t="shared" si="5"/>
        <v>3.8327430373795512</v>
      </c>
      <c r="O76" s="90">
        <f t="shared" ca="1" si="6"/>
        <v>-1248981.0492655337</v>
      </c>
      <c r="P76" s="80">
        <f t="shared" ca="1" si="7"/>
        <v>-5500.608100035055</v>
      </c>
    </row>
    <row r="77" spans="4:16" ht="12" customHeight="1" x14ac:dyDescent="0.25">
      <c r="D77">
        <f t="shared" si="4"/>
        <v>63</v>
      </c>
      <c r="K77" s="90">
        <f ca="1">_xlfn.LET(_xlpm.int, OFFSET(PSA.Data!$E79, 0, ($F$2-1)*6), _xlpm.ctrl, OFFSET(PSA.Data!$E79, 0, ($F$2-1)*6 + 1),
_xlpm.int - _xlpm.ctrl)</f>
        <v>60036885.600216538</v>
      </c>
      <c r="L77" s="421">
        <f ca="1">_xlfn.LET(_xlpm.int, OFFSET(PSA.Data!$H79, 0, ($F$2-1)*6), _xlpm.ctrl, OFFSET(PSA.Data!$H79, 0, ($F$2-1)*6 + 1),
_xlpm.int - _xlpm.ctrl)</f>
        <v>-8629.4631774431327</v>
      </c>
      <c r="M77" s="134">
        <f t="shared" ca="1" si="3"/>
        <v>-11631.307457453961</v>
      </c>
      <c r="N77" s="80">
        <f t="shared" si="5"/>
        <v>3.8955748904513472</v>
      </c>
      <c r="O77" s="90">
        <f t="shared" ca="1" si="6"/>
        <v>-2164513.7987339497</v>
      </c>
      <c r="P77" s="80">
        <f t="shared" ca="1" si="7"/>
        <v>-5342.6552568272955</v>
      </c>
    </row>
    <row r="78" spans="4:16" ht="12" customHeight="1" x14ac:dyDescent="0.25">
      <c r="D78">
        <f t="shared" si="4"/>
        <v>64</v>
      </c>
      <c r="K78" s="90">
        <f ca="1">_xlfn.LET(_xlpm.int, OFFSET(PSA.Data!$E80, 0, ($F$2-1)*6), _xlpm.ctrl, OFFSET(PSA.Data!$E80, 0, ($F$2-1)*6 + 1),
_xlpm.int - _xlpm.ctrl)</f>
        <v>22586005.698339734</v>
      </c>
      <c r="L78" s="421">
        <f ca="1">_xlfn.LET(_xlpm.int, OFFSET(PSA.Data!$H80, 0, ($F$2-1)*6), _xlpm.ctrl, OFFSET(PSA.Data!$H80, 0, ($F$2-1)*6 + 1),
_xlpm.int - _xlpm.ctrl)</f>
        <v>-7881.5484439296897</v>
      </c>
      <c r="M78" s="134">
        <f t="shared" ca="1" si="3"/>
        <v>-9010.8487288466767</v>
      </c>
      <c r="N78" s="80">
        <f t="shared" si="5"/>
        <v>3.9584067435231431</v>
      </c>
      <c r="O78" s="90">
        <f t="shared" ca="1" si="6"/>
        <v>-2948381.9121867903</v>
      </c>
      <c r="P78" s="80">
        <f t="shared" ca="1" si="7"/>
        <v>-5187.9855593818147</v>
      </c>
    </row>
    <row r="79" spans="4:16" ht="12" customHeight="1" x14ac:dyDescent="0.25">
      <c r="D79">
        <f t="shared" si="4"/>
        <v>65</v>
      </c>
      <c r="K79" s="90">
        <f ca="1">_xlfn.LET(_xlpm.int, OFFSET(PSA.Data!$E81, 0, ($F$2-1)*6), _xlpm.ctrl, OFFSET(PSA.Data!$E81, 0, ($F$2-1)*6 + 1),
_xlpm.int - _xlpm.ctrl)</f>
        <v>32850146.8398057</v>
      </c>
      <c r="L79" s="421">
        <f ca="1">_xlfn.LET(_xlpm.int, OFFSET(PSA.Data!$H81, 0, ($F$2-1)*6), _xlpm.ctrl, OFFSET(PSA.Data!$H81, 0, ($F$2-1)*6 + 1),
_xlpm.int - _xlpm.ctrl)</f>
        <v>-5919.9608447169921</v>
      </c>
      <c r="M79" s="134">
        <f t="shared" ca="1" si="3"/>
        <v>-7562.4681867072768</v>
      </c>
      <c r="N79" s="80">
        <f t="shared" si="5"/>
        <v>4.0212385965949391</v>
      </c>
      <c r="O79" s="90">
        <f t="shared" ref="O79:O115" ca="1" si="8">O$12+SQRT(-2*LN(1-$O$10))*O$13*COS($N79-ACOS($P$10)/2)</f>
        <v>-3597491.8202955313</v>
      </c>
      <c r="P79" s="80">
        <f t="shared" ref="P79:P115" ca="1" si="9">P$12+SQRT(-2*LN(1-$O$10))*P$13*COS($N79+ACOS($P$10)/2)</f>
        <v>-5037.2094183325635</v>
      </c>
    </row>
    <row r="80" spans="4:16" ht="12" customHeight="1" x14ac:dyDescent="0.25">
      <c r="D80">
        <f t="shared" si="4"/>
        <v>66</v>
      </c>
      <c r="K80" s="90">
        <f ca="1">_xlfn.LET(_xlpm.int, OFFSET(PSA.Data!$E82, 0, ($F$2-1)*6), _xlpm.ctrl, OFFSET(PSA.Data!$E82, 0, ($F$2-1)*6 + 1),
_xlpm.int - _xlpm.ctrl)</f>
        <v>33988898.262231842</v>
      </c>
      <c r="L80" s="421">
        <f ca="1">_xlfn.LET(_xlpm.int, OFFSET(PSA.Data!$H82, 0, ($F$2-1)*6), _xlpm.ctrl, OFFSET(PSA.Data!$H82, 0, ($F$2-1)*6 + 1),
_xlpm.int - _xlpm.ctrl)</f>
        <v>-5939.4903793926023</v>
      </c>
      <c r="M80" s="134">
        <f t="shared" ref="M80:M143" ca="1" si="10">L80-K80/WTP</f>
        <v>-7638.9352925041949</v>
      </c>
      <c r="N80" s="80">
        <f t="shared" si="5"/>
        <v>4.0840704496667346</v>
      </c>
      <c r="O80" s="90">
        <f t="shared" ca="1" si="8"/>
        <v>-4109281.7828029655</v>
      </c>
      <c r="P80" s="80">
        <f t="shared" ca="1" si="9"/>
        <v>-4890.9218782251974</v>
      </c>
    </row>
    <row r="81" spans="4:16" ht="12" customHeight="1" x14ac:dyDescent="0.25">
      <c r="D81">
        <f t="shared" ref="D81:D115" si="11">D80+1</f>
        <v>67</v>
      </c>
      <c r="K81" s="90">
        <f ca="1">_xlfn.LET(_xlpm.int, OFFSET(PSA.Data!$E83, 0, ($F$2-1)*6), _xlpm.ctrl, OFFSET(PSA.Data!$E83, 0, ($F$2-1)*6 + 1),
_xlpm.int - _xlpm.ctrl)</f>
        <v>21821647.069148216</v>
      </c>
      <c r="L81" s="421">
        <f ca="1">_xlfn.LET(_xlpm.int, OFFSET(PSA.Data!$H83, 0, ($F$2-1)*6), _xlpm.ctrl, OFFSET(PSA.Data!$H83, 0, ($F$2-1)*6 + 1),
_xlpm.int - _xlpm.ctrl)</f>
        <v>-5141.0518961202961</v>
      </c>
      <c r="M81" s="134">
        <f t="shared" ca="1" si="10"/>
        <v>-6232.1342495777071</v>
      </c>
      <c r="N81" s="80">
        <f t="shared" si="5"/>
        <v>4.1469023027385301</v>
      </c>
      <c r="O81" s="90">
        <f t="shared" ca="1" si="8"/>
        <v>-4481731.9985416792</v>
      </c>
      <c r="P81" s="80">
        <f t="shared" ca="1" si="9"/>
        <v>-4749.7002691480993</v>
      </c>
    </row>
    <row r="82" spans="4:16" ht="12" customHeight="1" x14ac:dyDescent="0.25">
      <c r="D82">
        <f t="shared" si="11"/>
        <v>68</v>
      </c>
      <c r="K82" s="90">
        <f ca="1">_xlfn.LET(_xlpm.int, OFFSET(PSA.Data!$E84, 0, ($F$2-1)*6), _xlpm.ctrl, OFFSET(PSA.Data!$E84, 0, ($F$2-1)*6 + 1),
_xlpm.int - _xlpm.ctrl)</f>
        <v>11323785.459308723</v>
      </c>
      <c r="L82" s="421">
        <f ca="1">_xlfn.LET(_xlpm.int, OFFSET(PSA.Data!$H84, 0, ($F$2-1)*6), _xlpm.ctrl, OFFSET(PSA.Data!$H84, 0, ($F$2-1)*6 + 1),
_xlpm.int - _xlpm.ctrl)</f>
        <v>-5548.1955095843077</v>
      </c>
      <c r="M82" s="134">
        <f t="shared" ca="1" si="10"/>
        <v>-6114.3847825497442</v>
      </c>
      <c r="N82" s="80">
        <f t="shared" si="5"/>
        <v>4.2097341558103256</v>
      </c>
      <c r="O82" s="90">
        <f t="shared" ca="1" si="8"/>
        <v>-4713372.5766664781</v>
      </c>
      <c r="P82" s="80">
        <f t="shared" ca="1" si="9"/>
        <v>-4614.1019282742818</v>
      </c>
    </row>
    <row r="83" spans="4:16" ht="12" customHeight="1" x14ac:dyDescent="0.25">
      <c r="D83">
        <f t="shared" si="11"/>
        <v>69</v>
      </c>
      <c r="K83" s="90">
        <f ca="1">_xlfn.LET(_xlpm.int, OFFSET(PSA.Data!$E85, 0, ($F$2-1)*6), _xlpm.ctrl, OFFSET(PSA.Data!$E85, 0, ($F$2-1)*6 + 1),
_xlpm.int - _xlpm.ctrl)</f>
        <v>69636748.117221102</v>
      </c>
      <c r="L83" s="421">
        <f ca="1">_xlfn.LET(_xlpm.int, OFFSET(PSA.Data!$H85, 0, ($F$2-1)*6), _xlpm.ctrl, OFFSET(PSA.Data!$H85, 0, ($F$2-1)*6 + 1),
_xlpm.int - _xlpm.ctrl)</f>
        <v>-6670.1003717477297</v>
      </c>
      <c r="M83" s="134">
        <f t="shared" ca="1" si="10"/>
        <v>-10151.937777608786</v>
      </c>
      <c r="N83" s="80">
        <f t="shared" ref="N83:N115" si="12">N82+(2*PI()/100)</f>
        <v>4.2725660088821211</v>
      </c>
      <c r="O83" s="90">
        <f t="shared" ca="1" si="8"/>
        <v>-4803289.3376420103</v>
      </c>
      <c r="P83" s="80">
        <f t="shared" ca="1" si="9"/>
        <v>-4484.6620003061844</v>
      </c>
    </row>
    <row r="84" spans="4:16" ht="12" customHeight="1" x14ac:dyDescent="0.25">
      <c r="D84">
        <f t="shared" si="11"/>
        <v>70</v>
      </c>
      <c r="K84" s="90">
        <f ca="1">_xlfn.LET(_xlpm.int, OFFSET(PSA.Data!$E86, 0, ($F$2-1)*6), _xlpm.ctrl, OFFSET(PSA.Data!$E86, 0, ($F$2-1)*6 + 1),
_xlpm.int - _xlpm.ctrl)</f>
        <v>29187498.655613139</v>
      </c>
      <c r="L84" s="421">
        <f ca="1">_xlfn.LET(_xlpm.int, OFFSET(PSA.Data!$H86, 0, ($F$2-1)*6), _xlpm.ctrl, OFFSET(PSA.Data!$H86, 0, ($F$2-1)*6 + 1),
_xlpm.int - _xlpm.ctrl)</f>
        <v>-6759.4989302021095</v>
      </c>
      <c r="M84" s="134">
        <f t="shared" ca="1" si="10"/>
        <v>-8218.8738629827658</v>
      </c>
      <c r="N84" s="80">
        <f t="shared" si="12"/>
        <v>4.3353978619539166</v>
      </c>
      <c r="O84" s="90">
        <f t="shared" ca="1" si="8"/>
        <v>-4751127.4210917614</v>
      </c>
      <c r="P84" s="80">
        <f t="shared" ca="1" si="9"/>
        <v>-4361.8913255040188</v>
      </c>
    </row>
    <row r="85" spans="4:16" ht="12" customHeight="1" x14ac:dyDescent="0.25">
      <c r="D85">
        <f t="shared" si="11"/>
        <v>71</v>
      </c>
      <c r="K85" s="90">
        <f ca="1">_xlfn.LET(_xlpm.int, OFFSET(PSA.Data!$E87, 0, ($F$2-1)*6), _xlpm.ctrl, OFFSET(PSA.Data!$E87, 0, ($F$2-1)*6 + 1),
_xlpm.int - _xlpm.ctrl)</f>
        <v>9546224.3911100607</v>
      </c>
      <c r="L85" s="421">
        <f ca="1">_xlfn.LET(_xlpm.int, OFFSET(PSA.Data!$H87, 0, ($F$2-1)*6), _xlpm.ctrl, OFFSET(PSA.Data!$H87, 0, ($F$2-1)*6 + 1),
_xlpm.int - _xlpm.ctrl)</f>
        <v>-4074.4316377170871</v>
      </c>
      <c r="M85" s="134">
        <f t="shared" ca="1" si="10"/>
        <v>-4551.7428572725903</v>
      </c>
      <c r="N85" s="80">
        <f t="shared" si="12"/>
        <v>4.3982297150257121</v>
      </c>
      <c r="O85" s="90">
        <f t="shared" ca="1" si="8"/>
        <v>-4557092.6862698533</v>
      </c>
      <c r="P85" s="80">
        <f t="shared" ca="1" si="9"/>
        <v>-4246.2744236326416</v>
      </c>
    </row>
    <row r="86" spans="4:16" ht="12" customHeight="1" x14ac:dyDescent="0.25">
      <c r="D86">
        <f t="shared" si="11"/>
        <v>72</v>
      </c>
      <c r="K86" s="90">
        <f ca="1">_xlfn.LET(_xlpm.int, OFFSET(PSA.Data!$E88, 0, ($F$2-1)*6), _xlpm.ctrl, OFFSET(PSA.Data!$E88, 0, ($F$2-1)*6 + 1),
_xlpm.int - _xlpm.ctrl)</f>
        <v>14821359.888396934</v>
      </c>
      <c r="L86" s="421">
        <f ca="1">_xlfn.LET(_xlpm.int, OFFSET(PSA.Data!$H88, 0, ($F$2-1)*6), _xlpm.ctrl, OFFSET(PSA.Data!$H88, 0, ($F$2-1)*6 + 1),
_xlpm.int - _xlpm.ctrl)</f>
        <v>-4228.4944911699959</v>
      </c>
      <c r="M86" s="134">
        <f t="shared" ca="1" si="10"/>
        <v>-4969.5624855898423</v>
      </c>
      <c r="N86" s="80">
        <f t="shared" si="12"/>
        <v>4.4610615680975076</v>
      </c>
      <c r="O86" s="90">
        <f t="shared" ca="1" si="8"/>
        <v>-4221950.8996285759</v>
      </c>
      <c r="P86" s="80">
        <f t="shared" ca="1" si="9"/>
        <v>-4138.2675817834033</v>
      </c>
    </row>
    <row r="87" spans="4:16" ht="12" customHeight="1" x14ac:dyDescent="0.25">
      <c r="D87">
        <f t="shared" si="11"/>
        <v>73</v>
      </c>
      <c r="K87" s="90">
        <f ca="1">_xlfn.LET(_xlpm.int, OFFSET(PSA.Data!$E89, 0, ($F$2-1)*6), _xlpm.ctrl, OFFSET(PSA.Data!$E89, 0, ($F$2-1)*6 + 1),
_xlpm.int - _xlpm.ctrl)</f>
        <v>73914653.763471678</v>
      </c>
      <c r="L87" s="421">
        <f ca="1">_xlfn.LET(_xlpm.int, OFFSET(PSA.Data!$H89, 0, ($F$2-1)*6), _xlpm.ctrl, OFFSET(PSA.Data!$H89, 0, ($F$2-1)*6 + 1),
_xlpm.int - _xlpm.ctrl)</f>
        <v>-10048.022585417601</v>
      </c>
      <c r="M87" s="134">
        <f t="shared" ca="1" si="10"/>
        <v>-13743.755273591185</v>
      </c>
      <c r="N87" s="80">
        <f t="shared" si="12"/>
        <v>4.5238934211693032</v>
      </c>
      <c r="O87" s="90">
        <f t="shared" ca="1" si="8"/>
        <v>-3747024.7126880996</v>
      </c>
      <c r="P87" s="80">
        <f t="shared" ca="1" si="9"/>
        <v>-4038.2970536174498</v>
      </c>
    </row>
    <row r="88" spans="4:16" ht="12" customHeight="1" x14ac:dyDescent="0.25">
      <c r="D88">
        <f t="shared" si="11"/>
        <v>74</v>
      </c>
      <c r="K88" s="90">
        <f ca="1">_xlfn.LET(_xlpm.int, OFFSET(PSA.Data!$E90, 0, ($F$2-1)*6), _xlpm.ctrl, OFFSET(PSA.Data!$E90, 0, ($F$2-1)*6 + 1),
_xlpm.int - _xlpm.ctrl)</f>
        <v>36030698.535674147</v>
      </c>
      <c r="L88" s="421">
        <f ca="1">_xlfn.LET(_xlpm.int, OFFSET(PSA.Data!$H90, 0, ($F$2-1)*6), _xlpm.ctrl, OFFSET(PSA.Data!$H90, 0, ($F$2-1)*6 + 1),
_xlpm.int - _xlpm.ctrl)</f>
        <v>-6659.8561507971444</v>
      </c>
      <c r="M88" s="134">
        <f t="shared" ca="1" si="10"/>
        <v>-8461.3910775808508</v>
      </c>
      <c r="N88" s="80">
        <f t="shared" si="12"/>
        <v>4.5867252742410987</v>
      </c>
      <c r="O88" s="90">
        <f t="shared" ca="1" si="8"/>
        <v>-3134188.4421351291</v>
      </c>
      <c r="P88" s="80">
        <f t="shared" ca="1" si="9"/>
        <v>-3946.7573771372613</v>
      </c>
    </row>
    <row r="89" spans="4:16" ht="12" customHeight="1" x14ac:dyDescent="0.25">
      <c r="D89">
        <f t="shared" si="11"/>
        <v>75</v>
      </c>
      <c r="K89" s="90">
        <f ca="1">_xlfn.LET(_xlpm.int, OFFSET(PSA.Data!$E91, 0, ($F$2-1)*6), _xlpm.ctrl, OFFSET(PSA.Data!$E91, 0, ($F$2-1)*6 + 1),
_xlpm.int - _xlpm.ctrl)</f>
        <v>20212203.527637683</v>
      </c>
      <c r="L89" s="421">
        <f ca="1">_xlfn.LET(_xlpm.int, OFFSET(PSA.Data!$H91, 0, ($F$2-1)*6), _xlpm.ctrl, OFFSET(PSA.Data!$H91, 0, ($F$2-1)*6 + 1),
_xlpm.int - _xlpm.ctrl)</f>
        <v>-7592.9837915219223</v>
      </c>
      <c r="M89" s="134">
        <f t="shared" ca="1" si="10"/>
        <v>-8603.5939679038056</v>
      </c>
      <c r="N89" s="80">
        <f t="shared" si="12"/>
        <v>4.6495571273128942</v>
      </c>
      <c r="O89" s="90">
        <f t="shared" ca="1" si="8"/>
        <v>-2385860.6727512814</v>
      </c>
      <c r="P89" s="80">
        <f t="shared" ca="1" si="9"/>
        <v>-3864.0098176254055</v>
      </c>
    </row>
    <row r="90" spans="4:16" ht="12" customHeight="1" x14ac:dyDescent="0.25">
      <c r="D90">
        <f t="shared" si="11"/>
        <v>76</v>
      </c>
      <c r="K90" s="90">
        <f ca="1">_xlfn.LET(_xlpm.int, OFFSET(PSA.Data!$E92, 0, ($F$2-1)*6), _xlpm.ctrl, OFFSET(PSA.Data!$E92, 0, ($F$2-1)*6 + 1),
_xlpm.int - _xlpm.ctrl)</f>
        <v>15565841.725039627</v>
      </c>
      <c r="L90" s="421">
        <f ca="1">_xlfn.LET(_xlpm.int, OFFSET(PSA.Data!$H92, 0, ($F$2-1)*6), _xlpm.ctrl, OFFSET(PSA.Data!$H92, 0, ($F$2-1)*6 + 1),
_xlpm.int - _xlpm.ctrl)</f>
        <v>-6240.5266501025653</v>
      </c>
      <c r="M90" s="134">
        <f t="shared" ca="1" si="10"/>
        <v>-7018.8187363545467</v>
      </c>
      <c r="N90" s="80">
        <f t="shared" si="12"/>
        <v>4.7123889803846897</v>
      </c>
      <c r="O90" s="90">
        <f t="shared" ca="1" si="8"/>
        <v>-1504994.7123638801</v>
      </c>
      <c r="P90" s="80">
        <f t="shared" ca="1" si="9"/>
        <v>-3790.380941895512</v>
      </c>
    </row>
    <row r="91" spans="4:16" ht="12" customHeight="1" x14ac:dyDescent="0.25">
      <c r="D91">
        <f t="shared" si="11"/>
        <v>77</v>
      </c>
      <c r="K91" s="90">
        <f ca="1">_xlfn.LET(_xlpm.int, OFFSET(PSA.Data!$E93, 0, ($F$2-1)*6), _xlpm.ctrl, OFFSET(PSA.Data!$E93, 0, ($F$2-1)*6 + 1),
_xlpm.int - _xlpm.ctrl)</f>
        <v>15214281.368600544</v>
      </c>
      <c r="L91" s="421">
        <f ca="1">_xlfn.LET(_xlpm.int, OFFSET(PSA.Data!$H93, 0, ($F$2-1)*6), _xlpm.ctrl, OFFSET(PSA.Data!$H93, 0, ($F$2-1)*6 + 1),
_xlpm.int - _xlpm.ctrl)</f>
        <v>-6693.8045174231875</v>
      </c>
      <c r="M91" s="134">
        <f t="shared" ca="1" si="10"/>
        <v>-7454.518585853215</v>
      </c>
      <c r="N91" s="80">
        <f t="shared" si="12"/>
        <v>4.7752208334564852</v>
      </c>
      <c r="O91" s="90">
        <f t="shared" ca="1" si="8"/>
        <v>-495066.93648919463</v>
      </c>
      <c r="P91" s="80">
        <f t="shared" ca="1" si="9"/>
        <v>-3726.1613294822523</v>
      </c>
    </row>
    <row r="92" spans="4:16" ht="12" customHeight="1" x14ac:dyDescent="0.25">
      <c r="D92">
        <f t="shared" si="11"/>
        <v>78</v>
      </c>
      <c r="K92" s="90">
        <f ca="1">_xlfn.LET(_xlpm.int, OFFSET(PSA.Data!$E94, 0, ($F$2-1)*6), _xlpm.ctrl, OFFSET(PSA.Data!$E94, 0, ($F$2-1)*6 + 1),
_xlpm.int - _xlpm.ctrl)</f>
        <v>24355213.516274214</v>
      </c>
      <c r="L92" s="421">
        <f ca="1">_xlfn.LET(_xlpm.int, OFFSET(PSA.Data!$H94, 0, ($F$2-1)*6), _xlpm.ctrl, OFFSET(PSA.Data!$H94, 0, ($F$2-1)*6 + 1),
_xlpm.int - _xlpm.ctrl)</f>
        <v>-4578.9711386764584</v>
      </c>
      <c r="M92" s="134">
        <f t="shared" ca="1" si="10"/>
        <v>-5796.7318144901692</v>
      </c>
      <c r="N92" s="80">
        <f t="shared" si="12"/>
        <v>4.8380526865282807</v>
      </c>
      <c r="O92" s="90">
        <f t="shared" ca="1" si="8"/>
        <v>639936.93133350834</v>
      </c>
      <c r="P92" s="80">
        <f t="shared" ca="1" si="9"/>
        <v>-3671.6044258566726</v>
      </c>
    </row>
    <row r="93" spans="4:16" ht="12" customHeight="1" x14ac:dyDescent="0.25">
      <c r="D93">
        <f t="shared" si="11"/>
        <v>79</v>
      </c>
      <c r="K93" s="90">
        <f ca="1">_xlfn.LET(_xlpm.int, OFFSET(PSA.Data!$E95, 0, ($F$2-1)*6), _xlpm.ctrl, OFFSET(PSA.Data!$E95, 0, ($F$2-1)*6 + 1),
_xlpm.int - _xlpm.ctrl)</f>
        <v>43340741.447304152</v>
      </c>
      <c r="L93" s="421">
        <f ca="1">_xlfn.LET(_xlpm.int, OFFSET(PSA.Data!$H95, 0, ($F$2-1)*6), _xlpm.ctrl, OFFSET(PSA.Data!$H95, 0, ($F$2-1)*6 + 1),
_xlpm.int - _xlpm.ctrl)</f>
        <v>-5988.6495980791506</v>
      </c>
      <c r="M93" s="134">
        <f t="shared" ca="1" si="10"/>
        <v>-8155.6866704443582</v>
      </c>
      <c r="N93" s="80">
        <f t="shared" si="12"/>
        <v>4.9008845396000762</v>
      </c>
      <c r="O93" s="90">
        <f t="shared" ca="1" si="8"/>
        <v>1895537.5493718795</v>
      </c>
      <c r="P93" s="80">
        <f t="shared" ca="1" si="9"/>
        <v>-3626.9255421927037</v>
      </c>
    </row>
    <row r="94" spans="4:16" ht="12" customHeight="1" x14ac:dyDescent="0.25">
      <c r="D94">
        <f t="shared" si="11"/>
        <v>80</v>
      </c>
      <c r="K94" s="90">
        <f ca="1">_xlfn.LET(_xlpm.int, OFFSET(PSA.Data!$E96, 0, ($F$2-1)*6), _xlpm.ctrl, OFFSET(PSA.Data!$E96, 0, ($F$2-1)*6 + 1),
_xlpm.int - _xlpm.ctrl)</f>
        <v>52541080.646002874</v>
      </c>
      <c r="L94" s="421">
        <f ca="1">_xlfn.LET(_xlpm.int, OFFSET(PSA.Data!$H96, 0, ($F$2-1)*6), _xlpm.ctrl, OFFSET(PSA.Data!$H96, 0, ($F$2-1)*6 + 1),
_xlpm.int - _xlpm.ctrl)</f>
        <v>-7282.558359997307</v>
      </c>
      <c r="M94" s="134">
        <f t="shared" ca="1" si="10"/>
        <v>-9909.6123922974512</v>
      </c>
      <c r="N94" s="80">
        <f t="shared" si="12"/>
        <v>4.9637163926718717</v>
      </c>
      <c r="O94" s="90">
        <f t="shared" ca="1" si="8"/>
        <v>3266779.6356158815</v>
      </c>
      <c r="P94" s="80">
        <f t="shared" ca="1" si="9"/>
        <v>-3592.3010056323269</v>
      </c>
    </row>
    <row r="95" spans="4:16" ht="12" customHeight="1" x14ac:dyDescent="0.25">
      <c r="D95">
        <f t="shared" si="11"/>
        <v>81</v>
      </c>
      <c r="K95" s="90">
        <f ca="1">_xlfn.LET(_xlpm.int, OFFSET(PSA.Data!$E97, 0, ($F$2-1)*6), _xlpm.ctrl, OFFSET(PSA.Data!$E97, 0, ($F$2-1)*6 + 1),
_xlpm.int - _xlpm.ctrl)</f>
        <v>58977693.1210908</v>
      </c>
      <c r="L95" s="421">
        <f ca="1">_xlfn.LET(_xlpm.int, OFFSET(PSA.Data!$H97, 0, ($F$2-1)*6), _xlpm.ctrl, OFFSET(PSA.Data!$H97, 0, ($F$2-1)*6 + 1),
_xlpm.int - _xlpm.ctrl)</f>
        <v>-8633.9687615406292</v>
      </c>
      <c r="M95" s="134">
        <f t="shared" ca="1" si="10"/>
        <v>-11582.853417595168</v>
      </c>
      <c r="N95" s="80">
        <f t="shared" si="12"/>
        <v>5.0265482457436672</v>
      </c>
      <c r="O95" s="90">
        <f t="shared" ca="1" si="8"/>
        <v>4748251.5240120217</v>
      </c>
      <c r="P95" s="80">
        <f t="shared" ca="1" si="9"/>
        <v>-3567.8674634029003</v>
      </c>
    </row>
    <row r="96" spans="4:16" ht="12" customHeight="1" x14ac:dyDescent="0.25">
      <c r="D96">
        <f t="shared" si="11"/>
        <v>82</v>
      </c>
      <c r="K96" s="90">
        <f ca="1">_xlfn.LET(_xlpm.int, OFFSET(PSA.Data!$E98, 0, ($F$2-1)*6), _xlpm.ctrl, OFFSET(PSA.Data!$E98, 0, ($F$2-1)*6 + 1),
_xlpm.int - _xlpm.ctrl)</f>
        <v>17223799.432740916</v>
      </c>
      <c r="L96" s="421">
        <f ca="1">_xlfn.LET(_xlpm.int, OFFSET(PSA.Data!$H98, 0, ($F$2-1)*6), _xlpm.ctrl, OFFSET(PSA.Data!$H98, 0, ($F$2-1)*6 + 1),
_xlpm.int - _xlpm.ctrl)</f>
        <v>-4332.6815267694838</v>
      </c>
      <c r="M96" s="134">
        <f t="shared" ca="1" si="10"/>
        <v>-5193.87149840653</v>
      </c>
      <c r="N96" s="80">
        <f t="shared" si="12"/>
        <v>5.0893800988154627</v>
      </c>
      <c r="O96" s="90">
        <f t="shared" ca="1" si="8"/>
        <v>6334106.5218369327</v>
      </c>
      <c r="P96" s="80">
        <f t="shared" ca="1" si="9"/>
        <v>-3553.7213435329795</v>
      </c>
    </row>
    <row r="97" spans="4:16" ht="12" customHeight="1" x14ac:dyDescent="0.25">
      <c r="D97">
        <f t="shared" si="11"/>
        <v>83</v>
      </c>
      <c r="K97" s="90">
        <f ca="1">_xlfn.LET(_xlpm.int, OFFSET(PSA.Data!$E99, 0, ($F$2-1)*6), _xlpm.ctrl, OFFSET(PSA.Data!$E99, 0, ($F$2-1)*6 + 1),
_xlpm.int - _xlpm.ctrl)</f>
        <v>30668533.25309151</v>
      </c>
      <c r="L97" s="421">
        <f ca="1">_xlfn.LET(_xlpm.int, OFFSET(PSA.Data!$H99, 0, ($F$2-1)*6), _xlpm.ctrl, OFFSET(PSA.Data!$H99, 0, ($F$2-1)*6 + 1),
_xlpm.int - _xlpm.ctrl)</f>
        <v>-6356.5357397871376</v>
      </c>
      <c r="M97" s="134">
        <f t="shared" ca="1" si="10"/>
        <v>-7889.9624024417135</v>
      </c>
      <c r="N97" s="80">
        <f t="shared" si="12"/>
        <v>5.1522119518872582</v>
      </c>
      <c r="O97" s="90">
        <f t="shared" ca="1" si="8"/>
        <v>8018085.9839224406</v>
      </c>
      <c r="P97" s="80">
        <f t="shared" ca="1" si="9"/>
        <v>-3549.9184742949442</v>
      </c>
    </row>
    <row r="98" spans="4:16" ht="12" customHeight="1" x14ac:dyDescent="0.25">
      <c r="D98">
        <f t="shared" si="11"/>
        <v>84</v>
      </c>
      <c r="K98" s="90">
        <f ca="1">_xlfn.LET(_xlpm.int, OFFSET(PSA.Data!$E100, 0, ($F$2-1)*6), _xlpm.ctrl, OFFSET(PSA.Data!$E100, 0, ($F$2-1)*6 + 1),
_xlpm.int - _xlpm.ctrl)</f>
        <v>40605548.350582689</v>
      </c>
      <c r="L98" s="421">
        <f ca="1">_xlfn.LET(_xlpm.int, OFFSET(PSA.Data!$H100, 0, ($F$2-1)*6), _xlpm.ctrl, OFFSET(PSA.Data!$H100, 0, ($F$2-1)*6 + 1),
_xlpm.int - _xlpm.ctrl)</f>
        <v>-6319.4022845468689</v>
      </c>
      <c r="M98" s="134">
        <f t="shared" ca="1" si="10"/>
        <v>-8349.6797020760041</v>
      </c>
      <c r="N98" s="80">
        <f t="shared" si="12"/>
        <v>5.2150438049590537</v>
      </c>
      <c r="O98" s="90">
        <f t="shared" ca="1" si="8"/>
        <v>9793544.0126687065</v>
      </c>
      <c r="P98" s="80">
        <f t="shared" ca="1" si="9"/>
        <v>-3556.473863876311</v>
      </c>
    </row>
    <row r="99" spans="4:16" ht="12" customHeight="1" x14ac:dyDescent="0.25">
      <c r="D99">
        <f t="shared" si="11"/>
        <v>85</v>
      </c>
      <c r="K99" s="90">
        <f ca="1">_xlfn.LET(_xlpm.int, OFFSET(PSA.Data!$E101, 0, ($F$2-1)*6), _xlpm.ctrl, OFFSET(PSA.Data!$E101, 0, ($F$2-1)*6 + 1),
_xlpm.int - _xlpm.ctrl)</f>
        <v>12538499.536425535</v>
      </c>
      <c r="L99" s="421">
        <f ca="1">_xlfn.LET(_xlpm.int, OFFSET(PSA.Data!$H101, 0, ($F$2-1)*6), _xlpm.ctrl, OFFSET(PSA.Data!$H101, 0, ($F$2-1)*6 + 1),
_xlpm.int - _xlpm.ctrl)</f>
        <v>-4288.5704680253684</v>
      </c>
      <c r="M99" s="134">
        <f t="shared" ca="1" si="10"/>
        <v>-4915.4954448466451</v>
      </c>
      <c r="N99" s="80">
        <f t="shared" si="12"/>
        <v>5.2778756580308492</v>
      </c>
      <c r="O99" s="90">
        <f t="shared" ca="1" si="8"/>
        <v>11653473.686365895</v>
      </c>
      <c r="P99" s="80">
        <f t="shared" ca="1" si="9"/>
        <v>-3573.3616411492749</v>
      </c>
    </row>
    <row r="100" spans="4:16" ht="12" customHeight="1" x14ac:dyDescent="0.25">
      <c r="D100">
        <f t="shared" si="11"/>
        <v>86</v>
      </c>
      <c r="K100" s="90">
        <f ca="1">_xlfn.LET(_xlpm.int, OFFSET(PSA.Data!$E102, 0, ($F$2-1)*6), _xlpm.ctrl, OFFSET(PSA.Data!$E102, 0, ($F$2-1)*6 + 1),
_xlpm.int - _xlpm.ctrl)</f>
        <v>58546614.365197919</v>
      </c>
      <c r="L100" s="421">
        <f ca="1">_xlfn.LET(_xlpm.int, OFFSET(PSA.Data!$H102, 0, ($F$2-1)*6), _xlpm.ctrl, OFFSET(PSA.Data!$H102, 0, ($F$2-1)*6 + 1),
_xlpm.int - _xlpm.ctrl)</f>
        <v>-7645.0189446584727</v>
      </c>
      <c r="M100" s="134">
        <f t="shared" ca="1" si="10"/>
        <v>-10572.349662918368</v>
      </c>
      <c r="N100" s="80">
        <f t="shared" si="12"/>
        <v>5.3407075111026447</v>
      </c>
      <c r="O100" s="90">
        <f t="shared" ca="1" si="8"/>
        <v>13590534.712312967</v>
      </c>
      <c r="P100" s="80">
        <f t="shared" ca="1" si="9"/>
        <v>-3600.5151577722304</v>
      </c>
    </row>
    <row r="101" spans="4:16" ht="12" customHeight="1" x14ac:dyDescent="0.25">
      <c r="D101">
        <f t="shared" si="11"/>
        <v>87</v>
      </c>
      <c r="K101" s="90">
        <f ca="1">_xlfn.LET(_xlpm.int, OFFSET(PSA.Data!$E103, 0, ($F$2-1)*6), _xlpm.ctrl, OFFSET(PSA.Data!$E103, 0, ($F$2-1)*6 + 1),
_xlpm.int - _xlpm.ctrl)</f>
        <v>17471978.432532504</v>
      </c>
      <c r="L101" s="421">
        <f ca="1">_xlfn.LET(_xlpm.int, OFFSET(PSA.Data!$H103, 0, ($F$2-1)*6), _xlpm.ctrl, OFFSET(PSA.Data!$H103, 0, ($F$2-1)*6 + 1),
_xlpm.int - _xlpm.ctrl)</f>
        <v>-6174.864353028318</v>
      </c>
      <c r="M101" s="134">
        <f t="shared" ca="1" si="10"/>
        <v>-7048.4632746549432</v>
      </c>
      <c r="N101" s="80">
        <f t="shared" si="12"/>
        <v>5.4035393641744403</v>
      </c>
      <c r="O101" s="90">
        <f t="shared" ca="1" si="8"/>
        <v>15597082.39559952</v>
      </c>
      <c r="P101" s="80">
        <f t="shared" ca="1" si="9"/>
        <v>-3637.8272512203289</v>
      </c>
    </row>
    <row r="102" spans="4:16" ht="12" customHeight="1" x14ac:dyDescent="0.25">
      <c r="D102">
        <f t="shared" si="11"/>
        <v>88</v>
      </c>
      <c r="K102" s="90">
        <f ca="1">_xlfn.LET(_xlpm.int, OFFSET(PSA.Data!$E104, 0, ($F$2-1)*6), _xlpm.ctrl, OFFSET(PSA.Data!$E104, 0, ($F$2-1)*6 + 1),
_xlpm.int - _xlpm.ctrl)</f>
        <v>13179934.812362252</v>
      </c>
      <c r="L102" s="421">
        <f ca="1">_xlfn.LET(_xlpm.int, OFFSET(PSA.Data!$H104, 0, ($F$2-1)*6), _xlpm.ctrl, OFFSET(PSA.Data!$H104, 0, ($F$2-1)*6 + 1),
_xlpm.int - _xlpm.ctrl)</f>
        <v>-5885.1434304992563</v>
      </c>
      <c r="M102" s="134">
        <f t="shared" ca="1" si="10"/>
        <v>-6544.1401711173685</v>
      </c>
      <c r="N102" s="80">
        <f t="shared" si="12"/>
        <v>5.4663712172462358</v>
      </c>
      <c r="O102" s="90">
        <f t="shared" ca="1" si="8"/>
        <v>17665197.80922405</v>
      </c>
      <c r="P102" s="80">
        <f t="shared" ca="1" si="9"/>
        <v>-3685.1506677070051</v>
      </c>
    </row>
    <row r="103" spans="4:16" ht="12" customHeight="1" x14ac:dyDescent="0.25">
      <c r="D103">
        <f t="shared" si="11"/>
        <v>89</v>
      </c>
      <c r="K103" s="90">
        <f ca="1">_xlfn.LET(_xlpm.int, OFFSET(PSA.Data!$E105, 0, ($F$2-1)*6), _xlpm.ctrl, OFFSET(PSA.Data!$E105, 0, ($F$2-1)*6 + 1),
_xlpm.int - _xlpm.ctrl)</f>
        <v>32798766.359500501</v>
      </c>
      <c r="L103" s="421">
        <f ca="1">_xlfn.LET(_xlpm.int, OFFSET(PSA.Data!$H105, 0, ($F$2-1)*6), _xlpm.ctrl, OFFSET(PSA.Data!$H105, 0, ($F$2-1)*6 + 1),
_xlpm.int - _xlpm.ctrl)</f>
        <v>-6301.7069380883477</v>
      </c>
      <c r="M103" s="134">
        <f t="shared" ca="1" si="10"/>
        <v>-7941.6452560633725</v>
      </c>
      <c r="N103" s="80">
        <f t="shared" si="12"/>
        <v>5.5292030703180313</v>
      </c>
      <c r="O103" s="90">
        <f t="shared" ca="1" si="8"/>
        <v>19786719.046481047</v>
      </c>
      <c r="P103" s="80">
        <f t="shared" ca="1" si="9"/>
        <v>-3742.2986433273986</v>
      </c>
    </row>
    <row r="104" spans="4:16" ht="12" customHeight="1" x14ac:dyDescent="0.25">
      <c r="D104">
        <f t="shared" si="11"/>
        <v>90</v>
      </c>
      <c r="K104" s="90">
        <f ca="1">_xlfn.LET(_xlpm.int, OFFSET(PSA.Data!$E106, 0, ($F$2-1)*6), _xlpm.ctrl, OFFSET(PSA.Data!$E106, 0, ($F$2-1)*6 + 1),
_xlpm.int - _xlpm.ctrl)</f>
        <v>20122359.009501155</v>
      </c>
      <c r="L104" s="421">
        <f ca="1">_xlfn.LET(_xlpm.int, OFFSET(PSA.Data!$H106, 0, ($F$2-1)*6), _xlpm.ctrl, OFFSET(PSA.Data!$H106, 0, ($F$2-1)*6 + 1),
_xlpm.int - _xlpm.ctrl)</f>
        <v>-5686.2945215611498</v>
      </c>
      <c r="M104" s="134">
        <f t="shared" ca="1" si="10"/>
        <v>-6692.4124720362079</v>
      </c>
      <c r="N104" s="80">
        <f t="shared" si="12"/>
        <v>5.5920349233898268</v>
      </c>
      <c r="O104" s="90">
        <f t="shared" ca="1" si="8"/>
        <v>21953273.43227791</v>
      </c>
      <c r="P104" s="80">
        <f t="shared" ca="1" si="9"/>
        <v>-3809.0456411301616</v>
      </c>
    </row>
    <row r="105" spans="4:16" ht="12" customHeight="1" x14ac:dyDescent="0.25">
      <c r="D105">
        <f t="shared" si="11"/>
        <v>91</v>
      </c>
      <c r="K105" s="90">
        <f ca="1">_xlfn.LET(_xlpm.int, OFFSET(PSA.Data!$E107, 0, ($F$2-1)*6), _xlpm.ctrl, OFFSET(PSA.Data!$E107, 0, ($F$2-1)*6 + 1),
_xlpm.int - _xlpm.ctrl)</f>
        <v>28370227.421948943</v>
      </c>
      <c r="L105" s="421">
        <f ca="1">_xlfn.LET(_xlpm.int, OFFSET(PSA.Data!$H107, 0, ($F$2-1)*6), _xlpm.ctrl, OFFSET(PSA.Data!$H107, 0, ($F$2-1)*6 + 1),
_xlpm.int - _xlpm.ctrl)</f>
        <v>-6818.2235075680001</v>
      </c>
      <c r="M105" s="134">
        <f t="shared" ca="1" si="10"/>
        <v>-8236.7348786654475</v>
      </c>
      <c r="N105" s="80">
        <f t="shared" si="12"/>
        <v>5.6548667764616223</v>
      </c>
      <c r="O105" s="90">
        <f t="shared" ca="1" si="8"/>
        <v>24156310.566258453</v>
      </c>
      <c r="P105" s="80">
        <f t="shared" ca="1" si="9"/>
        <v>-3885.1282412087699</v>
      </c>
    </row>
    <row r="106" spans="4:16" ht="12" customHeight="1" x14ac:dyDescent="0.25">
      <c r="D106">
        <f t="shared" si="11"/>
        <v>92</v>
      </c>
      <c r="K106" s="90">
        <f ca="1">_xlfn.LET(_xlpm.int, OFFSET(PSA.Data!$E108, 0, ($F$2-1)*6), _xlpm.ctrl, OFFSET(PSA.Data!$E108, 0, ($F$2-1)*6 + 1),
_xlpm.int - _xlpm.ctrl)</f>
        <v>51122907.573910445</v>
      </c>
      <c r="L106" s="421">
        <f ca="1">_xlfn.LET(_xlpm.int, OFFSET(PSA.Data!$H108, 0, ($F$2-1)*6), _xlpm.ctrl, OFFSET(PSA.Data!$H108, 0, ($F$2-1)*6 + 1),
_xlpm.int - _xlpm.ctrl)</f>
        <v>-7096.2189412365997</v>
      </c>
      <c r="M106" s="134">
        <f t="shared" ca="1" si="10"/>
        <v>-9652.3643199321214</v>
      </c>
      <c r="N106" s="80">
        <f t="shared" si="12"/>
        <v>5.7176986295334178</v>
      </c>
      <c r="O106" s="90">
        <f t="shared" ca="1" si="8"/>
        <v>26387136.06732678</v>
      </c>
      <c r="P106" s="80">
        <f t="shared" ca="1" si="9"/>
        <v>-3970.2461802995467</v>
      </c>
    </row>
    <row r="107" spans="4:16" ht="12" customHeight="1" x14ac:dyDescent="0.25">
      <c r="D107">
        <f t="shared" si="11"/>
        <v>93</v>
      </c>
      <c r="K107" s="90">
        <f ca="1">_xlfn.LET(_xlpm.int, OFFSET(PSA.Data!$E109, 0, ($F$2-1)*6), _xlpm.ctrl, OFFSET(PSA.Data!$E109, 0, ($F$2-1)*6 + 1),
_xlpm.int - _xlpm.ctrl)</f>
        <v>12125738.292345472</v>
      </c>
      <c r="L107" s="421">
        <f ca="1">_xlfn.LET(_xlpm.int, OFFSET(PSA.Data!$H109, 0, ($F$2-1)*6), _xlpm.ctrl, OFFSET(PSA.Data!$H109, 0, ($F$2-1)*6 + 1),
_xlpm.int - _xlpm.ctrl)</f>
        <v>-4188.8933161981895</v>
      </c>
      <c r="M107" s="134">
        <f t="shared" ca="1" si="10"/>
        <v>-4795.1802308154629</v>
      </c>
      <c r="N107" s="80">
        <f t="shared" si="12"/>
        <v>5.7805304826052133</v>
      </c>
      <c r="O107" s="90">
        <f t="shared" ca="1" si="8"/>
        <v>28636945.886397403</v>
      </c>
      <c r="P107" s="80">
        <f t="shared" ca="1" si="9"/>
        <v>-4064.063536783588</v>
      </c>
    </row>
    <row r="108" spans="4:16" ht="12" customHeight="1" x14ac:dyDescent="0.25">
      <c r="D108">
        <f t="shared" si="11"/>
        <v>94</v>
      </c>
      <c r="K108" s="90">
        <f ca="1">_xlfn.LET(_xlpm.int, OFFSET(PSA.Data!$E110, 0, ($F$2-1)*6), _xlpm.ctrl, OFFSET(PSA.Data!$E110, 0, ($F$2-1)*6 + 1),
_xlpm.int - _xlpm.ctrl)</f>
        <v>40406573.120785356</v>
      </c>
      <c r="L108" s="421">
        <f ca="1">_xlfn.LET(_xlpm.int, OFFSET(PSA.Data!$H110, 0, ($F$2-1)*6), _xlpm.ctrl, OFFSET(PSA.Data!$H110, 0, ($F$2-1)*6 + 1),
_xlpm.int - _xlpm.ctrl)</f>
        <v>-5873.6872082576601</v>
      </c>
      <c r="M108" s="134">
        <f t="shared" ca="1" si="10"/>
        <v>-7894.0158642969282</v>
      </c>
      <c r="N108" s="80">
        <f t="shared" si="12"/>
        <v>5.8433623356770088</v>
      </c>
      <c r="O108" s="90">
        <f t="shared" ca="1" si="8"/>
        <v>30896861.051954787</v>
      </c>
      <c r="P108" s="80">
        <f t="shared" ca="1" si="9"/>
        <v>-4166.2100564159246</v>
      </c>
    </row>
    <row r="109" spans="4:16" ht="12" customHeight="1" x14ac:dyDescent="0.25">
      <c r="D109">
        <f t="shared" si="11"/>
        <v>95</v>
      </c>
      <c r="K109" s="90">
        <f ca="1">_xlfn.LET(_xlpm.int, OFFSET(PSA.Data!$E111, 0, ($F$2-1)*6), _xlpm.ctrl, OFFSET(PSA.Data!$E111, 0, ($F$2-1)*6 + 1),
_xlpm.int - _xlpm.ctrl)</f>
        <v>22579032.828975502</v>
      </c>
      <c r="L109" s="421">
        <f ca="1">_xlfn.LET(_xlpm.int, OFFSET(PSA.Data!$H111, 0, ($F$2-1)*6), _xlpm.ctrl, OFFSET(PSA.Data!$H111, 0, ($F$2-1)*6 + 1),
_xlpm.int - _xlpm.ctrl)</f>
        <v>-4451.6699776779369</v>
      </c>
      <c r="M109" s="134">
        <f t="shared" ca="1" si="10"/>
        <v>-5580.6216191267122</v>
      </c>
      <c r="N109" s="80">
        <f t="shared" si="12"/>
        <v>5.9061941887488043</v>
      </c>
      <c r="O109" s="90">
        <f t="shared" ca="1" si="8"/>
        <v>33157962.711297505</v>
      </c>
      <c r="P109" s="80">
        <f t="shared" ca="1" si="9"/>
        <v>-4276.2826135498735</v>
      </c>
    </row>
    <row r="110" spans="4:16" ht="12" customHeight="1" x14ac:dyDescent="0.25">
      <c r="D110">
        <f t="shared" si="11"/>
        <v>96</v>
      </c>
      <c r="K110" s="90">
        <f ca="1">_xlfn.LET(_xlpm.int, OFFSET(PSA.Data!$E112, 0, ($F$2-1)*6), _xlpm.ctrl, OFFSET(PSA.Data!$E112, 0, ($F$2-1)*6 + 1),
_xlpm.int - _xlpm.ctrl)</f>
        <v>42380344.590053864</v>
      </c>
      <c r="L110" s="421">
        <f ca="1">_xlfn.LET(_xlpm.int, OFFSET(PSA.Data!$H112, 0, ($F$2-1)*6), _xlpm.ctrl, OFFSET(PSA.Data!$H112, 0, ($F$2-1)*6 + 1),
_xlpm.int - _xlpm.ctrl)</f>
        <v>-5663.1808410786853</v>
      </c>
      <c r="M110" s="134">
        <f t="shared" ca="1" si="10"/>
        <v>-7782.1980705813785</v>
      </c>
      <c r="N110" s="80">
        <f t="shared" si="12"/>
        <v>5.9690260418205998</v>
      </c>
      <c r="O110" s="90">
        <f t="shared" ca="1" si="8"/>
        <v>35411327.329175219</v>
      </c>
      <c r="P110" s="80">
        <f t="shared" ca="1" si="9"/>
        <v>-4393.8468020897944</v>
      </c>
    </row>
    <row r="111" spans="4:16" ht="12" customHeight="1" x14ac:dyDescent="0.25">
      <c r="D111">
        <f t="shared" si="11"/>
        <v>97</v>
      </c>
      <c r="K111" s="90">
        <f ca="1">_xlfn.LET(_xlpm.int, OFFSET(PSA.Data!$E113, 0, ($F$2-1)*6), _xlpm.ctrl, OFFSET(PSA.Data!$E113, 0, ($F$2-1)*6 + 1),
_xlpm.int - _xlpm.ctrl)</f>
        <v>23382448.933545794</v>
      </c>
      <c r="L111" s="421">
        <f ca="1">_xlfn.LET(_xlpm.int, OFFSET(PSA.Data!$H113, 0, ($F$2-1)*6), _xlpm.ctrl, OFFSET(PSA.Data!$H113, 0, ($F$2-1)*6 + 1),
_xlpm.int - _xlpm.ctrl)</f>
        <v>-5923.7636557100404</v>
      </c>
      <c r="M111" s="134">
        <f t="shared" ca="1" si="10"/>
        <v>-7092.8861023873305</v>
      </c>
      <c r="N111" s="80">
        <f t="shared" si="12"/>
        <v>6.0318578948923953</v>
      </c>
      <c r="O111" s="90">
        <f t="shared" ca="1" si="8"/>
        <v>37648061.904905543</v>
      </c>
      <c r="P111" s="80">
        <f t="shared" ca="1" si="9"/>
        <v>-4518.43864989349</v>
      </c>
    </row>
    <row r="112" spans="4:16" ht="12" customHeight="1" x14ac:dyDescent="0.25">
      <c r="D112">
        <f t="shared" si="11"/>
        <v>98</v>
      </c>
      <c r="K112" s="90">
        <f ca="1">_xlfn.LET(_xlpm.int, OFFSET(PSA.Data!$E114, 0, ($F$2-1)*6), _xlpm.ctrl, OFFSET(PSA.Data!$E114, 0, ($F$2-1)*6 + 1),
_xlpm.int - _xlpm.ctrl)</f>
        <v>19459681.877249382</v>
      </c>
      <c r="L112" s="421">
        <f ca="1">_xlfn.LET(_xlpm.int, OFFSET(PSA.Data!$H114, 0, ($F$2-1)*6), _xlpm.ctrl, OFFSET(PSA.Data!$H114, 0, ($F$2-1)*6 + 1),
_xlpm.int - _xlpm.ctrl)</f>
        <v>-4870.7012641172969</v>
      </c>
      <c r="M112" s="134">
        <f t="shared" ca="1" si="10"/>
        <v>-5843.6853579797662</v>
      </c>
      <c r="N112" s="80">
        <f t="shared" si="12"/>
        <v>6.0946897479641908</v>
      </c>
      <c r="O112" s="90">
        <f t="shared" ca="1" si="8"/>
        <v>39859339.068984881</v>
      </c>
      <c r="P112" s="80">
        <f t="shared" ca="1" si="9"/>
        <v>-4649.5664498582801</v>
      </c>
    </row>
    <row r="113" spans="4:16" ht="12" customHeight="1" x14ac:dyDescent="0.25">
      <c r="D113">
        <f t="shared" si="11"/>
        <v>99</v>
      </c>
      <c r="K113" s="90">
        <f ca="1">_xlfn.LET(_xlpm.int, OFFSET(PSA.Data!$E115, 0, ($F$2-1)*6), _xlpm.ctrl, OFFSET(PSA.Data!$E115, 0, ($F$2-1)*6 + 1),
_xlpm.int - _xlpm.ctrl)</f>
        <v>29410359.645372201</v>
      </c>
      <c r="L113" s="421">
        <f ca="1">_xlfn.LET(_xlpm.int, OFFSET(PSA.Data!$H115, 0, ($F$2-1)*6), _xlpm.ctrl, OFFSET(PSA.Data!$H115, 0, ($F$2-1)*6 + 1),
_xlpm.int - _xlpm.ctrl)</f>
        <v>-4846.2903056872919</v>
      </c>
      <c r="M113" s="134">
        <f t="shared" ca="1" si="10"/>
        <v>-6316.8082879559024</v>
      </c>
      <c r="N113" s="80">
        <f t="shared" si="12"/>
        <v>6.1575216010359863</v>
      </c>
      <c r="O113" s="90">
        <f t="shared" ca="1" si="8"/>
        <v>42036431.920683071</v>
      </c>
      <c r="P113" s="80">
        <f t="shared" ca="1" si="9"/>
        <v>-4786.7127004642953</v>
      </c>
    </row>
    <row r="114" spans="4:16" ht="12" customHeight="1" x14ac:dyDescent="0.25">
      <c r="D114">
        <f t="shared" si="11"/>
        <v>100</v>
      </c>
      <c r="K114" s="90">
        <f ca="1">_xlfn.LET(_xlpm.int, OFFSET(PSA.Data!$E116, 0, ($F$2-1)*6), _xlpm.ctrl, OFFSET(PSA.Data!$E116, 0, ($F$2-1)*6 + 1),
_xlpm.int - _xlpm.ctrl)</f>
        <v>52238535.868664406</v>
      </c>
      <c r="L114" s="421">
        <f ca="1">_xlfn.LET(_xlpm.int, OFFSET(PSA.Data!$H116, 0, ($F$2-1)*6), _xlpm.ctrl, OFFSET(PSA.Data!$H116, 0, ($F$2-1)*6 + 1),
_xlpm.int - _xlpm.ctrl)</f>
        <v>-7622.6974403005024</v>
      </c>
      <c r="M114" s="134">
        <f t="shared" ca="1" si="10"/>
        <v>-10234.624233733723</v>
      </c>
      <c r="N114" s="80">
        <f t="shared" si="12"/>
        <v>6.2203534541077818</v>
      </c>
      <c r="O114" s="90">
        <f t="shared" ca="1" si="8"/>
        <v>44170748.469133556</v>
      </c>
      <c r="P114" s="80">
        <f t="shared" ca="1" si="9"/>
        <v>-4929.3361481165584</v>
      </c>
    </row>
    <row r="115" spans="4:16" ht="12" customHeight="1" x14ac:dyDescent="0.25">
      <c r="D115">
        <f t="shared" si="11"/>
        <v>101</v>
      </c>
      <c r="K115" s="90">
        <f ca="1">_xlfn.LET(_xlpm.int, OFFSET(PSA.Data!$E117, 0, ($F$2-1)*6), _xlpm.ctrl, OFFSET(PSA.Data!$E117, 0, ($F$2-1)*6 + 1),
_xlpm.int - _xlpm.ctrl)</f>
        <v>24281293.513807707</v>
      </c>
      <c r="L115" s="421">
        <f ca="1">_xlfn.LET(_xlpm.int, OFFSET(PSA.Data!$H117, 0, ($F$2-1)*6), _xlpm.ctrl, OFFSET(PSA.Data!$H117, 0, ($F$2-1)*6 + 1),
_xlpm.int - _xlpm.ctrl)</f>
        <v>-5594.5693180245889</v>
      </c>
      <c r="M115" s="134">
        <f t="shared" ca="1" si="10"/>
        <v>-6808.6339937149742</v>
      </c>
      <c r="N115" s="80">
        <f t="shared" si="12"/>
        <v>6.2831853071795774</v>
      </c>
      <c r="O115" s="90">
        <f t="shared" ca="1" si="8"/>
        <v>46253865.541996092</v>
      </c>
      <c r="P115" s="80">
        <f t="shared" ca="1" si="9"/>
        <v>-5076.8739232256385</v>
      </c>
    </row>
    <row r="116" spans="4:16" ht="12" customHeight="1" x14ac:dyDescent="0.25">
      <c r="K116" s="90">
        <f ca="1">_xlfn.LET(_xlpm.int, OFFSET(PSA.Data!$E118, 0, ($F$2-1)*6), _xlpm.ctrl, OFFSET(PSA.Data!$E118, 0, ($F$2-1)*6 + 1),
_xlpm.int - _xlpm.ctrl)</f>
        <v>46338129.40059685</v>
      </c>
      <c r="L116" s="421">
        <f ca="1">_xlfn.LET(_xlpm.int, OFFSET(PSA.Data!$H118, 0, ($F$2-1)*6), _xlpm.ctrl, OFFSET(PSA.Data!$H118, 0, ($F$2-1)*6 + 1),
_xlpm.int - _xlpm.ctrl)</f>
        <v>-6450.5972266367644</v>
      </c>
      <c r="M116" s="134">
        <f t="shared" ca="1" si="10"/>
        <v>-8767.5036966666066</v>
      </c>
    </row>
    <row r="117" spans="4:16" ht="12" customHeight="1" x14ac:dyDescent="0.25">
      <c r="K117" s="90">
        <f ca="1">_xlfn.LET(_xlpm.int, OFFSET(PSA.Data!$E119, 0, ($F$2-1)*6), _xlpm.ctrl, OFFSET(PSA.Data!$E119, 0, ($F$2-1)*6 + 1),
_xlpm.int - _xlpm.ctrl)</f>
        <v>31169967.165620551</v>
      </c>
      <c r="L117" s="421">
        <f ca="1">_xlfn.LET(_xlpm.int, OFFSET(PSA.Data!$H119, 0, ($F$2-1)*6), _xlpm.ctrl, OFFSET(PSA.Data!$H119, 0, ($F$2-1)*6 + 1),
_xlpm.int - _xlpm.ctrl)</f>
        <v>-6520.6056536988826</v>
      </c>
      <c r="M117" s="134">
        <f t="shared" ca="1" si="10"/>
        <v>-8079.10401197991</v>
      </c>
    </row>
    <row r="118" spans="4:16" ht="12" customHeight="1" x14ac:dyDescent="0.25">
      <c r="K118" s="90">
        <f ca="1">_xlfn.LET(_xlpm.int, OFFSET(PSA.Data!$E120, 0, ($F$2-1)*6), _xlpm.ctrl, OFFSET(PSA.Data!$E120, 0, ($F$2-1)*6 + 1),
_xlpm.int - _xlpm.ctrl)</f>
        <v>37164437.924918167</v>
      </c>
      <c r="L118" s="421">
        <f ca="1">_xlfn.LET(_xlpm.int, OFFSET(PSA.Data!$H120, 0, ($F$2-1)*6), _xlpm.ctrl, OFFSET(PSA.Data!$H120, 0, ($F$2-1)*6 + 1),
_xlpm.int - _xlpm.ctrl)</f>
        <v>-5469.909078487136</v>
      </c>
      <c r="M118" s="134">
        <f t="shared" ca="1" si="10"/>
        <v>-7328.1309747330442</v>
      </c>
    </row>
    <row r="119" spans="4:16" ht="12" customHeight="1" x14ac:dyDescent="0.25">
      <c r="K119" s="90">
        <f ca="1">_xlfn.LET(_xlpm.int, OFFSET(PSA.Data!$E121, 0, ($F$2-1)*6), _xlpm.ctrl, OFFSET(PSA.Data!$E121, 0, ($F$2-1)*6 + 1),
_xlpm.int - _xlpm.ctrl)</f>
        <v>4465635.2343028188</v>
      </c>
      <c r="L119" s="421">
        <f ca="1">_xlfn.LET(_xlpm.int, OFFSET(PSA.Data!$H121, 0, ($F$2-1)*6), _xlpm.ctrl, OFFSET(PSA.Data!$H121, 0, ($F$2-1)*6 + 1),
_xlpm.int - _xlpm.ctrl)</f>
        <v>-5331.2813132225401</v>
      </c>
      <c r="M119" s="134">
        <f t="shared" ca="1" si="10"/>
        <v>-5554.5630749376814</v>
      </c>
    </row>
    <row r="120" spans="4:16" ht="12" customHeight="1" x14ac:dyDescent="0.25">
      <c r="K120" s="90">
        <f ca="1">_xlfn.LET(_xlpm.int, OFFSET(PSA.Data!$E122, 0, ($F$2-1)*6), _xlpm.ctrl, OFFSET(PSA.Data!$E122, 0, ($F$2-1)*6 + 1),
_xlpm.int - _xlpm.ctrl)</f>
        <v>37022017.281865612</v>
      </c>
      <c r="L120" s="421">
        <f ca="1">_xlfn.LET(_xlpm.int, OFFSET(PSA.Data!$H122, 0, ($F$2-1)*6), _xlpm.ctrl, OFFSET(PSA.Data!$H122, 0, ($F$2-1)*6 + 1),
_xlpm.int - _xlpm.ctrl)</f>
        <v>-7340.743647439187</v>
      </c>
      <c r="M120" s="134">
        <f t="shared" ca="1" si="10"/>
        <v>-9191.8445115324685</v>
      </c>
    </row>
    <row r="121" spans="4:16" ht="12" customHeight="1" x14ac:dyDescent="0.25">
      <c r="K121" s="90">
        <f ca="1">_xlfn.LET(_xlpm.int, OFFSET(PSA.Data!$E123, 0, ($F$2-1)*6), _xlpm.ctrl, OFFSET(PSA.Data!$E123, 0, ($F$2-1)*6 + 1),
_xlpm.int - _xlpm.ctrl)</f>
        <v>40256187.892397605</v>
      </c>
      <c r="L121" s="421">
        <f ca="1">_xlfn.LET(_xlpm.int, OFFSET(PSA.Data!$H123, 0, ($F$2-1)*6), _xlpm.ctrl, OFFSET(PSA.Data!$H123, 0, ($F$2-1)*6 + 1),
_xlpm.int - _xlpm.ctrl)</f>
        <v>-6725.1657475796555</v>
      </c>
      <c r="M121" s="134">
        <f t="shared" ca="1" si="10"/>
        <v>-8737.9751421995352</v>
      </c>
    </row>
    <row r="122" spans="4:16" ht="12" customHeight="1" x14ac:dyDescent="0.25">
      <c r="K122" s="90">
        <f ca="1">_xlfn.LET(_xlpm.int, OFFSET(PSA.Data!$E124, 0, ($F$2-1)*6), _xlpm.ctrl, OFFSET(PSA.Data!$E124, 0, ($F$2-1)*6 + 1),
_xlpm.int - _xlpm.ctrl)</f>
        <v>22769678.778211851</v>
      </c>
      <c r="L122" s="421">
        <f ca="1">_xlfn.LET(_xlpm.int, OFFSET(PSA.Data!$H124, 0, ($F$2-1)*6), _xlpm.ctrl, OFFSET(PSA.Data!$H124, 0, ($F$2-1)*6 + 1),
_xlpm.int - _xlpm.ctrl)</f>
        <v>-5558.7123287755303</v>
      </c>
      <c r="M122" s="134">
        <f t="shared" ca="1" si="10"/>
        <v>-6697.1962676861231</v>
      </c>
    </row>
    <row r="123" spans="4:16" ht="12" customHeight="1" x14ac:dyDescent="0.25">
      <c r="K123" s="90">
        <f ca="1">_xlfn.LET(_xlpm.int, OFFSET(PSA.Data!$E125, 0, ($F$2-1)*6), _xlpm.ctrl, OFFSET(PSA.Data!$E125, 0, ($F$2-1)*6 + 1),
_xlpm.int - _xlpm.ctrl)</f>
        <v>28236480.204711907</v>
      </c>
      <c r="L123" s="421">
        <f ca="1">_xlfn.LET(_xlpm.int, OFFSET(PSA.Data!$H125, 0, ($F$2-1)*6), _xlpm.ctrl, OFFSET(PSA.Data!$H125, 0, ($F$2-1)*6 + 1),
_xlpm.int - _xlpm.ctrl)</f>
        <v>-5918.1076466997874</v>
      </c>
      <c r="M123" s="134">
        <f t="shared" ca="1" si="10"/>
        <v>-7329.9316569353832</v>
      </c>
    </row>
    <row r="124" spans="4:16" ht="12" customHeight="1" x14ac:dyDescent="0.25">
      <c r="K124" s="90">
        <f ca="1">_xlfn.LET(_xlpm.int, OFFSET(PSA.Data!$E126, 0, ($F$2-1)*6), _xlpm.ctrl, OFFSET(PSA.Data!$E126, 0, ($F$2-1)*6 + 1),
_xlpm.int - _xlpm.ctrl)</f>
        <v>27448021.870428693</v>
      </c>
      <c r="L124" s="421">
        <f ca="1">_xlfn.LET(_xlpm.int, OFFSET(PSA.Data!$H126, 0, ($F$2-1)*6), _xlpm.ctrl, OFFSET(PSA.Data!$H126, 0, ($F$2-1)*6 + 1),
_xlpm.int - _xlpm.ctrl)</f>
        <v>-4442.0053844135646</v>
      </c>
      <c r="M124" s="134">
        <f t="shared" ca="1" si="10"/>
        <v>-5814.4064779349992</v>
      </c>
    </row>
    <row r="125" spans="4:16" ht="12" customHeight="1" x14ac:dyDescent="0.25">
      <c r="K125" s="90">
        <f ca="1">_xlfn.LET(_xlpm.int, OFFSET(PSA.Data!$E127, 0, ($F$2-1)*6), _xlpm.ctrl, OFFSET(PSA.Data!$E127, 0, ($F$2-1)*6 + 1),
_xlpm.int - _xlpm.ctrl)</f>
        <v>18182790.734172784</v>
      </c>
      <c r="L125" s="421">
        <f ca="1">_xlfn.LET(_xlpm.int, OFFSET(PSA.Data!$H127, 0, ($F$2-1)*6), _xlpm.ctrl, OFFSET(PSA.Data!$H127, 0, ($F$2-1)*6 + 1),
_xlpm.int - _xlpm.ctrl)</f>
        <v>-4988.6227193235809</v>
      </c>
      <c r="M125" s="134">
        <f t="shared" ca="1" si="10"/>
        <v>-5897.7622560322197</v>
      </c>
    </row>
    <row r="126" spans="4:16" ht="12" customHeight="1" x14ac:dyDescent="0.25">
      <c r="K126" s="90">
        <f ca="1">_xlfn.LET(_xlpm.int, OFFSET(PSA.Data!$E128, 0, ($F$2-1)*6), _xlpm.ctrl, OFFSET(PSA.Data!$E128, 0, ($F$2-1)*6 + 1),
_xlpm.int - _xlpm.ctrl)</f>
        <v>21841449.043732367</v>
      </c>
      <c r="L126" s="421">
        <f ca="1">_xlfn.LET(_xlpm.int, OFFSET(PSA.Data!$H128, 0, ($F$2-1)*6), _xlpm.ctrl, OFFSET(PSA.Data!$H128, 0, ($F$2-1)*6 + 1),
_xlpm.int - _xlpm.ctrl)</f>
        <v>-5196.2390565725982</v>
      </c>
      <c r="M126" s="134">
        <f t="shared" ca="1" si="10"/>
        <v>-6288.3115087592168</v>
      </c>
    </row>
    <row r="127" spans="4:16" ht="12" customHeight="1" x14ac:dyDescent="0.25">
      <c r="K127" s="90">
        <f ca="1">_xlfn.LET(_xlpm.int, OFFSET(PSA.Data!$E129, 0, ($F$2-1)*6), _xlpm.ctrl, OFFSET(PSA.Data!$E129, 0, ($F$2-1)*6 + 1),
_xlpm.int - _xlpm.ctrl)</f>
        <v>17971784.770288933</v>
      </c>
      <c r="L127" s="421">
        <f ca="1">_xlfn.LET(_xlpm.int, OFFSET(PSA.Data!$H129, 0, ($F$2-1)*6), _xlpm.ctrl, OFFSET(PSA.Data!$H129, 0, ($F$2-1)*6 + 1),
_xlpm.int - _xlpm.ctrl)</f>
        <v>-5382.7966076764933</v>
      </c>
      <c r="M127" s="134">
        <f t="shared" ca="1" si="10"/>
        <v>-6281.3858461909404</v>
      </c>
    </row>
    <row r="128" spans="4:16" ht="12" customHeight="1" x14ac:dyDescent="0.25">
      <c r="K128" s="90">
        <f ca="1">_xlfn.LET(_xlpm.int, OFFSET(PSA.Data!$E130, 0, ($F$2-1)*6), _xlpm.ctrl, OFFSET(PSA.Data!$E130, 0, ($F$2-1)*6 + 1),
_xlpm.int - _xlpm.ctrl)</f>
        <v>35930673.52756121</v>
      </c>
      <c r="L128" s="421">
        <f ca="1">_xlfn.LET(_xlpm.int, OFFSET(PSA.Data!$H130, 0, ($F$2-1)*6), _xlpm.ctrl, OFFSET(PSA.Data!$H130, 0, ($F$2-1)*6 + 1),
_xlpm.int - _xlpm.ctrl)</f>
        <v>-5831.2037463269589</v>
      </c>
      <c r="M128" s="134">
        <f t="shared" ca="1" si="10"/>
        <v>-7627.7374227050195</v>
      </c>
    </row>
    <row r="129" spans="11:13" ht="12" customHeight="1" x14ac:dyDescent="0.25">
      <c r="K129" s="90">
        <f ca="1">_xlfn.LET(_xlpm.int, OFFSET(PSA.Data!$E131, 0, ($F$2-1)*6), _xlpm.ctrl, OFFSET(PSA.Data!$E131, 0, ($F$2-1)*6 + 1),
_xlpm.int - _xlpm.ctrl)</f>
        <v>55575434.173598416</v>
      </c>
      <c r="L129" s="421">
        <f ca="1">_xlfn.LET(_xlpm.int, OFFSET(PSA.Data!$H131, 0, ($F$2-1)*6), _xlpm.ctrl, OFFSET(PSA.Data!$H131, 0, ($F$2-1)*6 + 1),
_xlpm.int - _xlpm.ctrl)</f>
        <v>-8210.4793443004637</v>
      </c>
      <c r="M129" s="134">
        <f t="shared" ca="1" si="10"/>
        <v>-10989.251052980384</v>
      </c>
    </row>
    <row r="130" spans="11:13" ht="12" customHeight="1" x14ac:dyDescent="0.25">
      <c r="K130" s="90">
        <f ca="1">_xlfn.LET(_xlpm.int, OFFSET(PSA.Data!$E132, 0, ($F$2-1)*6), _xlpm.ctrl, OFFSET(PSA.Data!$E132, 0, ($F$2-1)*6 + 1),
_xlpm.int - _xlpm.ctrl)</f>
        <v>36251756.99565576</v>
      </c>
      <c r="L130" s="421">
        <f ca="1">_xlfn.LET(_xlpm.int, OFFSET(PSA.Data!$H132, 0, ($F$2-1)*6), _xlpm.ctrl, OFFSET(PSA.Data!$H132, 0, ($F$2-1)*6 + 1),
_xlpm.int - _xlpm.ctrl)</f>
        <v>-7944.6185411854476</v>
      </c>
      <c r="M130" s="134">
        <f t="shared" ca="1" si="10"/>
        <v>-9757.2063909682365</v>
      </c>
    </row>
    <row r="131" spans="11:13" ht="12" customHeight="1" x14ac:dyDescent="0.25">
      <c r="K131" s="90">
        <f ca="1">_xlfn.LET(_xlpm.int, OFFSET(PSA.Data!$E133, 0, ($F$2-1)*6), _xlpm.ctrl, OFFSET(PSA.Data!$E133, 0, ($F$2-1)*6 + 1),
_xlpm.int - _xlpm.ctrl)</f>
        <v>13611561.080429073</v>
      </c>
      <c r="L131" s="421">
        <f ca="1">_xlfn.LET(_xlpm.int, OFFSET(PSA.Data!$H133, 0, ($F$2-1)*6), _xlpm.ctrl, OFFSET(PSA.Data!$H133, 0, ($F$2-1)*6 + 1),
_xlpm.int - _xlpm.ctrl)</f>
        <v>-6102.3211850132811</v>
      </c>
      <c r="M131" s="134">
        <f t="shared" ca="1" si="10"/>
        <v>-6782.8992390347348</v>
      </c>
    </row>
    <row r="132" spans="11:13" ht="12" customHeight="1" x14ac:dyDescent="0.25">
      <c r="K132" s="90">
        <f ca="1">_xlfn.LET(_xlpm.int, OFFSET(PSA.Data!$E134, 0, ($F$2-1)*6), _xlpm.ctrl, OFFSET(PSA.Data!$E134, 0, ($F$2-1)*6 + 1),
_xlpm.int - _xlpm.ctrl)</f>
        <v>29395318.296144187</v>
      </c>
      <c r="L132" s="421">
        <f ca="1">_xlfn.LET(_xlpm.int, OFFSET(PSA.Data!$H134, 0, ($F$2-1)*6), _xlpm.ctrl, OFFSET(PSA.Data!$H134, 0, ($F$2-1)*6 + 1),
_xlpm.int - _xlpm.ctrl)</f>
        <v>-6480.4520478893337</v>
      </c>
      <c r="M132" s="134">
        <f t="shared" ca="1" si="10"/>
        <v>-7950.2179626965426</v>
      </c>
    </row>
    <row r="133" spans="11:13" ht="12" customHeight="1" x14ac:dyDescent="0.25">
      <c r="K133" s="90">
        <f ca="1">_xlfn.LET(_xlpm.int, OFFSET(PSA.Data!$E135, 0, ($F$2-1)*6), _xlpm.ctrl, OFFSET(PSA.Data!$E135, 0, ($F$2-1)*6 + 1),
_xlpm.int - _xlpm.ctrl)</f>
        <v>18347557.16311368</v>
      </c>
      <c r="L133" s="421">
        <f ca="1">_xlfn.LET(_xlpm.int, OFFSET(PSA.Data!$H135, 0, ($F$2-1)*6), _xlpm.ctrl, OFFSET(PSA.Data!$H135, 0, ($F$2-1)*6 + 1),
_xlpm.int - _xlpm.ctrl)</f>
        <v>-5356.8810254986238</v>
      </c>
      <c r="M133" s="134">
        <f t="shared" ca="1" si="10"/>
        <v>-6274.2588836543073</v>
      </c>
    </row>
    <row r="134" spans="11:13" ht="12" customHeight="1" x14ac:dyDescent="0.25">
      <c r="K134" s="90">
        <f ca="1">_xlfn.LET(_xlpm.int, OFFSET(PSA.Data!$E136, 0, ($F$2-1)*6), _xlpm.ctrl, OFFSET(PSA.Data!$E136, 0, ($F$2-1)*6 + 1),
_xlpm.int - _xlpm.ctrl)</f>
        <v>63198838.809088685</v>
      </c>
      <c r="L134" s="421">
        <f ca="1">_xlfn.LET(_xlpm.int, OFFSET(PSA.Data!$H136, 0, ($F$2-1)*6), _xlpm.ctrl, OFFSET(PSA.Data!$H136, 0, ($F$2-1)*6 + 1),
_xlpm.int - _xlpm.ctrl)</f>
        <v>-8988.8784731675696</v>
      </c>
      <c r="M134" s="134">
        <f t="shared" ca="1" si="10"/>
        <v>-12148.820413622005</v>
      </c>
    </row>
    <row r="135" spans="11:13" ht="12" customHeight="1" x14ac:dyDescent="0.25">
      <c r="K135" s="90">
        <f ca="1">_xlfn.LET(_xlpm.int, OFFSET(PSA.Data!$E137, 0, ($F$2-1)*6), _xlpm.ctrl, OFFSET(PSA.Data!$E137, 0, ($F$2-1)*6 + 1),
_xlpm.int - _xlpm.ctrl)</f>
        <v>10045916.887185004</v>
      </c>
      <c r="L135" s="421">
        <f ca="1">_xlfn.LET(_xlpm.int, OFFSET(PSA.Data!$H137, 0, ($F$2-1)*6), _xlpm.ctrl, OFFSET(PSA.Data!$H137, 0, ($F$2-1)*6 + 1),
_xlpm.int - _xlpm.ctrl)</f>
        <v>-5547.9923303081068</v>
      </c>
      <c r="M135" s="134">
        <f t="shared" ca="1" si="10"/>
        <v>-6050.2881746673575</v>
      </c>
    </row>
    <row r="136" spans="11:13" ht="12" customHeight="1" x14ac:dyDescent="0.25">
      <c r="K136" s="90">
        <f ca="1">_xlfn.LET(_xlpm.int, OFFSET(PSA.Data!$E138, 0, ($F$2-1)*6), _xlpm.ctrl, OFFSET(PSA.Data!$E138, 0, ($F$2-1)*6 + 1),
_xlpm.int - _xlpm.ctrl)</f>
        <v>38200808.636596896</v>
      </c>
      <c r="L136" s="421">
        <f ca="1">_xlfn.LET(_xlpm.int, OFFSET(PSA.Data!$H138, 0, ($F$2-1)*6), _xlpm.ctrl, OFFSET(PSA.Data!$H138, 0, ($F$2-1)*6 + 1),
_xlpm.int - _xlpm.ctrl)</f>
        <v>-4734.2794146136748</v>
      </c>
      <c r="M136" s="134">
        <f t="shared" ca="1" si="10"/>
        <v>-6644.3198464435191</v>
      </c>
    </row>
    <row r="137" spans="11:13" ht="12" customHeight="1" x14ac:dyDescent="0.25">
      <c r="K137" s="90">
        <f ca="1">_xlfn.LET(_xlpm.int, OFFSET(PSA.Data!$E139, 0, ($F$2-1)*6), _xlpm.ctrl, OFFSET(PSA.Data!$E139, 0, ($F$2-1)*6 + 1),
_xlpm.int - _xlpm.ctrl)</f>
        <v>25660070.940430667</v>
      </c>
      <c r="L137" s="421">
        <f ca="1">_xlfn.LET(_xlpm.int, OFFSET(PSA.Data!$H139, 0, ($F$2-1)*6), _xlpm.ctrl, OFFSET(PSA.Data!$H139, 0, ($F$2-1)*6 + 1),
_xlpm.int - _xlpm.ctrl)</f>
        <v>-5712.3183481925307</v>
      </c>
      <c r="M137" s="134">
        <f t="shared" ca="1" si="10"/>
        <v>-6995.3218952140642</v>
      </c>
    </row>
    <row r="138" spans="11:13" ht="12" customHeight="1" x14ac:dyDescent="0.25">
      <c r="K138" s="90">
        <f ca="1">_xlfn.LET(_xlpm.int, OFFSET(PSA.Data!$E140, 0, ($F$2-1)*6), _xlpm.ctrl, OFFSET(PSA.Data!$E140, 0, ($F$2-1)*6 + 1),
_xlpm.int - _xlpm.ctrl)</f>
        <v>9694428.7284041047</v>
      </c>
      <c r="L138" s="421">
        <f ca="1">_xlfn.LET(_xlpm.int, OFFSET(PSA.Data!$H140, 0, ($F$2-1)*6), _xlpm.ctrl, OFFSET(PSA.Data!$H140, 0, ($F$2-1)*6 + 1),
_xlpm.int - _xlpm.ctrl)</f>
        <v>-4199.9692772129838</v>
      </c>
      <c r="M138" s="134">
        <f t="shared" ca="1" si="10"/>
        <v>-4684.6907136331893</v>
      </c>
    </row>
    <row r="139" spans="11:13" ht="12" customHeight="1" x14ac:dyDescent="0.25">
      <c r="K139" s="90">
        <f ca="1">_xlfn.LET(_xlpm.int, OFFSET(PSA.Data!$E141, 0, ($F$2-1)*6), _xlpm.ctrl, OFFSET(PSA.Data!$E141, 0, ($F$2-1)*6 + 1),
_xlpm.int - _xlpm.ctrl)</f>
        <v>22667178.870731015</v>
      </c>
      <c r="L139" s="421">
        <f ca="1">_xlfn.LET(_xlpm.int, OFFSET(PSA.Data!$H141, 0, ($F$2-1)*6), _xlpm.ctrl, OFFSET(PSA.Data!$H141, 0, ($F$2-1)*6 + 1),
_xlpm.int - _xlpm.ctrl)</f>
        <v>-7374.6497786924174</v>
      </c>
      <c r="M139" s="134">
        <f t="shared" ca="1" si="10"/>
        <v>-8508.0087222289676</v>
      </c>
    </row>
    <row r="140" spans="11:13" ht="12" customHeight="1" x14ac:dyDescent="0.25">
      <c r="K140" s="90">
        <f ca="1">_xlfn.LET(_xlpm.int, OFFSET(PSA.Data!$E142, 0, ($F$2-1)*6), _xlpm.ctrl, OFFSET(PSA.Data!$E142, 0, ($F$2-1)*6 + 1),
_xlpm.int - _xlpm.ctrl)</f>
        <v>30679570.725676347</v>
      </c>
      <c r="L140" s="421">
        <f ca="1">_xlfn.LET(_xlpm.int, OFFSET(PSA.Data!$H142, 0, ($F$2-1)*6), _xlpm.ctrl, OFFSET(PSA.Data!$H142, 0, ($F$2-1)*6 + 1),
_xlpm.int - _xlpm.ctrl)</f>
        <v>-5556.983840211612</v>
      </c>
      <c r="M140" s="134">
        <f t="shared" ca="1" si="10"/>
        <v>-7090.9623764954295</v>
      </c>
    </row>
    <row r="141" spans="11:13" ht="12" customHeight="1" x14ac:dyDescent="0.25">
      <c r="K141" s="90">
        <f ca="1">_xlfn.LET(_xlpm.int, OFFSET(PSA.Data!$E143, 0, ($F$2-1)*6), _xlpm.ctrl, OFFSET(PSA.Data!$E143, 0, ($F$2-1)*6 + 1),
_xlpm.int - _xlpm.ctrl)</f>
        <v>53900678.681561299</v>
      </c>
      <c r="L141" s="421">
        <f ca="1">_xlfn.LET(_xlpm.int, OFFSET(PSA.Data!$H143, 0, ($F$2-1)*6), _xlpm.ctrl, OFFSET(PSA.Data!$H143, 0, ($F$2-1)*6 + 1),
_xlpm.int - _xlpm.ctrl)</f>
        <v>-6726.648949078648</v>
      </c>
      <c r="M141" s="134">
        <f t="shared" ca="1" si="10"/>
        <v>-9421.6828831567127</v>
      </c>
    </row>
    <row r="142" spans="11:13" ht="12" customHeight="1" x14ac:dyDescent="0.25">
      <c r="K142" s="90">
        <f ca="1">_xlfn.LET(_xlpm.int, OFFSET(PSA.Data!$E144, 0, ($F$2-1)*6), _xlpm.ctrl, OFFSET(PSA.Data!$E144, 0, ($F$2-1)*6 + 1),
_xlpm.int - _xlpm.ctrl)</f>
        <v>31516144.507099278</v>
      </c>
      <c r="L142" s="421">
        <f ca="1">_xlfn.LET(_xlpm.int, OFFSET(PSA.Data!$H144, 0, ($F$2-1)*6), _xlpm.ctrl, OFFSET(PSA.Data!$H144, 0, ($F$2-1)*6 + 1),
_xlpm.int - _xlpm.ctrl)</f>
        <v>-5479.6817392258572</v>
      </c>
      <c r="M142" s="134">
        <f t="shared" ca="1" si="10"/>
        <v>-7055.4889645808216</v>
      </c>
    </row>
    <row r="143" spans="11:13" ht="12" customHeight="1" x14ac:dyDescent="0.25">
      <c r="K143" s="90">
        <f ca="1">_xlfn.LET(_xlpm.int, OFFSET(PSA.Data!$E145, 0, ($F$2-1)*6), _xlpm.ctrl, OFFSET(PSA.Data!$E145, 0, ($F$2-1)*6 + 1),
_xlpm.int - _xlpm.ctrl)</f>
        <v>17425285.041586626</v>
      </c>
      <c r="L143" s="421">
        <f ca="1">_xlfn.LET(_xlpm.int, OFFSET(PSA.Data!$H145, 0, ($F$2-1)*6), _xlpm.ctrl, OFFSET(PSA.Data!$H145, 0, ($F$2-1)*6 + 1),
_xlpm.int - _xlpm.ctrl)</f>
        <v>-6367.3651103505017</v>
      </c>
      <c r="M143" s="134">
        <f t="shared" ca="1" si="10"/>
        <v>-7238.6293624298332</v>
      </c>
    </row>
    <row r="144" spans="11:13" ht="12" customHeight="1" x14ac:dyDescent="0.25">
      <c r="K144" s="90">
        <f ca="1">_xlfn.LET(_xlpm.int, OFFSET(PSA.Data!$E146, 0, ($F$2-1)*6), _xlpm.ctrl, OFFSET(PSA.Data!$E146, 0, ($F$2-1)*6 + 1),
_xlpm.int - _xlpm.ctrl)</f>
        <v>46944528.550196849</v>
      </c>
      <c r="L144" s="421">
        <f ca="1">_xlfn.LET(_xlpm.int, OFFSET(PSA.Data!$H146, 0, ($F$2-1)*6), _xlpm.ctrl, OFFSET(PSA.Data!$H146, 0, ($F$2-1)*6 + 1),
_xlpm.int - _xlpm.ctrl)</f>
        <v>-5917.575493768185</v>
      </c>
      <c r="M144" s="134">
        <f t="shared" ref="M144:M207" ca="1" si="13">L144-K144/WTP</f>
        <v>-8264.8019212780273</v>
      </c>
    </row>
    <row r="145" spans="11:13" ht="12" customHeight="1" x14ac:dyDescent="0.25">
      <c r="K145" s="90">
        <f ca="1">_xlfn.LET(_xlpm.int, OFFSET(PSA.Data!$E147, 0, ($F$2-1)*6), _xlpm.ctrl, OFFSET(PSA.Data!$E147, 0, ($F$2-1)*6 + 1),
_xlpm.int - _xlpm.ctrl)</f>
        <v>68745744.681716666</v>
      </c>
      <c r="L145" s="421">
        <f ca="1">_xlfn.LET(_xlpm.int, OFFSET(PSA.Data!$H147, 0, ($F$2-1)*6), _xlpm.ctrl, OFFSET(PSA.Data!$H147, 0, ($F$2-1)*6 + 1),
_xlpm.int - _xlpm.ctrl)</f>
        <v>-7628.3267233686902</v>
      </c>
      <c r="M145" s="134">
        <f t="shared" ca="1" si="13"/>
        <v>-11065.613957454523</v>
      </c>
    </row>
    <row r="146" spans="11:13" ht="12" customHeight="1" x14ac:dyDescent="0.25">
      <c r="K146" s="90">
        <f ca="1">_xlfn.LET(_xlpm.int, OFFSET(PSA.Data!$E148, 0, ($F$2-1)*6), _xlpm.ctrl, OFFSET(PSA.Data!$E148, 0, ($F$2-1)*6 + 1),
_xlpm.int - _xlpm.ctrl)</f>
        <v>37752287.725392178</v>
      </c>
      <c r="L146" s="421">
        <f ca="1">_xlfn.LET(_xlpm.int, OFFSET(PSA.Data!$H148, 0, ($F$2-1)*6), _xlpm.ctrl, OFFSET(PSA.Data!$H148, 0, ($F$2-1)*6 + 1),
_xlpm.int - _xlpm.ctrl)</f>
        <v>-7036.9527750103261</v>
      </c>
      <c r="M146" s="134">
        <f t="shared" ca="1" si="13"/>
        <v>-8924.5671612799342</v>
      </c>
    </row>
    <row r="147" spans="11:13" ht="12" customHeight="1" x14ac:dyDescent="0.25">
      <c r="K147" s="90">
        <f ca="1">_xlfn.LET(_xlpm.int, OFFSET(PSA.Data!$E149, 0, ($F$2-1)*6), _xlpm.ctrl, OFFSET(PSA.Data!$E149, 0, ($F$2-1)*6 + 1),
_xlpm.int - _xlpm.ctrl)</f>
        <v>13813120.270695532</v>
      </c>
      <c r="L147" s="421">
        <f ca="1">_xlfn.LET(_xlpm.int, OFFSET(PSA.Data!$H149, 0, ($F$2-1)*6), _xlpm.ctrl, OFFSET(PSA.Data!$H149, 0, ($F$2-1)*6 + 1),
_xlpm.int - _xlpm.ctrl)</f>
        <v>-4536.2333225588027</v>
      </c>
      <c r="M147" s="134">
        <f t="shared" ca="1" si="13"/>
        <v>-5226.889336093579</v>
      </c>
    </row>
    <row r="148" spans="11:13" ht="12" customHeight="1" x14ac:dyDescent="0.25">
      <c r="K148" s="90">
        <f ca="1">_xlfn.LET(_xlpm.int, OFFSET(PSA.Data!$E150, 0, ($F$2-1)*6), _xlpm.ctrl, OFFSET(PSA.Data!$E150, 0, ($F$2-1)*6 + 1),
_xlpm.int - _xlpm.ctrl)</f>
        <v>9684474.0489998572</v>
      </c>
      <c r="L148" s="421">
        <f ca="1">_xlfn.LET(_xlpm.int, OFFSET(PSA.Data!$H150, 0, ($F$2-1)*6), _xlpm.ctrl, OFFSET(PSA.Data!$H150, 0, ($F$2-1)*6 + 1),
_xlpm.int - _xlpm.ctrl)</f>
        <v>-5828.8556650858227</v>
      </c>
      <c r="M148" s="134">
        <f t="shared" ca="1" si="13"/>
        <v>-6313.0793675358154</v>
      </c>
    </row>
    <row r="149" spans="11:13" ht="12" customHeight="1" x14ac:dyDescent="0.25">
      <c r="K149" s="90">
        <f ca="1">_xlfn.LET(_xlpm.int, OFFSET(PSA.Data!$E151, 0, ($F$2-1)*6), _xlpm.ctrl, OFFSET(PSA.Data!$E151, 0, ($F$2-1)*6 + 1),
_xlpm.int - _xlpm.ctrl)</f>
        <v>39787354.347625852</v>
      </c>
      <c r="L149" s="421">
        <f ca="1">_xlfn.LET(_xlpm.int, OFFSET(PSA.Data!$H151, 0, ($F$2-1)*6), _xlpm.ctrl, OFFSET(PSA.Data!$H151, 0, ($F$2-1)*6 + 1),
_xlpm.int - _xlpm.ctrl)</f>
        <v>-6251.243625454139</v>
      </c>
      <c r="M149" s="134">
        <f t="shared" ca="1" si="13"/>
        <v>-8240.6113428354311</v>
      </c>
    </row>
    <row r="150" spans="11:13" ht="12" customHeight="1" x14ac:dyDescent="0.25">
      <c r="K150" s="90">
        <f ca="1">_xlfn.LET(_xlpm.int, OFFSET(PSA.Data!$E152, 0, ($F$2-1)*6), _xlpm.ctrl, OFFSET(PSA.Data!$E152, 0, ($F$2-1)*6 + 1),
_xlpm.int - _xlpm.ctrl)</f>
        <v>38801982.749848492</v>
      </c>
      <c r="L150" s="421">
        <f ca="1">_xlfn.LET(_xlpm.int, OFFSET(PSA.Data!$H152, 0, ($F$2-1)*6), _xlpm.ctrl, OFFSET(PSA.Data!$H152, 0, ($F$2-1)*6 + 1),
_xlpm.int - _xlpm.ctrl)</f>
        <v>-7593.3344378934162</v>
      </c>
      <c r="M150" s="134">
        <f t="shared" ca="1" si="13"/>
        <v>-9533.4335753858413</v>
      </c>
    </row>
    <row r="151" spans="11:13" ht="12" customHeight="1" x14ac:dyDescent="0.25">
      <c r="K151" s="90">
        <f ca="1">_xlfn.LET(_xlpm.int, OFFSET(PSA.Data!$E153, 0, ($F$2-1)*6), _xlpm.ctrl, OFFSET(PSA.Data!$E153, 0, ($F$2-1)*6 + 1),
_xlpm.int - _xlpm.ctrl)</f>
        <v>28375937.373726118</v>
      </c>
      <c r="L151" s="421">
        <f ca="1">_xlfn.LET(_xlpm.int, OFFSET(PSA.Data!$H153, 0, ($F$2-1)*6), _xlpm.ctrl, OFFSET(PSA.Data!$H153, 0, ($F$2-1)*6 + 1),
_xlpm.int - _xlpm.ctrl)</f>
        <v>-7525.5262624481693</v>
      </c>
      <c r="M151" s="134">
        <f t="shared" ca="1" si="13"/>
        <v>-8944.3231311344753</v>
      </c>
    </row>
    <row r="152" spans="11:13" ht="12" customHeight="1" x14ac:dyDescent="0.25">
      <c r="K152" s="90">
        <f ca="1">_xlfn.LET(_xlpm.int, OFFSET(PSA.Data!$E154, 0, ($F$2-1)*6), _xlpm.ctrl, OFFSET(PSA.Data!$E154, 0, ($F$2-1)*6 + 1),
_xlpm.int - _xlpm.ctrl)</f>
        <v>16188391.562938927</v>
      </c>
      <c r="L152" s="421">
        <f ca="1">_xlfn.LET(_xlpm.int, OFFSET(PSA.Data!$H154, 0, ($F$2-1)*6), _xlpm.ctrl, OFFSET(PSA.Data!$H154, 0, ($F$2-1)*6 + 1),
_xlpm.int - _xlpm.ctrl)</f>
        <v>-5643.7983132416439</v>
      </c>
      <c r="M152" s="134">
        <f t="shared" ca="1" si="13"/>
        <v>-6453.21789138859</v>
      </c>
    </row>
    <row r="153" spans="11:13" ht="12" customHeight="1" x14ac:dyDescent="0.25">
      <c r="K153" s="90">
        <f ca="1">_xlfn.LET(_xlpm.int, OFFSET(PSA.Data!$E155, 0, ($F$2-1)*6), _xlpm.ctrl, OFFSET(PSA.Data!$E155, 0, ($F$2-1)*6 + 1),
_xlpm.int - _xlpm.ctrl)</f>
        <v>47282715.374330051</v>
      </c>
      <c r="L153" s="421">
        <f ca="1">_xlfn.LET(_xlpm.int, OFFSET(PSA.Data!$H155, 0, ($F$2-1)*6), _xlpm.ctrl, OFFSET(PSA.Data!$H155, 0, ($F$2-1)*6 + 1),
_xlpm.int - _xlpm.ctrl)</f>
        <v>-7930.8086456311812</v>
      </c>
      <c r="M153" s="134">
        <f t="shared" ca="1" si="13"/>
        <v>-10294.944414347683</v>
      </c>
    </row>
    <row r="154" spans="11:13" ht="12" customHeight="1" x14ac:dyDescent="0.25">
      <c r="K154" s="90">
        <f ca="1">_xlfn.LET(_xlpm.int, OFFSET(PSA.Data!$E156, 0, ($F$2-1)*6), _xlpm.ctrl, OFFSET(PSA.Data!$E156, 0, ($F$2-1)*6 + 1),
_xlpm.int - _xlpm.ctrl)</f>
        <v>22478042.706328209</v>
      </c>
      <c r="L154" s="421">
        <f ca="1">_xlfn.LET(_xlpm.int, OFFSET(PSA.Data!$H156, 0, ($F$2-1)*6), _xlpm.ctrl, OFFSET(PSA.Data!$H156, 0, ($F$2-1)*6 + 1),
_xlpm.int - _xlpm.ctrl)</f>
        <v>-5748.4684987379114</v>
      </c>
      <c r="M154" s="134">
        <f t="shared" ca="1" si="13"/>
        <v>-6872.3706340543222</v>
      </c>
    </row>
    <row r="155" spans="11:13" ht="12" customHeight="1" x14ac:dyDescent="0.25">
      <c r="K155" s="90">
        <f ca="1">_xlfn.LET(_xlpm.int, OFFSET(PSA.Data!$E157, 0, ($F$2-1)*6), _xlpm.ctrl, OFFSET(PSA.Data!$E157, 0, ($F$2-1)*6 + 1),
_xlpm.int - _xlpm.ctrl)</f>
        <v>23521505.670159802</v>
      </c>
      <c r="L155" s="421">
        <f ca="1">_xlfn.LET(_xlpm.int, OFFSET(PSA.Data!$H157, 0, ($F$2-1)*6), _xlpm.ctrl, OFFSET(PSA.Data!$H157, 0, ($F$2-1)*6 + 1),
_xlpm.int - _xlpm.ctrl)</f>
        <v>-5297.4375739871712</v>
      </c>
      <c r="M155" s="134">
        <f t="shared" ca="1" si="13"/>
        <v>-6473.5128574951614</v>
      </c>
    </row>
    <row r="156" spans="11:13" ht="12" customHeight="1" x14ac:dyDescent="0.25">
      <c r="K156" s="90">
        <f ca="1">_xlfn.LET(_xlpm.int, OFFSET(PSA.Data!$E158, 0, ($F$2-1)*6), _xlpm.ctrl, OFFSET(PSA.Data!$E158, 0, ($F$2-1)*6 + 1),
_xlpm.int - _xlpm.ctrl)</f>
        <v>21485638.791970652</v>
      </c>
      <c r="L156" s="421">
        <f ca="1">_xlfn.LET(_xlpm.int, OFFSET(PSA.Data!$H158, 0, ($F$2-1)*6), _xlpm.ctrl, OFFSET(PSA.Data!$H158, 0, ($F$2-1)*6 + 1),
_xlpm.int - _xlpm.ctrl)</f>
        <v>-6121.6007553948857</v>
      </c>
      <c r="M156" s="134">
        <f t="shared" ca="1" si="13"/>
        <v>-7195.8826949934182</v>
      </c>
    </row>
    <row r="157" spans="11:13" ht="12" customHeight="1" x14ac:dyDescent="0.25">
      <c r="K157" s="90">
        <f ca="1">_xlfn.LET(_xlpm.int, OFFSET(PSA.Data!$E159, 0, ($F$2-1)*6), _xlpm.ctrl, OFFSET(PSA.Data!$E159, 0, ($F$2-1)*6 + 1),
_xlpm.int - _xlpm.ctrl)</f>
        <v>37564472.981426828</v>
      </c>
      <c r="L157" s="421">
        <f ca="1">_xlfn.LET(_xlpm.int, OFFSET(PSA.Data!$H159, 0, ($F$2-1)*6), _xlpm.ctrl, OFFSET(PSA.Data!$H159, 0, ($F$2-1)*6 + 1),
_xlpm.int - _xlpm.ctrl)</f>
        <v>-6064.2318058061282</v>
      </c>
      <c r="M157" s="134">
        <f t="shared" ca="1" si="13"/>
        <v>-7942.4554548774695</v>
      </c>
    </row>
    <row r="158" spans="11:13" ht="12" customHeight="1" x14ac:dyDescent="0.25">
      <c r="K158" s="90">
        <f ca="1">_xlfn.LET(_xlpm.int, OFFSET(PSA.Data!$E160, 0, ($F$2-1)*6), _xlpm.ctrl, OFFSET(PSA.Data!$E160, 0, ($F$2-1)*6 + 1),
_xlpm.int - _xlpm.ctrl)</f>
        <v>16738622.65025948</v>
      </c>
      <c r="L158" s="421">
        <f ca="1">_xlfn.LET(_xlpm.int, OFFSET(PSA.Data!$H160, 0, ($F$2-1)*6), _xlpm.ctrl, OFFSET(PSA.Data!$H160, 0, ($F$2-1)*6 + 1),
_xlpm.int - _xlpm.ctrl)</f>
        <v>-5434.8285893117209</v>
      </c>
      <c r="M158" s="134">
        <f t="shared" ca="1" si="13"/>
        <v>-6271.7597218246947</v>
      </c>
    </row>
    <row r="159" spans="11:13" ht="12" customHeight="1" x14ac:dyDescent="0.25">
      <c r="K159" s="90">
        <f ca="1">_xlfn.LET(_xlpm.int, OFFSET(PSA.Data!$E161, 0, ($F$2-1)*6), _xlpm.ctrl, OFFSET(PSA.Data!$E161, 0, ($F$2-1)*6 + 1),
_xlpm.int - _xlpm.ctrl)</f>
        <v>11548681.670877133</v>
      </c>
      <c r="L159" s="421">
        <f ca="1">_xlfn.LET(_xlpm.int, OFFSET(PSA.Data!$H161, 0, ($F$2-1)*6), _xlpm.ctrl, OFFSET(PSA.Data!$H161, 0, ($F$2-1)*6 + 1),
_xlpm.int - _xlpm.ctrl)</f>
        <v>-6505.6994487514785</v>
      </c>
      <c r="M159" s="134">
        <f t="shared" ca="1" si="13"/>
        <v>-7083.1335322953355</v>
      </c>
    </row>
    <row r="160" spans="11:13" ht="12" customHeight="1" x14ac:dyDescent="0.25">
      <c r="K160" s="90">
        <f ca="1">_xlfn.LET(_xlpm.int, OFFSET(PSA.Data!$E162, 0, ($F$2-1)*6), _xlpm.ctrl, OFFSET(PSA.Data!$E162, 0, ($F$2-1)*6 + 1),
_xlpm.int - _xlpm.ctrl)</f>
        <v>37139735.830991834</v>
      </c>
      <c r="L160" s="421">
        <f ca="1">_xlfn.LET(_xlpm.int, OFFSET(PSA.Data!$H162, 0, ($F$2-1)*6), _xlpm.ctrl, OFFSET(PSA.Data!$H162, 0, ($F$2-1)*6 + 1),
_xlpm.int - _xlpm.ctrl)</f>
        <v>-6906.5728600290804</v>
      </c>
      <c r="M160" s="134">
        <f t="shared" ca="1" si="13"/>
        <v>-8763.5596515786729</v>
      </c>
    </row>
    <row r="161" spans="11:13" ht="12" customHeight="1" x14ac:dyDescent="0.25">
      <c r="K161" s="90">
        <f ca="1">_xlfn.LET(_xlpm.int, OFFSET(PSA.Data!$E163, 0, ($F$2-1)*6), _xlpm.ctrl, OFFSET(PSA.Data!$E163, 0, ($F$2-1)*6 + 1),
_xlpm.int - _xlpm.ctrl)</f>
        <v>21033418.8994755</v>
      </c>
      <c r="L161" s="421">
        <f ca="1">_xlfn.LET(_xlpm.int, OFFSET(PSA.Data!$H163, 0, ($F$2-1)*6), _xlpm.ctrl, OFFSET(PSA.Data!$H163, 0, ($F$2-1)*6 + 1),
_xlpm.int - _xlpm.ctrl)</f>
        <v>-5306.6148688099693</v>
      </c>
      <c r="M161" s="134">
        <f t="shared" ca="1" si="13"/>
        <v>-6358.2858137837447</v>
      </c>
    </row>
    <row r="162" spans="11:13" ht="12" customHeight="1" x14ac:dyDescent="0.25">
      <c r="K162" s="90">
        <f ca="1">_xlfn.LET(_xlpm.int, OFFSET(PSA.Data!$E164, 0, ($F$2-1)*6), _xlpm.ctrl, OFFSET(PSA.Data!$E164, 0, ($F$2-1)*6 + 1),
_xlpm.int - _xlpm.ctrl)</f>
        <v>15472140.255755242</v>
      </c>
      <c r="L162" s="421">
        <f ca="1">_xlfn.LET(_xlpm.int, OFFSET(PSA.Data!$H164, 0, ($F$2-1)*6), _xlpm.ctrl, OFFSET(PSA.Data!$H164, 0, ($F$2-1)*6 + 1),
_xlpm.int - _xlpm.ctrl)</f>
        <v>-7087.0768837672895</v>
      </c>
      <c r="M162" s="134">
        <f t="shared" ca="1" si="13"/>
        <v>-7860.6838965550514</v>
      </c>
    </row>
    <row r="163" spans="11:13" ht="12" customHeight="1" x14ac:dyDescent="0.25">
      <c r="K163" s="90">
        <f ca="1">_xlfn.LET(_xlpm.int, OFFSET(PSA.Data!$E165, 0, ($F$2-1)*6), _xlpm.ctrl, OFFSET(PSA.Data!$E165, 0, ($F$2-1)*6 + 1),
_xlpm.int - _xlpm.ctrl)</f>
        <v>25053298.713239215</v>
      </c>
      <c r="L163" s="421">
        <f ca="1">_xlfn.LET(_xlpm.int, OFFSET(PSA.Data!$H165, 0, ($F$2-1)*6), _xlpm.ctrl, OFFSET(PSA.Data!$H165, 0, ($F$2-1)*6 + 1),
_xlpm.int - _xlpm.ctrl)</f>
        <v>-5413.0081350700484</v>
      </c>
      <c r="M163" s="134">
        <f t="shared" ca="1" si="13"/>
        <v>-6665.6730707320094</v>
      </c>
    </row>
    <row r="164" spans="11:13" ht="12" customHeight="1" x14ac:dyDescent="0.25">
      <c r="K164" s="90">
        <f ca="1">_xlfn.LET(_xlpm.int, OFFSET(PSA.Data!$E166, 0, ($F$2-1)*6), _xlpm.ctrl, OFFSET(PSA.Data!$E166, 0, ($F$2-1)*6 + 1),
_xlpm.int - _xlpm.ctrl)</f>
        <v>23660718.975819767</v>
      </c>
      <c r="L164" s="421">
        <f ca="1">_xlfn.LET(_xlpm.int, OFFSET(PSA.Data!$H166, 0, ($F$2-1)*6), _xlpm.ctrl, OFFSET(PSA.Data!$H166, 0, ($F$2-1)*6 + 1),
_xlpm.int - _xlpm.ctrl)</f>
        <v>-5878.3897080346915</v>
      </c>
      <c r="M164" s="134">
        <f t="shared" ca="1" si="13"/>
        <v>-7061.4256568256797</v>
      </c>
    </row>
    <row r="165" spans="11:13" ht="12" customHeight="1" x14ac:dyDescent="0.25">
      <c r="K165" s="90">
        <f ca="1">_xlfn.LET(_xlpm.int, OFFSET(PSA.Data!$E167, 0, ($F$2-1)*6), _xlpm.ctrl, OFFSET(PSA.Data!$E167, 0, ($F$2-1)*6 + 1),
_xlpm.int - _xlpm.ctrl)</f>
        <v>13104816.264699042</v>
      </c>
      <c r="L165" s="421">
        <f ca="1">_xlfn.LET(_xlpm.int, OFFSET(PSA.Data!$H167, 0, ($F$2-1)*6), _xlpm.ctrl, OFFSET(PSA.Data!$H167, 0, ($F$2-1)*6 + 1),
_xlpm.int - _xlpm.ctrl)</f>
        <v>-4905.9176461170509</v>
      </c>
      <c r="M165" s="134">
        <f t="shared" ca="1" si="13"/>
        <v>-5561.1584593520029</v>
      </c>
    </row>
    <row r="166" spans="11:13" ht="12" customHeight="1" x14ac:dyDescent="0.25">
      <c r="K166" s="90">
        <f ca="1">_xlfn.LET(_xlpm.int, OFFSET(PSA.Data!$E168, 0, ($F$2-1)*6), _xlpm.ctrl, OFFSET(PSA.Data!$E168, 0, ($F$2-1)*6 + 1),
_xlpm.int - _xlpm.ctrl)</f>
        <v>33215073.278772727</v>
      </c>
      <c r="L166" s="421">
        <f ca="1">_xlfn.LET(_xlpm.int, OFFSET(PSA.Data!$H168, 0, ($F$2-1)*6), _xlpm.ctrl, OFFSET(PSA.Data!$H168, 0, ($F$2-1)*6 + 1),
_xlpm.int - _xlpm.ctrl)</f>
        <v>-5378.7901831535401</v>
      </c>
      <c r="M166" s="134">
        <f t="shared" ca="1" si="13"/>
        <v>-7039.5438470921763</v>
      </c>
    </row>
    <row r="167" spans="11:13" ht="12" customHeight="1" x14ac:dyDescent="0.25">
      <c r="K167" s="90">
        <f ca="1">_xlfn.LET(_xlpm.int, OFFSET(PSA.Data!$E169, 0, ($F$2-1)*6), _xlpm.ctrl, OFFSET(PSA.Data!$E169, 0, ($F$2-1)*6 + 1),
_xlpm.int - _xlpm.ctrl)</f>
        <v>12509030.756998394</v>
      </c>
      <c r="L167" s="421">
        <f ca="1">_xlfn.LET(_xlpm.int, OFFSET(PSA.Data!$H169, 0, ($F$2-1)*6), _xlpm.ctrl, OFFSET(PSA.Data!$H169, 0, ($F$2-1)*6 + 1),
_xlpm.int - _xlpm.ctrl)</f>
        <v>-5734.4193825439543</v>
      </c>
      <c r="M167" s="134">
        <f t="shared" ca="1" si="13"/>
        <v>-6359.8709203938743</v>
      </c>
    </row>
    <row r="168" spans="11:13" ht="12" customHeight="1" x14ac:dyDescent="0.25">
      <c r="K168" s="90">
        <f ca="1">_xlfn.LET(_xlpm.int, OFFSET(PSA.Data!$E170, 0, ($F$2-1)*6), _xlpm.ctrl, OFFSET(PSA.Data!$E170, 0, ($F$2-1)*6 + 1),
_xlpm.int - _xlpm.ctrl)</f>
        <v>46250305.363024637</v>
      </c>
      <c r="L168" s="421">
        <f ca="1">_xlfn.LET(_xlpm.int, OFFSET(PSA.Data!$H170, 0, ($F$2-1)*6), _xlpm.ctrl, OFFSET(PSA.Data!$H170, 0, ($F$2-1)*6 + 1),
_xlpm.int - _xlpm.ctrl)</f>
        <v>-8851.7461435701134</v>
      </c>
      <c r="M168" s="134">
        <f t="shared" ca="1" si="13"/>
        <v>-11164.261411721345</v>
      </c>
    </row>
    <row r="169" spans="11:13" ht="12" customHeight="1" x14ac:dyDescent="0.25">
      <c r="K169" s="90">
        <f ca="1">_xlfn.LET(_xlpm.int, OFFSET(PSA.Data!$E171, 0, ($F$2-1)*6), _xlpm.ctrl, OFFSET(PSA.Data!$E171, 0, ($F$2-1)*6 + 1),
_xlpm.int - _xlpm.ctrl)</f>
        <v>15065404.797705052</v>
      </c>
      <c r="L169" s="421">
        <f ca="1">_xlfn.LET(_xlpm.int, OFFSET(PSA.Data!$H171, 0, ($F$2-1)*6), _xlpm.ctrl, OFFSET(PSA.Data!$H171, 0, ($F$2-1)*6 + 1),
_xlpm.int - _xlpm.ctrl)</f>
        <v>-6968.7541819369999</v>
      </c>
      <c r="M169" s="134">
        <f t="shared" ca="1" si="13"/>
        <v>-7722.0244218222524</v>
      </c>
    </row>
    <row r="170" spans="11:13" ht="12" customHeight="1" x14ac:dyDescent="0.25">
      <c r="K170" s="90">
        <f ca="1">_xlfn.LET(_xlpm.int, OFFSET(PSA.Data!$E172, 0, ($F$2-1)*6), _xlpm.ctrl, OFFSET(PSA.Data!$E172, 0, ($F$2-1)*6 + 1),
_xlpm.int - _xlpm.ctrl)</f>
        <v>20259655.208929453</v>
      </c>
      <c r="L170" s="421">
        <f ca="1">_xlfn.LET(_xlpm.int, OFFSET(PSA.Data!$H172, 0, ($F$2-1)*6), _xlpm.ctrl, OFFSET(PSA.Data!$H172, 0, ($F$2-1)*6 + 1),
_xlpm.int - _xlpm.ctrl)</f>
        <v>-4717.4668481063436</v>
      </c>
      <c r="M170" s="134">
        <f t="shared" ca="1" si="13"/>
        <v>-5730.4496085528162</v>
      </c>
    </row>
    <row r="171" spans="11:13" ht="12" customHeight="1" x14ac:dyDescent="0.25">
      <c r="K171" s="90">
        <f ca="1">_xlfn.LET(_xlpm.int, OFFSET(PSA.Data!$E173, 0, ($F$2-1)*6), _xlpm.ctrl, OFFSET(PSA.Data!$E173, 0, ($F$2-1)*6 + 1),
_xlpm.int - _xlpm.ctrl)</f>
        <v>44534744.873932108</v>
      </c>
      <c r="L171" s="421">
        <f ca="1">_xlfn.LET(_xlpm.int, OFFSET(PSA.Data!$H173, 0, ($F$2-1)*6), _xlpm.ctrl, OFFSET(PSA.Data!$H173, 0, ($F$2-1)*6 + 1),
_xlpm.int - _xlpm.ctrl)</f>
        <v>-7537.4392691590028</v>
      </c>
      <c r="M171" s="134">
        <f t="shared" ca="1" si="13"/>
        <v>-9764.1765128556071</v>
      </c>
    </row>
    <row r="172" spans="11:13" ht="12" customHeight="1" x14ac:dyDescent="0.25">
      <c r="K172" s="90">
        <f ca="1">_xlfn.LET(_xlpm.int, OFFSET(PSA.Data!$E174, 0, ($F$2-1)*6), _xlpm.ctrl, OFFSET(PSA.Data!$E174, 0, ($F$2-1)*6 + 1),
_xlpm.int - _xlpm.ctrl)</f>
        <v>17043582.023942605</v>
      </c>
      <c r="L172" s="421">
        <f ca="1">_xlfn.LET(_xlpm.int, OFFSET(PSA.Data!$H174, 0, ($F$2-1)*6), _xlpm.ctrl, OFFSET(PSA.Data!$H174, 0, ($F$2-1)*6 + 1),
_xlpm.int - _xlpm.ctrl)</f>
        <v>-6518.662201976661</v>
      </c>
      <c r="M172" s="134">
        <f t="shared" ca="1" si="13"/>
        <v>-7370.8413031737909</v>
      </c>
    </row>
    <row r="173" spans="11:13" ht="12" customHeight="1" x14ac:dyDescent="0.25">
      <c r="K173" s="90">
        <f ca="1">_xlfn.LET(_xlpm.int, OFFSET(PSA.Data!$E175, 0, ($F$2-1)*6), _xlpm.ctrl, OFFSET(PSA.Data!$E175, 0, ($F$2-1)*6 + 1),
_xlpm.int - _xlpm.ctrl)</f>
        <v>20829392.840074554</v>
      </c>
      <c r="L173" s="421">
        <f ca="1">_xlfn.LET(_xlpm.int, OFFSET(PSA.Data!$H175, 0, ($F$2-1)*6), _xlpm.ctrl, OFFSET(PSA.Data!$H175, 0, ($F$2-1)*6 + 1),
_xlpm.int - _xlpm.ctrl)</f>
        <v>-5540.3496634945805</v>
      </c>
      <c r="M173" s="134">
        <f t="shared" ca="1" si="13"/>
        <v>-6581.8193054983085</v>
      </c>
    </row>
    <row r="174" spans="11:13" ht="12" customHeight="1" x14ac:dyDescent="0.25">
      <c r="K174" s="90">
        <f ca="1">_xlfn.LET(_xlpm.int, OFFSET(PSA.Data!$E176, 0, ($F$2-1)*6), _xlpm.ctrl, OFFSET(PSA.Data!$E176, 0, ($F$2-1)*6 + 1),
_xlpm.int - _xlpm.ctrl)</f>
        <v>28478416.005759068</v>
      </c>
      <c r="L174" s="421">
        <f ca="1">_xlfn.LET(_xlpm.int, OFFSET(PSA.Data!$H176, 0, ($F$2-1)*6), _xlpm.ctrl, OFFSET(PSA.Data!$H176, 0, ($F$2-1)*6 + 1),
_xlpm.int - _xlpm.ctrl)</f>
        <v>-4774.2517045672721</v>
      </c>
      <c r="M174" s="134">
        <f t="shared" ca="1" si="13"/>
        <v>-6198.1725048552253</v>
      </c>
    </row>
    <row r="175" spans="11:13" ht="12" customHeight="1" x14ac:dyDescent="0.25">
      <c r="K175" s="90">
        <f ca="1">_xlfn.LET(_xlpm.int, OFFSET(PSA.Data!$E177, 0, ($F$2-1)*6), _xlpm.ctrl, OFFSET(PSA.Data!$E177, 0, ($F$2-1)*6 + 1),
_xlpm.int - _xlpm.ctrl)</f>
        <v>62448155.981321461</v>
      </c>
      <c r="L175" s="421">
        <f ca="1">_xlfn.LET(_xlpm.int, OFFSET(PSA.Data!$H177, 0, ($F$2-1)*6), _xlpm.ctrl, OFFSET(PSA.Data!$H177, 0, ($F$2-1)*6 + 1),
_xlpm.int - _xlpm.ctrl)</f>
        <v>-7240.970843208127</v>
      </c>
      <c r="M175" s="134">
        <f t="shared" ca="1" si="13"/>
        <v>-10363.3786422742</v>
      </c>
    </row>
    <row r="176" spans="11:13" ht="12" customHeight="1" x14ac:dyDescent="0.25">
      <c r="K176" s="90">
        <f ca="1">_xlfn.LET(_xlpm.int, OFFSET(PSA.Data!$E178, 0, ($F$2-1)*6), _xlpm.ctrl, OFFSET(PSA.Data!$E178, 0, ($F$2-1)*6 + 1),
_xlpm.int - _xlpm.ctrl)</f>
        <v>46097333.816435635</v>
      </c>
      <c r="L176" s="421">
        <f ca="1">_xlfn.LET(_xlpm.int, OFFSET(PSA.Data!$H178, 0, ($F$2-1)*6), _xlpm.ctrl, OFFSET(PSA.Data!$H178, 0, ($F$2-1)*6 + 1),
_xlpm.int - _xlpm.ctrl)</f>
        <v>-8280.6275704519285</v>
      </c>
      <c r="M176" s="134">
        <f t="shared" ca="1" si="13"/>
        <v>-10585.49426127371</v>
      </c>
    </row>
    <row r="177" spans="11:13" ht="12" customHeight="1" x14ac:dyDescent="0.25">
      <c r="K177" s="90">
        <f ca="1">_xlfn.LET(_xlpm.int, OFFSET(PSA.Data!$E179, 0, ($F$2-1)*6), _xlpm.ctrl, OFFSET(PSA.Data!$E179, 0, ($F$2-1)*6 + 1),
_xlpm.int - _xlpm.ctrl)</f>
        <v>19631655.197126508</v>
      </c>
      <c r="L177" s="421">
        <f ca="1">_xlfn.LET(_xlpm.int, OFFSET(PSA.Data!$H179, 0, ($F$2-1)*6), _xlpm.ctrl, OFFSET(PSA.Data!$H179, 0, ($F$2-1)*6 + 1),
_xlpm.int - _xlpm.ctrl)</f>
        <v>-5323.0090537143369</v>
      </c>
      <c r="M177" s="134">
        <f t="shared" ca="1" si="13"/>
        <v>-6304.5918135706625</v>
      </c>
    </row>
    <row r="178" spans="11:13" ht="12" customHeight="1" x14ac:dyDescent="0.25">
      <c r="K178" s="90">
        <f ca="1">_xlfn.LET(_xlpm.int, OFFSET(PSA.Data!$E180, 0, ($F$2-1)*6), _xlpm.ctrl, OFFSET(PSA.Data!$E180, 0, ($F$2-1)*6 + 1),
_xlpm.int - _xlpm.ctrl)</f>
        <v>26635039.931635551</v>
      </c>
      <c r="L178" s="421">
        <f ca="1">_xlfn.LET(_xlpm.int, OFFSET(PSA.Data!$H180, 0, ($F$2-1)*6), _xlpm.ctrl, OFFSET(PSA.Data!$H180, 0, ($F$2-1)*6 + 1),
_xlpm.int - _xlpm.ctrl)</f>
        <v>-4756.5497384842365</v>
      </c>
      <c r="M178" s="134">
        <f t="shared" ca="1" si="13"/>
        <v>-6088.3017350660139</v>
      </c>
    </row>
    <row r="179" spans="11:13" ht="12" customHeight="1" x14ac:dyDescent="0.25">
      <c r="K179" s="90">
        <f ca="1">_xlfn.LET(_xlpm.int, OFFSET(PSA.Data!$E181, 0, ($F$2-1)*6), _xlpm.ctrl, OFFSET(PSA.Data!$E181, 0, ($F$2-1)*6 + 1),
_xlpm.int - _xlpm.ctrl)</f>
        <v>18328573.212768953</v>
      </c>
      <c r="L179" s="421">
        <f ca="1">_xlfn.LET(_xlpm.int, OFFSET(PSA.Data!$H181, 0, ($F$2-1)*6), _xlpm.ctrl, OFFSET(PSA.Data!$H181, 0, ($F$2-1)*6 + 1),
_xlpm.int - _xlpm.ctrl)</f>
        <v>-3953.7835283318063</v>
      </c>
      <c r="M179" s="134">
        <f t="shared" ca="1" si="13"/>
        <v>-4870.2121889702539</v>
      </c>
    </row>
    <row r="180" spans="11:13" ht="12" customHeight="1" x14ac:dyDescent="0.25">
      <c r="K180" s="90">
        <f ca="1">_xlfn.LET(_xlpm.int, OFFSET(PSA.Data!$E182, 0, ($F$2-1)*6), _xlpm.ctrl, OFFSET(PSA.Data!$E182, 0, ($F$2-1)*6 + 1),
_xlpm.int - _xlpm.ctrl)</f>
        <v>42193929.090570375</v>
      </c>
      <c r="L180" s="421">
        <f ca="1">_xlfn.LET(_xlpm.int, OFFSET(PSA.Data!$H182, 0, ($F$2-1)*6), _xlpm.ctrl, OFFSET(PSA.Data!$H182, 0, ($F$2-1)*6 + 1),
_xlpm.int - _xlpm.ctrl)</f>
        <v>-6310.6603138470055</v>
      </c>
      <c r="M180" s="134">
        <f t="shared" ca="1" si="13"/>
        <v>-8420.3567683755246</v>
      </c>
    </row>
    <row r="181" spans="11:13" ht="12" customHeight="1" x14ac:dyDescent="0.25">
      <c r="K181" s="90">
        <f ca="1">_xlfn.LET(_xlpm.int, OFFSET(PSA.Data!$E183, 0, ($F$2-1)*6), _xlpm.ctrl, OFFSET(PSA.Data!$E183, 0, ($F$2-1)*6 + 1),
_xlpm.int - _xlpm.ctrl)</f>
        <v>20089969.60518413</v>
      </c>
      <c r="L181" s="421">
        <f ca="1">_xlfn.LET(_xlpm.int, OFFSET(PSA.Data!$H183, 0, ($F$2-1)*6), _xlpm.ctrl, OFFSET(PSA.Data!$H183, 0, ($F$2-1)*6 + 1),
_xlpm.int - _xlpm.ctrl)</f>
        <v>-5383.8530912804617</v>
      </c>
      <c r="M181" s="134">
        <f t="shared" ca="1" si="13"/>
        <v>-6388.3515715396679</v>
      </c>
    </row>
    <row r="182" spans="11:13" ht="12" customHeight="1" x14ac:dyDescent="0.25">
      <c r="K182" s="90">
        <f ca="1">_xlfn.LET(_xlpm.int, OFFSET(PSA.Data!$E184, 0, ($F$2-1)*6), _xlpm.ctrl, OFFSET(PSA.Data!$E184, 0, ($F$2-1)*6 + 1),
_xlpm.int - _xlpm.ctrl)</f>
        <v>41103653.688199744</v>
      </c>
      <c r="L182" s="421">
        <f ca="1">_xlfn.LET(_xlpm.int, OFFSET(PSA.Data!$H184, 0, ($F$2-1)*6), _xlpm.ctrl, OFFSET(PSA.Data!$H184, 0, ($F$2-1)*6 + 1),
_xlpm.int - _xlpm.ctrl)</f>
        <v>-6350.9565107393255</v>
      </c>
      <c r="M182" s="134">
        <f t="shared" ca="1" si="13"/>
        <v>-8406.1391951493133</v>
      </c>
    </row>
    <row r="183" spans="11:13" ht="12" customHeight="1" x14ac:dyDescent="0.25">
      <c r="K183" s="90">
        <f ca="1">_xlfn.LET(_xlpm.int, OFFSET(PSA.Data!$E185, 0, ($F$2-1)*6), _xlpm.ctrl, OFFSET(PSA.Data!$E185, 0, ($F$2-1)*6 + 1),
_xlpm.int - _xlpm.ctrl)</f>
        <v>22954534.911121029</v>
      </c>
      <c r="L183" s="421">
        <f ca="1">_xlfn.LET(_xlpm.int, OFFSET(PSA.Data!$H185, 0, ($F$2-1)*6), _xlpm.ctrl, OFFSET(PSA.Data!$H185, 0, ($F$2-1)*6 + 1),
_xlpm.int - _xlpm.ctrl)</f>
        <v>-4775.9678497616014</v>
      </c>
      <c r="M183" s="134">
        <f t="shared" ca="1" si="13"/>
        <v>-5923.6945953176528</v>
      </c>
    </row>
    <row r="184" spans="11:13" ht="12" customHeight="1" x14ac:dyDescent="0.25">
      <c r="K184" s="90">
        <f ca="1">_xlfn.LET(_xlpm.int, OFFSET(PSA.Data!$E186, 0, ($F$2-1)*6), _xlpm.ctrl, OFFSET(PSA.Data!$E186, 0, ($F$2-1)*6 + 1),
_xlpm.int - _xlpm.ctrl)</f>
        <v>27888806.527406368</v>
      </c>
      <c r="L184" s="421">
        <f ca="1">_xlfn.LET(_xlpm.int, OFFSET(PSA.Data!$H186, 0, ($F$2-1)*6), _xlpm.ctrl, OFFSET(PSA.Data!$H186, 0, ($F$2-1)*6 + 1),
_xlpm.int - _xlpm.ctrl)</f>
        <v>-5533.450371197755</v>
      </c>
      <c r="M184" s="134">
        <f t="shared" ca="1" si="13"/>
        <v>-6927.8906975680729</v>
      </c>
    </row>
    <row r="185" spans="11:13" ht="12" customHeight="1" x14ac:dyDescent="0.25">
      <c r="K185" s="90">
        <f ca="1">_xlfn.LET(_xlpm.int, OFFSET(PSA.Data!$E187, 0, ($F$2-1)*6), _xlpm.ctrl, OFFSET(PSA.Data!$E187, 0, ($F$2-1)*6 + 1),
_xlpm.int - _xlpm.ctrl)</f>
        <v>26381379.436653145</v>
      </c>
      <c r="L185" s="421">
        <f ca="1">_xlfn.LET(_xlpm.int, OFFSET(PSA.Data!$H187, 0, ($F$2-1)*6), _xlpm.ctrl, OFFSET(PSA.Data!$H187, 0, ($F$2-1)*6 + 1),
_xlpm.int - _xlpm.ctrl)</f>
        <v>-7017.5230903694246</v>
      </c>
      <c r="M185" s="134">
        <f t="shared" ca="1" si="13"/>
        <v>-8336.5920622020822</v>
      </c>
    </row>
    <row r="186" spans="11:13" ht="12" customHeight="1" x14ac:dyDescent="0.25">
      <c r="K186" s="90">
        <f ca="1">_xlfn.LET(_xlpm.int, OFFSET(PSA.Data!$E188, 0, ($F$2-1)*6), _xlpm.ctrl, OFFSET(PSA.Data!$E188, 0, ($F$2-1)*6 + 1),
_xlpm.int - _xlpm.ctrl)</f>
        <v>40044369.163237527</v>
      </c>
      <c r="L186" s="421">
        <f ca="1">_xlfn.LET(_xlpm.int, OFFSET(PSA.Data!$H188, 0, ($F$2-1)*6), _xlpm.ctrl, OFFSET(PSA.Data!$H188, 0, ($F$2-1)*6 + 1),
_xlpm.int - _xlpm.ctrl)</f>
        <v>-6813.0858102659076</v>
      </c>
      <c r="M186" s="134">
        <f t="shared" ca="1" si="13"/>
        <v>-8815.3042684277843</v>
      </c>
    </row>
    <row r="187" spans="11:13" ht="12" customHeight="1" x14ac:dyDescent="0.25">
      <c r="K187" s="90">
        <f ca="1">_xlfn.LET(_xlpm.int, OFFSET(PSA.Data!$E189, 0, ($F$2-1)*6), _xlpm.ctrl, OFFSET(PSA.Data!$E189, 0, ($F$2-1)*6 + 1),
_xlpm.int - _xlpm.ctrl)</f>
        <v>28316001.455713853</v>
      </c>
      <c r="L187" s="421">
        <f ca="1">_xlfn.LET(_xlpm.int, OFFSET(PSA.Data!$H189, 0, ($F$2-1)*6), _xlpm.ctrl, OFFSET(PSA.Data!$H189, 0, ($F$2-1)*6 + 1),
_xlpm.int - _xlpm.ctrl)</f>
        <v>-6332.9946367544808</v>
      </c>
      <c r="M187" s="134">
        <f t="shared" ca="1" si="13"/>
        <v>-7748.7947095401732</v>
      </c>
    </row>
    <row r="188" spans="11:13" ht="12" customHeight="1" x14ac:dyDescent="0.25">
      <c r="K188" s="90">
        <f ca="1">_xlfn.LET(_xlpm.int, OFFSET(PSA.Data!$E190, 0, ($F$2-1)*6), _xlpm.ctrl, OFFSET(PSA.Data!$E190, 0, ($F$2-1)*6 + 1),
_xlpm.int - _xlpm.ctrl)</f>
        <v>34295781.429298691</v>
      </c>
      <c r="L188" s="421">
        <f ca="1">_xlfn.LET(_xlpm.int, OFFSET(PSA.Data!$H190, 0, ($F$2-1)*6), _xlpm.ctrl, OFFSET(PSA.Data!$H190, 0, ($F$2-1)*6 + 1),
_xlpm.int - _xlpm.ctrl)</f>
        <v>-6058.7107592250977</v>
      </c>
      <c r="M188" s="134">
        <f t="shared" ca="1" si="13"/>
        <v>-7773.4998306900325</v>
      </c>
    </row>
    <row r="189" spans="11:13" ht="12" customHeight="1" x14ac:dyDescent="0.25">
      <c r="K189" s="90">
        <f ca="1">_xlfn.LET(_xlpm.int, OFFSET(PSA.Data!$E191, 0, ($F$2-1)*6), _xlpm.ctrl, OFFSET(PSA.Data!$E191, 0, ($F$2-1)*6 + 1),
_xlpm.int - _xlpm.ctrl)</f>
        <v>15309435.754083084</v>
      </c>
      <c r="L189" s="421">
        <f ca="1">_xlfn.LET(_xlpm.int, OFFSET(PSA.Data!$H191, 0, ($F$2-1)*6), _xlpm.ctrl, OFFSET(PSA.Data!$H191, 0, ($F$2-1)*6 + 1),
_xlpm.int - _xlpm.ctrl)</f>
        <v>-5141.6400826292975</v>
      </c>
      <c r="M189" s="134">
        <f t="shared" ca="1" si="13"/>
        <v>-5907.1118703334514</v>
      </c>
    </row>
    <row r="190" spans="11:13" ht="12" customHeight="1" x14ac:dyDescent="0.25">
      <c r="K190" s="90">
        <f ca="1">_xlfn.LET(_xlpm.int, OFFSET(PSA.Data!$E192, 0, ($F$2-1)*6), _xlpm.ctrl, OFFSET(PSA.Data!$E192, 0, ($F$2-1)*6 + 1),
_xlpm.int - _xlpm.ctrl)</f>
        <v>31762629.54478934</v>
      </c>
      <c r="L190" s="421">
        <f ca="1">_xlfn.LET(_xlpm.int, OFFSET(PSA.Data!$H192, 0, ($F$2-1)*6), _xlpm.ctrl, OFFSET(PSA.Data!$H192, 0, ($F$2-1)*6 + 1),
_xlpm.int - _xlpm.ctrl)</f>
        <v>-7090.1083160904082</v>
      </c>
      <c r="M190" s="134">
        <f t="shared" ca="1" si="13"/>
        <v>-8678.2397933298744</v>
      </c>
    </row>
    <row r="191" spans="11:13" ht="12" customHeight="1" x14ac:dyDescent="0.25">
      <c r="K191" s="90">
        <f ca="1">_xlfn.LET(_xlpm.int, OFFSET(PSA.Data!$E193, 0, ($F$2-1)*6), _xlpm.ctrl, OFFSET(PSA.Data!$E193, 0, ($F$2-1)*6 + 1),
_xlpm.int - _xlpm.ctrl)</f>
        <v>19428962.858092196</v>
      </c>
      <c r="L191" s="421">
        <f ca="1">_xlfn.LET(_xlpm.int, OFFSET(PSA.Data!$H193, 0, ($F$2-1)*6), _xlpm.ctrl, OFFSET(PSA.Data!$H193, 0, ($F$2-1)*6 + 1),
_xlpm.int - _xlpm.ctrl)</f>
        <v>-5333.6644386745802</v>
      </c>
      <c r="M191" s="134">
        <f t="shared" ca="1" si="13"/>
        <v>-6305.1125815791902</v>
      </c>
    </row>
    <row r="192" spans="11:13" ht="12" customHeight="1" x14ac:dyDescent="0.25">
      <c r="K192" s="90">
        <f ca="1">_xlfn.LET(_xlpm.int, OFFSET(PSA.Data!$E194, 0, ($F$2-1)*6), _xlpm.ctrl, OFFSET(PSA.Data!$E194, 0, ($F$2-1)*6 + 1),
_xlpm.int - _xlpm.ctrl)</f>
        <v>53519030.652915888</v>
      </c>
      <c r="L192" s="421">
        <f ca="1">_xlfn.LET(_xlpm.int, OFFSET(PSA.Data!$H194, 0, ($F$2-1)*6), _xlpm.ctrl, OFFSET(PSA.Data!$H194, 0, ($F$2-1)*6 + 1),
_xlpm.int - _xlpm.ctrl)</f>
        <v>-6502.0597028417133</v>
      </c>
      <c r="M192" s="134">
        <f t="shared" ca="1" si="13"/>
        <v>-9178.0112354875073</v>
      </c>
    </row>
    <row r="193" spans="11:13" ht="12" customHeight="1" x14ac:dyDescent="0.25">
      <c r="K193" s="90">
        <f ca="1">_xlfn.LET(_xlpm.int, OFFSET(PSA.Data!$E195, 0, ($F$2-1)*6), _xlpm.ctrl, OFFSET(PSA.Data!$E195, 0, ($F$2-1)*6 + 1),
_xlpm.int - _xlpm.ctrl)</f>
        <v>27746798.569420494</v>
      </c>
      <c r="L193" s="421">
        <f ca="1">_xlfn.LET(_xlpm.int, OFFSET(PSA.Data!$H195, 0, ($F$2-1)*6), _xlpm.ctrl, OFFSET(PSA.Data!$H195, 0, ($F$2-1)*6 + 1),
_xlpm.int - _xlpm.ctrl)</f>
        <v>-5810.5087152971164</v>
      </c>
      <c r="M193" s="134">
        <f t="shared" ca="1" si="13"/>
        <v>-7197.8486437681413</v>
      </c>
    </row>
    <row r="194" spans="11:13" ht="12" customHeight="1" x14ac:dyDescent="0.25">
      <c r="K194" s="90">
        <f ca="1">_xlfn.LET(_xlpm.int, OFFSET(PSA.Data!$E196, 0, ($F$2-1)*6), _xlpm.ctrl, OFFSET(PSA.Data!$E196, 0, ($F$2-1)*6 + 1),
_xlpm.int - _xlpm.ctrl)</f>
        <v>20510039.402738515</v>
      </c>
      <c r="L194" s="421">
        <f ca="1">_xlfn.LET(_xlpm.int, OFFSET(PSA.Data!$H196, 0, ($F$2-1)*6), _xlpm.ctrl, OFFSET(PSA.Data!$H196, 0, ($F$2-1)*6 + 1),
_xlpm.int - _xlpm.ctrl)</f>
        <v>-5565.5849222458737</v>
      </c>
      <c r="M194" s="134">
        <f t="shared" ca="1" si="13"/>
        <v>-6591.0868923827993</v>
      </c>
    </row>
    <row r="195" spans="11:13" ht="12" customHeight="1" x14ac:dyDescent="0.25">
      <c r="K195" s="90">
        <f ca="1">_xlfn.LET(_xlpm.int, OFFSET(PSA.Data!$E197, 0, ($F$2-1)*6), _xlpm.ctrl, OFFSET(PSA.Data!$E197, 0, ($F$2-1)*6 + 1),
_xlpm.int - _xlpm.ctrl)</f>
        <v>39801923.768879913</v>
      </c>
      <c r="L195" s="421">
        <f ca="1">_xlfn.LET(_xlpm.int, OFFSET(PSA.Data!$H197, 0, ($F$2-1)*6), _xlpm.ctrl, OFFSET(PSA.Data!$H197, 0, ($F$2-1)*6 + 1),
_xlpm.int - _xlpm.ctrl)</f>
        <v>-6250.4148131436659</v>
      </c>
      <c r="M195" s="134">
        <f t="shared" ca="1" si="13"/>
        <v>-8240.5110015876617</v>
      </c>
    </row>
    <row r="196" spans="11:13" ht="12" customHeight="1" x14ac:dyDescent="0.25">
      <c r="K196" s="90">
        <f ca="1">_xlfn.LET(_xlpm.int, OFFSET(PSA.Data!$E198, 0, ($F$2-1)*6), _xlpm.ctrl, OFFSET(PSA.Data!$E198, 0, ($F$2-1)*6 + 1),
_xlpm.int - _xlpm.ctrl)</f>
        <v>36906939.869771414</v>
      </c>
      <c r="L196" s="421">
        <f ca="1">_xlfn.LET(_xlpm.int, OFFSET(PSA.Data!$H198, 0, ($F$2-1)*6), _xlpm.ctrl, OFFSET(PSA.Data!$H198, 0, ($F$2-1)*6 + 1),
_xlpm.int - _xlpm.ctrl)</f>
        <v>-5199.4426751155415</v>
      </c>
      <c r="M196" s="134">
        <f t="shared" ca="1" si="13"/>
        <v>-7044.7896686041122</v>
      </c>
    </row>
    <row r="197" spans="11:13" ht="12" customHeight="1" x14ac:dyDescent="0.25">
      <c r="K197" s="90">
        <f ca="1">_xlfn.LET(_xlpm.int, OFFSET(PSA.Data!$E199, 0, ($F$2-1)*6), _xlpm.ctrl, OFFSET(PSA.Data!$E199, 0, ($F$2-1)*6 + 1),
_xlpm.int - _xlpm.ctrl)</f>
        <v>21511165.854659189</v>
      </c>
      <c r="L197" s="421">
        <f ca="1">_xlfn.LET(_xlpm.int, OFFSET(PSA.Data!$H199, 0, ($F$2-1)*6), _xlpm.ctrl, OFFSET(PSA.Data!$H199, 0, ($F$2-1)*6 + 1),
_xlpm.int - _xlpm.ctrl)</f>
        <v>-3986.4305934533795</v>
      </c>
      <c r="M197" s="134">
        <f t="shared" ca="1" si="13"/>
        <v>-5061.9888861863392</v>
      </c>
    </row>
    <row r="198" spans="11:13" ht="12" customHeight="1" x14ac:dyDescent="0.25">
      <c r="K198" s="90">
        <f ca="1">_xlfn.LET(_xlpm.int, OFFSET(PSA.Data!$E200, 0, ($F$2-1)*6), _xlpm.ctrl, OFFSET(PSA.Data!$E200, 0, ($F$2-1)*6 + 1),
_xlpm.int - _xlpm.ctrl)</f>
        <v>17706294.895348817</v>
      </c>
      <c r="L198" s="421">
        <f ca="1">_xlfn.LET(_xlpm.int, OFFSET(PSA.Data!$H200, 0, ($F$2-1)*6), _xlpm.ctrl, OFFSET(PSA.Data!$H200, 0, ($F$2-1)*6 + 1),
_xlpm.int - _xlpm.ctrl)</f>
        <v>-6833.2456014761956</v>
      </c>
      <c r="M198" s="134">
        <f t="shared" ca="1" si="13"/>
        <v>-7718.5603462436366</v>
      </c>
    </row>
    <row r="199" spans="11:13" ht="12" customHeight="1" x14ac:dyDescent="0.25">
      <c r="K199" s="90">
        <f ca="1">_xlfn.LET(_xlpm.int, OFFSET(PSA.Data!$E201, 0, ($F$2-1)*6), _xlpm.ctrl, OFFSET(PSA.Data!$E201, 0, ($F$2-1)*6 + 1),
_xlpm.int - _xlpm.ctrl)</f>
        <v>45886527.534326226</v>
      </c>
      <c r="L199" s="421">
        <f ca="1">_xlfn.LET(_xlpm.int, OFFSET(PSA.Data!$H201, 0, ($F$2-1)*6), _xlpm.ctrl, OFFSET(PSA.Data!$H201, 0, ($F$2-1)*6 + 1),
_xlpm.int - _xlpm.ctrl)</f>
        <v>-7682.1616061169907</v>
      </c>
      <c r="M199" s="134">
        <f t="shared" ca="1" si="13"/>
        <v>-9976.4879828333014</v>
      </c>
    </row>
    <row r="200" spans="11:13" ht="12" customHeight="1" x14ac:dyDescent="0.25">
      <c r="K200" s="90">
        <f ca="1">_xlfn.LET(_xlpm.int, OFFSET(PSA.Data!$E202, 0, ($F$2-1)*6), _xlpm.ctrl, OFFSET(PSA.Data!$E202, 0, ($F$2-1)*6 + 1),
_xlpm.int - _xlpm.ctrl)</f>
        <v>41331178.582724072</v>
      </c>
      <c r="L200" s="421">
        <f ca="1">_xlfn.LET(_xlpm.int, OFFSET(PSA.Data!$H202, 0, ($F$2-1)*6), _xlpm.ctrl, OFFSET(PSA.Data!$H202, 0, ($F$2-1)*6 + 1),
_xlpm.int - _xlpm.ctrl)</f>
        <v>-6905.460813913819</v>
      </c>
      <c r="M200" s="134">
        <f t="shared" ca="1" si="13"/>
        <v>-8972.019743050023</v>
      </c>
    </row>
    <row r="201" spans="11:13" ht="12" customHeight="1" x14ac:dyDescent="0.25">
      <c r="K201" s="90">
        <f ca="1">_xlfn.LET(_xlpm.int, OFFSET(PSA.Data!$E203, 0, ($F$2-1)*6), _xlpm.ctrl, OFFSET(PSA.Data!$E203, 0, ($F$2-1)*6 + 1),
_xlpm.int - _xlpm.ctrl)</f>
        <v>24094419.88632521</v>
      </c>
      <c r="L201" s="421">
        <f ca="1">_xlfn.LET(_xlpm.int, OFFSET(PSA.Data!$H203, 0, ($F$2-1)*6), _xlpm.ctrl, OFFSET(PSA.Data!$H203, 0, ($F$2-1)*6 + 1),
_xlpm.int - _xlpm.ctrl)</f>
        <v>-6853.1796071955141</v>
      </c>
      <c r="M201" s="134">
        <f t="shared" ca="1" si="13"/>
        <v>-8057.9006015117748</v>
      </c>
    </row>
    <row r="202" spans="11:13" ht="12" customHeight="1" x14ac:dyDescent="0.25">
      <c r="K202" s="90">
        <f ca="1">_xlfn.LET(_xlpm.int, OFFSET(PSA.Data!$E204, 0, ($F$2-1)*6), _xlpm.ctrl, OFFSET(PSA.Data!$E204, 0, ($F$2-1)*6 + 1),
_xlpm.int - _xlpm.ctrl)</f>
        <v>35889343.638713509</v>
      </c>
      <c r="L202" s="421">
        <f ca="1">_xlfn.LET(_xlpm.int, OFFSET(PSA.Data!$H204, 0, ($F$2-1)*6), _xlpm.ctrl, OFFSET(PSA.Data!$H204, 0, ($F$2-1)*6 + 1),
_xlpm.int - _xlpm.ctrl)</f>
        <v>-5400.2028329500899</v>
      </c>
      <c r="M202" s="134">
        <f t="shared" ca="1" si="13"/>
        <v>-7194.6700148857653</v>
      </c>
    </row>
    <row r="203" spans="11:13" ht="12" customHeight="1" x14ac:dyDescent="0.25">
      <c r="K203" s="90">
        <f ca="1">_xlfn.LET(_xlpm.int, OFFSET(PSA.Data!$E205, 0, ($F$2-1)*6), _xlpm.ctrl, OFFSET(PSA.Data!$E205, 0, ($F$2-1)*6 + 1),
_xlpm.int - _xlpm.ctrl)</f>
        <v>31922857.111842647</v>
      </c>
      <c r="L203" s="421">
        <f ca="1">_xlfn.LET(_xlpm.int, OFFSET(PSA.Data!$H205, 0, ($F$2-1)*6), _xlpm.ctrl, OFFSET(PSA.Data!$H205, 0, ($F$2-1)*6 + 1),
_xlpm.int - _xlpm.ctrl)</f>
        <v>-7853.1542704730582</v>
      </c>
      <c r="M203" s="134">
        <f t="shared" ca="1" si="13"/>
        <v>-9449.2971260651902</v>
      </c>
    </row>
    <row r="204" spans="11:13" ht="12" customHeight="1" x14ac:dyDescent="0.25">
      <c r="K204" s="90">
        <f ca="1">_xlfn.LET(_xlpm.int, OFFSET(PSA.Data!$E206, 0, ($F$2-1)*6), _xlpm.ctrl, OFFSET(PSA.Data!$E206, 0, ($F$2-1)*6 + 1),
_xlpm.int - _xlpm.ctrl)</f>
        <v>31966616.71193767</v>
      </c>
      <c r="L204" s="421">
        <f ca="1">_xlfn.LET(_xlpm.int, OFFSET(PSA.Data!$H206, 0, ($F$2-1)*6), _xlpm.ctrl, OFFSET(PSA.Data!$H206, 0, ($F$2-1)*6 + 1),
_xlpm.int - _xlpm.ctrl)</f>
        <v>-5446.4512555603824</v>
      </c>
      <c r="M204" s="134">
        <f t="shared" ca="1" si="13"/>
        <v>-7044.7820911572653</v>
      </c>
    </row>
    <row r="205" spans="11:13" ht="12" customHeight="1" x14ac:dyDescent="0.25">
      <c r="K205" s="90">
        <f ca="1">_xlfn.LET(_xlpm.int, OFFSET(PSA.Data!$E207, 0, ($F$2-1)*6), _xlpm.ctrl, OFFSET(PSA.Data!$E207, 0, ($F$2-1)*6 + 1),
_xlpm.int - _xlpm.ctrl)</f>
        <v>32820641.11160126</v>
      </c>
      <c r="L205" s="421">
        <f ca="1">_xlfn.LET(_xlpm.int, OFFSET(PSA.Data!$H207, 0, ($F$2-1)*6), _xlpm.ctrl, OFFSET(PSA.Data!$H207, 0, ($F$2-1)*6 + 1),
_xlpm.int - _xlpm.ctrl)</f>
        <v>-5532.4302774535054</v>
      </c>
      <c r="M205" s="134">
        <f t="shared" ca="1" si="13"/>
        <v>-7173.462333033568</v>
      </c>
    </row>
    <row r="206" spans="11:13" ht="12" customHeight="1" x14ac:dyDescent="0.25">
      <c r="K206" s="90">
        <f ca="1">_xlfn.LET(_xlpm.int, OFFSET(PSA.Data!$E208, 0, ($F$2-1)*6), _xlpm.ctrl, OFFSET(PSA.Data!$E208, 0, ($F$2-1)*6 + 1),
_xlpm.int - _xlpm.ctrl)</f>
        <v>22529263.35295127</v>
      </c>
      <c r="L206" s="421">
        <f ca="1">_xlfn.LET(_xlpm.int, OFFSET(PSA.Data!$H208, 0, ($F$2-1)*6), _xlpm.ctrl, OFFSET(PSA.Data!$H208, 0, ($F$2-1)*6 + 1),
_xlpm.int - _xlpm.ctrl)</f>
        <v>-5523.306179394669</v>
      </c>
      <c r="M206" s="134">
        <f t="shared" ca="1" si="13"/>
        <v>-6649.7693470422328</v>
      </c>
    </row>
    <row r="207" spans="11:13" ht="12" customHeight="1" x14ac:dyDescent="0.25">
      <c r="K207" s="90">
        <f ca="1">_xlfn.LET(_xlpm.int, OFFSET(PSA.Data!$E209, 0, ($F$2-1)*6), _xlpm.ctrl, OFFSET(PSA.Data!$E209, 0, ($F$2-1)*6 + 1),
_xlpm.int - _xlpm.ctrl)</f>
        <v>23828473.612736665</v>
      </c>
      <c r="L207" s="421">
        <f ca="1">_xlfn.LET(_xlpm.int, OFFSET(PSA.Data!$H209, 0, ($F$2-1)*6), _xlpm.ctrl, OFFSET(PSA.Data!$H209, 0, ($F$2-1)*6 + 1),
_xlpm.int - _xlpm.ctrl)</f>
        <v>-4544.8703787754339</v>
      </c>
      <c r="M207" s="134">
        <f t="shared" ca="1" si="13"/>
        <v>-5736.2940594122674</v>
      </c>
    </row>
    <row r="208" spans="11:13" ht="12" customHeight="1" x14ac:dyDescent="0.25">
      <c r="K208" s="90">
        <f ca="1">_xlfn.LET(_xlpm.int, OFFSET(PSA.Data!$E210, 0, ($F$2-1)*6), _xlpm.ctrl, OFFSET(PSA.Data!$E210, 0, ($F$2-1)*6 + 1),
_xlpm.int - _xlpm.ctrl)</f>
        <v>18623548.82643564</v>
      </c>
      <c r="L208" s="421">
        <f ca="1">_xlfn.LET(_xlpm.int, OFFSET(PSA.Data!$H210, 0, ($F$2-1)*6), _xlpm.ctrl, OFFSET(PSA.Data!$H210, 0, ($F$2-1)*6 + 1),
_xlpm.int - _xlpm.ctrl)</f>
        <v>-4693.6062028680544</v>
      </c>
      <c r="M208" s="134">
        <f t="shared" ref="M208:M271" ca="1" si="14">L208-K208/WTP</f>
        <v>-5624.7836441898362</v>
      </c>
    </row>
    <row r="209" spans="11:13" ht="12" customHeight="1" x14ac:dyDescent="0.25">
      <c r="K209" s="90">
        <f ca="1">_xlfn.LET(_xlpm.int, OFFSET(PSA.Data!$E211, 0, ($F$2-1)*6), _xlpm.ctrl, OFFSET(PSA.Data!$E211, 0, ($F$2-1)*6 + 1),
_xlpm.int - _xlpm.ctrl)</f>
        <v>20687801.832622305</v>
      </c>
      <c r="L209" s="421">
        <f ca="1">_xlfn.LET(_xlpm.int, OFFSET(PSA.Data!$H211, 0, ($F$2-1)*6), _xlpm.ctrl, OFFSET(PSA.Data!$H211, 0, ($F$2-1)*6 + 1),
_xlpm.int - _xlpm.ctrl)</f>
        <v>-4641.7730211175103</v>
      </c>
      <c r="M209" s="134">
        <f t="shared" ca="1" si="14"/>
        <v>-5676.1631127486253</v>
      </c>
    </row>
    <row r="210" spans="11:13" ht="12" customHeight="1" x14ac:dyDescent="0.25">
      <c r="K210" s="90">
        <f ca="1">_xlfn.LET(_xlpm.int, OFFSET(PSA.Data!$E212, 0, ($F$2-1)*6), _xlpm.ctrl, OFFSET(PSA.Data!$E212, 0, ($F$2-1)*6 + 1),
_xlpm.int - _xlpm.ctrl)</f>
        <v>30616579.006680895</v>
      </c>
      <c r="L210" s="421">
        <f ca="1">_xlfn.LET(_xlpm.int, OFFSET(PSA.Data!$H212, 0, ($F$2-1)*6), _xlpm.ctrl, OFFSET(PSA.Data!$H212, 0, ($F$2-1)*6 + 1),
_xlpm.int - _xlpm.ctrl)</f>
        <v>-5995.4068979502035</v>
      </c>
      <c r="M210" s="134">
        <f t="shared" ca="1" si="14"/>
        <v>-7526.2358482842483</v>
      </c>
    </row>
    <row r="211" spans="11:13" ht="12" customHeight="1" x14ac:dyDescent="0.25">
      <c r="K211" s="90">
        <f ca="1">_xlfn.LET(_xlpm.int, OFFSET(PSA.Data!$E213, 0, ($F$2-1)*6), _xlpm.ctrl, OFFSET(PSA.Data!$E213, 0, ($F$2-1)*6 + 1),
_xlpm.int - _xlpm.ctrl)</f>
        <v>11618136.543371493</v>
      </c>
      <c r="L211" s="421">
        <f ca="1">_xlfn.LET(_xlpm.int, OFFSET(PSA.Data!$H213, 0, ($F$2-1)*6), _xlpm.ctrl, OFFSET(PSA.Data!$H213, 0, ($F$2-1)*6 + 1),
_xlpm.int - _xlpm.ctrl)</f>
        <v>-5122.7856512433782</v>
      </c>
      <c r="M211" s="134">
        <f t="shared" ca="1" si="14"/>
        <v>-5703.6924784119528</v>
      </c>
    </row>
    <row r="212" spans="11:13" ht="12" customHeight="1" x14ac:dyDescent="0.25">
      <c r="K212" s="90">
        <f ca="1">_xlfn.LET(_xlpm.int, OFFSET(PSA.Data!$E214, 0, ($F$2-1)*6), _xlpm.ctrl, OFFSET(PSA.Data!$E214, 0, ($F$2-1)*6 + 1),
_xlpm.int - _xlpm.ctrl)</f>
        <v>47184753.14260076</v>
      </c>
      <c r="L212" s="421">
        <f ca="1">_xlfn.LET(_xlpm.int, OFFSET(PSA.Data!$H214, 0, ($F$2-1)*6), _xlpm.ctrl, OFFSET(PSA.Data!$H214, 0, ($F$2-1)*6 + 1),
_xlpm.int - _xlpm.ctrl)</f>
        <v>-6612.0207349088641</v>
      </c>
      <c r="M212" s="134">
        <f t="shared" ca="1" si="14"/>
        <v>-8971.2583920389025</v>
      </c>
    </row>
    <row r="213" spans="11:13" ht="12" customHeight="1" x14ac:dyDescent="0.25">
      <c r="K213" s="90">
        <f ca="1">_xlfn.LET(_xlpm.int, OFFSET(PSA.Data!$E215, 0, ($F$2-1)*6), _xlpm.ctrl, OFFSET(PSA.Data!$E215, 0, ($F$2-1)*6 + 1),
_xlpm.int - _xlpm.ctrl)</f>
        <v>36466885.138250276</v>
      </c>
      <c r="L213" s="421">
        <f ca="1">_xlfn.LET(_xlpm.int, OFFSET(PSA.Data!$H215, 0, ($F$2-1)*6), _xlpm.ctrl, OFFSET(PSA.Data!$H215, 0, ($F$2-1)*6 + 1),
_xlpm.int - _xlpm.ctrl)</f>
        <v>-6914.6654281576557</v>
      </c>
      <c r="M213" s="134">
        <f t="shared" ca="1" si="14"/>
        <v>-8738.0096850701702</v>
      </c>
    </row>
    <row r="214" spans="11:13" ht="12" customHeight="1" x14ac:dyDescent="0.25">
      <c r="K214" s="90">
        <f ca="1">_xlfn.LET(_xlpm.int, OFFSET(PSA.Data!$E216, 0, ($F$2-1)*6), _xlpm.ctrl, OFFSET(PSA.Data!$E216, 0, ($F$2-1)*6 + 1),
_xlpm.int - _xlpm.ctrl)</f>
        <v>46408894.376357786</v>
      </c>
      <c r="L214" s="421">
        <f ca="1">_xlfn.LET(_xlpm.int, OFFSET(PSA.Data!$H216, 0, ($F$2-1)*6), _xlpm.ctrl, OFFSET(PSA.Data!$H216, 0, ($F$2-1)*6 + 1),
_xlpm.int - _xlpm.ctrl)</f>
        <v>-7557.7560348825509</v>
      </c>
      <c r="M214" s="134">
        <f t="shared" ca="1" si="14"/>
        <v>-9878.2007537004392</v>
      </c>
    </row>
    <row r="215" spans="11:13" ht="12" customHeight="1" x14ac:dyDescent="0.25">
      <c r="K215" s="90">
        <f ca="1">_xlfn.LET(_xlpm.int, OFFSET(PSA.Data!$E217, 0, ($F$2-1)*6), _xlpm.ctrl, OFFSET(PSA.Data!$E217, 0, ($F$2-1)*6 + 1),
_xlpm.int - _xlpm.ctrl)</f>
        <v>63345429.400544278</v>
      </c>
      <c r="L215" s="421">
        <f ca="1">_xlfn.LET(_xlpm.int, OFFSET(PSA.Data!$H217, 0, ($F$2-1)*6), _xlpm.ctrl, OFFSET(PSA.Data!$H217, 0, ($F$2-1)*6 + 1),
_xlpm.int - _xlpm.ctrl)</f>
        <v>-8902.2021777887148</v>
      </c>
      <c r="M215" s="134">
        <f t="shared" ca="1" si="14"/>
        <v>-12069.473647815928</v>
      </c>
    </row>
    <row r="216" spans="11:13" ht="12" customHeight="1" x14ac:dyDescent="0.25">
      <c r="K216" s="90">
        <f ca="1">_xlfn.LET(_xlpm.int, OFFSET(PSA.Data!$E218, 0, ($F$2-1)*6), _xlpm.ctrl, OFFSET(PSA.Data!$E218, 0, ($F$2-1)*6 + 1),
_xlpm.int - _xlpm.ctrl)</f>
        <v>32857000.648811173</v>
      </c>
      <c r="L216" s="421">
        <f ca="1">_xlfn.LET(_xlpm.int, OFFSET(PSA.Data!$H218, 0, ($F$2-1)*6), _xlpm.ctrl, OFFSET(PSA.Data!$H218, 0, ($F$2-1)*6 + 1),
_xlpm.int - _xlpm.ctrl)</f>
        <v>-5794.4735418145046</v>
      </c>
      <c r="M216" s="134">
        <f t="shared" ca="1" si="14"/>
        <v>-7437.3235742550632</v>
      </c>
    </row>
    <row r="217" spans="11:13" ht="12" customHeight="1" x14ac:dyDescent="0.25">
      <c r="K217" s="90">
        <f ca="1">_xlfn.LET(_xlpm.int, OFFSET(PSA.Data!$E219, 0, ($F$2-1)*6), _xlpm.ctrl, OFFSET(PSA.Data!$E219, 0, ($F$2-1)*6 + 1),
_xlpm.int - _xlpm.ctrl)</f>
        <v>28329511.732283123</v>
      </c>
      <c r="L217" s="421">
        <f ca="1">_xlfn.LET(_xlpm.int, OFFSET(PSA.Data!$H219, 0, ($F$2-1)*6), _xlpm.ctrl, OFFSET(PSA.Data!$H219, 0, ($F$2-1)*6 + 1),
_xlpm.int - _xlpm.ctrl)</f>
        <v>-5575.7734886920452</v>
      </c>
      <c r="M217" s="134">
        <f t="shared" ca="1" si="14"/>
        <v>-6992.2490753062011</v>
      </c>
    </row>
    <row r="218" spans="11:13" ht="12" customHeight="1" x14ac:dyDescent="0.25">
      <c r="K218" s="90">
        <f ca="1">_xlfn.LET(_xlpm.int, OFFSET(PSA.Data!$E220, 0, ($F$2-1)*6), _xlpm.ctrl, OFFSET(PSA.Data!$E220, 0, ($F$2-1)*6 + 1),
_xlpm.int - _xlpm.ctrl)</f>
        <v>33326174.963394813</v>
      </c>
      <c r="L218" s="421">
        <f ca="1">_xlfn.LET(_xlpm.int, OFFSET(PSA.Data!$H220, 0, ($F$2-1)*6), _xlpm.ctrl, OFFSET(PSA.Data!$H220, 0, ($F$2-1)*6 + 1),
_xlpm.int - _xlpm.ctrl)</f>
        <v>-6679.4767862585231</v>
      </c>
      <c r="M218" s="134">
        <f t="shared" ca="1" si="14"/>
        <v>-8345.7855344282634</v>
      </c>
    </row>
    <row r="219" spans="11:13" ht="12" customHeight="1" x14ac:dyDescent="0.25">
      <c r="K219" s="90">
        <f ca="1">_xlfn.LET(_xlpm.int, OFFSET(PSA.Data!$E221, 0, ($F$2-1)*6), _xlpm.ctrl, OFFSET(PSA.Data!$E221, 0, ($F$2-1)*6 + 1),
_xlpm.int - _xlpm.ctrl)</f>
        <v>50323196.575642601</v>
      </c>
      <c r="L219" s="421">
        <f ca="1">_xlfn.LET(_xlpm.int, OFFSET(PSA.Data!$H221, 0, ($F$2-1)*6), _xlpm.ctrl, OFFSET(PSA.Data!$H221, 0, ($F$2-1)*6 + 1),
_xlpm.int - _xlpm.ctrl)</f>
        <v>-6842.5726447556735</v>
      </c>
      <c r="M219" s="134">
        <f t="shared" ca="1" si="14"/>
        <v>-9358.7324735378024</v>
      </c>
    </row>
    <row r="220" spans="11:13" ht="12" customHeight="1" x14ac:dyDescent="0.25">
      <c r="K220" s="90">
        <f ca="1">_xlfn.LET(_xlpm.int, OFFSET(PSA.Data!$E222, 0, ($F$2-1)*6), _xlpm.ctrl, OFFSET(PSA.Data!$E222, 0, ($F$2-1)*6 + 1),
_xlpm.int - _xlpm.ctrl)</f>
        <v>26452875.856017094</v>
      </c>
      <c r="L220" s="421">
        <f ca="1">_xlfn.LET(_xlpm.int, OFFSET(PSA.Data!$H222, 0, ($F$2-1)*6), _xlpm.ctrl, OFFSET(PSA.Data!$H222, 0, ($F$2-1)*6 + 1),
_xlpm.int - _xlpm.ctrl)</f>
        <v>-6564.5728746368532</v>
      </c>
      <c r="M220" s="134">
        <f t="shared" ca="1" si="14"/>
        <v>-7887.2166674377077</v>
      </c>
    </row>
    <row r="221" spans="11:13" ht="12" customHeight="1" x14ac:dyDescent="0.25">
      <c r="K221" s="90">
        <f ca="1">_xlfn.LET(_xlpm.int, OFFSET(PSA.Data!$E223, 0, ($F$2-1)*6), _xlpm.ctrl, OFFSET(PSA.Data!$E223, 0, ($F$2-1)*6 + 1),
_xlpm.int - _xlpm.ctrl)</f>
        <v>18106329.090756133</v>
      </c>
      <c r="L221" s="421">
        <f ca="1">_xlfn.LET(_xlpm.int, OFFSET(PSA.Data!$H223, 0, ($F$2-1)*6), _xlpm.ctrl, OFFSET(PSA.Data!$H223, 0, ($F$2-1)*6 + 1),
_xlpm.int - _xlpm.ctrl)</f>
        <v>-4744.9044290645552</v>
      </c>
      <c r="M221" s="134">
        <f t="shared" ca="1" si="14"/>
        <v>-5650.2208836023619</v>
      </c>
    </row>
    <row r="222" spans="11:13" ht="12" customHeight="1" x14ac:dyDescent="0.25">
      <c r="K222" s="90">
        <f ca="1">_xlfn.LET(_xlpm.int, OFFSET(PSA.Data!$E224, 0, ($F$2-1)*6), _xlpm.ctrl, OFFSET(PSA.Data!$E224, 0, ($F$2-1)*6 + 1),
_xlpm.int - _xlpm.ctrl)</f>
        <v>58705720.611287318</v>
      </c>
      <c r="L222" s="421">
        <f ca="1">_xlfn.LET(_xlpm.int, OFFSET(PSA.Data!$H224, 0, ($F$2-1)*6), _xlpm.ctrl, OFFSET(PSA.Data!$H224, 0, ($F$2-1)*6 + 1),
_xlpm.int - _xlpm.ctrl)</f>
        <v>-8134.0887794267583</v>
      </c>
      <c r="M222" s="134">
        <f t="shared" ca="1" si="14"/>
        <v>-11069.374809991124</v>
      </c>
    </row>
    <row r="223" spans="11:13" ht="12" customHeight="1" x14ac:dyDescent="0.25">
      <c r="K223" s="90">
        <f ca="1">_xlfn.LET(_xlpm.int, OFFSET(PSA.Data!$E225, 0, ($F$2-1)*6), _xlpm.ctrl, OFFSET(PSA.Data!$E225, 0, ($F$2-1)*6 + 1),
_xlpm.int - _xlpm.ctrl)</f>
        <v>10204347.340956027</v>
      </c>
      <c r="L223" s="421">
        <f ca="1">_xlfn.LET(_xlpm.int, OFFSET(PSA.Data!$H225, 0, ($F$2-1)*6), _xlpm.ctrl, OFFSET(PSA.Data!$H225, 0, ($F$2-1)*6 + 1),
_xlpm.int - _xlpm.ctrl)</f>
        <v>-5554.7186786714219</v>
      </c>
      <c r="M223" s="134">
        <f t="shared" ca="1" si="14"/>
        <v>-6064.9360457192233</v>
      </c>
    </row>
    <row r="224" spans="11:13" ht="12" customHeight="1" x14ac:dyDescent="0.25">
      <c r="K224" s="90">
        <f ca="1">_xlfn.LET(_xlpm.int, OFFSET(PSA.Data!$E226, 0, ($F$2-1)*6), _xlpm.ctrl, OFFSET(PSA.Data!$E226, 0, ($F$2-1)*6 + 1),
_xlpm.int - _xlpm.ctrl)</f>
        <v>26573499.811195876</v>
      </c>
      <c r="L224" s="421">
        <f ca="1">_xlfn.LET(_xlpm.int, OFFSET(PSA.Data!$H226, 0, ($F$2-1)*6), _xlpm.ctrl, OFFSET(PSA.Data!$H226, 0, ($F$2-1)*6 + 1),
_xlpm.int - _xlpm.ctrl)</f>
        <v>-6008.2213107847929</v>
      </c>
      <c r="M224" s="134">
        <f t="shared" ca="1" si="14"/>
        <v>-7336.8963013445864</v>
      </c>
    </row>
    <row r="225" spans="11:13" ht="12" customHeight="1" x14ac:dyDescent="0.25">
      <c r="K225" s="90">
        <f ca="1">_xlfn.LET(_xlpm.int, OFFSET(PSA.Data!$E227, 0, ($F$2-1)*6), _xlpm.ctrl, OFFSET(PSA.Data!$E227, 0, ($F$2-1)*6 + 1),
_xlpm.int - _xlpm.ctrl)</f>
        <v>32906967.007069439</v>
      </c>
      <c r="L225" s="421">
        <f ca="1">_xlfn.LET(_xlpm.int, OFFSET(PSA.Data!$H227, 0, ($F$2-1)*6), _xlpm.ctrl, OFFSET(PSA.Data!$H227, 0, ($F$2-1)*6 + 1),
_xlpm.int - _xlpm.ctrl)</f>
        <v>-5696.1166780083313</v>
      </c>
      <c r="M225" s="134">
        <f t="shared" ca="1" si="14"/>
        <v>-7341.465028361803</v>
      </c>
    </row>
    <row r="226" spans="11:13" ht="12" customHeight="1" x14ac:dyDescent="0.25">
      <c r="K226" s="90">
        <f ca="1">_xlfn.LET(_xlpm.int, OFFSET(PSA.Data!$E228, 0, ($F$2-1)*6), _xlpm.ctrl, OFFSET(PSA.Data!$E228, 0, ($F$2-1)*6 + 1),
_xlpm.int - _xlpm.ctrl)</f>
        <v>44405230.020533241</v>
      </c>
      <c r="L226" s="421">
        <f ca="1">_xlfn.LET(_xlpm.int, OFFSET(PSA.Data!$H228, 0, ($F$2-1)*6), _xlpm.ctrl, OFFSET(PSA.Data!$H228, 0, ($F$2-1)*6 + 1),
_xlpm.int - _xlpm.ctrl)</f>
        <v>-5849.881122509204</v>
      </c>
      <c r="M226" s="134">
        <f t="shared" ca="1" si="14"/>
        <v>-8070.1426235358667</v>
      </c>
    </row>
    <row r="227" spans="11:13" ht="12" customHeight="1" x14ac:dyDescent="0.25">
      <c r="K227" s="90">
        <f ca="1">_xlfn.LET(_xlpm.int, OFFSET(PSA.Data!$E229, 0, ($F$2-1)*6), _xlpm.ctrl, OFFSET(PSA.Data!$E229, 0, ($F$2-1)*6 + 1),
_xlpm.int - _xlpm.ctrl)</f>
        <v>40942853.723867916</v>
      </c>
      <c r="L227" s="421">
        <f ca="1">_xlfn.LET(_xlpm.int, OFFSET(PSA.Data!$H229, 0, ($F$2-1)*6), _xlpm.ctrl, OFFSET(PSA.Data!$H229, 0, ($F$2-1)*6 + 1),
_xlpm.int - _xlpm.ctrl)</f>
        <v>-6700.5646594347063</v>
      </c>
      <c r="M227" s="134">
        <f t="shared" ca="1" si="14"/>
        <v>-8747.7073456281014</v>
      </c>
    </row>
    <row r="228" spans="11:13" ht="12" customHeight="1" x14ac:dyDescent="0.25">
      <c r="K228" s="90">
        <f ca="1">_xlfn.LET(_xlpm.int, OFFSET(PSA.Data!$E230, 0, ($F$2-1)*6), _xlpm.ctrl, OFFSET(PSA.Data!$E230, 0, ($F$2-1)*6 + 1),
_xlpm.int - _xlpm.ctrl)</f>
        <v>26924838.848983094</v>
      </c>
      <c r="L228" s="421">
        <f ca="1">_xlfn.LET(_xlpm.int, OFFSET(PSA.Data!$H230, 0, ($F$2-1)*6), _xlpm.ctrl, OFFSET(PSA.Data!$H230, 0, ($F$2-1)*6 + 1),
_xlpm.int - _xlpm.ctrl)</f>
        <v>-6134.9057882525758</v>
      </c>
      <c r="M228" s="134">
        <f t="shared" ca="1" si="14"/>
        <v>-7481.1477307017303</v>
      </c>
    </row>
    <row r="229" spans="11:13" ht="12" customHeight="1" x14ac:dyDescent="0.25">
      <c r="K229" s="90">
        <f ca="1">_xlfn.LET(_xlpm.int, OFFSET(PSA.Data!$E231, 0, ($F$2-1)*6), _xlpm.ctrl, OFFSET(PSA.Data!$E231, 0, ($F$2-1)*6 + 1),
_xlpm.int - _xlpm.ctrl)</f>
        <v>19399134.53698916</v>
      </c>
      <c r="L229" s="421">
        <f ca="1">_xlfn.LET(_xlpm.int, OFFSET(PSA.Data!$H231, 0, ($F$2-1)*6), _xlpm.ctrl, OFFSET(PSA.Data!$H231, 0, ($F$2-1)*6 + 1),
_xlpm.int - _xlpm.ctrl)</f>
        <v>-6524.6524048921883</v>
      </c>
      <c r="M229" s="134">
        <f t="shared" ca="1" si="14"/>
        <v>-7494.6091317416467</v>
      </c>
    </row>
    <row r="230" spans="11:13" ht="12" customHeight="1" x14ac:dyDescent="0.25">
      <c r="K230" s="90">
        <f ca="1">_xlfn.LET(_xlpm.int, OFFSET(PSA.Data!$E232, 0, ($F$2-1)*6), _xlpm.ctrl, OFFSET(PSA.Data!$E232, 0, ($F$2-1)*6 + 1),
_xlpm.int - _xlpm.ctrl)</f>
        <v>20859726.101182438</v>
      </c>
      <c r="L230" s="421">
        <f ca="1">_xlfn.LET(_xlpm.int, OFFSET(PSA.Data!$H232, 0, ($F$2-1)*6), _xlpm.ctrl, OFFSET(PSA.Data!$H232, 0, ($F$2-1)*6 + 1),
_xlpm.int - _xlpm.ctrl)</f>
        <v>-5947.1587564135389</v>
      </c>
      <c r="M230" s="134">
        <f t="shared" ca="1" si="14"/>
        <v>-6990.1450614726609</v>
      </c>
    </row>
    <row r="231" spans="11:13" ht="12" customHeight="1" x14ac:dyDescent="0.25">
      <c r="K231" s="90">
        <f ca="1">_xlfn.LET(_xlpm.int, OFFSET(PSA.Data!$E233, 0, ($F$2-1)*6), _xlpm.ctrl, OFFSET(PSA.Data!$E233, 0, ($F$2-1)*6 + 1),
_xlpm.int - _xlpm.ctrl)</f>
        <v>49058174.397474609</v>
      </c>
      <c r="L231" s="421">
        <f ca="1">_xlfn.LET(_xlpm.int, OFFSET(PSA.Data!$H233, 0, ($F$2-1)*6), _xlpm.ctrl, OFFSET(PSA.Data!$H233, 0, ($F$2-1)*6 + 1),
_xlpm.int - _xlpm.ctrl)</f>
        <v>-6513.4331376572118</v>
      </c>
      <c r="M231" s="134">
        <f t="shared" ca="1" si="14"/>
        <v>-8966.3418575309424</v>
      </c>
    </row>
    <row r="232" spans="11:13" ht="12" customHeight="1" x14ac:dyDescent="0.25">
      <c r="K232" s="90">
        <f ca="1">_xlfn.LET(_xlpm.int, OFFSET(PSA.Data!$E234, 0, ($F$2-1)*6), _xlpm.ctrl, OFFSET(PSA.Data!$E234, 0, ($F$2-1)*6 + 1),
_xlpm.int - _xlpm.ctrl)</f>
        <v>40732268.191446275</v>
      </c>
      <c r="L232" s="421">
        <f ca="1">_xlfn.LET(_xlpm.int, OFFSET(PSA.Data!$H234, 0, ($F$2-1)*6), _xlpm.ctrl, OFFSET(PSA.Data!$H234, 0, ($F$2-1)*6 + 1),
_xlpm.int - _xlpm.ctrl)</f>
        <v>-5757.346940587403</v>
      </c>
      <c r="M232" s="134">
        <f t="shared" ca="1" si="14"/>
        <v>-7793.9603501597167</v>
      </c>
    </row>
    <row r="233" spans="11:13" ht="12" customHeight="1" x14ac:dyDescent="0.25">
      <c r="K233" s="90">
        <f ca="1">_xlfn.LET(_xlpm.int, OFFSET(PSA.Data!$E235, 0, ($F$2-1)*6), _xlpm.ctrl, OFFSET(PSA.Data!$E235, 0, ($F$2-1)*6 + 1),
_xlpm.int - _xlpm.ctrl)</f>
        <v>16177882.550599627</v>
      </c>
      <c r="L233" s="421">
        <f ca="1">_xlfn.LET(_xlpm.int, OFFSET(PSA.Data!$H235, 0, ($F$2-1)*6), _xlpm.ctrl, OFFSET(PSA.Data!$H235, 0, ($F$2-1)*6 + 1),
_xlpm.int - _xlpm.ctrl)</f>
        <v>-5153.4868325680964</v>
      </c>
      <c r="M233" s="134">
        <f t="shared" ca="1" si="14"/>
        <v>-5962.3809600980776</v>
      </c>
    </row>
    <row r="234" spans="11:13" ht="12" customHeight="1" x14ac:dyDescent="0.25">
      <c r="K234" s="90">
        <f ca="1">_xlfn.LET(_xlpm.int, OFFSET(PSA.Data!$E236, 0, ($F$2-1)*6), _xlpm.ctrl, OFFSET(PSA.Data!$E236, 0, ($F$2-1)*6 + 1),
_xlpm.int - _xlpm.ctrl)</f>
        <v>37511007.167659983</v>
      </c>
      <c r="L234" s="421">
        <f ca="1">_xlfn.LET(_xlpm.int, OFFSET(PSA.Data!$H236, 0, ($F$2-1)*6), _xlpm.ctrl, OFFSET(PSA.Data!$H236, 0, ($F$2-1)*6 + 1),
_xlpm.int - _xlpm.ctrl)</f>
        <v>-8097.2117704493503</v>
      </c>
      <c r="M234" s="134">
        <f t="shared" ca="1" si="14"/>
        <v>-9972.7621288323498</v>
      </c>
    </row>
    <row r="235" spans="11:13" ht="12" customHeight="1" x14ac:dyDescent="0.25">
      <c r="K235" s="90">
        <f ca="1">_xlfn.LET(_xlpm.int, OFFSET(PSA.Data!$E237, 0, ($F$2-1)*6), _xlpm.ctrl, OFFSET(PSA.Data!$E237, 0, ($F$2-1)*6 + 1),
_xlpm.int - _xlpm.ctrl)</f>
        <v>26888703.888905033</v>
      </c>
      <c r="L235" s="421">
        <f ca="1">_xlfn.LET(_xlpm.int, OFFSET(PSA.Data!$H237, 0, ($F$2-1)*6), _xlpm.ctrl, OFFSET(PSA.Data!$H237, 0, ($F$2-1)*6 + 1),
_xlpm.int - _xlpm.ctrl)</f>
        <v>-6126.4867293194284</v>
      </c>
      <c r="M235" s="134">
        <f t="shared" ca="1" si="14"/>
        <v>-7470.9219237646803</v>
      </c>
    </row>
    <row r="236" spans="11:13" ht="12" customHeight="1" x14ac:dyDescent="0.25">
      <c r="K236" s="90">
        <f ca="1">_xlfn.LET(_xlpm.int, OFFSET(PSA.Data!$E238, 0, ($F$2-1)*6), _xlpm.ctrl, OFFSET(PSA.Data!$E238, 0, ($F$2-1)*6 + 1),
_xlpm.int - _xlpm.ctrl)</f>
        <v>29920228.023429502</v>
      </c>
      <c r="L236" s="421">
        <f ca="1">_xlfn.LET(_xlpm.int, OFFSET(PSA.Data!$H238, 0, ($F$2-1)*6), _xlpm.ctrl, OFFSET(PSA.Data!$H238, 0, ($F$2-1)*6 + 1),
_xlpm.int - _xlpm.ctrl)</f>
        <v>-6461.2838398665044</v>
      </c>
      <c r="M236" s="134">
        <f t="shared" ca="1" si="14"/>
        <v>-7957.2952410379794</v>
      </c>
    </row>
    <row r="237" spans="11:13" ht="12" customHeight="1" x14ac:dyDescent="0.25">
      <c r="K237" s="90">
        <f ca="1">_xlfn.LET(_xlpm.int, OFFSET(PSA.Data!$E239, 0, ($F$2-1)*6), _xlpm.ctrl, OFFSET(PSA.Data!$E239, 0, ($F$2-1)*6 + 1),
_xlpm.int - _xlpm.ctrl)</f>
        <v>18556619.711635429</v>
      </c>
      <c r="L237" s="421">
        <f ca="1">_xlfn.LET(_xlpm.int, OFFSET(PSA.Data!$H239, 0, ($F$2-1)*6), _xlpm.ctrl, OFFSET(PSA.Data!$H239, 0, ($F$2-1)*6 + 1),
_xlpm.int - _xlpm.ctrl)</f>
        <v>-5342.1208756970882</v>
      </c>
      <c r="M237" s="134">
        <f t="shared" ca="1" si="14"/>
        <v>-6269.9518612788597</v>
      </c>
    </row>
    <row r="238" spans="11:13" ht="12" customHeight="1" x14ac:dyDescent="0.25">
      <c r="K238" s="90">
        <f ca="1">_xlfn.LET(_xlpm.int, OFFSET(PSA.Data!$E240, 0, ($F$2-1)*6), _xlpm.ctrl, OFFSET(PSA.Data!$E240, 0, ($F$2-1)*6 + 1),
_xlpm.int - _xlpm.ctrl)</f>
        <v>44107046.007748388</v>
      </c>
      <c r="L238" s="421">
        <f ca="1">_xlfn.LET(_xlpm.int, OFFSET(PSA.Data!$H240, 0, ($F$2-1)*6), _xlpm.ctrl, OFFSET(PSA.Data!$H240, 0, ($F$2-1)*6 + 1),
_xlpm.int - _xlpm.ctrl)</f>
        <v>-6981.871273591938</v>
      </c>
      <c r="M238" s="134">
        <f t="shared" ca="1" si="14"/>
        <v>-9187.2235739793578</v>
      </c>
    </row>
    <row r="239" spans="11:13" ht="12" customHeight="1" x14ac:dyDescent="0.25">
      <c r="K239" s="90">
        <f ca="1">_xlfn.LET(_xlpm.int, OFFSET(PSA.Data!$E241, 0, ($F$2-1)*6), _xlpm.ctrl, OFFSET(PSA.Data!$E241, 0, ($F$2-1)*6 + 1),
_xlpm.int - _xlpm.ctrl)</f>
        <v>22251388.190524079</v>
      </c>
      <c r="L239" s="421">
        <f ca="1">_xlfn.LET(_xlpm.int, OFFSET(PSA.Data!$H241, 0, ($F$2-1)*6), _xlpm.ctrl, OFFSET(PSA.Data!$H241, 0, ($F$2-1)*6 + 1),
_xlpm.int - _xlpm.ctrl)</f>
        <v>-5269.5639917113394</v>
      </c>
      <c r="M239" s="134">
        <f t="shared" ca="1" si="14"/>
        <v>-6382.1334012375437</v>
      </c>
    </row>
    <row r="240" spans="11:13" ht="12" customHeight="1" x14ac:dyDescent="0.25">
      <c r="K240" s="90">
        <f ca="1">_xlfn.LET(_xlpm.int, OFFSET(PSA.Data!$E242, 0, ($F$2-1)*6), _xlpm.ctrl, OFFSET(PSA.Data!$E242, 0, ($F$2-1)*6 + 1),
_xlpm.int - _xlpm.ctrl)</f>
        <v>38597493.08765652</v>
      </c>
      <c r="L240" s="421">
        <f ca="1">_xlfn.LET(_xlpm.int, OFFSET(PSA.Data!$H242, 0, ($F$2-1)*6), _xlpm.ctrl, OFFSET(PSA.Data!$H242, 0, ($F$2-1)*6 + 1),
_xlpm.int - _xlpm.ctrl)</f>
        <v>-7490.6144124606717</v>
      </c>
      <c r="M240" s="134">
        <f t="shared" ca="1" si="14"/>
        <v>-9420.4890668434982</v>
      </c>
    </row>
    <row r="241" spans="11:13" ht="12" customHeight="1" x14ac:dyDescent="0.25">
      <c r="K241" s="90">
        <f ca="1">_xlfn.LET(_xlpm.int, OFFSET(PSA.Data!$E243, 0, ($F$2-1)*6), _xlpm.ctrl, OFFSET(PSA.Data!$E243, 0, ($F$2-1)*6 + 1),
_xlpm.int - _xlpm.ctrl)</f>
        <v>25704287.063759021</v>
      </c>
      <c r="L241" s="421">
        <f ca="1">_xlfn.LET(_xlpm.int, OFFSET(PSA.Data!$H243, 0, ($F$2-1)*6), _xlpm.ctrl, OFFSET(PSA.Data!$H243, 0, ($F$2-1)*6 + 1),
_xlpm.int - _xlpm.ctrl)</f>
        <v>-7764.3096109701128</v>
      </c>
      <c r="M241" s="134">
        <f t="shared" ca="1" si="14"/>
        <v>-9049.5239641580629</v>
      </c>
    </row>
    <row r="242" spans="11:13" ht="12" customHeight="1" x14ac:dyDescent="0.25">
      <c r="K242" s="90">
        <f ca="1">_xlfn.LET(_xlpm.int, OFFSET(PSA.Data!$E244, 0, ($F$2-1)*6), _xlpm.ctrl, OFFSET(PSA.Data!$E244, 0, ($F$2-1)*6 + 1),
_xlpm.int - _xlpm.ctrl)</f>
        <v>46077381.123244919</v>
      </c>
      <c r="L242" s="421">
        <f ca="1">_xlfn.LET(_xlpm.int, OFFSET(PSA.Data!$H244, 0, ($F$2-1)*6), _xlpm.ctrl, OFFSET(PSA.Data!$H244, 0, ($F$2-1)*6 + 1),
_xlpm.int - _xlpm.ctrl)</f>
        <v>-6878.5566248773021</v>
      </c>
      <c r="M242" s="134">
        <f t="shared" ca="1" si="14"/>
        <v>-9182.4256810395491</v>
      </c>
    </row>
    <row r="243" spans="11:13" ht="12" customHeight="1" x14ac:dyDescent="0.25">
      <c r="K243" s="90">
        <f ca="1">_xlfn.LET(_xlpm.int, OFFSET(PSA.Data!$E245, 0, ($F$2-1)*6), _xlpm.ctrl, OFFSET(PSA.Data!$E245, 0, ($F$2-1)*6 + 1),
_xlpm.int - _xlpm.ctrl)</f>
        <v>24747017.29740053</v>
      </c>
      <c r="L243" s="421">
        <f ca="1">_xlfn.LET(_xlpm.int, OFFSET(PSA.Data!$H245, 0, ($F$2-1)*6), _xlpm.ctrl, OFFSET(PSA.Data!$H245, 0, ($F$2-1)*6 + 1),
_xlpm.int - _xlpm.ctrl)</f>
        <v>-4875.0631383731416</v>
      </c>
      <c r="M243" s="134">
        <f t="shared" ca="1" si="14"/>
        <v>-6112.4140032431678</v>
      </c>
    </row>
    <row r="244" spans="11:13" ht="12" customHeight="1" x14ac:dyDescent="0.25">
      <c r="K244" s="90">
        <f ca="1">_xlfn.LET(_xlpm.int, OFFSET(PSA.Data!$E246, 0, ($F$2-1)*6), _xlpm.ctrl, OFFSET(PSA.Data!$E246, 0, ($F$2-1)*6 + 1),
_xlpm.int - _xlpm.ctrl)</f>
        <v>22765316.582993872</v>
      </c>
      <c r="L244" s="421">
        <f ca="1">_xlfn.LET(_xlpm.int, OFFSET(PSA.Data!$H246, 0, ($F$2-1)*6), _xlpm.ctrl, OFFSET(PSA.Data!$H246, 0, ($F$2-1)*6 + 1),
_xlpm.int - _xlpm.ctrl)</f>
        <v>-5092.993049667255</v>
      </c>
      <c r="M244" s="134">
        <f t="shared" ca="1" si="14"/>
        <v>-6231.2588788169487</v>
      </c>
    </row>
    <row r="245" spans="11:13" ht="12" customHeight="1" x14ac:dyDescent="0.25">
      <c r="K245" s="90">
        <f ca="1">_xlfn.LET(_xlpm.int, OFFSET(PSA.Data!$E247, 0, ($F$2-1)*6), _xlpm.ctrl, OFFSET(PSA.Data!$E247, 0, ($F$2-1)*6 + 1),
_xlpm.int - _xlpm.ctrl)</f>
        <v>14714787.215391235</v>
      </c>
      <c r="L245" s="421">
        <f ca="1">_xlfn.LET(_xlpm.int, OFFSET(PSA.Data!$H247, 0, ($F$2-1)*6), _xlpm.ctrl, OFFSET(PSA.Data!$H247, 0, ($F$2-1)*6 + 1),
_xlpm.int - _xlpm.ctrl)</f>
        <v>-4321.0917378372378</v>
      </c>
      <c r="M245" s="134">
        <f t="shared" ca="1" si="14"/>
        <v>-5056.8310986068</v>
      </c>
    </row>
    <row r="246" spans="11:13" ht="12" customHeight="1" x14ac:dyDescent="0.25">
      <c r="K246" s="90">
        <f ca="1">_xlfn.LET(_xlpm.int, OFFSET(PSA.Data!$E248, 0, ($F$2-1)*6), _xlpm.ctrl, OFFSET(PSA.Data!$E248, 0, ($F$2-1)*6 + 1),
_xlpm.int - _xlpm.ctrl)</f>
        <v>30281771.473104235</v>
      </c>
      <c r="L246" s="421">
        <f ca="1">_xlfn.LET(_xlpm.int, OFFSET(PSA.Data!$H248, 0, ($F$2-1)*6), _xlpm.ctrl, OFFSET(PSA.Data!$H248, 0, ($F$2-1)*6 + 1),
_xlpm.int - _xlpm.ctrl)</f>
        <v>-6349.7889858236922</v>
      </c>
      <c r="M246" s="134">
        <f t="shared" ca="1" si="14"/>
        <v>-7863.877559478904</v>
      </c>
    </row>
    <row r="247" spans="11:13" ht="12" customHeight="1" x14ac:dyDescent="0.25">
      <c r="K247" s="90">
        <f ca="1">_xlfn.LET(_xlpm.int, OFFSET(PSA.Data!$E249, 0, ($F$2-1)*6), _xlpm.ctrl, OFFSET(PSA.Data!$E249, 0, ($F$2-1)*6 + 1),
_xlpm.int - _xlpm.ctrl)</f>
        <v>52313195.154190943</v>
      </c>
      <c r="L247" s="421">
        <f ca="1">_xlfn.LET(_xlpm.int, OFFSET(PSA.Data!$H249, 0, ($F$2-1)*6), _xlpm.ctrl, OFFSET(PSA.Data!$H249, 0, ($F$2-1)*6 + 1),
_xlpm.int - _xlpm.ctrl)</f>
        <v>-6732.5708436831073</v>
      </c>
      <c r="M247" s="134">
        <f t="shared" ca="1" si="14"/>
        <v>-9348.2306013926536</v>
      </c>
    </row>
    <row r="248" spans="11:13" ht="12" customHeight="1" x14ac:dyDescent="0.25">
      <c r="K248" s="90">
        <f ca="1">_xlfn.LET(_xlpm.int, OFFSET(PSA.Data!$E250, 0, ($F$2-1)*6), _xlpm.ctrl, OFFSET(PSA.Data!$E250, 0, ($F$2-1)*6 + 1),
_xlpm.int - _xlpm.ctrl)</f>
        <v>46176444.052227512</v>
      </c>
      <c r="L248" s="421">
        <f ca="1">_xlfn.LET(_xlpm.int, OFFSET(PSA.Data!$H250, 0, ($F$2-1)*6), _xlpm.ctrl, OFFSET(PSA.Data!$H250, 0, ($F$2-1)*6 + 1),
_xlpm.int - _xlpm.ctrl)</f>
        <v>-7035.42530628434</v>
      </c>
      <c r="M248" s="134">
        <f t="shared" ca="1" si="14"/>
        <v>-9344.2475088957162</v>
      </c>
    </row>
    <row r="249" spans="11:13" ht="12" customHeight="1" x14ac:dyDescent="0.25">
      <c r="K249" s="90">
        <f ca="1">_xlfn.LET(_xlpm.int, OFFSET(PSA.Data!$E251, 0, ($F$2-1)*6), _xlpm.ctrl, OFFSET(PSA.Data!$E251, 0, ($F$2-1)*6 + 1),
_xlpm.int - _xlpm.ctrl)</f>
        <v>27282440.655486763</v>
      </c>
      <c r="L249" s="421">
        <f ca="1">_xlfn.LET(_xlpm.int, OFFSET(PSA.Data!$H251, 0, ($F$2-1)*6), _xlpm.ctrl, OFFSET(PSA.Data!$H251, 0, ($F$2-1)*6 + 1),
_xlpm.int - _xlpm.ctrl)</f>
        <v>-6180.1016533970151</v>
      </c>
      <c r="M249" s="134">
        <f t="shared" ca="1" si="14"/>
        <v>-7544.2236861713536</v>
      </c>
    </row>
    <row r="250" spans="11:13" ht="12" customHeight="1" x14ac:dyDescent="0.25">
      <c r="K250" s="90">
        <f ca="1">_xlfn.LET(_xlpm.int, OFFSET(PSA.Data!$E252, 0, ($F$2-1)*6), _xlpm.ctrl, OFFSET(PSA.Data!$E252, 0, ($F$2-1)*6 + 1),
_xlpm.int - _xlpm.ctrl)</f>
        <v>48772254.793270931</v>
      </c>
      <c r="L250" s="421">
        <f ca="1">_xlfn.LET(_xlpm.int, OFFSET(PSA.Data!$H252, 0, ($F$2-1)*6), _xlpm.ctrl, OFFSET(PSA.Data!$H252, 0, ($F$2-1)*6 + 1),
_xlpm.int - _xlpm.ctrl)</f>
        <v>-6834.9294377881888</v>
      </c>
      <c r="M250" s="134">
        <f t="shared" ca="1" si="14"/>
        <v>-9273.5421774517345</v>
      </c>
    </row>
    <row r="251" spans="11:13" ht="12" customHeight="1" x14ac:dyDescent="0.25">
      <c r="K251" s="90">
        <f ca="1">_xlfn.LET(_xlpm.int, OFFSET(PSA.Data!$E253, 0, ($F$2-1)*6), _xlpm.ctrl, OFFSET(PSA.Data!$E253, 0, ($F$2-1)*6 + 1),
_xlpm.int - _xlpm.ctrl)</f>
        <v>43572916.819762394</v>
      </c>
      <c r="L251" s="421">
        <f ca="1">_xlfn.LET(_xlpm.int, OFFSET(PSA.Data!$H253, 0, ($F$2-1)*6), _xlpm.ctrl, OFFSET(PSA.Data!$H253, 0, ($F$2-1)*6 + 1),
_xlpm.int - _xlpm.ctrl)</f>
        <v>-7271.0284336472469</v>
      </c>
      <c r="M251" s="134">
        <f t="shared" ca="1" si="14"/>
        <v>-9449.6742746353666</v>
      </c>
    </row>
    <row r="252" spans="11:13" ht="12" customHeight="1" x14ac:dyDescent="0.25">
      <c r="K252" s="90">
        <f ca="1">_xlfn.LET(_xlpm.int, OFFSET(PSA.Data!$E254, 0, ($F$2-1)*6), _xlpm.ctrl, OFFSET(PSA.Data!$E254, 0, ($F$2-1)*6 + 1),
_xlpm.int - _xlpm.ctrl)</f>
        <v>14801626.286264632</v>
      </c>
      <c r="L252" s="421">
        <f ca="1">_xlfn.LET(_xlpm.int, OFFSET(PSA.Data!$H254, 0, ($F$2-1)*6), _xlpm.ctrl, OFFSET(PSA.Data!$H254, 0, ($F$2-1)*6 + 1),
_xlpm.int - _xlpm.ctrl)</f>
        <v>-6514.8174977333383</v>
      </c>
      <c r="M252" s="134">
        <f t="shared" ca="1" si="14"/>
        <v>-7254.8988120465701</v>
      </c>
    </row>
    <row r="253" spans="11:13" ht="12" customHeight="1" x14ac:dyDescent="0.25">
      <c r="K253" s="90">
        <f ca="1">_xlfn.LET(_xlpm.int, OFFSET(PSA.Data!$E255, 0, ($F$2-1)*6), _xlpm.ctrl, OFFSET(PSA.Data!$E255, 0, ($F$2-1)*6 + 1),
_xlpm.int - _xlpm.ctrl)</f>
        <v>18729768.19885141</v>
      </c>
      <c r="L253" s="421">
        <f ca="1">_xlfn.LET(_xlpm.int, OFFSET(PSA.Data!$H255, 0, ($F$2-1)*6), _xlpm.ctrl, OFFSET(PSA.Data!$H255, 0, ($F$2-1)*6 + 1),
_xlpm.int - _xlpm.ctrl)</f>
        <v>-5193.8204010914778</v>
      </c>
      <c r="M253" s="134">
        <f t="shared" ca="1" si="14"/>
        <v>-6130.3088110340486</v>
      </c>
    </row>
    <row r="254" spans="11:13" ht="12" customHeight="1" x14ac:dyDescent="0.25">
      <c r="K254" s="90">
        <f ca="1">_xlfn.LET(_xlpm.int, OFFSET(PSA.Data!$E256, 0, ($F$2-1)*6), _xlpm.ctrl, OFFSET(PSA.Data!$E256, 0, ($F$2-1)*6 + 1),
_xlpm.int - _xlpm.ctrl)</f>
        <v>24530209.248521596</v>
      </c>
      <c r="L254" s="421">
        <f ca="1">_xlfn.LET(_xlpm.int, OFFSET(PSA.Data!$H256, 0, ($F$2-1)*6), _xlpm.ctrl, OFFSET(PSA.Data!$H256, 0, ($F$2-1)*6 + 1),
_xlpm.int - _xlpm.ctrl)</f>
        <v>-5120.6019603673576</v>
      </c>
      <c r="M254" s="134">
        <f t="shared" ca="1" si="14"/>
        <v>-6347.1124227934379</v>
      </c>
    </row>
    <row r="255" spans="11:13" ht="12" customHeight="1" x14ac:dyDescent="0.25">
      <c r="K255" s="90">
        <f ca="1">_xlfn.LET(_xlpm.int, OFFSET(PSA.Data!$E257, 0, ($F$2-1)*6), _xlpm.ctrl, OFFSET(PSA.Data!$E257, 0, ($F$2-1)*6 + 1),
_xlpm.int - _xlpm.ctrl)</f>
        <v>36019085.449764304</v>
      </c>
      <c r="L255" s="421">
        <f ca="1">_xlfn.LET(_xlpm.int, OFFSET(PSA.Data!$H257, 0, ($F$2-1)*6), _xlpm.ctrl, OFFSET(PSA.Data!$H257, 0, ($F$2-1)*6 + 1),
_xlpm.int - _xlpm.ctrl)</f>
        <v>-6537.1822176314836</v>
      </c>
      <c r="M255" s="134">
        <f t="shared" ca="1" si="14"/>
        <v>-8338.1364901196994</v>
      </c>
    </row>
    <row r="256" spans="11:13" ht="12" customHeight="1" x14ac:dyDescent="0.25">
      <c r="K256" s="90">
        <f ca="1">_xlfn.LET(_xlpm.int, OFFSET(PSA.Data!$E258, 0, ($F$2-1)*6), _xlpm.ctrl, OFFSET(PSA.Data!$E258, 0, ($F$2-1)*6 + 1),
_xlpm.int - _xlpm.ctrl)</f>
        <v>40062822.634011902</v>
      </c>
      <c r="L256" s="421">
        <f ca="1">_xlfn.LET(_xlpm.int, OFFSET(PSA.Data!$H258, 0, ($F$2-1)*6), _xlpm.ctrl, OFFSET(PSA.Data!$H258, 0, ($F$2-1)*6 + 1),
_xlpm.int - _xlpm.ctrl)</f>
        <v>-7782.8148234012715</v>
      </c>
      <c r="M256" s="134">
        <f t="shared" ca="1" si="14"/>
        <v>-9785.9559551018665</v>
      </c>
    </row>
    <row r="257" spans="11:13" ht="12" customHeight="1" x14ac:dyDescent="0.25">
      <c r="K257" s="90">
        <f ca="1">_xlfn.LET(_xlpm.int, OFFSET(PSA.Data!$E259, 0, ($F$2-1)*6), _xlpm.ctrl, OFFSET(PSA.Data!$E259, 0, ($F$2-1)*6 + 1),
_xlpm.int - _xlpm.ctrl)</f>
        <v>30837863.279850751</v>
      </c>
      <c r="L257" s="421">
        <f ca="1">_xlfn.LET(_xlpm.int, OFFSET(PSA.Data!$H259, 0, ($F$2-1)*6), _xlpm.ctrl, OFFSET(PSA.Data!$H259, 0, ($F$2-1)*6 + 1),
_xlpm.int - _xlpm.ctrl)</f>
        <v>-7613.7203312659622</v>
      </c>
      <c r="M257" s="134">
        <f t="shared" ca="1" si="14"/>
        <v>-9155.6134952584998</v>
      </c>
    </row>
    <row r="258" spans="11:13" ht="12" customHeight="1" x14ac:dyDescent="0.25">
      <c r="K258" s="90">
        <f ca="1">_xlfn.LET(_xlpm.int, OFFSET(PSA.Data!$E260, 0, ($F$2-1)*6), _xlpm.ctrl, OFFSET(PSA.Data!$E260, 0, ($F$2-1)*6 + 1),
_xlpm.int - _xlpm.ctrl)</f>
        <v>16490644.015561622</v>
      </c>
      <c r="L258" s="421">
        <f ca="1">_xlfn.LET(_xlpm.int, OFFSET(PSA.Data!$H260, 0, ($F$2-1)*6), _xlpm.ctrl, OFFSET(PSA.Data!$H260, 0, ($F$2-1)*6 + 1),
_xlpm.int - _xlpm.ctrl)</f>
        <v>-5483.5991937078088</v>
      </c>
      <c r="M258" s="134">
        <f t="shared" ca="1" si="14"/>
        <v>-6308.1313944858903</v>
      </c>
    </row>
    <row r="259" spans="11:13" ht="12" customHeight="1" x14ac:dyDescent="0.25">
      <c r="K259" s="90">
        <f ca="1">_xlfn.LET(_xlpm.int, OFFSET(PSA.Data!$E261, 0, ($F$2-1)*6), _xlpm.ctrl, OFFSET(PSA.Data!$E261, 0, ($F$2-1)*6 + 1),
_xlpm.int - _xlpm.ctrl)</f>
        <v>16528738.476052452</v>
      </c>
      <c r="L259" s="421">
        <f ca="1">_xlfn.LET(_xlpm.int, OFFSET(PSA.Data!$H261, 0, ($F$2-1)*6), _xlpm.ctrl, OFFSET(PSA.Data!$H261, 0, ($F$2-1)*6 + 1),
_xlpm.int - _xlpm.ctrl)</f>
        <v>-5985.0636023136731</v>
      </c>
      <c r="M259" s="134">
        <f t="shared" ca="1" si="14"/>
        <v>-6811.500526116296</v>
      </c>
    </row>
    <row r="260" spans="11:13" ht="12" customHeight="1" x14ac:dyDescent="0.25">
      <c r="K260" s="90">
        <f ca="1">_xlfn.LET(_xlpm.int, OFFSET(PSA.Data!$E262, 0, ($F$2-1)*6), _xlpm.ctrl, OFFSET(PSA.Data!$E262, 0, ($F$2-1)*6 + 1),
_xlpm.int - _xlpm.ctrl)</f>
        <v>31628910.874777615</v>
      </c>
      <c r="L260" s="421">
        <f ca="1">_xlfn.LET(_xlpm.int, OFFSET(PSA.Data!$H262, 0, ($F$2-1)*6), _xlpm.ctrl, OFFSET(PSA.Data!$H262, 0, ($F$2-1)*6 + 1),
_xlpm.int - _xlpm.ctrl)</f>
        <v>-6050.7949150674376</v>
      </c>
      <c r="M260" s="134">
        <f t="shared" ca="1" si="14"/>
        <v>-7632.2404588063182</v>
      </c>
    </row>
    <row r="261" spans="11:13" ht="12" customHeight="1" x14ac:dyDescent="0.25">
      <c r="K261" s="90">
        <f ca="1">_xlfn.LET(_xlpm.int, OFFSET(PSA.Data!$E263, 0, ($F$2-1)*6), _xlpm.ctrl, OFFSET(PSA.Data!$E263, 0, ($F$2-1)*6 + 1),
_xlpm.int - _xlpm.ctrl)</f>
        <v>25390975.309299175</v>
      </c>
      <c r="L261" s="421">
        <f ca="1">_xlfn.LET(_xlpm.int, OFFSET(PSA.Data!$H263, 0, ($F$2-1)*6), _xlpm.ctrl, OFFSET(PSA.Data!$H263, 0, ($F$2-1)*6 + 1),
_xlpm.int - _xlpm.ctrl)</f>
        <v>-5297.5759712273657</v>
      </c>
      <c r="M261" s="134">
        <f t="shared" ca="1" si="14"/>
        <v>-6567.1247366923244</v>
      </c>
    </row>
    <row r="262" spans="11:13" ht="12" customHeight="1" x14ac:dyDescent="0.25">
      <c r="K262" s="90">
        <f ca="1">_xlfn.LET(_xlpm.int, OFFSET(PSA.Data!$E264, 0, ($F$2-1)*6), _xlpm.ctrl, OFFSET(PSA.Data!$E264, 0, ($F$2-1)*6 + 1),
_xlpm.int - _xlpm.ctrl)</f>
        <v>24247351.987138525</v>
      </c>
      <c r="L262" s="421">
        <f ca="1">_xlfn.LET(_xlpm.int, OFFSET(PSA.Data!$H264, 0, ($F$2-1)*6), _xlpm.ctrl, OFFSET(PSA.Data!$H264, 0, ($F$2-1)*6 + 1),
_xlpm.int - _xlpm.ctrl)</f>
        <v>-5708.3216745442878</v>
      </c>
      <c r="M262" s="134">
        <f t="shared" ca="1" si="14"/>
        <v>-6920.6892739012137</v>
      </c>
    </row>
    <row r="263" spans="11:13" ht="12" customHeight="1" x14ac:dyDescent="0.25">
      <c r="K263" s="90">
        <f ca="1">_xlfn.LET(_xlpm.int, OFFSET(PSA.Data!$E265, 0, ($F$2-1)*6), _xlpm.ctrl, OFFSET(PSA.Data!$E265, 0, ($F$2-1)*6 + 1),
_xlpm.int - _xlpm.ctrl)</f>
        <v>41724129.859078407</v>
      </c>
      <c r="L263" s="421">
        <f ca="1">_xlfn.LET(_xlpm.int, OFFSET(PSA.Data!$H265, 0, ($F$2-1)*6), _xlpm.ctrl, OFFSET(PSA.Data!$H265, 0, ($F$2-1)*6 + 1),
_xlpm.int - _xlpm.ctrl)</f>
        <v>-5657.4877610037756</v>
      </c>
      <c r="M263" s="134">
        <f t="shared" ca="1" si="14"/>
        <v>-7743.6942539576958</v>
      </c>
    </row>
    <row r="264" spans="11:13" ht="12" customHeight="1" x14ac:dyDescent="0.25">
      <c r="K264" s="90">
        <f ca="1">_xlfn.LET(_xlpm.int, OFFSET(PSA.Data!$E266, 0, ($F$2-1)*6), _xlpm.ctrl, OFFSET(PSA.Data!$E266, 0, ($F$2-1)*6 + 1),
_xlpm.int - _xlpm.ctrl)</f>
        <v>46766768.802860223</v>
      </c>
      <c r="L264" s="421">
        <f ca="1">_xlfn.LET(_xlpm.int, OFFSET(PSA.Data!$H266, 0, ($F$2-1)*6), _xlpm.ctrl, OFFSET(PSA.Data!$H266, 0, ($F$2-1)*6 + 1),
_xlpm.int - _xlpm.ctrl)</f>
        <v>-7143.2017965499836</v>
      </c>
      <c r="M264" s="134">
        <f t="shared" ca="1" si="14"/>
        <v>-9481.5402366929957</v>
      </c>
    </row>
    <row r="265" spans="11:13" ht="12" customHeight="1" x14ac:dyDescent="0.25">
      <c r="K265" s="90">
        <f ca="1">_xlfn.LET(_xlpm.int, OFFSET(PSA.Data!$E267, 0, ($F$2-1)*6), _xlpm.ctrl, OFFSET(PSA.Data!$E267, 0, ($F$2-1)*6 + 1),
_xlpm.int - _xlpm.ctrl)</f>
        <v>32433217.75835757</v>
      </c>
      <c r="L265" s="421">
        <f ca="1">_xlfn.LET(_xlpm.int, OFFSET(PSA.Data!$H267, 0, ($F$2-1)*6), _xlpm.ctrl, OFFSET(PSA.Data!$H267, 0, ($F$2-1)*6 + 1),
_xlpm.int - _xlpm.ctrl)</f>
        <v>-6004.2252386246473</v>
      </c>
      <c r="M265" s="134">
        <f t="shared" ca="1" si="14"/>
        <v>-7625.8861265425257</v>
      </c>
    </row>
    <row r="266" spans="11:13" ht="12" customHeight="1" x14ac:dyDescent="0.25">
      <c r="K266" s="90">
        <f ca="1">_xlfn.LET(_xlpm.int, OFFSET(PSA.Data!$E268, 0, ($F$2-1)*6), _xlpm.ctrl, OFFSET(PSA.Data!$E268, 0, ($F$2-1)*6 + 1),
_xlpm.int - _xlpm.ctrl)</f>
        <v>19461375.804206215</v>
      </c>
      <c r="L266" s="421">
        <f ca="1">_xlfn.LET(_xlpm.int, OFFSET(PSA.Data!$H268, 0, ($F$2-1)*6), _xlpm.ctrl, OFFSET(PSA.Data!$H268, 0, ($F$2-1)*6 + 1),
_xlpm.int - _xlpm.ctrl)</f>
        <v>-4851.3388431055064</v>
      </c>
      <c r="M266" s="134">
        <f t="shared" ca="1" si="14"/>
        <v>-5824.4076333158173</v>
      </c>
    </row>
    <row r="267" spans="11:13" ht="12" customHeight="1" x14ac:dyDescent="0.25">
      <c r="K267" s="90">
        <f ca="1">_xlfn.LET(_xlpm.int, OFFSET(PSA.Data!$E269, 0, ($F$2-1)*6), _xlpm.ctrl, OFFSET(PSA.Data!$E269, 0, ($F$2-1)*6 + 1),
_xlpm.int - _xlpm.ctrl)</f>
        <v>29433631.485769682</v>
      </c>
      <c r="L267" s="421">
        <f ca="1">_xlfn.LET(_xlpm.int, OFFSET(PSA.Data!$H269, 0, ($F$2-1)*6), _xlpm.ctrl, OFFSET(PSA.Data!$H269, 0, ($F$2-1)*6 + 1),
_xlpm.int - _xlpm.ctrl)</f>
        <v>-6338.2627063808895</v>
      </c>
      <c r="M267" s="134">
        <f t="shared" ca="1" si="14"/>
        <v>-7809.9442806693733</v>
      </c>
    </row>
    <row r="268" spans="11:13" ht="12" customHeight="1" x14ac:dyDescent="0.25">
      <c r="K268" s="90">
        <f ca="1">_xlfn.LET(_xlpm.int, OFFSET(PSA.Data!$E270, 0, ($F$2-1)*6), _xlpm.ctrl, OFFSET(PSA.Data!$E270, 0, ($F$2-1)*6 + 1),
_xlpm.int - _xlpm.ctrl)</f>
        <v>12786521.908523165</v>
      </c>
      <c r="L268" s="421">
        <f ca="1">_xlfn.LET(_xlpm.int, OFFSET(PSA.Data!$H270, 0, ($F$2-1)*6), _xlpm.ctrl, OFFSET(PSA.Data!$H270, 0, ($F$2-1)*6 + 1),
_xlpm.int - _xlpm.ctrl)</f>
        <v>-6437.3896195240486</v>
      </c>
      <c r="M268" s="134">
        <f t="shared" ca="1" si="14"/>
        <v>-7076.7157149502073</v>
      </c>
    </row>
    <row r="269" spans="11:13" ht="12" customHeight="1" x14ac:dyDescent="0.25">
      <c r="K269" s="90">
        <f ca="1">_xlfn.LET(_xlpm.int, OFFSET(PSA.Data!$E271, 0, ($F$2-1)*6), _xlpm.ctrl, OFFSET(PSA.Data!$E271, 0, ($F$2-1)*6 + 1),
_xlpm.int - _xlpm.ctrl)</f>
        <v>29528529.192432061</v>
      </c>
      <c r="L269" s="421">
        <f ca="1">_xlfn.LET(_xlpm.int, OFFSET(PSA.Data!$H271, 0, ($F$2-1)*6), _xlpm.ctrl, OFFSET(PSA.Data!$H271, 0, ($F$2-1)*6 + 1),
_xlpm.int - _xlpm.ctrl)</f>
        <v>-6953.3010019048334</v>
      </c>
      <c r="M269" s="134">
        <f t="shared" ca="1" si="14"/>
        <v>-8429.7274615264359</v>
      </c>
    </row>
    <row r="270" spans="11:13" ht="12" customHeight="1" x14ac:dyDescent="0.25">
      <c r="K270" s="90">
        <f ca="1">_xlfn.LET(_xlpm.int, OFFSET(PSA.Data!$E272, 0, ($F$2-1)*6), _xlpm.ctrl, OFFSET(PSA.Data!$E272, 0, ($F$2-1)*6 + 1),
_xlpm.int - _xlpm.ctrl)</f>
        <v>32614097.066900387</v>
      </c>
      <c r="L270" s="421">
        <f ca="1">_xlfn.LET(_xlpm.int, OFFSET(PSA.Data!$H272, 0, ($F$2-1)*6), _xlpm.ctrl, OFFSET(PSA.Data!$H272, 0, ($F$2-1)*6 + 1),
_xlpm.int - _xlpm.ctrl)</f>
        <v>-6822.7723311510836</v>
      </c>
      <c r="M270" s="134">
        <f t="shared" ca="1" si="14"/>
        <v>-8453.4771844961033</v>
      </c>
    </row>
    <row r="271" spans="11:13" ht="12" customHeight="1" x14ac:dyDescent="0.25">
      <c r="K271" s="90">
        <f ca="1">_xlfn.LET(_xlpm.int, OFFSET(PSA.Data!$E273, 0, ($F$2-1)*6), _xlpm.ctrl, OFFSET(PSA.Data!$E273, 0, ($F$2-1)*6 + 1),
_xlpm.int - _xlpm.ctrl)</f>
        <v>29779124.124251861</v>
      </c>
      <c r="L271" s="421">
        <f ca="1">_xlfn.LET(_xlpm.int, OFFSET(PSA.Data!$H273, 0, ($F$2-1)*6), _xlpm.ctrl, OFFSET(PSA.Data!$H273, 0, ($F$2-1)*6 + 1),
_xlpm.int - _xlpm.ctrl)</f>
        <v>-6137.6643779546048</v>
      </c>
      <c r="M271" s="134">
        <f t="shared" ca="1" si="14"/>
        <v>-7626.6205841671981</v>
      </c>
    </row>
    <row r="272" spans="11:13" ht="12" customHeight="1" x14ac:dyDescent="0.25">
      <c r="K272" s="90">
        <f ca="1">_xlfn.LET(_xlpm.int, OFFSET(PSA.Data!$E274, 0, ($F$2-1)*6), _xlpm.ctrl, OFFSET(PSA.Data!$E274, 0, ($F$2-1)*6 + 1),
_xlpm.int - _xlpm.ctrl)</f>
        <v>23968764.31782791</v>
      </c>
      <c r="L272" s="421">
        <f ca="1">_xlfn.LET(_xlpm.int, OFFSET(PSA.Data!$H274, 0, ($F$2-1)*6), _xlpm.ctrl, OFFSET(PSA.Data!$H274, 0, ($F$2-1)*6 + 1),
_xlpm.int - _xlpm.ctrl)</f>
        <v>-5517.0138145247847</v>
      </c>
      <c r="M272" s="134">
        <f t="shared" ref="M272:M335" ca="1" si="15">L272-K272/WTP</f>
        <v>-6715.4520304161797</v>
      </c>
    </row>
    <row r="273" spans="11:13" ht="12" customHeight="1" x14ac:dyDescent="0.25">
      <c r="K273" s="90">
        <f ca="1">_xlfn.LET(_xlpm.int, OFFSET(PSA.Data!$E275, 0, ($F$2-1)*6), _xlpm.ctrl, OFFSET(PSA.Data!$E275, 0, ($F$2-1)*6 + 1),
_xlpm.int - _xlpm.ctrl)</f>
        <v>54127868.302149452</v>
      </c>
      <c r="L273" s="421">
        <f ca="1">_xlfn.LET(_xlpm.int, OFFSET(PSA.Data!$H275, 0, ($F$2-1)*6), _xlpm.ctrl, OFFSET(PSA.Data!$H275, 0, ($F$2-1)*6 + 1),
_xlpm.int - _xlpm.ctrl)</f>
        <v>-6593.9004536450138</v>
      </c>
      <c r="M273" s="134">
        <f t="shared" ca="1" si="15"/>
        <v>-9300.2938687524875</v>
      </c>
    </row>
    <row r="274" spans="11:13" ht="12" customHeight="1" x14ac:dyDescent="0.25">
      <c r="K274" s="90">
        <f ca="1">_xlfn.LET(_xlpm.int, OFFSET(PSA.Data!$E276, 0, ($F$2-1)*6), _xlpm.ctrl, OFFSET(PSA.Data!$E276, 0, ($F$2-1)*6 + 1),
_xlpm.int - _xlpm.ctrl)</f>
        <v>27318262.863689739</v>
      </c>
      <c r="L274" s="421">
        <f ca="1">_xlfn.LET(_xlpm.int, OFFSET(PSA.Data!$H276, 0, ($F$2-1)*6), _xlpm.ctrl, OFFSET(PSA.Data!$H276, 0, ($F$2-1)*6 + 1),
_xlpm.int - _xlpm.ctrl)</f>
        <v>-6761.9104336986202</v>
      </c>
      <c r="M274" s="134">
        <f t="shared" ca="1" si="15"/>
        <v>-8127.8235768831073</v>
      </c>
    </row>
    <row r="275" spans="11:13" ht="12" customHeight="1" x14ac:dyDescent="0.25">
      <c r="K275" s="90">
        <f ca="1">_xlfn.LET(_xlpm.int, OFFSET(PSA.Data!$E277, 0, ($F$2-1)*6), _xlpm.ctrl, OFFSET(PSA.Data!$E277, 0, ($F$2-1)*6 + 1),
_xlpm.int - _xlpm.ctrl)</f>
        <v>42569385.892571598</v>
      </c>
      <c r="L275" s="421">
        <f ca="1">_xlfn.LET(_xlpm.int, OFFSET(PSA.Data!$H277, 0, ($F$2-1)*6), _xlpm.ctrl, OFFSET(PSA.Data!$H277, 0, ($F$2-1)*6 + 1),
_xlpm.int - _xlpm.ctrl)</f>
        <v>-5068.4538716095794</v>
      </c>
      <c r="M275" s="134">
        <f t="shared" ca="1" si="15"/>
        <v>-7196.923166238159</v>
      </c>
    </row>
    <row r="276" spans="11:13" ht="12" customHeight="1" x14ac:dyDescent="0.25">
      <c r="K276" s="90">
        <f ca="1">_xlfn.LET(_xlpm.int, OFFSET(PSA.Data!$E278, 0, ($F$2-1)*6), _xlpm.ctrl, OFFSET(PSA.Data!$E278, 0, ($F$2-1)*6 + 1),
_xlpm.int - _xlpm.ctrl)</f>
        <v>72994182.384024829</v>
      </c>
      <c r="L276" s="421">
        <f ca="1">_xlfn.LET(_xlpm.int, OFFSET(PSA.Data!$H278, 0, ($F$2-1)*6), _xlpm.ctrl, OFFSET(PSA.Data!$H278, 0, ($F$2-1)*6 + 1),
_xlpm.int - _xlpm.ctrl)</f>
        <v>-9104.2354457859692</v>
      </c>
      <c r="M276" s="134">
        <f t="shared" ca="1" si="15"/>
        <v>-12753.94456498721</v>
      </c>
    </row>
    <row r="277" spans="11:13" ht="12" customHeight="1" x14ac:dyDescent="0.25">
      <c r="K277" s="90">
        <f ca="1">_xlfn.LET(_xlpm.int, OFFSET(PSA.Data!$E279, 0, ($F$2-1)*6), _xlpm.ctrl, OFFSET(PSA.Data!$E279, 0, ($F$2-1)*6 + 1),
_xlpm.int - _xlpm.ctrl)</f>
        <v>25799505.898304407</v>
      </c>
      <c r="L277" s="421">
        <f ca="1">_xlfn.LET(_xlpm.int, OFFSET(PSA.Data!$H279, 0, ($F$2-1)*6), _xlpm.ctrl, OFFSET(PSA.Data!$H279, 0, ($F$2-1)*6 + 1),
_xlpm.int - _xlpm.ctrl)</f>
        <v>-4567.3101001714203</v>
      </c>
      <c r="M277" s="134">
        <f t="shared" ca="1" si="15"/>
        <v>-5857.2853950866411</v>
      </c>
    </row>
    <row r="278" spans="11:13" ht="12" customHeight="1" x14ac:dyDescent="0.25">
      <c r="K278" s="90">
        <f ca="1">_xlfn.LET(_xlpm.int, OFFSET(PSA.Data!$E280, 0, ($F$2-1)*6), _xlpm.ctrl, OFFSET(PSA.Data!$E280, 0, ($F$2-1)*6 + 1),
_xlpm.int - _xlpm.ctrl)</f>
        <v>47651227.434119217</v>
      </c>
      <c r="L278" s="421">
        <f ca="1">_xlfn.LET(_xlpm.int, OFFSET(PSA.Data!$H280, 0, ($F$2-1)*6), _xlpm.ctrl, OFFSET(PSA.Data!$H280, 0, ($F$2-1)*6 + 1),
_xlpm.int - _xlpm.ctrl)</f>
        <v>-6583.4449838136761</v>
      </c>
      <c r="M278" s="134">
        <f t="shared" ca="1" si="15"/>
        <v>-8966.0063555196375</v>
      </c>
    </row>
    <row r="279" spans="11:13" ht="12" customHeight="1" x14ac:dyDescent="0.25">
      <c r="K279" s="90">
        <f ca="1">_xlfn.LET(_xlpm.int, OFFSET(PSA.Data!$E281, 0, ($F$2-1)*6), _xlpm.ctrl, OFFSET(PSA.Data!$E281, 0, ($F$2-1)*6 + 1),
_xlpm.int - _xlpm.ctrl)</f>
        <v>54779328.99552723</v>
      </c>
      <c r="L279" s="421">
        <f ca="1">_xlfn.LET(_xlpm.int, OFFSET(PSA.Data!$H281, 0, ($F$2-1)*6), _xlpm.ctrl, OFFSET(PSA.Data!$H281, 0, ($F$2-1)*6 + 1),
_xlpm.int - _xlpm.ctrl)</f>
        <v>-8074.9134975582092</v>
      </c>
      <c r="M279" s="134">
        <f t="shared" ca="1" si="15"/>
        <v>-10813.879947334572</v>
      </c>
    </row>
    <row r="280" spans="11:13" ht="12" customHeight="1" x14ac:dyDescent="0.25">
      <c r="K280" s="90">
        <f ca="1">_xlfn.LET(_xlpm.int, OFFSET(PSA.Data!$E282, 0, ($F$2-1)*6), _xlpm.ctrl, OFFSET(PSA.Data!$E282, 0, ($F$2-1)*6 + 1),
_xlpm.int - _xlpm.ctrl)</f>
        <v>49391244.069729209</v>
      </c>
      <c r="L280" s="421">
        <f ca="1">_xlfn.LET(_xlpm.int, OFFSET(PSA.Data!$H282, 0, ($F$2-1)*6), _xlpm.ctrl, OFFSET(PSA.Data!$H282, 0, ($F$2-1)*6 + 1),
_xlpm.int - _xlpm.ctrl)</f>
        <v>-6948.902163817037</v>
      </c>
      <c r="M280" s="134">
        <f t="shared" ca="1" si="15"/>
        <v>-9418.4643673034971</v>
      </c>
    </row>
    <row r="281" spans="11:13" ht="12" customHeight="1" x14ac:dyDescent="0.25">
      <c r="K281" s="90">
        <f ca="1">_xlfn.LET(_xlpm.int, OFFSET(PSA.Data!$E283, 0, ($F$2-1)*6), _xlpm.ctrl, OFFSET(PSA.Data!$E283, 0, ($F$2-1)*6 + 1),
_xlpm.int - _xlpm.ctrl)</f>
        <v>52438932.175910912</v>
      </c>
      <c r="L281" s="421">
        <f ca="1">_xlfn.LET(_xlpm.int, OFFSET(PSA.Data!$H283, 0, ($F$2-1)*6), _xlpm.ctrl, OFFSET(PSA.Data!$H283, 0, ($F$2-1)*6 + 1),
_xlpm.int - _xlpm.ctrl)</f>
        <v>-6231.9694946049312</v>
      </c>
      <c r="M281" s="134">
        <f t="shared" ca="1" si="15"/>
        <v>-8853.9161034004774</v>
      </c>
    </row>
    <row r="282" spans="11:13" ht="12" customHeight="1" x14ac:dyDescent="0.25">
      <c r="K282" s="90">
        <f ca="1">_xlfn.LET(_xlpm.int, OFFSET(PSA.Data!$E284, 0, ($F$2-1)*6), _xlpm.ctrl, OFFSET(PSA.Data!$E284, 0, ($F$2-1)*6 + 1),
_xlpm.int - _xlpm.ctrl)</f>
        <v>24634426.447758347</v>
      </c>
      <c r="L282" s="421">
        <f ca="1">_xlfn.LET(_xlpm.int, OFFSET(PSA.Data!$H284, 0, ($F$2-1)*6), _xlpm.ctrl, OFFSET(PSA.Data!$H284, 0, ($F$2-1)*6 + 1),
_xlpm.int - _xlpm.ctrl)</f>
        <v>-6211.5215030943991</v>
      </c>
      <c r="M282" s="134">
        <f t="shared" ca="1" si="15"/>
        <v>-7443.2428254823162</v>
      </c>
    </row>
    <row r="283" spans="11:13" ht="12" customHeight="1" x14ac:dyDescent="0.25">
      <c r="K283" s="90">
        <f ca="1">_xlfn.LET(_xlpm.int, OFFSET(PSA.Data!$E285, 0, ($F$2-1)*6), _xlpm.ctrl, OFFSET(PSA.Data!$E285, 0, ($F$2-1)*6 + 1),
_xlpm.int - _xlpm.ctrl)</f>
        <v>29917082.728367165</v>
      </c>
      <c r="L283" s="421">
        <f ca="1">_xlfn.LET(_xlpm.int, OFFSET(PSA.Data!$H285, 0, ($F$2-1)*6), _xlpm.ctrl, OFFSET(PSA.Data!$H285, 0, ($F$2-1)*6 + 1),
_xlpm.int - _xlpm.ctrl)</f>
        <v>-6040.4266552662757</v>
      </c>
      <c r="M283" s="134">
        <f t="shared" ca="1" si="15"/>
        <v>-7536.2807916846341</v>
      </c>
    </row>
    <row r="284" spans="11:13" ht="12" customHeight="1" x14ac:dyDescent="0.25">
      <c r="K284" s="90">
        <f ca="1">_xlfn.LET(_xlpm.int, OFFSET(PSA.Data!$E286, 0, ($F$2-1)*6), _xlpm.ctrl, OFFSET(PSA.Data!$E286, 0, ($F$2-1)*6 + 1),
_xlpm.int - _xlpm.ctrl)</f>
        <v>27062672.419992372</v>
      </c>
      <c r="L284" s="421">
        <f ca="1">_xlfn.LET(_xlpm.int, OFFSET(PSA.Data!$H286, 0, ($F$2-1)*6), _xlpm.ctrl, OFFSET(PSA.Data!$H286, 0, ($F$2-1)*6 + 1),
_xlpm.int - _xlpm.ctrl)</f>
        <v>-5379.2820519331817</v>
      </c>
      <c r="M284" s="134">
        <f t="shared" ca="1" si="15"/>
        <v>-6732.4156729328006</v>
      </c>
    </row>
    <row r="285" spans="11:13" ht="12" customHeight="1" x14ac:dyDescent="0.25">
      <c r="K285" s="90">
        <f ca="1">_xlfn.LET(_xlpm.int, OFFSET(PSA.Data!$E287, 0, ($F$2-1)*6), _xlpm.ctrl, OFFSET(PSA.Data!$E287, 0, ($F$2-1)*6 + 1),
_xlpm.int - _xlpm.ctrl)</f>
        <v>19983217.377036437</v>
      </c>
      <c r="L285" s="421">
        <f ca="1">_xlfn.LET(_xlpm.int, OFFSET(PSA.Data!$H287, 0, ($F$2-1)*6), _xlpm.ctrl, OFFSET(PSA.Data!$H287, 0, ($F$2-1)*6 + 1),
_xlpm.int - _xlpm.ctrl)</f>
        <v>-5598.4790756779867</v>
      </c>
      <c r="M285" s="134">
        <f t="shared" ca="1" si="15"/>
        <v>-6597.6399445298084</v>
      </c>
    </row>
    <row r="286" spans="11:13" ht="12" customHeight="1" x14ac:dyDescent="0.25">
      <c r="K286" s="90">
        <f ca="1">_xlfn.LET(_xlpm.int, OFFSET(PSA.Data!$E288, 0, ($F$2-1)*6), _xlpm.ctrl, OFFSET(PSA.Data!$E288, 0, ($F$2-1)*6 + 1),
_xlpm.int - _xlpm.ctrl)</f>
        <v>30703446.831497882</v>
      </c>
      <c r="L286" s="421">
        <f ca="1">_xlfn.LET(_xlpm.int, OFFSET(PSA.Data!$H288, 0, ($F$2-1)*6), _xlpm.ctrl, OFFSET(PSA.Data!$H288, 0, ($F$2-1)*6 + 1),
_xlpm.int - _xlpm.ctrl)</f>
        <v>-7219.0388352333994</v>
      </c>
      <c r="M286" s="134">
        <f t="shared" ca="1" si="15"/>
        <v>-8754.2111768082941</v>
      </c>
    </row>
    <row r="287" spans="11:13" ht="12" customHeight="1" x14ac:dyDescent="0.25">
      <c r="K287" s="90">
        <f ca="1">_xlfn.LET(_xlpm.int, OFFSET(PSA.Data!$E289, 0, ($F$2-1)*6), _xlpm.ctrl, OFFSET(PSA.Data!$E289, 0, ($F$2-1)*6 + 1),
_xlpm.int - _xlpm.ctrl)</f>
        <v>32102995.278090324</v>
      </c>
      <c r="L287" s="421">
        <f ca="1">_xlfn.LET(_xlpm.int, OFFSET(PSA.Data!$H289, 0, ($F$2-1)*6), _xlpm.ctrl, OFFSET(PSA.Data!$H289, 0, ($F$2-1)*6 + 1),
_xlpm.int - _xlpm.ctrl)</f>
        <v>-6005.6146296909246</v>
      </c>
      <c r="M287" s="134">
        <f t="shared" ca="1" si="15"/>
        <v>-7610.7643935954411</v>
      </c>
    </row>
    <row r="288" spans="11:13" ht="12" customHeight="1" x14ac:dyDescent="0.25">
      <c r="K288" s="90">
        <f ca="1">_xlfn.LET(_xlpm.int, OFFSET(PSA.Data!$E290, 0, ($F$2-1)*6), _xlpm.ctrl, OFFSET(PSA.Data!$E290, 0, ($F$2-1)*6 + 1),
_xlpm.int - _xlpm.ctrl)</f>
        <v>26825650.486150831</v>
      </c>
      <c r="L288" s="421">
        <f ca="1">_xlfn.LET(_xlpm.int, OFFSET(PSA.Data!$H290, 0, ($F$2-1)*6), _xlpm.ctrl, OFFSET(PSA.Data!$H290, 0, ($F$2-1)*6 + 1),
_xlpm.int - _xlpm.ctrl)</f>
        <v>-5388.8221015288482</v>
      </c>
      <c r="M288" s="134">
        <f t="shared" ca="1" si="15"/>
        <v>-6730.1046258363895</v>
      </c>
    </row>
    <row r="289" spans="11:13" ht="12" customHeight="1" x14ac:dyDescent="0.25">
      <c r="K289" s="90">
        <f ca="1">_xlfn.LET(_xlpm.int, OFFSET(PSA.Data!$E291, 0, ($F$2-1)*6), _xlpm.ctrl, OFFSET(PSA.Data!$E291, 0, ($F$2-1)*6 + 1),
_xlpm.int - _xlpm.ctrl)</f>
        <v>23267592.024872232</v>
      </c>
      <c r="L289" s="421">
        <f ca="1">_xlfn.LET(_xlpm.int, OFFSET(PSA.Data!$H291, 0, ($F$2-1)*6), _xlpm.ctrl, OFFSET(PSA.Data!$H291, 0, ($F$2-1)*6 + 1),
_xlpm.int - _xlpm.ctrl)</f>
        <v>-6196.3439689502211</v>
      </c>
      <c r="M289" s="134">
        <f t="shared" ca="1" si="15"/>
        <v>-7359.7235701938325</v>
      </c>
    </row>
    <row r="290" spans="11:13" ht="12" customHeight="1" x14ac:dyDescent="0.25">
      <c r="K290" s="90">
        <f ca="1">_xlfn.LET(_xlpm.int, OFFSET(PSA.Data!$E292, 0, ($F$2-1)*6), _xlpm.ctrl, OFFSET(PSA.Data!$E292, 0, ($F$2-1)*6 + 1),
_xlpm.int - _xlpm.ctrl)</f>
        <v>17516551.9094407</v>
      </c>
      <c r="L290" s="421">
        <f ca="1">_xlfn.LET(_xlpm.int, OFFSET(PSA.Data!$H292, 0, ($F$2-1)*6), _xlpm.ctrl, OFFSET(PSA.Data!$H292, 0, ($F$2-1)*6 + 1),
_xlpm.int - _xlpm.ctrl)</f>
        <v>-5231.5596787139502</v>
      </c>
      <c r="M290" s="134">
        <f t="shared" ca="1" si="15"/>
        <v>-6107.387274185985</v>
      </c>
    </row>
    <row r="291" spans="11:13" ht="12" customHeight="1" x14ac:dyDescent="0.25">
      <c r="K291" s="90">
        <f ca="1">_xlfn.LET(_xlpm.int, OFFSET(PSA.Data!$E293, 0, ($F$2-1)*6), _xlpm.ctrl, OFFSET(PSA.Data!$E293, 0, ($F$2-1)*6 + 1),
_xlpm.int - _xlpm.ctrl)</f>
        <v>22928349.073849645</v>
      </c>
      <c r="L291" s="421">
        <f ca="1">_xlfn.LET(_xlpm.int, OFFSET(PSA.Data!$H293, 0, ($F$2-1)*6), _xlpm.ctrl, OFFSET(PSA.Data!$H293, 0, ($F$2-1)*6 + 1),
_xlpm.int - _xlpm.ctrl)</f>
        <v>-5148.3841229096406</v>
      </c>
      <c r="M291" s="134">
        <f t="shared" ca="1" si="15"/>
        <v>-6294.8015766021226</v>
      </c>
    </row>
    <row r="292" spans="11:13" ht="12" customHeight="1" x14ac:dyDescent="0.25">
      <c r="K292" s="90">
        <f ca="1">_xlfn.LET(_xlpm.int, OFFSET(PSA.Data!$E294, 0, ($F$2-1)*6), _xlpm.ctrl, OFFSET(PSA.Data!$E294, 0, ($F$2-1)*6 + 1),
_xlpm.int - _xlpm.ctrl)</f>
        <v>59920256.718705319</v>
      </c>
      <c r="L292" s="421">
        <f ca="1">_xlfn.LET(_xlpm.int, OFFSET(PSA.Data!$H294, 0, ($F$2-1)*6), _xlpm.ctrl, OFFSET(PSA.Data!$H294, 0, ($F$2-1)*6 + 1),
_xlpm.int - _xlpm.ctrl)</f>
        <v>-7942.0671101853131</v>
      </c>
      <c r="M292" s="134">
        <f t="shared" ca="1" si="15"/>
        <v>-10938.079946120579</v>
      </c>
    </row>
    <row r="293" spans="11:13" ht="12" customHeight="1" x14ac:dyDescent="0.25">
      <c r="K293" s="90">
        <f ca="1">_xlfn.LET(_xlpm.int, OFFSET(PSA.Data!$E295, 0, ($F$2-1)*6), _xlpm.ctrl, OFFSET(PSA.Data!$E295, 0, ($F$2-1)*6 + 1),
_xlpm.int - _xlpm.ctrl)</f>
        <v>42549438.549155496</v>
      </c>
      <c r="L293" s="421">
        <f ca="1">_xlfn.LET(_xlpm.int, OFFSET(PSA.Data!$H295, 0, ($F$2-1)*6), _xlpm.ctrl, OFFSET(PSA.Data!$H295, 0, ($F$2-1)*6 + 1),
_xlpm.int - _xlpm.ctrl)</f>
        <v>-7423.427394628101</v>
      </c>
      <c r="M293" s="134">
        <f t="shared" ca="1" si="15"/>
        <v>-9550.8993220858756</v>
      </c>
    </row>
    <row r="294" spans="11:13" ht="12" customHeight="1" x14ac:dyDescent="0.25">
      <c r="K294" s="90">
        <f ca="1">_xlfn.LET(_xlpm.int, OFFSET(PSA.Data!$E296, 0, ($F$2-1)*6), _xlpm.ctrl, OFFSET(PSA.Data!$E296, 0, ($F$2-1)*6 + 1),
_xlpm.int - _xlpm.ctrl)</f>
        <v>31258882.153154552</v>
      </c>
      <c r="L294" s="421">
        <f ca="1">_xlfn.LET(_xlpm.int, OFFSET(PSA.Data!$H296, 0, ($F$2-1)*6), _xlpm.ctrl, OFFSET(PSA.Data!$H296, 0, ($F$2-1)*6 + 1),
_xlpm.int - _xlpm.ctrl)</f>
        <v>-5356.8090115727191</v>
      </c>
      <c r="M294" s="134">
        <f t="shared" ca="1" si="15"/>
        <v>-6919.7531192304468</v>
      </c>
    </row>
    <row r="295" spans="11:13" ht="12" customHeight="1" x14ac:dyDescent="0.25">
      <c r="K295" s="90">
        <f ca="1">_xlfn.LET(_xlpm.int, OFFSET(PSA.Data!$E297, 0, ($F$2-1)*6), _xlpm.ctrl, OFFSET(PSA.Data!$E297, 0, ($F$2-1)*6 + 1),
_xlpm.int - _xlpm.ctrl)</f>
        <v>39394314.219836675</v>
      </c>
      <c r="L295" s="421">
        <f ca="1">_xlfn.LET(_xlpm.int, OFFSET(PSA.Data!$H297, 0, ($F$2-1)*6), _xlpm.ctrl, OFFSET(PSA.Data!$H297, 0, ($F$2-1)*6 + 1),
_xlpm.int - _xlpm.ctrl)</f>
        <v>-7176.161004201268</v>
      </c>
      <c r="M295" s="134">
        <f t="shared" ca="1" si="15"/>
        <v>-9145.8767151931024</v>
      </c>
    </row>
    <row r="296" spans="11:13" ht="12" customHeight="1" x14ac:dyDescent="0.25">
      <c r="K296" s="90">
        <f ca="1">_xlfn.LET(_xlpm.int, OFFSET(PSA.Data!$E298, 0, ($F$2-1)*6), _xlpm.ctrl, OFFSET(PSA.Data!$E298, 0, ($F$2-1)*6 + 1),
_xlpm.int - _xlpm.ctrl)</f>
        <v>45322666.416763142</v>
      </c>
      <c r="L296" s="421">
        <f ca="1">_xlfn.LET(_xlpm.int, OFFSET(PSA.Data!$H298, 0, ($F$2-1)*6), _xlpm.ctrl, OFFSET(PSA.Data!$H298, 0, ($F$2-1)*6 + 1),
_xlpm.int - _xlpm.ctrl)</f>
        <v>-8674.5636097129354</v>
      </c>
      <c r="M296" s="134">
        <f t="shared" ca="1" si="15"/>
        <v>-10940.696930551092</v>
      </c>
    </row>
    <row r="297" spans="11:13" ht="12" customHeight="1" x14ac:dyDescent="0.25">
      <c r="K297" s="90">
        <f ca="1">_xlfn.LET(_xlpm.int, OFFSET(PSA.Data!$E299, 0, ($F$2-1)*6), _xlpm.ctrl, OFFSET(PSA.Data!$E299, 0, ($F$2-1)*6 + 1),
_xlpm.int - _xlpm.ctrl)</f>
        <v>38572885.962486215</v>
      </c>
      <c r="L297" s="421">
        <f ca="1">_xlfn.LET(_xlpm.int, OFFSET(PSA.Data!$H299, 0, ($F$2-1)*6), _xlpm.ctrl, OFFSET(PSA.Data!$H299, 0, ($F$2-1)*6 + 1),
_xlpm.int - _xlpm.ctrl)</f>
        <v>-6307.4331885064057</v>
      </c>
      <c r="M297" s="134">
        <f t="shared" ca="1" si="15"/>
        <v>-8236.0774866307165</v>
      </c>
    </row>
    <row r="298" spans="11:13" ht="12" customHeight="1" x14ac:dyDescent="0.25">
      <c r="K298" s="90">
        <f ca="1">_xlfn.LET(_xlpm.int, OFFSET(PSA.Data!$E300, 0, ($F$2-1)*6), _xlpm.ctrl, OFFSET(PSA.Data!$E300, 0, ($F$2-1)*6 + 1),
_xlpm.int - _xlpm.ctrl)</f>
        <v>54370129.902643234</v>
      </c>
      <c r="L298" s="421">
        <f ca="1">_xlfn.LET(_xlpm.int, OFFSET(PSA.Data!$H300, 0, ($F$2-1)*6), _xlpm.ctrl, OFFSET(PSA.Data!$H300, 0, ($F$2-1)*6 + 1),
_xlpm.int - _xlpm.ctrl)</f>
        <v>-8005.081514710997</v>
      </c>
      <c r="M298" s="134">
        <f t="shared" ca="1" si="15"/>
        <v>-10723.588009843159</v>
      </c>
    </row>
    <row r="299" spans="11:13" ht="12" customHeight="1" x14ac:dyDescent="0.25">
      <c r="K299" s="90">
        <f ca="1">_xlfn.LET(_xlpm.int, OFFSET(PSA.Data!$E301, 0, ($F$2-1)*6), _xlpm.ctrl, OFFSET(PSA.Data!$E301, 0, ($F$2-1)*6 + 1),
_xlpm.int - _xlpm.ctrl)</f>
        <v>24929480.473547418</v>
      </c>
      <c r="L299" s="421">
        <f ca="1">_xlfn.LET(_xlpm.int, OFFSET(PSA.Data!$H301, 0, ($F$2-1)*6), _xlpm.ctrl, OFFSET(PSA.Data!$H301, 0, ($F$2-1)*6 + 1),
_xlpm.int - _xlpm.ctrl)</f>
        <v>-6287.7081054996952</v>
      </c>
      <c r="M299" s="134">
        <f t="shared" ca="1" si="15"/>
        <v>-7534.1821291770666</v>
      </c>
    </row>
    <row r="300" spans="11:13" ht="12" customHeight="1" x14ac:dyDescent="0.25">
      <c r="K300" s="90">
        <f ca="1">_xlfn.LET(_xlpm.int, OFFSET(PSA.Data!$E302, 0, ($F$2-1)*6), _xlpm.ctrl, OFFSET(PSA.Data!$E302, 0, ($F$2-1)*6 + 1),
_xlpm.int - _xlpm.ctrl)</f>
        <v>61951170.014938794</v>
      </c>
      <c r="L300" s="421">
        <f ca="1">_xlfn.LET(_xlpm.int, OFFSET(PSA.Data!$H302, 0, ($F$2-1)*6), _xlpm.ctrl, OFFSET(PSA.Data!$H302, 0, ($F$2-1)*6 + 1),
_xlpm.int - _xlpm.ctrl)</f>
        <v>-6622.8679558328413</v>
      </c>
      <c r="M300" s="134">
        <f t="shared" ca="1" si="15"/>
        <v>-9720.4264565797821</v>
      </c>
    </row>
    <row r="301" spans="11:13" ht="12" customHeight="1" x14ac:dyDescent="0.25">
      <c r="K301" s="90">
        <f ca="1">_xlfn.LET(_xlpm.int, OFFSET(PSA.Data!$E303, 0, ($F$2-1)*6), _xlpm.ctrl, OFFSET(PSA.Data!$E303, 0, ($F$2-1)*6 + 1),
_xlpm.int - _xlpm.ctrl)</f>
        <v>8259131.6335168649</v>
      </c>
      <c r="L301" s="421">
        <f ca="1">_xlfn.LET(_xlpm.int, OFFSET(PSA.Data!$H303, 0, ($F$2-1)*6), _xlpm.ctrl, OFFSET(PSA.Data!$H303, 0, ($F$2-1)*6 + 1),
_xlpm.int - _xlpm.ctrl)</f>
        <v>-4803.2149897773543</v>
      </c>
      <c r="M301" s="134">
        <f t="shared" ca="1" si="15"/>
        <v>-5216.1715714531974</v>
      </c>
    </row>
    <row r="302" spans="11:13" ht="12" customHeight="1" x14ac:dyDescent="0.25">
      <c r="K302" s="90">
        <f ca="1">_xlfn.LET(_xlpm.int, OFFSET(PSA.Data!$E304, 0, ($F$2-1)*6), _xlpm.ctrl, OFFSET(PSA.Data!$E304, 0, ($F$2-1)*6 + 1),
_xlpm.int - _xlpm.ctrl)</f>
        <v>11397615.539898403</v>
      </c>
      <c r="L302" s="421">
        <f ca="1">_xlfn.LET(_xlpm.int, OFFSET(PSA.Data!$H304, 0, ($F$2-1)*6), _xlpm.ctrl, OFFSET(PSA.Data!$H304, 0, ($F$2-1)*6 + 1),
_xlpm.int - _xlpm.ctrl)</f>
        <v>-4878.0832596216505</v>
      </c>
      <c r="M302" s="134">
        <f t="shared" ca="1" si="15"/>
        <v>-5447.9640366165704</v>
      </c>
    </row>
    <row r="303" spans="11:13" ht="12" customHeight="1" x14ac:dyDescent="0.25">
      <c r="K303" s="90">
        <f ca="1">_xlfn.LET(_xlpm.int, OFFSET(PSA.Data!$E305, 0, ($F$2-1)*6), _xlpm.ctrl, OFFSET(PSA.Data!$E305, 0, ($F$2-1)*6 + 1),
_xlpm.int - _xlpm.ctrl)</f>
        <v>39087288.914004229</v>
      </c>
      <c r="L303" s="421">
        <f ca="1">_xlfn.LET(_xlpm.int, OFFSET(PSA.Data!$H305, 0, ($F$2-1)*6), _xlpm.ctrl, OFFSET(PSA.Data!$H305, 0, ($F$2-1)*6 + 1),
_xlpm.int - _xlpm.ctrl)</f>
        <v>-5409.763968915202</v>
      </c>
      <c r="M303" s="134">
        <f t="shared" ca="1" si="15"/>
        <v>-7364.1284146154139</v>
      </c>
    </row>
    <row r="304" spans="11:13" ht="12" customHeight="1" x14ac:dyDescent="0.25">
      <c r="K304" s="90">
        <f ca="1">_xlfn.LET(_xlpm.int, OFFSET(PSA.Data!$E306, 0, ($F$2-1)*6), _xlpm.ctrl, OFFSET(PSA.Data!$E306, 0, ($F$2-1)*6 + 1),
_xlpm.int - _xlpm.ctrl)</f>
        <v>21015004.481437977</v>
      </c>
      <c r="L304" s="421">
        <f ca="1">_xlfn.LET(_xlpm.int, OFFSET(PSA.Data!$H306, 0, ($F$2-1)*6), _xlpm.ctrl, OFFSET(PSA.Data!$H306, 0, ($F$2-1)*6 + 1),
_xlpm.int - _xlpm.ctrl)</f>
        <v>-4877.4850157718365</v>
      </c>
      <c r="M304" s="134">
        <f t="shared" ca="1" si="15"/>
        <v>-5928.2352398437351</v>
      </c>
    </row>
    <row r="305" spans="11:13" ht="12" customHeight="1" x14ac:dyDescent="0.25">
      <c r="K305" s="90">
        <f ca="1">_xlfn.LET(_xlpm.int, OFFSET(PSA.Data!$E307, 0, ($F$2-1)*6), _xlpm.ctrl, OFFSET(PSA.Data!$E307, 0, ($F$2-1)*6 + 1),
_xlpm.int - _xlpm.ctrl)</f>
        <v>28807893.873053245</v>
      </c>
      <c r="L305" s="421">
        <f ca="1">_xlfn.LET(_xlpm.int, OFFSET(PSA.Data!$H307, 0, ($F$2-1)*6), _xlpm.ctrl, OFFSET(PSA.Data!$H307, 0, ($F$2-1)*6 + 1),
_xlpm.int - _xlpm.ctrl)</f>
        <v>-6748.536790811072</v>
      </c>
      <c r="M305" s="134">
        <f t="shared" ca="1" si="15"/>
        <v>-8188.9314844637338</v>
      </c>
    </row>
    <row r="306" spans="11:13" ht="12" customHeight="1" x14ac:dyDescent="0.25">
      <c r="K306" s="90">
        <f ca="1">_xlfn.LET(_xlpm.int, OFFSET(PSA.Data!$E308, 0, ($F$2-1)*6), _xlpm.ctrl, OFFSET(PSA.Data!$E308, 0, ($F$2-1)*6 + 1),
_xlpm.int - _xlpm.ctrl)</f>
        <v>30424008.311463013</v>
      </c>
      <c r="L306" s="421">
        <f ca="1">_xlfn.LET(_xlpm.int, OFFSET(PSA.Data!$H308, 0, ($F$2-1)*6), _xlpm.ctrl, OFFSET(PSA.Data!$H308, 0, ($F$2-1)*6 + 1),
_xlpm.int - _xlpm.ctrl)</f>
        <v>-5376.6049704151019</v>
      </c>
      <c r="M306" s="134">
        <f t="shared" ca="1" si="15"/>
        <v>-6897.805385988253</v>
      </c>
    </row>
    <row r="307" spans="11:13" ht="12" customHeight="1" x14ac:dyDescent="0.25">
      <c r="K307" s="90">
        <f ca="1">_xlfn.LET(_xlpm.int, OFFSET(PSA.Data!$E309, 0, ($F$2-1)*6), _xlpm.ctrl, OFFSET(PSA.Data!$E309, 0, ($F$2-1)*6 + 1),
_xlpm.int - _xlpm.ctrl)</f>
        <v>29167891.284692954</v>
      </c>
      <c r="L307" s="421">
        <f ca="1">_xlfn.LET(_xlpm.int, OFFSET(PSA.Data!$H309, 0, ($F$2-1)*6), _xlpm.ctrl, OFFSET(PSA.Data!$H309, 0, ($F$2-1)*6 + 1),
_xlpm.int - _xlpm.ctrl)</f>
        <v>-6350.5555142438579</v>
      </c>
      <c r="M307" s="134">
        <f t="shared" ca="1" si="15"/>
        <v>-7808.9500784785059</v>
      </c>
    </row>
    <row r="308" spans="11:13" ht="12" customHeight="1" x14ac:dyDescent="0.25">
      <c r="K308" s="90">
        <f ca="1">_xlfn.LET(_xlpm.int, OFFSET(PSA.Data!$E310, 0, ($F$2-1)*6), _xlpm.ctrl, OFFSET(PSA.Data!$E310, 0, ($F$2-1)*6 + 1),
_xlpm.int - _xlpm.ctrl)</f>
        <v>33458393.289601211</v>
      </c>
      <c r="L308" s="421">
        <f ca="1">_xlfn.LET(_xlpm.int, OFFSET(PSA.Data!$H310, 0, ($F$2-1)*6), _xlpm.ctrl, OFFSET(PSA.Data!$H310, 0, ($F$2-1)*6 + 1),
_xlpm.int - _xlpm.ctrl)</f>
        <v>-5653.1202729852312</v>
      </c>
      <c r="M308" s="134">
        <f t="shared" ca="1" si="15"/>
        <v>-7326.0399374652916</v>
      </c>
    </row>
    <row r="309" spans="11:13" ht="12" customHeight="1" x14ac:dyDescent="0.25">
      <c r="K309" s="90">
        <f ca="1">_xlfn.LET(_xlpm.int, OFFSET(PSA.Data!$E311, 0, ($F$2-1)*6), _xlpm.ctrl, OFFSET(PSA.Data!$E311, 0, ($F$2-1)*6 + 1),
_xlpm.int - _xlpm.ctrl)</f>
        <v>69599652.109610021</v>
      </c>
      <c r="L309" s="421">
        <f ca="1">_xlfn.LET(_xlpm.int, OFFSET(PSA.Data!$H311, 0, ($F$2-1)*6), _xlpm.ctrl, OFFSET(PSA.Data!$H311, 0, ($F$2-1)*6 + 1),
_xlpm.int - _xlpm.ctrl)</f>
        <v>-8460.0276944129764</v>
      </c>
      <c r="M309" s="134">
        <f t="shared" ca="1" si="15"/>
        <v>-11940.010299893478</v>
      </c>
    </row>
    <row r="310" spans="11:13" ht="12" customHeight="1" x14ac:dyDescent="0.25">
      <c r="K310" s="90">
        <f ca="1">_xlfn.LET(_xlpm.int, OFFSET(PSA.Data!$E312, 0, ($F$2-1)*6), _xlpm.ctrl, OFFSET(PSA.Data!$E312, 0, ($F$2-1)*6 + 1),
_xlpm.int - _xlpm.ctrl)</f>
        <v>37638904.515908562</v>
      </c>
      <c r="L310" s="421">
        <f ca="1">_xlfn.LET(_xlpm.int, OFFSET(PSA.Data!$H312, 0, ($F$2-1)*6), _xlpm.ctrl, OFFSET(PSA.Data!$H312, 0, ($F$2-1)*6 + 1),
_xlpm.int - _xlpm.ctrl)</f>
        <v>-6658.0594738591954</v>
      </c>
      <c r="M310" s="134">
        <f t="shared" ca="1" si="15"/>
        <v>-8540.0046996546225</v>
      </c>
    </row>
    <row r="311" spans="11:13" ht="12" customHeight="1" x14ac:dyDescent="0.25">
      <c r="K311" s="90">
        <f ca="1">_xlfn.LET(_xlpm.int, OFFSET(PSA.Data!$E313, 0, ($F$2-1)*6), _xlpm.ctrl, OFFSET(PSA.Data!$E313, 0, ($F$2-1)*6 + 1),
_xlpm.int - _xlpm.ctrl)</f>
        <v>16100524.006609617</v>
      </c>
      <c r="L311" s="421">
        <f ca="1">_xlfn.LET(_xlpm.int, OFFSET(PSA.Data!$H313, 0, ($F$2-1)*6), _xlpm.ctrl, OFFSET(PSA.Data!$H313, 0, ($F$2-1)*6 + 1),
_xlpm.int - _xlpm.ctrl)</f>
        <v>-6248.0174207958617</v>
      </c>
      <c r="M311" s="134">
        <f t="shared" ca="1" si="15"/>
        <v>-7053.0436211263423</v>
      </c>
    </row>
    <row r="312" spans="11:13" ht="12" customHeight="1" x14ac:dyDescent="0.25">
      <c r="K312" s="90">
        <f ca="1">_xlfn.LET(_xlpm.int, OFFSET(PSA.Data!$E314, 0, ($F$2-1)*6), _xlpm.ctrl, OFFSET(PSA.Data!$E314, 0, ($F$2-1)*6 + 1),
_xlpm.int - _xlpm.ctrl)</f>
        <v>14700081.960121863</v>
      </c>
      <c r="L312" s="421">
        <f ca="1">_xlfn.LET(_xlpm.int, OFFSET(PSA.Data!$H314, 0, ($F$2-1)*6), _xlpm.ctrl, OFFSET(PSA.Data!$H314, 0, ($F$2-1)*6 + 1),
_xlpm.int - _xlpm.ctrl)</f>
        <v>-5540.124689497472</v>
      </c>
      <c r="M312" s="134">
        <f t="shared" ca="1" si="15"/>
        <v>-6275.128787503565</v>
      </c>
    </row>
    <row r="313" spans="11:13" ht="12" customHeight="1" x14ac:dyDescent="0.25">
      <c r="K313" s="90">
        <f ca="1">_xlfn.LET(_xlpm.int, OFFSET(PSA.Data!$E315, 0, ($F$2-1)*6), _xlpm.ctrl, OFFSET(PSA.Data!$E315, 0, ($F$2-1)*6 + 1),
_xlpm.int - _xlpm.ctrl)</f>
        <v>40169823.093613461</v>
      </c>
      <c r="L313" s="421">
        <f ca="1">_xlfn.LET(_xlpm.int, OFFSET(PSA.Data!$H315, 0, ($F$2-1)*6), _xlpm.ctrl, OFFSET(PSA.Data!$H315, 0, ($F$2-1)*6 + 1),
_xlpm.int - _xlpm.ctrl)</f>
        <v>-7338.9344956640789</v>
      </c>
      <c r="M313" s="134">
        <f t="shared" ca="1" si="15"/>
        <v>-9347.4256503447523</v>
      </c>
    </row>
    <row r="314" spans="11:13" ht="12" customHeight="1" x14ac:dyDescent="0.25">
      <c r="K314" s="90">
        <f ca="1">_xlfn.LET(_xlpm.int, OFFSET(PSA.Data!$E316, 0, ($F$2-1)*6), _xlpm.ctrl, OFFSET(PSA.Data!$E316, 0, ($F$2-1)*6 + 1),
_xlpm.int - _xlpm.ctrl)</f>
        <v>24636664.102233108</v>
      </c>
      <c r="L314" s="421">
        <f ca="1">_xlfn.LET(_xlpm.int, OFFSET(PSA.Data!$H316, 0, ($F$2-1)*6), _xlpm.ctrl, OFFSET(PSA.Data!$H316, 0, ($F$2-1)*6 + 1),
_xlpm.int - _xlpm.ctrl)</f>
        <v>-7361.3456648423326</v>
      </c>
      <c r="M314" s="134">
        <f t="shared" ca="1" si="15"/>
        <v>-8593.1788699539884</v>
      </c>
    </row>
    <row r="315" spans="11:13" ht="12" customHeight="1" x14ac:dyDescent="0.25">
      <c r="K315" s="90">
        <f ca="1">_xlfn.LET(_xlpm.int, OFFSET(PSA.Data!$E317, 0, ($F$2-1)*6), _xlpm.ctrl, OFFSET(PSA.Data!$E317, 0, ($F$2-1)*6 + 1),
_xlpm.int - _xlpm.ctrl)</f>
        <v>18476392.038908377</v>
      </c>
      <c r="L315" s="421">
        <f ca="1">_xlfn.LET(_xlpm.int, OFFSET(PSA.Data!$H317, 0, ($F$2-1)*6), _xlpm.ctrl, OFFSET(PSA.Data!$H317, 0, ($F$2-1)*6 + 1),
_xlpm.int - _xlpm.ctrl)</f>
        <v>-4707.1144383375113</v>
      </c>
      <c r="M315" s="134">
        <f t="shared" ca="1" si="15"/>
        <v>-5630.9340402829303</v>
      </c>
    </row>
    <row r="316" spans="11:13" ht="12" customHeight="1" x14ac:dyDescent="0.25">
      <c r="K316" s="90">
        <f ca="1">_xlfn.LET(_xlpm.int, OFFSET(PSA.Data!$E318, 0, ($F$2-1)*6), _xlpm.ctrl, OFFSET(PSA.Data!$E318, 0, ($F$2-1)*6 + 1),
_xlpm.int - _xlpm.ctrl)</f>
        <v>16856099.565317214</v>
      </c>
      <c r="L316" s="421">
        <f ca="1">_xlfn.LET(_xlpm.int, OFFSET(PSA.Data!$H318, 0, ($F$2-1)*6), _xlpm.ctrl, OFFSET(PSA.Data!$H318, 0, ($F$2-1)*6 + 1),
_xlpm.int - _xlpm.ctrl)</f>
        <v>-6843.3575484718785</v>
      </c>
      <c r="M316" s="134">
        <f t="shared" ca="1" si="15"/>
        <v>-7686.1625267377394</v>
      </c>
    </row>
    <row r="317" spans="11:13" ht="12" customHeight="1" x14ac:dyDescent="0.25">
      <c r="K317" s="90">
        <f ca="1">_xlfn.LET(_xlpm.int, OFFSET(PSA.Data!$E319, 0, ($F$2-1)*6), _xlpm.ctrl, OFFSET(PSA.Data!$E319, 0, ($F$2-1)*6 + 1),
_xlpm.int - _xlpm.ctrl)</f>
        <v>11304010.197447693</v>
      </c>
      <c r="L317" s="421">
        <f ca="1">_xlfn.LET(_xlpm.int, OFFSET(PSA.Data!$H319, 0, ($F$2-1)*6), _xlpm.ctrl, OFFSET(PSA.Data!$H319, 0, ($F$2-1)*6 + 1),
_xlpm.int - _xlpm.ctrl)</f>
        <v>-4090.508430485077</v>
      </c>
      <c r="M317" s="134">
        <f t="shared" ca="1" si="15"/>
        <v>-4655.7089403574619</v>
      </c>
    </row>
    <row r="318" spans="11:13" ht="12" customHeight="1" x14ac:dyDescent="0.25">
      <c r="K318" s="90">
        <f ca="1">_xlfn.LET(_xlpm.int, OFFSET(PSA.Data!$E320, 0, ($F$2-1)*6), _xlpm.ctrl, OFFSET(PSA.Data!$E320, 0, ($F$2-1)*6 + 1),
_xlpm.int - _xlpm.ctrl)</f>
        <v>18634379.220767252</v>
      </c>
      <c r="L318" s="421">
        <f ca="1">_xlfn.LET(_xlpm.int, OFFSET(PSA.Data!$H320, 0, ($F$2-1)*6), _xlpm.ctrl, OFFSET(PSA.Data!$H320, 0, ($F$2-1)*6 + 1),
_xlpm.int - _xlpm.ctrl)</f>
        <v>-7271.791654049699</v>
      </c>
      <c r="M318" s="134">
        <f t="shared" ca="1" si="15"/>
        <v>-8203.510615088062</v>
      </c>
    </row>
    <row r="319" spans="11:13" ht="12" customHeight="1" x14ac:dyDescent="0.25">
      <c r="K319" s="90">
        <f ca="1">_xlfn.LET(_xlpm.int, OFFSET(PSA.Data!$E321, 0, ($F$2-1)*6), _xlpm.ctrl, OFFSET(PSA.Data!$E321, 0, ($F$2-1)*6 + 1),
_xlpm.int - _xlpm.ctrl)</f>
        <v>47435155.581177726</v>
      </c>
      <c r="L319" s="421">
        <f ca="1">_xlfn.LET(_xlpm.int, OFFSET(PSA.Data!$H321, 0, ($F$2-1)*6), _xlpm.ctrl, OFFSET(PSA.Data!$H321, 0, ($F$2-1)*6 + 1),
_xlpm.int - _xlpm.ctrl)</f>
        <v>-5439.9946954063316</v>
      </c>
      <c r="M319" s="134">
        <f t="shared" ca="1" si="15"/>
        <v>-7811.7524744652183</v>
      </c>
    </row>
    <row r="320" spans="11:13" ht="12" customHeight="1" x14ac:dyDescent="0.25">
      <c r="K320" s="90">
        <f ca="1">_xlfn.LET(_xlpm.int, OFFSET(PSA.Data!$E322, 0, ($F$2-1)*6), _xlpm.ctrl, OFFSET(PSA.Data!$E322, 0, ($F$2-1)*6 + 1),
_xlpm.int - _xlpm.ctrl)</f>
        <v>22575955.930084456</v>
      </c>
      <c r="L320" s="421">
        <f ca="1">_xlfn.LET(_xlpm.int, OFFSET(PSA.Data!$H322, 0, ($F$2-1)*6), _xlpm.ctrl, OFFSET(PSA.Data!$H322, 0, ($F$2-1)*6 + 1),
_xlpm.int - _xlpm.ctrl)</f>
        <v>-6006.0624873513416</v>
      </c>
      <c r="M320" s="134">
        <f t="shared" ca="1" si="15"/>
        <v>-7134.8602838555644</v>
      </c>
    </row>
    <row r="321" spans="11:13" ht="12" customHeight="1" x14ac:dyDescent="0.25">
      <c r="K321" s="90">
        <f ca="1">_xlfn.LET(_xlpm.int, OFFSET(PSA.Data!$E323, 0, ($F$2-1)*6), _xlpm.ctrl, OFFSET(PSA.Data!$E323, 0, ($F$2-1)*6 + 1),
_xlpm.int - _xlpm.ctrl)</f>
        <v>11210796.317380516</v>
      </c>
      <c r="L321" s="421">
        <f ca="1">_xlfn.LET(_xlpm.int, OFFSET(PSA.Data!$H323, 0, ($F$2-1)*6), _xlpm.ctrl, OFFSET(PSA.Data!$H323, 0, ($F$2-1)*6 + 1),
_xlpm.int - _xlpm.ctrl)</f>
        <v>-4093.4172384212552</v>
      </c>
      <c r="M321" s="134">
        <f t="shared" ca="1" si="15"/>
        <v>-4653.9570542902811</v>
      </c>
    </row>
    <row r="322" spans="11:13" ht="12" customHeight="1" x14ac:dyDescent="0.25">
      <c r="K322" s="90">
        <f ca="1">_xlfn.LET(_xlpm.int, OFFSET(PSA.Data!$E324, 0, ($F$2-1)*6), _xlpm.ctrl, OFFSET(PSA.Data!$E324, 0, ($F$2-1)*6 + 1),
_xlpm.int - _xlpm.ctrl)</f>
        <v>22743971.149305001</v>
      </c>
      <c r="L322" s="421">
        <f ca="1">_xlfn.LET(_xlpm.int, OFFSET(PSA.Data!$H324, 0, ($F$2-1)*6), _xlpm.ctrl, OFFSET(PSA.Data!$H324, 0, ($F$2-1)*6 + 1),
_xlpm.int - _xlpm.ctrl)</f>
        <v>-6101.8032833120697</v>
      </c>
      <c r="M322" s="134">
        <f t="shared" ca="1" si="15"/>
        <v>-7239.0018407773196</v>
      </c>
    </row>
    <row r="323" spans="11:13" ht="12" customHeight="1" x14ac:dyDescent="0.25">
      <c r="K323" s="90">
        <f ca="1">_xlfn.LET(_xlpm.int, OFFSET(PSA.Data!$E325, 0, ($F$2-1)*6), _xlpm.ctrl, OFFSET(PSA.Data!$E325, 0, ($F$2-1)*6 + 1),
_xlpm.int - _xlpm.ctrl)</f>
        <v>16366530.125823939</v>
      </c>
      <c r="L323" s="421">
        <f ca="1">_xlfn.LET(_xlpm.int, OFFSET(PSA.Data!$H325, 0, ($F$2-1)*6), _xlpm.ctrl, OFFSET(PSA.Data!$H325, 0, ($F$2-1)*6 + 1),
_xlpm.int - _xlpm.ctrl)</f>
        <v>-5492.0575850714995</v>
      </c>
      <c r="M323" s="134">
        <f t="shared" ca="1" si="15"/>
        <v>-6310.3840913626964</v>
      </c>
    </row>
    <row r="324" spans="11:13" ht="12" customHeight="1" x14ac:dyDescent="0.25">
      <c r="K324" s="90">
        <f ca="1">_xlfn.LET(_xlpm.int, OFFSET(PSA.Data!$E326, 0, ($F$2-1)*6), _xlpm.ctrl, OFFSET(PSA.Data!$E326, 0, ($F$2-1)*6 + 1),
_xlpm.int - _xlpm.ctrl)</f>
        <v>18098119.993158072</v>
      </c>
      <c r="L324" s="421">
        <f ca="1">_xlfn.LET(_xlpm.int, OFFSET(PSA.Data!$H326, 0, ($F$2-1)*6), _xlpm.ctrl, OFFSET(PSA.Data!$H326, 0, ($F$2-1)*6 + 1),
_xlpm.int - _xlpm.ctrl)</f>
        <v>-4617.2799822168172</v>
      </c>
      <c r="M324" s="134">
        <f t="shared" ca="1" si="15"/>
        <v>-5522.1859818747207</v>
      </c>
    </row>
    <row r="325" spans="11:13" ht="12" customHeight="1" x14ac:dyDescent="0.25">
      <c r="K325" s="90">
        <f ca="1">_xlfn.LET(_xlpm.int, OFFSET(PSA.Data!$E327, 0, ($F$2-1)*6), _xlpm.ctrl, OFFSET(PSA.Data!$E327, 0, ($F$2-1)*6 + 1),
_xlpm.int - _xlpm.ctrl)</f>
        <v>25510863.624863636</v>
      </c>
      <c r="L325" s="421">
        <f ca="1">_xlfn.LET(_xlpm.int, OFFSET(PSA.Data!$H327, 0, ($F$2-1)*6), _xlpm.ctrl, OFFSET(PSA.Data!$H327, 0, ($F$2-1)*6 + 1),
_xlpm.int - _xlpm.ctrl)</f>
        <v>-5700.1427525432855</v>
      </c>
      <c r="M325" s="134">
        <f t="shared" ca="1" si="15"/>
        <v>-6975.6859337864671</v>
      </c>
    </row>
    <row r="326" spans="11:13" ht="12" customHeight="1" x14ac:dyDescent="0.25">
      <c r="K326" s="90">
        <f ca="1">_xlfn.LET(_xlpm.int, OFFSET(PSA.Data!$E328, 0, ($F$2-1)*6), _xlpm.ctrl, OFFSET(PSA.Data!$E328, 0, ($F$2-1)*6 + 1),
_xlpm.int - _xlpm.ctrl)</f>
        <v>23517829.149725873</v>
      </c>
      <c r="L326" s="421">
        <f ca="1">_xlfn.LET(_xlpm.int, OFFSET(PSA.Data!$H328, 0, ($F$2-1)*6), _xlpm.ctrl, OFFSET(PSA.Data!$H328, 0, ($F$2-1)*6 + 1),
_xlpm.int - _xlpm.ctrl)</f>
        <v>-5673.0164299008857</v>
      </c>
      <c r="M326" s="134">
        <f t="shared" ca="1" si="15"/>
        <v>-6848.9078873871795</v>
      </c>
    </row>
    <row r="327" spans="11:13" ht="12" customHeight="1" x14ac:dyDescent="0.25">
      <c r="K327" s="90">
        <f ca="1">_xlfn.LET(_xlpm.int, OFFSET(PSA.Data!$E329, 0, ($F$2-1)*6), _xlpm.ctrl, OFFSET(PSA.Data!$E329, 0, ($F$2-1)*6 + 1),
_xlpm.int - _xlpm.ctrl)</f>
        <v>40090596.517418191</v>
      </c>
      <c r="L327" s="421">
        <f ca="1">_xlfn.LET(_xlpm.int, OFFSET(PSA.Data!$H329, 0, ($F$2-1)*6), _xlpm.ctrl, OFFSET(PSA.Data!$H329, 0, ($F$2-1)*6 + 1),
_xlpm.int - _xlpm.ctrl)</f>
        <v>-5620.6371715870637</v>
      </c>
      <c r="M327" s="134">
        <f t="shared" ca="1" si="15"/>
        <v>-7625.1669974579727</v>
      </c>
    </row>
    <row r="328" spans="11:13" ht="12" customHeight="1" x14ac:dyDescent="0.25">
      <c r="K328" s="90">
        <f ca="1">_xlfn.LET(_xlpm.int, OFFSET(PSA.Data!$E330, 0, ($F$2-1)*6), _xlpm.ctrl, OFFSET(PSA.Data!$E330, 0, ($F$2-1)*6 + 1),
_xlpm.int - _xlpm.ctrl)</f>
        <v>19051796.366905969</v>
      </c>
      <c r="L328" s="421">
        <f ca="1">_xlfn.LET(_xlpm.int, OFFSET(PSA.Data!$H330, 0, ($F$2-1)*6), _xlpm.ctrl, OFFSET(PSA.Data!$H330, 0, ($F$2-1)*6 + 1),
_xlpm.int - _xlpm.ctrl)</f>
        <v>-5900.4100776596897</v>
      </c>
      <c r="M328" s="134">
        <f t="shared" ca="1" si="15"/>
        <v>-6852.9998960049879</v>
      </c>
    </row>
    <row r="329" spans="11:13" ht="12" customHeight="1" x14ac:dyDescent="0.25">
      <c r="K329" s="90">
        <f ca="1">_xlfn.LET(_xlpm.int, OFFSET(PSA.Data!$E331, 0, ($F$2-1)*6), _xlpm.ctrl, OFFSET(PSA.Data!$E331, 0, ($F$2-1)*6 + 1),
_xlpm.int - _xlpm.ctrl)</f>
        <v>23407319.498325899</v>
      </c>
      <c r="L329" s="421">
        <f ca="1">_xlfn.LET(_xlpm.int, OFFSET(PSA.Data!$H331, 0, ($F$2-1)*6), _xlpm.ctrl, OFFSET(PSA.Data!$H331, 0, ($F$2-1)*6 + 1),
_xlpm.int - _xlpm.ctrl)</f>
        <v>-5499.2314787207461</v>
      </c>
      <c r="M329" s="134">
        <f t="shared" ca="1" si="15"/>
        <v>-6669.5974536370413</v>
      </c>
    </row>
    <row r="330" spans="11:13" ht="12" customHeight="1" x14ac:dyDescent="0.25">
      <c r="K330" s="90">
        <f ca="1">_xlfn.LET(_xlpm.int, OFFSET(PSA.Data!$E332, 0, ($F$2-1)*6), _xlpm.ctrl, OFFSET(PSA.Data!$E332, 0, ($F$2-1)*6 + 1),
_xlpm.int - _xlpm.ctrl)</f>
        <v>21956312.906613093</v>
      </c>
      <c r="L330" s="421">
        <f ca="1">_xlfn.LET(_xlpm.int, OFFSET(PSA.Data!$H332, 0, ($F$2-1)*6), _xlpm.ctrl, OFFSET(PSA.Data!$H332, 0, ($F$2-1)*6 + 1),
_xlpm.int - _xlpm.ctrl)</f>
        <v>-4630.223067958892</v>
      </c>
      <c r="M330" s="134">
        <f t="shared" ca="1" si="15"/>
        <v>-5728.0387132895466</v>
      </c>
    </row>
    <row r="331" spans="11:13" ht="12" customHeight="1" x14ac:dyDescent="0.25">
      <c r="K331" s="90">
        <f ca="1">_xlfn.LET(_xlpm.int, OFFSET(PSA.Data!$E333, 0, ($F$2-1)*6), _xlpm.ctrl, OFFSET(PSA.Data!$E333, 0, ($F$2-1)*6 + 1),
_xlpm.int - _xlpm.ctrl)</f>
        <v>12921422.116047166</v>
      </c>
      <c r="L331" s="421">
        <f ca="1">_xlfn.LET(_xlpm.int, OFFSET(PSA.Data!$H333, 0, ($F$2-1)*6), _xlpm.ctrl, OFFSET(PSA.Data!$H333, 0, ($F$2-1)*6 + 1),
_xlpm.int - _xlpm.ctrl)</f>
        <v>-4159.6624496705417</v>
      </c>
      <c r="M331" s="134">
        <f t="shared" ca="1" si="15"/>
        <v>-4805.7335554728998</v>
      </c>
    </row>
    <row r="332" spans="11:13" ht="12" customHeight="1" x14ac:dyDescent="0.25">
      <c r="K332" s="90">
        <f ca="1">_xlfn.LET(_xlpm.int, OFFSET(PSA.Data!$E334, 0, ($F$2-1)*6), _xlpm.ctrl, OFFSET(PSA.Data!$E334, 0, ($F$2-1)*6 + 1),
_xlpm.int - _xlpm.ctrl)</f>
        <v>21248946.629625358</v>
      </c>
      <c r="L332" s="421">
        <f ca="1">_xlfn.LET(_xlpm.int, OFFSET(PSA.Data!$H334, 0, ($F$2-1)*6), _xlpm.ctrl, OFFSET(PSA.Data!$H334, 0, ($F$2-1)*6 + 1),
_xlpm.int - _xlpm.ctrl)</f>
        <v>-4794.7564344462317</v>
      </c>
      <c r="M332" s="134">
        <f t="shared" ca="1" si="15"/>
        <v>-5857.2037659274993</v>
      </c>
    </row>
    <row r="333" spans="11:13" ht="12" customHeight="1" x14ac:dyDescent="0.25">
      <c r="K333" s="90">
        <f ca="1">_xlfn.LET(_xlpm.int, OFFSET(PSA.Data!$E335, 0, ($F$2-1)*6), _xlpm.ctrl, OFFSET(PSA.Data!$E335, 0, ($F$2-1)*6 + 1),
_xlpm.int - _xlpm.ctrl)</f>
        <v>34919572.418198973</v>
      </c>
      <c r="L333" s="421">
        <f ca="1">_xlfn.LET(_xlpm.int, OFFSET(PSA.Data!$H335, 0, ($F$2-1)*6), _xlpm.ctrl, OFFSET(PSA.Data!$H335, 0, ($F$2-1)*6 + 1),
_xlpm.int - _xlpm.ctrl)</f>
        <v>-5566.7975043347624</v>
      </c>
      <c r="M333" s="134">
        <f t="shared" ca="1" si="15"/>
        <v>-7312.7761252447108</v>
      </c>
    </row>
    <row r="334" spans="11:13" ht="12" customHeight="1" x14ac:dyDescent="0.25">
      <c r="K334" s="90">
        <f ca="1">_xlfn.LET(_xlpm.int, OFFSET(PSA.Data!$E336, 0, ($F$2-1)*6), _xlpm.ctrl, OFFSET(PSA.Data!$E336, 0, ($F$2-1)*6 + 1),
_xlpm.int - _xlpm.ctrl)</f>
        <v>38167463.304511651</v>
      </c>
      <c r="L334" s="421">
        <f ca="1">_xlfn.LET(_xlpm.int, OFFSET(PSA.Data!$H336, 0, ($F$2-1)*6), _xlpm.ctrl, OFFSET(PSA.Data!$H336, 0, ($F$2-1)*6 + 1),
_xlpm.int - _xlpm.ctrl)</f>
        <v>-5621.9880099381335</v>
      </c>
      <c r="M334" s="134">
        <f t="shared" ca="1" si="15"/>
        <v>-7530.3611751637163</v>
      </c>
    </row>
    <row r="335" spans="11:13" ht="12" customHeight="1" x14ac:dyDescent="0.25">
      <c r="K335" s="90">
        <f ca="1">_xlfn.LET(_xlpm.int, OFFSET(PSA.Data!$E337, 0, ($F$2-1)*6), _xlpm.ctrl, OFFSET(PSA.Data!$E337, 0, ($F$2-1)*6 + 1),
_xlpm.int - _xlpm.ctrl)</f>
        <v>29876095.587776892</v>
      </c>
      <c r="L335" s="421">
        <f ca="1">_xlfn.LET(_xlpm.int, OFFSET(PSA.Data!$H337, 0, ($F$2-1)*6), _xlpm.ctrl, OFFSET(PSA.Data!$H337, 0, ($F$2-1)*6 + 1),
_xlpm.int - _xlpm.ctrl)</f>
        <v>-5342.3593933967377</v>
      </c>
      <c r="M335" s="134">
        <f t="shared" ca="1" si="15"/>
        <v>-6836.1641727855822</v>
      </c>
    </row>
    <row r="336" spans="11:13" ht="12" customHeight="1" x14ac:dyDescent="0.25">
      <c r="K336" s="90">
        <f ca="1">_xlfn.LET(_xlpm.int, OFFSET(PSA.Data!$E338, 0, ($F$2-1)*6), _xlpm.ctrl, OFFSET(PSA.Data!$E338, 0, ($F$2-1)*6 + 1),
_xlpm.int - _xlpm.ctrl)</f>
        <v>37646941.37532334</v>
      </c>
      <c r="L336" s="421">
        <f ca="1">_xlfn.LET(_xlpm.int, OFFSET(PSA.Data!$H338, 0, ($F$2-1)*6), _xlpm.ctrl, OFFSET(PSA.Data!$H338, 0, ($F$2-1)*6 + 1),
_xlpm.int - _xlpm.ctrl)</f>
        <v>-5812.7892434421501</v>
      </c>
      <c r="M336" s="134">
        <f t="shared" ref="M336:M399" ca="1" si="16">L336-K336/WTP</f>
        <v>-7695.1363122083167</v>
      </c>
    </row>
    <row r="337" spans="11:13" ht="12" customHeight="1" x14ac:dyDescent="0.25">
      <c r="K337" s="90">
        <f ca="1">_xlfn.LET(_xlpm.int, OFFSET(PSA.Data!$E339, 0, ($F$2-1)*6), _xlpm.ctrl, OFFSET(PSA.Data!$E339, 0, ($F$2-1)*6 + 1),
_xlpm.int - _xlpm.ctrl)</f>
        <v>72555620.437312961</v>
      </c>
      <c r="L337" s="421">
        <f ca="1">_xlfn.LET(_xlpm.int, OFFSET(PSA.Data!$H339, 0, ($F$2-1)*6), _xlpm.ctrl, OFFSET(PSA.Data!$H339, 0, ($F$2-1)*6 + 1),
_xlpm.int - _xlpm.ctrl)</f>
        <v>-7169.0992394788082</v>
      </c>
      <c r="M337" s="134">
        <f t="shared" ca="1" si="16"/>
        <v>-10796.880261344457</v>
      </c>
    </row>
    <row r="338" spans="11:13" ht="12" customHeight="1" x14ac:dyDescent="0.25">
      <c r="K338" s="90">
        <f ca="1">_xlfn.LET(_xlpm.int, OFFSET(PSA.Data!$E340, 0, ($F$2-1)*6), _xlpm.ctrl, OFFSET(PSA.Data!$E340, 0, ($F$2-1)*6 + 1),
_xlpm.int - _xlpm.ctrl)</f>
        <v>45185498.547851533</v>
      </c>
      <c r="L338" s="421">
        <f ca="1">_xlfn.LET(_xlpm.int, OFFSET(PSA.Data!$H340, 0, ($F$2-1)*6), _xlpm.ctrl, OFFSET(PSA.Data!$H340, 0, ($F$2-1)*6 + 1),
_xlpm.int - _xlpm.ctrl)</f>
        <v>-5631.8805828606964</v>
      </c>
      <c r="M338" s="134">
        <f t="shared" ca="1" si="16"/>
        <v>-7891.155510253273</v>
      </c>
    </row>
    <row r="339" spans="11:13" ht="12" customHeight="1" x14ac:dyDescent="0.25">
      <c r="K339" s="90">
        <f ca="1">_xlfn.LET(_xlpm.int, OFFSET(PSA.Data!$E341, 0, ($F$2-1)*6), _xlpm.ctrl, OFFSET(PSA.Data!$E341, 0, ($F$2-1)*6 + 1),
_xlpm.int - _xlpm.ctrl)</f>
        <v>24802320.033646837</v>
      </c>
      <c r="L339" s="421">
        <f ca="1">_xlfn.LET(_xlpm.int, OFFSET(PSA.Data!$H341, 0, ($F$2-1)*6), _xlpm.ctrl, OFFSET(PSA.Data!$H341, 0, ($F$2-1)*6 + 1),
_xlpm.int - _xlpm.ctrl)</f>
        <v>-6739.0293504222864</v>
      </c>
      <c r="M339" s="134">
        <f t="shared" ca="1" si="16"/>
        <v>-7979.1453521046278</v>
      </c>
    </row>
    <row r="340" spans="11:13" ht="12" customHeight="1" x14ac:dyDescent="0.25">
      <c r="K340" s="90">
        <f ca="1">_xlfn.LET(_xlpm.int, OFFSET(PSA.Data!$E342, 0, ($F$2-1)*6), _xlpm.ctrl, OFFSET(PSA.Data!$E342, 0, ($F$2-1)*6 + 1),
_xlpm.int - _xlpm.ctrl)</f>
        <v>32125611.636617761</v>
      </c>
      <c r="L340" s="421">
        <f ca="1">_xlfn.LET(_xlpm.int, OFFSET(PSA.Data!$H342, 0, ($F$2-1)*6), _xlpm.ctrl, OFFSET(PSA.Data!$H342, 0, ($F$2-1)*6 + 1),
_xlpm.int - _xlpm.ctrl)</f>
        <v>-7951.4351610221911</v>
      </c>
      <c r="M340" s="134">
        <f t="shared" ca="1" si="16"/>
        <v>-9557.7157428530791</v>
      </c>
    </row>
    <row r="341" spans="11:13" ht="12" customHeight="1" x14ac:dyDescent="0.25">
      <c r="K341" s="90">
        <f ca="1">_xlfn.LET(_xlpm.int, OFFSET(PSA.Data!$E343, 0, ($F$2-1)*6), _xlpm.ctrl, OFFSET(PSA.Data!$E343, 0, ($F$2-1)*6 + 1),
_xlpm.int - _xlpm.ctrl)</f>
        <v>12609091.50612174</v>
      </c>
      <c r="L341" s="421">
        <f ca="1">_xlfn.LET(_xlpm.int, OFFSET(PSA.Data!$H343, 0, ($F$2-1)*6), _xlpm.ctrl, OFFSET(PSA.Data!$H343, 0, ($F$2-1)*6 + 1),
_xlpm.int - _xlpm.ctrl)</f>
        <v>-5470.8273921062546</v>
      </c>
      <c r="M341" s="134">
        <f t="shared" ca="1" si="16"/>
        <v>-6101.2819674123421</v>
      </c>
    </row>
    <row r="342" spans="11:13" ht="12" customHeight="1" x14ac:dyDescent="0.25">
      <c r="K342" s="90">
        <f ca="1">_xlfn.LET(_xlpm.int, OFFSET(PSA.Data!$E344, 0, ($F$2-1)*6), _xlpm.ctrl, OFFSET(PSA.Data!$E344, 0, ($F$2-1)*6 + 1),
_xlpm.int - _xlpm.ctrl)</f>
        <v>24841781.451405648</v>
      </c>
      <c r="L342" s="421">
        <f ca="1">_xlfn.LET(_xlpm.int, OFFSET(PSA.Data!$H344, 0, ($F$2-1)*6), _xlpm.ctrl, OFFSET(PSA.Data!$H344, 0, ($F$2-1)*6 + 1),
_xlpm.int - _xlpm.ctrl)</f>
        <v>-6376.2324225200264</v>
      </c>
      <c r="M342" s="134">
        <f t="shared" ca="1" si="16"/>
        <v>-7618.3214950903093</v>
      </c>
    </row>
    <row r="343" spans="11:13" ht="12" customHeight="1" x14ac:dyDescent="0.25">
      <c r="K343" s="90">
        <f ca="1">_xlfn.LET(_xlpm.int, OFFSET(PSA.Data!$E345, 0, ($F$2-1)*6), _xlpm.ctrl, OFFSET(PSA.Data!$E345, 0, ($F$2-1)*6 + 1),
_xlpm.int - _xlpm.ctrl)</f>
        <v>21404837.94258479</v>
      </c>
      <c r="L343" s="421">
        <f ca="1">_xlfn.LET(_xlpm.int, OFFSET(PSA.Data!$H345, 0, ($F$2-1)*6), _xlpm.ctrl, OFFSET(PSA.Data!$H345, 0, ($F$2-1)*6 + 1),
_xlpm.int - _xlpm.ctrl)</f>
        <v>-5462.4602868927595</v>
      </c>
      <c r="M343" s="134">
        <f t="shared" ca="1" si="16"/>
        <v>-6532.7021840219986</v>
      </c>
    </row>
    <row r="344" spans="11:13" ht="12" customHeight="1" x14ac:dyDescent="0.25">
      <c r="K344" s="90">
        <f ca="1">_xlfn.LET(_xlpm.int, OFFSET(PSA.Data!$E346, 0, ($F$2-1)*6), _xlpm.ctrl, OFFSET(PSA.Data!$E346, 0, ($F$2-1)*6 + 1),
_xlpm.int - _xlpm.ctrl)</f>
        <v>8101558.2144165896</v>
      </c>
      <c r="L344" s="421">
        <f ca="1">_xlfn.LET(_xlpm.int, OFFSET(PSA.Data!$H346, 0, ($F$2-1)*6), _xlpm.ctrl, OFFSET(PSA.Data!$H346, 0, ($F$2-1)*6 + 1),
_xlpm.int - _xlpm.ctrl)</f>
        <v>-6080.5969810778788</v>
      </c>
      <c r="M344" s="134">
        <f t="shared" ca="1" si="16"/>
        <v>-6485.6748917987079</v>
      </c>
    </row>
    <row r="345" spans="11:13" ht="12" customHeight="1" x14ac:dyDescent="0.25">
      <c r="K345" s="90">
        <f ca="1">_xlfn.LET(_xlpm.int, OFFSET(PSA.Data!$E347, 0, ($F$2-1)*6), _xlpm.ctrl, OFFSET(PSA.Data!$E347, 0, ($F$2-1)*6 + 1),
_xlpm.int - _xlpm.ctrl)</f>
        <v>16737983.209058357</v>
      </c>
      <c r="L345" s="421">
        <f ca="1">_xlfn.LET(_xlpm.int, OFFSET(PSA.Data!$H347, 0, ($F$2-1)*6), _xlpm.ctrl, OFFSET(PSA.Data!$H347, 0, ($F$2-1)*6 + 1),
_xlpm.int - _xlpm.ctrl)</f>
        <v>-4656.7714870247191</v>
      </c>
      <c r="M345" s="134">
        <f t="shared" ca="1" si="16"/>
        <v>-5493.6706474776365</v>
      </c>
    </row>
    <row r="346" spans="11:13" ht="12" customHeight="1" x14ac:dyDescent="0.25">
      <c r="K346" s="90">
        <f ca="1">_xlfn.LET(_xlpm.int, OFFSET(PSA.Data!$E348, 0, ($F$2-1)*6), _xlpm.ctrl, OFFSET(PSA.Data!$E348, 0, ($F$2-1)*6 + 1),
_xlpm.int - _xlpm.ctrl)</f>
        <v>27981153.973453037</v>
      </c>
      <c r="L346" s="421">
        <f ca="1">_xlfn.LET(_xlpm.int, OFFSET(PSA.Data!$H348, 0, ($F$2-1)*6), _xlpm.ctrl, OFFSET(PSA.Data!$H348, 0, ($F$2-1)*6 + 1),
_xlpm.int - _xlpm.ctrl)</f>
        <v>-6158.101760969651</v>
      </c>
      <c r="M346" s="134">
        <f t="shared" ca="1" si="16"/>
        <v>-7557.1594596423029</v>
      </c>
    </row>
    <row r="347" spans="11:13" ht="12" customHeight="1" x14ac:dyDescent="0.25">
      <c r="K347" s="90">
        <f ca="1">_xlfn.LET(_xlpm.int, OFFSET(PSA.Data!$E349, 0, ($F$2-1)*6), _xlpm.ctrl, OFFSET(PSA.Data!$E349, 0, ($F$2-1)*6 + 1),
_xlpm.int - _xlpm.ctrl)</f>
        <v>45791291.328950979</v>
      </c>
      <c r="L347" s="421">
        <f ca="1">_xlfn.LET(_xlpm.int, OFFSET(PSA.Data!$H349, 0, ($F$2-1)*6), _xlpm.ctrl, OFFSET(PSA.Data!$H349, 0, ($F$2-1)*6 + 1),
_xlpm.int - _xlpm.ctrl)</f>
        <v>-6469.1435554453692</v>
      </c>
      <c r="M347" s="134">
        <f t="shared" ca="1" si="16"/>
        <v>-8758.7081218929179</v>
      </c>
    </row>
    <row r="348" spans="11:13" ht="12" customHeight="1" x14ac:dyDescent="0.25">
      <c r="K348" s="90">
        <f ca="1">_xlfn.LET(_xlpm.int, OFFSET(PSA.Data!$E350, 0, ($F$2-1)*6), _xlpm.ctrl, OFFSET(PSA.Data!$E350, 0, ($F$2-1)*6 + 1),
_xlpm.int - _xlpm.ctrl)</f>
        <v>14243386.667488143</v>
      </c>
      <c r="L348" s="421">
        <f ca="1">_xlfn.LET(_xlpm.int, OFFSET(PSA.Data!$H350, 0, ($F$2-1)*6), _xlpm.ctrl, OFFSET(PSA.Data!$H350, 0, ($F$2-1)*6 + 1),
_xlpm.int - _xlpm.ctrl)</f>
        <v>-4762.3764025013515</v>
      </c>
      <c r="M348" s="134">
        <f t="shared" ca="1" si="16"/>
        <v>-5474.5457358757585</v>
      </c>
    </row>
    <row r="349" spans="11:13" ht="12" customHeight="1" x14ac:dyDescent="0.25">
      <c r="K349" s="90">
        <f ca="1">_xlfn.LET(_xlpm.int, OFFSET(PSA.Data!$E351, 0, ($F$2-1)*6), _xlpm.ctrl, OFFSET(PSA.Data!$E351, 0, ($F$2-1)*6 + 1),
_xlpm.int - _xlpm.ctrl)</f>
        <v>20692462.279188052</v>
      </c>
      <c r="L349" s="421">
        <f ca="1">_xlfn.LET(_xlpm.int, OFFSET(PSA.Data!$H351, 0, ($F$2-1)*6), _xlpm.ctrl, OFFSET(PSA.Data!$H351, 0, ($F$2-1)*6 + 1),
_xlpm.int - _xlpm.ctrl)</f>
        <v>-5576.4731978896652</v>
      </c>
      <c r="M349" s="134">
        <f t="shared" ca="1" si="16"/>
        <v>-6611.0963118490681</v>
      </c>
    </row>
    <row r="350" spans="11:13" ht="12" customHeight="1" x14ac:dyDescent="0.25">
      <c r="K350" s="90">
        <f ca="1">_xlfn.LET(_xlpm.int, OFFSET(PSA.Data!$E352, 0, ($F$2-1)*6), _xlpm.ctrl, OFFSET(PSA.Data!$E352, 0, ($F$2-1)*6 + 1),
_xlpm.int - _xlpm.ctrl)</f>
        <v>19594912.255594857</v>
      </c>
      <c r="L350" s="421">
        <f ca="1">_xlfn.LET(_xlpm.int, OFFSET(PSA.Data!$H352, 0, ($F$2-1)*6), _xlpm.ctrl, OFFSET(PSA.Data!$H352, 0, ($F$2-1)*6 + 1),
_xlpm.int - _xlpm.ctrl)</f>
        <v>-6429.7323184075185</v>
      </c>
      <c r="M350" s="134">
        <f t="shared" ca="1" si="16"/>
        <v>-7409.4779311872617</v>
      </c>
    </row>
    <row r="351" spans="11:13" ht="12" customHeight="1" x14ac:dyDescent="0.25">
      <c r="K351" s="90">
        <f ca="1">_xlfn.LET(_xlpm.int, OFFSET(PSA.Data!$E353, 0, ($F$2-1)*6), _xlpm.ctrl, OFFSET(PSA.Data!$E353, 0, ($F$2-1)*6 + 1),
_xlpm.int - _xlpm.ctrl)</f>
        <v>46210292.480061047</v>
      </c>
      <c r="L351" s="421">
        <f ca="1">_xlfn.LET(_xlpm.int, OFFSET(PSA.Data!$H353, 0, ($F$2-1)*6), _xlpm.ctrl, OFFSET(PSA.Data!$H353, 0, ($F$2-1)*6 + 1),
_xlpm.int - _xlpm.ctrl)</f>
        <v>-6442.3624879930539</v>
      </c>
      <c r="M351" s="134">
        <f t="shared" ca="1" si="16"/>
        <v>-8752.8771119961057</v>
      </c>
    </row>
    <row r="352" spans="11:13" ht="12" customHeight="1" x14ac:dyDescent="0.25">
      <c r="K352" s="90">
        <f ca="1">_xlfn.LET(_xlpm.int, OFFSET(PSA.Data!$E354, 0, ($F$2-1)*6), _xlpm.ctrl, OFFSET(PSA.Data!$E354, 0, ($F$2-1)*6 + 1),
_xlpm.int - _xlpm.ctrl)</f>
        <v>29685454.215930637</v>
      </c>
      <c r="L352" s="421">
        <f ca="1">_xlfn.LET(_xlpm.int, OFFSET(PSA.Data!$H354, 0, ($F$2-1)*6), _xlpm.ctrl, OFFSET(PSA.Data!$H354, 0, ($F$2-1)*6 + 1),
_xlpm.int - _xlpm.ctrl)</f>
        <v>-6002.4706193190523</v>
      </c>
      <c r="M352" s="134">
        <f t="shared" ca="1" si="16"/>
        <v>-7486.7433301155843</v>
      </c>
    </row>
    <row r="353" spans="11:13" ht="12" customHeight="1" x14ac:dyDescent="0.25">
      <c r="K353" s="90">
        <f ca="1">_xlfn.LET(_xlpm.int, OFFSET(PSA.Data!$E355, 0, ($F$2-1)*6), _xlpm.ctrl, OFFSET(PSA.Data!$E355, 0, ($F$2-1)*6 + 1),
_xlpm.int - _xlpm.ctrl)</f>
        <v>24843175.399789698</v>
      </c>
      <c r="L353" s="421">
        <f ca="1">_xlfn.LET(_xlpm.int, OFFSET(PSA.Data!$H355, 0, ($F$2-1)*6), _xlpm.ctrl, OFFSET(PSA.Data!$H355, 0, ($F$2-1)*6 + 1),
_xlpm.int - _xlpm.ctrl)</f>
        <v>-5433.5792820785</v>
      </c>
      <c r="M353" s="134">
        <f t="shared" ca="1" si="16"/>
        <v>-6675.7380520679853</v>
      </c>
    </row>
    <row r="354" spans="11:13" ht="12" customHeight="1" x14ac:dyDescent="0.25">
      <c r="K354" s="90">
        <f ca="1">_xlfn.LET(_xlpm.int, OFFSET(PSA.Data!$E356, 0, ($F$2-1)*6), _xlpm.ctrl, OFFSET(PSA.Data!$E356, 0, ($F$2-1)*6 + 1),
_xlpm.int - _xlpm.ctrl)</f>
        <v>31957980.169159103</v>
      </c>
      <c r="L354" s="421">
        <f ca="1">_xlfn.LET(_xlpm.int, OFFSET(PSA.Data!$H356, 0, ($F$2-1)*6), _xlpm.ctrl, OFFSET(PSA.Data!$H356, 0, ($F$2-1)*6 + 1),
_xlpm.int - _xlpm.ctrl)</f>
        <v>-6766.8129091977562</v>
      </c>
      <c r="M354" s="134">
        <f t="shared" ca="1" si="16"/>
        <v>-8364.7119176557117</v>
      </c>
    </row>
    <row r="355" spans="11:13" ht="12" customHeight="1" x14ac:dyDescent="0.25">
      <c r="K355" s="90">
        <f ca="1">_xlfn.LET(_xlpm.int, OFFSET(PSA.Data!$E357, 0, ($F$2-1)*6), _xlpm.ctrl, OFFSET(PSA.Data!$E357, 0, ($F$2-1)*6 + 1),
_xlpm.int - _xlpm.ctrl)</f>
        <v>93852790.869853675</v>
      </c>
      <c r="L355" s="421">
        <f ca="1">_xlfn.LET(_xlpm.int, OFFSET(PSA.Data!$H357, 0, ($F$2-1)*6), _xlpm.ctrl, OFFSET(PSA.Data!$H357, 0, ($F$2-1)*6 + 1),
_xlpm.int - _xlpm.ctrl)</f>
        <v>-9061.1942284524157</v>
      </c>
      <c r="M355" s="134">
        <f t="shared" ca="1" si="16"/>
        <v>-13753.833771945099</v>
      </c>
    </row>
    <row r="356" spans="11:13" ht="12" customHeight="1" x14ac:dyDescent="0.25">
      <c r="K356" s="90">
        <f ca="1">_xlfn.LET(_xlpm.int, OFFSET(PSA.Data!$E358, 0, ($F$2-1)*6), _xlpm.ctrl, OFFSET(PSA.Data!$E358, 0, ($F$2-1)*6 + 1),
_xlpm.int - _xlpm.ctrl)</f>
        <v>10896021.407404717</v>
      </c>
      <c r="L356" s="421">
        <f ca="1">_xlfn.LET(_xlpm.int, OFFSET(PSA.Data!$H358, 0, ($F$2-1)*6), _xlpm.ctrl, OFFSET(PSA.Data!$H358, 0, ($F$2-1)*6 + 1),
_xlpm.int - _xlpm.ctrl)</f>
        <v>-5418.759224732531</v>
      </c>
      <c r="M356" s="134">
        <f t="shared" ca="1" si="16"/>
        <v>-5963.5602951027668</v>
      </c>
    </row>
    <row r="357" spans="11:13" ht="12" customHeight="1" x14ac:dyDescent="0.25">
      <c r="K357" s="90">
        <f ca="1">_xlfn.LET(_xlpm.int, OFFSET(PSA.Data!$E359, 0, ($F$2-1)*6), _xlpm.ctrl, OFFSET(PSA.Data!$E359, 0, ($F$2-1)*6 + 1),
_xlpm.int - _xlpm.ctrl)</f>
        <v>30161601.940970019</v>
      </c>
      <c r="L357" s="421">
        <f ca="1">_xlfn.LET(_xlpm.int, OFFSET(PSA.Data!$H359, 0, ($F$2-1)*6), _xlpm.ctrl, OFFSET(PSA.Data!$H359, 0, ($F$2-1)*6 + 1),
_xlpm.int - _xlpm.ctrl)</f>
        <v>-5881.0200092006562</v>
      </c>
      <c r="M357" s="134">
        <f t="shared" ca="1" si="16"/>
        <v>-7389.1001062491569</v>
      </c>
    </row>
    <row r="358" spans="11:13" ht="12" customHeight="1" x14ac:dyDescent="0.25">
      <c r="K358" s="90">
        <f ca="1">_xlfn.LET(_xlpm.int, OFFSET(PSA.Data!$E360, 0, ($F$2-1)*6), _xlpm.ctrl, OFFSET(PSA.Data!$E360, 0, ($F$2-1)*6 + 1),
_xlpm.int - _xlpm.ctrl)</f>
        <v>23098251.843570486</v>
      </c>
      <c r="L358" s="421">
        <f ca="1">_xlfn.LET(_xlpm.int, OFFSET(PSA.Data!$H360, 0, ($F$2-1)*6), _xlpm.ctrl, OFFSET(PSA.Data!$H360, 0, ($F$2-1)*6 + 1),
_xlpm.int - _xlpm.ctrl)</f>
        <v>-5589.8812802990942</v>
      </c>
      <c r="M358" s="134">
        <f t="shared" ca="1" si="16"/>
        <v>-6744.7938724776186</v>
      </c>
    </row>
    <row r="359" spans="11:13" ht="12" customHeight="1" x14ac:dyDescent="0.25">
      <c r="K359" s="90">
        <f ca="1">_xlfn.LET(_xlpm.int, OFFSET(PSA.Data!$E361, 0, ($F$2-1)*6), _xlpm.ctrl, OFFSET(PSA.Data!$E361, 0, ($F$2-1)*6 + 1),
_xlpm.int - _xlpm.ctrl)</f>
        <v>32873167.292512912</v>
      </c>
      <c r="L359" s="421">
        <f ca="1">_xlfn.LET(_xlpm.int, OFFSET(PSA.Data!$H361, 0, ($F$2-1)*6), _xlpm.ctrl, OFFSET(PSA.Data!$H361, 0, ($F$2-1)*6 + 1),
_xlpm.int - _xlpm.ctrl)</f>
        <v>-6224.7598668297833</v>
      </c>
      <c r="M359" s="134">
        <f t="shared" ca="1" si="16"/>
        <v>-7868.4182314554291</v>
      </c>
    </row>
    <row r="360" spans="11:13" ht="12" customHeight="1" x14ac:dyDescent="0.25">
      <c r="K360" s="90">
        <f ca="1">_xlfn.LET(_xlpm.int, OFFSET(PSA.Data!$E362, 0, ($F$2-1)*6), _xlpm.ctrl, OFFSET(PSA.Data!$E362, 0, ($F$2-1)*6 + 1),
_xlpm.int - _xlpm.ctrl)</f>
        <v>28029644.076004252</v>
      </c>
      <c r="L360" s="421">
        <f ca="1">_xlfn.LET(_xlpm.int, OFFSET(PSA.Data!$H362, 0, ($F$2-1)*6), _xlpm.ctrl, OFFSET(PSA.Data!$H362, 0, ($F$2-1)*6 + 1),
_xlpm.int - _xlpm.ctrl)</f>
        <v>-6600.2044639010919</v>
      </c>
      <c r="M360" s="134">
        <f t="shared" ca="1" si="16"/>
        <v>-8001.686667701304</v>
      </c>
    </row>
    <row r="361" spans="11:13" ht="12" customHeight="1" x14ac:dyDescent="0.25">
      <c r="K361" s="90">
        <f ca="1">_xlfn.LET(_xlpm.int, OFFSET(PSA.Data!$E363, 0, ($F$2-1)*6), _xlpm.ctrl, OFFSET(PSA.Data!$E363, 0, ($F$2-1)*6 + 1),
_xlpm.int - _xlpm.ctrl)</f>
        <v>24668711.273751337</v>
      </c>
      <c r="L361" s="421">
        <f ca="1">_xlfn.LET(_xlpm.int, OFFSET(PSA.Data!$H363, 0, ($F$2-1)*6), _xlpm.ctrl, OFFSET(PSA.Data!$H363, 0, ($F$2-1)*6 + 1),
_xlpm.int - _xlpm.ctrl)</f>
        <v>-6004.7850800550541</v>
      </c>
      <c r="M361" s="134">
        <f t="shared" ca="1" si="16"/>
        <v>-7238.2206437426212</v>
      </c>
    </row>
    <row r="362" spans="11:13" ht="12" customHeight="1" x14ac:dyDescent="0.25">
      <c r="K362" s="90">
        <f ca="1">_xlfn.LET(_xlpm.int, OFFSET(PSA.Data!$E364, 0, ($F$2-1)*6), _xlpm.ctrl, OFFSET(PSA.Data!$E364, 0, ($F$2-1)*6 + 1),
_xlpm.int - _xlpm.ctrl)</f>
        <v>38889993.702113822</v>
      </c>
      <c r="L362" s="421">
        <f ca="1">_xlfn.LET(_xlpm.int, OFFSET(PSA.Data!$H364, 0, ($F$2-1)*6), _xlpm.ctrl, OFFSET(PSA.Data!$H364, 0, ($F$2-1)*6 + 1),
_xlpm.int - _xlpm.ctrl)</f>
        <v>-7026.3298992521995</v>
      </c>
      <c r="M362" s="134">
        <f t="shared" ca="1" si="16"/>
        <v>-8970.8295843578908</v>
      </c>
    </row>
    <row r="363" spans="11:13" ht="12" customHeight="1" x14ac:dyDescent="0.25">
      <c r="K363" s="90">
        <f ca="1">_xlfn.LET(_xlpm.int, OFFSET(PSA.Data!$E365, 0, ($F$2-1)*6), _xlpm.ctrl, OFFSET(PSA.Data!$E365, 0, ($F$2-1)*6 + 1),
_xlpm.int - _xlpm.ctrl)</f>
        <v>20169095.867927469</v>
      </c>
      <c r="L363" s="421">
        <f ca="1">_xlfn.LET(_xlpm.int, OFFSET(PSA.Data!$H365, 0, ($F$2-1)*6), _xlpm.ctrl, OFFSET(PSA.Data!$H365, 0, ($F$2-1)*6 + 1),
_xlpm.int - _xlpm.ctrl)</f>
        <v>-6672.7906689892079</v>
      </c>
      <c r="M363" s="134">
        <f t="shared" ca="1" si="16"/>
        <v>-7681.245462385581</v>
      </c>
    </row>
    <row r="364" spans="11:13" ht="12" customHeight="1" x14ac:dyDescent="0.25">
      <c r="K364" s="90">
        <f ca="1">_xlfn.LET(_xlpm.int, OFFSET(PSA.Data!$E366, 0, ($F$2-1)*6), _xlpm.ctrl, OFFSET(PSA.Data!$E366, 0, ($F$2-1)*6 + 1),
_xlpm.int - _xlpm.ctrl)</f>
        <v>20756442.534446191</v>
      </c>
      <c r="L364" s="421">
        <f ca="1">_xlfn.LET(_xlpm.int, OFFSET(PSA.Data!$H366, 0, ($F$2-1)*6), _xlpm.ctrl, OFFSET(PSA.Data!$H366, 0, ($F$2-1)*6 + 1),
_xlpm.int - _xlpm.ctrl)</f>
        <v>-5433.2700834100369</v>
      </c>
      <c r="M364" s="134">
        <f t="shared" ca="1" si="16"/>
        <v>-6471.0922101323467</v>
      </c>
    </row>
    <row r="365" spans="11:13" ht="12" customHeight="1" x14ac:dyDescent="0.25">
      <c r="K365" s="90">
        <f ca="1">_xlfn.LET(_xlpm.int, OFFSET(PSA.Data!$E367, 0, ($F$2-1)*6), _xlpm.ctrl, OFFSET(PSA.Data!$E367, 0, ($F$2-1)*6 + 1),
_xlpm.int - _xlpm.ctrl)</f>
        <v>19143115.538222875</v>
      </c>
      <c r="L365" s="421">
        <f ca="1">_xlfn.LET(_xlpm.int, OFFSET(PSA.Data!$H367, 0, ($F$2-1)*6), _xlpm.ctrl, OFFSET(PSA.Data!$H367, 0, ($F$2-1)*6 + 1),
_xlpm.int - _xlpm.ctrl)</f>
        <v>-5633.219983613777</v>
      </c>
      <c r="M365" s="134">
        <f t="shared" ca="1" si="16"/>
        <v>-6590.3757605249211</v>
      </c>
    </row>
    <row r="366" spans="11:13" ht="12" customHeight="1" x14ac:dyDescent="0.25">
      <c r="K366" s="90">
        <f ca="1">_xlfn.LET(_xlpm.int, OFFSET(PSA.Data!$E368, 0, ($F$2-1)*6), _xlpm.ctrl, OFFSET(PSA.Data!$E368, 0, ($F$2-1)*6 + 1),
_xlpm.int - _xlpm.ctrl)</f>
        <v>28672818.656779289</v>
      </c>
      <c r="L366" s="421">
        <f ca="1">_xlfn.LET(_xlpm.int, OFFSET(PSA.Data!$H368, 0, ($F$2-1)*6), _xlpm.ctrl, OFFSET(PSA.Data!$H368, 0, ($F$2-1)*6 + 1),
_xlpm.int - _xlpm.ctrl)</f>
        <v>-6847.3506520194205</v>
      </c>
      <c r="M366" s="134">
        <f t="shared" ca="1" si="16"/>
        <v>-8280.9915848583842</v>
      </c>
    </row>
    <row r="367" spans="11:13" ht="12" customHeight="1" x14ac:dyDescent="0.25">
      <c r="K367" s="90">
        <f ca="1">_xlfn.LET(_xlpm.int, OFFSET(PSA.Data!$E369, 0, ($F$2-1)*6), _xlpm.ctrl, OFFSET(PSA.Data!$E369, 0, ($F$2-1)*6 + 1),
_xlpm.int - _xlpm.ctrl)</f>
        <v>37049494.631054461</v>
      </c>
      <c r="L367" s="421">
        <f ca="1">_xlfn.LET(_xlpm.int, OFFSET(PSA.Data!$H369, 0, ($F$2-1)*6), _xlpm.ctrl, OFFSET(PSA.Data!$H369, 0, ($F$2-1)*6 + 1),
_xlpm.int - _xlpm.ctrl)</f>
        <v>-5677.6239805397345</v>
      </c>
      <c r="M367" s="134">
        <f t="shared" ca="1" si="16"/>
        <v>-7530.0987120924574</v>
      </c>
    </row>
    <row r="368" spans="11:13" ht="12" customHeight="1" x14ac:dyDescent="0.25">
      <c r="K368" s="90">
        <f ca="1">_xlfn.LET(_xlpm.int, OFFSET(PSA.Data!$E370, 0, ($F$2-1)*6), _xlpm.ctrl, OFFSET(PSA.Data!$E370, 0, ($F$2-1)*6 + 1),
_xlpm.int - _xlpm.ctrl)</f>
        <v>21826970.205599837</v>
      </c>
      <c r="L368" s="421">
        <f ca="1">_xlfn.LET(_xlpm.int, OFFSET(PSA.Data!$H370, 0, ($F$2-1)*6), _xlpm.ctrl, OFFSET(PSA.Data!$H370, 0, ($F$2-1)*6 + 1),
_xlpm.int - _xlpm.ctrl)</f>
        <v>-7770.8703487349285</v>
      </c>
      <c r="M368" s="134">
        <f t="shared" ca="1" si="16"/>
        <v>-8862.2188590149199</v>
      </c>
    </row>
    <row r="369" spans="11:13" ht="12" customHeight="1" x14ac:dyDescent="0.25">
      <c r="K369" s="90">
        <f ca="1">_xlfn.LET(_xlpm.int, OFFSET(PSA.Data!$E371, 0, ($F$2-1)*6), _xlpm.ctrl, OFFSET(PSA.Data!$E371, 0, ($F$2-1)*6 + 1),
_xlpm.int - _xlpm.ctrl)</f>
        <v>16595485.926016955</v>
      </c>
      <c r="L369" s="421">
        <f ca="1">_xlfn.LET(_xlpm.int, OFFSET(PSA.Data!$H371, 0, ($F$2-1)*6), _xlpm.ctrl, OFFSET(PSA.Data!$H371, 0, ($F$2-1)*6 + 1),
_xlpm.int - _xlpm.ctrl)</f>
        <v>-6314.9979280952412</v>
      </c>
      <c r="M369" s="134">
        <f t="shared" ca="1" si="16"/>
        <v>-7144.7722243960889</v>
      </c>
    </row>
    <row r="370" spans="11:13" ht="12" customHeight="1" x14ac:dyDescent="0.25">
      <c r="K370" s="90">
        <f ca="1">_xlfn.LET(_xlpm.int, OFFSET(PSA.Data!$E372, 0, ($F$2-1)*6), _xlpm.ctrl, OFFSET(PSA.Data!$E372, 0, ($F$2-1)*6 + 1),
_xlpm.int - _xlpm.ctrl)</f>
        <v>32741880.254938126</v>
      </c>
      <c r="L370" s="421">
        <f ca="1">_xlfn.LET(_xlpm.int, OFFSET(PSA.Data!$H372, 0, ($F$2-1)*6), _xlpm.ctrl, OFFSET(PSA.Data!$H372, 0, ($F$2-1)*6 + 1),
_xlpm.int - _xlpm.ctrl)</f>
        <v>-5949.3375798501675</v>
      </c>
      <c r="M370" s="134">
        <f t="shared" ca="1" si="16"/>
        <v>-7586.4315925970732</v>
      </c>
    </row>
    <row r="371" spans="11:13" ht="12" customHeight="1" x14ac:dyDescent="0.25">
      <c r="K371" s="90">
        <f ca="1">_xlfn.LET(_xlpm.int, OFFSET(PSA.Data!$E373, 0, ($F$2-1)*6), _xlpm.ctrl, OFFSET(PSA.Data!$E373, 0, ($F$2-1)*6 + 1),
_xlpm.int - _xlpm.ctrl)</f>
        <v>4293904.4755816311</v>
      </c>
      <c r="L371" s="421">
        <f ca="1">_xlfn.LET(_xlpm.int, OFFSET(PSA.Data!$H373, 0, ($F$2-1)*6), _xlpm.ctrl, OFFSET(PSA.Data!$H373, 0, ($F$2-1)*6 + 1),
_xlpm.int - _xlpm.ctrl)</f>
        <v>-5173.8696327560865</v>
      </c>
      <c r="M371" s="134">
        <f t="shared" ca="1" si="16"/>
        <v>-5388.5648565351685</v>
      </c>
    </row>
    <row r="372" spans="11:13" ht="12" customHeight="1" x14ac:dyDescent="0.25">
      <c r="K372" s="90">
        <f ca="1">_xlfn.LET(_xlpm.int, OFFSET(PSA.Data!$E374, 0, ($F$2-1)*6), _xlpm.ctrl, OFFSET(PSA.Data!$E374, 0, ($F$2-1)*6 + 1),
_xlpm.int - _xlpm.ctrl)</f>
        <v>51640161.10056071</v>
      </c>
      <c r="L372" s="421">
        <f ca="1">_xlfn.LET(_xlpm.int, OFFSET(PSA.Data!$H374, 0, ($F$2-1)*6), _xlpm.ctrl, OFFSET(PSA.Data!$H374, 0, ($F$2-1)*6 + 1),
_xlpm.int - _xlpm.ctrl)</f>
        <v>-6199.3208703234304</v>
      </c>
      <c r="M372" s="134">
        <f t="shared" ca="1" si="16"/>
        <v>-8781.3289253514668</v>
      </c>
    </row>
    <row r="373" spans="11:13" ht="12" customHeight="1" x14ac:dyDescent="0.25">
      <c r="K373" s="90">
        <f ca="1">_xlfn.LET(_xlpm.int, OFFSET(PSA.Data!$E375, 0, ($F$2-1)*6), _xlpm.ctrl, OFFSET(PSA.Data!$E375, 0, ($F$2-1)*6 + 1),
_xlpm.int - _xlpm.ctrl)</f>
        <v>45541420.007547051</v>
      </c>
      <c r="L373" s="421">
        <f ca="1">_xlfn.LET(_xlpm.int, OFFSET(PSA.Data!$H375, 0, ($F$2-1)*6), _xlpm.ctrl, OFFSET(PSA.Data!$H375, 0, ($F$2-1)*6 + 1),
_xlpm.int - _xlpm.ctrl)</f>
        <v>-7427.6061018726559</v>
      </c>
      <c r="M373" s="134">
        <f t="shared" ca="1" si="16"/>
        <v>-9704.6771022500088</v>
      </c>
    </row>
    <row r="374" spans="11:13" ht="12" customHeight="1" x14ac:dyDescent="0.25">
      <c r="K374" s="90">
        <f ca="1">_xlfn.LET(_xlpm.int, OFFSET(PSA.Data!$E376, 0, ($F$2-1)*6), _xlpm.ctrl, OFFSET(PSA.Data!$E376, 0, ($F$2-1)*6 + 1),
_xlpm.int - _xlpm.ctrl)</f>
        <v>26818418.338225916</v>
      </c>
      <c r="L374" s="421">
        <f ca="1">_xlfn.LET(_xlpm.int, OFFSET(PSA.Data!$H376, 0, ($F$2-1)*6), _xlpm.ctrl, OFFSET(PSA.Data!$H376, 0, ($F$2-1)*6 + 1),
_xlpm.int - _xlpm.ctrl)</f>
        <v>-5514.3046442488485</v>
      </c>
      <c r="M374" s="134">
        <f t="shared" ca="1" si="16"/>
        <v>-6855.225561160144</v>
      </c>
    </row>
    <row r="375" spans="11:13" ht="12" customHeight="1" x14ac:dyDescent="0.25">
      <c r="K375" s="90">
        <f ca="1">_xlfn.LET(_xlpm.int, OFFSET(PSA.Data!$E377, 0, ($F$2-1)*6), _xlpm.ctrl, OFFSET(PSA.Data!$E377, 0, ($F$2-1)*6 + 1),
_xlpm.int - _xlpm.ctrl)</f>
        <v>13194460.749481903</v>
      </c>
      <c r="L375" s="421">
        <f ca="1">_xlfn.LET(_xlpm.int, OFFSET(PSA.Data!$H377, 0, ($F$2-1)*6), _xlpm.ctrl, OFFSET(PSA.Data!$H377, 0, ($F$2-1)*6 + 1),
_xlpm.int - _xlpm.ctrl)</f>
        <v>-6865.1668917345669</v>
      </c>
      <c r="M375" s="134">
        <f t="shared" ca="1" si="16"/>
        <v>-7524.8899292086617</v>
      </c>
    </row>
    <row r="376" spans="11:13" ht="12" customHeight="1" x14ac:dyDescent="0.25">
      <c r="K376" s="90">
        <f ca="1">_xlfn.LET(_xlpm.int, OFFSET(PSA.Data!$E378, 0, ($F$2-1)*6), _xlpm.ctrl, OFFSET(PSA.Data!$E378, 0, ($F$2-1)*6 + 1),
_xlpm.int - _xlpm.ctrl)</f>
        <v>37826649.748881601</v>
      </c>
      <c r="L376" s="421">
        <f ca="1">_xlfn.LET(_xlpm.int, OFFSET(PSA.Data!$H378, 0, ($F$2-1)*6), _xlpm.ctrl, OFFSET(PSA.Data!$H378, 0, ($F$2-1)*6 + 1),
_xlpm.int - _xlpm.ctrl)</f>
        <v>-7390.2666340112692</v>
      </c>
      <c r="M376" s="134">
        <f t="shared" ca="1" si="16"/>
        <v>-9281.5991214553487</v>
      </c>
    </row>
    <row r="377" spans="11:13" ht="12" customHeight="1" x14ac:dyDescent="0.25">
      <c r="K377" s="90">
        <f ca="1">_xlfn.LET(_xlpm.int, OFFSET(PSA.Data!$E379, 0, ($F$2-1)*6), _xlpm.ctrl, OFFSET(PSA.Data!$E379, 0, ($F$2-1)*6 + 1),
_xlpm.int - _xlpm.ctrl)</f>
        <v>37104136.213497378</v>
      </c>
      <c r="L377" s="421">
        <f ca="1">_xlfn.LET(_xlpm.int, OFFSET(PSA.Data!$H379, 0, ($F$2-1)*6), _xlpm.ctrl, OFFSET(PSA.Data!$H379, 0, ($F$2-1)*6 + 1),
_xlpm.int - _xlpm.ctrl)</f>
        <v>-5477.1827666862155</v>
      </c>
      <c r="M377" s="134">
        <f t="shared" ca="1" si="16"/>
        <v>-7332.3895773610839</v>
      </c>
    </row>
    <row r="378" spans="11:13" ht="12" customHeight="1" x14ac:dyDescent="0.25">
      <c r="K378" s="90">
        <f ca="1">_xlfn.LET(_xlpm.int, OFFSET(PSA.Data!$E380, 0, ($F$2-1)*6), _xlpm.ctrl, OFFSET(PSA.Data!$E380, 0, ($F$2-1)*6 + 1),
_xlpm.int - _xlpm.ctrl)</f>
        <v>22380943.257214788</v>
      </c>
      <c r="L378" s="421">
        <f ca="1">_xlfn.LET(_xlpm.int, OFFSET(PSA.Data!$H380, 0, ($F$2-1)*6), _xlpm.ctrl, OFFSET(PSA.Data!$H380, 0, ($F$2-1)*6 + 1),
_xlpm.int - _xlpm.ctrl)</f>
        <v>-5071.6922538749368</v>
      </c>
      <c r="M378" s="134">
        <f t="shared" ca="1" si="16"/>
        <v>-6190.7394167356761</v>
      </c>
    </row>
    <row r="379" spans="11:13" ht="12" customHeight="1" x14ac:dyDescent="0.25">
      <c r="K379" s="90">
        <f ca="1">_xlfn.LET(_xlpm.int, OFFSET(PSA.Data!$E381, 0, ($F$2-1)*6), _xlpm.ctrl, OFFSET(PSA.Data!$E381, 0, ($F$2-1)*6 + 1),
_xlpm.int - _xlpm.ctrl)</f>
        <v>17804987.273146942</v>
      </c>
      <c r="L379" s="421">
        <f ca="1">_xlfn.LET(_xlpm.int, OFFSET(PSA.Data!$H381, 0, ($F$2-1)*6), _xlpm.ctrl, OFFSET(PSA.Data!$H381, 0, ($F$2-1)*6 + 1),
_xlpm.int - _xlpm.ctrl)</f>
        <v>-7169.8530344462706</v>
      </c>
      <c r="M379" s="134">
        <f t="shared" ca="1" si="16"/>
        <v>-8060.1023981036178</v>
      </c>
    </row>
    <row r="380" spans="11:13" ht="12" customHeight="1" x14ac:dyDescent="0.25">
      <c r="K380" s="90">
        <f ca="1">_xlfn.LET(_xlpm.int, OFFSET(PSA.Data!$E382, 0, ($F$2-1)*6), _xlpm.ctrl, OFFSET(PSA.Data!$E382, 0, ($F$2-1)*6 + 1),
_xlpm.int - _xlpm.ctrl)</f>
        <v>69461963.561399564</v>
      </c>
      <c r="L380" s="421">
        <f ca="1">_xlfn.LET(_xlpm.int, OFFSET(PSA.Data!$H382, 0, ($F$2-1)*6), _xlpm.ctrl, OFFSET(PSA.Data!$H382, 0, ($F$2-1)*6 + 1),
_xlpm.int - _xlpm.ctrl)</f>
        <v>-8500.6238690774462</v>
      </c>
      <c r="M380" s="134">
        <f t="shared" ca="1" si="16"/>
        <v>-11973.722047147425</v>
      </c>
    </row>
    <row r="381" spans="11:13" ht="12" customHeight="1" x14ac:dyDescent="0.25">
      <c r="K381" s="90">
        <f ca="1">_xlfn.LET(_xlpm.int, OFFSET(PSA.Data!$E383, 0, ($F$2-1)*6), _xlpm.ctrl, OFFSET(PSA.Data!$E383, 0, ($F$2-1)*6 + 1),
_xlpm.int - _xlpm.ctrl)</f>
        <v>21655733.47467209</v>
      </c>
      <c r="L381" s="421">
        <f ca="1">_xlfn.LET(_xlpm.int, OFFSET(PSA.Data!$H383, 0, ($F$2-1)*6), _xlpm.ctrl, OFFSET(PSA.Data!$H383, 0, ($F$2-1)*6 + 1),
_xlpm.int - _xlpm.ctrl)</f>
        <v>-4995.7403198280717</v>
      </c>
      <c r="M381" s="134">
        <f t="shared" ca="1" si="16"/>
        <v>-6078.5269935616761</v>
      </c>
    </row>
    <row r="382" spans="11:13" ht="12" customHeight="1" x14ac:dyDescent="0.25">
      <c r="K382" s="90">
        <f ca="1">_xlfn.LET(_xlpm.int, OFFSET(PSA.Data!$E384, 0, ($F$2-1)*6), _xlpm.ctrl, OFFSET(PSA.Data!$E384, 0, ($F$2-1)*6 + 1),
_xlpm.int - _xlpm.ctrl)</f>
        <v>20114389.805798229</v>
      </c>
      <c r="L382" s="421">
        <f ca="1">_xlfn.LET(_xlpm.int, OFFSET(PSA.Data!$H384, 0, ($F$2-1)*6), _xlpm.ctrl, OFFSET(PSA.Data!$H384, 0, ($F$2-1)*6 + 1),
_xlpm.int - _xlpm.ctrl)</f>
        <v>-6360.952909263895</v>
      </c>
      <c r="M382" s="134">
        <f t="shared" ca="1" si="16"/>
        <v>-7366.6723995538068</v>
      </c>
    </row>
    <row r="383" spans="11:13" ht="12" customHeight="1" x14ac:dyDescent="0.25">
      <c r="K383" s="90">
        <f ca="1">_xlfn.LET(_xlpm.int, OFFSET(PSA.Data!$E385, 0, ($F$2-1)*6), _xlpm.ctrl, OFFSET(PSA.Data!$E385, 0, ($F$2-1)*6 + 1),
_xlpm.int - _xlpm.ctrl)</f>
        <v>7397568.789886971</v>
      </c>
      <c r="L383" s="421">
        <f ca="1">_xlfn.LET(_xlpm.int, OFFSET(PSA.Data!$H385, 0, ($F$2-1)*6), _xlpm.ctrl, OFFSET(PSA.Data!$H385, 0, ($F$2-1)*6 + 1),
_xlpm.int - _xlpm.ctrl)</f>
        <v>-4410.1759349489676</v>
      </c>
      <c r="M383" s="134">
        <f t="shared" ca="1" si="16"/>
        <v>-4780.0543744433162</v>
      </c>
    </row>
    <row r="384" spans="11:13" ht="12" customHeight="1" x14ac:dyDescent="0.25">
      <c r="K384" s="90">
        <f ca="1">_xlfn.LET(_xlpm.int, OFFSET(PSA.Data!$E386, 0, ($F$2-1)*6), _xlpm.ctrl, OFFSET(PSA.Data!$E386, 0, ($F$2-1)*6 + 1),
_xlpm.int - _xlpm.ctrl)</f>
        <v>32971178.996475298</v>
      </c>
      <c r="L384" s="421">
        <f ca="1">_xlfn.LET(_xlpm.int, OFFSET(PSA.Data!$H386, 0, ($F$2-1)*6), _xlpm.ctrl, OFFSET(PSA.Data!$H386, 0, ($F$2-1)*6 + 1),
_xlpm.int - _xlpm.ctrl)</f>
        <v>-6426.8332604244106</v>
      </c>
      <c r="M384" s="134">
        <f t="shared" ca="1" si="16"/>
        <v>-8075.3922102481756</v>
      </c>
    </row>
    <row r="385" spans="11:13" ht="12" customHeight="1" x14ac:dyDescent="0.25">
      <c r="K385" s="90">
        <f ca="1">_xlfn.LET(_xlpm.int, OFFSET(PSA.Data!$E387, 0, ($F$2-1)*6), _xlpm.ctrl, OFFSET(PSA.Data!$E387, 0, ($F$2-1)*6 + 1),
_xlpm.int - _xlpm.ctrl)</f>
        <v>68036841.85767296</v>
      </c>
      <c r="L385" s="421">
        <f ca="1">_xlfn.LET(_xlpm.int, OFFSET(PSA.Data!$H387, 0, ($F$2-1)*6), _xlpm.ctrl, OFFSET(PSA.Data!$H387, 0, ($F$2-1)*6 + 1),
_xlpm.int - _xlpm.ctrl)</f>
        <v>-7314.5182307005471</v>
      </c>
      <c r="M385" s="134">
        <f t="shared" ca="1" si="16"/>
        <v>-10716.360323584195</v>
      </c>
    </row>
    <row r="386" spans="11:13" ht="12" customHeight="1" x14ac:dyDescent="0.25">
      <c r="K386" s="90">
        <f ca="1">_xlfn.LET(_xlpm.int, OFFSET(PSA.Data!$E388, 0, ($F$2-1)*6), _xlpm.ctrl, OFFSET(PSA.Data!$E388, 0, ($F$2-1)*6 + 1),
_xlpm.int - _xlpm.ctrl)</f>
        <v>23038098.796949252</v>
      </c>
      <c r="L386" s="421">
        <f ca="1">_xlfn.LET(_xlpm.int, OFFSET(PSA.Data!$H388, 0, ($F$2-1)*6), _xlpm.ctrl, OFFSET(PSA.Data!$H388, 0, ($F$2-1)*6 + 1),
_xlpm.int - _xlpm.ctrl)</f>
        <v>-5644.5284735052501</v>
      </c>
      <c r="M386" s="134">
        <f t="shared" ca="1" si="16"/>
        <v>-6796.4334133527127</v>
      </c>
    </row>
    <row r="387" spans="11:13" ht="12" customHeight="1" x14ac:dyDescent="0.25">
      <c r="K387" s="90">
        <f ca="1">_xlfn.LET(_xlpm.int, OFFSET(PSA.Data!$E389, 0, ($F$2-1)*6), _xlpm.ctrl, OFFSET(PSA.Data!$E389, 0, ($F$2-1)*6 + 1),
_xlpm.int - _xlpm.ctrl)</f>
        <v>18001479.299980525</v>
      </c>
      <c r="L387" s="421">
        <f ca="1">_xlfn.LET(_xlpm.int, OFFSET(PSA.Data!$H389, 0, ($F$2-1)*6), _xlpm.ctrl, OFFSET(PSA.Data!$H389, 0, ($F$2-1)*6 + 1),
_xlpm.int - _xlpm.ctrl)</f>
        <v>-4382.6961662804333</v>
      </c>
      <c r="M387" s="134">
        <f t="shared" ca="1" si="16"/>
        <v>-5282.7701312794597</v>
      </c>
    </row>
    <row r="388" spans="11:13" ht="12" customHeight="1" x14ac:dyDescent="0.25">
      <c r="K388" s="90">
        <f ca="1">_xlfn.LET(_xlpm.int, OFFSET(PSA.Data!$E390, 0, ($F$2-1)*6), _xlpm.ctrl, OFFSET(PSA.Data!$E390, 0, ($F$2-1)*6 + 1),
_xlpm.int - _xlpm.ctrl)</f>
        <v>21567171.736310709</v>
      </c>
      <c r="L388" s="421">
        <f ca="1">_xlfn.LET(_xlpm.int, OFFSET(PSA.Data!$H390, 0, ($F$2-1)*6), _xlpm.ctrl, OFFSET(PSA.Data!$H390, 0, ($F$2-1)*6 + 1),
_xlpm.int - _xlpm.ctrl)</f>
        <v>-6002.8596618911952</v>
      </c>
      <c r="M388" s="134">
        <f t="shared" ca="1" si="16"/>
        <v>-7081.2182487067312</v>
      </c>
    </row>
    <row r="389" spans="11:13" ht="12" customHeight="1" x14ac:dyDescent="0.25">
      <c r="K389" s="90">
        <f ca="1">_xlfn.LET(_xlpm.int, OFFSET(PSA.Data!$E391, 0, ($F$2-1)*6), _xlpm.ctrl, OFFSET(PSA.Data!$E391, 0, ($F$2-1)*6 + 1),
_xlpm.int - _xlpm.ctrl)</f>
        <v>30872007.969175484</v>
      </c>
      <c r="L389" s="421">
        <f ca="1">_xlfn.LET(_xlpm.int, OFFSET(PSA.Data!$H391, 0, ($F$2-1)*6), _xlpm.ctrl, OFFSET(PSA.Data!$H391, 0, ($F$2-1)*6 + 1),
_xlpm.int - _xlpm.ctrl)</f>
        <v>-6880.1601667796667</v>
      </c>
      <c r="M389" s="134">
        <f t="shared" ca="1" si="16"/>
        <v>-8423.7605652384409</v>
      </c>
    </row>
    <row r="390" spans="11:13" ht="12" customHeight="1" x14ac:dyDescent="0.25">
      <c r="K390" s="90">
        <f ca="1">_xlfn.LET(_xlpm.int, OFFSET(PSA.Data!$E392, 0, ($F$2-1)*6), _xlpm.ctrl, OFFSET(PSA.Data!$E392, 0, ($F$2-1)*6 + 1),
_xlpm.int - _xlpm.ctrl)</f>
        <v>26760738.08524923</v>
      </c>
      <c r="L390" s="421">
        <f ca="1">_xlfn.LET(_xlpm.int, OFFSET(PSA.Data!$H392, 0, ($F$2-1)*6), _xlpm.ctrl, OFFSET(PSA.Data!$H392, 0, ($F$2-1)*6 + 1),
_xlpm.int - _xlpm.ctrl)</f>
        <v>-5930.0603388401451</v>
      </c>
      <c r="M390" s="134">
        <f t="shared" ca="1" si="16"/>
        <v>-7268.0972431026066</v>
      </c>
    </row>
    <row r="391" spans="11:13" ht="12" customHeight="1" x14ac:dyDescent="0.25">
      <c r="K391" s="90">
        <f ca="1">_xlfn.LET(_xlpm.int, OFFSET(PSA.Data!$E393, 0, ($F$2-1)*6), _xlpm.ctrl, OFFSET(PSA.Data!$E393, 0, ($F$2-1)*6 + 1),
_xlpm.int - _xlpm.ctrl)</f>
        <v>35717939.90186245</v>
      </c>
      <c r="L391" s="421">
        <f ca="1">_xlfn.LET(_xlpm.int, OFFSET(PSA.Data!$H393, 0, ($F$2-1)*6), _xlpm.ctrl, OFFSET(PSA.Data!$H393, 0, ($F$2-1)*6 + 1),
_xlpm.int - _xlpm.ctrl)</f>
        <v>-7082.2601791380821</v>
      </c>
      <c r="M391" s="134">
        <f t="shared" ca="1" si="16"/>
        <v>-8868.1571742312044</v>
      </c>
    </row>
    <row r="392" spans="11:13" ht="12" customHeight="1" x14ac:dyDescent="0.25">
      <c r="K392" s="90">
        <f ca="1">_xlfn.LET(_xlpm.int, OFFSET(PSA.Data!$E394, 0, ($F$2-1)*6), _xlpm.ctrl, OFFSET(PSA.Data!$E394, 0, ($F$2-1)*6 + 1),
_xlpm.int - _xlpm.ctrl)</f>
        <v>12930614.296304209</v>
      </c>
      <c r="L392" s="421">
        <f ca="1">_xlfn.LET(_xlpm.int, OFFSET(PSA.Data!$H394, 0, ($F$2-1)*6), _xlpm.ctrl, OFFSET(PSA.Data!$H394, 0, ($F$2-1)*6 + 1),
_xlpm.int - _xlpm.ctrl)</f>
        <v>-5200.6775327584719</v>
      </c>
      <c r="M392" s="134">
        <f t="shared" ca="1" si="16"/>
        <v>-5847.2082475736825</v>
      </c>
    </row>
    <row r="393" spans="11:13" ht="12" customHeight="1" x14ac:dyDescent="0.25">
      <c r="K393" s="90">
        <f ca="1">_xlfn.LET(_xlpm.int, OFFSET(PSA.Data!$E395, 0, ($F$2-1)*6), _xlpm.ctrl, OFFSET(PSA.Data!$E395, 0, ($F$2-1)*6 + 1),
_xlpm.int - _xlpm.ctrl)</f>
        <v>27075245.904553875</v>
      </c>
      <c r="L393" s="421">
        <f ca="1">_xlfn.LET(_xlpm.int, OFFSET(PSA.Data!$H395, 0, ($F$2-1)*6), _xlpm.ctrl, OFFSET(PSA.Data!$H395, 0, ($F$2-1)*6 + 1),
_xlpm.int - _xlpm.ctrl)</f>
        <v>-6415.5978654232076</v>
      </c>
      <c r="M393" s="134">
        <f t="shared" ca="1" si="16"/>
        <v>-7769.3601606509019</v>
      </c>
    </row>
    <row r="394" spans="11:13" ht="12" customHeight="1" x14ac:dyDescent="0.25">
      <c r="K394" s="90">
        <f ca="1">_xlfn.LET(_xlpm.int, OFFSET(PSA.Data!$E396, 0, ($F$2-1)*6), _xlpm.ctrl, OFFSET(PSA.Data!$E396, 0, ($F$2-1)*6 + 1),
_xlpm.int - _xlpm.ctrl)</f>
        <v>36012262.649859227</v>
      </c>
      <c r="L394" s="421">
        <f ca="1">_xlfn.LET(_xlpm.int, OFFSET(PSA.Data!$H396, 0, ($F$2-1)*6), _xlpm.ctrl, OFFSET(PSA.Data!$H396, 0, ($F$2-1)*6 + 1),
_xlpm.int - _xlpm.ctrl)</f>
        <v>-7139.3435986248332</v>
      </c>
      <c r="M394" s="134">
        <f t="shared" ca="1" si="16"/>
        <v>-8939.9567311177943</v>
      </c>
    </row>
    <row r="395" spans="11:13" ht="12" customHeight="1" x14ac:dyDescent="0.25">
      <c r="K395" s="90">
        <f ca="1">_xlfn.LET(_xlpm.int, OFFSET(PSA.Data!$E397, 0, ($F$2-1)*6), _xlpm.ctrl, OFFSET(PSA.Data!$E397, 0, ($F$2-1)*6 + 1),
_xlpm.int - _xlpm.ctrl)</f>
        <v>33779537.023327298</v>
      </c>
      <c r="L395" s="421">
        <f ca="1">_xlfn.LET(_xlpm.int, OFFSET(PSA.Data!$H397, 0, ($F$2-1)*6), _xlpm.ctrl, OFFSET(PSA.Data!$H397, 0, ($F$2-1)*6 + 1),
_xlpm.int - _xlpm.ctrl)</f>
        <v>-6533.7801067258406</v>
      </c>
      <c r="M395" s="134">
        <f t="shared" ca="1" si="16"/>
        <v>-8222.7569578922048</v>
      </c>
    </row>
    <row r="396" spans="11:13" ht="12" customHeight="1" x14ac:dyDescent="0.25">
      <c r="K396" s="90">
        <f ca="1">_xlfn.LET(_xlpm.int, OFFSET(PSA.Data!$E398, 0, ($F$2-1)*6), _xlpm.ctrl, OFFSET(PSA.Data!$E398, 0, ($F$2-1)*6 + 1),
_xlpm.int - _xlpm.ctrl)</f>
        <v>28969893.7448465</v>
      </c>
      <c r="L396" s="421">
        <f ca="1">_xlfn.LET(_xlpm.int, OFFSET(PSA.Data!$H398, 0, ($F$2-1)*6), _xlpm.ctrl, OFFSET(PSA.Data!$H398, 0, ($F$2-1)*6 + 1),
_xlpm.int - _xlpm.ctrl)</f>
        <v>-6451.4919777432078</v>
      </c>
      <c r="M396" s="134">
        <f t="shared" ca="1" si="16"/>
        <v>-7899.986664985533</v>
      </c>
    </row>
    <row r="397" spans="11:13" ht="12" customHeight="1" x14ac:dyDescent="0.25">
      <c r="K397" s="90">
        <f ca="1">_xlfn.LET(_xlpm.int, OFFSET(PSA.Data!$E399, 0, ($F$2-1)*6), _xlpm.ctrl, OFFSET(PSA.Data!$E399, 0, ($F$2-1)*6 + 1),
_xlpm.int - _xlpm.ctrl)</f>
        <v>155106920.45974052</v>
      </c>
      <c r="L397" s="421">
        <f ca="1">_xlfn.LET(_xlpm.int, OFFSET(PSA.Data!$H399, 0, ($F$2-1)*6), _xlpm.ctrl, OFFSET(PSA.Data!$H399, 0, ($F$2-1)*6 + 1),
_xlpm.int - _xlpm.ctrl)</f>
        <v>-10604.481929986221</v>
      </c>
      <c r="M397" s="134">
        <f t="shared" ca="1" si="16"/>
        <v>-18359.827952973246</v>
      </c>
    </row>
    <row r="398" spans="11:13" ht="12" customHeight="1" x14ac:dyDescent="0.25">
      <c r="K398" s="90">
        <f ca="1">_xlfn.LET(_xlpm.int, OFFSET(PSA.Data!$E400, 0, ($F$2-1)*6), _xlpm.ctrl, OFFSET(PSA.Data!$E400, 0, ($F$2-1)*6 + 1),
_xlpm.int - _xlpm.ctrl)</f>
        <v>46525199.542725861</v>
      </c>
      <c r="L398" s="421">
        <f ca="1">_xlfn.LET(_xlpm.int, OFFSET(PSA.Data!$H400, 0, ($F$2-1)*6), _xlpm.ctrl, OFFSET(PSA.Data!$H400, 0, ($F$2-1)*6 + 1),
_xlpm.int - _xlpm.ctrl)</f>
        <v>-7638.1665089370208</v>
      </c>
      <c r="M398" s="134">
        <f t="shared" ca="1" si="16"/>
        <v>-9964.4264860733128</v>
      </c>
    </row>
    <row r="399" spans="11:13" ht="12" customHeight="1" x14ac:dyDescent="0.25">
      <c r="K399" s="90">
        <f ca="1">_xlfn.LET(_xlpm.int, OFFSET(PSA.Data!$E401, 0, ($F$2-1)*6), _xlpm.ctrl, OFFSET(PSA.Data!$E401, 0, ($F$2-1)*6 + 1),
_xlpm.int - _xlpm.ctrl)</f>
        <v>28705712.483109571</v>
      </c>
      <c r="L399" s="421">
        <f ca="1">_xlfn.LET(_xlpm.int, OFFSET(PSA.Data!$H401, 0, ($F$2-1)*6), _xlpm.ctrl, OFFSET(PSA.Data!$H401, 0, ($F$2-1)*6 + 1),
_xlpm.int - _xlpm.ctrl)</f>
        <v>-5919.7686929940755</v>
      </c>
      <c r="M399" s="134">
        <f t="shared" ca="1" si="16"/>
        <v>-7355.0543171495538</v>
      </c>
    </row>
    <row r="400" spans="11:13" ht="12" customHeight="1" x14ac:dyDescent="0.25">
      <c r="K400" s="90">
        <f ca="1">_xlfn.LET(_xlpm.int, OFFSET(PSA.Data!$E402, 0, ($F$2-1)*6), _xlpm.ctrl, OFFSET(PSA.Data!$E402, 0, ($F$2-1)*6 + 1),
_xlpm.int - _xlpm.ctrl)</f>
        <v>34274135.966839105</v>
      </c>
      <c r="L400" s="421">
        <f ca="1">_xlfn.LET(_xlpm.int, OFFSET(PSA.Data!$H402, 0, ($F$2-1)*6), _xlpm.ctrl, OFFSET(PSA.Data!$H402, 0, ($F$2-1)*6 + 1),
_xlpm.int - _xlpm.ctrl)</f>
        <v>-5867.5040229116839</v>
      </c>
      <c r="M400" s="134">
        <f t="shared" ref="M400:M463" ca="1" si="17">L400-K400/WTP</f>
        <v>-7581.2108212536386</v>
      </c>
    </row>
    <row r="401" spans="11:13" ht="12" customHeight="1" x14ac:dyDescent="0.25">
      <c r="K401" s="90">
        <f ca="1">_xlfn.LET(_xlpm.int, OFFSET(PSA.Data!$E403, 0, ($F$2-1)*6), _xlpm.ctrl, OFFSET(PSA.Data!$E403, 0, ($F$2-1)*6 + 1),
_xlpm.int - _xlpm.ctrl)</f>
        <v>48374003.388744876</v>
      </c>
      <c r="L401" s="421">
        <f ca="1">_xlfn.LET(_xlpm.int, OFFSET(PSA.Data!$H403, 0, ($F$2-1)*6), _xlpm.ctrl, OFFSET(PSA.Data!$H403, 0, ($F$2-1)*6 + 1),
_xlpm.int - _xlpm.ctrl)</f>
        <v>-7084.6083265805082</v>
      </c>
      <c r="M401" s="134">
        <f t="shared" ca="1" si="17"/>
        <v>-9503.3084960177512</v>
      </c>
    </row>
    <row r="402" spans="11:13" ht="12" customHeight="1" x14ac:dyDescent="0.25">
      <c r="K402" s="90">
        <f ca="1">_xlfn.LET(_xlpm.int, OFFSET(PSA.Data!$E404, 0, ($F$2-1)*6), _xlpm.ctrl, OFFSET(PSA.Data!$E404, 0, ($F$2-1)*6 + 1),
_xlpm.int - _xlpm.ctrl)</f>
        <v>27778322.946763985</v>
      </c>
      <c r="L402" s="421">
        <f ca="1">_xlfn.LET(_xlpm.int, OFFSET(PSA.Data!$H404, 0, ($F$2-1)*6), _xlpm.ctrl, OFFSET(PSA.Data!$H404, 0, ($F$2-1)*6 + 1),
_xlpm.int - _xlpm.ctrl)</f>
        <v>-5548.182677434188</v>
      </c>
      <c r="M402" s="134">
        <f t="shared" ca="1" si="17"/>
        <v>-6937.0988247723872</v>
      </c>
    </row>
    <row r="403" spans="11:13" ht="12" customHeight="1" x14ac:dyDescent="0.25">
      <c r="K403" s="90">
        <f ca="1">_xlfn.LET(_xlpm.int, OFFSET(PSA.Data!$E405, 0, ($F$2-1)*6), _xlpm.ctrl, OFFSET(PSA.Data!$E405, 0, ($F$2-1)*6 + 1),
_xlpm.int - _xlpm.ctrl)</f>
        <v>45933611.367406704</v>
      </c>
      <c r="L403" s="421">
        <f ca="1">_xlfn.LET(_xlpm.int, OFFSET(PSA.Data!$H405, 0, ($F$2-1)*6), _xlpm.ctrl, OFFSET(PSA.Data!$H405, 0, ($F$2-1)*6 + 1),
_xlpm.int - _xlpm.ctrl)</f>
        <v>-5219.6816760986048</v>
      </c>
      <c r="M403" s="134">
        <f t="shared" ca="1" si="17"/>
        <v>-7516.3622444689399</v>
      </c>
    </row>
    <row r="404" spans="11:13" ht="12" customHeight="1" x14ac:dyDescent="0.25">
      <c r="K404" s="90">
        <f ca="1">_xlfn.LET(_xlpm.int, OFFSET(PSA.Data!$E406, 0, ($F$2-1)*6), _xlpm.ctrl, OFFSET(PSA.Data!$E406, 0, ($F$2-1)*6 + 1),
_xlpm.int - _xlpm.ctrl)</f>
        <v>30648991.278557263</v>
      </c>
      <c r="L404" s="421">
        <f ca="1">_xlfn.LET(_xlpm.int, OFFSET(PSA.Data!$H406, 0, ($F$2-1)*6), _xlpm.ctrl, OFFSET(PSA.Data!$H406, 0, ($F$2-1)*6 + 1),
_xlpm.int - _xlpm.ctrl)</f>
        <v>-6499.8196745206942</v>
      </c>
      <c r="M404" s="134">
        <f t="shared" ca="1" si="17"/>
        <v>-8032.2692384485572</v>
      </c>
    </row>
    <row r="405" spans="11:13" ht="12" customHeight="1" x14ac:dyDescent="0.25">
      <c r="K405" s="90">
        <f ca="1">_xlfn.LET(_xlpm.int, OFFSET(PSA.Data!$E407, 0, ($F$2-1)*6), _xlpm.ctrl, OFFSET(PSA.Data!$E407, 0, ($F$2-1)*6 + 1),
_xlpm.int - _xlpm.ctrl)</f>
        <v>41936449.495457202</v>
      </c>
      <c r="L405" s="421">
        <f ca="1">_xlfn.LET(_xlpm.int, OFFSET(PSA.Data!$H407, 0, ($F$2-1)*6), _xlpm.ctrl, OFFSET(PSA.Data!$H407, 0, ($F$2-1)*6 + 1),
_xlpm.int - _xlpm.ctrl)</f>
        <v>-6034.989638441466</v>
      </c>
      <c r="M405" s="134">
        <f t="shared" ca="1" si="17"/>
        <v>-8131.812113214326</v>
      </c>
    </row>
    <row r="406" spans="11:13" ht="12" customHeight="1" x14ac:dyDescent="0.25">
      <c r="K406" s="90">
        <f ca="1">_xlfn.LET(_xlpm.int, OFFSET(PSA.Data!$E408, 0, ($F$2-1)*6), _xlpm.ctrl, OFFSET(PSA.Data!$E408, 0, ($F$2-1)*6 + 1),
_xlpm.int - _xlpm.ctrl)</f>
        <v>25573300.688530821</v>
      </c>
      <c r="L406" s="421">
        <f ca="1">_xlfn.LET(_xlpm.int, OFFSET(PSA.Data!$H408, 0, ($F$2-1)*6), _xlpm.ctrl, OFFSET(PSA.Data!$H408, 0, ($F$2-1)*6 + 1),
_xlpm.int - _xlpm.ctrl)</f>
        <v>-6710.1273580360912</v>
      </c>
      <c r="M406" s="134">
        <f t="shared" ca="1" si="17"/>
        <v>-7988.7923924626321</v>
      </c>
    </row>
    <row r="407" spans="11:13" ht="12" customHeight="1" x14ac:dyDescent="0.25">
      <c r="K407" s="90">
        <f ca="1">_xlfn.LET(_xlpm.int, OFFSET(PSA.Data!$E409, 0, ($F$2-1)*6), _xlpm.ctrl, OFFSET(PSA.Data!$E409, 0, ($F$2-1)*6 + 1),
_xlpm.int - _xlpm.ctrl)</f>
        <v>14401316.67990534</v>
      </c>
      <c r="L407" s="421">
        <f ca="1">_xlfn.LET(_xlpm.int, OFFSET(PSA.Data!$H409, 0, ($F$2-1)*6), _xlpm.ctrl, OFFSET(PSA.Data!$H409, 0, ($F$2-1)*6 + 1),
_xlpm.int - _xlpm.ctrl)</f>
        <v>-4441.5973242918353</v>
      </c>
      <c r="M407" s="134">
        <f t="shared" ca="1" si="17"/>
        <v>-5161.6631582871023</v>
      </c>
    </row>
    <row r="408" spans="11:13" ht="12" customHeight="1" x14ac:dyDescent="0.25">
      <c r="K408" s="90">
        <f ca="1">_xlfn.LET(_xlpm.int, OFFSET(PSA.Data!$E410, 0, ($F$2-1)*6), _xlpm.ctrl, OFFSET(PSA.Data!$E410, 0, ($F$2-1)*6 + 1),
_xlpm.int - _xlpm.ctrl)</f>
        <v>11386865.350737866</v>
      </c>
      <c r="L408" s="421">
        <f ca="1">_xlfn.LET(_xlpm.int, OFFSET(PSA.Data!$H410, 0, ($F$2-1)*6), _xlpm.ctrl, OFFSET(PSA.Data!$H410, 0, ($F$2-1)*6 + 1),
_xlpm.int - _xlpm.ctrl)</f>
        <v>-5741.6836452621355</v>
      </c>
      <c r="M408" s="134">
        <f t="shared" ca="1" si="17"/>
        <v>-6311.0269127990287</v>
      </c>
    </row>
    <row r="409" spans="11:13" ht="12" customHeight="1" x14ac:dyDescent="0.25">
      <c r="K409" s="90">
        <f ca="1">_xlfn.LET(_xlpm.int, OFFSET(PSA.Data!$E411, 0, ($F$2-1)*6), _xlpm.ctrl, OFFSET(PSA.Data!$E411, 0, ($F$2-1)*6 + 1),
_xlpm.int - _xlpm.ctrl)</f>
        <v>13901377.155394938</v>
      </c>
      <c r="L409" s="421">
        <f ca="1">_xlfn.LET(_xlpm.int, OFFSET(PSA.Data!$H411, 0, ($F$2-1)*6), _xlpm.ctrl, OFFSET(PSA.Data!$H411, 0, ($F$2-1)*6 + 1),
_xlpm.int - _xlpm.ctrl)</f>
        <v>-4859.5518504192432</v>
      </c>
      <c r="M409" s="134">
        <f t="shared" ca="1" si="17"/>
        <v>-5554.6207081889897</v>
      </c>
    </row>
    <row r="410" spans="11:13" ht="12" customHeight="1" x14ac:dyDescent="0.25">
      <c r="K410" s="90">
        <f ca="1">_xlfn.LET(_xlpm.int, OFFSET(PSA.Data!$E412, 0, ($F$2-1)*6), _xlpm.ctrl, OFFSET(PSA.Data!$E412, 0, ($F$2-1)*6 + 1),
_xlpm.int - _xlpm.ctrl)</f>
        <v>20500455.46801411</v>
      </c>
      <c r="L410" s="421">
        <f ca="1">_xlfn.LET(_xlpm.int, OFFSET(PSA.Data!$H412, 0, ($F$2-1)*6), _xlpm.ctrl, OFFSET(PSA.Data!$H412, 0, ($F$2-1)*6 + 1),
_xlpm.int - _xlpm.ctrl)</f>
        <v>-5689.3524838339581</v>
      </c>
      <c r="M410" s="134">
        <f t="shared" ca="1" si="17"/>
        <v>-6714.3752572346639</v>
      </c>
    </row>
    <row r="411" spans="11:13" ht="12" customHeight="1" x14ac:dyDescent="0.25">
      <c r="K411" s="90">
        <f ca="1">_xlfn.LET(_xlpm.int, OFFSET(PSA.Data!$E413, 0, ($F$2-1)*6), _xlpm.ctrl, OFFSET(PSA.Data!$E413, 0, ($F$2-1)*6 + 1),
_xlpm.int - _xlpm.ctrl)</f>
        <v>32887642.050225876</v>
      </c>
      <c r="L411" s="421">
        <f ca="1">_xlfn.LET(_xlpm.int, OFFSET(PSA.Data!$H413, 0, ($F$2-1)*6), _xlpm.ctrl, OFFSET(PSA.Data!$H413, 0, ($F$2-1)*6 + 1),
_xlpm.int - _xlpm.ctrl)</f>
        <v>-5808.2409022702632</v>
      </c>
      <c r="M411" s="134">
        <f t="shared" ca="1" si="17"/>
        <v>-7452.623004781557</v>
      </c>
    </row>
    <row r="412" spans="11:13" ht="12" customHeight="1" x14ac:dyDescent="0.25">
      <c r="K412" s="90">
        <f ca="1">_xlfn.LET(_xlpm.int, OFFSET(PSA.Data!$E414, 0, ($F$2-1)*6), _xlpm.ctrl, OFFSET(PSA.Data!$E414, 0, ($F$2-1)*6 + 1),
_xlpm.int - _xlpm.ctrl)</f>
        <v>22155204.754143756</v>
      </c>
      <c r="L412" s="421">
        <f ca="1">_xlfn.LET(_xlpm.int, OFFSET(PSA.Data!$H414, 0, ($F$2-1)*6), _xlpm.ctrl, OFFSET(PSA.Data!$H414, 0, ($F$2-1)*6 + 1),
_xlpm.int - _xlpm.ctrl)</f>
        <v>-5703.896362872807</v>
      </c>
      <c r="M412" s="134">
        <f t="shared" ca="1" si="17"/>
        <v>-6811.656600579995</v>
      </c>
    </row>
    <row r="413" spans="11:13" ht="12" customHeight="1" x14ac:dyDescent="0.25">
      <c r="K413" s="90">
        <f ca="1">_xlfn.LET(_xlpm.int, OFFSET(PSA.Data!$E415, 0, ($F$2-1)*6), _xlpm.ctrl, OFFSET(PSA.Data!$E415, 0, ($F$2-1)*6 + 1),
_xlpm.int - _xlpm.ctrl)</f>
        <v>25640657.572692413</v>
      </c>
      <c r="L413" s="421">
        <f ca="1">_xlfn.LET(_xlpm.int, OFFSET(PSA.Data!$H415, 0, ($F$2-1)*6), _xlpm.ctrl, OFFSET(PSA.Data!$H415, 0, ($F$2-1)*6 + 1),
_xlpm.int - _xlpm.ctrl)</f>
        <v>-6176.9110302066292</v>
      </c>
      <c r="M413" s="134">
        <f t="shared" ca="1" si="17"/>
        <v>-7458.94390884125</v>
      </c>
    </row>
    <row r="414" spans="11:13" ht="12" customHeight="1" x14ac:dyDescent="0.25">
      <c r="K414" s="90">
        <f ca="1">_xlfn.LET(_xlpm.int, OFFSET(PSA.Data!$E416, 0, ($F$2-1)*6), _xlpm.ctrl, OFFSET(PSA.Data!$E416, 0, ($F$2-1)*6 + 1),
_xlpm.int - _xlpm.ctrl)</f>
        <v>28224731.11495892</v>
      </c>
      <c r="L414" s="421">
        <f ca="1">_xlfn.LET(_xlpm.int, OFFSET(PSA.Data!$H416, 0, ($F$2-1)*6), _xlpm.ctrl, OFFSET(PSA.Data!$H416, 0, ($F$2-1)*6 + 1),
_xlpm.int - _xlpm.ctrl)</f>
        <v>-7449.9105212742197</v>
      </c>
      <c r="M414" s="134">
        <f t="shared" ca="1" si="17"/>
        <v>-8861.1470770221658</v>
      </c>
    </row>
    <row r="415" spans="11:13" ht="12" customHeight="1" x14ac:dyDescent="0.25">
      <c r="K415" s="90">
        <f ca="1">_xlfn.LET(_xlpm.int, OFFSET(PSA.Data!$E417, 0, ($F$2-1)*6), _xlpm.ctrl, OFFSET(PSA.Data!$E417, 0, ($F$2-1)*6 + 1),
_xlpm.int - _xlpm.ctrl)</f>
        <v>27256148.30631306</v>
      </c>
      <c r="L415" s="421">
        <f ca="1">_xlfn.LET(_xlpm.int, OFFSET(PSA.Data!$H417, 0, ($F$2-1)*6), _xlpm.ctrl, OFFSET(PSA.Data!$H417, 0, ($F$2-1)*6 + 1),
_xlpm.int - _xlpm.ctrl)</f>
        <v>-5825.4808518791333</v>
      </c>
      <c r="M415" s="134">
        <f t="shared" ca="1" si="17"/>
        <v>-7188.2882671947864</v>
      </c>
    </row>
    <row r="416" spans="11:13" ht="12" customHeight="1" x14ac:dyDescent="0.25">
      <c r="K416" s="90">
        <f ca="1">_xlfn.LET(_xlpm.int, OFFSET(PSA.Data!$E418, 0, ($F$2-1)*6), _xlpm.ctrl, OFFSET(PSA.Data!$E418, 0, ($F$2-1)*6 + 1),
_xlpm.int - _xlpm.ctrl)</f>
        <v>21208876.528761566</v>
      </c>
      <c r="L416" s="421">
        <f ca="1">_xlfn.LET(_xlpm.int, OFFSET(PSA.Data!$H418, 0, ($F$2-1)*6), _xlpm.ctrl, OFFSET(PSA.Data!$H418, 0, ($F$2-1)*6 + 1),
_xlpm.int - _xlpm.ctrl)</f>
        <v>-4902.8571515468166</v>
      </c>
      <c r="M416" s="134">
        <f t="shared" ca="1" si="17"/>
        <v>-5963.3009779848944</v>
      </c>
    </row>
    <row r="417" spans="11:13" ht="12" customHeight="1" x14ac:dyDescent="0.25">
      <c r="K417" s="90">
        <f ca="1">_xlfn.LET(_xlpm.int, OFFSET(PSA.Data!$E419, 0, ($F$2-1)*6), _xlpm.ctrl, OFFSET(PSA.Data!$E419, 0, ($F$2-1)*6 + 1),
_xlpm.int - _xlpm.ctrl)</f>
        <v>73049682.532287806</v>
      </c>
      <c r="L417" s="421">
        <f ca="1">_xlfn.LET(_xlpm.int, OFFSET(PSA.Data!$H419, 0, ($F$2-1)*6), _xlpm.ctrl, OFFSET(PSA.Data!$H419, 0, ($F$2-1)*6 + 1),
_xlpm.int - _xlpm.ctrl)</f>
        <v>-7162.5324702686194</v>
      </c>
      <c r="M417" s="134">
        <f t="shared" ca="1" si="17"/>
        <v>-10815.01659688301</v>
      </c>
    </row>
    <row r="418" spans="11:13" ht="12" customHeight="1" x14ac:dyDescent="0.25">
      <c r="K418" s="90">
        <f ca="1">_xlfn.LET(_xlpm.int, OFFSET(PSA.Data!$E420, 0, ($F$2-1)*6), _xlpm.ctrl, OFFSET(PSA.Data!$E420, 0, ($F$2-1)*6 + 1),
_xlpm.int - _xlpm.ctrl)</f>
        <v>34301579.679675303</v>
      </c>
      <c r="L418" s="421">
        <f ca="1">_xlfn.LET(_xlpm.int, OFFSET(PSA.Data!$H420, 0, ($F$2-1)*6), _xlpm.ctrl, OFFSET(PSA.Data!$H420, 0, ($F$2-1)*6 + 1),
_xlpm.int - _xlpm.ctrl)</f>
        <v>-6133.560370203566</v>
      </c>
      <c r="M418" s="134">
        <f t="shared" ca="1" si="17"/>
        <v>-7848.6393541873313</v>
      </c>
    </row>
    <row r="419" spans="11:13" ht="12" customHeight="1" x14ac:dyDescent="0.25">
      <c r="K419" s="90">
        <f ca="1">_xlfn.LET(_xlpm.int, OFFSET(PSA.Data!$E421, 0, ($F$2-1)*6), _xlpm.ctrl, OFFSET(PSA.Data!$E421, 0, ($F$2-1)*6 + 1),
_xlpm.int - _xlpm.ctrl)</f>
        <v>7560339.1560065793</v>
      </c>
      <c r="L419" s="421">
        <f ca="1">_xlfn.LET(_xlpm.int, OFFSET(PSA.Data!$H421, 0, ($F$2-1)*6), _xlpm.ctrl, OFFSET(PSA.Data!$H421, 0, ($F$2-1)*6 + 1),
_xlpm.int - _xlpm.ctrl)</f>
        <v>-4455.6320473891328</v>
      </c>
      <c r="M419" s="134">
        <f t="shared" ca="1" si="17"/>
        <v>-4833.6490051894616</v>
      </c>
    </row>
    <row r="420" spans="11:13" ht="12" customHeight="1" x14ac:dyDescent="0.25">
      <c r="K420" s="90">
        <f ca="1">_xlfn.LET(_xlpm.int, OFFSET(PSA.Data!$E422, 0, ($F$2-1)*6), _xlpm.ctrl, OFFSET(PSA.Data!$E422, 0, ($F$2-1)*6 + 1),
_xlpm.int - _xlpm.ctrl)</f>
        <v>30026652.477779839</v>
      </c>
      <c r="L420" s="421">
        <f ca="1">_xlfn.LET(_xlpm.int, OFFSET(PSA.Data!$H422, 0, ($F$2-1)*6), _xlpm.ctrl, OFFSET(PSA.Data!$H422, 0, ($F$2-1)*6 + 1),
_xlpm.int - _xlpm.ctrl)</f>
        <v>-5114.1704532913254</v>
      </c>
      <c r="M420" s="134">
        <f t="shared" ca="1" si="17"/>
        <v>-6615.5030771803176</v>
      </c>
    </row>
    <row r="421" spans="11:13" ht="12" customHeight="1" x14ac:dyDescent="0.25">
      <c r="K421" s="90">
        <f ca="1">_xlfn.LET(_xlpm.int, OFFSET(PSA.Data!$E423, 0, ($F$2-1)*6), _xlpm.ctrl, OFFSET(PSA.Data!$E423, 0, ($F$2-1)*6 + 1),
_xlpm.int - _xlpm.ctrl)</f>
        <v>23363993.730351549</v>
      </c>
      <c r="L421" s="421">
        <f ca="1">_xlfn.LET(_xlpm.int, OFFSET(PSA.Data!$H423, 0, ($F$2-1)*6), _xlpm.ctrl, OFFSET(PSA.Data!$H423, 0, ($F$2-1)*6 + 1),
_xlpm.int - _xlpm.ctrl)</f>
        <v>-7247.9624749286559</v>
      </c>
      <c r="M421" s="134">
        <f t="shared" ca="1" si="17"/>
        <v>-8416.1621614462329</v>
      </c>
    </row>
    <row r="422" spans="11:13" ht="12" customHeight="1" x14ac:dyDescent="0.25">
      <c r="K422" s="90">
        <f ca="1">_xlfn.LET(_xlpm.int, OFFSET(PSA.Data!$E424, 0, ($F$2-1)*6), _xlpm.ctrl, OFFSET(PSA.Data!$E424, 0, ($F$2-1)*6 + 1),
_xlpm.int - _xlpm.ctrl)</f>
        <v>31025422.190837398</v>
      </c>
      <c r="L422" s="421">
        <f ca="1">_xlfn.LET(_xlpm.int, OFFSET(PSA.Data!$H424, 0, ($F$2-1)*6), _xlpm.ctrl, OFFSET(PSA.Data!$H424, 0, ($F$2-1)*6 + 1),
_xlpm.int - _xlpm.ctrl)</f>
        <v>-5317.3969830563346</v>
      </c>
      <c r="M422" s="134">
        <f t="shared" ca="1" si="17"/>
        <v>-6868.6680925982046</v>
      </c>
    </row>
    <row r="423" spans="11:13" ht="12" customHeight="1" x14ac:dyDescent="0.25">
      <c r="K423" s="90">
        <f ca="1">_xlfn.LET(_xlpm.int, OFFSET(PSA.Data!$E425, 0, ($F$2-1)*6), _xlpm.ctrl, OFFSET(PSA.Data!$E425, 0, ($F$2-1)*6 + 1),
_xlpm.int - _xlpm.ctrl)</f>
        <v>47721019.740309596</v>
      </c>
      <c r="L423" s="421">
        <f ca="1">_xlfn.LET(_xlpm.int, OFFSET(PSA.Data!$H425, 0, ($F$2-1)*6), _xlpm.ctrl, OFFSET(PSA.Data!$H425, 0, ($F$2-1)*6 + 1),
_xlpm.int - _xlpm.ctrl)</f>
        <v>-7511.2448979364144</v>
      </c>
      <c r="M423" s="134">
        <f t="shared" ca="1" si="17"/>
        <v>-9897.2958849518945</v>
      </c>
    </row>
    <row r="424" spans="11:13" ht="12" customHeight="1" x14ac:dyDescent="0.25">
      <c r="K424" s="90">
        <f ca="1">_xlfn.LET(_xlpm.int, OFFSET(PSA.Data!$E426, 0, ($F$2-1)*6), _xlpm.ctrl, OFFSET(PSA.Data!$E426, 0, ($F$2-1)*6 + 1),
_xlpm.int - _xlpm.ctrl)</f>
        <v>20792907.099957459</v>
      </c>
      <c r="L424" s="421">
        <f ca="1">_xlfn.LET(_xlpm.int, OFFSET(PSA.Data!$H426, 0, ($F$2-1)*6), _xlpm.ctrl, OFFSET(PSA.Data!$H426, 0, ($F$2-1)*6 + 1),
_xlpm.int - _xlpm.ctrl)</f>
        <v>-5651.6676165349145</v>
      </c>
      <c r="M424" s="134">
        <f t="shared" ca="1" si="17"/>
        <v>-6691.3129715327877</v>
      </c>
    </row>
    <row r="425" spans="11:13" ht="12" customHeight="1" x14ac:dyDescent="0.25">
      <c r="K425" s="90">
        <f ca="1">_xlfn.LET(_xlpm.int, OFFSET(PSA.Data!$E427, 0, ($F$2-1)*6), _xlpm.ctrl, OFFSET(PSA.Data!$E427, 0, ($F$2-1)*6 + 1),
_xlpm.int - _xlpm.ctrl)</f>
        <v>33393546.070869267</v>
      </c>
      <c r="L425" s="421">
        <f ca="1">_xlfn.LET(_xlpm.int, OFFSET(PSA.Data!$H427, 0, ($F$2-1)*6), _xlpm.ctrl, OFFSET(PSA.Data!$H427, 0, ($F$2-1)*6 + 1),
_xlpm.int - _xlpm.ctrl)</f>
        <v>-5395.8574523043235</v>
      </c>
      <c r="M425" s="134">
        <f t="shared" ca="1" si="17"/>
        <v>-7065.534755847787</v>
      </c>
    </row>
    <row r="426" spans="11:13" ht="12" customHeight="1" x14ac:dyDescent="0.25">
      <c r="K426" s="90">
        <f ca="1">_xlfn.LET(_xlpm.int, OFFSET(PSA.Data!$E428, 0, ($F$2-1)*6), _xlpm.ctrl, OFFSET(PSA.Data!$E428, 0, ($F$2-1)*6 + 1),
_xlpm.int - _xlpm.ctrl)</f>
        <v>9261758.1550598629</v>
      </c>
      <c r="L426" s="421">
        <f ca="1">_xlfn.LET(_xlpm.int, OFFSET(PSA.Data!$H428, 0, ($F$2-1)*6), _xlpm.ctrl, OFFSET(PSA.Data!$H428, 0, ($F$2-1)*6 + 1),
_xlpm.int - _xlpm.ctrl)</f>
        <v>-4895.5570313357221</v>
      </c>
      <c r="M426" s="134">
        <f t="shared" ca="1" si="17"/>
        <v>-5358.6449390887155</v>
      </c>
    </row>
    <row r="427" spans="11:13" ht="12" customHeight="1" x14ac:dyDescent="0.25">
      <c r="K427" s="90">
        <f ca="1">_xlfn.LET(_xlpm.int, OFFSET(PSA.Data!$E429, 0, ($F$2-1)*6), _xlpm.ctrl, OFFSET(PSA.Data!$E429, 0, ($F$2-1)*6 + 1),
_xlpm.int - _xlpm.ctrl)</f>
        <v>28905262.205153339</v>
      </c>
      <c r="L427" s="421">
        <f ca="1">_xlfn.LET(_xlpm.int, OFFSET(PSA.Data!$H429, 0, ($F$2-1)*6), _xlpm.ctrl, OFFSET(PSA.Data!$H429, 0, ($F$2-1)*6 + 1),
_xlpm.int - _xlpm.ctrl)</f>
        <v>-5442.3790837471588</v>
      </c>
      <c r="M427" s="134">
        <f t="shared" ca="1" si="17"/>
        <v>-6887.6421940048258</v>
      </c>
    </row>
    <row r="428" spans="11:13" ht="12" customHeight="1" x14ac:dyDescent="0.25">
      <c r="K428" s="90">
        <f ca="1">_xlfn.LET(_xlpm.int, OFFSET(PSA.Data!$E430, 0, ($F$2-1)*6), _xlpm.ctrl, OFFSET(PSA.Data!$E430, 0, ($F$2-1)*6 + 1),
_xlpm.int - _xlpm.ctrl)</f>
        <v>33285484.179314751</v>
      </c>
      <c r="L428" s="421">
        <f ca="1">_xlfn.LET(_xlpm.int, OFFSET(PSA.Data!$H430, 0, ($F$2-1)*6), _xlpm.ctrl, OFFSET(PSA.Data!$H430, 0, ($F$2-1)*6 + 1),
_xlpm.int - _xlpm.ctrl)</f>
        <v>-6288.887686119273</v>
      </c>
      <c r="M428" s="134">
        <f t="shared" ca="1" si="17"/>
        <v>-7953.1618950850107</v>
      </c>
    </row>
    <row r="429" spans="11:13" ht="12" customHeight="1" x14ac:dyDescent="0.25">
      <c r="K429" s="90">
        <f ca="1">_xlfn.LET(_xlpm.int, OFFSET(PSA.Data!$E431, 0, ($F$2-1)*6), _xlpm.ctrl, OFFSET(PSA.Data!$E431, 0, ($F$2-1)*6 + 1),
_xlpm.int - _xlpm.ctrl)</f>
        <v>24140762.225336235</v>
      </c>
      <c r="L429" s="421">
        <f ca="1">_xlfn.LET(_xlpm.int, OFFSET(PSA.Data!$H431, 0, ($F$2-1)*6), _xlpm.ctrl, OFFSET(PSA.Data!$H431, 0, ($F$2-1)*6 + 1),
_xlpm.int - _xlpm.ctrl)</f>
        <v>-5258.4113507635675</v>
      </c>
      <c r="M429" s="134">
        <f t="shared" ca="1" si="17"/>
        <v>-6465.4494620303794</v>
      </c>
    </row>
    <row r="430" spans="11:13" ht="12" customHeight="1" x14ac:dyDescent="0.25">
      <c r="K430" s="90">
        <f ca="1">_xlfn.LET(_xlpm.int, OFFSET(PSA.Data!$E432, 0, ($F$2-1)*6), _xlpm.ctrl, OFFSET(PSA.Data!$E432, 0, ($F$2-1)*6 + 1),
_xlpm.int - _xlpm.ctrl)</f>
        <v>23584851.600160774</v>
      </c>
      <c r="L430" s="421">
        <f ca="1">_xlfn.LET(_xlpm.int, OFFSET(PSA.Data!$H432, 0, ($F$2-1)*6), _xlpm.ctrl, OFFSET(PSA.Data!$H432, 0, ($F$2-1)*6 + 1),
_xlpm.int - _xlpm.ctrl)</f>
        <v>-5759.6890939222149</v>
      </c>
      <c r="M430" s="134">
        <f t="shared" ca="1" si="17"/>
        <v>-6938.931673930254</v>
      </c>
    </row>
    <row r="431" spans="11:13" ht="12" customHeight="1" x14ac:dyDescent="0.25">
      <c r="K431" s="90">
        <f ca="1">_xlfn.LET(_xlpm.int, OFFSET(PSA.Data!$E433, 0, ($F$2-1)*6), _xlpm.ctrl, OFFSET(PSA.Data!$E433, 0, ($F$2-1)*6 + 1),
_xlpm.int - _xlpm.ctrl)</f>
        <v>59672229.138278402</v>
      </c>
      <c r="L431" s="421">
        <f ca="1">_xlfn.LET(_xlpm.int, OFFSET(PSA.Data!$H433, 0, ($F$2-1)*6), _xlpm.ctrl, OFFSET(PSA.Data!$H433, 0, ($F$2-1)*6 + 1),
_xlpm.int - _xlpm.ctrl)</f>
        <v>-5873.7221258439222</v>
      </c>
      <c r="M431" s="134">
        <f t="shared" ca="1" si="17"/>
        <v>-8857.3335827578412</v>
      </c>
    </row>
    <row r="432" spans="11:13" ht="12" customHeight="1" x14ac:dyDescent="0.25">
      <c r="K432" s="90">
        <f ca="1">_xlfn.LET(_xlpm.int, OFFSET(PSA.Data!$E434, 0, ($F$2-1)*6), _xlpm.ctrl, OFFSET(PSA.Data!$E434, 0, ($F$2-1)*6 + 1),
_xlpm.int - _xlpm.ctrl)</f>
        <v>23979018.812700763</v>
      </c>
      <c r="L432" s="421">
        <f ca="1">_xlfn.LET(_xlpm.int, OFFSET(PSA.Data!$H434, 0, ($F$2-1)*6), _xlpm.ctrl, OFFSET(PSA.Data!$H434, 0, ($F$2-1)*6 + 1),
_xlpm.int - _xlpm.ctrl)</f>
        <v>-5385.8299813191779</v>
      </c>
      <c r="M432" s="134">
        <f t="shared" ca="1" si="17"/>
        <v>-6584.780921954216</v>
      </c>
    </row>
    <row r="433" spans="11:13" ht="12" customHeight="1" x14ac:dyDescent="0.25">
      <c r="K433" s="90">
        <f ca="1">_xlfn.LET(_xlpm.int, OFFSET(PSA.Data!$E435, 0, ($F$2-1)*6), _xlpm.ctrl, OFFSET(PSA.Data!$E435, 0, ($F$2-1)*6 + 1),
_xlpm.int - _xlpm.ctrl)</f>
        <v>92680954.928836346</v>
      </c>
      <c r="L433" s="421">
        <f ca="1">_xlfn.LET(_xlpm.int, OFFSET(PSA.Data!$H435, 0, ($F$2-1)*6), _xlpm.ctrl, OFFSET(PSA.Data!$H435, 0, ($F$2-1)*6 + 1),
_xlpm.int - _xlpm.ctrl)</f>
        <v>-7284.3170425846447</v>
      </c>
      <c r="M433" s="134">
        <f t="shared" ca="1" si="17"/>
        <v>-11918.364789026462</v>
      </c>
    </row>
    <row r="434" spans="11:13" ht="12" customHeight="1" x14ac:dyDescent="0.25">
      <c r="K434" s="90">
        <f ca="1">_xlfn.LET(_xlpm.int, OFFSET(PSA.Data!$E436, 0, ($F$2-1)*6), _xlpm.ctrl, OFFSET(PSA.Data!$E436, 0, ($F$2-1)*6 + 1),
_xlpm.int - _xlpm.ctrl)</f>
        <v>26880099.647851013</v>
      </c>
      <c r="L434" s="421">
        <f ca="1">_xlfn.LET(_xlpm.int, OFFSET(PSA.Data!$H436, 0, ($F$2-1)*6), _xlpm.ctrl, OFFSET(PSA.Data!$H436, 0, ($F$2-1)*6 + 1),
_xlpm.int - _xlpm.ctrl)</f>
        <v>-5985.271098275417</v>
      </c>
      <c r="M434" s="134">
        <f t="shared" ca="1" si="17"/>
        <v>-7329.2760806679671</v>
      </c>
    </row>
    <row r="435" spans="11:13" ht="12" customHeight="1" x14ac:dyDescent="0.25">
      <c r="K435" s="90">
        <f ca="1">_xlfn.LET(_xlpm.int, OFFSET(PSA.Data!$E437, 0, ($F$2-1)*6), _xlpm.ctrl, OFFSET(PSA.Data!$E437, 0, ($F$2-1)*6 + 1),
_xlpm.int - _xlpm.ctrl)</f>
        <v>25890460.092164256</v>
      </c>
      <c r="L435" s="421">
        <f ca="1">_xlfn.LET(_xlpm.int, OFFSET(PSA.Data!$H437, 0, ($F$2-1)*6), _xlpm.ctrl, OFFSET(PSA.Data!$H437, 0, ($F$2-1)*6 + 1),
_xlpm.int - _xlpm.ctrl)</f>
        <v>-6754.1629970012764</v>
      </c>
      <c r="M435" s="134">
        <f t="shared" ca="1" si="17"/>
        <v>-8048.6860016094888</v>
      </c>
    </row>
    <row r="436" spans="11:13" ht="12" customHeight="1" x14ac:dyDescent="0.25">
      <c r="K436" s="90">
        <f ca="1">_xlfn.LET(_xlpm.int, OFFSET(PSA.Data!$E438, 0, ($F$2-1)*6), _xlpm.ctrl, OFFSET(PSA.Data!$E438, 0, ($F$2-1)*6 + 1),
_xlpm.int - _xlpm.ctrl)</f>
        <v>10624812.103775164</v>
      </c>
      <c r="L436" s="421">
        <f ca="1">_xlfn.LET(_xlpm.int, OFFSET(PSA.Data!$H438, 0, ($F$2-1)*6), _xlpm.ctrl, OFFSET(PSA.Data!$H438, 0, ($F$2-1)*6 + 1),
_xlpm.int - _xlpm.ctrl)</f>
        <v>-5357.6807329492212</v>
      </c>
      <c r="M436" s="134">
        <f t="shared" ca="1" si="17"/>
        <v>-5888.9213381379795</v>
      </c>
    </row>
    <row r="437" spans="11:13" ht="12" customHeight="1" x14ac:dyDescent="0.25">
      <c r="K437" s="90">
        <f ca="1">_xlfn.LET(_xlpm.int, OFFSET(PSA.Data!$E439, 0, ($F$2-1)*6), _xlpm.ctrl, OFFSET(PSA.Data!$E439, 0, ($F$2-1)*6 + 1),
_xlpm.int - _xlpm.ctrl)</f>
        <v>33415193.115706299</v>
      </c>
      <c r="L437" s="421">
        <f ca="1">_xlfn.LET(_xlpm.int, OFFSET(PSA.Data!$H439, 0, ($F$2-1)*6), _xlpm.ctrl, OFFSET(PSA.Data!$H439, 0, ($F$2-1)*6 + 1),
_xlpm.int - _xlpm.ctrl)</f>
        <v>-6323.7489411429569</v>
      </c>
      <c r="M437" s="134">
        <f t="shared" ca="1" si="17"/>
        <v>-7994.5085969282718</v>
      </c>
    </row>
    <row r="438" spans="11:13" ht="12" customHeight="1" x14ac:dyDescent="0.25">
      <c r="K438" s="90">
        <f ca="1">_xlfn.LET(_xlpm.int, OFFSET(PSA.Data!$E440, 0, ($F$2-1)*6), _xlpm.ctrl, OFFSET(PSA.Data!$E440, 0, ($F$2-1)*6 + 1),
_xlpm.int - _xlpm.ctrl)</f>
        <v>13638333.638519291</v>
      </c>
      <c r="L438" s="421">
        <f ca="1">_xlfn.LET(_xlpm.int, OFFSET(PSA.Data!$H440, 0, ($F$2-1)*6), _xlpm.ctrl, OFFSET(PSA.Data!$H440, 0, ($F$2-1)*6 + 1),
_xlpm.int - _xlpm.ctrl)</f>
        <v>-5013.5415003941671</v>
      </c>
      <c r="M438" s="134">
        <f t="shared" ca="1" si="17"/>
        <v>-5695.4581823201315</v>
      </c>
    </row>
    <row r="439" spans="11:13" ht="12" customHeight="1" x14ac:dyDescent="0.25">
      <c r="K439" s="90">
        <f ca="1">_xlfn.LET(_xlpm.int, OFFSET(PSA.Data!$E441, 0, ($F$2-1)*6), _xlpm.ctrl, OFFSET(PSA.Data!$E441, 0, ($F$2-1)*6 + 1),
_xlpm.int - _xlpm.ctrl)</f>
        <v>17375797.551986866</v>
      </c>
      <c r="L439" s="421">
        <f ca="1">_xlfn.LET(_xlpm.int, OFFSET(PSA.Data!$H441, 0, ($F$2-1)*6), _xlpm.ctrl, OFFSET(PSA.Data!$H441, 0, ($F$2-1)*6 + 1),
_xlpm.int - _xlpm.ctrl)</f>
        <v>-4521.6318514401855</v>
      </c>
      <c r="M439" s="134">
        <f t="shared" ca="1" si="17"/>
        <v>-5390.4217290395291</v>
      </c>
    </row>
    <row r="440" spans="11:13" ht="12" customHeight="1" x14ac:dyDescent="0.25">
      <c r="K440" s="90">
        <f ca="1">_xlfn.LET(_xlpm.int, OFFSET(PSA.Data!$E442, 0, ($F$2-1)*6), _xlpm.ctrl, OFFSET(PSA.Data!$E442, 0, ($F$2-1)*6 + 1),
_xlpm.int - _xlpm.ctrl)</f>
        <v>36805208.830888361</v>
      </c>
      <c r="L440" s="421">
        <f ca="1">_xlfn.LET(_xlpm.int, OFFSET(PSA.Data!$H442, 0, ($F$2-1)*6), _xlpm.ctrl, OFFSET(PSA.Data!$H442, 0, ($F$2-1)*6 + 1),
_xlpm.int - _xlpm.ctrl)</f>
        <v>-5554.8036131544313</v>
      </c>
      <c r="M440" s="134">
        <f t="shared" ca="1" si="17"/>
        <v>-7395.0640546988488</v>
      </c>
    </row>
    <row r="441" spans="11:13" ht="12" customHeight="1" x14ac:dyDescent="0.25">
      <c r="K441" s="90">
        <f ca="1">_xlfn.LET(_xlpm.int, OFFSET(PSA.Data!$E443, 0, ($F$2-1)*6), _xlpm.ctrl, OFFSET(PSA.Data!$E443, 0, ($F$2-1)*6 + 1),
_xlpm.int - _xlpm.ctrl)</f>
        <v>19848704.055118255</v>
      </c>
      <c r="L441" s="421">
        <f ca="1">_xlfn.LET(_xlpm.int, OFFSET(PSA.Data!$H443, 0, ($F$2-1)*6), _xlpm.ctrl, OFFSET(PSA.Data!$H443, 0, ($F$2-1)*6 + 1),
_xlpm.int - _xlpm.ctrl)</f>
        <v>-5316.321601218393</v>
      </c>
      <c r="M441" s="134">
        <f t="shared" ca="1" si="17"/>
        <v>-6308.7568039743055</v>
      </c>
    </row>
    <row r="442" spans="11:13" ht="12" customHeight="1" x14ac:dyDescent="0.25">
      <c r="K442" s="90">
        <f ca="1">_xlfn.LET(_xlpm.int, OFFSET(PSA.Data!$E444, 0, ($F$2-1)*6), _xlpm.ctrl, OFFSET(PSA.Data!$E444, 0, ($F$2-1)*6 + 1),
_xlpm.int - _xlpm.ctrl)</f>
        <v>42112369.14786052</v>
      </c>
      <c r="L442" s="421">
        <f ca="1">_xlfn.LET(_xlpm.int, OFFSET(PSA.Data!$H444, 0, ($F$2-1)*6), _xlpm.ctrl, OFFSET(PSA.Data!$H444, 0, ($F$2-1)*6 + 1),
_xlpm.int - _xlpm.ctrl)</f>
        <v>-6572.2036843608839</v>
      </c>
      <c r="M442" s="134">
        <f t="shared" ca="1" si="17"/>
        <v>-8677.8221417539098</v>
      </c>
    </row>
    <row r="443" spans="11:13" ht="12" customHeight="1" x14ac:dyDescent="0.25">
      <c r="K443" s="90">
        <f ca="1">_xlfn.LET(_xlpm.int, OFFSET(PSA.Data!$E445, 0, ($F$2-1)*6), _xlpm.ctrl, OFFSET(PSA.Data!$E445, 0, ($F$2-1)*6 + 1),
_xlpm.int - _xlpm.ctrl)</f>
        <v>36579210.6107843</v>
      </c>
      <c r="L443" s="421">
        <f ca="1">_xlfn.LET(_xlpm.int, OFFSET(PSA.Data!$H445, 0, ($F$2-1)*6), _xlpm.ctrl, OFFSET(PSA.Data!$H445, 0, ($F$2-1)*6 + 1),
_xlpm.int - _xlpm.ctrl)</f>
        <v>-5878.6809943745466</v>
      </c>
      <c r="M443" s="134">
        <f t="shared" ca="1" si="17"/>
        <v>-7707.6415249137617</v>
      </c>
    </row>
    <row r="444" spans="11:13" ht="12" customHeight="1" x14ac:dyDescent="0.25">
      <c r="K444" s="90">
        <f ca="1">_xlfn.LET(_xlpm.int, OFFSET(PSA.Data!$E446, 0, ($F$2-1)*6), _xlpm.ctrl, OFFSET(PSA.Data!$E446, 0, ($F$2-1)*6 + 1),
_xlpm.int - _xlpm.ctrl)</f>
        <v>58788692.236923419</v>
      </c>
      <c r="L444" s="421">
        <f ca="1">_xlfn.LET(_xlpm.int, OFFSET(PSA.Data!$H446, 0, ($F$2-1)*6), _xlpm.ctrl, OFFSET(PSA.Data!$H446, 0, ($F$2-1)*6 + 1),
_xlpm.int - _xlpm.ctrl)</f>
        <v>-6566.7389080510775</v>
      </c>
      <c r="M444" s="134">
        <f t="shared" ca="1" si="17"/>
        <v>-9506.1735198972492</v>
      </c>
    </row>
    <row r="445" spans="11:13" ht="12" customHeight="1" x14ac:dyDescent="0.25">
      <c r="K445" s="90">
        <f ca="1">_xlfn.LET(_xlpm.int, OFFSET(PSA.Data!$E447, 0, ($F$2-1)*6), _xlpm.ctrl, OFFSET(PSA.Data!$E447, 0, ($F$2-1)*6 + 1),
_xlpm.int - _xlpm.ctrl)</f>
        <v>17922162.862978853</v>
      </c>
      <c r="L445" s="421">
        <f ca="1">_xlfn.LET(_xlpm.int, OFFSET(PSA.Data!$H447, 0, ($F$2-1)*6), _xlpm.ctrl, OFFSET(PSA.Data!$H447, 0, ($F$2-1)*6 + 1),
_xlpm.int - _xlpm.ctrl)</f>
        <v>-6105.4425698342648</v>
      </c>
      <c r="M445" s="134">
        <f t="shared" ca="1" si="17"/>
        <v>-7001.5507129832076</v>
      </c>
    </row>
    <row r="446" spans="11:13" ht="12" customHeight="1" x14ac:dyDescent="0.25">
      <c r="K446" s="90">
        <f ca="1">_xlfn.LET(_xlpm.int, OFFSET(PSA.Data!$E448, 0, ($F$2-1)*6), _xlpm.ctrl, OFFSET(PSA.Data!$E448, 0, ($F$2-1)*6 + 1),
_xlpm.int - _xlpm.ctrl)</f>
        <v>26364368.468016203</v>
      </c>
      <c r="L446" s="421">
        <f ca="1">_xlfn.LET(_xlpm.int, OFFSET(PSA.Data!$H448, 0, ($F$2-1)*6), _xlpm.ctrl, OFFSET(PSA.Data!$H448, 0, ($F$2-1)*6 + 1),
_xlpm.int - _xlpm.ctrl)</f>
        <v>-6542.4551475390144</v>
      </c>
      <c r="M446" s="134">
        <f t="shared" ca="1" si="17"/>
        <v>-7860.6735709398245</v>
      </c>
    </row>
    <row r="447" spans="11:13" ht="12" customHeight="1" x14ac:dyDescent="0.25">
      <c r="K447" s="90">
        <f ca="1">_xlfn.LET(_xlpm.int, OFFSET(PSA.Data!$E449, 0, ($F$2-1)*6), _xlpm.ctrl, OFFSET(PSA.Data!$E449, 0, ($F$2-1)*6 + 1),
_xlpm.int - _xlpm.ctrl)</f>
        <v>16540078.582589826</v>
      </c>
      <c r="L447" s="421">
        <f ca="1">_xlfn.LET(_xlpm.int, OFFSET(PSA.Data!$H449, 0, ($F$2-1)*6), _xlpm.ctrl, OFFSET(PSA.Data!$H449, 0, ($F$2-1)*6 + 1),
_xlpm.int - _xlpm.ctrl)</f>
        <v>-6229.162436244731</v>
      </c>
      <c r="M447" s="134">
        <f t="shared" ca="1" si="17"/>
        <v>-7056.1663653742226</v>
      </c>
    </row>
    <row r="448" spans="11:13" ht="12" customHeight="1" x14ac:dyDescent="0.25">
      <c r="K448" s="90">
        <f ca="1">_xlfn.LET(_xlpm.int, OFFSET(PSA.Data!$E450, 0, ($F$2-1)*6), _xlpm.ctrl, OFFSET(PSA.Data!$E450, 0, ($F$2-1)*6 + 1),
_xlpm.int - _xlpm.ctrl)</f>
        <v>32915420.974740393</v>
      </c>
      <c r="L448" s="421">
        <f ca="1">_xlfn.LET(_xlpm.int, OFFSET(PSA.Data!$H450, 0, ($F$2-1)*6), _xlpm.ctrl, OFFSET(PSA.Data!$H450, 0, ($F$2-1)*6 + 1),
_xlpm.int - _xlpm.ctrl)</f>
        <v>-6076.3129749766395</v>
      </c>
      <c r="M448" s="134">
        <f t="shared" ca="1" si="17"/>
        <v>-7722.084023713659</v>
      </c>
    </row>
    <row r="449" spans="11:13" ht="12" customHeight="1" x14ac:dyDescent="0.25">
      <c r="K449" s="90">
        <f ca="1">_xlfn.LET(_xlpm.int, OFFSET(PSA.Data!$E451, 0, ($F$2-1)*6), _xlpm.ctrl, OFFSET(PSA.Data!$E451, 0, ($F$2-1)*6 + 1),
_xlpm.int - _xlpm.ctrl)</f>
        <v>18119922.912404619</v>
      </c>
      <c r="L449" s="421">
        <f ca="1">_xlfn.LET(_xlpm.int, OFFSET(PSA.Data!$H451, 0, ($F$2-1)*6), _xlpm.ctrl, OFFSET(PSA.Data!$H451, 0, ($F$2-1)*6 + 1),
_xlpm.int - _xlpm.ctrl)</f>
        <v>-4613.9187482767693</v>
      </c>
      <c r="M449" s="134">
        <f t="shared" ca="1" si="17"/>
        <v>-5519.9148938970002</v>
      </c>
    </row>
    <row r="450" spans="11:13" ht="12" customHeight="1" x14ac:dyDescent="0.25">
      <c r="K450" s="90">
        <f ca="1">_xlfn.LET(_xlpm.int, OFFSET(PSA.Data!$E452, 0, ($F$2-1)*6), _xlpm.ctrl, OFFSET(PSA.Data!$E452, 0, ($F$2-1)*6 + 1),
_xlpm.int - _xlpm.ctrl)</f>
        <v>14626179.114315452</v>
      </c>
      <c r="L450" s="421">
        <f ca="1">_xlfn.LET(_xlpm.int, OFFSET(PSA.Data!$H452, 0, ($F$2-1)*6), _xlpm.ctrl, OFFSET(PSA.Data!$H452, 0, ($F$2-1)*6 + 1),
_xlpm.int - _xlpm.ctrl)</f>
        <v>-6164.9991557215644</v>
      </c>
      <c r="M450" s="134">
        <f t="shared" ca="1" si="17"/>
        <v>-6896.3081114373372</v>
      </c>
    </row>
    <row r="451" spans="11:13" ht="12" customHeight="1" x14ac:dyDescent="0.25">
      <c r="K451" s="90">
        <f ca="1">_xlfn.LET(_xlpm.int, OFFSET(PSA.Data!$E453, 0, ($F$2-1)*6), _xlpm.ctrl, OFFSET(PSA.Data!$E453, 0, ($F$2-1)*6 + 1),
_xlpm.int - _xlpm.ctrl)</f>
        <v>23811202.923618585</v>
      </c>
      <c r="L451" s="421">
        <f ca="1">_xlfn.LET(_xlpm.int, OFFSET(PSA.Data!$H453, 0, ($F$2-1)*6), _xlpm.ctrl, OFFSET(PSA.Data!$H453, 0, ($F$2-1)*6 + 1),
_xlpm.int - _xlpm.ctrl)</f>
        <v>-4922.7696516941269</v>
      </c>
      <c r="M451" s="134">
        <f t="shared" ca="1" si="17"/>
        <v>-6113.3297978750561</v>
      </c>
    </row>
    <row r="452" spans="11:13" ht="12" customHeight="1" x14ac:dyDescent="0.25">
      <c r="K452" s="90">
        <f ca="1">_xlfn.LET(_xlpm.int, OFFSET(PSA.Data!$E454, 0, ($F$2-1)*6), _xlpm.ctrl, OFFSET(PSA.Data!$E454, 0, ($F$2-1)*6 + 1),
_xlpm.int - _xlpm.ctrl)</f>
        <v>20760098.422851779</v>
      </c>
      <c r="L452" s="421">
        <f ca="1">_xlfn.LET(_xlpm.int, OFFSET(PSA.Data!$H454, 0, ($F$2-1)*6), _xlpm.ctrl, OFFSET(PSA.Data!$H454, 0, ($F$2-1)*6 + 1),
_xlpm.int - _xlpm.ctrl)</f>
        <v>-5683.9457224740618</v>
      </c>
      <c r="M452" s="134">
        <f t="shared" ca="1" si="17"/>
        <v>-6721.9506436166503</v>
      </c>
    </row>
    <row r="453" spans="11:13" ht="12" customHeight="1" x14ac:dyDescent="0.25">
      <c r="K453" s="90">
        <f ca="1">_xlfn.LET(_xlpm.int, OFFSET(PSA.Data!$E455, 0, ($F$2-1)*6), _xlpm.ctrl, OFFSET(PSA.Data!$E455, 0, ($F$2-1)*6 + 1),
_xlpm.int - _xlpm.ctrl)</f>
        <v>23291792.108887669</v>
      </c>
      <c r="L453" s="421">
        <f ca="1">_xlfn.LET(_xlpm.int, OFFSET(PSA.Data!$H455, 0, ($F$2-1)*6), _xlpm.ctrl, OFFSET(PSA.Data!$H455, 0, ($F$2-1)*6 + 1),
_xlpm.int - _xlpm.ctrl)</f>
        <v>-5652.0300076367084</v>
      </c>
      <c r="M453" s="134">
        <f t="shared" ca="1" si="17"/>
        <v>-6816.6196130810913</v>
      </c>
    </row>
    <row r="454" spans="11:13" ht="12" customHeight="1" x14ac:dyDescent="0.25">
      <c r="K454" s="90">
        <f ca="1">_xlfn.LET(_xlpm.int, OFFSET(PSA.Data!$E456, 0, ($F$2-1)*6), _xlpm.ctrl, OFFSET(PSA.Data!$E456, 0, ($F$2-1)*6 + 1),
_xlpm.int - _xlpm.ctrl)</f>
        <v>35042849.987397119</v>
      </c>
      <c r="L454" s="421">
        <f ca="1">_xlfn.LET(_xlpm.int, OFFSET(PSA.Data!$H456, 0, ($F$2-1)*6), _xlpm.ctrl, OFFSET(PSA.Data!$H456, 0, ($F$2-1)*6 + 1),
_xlpm.int - _xlpm.ctrl)</f>
        <v>-6104.660906476136</v>
      </c>
      <c r="M454" s="134">
        <f t="shared" ca="1" si="17"/>
        <v>-7856.8034058459925</v>
      </c>
    </row>
    <row r="455" spans="11:13" ht="12" customHeight="1" x14ac:dyDescent="0.25">
      <c r="K455" s="90">
        <f ca="1">_xlfn.LET(_xlpm.int, OFFSET(PSA.Data!$E457, 0, ($F$2-1)*6), _xlpm.ctrl, OFFSET(PSA.Data!$E457, 0, ($F$2-1)*6 + 1),
_xlpm.int - _xlpm.ctrl)</f>
        <v>21465582.016208924</v>
      </c>
      <c r="L455" s="421">
        <f ca="1">_xlfn.LET(_xlpm.int, OFFSET(PSA.Data!$H457, 0, ($F$2-1)*6), _xlpm.ctrl, OFFSET(PSA.Data!$H457, 0, ($F$2-1)*6 + 1),
_xlpm.int - _xlpm.ctrl)</f>
        <v>-4860.4441890396711</v>
      </c>
      <c r="M455" s="134">
        <f t="shared" ca="1" si="17"/>
        <v>-5933.723289850117</v>
      </c>
    </row>
    <row r="456" spans="11:13" ht="12" customHeight="1" x14ac:dyDescent="0.25">
      <c r="K456" s="90">
        <f ca="1">_xlfn.LET(_xlpm.int, OFFSET(PSA.Data!$E458, 0, ($F$2-1)*6), _xlpm.ctrl, OFFSET(PSA.Data!$E458, 0, ($F$2-1)*6 + 1),
_xlpm.int - _xlpm.ctrl)</f>
        <v>8930725.651723817</v>
      </c>
      <c r="L456" s="421">
        <f ca="1">_xlfn.LET(_xlpm.int, OFFSET(PSA.Data!$H458, 0, ($F$2-1)*6), _xlpm.ctrl, OFFSET(PSA.Data!$H458, 0, ($F$2-1)*6 + 1),
_xlpm.int - _xlpm.ctrl)</f>
        <v>-5399.6268022968452</v>
      </c>
      <c r="M456" s="134">
        <f t="shared" ca="1" si="17"/>
        <v>-5846.1630848830364</v>
      </c>
    </row>
    <row r="457" spans="11:13" ht="12" customHeight="1" x14ac:dyDescent="0.25">
      <c r="K457" s="90">
        <f ca="1">_xlfn.LET(_xlpm.int, OFFSET(PSA.Data!$E459, 0, ($F$2-1)*6), _xlpm.ctrl, OFFSET(PSA.Data!$E459, 0, ($F$2-1)*6 + 1),
_xlpm.int - _xlpm.ctrl)</f>
        <v>35677100.879445463</v>
      </c>
      <c r="L457" s="421">
        <f ca="1">_xlfn.LET(_xlpm.int, OFFSET(PSA.Data!$H459, 0, ($F$2-1)*6), _xlpm.ctrl, OFFSET(PSA.Data!$H459, 0, ($F$2-1)*6 + 1),
_xlpm.int - _xlpm.ctrl)</f>
        <v>-6857.376276354993</v>
      </c>
      <c r="M457" s="134">
        <f t="shared" ca="1" si="17"/>
        <v>-8641.2313203272661</v>
      </c>
    </row>
    <row r="458" spans="11:13" ht="12" customHeight="1" x14ac:dyDescent="0.25">
      <c r="K458" s="90">
        <f ca="1">_xlfn.LET(_xlpm.int, OFFSET(PSA.Data!$E460, 0, ($F$2-1)*6), _xlpm.ctrl, OFFSET(PSA.Data!$E460, 0, ($F$2-1)*6 + 1),
_xlpm.int - _xlpm.ctrl)</f>
        <v>44833877.938809663</v>
      </c>
      <c r="L458" s="421">
        <f ca="1">_xlfn.LET(_xlpm.int, OFFSET(PSA.Data!$H460, 0, ($F$2-1)*6), _xlpm.ctrl, OFFSET(PSA.Data!$H460, 0, ($F$2-1)*6 + 1),
_xlpm.int - _xlpm.ctrl)</f>
        <v>-7059.3554031456024</v>
      </c>
      <c r="M458" s="134">
        <f t="shared" ca="1" si="17"/>
        <v>-9301.0493000860861</v>
      </c>
    </row>
    <row r="459" spans="11:13" ht="12" customHeight="1" x14ac:dyDescent="0.25">
      <c r="K459" s="90">
        <f ca="1">_xlfn.LET(_xlpm.int, OFFSET(PSA.Data!$E461, 0, ($F$2-1)*6), _xlpm.ctrl, OFFSET(PSA.Data!$E461, 0, ($F$2-1)*6 + 1),
_xlpm.int - _xlpm.ctrl)</f>
        <v>59165239.261813879</v>
      </c>
      <c r="L459" s="421">
        <f ca="1">_xlfn.LET(_xlpm.int, OFFSET(PSA.Data!$H461, 0, ($F$2-1)*6), _xlpm.ctrl, OFFSET(PSA.Data!$H461, 0, ($F$2-1)*6 + 1),
_xlpm.int - _xlpm.ctrl)</f>
        <v>-9792.7302403624144</v>
      </c>
      <c r="M459" s="134">
        <f t="shared" ca="1" si="17"/>
        <v>-12750.992203453108</v>
      </c>
    </row>
    <row r="460" spans="11:13" ht="12" customHeight="1" x14ac:dyDescent="0.25">
      <c r="K460" s="90">
        <f ca="1">_xlfn.LET(_xlpm.int, OFFSET(PSA.Data!$E462, 0, ($F$2-1)*6), _xlpm.ctrl, OFFSET(PSA.Data!$E462, 0, ($F$2-1)*6 + 1),
_xlpm.int - _xlpm.ctrl)</f>
        <v>12783317.768961538</v>
      </c>
      <c r="L460" s="421">
        <f ca="1">_xlfn.LET(_xlpm.int, OFFSET(PSA.Data!$H462, 0, ($F$2-1)*6), _xlpm.ctrl, OFFSET(PSA.Data!$H462, 0, ($F$2-1)*6 + 1),
_xlpm.int - _xlpm.ctrl)</f>
        <v>-4983.7554466117926</v>
      </c>
      <c r="M460" s="134">
        <f t="shared" ca="1" si="17"/>
        <v>-5622.9213350598693</v>
      </c>
    </row>
    <row r="461" spans="11:13" ht="12" customHeight="1" x14ac:dyDescent="0.25">
      <c r="K461" s="90">
        <f ca="1">_xlfn.LET(_xlpm.int, OFFSET(PSA.Data!$E463, 0, ($F$2-1)*6), _xlpm.ctrl, OFFSET(PSA.Data!$E463, 0, ($F$2-1)*6 + 1),
_xlpm.int - _xlpm.ctrl)</f>
        <v>42131357.207800142</v>
      </c>
      <c r="L461" s="421">
        <f ca="1">_xlfn.LET(_xlpm.int, OFFSET(PSA.Data!$H463, 0, ($F$2-1)*6), _xlpm.ctrl, OFFSET(PSA.Data!$H463, 0, ($F$2-1)*6 + 1),
_xlpm.int - _xlpm.ctrl)</f>
        <v>-6397.3299579511031</v>
      </c>
      <c r="M461" s="134">
        <f t="shared" ca="1" si="17"/>
        <v>-8503.8978183411091</v>
      </c>
    </row>
    <row r="462" spans="11:13" ht="12" customHeight="1" x14ac:dyDescent="0.25">
      <c r="K462" s="90">
        <f ca="1">_xlfn.LET(_xlpm.int, OFFSET(PSA.Data!$E464, 0, ($F$2-1)*6), _xlpm.ctrl, OFFSET(PSA.Data!$E464, 0, ($F$2-1)*6 + 1),
_xlpm.int - _xlpm.ctrl)</f>
        <v>37600512.391199879</v>
      </c>
      <c r="L462" s="421">
        <f ca="1">_xlfn.LET(_xlpm.int, OFFSET(PSA.Data!$H464, 0, ($F$2-1)*6), _xlpm.ctrl, OFFSET(PSA.Data!$H464, 0, ($F$2-1)*6 + 1),
_xlpm.int - _xlpm.ctrl)</f>
        <v>-7243.3109186659767</v>
      </c>
      <c r="M462" s="134">
        <f t="shared" ca="1" si="17"/>
        <v>-9123.3365382259708</v>
      </c>
    </row>
    <row r="463" spans="11:13" ht="12" customHeight="1" x14ac:dyDescent="0.25">
      <c r="K463" s="90">
        <f ca="1">_xlfn.LET(_xlpm.int, OFFSET(PSA.Data!$E465, 0, ($F$2-1)*6), _xlpm.ctrl, OFFSET(PSA.Data!$E465, 0, ($F$2-1)*6 + 1),
_xlpm.int - _xlpm.ctrl)</f>
        <v>40799680.772691116</v>
      </c>
      <c r="L463" s="421">
        <f ca="1">_xlfn.LET(_xlpm.int, OFFSET(PSA.Data!$H465, 0, ($F$2-1)*6), _xlpm.ctrl, OFFSET(PSA.Data!$H465, 0, ($F$2-1)*6 + 1),
_xlpm.int - _xlpm.ctrl)</f>
        <v>-6369.3938836529878</v>
      </c>
      <c r="M463" s="134">
        <f t="shared" ca="1" si="17"/>
        <v>-8409.3779222875437</v>
      </c>
    </row>
    <row r="464" spans="11:13" ht="12" customHeight="1" x14ac:dyDescent="0.25">
      <c r="K464" s="90">
        <f ca="1">_xlfn.LET(_xlpm.int, OFFSET(PSA.Data!$E466, 0, ($F$2-1)*6), _xlpm.ctrl, OFFSET(PSA.Data!$E466, 0, ($F$2-1)*6 + 1),
_xlpm.int - _xlpm.ctrl)</f>
        <v>17444410.493890416</v>
      </c>
      <c r="L464" s="421">
        <f ca="1">_xlfn.LET(_xlpm.int, OFFSET(PSA.Data!$H466, 0, ($F$2-1)*6), _xlpm.ctrl, OFFSET(PSA.Data!$H466, 0, ($F$2-1)*6 + 1),
_xlpm.int - _xlpm.ctrl)</f>
        <v>-5492.4964892256621</v>
      </c>
      <c r="M464" s="134">
        <f t="shared" ref="M464:M527" ca="1" si="18">L464-K464/WTP</f>
        <v>-6364.7170139201826</v>
      </c>
    </row>
    <row r="465" spans="11:13" ht="12" customHeight="1" x14ac:dyDescent="0.25">
      <c r="K465" s="90">
        <f ca="1">_xlfn.LET(_xlpm.int, OFFSET(PSA.Data!$E467, 0, ($F$2-1)*6), _xlpm.ctrl, OFFSET(PSA.Data!$E467, 0, ($F$2-1)*6 + 1),
_xlpm.int - _xlpm.ctrl)</f>
        <v>12390935.052463025</v>
      </c>
      <c r="L465" s="421">
        <f ca="1">_xlfn.LET(_xlpm.int, OFFSET(PSA.Data!$H467, 0, ($F$2-1)*6), _xlpm.ctrl, OFFSET(PSA.Data!$H467, 0, ($F$2-1)*6 + 1),
_xlpm.int - _xlpm.ctrl)</f>
        <v>-5040.2934980978916</v>
      </c>
      <c r="M465" s="134">
        <f t="shared" ca="1" si="18"/>
        <v>-5659.840250721043</v>
      </c>
    </row>
    <row r="466" spans="11:13" ht="12" customHeight="1" x14ac:dyDescent="0.25">
      <c r="K466" s="90">
        <f ca="1">_xlfn.LET(_xlpm.int, OFFSET(PSA.Data!$E468, 0, ($F$2-1)*6), _xlpm.ctrl, OFFSET(PSA.Data!$E468, 0, ($F$2-1)*6 + 1),
_xlpm.int - _xlpm.ctrl)</f>
        <v>32442180.840533577</v>
      </c>
      <c r="L466" s="421">
        <f ca="1">_xlfn.LET(_xlpm.int, OFFSET(PSA.Data!$H468, 0, ($F$2-1)*6), _xlpm.ctrl, OFFSET(PSA.Data!$H468, 0, ($F$2-1)*6 + 1),
_xlpm.int - _xlpm.ctrl)</f>
        <v>-6296.0687474449078</v>
      </c>
      <c r="M466" s="134">
        <f t="shared" ca="1" si="18"/>
        <v>-7918.1777894715869</v>
      </c>
    </row>
    <row r="467" spans="11:13" ht="12" customHeight="1" x14ac:dyDescent="0.25">
      <c r="K467" s="90">
        <f ca="1">_xlfn.LET(_xlpm.int, OFFSET(PSA.Data!$E469, 0, ($F$2-1)*6), _xlpm.ctrl, OFFSET(PSA.Data!$E469, 0, ($F$2-1)*6 + 1),
_xlpm.int - _xlpm.ctrl)</f>
        <v>38143611.277800158</v>
      </c>
      <c r="L467" s="421">
        <f ca="1">_xlfn.LET(_xlpm.int, OFFSET(PSA.Data!$H469, 0, ($F$2-1)*6), _xlpm.ctrl, OFFSET(PSA.Data!$H469, 0, ($F$2-1)*6 + 1),
_xlpm.int - _xlpm.ctrl)</f>
        <v>-5158.9983476086427</v>
      </c>
      <c r="M467" s="134">
        <f t="shared" ca="1" si="18"/>
        <v>-7066.1789114986505</v>
      </c>
    </row>
    <row r="468" spans="11:13" ht="12" customHeight="1" x14ac:dyDescent="0.25">
      <c r="K468" s="90">
        <f ca="1">_xlfn.LET(_xlpm.int, OFFSET(PSA.Data!$E470, 0, ($F$2-1)*6), _xlpm.ctrl, OFFSET(PSA.Data!$E470, 0, ($F$2-1)*6 + 1),
_xlpm.int - _xlpm.ctrl)</f>
        <v>60452352.32970047</v>
      </c>
      <c r="L468" s="421">
        <f ca="1">_xlfn.LET(_xlpm.int, OFFSET(PSA.Data!$H470, 0, ($F$2-1)*6), _xlpm.ctrl, OFFSET(PSA.Data!$H470, 0, ($F$2-1)*6 + 1),
_xlpm.int - _xlpm.ctrl)</f>
        <v>-5904.258970289764</v>
      </c>
      <c r="M468" s="134">
        <f t="shared" ca="1" si="18"/>
        <v>-8926.8765867747879</v>
      </c>
    </row>
    <row r="469" spans="11:13" ht="12" customHeight="1" x14ac:dyDescent="0.25">
      <c r="K469" s="90">
        <f ca="1">_xlfn.LET(_xlpm.int, OFFSET(PSA.Data!$E471, 0, ($F$2-1)*6), _xlpm.ctrl, OFFSET(PSA.Data!$E471, 0, ($F$2-1)*6 + 1),
_xlpm.int - _xlpm.ctrl)</f>
        <v>17454504.451163679</v>
      </c>
      <c r="L469" s="421">
        <f ca="1">_xlfn.LET(_xlpm.int, OFFSET(PSA.Data!$H471, 0, ($F$2-1)*6), _xlpm.ctrl, OFFSET(PSA.Data!$H471, 0, ($F$2-1)*6 + 1),
_xlpm.int - _xlpm.ctrl)</f>
        <v>-4844.2556818616395</v>
      </c>
      <c r="M469" s="134">
        <f t="shared" ca="1" si="18"/>
        <v>-5716.9809044198237</v>
      </c>
    </row>
    <row r="470" spans="11:13" ht="12" customHeight="1" x14ac:dyDescent="0.25">
      <c r="K470" s="90">
        <f ca="1">_xlfn.LET(_xlpm.int, OFFSET(PSA.Data!$E472, 0, ($F$2-1)*6), _xlpm.ctrl, OFFSET(PSA.Data!$E472, 0, ($F$2-1)*6 + 1),
_xlpm.int - _xlpm.ctrl)</f>
        <v>50296398.00408829</v>
      </c>
      <c r="L470" s="421">
        <f ca="1">_xlfn.LET(_xlpm.int, OFFSET(PSA.Data!$H472, 0, ($F$2-1)*6), _xlpm.ctrl, OFFSET(PSA.Data!$H472, 0, ($F$2-1)*6 + 1),
_xlpm.int - _xlpm.ctrl)</f>
        <v>-6261.0106107891761</v>
      </c>
      <c r="M470" s="134">
        <f t="shared" ca="1" si="18"/>
        <v>-8775.83051099359</v>
      </c>
    </row>
    <row r="471" spans="11:13" ht="12" customHeight="1" x14ac:dyDescent="0.25">
      <c r="K471" s="90">
        <f ca="1">_xlfn.LET(_xlpm.int, OFFSET(PSA.Data!$E473, 0, ($F$2-1)*6), _xlpm.ctrl, OFFSET(PSA.Data!$E473, 0, ($F$2-1)*6 + 1),
_xlpm.int - _xlpm.ctrl)</f>
        <v>16185225.313599123</v>
      </c>
      <c r="L471" s="421">
        <f ca="1">_xlfn.LET(_xlpm.int, OFFSET(PSA.Data!$H473, 0, ($F$2-1)*6), _xlpm.ctrl, OFFSET(PSA.Data!$H473, 0, ($F$2-1)*6 + 1),
_xlpm.int - _xlpm.ctrl)</f>
        <v>-4902.6634392013311</v>
      </c>
      <c r="M471" s="134">
        <f t="shared" ca="1" si="18"/>
        <v>-5711.9247048812877</v>
      </c>
    </row>
    <row r="472" spans="11:13" ht="12" customHeight="1" x14ac:dyDescent="0.25">
      <c r="K472" s="90">
        <f ca="1">_xlfn.LET(_xlpm.int, OFFSET(PSA.Data!$E474, 0, ($F$2-1)*6), _xlpm.ctrl, OFFSET(PSA.Data!$E474, 0, ($F$2-1)*6 + 1),
_xlpm.int - _xlpm.ctrl)</f>
        <v>38934738.520396195</v>
      </c>
      <c r="L472" s="421">
        <f ca="1">_xlfn.LET(_xlpm.int, OFFSET(PSA.Data!$H474, 0, ($F$2-1)*6), _xlpm.ctrl, OFFSET(PSA.Data!$H474, 0, ($F$2-1)*6 + 1),
_xlpm.int - _xlpm.ctrl)</f>
        <v>-7148.8064059560193</v>
      </c>
      <c r="M472" s="134">
        <f t="shared" ca="1" si="18"/>
        <v>-9095.5433319758286</v>
      </c>
    </row>
    <row r="473" spans="11:13" ht="12" customHeight="1" x14ac:dyDescent="0.25">
      <c r="K473" s="90">
        <f ca="1">_xlfn.LET(_xlpm.int, OFFSET(PSA.Data!$E475, 0, ($F$2-1)*6), _xlpm.ctrl, OFFSET(PSA.Data!$E475, 0, ($F$2-1)*6 + 1),
_xlpm.int - _xlpm.ctrl)</f>
        <v>26815237.538275488</v>
      </c>
      <c r="L473" s="421">
        <f ca="1">_xlfn.LET(_xlpm.int, OFFSET(PSA.Data!$H475, 0, ($F$2-1)*6), _xlpm.ctrl, OFFSET(PSA.Data!$H475, 0, ($F$2-1)*6 + 1),
_xlpm.int - _xlpm.ctrl)</f>
        <v>-4952.1701769174915</v>
      </c>
      <c r="M473" s="134">
        <f t="shared" ca="1" si="18"/>
        <v>-6292.9320538312659</v>
      </c>
    </row>
    <row r="474" spans="11:13" ht="12" customHeight="1" x14ac:dyDescent="0.25">
      <c r="K474" s="90">
        <f ca="1">_xlfn.LET(_xlpm.int, OFFSET(PSA.Data!$E476, 0, ($F$2-1)*6), _xlpm.ctrl, OFFSET(PSA.Data!$E476, 0, ($F$2-1)*6 + 1),
_xlpm.int - _xlpm.ctrl)</f>
        <v>49818500.020170733</v>
      </c>
      <c r="L474" s="421">
        <f ca="1">_xlfn.LET(_xlpm.int, OFFSET(PSA.Data!$H476, 0, ($F$2-1)*6), _xlpm.ctrl, OFFSET(PSA.Data!$H476, 0, ($F$2-1)*6 + 1),
_xlpm.int - _xlpm.ctrl)</f>
        <v>-8279.3712063462226</v>
      </c>
      <c r="M474" s="134">
        <f t="shared" ca="1" si="18"/>
        <v>-10770.296207354759</v>
      </c>
    </row>
    <row r="475" spans="11:13" ht="12" customHeight="1" x14ac:dyDescent="0.25">
      <c r="K475" s="90">
        <f ca="1">_xlfn.LET(_xlpm.int, OFFSET(PSA.Data!$E477, 0, ($F$2-1)*6), _xlpm.ctrl, OFFSET(PSA.Data!$E477, 0, ($F$2-1)*6 + 1),
_xlpm.int - _xlpm.ctrl)</f>
        <v>36347092.666435279</v>
      </c>
      <c r="L475" s="421">
        <f ca="1">_xlfn.LET(_xlpm.int, OFFSET(PSA.Data!$H477, 0, ($F$2-1)*6), _xlpm.ctrl, OFFSET(PSA.Data!$H477, 0, ($F$2-1)*6 + 1),
_xlpm.int - _xlpm.ctrl)</f>
        <v>-6090.3422410999592</v>
      </c>
      <c r="M475" s="134">
        <f t="shared" ca="1" si="18"/>
        <v>-7907.6968744217229</v>
      </c>
    </row>
    <row r="476" spans="11:13" ht="12" customHeight="1" x14ac:dyDescent="0.25">
      <c r="K476" s="90">
        <f ca="1">_xlfn.LET(_xlpm.int, OFFSET(PSA.Data!$E478, 0, ($F$2-1)*6), _xlpm.ctrl, OFFSET(PSA.Data!$E478, 0, ($F$2-1)*6 + 1),
_xlpm.int - _xlpm.ctrl)</f>
        <v>24083782.429811116</v>
      </c>
      <c r="L476" s="421">
        <f ca="1">_xlfn.LET(_xlpm.int, OFFSET(PSA.Data!$H478, 0, ($F$2-1)*6), _xlpm.ctrl, OFFSET(PSA.Data!$H478, 0, ($F$2-1)*6 + 1),
_xlpm.int - _xlpm.ctrl)</f>
        <v>-6421.3667346997445</v>
      </c>
      <c r="M476" s="134">
        <f t="shared" ca="1" si="18"/>
        <v>-7625.5558561902999</v>
      </c>
    </row>
    <row r="477" spans="11:13" ht="12" customHeight="1" x14ac:dyDescent="0.25">
      <c r="K477" s="90">
        <f ca="1">_xlfn.LET(_xlpm.int, OFFSET(PSA.Data!$E479, 0, ($F$2-1)*6), _xlpm.ctrl, OFFSET(PSA.Data!$E479, 0, ($F$2-1)*6 + 1),
_xlpm.int - _xlpm.ctrl)</f>
        <v>36407035.066933818</v>
      </c>
      <c r="L477" s="421">
        <f ca="1">_xlfn.LET(_xlpm.int, OFFSET(PSA.Data!$H479, 0, ($F$2-1)*6), _xlpm.ctrl, OFFSET(PSA.Data!$H479, 0, ($F$2-1)*6 + 1),
_xlpm.int - _xlpm.ctrl)</f>
        <v>-7129.5219285552521</v>
      </c>
      <c r="M477" s="134">
        <f t="shared" ca="1" si="18"/>
        <v>-8949.8736819019432</v>
      </c>
    </row>
    <row r="478" spans="11:13" ht="12" customHeight="1" x14ac:dyDescent="0.25">
      <c r="K478" s="90">
        <f ca="1">_xlfn.LET(_xlpm.int, OFFSET(PSA.Data!$E480, 0, ($F$2-1)*6), _xlpm.ctrl, OFFSET(PSA.Data!$E480, 0, ($F$2-1)*6 + 1),
_xlpm.int - _xlpm.ctrl)</f>
        <v>45558341.405068092</v>
      </c>
      <c r="L478" s="421">
        <f ca="1">_xlfn.LET(_xlpm.int, OFFSET(PSA.Data!$H480, 0, ($F$2-1)*6), _xlpm.ctrl, OFFSET(PSA.Data!$H480, 0, ($F$2-1)*6 + 1),
_xlpm.int - _xlpm.ctrl)</f>
        <v>-7040.8497939315976</v>
      </c>
      <c r="M478" s="134">
        <f t="shared" ca="1" si="18"/>
        <v>-9318.7668641850032</v>
      </c>
    </row>
    <row r="479" spans="11:13" ht="12" customHeight="1" x14ac:dyDescent="0.25">
      <c r="K479" s="90">
        <f ca="1">_xlfn.LET(_xlpm.int, OFFSET(PSA.Data!$E481, 0, ($F$2-1)*6), _xlpm.ctrl, OFFSET(PSA.Data!$E481, 0, ($F$2-1)*6 + 1),
_xlpm.int - _xlpm.ctrl)</f>
        <v>52552846.322433189</v>
      </c>
      <c r="L479" s="421">
        <f ca="1">_xlfn.LET(_xlpm.int, OFFSET(PSA.Data!$H481, 0, ($F$2-1)*6), _xlpm.ctrl, OFFSET(PSA.Data!$H481, 0, ($F$2-1)*6 + 1),
_xlpm.int - _xlpm.ctrl)</f>
        <v>-6232.3387087739902</v>
      </c>
      <c r="M479" s="134">
        <f t="shared" ca="1" si="18"/>
        <v>-8859.9810248956492</v>
      </c>
    </row>
    <row r="480" spans="11:13" ht="12" customHeight="1" x14ac:dyDescent="0.25">
      <c r="K480" s="90">
        <f ca="1">_xlfn.LET(_xlpm.int, OFFSET(PSA.Data!$E482, 0, ($F$2-1)*6), _xlpm.ctrl, OFFSET(PSA.Data!$E482, 0, ($F$2-1)*6 + 1),
_xlpm.int - _xlpm.ctrl)</f>
        <v>27704911.253755033</v>
      </c>
      <c r="L480" s="421">
        <f ca="1">_xlfn.LET(_xlpm.int, OFFSET(PSA.Data!$H482, 0, ($F$2-1)*6), _xlpm.ctrl, OFFSET(PSA.Data!$H482, 0, ($F$2-1)*6 + 1),
_xlpm.int - _xlpm.ctrl)</f>
        <v>-5048.6912745680838</v>
      </c>
      <c r="M480" s="134">
        <f t="shared" ca="1" si="18"/>
        <v>-6433.9368372558356</v>
      </c>
    </row>
    <row r="481" spans="11:13" ht="12" customHeight="1" x14ac:dyDescent="0.25">
      <c r="K481" s="90">
        <f ca="1">_xlfn.LET(_xlpm.int, OFFSET(PSA.Data!$E483, 0, ($F$2-1)*6), _xlpm.ctrl, OFFSET(PSA.Data!$E483, 0, ($F$2-1)*6 + 1),
_xlpm.int - _xlpm.ctrl)</f>
        <v>54830121.570247464</v>
      </c>
      <c r="L481" s="421">
        <f ca="1">_xlfn.LET(_xlpm.int, OFFSET(PSA.Data!$H483, 0, ($F$2-1)*6), _xlpm.ctrl, OFFSET(PSA.Data!$H483, 0, ($F$2-1)*6 + 1),
_xlpm.int - _xlpm.ctrl)</f>
        <v>-5952.8618855592904</v>
      </c>
      <c r="M481" s="134">
        <f t="shared" ca="1" si="18"/>
        <v>-8694.3679640716637</v>
      </c>
    </row>
    <row r="482" spans="11:13" ht="12" customHeight="1" x14ac:dyDescent="0.25">
      <c r="K482" s="90">
        <f ca="1">_xlfn.LET(_xlpm.int, OFFSET(PSA.Data!$E484, 0, ($F$2-1)*6), _xlpm.ctrl, OFFSET(PSA.Data!$E484, 0, ($F$2-1)*6 + 1),
_xlpm.int - _xlpm.ctrl)</f>
        <v>20311672.40050767</v>
      </c>
      <c r="L482" s="421">
        <f ca="1">_xlfn.LET(_xlpm.int, OFFSET(PSA.Data!$H484, 0, ($F$2-1)*6), _xlpm.ctrl, OFFSET(PSA.Data!$H484, 0, ($F$2-1)*6 + 1),
_xlpm.int - _xlpm.ctrl)</f>
        <v>-5563.8390832881969</v>
      </c>
      <c r="M482" s="134">
        <f t="shared" ca="1" si="18"/>
        <v>-6579.4227033135803</v>
      </c>
    </row>
    <row r="483" spans="11:13" ht="12" customHeight="1" x14ac:dyDescent="0.25">
      <c r="K483" s="90">
        <f ca="1">_xlfn.LET(_xlpm.int, OFFSET(PSA.Data!$E485, 0, ($F$2-1)*6), _xlpm.ctrl, OFFSET(PSA.Data!$E485, 0, ($F$2-1)*6 + 1),
_xlpm.int - _xlpm.ctrl)</f>
        <v>36105896.464022011</v>
      </c>
      <c r="L483" s="421">
        <f ca="1">_xlfn.LET(_xlpm.int, OFFSET(PSA.Data!$H485, 0, ($F$2-1)*6), _xlpm.ctrl, OFFSET(PSA.Data!$H485, 0, ($F$2-1)*6 + 1),
_xlpm.int - _xlpm.ctrl)</f>
        <v>-6803.1293308321865</v>
      </c>
      <c r="M483" s="134">
        <f t="shared" ca="1" si="18"/>
        <v>-8608.4241540332878</v>
      </c>
    </row>
    <row r="484" spans="11:13" ht="12" customHeight="1" x14ac:dyDescent="0.25">
      <c r="K484" s="90">
        <f ca="1">_xlfn.LET(_xlpm.int, OFFSET(PSA.Data!$E486, 0, ($F$2-1)*6), _xlpm.ctrl, OFFSET(PSA.Data!$E486, 0, ($F$2-1)*6 + 1),
_xlpm.int - _xlpm.ctrl)</f>
        <v>41015279.693386436</v>
      </c>
      <c r="L484" s="421">
        <f ca="1">_xlfn.LET(_xlpm.int, OFFSET(PSA.Data!$H486, 0, ($F$2-1)*6), _xlpm.ctrl, OFFSET(PSA.Data!$H486, 0, ($F$2-1)*6 + 1),
_xlpm.int - _xlpm.ctrl)</f>
        <v>-5795.8764046934239</v>
      </c>
      <c r="M484" s="134">
        <f t="shared" ca="1" si="18"/>
        <v>-7846.6403893627457</v>
      </c>
    </row>
    <row r="485" spans="11:13" ht="12" customHeight="1" x14ac:dyDescent="0.25">
      <c r="K485" s="90">
        <f ca="1">_xlfn.LET(_xlpm.int, OFFSET(PSA.Data!$E487, 0, ($F$2-1)*6), _xlpm.ctrl, OFFSET(PSA.Data!$E487, 0, ($F$2-1)*6 + 1),
_xlpm.int - _xlpm.ctrl)</f>
        <v>40474247.85700573</v>
      </c>
      <c r="L485" s="421">
        <f ca="1">_xlfn.LET(_xlpm.int, OFFSET(PSA.Data!$H487, 0, ($F$2-1)*6), _xlpm.ctrl, OFFSET(PSA.Data!$H487, 0, ($F$2-1)*6 + 1),
_xlpm.int - _xlpm.ctrl)</f>
        <v>-8539.133061870838</v>
      </c>
      <c r="M485" s="134">
        <f t="shared" ca="1" si="18"/>
        <v>-10562.845454721124</v>
      </c>
    </row>
    <row r="486" spans="11:13" ht="12" customHeight="1" x14ac:dyDescent="0.25">
      <c r="K486" s="90">
        <f ca="1">_xlfn.LET(_xlpm.int, OFFSET(PSA.Data!$E488, 0, ($F$2-1)*6), _xlpm.ctrl, OFFSET(PSA.Data!$E488, 0, ($F$2-1)*6 + 1),
_xlpm.int - _xlpm.ctrl)</f>
        <v>21359001.286678642</v>
      </c>
      <c r="L486" s="421">
        <f ca="1">_xlfn.LET(_xlpm.int, OFFSET(PSA.Data!$H488, 0, ($F$2-1)*6), _xlpm.ctrl, OFFSET(PSA.Data!$H488, 0, ($F$2-1)*6 + 1),
_xlpm.int - _xlpm.ctrl)</f>
        <v>-5704.7468491115069</v>
      </c>
      <c r="M486" s="134">
        <f t="shared" ca="1" si="18"/>
        <v>-6772.6969134454393</v>
      </c>
    </row>
    <row r="487" spans="11:13" ht="12" customHeight="1" x14ac:dyDescent="0.25">
      <c r="K487" s="90">
        <f ca="1">_xlfn.LET(_xlpm.int, OFFSET(PSA.Data!$E489, 0, ($F$2-1)*6), _xlpm.ctrl, OFFSET(PSA.Data!$E489, 0, ($F$2-1)*6 + 1),
_xlpm.int - _xlpm.ctrl)</f>
        <v>27012331.972993426</v>
      </c>
      <c r="L487" s="421">
        <f ca="1">_xlfn.LET(_xlpm.int, OFFSET(PSA.Data!$H489, 0, ($F$2-1)*6), _xlpm.ctrl, OFFSET(PSA.Data!$H489, 0, ($F$2-1)*6 + 1),
_xlpm.int - _xlpm.ctrl)</f>
        <v>-5484.2586777583956</v>
      </c>
      <c r="M487" s="134">
        <f t="shared" ca="1" si="18"/>
        <v>-6834.8752764080673</v>
      </c>
    </row>
    <row r="488" spans="11:13" ht="12" customHeight="1" x14ac:dyDescent="0.25">
      <c r="K488" s="90">
        <f ca="1">_xlfn.LET(_xlpm.int, OFFSET(PSA.Data!$E490, 0, ($F$2-1)*6), _xlpm.ctrl, OFFSET(PSA.Data!$E490, 0, ($F$2-1)*6 + 1),
_xlpm.int - _xlpm.ctrl)</f>
        <v>56451015.753285855</v>
      </c>
      <c r="L488" s="421">
        <f ca="1">_xlfn.LET(_xlpm.int, OFFSET(PSA.Data!$H490, 0, ($F$2-1)*6), _xlpm.ctrl, OFFSET(PSA.Data!$H490, 0, ($F$2-1)*6 + 1),
_xlpm.int - _xlpm.ctrl)</f>
        <v>-6159.7483439316347</v>
      </c>
      <c r="M488" s="134">
        <f t="shared" ca="1" si="18"/>
        <v>-8982.299131595928</v>
      </c>
    </row>
    <row r="489" spans="11:13" ht="12" customHeight="1" x14ac:dyDescent="0.25">
      <c r="K489" s="90">
        <f ca="1">_xlfn.LET(_xlpm.int, OFFSET(PSA.Data!$E491, 0, ($F$2-1)*6), _xlpm.ctrl, OFFSET(PSA.Data!$E491, 0, ($F$2-1)*6 + 1),
_xlpm.int - _xlpm.ctrl)</f>
        <v>32948039.342755146</v>
      </c>
      <c r="L489" s="421">
        <f ca="1">_xlfn.LET(_xlpm.int, OFFSET(PSA.Data!$H491, 0, ($F$2-1)*6), _xlpm.ctrl, OFFSET(PSA.Data!$H491, 0, ($F$2-1)*6 + 1),
_xlpm.int - _xlpm.ctrl)</f>
        <v>-5700.2920042805636</v>
      </c>
      <c r="M489" s="134">
        <f t="shared" ca="1" si="18"/>
        <v>-7347.6939714183209</v>
      </c>
    </row>
    <row r="490" spans="11:13" ht="12" customHeight="1" x14ac:dyDescent="0.25">
      <c r="K490" s="90">
        <f ca="1">_xlfn.LET(_xlpm.int, OFFSET(PSA.Data!$E492, 0, ($F$2-1)*6), _xlpm.ctrl, OFFSET(PSA.Data!$E492, 0, ($F$2-1)*6 + 1),
_xlpm.int - _xlpm.ctrl)</f>
        <v>38107436.261297785</v>
      </c>
      <c r="L490" s="421">
        <f ca="1">_xlfn.LET(_xlpm.int, OFFSET(PSA.Data!$H492, 0, ($F$2-1)*6), _xlpm.ctrl, OFFSET(PSA.Data!$H492, 0, ($F$2-1)*6 + 1),
_xlpm.int - _xlpm.ctrl)</f>
        <v>-6099.2019501206423</v>
      </c>
      <c r="M490" s="134">
        <f t="shared" ca="1" si="18"/>
        <v>-8004.5737631855318</v>
      </c>
    </row>
    <row r="491" spans="11:13" ht="12" customHeight="1" x14ac:dyDescent="0.25">
      <c r="K491" s="90">
        <f ca="1">_xlfn.LET(_xlpm.int, OFFSET(PSA.Data!$E493, 0, ($F$2-1)*6), _xlpm.ctrl, OFFSET(PSA.Data!$E493, 0, ($F$2-1)*6 + 1),
_xlpm.int - _xlpm.ctrl)</f>
        <v>48400144.972376503</v>
      </c>
      <c r="L491" s="421">
        <f ca="1">_xlfn.LET(_xlpm.int, OFFSET(PSA.Data!$H493, 0, ($F$2-1)*6), _xlpm.ctrl, OFFSET(PSA.Data!$H493, 0, ($F$2-1)*6 + 1),
_xlpm.int - _xlpm.ctrl)</f>
        <v>-7509.2539163729816</v>
      </c>
      <c r="M491" s="134">
        <f t="shared" ca="1" si="18"/>
        <v>-9929.2611649918072</v>
      </c>
    </row>
    <row r="492" spans="11:13" ht="12" customHeight="1" x14ac:dyDescent="0.25">
      <c r="K492" s="90">
        <f ca="1">_xlfn.LET(_xlpm.int, OFFSET(PSA.Data!$E494, 0, ($F$2-1)*6), _xlpm.ctrl, OFFSET(PSA.Data!$E494, 0, ($F$2-1)*6 + 1),
_xlpm.int - _xlpm.ctrl)</f>
        <v>25086428.602072444</v>
      </c>
      <c r="L492" s="421">
        <f ca="1">_xlfn.LET(_xlpm.int, OFFSET(PSA.Data!$H494, 0, ($F$2-1)*6), _xlpm.ctrl, OFFSET(PSA.Data!$H494, 0, ($F$2-1)*6 + 1),
_xlpm.int - _xlpm.ctrl)</f>
        <v>-6210.3749710441707</v>
      </c>
      <c r="M492" s="134">
        <f t="shared" ca="1" si="18"/>
        <v>-7464.696401147793</v>
      </c>
    </row>
    <row r="493" spans="11:13" ht="12" customHeight="1" x14ac:dyDescent="0.25">
      <c r="K493" s="90">
        <f ca="1">_xlfn.LET(_xlpm.int, OFFSET(PSA.Data!$E495, 0, ($F$2-1)*6), _xlpm.ctrl, OFFSET(PSA.Data!$E495, 0, ($F$2-1)*6 + 1),
_xlpm.int - _xlpm.ctrl)</f>
        <v>56942743.576393224</v>
      </c>
      <c r="L493" s="421">
        <f ca="1">_xlfn.LET(_xlpm.int, OFFSET(PSA.Data!$H495, 0, ($F$2-1)*6), _xlpm.ctrl, OFFSET(PSA.Data!$H495, 0, ($F$2-1)*6 + 1),
_xlpm.int - _xlpm.ctrl)</f>
        <v>-5684.6712894221009</v>
      </c>
      <c r="M493" s="134">
        <f t="shared" ca="1" si="18"/>
        <v>-8531.8084682417611</v>
      </c>
    </row>
    <row r="494" spans="11:13" ht="12" customHeight="1" x14ac:dyDescent="0.25">
      <c r="K494" s="90">
        <f ca="1">_xlfn.LET(_xlpm.int, OFFSET(PSA.Data!$E496, 0, ($F$2-1)*6), _xlpm.ctrl, OFFSET(PSA.Data!$E496, 0, ($F$2-1)*6 + 1),
_xlpm.int - _xlpm.ctrl)</f>
        <v>19171282.710700288</v>
      </c>
      <c r="L494" s="421">
        <f ca="1">_xlfn.LET(_xlpm.int, OFFSET(PSA.Data!$H496, 0, ($F$2-1)*6), _xlpm.ctrl, OFFSET(PSA.Data!$H496, 0, ($F$2-1)*6 + 1),
_xlpm.int - _xlpm.ctrl)</f>
        <v>-4984.9014543892026</v>
      </c>
      <c r="M494" s="134">
        <f t="shared" ca="1" si="18"/>
        <v>-5943.4655899242171</v>
      </c>
    </row>
    <row r="495" spans="11:13" ht="12" customHeight="1" x14ac:dyDescent="0.25">
      <c r="K495" s="90">
        <f ca="1">_xlfn.LET(_xlpm.int, OFFSET(PSA.Data!$E497, 0, ($F$2-1)*6), _xlpm.ctrl, OFFSET(PSA.Data!$E497, 0, ($F$2-1)*6 + 1),
_xlpm.int - _xlpm.ctrl)</f>
        <v>34682339.905342147</v>
      </c>
      <c r="L495" s="421">
        <f ca="1">_xlfn.LET(_xlpm.int, OFFSET(PSA.Data!$H497, 0, ($F$2-1)*6), _xlpm.ctrl, OFFSET(PSA.Data!$H497, 0, ($F$2-1)*6 + 1),
_xlpm.int - _xlpm.ctrl)</f>
        <v>-5142.4953195764301</v>
      </c>
      <c r="M495" s="134">
        <f t="shared" ca="1" si="18"/>
        <v>-6876.6123148435372</v>
      </c>
    </row>
    <row r="496" spans="11:13" ht="12" customHeight="1" x14ac:dyDescent="0.25">
      <c r="K496" s="90">
        <f ca="1">_xlfn.LET(_xlpm.int, OFFSET(PSA.Data!$E498, 0, ($F$2-1)*6), _xlpm.ctrl, OFFSET(PSA.Data!$E498, 0, ($F$2-1)*6 + 1),
_xlpm.int - _xlpm.ctrl)</f>
        <v>27223321.76352926</v>
      </c>
      <c r="L496" s="421">
        <f ca="1">_xlfn.LET(_xlpm.int, OFFSET(PSA.Data!$H498, 0, ($F$2-1)*6), _xlpm.ctrl, OFFSET(PSA.Data!$H498, 0, ($F$2-1)*6 + 1),
_xlpm.int - _xlpm.ctrl)</f>
        <v>-6848.1208485588086</v>
      </c>
      <c r="M496" s="134">
        <f t="shared" ca="1" si="18"/>
        <v>-8209.2869367352723</v>
      </c>
    </row>
    <row r="497" spans="11:13" ht="12" customHeight="1" x14ac:dyDescent="0.25">
      <c r="K497" s="90">
        <f ca="1">_xlfn.LET(_xlpm.int, OFFSET(PSA.Data!$E499, 0, ($F$2-1)*6), _xlpm.ctrl, OFFSET(PSA.Data!$E499, 0, ($F$2-1)*6 + 1),
_xlpm.int - _xlpm.ctrl)</f>
        <v>17008280.829967178</v>
      </c>
      <c r="L497" s="421">
        <f ca="1">_xlfn.LET(_xlpm.int, OFFSET(PSA.Data!$H499, 0, ($F$2-1)*6), _xlpm.ctrl, OFFSET(PSA.Data!$H499, 0, ($F$2-1)*6 + 1),
_xlpm.int - _xlpm.ctrl)</f>
        <v>-5454.9677963613476</v>
      </c>
      <c r="M497" s="134">
        <f t="shared" ca="1" si="18"/>
        <v>-6305.3818378597061</v>
      </c>
    </row>
    <row r="498" spans="11:13" ht="12" customHeight="1" x14ac:dyDescent="0.25">
      <c r="K498" s="90">
        <f ca="1">_xlfn.LET(_xlpm.int, OFFSET(PSA.Data!$E500, 0, ($F$2-1)*6), _xlpm.ctrl, OFFSET(PSA.Data!$E500, 0, ($F$2-1)*6 + 1),
_xlpm.int - _xlpm.ctrl)</f>
        <v>43074432.494887844</v>
      </c>
      <c r="L498" s="421">
        <f ca="1">_xlfn.LET(_xlpm.int, OFFSET(PSA.Data!$H500, 0, ($F$2-1)*6), _xlpm.ctrl, OFFSET(PSA.Data!$H500, 0, ($F$2-1)*6 + 1),
_xlpm.int - _xlpm.ctrl)</f>
        <v>-6777.0735878725245</v>
      </c>
      <c r="M498" s="134">
        <f t="shared" ca="1" si="18"/>
        <v>-8930.7952126169166</v>
      </c>
    </row>
    <row r="499" spans="11:13" ht="12" customHeight="1" x14ac:dyDescent="0.25">
      <c r="K499" s="90">
        <f ca="1">_xlfn.LET(_xlpm.int, OFFSET(PSA.Data!$E501, 0, ($F$2-1)*6), _xlpm.ctrl, OFFSET(PSA.Data!$E501, 0, ($F$2-1)*6 + 1),
_xlpm.int - _xlpm.ctrl)</f>
        <v>22160494.379131638</v>
      </c>
      <c r="L499" s="421">
        <f ca="1">_xlfn.LET(_xlpm.int, OFFSET(PSA.Data!$H501, 0, ($F$2-1)*6), _xlpm.ctrl, OFFSET(PSA.Data!$H501, 0, ($F$2-1)*6 + 1),
_xlpm.int - _xlpm.ctrl)</f>
        <v>-5294.0177336020279</v>
      </c>
      <c r="M499" s="134">
        <f t="shared" ca="1" si="18"/>
        <v>-6402.0424525586095</v>
      </c>
    </row>
    <row r="500" spans="11:13" ht="12" customHeight="1" x14ac:dyDescent="0.25">
      <c r="K500" s="90">
        <f ca="1">_xlfn.LET(_xlpm.int, OFFSET(PSA.Data!$E502, 0, ($F$2-1)*6), _xlpm.ctrl, OFFSET(PSA.Data!$E502, 0, ($F$2-1)*6 + 1),
_xlpm.int - _xlpm.ctrl)</f>
        <v>52872463.716351688</v>
      </c>
      <c r="L500" s="421">
        <f ca="1">_xlfn.LET(_xlpm.int, OFFSET(PSA.Data!$H502, 0, ($F$2-1)*6), _xlpm.ctrl, OFFSET(PSA.Data!$H502, 0, ($F$2-1)*6 + 1),
_xlpm.int - _xlpm.ctrl)</f>
        <v>-7009.3324163994293</v>
      </c>
      <c r="M500" s="134">
        <f t="shared" ca="1" si="18"/>
        <v>-9652.9556022170145</v>
      </c>
    </row>
    <row r="501" spans="11:13" ht="12" customHeight="1" x14ac:dyDescent="0.25">
      <c r="K501" s="90">
        <f ca="1">_xlfn.LET(_xlpm.int, OFFSET(PSA.Data!$E503, 0, ($F$2-1)*6), _xlpm.ctrl, OFFSET(PSA.Data!$E503, 0, ($F$2-1)*6 + 1),
_xlpm.int - _xlpm.ctrl)</f>
        <v>15217437.609847141</v>
      </c>
      <c r="L501" s="421">
        <f ca="1">_xlfn.LET(_xlpm.int, OFFSET(PSA.Data!$H503, 0, ($F$2-1)*6), _xlpm.ctrl, OFFSET(PSA.Data!$H503, 0, ($F$2-1)*6 + 1),
_xlpm.int - _xlpm.ctrl)</f>
        <v>-4976.9016792959046</v>
      </c>
      <c r="M501" s="134">
        <f t="shared" ca="1" si="18"/>
        <v>-5737.773559788262</v>
      </c>
    </row>
    <row r="502" spans="11:13" ht="12" customHeight="1" x14ac:dyDescent="0.25">
      <c r="K502" s="90">
        <f ca="1">_xlfn.LET(_xlpm.int, OFFSET(PSA.Data!$E504, 0, ($F$2-1)*6), _xlpm.ctrl, OFFSET(PSA.Data!$E504, 0, ($F$2-1)*6 + 1),
_xlpm.int - _xlpm.ctrl)</f>
        <v>34268104.663779296</v>
      </c>
      <c r="L502" s="421">
        <f ca="1">_xlfn.LET(_xlpm.int, OFFSET(PSA.Data!$H504, 0, ($F$2-1)*6), _xlpm.ctrl, OFFSET(PSA.Data!$H504, 0, ($F$2-1)*6 + 1),
_xlpm.int - _xlpm.ctrl)</f>
        <v>-6930.7869660856359</v>
      </c>
      <c r="M502" s="134">
        <f t="shared" ca="1" si="18"/>
        <v>-8644.1921992746011</v>
      </c>
    </row>
    <row r="503" spans="11:13" ht="12" customHeight="1" x14ac:dyDescent="0.25">
      <c r="K503" s="90">
        <f ca="1">_xlfn.LET(_xlpm.int, OFFSET(PSA.Data!$E505, 0, ($F$2-1)*6), _xlpm.ctrl, OFFSET(PSA.Data!$E505, 0, ($F$2-1)*6 + 1),
_xlpm.int - _xlpm.ctrl)</f>
        <v>34613373.378822654</v>
      </c>
      <c r="L503" s="421">
        <f ca="1">_xlfn.LET(_xlpm.int, OFFSET(PSA.Data!$H505, 0, ($F$2-1)*6), _xlpm.ctrl, OFFSET(PSA.Data!$H505, 0, ($F$2-1)*6 + 1),
_xlpm.int - _xlpm.ctrl)</f>
        <v>-6699.3749411280005</v>
      </c>
      <c r="M503" s="134">
        <f t="shared" ca="1" si="18"/>
        <v>-8430.0436100691331</v>
      </c>
    </row>
    <row r="504" spans="11:13" ht="12" customHeight="1" x14ac:dyDescent="0.25">
      <c r="K504" s="90">
        <f ca="1">_xlfn.LET(_xlpm.int, OFFSET(PSA.Data!$E506, 0, ($F$2-1)*6), _xlpm.ctrl, OFFSET(PSA.Data!$E506, 0, ($F$2-1)*6 + 1),
_xlpm.int - _xlpm.ctrl)</f>
        <v>24608783.984328929</v>
      </c>
      <c r="L504" s="421">
        <f ca="1">_xlfn.LET(_xlpm.int, OFFSET(PSA.Data!$H506, 0, ($F$2-1)*6), _xlpm.ctrl, OFFSET(PSA.Data!$H506, 0, ($F$2-1)*6 + 1),
_xlpm.int - _xlpm.ctrl)</f>
        <v>-5034.3360531908511</v>
      </c>
      <c r="M504" s="134">
        <f t="shared" ca="1" si="18"/>
        <v>-6264.7752524072976</v>
      </c>
    </row>
    <row r="505" spans="11:13" ht="12" customHeight="1" x14ac:dyDescent="0.25">
      <c r="K505" s="90">
        <f ca="1">_xlfn.LET(_xlpm.int, OFFSET(PSA.Data!$E507, 0, ($F$2-1)*6), _xlpm.ctrl, OFFSET(PSA.Data!$E507, 0, ($F$2-1)*6 + 1),
_xlpm.int - _xlpm.ctrl)</f>
        <v>59395163.878010504</v>
      </c>
      <c r="L505" s="421">
        <f ca="1">_xlfn.LET(_xlpm.int, OFFSET(PSA.Data!$H507, 0, ($F$2-1)*6), _xlpm.ctrl, OFFSET(PSA.Data!$H507, 0, ($F$2-1)*6 + 1),
_xlpm.int - _xlpm.ctrl)</f>
        <v>-9688.6867134537897</v>
      </c>
      <c r="M505" s="134">
        <f t="shared" ca="1" si="18"/>
        <v>-12658.444907354315</v>
      </c>
    </row>
    <row r="506" spans="11:13" ht="12" customHeight="1" x14ac:dyDescent="0.25">
      <c r="K506" s="90">
        <f ca="1">_xlfn.LET(_xlpm.int, OFFSET(PSA.Data!$E508, 0, ($F$2-1)*6), _xlpm.ctrl, OFFSET(PSA.Data!$E508, 0, ($F$2-1)*6 + 1),
_xlpm.int - _xlpm.ctrl)</f>
        <v>28268418.152694061</v>
      </c>
      <c r="L506" s="421">
        <f ca="1">_xlfn.LET(_xlpm.int, OFFSET(PSA.Data!$H508, 0, ($F$2-1)*6), _xlpm.ctrl, OFFSET(PSA.Data!$H508, 0, ($F$2-1)*6 + 1),
_xlpm.int - _xlpm.ctrl)</f>
        <v>-4824.4252234427404</v>
      </c>
      <c r="M506" s="134">
        <f t="shared" ca="1" si="18"/>
        <v>-6237.8461310774437</v>
      </c>
    </row>
    <row r="507" spans="11:13" ht="12" customHeight="1" x14ac:dyDescent="0.25">
      <c r="K507" s="90">
        <f ca="1">_xlfn.LET(_xlpm.int, OFFSET(PSA.Data!$E509, 0, ($F$2-1)*6), _xlpm.ctrl, OFFSET(PSA.Data!$E509, 0, ($F$2-1)*6 + 1),
_xlpm.int - _xlpm.ctrl)</f>
        <v>31772353.864808667</v>
      </c>
      <c r="L507" s="421">
        <f ca="1">_xlfn.LET(_xlpm.int, OFFSET(PSA.Data!$H509, 0, ($F$2-1)*6), _xlpm.ctrl, OFFSET(PSA.Data!$H509, 0, ($F$2-1)*6 + 1),
_xlpm.int - _xlpm.ctrl)</f>
        <v>-5735.5731544910523</v>
      </c>
      <c r="M507" s="134">
        <f t="shared" ca="1" si="18"/>
        <v>-7324.1908477314855</v>
      </c>
    </row>
    <row r="508" spans="11:13" ht="12" customHeight="1" x14ac:dyDescent="0.25">
      <c r="K508" s="90">
        <f ca="1">_xlfn.LET(_xlpm.int, OFFSET(PSA.Data!$E510, 0, ($F$2-1)*6), _xlpm.ctrl, OFFSET(PSA.Data!$E510, 0, ($F$2-1)*6 + 1),
_xlpm.int - _xlpm.ctrl)</f>
        <v>63111798.60091982</v>
      </c>
      <c r="L508" s="421">
        <f ca="1">_xlfn.LET(_xlpm.int, OFFSET(PSA.Data!$H510, 0, ($F$2-1)*6), _xlpm.ctrl, OFFSET(PSA.Data!$H510, 0, ($F$2-1)*6 + 1),
_xlpm.int - _xlpm.ctrl)</f>
        <v>-7442.1790809745698</v>
      </c>
      <c r="M508" s="134">
        <f t="shared" ca="1" si="18"/>
        <v>-10597.76901102056</v>
      </c>
    </row>
    <row r="509" spans="11:13" ht="12" customHeight="1" x14ac:dyDescent="0.25">
      <c r="K509" s="90">
        <f ca="1">_xlfn.LET(_xlpm.int, OFFSET(PSA.Data!$E511, 0, ($F$2-1)*6), _xlpm.ctrl, OFFSET(PSA.Data!$E511, 0, ($F$2-1)*6 + 1),
_xlpm.int - _xlpm.ctrl)</f>
        <v>35643988.483385533</v>
      </c>
      <c r="L509" s="421">
        <f ca="1">_xlfn.LET(_xlpm.int, OFFSET(PSA.Data!$H511, 0, ($F$2-1)*6), _xlpm.ctrl, OFFSET(PSA.Data!$H511, 0, ($F$2-1)*6 + 1),
_xlpm.int - _xlpm.ctrl)</f>
        <v>-7745.8454890075882</v>
      </c>
      <c r="M509" s="134">
        <f t="shared" ca="1" si="18"/>
        <v>-9528.0449131768655</v>
      </c>
    </row>
    <row r="510" spans="11:13" ht="12" customHeight="1" x14ac:dyDescent="0.25">
      <c r="K510" s="90">
        <f ca="1">_xlfn.LET(_xlpm.int, OFFSET(PSA.Data!$E512, 0, ($F$2-1)*6), _xlpm.ctrl, OFFSET(PSA.Data!$E512, 0, ($F$2-1)*6 + 1),
_xlpm.int - _xlpm.ctrl)</f>
        <v>15312751.655994851</v>
      </c>
      <c r="L510" s="421">
        <f ca="1">_xlfn.LET(_xlpm.int, OFFSET(PSA.Data!$H512, 0, ($F$2-1)*6), _xlpm.ctrl, OFFSET(PSA.Data!$H512, 0, ($F$2-1)*6 + 1),
_xlpm.int - _xlpm.ctrl)</f>
        <v>-6234.3393701217155</v>
      </c>
      <c r="M510" s="134">
        <f t="shared" ca="1" si="18"/>
        <v>-6999.9769529214582</v>
      </c>
    </row>
    <row r="511" spans="11:13" ht="12" customHeight="1" x14ac:dyDescent="0.25">
      <c r="K511" s="90">
        <f ca="1">_xlfn.LET(_xlpm.int, OFFSET(PSA.Data!$E513, 0, ($F$2-1)*6), _xlpm.ctrl, OFFSET(PSA.Data!$E513, 0, ($F$2-1)*6 + 1),
_xlpm.int - _xlpm.ctrl)</f>
        <v>32389620.852524012</v>
      </c>
      <c r="L511" s="421">
        <f ca="1">_xlfn.LET(_xlpm.int, OFFSET(PSA.Data!$H513, 0, ($F$2-1)*6), _xlpm.ctrl, OFFSET(PSA.Data!$H513, 0, ($F$2-1)*6 + 1),
_xlpm.int - _xlpm.ctrl)</f>
        <v>-6722.5252735073482</v>
      </c>
      <c r="M511" s="134">
        <f t="shared" ca="1" si="18"/>
        <v>-8342.0063161335493</v>
      </c>
    </row>
    <row r="512" spans="11:13" ht="12" customHeight="1" x14ac:dyDescent="0.25">
      <c r="K512" s="90">
        <f ca="1">_xlfn.LET(_xlpm.int, OFFSET(PSA.Data!$E514, 0, ($F$2-1)*6), _xlpm.ctrl, OFFSET(PSA.Data!$E514, 0, ($F$2-1)*6 + 1),
_xlpm.int - _xlpm.ctrl)</f>
        <v>41912629.874448165</v>
      </c>
      <c r="L512" s="421">
        <f ca="1">_xlfn.LET(_xlpm.int, OFFSET(PSA.Data!$H514, 0, ($F$2-1)*6), _xlpm.ctrl, OFFSET(PSA.Data!$H514, 0, ($F$2-1)*6 + 1),
_xlpm.int - _xlpm.ctrl)</f>
        <v>-5230.6839693663242</v>
      </c>
      <c r="M512" s="134">
        <f t="shared" ca="1" si="18"/>
        <v>-7326.3154630887329</v>
      </c>
    </row>
    <row r="513" spans="11:13" ht="12" customHeight="1" x14ac:dyDescent="0.25">
      <c r="K513" s="90">
        <f ca="1">_xlfn.LET(_xlpm.int, OFFSET(PSA.Data!$E515, 0, ($F$2-1)*6), _xlpm.ctrl, OFFSET(PSA.Data!$E515, 0, ($F$2-1)*6 + 1),
_xlpm.int - _xlpm.ctrl)</f>
        <v>35082659.096506648</v>
      </c>
      <c r="L513" s="421">
        <f ca="1">_xlfn.LET(_xlpm.int, OFFSET(PSA.Data!$H515, 0, ($F$2-1)*6), _xlpm.ctrl, OFFSET(PSA.Data!$H515, 0, ($F$2-1)*6 + 1),
_xlpm.int - _xlpm.ctrl)</f>
        <v>-5577.7603319263435</v>
      </c>
      <c r="M513" s="134">
        <f t="shared" ca="1" si="18"/>
        <v>-7331.893286751676</v>
      </c>
    </row>
    <row r="514" spans="11:13" ht="12" customHeight="1" x14ac:dyDescent="0.25">
      <c r="K514" s="90">
        <f ca="1">_xlfn.LET(_xlpm.int, OFFSET(PSA.Data!$E516, 0, ($F$2-1)*6), _xlpm.ctrl, OFFSET(PSA.Data!$E516, 0, ($F$2-1)*6 + 1),
_xlpm.int - _xlpm.ctrl)</f>
        <v>42309053.551885366</v>
      </c>
      <c r="L514" s="421">
        <f ca="1">_xlfn.LET(_xlpm.int, OFFSET(PSA.Data!$H516, 0, ($F$2-1)*6), _xlpm.ctrl, OFFSET(PSA.Data!$H516, 0, ($F$2-1)*6 + 1),
_xlpm.int - _xlpm.ctrl)</f>
        <v>-7065.613460860337</v>
      </c>
      <c r="M514" s="134">
        <f t="shared" ca="1" si="18"/>
        <v>-9181.0661384546056</v>
      </c>
    </row>
    <row r="515" spans="11:13" ht="12" customHeight="1" x14ac:dyDescent="0.25">
      <c r="K515" s="90">
        <f ca="1">_xlfn.LET(_xlpm.int, OFFSET(PSA.Data!$E517, 0, ($F$2-1)*6), _xlpm.ctrl, OFFSET(PSA.Data!$E517, 0, ($F$2-1)*6 + 1),
_xlpm.int - _xlpm.ctrl)</f>
        <v>36054130.150290355</v>
      </c>
      <c r="L515" s="421">
        <f ca="1">_xlfn.LET(_xlpm.int, OFFSET(PSA.Data!$H517, 0, ($F$2-1)*6), _xlpm.ctrl, OFFSET(PSA.Data!$H517, 0, ($F$2-1)*6 + 1),
_xlpm.int - _xlpm.ctrl)</f>
        <v>-6438.2876709327638</v>
      </c>
      <c r="M515" s="134">
        <f t="shared" ca="1" si="18"/>
        <v>-8240.9941784472812</v>
      </c>
    </row>
    <row r="516" spans="11:13" ht="12" customHeight="1" x14ac:dyDescent="0.25">
      <c r="K516" s="90">
        <f ca="1">_xlfn.LET(_xlpm.int, OFFSET(PSA.Data!$E518, 0, ($F$2-1)*6), _xlpm.ctrl, OFFSET(PSA.Data!$E518, 0, ($F$2-1)*6 + 1),
_xlpm.int - _xlpm.ctrl)</f>
        <v>29682940.201658327</v>
      </c>
      <c r="L516" s="421">
        <f ca="1">_xlfn.LET(_xlpm.int, OFFSET(PSA.Data!$H518, 0, ($F$2-1)*6), _xlpm.ctrl, OFFSET(PSA.Data!$H518, 0, ($F$2-1)*6 + 1),
_xlpm.int - _xlpm.ctrl)</f>
        <v>-4934.3378340410381</v>
      </c>
      <c r="M516" s="134">
        <f t="shared" ca="1" si="18"/>
        <v>-6418.4848441239546</v>
      </c>
    </row>
    <row r="517" spans="11:13" ht="12" customHeight="1" x14ac:dyDescent="0.25">
      <c r="K517" s="90">
        <f ca="1">_xlfn.LET(_xlpm.int, OFFSET(PSA.Data!$E519, 0, ($F$2-1)*6), _xlpm.ctrl, OFFSET(PSA.Data!$E519, 0, ($F$2-1)*6 + 1),
_xlpm.int - _xlpm.ctrl)</f>
        <v>21461820.292583231</v>
      </c>
      <c r="L517" s="421">
        <f ca="1">_xlfn.LET(_xlpm.int, OFFSET(PSA.Data!$H519, 0, ($F$2-1)*6), _xlpm.ctrl, OFFSET(PSA.Data!$H519, 0, ($F$2-1)*6 + 1),
_xlpm.int - _xlpm.ctrl)</f>
        <v>-6624.8958251685717</v>
      </c>
      <c r="M517" s="134">
        <f t="shared" ca="1" si="18"/>
        <v>-7697.9868397977334</v>
      </c>
    </row>
    <row r="518" spans="11:13" ht="12" customHeight="1" x14ac:dyDescent="0.25">
      <c r="K518" s="90">
        <f ca="1">_xlfn.LET(_xlpm.int, OFFSET(PSA.Data!$E520, 0, ($F$2-1)*6), _xlpm.ctrl, OFFSET(PSA.Data!$E520, 0, ($F$2-1)*6 + 1),
_xlpm.int - _xlpm.ctrl)</f>
        <v>25618507.681153886</v>
      </c>
      <c r="L518" s="421">
        <f ca="1">_xlfn.LET(_xlpm.int, OFFSET(PSA.Data!$H520, 0, ($F$2-1)*6), _xlpm.ctrl, OFFSET(PSA.Data!$H520, 0, ($F$2-1)*6 + 1),
_xlpm.int - _xlpm.ctrl)</f>
        <v>-5962.5707858457836</v>
      </c>
      <c r="M518" s="134">
        <f t="shared" ca="1" si="18"/>
        <v>-7243.4961699034775</v>
      </c>
    </row>
    <row r="519" spans="11:13" ht="12" customHeight="1" x14ac:dyDescent="0.25">
      <c r="K519" s="90">
        <f ca="1">_xlfn.LET(_xlpm.int, OFFSET(PSA.Data!$E521, 0, ($F$2-1)*6), _xlpm.ctrl, OFFSET(PSA.Data!$E521, 0, ($F$2-1)*6 + 1),
_xlpm.int - _xlpm.ctrl)</f>
        <v>26012218.604904424</v>
      </c>
      <c r="L519" s="421">
        <f ca="1">_xlfn.LET(_xlpm.int, OFFSET(PSA.Data!$H521, 0, ($F$2-1)*6), _xlpm.ctrl, OFFSET(PSA.Data!$H521, 0, ($F$2-1)*6 + 1),
_xlpm.int - _xlpm.ctrl)</f>
        <v>-6272.1034491226746</v>
      </c>
      <c r="M519" s="134">
        <f t="shared" ca="1" si="18"/>
        <v>-7572.7143793678961</v>
      </c>
    </row>
    <row r="520" spans="11:13" ht="12" customHeight="1" x14ac:dyDescent="0.25">
      <c r="K520" s="90">
        <f ca="1">_xlfn.LET(_xlpm.int, OFFSET(PSA.Data!$E522, 0, ($F$2-1)*6), _xlpm.ctrl, OFFSET(PSA.Data!$E522, 0, ($F$2-1)*6 + 1),
_xlpm.int - _xlpm.ctrl)</f>
        <v>41689485.936256737</v>
      </c>
      <c r="L520" s="421">
        <f ca="1">_xlfn.LET(_xlpm.int, OFFSET(PSA.Data!$H522, 0, ($F$2-1)*6), _xlpm.ctrl, OFFSET(PSA.Data!$H522, 0, ($F$2-1)*6 + 1),
_xlpm.int - _xlpm.ctrl)</f>
        <v>-7602.9924374855982</v>
      </c>
      <c r="M520" s="134">
        <f t="shared" ca="1" si="18"/>
        <v>-9687.4667342984358</v>
      </c>
    </row>
    <row r="521" spans="11:13" ht="12" customHeight="1" x14ac:dyDescent="0.25">
      <c r="K521" s="90">
        <f ca="1">_xlfn.LET(_xlpm.int, OFFSET(PSA.Data!$E523, 0, ($F$2-1)*6), _xlpm.ctrl, OFFSET(PSA.Data!$E523, 0, ($F$2-1)*6 + 1),
_xlpm.int - _xlpm.ctrl)</f>
        <v>27978591.787224729</v>
      </c>
      <c r="L521" s="421">
        <f ca="1">_xlfn.LET(_xlpm.int, OFFSET(PSA.Data!$H523, 0, ($F$2-1)*6), _xlpm.ctrl, OFFSET(PSA.Data!$H523, 0, ($F$2-1)*6 + 1),
_xlpm.int - _xlpm.ctrl)</f>
        <v>-7263.137273855039</v>
      </c>
      <c r="M521" s="134">
        <f t="shared" ca="1" si="18"/>
        <v>-8662.066863216276</v>
      </c>
    </row>
    <row r="522" spans="11:13" ht="12" customHeight="1" x14ac:dyDescent="0.25">
      <c r="K522" s="90">
        <f ca="1">_xlfn.LET(_xlpm.int, OFFSET(PSA.Data!$E524, 0, ($F$2-1)*6), _xlpm.ctrl, OFFSET(PSA.Data!$E524, 0, ($F$2-1)*6 + 1),
_xlpm.int - _xlpm.ctrl)</f>
        <v>45714006.684799835</v>
      </c>
      <c r="L522" s="421">
        <f ca="1">_xlfn.LET(_xlpm.int, OFFSET(PSA.Data!$H524, 0, ($F$2-1)*6), _xlpm.ctrl, OFFSET(PSA.Data!$H524, 0, ($F$2-1)*6 + 1),
_xlpm.int - _xlpm.ctrl)</f>
        <v>-6749.7842075261915</v>
      </c>
      <c r="M522" s="134">
        <f t="shared" ca="1" si="18"/>
        <v>-9035.4845417661836</v>
      </c>
    </row>
    <row r="523" spans="11:13" ht="12" customHeight="1" x14ac:dyDescent="0.25">
      <c r="K523" s="90">
        <f ca="1">_xlfn.LET(_xlpm.int, OFFSET(PSA.Data!$E525, 0, ($F$2-1)*6), _xlpm.ctrl, OFFSET(PSA.Data!$E525, 0, ($F$2-1)*6 + 1),
_xlpm.int - _xlpm.ctrl)</f>
        <v>43783936.039716288</v>
      </c>
      <c r="L523" s="421">
        <f ca="1">_xlfn.LET(_xlpm.int, OFFSET(PSA.Data!$H525, 0, ($F$2-1)*6), _xlpm.ctrl, OFFSET(PSA.Data!$H525, 0, ($F$2-1)*6 + 1),
_xlpm.int - _xlpm.ctrl)</f>
        <v>-7120.5560124053836</v>
      </c>
      <c r="M523" s="134">
        <f t="shared" ca="1" si="18"/>
        <v>-9309.7528143911986</v>
      </c>
    </row>
    <row r="524" spans="11:13" ht="12" customHeight="1" x14ac:dyDescent="0.25">
      <c r="K524" s="90">
        <f ca="1">_xlfn.LET(_xlpm.int, OFFSET(PSA.Data!$E526, 0, ($F$2-1)*6), _xlpm.ctrl, OFFSET(PSA.Data!$E526, 0, ($F$2-1)*6 + 1),
_xlpm.int - _xlpm.ctrl)</f>
        <v>30657054.503153827</v>
      </c>
      <c r="L524" s="421">
        <f ca="1">_xlfn.LET(_xlpm.int, OFFSET(PSA.Data!$H526, 0, ($F$2-1)*6), _xlpm.ctrl, OFFSET(PSA.Data!$H526, 0, ($F$2-1)*6 + 1),
_xlpm.int - _xlpm.ctrl)</f>
        <v>-5380.1743728059109</v>
      </c>
      <c r="M524" s="134">
        <f t="shared" ca="1" si="18"/>
        <v>-6913.0270979636025</v>
      </c>
    </row>
    <row r="525" spans="11:13" ht="12" customHeight="1" x14ac:dyDescent="0.25">
      <c r="K525" s="90">
        <f ca="1">_xlfn.LET(_xlpm.int, OFFSET(PSA.Data!$E527, 0, ($F$2-1)*6), _xlpm.ctrl, OFFSET(PSA.Data!$E527, 0, ($F$2-1)*6 + 1),
_xlpm.int - _xlpm.ctrl)</f>
        <v>17793844.95456019</v>
      </c>
      <c r="L525" s="421">
        <f ca="1">_xlfn.LET(_xlpm.int, OFFSET(PSA.Data!$H527, 0, ($F$2-1)*6), _xlpm.ctrl, OFFSET(PSA.Data!$H527, 0, ($F$2-1)*6 + 1),
_xlpm.int - _xlpm.ctrl)</f>
        <v>-5103.8505202401475</v>
      </c>
      <c r="M525" s="134">
        <f t="shared" ca="1" si="18"/>
        <v>-5993.542767968157</v>
      </c>
    </row>
    <row r="526" spans="11:13" ht="12" customHeight="1" x14ac:dyDescent="0.25">
      <c r="K526" s="90">
        <f ca="1">_xlfn.LET(_xlpm.int, OFFSET(PSA.Data!$E528, 0, ($F$2-1)*6), _xlpm.ctrl, OFFSET(PSA.Data!$E528, 0, ($F$2-1)*6 + 1),
_xlpm.int - _xlpm.ctrl)</f>
        <v>32266211.166888919</v>
      </c>
      <c r="L526" s="421">
        <f ca="1">_xlfn.LET(_xlpm.int, OFFSET(PSA.Data!$H528, 0, ($F$2-1)*6), _xlpm.ctrl, OFFSET(PSA.Data!$H528, 0, ($F$2-1)*6 + 1),
_xlpm.int - _xlpm.ctrl)</f>
        <v>-6197.1973139162892</v>
      </c>
      <c r="M526" s="134">
        <f t="shared" ca="1" si="18"/>
        <v>-7810.507872260735</v>
      </c>
    </row>
    <row r="527" spans="11:13" ht="12" customHeight="1" x14ac:dyDescent="0.25">
      <c r="K527" s="90">
        <f ca="1">_xlfn.LET(_xlpm.int, OFFSET(PSA.Data!$E529, 0, ($F$2-1)*6), _xlpm.ctrl, OFFSET(PSA.Data!$E529, 0, ($F$2-1)*6 + 1),
_xlpm.int - _xlpm.ctrl)</f>
        <v>42072851.448763154</v>
      </c>
      <c r="L527" s="421">
        <f ca="1">_xlfn.LET(_xlpm.int, OFFSET(PSA.Data!$H529, 0, ($F$2-1)*6), _xlpm.ctrl, OFFSET(PSA.Data!$H529, 0, ($F$2-1)*6 + 1),
_xlpm.int - _xlpm.ctrl)</f>
        <v>-5946.707073246389</v>
      </c>
      <c r="M527" s="134">
        <f t="shared" ca="1" si="18"/>
        <v>-8050.3496456845469</v>
      </c>
    </row>
    <row r="528" spans="11:13" ht="12" customHeight="1" x14ac:dyDescent="0.25">
      <c r="K528" s="90">
        <f ca="1">_xlfn.LET(_xlpm.int, OFFSET(PSA.Data!$E530, 0, ($F$2-1)*6), _xlpm.ctrl, OFFSET(PSA.Data!$E530, 0, ($F$2-1)*6 + 1),
_xlpm.int - _xlpm.ctrl)</f>
        <v>37237820.222067855</v>
      </c>
      <c r="L528" s="421">
        <f ca="1">_xlfn.LET(_xlpm.int, OFFSET(PSA.Data!$H530, 0, ($F$2-1)*6), _xlpm.ctrl, OFFSET(PSA.Data!$H530, 0, ($F$2-1)*6 + 1),
_xlpm.int - _xlpm.ctrl)</f>
        <v>-5913.8558701995034</v>
      </c>
      <c r="M528" s="134">
        <f t="shared" ref="M528:M591" ca="1" si="19">L528-K528/WTP</f>
        <v>-7775.7468813028963</v>
      </c>
    </row>
    <row r="529" spans="11:13" ht="12" customHeight="1" x14ac:dyDescent="0.25">
      <c r="K529" s="90">
        <f ca="1">_xlfn.LET(_xlpm.int, OFFSET(PSA.Data!$E531, 0, ($F$2-1)*6), _xlpm.ctrl, OFFSET(PSA.Data!$E531, 0, ($F$2-1)*6 + 1),
_xlpm.int - _xlpm.ctrl)</f>
        <v>60000302.279261611</v>
      </c>
      <c r="L529" s="421">
        <f ca="1">_xlfn.LET(_xlpm.int, OFFSET(PSA.Data!$H531, 0, ($F$2-1)*6), _xlpm.ctrl, OFFSET(PSA.Data!$H531, 0, ($F$2-1)*6 + 1),
_xlpm.int - _xlpm.ctrl)</f>
        <v>-7401.7407944711304</v>
      </c>
      <c r="M529" s="134">
        <f t="shared" ca="1" si="19"/>
        <v>-10401.75590843421</v>
      </c>
    </row>
    <row r="530" spans="11:13" ht="12" customHeight="1" x14ac:dyDescent="0.25">
      <c r="K530" s="90">
        <f ca="1">_xlfn.LET(_xlpm.int, OFFSET(PSA.Data!$E532, 0, ($F$2-1)*6), _xlpm.ctrl, OFFSET(PSA.Data!$E532, 0, ($F$2-1)*6 + 1),
_xlpm.int - _xlpm.ctrl)</f>
        <v>16644306.171855561</v>
      </c>
      <c r="L530" s="421">
        <f ca="1">_xlfn.LET(_xlpm.int, OFFSET(PSA.Data!$H532, 0, ($F$2-1)*6), _xlpm.ctrl, OFFSET(PSA.Data!$H532, 0, ($F$2-1)*6 + 1),
_xlpm.int - _xlpm.ctrl)</f>
        <v>-4013.943964016396</v>
      </c>
      <c r="M530" s="134">
        <f t="shared" ca="1" si="19"/>
        <v>-4846.159272609174</v>
      </c>
    </row>
    <row r="531" spans="11:13" ht="12" customHeight="1" x14ac:dyDescent="0.25">
      <c r="K531" s="90">
        <f ca="1">_xlfn.LET(_xlpm.int, OFFSET(PSA.Data!$E533, 0, ($F$2-1)*6), _xlpm.ctrl, OFFSET(PSA.Data!$E533, 0, ($F$2-1)*6 + 1),
_xlpm.int - _xlpm.ctrl)</f>
        <v>11618330.772620603</v>
      </c>
      <c r="L531" s="421">
        <f ca="1">_xlfn.LET(_xlpm.int, OFFSET(PSA.Data!$H533, 0, ($F$2-1)*6), _xlpm.ctrl, OFFSET(PSA.Data!$H533, 0, ($F$2-1)*6 + 1),
_xlpm.int - _xlpm.ctrl)</f>
        <v>-5340.3626681905498</v>
      </c>
      <c r="M531" s="134">
        <f t="shared" ca="1" si="19"/>
        <v>-5921.2792068215804</v>
      </c>
    </row>
    <row r="532" spans="11:13" ht="12" customHeight="1" x14ac:dyDescent="0.25">
      <c r="K532" s="90">
        <f ca="1">_xlfn.LET(_xlpm.int, OFFSET(PSA.Data!$E534, 0, ($F$2-1)*6), _xlpm.ctrl, OFFSET(PSA.Data!$E534, 0, ($F$2-1)*6 + 1),
_xlpm.int - _xlpm.ctrl)</f>
        <v>49148964.645106077</v>
      </c>
      <c r="L532" s="421">
        <f ca="1">_xlfn.LET(_xlpm.int, OFFSET(PSA.Data!$H534, 0, ($F$2-1)*6), _xlpm.ctrl, OFFSET(PSA.Data!$H534, 0, ($F$2-1)*6 + 1),
_xlpm.int - _xlpm.ctrl)</f>
        <v>-7683.9743824763091</v>
      </c>
      <c r="M532" s="134">
        <f t="shared" ca="1" si="19"/>
        <v>-10141.422614731613</v>
      </c>
    </row>
    <row r="533" spans="11:13" ht="12" customHeight="1" x14ac:dyDescent="0.25">
      <c r="K533" s="90">
        <f ca="1">_xlfn.LET(_xlpm.int, OFFSET(PSA.Data!$E535, 0, ($F$2-1)*6), _xlpm.ctrl, OFFSET(PSA.Data!$E535, 0, ($F$2-1)*6 + 1),
_xlpm.int - _xlpm.ctrl)</f>
        <v>42935258.511945575</v>
      </c>
      <c r="L533" s="421">
        <f ca="1">_xlfn.LET(_xlpm.int, OFFSET(PSA.Data!$H535, 0, ($F$2-1)*6), _xlpm.ctrl, OFFSET(PSA.Data!$H535, 0, ($F$2-1)*6 + 1),
_xlpm.int - _xlpm.ctrl)</f>
        <v>-7102.0537806400553</v>
      </c>
      <c r="M533" s="134">
        <f t="shared" ca="1" si="19"/>
        <v>-9248.8167062373341</v>
      </c>
    </row>
    <row r="534" spans="11:13" ht="12" customHeight="1" x14ac:dyDescent="0.25">
      <c r="K534" s="90">
        <f ca="1">_xlfn.LET(_xlpm.int, OFFSET(PSA.Data!$E536, 0, ($F$2-1)*6), _xlpm.ctrl, OFFSET(PSA.Data!$E536, 0, ($F$2-1)*6 + 1),
_xlpm.int - _xlpm.ctrl)</f>
        <v>24556752.955450229</v>
      </c>
      <c r="L534" s="421">
        <f ca="1">_xlfn.LET(_xlpm.int, OFFSET(PSA.Data!$H536, 0, ($F$2-1)*6), _xlpm.ctrl, OFFSET(PSA.Data!$H536, 0, ($F$2-1)*6 + 1),
_xlpm.int - _xlpm.ctrl)</f>
        <v>-6936.5067134457749</v>
      </c>
      <c r="M534" s="134">
        <f t="shared" ca="1" si="19"/>
        <v>-8164.3443612182864</v>
      </c>
    </row>
    <row r="535" spans="11:13" ht="12" customHeight="1" x14ac:dyDescent="0.25">
      <c r="K535" s="90">
        <f ca="1">_xlfn.LET(_xlpm.int, OFFSET(PSA.Data!$E537, 0, ($F$2-1)*6), _xlpm.ctrl, OFFSET(PSA.Data!$E537, 0, ($F$2-1)*6 + 1),
_xlpm.int - _xlpm.ctrl)</f>
        <v>21892136.511507291</v>
      </c>
      <c r="L535" s="421">
        <f ca="1">_xlfn.LET(_xlpm.int, OFFSET(PSA.Data!$H537, 0, ($F$2-1)*6), _xlpm.ctrl, OFFSET(PSA.Data!$H537, 0, ($F$2-1)*6 + 1),
_xlpm.int - _xlpm.ctrl)</f>
        <v>-7436.6128381802537</v>
      </c>
      <c r="M535" s="134">
        <f t="shared" ca="1" si="19"/>
        <v>-8531.219663755619</v>
      </c>
    </row>
    <row r="536" spans="11:13" ht="12" customHeight="1" x14ac:dyDescent="0.25">
      <c r="K536" s="90">
        <f ca="1">_xlfn.LET(_xlpm.int, OFFSET(PSA.Data!$E538, 0, ($F$2-1)*6), _xlpm.ctrl, OFFSET(PSA.Data!$E538, 0, ($F$2-1)*6 + 1),
_xlpm.int - _xlpm.ctrl)</f>
        <v>7145360.20794769</v>
      </c>
      <c r="L536" s="421">
        <f ca="1">_xlfn.LET(_xlpm.int, OFFSET(PSA.Data!$H538, 0, ($F$2-1)*6), _xlpm.ctrl, OFFSET(PSA.Data!$H538, 0, ($F$2-1)*6 + 1),
_xlpm.int - _xlpm.ctrl)</f>
        <v>-4659.3658121686667</v>
      </c>
      <c r="M536" s="134">
        <f t="shared" ca="1" si="19"/>
        <v>-5016.6338225660511</v>
      </c>
    </row>
    <row r="537" spans="11:13" ht="12" customHeight="1" x14ac:dyDescent="0.25">
      <c r="K537" s="90">
        <f ca="1">_xlfn.LET(_xlpm.int, OFFSET(PSA.Data!$E539, 0, ($F$2-1)*6), _xlpm.ctrl, OFFSET(PSA.Data!$E539, 0, ($F$2-1)*6 + 1),
_xlpm.int - _xlpm.ctrl)</f>
        <v>15347099.400758797</v>
      </c>
      <c r="L537" s="421">
        <f ca="1">_xlfn.LET(_xlpm.int, OFFSET(PSA.Data!$H539, 0, ($F$2-1)*6), _xlpm.ctrl, OFFSET(PSA.Data!$H539, 0, ($F$2-1)*6 + 1),
_xlpm.int - _xlpm.ctrl)</f>
        <v>-4997.6211064338022</v>
      </c>
      <c r="M537" s="134">
        <f t="shared" ca="1" si="19"/>
        <v>-5764.9760764717421</v>
      </c>
    </row>
    <row r="538" spans="11:13" ht="12" customHeight="1" x14ac:dyDescent="0.25">
      <c r="K538" s="90">
        <f ca="1">_xlfn.LET(_xlpm.int, OFFSET(PSA.Data!$E540, 0, ($F$2-1)*6), _xlpm.ctrl, OFFSET(PSA.Data!$E540, 0, ($F$2-1)*6 + 1),
_xlpm.int - _xlpm.ctrl)</f>
        <v>23522204.52135608</v>
      </c>
      <c r="L538" s="421">
        <f ca="1">_xlfn.LET(_xlpm.int, OFFSET(PSA.Data!$H540, 0, ($F$2-1)*6), _xlpm.ctrl, OFFSET(PSA.Data!$H540, 0, ($F$2-1)*6 + 1),
_xlpm.int - _xlpm.ctrl)</f>
        <v>-5274.8415319957294</v>
      </c>
      <c r="M538" s="134">
        <f t="shared" ca="1" si="19"/>
        <v>-6450.9517580635329</v>
      </c>
    </row>
    <row r="539" spans="11:13" ht="12" customHeight="1" x14ac:dyDescent="0.25">
      <c r="K539" s="90">
        <f ca="1">_xlfn.LET(_xlpm.int, OFFSET(PSA.Data!$E541, 0, ($F$2-1)*6), _xlpm.ctrl, OFFSET(PSA.Data!$E541, 0, ($F$2-1)*6 + 1),
_xlpm.int - _xlpm.ctrl)</f>
        <v>35453506.770525098</v>
      </c>
      <c r="L539" s="421">
        <f ca="1">_xlfn.LET(_xlpm.int, OFFSET(PSA.Data!$H541, 0, ($F$2-1)*6), _xlpm.ctrl, OFFSET(PSA.Data!$H541, 0, ($F$2-1)*6 + 1),
_xlpm.int - _xlpm.ctrl)</f>
        <v>-6463.9611808011377</v>
      </c>
      <c r="M539" s="134">
        <f t="shared" ca="1" si="19"/>
        <v>-8236.6365193273923</v>
      </c>
    </row>
    <row r="540" spans="11:13" ht="12" customHeight="1" x14ac:dyDescent="0.25">
      <c r="K540" s="90">
        <f ca="1">_xlfn.LET(_xlpm.int, OFFSET(PSA.Data!$E542, 0, ($F$2-1)*6), _xlpm.ctrl, OFFSET(PSA.Data!$E542, 0, ($F$2-1)*6 + 1),
_xlpm.int - _xlpm.ctrl)</f>
        <v>21358298.773186531</v>
      </c>
      <c r="L540" s="421">
        <f ca="1">_xlfn.LET(_xlpm.int, OFFSET(PSA.Data!$H542, 0, ($F$2-1)*6), _xlpm.ctrl, OFFSET(PSA.Data!$H542, 0, ($F$2-1)*6 + 1),
_xlpm.int - _xlpm.ctrl)</f>
        <v>-6116.2834281193755</v>
      </c>
      <c r="M540" s="134">
        <f t="shared" ca="1" si="19"/>
        <v>-7184.1983667787017</v>
      </c>
    </row>
    <row r="541" spans="11:13" ht="12" customHeight="1" x14ac:dyDescent="0.25">
      <c r="K541" s="90">
        <f ca="1">_xlfn.LET(_xlpm.int, OFFSET(PSA.Data!$E543, 0, ($F$2-1)*6), _xlpm.ctrl, OFFSET(PSA.Data!$E543, 0, ($F$2-1)*6 + 1),
_xlpm.int - _xlpm.ctrl)</f>
        <v>24672962.846200045</v>
      </c>
      <c r="L541" s="421">
        <f ca="1">_xlfn.LET(_xlpm.int, OFFSET(PSA.Data!$H543, 0, ($F$2-1)*6), _xlpm.ctrl, OFFSET(PSA.Data!$H543, 0, ($F$2-1)*6 + 1),
_xlpm.int - _xlpm.ctrl)</f>
        <v>-6470.7681029942105</v>
      </c>
      <c r="M541" s="134">
        <f t="shared" ca="1" si="19"/>
        <v>-7704.4162453042127</v>
      </c>
    </row>
    <row r="542" spans="11:13" ht="12" customHeight="1" x14ac:dyDescent="0.25">
      <c r="K542" s="90">
        <f ca="1">_xlfn.LET(_xlpm.int, OFFSET(PSA.Data!$E544, 0, ($F$2-1)*6), _xlpm.ctrl, OFFSET(PSA.Data!$E544, 0, ($F$2-1)*6 + 1),
_xlpm.int - _xlpm.ctrl)</f>
        <v>20264287.272489574</v>
      </c>
      <c r="L542" s="421">
        <f ca="1">_xlfn.LET(_xlpm.int, OFFSET(PSA.Data!$H544, 0, ($F$2-1)*6), _xlpm.ctrl, OFFSET(PSA.Data!$H544, 0, ($F$2-1)*6 + 1),
_xlpm.int - _xlpm.ctrl)</f>
        <v>-5276.9771021803472</v>
      </c>
      <c r="M542" s="134">
        <f t="shared" ca="1" si="19"/>
        <v>-6290.1914658048263</v>
      </c>
    </row>
    <row r="543" spans="11:13" ht="12" customHeight="1" x14ac:dyDescent="0.25">
      <c r="K543" s="90">
        <f ca="1">_xlfn.LET(_xlpm.int, OFFSET(PSA.Data!$E545, 0, ($F$2-1)*6), _xlpm.ctrl, OFFSET(PSA.Data!$E545, 0, ($F$2-1)*6 + 1),
_xlpm.int - _xlpm.ctrl)</f>
        <v>38042657.083895355</v>
      </c>
      <c r="L543" s="421">
        <f ca="1">_xlfn.LET(_xlpm.int, OFFSET(PSA.Data!$H545, 0, ($F$2-1)*6), _xlpm.ctrl, OFFSET(PSA.Data!$H545, 0, ($F$2-1)*6 + 1),
_xlpm.int - _xlpm.ctrl)</f>
        <v>-7123.3867774768751</v>
      </c>
      <c r="M543" s="134">
        <f t="shared" ca="1" si="19"/>
        <v>-9025.5196316716429</v>
      </c>
    </row>
    <row r="544" spans="11:13" ht="12" customHeight="1" x14ac:dyDescent="0.25">
      <c r="K544" s="90">
        <f ca="1">_xlfn.LET(_xlpm.int, OFFSET(PSA.Data!$E546, 0, ($F$2-1)*6), _xlpm.ctrl, OFFSET(PSA.Data!$E546, 0, ($F$2-1)*6 + 1),
_xlpm.int - _xlpm.ctrl)</f>
        <v>11301893.805310763</v>
      </c>
      <c r="L544" s="421">
        <f ca="1">_xlfn.LET(_xlpm.int, OFFSET(PSA.Data!$H546, 0, ($F$2-1)*6), _xlpm.ctrl, OFFSET(PSA.Data!$H546, 0, ($F$2-1)*6 + 1),
_xlpm.int - _xlpm.ctrl)</f>
        <v>-4992.085811200488</v>
      </c>
      <c r="M544" s="134">
        <f t="shared" ca="1" si="19"/>
        <v>-5557.1805014660258</v>
      </c>
    </row>
    <row r="545" spans="11:13" ht="12" customHeight="1" x14ac:dyDescent="0.25">
      <c r="K545" s="90">
        <f ca="1">_xlfn.LET(_xlpm.int, OFFSET(PSA.Data!$E547, 0, ($F$2-1)*6), _xlpm.ctrl, OFFSET(PSA.Data!$E547, 0, ($F$2-1)*6 + 1),
_xlpm.int - _xlpm.ctrl)</f>
        <v>20134286.039865237</v>
      </c>
      <c r="L545" s="421">
        <f ca="1">_xlfn.LET(_xlpm.int, OFFSET(PSA.Data!$H547, 0, ($F$2-1)*6), _xlpm.ctrl, OFFSET(PSA.Data!$H547, 0, ($F$2-1)*6 + 1),
_xlpm.int - _xlpm.ctrl)</f>
        <v>-5633.2424622369017</v>
      </c>
      <c r="M545" s="134">
        <f t="shared" ca="1" si="19"/>
        <v>-6639.9567642301636</v>
      </c>
    </row>
    <row r="546" spans="11:13" ht="12" customHeight="1" x14ac:dyDescent="0.25">
      <c r="K546" s="90">
        <f ca="1">_xlfn.LET(_xlpm.int, OFFSET(PSA.Data!$E548, 0, ($F$2-1)*6), _xlpm.ctrl, OFFSET(PSA.Data!$E548, 0, ($F$2-1)*6 + 1),
_xlpm.int - _xlpm.ctrl)</f>
        <v>20924690.541868657</v>
      </c>
      <c r="L546" s="421">
        <f ca="1">_xlfn.LET(_xlpm.int, OFFSET(PSA.Data!$H548, 0, ($F$2-1)*6), _xlpm.ctrl, OFFSET(PSA.Data!$H548, 0, ($F$2-1)*6 + 1),
_xlpm.int - _xlpm.ctrl)</f>
        <v>-5727.8145009150849</v>
      </c>
      <c r="M546" s="134">
        <f t="shared" ca="1" si="19"/>
        <v>-6774.0490280085178</v>
      </c>
    </row>
    <row r="547" spans="11:13" ht="12" customHeight="1" x14ac:dyDescent="0.25">
      <c r="K547" s="90">
        <f ca="1">_xlfn.LET(_xlpm.int, OFFSET(PSA.Data!$E549, 0, ($F$2-1)*6), _xlpm.ctrl, OFFSET(PSA.Data!$E549, 0, ($F$2-1)*6 + 1),
_xlpm.int - _xlpm.ctrl)</f>
        <v>16330394.743292846</v>
      </c>
      <c r="L547" s="421">
        <f ca="1">_xlfn.LET(_xlpm.int, OFFSET(PSA.Data!$H549, 0, ($F$2-1)*6), _xlpm.ctrl, OFFSET(PSA.Data!$H549, 0, ($F$2-1)*6 + 1),
_xlpm.int - _xlpm.ctrl)</f>
        <v>-5054.3473586240952</v>
      </c>
      <c r="M547" s="134">
        <f t="shared" ca="1" si="19"/>
        <v>-5870.8670957887371</v>
      </c>
    </row>
    <row r="548" spans="11:13" ht="12" customHeight="1" x14ac:dyDescent="0.25">
      <c r="K548" s="90">
        <f ca="1">_xlfn.LET(_xlpm.int, OFFSET(PSA.Data!$E550, 0, ($F$2-1)*6), _xlpm.ctrl, OFFSET(PSA.Data!$E550, 0, ($F$2-1)*6 + 1),
_xlpm.int - _xlpm.ctrl)</f>
        <v>40069361.556218967</v>
      </c>
      <c r="L548" s="421">
        <f ca="1">_xlfn.LET(_xlpm.int, OFFSET(PSA.Data!$H550, 0, ($F$2-1)*6), _xlpm.ctrl, OFFSET(PSA.Data!$H550, 0, ($F$2-1)*6 + 1),
_xlpm.int - _xlpm.ctrl)</f>
        <v>-7944.7252464668563</v>
      </c>
      <c r="M548" s="134">
        <f t="shared" ca="1" si="19"/>
        <v>-9948.193324277805</v>
      </c>
    </row>
    <row r="549" spans="11:13" ht="12" customHeight="1" x14ac:dyDescent="0.25">
      <c r="K549" s="90">
        <f ca="1">_xlfn.LET(_xlpm.int, OFFSET(PSA.Data!$E551, 0, ($F$2-1)*6), _xlpm.ctrl, OFFSET(PSA.Data!$E551, 0, ($F$2-1)*6 + 1),
_xlpm.int - _xlpm.ctrl)</f>
        <v>38451093.969487183</v>
      </c>
      <c r="L549" s="421">
        <f ca="1">_xlfn.LET(_xlpm.int, OFFSET(PSA.Data!$H551, 0, ($F$2-1)*6), _xlpm.ctrl, OFFSET(PSA.Data!$H551, 0, ($F$2-1)*6 + 1),
_xlpm.int - _xlpm.ctrl)</f>
        <v>-6405.1208009971469</v>
      </c>
      <c r="M549" s="134">
        <f t="shared" ca="1" si="19"/>
        <v>-8327.6754994715066</v>
      </c>
    </row>
    <row r="550" spans="11:13" ht="12" customHeight="1" x14ac:dyDescent="0.25">
      <c r="K550" s="90">
        <f ca="1">_xlfn.LET(_xlpm.int, OFFSET(PSA.Data!$E552, 0, ($F$2-1)*6), _xlpm.ctrl, OFFSET(PSA.Data!$E552, 0, ($F$2-1)*6 + 1),
_xlpm.int - _xlpm.ctrl)</f>
        <v>44262823.14637392</v>
      </c>
      <c r="L550" s="421">
        <f ca="1">_xlfn.LET(_xlpm.int, OFFSET(PSA.Data!$H552, 0, ($F$2-1)*6), _xlpm.ctrl, OFFSET(PSA.Data!$H552, 0, ($F$2-1)*6 + 1),
_xlpm.int - _xlpm.ctrl)</f>
        <v>-6120.2772115051812</v>
      </c>
      <c r="M550" s="134">
        <f t="shared" ca="1" si="19"/>
        <v>-8333.4183688238772</v>
      </c>
    </row>
    <row r="551" spans="11:13" ht="12" customHeight="1" x14ac:dyDescent="0.25">
      <c r="K551" s="90">
        <f ca="1">_xlfn.LET(_xlpm.int, OFFSET(PSA.Data!$E553, 0, ($F$2-1)*6), _xlpm.ctrl, OFFSET(PSA.Data!$E553, 0, ($F$2-1)*6 + 1),
_xlpm.int - _xlpm.ctrl)</f>
        <v>12690059.282662876</v>
      </c>
      <c r="L551" s="421">
        <f ca="1">_xlfn.LET(_xlpm.int, OFFSET(PSA.Data!$H553, 0, ($F$2-1)*6), _xlpm.ctrl, OFFSET(PSA.Data!$H553, 0, ($F$2-1)*6 + 1),
_xlpm.int - _xlpm.ctrl)</f>
        <v>-5218.2858192444</v>
      </c>
      <c r="M551" s="134">
        <f t="shared" ca="1" si="19"/>
        <v>-5852.788783377544</v>
      </c>
    </row>
    <row r="552" spans="11:13" ht="12" customHeight="1" x14ac:dyDescent="0.25">
      <c r="K552" s="90">
        <f ca="1">_xlfn.LET(_xlpm.int, OFFSET(PSA.Data!$E554, 0, ($F$2-1)*6), _xlpm.ctrl, OFFSET(PSA.Data!$E554, 0, ($F$2-1)*6 + 1),
_xlpm.int - _xlpm.ctrl)</f>
        <v>21371366.057387102</v>
      </c>
      <c r="L552" s="421">
        <f ca="1">_xlfn.LET(_xlpm.int, OFFSET(PSA.Data!$H554, 0, ($F$2-1)*6), _xlpm.ctrl, OFFSET(PSA.Data!$H554, 0, ($F$2-1)*6 + 1),
_xlpm.int - _xlpm.ctrl)</f>
        <v>-6038.3216401761711</v>
      </c>
      <c r="M552" s="134">
        <f t="shared" ca="1" si="19"/>
        <v>-7106.8899430455258</v>
      </c>
    </row>
    <row r="553" spans="11:13" ht="12" customHeight="1" x14ac:dyDescent="0.25">
      <c r="K553" s="90">
        <f ca="1">_xlfn.LET(_xlpm.int, OFFSET(PSA.Data!$E555, 0, ($F$2-1)*6), _xlpm.ctrl, OFFSET(PSA.Data!$E555, 0, ($F$2-1)*6 + 1),
_xlpm.int - _xlpm.ctrl)</f>
        <v>39781260.03630431</v>
      </c>
      <c r="L553" s="421">
        <f ca="1">_xlfn.LET(_xlpm.int, OFFSET(PSA.Data!$H555, 0, ($F$2-1)*6), _xlpm.ctrl, OFFSET(PSA.Data!$H555, 0, ($F$2-1)*6 + 1),
_xlpm.int - _xlpm.ctrl)</f>
        <v>-6893.6934736696294</v>
      </c>
      <c r="M553" s="134">
        <f t="shared" ca="1" si="19"/>
        <v>-8882.7564754848445</v>
      </c>
    </row>
    <row r="554" spans="11:13" ht="12" customHeight="1" x14ac:dyDescent="0.25">
      <c r="K554" s="90">
        <f ca="1">_xlfn.LET(_xlpm.int, OFFSET(PSA.Data!$E556, 0, ($F$2-1)*6), _xlpm.ctrl, OFFSET(PSA.Data!$E556, 0, ($F$2-1)*6 + 1),
_xlpm.int - _xlpm.ctrl)</f>
        <v>37261642.498567022</v>
      </c>
      <c r="L554" s="421">
        <f ca="1">_xlfn.LET(_xlpm.int, OFFSET(PSA.Data!$H556, 0, ($F$2-1)*6), _xlpm.ctrl, OFFSET(PSA.Data!$H556, 0, ($F$2-1)*6 + 1),
_xlpm.int - _xlpm.ctrl)</f>
        <v>-5921.4760667335868</v>
      </c>
      <c r="M554" s="134">
        <f t="shared" ca="1" si="19"/>
        <v>-7784.5581916619376</v>
      </c>
    </row>
    <row r="555" spans="11:13" ht="12" customHeight="1" x14ac:dyDescent="0.25">
      <c r="K555" s="90">
        <f ca="1">_xlfn.LET(_xlpm.int, OFFSET(PSA.Data!$E557, 0, ($F$2-1)*6), _xlpm.ctrl, OFFSET(PSA.Data!$E557, 0, ($F$2-1)*6 + 1),
_xlpm.int - _xlpm.ctrl)</f>
        <v>28648848.702203378</v>
      </c>
      <c r="L555" s="421">
        <f ca="1">_xlfn.LET(_xlpm.int, OFFSET(PSA.Data!$H557, 0, ($F$2-1)*6), _xlpm.ctrl, OFFSET(PSA.Data!$H557, 0, ($F$2-1)*6 + 1),
_xlpm.int - _xlpm.ctrl)</f>
        <v>-6678.2712433227225</v>
      </c>
      <c r="M555" s="134">
        <f t="shared" ca="1" si="19"/>
        <v>-8110.7136784328914</v>
      </c>
    </row>
    <row r="556" spans="11:13" ht="12" customHeight="1" x14ac:dyDescent="0.25">
      <c r="K556" s="90">
        <f ca="1">_xlfn.LET(_xlpm.int, OFFSET(PSA.Data!$E558, 0, ($F$2-1)*6), _xlpm.ctrl, OFFSET(PSA.Data!$E558, 0, ($F$2-1)*6 + 1),
_xlpm.int - _xlpm.ctrl)</f>
        <v>15151313.933583122</v>
      </c>
      <c r="L556" s="421">
        <f ca="1">_xlfn.LET(_xlpm.int, OFFSET(PSA.Data!$H558, 0, ($F$2-1)*6), _xlpm.ctrl, OFFSET(PSA.Data!$H558, 0, ($F$2-1)*6 + 1),
_xlpm.int - _xlpm.ctrl)</f>
        <v>-5329.4099045191451</v>
      </c>
      <c r="M556" s="134">
        <f t="shared" ca="1" si="19"/>
        <v>-6086.9756011983009</v>
      </c>
    </row>
    <row r="557" spans="11:13" ht="12" customHeight="1" x14ac:dyDescent="0.25">
      <c r="K557" s="90">
        <f ca="1">_xlfn.LET(_xlpm.int, OFFSET(PSA.Data!$E559, 0, ($F$2-1)*6), _xlpm.ctrl, OFFSET(PSA.Data!$E559, 0, ($F$2-1)*6 + 1),
_xlpm.int - _xlpm.ctrl)</f>
        <v>55699603.32011354</v>
      </c>
      <c r="L557" s="421">
        <f ca="1">_xlfn.LET(_xlpm.int, OFFSET(PSA.Data!$H559, 0, ($F$2-1)*6), _xlpm.ctrl, OFFSET(PSA.Data!$H559, 0, ($F$2-1)*6 + 1),
_xlpm.int - _xlpm.ctrl)</f>
        <v>-7201.7061461559642</v>
      </c>
      <c r="M557" s="134">
        <f t="shared" ca="1" si="19"/>
        <v>-9986.6863121616407</v>
      </c>
    </row>
    <row r="558" spans="11:13" ht="12" customHeight="1" x14ac:dyDescent="0.25">
      <c r="K558" s="90">
        <f ca="1">_xlfn.LET(_xlpm.int, OFFSET(PSA.Data!$E560, 0, ($F$2-1)*6), _xlpm.ctrl, OFFSET(PSA.Data!$E560, 0, ($F$2-1)*6 + 1),
_xlpm.int - _xlpm.ctrl)</f>
        <v>52024330.002477653</v>
      </c>
      <c r="L558" s="421">
        <f ca="1">_xlfn.LET(_xlpm.int, OFFSET(PSA.Data!$H560, 0, ($F$2-1)*6), _xlpm.ctrl, OFFSET(PSA.Data!$H560, 0, ($F$2-1)*6 + 1),
_xlpm.int - _xlpm.ctrl)</f>
        <v>-6590.0515576978023</v>
      </c>
      <c r="M558" s="134">
        <f t="shared" ca="1" si="19"/>
        <v>-9191.2680578216859</v>
      </c>
    </row>
    <row r="559" spans="11:13" ht="12" customHeight="1" x14ac:dyDescent="0.25">
      <c r="K559" s="90">
        <f ca="1">_xlfn.LET(_xlpm.int, OFFSET(PSA.Data!$E561, 0, ($F$2-1)*6), _xlpm.ctrl, OFFSET(PSA.Data!$E561, 0, ($F$2-1)*6 + 1),
_xlpm.int - _xlpm.ctrl)</f>
        <v>25407394.601782039</v>
      </c>
      <c r="L559" s="421">
        <f ca="1">_xlfn.LET(_xlpm.int, OFFSET(PSA.Data!$H561, 0, ($F$2-1)*6), _xlpm.ctrl, OFFSET(PSA.Data!$H561, 0, ($F$2-1)*6 + 1),
_xlpm.int - _xlpm.ctrl)</f>
        <v>-5526.3001834480683</v>
      </c>
      <c r="M559" s="134">
        <f t="shared" ca="1" si="19"/>
        <v>-6796.66991353717</v>
      </c>
    </row>
    <row r="560" spans="11:13" ht="12" customHeight="1" x14ac:dyDescent="0.25">
      <c r="K560" s="90">
        <f ca="1">_xlfn.LET(_xlpm.int, OFFSET(PSA.Data!$E562, 0, ($F$2-1)*6), _xlpm.ctrl, OFFSET(PSA.Data!$E562, 0, ($F$2-1)*6 + 1),
_xlpm.int - _xlpm.ctrl)</f>
        <v>30603389.456576325</v>
      </c>
      <c r="L560" s="421">
        <f ca="1">_xlfn.LET(_xlpm.int, OFFSET(PSA.Data!$H562, 0, ($F$2-1)*6), _xlpm.ctrl, OFFSET(PSA.Data!$H562, 0, ($F$2-1)*6 + 1),
_xlpm.int - _xlpm.ctrl)</f>
        <v>-6402.0982304643085</v>
      </c>
      <c r="M560" s="134">
        <f t="shared" ca="1" si="19"/>
        <v>-7932.2677032931242</v>
      </c>
    </row>
    <row r="561" spans="11:13" ht="12" customHeight="1" x14ac:dyDescent="0.25">
      <c r="K561" s="90">
        <f ca="1">_xlfn.LET(_xlpm.int, OFFSET(PSA.Data!$E563, 0, ($F$2-1)*6), _xlpm.ctrl, OFFSET(PSA.Data!$E563, 0, ($F$2-1)*6 + 1),
_xlpm.int - _xlpm.ctrl)</f>
        <v>19718182.934826382</v>
      </c>
      <c r="L561" s="421">
        <f ca="1">_xlfn.LET(_xlpm.int, OFFSET(PSA.Data!$H563, 0, ($F$2-1)*6), _xlpm.ctrl, OFFSET(PSA.Data!$H563, 0, ($F$2-1)*6 + 1),
_xlpm.int - _xlpm.ctrl)</f>
        <v>-5999.2413486024234</v>
      </c>
      <c r="M561" s="134">
        <f t="shared" ca="1" si="19"/>
        <v>-6985.1504953437425</v>
      </c>
    </row>
    <row r="562" spans="11:13" ht="12" customHeight="1" x14ac:dyDescent="0.25">
      <c r="K562" s="90">
        <f ca="1">_xlfn.LET(_xlpm.int, OFFSET(PSA.Data!$E564, 0, ($F$2-1)*6), _xlpm.ctrl, OFFSET(PSA.Data!$E564, 0, ($F$2-1)*6 + 1),
_xlpm.int - _xlpm.ctrl)</f>
        <v>17768852.664697118</v>
      </c>
      <c r="L562" s="421">
        <f ca="1">_xlfn.LET(_xlpm.int, OFFSET(PSA.Data!$H564, 0, ($F$2-1)*6), _xlpm.ctrl, OFFSET(PSA.Data!$H564, 0, ($F$2-1)*6 + 1),
_xlpm.int - _xlpm.ctrl)</f>
        <v>-5008.7533867891279</v>
      </c>
      <c r="M562" s="134">
        <f t="shared" ca="1" si="19"/>
        <v>-5897.1960200239837</v>
      </c>
    </row>
    <row r="563" spans="11:13" ht="12" customHeight="1" x14ac:dyDescent="0.25">
      <c r="K563" s="90">
        <f ca="1">_xlfn.LET(_xlpm.int, OFFSET(PSA.Data!$E565, 0, ($F$2-1)*6), _xlpm.ctrl, OFFSET(PSA.Data!$E565, 0, ($F$2-1)*6 + 1),
_xlpm.int - _xlpm.ctrl)</f>
        <v>32177502.505358785</v>
      </c>
      <c r="L563" s="421">
        <f ca="1">_xlfn.LET(_xlpm.int, OFFSET(PSA.Data!$H565, 0, ($F$2-1)*6), _xlpm.ctrl, OFFSET(PSA.Data!$H565, 0, ($F$2-1)*6 + 1),
_xlpm.int - _xlpm.ctrl)</f>
        <v>-6038.7561937574674</v>
      </c>
      <c r="M563" s="134">
        <f t="shared" ca="1" si="19"/>
        <v>-7647.6313190254068</v>
      </c>
    </row>
    <row r="564" spans="11:13" ht="12" customHeight="1" x14ac:dyDescent="0.25">
      <c r="K564" s="90">
        <f ca="1">_xlfn.LET(_xlpm.int, OFFSET(PSA.Data!$E566, 0, ($F$2-1)*6), _xlpm.ctrl, OFFSET(PSA.Data!$E566, 0, ($F$2-1)*6 + 1),
_xlpm.int - _xlpm.ctrl)</f>
        <v>22000438.080471568</v>
      </c>
      <c r="L564" s="421">
        <f ca="1">_xlfn.LET(_xlpm.int, OFFSET(PSA.Data!$H566, 0, ($F$2-1)*6), _xlpm.ctrl, OFFSET(PSA.Data!$H566, 0, ($F$2-1)*6 + 1),
_xlpm.int - _xlpm.ctrl)</f>
        <v>-5533.7449328178745</v>
      </c>
      <c r="M564" s="134">
        <f t="shared" ca="1" si="19"/>
        <v>-6633.7668368414525</v>
      </c>
    </row>
    <row r="565" spans="11:13" ht="12" customHeight="1" x14ac:dyDescent="0.25">
      <c r="K565" s="90">
        <f ca="1">_xlfn.LET(_xlpm.int, OFFSET(PSA.Data!$E567, 0, ($F$2-1)*6), _xlpm.ctrl, OFFSET(PSA.Data!$E567, 0, ($F$2-1)*6 + 1),
_xlpm.int - _xlpm.ctrl)</f>
        <v>33816156.782732569</v>
      </c>
      <c r="L565" s="421">
        <f ca="1">_xlfn.LET(_xlpm.int, OFFSET(PSA.Data!$H567, 0, ($F$2-1)*6), _xlpm.ctrl, OFFSET(PSA.Data!$H567, 0, ($F$2-1)*6 + 1),
_xlpm.int - _xlpm.ctrl)</f>
        <v>-6477.5325641179079</v>
      </c>
      <c r="M565" s="134">
        <f t="shared" ca="1" si="19"/>
        <v>-8168.3404032545368</v>
      </c>
    </row>
    <row r="566" spans="11:13" ht="12" customHeight="1" x14ac:dyDescent="0.25">
      <c r="K566" s="90">
        <f ca="1">_xlfn.LET(_xlpm.int, OFFSET(PSA.Data!$E568, 0, ($F$2-1)*6), _xlpm.ctrl, OFFSET(PSA.Data!$E568, 0, ($F$2-1)*6 + 1),
_xlpm.int - _xlpm.ctrl)</f>
        <v>50139360.4323356</v>
      </c>
      <c r="L566" s="421">
        <f ca="1">_xlfn.LET(_xlpm.int, OFFSET(PSA.Data!$H568, 0, ($F$2-1)*6), _xlpm.ctrl, OFFSET(PSA.Data!$H568, 0, ($F$2-1)*6 + 1),
_xlpm.int - _xlpm.ctrl)</f>
        <v>-7028.8668685716202</v>
      </c>
      <c r="M566" s="134">
        <f t="shared" ca="1" si="19"/>
        <v>-9535.8348901884001</v>
      </c>
    </row>
    <row r="567" spans="11:13" ht="12" customHeight="1" x14ac:dyDescent="0.25">
      <c r="K567" s="90">
        <f ca="1">_xlfn.LET(_xlpm.int, OFFSET(PSA.Data!$E569, 0, ($F$2-1)*6), _xlpm.ctrl, OFFSET(PSA.Data!$E569, 0, ($F$2-1)*6 + 1),
_xlpm.int - _xlpm.ctrl)</f>
        <v>27957282.489279054</v>
      </c>
      <c r="L567" s="421">
        <f ca="1">_xlfn.LET(_xlpm.int, OFFSET(PSA.Data!$H569, 0, ($F$2-1)*6), _xlpm.ctrl, OFFSET(PSA.Data!$H569, 0, ($F$2-1)*6 + 1),
_xlpm.int - _xlpm.ctrl)</f>
        <v>-6733.3603285647869</v>
      </c>
      <c r="M567" s="134">
        <f t="shared" ca="1" si="19"/>
        <v>-8131.2244530287398</v>
      </c>
    </row>
    <row r="568" spans="11:13" ht="12" customHeight="1" x14ac:dyDescent="0.25">
      <c r="K568" s="90">
        <f ca="1">_xlfn.LET(_xlpm.int, OFFSET(PSA.Data!$E570, 0, ($F$2-1)*6), _xlpm.ctrl, OFFSET(PSA.Data!$E570, 0, ($F$2-1)*6 + 1),
_xlpm.int - _xlpm.ctrl)</f>
        <v>24236268.677055623</v>
      </c>
      <c r="L568" s="421">
        <f ca="1">_xlfn.LET(_xlpm.int, OFFSET(PSA.Data!$H570, 0, ($F$2-1)*6), _xlpm.ctrl, OFFSET(PSA.Data!$H570, 0, ($F$2-1)*6 + 1),
_xlpm.int - _xlpm.ctrl)</f>
        <v>-5800.2798167439205</v>
      </c>
      <c r="M568" s="134">
        <f t="shared" ca="1" si="19"/>
        <v>-7012.0932505967012</v>
      </c>
    </row>
    <row r="569" spans="11:13" ht="12" customHeight="1" x14ac:dyDescent="0.25">
      <c r="K569" s="90">
        <f ca="1">_xlfn.LET(_xlpm.int, OFFSET(PSA.Data!$E571, 0, ($F$2-1)*6), _xlpm.ctrl, OFFSET(PSA.Data!$E571, 0, ($F$2-1)*6 + 1),
_xlpm.int - _xlpm.ctrl)</f>
        <v>54112736.793552175</v>
      </c>
      <c r="L569" s="421">
        <f ca="1">_xlfn.LET(_xlpm.int, OFFSET(PSA.Data!$H571, 0, ($F$2-1)*6), _xlpm.ctrl, OFFSET(PSA.Data!$H571, 0, ($F$2-1)*6 + 1),
_xlpm.int - _xlpm.ctrl)</f>
        <v>-7447.7126033895265</v>
      </c>
      <c r="M569" s="134">
        <f t="shared" ca="1" si="19"/>
        <v>-10153.349443067134</v>
      </c>
    </row>
    <row r="570" spans="11:13" ht="12" customHeight="1" x14ac:dyDescent="0.25">
      <c r="K570" s="90">
        <f ca="1">_xlfn.LET(_xlpm.int, OFFSET(PSA.Data!$E572, 0, ($F$2-1)*6), _xlpm.ctrl, OFFSET(PSA.Data!$E572, 0, ($F$2-1)*6 + 1),
_xlpm.int - _xlpm.ctrl)</f>
        <v>16190373.861026278</v>
      </c>
      <c r="L570" s="421">
        <f ca="1">_xlfn.LET(_xlpm.int, OFFSET(PSA.Data!$H572, 0, ($F$2-1)*6), _xlpm.ctrl, OFFSET(PSA.Data!$H572, 0, ($F$2-1)*6 + 1),
_xlpm.int - _xlpm.ctrl)</f>
        <v>-4112.3039114407784</v>
      </c>
      <c r="M570" s="134">
        <f t="shared" ca="1" si="19"/>
        <v>-4921.8226044920921</v>
      </c>
    </row>
    <row r="571" spans="11:13" ht="12" customHeight="1" x14ac:dyDescent="0.25">
      <c r="K571" s="90">
        <f ca="1">_xlfn.LET(_xlpm.int, OFFSET(PSA.Data!$E573, 0, ($F$2-1)*6), _xlpm.ctrl, OFFSET(PSA.Data!$E573, 0, ($F$2-1)*6 + 1),
_xlpm.int - _xlpm.ctrl)</f>
        <v>24342870.573741429</v>
      </c>
      <c r="L571" s="421">
        <f ca="1">_xlfn.LET(_xlpm.int, OFFSET(PSA.Data!$H573, 0, ($F$2-1)*6), _xlpm.ctrl, OFFSET(PSA.Data!$H573, 0, ($F$2-1)*6 + 1),
_xlpm.int - _xlpm.ctrl)</f>
        <v>-4705.4816371401339</v>
      </c>
      <c r="M571" s="134">
        <f t="shared" ca="1" si="19"/>
        <v>-5922.6251658272049</v>
      </c>
    </row>
    <row r="572" spans="11:13" ht="12" customHeight="1" x14ac:dyDescent="0.25">
      <c r="K572" s="90">
        <f ca="1">_xlfn.LET(_xlpm.int, OFFSET(PSA.Data!$E574, 0, ($F$2-1)*6), _xlpm.ctrl, OFFSET(PSA.Data!$E574, 0, ($F$2-1)*6 + 1),
_xlpm.int - _xlpm.ctrl)</f>
        <v>25691382.427061893</v>
      </c>
      <c r="L572" s="421">
        <f ca="1">_xlfn.LET(_xlpm.int, OFFSET(PSA.Data!$H574, 0, ($F$2-1)*6), _xlpm.ctrl, OFFSET(PSA.Data!$H574, 0, ($F$2-1)*6 + 1),
_xlpm.int - _xlpm.ctrl)</f>
        <v>-6811.4135078299969</v>
      </c>
      <c r="M572" s="134">
        <f t="shared" ca="1" si="19"/>
        <v>-8095.9826291830914</v>
      </c>
    </row>
    <row r="573" spans="11:13" ht="12" customHeight="1" x14ac:dyDescent="0.25">
      <c r="K573" s="90">
        <f ca="1">_xlfn.LET(_xlpm.int, OFFSET(PSA.Data!$E575, 0, ($F$2-1)*6), _xlpm.ctrl, OFFSET(PSA.Data!$E575, 0, ($F$2-1)*6 + 1),
_xlpm.int - _xlpm.ctrl)</f>
        <v>56495464.37840353</v>
      </c>
      <c r="L573" s="421">
        <f ca="1">_xlfn.LET(_xlpm.int, OFFSET(PSA.Data!$H575, 0, ($F$2-1)*6), _xlpm.ctrl, OFFSET(PSA.Data!$H575, 0, ($F$2-1)*6 + 1),
_xlpm.int - _xlpm.ctrl)</f>
        <v>-9043.0721719134781</v>
      </c>
      <c r="M573" s="134">
        <f t="shared" ca="1" si="19"/>
        <v>-11867.845390833654</v>
      </c>
    </row>
    <row r="574" spans="11:13" ht="12" customHeight="1" x14ac:dyDescent="0.25">
      <c r="K574" s="90">
        <f ca="1">_xlfn.LET(_xlpm.int, OFFSET(PSA.Data!$E576, 0, ($F$2-1)*6), _xlpm.ctrl, OFFSET(PSA.Data!$E576, 0, ($F$2-1)*6 + 1),
_xlpm.int - _xlpm.ctrl)</f>
        <v>20635610.027314965</v>
      </c>
      <c r="L574" s="421">
        <f ca="1">_xlfn.LET(_xlpm.int, OFFSET(PSA.Data!$H576, 0, ($F$2-1)*6), _xlpm.ctrl, OFFSET(PSA.Data!$H576, 0, ($F$2-1)*6 + 1),
_xlpm.int - _xlpm.ctrl)</f>
        <v>-5388.3209395481526</v>
      </c>
      <c r="M574" s="134">
        <f t="shared" ca="1" si="19"/>
        <v>-6420.1014409139007</v>
      </c>
    </row>
    <row r="575" spans="11:13" ht="12" customHeight="1" x14ac:dyDescent="0.25">
      <c r="K575" s="90">
        <f ca="1">_xlfn.LET(_xlpm.int, OFFSET(PSA.Data!$E577, 0, ($F$2-1)*6), _xlpm.ctrl, OFFSET(PSA.Data!$E577, 0, ($F$2-1)*6 + 1),
_xlpm.int - _xlpm.ctrl)</f>
        <v>20849497.940578904</v>
      </c>
      <c r="L575" s="421">
        <f ca="1">_xlfn.LET(_xlpm.int, OFFSET(PSA.Data!$H577, 0, ($F$2-1)*6), _xlpm.ctrl, OFFSET(PSA.Data!$H577, 0, ($F$2-1)*6 + 1),
_xlpm.int - _xlpm.ctrl)</f>
        <v>-6583.2681941504743</v>
      </c>
      <c r="M575" s="134">
        <f t="shared" ca="1" si="19"/>
        <v>-7625.7430911794199</v>
      </c>
    </row>
    <row r="576" spans="11:13" ht="12" customHeight="1" x14ac:dyDescent="0.25">
      <c r="K576" s="90">
        <f ca="1">_xlfn.LET(_xlpm.int, OFFSET(PSA.Data!$E578, 0, ($F$2-1)*6), _xlpm.ctrl, OFFSET(PSA.Data!$E578, 0, ($F$2-1)*6 + 1),
_xlpm.int - _xlpm.ctrl)</f>
        <v>51756521.298805013</v>
      </c>
      <c r="L576" s="421">
        <f ca="1">_xlfn.LET(_xlpm.int, OFFSET(PSA.Data!$H578, 0, ($F$2-1)*6), _xlpm.ctrl, OFFSET(PSA.Data!$H578, 0, ($F$2-1)*6 + 1),
_xlpm.int - _xlpm.ctrl)</f>
        <v>-6902.068100333624</v>
      </c>
      <c r="M576" s="134">
        <f t="shared" ca="1" si="19"/>
        <v>-9489.894165273874</v>
      </c>
    </row>
    <row r="577" spans="11:13" ht="12" customHeight="1" x14ac:dyDescent="0.25">
      <c r="K577" s="90">
        <f ca="1">_xlfn.LET(_xlpm.int, OFFSET(PSA.Data!$E579, 0, ($F$2-1)*6), _xlpm.ctrl, OFFSET(PSA.Data!$E579, 0, ($F$2-1)*6 + 1),
_xlpm.int - _xlpm.ctrl)</f>
        <v>27916487.294650659</v>
      </c>
      <c r="L577" s="421">
        <f ca="1">_xlfn.LET(_xlpm.int, OFFSET(PSA.Data!$H579, 0, ($F$2-1)*6), _xlpm.ctrl, OFFSET(PSA.Data!$H579, 0, ($F$2-1)*6 + 1),
_xlpm.int - _xlpm.ctrl)</f>
        <v>-6941.5822683689203</v>
      </c>
      <c r="M577" s="134">
        <f t="shared" ca="1" si="19"/>
        <v>-8337.4066331014528</v>
      </c>
    </row>
    <row r="578" spans="11:13" ht="12" customHeight="1" x14ac:dyDescent="0.25">
      <c r="K578" s="90">
        <f ca="1">_xlfn.LET(_xlpm.int, OFFSET(PSA.Data!$E580, 0, ($F$2-1)*6), _xlpm.ctrl, OFFSET(PSA.Data!$E580, 0, ($F$2-1)*6 + 1),
_xlpm.int - _xlpm.ctrl)</f>
        <v>11167054.313392285</v>
      </c>
      <c r="L578" s="421">
        <f ca="1">_xlfn.LET(_xlpm.int, OFFSET(PSA.Data!$H580, 0, ($F$2-1)*6), _xlpm.ctrl, OFFSET(PSA.Data!$H580, 0, ($F$2-1)*6 + 1),
_xlpm.int - _xlpm.ctrl)</f>
        <v>-4220.5281659231432</v>
      </c>
      <c r="M578" s="134">
        <f t="shared" ca="1" si="19"/>
        <v>-4778.8808815927578</v>
      </c>
    </row>
    <row r="579" spans="11:13" ht="12" customHeight="1" x14ac:dyDescent="0.25">
      <c r="K579" s="90">
        <f ca="1">_xlfn.LET(_xlpm.int, OFFSET(PSA.Data!$E581, 0, ($F$2-1)*6), _xlpm.ctrl, OFFSET(PSA.Data!$E581, 0, ($F$2-1)*6 + 1),
_xlpm.int - _xlpm.ctrl)</f>
        <v>20650297.88889521</v>
      </c>
      <c r="L579" s="421">
        <f ca="1">_xlfn.LET(_xlpm.int, OFFSET(PSA.Data!$H581, 0, ($F$2-1)*6), _xlpm.ctrl, OFFSET(PSA.Data!$H581, 0, ($F$2-1)*6 + 1),
_xlpm.int - _xlpm.ctrl)</f>
        <v>-5719.9034114735223</v>
      </c>
      <c r="M579" s="134">
        <f t="shared" ca="1" si="19"/>
        <v>-6752.4183059182833</v>
      </c>
    </row>
    <row r="580" spans="11:13" ht="12" customHeight="1" x14ac:dyDescent="0.25">
      <c r="K580" s="90">
        <f ca="1">_xlfn.LET(_xlpm.int, OFFSET(PSA.Data!$E582, 0, ($F$2-1)*6), _xlpm.ctrl, OFFSET(PSA.Data!$E582, 0, ($F$2-1)*6 + 1),
_xlpm.int - _xlpm.ctrl)</f>
        <v>14118884.456601866</v>
      </c>
      <c r="L580" s="421">
        <f ca="1">_xlfn.LET(_xlpm.int, OFFSET(PSA.Data!$H582, 0, ($F$2-1)*6), _xlpm.ctrl, OFFSET(PSA.Data!$H582, 0, ($F$2-1)*6 + 1),
_xlpm.int - _xlpm.ctrl)</f>
        <v>-6952.9908026520989</v>
      </c>
      <c r="M580" s="134">
        <f t="shared" ca="1" si="19"/>
        <v>-7658.935025482192</v>
      </c>
    </row>
    <row r="581" spans="11:13" ht="12" customHeight="1" x14ac:dyDescent="0.25">
      <c r="K581" s="90">
        <f ca="1">_xlfn.LET(_xlpm.int, OFFSET(PSA.Data!$E583, 0, ($F$2-1)*6), _xlpm.ctrl, OFFSET(PSA.Data!$E583, 0, ($F$2-1)*6 + 1),
_xlpm.int - _xlpm.ctrl)</f>
        <v>28158517.004936621</v>
      </c>
      <c r="L581" s="421">
        <f ca="1">_xlfn.LET(_xlpm.int, OFFSET(PSA.Data!$H583, 0, ($F$2-1)*6), _xlpm.ctrl, OFFSET(PSA.Data!$H583, 0, ($F$2-1)*6 + 1),
_xlpm.int - _xlpm.ctrl)</f>
        <v>-5543.1188041441455</v>
      </c>
      <c r="M581" s="134">
        <f t="shared" ca="1" si="19"/>
        <v>-6951.0446543909766</v>
      </c>
    </row>
    <row r="582" spans="11:13" ht="12" customHeight="1" x14ac:dyDescent="0.25">
      <c r="K582" s="90">
        <f ca="1">_xlfn.LET(_xlpm.int, OFFSET(PSA.Data!$E584, 0, ($F$2-1)*6), _xlpm.ctrl, OFFSET(PSA.Data!$E584, 0, ($F$2-1)*6 + 1),
_xlpm.int - _xlpm.ctrl)</f>
        <v>21153459.910155017</v>
      </c>
      <c r="L582" s="421">
        <f ca="1">_xlfn.LET(_xlpm.int, OFFSET(PSA.Data!$H584, 0, ($F$2-1)*6), _xlpm.ctrl, OFFSET(PSA.Data!$H584, 0, ($F$2-1)*6 + 1),
_xlpm.int - _xlpm.ctrl)</f>
        <v>-5634.2250725038284</v>
      </c>
      <c r="M582" s="134">
        <f t="shared" ca="1" si="19"/>
        <v>-6691.8980680115792</v>
      </c>
    </row>
    <row r="583" spans="11:13" ht="12" customHeight="1" x14ac:dyDescent="0.25">
      <c r="K583" s="90">
        <f ca="1">_xlfn.LET(_xlpm.int, OFFSET(PSA.Data!$E585, 0, ($F$2-1)*6), _xlpm.ctrl, OFFSET(PSA.Data!$E585, 0, ($F$2-1)*6 + 1),
_xlpm.int - _xlpm.ctrl)</f>
        <v>9430127.9645508919</v>
      </c>
      <c r="L583" s="421">
        <f ca="1">_xlfn.LET(_xlpm.int, OFFSET(PSA.Data!$H585, 0, ($F$2-1)*6), _xlpm.ctrl, OFFSET(PSA.Data!$H585, 0, ($F$2-1)*6 + 1),
_xlpm.int - _xlpm.ctrl)</f>
        <v>-4686.2893215286585</v>
      </c>
      <c r="M583" s="134">
        <f t="shared" ca="1" si="19"/>
        <v>-5157.7957197562027</v>
      </c>
    </row>
    <row r="584" spans="11:13" ht="12" customHeight="1" x14ac:dyDescent="0.25">
      <c r="K584" s="90">
        <f ca="1">_xlfn.LET(_xlpm.int, OFFSET(PSA.Data!$E586, 0, ($F$2-1)*6), _xlpm.ctrl, OFFSET(PSA.Data!$E586, 0, ($F$2-1)*6 + 1),
_xlpm.int - _xlpm.ctrl)</f>
        <v>22046269.251491845</v>
      </c>
      <c r="L584" s="421">
        <f ca="1">_xlfn.LET(_xlpm.int, OFFSET(PSA.Data!$H586, 0, ($F$2-1)*6), _xlpm.ctrl, OFFSET(PSA.Data!$H586, 0, ($F$2-1)*6 + 1),
_xlpm.int - _xlpm.ctrl)</f>
        <v>-5437.4439854596476</v>
      </c>
      <c r="M584" s="134">
        <f t="shared" ca="1" si="19"/>
        <v>-6539.75744803424</v>
      </c>
    </row>
    <row r="585" spans="11:13" ht="12" customHeight="1" x14ac:dyDescent="0.25">
      <c r="K585" s="90">
        <f ca="1">_xlfn.LET(_xlpm.int, OFFSET(PSA.Data!$E587, 0, ($F$2-1)*6), _xlpm.ctrl, OFFSET(PSA.Data!$E587, 0, ($F$2-1)*6 + 1),
_xlpm.int - _xlpm.ctrl)</f>
        <v>21822069.069622111</v>
      </c>
      <c r="L585" s="421">
        <f ca="1">_xlfn.LET(_xlpm.int, OFFSET(PSA.Data!$H587, 0, ($F$2-1)*6), _xlpm.ctrl, OFFSET(PSA.Data!$H587, 0, ($F$2-1)*6 + 1),
_xlpm.int - _xlpm.ctrl)</f>
        <v>-4590.5823398854754</v>
      </c>
      <c r="M585" s="134">
        <f t="shared" ca="1" si="19"/>
        <v>-5681.6857933665815</v>
      </c>
    </row>
    <row r="586" spans="11:13" ht="12" customHeight="1" x14ac:dyDescent="0.25">
      <c r="K586" s="90">
        <f ca="1">_xlfn.LET(_xlpm.int, OFFSET(PSA.Data!$E588, 0, ($F$2-1)*6), _xlpm.ctrl, OFFSET(PSA.Data!$E588, 0, ($F$2-1)*6 + 1),
_xlpm.int - _xlpm.ctrl)</f>
        <v>26200336.82224993</v>
      </c>
      <c r="L586" s="421">
        <f ca="1">_xlfn.LET(_xlpm.int, OFFSET(PSA.Data!$H588, 0, ($F$2-1)*6), _xlpm.ctrl, OFFSET(PSA.Data!$H588, 0, ($F$2-1)*6 + 1),
_xlpm.int - _xlpm.ctrl)</f>
        <v>-5204.0915897366913</v>
      </c>
      <c r="M586" s="134">
        <f t="shared" ca="1" si="19"/>
        <v>-6514.1084308491882</v>
      </c>
    </row>
    <row r="587" spans="11:13" ht="12" customHeight="1" x14ac:dyDescent="0.25">
      <c r="K587" s="90">
        <f ca="1">_xlfn.LET(_xlpm.int, OFFSET(PSA.Data!$E589, 0, ($F$2-1)*6), _xlpm.ctrl, OFFSET(PSA.Data!$E589, 0, ($F$2-1)*6 + 1),
_xlpm.int - _xlpm.ctrl)</f>
        <v>13852858.406834267</v>
      </c>
      <c r="L587" s="421">
        <f ca="1">_xlfn.LET(_xlpm.int, OFFSET(PSA.Data!$H589, 0, ($F$2-1)*6), _xlpm.ctrl, OFFSET(PSA.Data!$H589, 0, ($F$2-1)*6 + 1),
_xlpm.int - _xlpm.ctrl)</f>
        <v>-4790.3944128849598</v>
      </c>
      <c r="M587" s="134">
        <f t="shared" ca="1" si="19"/>
        <v>-5483.0373332266736</v>
      </c>
    </row>
    <row r="588" spans="11:13" ht="12" customHeight="1" x14ac:dyDescent="0.25">
      <c r="K588" s="90">
        <f ca="1">_xlfn.LET(_xlpm.int, OFFSET(PSA.Data!$E590, 0, ($F$2-1)*6), _xlpm.ctrl, OFFSET(PSA.Data!$E590, 0, ($F$2-1)*6 + 1),
_xlpm.int - _xlpm.ctrl)</f>
        <v>48262538.486115247</v>
      </c>
      <c r="L588" s="421">
        <f ca="1">_xlfn.LET(_xlpm.int, OFFSET(PSA.Data!$H590, 0, ($F$2-1)*6), _xlpm.ctrl, OFFSET(PSA.Data!$H590, 0, ($F$2-1)*6 + 1),
_xlpm.int - _xlpm.ctrl)</f>
        <v>-7050.0242781681463</v>
      </c>
      <c r="M588" s="134">
        <f t="shared" ca="1" si="19"/>
        <v>-9463.1512024739095</v>
      </c>
    </row>
    <row r="589" spans="11:13" ht="12" customHeight="1" x14ac:dyDescent="0.25">
      <c r="K589" s="90">
        <f ca="1">_xlfn.LET(_xlpm.int, OFFSET(PSA.Data!$E591, 0, ($F$2-1)*6), _xlpm.ctrl, OFFSET(PSA.Data!$E591, 0, ($F$2-1)*6 + 1),
_xlpm.int - _xlpm.ctrl)</f>
        <v>43857988.090864509</v>
      </c>
      <c r="L589" s="421">
        <f ca="1">_xlfn.LET(_xlpm.int, OFFSET(PSA.Data!$H591, 0, ($F$2-1)*6), _xlpm.ctrl, OFFSET(PSA.Data!$H591, 0, ($F$2-1)*6 + 1),
_xlpm.int - _xlpm.ctrl)</f>
        <v>-6610.4424562634886</v>
      </c>
      <c r="M589" s="134">
        <f t="shared" ca="1" si="19"/>
        <v>-8803.341860806715</v>
      </c>
    </row>
    <row r="590" spans="11:13" ht="12" customHeight="1" x14ac:dyDescent="0.25">
      <c r="K590" s="90">
        <f ca="1">_xlfn.LET(_xlpm.int, OFFSET(PSA.Data!$E592, 0, ($F$2-1)*6), _xlpm.ctrl, OFFSET(PSA.Data!$E592, 0, ($F$2-1)*6 + 1),
_xlpm.int - _xlpm.ctrl)</f>
        <v>7263617.5985061144</v>
      </c>
      <c r="L590" s="421">
        <f ca="1">_xlfn.LET(_xlpm.int, OFFSET(PSA.Data!$H592, 0, ($F$2-1)*6), _xlpm.ctrl, OFFSET(PSA.Data!$H592, 0, ($F$2-1)*6 + 1),
_xlpm.int - _xlpm.ctrl)</f>
        <v>-3516.3623256803953</v>
      </c>
      <c r="M590" s="134">
        <f t="shared" ca="1" si="19"/>
        <v>-3879.5432056057011</v>
      </c>
    </row>
    <row r="591" spans="11:13" ht="12" customHeight="1" x14ac:dyDescent="0.25">
      <c r="K591" s="90">
        <f ca="1">_xlfn.LET(_xlpm.int, OFFSET(PSA.Data!$E593, 0, ($F$2-1)*6), _xlpm.ctrl, OFFSET(PSA.Data!$E593, 0, ($F$2-1)*6 + 1),
_xlpm.int - _xlpm.ctrl)</f>
        <v>31033870.240457848</v>
      </c>
      <c r="L591" s="421">
        <f ca="1">_xlfn.LET(_xlpm.int, OFFSET(PSA.Data!$H593, 0, ($F$2-1)*6), _xlpm.ctrl, OFFSET(PSA.Data!$H593, 0, ($F$2-1)*6 + 1),
_xlpm.int - _xlpm.ctrl)</f>
        <v>-6796.0944590467698</v>
      </c>
      <c r="M591" s="134">
        <f t="shared" ca="1" si="19"/>
        <v>-8347.7879710696616</v>
      </c>
    </row>
    <row r="592" spans="11:13" ht="12" customHeight="1" x14ac:dyDescent="0.25">
      <c r="K592" s="90">
        <f ca="1">_xlfn.LET(_xlpm.int, OFFSET(PSA.Data!$E594, 0, ($F$2-1)*6), _xlpm.ctrl, OFFSET(PSA.Data!$E594, 0, ($F$2-1)*6 + 1),
_xlpm.int - _xlpm.ctrl)</f>
        <v>18859700.282510273</v>
      </c>
      <c r="L592" s="421">
        <f ca="1">_xlfn.LET(_xlpm.int, OFFSET(PSA.Data!$H594, 0, ($F$2-1)*6), _xlpm.ctrl, OFFSET(PSA.Data!$H594, 0, ($F$2-1)*6 + 1),
_xlpm.int - _xlpm.ctrl)</f>
        <v>-6192.559337605524</v>
      </c>
      <c r="M592" s="134">
        <f t="shared" ref="M592:M655" ca="1" si="20">L592-K592/WTP</f>
        <v>-7135.5443517310378</v>
      </c>
    </row>
    <row r="593" spans="11:13" ht="12" customHeight="1" x14ac:dyDescent="0.25">
      <c r="K593" s="90">
        <f ca="1">_xlfn.LET(_xlpm.int, OFFSET(PSA.Data!$E595, 0, ($F$2-1)*6), _xlpm.ctrl, OFFSET(PSA.Data!$E595, 0, ($F$2-1)*6 + 1),
_xlpm.int - _xlpm.ctrl)</f>
        <v>34101161.764840737</v>
      </c>
      <c r="L593" s="421">
        <f ca="1">_xlfn.LET(_xlpm.int, OFFSET(PSA.Data!$H595, 0, ($F$2-1)*6), _xlpm.ctrl, OFFSET(PSA.Data!$H595, 0, ($F$2-1)*6 + 1),
_xlpm.int - _xlpm.ctrl)</f>
        <v>-5942.8119064428411</v>
      </c>
      <c r="M593" s="134">
        <f t="shared" ca="1" si="20"/>
        <v>-7647.8699946848774</v>
      </c>
    </row>
    <row r="594" spans="11:13" ht="12" customHeight="1" x14ac:dyDescent="0.25">
      <c r="K594" s="90">
        <f ca="1">_xlfn.LET(_xlpm.int, OFFSET(PSA.Data!$E596, 0, ($F$2-1)*6), _xlpm.ctrl, OFFSET(PSA.Data!$E596, 0, ($F$2-1)*6 + 1),
_xlpm.int - _xlpm.ctrl)</f>
        <v>11645687.820165658</v>
      </c>
      <c r="L594" s="421">
        <f ca="1">_xlfn.LET(_xlpm.int, OFFSET(PSA.Data!$H596, 0, ($F$2-1)*6), _xlpm.ctrl, OFFSET(PSA.Data!$H596, 0, ($F$2-1)*6 + 1),
_xlpm.int - _xlpm.ctrl)</f>
        <v>-4596.3831185799118</v>
      </c>
      <c r="M594" s="134">
        <f t="shared" ca="1" si="20"/>
        <v>-5178.6675095881947</v>
      </c>
    </row>
    <row r="595" spans="11:13" ht="12" customHeight="1" x14ac:dyDescent="0.25">
      <c r="K595" s="90">
        <f ca="1">_xlfn.LET(_xlpm.int, OFFSET(PSA.Data!$E597, 0, ($F$2-1)*6), _xlpm.ctrl, OFFSET(PSA.Data!$E597, 0, ($F$2-1)*6 + 1),
_xlpm.int - _xlpm.ctrl)</f>
        <v>37724648.389015935</v>
      </c>
      <c r="L595" s="421">
        <f ca="1">_xlfn.LET(_xlpm.int, OFFSET(PSA.Data!$H597, 0, ($F$2-1)*6), _xlpm.ctrl, OFFSET(PSA.Data!$H597, 0, ($F$2-1)*6 + 1),
_xlpm.int - _xlpm.ctrl)</f>
        <v>-6379.1978138954091</v>
      </c>
      <c r="M595" s="134">
        <f t="shared" ca="1" si="20"/>
        <v>-8265.4302333462056</v>
      </c>
    </row>
    <row r="596" spans="11:13" ht="12" customHeight="1" x14ac:dyDescent="0.25">
      <c r="K596" s="90">
        <f ca="1">_xlfn.LET(_xlpm.int, OFFSET(PSA.Data!$E598, 0, ($F$2-1)*6), _xlpm.ctrl, OFFSET(PSA.Data!$E598, 0, ($F$2-1)*6 + 1),
_xlpm.int - _xlpm.ctrl)</f>
        <v>27798188.31168817</v>
      </c>
      <c r="L596" s="421">
        <f ca="1">_xlfn.LET(_xlpm.int, OFFSET(PSA.Data!$H598, 0, ($F$2-1)*6), _xlpm.ctrl, OFFSET(PSA.Data!$H598, 0, ($F$2-1)*6 + 1),
_xlpm.int - _xlpm.ctrl)</f>
        <v>-6672.0360031719629</v>
      </c>
      <c r="M596" s="134">
        <f t="shared" ca="1" si="20"/>
        <v>-8061.9454187563715</v>
      </c>
    </row>
    <row r="597" spans="11:13" ht="12" customHeight="1" x14ac:dyDescent="0.25">
      <c r="K597" s="90">
        <f ca="1">_xlfn.LET(_xlpm.int, OFFSET(PSA.Data!$E599, 0, ($F$2-1)*6), _xlpm.ctrl, OFFSET(PSA.Data!$E599, 0, ($F$2-1)*6 + 1),
_xlpm.int - _xlpm.ctrl)</f>
        <v>25658905.520890933</v>
      </c>
      <c r="L597" s="421">
        <f ca="1">_xlfn.LET(_xlpm.int, OFFSET(PSA.Data!$H599, 0, ($F$2-1)*6), _xlpm.ctrl, OFFSET(PSA.Data!$H599, 0, ($F$2-1)*6 + 1),
_xlpm.int - _xlpm.ctrl)</f>
        <v>-7810.7574602544082</v>
      </c>
      <c r="M597" s="134">
        <f t="shared" ca="1" si="20"/>
        <v>-9093.7027362989538</v>
      </c>
    </row>
    <row r="598" spans="11:13" ht="12" customHeight="1" x14ac:dyDescent="0.25">
      <c r="K598" s="90">
        <f ca="1">_xlfn.LET(_xlpm.int, OFFSET(PSA.Data!$E600, 0, ($F$2-1)*6), _xlpm.ctrl, OFFSET(PSA.Data!$E600, 0, ($F$2-1)*6 + 1),
_xlpm.int - _xlpm.ctrl)</f>
        <v>29324488.137152258</v>
      </c>
      <c r="L598" s="421">
        <f ca="1">_xlfn.LET(_xlpm.int, OFFSET(PSA.Data!$H600, 0, ($F$2-1)*6), _xlpm.ctrl, OFFSET(PSA.Data!$H600, 0, ($F$2-1)*6 + 1),
_xlpm.int - _xlpm.ctrl)</f>
        <v>-7627.1493532262102</v>
      </c>
      <c r="M598" s="134">
        <f t="shared" ca="1" si="20"/>
        <v>-9093.3737600838231</v>
      </c>
    </row>
    <row r="599" spans="11:13" ht="12" customHeight="1" x14ac:dyDescent="0.25">
      <c r="K599" s="90">
        <f ca="1">_xlfn.LET(_xlpm.int, OFFSET(PSA.Data!$E601, 0, ($F$2-1)*6), _xlpm.ctrl, OFFSET(PSA.Data!$E601, 0, ($F$2-1)*6 + 1),
_xlpm.int - _xlpm.ctrl)</f>
        <v>26838581.599275783</v>
      </c>
      <c r="L599" s="421">
        <f ca="1">_xlfn.LET(_xlpm.int, OFFSET(PSA.Data!$H601, 0, ($F$2-1)*6), _xlpm.ctrl, OFFSET(PSA.Data!$H601, 0, ($F$2-1)*6 + 1),
_xlpm.int - _xlpm.ctrl)</f>
        <v>-5247.4523878507616</v>
      </c>
      <c r="M599" s="134">
        <f t="shared" ca="1" si="20"/>
        <v>-6589.3814678145509</v>
      </c>
    </row>
    <row r="600" spans="11:13" ht="12" customHeight="1" x14ac:dyDescent="0.25">
      <c r="K600" s="90">
        <f ca="1">_xlfn.LET(_xlpm.int, OFFSET(PSA.Data!$E602, 0, ($F$2-1)*6), _xlpm.ctrl, OFFSET(PSA.Data!$E602, 0, ($F$2-1)*6 + 1),
_xlpm.int - _xlpm.ctrl)</f>
        <v>18009377.238256816</v>
      </c>
      <c r="L600" s="421">
        <f ca="1">_xlfn.LET(_xlpm.int, OFFSET(PSA.Data!$H602, 0, ($F$2-1)*6), _xlpm.ctrl, OFFSET(PSA.Data!$H602, 0, ($F$2-1)*6 + 1),
_xlpm.int - _xlpm.ctrl)</f>
        <v>-5482.5794616100184</v>
      </c>
      <c r="M600" s="134">
        <f t="shared" ca="1" si="20"/>
        <v>-6383.0483235228594</v>
      </c>
    </row>
    <row r="601" spans="11:13" ht="12" customHeight="1" x14ac:dyDescent="0.25">
      <c r="K601" s="90">
        <f ca="1">_xlfn.LET(_xlpm.int, OFFSET(PSA.Data!$E603, 0, ($F$2-1)*6), _xlpm.ctrl, OFFSET(PSA.Data!$E603, 0, ($F$2-1)*6 + 1),
_xlpm.int - _xlpm.ctrl)</f>
        <v>35546372.129741251</v>
      </c>
      <c r="L601" s="421">
        <f ca="1">_xlfn.LET(_xlpm.int, OFFSET(PSA.Data!$H603, 0, ($F$2-1)*6), _xlpm.ctrl, OFFSET(PSA.Data!$H603, 0, ($F$2-1)*6 + 1),
_xlpm.int - _xlpm.ctrl)</f>
        <v>-5746.7622733840444</v>
      </c>
      <c r="M601" s="134">
        <f t="shared" ca="1" si="20"/>
        <v>-7524.0808798711068</v>
      </c>
    </row>
    <row r="602" spans="11:13" ht="12" customHeight="1" x14ac:dyDescent="0.25">
      <c r="K602" s="90">
        <f ca="1">_xlfn.LET(_xlpm.int, OFFSET(PSA.Data!$E604, 0, ($F$2-1)*6), _xlpm.ctrl, OFFSET(PSA.Data!$E604, 0, ($F$2-1)*6 + 1),
_xlpm.int - _xlpm.ctrl)</f>
        <v>22111673.023488369</v>
      </c>
      <c r="L602" s="421">
        <f ca="1">_xlfn.LET(_xlpm.int, OFFSET(PSA.Data!$H604, 0, ($F$2-1)*6), _xlpm.ctrl, OFFSET(PSA.Data!$H604, 0, ($F$2-1)*6 + 1),
_xlpm.int - _xlpm.ctrl)</f>
        <v>-4891.963917382368</v>
      </c>
      <c r="M602" s="134">
        <f t="shared" ca="1" si="20"/>
        <v>-5997.5475685567862</v>
      </c>
    </row>
    <row r="603" spans="11:13" ht="12" customHeight="1" x14ac:dyDescent="0.25">
      <c r="K603" s="90">
        <f ca="1">_xlfn.LET(_xlpm.int, OFFSET(PSA.Data!$E605, 0, ($F$2-1)*6), _xlpm.ctrl, OFFSET(PSA.Data!$E605, 0, ($F$2-1)*6 + 1),
_xlpm.int - _xlpm.ctrl)</f>
        <v>8978882.8729353454</v>
      </c>
      <c r="L603" s="421">
        <f ca="1">_xlfn.LET(_xlpm.int, OFFSET(PSA.Data!$H605, 0, ($F$2-1)*6), _xlpm.ctrl, OFFSET(PSA.Data!$H605, 0, ($F$2-1)*6 + 1),
_xlpm.int - _xlpm.ctrl)</f>
        <v>-4352.7881412378065</v>
      </c>
      <c r="M603" s="134">
        <f t="shared" ca="1" si="20"/>
        <v>-4801.7322848845733</v>
      </c>
    </row>
    <row r="604" spans="11:13" ht="12" customHeight="1" x14ac:dyDescent="0.25">
      <c r="K604" s="90">
        <f ca="1">_xlfn.LET(_xlpm.int, OFFSET(PSA.Data!$E606, 0, ($F$2-1)*6), _xlpm.ctrl, OFFSET(PSA.Data!$E606, 0, ($F$2-1)*6 + 1),
_xlpm.int - _xlpm.ctrl)</f>
        <v>9719102.9107925631</v>
      </c>
      <c r="L604" s="421">
        <f ca="1">_xlfn.LET(_xlpm.int, OFFSET(PSA.Data!$H606, 0, ($F$2-1)*6), _xlpm.ctrl, OFFSET(PSA.Data!$H606, 0, ($F$2-1)*6 + 1),
_xlpm.int - _xlpm.ctrl)</f>
        <v>-4531.5774864381301</v>
      </c>
      <c r="M604" s="134">
        <f t="shared" ca="1" si="20"/>
        <v>-5017.5326319777587</v>
      </c>
    </row>
    <row r="605" spans="11:13" ht="12" customHeight="1" x14ac:dyDescent="0.25">
      <c r="K605" s="90">
        <f ca="1">_xlfn.LET(_xlpm.int, OFFSET(PSA.Data!$E607, 0, ($F$2-1)*6), _xlpm.ctrl, OFFSET(PSA.Data!$E607, 0, ($F$2-1)*6 + 1),
_xlpm.int - _xlpm.ctrl)</f>
        <v>34977795.980052285</v>
      </c>
      <c r="L605" s="421">
        <f ca="1">_xlfn.LET(_xlpm.int, OFFSET(PSA.Data!$H607, 0, ($F$2-1)*6), _xlpm.ctrl, OFFSET(PSA.Data!$H607, 0, ($F$2-1)*6 + 1),
_xlpm.int - _xlpm.ctrl)</f>
        <v>-5129.73153845655</v>
      </c>
      <c r="M605" s="134">
        <f t="shared" ca="1" si="20"/>
        <v>-6878.6213374591644</v>
      </c>
    </row>
    <row r="606" spans="11:13" ht="12" customHeight="1" x14ac:dyDescent="0.25">
      <c r="K606" s="90">
        <f ca="1">_xlfn.LET(_xlpm.int, OFFSET(PSA.Data!$E608, 0, ($F$2-1)*6), _xlpm.ctrl, OFFSET(PSA.Data!$E608, 0, ($F$2-1)*6 + 1),
_xlpm.int - _xlpm.ctrl)</f>
        <v>74315459.202216744</v>
      </c>
      <c r="L606" s="421">
        <f ca="1">_xlfn.LET(_xlpm.int, OFFSET(PSA.Data!$H608, 0, ($F$2-1)*6), _xlpm.ctrl, OFFSET(PSA.Data!$H608, 0, ($F$2-1)*6 + 1),
_xlpm.int - _xlpm.ctrl)</f>
        <v>-8377.7500369323807</v>
      </c>
      <c r="M606" s="134">
        <f t="shared" ca="1" si="20"/>
        <v>-12093.522997043217</v>
      </c>
    </row>
    <row r="607" spans="11:13" ht="12" customHeight="1" x14ac:dyDescent="0.25">
      <c r="K607" s="90">
        <f ca="1">_xlfn.LET(_xlpm.int, OFFSET(PSA.Data!$E609, 0, ($F$2-1)*6), _xlpm.ctrl, OFFSET(PSA.Data!$E609, 0, ($F$2-1)*6 + 1),
_xlpm.int - _xlpm.ctrl)</f>
        <v>29046851.629701369</v>
      </c>
      <c r="L607" s="421">
        <f ca="1">_xlfn.LET(_xlpm.int, OFFSET(PSA.Data!$H609, 0, ($F$2-1)*6), _xlpm.ctrl, OFFSET(PSA.Data!$H609, 0, ($F$2-1)*6 + 1),
_xlpm.int - _xlpm.ctrl)</f>
        <v>-8267.8559841623464</v>
      </c>
      <c r="M607" s="134">
        <f t="shared" ca="1" si="20"/>
        <v>-9720.1985656474153</v>
      </c>
    </row>
    <row r="608" spans="11:13" ht="12" customHeight="1" x14ac:dyDescent="0.25">
      <c r="K608" s="90">
        <f ca="1">_xlfn.LET(_xlpm.int, OFFSET(PSA.Data!$E610, 0, ($F$2-1)*6), _xlpm.ctrl, OFFSET(PSA.Data!$E610, 0, ($F$2-1)*6 + 1),
_xlpm.int - _xlpm.ctrl)</f>
        <v>30718244.360340588</v>
      </c>
      <c r="L608" s="421">
        <f ca="1">_xlfn.LET(_xlpm.int, OFFSET(PSA.Data!$H610, 0, ($F$2-1)*6), _xlpm.ctrl, OFFSET(PSA.Data!$H610, 0, ($F$2-1)*6 + 1),
_xlpm.int - _xlpm.ctrl)</f>
        <v>-5173.5122483619098</v>
      </c>
      <c r="M608" s="134">
        <f t="shared" ca="1" si="20"/>
        <v>-6709.4244663789395</v>
      </c>
    </row>
    <row r="609" spans="11:13" ht="12" customHeight="1" x14ac:dyDescent="0.25">
      <c r="K609" s="90">
        <f ca="1">_xlfn.LET(_xlpm.int, OFFSET(PSA.Data!$E611, 0, ($F$2-1)*6), _xlpm.ctrl, OFFSET(PSA.Data!$E611, 0, ($F$2-1)*6 + 1),
_xlpm.int - _xlpm.ctrl)</f>
        <v>36638668.254712105</v>
      </c>
      <c r="L609" s="421">
        <f ca="1">_xlfn.LET(_xlpm.int, OFFSET(PSA.Data!$H611, 0, ($F$2-1)*6), _xlpm.ctrl, OFFSET(PSA.Data!$H611, 0, ($F$2-1)*6 + 1),
_xlpm.int - _xlpm.ctrl)</f>
        <v>-6925.2299318896457</v>
      </c>
      <c r="M609" s="134">
        <f t="shared" ca="1" si="20"/>
        <v>-8757.1633446252508</v>
      </c>
    </row>
    <row r="610" spans="11:13" ht="12" customHeight="1" x14ac:dyDescent="0.25">
      <c r="K610" s="90">
        <f ca="1">_xlfn.LET(_xlpm.int, OFFSET(PSA.Data!$E612, 0, ($F$2-1)*6), _xlpm.ctrl, OFFSET(PSA.Data!$E612, 0, ($F$2-1)*6 + 1),
_xlpm.int - _xlpm.ctrl)</f>
        <v>20012339.414881125</v>
      </c>
      <c r="L610" s="421">
        <f ca="1">_xlfn.LET(_xlpm.int, OFFSET(PSA.Data!$H612, 0, ($F$2-1)*6), _xlpm.ctrl, OFFSET(PSA.Data!$H612, 0, ($F$2-1)*6 + 1),
_xlpm.int - _xlpm.ctrl)</f>
        <v>-7340.5010568689922</v>
      </c>
      <c r="M610" s="134">
        <f t="shared" ca="1" si="20"/>
        <v>-8341.118027613049</v>
      </c>
    </row>
    <row r="611" spans="11:13" ht="12" customHeight="1" x14ac:dyDescent="0.25">
      <c r="K611" s="90">
        <f ca="1">_xlfn.LET(_xlpm.int, OFFSET(PSA.Data!$E613, 0, ($F$2-1)*6), _xlpm.ctrl, OFFSET(PSA.Data!$E613, 0, ($F$2-1)*6 + 1),
_xlpm.int - _xlpm.ctrl)</f>
        <v>22342002.521733448</v>
      </c>
      <c r="L611" s="421">
        <f ca="1">_xlfn.LET(_xlpm.int, OFFSET(PSA.Data!$H613, 0, ($F$2-1)*6), _xlpm.ctrl, OFFSET(PSA.Data!$H613, 0, ($F$2-1)*6 + 1),
_xlpm.int - _xlpm.ctrl)</f>
        <v>-6211.4938953768824</v>
      </c>
      <c r="M611" s="134">
        <f t="shared" ca="1" si="20"/>
        <v>-7328.5940214635548</v>
      </c>
    </row>
    <row r="612" spans="11:13" ht="12" customHeight="1" x14ac:dyDescent="0.25">
      <c r="K612" s="90">
        <f ca="1">_xlfn.LET(_xlpm.int, OFFSET(PSA.Data!$E614, 0, ($F$2-1)*6), _xlpm.ctrl, OFFSET(PSA.Data!$E614, 0, ($F$2-1)*6 + 1),
_xlpm.int - _xlpm.ctrl)</f>
        <v>9616591.2084337268</v>
      </c>
      <c r="L612" s="421">
        <f ca="1">_xlfn.LET(_xlpm.int, OFFSET(PSA.Data!$H614, 0, ($F$2-1)*6), _xlpm.ctrl, OFFSET(PSA.Data!$H614, 0, ($F$2-1)*6 + 1),
_xlpm.int - _xlpm.ctrl)</f>
        <v>-6745.4237451190929</v>
      </c>
      <c r="M612" s="134">
        <f t="shared" ca="1" si="20"/>
        <v>-7226.2533055407794</v>
      </c>
    </row>
    <row r="613" spans="11:13" ht="12" customHeight="1" x14ac:dyDescent="0.25">
      <c r="K613" s="90">
        <f ca="1">_xlfn.LET(_xlpm.int, OFFSET(PSA.Data!$E615, 0, ($F$2-1)*6), _xlpm.ctrl, OFFSET(PSA.Data!$E615, 0, ($F$2-1)*6 + 1),
_xlpm.int - _xlpm.ctrl)</f>
        <v>39859993.793389827</v>
      </c>
      <c r="L613" s="421">
        <f ca="1">_xlfn.LET(_xlpm.int, OFFSET(PSA.Data!$H615, 0, ($F$2-1)*6), _xlpm.ctrl, OFFSET(PSA.Data!$H615, 0, ($F$2-1)*6 + 1),
_xlpm.int - _xlpm.ctrl)</f>
        <v>-6581.1280376733157</v>
      </c>
      <c r="M613" s="134">
        <f t="shared" ca="1" si="20"/>
        <v>-8574.1277273428077</v>
      </c>
    </row>
    <row r="614" spans="11:13" ht="12" customHeight="1" x14ac:dyDescent="0.25">
      <c r="K614" s="90">
        <f ca="1">_xlfn.LET(_xlpm.int, OFFSET(PSA.Data!$E616, 0, ($F$2-1)*6), _xlpm.ctrl, OFFSET(PSA.Data!$E616, 0, ($F$2-1)*6 + 1),
_xlpm.int - _xlpm.ctrl)</f>
        <v>33388421.649304636</v>
      </c>
      <c r="L614" s="421">
        <f ca="1">_xlfn.LET(_xlpm.int, OFFSET(PSA.Data!$H616, 0, ($F$2-1)*6), _xlpm.ctrl, OFFSET(PSA.Data!$H616, 0, ($F$2-1)*6 + 1),
_xlpm.int - _xlpm.ctrl)</f>
        <v>-8058.59141770112</v>
      </c>
      <c r="M614" s="134">
        <f t="shared" ca="1" si="20"/>
        <v>-9728.0125001663509</v>
      </c>
    </row>
    <row r="615" spans="11:13" ht="12" customHeight="1" x14ac:dyDescent="0.25">
      <c r="K615" s="90">
        <f ca="1">_xlfn.LET(_xlpm.int, OFFSET(PSA.Data!$E617, 0, ($F$2-1)*6), _xlpm.ctrl, OFFSET(PSA.Data!$E617, 0, ($F$2-1)*6 + 1),
_xlpm.int - _xlpm.ctrl)</f>
        <v>15755383.164429465</v>
      </c>
      <c r="L615" s="421">
        <f ca="1">_xlfn.LET(_xlpm.int, OFFSET(PSA.Data!$H617, 0, ($F$2-1)*6), _xlpm.ctrl, OFFSET(PSA.Data!$H617, 0, ($F$2-1)*6 + 1),
_xlpm.int - _xlpm.ctrl)</f>
        <v>-5577.3635209741205</v>
      </c>
      <c r="M615" s="134">
        <f t="shared" ca="1" si="20"/>
        <v>-6365.1326791955935</v>
      </c>
    </row>
    <row r="616" spans="11:13" ht="12" customHeight="1" x14ac:dyDescent="0.25">
      <c r="K616" s="90">
        <f ca="1">_xlfn.LET(_xlpm.int, OFFSET(PSA.Data!$E618, 0, ($F$2-1)*6), _xlpm.ctrl, OFFSET(PSA.Data!$E618, 0, ($F$2-1)*6 + 1),
_xlpm.int - _xlpm.ctrl)</f>
        <v>34120881.870060138</v>
      </c>
      <c r="L616" s="421">
        <f ca="1">_xlfn.LET(_xlpm.int, OFFSET(PSA.Data!$H618, 0, ($F$2-1)*6), _xlpm.ctrl, OFFSET(PSA.Data!$H618, 0, ($F$2-1)*6 + 1),
_xlpm.int - _xlpm.ctrl)</f>
        <v>-5412.4340433802008</v>
      </c>
      <c r="M616" s="134">
        <f t="shared" ca="1" si="20"/>
        <v>-7118.4781368832082</v>
      </c>
    </row>
    <row r="617" spans="11:13" ht="12" customHeight="1" x14ac:dyDescent="0.25">
      <c r="K617" s="90">
        <f ca="1">_xlfn.LET(_xlpm.int, OFFSET(PSA.Data!$E619, 0, ($F$2-1)*6), _xlpm.ctrl, OFFSET(PSA.Data!$E619, 0, ($F$2-1)*6 + 1),
_xlpm.int - _xlpm.ctrl)</f>
        <v>45668172.743827879</v>
      </c>
      <c r="L617" s="421">
        <f ca="1">_xlfn.LET(_xlpm.int, OFFSET(PSA.Data!$H619, 0, ($F$2-1)*6), _xlpm.ctrl, OFFSET(PSA.Data!$H619, 0, ($F$2-1)*6 + 1),
_xlpm.int - _xlpm.ctrl)</f>
        <v>-6834.2135262484389</v>
      </c>
      <c r="M617" s="134">
        <f t="shared" ca="1" si="20"/>
        <v>-9117.6221634398335</v>
      </c>
    </row>
    <row r="618" spans="11:13" ht="12" customHeight="1" x14ac:dyDescent="0.25">
      <c r="K618" s="90">
        <f ca="1">_xlfn.LET(_xlpm.int, OFFSET(PSA.Data!$E620, 0, ($F$2-1)*6), _xlpm.ctrl, OFFSET(PSA.Data!$E620, 0, ($F$2-1)*6 + 1),
_xlpm.int - _xlpm.ctrl)</f>
        <v>4535230.9490264356</v>
      </c>
      <c r="L618" s="421">
        <f ca="1">_xlfn.LET(_xlpm.int, OFFSET(PSA.Data!$H620, 0, ($F$2-1)*6), _xlpm.ctrl, OFFSET(PSA.Data!$H620, 0, ($F$2-1)*6 + 1),
_xlpm.int - _xlpm.ctrl)</f>
        <v>-3743.6991913721035</v>
      </c>
      <c r="M618" s="134">
        <f t="shared" ca="1" si="20"/>
        <v>-3970.4607388234253</v>
      </c>
    </row>
    <row r="619" spans="11:13" ht="12" customHeight="1" x14ac:dyDescent="0.25">
      <c r="K619" s="90">
        <f ca="1">_xlfn.LET(_xlpm.int, OFFSET(PSA.Data!$E621, 0, ($F$2-1)*6), _xlpm.ctrl, OFFSET(PSA.Data!$E621, 0, ($F$2-1)*6 + 1),
_xlpm.int - _xlpm.ctrl)</f>
        <v>37779310.88565772</v>
      </c>
      <c r="L619" s="421">
        <f ca="1">_xlfn.LET(_xlpm.int, OFFSET(PSA.Data!$H621, 0, ($F$2-1)*6), _xlpm.ctrl, OFFSET(PSA.Data!$H621, 0, ($F$2-1)*6 + 1),
_xlpm.int - _xlpm.ctrl)</f>
        <v>-5843.8813707290328</v>
      </c>
      <c r="M619" s="134">
        <f t="shared" ca="1" si="20"/>
        <v>-7732.846915011919</v>
      </c>
    </row>
    <row r="620" spans="11:13" ht="12" customHeight="1" x14ac:dyDescent="0.25">
      <c r="K620" s="90">
        <f ca="1">_xlfn.LET(_xlpm.int, OFFSET(PSA.Data!$E622, 0, ($F$2-1)*6), _xlpm.ctrl, OFFSET(PSA.Data!$E622, 0, ($F$2-1)*6 + 1),
_xlpm.int - _xlpm.ctrl)</f>
        <v>28885272.945974413</v>
      </c>
      <c r="L620" s="421">
        <f ca="1">_xlfn.LET(_xlpm.int, OFFSET(PSA.Data!$H622, 0, ($F$2-1)*6), _xlpm.ctrl, OFFSET(PSA.Data!$H622, 0, ($F$2-1)*6 + 1),
_xlpm.int - _xlpm.ctrl)</f>
        <v>-7129.5227666466662</v>
      </c>
      <c r="M620" s="134">
        <f t="shared" ca="1" si="20"/>
        <v>-8573.7864139453868</v>
      </c>
    </row>
    <row r="621" spans="11:13" ht="12" customHeight="1" x14ac:dyDescent="0.25">
      <c r="K621" s="90">
        <f ca="1">_xlfn.LET(_xlpm.int, OFFSET(PSA.Data!$E623, 0, ($F$2-1)*6), _xlpm.ctrl, OFFSET(PSA.Data!$E623, 0, ($F$2-1)*6 + 1),
_xlpm.int - _xlpm.ctrl)</f>
        <v>56985028.924653456</v>
      </c>
      <c r="L621" s="421">
        <f ca="1">_xlfn.LET(_xlpm.int, OFFSET(PSA.Data!$H623, 0, ($F$2-1)*6), _xlpm.ctrl, OFFSET(PSA.Data!$H623, 0, ($F$2-1)*6 + 1),
_xlpm.int - _xlpm.ctrl)</f>
        <v>-6268.2003605383525</v>
      </c>
      <c r="M621" s="134">
        <f t="shared" ca="1" si="20"/>
        <v>-9117.4518067710251</v>
      </c>
    </row>
    <row r="622" spans="11:13" ht="12" customHeight="1" x14ac:dyDescent="0.25">
      <c r="K622" s="90">
        <f ca="1">_xlfn.LET(_xlpm.int, OFFSET(PSA.Data!$E624, 0, ($F$2-1)*6), _xlpm.ctrl, OFFSET(PSA.Data!$E624, 0, ($F$2-1)*6 + 1),
_xlpm.int - _xlpm.ctrl)</f>
        <v>26021256.476137366</v>
      </c>
      <c r="L622" s="421">
        <f ca="1">_xlfn.LET(_xlpm.int, OFFSET(PSA.Data!$H624, 0, ($F$2-1)*6), _xlpm.ctrl, OFFSET(PSA.Data!$H624, 0, ($F$2-1)*6 + 1),
_xlpm.int - _xlpm.ctrl)</f>
        <v>-6772.6820129477001</v>
      </c>
      <c r="M622" s="134">
        <f t="shared" ca="1" si="20"/>
        <v>-8073.7448367545685</v>
      </c>
    </row>
    <row r="623" spans="11:13" ht="12" customHeight="1" x14ac:dyDescent="0.25">
      <c r="K623" s="90">
        <f ca="1">_xlfn.LET(_xlpm.int, OFFSET(PSA.Data!$E625, 0, ($F$2-1)*6), _xlpm.ctrl, OFFSET(PSA.Data!$E625, 0, ($F$2-1)*6 + 1),
_xlpm.int - _xlpm.ctrl)</f>
        <v>31781278.359726746</v>
      </c>
      <c r="L623" s="421">
        <f ca="1">_xlfn.LET(_xlpm.int, OFFSET(PSA.Data!$H625, 0, ($F$2-1)*6), _xlpm.ctrl, OFFSET(PSA.Data!$H625, 0, ($F$2-1)*6 + 1),
_xlpm.int - _xlpm.ctrl)</f>
        <v>-5320.0739428860416</v>
      </c>
      <c r="M623" s="134">
        <f t="shared" ca="1" si="20"/>
        <v>-6909.137860872379</v>
      </c>
    </row>
    <row r="624" spans="11:13" ht="12" customHeight="1" x14ac:dyDescent="0.25">
      <c r="K624" s="90">
        <f ca="1">_xlfn.LET(_xlpm.int, OFFSET(PSA.Data!$E626, 0, ($F$2-1)*6), _xlpm.ctrl, OFFSET(PSA.Data!$E626, 0, ($F$2-1)*6 + 1),
_xlpm.int - _xlpm.ctrl)</f>
        <v>73776383.616014004</v>
      </c>
      <c r="L624" s="421">
        <f ca="1">_xlfn.LET(_xlpm.int, OFFSET(PSA.Data!$H626, 0, ($F$2-1)*6), _xlpm.ctrl, OFFSET(PSA.Data!$H626, 0, ($F$2-1)*6 + 1),
_xlpm.int - _xlpm.ctrl)</f>
        <v>-8191.9724223470275</v>
      </c>
      <c r="M624" s="134">
        <f t="shared" ca="1" si="20"/>
        <v>-11880.791603147727</v>
      </c>
    </row>
    <row r="625" spans="11:13" ht="12" customHeight="1" x14ac:dyDescent="0.25">
      <c r="K625" s="90">
        <f ca="1">_xlfn.LET(_xlpm.int, OFFSET(PSA.Data!$E627, 0, ($F$2-1)*6), _xlpm.ctrl, OFFSET(PSA.Data!$E627, 0, ($F$2-1)*6 + 1),
_xlpm.int - _xlpm.ctrl)</f>
        <v>28325270.365305535</v>
      </c>
      <c r="L625" s="421">
        <f ca="1">_xlfn.LET(_xlpm.int, OFFSET(PSA.Data!$H627, 0, ($F$2-1)*6), _xlpm.ctrl, OFFSET(PSA.Data!$H627, 0, ($F$2-1)*6 + 1),
_xlpm.int - _xlpm.ctrl)</f>
        <v>-5980.8058141702386</v>
      </c>
      <c r="M625" s="134">
        <f t="shared" ca="1" si="20"/>
        <v>-7397.0693324355152</v>
      </c>
    </row>
    <row r="626" spans="11:13" ht="12" customHeight="1" x14ac:dyDescent="0.25">
      <c r="K626" s="90">
        <f ca="1">_xlfn.LET(_xlpm.int, OFFSET(PSA.Data!$E628, 0, ($F$2-1)*6), _xlpm.ctrl, OFFSET(PSA.Data!$E628, 0, ($F$2-1)*6 + 1),
_xlpm.int - _xlpm.ctrl)</f>
        <v>32136672.614822034</v>
      </c>
      <c r="L626" s="421">
        <f ca="1">_xlfn.LET(_xlpm.int, OFFSET(PSA.Data!$H628, 0, ($F$2-1)*6), _xlpm.ctrl, OFFSET(PSA.Data!$H628, 0, ($F$2-1)*6 + 1),
_xlpm.int - _xlpm.ctrl)</f>
        <v>-4975.7654919824527</v>
      </c>
      <c r="M626" s="134">
        <f t="shared" ca="1" si="20"/>
        <v>-6582.5991227235545</v>
      </c>
    </row>
    <row r="627" spans="11:13" ht="12" customHeight="1" x14ac:dyDescent="0.25">
      <c r="K627" s="90">
        <f ca="1">_xlfn.LET(_xlpm.int, OFFSET(PSA.Data!$E629, 0, ($F$2-1)*6), _xlpm.ctrl, OFFSET(PSA.Data!$E629, 0, ($F$2-1)*6 + 1),
_xlpm.int - _xlpm.ctrl)</f>
        <v>15207684.645588027</v>
      </c>
      <c r="L627" s="421">
        <f ca="1">_xlfn.LET(_xlpm.int, OFFSET(PSA.Data!$H629, 0, ($F$2-1)*6), _xlpm.ctrl, OFFSET(PSA.Data!$H629, 0, ($F$2-1)*6 + 1),
_xlpm.int - _xlpm.ctrl)</f>
        <v>-4655.2542111371076</v>
      </c>
      <c r="M627" s="134">
        <f t="shared" ca="1" si="20"/>
        <v>-5415.6384434165093</v>
      </c>
    </row>
    <row r="628" spans="11:13" ht="12" customHeight="1" x14ac:dyDescent="0.25">
      <c r="K628" s="90">
        <f ca="1">_xlfn.LET(_xlpm.int, OFFSET(PSA.Data!$E630, 0, ($F$2-1)*6), _xlpm.ctrl, OFFSET(PSA.Data!$E630, 0, ($F$2-1)*6 + 1),
_xlpm.int - _xlpm.ctrl)</f>
        <v>29853828.649822954</v>
      </c>
      <c r="L628" s="421">
        <f ca="1">_xlfn.LET(_xlpm.int, OFFSET(PSA.Data!$H630, 0, ($F$2-1)*6), _xlpm.ctrl, OFFSET(PSA.Data!$H630, 0, ($F$2-1)*6 + 1),
_xlpm.int - _xlpm.ctrl)</f>
        <v>-5649.3605651106946</v>
      </c>
      <c r="M628" s="134">
        <f t="shared" ca="1" si="20"/>
        <v>-7142.0519976018422</v>
      </c>
    </row>
    <row r="629" spans="11:13" ht="12" customHeight="1" x14ac:dyDescent="0.25">
      <c r="K629" s="90">
        <f ca="1">_xlfn.LET(_xlpm.int, OFFSET(PSA.Data!$E631, 0, ($F$2-1)*6), _xlpm.ctrl, OFFSET(PSA.Data!$E631, 0, ($F$2-1)*6 + 1),
_xlpm.int - _xlpm.ctrl)</f>
        <v>13470910.118196482</v>
      </c>
      <c r="L629" s="421">
        <f ca="1">_xlfn.LET(_xlpm.int, OFFSET(PSA.Data!$H631, 0, ($F$2-1)*6), _xlpm.ctrl, OFFSET(PSA.Data!$H631, 0, ($F$2-1)*6 + 1),
_xlpm.int - _xlpm.ctrl)</f>
        <v>-4395.134832750533</v>
      </c>
      <c r="M629" s="134">
        <f t="shared" ca="1" si="20"/>
        <v>-5068.6803386603569</v>
      </c>
    </row>
    <row r="630" spans="11:13" ht="12" customHeight="1" x14ac:dyDescent="0.25">
      <c r="K630" s="90">
        <f ca="1">_xlfn.LET(_xlpm.int, OFFSET(PSA.Data!$E632, 0, ($F$2-1)*6), _xlpm.ctrl, OFFSET(PSA.Data!$E632, 0, ($F$2-1)*6 + 1),
_xlpm.int - _xlpm.ctrl)</f>
        <v>22621003.709977351</v>
      </c>
      <c r="L630" s="421">
        <f ca="1">_xlfn.LET(_xlpm.int, OFFSET(PSA.Data!$H632, 0, ($F$2-1)*6), _xlpm.ctrl, OFFSET(PSA.Data!$H632, 0, ($F$2-1)*6 + 1),
_xlpm.int - _xlpm.ctrl)</f>
        <v>-5234.6345655747555</v>
      </c>
      <c r="M630" s="134">
        <f t="shared" ca="1" si="20"/>
        <v>-6365.6847510736225</v>
      </c>
    </row>
    <row r="631" spans="11:13" ht="12" customHeight="1" x14ac:dyDescent="0.25">
      <c r="K631" s="90">
        <f ca="1">_xlfn.LET(_xlpm.int, OFFSET(PSA.Data!$E633, 0, ($F$2-1)*6), _xlpm.ctrl, OFFSET(PSA.Data!$E633, 0, ($F$2-1)*6 + 1),
_xlpm.int - _xlpm.ctrl)</f>
        <v>24544228.683489971</v>
      </c>
      <c r="L631" s="421">
        <f ca="1">_xlfn.LET(_xlpm.int, OFFSET(PSA.Data!$H633, 0, ($F$2-1)*6), _xlpm.ctrl, OFFSET(PSA.Data!$H633, 0, ($F$2-1)*6 + 1),
_xlpm.int - _xlpm.ctrl)</f>
        <v>-6966.3872714904282</v>
      </c>
      <c r="M631" s="134">
        <f t="shared" ca="1" si="20"/>
        <v>-8193.5987056649265</v>
      </c>
    </row>
    <row r="632" spans="11:13" ht="12" customHeight="1" x14ac:dyDescent="0.25">
      <c r="K632" s="90">
        <f ca="1">_xlfn.LET(_xlpm.int, OFFSET(PSA.Data!$E634, 0, ($F$2-1)*6), _xlpm.ctrl, OFFSET(PSA.Data!$E634, 0, ($F$2-1)*6 + 1),
_xlpm.int - _xlpm.ctrl)</f>
        <v>26851964.280830253</v>
      </c>
      <c r="L632" s="421">
        <f ca="1">_xlfn.LET(_xlpm.int, OFFSET(PSA.Data!$H634, 0, ($F$2-1)*6), _xlpm.ctrl, OFFSET(PSA.Data!$H634, 0, ($F$2-1)*6 + 1),
_xlpm.int - _xlpm.ctrl)</f>
        <v>-5924.0221437625169</v>
      </c>
      <c r="M632" s="134">
        <f t="shared" ca="1" si="20"/>
        <v>-7266.6203578040295</v>
      </c>
    </row>
    <row r="633" spans="11:13" ht="12" customHeight="1" x14ac:dyDescent="0.25">
      <c r="K633" s="90">
        <f ca="1">_xlfn.LET(_xlpm.int, OFFSET(PSA.Data!$E635, 0, ($F$2-1)*6), _xlpm.ctrl, OFFSET(PSA.Data!$E635, 0, ($F$2-1)*6 + 1),
_xlpm.int - _xlpm.ctrl)</f>
        <v>12508771.521732885</v>
      </c>
      <c r="L633" s="421">
        <f ca="1">_xlfn.LET(_xlpm.int, OFFSET(PSA.Data!$H635, 0, ($F$2-1)*6), _xlpm.ctrl, OFFSET(PSA.Data!$H635, 0, ($F$2-1)*6 + 1),
_xlpm.int - _xlpm.ctrl)</f>
        <v>-5005.2627101797007</v>
      </c>
      <c r="M633" s="134">
        <f t="shared" ca="1" si="20"/>
        <v>-5630.7012862663451</v>
      </c>
    </row>
    <row r="634" spans="11:13" ht="12" customHeight="1" x14ac:dyDescent="0.25">
      <c r="K634" s="90">
        <f ca="1">_xlfn.LET(_xlpm.int, OFFSET(PSA.Data!$E636, 0, ($F$2-1)*6), _xlpm.ctrl, OFFSET(PSA.Data!$E636, 0, ($F$2-1)*6 + 1),
_xlpm.int - _xlpm.ctrl)</f>
        <v>24931528.286860444</v>
      </c>
      <c r="L634" s="421">
        <f ca="1">_xlfn.LET(_xlpm.int, OFFSET(PSA.Data!$H636, 0, ($F$2-1)*6), _xlpm.ctrl, OFFSET(PSA.Data!$H636, 0, ($F$2-1)*6 + 1),
_xlpm.int - _xlpm.ctrl)</f>
        <v>-5892.472547532243</v>
      </c>
      <c r="M634" s="134">
        <f t="shared" ca="1" si="20"/>
        <v>-7139.0489618752654</v>
      </c>
    </row>
    <row r="635" spans="11:13" ht="12" customHeight="1" x14ac:dyDescent="0.25">
      <c r="K635" s="90">
        <f ca="1">_xlfn.LET(_xlpm.int, OFFSET(PSA.Data!$E637, 0, ($F$2-1)*6), _xlpm.ctrl, OFFSET(PSA.Data!$E637, 0, ($F$2-1)*6 + 1),
_xlpm.int - _xlpm.ctrl)</f>
        <v>21094623.913182925</v>
      </c>
      <c r="L635" s="421">
        <f ca="1">_xlfn.LET(_xlpm.int, OFFSET(PSA.Data!$H637, 0, ($F$2-1)*6), _xlpm.ctrl, OFFSET(PSA.Data!$H637, 0, ($F$2-1)*6 + 1),
_xlpm.int - _xlpm.ctrl)</f>
        <v>-6091.1274554183547</v>
      </c>
      <c r="M635" s="134">
        <f t="shared" ca="1" si="20"/>
        <v>-7145.8586510775012</v>
      </c>
    </row>
    <row r="636" spans="11:13" ht="12" customHeight="1" x14ac:dyDescent="0.25">
      <c r="K636" s="90">
        <f ca="1">_xlfn.LET(_xlpm.int, OFFSET(PSA.Data!$E638, 0, ($F$2-1)*6), _xlpm.ctrl, OFFSET(PSA.Data!$E638, 0, ($F$2-1)*6 + 1),
_xlpm.int - _xlpm.ctrl)</f>
        <v>36977971.150888219</v>
      </c>
      <c r="L636" s="421">
        <f ca="1">_xlfn.LET(_xlpm.int, OFFSET(PSA.Data!$H638, 0, ($F$2-1)*6), _xlpm.ctrl, OFFSET(PSA.Data!$H638, 0, ($F$2-1)*6 + 1),
_xlpm.int - _xlpm.ctrl)</f>
        <v>-7010.2100159653892</v>
      </c>
      <c r="M636" s="134">
        <f t="shared" ca="1" si="20"/>
        <v>-8859.1085735098004</v>
      </c>
    </row>
    <row r="637" spans="11:13" ht="12" customHeight="1" x14ac:dyDescent="0.25">
      <c r="K637" s="90">
        <f ca="1">_xlfn.LET(_xlpm.int, OFFSET(PSA.Data!$E639, 0, ($F$2-1)*6), _xlpm.ctrl, OFFSET(PSA.Data!$E639, 0, ($F$2-1)*6 + 1),
_xlpm.int - _xlpm.ctrl)</f>
        <v>30800343.949735668</v>
      </c>
      <c r="L637" s="421">
        <f ca="1">_xlfn.LET(_xlpm.int, OFFSET(PSA.Data!$H639, 0, ($F$2-1)*6), _xlpm.ctrl, OFFSET(PSA.Data!$H639, 0, ($F$2-1)*6 + 1),
_xlpm.int - _xlpm.ctrl)</f>
        <v>-6354.457636573663</v>
      </c>
      <c r="M637" s="134">
        <f t="shared" ca="1" si="20"/>
        <v>-7894.4748340604465</v>
      </c>
    </row>
    <row r="638" spans="11:13" ht="12" customHeight="1" x14ac:dyDescent="0.25">
      <c r="K638" s="90">
        <f ca="1">_xlfn.LET(_xlpm.int, OFFSET(PSA.Data!$E640, 0, ($F$2-1)*6), _xlpm.ctrl, OFFSET(PSA.Data!$E640, 0, ($F$2-1)*6 + 1),
_xlpm.int - _xlpm.ctrl)</f>
        <v>19810557.671458393</v>
      </c>
      <c r="L638" s="421">
        <f ca="1">_xlfn.LET(_xlpm.int, OFFSET(PSA.Data!$H640, 0, ($F$2-1)*6), _xlpm.ctrl, OFFSET(PSA.Data!$H640, 0, ($F$2-1)*6 + 1),
_xlpm.int - _xlpm.ctrl)</f>
        <v>-4299.210805881029</v>
      </c>
      <c r="M638" s="134">
        <f t="shared" ca="1" si="20"/>
        <v>-5289.7386894539486</v>
      </c>
    </row>
    <row r="639" spans="11:13" ht="12" customHeight="1" x14ac:dyDescent="0.25">
      <c r="K639" s="90">
        <f ca="1">_xlfn.LET(_xlpm.int, OFFSET(PSA.Data!$E641, 0, ($F$2-1)*6), _xlpm.ctrl, OFFSET(PSA.Data!$E641, 0, ($F$2-1)*6 + 1),
_xlpm.int - _xlpm.ctrl)</f>
        <v>40120576.196406774</v>
      </c>
      <c r="L639" s="421">
        <f ca="1">_xlfn.LET(_xlpm.int, OFFSET(PSA.Data!$H641, 0, ($F$2-1)*6), _xlpm.ctrl, OFFSET(PSA.Data!$H641, 0, ($F$2-1)*6 + 1),
_xlpm.int - _xlpm.ctrl)</f>
        <v>-7472.0768881066242</v>
      </c>
      <c r="M639" s="134">
        <f t="shared" ca="1" si="20"/>
        <v>-9478.1056979269633</v>
      </c>
    </row>
    <row r="640" spans="11:13" ht="12" customHeight="1" x14ac:dyDescent="0.25">
      <c r="K640" s="90">
        <f ca="1">_xlfn.LET(_xlpm.int, OFFSET(PSA.Data!$E642, 0, ($F$2-1)*6), _xlpm.ctrl, OFFSET(PSA.Data!$E642, 0, ($F$2-1)*6 + 1),
_xlpm.int - _xlpm.ctrl)</f>
        <v>41731337.87496601</v>
      </c>
      <c r="L640" s="421">
        <f ca="1">_xlfn.LET(_xlpm.int, OFFSET(PSA.Data!$H642, 0, ($F$2-1)*6), _xlpm.ctrl, OFFSET(PSA.Data!$H642, 0, ($F$2-1)*6 + 1),
_xlpm.int - _xlpm.ctrl)</f>
        <v>-8284.1576614291353</v>
      </c>
      <c r="M640" s="134">
        <f t="shared" ca="1" si="20"/>
        <v>-10370.724555177436</v>
      </c>
    </row>
    <row r="641" spans="11:13" ht="12" customHeight="1" x14ac:dyDescent="0.25">
      <c r="K641" s="90">
        <f ca="1">_xlfn.LET(_xlpm.int, OFFSET(PSA.Data!$E643, 0, ($F$2-1)*6), _xlpm.ctrl, OFFSET(PSA.Data!$E643, 0, ($F$2-1)*6 + 1),
_xlpm.int - _xlpm.ctrl)</f>
        <v>33004950.962903108</v>
      </c>
      <c r="L641" s="421">
        <f ca="1">_xlfn.LET(_xlpm.int, OFFSET(PSA.Data!$H643, 0, ($F$2-1)*6), _xlpm.ctrl, OFFSET(PSA.Data!$H643, 0, ($F$2-1)*6 + 1),
_xlpm.int - _xlpm.ctrl)</f>
        <v>-6954.4764112448893</v>
      </c>
      <c r="M641" s="134">
        <f t="shared" ca="1" si="20"/>
        <v>-8604.7239593900449</v>
      </c>
    </row>
    <row r="642" spans="11:13" ht="12" customHeight="1" x14ac:dyDescent="0.25">
      <c r="K642" s="90">
        <f ca="1">_xlfn.LET(_xlpm.int, OFFSET(PSA.Data!$E644, 0, ($F$2-1)*6), _xlpm.ctrl, OFFSET(PSA.Data!$E644, 0, ($F$2-1)*6 + 1),
_xlpm.int - _xlpm.ctrl)</f>
        <v>12709500.472504754</v>
      </c>
      <c r="L642" s="421">
        <f ca="1">_xlfn.LET(_xlpm.int, OFFSET(PSA.Data!$H644, 0, ($F$2-1)*6), _xlpm.ctrl, OFFSET(PSA.Data!$H644, 0, ($F$2-1)*6 + 1),
_xlpm.int - _xlpm.ctrl)</f>
        <v>-4849.3254580950797</v>
      </c>
      <c r="M642" s="134">
        <f t="shared" ca="1" si="20"/>
        <v>-5484.8004817203173</v>
      </c>
    </row>
    <row r="643" spans="11:13" ht="12" customHeight="1" x14ac:dyDescent="0.25">
      <c r="K643" s="90">
        <f ca="1">_xlfn.LET(_xlpm.int, OFFSET(PSA.Data!$E645, 0, ($F$2-1)*6), _xlpm.ctrl, OFFSET(PSA.Data!$E645, 0, ($F$2-1)*6 + 1),
_xlpm.int - _xlpm.ctrl)</f>
        <v>31355192.41790539</v>
      </c>
      <c r="L643" s="421">
        <f ca="1">_xlfn.LET(_xlpm.int, OFFSET(PSA.Data!$H645, 0, ($F$2-1)*6), _xlpm.ctrl, OFFSET(PSA.Data!$H645, 0, ($F$2-1)*6 + 1),
_xlpm.int - _xlpm.ctrl)</f>
        <v>-6316.9040017727475</v>
      </c>
      <c r="M643" s="134">
        <f t="shared" ca="1" si="20"/>
        <v>-7884.6636226680166</v>
      </c>
    </row>
    <row r="644" spans="11:13" ht="12" customHeight="1" x14ac:dyDescent="0.25">
      <c r="K644" s="90">
        <f ca="1">_xlfn.LET(_xlpm.int, OFFSET(PSA.Data!$E646, 0, ($F$2-1)*6), _xlpm.ctrl, OFFSET(PSA.Data!$E646, 0, ($F$2-1)*6 + 1),
_xlpm.int - _xlpm.ctrl)</f>
        <v>27861877.59043901</v>
      </c>
      <c r="L644" s="421">
        <f ca="1">_xlfn.LET(_xlpm.int, OFFSET(PSA.Data!$H646, 0, ($F$2-1)*6), _xlpm.ctrl, OFFSET(PSA.Data!$H646, 0, ($F$2-1)*6 + 1),
_xlpm.int - _xlpm.ctrl)</f>
        <v>-6099.9433086442077</v>
      </c>
      <c r="M644" s="134">
        <f t="shared" ca="1" si="20"/>
        <v>-7493.0371881661586</v>
      </c>
    </row>
    <row r="645" spans="11:13" ht="12" customHeight="1" x14ac:dyDescent="0.25">
      <c r="K645" s="90">
        <f ca="1">_xlfn.LET(_xlpm.int, OFFSET(PSA.Data!$E647, 0, ($F$2-1)*6), _xlpm.ctrl, OFFSET(PSA.Data!$E647, 0, ($F$2-1)*6 + 1),
_xlpm.int - _xlpm.ctrl)</f>
        <v>16726066.59965843</v>
      </c>
      <c r="L645" s="421">
        <f ca="1">_xlfn.LET(_xlpm.int, OFFSET(PSA.Data!$H647, 0, ($F$2-1)*6), _xlpm.ctrl, OFFSET(PSA.Data!$H647, 0, ($F$2-1)*6 + 1),
_xlpm.int - _xlpm.ctrl)</f>
        <v>-5419.6739905725553</v>
      </c>
      <c r="M645" s="134">
        <f t="shared" ca="1" si="20"/>
        <v>-6255.9773205554766</v>
      </c>
    </row>
    <row r="646" spans="11:13" ht="12" customHeight="1" x14ac:dyDescent="0.25">
      <c r="K646" s="90">
        <f ca="1">_xlfn.LET(_xlpm.int, OFFSET(PSA.Data!$E648, 0, ($F$2-1)*6), _xlpm.ctrl, OFFSET(PSA.Data!$E648, 0, ($F$2-1)*6 + 1),
_xlpm.int - _xlpm.ctrl)</f>
        <v>48254194.801860437</v>
      </c>
      <c r="L646" s="421">
        <f ca="1">_xlfn.LET(_xlpm.int, OFFSET(PSA.Data!$H648, 0, ($F$2-1)*6), _xlpm.ctrl, OFFSET(PSA.Data!$H648, 0, ($F$2-1)*6 + 1),
_xlpm.int - _xlpm.ctrl)</f>
        <v>-6489.3118937758009</v>
      </c>
      <c r="M646" s="134">
        <f t="shared" ca="1" si="20"/>
        <v>-8902.0216338688224</v>
      </c>
    </row>
    <row r="647" spans="11:13" ht="12" customHeight="1" x14ac:dyDescent="0.25">
      <c r="K647" s="90">
        <f ca="1">_xlfn.LET(_xlpm.int, OFFSET(PSA.Data!$E649, 0, ($F$2-1)*6), _xlpm.ctrl, OFFSET(PSA.Data!$E649, 0, ($F$2-1)*6 + 1),
_xlpm.int - _xlpm.ctrl)</f>
        <v>37097818.598243117</v>
      </c>
      <c r="L647" s="421">
        <f ca="1">_xlfn.LET(_xlpm.int, OFFSET(PSA.Data!$H649, 0, ($F$2-1)*6), _xlpm.ctrl, OFFSET(PSA.Data!$H649, 0, ($F$2-1)*6 + 1),
_xlpm.int - _xlpm.ctrl)</f>
        <v>-7895.033217185648</v>
      </c>
      <c r="M647" s="134">
        <f t="shared" ca="1" si="20"/>
        <v>-9749.9241470978031</v>
      </c>
    </row>
    <row r="648" spans="11:13" ht="12" customHeight="1" x14ac:dyDescent="0.25">
      <c r="K648" s="90">
        <f ca="1">_xlfn.LET(_xlpm.int, OFFSET(PSA.Data!$E650, 0, ($F$2-1)*6), _xlpm.ctrl, OFFSET(PSA.Data!$E650, 0, ($F$2-1)*6 + 1),
_xlpm.int - _xlpm.ctrl)</f>
        <v>23495966.329370562</v>
      </c>
      <c r="L648" s="421">
        <f ca="1">_xlfn.LET(_xlpm.int, OFFSET(PSA.Data!$H650, 0, ($F$2-1)*6), _xlpm.ctrl, OFFSET(PSA.Data!$H650, 0, ($F$2-1)*6 + 1),
_xlpm.int - _xlpm.ctrl)</f>
        <v>-5596.9767887281359</v>
      </c>
      <c r="M648" s="134">
        <f t="shared" ca="1" si="20"/>
        <v>-6771.7751051966643</v>
      </c>
    </row>
    <row r="649" spans="11:13" ht="12" customHeight="1" x14ac:dyDescent="0.25">
      <c r="K649" s="90">
        <f ca="1">_xlfn.LET(_xlpm.int, OFFSET(PSA.Data!$E651, 0, ($F$2-1)*6), _xlpm.ctrl, OFFSET(PSA.Data!$E651, 0, ($F$2-1)*6 + 1),
_xlpm.int - _xlpm.ctrl)</f>
        <v>40057633.452678882</v>
      </c>
      <c r="L649" s="421">
        <f ca="1">_xlfn.LET(_xlpm.int, OFFSET(PSA.Data!$H651, 0, ($F$2-1)*6), _xlpm.ctrl, OFFSET(PSA.Data!$H651, 0, ($F$2-1)*6 + 1),
_xlpm.int - _xlpm.ctrl)</f>
        <v>-5804.6385747614786</v>
      </c>
      <c r="M649" s="134">
        <f t="shared" ca="1" si="20"/>
        <v>-7807.5202473954232</v>
      </c>
    </row>
    <row r="650" spans="11:13" ht="12" customHeight="1" x14ac:dyDescent="0.25">
      <c r="K650" s="90">
        <f ca="1">_xlfn.LET(_xlpm.int, OFFSET(PSA.Data!$E652, 0, ($F$2-1)*6), _xlpm.ctrl, OFFSET(PSA.Data!$E652, 0, ($F$2-1)*6 + 1),
_xlpm.int - _xlpm.ctrl)</f>
        <v>30963112.654251046</v>
      </c>
      <c r="L650" s="421">
        <f ca="1">_xlfn.LET(_xlpm.int, OFFSET(PSA.Data!$H652, 0, ($F$2-1)*6), _xlpm.ctrl, OFFSET(PSA.Data!$H652, 0, ($F$2-1)*6 + 1),
_xlpm.int - _xlpm.ctrl)</f>
        <v>-5471.9895658924797</v>
      </c>
      <c r="M650" s="134">
        <f t="shared" ca="1" si="20"/>
        <v>-7020.1451986050324</v>
      </c>
    </row>
    <row r="651" spans="11:13" ht="12" customHeight="1" x14ac:dyDescent="0.25">
      <c r="K651" s="90">
        <f ca="1">_xlfn.LET(_xlpm.int, OFFSET(PSA.Data!$E653, 0, ($F$2-1)*6), _xlpm.ctrl, OFFSET(PSA.Data!$E653, 0, ($F$2-1)*6 + 1),
_xlpm.int - _xlpm.ctrl)</f>
        <v>29008745.876360904</v>
      </c>
      <c r="L651" s="421">
        <f ca="1">_xlfn.LET(_xlpm.int, OFFSET(PSA.Data!$H653, 0, ($F$2-1)*6), _xlpm.ctrl, OFFSET(PSA.Data!$H653, 0, ($F$2-1)*6 + 1),
_xlpm.int - _xlpm.ctrl)</f>
        <v>-6740.338209912632</v>
      </c>
      <c r="M651" s="134">
        <f t="shared" ca="1" si="20"/>
        <v>-8190.775503730677</v>
      </c>
    </row>
    <row r="652" spans="11:13" ht="12" customHeight="1" x14ac:dyDescent="0.25">
      <c r="K652" s="90">
        <f ca="1">_xlfn.LET(_xlpm.int, OFFSET(PSA.Data!$E654, 0, ($F$2-1)*6), _xlpm.ctrl, OFFSET(PSA.Data!$E654, 0, ($F$2-1)*6 + 1),
_xlpm.int - _xlpm.ctrl)</f>
        <v>16266572.302116416</v>
      </c>
      <c r="L652" s="421">
        <f ca="1">_xlfn.LET(_xlpm.int, OFFSET(PSA.Data!$H654, 0, ($F$2-1)*6), _xlpm.ctrl, OFFSET(PSA.Data!$H654, 0, ($F$2-1)*6 + 1),
_xlpm.int - _xlpm.ctrl)</f>
        <v>-5518.1461214607525</v>
      </c>
      <c r="M652" s="134">
        <f t="shared" ca="1" si="20"/>
        <v>-6331.4747365665735</v>
      </c>
    </row>
    <row r="653" spans="11:13" ht="12" customHeight="1" x14ac:dyDescent="0.25">
      <c r="K653" s="90">
        <f ca="1">_xlfn.LET(_xlpm.int, OFFSET(PSA.Data!$E655, 0, ($F$2-1)*6), _xlpm.ctrl, OFFSET(PSA.Data!$E655, 0, ($F$2-1)*6 + 1),
_xlpm.int - _xlpm.ctrl)</f>
        <v>26868931.578859538</v>
      </c>
      <c r="L653" s="421">
        <f ca="1">_xlfn.LET(_xlpm.int, OFFSET(PSA.Data!$H655, 0, ($F$2-1)*6), _xlpm.ctrl, OFFSET(PSA.Data!$H655, 0, ($F$2-1)*6 + 1),
_xlpm.int - _xlpm.ctrl)</f>
        <v>-7120.0845762672507</v>
      </c>
      <c r="M653" s="134">
        <f t="shared" ca="1" si="20"/>
        <v>-8463.5311552102285</v>
      </c>
    </row>
    <row r="654" spans="11:13" ht="12" customHeight="1" x14ac:dyDescent="0.25">
      <c r="K654" s="90">
        <f ca="1">_xlfn.LET(_xlpm.int, OFFSET(PSA.Data!$E656, 0, ($F$2-1)*6), _xlpm.ctrl, OFFSET(PSA.Data!$E656, 0, ($F$2-1)*6 + 1),
_xlpm.int - _xlpm.ctrl)</f>
        <v>21895533.894132897</v>
      </c>
      <c r="L654" s="421">
        <f ca="1">_xlfn.LET(_xlpm.int, OFFSET(PSA.Data!$H656, 0, ($F$2-1)*6), _xlpm.ctrl, OFFSET(PSA.Data!$H656, 0, ($F$2-1)*6 + 1),
_xlpm.int - _xlpm.ctrl)</f>
        <v>-4812.2897932652395</v>
      </c>
      <c r="M654" s="134">
        <f t="shared" ca="1" si="20"/>
        <v>-5907.0664879718843</v>
      </c>
    </row>
    <row r="655" spans="11:13" ht="12" customHeight="1" x14ac:dyDescent="0.25">
      <c r="K655" s="90">
        <f ca="1">_xlfn.LET(_xlpm.int, OFFSET(PSA.Data!$E657, 0, ($F$2-1)*6), _xlpm.ctrl, OFFSET(PSA.Data!$E657, 0, ($F$2-1)*6 + 1),
_xlpm.int - _xlpm.ctrl)</f>
        <v>26071071.790451959</v>
      </c>
      <c r="L655" s="421">
        <f ca="1">_xlfn.LET(_xlpm.int, OFFSET(PSA.Data!$H657, 0, ($F$2-1)*6), _xlpm.ctrl, OFFSET(PSA.Data!$H657, 0, ($F$2-1)*6 + 1),
_xlpm.int - _xlpm.ctrl)</f>
        <v>-6898.7599017467119</v>
      </c>
      <c r="M655" s="134">
        <f t="shared" ca="1" si="20"/>
        <v>-8202.3134912693095</v>
      </c>
    </row>
    <row r="656" spans="11:13" ht="12" customHeight="1" x14ac:dyDescent="0.25">
      <c r="K656" s="90">
        <f ca="1">_xlfn.LET(_xlpm.int, OFFSET(PSA.Data!$E658, 0, ($F$2-1)*6), _xlpm.ctrl, OFFSET(PSA.Data!$E658, 0, ($F$2-1)*6 + 1),
_xlpm.int - _xlpm.ctrl)</f>
        <v>40352157.251503855</v>
      </c>
      <c r="L656" s="421">
        <f ca="1">_xlfn.LET(_xlpm.int, OFFSET(PSA.Data!$H658, 0, ($F$2-1)*6), _xlpm.ctrl, OFFSET(PSA.Data!$H658, 0, ($F$2-1)*6 + 1),
_xlpm.int - _xlpm.ctrl)</f>
        <v>-6475.9977505645347</v>
      </c>
      <c r="M656" s="134">
        <f t="shared" ref="M656:M719" ca="1" si="21">L656-K656/WTP</f>
        <v>-8493.6056131397272</v>
      </c>
    </row>
    <row r="657" spans="11:13" ht="12" customHeight="1" x14ac:dyDescent="0.25">
      <c r="K657" s="90">
        <f ca="1">_xlfn.LET(_xlpm.int, OFFSET(PSA.Data!$E659, 0, ($F$2-1)*6), _xlpm.ctrl, OFFSET(PSA.Data!$E659, 0, ($F$2-1)*6 + 1),
_xlpm.int - _xlpm.ctrl)</f>
        <v>28989710.331685074</v>
      </c>
      <c r="L657" s="421">
        <f ca="1">_xlfn.LET(_xlpm.int, OFFSET(PSA.Data!$H659, 0, ($F$2-1)*6), _xlpm.ctrl, OFFSET(PSA.Data!$H659, 0, ($F$2-1)*6 + 1),
_xlpm.int - _xlpm.ctrl)</f>
        <v>-4689.1428166945443</v>
      </c>
      <c r="M657" s="134">
        <f t="shared" ca="1" si="21"/>
        <v>-6138.628333278798</v>
      </c>
    </row>
    <row r="658" spans="11:13" ht="12" customHeight="1" x14ac:dyDescent="0.25">
      <c r="K658" s="90">
        <f ca="1">_xlfn.LET(_xlpm.int, OFFSET(PSA.Data!$E660, 0, ($F$2-1)*6), _xlpm.ctrl, OFFSET(PSA.Data!$E660, 0, ($F$2-1)*6 + 1),
_xlpm.int - _xlpm.ctrl)</f>
        <v>34115029.335331462</v>
      </c>
      <c r="L658" s="421">
        <f ca="1">_xlfn.LET(_xlpm.int, OFFSET(PSA.Data!$H660, 0, ($F$2-1)*6), _xlpm.ctrl, OFFSET(PSA.Data!$H660, 0, ($F$2-1)*6 + 1),
_xlpm.int - _xlpm.ctrl)</f>
        <v>-6947.1377284284326</v>
      </c>
      <c r="M658" s="134">
        <f t="shared" ca="1" si="21"/>
        <v>-8652.8891951950063</v>
      </c>
    </row>
    <row r="659" spans="11:13" ht="12" customHeight="1" x14ac:dyDescent="0.25">
      <c r="K659" s="90">
        <f ca="1">_xlfn.LET(_xlpm.int, OFFSET(PSA.Data!$E661, 0, ($F$2-1)*6), _xlpm.ctrl, OFFSET(PSA.Data!$E661, 0, ($F$2-1)*6 + 1),
_xlpm.int - _xlpm.ctrl)</f>
        <v>52722540.965792038</v>
      </c>
      <c r="L659" s="421">
        <f ca="1">_xlfn.LET(_xlpm.int, OFFSET(PSA.Data!$H661, 0, ($F$2-1)*6), _xlpm.ctrl, OFFSET(PSA.Data!$H661, 0, ($F$2-1)*6 + 1),
_xlpm.int - _xlpm.ctrl)</f>
        <v>-8232.8725083278678</v>
      </c>
      <c r="M659" s="134">
        <f t="shared" ca="1" si="21"/>
        <v>-10868.999556617469</v>
      </c>
    </row>
    <row r="660" spans="11:13" ht="12" customHeight="1" x14ac:dyDescent="0.25">
      <c r="K660" s="90">
        <f ca="1">_xlfn.LET(_xlpm.int, OFFSET(PSA.Data!$E662, 0, ($F$2-1)*6), _xlpm.ctrl, OFFSET(PSA.Data!$E662, 0, ($F$2-1)*6 + 1),
_xlpm.int - _xlpm.ctrl)</f>
        <v>31525483.37715333</v>
      </c>
      <c r="L660" s="421">
        <f ca="1">_xlfn.LET(_xlpm.int, OFFSET(PSA.Data!$H662, 0, ($F$2-1)*6), _xlpm.ctrl, OFFSET(PSA.Data!$H662, 0, ($F$2-1)*6 + 1),
_xlpm.int - _xlpm.ctrl)</f>
        <v>-6717.3162659764239</v>
      </c>
      <c r="M660" s="134">
        <f t="shared" ca="1" si="21"/>
        <v>-8293.59043483409</v>
      </c>
    </row>
    <row r="661" spans="11:13" ht="12" customHeight="1" x14ac:dyDescent="0.25">
      <c r="K661" s="90">
        <f ca="1">_xlfn.LET(_xlpm.int, OFFSET(PSA.Data!$E663, 0, ($F$2-1)*6), _xlpm.ctrl, OFFSET(PSA.Data!$E663, 0, ($F$2-1)*6 + 1),
_xlpm.int - _xlpm.ctrl)</f>
        <v>43517565.470401473</v>
      </c>
      <c r="L661" s="421">
        <f ca="1">_xlfn.LET(_xlpm.int, OFFSET(PSA.Data!$H663, 0, ($F$2-1)*6), _xlpm.ctrl, OFFSET(PSA.Data!$H663, 0, ($F$2-1)*6 + 1),
_xlpm.int - _xlpm.ctrl)</f>
        <v>-8076.2256241487357</v>
      </c>
      <c r="M661" s="134">
        <f t="shared" ca="1" si="21"/>
        <v>-10252.103897668811</v>
      </c>
    </row>
    <row r="662" spans="11:13" ht="12" customHeight="1" x14ac:dyDescent="0.25">
      <c r="K662" s="90">
        <f ca="1">_xlfn.LET(_xlpm.int, OFFSET(PSA.Data!$E664, 0, ($F$2-1)*6), _xlpm.ctrl, OFFSET(PSA.Data!$E664, 0, ($F$2-1)*6 + 1),
_xlpm.int - _xlpm.ctrl)</f>
        <v>29028288.724730574</v>
      </c>
      <c r="L662" s="421">
        <f ca="1">_xlfn.LET(_xlpm.int, OFFSET(PSA.Data!$H664, 0, ($F$2-1)*6), _xlpm.ctrl, OFFSET(PSA.Data!$H664, 0, ($F$2-1)*6 + 1),
_xlpm.int - _xlpm.ctrl)</f>
        <v>-7643.4541710908334</v>
      </c>
      <c r="M662" s="134">
        <f t="shared" ca="1" si="21"/>
        <v>-9094.868607327362</v>
      </c>
    </row>
    <row r="663" spans="11:13" ht="12" customHeight="1" x14ac:dyDescent="0.25">
      <c r="K663" s="90">
        <f ca="1">_xlfn.LET(_xlpm.int, OFFSET(PSA.Data!$E665, 0, ($F$2-1)*6), _xlpm.ctrl, OFFSET(PSA.Data!$E665, 0, ($F$2-1)*6 + 1),
_xlpm.int - _xlpm.ctrl)</f>
        <v>50852467.027077802</v>
      </c>
      <c r="L663" s="421">
        <f ca="1">_xlfn.LET(_xlpm.int, OFFSET(PSA.Data!$H665, 0, ($F$2-1)*6), _xlpm.ctrl, OFFSET(PSA.Data!$H665, 0, ($F$2-1)*6 + 1),
_xlpm.int - _xlpm.ctrl)</f>
        <v>-6057.6860710746241</v>
      </c>
      <c r="M663" s="134">
        <f t="shared" ca="1" si="21"/>
        <v>-8600.3094224285142</v>
      </c>
    </row>
    <row r="664" spans="11:13" ht="12" customHeight="1" x14ac:dyDescent="0.25">
      <c r="K664" s="90">
        <f ca="1">_xlfn.LET(_xlpm.int, OFFSET(PSA.Data!$E666, 0, ($F$2-1)*6), _xlpm.ctrl, OFFSET(PSA.Data!$E666, 0, ($F$2-1)*6 + 1),
_xlpm.int - _xlpm.ctrl)</f>
        <v>33856985.075041324</v>
      </c>
      <c r="L664" s="421">
        <f ca="1">_xlfn.LET(_xlpm.int, OFFSET(PSA.Data!$H666, 0, ($F$2-1)*6), _xlpm.ctrl, OFFSET(PSA.Data!$H666, 0, ($F$2-1)*6 + 1),
_xlpm.int - _xlpm.ctrl)</f>
        <v>-7067.40226246764</v>
      </c>
      <c r="M664" s="134">
        <f t="shared" ca="1" si="21"/>
        <v>-8760.2515162197069</v>
      </c>
    </row>
    <row r="665" spans="11:13" ht="12" customHeight="1" x14ac:dyDescent="0.25">
      <c r="K665" s="90">
        <f ca="1">_xlfn.LET(_xlpm.int, OFFSET(PSA.Data!$E667, 0, ($F$2-1)*6), _xlpm.ctrl, OFFSET(PSA.Data!$E667, 0, ($F$2-1)*6 + 1),
_xlpm.int - _xlpm.ctrl)</f>
        <v>22867553.038332354</v>
      </c>
      <c r="L665" s="421">
        <f ca="1">_xlfn.LET(_xlpm.int, OFFSET(PSA.Data!$H667, 0, ($F$2-1)*6), _xlpm.ctrl, OFFSET(PSA.Data!$H667, 0, ($F$2-1)*6 + 1),
_xlpm.int - _xlpm.ctrl)</f>
        <v>-5436.8665343703296</v>
      </c>
      <c r="M665" s="134">
        <f t="shared" ca="1" si="21"/>
        <v>-6580.2441862869473</v>
      </c>
    </row>
    <row r="666" spans="11:13" ht="12" customHeight="1" x14ac:dyDescent="0.25">
      <c r="K666" s="90">
        <f ca="1">_xlfn.LET(_xlpm.int, OFFSET(PSA.Data!$E668, 0, ($F$2-1)*6), _xlpm.ctrl, OFFSET(PSA.Data!$E668, 0, ($F$2-1)*6 + 1),
_xlpm.int - _xlpm.ctrl)</f>
        <v>40057256.673504539</v>
      </c>
      <c r="L666" s="421">
        <f ca="1">_xlfn.LET(_xlpm.int, OFFSET(PSA.Data!$H668, 0, ($F$2-1)*6), _xlpm.ctrl, OFFSET(PSA.Data!$H668, 0, ($F$2-1)*6 + 1),
_xlpm.int - _xlpm.ctrl)</f>
        <v>-7032.2666604077604</v>
      </c>
      <c r="M666" s="134">
        <f t="shared" ca="1" si="21"/>
        <v>-9035.1294940829866</v>
      </c>
    </row>
    <row r="667" spans="11:13" ht="12" customHeight="1" x14ac:dyDescent="0.25">
      <c r="K667" s="90">
        <f ca="1">_xlfn.LET(_xlpm.int, OFFSET(PSA.Data!$E669, 0, ($F$2-1)*6), _xlpm.ctrl, OFFSET(PSA.Data!$E669, 0, ($F$2-1)*6 + 1),
_xlpm.int - _xlpm.ctrl)</f>
        <v>31606993.226961628</v>
      </c>
      <c r="L667" s="421">
        <f ca="1">_xlfn.LET(_xlpm.int, OFFSET(PSA.Data!$H669, 0, ($F$2-1)*6), _xlpm.ctrl, OFFSET(PSA.Data!$H669, 0, ($F$2-1)*6 + 1),
_xlpm.int - _xlpm.ctrl)</f>
        <v>-5562.676986115267</v>
      </c>
      <c r="M667" s="134">
        <f t="shared" ca="1" si="21"/>
        <v>-7143.0266474633481</v>
      </c>
    </row>
    <row r="668" spans="11:13" ht="12" customHeight="1" x14ac:dyDescent="0.25">
      <c r="K668" s="90">
        <f ca="1">_xlfn.LET(_xlpm.int, OFFSET(PSA.Data!$E670, 0, ($F$2-1)*6), _xlpm.ctrl, OFFSET(PSA.Data!$E670, 0, ($F$2-1)*6 + 1),
_xlpm.int - _xlpm.ctrl)</f>
        <v>17980329.757619202</v>
      </c>
      <c r="L668" s="421">
        <f ca="1">_xlfn.LET(_xlpm.int, OFFSET(PSA.Data!$H670, 0, ($F$2-1)*6), _xlpm.ctrl, OFFSET(PSA.Data!$H670, 0, ($F$2-1)*6 + 1),
_xlpm.int - _xlpm.ctrl)</f>
        <v>-5281.72113961784</v>
      </c>
      <c r="M668" s="134">
        <f t="shared" ca="1" si="21"/>
        <v>-6180.7376274988001</v>
      </c>
    </row>
    <row r="669" spans="11:13" ht="12" customHeight="1" x14ac:dyDescent="0.25">
      <c r="K669" s="90">
        <f ca="1">_xlfn.LET(_xlpm.int, OFFSET(PSA.Data!$E671, 0, ($F$2-1)*6), _xlpm.ctrl, OFFSET(PSA.Data!$E671, 0, ($F$2-1)*6 + 1),
_xlpm.int - _xlpm.ctrl)</f>
        <v>57435685.906386659</v>
      </c>
      <c r="L669" s="421">
        <f ca="1">_xlfn.LET(_xlpm.int, OFFSET(PSA.Data!$H671, 0, ($F$2-1)*6), _xlpm.ctrl, OFFSET(PSA.Data!$H671, 0, ($F$2-1)*6 + 1),
_xlpm.int - _xlpm.ctrl)</f>
        <v>-8362.6632523983753</v>
      </c>
      <c r="M669" s="134">
        <f t="shared" ca="1" si="21"/>
        <v>-11234.447547717707</v>
      </c>
    </row>
    <row r="670" spans="11:13" ht="12" customHeight="1" x14ac:dyDescent="0.25">
      <c r="K670" s="90">
        <f ca="1">_xlfn.LET(_xlpm.int, OFFSET(PSA.Data!$E672, 0, ($F$2-1)*6), _xlpm.ctrl, OFFSET(PSA.Data!$E672, 0, ($F$2-1)*6 + 1),
_xlpm.int - _xlpm.ctrl)</f>
        <v>40376259.716072462</v>
      </c>
      <c r="L670" s="421">
        <f ca="1">_xlfn.LET(_xlpm.int, OFFSET(PSA.Data!$H672, 0, ($F$2-1)*6), _xlpm.ctrl, OFFSET(PSA.Data!$H672, 0, ($F$2-1)*6 + 1),
_xlpm.int - _xlpm.ctrl)</f>
        <v>-6134.0085345496673</v>
      </c>
      <c r="M670" s="134">
        <f t="shared" ca="1" si="21"/>
        <v>-8152.8215203532909</v>
      </c>
    </row>
    <row r="671" spans="11:13" ht="12" customHeight="1" x14ac:dyDescent="0.25">
      <c r="K671" s="90">
        <f ca="1">_xlfn.LET(_xlpm.int, OFFSET(PSA.Data!$E673, 0, ($F$2-1)*6), _xlpm.ctrl, OFFSET(PSA.Data!$E673, 0, ($F$2-1)*6 + 1),
_xlpm.int - _xlpm.ctrl)</f>
        <v>19952222.881888308</v>
      </c>
      <c r="L671" s="421">
        <f ca="1">_xlfn.LET(_xlpm.int, OFFSET(PSA.Data!$H673, 0, ($F$2-1)*6), _xlpm.ctrl, OFFSET(PSA.Data!$H673, 0, ($F$2-1)*6 + 1),
_xlpm.int - _xlpm.ctrl)</f>
        <v>-7357.2062741845684</v>
      </c>
      <c r="M671" s="134">
        <f t="shared" ca="1" si="21"/>
        <v>-8354.8174182789844</v>
      </c>
    </row>
    <row r="672" spans="11:13" ht="12" customHeight="1" x14ac:dyDescent="0.25">
      <c r="K672" s="90">
        <f ca="1">_xlfn.LET(_xlpm.int, OFFSET(PSA.Data!$E674, 0, ($F$2-1)*6), _xlpm.ctrl, OFFSET(PSA.Data!$E674, 0, ($F$2-1)*6 + 1),
_xlpm.int - _xlpm.ctrl)</f>
        <v>32019760.247751452</v>
      </c>
      <c r="L672" s="421">
        <f ca="1">_xlfn.LET(_xlpm.int, OFFSET(PSA.Data!$H674, 0, ($F$2-1)*6), _xlpm.ctrl, OFFSET(PSA.Data!$H674, 0, ($F$2-1)*6 + 1),
_xlpm.int - _xlpm.ctrl)</f>
        <v>-5569.9188773157875</v>
      </c>
      <c r="M672" s="134">
        <f t="shared" ca="1" si="21"/>
        <v>-7170.9068897033603</v>
      </c>
    </row>
    <row r="673" spans="11:13" ht="12" customHeight="1" x14ac:dyDescent="0.25">
      <c r="K673" s="90">
        <f ca="1">_xlfn.LET(_xlpm.int, OFFSET(PSA.Data!$E675, 0, ($F$2-1)*6), _xlpm.ctrl, OFFSET(PSA.Data!$E675, 0, ($F$2-1)*6 + 1),
_xlpm.int - _xlpm.ctrl)</f>
        <v>11203637.74202154</v>
      </c>
      <c r="L673" s="421">
        <f ca="1">_xlfn.LET(_xlpm.int, OFFSET(PSA.Data!$H675, 0, ($F$2-1)*6), _xlpm.ctrl, OFFSET(PSA.Data!$H675, 0, ($F$2-1)*6 + 1),
_xlpm.int - _xlpm.ctrl)</f>
        <v>-5443.8431699610301</v>
      </c>
      <c r="M673" s="134">
        <f t="shared" ca="1" si="21"/>
        <v>-6004.0250570621074</v>
      </c>
    </row>
    <row r="674" spans="11:13" ht="12" customHeight="1" x14ac:dyDescent="0.25">
      <c r="K674" s="90">
        <f ca="1">_xlfn.LET(_xlpm.int, OFFSET(PSA.Data!$E676, 0, ($F$2-1)*6), _xlpm.ctrl, OFFSET(PSA.Data!$E676, 0, ($F$2-1)*6 + 1),
_xlpm.int - _xlpm.ctrl)</f>
        <v>46792652.504172854</v>
      </c>
      <c r="L674" s="421">
        <f ca="1">_xlfn.LET(_xlpm.int, OFFSET(PSA.Data!$H676, 0, ($F$2-1)*6), _xlpm.ctrl, OFFSET(PSA.Data!$H676, 0, ($F$2-1)*6 + 1),
_xlpm.int - _xlpm.ctrl)</f>
        <v>-7751.350712156629</v>
      </c>
      <c r="M674" s="134">
        <f t="shared" ca="1" si="21"/>
        <v>-10090.983337365273</v>
      </c>
    </row>
    <row r="675" spans="11:13" ht="12" customHeight="1" x14ac:dyDescent="0.25">
      <c r="K675" s="90">
        <f ca="1">_xlfn.LET(_xlpm.int, OFFSET(PSA.Data!$E677, 0, ($F$2-1)*6), _xlpm.ctrl, OFFSET(PSA.Data!$E677, 0, ($F$2-1)*6 + 1),
_xlpm.int - _xlpm.ctrl)</f>
        <v>8328885.1060445243</v>
      </c>
      <c r="L675" s="421">
        <f ca="1">_xlfn.LET(_xlpm.int, OFFSET(PSA.Data!$H677, 0, ($F$2-1)*6), _xlpm.ctrl, OFFSET(PSA.Data!$H677, 0, ($F$2-1)*6 + 1),
_xlpm.int - _xlpm.ctrl)</f>
        <v>-4323.3874767065136</v>
      </c>
      <c r="M675" s="134">
        <f t="shared" ca="1" si="21"/>
        <v>-4739.8317320087399</v>
      </c>
    </row>
    <row r="676" spans="11:13" ht="12" customHeight="1" x14ac:dyDescent="0.25">
      <c r="K676" s="90">
        <f ca="1">_xlfn.LET(_xlpm.int, OFFSET(PSA.Data!$E678, 0, ($F$2-1)*6), _xlpm.ctrl, OFFSET(PSA.Data!$E678, 0, ($F$2-1)*6 + 1),
_xlpm.int - _xlpm.ctrl)</f>
        <v>33683469.962441891</v>
      </c>
      <c r="L676" s="421">
        <f ca="1">_xlfn.LET(_xlpm.int, OFFSET(PSA.Data!$H678, 0, ($F$2-1)*6), _xlpm.ctrl, OFFSET(PSA.Data!$H678, 0, ($F$2-1)*6 + 1),
_xlpm.int - _xlpm.ctrl)</f>
        <v>-5771.8324291212466</v>
      </c>
      <c r="M676" s="134">
        <f t="shared" ca="1" si="21"/>
        <v>-7456.0059272433409</v>
      </c>
    </row>
    <row r="677" spans="11:13" ht="12" customHeight="1" x14ac:dyDescent="0.25">
      <c r="K677" s="90">
        <f ca="1">_xlfn.LET(_xlpm.int, OFFSET(PSA.Data!$E679, 0, ($F$2-1)*6), _xlpm.ctrl, OFFSET(PSA.Data!$E679, 0, ($F$2-1)*6 + 1),
_xlpm.int - _xlpm.ctrl)</f>
        <v>55627642.592870496</v>
      </c>
      <c r="L677" s="421">
        <f ca="1">_xlfn.LET(_xlpm.int, OFFSET(PSA.Data!$H679, 0, ($F$2-1)*6), _xlpm.ctrl, OFFSET(PSA.Data!$H679, 0, ($F$2-1)*6 + 1),
_xlpm.int - _xlpm.ctrl)</f>
        <v>-9484.7084026361335</v>
      </c>
      <c r="M677" s="134">
        <f t="shared" ca="1" si="21"/>
        <v>-12266.090532279659</v>
      </c>
    </row>
    <row r="678" spans="11:13" ht="12" customHeight="1" x14ac:dyDescent="0.25">
      <c r="K678" s="90">
        <f ca="1">_xlfn.LET(_xlpm.int, OFFSET(PSA.Data!$E680, 0, ($F$2-1)*6), _xlpm.ctrl, OFFSET(PSA.Data!$E680, 0, ($F$2-1)*6 + 1),
_xlpm.int - _xlpm.ctrl)</f>
        <v>35893123.439146586</v>
      </c>
      <c r="L678" s="421">
        <f ca="1">_xlfn.LET(_xlpm.int, OFFSET(PSA.Data!$H680, 0, ($F$2-1)*6), _xlpm.ctrl, OFFSET(PSA.Data!$H680, 0, ($F$2-1)*6 + 1),
_xlpm.int - _xlpm.ctrl)</f>
        <v>-6756.2028824143417</v>
      </c>
      <c r="M678" s="134">
        <f t="shared" ca="1" si="21"/>
        <v>-8550.8590543716709</v>
      </c>
    </row>
    <row r="679" spans="11:13" ht="12" customHeight="1" x14ac:dyDescent="0.25">
      <c r="K679" s="90">
        <f ca="1">_xlfn.LET(_xlpm.int, OFFSET(PSA.Data!$E681, 0, ($F$2-1)*6), _xlpm.ctrl, OFFSET(PSA.Data!$E681, 0, ($F$2-1)*6 + 1),
_xlpm.int - _xlpm.ctrl)</f>
        <v>2948222.5973036462</v>
      </c>
      <c r="L679" s="421">
        <f ca="1">_xlfn.LET(_xlpm.int, OFFSET(PSA.Data!$H681, 0, ($F$2-1)*6), _xlpm.ctrl, OFFSET(PSA.Data!$H681, 0, ($F$2-1)*6 + 1),
_xlpm.int - _xlpm.ctrl)</f>
        <v>-3164.7032224278291</v>
      </c>
      <c r="M679" s="134">
        <f t="shared" ca="1" si="21"/>
        <v>-3312.1143522930115</v>
      </c>
    </row>
    <row r="680" spans="11:13" ht="12" customHeight="1" x14ac:dyDescent="0.25">
      <c r="K680" s="90">
        <f ca="1">_xlfn.LET(_xlpm.int, OFFSET(PSA.Data!$E682, 0, ($F$2-1)*6), _xlpm.ctrl, OFFSET(PSA.Data!$E682, 0, ($F$2-1)*6 + 1),
_xlpm.int - _xlpm.ctrl)</f>
        <v>44622660.836197346</v>
      </c>
      <c r="L680" s="421">
        <f ca="1">_xlfn.LET(_xlpm.int, OFFSET(PSA.Data!$H682, 0, ($F$2-1)*6), _xlpm.ctrl, OFFSET(PSA.Data!$H682, 0, ($F$2-1)*6 + 1),
_xlpm.int - _xlpm.ctrl)</f>
        <v>-7013.4329276193566</v>
      </c>
      <c r="M680" s="134">
        <f t="shared" ca="1" si="21"/>
        <v>-9244.5659694292244</v>
      </c>
    </row>
    <row r="681" spans="11:13" ht="12" customHeight="1" x14ac:dyDescent="0.25">
      <c r="K681" s="90">
        <f ca="1">_xlfn.LET(_xlpm.int, OFFSET(PSA.Data!$E683, 0, ($F$2-1)*6), _xlpm.ctrl, OFFSET(PSA.Data!$E683, 0, ($F$2-1)*6 + 1),
_xlpm.int - _xlpm.ctrl)</f>
        <v>70514027.972278282</v>
      </c>
      <c r="L681" s="421">
        <f ca="1">_xlfn.LET(_xlpm.int, OFFSET(PSA.Data!$H683, 0, ($F$2-1)*6), _xlpm.ctrl, OFFSET(PSA.Data!$H683, 0, ($F$2-1)*6 + 1),
_xlpm.int - _xlpm.ctrl)</f>
        <v>-8356.9980562894616</v>
      </c>
      <c r="M681" s="134">
        <f t="shared" ca="1" si="21"/>
        <v>-11882.699454903375</v>
      </c>
    </row>
    <row r="682" spans="11:13" ht="12" customHeight="1" x14ac:dyDescent="0.25">
      <c r="K682" s="90">
        <f ca="1">_xlfn.LET(_xlpm.int, OFFSET(PSA.Data!$E684, 0, ($F$2-1)*6), _xlpm.ctrl, OFFSET(PSA.Data!$E684, 0, ($F$2-1)*6 + 1),
_xlpm.int - _xlpm.ctrl)</f>
        <v>46044705.958731025</v>
      </c>
      <c r="L682" s="421">
        <f ca="1">_xlfn.LET(_xlpm.int, OFFSET(PSA.Data!$H684, 0, ($F$2-1)*6), _xlpm.ctrl, OFFSET(PSA.Data!$H684, 0, ($F$2-1)*6 + 1),
_xlpm.int - _xlpm.ctrl)</f>
        <v>-7052.376652911772</v>
      </c>
      <c r="M682" s="134">
        <f t="shared" ca="1" si="21"/>
        <v>-9354.6119508483243</v>
      </c>
    </row>
    <row r="683" spans="11:13" ht="12" customHeight="1" x14ac:dyDescent="0.25">
      <c r="K683" s="90">
        <f ca="1">_xlfn.LET(_xlpm.int, OFFSET(PSA.Data!$E685, 0, ($F$2-1)*6), _xlpm.ctrl, OFFSET(PSA.Data!$E685, 0, ($F$2-1)*6 + 1),
_xlpm.int - _xlpm.ctrl)</f>
        <v>38517225.456829958</v>
      </c>
      <c r="L683" s="421">
        <f ca="1">_xlfn.LET(_xlpm.int, OFFSET(PSA.Data!$H685, 0, ($F$2-1)*6), _xlpm.ctrl, OFFSET(PSA.Data!$H685, 0, ($F$2-1)*6 + 1),
_xlpm.int - _xlpm.ctrl)</f>
        <v>-7171.2948703192005</v>
      </c>
      <c r="M683" s="134">
        <f t="shared" ca="1" si="21"/>
        <v>-9097.1561431606988</v>
      </c>
    </row>
    <row r="684" spans="11:13" ht="12" customHeight="1" x14ac:dyDescent="0.25">
      <c r="K684" s="90">
        <f ca="1">_xlfn.LET(_xlpm.int, OFFSET(PSA.Data!$E686, 0, ($F$2-1)*6), _xlpm.ctrl, OFFSET(PSA.Data!$E686, 0, ($F$2-1)*6 + 1),
_xlpm.int - _xlpm.ctrl)</f>
        <v>47090286.239938259</v>
      </c>
      <c r="L684" s="421">
        <f ca="1">_xlfn.LET(_xlpm.int, OFFSET(PSA.Data!$H686, 0, ($F$2-1)*6), _xlpm.ctrl, OFFSET(PSA.Data!$H686, 0, ($F$2-1)*6 + 1),
_xlpm.int - _xlpm.ctrl)</f>
        <v>-7347.9886187153606</v>
      </c>
      <c r="M684" s="134">
        <f t="shared" ca="1" si="21"/>
        <v>-9702.5029307122732</v>
      </c>
    </row>
    <row r="685" spans="11:13" ht="12" customHeight="1" x14ac:dyDescent="0.25">
      <c r="K685" s="90">
        <f ca="1">_xlfn.LET(_xlpm.int, OFFSET(PSA.Data!$E687, 0, ($F$2-1)*6), _xlpm.ctrl, OFFSET(PSA.Data!$E687, 0, ($F$2-1)*6 + 1),
_xlpm.int - _xlpm.ctrl)</f>
        <v>38223335.435098916</v>
      </c>
      <c r="L685" s="421">
        <f ca="1">_xlfn.LET(_xlpm.int, OFFSET(PSA.Data!$H687, 0, ($F$2-1)*6), _xlpm.ctrl, OFFSET(PSA.Data!$H687, 0, ($F$2-1)*6 + 1),
_xlpm.int - _xlpm.ctrl)</f>
        <v>-7229.8820291434404</v>
      </c>
      <c r="M685" s="134">
        <f t="shared" ca="1" si="21"/>
        <v>-9141.0488008983866</v>
      </c>
    </row>
    <row r="686" spans="11:13" ht="12" customHeight="1" x14ac:dyDescent="0.25">
      <c r="K686" s="90">
        <f ca="1">_xlfn.LET(_xlpm.int, OFFSET(PSA.Data!$E688, 0, ($F$2-1)*6), _xlpm.ctrl, OFFSET(PSA.Data!$E688, 0, ($F$2-1)*6 + 1),
_xlpm.int - _xlpm.ctrl)</f>
        <v>28796390.369547609</v>
      </c>
      <c r="L686" s="421">
        <f ca="1">_xlfn.LET(_xlpm.int, OFFSET(PSA.Data!$H688, 0, ($F$2-1)*6), _xlpm.ctrl, OFFSET(PSA.Data!$H688, 0, ($F$2-1)*6 + 1),
_xlpm.int - _xlpm.ctrl)</f>
        <v>-6140.6449108324905</v>
      </c>
      <c r="M686" s="134">
        <f t="shared" ca="1" si="21"/>
        <v>-7580.4644293098709</v>
      </c>
    </row>
    <row r="687" spans="11:13" ht="12" customHeight="1" x14ac:dyDescent="0.25">
      <c r="K687" s="90">
        <f ca="1">_xlfn.LET(_xlpm.int, OFFSET(PSA.Data!$E689, 0, ($F$2-1)*6), _xlpm.ctrl, OFFSET(PSA.Data!$E689, 0, ($F$2-1)*6 + 1),
_xlpm.int - _xlpm.ctrl)</f>
        <v>35814840.889350474</v>
      </c>
      <c r="L687" s="421">
        <f ca="1">_xlfn.LET(_xlpm.int, OFFSET(PSA.Data!$H689, 0, ($F$2-1)*6), _xlpm.ctrl, OFFSET(PSA.Data!$H689, 0, ($F$2-1)*6 + 1),
_xlpm.int - _xlpm.ctrl)</f>
        <v>-5033.9837006594635</v>
      </c>
      <c r="M687" s="134">
        <f t="shared" ca="1" si="21"/>
        <v>-6824.725745126987</v>
      </c>
    </row>
    <row r="688" spans="11:13" ht="12" customHeight="1" x14ac:dyDescent="0.25">
      <c r="K688" s="90">
        <f ca="1">_xlfn.LET(_xlpm.int, OFFSET(PSA.Data!$E690, 0, ($F$2-1)*6), _xlpm.ctrl, OFFSET(PSA.Data!$E690, 0, ($F$2-1)*6 + 1),
_xlpm.int - _xlpm.ctrl)</f>
        <v>36366484.359953091</v>
      </c>
      <c r="L688" s="421">
        <f ca="1">_xlfn.LET(_xlpm.int, OFFSET(PSA.Data!$H690, 0, ($F$2-1)*6), _xlpm.ctrl, OFFSET(PSA.Data!$H690, 0, ($F$2-1)*6 + 1),
_xlpm.int - _xlpm.ctrl)</f>
        <v>-5667.0418959135532</v>
      </c>
      <c r="M688" s="134">
        <f t="shared" ca="1" si="21"/>
        <v>-7485.3661139112082</v>
      </c>
    </row>
    <row r="689" spans="11:13" ht="12" customHeight="1" x14ac:dyDescent="0.25">
      <c r="K689" s="90">
        <f ca="1">_xlfn.LET(_xlpm.int, OFFSET(PSA.Data!$E691, 0, ($F$2-1)*6), _xlpm.ctrl, OFFSET(PSA.Data!$E691, 0, ($F$2-1)*6 + 1),
_xlpm.int - _xlpm.ctrl)</f>
        <v>20703836.980243929</v>
      </c>
      <c r="L689" s="421">
        <f ca="1">_xlfn.LET(_xlpm.int, OFFSET(PSA.Data!$H691, 0, ($F$2-1)*6), _xlpm.ctrl, OFFSET(PSA.Data!$H691, 0, ($F$2-1)*6 + 1),
_xlpm.int - _xlpm.ctrl)</f>
        <v>-5607.8929855198567</v>
      </c>
      <c r="M689" s="134">
        <f t="shared" ca="1" si="21"/>
        <v>-6643.0848345320528</v>
      </c>
    </row>
    <row r="690" spans="11:13" ht="12" customHeight="1" x14ac:dyDescent="0.25">
      <c r="K690" s="90">
        <f ca="1">_xlfn.LET(_xlpm.int, OFFSET(PSA.Data!$E692, 0, ($F$2-1)*6), _xlpm.ctrl, OFFSET(PSA.Data!$E692, 0, ($F$2-1)*6 + 1),
_xlpm.int - _xlpm.ctrl)</f>
        <v>32455569.337664586</v>
      </c>
      <c r="L690" s="421">
        <f ca="1">_xlfn.LET(_xlpm.int, OFFSET(PSA.Data!$H692, 0, ($F$2-1)*6), _xlpm.ctrl, OFFSET(PSA.Data!$H692, 0, ($F$2-1)*6 + 1),
_xlpm.int - _xlpm.ctrl)</f>
        <v>-8562.4296012313989</v>
      </c>
      <c r="M690" s="134">
        <f t="shared" ca="1" si="21"/>
        <v>-10185.208068114629</v>
      </c>
    </row>
    <row r="691" spans="11:13" ht="12" customHeight="1" x14ac:dyDescent="0.25">
      <c r="K691" s="90">
        <f ca="1">_xlfn.LET(_xlpm.int, OFFSET(PSA.Data!$E693, 0, ($F$2-1)*6), _xlpm.ctrl, OFFSET(PSA.Data!$E693, 0, ($F$2-1)*6 + 1),
_xlpm.int - _xlpm.ctrl)</f>
        <v>29093027.084255878</v>
      </c>
      <c r="L691" s="421">
        <f ca="1">_xlfn.LET(_xlpm.int, OFFSET(PSA.Data!$H693, 0, ($F$2-1)*6), _xlpm.ctrl, OFFSET(PSA.Data!$H693, 0, ($F$2-1)*6 + 1),
_xlpm.int - _xlpm.ctrl)</f>
        <v>-6029.8217126914569</v>
      </c>
      <c r="M691" s="134">
        <f t="shared" ca="1" si="21"/>
        <v>-7484.473066904251</v>
      </c>
    </row>
    <row r="692" spans="11:13" ht="12" customHeight="1" x14ac:dyDescent="0.25">
      <c r="K692" s="90">
        <f ca="1">_xlfn.LET(_xlpm.int, OFFSET(PSA.Data!$E694, 0, ($F$2-1)*6), _xlpm.ctrl, OFFSET(PSA.Data!$E694, 0, ($F$2-1)*6 + 1),
_xlpm.int - _xlpm.ctrl)</f>
        <v>15981262.308106534</v>
      </c>
      <c r="L692" s="421">
        <f ca="1">_xlfn.LET(_xlpm.int, OFFSET(PSA.Data!$H694, 0, ($F$2-1)*6), _xlpm.ctrl, OFFSET(PSA.Data!$H694, 0, ($F$2-1)*6 + 1),
_xlpm.int - _xlpm.ctrl)</f>
        <v>-5214.7124635336731</v>
      </c>
      <c r="M692" s="134">
        <f t="shared" ca="1" si="21"/>
        <v>-6013.7755789389994</v>
      </c>
    </row>
    <row r="693" spans="11:13" ht="12" customHeight="1" x14ac:dyDescent="0.25">
      <c r="K693" s="90">
        <f ca="1">_xlfn.LET(_xlpm.int, OFFSET(PSA.Data!$E695, 0, ($F$2-1)*6), _xlpm.ctrl, OFFSET(PSA.Data!$E695, 0, ($F$2-1)*6 + 1),
_xlpm.int - _xlpm.ctrl)</f>
        <v>27767288.295725062</v>
      </c>
      <c r="L693" s="421">
        <f ca="1">_xlfn.LET(_xlpm.int, OFFSET(PSA.Data!$H695, 0, ($F$2-1)*6), _xlpm.ctrl, OFFSET(PSA.Data!$H695, 0, ($F$2-1)*6 + 1),
_xlpm.int - _xlpm.ctrl)</f>
        <v>-6300.3975270389992</v>
      </c>
      <c r="M693" s="134">
        <f t="shared" ca="1" si="21"/>
        <v>-7688.7619418252525</v>
      </c>
    </row>
    <row r="694" spans="11:13" ht="12" customHeight="1" x14ac:dyDescent="0.25">
      <c r="K694" s="90">
        <f ca="1">_xlfn.LET(_xlpm.int, OFFSET(PSA.Data!$E696, 0, ($F$2-1)*6), _xlpm.ctrl, OFFSET(PSA.Data!$E696, 0, ($F$2-1)*6 + 1),
_xlpm.int - _xlpm.ctrl)</f>
        <v>13443018.364616508</v>
      </c>
      <c r="L694" s="421">
        <f ca="1">_xlfn.LET(_xlpm.int, OFFSET(PSA.Data!$H696, 0, ($F$2-1)*6), _xlpm.ctrl, OFFSET(PSA.Data!$H696, 0, ($F$2-1)*6 + 1),
_xlpm.int - _xlpm.ctrl)</f>
        <v>-4511.5476560164698</v>
      </c>
      <c r="M694" s="134">
        <f t="shared" ca="1" si="21"/>
        <v>-5183.6985742472953</v>
      </c>
    </row>
    <row r="695" spans="11:13" ht="12" customHeight="1" x14ac:dyDescent="0.25">
      <c r="K695" s="90">
        <f ca="1">_xlfn.LET(_xlpm.int, OFFSET(PSA.Data!$E697, 0, ($F$2-1)*6), _xlpm.ctrl, OFFSET(PSA.Data!$E697, 0, ($F$2-1)*6 + 1),
_xlpm.int - _xlpm.ctrl)</f>
        <v>22717322.067375645</v>
      </c>
      <c r="L695" s="421">
        <f ca="1">_xlfn.LET(_xlpm.int, OFFSET(PSA.Data!$H697, 0, ($F$2-1)*6), _xlpm.ctrl, OFFSET(PSA.Data!$H697, 0, ($F$2-1)*6 + 1),
_xlpm.int - _xlpm.ctrl)</f>
        <v>-5635.2452139282068</v>
      </c>
      <c r="M695" s="134">
        <f t="shared" ca="1" si="21"/>
        <v>-6771.111317296989</v>
      </c>
    </row>
    <row r="696" spans="11:13" ht="12" customHeight="1" x14ac:dyDescent="0.25">
      <c r="K696" s="90">
        <f ca="1">_xlfn.LET(_xlpm.int, OFFSET(PSA.Data!$E698, 0, ($F$2-1)*6), _xlpm.ctrl, OFFSET(PSA.Data!$E698, 0, ($F$2-1)*6 + 1),
_xlpm.int - _xlpm.ctrl)</f>
        <v>24369135.487779073</v>
      </c>
      <c r="L696" s="421">
        <f ca="1">_xlfn.LET(_xlpm.int, OFFSET(PSA.Data!$H698, 0, ($F$2-1)*6), _xlpm.ctrl, OFFSET(PSA.Data!$H698, 0, ($F$2-1)*6 + 1),
_xlpm.int - _xlpm.ctrl)</f>
        <v>-4672.5380646670919</v>
      </c>
      <c r="M696" s="134">
        <f t="shared" ca="1" si="21"/>
        <v>-5890.9948390560457</v>
      </c>
    </row>
    <row r="697" spans="11:13" ht="12" customHeight="1" x14ac:dyDescent="0.25">
      <c r="K697" s="90">
        <f ca="1">_xlfn.LET(_xlpm.int, OFFSET(PSA.Data!$E699, 0, ($F$2-1)*6), _xlpm.ctrl, OFFSET(PSA.Data!$E699, 0, ($F$2-1)*6 + 1),
_xlpm.int - _xlpm.ctrl)</f>
        <v>35732783.942692108</v>
      </c>
      <c r="L697" s="421">
        <f ca="1">_xlfn.LET(_xlpm.int, OFFSET(PSA.Data!$H699, 0, ($F$2-1)*6), _xlpm.ctrl, OFFSET(PSA.Data!$H699, 0, ($F$2-1)*6 + 1),
_xlpm.int - _xlpm.ctrl)</f>
        <v>-5877.837585459506</v>
      </c>
      <c r="M697" s="134">
        <f t="shared" ca="1" si="21"/>
        <v>-7664.4767825941117</v>
      </c>
    </row>
    <row r="698" spans="11:13" ht="12" customHeight="1" x14ac:dyDescent="0.25">
      <c r="K698" s="90">
        <f ca="1">_xlfn.LET(_xlpm.int, OFFSET(PSA.Data!$E700, 0, ($F$2-1)*6), _xlpm.ctrl, OFFSET(PSA.Data!$E700, 0, ($F$2-1)*6 + 1),
_xlpm.int - _xlpm.ctrl)</f>
        <v>44716923.829111665</v>
      </c>
      <c r="L698" s="421">
        <f ca="1">_xlfn.LET(_xlpm.int, OFFSET(PSA.Data!$H700, 0, ($F$2-1)*6), _xlpm.ctrl, OFFSET(PSA.Data!$H700, 0, ($F$2-1)*6 + 1),
_xlpm.int - _xlpm.ctrl)</f>
        <v>-6659.9641347327379</v>
      </c>
      <c r="M698" s="134">
        <f t="shared" ca="1" si="21"/>
        <v>-8895.8103261883207</v>
      </c>
    </row>
    <row r="699" spans="11:13" ht="12" customHeight="1" x14ac:dyDescent="0.25">
      <c r="K699" s="90">
        <f ca="1">_xlfn.LET(_xlpm.int, OFFSET(PSA.Data!$E701, 0, ($F$2-1)*6), _xlpm.ctrl, OFFSET(PSA.Data!$E701, 0, ($F$2-1)*6 + 1),
_xlpm.int - _xlpm.ctrl)</f>
        <v>32230055.818515167</v>
      </c>
      <c r="L699" s="421">
        <f ca="1">_xlfn.LET(_xlpm.int, OFFSET(PSA.Data!$H701, 0, ($F$2-1)*6), _xlpm.ctrl, OFFSET(PSA.Data!$H701, 0, ($F$2-1)*6 + 1),
_xlpm.int - _xlpm.ctrl)</f>
        <v>-6677.2251220948292</v>
      </c>
      <c r="M699" s="134">
        <f t="shared" ca="1" si="21"/>
        <v>-8288.7279130205879</v>
      </c>
    </row>
    <row r="700" spans="11:13" ht="12" customHeight="1" x14ac:dyDescent="0.25">
      <c r="K700" s="90">
        <f ca="1">_xlfn.LET(_xlpm.int, OFFSET(PSA.Data!$E702, 0, ($F$2-1)*6), _xlpm.ctrl, OFFSET(PSA.Data!$E702, 0, ($F$2-1)*6 + 1),
_xlpm.int - _xlpm.ctrl)</f>
        <v>50167788.517617695</v>
      </c>
      <c r="L700" s="421">
        <f ca="1">_xlfn.LET(_xlpm.int, OFFSET(PSA.Data!$H702, 0, ($F$2-1)*6), _xlpm.ctrl, OFFSET(PSA.Data!$H702, 0, ($F$2-1)*6 + 1),
_xlpm.int - _xlpm.ctrl)</f>
        <v>-6980.573475320678</v>
      </c>
      <c r="M700" s="134">
        <f t="shared" ca="1" si="21"/>
        <v>-9488.962901201563</v>
      </c>
    </row>
    <row r="701" spans="11:13" ht="12" customHeight="1" x14ac:dyDescent="0.25">
      <c r="K701" s="90">
        <f ca="1">_xlfn.LET(_xlpm.int, OFFSET(PSA.Data!$E703, 0, ($F$2-1)*6), _xlpm.ctrl, OFFSET(PSA.Data!$E703, 0, ($F$2-1)*6 + 1),
_xlpm.int - _xlpm.ctrl)</f>
        <v>75740193.415879667</v>
      </c>
      <c r="L701" s="421">
        <f ca="1">_xlfn.LET(_xlpm.int, OFFSET(PSA.Data!$H703, 0, ($F$2-1)*6), _xlpm.ctrl, OFFSET(PSA.Data!$H703, 0, ($F$2-1)*6 + 1),
_xlpm.int - _xlpm.ctrl)</f>
        <v>-7150.3110301353518</v>
      </c>
      <c r="M701" s="134">
        <f t="shared" ca="1" si="21"/>
        <v>-10937.320700929335</v>
      </c>
    </row>
    <row r="702" spans="11:13" ht="12" customHeight="1" x14ac:dyDescent="0.25">
      <c r="K702" s="90">
        <f ca="1">_xlfn.LET(_xlpm.int, OFFSET(PSA.Data!$E704, 0, ($F$2-1)*6), _xlpm.ctrl, OFFSET(PSA.Data!$E704, 0, ($F$2-1)*6 + 1),
_xlpm.int - _xlpm.ctrl)</f>
        <v>36152624.407284088</v>
      </c>
      <c r="L702" s="421">
        <f ca="1">_xlfn.LET(_xlpm.int, OFFSET(PSA.Data!$H704, 0, ($F$2-1)*6), _xlpm.ctrl, OFFSET(PSA.Data!$H704, 0, ($F$2-1)*6 + 1),
_xlpm.int - _xlpm.ctrl)</f>
        <v>-6489.0038277413159</v>
      </c>
      <c r="M702" s="134">
        <f t="shared" ca="1" si="21"/>
        <v>-8296.6350481055197</v>
      </c>
    </row>
    <row r="703" spans="11:13" ht="12" customHeight="1" x14ac:dyDescent="0.25">
      <c r="K703" s="90">
        <f ca="1">_xlfn.LET(_xlpm.int, OFFSET(PSA.Data!$E705, 0, ($F$2-1)*6), _xlpm.ctrl, OFFSET(PSA.Data!$E705, 0, ($F$2-1)*6 + 1),
_xlpm.int - _xlpm.ctrl)</f>
        <v>20317335.287829258</v>
      </c>
      <c r="L703" s="421">
        <f ca="1">_xlfn.LET(_xlpm.int, OFFSET(PSA.Data!$H705, 0, ($F$2-1)*6), _xlpm.ctrl, OFFSET(PSA.Data!$H705, 0, ($F$2-1)*6 + 1),
_xlpm.int - _xlpm.ctrl)</f>
        <v>-5402.5693474213258</v>
      </c>
      <c r="M703" s="134">
        <f t="shared" ca="1" si="21"/>
        <v>-6418.436111812789</v>
      </c>
    </row>
    <row r="704" spans="11:13" ht="12" customHeight="1" x14ac:dyDescent="0.25">
      <c r="K704" s="90">
        <f ca="1">_xlfn.LET(_xlpm.int, OFFSET(PSA.Data!$E706, 0, ($F$2-1)*6), _xlpm.ctrl, OFFSET(PSA.Data!$E706, 0, ($F$2-1)*6 + 1),
_xlpm.int - _xlpm.ctrl)</f>
        <v>27014648.197364766</v>
      </c>
      <c r="L704" s="421">
        <f ca="1">_xlfn.LET(_xlpm.int, OFFSET(PSA.Data!$H706, 0, ($F$2-1)*6), _xlpm.ctrl, OFFSET(PSA.Data!$H706, 0, ($F$2-1)*6 + 1),
_xlpm.int - _xlpm.ctrl)</f>
        <v>-7366.8087867055347</v>
      </c>
      <c r="M704" s="134">
        <f t="shared" ca="1" si="21"/>
        <v>-8717.541196573773</v>
      </c>
    </row>
    <row r="705" spans="11:13" ht="12" customHeight="1" x14ac:dyDescent="0.25">
      <c r="K705" s="90">
        <f ca="1">_xlfn.LET(_xlpm.int, OFFSET(PSA.Data!$E707, 0, ($F$2-1)*6), _xlpm.ctrl, OFFSET(PSA.Data!$E707, 0, ($F$2-1)*6 + 1),
_xlpm.int - _xlpm.ctrl)</f>
        <v>20790179.017042428</v>
      </c>
      <c r="L705" s="421">
        <f ca="1">_xlfn.LET(_xlpm.int, OFFSET(PSA.Data!$H707, 0, ($F$2-1)*6), _xlpm.ctrl, OFFSET(PSA.Data!$H707, 0, ($F$2-1)*6 + 1),
_xlpm.int - _xlpm.ctrl)</f>
        <v>-6435.8665498934042</v>
      </c>
      <c r="M705" s="134">
        <f t="shared" ca="1" si="21"/>
        <v>-7475.3755007455256</v>
      </c>
    </row>
    <row r="706" spans="11:13" ht="12" customHeight="1" x14ac:dyDescent="0.25">
      <c r="K706" s="90">
        <f ca="1">_xlfn.LET(_xlpm.int, OFFSET(PSA.Data!$E708, 0, ($F$2-1)*6), _xlpm.ctrl, OFFSET(PSA.Data!$E708, 0, ($F$2-1)*6 + 1),
_xlpm.int - _xlpm.ctrl)</f>
        <v>28928902.153682485</v>
      </c>
      <c r="L706" s="421">
        <f ca="1">_xlfn.LET(_xlpm.int, OFFSET(PSA.Data!$H708, 0, ($F$2-1)*6), _xlpm.ctrl, OFFSET(PSA.Data!$H708, 0, ($F$2-1)*6 + 1),
_xlpm.int - _xlpm.ctrl)</f>
        <v>-5758.6683436059584</v>
      </c>
      <c r="M706" s="134">
        <f t="shared" ca="1" si="21"/>
        <v>-7205.1134512900826</v>
      </c>
    </row>
    <row r="707" spans="11:13" ht="12" customHeight="1" x14ac:dyDescent="0.25">
      <c r="K707" s="90">
        <f ca="1">_xlfn.LET(_xlpm.int, OFFSET(PSA.Data!$E709, 0, ($F$2-1)*6), _xlpm.ctrl, OFFSET(PSA.Data!$E709, 0, ($F$2-1)*6 + 1),
_xlpm.int - _xlpm.ctrl)</f>
        <v>39273232.831182875</v>
      </c>
      <c r="L707" s="421">
        <f ca="1">_xlfn.LET(_xlpm.int, OFFSET(PSA.Data!$H709, 0, ($F$2-1)*6), _xlpm.ctrl, OFFSET(PSA.Data!$H709, 0, ($F$2-1)*6 + 1),
_xlpm.int - _xlpm.ctrl)</f>
        <v>-7853.6661897422655</v>
      </c>
      <c r="M707" s="134">
        <f t="shared" ca="1" si="21"/>
        <v>-9817.3278313014089</v>
      </c>
    </row>
    <row r="708" spans="11:13" ht="12" customHeight="1" x14ac:dyDescent="0.25">
      <c r="K708" s="90">
        <f ca="1">_xlfn.LET(_xlpm.int, OFFSET(PSA.Data!$E710, 0, ($F$2-1)*6), _xlpm.ctrl, OFFSET(PSA.Data!$E710, 0, ($F$2-1)*6 + 1),
_xlpm.int - _xlpm.ctrl)</f>
        <v>19263577.362649299</v>
      </c>
      <c r="L708" s="421">
        <f ca="1">_xlfn.LET(_xlpm.int, OFFSET(PSA.Data!$H710, 0, ($F$2-1)*6), _xlpm.ctrl, OFFSET(PSA.Data!$H710, 0, ($F$2-1)*6 + 1),
_xlpm.int - _xlpm.ctrl)</f>
        <v>-4201.1666127324352</v>
      </c>
      <c r="M708" s="134">
        <f t="shared" ca="1" si="21"/>
        <v>-5164.3454808649003</v>
      </c>
    </row>
    <row r="709" spans="11:13" ht="12" customHeight="1" x14ac:dyDescent="0.25">
      <c r="K709" s="90">
        <f ca="1">_xlfn.LET(_xlpm.int, OFFSET(PSA.Data!$E711, 0, ($F$2-1)*6), _xlpm.ctrl, OFFSET(PSA.Data!$E711, 0, ($F$2-1)*6 + 1),
_xlpm.int - _xlpm.ctrl)</f>
        <v>24180561.761675656</v>
      </c>
      <c r="L709" s="421">
        <f ca="1">_xlfn.LET(_xlpm.int, OFFSET(PSA.Data!$H711, 0, ($F$2-1)*6), _xlpm.ctrl, OFFSET(PSA.Data!$H711, 0, ($F$2-1)*6 + 1),
_xlpm.int - _xlpm.ctrl)</f>
        <v>-5210.6849415487268</v>
      </c>
      <c r="M709" s="134">
        <f t="shared" ca="1" si="21"/>
        <v>-6419.7130296325095</v>
      </c>
    </row>
    <row r="710" spans="11:13" ht="12" customHeight="1" x14ac:dyDescent="0.25">
      <c r="K710" s="90">
        <f ca="1">_xlfn.LET(_xlpm.int, OFFSET(PSA.Data!$E712, 0, ($F$2-1)*6), _xlpm.ctrl, OFFSET(PSA.Data!$E712, 0, ($F$2-1)*6 + 1),
_xlpm.int - _xlpm.ctrl)</f>
        <v>24442104.520593151</v>
      </c>
      <c r="L710" s="421">
        <f ca="1">_xlfn.LET(_xlpm.int, OFFSET(PSA.Data!$H712, 0, ($F$2-1)*6), _xlpm.ctrl, OFFSET(PSA.Data!$H712, 0, ($F$2-1)*6 + 1),
_xlpm.int - _xlpm.ctrl)</f>
        <v>-5414.8121716238757</v>
      </c>
      <c r="M710" s="134">
        <f t="shared" ca="1" si="21"/>
        <v>-6636.917397653533</v>
      </c>
    </row>
    <row r="711" spans="11:13" ht="12" customHeight="1" x14ac:dyDescent="0.25">
      <c r="K711" s="90">
        <f ca="1">_xlfn.LET(_xlpm.int, OFFSET(PSA.Data!$E713, 0, ($F$2-1)*6), _xlpm.ctrl, OFFSET(PSA.Data!$E713, 0, ($F$2-1)*6 + 1),
_xlpm.int - _xlpm.ctrl)</f>
        <v>16719551.936599378</v>
      </c>
      <c r="L711" s="421">
        <f ca="1">_xlfn.LET(_xlpm.int, OFFSET(PSA.Data!$H713, 0, ($F$2-1)*6), _xlpm.ctrl, OFFSET(PSA.Data!$H713, 0, ($F$2-1)*6 + 1),
_xlpm.int - _xlpm.ctrl)</f>
        <v>-6038.157597891055</v>
      </c>
      <c r="M711" s="134">
        <f t="shared" ca="1" si="21"/>
        <v>-6874.1351947210242</v>
      </c>
    </row>
    <row r="712" spans="11:13" ht="12" customHeight="1" x14ac:dyDescent="0.25">
      <c r="K712" s="90">
        <f ca="1">_xlfn.LET(_xlpm.int, OFFSET(PSA.Data!$E714, 0, ($F$2-1)*6), _xlpm.ctrl, OFFSET(PSA.Data!$E714, 0, ($F$2-1)*6 + 1),
_xlpm.int - _xlpm.ctrl)</f>
        <v>34820066.70668254</v>
      </c>
      <c r="L712" s="421">
        <f ca="1">_xlfn.LET(_xlpm.int, OFFSET(PSA.Data!$H714, 0, ($F$2-1)*6), _xlpm.ctrl, OFFSET(PSA.Data!$H714, 0, ($F$2-1)*6 + 1),
_xlpm.int - _xlpm.ctrl)</f>
        <v>-6394.5936237663536</v>
      </c>
      <c r="M712" s="134">
        <f t="shared" ca="1" si="21"/>
        <v>-8135.5969591004805</v>
      </c>
    </row>
    <row r="713" spans="11:13" ht="12" customHeight="1" x14ac:dyDescent="0.25">
      <c r="K713" s="90">
        <f ca="1">_xlfn.LET(_xlpm.int, OFFSET(PSA.Data!$E715, 0, ($F$2-1)*6), _xlpm.ctrl, OFFSET(PSA.Data!$E715, 0, ($F$2-1)*6 + 1),
_xlpm.int - _xlpm.ctrl)</f>
        <v>33545181.372783698</v>
      </c>
      <c r="L713" s="421">
        <f ca="1">_xlfn.LET(_xlpm.int, OFFSET(PSA.Data!$H715, 0, ($F$2-1)*6), _xlpm.ctrl, OFFSET(PSA.Data!$H715, 0, ($F$2-1)*6 + 1),
_xlpm.int - _xlpm.ctrl)</f>
        <v>-5692.1546323675939</v>
      </c>
      <c r="M713" s="134">
        <f t="shared" ca="1" si="21"/>
        <v>-7369.4137010067789</v>
      </c>
    </row>
    <row r="714" spans="11:13" ht="12" customHeight="1" x14ac:dyDescent="0.25">
      <c r="K714" s="90">
        <f ca="1">_xlfn.LET(_xlpm.int, OFFSET(PSA.Data!$E716, 0, ($F$2-1)*6), _xlpm.ctrl, OFFSET(PSA.Data!$E716, 0, ($F$2-1)*6 + 1),
_xlpm.int - _xlpm.ctrl)</f>
        <v>10529817.778147498</v>
      </c>
      <c r="L714" s="421">
        <f ca="1">_xlfn.LET(_xlpm.int, OFFSET(PSA.Data!$H716, 0, ($F$2-1)*6), _xlpm.ctrl, OFFSET(PSA.Data!$H716, 0, ($F$2-1)*6 + 1),
_xlpm.int - _xlpm.ctrl)</f>
        <v>-7664.3171176932465</v>
      </c>
      <c r="M714" s="134">
        <f t="shared" ca="1" si="21"/>
        <v>-8190.8080066006214</v>
      </c>
    </row>
    <row r="715" spans="11:13" ht="12" customHeight="1" x14ac:dyDescent="0.25">
      <c r="K715" s="90">
        <f ca="1">_xlfn.LET(_xlpm.int, OFFSET(PSA.Data!$E717, 0, ($F$2-1)*6), _xlpm.ctrl, OFFSET(PSA.Data!$E717, 0, ($F$2-1)*6 + 1),
_xlpm.int - _xlpm.ctrl)</f>
        <v>34168003.587672167</v>
      </c>
      <c r="L715" s="421">
        <f ca="1">_xlfn.LET(_xlpm.int, OFFSET(PSA.Data!$H717, 0, ($F$2-1)*6), _xlpm.ctrl, OFFSET(PSA.Data!$H717, 0, ($F$2-1)*6 + 1),
_xlpm.int - _xlpm.ctrl)</f>
        <v>-6093.3393893471757</v>
      </c>
      <c r="M715" s="134">
        <f t="shared" ca="1" si="21"/>
        <v>-7801.7395687307835</v>
      </c>
    </row>
    <row r="716" spans="11:13" ht="12" customHeight="1" x14ac:dyDescent="0.25">
      <c r="K716" s="90">
        <f ca="1">_xlfn.LET(_xlpm.int, OFFSET(PSA.Data!$E718, 0, ($F$2-1)*6), _xlpm.ctrl, OFFSET(PSA.Data!$E718, 0, ($F$2-1)*6 + 1),
_xlpm.int - _xlpm.ctrl)</f>
        <v>28553383.694008473</v>
      </c>
      <c r="L716" s="421">
        <f ca="1">_xlfn.LET(_xlpm.int, OFFSET(PSA.Data!$H718, 0, ($F$2-1)*6), _xlpm.ctrl, OFFSET(PSA.Data!$H718, 0, ($F$2-1)*6 + 1),
_xlpm.int - _xlpm.ctrl)</f>
        <v>-5385.3982474176692</v>
      </c>
      <c r="M716" s="134">
        <f t="shared" ca="1" si="21"/>
        <v>-6813.0674321180923</v>
      </c>
    </row>
    <row r="717" spans="11:13" ht="12" customHeight="1" x14ac:dyDescent="0.25">
      <c r="K717" s="90">
        <f ca="1">_xlfn.LET(_xlpm.int, OFFSET(PSA.Data!$E719, 0, ($F$2-1)*6), _xlpm.ctrl, OFFSET(PSA.Data!$E719, 0, ($F$2-1)*6 + 1),
_xlpm.int - _xlpm.ctrl)</f>
        <v>50928478.682261348</v>
      </c>
      <c r="L717" s="421">
        <f ca="1">_xlfn.LET(_xlpm.int, OFFSET(PSA.Data!$H719, 0, ($F$2-1)*6), _xlpm.ctrl, OFFSET(PSA.Data!$H719, 0, ($F$2-1)*6 + 1),
_xlpm.int - _xlpm.ctrl)</f>
        <v>-8216.5301052094583</v>
      </c>
      <c r="M717" s="134">
        <f t="shared" ca="1" si="21"/>
        <v>-10762.954039322525</v>
      </c>
    </row>
    <row r="718" spans="11:13" ht="12" customHeight="1" x14ac:dyDescent="0.25">
      <c r="K718" s="90">
        <f ca="1">_xlfn.LET(_xlpm.int, OFFSET(PSA.Data!$E720, 0, ($F$2-1)*6), _xlpm.ctrl, OFFSET(PSA.Data!$E720, 0, ($F$2-1)*6 + 1),
_xlpm.int - _xlpm.ctrl)</f>
        <v>24661997.151613738</v>
      </c>
      <c r="L718" s="421">
        <f ca="1">_xlfn.LET(_xlpm.int, OFFSET(PSA.Data!$H720, 0, ($F$2-1)*6), _xlpm.ctrl, OFFSET(PSA.Data!$H720, 0, ($F$2-1)*6 + 1),
_xlpm.int - _xlpm.ctrl)</f>
        <v>-6242.9354165488248</v>
      </c>
      <c r="M718" s="134">
        <f t="shared" ca="1" si="21"/>
        <v>-7476.0352741295119</v>
      </c>
    </row>
    <row r="719" spans="11:13" ht="12" customHeight="1" x14ac:dyDescent="0.25">
      <c r="K719" s="90">
        <f ca="1">_xlfn.LET(_xlpm.int, OFFSET(PSA.Data!$E721, 0, ($F$2-1)*6), _xlpm.ctrl, OFFSET(PSA.Data!$E721, 0, ($F$2-1)*6 + 1),
_xlpm.int - _xlpm.ctrl)</f>
        <v>42060251.591152668</v>
      </c>
      <c r="L719" s="421">
        <f ca="1">_xlfn.LET(_xlpm.int, OFFSET(PSA.Data!$H721, 0, ($F$2-1)*6), _xlpm.ctrl, OFFSET(PSA.Data!$H721, 0, ($F$2-1)*6 + 1),
_xlpm.int - _xlpm.ctrl)</f>
        <v>-6655.3213484257876</v>
      </c>
      <c r="M719" s="134">
        <f t="shared" ca="1" si="21"/>
        <v>-8758.3339279834217</v>
      </c>
    </row>
    <row r="720" spans="11:13" ht="12" customHeight="1" x14ac:dyDescent="0.25">
      <c r="K720" s="90">
        <f ca="1">_xlfn.LET(_xlpm.int, OFFSET(PSA.Data!$E722, 0, ($F$2-1)*6), _xlpm.ctrl, OFFSET(PSA.Data!$E722, 0, ($F$2-1)*6 + 1),
_xlpm.int - _xlpm.ctrl)</f>
        <v>37112015.76173874</v>
      </c>
      <c r="L720" s="421">
        <f ca="1">_xlfn.LET(_xlpm.int, OFFSET(PSA.Data!$H722, 0, ($F$2-1)*6), _xlpm.ctrl, OFFSET(PSA.Data!$H722, 0, ($F$2-1)*6 + 1),
_xlpm.int - _xlpm.ctrl)</f>
        <v>-5054.8559386051857</v>
      </c>
      <c r="M720" s="134">
        <f t="shared" ref="M720:M783" ca="1" si="22">L720-K720/WTP</f>
        <v>-6910.4567266921222</v>
      </c>
    </row>
    <row r="721" spans="11:13" ht="12" customHeight="1" x14ac:dyDescent="0.25">
      <c r="K721" s="90">
        <f ca="1">_xlfn.LET(_xlpm.int, OFFSET(PSA.Data!$E723, 0, ($F$2-1)*6), _xlpm.ctrl, OFFSET(PSA.Data!$E723, 0, ($F$2-1)*6 + 1),
_xlpm.int - _xlpm.ctrl)</f>
        <v>18078697.519819092</v>
      </c>
      <c r="L721" s="421">
        <f ca="1">_xlfn.LET(_xlpm.int, OFFSET(PSA.Data!$H723, 0, ($F$2-1)*6), _xlpm.ctrl, OFFSET(PSA.Data!$H723, 0, ($F$2-1)*6 + 1),
_xlpm.int - _xlpm.ctrl)</f>
        <v>-6353.5309999804949</v>
      </c>
      <c r="M721" s="134">
        <f t="shared" ca="1" si="22"/>
        <v>-7257.4658759714493</v>
      </c>
    </row>
    <row r="722" spans="11:13" ht="12" customHeight="1" x14ac:dyDescent="0.25">
      <c r="K722" s="90">
        <f ca="1">_xlfn.LET(_xlpm.int, OFFSET(PSA.Data!$E724, 0, ($F$2-1)*6), _xlpm.ctrl, OFFSET(PSA.Data!$E724, 0, ($F$2-1)*6 + 1),
_xlpm.int - _xlpm.ctrl)</f>
        <v>55118335.774694048</v>
      </c>
      <c r="L722" s="421">
        <f ca="1">_xlfn.LET(_xlpm.int, OFFSET(PSA.Data!$H724, 0, ($F$2-1)*6), _xlpm.ctrl, OFFSET(PSA.Data!$H724, 0, ($F$2-1)*6 + 1),
_xlpm.int - _xlpm.ctrl)</f>
        <v>-8272.6210555183243</v>
      </c>
      <c r="M722" s="134">
        <f t="shared" ca="1" si="22"/>
        <v>-11028.537844253027</v>
      </c>
    </row>
    <row r="723" spans="11:13" ht="12" customHeight="1" x14ac:dyDescent="0.25">
      <c r="K723" s="90">
        <f ca="1">_xlfn.LET(_xlpm.int, OFFSET(PSA.Data!$E725, 0, ($F$2-1)*6), _xlpm.ctrl, OFFSET(PSA.Data!$E725, 0, ($F$2-1)*6 + 1),
_xlpm.int - _xlpm.ctrl)</f>
        <v>16968237.223298851</v>
      </c>
      <c r="L723" s="421">
        <f ca="1">_xlfn.LET(_xlpm.int, OFFSET(PSA.Data!$H725, 0, ($F$2-1)*6), _xlpm.ctrl, OFFSET(PSA.Data!$H725, 0, ($F$2-1)*6 + 1),
_xlpm.int - _xlpm.ctrl)</f>
        <v>-5049.9603795814073</v>
      </c>
      <c r="M723" s="134">
        <f t="shared" ca="1" si="22"/>
        <v>-5898.3722407463501</v>
      </c>
    </row>
    <row r="724" spans="11:13" ht="12" customHeight="1" x14ac:dyDescent="0.25">
      <c r="K724" s="90">
        <f ca="1">_xlfn.LET(_xlpm.int, OFFSET(PSA.Data!$E726, 0, ($F$2-1)*6), _xlpm.ctrl, OFFSET(PSA.Data!$E726, 0, ($F$2-1)*6 + 1),
_xlpm.int - _xlpm.ctrl)</f>
        <v>28501584.311257996</v>
      </c>
      <c r="L724" s="421">
        <f ca="1">_xlfn.LET(_xlpm.int, OFFSET(PSA.Data!$H726, 0, ($F$2-1)*6), _xlpm.ctrl, OFFSET(PSA.Data!$H726, 0, ($F$2-1)*6 + 1),
_xlpm.int - _xlpm.ctrl)</f>
        <v>-6252.7039616301927</v>
      </c>
      <c r="M724" s="134">
        <f t="shared" ca="1" si="22"/>
        <v>-7677.7831771930923</v>
      </c>
    </row>
    <row r="725" spans="11:13" ht="12" customHeight="1" x14ac:dyDescent="0.25">
      <c r="K725" s="90">
        <f ca="1">_xlfn.LET(_xlpm.int, OFFSET(PSA.Data!$E727, 0, ($F$2-1)*6), _xlpm.ctrl, OFFSET(PSA.Data!$E727, 0, ($F$2-1)*6 + 1),
_xlpm.int - _xlpm.ctrl)</f>
        <v>19181505.954414584</v>
      </c>
      <c r="L725" s="421">
        <f ca="1">_xlfn.LET(_xlpm.int, OFFSET(PSA.Data!$H727, 0, ($F$2-1)*6), _xlpm.ctrl, OFFSET(PSA.Data!$H727, 0, ($F$2-1)*6 + 1),
_xlpm.int - _xlpm.ctrl)</f>
        <v>-5522.0821576778235</v>
      </c>
      <c r="M725" s="134">
        <f t="shared" ca="1" si="22"/>
        <v>-6481.1574553985529</v>
      </c>
    </row>
    <row r="726" spans="11:13" ht="12" customHeight="1" x14ac:dyDescent="0.25">
      <c r="K726" s="90">
        <f ca="1">_xlfn.LET(_xlpm.int, OFFSET(PSA.Data!$E728, 0, ($F$2-1)*6), _xlpm.ctrl, OFFSET(PSA.Data!$E728, 0, ($F$2-1)*6 + 1),
_xlpm.int - _xlpm.ctrl)</f>
        <v>48001264.800591558</v>
      </c>
      <c r="L726" s="421">
        <f ca="1">_xlfn.LET(_xlpm.int, OFFSET(PSA.Data!$H728, 0, ($F$2-1)*6), _xlpm.ctrl, OFFSET(PSA.Data!$H728, 0, ($F$2-1)*6 + 1),
_xlpm.int - _xlpm.ctrl)</f>
        <v>-8072.6403599376426</v>
      </c>
      <c r="M726" s="134">
        <f t="shared" ca="1" si="22"/>
        <v>-10472.703599967221</v>
      </c>
    </row>
    <row r="727" spans="11:13" ht="12" customHeight="1" x14ac:dyDescent="0.25">
      <c r="K727" s="90">
        <f ca="1">_xlfn.LET(_xlpm.int, OFFSET(PSA.Data!$E729, 0, ($F$2-1)*6), _xlpm.ctrl, OFFSET(PSA.Data!$E729, 0, ($F$2-1)*6 + 1),
_xlpm.int - _xlpm.ctrl)</f>
        <v>20800863.218659095</v>
      </c>
      <c r="L727" s="421">
        <f ca="1">_xlfn.LET(_xlpm.int, OFFSET(PSA.Data!$H729, 0, ($F$2-1)*6), _xlpm.ctrl, OFFSET(PSA.Data!$H729, 0, ($F$2-1)*6 + 1),
_xlpm.int - _xlpm.ctrl)</f>
        <v>-5777.044890602484</v>
      </c>
      <c r="M727" s="134">
        <f t="shared" ca="1" si="22"/>
        <v>-6817.0880515354384</v>
      </c>
    </row>
    <row r="728" spans="11:13" ht="12" customHeight="1" x14ac:dyDescent="0.25">
      <c r="K728" s="90">
        <f ca="1">_xlfn.LET(_xlpm.int, OFFSET(PSA.Data!$E730, 0, ($F$2-1)*6), _xlpm.ctrl, OFFSET(PSA.Data!$E730, 0, ($F$2-1)*6 + 1),
_xlpm.int - _xlpm.ctrl)</f>
        <v>51445403.982540734</v>
      </c>
      <c r="L728" s="421">
        <f ca="1">_xlfn.LET(_xlpm.int, OFFSET(PSA.Data!$H730, 0, ($F$2-1)*6), _xlpm.ctrl, OFFSET(PSA.Data!$H730, 0, ($F$2-1)*6 + 1),
_xlpm.int - _xlpm.ctrl)</f>
        <v>-7085.6321250579495</v>
      </c>
      <c r="M728" s="134">
        <f t="shared" ca="1" si="22"/>
        <v>-9657.9023241849864</v>
      </c>
    </row>
    <row r="729" spans="11:13" ht="12" customHeight="1" x14ac:dyDescent="0.25">
      <c r="K729" s="90">
        <f ca="1">_xlfn.LET(_xlpm.int, OFFSET(PSA.Data!$E731, 0, ($F$2-1)*6), _xlpm.ctrl, OFFSET(PSA.Data!$E731, 0, ($F$2-1)*6 + 1),
_xlpm.int - _xlpm.ctrl)</f>
        <v>33195106.19585108</v>
      </c>
      <c r="L729" s="421">
        <f ca="1">_xlfn.LET(_xlpm.int, OFFSET(PSA.Data!$H731, 0, ($F$2-1)*6), _xlpm.ctrl, OFFSET(PSA.Data!$H731, 0, ($F$2-1)*6 + 1),
_xlpm.int - _xlpm.ctrl)</f>
        <v>-5961.911803488947</v>
      </c>
      <c r="M729" s="134">
        <f t="shared" ca="1" si="22"/>
        <v>-7621.6671132815009</v>
      </c>
    </row>
    <row r="730" spans="11:13" ht="12" customHeight="1" x14ac:dyDescent="0.25">
      <c r="K730" s="90">
        <f ca="1">_xlfn.LET(_xlpm.int, OFFSET(PSA.Data!$E732, 0, ($F$2-1)*6), _xlpm.ctrl, OFFSET(PSA.Data!$E732, 0, ($F$2-1)*6 + 1),
_xlpm.int - _xlpm.ctrl)</f>
        <v>46912640.139789686</v>
      </c>
      <c r="L730" s="421">
        <f ca="1">_xlfn.LET(_xlpm.int, OFFSET(PSA.Data!$H732, 0, ($F$2-1)*6), _xlpm.ctrl, OFFSET(PSA.Data!$H732, 0, ($F$2-1)*6 + 1),
_xlpm.int - _xlpm.ctrl)</f>
        <v>-7076.9416147709817</v>
      </c>
      <c r="M730" s="134">
        <f t="shared" ca="1" si="22"/>
        <v>-9422.5736217604663</v>
      </c>
    </row>
    <row r="731" spans="11:13" ht="12" customHeight="1" x14ac:dyDescent="0.25">
      <c r="K731" s="90">
        <f ca="1">_xlfn.LET(_xlpm.int, OFFSET(PSA.Data!$E733, 0, ($F$2-1)*6), _xlpm.ctrl, OFFSET(PSA.Data!$E733, 0, ($F$2-1)*6 + 1),
_xlpm.int - _xlpm.ctrl)</f>
        <v>48212336.321114264</v>
      </c>
      <c r="L731" s="421">
        <f ca="1">_xlfn.LET(_xlpm.int, OFFSET(PSA.Data!$H733, 0, ($F$2-1)*6), _xlpm.ctrl, OFFSET(PSA.Data!$H733, 0, ($F$2-1)*6 + 1),
_xlpm.int - _xlpm.ctrl)</f>
        <v>-6222.5040414700479</v>
      </c>
      <c r="M731" s="134">
        <f t="shared" ca="1" si="22"/>
        <v>-8633.1208575257606</v>
      </c>
    </row>
    <row r="732" spans="11:13" ht="12" customHeight="1" x14ac:dyDescent="0.25">
      <c r="K732" s="90">
        <f ca="1">_xlfn.LET(_xlpm.int, OFFSET(PSA.Data!$E734, 0, ($F$2-1)*6), _xlpm.ctrl, OFFSET(PSA.Data!$E734, 0, ($F$2-1)*6 + 1),
_xlpm.int - _xlpm.ctrl)</f>
        <v>29561131.091072183</v>
      </c>
      <c r="L732" s="421">
        <f ca="1">_xlfn.LET(_xlpm.int, OFFSET(PSA.Data!$H734, 0, ($F$2-1)*6), _xlpm.ctrl, OFFSET(PSA.Data!$H734, 0, ($F$2-1)*6 + 1),
_xlpm.int - _xlpm.ctrl)</f>
        <v>-5432.5932252582861</v>
      </c>
      <c r="M732" s="134">
        <f t="shared" ca="1" si="22"/>
        <v>-6910.6497798118953</v>
      </c>
    </row>
    <row r="733" spans="11:13" ht="12" customHeight="1" x14ac:dyDescent="0.25">
      <c r="K733" s="90">
        <f ca="1">_xlfn.LET(_xlpm.int, OFFSET(PSA.Data!$E735, 0, ($F$2-1)*6), _xlpm.ctrl, OFFSET(PSA.Data!$E735, 0, ($F$2-1)*6 + 1),
_xlpm.int - _xlpm.ctrl)</f>
        <v>12703986.322275233</v>
      </c>
      <c r="L733" s="421">
        <f ca="1">_xlfn.LET(_xlpm.int, OFFSET(PSA.Data!$H735, 0, ($F$2-1)*6), _xlpm.ctrl, OFFSET(PSA.Data!$H735, 0, ($F$2-1)*6 + 1),
_xlpm.int - _xlpm.ctrl)</f>
        <v>-6864.3332796974973</v>
      </c>
      <c r="M733" s="134">
        <f t="shared" ca="1" si="22"/>
        <v>-7499.5325958112589</v>
      </c>
    </row>
    <row r="734" spans="11:13" ht="12" customHeight="1" x14ac:dyDescent="0.25">
      <c r="K734" s="90">
        <f ca="1">_xlfn.LET(_xlpm.int, OFFSET(PSA.Data!$E736, 0, ($F$2-1)*6), _xlpm.ctrl, OFFSET(PSA.Data!$E736, 0, ($F$2-1)*6 + 1),
_xlpm.int - _xlpm.ctrl)</f>
        <v>43694852.111509696</v>
      </c>
      <c r="L734" s="421">
        <f ca="1">_xlfn.LET(_xlpm.int, OFFSET(PSA.Data!$H736, 0, ($F$2-1)*6), _xlpm.ctrl, OFFSET(PSA.Data!$H736, 0, ($F$2-1)*6 + 1),
_xlpm.int - _xlpm.ctrl)</f>
        <v>-6198.7351802932935</v>
      </c>
      <c r="M734" s="134">
        <f t="shared" ca="1" si="22"/>
        <v>-8383.4777858687776</v>
      </c>
    </row>
    <row r="735" spans="11:13" ht="12" customHeight="1" x14ac:dyDescent="0.25">
      <c r="K735" s="90">
        <f ca="1">_xlfn.LET(_xlpm.int, OFFSET(PSA.Data!$E737, 0, ($F$2-1)*6), _xlpm.ctrl, OFFSET(PSA.Data!$E737, 0, ($F$2-1)*6 + 1),
_xlpm.int - _xlpm.ctrl)</f>
        <v>13467445.879502457</v>
      </c>
      <c r="L735" s="421">
        <f ca="1">_xlfn.LET(_xlpm.int, OFFSET(PSA.Data!$H737, 0, ($F$2-1)*6), _xlpm.ctrl, OFFSET(PSA.Data!$H737, 0, ($F$2-1)*6 + 1),
_xlpm.int - _xlpm.ctrl)</f>
        <v>-4648.4137373096946</v>
      </c>
      <c r="M735" s="134">
        <f t="shared" ca="1" si="22"/>
        <v>-5321.786031284817</v>
      </c>
    </row>
    <row r="736" spans="11:13" ht="12" customHeight="1" x14ac:dyDescent="0.25">
      <c r="K736" s="90">
        <f ca="1">_xlfn.LET(_xlpm.int, OFFSET(PSA.Data!$E738, 0, ($F$2-1)*6), _xlpm.ctrl, OFFSET(PSA.Data!$E738, 0, ($F$2-1)*6 + 1),
_xlpm.int - _xlpm.ctrl)</f>
        <v>30834013.086301763</v>
      </c>
      <c r="L736" s="421">
        <f ca="1">_xlfn.LET(_xlpm.int, OFFSET(PSA.Data!$H738, 0, ($F$2-1)*6), _xlpm.ctrl, OFFSET(PSA.Data!$H738, 0, ($F$2-1)*6 + 1),
_xlpm.int - _xlpm.ctrl)</f>
        <v>-6904.9421058463849</v>
      </c>
      <c r="M736" s="134">
        <f t="shared" ca="1" si="22"/>
        <v>-8446.6427601614723</v>
      </c>
    </row>
    <row r="737" spans="11:13" ht="12" customHeight="1" x14ac:dyDescent="0.25">
      <c r="K737" s="90">
        <f ca="1">_xlfn.LET(_xlpm.int, OFFSET(PSA.Data!$E739, 0, ($F$2-1)*6), _xlpm.ctrl, OFFSET(PSA.Data!$E739, 0, ($F$2-1)*6 + 1),
_xlpm.int - _xlpm.ctrl)</f>
        <v>27651461.991615344</v>
      </c>
      <c r="L737" s="421">
        <f ca="1">_xlfn.LET(_xlpm.int, OFFSET(PSA.Data!$H739, 0, ($F$2-1)*6), _xlpm.ctrl, OFFSET(PSA.Data!$H739, 0, ($F$2-1)*6 + 1),
_xlpm.int - _xlpm.ctrl)</f>
        <v>-7054.2310963979098</v>
      </c>
      <c r="M737" s="134">
        <f t="shared" ca="1" si="22"/>
        <v>-8436.8041959786769</v>
      </c>
    </row>
    <row r="738" spans="11:13" ht="12" customHeight="1" x14ac:dyDescent="0.25">
      <c r="K738" s="90">
        <f ca="1">_xlfn.LET(_xlpm.int, OFFSET(PSA.Data!$E740, 0, ($F$2-1)*6), _xlpm.ctrl, OFFSET(PSA.Data!$E740, 0, ($F$2-1)*6 + 1),
_xlpm.int - _xlpm.ctrl)</f>
        <v>32510857.283999387</v>
      </c>
      <c r="L738" s="421">
        <f ca="1">_xlfn.LET(_xlpm.int, OFFSET(PSA.Data!$H740, 0, ($F$2-1)*6), _xlpm.ctrl, OFFSET(PSA.Data!$H740, 0, ($F$2-1)*6 + 1),
_xlpm.int - _xlpm.ctrl)</f>
        <v>-7271.5222733224655</v>
      </c>
      <c r="M738" s="134">
        <f t="shared" ca="1" si="22"/>
        <v>-8897.0651375224352</v>
      </c>
    </row>
    <row r="739" spans="11:13" ht="12" customHeight="1" x14ac:dyDescent="0.25">
      <c r="K739" s="90">
        <f ca="1">_xlfn.LET(_xlpm.int, OFFSET(PSA.Data!$E741, 0, ($F$2-1)*6), _xlpm.ctrl, OFFSET(PSA.Data!$E741, 0, ($F$2-1)*6 + 1),
_xlpm.int - _xlpm.ctrl)</f>
        <v>18830336.015934139</v>
      </c>
      <c r="L739" s="421">
        <f ca="1">_xlfn.LET(_xlpm.int, OFFSET(PSA.Data!$H741, 0, ($F$2-1)*6), _xlpm.ctrl, OFFSET(PSA.Data!$H741, 0, ($F$2-1)*6 + 1),
_xlpm.int - _xlpm.ctrl)</f>
        <v>-6160.1215402577709</v>
      </c>
      <c r="M739" s="134">
        <f t="shared" ca="1" si="22"/>
        <v>-7101.6383410544777</v>
      </c>
    </row>
    <row r="740" spans="11:13" ht="12" customHeight="1" x14ac:dyDescent="0.25">
      <c r="K740" s="90">
        <f ca="1">_xlfn.LET(_xlpm.int, OFFSET(PSA.Data!$E742, 0, ($F$2-1)*6), _xlpm.ctrl, OFFSET(PSA.Data!$E742, 0, ($F$2-1)*6 + 1),
_xlpm.int - _xlpm.ctrl)</f>
        <v>24259979.119824585</v>
      </c>
      <c r="L740" s="421">
        <f ca="1">_xlfn.LET(_xlpm.int, OFFSET(PSA.Data!$H742, 0, ($F$2-1)*6), _xlpm.ctrl, OFFSET(PSA.Data!$H742, 0, ($F$2-1)*6 + 1),
_xlpm.int - _xlpm.ctrl)</f>
        <v>-6451.7230269108786</v>
      </c>
      <c r="M740" s="134">
        <f t="shared" ca="1" si="22"/>
        <v>-7664.7219829021078</v>
      </c>
    </row>
    <row r="741" spans="11:13" ht="12" customHeight="1" x14ac:dyDescent="0.25">
      <c r="K741" s="90">
        <f ca="1">_xlfn.LET(_xlpm.int, OFFSET(PSA.Data!$E743, 0, ($F$2-1)*6), _xlpm.ctrl, OFFSET(PSA.Data!$E743, 0, ($F$2-1)*6 + 1),
_xlpm.int - _xlpm.ctrl)</f>
        <v>20952626.172633473</v>
      </c>
      <c r="L741" s="421">
        <f ca="1">_xlfn.LET(_xlpm.int, OFFSET(PSA.Data!$H743, 0, ($F$2-1)*6), _xlpm.ctrl, OFFSET(PSA.Data!$H743, 0, ($F$2-1)*6 + 1),
_xlpm.int - _xlpm.ctrl)</f>
        <v>-5187.3078387442429</v>
      </c>
      <c r="M741" s="134">
        <f t="shared" ca="1" si="22"/>
        <v>-6234.9391473759169</v>
      </c>
    </row>
    <row r="742" spans="11:13" ht="12" customHeight="1" x14ac:dyDescent="0.25">
      <c r="K742" s="90">
        <f ca="1">_xlfn.LET(_xlpm.int, OFFSET(PSA.Data!$E744, 0, ($F$2-1)*6), _xlpm.ctrl, OFFSET(PSA.Data!$E744, 0, ($F$2-1)*6 + 1),
_xlpm.int - _xlpm.ctrl)</f>
        <v>68975933.200364932</v>
      </c>
      <c r="L742" s="421">
        <f ca="1">_xlfn.LET(_xlpm.int, OFFSET(PSA.Data!$H744, 0, ($F$2-1)*6), _xlpm.ctrl, OFFSET(PSA.Data!$H744, 0, ($F$2-1)*6 + 1),
_xlpm.int - _xlpm.ctrl)</f>
        <v>-7924.0758768587039</v>
      </c>
      <c r="M742" s="134">
        <f t="shared" ca="1" si="22"/>
        <v>-11372.87253687695</v>
      </c>
    </row>
    <row r="743" spans="11:13" ht="12" customHeight="1" x14ac:dyDescent="0.25">
      <c r="K743" s="90">
        <f ca="1">_xlfn.LET(_xlpm.int, OFFSET(PSA.Data!$E745, 0, ($F$2-1)*6), _xlpm.ctrl, OFFSET(PSA.Data!$E745, 0, ($F$2-1)*6 + 1),
_xlpm.int - _xlpm.ctrl)</f>
        <v>26952278.610816244</v>
      </c>
      <c r="L743" s="421">
        <f ca="1">_xlfn.LET(_xlpm.int, OFFSET(PSA.Data!$H745, 0, ($F$2-1)*6), _xlpm.ctrl, OFFSET(PSA.Data!$H745, 0, ($F$2-1)*6 + 1),
_xlpm.int - _xlpm.ctrl)</f>
        <v>-6055.382496332606</v>
      </c>
      <c r="M743" s="134">
        <f t="shared" ca="1" si="22"/>
        <v>-7402.9964268734184</v>
      </c>
    </row>
    <row r="744" spans="11:13" ht="12" customHeight="1" x14ac:dyDescent="0.25">
      <c r="K744" s="90">
        <f ca="1">_xlfn.LET(_xlpm.int, OFFSET(PSA.Data!$E746, 0, ($F$2-1)*6), _xlpm.ctrl, OFFSET(PSA.Data!$E746, 0, ($F$2-1)*6 + 1),
_xlpm.int - _xlpm.ctrl)</f>
        <v>48639065.325798862</v>
      </c>
      <c r="L744" s="421">
        <f ca="1">_xlfn.LET(_xlpm.int, OFFSET(PSA.Data!$H746, 0, ($F$2-1)*6), _xlpm.ctrl, OFFSET(PSA.Data!$H746, 0, ($F$2-1)*6 + 1),
_xlpm.int - _xlpm.ctrl)</f>
        <v>-6764.4206892415132</v>
      </c>
      <c r="M744" s="134">
        <f t="shared" ca="1" si="22"/>
        <v>-9196.3739555314569</v>
      </c>
    </row>
    <row r="745" spans="11:13" ht="12" customHeight="1" x14ac:dyDescent="0.25">
      <c r="K745" s="90">
        <f ca="1">_xlfn.LET(_xlpm.int, OFFSET(PSA.Data!$E747, 0, ($F$2-1)*6), _xlpm.ctrl, OFFSET(PSA.Data!$E747, 0, ($F$2-1)*6 + 1),
_xlpm.int - _xlpm.ctrl)</f>
        <v>43714132.265260905</v>
      </c>
      <c r="L745" s="421">
        <f ca="1">_xlfn.LET(_xlpm.int, OFFSET(PSA.Data!$H747, 0, ($F$2-1)*6), _xlpm.ctrl, OFFSET(PSA.Data!$H747, 0, ($F$2-1)*6 + 1),
_xlpm.int - _xlpm.ctrl)</f>
        <v>-6908.4730792758746</v>
      </c>
      <c r="M745" s="134">
        <f t="shared" ca="1" si="22"/>
        <v>-9094.1796925389208</v>
      </c>
    </row>
    <row r="746" spans="11:13" ht="12" customHeight="1" x14ac:dyDescent="0.25">
      <c r="K746" s="90">
        <f ca="1">_xlfn.LET(_xlpm.int, OFFSET(PSA.Data!$E748, 0, ($F$2-1)*6), _xlpm.ctrl, OFFSET(PSA.Data!$E748, 0, ($F$2-1)*6 + 1),
_xlpm.int - _xlpm.ctrl)</f>
        <v>21674147.214430019</v>
      </c>
      <c r="L746" s="421">
        <f ca="1">_xlfn.LET(_xlpm.int, OFFSET(PSA.Data!$H748, 0, ($F$2-1)*6), _xlpm.ctrl, OFFSET(PSA.Data!$H748, 0, ($F$2-1)*6 + 1),
_xlpm.int - _xlpm.ctrl)</f>
        <v>-5589.3194631344331</v>
      </c>
      <c r="M746" s="134">
        <f t="shared" ca="1" si="22"/>
        <v>-6673.0268238559338</v>
      </c>
    </row>
    <row r="747" spans="11:13" ht="12" customHeight="1" x14ac:dyDescent="0.25">
      <c r="K747" s="90">
        <f ca="1">_xlfn.LET(_xlpm.int, OFFSET(PSA.Data!$E749, 0, ($F$2-1)*6), _xlpm.ctrl, OFFSET(PSA.Data!$E749, 0, ($F$2-1)*6 + 1),
_xlpm.int - _xlpm.ctrl)</f>
        <v>12625515.435937231</v>
      </c>
      <c r="L747" s="421">
        <f ca="1">_xlfn.LET(_xlpm.int, OFFSET(PSA.Data!$H749, 0, ($F$2-1)*6), _xlpm.ctrl, OFFSET(PSA.Data!$H749, 0, ($F$2-1)*6 + 1),
_xlpm.int - _xlpm.ctrl)</f>
        <v>-5119.7998114064339</v>
      </c>
      <c r="M747" s="134">
        <f t="shared" ca="1" si="22"/>
        <v>-5751.0755832032955</v>
      </c>
    </row>
    <row r="748" spans="11:13" ht="12" customHeight="1" x14ac:dyDescent="0.25">
      <c r="K748" s="90">
        <f ca="1">_xlfn.LET(_xlpm.int, OFFSET(PSA.Data!$E750, 0, ($F$2-1)*6), _xlpm.ctrl, OFFSET(PSA.Data!$E750, 0, ($F$2-1)*6 + 1),
_xlpm.int - _xlpm.ctrl)</f>
        <v>44578406.924472965</v>
      </c>
      <c r="L748" s="421">
        <f ca="1">_xlfn.LET(_xlpm.int, OFFSET(PSA.Data!$H750, 0, ($F$2-1)*6), _xlpm.ctrl, OFFSET(PSA.Data!$H750, 0, ($F$2-1)*6 + 1),
_xlpm.int - _xlpm.ctrl)</f>
        <v>-7707.4179157225353</v>
      </c>
      <c r="M748" s="134">
        <f t="shared" ca="1" si="22"/>
        <v>-9936.3382619461845</v>
      </c>
    </row>
    <row r="749" spans="11:13" ht="12" customHeight="1" x14ac:dyDescent="0.25">
      <c r="K749" s="90">
        <f ca="1">_xlfn.LET(_xlpm.int, OFFSET(PSA.Data!$E751, 0, ($F$2-1)*6), _xlpm.ctrl, OFFSET(PSA.Data!$E751, 0, ($F$2-1)*6 + 1),
_xlpm.int - _xlpm.ctrl)</f>
        <v>69105421.415780589</v>
      </c>
      <c r="L749" s="421">
        <f ca="1">_xlfn.LET(_xlpm.int, OFFSET(PSA.Data!$H751, 0, ($F$2-1)*6), _xlpm.ctrl, OFFSET(PSA.Data!$H751, 0, ($F$2-1)*6 + 1),
_xlpm.int - _xlpm.ctrl)</f>
        <v>-8700.5249112104357</v>
      </c>
      <c r="M749" s="134">
        <f t="shared" ca="1" si="22"/>
        <v>-12155.795981999465</v>
      </c>
    </row>
    <row r="750" spans="11:13" ht="12" customHeight="1" x14ac:dyDescent="0.25">
      <c r="K750" s="90">
        <f ca="1">_xlfn.LET(_xlpm.int, OFFSET(PSA.Data!$E752, 0, ($F$2-1)*6), _xlpm.ctrl, OFFSET(PSA.Data!$E752, 0, ($F$2-1)*6 + 1),
_xlpm.int - _xlpm.ctrl)</f>
        <v>56018451.92873919</v>
      </c>
      <c r="L750" s="421">
        <f ca="1">_xlfn.LET(_xlpm.int, OFFSET(PSA.Data!$H752, 0, ($F$2-1)*6), _xlpm.ctrl, OFFSET(PSA.Data!$H752, 0, ($F$2-1)*6 + 1),
_xlpm.int - _xlpm.ctrl)</f>
        <v>-6639.820132929045</v>
      </c>
      <c r="M750" s="134">
        <f t="shared" ca="1" si="22"/>
        <v>-9440.7427293660039</v>
      </c>
    </row>
    <row r="751" spans="11:13" ht="12" customHeight="1" x14ac:dyDescent="0.25">
      <c r="K751" s="90">
        <f ca="1">_xlfn.LET(_xlpm.int, OFFSET(PSA.Data!$E753, 0, ($F$2-1)*6), _xlpm.ctrl, OFFSET(PSA.Data!$E753, 0, ($F$2-1)*6 + 1),
_xlpm.int - _xlpm.ctrl)</f>
        <v>12980707.473549291</v>
      </c>
      <c r="L751" s="421">
        <f ca="1">_xlfn.LET(_xlpm.int, OFFSET(PSA.Data!$H753, 0, ($F$2-1)*6), _xlpm.ctrl, OFFSET(PSA.Data!$H753, 0, ($F$2-1)*6 + 1),
_xlpm.int - _xlpm.ctrl)</f>
        <v>-4983.5785042019716</v>
      </c>
      <c r="M751" s="134">
        <f t="shared" ca="1" si="22"/>
        <v>-5632.6138778794357</v>
      </c>
    </row>
    <row r="752" spans="11:13" ht="12" customHeight="1" x14ac:dyDescent="0.25">
      <c r="K752" s="90">
        <f ca="1">_xlfn.LET(_xlpm.int, OFFSET(PSA.Data!$E754, 0, ($F$2-1)*6), _xlpm.ctrl, OFFSET(PSA.Data!$E754, 0, ($F$2-1)*6 + 1),
_xlpm.int - _xlpm.ctrl)</f>
        <v>29730801.026276473</v>
      </c>
      <c r="L752" s="421">
        <f ca="1">_xlfn.LET(_xlpm.int, OFFSET(PSA.Data!$H754, 0, ($F$2-1)*6), _xlpm.ctrl, OFFSET(PSA.Data!$H754, 0, ($F$2-1)*6 + 1),
_xlpm.int - _xlpm.ctrl)</f>
        <v>-6350.7668821338584</v>
      </c>
      <c r="M752" s="134">
        <f t="shared" ca="1" si="22"/>
        <v>-7837.3069334476822</v>
      </c>
    </row>
    <row r="753" spans="11:13" ht="12" customHeight="1" x14ac:dyDescent="0.25">
      <c r="K753" s="90">
        <f ca="1">_xlfn.LET(_xlpm.int, OFFSET(PSA.Data!$E755, 0, ($F$2-1)*6), _xlpm.ctrl, OFFSET(PSA.Data!$E755, 0, ($F$2-1)*6 + 1),
_xlpm.int - _xlpm.ctrl)</f>
        <v>14767719.169640524</v>
      </c>
      <c r="L753" s="421">
        <f ca="1">_xlfn.LET(_xlpm.int, OFFSET(PSA.Data!$H755, 0, ($F$2-1)*6), _xlpm.ctrl, OFFSET(PSA.Data!$H755, 0, ($F$2-1)*6 + 1),
_xlpm.int - _xlpm.ctrl)</f>
        <v>-8119.0609226084143</v>
      </c>
      <c r="M753" s="134">
        <f t="shared" ca="1" si="22"/>
        <v>-8857.44688109044</v>
      </c>
    </row>
    <row r="754" spans="11:13" ht="12" customHeight="1" x14ac:dyDescent="0.25">
      <c r="K754" s="90">
        <f ca="1">_xlfn.LET(_xlpm.int, OFFSET(PSA.Data!$E756, 0, ($F$2-1)*6), _xlpm.ctrl, OFFSET(PSA.Data!$E756, 0, ($F$2-1)*6 + 1),
_xlpm.int - _xlpm.ctrl)</f>
        <v>31319830.935407478</v>
      </c>
      <c r="L754" s="421">
        <f ca="1">_xlfn.LET(_xlpm.int, OFFSET(PSA.Data!$H756, 0, ($F$2-1)*6), _xlpm.ctrl, OFFSET(PSA.Data!$H756, 0, ($F$2-1)*6 + 1),
_xlpm.int - _xlpm.ctrl)</f>
        <v>-5092.5797888992502</v>
      </c>
      <c r="M754" s="134">
        <f t="shared" ca="1" si="22"/>
        <v>-6658.5713356696242</v>
      </c>
    </row>
    <row r="755" spans="11:13" ht="12" customHeight="1" x14ac:dyDescent="0.25">
      <c r="K755" s="90">
        <f ca="1">_xlfn.LET(_xlpm.int, OFFSET(PSA.Data!$E757, 0, ($F$2-1)*6), _xlpm.ctrl, OFFSET(PSA.Data!$E757, 0, ($F$2-1)*6 + 1),
_xlpm.int - _xlpm.ctrl)</f>
        <v>22599325.43893604</v>
      </c>
      <c r="L755" s="421">
        <f ca="1">_xlfn.LET(_xlpm.int, OFFSET(PSA.Data!$H757, 0, ($F$2-1)*6), _xlpm.ctrl, OFFSET(PSA.Data!$H757, 0, ($F$2-1)*6 + 1),
_xlpm.int - _xlpm.ctrl)</f>
        <v>-5740.6259207778367</v>
      </c>
      <c r="M755" s="134">
        <f t="shared" ca="1" si="22"/>
        <v>-6870.5921927246382</v>
      </c>
    </row>
    <row r="756" spans="11:13" ht="12" customHeight="1" x14ac:dyDescent="0.25">
      <c r="K756" s="90">
        <f ca="1">_xlfn.LET(_xlpm.int, OFFSET(PSA.Data!$E758, 0, ($F$2-1)*6), _xlpm.ctrl, OFFSET(PSA.Data!$E758, 0, ($F$2-1)*6 + 1),
_xlpm.int - _xlpm.ctrl)</f>
        <v>22978435.633471761</v>
      </c>
      <c r="L756" s="421">
        <f ca="1">_xlfn.LET(_xlpm.int, OFFSET(PSA.Data!$H758, 0, ($F$2-1)*6), _xlpm.ctrl, OFFSET(PSA.Data!$H758, 0, ($F$2-1)*6 + 1),
_xlpm.int - _xlpm.ctrl)</f>
        <v>-5399.3382737526854</v>
      </c>
      <c r="M756" s="134">
        <f t="shared" ca="1" si="22"/>
        <v>-6548.2600554262735</v>
      </c>
    </row>
    <row r="757" spans="11:13" ht="12" customHeight="1" x14ac:dyDescent="0.25">
      <c r="K757" s="90">
        <f ca="1">_xlfn.LET(_xlpm.int, OFFSET(PSA.Data!$E759, 0, ($F$2-1)*6), _xlpm.ctrl, OFFSET(PSA.Data!$E759, 0, ($F$2-1)*6 + 1),
_xlpm.int - _xlpm.ctrl)</f>
        <v>24717680.337675076</v>
      </c>
      <c r="L757" s="421">
        <f ca="1">_xlfn.LET(_xlpm.int, OFFSET(PSA.Data!$H759, 0, ($F$2-1)*6), _xlpm.ctrl, OFFSET(PSA.Data!$H759, 0, ($F$2-1)*6 + 1),
_xlpm.int - _xlpm.ctrl)</f>
        <v>-4663.211228674425</v>
      </c>
      <c r="M757" s="134">
        <f t="shared" ca="1" si="22"/>
        <v>-5899.0952455581792</v>
      </c>
    </row>
    <row r="758" spans="11:13" ht="12" customHeight="1" x14ac:dyDescent="0.25">
      <c r="K758" s="90">
        <f ca="1">_xlfn.LET(_xlpm.int, OFFSET(PSA.Data!$E760, 0, ($F$2-1)*6), _xlpm.ctrl, OFFSET(PSA.Data!$E760, 0, ($F$2-1)*6 + 1),
_xlpm.int - _xlpm.ctrl)</f>
        <v>48131874.257723495</v>
      </c>
      <c r="L758" s="421">
        <f ca="1">_xlfn.LET(_xlpm.int, OFFSET(PSA.Data!$H760, 0, ($F$2-1)*6), _xlpm.ctrl, OFFSET(PSA.Data!$H760, 0, ($F$2-1)*6 + 1),
_xlpm.int - _xlpm.ctrl)</f>
        <v>-7880.0349949032552</v>
      </c>
      <c r="M758" s="134">
        <f t="shared" ca="1" si="22"/>
        <v>-10286.62870778943</v>
      </c>
    </row>
    <row r="759" spans="11:13" ht="12" customHeight="1" x14ac:dyDescent="0.25">
      <c r="K759" s="90">
        <f ca="1">_xlfn.LET(_xlpm.int, OFFSET(PSA.Data!$E761, 0, ($F$2-1)*6), _xlpm.ctrl, OFFSET(PSA.Data!$E761, 0, ($F$2-1)*6 + 1),
_xlpm.int - _xlpm.ctrl)</f>
        <v>30067845.482977599</v>
      </c>
      <c r="L759" s="421">
        <f ca="1">_xlfn.LET(_xlpm.int, OFFSET(PSA.Data!$H761, 0, ($F$2-1)*6), _xlpm.ctrl, OFFSET(PSA.Data!$H761, 0, ($F$2-1)*6 + 1),
_xlpm.int - _xlpm.ctrl)</f>
        <v>-4807.6498615620067</v>
      </c>
      <c r="M759" s="134">
        <f t="shared" ca="1" si="22"/>
        <v>-6311.0421357108862</v>
      </c>
    </row>
    <row r="760" spans="11:13" ht="12" customHeight="1" x14ac:dyDescent="0.25">
      <c r="K760" s="90">
        <f ca="1">_xlfn.LET(_xlpm.int, OFFSET(PSA.Data!$E762, 0, ($F$2-1)*6), _xlpm.ctrl, OFFSET(PSA.Data!$E762, 0, ($F$2-1)*6 + 1),
_xlpm.int - _xlpm.ctrl)</f>
        <v>35270368.749039046</v>
      </c>
      <c r="L760" s="421">
        <f ca="1">_xlfn.LET(_xlpm.int, OFFSET(PSA.Data!$H762, 0, ($F$2-1)*6), _xlpm.ctrl, OFFSET(PSA.Data!$H762, 0, ($F$2-1)*6 + 1),
_xlpm.int - _xlpm.ctrl)</f>
        <v>-5277.9007573219797</v>
      </c>
      <c r="M760" s="134">
        <f t="shared" ca="1" si="22"/>
        <v>-7041.4191947739318</v>
      </c>
    </row>
    <row r="761" spans="11:13" ht="12" customHeight="1" x14ac:dyDescent="0.25">
      <c r="K761" s="90">
        <f ca="1">_xlfn.LET(_xlpm.int, OFFSET(PSA.Data!$E763, 0, ($F$2-1)*6), _xlpm.ctrl, OFFSET(PSA.Data!$E763, 0, ($F$2-1)*6 + 1),
_xlpm.int - _xlpm.ctrl)</f>
        <v>43968411.425401233</v>
      </c>
      <c r="L761" s="421">
        <f ca="1">_xlfn.LET(_xlpm.int, OFFSET(PSA.Data!$H763, 0, ($F$2-1)*6), _xlpm.ctrl, OFFSET(PSA.Data!$H763, 0, ($F$2-1)*6 + 1),
_xlpm.int - _xlpm.ctrl)</f>
        <v>-7420.3923860025416</v>
      </c>
      <c r="M761" s="134">
        <f t="shared" ca="1" si="22"/>
        <v>-9618.8129572726029</v>
      </c>
    </row>
    <row r="762" spans="11:13" ht="12" customHeight="1" x14ac:dyDescent="0.25">
      <c r="K762" s="90">
        <f ca="1">_xlfn.LET(_xlpm.int, OFFSET(PSA.Data!$E764, 0, ($F$2-1)*6), _xlpm.ctrl, OFFSET(PSA.Data!$E764, 0, ($F$2-1)*6 + 1),
_xlpm.int - _xlpm.ctrl)</f>
        <v>71085744.283351302</v>
      </c>
      <c r="L762" s="421">
        <f ca="1">_xlfn.LET(_xlpm.int, OFFSET(PSA.Data!$H764, 0, ($F$2-1)*6), _xlpm.ctrl, OFFSET(PSA.Data!$H764, 0, ($F$2-1)*6 + 1),
_xlpm.int - _xlpm.ctrl)</f>
        <v>-8152.3250544407128</v>
      </c>
      <c r="M762" s="134">
        <f t="shared" ca="1" si="22"/>
        <v>-11706.612268608278</v>
      </c>
    </row>
    <row r="763" spans="11:13" ht="12" customHeight="1" x14ac:dyDescent="0.25">
      <c r="K763" s="90">
        <f ca="1">_xlfn.LET(_xlpm.int, OFFSET(PSA.Data!$E765, 0, ($F$2-1)*6), _xlpm.ctrl, OFFSET(PSA.Data!$E765, 0, ($F$2-1)*6 + 1),
_xlpm.int - _xlpm.ctrl)</f>
        <v>17064722.882938433</v>
      </c>
      <c r="L763" s="421">
        <f ca="1">_xlfn.LET(_xlpm.int, OFFSET(PSA.Data!$H765, 0, ($F$2-1)*6), _xlpm.ctrl, OFFSET(PSA.Data!$H765, 0, ($F$2-1)*6 + 1),
_xlpm.int - _xlpm.ctrl)</f>
        <v>-7061.563129162977</v>
      </c>
      <c r="M763" s="134">
        <f t="shared" ca="1" si="22"/>
        <v>-7914.799273309899</v>
      </c>
    </row>
    <row r="764" spans="11:13" ht="12" customHeight="1" x14ac:dyDescent="0.25">
      <c r="K764" s="90">
        <f ca="1">_xlfn.LET(_xlpm.int, OFFSET(PSA.Data!$E766, 0, ($F$2-1)*6), _xlpm.ctrl, OFFSET(PSA.Data!$E766, 0, ($F$2-1)*6 + 1),
_xlpm.int - _xlpm.ctrl)</f>
        <v>72389906.462523118</v>
      </c>
      <c r="L764" s="421">
        <f ca="1">_xlfn.LET(_xlpm.int, OFFSET(PSA.Data!$H766, 0, ($F$2-1)*6), _xlpm.ctrl, OFFSET(PSA.Data!$H766, 0, ($F$2-1)*6 + 1),
_xlpm.int - _xlpm.ctrl)</f>
        <v>-7742.5561869848352</v>
      </c>
      <c r="M764" s="134">
        <f t="shared" ca="1" si="22"/>
        <v>-11362.051510110992</v>
      </c>
    </row>
    <row r="765" spans="11:13" ht="12" customHeight="1" x14ac:dyDescent="0.25">
      <c r="K765" s="90">
        <f ca="1">_xlfn.LET(_xlpm.int, OFFSET(PSA.Data!$E767, 0, ($F$2-1)*6), _xlpm.ctrl, OFFSET(PSA.Data!$E767, 0, ($F$2-1)*6 + 1),
_xlpm.int - _xlpm.ctrl)</f>
        <v>26305810.158129029</v>
      </c>
      <c r="L765" s="421">
        <f ca="1">_xlfn.LET(_xlpm.int, OFFSET(PSA.Data!$H767, 0, ($F$2-1)*6), _xlpm.ctrl, OFFSET(PSA.Data!$H767, 0, ($F$2-1)*6 + 1),
_xlpm.int - _xlpm.ctrl)</f>
        <v>-6594.1803010056956</v>
      </c>
      <c r="M765" s="134">
        <f t="shared" ca="1" si="22"/>
        <v>-7909.4708089121468</v>
      </c>
    </row>
    <row r="766" spans="11:13" ht="12" customHeight="1" x14ac:dyDescent="0.25">
      <c r="K766" s="90">
        <f ca="1">_xlfn.LET(_xlpm.int, OFFSET(PSA.Data!$E768, 0, ($F$2-1)*6), _xlpm.ctrl, OFFSET(PSA.Data!$E768, 0, ($F$2-1)*6 + 1),
_xlpm.int - _xlpm.ctrl)</f>
        <v>47133446.05170241</v>
      </c>
      <c r="L766" s="421">
        <f ca="1">_xlfn.LET(_xlpm.int, OFFSET(PSA.Data!$H768, 0, ($F$2-1)*6), _xlpm.ctrl, OFFSET(PSA.Data!$H768, 0, ($F$2-1)*6 + 1),
_xlpm.int - _xlpm.ctrl)</f>
        <v>-7960.9536465956007</v>
      </c>
      <c r="M766" s="134">
        <f t="shared" ca="1" si="22"/>
        <v>-10317.625949180721</v>
      </c>
    </row>
    <row r="767" spans="11:13" ht="12" customHeight="1" x14ac:dyDescent="0.25">
      <c r="K767" s="90">
        <f ca="1">_xlfn.LET(_xlpm.int, OFFSET(PSA.Data!$E769, 0, ($F$2-1)*6), _xlpm.ctrl, OFFSET(PSA.Data!$E769, 0, ($F$2-1)*6 + 1),
_xlpm.int - _xlpm.ctrl)</f>
        <v>16319840.377202893</v>
      </c>
      <c r="L767" s="421">
        <f ca="1">_xlfn.LET(_xlpm.int, OFFSET(PSA.Data!$H769, 0, ($F$2-1)*6), _xlpm.ctrl, OFFSET(PSA.Data!$H769, 0, ($F$2-1)*6 + 1),
_xlpm.int - _xlpm.ctrl)</f>
        <v>-5905.9710730129646</v>
      </c>
      <c r="M767" s="134">
        <f t="shared" ca="1" si="22"/>
        <v>-6721.9630918731091</v>
      </c>
    </row>
    <row r="768" spans="11:13" ht="12" customHeight="1" x14ac:dyDescent="0.25">
      <c r="K768" s="90">
        <f ca="1">_xlfn.LET(_xlpm.int, OFFSET(PSA.Data!$E770, 0, ($F$2-1)*6), _xlpm.ctrl, OFFSET(PSA.Data!$E770, 0, ($F$2-1)*6 + 1),
_xlpm.int - _xlpm.ctrl)</f>
        <v>36714757.278390422</v>
      </c>
      <c r="L768" s="421">
        <f ca="1">_xlfn.LET(_xlpm.int, OFFSET(PSA.Data!$H770, 0, ($F$2-1)*6), _xlpm.ctrl, OFFSET(PSA.Data!$H770, 0, ($F$2-1)*6 + 1),
_xlpm.int - _xlpm.ctrl)</f>
        <v>-6868.2340715569044</v>
      </c>
      <c r="M768" s="134">
        <f t="shared" ca="1" si="22"/>
        <v>-8703.9719354764256</v>
      </c>
    </row>
    <row r="769" spans="11:13" ht="12" customHeight="1" x14ac:dyDescent="0.25">
      <c r="K769" s="90">
        <f ca="1">_xlfn.LET(_xlpm.int, OFFSET(PSA.Data!$E771, 0, ($F$2-1)*6), _xlpm.ctrl, OFFSET(PSA.Data!$E771, 0, ($F$2-1)*6 + 1),
_xlpm.int - _xlpm.ctrl)</f>
        <v>37163435.337174334</v>
      </c>
      <c r="L769" s="421">
        <f ca="1">_xlfn.LET(_xlpm.int, OFFSET(PSA.Data!$H771, 0, ($F$2-1)*6), _xlpm.ctrl, OFFSET(PSA.Data!$H771, 0, ($F$2-1)*6 + 1),
_xlpm.int - _xlpm.ctrl)</f>
        <v>-7021.0788143708778</v>
      </c>
      <c r="M769" s="134">
        <f t="shared" ca="1" si="22"/>
        <v>-8879.2505812295949</v>
      </c>
    </row>
    <row r="770" spans="11:13" ht="12" customHeight="1" x14ac:dyDescent="0.25">
      <c r="K770" s="90">
        <f ca="1">_xlfn.LET(_xlpm.int, OFFSET(PSA.Data!$E772, 0, ($F$2-1)*6), _xlpm.ctrl, OFFSET(PSA.Data!$E772, 0, ($F$2-1)*6 + 1),
_xlpm.int - _xlpm.ctrl)</f>
        <v>31852941.618839912</v>
      </c>
      <c r="L770" s="421">
        <f ca="1">_xlfn.LET(_xlpm.int, OFFSET(PSA.Data!$H772, 0, ($F$2-1)*6), _xlpm.ctrl, OFFSET(PSA.Data!$H772, 0, ($F$2-1)*6 + 1),
_xlpm.int - _xlpm.ctrl)</f>
        <v>-6463.2392599290224</v>
      </c>
      <c r="M770" s="134">
        <f t="shared" ca="1" si="22"/>
        <v>-8055.8863408710185</v>
      </c>
    </row>
    <row r="771" spans="11:13" ht="12" customHeight="1" x14ac:dyDescent="0.25">
      <c r="K771" s="90">
        <f ca="1">_xlfn.LET(_xlpm.int, OFFSET(PSA.Data!$E773, 0, ($F$2-1)*6), _xlpm.ctrl, OFFSET(PSA.Data!$E773, 0, ($F$2-1)*6 + 1),
_xlpm.int - _xlpm.ctrl)</f>
        <v>32988743.59603158</v>
      </c>
      <c r="L771" s="421">
        <f ca="1">_xlfn.LET(_xlpm.int, OFFSET(PSA.Data!$H773, 0, ($F$2-1)*6), _xlpm.ctrl, OFFSET(PSA.Data!$H773, 0, ($F$2-1)*6 + 1),
_xlpm.int - _xlpm.ctrl)</f>
        <v>-7810.0179482275398</v>
      </c>
      <c r="M771" s="134">
        <f t="shared" ca="1" si="22"/>
        <v>-9459.4551280291198</v>
      </c>
    </row>
    <row r="772" spans="11:13" ht="12" customHeight="1" x14ac:dyDescent="0.25">
      <c r="K772" s="90">
        <f ca="1">_xlfn.LET(_xlpm.int, OFFSET(PSA.Data!$E774, 0, ($F$2-1)*6), _xlpm.ctrl, OFFSET(PSA.Data!$E774, 0, ($F$2-1)*6 + 1),
_xlpm.int - _xlpm.ctrl)</f>
        <v>26808659.667413883</v>
      </c>
      <c r="L772" s="421">
        <f ca="1">_xlfn.LET(_xlpm.int, OFFSET(PSA.Data!$H774, 0, ($F$2-1)*6), _xlpm.ctrl, OFFSET(PSA.Data!$H774, 0, ($F$2-1)*6 + 1),
_xlpm.int - _xlpm.ctrl)</f>
        <v>-7238.4911131923272</v>
      </c>
      <c r="M772" s="134">
        <f t="shared" ca="1" si="22"/>
        <v>-8578.9240965630215</v>
      </c>
    </row>
    <row r="773" spans="11:13" ht="12" customHeight="1" x14ac:dyDescent="0.25">
      <c r="K773" s="90">
        <f ca="1">_xlfn.LET(_xlpm.int, OFFSET(PSA.Data!$E775, 0, ($F$2-1)*6), _xlpm.ctrl, OFFSET(PSA.Data!$E775, 0, ($F$2-1)*6 + 1),
_xlpm.int - _xlpm.ctrl)</f>
        <v>29145896.074576873</v>
      </c>
      <c r="L773" s="421">
        <f ca="1">_xlfn.LET(_xlpm.int, OFFSET(PSA.Data!$H775, 0, ($F$2-1)*6), _xlpm.ctrl, OFFSET(PSA.Data!$H775, 0, ($F$2-1)*6 + 1),
_xlpm.int - _xlpm.ctrl)</f>
        <v>-5239.0916964666449</v>
      </c>
      <c r="M773" s="134">
        <f t="shared" ca="1" si="22"/>
        <v>-6696.3865001954882</v>
      </c>
    </row>
    <row r="774" spans="11:13" ht="12" customHeight="1" x14ac:dyDescent="0.25">
      <c r="K774" s="90">
        <f ca="1">_xlfn.LET(_xlpm.int, OFFSET(PSA.Data!$E776, 0, ($F$2-1)*6), _xlpm.ctrl, OFFSET(PSA.Data!$E776, 0, ($F$2-1)*6 + 1),
_xlpm.int - _xlpm.ctrl)</f>
        <v>11488550.041262686</v>
      </c>
      <c r="L774" s="421">
        <f ca="1">_xlfn.LET(_xlpm.int, OFFSET(PSA.Data!$H776, 0, ($F$2-1)*6), _xlpm.ctrl, OFFSET(PSA.Data!$H776, 0, ($F$2-1)*6 + 1),
_xlpm.int - _xlpm.ctrl)</f>
        <v>-4785.2745900098134</v>
      </c>
      <c r="M774" s="134">
        <f t="shared" ca="1" si="22"/>
        <v>-5359.7020920729474</v>
      </c>
    </row>
    <row r="775" spans="11:13" ht="12" customHeight="1" x14ac:dyDescent="0.25">
      <c r="K775" s="90">
        <f ca="1">_xlfn.LET(_xlpm.int, OFFSET(PSA.Data!$E777, 0, ($F$2-1)*6), _xlpm.ctrl, OFFSET(PSA.Data!$E777, 0, ($F$2-1)*6 + 1),
_xlpm.int - _xlpm.ctrl)</f>
        <v>17413128.228787988</v>
      </c>
      <c r="L775" s="421">
        <f ca="1">_xlfn.LET(_xlpm.int, OFFSET(PSA.Data!$H777, 0, ($F$2-1)*6), _xlpm.ctrl, OFFSET(PSA.Data!$H777, 0, ($F$2-1)*6 + 1),
_xlpm.int - _xlpm.ctrl)</f>
        <v>-5876.1101537304003</v>
      </c>
      <c r="M775" s="134">
        <f t="shared" ca="1" si="22"/>
        <v>-6746.7665651697998</v>
      </c>
    </row>
    <row r="776" spans="11:13" ht="12" customHeight="1" x14ac:dyDescent="0.25">
      <c r="K776" s="90">
        <f ca="1">_xlfn.LET(_xlpm.int, OFFSET(PSA.Data!$E778, 0, ($F$2-1)*6), _xlpm.ctrl, OFFSET(PSA.Data!$E778, 0, ($F$2-1)*6 + 1),
_xlpm.int - _xlpm.ctrl)</f>
        <v>33418463.971530948</v>
      </c>
      <c r="L776" s="421">
        <f ca="1">_xlfn.LET(_xlpm.int, OFFSET(PSA.Data!$H778, 0, ($F$2-1)*6), _xlpm.ctrl, OFFSET(PSA.Data!$H778, 0, ($F$2-1)*6 + 1),
_xlpm.int - _xlpm.ctrl)</f>
        <v>-5542.1265469163427</v>
      </c>
      <c r="M776" s="134">
        <f t="shared" ca="1" si="22"/>
        <v>-7213.04974549289</v>
      </c>
    </row>
    <row r="777" spans="11:13" ht="12" customHeight="1" x14ac:dyDescent="0.25">
      <c r="K777" s="90">
        <f ca="1">_xlfn.LET(_xlpm.int, OFFSET(PSA.Data!$E779, 0, ($F$2-1)*6), _xlpm.ctrl, OFFSET(PSA.Data!$E779, 0, ($F$2-1)*6 + 1),
_xlpm.int - _xlpm.ctrl)</f>
        <v>24491544.979373716</v>
      </c>
      <c r="L777" s="421">
        <f ca="1">_xlfn.LET(_xlpm.int, OFFSET(PSA.Data!$H779, 0, ($F$2-1)*6), _xlpm.ctrl, OFFSET(PSA.Data!$H779, 0, ($F$2-1)*6 + 1),
_xlpm.int - _xlpm.ctrl)</f>
        <v>-6169.3892303566518</v>
      </c>
      <c r="M777" s="134">
        <f t="shared" ca="1" si="22"/>
        <v>-7393.9664793253378</v>
      </c>
    </row>
    <row r="778" spans="11:13" ht="12" customHeight="1" x14ac:dyDescent="0.25">
      <c r="K778" s="90">
        <f ca="1">_xlfn.LET(_xlpm.int, OFFSET(PSA.Data!$E780, 0, ($F$2-1)*6), _xlpm.ctrl, OFFSET(PSA.Data!$E780, 0, ($F$2-1)*6 + 1),
_xlpm.int - _xlpm.ctrl)</f>
        <v>31896825.103424296</v>
      </c>
      <c r="L778" s="421">
        <f ca="1">_xlfn.LET(_xlpm.int, OFFSET(PSA.Data!$H780, 0, ($F$2-1)*6), _xlpm.ctrl, OFFSET(PSA.Data!$H780, 0, ($F$2-1)*6 + 1),
_xlpm.int - _xlpm.ctrl)</f>
        <v>-4868.8537475410058</v>
      </c>
      <c r="M778" s="134">
        <f t="shared" ca="1" si="22"/>
        <v>-6463.6950027122202</v>
      </c>
    </row>
    <row r="779" spans="11:13" ht="12" customHeight="1" x14ac:dyDescent="0.25">
      <c r="K779" s="90">
        <f ca="1">_xlfn.LET(_xlpm.int, OFFSET(PSA.Data!$E781, 0, ($F$2-1)*6), _xlpm.ctrl, OFFSET(PSA.Data!$E781, 0, ($F$2-1)*6 + 1),
_xlpm.int - _xlpm.ctrl)</f>
        <v>33999509.867355257</v>
      </c>
      <c r="L779" s="421">
        <f ca="1">_xlfn.LET(_xlpm.int, OFFSET(PSA.Data!$H781, 0, ($F$2-1)*6), _xlpm.ctrl, OFFSET(PSA.Data!$H781, 0, ($F$2-1)*6 + 1),
_xlpm.int - _xlpm.ctrl)</f>
        <v>-5904.3087142861987</v>
      </c>
      <c r="M779" s="134">
        <f t="shared" ca="1" si="22"/>
        <v>-7604.2842076539619</v>
      </c>
    </row>
    <row r="780" spans="11:13" ht="12" customHeight="1" x14ac:dyDescent="0.25">
      <c r="K780" s="90">
        <f ca="1">_xlfn.LET(_xlpm.int, OFFSET(PSA.Data!$E782, 0, ($F$2-1)*6), _xlpm.ctrl, OFFSET(PSA.Data!$E782, 0, ($F$2-1)*6 + 1),
_xlpm.int - _xlpm.ctrl)</f>
        <v>32935842.490274779</v>
      </c>
      <c r="L780" s="421">
        <f ca="1">_xlfn.LET(_xlpm.int, OFFSET(PSA.Data!$H782, 0, ($F$2-1)*6), _xlpm.ctrl, OFFSET(PSA.Data!$H782, 0, ($F$2-1)*6 + 1),
_xlpm.int - _xlpm.ctrl)</f>
        <v>-6407.500625565367</v>
      </c>
      <c r="M780" s="134">
        <f t="shared" ca="1" si="22"/>
        <v>-8054.2927500791066</v>
      </c>
    </row>
    <row r="781" spans="11:13" ht="12" customHeight="1" x14ac:dyDescent="0.25">
      <c r="K781" s="90">
        <f ca="1">_xlfn.LET(_xlpm.int, OFFSET(PSA.Data!$E783, 0, ($F$2-1)*6), _xlpm.ctrl, OFFSET(PSA.Data!$E783, 0, ($F$2-1)*6 + 1),
_xlpm.int - _xlpm.ctrl)</f>
        <v>44307934.32561662</v>
      </c>
      <c r="L781" s="421">
        <f ca="1">_xlfn.LET(_xlpm.int, OFFSET(PSA.Data!$H783, 0, ($F$2-1)*6), _xlpm.ctrl, OFFSET(PSA.Data!$H783, 0, ($F$2-1)*6 + 1),
_xlpm.int - _xlpm.ctrl)</f>
        <v>-8806.9296122859269</v>
      </c>
      <c r="M781" s="134">
        <f t="shared" ca="1" si="22"/>
        <v>-11022.326328566758</v>
      </c>
    </row>
    <row r="782" spans="11:13" ht="12" customHeight="1" x14ac:dyDescent="0.25">
      <c r="K782" s="90">
        <f ca="1">_xlfn.LET(_xlpm.int, OFFSET(PSA.Data!$E784, 0, ($F$2-1)*6), _xlpm.ctrl, OFFSET(PSA.Data!$E784, 0, ($F$2-1)*6 + 1),
_xlpm.int - _xlpm.ctrl)</f>
        <v>98445380.259232014</v>
      </c>
      <c r="L782" s="421">
        <f ca="1">_xlfn.LET(_xlpm.int, OFFSET(PSA.Data!$H784, 0, ($F$2-1)*6), _xlpm.ctrl, OFFSET(PSA.Data!$H784, 0, ($F$2-1)*6 + 1),
_xlpm.int - _xlpm.ctrl)</f>
        <v>-9644.9515340974849</v>
      </c>
      <c r="M782" s="134">
        <f t="shared" ca="1" si="22"/>
        <v>-14567.220547059085</v>
      </c>
    </row>
    <row r="783" spans="11:13" ht="12" customHeight="1" x14ac:dyDescent="0.25">
      <c r="K783" s="90">
        <f ca="1">_xlfn.LET(_xlpm.int, OFFSET(PSA.Data!$E785, 0, ($F$2-1)*6), _xlpm.ctrl, OFFSET(PSA.Data!$E785, 0, ($F$2-1)*6 + 1),
_xlpm.int - _xlpm.ctrl)</f>
        <v>30629108.028449021</v>
      </c>
      <c r="L783" s="421">
        <f ca="1">_xlfn.LET(_xlpm.int, OFFSET(PSA.Data!$H785, 0, ($F$2-1)*6), _xlpm.ctrl, OFFSET(PSA.Data!$H785, 0, ($F$2-1)*6 + 1),
_xlpm.int - _xlpm.ctrl)</f>
        <v>-5924.2603695209464</v>
      </c>
      <c r="M783" s="134">
        <f t="shared" ca="1" si="22"/>
        <v>-7455.7157709433977</v>
      </c>
    </row>
    <row r="784" spans="11:13" ht="12" customHeight="1" x14ac:dyDescent="0.25">
      <c r="K784" s="90">
        <f ca="1">_xlfn.LET(_xlpm.int, OFFSET(PSA.Data!$E786, 0, ($F$2-1)*6), _xlpm.ctrl, OFFSET(PSA.Data!$E786, 0, ($F$2-1)*6 + 1),
_xlpm.int - _xlpm.ctrl)</f>
        <v>50962714.768471263</v>
      </c>
      <c r="L784" s="421">
        <f ca="1">_xlfn.LET(_xlpm.int, OFFSET(PSA.Data!$H786, 0, ($F$2-1)*6), _xlpm.ctrl, OFFSET(PSA.Data!$H786, 0, ($F$2-1)*6 + 1),
_xlpm.int - _xlpm.ctrl)</f>
        <v>-5652.3287510941263</v>
      </c>
      <c r="M784" s="134">
        <f t="shared" ref="M784:M847" ca="1" si="23">L784-K784/WTP</f>
        <v>-8200.4644895176898</v>
      </c>
    </row>
    <row r="785" spans="11:13" ht="12" customHeight="1" x14ac:dyDescent="0.25">
      <c r="K785" s="90">
        <f ca="1">_xlfn.LET(_xlpm.int, OFFSET(PSA.Data!$E787, 0, ($F$2-1)*6), _xlpm.ctrl, OFFSET(PSA.Data!$E787, 0, ($F$2-1)*6 + 1),
_xlpm.int - _xlpm.ctrl)</f>
        <v>34597935.492998473</v>
      </c>
      <c r="L785" s="421">
        <f ca="1">_xlfn.LET(_xlpm.int, OFFSET(PSA.Data!$H787, 0, ($F$2-1)*6), _xlpm.ctrl, OFFSET(PSA.Data!$H787, 0, ($F$2-1)*6 + 1),
_xlpm.int - _xlpm.ctrl)</f>
        <v>-5656.9892370786965</v>
      </c>
      <c r="M785" s="134">
        <f t="shared" ca="1" si="23"/>
        <v>-7386.8860117286204</v>
      </c>
    </row>
    <row r="786" spans="11:13" ht="12" customHeight="1" x14ac:dyDescent="0.25">
      <c r="K786" s="90">
        <f ca="1">_xlfn.LET(_xlpm.int, OFFSET(PSA.Data!$E788, 0, ($F$2-1)*6), _xlpm.ctrl, OFFSET(PSA.Data!$E788, 0, ($F$2-1)*6 + 1),
_xlpm.int - _xlpm.ctrl)</f>
        <v>39014923.180298992</v>
      </c>
      <c r="L786" s="421">
        <f ca="1">_xlfn.LET(_xlpm.int, OFFSET(PSA.Data!$H788, 0, ($F$2-1)*6), _xlpm.ctrl, OFFSET(PSA.Data!$H788, 0, ($F$2-1)*6 + 1),
_xlpm.int - _xlpm.ctrl)</f>
        <v>-7140.5150067508639</v>
      </c>
      <c r="M786" s="134">
        <f t="shared" ca="1" si="23"/>
        <v>-9091.2611657658126</v>
      </c>
    </row>
    <row r="787" spans="11:13" ht="12" customHeight="1" x14ac:dyDescent="0.25">
      <c r="K787" s="90">
        <f ca="1">_xlfn.LET(_xlpm.int, OFFSET(PSA.Data!$E789, 0, ($F$2-1)*6), _xlpm.ctrl, OFFSET(PSA.Data!$E789, 0, ($F$2-1)*6 + 1),
_xlpm.int - _xlpm.ctrl)</f>
        <v>23741129.38550856</v>
      </c>
      <c r="L787" s="421">
        <f ca="1">_xlfn.LET(_xlpm.int, OFFSET(PSA.Data!$H789, 0, ($F$2-1)*6), _xlpm.ctrl, OFFSET(PSA.Data!$H789, 0, ($F$2-1)*6 + 1),
_xlpm.int - _xlpm.ctrl)</f>
        <v>-5940.9975907169537</v>
      </c>
      <c r="M787" s="134">
        <f t="shared" ca="1" si="23"/>
        <v>-7128.0540599923816</v>
      </c>
    </row>
    <row r="788" spans="11:13" ht="12" customHeight="1" x14ac:dyDescent="0.25">
      <c r="K788" s="90">
        <f ca="1">_xlfn.LET(_xlpm.int, OFFSET(PSA.Data!$E790, 0, ($F$2-1)*6), _xlpm.ctrl, OFFSET(PSA.Data!$E790, 0, ($F$2-1)*6 + 1),
_xlpm.int - _xlpm.ctrl)</f>
        <v>33459873.911236234</v>
      </c>
      <c r="L788" s="421">
        <f ca="1">_xlfn.LET(_xlpm.int, OFFSET(PSA.Data!$H790, 0, ($F$2-1)*6), _xlpm.ctrl, OFFSET(PSA.Data!$H790, 0, ($F$2-1)*6 + 1),
_xlpm.int - _xlpm.ctrl)</f>
        <v>-6787.9387894745123</v>
      </c>
      <c r="M788" s="134">
        <f t="shared" ca="1" si="23"/>
        <v>-8460.9324850363246</v>
      </c>
    </row>
    <row r="789" spans="11:13" ht="12" customHeight="1" x14ac:dyDescent="0.25">
      <c r="K789" s="90">
        <f ca="1">_xlfn.LET(_xlpm.int, OFFSET(PSA.Data!$E791, 0, ($F$2-1)*6), _xlpm.ctrl, OFFSET(PSA.Data!$E791, 0, ($F$2-1)*6 + 1),
_xlpm.int - _xlpm.ctrl)</f>
        <v>19246600.39260022</v>
      </c>
      <c r="L789" s="421">
        <f ca="1">_xlfn.LET(_xlpm.int, OFFSET(PSA.Data!$H791, 0, ($F$2-1)*6), _xlpm.ctrl, OFFSET(PSA.Data!$H791, 0, ($F$2-1)*6 + 1),
_xlpm.int - _xlpm.ctrl)</f>
        <v>-6467.207523793174</v>
      </c>
      <c r="M789" s="134">
        <f t="shared" ca="1" si="23"/>
        <v>-7429.5375434231846</v>
      </c>
    </row>
    <row r="790" spans="11:13" ht="12" customHeight="1" x14ac:dyDescent="0.25">
      <c r="K790" s="90">
        <f ca="1">_xlfn.LET(_xlpm.int, OFFSET(PSA.Data!$E792, 0, ($F$2-1)*6), _xlpm.ctrl, OFFSET(PSA.Data!$E792, 0, ($F$2-1)*6 + 1),
_xlpm.int - _xlpm.ctrl)</f>
        <v>21453738.051234659</v>
      </c>
      <c r="L790" s="421">
        <f ca="1">_xlfn.LET(_xlpm.int, OFFSET(PSA.Data!$H792, 0, ($F$2-1)*6), _xlpm.ctrl, OFFSET(PSA.Data!$H792, 0, ($F$2-1)*6 + 1),
_xlpm.int - _xlpm.ctrl)</f>
        <v>-5494.6747389622778</v>
      </c>
      <c r="M790" s="134">
        <f t="shared" ca="1" si="23"/>
        <v>-6567.3616415240103</v>
      </c>
    </row>
    <row r="791" spans="11:13" ht="12" customHeight="1" x14ac:dyDescent="0.25">
      <c r="K791" s="90">
        <f ca="1">_xlfn.LET(_xlpm.int, OFFSET(PSA.Data!$E793, 0, ($F$2-1)*6), _xlpm.ctrl, OFFSET(PSA.Data!$E793, 0, ($F$2-1)*6 + 1),
_xlpm.int - _xlpm.ctrl)</f>
        <v>15506352.771299118</v>
      </c>
      <c r="L791" s="421">
        <f ca="1">_xlfn.LET(_xlpm.int, OFFSET(PSA.Data!$H793, 0, ($F$2-1)*6), _xlpm.ctrl, OFFSET(PSA.Data!$H793, 0, ($F$2-1)*6 + 1),
_xlpm.int - _xlpm.ctrl)</f>
        <v>-4623.7717580576864</v>
      </c>
      <c r="M791" s="134">
        <f t="shared" ca="1" si="23"/>
        <v>-5399.0893966226422</v>
      </c>
    </row>
    <row r="792" spans="11:13" ht="12" customHeight="1" x14ac:dyDescent="0.25">
      <c r="K792" s="90">
        <f ca="1">_xlfn.LET(_xlpm.int, OFFSET(PSA.Data!$E794, 0, ($F$2-1)*6), _xlpm.ctrl, OFFSET(PSA.Data!$E794, 0, ($F$2-1)*6 + 1),
_xlpm.int - _xlpm.ctrl)</f>
        <v>14135368.446825368</v>
      </c>
      <c r="L792" s="421">
        <f ca="1">_xlfn.LET(_xlpm.int, OFFSET(PSA.Data!$H794, 0, ($F$2-1)*6), _xlpm.ctrl, OFFSET(PSA.Data!$H794, 0, ($F$2-1)*6 + 1),
_xlpm.int - _xlpm.ctrl)</f>
        <v>-5336.9695676821921</v>
      </c>
      <c r="M792" s="134">
        <f t="shared" ca="1" si="23"/>
        <v>-6043.737990023461</v>
      </c>
    </row>
    <row r="793" spans="11:13" ht="12" customHeight="1" x14ac:dyDescent="0.25">
      <c r="K793" s="90">
        <f ca="1">_xlfn.LET(_xlpm.int, OFFSET(PSA.Data!$E795, 0, ($F$2-1)*6), _xlpm.ctrl, OFFSET(PSA.Data!$E795, 0, ($F$2-1)*6 + 1),
_xlpm.int - _xlpm.ctrl)</f>
        <v>28555608.206913978</v>
      </c>
      <c r="L793" s="421">
        <f ca="1">_xlfn.LET(_xlpm.int, OFFSET(PSA.Data!$H795, 0, ($F$2-1)*6), _xlpm.ctrl, OFFSET(PSA.Data!$H795, 0, ($F$2-1)*6 + 1),
_xlpm.int - _xlpm.ctrl)</f>
        <v>-5657.6857556172872</v>
      </c>
      <c r="M793" s="134">
        <f t="shared" ca="1" si="23"/>
        <v>-7085.4661659629855</v>
      </c>
    </row>
    <row r="794" spans="11:13" ht="12" customHeight="1" x14ac:dyDescent="0.25">
      <c r="K794" s="90">
        <f ca="1">_xlfn.LET(_xlpm.int, OFFSET(PSA.Data!$E796, 0, ($F$2-1)*6), _xlpm.ctrl, OFFSET(PSA.Data!$E796, 0, ($F$2-1)*6 + 1),
_xlpm.int - _xlpm.ctrl)</f>
        <v>36640556.171152815</v>
      </c>
      <c r="L794" s="421">
        <f ca="1">_xlfn.LET(_xlpm.int, OFFSET(PSA.Data!$H796, 0, ($F$2-1)*6), _xlpm.ctrl, OFFSET(PSA.Data!$H796, 0, ($F$2-1)*6 + 1),
_xlpm.int - _xlpm.ctrl)</f>
        <v>-6340.8483412700716</v>
      </c>
      <c r="M794" s="134">
        <f t="shared" ca="1" si="23"/>
        <v>-8172.8761498277127</v>
      </c>
    </row>
    <row r="795" spans="11:13" ht="12" customHeight="1" x14ac:dyDescent="0.25">
      <c r="K795" s="90">
        <f ca="1">_xlfn.LET(_xlpm.int, OFFSET(PSA.Data!$E797, 0, ($F$2-1)*6), _xlpm.ctrl, OFFSET(PSA.Data!$E797, 0, ($F$2-1)*6 + 1),
_xlpm.int - _xlpm.ctrl)</f>
        <v>17370106.177359372</v>
      </c>
      <c r="L795" s="421">
        <f ca="1">_xlfn.LET(_xlpm.int, OFFSET(PSA.Data!$H797, 0, ($F$2-1)*6), _xlpm.ctrl, OFFSET(PSA.Data!$H797, 0, ($F$2-1)*6 + 1),
_xlpm.int - _xlpm.ctrl)</f>
        <v>-5920.962060401409</v>
      </c>
      <c r="M795" s="134">
        <f t="shared" ca="1" si="23"/>
        <v>-6789.4673692693777</v>
      </c>
    </row>
    <row r="796" spans="11:13" ht="12" customHeight="1" x14ac:dyDescent="0.25">
      <c r="K796" s="90">
        <f ca="1">_xlfn.LET(_xlpm.int, OFFSET(PSA.Data!$E798, 0, ($F$2-1)*6), _xlpm.ctrl, OFFSET(PSA.Data!$E798, 0, ($F$2-1)*6 + 1),
_xlpm.int - _xlpm.ctrl)</f>
        <v>21196147.121543977</v>
      </c>
      <c r="L796" s="421">
        <f ca="1">_xlfn.LET(_xlpm.int, OFFSET(PSA.Data!$H798, 0, ($F$2-1)*6), _xlpm.ctrl, OFFSET(PSA.Data!$H798, 0, ($F$2-1)*6 + 1),
_xlpm.int - _xlpm.ctrl)</f>
        <v>-8186.2262541234704</v>
      </c>
      <c r="M796" s="134">
        <f t="shared" ca="1" si="23"/>
        <v>-9246.0336102006695</v>
      </c>
    </row>
    <row r="797" spans="11:13" ht="12" customHeight="1" x14ac:dyDescent="0.25">
      <c r="K797" s="90">
        <f ca="1">_xlfn.LET(_xlpm.int, OFFSET(PSA.Data!$E799, 0, ($F$2-1)*6), _xlpm.ctrl, OFFSET(PSA.Data!$E799, 0, ($F$2-1)*6 + 1),
_xlpm.int - _xlpm.ctrl)</f>
        <v>44191471.016697623</v>
      </c>
      <c r="L797" s="421">
        <f ca="1">_xlfn.LET(_xlpm.int, OFFSET(PSA.Data!$H799, 0, ($F$2-1)*6), _xlpm.ctrl, OFFSET(PSA.Data!$H799, 0, ($F$2-1)*6 + 1),
_xlpm.int - _xlpm.ctrl)</f>
        <v>-5831.8591119413632</v>
      </c>
      <c r="M797" s="134">
        <f t="shared" ca="1" si="23"/>
        <v>-8041.4326627762439</v>
      </c>
    </row>
    <row r="798" spans="11:13" ht="12" customHeight="1" x14ac:dyDescent="0.25">
      <c r="K798" s="90">
        <f ca="1">_xlfn.LET(_xlpm.int, OFFSET(PSA.Data!$E800, 0, ($F$2-1)*6), _xlpm.ctrl, OFFSET(PSA.Data!$E800, 0, ($F$2-1)*6 + 1),
_xlpm.int - _xlpm.ctrl)</f>
        <v>40938899.475476928</v>
      </c>
      <c r="L798" s="421">
        <f ca="1">_xlfn.LET(_xlpm.int, OFFSET(PSA.Data!$H800, 0, ($F$2-1)*6), _xlpm.ctrl, OFFSET(PSA.Data!$H800, 0, ($F$2-1)*6 + 1),
_xlpm.int - _xlpm.ctrl)</f>
        <v>-7938.2707934702994</v>
      </c>
      <c r="M798" s="134">
        <f t="shared" ca="1" si="23"/>
        <v>-9985.2157672441463</v>
      </c>
    </row>
    <row r="799" spans="11:13" ht="12" customHeight="1" x14ac:dyDescent="0.25">
      <c r="K799" s="90">
        <f ca="1">_xlfn.LET(_xlpm.int, OFFSET(PSA.Data!$E801, 0, ($F$2-1)*6), _xlpm.ctrl, OFFSET(PSA.Data!$E801, 0, ($F$2-1)*6 + 1),
_xlpm.int - _xlpm.ctrl)</f>
        <v>11131189.08656301</v>
      </c>
      <c r="L799" s="421">
        <f ca="1">_xlfn.LET(_xlpm.int, OFFSET(PSA.Data!$H801, 0, ($F$2-1)*6), _xlpm.ctrl, OFFSET(PSA.Data!$H801, 0, ($F$2-1)*6 + 1),
_xlpm.int - _xlpm.ctrl)</f>
        <v>-5245.1270620968226</v>
      </c>
      <c r="M799" s="134">
        <f t="shared" ca="1" si="23"/>
        <v>-5801.686516424973</v>
      </c>
    </row>
    <row r="800" spans="11:13" ht="12" customHeight="1" x14ac:dyDescent="0.25">
      <c r="K800" s="90">
        <f ca="1">_xlfn.LET(_xlpm.int, OFFSET(PSA.Data!$E802, 0, ($F$2-1)*6), _xlpm.ctrl, OFFSET(PSA.Data!$E802, 0, ($F$2-1)*6 + 1),
_xlpm.int - _xlpm.ctrl)</f>
        <v>16024203.892641008</v>
      </c>
      <c r="L800" s="421">
        <f ca="1">_xlfn.LET(_xlpm.int, OFFSET(PSA.Data!$H802, 0, ($F$2-1)*6), _xlpm.ctrl, OFFSET(PSA.Data!$H802, 0, ($F$2-1)*6 + 1),
_xlpm.int - _xlpm.ctrl)</f>
        <v>-6877.8745464482372</v>
      </c>
      <c r="M800" s="134">
        <f t="shared" ca="1" si="23"/>
        <v>-7679.0847410802871</v>
      </c>
    </row>
    <row r="801" spans="11:13" ht="12" customHeight="1" x14ac:dyDescent="0.25">
      <c r="K801" s="90">
        <f ca="1">_xlfn.LET(_xlpm.int, OFFSET(PSA.Data!$E803, 0, ($F$2-1)*6), _xlpm.ctrl, OFFSET(PSA.Data!$E803, 0, ($F$2-1)*6 + 1),
_xlpm.int - _xlpm.ctrl)</f>
        <v>40419924.327422768</v>
      </c>
      <c r="L801" s="421">
        <f ca="1">_xlfn.LET(_xlpm.int, OFFSET(PSA.Data!$H803, 0, ($F$2-1)*6), _xlpm.ctrl, OFFSET(PSA.Data!$H803, 0, ($F$2-1)*6 + 1),
_xlpm.int - _xlpm.ctrl)</f>
        <v>-6664.4691258611747</v>
      </c>
      <c r="M801" s="134">
        <f t="shared" ca="1" si="23"/>
        <v>-8685.4653422323136</v>
      </c>
    </row>
    <row r="802" spans="11:13" ht="12" customHeight="1" x14ac:dyDescent="0.25">
      <c r="K802" s="90">
        <f ca="1">_xlfn.LET(_xlpm.int, OFFSET(PSA.Data!$E804, 0, ($F$2-1)*6), _xlpm.ctrl, OFFSET(PSA.Data!$E804, 0, ($F$2-1)*6 + 1),
_xlpm.int - _xlpm.ctrl)</f>
        <v>19546865.761199553</v>
      </c>
      <c r="L802" s="421">
        <f ca="1">_xlfn.LET(_xlpm.int, OFFSET(PSA.Data!$H804, 0, ($F$2-1)*6), _xlpm.ctrl, OFFSET(PSA.Data!$H804, 0, ($F$2-1)*6 + 1),
_xlpm.int - _xlpm.ctrl)</f>
        <v>-5601.1066639714381</v>
      </c>
      <c r="M802" s="134">
        <f t="shared" ca="1" si="23"/>
        <v>-6578.4499520314157</v>
      </c>
    </row>
    <row r="803" spans="11:13" ht="12" customHeight="1" x14ac:dyDescent="0.25">
      <c r="K803" s="90">
        <f ca="1">_xlfn.LET(_xlpm.int, OFFSET(PSA.Data!$E805, 0, ($F$2-1)*6), _xlpm.ctrl, OFFSET(PSA.Data!$E805, 0, ($F$2-1)*6 + 1),
_xlpm.int - _xlpm.ctrl)</f>
        <v>38265820.731291398</v>
      </c>
      <c r="L803" s="421">
        <f ca="1">_xlfn.LET(_xlpm.int, OFFSET(PSA.Data!$H805, 0, ($F$2-1)*6), _xlpm.ctrl, OFFSET(PSA.Data!$H805, 0, ($F$2-1)*6 + 1),
_xlpm.int - _xlpm.ctrl)</f>
        <v>-5447.7270958557283</v>
      </c>
      <c r="M803" s="134">
        <f t="shared" ca="1" si="23"/>
        <v>-7361.0181324202986</v>
      </c>
    </row>
    <row r="804" spans="11:13" ht="12" customHeight="1" x14ac:dyDescent="0.25">
      <c r="K804" s="90">
        <f ca="1">_xlfn.LET(_xlpm.int, OFFSET(PSA.Data!$E806, 0, ($F$2-1)*6), _xlpm.ctrl, OFFSET(PSA.Data!$E806, 0, ($F$2-1)*6 + 1),
_xlpm.int - _xlpm.ctrl)</f>
        <v>58603309.79317084</v>
      </c>
      <c r="L804" s="421">
        <f ca="1">_xlfn.LET(_xlpm.int, OFFSET(PSA.Data!$H806, 0, ($F$2-1)*6), _xlpm.ctrl, OFFSET(PSA.Data!$H806, 0, ($F$2-1)*6 + 1),
_xlpm.int - _xlpm.ctrl)</f>
        <v>-8189.3890414831385</v>
      </c>
      <c r="M804" s="134">
        <f t="shared" ca="1" si="23"/>
        <v>-11119.554531141681</v>
      </c>
    </row>
    <row r="805" spans="11:13" ht="12" customHeight="1" x14ac:dyDescent="0.25">
      <c r="K805" s="90">
        <f ca="1">_xlfn.LET(_xlpm.int, OFFSET(PSA.Data!$E807, 0, ($F$2-1)*6), _xlpm.ctrl, OFFSET(PSA.Data!$E807, 0, ($F$2-1)*6 + 1),
_xlpm.int - _xlpm.ctrl)</f>
        <v>11444137.116234835</v>
      </c>
      <c r="L805" s="421">
        <f ca="1">_xlfn.LET(_xlpm.int, OFFSET(PSA.Data!$H807, 0, ($F$2-1)*6), _xlpm.ctrl, OFFSET(PSA.Data!$H807, 0, ($F$2-1)*6 + 1),
_xlpm.int - _xlpm.ctrl)</f>
        <v>-5291.2858260459707</v>
      </c>
      <c r="M805" s="134">
        <f t="shared" ca="1" si="23"/>
        <v>-5863.4926818577123</v>
      </c>
    </row>
    <row r="806" spans="11:13" ht="12" customHeight="1" x14ac:dyDescent="0.25">
      <c r="K806" s="90">
        <f ca="1">_xlfn.LET(_xlpm.int, OFFSET(PSA.Data!$E808, 0, ($F$2-1)*6), _xlpm.ctrl, OFFSET(PSA.Data!$E808, 0, ($F$2-1)*6 + 1),
_xlpm.int - _xlpm.ctrl)</f>
        <v>28728818.09052274</v>
      </c>
      <c r="L806" s="421">
        <f ca="1">_xlfn.LET(_xlpm.int, OFFSET(PSA.Data!$H808, 0, ($F$2-1)*6), _xlpm.ctrl, OFFSET(PSA.Data!$H808, 0, ($F$2-1)*6 + 1),
_xlpm.int - _xlpm.ctrl)</f>
        <v>-5246.8286156842569</v>
      </c>
      <c r="M806" s="134">
        <f t="shared" ca="1" si="23"/>
        <v>-6683.2695202103941</v>
      </c>
    </row>
    <row r="807" spans="11:13" ht="12" customHeight="1" x14ac:dyDescent="0.25">
      <c r="K807" s="90">
        <f ca="1">_xlfn.LET(_xlpm.int, OFFSET(PSA.Data!$E809, 0, ($F$2-1)*6), _xlpm.ctrl, OFFSET(PSA.Data!$E809, 0, ($F$2-1)*6 + 1),
_xlpm.int - _xlpm.ctrl)</f>
        <v>40303950.078419</v>
      </c>
      <c r="L807" s="421">
        <f ca="1">_xlfn.LET(_xlpm.int, OFFSET(PSA.Data!$H809, 0, ($F$2-1)*6), _xlpm.ctrl, OFFSET(PSA.Data!$H809, 0, ($F$2-1)*6 + 1),
_xlpm.int - _xlpm.ctrl)</f>
        <v>-5931.6569344000391</v>
      </c>
      <c r="M807" s="134">
        <f t="shared" ca="1" si="23"/>
        <v>-7946.8544383209892</v>
      </c>
    </row>
    <row r="808" spans="11:13" ht="12" customHeight="1" x14ac:dyDescent="0.25">
      <c r="K808" s="90">
        <f ca="1">_xlfn.LET(_xlpm.int, OFFSET(PSA.Data!$E810, 0, ($F$2-1)*6), _xlpm.ctrl, OFFSET(PSA.Data!$E810, 0, ($F$2-1)*6 + 1),
_xlpm.int - _xlpm.ctrl)</f>
        <v>68550049.466942236</v>
      </c>
      <c r="L808" s="421">
        <f ca="1">_xlfn.LET(_xlpm.int, OFFSET(PSA.Data!$H810, 0, ($F$2-1)*6), _xlpm.ctrl, OFFSET(PSA.Data!$H810, 0, ($F$2-1)*6 + 1),
_xlpm.int - _xlpm.ctrl)</f>
        <v>-8406.723163494813</v>
      </c>
      <c r="M808" s="134">
        <f t="shared" ca="1" si="23"/>
        <v>-11834.225636841926</v>
      </c>
    </row>
    <row r="809" spans="11:13" ht="12" customHeight="1" x14ac:dyDescent="0.25">
      <c r="K809" s="90">
        <f ca="1">_xlfn.LET(_xlpm.int, OFFSET(PSA.Data!$E811, 0, ($F$2-1)*6), _xlpm.ctrl, OFFSET(PSA.Data!$E811, 0, ($F$2-1)*6 + 1),
_xlpm.int - _xlpm.ctrl)</f>
        <v>62187622.221496567</v>
      </c>
      <c r="L809" s="421">
        <f ca="1">_xlfn.LET(_xlpm.int, OFFSET(PSA.Data!$H811, 0, ($F$2-1)*6), _xlpm.ctrl, OFFSET(PSA.Data!$H811, 0, ($F$2-1)*6 + 1),
_xlpm.int - _xlpm.ctrl)</f>
        <v>-7527.9669532099269</v>
      </c>
      <c r="M809" s="134">
        <f t="shared" ca="1" si="23"/>
        <v>-10637.348064284755</v>
      </c>
    </row>
    <row r="810" spans="11:13" ht="12" customHeight="1" x14ac:dyDescent="0.25">
      <c r="K810" s="90">
        <f ca="1">_xlfn.LET(_xlpm.int, OFFSET(PSA.Data!$E812, 0, ($F$2-1)*6), _xlpm.ctrl, OFFSET(PSA.Data!$E812, 0, ($F$2-1)*6 + 1),
_xlpm.int - _xlpm.ctrl)</f>
        <v>42000842.855087787</v>
      </c>
      <c r="L810" s="421">
        <f ca="1">_xlfn.LET(_xlpm.int, OFFSET(PSA.Data!$H812, 0, ($F$2-1)*6), _xlpm.ctrl, OFFSET(PSA.Data!$H812, 0, ($F$2-1)*6 + 1),
_xlpm.int - _xlpm.ctrl)</f>
        <v>-5012.476406683958</v>
      </c>
      <c r="M810" s="134">
        <f t="shared" ca="1" si="23"/>
        <v>-7112.5185494383477</v>
      </c>
    </row>
    <row r="811" spans="11:13" ht="12" customHeight="1" x14ac:dyDescent="0.25">
      <c r="K811" s="90">
        <f ca="1">_xlfn.LET(_xlpm.int, OFFSET(PSA.Data!$E813, 0, ($F$2-1)*6), _xlpm.ctrl, OFFSET(PSA.Data!$E813, 0, ($F$2-1)*6 + 1),
_xlpm.int - _xlpm.ctrl)</f>
        <v>28764216.884952769</v>
      </c>
      <c r="L811" s="421">
        <f ca="1">_xlfn.LET(_xlpm.int, OFFSET(PSA.Data!$H813, 0, ($F$2-1)*6), _xlpm.ctrl, OFFSET(PSA.Data!$H813, 0, ($F$2-1)*6 + 1),
_xlpm.int - _xlpm.ctrl)</f>
        <v>-7660.3292057515555</v>
      </c>
      <c r="M811" s="134">
        <f t="shared" ca="1" si="23"/>
        <v>-9098.5400499991938</v>
      </c>
    </row>
    <row r="812" spans="11:13" ht="12" customHeight="1" x14ac:dyDescent="0.25">
      <c r="K812" s="90">
        <f ca="1">_xlfn.LET(_xlpm.int, OFFSET(PSA.Data!$E814, 0, ($F$2-1)*6), _xlpm.ctrl, OFFSET(PSA.Data!$E814, 0, ($F$2-1)*6 + 1),
_xlpm.int - _xlpm.ctrl)</f>
        <v>28302062.014344927</v>
      </c>
      <c r="L812" s="421">
        <f ca="1">_xlfn.LET(_xlpm.int, OFFSET(PSA.Data!$H814, 0, ($F$2-1)*6), _xlpm.ctrl, OFFSET(PSA.Data!$H814, 0, ($F$2-1)*6 + 1),
_xlpm.int - _xlpm.ctrl)</f>
        <v>-6357.6910910158185</v>
      </c>
      <c r="M812" s="134">
        <f t="shared" ca="1" si="23"/>
        <v>-7772.7941917330645</v>
      </c>
    </row>
    <row r="813" spans="11:13" ht="12" customHeight="1" x14ac:dyDescent="0.25">
      <c r="K813" s="90">
        <f ca="1">_xlfn.LET(_xlpm.int, OFFSET(PSA.Data!$E815, 0, ($F$2-1)*6), _xlpm.ctrl, OFFSET(PSA.Data!$E815, 0, ($F$2-1)*6 + 1),
_xlpm.int - _xlpm.ctrl)</f>
        <v>18769502.650271583</v>
      </c>
      <c r="L813" s="421">
        <f ca="1">_xlfn.LET(_xlpm.int, OFFSET(PSA.Data!$H815, 0, ($F$2-1)*6), _xlpm.ctrl, OFFSET(PSA.Data!$H815, 0, ($F$2-1)*6 + 1),
_xlpm.int - _xlpm.ctrl)</f>
        <v>-5886.4318342067545</v>
      </c>
      <c r="M813" s="134">
        <f t="shared" ca="1" si="23"/>
        <v>-6824.9069667203339</v>
      </c>
    </row>
    <row r="814" spans="11:13" ht="12" customHeight="1" x14ac:dyDescent="0.25">
      <c r="K814" s="90">
        <f ca="1">_xlfn.LET(_xlpm.int, OFFSET(PSA.Data!$E816, 0, ($F$2-1)*6), _xlpm.ctrl, OFFSET(PSA.Data!$E816, 0, ($F$2-1)*6 + 1),
_xlpm.int - _xlpm.ctrl)</f>
        <v>55649881.129906528</v>
      </c>
      <c r="L814" s="421">
        <f ca="1">_xlfn.LET(_xlpm.int, OFFSET(PSA.Data!$H816, 0, ($F$2-1)*6), _xlpm.ctrl, OFFSET(PSA.Data!$H816, 0, ($F$2-1)*6 + 1),
_xlpm.int - _xlpm.ctrl)</f>
        <v>-7556.483902329147</v>
      </c>
      <c r="M814" s="134">
        <f t="shared" ca="1" si="23"/>
        <v>-10338.977958824473</v>
      </c>
    </row>
    <row r="815" spans="11:13" ht="12" customHeight="1" x14ac:dyDescent="0.25">
      <c r="K815" s="90">
        <f ca="1">_xlfn.LET(_xlpm.int, OFFSET(PSA.Data!$E817, 0, ($F$2-1)*6), _xlpm.ctrl, OFFSET(PSA.Data!$E817, 0, ($F$2-1)*6 + 1),
_xlpm.int - _xlpm.ctrl)</f>
        <v>27248407.73634528</v>
      </c>
      <c r="L815" s="421">
        <f ca="1">_xlfn.LET(_xlpm.int, OFFSET(PSA.Data!$H817, 0, ($F$2-1)*6), _xlpm.ctrl, OFFSET(PSA.Data!$H817, 0, ($F$2-1)*6 + 1),
_xlpm.int - _xlpm.ctrl)</f>
        <v>-6661.2674369002143</v>
      </c>
      <c r="M815" s="134">
        <f t="shared" ca="1" si="23"/>
        <v>-8023.6878237174788</v>
      </c>
    </row>
    <row r="816" spans="11:13" ht="12" customHeight="1" x14ac:dyDescent="0.25">
      <c r="K816" s="90">
        <f ca="1">_xlfn.LET(_xlpm.int, OFFSET(PSA.Data!$E818, 0, ($F$2-1)*6), _xlpm.ctrl, OFFSET(PSA.Data!$E818, 0, ($F$2-1)*6 + 1),
_xlpm.int - _xlpm.ctrl)</f>
        <v>51866398.814639531</v>
      </c>
      <c r="L816" s="421">
        <f ca="1">_xlfn.LET(_xlpm.int, OFFSET(PSA.Data!$H818, 0, ($F$2-1)*6), _xlpm.ctrl, OFFSET(PSA.Data!$H818, 0, ($F$2-1)*6 + 1),
_xlpm.int - _xlpm.ctrl)</f>
        <v>-7700.1606544630122</v>
      </c>
      <c r="M816" s="134">
        <f t="shared" ca="1" si="23"/>
        <v>-10293.480595194989</v>
      </c>
    </row>
    <row r="817" spans="11:13" ht="12" customHeight="1" x14ac:dyDescent="0.25">
      <c r="K817" s="90">
        <f ca="1">_xlfn.LET(_xlpm.int, OFFSET(PSA.Data!$E819, 0, ($F$2-1)*6), _xlpm.ctrl, OFFSET(PSA.Data!$E819, 0, ($F$2-1)*6 + 1),
_xlpm.int - _xlpm.ctrl)</f>
        <v>29236074.307404999</v>
      </c>
      <c r="L817" s="421">
        <f ca="1">_xlfn.LET(_xlpm.int, OFFSET(PSA.Data!$H819, 0, ($F$2-1)*6), _xlpm.ctrl, OFFSET(PSA.Data!$H819, 0, ($F$2-1)*6 + 1),
_xlpm.int - _xlpm.ctrl)</f>
        <v>-5299.1755020641867</v>
      </c>
      <c r="M817" s="134">
        <f t="shared" ca="1" si="23"/>
        <v>-6760.9792174344366</v>
      </c>
    </row>
    <row r="818" spans="11:13" ht="12" customHeight="1" x14ac:dyDescent="0.25">
      <c r="K818" s="90">
        <f ca="1">_xlfn.LET(_xlpm.int, OFFSET(PSA.Data!$E820, 0, ($F$2-1)*6), _xlpm.ctrl, OFFSET(PSA.Data!$E820, 0, ($F$2-1)*6 + 1),
_xlpm.int - _xlpm.ctrl)</f>
        <v>33265126.546795532</v>
      </c>
      <c r="L818" s="421">
        <f ca="1">_xlfn.LET(_xlpm.int, OFFSET(PSA.Data!$H820, 0, ($F$2-1)*6), _xlpm.ctrl, OFFSET(PSA.Data!$H820, 0, ($F$2-1)*6 + 1),
_xlpm.int - _xlpm.ctrl)</f>
        <v>-5721.5400137505821</v>
      </c>
      <c r="M818" s="134">
        <f t="shared" ca="1" si="23"/>
        <v>-7384.7963410903585</v>
      </c>
    </row>
    <row r="819" spans="11:13" ht="12" customHeight="1" x14ac:dyDescent="0.25">
      <c r="K819" s="90">
        <f ca="1">_xlfn.LET(_xlpm.int, OFFSET(PSA.Data!$E821, 0, ($F$2-1)*6), _xlpm.ctrl, OFFSET(PSA.Data!$E821, 0, ($F$2-1)*6 + 1),
_xlpm.int - _xlpm.ctrl)</f>
        <v>52857879.608329728</v>
      </c>
      <c r="L819" s="421">
        <f ca="1">_xlfn.LET(_xlpm.int, OFFSET(PSA.Data!$H821, 0, ($F$2-1)*6), _xlpm.ctrl, OFFSET(PSA.Data!$H821, 0, ($F$2-1)*6 + 1),
_xlpm.int - _xlpm.ctrl)</f>
        <v>-8661.385023909148</v>
      </c>
      <c r="M819" s="134">
        <f t="shared" ca="1" si="23"/>
        <v>-11304.279004325635</v>
      </c>
    </row>
    <row r="820" spans="11:13" ht="12" customHeight="1" x14ac:dyDescent="0.25">
      <c r="K820" s="90">
        <f ca="1">_xlfn.LET(_xlpm.int, OFFSET(PSA.Data!$E822, 0, ($F$2-1)*6), _xlpm.ctrl, OFFSET(PSA.Data!$E822, 0, ($F$2-1)*6 + 1),
_xlpm.int - _xlpm.ctrl)</f>
        <v>26655317.374354683</v>
      </c>
      <c r="L820" s="421">
        <f ca="1">_xlfn.LET(_xlpm.int, OFFSET(PSA.Data!$H822, 0, ($F$2-1)*6), _xlpm.ctrl, OFFSET(PSA.Data!$H822, 0, ($F$2-1)*6 + 1),
_xlpm.int - _xlpm.ctrl)</f>
        <v>-5925.4529212323778</v>
      </c>
      <c r="M820" s="134">
        <f t="shared" ca="1" si="23"/>
        <v>-7258.2187899501114</v>
      </c>
    </row>
    <row r="821" spans="11:13" ht="12" customHeight="1" x14ac:dyDescent="0.25">
      <c r="K821" s="90">
        <f ca="1">_xlfn.LET(_xlpm.int, OFFSET(PSA.Data!$E823, 0, ($F$2-1)*6), _xlpm.ctrl, OFFSET(PSA.Data!$E823, 0, ($F$2-1)*6 + 1),
_xlpm.int - _xlpm.ctrl)</f>
        <v>52276236.194107197</v>
      </c>
      <c r="L821" s="421">
        <f ca="1">_xlfn.LET(_xlpm.int, OFFSET(PSA.Data!$H823, 0, ($F$2-1)*6), _xlpm.ctrl, OFFSET(PSA.Data!$H823, 0, ($F$2-1)*6 + 1),
_xlpm.int - _xlpm.ctrl)</f>
        <v>-6699.8155934403785</v>
      </c>
      <c r="M821" s="134">
        <f t="shared" ca="1" si="23"/>
        <v>-9313.6274031457378</v>
      </c>
    </row>
    <row r="822" spans="11:13" ht="12" customHeight="1" x14ac:dyDescent="0.25">
      <c r="K822" s="90">
        <f ca="1">_xlfn.LET(_xlpm.int, OFFSET(PSA.Data!$E824, 0, ($F$2-1)*6), _xlpm.ctrl, OFFSET(PSA.Data!$E824, 0, ($F$2-1)*6 + 1),
_xlpm.int - _xlpm.ctrl)</f>
        <v>20936078.051299475</v>
      </c>
      <c r="L822" s="421">
        <f ca="1">_xlfn.LET(_xlpm.int, OFFSET(PSA.Data!$H824, 0, ($F$2-1)*6), _xlpm.ctrl, OFFSET(PSA.Data!$H824, 0, ($F$2-1)*6 + 1),
_xlpm.int - _xlpm.ctrl)</f>
        <v>-6054.7837209373229</v>
      </c>
      <c r="M822" s="134">
        <f t="shared" ca="1" si="23"/>
        <v>-7101.587623502297</v>
      </c>
    </row>
    <row r="823" spans="11:13" ht="12" customHeight="1" x14ac:dyDescent="0.25">
      <c r="K823" s="90">
        <f ca="1">_xlfn.LET(_xlpm.int, OFFSET(PSA.Data!$E825, 0, ($F$2-1)*6), _xlpm.ctrl, OFFSET(PSA.Data!$E825, 0, ($F$2-1)*6 + 1),
_xlpm.int - _xlpm.ctrl)</f>
        <v>30668354.570080891</v>
      </c>
      <c r="L823" s="421">
        <f ca="1">_xlfn.LET(_xlpm.int, OFFSET(PSA.Data!$H825, 0, ($F$2-1)*6), _xlpm.ctrl, OFFSET(PSA.Data!$H825, 0, ($F$2-1)*6 + 1),
_xlpm.int - _xlpm.ctrl)</f>
        <v>-6549.9218994628127</v>
      </c>
      <c r="M823" s="134">
        <f t="shared" ca="1" si="23"/>
        <v>-8083.3396279668577</v>
      </c>
    </row>
    <row r="824" spans="11:13" ht="12" customHeight="1" x14ac:dyDescent="0.25">
      <c r="K824" s="90">
        <f ca="1">_xlfn.LET(_xlpm.int, OFFSET(PSA.Data!$E826, 0, ($F$2-1)*6), _xlpm.ctrl, OFFSET(PSA.Data!$E826, 0, ($F$2-1)*6 + 1),
_xlpm.int - _xlpm.ctrl)</f>
        <v>18197487.47490767</v>
      </c>
      <c r="L824" s="421">
        <f ca="1">_xlfn.LET(_xlpm.int, OFFSET(PSA.Data!$H826, 0, ($F$2-1)*6), _xlpm.ctrl, OFFSET(PSA.Data!$H826, 0, ($F$2-1)*6 + 1),
_xlpm.int - _xlpm.ctrl)</f>
        <v>-5773.496964780792</v>
      </c>
      <c r="M824" s="134">
        <f t="shared" ca="1" si="23"/>
        <v>-6683.3713385261754</v>
      </c>
    </row>
    <row r="825" spans="11:13" ht="12" customHeight="1" x14ac:dyDescent="0.25">
      <c r="K825" s="90">
        <f ca="1">_xlfn.LET(_xlpm.int, OFFSET(PSA.Data!$E827, 0, ($F$2-1)*6), _xlpm.ctrl, OFFSET(PSA.Data!$E827, 0, ($F$2-1)*6 + 1),
_xlpm.int - _xlpm.ctrl)</f>
        <v>32194638.656242028</v>
      </c>
      <c r="L825" s="421">
        <f ca="1">_xlfn.LET(_xlpm.int, OFFSET(PSA.Data!$H827, 0, ($F$2-1)*6), _xlpm.ctrl, OFFSET(PSA.Data!$H827, 0, ($F$2-1)*6 + 1),
_xlpm.int - _xlpm.ctrl)</f>
        <v>-5045.2263854376924</v>
      </c>
      <c r="M825" s="134">
        <f t="shared" ca="1" si="23"/>
        <v>-6654.9583182497936</v>
      </c>
    </row>
    <row r="826" spans="11:13" ht="12" customHeight="1" x14ac:dyDescent="0.25">
      <c r="K826" s="90">
        <f ca="1">_xlfn.LET(_xlpm.int, OFFSET(PSA.Data!$E828, 0, ($F$2-1)*6), _xlpm.ctrl, OFFSET(PSA.Data!$E828, 0, ($F$2-1)*6 + 1),
_xlpm.int - _xlpm.ctrl)</f>
        <v>22223126.049976122</v>
      </c>
      <c r="L826" s="421">
        <f ca="1">_xlfn.LET(_xlpm.int, OFFSET(PSA.Data!$H828, 0, ($F$2-1)*6), _xlpm.ctrl, OFFSET(PSA.Data!$H828, 0, ($F$2-1)*6 + 1),
_xlpm.int - _xlpm.ctrl)</f>
        <v>-4372.5083342879525</v>
      </c>
      <c r="M826" s="134">
        <f t="shared" ca="1" si="23"/>
        <v>-5483.6646367867588</v>
      </c>
    </row>
    <row r="827" spans="11:13" ht="12" customHeight="1" x14ac:dyDescent="0.25">
      <c r="K827" s="90">
        <f ca="1">_xlfn.LET(_xlpm.int, OFFSET(PSA.Data!$E829, 0, ($F$2-1)*6), _xlpm.ctrl, OFFSET(PSA.Data!$E829, 0, ($F$2-1)*6 + 1),
_xlpm.int - _xlpm.ctrl)</f>
        <v>78407376.951085508</v>
      </c>
      <c r="L827" s="421">
        <f ca="1">_xlfn.LET(_xlpm.int, OFFSET(PSA.Data!$H829, 0, ($F$2-1)*6), _xlpm.ctrl, OFFSET(PSA.Data!$H829, 0, ($F$2-1)*6 + 1),
_xlpm.int - _xlpm.ctrl)</f>
        <v>-8351.3258850495658</v>
      </c>
      <c r="M827" s="134">
        <f t="shared" ca="1" si="23"/>
        <v>-12271.694732603841</v>
      </c>
    </row>
    <row r="828" spans="11:13" ht="12" customHeight="1" x14ac:dyDescent="0.25">
      <c r="K828" s="90">
        <f ca="1">_xlfn.LET(_xlpm.int, OFFSET(PSA.Data!$E830, 0, ($F$2-1)*6), _xlpm.ctrl, OFFSET(PSA.Data!$E830, 0, ($F$2-1)*6 + 1),
_xlpm.int - _xlpm.ctrl)</f>
        <v>14434911.757787047</v>
      </c>
      <c r="L828" s="421">
        <f ca="1">_xlfn.LET(_xlpm.int, OFFSET(PSA.Data!$H830, 0, ($F$2-1)*6), _xlpm.ctrl, OFFSET(PSA.Data!$H830, 0, ($F$2-1)*6 + 1),
_xlpm.int - _xlpm.ctrl)</f>
        <v>-5617.1351772476946</v>
      </c>
      <c r="M828" s="134">
        <f t="shared" ca="1" si="23"/>
        <v>-6338.8807651370471</v>
      </c>
    </row>
    <row r="829" spans="11:13" ht="12" customHeight="1" x14ac:dyDescent="0.25">
      <c r="K829" s="90">
        <f ca="1">_xlfn.LET(_xlpm.int, OFFSET(PSA.Data!$E831, 0, ($F$2-1)*6), _xlpm.ctrl, OFFSET(PSA.Data!$E831, 0, ($F$2-1)*6 + 1),
_xlpm.int - _xlpm.ctrl)</f>
        <v>32035779.963276289</v>
      </c>
      <c r="L829" s="421">
        <f ca="1">_xlfn.LET(_xlpm.int, OFFSET(PSA.Data!$H831, 0, ($F$2-1)*6), _xlpm.ctrl, OFFSET(PSA.Data!$H831, 0, ($F$2-1)*6 + 1),
_xlpm.int - _xlpm.ctrl)</f>
        <v>-8255.5086420551288</v>
      </c>
      <c r="M829" s="134">
        <f t="shared" ca="1" si="23"/>
        <v>-9857.2976402189433</v>
      </c>
    </row>
    <row r="830" spans="11:13" ht="12" customHeight="1" x14ac:dyDescent="0.25">
      <c r="K830" s="90">
        <f ca="1">_xlfn.LET(_xlpm.int, OFFSET(PSA.Data!$E832, 0, ($F$2-1)*6), _xlpm.ctrl, OFFSET(PSA.Data!$E832, 0, ($F$2-1)*6 + 1),
_xlpm.int - _xlpm.ctrl)</f>
        <v>29518624.667899624</v>
      </c>
      <c r="L830" s="421">
        <f ca="1">_xlfn.LET(_xlpm.int, OFFSET(PSA.Data!$H832, 0, ($F$2-1)*6), _xlpm.ctrl, OFFSET(PSA.Data!$H832, 0, ($F$2-1)*6 + 1),
_xlpm.int - _xlpm.ctrl)</f>
        <v>-4999.9175019386021</v>
      </c>
      <c r="M830" s="134">
        <f t="shared" ca="1" si="23"/>
        <v>-6475.8487353335831</v>
      </c>
    </row>
    <row r="831" spans="11:13" ht="12" customHeight="1" x14ac:dyDescent="0.25">
      <c r="K831" s="90">
        <f ca="1">_xlfn.LET(_xlpm.int, OFFSET(PSA.Data!$E833, 0, ($F$2-1)*6), _xlpm.ctrl, OFFSET(PSA.Data!$E833, 0, ($F$2-1)*6 + 1),
_xlpm.int - _xlpm.ctrl)</f>
        <v>35835694.739970304</v>
      </c>
      <c r="L831" s="421">
        <f ca="1">_xlfn.LET(_xlpm.int, OFFSET(PSA.Data!$H833, 0, ($F$2-1)*6), _xlpm.ctrl, OFFSET(PSA.Data!$H833, 0, ($F$2-1)*6 + 1),
_xlpm.int - _xlpm.ctrl)</f>
        <v>-7391.2426733593138</v>
      </c>
      <c r="M831" s="134">
        <f t="shared" ca="1" si="23"/>
        <v>-9183.0274103578286</v>
      </c>
    </row>
    <row r="832" spans="11:13" ht="12" customHeight="1" x14ac:dyDescent="0.25">
      <c r="K832" s="90">
        <f ca="1">_xlfn.LET(_xlpm.int, OFFSET(PSA.Data!$E834, 0, ($F$2-1)*6), _xlpm.ctrl, OFFSET(PSA.Data!$E834, 0, ($F$2-1)*6 + 1),
_xlpm.int - _xlpm.ctrl)</f>
        <v>22061587.68905434</v>
      </c>
      <c r="L832" s="421">
        <f ca="1">_xlfn.LET(_xlpm.int, OFFSET(PSA.Data!$H834, 0, ($F$2-1)*6), _xlpm.ctrl, OFFSET(PSA.Data!$H834, 0, ($F$2-1)*6 + 1),
_xlpm.int - _xlpm.ctrl)</f>
        <v>-4857.0679598196048</v>
      </c>
      <c r="M832" s="134">
        <f t="shared" ca="1" si="23"/>
        <v>-5960.1473442723218</v>
      </c>
    </row>
    <row r="833" spans="11:13" ht="12" customHeight="1" x14ac:dyDescent="0.25">
      <c r="K833" s="90">
        <f ca="1">_xlfn.LET(_xlpm.int, OFFSET(PSA.Data!$E835, 0, ($F$2-1)*6), _xlpm.ctrl, OFFSET(PSA.Data!$E835, 0, ($F$2-1)*6 + 1),
_xlpm.int - _xlpm.ctrl)</f>
        <v>32385865.27730694</v>
      </c>
      <c r="L833" s="421">
        <f ca="1">_xlfn.LET(_xlpm.int, OFFSET(PSA.Data!$H835, 0, ($F$2-1)*6), _xlpm.ctrl, OFFSET(PSA.Data!$H835, 0, ($F$2-1)*6 + 1),
_xlpm.int - _xlpm.ctrl)</f>
        <v>-6061.5399657253101</v>
      </c>
      <c r="M833" s="134">
        <f t="shared" ca="1" si="23"/>
        <v>-7680.8332295906566</v>
      </c>
    </row>
    <row r="834" spans="11:13" ht="12" customHeight="1" x14ac:dyDescent="0.25">
      <c r="K834" s="90">
        <f ca="1">_xlfn.LET(_xlpm.int, OFFSET(PSA.Data!$E836, 0, ($F$2-1)*6), _xlpm.ctrl, OFFSET(PSA.Data!$E836, 0, ($F$2-1)*6 + 1),
_xlpm.int - _xlpm.ctrl)</f>
        <v>33316592.439268082</v>
      </c>
      <c r="L834" s="421">
        <f ca="1">_xlfn.LET(_xlpm.int, OFFSET(PSA.Data!$H836, 0, ($F$2-1)*6), _xlpm.ctrl, OFFSET(PSA.Data!$H836, 0, ($F$2-1)*6 + 1),
_xlpm.int - _xlpm.ctrl)</f>
        <v>-5887.2494205983849</v>
      </c>
      <c r="M834" s="134">
        <f t="shared" ca="1" si="23"/>
        <v>-7553.0790425617888</v>
      </c>
    </row>
    <row r="835" spans="11:13" ht="12" customHeight="1" x14ac:dyDescent="0.25">
      <c r="K835" s="90">
        <f ca="1">_xlfn.LET(_xlpm.int, OFFSET(PSA.Data!$E837, 0, ($F$2-1)*6), _xlpm.ctrl, OFFSET(PSA.Data!$E837, 0, ($F$2-1)*6 + 1),
_xlpm.int - _xlpm.ctrl)</f>
        <v>32421907.131650072</v>
      </c>
      <c r="L835" s="421">
        <f ca="1">_xlfn.LET(_xlpm.int, OFFSET(PSA.Data!$H837, 0, ($F$2-1)*6), _xlpm.ctrl, OFFSET(PSA.Data!$H837, 0, ($F$2-1)*6 + 1),
_xlpm.int - _xlpm.ctrl)</f>
        <v>-5720.1282946799693</v>
      </c>
      <c r="M835" s="134">
        <f t="shared" ca="1" si="23"/>
        <v>-7341.2236512624731</v>
      </c>
    </row>
    <row r="836" spans="11:13" ht="12" customHeight="1" x14ac:dyDescent="0.25">
      <c r="K836" s="90">
        <f ca="1">_xlfn.LET(_xlpm.int, OFFSET(PSA.Data!$E838, 0, ($F$2-1)*6), _xlpm.ctrl, OFFSET(PSA.Data!$E838, 0, ($F$2-1)*6 + 1),
_xlpm.int - _xlpm.ctrl)</f>
        <v>32048883.885881335</v>
      </c>
      <c r="L836" s="421">
        <f ca="1">_xlfn.LET(_xlpm.int, OFFSET(PSA.Data!$H838, 0, ($F$2-1)*6), _xlpm.ctrl, OFFSET(PSA.Data!$H838, 0, ($F$2-1)*6 + 1),
_xlpm.int - _xlpm.ctrl)</f>
        <v>-6980.9116896103624</v>
      </c>
      <c r="M836" s="134">
        <f t="shared" ca="1" si="23"/>
        <v>-8583.355883904429</v>
      </c>
    </row>
    <row r="837" spans="11:13" ht="12" customHeight="1" x14ac:dyDescent="0.25">
      <c r="K837" s="90">
        <f ca="1">_xlfn.LET(_xlpm.int, OFFSET(PSA.Data!$E839, 0, ($F$2-1)*6), _xlpm.ctrl, OFFSET(PSA.Data!$E839, 0, ($F$2-1)*6 + 1),
_xlpm.int - _xlpm.ctrl)</f>
        <v>44837818.905457892</v>
      </c>
      <c r="L837" s="421">
        <f ca="1">_xlfn.LET(_xlpm.int, OFFSET(PSA.Data!$H839, 0, ($F$2-1)*6), _xlpm.ctrl, OFFSET(PSA.Data!$H839, 0, ($F$2-1)*6 + 1),
_xlpm.int - _xlpm.ctrl)</f>
        <v>-6423.3917126533061</v>
      </c>
      <c r="M837" s="134">
        <f t="shared" ca="1" si="23"/>
        <v>-8665.2826579262</v>
      </c>
    </row>
    <row r="838" spans="11:13" ht="12" customHeight="1" x14ac:dyDescent="0.25">
      <c r="K838" s="90">
        <f ca="1">_xlfn.LET(_xlpm.int, OFFSET(PSA.Data!$E840, 0, ($F$2-1)*6), _xlpm.ctrl, OFFSET(PSA.Data!$E840, 0, ($F$2-1)*6 + 1),
_xlpm.int - _xlpm.ctrl)</f>
        <v>15494154.517687671</v>
      </c>
      <c r="L838" s="421">
        <f ca="1">_xlfn.LET(_xlpm.int, OFFSET(PSA.Data!$H840, 0, ($F$2-1)*6), _xlpm.ctrl, OFFSET(PSA.Data!$H840, 0, ($F$2-1)*6 + 1),
_xlpm.int - _xlpm.ctrl)</f>
        <v>-6501.3550030644374</v>
      </c>
      <c r="M838" s="134">
        <f t="shared" ca="1" si="23"/>
        <v>-7276.0627289488211</v>
      </c>
    </row>
    <row r="839" spans="11:13" ht="12" customHeight="1" x14ac:dyDescent="0.25">
      <c r="K839" s="90">
        <f ca="1">_xlfn.LET(_xlpm.int, OFFSET(PSA.Data!$E841, 0, ($F$2-1)*6), _xlpm.ctrl, OFFSET(PSA.Data!$E841, 0, ($F$2-1)*6 + 1),
_xlpm.int - _xlpm.ctrl)</f>
        <v>33365705.571810074</v>
      </c>
      <c r="L839" s="421">
        <f ca="1">_xlfn.LET(_xlpm.int, OFFSET(PSA.Data!$H841, 0, ($F$2-1)*6), _xlpm.ctrl, OFFSET(PSA.Data!$H841, 0, ($F$2-1)*6 + 1),
_xlpm.int - _xlpm.ctrl)</f>
        <v>-7282.4067211824349</v>
      </c>
      <c r="M839" s="134">
        <f t="shared" ca="1" si="23"/>
        <v>-8950.6919997729383</v>
      </c>
    </row>
    <row r="840" spans="11:13" ht="12" customHeight="1" x14ac:dyDescent="0.25">
      <c r="K840" s="90">
        <f ca="1">_xlfn.LET(_xlpm.int, OFFSET(PSA.Data!$E842, 0, ($F$2-1)*6), _xlpm.ctrl, OFFSET(PSA.Data!$E842, 0, ($F$2-1)*6 + 1),
_xlpm.int - _xlpm.ctrl)</f>
        <v>38416653.482378818</v>
      </c>
      <c r="L840" s="421">
        <f ca="1">_xlfn.LET(_xlpm.int, OFFSET(PSA.Data!$H842, 0, ($F$2-1)*6), _xlpm.ctrl, OFFSET(PSA.Data!$H842, 0, ($F$2-1)*6 + 1),
_xlpm.int - _xlpm.ctrl)</f>
        <v>-6094.2643544593775</v>
      </c>
      <c r="M840" s="134">
        <f t="shared" ca="1" si="23"/>
        <v>-8015.0970285783187</v>
      </c>
    </row>
    <row r="841" spans="11:13" ht="12" customHeight="1" x14ac:dyDescent="0.25">
      <c r="K841" s="90">
        <f ca="1">_xlfn.LET(_xlpm.int, OFFSET(PSA.Data!$E843, 0, ($F$2-1)*6), _xlpm.ctrl, OFFSET(PSA.Data!$E843, 0, ($F$2-1)*6 + 1),
_xlpm.int - _xlpm.ctrl)</f>
        <v>35618117.253090352</v>
      </c>
      <c r="L841" s="421">
        <f ca="1">_xlfn.LET(_xlpm.int, OFFSET(PSA.Data!$H843, 0, ($F$2-1)*6), _xlpm.ctrl, OFFSET(PSA.Data!$H843, 0, ($F$2-1)*6 + 1),
_xlpm.int - _xlpm.ctrl)</f>
        <v>-6226.1007438350007</v>
      </c>
      <c r="M841" s="134">
        <f t="shared" ca="1" si="23"/>
        <v>-8007.0066064895182</v>
      </c>
    </row>
    <row r="842" spans="11:13" ht="12" customHeight="1" x14ac:dyDescent="0.25">
      <c r="K842" s="90">
        <f ca="1">_xlfn.LET(_xlpm.int, OFFSET(PSA.Data!$E844, 0, ($F$2-1)*6), _xlpm.ctrl, OFFSET(PSA.Data!$E844, 0, ($F$2-1)*6 + 1),
_xlpm.int - _xlpm.ctrl)</f>
        <v>3199853.9837622847</v>
      </c>
      <c r="L842" s="421">
        <f ca="1">_xlfn.LET(_xlpm.int, OFFSET(PSA.Data!$H844, 0, ($F$2-1)*6), _xlpm.ctrl, OFFSET(PSA.Data!$H844, 0, ($F$2-1)*6 + 1),
_xlpm.int - _xlpm.ctrl)</f>
        <v>-5509.8882737207796</v>
      </c>
      <c r="M842" s="134">
        <f t="shared" ca="1" si="23"/>
        <v>-5669.8809729088935</v>
      </c>
    </row>
    <row r="843" spans="11:13" ht="12" customHeight="1" x14ac:dyDescent="0.25">
      <c r="K843" s="90">
        <f ca="1">_xlfn.LET(_xlpm.int, OFFSET(PSA.Data!$E845, 0, ($F$2-1)*6), _xlpm.ctrl, OFFSET(PSA.Data!$E845, 0, ($F$2-1)*6 + 1),
_xlpm.int - _xlpm.ctrl)</f>
        <v>31458373.738513384</v>
      </c>
      <c r="L843" s="421">
        <f ca="1">_xlfn.LET(_xlpm.int, OFFSET(PSA.Data!$H845, 0, ($F$2-1)*6), _xlpm.ctrl, OFFSET(PSA.Data!$H845, 0, ($F$2-1)*6 + 1),
_xlpm.int - _xlpm.ctrl)</f>
        <v>-6426.83219620819</v>
      </c>
      <c r="M843" s="134">
        <f t="shared" ca="1" si="23"/>
        <v>-7999.7508831338591</v>
      </c>
    </row>
    <row r="844" spans="11:13" ht="12" customHeight="1" x14ac:dyDescent="0.25">
      <c r="K844" s="90">
        <f ca="1">_xlfn.LET(_xlpm.int, OFFSET(PSA.Data!$E846, 0, ($F$2-1)*6), _xlpm.ctrl, OFFSET(PSA.Data!$E846, 0, ($F$2-1)*6 + 1),
_xlpm.int - _xlpm.ctrl)</f>
        <v>38771180.668514937</v>
      </c>
      <c r="L844" s="421">
        <f ca="1">_xlfn.LET(_xlpm.int, OFFSET(PSA.Data!$H846, 0, ($F$2-1)*6), _xlpm.ctrl, OFFSET(PSA.Data!$H846, 0, ($F$2-1)*6 + 1),
_xlpm.int - _xlpm.ctrl)</f>
        <v>-7540.6406241157929</v>
      </c>
      <c r="M844" s="134">
        <f t="shared" ca="1" si="23"/>
        <v>-9479.1996575415396</v>
      </c>
    </row>
    <row r="845" spans="11:13" ht="12" customHeight="1" x14ac:dyDescent="0.25">
      <c r="K845" s="90">
        <f ca="1">_xlfn.LET(_xlpm.int, OFFSET(PSA.Data!$E847, 0, ($F$2-1)*6), _xlpm.ctrl, OFFSET(PSA.Data!$E847, 0, ($F$2-1)*6 + 1),
_xlpm.int - _xlpm.ctrl)</f>
        <v>36754115.647020213</v>
      </c>
      <c r="L845" s="421">
        <f ca="1">_xlfn.LET(_xlpm.int, OFFSET(PSA.Data!$H847, 0, ($F$2-1)*6), _xlpm.ctrl, OFFSET(PSA.Data!$H847, 0, ($F$2-1)*6 + 1),
_xlpm.int - _xlpm.ctrl)</f>
        <v>-6776.2241978535403</v>
      </c>
      <c r="M845" s="134">
        <f t="shared" ca="1" si="23"/>
        <v>-8613.9299802045516</v>
      </c>
    </row>
    <row r="846" spans="11:13" ht="12" customHeight="1" x14ac:dyDescent="0.25">
      <c r="K846" s="90">
        <f ca="1">_xlfn.LET(_xlpm.int, OFFSET(PSA.Data!$E848, 0, ($F$2-1)*6), _xlpm.ctrl, OFFSET(PSA.Data!$E848, 0, ($F$2-1)*6 + 1),
_xlpm.int - _xlpm.ctrl)</f>
        <v>14491548.25143878</v>
      </c>
      <c r="L846" s="421">
        <f ca="1">_xlfn.LET(_xlpm.int, OFFSET(PSA.Data!$H848, 0, ($F$2-1)*6), _xlpm.ctrl, OFFSET(PSA.Data!$H848, 0, ($F$2-1)*6 + 1),
_xlpm.int - _xlpm.ctrl)</f>
        <v>-4821.6971941090196</v>
      </c>
      <c r="M846" s="134">
        <f t="shared" ca="1" si="23"/>
        <v>-5546.2746066809586</v>
      </c>
    </row>
    <row r="847" spans="11:13" ht="12" customHeight="1" x14ac:dyDescent="0.25">
      <c r="K847" s="90">
        <f ca="1">_xlfn.LET(_xlpm.int, OFFSET(PSA.Data!$E849, 0, ($F$2-1)*6), _xlpm.ctrl, OFFSET(PSA.Data!$E849, 0, ($F$2-1)*6 + 1),
_xlpm.int - _xlpm.ctrl)</f>
        <v>9141740.7403966635</v>
      </c>
      <c r="L847" s="421">
        <f ca="1">_xlfn.LET(_xlpm.int, OFFSET(PSA.Data!$H849, 0, ($F$2-1)*6), _xlpm.ctrl, OFFSET(PSA.Data!$H849, 0, ($F$2-1)*6 + 1),
_xlpm.int - _xlpm.ctrl)</f>
        <v>-3985.5996952884343</v>
      </c>
      <c r="M847" s="134">
        <f t="shared" ca="1" si="23"/>
        <v>-4442.6867323082679</v>
      </c>
    </row>
    <row r="848" spans="11:13" ht="12" customHeight="1" x14ac:dyDescent="0.25">
      <c r="K848" s="90">
        <f ca="1">_xlfn.LET(_xlpm.int, OFFSET(PSA.Data!$E850, 0, ($F$2-1)*6), _xlpm.ctrl, OFFSET(PSA.Data!$E850, 0, ($F$2-1)*6 + 1),
_xlpm.int - _xlpm.ctrl)</f>
        <v>38537061.891064562</v>
      </c>
      <c r="L848" s="421">
        <f ca="1">_xlfn.LET(_xlpm.int, OFFSET(PSA.Data!$H850, 0, ($F$2-1)*6), _xlpm.ctrl, OFFSET(PSA.Data!$H850, 0, ($F$2-1)*6 + 1),
_xlpm.int - _xlpm.ctrl)</f>
        <v>-6922.7894105537662</v>
      </c>
      <c r="M848" s="134">
        <f t="shared" ref="M848:M911" ca="1" si="24">L848-K848/WTP</f>
        <v>-8849.6425051069946</v>
      </c>
    </row>
    <row r="849" spans="11:13" ht="12" customHeight="1" x14ac:dyDescent="0.25">
      <c r="K849" s="90">
        <f ca="1">_xlfn.LET(_xlpm.int, OFFSET(PSA.Data!$E851, 0, ($F$2-1)*6), _xlpm.ctrl, OFFSET(PSA.Data!$E851, 0, ($F$2-1)*6 + 1),
_xlpm.int - _xlpm.ctrl)</f>
        <v>29544791.248161238</v>
      </c>
      <c r="L849" s="421">
        <f ca="1">_xlfn.LET(_xlpm.int, OFFSET(PSA.Data!$H851, 0, ($F$2-1)*6), _xlpm.ctrl, OFFSET(PSA.Data!$H851, 0, ($F$2-1)*6 + 1),
_xlpm.int - _xlpm.ctrl)</f>
        <v>-5672.2819288643732</v>
      </c>
      <c r="M849" s="134">
        <f t="shared" ca="1" si="24"/>
        <v>-7149.521491272435</v>
      </c>
    </row>
    <row r="850" spans="11:13" ht="12" customHeight="1" x14ac:dyDescent="0.25">
      <c r="K850" s="90">
        <f ca="1">_xlfn.LET(_xlpm.int, OFFSET(PSA.Data!$E852, 0, ($F$2-1)*6), _xlpm.ctrl, OFFSET(PSA.Data!$E852, 0, ($F$2-1)*6 + 1),
_xlpm.int - _xlpm.ctrl)</f>
        <v>30177412.094893921</v>
      </c>
      <c r="L850" s="421">
        <f ca="1">_xlfn.LET(_xlpm.int, OFFSET(PSA.Data!$H852, 0, ($F$2-1)*6), _xlpm.ctrl, OFFSET(PSA.Data!$H852, 0, ($F$2-1)*6 + 1),
_xlpm.int - _xlpm.ctrl)</f>
        <v>-6172.4922262612527</v>
      </c>
      <c r="M850" s="134">
        <f t="shared" ca="1" si="24"/>
        <v>-7681.3628310059485</v>
      </c>
    </row>
    <row r="851" spans="11:13" ht="12" customHeight="1" x14ac:dyDescent="0.25">
      <c r="K851" s="90">
        <f ca="1">_xlfn.LET(_xlpm.int, OFFSET(PSA.Data!$E853, 0, ($F$2-1)*6), _xlpm.ctrl, OFFSET(PSA.Data!$E853, 0, ($F$2-1)*6 + 1),
_xlpm.int - _xlpm.ctrl)</f>
        <v>16376684.883923436</v>
      </c>
      <c r="L851" s="421">
        <f ca="1">_xlfn.LET(_xlpm.int, OFFSET(PSA.Data!$H853, 0, ($F$2-1)*6), _xlpm.ctrl, OFFSET(PSA.Data!$H853, 0, ($F$2-1)*6 + 1),
_xlpm.int - _xlpm.ctrl)</f>
        <v>-4792.3692747948307</v>
      </c>
      <c r="M851" s="134">
        <f t="shared" ca="1" si="24"/>
        <v>-5611.2035189910021</v>
      </c>
    </row>
    <row r="852" spans="11:13" ht="12" customHeight="1" x14ac:dyDescent="0.25">
      <c r="K852" s="90">
        <f ca="1">_xlfn.LET(_xlpm.int, OFFSET(PSA.Data!$E854, 0, ($F$2-1)*6), _xlpm.ctrl, OFFSET(PSA.Data!$E854, 0, ($F$2-1)*6 + 1),
_xlpm.int - _xlpm.ctrl)</f>
        <v>29353125.685155325</v>
      </c>
      <c r="L852" s="421">
        <f ca="1">_xlfn.LET(_xlpm.int, OFFSET(PSA.Data!$H854, 0, ($F$2-1)*6), _xlpm.ctrl, OFFSET(PSA.Data!$H854, 0, ($F$2-1)*6 + 1),
_xlpm.int - _xlpm.ctrl)</f>
        <v>-7510.7112515434037</v>
      </c>
      <c r="M852" s="134">
        <f t="shared" ca="1" si="24"/>
        <v>-8978.3675358011697</v>
      </c>
    </row>
    <row r="853" spans="11:13" ht="12" customHeight="1" x14ac:dyDescent="0.25">
      <c r="K853" s="90">
        <f ca="1">_xlfn.LET(_xlpm.int, OFFSET(PSA.Data!$E855, 0, ($F$2-1)*6), _xlpm.ctrl, OFFSET(PSA.Data!$E855, 0, ($F$2-1)*6 + 1),
_xlpm.int - _xlpm.ctrl)</f>
        <v>44624354.271603756</v>
      </c>
      <c r="L853" s="421">
        <f ca="1">_xlfn.LET(_xlpm.int, OFFSET(PSA.Data!$H855, 0, ($F$2-1)*6), _xlpm.ctrl, OFFSET(PSA.Data!$H855, 0, ($F$2-1)*6 + 1),
_xlpm.int - _xlpm.ctrl)</f>
        <v>-6331.4987662094127</v>
      </c>
      <c r="M853" s="134">
        <f t="shared" ca="1" si="24"/>
        <v>-8562.7164797896003</v>
      </c>
    </row>
    <row r="854" spans="11:13" ht="12" customHeight="1" x14ac:dyDescent="0.25">
      <c r="K854" s="90">
        <f ca="1">_xlfn.LET(_xlpm.int, OFFSET(PSA.Data!$E856, 0, ($F$2-1)*6), _xlpm.ctrl, OFFSET(PSA.Data!$E856, 0, ($F$2-1)*6 + 1),
_xlpm.int - _xlpm.ctrl)</f>
        <v>37776875.803974345</v>
      </c>
      <c r="L854" s="421">
        <f ca="1">_xlfn.LET(_xlpm.int, OFFSET(PSA.Data!$H856, 0, ($F$2-1)*6), _xlpm.ctrl, OFFSET(PSA.Data!$H856, 0, ($F$2-1)*6 + 1),
_xlpm.int - _xlpm.ctrl)</f>
        <v>-5831.3154073174401</v>
      </c>
      <c r="M854" s="134">
        <f t="shared" ca="1" si="24"/>
        <v>-7720.1591975161573</v>
      </c>
    </row>
    <row r="855" spans="11:13" ht="12" customHeight="1" x14ac:dyDescent="0.25">
      <c r="K855" s="90">
        <f ca="1">_xlfn.LET(_xlpm.int, OFFSET(PSA.Data!$E857, 0, ($F$2-1)*6), _xlpm.ctrl, OFFSET(PSA.Data!$E857, 0, ($F$2-1)*6 + 1),
_xlpm.int - _xlpm.ctrl)</f>
        <v>28485831.631748766</v>
      </c>
      <c r="L855" s="421">
        <f ca="1">_xlfn.LET(_xlpm.int, OFFSET(PSA.Data!$H857, 0, ($F$2-1)*6), _xlpm.ctrl, OFFSET(PSA.Data!$H857, 0, ($F$2-1)*6 + 1),
_xlpm.int - _xlpm.ctrl)</f>
        <v>-6350.9765270763692</v>
      </c>
      <c r="M855" s="134">
        <f t="shared" ca="1" si="24"/>
        <v>-7775.2681086638077</v>
      </c>
    </row>
    <row r="856" spans="11:13" ht="12" customHeight="1" x14ac:dyDescent="0.25">
      <c r="K856" s="90">
        <f ca="1">_xlfn.LET(_xlpm.int, OFFSET(PSA.Data!$E858, 0, ($F$2-1)*6), _xlpm.ctrl, OFFSET(PSA.Data!$E858, 0, ($F$2-1)*6 + 1),
_xlpm.int - _xlpm.ctrl)</f>
        <v>33525238.175114907</v>
      </c>
      <c r="L856" s="421">
        <f ca="1">_xlfn.LET(_xlpm.int, OFFSET(PSA.Data!$H858, 0, ($F$2-1)*6), _xlpm.ctrl, OFFSET(PSA.Data!$H858, 0, ($F$2-1)*6 + 1),
_xlpm.int - _xlpm.ctrl)</f>
        <v>-6590.6163916419555</v>
      </c>
      <c r="M856" s="134">
        <f t="shared" ca="1" si="24"/>
        <v>-8266.8783003977005</v>
      </c>
    </row>
    <row r="857" spans="11:13" ht="12" customHeight="1" x14ac:dyDescent="0.25">
      <c r="K857" s="90">
        <f ca="1">_xlfn.LET(_xlpm.int, OFFSET(PSA.Data!$E859, 0, ($F$2-1)*6), _xlpm.ctrl, OFFSET(PSA.Data!$E859, 0, ($F$2-1)*6 + 1),
_xlpm.int - _xlpm.ctrl)</f>
        <v>43574783.744499609</v>
      </c>
      <c r="L857" s="421">
        <f ca="1">_xlfn.LET(_xlpm.int, OFFSET(PSA.Data!$H859, 0, ($F$2-1)*6), _xlpm.ctrl, OFFSET(PSA.Data!$H859, 0, ($F$2-1)*6 + 1),
_xlpm.int - _xlpm.ctrl)</f>
        <v>-6154.2945177675465</v>
      </c>
      <c r="M857" s="134">
        <f t="shared" ca="1" si="24"/>
        <v>-8333.0337049925274</v>
      </c>
    </row>
    <row r="858" spans="11:13" ht="12" customHeight="1" x14ac:dyDescent="0.25">
      <c r="K858" s="90">
        <f ca="1">_xlfn.LET(_xlpm.int, OFFSET(PSA.Data!$E860, 0, ($F$2-1)*6), _xlpm.ctrl, OFFSET(PSA.Data!$E860, 0, ($F$2-1)*6 + 1),
_xlpm.int - _xlpm.ctrl)</f>
        <v>32483011.858452842</v>
      </c>
      <c r="L858" s="421">
        <f ca="1">_xlfn.LET(_xlpm.int, OFFSET(PSA.Data!$H860, 0, ($F$2-1)*6), _xlpm.ctrl, OFFSET(PSA.Data!$H860, 0, ($F$2-1)*6 + 1),
_xlpm.int - _xlpm.ctrl)</f>
        <v>-6874.0005936939906</v>
      </c>
      <c r="M858" s="134">
        <f t="shared" ca="1" si="24"/>
        <v>-8498.1511866166329</v>
      </c>
    </row>
    <row r="859" spans="11:13" ht="12" customHeight="1" x14ac:dyDescent="0.25">
      <c r="K859" s="90">
        <f ca="1">_xlfn.LET(_xlpm.int, OFFSET(PSA.Data!$E861, 0, ($F$2-1)*6), _xlpm.ctrl, OFFSET(PSA.Data!$E861, 0, ($F$2-1)*6 + 1),
_xlpm.int - _xlpm.ctrl)</f>
        <v>21248709.432453327</v>
      </c>
      <c r="L859" s="421">
        <f ca="1">_xlfn.LET(_xlpm.int, OFFSET(PSA.Data!$H861, 0, ($F$2-1)*6), _xlpm.ctrl, OFFSET(PSA.Data!$H861, 0, ($F$2-1)*6 + 1),
_xlpm.int - _xlpm.ctrl)</f>
        <v>-6560.7850686499723</v>
      </c>
      <c r="M859" s="134">
        <f t="shared" ca="1" si="24"/>
        <v>-7623.2205402726386</v>
      </c>
    </row>
    <row r="860" spans="11:13" ht="12" customHeight="1" x14ac:dyDescent="0.25">
      <c r="K860" s="90">
        <f ca="1">_xlfn.LET(_xlpm.int, OFFSET(PSA.Data!$E862, 0, ($F$2-1)*6), _xlpm.ctrl, OFFSET(PSA.Data!$E862, 0, ($F$2-1)*6 + 1),
_xlpm.int - _xlpm.ctrl)</f>
        <v>49875428.356816649</v>
      </c>
      <c r="L860" s="421">
        <f ca="1">_xlfn.LET(_xlpm.int, OFFSET(PSA.Data!$H862, 0, ($F$2-1)*6), _xlpm.ctrl, OFFSET(PSA.Data!$H862, 0, ($F$2-1)*6 + 1),
_xlpm.int - _xlpm.ctrl)</f>
        <v>-6616.5806192323089</v>
      </c>
      <c r="M860" s="134">
        <f t="shared" ca="1" si="24"/>
        <v>-9110.3520370731421</v>
      </c>
    </row>
    <row r="861" spans="11:13" ht="12" customHeight="1" x14ac:dyDescent="0.25">
      <c r="K861" s="90">
        <f ca="1">_xlfn.LET(_xlpm.int, OFFSET(PSA.Data!$E863, 0, ($F$2-1)*6), _xlpm.ctrl, OFFSET(PSA.Data!$E863, 0, ($F$2-1)*6 + 1),
_xlpm.int - _xlpm.ctrl)</f>
        <v>36949929.373637721</v>
      </c>
      <c r="L861" s="421">
        <f ca="1">_xlfn.LET(_xlpm.int, OFFSET(PSA.Data!$H863, 0, ($F$2-1)*6), _xlpm.ctrl, OFFSET(PSA.Data!$H863, 0, ($F$2-1)*6 + 1),
_xlpm.int - _xlpm.ctrl)</f>
        <v>-5960.266315861104</v>
      </c>
      <c r="M861" s="134">
        <f t="shared" ca="1" si="24"/>
        <v>-7807.7627845429897</v>
      </c>
    </row>
    <row r="862" spans="11:13" ht="12" customHeight="1" x14ac:dyDescent="0.25">
      <c r="K862" s="90">
        <f ca="1">_xlfn.LET(_xlpm.int, OFFSET(PSA.Data!$E864, 0, ($F$2-1)*6), _xlpm.ctrl, OFFSET(PSA.Data!$E864, 0, ($F$2-1)*6 + 1),
_xlpm.int - _xlpm.ctrl)</f>
        <v>32905266.156002246</v>
      </c>
      <c r="L862" s="421">
        <f ca="1">_xlfn.LET(_xlpm.int, OFFSET(PSA.Data!$H864, 0, ($F$2-1)*6), _xlpm.ctrl, OFFSET(PSA.Data!$H864, 0, ($F$2-1)*6 + 1),
_xlpm.int - _xlpm.ctrl)</f>
        <v>-5546.1863859557334</v>
      </c>
      <c r="M862" s="134">
        <f t="shared" ca="1" si="24"/>
        <v>-7191.4496937558451</v>
      </c>
    </row>
    <row r="863" spans="11:13" ht="12" customHeight="1" x14ac:dyDescent="0.25">
      <c r="K863" s="90">
        <f ca="1">_xlfn.LET(_xlpm.int, OFFSET(PSA.Data!$E865, 0, ($F$2-1)*6), _xlpm.ctrl, OFFSET(PSA.Data!$E865, 0, ($F$2-1)*6 + 1),
_xlpm.int - _xlpm.ctrl)</f>
        <v>25272279.667349499</v>
      </c>
      <c r="L863" s="421">
        <f ca="1">_xlfn.LET(_xlpm.int, OFFSET(PSA.Data!$H865, 0, ($F$2-1)*6), _xlpm.ctrl, OFFSET(PSA.Data!$H865, 0, ($F$2-1)*6 + 1),
_xlpm.int - _xlpm.ctrl)</f>
        <v>-5195.5836897903782</v>
      </c>
      <c r="M863" s="134">
        <f t="shared" ca="1" si="24"/>
        <v>-6459.1976731578534</v>
      </c>
    </row>
    <row r="864" spans="11:13" ht="12" customHeight="1" x14ac:dyDescent="0.25">
      <c r="K864" s="90">
        <f ca="1">_xlfn.LET(_xlpm.int, OFFSET(PSA.Data!$E866, 0, ($F$2-1)*6), _xlpm.ctrl, OFFSET(PSA.Data!$E866, 0, ($F$2-1)*6 + 1),
_xlpm.int - _xlpm.ctrl)</f>
        <v>23433706.233461197</v>
      </c>
      <c r="L864" s="421">
        <f ca="1">_xlfn.LET(_xlpm.int, OFFSET(PSA.Data!$H866, 0, ($F$2-1)*6), _xlpm.ctrl, OFFSET(PSA.Data!$H866, 0, ($F$2-1)*6 + 1),
_xlpm.int - _xlpm.ctrl)</f>
        <v>-4426.8110741122109</v>
      </c>
      <c r="M864" s="134">
        <f t="shared" ca="1" si="24"/>
        <v>-5598.4963857852708</v>
      </c>
    </row>
    <row r="865" spans="11:13" ht="12" customHeight="1" x14ac:dyDescent="0.25">
      <c r="K865" s="90">
        <f ca="1">_xlfn.LET(_xlpm.int, OFFSET(PSA.Data!$E867, 0, ($F$2-1)*6), _xlpm.ctrl, OFFSET(PSA.Data!$E867, 0, ($F$2-1)*6 + 1),
_xlpm.int - _xlpm.ctrl)</f>
        <v>41065773.23959212</v>
      </c>
      <c r="L865" s="421">
        <f ca="1">_xlfn.LET(_xlpm.int, OFFSET(PSA.Data!$H867, 0, ($F$2-1)*6), _xlpm.ctrl, OFFSET(PSA.Data!$H867, 0, ($F$2-1)*6 + 1),
_xlpm.int - _xlpm.ctrl)</f>
        <v>-6272.5766481324035</v>
      </c>
      <c r="M865" s="134">
        <f t="shared" ca="1" si="24"/>
        <v>-8325.865310112009</v>
      </c>
    </row>
    <row r="866" spans="11:13" ht="12" customHeight="1" x14ac:dyDescent="0.25">
      <c r="K866" s="90">
        <f ca="1">_xlfn.LET(_xlpm.int, OFFSET(PSA.Data!$E868, 0, ($F$2-1)*6), _xlpm.ctrl, OFFSET(PSA.Data!$E868, 0, ($F$2-1)*6 + 1),
_xlpm.int - _xlpm.ctrl)</f>
        <v>28658136.585025847</v>
      </c>
      <c r="L866" s="421">
        <f ca="1">_xlfn.LET(_xlpm.int, OFFSET(PSA.Data!$H868, 0, ($F$2-1)*6), _xlpm.ctrl, OFFSET(PSA.Data!$H868, 0, ($F$2-1)*6 + 1),
_xlpm.int - _xlpm.ctrl)</f>
        <v>-6541.3929416850697</v>
      </c>
      <c r="M866" s="134">
        <f t="shared" ca="1" si="24"/>
        <v>-7974.2997709363617</v>
      </c>
    </row>
    <row r="867" spans="11:13" ht="12" customHeight="1" x14ac:dyDescent="0.25">
      <c r="K867" s="90">
        <f ca="1">_xlfn.LET(_xlpm.int, OFFSET(PSA.Data!$E869, 0, ($F$2-1)*6), _xlpm.ctrl, OFFSET(PSA.Data!$E869, 0, ($F$2-1)*6 + 1),
_xlpm.int - _xlpm.ctrl)</f>
        <v>16249110.09280142</v>
      </c>
      <c r="L867" s="421">
        <f ca="1">_xlfn.LET(_xlpm.int, OFFSET(PSA.Data!$H869, 0, ($F$2-1)*6), _xlpm.ctrl, OFFSET(PSA.Data!$H869, 0, ($F$2-1)*6 + 1),
_xlpm.int - _xlpm.ctrl)</f>
        <v>-5696.3759551297917</v>
      </c>
      <c r="M867" s="134">
        <f t="shared" ca="1" si="24"/>
        <v>-6508.8314597698627</v>
      </c>
    </row>
    <row r="868" spans="11:13" ht="12" customHeight="1" x14ac:dyDescent="0.25">
      <c r="K868" s="90">
        <f ca="1">_xlfn.LET(_xlpm.int, OFFSET(PSA.Data!$E870, 0, ($F$2-1)*6), _xlpm.ctrl, OFFSET(PSA.Data!$E870, 0, ($F$2-1)*6 + 1),
_xlpm.int - _xlpm.ctrl)</f>
        <v>24658843.192310125</v>
      </c>
      <c r="L868" s="421">
        <f ca="1">_xlfn.LET(_xlpm.int, OFFSET(PSA.Data!$H870, 0, ($F$2-1)*6), _xlpm.ctrl, OFFSET(PSA.Data!$H870, 0, ($F$2-1)*6 + 1),
_xlpm.int - _xlpm.ctrl)</f>
        <v>-5808.1737799493549</v>
      </c>
      <c r="M868" s="134">
        <f t="shared" ca="1" si="24"/>
        <v>-7041.115939564861</v>
      </c>
    </row>
    <row r="869" spans="11:13" ht="12" customHeight="1" x14ac:dyDescent="0.25">
      <c r="K869" s="90">
        <f ca="1">_xlfn.LET(_xlpm.int, OFFSET(PSA.Data!$E871, 0, ($F$2-1)*6), _xlpm.ctrl, OFFSET(PSA.Data!$E871, 0, ($F$2-1)*6 + 1),
_xlpm.int - _xlpm.ctrl)</f>
        <v>20988588.860193439</v>
      </c>
      <c r="L869" s="421">
        <f ca="1">_xlfn.LET(_xlpm.int, OFFSET(PSA.Data!$H871, 0, ($F$2-1)*6), _xlpm.ctrl, OFFSET(PSA.Data!$H871, 0, ($F$2-1)*6 + 1),
_xlpm.int - _xlpm.ctrl)</f>
        <v>-5725.559408635303</v>
      </c>
      <c r="M869" s="134">
        <f t="shared" ca="1" si="24"/>
        <v>-6774.9888516449755</v>
      </c>
    </row>
    <row r="870" spans="11:13" ht="12" customHeight="1" x14ac:dyDescent="0.25">
      <c r="K870" s="90">
        <f ca="1">_xlfn.LET(_xlpm.int, OFFSET(PSA.Data!$E872, 0, ($F$2-1)*6), _xlpm.ctrl, OFFSET(PSA.Data!$E872, 0, ($F$2-1)*6 + 1),
_xlpm.int - _xlpm.ctrl)</f>
        <v>22523759.60054053</v>
      </c>
      <c r="L870" s="421">
        <f ca="1">_xlfn.LET(_xlpm.int, OFFSET(PSA.Data!$H872, 0, ($F$2-1)*6), _xlpm.ctrl, OFFSET(PSA.Data!$H872, 0, ($F$2-1)*6 + 1),
_xlpm.int - _xlpm.ctrl)</f>
        <v>-4782.144293110623</v>
      </c>
      <c r="M870" s="134">
        <f t="shared" ca="1" si="24"/>
        <v>-5908.3322731376493</v>
      </c>
    </row>
    <row r="871" spans="11:13" ht="12" customHeight="1" x14ac:dyDescent="0.25">
      <c r="K871" s="90">
        <f ca="1">_xlfn.LET(_xlpm.int, OFFSET(PSA.Data!$E873, 0, ($F$2-1)*6), _xlpm.ctrl, OFFSET(PSA.Data!$E873, 0, ($F$2-1)*6 + 1),
_xlpm.int - _xlpm.ctrl)</f>
        <v>35467149.170565896</v>
      </c>
      <c r="L871" s="421">
        <f ca="1">_xlfn.LET(_xlpm.int, OFFSET(PSA.Data!$H873, 0, ($F$2-1)*6), _xlpm.ctrl, OFFSET(PSA.Data!$H873, 0, ($F$2-1)*6 + 1),
_xlpm.int - _xlpm.ctrl)</f>
        <v>-7407.1502771322539</v>
      </c>
      <c r="M871" s="134">
        <f t="shared" ca="1" si="24"/>
        <v>-9180.5077356605489</v>
      </c>
    </row>
    <row r="872" spans="11:13" ht="12" customHeight="1" x14ac:dyDescent="0.25">
      <c r="K872" s="90">
        <f ca="1">_xlfn.LET(_xlpm.int, OFFSET(PSA.Data!$E874, 0, ($F$2-1)*6), _xlpm.ctrl, OFFSET(PSA.Data!$E874, 0, ($F$2-1)*6 + 1),
_xlpm.int - _xlpm.ctrl)</f>
        <v>30481492.444929026</v>
      </c>
      <c r="L872" s="421">
        <f ca="1">_xlfn.LET(_xlpm.int, OFFSET(PSA.Data!$H874, 0, ($F$2-1)*6), _xlpm.ctrl, OFFSET(PSA.Data!$H874, 0, ($F$2-1)*6 + 1),
_xlpm.int - _xlpm.ctrl)</f>
        <v>-6988.8662969885318</v>
      </c>
      <c r="M872" s="134">
        <f t="shared" ca="1" si="24"/>
        <v>-8512.9409192349831</v>
      </c>
    </row>
    <row r="873" spans="11:13" ht="12" customHeight="1" x14ac:dyDescent="0.25">
      <c r="K873" s="90">
        <f ca="1">_xlfn.LET(_xlpm.int, OFFSET(PSA.Data!$E875, 0, ($F$2-1)*6), _xlpm.ctrl, OFFSET(PSA.Data!$E875, 0, ($F$2-1)*6 + 1),
_xlpm.int - _xlpm.ctrl)</f>
        <v>16203754.48699663</v>
      </c>
      <c r="L873" s="421">
        <f ca="1">_xlfn.LET(_xlpm.int, OFFSET(PSA.Data!$H875, 0, ($F$2-1)*6), _xlpm.ctrl, OFFSET(PSA.Data!$H875, 0, ($F$2-1)*6 + 1),
_xlpm.int - _xlpm.ctrl)</f>
        <v>-5413.1077032548183</v>
      </c>
      <c r="M873" s="134">
        <f t="shared" ca="1" si="24"/>
        <v>-6223.2954276046494</v>
      </c>
    </row>
    <row r="874" spans="11:13" ht="12" customHeight="1" x14ac:dyDescent="0.25">
      <c r="K874" s="90">
        <f ca="1">_xlfn.LET(_xlpm.int, OFFSET(PSA.Data!$E876, 0, ($F$2-1)*6), _xlpm.ctrl, OFFSET(PSA.Data!$E876, 0, ($F$2-1)*6 + 1),
_xlpm.int - _xlpm.ctrl)</f>
        <v>69123835.882533491</v>
      </c>
      <c r="L874" s="421">
        <f ca="1">_xlfn.LET(_xlpm.int, OFFSET(PSA.Data!$H876, 0, ($F$2-1)*6), _xlpm.ctrl, OFFSET(PSA.Data!$H876, 0, ($F$2-1)*6 + 1),
_xlpm.int - _xlpm.ctrl)</f>
        <v>-7352.1622611657422</v>
      </c>
      <c r="M874" s="134">
        <f t="shared" ca="1" si="24"/>
        <v>-10808.354055292417</v>
      </c>
    </row>
    <row r="875" spans="11:13" ht="12" customHeight="1" x14ac:dyDescent="0.25">
      <c r="K875" s="90">
        <f ca="1">_xlfn.LET(_xlpm.int, OFFSET(PSA.Data!$E877, 0, ($F$2-1)*6), _xlpm.ctrl, OFFSET(PSA.Data!$E877, 0, ($F$2-1)*6 + 1),
_xlpm.int - _xlpm.ctrl)</f>
        <v>38863668.969336741</v>
      </c>
      <c r="L875" s="421">
        <f ca="1">_xlfn.LET(_xlpm.int, OFFSET(PSA.Data!$H877, 0, ($F$2-1)*6), _xlpm.ctrl, OFFSET(PSA.Data!$H877, 0, ($F$2-1)*6 + 1),
_xlpm.int - _xlpm.ctrl)</f>
        <v>-6945.8451901002454</v>
      </c>
      <c r="M875" s="134">
        <f t="shared" ca="1" si="24"/>
        <v>-8889.0286385670825</v>
      </c>
    </row>
    <row r="876" spans="11:13" ht="12" customHeight="1" x14ac:dyDescent="0.25">
      <c r="K876" s="90">
        <f ca="1">_xlfn.LET(_xlpm.int, OFFSET(PSA.Data!$E878, 0, ($F$2-1)*6), _xlpm.ctrl, OFFSET(PSA.Data!$E878, 0, ($F$2-1)*6 + 1),
_xlpm.int - _xlpm.ctrl)</f>
        <v>38771442.297666535</v>
      </c>
      <c r="L876" s="421">
        <f ca="1">_xlfn.LET(_xlpm.int, OFFSET(PSA.Data!$H878, 0, ($F$2-1)*6), _xlpm.ctrl, OFFSET(PSA.Data!$H878, 0, ($F$2-1)*6 + 1),
_xlpm.int - _xlpm.ctrl)</f>
        <v>-6052.7348201585355</v>
      </c>
      <c r="M876" s="134">
        <f t="shared" ca="1" si="24"/>
        <v>-7991.3069350418627</v>
      </c>
    </row>
    <row r="877" spans="11:13" ht="12" customHeight="1" x14ac:dyDescent="0.25">
      <c r="K877" s="90">
        <f ca="1">_xlfn.LET(_xlpm.int, OFFSET(PSA.Data!$E879, 0, ($F$2-1)*6), _xlpm.ctrl, OFFSET(PSA.Data!$E879, 0, ($F$2-1)*6 + 1),
_xlpm.int - _xlpm.ctrl)</f>
        <v>24425847.026948817</v>
      </c>
      <c r="L877" s="421">
        <f ca="1">_xlfn.LET(_xlpm.int, OFFSET(PSA.Data!$H879, 0, ($F$2-1)*6), _xlpm.ctrl, OFFSET(PSA.Data!$H879, 0, ($F$2-1)*6 + 1),
_xlpm.int - _xlpm.ctrl)</f>
        <v>-7057.3167981608512</v>
      </c>
      <c r="M877" s="134">
        <f t="shared" ca="1" si="24"/>
        <v>-8278.6091495082928</v>
      </c>
    </row>
    <row r="878" spans="11:13" ht="12" customHeight="1" x14ac:dyDescent="0.25">
      <c r="K878" s="90">
        <f ca="1">_xlfn.LET(_xlpm.int, OFFSET(PSA.Data!$E880, 0, ($F$2-1)*6), _xlpm.ctrl, OFFSET(PSA.Data!$E880, 0, ($F$2-1)*6 + 1),
_xlpm.int - _xlpm.ctrl)</f>
        <v>19735299.342685506</v>
      </c>
      <c r="L878" s="421">
        <f ca="1">_xlfn.LET(_xlpm.int, OFFSET(PSA.Data!$H880, 0, ($F$2-1)*6), _xlpm.ctrl, OFFSET(PSA.Data!$H880, 0, ($F$2-1)*6 + 1),
_xlpm.int - _xlpm.ctrl)</f>
        <v>-6174.6891446289101</v>
      </c>
      <c r="M878" s="134">
        <f t="shared" ca="1" si="24"/>
        <v>-7161.4541117631852</v>
      </c>
    </row>
    <row r="879" spans="11:13" ht="12" customHeight="1" x14ac:dyDescent="0.25">
      <c r="K879" s="90">
        <f ca="1">_xlfn.LET(_xlpm.int, OFFSET(PSA.Data!$E881, 0, ($F$2-1)*6), _xlpm.ctrl, OFFSET(PSA.Data!$E881, 0, ($F$2-1)*6 + 1),
_xlpm.int - _xlpm.ctrl)</f>
        <v>13418896.154368907</v>
      </c>
      <c r="L879" s="421">
        <f ca="1">_xlfn.LET(_xlpm.int, OFFSET(PSA.Data!$H881, 0, ($F$2-1)*6), _xlpm.ctrl, OFFSET(PSA.Data!$H881, 0, ($F$2-1)*6 + 1),
_xlpm.int - _xlpm.ctrl)</f>
        <v>-6068.8182016379005</v>
      </c>
      <c r="M879" s="134">
        <f t="shared" ca="1" si="24"/>
        <v>-6739.7630093563457</v>
      </c>
    </row>
    <row r="880" spans="11:13" ht="12" customHeight="1" x14ac:dyDescent="0.25">
      <c r="K880" s="90">
        <f ca="1">_xlfn.LET(_xlpm.int, OFFSET(PSA.Data!$E882, 0, ($F$2-1)*6), _xlpm.ctrl, OFFSET(PSA.Data!$E882, 0, ($F$2-1)*6 + 1),
_xlpm.int - _xlpm.ctrl)</f>
        <v>37037770.807667106</v>
      </c>
      <c r="L880" s="421">
        <f ca="1">_xlfn.LET(_xlpm.int, OFFSET(PSA.Data!$H882, 0, ($F$2-1)*6), _xlpm.ctrl, OFFSET(PSA.Data!$H882, 0, ($F$2-1)*6 + 1),
_xlpm.int - _xlpm.ctrl)</f>
        <v>-6942.0058357274793</v>
      </c>
      <c r="M880" s="134">
        <f t="shared" ca="1" si="24"/>
        <v>-8793.8943761108349</v>
      </c>
    </row>
    <row r="881" spans="11:13" ht="12" customHeight="1" x14ac:dyDescent="0.25">
      <c r="K881" s="90">
        <f ca="1">_xlfn.LET(_xlpm.int, OFFSET(PSA.Data!$E883, 0, ($F$2-1)*6), _xlpm.ctrl, OFFSET(PSA.Data!$E883, 0, ($F$2-1)*6 + 1),
_xlpm.int - _xlpm.ctrl)</f>
        <v>34308170.854048483</v>
      </c>
      <c r="L881" s="421">
        <f ca="1">_xlfn.LET(_xlpm.int, OFFSET(PSA.Data!$H883, 0, ($F$2-1)*6), _xlpm.ctrl, OFFSET(PSA.Data!$H883, 0, ($F$2-1)*6 + 1),
_xlpm.int - _xlpm.ctrl)</f>
        <v>-6341.760309164727</v>
      </c>
      <c r="M881" s="134">
        <f t="shared" ca="1" si="24"/>
        <v>-8057.1688518671508</v>
      </c>
    </row>
    <row r="882" spans="11:13" ht="12" customHeight="1" x14ac:dyDescent="0.25">
      <c r="K882" s="90">
        <f ca="1">_xlfn.LET(_xlpm.int, OFFSET(PSA.Data!$E884, 0, ($F$2-1)*6), _xlpm.ctrl, OFFSET(PSA.Data!$E884, 0, ($F$2-1)*6 + 1),
_xlpm.int - _xlpm.ctrl)</f>
        <v>39785449.278817795</v>
      </c>
      <c r="L882" s="421">
        <f ca="1">_xlfn.LET(_xlpm.int, OFFSET(PSA.Data!$H884, 0, ($F$2-1)*6), _xlpm.ctrl, OFFSET(PSA.Data!$H884, 0, ($F$2-1)*6 + 1),
_xlpm.int - _xlpm.ctrl)</f>
        <v>-5693.8664727230116</v>
      </c>
      <c r="M882" s="134">
        <f t="shared" ca="1" si="24"/>
        <v>-7683.1389366639014</v>
      </c>
    </row>
    <row r="883" spans="11:13" ht="12" customHeight="1" x14ac:dyDescent="0.25">
      <c r="K883" s="90">
        <f ca="1">_xlfn.LET(_xlpm.int, OFFSET(PSA.Data!$E885, 0, ($F$2-1)*6), _xlpm.ctrl, OFFSET(PSA.Data!$E885, 0, ($F$2-1)*6 + 1),
_xlpm.int - _xlpm.ctrl)</f>
        <v>55424128.9931091</v>
      </c>
      <c r="L883" s="421">
        <f ca="1">_xlfn.LET(_xlpm.int, OFFSET(PSA.Data!$H885, 0, ($F$2-1)*6), _xlpm.ctrl, OFFSET(PSA.Data!$H885, 0, ($F$2-1)*6 + 1),
_xlpm.int - _xlpm.ctrl)</f>
        <v>-6942.4690662910107</v>
      </c>
      <c r="M883" s="134">
        <f t="shared" ca="1" si="24"/>
        <v>-9713.6755159464665</v>
      </c>
    </row>
    <row r="884" spans="11:13" ht="12" customHeight="1" x14ac:dyDescent="0.25">
      <c r="K884" s="90">
        <f ca="1">_xlfn.LET(_xlpm.int, OFFSET(PSA.Data!$E886, 0, ($F$2-1)*6), _xlpm.ctrl, OFFSET(PSA.Data!$E886, 0, ($F$2-1)*6 + 1),
_xlpm.int - _xlpm.ctrl)</f>
        <v>16238631.458906632</v>
      </c>
      <c r="L884" s="421">
        <f ca="1">_xlfn.LET(_xlpm.int, OFFSET(PSA.Data!$H886, 0, ($F$2-1)*6), _xlpm.ctrl, OFFSET(PSA.Data!$H886, 0, ($F$2-1)*6 + 1),
_xlpm.int - _xlpm.ctrl)</f>
        <v>-5669.9315502280133</v>
      </c>
      <c r="M884" s="134">
        <f t="shared" ca="1" si="24"/>
        <v>-6481.8631231733452</v>
      </c>
    </row>
    <row r="885" spans="11:13" ht="12" customHeight="1" x14ac:dyDescent="0.25">
      <c r="K885" s="90">
        <f ca="1">_xlfn.LET(_xlpm.int, OFFSET(PSA.Data!$E887, 0, ($F$2-1)*6), _xlpm.ctrl, OFFSET(PSA.Data!$E887, 0, ($F$2-1)*6 + 1),
_xlpm.int - _xlpm.ctrl)</f>
        <v>46003474.327218875</v>
      </c>
      <c r="L885" s="421">
        <f ca="1">_xlfn.LET(_xlpm.int, OFFSET(PSA.Data!$H887, 0, ($F$2-1)*6), _xlpm.ctrl, OFFSET(PSA.Data!$H887, 0, ($F$2-1)*6 + 1),
_xlpm.int - _xlpm.ctrl)</f>
        <v>-7458.9250530768259</v>
      </c>
      <c r="M885" s="134">
        <f t="shared" ca="1" si="24"/>
        <v>-9759.0987694377691</v>
      </c>
    </row>
    <row r="886" spans="11:13" ht="12" customHeight="1" x14ac:dyDescent="0.25">
      <c r="K886" s="90">
        <f ca="1">_xlfn.LET(_xlpm.int, OFFSET(PSA.Data!$E888, 0, ($F$2-1)*6), _xlpm.ctrl, OFFSET(PSA.Data!$E888, 0, ($F$2-1)*6 + 1),
_xlpm.int - _xlpm.ctrl)</f>
        <v>28303572.768189359</v>
      </c>
      <c r="L886" s="421">
        <f ca="1">_xlfn.LET(_xlpm.int, OFFSET(PSA.Data!$H888, 0, ($F$2-1)*6), _xlpm.ctrl, OFFSET(PSA.Data!$H888, 0, ($F$2-1)*6 + 1),
_xlpm.int - _xlpm.ctrl)</f>
        <v>-5944.6397613451772</v>
      </c>
      <c r="M886" s="134">
        <f t="shared" ca="1" si="24"/>
        <v>-7359.8183997546457</v>
      </c>
    </row>
    <row r="887" spans="11:13" ht="12" customHeight="1" x14ac:dyDescent="0.25">
      <c r="K887" s="90">
        <f ca="1">_xlfn.LET(_xlpm.int, OFFSET(PSA.Data!$E889, 0, ($F$2-1)*6), _xlpm.ctrl, OFFSET(PSA.Data!$E889, 0, ($F$2-1)*6 + 1),
_xlpm.int - _xlpm.ctrl)</f>
        <v>26447800.97056257</v>
      </c>
      <c r="L887" s="421">
        <f ca="1">_xlfn.LET(_xlpm.int, OFFSET(PSA.Data!$H889, 0, ($F$2-1)*6), _xlpm.ctrl, OFFSET(PSA.Data!$H889, 0, ($F$2-1)*6 + 1),
_xlpm.int - _xlpm.ctrl)</f>
        <v>-6374.4753473017281</v>
      </c>
      <c r="M887" s="134">
        <f t="shared" ca="1" si="24"/>
        <v>-7696.8653958298564</v>
      </c>
    </row>
    <row r="888" spans="11:13" ht="12" customHeight="1" x14ac:dyDescent="0.25">
      <c r="K888" s="90">
        <f ca="1">_xlfn.LET(_xlpm.int, OFFSET(PSA.Data!$E890, 0, ($F$2-1)*6), _xlpm.ctrl, OFFSET(PSA.Data!$E890, 0, ($F$2-1)*6 + 1),
_xlpm.int - _xlpm.ctrl)</f>
        <v>21626396.364271265</v>
      </c>
      <c r="L888" s="421">
        <f ca="1">_xlfn.LET(_xlpm.int, OFFSET(PSA.Data!$H890, 0, ($F$2-1)*6), _xlpm.ctrl, OFFSET(PSA.Data!$H890, 0, ($F$2-1)*6 + 1),
_xlpm.int - _xlpm.ctrl)</f>
        <v>-5795.8477879652073</v>
      </c>
      <c r="M888" s="134">
        <f t="shared" ca="1" si="24"/>
        <v>-6877.1676061787703</v>
      </c>
    </row>
    <row r="889" spans="11:13" ht="12" customHeight="1" x14ac:dyDescent="0.25">
      <c r="K889" s="90">
        <f ca="1">_xlfn.LET(_xlpm.int, OFFSET(PSA.Data!$E891, 0, ($F$2-1)*6), _xlpm.ctrl, OFFSET(PSA.Data!$E891, 0, ($F$2-1)*6 + 1),
_xlpm.int - _xlpm.ctrl)</f>
        <v>16740345.468594426</v>
      </c>
      <c r="L889" s="421">
        <f ca="1">_xlfn.LET(_xlpm.int, OFFSET(PSA.Data!$H891, 0, ($F$2-1)*6), _xlpm.ctrl, OFFSET(PSA.Data!$H891, 0, ($F$2-1)*6 + 1),
_xlpm.int - _xlpm.ctrl)</f>
        <v>-4400.4221965248107</v>
      </c>
      <c r="M889" s="134">
        <f t="shared" ca="1" si="24"/>
        <v>-5237.4394699545319</v>
      </c>
    </row>
    <row r="890" spans="11:13" ht="12" customHeight="1" x14ac:dyDescent="0.25">
      <c r="K890" s="90">
        <f ca="1">_xlfn.LET(_xlpm.int, OFFSET(PSA.Data!$E892, 0, ($F$2-1)*6), _xlpm.ctrl, OFFSET(PSA.Data!$E892, 0, ($F$2-1)*6 + 1),
_xlpm.int - _xlpm.ctrl)</f>
        <v>15365131.170756688</v>
      </c>
      <c r="L890" s="421">
        <f ca="1">_xlfn.LET(_xlpm.int, OFFSET(PSA.Data!$H892, 0, ($F$2-1)*6), _xlpm.ctrl, OFFSET(PSA.Data!$H892, 0, ($F$2-1)*6 + 1),
_xlpm.int - _xlpm.ctrl)</f>
        <v>-5498.4850168251241</v>
      </c>
      <c r="M890" s="134">
        <f t="shared" ca="1" si="24"/>
        <v>-6266.7415753629584</v>
      </c>
    </row>
    <row r="891" spans="11:13" ht="12" customHeight="1" x14ac:dyDescent="0.25">
      <c r="K891" s="90">
        <f ca="1">_xlfn.LET(_xlpm.int, OFFSET(PSA.Data!$E893, 0, ($F$2-1)*6), _xlpm.ctrl, OFFSET(PSA.Data!$E893, 0, ($F$2-1)*6 + 1),
_xlpm.int - _xlpm.ctrl)</f>
        <v>32228730.58164873</v>
      </c>
      <c r="L891" s="421">
        <f ca="1">_xlfn.LET(_xlpm.int, OFFSET(PSA.Data!$H893, 0, ($F$2-1)*6), _xlpm.ctrl, OFFSET(PSA.Data!$H893, 0, ($F$2-1)*6 + 1),
_xlpm.int - _xlpm.ctrl)</f>
        <v>-6635.9467283586855</v>
      </c>
      <c r="M891" s="134">
        <f t="shared" ca="1" si="24"/>
        <v>-8247.3832574411226</v>
      </c>
    </row>
    <row r="892" spans="11:13" ht="12" customHeight="1" x14ac:dyDescent="0.25">
      <c r="K892" s="90">
        <f ca="1">_xlfn.LET(_xlpm.int, OFFSET(PSA.Data!$E894, 0, ($F$2-1)*6), _xlpm.ctrl, OFFSET(PSA.Data!$E894, 0, ($F$2-1)*6 + 1),
_xlpm.int - _xlpm.ctrl)</f>
        <v>44614145.737282023</v>
      </c>
      <c r="L892" s="421">
        <f ca="1">_xlfn.LET(_xlpm.int, OFFSET(PSA.Data!$H894, 0, ($F$2-1)*6), _xlpm.ctrl, OFFSET(PSA.Data!$H894, 0, ($F$2-1)*6 + 1),
_xlpm.int - _xlpm.ctrl)</f>
        <v>-6713.4839020204054</v>
      </c>
      <c r="M892" s="134">
        <f t="shared" ca="1" si="24"/>
        <v>-8944.1911888845061</v>
      </c>
    </row>
    <row r="893" spans="11:13" ht="12" customHeight="1" x14ac:dyDescent="0.25">
      <c r="K893" s="90">
        <f ca="1">_xlfn.LET(_xlpm.int, OFFSET(PSA.Data!$E895, 0, ($F$2-1)*6), _xlpm.ctrl, OFFSET(PSA.Data!$E895, 0, ($F$2-1)*6 + 1),
_xlpm.int - _xlpm.ctrl)</f>
        <v>27955250.196833305</v>
      </c>
      <c r="L893" s="421">
        <f ca="1">_xlfn.LET(_xlpm.int, OFFSET(PSA.Data!$H895, 0, ($F$2-1)*6), _xlpm.ctrl, OFFSET(PSA.Data!$H895, 0, ($F$2-1)*6 + 1),
_xlpm.int - _xlpm.ctrl)</f>
        <v>-7420.1596150906134</v>
      </c>
      <c r="M893" s="134">
        <f t="shared" ca="1" si="24"/>
        <v>-8817.9221249322782</v>
      </c>
    </row>
    <row r="894" spans="11:13" ht="12" customHeight="1" x14ac:dyDescent="0.25">
      <c r="K894" s="90">
        <f ca="1">_xlfn.LET(_xlpm.int, OFFSET(PSA.Data!$E896, 0, ($F$2-1)*6), _xlpm.ctrl, OFFSET(PSA.Data!$E896, 0, ($F$2-1)*6 + 1),
_xlpm.int - _xlpm.ctrl)</f>
        <v>32857316.723837357</v>
      </c>
      <c r="L894" s="421">
        <f ca="1">_xlfn.LET(_xlpm.int, OFFSET(PSA.Data!$H896, 0, ($F$2-1)*6), _xlpm.ctrl, OFFSET(PSA.Data!$H896, 0, ($F$2-1)*6 + 1),
_xlpm.int - _xlpm.ctrl)</f>
        <v>-5665.8929880644982</v>
      </c>
      <c r="M894" s="134">
        <f t="shared" ca="1" si="24"/>
        <v>-7308.7588242563661</v>
      </c>
    </row>
    <row r="895" spans="11:13" ht="12" customHeight="1" x14ac:dyDescent="0.25">
      <c r="K895" s="90">
        <f ca="1">_xlfn.LET(_xlpm.int, OFFSET(PSA.Data!$E897, 0, ($F$2-1)*6), _xlpm.ctrl, OFFSET(PSA.Data!$E897, 0, ($F$2-1)*6 + 1),
_xlpm.int - _xlpm.ctrl)</f>
        <v>37708929.8381427</v>
      </c>
      <c r="L895" s="421">
        <f ca="1">_xlfn.LET(_xlpm.int, OFFSET(PSA.Data!$H897, 0, ($F$2-1)*6), _xlpm.ctrl, OFFSET(PSA.Data!$H897, 0, ($F$2-1)*6 + 1),
_xlpm.int - _xlpm.ctrl)</f>
        <v>-7030.7392106495699</v>
      </c>
      <c r="M895" s="134">
        <f t="shared" ca="1" si="24"/>
        <v>-8916.1857025567042</v>
      </c>
    </row>
    <row r="896" spans="11:13" ht="12" customHeight="1" x14ac:dyDescent="0.25">
      <c r="K896" s="90">
        <f ca="1">_xlfn.LET(_xlpm.int, OFFSET(PSA.Data!$E898, 0, ($F$2-1)*6), _xlpm.ctrl, OFFSET(PSA.Data!$E898, 0, ($F$2-1)*6 + 1),
_xlpm.int - _xlpm.ctrl)</f>
        <v>28567117.821235418</v>
      </c>
      <c r="L896" s="421">
        <f ca="1">_xlfn.LET(_xlpm.int, OFFSET(PSA.Data!$H898, 0, ($F$2-1)*6), _xlpm.ctrl, OFFSET(PSA.Data!$H898, 0, ($F$2-1)*6 + 1),
_xlpm.int - _xlpm.ctrl)</f>
        <v>-7394.8995543632045</v>
      </c>
      <c r="M896" s="134">
        <f t="shared" ca="1" si="24"/>
        <v>-8823.2554454249748</v>
      </c>
    </row>
    <row r="897" spans="11:13" ht="12" customHeight="1" x14ac:dyDescent="0.25">
      <c r="K897" s="90">
        <f ca="1">_xlfn.LET(_xlpm.int, OFFSET(PSA.Data!$E899, 0, ($F$2-1)*6), _xlpm.ctrl, OFFSET(PSA.Data!$E899, 0, ($F$2-1)*6 + 1),
_xlpm.int - _xlpm.ctrl)</f>
        <v>41722483.156687558</v>
      </c>
      <c r="L897" s="421">
        <f ca="1">_xlfn.LET(_xlpm.int, OFFSET(PSA.Data!$H899, 0, ($F$2-1)*6), _xlpm.ctrl, OFFSET(PSA.Data!$H899, 0, ($F$2-1)*6 + 1),
_xlpm.int - _xlpm.ctrl)</f>
        <v>-6228.415597070376</v>
      </c>
      <c r="M897" s="134">
        <f t="shared" ca="1" si="24"/>
        <v>-8314.5397549047539</v>
      </c>
    </row>
    <row r="898" spans="11:13" ht="12" customHeight="1" x14ac:dyDescent="0.25">
      <c r="K898" s="90">
        <f ca="1">_xlfn.LET(_xlpm.int, OFFSET(PSA.Data!$E900, 0, ($F$2-1)*6), _xlpm.ctrl, OFFSET(PSA.Data!$E900, 0, ($F$2-1)*6 + 1),
_xlpm.int - _xlpm.ctrl)</f>
        <v>23234366.189880475</v>
      </c>
      <c r="L898" s="421">
        <f ca="1">_xlfn.LET(_xlpm.int, OFFSET(PSA.Data!$H900, 0, ($F$2-1)*6), _xlpm.ctrl, OFFSET(PSA.Data!$H900, 0, ($F$2-1)*6 + 1),
_xlpm.int - _xlpm.ctrl)</f>
        <v>-5803.0990060374761</v>
      </c>
      <c r="M898" s="134">
        <f t="shared" ca="1" si="24"/>
        <v>-6964.8173155314998</v>
      </c>
    </row>
    <row r="899" spans="11:13" ht="12" customHeight="1" x14ac:dyDescent="0.25">
      <c r="K899" s="90">
        <f ca="1">_xlfn.LET(_xlpm.int, OFFSET(PSA.Data!$E901, 0, ($F$2-1)*6), _xlpm.ctrl, OFFSET(PSA.Data!$E901, 0, ($F$2-1)*6 + 1),
_xlpm.int - _xlpm.ctrl)</f>
        <v>27934028.546411872</v>
      </c>
      <c r="L899" s="421">
        <f ca="1">_xlfn.LET(_xlpm.int, OFFSET(PSA.Data!$H901, 0, ($F$2-1)*6), _xlpm.ctrl, OFFSET(PSA.Data!$H901, 0, ($F$2-1)*6 + 1),
_xlpm.int - _xlpm.ctrl)</f>
        <v>-5086.8333052679818</v>
      </c>
      <c r="M899" s="134">
        <f t="shared" ca="1" si="24"/>
        <v>-6483.5347325885759</v>
      </c>
    </row>
    <row r="900" spans="11:13" ht="12" customHeight="1" x14ac:dyDescent="0.25">
      <c r="K900" s="90">
        <f ca="1">_xlfn.LET(_xlpm.int, OFFSET(PSA.Data!$E902, 0, ($F$2-1)*6), _xlpm.ctrl, OFFSET(PSA.Data!$E902, 0, ($F$2-1)*6 + 1),
_xlpm.int - _xlpm.ctrl)</f>
        <v>32861024.955107555</v>
      </c>
      <c r="L900" s="421">
        <f ca="1">_xlfn.LET(_xlpm.int, OFFSET(PSA.Data!$H902, 0, ($F$2-1)*6), _xlpm.ctrl, OFFSET(PSA.Data!$H902, 0, ($F$2-1)*6 + 1),
_xlpm.int - _xlpm.ctrl)</f>
        <v>-6412.5270358603757</v>
      </c>
      <c r="M900" s="134">
        <f t="shared" ca="1" si="24"/>
        <v>-8055.5782836157532</v>
      </c>
    </row>
    <row r="901" spans="11:13" ht="12" customHeight="1" x14ac:dyDescent="0.25">
      <c r="K901" s="90">
        <f ca="1">_xlfn.LET(_xlpm.int, OFFSET(PSA.Data!$E903, 0, ($F$2-1)*6), _xlpm.ctrl, OFFSET(PSA.Data!$E903, 0, ($F$2-1)*6 + 1),
_xlpm.int - _xlpm.ctrl)</f>
        <v>32679914.169878416</v>
      </c>
      <c r="L901" s="421">
        <f ca="1">_xlfn.LET(_xlpm.int, OFFSET(PSA.Data!$H903, 0, ($F$2-1)*6), _xlpm.ctrl, OFFSET(PSA.Data!$H903, 0, ($F$2-1)*6 + 1),
_xlpm.int - _xlpm.ctrl)</f>
        <v>-5970.2752445141105</v>
      </c>
      <c r="M901" s="134">
        <f t="shared" ca="1" si="24"/>
        <v>-7604.270953008031</v>
      </c>
    </row>
    <row r="902" spans="11:13" ht="12" customHeight="1" x14ac:dyDescent="0.25">
      <c r="K902" s="90">
        <f ca="1">_xlfn.LET(_xlpm.int, OFFSET(PSA.Data!$E904, 0, ($F$2-1)*6), _xlpm.ctrl, OFFSET(PSA.Data!$E904, 0, ($F$2-1)*6 + 1),
_xlpm.int - _xlpm.ctrl)</f>
        <v>24402775.635074217</v>
      </c>
      <c r="L902" s="421">
        <f ca="1">_xlfn.LET(_xlpm.int, OFFSET(PSA.Data!$H904, 0, ($F$2-1)*6), _xlpm.ctrl, OFFSET(PSA.Data!$H904, 0, ($F$2-1)*6 + 1),
_xlpm.int - _xlpm.ctrl)</f>
        <v>-5213.7665905573576</v>
      </c>
      <c r="M902" s="134">
        <f t="shared" ca="1" si="24"/>
        <v>-6433.9053723110683</v>
      </c>
    </row>
    <row r="903" spans="11:13" ht="12" customHeight="1" x14ac:dyDescent="0.25">
      <c r="K903" s="90">
        <f ca="1">_xlfn.LET(_xlpm.int, OFFSET(PSA.Data!$E905, 0, ($F$2-1)*6), _xlpm.ctrl, OFFSET(PSA.Data!$E905, 0, ($F$2-1)*6 + 1),
_xlpm.int - _xlpm.ctrl)</f>
        <v>36062396.697138324</v>
      </c>
      <c r="L903" s="421">
        <f ca="1">_xlfn.LET(_xlpm.int, OFFSET(PSA.Data!$H905, 0, ($F$2-1)*6), _xlpm.ctrl, OFFSET(PSA.Data!$H905, 0, ($F$2-1)*6 + 1),
_xlpm.int - _xlpm.ctrl)</f>
        <v>-6147.384571835013</v>
      </c>
      <c r="M903" s="134">
        <f t="shared" ca="1" si="24"/>
        <v>-7950.504406691929</v>
      </c>
    </row>
    <row r="904" spans="11:13" ht="12" customHeight="1" x14ac:dyDescent="0.25">
      <c r="K904" s="90">
        <f ca="1">_xlfn.LET(_xlpm.int, OFFSET(PSA.Data!$E906, 0, ($F$2-1)*6), _xlpm.ctrl, OFFSET(PSA.Data!$E906, 0, ($F$2-1)*6 + 1),
_xlpm.int - _xlpm.ctrl)</f>
        <v>25967608.074673302</v>
      </c>
      <c r="L904" s="421">
        <f ca="1">_xlfn.LET(_xlpm.int, OFFSET(PSA.Data!$H906, 0, ($F$2-1)*6), _xlpm.ctrl, OFFSET(PSA.Data!$H906, 0, ($F$2-1)*6 + 1),
_xlpm.int - _xlpm.ctrl)</f>
        <v>-7461.8943510692225</v>
      </c>
      <c r="M904" s="134">
        <f t="shared" ca="1" si="24"/>
        <v>-8760.2747548028874</v>
      </c>
    </row>
    <row r="905" spans="11:13" ht="12" customHeight="1" x14ac:dyDescent="0.25">
      <c r="K905" s="90">
        <f ca="1">_xlfn.LET(_xlpm.int, OFFSET(PSA.Data!$E907, 0, ($F$2-1)*6), _xlpm.ctrl, OFFSET(PSA.Data!$E907, 0, ($F$2-1)*6 + 1),
_xlpm.int - _xlpm.ctrl)</f>
        <v>31210587.939271025</v>
      </c>
      <c r="L905" s="421">
        <f ca="1">_xlfn.LET(_xlpm.int, OFFSET(PSA.Data!$H907, 0, ($F$2-1)*6), _xlpm.ctrl, OFFSET(PSA.Data!$H907, 0, ($F$2-1)*6 + 1),
_xlpm.int - _xlpm.ctrl)</f>
        <v>-4077.756048054333</v>
      </c>
      <c r="M905" s="134">
        <f t="shared" ca="1" si="24"/>
        <v>-5638.2854450178838</v>
      </c>
    </row>
    <row r="906" spans="11:13" ht="12" customHeight="1" x14ac:dyDescent="0.25">
      <c r="K906" s="90">
        <f ca="1">_xlfn.LET(_xlpm.int, OFFSET(PSA.Data!$E908, 0, ($F$2-1)*6), _xlpm.ctrl, OFFSET(PSA.Data!$E908, 0, ($F$2-1)*6 + 1),
_xlpm.int - _xlpm.ctrl)</f>
        <v>33936663.867491223</v>
      </c>
      <c r="L906" s="421">
        <f ca="1">_xlfn.LET(_xlpm.int, OFFSET(PSA.Data!$H908, 0, ($F$2-1)*6), _xlpm.ctrl, OFFSET(PSA.Data!$H908, 0, ($F$2-1)*6 + 1),
_xlpm.int - _xlpm.ctrl)</f>
        <v>-6679.4343934724802</v>
      </c>
      <c r="M906" s="134">
        <f t="shared" ca="1" si="24"/>
        <v>-8376.2675868470415</v>
      </c>
    </row>
    <row r="907" spans="11:13" ht="12" customHeight="1" x14ac:dyDescent="0.25">
      <c r="K907" s="90">
        <f ca="1">_xlfn.LET(_xlpm.int, OFFSET(PSA.Data!$E909, 0, ($F$2-1)*6), _xlpm.ctrl, OFFSET(PSA.Data!$E909, 0, ($F$2-1)*6 + 1),
_xlpm.int - _xlpm.ctrl)</f>
        <v>17513494.304498836</v>
      </c>
      <c r="L907" s="421">
        <f ca="1">_xlfn.LET(_xlpm.int, OFFSET(PSA.Data!$H909, 0, ($F$2-1)*6), _xlpm.ctrl, OFFSET(PSA.Data!$H909, 0, ($F$2-1)*6 + 1),
_xlpm.int - _xlpm.ctrl)</f>
        <v>-5655.2874068200799</v>
      </c>
      <c r="M907" s="134">
        <f t="shared" ca="1" si="24"/>
        <v>-6530.9621220450217</v>
      </c>
    </row>
    <row r="908" spans="11:13" ht="12" customHeight="1" x14ac:dyDescent="0.25">
      <c r="K908" s="90">
        <f ca="1">_xlfn.LET(_xlpm.int, OFFSET(PSA.Data!$E910, 0, ($F$2-1)*6), _xlpm.ctrl, OFFSET(PSA.Data!$E910, 0, ($F$2-1)*6 + 1),
_xlpm.int - _xlpm.ctrl)</f>
        <v>39204367.38818644</v>
      </c>
      <c r="L908" s="421">
        <f ca="1">_xlfn.LET(_xlpm.int, OFFSET(PSA.Data!$H910, 0, ($F$2-1)*6), _xlpm.ctrl, OFFSET(PSA.Data!$H910, 0, ($F$2-1)*6 + 1),
_xlpm.int - _xlpm.ctrl)</f>
        <v>-7752.8478836435115</v>
      </c>
      <c r="M908" s="134">
        <f t="shared" ca="1" si="24"/>
        <v>-9713.0662530528334</v>
      </c>
    </row>
    <row r="909" spans="11:13" ht="12" customHeight="1" x14ac:dyDescent="0.25">
      <c r="K909" s="90">
        <f ca="1">_xlfn.LET(_xlpm.int, OFFSET(PSA.Data!$E911, 0, ($F$2-1)*6), _xlpm.ctrl, OFFSET(PSA.Data!$E911, 0, ($F$2-1)*6 + 1),
_xlpm.int - _xlpm.ctrl)</f>
        <v>27648936.941767775</v>
      </c>
      <c r="L909" s="421">
        <f ca="1">_xlfn.LET(_xlpm.int, OFFSET(PSA.Data!$H911, 0, ($F$2-1)*6), _xlpm.ctrl, OFFSET(PSA.Data!$H911, 0, ($F$2-1)*6 + 1),
_xlpm.int - _xlpm.ctrl)</f>
        <v>-5440.6800995054791</v>
      </c>
      <c r="M909" s="134">
        <f t="shared" ca="1" si="24"/>
        <v>-6823.1269465938676</v>
      </c>
    </row>
    <row r="910" spans="11:13" ht="12" customHeight="1" x14ac:dyDescent="0.25">
      <c r="K910" s="90">
        <f ca="1">_xlfn.LET(_xlpm.int, OFFSET(PSA.Data!$E912, 0, ($F$2-1)*6), _xlpm.ctrl, OFFSET(PSA.Data!$E912, 0, ($F$2-1)*6 + 1),
_xlpm.int - _xlpm.ctrl)</f>
        <v>24218707.067398634</v>
      </c>
      <c r="L910" s="421">
        <f ca="1">_xlfn.LET(_xlpm.int, OFFSET(PSA.Data!$H912, 0, ($F$2-1)*6), _xlpm.ctrl, OFFSET(PSA.Data!$H912, 0, ($F$2-1)*6 + 1),
_xlpm.int - _xlpm.ctrl)</f>
        <v>-5260.1210626478614</v>
      </c>
      <c r="M910" s="134">
        <f t="shared" ca="1" si="24"/>
        <v>-6471.0564160177928</v>
      </c>
    </row>
    <row r="911" spans="11:13" ht="12" customHeight="1" x14ac:dyDescent="0.25">
      <c r="K911" s="90">
        <f ca="1">_xlfn.LET(_xlpm.int, OFFSET(PSA.Data!$E913, 0, ($F$2-1)*6), _xlpm.ctrl, OFFSET(PSA.Data!$E913, 0, ($F$2-1)*6 + 1),
_xlpm.int - _xlpm.ctrl)</f>
        <v>24131324.562770955</v>
      </c>
      <c r="L911" s="421">
        <f ca="1">_xlfn.LET(_xlpm.int, OFFSET(PSA.Data!$H913, 0, ($F$2-1)*6), _xlpm.ctrl, OFFSET(PSA.Data!$H913, 0, ($F$2-1)*6 + 1),
_xlpm.int - _xlpm.ctrl)</f>
        <v>-4750.0825221480027</v>
      </c>
      <c r="M911" s="134">
        <f t="shared" ca="1" si="24"/>
        <v>-5956.6487502865502</v>
      </c>
    </row>
    <row r="912" spans="11:13" ht="12" customHeight="1" x14ac:dyDescent="0.25">
      <c r="K912" s="90">
        <f ca="1">_xlfn.LET(_xlpm.int, OFFSET(PSA.Data!$E914, 0, ($F$2-1)*6), _xlpm.ctrl, OFFSET(PSA.Data!$E914, 0, ($F$2-1)*6 + 1),
_xlpm.int - _xlpm.ctrl)</f>
        <v>37213645.698219791</v>
      </c>
      <c r="L912" s="421">
        <f ca="1">_xlfn.LET(_xlpm.int, OFFSET(PSA.Data!$H914, 0, ($F$2-1)*6), _xlpm.ctrl, OFFSET(PSA.Data!$H914, 0, ($F$2-1)*6 + 1),
_xlpm.int - _xlpm.ctrl)</f>
        <v>-6610.4071624311946</v>
      </c>
      <c r="M912" s="134">
        <f t="shared" ref="M912:M975" ca="1" si="25">L912-K912/WTP</f>
        <v>-8471.0894473421849</v>
      </c>
    </row>
    <row r="913" spans="11:13" ht="12" customHeight="1" x14ac:dyDescent="0.25">
      <c r="K913" s="90">
        <f ca="1">_xlfn.LET(_xlpm.int, OFFSET(PSA.Data!$E915, 0, ($F$2-1)*6), _xlpm.ctrl, OFFSET(PSA.Data!$E915, 0, ($F$2-1)*6 + 1),
_xlpm.int - _xlpm.ctrl)</f>
        <v>23623779.301305179</v>
      </c>
      <c r="L913" s="421">
        <f ca="1">_xlfn.LET(_xlpm.int, OFFSET(PSA.Data!$H915, 0, ($F$2-1)*6), _xlpm.ctrl, OFFSET(PSA.Data!$H915, 0, ($F$2-1)*6 + 1),
_xlpm.int - _xlpm.ctrl)</f>
        <v>-4528.4965467327747</v>
      </c>
      <c r="M913" s="134">
        <f t="shared" ca="1" si="25"/>
        <v>-5709.685511798034</v>
      </c>
    </row>
    <row r="914" spans="11:13" ht="12" customHeight="1" x14ac:dyDescent="0.25">
      <c r="K914" s="90">
        <f ca="1">_xlfn.LET(_xlpm.int, OFFSET(PSA.Data!$E916, 0, ($F$2-1)*6), _xlpm.ctrl, OFFSET(PSA.Data!$E916, 0, ($F$2-1)*6 + 1),
_xlpm.int - _xlpm.ctrl)</f>
        <v>56392342.48001425</v>
      </c>
      <c r="L914" s="421">
        <f ca="1">_xlfn.LET(_xlpm.int, OFFSET(PSA.Data!$H916, 0, ($F$2-1)*6), _xlpm.ctrl, OFFSET(PSA.Data!$H916, 0, ($F$2-1)*6 + 1),
_xlpm.int - _xlpm.ctrl)</f>
        <v>-6605.5850097723733</v>
      </c>
      <c r="M914" s="134">
        <f t="shared" ca="1" si="25"/>
        <v>-9425.2021337730857</v>
      </c>
    </row>
    <row r="915" spans="11:13" ht="12" customHeight="1" x14ac:dyDescent="0.25">
      <c r="K915" s="90">
        <f ca="1">_xlfn.LET(_xlpm.int, OFFSET(PSA.Data!$E917, 0, ($F$2-1)*6), _xlpm.ctrl, OFFSET(PSA.Data!$E917, 0, ($F$2-1)*6 + 1),
_xlpm.int - _xlpm.ctrl)</f>
        <v>37825209.614857562</v>
      </c>
      <c r="L915" s="421">
        <f ca="1">_xlfn.LET(_xlpm.int, OFFSET(PSA.Data!$H917, 0, ($F$2-1)*6), _xlpm.ctrl, OFFSET(PSA.Data!$H917, 0, ($F$2-1)*6 + 1),
_xlpm.int - _xlpm.ctrl)</f>
        <v>-6579.699324958784</v>
      </c>
      <c r="M915" s="134">
        <f t="shared" ca="1" si="25"/>
        <v>-8470.9598057016628</v>
      </c>
    </row>
    <row r="916" spans="11:13" ht="12" customHeight="1" x14ac:dyDescent="0.25">
      <c r="K916" s="90">
        <f ca="1">_xlfn.LET(_xlpm.int, OFFSET(PSA.Data!$E918, 0, ($F$2-1)*6), _xlpm.ctrl, OFFSET(PSA.Data!$E918, 0, ($F$2-1)*6 + 1),
_xlpm.int - _xlpm.ctrl)</f>
        <v>27948641.882733651</v>
      </c>
      <c r="L916" s="421">
        <f ca="1">_xlfn.LET(_xlpm.int, OFFSET(PSA.Data!$H918, 0, ($F$2-1)*6), _xlpm.ctrl, OFFSET(PSA.Data!$H918, 0, ($F$2-1)*6 + 1),
_xlpm.int - _xlpm.ctrl)</f>
        <v>-6536.9250412427355</v>
      </c>
      <c r="M916" s="134">
        <f t="shared" ca="1" si="25"/>
        <v>-7934.3571353794177</v>
      </c>
    </row>
    <row r="917" spans="11:13" ht="12" customHeight="1" x14ac:dyDescent="0.25">
      <c r="K917" s="90">
        <f ca="1">_xlfn.LET(_xlpm.int, OFFSET(PSA.Data!$E919, 0, ($F$2-1)*6), _xlpm.ctrl, OFFSET(PSA.Data!$E919, 0, ($F$2-1)*6 + 1),
_xlpm.int - _xlpm.ctrl)</f>
        <v>24421061.543131046</v>
      </c>
      <c r="L917" s="421">
        <f ca="1">_xlfn.LET(_xlpm.int, OFFSET(PSA.Data!$H919, 0, ($F$2-1)*6), _xlpm.ctrl, OFFSET(PSA.Data!$H919, 0, ($F$2-1)*6 + 1),
_xlpm.int - _xlpm.ctrl)</f>
        <v>-6792.480412458789</v>
      </c>
      <c r="M917" s="134">
        <f t="shared" ca="1" si="25"/>
        <v>-8013.5334896153418</v>
      </c>
    </row>
    <row r="918" spans="11:13" ht="12" customHeight="1" x14ac:dyDescent="0.25">
      <c r="K918" s="90">
        <f ca="1">_xlfn.LET(_xlpm.int, OFFSET(PSA.Data!$E920, 0, ($F$2-1)*6), _xlpm.ctrl, OFFSET(PSA.Data!$E920, 0, ($F$2-1)*6 + 1),
_xlpm.int - _xlpm.ctrl)</f>
        <v>29508070.644837197</v>
      </c>
      <c r="L918" s="421">
        <f ca="1">_xlfn.LET(_xlpm.int, OFFSET(PSA.Data!$H920, 0, ($F$2-1)*6), _xlpm.ctrl, OFFSET(PSA.Data!$H920, 0, ($F$2-1)*6 + 1),
_xlpm.int - _xlpm.ctrl)</f>
        <v>-6037.0506718132492</v>
      </c>
      <c r="M918" s="134">
        <f t="shared" ca="1" si="25"/>
        <v>-7512.4542040551096</v>
      </c>
    </row>
    <row r="919" spans="11:13" ht="12" customHeight="1" x14ac:dyDescent="0.25">
      <c r="K919" s="90">
        <f ca="1">_xlfn.LET(_xlpm.int, OFFSET(PSA.Data!$E921, 0, ($F$2-1)*6), _xlpm.ctrl, OFFSET(PSA.Data!$E921, 0, ($F$2-1)*6 + 1),
_xlpm.int - _xlpm.ctrl)</f>
        <v>34372448.395859778</v>
      </c>
      <c r="L919" s="421">
        <f ca="1">_xlfn.LET(_xlpm.int, OFFSET(PSA.Data!$H921, 0, ($F$2-1)*6), _xlpm.ctrl, OFFSET(PSA.Data!$H921, 0, ($F$2-1)*6 + 1),
_xlpm.int - _xlpm.ctrl)</f>
        <v>-5262.0340743274301</v>
      </c>
      <c r="M919" s="134">
        <f t="shared" ca="1" si="25"/>
        <v>-6980.6564941204188</v>
      </c>
    </row>
    <row r="920" spans="11:13" ht="12" customHeight="1" x14ac:dyDescent="0.25">
      <c r="K920" s="90">
        <f ca="1">_xlfn.LET(_xlpm.int, OFFSET(PSA.Data!$E922, 0, ($F$2-1)*6), _xlpm.ctrl, OFFSET(PSA.Data!$E922, 0, ($F$2-1)*6 + 1),
_xlpm.int - _xlpm.ctrl)</f>
        <v>22290160.571499266</v>
      </c>
      <c r="L920" s="421">
        <f ca="1">_xlfn.LET(_xlpm.int, OFFSET(PSA.Data!$H922, 0, ($F$2-1)*6), _xlpm.ctrl, OFFSET(PSA.Data!$H922, 0, ($F$2-1)*6 + 1),
_xlpm.int - _xlpm.ctrl)</f>
        <v>-4891.8287068918635</v>
      </c>
      <c r="M920" s="134">
        <f t="shared" ca="1" si="25"/>
        <v>-6006.3367354668262</v>
      </c>
    </row>
    <row r="921" spans="11:13" ht="12" customHeight="1" x14ac:dyDescent="0.25">
      <c r="K921" s="90">
        <f ca="1">_xlfn.LET(_xlpm.int, OFFSET(PSA.Data!$E923, 0, ($F$2-1)*6), _xlpm.ctrl, OFFSET(PSA.Data!$E923, 0, ($F$2-1)*6 + 1),
_xlpm.int - _xlpm.ctrl)</f>
        <v>35299552.443002999</v>
      </c>
      <c r="L921" s="421">
        <f ca="1">_xlfn.LET(_xlpm.int, OFFSET(PSA.Data!$H923, 0, ($F$2-1)*6), _xlpm.ctrl, OFFSET(PSA.Data!$H923, 0, ($F$2-1)*6 + 1),
_xlpm.int - _xlpm.ctrl)</f>
        <v>-6452.5052141926881</v>
      </c>
      <c r="M921" s="134">
        <f t="shared" ca="1" si="25"/>
        <v>-8217.4828363428387</v>
      </c>
    </row>
    <row r="922" spans="11:13" ht="12" customHeight="1" x14ac:dyDescent="0.25">
      <c r="K922" s="90">
        <f ca="1">_xlfn.LET(_xlpm.int, OFFSET(PSA.Data!$E924, 0, ($F$2-1)*6), _xlpm.ctrl, OFFSET(PSA.Data!$E924, 0, ($F$2-1)*6 + 1),
_xlpm.int - _xlpm.ctrl)</f>
        <v>39456286.396648847</v>
      </c>
      <c r="L922" s="421">
        <f ca="1">_xlfn.LET(_xlpm.int, OFFSET(PSA.Data!$H924, 0, ($F$2-1)*6), _xlpm.ctrl, OFFSET(PSA.Data!$H924, 0, ($F$2-1)*6 + 1),
_xlpm.int - _xlpm.ctrl)</f>
        <v>-6897.7000378054745</v>
      </c>
      <c r="M922" s="134">
        <f t="shared" ca="1" si="25"/>
        <v>-8870.514357637916</v>
      </c>
    </row>
    <row r="923" spans="11:13" ht="12" customHeight="1" x14ac:dyDescent="0.25">
      <c r="K923" s="90">
        <f ca="1">_xlfn.LET(_xlpm.int, OFFSET(PSA.Data!$E925, 0, ($F$2-1)*6), _xlpm.ctrl, OFFSET(PSA.Data!$E925, 0, ($F$2-1)*6 + 1),
_xlpm.int - _xlpm.ctrl)</f>
        <v>17315426.316523168</v>
      </c>
      <c r="L923" s="421">
        <f ca="1">_xlfn.LET(_xlpm.int, OFFSET(PSA.Data!$H925, 0, ($F$2-1)*6), _xlpm.ctrl, OFFSET(PSA.Data!$H925, 0, ($F$2-1)*6 + 1),
_xlpm.int - _xlpm.ctrl)</f>
        <v>-5452.7764827608034</v>
      </c>
      <c r="M923" s="134">
        <f t="shared" ca="1" si="25"/>
        <v>-6318.547798586962</v>
      </c>
    </row>
    <row r="924" spans="11:13" ht="12" customHeight="1" x14ac:dyDescent="0.25">
      <c r="K924" s="90">
        <f ca="1">_xlfn.LET(_xlpm.int, OFFSET(PSA.Data!$E926, 0, ($F$2-1)*6), _xlpm.ctrl, OFFSET(PSA.Data!$E926, 0, ($F$2-1)*6 + 1),
_xlpm.int - _xlpm.ctrl)</f>
        <v>53043880.015499979</v>
      </c>
      <c r="L924" s="421">
        <f ca="1">_xlfn.LET(_xlpm.int, OFFSET(PSA.Data!$H926, 0, ($F$2-1)*6), _xlpm.ctrl, OFFSET(PSA.Data!$H926, 0, ($F$2-1)*6 + 1),
_xlpm.int - _xlpm.ctrl)</f>
        <v>-6989.043631683252</v>
      </c>
      <c r="M924" s="134">
        <f t="shared" ca="1" si="25"/>
        <v>-9641.237632458251</v>
      </c>
    </row>
    <row r="925" spans="11:13" ht="12" customHeight="1" x14ac:dyDescent="0.25">
      <c r="K925" s="90">
        <f ca="1">_xlfn.LET(_xlpm.int, OFFSET(PSA.Data!$E927, 0, ($F$2-1)*6), _xlpm.ctrl, OFFSET(PSA.Data!$E927, 0, ($F$2-1)*6 + 1),
_xlpm.int - _xlpm.ctrl)</f>
        <v>35558402.872909732</v>
      </c>
      <c r="L925" s="421">
        <f ca="1">_xlfn.LET(_xlpm.int, OFFSET(PSA.Data!$H927, 0, ($F$2-1)*6), _xlpm.ctrl, OFFSET(PSA.Data!$H927, 0, ($F$2-1)*6 + 1),
_xlpm.int - _xlpm.ctrl)</f>
        <v>-6553.3710510322653</v>
      </c>
      <c r="M925" s="134">
        <f t="shared" ca="1" si="25"/>
        <v>-8331.2911946777513</v>
      </c>
    </row>
    <row r="926" spans="11:13" ht="12" customHeight="1" x14ac:dyDescent="0.25">
      <c r="K926" s="90">
        <f ca="1">_xlfn.LET(_xlpm.int, OFFSET(PSA.Data!$E928, 0, ($F$2-1)*6), _xlpm.ctrl, OFFSET(PSA.Data!$E928, 0, ($F$2-1)*6 + 1),
_xlpm.int - _xlpm.ctrl)</f>
        <v>45805907.548099861</v>
      </c>
      <c r="L926" s="421">
        <f ca="1">_xlfn.LET(_xlpm.int, OFFSET(PSA.Data!$H928, 0, ($F$2-1)*6), _xlpm.ctrl, OFFSET(PSA.Data!$H928, 0, ($F$2-1)*6 + 1),
_xlpm.int - _xlpm.ctrl)</f>
        <v>-6570.3127868866386</v>
      </c>
      <c r="M926" s="134">
        <f t="shared" ca="1" si="25"/>
        <v>-8860.6081642916324</v>
      </c>
    </row>
    <row r="927" spans="11:13" ht="12" customHeight="1" x14ac:dyDescent="0.25">
      <c r="K927" s="90">
        <f ca="1">_xlfn.LET(_xlpm.int, OFFSET(PSA.Data!$E929, 0, ($F$2-1)*6), _xlpm.ctrl, OFFSET(PSA.Data!$E929, 0, ($F$2-1)*6 + 1),
_xlpm.int - _xlpm.ctrl)</f>
        <v>44010064.060657427</v>
      </c>
      <c r="L927" s="421">
        <f ca="1">_xlfn.LET(_xlpm.int, OFFSET(PSA.Data!$H929, 0, ($F$2-1)*6), _xlpm.ctrl, OFFSET(PSA.Data!$H929, 0, ($F$2-1)*6 + 1),
_xlpm.int - _xlpm.ctrl)</f>
        <v>-7609.786597591793</v>
      </c>
      <c r="M927" s="134">
        <f t="shared" ca="1" si="25"/>
        <v>-9810.2898006246651</v>
      </c>
    </row>
    <row r="928" spans="11:13" ht="12" customHeight="1" x14ac:dyDescent="0.25">
      <c r="K928" s="90">
        <f ca="1">_xlfn.LET(_xlpm.int, OFFSET(PSA.Data!$E930, 0, ($F$2-1)*6), _xlpm.ctrl, OFFSET(PSA.Data!$E930, 0, ($F$2-1)*6 + 1),
_xlpm.int - _xlpm.ctrl)</f>
        <v>43696252.961049773</v>
      </c>
      <c r="L928" s="421">
        <f ca="1">_xlfn.LET(_xlpm.int, OFFSET(PSA.Data!$H930, 0, ($F$2-1)*6), _xlpm.ctrl, OFFSET(PSA.Data!$H930, 0, ($F$2-1)*6 + 1),
_xlpm.int - _xlpm.ctrl)</f>
        <v>-7801.3267898740742</v>
      </c>
      <c r="M928" s="134">
        <f t="shared" ca="1" si="25"/>
        <v>-9986.1394379265621</v>
      </c>
    </row>
    <row r="929" spans="11:13" ht="12" customHeight="1" x14ac:dyDescent="0.25">
      <c r="K929" s="90">
        <f ca="1">_xlfn.LET(_xlpm.int, OFFSET(PSA.Data!$E931, 0, ($F$2-1)*6), _xlpm.ctrl, OFFSET(PSA.Data!$E931, 0, ($F$2-1)*6 + 1),
_xlpm.int - _xlpm.ctrl)</f>
        <v>42612467.397825085</v>
      </c>
      <c r="L929" s="421">
        <f ca="1">_xlfn.LET(_xlpm.int, OFFSET(PSA.Data!$H931, 0, ($F$2-1)*6), _xlpm.ctrl, OFFSET(PSA.Data!$H931, 0, ($F$2-1)*6 + 1),
_xlpm.int - _xlpm.ctrl)</f>
        <v>-5662.0071980541916</v>
      </c>
      <c r="M929" s="134">
        <f t="shared" ca="1" si="25"/>
        <v>-7792.6305679454454</v>
      </c>
    </row>
    <row r="930" spans="11:13" ht="12" customHeight="1" x14ac:dyDescent="0.25">
      <c r="K930" s="90">
        <f ca="1">_xlfn.LET(_xlpm.int, OFFSET(PSA.Data!$E932, 0, ($F$2-1)*6), _xlpm.ctrl, OFFSET(PSA.Data!$E932, 0, ($F$2-1)*6 + 1),
_xlpm.int - _xlpm.ctrl)</f>
        <v>26534898.647185791</v>
      </c>
      <c r="L930" s="421">
        <f ca="1">_xlfn.LET(_xlpm.int, OFFSET(PSA.Data!$H932, 0, ($F$2-1)*6), _xlpm.ctrl, OFFSET(PSA.Data!$H932, 0, ($F$2-1)*6 + 1),
_xlpm.int - _xlpm.ctrl)</f>
        <v>-7195.0604855837992</v>
      </c>
      <c r="M930" s="134">
        <f t="shared" ca="1" si="25"/>
        <v>-8521.8054179430892</v>
      </c>
    </row>
    <row r="931" spans="11:13" ht="12" customHeight="1" x14ac:dyDescent="0.25">
      <c r="K931" s="90">
        <f ca="1">_xlfn.LET(_xlpm.int, OFFSET(PSA.Data!$E933, 0, ($F$2-1)*6), _xlpm.ctrl, OFFSET(PSA.Data!$E933, 0, ($F$2-1)*6 + 1),
_xlpm.int - _xlpm.ctrl)</f>
        <v>50197100.618600063</v>
      </c>
      <c r="L931" s="421">
        <f ca="1">_xlfn.LET(_xlpm.int, OFFSET(PSA.Data!$H933, 0, ($F$2-1)*6), _xlpm.ctrl, OFFSET(PSA.Data!$H933, 0, ($F$2-1)*6 + 1),
_xlpm.int - _xlpm.ctrl)</f>
        <v>-7282.9666057342238</v>
      </c>
      <c r="M931" s="134">
        <f t="shared" ca="1" si="25"/>
        <v>-9792.8216366642264</v>
      </c>
    </row>
    <row r="932" spans="11:13" ht="12" customHeight="1" x14ac:dyDescent="0.25">
      <c r="K932" s="90">
        <f ca="1">_xlfn.LET(_xlpm.int, OFFSET(PSA.Data!$E934, 0, ($F$2-1)*6), _xlpm.ctrl, OFFSET(PSA.Data!$E934, 0, ($F$2-1)*6 + 1),
_xlpm.int - _xlpm.ctrl)</f>
        <v>17180187.111777488</v>
      </c>
      <c r="L932" s="421">
        <f ca="1">_xlfn.LET(_xlpm.int, OFFSET(PSA.Data!$H934, 0, ($F$2-1)*6), _xlpm.ctrl, OFFSET(PSA.Data!$H934, 0, ($F$2-1)*6 + 1),
_xlpm.int - _xlpm.ctrl)</f>
        <v>-5408.5739308332959</v>
      </c>
      <c r="M932" s="134">
        <f t="shared" ca="1" si="25"/>
        <v>-6267.5832864221702</v>
      </c>
    </row>
    <row r="933" spans="11:13" ht="12" customHeight="1" x14ac:dyDescent="0.25">
      <c r="K933" s="90">
        <f ca="1">_xlfn.LET(_xlpm.int, OFFSET(PSA.Data!$E935, 0, ($F$2-1)*6), _xlpm.ctrl, OFFSET(PSA.Data!$E935, 0, ($F$2-1)*6 + 1),
_xlpm.int - _xlpm.ctrl)</f>
        <v>47170753.369702868</v>
      </c>
      <c r="L933" s="421">
        <f ca="1">_xlfn.LET(_xlpm.int, OFFSET(PSA.Data!$H935, 0, ($F$2-1)*6), _xlpm.ctrl, OFFSET(PSA.Data!$H935, 0, ($F$2-1)*6 + 1),
_xlpm.int - _xlpm.ctrl)</f>
        <v>-6837.8922636388779</v>
      </c>
      <c r="M933" s="134">
        <f t="shared" ca="1" si="25"/>
        <v>-9196.4299321240214</v>
      </c>
    </row>
    <row r="934" spans="11:13" ht="12" customHeight="1" x14ac:dyDescent="0.25">
      <c r="K934" s="90">
        <f ca="1">_xlfn.LET(_xlpm.int, OFFSET(PSA.Data!$E936, 0, ($F$2-1)*6), _xlpm.ctrl, OFFSET(PSA.Data!$E936, 0, ($F$2-1)*6 + 1),
_xlpm.int - _xlpm.ctrl)</f>
        <v>20182202.962253064</v>
      </c>
      <c r="L934" s="421">
        <f ca="1">_xlfn.LET(_xlpm.int, OFFSET(PSA.Data!$H936, 0, ($F$2-1)*6), _xlpm.ctrl, OFFSET(PSA.Data!$H936, 0, ($F$2-1)*6 + 1),
_xlpm.int - _xlpm.ctrl)</f>
        <v>-5450.1076647388645</v>
      </c>
      <c r="M934" s="134">
        <f t="shared" ca="1" si="25"/>
        <v>-6459.2178128515179</v>
      </c>
    </row>
    <row r="935" spans="11:13" ht="12" customHeight="1" x14ac:dyDescent="0.25">
      <c r="K935" s="90">
        <f ca="1">_xlfn.LET(_xlpm.int, OFFSET(PSA.Data!$E937, 0, ($F$2-1)*6), _xlpm.ctrl, OFFSET(PSA.Data!$E937, 0, ($F$2-1)*6 + 1),
_xlpm.int - _xlpm.ctrl)</f>
        <v>29301192.926818792</v>
      </c>
      <c r="L935" s="421">
        <f ca="1">_xlfn.LET(_xlpm.int, OFFSET(PSA.Data!$H937, 0, ($F$2-1)*6), _xlpm.ctrl, OFFSET(PSA.Data!$H937, 0, ($F$2-1)*6 + 1),
_xlpm.int - _xlpm.ctrl)</f>
        <v>-6229.9519013746485</v>
      </c>
      <c r="M935" s="134">
        <f t="shared" ca="1" si="25"/>
        <v>-7695.0115477155878</v>
      </c>
    </row>
    <row r="936" spans="11:13" ht="12" customHeight="1" x14ac:dyDescent="0.25">
      <c r="K936" s="90">
        <f ca="1">_xlfn.LET(_xlpm.int, OFFSET(PSA.Data!$E938, 0, ($F$2-1)*6), _xlpm.ctrl, OFFSET(PSA.Data!$E938, 0, ($F$2-1)*6 + 1),
_xlpm.int - _xlpm.ctrl)</f>
        <v>20921911.069772109</v>
      </c>
      <c r="L936" s="421">
        <f ca="1">_xlfn.LET(_xlpm.int, OFFSET(PSA.Data!$H938, 0, ($F$2-1)*6), _xlpm.ctrl, OFFSET(PSA.Data!$H938, 0, ($F$2-1)*6 + 1),
_xlpm.int - _xlpm.ctrl)</f>
        <v>-5236.7315035024185</v>
      </c>
      <c r="M936" s="134">
        <f t="shared" ca="1" si="25"/>
        <v>-6282.8270569910237</v>
      </c>
    </row>
    <row r="937" spans="11:13" ht="12" customHeight="1" x14ac:dyDescent="0.25">
      <c r="K937" s="90">
        <f ca="1">_xlfn.LET(_xlpm.int, OFFSET(PSA.Data!$E939, 0, ($F$2-1)*6), _xlpm.ctrl, OFFSET(PSA.Data!$E939, 0, ($F$2-1)*6 + 1),
_xlpm.int - _xlpm.ctrl)</f>
        <v>47552324.276679061</v>
      </c>
      <c r="L937" s="421">
        <f ca="1">_xlfn.LET(_xlpm.int, OFFSET(PSA.Data!$H939, 0, ($F$2-1)*6), _xlpm.ctrl, OFFSET(PSA.Data!$H939, 0, ($F$2-1)*6 + 1),
_xlpm.int - _xlpm.ctrl)</f>
        <v>-6585.8530176028598</v>
      </c>
      <c r="M937" s="134">
        <f t="shared" ca="1" si="25"/>
        <v>-8963.4692314368131</v>
      </c>
    </row>
    <row r="938" spans="11:13" ht="12" customHeight="1" x14ac:dyDescent="0.25">
      <c r="K938" s="90">
        <f ca="1">_xlfn.LET(_xlpm.int, OFFSET(PSA.Data!$E940, 0, ($F$2-1)*6), _xlpm.ctrl, OFFSET(PSA.Data!$E940, 0, ($F$2-1)*6 + 1),
_xlpm.int - _xlpm.ctrl)</f>
        <v>36912293.927488141</v>
      </c>
      <c r="L938" s="421">
        <f ca="1">_xlfn.LET(_xlpm.int, OFFSET(PSA.Data!$H940, 0, ($F$2-1)*6), _xlpm.ctrl, OFFSET(PSA.Data!$H940, 0, ($F$2-1)*6 + 1),
_xlpm.int - _xlpm.ctrl)</f>
        <v>-5264.9651962573498</v>
      </c>
      <c r="M938" s="134">
        <f t="shared" ca="1" si="25"/>
        <v>-7110.5798926317566</v>
      </c>
    </row>
    <row r="939" spans="11:13" ht="12" customHeight="1" x14ac:dyDescent="0.25">
      <c r="K939" s="90">
        <f ca="1">_xlfn.LET(_xlpm.int, OFFSET(PSA.Data!$E941, 0, ($F$2-1)*6), _xlpm.ctrl, OFFSET(PSA.Data!$E941, 0, ($F$2-1)*6 + 1),
_xlpm.int - _xlpm.ctrl)</f>
        <v>13120408.056294903</v>
      </c>
      <c r="L939" s="421">
        <f ca="1">_xlfn.LET(_xlpm.int, OFFSET(PSA.Data!$H941, 0, ($F$2-1)*6), _xlpm.ctrl, OFFSET(PSA.Data!$H941, 0, ($F$2-1)*6 + 1),
_xlpm.int - _xlpm.ctrl)</f>
        <v>-4547.6722371712513</v>
      </c>
      <c r="M939" s="134">
        <f t="shared" ca="1" si="25"/>
        <v>-5203.6926399859967</v>
      </c>
    </row>
    <row r="940" spans="11:13" ht="12" customHeight="1" x14ac:dyDescent="0.25">
      <c r="K940" s="90">
        <f ca="1">_xlfn.LET(_xlpm.int, OFFSET(PSA.Data!$E942, 0, ($F$2-1)*6), _xlpm.ctrl, OFFSET(PSA.Data!$E942, 0, ($F$2-1)*6 + 1),
_xlpm.int - _xlpm.ctrl)</f>
        <v>27813393.349544972</v>
      </c>
      <c r="L940" s="421">
        <f ca="1">_xlfn.LET(_xlpm.int, OFFSET(PSA.Data!$H942, 0, ($F$2-1)*6), _xlpm.ctrl, OFFSET(PSA.Data!$H942, 0, ($F$2-1)*6 + 1),
_xlpm.int - _xlpm.ctrl)</f>
        <v>-6868.3743788872061</v>
      </c>
      <c r="M940" s="134">
        <f t="shared" ca="1" si="25"/>
        <v>-8259.0440463644554</v>
      </c>
    </row>
    <row r="941" spans="11:13" ht="12" customHeight="1" x14ac:dyDescent="0.25">
      <c r="K941" s="90">
        <f ca="1">_xlfn.LET(_xlpm.int, OFFSET(PSA.Data!$E943, 0, ($F$2-1)*6), _xlpm.ctrl, OFFSET(PSA.Data!$E943, 0, ($F$2-1)*6 + 1),
_xlpm.int - _xlpm.ctrl)</f>
        <v>20159942.623583272</v>
      </c>
      <c r="L941" s="421">
        <f ca="1">_xlfn.LET(_xlpm.int, OFFSET(PSA.Data!$H943, 0, ($F$2-1)*6), _xlpm.ctrl, OFFSET(PSA.Data!$H943, 0, ($F$2-1)*6 + 1),
_xlpm.int - _xlpm.ctrl)</f>
        <v>-4825.8657422609513</v>
      </c>
      <c r="M941" s="134">
        <f t="shared" ca="1" si="25"/>
        <v>-5833.8628734401145</v>
      </c>
    </row>
    <row r="942" spans="11:13" ht="12" customHeight="1" x14ac:dyDescent="0.25">
      <c r="K942" s="90">
        <f ca="1">_xlfn.LET(_xlpm.int, OFFSET(PSA.Data!$E944, 0, ($F$2-1)*6), _xlpm.ctrl, OFFSET(PSA.Data!$E944, 0, ($F$2-1)*6 + 1),
_xlpm.int - _xlpm.ctrl)</f>
        <v>13749673.386412259</v>
      </c>
      <c r="L942" s="421">
        <f ca="1">_xlfn.LET(_xlpm.int, OFFSET(PSA.Data!$H944, 0, ($F$2-1)*6), _xlpm.ctrl, OFFSET(PSA.Data!$H944, 0, ($F$2-1)*6 + 1),
_xlpm.int - _xlpm.ctrl)</f>
        <v>-5501.852074089893</v>
      </c>
      <c r="M942" s="134">
        <f t="shared" ca="1" si="25"/>
        <v>-6189.3357434105055</v>
      </c>
    </row>
    <row r="943" spans="11:13" ht="12" customHeight="1" x14ac:dyDescent="0.25">
      <c r="K943" s="90">
        <f ca="1">_xlfn.LET(_xlpm.int, OFFSET(PSA.Data!$E945, 0, ($F$2-1)*6), _xlpm.ctrl, OFFSET(PSA.Data!$E945, 0, ($F$2-1)*6 + 1),
_xlpm.int - _xlpm.ctrl)</f>
        <v>25308215.493309628</v>
      </c>
      <c r="L943" s="421">
        <f ca="1">_xlfn.LET(_xlpm.int, OFFSET(PSA.Data!$H945, 0, ($F$2-1)*6), _xlpm.ctrl, OFFSET(PSA.Data!$H945, 0, ($F$2-1)*6 + 1),
_xlpm.int - _xlpm.ctrl)</f>
        <v>-5709.857832864961</v>
      </c>
      <c r="M943" s="134">
        <f t="shared" ca="1" si="25"/>
        <v>-6975.2686075304428</v>
      </c>
    </row>
    <row r="944" spans="11:13" ht="12" customHeight="1" x14ac:dyDescent="0.25">
      <c r="K944" s="90">
        <f ca="1">_xlfn.LET(_xlpm.int, OFFSET(PSA.Data!$E946, 0, ($F$2-1)*6), _xlpm.ctrl, OFFSET(PSA.Data!$E946, 0, ($F$2-1)*6 + 1),
_xlpm.int - _xlpm.ctrl)</f>
        <v>11818872.672283437</v>
      </c>
      <c r="L944" s="421">
        <f ca="1">_xlfn.LET(_xlpm.int, OFFSET(PSA.Data!$H946, 0, ($F$2-1)*6), _xlpm.ctrl, OFFSET(PSA.Data!$H946, 0, ($F$2-1)*6 + 1),
_xlpm.int - _xlpm.ctrl)</f>
        <v>-5483.2492545759342</v>
      </c>
      <c r="M944" s="134">
        <f t="shared" ca="1" si="25"/>
        <v>-6074.1928881901058</v>
      </c>
    </row>
    <row r="945" spans="11:13" ht="12" customHeight="1" x14ac:dyDescent="0.25">
      <c r="K945" s="90">
        <f ca="1">_xlfn.LET(_xlpm.int, OFFSET(PSA.Data!$E947, 0, ($F$2-1)*6), _xlpm.ctrl, OFFSET(PSA.Data!$E947, 0, ($F$2-1)*6 + 1),
_xlpm.int - _xlpm.ctrl)</f>
        <v>16180558.69436409</v>
      </c>
      <c r="L945" s="421">
        <f ca="1">_xlfn.LET(_xlpm.int, OFFSET(PSA.Data!$H947, 0, ($F$2-1)*6), _xlpm.ctrl, OFFSET(PSA.Data!$H947, 0, ($F$2-1)*6 + 1),
_xlpm.int - _xlpm.ctrl)</f>
        <v>-4951.5990449923902</v>
      </c>
      <c r="M945" s="134">
        <f t="shared" ca="1" si="25"/>
        <v>-5760.6269797105942</v>
      </c>
    </row>
    <row r="946" spans="11:13" ht="12" customHeight="1" x14ac:dyDescent="0.25">
      <c r="K946" s="90">
        <f ca="1">_xlfn.LET(_xlpm.int, OFFSET(PSA.Data!$E948, 0, ($F$2-1)*6), _xlpm.ctrl, OFFSET(PSA.Data!$E948, 0, ($F$2-1)*6 + 1),
_xlpm.int - _xlpm.ctrl)</f>
        <v>53294720.623223037</v>
      </c>
      <c r="L946" s="421">
        <f ca="1">_xlfn.LET(_xlpm.int, OFFSET(PSA.Data!$H948, 0, ($F$2-1)*6), _xlpm.ctrl, OFFSET(PSA.Data!$H948, 0, ($F$2-1)*6 + 1),
_xlpm.int - _xlpm.ctrl)</f>
        <v>-6344.5004239399595</v>
      </c>
      <c r="M946" s="134">
        <f t="shared" ca="1" si="25"/>
        <v>-9009.2364551011124</v>
      </c>
    </row>
    <row r="947" spans="11:13" ht="12" customHeight="1" x14ac:dyDescent="0.25">
      <c r="K947" s="90">
        <f ca="1">_xlfn.LET(_xlpm.int, OFFSET(PSA.Data!$E949, 0, ($F$2-1)*6), _xlpm.ctrl, OFFSET(PSA.Data!$E949, 0, ($F$2-1)*6 + 1),
_xlpm.int - _xlpm.ctrl)</f>
        <v>38495384.987057365</v>
      </c>
      <c r="L947" s="421">
        <f ca="1">_xlfn.LET(_xlpm.int, OFFSET(PSA.Data!$H949, 0, ($F$2-1)*6), _xlpm.ctrl, OFFSET(PSA.Data!$H949, 0, ($F$2-1)*6 + 1),
_xlpm.int - _xlpm.ctrl)</f>
        <v>-6265.6387115718162</v>
      </c>
      <c r="M947" s="134">
        <f t="shared" ca="1" si="25"/>
        <v>-8190.4079609246846</v>
      </c>
    </row>
    <row r="948" spans="11:13" ht="12" customHeight="1" x14ac:dyDescent="0.25">
      <c r="K948" s="90">
        <f ca="1">_xlfn.LET(_xlpm.int, OFFSET(PSA.Data!$E950, 0, ($F$2-1)*6), _xlpm.ctrl, OFFSET(PSA.Data!$E950, 0, ($F$2-1)*6 + 1),
_xlpm.int - _xlpm.ctrl)</f>
        <v>14916110.94291715</v>
      </c>
      <c r="L948" s="421">
        <f ca="1">_xlfn.LET(_xlpm.int, OFFSET(PSA.Data!$H950, 0, ($F$2-1)*6), _xlpm.ctrl, OFFSET(PSA.Data!$H950, 0, ($F$2-1)*6 + 1),
_xlpm.int - _xlpm.ctrl)</f>
        <v>-3854.1183832254274</v>
      </c>
      <c r="M948" s="134">
        <f t="shared" ca="1" si="25"/>
        <v>-4599.9239303712848</v>
      </c>
    </row>
    <row r="949" spans="11:13" ht="12" customHeight="1" x14ac:dyDescent="0.25">
      <c r="K949" s="90">
        <f ca="1">_xlfn.LET(_xlpm.int, OFFSET(PSA.Data!$E951, 0, ($F$2-1)*6), _xlpm.ctrl, OFFSET(PSA.Data!$E951, 0, ($F$2-1)*6 + 1),
_xlpm.int - _xlpm.ctrl)</f>
        <v>45119185.4287057</v>
      </c>
      <c r="L949" s="421">
        <f ca="1">_xlfn.LET(_xlpm.int, OFFSET(PSA.Data!$H951, 0, ($F$2-1)*6), _xlpm.ctrl, OFFSET(PSA.Data!$H951, 0, ($F$2-1)*6 + 1),
_xlpm.int - _xlpm.ctrl)</f>
        <v>-6706.6783088261927</v>
      </c>
      <c r="M949" s="134">
        <f t="shared" ca="1" si="25"/>
        <v>-8962.6375802614784</v>
      </c>
    </row>
    <row r="950" spans="11:13" ht="12" customHeight="1" x14ac:dyDescent="0.25">
      <c r="K950" s="90">
        <f ca="1">_xlfn.LET(_xlpm.int, OFFSET(PSA.Data!$E952, 0, ($F$2-1)*6), _xlpm.ctrl, OFFSET(PSA.Data!$E952, 0, ($F$2-1)*6 + 1),
_xlpm.int - _xlpm.ctrl)</f>
        <v>30800902.690337658</v>
      </c>
      <c r="L950" s="421">
        <f ca="1">_xlfn.LET(_xlpm.int, OFFSET(PSA.Data!$H952, 0, ($F$2-1)*6), _xlpm.ctrl, OFFSET(PSA.Data!$H952, 0, ($F$2-1)*6 + 1),
_xlpm.int - _xlpm.ctrl)</f>
        <v>-6417.7579641003776</v>
      </c>
      <c r="M950" s="134">
        <f t="shared" ca="1" si="25"/>
        <v>-7957.8030986172607</v>
      </c>
    </row>
    <row r="951" spans="11:13" ht="12" customHeight="1" x14ac:dyDescent="0.25">
      <c r="K951" s="90">
        <f ca="1">_xlfn.LET(_xlpm.int, OFFSET(PSA.Data!$E953, 0, ($F$2-1)*6), _xlpm.ctrl, OFFSET(PSA.Data!$E953, 0, ($F$2-1)*6 + 1),
_xlpm.int - _xlpm.ctrl)</f>
        <v>28174968.569183648</v>
      </c>
      <c r="L951" s="421">
        <f ca="1">_xlfn.LET(_xlpm.int, OFFSET(PSA.Data!$H953, 0, ($F$2-1)*6), _xlpm.ctrl, OFFSET(PSA.Data!$H953, 0, ($F$2-1)*6 + 1),
_xlpm.int - _xlpm.ctrl)</f>
        <v>-5177.4297353859256</v>
      </c>
      <c r="M951" s="134">
        <f t="shared" ca="1" si="25"/>
        <v>-6586.1781638451084</v>
      </c>
    </row>
    <row r="952" spans="11:13" ht="12" customHeight="1" x14ac:dyDescent="0.25">
      <c r="K952" s="90">
        <f ca="1">_xlfn.LET(_xlpm.int, OFFSET(PSA.Data!$E954, 0, ($F$2-1)*6), _xlpm.ctrl, OFFSET(PSA.Data!$E954, 0, ($F$2-1)*6 + 1),
_xlpm.int - _xlpm.ctrl)</f>
        <v>32231987.774320096</v>
      </c>
      <c r="L952" s="421">
        <f ca="1">_xlfn.LET(_xlpm.int, OFFSET(PSA.Data!$H954, 0, ($F$2-1)*6), _xlpm.ctrl, OFFSET(PSA.Data!$H954, 0, ($F$2-1)*6 + 1),
_xlpm.int - _xlpm.ctrl)</f>
        <v>-6541.4483309062789</v>
      </c>
      <c r="M952" s="134">
        <f t="shared" ca="1" si="25"/>
        <v>-8153.0477196222837</v>
      </c>
    </row>
    <row r="953" spans="11:13" ht="12" customHeight="1" x14ac:dyDescent="0.25">
      <c r="K953" s="90">
        <f ca="1">_xlfn.LET(_xlpm.int, OFFSET(PSA.Data!$E955, 0, ($F$2-1)*6), _xlpm.ctrl, OFFSET(PSA.Data!$E955, 0, ($F$2-1)*6 + 1),
_xlpm.int - _xlpm.ctrl)</f>
        <v>35183545.534939125</v>
      </c>
      <c r="L953" s="421">
        <f ca="1">_xlfn.LET(_xlpm.int, OFFSET(PSA.Data!$H955, 0, ($F$2-1)*6), _xlpm.ctrl, OFFSET(PSA.Data!$H955, 0, ($F$2-1)*6 + 1),
_xlpm.int - _xlpm.ctrl)</f>
        <v>-6263.43671424069</v>
      </c>
      <c r="M953" s="134">
        <f t="shared" ca="1" si="25"/>
        <v>-8022.6139909876465</v>
      </c>
    </row>
    <row r="954" spans="11:13" ht="12" customHeight="1" x14ac:dyDescent="0.25">
      <c r="K954" s="90">
        <f ca="1">_xlfn.LET(_xlpm.int, OFFSET(PSA.Data!$E956, 0, ($F$2-1)*6), _xlpm.ctrl, OFFSET(PSA.Data!$E956, 0, ($F$2-1)*6 + 1),
_xlpm.int - _xlpm.ctrl)</f>
        <v>13275483.649203185</v>
      </c>
      <c r="L954" s="421">
        <f ca="1">_xlfn.LET(_xlpm.int, OFFSET(PSA.Data!$H956, 0, ($F$2-1)*6), _xlpm.ctrl, OFFSET(PSA.Data!$H956, 0, ($F$2-1)*6 + 1),
_xlpm.int - _xlpm.ctrl)</f>
        <v>-4523.2586098945239</v>
      </c>
      <c r="M954" s="134">
        <f t="shared" ca="1" si="25"/>
        <v>-5187.0327923546829</v>
      </c>
    </row>
    <row r="955" spans="11:13" ht="12" customHeight="1" x14ac:dyDescent="0.25">
      <c r="K955" s="90">
        <f ca="1">_xlfn.LET(_xlpm.int, OFFSET(PSA.Data!$E957, 0, ($F$2-1)*6), _xlpm.ctrl, OFFSET(PSA.Data!$E957, 0, ($F$2-1)*6 + 1),
_xlpm.int - _xlpm.ctrl)</f>
        <v>19452588.407624353</v>
      </c>
      <c r="L955" s="421">
        <f ca="1">_xlfn.LET(_xlpm.int, OFFSET(PSA.Data!$H957, 0, ($F$2-1)*6), _xlpm.ctrl, OFFSET(PSA.Data!$H957, 0, ($F$2-1)*6 + 1),
_xlpm.int - _xlpm.ctrl)</f>
        <v>-5841.9896211292607</v>
      </c>
      <c r="M955" s="134">
        <f t="shared" ca="1" si="25"/>
        <v>-6814.6190415104784</v>
      </c>
    </row>
    <row r="956" spans="11:13" ht="12" customHeight="1" x14ac:dyDescent="0.25">
      <c r="K956" s="90">
        <f ca="1">_xlfn.LET(_xlpm.int, OFFSET(PSA.Data!$E958, 0, ($F$2-1)*6), _xlpm.ctrl, OFFSET(PSA.Data!$E958, 0, ($F$2-1)*6 + 1),
_xlpm.int - _xlpm.ctrl)</f>
        <v>25713074.550113749</v>
      </c>
      <c r="L956" s="421">
        <f ca="1">_xlfn.LET(_xlpm.int, OFFSET(PSA.Data!$H958, 0, ($F$2-1)*6), _xlpm.ctrl, OFFSET(PSA.Data!$H958, 0, ($F$2-1)*6 + 1),
_xlpm.int - _xlpm.ctrl)</f>
        <v>-5965.5264930285175</v>
      </c>
      <c r="M956" s="134">
        <f t="shared" ca="1" si="25"/>
        <v>-7251.1802205342046</v>
      </c>
    </row>
    <row r="957" spans="11:13" ht="12" customHeight="1" x14ac:dyDescent="0.25">
      <c r="K957" s="90">
        <f ca="1">_xlfn.LET(_xlpm.int, OFFSET(PSA.Data!$E959, 0, ($F$2-1)*6), _xlpm.ctrl, OFFSET(PSA.Data!$E959, 0, ($F$2-1)*6 + 1),
_xlpm.int - _xlpm.ctrl)</f>
        <v>26159754.919263422</v>
      </c>
      <c r="L957" s="421">
        <f ca="1">_xlfn.LET(_xlpm.int, OFFSET(PSA.Data!$H959, 0, ($F$2-1)*6), _xlpm.ctrl, OFFSET(PSA.Data!$H959, 0, ($F$2-1)*6 + 1),
_xlpm.int - _xlpm.ctrl)</f>
        <v>-6391.6463854716039</v>
      </c>
      <c r="M957" s="134">
        <f t="shared" ca="1" si="25"/>
        <v>-7699.6341314347756</v>
      </c>
    </row>
    <row r="958" spans="11:13" ht="12" customHeight="1" x14ac:dyDescent="0.25">
      <c r="K958" s="90">
        <f ca="1">_xlfn.LET(_xlpm.int, OFFSET(PSA.Data!$E960, 0, ($F$2-1)*6), _xlpm.ctrl, OFFSET(PSA.Data!$E960, 0, ($F$2-1)*6 + 1),
_xlpm.int - _xlpm.ctrl)</f>
        <v>40097209.657121696</v>
      </c>
      <c r="L958" s="421">
        <f ca="1">_xlfn.LET(_xlpm.int, OFFSET(PSA.Data!$H960, 0, ($F$2-1)*6), _xlpm.ctrl, OFFSET(PSA.Data!$H960, 0, ($F$2-1)*6 + 1),
_xlpm.int - _xlpm.ctrl)</f>
        <v>-7031.4550207935918</v>
      </c>
      <c r="M958" s="134">
        <f t="shared" ca="1" si="25"/>
        <v>-9036.3155036496755</v>
      </c>
    </row>
    <row r="959" spans="11:13" ht="12" customHeight="1" x14ac:dyDescent="0.25">
      <c r="K959" s="90">
        <f ca="1">_xlfn.LET(_xlpm.int, OFFSET(PSA.Data!$E961, 0, ($F$2-1)*6), _xlpm.ctrl, OFFSET(PSA.Data!$E961, 0, ($F$2-1)*6 + 1),
_xlpm.int - _xlpm.ctrl)</f>
        <v>30112907.023604099</v>
      </c>
      <c r="L959" s="421">
        <f ca="1">_xlfn.LET(_xlpm.int, OFFSET(PSA.Data!$H961, 0, ($F$2-1)*6), _xlpm.ctrl, OFFSET(PSA.Data!$H961, 0, ($F$2-1)*6 + 1),
_xlpm.int - _xlpm.ctrl)</f>
        <v>-5985.0282869136154</v>
      </c>
      <c r="M959" s="134">
        <f t="shared" ca="1" si="25"/>
        <v>-7490.67363809382</v>
      </c>
    </row>
    <row r="960" spans="11:13" ht="12" customHeight="1" x14ac:dyDescent="0.25">
      <c r="K960" s="90">
        <f ca="1">_xlfn.LET(_xlpm.int, OFFSET(PSA.Data!$E962, 0, ($F$2-1)*6), _xlpm.ctrl, OFFSET(PSA.Data!$E962, 0, ($F$2-1)*6 + 1),
_xlpm.int - _xlpm.ctrl)</f>
        <v>15381743.368272012</v>
      </c>
      <c r="L960" s="421">
        <f ca="1">_xlfn.LET(_xlpm.int, OFFSET(PSA.Data!$H962, 0, ($F$2-1)*6), _xlpm.ctrl, OFFSET(PSA.Data!$H962, 0, ($F$2-1)*6 + 1),
_xlpm.int - _xlpm.ctrl)</f>
        <v>-4298.6013930039062</v>
      </c>
      <c r="M960" s="134">
        <f t="shared" ca="1" si="25"/>
        <v>-5067.6885614175071</v>
      </c>
    </row>
    <row r="961" spans="11:13" ht="12" customHeight="1" x14ac:dyDescent="0.25">
      <c r="K961" s="90">
        <f ca="1">_xlfn.LET(_xlpm.int, OFFSET(PSA.Data!$E963, 0, ($F$2-1)*6), _xlpm.ctrl, OFFSET(PSA.Data!$E963, 0, ($F$2-1)*6 + 1),
_xlpm.int - _xlpm.ctrl)</f>
        <v>53986848.378544711</v>
      </c>
      <c r="L961" s="421">
        <f ca="1">_xlfn.LET(_xlpm.int, OFFSET(PSA.Data!$H963, 0, ($F$2-1)*6), _xlpm.ctrl, OFFSET(PSA.Data!$H963, 0, ($F$2-1)*6 + 1),
_xlpm.int - _xlpm.ctrl)</f>
        <v>-6329.8539124496046</v>
      </c>
      <c r="M961" s="134">
        <f t="shared" ca="1" si="25"/>
        <v>-9029.1963313768392</v>
      </c>
    </row>
    <row r="962" spans="11:13" ht="12" customHeight="1" x14ac:dyDescent="0.25">
      <c r="K962" s="90">
        <f ca="1">_xlfn.LET(_xlpm.int, OFFSET(PSA.Data!$E964, 0, ($F$2-1)*6), _xlpm.ctrl, OFFSET(PSA.Data!$E964, 0, ($F$2-1)*6 + 1),
_xlpm.int - _xlpm.ctrl)</f>
        <v>13736590.336586274</v>
      </c>
      <c r="L962" s="421">
        <f ca="1">_xlfn.LET(_xlpm.int, OFFSET(PSA.Data!$H964, 0, ($F$2-1)*6), _xlpm.ctrl, OFFSET(PSA.Data!$H964, 0, ($F$2-1)*6 + 1),
_xlpm.int - _xlpm.ctrl)</f>
        <v>-6560.9594254864805</v>
      </c>
      <c r="M962" s="134">
        <f t="shared" ca="1" si="25"/>
        <v>-7247.788942315794</v>
      </c>
    </row>
    <row r="963" spans="11:13" ht="12" customHeight="1" x14ac:dyDescent="0.25">
      <c r="K963" s="90">
        <f ca="1">_xlfn.LET(_xlpm.int, OFFSET(PSA.Data!$E965, 0, ($F$2-1)*6), _xlpm.ctrl, OFFSET(PSA.Data!$E965, 0, ($F$2-1)*6 + 1),
_xlpm.int - _xlpm.ctrl)</f>
        <v>43243181.593458712</v>
      </c>
      <c r="L963" s="421">
        <f ca="1">_xlfn.LET(_xlpm.int, OFFSET(PSA.Data!$H965, 0, ($F$2-1)*6), _xlpm.ctrl, OFFSET(PSA.Data!$H965, 0, ($F$2-1)*6 + 1),
_xlpm.int - _xlpm.ctrl)</f>
        <v>-7133.9828261046023</v>
      </c>
      <c r="M963" s="134">
        <f t="shared" ca="1" si="25"/>
        <v>-9296.1419057775383</v>
      </c>
    </row>
    <row r="964" spans="11:13" ht="12" customHeight="1" x14ac:dyDescent="0.25">
      <c r="K964" s="90">
        <f ca="1">_xlfn.LET(_xlpm.int, OFFSET(PSA.Data!$E966, 0, ($F$2-1)*6), _xlpm.ctrl, OFFSET(PSA.Data!$E966, 0, ($F$2-1)*6 + 1),
_xlpm.int - _xlpm.ctrl)</f>
        <v>20078448.888440561</v>
      </c>
      <c r="L964" s="421">
        <f ca="1">_xlfn.LET(_xlpm.int, OFFSET(PSA.Data!$H966, 0, ($F$2-1)*6), _xlpm.ctrl, OFFSET(PSA.Data!$H966, 0, ($F$2-1)*6 + 1),
_xlpm.int - _xlpm.ctrl)</f>
        <v>-5876.3131024345284</v>
      </c>
      <c r="M964" s="134">
        <f t="shared" ca="1" si="25"/>
        <v>-6880.2355468565565</v>
      </c>
    </row>
    <row r="965" spans="11:13" ht="12" customHeight="1" x14ac:dyDescent="0.25">
      <c r="K965" s="90">
        <f ca="1">_xlfn.LET(_xlpm.int, OFFSET(PSA.Data!$E967, 0, ($F$2-1)*6), _xlpm.ctrl, OFFSET(PSA.Data!$E967, 0, ($F$2-1)*6 + 1),
_xlpm.int - _xlpm.ctrl)</f>
        <v>32144444.265203148</v>
      </c>
      <c r="L965" s="421">
        <f ca="1">_xlfn.LET(_xlpm.int, OFFSET(PSA.Data!$H967, 0, ($F$2-1)*6), _xlpm.ctrl, OFFSET(PSA.Data!$H967, 0, ($F$2-1)*6 + 1),
_xlpm.int - _xlpm.ctrl)</f>
        <v>-5811.4640384905306</v>
      </c>
      <c r="M965" s="134">
        <f t="shared" ca="1" si="25"/>
        <v>-7418.6862517506879</v>
      </c>
    </row>
    <row r="966" spans="11:13" ht="12" customHeight="1" x14ac:dyDescent="0.25">
      <c r="K966" s="90">
        <f ca="1">_xlfn.LET(_xlpm.int, OFFSET(PSA.Data!$E968, 0, ($F$2-1)*6), _xlpm.ctrl, OFFSET(PSA.Data!$E968, 0, ($F$2-1)*6 + 1),
_xlpm.int - _xlpm.ctrl)</f>
        <v>29408629.838238314</v>
      </c>
      <c r="L966" s="421">
        <f ca="1">_xlfn.LET(_xlpm.int, OFFSET(PSA.Data!$H968, 0, ($F$2-1)*6), _xlpm.ctrl, OFFSET(PSA.Data!$H968, 0, ($F$2-1)*6 + 1),
_xlpm.int - _xlpm.ctrl)</f>
        <v>-5361.0285429580908</v>
      </c>
      <c r="M966" s="134">
        <f t="shared" ca="1" si="25"/>
        <v>-6831.460034870006</v>
      </c>
    </row>
    <row r="967" spans="11:13" ht="12" customHeight="1" x14ac:dyDescent="0.25">
      <c r="K967" s="90">
        <f ca="1">_xlfn.LET(_xlpm.int, OFFSET(PSA.Data!$E969, 0, ($F$2-1)*6), _xlpm.ctrl, OFFSET(PSA.Data!$E969, 0, ($F$2-1)*6 + 1),
_xlpm.int - _xlpm.ctrl)</f>
        <v>43676876.018574975</v>
      </c>
      <c r="L967" s="421">
        <f ca="1">_xlfn.LET(_xlpm.int, OFFSET(PSA.Data!$H969, 0, ($F$2-1)*6), _xlpm.ctrl, OFFSET(PSA.Data!$H969, 0, ($F$2-1)*6 + 1),
_xlpm.int - _xlpm.ctrl)</f>
        <v>-6584.6921577059675</v>
      </c>
      <c r="M967" s="134">
        <f t="shared" ca="1" si="25"/>
        <v>-8768.5359586347167</v>
      </c>
    </row>
    <row r="968" spans="11:13" ht="12" customHeight="1" x14ac:dyDescent="0.25">
      <c r="K968" s="90">
        <f ca="1">_xlfn.LET(_xlpm.int, OFFSET(PSA.Data!$E970, 0, ($F$2-1)*6), _xlpm.ctrl, OFFSET(PSA.Data!$E970, 0, ($F$2-1)*6 + 1),
_xlpm.int - _xlpm.ctrl)</f>
        <v>39537502.9368091</v>
      </c>
      <c r="L968" s="421">
        <f ca="1">_xlfn.LET(_xlpm.int, OFFSET(PSA.Data!$H970, 0, ($F$2-1)*6), _xlpm.ctrl, OFFSET(PSA.Data!$H970, 0, ($F$2-1)*6 + 1),
_xlpm.int - _xlpm.ctrl)</f>
        <v>-6859.3690978702061</v>
      </c>
      <c r="M968" s="134">
        <f t="shared" ca="1" si="25"/>
        <v>-8836.2442447106605</v>
      </c>
    </row>
    <row r="969" spans="11:13" ht="12" customHeight="1" x14ac:dyDescent="0.25">
      <c r="K969" s="90">
        <f ca="1">_xlfn.LET(_xlpm.int, OFFSET(PSA.Data!$E971, 0, ($F$2-1)*6), _xlpm.ctrl, OFFSET(PSA.Data!$E971, 0, ($F$2-1)*6 + 1),
_xlpm.int - _xlpm.ctrl)</f>
        <v>23189932.60951319</v>
      </c>
      <c r="L969" s="421">
        <f ca="1">_xlfn.LET(_xlpm.int, OFFSET(PSA.Data!$H971, 0, ($F$2-1)*6), _xlpm.ctrl, OFFSET(PSA.Data!$H971, 0, ($F$2-1)*6 + 1),
_xlpm.int - _xlpm.ctrl)</f>
        <v>-5622.0600386756423</v>
      </c>
      <c r="M969" s="134">
        <f t="shared" ca="1" si="25"/>
        <v>-6781.5566691513013</v>
      </c>
    </row>
    <row r="970" spans="11:13" ht="12" customHeight="1" x14ac:dyDescent="0.25">
      <c r="K970" s="90">
        <f ca="1">_xlfn.LET(_xlpm.int, OFFSET(PSA.Data!$E972, 0, ($F$2-1)*6), _xlpm.ctrl, OFFSET(PSA.Data!$E972, 0, ($F$2-1)*6 + 1),
_xlpm.int - _xlpm.ctrl)</f>
        <v>16684037.602731172</v>
      </c>
      <c r="L970" s="421">
        <f ca="1">_xlfn.LET(_xlpm.int, OFFSET(PSA.Data!$H972, 0, ($F$2-1)*6), _xlpm.ctrl, OFFSET(PSA.Data!$H972, 0, ($F$2-1)*6 + 1),
_xlpm.int - _xlpm.ctrl)</f>
        <v>-6599.1712189434529</v>
      </c>
      <c r="M970" s="134">
        <f t="shared" ca="1" si="25"/>
        <v>-7433.3730990800113</v>
      </c>
    </row>
    <row r="971" spans="11:13" ht="12" customHeight="1" x14ac:dyDescent="0.25">
      <c r="K971" s="90">
        <f ca="1">_xlfn.LET(_xlpm.int, OFFSET(PSA.Data!$E973, 0, ($F$2-1)*6), _xlpm.ctrl, OFFSET(PSA.Data!$E973, 0, ($F$2-1)*6 + 1),
_xlpm.int - _xlpm.ctrl)</f>
        <v>26245159.130466435</v>
      </c>
      <c r="L971" s="421">
        <f ca="1">_xlfn.LET(_xlpm.int, OFFSET(PSA.Data!$H973, 0, ($F$2-1)*6), _xlpm.ctrl, OFFSET(PSA.Data!$H973, 0, ($F$2-1)*6 + 1),
_xlpm.int - _xlpm.ctrl)</f>
        <v>-5213.758330885853</v>
      </c>
      <c r="M971" s="134">
        <f t="shared" ca="1" si="25"/>
        <v>-6526.0162874091748</v>
      </c>
    </row>
    <row r="972" spans="11:13" ht="12" customHeight="1" x14ac:dyDescent="0.25">
      <c r="K972" s="90">
        <f ca="1">_xlfn.LET(_xlpm.int, OFFSET(PSA.Data!$E974, 0, ($F$2-1)*6), _xlpm.ctrl, OFFSET(PSA.Data!$E974, 0, ($F$2-1)*6 + 1),
_xlpm.int - _xlpm.ctrl)</f>
        <v>12578468.562906973</v>
      </c>
      <c r="L972" s="421">
        <f ca="1">_xlfn.LET(_xlpm.int, OFFSET(PSA.Data!$H974, 0, ($F$2-1)*6), _xlpm.ctrl, OFFSET(PSA.Data!$H974, 0, ($F$2-1)*6 + 1),
_xlpm.int - _xlpm.ctrl)</f>
        <v>-5585.112407210705</v>
      </c>
      <c r="M972" s="134">
        <f t="shared" ca="1" si="25"/>
        <v>-6214.0358353560532</v>
      </c>
    </row>
    <row r="973" spans="11:13" ht="12" customHeight="1" x14ac:dyDescent="0.25">
      <c r="K973" s="90">
        <f ca="1">_xlfn.LET(_xlpm.int, OFFSET(PSA.Data!$E975, 0, ($F$2-1)*6), _xlpm.ctrl, OFFSET(PSA.Data!$E975, 0, ($F$2-1)*6 + 1),
_xlpm.int - _xlpm.ctrl)</f>
        <v>32960774.334307909</v>
      </c>
      <c r="L973" s="421">
        <f ca="1">_xlfn.LET(_xlpm.int, OFFSET(PSA.Data!$H975, 0, ($F$2-1)*6), _xlpm.ctrl, OFFSET(PSA.Data!$H975, 0, ($F$2-1)*6 + 1),
_xlpm.int - _xlpm.ctrl)</f>
        <v>-7213.6180815691987</v>
      </c>
      <c r="M973" s="134">
        <f t="shared" ca="1" si="25"/>
        <v>-8861.6567982845936</v>
      </c>
    </row>
    <row r="974" spans="11:13" ht="12" customHeight="1" x14ac:dyDescent="0.25">
      <c r="K974" s="90">
        <f ca="1">_xlfn.LET(_xlpm.int, OFFSET(PSA.Data!$E976, 0, ($F$2-1)*6), _xlpm.ctrl, OFFSET(PSA.Data!$E976, 0, ($F$2-1)*6 + 1),
_xlpm.int - _xlpm.ctrl)</f>
        <v>44276155.125987127</v>
      </c>
      <c r="L974" s="421">
        <f ca="1">_xlfn.LET(_xlpm.int, OFFSET(PSA.Data!$H976, 0, ($F$2-1)*6), _xlpm.ctrl, OFFSET(PSA.Data!$H976, 0, ($F$2-1)*6 + 1),
_xlpm.int - _xlpm.ctrl)</f>
        <v>-6328.3439190086428</v>
      </c>
      <c r="M974" s="134">
        <f t="shared" ca="1" si="25"/>
        <v>-8542.1516753079995</v>
      </c>
    </row>
    <row r="975" spans="11:13" ht="12" customHeight="1" x14ac:dyDescent="0.25">
      <c r="K975" s="90">
        <f ca="1">_xlfn.LET(_xlpm.int, OFFSET(PSA.Data!$E977, 0, ($F$2-1)*6), _xlpm.ctrl, OFFSET(PSA.Data!$E977, 0, ($F$2-1)*6 + 1),
_xlpm.int - _xlpm.ctrl)</f>
        <v>22284885.697230846</v>
      </c>
      <c r="L975" s="421">
        <f ca="1">_xlfn.LET(_xlpm.int, OFFSET(PSA.Data!$H977, 0, ($F$2-1)*6), _xlpm.ctrl, OFFSET(PSA.Data!$H977, 0, ($F$2-1)*6 + 1),
_xlpm.int - _xlpm.ctrl)</f>
        <v>-7807.5546034033487</v>
      </c>
      <c r="M975" s="134">
        <f t="shared" ca="1" si="25"/>
        <v>-8921.7988882648915</v>
      </c>
    </row>
    <row r="976" spans="11:13" ht="12" customHeight="1" x14ac:dyDescent="0.25">
      <c r="K976" s="90">
        <f ca="1">_xlfn.LET(_xlpm.int, OFFSET(PSA.Data!$E978, 0, ($F$2-1)*6), _xlpm.ctrl, OFFSET(PSA.Data!$E978, 0, ($F$2-1)*6 + 1),
_xlpm.int - _xlpm.ctrl)</f>
        <v>23730687.088375617</v>
      </c>
      <c r="L976" s="421">
        <f ca="1">_xlfn.LET(_xlpm.int, OFFSET(PSA.Data!$H978, 0, ($F$2-1)*6), _xlpm.ctrl, OFFSET(PSA.Data!$H978, 0, ($F$2-1)*6 + 1),
_xlpm.int - _xlpm.ctrl)</f>
        <v>-5019.6356079475618</v>
      </c>
      <c r="M976" s="134">
        <f t="shared" ref="M976:M1014" ca="1" si="26">L976-K976/WTP</f>
        <v>-6206.1699623663426</v>
      </c>
    </row>
    <row r="977" spans="11:13" ht="12" customHeight="1" x14ac:dyDescent="0.25">
      <c r="K977" s="90">
        <f ca="1">_xlfn.LET(_xlpm.int, OFFSET(PSA.Data!$E979, 0, ($F$2-1)*6), _xlpm.ctrl, OFFSET(PSA.Data!$E979, 0, ($F$2-1)*6 + 1),
_xlpm.int - _xlpm.ctrl)</f>
        <v>65059327.594693989</v>
      </c>
      <c r="L977" s="421">
        <f ca="1">_xlfn.LET(_xlpm.int, OFFSET(PSA.Data!$H979, 0, ($F$2-1)*6), _xlpm.ctrl, OFFSET(PSA.Data!$H979, 0, ($F$2-1)*6 + 1),
_xlpm.int - _xlpm.ctrl)</f>
        <v>-9532.7211734795656</v>
      </c>
      <c r="M977" s="134">
        <f t="shared" ca="1" si="26"/>
        <v>-12785.687553214266</v>
      </c>
    </row>
    <row r="978" spans="11:13" ht="12" customHeight="1" x14ac:dyDescent="0.25">
      <c r="K978" s="90">
        <f ca="1">_xlfn.LET(_xlpm.int, OFFSET(PSA.Data!$E980, 0, ($F$2-1)*6), _xlpm.ctrl, OFFSET(PSA.Data!$E980, 0, ($F$2-1)*6 + 1),
_xlpm.int - _xlpm.ctrl)</f>
        <v>22743520.493127525</v>
      </c>
      <c r="L978" s="421">
        <f ca="1">_xlfn.LET(_xlpm.int, OFFSET(PSA.Data!$H980, 0, ($F$2-1)*6), _xlpm.ctrl, OFFSET(PSA.Data!$H980, 0, ($F$2-1)*6 + 1),
_xlpm.int - _xlpm.ctrl)</f>
        <v>-5656.1695692504545</v>
      </c>
      <c r="M978" s="134">
        <f t="shared" ca="1" si="26"/>
        <v>-6793.3455939068308</v>
      </c>
    </row>
    <row r="979" spans="11:13" ht="12" customHeight="1" x14ac:dyDescent="0.25">
      <c r="K979" s="90">
        <f ca="1">_xlfn.LET(_xlpm.int, OFFSET(PSA.Data!$E981, 0, ($F$2-1)*6), _xlpm.ctrl, OFFSET(PSA.Data!$E981, 0, ($F$2-1)*6 + 1),
_xlpm.int - _xlpm.ctrl)</f>
        <v>31829300.022045963</v>
      </c>
      <c r="L979" s="421">
        <f ca="1">_xlfn.LET(_xlpm.int, OFFSET(PSA.Data!$H981, 0, ($F$2-1)*6), _xlpm.ctrl, OFFSET(PSA.Data!$H981, 0, ($F$2-1)*6 + 1),
_xlpm.int - _xlpm.ctrl)</f>
        <v>-7431.6571362926534</v>
      </c>
      <c r="M979" s="134">
        <f t="shared" ca="1" si="26"/>
        <v>-9023.122137394952</v>
      </c>
    </row>
    <row r="980" spans="11:13" ht="12" customHeight="1" x14ac:dyDescent="0.25">
      <c r="K980" s="90">
        <f ca="1">_xlfn.LET(_xlpm.int, OFFSET(PSA.Data!$E982, 0, ($F$2-1)*6), _xlpm.ctrl, OFFSET(PSA.Data!$E982, 0, ($F$2-1)*6 + 1),
_xlpm.int - _xlpm.ctrl)</f>
        <v>34500355.59981636</v>
      </c>
      <c r="L980" s="421">
        <f ca="1">_xlfn.LET(_xlpm.int, OFFSET(PSA.Data!$H982, 0, ($F$2-1)*6), _xlpm.ctrl, OFFSET(PSA.Data!$H982, 0, ($F$2-1)*6 + 1),
_xlpm.int - _xlpm.ctrl)</f>
        <v>-5707.1856922480256</v>
      </c>
      <c r="M980" s="134">
        <f t="shared" ca="1" si="26"/>
        <v>-7432.2034722388435</v>
      </c>
    </row>
    <row r="981" spans="11:13" ht="12" customHeight="1" x14ac:dyDescent="0.25">
      <c r="K981" s="90">
        <f ca="1">_xlfn.LET(_xlpm.int, OFFSET(PSA.Data!$E983, 0, ($F$2-1)*6), _xlpm.ctrl, OFFSET(PSA.Data!$E983, 0, ($F$2-1)*6 + 1),
_xlpm.int - _xlpm.ctrl)</f>
        <v>33566536.711278655</v>
      </c>
      <c r="L981" s="421">
        <f ca="1">_xlfn.LET(_xlpm.int, OFFSET(PSA.Data!$H983, 0, ($F$2-1)*6), _xlpm.ctrl, OFFSET(PSA.Data!$H983, 0, ($F$2-1)*6 + 1),
_xlpm.int - _xlpm.ctrl)</f>
        <v>-5484.2545359684864</v>
      </c>
      <c r="M981" s="134">
        <f t="shared" ca="1" si="26"/>
        <v>-7162.5813715324193</v>
      </c>
    </row>
    <row r="982" spans="11:13" ht="12" customHeight="1" x14ac:dyDescent="0.25">
      <c r="K982" s="90">
        <f ca="1">_xlfn.LET(_xlpm.int, OFFSET(PSA.Data!$E984, 0, ($F$2-1)*6), _xlpm.ctrl, OFFSET(PSA.Data!$E984, 0, ($F$2-1)*6 + 1),
_xlpm.int - _xlpm.ctrl)</f>
        <v>16761689.368165104</v>
      </c>
      <c r="L982" s="421">
        <f ca="1">_xlfn.LET(_xlpm.int, OFFSET(PSA.Data!$H984, 0, ($F$2-1)*6), _xlpm.ctrl, OFFSET(PSA.Data!$H984, 0, ($F$2-1)*6 + 1),
_xlpm.int - _xlpm.ctrl)</f>
        <v>-4940.2114011573476</v>
      </c>
      <c r="M982" s="134">
        <f t="shared" ca="1" si="26"/>
        <v>-5778.2958695656025</v>
      </c>
    </row>
    <row r="983" spans="11:13" ht="12" customHeight="1" x14ac:dyDescent="0.25">
      <c r="K983" s="90">
        <f ca="1">_xlfn.LET(_xlpm.int, OFFSET(PSA.Data!$E985, 0, ($F$2-1)*6), _xlpm.ctrl, OFFSET(PSA.Data!$E985, 0, ($F$2-1)*6 + 1),
_xlpm.int - _xlpm.ctrl)</f>
        <v>19564157.653535943</v>
      </c>
      <c r="L983" s="421">
        <f ca="1">_xlfn.LET(_xlpm.int, OFFSET(PSA.Data!$H985, 0, ($F$2-1)*6), _xlpm.ctrl, OFFSET(PSA.Data!$H985, 0, ($F$2-1)*6 + 1),
_xlpm.int - _xlpm.ctrl)</f>
        <v>-5920.5233088561754</v>
      </c>
      <c r="M983" s="134">
        <f t="shared" ca="1" si="26"/>
        <v>-6898.7311915329728</v>
      </c>
    </row>
    <row r="984" spans="11:13" ht="12" customHeight="1" x14ac:dyDescent="0.25">
      <c r="K984" s="90">
        <f ca="1">_xlfn.LET(_xlpm.int, OFFSET(PSA.Data!$E986, 0, ($F$2-1)*6), _xlpm.ctrl, OFFSET(PSA.Data!$E986, 0, ($F$2-1)*6 + 1),
_xlpm.int - _xlpm.ctrl)</f>
        <v>24267490.442883682</v>
      </c>
      <c r="L984" s="421">
        <f ca="1">_xlfn.LET(_xlpm.int, OFFSET(PSA.Data!$H986, 0, ($F$2-1)*6), _xlpm.ctrl, OFFSET(PSA.Data!$H986, 0, ($F$2-1)*6 + 1),
_xlpm.int - _xlpm.ctrl)</f>
        <v>-5958.4201455565135</v>
      </c>
      <c r="M984" s="134">
        <f t="shared" ca="1" si="26"/>
        <v>-7171.7946677006976</v>
      </c>
    </row>
    <row r="985" spans="11:13" ht="12" customHeight="1" x14ac:dyDescent="0.25">
      <c r="K985" s="90">
        <f ca="1">_xlfn.LET(_xlpm.int, OFFSET(PSA.Data!$E987, 0, ($F$2-1)*6), _xlpm.ctrl, OFFSET(PSA.Data!$E987, 0, ($F$2-1)*6 + 1),
_xlpm.int - _xlpm.ctrl)</f>
        <v>20232529.926446427</v>
      </c>
      <c r="L985" s="421">
        <f ca="1">_xlfn.LET(_xlpm.int, OFFSET(PSA.Data!$H987, 0, ($F$2-1)*6), _xlpm.ctrl, OFFSET(PSA.Data!$H987, 0, ($F$2-1)*6 + 1),
_xlpm.int - _xlpm.ctrl)</f>
        <v>-5195.1568112560799</v>
      </c>
      <c r="M985" s="134">
        <f t="shared" ca="1" si="26"/>
        <v>-6206.783307578401</v>
      </c>
    </row>
    <row r="986" spans="11:13" ht="12" customHeight="1" x14ac:dyDescent="0.25">
      <c r="K986" s="90">
        <f ca="1">_xlfn.LET(_xlpm.int, OFFSET(PSA.Data!$E988, 0, ($F$2-1)*6), _xlpm.ctrl, OFFSET(PSA.Data!$E988, 0, ($F$2-1)*6 + 1),
_xlpm.int - _xlpm.ctrl)</f>
        <v>31209296.916257173</v>
      </c>
      <c r="L986" s="421">
        <f ca="1">_xlfn.LET(_xlpm.int, OFFSET(PSA.Data!$H988, 0, ($F$2-1)*6), _xlpm.ctrl, OFFSET(PSA.Data!$H988, 0, ($F$2-1)*6 + 1),
_xlpm.int - _xlpm.ctrl)</f>
        <v>-5402.3257935253469</v>
      </c>
      <c r="M986" s="134">
        <f t="shared" ca="1" si="26"/>
        <v>-6962.7906393382054</v>
      </c>
    </row>
    <row r="987" spans="11:13" ht="12" customHeight="1" x14ac:dyDescent="0.25">
      <c r="K987" s="90">
        <f ca="1">_xlfn.LET(_xlpm.int, OFFSET(PSA.Data!$E989, 0, ($F$2-1)*6), _xlpm.ctrl, OFFSET(PSA.Data!$E989, 0, ($F$2-1)*6 + 1),
_xlpm.int - _xlpm.ctrl)</f>
        <v>35769588.55577492</v>
      </c>
      <c r="L987" s="421">
        <f ca="1">_xlfn.LET(_xlpm.int, OFFSET(PSA.Data!$H989, 0, ($F$2-1)*6), _xlpm.ctrl, OFFSET(PSA.Data!$H989, 0, ($F$2-1)*6 + 1),
_xlpm.int - _xlpm.ctrl)</f>
        <v>-5479.7071000871974</v>
      </c>
      <c r="M987" s="134">
        <f t="shared" ca="1" si="26"/>
        <v>-7268.1865278759433</v>
      </c>
    </row>
    <row r="988" spans="11:13" ht="12" customHeight="1" x14ac:dyDescent="0.25">
      <c r="K988" s="90">
        <f ca="1">_xlfn.LET(_xlpm.int, OFFSET(PSA.Data!$E990, 0, ($F$2-1)*6), _xlpm.ctrl, OFFSET(PSA.Data!$E990, 0, ($F$2-1)*6 + 1),
_xlpm.int - _xlpm.ctrl)</f>
        <v>15574744.742249494</v>
      </c>
      <c r="L988" s="421">
        <f ca="1">_xlfn.LET(_xlpm.int, OFFSET(PSA.Data!$H990, 0, ($F$2-1)*6), _xlpm.ctrl, OFFSET(PSA.Data!$H990, 0, ($F$2-1)*6 + 1),
_xlpm.int - _xlpm.ctrl)</f>
        <v>-7119.9754933849208</v>
      </c>
      <c r="M988" s="134">
        <f t="shared" ca="1" si="26"/>
        <v>-7898.7127304973956</v>
      </c>
    </row>
    <row r="989" spans="11:13" ht="12" customHeight="1" x14ac:dyDescent="0.25">
      <c r="K989" s="90">
        <f ca="1">_xlfn.LET(_xlpm.int, OFFSET(PSA.Data!$E991, 0, ($F$2-1)*6), _xlpm.ctrl, OFFSET(PSA.Data!$E991, 0, ($F$2-1)*6 + 1),
_xlpm.int - _xlpm.ctrl)</f>
        <v>31258964.696577787</v>
      </c>
      <c r="L989" s="421">
        <f ca="1">_xlfn.LET(_xlpm.int, OFFSET(PSA.Data!$H991, 0, ($F$2-1)*6), _xlpm.ctrl, OFFSET(PSA.Data!$H991, 0, ($F$2-1)*6 + 1),
_xlpm.int - _xlpm.ctrl)</f>
        <v>-5168.4984003033669</v>
      </c>
      <c r="M989" s="134">
        <f t="shared" ca="1" si="26"/>
        <v>-6731.4466351322562</v>
      </c>
    </row>
    <row r="990" spans="11:13" ht="12" customHeight="1" x14ac:dyDescent="0.25">
      <c r="K990" s="90">
        <f ca="1">_xlfn.LET(_xlpm.int, OFFSET(PSA.Data!$E992, 0, ($F$2-1)*6), _xlpm.ctrl, OFFSET(PSA.Data!$E992, 0, ($F$2-1)*6 + 1),
_xlpm.int - _xlpm.ctrl)</f>
        <v>14643973.52501606</v>
      </c>
      <c r="L990" s="421">
        <f ca="1">_xlfn.LET(_xlpm.int, OFFSET(PSA.Data!$H992, 0, ($F$2-1)*6), _xlpm.ctrl, OFFSET(PSA.Data!$H992, 0, ($F$2-1)*6 + 1),
_xlpm.int - _xlpm.ctrl)</f>
        <v>-5270.9256139122417</v>
      </c>
      <c r="M990" s="134">
        <f t="shared" ca="1" si="26"/>
        <v>-6003.1242901630449</v>
      </c>
    </row>
    <row r="991" spans="11:13" ht="12" customHeight="1" x14ac:dyDescent="0.25">
      <c r="K991" s="90">
        <f ca="1">_xlfn.LET(_xlpm.int, OFFSET(PSA.Data!$E993, 0, ($F$2-1)*6), _xlpm.ctrl, OFFSET(PSA.Data!$E993, 0, ($F$2-1)*6 + 1),
_xlpm.int - _xlpm.ctrl)</f>
        <v>23696785.351384681</v>
      </c>
      <c r="L991" s="421">
        <f ca="1">_xlfn.LET(_xlpm.int, OFFSET(PSA.Data!$H993, 0, ($F$2-1)*6), _xlpm.ctrl, OFFSET(PSA.Data!$H993, 0, ($F$2-1)*6 + 1),
_xlpm.int - _xlpm.ctrl)</f>
        <v>-7138.01224540573</v>
      </c>
      <c r="M991" s="134">
        <f t="shared" ca="1" si="26"/>
        <v>-8322.8515129749649</v>
      </c>
    </row>
    <row r="992" spans="11:13" ht="12" customHeight="1" x14ac:dyDescent="0.25">
      <c r="K992" s="90">
        <f ca="1">_xlfn.LET(_xlpm.int, OFFSET(PSA.Data!$E994, 0, ($F$2-1)*6), _xlpm.ctrl, OFFSET(PSA.Data!$E994, 0, ($F$2-1)*6 + 1),
_xlpm.int - _xlpm.ctrl)</f>
        <v>70507543.946825027</v>
      </c>
      <c r="L992" s="421">
        <f ca="1">_xlfn.LET(_xlpm.int, OFFSET(PSA.Data!$H994, 0, ($F$2-1)*6), _xlpm.ctrl, OFFSET(PSA.Data!$H994, 0, ($F$2-1)*6 + 1),
_xlpm.int - _xlpm.ctrl)</f>
        <v>-7157.321396405514</v>
      </c>
      <c r="M992" s="134">
        <f t="shared" ca="1" si="26"/>
        <v>-10682.698593746765</v>
      </c>
    </row>
    <row r="993" spans="11:13" ht="12" customHeight="1" x14ac:dyDescent="0.25">
      <c r="K993" s="90">
        <f ca="1">_xlfn.LET(_xlpm.int, OFFSET(PSA.Data!$E995, 0, ($F$2-1)*6), _xlpm.ctrl, OFFSET(PSA.Data!$E995, 0, ($F$2-1)*6 + 1),
_xlpm.int - _xlpm.ctrl)</f>
        <v>33965707.21992714</v>
      </c>
      <c r="L993" s="421">
        <f ca="1">_xlfn.LET(_xlpm.int, OFFSET(PSA.Data!$H995, 0, ($F$2-1)*6), _xlpm.ctrl, OFFSET(PSA.Data!$H995, 0, ($F$2-1)*6 + 1),
_xlpm.int - _xlpm.ctrl)</f>
        <v>-6257.5271542371765</v>
      </c>
      <c r="M993" s="134">
        <f t="shared" ca="1" si="26"/>
        <v>-7955.8125152335333</v>
      </c>
    </row>
    <row r="994" spans="11:13" ht="12" customHeight="1" x14ac:dyDescent="0.25">
      <c r="K994" s="90">
        <f ca="1">_xlfn.LET(_xlpm.int, OFFSET(PSA.Data!$E996, 0, ($F$2-1)*6), _xlpm.ctrl, OFFSET(PSA.Data!$E996, 0, ($F$2-1)*6 + 1),
_xlpm.int - _xlpm.ctrl)</f>
        <v>43683596.83658272</v>
      </c>
      <c r="L994" s="421">
        <f ca="1">_xlfn.LET(_xlpm.int, OFFSET(PSA.Data!$H996, 0, ($F$2-1)*6), _xlpm.ctrl, OFFSET(PSA.Data!$H996, 0, ($F$2-1)*6 + 1),
_xlpm.int - _xlpm.ctrl)</f>
        <v>-5776.9087385882358</v>
      </c>
      <c r="M994" s="134">
        <f t="shared" ca="1" si="26"/>
        <v>-7961.0885804173722</v>
      </c>
    </row>
    <row r="995" spans="11:13" ht="12" customHeight="1" x14ac:dyDescent="0.25">
      <c r="K995" s="90">
        <f ca="1">_xlfn.LET(_xlpm.int, OFFSET(PSA.Data!$E997, 0, ($F$2-1)*6), _xlpm.ctrl, OFFSET(PSA.Data!$E997, 0, ($F$2-1)*6 + 1),
_xlpm.int - _xlpm.ctrl)</f>
        <v>62801715.872646712</v>
      </c>
      <c r="L995" s="421">
        <f ca="1">_xlfn.LET(_xlpm.int, OFFSET(PSA.Data!$H997, 0, ($F$2-1)*6), _xlpm.ctrl, OFFSET(PSA.Data!$H997, 0, ($F$2-1)*6 + 1),
_xlpm.int - _xlpm.ctrl)</f>
        <v>-6793.1202381415669</v>
      </c>
      <c r="M995" s="134">
        <f t="shared" ca="1" si="26"/>
        <v>-9933.2060317739015</v>
      </c>
    </row>
    <row r="996" spans="11:13" ht="12" customHeight="1" x14ac:dyDescent="0.25">
      <c r="K996" s="90">
        <f ca="1">_xlfn.LET(_xlpm.int, OFFSET(PSA.Data!$E998, 0, ($F$2-1)*6), _xlpm.ctrl, OFFSET(PSA.Data!$E998, 0, ($F$2-1)*6 + 1),
_xlpm.int - _xlpm.ctrl)</f>
        <v>19515547.482530866</v>
      </c>
      <c r="L996" s="421">
        <f ca="1">_xlfn.LET(_xlpm.int, OFFSET(PSA.Data!$H998, 0, ($F$2-1)*6), _xlpm.ctrl, OFFSET(PSA.Data!$H998, 0, ($F$2-1)*6 + 1),
_xlpm.int - _xlpm.ctrl)</f>
        <v>-4630.6499899760129</v>
      </c>
      <c r="M996" s="134">
        <f t="shared" ca="1" si="26"/>
        <v>-5606.4273641025557</v>
      </c>
    </row>
    <row r="997" spans="11:13" ht="12" customHeight="1" x14ac:dyDescent="0.25">
      <c r="K997" s="90">
        <f ca="1">_xlfn.LET(_xlpm.int, OFFSET(PSA.Data!$E999, 0, ($F$2-1)*6), _xlpm.ctrl, OFFSET(PSA.Data!$E999, 0, ($F$2-1)*6 + 1),
_xlpm.int - _xlpm.ctrl)</f>
        <v>31267784.803250547</v>
      </c>
      <c r="L997" s="421">
        <f ca="1">_xlfn.LET(_xlpm.int, OFFSET(PSA.Data!$H999, 0, ($F$2-1)*6), _xlpm.ctrl, OFFSET(PSA.Data!$H999, 0, ($F$2-1)*6 + 1),
_xlpm.int - _xlpm.ctrl)</f>
        <v>-6034.6360677841258</v>
      </c>
      <c r="M997" s="134">
        <f t="shared" ca="1" si="26"/>
        <v>-7598.0253079466529</v>
      </c>
    </row>
    <row r="998" spans="11:13" ht="12" customHeight="1" x14ac:dyDescent="0.25">
      <c r="K998" s="90">
        <f ca="1">_xlfn.LET(_xlpm.int, OFFSET(PSA.Data!$E1000, 0, ($F$2-1)*6), _xlpm.ctrl, OFFSET(PSA.Data!$E1000, 0, ($F$2-1)*6 + 1),
_xlpm.int - _xlpm.ctrl)</f>
        <v>17821505.833950639</v>
      </c>
      <c r="L998" s="421">
        <f ca="1">_xlfn.LET(_xlpm.int, OFFSET(PSA.Data!$H1000, 0, ($F$2-1)*6), _xlpm.ctrl, OFFSET(PSA.Data!$H1000, 0, ($F$2-1)*6 + 1),
_xlpm.int - _xlpm.ctrl)</f>
        <v>-4675.7497683103447</v>
      </c>
      <c r="M998" s="134">
        <f t="shared" ca="1" si="26"/>
        <v>-5566.8250600078763</v>
      </c>
    </row>
    <row r="999" spans="11:13" ht="12" customHeight="1" x14ac:dyDescent="0.25">
      <c r="K999" s="90">
        <f ca="1">_xlfn.LET(_xlpm.int, OFFSET(PSA.Data!$E1001, 0, ($F$2-1)*6), _xlpm.ctrl, OFFSET(PSA.Data!$E1001, 0, ($F$2-1)*6 + 1),
_xlpm.int - _xlpm.ctrl)</f>
        <v>25825495.43930234</v>
      </c>
      <c r="L999" s="421">
        <f ca="1">_xlfn.LET(_xlpm.int, OFFSET(PSA.Data!$H1001, 0, ($F$2-1)*6), _xlpm.ctrl, OFFSET(PSA.Data!$H1001, 0, ($F$2-1)*6 + 1),
_xlpm.int - _xlpm.ctrl)</f>
        <v>-7086.7295695155235</v>
      </c>
      <c r="M999" s="134">
        <f t="shared" ca="1" si="26"/>
        <v>-8378.0043414806405</v>
      </c>
    </row>
    <row r="1000" spans="11:13" ht="12" customHeight="1" x14ac:dyDescent="0.25">
      <c r="K1000" s="90">
        <f ca="1">_xlfn.LET(_xlpm.int, OFFSET(PSA.Data!$E1002, 0, ($F$2-1)*6), _xlpm.ctrl, OFFSET(PSA.Data!$E1002, 0, ($F$2-1)*6 + 1),
_xlpm.int - _xlpm.ctrl)</f>
        <v>37941457.939543515</v>
      </c>
      <c r="L1000" s="421">
        <f ca="1">_xlfn.LET(_xlpm.int, OFFSET(PSA.Data!$H1002, 0, ($F$2-1)*6), _xlpm.ctrl, OFFSET(PSA.Data!$H1002, 0, ($F$2-1)*6 + 1),
_xlpm.int - _xlpm.ctrl)</f>
        <v>-6603.7789643109409</v>
      </c>
      <c r="M1000" s="134">
        <f t="shared" ca="1" si="26"/>
        <v>-8500.8518612881162</v>
      </c>
    </row>
    <row r="1001" spans="11:13" ht="12" customHeight="1" x14ac:dyDescent="0.25">
      <c r="K1001" s="90">
        <f ca="1">_xlfn.LET(_xlpm.int, OFFSET(PSA.Data!$E1003, 0, ($F$2-1)*6), _xlpm.ctrl, OFFSET(PSA.Data!$E1003, 0, ($F$2-1)*6 + 1),
_xlpm.int - _xlpm.ctrl)</f>
        <v>44124851.907495759</v>
      </c>
      <c r="L1001" s="421">
        <f ca="1">_xlfn.LET(_xlpm.int, OFFSET(PSA.Data!$H1003, 0, ($F$2-1)*6), _xlpm.ctrl, OFFSET(PSA.Data!$H1003, 0, ($F$2-1)*6 + 1),
_xlpm.int - _xlpm.ctrl)</f>
        <v>-6775.2253497303627</v>
      </c>
      <c r="M1001" s="134">
        <f t="shared" ca="1" si="26"/>
        <v>-8981.4679451051506</v>
      </c>
    </row>
    <row r="1002" spans="11:13" ht="12" customHeight="1" x14ac:dyDescent="0.25">
      <c r="K1002" s="90">
        <f ca="1">_xlfn.LET(_xlpm.int, OFFSET(PSA.Data!$E1004, 0, ($F$2-1)*6), _xlpm.ctrl, OFFSET(PSA.Data!$E1004, 0, ($F$2-1)*6 + 1),
_xlpm.int - _xlpm.ctrl)</f>
        <v>18545249.624591697</v>
      </c>
      <c r="L1002" s="421">
        <f ca="1">_xlfn.LET(_xlpm.int, OFFSET(PSA.Data!$H1004, 0, ($F$2-1)*6), _xlpm.ctrl, OFFSET(PSA.Data!$H1004, 0, ($F$2-1)*6 + 1),
_xlpm.int - _xlpm.ctrl)</f>
        <v>-5073.4911634479649</v>
      </c>
      <c r="M1002" s="134">
        <f t="shared" ca="1" si="26"/>
        <v>-6000.7536446775503</v>
      </c>
    </row>
    <row r="1003" spans="11:13" ht="12" customHeight="1" x14ac:dyDescent="0.25">
      <c r="K1003" s="90">
        <f ca="1">_xlfn.LET(_xlpm.int, OFFSET(PSA.Data!$E1005, 0, ($F$2-1)*6), _xlpm.ctrl, OFFSET(PSA.Data!$E1005, 0, ($F$2-1)*6 + 1),
_xlpm.int - _xlpm.ctrl)</f>
        <v>42479148.560731947</v>
      </c>
      <c r="L1003" s="421">
        <f ca="1">_xlfn.LET(_xlpm.int, OFFSET(PSA.Data!$H1005, 0, ($F$2-1)*6), _xlpm.ctrl, OFFSET(PSA.Data!$H1005, 0, ($F$2-1)*6 + 1),
_xlpm.int - _xlpm.ctrl)</f>
        <v>-6238.6140318573498</v>
      </c>
      <c r="M1003" s="134">
        <f t="shared" ca="1" si="26"/>
        <v>-8362.5714598939467</v>
      </c>
    </row>
    <row r="1004" spans="11:13" ht="12" customHeight="1" x14ac:dyDescent="0.25">
      <c r="K1004" s="90">
        <f ca="1">_xlfn.LET(_xlpm.int, OFFSET(PSA.Data!$E1006, 0, ($F$2-1)*6), _xlpm.ctrl, OFFSET(PSA.Data!$E1006, 0, ($F$2-1)*6 + 1),
_xlpm.int - _xlpm.ctrl)</f>
        <v>15213429.591330649</v>
      </c>
      <c r="L1004" s="421">
        <f ca="1">_xlfn.LET(_xlpm.int, OFFSET(PSA.Data!$H1006, 0, ($F$2-1)*6), _xlpm.ctrl, OFFSET(PSA.Data!$H1006, 0, ($F$2-1)*6 + 1),
_xlpm.int - _xlpm.ctrl)</f>
        <v>-5412.9784068432828</v>
      </c>
      <c r="M1004" s="134">
        <f t="shared" ca="1" si="26"/>
        <v>-6173.6498864098148</v>
      </c>
    </row>
    <row r="1005" spans="11:13" ht="12" customHeight="1" x14ac:dyDescent="0.25">
      <c r="K1005" s="90">
        <f ca="1">_xlfn.LET(_xlpm.int, OFFSET(PSA.Data!$E1007, 0, ($F$2-1)*6), _xlpm.ctrl, OFFSET(PSA.Data!$E1007, 0, ($F$2-1)*6 + 1),
_xlpm.int - _xlpm.ctrl)</f>
        <v>21907311.196721494</v>
      </c>
      <c r="L1005" s="421">
        <f ca="1">_xlfn.LET(_xlpm.int, OFFSET(PSA.Data!$H1007, 0, ($F$2-1)*6), _xlpm.ctrl, OFFSET(PSA.Data!$H1007, 0, ($F$2-1)*6 + 1),
_xlpm.int - _xlpm.ctrl)</f>
        <v>-4967.5580858777812</v>
      </c>
      <c r="M1005" s="134">
        <f t="shared" ca="1" si="26"/>
        <v>-6062.9236457138559</v>
      </c>
    </row>
    <row r="1006" spans="11:13" ht="12" customHeight="1" x14ac:dyDescent="0.25">
      <c r="K1006" s="90">
        <f ca="1">_xlfn.LET(_xlpm.int, OFFSET(PSA.Data!$E1008, 0, ($F$2-1)*6), _xlpm.ctrl, OFFSET(PSA.Data!$E1008, 0, ($F$2-1)*6 + 1),
_xlpm.int - _xlpm.ctrl)</f>
        <v>19302747.547790211</v>
      </c>
      <c r="L1006" s="421">
        <f ca="1">_xlfn.LET(_xlpm.int, OFFSET(PSA.Data!$H1008, 0, ($F$2-1)*6), _xlpm.ctrl, OFFSET(PSA.Data!$H1008, 0, ($F$2-1)*6 + 1),
_xlpm.int - _xlpm.ctrl)</f>
        <v>-5591.3966787188756</v>
      </c>
      <c r="M1006" s="134">
        <f t="shared" ca="1" si="26"/>
        <v>-6556.5340561083858</v>
      </c>
    </row>
    <row r="1007" spans="11:13" ht="12" customHeight="1" x14ac:dyDescent="0.25">
      <c r="K1007" s="90">
        <f ca="1">_xlfn.LET(_xlpm.int, OFFSET(PSA.Data!$E1009, 0, ($F$2-1)*6), _xlpm.ctrl, OFFSET(PSA.Data!$E1009, 0, ($F$2-1)*6 + 1),
_xlpm.int - _xlpm.ctrl)</f>
        <v>13972018.902655283</v>
      </c>
      <c r="L1007" s="421">
        <f ca="1">_xlfn.LET(_xlpm.int, OFFSET(PSA.Data!$H1009, 0, ($F$2-1)*6), _xlpm.ctrl, OFFSET(PSA.Data!$H1009, 0, ($F$2-1)*6 + 1),
_xlpm.int - _xlpm.ctrl)</f>
        <v>-4604.0239153152552</v>
      </c>
      <c r="M1007" s="134">
        <f t="shared" ca="1" si="26"/>
        <v>-5302.6248604480197</v>
      </c>
    </row>
    <row r="1008" spans="11:13" ht="12" customHeight="1" x14ac:dyDescent="0.25">
      <c r="K1008" s="90">
        <f ca="1">_xlfn.LET(_xlpm.int, OFFSET(PSA.Data!$E1010, 0, ($F$2-1)*6), _xlpm.ctrl, OFFSET(PSA.Data!$E1010, 0, ($F$2-1)*6 + 1),
_xlpm.int - _xlpm.ctrl)</f>
        <v>38699127.742293738</v>
      </c>
      <c r="L1008" s="421">
        <f ca="1">_xlfn.LET(_xlpm.int, OFFSET(PSA.Data!$H1010, 0, ($F$2-1)*6), _xlpm.ctrl, OFFSET(PSA.Data!$H1010, 0, ($F$2-1)*6 + 1),
_xlpm.int - _xlpm.ctrl)</f>
        <v>-8094.6197104043113</v>
      </c>
      <c r="M1008" s="134">
        <f t="shared" ca="1" si="26"/>
        <v>-10029.576097518999</v>
      </c>
    </row>
    <row r="1009" spans="11:13" ht="12" customHeight="1" x14ac:dyDescent="0.25">
      <c r="K1009" s="90">
        <f ca="1">_xlfn.LET(_xlpm.int, OFFSET(PSA.Data!$E1011, 0, ($F$2-1)*6), _xlpm.ctrl, OFFSET(PSA.Data!$E1011, 0, ($F$2-1)*6 + 1),
_xlpm.int - _xlpm.ctrl)</f>
        <v>19793790.794165254</v>
      </c>
      <c r="L1009" s="421">
        <f ca="1">_xlfn.LET(_xlpm.int, OFFSET(PSA.Data!$H1011, 0, ($F$2-1)*6), _xlpm.ctrl, OFFSET(PSA.Data!$H1011, 0, ($F$2-1)*6 + 1),
_xlpm.int - _xlpm.ctrl)</f>
        <v>-5479.7713423809064</v>
      </c>
      <c r="M1009" s="134">
        <f t="shared" ca="1" si="26"/>
        <v>-6469.460882089169</v>
      </c>
    </row>
    <row r="1010" spans="11:13" ht="12" customHeight="1" x14ac:dyDescent="0.25">
      <c r="K1010" s="90">
        <f ca="1">_xlfn.LET(_xlpm.int, OFFSET(PSA.Data!$E1012, 0, ($F$2-1)*6), _xlpm.ctrl, OFFSET(PSA.Data!$E1012, 0, ($F$2-1)*6 + 1),
_xlpm.int - _xlpm.ctrl)</f>
        <v>82486277.897198811</v>
      </c>
      <c r="L1010" s="421">
        <f ca="1">_xlfn.LET(_xlpm.int, OFFSET(PSA.Data!$H1012, 0, ($F$2-1)*6), _xlpm.ctrl, OFFSET(PSA.Data!$H1012, 0, ($F$2-1)*6 + 1),
_xlpm.int - _xlpm.ctrl)</f>
        <v>-8755.7962168518607</v>
      </c>
      <c r="M1010" s="134">
        <f t="shared" ca="1" si="26"/>
        <v>-12880.110111711801</v>
      </c>
    </row>
    <row r="1011" spans="11:13" ht="12" customHeight="1" x14ac:dyDescent="0.25">
      <c r="K1011" s="90">
        <f ca="1">_xlfn.LET(_xlpm.int, OFFSET(PSA.Data!$E1013, 0, ($F$2-1)*6), _xlpm.ctrl, OFFSET(PSA.Data!$E1013, 0, ($F$2-1)*6 + 1),
_xlpm.int - _xlpm.ctrl)</f>
        <v>27392449.0483981</v>
      </c>
      <c r="L1011" s="421">
        <f ca="1">_xlfn.LET(_xlpm.int, OFFSET(PSA.Data!$H1013, 0, ($F$2-1)*6), _xlpm.ctrl, OFFSET(PSA.Data!$H1013, 0, ($F$2-1)*6 + 1),
_xlpm.int - _xlpm.ctrl)</f>
        <v>-6316.6967065639719</v>
      </c>
      <c r="M1011" s="134">
        <f t="shared" ca="1" si="26"/>
        <v>-7686.3191589838771</v>
      </c>
    </row>
    <row r="1012" spans="11:13" ht="12" customHeight="1" x14ac:dyDescent="0.25">
      <c r="K1012" s="90">
        <f ca="1">_xlfn.LET(_xlpm.int, OFFSET(PSA.Data!$E1014, 0, ($F$2-1)*6), _xlpm.ctrl, OFFSET(PSA.Data!$E1014, 0, ($F$2-1)*6 + 1),
_xlpm.int - _xlpm.ctrl)</f>
        <v>57042264.553415202</v>
      </c>
      <c r="L1012" s="421">
        <f ca="1">_xlfn.LET(_xlpm.int, OFFSET(PSA.Data!$H1014, 0, ($F$2-1)*6), _xlpm.ctrl, OFFSET(PSA.Data!$H1014, 0, ($F$2-1)*6 + 1),
_xlpm.int - _xlpm.ctrl)</f>
        <v>-7003.1329659097573</v>
      </c>
      <c r="M1012" s="134">
        <f t="shared" ca="1" si="26"/>
        <v>-9855.2461935805168</v>
      </c>
    </row>
    <row r="1013" spans="11:13" ht="12" customHeight="1" x14ac:dyDescent="0.25">
      <c r="K1013" s="90">
        <f ca="1">_xlfn.LET(_xlpm.int, OFFSET(PSA.Data!$E1015, 0, ($F$2-1)*6), _xlpm.ctrl, OFFSET(PSA.Data!$E1015, 0, ($F$2-1)*6 + 1),
_xlpm.int - _xlpm.ctrl)</f>
        <v>19701956.884302083</v>
      </c>
      <c r="L1013" s="421">
        <f ca="1">_xlfn.LET(_xlpm.int, OFFSET(PSA.Data!$H1015, 0, ($F$2-1)*6), _xlpm.ctrl, OFFSET(PSA.Data!$H1015, 0, ($F$2-1)*6 + 1),
_xlpm.int - _xlpm.ctrl)</f>
        <v>-5510.1162492669482</v>
      </c>
      <c r="M1013" s="134">
        <f t="shared" ca="1" si="26"/>
        <v>-6495.2140934820527</v>
      </c>
    </row>
    <row r="1014" spans="11:13" ht="12" customHeight="1" x14ac:dyDescent="0.25">
      <c r="K1014" s="90">
        <f ca="1">_xlfn.LET(_xlpm.int, OFFSET(PSA.Data!$E1016, 0, ($F$2-1)*6), _xlpm.ctrl, OFFSET(PSA.Data!$E1016, 0, ($F$2-1)*6 + 1),
_xlpm.int - _xlpm.ctrl)</f>
        <v>45201593.054566495</v>
      </c>
      <c r="L1014" s="421">
        <f ca="1">_xlfn.LET(_xlpm.int, OFFSET(PSA.Data!$H1016, 0, ($F$2-1)*6), _xlpm.ctrl, OFFSET(PSA.Data!$H1016, 0, ($F$2-1)*6 + 1),
_xlpm.int - _xlpm.ctrl)</f>
        <v>-6135.4986847350665</v>
      </c>
      <c r="M1014" s="134">
        <f t="shared" ca="1" si="26"/>
        <v>-8395.5783374633902</v>
      </c>
    </row>
  </sheetData>
  <mergeCells count="8">
    <mergeCell ref="N8:P8"/>
    <mergeCell ref="N5:P7"/>
    <mergeCell ref="F5:H5"/>
    <mergeCell ref="F4:H4"/>
    <mergeCell ref="M5:M7"/>
    <mergeCell ref="K5:K7"/>
    <mergeCell ref="L5:L7"/>
    <mergeCell ref="J5:J7"/>
  </mergeCells>
  <dataValidations count="1">
    <dataValidation type="list" allowBlank="1" showInputMessage="1" showErrorMessage="1" sqref="F5" xr:uid="{E69CBACC-00B3-4E9D-8145-A1A44E0A2B36}">
      <formula1>lstQs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1"/>
  </sheetPr>
  <dimension ref="A1:S35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2" sqref="E2"/>
    </sheetView>
  </sheetViews>
  <sheetFormatPr defaultColWidth="2.7109375" defaultRowHeight="12" customHeight="1" x14ac:dyDescent="0.25"/>
  <cols>
    <col min="1" max="1" width="1.7109375" style="6" customWidth="1"/>
    <col min="2" max="2" width="19.7109375" style="6" customWidth="1"/>
    <col min="3" max="3" width="1.7109375" style="9" customWidth="1"/>
    <col min="4" max="4" width="0" style="15" hidden="1" customWidth="1"/>
    <col min="5" max="16384" width="2.7109375" style="15"/>
  </cols>
  <sheetData>
    <row r="1" spans="1:19" s="3" customFormat="1" ht="24.95" customHeight="1" thickBot="1" x14ac:dyDescent="0.3">
      <c r="A1" s="2"/>
      <c r="B1" s="6"/>
      <c r="C1" s="2"/>
      <c r="D1"/>
      <c r="E1" s="3" t="str">
        <f>zWorkbookTitle</f>
        <v>Camacho et al. (2024) Harms of hazardous prescribing of NSAIDs</v>
      </c>
      <c r="G1" s="4"/>
      <c r="H1" s="5"/>
      <c r="I1" s="5"/>
      <c r="J1" s="5"/>
      <c r="K1" s="5"/>
      <c r="L1" s="5"/>
      <c r="M1" s="5"/>
      <c r="N1" s="5"/>
      <c r="O1" s="5"/>
      <c r="P1" s="5"/>
      <c r="Q1" s="5"/>
      <c r="S1" s="5"/>
    </row>
    <row r="2" spans="1:19" ht="12" customHeight="1" thickTop="1" x14ac:dyDescent="0.25">
      <c r="A2" s="2"/>
      <c r="C2" s="7"/>
    </row>
    <row r="3" spans="1:19" ht="12" customHeight="1" x14ac:dyDescent="0.25">
      <c r="A3" s="2"/>
      <c r="C3" s="7"/>
      <c r="F3" s="15" t="s">
        <v>868</v>
      </c>
    </row>
    <row r="4" spans="1:19" ht="12" customHeight="1" x14ac:dyDescent="0.25">
      <c r="A4" s="2"/>
      <c r="C4" s="7"/>
      <c r="F4" s="15" t="s">
        <v>869</v>
      </c>
    </row>
    <row r="5" spans="1:19" ht="12" customHeight="1" x14ac:dyDescent="0.25">
      <c r="A5" s="2"/>
      <c r="C5" s="7"/>
    </row>
    <row r="6" spans="1:19" ht="12" customHeight="1" x14ac:dyDescent="0.25">
      <c r="A6" s="2"/>
      <c r="C6" s="7"/>
      <c r="F6" s="15" t="s">
        <v>870</v>
      </c>
    </row>
    <row r="7" spans="1:19" ht="12" customHeight="1" x14ac:dyDescent="0.25">
      <c r="A7" s="2"/>
      <c r="C7" s="7"/>
      <c r="F7" s="15" t="s">
        <v>876</v>
      </c>
    </row>
    <row r="8" spans="1:19" ht="12" customHeight="1" x14ac:dyDescent="0.25">
      <c r="A8" s="2"/>
      <c r="C8" s="7"/>
      <c r="G8" s="426" t="s">
        <v>871</v>
      </c>
    </row>
    <row r="9" spans="1:19" ht="12" customHeight="1" x14ac:dyDescent="0.25">
      <c r="A9" s="2"/>
      <c r="C9" s="7"/>
      <c r="G9" s="426" t="s">
        <v>872</v>
      </c>
    </row>
    <row r="10" spans="1:19" ht="12" customHeight="1" x14ac:dyDescent="0.25">
      <c r="A10" s="2"/>
      <c r="C10" s="7"/>
      <c r="G10" s="426" t="s">
        <v>873</v>
      </c>
    </row>
    <row r="11" spans="1:19" ht="12" customHeight="1" x14ac:dyDescent="0.25">
      <c r="A11" s="2"/>
      <c r="C11" s="7"/>
      <c r="G11" s="426" t="s">
        <v>874</v>
      </c>
    </row>
    <row r="12" spans="1:19" ht="12" customHeight="1" x14ac:dyDescent="0.25">
      <c r="A12" s="2"/>
      <c r="C12" s="7"/>
      <c r="G12" s="426" t="s">
        <v>875</v>
      </c>
    </row>
    <row r="13" spans="1:19" ht="12" customHeight="1" x14ac:dyDescent="0.25">
      <c r="A13" s="2"/>
      <c r="C13" s="7"/>
      <c r="G13" s="426" t="s">
        <v>882</v>
      </c>
    </row>
    <row r="14" spans="1:19" ht="12" customHeight="1" x14ac:dyDescent="0.25">
      <c r="A14" s="2"/>
      <c r="C14" s="7"/>
      <c r="F14" s="15" t="s">
        <v>877</v>
      </c>
    </row>
    <row r="15" spans="1:19" ht="12" customHeight="1" x14ac:dyDescent="0.25">
      <c r="A15" s="2"/>
      <c r="C15" s="7"/>
      <c r="F15" s="426" t="s">
        <v>878</v>
      </c>
    </row>
    <row r="16" spans="1:19" ht="12" customHeight="1" x14ac:dyDescent="0.25">
      <c r="A16" s="2"/>
      <c r="C16" s="7"/>
      <c r="F16" s="426" t="s">
        <v>879</v>
      </c>
    </row>
    <row r="17" spans="1:6" ht="12" customHeight="1" x14ac:dyDescent="0.25">
      <c r="A17" s="2"/>
      <c r="C17" s="7"/>
      <c r="F17" s="15" t="s">
        <v>880</v>
      </c>
    </row>
    <row r="18" spans="1:6" ht="12" customHeight="1" x14ac:dyDescent="0.25">
      <c r="A18" s="2"/>
      <c r="C18" s="7"/>
      <c r="F18" s="15" t="s">
        <v>881</v>
      </c>
    </row>
    <row r="19" spans="1:6" ht="12" customHeight="1" x14ac:dyDescent="0.25">
      <c r="A19" s="2"/>
      <c r="C19" s="7"/>
    </row>
    <row r="20" spans="1:6" ht="12" customHeight="1" x14ac:dyDescent="0.25">
      <c r="A20" s="2"/>
      <c r="C20" s="7"/>
    </row>
    <row r="21" spans="1:6" ht="12" customHeight="1" x14ac:dyDescent="0.25">
      <c r="A21" s="2"/>
      <c r="C21" s="7"/>
    </row>
    <row r="22" spans="1:6" ht="12" customHeight="1" x14ac:dyDescent="0.25">
      <c r="A22" s="2"/>
      <c r="C22" s="7"/>
    </row>
    <row r="23" spans="1:6" ht="12" customHeight="1" x14ac:dyDescent="0.25">
      <c r="A23" s="2"/>
      <c r="C23" s="7"/>
    </row>
    <row r="24" spans="1:6" ht="12" customHeight="1" x14ac:dyDescent="0.25">
      <c r="A24" s="2"/>
      <c r="C24" s="7"/>
    </row>
    <row r="25" spans="1:6" ht="12" customHeight="1" x14ac:dyDescent="0.25">
      <c r="A25" s="2"/>
      <c r="C25" s="7"/>
    </row>
    <row r="26" spans="1:6" ht="12" customHeight="1" x14ac:dyDescent="0.25">
      <c r="A26" s="2"/>
      <c r="C26" s="7"/>
    </row>
    <row r="27" spans="1:6" ht="12" customHeight="1" x14ac:dyDescent="0.25">
      <c r="A27" s="2"/>
      <c r="C27" s="7"/>
    </row>
    <row r="28" spans="1:6" ht="12" customHeight="1" x14ac:dyDescent="0.25">
      <c r="A28" s="2"/>
      <c r="C28" s="7"/>
    </row>
    <row r="29" spans="1:6" ht="12" customHeight="1" x14ac:dyDescent="0.25">
      <c r="A29" s="2"/>
      <c r="C29" s="7"/>
    </row>
    <row r="30" spans="1:6" ht="12" customHeight="1" x14ac:dyDescent="0.25">
      <c r="A30" s="2"/>
      <c r="C30" s="7"/>
    </row>
    <row r="31" spans="1:6" ht="12" customHeight="1" x14ac:dyDescent="0.25">
      <c r="A31" s="2"/>
      <c r="C31" s="7"/>
    </row>
    <row r="32" spans="1:6" ht="12" customHeight="1" x14ac:dyDescent="0.25">
      <c r="A32" s="2"/>
      <c r="C32" s="7"/>
    </row>
    <row r="33" spans="1:3" ht="12" customHeight="1" x14ac:dyDescent="0.25">
      <c r="A33" s="2"/>
      <c r="C33" s="7"/>
    </row>
    <row r="34" spans="1:3" ht="12" customHeight="1" x14ac:dyDescent="0.25">
      <c r="A34" s="2"/>
      <c r="C34" s="7"/>
    </row>
    <row r="35" spans="1:3" ht="12" customHeight="1" x14ac:dyDescent="0.25">
      <c r="A35" s="2"/>
      <c r="C35" s="7"/>
    </row>
    <row r="36" spans="1:3" ht="12" customHeight="1" x14ac:dyDescent="0.25">
      <c r="A36" s="2"/>
      <c r="C36" s="7"/>
    </row>
    <row r="37" spans="1:3" ht="12" customHeight="1" x14ac:dyDescent="0.25">
      <c r="A37" s="2"/>
      <c r="C37" s="7"/>
    </row>
    <row r="38" spans="1:3" ht="12" customHeight="1" x14ac:dyDescent="0.25">
      <c r="A38" s="2"/>
      <c r="C38" s="7"/>
    </row>
    <row r="39" spans="1:3" ht="12" customHeight="1" x14ac:dyDescent="0.25">
      <c r="A39" s="2"/>
      <c r="C39" s="7"/>
    </row>
    <row r="40" spans="1:3" ht="12" customHeight="1" x14ac:dyDescent="0.25">
      <c r="A40" s="2"/>
      <c r="C40" s="7"/>
    </row>
    <row r="41" spans="1:3" ht="12" customHeight="1" x14ac:dyDescent="0.25">
      <c r="A41" s="2"/>
      <c r="C41" s="7"/>
    </row>
    <row r="42" spans="1:3" ht="12" customHeight="1" x14ac:dyDescent="0.25">
      <c r="A42" s="2"/>
      <c r="C42" s="7"/>
    </row>
    <row r="43" spans="1:3" ht="12" customHeight="1" x14ac:dyDescent="0.25">
      <c r="A43" s="2"/>
      <c r="C43" s="7"/>
    </row>
    <row r="44" spans="1:3" ht="12" customHeight="1" x14ac:dyDescent="0.25">
      <c r="A44" s="2"/>
      <c r="C44" s="7"/>
    </row>
    <row r="45" spans="1:3" ht="12" customHeight="1" x14ac:dyDescent="0.25">
      <c r="A45" s="2"/>
      <c r="C45" s="7"/>
    </row>
    <row r="46" spans="1:3" ht="12" customHeight="1" x14ac:dyDescent="0.25">
      <c r="A46" s="2"/>
      <c r="C46" s="7"/>
    </row>
    <row r="47" spans="1:3" ht="12" customHeight="1" x14ac:dyDescent="0.25">
      <c r="A47" s="2"/>
      <c r="C47" s="7"/>
    </row>
    <row r="48" spans="1:3" ht="12" customHeight="1" x14ac:dyDescent="0.25">
      <c r="A48" s="2"/>
      <c r="C48" s="7"/>
    </row>
    <row r="49" spans="1:6" ht="12" customHeight="1" x14ac:dyDescent="0.25">
      <c r="A49" s="2"/>
      <c r="C49" s="7"/>
    </row>
    <row r="50" spans="1:6" ht="12" customHeight="1" x14ac:dyDescent="0.25">
      <c r="A50" s="2"/>
      <c r="C50" s="7"/>
    </row>
    <row r="51" spans="1:6" ht="12" customHeight="1" x14ac:dyDescent="0.25">
      <c r="A51" s="2"/>
      <c r="C51" s="7"/>
    </row>
    <row r="52" spans="1:6" ht="12" customHeight="1" x14ac:dyDescent="0.25">
      <c r="A52" s="2"/>
      <c r="C52" s="7"/>
    </row>
    <row r="53" spans="1:6" ht="12" customHeight="1" x14ac:dyDescent="0.25">
      <c r="A53" s="2"/>
      <c r="C53" s="7"/>
    </row>
    <row r="54" spans="1:6" ht="12" customHeight="1" x14ac:dyDescent="0.25">
      <c r="A54" s="2"/>
      <c r="C54" s="7"/>
    </row>
    <row r="55" spans="1:6" ht="12" customHeight="1" x14ac:dyDescent="0.25">
      <c r="A55" s="2"/>
      <c r="C55" s="7"/>
    </row>
    <row r="56" spans="1:6" ht="12" customHeight="1" x14ac:dyDescent="0.25">
      <c r="A56" s="2"/>
      <c r="C56" s="7"/>
    </row>
    <row r="57" spans="1:6" ht="12" customHeight="1" x14ac:dyDescent="0.25">
      <c r="A57" s="2"/>
      <c r="C57" s="7"/>
    </row>
    <row r="58" spans="1:6" ht="12" customHeight="1" x14ac:dyDescent="0.25">
      <c r="A58" s="2"/>
      <c r="C58" s="7"/>
    </row>
    <row r="59" spans="1:6" ht="12" customHeight="1" x14ac:dyDescent="0.25">
      <c r="A59" s="2"/>
      <c r="C59" s="7"/>
    </row>
    <row r="60" spans="1:6" ht="12" customHeight="1" x14ac:dyDescent="0.25">
      <c r="A60" s="2"/>
      <c r="C60" s="7"/>
      <c r="F60" s="31"/>
    </row>
    <row r="61" spans="1:6" ht="12" customHeight="1" x14ac:dyDescent="0.25">
      <c r="A61" s="2"/>
      <c r="C61" s="7"/>
    </row>
    <row r="62" spans="1:6" ht="12" customHeight="1" x14ac:dyDescent="0.25">
      <c r="A62" s="2"/>
      <c r="C62" s="7"/>
    </row>
    <row r="63" spans="1:6" ht="12" customHeight="1" x14ac:dyDescent="0.25">
      <c r="A63" s="2"/>
      <c r="C63" s="7"/>
    </row>
    <row r="64" spans="1:6" ht="12" customHeight="1" x14ac:dyDescent="0.25">
      <c r="A64" s="2"/>
      <c r="C64" s="7"/>
    </row>
    <row r="65" spans="1:3" ht="12" customHeight="1" x14ac:dyDescent="0.25">
      <c r="A65" s="2"/>
      <c r="C65" s="7"/>
    </row>
    <row r="66" spans="1:3" ht="12" customHeight="1" x14ac:dyDescent="0.25">
      <c r="A66" s="2"/>
      <c r="C66" s="7"/>
    </row>
    <row r="67" spans="1:3" ht="12" customHeight="1" x14ac:dyDescent="0.25">
      <c r="A67" s="2"/>
      <c r="C67" s="7"/>
    </row>
    <row r="68" spans="1:3" ht="12" customHeight="1" x14ac:dyDescent="0.25">
      <c r="A68" s="2"/>
      <c r="C68" s="7"/>
    </row>
    <row r="69" spans="1:3" ht="12" customHeight="1" x14ac:dyDescent="0.25">
      <c r="A69" s="2"/>
      <c r="C69" s="7"/>
    </row>
    <row r="70" spans="1:3" ht="12" customHeight="1" x14ac:dyDescent="0.25">
      <c r="A70" s="2"/>
      <c r="C70" s="7"/>
    </row>
    <row r="71" spans="1:3" ht="12" customHeight="1" x14ac:dyDescent="0.25">
      <c r="A71" s="2"/>
      <c r="C71" s="7"/>
    </row>
    <row r="72" spans="1:3" ht="12" customHeight="1" x14ac:dyDescent="0.25">
      <c r="A72" s="2"/>
      <c r="C72" s="7"/>
    </row>
    <row r="73" spans="1:3" ht="12" customHeight="1" x14ac:dyDescent="0.25">
      <c r="A73" s="2"/>
      <c r="C73" s="7"/>
    </row>
    <row r="74" spans="1:3" ht="12" customHeight="1" x14ac:dyDescent="0.25">
      <c r="A74" s="2"/>
      <c r="C74" s="7"/>
    </row>
    <row r="75" spans="1:3" ht="12" customHeight="1" x14ac:dyDescent="0.25">
      <c r="A75" s="2"/>
      <c r="C75" s="7"/>
    </row>
    <row r="76" spans="1:3" ht="12" customHeight="1" x14ac:dyDescent="0.25">
      <c r="A76" s="2"/>
      <c r="C76" s="7"/>
    </row>
    <row r="77" spans="1:3" ht="12" customHeight="1" x14ac:dyDescent="0.25">
      <c r="A77" s="2"/>
      <c r="C77" s="7"/>
    </row>
    <row r="78" spans="1:3" ht="12" customHeight="1" x14ac:dyDescent="0.25">
      <c r="A78" s="2"/>
      <c r="C78" s="7"/>
    </row>
    <row r="79" spans="1:3" ht="12" customHeight="1" x14ac:dyDescent="0.25">
      <c r="A79" s="2"/>
      <c r="C79" s="7"/>
    </row>
    <row r="80" spans="1:3" ht="12" customHeight="1" x14ac:dyDescent="0.25">
      <c r="A80" s="2"/>
      <c r="C80" s="7"/>
    </row>
    <row r="81" spans="1:3" ht="12" customHeight="1" x14ac:dyDescent="0.25">
      <c r="A81" s="2"/>
      <c r="C81" s="7"/>
    </row>
    <row r="82" spans="1:3" ht="12" customHeight="1" x14ac:dyDescent="0.25">
      <c r="A82" s="2"/>
      <c r="C82" s="7"/>
    </row>
    <row r="83" spans="1:3" ht="12" customHeight="1" x14ac:dyDescent="0.25">
      <c r="A83" s="2"/>
      <c r="C83" s="7"/>
    </row>
    <row r="84" spans="1:3" ht="12" customHeight="1" x14ac:dyDescent="0.25">
      <c r="A84" s="2"/>
      <c r="C84" s="7"/>
    </row>
    <row r="85" spans="1:3" ht="12" customHeight="1" x14ac:dyDescent="0.25">
      <c r="A85" s="2"/>
      <c r="C85" s="7"/>
    </row>
    <row r="86" spans="1:3" ht="12" customHeight="1" x14ac:dyDescent="0.25">
      <c r="A86" s="2"/>
      <c r="C86" s="7"/>
    </row>
    <row r="87" spans="1:3" ht="12" customHeight="1" x14ac:dyDescent="0.25">
      <c r="A87" s="2"/>
      <c r="C87" s="7"/>
    </row>
    <row r="88" spans="1:3" ht="12" customHeight="1" x14ac:dyDescent="0.25">
      <c r="A88" s="2"/>
      <c r="C88" s="7"/>
    </row>
    <row r="89" spans="1:3" ht="12" customHeight="1" x14ac:dyDescent="0.25">
      <c r="A89" s="2"/>
      <c r="C89" s="7"/>
    </row>
    <row r="90" spans="1:3" ht="12" customHeight="1" x14ac:dyDescent="0.25">
      <c r="A90" s="2"/>
      <c r="C90" s="7"/>
    </row>
    <row r="91" spans="1:3" ht="12" customHeight="1" x14ac:dyDescent="0.25">
      <c r="A91" s="2"/>
      <c r="C91" s="7"/>
    </row>
    <row r="92" spans="1:3" ht="12" customHeight="1" x14ac:dyDescent="0.25">
      <c r="A92" s="2"/>
      <c r="C92" s="7"/>
    </row>
    <row r="93" spans="1:3" ht="12" customHeight="1" x14ac:dyDescent="0.25">
      <c r="A93" s="2"/>
      <c r="C93" s="7"/>
    </row>
    <row r="94" spans="1:3" ht="12" customHeight="1" x14ac:dyDescent="0.25">
      <c r="A94" s="2"/>
      <c r="C94" s="7"/>
    </row>
    <row r="95" spans="1:3" ht="12" customHeight="1" x14ac:dyDescent="0.25">
      <c r="A95" s="2"/>
      <c r="C95" s="7"/>
    </row>
    <row r="96" spans="1:3" ht="12" customHeight="1" x14ac:dyDescent="0.25">
      <c r="A96" s="2"/>
      <c r="C96" s="7"/>
    </row>
    <row r="97" spans="1:3" ht="12" customHeight="1" x14ac:dyDescent="0.25">
      <c r="A97" s="2"/>
      <c r="C97" s="7"/>
    </row>
    <row r="98" spans="1:3" ht="12" customHeight="1" x14ac:dyDescent="0.25">
      <c r="A98" s="2"/>
      <c r="C98" s="7"/>
    </row>
    <row r="99" spans="1:3" ht="12" customHeight="1" x14ac:dyDescent="0.25">
      <c r="A99" s="2"/>
      <c r="C99" s="7"/>
    </row>
    <row r="100" spans="1:3" ht="12" customHeight="1" x14ac:dyDescent="0.25">
      <c r="A100" s="2"/>
      <c r="C100" s="7"/>
    </row>
    <row r="101" spans="1:3" ht="12" customHeight="1" x14ac:dyDescent="0.25">
      <c r="A101" s="2"/>
      <c r="C101" s="7"/>
    </row>
    <row r="102" spans="1:3" ht="12" customHeight="1" x14ac:dyDescent="0.25">
      <c r="A102" s="2"/>
      <c r="C102" s="7"/>
    </row>
    <row r="103" spans="1:3" ht="12" customHeight="1" x14ac:dyDescent="0.25">
      <c r="A103" s="2"/>
      <c r="C103" s="7"/>
    </row>
    <row r="104" spans="1:3" ht="12" customHeight="1" x14ac:dyDescent="0.25">
      <c r="A104" s="2"/>
      <c r="C104" s="7"/>
    </row>
    <row r="105" spans="1:3" ht="12" customHeight="1" x14ac:dyDescent="0.25">
      <c r="A105" s="2"/>
      <c r="C105" s="7"/>
    </row>
    <row r="106" spans="1:3" ht="12" customHeight="1" x14ac:dyDescent="0.25">
      <c r="A106" s="2"/>
      <c r="C106" s="7"/>
    </row>
    <row r="107" spans="1:3" ht="12" customHeight="1" x14ac:dyDescent="0.25">
      <c r="A107" s="2"/>
      <c r="C107" s="7"/>
    </row>
    <row r="108" spans="1:3" ht="12" customHeight="1" x14ac:dyDescent="0.25">
      <c r="A108" s="2"/>
      <c r="C108" s="7"/>
    </row>
    <row r="109" spans="1:3" ht="12" customHeight="1" x14ac:dyDescent="0.25">
      <c r="A109" s="2"/>
      <c r="C109" s="7"/>
    </row>
    <row r="110" spans="1:3" ht="12" customHeight="1" x14ac:dyDescent="0.25">
      <c r="A110" s="2"/>
      <c r="C110" s="7"/>
    </row>
    <row r="111" spans="1:3" ht="12" customHeight="1" x14ac:dyDescent="0.25">
      <c r="A111" s="2"/>
      <c r="C111" s="7"/>
    </row>
    <row r="112" spans="1:3" ht="12" customHeight="1" x14ac:dyDescent="0.25">
      <c r="A112" s="2"/>
      <c r="C112" s="7"/>
    </row>
    <row r="113" spans="1:3" ht="12" customHeight="1" x14ac:dyDescent="0.25">
      <c r="A113" s="2"/>
      <c r="C113" s="7"/>
    </row>
    <row r="114" spans="1:3" ht="12" customHeight="1" x14ac:dyDescent="0.25">
      <c r="A114" s="2"/>
      <c r="C114" s="7"/>
    </row>
    <row r="115" spans="1:3" ht="12" customHeight="1" x14ac:dyDescent="0.25">
      <c r="A115" s="2"/>
      <c r="C115" s="7"/>
    </row>
    <row r="116" spans="1:3" ht="12" customHeight="1" x14ac:dyDescent="0.25">
      <c r="A116" s="2"/>
      <c r="C116" s="7"/>
    </row>
    <row r="117" spans="1:3" ht="12" customHeight="1" x14ac:dyDescent="0.25">
      <c r="A117" s="2"/>
      <c r="C117" s="7"/>
    </row>
    <row r="118" spans="1:3" ht="12" customHeight="1" x14ac:dyDescent="0.25">
      <c r="A118" s="2"/>
      <c r="C118" s="7"/>
    </row>
    <row r="119" spans="1:3" ht="12" customHeight="1" x14ac:dyDescent="0.25">
      <c r="A119" s="2"/>
      <c r="C119" s="7"/>
    </row>
    <row r="120" spans="1:3" ht="12" customHeight="1" x14ac:dyDescent="0.25">
      <c r="A120" s="2"/>
      <c r="C120" s="7"/>
    </row>
    <row r="121" spans="1:3" ht="12" customHeight="1" x14ac:dyDescent="0.25">
      <c r="A121" s="2"/>
      <c r="C121" s="7"/>
    </row>
    <row r="122" spans="1:3" ht="12" customHeight="1" x14ac:dyDescent="0.25">
      <c r="A122" s="2"/>
      <c r="C122" s="7"/>
    </row>
    <row r="123" spans="1:3" ht="12" customHeight="1" x14ac:dyDescent="0.25">
      <c r="A123" s="2"/>
      <c r="C123" s="7"/>
    </row>
    <row r="124" spans="1:3" ht="12" customHeight="1" x14ac:dyDescent="0.25">
      <c r="A124" s="2"/>
      <c r="C124" s="7"/>
    </row>
    <row r="125" spans="1:3" ht="12" customHeight="1" x14ac:dyDescent="0.25">
      <c r="A125" s="2"/>
      <c r="C125" s="7"/>
    </row>
    <row r="126" spans="1:3" ht="12" customHeight="1" x14ac:dyDescent="0.25">
      <c r="A126" s="2"/>
      <c r="C126" s="7"/>
    </row>
    <row r="127" spans="1:3" ht="12" customHeight="1" x14ac:dyDescent="0.25">
      <c r="A127" s="2"/>
      <c r="C127" s="7"/>
    </row>
    <row r="128" spans="1:3" ht="12" customHeight="1" x14ac:dyDescent="0.25">
      <c r="A128" s="2"/>
      <c r="C128" s="7"/>
    </row>
    <row r="129" spans="1:3" ht="12" customHeight="1" x14ac:dyDescent="0.25">
      <c r="A129" s="2"/>
      <c r="C129" s="7"/>
    </row>
    <row r="130" spans="1:3" ht="12" customHeight="1" x14ac:dyDescent="0.25">
      <c r="A130" s="2"/>
      <c r="C130" s="7"/>
    </row>
    <row r="131" spans="1:3" ht="12" customHeight="1" x14ac:dyDescent="0.25">
      <c r="A131" s="2"/>
      <c r="C131" s="7"/>
    </row>
    <row r="132" spans="1:3" ht="12" customHeight="1" x14ac:dyDescent="0.25">
      <c r="A132" s="2"/>
      <c r="C132" s="7"/>
    </row>
    <row r="133" spans="1:3" ht="12" customHeight="1" x14ac:dyDescent="0.25">
      <c r="A133" s="2"/>
      <c r="C133" s="7"/>
    </row>
    <row r="134" spans="1:3" ht="12" customHeight="1" x14ac:dyDescent="0.25">
      <c r="A134" s="2"/>
      <c r="C134" s="7"/>
    </row>
    <row r="135" spans="1:3" ht="12" customHeight="1" x14ac:dyDescent="0.25">
      <c r="A135" s="2"/>
      <c r="C135" s="7"/>
    </row>
    <row r="136" spans="1:3" ht="12" customHeight="1" x14ac:dyDescent="0.25">
      <c r="A136" s="2"/>
      <c r="C136" s="7"/>
    </row>
    <row r="137" spans="1:3" ht="12" customHeight="1" x14ac:dyDescent="0.25">
      <c r="A137" s="2"/>
      <c r="C137" s="7"/>
    </row>
    <row r="138" spans="1:3" ht="12" customHeight="1" x14ac:dyDescent="0.25">
      <c r="A138" s="2"/>
      <c r="C138" s="7"/>
    </row>
    <row r="139" spans="1:3" ht="12" customHeight="1" x14ac:dyDescent="0.25">
      <c r="A139" s="2"/>
      <c r="C139" s="7"/>
    </row>
    <row r="140" spans="1:3" ht="12" customHeight="1" x14ac:dyDescent="0.25">
      <c r="A140" s="2"/>
      <c r="C140" s="7"/>
    </row>
    <row r="141" spans="1:3" ht="12" customHeight="1" x14ac:dyDescent="0.25">
      <c r="A141" s="2"/>
      <c r="C141" s="7"/>
    </row>
    <row r="142" spans="1:3" ht="12" customHeight="1" x14ac:dyDescent="0.25">
      <c r="A142" s="2"/>
      <c r="C142" s="7"/>
    </row>
    <row r="143" spans="1:3" ht="12" customHeight="1" x14ac:dyDescent="0.25">
      <c r="A143" s="2"/>
      <c r="C143" s="7"/>
    </row>
    <row r="144" spans="1:3" ht="12" customHeight="1" x14ac:dyDescent="0.25">
      <c r="A144" s="2"/>
      <c r="C144" s="7"/>
    </row>
    <row r="145" spans="1:3" ht="12" customHeight="1" x14ac:dyDescent="0.25">
      <c r="A145" s="2"/>
      <c r="C145" s="7"/>
    </row>
    <row r="146" spans="1:3" ht="12" customHeight="1" x14ac:dyDescent="0.25">
      <c r="A146" s="2"/>
      <c r="C146" s="7"/>
    </row>
    <row r="147" spans="1:3" ht="12" customHeight="1" x14ac:dyDescent="0.25">
      <c r="A147" s="2"/>
      <c r="C147" s="7"/>
    </row>
    <row r="148" spans="1:3" ht="12" customHeight="1" x14ac:dyDescent="0.25">
      <c r="A148" s="2"/>
      <c r="C148" s="7"/>
    </row>
    <row r="149" spans="1:3" ht="12" customHeight="1" x14ac:dyDescent="0.25">
      <c r="A149" s="2"/>
      <c r="C149" s="7"/>
    </row>
    <row r="150" spans="1:3" ht="12" customHeight="1" x14ac:dyDescent="0.25">
      <c r="A150" s="2"/>
      <c r="C150" s="7"/>
    </row>
    <row r="151" spans="1:3" ht="12" customHeight="1" x14ac:dyDescent="0.25">
      <c r="A151" s="2"/>
      <c r="C151" s="7"/>
    </row>
    <row r="152" spans="1:3" ht="12" customHeight="1" x14ac:dyDescent="0.25">
      <c r="A152" s="2"/>
      <c r="C152" s="7"/>
    </row>
    <row r="153" spans="1:3" ht="12" customHeight="1" x14ac:dyDescent="0.25">
      <c r="A153" s="2"/>
      <c r="C153" s="7"/>
    </row>
    <row r="154" spans="1:3" ht="12" customHeight="1" x14ac:dyDescent="0.25">
      <c r="A154" s="2"/>
      <c r="C154" s="7"/>
    </row>
    <row r="155" spans="1:3" ht="12" customHeight="1" x14ac:dyDescent="0.25">
      <c r="A155" s="2"/>
      <c r="C155" s="7"/>
    </row>
    <row r="156" spans="1:3" ht="12" customHeight="1" x14ac:dyDescent="0.25">
      <c r="A156" s="2"/>
      <c r="C156" s="7"/>
    </row>
    <row r="157" spans="1:3" ht="12" customHeight="1" x14ac:dyDescent="0.25">
      <c r="A157" s="2"/>
      <c r="C157" s="7"/>
    </row>
    <row r="158" spans="1:3" ht="12" customHeight="1" x14ac:dyDescent="0.25">
      <c r="A158" s="2"/>
      <c r="C158" s="7"/>
    </row>
    <row r="159" spans="1:3" ht="12" customHeight="1" x14ac:dyDescent="0.25">
      <c r="A159" s="2"/>
      <c r="C159" s="7"/>
    </row>
    <row r="160" spans="1:3" ht="12" customHeight="1" x14ac:dyDescent="0.25">
      <c r="A160" s="2"/>
      <c r="C160" s="7"/>
    </row>
    <row r="161" spans="1:3" ht="12" customHeight="1" x14ac:dyDescent="0.25">
      <c r="A161" s="2"/>
      <c r="C161" s="7"/>
    </row>
    <row r="162" spans="1:3" ht="12" customHeight="1" x14ac:dyDescent="0.25">
      <c r="A162" s="2"/>
      <c r="C162" s="7"/>
    </row>
    <row r="163" spans="1:3" ht="12" customHeight="1" x14ac:dyDescent="0.25">
      <c r="A163" s="2"/>
      <c r="C163" s="7"/>
    </row>
    <row r="164" spans="1:3" ht="12" customHeight="1" x14ac:dyDescent="0.25">
      <c r="A164" s="2"/>
      <c r="C164" s="7"/>
    </row>
    <row r="165" spans="1:3" ht="12" customHeight="1" x14ac:dyDescent="0.25">
      <c r="A165" s="2"/>
      <c r="C165" s="7"/>
    </row>
    <row r="166" spans="1:3" ht="12" customHeight="1" x14ac:dyDescent="0.25">
      <c r="A166" s="2"/>
      <c r="C166" s="7"/>
    </row>
    <row r="167" spans="1:3" ht="12" customHeight="1" x14ac:dyDescent="0.25">
      <c r="A167" s="2"/>
      <c r="C167" s="7"/>
    </row>
    <row r="168" spans="1:3" ht="12" customHeight="1" x14ac:dyDescent="0.25">
      <c r="A168" s="2"/>
      <c r="C168" s="7"/>
    </row>
    <row r="169" spans="1:3" ht="12" customHeight="1" x14ac:dyDescent="0.25">
      <c r="A169" s="2"/>
      <c r="C169" s="7"/>
    </row>
    <row r="170" spans="1:3" ht="12" customHeight="1" x14ac:dyDescent="0.25">
      <c r="A170" s="2"/>
      <c r="C170" s="7"/>
    </row>
    <row r="171" spans="1:3" ht="12" customHeight="1" x14ac:dyDescent="0.25">
      <c r="A171" s="2"/>
      <c r="C171" s="7"/>
    </row>
    <row r="172" spans="1:3" ht="12" customHeight="1" x14ac:dyDescent="0.25">
      <c r="A172" s="2"/>
      <c r="C172" s="7"/>
    </row>
    <row r="173" spans="1:3" ht="12" customHeight="1" x14ac:dyDescent="0.25">
      <c r="A173" s="2"/>
      <c r="C173" s="7"/>
    </row>
    <row r="174" spans="1:3" ht="12" customHeight="1" x14ac:dyDescent="0.25">
      <c r="A174" s="2"/>
      <c r="C174" s="7"/>
    </row>
    <row r="175" spans="1:3" ht="12" customHeight="1" x14ac:dyDescent="0.25">
      <c r="A175" s="2"/>
      <c r="C175" s="7"/>
    </row>
    <row r="176" spans="1:3" ht="12" customHeight="1" x14ac:dyDescent="0.25">
      <c r="A176" s="2"/>
      <c r="C176" s="7"/>
    </row>
    <row r="177" spans="1:3" ht="12" customHeight="1" x14ac:dyDescent="0.25">
      <c r="A177" s="2"/>
      <c r="C177" s="7"/>
    </row>
    <row r="178" spans="1:3" ht="12" customHeight="1" x14ac:dyDescent="0.25">
      <c r="A178" s="2"/>
      <c r="C178" s="7"/>
    </row>
    <row r="179" spans="1:3" ht="12" customHeight="1" x14ac:dyDescent="0.25">
      <c r="A179" s="2"/>
      <c r="C179" s="7"/>
    </row>
    <row r="180" spans="1:3" ht="12" customHeight="1" x14ac:dyDescent="0.25">
      <c r="A180" s="2"/>
      <c r="C180" s="7"/>
    </row>
    <row r="181" spans="1:3" ht="12" customHeight="1" x14ac:dyDescent="0.25">
      <c r="A181" s="2"/>
      <c r="C181" s="7"/>
    </row>
    <row r="182" spans="1:3" ht="12" customHeight="1" x14ac:dyDescent="0.25">
      <c r="A182" s="2"/>
      <c r="C182" s="7"/>
    </row>
    <row r="183" spans="1:3" ht="12" customHeight="1" x14ac:dyDescent="0.25">
      <c r="A183" s="2"/>
      <c r="C183" s="7"/>
    </row>
    <row r="184" spans="1:3" ht="12" customHeight="1" x14ac:dyDescent="0.25">
      <c r="A184" s="2"/>
      <c r="C184" s="7"/>
    </row>
    <row r="185" spans="1:3" ht="12" customHeight="1" x14ac:dyDescent="0.25">
      <c r="A185" s="2"/>
      <c r="C185" s="7"/>
    </row>
    <row r="186" spans="1:3" ht="12" customHeight="1" x14ac:dyDescent="0.25">
      <c r="A186" s="2"/>
      <c r="C186" s="7"/>
    </row>
    <row r="187" spans="1:3" ht="12" customHeight="1" x14ac:dyDescent="0.25">
      <c r="A187" s="2"/>
      <c r="C187" s="7"/>
    </row>
    <row r="188" spans="1:3" ht="12" customHeight="1" x14ac:dyDescent="0.25">
      <c r="A188" s="2"/>
      <c r="C188" s="7"/>
    </row>
    <row r="189" spans="1:3" ht="12" customHeight="1" x14ac:dyDescent="0.25">
      <c r="A189" s="2"/>
      <c r="C189" s="7"/>
    </row>
    <row r="190" spans="1:3" ht="12" customHeight="1" x14ac:dyDescent="0.25">
      <c r="A190" s="2"/>
      <c r="C190" s="7"/>
    </row>
    <row r="191" spans="1:3" ht="12" customHeight="1" x14ac:dyDescent="0.25">
      <c r="A191" s="2"/>
      <c r="C191" s="7"/>
    </row>
    <row r="192" spans="1:3" ht="12" customHeight="1" x14ac:dyDescent="0.25">
      <c r="A192" s="2"/>
      <c r="C192" s="7"/>
    </row>
    <row r="193" spans="1:3" ht="12" customHeight="1" x14ac:dyDescent="0.25">
      <c r="A193" s="2"/>
      <c r="C193" s="7"/>
    </row>
    <row r="194" spans="1:3" ht="12" customHeight="1" x14ac:dyDescent="0.25">
      <c r="A194" s="2"/>
      <c r="C194" s="7"/>
    </row>
    <row r="195" spans="1:3" ht="12" customHeight="1" x14ac:dyDescent="0.25">
      <c r="A195" s="2"/>
      <c r="C195" s="7"/>
    </row>
    <row r="196" spans="1:3" ht="12" customHeight="1" x14ac:dyDescent="0.25">
      <c r="A196" s="2"/>
      <c r="C196" s="7"/>
    </row>
    <row r="197" spans="1:3" ht="12" customHeight="1" x14ac:dyDescent="0.25">
      <c r="A197" s="2"/>
      <c r="C197" s="7"/>
    </row>
    <row r="198" spans="1:3" ht="12" customHeight="1" x14ac:dyDescent="0.25">
      <c r="A198" s="2"/>
      <c r="C198" s="7"/>
    </row>
    <row r="199" spans="1:3" ht="12" customHeight="1" x14ac:dyDescent="0.25">
      <c r="A199" s="2"/>
      <c r="C199" s="7"/>
    </row>
    <row r="200" spans="1:3" ht="12" customHeight="1" x14ac:dyDescent="0.25">
      <c r="A200" s="2"/>
      <c r="C200" s="7"/>
    </row>
    <row r="201" spans="1:3" ht="12" customHeight="1" x14ac:dyDescent="0.25">
      <c r="A201" s="2"/>
      <c r="C201" s="7"/>
    </row>
    <row r="202" spans="1:3" ht="12" customHeight="1" x14ac:dyDescent="0.25">
      <c r="A202" s="2"/>
      <c r="C202" s="7"/>
    </row>
    <row r="203" spans="1:3" ht="12" customHeight="1" x14ac:dyDescent="0.25">
      <c r="A203" s="2"/>
      <c r="C203" s="7"/>
    </row>
    <row r="204" spans="1:3" ht="12" customHeight="1" x14ac:dyDescent="0.25">
      <c r="A204" s="2"/>
      <c r="C204" s="7"/>
    </row>
    <row r="205" spans="1:3" ht="12" customHeight="1" x14ac:dyDescent="0.25">
      <c r="A205" s="2"/>
      <c r="C205" s="7"/>
    </row>
    <row r="206" spans="1:3" ht="12" customHeight="1" x14ac:dyDescent="0.25">
      <c r="A206" s="2"/>
      <c r="C206" s="7"/>
    </row>
    <row r="207" spans="1:3" ht="12" customHeight="1" x14ac:dyDescent="0.25">
      <c r="A207" s="2"/>
      <c r="C207" s="7"/>
    </row>
    <row r="208" spans="1:3" ht="12" customHeight="1" x14ac:dyDescent="0.25">
      <c r="A208" s="2"/>
      <c r="C208" s="7"/>
    </row>
    <row r="209" spans="1:3" ht="12" customHeight="1" x14ac:dyDescent="0.25">
      <c r="A209" s="2"/>
      <c r="C209" s="7"/>
    </row>
    <row r="210" spans="1:3" ht="12" customHeight="1" x14ac:dyDescent="0.25">
      <c r="A210" s="2"/>
      <c r="C210" s="7"/>
    </row>
    <row r="211" spans="1:3" ht="12" customHeight="1" x14ac:dyDescent="0.25">
      <c r="A211" s="2"/>
      <c r="C211" s="7"/>
    </row>
    <row r="212" spans="1:3" ht="12" customHeight="1" x14ac:dyDescent="0.25">
      <c r="A212" s="2"/>
      <c r="C212" s="7"/>
    </row>
    <row r="213" spans="1:3" ht="12" customHeight="1" x14ac:dyDescent="0.25">
      <c r="A213" s="2"/>
      <c r="C213" s="7"/>
    </row>
    <row r="214" spans="1:3" ht="12" customHeight="1" x14ac:dyDescent="0.25">
      <c r="A214" s="2"/>
      <c r="C214" s="7"/>
    </row>
    <row r="215" spans="1:3" ht="12" customHeight="1" x14ac:dyDescent="0.25">
      <c r="A215" s="2"/>
      <c r="C215" s="7"/>
    </row>
    <row r="216" spans="1:3" ht="12" customHeight="1" x14ac:dyDescent="0.25">
      <c r="A216" s="2"/>
      <c r="C216" s="7"/>
    </row>
    <row r="217" spans="1:3" ht="12" customHeight="1" x14ac:dyDescent="0.25">
      <c r="A217" s="2"/>
      <c r="C217" s="7"/>
    </row>
    <row r="218" spans="1:3" ht="12" customHeight="1" x14ac:dyDescent="0.25">
      <c r="A218" s="2"/>
      <c r="C218" s="7"/>
    </row>
    <row r="219" spans="1:3" ht="12" customHeight="1" x14ac:dyDescent="0.25">
      <c r="A219" s="2"/>
      <c r="C219" s="7"/>
    </row>
    <row r="220" spans="1:3" ht="12" customHeight="1" x14ac:dyDescent="0.25">
      <c r="A220" s="2"/>
      <c r="C220" s="7"/>
    </row>
    <row r="221" spans="1:3" ht="12" customHeight="1" x14ac:dyDescent="0.25">
      <c r="A221" s="2"/>
      <c r="C221" s="7"/>
    </row>
    <row r="222" spans="1:3" ht="12" customHeight="1" x14ac:dyDescent="0.25">
      <c r="A222" s="2"/>
      <c r="C222" s="7"/>
    </row>
    <row r="223" spans="1:3" ht="12" customHeight="1" x14ac:dyDescent="0.25">
      <c r="A223" s="2"/>
      <c r="C223" s="7"/>
    </row>
    <row r="224" spans="1:3" ht="12" customHeight="1" x14ac:dyDescent="0.25">
      <c r="A224" s="2"/>
      <c r="C224" s="7"/>
    </row>
    <row r="225" spans="1:3" ht="12" customHeight="1" x14ac:dyDescent="0.25">
      <c r="A225" s="2"/>
      <c r="C225" s="7"/>
    </row>
    <row r="226" spans="1:3" ht="12" customHeight="1" x14ac:dyDescent="0.25">
      <c r="A226" s="2"/>
      <c r="C226" s="7"/>
    </row>
    <row r="227" spans="1:3" ht="12" customHeight="1" x14ac:dyDescent="0.25">
      <c r="A227" s="2"/>
      <c r="C227" s="7"/>
    </row>
    <row r="228" spans="1:3" ht="12" customHeight="1" x14ac:dyDescent="0.25">
      <c r="A228" s="2"/>
      <c r="C228" s="7"/>
    </row>
    <row r="229" spans="1:3" ht="12" customHeight="1" x14ac:dyDescent="0.25">
      <c r="A229" s="2"/>
      <c r="C229" s="7"/>
    </row>
    <row r="230" spans="1:3" ht="12" customHeight="1" x14ac:dyDescent="0.25">
      <c r="A230" s="2"/>
      <c r="C230" s="7"/>
    </row>
    <row r="231" spans="1:3" ht="12" customHeight="1" x14ac:dyDescent="0.25">
      <c r="A231" s="2"/>
      <c r="C231" s="7"/>
    </row>
    <row r="232" spans="1:3" ht="12" customHeight="1" x14ac:dyDescent="0.25">
      <c r="A232" s="2"/>
      <c r="C232" s="7"/>
    </row>
    <row r="233" spans="1:3" ht="12" customHeight="1" x14ac:dyDescent="0.25">
      <c r="A233" s="2"/>
      <c r="C233" s="7"/>
    </row>
    <row r="234" spans="1:3" ht="12" customHeight="1" x14ac:dyDescent="0.25">
      <c r="A234" s="2"/>
      <c r="C234" s="7"/>
    </row>
    <row r="235" spans="1:3" ht="12" customHeight="1" x14ac:dyDescent="0.25">
      <c r="A235" s="2"/>
      <c r="C235" s="7"/>
    </row>
    <row r="236" spans="1:3" ht="12" customHeight="1" x14ac:dyDescent="0.25">
      <c r="A236" s="2"/>
      <c r="C236" s="7"/>
    </row>
    <row r="237" spans="1:3" ht="12" customHeight="1" x14ac:dyDescent="0.25">
      <c r="A237" s="2"/>
      <c r="C237" s="7"/>
    </row>
    <row r="238" spans="1:3" ht="12" customHeight="1" x14ac:dyDescent="0.25">
      <c r="A238" s="2"/>
      <c r="C238" s="7"/>
    </row>
    <row r="239" spans="1:3" ht="12" customHeight="1" x14ac:dyDescent="0.25">
      <c r="A239" s="2"/>
      <c r="C239" s="7"/>
    </row>
    <row r="240" spans="1:3" ht="12" customHeight="1" x14ac:dyDescent="0.25">
      <c r="A240" s="2"/>
      <c r="C240" s="7"/>
    </row>
    <row r="241" spans="1:3" ht="12" customHeight="1" x14ac:dyDescent="0.25">
      <c r="A241" s="2"/>
      <c r="C241" s="7"/>
    </row>
    <row r="242" spans="1:3" ht="12" customHeight="1" x14ac:dyDescent="0.25">
      <c r="A242" s="2"/>
      <c r="C242" s="7"/>
    </row>
    <row r="243" spans="1:3" ht="12" customHeight="1" x14ac:dyDescent="0.25">
      <c r="A243" s="2"/>
      <c r="C243" s="7"/>
    </row>
    <row r="244" spans="1:3" ht="12" customHeight="1" x14ac:dyDescent="0.25">
      <c r="A244" s="2"/>
      <c r="C244" s="7"/>
    </row>
    <row r="245" spans="1:3" ht="12" customHeight="1" x14ac:dyDescent="0.25">
      <c r="A245" s="2"/>
      <c r="C245" s="7"/>
    </row>
    <row r="246" spans="1:3" ht="12" customHeight="1" x14ac:dyDescent="0.25">
      <c r="A246" s="2"/>
      <c r="C246" s="7"/>
    </row>
    <row r="247" spans="1:3" ht="12" customHeight="1" x14ac:dyDescent="0.25">
      <c r="A247" s="2"/>
      <c r="C247" s="7"/>
    </row>
    <row r="248" spans="1:3" ht="12" customHeight="1" x14ac:dyDescent="0.25">
      <c r="A248" s="2"/>
      <c r="C248" s="7"/>
    </row>
    <row r="249" spans="1:3" ht="12" customHeight="1" x14ac:dyDescent="0.25">
      <c r="A249" s="2"/>
      <c r="C249" s="7"/>
    </row>
    <row r="250" spans="1:3" ht="12" customHeight="1" x14ac:dyDescent="0.25">
      <c r="A250" s="2"/>
      <c r="C250" s="7"/>
    </row>
    <row r="251" spans="1:3" ht="12" customHeight="1" x14ac:dyDescent="0.25">
      <c r="A251" s="2"/>
      <c r="C251" s="7"/>
    </row>
    <row r="252" spans="1:3" ht="12" customHeight="1" x14ac:dyDescent="0.25">
      <c r="A252" s="2"/>
      <c r="C252" s="7"/>
    </row>
    <row r="253" spans="1:3" ht="12" customHeight="1" x14ac:dyDescent="0.25">
      <c r="A253" s="2"/>
      <c r="C253" s="7"/>
    </row>
    <row r="254" spans="1:3" ht="12" customHeight="1" x14ac:dyDescent="0.25">
      <c r="A254" s="2"/>
      <c r="C254" s="7"/>
    </row>
    <row r="255" spans="1:3" ht="12" customHeight="1" x14ac:dyDescent="0.25">
      <c r="A255" s="2"/>
      <c r="C255" s="7"/>
    </row>
    <row r="256" spans="1:3" ht="12" customHeight="1" x14ac:dyDescent="0.25">
      <c r="A256" s="2"/>
      <c r="C256" s="7"/>
    </row>
    <row r="257" spans="1:3" ht="12" customHeight="1" x14ac:dyDescent="0.25">
      <c r="A257" s="2"/>
      <c r="C257" s="7"/>
    </row>
    <row r="258" spans="1:3" ht="12" customHeight="1" x14ac:dyDescent="0.25">
      <c r="A258" s="2"/>
      <c r="C258" s="7"/>
    </row>
    <row r="259" spans="1:3" ht="12" customHeight="1" x14ac:dyDescent="0.25">
      <c r="A259" s="2"/>
      <c r="C259" s="7"/>
    </row>
    <row r="260" spans="1:3" ht="12" customHeight="1" x14ac:dyDescent="0.25">
      <c r="A260" s="2"/>
      <c r="C260" s="7"/>
    </row>
    <row r="261" spans="1:3" ht="12" customHeight="1" x14ac:dyDescent="0.25">
      <c r="A261" s="2"/>
      <c r="C261" s="7"/>
    </row>
    <row r="262" spans="1:3" ht="12" customHeight="1" x14ac:dyDescent="0.25">
      <c r="A262" s="2"/>
      <c r="C262" s="7"/>
    </row>
    <row r="263" spans="1:3" ht="12" customHeight="1" x14ac:dyDescent="0.25">
      <c r="A263" s="2"/>
      <c r="C263" s="7"/>
    </row>
    <row r="264" spans="1:3" ht="12" customHeight="1" x14ac:dyDescent="0.25">
      <c r="A264" s="2"/>
      <c r="C264" s="7"/>
    </row>
    <row r="265" spans="1:3" ht="12" customHeight="1" x14ac:dyDescent="0.25">
      <c r="A265" s="2"/>
      <c r="C265" s="7"/>
    </row>
    <row r="266" spans="1:3" ht="12" customHeight="1" x14ac:dyDescent="0.25">
      <c r="A266" s="2"/>
      <c r="C266" s="7"/>
    </row>
    <row r="267" spans="1:3" ht="12" customHeight="1" x14ac:dyDescent="0.25">
      <c r="A267" s="2"/>
      <c r="C267" s="7"/>
    </row>
    <row r="268" spans="1:3" ht="12" customHeight="1" x14ac:dyDescent="0.25">
      <c r="A268" s="2"/>
      <c r="C268" s="7"/>
    </row>
    <row r="269" spans="1:3" ht="12" customHeight="1" x14ac:dyDescent="0.25">
      <c r="A269" s="2"/>
      <c r="C269" s="7"/>
    </row>
    <row r="270" spans="1:3" ht="12" customHeight="1" x14ac:dyDescent="0.25">
      <c r="A270" s="2"/>
      <c r="C270" s="7"/>
    </row>
    <row r="271" spans="1:3" ht="12" customHeight="1" x14ac:dyDescent="0.25">
      <c r="A271" s="2"/>
      <c r="C271" s="7"/>
    </row>
    <row r="272" spans="1:3" ht="12" customHeight="1" x14ac:dyDescent="0.25">
      <c r="A272" s="2"/>
      <c r="C272" s="7"/>
    </row>
    <row r="273" spans="1:3" ht="12" customHeight="1" x14ac:dyDescent="0.25">
      <c r="A273" s="2"/>
      <c r="C273" s="7"/>
    </row>
    <row r="274" spans="1:3" ht="12" customHeight="1" x14ac:dyDescent="0.25">
      <c r="A274" s="2"/>
      <c r="C274" s="7"/>
    </row>
    <row r="275" spans="1:3" ht="12" customHeight="1" x14ac:dyDescent="0.25">
      <c r="A275" s="2"/>
      <c r="C275" s="7"/>
    </row>
    <row r="276" spans="1:3" ht="12" customHeight="1" x14ac:dyDescent="0.25">
      <c r="A276" s="2"/>
      <c r="C276" s="7"/>
    </row>
    <row r="277" spans="1:3" ht="12" customHeight="1" x14ac:dyDescent="0.25">
      <c r="A277" s="2"/>
      <c r="C277" s="7"/>
    </row>
    <row r="278" spans="1:3" ht="12" customHeight="1" x14ac:dyDescent="0.25">
      <c r="A278" s="2"/>
      <c r="C278" s="7"/>
    </row>
    <row r="279" spans="1:3" ht="12" customHeight="1" x14ac:dyDescent="0.25">
      <c r="A279" s="2"/>
      <c r="C279" s="7"/>
    </row>
    <row r="280" spans="1:3" ht="12" customHeight="1" x14ac:dyDescent="0.25">
      <c r="A280" s="2"/>
      <c r="C280" s="7"/>
    </row>
    <row r="281" spans="1:3" ht="12" customHeight="1" x14ac:dyDescent="0.25">
      <c r="A281" s="2"/>
      <c r="C281" s="7"/>
    </row>
    <row r="282" spans="1:3" ht="12" customHeight="1" x14ac:dyDescent="0.25">
      <c r="A282" s="2"/>
      <c r="C282" s="7"/>
    </row>
    <row r="283" spans="1:3" ht="12" customHeight="1" x14ac:dyDescent="0.25">
      <c r="A283" s="2"/>
      <c r="C283" s="7"/>
    </row>
    <row r="284" spans="1:3" ht="12" customHeight="1" x14ac:dyDescent="0.25">
      <c r="A284" s="2"/>
      <c r="C284" s="7"/>
    </row>
    <row r="285" spans="1:3" ht="12" customHeight="1" x14ac:dyDescent="0.25">
      <c r="A285" s="2"/>
      <c r="C285" s="7"/>
    </row>
    <row r="286" spans="1:3" ht="12" customHeight="1" x14ac:dyDescent="0.25">
      <c r="A286" s="2"/>
      <c r="C286" s="7"/>
    </row>
    <row r="287" spans="1:3" ht="12" customHeight="1" x14ac:dyDescent="0.25">
      <c r="A287" s="2"/>
      <c r="C287" s="7"/>
    </row>
    <row r="288" spans="1:3" ht="12" customHeight="1" x14ac:dyDescent="0.25">
      <c r="A288" s="2"/>
      <c r="C288" s="7"/>
    </row>
    <row r="289" spans="1:3" ht="12" customHeight="1" x14ac:dyDescent="0.25">
      <c r="A289" s="2"/>
      <c r="C289" s="7"/>
    </row>
    <row r="290" spans="1:3" ht="12" customHeight="1" x14ac:dyDescent="0.25">
      <c r="A290" s="2"/>
      <c r="C290" s="7"/>
    </row>
    <row r="291" spans="1:3" ht="12" customHeight="1" x14ac:dyDescent="0.25">
      <c r="A291" s="2"/>
      <c r="C291" s="7"/>
    </row>
    <row r="292" spans="1:3" ht="12" customHeight="1" x14ac:dyDescent="0.25">
      <c r="A292" s="2"/>
      <c r="C292" s="7"/>
    </row>
    <row r="293" spans="1:3" ht="12" customHeight="1" x14ac:dyDescent="0.25">
      <c r="A293" s="2"/>
      <c r="C293" s="7"/>
    </row>
    <row r="294" spans="1:3" ht="12" customHeight="1" x14ac:dyDescent="0.25">
      <c r="A294" s="2"/>
      <c r="C294" s="7"/>
    </row>
    <row r="295" spans="1:3" ht="12" customHeight="1" x14ac:dyDescent="0.25">
      <c r="A295" s="2"/>
      <c r="C295" s="7"/>
    </row>
    <row r="296" spans="1:3" ht="12" customHeight="1" x14ac:dyDescent="0.25">
      <c r="A296" s="2"/>
      <c r="C296" s="7"/>
    </row>
    <row r="297" spans="1:3" ht="12" customHeight="1" x14ac:dyDescent="0.25">
      <c r="A297" s="2"/>
      <c r="C297" s="7"/>
    </row>
    <row r="298" spans="1:3" ht="12" customHeight="1" x14ac:dyDescent="0.25">
      <c r="A298" s="2"/>
      <c r="C298" s="7"/>
    </row>
    <row r="299" spans="1:3" ht="12" customHeight="1" x14ac:dyDescent="0.25">
      <c r="A299" s="2"/>
      <c r="C299" s="7"/>
    </row>
    <row r="300" spans="1:3" ht="12" customHeight="1" x14ac:dyDescent="0.25">
      <c r="A300" s="2"/>
      <c r="C300" s="7"/>
    </row>
    <row r="301" spans="1:3" ht="12" customHeight="1" x14ac:dyDescent="0.25">
      <c r="A301" s="2"/>
      <c r="C301" s="7"/>
    </row>
    <row r="302" spans="1:3" ht="12" customHeight="1" x14ac:dyDescent="0.25">
      <c r="A302" s="2"/>
      <c r="C302" s="7"/>
    </row>
    <row r="303" spans="1:3" ht="12" customHeight="1" x14ac:dyDescent="0.25">
      <c r="A303" s="2"/>
      <c r="C303" s="7"/>
    </row>
    <row r="304" spans="1:3" ht="12" customHeight="1" x14ac:dyDescent="0.25">
      <c r="A304" s="2"/>
      <c r="C304" s="7"/>
    </row>
    <row r="305" spans="1:3" ht="12" customHeight="1" x14ac:dyDescent="0.25">
      <c r="A305" s="2"/>
      <c r="C305" s="7"/>
    </row>
    <row r="306" spans="1:3" ht="12" customHeight="1" x14ac:dyDescent="0.25">
      <c r="A306" s="2"/>
      <c r="C306" s="7"/>
    </row>
    <row r="307" spans="1:3" ht="12" customHeight="1" x14ac:dyDescent="0.25">
      <c r="A307" s="2"/>
      <c r="C307" s="7"/>
    </row>
    <row r="308" spans="1:3" ht="12" customHeight="1" x14ac:dyDescent="0.25">
      <c r="A308" s="2"/>
      <c r="C308" s="7"/>
    </row>
    <row r="309" spans="1:3" ht="12" customHeight="1" x14ac:dyDescent="0.25">
      <c r="A309" s="2"/>
      <c r="C309" s="7"/>
    </row>
    <row r="310" spans="1:3" ht="12" customHeight="1" x14ac:dyDescent="0.25">
      <c r="A310" s="2"/>
      <c r="C310" s="7"/>
    </row>
    <row r="311" spans="1:3" ht="12" customHeight="1" x14ac:dyDescent="0.25">
      <c r="A311" s="2"/>
      <c r="C311" s="7"/>
    </row>
    <row r="312" spans="1:3" ht="12" customHeight="1" x14ac:dyDescent="0.25">
      <c r="A312" s="2"/>
      <c r="C312" s="7"/>
    </row>
    <row r="313" spans="1:3" ht="12" customHeight="1" x14ac:dyDescent="0.25">
      <c r="A313" s="2"/>
      <c r="C313" s="7"/>
    </row>
    <row r="314" spans="1:3" ht="12" customHeight="1" x14ac:dyDescent="0.25">
      <c r="A314" s="2"/>
      <c r="C314" s="7"/>
    </row>
    <row r="315" spans="1:3" ht="12" customHeight="1" x14ac:dyDescent="0.25">
      <c r="A315" s="2"/>
      <c r="C315" s="7"/>
    </row>
    <row r="316" spans="1:3" ht="12" customHeight="1" x14ac:dyDescent="0.25">
      <c r="A316" s="2"/>
      <c r="C316" s="7"/>
    </row>
    <row r="334" spans="1:3" ht="12" customHeight="1" x14ac:dyDescent="0.25">
      <c r="A334" s="2"/>
      <c r="C334" s="7"/>
    </row>
    <row r="335" spans="1:3" ht="12" customHeight="1" x14ac:dyDescent="0.25">
      <c r="A335" s="2"/>
      <c r="C335" s="7"/>
    </row>
    <row r="336" spans="1:3" ht="12" customHeight="1" x14ac:dyDescent="0.25">
      <c r="A336" s="2"/>
      <c r="C336" s="7"/>
    </row>
    <row r="337" spans="1:3" ht="12" customHeight="1" x14ac:dyDescent="0.25">
      <c r="A337" s="2"/>
      <c r="C337" s="7"/>
    </row>
    <row r="338" spans="1:3" ht="12" customHeight="1" x14ac:dyDescent="0.25">
      <c r="A338" s="2"/>
      <c r="C338" s="7"/>
    </row>
    <row r="339" spans="1:3" ht="12" customHeight="1" x14ac:dyDescent="0.25">
      <c r="A339" s="2"/>
      <c r="C339" s="7"/>
    </row>
    <row r="340" spans="1:3" ht="12" customHeight="1" x14ac:dyDescent="0.25">
      <c r="A340" s="2"/>
      <c r="C340" s="7"/>
    </row>
    <row r="341" spans="1:3" ht="12" customHeight="1" x14ac:dyDescent="0.25">
      <c r="A341" s="2"/>
      <c r="C341" s="7"/>
    </row>
    <row r="342" spans="1:3" ht="12" customHeight="1" x14ac:dyDescent="0.25">
      <c r="A342" s="2"/>
      <c r="C342" s="7"/>
    </row>
    <row r="343" spans="1:3" ht="12" customHeight="1" x14ac:dyDescent="0.25">
      <c r="A343" s="2"/>
      <c r="C343" s="7"/>
    </row>
    <row r="344" spans="1:3" ht="12" customHeight="1" x14ac:dyDescent="0.25">
      <c r="A344" s="2"/>
      <c r="C344" s="7"/>
    </row>
    <row r="345" spans="1:3" ht="12" customHeight="1" x14ac:dyDescent="0.25">
      <c r="A345" s="2"/>
      <c r="C345" s="7"/>
    </row>
    <row r="346" spans="1:3" ht="12" customHeight="1" x14ac:dyDescent="0.25">
      <c r="A346" s="2"/>
      <c r="C346" s="7"/>
    </row>
    <row r="347" spans="1:3" ht="12" customHeight="1" x14ac:dyDescent="0.25">
      <c r="A347" s="2"/>
      <c r="C347" s="7"/>
    </row>
    <row r="348" spans="1:3" ht="12" customHeight="1" x14ac:dyDescent="0.25">
      <c r="A348" s="2"/>
      <c r="C348" s="7"/>
    </row>
    <row r="349" spans="1:3" ht="12" customHeight="1" x14ac:dyDescent="0.25">
      <c r="A349" s="2"/>
      <c r="C349" s="7"/>
    </row>
    <row r="350" spans="1:3" ht="12" customHeight="1" x14ac:dyDescent="0.25">
      <c r="A350" s="2"/>
      <c r="C350" s="7"/>
    </row>
    <row r="351" spans="1:3" ht="12" customHeight="1" x14ac:dyDescent="0.25">
      <c r="A351" s="2"/>
      <c r="C351" s="7"/>
    </row>
    <row r="352" spans="1:3" ht="12" customHeight="1" x14ac:dyDescent="0.25">
      <c r="A352" s="2"/>
      <c r="C352" s="7"/>
    </row>
    <row r="353" spans="1:3" ht="12" customHeight="1" x14ac:dyDescent="0.25">
      <c r="A353" s="2"/>
      <c r="C353" s="7"/>
    </row>
    <row r="354" spans="1:3" ht="12" customHeight="1" x14ac:dyDescent="0.25">
      <c r="A354" s="2"/>
      <c r="C354" s="7"/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E185-0A0F-4849-958F-63C431D27B13}">
  <sheetPr codeName="Sheet2">
    <tabColor theme="7" tint="-0.499984740745262"/>
  </sheetPr>
  <dimension ref="A1:AI326"/>
  <sheetViews>
    <sheetView workbookViewId="0">
      <pane xSplit="10" ySplit="6" topLeftCell="K7" activePane="bottomRight" state="frozen"/>
      <selection activeCell="H48" sqref="H48"/>
      <selection pane="topRight" activeCell="H48" sqref="H48"/>
      <selection pane="bottomLeft" activeCell="H48" sqref="H48"/>
      <selection pane="bottomRight" activeCell="K7" sqref="K7"/>
    </sheetView>
  </sheetViews>
  <sheetFormatPr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4" max="4" width="9.140625" hidden="1" customWidth="1"/>
    <col min="5" max="5" width="0" hidden="1" customWidth="1"/>
    <col min="10" max="10" width="9.140625" hidden="1" customWidth="1"/>
    <col min="11" max="20" width="11.7109375" customWidth="1"/>
    <col min="21" max="21" width="9.140625" hidden="1" customWidth="1"/>
    <col min="22" max="22" width="11.7109375" customWidth="1"/>
    <col min="23" max="23" width="2.7109375" customWidth="1"/>
    <col min="24" max="32" width="11.7109375" customWidth="1"/>
    <col min="33" max="33" width="12" customWidth="1"/>
    <col min="34" max="34" width="9.140625" hidden="1" customWidth="1"/>
    <col min="35" max="35" width="11.7109375" customWidth="1"/>
  </cols>
  <sheetData>
    <row r="1" spans="1:35" s="261" customFormat="1" ht="24.95" customHeight="1" thickBot="1" x14ac:dyDescent="0.3">
      <c r="A1" s="262"/>
      <c r="B1" s="260"/>
      <c r="C1" s="262"/>
      <c r="D1"/>
      <c r="F1" s="261" t="str">
        <f>AB.zWorkbookTitle</f>
        <v>Camacho et al. (2024) Harms of hazardous prescribing of NSAIDs -- A: No gastroprotection - NSAIDs in people &gt;65 &amp; B: No gastroprotection - NSAIDs in people with ulcer history</v>
      </c>
      <c r="G1" s="276"/>
      <c r="H1" s="271"/>
      <c r="I1" s="271"/>
      <c r="J1" s="271"/>
      <c r="K1" s="271"/>
      <c r="L1" s="271"/>
      <c r="M1" s="271"/>
      <c r="N1" s="271"/>
      <c r="O1" s="271"/>
      <c r="P1" s="271"/>
      <c r="Q1" s="271"/>
      <c r="S1" s="271"/>
      <c r="W1" s="271"/>
      <c r="X1" s="271"/>
      <c r="Y1" s="271"/>
      <c r="Z1" s="271"/>
      <c r="AA1" s="271"/>
      <c r="AB1" s="271"/>
      <c r="AC1" s="271"/>
      <c r="AD1" s="271"/>
      <c r="AF1" s="271"/>
    </row>
    <row r="2" spans="1:35" ht="12" hidden="1" customHeight="1" thickTop="1" x14ac:dyDescent="0.25">
      <c r="A2" s="262"/>
      <c r="C2" s="263"/>
      <c r="I2" s="124" t="s">
        <v>79</v>
      </c>
      <c r="K2">
        <v>1</v>
      </c>
      <c r="L2">
        <f t="shared" ref="L2:T2" si="0">K2+1</f>
        <v>2</v>
      </c>
      <c r="M2">
        <f t="shared" si="0"/>
        <v>3</v>
      </c>
      <c r="N2">
        <f t="shared" si="0"/>
        <v>4</v>
      </c>
      <c r="O2">
        <f t="shared" si="0"/>
        <v>5</v>
      </c>
      <c r="P2">
        <f t="shared" si="0"/>
        <v>6</v>
      </c>
      <c r="Q2">
        <f t="shared" si="0"/>
        <v>7</v>
      </c>
      <c r="R2">
        <f t="shared" si="0"/>
        <v>8</v>
      </c>
      <c r="S2">
        <f t="shared" si="0"/>
        <v>9</v>
      </c>
      <c r="T2">
        <f t="shared" si="0"/>
        <v>10</v>
      </c>
      <c r="X2">
        <v>1</v>
      </c>
      <c r="Y2">
        <f t="shared" ref="Y2:AG2" si="1">X2+1</f>
        <v>2</v>
      </c>
      <c r="Z2">
        <f t="shared" si="1"/>
        <v>3</v>
      </c>
      <c r="AA2">
        <f t="shared" si="1"/>
        <v>4</v>
      </c>
      <c r="AB2">
        <f t="shared" si="1"/>
        <v>5</v>
      </c>
      <c r="AC2">
        <f t="shared" si="1"/>
        <v>6</v>
      </c>
      <c r="AD2">
        <f t="shared" si="1"/>
        <v>7</v>
      </c>
      <c r="AE2">
        <f t="shared" si="1"/>
        <v>8</v>
      </c>
      <c r="AF2">
        <f t="shared" si="1"/>
        <v>9</v>
      </c>
      <c r="AG2">
        <f t="shared" si="1"/>
        <v>10</v>
      </c>
    </row>
    <row r="3" spans="1:35" ht="12" customHeight="1" thickTop="1" thickBot="1" x14ac:dyDescent="0.3">
      <c r="A3" s="262"/>
      <c r="C3" s="263"/>
      <c r="K3" s="91" t="s">
        <v>140</v>
      </c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X3" s="91" t="s">
        <v>141</v>
      </c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</row>
    <row r="4" spans="1:35" ht="12" customHeight="1" thickBot="1" x14ac:dyDescent="0.3">
      <c r="A4" s="262"/>
      <c r="C4" s="263"/>
      <c r="F4" s="456" t="s">
        <v>30</v>
      </c>
      <c r="G4" s="120"/>
      <c r="H4" s="114"/>
      <c r="I4" s="122" t="s">
        <v>83</v>
      </c>
      <c r="K4" s="456" t="str">
        <f t="array" aca="1" ref="K4" ca="1">INDEX(AB.rngStates, K$2)</f>
        <v>Well no HPE</v>
      </c>
      <c r="L4" s="456" t="str">
        <f t="array" aca="1" ref="L4" ca="1">INDEX(AB.rngStates, L$2)</f>
        <v>Well with HPE</v>
      </c>
      <c r="M4" s="456" t="str">
        <f t="array" aca="1" ref="M4" ca="1">INDEX(AB.rngStates, M$2)</f>
        <v>GI discomfort</v>
      </c>
      <c r="N4" s="456" t="str">
        <f t="array" aca="1" ref="N4" ca="1">INDEX(AB.rngStates, N$2)</f>
        <v>Unresolved GI discomfort</v>
      </c>
      <c r="O4" s="456" t="str">
        <f t="array" aca="1" ref="O4" ca="1">INDEX(AB.rngStates, O$2)</f>
        <v>Symptomatic ulcer</v>
      </c>
      <c r="P4" s="456" t="str">
        <f t="array" aca="1" ref="P4" ca="1">INDEX(AB.rngStates, P$2)</f>
        <v>Unresolved ulcer</v>
      </c>
      <c r="Q4" s="456" t="str">
        <f t="array" aca="1" ref="Q4" ca="1">INDEX(AB.rngStates, Q$2)</f>
        <v>Serious GI event</v>
      </c>
      <c r="R4" s="456" t="str">
        <f t="array" aca="1" ref="R4" ca="1">INDEX(AB.rngStates, R$2)</f>
        <v>Unresolved serious GI event</v>
      </c>
      <c r="S4" s="456" t="str">
        <f t="array" aca="1" ref="S4" ca="1">INDEX(AB.rngStates, S$2)</f>
        <v>Post-event</v>
      </c>
      <c r="T4" s="456" t="str">
        <f t="array" aca="1" ref="T4" ca="1">INDEX(AB.rngStates, T$2)</f>
        <v>Dead</v>
      </c>
      <c r="U4" s="456"/>
      <c r="V4" s="456" t="s">
        <v>35</v>
      </c>
      <c r="X4" s="456" t="str">
        <f t="array" aca="1" ref="X4" ca="1">INDEX(AB.rngStates, X$2)</f>
        <v>Well no HPE</v>
      </c>
      <c r="Y4" s="456" t="str">
        <f t="array" aca="1" ref="Y4" ca="1">INDEX(AB.rngStates, Y$2)</f>
        <v>Well with HPE</v>
      </c>
      <c r="Z4" s="456" t="str">
        <f t="array" aca="1" ref="Z4" ca="1">INDEX(AB.rngStates, Z$2)</f>
        <v>GI discomfort</v>
      </c>
      <c r="AA4" s="456" t="str">
        <f t="array" aca="1" ref="AA4" ca="1">INDEX(AB.rngStates, AA$2)</f>
        <v>Unresolved GI discomfort</v>
      </c>
      <c r="AB4" s="456" t="str">
        <f t="array" aca="1" ref="AB4" ca="1">INDEX(AB.rngStates, AB$2)</f>
        <v>Symptomatic ulcer</v>
      </c>
      <c r="AC4" s="456" t="str">
        <f t="array" aca="1" ref="AC4" ca="1">INDEX(AB.rngStates, AC$2)</f>
        <v>Unresolved ulcer</v>
      </c>
      <c r="AD4" s="456" t="str">
        <f t="array" aca="1" ref="AD4" ca="1">INDEX(AB.rngStates, AD$2)</f>
        <v>Serious GI event</v>
      </c>
      <c r="AE4" s="456" t="str">
        <f t="array" aca="1" ref="AE4" ca="1">INDEX(AB.rngStates, AE$2)</f>
        <v>Unresolved serious GI event</v>
      </c>
      <c r="AF4" s="456" t="str">
        <f t="array" aca="1" ref="AF4" ca="1">INDEX(AB.rngStates, AF$2)</f>
        <v>Post-event</v>
      </c>
      <c r="AG4" s="456" t="str">
        <f t="array" aca="1" ref="AG4" ca="1">INDEX(AB.rngStates, AG$2)</f>
        <v>Dead</v>
      </c>
      <c r="AH4" s="456"/>
      <c r="AI4" s="456" t="s">
        <v>35</v>
      </c>
    </row>
    <row r="5" spans="1:35" ht="12" customHeight="1" thickBot="1" x14ac:dyDescent="0.3">
      <c r="A5" s="262"/>
      <c r="C5" s="263"/>
      <c r="F5" s="456"/>
      <c r="G5" s="115"/>
      <c r="H5" s="119"/>
      <c r="I5" s="117"/>
      <c r="K5" s="456"/>
      <c r="L5" s="456"/>
      <c r="M5" s="456"/>
      <c r="N5" s="456"/>
      <c r="O5" s="456"/>
      <c r="P5" s="456"/>
      <c r="Q5" s="456"/>
      <c r="R5" s="456"/>
      <c r="S5" s="456"/>
      <c r="T5" s="456"/>
      <c r="U5" s="456"/>
      <c r="V5" s="456"/>
      <c r="X5" s="456"/>
      <c r="Y5" s="456"/>
      <c r="Z5" s="456"/>
      <c r="AA5" s="456"/>
      <c r="AB5" s="456"/>
      <c r="AC5" s="456"/>
      <c r="AD5" s="456"/>
      <c r="AE5" s="456"/>
      <c r="AF5" s="456"/>
      <c r="AG5" s="456"/>
      <c r="AH5" s="456"/>
      <c r="AI5" s="456"/>
    </row>
    <row r="6" spans="1:35" ht="12" customHeight="1" thickBot="1" x14ac:dyDescent="0.3">
      <c r="A6" s="262"/>
      <c r="C6" s="263"/>
      <c r="F6" s="456"/>
      <c r="G6" s="121" t="s">
        <v>84</v>
      </c>
      <c r="H6" s="113"/>
      <c r="I6" s="118"/>
      <c r="K6" s="456"/>
      <c r="L6" s="456"/>
      <c r="M6" s="456"/>
      <c r="N6" s="456"/>
      <c r="O6" s="456"/>
      <c r="P6" s="456"/>
      <c r="Q6" s="456"/>
      <c r="R6" s="456"/>
      <c r="S6" s="456"/>
      <c r="T6" s="456"/>
      <c r="U6" s="456"/>
      <c r="V6" s="456"/>
      <c r="X6" s="456"/>
      <c r="Y6" s="456"/>
      <c r="Z6" s="456"/>
      <c r="AA6" s="456"/>
      <c r="AB6" s="456"/>
      <c r="AC6" s="456"/>
      <c r="AD6" s="456"/>
      <c r="AE6" s="456"/>
      <c r="AF6" s="456"/>
      <c r="AG6" s="456"/>
      <c r="AH6" s="456"/>
      <c r="AI6" s="456"/>
    </row>
    <row r="7" spans="1:35" ht="12" customHeight="1" thickBot="1" x14ac:dyDescent="0.3">
      <c r="A7" s="262"/>
      <c r="C7" s="263"/>
      <c r="D7">
        <v>1</v>
      </c>
      <c r="E7">
        <v>55</v>
      </c>
      <c r="F7" s="112" t="str">
        <f t="shared" ref="F7:F38" si="2">E7&amp;"-"&amp;E7+4</f>
        <v>55-59</v>
      </c>
      <c r="G7" s="110" t="str">
        <f t="array" aca="1" ref="G7" ca="1">INDEX(AB.rngStates, $D7)</f>
        <v>Well no HPE</v>
      </c>
      <c r="H7" s="112"/>
      <c r="I7" s="110"/>
      <c r="K7" s="280">
        <f>1-SUM(J7:J7, L7:U7)</f>
        <v>0.94684572126410516</v>
      </c>
      <c r="L7" s="279">
        <v>0</v>
      </c>
      <c r="M7" s="279">
        <f>INDEX(AB.rngTP.GIpain, 2)</f>
        <v>5.0857219116200753E-2</v>
      </c>
      <c r="N7" s="279">
        <v>0</v>
      </c>
      <c r="O7" s="279">
        <f>INDEX(AB.rngTP.Ulcer, 2)</f>
        <v>7.8448272883231967E-4</v>
      </c>
      <c r="P7" s="279">
        <v>0</v>
      </c>
      <c r="Q7" s="279">
        <f>INDEX(AB.rngTP.SeriousGI, 2)</f>
        <v>3.0081167198279054E-4</v>
      </c>
      <c r="R7" s="279">
        <v>0</v>
      </c>
      <c r="S7" s="279">
        <v>0</v>
      </c>
      <c r="T7" s="279">
        <f>INDEX(AB.rngPDeath.GenPop, MATCH($E7, Parameters!$D$200:$D$204, 1))</f>
        <v>1.2117652188790018E-3</v>
      </c>
      <c r="U7" s="131"/>
      <c r="V7" s="132">
        <f t="shared" ref="V7:V38" si="3">SUM(K7:T7)</f>
        <v>1</v>
      </c>
      <c r="X7" s="280">
        <f>1-SUM(W7:W7, Y7:AH7)</f>
        <v>0.94684572126410516</v>
      </c>
      <c r="Y7" s="279">
        <v>0</v>
      </c>
      <c r="Z7" s="279">
        <f>INDEX(AB.rngTP.GIpain, 2)</f>
        <v>5.0857219116200753E-2</v>
      </c>
      <c r="AA7" s="279">
        <v>0</v>
      </c>
      <c r="AB7" s="279">
        <f>INDEX(AB.rngTP.Ulcer, 2)</f>
        <v>7.8448272883231967E-4</v>
      </c>
      <c r="AC7" s="279">
        <v>0</v>
      </c>
      <c r="AD7" s="279">
        <f>INDEX(AB.rngTP.SeriousGI, 2)</f>
        <v>3.0081167198279054E-4</v>
      </c>
      <c r="AE7" s="279">
        <v>0</v>
      </c>
      <c r="AF7" s="279">
        <v>0</v>
      </c>
      <c r="AG7" s="279">
        <f>INDEX(AB.rngPDeath.GenPop, MATCH($E7, Parameters!$D$200:$D$204, 1))</f>
        <v>1.2117652188790018E-3</v>
      </c>
      <c r="AH7" s="131"/>
      <c r="AI7" s="132">
        <f t="shared" ref="AI7:AI38" si="4">SUM(X7:AG7)</f>
        <v>1</v>
      </c>
    </row>
    <row r="8" spans="1:35" ht="12" customHeight="1" thickBot="1" x14ac:dyDescent="0.3">
      <c r="A8" s="262"/>
      <c r="C8" s="263"/>
      <c r="D8">
        <f t="shared" ref="D8:D16" si="5">D7+1</f>
        <v>2</v>
      </c>
      <c r="E8">
        <v>55</v>
      </c>
      <c r="F8" s="112" t="str">
        <f t="shared" si="2"/>
        <v>55-59</v>
      </c>
      <c r="G8" s="110" t="str">
        <f t="array" aca="1" ref="G8" ca="1">INDEX(AB.rngStates, $D8)</f>
        <v>Well with HPE</v>
      </c>
      <c r="H8" s="112"/>
      <c r="I8" s="110"/>
      <c r="K8" s="279">
        <v>0</v>
      </c>
      <c r="L8" s="280">
        <f>1-SUM(J8:K8, M8:U8)</f>
        <v>0.84555311285147816</v>
      </c>
      <c r="M8" s="123">
        <f>INDEX(AB.rngTP.GIpain, 1)</f>
        <v>0.14958005622411985</v>
      </c>
      <c r="N8" s="279">
        <v>0</v>
      </c>
      <c r="O8" s="123">
        <f>INDEX(AB.rngTP.Ulcer, 1)</f>
        <v>2.7960836561070623E-3</v>
      </c>
      <c r="P8" s="279">
        <v>0</v>
      </c>
      <c r="Q8" s="123">
        <f>INDEX(AB.rngTP.SeriousGI, 1)</f>
        <v>8.5898204941592393E-4</v>
      </c>
      <c r="R8" s="279">
        <v>0</v>
      </c>
      <c r="S8" s="279">
        <v>0</v>
      </c>
      <c r="T8" s="279">
        <f>INDEX(AB.rngPDeath.GenPop, MATCH($E8, Parameters!$D$200:$D$204, 1))</f>
        <v>1.2117652188790018E-3</v>
      </c>
      <c r="U8" s="131"/>
      <c r="V8" s="132">
        <f t="shared" si="3"/>
        <v>1</v>
      </c>
      <c r="X8" s="280">
        <f>1-SUM(Y8:AG8)</f>
        <v>0.84555311285147816</v>
      </c>
      <c r="Y8" s="280">
        <v>0</v>
      </c>
      <c r="Z8" s="279">
        <f>INDEX(AB.rngTP.GIpain, 1)</f>
        <v>0.14958005622411985</v>
      </c>
      <c r="AA8" s="279">
        <v>0</v>
      </c>
      <c r="AB8" s="279">
        <f>INDEX(AB.rngTP.Ulcer, 1)</f>
        <v>2.7960836561070623E-3</v>
      </c>
      <c r="AC8" s="279">
        <v>0</v>
      </c>
      <c r="AD8" s="279">
        <f>INDEX(AB.rngTP.SeriousGI, 1)</f>
        <v>8.5898204941592393E-4</v>
      </c>
      <c r="AE8" s="279">
        <v>0</v>
      </c>
      <c r="AF8" s="279">
        <v>0</v>
      </c>
      <c r="AG8" s="279">
        <f>INDEX(AB.rngPDeath.GenPop, MATCH($E8, Parameters!$D$200:$D$204, 1))</f>
        <v>1.2117652188790018E-3</v>
      </c>
      <c r="AH8" s="131"/>
      <c r="AI8" s="132">
        <f t="shared" si="4"/>
        <v>1</v>
      </c>
    </row>
    <row r="9" spans="1:35" ht="12" customHeight="1" thickBot="1" x14ac:dyDescent="0.3">
      <c r="A9" s="262"/>
      <c r="C9" s="263"/>
      <c r="D9">
        <f t="shared" si="5"/>
        <v>3</v>
      </c>
      <c r="E9">
        <v>55</v>
      </c>
      <c r="F9" s="112" t="str">
        <f t="shared" si="2"/>
        <v>55-59</v>
      </c>
      <c r="G9" s="110" t="str">
        <f t="array" aca="1" ref="G9" ca="1">INDEX(AB.rngStates, $D9)</f>
        <v>GI discomfort</v>
      </c>
      <c r="H9" s="112"/>
      <c r="I9" s="110"/>
      <c r="K9" s="279">
        <v>0</v>
      </c>
      <c r="L9" s="279">
        <v>0</v>
      </c>
      <c r="M9" s="280">
        <v>0</v>
      </c>
      <c r="N9" s="279">
        <f>AB.TP.unresolved</f>
        <v>0.14615021803151829</v>
      </c>
      <c r="O9" s="279">
        <v>0</v>
      </c>
      <c r="P9" s="279">
        <v>0</v>
      </c>
      <c r="Q9" s="279">
        <v>0</v>
      </c>
      <c r="R9" s="279">
        <v>0</v>
      </c>
      <c r="S9" s="280">
        <f t="shared" ref="S9:S15" si="6">1-SUM(J9:R9, T9:U9)</f>
        <v>0.85263801674960271</v>
      </c>
      <c r="T9" s="279">
        <f>INDEX(AB.rngPDeath.GenPop, MATCH($E9, Parameters!$D$200:$D$204, 1))</f>
        <v>1.2117652188790018E-3</v>
      </c>
      <c r="U9" s="131"/>
      <c r="V9" s="132">
        <f t="shared" si="3"/>
        <v>1</v>
      </c>
      <c r="X9" s="279">
        <v>0</v>
      </c>
      <c r="Y9" s="279">
        <v>0</v>
      </c>
      <c r="Z9" s="280">
        <v>0</v>
      </c>
      <c r="AA9" s="279">
        <f>AB.TP.unresolved</f>
        <v>0.14615021803151829</v>
      </c>
      <c r="AB9" s="279">
        <v>0</v>
      </c>
      <c r="AC9" s="279">
        <v>0</v>
      </c>
      <c r="AD9" s="279">
        <v>0</v>
      </c>
      <c r="AE9" s="279">
        <v>0</v>
      </c>
      <c r="AF9" s="280">
        <f t="shared" ref="AF9:AF15" si="7">1-SUM(W9:AE9, AG9:AH9)</f>
        <v>0.85263801674960271</v>
      </c>
      <c r="AG9" s="279">
        <f>INDEX(AB.rngPDeath.GenPop, MATCH($E9, Parameters!$D$200:$D$204, 1))</f>
        <v>1.2117652188790018E-3</v>
      </c>
      <c r="AH9" s="131"/>
      <c r="AI9" s="132">
        <f t="shared" si="4"/>
        <v>1</v>
      </c>
    </row>
    <row r="10" spans="1:35" ht="12" customHeight="1" thickBot="1" x14ac:dyDescent="0.3">
      <c r="A10" s="262"/>
      <c r="C10" s="263"/>
      <c r="D10">
        <f t="shared" si="5"/>
        <v>4</v>
      </c>
      <c r="E10">
        <v>55</v>
      </c>
      <c r="F10" s="112" t="str">
        <f t="shared" si="2"/>
        <v>55-59</v>
      </c>
      <c r="G10" s="110" t="str">
        <f t="array" aca="1" ref="G10" ca="1">INDEX(AB.rngStates, $D10)</f>
        <v>Unresolved GI discomfort</v>
      </c>
      <c r="H10" s="112"/>
      <c r="I10" s="110"/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80">
        <f t="shared" si="6"/>
        <v>0.998788234781121</v>
      </c>
      <c r="T10" s="279">
        <f>INDEX(AB.rngPDeath.GenPop, MATCH($E10, Parameters!$D$200:$D$204, 1))</f>
        <v>1.2117652188790018E-3</v>
      </c>
      <c r="U10" s="131"/>
      <c r="V10" s="132">
        <f t="shared" si="3"/>
        <v>1</v>
      </c>
      <c r="X10" s="279">
        <v>0</v>
      </c>
      <c r="Y10" s="279">
        <v>0</v>
      </c>
      <c r="Z10" s="279">
        <v>0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80">
        <f t="shared" si="7"/>
        <v>0.998788234781121</v>
      </c>
      <c r="AG10" s="279">
        <f>INDEX(AB.rngPDeath.GenPop, MATCH($E10, Parameters!$D$200:$D$204, 1))</f>
        <v>1.2117652188790018E-3</v>
      </c>
      <c r="AH10" s="131"/>
      <c r="AI10" s="132">
        <f t="shared" si="4"/>
        <v>1</v>
      </c>
    </row>
    <row r="11" spans="1:35" ht="12" customHeight="1" thickBot="1" x14ac:dyDescent="0.3">
      <c r="A11" s="262"/>
      <c r="C11" s="263"/>
      <c r="D11">
        <f t="shared" si="5"/>
        <v>5</v>
      </c>
      <c r="E11">
        <v>55</v>
      </c>
      <c r="F11" s="112" t="str">
        <f t="shared" si="2"/>
        <v>55-59</v>
      </c>
      <c r="G11" s="110" t="str">
        <f t="array" aca="1" ref="G11" ca="1">INDEX(AB.rngStates, $D11)</f>
        <v>Symptomatic ulcer</v>
      </c>
      <c r="H11" s="112"/>
      <c r="I11" s="110"/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f>AB.TP.unresolved</f>
        <v>0.14615021803151829</v>
      </c>
      <c r="Q11" s="279">
        <v>0</v>
      </c>
      <c r="R11" s="279">
        <v>0</v>
      </c>
      <c r="S11" s="280">
        <f t="shared" si="6"/>
        <v>0.84749049261176135</v>
      </c>
      <c r="T11" s="279">
        <f>INDEX(AB.rngPDeath.Ulcer, MATCH($E11, Parameters!$D$200:$D$204, 1))</f>
        <v>6.3592893567203657E-3</v>
      </c>
      <c r="U11" s="131"/>
      <c r="V11" s="132">
        <f t="shared" si="3"/>
        <v>1</v>
      </c>
      <c r="X11" s="279">
        <v>0</v>
      </c>
      <c r="Y11" s="279">
        <v>0</v>
      </c>
      <c r="Z11" s="279">
        <v>0</v>
      </c>
      <c r="AA11" s="279">
        <v>0</v>
      </c>
      <c r="AB11" s="279">
        <v>0</v>
      </c>
      <c r="AC11" s="279">
        <f>AB.TP.unresolved</f>
        <v>0.14615021803151829</v>
      </c>
      <c r="AD11" s="279">
        <v>0</v>
      </c>
      <c r="AE11" s="279">
        <v>0</v>
      </c>
      <c r="AF11" s="280">
        <f t="shared" si="7"/>
        <v>0.84749049261176135</v>
      </c>
      <c r="AG11" s="279">
        <f>INDEX(AB.rngPDeath.Ulcer, MATCH($E11, Parameters!$D$200:$D$204, 1))</f>
        <v>6.3592893567203657E-3</v>
      </c>
      <c r="AH11" s="131"/>
      <c r="AI11" s="132">
        <f t="shared" si="4"/>
        <v>1</v>
      </c>
    </row>
    <row r="12" spans="1:35" ht="12" customHeight="1" thickBot="1" x14ac:dyDescent="0.3">
      <c r="A12" s="262"/>
      <c r="C12" s="263"/>
      <c r="D12">
        <f t="shared" si="5"/>
        <v>6</v>
      </c>
      <c r="E12">
        <v>55</v>
      </c>
      <c r="F12" s="112" t="str">
        <f t="shared" si="2"/>
        <v>55-59</v>
      </c>
      <c r="G12" s="110" t="str">
        <f t="array" aca="1" ref="G12" ca="1">INDEX(AB.rngStates, $D12)</f>
        <v>Unresolved ulcer</v>
      </c>
      <c r="H12" s="112"/>
      <c r="I12" s="110"/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80">
        <v>0</v>
      </c>
      <c r="Q12" s="279">
        <v>0</v>
      </c>
      <c r="R12" s="279">
        <v>0</v>
      </c>
      <c r="S12" s="280">
        <f t="shared" si="6"/>
        <v>0.99364071064327963</v>
      </c>
      <c r="T12" s="279">
        <f>INDEX(AB.rngPDeath.Ulcer, MATCH($E12, Parameters!$D$200:$D$204, 1))</f>
        <v>6.3592893567203657E-3</v>
      </c>
      <c r="U12" s="131"/>
      <c r="V12" s="132">
        <f t="shared" si="3"/>
        <v>1</v>
      </c>
      <c r="X12" s="279">
        <v>0</v>
      </c>
      <c r="Y12" s="279">
        <v>0</v>
      </c>
      <c r="Z12" s="279">
        <v>0</v>
      </c>
      <c r="AA12" s="279">
        <v>0</v>
      </c>
      <c r="AB12" s="279">
        <v>0</v>
      </c>
      <c r="AC12" s="280">
        <v>0</v>
      </c>
      <c r="AD12" s="279">
        <v>0</v>
      </c>
      <c r="AE12" s="279">
        <v>0</v>
      </c>
      <c r="AF12" s="280">
        <f t="shared" si="7"/>
        <v>0.99364071064327963</v>
      </c>
      <c r="AG12" s="279">
        <f>INDEX(AB.rngPDeath.Ulcer, MATCH($E12, Parameters!$D$200:$D$204, 1))</f>
        <v>6.3592893567203657E-3</v>
      </c>
      <c r="AH12" s="131"/>
      <c r="AI12" s="132">
        <f t="shared" si="4"/>
        <v>1</v>
      </c>
    </row>
    <row r="13" spans="1:35" ht="12" customHeight="1" thickBot="1" x14ac:dyDescent="0.3">
      <c r="A13" s="262"/>
      <c r="C13" s="263"/>
      <c r="D13">
        <f t="shared" si="5"/>
        <v>7</v>
      </c>
      <c r="E13">
        <v>55</v>
      </c>
      <c r="F13" s="112" t="str">
        <f t="shared" si="2"/>
        <v>55-59</v>
      </c>
      <c r="G13" s="110" t="str">
        <f t="array" aca="1" ref="G13" ca="1">INDEX(AB.rngStates, $D13)</f>
        <v>Serious GI event</v>
      </c>
      <c r="H13" s="112"/>
      <c r="I13" s="110"/>
      <c r="K13" s="279">
        <v>0</v>
      </c>
      <c r="L13" s="279">
        <v>0</v>
      </c>
      <c r="M13" s="279">
        <v>0</v>
      </c>
      <c r="N13" s="279">
        <v>0</v>
      </c>
      <c r="O13" s="279">
        <v>0</v>
      </c>
      <c r="P13" s="279">
        <v>0</v>
      </c>
      <c r="Q13" s="279">
        <v>0</v>
      </c>
      <c r="R13" s="279">
        <f>AB.TP.unresolved</f>
        <v>0.14615021803151829</v>
      </c>
      <c r="S13" s="280">
        <f t="shared" si="6"/>
        <v>0.8210830200291418</v>
      </c>
      <c r="T13" s="279">
        <f>INDEX(AB.rngPDeath.SeriousGI, MATCH($E13, Parameters!$D$200:$D$204, 1))</f>
        <v>3.2766761939339917E-2</v>
      </c>
      <c r="U13" s="131"/>
      <c r="V13" s="132">
        <f t="shared" si="3"/>
        <v>1</v>
      </c>
      <c r="X13" s="279">
        <v>0</v>
      </c>
      <c r="Y13" s="279">
        <v>0</v>
      </c>
      <c r="Z13" s="279">
        <v>0</v>
      </c>
      <c r="AA13" s="279">
        <v>0</v>
      </c>
      <c r="AB13" s="279">
        <v>0</v>
      </c>
      <c r="AC13" s="279">
        <v>0</v>
      </c>
      <c r="AD13" s="279">
        <v>0</v>
      </c>
      <c r="AE13" s="279">
        <f>AB.TP.unresolved</f>
        <v>0.14615021803151829</v>
      </c>
      <c r="AF13" s="280">
        <f t="shared" si="7"/>
        <v>0.8210830200291418</v>
      </c>
      <c r="AG13" s="279">
        <f>INDEX(AB.rngPDeath.SeriousGI, MATCH($E13, Parameters!$D$200:$D$204, 1))</f>
        <v>3.2766761939339917E-2</v>
      </c>
      <c r="AH13" s="131"/>
      <c r="AI13" s="132">
        <f t="shared" si="4"/>
        <v>1</v>
      </c>
    </row>
    <row r="14" spans="1:35" ht="12" customHeight="1" thickBot="1" x14ac:dyDescent="0.3">
      <c r="A14" s="262"/>
      <c r="C14" s="263"/>
      <c r="D14">
        <f t="shared" si="5"/>
        <v>8</v>
      </c>
      <c r="E14">
        <v>55</v>
      </c>
      <c r="F14" s="112" t="str">
        <f t="shared" si="2"/>
        <v>55-59</v>
      </c>
      <c r="G14" s="110" t="str">
        <f t="array" aca="1" ref="G14" ca="1">INDEX(AB.rngStates, $D14)</f>
        <v>Unresolved serious GI event</v>
      </c>
      <c r="H14" s="112"/>
      <c r="I14" s="110"/>
      <c r="K14" s="279">
        <v>0</v>
      </c>
      <c r="L14" s="279">
        <v>0</v>
      </c>
      <c r="M14" s="279">
        <v>0</v>
      </c>
      <c r="N14" s="279">
        <v>0</v>
      </c>
      <c r="O14" s="279">
        <v>0</v>
      </c>
      <c r="P14" s="279">
        <v>0</v>
      </c>
      <c r="Q14" s="279">
        <v>0</v>
      </c>
      <c r="R14" s="280">
        <v>0</v>
      </c>
      <c r="S14" s="280">
        <f t="shared" si="6"/>
        <v>0.96723323806066008</v>
      </c>
      <c r="T14" s="279">
        <f>INDEX(AB.rngPDeath.SeriousGI, MATCH($E14, Parameters!$D$200:$D$204, 1))</f>
        <v>3.2766761939339917E-2</v>
      </c>
      <c r="U14" s="131"/>
      <c r="V14" s="132">
        <f t="shared" si="3"/>
        <v>1</v>
      </c>
      <c r="X14" s="279">
        <v>0</v>
      </c>
      <c r="Y14" s="279">
        <v>0</v>
      </c>
      <c r="Z14" s="279">
        <v>0</v>
      </c>
      <c r="AA14" s="279">
        <v>0</v>
      </c>
      <c r="AB14" s="279">
        <v>0</v>
      </c>
      <c r="AC14" s="279">
        <v>0</v>
      </c>
      <c r="AD14" s="279">
        <v>0</v>
      </c>
      <c r="AE14" s="280">
        <v>0</v>
      </c>
      <c r="AF14" s="280">
        <f t="shared" si="7"/>
        <v>0.96723323806066008</v>
      </c>
      <c r="AG14" s="279">
        <f>INDEX(AB.rngPDeath.SeriousGI, MATCH($E14, Parameters!$D$200:$D$204, 1))</f>
        <v>3.2766761939339917E-2</v>
      </c>
      <c r="AH14" s="131"/>
      <c r="AI14" s="132">
        <f t="shared" si="4"/>
        <v>1</v>
      </c>
    </row>
    <row r="15" spans="1:35" ht="12" customHeight="1" thickBot="1" x14ac:dyDescent="0.3">
      <c r="A15" s="262"/>
      <c r="C15" s="263"/>
      <c r="D15">
        <f t="shared" si="5"/>
        <v>9</v>
      </c>
      <c r="E15">
        <v>55</v>
      </c>
      <c r="F15" s="112" t="str">
        <f t="shared" si="2"/>
        <v>55-59</v>
      </c>
      <c r="G15" s="110" t="str">
        <f t="array" aca="1" ref="G15" ca="1">INDEX(AB.rngStates, $D15)</f>
        <v>Post-event</v>
      </c>
      <c r="H15" s="112"/>
      <c r="I15" s="110"/>
      <c r="K15" s="279">
        <v>0</v>
      </c>
      <c r="L15" s="279">
        <v>0</v>
      </c>
      <c r="M15" s="279">
        <f>INDEX(AB.rngTP.GIpain, 2)</f>
        <v>5.0857219116200753E-2</v>
      </c>
      <c r="N15" s="279">
        <v>0</v>
      </c>
      <c r="O15" s="279">
        <f>INDEX(AB.rngTP.Ulcer, 2)</f>
        <v>7.8448272883231967E-4</v>
      </c>
      <c r="P15" s="279">
        <v>0</v>
      </c>
      <c r="Q15" s="279">
        <f>INDEX(AB.rngTP.SeriousGI, 2)</f>
        <v>3.0081167198279054E-4</v>
      </c>
      <c r="R15" s="279">
        <v>0</v>
      </c>
      <c r="S15" s="280">
        <f t="shared" si="6"/>
        <v>0.94684572126410516</v>
      </c>
      <c r="T15" s="279">
        <f>INDEX(AB.rngPDeath.GenPop, MATCH($E15, Parameters!$D$200:$D$204, 1))</f>
        <v>1.2117652188790018E-3</v>
      </c>
      <c r="U15" s="131"/>
      <c r="V15" s="132">
        <f t="shared" si="3"/>
        <v>1</v>
      </c>
      <c r="X15" s="279">
        <v>0</v>
      </c>
      <c r="Y15" s="279">
        <v>0</v>
      </c>
      <c r="Z15" s="279">
        <f>INDEX(AB.rngTP.GIpain, 2)</f>
        <v>5.0857219116200753E-2</v>
      </c>
      <c r="AA15" s="279">
        <v>0</v>
      </c>
      <c r="AB15" s="279">
        <f>INDEX(AB.rngTP.Ulcer, 2)</f>
        <v>7.8448272883231967E-4</v>
      </c>
      <c r="AC15" s="279">
        <v>0</v>
      </c>
      <c r="AD15" s="279">
        <f>INDEX(AB.rngTP.SeriousGI, 2)</f>
        <v>3.0081167198279054E-4</v>
      </c>
      <c r="AE15" s="279">
        <v>0</v>
      </c>
      <c r="AF15" s="280">
        <f t="shared" si="7"/>
        <v>0.94684572126410516</v>
      </c>
      <c r="AG15" s="279">
        <f>INDEX(AB.rngPDeath.GenPop, MATCH($E15, Parameters!$D$200:$D$204, 1))</f>
        <v>1.2117652188790018E-3</v>
      </c>
      <c r="AH15" s="131"/>
      <c r="AI15" s="132">
        <f t="shared" si="4"/>
        <v>1</v>
      </c>
    </row>
    <row r="16" spans="1:35" s="188" customFormat="1" ht="12" customHeight="1" thickBot="1" x14ac:dyDescent="0.3">
      <c r="A16" s="262"/>
      <c r="B16" s="260"/>
      <c r="C16" s="263"/>
      <c r="D16" s="188">
        <f t="shared" si="5"/>
        <v>10</v>
      </c>
      <c r="E16" s="188">
        <v>55</v>
      </c>
      <c r="F16" s="112" t="str">
        <f t="shared" si="2"/>
        <v>55-59</v>
      </c>
      <c r="G16" s="110" t="str">
        <f t="array" aca="1" ref="G16" ca="1">INDEX(AB.rngStates, $D16)</f>
        <v>Dead</v>
      </c>
      <c r="H16" s="112"/>
      <c r="I16" s="110"/>
      <c r="K16" s="278">
        <v>0</v>
      </c>
      <c r="L16" s="278">
        <v>0</v>
      </c>
      <c r="M16" s="278">
        <v>0</v>
      </c>
      <c r="N16" s="278">
        <v>0</v>
      </c>
      <c r="O16" s="278">
        <v>0</v>
      </c>
      <c r="P16" s="278">
        <v>0</v>
      </c>
      <c r="Q16" s="278">
        <v>0</v>
      </c>
      <c r="R16" s="278">
        <v>0</v>
      </c>
      <c r="S16" s="278">
        <v>0</v>
      </c>
      <c r="T16" s="277">
        <f>1-SUM(J16:S16, U16:U16)</f>
        <v>1</v>
      </c>
      <c r="U16" s="191"/>
      <c r="V16" s="192">
        <f t="shared" si="3"/>
        <v>1</v>
      </c>
      <c r="X16" s="278">
        <v>0</v>
      </c>
      <c r="Y16" s="278">
        <v>0</v>
      </c>
      <c r="Z16" s="278">
        <v>0</v>
      </c>
      <c r="AA16" s="278">
        <v>0</v>
      </c>
      <c r="AB16" s="278">
        <v>0</v>
      </c>
      <c r="AC16" s="278">
        <v>0</v>
      </c>
      <c r="AD16" s="278">
        <v>0</v>
      </c>
      <c r="AE16" s="278">
        <v>0</v>
      </c>
      <c r="AF16" s="278">
        <v>0</v>
      </c>
      <c r="AG16" s="277">
        <f>1-SUM(W16:AF16, AH16:AH16)</f>
        <v>1</v>
      </c>
      <c r="AH16" s="191"/>
      <c r="AI16" s="192">
        <f t="shared" si="4"/>
        <v>1</v>
      </c>
    </row>
    <row r="17" spans="1:35" s="8" customFormat="1" ht="12" customHeight="1" thickBot="1" x14ac:dyDescent="0.3">
      <c r="A17" s="262"/>
      <c r="B17" s="260"/>
      <c r="C17" s="263"/>
      <c r="D17" s="8">
        <v>1</v>
      </c>
      <c r="E17" s="8">
        <f t="shared" ref="E17:E56" si="8">E7+5</f>
        <v>60</v>
      </c>
      <c r="F17" s="113" t="str">
        <f t="shared" si="2"/>
        <v>60-64</v>
      </c>
      <c r="G17" s="121" t="str">
        <f t="array" aca="1" ref="G17" ca="1">INDEX(AB.rngStates, $D17)</f>
        <v>Well no HPE</v>
      </c>
      <c r="H17" s="113"/>
      <c r="I17" s="121"/>
      <c r="K17" s="280">
        <f>1-SUM(J17:J17, L17:U17)</f>
        <v>0.94617176669088554</v>
      </c>
      <c r="L17" s="279">
        <v>0</v>
      </c>
      <c r="M17" s="279">
        <f>INDEX(AB.rngTP.GIpain, 2)</f>
        <v>5.0857219116200753E-2</v>
      </c>
      <c r="N17" s="279">
        <v>0</v>
      </c>
      <c r="O17" s="279">
        <f>INDEX(AB.rngTP.Ulcer, 2)</f>
        <v>7.8448272883231967E-4</v>
      </c>
      <c r="P17" s="279">
        <v>0</v>
      </c>
      <c r="Q17" s="279">
        <f>INDEX(AB.rngTP.SeriousGI, 2)</f>
        <v>3.0081167198279054E-4</v>
      </c>
      <c r="R17" s="279">
        <v>0</v>
      </c>
      <c r="S17" s="279">
        <v>0</v>
      </c>
      <c r="T17" s="279">
        <f>INDEX(AB.rngPDeath.GenPop, MATCH($E17, Parameters!$D$200:$D$204, 1))</f>
        <v>1.8857197920986168E-3</v>
      </c>
      <c r="U17" s="131"/>
      <c r="V17" s="132">
        <f t="shared" si="3"/>
        <v>1</v>
      </c>
      <c r="W17"/>
      <c r="X17" s="280">
        <f>1-SUM(W17:W17, Y17:AH17)</f>
        <v>0.94617176669088554</v>
      </c>
      <c r="Y17" s="279">
        <v>0</v>
      </c>
      <c r="Z17" s="279">
        <f>INDEX(AB.rngTP.GIpain, 2)</f>
        <v>5.0857219116200753E-2</v>
      </c>
      <c r="AA17" s="279">
        <v>0</v>
      </c>
      <c r="AB17" s="279">
        <f>INDEX(AB.rngTP.Ulcer, 2)</f>
        <v>7.8448272883231967E-4</v>
      </c>
      <c r="AC17" s="279">
        <v>0</v>
      </c>
      <c r="AD17" s="279">
        <f>INDEX(AB.rngTP.SeriousGI, 2)</f>
        <v>3.0081167198279054E-4</v>
      </c>
      <c r="AE17" s="279">
        <v>0</v>
      </c>
      <c r="AF17" s="279">
        <v>0</v>
      </c>
      <c r="AG17" s="279">
        <f>INDEX(AB.rngPDeath.GenPop, MATCH($E17, Parameters!$D$200:$D$204, 1))</f>
        <v>1.8857197920986168E-3</v>
      </c>
      <c r="AH17" s="282"/>
      <c r="AI17" s="281">
        <f t="shared" si="4"/>
        <v>1</v>
      </c>
    </row>
    <row r="18" spans="1:35" ht="12" customHeight="1" thickBot="1" x14ac:dyDescent="0.3">
      <c r="A18" s="262"/>
      <c r="C18" s="263"/>
      <c r="D18">
        <f t="shared" ref="D18:D26" si="9">D17+1</f>
        <v>2</v>
      </c>
      <c r="E18">
        <f t="shared" si="8"/>
        <v>60</v>
      </c>
      <c r="F18" s="112" t="str">
        <f t="shared" si="2"/>
        <v>60-64</v>
      </c>
      <c r="G18" s="110" t="str">
        <f t="array" aca="1" ref="G18" ca="1">INDEX(AB.rngStates, $D18)</f>
        <v>Well with HPE</v>
      </c>
      <c r="H18" s="112"/>
      <c r="I18" s="110"/>
      <c r="K18" s="279">
        <v>0</v>
      </c>
      <c r="L18" s="280">
        <f>1-SUM(J18:K18, M18:U18)</f>
        <v>0.84487915827825855</v>
      </c>
      <c r="M18" s="279">
        <f>INDEX(AB.rngTP.GIpain, 1)</f>
        <v>0.14958005622411985</v>
      </c>
      <c r="N18" s="279">
        <v>0</v>
      </c>
      <c r="O18" s="279">
        <f>INDEX(AB.rngTP.Ulcer, 1)</f>
        <v>2.7960836561070623E-3</v>
      </c>
      <c r="P18" s="279">
        <v>0</v>
      </c>
      <c r="Q18" s="279">
        <f>INDEX(AB.rngTP.SeriousGI, 1)</f>
        <v>8.5898204941592393E-4</v>
      </c>
      <c r="R18" s="279">
        <v>0</v>
      </c>
      <c r="S18" s="279">
        <v>0</v>
      </c>
      <c r="T18" s="279">
        <f>INDEX(AB.rngPDeath.GenPop, MATCH($E18, Parameters!$D$200:$D$204, 1))</f>
        <v>1.8857197920986168E-3</v>
      </c>
      <c r="U18" s="131"/>
      <c r="V18" s="132">
        <f t="shared" si="3"/>
        <v>1</v>
      </c>
      <c r="X18" s="280">
        <f>1-SUM(Y18:AG18)</f>
        <v>0.84487915827825855</v>
      </c>
      <c r="Y18" s="280">
        <v>0</v>
      </c>
      <c r="Z18" s="279">
        <f>INDEX(AB.rngTP.GIpain, 1)</f>
        <v>0.14958005622411985</v>
      </c>
      <c r="AA18" s="279">
        <v>0</v>
      </c>
      <c r="AB18" s="279">
        <f>INDEX(AB.rngTP.Ulcer, 1)</f>
        <v>2.7960836561070623E-3</v>
      </c>
      <c r="AC18" s="279">
        <v>0</v>
      </c>
      <c r="AD18" s="279">
        <f>INDEX(AB.rngTP.SeriousGI, 1)</f>
        <v>8.5898204941592393E-4</v>
      </c>
      <c r="AE18" s="279">
        <v>0</v>
      </c>
      <c r="AF18" s="279">
        <v>0</v>
      </c>
      <c r="AG18" s="279">
        <f>INDEX(AB.rngPDeath.GenPop, MATCH($E18, Parameters!$D$200:$D$204, 1))</f>
        <v>1.8857197920986168E-3</v>
      </c>
      <c r="AH18" s="131"/>
      <c r="AI18" s="132">
        <f t="shared" si="4"/>
        <v>1</v>
      </c>
    </row>
    <row r="19" spans="1:35" ht="12" customHeight="1" thickBot="1" x14ac:dyDescent="0.3">
      <c r="A19" s="262"/>
      <c r="C19" s="263"/>
      <c r="D19">
        <f t="shared" si="9"/>
        <v>3</v>
      </c>
      <c r="E19">
        <f t="shared" si="8"/>
        <v>60</v>
      </c>
      <c r="F19" s="112" t="str">
        <f t="shared" si="2"/>
        <v>60-64</v>
      </c>
      <c r="G19" s="110" t="str">
        <f t="array" aca="1" ref="G19" ca="1">INDEX(AB.rngStates, $D19)</f>
        <v>GI discomfort</v>
      </c>
      <c r="H19" s="112"/>
      <c r="I19" s="110"/>
      <c r="K19" s="279">
        <v>0</v>
      </c>
      <c r="L19" s="279">
        <v>0</v>
      </c>
      <c r="M19" s="280">
        <v>0</v>
      </c>
      <c r="N19" s="279">
        <f>AB.TP.unresolved</f>
        <v>0.14615021803151829</v>
      </c>
      <c r="O19" s="279">
        <v>0</v>
      </c>
      <c r="P19" s="279">
        <v>0</v>
      </c>
      <c r="Q19" s="279">
        <v>0</v>
      </c>
      <c r="R19" s="279">
        <v>0</v>
      </c>
      <c r="S19" s="280">
        <f t="shared" ref="S19:S25" si="10">1-SUM(J19:R19, T19:U19)</f>
        <v>0.8519640621763831</v>
      </c>
      <c r="T19" s="279">
        <f>INDEX(AB.rngPDeath.GenPop, MATCH($E19, Parameters!$D$200:$D$204, 1))</f>
        <v>1.8857197920986168E-3</v>
      </c>
      <c r="U19" s="131"/>
      <c r="V19" s="132">
        <f t="shared" si="3"/>
        <v>1</v>
      </c>
      <c r="X19" s="279">
        <v>0</v>
      </c>
      <c r="Y19" s="279">
        <v>0</v>
      </c>
      <c r="Z19" s="280">
        <v>0</v>
      </c>
      <c r="AA19" s="279">
        <f>AB.TP.unresolved</f>
        <v>0.14615021803151829</v>
      </c>
      <c r="AB19" s="279">
        <v>0</v>
      </c>
      <c r="AC19" s="279">
        <v>0</v>
      </c>
      <c r="AD19" s="279">
        <v>0</v>
      </c>
      <c r="AE19" s="279">
        <v>0</v>
      </c>
      <c r="AF19" s="280">
        <f t="shared" ref="AF19:AF25" si="11">1-SUM(W19:AE19, AG19:AH19)</f>
        <v>0.8519640621763831</v>
      </c>
      <c r="AG19" s="279">
        <f>INDEX(AB.rngPDeath.GenPop, MATCH($E19, Parameters!$D$200:$D$204, 1))</f>
        <v>1.8857197920986168E-3</v>
      </c>
      <c r="AH19" s="131"/>
      <c r="AI19" s="132">
        <f t="shared" si="4"/>
        <v>1</v>
      </c>
    </row>
    <row r="20" spans="1:35" ht="12" customHeight="1" thickBot="1" x14ac:dyDescent="0.3">
      <c r="A20" s="262"/>
      <c r="C20" s="263"/>
      <c r="D20">
        <f t="shared" si="9"/>
        <v>4</v>
      </c>
      <c r="E20">
        <f t="shared" si="8"/>
        <v>60</v>
      </c>
      <c r="F20" s="112" t="str">
        <f t="shared" si="2"/>
        <v>60-64</v>
      </c>
      <c r="G20" s="110" t="str">
        <f t="array" aca="1" ref="G20" ca="1">INDEX(AB.rngStates, $D20)</f>
        <v>Unresolved GI discomfort</v>
      </c>
      <c r="H20" s="112"/>
      <c r="I20" s="110"/>
      <c r="K20" s="279">
        <v>0</v>
      </c>
      <c r="L20" s="279">
        <v>0</v>
      </c>
      <c r="M20" s="279">
        <v>0</v>
      </c>
      <c r="N20" s="279">
        <v>0</v>
      </c>
      <c r="O20" s="279">
        <v>0</v>
      </c>
      <c r="P20" s="279">
        <v>0</v>
      </c>
      <c r="Q20" s="279">
        <v>0</v>
      </c>
      <c r="R20" s="279">
        <v>0</v>
      </c>
      <c r="S20" s="280">
        <f t="shared" si="10"/>
        <v>0.99811428020790138</v>
      </c>
      <c r="T20" s="279">
        <f>INDEX(AB.rngPDeath.GenPop, MATCH($E20, Parameters!$D$200:$D$204, 1))</f>
        <v>1.8857197920986168E-3</v>
      </c>
      <c r="U20" s="131"/>
      <c r="V20" s="132">
        <f t="shared" si="3"/>
        <v>1</v>
      </c>
      <c r="X20" s="279">
        <v>0</v>
      </c>
      <c r="Y20" s="279">
        <v>0</v>
      </c>
      <c r="Z20" s="279">
        <v>0</v>
      </c>
      <c r="AA20" s="279">
        <v>0</v>
      </c>
      <c r="AB20" s="279">
        <v>0</v>
      </c>
      <c r="AC20" s="279">
        <v>0</v>
      </c>
      <c r="AD20" s="279">
        <v>0</v>
      </c>
      <c r="AE20" s="279">
        <v>0</v>
      </c>
      <c r="AF20" s="280">
        <f t="shared" si="11"/>
        <v>0.99811428020790138</v>
      </c>
      <c r="AG20" s="279">
        <f>INDEX(AB.rngPDeath.GenPop, MATCH($E20, Parameters!$D$200:$D$204, 1))</f>
        <v>1.8857197920986168E-3</v>
      </c>
      <c r="AH20" s="131"/>
      <c r="AI20" s="132">
        <f t="shared" si="4"/>
        <v>1</v>
      </c>
    </row>
    <row r="21" spans="1:35" ht="12" customHeight="1" thickBot="1" x14ac:dyDescent="0.3">
      <c r="A21" s="262"/>
      <c r="C21" s="263"/>
      <c r="D21">
        <f t="shared" si="9"/>
        <v>5</v>
      </c>
      <c r="E21">
        <f t="shared" si="8"/>
        <v>60</v>
      </c>
      <c r="F21" s="112" t="str">
        <f t="shared" si="2"/>
        <v>60-64</v>
      </c>
      <c r="G21" s="110" t="str">
        <f t="array" aca="1" ref="G21" ca="1">INDEX(AB.rngStates, $D21)</f>
        <v>Symptomatic ulcer</v>
      </c>
      <c r="H21" s="112"/>
      <c r="I21" s="110"/>
      <c r="K21" s="279">
        <v>0</v>
      </c>
      <c r="L21" s="279">
        <v>0</v>
      </c>
      <c r="M21" s="279">
        <v>0</v>
      </c>
      <c r="N21" s="279">
        <v>0</v>
      </c>
      <c r="O21" s="279">
        <v>0</v>
      </c>
      <c r="P21" s="279">
        <f>AB.TP.unresolved</f>
        <v>0.14615021803151829</v>
      </c>
      <c r="Q21" s="279">
        <v>0</v>
      </c>
      <c r="R21" s="279">
        <v>0</v>
      </c>
      <c r="S21" s="280">
        <f t="shared" si="10"/>
        <v>0.84396780941547023</v>
      </c>
      <c r="T21" s="279">
        <f>INDEX(AB.rngPDeath.Ulcer, MATCH($E21, Parameters!$D$200:$D$204, 1))</f>
        <v>9.8819725530114866E-3</v>
      </c>
      <c r="U21" s="131"/>
      <c r="V21" s="132">
        <f t="shared" si="3"/>
        <v>1</v>
      </c>
      <c r="X21" s="279">
        <v>0</v>
      </c>
      <c r="Y21" s="279">
        <v>0</v>
      </c>
      <c r="Z21" s="279">
        <v>0</v>
      </c>
      <c r="AA21" s="279">
        <v>0</v>
      </c>
      <c r="AB21" s="279">
        <v>0</v>
      </c>
      <c r="AC21" s="279">
        <f>AB.TP.unresolved</f>
        <v>0.14615021803151829</v>
      </c>
      <c r="AD21" s="279">
        <v>0</v>
      </c>
      <c r="AE21" s="279">
        <v>0</v>
      </c>
      <c r="AF21" s="280">
        <f t="shared" si="11"/>
        <v>0.84396780941547023</v>
      </c>
      <c r="AG21" s="279">
        <f>INDEX(AB.rngPDeath.Ulcer, MATCH($E21, Parameters!$D$200:$D$204, 1))</f>
        <v>9.8819725530114866E-3</v>
      </c>
      <c r="AH21" s="131"/>
      <c r="AI21" s="132">
        <f t="shared" si="4"/>
        <v>1</v>
      </c>
    </row>
    <row r="22" spans="1:35" ht="12" customHeight="1" thickBot="1" x14ac:dyDescent="0.3">
      <c r="A22" s="262"/>
      <c r="C22" s="263"/>
      <c r="D22">
        <f t="shared" si="9"/>
        <v>6</v>
      </c>
      <c r="E22">
        <f t="shared" si="8"/>
        <v>60</v>
      </c>
      <c r="F22" s="112" t="str">
        <f t="shared" si="2"/>
        <v>60-64</v>
      </c>
      <c r="G22" s="110" t="str">
        <f t="array" aca="1" ref="G22" ca="1">INDEX(AB.rngStates, $D22)</f>
        <v>Unresolved ulcer</v>
      </c>
      <c r="H22" s="112"/>
      <c r="I22" s="110"/>
      <c r="K22" s="279">
        <v>0</v>
      </c>
      <c r="L22" s="279">
        <v>0</v>
      </c>
      <c r="M22" s="279">
        <v>0</v>
      </c>
      <c r="N22" s="279">
        <v>0</v>
      </c>
      <c r="O22" s="279">
        <v>0</v>
      </c>
      <c r="P22" s="280">
        <v>0</v>
      </c>
      <c r="Q22" s="279">
        <v>0</v>
      </c>
      <c r="R22" s="279">
        <v>0</v>
      </c>
      <c r="S22" s="280">
        <f t="shared" si="10"/>
        <v>0.99011802744698851</v>
      </c>
      <c r="T22" s="279">
        <f>INDEX(AB.rngPDeath.Ulcer, MATCH($E22, Parameters!$D$200:$D$204, 1))</f>
        <v>9.8819725530114866E-3</v>
      </c>
      <c r="U22" s="131"/>
      <c r="V22" s="132">
        <f t="shared" si="3"/>
        <v>1</v>
      </c>
      <c r="X22" s="279">
        <v>0</v>
      </c>
      <c r="Y22" s="279">
        <v>0</v>
      </c>
      <c r="Z22" s="279">
        <v>0</v>
      </c>
      <c r="AA22" s="279">
        <v>0</v>
      </c>
      <c r="AB22" s="279">
        <v>0</v>
      </c>
      <c r="AC22" s="280">
        <v>0</v>
      </c>
      <c r="AD22" s="279">
        <v>0</v>
      </c>
      <c r="AE22" s="279">
        <v>0</v>
      </c>
      <c r="AF22" s="280">
        <f t="shared" si="11"/>
        <v>0.99011802744698851</v>
      </c>
      <c r="AG22" s="279">
        <f>INDEX(AB.rngPDeath.Ulcer, MATCH($E22, Parameters!$D$200:$D$204, 1))</f>
        <v>9.8819725530114866E-3</v>
      </c>
      <c r="AH22" s="131"/>
      <c r="AI22" s="132">
        <f t="shared" si="4"/>
        <v>1</v>
      </c>
    </row>
    <row r="23" spans="1:35" ht="12" customHeight="1" thickBot="1" x14ac:dyDescent="0.3">
      <c r="A23" s="262"/>
      <c r="C23" s="263"/>
      <c r="D23">
        <f t="shared" si="9"/>
        <v>7</v>
      </c>
      <c r="E23">
        <f t="shared" si="8"/>
        <v>60</v>
      </c>
      <c r="F23" s="112" t="str">
        <f t="shared" si="2"/>
        <v>60-64</v>
      </c>
      <c r="G23" s="110" t="str">
        <f t="array" aca="1" ref="G23" ca="1">INDEX(AB.rngStates, $D23)</f>
        <v>Serious GI event</v>
      </c>
      <c r="H23" s="112"/>
      <c r="I23" s="110"/>
      <c r="K23" s="279">
        <v>0</v>
      </c>
      <c r="L23" s="279">
        <v>0</v>
      </c>
      <c r="M23" s="279">
        <v>0</v>
      </c>
      <c r="N23" s="279">
        <v>0</v>
      </c>
      <c r="O23" s="279">
        <v>0</v>
      </c>
      <c r="P23" s="279">
        <v>0</v>
      </c>
      <c r="Q23" s="279">
        <v>0</v>
      </c>
      <c r="R23" s="279">
        <f>AB.TP.unresolved</f>
        <v>0.14615021803151829</v>
      </c>
      <c r="S23" s="280">
        <f t="shared" si="10"/>
        <v>0.80285893774441863</v>
      </c>
      <c r="T23" s="279">
        <f>INDEX(AB.rngPDeath.SeriousGI, MATCH($E23, Parameters!$D$200:$D$204, 1))</f>
        <v>5.099084422406313E-2</v>
      </c>
      <c r="U23" s="131"/>
      <c r="V23" s="132">
        <f t="shared" si="3"/>
        <v>1</v>
      </c>
      <c r="X23" s="279">
        <v>0</v>
      </c>
      <c r="Y23" s="279">
        <v>0</v>
      </c>
      <c r="Z23" s="279">
        <v>0</v>
      </c>
      <c r="AA23" s="279">
        <v>0</v>
      </c>
      <c r="AB23" s="279">
        <v>0</v>
      </c>
      <c r="AC23" s="279">
        <v>0</v>
      </c>
      <c r="AD23" s="279">
        <v>0</v>
      </c>
      <c r="AE23" s="279">
        <f>AB.TP.unresolved</f>
        <v>0.14615021803151829</v>
      </c>
      <c r="AF23" s="280">
        <f t="shared" si="11"/>
        <v>0.80285893774441863</v>
      </c>
      <c r="AG23" s="279">
        <f>INDEX(AB.rngPDeath.SeriousGI, MATCH($E23, Parameters!$D$200:$D$204, 1))</f>
        <v>5.099084422406313E-2</v>
      </c>
      <c r="AH23" s="131"/>
      <c r="AI23" s="132">
        <f t="shared" si="4"/>
        <v>1</v>
      </c>
    </row>
    <row r="24" spans="1:35" ht="12" customHeight="1" thickBot="1" x14ac:dyDescent="0.3">
      <c r="A24" s="262"/>
      <c r="C24" s="263"/>
      <c r="D24">
        <f t="shared" si="9"/>
        <v>8</v>
      </c>
      <c r="E24">
        <f t="shared" si="8"/>
        <v>60</v>
      </c>
      <c r="F24" s="112" t="str">
        <f t="shared" si="2"/>
        <v>60-64</v>
      </c>
      <c r="G24" s="110" t="str">
        <f t="array" aca="1" ref="G24" ca="1">INDEX(AB.rngStates, $D24)</f>
        <v>Unresolved serious GI event</v>
      </c>
      <c r="H24" s="112"/>
      <c r="I24" s="110"/>
      <c r="K24" s="279">
        <v>0</v>
      </c>
      <c r="L24" s="279">
        <v>0</v>
      </c>
      <c r="M24" s="279">
        <v>0</v>
      </c>
      <c r="N24" s="279">
        <v>0</v>
      </c>
      <c r="O24" s="279">
        <v>0</v>
      </c>
      <c r="P24" s="279">
        <v>0</v>
      </c>
      <c r="Q24" s="279">
        <v>0</v>
      </c>
      <c r="R24" s="280">
        <v>0</v>
      </c>
      <c r="S24" s="280">
        <f t="shared" si="10"/>
        <v>0.94900915577593692</v>
      </c>
      <c r="T24" s="279">
        <f>INDEX(AB.rngPDeath.SeriousGI, MATCH($E24, Parameters!$D$200:$D$204, 1))</f>
        <v>5.099084422406313E-2</v>
      </c>
      <c r="U24" s="131"/>
      <c r="V24" s="132">
        <f t="shared" si="3"/>
        <v>1</v>
      </c>
      <c r="X24" s="279">
        <v>0</v>
      </c>
      <c r="Y24" s="279">
        <v>0</v>
      </c>
      <c r="Z24" s="279">
        <v>0</v>
      </c>
      <c r="AA24" s="279">
        <v>0</v>
      </c>
      <c r="AB24" s="279">
        <v>0</v>
      </c>
      <c r="AC24" s="279">
        <v>0</v>
      </c>
      <c r="AD24" s="279">
        <v>0</v>
      </c>
      <c r="AE24" s="280">
        <v>0</v>
      </c>
      <c r="AF24" s="280">
        <f t="shared" si="11"/>
        <v>0.94900915577593692</v>
      </c>
      <c r="AG24" s="279">
        <f>INDEX(AB.rngPDeath.SeriousGI, MATCH($E24, Parameters!$D$200:$D$204, 1))</f>
        <v>5.099084422406313E-2</v>
      </c>
      <c r="AH24" s="131"/>
      <c r="AI24" s="132">
        <f t="shared" si="4"/>
        <v>1</v>
      </c>
    </row>
    <row r="25" spans="1:35" ht="12" customHeight="1" thickBot="1" x14ac:dyDescent="0.3">
      <c r="A25" s="262"/>
      <c r="C25" s="263"/>
      <c r="D25">
        <f t="shared" si="9"/>
        <v>9</v>
      </c>
      <c r="E25">
        <f t="shared" si="8"/>
        <v>60</v>
      </c>
      <c r="F25" s="112" t="str">
        <f t="shared" si="2"/>
        <v>60-64</v>
      </c>
      <c r="G25" s="110" t="str">
        <f t="array" aca="1" ref="G25" ca="1">INDEX(AB.rngStates, $D25)</f>
        <v>Post-event</v>
      </c>
      <c r="H25" s="112"/>
      <c r="I25" s="110"/>
      <c r="K25" s="279">
        <v>0</v>
      </c>
      <c r="L25" s="279">
        <v>0</v>
      </c>
      <c r="M25" s="279">
        <f>INDEX(AB.rngTP.GIpain, 2)</f>
        <v>5.0857219116200753E-2</v>
      </c>
      <c r="N25" s="279">
        <v>0</v>
      </c>
      <c r="O25" s="279">
        <f>INDEX(AB.rngTP.Ulcer, 2)</f>
        <v>7.8448272883231967E-4</v>
      </c>
      <c r="P25" s="279">
        <v>0</v>
      </c>
      <c r="Q25" s="279">
        <f>INDEX(AB.rngTP.SeriousGI, 2)</f>
        <v>3.0081167198279054E-4</v>
      </c>
      <c r="R25" s="279">
        <v>0</v>
      </c>
      <c r="S25" s="280">
        <f t="shared" si="10"/>
        <v>0.94617176669088554</v>
      </c>
      <c r="T25" s="279">
        <f>INDEX(AB.rngPDeath.GenPop, MATCH($E25, Parameters!$D$200:$D$204, 1))</f>
        <v>1.8857197920986168E-3</v>
      </c>
      <c r="U25" s="131"/>
      <c r="V25" s="132">
        <f t="shared" si="3"/>
        <v>1</v>
      </c>
      <c r="X25" s="279">
        <v>0</v>
      </c>
      <c r="Y25" s="279">
        <v>0</v>
      </c>
      <c r="Z25" s="279">
        <f>INDEX(AB.rngTP.GIpain, 2)</f>
        <v>5.0857219116200753E-2</v>
      </c>
      <c r="AA25" s="279">
        <v>0</v>
      </c>
      <c r="AB25" s="279">
        <f>INDEX(AB.rngTP.Ulcer, 2)</f>
        <v>7.8448272883231967E-4</v>
      </c>
      <c r="AC25" s="279">
        <v>0</v>
      </c>
      <c r="AD25" s="279">
        <f>INDEX(AB.rngTP.SeriousGI, 2)</f>
        <v>3.0081167198279054E-4</v>
      </c>
      <c r="AE25" s="279">
        <v>0</v>
      </c>
      <c r="AF25" s="280">
        <f t="shared" si="11"/>
        <v>0.94617176669088554</v>
      </c>
      <c r="AG25" s="279">
        <f>INDEX(AB.rngPDeath.GenPop, MATCH($E25, Parameters!$D$200:$D$204, 1))</f>
        <v>1.8857197920986168E-3</v>
      </c>
      <c r="AH25" s="131"/>
      <c r="AI25" s="132">
        <f t="shared" si="4"/>
        <v>1</v>
      </c>
    </row>
    <row r="26" spans="1:35" s="188" customFormat="1" ht="12" customHeight="1" thickBot="1" x14ac:dyDescent="0.3">
      <c r="A26" s="262"/>
      <c r="B26" s="260"/>
      <c r="C26" s="263"/>
      <c r="D26" s="188">
        <f t="shared" si="9"/>
        <v>10</v>
      </c>
      <c r="E26" s="188">
        <f t="shared" si="8"/>
        <v>60</v>
      </c>
      <c r="F26" s="112" t="str">
        <f t="shared" si="2"/>
        <v>60-64</v>
      </c>
      <c r="G26" s="110" t="str">
        <f t="array" aca="1" ref="G26" ca="1">INDEX(AB.rngStates, $D26)</f>
        <v>Dead</v>
      </c>
      <c r="H26" s="112"/>
      <c r="I26" s="110"/>
      <c r="K26" s="278">
        <v>0</v>
      </c>
      <c r="L26" s="278">
        <v>0</v>
      </c>
      <c r="M26" s="278">
        <v>0</v>
      </c>
      <c r="N26" s="278">
        <v>0</v>
      </c>
      <c r="O26" s="278">
        <v>0</v>
      </c>
      <c r="P26" s="278">
        <v>0</v>
      </c>
      <c r="Q26" s="278">
        <v>0</v>
      </c>
      <c r="R26" s="278">
        <v>0</v>
      </c>
      <c r="S26" s="278">
        <v>0</v>
      </c>
      <c r="T26" s="277">
        <f>1-SUM(J26:S26, U26:U26)</f>
        <v>1</v>
      </c>
      <c r="U26" s="191"/>
      <c r="V26" s="192">
        <f t="shared" si="3"/>
        <v>1</v>
      </c>
      <c r="X26" s="278">
        <v>0</v>
      </c>
      <c r="Y26" s="278">
        <v>0</v>
      </c>
      <c r="Z26" s="278">
        <v>0</v>
      </c>
      <c r="AA26" s="278">
        <v>0</v>
      </c>
      <c r="AB26" s="278">
        <v>0</v>
      </c>
      <c r="AC26" s="278">
        <v>0</v>
      </c>
      <c r="AD26" s="278">
        <v>0</v>
      </c>
      <c r="AE26" s="278">
        <v>0</v>
      </c>
      <c r="AF26" s="278">
        <v>0</v>
      </c>
      <c r="AG26" s="277">
        <f>1-SUM(W26:AF26, AH26:AH26)</f>
        <v>1</v>
      </c>
      <c r="AH26" s="191"/>
      <c r="AI26" s="192">
        <f t="shared" si="4"/>
        <v>1</v>
      </c>
    </row>
    <row r="27" spans="1:35" s="8" customFormat="1" ht="12" customHeight="1" thickBot="1" x14ac:dyDescent="0.3">
      <c r="A27" s="262"/>
      <c r="B27" s="260"/>
      <c r="C27" s="263"/>
      <c r="D27" s="8">
        <v>1</v>
      </c>
      <c r="E27" s="8">
        <f t="shared" si="8"/>
        <v>65</v>
      </c>
      <c r="F27" s="113" t="str">
        <f t="shared" si="2"/>
        <v>65-69</v>
      </c>
      <c r="G27" s="121" t="str">
        <f t="array" aca="1" ref="G27" ca="1">INDEX(AB.rngStates, $D27)</f>
        <v>Well no HPE</v>
      </c>
      <c r="H27" s="113"/>
      <c r="I27" s="121"/>
      <c r="K27" s="280">
        <f>1-SUM(J27:J27, L27:U27)</f>
        <v>0.94506198198635716</v>
      </c>
      <c r="L27" s="279">
        <v>0</v>
      </c>
      <c r="M27" s="279">
        <f>INDEX(AB.rngTP.GIpain, 2)</f>
        <v>5.0857219116200753E-2</v>
      </c>
      <c r="N27" s="279">
        <v>0</v>
      </c>
      <c r="O27" s="279">
        <f>INDEX(AB.rngTP.Ulcer, 2)</f>
        <v>7.8448272883231967E-4</v>
      </c>
      <c r="P27" s="279">
        <v>0</v>
      </c>
      <c r="Q27" s="279">
        <f>INDEX(AB.rngTP.SeriousGI, 2)</f>
        <v>3.0081167198279054E-4</v>
      </c>
      <c r="R27" s="279">
        <v>0</v>
      </c>
      <c r="S27" s="279">
        <v>0</v>
      </c>
      <c r="T27" s="279">
        <f>INDEX(AB.rngPDeath.GenPop, MATCH($E27, Parameters!$D$200:$D$204, 1))</f>
        <v>2.9955044966269995E-3</v>
      </c>
      <c r="U27" s="131"/>
      <c r="V27" s="132">
        <f t="shared" si="3"/>
        <v>1</v>
      </c>
      <c r="W27"/>
      <c r="X27" s="280">
        <f>1-SUM(W27:W27, Y27:AH27)</f>
        <v>0.94506198198635716</v>
      </c>
      <c r="Y27" s="279">
        <v>0</v>
      </c>
      <c r="Z27" s="279">
        <f>INDEX(AB.rngTP.GIpain, 2)</f>
        <v>5.0857219116200753E-2</v>
      </c>
      <c r="AA27" s="279">
        <v>0</v>
      </c>
      <c r="AB27" s="279">
        <f>INDEX(AB.rngTP.Ulcer, 2)</f>
        <v>7.8448272883231967E-4</v>
      </c>
      <c r="AC27" s="279">
        <v>0</v>
      </c>
      <c r="AD27" s="279">
        <f>INDEX(AB.rngTP.SeriousGI, 2)</f>
        <v>3.0081167198279054E-4</v>
      </c>
      <c r="AE27" s="279">
        <v>0</v>
      </c>
      <c r="AF27" s="279">
        <v>0</v>
      </c>
      <c r="AG27" s="279">
        <f>INDEX(AB.rngPDeath.GenPop, MATCH($E27, Parameters!$D$200:$D$204, 1))</f>
        <v>2.9955044966269995E-3</v>
      </c>
      <c r="AH27" s="282"/>
      <c r="AI27" s="281">
        <f t="shared" si="4"/>
        <v>1</v>
      </c>
    </row>
    <row r="28" spans="1:35" ht="12" customHeight="1" thickBot="1" x14ac:dyDescent="0.3">
      <c r="A28" s="262"/>
      <c r="C28" s="263"/>
      <c r="D28">
        <f t="shared" ref="D28:D36" si="12">D27+1</f>
        <v>2</v>
      </c>
      <c r="E28">
        <f t="shared" si="8"/>
        <v>65</v>
      </c>
      <c r="F28" s="112" t="str">
        <f t="shared" si="2"/>
        <v>65-69</v>
      </c>
      <c r="G28" s="110" t="str">
        <f t="array" aca="1" ref="G28" ca="1">INDEX(AB.rngStates, $D28)</f>
        <v>Well with HPE</v>
      </c>
      <c r="H28" s="112"/>
      <c r="I28" s="110"/>
      <c r="K28" s="279">
        <v>0</v>
      </c>
      <c r="L28" s="280">
        <f>1-SUM(J28:K28, M28:U28)</f>
        <v>0.84376937357373016</v>
      </c>
      <c r="M28" s="279">
        <f>INDEX(AB.rngTP.GIpain, 1)</f>
        <v>0.14958005622411985</v>
      </c>
      <c r="N28" s="279">
        <v>0</v>
      </c>
      <c r="O28" s="279">
        <f>INDEX(AB.rngTP.Ulcer, 1)</f>
        <v>2.7960836561070623E-3</v>
      </c>
      <c r="P28" s="279">
        <v>0</v>
      </c>
      <c r="Q28" s="279">
        <f>INDEX(AB.rngTP.SeriousGI, 1)</f>
        <v>8.5898204941592393E-4</v>
      </c>
      <c r="R28" s="279">
        <v>0</v>
      </c>
      <c r="S28" s="279">
        <v>0</v>
      </c>
      <c r="T28" s="279">
        <f>INDEX(AB.rngPDeath.GenPop, MATCH($E28, Parameters!$D$200:$D$204, 1))</f>
        <v>2.9955044966269995E-3</v>
      </c>
      <c r="U28" s="131"/>
      <c r="V28" s="132">
        <f t="shared" si="3"/>
        <v>1</v>
      </c>
      <c r="X28" s="280">
        <f>1-SUM(Y28:AG28)</f>
        <v>0.84376937357373016</v>
      </c>
      <c r="Y28" s="280">
        <v>0</v>
      </c>
      <c r="Z28" s="279">
        <f>INDEX(AB.rngTP.GIpain, 1)</f>
        <v>0.14958005622411985</v>
      </c>
      <c r="AA28" s="279">
        <v>0</v>
      </c>
      <c r="AB28" s="279">
        <f>INDEX(AB.rngTP.Ulcer, 1)</f>
        <v>2.7960836561070623E-3</v>
      </c>
      <c r="AC28" s="279">
        <v>0</v>
      </c>
      <c r="AD28" s="279">
        <f>INDEX(AB.rngTP.SeriousGI, 1)</f>
        <v>8.5898204941592393E-4</v>
      </c>
      <c r="AE28" s="279">
        <v>0</v>
      </c>
      <c r="AF28" s="279">
        <v>0</v>
      </c>
      <c r="AG28" s="279">
        <f>INDEX(AB.rngPDeath.GenPop, MATCH($E28, Parameters!$D$200:$D$204, 1))</f>
        <v>2.9955044966269995E-3</v>
      </c>
      <c r="AH28" s="131"/>
      <c r="AI28" s="132">
        <f t="shared" si="4"/>
        <v>1</v>
      </c>
    </row>
    <row r="29" spans="1:35" ht="12" customHeight="1" thickBot="1" x14ac:dyDescent="0.3">
      <c r="A29" s="262"/>
      <c r="C29" s="263"/>
      <c r="D29">
        <f t="shared" si="12"/>
        <v>3</v>
      </c>
      <c r="E29">
        <f t="shared" si="8"/>
        <v>65</v>
      </c>
      <c r="F29" s="112" t="str">
        <f t="shared" si="2"/>
        <v>65-69</v>
      </c>
      <c r="G29" s="110" t="str">
        <f t="array" aca="1" ref="G29" ca="1">INDEX(AB.rngStates, $D29)</f>
        <v>GI discomfort</v>
      </c>
      <c r="H29" s="112"/>
      <c r="I29" s="110"/>
      <c r="K29" s="279">
        <v>0</v>
      </c>
      <c r="L29" s="279">
        <v>0</v>
      </c>
      <c r="M29" s="280">
        <v>0</v>
      </c>
      <c r="N29" s="279">
        <f>AB.TP.unresolved</f>
        <v>0.14615021803151829</v>
      </c>
      <c r="O29" s="279">
        <v>0</v>
      </c>
      <c r="P29" s="279">
        <v>0</v>
      </c>
      <c r="Q29" s="279">
        <v>0</v>
      </c>
      <c r="R29" s="279">
        <v>0</v>
      </c>
      <c r="S29" s="280">
        <f t="shared" ref="S29:S35" si="13">1-SUM(J29:R29, T29:U29)</f>
        <v>0.85085427747185471</v>
      </c>
      <c r="T29" s="279">
        <f>INDEX(AB.rngPDeath.GenPop, MATCH($E29, Parameters!$D$200:$D$204, 1))</f>
        <v>2.9955044966269995E-3</v>
      </c>
      <c r="U29" s="131"/>
      <c r="V29" s="132">
        <f t="shared" si="3"/>
        <v>1</v>
      </c>
      <c r="X29" s="279">
        <v>0</v>
      </c>
      <c r="Y29" s="279">
        <v>0</v>
      </c>
      <c r="Z29" s="280">
        <v>0</v>
      </c>
      <c r="AA29" s="279">
        <f>AB.TP.unresolved</f>
        <v>0.14615021803151829</v>
      </c>
      <c r="AB29" s="279">
        <v>0</v>
      </c>
      <c r="AC29" s="279">
        <v>0</v>
      </c>
      <c r="AD29" s="279">
        <v>0</v>
      </c>
      <c r="AE29" s="279">
        <v>0</v>
      </c>
      <c r="AF29" s="280">
        <f t="shared" ref="AF29:AF35" si="14">1-SUM(W29:AE29, AG29:AH29)</f>
        <v>0.85085427747185471</v>
      </c>
      <c r="AG29" s="279">
        <f>INDEX(AB.rngPDeath.GenPop, MATCH($E29, Parameters!$D$200:$D$204, 1))</f>
        <v>2.9955044966269995E-3</v>
      </c>
      <c r="AH29" s="131"/>
      <c r="AI29" s="132">
        <f t="shared" si="4"/>
        <v>1</v>
      </c>
    </row>
    <row r="30" spans="1:35" ht="12" customHeight="1" thickBot="1" x14ac:dyDescent="0.3">
      <c r="A30" s="262"/>
      <c r="C30" s="263"/>
      <c r="D30">
        <f t="shared" si="12"/>
        <v>4</v>
      </c>
      <c r="E30">
        <f t="shared" si="8"/>
        <v>65</v>
      </c>
      <c r="F30" s="112" t="str">
        <f t="shared" si="2"/>
        <v>65-69</v>
      </c>
      <c r="G30" s="110" t="str">
        <f t="array" aca="1" ref="G30" ca="1">INDEX(AB.rngStates, $D30)</f>
        <v>Unresolved GI discomfort</v>
      </c>
      <c r="H30" s="112"/>
      <c r="I30" s="110"/>
      <c r="K30" s="279">
        <v>0</v>
      </c>
      <c r="L30" s="279">
        <v>0</v>
      </c>
      <c r="M30" s="279">
        <v>0</v>
      </c>
      <c r="N30" s="279">
        <v>0</v>
      </c>
      <c r="O30" s="279">
        <v>0</v>
      </c>
      <c r="P30" s="279">
        <v>0</v>
      </c>
      <c r="Q30" s="279">
        <v>0</v>
      </c>
      <c r="R30" s="279">
        <v>0</v>
      </c>
      <c r="S30" s="280">
        <f t="shared" si="13"/>
        <v>0.997004495503373</v>
      </c>
      <c r="T30" s="279">
        <f>INDEX(AB.rngPDeath.GenPop, MATCH($E30, Parameters!$D$200:$D$204, 1))</f>
        <v>2.9955044966269995E-3</v>
      </c>
      <c r="U30" s="131"/>
      <c r="V30" s="132">
        <f t="shared" si="3"/>
        <v>1</v>
      </c>
      <c r="X30" s="279">
        <v>0</v>
      </c>
      <c r="Y30" s="279">
        <v>0</v>
      </c>
      <c r="Z30" s="279">
        <v>0</v>
      </c>
      <c r="AA30" s="279">
        <v>0</v>
      </c>
      <c r="AB30" s="279">
        <v>0</v>
      </c>
      <c r="AC30" s="279">
        <v>0</v>
      </c>
      <c r="AD30" s="279">
        <v>0</v>
      </c>
      <c r="AE30" s="279">
        <v>0</v>
      </c>
      <c r="AF30" s="280">
        <f t="shared" si="14"/>
        <v>0.997004495503373</v>
      </c>
      <c r="AG30" s="279">
        <f>INDEX(AB.rngPDeath.GenPop, MATCH($E30, Parameters!$D$200:$D$204, 1))</f>
        <v>2.9955044966269995E-3</v>
      </c>
      <c r="AH30" s="131"/>
      <c r="AI30" s="132">
        <f t="shared" si="4"/>
        <v>1</v>
      </c>
    </row>
    <row r="31" spans="1:35" ht="12" customHeight="1" thickBot="1" x14ac:dyDescent="0.3">
      <c r="A31" s="262"/>
      <c r="C31" s="263"/>
      <c r="D31">
        <f t="shared" si="12"/>
        <v>5</v>
      </c>
      <c r="E31">
        <f t="shared" si="8"/>
        <v>65</v>
      </c>
      <c r="F31" s="112" t="str">
        <f t="shared" si="2"/>
        <v>65-69</v>
      </c>
      <c r="G31" s="110" t="str">
        <f t="array" aca="1" ref="G31" ca="1">INDEX(AB.rngStates, $D31)</f>
        <v>Symptomatic ulcer</v>
      </c>
      <c r="H31" s="112"/>
      <c r="I31" s="110"/>
      <c r="K31" s="279">
        <v>0</v>
      </c>
      <c r="L31" s="279">
        <v>0</v>
      </c>
      <c r="M31" s="279">
        <v>0</v>
      </c>
      <c r="N31" s="279">
        <v>0</v>
      </c>
      <c r="O31" s="279">
        <v>0</v>
      </c>
      <c r="P31" s="279">
        <f>AB.TP.unresolved</f>
        <v>0.14615021803151829</v>
      </c>
      <c r="Q31" s="279">
        <v>0</v>
      </c>
      <c r="R31" s="279">
        <v>0</v>
      </c>
      <c r="S31" s="280">
        <f t="shared" si="13"/>
        <v>0.83818913850136378</v>
      </c>
      <c r="T31" s="279">
        <f>INDEX(AB.rngPDeath.Ulcer, MATCH($E31, Parameters!$D$200:$D$204, 1))</f>
        <v>1.566064346711793E-2</v>
      </c>
      <c r="U31" s="131"/>
      <c r="V31" s="132">
        <f t="shared" si="3"/>
        <v>1</v>
      </c>
      <c r="X31" s="279">
        <v>0</v>
      </c>
      <c r="Y31" s="279">
        <v>0</v>
      </c>
      <c r="Z31" s="279">
        <v>0</v>
      </c>
      <c r="AA31" s="279">
        <v>0</v>
      </c>
      <c r="AB31" s="279">
        <v>0</v>
      </c>
      <c r="AC31" s="279">
        <f>AB.TP.unresolved</f>
        <v>0.14615021803151829</v>
      </c>
      <c r="AD31" s="279">
        <v>0</v>
      </c>
      <c r="AE31" s="279">
        <v>0</v>
      </c>
      <c r="AF31" s="280">
        <f t="shared" si="14"/>
        <v>0.83818913850136378</v>
      </c>
      <c r="AG31" s="279">
        <f>INDEX(AB.rngPDeath.Ulcer, MATCH($E31, Parameters!$D$200:$D$204, 1))</f>
        <v>1.566064346711793E-2</v>
      </c>
      <c r="AH31" s="131"/>
      <c r="AI31" s="132">
        <f t="shared" si="4"/>
        <v>1</v>
      </c>
    </row>
    <row r="32" spans="1:35" ht="12" customHeight="1" thickBot="1" x14ac:dyDescent="0.3">
      <c r="A32" s="262"/>
      <c r="C32" s="263"/>
      <c r="D32">
        <f t="shared" si="12"/>
        <v>6</v>
      </c>
      <c r="E32">
        <f t="shared" si="8"/>
        <v>65</v>
      </c>
      <c r="F32" s="112" t="str">
        <f t="shared" si="2"/>
        <v>65-69</v>
      </c>
      <c r="G32" s="110" t="str">
        <f t="array" aca="1" ref="G32" ca="1">INDEX(AB.rngStates, $D32)</f>
        <v>Unresolved ulcer</v>
      </c>
      <c r="H32" s="112"/>
      <c r="I32" s="110"/>
      <c r="K32" s="279">
        <v>0</v>
      </c>
      <c r="L32" s="279">
        <v>0</v>
      </c>
      <c r="M32" s="279">
        <v>0</v>
      </c>
      <c r="N32" s="279">
        <v>0</v>
      </c>
      <c r="O32" s="279">
        <v>0</v>
      </c>
      <c r="P32" s="280">
        <v>0</v>
      </c>
      <c r="Q32" s="279">
        <v>0</v>
      </c>
      <c r="R32" s="279">
        <v>0</v>
      </c>
      <c r="S32" s="280">
        <f t="shared" si="13"/>
        <v>0.98433935653288207</v>
      </c>
      <c r="T32" s="279">
        <f>INDEX(AB.rngPDeath.Ulcer, MATCH($E32, Parameters!$D$200:$D$204, 1))</f>
        <v>1.566064346711793E-2</v>
      </c>
      <c r="U32" s="131"/>
      <c r="V32" s="132">
        <f t="shared" si="3"/>
        <v>1</v>
      </c>
      <c r="X32" s="279">
        <v>0</v>
      </c>
      <c r="Y32" s="279">
        <v>0</v>
      </c>
      <c r="Z32" s="279">
        <v>0</v>
      </c>
      <c r="AA32" s="279">
        <v>0</v>
      </c>
      <c r="AB32" s="279">
        <v>0</v>
      </c>
      <c r="AC32" s="280">
        <v>0</v>
      </c>
      <c r="AD32" s="279">
        <v>0</v>
      </c>
      <c r="AE32" s="279">
        <v>0</v>
      </c>
      <c r="AF32" s="280">
        <f t="shared" si="14"/>
        <v>0.98433935653288207</v>
      </c>
      <c r="AG32" s="279">
        <f>INDEX(AB.rngPDeath.Ulcer, MATCH($E32, Parameters!$D$200:$D$204, 1))</f>
        <v>1.566064346711793E-2</v>
      </c>
      <c r="AH32" s="131"/>
      <c r="AI32" s="132">
        <f t="shared" si="4"/>
        <v>1</v>
      </c>
    </row>
    <row r="33" spans="1:35" ht="12" customHeight="1" thickBot="1" x14ac:dyDescent="0.3">
      <c r="A33" s="262"/>
      <c r="C33" s="263"/>
      <c r="D33">
        <f t="shared" si="12"/>
        <v>7</v>
      </c>
      <c r="E33">
        <f t="shared" si="8"/>
        <v>65</v>
      </c>
      <c r="F33" s="112" t="str">
        <f t="shared" si="2"/>
        <v>65-69</v>
      </c>
      <c r="G33" s="110" t="str">
        <f t="array" aca="1" ref="G33" ca="1">INDEX(AB.rngStates, $D33)</f>
        <v>Serious GI event</v>
      </c>
      <c r="H33" s="112"/>
      <c r="I33" s="110"/>
      <c r="K33" s="279">
        <v>0</v>
      </c>
      <c r="L33" s="279">
        <v>0</v>
      </c>
      <c r="M33" s="279">
        <v>0</v>
      </c>
      <c r="N33" s="279">
        <v>0</v>
      </c>
      <c r="O33" s="279">
        <v>0</v>
      </c>
      <c r="P33" s="279">
        <v>0</v>
      </c>
      <c r="Q33" s="279">
        <v>0</v>
      </c>
      <c r="R33" s="279">
        <f>AB.TP.unresolved</f>
        <v>0.14615021803151829</v>
      </c>
      <c r="S33" s="280">
        <f t="shared" si="13"/>
        <v>0.77284978196848164</v>
      </c>
      <c r="T33" s="279">
        <f>INDEX(AB.rngPDeath.SeriousGI, MATCH($E33, Parameters!$D$200:$D$204, 1))</f>
        <v>8.1000000000000003E-2</v>
      </c>
      <c r="U33" s="131"/>
      <c r="V33" s="132">
        <f t="shared" si="3"/>
        <v>0.99999999999999989</v>
      </c>
      <c r="X33" s="279">
        <v>0</v>
      </c>
      <c r="Y33" s="279">
        <v>0</v>
      </c>
      <c r="Z33" s="279">
        <v>0</v>
      </c>
      <c r="AA33" s="279">
        <v>0</v>
      </c>
      <c r="AB33" s="279">
        <v>0</v>
      </c>
      <c r="AC33" s="279">
        <v>0</v>
      </c>
      <c r="AD33" s="279">
        <v>0</v>
      </c>
      <c r="AE33" s="279">
        <f>AB.TP.unresolved</f>
        <v>0.14615021803151829</v>
      </c>
      <c r="AF33" s="280">
        <f t="shared" si="14"/>
        <v>0.77284978196848164</v>
      </c>
      <c r="AG33" s="279">
        <f>INDEX(AB.rngPDeath.SeriousGI, MATCH($E33, Parameters!$D$200:$D$204, 1))</f>
        <v>8.1000000000000003E-2</v>
      </c>
      <c r="AH33" s="131"/>
      <c r="AI33" s="132">
        <f t="shared" si="4"/>
        <v>0.99999999999999989</v>
      </c>
    </row>
    <row r="34" spans="1:35" ht="12" customHeight="1" thickBot="1" x14ac:dyDescent="0.3">
      <c r="A34" s="262"/>
      <c r="C34" s="263"/>
      <c r="D34">
        <f t="shared" si="12"/>
        <v>8</v>
      </c>
      <c r="E34">
        <f t="shared" si="8"/>
        <v>65</v>
      </c>
      <c r="F34" s="112" t="str">
        <f t="shared" si="2"/>
        <v>65-69</v>
      </c>
      <c r="G34" s="110" t="str">
        <f t="array" aca="1" ref="G34" ca="1">INDEX(AB.rngStates, $D34)</f>
        <v>Unresolved serious GI event</v>
      </c>
      <c r="H34" s="112"/>
      <c r="I34" s="110"/>
      <c r="K34" s="279">
        <v>0</v>
      </c>
      <c r="L34" s="279">
        <v>0</v>
      </c>
      <c r="M34" s="279">
        <v>0</v>
      </c>
      <c r="N34" s="279">
        <v>0</v>
      </c>
      <c r="O34" s="279">
        <v>0</v>
      </c>
      <c r="P34" s="279">
        <v>0</v>
      </c>
      <c r="Q34" s="279">
        <v>0</v>
      </c>
      <c r="R34" s="280">
        <v>0</v>
      </c>
      <c r="S34" s="280">
        <f t="shared" si="13"/>
        <v>0.91900000000000004</v>
      </c>
      <c r="T34" s="279">
        <f>INDEX(AB.rngPDeath.SeriousGI, MATCH($E34, Parameters!$D$200:$D$204, 1))</f>
        <v>8.1000000000000003E-2</v>
      </c>
      <c r="U34" s="131"/>
      <c r="V34" s="132">
        <f t="shared" si="3"/>
        <v>1</v>
      </c>
      <c r="X34" s="279">
        <v>0</v>
      </c>
      <c r="Y34" s="279">
        <v>0</v>
      </c>
      <c r="Z34" s="279">
        <v>0</v>
      </c>
      <c r="AA34" s="279">
        <v>0</v>
      </c>
      <c r="AB34" s="279">
        <v>0</v>
      </c>
      <c r="AC34" s="279">
        <v>0</v>
      </c>
      <c r="AD34" s="279">
        <v>0</v>
      </c>
      <c r="AE34" s="280">
        <v>0</v>
      </c>
      <c r="AF34" s="280">
        <f t="shared" si="14"/>
        <v>0.91900000000000004</v>
      </c>
      <c r="AG34" s="279">
        <f>INDEX(AB.rngPDeath.SeriousGI, MATCH($E34, Parameters!$D$200:$D$204, 1))</f>
        <v>8.1000000000000003E-2</v>
      </c>
      <c r="AH34" s="131"/>
      <c r="AI34" s="132">
        <f t="shared" si="4"/>
        <v>1</v>
      </c>
    </row>
    <row r="35" spans="1:35" ht="12" customHeight="1" thickBot="1" x14ac:dyDescent="0.3">
      <c r="A35" s="262"/>
      <c r="C35" s="263"/>
      <c r="D35">
        <f t="shared" si="12"/>
        <v>9</v>
      </c>
      <c r="E35">
        <f t="shared" si="8"/>
        <v>65</v>
      </c>
      <c r="F35" s="112" t="str">
        <f t="shared" si="2"/>
        <v>65-69</v>
      </c>
      <c r="G35" s="110" t="str">
        <f t="array" aca="1" ref="G35" ca="1">INDEX(AB.rngStates, $D35)</f>
        <v>Post-event</v>
      </c>
      <c r="H35" s="112"/>
      <c r="I35" s="110"/>
      <c r="K35" s="279">
        <v>0</v>
      </c>
      <c r="L35" s="279">
        <v>0</v>
      </c>
      <c r="M35" s="279">
        <f>INDEX(AB.rngTP.GIpain, 2)</f>
        <v>5.0857219116200753E-2</v>
      </c>
      <c r="N35" s="279">
        <v>0</v>
      </c>
      <c r="O35" s="279">
        <f>INDEX(AB.rngTP.Ulcer, 2)</f>
        <v>7.8448272883231967E-4</v>
      </c>
      <c r="P35" s="279">
        <v>0</v>
      </c>
      <c r="Q35" s="279">
        <f>INDEX(AB.rngTP.SeriousGI, 2)</f>
        <v>3.0081167198279054E-4</v>
      </c>
      <c r="R35" s="279">
        <v>0</v>
      </c>
      <c r="S35" s="280">
        <f t="shared" si="13"/>
        <v>0.94506198198635716</v>
      </c>
      <c r="T35" s="279">
        <f>INDEX(AB.rngPDeath.GenPop, MATCH($E35, Parameters!$D$200:$D$204, 1))</f>
        <v>2.9955044966269995E-3</v>
      </c>
      <c r="U35" s="131"/>
      <c r="V35" s="132">
        <f t="shared" si="3"/>
        <v>1</v>
      </c>
      <c r="X35" s="279">
        <v>0</v>
      </c>
      <c r="Y35" s="279">
        <v>0</v>
      </c>
      <c r="Z35" s="279">
        <f>INDEX(AB.rngTP.GIpain, 2)</f>
        <v>5.0857219116200753E-2</v>
      </c>
      <c r="AA35" s="279">
        <v>0</v>
      </c>
      <c r="AB35" s="279">
        <f>INDEX(AB.rngTP.Ulcer, 2)</f>
        <v>7.8448272883231967E-4</v>
      </c>
      <c r="AC35" s="279">
        <v>0</v>
      </c>
      <c r="AD35" s="279">
        <f>INDEX(AB.rngTP.SeriousGI, 2)</f>
        <v>3.0081167198279054E-4</v>
      </c>
      <c r="AE35" s="279">
        <v>0</v>
      </c>
      <c r="AF35" s="280">
        <f t="shared" si="14"/>
        <v>0.94506198198635716</v>
      </c>
      <c r="AG35" s="279">
        <f>INDEX(AB.rngPDeath.GenPop, MATCH($E35, Parameters!$D$200:$D$204, 1))</f>
        <v>2.9955044966269995E-3</v>
      </c>
      <c r="AH35" s="131"/>
      <c r="AI35" s="132">
        <f t="shared" si="4"/>
        <v>1</v>
      </c>
    </row>
    <row r="36" spans="1:35" s="188" customFormat="1" ht="12" customHeight="1" thickBot="1" x14ac:dyDescent="0.3">
      <c r="A36" s="262"/>
      <c r="B36" s="260"/>
      <c r="C36" s="263"/>
      <c r="D36" s="188">
        <f t="shared" si="12"/>
        <v>10</v>
      </c>
      <c r="E36" s="188">
        <f t="shared" si="8"/>
        <v>65</v>
      </c>
      <c r="F36" s="112" t="str">
        <f t="shared" si="2"/>
        <v>65-69</v>
      </c>
      <c r="G36" s="110" t="str">
        <f t="array" aca="1" ref="G36" ca="1">INDEX(AB.rngStates, $D36)</f>
        <v>Dead</v>
      </c>
      <c r="H36" s="112"/>
      <c r="I36" s="110"/>
      <c r="K36" s="278">
        <v>0</v>
      </c>
      <c r="L36" s="278">
        <v>0</v>
      </c>
      <c r="M36" s="278">
        <v>0</v>
      </c>
      <c r="N36" s="278">
        <v>0</v>
      </c>
      <c r="O36" s="278">
        <v>0</v>
      </c>
      <c r="P36" s="278">
        <v>0</v>
      </c>
      <c r="Q36" s="278">
        <v>0</v>
      </c>
      <c r="R36" s="278">
        <v>0</v>
      </c>
      <c r="S36" s="278">
        <v>0</v>
      </c>
      <c r="T36" s="277">
        <f>1-SUM(J36:S36, U36:U36)</f>
        <v>1</v>
      </c>
      <c r="U36" s="191"/>
      <c r="V36" s="192">
        <f t="shared" si="3"/>
        <v>1</v>
      </c>
      <c r="X36" s="278">
        <v>0</v>
      </c>
      <c r="Y36" s="278">
        <v>0</v>
      </c>
      <c r="Z36" s="278">
        <v>0</v>
      </c>
      <c r="AA36" s="278">
        <v>0</v>
      </c>
      <c r="AB36" s="278">
        <v>0</v>
      </c>
      <c r="AC36" s="278">
        <v>0</v>
      </c>
      <c r="AD36" s="278">
        <v>0</v>
      </c>
      <c r="AE36" s="278">
        <v>0</v>
      </c>
      <c r="AF36" s="278">
        <v>0</v>
      </c>
      <c r="AG36" s="277">
        <f>1-SUM(W36:AF36, AH36:AH36)</f>
        <v>1</v>
      </c>
      <c r="AH36" s="191"/>
      <c r="AI36" s="192">
        <f t="shared" si="4"/>
        <v>1</v>
      </c>
    </row>
    <row r="37" spans="1:35" s="8" customFormat="1" ht="12" customHeight="1" thickBot="1" x14ac:dyDescent="0.3">
      <c r="A37" s="262"/>
      <c r="B37" s="260"/>
      <c r="C37" s="263"/>
      <c r="D37" s="8">
        <v>1</v>
      </c>
      <c r="E37" s="8">
        <f t="shared" si="8"/>
        <v>70</v>
      </c>
      <c r="F37" s="113" t="str">
        <f t="shared" si="2"/>
        <v>70-74</v>
      </c>
      <c r="G37" s="121" t="str">
        <f t="array" aca="1" ref="G37" ca="1">INDEX(AB.rngStates, $D37)</f>
        <v>Well no HPE</v>
      </c>
      <c r="H37" s="113"/>
      <c r="I37" s="121"/>
      <c r="K37" s="280">
        <f>1-SUM(J37:J37, L37:U37)</f>
        <v>0.94336851419946377</v>
      </c>
      <c r="L37" s="279">
        <v>0</v>
      </c>
      <c r="M37" s="279">
        <f>INDEX(AB.rngTP.GIpain, 2)</f>
        <v>5.0857219116200753E-2</v>
      </c>
      <c r="N37" s="279">
        <v>0</v>
      </c>
      <c r="O37" s="279">
        <f>INDEX(AB.rngTP.Ulcer, 2)</f>
        <v>7.8448272883231967E-4</v>
      </c>
      <c r="P37" s="279">
        <v>0</v>
      </c>
      <c r="Q37" s="279">
        <f>INDEX(AB.rngTP.SeriousGI, 2)</f>
        <v>3.0081167198279054E-4</v>
      </c>
      <c r="R37" s="279">
        <v>0</v>
      </c>
      <c r="S37" s="279">
        <v>0</v>
      </c>
      <c r="T37" s="279">
        <f>INDEX(AB.rngPDeath.GenPop, MATCH($E37, Parameters!$D$200:$D$204, 1))</f>
        <v>4.6889722835203873E-3</v>
      </c>
      <c r="U37" s="131"/>
      <c r="V37" s="132">
        <f t="shared" si="3"/>
        <v>1</v>
      </c>
      <c r="W37"/>
      <c r="X37" s="280">
        <f>1-SUM(W37:W37, Y37:AH37)</f>
        <v>0.94336851419946377</v>
      </c>
      <c r="Y37" s="279">
        <v>0</v>
      </c>
      <c r="Z37" s="279">
        <f>INDEX(AB.rngTP.GIpain, 2)</f>
        <v>5.0857219116200753E-2</v>
      </c>
      <c r="AA37" s="279">
        <v>0</v>
      </c>
      <c r="AB37" s="279">
        <f>INDEX(AB.rngTP.Ulcer, 2)</f>
        <v>7.8448272883231967E-4</v>
      </c>
      <c r="AC37" s="279">
        <v>0</v>
      </c>
      <c r="AD37" s="279">
        <f>INDEX(AB.rngTP.SeriousGI, 2)</f>
        <v>3.0081167198279054E-4</v>
      </c>
      <c r="AE37" s="279">
        <v>0</v>
      </c>
      <c r="AF37" s="279">
        <v>0</v>
      </c>
      <c r="AG37" s="279">
        <f>INDEX(AB.rngPDeath.GenPop, MATCH($E37, Parameters!$D$200:$D$204, 1))</f>
        <v>4.6889722835203873E-3</v>
      </c>
      <c r="AH37" s="282"/>
      <c r="AI37" s="281">
        <f t="shared" si="4"/>
        <v>1</v>
      </c>
    </row>
    <row r="38" spans="1:35" ht="12" customHeight="1" thickBot="1" x14ac:dyDescent="0.3">
      <c r="A38" s="262"/>
      <c r="C38" s="263"/>
      <c r="D38">
        <f t="shared" ref="D38:D46" si="15">D37+1</f>
        <v>2</v>
      </c>
      <c r="E38">
        <f t="shared" si="8"/>
        <v>70</v>
      </c>
      <c r="F38" s="112" t="str">
        <f t="shared" si="2"/>
        <v>70-74</v>
      </c>
      <c r="G38" s="110" t="str">
        <f t="array" aca="1" ref="G38" ca="1">INDEX(AB.rngStates, $D38)</f>
        <v>Well with HPE</v>
      </c>
      <c r="H38" s="112"/>
      <c r="I38" s="110"/>
      <c r="K38" s="279">
        <v>0</v>
      </c>
      <c r="L38" s="280">
        <f>1-SUM(J38:K38, M38:U38)</f>
        <v>0.84207590578683678</v>
      </c>
      <c r="M38" s="279">
        <f>INDEX(AB.rngTP.GIpain, 1)</f>
        <v>0.14958005622411985</v>
      </c>
      <c r="N38" s="279">
        <v>0</v>
      </c>
      <c r="O38" s="279">
        <f>INDEX(AB.rngTP.Ulcer, 1)</f>
        <v>2.7960836561070623E-3</v>
      </c>
      <c r="P38" s="279">
        <v>0</v>
      </c>
      <c r="Q38" s="279">
        <f>INDEX(AB.rngTP.SeriousGI, 1)</f>
        <v>8.5898204941592393E-4</v>
      </c>
      <c r="R38" s="279">
        <v>0</v>
      </c>
      <c r="S38" s="279">
        <v>0</v>
      </c>
      <c r="T38" s="279">
        <f>INDEX(AB.rngPDeath.GenPop, MATCH($E38, Parameters!$D$200:$D$204, 1))</f>
        <v>4.6889722835203873E-3</v>
      </c>
      <c r="U38" s="131"/>
      <c r="V38" s="132">
        <f t="shared" si="3"/>
        <v>1</v>
      </c>
      <c r="X38" s="280">
        <f>1-SUM(Y38:AG38)</f>
        <v>0.84207590578683678</v>
      </c>
      <c r="Y38" s="280">
        <v>0</v>
      </c>
      <c r="Z38" s="279">
        <f>INDEX(AB.rngTP.GIpain, 1)</f>
        <v>0.14958005622411985</v>
      </c>
      <c r="AA38" s="279">
        <v>0</v>
      </c>
      <c r="AB38" s="279">
        <f>INDEX(AB.rngTP.Ulcer, 1)</f>
        <v>2.7960836561070623E-3</v>
      </c>
      <c r="AC38" s="279">
        <v>0</v>
      </c>
      <c r="AD38" s="279">
        <f>INDEX(AB.rngTP.SeriousGI, 1)</f>
        <v>8.5898204941592393E-4</v>
      </c>
      <c r="AE38" s="279">
        <v>0</v>
      </c>
      <c r="AF38" s="279">
        <v>0</v>
      </c>
      <c r="AG38" s="279">
        <f>INDEX(AB.rngPDeath.GenPop, MATCH($E38, Parameters!$D$200:$D$204, 1))</f>
        <v>4.6889722835203873E-3</v>
      </c>
      <c r="AH38" s="131"/>
      <c r="AI38" s="132">
        <f t="shared" si="4"/>
        <v>1</v>
      </c>
    </row>
    <row r="39" spans="1:35" ht="12" customHeight="1" thickBot="1" x14ac:dyDescent="0.3">
      <c r="A39" s="262"/>
      <c r="C39" s="263"/>
      <c r="D39">
        <f t="shared" si="15"/>
        <v>3</v>
      </c>
      <c r="E39">
        <f t="shared" si="8"/>
        <v>70</v>
      </c>
      <c r="F39" s="112" t="str">
        <f t="shared" ref="F39:F56" si="16">E39&amp;"-"&amp;E39+4</f>
        <v>70-74</v>
      </c>
      <c r="G39" s="110" t="str">
        <f t="array" aca="1" ref="G39" ca="1">INDEX(AB.rngStates, $D39)</f>
        <v>GI discomfort</v>
      </c>
      <c r="H39" s="112"/>
      <c r="I39" s="110"/>
      <c r="K39" s="279">
        <v>0</v>
      </c>
      <c r="L39" s="279">
        <v>0</v>
      </c>
      <c r="M39" s="280">
        <v>0</v>
      </c>
      <c r="N39" s="279">
        <f>AB.TP.unresolved</f>
        <v>0.14615021803151829</v>
      </c>
      <c r="O39" s="279">
        <v>0</v>
      </c>
      <c r="P39" s="279">
        <v>0</v>
      </c>
      <c r="Q39" s="279">
        <v>0</v>
      </c>
      <c r="R39" s="279">
        <v>0</v>
      </c>
      <c r="S39" s="280">
        <f t="shared" ref="S39:S45" si="17">1-SUM(J39:R39, T39:U39)</f>
        <v>0.84916080968496133</v>
      </c>
      <c r="T39" s="279">
        <f>INDEX(AB.rngPDeath.GenPop, MATCH($E39, Parameters!$D$200:$D$204, 1))</f>
        <v>4.6889722835203873E-3</v>
      </c>
      <c r="U39" s="131"/>
      <c r="V39" s="132">
        <f t="shared" ref="V39:V56" si="18">SUM(K39:T39)</f>
        <v>1</v>
      </c>
      <c r="X39" s="279">
        <v>0</v>
      </c>
      <c r="Y39" s="279">
        <v>0</v>
      </c>
      <c r="Z39" s="280">
        <v>0</v>
      </c>
      <c r="AA39" s="279">
        <f>AB.TP.unresolved</f>
        <v>0.14615021803151829</v>
      </c>
      <c r="AB39" s="279">
        <v>0</v>
      </c>
      <c r="AC39" s="279">
        <v>0</v>
      </c>
      <c r="AD39" s="279">
        <v>0</v>
      </c>
      <c r="AE39" s="279">
        <v>0</v>
      </c>
      <c r="AF39" s="280">
        <f t="shared" ref="AF39:AF45" si="19">1-SUM(W39:AE39, AG39:AH39)</f>
        <v>0.84916080968496133</v>
      </c>
      <c r="AG39" s="279">
        <f>INDEX(AB.rngPDeath.GenPop, MATCH($E39, Parameters!$D$200:$D$204, 1))</f>
        <v>4.6889722835203873E-3</v>
      </c>
      <c r="AH39" s="131"/>
      <c r="AI39" s="132">
        <f t="shared" ref="AI39:AI56" si="20">SUM(X39:AG39)</f>
        <v>1</v>
      </c>
    </row>
    <row r="40" spans="1:35" ht="12" customHeight="1" thickBot="1" x14ac:dyDescent="0.3">
      <c r="A40" s="262"/>
      <c r="C40" s="263"/>
      <c r="D40">
        <f t="shared" si="15"/>
        <v>4</v>
      </c>
      <c r="E40">
        <f t="shared" si="8"/>
        <v>70</v>
      </c>
      <c r="F40" s="112" t="str">
        <f t="shared" si="16"/>
        <v>70-74</v>
      </c>
      <c r="G40" s="110" t="str">
        <f t="array" aca="1" ref="G40" ca="1">INDEX(AB.rngStates, $D40)</f>
        <v>Unresolved GI discomfort</v>
      </c>
      <c r="H40" s="112"/>
      <c r="I40" s="110"/>
      <c r="K40" s="279">
        <v>0</v>
      </c>
      <c r="L40" s="279">
        <v>0</v>
      </c>
      <c r="M40" s="279">
        <v>0</v>
      </c>
      <c r="N40" s="279">
        <v>0</v>
      </c>
      <c r="O40" s="279">
        <v>0</v>
      </c>
      <c r="P40" s="279">
        <v>0</v>
      </c>
      <c r="Q40" s="279">
        <v>0</v>
      </c>
      <c r="R40" s="279">
        <v>0</v>
      </c>
      <c r="S40" s="280">
        <f t="shared" si="17"/>
        <v>0.99531102771647961</v>
      </c>
      <c r="T40" s="279">
        <f>INDEX(AB.rngPDeath.GenPop, MATCH($E40, Parameters!$D$200:$D$204, 1))</f>
        <v>4.6889722835203873E-3</v>
      </c>
      <c r="U40" s="131"/>
      <c r="V40" s="132">
        <f t="shared" si="18"/>
        <v>1</v>
      </c>
      <c r="X40" s="279">
        <v>0</v>
      </c>
      <c r="Y40" s="279">
        <v>0</v>
      </c>
      <c r="Z40" s="279">
        <v>0</v>
      </c>
      <c r="AA40" s="279">
        <v>0</v>
      </c>
      <c r="AB40" s="279">
        <v>0</v>
      </c>
      <c r="AC40" s="279">
        <v>0</v>
      </c>
      <c r="AD40" s="279">
        <v>0</v>
      </c>
      <c r="AE40" s="279">
        <v>0</v>
      </c>
      <c r="AF40" s="280">
        <f t="shared" si="19"/>
        <v>0.99531102771647961</v>
      </c>
      <c r="AG40" s="279">
        <f>INDEX(AB.rngPDeath.GenPop, MATCH($E40, Parameters!$D$200:$D$204, 1))</f>
        <v>4.6889722835203873E-3</v>
      </c>
      <c r="AH40" s="131"/>
      <c r="AI40" s="132">
        <f t="shared" si="20"/>
        <v>1</v>
      </c>
    </row>
    <row r="41" spans="1:35" ht="12" customHeight="1" thickBot="1" x14ac:dyDescent="0.3">
      <c r="A41" s="262"/>
      <c r="C41" s="263"/>
      <c r="D41">
        <f t="shared" si="15"/>
        <v>5</v>
      </c>
      <c r="E41">
        <f t="shared" si="8"/>
        <v>70</v>
      </c>
      <c r="F41" s="112" t="str">
        <f t="shared" si="16"/>
        <v>70-74</v>
      </c>
      <c r="G41" s="110" t="str">
        <f t="array" aca="1" ref="G41" ca="1">INDEX(AB.rngStates, $D41)</f>
        <v>Symptomatic ulcer</v>
      </c>
      <c r="H41" s="112"/>
      <c r="I41" s="110"/>
      <c r="K41" s="279">
        <v>0</v>
      </c>
      <c r="L41" s="279">
        <v>0</v>
      </c>
      <c r="M41" s="279">
        <v>0</v>
      </c>
      <c r="N41" s="279">
        <v>0</v>
      </c>
      <c r="O41" s="279">
        <v>0</v>
      </c>
      <c r="P41" s="279">
        <f>AB.TP.unresolved</f>
        <v>0.14615021803151829</v>
      </c>
      <c r="Q41" s="279">
        <v>0</v>
      </c>
      <c r="R41" s="279">
        <v>0</v>
      </c>
      <c r="S41" s="280">
        <f t="shared" si="17"/>
        <v>0.82942388783234999</v>
      </c>
      <c r="T41" s="279">
        <f>INDEX(AB.rngPDeath.Ulcer, MATCH($E41, Parameters!$D$200:$D$204, 1))</f>
        <v>2.4425894136131721E-2</v>
      </c>
      <c r="U41" s="131"/>
      <c r="V41" s="132">
        <f t="shared" si="18"/>
        <v>1</v>
      </c>
      <c r="X41" s="279">
        <v>0</v>
      </c>
      <c r="Y41" s="279">
        <v>0</v>
      </c>
      <c r="Z41" s="279">
        <v>0</v>
      </c>
      <c r="AA41" s="279">
        <v>0</v>
      </c>
      <c r="AB41" s="279">
        <v>0</v>
      </c>
      <c r="AC41" s="279">
        <f>AB.TP.unresolved</f>
        <v>0.14615021803151829</v>
      </c>
      <c r="AD41" s="279">
        <v>0</v>
      </c>
      <c r="AE41" s="279">
        <v>0</v>
      </c>
      <c r="AF41" s="280">
        <f t="shared" si="19"/>
        <v>0.82942388783234999</v>
      </c>
      <c r="AG41" s="279">
        <f>INDEX(AB.rngPDeath.Ulcer, MATCH($E41, Parameters!$D$200:$D$204, 1))</f>
        <v>2.4425894136131721E-2</v>
      </c>
      <c r="AH41" s="131"/>
      <c r="AI41" s="132">
        <f t="shared" si="20"/>
        <v>1</v>
      </c>
    </row>
    <row r="42" spans="1:35" ht="12" customHeight="1" thickBot="1" x14ac:dyDescent="0.3">
      <c r="A42" s="262"/>
      <c r="C42" s="263"/>
      <c r="D42">
        <f t="shared" si="15"/>
        <v>6</v>
      </c>
      <c r="E42">
        <f t="shared" si="8"/>
        <v>70</v>
      </c>
      <c r="F42" s="112" t="str">
        <f t="shared" si="16"/>
        <v>70-74</v>
      </c>
      <c r="G42" s="110" t="str">
        <f t="array" aca="1" ref="G42" ca="1">INDEX(AB.rngStates, $D42)</f>
        <v>Unresolved ulcer</v>
      </c>
      <c r="H42" s="112"/>
      <c r="I42" s="110"/>
      <c r="K42" s="279">
        <v>0</v>
      </c>
      <c r="L42" s="279">
        <v>0</v>
      </c>
      <c r="M42" s="279">
        <v>0</v>
      </c>
      <c r="N42" s="279">
        <v>0</v>
      </c>
      <c r="O42" s="279">
        <v>0</v>
      </c>
      <c r="P42" s="280">
        <v>0</v>
      </c>
      <c r="Q42" s="279">
        <v>0</v>
      </c>
      <c r="R42" s="279">
        <v>0</v>
      </c>
      <c r="S42" s="280">
        <f t="shared" si="17"/>
        <v>0.97557410586386828</v>
      </c>
      <c r="T42" s="279">
        <f>INDEX(AB.rngPDeath.Ulcer, MATCH($E42, Parameters!$D$200:$D$204, 1))</f>
        <v>2.4425894136131721E-2</v>
      </c>
      <c r="U42" s="131"/>
      <c r="V42" s="132">
        <f t="shared" si="18"/>
        <v>1</v>
      </c>
      <c r="X42" s="279">
        <v>0</v>
      </c>
      <c r="Y42" s="279">
        <v>0</v>
      </c>
      <c r="Z42" s="279">
        <v>0</v>
      </c>
      <c r="AA42" s="279">
        <v>0</v>
      </c>
      <c r="AB42" s="279">
        <v>0</v>
      </c>
      <c r="AC42" s="280">
        <v>0</v>
      </c>
      <c r="AD42" s="279">
        <v>0</v>
      </c>
      <c r="AE42" s="279">
        <v>0</v>
      </c>
      <c r="AF42" s="280">
        <f t="shared" si="19"/>
        <v>0.97557410586386828</v>
      </c>
      <c r="AG42" s="279">
        <f>INDEX(AB.rngPDeath.Ulcer, MATCH($E42, Parameters!$D$200:$D$204, 1))</f>
        <v>2.4425894136131721E-2</v>
      </c>
      <c r="AH42" s="131"/>
      <c r="AI42" s="132">
        <f t="shared" si="20"/>
        <v>1</v>
      </c>
    </row>
    <row r="43" spans="1:35" ht="12" customHeight="1" thickBot="1" x14ac:dyDescent="0.3">
      <c r="A43" s="262"/>
      <c r="C43" s="263"/>
      <c r="D43">
        <f t="shared" si="15"/>
        <v>7</v>
      </c>
      <c r="E43">
        <f t="shared" si="8"/>
        <v>70</v>
      </c>
      <c r="F43" s="112" t="str">
        <f t="shared" si="16"/>
        <v>70-74</v>
      </c>
      <c r="G43" s="110" t="str">
        <f t="array" aca="1" ref="G43" ca="1">INDEX(AB.rngStates, $D43)</f>
        <v>Serious GI event</v>
      </c>
      <c r="H43" s="112"/>
      <c r="I43" s="110"/>
      <c r="K43" s="279">
        <v>0</v>
      </c>
      <c r="L43" s="279">
        <v>0</v>
      </c>
      <c r="M43" s="279">
        <v>0</v>
      </c>
      <c r="N43" s="279">
        <v>0</v>
      </c>
      <c r="O43" s="279">
        <v>0</v>
      </c>
      <c r="P43" s="279">
        <v>0</v>
      </c>
      <c r="Q43" s="279">
        <v>0</v>
      </c>
      <c r="R43" s="279">
        <f>AB.TP.unresolved</f>
        <v>0.14615021803151829</v>
      </c>
      <c r="S43" s="280">
        <f t="shared" si="17"/>
        <v>0.72705753198427314</v>
      </c>
      <c r="T43" s="279">
        <f>INDEX(AB.rngPDeath.SeriousGI, MATCH($E43, Parameters!$D$200:$D$204, 1))</f>
        <v>0.12679224998420857</v>
      </c>
      <c r="U43" s="131"/>
      <c r="V43" s="132">
        <f t="shared" si="18"/>
        <v>1</v>
      </c>
      <c r="X43" s="279">
        <v>0</v>
      </c>
      <c r="Y43" s="279">
        <v>0</v>
      </c>
      <c r="Z43" s="279">
        <v>0</v>
      </c>
      <c r="AA43" s="279">
        <v>0</v>
      </c>
      <c r="AB43" s="279">
        <v>0</v>
      </c>
      <c r="AC43" s="279">
        <v>0</v>
      </c>
      <c r="AD43" s="279">
        <v>0</v>
      </c>
      <c r="AE43" s="279">
        <f>AB.TP.unresolved</f>
        <v>0.14615021803151829</v>
      </c>
      <c r="AF43" s="280">
        <f t="shared" si="19"/>
        <v>0.72705753198427314</v>
      </c>
      <c r="AG43" s="279">
        <f>INDEX(AB.rngPDeath.SeriousGI, MATCH($E43, Parameters!$D$200:$D$204, 1))</f>
        <v>0.12679224998420857</v>
      </c>
      <c r="AH43" s="131"/>
      <c r="AI43" s="132">
        <f t="shared" si="20"/>
        <v>1</v>
      </c>
    </row>
    <row r="44" spans="1:35" ht="12" customHeight="1" thickBot="1" x14ac:dyDescent="0.3">
      <c r="A44" s="262"/>
      <c r="C44" s="263"/>
      <c r="D44">
        <f t="shared" si="15"/>
        <v>8</v>
      </c>
      <c r="E44">
        <f t="shared" si="8"/>
        <v>70</v>
      </c>
      <c r="F44" s="112" t="str">
        <f t="shared" si="16"/>
        <v>70-74</v>
      </c>
      <c r="G44" s="110" t="str">
        <f t="array" aca="1" ref="G44" ca="1">INDEX(AB.rngStates, $D44)</f>
        <v>Unresolved serious GI event</v>
      </c>
      <c r="H44" s="112"/>
      <c r="I44" s="110"/>
      <c r="K44" s="279">
        <v>0</v>
      </c>
      <c r="L44" s="279">
        <v>0</v>
      </c>
      <c r="M44" s="279">
        <v>0</v>
      </c>
      <c r="N44" s="279">
        <v>0</v>
      </c>
      <c r="O44" s="279">
        <v>0</v>
      </c>
      <c r="P44" s="279">
        <v>0</v>
      </c>
      <c r="Q44" s="279">
        <v>0</v>
      </c>
      <c r="R44" s="280">
        <v>0</v>
      </c>
      <c r="S44" s="280">
        <f t="shared" si="17"/>
        <v>0.87320775001579143</v>
      </c>
      <c r="T44" s="279">
        <f>INDEX(AB.rngPDeath.SeriousGI, MATCH($E44, Parameters!$D$200:$D$204, 1))</f>
        <v>0.12679224998420857</v>
      </c>
      <c r="U44" s="131"/>
      <c r="V44" s="132">
        <f t="shared" si="18"/>
        <v>1</v>
      </c>
      <c r="X44" s="279">
        <v>0</v>
      </c>
      <c r="Y44" s="279">
        <v>0</v>
      </c>
      <c r="Z44" s="279">
        <v>0</v>
      </c>
      <c r="AA44" s="279">
        <v>0</v>
      </c>
      <c r="AB44" s="279">
        <v>0</v>
      </c>
      <c r="AC44" s="279">
        <v>0</v>
      </c>
      <c r="AD44" s="279">
        <v>0</v>
      </c>
      <c r="AE44" s="280">
        <v>0</v>
      </c>
      <c r="AF44" s="280">
        <f t="shared" si="19"/>
        <v>0.87320775001579143</v>
      </c>
      <c r="AG44" s="279">
        <f>INDEX(AB.rngPDeath.SeriousGI, MATCH($E44, Parameters!$D$200:$D$204, 1))</f>
        <v>0.12679224998420857</v>
      </c>
      <c r="AH44" s="131"/>
      <c r="AI44" s="132">
        <f t="shared" si="20"/>
        <v>1</v>
      </c>
    </row>
    <row r="45" spans="1:35" ht="12" customHeight="1" thickBot="1" x14ac:dyDescent="0.3">
      <c r="A45" s="262"/>
      <c r="C45" s="263"/>
      <c r="D45">
        <f t="shared" si="15"/>
        <v>9</v>
      </c>
      <c r="E45">
        <f t="shared" si="8"/>
        <v>70</v>
      </c>
      <c r="F45" s="112" t="str">
        <f t="shared" si="16"/>
        <v>70-74</v>
      </c>
      <c r="G45" s="110" t="str">
        <f t="array" aca="1" ref="G45" ca="1">INDEX(AB.rngStates, $D45)</f>
        <v>Post-event</v>
      </c>
      <c r="H45" s="112"/>
      <c r="I45" s="110"/>
      <c r="K45" s="279">
        <v>0</v>
      </c>
      <c r="L45" s="279">
        <v>0</v>
      </c>
      <c r="M45" s="279">
        <f>INDEX(AB.rngTP.GIpain, 2)</f>
        <v>5.0857219116200753E-2</v>
      </c>
      <c r="N45" s="279">
        <v>0</v>
      </c>
      <c r="O45" s="279">
        <f>INDEX(AB.rngTP.Ulcer, 2)</f>
        <v>7.8448272883231967E-4</v>
      </c>
      <c r="P45" s="279">
        <v>0</v>
      </c>
      <c r="Q45" s="279">
        <f>INDEX(AB.rngTP.SeriousGI, 2)</f>
        <v>3.0081167198279054E-4</v>
      </c>
      <c r="R45" s="279">
        <v>0</v>
      </c>
      <c r="S45" s="280">
        <f t="shared" si="17"/>
        <v>0.94336851419946377</v>
      </c>
      <c r="T45" s="279">
        <f>INDEX(AB.rngPDeath.GenPop, MATCH($E45, Parameters!$D$200:$D$204, 1))</f>
        <v>4.6889722835203873E-3</v>
      </c>
      <c r="U45" s="131"/>
      <c r="V45" s="132">
        <f t="shared" si="18"/>
        <v>1</v>
      </c>
      <c r="X45" s="279">
        <v>0</v>
      </c>
      <c r="Y45" s="279">
        <v>0</v>
      </c>
      <c r="Z45" s="279">
        <f>INDEX(AB.rngTP.GIpain, 2)</f>
        <v>5.0857219116200753E-2</v>
      </c>
      <c r="AA45" s="279">
        <v>0</v>
      </c>
      <c r="AB45" s="279">
        <f>INDEX(AB.rngTP.Ulcer, 2)</f>
        <v>7.8448272883231967E-4</v>
      </c>
      <c r="AC45" s="279">
        <v>0</v>
      </c>
      <c r="AD45" s="279">
        <f>INDEX(AB.rngTP.SeriousGI, 2)</f>
        <v>3.0081167198279054E-4</v>
      </c>
      <c r="AE45" s="279">
        <v>0</v>
      </c>
      <c r="AF45" s="280">
        <f t="shared" si="19"/>
        <v>0.94336851419946377</v>
      </c>
      <c r="AG45" s="279">
        <f>INDEX(AB.rngPDeath.GenPop, MATCH($E45, Parameters!$D$200:$D$204, 1))</f>
        <v>4.6889722835203873E-3</v>
      </c>
      <c r="AH45" s="131"/>
      <c r="AI45" s="132">
        <f t="shared" si="20"/>
        <v>1</v>
      </c>
    </row>
    <row r="46" spans="1:35" s="188" customFormat="1" ht="12" customHeight="1" thickBot="1" x14ac:dyDescent="0.3">
      <c r="A46" s="262"/>
      <c r="B46" s="260"/>
      <c r="C46" s="263"/>
      <c r="D46" s="188">
        <f t="shared" si="15"/>
        <v>10</v>
      </c>
      <c r="E46" s="188">
        <f t="shared" si="8"/>
        <v>70</v>
      </c>
      <c r="F46" s="112" t="str">
        <f t="shared" si="16"/>
        <v>70-74</v>
      </c>
      <c r="G46" s="110" t="str">
        <f t="array" aca="1" ref="G46" ca="1">INDEX(AB.rngStates, $D46)</f>
        <v>Dead</v>
      </c>
      <c r="H46" s="112"/>
      <c r="I46" s="110"/>
      <c r="K46" s="278">
        <v>0</v>
      </c>
      <c r="L46" s="278">
        <v>0</v>
      </c>
      <c r="M46" s="278">
        <v>0</v>
      </c>
      <c r="N46" s="278">
        <v>0</v>
      </c>
      <c r="O46" s="278">
        <v>0</v>
      </c>
      <c r="P46" s="278">
        <v>0</v>
      </c>
      <c r="Q46" s="278">
        <v>0</v>
      </c>
      <c r="R46" s="278">
        <v>0</v>
      </c>
      <c r="S46" s="278">
        <v>0</v>
      </c>
      <c r="T46" s="277">
        <f>1-SUM(J46:S46, U46:U46)</f>
        <v>1</v>
      </c>
      <c r="U46" s="191"/>
      <c r="V46" s="192">
        <f t="shared" si="18"/>
        <v>1</v>
      </c>
      <c r="X46" s="278">
        <v>0</v>
      </c>
      <c r="Y46" s="278">
        <v>0</v>
      </c>
      <c r="Z46" s="278">
        <v>0</v>
      </c>
      <c r="AA46" s="278">
        <v>0</v>
      </c>
      <c r="AB46" s="278">
        <v>0</v>
      </c>
      <c r="AC46" s="278">
        <v>0</v>
      </c>
      <c r="AD46" s="278">
        <v>0</v>
      </c>
      <c r="AE46" s="278">
        <v>0</v>
      </c>
      <c r="AF46" s="278">
        <v>0</v>
      </c>
      <c r="AG46" s="277">
        <f>1-SUM(W46:AF46, AH46:AH46)</f>
        <v>1</v>
      </c>
      <c r="AH46" s="191"/>
      <c r="AI46" s="192">
        <f t="shared" si="20"/>
        <v>1</v>
      </c>
    </row>
    <row r="47" spans="1:35" s="8" customFormat="1" ht="12" customHeight="1" thickBot="1" x14ac:dyDescent="0.3">
      <c r="A47" s="262"/>
      <c r="B47" s="260"/>
      <c r="C47" s="263"/>
      <c r="D47" s="8">
        <v>1</v>
      </c>
      <c r="E47" s="8">
        <f t="shared" si="8"/>
        <v>75</v>
      </c>
      <c r="F47" s="113" t="str">
        <f t="shared" si="16"/>
        <v>75-79</v>
      </c>
      <c r="G47" s="121" t="str">
        <f t="array" aca="1" ref="G47" ca="1">INDEX(AB.rngStates, $D47)</f>
        <v>Well no HPE</v>
      </c>
      <c r="H47" s="113"/>
      <c r="I47" s="121"/>
      <c r="K47" s="280">
        <f>1-SUM(J47:J47, L47:U47)</f>
        <v>0.93976704333373295</v>
      </c>
      <c r="L47" s="279">
        <v>0</v>
      </c>
      <c r="M47" s="279">
        <f>INDEX(AB.rngTP.GIpain, 2)</f>
        <v>5.0857219116200753E-2</v>
      </c>
      <c r="N47" s="279">
        <v>0</v>
      </c>
      <c r="O47" s="279">
        <f>INDEX(AB.rngTP.Ulcer, 2)</f>
        <v>7.8448272883231967E-4</v>
      </c>
      <c r="P47" s="279">
        <v>0</v>
      </c>
      <c r="Q47" s="279">
        <f>INDEX(AB.rngTP.SeriousGI, 2)</f>
        <v>3.0081167198279054E-4</v>
      </c>
      <c r="R47" s="279">
        <v>0</v>
      </c>
      <c r="S47" s="279">
        <v>0</v>
      </c>
      <c r="T47" s="279">
        <f>INDEX(AB.rngPDeath.GenPop, MATCH($E47, Parameters!$D$200:$D$204, 1))</f>
        <v>8.2904431492512032E-3</v>
      </c>
      <c r="U47" s="131"/>
      <c r="V47" s="132">
        <f t="shared" si="18"/>
        <v>1</v>
      </c>
      <c r="W47"/>
      <c r="X47" s="280">
        <f>1-SUM(W47:W47, Y47:AH47)</f>
        <v>0.93976704333373295</v>
      </c>
      <c r="Y47" s="279">
        <v>0</v>
      </c>
      <c r="Z47" s="279">
        <f>INDEX(AB.rngTP.GIpain, 2)</f>
        <v>5.0857219116200753E-2</v>
      </c>
      <c r="AA47" s="279">
        <v>0</v>
      </c>
      <c r="AB47" s="279">
        <f>INDEX(AB.rngTP.Ulcer, 2)</f>
        <v>7.8448272883231967E-4</v>
      </c>
      <c r="AC47" s="279">
        <v>0</v>
      </c>
      <c r="AD47" s="279">
        <f>INDEX(AB.rngTP.SeriousGI, 2)</f>
        <v>3.0081167198279054E-4</v>
      </c>
      <c r="AE47" s="279">
        <v>0</v>
      </c>
      <c r="AF47" s="279">
        <v>0</v>
      </c>
      <c r="AG47" s="279">
        <f>INDEX(AB.rngPDeath.GenPop, MATCH($E47, Parameters!$D$200:$D$204, 1))</f>
        <v>8.2904431492512032E-3</v>
      </c>
      <c r="AH47" s="282"/>
      <c r="AI47" s="281">
        <f t="shared" si="20"/>
        <v>1</v>
      </c>
    </row>
    <row r="48" spans="1:35" ht="12" customHeight="1" thickBot="1" x14ac:dyDescent="0.3">
      <c r="A48" s="262"/>
      <c r="C48" s="263"/>
      <c r="D48">
        <f t="shared" ref="D48:D56" si="21">D47+1</f>
        <v>2</v>
      </c>
      <c r="E48">
        <f t="shared" si="8"/>
        <v>75</v>
      </c>
      <c r="F48" s="112" t="str">
        <f t="shared" si="16"/>
        <v>75-79</v>
      </c>
      <c r="G48" s="110" t="str">
        <f t="array" aca="1" ref="G48" ca="1">INDEX(AB.rngStates, $D48)</f>
        <v>Well with HPE</v>
      </c>
      <c r="H48" s="112"/>
      <c r="I48" s="110"/>
      <c r="K48" s="279">
        <v>0</v>
      </c>
      <c r="L48" s="280">
        <f>1-SUM(J48:K48, M48:U48)</f>
        <v>0.83847443492110596</v>
      </c>
      <c r="M48" s="279">
        <f>INDEX(AB.rngTP.GIpain, 1)</f>
        <v>0.14958005622411985</v>
      </c>
      <c r="N48" s="279">
        <v>0</v>
      </c>
      <c r="O48" s="279">
        <f>INDEX(AB.rngTP.Ulcer, 1)</f>
        <v>2.7960836561070623E-3</v>
      </c>
      <c r="P48" s="279">
        <v>0</v>
      </c>
      <c r="Q48" s="279">
        <f>INDEX(AB.rngTP.SeriousGI, 1)</f>
        <v>8.5898204941592393E-4</v>
      </c>
      <c r="R48" s="279">
        <v>0</v>
      </c>
      <c r="S48" s="279">
        <v>0</v>
      </c>
      <c r="T48" s="279">
        <f>INDEX(AB.rngPDeath.GenPop, MATCH($E48, Parameters!$D$200:$D$204, 1))</f>
        <v>8.2904431492512032E-3</v>
      </c>
      <c r="U48" s="131"/>
      <c r="V48" s="132">
        <f t="shared" si="18"/>
        <v>1</v>
      </c>
      <c r="X48" s="280">
        <f>1-SUM(Y48:AG48)</f>
        <v>0.83847443492110596</v>
      </c>
      <c r="Y48" s="280">
        <v>0</v>
      </c>
      <c r="Z48" s="279">
        <f>INDEX(AB.rngTP.GIpain, 1)</f>
        <v>0.14958005622411985</v>
      </c>
      <c r="AA48" s="279">
        <v>0</v>
      </c>
      <c r="AB48" s="279">
        <f>INDEX(AB.rngTP.Ulcer, 1)</f>
        <v>2.7960836561070623E-3</v>
      </c>
      <c r="AC48" s="279">
        <v>0</v>
      </c>
      <c r="AD48" s="279">
        <f>INDEX(AB.rngTP.SeriousGI, 1)</f>
        <v>8.5898204941592393E-4</v>
      </c>
      <c r="AE48" s="279">
        <v>0</v>
      </c>
      <c r="AF48" s="279">
        <v>0</v>
      </c>
      <c r="AG48" s="279">
        <f>INDEX(AB.rngPDeath.GenPop, MATCH($E48, Parameters!$D$200:$D$204, 1))</f>
        <v>8.2904431492512032E-3</v>
      </c>
      <c r="AH48" s="131"/>
      <c r="AI48" s="132">
        <f t="shared" si="20"/>
        <v>1</v>
      </c>
    </row>
    <row r="49" spans="1:35" ht="12" customHeight="1" thickBot="1" x14ac:dyDescent="0.3">
      <c r="A49" s="262"/>
      <c r="C49" s="263"/>
      <c r="D49">
        <f t="shared" si="21"/>
        <v>3</v>
      </c>
      <c r="E49">
        <f t="shared" si="8"/>
        <v>75</v>
      </c>
      <c r="F49" s="112" t="str">
        <f t="shared" si="16"/>
        <v>75-79</v>
      </c>
      <c r="G49" s="110" t="str">
        <f t="array" aca="1" ref="G49" ca="1">INDEX(AB.rngStates, $D49)</f>
        <v>GI discomfort</v>
      </c>
      <c r="H49" s="112"/>
      <c r="I49" s="110"/>
      <c r="K49" s="279">
        <v>0</v>
      </c>
      <c r="L49" s="279">
        <v>0</v>
      </c>
      <c r="M49" s="280">
        <v>0</v>
      </c>
      <c r="N49" s="279">
        <f>AB.TP.unresolved</f>
        <v>0.14615021803151829</v>
      </c>
      <c r="O49" s="279">
        <v>0</v>
      </c>
      <c r="P49" s="279">
        <v>0</v>
      </c>
      <c r="Q49" s="279">
        <v>0</v>
      </c>
      <c r="R49" s="279">
        <v>0</v>
      </c>
      <c r="S49" s="280">
        <f t="shared" ref="S49:S55" si="22">1-SUM(J49:R49, T49:U49)</f>
        <v>0.84555933881923051</v>
      </c>
      <c r="T49" s="279">
        <f>INDEX(AB.rngPDeath.GenPop, MATCH($E49, Parameters!$D$200:$D$204, 1))</f>
        <v>8.2904431492512032E-3</v>
      </c>
      <c r="U49" s="131"/>
      <c r="V49" s="132">
        <f t="shared" si="18"/>
        <v>1</v>
      </c>
      <c r="X49" s="279">
        <v>0</v>
      </c>
      <c r="Y49" s="279">
        <v>0</v>
      </c>
      <c r="Z49" s="280">
        <v>0</v>
      </c>
      <c r="AA49" s="279">
        <f>AB.TP.unresolved</f>
        <v>0.14615021803151829</v>
      </c>
      <c r="AB49" s="279">
        <v>0</v>
      </c>
      <c r="AC49" s="279">
        <v>0</v>
      </c>
      <c r="AD49" s="279">
        <v>0</v>
      </c>
      <c r="AE49" s="279">
        <v>0</v>
      </c>
      <c r="AF49" s="280">
        <f t="shared" ref="AF49:AF55" si="23">1-SUM(W49:AE49, AG49:AH49)</f>
        <v>0.84555933881923051</v>
      </c>
      <c r="AG49" s="279">
        <f>INDEX(AB.rngPDeath.GenPop, MATCH($E49, Parameters!$D$200:$D$204, 1))</f>
        <v>8.2904431492512032E-3</v>
      </c>
      <c r="AH49" s="131"/>
      <c r="AI49" s="132">
        <f t="shared" si="20"/>
        <v>1</v>
      </c>
    </row>
    <row r="50" spans="1:35" ht="12" customHeight="1" thickBot="1" x14ac:dyDescent="0.3">
      <c r="A50" s="262"/>
      <c r="C50" s="263"/>
      <c r="D50">
        <f t="shared" si="21"/>
        <v>4</v>
      </c>
      <c r="E50">
        <f t="shared" si="8"/>
        <v>75</v>
      </c>
      <c r="F50" s="112" t="str">
        <f t="shared" si="16"/>
        <v>75-79</v>
      </c>
      <c r="G50" s="110" t="str">
        <f t="array" aca="1" ref="G50" ca="1">INDEX(AB.rngStates, $D50)</f>
        <v>Unresolved GI discomfort</v>
      </c>
      <c r="H50" s="112"/>
      <c r="I50" s="110"/>
      <c r="K50" s="279">
        <v>0</v>
      </c>
      <c r="L50" s="279">
        <v>0</v>
      </c>
      <c r="M50" s="279">
        <v>0</v>
      </c>
      <c r="N50" s="279">
        <v>0</v>
      </c>
      <c r="O50" s="279">
        <v>0</v>
      </c>
      <c r="P50" s="279">
        <v>0</v>
      </c>
      <c r="Q50" s="279">
        <v>0</v>
      </c>
      <c r="R50" s="279">
        <v>0</v>
      </c>
      <c r="S50" s="280">
        <f t="shared" si="22"/>
        <v>0.9917095568507488</v>
      </c>
      <c r="T50" s="279">
        <f>INDEX(AB.rngPDeath.GenPop, MATCH($E50, Parameters!$D$200:$D$204, 1))</f>
        <v>8.2904431492512032E-3</v>
      </c>
      <c r="U50" s="131"/>
      <c r="V50" s="132">
        <f t="shared" si="18"/>
        <v>1</v>
      </c>
      <c r="X50" s="279">
        <v>0</v>
      </c>
      <c r="Y50" s="279">
        <v>0</v>
      </c>
      <c r="Z50" s="279">
        <v>0</v>
      </c>
      <c r="AA50" s="279">
        <v>0</v>
      </c>
      <c r="AB50" s="279">
        <v>0</v>
      </c>
      <c r="AC50" s="279">
        <v>0</v>
      </c>
      <c r="AD50" s="279">
        <v>0</v>
      </c>
      <c r="AE50" s="279">
        <v>0</v>
      </c>
      <c r="AF50" s="280">
        <f t="shared" si="23"/>
        <v>0.9917095568507488</v>
      </c>
      <c r="AG50" s="279">
        <f>INDEX(AB.rngPDeath.GenPop, MATCH($E50, Parameters!$D$200:$D$204, 1))</f>
        <v>8.2904431492512032E-3</v>
      </c>
      <c r="AH50" s="131"/>
      <c r="AI50" s="132">
        <f t="shared" si="20"/>
        <v>1</v>
      </c>
    </row>
    <row r="51" spans="1:35" ht="12" customHeight="1" thickBot="1" x14ac:dyDescent="0.3">
      <c r="A51" s="262"/>
      <c r="C51" s="263"/>
      <c r="D51">
        <f t="shared" si="21"/>
        <v>5</v>
      </c>
      <c r="E51">
        <f t="shared" si="8"/>
        <v>75</v>
      </c>
      <c r="F51" s="112" t="str">
        <f t="shared" si="16"/>
        <v>75-79</v>
      </c>
      <c r="G51" s="110" t="str">
        <f t="array" aca="1" ref="G51" ca="1">INDEX(AB.rngStates, $D51)</f>
        <v>Symptomatic ulcer</v>
      </c>
      <c r="H51" s="112"/>
      <c r="I51" s="110"/>
      <c r="K51" s="279">
        <v>0</v>
      </c>
      <c r="L51" s="279">
        <v>0</v>
      </c>
      <c r="M51" s="279">
        <v>0</v>
      </c>
      <c r="N51" s="279">
        <v>0</v>
      </c>
      <c r="O51" s="279">
        <v>0</v>
      </c>
      <c r="P51" s="279">
        <f>AB.TP.unresolved</f>
        <v>0.14615021803151829</v>
      </c>
      <c r="Q51" s="279">
        <v>0</v>
      </c>
      <c r="R51" s="279">
        <v>0</v>
      </c>
      <c r="S51" s="280">
        <f t="shared" si="22"/>
        <v>0.81099306946342908</v>
      </c>
      <c r="T51" s="279">
        <f>INDEX(AB.rngPDeath.Ulcer, MATCH($E51, Parameters!$D$200:$D$204, 1))</f>
        <v>4.285671250505263E-2</v>
      </c>
      <c r="U51" s="131"/>
      <c r="V51" s="132">
        <f t="shared" si="18"/>
        <v>1</v>
      </c>
      <c r="X51" s="279">
        <v>0</v>
      </c>
      <c r="Y51" s="279">
        <v>0</v>
      </c>
      <c r="Z51" s="279">
        <v>0</v>
      </c>
      <c r="AA51" s="279">
        <v>0</v>
      </c>
      <c r="AB51" s="279">
        <v>0</v>
      </c>
      <c r="AC51" s="279">
        <f>AB.TP.unresolved</f>
        <v>0.14615021803151829</v>
      </c>
      <c r="AD51" s="279">
        <v>0</v>
      </c>
      <c r="AE51" s="279">
        <v>0</v>
      </c>
      <c r="AF51" s="280">
        <f t="shared" si="23"/>
        <v>0.81099306946342908</v>
      </c>
      <c r="AG51" s="279">
        <f>INDEX(AB.rngPDeath.Ulcer, MATCH($E51, Parameters!$D$200:$D$204, 1))</f>
        <v>4.285671250505263E-2</v>
      </c>
      <c r="AH51" s="131"/>
      <c r="AI51" s="132">
        <f t="shared" si="20"/>
        <v>1</v>
      </c>
    </row>
    <row r="52" spans="1:35" ht="12" customHeight="1" thickBot="1" x14ac:dyDescent="0.3">
      <c r="A52" s="262"/>
      <c r="C52" s="263"/>
      <c r="D52">
        <f t="shared" si="21"/>
        <v>6</v>
      </c>
      <c r="E52">
        <f t="shared" si="8"/>
        <v>75</v>
      </c>
      <c r="F52" s="112" t="str">
        <f t="shared" si="16"/>
        <v>75-79</v>
      </c>
      <c r="G52" s="110" t="str">
        <f t="array" aca="1" ref="G52" ca="1">INDEX(AB.rngStates, $D52)</f>
        <v>Unresolved ulcer</v>
      </c>
      <c r="H52" s="112"/>
      <c r="I52" s="110"/>
      <c r="K52" s="279">
        <v>0</v>
      </c>
      <c r="L52" s="279">
        <v>0</v>
      </c>
      <c r="M52" s="279">
        <v>0</v>
      </c>
      <c r="N52" s="279">
        <v>0</v>
      </c>
      <c r="O52" s="279">
        <v>0</v>
      </c>
      <c r="P52" s="280">
        <v>0</v>
      </c>
      <c r="Q52" s="279">
        <v>0</v>
      </c>
      <c r="R52" s="279">
        <v>0</v>
      </c>
      <c r="S52" s="280">
        <f t="shared" si="22"/>
        <v>0.95714328749494737</v>
      </c>
      <c r="T52" s="279">
        <f>INDEX(AB.rngPDeath.Ulcer, MATCH($E52, Parameters!$D$200:$D$204, 1))</f>
        <v>4.285671250505263E-2</v>
      </c>
      <c r="U52" s="131"/>
      <c r="V52" s="132">
        <f t="shared" si="18"/>
        <v>1</v>
      </c>
      <c r="X52" s="279">
        <v>0</v>
      </c>
      <c r="Y52" s="279">
        <v>0</v>
      </c>
      <c r="Z52" s="279">
        <v>0</v>
      </c>
      <c r="AA52" s="279">
        <v>0</v>
      </c>
      <c r="AB52" s="279">
        <v>0</v>
      </c>
      <c r="AC52" s="280">
        <v>0</v>
      </c>
      <c r="AD52" s="279">
        <v>0</v>
      </c>
      <c r="AE52" s="279">
        <v>0</v>
      </c>
      <c r="AF52" s="280">
        <f t="shared" si="23"/>
        <v>0.95714328749494737</v>
      </c>
      <c r="AG52" s="279">
        <f>INDEX(AB.rngPDeath.Ulcer, MATCH($E52, Parameters!$D$200:$D$204, 1))</f>
        <v>4.285671250505263E-2</v>
      </c>
      <c r="AH52" s="131"/>
      <c r="AI52" s="132">
        <f t="shared" si="20"/>
        <v>1</v>
      </c>
    </row>
    <row r="53" spans="1:35" ht="12" customHeight="1" thickBot="1" x14ac:dyDescent="0.3">
      <c r="A53" s="262"/>
      <c r="C53" s="263"/>
      <c r="D53">
        <f t="shared" si="21"/>
        <v>7</v>
      </c>
      <c r="E53">
        <f t="shared" si="8"/>
        <v>75</v>
      </c>
      <c r="F53" s="112" t="str">
        <f t="shared" si="16"/>
        <v>75-79</v>
      </c>
      <c r="G53" s="110" t="str">
        <f t="array" aca="1" ref="G53" ca="1">INDEX(AB.rngStates, $D53)</f>
        <v>Serious GI event</v>
      </c>
      <c r="H53" s="112"/>
      <c r="I53" s="110"/>
      <c r="K53" s="279">
        <v>0</v>
      </c>
      <c r="L53" s="279">
        <v>0</v>
      </c>
      <c r="M53" s="279">
        <v>0</v>
      </c>
      <c r="N53" s="279">
        <v>0</v>
      </c>
      <c r="O53" s="279">
        <v>0</v>
      </c>
      <c r="P53" s="279">
        <v>0</v>
      </c>
      <c r="Q53" s="279">
        <v>0</v>
      </c>
      <c r="R53" s="279">
        <f>AB.TP.unresolved</f>
        <v>0.14615021803151829</v>
      </c>
      <c r="S53" s="280">
        <f t="shared" si="22"/>
        <v>0.62967188610970415</v>
      </c>
      <c r="T53" s="279">
        <f>INDEX(AB.rngPDeath.SeriousGI, MATCH($E53, Parameters!$D$200:$D$204, 1))</f>
        <v>0.22417789585877759</v>
      </c>
      <c r="U53" s="131"/>
      <c r="V53" s="132">
        <f t="shared" si="18"/>
        <v>1</v>
      </c>
      <c r="X53" s="279">
        <v>0</v>
      </c>
      <c r="Y53" s="279">
        <v>0</v>
      </c>
      <c r="Z53" s="279">
        <v>0</v>
      </c>
      <c r="AA53" s="279">
        <v>0</v>
      </c>
      <c r="AB53" s="279">
        <v>0</v>
      </c>
      <c r="AC53" s="279">
        <v>0</v>
      </c>
      <c r="AD53" s="279">
        <v>0</v>
      </c>
      <c r="AE53" s="279">
        <f>AB.TP.unresolved</f>
        <v>0.14615021803151829</v>
      </c>
      <c r="AF53" s="280">
        <f t="shared" si="23"/>
        <v>0.62967188610970415</v>
      </c>
      <c r="AG53" s="279">
        <f>INDEX(AB.rngPDeath.SeriousGI, MATCH($E53, Parameters!$D$200:$D$204, 1))</f>
        <v>0.22417789585877759</v>
      </c>
      <c r="AH53" s="131"/>
      <c r="AI53" s="132">
        <f t="shared" si="20"/>
        <v>1</v>
      </c>
    </row>
    <row r="54" spans="1:35" ht="12" customHeight="1" thickBot="1" x14ac:dyDescent="0.3">
      <c r="A54" s="262"/>
      <c r="C54" s="263"/>
      <c r="D54">
        <f t="shared" si="21"/>
        <v>8</v>
      </c>
      <c r="E54">
        <f t="shared" si="8"/>
        <v>75</v>
      </c>
      <c r="F54" s="112" t="str">
        <f t="shared" si="16"/>
        <v>75-79</v>
      </c>
      <c r="G54" s="110" t="str">
        <f t="array" aca="1" ref="G54" ca="1">INDEX(AB.rngStates, $D54)</f>
        <v>Unresolved serious GI event</v>
      </c>
      <c r="H54" s="112"/>
      <c r="I54" s="110"/>
      <c r="K54" s="279">
        <v>0</v>
      </c>
      <c r="L54" s="279">
        <v>0</v>
      </c>
      <c r="M54" s="279">
        <v>0</v>
      </c>
      <c r="N54" s="279">
        <v>0</v>
      </c>
      <c r="O54" s="279">
        <v>0</v>
      </c>
      <c r="P54" s="279">
        <v>0</v>
      </c>
      <c r="Q54" s="279">
        <v>0</v>
      </c>
      <c r="R54" s="280">
        <v>0</v>
      </c>
      <c r="S54" s="280">
        <f t="shared" si="22"/>
        <v>0.77582210414122244</v>
      </c>
      <c r="T54" s="279">
        <f>INDEX(AB.rngPDeath.SeriousGI, MATCH($E54, Parameters!$D$200:$D$204, 1))</f>
        <v>0.22417789585877759</v>
      </c>
      <c r="U54" s="131"/>
      <c r="V54" s="132">
        <f t="shared" si="18"/>
        <v>1</v>
      </c>
      <c r="X54" s="279">
        <v>0</v>
      </c>
      <c r="Y54" s="279">
        <v>0</v>
      </c>
      <c r="Z54" s="279">
        <v>0</v>
      </c>
      <c r="AA54" s="279">
        <v>0</v>
      </c>
      <c r="AB54" s="279">
        <v>0</v>
      </c>
      <c r="AC54" s="279">
        <v>0</v>
      </c>
      <c r="AD54" s="279">
        <v>0</v>
      </c>
      <c r="AE54" s="280">
        <v>0</v>
      </c>
      <c r="AF54" s="280">
        <f t="shared" si="23"/>
        <v>0.77582210414122244</v>
      </c>
      <c r="AG54" s="279">
        <f>INDEX(AB.rngPDeath.SeriousGI, MATCH($E54, Parameters!$D$200:$D$204, 1))</f>
        <v>0.22417789585877759</v>
      </c>
      <c r="AH54" s="131"/>
      <c r="AI54" s="132">
        <f t="shared" si="20"/>
        <v>1</v>
      </c>
    </row>
    <row r="55" spans="1:35" ht="12" customHeight="1" thickBot="1" x14ac:dyDescent="0.3">
      <c r="A55" s="262"/>
      <c r="C55" s="263"/>
      <c r="D55">
        <f t="shared" si="21"/>
        <v>9</v>
      </c>
      <c r="E55">
        <f t="shared" si="8"/>
        <v>75</v>
      </c>
      <c r="F55" s="112" t="str">
        <f t="shared" si="16"/>
        <v>75-79</v>
      </c>
      <c r="G55" s="110" t="str">
        <f t="array" aca="1" ref="G55" ca="1">INDEX(AB.rngStates, $D55)</f>
        <v>Post-event</v>
      </c>
      <c r="H55" s="112"/>
      <c r="I55" s="110"/>
      <c r="K55" s="279">
        <v>0</v>
      </c>
      <c r="L55" s="279">
        <v>0</v>
      </c>
      <c r="M55" s="279">
        <f>INDEX(AB.rngTP.GIpain, 2)</f>
        <v>5.0857219116200753E-2</v>
      </c>
      <c r="N55" s="279">
        <v>0</v>
      </c>
      <c r="O55" s="279">
        <f>INDEX(AB.rngTP.Ulcer, 2)</f>
        <v>7.8448272883231967E-4</v>
      </c>
      <c r="P55" s="279">
        <v>0</v>
      </c>
      <c r="Q55" s="279">
        <f>INDEX(AB.rngTP.SeriousGI, 2)</f>
        <v>3.0081167198279054E-4</v>
      </c>
      <c r="R55" s="279">
        <v>0</v>
      </c>
      <c r="S55" s="280">
        <f t="shared" si="22"/>
        <v>0.93976704333373295</v>
      </c>
      <c r="T55" s="279">
        <f>INDEX(AB.rngPDeath.GenPop, MATCH($E55, Parameters!$D$200:$D$204, 1))</f>
        <v>8.2904431492512032E-3</v>
      </c>
      <c r="U55" s="131"/>
      <c r="V55" s="132">
        <f t="shared" si="18"/>
        <v>1</v>
      </c>
      <c r="X55" s="279">
        <v>0</v>
      </c>
      <c r="Y55" s="279">
        <v>0</v>
      </c>
      <c r="Z55" s="279">
        <f>INDEX(AB.rngTP.GIpain, 2)</f>
        <v>5.0857219116200753E-2</v>
      </c>
      <c r="AA55" s="279">
        <v>0</v>
      </c>
      <c r="AB55" s="279">
        <f>INDEX(AB.rngTP.Ulcer, 2)</f>
        <v>7.8448272883231967E-4</v>
      </c>
      <c r="AC55" s="279">
        <v>0</v>
      </c>
      <c r="AD55" s="279">
        <f>INDEX(AB.rngTP.SeriousGI, 2)</f>
        <v>3.0081167198279054E-4</v>
      </c>
      <c r="AE55" s="279">
        <v>0</v>
      </c>
      <c r="AF55" s="280">
        <f t="shared" si="23"/>
        <v>0.93976704333373295</v>
      </c>
      <c r="AG55" s="279">
        <f>INDEX(AB.rngPDeath.GenPop, MATCH($E55, Parameters!$D$200:$D$204, 1))</f>
        <v>8.2904431492512032E-3</v>
      </c>
      <c r="AH55" s="131"/>
      <c r="AI55" s="132">
        <f t="shared" si="20"/>
        <v>1</v>
      </c>
    </row>
    <row r="56" spans="1:35" s="188" customFormat="1" ht="12" customHeight="1" thickBot="1" x14ac:dyDescent="0.3">
      <c r="A56" s="262"/>
      <c r="B56" s="260"/>
      <c r="C56" s="263"/>
      <c r="D56" s="188">
        <f t="shared" si="21"/>
        <v>10</v>
      </c>
      <c r="E56" s="188">
        <f t="shared" si="8"/>
        <v>75</v>
      </c>
      <c r="F56" s="112" t="str">
        <f t="shared" si="16"/>
        <v>75-79</v>
      </c>
      <c r="G56" s="110" t="str">
        <f t="array" aca="1" ref="G56" ca="1">INDEX(AB.rngStates, $D56)</f>
        <v>Dead</v>
      </c>
      <c r="H56" s="112"/>
      <c r="I56" s="110"/>
      <c r="K56" s="278">
        <v>0</v>
      </c>
      <c r="L56" s="278">
        <v>0</v>
      </c>
      <c r="M56" s="278">
        <v>0</v>
      </c>
      <c r="N56" s="278">
        <v>0</v>
      </c>
      <c r="O56" s="278">
        <v>0</v>
      </c>
      <c r="P56" s="278">
        <v>0</v>
      </c>
      <c r="Q56" s="278">
        <v>0</v>
      </c>
      <c r="R56" s="278">
        <v>0</v>
      </c>
      <c r="S56" s="278">
        <v>0</v>
      </c>
      <c r="T56" s="277">
        <f>1-SUM(J56:S56, U56:U56)</f>
        <v>1</v>
      </c>
      <c r="U56" s="191"/>
      <c r="V56" s="192">
        <f t="shared" si="18"/>
        <v>1</v>
      </c>
      <c r="X56" s="278">
        <v>0</v>
      </c>
      <c r="Y56" s="278">
        <v>0</v>
      </c>
      <c r="Z56" s="278">
        <v>0</v>
      </c>
      <c r="AA56" s="278">
        <v>0</v>
      </c>
      <c r="AB56" s="278">
        <v>0</v>
      </c>
      <c r="AC56" s="278">
        <v>0</v>
      </c>
      <c r="AD56" s="278">
        <v>0</v>
      </c>
      <c r="AE56" s="278">
        <v>0</v>
      </c>
      <c r="AF56" s="278">
        <v>0</v>
      </c>
      <c r="AG56" s="277">
        <f>1-SUM(W56:AF56, AH56:AH56)</f>
        <v>1</v>
      </c>
      <c r="AH56" s="191"/>
      <c r="AI56" s="192">
        <f t="shared" si="20"/>
        <v>1</v>
      </c>
    </row>
    <row r="57" spans="1:35" s="8" customFormat="1" ht="12" customHeight="1" x14ac:dyDescent="0.25">
      <c r="A57" s="262"/>
      <c r="B57" s="260"/>
      <c r="C57" s="263"/>
    </row>
    <row r="58" spans="1:35" ht="12" customHeight="1" x14ac:dyDescent="0.25">
      <c r="A58" s="262"/>
      <c r="C58" s="263"/>
    </row>
    <row r="59" spans="1:35" ht="12" customHeight="1" x14ac:dyDescent="0.25">
      <c r="A59" s="262"/>
      <c r="C59" s="263"/>
    </row>
    <row r="60" spans="1:35" ht="12" customHeight="1" x14ac:dyDescent="0.25">
      <c r="A60" s="262"/>
      <c r="C60" s="263"/>
    </row>
    <row r="61" spans="1:35" ht="12" customHeight="1" x14ac:dyDescent="0.25">
      <c r="A61" s="262"/>
      <c r="C61" s="263"/>
    </row>
    <row r="62" spans="1:35" ht="12" customHeight="1" x14ac:dyDescent="0.25">
      <c r="A62" s="262"/>
      <c r="C62" s="263"/>
    </row>
    <row r="63" spans="1:35" ht="12" customHeight="1" x14ac:dyDescent="0.25">
      <c r="A63" s="262"/>
      <c r="C63" s="263"/>
    </row>
    <row r="64" spans="1:35" ht="12" customHeight="1" x14ac:dyDescent="0.25">
      <c r="A64" s="262"/>
      <c r="C64" s="263"/>
    </row>
    <row r="65" spans="1:3" ht="12" customHeight="1" x14ac:dyDescent="0.25">
      <c r="A65" s="262"/>
      <c r="C65" s="263"/>
    </row>
    <row r="66" spans="1:3" ht="12" customHeight="1" x14ac:dyDescent="0.25">
      <c r="A66" s="262"/>
      <c r="C66" s="263"/>
    </row>
    <row r="67" spans="1:3" ht="12" customHeight="1" x14ac:dyDescent="0.25">
      <c r="A67" s="262"/>
      <c r="C67" s="263"/>
    </row>
    <row r="68" spans="1:3" ht="12" customHeight="1" x14ac:dyDescent="0.25">
      <c r="A68" s="262"/>
      <c r="C68" s="263"/>
    </row>
    <row r="69" spans="1:3" ht="12" customHeight="1" x14ac:dyDescent="0.25">
      <c r="A69" s="262"/>
      <c r="C69" s="263"/>
    </row>
    <row r="70" spans="1:3" ht="12" customHeight="1" x14ac:dyDescent="0.25">
      <c r="A70" s="262"/>
      <c r="C70" s="263"/>
    </row>
    <row r="71" spans="1:3" ht="12" customHeight="1" x14ac:dyDescent="0.25">
      <c r="A71" s="262"/>
      <c r="C71" s="263"/>
    </row>
    <row r="72" spans="1:3" ht="12" customHeight="1" x14ac:dyDescent="0.25">
      <c r="A72" s="262"/>
      <c r="C72" s="263"/>
    </row>
    <row r="73" spans="1:3" ht="12" customHeight="1" x14ac:dyDescent="0.25">
      <c r="A73" s="262"/>
      <c r="C73" s="263"/>
    </row>
    <row r="74" spans="1:3" ht="12" customHeight="1" x14ac:dyDescent="0.25">
      <c r="A74" s="262"/>
      <c r="C74" s="263"/>
    </row>
    <row r="75" spans="1:3" ht="12" customHeight="1" x14ac:dyDescent="0.25">
      <c r="A75" s="262"/>
      <c r="C75" s="263"/>
    </row>
    <row r="76" spans="1:3" ht="12" customHeight="1" x14ac:dyDescent="0.25">
      <c r="A76" s="262"/>
      <c r="C76" s="263"/>
    </row>
    <row r="77" spans="1:3" ht="12" customHeight="1" x14ac:dyDescent="0.25">
      <c r="A77" s="262"/>
      <c r="C77" s="263"/>
    </row>
    <row r="78" spans="1:3" ht="12" customHeight="1" x14ac:dyDescent="0.25">
      <c r="A78" s="262"/>
      <c r="C78" s="263"/>
    </row>
    <row r="79" spans="1:3" ht="12" customHeight="1" x14ac:dyDescent="0.25">
      <c r="A79" s="262"/>
      <c r="C79" s="263"/>
    </row>
    <row r="80" spans="1:3" ht="12" customHeight="1" x14ac:dyDescent="0.25">
      <c r="A80" s="262"/>
      <c r="C80" s="263"/>
    </row>
    <row r="81" spans="1:3" ht="12" customHeight="1" x14ac:dyDescent="0.25">
      <c r="A81" s="262"/>
      <c r="C81" s="263"/>
    </row>
    <row r="82" spans="1:3" ht="12" customHeight="1" x14ac:dyDescent="0.25">
      <c r="A82" s="262"/>
      <c r="C82" s="263"/>
    </row>
    <row r="83" spans="1:3" ht="12" customHeight="1" x14ac:dyDescent="0.25">
      <c r="A83" s="262"/>
      <c r="C83" s="263"/>
    </row>
    <row r="84" spans="1:3" ht="12" customHeight="1" x14ac:dyDescent="0.25">
      <c r="A84" s="262"/>
      <c r="C84" s="263"/>
    </row>
    <row r="85" spans="1:3" ht="12" customHeight="1" x14ac:dyDescent="0.25">
      <c r="A85" s="262"/>
      <c r="C85" s="263"/>
    </row>
    <row r="86" spans="1:3" ht="12" customHeight="1" x14ac:dyDescent="0.25">
      <c r="A86" s="262"/>
      <c r="C86" s="263"/>
    </row>
    <row r="87" spans="1:3" ht="12" customHeight="1" x14ac:dyDescent="0.25">
      <c r="A87" s="262"/>
      <c r="C87" s="263"/>
    </row>
    <row r="88" spans="1:3" ht="12" customHeight="1" x14ac:dyDescent="0.25">
      <c r="A88" s="262"/>
      <c r="C88" s="263"/>
    </row>
    <row r="89" spans="1:3" ht="12" customHeight="1" x14ac:dyDescent="0.25">
      <c r="A89" s="262"/>
      <c r="C89" s="263"/>
    </row>
    <row r="90" spans="1:3" ht="12" customHeight="1" x14ac:dyDescent="0.25">
      <c r="A90" s="262"/>
      <c r="C90" s="263"/>
    </row>
    <row r="91" spans="1:3" ht="12" customHeight="1" x14ac:dyDescent="0.25">
      <c r="A91" s="262"/>
      <c r="C91" s="263"/>
    </row>
    <row r="92" spans="1:3" ht="12" customHeight="1" x14ac:dyDescent="0.25">
      <c r="A92" s="262"/>
      <c r="C92" s="263"/>
    </row>
    <row r="93" spans="1:3" ht="12" customHeight="1" x14ac:dyDescent="0.25">
      <c r="A93" s="262"/>
      <c r="C93" s="263"/>
    </row>
    <row r="94" spans="1:3" ht="12" customHeight="1" x14ac:dyDescent="0.25">
      <c r="A94" s="262"/>
      <c r="C94" s="263"/>
    </row>
    <row r="95" spans="1:3" ht="12" customHeight="1" x14ac:dyDescent="0.25">
      <c r="A95" s="262"/>
      <c r="C95" s="263"/>
    </row>
    <row r="96" spans="1:3" ht="12" customHeight="1" x14ac:dyDescent="0.25">
      <c r="A96" s="262"/>
      <c r="C96" s="263"/>
    </row>
    <row r="97" spans="1:3" ht="12" customHeight="1" x14ac:dyDescent="0.25">
      <c r="A97" s="262"/>
      <c r="C97" s="263"/>
    </row>
    <row r="98" spans="1:3" ht="12" customHeight="1" x14ac:dyDescent="0.25">
      <c r="A98" s="262"/>
      <c r="C98" s="263"/>
    </row>
    <row r="99" spans="1:3" ht="12" customHeight="1" x14ac:dyDescent="0.25">
      <c r="A99" s="262"/>
      <c r="C99" s="263"/>
    </row>
    <row r="100" spans="1:3" ht="12" customHeight="1" x14ac:dyDescent="0.25">
      <c r="A100" s="262"/>
      <c r="C100" s="263"/>
    </row>
    <row r="101" spans="1:3" ht="12" customHeight="1" x14ac:dyDescent="0.25">
      <c r="A101" s="262"/>
      <c r="C101" s="263"/>
    </row>
    <row r="102" spans="1:3" ht="12" customHeight="1" x14ac:dyDescent="0.25">
      <c r="A102" s="262"/>
      <c r="C102" s="263"/>
    </row>
    <row r="103" spans="1:3" ht="12" customHeight="1" x14ac:dyDescent="0.25">
      <c r="A103" s="262"/>
      <c r="C103" s="263"/>
    </row>
    <row r="104" spans="1:3" ht="12" customHeight="1" x14ac:dyDescent="0.25">
      <c r="A104" s="262"/>
      <c r="C104" s="263"/>
    </row>
    <row r="105" spans="1:3" ht="12" customHeight="1" x14ac:dyDescent="0.25">
      <c r="A105" s="262"/>
      <c r="C105" s="263"/>
    </row>
    <row r="106" spans="1:3" ht="12" customHeight="1" x14ac:dyDescent="0.25">
      <c r="A106" s="262"/>
      <c r="C106" s="263"/>
    </row>
    <row r="107" spans="1:3" ht="12" customHeight="1" x14ac:dyDescent="0.25">
      <c r="A107" s="262"/>
      <c r="C107" s="263"/>
    </row>
    <row r="108" spans="1:3" ht="12" customHeight="1" x14ac:dyDescent="0.25">
      <c r="A108" s="262"/>
      <c r="C108" s="263"/>
    </row>
    <row r="109" spans="1:3" ht="12" customHeight="1" x14ac:dyDescent="0.25">
      <c r="A109" s="262"/>
      <c r="C109" s="263"/>
    </row>
    <row r="110" spans="1:3" ht="12" customHeight="1" x14ac:dyDescent="0.25">
      <c r="A110" s="262"/>
      <c r="C110" s="263"/>
    </row>
    <row r="111" spans="1:3" ht="12" customHeight="1" x14ac:dyDescent="0.25">
      <c r="A111" s="262"/>
      <c r="C111" s="263"/>
    </row>
    <row r="112" spans="1:3" ht="12" customHeight="1" x14ac:dyDescent="0.25">
      <c r="A112" s="262"/>
      <c r="C112" s="263"/>
    </row>
    <row r="113" spans="1:3" ht="12" customHeight="1" x14ac:dyDescent="0.25">
      <c r="A113" s="262"/>
      <c r="C113" s="263"/>
    </row>
    <row r="114" spans="1:3" ht="12" customHeight="1" x14ac:dyDescent="0.25">
      <c r="A114" s="262"/>
      <c r="C114" s="263"/>
    </row>
    <row r="115" spans="1:3" ht="12" customHeight="1" x14ac:dyDescent="0.25">
      <c r="A115" s="262"/>
      <c r="C115" s="263"/>
    </row>
    <row r="116" spans="1:3" ht="12" customHeight="1" x14ac:dyDescent="0.25">
      <c r="A116" s="262"/>
      <c r="C116" s="263"/>
    </row>
    <row r="117" spans="1:3" ht="12" customHeight="1" x14ac:dyDescent="0.25">
      <c r="A117" s="262"/>
      <c r="C117" s="263"/>
    </row>
    <row r="118" spans="1:3" ht="12" customHeight="1" x14ac:dyDescent="0.25">
      <c r="A118" s="262"/>
      <c r="C118" s="263"/>
    </row>
    <row r="119" spans="1:3" ht="12" customHeight="1" x14ac:dyDescent="0.25">
      <c r="A119" s="262"/>
      <c r="C119" s="263"/>
    </row>
    <row r="120" spans="1:3" ht="12" customHeight="1" x14ac:dyDescent="0.25">
      <c r="A120" s="262"/>
      <c r="C120" s="263"/>
    </row>
    <row r="121" spans="1:3" ht="12" customHeight="1" x14ac:dyDescent="0.25">
      <c r="A121" s="262"/>
      <c r="C121" s="263"/>
    </row>
    <row r="122" spans="1:3" ht="12" customHeight="1" x14ac:dyDescent="0.25">
      <c r="A122" s="262"/>
      <c r="C122" s="263"/>
    </row>
    <row r="123" spans="1:3" ht="12" customHeight="1" x14ac:dyDescent="0.25">
      <c r="A123" s="262"/>
      <c r="C123" s="263"/>
    </row>
    <row r="124" spans="1:3" ht="12" customHeight="1" x14ac:dyDescent="0.25">
      <c r="A124" s="262"/>
      <c r="C124" s="263"/>
    </row>
    <row r="125" spans="1:3" ht="12" customHeight="1" x14ac:dyDescent="0.25">
      <c r="A125" s="262"/>
      <c r="C125" s="263"/>
    </row>
    <row r="126" spans="1:3" ht="12" customHeight="1" x14ac:dyDescent="0.25">
      <c r="A126" s="262"/>
      <c r="C126" s="263"/>
    </row>
    <row r="127" spans="1:3" ht="12" customHeight="1" x14ac:dyDescent="0.25">
      <c r="A127" s="262"/>
      <c r="C127" s="263"/>
    </row>
    <row r="128" spans="1:3" ht="12" customHeight="1" x14ac:dyDescent="0.25">
      <c r="A128" s="262"/>
      <c r="C128" s="263"/>
    </row>
    <row r="129" spans="1:3" ht="12" customHeight="1" x14ac:dyDescent="0.25">
      <c r="A129" s="262"/>
      <c r="C129" s="263"/>
    </row>
    <row r="130" spans="1:3" ht="12" customHeight="1" x14ac:dyDescent="0.25">
      <c r="A130" s="262"/>
      <c r="C130" s="263"/>
    </row>
    <row r="131" spans="1:3" ht="12" customHeight="1" x14ac:dyDescent="0.25">
      <c r="A131" s="262"/>
      <c r="C131" s="263"/>
    </row>
    <row r="132" spans="1:3" ht="12" customHeight="1" x14ac:dyDescent="0.25">
      <c r="A132" s="262"/>
      <c r="C132" s="263"/>
    </row>
    <row r="133" spans="1:3" ht="12" customHeight="1" x14ac:dyDescent="0.25">
      <c r="A133" s="262"/>
      <c r="C133" s="263"/>
    </row>
    <row r="134" spans="1:3" ht="12" customHeight="1" x14ac:dyDescent="0.25">
      <c r="A134" s="262"/>
      <c r="C134" s="263"/>
    </row>
    <row r="135" spans="1:3" ht="12" customHeight="1" x14ac:dyDescent="0.25">
      <c r="A135" s="262"/>
      <c r="C135" s="263"/>
    </row>
    <row r="136" spans="1:3" ht="12" customHeight="1" x14ac:dyDescent="0.25">
      <c r="A136" s="262"/>
      <c r="C136" s="263"/>
    </row>
    <row r="137" spans="1:3" ht="12" customHeight="1" x14ac:dyDescent="0.25">
      <c r="A137" s="262"/>
      <c r="C137" s="263"/>
    </row>
    <row r="138" spans="1:3" ht="12" customHeight="1" x14ac:dyDescent="0.25">
      <c r="A138" s="262"/>
      <c r="C138" s="263"/>
    </row>
    <row r="139" spans="1:3" ht="12" customHeight="1" x14ac:dyDescent="0.25">
      <c r="A139" s="262"/>
      <c r="C139" s="263"/>
    </row>
    <row r="140" spans="1:3" ht="12" customHeight="1" x14ac:dyDescent="0.25">
      <c r="A140" s="262"/>
      <c r="C140" s="263"/>
    </row>
    <row r="141" spans="1:3" ht="12" customHeight="1" x14ac:dyDescent="0.25">
      <c r="A141" s="262"/>
      <c r="C141" s="263"/>
    </row>
    <row r="142" spans="1:3" ht="12" customHeight="1" x14ac:dyDescent="0.25">
      <c r="A142" s="262"/>
      <c r="C142" s="263"/>
    </row>
    <row r="143" spans="1:3" ht="12" customHeight="1" x14ac:dyDescent="0.25">
      <c r="A143" s="262"/>
      <c r="C143" s="263"/>
    </row>
    <row r="144" spans="1:3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13" spans="1:3" ht="12" customHeight="1" x14ac:dyDescent="0.25">
      <c r="A313" s="262"/>
      <c r="C313" s="263"/>
    </row>
    <row r="314" spans="1:3" ht="12" customHeight="1" x14ac:dyDescent="0.25">
      <c r="A314" s="262"/>
      <c r="C314" s="263"/>
    </row>
    <row r="315" spans="1:3" ht="12" customHeight="1" x14ac:dyDescent="0.25">
      <c r="A315" s="262"/>
      <c r="C315" s="263"/>
    </row>
    <row r="316" spans="1:3" ht="12" customHeight="1" x14ac:dyDescent="0.25">
      <c r="A316" s="262"/>
      <c r="C316" s="263"/>
    </row>
    <row r="317" spans="1:3" ht="12" customHeight="1" x14ac:dyDescent="0.25">
      <c r="A317" s="262"/>
      <c r="C317" s="263"/>
    </row>
    <row r="318" spans="1:3" ht="12" customHeight="1" x14ac:dyDescent="0.25">
      <c r="A318" s="262"/>
      <c r="C318" s="263"/>
    </row>
    <row r="319" spans="1:3" ht="12" customHeight="1" x14ac:dyDescent="0.25">
      <c r="A319" s="262"/>
      <c r="C319" s="263"/>
    </row>
    <row r="320" spans="1:3" ht="12" customHeight="1" x14ac:dyDescent="0.25">
      <c r="A320" s="262"/>
      <c r="C320" s="263"/>
    </row>
    <row r="321" spans="1:3" ht="12" customHeight="1" x14ac:dyDescent="0.25">
      <c r="A321" s="262"/>
      <c r="C321" s="263"/>
    </row>
    <row r="322" spans="1:3" ht="12" customHeight="1" x14ac:dyDescent="0.25">
      <c r="A322" s="262"/>
      <c r="C322" s="263"/>
    </row>
    <row r="323" spans="1:3" ht="12" customHeight="1" x14ac:dyDescent="0.25">
      <c r="A323" s="262"/>
      <c r="C323" s="263"/>
    </row>
    <row r="324" spans="1:3" ht="12" customHeight="1" x14ac:dyDescent="0.25">
      <c r="A324" s="262"/>
      <c r="C324" s="263"/>
    </row>
    <row r="325" spans="1:3" ht="12" customHeight="1" x14ac:dyDescent="0.25">
      <c r="A325" s="262"/>
      <c r="C325" s="263"/>
    </row>
    <row r="326" spans="1:3" ht="12" customHeight="1" x14ac:dyDescent="0.25">
      <c r="A326" s="262"/>
      <c r="C326" s="263"/>
    </row>
  </sheetData>
  <mergeCells count="25">
    <mergeCell ref="O4:O6"/>
    <mergeCell ref="F4:F6"/>
    <mergeCell ref="K4:K6"/>
    <mergeCell ref="L4:L6"/>
    <mergeCell ref="M4:M6"/>
    <mergeCell ref="N4:N6"/>
    <mergeCell ref="AI4:AI6"/>
    <mergeCell ref="U4:U6"/>
    <mergeCell ref="V4:V6"/>
    <mergeCell ref="X4:X6"/>
    <mergeCell ref="Y4:Y6"/>
    <mergeCell ref="AF4:AF6"/>
    <mergeCell ref="AG4:AG6"/>
    <mergeCell ref="AH4:AH6"/>
    <mergeCell ref="Z4:Z6"/>
    <mergeCell ref="AA4:AA6"/>
    <mergeCell ref="AB4:AB6"/>
    <mergeCell ref="AC4:AC6"/>
    <mergeCell ref="AD4:AD6"/>
    <mergeCell ref="AE4:AE6"/>
    <mergeCell ref="P4:P6"/>
    <mergeCell ref="Q4:Q6"/>
    <mergeCell ref="R4:R6"/>
    <mergeCell ref="S4:S6"/>
    <mergeCell ref="T4:T6"/>
  </mergeCells>
  <conditionalFormatting sqref="K7:T16">
    <cfRule type="top10" dxfId="32" priority="6" percent="1" bottom="1" rank="10"/>
  </conditionalFormatting>
  <conditionalFormatting sqref="X7:Y16">
    <cfRule type="top10" dxfId="31" priority="5" percent="1" bottom="1" rank="10"/>
  </conditionalFormatting>
  <conditionalFormatting sqref="Z7:AG16">
    <cfRule type="top10" dxfId="30" priority="4" percent="1" bottom="1" rank="10"/>
  </conditionalFormatting>
  <conditionalFormatting sqref="K17:T56">
    <cfRule type="top10" dxfId="29" priority="3" percent="1" bottom="1" rank="10"/>
  </conditionalFormatting>
  <conditionalFormatting sqref="X17:Y56">
    <cfRule type="top10" dxfId="28" priority="2" percent="1" bottom="1" rank="10"/>
  </conditionalFormatting>
  <conditionalFormatting sqref="Z17:AG56">
    <cfRule type="top10" dxfId="27" priority="1" percent="1" bottom="1" rank="10"/>
  </conditionalFormatting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50155-BC98-4370-B21A-B23436AB1AA5}">
  <sheetPr codeName="shtTraceMarkov1">
    <tabColor theme="7" tint="-0.499984740745262"/>
  </sheetPr>
  <dimension ref="A1:AF350"/>
  <sheetViews>
    <sheetView workbookViewId="0">
      <pane xSplit="7" ySplit="9" topLeftCell="H10" activePane="bottomRight" state="frozen"/>
      <selection activeCell="K7" sqref="K7"/>
      <selection pane="topRight" activeCell="K7" sqref="K7"/>
      <selection pane="bottomLeft" activeCell="K7" sqref="K7"/>
      <selection pane="bottomRight" activeCell="H10" sqref="H10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4" max="7" width="6.85546875" customWidth="1"/>
    <col min="8" max="17" width="11.7109375" customWidth="1"/>
    <col min="20" max="20" width="1.7109375" customWidth="1"/>
    <col min="21" max="30" width="11.7109375" customWidth="1"/>
    <col min="33" max="33" width="1.7109375" customWidth="1"/>
  </cols>
  <sheetData>
    <row r="1" spans="1:32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O1" s="271"/>
    </row>
    <row r="2" spans="1:32" ht="12" hidden="1" customHeight="1" thickTop="1" x14ac:dyDescent="0.25">
      <c r="A2" s="262"/>
      <c r="C2" s="263"/>
      <c r="D2">
        <f>COLUMNS(H2:T2)</f>
        <v>13</v>
      </c>
      <c r="H2">
        <f>MAX(F$2:$G2)+1</f>
        <v>1</v>
      </c>
      <c r="I2">
        <f t="shared" ref="I2:Q2" si="0">H2</f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S2" s="8"/>
      <c r="U2">
        <f>MAX($G$2:R2)+1</f>
        <v>2</v>
      </c>
      <c r="V2">
        <f t="shared" ref="V2:AD2" si="1">U2</f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  <c r="AC2">
        <f t="shared" si="1"/>
        <v>2</v>
      </c>
      <c r="AD2">
        <f t="shared" si="1"/>
        <v>2</v>
      </c>
      <c r="AF2" s="8"/>
    </row>
    <row r="3" spans="1:32" ht="12" hidden="1" customHeight="1" x14ac:dyDescent="0.25">
      <c r="A3" s="262"/>
      <c r="C3" s="263"/>
      <c r="H3">
        <v>1</v>
      </c>
      <c r="I3">
        <f t="shared" ref="I3:Q3" si="2">H3+1</f>
        <v>2</v>
      </c>
      <c r="J3">
        <f t="shared" si="2"/>
        <v>3</v>
      </c>
      <c r="K3">
        <f t="shared" si="2"/>
        <v>4</v>
      </c>
      <c r="L3">
        <f t="shared" si="2"/>
        <v>5</v>
      </c>
      <c r="M3">
        <f t="shared" si="2"/>
        <v>6</v>
      </c>
      <c r="N3">
        <f t="shared" si="2"/>
        <v>7</v>
      </c>
      <c r="O3">
        <f t="shared" si="2"/>
        <v>8</v>
      </c>
      <c r="P3">
        <f t="shared" si="2"/>
        <v>9</v>
      </c>
      <c r="Q3">
        <f t="shared" si="2"/>
        <v>10</v>
      </c>
      <c r="U3">
        <v>1</v>
      </c>
      <c r="V3">
        <f t="shared" ref="V3:AD3" si="3">U3+1</f>
        <v>2</v>
      </c>
      <c r="W3">
        <f t="shared" si="3"/>
        <v>3</v>
      </c>
      <c r="X3">
        <f t="shared" si="3"/>
        <v>4</v>
      </c>
      <c r="Y3">
        <f t="shared" si="3"/>
        <v>5</v>
      </c>
      <c r="Z3">
        <f t="shared" si="3"/>
        <v>6</v>
      </c>
      <c r="AA3">
        <f t="shared" si="3"/>
        <v>7</v>
      </c>
      <c r="AB3">
        <f t="shared" si="3"/>
        <v>8</v>
      </c>
      <c r="AC3">
        <f t="shared" si="3"/>
        <v>9</v>
      </c>
      <c r="AD3">
        <f t="shared" si="3"/>
        <v>10</v>
      </c>
    </row>
    <row r="4" spans="1:32" ht="12" customHeight="1" thickTop="1" x14ac:dyDescent="0.25">
      <c r="A4" s="262"/>
      <c r="C4" s="263"/>
      <c r="G4" s="57" t="s">
        <v>406</v>
      </c>
      <c r="J4" s="46">
        <f t="shared" ref="J4:O4" ca="1" si="4">SUM(OFFSET(J10, 0, 0, timeHorizon*AB.cyclesPerYear))</f>
        <v>2.2776148639012543</v>
      </c>
      <c r="K4" s="46">
        <f t="shared" ca="1" si="4"/>
        <v>0.32738187417787612</v>
      </c>
      <c r="L4" s="46">
        <f t="shared" ca="1" si="4"/>
        <v>3.8222064209870239E-2</v>
      </c>
      <c r="M4" s="46">
        <f t="shared" ca="1" si="4"/>
        <v>5.501350959483166E-3</v>
      </c>
      <c r="N4" s="46">
        <f t="shared" ca="1" si="4"/>
        <v>1.3308891232192848E-2</v>
      </c>
      <c r="O4" s="46">
        <f t="shared" ca="1" si="4"/>
        <v>1.9126179941095654E-3</v>
      </c>
      <c r="Q4" s="46">
        <f ca="1">OFFSET(Q10, timeHorizon*AB.cyclesPerYear, 0)</f>
        <v>0.23233171061801591</v>
      </c>
      <c r="R4" s="46">
        <f t="array" aca="1" ref="R4" ca="1">SUM(1-OFFSET(Q10, 0, 0, timeHorizon*AB.cyclesPerYear)) / AB.cyclesPerYear</f>
        <v>8.9772810031266399</v>
      </c>
      <c r="S4" s="46">
        <f ca="1">SUM(OFFSET(S10, 0, 0, timeHorizon*C.cyclesPerYear))</f>
        <v>2.3291458193433177</v>
      </c>
      <c r="W4" s="46">
        <f t="shared" ref="W4:AB4" ca="1" si="5">SUM(OFFSET(W10, 0, 0, timeHorizon*AB.cyclesPerYear))</f>
        <v>1.6898792295205209</v>
      </c>
      <c r="X4" s="46">
        <f t="shared" ca="1" si="5"/>
        <v>0.2414979842444214</v>
      </c>
      <c r="Y4" s="46">
        <f t="shared" ca="1" si="5"/>
        <v>2.6066723513575196E-2</v>
      </c>
      <c r="Z4" s="46">
        <f t="shared" ca="1" si="5"/>
        <v>3.7251544811111779E-3</v>
      </c>
      <c r="AA4" s="46">
        <f t="shared" ca="1" si="5"/>
        <v>9.995343931794444E-3</v>
      </c>
      <c r="AB4" s="46">
        <f t="shared" ca="1" si="5"/>
        <v>1.4284188888711098E-3</v>
      </c>
      <c r="AD4" s="46">
        <f ca="1">OFFSET(AD10, timeHorizon*AB.cyclesPerYear, 0)</f>
        <v>0.23172393111863668</v>
      </c>
      <c r="AE4" s="46">
        <f t="array" aca="1" ref="AE4" ca="1">SUM(1-OFFSET(AD10, 0, 0, timeHorizon*AB.cyclesPerYear)) / AB.cyclesPerYear</f>
        <v>8.9828391516594852</v>
      </c>
      <c r="AF4" s="46">
        <f ca="1">SUM(OFFSET(AF10, 0, 0, timeHorizon*C.cyclesPerYear))</f>
        <v>1.72594129696589</v>
      </c>
    </row>
    <row r="5" spans="1:32" ht="12" customHeight="1" thickBot="1" x14ac:dyDescent="0.3">
      <c r="A5" s="262"/>
      <c r="C5" s="263"/>
      <c r="G5" s="57" t="s">
        <v>64</v>
      </c>
      <c r="R5" s="46">
        <f t="array" aca="1" ref="R5" ca="1">SUM((1-OFFSET(Q10, 0, 0, timeHorizon*AB.cyclesPerYear)) / AB.cyclesPerYear / (1+DQALYs)^(OFFSET($E$10, 0, 0, timeHorizon*AB.cyclesPerYear)))</f>
        <v>7.6848833308457358</v>
      </c>
      <c r="AE5" s="46">
        <f t="array" aca="1" ref="AE5" ca="1">SUM((1-OFFSET(AD10, 0, 0, timeHorizon*AB.cyclesPerYear)) / AB.cyclesPerYear / (1+DQALYs)^(OFFSET($E$10, 0, 0, timeHorizon*AB.cyclesPerYear)))</f>
        <v>7.6894941270022494</v>
      </c>
    </row>
    <row r="6" spans="1:32" ht="12" customHeight="1" thickBot="1" x14ac:dyDescent="0.3">
      <c r="A6" s="262"/>
      <c r="C6" s="263"/>
      <c r="D6" s="452" t="s">
        <v>31</v>
      </c>
      <c r="E6" s="452" t="s">
        <v>92</v>
      </c>
      <c r="F6" s="452" t="s">
        <v>30</v>
      </c>
      <c r="G6" s="501" t="s">
        <v>139</v>
      </c>
      <c r="H6" s="438" t="str">
        <f>INDEX(rngStrats, H2)</f>
        <v>HPE</v>
      </c>
      <c r="I6" s="438"/>
      <c r="J6" s="438"/>
      <c r="K6" s="438"/>
      <c r="L6" s="438"/>
      <c r="M6" s="438"/>
      <c r="N6" s="438"/>
      <c r="O6" s="438"/>
      <c r="P6" s="438"/>
      <c r="Q6" s="438"/>
      <c r="R6" s="438"/>
      <c r="S6" s="303"/>
      <c r="U6" s="438" t="str">
        <f>INDEX(rngStrats, U2)</f>
        <v>No HPE</v>
      </c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303"/>
    </row>
    <row r="7" spans="1:32" ht="12" customHeight="1" thickBot="1" x14ac:dyDescent="0.3">
      <c r="A7" s="262"/>
      <c r="C7" s="263"/>
      <c r="D7" s="452"/>
      <c r="E7" s="452"/>
      <c r="F7" s="452"/>
      <c r="G7" s="466"/>
      <c r="H7" s="501" t="str">
        <f t="shared" ref="H7:Q7" ca="1" si="6">INDEX(AB.rngStates, H$3)</f>
        <v>Well no HPE</v>
      </c>
      <c r="I7" s="501" t="str">
        <f t="shared" ca="1" si="6"/>
        <v>Well with HPE</v>
      </c>
      <c r="J7" s="501" t="str">
        <f t="shared" ca="1" si="6"/>
        <v>GI discomfort</v>
      </c>
      <c r="K7" s="501" t="str">
        <f t="shared" ca="1" si="6"/>
        <v>Unresolved GI discomfort</v>
      </c>
      <c r="L7" s="501" t="str">
        <f t="shared" ca="1" si="6"/>
        <v>Symptomatic ulcer</v>
      </c>
      <c r="M7" s="501" t="str">
        <f t="shared" ca="1" si="6"/>
        <v>Unresolved ulcer</v>
      </c>
      <c r="N7" s="501" t="str">
        <f t="shared" ca="1" si="6"/>
        <v>Serious GI event</v>
      </c>
      <c r="O7" s="501" t="str">
        <f t="shared" ca="1" si="6"/>
        <v>Unresolved serious GI event</v>
      </c>
      <c r="P7" s="501" t="str">
        <f t="shared" ca="1" si="6"/>
        <v>Post-event</v>
      </c>
      <c r="Q7" s="501" t="str">
        <f t="shared" ca="1" si="6"/>
        <v>Dead</v>
      </c>
      <c r="R7" s="518" t="s">
        <v>35</v>
      </c>
      <c r="S7" s="456" t="s">
        <v>763</v>
      </c>
      <c r="U7" s="501" t="str">
        <f t="shared" ref="U7:AD7" ca="1" si="7">INDEX(AB.rngStates, U$3)</f>
        <v>Well no HPE</v>
      </c>
      <c r="V7" s="501" t="str">
        <f t="shared" ca="1" si="7"/>
        <v>Well with HPE</v>
      </c>
      <c r="W7" s="501" t="str">
        <f t="shared" ca="1" si="7"/>
        <v>GI discomfort</v>
      </c>
      <c r="X7" s="501" t="str">
        <f t="shared" ca="1" si="7"/>
        <v>Unresolved GI discomfort</v>
      </c>
      <c r="Y7" s="501" t="str">
        <f t="shared" ca="1" si="7"/>
        <v>Symptomatic ulcer</v>
      </c>
      <c r="Z7" s="501" t="str">
        <f t="shared" ca="1" si="7"/>
        <v>Unresolved ulcer</v>
      </c>
      <c r="AA7" s="501" t="str">
        <f t="shared" ca="1" si="7"/>
        <v>Serious GI event</v>
      </c>
      <c r="AB7" s="501" t="str">
        <f t="shared" ca="1" si="7"/>
        <v>Unresolved serious GI event</v>
      </c>
      <c r="AC7" s="501" t="str">
        <f t="shared" ca="1" si="7"/>
        <v>Post-event</v>
      </c>
      <c r="AD7" s="501" t="str">
        <f t="shared" ca="1" si="7"/>
        <v>Dead</v>
      </c>
      <c r="AE7" s="518" t="s">
        <v>35</v>
      </c>
      <c r="AF7" s="456" t="s">
        <v>763</v>
      </c>
    </row>
    <row r="8" spans="1:32" ht="12" customHeight="1" thickBot="1" x14ac:dyDescent="0.3">
      <c r="A8" s="262"/>
      <c r="C8" s="263"/>
      <c r="D8" s="452"/>
      <c r="E8" s="452"/>
      <c r="F8" s="452"/>
      <c r="G8" s="466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19"/>
      <c r="S8" s="456"/>
      <c r="U8" s="502"/>
      <c r="V8" s="502"/>
      <c r="W8" s="502"/>
      <c r="X8" s="502"/>
      <c r="Y8" s="502"/>
      <c r="Z8" s="502"/>
      <c r="AA8" s="502"/>
      <c r="AB8" s="502"/>
      <c r="AC8" s="502"/>
      <c r="AD8" s="502"/>
      <c r="AE8" s="519"/>
      <c r="AF8" s="456"/>
    </row>
    <row r="9" spans="1:32" ht="12" customHeight="1" thickBot="1" x14ac:dyDescent="0.3">
      <c r="A9" s="262"/>
      <c r="C9" s="263"/>
      <c r="D9" s="452"/>
      <c r="E9" s="452"/>
      <c r="F9" s="452"/>
      <c r="G9" s="447"/>
      <c r="H9" s="527"/>
      <c r="I9" s="527"/>
      <c r="J9" s="527"/>
      <c r="K9" s="527"/>
      <c r="L9" s="527"/>
      <c r="M9" s="527"/>
      <c r="N9" s="527"/>
      <c r="O9" s="527"/>
      <c r="P9" s="527"/>
      <c r="Q9" s="527"/>
      <c r="R9" s="520"/>
      <c r="S9" s="456"/>
      <c r="U9" s="527"/>
      <c r="V9" s="527"/>
      <c r="W9" s="527"/>
      <c r="X9" s="527"/>
      <c r="Y9" s="527"/>
      <c r="Z9" s="527"/>
      <c r="AA9" s="527"/>
      <c r="AB9" s="527"/>
      <c r="AC9" s="527"/>
      <c r="AD9" s="527"/>
      <c r="AE9" s="520"/>
      <c r="AF9" s="456"/>
    </row>
    <row r="10" spans="1:32" ht="12" customHeight="1" x14ac:dyDescent="0.25">
      <c r="A10" s="262"/>
      <c r="C10" s="263"/>
      <c r="D10" s="62">
        <v>0</v>
      </c>
      <c r="E10" s="63">
        <f t="shared" ref="E10:E41" si="8">D10*AB.cycleLength</f>
        <v>0</v>
      </c>
      <c r="F10" s="63">
        <f>A.cohortAge+E10</f>
        <v>70</v>
      </c>
      <c r="G10" s="62">
        <f t="shared" ref="G10:G41" si="9">IF(AND(E9&lt;AB.maxDurHPE, E10&gt;=AB.maxDurHPE), 1, 0)</f>
        <v>0</v>
      </c>
      <c r="H10" s="285">
        <f>CHOOSE(H2, 0, 1)</f>
        <v>0</v>
      </c>
      <c r="I10" s="285">
        <f>CHOOSE(I2, 1, 0)</f>
        <v>1</v>
      </c>
      <c r="J10" s="285">
        <v>0</v>
      </c>
      <c r="K10" s="285">
        <v>0</v>
      </c>
      <c r="L10" s="285">
        <v>0</v>
      </c>
      <c r="M10" s="285">
        <v>0</v>
      </c>
      <c r="N10" s="285">
        <v>0</v>
      </c>
      <c r="O10" s="285">
        <v>0</v>
      </c>
      <c r="P10" s="285">
        <v>0</v>
      </c>
      <c r="Q10" s="285">
        <v>0</v>
      </c>
      <c r="R10" s="283">
        <f t="shared" ref="R10:R41" si="10">SUM(H10:Q10)</f>
        <v>1</v>
      </c>
      <c r="S10" s="418">
        <f>SUM(J10,L10,N10)</f>
        <v>0</v>
      </c>
      <c r="U10" s="285">
        <f>CHOOSE(U2, 0, 1)</f>
        <v>1</v>
      </c>
      <c r="V10" s="285">
        <f>CHOOSE(V2, 1, 0)</f>
        <v>0</v>
      </c>
      <c r="W10" s="285">
        <v>0</v>
      </c>
      <c r="X10" s="285">
        <v>0</v>
      </c>
      <c r="Y10" s="285">
        <v>0</v>
      </c>
      <c r="Z10" s="285">
        <v>0</v>
      </c>
      <c r="AA10" s="285">
        <v>0</v>
      </c>
      <c r="AB10" s="285">
        <v>0</v>
      </c>
      <c r="AC10" s="285">
        <v>0</v>
      </c>
      <c r="AD10" s="285">
        <v>0</v>
      </c>
      <c r="AE10" s="283">
        <f t="shared" ref="AE10:AE41" si="11">SUM(U10:AD10)</f>
        <v>1</v>
      </c>
      <c r="AF10" s="418">
        <f>SUM(W10,Y10,AA10)</f>
        <v>0</v>
      </c>
    </row>
    <row r="11" spans="1:32" ht="12" customHeight="1" x14ac:dyDescent="0.25">
      <c r="A11" s="262"/>
      <c r="C11" s="263"/>
      <c r="D11" s="62">
        <f t="shared" ref="D11:D42" si="12">D10+1</f>
        <v>1</v>
      </c>
      <c r="E11" s="63">
        <f t="shared" si="8"/>
        <v>0.25</v>
      </c>
      <c r="F11" s="63">
        <f t="shared" ref="F11:F42" si="13">F10+AB.cycleLength</f>
        <v>70.25</v>
      </c>
      <c r="G11" s="62">
        <f t="shared" si="9"/>
        <v>0</v>
      </c>
      <c r="H11" s="285">
        <f t="array" aca="1" ref="H11:Q11" ca="1">MMULT(H10:Q10, OFFSET(AB.rngTPMroot, MIN(4, INT(($F10-55)/5))*10, $G11*13))</f>
        <v>0</v>
      </c>
      <c r="I11" s="285">
        <f ca="1"/>
        <v>0.84207590578683678</v>
      </c>
      <c r="J11" s="285">
        <f ca="1"/>
        <v>0.14958005622411985</v>
      </c>
      <c r="K11" s="285">
        <f ca="1"/>
        <v>0</v>
      </c>
      <c r="L11" s="285">
        <f ca="1"/>
        <v>2.7960836561070623E-3</v>
      </c>
      <c r="M11" s="285">
        <f ca="1"/>
        <v>0</v>
      </c>
      <c r="N11" s="285">
        <f ca="1"/>
        <v>8.5898204941592393E-4</v>
      </c>
      <c r="O11" s="285">
        <f ca="1"/>
        <v>0</v>
      </c>
      <c r="P11" s="285">
        <f ca="1"/>
        <v>0</v>
      </c>
      <c r="Q11" s="285">
        <f ca="1"/>
        <v>4.6889722835203873E-3</v>
      </c>
      <c r="R11" s="283">
        <f t="shared" ca="1" si="10"/>
        <v>1</v>
      </c>
      <c r="S11" s="418">
        <f t="shared" ref="S11:S74" ca="1" si="14">SUM(J11,L11,N11)</f>
        <v>0.15323512192964284</v>
      </c>
      <c r="U11" s="284">
        <f t="array" aca="1" ref="U11:AD11" ca="1">MMULT(U10:AD10, OFFSET(AB.rngTPMroot, MIN(4, INT(($F10-55)/5))*10, $G11*13))</f>
        <v>0.94336851419946377</v>
      </c>
      <c r="V11" s="284">
        <f ca="1"/>
        <v>0</v>
      </c>
      <c r="W11" s="284">
        <f ca="1"/>
        <v>5.0857219116200753E-2</v>
      </c>
      <c r="X11" s="284">
        <f ca="1"/>
        <v>0</v>
      </c>
      <c r="Y11" s="284">
        <f ca="1"/>
        <v>7.8448272883231967E-4</v>
      </c>
      <c r="Z11" s="284">
        <f ca="1"/>
        <v>0</v>
      </c>
      <c r="AA11" s="284">
        <f ca="1"/>
        <v>3.0081167198279054E-4</v>
      </c>
      <c r="AB11" s="284">
        <f ca="1"/>
        <v>0</v>
      </c>
      <c r="AC11" s="284">
        <f ca="1"/>
        <v>0</v>
      </c>
      <c r="AD11" s="284">
        <f ca="1"/>
        <v>4.6889722835203873E-3</v>
      </c>
      <c r="AE11" s="283">
        <f t="shared" ca="1" si="11"/>
        <v>1</v>
      </c>
      <c r="AF11" s="418">
        <f t="shared" ref="AF11:AF74" ca="1" si="15">SUM(W11,Y11,AA11)</f>
        <v>5.1942513517015863E-2</v>
      </c>
    </row>
    <row r="12" spans="1:32" ht="12" customHeight="1" x14ac:dyDescent="0.25">
      <c r="A12" s="262"/>
      <c r="C12" s="263"/>
      <c r="D12" s="62">
        <f t="shared" si="12"/>
        <v>2</v>
      </c>
      <c r="E12" s="63">
        <f t="shared" si="8"/>
        <v>0.5</v>
      </c>
      <c r="F12" s="63">
        <f t="shared" si="13"/>
        <v>70.5</v>
      </c>
      <c r="G12" s="62">
        <f t="shared" si="9"/>
        <v>0</v>
      </c>
      <c r="H12" s="285">
        <f t="array" aca="1" ref="H12:Q12" ca="1">MMULT(H11:Q11, OFFSET(AB.rngTPMroot, MIN(4, INT(($F11-55)/5))*10, $G12*13))</f>
        <v>0</v>
      </c>
      <c r="I12" s="285">
        <f ca="1"/>
        <v>0.70909183110672158</v>
      </c>
      <c r="J12" s="285">
        <f ca="1"/>
        <v>0.12595776133257169</v>
      </c>
      <c r="K12" s="285">
        <f ca="1"/>
        <v>2.186115783032188E-2</v>
      </c>
      <c r="L12" s="285">
        <f ca="1"/>
        <v>2.3545146773721248E-3</v>
      </c>
      <c r="M12" s="285">
        <f ca="1"/>
        <v>4.0864823597441195E-4</v>
      </c>
      <c r="N12" s="285">
        <f ca="1"/>
        <v>7.2332808731654752E-4</v>
      </c>
      <c r="O12" s="285">
        <f ca="1"/>
        <v>1.2554041380729769E-4</v>
      </c>
      <c r="P12" s="285">
        <f ca="1"/>
        <v>0.1299611896016156</v>
      </c>
      <c r="Q12" s="285">
        <f ca="1"/>
        <v>9.5160287142988399E-3</v>
      </c>
      <c r="R12" s="283">
        <f t="shared" ca="1" si="10"/>
        <v>1</v>
      </c>
      <c r="S12" s="418">
        <f t="shared" ca="1" si="14"/>
        <v>0.12903560409726036</v>
      </c>
      <c r="U12" s="284">
        <f t="array" aca="1" ref="U12:AD12" ca="1">MMULT(U11:AD11, OFFSET(AB.rngTPMroot, MIN(4, INT(($F11-55)/5))*10, $G12*13))</f>
        <v>0.88994415358290391</v>
      </c>
      <c r="V12" s="284">
        <f ca="1"/>
        <v>0</v>
      </c>
      <c r="W12" s="284">
        <f ca="1"/>
        <v>4.7977099233966869E-2</v>
      </c>
      <c r="X12" s="284">
        <f ca="1"/>
        <v>7.43279366230944E-3</v>
      </c>
      <c r="Y12" s="284">
        <f ca="1"/>
        <v>7.4005630631368623E-4</v>
      </c>
      <c r="Z12" s="284">
        <f ca="1"/>
        <v>1.1465232186080396E-4</v>
      </c>
      <c r="AA12" s="284">
        <f ca="1"/>
        <v>2.8377626005226159E-4</v>
      </c>
      <c r="AB12" s="284">
        <f ca="1"/>
        <v>4.39636914467104E-5</v>
      </c>
      <c r="AC12" s="284">
        <f ca="1"/>
        <v>4.4055333469747833E-2</v>
      </c>
      <c r="AD12" s="284">
        <f ca="1"/>
        <v>9.4081714713985624E-3</v>
      </c>
      <c r="AE12" s="283">
        <f t="shared" ca="1" si="11"/>
        <v>1</v>
      </c>
      <c r="AF12" s="418">
        <f t="shared" ca="1" si="15"/>
        <v>4.9000931800332818E-2</v>
      </c>
    </row>
    <row r="13" spans="1:32" ht="12" customHeight="1" x14ac:dyDescent="0.25">
      <c r="A13" s="262"/>
      <c r="C13" s="263"/>
      <c r="D13" s="62">
        <f t="shared" si="12"/>
        <v>3</v>
      </c>
      <c r="E13" s="63">
        <f t="shared" si="8"/>
        <v>0.75</v>
      </c>
      <c r="F13" s="63">
        <f t="shared" si="13"/>
        <v>70.75</v>
      </c>
      <c r="G13" s="62">
        <f t="shared" si="9"/>
        <v>0</v>
      </c>
      <c r="H13" s="285">
        <f t="array" aca="1" ref="H13:Q13" ca="1">MMULT(H12:Q12, OFFSET(AB.rngTPMroot, MIN(4, INT(($F12-55)/5))*10, $G13*13))</f>
        <v>0</v>
      </c>
      <c r="I13" s="285">
        <f ca="1"/>
        <v>0.59710914596523923</v>
      </c>
      <c r="J13" s="285">
        <f ca="1"/>
        <v>0.11267546066117899</v>
      </c>
      <c r="K13" s="285">
        <f ca="1"/>
        <v>1.8408754281517295E-2</v>
      </c>
      <c r="L13" s="285">
        <f ca="1"/>
        <v>2.0846323882975034E-3</v>
      </c>
      <c r="M13" s="285">
        <f ca="1"/>
        <v>3.4411283345634597E-4</v>
      </c>
      <c r="N13" s="285">
        <f ca="1"/>
        <v>6.4819099704507626E-4</v>
      </c>
      <c r="O13" s="285">
        <f ca="1"/>
        <v>1.0571455766963452E-4</v>
      </c>
      <c r="P13" s="285">
        <f ca="1"/>
        <v>0.25430542175585635</v>
      </c>
      <c r="Q13" s="285">
        <f ca="1"/>
        <v>1.4318566559739541E-2</v>
      </c>
      <c r="R13" s="283">
        <f t="shared" ca="1" si="10"/>
        <v>0.99999999999999989</v>
      </c>
      <c r="S13" s="418">
        <f t="shared" ca="1" si="14"/>
        <v>0.11540828404652158</v>
      </c>
      <c r="U13" s="284">
        <f t="array" aca="1" ref="U13:AD13" ca="1">MMULT(U12:AD12, OFFSET(AB.rngTPMroot, MIN(4, INT(($F12-55)/5))*10, $G13*13))</f>
        <v>0.83954529388600341</v>
      </c>
      <c r="V13" s="284">
        <f ca="1"/>
        <v>0</v>
      </c>
      <c r="W13" s="284">
        <f ca="1"/>
        <v>4.7500616567455821E-2</v>
      </c>
      <c r="X13" s="284">
        <f ca="1"/>
        <v>7.0118635135640464E-3</v>
      </c>
      <c r="Y13" s="284">
        <f ca="1"/>
        <v>7.327064663310511E-4</v>
      </c>
      <c r="Z13" s="284">
        <f ca="1"/>
        <v>1.0815939052334533E-4</v>
      </c>
      <c r="AA13" s="284">
        <f ca="1"/>
        <v>2.8095794733137689E-4</v>
      </c>
      <c r="AB13" s="284">
        <f ca="1"/>
        <v>4.1473962278806864E-5</v>
      </c>
      <c r="AC13" s="284">
        <f ca="1"/>
        <v>9.0669011727148724E-2</v>
      </c>
      <c r="AD13" s="284">
        <f ca="1"/>
        <v>1.4109916539363476E-2</v>
      </c>
      <c r="AE13" s="283">
        <f t="shared" ca="1" si="11"/>
        <v>1.0000000000000002</v>
      </c>
      <c r="AF13" s="418">
        <f t="shared" ca="1" si="15"/>
        <v>4.8514280981118249E-2</v>
      </c>
    </row>
    <row r="14" spans="1:32" ht="12" customHeight="1" x14ac:dyDescent="0.25">
      <c r="A14" s="262"/>
      <c r="C14" s="263"/>
      <c r="D14" s="62">
        <f t="shared" si="12"/>
        <v>4</v>
      </c>
      <c r="E14" s="63">
        <f t="shared" si="8"/>
        <v>1</v>
      </c>
      <c r="F14" s="63">
        <f t="shared" si="13"/>
        <v>71</v>
      </c>
      <c r="G14" s="62">
        <f t="shared" si="9"/>
        <v>0</v>
      </c>
      <c r="H14" s="285">
        <f t="array" aca="1" ref="H14:Q14" ca="1">MMULT(H13:Q13, OFFSET(AB.rngTPMroot, MIN(4, INT(($F13-55)/5))*10, $G14*13))</f>
        <v>0</v>
      </c>
      <c r="I14" s="285">
        <f ca="1"/>
        <v>0.50281122494228336</v>
      </c>
      <c r="J14" s="285">
        <f ca="1"/>
        <v>0.1022488861820921</v>
      </c>
      <c r="K14" s="285">
        <f ca="1"/>
        <v>1.646754314243307E-2</v>
      </c>
      <c r="L14" s="285">
        <f ca="1"/>
        <v>1.8690653351613397E-3</v>
      </c>
      <c r="M14" s="285">
        <f ca="1"/>
        <v>3.0466947806524481E-4</v>
      </c>
      <c r="N14" s="285">
        <f ca="1"/>
        <v>5.894040770388811E-4</v>
      </c>
      <c r="O14" s="285">
        <f ca="1"/>
        <v>9.4733255544205116E-5</v>
      </c>
      <c r="P14" s="285">
        <f ca="1"/>
        <v>0.3565340838119111</v>
      </c>
      <c r="Q14" s="285">
        <f ca="1"/>
        <v>1.9080389775470649E-2</v>
      </c>
      <c r="R14" s="283">
        <f t="shared" ca="1" si="10"/>
        <v>0.99999999999999989</v>
      </c>
      <c r="S14" s="418">
        <f t="shared" ca="1" si="14"/>
        <v>0.10470735559429233</v>
      </c>
      <c r="U14" s="284">
        <f t="array" aca="1" ref="U14:AD14" ca="1">MMULT(U13:AD13, OFFSET(AB.rngTPMroot, MIN(4, INT(($F13-55)/5))*10, $G14*13))</f>
        <v>0.79200059649639121</v>
      </c>
      <c r="V14" s="284">
        <f ca="1"/>
        <v>0</v>
      </c>
      <c r="W14" s="284">
        <f ca="1"/>
        <v>4.730811276559261E-2</v>
      </c>
      <c r="X14" s="284">
        <f ca="1"/>
        <v>6.9422254679652176E-3</v>
      </c>
      <c r="Y14" s="284">
        <f ca="1"/>
        <v>7.2973705686626695E-4</v>
      </c>
      <c r="Z14" s="284">
        <f ca="1"/>
        <v>1.0708520980738643E-4</v>
      </c>
      <c r="AA14" s="284">
        <f ca="1"/>
        <v>2.798193205738028E-4</v>
      </c>
      <c r="AB14" s="284">
        <f ca="1"/>
        <v>4.1062065260168567E-5</v>
      </c>
      <c r="AC14" s="284">
        <f ca="1"/>
        <v>0.13380266770553145</v>
      </c>
      <c r="AD14" s="284">
        <f ca="1"/>
        <v>1.8788693912011961E-2</v>
      </c>
      <c r="AE14" s="283">
        <f t="shared" ca="1" si="11"/>
        <v>1</v>
      </c>
      <c r="AF14" s="418">
        <f t="shared" ca="1" si="15"/>
        <v>4.8317669143032684E-2</v>
      </c>
    </row>
    <row r="15" spans="1:32" ht="12" customHeight="1" x14ac:dyDescent="0.25">
      <c r="A15" s="262"/>
      <c r="C15" s="263"/>
      <c r="D15" s="62">
        <f t="shared" si="12"/>
        <v>5</v>
      </c>
      <c r="E15" s="63">
        <f t="shared" si="8"/>
        <v>1.25</v>
      </c>
      <c r="F15" s="63">
        <f t="shared" si="13"/>
        <v>71.25</v>
      </c>
      <c r="G15" s="62">
        <f t="shared" si="9"/>
        <v>0</v>
      </c>
      <c r="H15" s="285">
        <f t="array" aca="1" ref="H15:Q15" ca="1">MMULT(H14:Q14, OFFSET(AB.rngTPMroot, MIN(4, INT(($F14-55)/5))*10, $G15*13))</f>
        <v>0</v>
      </c>
      <c r="I15" s="285">
        <f ca="1"/>
        <v>0.42340521768306222</v>
      </c>
      <c r="J15" s="285">
        <f ca="1"/>
        <v>9.3342863319801572E-2</v>
      </c>
      <c r="K15" s="285">
        <f ca="1"/>
        <v>1.4943697008992658E-2</v>
      </c>
      <c r="L15" s="285">
        <f ca="1"/>
        <v>1.6855970791587894E-3</v>
      </c>
      <c r="M15" s="285">
        <f ca="1"/>
        <v>2.7316430624898261E-4</v>
      </c>
      <c r="N15" s="285">
        <f ca="1"/>
        <v>5.3915543034056704E-4</v>
      </c>
      <c r="O15" s="285">
        <f ca="1"/>
        <v>8.6141534367898279E-5</v>
      </c>
      <c r="P15" s="285">
        <f ca="1"/>
        <v>0.44191783075300944</v>
      </c>
      <c r="Q15" s="285">
        <f ca="1"/>
        <v>2.3806332885017843E-2</v>
      </c>
      <c r="R15" s="283">
        <f t="shared" ca="1" si="10"/>
        <v>1</v>
      </c>
      <c r="S15" s="418">
        <f t="shared" ca="1" si="14"/>
        <v>9.5567615829300928E-2</v>
      </c>
      <c r="U15" s="284">
        <f t="array" aca="1" ref="U15:AD15" ca="1">MMULT(U14:AD14, OFFSET(AB.rngTPMroot, MIN(4, INT(($F14-55)/5))*10, $G15*13))</f>
        <v>0.74714842596188957</v>
      </c>
      <c r="V15" s="284">
        <f ca="1"/>
        <v>0</v>
      </c>
      <c r="W15" s="284">
        <f ca="1"/>
        <v>4.7083779466011076E-2</v>
      </c>
      <c r="X15" s="284">
        <f ca="1"/>
        <v>6.9140909953510138E-3</v>
      </c>
      <c r="Y15" s="284">
        <f ca="1"/>
        <v>7.2627667106299324E-4</v>
      </c>
      <c r="Z15" s="284">
        <f ca="1"/>
        <v>1.0665122996668337E-4</v>
      </c>
      <c r="AA15" s="284">
        <f ca="1"/>
        <v>2.7849242783170553E-4</v>
      </c>
      <c r="AB15" s="284">
        <f ca="1"/>
        <v>4.0895654711292587E-5</v>
      </c>
      <c r="AC15" s="284">
        <f ca="1"/>
        <v>0.17425612409799501</v>
      </c>
      <c r="AD15" s="284">
        <f ca="1"/>
        <v>2.3445263495180706E-2</v>
      </c>
      <c r="AE15" s="283">
        <f t="shared" ca="1" si="11"/>
        <v>1</v>
      </c>
      <c r="AF15" s="418">
        <f t="shared" ca="1" si="15"/>
        <v>4.8088548564905777E-2</v>
      </c>
    </row>
    <row r="16" spans="1:32" ht="12" customHeight="1" x14ac:dyDescent="0.25">
      <c r="A16" s="262"/>
      <c r="C16" s="263"/>
      <c r="D16" s="62">
        <f t="shared" si="12"/>
        <v>6</v>
      </c>
      <c r="E16" s="63">
        <f t="shared" si="8"/>
        <v>1.5</v>
      </c>
      <c r="F16" s="63">
        <f t="shared" si="13"/>
        <v>71.5</v>
      </c>
      <c r="G16" s="62">
        <f t="shared" si="9"/>
        <v>0</v>
      </c>
      <c r="H16" s="285">
        <f t="array" aca="1" ref="H16:Q16" ca="1">MMULT(H15:Q15, OFFSET(AB.rngTPMroot, MIN(4, INT(($F15-55)/5))*10, $G16*13))</f>
        <v>0</v>
      </c>
      <c r="I16" s="285">
        <f ca="1"/>
        <v>0.3565393321953374</v>
      </c>
      <c r="J16" s="285">
        <f ca="1"/>
        <v>8.580768821658008E-2</v>
      </c>
      <c r="K16" s="285">
        <f ca="1"/>
        <v>1.364207982587521E-2</v>
      </c>
      <c r="L16" s="285">
        <f ca="1"/>
        <v>1.5305533148628433E-3</v>
      </c>
      <c r="M16" s="285">
        <f ca="1"/>
        <v>2.4635038063234747E-4</v>
      </c>
      <c r="N16" s="285">
        <f ca="1"/>
        <v>4.9663152316661277E-4</v>
      </c>
      <c r="O16" s="285">
        <f ca="1"/>
        <v>7.8797683697150948E-5</v>
      </c>
      <c r="P16" s="285">
        <f ca="1"/>
        <v>0.51315987819706133</v>
      </c>
      <c r="Q16" s="285">
        <f ca="1"/>
        <v>2.8498688662787021E-2</v>
      </c>
      <c r="R16" s="283">
        <f t="shared" ca="1" si="10"/>
        <v>1</v>
      </c>
      <c r="S16" s="418">
        <f t="shared" ca="1" si="14"/>
        <v>8.7834873054609547E-2</v>
      </c>
      <c r="U16" s="284">
        <f t="array" aca="1" ref="U16:AD16" ca="1">MMULT(U15:AD15, OFFSET(AB.rngTPMroot, MIN(4, INT(($F15-55)/5))*10, $G16*13))</f>
        <v>0.70483630048613588</v>
      </c>
      <c r="V16" s="284">
        <f ca="1"/>
        <v>0</v>
      </c>
      <c r="W16" s="284">
        <f ca="1"/>
        <v>4.6860073097059918E-2</v>
      </c>
      <c r="X16" s="284">
        <f ca="1"/>
        <v>6.8813046347054423E-3</v>
      </c>
      <c r="Y16" s="284">
        <f ca="1"/>
        <v>7.2282595578949396E-4</v>
      </c>
      <c r="Z16" s="284">
        <f ca="1"/>
        <v>1.0614549382706176E-4</v>
      </c>
      <c r="AA16" s="284">
        <f ca="1"/>
        <v>2.7716924327606473E-4</v>
      </c>
      <c r="AB16" s="284">
        <f ca="1"/>
        <v>4.0701729047730635E-5</v>
      </c>
      <c r="AC16" s="284">
        <f ca="1"/>
        <v>0.21219574000753766</v>
      </c>
      <c r="AD16" s="284">
        <f ca="1"/>
        <v>2.807973935262088E-2</v>
      </c>
      <c r="AE16" s="283">
        <f t="shared" ca="1" si="11"/>
        <v>1.0000000000000002</v>
      </c>
      <c r="AF16" s="418">
        <f t="shared" ca="1" si="15"/>
        <v>4.7860068296125477E-2</v>
      </c>
    </row>
    <row r="17" spans="1:32" ht="12" customHeight="1" x14ac:dyDescent="0.25">
      <c r="A17" s="262"/>
      <c r="C17" s="263"/>
      <c r="D17" s="62">
        <f t="shared" si="12"/>
        <v>7</v>
      </c>
      <c r="E17" s="63">
        <f t="shared" si="8"/>
        <v>1.75</v>
      </c>
      <c r="F17" s="63">
        <f t="shared" si="13"/>
        <v>71.75</v>
      </c>
      <c r="G17" s="62">
        <f t="shared" si="9"/>
        <v>0</v>
      </c>
      <c r="H17" s="285">
        <f t="array" aca="1" ref="H17:Q17" ca="1">MMULT(H16:Q16, OFFSET(AB.rngTPMroot, MIN(4, INT(($F16-55)/5))*10, $G17*13))</f>
        <v>0</v>
      </c>
      <c r="I17" s="285">
        <f ca="1"/>
        <v>0.30023318110702263</v>
      </c>
      <c r="J17" s="285">
        <f ca="1"/>
        <v>7.9429057722999546E-2</v>
      </c>
      <c r="K17" s="285">
        <f ca="1"/>
        <v>1.2540812341633721E-2</v>
      </c>
      <c r="L17" s="285">
        <f ca="1"/>
        <v>1.3994788610860009E-3</v>
      </c>
      <c r="M17" s="285">
        <f ca="1"/>
        <v>2.2369070067606762E-4</v>
      </c>
      <c r="N17" s="285">
        <f ca="1"/>
        <v>4.6062536722147902E-4</v>
      </c>
      <c r="O17" s="285">
        <f ca="1"/>
        <v>7.2582805392125486E-5</v>
      </c>
      <c r="P17" s="285">
        <f ca="1"/>
        <v>0.57248120730729712</v>
      </c>
      <c r="Q17" s="285">
        <f ca="1"/>
        <v>3.3159363786671302E-2</v>
      </c>
      <c r="R17" s="283">
        <f t="shared" ca="1" si="10"/>
        <v>0.99999999999999989</v>
      </c>
      <c r="S17" s="418">
        <f t="shared" ca="1" si="14"/>
        <v>8.1289161951307032E-2</v>
      </c>
      <c r="U17" s="284">
        <f t="array" aca="1" ref="U17:AD17" ca="1">MMULT(U16:AD16, OFFSET(AB.rngTPMroot, MIN(4, INT(($F16-55)/5))*10, $G17*13))</f>
        <v>0.66492037354345279</v>
      </c>
      <c r="V17" s="284">
        <f ca="1"/>
        <v>0</v>
      </c>
      <c r="W17" s="284">
        <f ca="1"/>
        <v>4.6637699419963437E-2</v>
      </c>
      <c r="X17" s="284">
        <f ca="1"/>
        <v>6.8486099001081914E-3</v>
      </c>
      <c r="Y17" s="284">
        <f ca="1"/>
        <v>7.1939579755314728E-4</v>
      </c>
      <c r="Z17" s="284">
        <f ca="1"/>
        <v>1.0564117103747514E-4</v>
      </c>
      <c r="AA17" s="284">
        <f ca="1"/>
        <v>2.7585394136269201E-4</v>
      </c>
      <c r="AB17" s="284">
        <f ca="1"/>
        <v>4.0508345336427795E-5</v>
      </c>
      <c r="AC17" s="284">
        <f ca="1"/>
        <v>0.24775969693227187</v>
      </c>
      <c r="AD17" s="284">
        <f ca="1"/>
        <v>3.2692220948914122E-2</v>
      </c>
      <c r="AE17" s="283">
        <f t="shared" ca="1" si="11"/>
        <v>1.0000000000000002</v>
      </c>
      <c r="AF17" s="418">
        <f t="shared" ca="1" si="15"/>
        <v>4.7632949158879272E-2</v>
      </c>
    </row>
    <row r="18" spans="1:32" ht="12" customHeight="1" x14ac:dyDescent="0.25">
      <c r="A18" s="262"/>
      <c r="C18" s="263"/>
      <c r="D18" s="62">
        <f t="shared" si="12"/>
        <v>8</v>
      </c>
      <c r="E18" s="63">
        <f t="shared" si="8"/>
        <v>2</v>
      </c>
      <c r="F18" s="63">
        <f t="shared" si="13"/>
        <v>72</v>
      </c>
      <c r="G18" s="62">
        <f t="shared" si="9"/>
        <v>0</v>
      </c>
      <c r="H18" s="285">
        <f t="array" aca="1" ref="H18:Q18" ca="1">MMULT(H17:Q17, OFFSET(AB.rngTPMroot, MIN(4, INT(($F17-55)/5))*10, $G18*13))</f>
        <v>0</v>
      </c>
      <c r="I18" s="285">
        <f ca="1"/>
        <v>0.25281912792795946</v>
      </c>
      <c r="J18" s="285">
        <f ca="1"/>
        <v>7.4023698310269156E-2</v>
      </c>
      <c r="K18" s="285">
        <f ca="1"/>
        <v>1.1608574104254435E-2</v>
      </c>
      <c r="L18" s="285">
        <f ca="1"/>
        <v>1.288578710428027E-3</v>
      </c>
      <c r="M18" s="285">
        <f ca="1"/>
        <v>2.0453414067821992E-4</v>
      </c>
      <c r="N18" s="285">
        <f ca="1"/>
        <v>4.3010394235880713E-4</v>
      </c>
      <c r="O18" s="285">
        <f ca="1"/>
        <v>6.7320497850267331E-5</v>
      </c>
      <c r="P18" s="285">
        <f ca="1"/>
        <v>0.62176806679737784</v>
      </c>
      <c r="Q18" s="285">
        <f ca="1"/>
        <v>3.7789995568823773E-2</v>
      </c>
      <c r="R18" s="283">
        <f t="shared" ca="1" si="10"/>
        <v>1</v>
      </c>
      <c r="S18" s="418">
        <f t="shared" ca="1" si="14"/>
        <v>7.574238096305598E-2</v>
      </c>
      <c r="U18" s="284">
        <f t="array" aca="1" ref="U18:AD18" ca="1">MMULT(U17:AD17, OFFSET(AB.rngTPMroot, MIN(4, INT(($F17-55)/5))*10, $G18*13))</f>
        <v>0.62726494485063955</v>
      </c>
      <c r="V18" s="284">
        <f ca="1"/>
        <v>0</v>
      </c>
      <c r="W18" s="284">
        <f ca="1"/>
        <v>4.6416370327173474E-2</v>
      </c>
      <c r="X18" s="284">
        <f ca="1"/>
        <v>6.81610993871607E-3</v>
      </c>
      <c r="Y18" s="284">
        <f ca="1"/>
        <v>7.1598175223767035E-4</v>
      </c>
      <c r="Z18" s="284">
        <f ca="1"/>
        <v>1.0513985266335046E-4</v>
      </c>
      <c r="AA18" s="284">
        <f ca="1"/>
        <v>2.7454481798517384E-4</v>
      </c>
      <c r="AB18" s="284">
        <f ca="1"/>
        <v>4.03161136750111E-5</v>
      </c>
      <c r="AC18" s="284">
        <f ca="1"/>
        <v>0.28108377947007013</v>
      </c>
      <c r="AD18" s="284">
        <f ca="1"/>
        <v>3.7282812876839766E-2</v>
      </c>
      <c r="AE18" s="283">
        <f t="shared" ca="1" si="11"/>
        <v>1.0000000000000002</v>
      </c>
      <c r="AF18" s="418">
        <f t="shared" ca="1" si="15"/>
        <v>4.7406896897396321E-2</v>
      </c>
    </row>
    <row r="19" spans="1:32" ht="12" customHeight="1" x14ac:dyDescent="0.25">
      <c r="A19" s="262"/>
      <c r="C19" s="263"/>
      <c r="D19" s="62">
        <f t="shared" si="12"/>
        <v>9</v>
      </c>
      <c r="E19" s="63">
        <f t="shared" si="8"/>
        <v>2.25</v>
      </c>
      <c r="F19" s="63">
        <f t="shared" si="13"/>
        <v>72.25</v>
      </c>
      <c r="G19" s="62">
        <f t="shared" si="9"/>
        <v>0</v>
      </c>
      <c r="H19" s="285">
        <f t="array" aca="1" ref="H19:Q19" ca="1">MMULT(H18:Q18, OFFSET(AB.rngTPMroot, MIN(4, INT(($F18-55)/5))*10, $G19*13))</f>
        <v>0</v>
      </c>
      <c r="I19" s="285">
        <f ca="1"/>
        <v>0.21289289615017462</v>
      </c>
      <c r="J19" s="285">
        <f ca="1"/>
        <v>6.9438094182567911E-2</v>
      </c>
      <c r="K19" s="285">
        <f ca="1"/>
        <v>1.0818579647545169E-2</v>
      </c>
      <c r="L19" s="285">
        <f ca="1"/>
        <v>1.194669741292611E-3</v>
      </c>
      <c r="M19" s="285">
        <f ca="1"/>
        <v>1.883260594798288E-4</v>
      </c>
      <c r="N19" s="285">
        <f ca="1"/>
        <v>4.0420218439793192E-4</v>
      </c>
      <c r="O19" s="285">
        <f ca="1"/>
        <v>6.2859784951955231E-5</v>
      </c>
      <c r="P19" s="285">
        <f ca="1"/>
        <v>0.66260839403284499</v>
      </c>
      <c r="Q19" s="285">
        <f ca="1"/>
        <v>4.2391978216744959E-2</v>
      </c>
      <c r="R19" s="283">
        <f t="shared" ca="1" si="10"/>
        <v>1</v>
      </c>
      <c r="S19" s="418">
        <f t="shared" ca="1" si="14"/>
        <v>7.1036966108258451E-2</v>
      </c>
      <c r="U19" s="284">
        <f t="array" aca="1" ref="U19:AD19" ca="1">MMULT(U18:AD18, OFFSET(AB.rngTPMroot, MIN(4, INT(($F18-55)/5))*10, $G19*13))</f>
        <v>0.59174199903315639</v>
      </c>
      <c r="V19" s="284">
        <f ca="1"/>
        <v>0</v>
      </c>
      <c r="W19" s="284">
        <f ca="1"/>
        <v>4.6196090106699762E-2</v>
      </c>
      <c r="X19" s="284">
        <f ca="1"/>
        <v>6.783762643548099E-3</v>
      </c>
      <c r="Y19" s="284">
        <f ca="1"/>
        <v>7.1258388598646684E-4</v>
      </c>
      <c r="Z19" s="284">
        <f ca="1"/>
        <v>1.0464088919612403E-4</v>
      </c>
      <c r="AA19" s="284">
        <f ca="1"/>
        <v>2.7324189850634758E-4</v>
      </c>
      <c r="AB19" s="284">
        <f ca="1"/>
        <v>4.012478500795666E-5</v>
      </c>
      <c r="AC19" s="284">
        <f ca="1"/>
        <v>0.31229593770904701</v>
      </c>
      <c r="AD19" s="284">
        <f ca="1"/>
        <v>4.1851619048851998E-2</v>
      </c>
      <c r="AE19" s="283">
        <f t="shared" ca="1" si="11"/>
        <v>1.0000000000000002</v>
      </c>
      <c r="AF19" s="418">
        <f t="shared" ca="1" si="15"/>
        <v>4.7181915891192576E-2</v>
      </c>
    </row>
    <row r="20" spans="1:32" ht="12" customHeight="1" x14ac:dyDescent="0.25">
      <c r="A20" s="262"/>
      <c r="C20" s="263"/>
      <c r="D20" s="62">
        <f t="shared" si="12"/>
        <v>10</v>
      </c>
      <c r="E20" s="63">
        <f t="shared" si="8"/>
        <v>2.5</v>
      </c>
      <c r="F20" s="63">
        <f t="shared" si="13"/>
        <v>72.5</v>
      </c>
      <c r="G20" s="62">
        <f t="shared" si="9"/>
        <v>0</v>
      </c>
      <c r="H20" s="285">
        <f t="array" aca="1" ref="H20:Q20" ca="1">MMULT(H19:Q19, OFFSET(AB.rngTPMroot, MIN(4, INT(($F19-55)/5))*10, $G20*13))</f>
        <v>0</v>
      </c>
      <c r="I20" s="285">
        <f ca="1"/>
        <v>0.17927197836124126</v>
      </c>
      <c r="J20" s="285">
        <f ca="1"/>
        <v>6.5542951659421117E-2</v>
      </c>
      <c r="K20" s="285">
        <f ca="1"/>
        <v>1.0148392604475401E-2</v>
      </c>
      <c r="L20" s="285">
        <f ca="1"/>
        <v>1.1150711885248884E-3</v>
      </c>
      <c r="M20" s="285">
        <f ca="1"/>
        <v>1.7460124316557264E-4</v>
      </c>
      <c r="N20" s="285">
        <f ca="1"/>
        <v>3.8219151512002025E-4</v>
      </c>
      <c r="O20" s="285">
        <f ca="1"/>
        <v>5.9074237378573711E-5</v>
      </c>
      <c r="P20" s="285">
        <f ca="1"/>
        <v>0.69633923762392047</v>
      </c>
      <c r="Q20" s="285">
        <f ca="1"/>
        <v>4.6966501566752722E-2</v>
      </c>
      <c r="R20" s="283">
        <f t="shared" ca="1" si="10"/>
        <v>1</v>
      </c>
      <c r="S20" s="418">
        <f t="shared" ca="1" si="14"/>
        <v>6.7040214363066022E-2</v>
      </c>
      <c r="U20" s="284">
        <f t="array" aca="1" ref="U20:AD20" ca="1">MMULT(U19:AD19, OFFSET(AB.rngTPMroot, MIN(4, INT(($F19-55)/5))*10, $G20*13))</f>
        <v>0.55823077041732927</v>
      </c>
      <c r="V20" s="284">
        <f ca="1"/>
        <v>0</v>
      </c>
      <c r="W20" s="284">
        <f ca="1"/>
        <v>4.5976855438256276E-2</v>
      </c>
      <c r="X20" s="284">
        <f ca="1"/>
        <v>6.7515686412978355E-3</v>
      </c>
      <c r="Y20" s="284">
        <f ca="1"/>
        <v>7.0920214758346371E-4</v>
      </c>
      <c r="Z20" s="284">
        <f ca="1"/>
        <v>1.041442903026687E-4</v>
      </c>
      <c r="AA20" s="284">
        <f ca="1"/>
        <v>2.7194516328729444E-4</v>
      </c>
      <c r="AB20" s="284">
        <f ca="1"/>
        <v>3.9934363042048688E-5</v>
      </c>
      <c r="AC20" s="284">
        <f ca="1"/>
        <v>0.34151683668756633</v>
      </c>
      <c r="AD20" s="284">
        <f ca="1"/>
        <v>4.6398742851334954E-2</v>
      </c>
      <c r="AE20" s="283">
        <f t="shared" ca="1" si="11"/>
        <v>1.0000000000000002</v>
      </c>
      <c r="AF20" s="418">
        <f t="shared" ca="1" si="15"/>
        <v>4.6958002749127037E-2</v>
      </c>
    </row>
    <row r="21" spans="1:32" ht="12" customHeight="1" x14ac:dyDescent="0.25">
      <c r="A21" s="262"/>
      <c r="C21" s="263"/>
      <c r="D21" s="62">
        <f t="shared" si="12"/>
        <v>11</v>
      </c>
      <c r="E21" s="63">
        <f t="shared" si="8"/>
        <v>2.75</v>
      </c>
      <c r="F21" s="63">
        <f t="shared" si="13"/>
        <v>72.75</v>
      </c>
      <c r="G21" s="62">
        <f t="shared" si="9"/>
        <v>0</v>
      </c>
      <c r="H21" s="285">
        <f t="array" aca="1" ref="H21:Q21" ca="1">MMULT(H20:Q20, OFFSET(AB.rngTPMroot, MIN(4, INT(($F20-55)/5))*10, $G21*13))</f>
        <v>0</v>
      </c>
      <c r="I21" s="285">
        <f ca="1"/>
        <v>0.15096061356074045</v>
      </c>
      <c r="J21" s="285">
        <f ca="1"/>
        <v>6.2229389789731568E-2</v>
      </c>
      <c r="K21" s="285">
        <f ca="1"/>
        <v>9.5791166754536604E-3</v>
      </c>
      <c r="L21" s="285">
        <f ca="1"/>
        <v>1.0475255540180759E-3</v>
      </c>
      <c r="M21" s="285">
        <f ca="1"/>
        <v>1.6296789732357669E-4</v>
      </c>
      <c r="N21" s="285">
        <f ca="1"/>
        <v>3.6345838171245937E-4</v>
      </c>
      <c r="O21" s="285">
        <f ca="1"/>
        <v>5.585737326458728E-5</v>
      </c>
      <c r="P21" s="285">
        <f ca="1"/>
        <v>0.72408648738286607</v>
      </c>
      <c r="Q21" s="285">
        <f ca="1"/>
        <v>5.1514583384889567E-2</v>
      </c>
      <c r="R21" s="283">
        <f t="shared" ca="1" si="10"/>
        <v>1</v>
      </c>
      <c r="S21" s="418">
        <f t="shared" ca="1" si="14"/>
        <v>6.3640373725462107E-2</v>
      </c>
      <c r="U21" s="284">
        <f t="array" aca="1" ref="U21:AD21" ca="1">MMULT(U20:AD20, OFFSET(AB.rngTPMroot, MIN(4, INT(($F20-55)/5))*10, $G21*13))</f>
        <v>0.52661733246901787</v>
      </c>
      <c r="V21" s="284">
        <f ca="1"/>
        <v>0</v>
      </c>
      <c r="W21" s="284">
        <f ca="1"/>
        <v>4.5758661203810981E-2</v>
      </c>
      <c r="X21" s="284">
        <f ca="1"/>
        <v>6.7195274467047516E-3</v>
      </c>
      <c r="Y21" s="284">
        <f ca="1"/>
        <v>7.0583645808199827E-4</v>
      </c>
      <c r="Z21" s="284">
        <f ca="1"/>
        <v>1.0365004849774423E-4</v>
      </c>
      <c r="AA21" s="284">
        <f ca="1"/>
        <v>2.7065458205573857E-4</v>
      </c>
      <c r="AB21" s="284">
        <f ca="1"/>
        <v>3.9744844907054921E-5</v>
      </c>
      <c r="AC21" s="284">
        <f ca="1"/>
        <v>0.36886030576379253</v>
      </c>
      <c r="AD21" s="284">
        <f ca="1"/>
        <v>5.0924287183131453E-2</v>
      </c>
      <c r="AE21" s="283">
        <f t="shared" ca="1" si="11"/>
        <v>1.0000000000000002</v>
      </c>
      <c r="AF21" s="418">
        <f t="shared" ca="1" si="15"/>
        <v>4.6735152243948717E-2</v>
      </c>
    </row>
    <row r="22" spans="1:32" ht="12" customHeight="1" x14ac:dyDescent="0.25">
      <c r="A22" s="262"/>
      <c r="C22" s="263"/>
      <c r="D22" s="62">
        <f t="shared" si="12"/>
        <v>12</v>
      </c>
      <c r="E22" s="63">
        <f t="shared" si="8"/>
        <v>3</v>
      </c>
      <c r="F22" s="63">
        <f t="shared" si="13"/>
        <v>73</v>
      </c>
      <c r="G22" s="62">
        <f t="shared" si="9"/>
        <v>0</v>
      </c>
      <c r="H22" s="285">
        <f t="array" aca="1" ref="H22:Q22" ca="1">MMULT(H21:Q21, OFFSET(AB.rngTPMroot, MIN(4, INT(($F21-55)/5))*10, $G22*13))</f>
        <v>0</v>
      </c>
      <c r="I22" s="285">
        <f ca="1"/>
        <v>0.12712029540229713</v>
      </c>
      <c r="J22" s="285">
        <f ca="1"/>
        <v>5.9405722211953733E-2</v>
      </c>
      <c r="K22" s="285">
        <f ca="1"/>
        <v>9.0948388857376057E-3</v>
      </c>
      <c r="L22" s="285">
        <f ca="1"/>
        <v>9.9013184782580023E-4</v>
      </c>
      <c r="M22" s="285">
        <f ca="1"/>
        <v>1.5309608811332878E-4</v>
      </c>
      <c r="N22" s="285">
        <f ca="1"/>
        <v>3.4748612414727583E-4</v>
      </c>
      <c r="O22" s="285">
        <f ca="1"/>
        <v>5.3119521732658735E-5</v>
      </c>
      <c r="P22" s="285">
        <f ca="1"/>
        <v>0.74679821346074482</v>
      </c>
      <c r="Q22" s="285">
        <f ca="1"/>
        <v>5.6037096457447574E-2</v>
      </c>
      <c r="R22" s="283">
        <f t="shared" ca="1" si="10"/>
        <v>0.99999999999999989</v>
      </c>
      <c r="S22" s="418">
        <f t="shared" ca="1" si="14"/>
        <v>6.0743340183926811E-2</v>
      </c>
      <c r="U22" s="284">
        <f t="array" aca="1" ref="U22:AD22" ca="1">MMULT(U21:AD21, OFFSET(AB.rngTPMroot, MIN(4, INT(($F21-55)/5))*10, $G22*13))</f>
        <v>0.49679421048298245</v>
      </c>
      <c r="V22" s="284">
        <f ca="1"/>
        <v>0</v>
      </c>
      <c r="W22" s="284">
        <f ca="1"/>
        <v>4.5541502461263983E-2</v>
      </c>
      <c r="X22" s="284">
        <f ca="1"/>
        <v>6.6876383117673516E-3</v>
      </c>
      <c r="Y22" s="284">
        <f ca="1"/>
        <v>7.0248674124919581E-4</v>
      </c>
      <c r="Z22" s="284">
        <f ca="1"/>
        <v>1.0315815224327867E-4</v>
      </c>
      <c r="AA22" s="284">
        <f ca="1"/>
        <v>2.6937012558001216E-4</v>
      </c>
      <c r="AB22" s="284">
        <f ca="1"/>
        <v>3.9556226178675648E-5</v>
      </c>
      <c r="AC22" s="284">
        <f ca="1"/>
        <v>0.39443372304389346</v>
      </c>
      <c r="AD22" s="284">
        <f ca="1"/>
        <v>5.5428354454841788E-2</v>
      </c>
      <c r="AE22" s="283">
        <f t="shared" ca="1" si="11"/>
        <v>1.0000000000000002</v>
      </c>
      <c r="AF22" s="418">
        <f t="shared" ca="1" si="15"/>
        <v>4.6513359328093189E-2</v>
      </c>
    </row>
    <row r="23" spans="1:32" ht="12" customHeight="1" x14ac:dyDescent="0.25">
      <c r="A23" s="262"/>
      <c r="C23" s="263"/>
      <c r="D23" s="62">
        <f t="shared" si="12"/>
        <v>13</v>
      </c>
      <c r="E23" s="63">
        <f t="shared" si="8"/>
        <v>3.25</v>
      </c>
      <c r="F23" s="63">
        <f t="shared" si="13"/>
        <v>73.25</v>
      </c>
      <c r="G23" s="62">
        <f t="shared" si="9"/>
        <v>0</v>
      </c>
      <c r="H23" s="285">
        <f t="array" aca="1" ref="H23:Q23" ca="1">MMULT(H22:Q22, OFFSET(AB.rngTPMroot, MIN(4, INT(($F22-55)/5))*10, $G23*13))</f>
        <v>0</v>
      </c>
      <c r="I23" s="285">
        <f ca="1"/>
        <v>0.10704493789477962</v>
      </c>
      <c r="J23" s="285">
        <f ca="1"/>
        <v>5.6994741311062691E-2</v>
      </c>
      <c r="K23" s="285">
        <f ca="1"/>
        <v>8.6821592535968467E-3</v>
      </c>
      <c r="L23" s="285">
        <f ca="1"/>
        <v>9.4128928071665109E-4</v>
      </c>
      <c r="M23" s="285">
        <f ca="1"/>
        <v>1.4470798543969078E-4</v>
      </c>
      <c r="N23" s="285">
        <f ca="1"/>
        <v>3.338396710919104E-4</v>
      </c>
      <c r="O23" s="285">
        <f ca="1"/>
        <v>5.0785172807051596E-5</v>
      </c>
      <c r="P23" s="285">
        <f ca="1"/>
        <v>0.76527274801881673</v>
      </c>
      <c r="Q23" s="285">
        <f ca="1"/>
        <v>6.0534791411688722E-2</v>
      </c>
      <c r="R23" s="283">
        <f t="shared" ca="1" si="10"/>
        <v>0.99999999999999989</v>
      </c>
      <c r="S23" s="418">
        <f t="shared" ca="1" si="14"/>
        <v>5.8269870262871254E-2</v>
      </c>
      <c r="U23" s="284">
        <f t="array" aca="1" ref="U23:AD23" ca="1">MMULT(U22:AD22, OFFSET(AB.rngTPMroot, MIN(4, INT(($F22-55)/5))*10, $G23*13))</f>
        <v>0.46866001620622683</v>
      </c>
      <c r="V23" s="284">
        <f ca="1"/>
        <v>0</v>
      </c>
      <c r="W23" s="284">
        <f ca="1"/>
        <v>4.5325374297855131E-2</v>
      </c>
      <c r="X23" s="284">
        <f ca="1"/>
        <v>6.6559005141966577E-3</v>
      </c>
      <c r="Y23" s="284">
        <f ca="1"/>
        <v>6.9915292130475273E-4</v>
      </c>
      <c r="Z23" s="284">
        <f ca="1"/>
        <v>1.0266859039782073E-4</v>
      </c>
      <c r="AA23" s="284">
        <f ca="1"/>
        <v>2.6809176480198686E-4</v>
      </c>
      <c r="AB23" s="284">
        <f ca="1"/>
        <v>3.9368502584696238E-5</v>
      </c>
      <c r="AC23" s="284">
        <f ca="1"/>
        <v>0.41833838061160838</v>
      </c>
      <c r="AD23" s="284">
        <f ca="1"/>
        <v>5.9911046591023948E-2</v>
      </c>
      <c r="AE23" s="283">
        <f t="shared" ca="1" si="11"/>
        <v>1.0000000000000002</v>
      </c>
      <c r="AF23" s="418">
        <f t="shared" ca="1" si="15"/>
        <v>4.6292618983961864E-2</v>
      </c>
    </row>
    <row r="24" spans="1:32" ht="12" customHeight="1" x14ac:dyDescent="0.25">
      <c r="A24" s="262"/>
      <c r="C24" s="263"/>
      <c r="D24" s="62">
        <f t="shared" si="12"/>
        <v>14</v>
      </c>
      <c r="E24" s="63">
        <f t="shared" si="8"/>
        <v>3.5</v>
      </c>
      <c r="F24" s="63">
        <f t="shared" si="13"/>
        <v>73.5</v>
      </c>
      <c r="G24" s="62">
        <f t="shared" si="9"/>
        <v>0</v>
      </c>
      <c r="H24" s="285">
        <f t="array" aca="1" ref="H24:Q24" ca="1">MMULT(H23:Q23, OFFSET(AB.rngTPMroot, MIN(4, INT(($F23-55)/5))*10, $G24*13))</f>
        <v>0</v>
      </c>
      <c r="I24" s="285">
        <f ca="1"/>
        <v>9.013996303764224E-2</v>
      </c>
      <c r="J24" s="285">
        <f ca="1"/>
        <v>5.4931431658458596E-2</v>
      </c>
      <c r="K24" s="285">
        <f ca="1"/>
        <v>8.3297938692617948E-3</v>
      </c>
      <c r="L24" s="285">
        <f ca="1"/>
        <v>8.9964985498339829E-4</v>
      </c>
      <c r="M24" s="285">
        <f ca="1"/>
        <v>1.3756963360746959E-4</v>
      </c>
      <c r="N24" s="285">
        <f ca="1"/>
        <v>3.2215265498686312E-4</v>
      </c>
      <c r="O24" s="285">
        <f ca="1"/>
        <v>4.8790740717653059E-5</v>
      </c>
      <c r="P24" s="285">
        <f ca="1"/>
        <v>0.78018233261695147</v>
      </c>
      <c r="Q24" s="285">
        <f ca="1"/>
        <v>6.5008315933390473E-2</v>
      </c>
      <c r="R24" s="283">
        <f t="shared" ca="1" si="10"/>
        <v>1</v>
      </c>
      <c r="S24" s="418">
        <f t="shared" ca="1" si="14"/>
        <v>5.6153234168428857E-2</v>
      </c>
      <c r="U24" s="284">
        <f t="array" aca="1" ref="U24:AD24" ca="1">MMULT(U23:AD23, OFFSET(AB.rngTPMroot, MIN(4, INT(($F23-55)/5))*10, $G24*13))</f>
        <v>0.44211910315316483</v>
      </c>
      <c r="V24" s="284">
        <f ca="1"/>
        <v>0</v>
      </c>
      <c r="W24" s="284">
        <f ca="1"/>
        <v>4.5110271822683429E-2</v>
      </c>
      <c r="X24" s="284">
        <f ca="1"/>
        <v>6.6243133359917021E-3</v>
      </c>
      <c r="Y24" s="284">
        <f ca="1"/>
        <v>6.9583492280554811E-4</v>
      </c>
      <c r="Z24" s="284">
        <f ca="1"/>
        <v>1.0218135188606255E-4</v>
      </c>
      <c r="AA24" s="284">
        <f ca="1"/>
        <v>2.6681947079282774E-4</v>
      </c>
      <c r="AB24" s="284">
        <f ca="1"/>
        <v>3.9181669878264902E-5</v>
      </c>
      <c r="AC24" s="284">
        <f ca="1"/>
        <v>0.44066982924026843</v>
      </c>
      <c r="AD24" s="284">
        <f ca="1"/>
        <v>6.4372465032529191E-2</v>
      </c>
      <c r="AE24" s="283">
        <f t="shared" ca="1" si="11"/>
        <v>1.0000000000000004</v>
      </c>
      <c r="AF24" s="418">
        <f t="shared" ca="1" si="15"/>
        <v>4.6072926216281805E-2</v>
      </c>
    </row>
    <row r="25" spans="1:32" ht="12" customHeight="1" x14ac:dyDescent="0.25">
      <c r="A25" s="262"/>
      <c r="C25" s="263"/>
      <c r="D25" s="62">
        <f t="shared" si="12"/>
        <v>15</v>
      </c>
      <c r="E25" s="63">
        <f t="shared" si="8"/>
        <v>3.75</v>
      </c>
      <c r="F25" s="63">
        <f t="shared" si="13"/>
        <v>73.75</v>
      </c>
      <c r="G25" s="62">
        <f t="shared" si="9"/>
        <v>0</v>
      </c>
      <c r="H25" s="285">
        <f t="array" aca="1" ref="H25:Q25" ca="1">MMULT(H24:Q24, OFFSET(AB.rngTPMroot, MIN(4, INT(($F24-55)/5))*10, $G25*13))</f>
        <v>0</v>
      </c>
      <c r="I25" s="285">
        <f ca="1"/>
        <v>7.590469102251457E-2</v>
      </c>
      <c r="J25" s="285">
        <f ca="1"/>
        <v>5.3161044579699529E-2</v>
      </c>
      <c r="K25" s="285">
        <f ca="1"/>
        <v>8.0282407136671695E-3</v>
      </c>
      <c r="L25" s="285">
        <f ca="1"/>
        <v>8.6407844268975671E-4</v>
      </c>
      <c r="M25" s="285">
        <f ca="1"/>
        <v>1.3148402245784747E-4</v>
      </c>
      <c r="N25" s="285">
        <f ca="1"/>
        <v>3.1211656211028836E-4</v>
      </c>
      <c r="O25" s="285">
        <f ca="1"/>
        <v>4.7082680765762529E-5</v>
      </c>
      <c r="P25" s="285">
        <f ca="1"/>
        <v>0.79209303102634687</v>
      </c>
      <c r="Q25" s="285">
        <f ca="1"/>
        <v>6.9458230949748123E-2</v>
      </c>
      <c r="R25" s="283">
        <f t="shared" ca="1" si="10"/>
        <v>0.99999999999999989</v>
      </c>
      <c r="S25" s="418">
        <f t="shared" ca="1" si="14"/>
        <v>5.4337239584499576E-2</v>
      </c>
      <c r="U25" s="284">
        <f t="array" aca="1" ref="U25:AD25" ca="1">MMULT(U24:AD24, OFFSET(AB.rngTPMroot, MIN(4, INT(($F24-55)/5))*10, $G25*13))</f>
        <v>0.41708124144080055</v>
      </c>
      <c r="V25" s="284">
        <f ca="1"/>
        <v>0</v>
      </c>
      <c r="W25" s="284">
        <f ca="1"/>
        <v>4.4896190168089767E-2</v>
      </c>
      <c r="X25" s="284">
        <f ca="1"/>
        <v>6.5928760623462385E-3</v>
      </c>
      <c r="Y25" s="284">
        <f ca="1"/>
        <v>6.9253267066697068E-4</v>
      </c>
      <c r="Z25" s="284">
        <f ca="1"/>
        <v>1.0169642568197556E-4</v>
      </c>
      <c r="AA25" s="284">
        <f ca="1"/>
        <v>2.6555321476117127E-4</v>
      </c>
      <c r="AB25" s="284">
        <f ca="1"/>
        <v>3.8995723831426101E-5</v>
      </c>
      <c r="AC25" s="284">
        <f ca="1"/>
        <v>0.46151820355502526</v>
      </c>
      <c r="AD25" s="284">
        <f ca="1"/>
        <v>6.8812710738796953E-2</v>
      </c>
      <c r="AE25" s="283">
        <f t="shared" ca="1" si="11"/>
        <v>1.0000000000000004</v>
      </c>
      <c r="AF25" s="418">
        <f t="shared" ca="1" si="15"/>
        <v>4.5854276053517905E-2</v>
      </c>
    </row>
    <row r="26" spans="1:32" ht="12" customHeight="1" x14ac:dyDescent="0.25">
      <c r="A26" s="262"/>
      <c r="C26" s="263"/>
      <c r="D26" s="62">
        <f t="shared" si="12"/>
        <v>16</v>
      </c>
      <c r="E26" s="63">
        <f t="shared" si="8"/>
        <v>4</v>
      </c>
      <c r="F26" s="63">
        <f t="shared" si="13"/>
        <v>74</v>
      </c>
      <c r="G26" s="62">
        <f t="shared" si="9"/>
        <v>0</v>
      </c>
      <c r="H26" s="285">
        <f t="array" aca="1" ref="H26:Q26" ca="1">MMULT(H25:Q25, OFFSET(AB.rngTPMroot, MIN(4, INT(($F25-55)/5))*10, $G26*13))</f>
        <v>0</v>
      </c>
      <c r="I26" s="285">
        <f ca="1"/>
        <v>6.3917511446253933E-2</v>
      </c>
      <c r="J26" s="285">
        <f ca="1"/>
        <v>5.1637476790144701E-2</v>
      </c>
      <c r="K26" s="285">
        <f ca="1"/>
        <v>7.7694982561063494E-3</v>
      </c>
      <c r="L26" s="285">
        <f ca="1"/>
        <v>8.3361916845852129E-4</v>
      </c>
      <c r="M26" s="285">
        <f ca="1"/>
        <v>1.2628525279544272E-4</v>
      </c>
      <c r="N26" s="285">
        <f ca="1"/>
        <v>3.0347159608375384E-4</v>
      </c>
      <c r="O26" s="285">
        <f ca="1"/>
        <v>4.5615903603666564E-5</v>
      </c>
      <c r="P26" s="285">
        <f ca="1"/>
        <v>0.80148149732959395</v>
      </c>
      <c r="Q26" s="285">
        <f ca="1"/>
        <v>7.3885024256959572E-2</v>
      </c>
      <c r="R26" s="283">
        <f t="shared" ca="1" si="10"/>
        <v>0.99999999999999978</v>
      </c>
      <c r="S26" s="418">
        <f t="shared" ca="1" si="14"/>
        <v>5.2774567554686971E-2</v>
      </c>
      <c r="U26" s="284">
        <f t="array" aca="1" ref="U26:AD26" ca="1">MMULT(U25:AD25, OFFSET(AB.rngTPMroot, MIN(4, INT(($F25-55)/5))*10, $G26*13))</f>
        <v>0.39346131103847581</v>
      </c>
      <c r="V26" s="284">
        <f ca="1"/>
        <v>0</v>
      </c>
      <c r="W26" s="284">
        <f ca="1"/>
        <v>4.4683124489525085E-2</v>
      </c>
      <c r="X26" s="284">
        <f ca="1"/>
        <v>6.561587981850827E-3</v>
      </c>
      <c r="Y26" s="284">
        <f ca="1"/>
        <v>6.8924609016088702E-4</v>
      </c>
      <c r="Z26" s="284">
        <f ca="1"/>
        <v>1.0121380081192741E-4</v>
      </c>
      <c r="AA26" s="284">
        <f ca="1"/>
        <v>2.6429296805234614E-4</v>
      </c>
      <c r="AB26" s="284">
        <f ca="1"/>
        <v>3.8810660236315783E-5</v>
      </c>
      <c r="AC26" s="284">
        <f ca="1"/>
        <v>0.48096852878074781</v>
      </c>
      <c r="AD26" s="284">
        <f ca="1"/>
        <v>7.3231884190139346E-2</v>
      </c>
      <c r="AE26" s="283">
        <f t="shared" ca="1" si="11"/>
        <v>1.0000000000000004</v>
      </c>
      <c r="AF26" s="418">
        <f t="shared" ca="1" si="15"/>
        <v>4.5636663547738321E-2</v>
      </c>
    </row>
    <row r="27" spans="1:32" ht="12" customHeight="1" x14ac:dyDescent="0.25">
      <c r="A27" s="262"/>
      <c r="C27" s="263"/>
      <c r="D27" s="62">
        <f t="shared" si="12"/>
        <v>17</v>
      </c>
      <c r="E27" s="63">
        <f t="shared" si="8"/>
        <v>4.25</v>
      </c>
      <c r="F27" s="63">
        <f t="shared" si="13"/>
        <v>74.25</v>
      </c>
      <c r="G27" s="62">
        <f t="shared" si="9"/>
        <v>0</v>
      </c>
      <c r="H27" s="285">
        <f t="array" aca="1" ref="H27:Q27" ca="1">MMULT(H26:Q26, OFFSET(AB.rngTPMroot, MIN(4, INT(($F26-55)/5))*10, $G27*13))</f>
        <v>0</v>
      </c>
      <c r="I27" s="285">
        <f ca="1"/>
        <v>5.3823396346744788E-2</v>
      </c>
      <c r="J27" s="285">
        <f ca="1"/>
        <v>5.0321905083108319E-2</v>
      </c>
      <c r="K27" s="285">
        <f ca="1"/>
        <v>7.5468284914771127E-3</v>
      </c>
      <c r="L27" s="285">
        <f ca="1"/>
        <v>8.0746710122764007E-4</v>
      </c>
      <c r="M27" s="285">
        <f ca="1"/>
        <v>1.2183362322546586E-4</v>
      </c>
      <c r="N27" s="285">
        <f ca="1"/>
        <v>2.9599898425065462E-4</v>
      </c>
      <c r="O27" s="285">
        <f ca="1"/>
        <v>4.4352439934013472E-5</v>
      </c>
      <c r="P27" s="285">
        <f ca="1"/>
        <v>0.80874909593399569</v>
      </c>
      <c r="Q27" s="285">
        <f ca="1"/>
        <v>7.8289121996036284E-2</v>
      </c>
      <c r="R27" s="283">
        <f t="shared" ca="1" si="10"/>
        <v>1</v>
      </c>
      <c r="S27" s="418">
        <f t="shared" ca="1" si="14"/>
        <v>5.1425371168586607E-2</v>
      </c>
      <c r="U27" s="284">
        <f t="array" aca="1" ref="U27:AD27" ca="1">MMULT(U26:AD26, OFFSET(AB.rngTPMroot, MIN(4, INT(($F26-55)/5))*10, $G27*13))</f>
        <v>0.37117901238933998</v>
      </c>
      <c r="V27" s="284">
        <f ca="1"/>
        <v>0</v>
      </c>
      <c r="W27" s="284">
        <f ca="1"/>
        <v>4.4471069965430585E-2</v>
      </c>
      <c r="X27" s="284">
        <f ca="1"/>
        <v>6.5304483864735653E-3</v>
      </c>
      <c r="Y27" s="284">
        <f ca="1"/>
        <v>6.8597510691379272E-4</v>
      </c>
      <c r="Z27" s="284">
        <f ca="1"/>
        <v>1.0073346635438515E-4</v>
      </c>
      <c r="AA27" s="284">
        <f ca="1"/>
        <v>2.6303870214766439E-4</v>
      </c>
      <c r="AB27" s="284">
        <f ca="1"/>
        <v>3.8626474905047483E-5</v>
      </c>
      <c r="AC27" s="284">
        <f ca="1"/>
        <v>0.49910101011842034</v>
      </c>
      <c r="AD27" s="284">
        <f ca="1"/>
        <v>7.7630085390014966E-2</v>
      </c>
      <c r="AE27" s="283">
        <f t="shared" ca="1" si="11"/>
        <v>1.0000000000000002</v>
      </c>
      <c r="AF27" s="418">
        <f t="shared" ca="1" si="15"/>
        <v>4.5420083774492047E-2</v>
      </c>
    </row>
    <row r="28" spans="1:32" ht="12" customHeight="1" x14ac:dyDescent="0.25">
      <c r="A28" s="262"/>
      <c r="C28" s="263"/>
      <c r="D28" s="62">
        <f t="shared" si="12"/>
        <v>18</v>
      </c>
      <c r="E28" s="63">
        <f t="shared" si="8"/>
        <v>4.5</v>
      </c>
      <c r="F28" s="63">
        <f t="shared" si="13"/>
        <v>74.5</v>
      </c>
      <c r="G28" s="62">
        <f t="shared" si="9"/>
        <v>0</v>
      </c>
      <c r="H28" s="285">
        <f t="array" aca="1" ref="H28:Q28" ca="1">MMULT(H27:Q27, OFFSET(AB.rngTPMroot, MIN(4, INT(($F27-55)/5))*10, $G28*13))</f>
        <v>0</v>
      </c>
      <c r="I28" s="285">
        <f ca="1"/>
        <v>4.5323385231209039E-2</v>
      </c>
      <c r="J28" s="285">
        <f ca="1"/>
        <v>4.918163663366365E-2</v>
      </c>
      <c r="K28" s="285">
        <f ca="1"/>
        <v>7.3545573996576493E-3</v>
      </c>
      <c r="L28" s="285">
        <f ca="1"/>
        <v>7.8494441656027801E-4</v>
      </c>
      <c r="M28" s="285">
        <f ca="1"/>
        <v>1.1801149289769764E-4</v>
      </c>
      <c r="N28" s="285">
        <f ca="1"/>
        <v>2.8951449906292791E-4</v>
      </c>
      <c r="O28" s="285">
        <f ca="1"/>
        <v>4.3260316085341118E-5</v>
      </c>
      <c r="P28" s="285">
        <f ca="1"/>
        <v>0.81423379169420818</v>
      </c>
      <c r="Q28" s="285">
        <f ca="1"/>
        <v>8.2670898316655264E-2</v>
      </c>
      <c r="R28" s="283">
        <f t="shared" ca="1" si="10"/>
        <v>1</v>
      </c>
      <c r="S28" s="418">
        <f t="shared" ca="1" si="14"/>
        <v>5.0256095549286853E-2</v>
      </c>
      <c r="U28" s="284">
        <f t="array" aca="1" ref="U28:AD28" ca="1">MMULT(U27:AD27, OFFSET(AB.rngTPMroot, MIN(4, INT(($F27-55)/5))*10, $G28*13))</f>
        <v>0.35015859341975603</v>
      </c>
      <c r="V28" s="284">
        <f ca="1"/>
        <v>0</v>
      </c>
      <c r="W28" s="284">
        <f ca="1"/>
        <v>4.426002179712929E-2</v>
      </c>
      <c r="X28" s="284">
        <f ca="1"/>
        <v>6.4994565715425839E-3</v>
      </c>
      <c r="Y28" s="284">
        <f ca="1"/>
        <v>6.8271964690514038E-4</v>
      </c>
      <c r="Z28" s="284">
        <f ca="1"/>
        <v>1.0025541143964487E-4</v>
      </c>
      <c r="AA28" s="284">
        <f ca="1"/>
        <v>2.6179038866377995E-4</v>
      </c>
      <c r="AB28" s="284">
        <f ca="1"/>
        <v>3.8443163669608747E-5</v>
      </c>
      <c r="AC28" s="284">
        <f ca="1"/>
        <v>0.5159913057336023</v>
      </c>
      <c r="AD28" s="284">
        <f ca="1"/>
        <v>8.200741386729192E-2</v>
      </c>
      <c r="AE28" s="283">
        <f t="shared" ca="1" si="11"/>
        <v>1.0000000000000004</v>
      </c>
      <c r="AF28" s="418">
        <f t="shared" ca="1" si="15"/>
        <v>4.5204531832698208E-2</v>
      </c>
    </row>
    <row r="29" spans="1:32" ht="12" customHeight="1" x14ac:dyDescent="0.25">
      <c r="A29" s="262"/>
      <c r="C29" s="263"/>
      <c r="D29" s="62">
        <f t="shared" si="12"/>
        <v>19</v>
      </c>
      <c r="E29" s="63">
        <f t="shared" si="8"/>
        <v>4.75</v>
      </c>
      <c r="F29" s="63">
        <f t="shared" si="13"/>
        <v>74.75</v>
      </c>
      <c r="G29" s="62">
        <f t="shared" si="9"/>
        <v>0</v>
      </c>
      <c r="H29" s="285">
        <f t="array" aca="1" ref="H29:Q29" ca="1">MMULT(H28:Q28, OFFSET(AB.rngTPMroot, MIN(4, INT(($F28-55)/5))*10, $G29*13))</f>
        <v>0</v>
      </c>
      <c r="I29" s="285">
        <f ca="1"/>
        <v>3.8165730671896089E-2</v>
      </c>
      <c r="J29" s="285">
        <f ca="1"/>
        <v>4.8189140867158996E-2</v>
      </c>
      <c r="K29" s="285">
        <f ca="1"/>
        <v>7.1879069171568496E-3</v>
      </c>
      <c r="L29" s="285">
        <f ca="1"/>
        <v>7.6548032350018673E-4</v>
      </c>
      <c r="M29" s="285">
        <f ca="1"/>
        <v>1.1471979762290754E-4</v>
      </c>
      <c r="N29" s="285">
        <f ca="1"/>
        <v>2.8386300259679331E-4</v>
      </c>
      <c r="O29" s="285">
        <f ca="1"/>
        <v>4.231260716133271E-5</v>
      </c>
      <c r="P29" s="285">
        <f ca="1"/>
        <v>0.81822016229770456</v>
      </c>
      <c r="Q29" s="285">
        <f ca="1"/>
        <v>8.7030683515202295E-2</v>
      </c>
      <c r="R29" s="283">
        <f t="shared" ca="1" si="10"/>
        <v>1</v>
      </c>
      <c r="S29" s="418">
        <f t="shared" ca="1" si="14"/>
        <v>4.9238484193255973E-2</v>
      </c>
      <c r="U29" s="284">
        <f t="array" aca="1" ref="U29:AD29" ca="1">MMULT(U28:AD28, OFFSET(AB.rngTPMroot, MIN(4, INT(($F28-55)/5))*10, $G29*13))</f>
        <v>0.3303285920085694</v>
      </c>
      <c r="V29" s="284">
        <f ca="1"/>
        <v>0</v>
      </c>
      <c r="W29" s="284">
        <f ca="1"/>
        <v>4.4049975208717528E-2</v>
      </c>
      <c r="X29" s="284">
        <f ca="1"/>
        <v>6.4686118357301977E-3</v>
      </c>
      <c r="Y29" s="284">
        <f ca="1"/>
        <v>6.7947963646566509E-4</v>
      </c>
      <c r="Z29" s="284">
        <f ca="1"/>
        <v>9.9779625249587451E-5</v>
      </c>
      <c r="AA29" s="284">
        <f ca="1"/>
        <v>2.605479993520471E-4</v>
      </c>
      <c r="AB29" s="284">
        <f ca="1"/>
        <v>3.8260722381767356E-5</v>
      </c>
      <c r="AC29" s="284">
        <f ca="1"/>
        <v>0.53171078428503404</v>
      </c>
      <c r="AD29" s="284">
        <f ca="1"/>
        <v>8.6363968678500116E-2</v>
      </c>
      <c r="AE29" s="283">
        <f t="shared" ca="1" si="11"/>
        <v>1.0000000000000002</v>
      </c>
      <c r="AF29" s="418">
        <f t="shared" ca="1" si="15"/>
        <v>4.4990002844535235E-2</v>
      </c>
    </row>
    <row r="30" spans="1:32" ht="12" customHeight="1" x14ac:dyDescent="0.25">
      <c r="A30" s="262"/>
      <c r="C30" s="263"/>
      <c r="D30" s="62">
        <f t="shared" si="12"/>
        <v>20</v>
      </c>
      <c r="E30" s="63">
        <f t="shared" si="8"/>
        <v>5</v>
      </c>
      <c r="F30" s="63">
        <f t="shared" si="13"/>
        <v>75</v>
      </c>
      <c r="G30" s="62">
        <f t="shared" si="9"/>
        <v>0</v>
      </c>
      <c r="H30" s="285">
        <f t="array" aca="1" ref="H30:Q30" ca="1">MMULT(H29:Q29, OFFSET(AB.rngTPMroot, MIN(4, INT(($F29-55)/5))*10, $G30*13))</f>
        <v>0</v>
      </c>
      <c r="I30" s="285">
        <f ca="1"/>
        <v>3.2138442225553357E-2</v>
      </c>
      <c r="J30" s="285">
        <f ca="1"/>
        <v>4.7321234219004533E-2</v>
      </c>
      <c r="K30" s="285">
        <f ca="1"/>
        <v>7.0428534444868353E-3</v>
      </c>
      <c r="L30" s="285">
        <f ca="1"/>
        <v>7.4859416145999945E-4</v>
      </c>
      <c r="M30" s="285">
        <f ca="1"/>
        <v>1.1187511617838944E-4</v>
      </c>
      <c r="N30" s="285">
        <f ca="1"/>
        <v>2.7891385262080425E-4</v>
      </c>
      <c r="O30" s="285">
        <f ca="1"/>
        <v>4.148663972060278E-5</v>
      </c>
      <c r="P30" s="285">
        <f ca="1"/>
        <v>0.82094782945300859</v>
      </c>
      <c r="Q30" s="285">
        <f ca="1"/>
        <v>9.1368770887966813E-2</v>
      </c>
      <c r="R30" s="283">
        <f t="shared" ca="1" si="10"/>
        <v>0.99999999999999989</v>
      </c>
      <c r="S30" s="418">
        <f t="shared" ca="1" si="14"/>
        <v>4.8348742233085336E-2</v>
      </c>
      <c r="U30" s="284">
        <f t="array" aca="1" ref="U30:AD30" ca="1">MMULT(U29:AD29, OFFSET(AB.rngTPMroot, MIN(4, INT(($F29-55)/5))*10, $G30*13))</f>
        <v>0.31162159304072495</v>
      </c>
      <c r="V30" s="284">
        <f ca="1"/>
        <v>0</v>
      </c>
      <c r="W30" s="284">
        <f ca="1"/>
        <v>4.3840925446956822E-2</v>
      </c>
      <c r="X30" s="284">
        <f ca="1"/>
        <v>6.4379134810370418E-3</v>
      </c>
      <c r="Y30" s="284">
        <f ca="1"/>
        <v>6.762550022757169E-4</v>
      </c>
      <c r="Z30" s="284">
        <f ca="1"/>
        <v>9.9306097017433733E-5</v>
      </c>
      <c r="AA30" s="284">
        <f ca="1"/>
        <v>2.5931150609788075E-4</v>
      </c>
      <c r="AB30" s="284">
        <f ca="1"/>
        <v>3.8079146912977571E-5</v>
      </c>
      <c r="AC30" s="284">
        <f ca="1"/>
        <v>0.54632676786890466</v>
      </c>
      <c r="AD30" s="284">
        <f ca="1"/>
        <v>9.069984841007285E-2</v>
      </c>
      <c r="AE30" s="283">
        <f t="shared" ca="1" si="11"/>
        <v>1.0000000000000004</v>
      </c>
      <c r="AF30" s="418">
        <f t="shared" ca="1" si="15"/>
        <v>4.4776491955330421E-2</v>
      </c>
    </row>
    <row r="31" spans="1:32" ht="12" customHeight="1" x14ac:dyDescent="0.25">
      <c r="A31" s="262"/>
      <c r="C31" s="263"/>
      <c r="D31" s="62">
        <f t="shared" si="12"/>
        <v>21</v>
      </c>
      <c r="E31" s="63">
        <f t="shared" si="8"/>
        <v>5.25</v>
      </c>
      <c r="F31" s="63">
        <f t="shared" si="13"/>
        <v>75.25</v>
      </c>
      <c r="G31" s="62">
        <f t="shared" si="9"/>
        <v>0</v>
      </c>
      <c r="H31" s="285">
        <f t="array" aca="1" ref="H31:Q31" ca="1">MMULT(H30:Q30, OFFSET(AB.rngTPMroot, MIN(4, INT(($F30-55)/5))*10, $G31*13))</f>
        <v>0</v>
      </c>
      <c r="I31" s="285">
        <f ca="1"/>
        <v>2.6947262184315462E-2</v>
      </c>
      <c r="J31" s="285">
        <f ca="1"/>
        <v>4.6558393640514957E-2</v>
      </c>
      <c r="K31" s="285">
        <f ca="1"/>
        <v>6.9160086986280568E-3</v>
      </c>
      <c r="L31" s="285">
        <f ca="1"/>
        <v>7.3388116651787677E-4</v>
      </c>
      <c r="M31" s="285">
        <f ca="1"/>
        <v>1.0940719991450053E-4</v>
      </c>
      <c r="N31" s="285">
        <f ca="1"/>
        <v>2.7455703415634337E-4</v>
      </c>
      <c r="O31" s="285">
        <f ca="1"/>
        <v>4.0763320372541297E-5</v>
      </c>
      <c r="P31" s="285">
        <f ca="1"/>
        <v>0.81941908666006413</v>
      </c>
      <c r="Q31" s="285">
        <f ca="1"/>
        <v>9.9000640095516068E-2</v>
      </c>
      <c r="R31" s="283">
        <f t="shared" ca="1" si="10"/>
        <v>1</v>
      </c>
      <c r="S31" s="418">
        <f t="shared" ca="1" si="14"/>
        <v>4.7566831841189178E-2</v>
      </c>
      <c r="U31" s="284">
        <f t="array" aca="1" ref="U31:AD31" ca="1">MMULT(U30:AD30, OFFSET(AB.rngTPMroot, MIN(4, INT(($F30-55)/5))*10, $G31*13))</f>
        <v>0.29285170313082987</v>
      </c>
      <c r="V31" s="284">
        <f ca="1"/>
        <v>0</v>
      </c>
      <c r="W31" s="284">
        <f ca="1"/>
        <v>4.3632867781166318E-2</v>
      </c>
      <c r="X31" s="284">
        <f ca="1"/>
        <v>6.4073608127762777E-3</v>
      </c>
      <c r="Y31" s="284">
        <f ca="1"/>
        <v>6.7304567136360213E-4</v>
      </c>
      <c r="Z31" s="284">
        <f ca="1"/>
        <v>9.8834816027500925E-5</v>
      </c>
      <c r="AA31" s="284">
        <f ca="1"/>
        <v>2.5808088092012032E-4</v>
      </c>
      <c r="AB31" s="284">
        <f ca="1"/>
        <v>3.7898433154286658E-5</v>
      </c>
      <c r="AC31" s="284">
        <f ca="1"/>
        <v>0.55771084768692947</v>
      </c>
      <c r="AD31" s="284">
        <f ca="1"/>
        <v>9.8329360786832826E-2</v>
      </c>
      <c r="AE31" s="283">
        <f t="shared" ca="1" si="11"/>
        <v>1.0000000000000002</v>
      </c>
      <c r="AF31" s="418">
        <f t="shared" ca="1" si="15"/>
        <v>4.4563994333450041E-2</v>
      </c>
    </row>
    <row r="32" spans="1:32" ht="12" customHeight="1" x14ac:dyDescent="0.25">
      <c r="A32" s="262"/>
      <c r="C32" s="263"/>
      <c r="D32" s="62">
        <f t="shared" si="12"/>
        <v>22</v>
      </c>
      <c r="E32" s="63">
        <f t="shared" si="8"/>
        <v>5.5</v>
      </c>
      <c r="F32" s="63">
        <f t="shared" si="13"/>
        <v>75.5</v>
      </c>
      <c r="G32" s="62">
        <f t="shared" si="9"/>
        <v>0</v>
      </c>
      <c r="H32" s="285">
        <f t="array" aca="1" ref="H32:Q32" ca="1">MMULT(H31:Q31, OFFSET(AB.rngTPMroot, MIN(4, INT(($F31-55)/5))*10, $G32*13))</f>
        <v>0</v>
      </c>
      <c r="I32" s="285">
        <f ca="1"/>
        <v>2.2594590432664794E-2</v>
      </c>
      <c r="J32" s="285">
        <f ca="1"/>
        <v>4.5704149030883982E-2</v>
      </c>
      <c r="K32" s="285">
        <f ca="1"/>
        <v>6.8045193817585156E-3</v>
      </c>
      <c r="L32" s="285">
        <f ca="1"/>
        <v>7.1816692053077054E-4</v>
      </c>
      <c r="M32" s="285">
        <f ca="1"/>
        <v>1.0725689249581266E-4</v>
      </c>
      <c r="N32" s="285">
        <f ca="1"/>
        <v>2.6963804001005652E-4</v>
      </c>
      <c r="O32" s="285">
        <f ca="1"/>
        <v>4.0126570404036594E-5</v>
      </c>
      <c r="P32" s="285">
        <f ca="1"/>
        <v>0.81719400562399058</v>
      </c>
      <c r="Q32" s="285">
        <f ca="1"/>
        <v>0.10656754710726134</v>
      </c>
      <c r="R32" s="283">
        <f t="shared" ca="1" si="10"/>
        <v>0.99999999999999989</v>
      </c>
      <c r="S32" s="418">
        <f t="shared" ca="1" si="14"/>
        <v>4.6691953991424805E-2</v>
      </c>
      <c r="U32" s="284">
        <f t="array" aca="1" ref="U32:AD32" ca="1">MMULT(U31:AD31, OFFSET(AB.rngTPMroot, MIN(4, INT(($F31-55)/5))*10, $G32*13))</f>
        <v>0.27521237918650809</v>
      </c>
      <c r="V32" s="284">
        <f ca="1"/>
        <v>0</v>
      </c>
      <c r="W32" s="284">
        <f ca="1"/>
        <v>4.3257246018973426E-2</v>
      </c>
      <c r="X32" s="284">
        <f ca="1"/>
        <v>6.3769531395578673E-3</v>
      </c>
      <c r="Y32" s="284">
        <f ca="1"/>
        <v>6.6725163090809443E-4</v>
      </c>
      <c r="Z32" s="284">
        <f ca="1"/>
        <v>9.8365771614960048E-5</v>
      </c>
      <c r="AA32" s="284">
        <f ca="1"/>
        <v>2.5585914303743746E-4</v>
      </c>
      <c r="AB32" s="284">
        <f ca="1"/>
        <v>3.7718577016241889E-5</v>
      </c>
      <c r="AC32" s="284">
        <f ca="1"/>
        <v>0.56819903732279764</v>
      </c>
      <c r="AD32" s="284">
        <f ca="1"/>
        <v>0.10589518920958647</v>
      </c>
      <c r="AE32" s="283">
        <f t="shared" ca="1" si="11"/>
        <v>1.0000000000000002</v>
      </c>
      <c r="AF32" s="418">
        <f t="shared" ca="1" si="15"/>
        <v>4.4180356792918964E-2</v>
      </c>
    </row>
    <row r="33" spans="1:32" ht="12" customHeight="1" x14ac:dyDescent="0.25">
      <c r="A33" s="262"/>
      <c r="C33" s="263"/>
      <c r="D33" s="62">
        <f t="shared" si="12"/>
        <v>23</v>
      </c>
      <c r="E33" s="63">
        <f t="shared" si="8"/>
        <v>5.75</v>
      </c>
      <c r="F33" s="63">
        <f t="shared" si="13"/>
        <v>75.75</v>
      </c>
      <c r="G33" s="62">
        <f t="shared" si="9"/>
        <v>0</v>
      </c>
      <c r="H33" s="285">
        <f t="array" aca="1" ref="H33:Q33" ca="1">MMULT(H32:Q32, OFFSET(AB.rngTPMroot, MIN(4, INT(($F32-55)/5))*10, $G33*13))</f>
        <v>0</v>
      </c>
      <c r="I33" s="285">
        <f ca="1"/>
        <v>1.8944986445302441E-2</v>
      </c>
      <c r="J33" s="285">
        <f ca="1"/>
        <v>4.4939914711744043E-2</v>
      </c>
      <c r="K33" s="285">
        <f ca="1"/>
        <v>6.6796713458086993E-3</v>
      </c>
      <c r="L33" s="285">
        <f ca="1"/>
        <v>7.0425094854252915E-4</v>
      </c>
      <c r="M33" s="285">
        <f ca="1"/>
        <v>1.0496025201859618E-4</v>
      </c>
      <c r="N33" s="285">
        <f ca="1"/>
        <v>2.6522984276163036E-4</v>
      </c>
      <c r="O33" s="285">
        <f ca="1"/>
        <v>3.9407658337061011E-5</v>
      </c>
      <c r="P33" s="285">
        <f ca="1"/>
        <v>0.81425167461528469</v>
      </c>
      <c r="Q33" s="285">
        <f ca="1"/>
        <v>0.11406990418020027</v>
      </c>
      <c r="R33" s="283">
        <f t="shared" ca="1" si="10"/>
        <v>0.99999999999999989</v>
      </c>
      <c r="S33" s="418">
        <f t="shared" ca="1" si="14"/>
        <v>4.5909395503048199E-2</v>
      </c>
      <c r="U33" s="284">
        <f t="array" aca="1" ref="U33:AD33" ca="1">MMULT(U32:AD32, OFFSET(AB.rngTPMroot, MIN(4, INT(($F32-55)/5))*10, $G33*13))</f>
        <v>0.25863552387694688</v>
      </c>
      <c r="V33" s="284">
        <f ca="1"/>
        <v>0</v>
      </c>
      <c r="W33" s="284">
        <f ca="1"/>
        <v>4.2893559214519018E-2</v>
      </c>
      <c r="X33" s="284">
        <f ca="1"/>
        <v>6.3220559371159925E-3</v>
      </c>
      <c r="Y33" s="284">
        <f ca="1"/>
        <v>6.6164168955155228E-4</v>
      </c>
      <c r="Z33" s="284">
        <f ca="1"/>
        <v>9.7518971339104172E-5</v>
      </c>
      <c r="AA33" s="284">
        <f ca="1"/>
        <v>2.5370799836953802E-4</v>
      </c>
      <c r="AB33" s="284">
        <f ca="1"/>
        <v>3.7393869540278911E-5</v>
      </c>
      <c r="AC33" s="284">
        <f ca="1"/>
        <v>0.5777010398461877</v>
      </c>
      <c r="AD33" s="284">
        <f ca="1"/>
        <v>0.11339755859643016</v>
      </c>
      <c r="AE33" s="283">
        <f t="shared" ca="1" si="11"/>
        <v>1.0000000000000002</v>
      </c>
      <c r="AF33" s="418">
        <f t="shared" ca="1" si="15"/>
        <v>4.3808908902440109E-2</v>
      </c>
    </row>
    <row r="34" spans="1:32" ht="12" customHeight="1" x14ac:dyDescent="0.25">
      <c r="A34" s="262"/>
      <c r="C34" s="263"/>
      <c r="D34" s="62">
        <f t="shared" si="12"/>
        <v>24</v>
      </c>
      <c r="E34" s="63">
        <f t="shared" si="8"/>
        <v>6</v>
      </c>
      <c r="F34" s="63">
        <f t="shared" si="13"/>
        <v>76</v>
      </c>
      <c r="G34" s="62">
        <f t="shared" si="9"/>
        <v>0</v>
      </c>
      <c r="H34" s="285">
        <f t="array" aca="1" ref="H34:Q34" ca="1">MMULT(H33:Q33, OFFSET(AB.rngTPMroot, MIN(4, INT(($F33-55)/5))*10, $G34*13))</f>
        <v>0</v>
      </c>
      <c r="I34" s="285">
        <f ca="1"/>
        <v>1.5884886804312975E-2</v>
      </c>
      <c r="J34" s="285">
        <f ca="1"/>
        <v>4.4244367969296462E-2</v>
      </c>
      <c r="K34" s="285">
        <f ca="1"/>
        <v>6.567978333439228E-3</v>
      </c>
      <c r="L34" s="285">
        <f ca="1"/>
        <v>6.9173814262336463E-4</v>
      </c>
      <c r="M34" s="285">
        <f ca="1"/>
        <v>1.0292642967839421E-4</v>
      </c>
      <c r="N34" s="285">
        <f ca="1"/>
        <v>2.6120981093875374E-4</v>
      </c>
      <c r="O34" s="285">
        <f ca="1"/>
        <v>3.8763399348077591E-5</v>
      </c>
      <c r="P34" s="285">
        <f ca="1"/>
        <v>0.81069973301012144</v>
      </c>
      <c r="Q34" s="285">
        <f ca="1"/>
        <v>0.12150839610024131</v>
      </c>
      <c r="R34" s="283">
        <f t="shared" ca="1" si="10"/>
        <v>1</v>
      </c>
      <c r="S34" s="418">
        <f t="shared" ca="1" si="14"/>
        <v>4.5197315922858576E-2</v>
      </c>
      <c r="U34" s="284">
        <f t="array" aca="1" ref="U34:AD34" ca="1">MMULT(U33:AD33, OFFSET(AB.rngTPMroot, MIN(4, INT(($F33-55)/5))*10, $G34*13))</f>
        <v>0.24305714157490946</v>
      </c>
      <c r="V34" s="284">
        <f ca="1"/>
        <v>0</v>
      </c>
      <c r="W34" s="284">
        <f ca="1"/>
        <v>4.2533751876157849E-2</v>
      </c>
      <c r="X34" s="284">
        <f ca="1"/>
        <v>6.2689030313497944E-3</v>
      </c>
      <c r="Y34" s="284">
        <f ca="1"/>
        <v>6.5609158973176985E-4</v>
      </c>
      <c r="Z34" s="284">
        <f ca="1"/>
        <v>9.6699077186701506E-5</v>
      </c>
      <c r="AA34" s="284">
        <f ca="1"/>
        <v>2.5157980007389774E-4</v>
      </c>
      <c r="AB34" s="284">
        <f ca="1"/>
        <v>3.7079479278048064E-5</v>
      </c>
      <c r="AC34" s="284">
        <f ca="1"/>
        <v>0.5862617812458083</v>
      </c>
      <c r="AD34" s="284">
        <f ca="1"/>
        <v>0.1208369723255045</v>
      </c>
      <c r="AE34" s="283">
        <f t="shared" ca="1" si="11"/>
        <v>1.0000000000000004</v>
      </c>
      <c r="AF34" s="418">
        <f t="shared" ca="1" si="15"/>
        <v>4.3441423265963515E-2</v>
      </c>
    </row>
    <row r="35" spans="1:32" ht="12" customHeight="1" x14ac:dyDescent="0.25">
      <c r="A35" s="262"/>
      <c r="C35" s="263"/>
      <c r="D35" s="62">
        <f t="shared" si="12"/>
        <v>25</v>
      </c>
      <c r="E35" s="63">
        <f t="shared" si="8"/>
        <v>6.25</v>
      </c>
      <c r="F35" s="63">
        <f t="shared" si="13"/>
        <v>76.25</v>
      </c>
      <c r="G35" s="62">
        <f t="shared" si="9"/>
        <v>0</v>
      </c>
      <c r="H35" s="285">
        <f t="array" aca="1" ref="H35:Q35" ca="1">MMULT(H34:Q34, OFFSET(AB.rngTPMroot, MIN(4, INT(($F34-55)/5))*10, $G35*13))</f>
        <v>0</v>
      </c>
      <c r="I35" s="285">
        <f ca="1"/>
        <v>1.3319071487032054E-2</v>
      </c>
      <c r="J35" s="285">
        <f ca="1"/>
        <v>4.3605996220444108E-2</v>
      </c>
      <c r="K35" s="285">
        <f ca="1"/>
        <v>6.4663240253794016E-3</v>
      </c>
      <c r="L35" s="285">
        <f ca="1"/>
        <v>6.8039541118806329E-4</v>
      </c>
      <c r="M35" s="285">
        <f ca="1"/>
        <v>1.0109768036512223E-4</v>
      </c>
      <c r="N35" s="285">
        <f ca="1"/>
        <v>2.5751277478468525E-4</v>
      </c>
      <c r="O35" s="285">
        <f ca="1"/>
        <v>3.817587082067053E-5</v>
      </c>
      <c r="P35" s="285">
        <f ca="1"/>
        <v>0.80664771668861557</v>
      </c>
      <c r="Q35" s="285">
        <f ca="1"/>
        <v>0.12888370984137038</v>
      </c>
      <c r="R35" s="283">
        <f t="shared" ca="1" si="10"/>
        <v>1</v>
      </c>
      <c r="S35" s="418">
        <f t="shared" ca="1" si="14"/>
        <v>4.4543904406416854E-2</v>
      </c>
      <c r="U35" s="284">
        <f t="array" aca="1" ref="U35:AD35" ca="1">MMULT(U34:AD34, OFFSET(AB.rngTPMroot, MIN(4, INT(($F34-55)/5))*10, $G35*13))</f>
        <v>0.2284170912990012</v>
      </c>
      <c r="V35" s="284">
        <f ca="1"/>
        <v>0</v>
      </c>
      <c r="W35" s="284">
        <f ca="1"/>
        <v>4.2176854175104819E-2</v>
      </c>
      <c r="X35" s="284">
        <f ca="1"/>
        <v>6.2163171103989693E-3</v>
      </c>
      <c r="Y35" s="284">
        <f ca="1"/>
        <v>6.5058637164667663E-4</v>
      </c>
      <c r="Z35" s="284">
        <f ca="1"/>
        <v>9.5887928887943613E-5</v>
      </c>
      <c r="AA35" s="284">
        <f ca="1"/>
        <v>2.4946881178066697E-4</v>
      </c>
      <c r="AB35" s="284">
        <f ca="1"/>
        <v>3.6768442633125937E-5</v>
      </c>
      <c r="AC35" s="284">
        <f ca="1"/>
        <v>0.59394306335370195</v>
      </c>
      <c r="AD35" s="284">
        <f ca="1"/>
        <v>0.12821396250684497</v>
      </c>
      <c r="AE35" s="283">
        <f t="shared" ca="1" si="11"/>
        <v>1.0000000000000004</v>
      </c>
      <c r="AF35" s="418">
        <f t="shared" ca="1" si="15"/>
        <v>4.3076909358532159E-2</v>
      </c>
    </row>
    <row r="36" spans="1:32" ht="12" customHeight="1" x14ac:dyDescent="0.25">
      <c r="A36" s="262"/>
      <c r="C36" s="263"/>
      <c r="D36" s="62">
        <f t="shared" si="12"/>
        <v>26</v>
      </c>
      <c r="E36" s="63">
        <f t="shared" si="8"/>
        <v>6.5</v>
      </c>
      <c r="F36" s="63">
        <f t="shared" si="13"/>
        <v>76.5</v>
      </c>
      <c r="G36" s="62">
        <f t="shared" si="9"/>
        <v>0</v>
      </c>
      <c r="H36" s="285">
        <f t="array" aca="1" ref="H36:Q36" ca="1">MMULT(H35:Q35, OFFSET(AB.rngTPMroot, MIN(4, INT(($F35-55)/5))*10, $G36*13))</f>
        <v>0</v>
      </c>
      <c r="I36" s="285">
        <f ca="1"/>
        <v>1.1167700938763016E-2</v>
      </c>
      <c r="J36" s="285">
        <f ca="1"/>
        <v>4.3016127139099275E-2</v>
      </c>
      <c r="K36" s="285">
        <f ca="1"/>
        <v>6.3730258550994687E-3</v>
      </c>
      <c r="L36" s="285">
        <f ca="1"/>
        <v>6.7004244009365686E-4</v>
      </c>
      <c r="M36" s="285">
        <f ca="1"/>
        <v>9.9439937692779985E-5</v>
      </c>
      <c r="N36" s="285">
        <f ca="1"/>
        <v>2.5408989168045076E-4</v>
      </c>
      <c r="O36" s="285">
        <f ca="1"/>
        <v>3.7635548180683011E-5</v>
      </c>
      <c r="P36" s="285">
        <f ca="1"/>
        <v>0.80218543955887645</v>
      </c>
      <c r="Q36" s="285">
        <f ca="1"/>
        <v>0.13619649869051431</v>
      </c>
      <c r="R36" s="283">
        <f t="shared" ca="1" si="10"/>
        <v>1</v>
      </c>
      <c r="S36" s="418">
        <f t="shared" ca="1" si="14"/>
        <v>4.3940259470873384E-2</v>
      </c>
      <c r="U36" s="284">
        <f t="array" aca="1" ref="U36:AD36" ca="1">MMULT(U35:AD35, OFFSET(AB.rngTPMroot, MIN(4, INT(($F35-55)/5))*10, $G36*13))</f>
        <v>0.21465885453695369</v>
      </c>
      <c r="V36" s="284">
        <f ca="1"/>
        <v>0</v>
      </c>
      <c r="W36" s="284">
        <f ca="1"/>
        <v>4.182295057760526E-2</v>
      </c>
      <c r="X36" s="284">
        <f ca="1"/>
        <v>6.1641564335751216E-3</v>
      </c>
      <c r="Y36" s="284">
        <f ca="1"/>
        <v>6.45127338204921E-4</v>
      </c>
      <c r="Z36" s="284">
        <f ca="1"/>
        <v>9.5083340064496173E-5</v>
      </c>
      <c r="AA36" s="284">
        <f ca="1"/>
        <v>2.4737553309310583E-4</v>
      </c>
      <c r="AB36" s="284">
        <f ca="1"/>
        <v>3.6459921233808277E-5</v>
      </c>
      <c r="AC36" s="284">
        <f ca="1"/>
        <v>0.60080093936681156</v>
      </c>
      <c r="AD36" s="284">
        <f ca="1"/>
        <v>0.13552905295245837</v>
      </c>
      <c r="AE36" s="283">
        <f t="shared" ca="1" si="11"/>
        <v>1.0000000000000002</v>
      </c>
      <c r="AF36" s="418">
        <f t="shared" ca="1" si="15"/>
        <v>4.2715453448903283E-2</v>
      </c>
    </row>
    <row r="37" spans="1:32" ht="12" customHeight="1" x14ac:dyDescent="0.25">
      <c r="A37" s="262"/>
      <c r="C37" s="263"/>
      <c r="D37" s="62">
        <f t="shared" si="12"/>
        <v>27</v>
      </c>
      <c r="E37" s="63">
        <f t="shared" si="8"/>
        <v>6.75</v>
      </c>
      <c r="F37" s="63">
        <f t="shared" si="13"/>
        <v>76.75</v>
      </c>
      <c r="G37" s="62">
        <f t="shared" si="9"/>
        <v>0</v>
      </c>
      <c r="H37" s="285">
        <f t="array" aca="1" ref="H37:Q37" ca="1">MMULT(H36:Q36, OFFSET(AB.rngTPMroot, MIN(4, INT(($F36-55)/5))*10, $G37*13))</f>
        <v>0</v>
      </c>
      <c r="I37" s="285">
        <f ca="1"/>
        <v>9.3638317339972237E-3</v>
      </c>
      <c r="J37" s="285">
        <f ca="1"/>
        <v>4.2467386005785923E-2</v>
      </c>
      <c r="K37" s="285">
        <f ca="1"/>
        <v>6.2868163602508697E-3</v>
      </c>
      <c r="L37" s="285">
        <f ca="1"/>
        <v>6.6052644872586792E-4</v>
      </c>
      <c r="M37" s="285">
        <f ca="1"/>
        <v>9.7926848710058474E-5</v>
      </c>
      <c r="N37" s="285">
        <f ca="1"/>
        <v>2.5089959795359816E-4</v>
      </c>
      <c r="O37" s="285">
        <f ca="1"/>
        <v>3.7135293068702745E-5</v>
      </c>
      <c r="P37" s="285">
        <f ca="1"/>
        <v>0.79738808720402576</v>
      </c>
      <c r="Q37" s="285">
        <f ca="1"/>
        <v>0.14344739050748204</v>
      </c>
      <c r="R37" s="283">
        <f t="shared" ca="1" si="10"/>
        <v>1</v>
      </c>
      <c r="S37" s="418">
        <f t="shared" ca="1" si="14"/>
        <v>4.3378812052465389E-2</v>
      </c>
      <c r="U37" s="284">
        <f t="array" aca="1" ref="U37:AD37" ca="1">MMULT(U36:AD36, OFFSET(AB.rngTPMroot, MIN(4, INT(($F36-55)/5))*10, $G37*13))</f>
        <v>0.20172931705359884</v>
      </c>
      <c r="V37" s="284">
        <f ca="1"/>
        <v>0</v>
      </c>
      <c r="W37" s="284">
        <f ca="1"/>
        <v>4.1472017419015697E-2</v>
      </c>
      <c r="X37" s="284">
        <f ca="1"/>
        <v>6.112433345638422E-3</v>
      </c>
      <c r="Y37" s="284">
        <f ca="1"/>
        <v>6.3971412437466681E-4</v>
      </c>
      <c r="Z37" s="284">
        <f ca="1"/>
        <v>9.4285501136742234E-5</v>
      </c>
      <c r="AA37" s="284">
        <f ca="1"/>
        <v>2.4529982403893343E-4</v>
      </c>
      <c r="AB37" s="284">
        <f ca="1"/>
        <v>3.6153988097220484E-5</v>
      </c>
      <c r="AC37" s="284">
        <f ca="1"/>
        <v>0.60688801571605611</v>
      </c>
      <c r="AD37" s="284">
        <f ca="1"/>
        <v>0.14278276302804377</v>
      </c>
      <c r="AE37" s="283">
        <f t="shared" ca="1" si="11"/>
        <v>1.0000000000000004</v>
      </c>
      <c r="AF37" s="418">
        <f t="shared" ca="1" si="15"/>
        <v>4.2357031367429299E-2</v>
      </c>
    </row>
    <row r="38" spans="1:32" ht="12" customHeight="1" x14ac:dyDescent="0.25">
      <c r="A38" s="262"/>
      <c r="C38" s="263"/>
      <c r="D38" s="62">
        <f t="shared" si="12"/>
        <v>28</v>
      </c>
      <c r="E38" s="63">
        <f t="shared" si="8"/>
        <v>7</v>
      </c>
      <c r="F38" s="63">
        <f t="shared" si="13"/>
        <v>77</v>
      </c>
      <c r="G38" s="62">
        <f t="shared" si="9"/>
        <v>0</v>
      </c>
      <c r="H38" s="285">
        <f t="array" aca="1" ref="H38:Q38" ca="1">MMULT(H37:Q37, OFFSET(AB.rngTPMroot, MIN(4, INT(($F37-55)/5))*10, $G38*13))</f>
        <v>0</v>
      </c>
      <c r="I38" s="285">
        <f ca="1"/>
        <v>7.8513335218596426E-3</v>
      </c>
      <c r="J38" s="285">
        <f ca="1"/>
        <v>4.1953583148827835E-2</v>
      </c>
      <c r="K38" s="285">
        <f ca="1"/>
        <v>6.206617723974261E-3</v>
      </c>
      <c r="L38" s="285">
        <f ca="1"/>
        <v>6.5171923945816417E-4</v>
      </c>
      <c r="M38" s="285">
        <f ca="1"/>
        <v>9.6536084496870084E-5</v>
      </c>
      <c r="N38" s="285">
        <f ca="1"/>
        <v>2.4790700710425697E-4</v>
      </c>
      <c r="O38" s="285">
        <f ca="1"/>
        <v>3.6669030944938653E-5</v>
      </c>
      <c r="P38" s="285">
        <f ca="1"/>
        <v>0.79231864300262433</v>
      </c>
      <c r="Q38" s="285">
        <f ca="1"/>
        <v>0.15063699124070976</v>
      </c>
      <c r="R38" s="283">
        <f t="shared" ca="1" si="10"/>
        <v>1</v>
      </c>
      <c r="S38" s="418">
        <f t="shared" ca="1" si="14"/>
        <v>4.2853209395390258E-2</v>
      </c>
      <c r="U38" s="284">
        <f t="array" aca="1" ref="U38:AD38" ca="1">MMULT(U37:AD37, OFFSET(AB.rngTPMroot, MIN(4, INT(($F37-55)/5))*10, $G38*13))</f>
        <v>0.18957856384119379</v>
      </c>
      <c r="V38" s="284">
        <f ca="1"/>
        <v>0</v>
      </c>
      <c r="W38" s="284">
        <f ca="1"/>
        <v>4.1124028873824159E-2</v>
      </c>
      <c r="X38" s="284">
        <f ca="1"/>
        <v>6.0611443879960685E-3</v>
      </c>
      <c r="Y38" s="284">
        <f ca="1"/>
        <v>6.3434633179225083E-4</v>
      </c>
      <c r="Z38" s="284">
        <f ca="1"/>
        <v>9.3494358755199359E-5</v>
      </c>
      <c r="AA38" s="284">
        <f ca="1"/>
        <v>2.4324153186470443E-4</v>
      </c>
      <c r="AB38" s="284">
        <f ca="1"/>
        <v>3.5850622766383192E-5</v>
      </c>
      <c r="AC38" s="284">
        <f ca="1"/>
        <v>0.61225372227876995</v>
      </c>
      <c r="AD38" s="284">
        <f ca="1"/>
        <v>0.14997560777303792</v>
      </c>
      <c r="AE38" s="283">
        <f t="shared" ca="1" si="11"/>
        <v>1.0000000000000004</v>
      </c>
      <c r="AF38" s="418">
        <f t="shared" ca="1" si="15"/>
        <v>4.2001616737481116E-2</v>
      </c>
    </row>
    <row r="39" spans="1:32" ht="12" customHeight="1" x14ac:dyDescent="0.25">
      <c r="A39" s="262"/>
      <c r="C39" s="263"/>
      <c r="D39" s="62">
        <f t="shared" si="12"/>
        <v>29</v>
      </c>
      <c r="E39" s="63">
        <f t="shared" si="8"/>
        <v>7.25</v>
      </c>
      <c r="F39" s="63">
        <f t="shared" si="13"/>
        <v>77.25</v>
      </c>
      <c r="G39" s="62">
        <f t="shared" si="9"/>
        <v>0</v>
      </c>
      <c r="H39" s="285">
        <f t="array" aca="1" ref="H39:Q39" ca="1">MMULT(H38:Q38, OFFSET(AB.rngTPMroot, MIN(4, INT(($F38-55)/5))*10, $G39*13))</f>
        <v>0</v>
      </c>
      <c r="I39" s="285">
        <f ca="1"/>
        <v>6.5831424381184002E-3</v>
      </c>
      <c r="J39" s="285">
        <f ca="1"/>
        <v>4.1469525746669386E-2</v>
      </c>
      <c r="K39" s="285">
        <f ca="1"/>
        <v>6.1315253244046191E-3</v>
      </c>
      <c r="L39" s="285">
        <f ca="1"/>
        <v>6.4351327650653649E-4</v>
      </c>
      <c r="M39" s="285">
        <f ca="1"/>
        <v>9.5248908942145962E-5</v>
      </c>
      <c r="N39" s="285">
        <f ca="1"/>
        <v>2.4508285030401007E-4</v>
      </c>
      <c r="O39" s="285">
        <f ca="1"/>
        <v>3.6231663139828307E-5</v>
      </c>
      <c r="P39" s="285">
        <f ca="1"/>
        <v>0.78702984202297821</v>
      </c>
      <c r="Q39" s="285">
        <f ca="1"/>
        <v>0.15776588776893696</v>
      </c>
      <c r="R39" s="283">
        <f t="shared" ca="1" si="10"/>
        <v>1</v>
      </c>
      <c r="S39" s="418">
        <f t="shared" ca="1" si="14"/>
        <v>4.2358121873479933E-2</v>
      </c>
      <c r="U39" s="284">
        <f t="array" aca="1" ref="U39:AD39" ca="1">MMULT(U38:AD38, OFFSET(AB.rngTPMroot, MIN(4, INT(($F38-55)/5))*10, $G39*13))</f>
        <v>0.17815968642049401</v>
      </c>
      <c r="V39" s="284">
        <f ca="1"/>
        <v>0</v>
      </c>
      <c r="W39" s="284">
        <f ca="1"/>
        <v>4.0778960269647169E-2</v>
      </c>
      <c r="X39" s="284">
        <f ca="1"/>
        <v>6.0102857862438545E-3</v>
      </c>
      <c r="Y39" s="284">
        <f ca="1"/>
        <v>6.2902357988124647E-4</v>
      </c>
      <c r="Z39" s="284">
        <f ca="1"/>
        <v>9.2709854698931295E-5</v>
      </c>
      <c r="AA39" s="284">
        <f ca="1"/>
        <v>2.4120051063752961E-4</v>
      </c>
      <c r="AB39" s="284">
        <f ca="1"/>
        <v>3.5549802916347058E-5</v>
      </c>
      <c r="AC39" s="284">
        <f ca="1"/>
        <v>0.61694448587151696</v>
      </c>
      <c r="AD39" s="284">
        <f ca="1"/>
        <v>0.15710809790396446</v>
      </c>
      <c r="AE39" s="283">
        <f t="shared" ca="1" si="11"/>
        <v>1.0000000000000004</v>
      </c>
      <c r="AF39" s="418">
        <f t="shared" ca="1" si="15"/>
        <v>4.1649184360165944E-2</v>
      </c>
    </row>
    <row r="40" spans="1:32" ht="12" customHeight="1" x14ac:dyDescent="0.25">
      <c r="A40" s="262"/>
      <c r="C40" s="263"/>
      <c r="D40" s="62">
        <f t="shared" si="12"/>
        <v>30</v>
      </c>
      <c r="E40" s="63">
        <f t="shared" si="8"/>
        <v>7.5</v>
      </c>
      <c r="F40" s="63">
        <f t="shared" si="13"/>
        <v>77.5</v>
      </c>
      <c r="G40" s="62">
        <f t="shared" si="9"/>
        <v>0</v>
      </c>
      <c r="H40" s="285">
        <f t="array" aca="1" ref="H40:Q40" ca="1">MMULT(H39:Q39, OFFSET(AB.rngTPMroot, MIN(4, INT(($F39-55)/5))*10, $G40*13))</f>
        <v>0</v>
      </c>
      <c r="I40" s="285">
        <f ca="1"/>
        <v>5.5197966358064773E-3</v>
      </c>
      <c r="J40" s="285">
        <f ca="1"/>
        <v>4.1010855942776606E-2</v>
      </c>
      <c r="K40" s="285">
        <f ca="1"/>
        <v>6.0607802295393918E-3</v>
      </c>
      <c r="L40" s="285">
        <f ca="1"/>
        <v>6.3581833511970305E-4</v>
      </c>
      <c r="M40" s="285">
        <f ca="1"/>
        <v>9.4049605667607017E-5</v>
      </c>
      <c r="N40" s="285">
        <f ca="1"/>
        <v>2.4240256386237548E-4</v>
      </c>
      <c r="O40" s="285">
        <f ca="1"/>
        <v>3.5818912007717029E-5</v>
      </c>
      <c r="P40" s="285">
        <f ca="1"/>
        <v>0.78156582745406189</v>
      </c>
      <c r="Q40" s="285">
        <f ca="1"/>
        <v>0.16483465032115835</v>
      </c>
      <c r="R40" s="283">
        <f t="shared" ca="1" si="10"/>
        <v>1.0000000000000002</v>
      </c>
      <c r="S40" s="418">
        <f t="shared" ca="1" si="14"/>
        <v>4.1889076841758688E-2</v>
      </c>
      <c r="U40" s="284">
        <f t="array" aca="1" ref="U40:AD40" ca="1">MMULT(U39:AD39, OFFSET(AB.rngTPMroot, MIN(4, INT(($F39-55)/5))*10, $G40*13))</f>
        <v>0.16742860174865268</v>
      </c>
      <c r="V40" s="284">
        <f ca="1"/>
        <v>0</v>
      </c>
      <c r="W40" s="284">
        <f ca="1"/>
        <v>4.043678711046024E-2</v>
      </c>
      <c r="X40" s="284">
        <f ca="1"/>
        <v>5.9598539345075557E-3</v>
      </c>
      <c r="Y40" s="284">
        <f ca="1"/>
        <v>6.2374549078559965E-4</v>
      </c>
      <c r="Z40" s="284">
        <f ca="1"/>
        <v>9.1931933346610324E-5</v>
      </c>
      <c r="AA40" s="284">
        <f ca="1"/>
        <v>2.3917661546765258E-4</v>
      </c>
      <c r="AB40" s="284">
        <f ca="1"/>
        <v>3.5251507218988495E-5</v>
      </c>
      <c r="AC40" s="284">
        <f ca="1"/>
        <v>0.62100391180777281</v>
      </c>
      <c r="AD40" s="284">
        <f ca="1"/>
        <v>0.16418073985178835</v>
      </c>
      <c r="AE40" s="283">
        <f t="shared" ca="1" si="11"/>
        <v>1.0000000000000004</v>
      </c>
      <c r="AF40" s="418">
        <f t="shared" ca="1" si="15"/>
        <v>4.1299709216713491E-2</v>
      </c>
    </row>
    <row r="41" spans="1:32" ht="12" customHeight="1" x14ac:dyDescent="0.25">
      <c r="A41" s="262"/>
      <c r="C41" s="263"/>
      <c r="D41" s="62">
        <f t="shared" si="12"/>
        <v>31</v>
      </c>
      <c r="E41" s="63">
        <f t="shared" si="8"/>
        <v>7.75</v>
      </c>
      <c r="F41" s="63">
        <f t="shared" si="13"/>
        <v>77.75</v>
      </c>
      <c r="G41" s="62">
        <f t="shared" si="9"/>
        <v>0</v>
      </c>
      <c r="H41" s="285">
        <f t="array" aca="1" ref="H41:Q41" ca="1">MMULT(H40:Q40, OFFSET(AB.rngTPMroot, MIN(4, INT(($F40-55)/5))*10, $G41*13))</f>
        <v>0</v>
      </c>
      <c r="I41" s="285">
        <f ca="1"/>
        <v>4.6282083650872581E-3</v>
      </c>
      <c r="J41" s="285">
        <f ca="1"/>
        <v>4.0573916031695613E-2</v>
      </c>
      <c r="K41" s="285">
        <f ca="1"/>
        <v>5.9937455376959884E-3</v>
      </c>
      <c r="L41" s="285">
        <f ca="1"/>
        <v>6.2855870624166561E-4</v>
      </c>
      <c r="M41" s="285">
        <f ca="1"/>
        <v>9.2924988306181556E-5</v>
      </c>
      <c r="N41" s="285">
        <f ca="1"/>
        <v>2.398455295476537E-4</v>
      </c>
      <c r="O41" s="285">
        <f ca="1"/>
        <v>3.542718755988521E-5</v>
      </c>
      <c r="P41" s="285">
        <f ca="1"/>
        <v>0.77596353914342053</v>
      </c>
      <c r="Q41" s="285">
        <f ca="1"/>
        <v>0.17184383451044538</v>
      </c>
      <c r="R41" s="283">
        <f t="shared" ca="1" si="10"/>
        <v>1</v>
      </c>
      <c r="S41" s="418">
        <f t="shared" ca="1" si="14"/>
        <v>4.1442320267484928E-2</v>
      </c>
      <c r="U41" s="284">
        <f t="array" aca="1" ref="U41:AD41" ca="1">MMULT(U40:AD40, OFFSET(AB.rngTPMroot, MIN(4, INT(($F40-55)/5))*10, $G41*13))</f>
        <v>0.15734388203483241</v>
      </c>
      <c r="V41" s="284">
        <f ca="1"/>
        <v>0</v>
      </c>
      <c r="W41" s="284">
        <f ca="1"/>
        <v>4.0097485100276047E-2</v>
      </c>
      <c r="X41" s="284">
        <f ca="1"/>
        <v>5.9098452526878528E-3</v>
      </c>
      <c r="Y41" s="284">
        <f ca="1"/>
        <v>6.1851168973486956E-4</v>
      </c>
      <c r="Z41" s="284">
        <f ca="1"/>
        <v>9.1160539474491773E-5</v>
      </c>
      <c r="AA41" s="284">
        <f ca="1"/>
        <v>2.3716970264850252E-4</v>
      </c>
      <c r="AB41" s="284">
        <f ca="1"/>
        <v>3.4955714498638036E-5</v>
      </c>
      <c r="AC41" s="284">
        <f ca="1"/>
        <v>0.62447295416777826</v>
      </c>
      <c r="AD41" s="284">
        <f ca="1"/>
        <v>0.17119403579806941</v>
      </c>
      <c r="AE41" s="283">
        <f t="shared" ca="1" si="11"/>
        <v>1.0000000000000004</v>
      </c>
      <c r="AF41" s="418">
        <f t="shared" ca="1" si="15"/>
        <v>4.0953166492659419E-2</v>
      </c>
    </row>
    <row r="42" spans="1:32" ht="12" customHeight="1" x14ac:dyDescent="0.25">
      <c r="A42" s="262"/>
      <c r="C42" s="263"/>
      <c r="D42" s="62">
        <f t="shared" si="12"/>
        <v>32</v>
      </c>
      <c r="E42" s="63">
        <f t="shared" ref="E42:E73" si="16">D42*AB.cycleLength</f>
        <v>8</v>
      </c>
      <c r="F42" s="63">
        <f t="shared" si="13"/>
        <v>78</v>
      </c>
      <c r="G42" s="62">
        <f t="shared" ref="G42:G73" si="17">IF(AND(E41&lt;AB.maxDurHPE, E42&gt;=AB.maxDurHPE), 1, 0)</f>
        <v>0</v>
      </c>
      <c r="H42" s="285">
        <f t="array" aca="1" ref="H42:Q42" ca="1">MMULT(H41:Q41, OFFSET(AB.rngTPMroot, MIN(4, INT(($F41-55)/5))*10, $G42*13))</f>
        <v>0</v>
      </c>
      <c r="I42" s="285">
        <f ca="1"/>
        <v>3.8806343936136746E-3</v>
      </c>
      <c r="J42" s="285">
        <f ca="1"/>
        <v>4.0155635403866248E-2</v>
      </c>
      <c r="K42" s="285">
        <f ca="1"/>
        <v>5.929886674424829E-3</v>
      </c>
      <c r="L42" s="285">
        <f ca="1"/>
        <v>6.2167085242829348E-4</v>
      </c>
      <c r="M42" s="285">
        <f ca="1"/>
        <v>9.1863991962828486E-5</v>
      </c>
      <c r="N42" s="285">
        <f ca="1"/>
        <v>2.3739443751398244E-4</v>
      </c>
      <c r="O42" s="285">
        <f ca="1"/>
        <v>3.5053476437274552E-5</v>
      </c>
      <c r="P42" s="285">
        <f ca="1"/>
        <v>0.77025387772519627</v>
      </c>
      <c r="Q42" s="285">
        <f ca="1"/>
        <v>0.17879398304455674</v>
      </c>
      <c r="R42" s="283">
        <f t="shared" ref="R42:R73" ca="1" si="18">SUM(H42:Q42)</f>
        <v>1</v>
      </c>
      <c r="S42" s="418">
        <f t="shared" ca="1" si="14"/>
        <v>4.1014700693808526E-2</v>
      </c>
      <c r="U42" s="284">
        <f t="array" aca="1" ref="U42:AD42" ca="1">MMULT(U41:AD41, OFFSET(AB.rngTPMroot, MIN(4, INT(($F41-55)/5))*10, $G42*13))</f>
        <v>0.14786659480652611</v>
      </c>
      <c r="V42" s="284">
        <f ca="1"/>
        <v>0</v>
      </c>
      <c r="W42" s="284">
        <f ca="1"/>
        <v>3.9761030147491008E-2</v>
      </c>
      <c r="X42" s="284">
        <f ca="1"/>
        <v>5.8602561899209005E-3</v>
      </c>
      <c r="Y42" s="284">
        <f ca="1"/>
        <v>6.1332180511127475E-4</v>
      </c>
      <c r="Z42" s="284">
        <f ca="1"/>
        <v>9.0395618309793981E-5</v>
      </c>
      <c r="AA42" s="284">
        <f ca="1"/>
        <v>2.3517962968240281E-4</v>
      </c>
      <c r="AB42" s="284">
        <f ca="1"/>
        <v>3.4662403752549007E-5</v>
      </c>
      <c r="AC42" s="284">
        <f ca="1"/>
        <v>0.62739007568860594</v>
      </c>
      <c r="AD42" s="284">
        <f ca="1"/>
        <v>0.17814848371060044</v>
      </c>
      <c r="AE42" s="283">
        <f t="shared" ref="AE42:AE73" ca="1" si="19">SUM(U42:AD42)</f>
        <v>1.0000000000000004</v>
      </c>
      <c r="AF42" s="418">
        <f t="shared" ca="1" si="15"/>
        <v>4.060953158228469E-2</v>
      </c>
    </row>
    <row r="43" spans="1:32" ht="12" customHeight="1" x14ac:dyDescent="0.25">
      <c r="A43" s="262"/>
      <c r="C43" s="263"/>
      <c r="D43" s="62">
        <f t="shared" ref="D43:D74" si="20">D42+1</f>
        <v>33</v>
      </c>
      <c r="E43" s="63">
        <f t="shared" si="16"/>
        <v>8.25</v>
      </c>
      <c r="F43" s="63">
        <f t="shared" ref="F43:F74" si="21">F42+AB.cycleLength</f>
        <v>78.25</v>
      </c>
      <c r="G43" s="62">
        <f t="shared" si="17"/>
        <v>0</v>
      </c>
      <c r="H43" s="285">
        <f t="array" aca="1" ref="H43:Q43" ca="1">MMULT(H42:Q42, OFFSET(AB.rngTPMroot, MIN(4, INT(($F42-55)/5))*10, $G43*13))</f>
        <v>0</v>
      </c>
      <c r="I43" s="285">
        <f ca="1"/>
        <v>3.2538127303206347E-3</v>
      </c>
      <c r="J43" s="285">
        <f ca="1"/>
        <v>3.97534357453556E-2</v>
      </c>
      <c r="K43" s="285">
        <f ca="1"/>
        <v>5.868754869469207E-3</v>
      </c>
      <c r="L43" s="285">
        <f ca="1"/>
        <v>6.1510144229484794E-4</v>
      </c>
      <c r="M43" s="285">
        <f ca="1"/>
        <v>9.0857330626234928E-5</v>
      </c>
      <c r="N43" s="285">
        <f ca="1"/>
        <v>2.3503475209420439E-4</v>
      </c>
      <c r="O43" s="285">
        <f ca="1"/>
        <v>3.4695248802138179E-5</v>
      </c>
      <c r="P43" s="285">
        <f ca="1"/>
        <v>0.76446268071532342</v>
      </c>
      <c r="Q43" s="285">
        <f ca="1"/>
        <v>0.1856856271657138</v>
      </c>
      <c r="R43" s="283">
        <f t="shared" ca="1" si="18"/>
        <v>1</v>
      </c>
      <c r="S43" s="418">
        <f t="shared" ca="1" si="14"/>
        <v>4.0603571939744648E-2</v>
      </c>
      <c r="U43" s="284">
        <f t="array" aca="1" ref="U43:AD43" ca="1">MMULT(U42:AD42, OFFSET(AB.rngTPMroot, MIN(4, INT(($F42-55)/5))*10, $G43*13))</f>
        <v>0.13896015260915615</v>
      </c>
      <c r="V43" s="284">
        <f ca="1"/>
        <v>0</v>
      </c>
      <c r="W43" s="284">
        <f ca="1"/>
        <v>3.9427398362667176E-2</v>
      </c>
      <c r="X43" s="284">
        <f ca="1"/>
        <v>5.8110832252135829E-3</v>
      </c>
      <c r="Y43" s="284">
        <f ca="1"/>
        <v>6.0817546841547966E-4</v>
      </c>
      <c r="Z43" s="284">
        <f ca="1"/>
        <v>8.9637115540497169E-5</v>
      </c>
      <c r="AA43" s="284">
        <f ca="1"/>
        <v>2.33206255267452E-4</v>
      </c>
      <c r="AB43" s="284">
        <f ca="1"/>
        <v>3.4371554154654903E-5</v>
      </c>
      <c r="AC43" s="284">
        <f ca="1"/>
        <v>0.62979139803082118</v>
      </c>
      <c r="AD43" s="284">
        <f ca="1"/>
        <v>0.18504457737876417</v>
      </c>
      <c r="AE43" s="283">
        <f t="shared" ca="1" si="19"/>
        <v>1.0000000000000004</v>
      </c>
      <c r="AF43" s="418">
        <f t="shared" ca="1" si="15"/>
        <v>4.0268780086350112E-2</v>
      </c>
    </row>
    <row r="44" spans="1:32" ht="12" customHeight="1" x14ac:dyDescent="0.25">
      <c r="A44" s="262"/>
      <c r="C44" s="263"/>
      <c r="D44" s="62">
        <f t="shared" si="20"/>
        <v>34</v>
      </c>
      <c r="E44" s="63">
        <f t="shared" si="16"/>
        <v>8.5</v>
      </c>
      <c r="F44" s="63">
        <f t="shared" si="21"/>
        <v>78.5</v>
      </c>
      <c r="G44" s="62">
        <f t="shared" si="17"/>
        <v>0</v>
      </c>
      <c r="H44" s="285">
        <f t="array" aca="1" ref="H44:Q44" ca="1">MMULT(H43:Q43, OFFSET(AB.rngTPMroot, MIN(4, INT(($F43-55)/5))*10, $G44*13))</f>
        <v>0</v>
      </c>
      <c r="I44" s="285">
        <f ca="1"/>
        <v>2.728238790394695E-3</v>
      </c>
      <c r="J44" s="285">
        <f ca="1"/>
        <v>3.9365151550441534E-2</v>
      </c>
      <c r="K44" s="285">
        <f ca="1"/>
        <v>5.8099733016856734E-3</v>
      </c>
      <c r="L44" s="285">
        <f ca="1"/>
        <v>6.0880570245330984E-4</v>
      </c>
      <c r="M44" s="285">
        <f ca="1"/>
        <v>8.989720990289339E-5</v>
      </c>
      <c r="N44" s="285">
        <f ca="1"/>
        <v>2.3275426388192906E-4</v>
      </c>
      <c r="O44" s="285">
        <f ca="1"/>
        <v>3.4350380263551822E-5</v>
      </c>
      <c r="P44" s="285">
        <f ca="1"/>
        <v>0.75861154093775018</v>
      </c>
      <c r="Q44" s="285">
        <f ca="1"/>
        <v>0.19251928786322633</v>
      </c>
      <c r="R44" s="283">
        <f t="shared" ca="1" si="18"/>
        <v>1</v>
      </c>
      <c r="S44" s="418">
        <f t="shared" ca="1" si="14"/>
        <v>4.0206711516776773E-2</v>
      </c>
      <c r="U44" s="284">
        <f t="array" aca="1" ref="U44:AD44" ca="1">MMULT(U43:AD43, OFFSET(AB.rngTPMroot, MIN(4, INT(($F43-55)/5))*10, $G44*13))</f>
        <v>0.13059017175871099</v>
      </c>
      <c r="V44" s="284">
        <f ca="1"/>
        <v>0</v>
      </c>
      <c r="W44" s="284">
        <f ca="1"/>
        <v>3.9096566056816426E-2</v>
      </c>
      <c r="X44" s="284">
        <f ca="1"/>
        <v>5.7623228671193349E-3</v>
      </c>
      <c r="Y44" s="284">
        <f ca="1"/>
        <v>6.0307231424012661E-4</v>
      </c>
      <c r="Z44" s="284">
        <f ca="1"/>
        <v>8.8884977310343111E-5</v>
      </c>
      <c r="AA44" s="284">
        <f ca="1"/>
        <v>2.3124943928737446E-4</v>
      </c>
      <c r="AB44" s="284">
        <f ca="1"/>
        <v>3.4083145053652018E-5</v>
      </c>
      <c r="AC44" s="284">
        <f ca="1"/>
        <v>0.63171084299286795</v>
      </c>
      <c r="AD44" s="284">
        <f ca="1"/>
        <v>0.19188280644859415</v>
      </c>
      <c r="AE44" s="283">
        <f t="shared" ca="1" si="19"/>
        <v>1.0000000000000004</v>
      </c>
      <c r="AF44" s="418">
        <f t="shared" ca="1" si="15"/>
        <v>3.9930887810343929E-2</v>
      </c>
    </row>
    <row r="45" spans="1:32" ht="12" customHeight="1" x14ac:dyDescent="0.25">
      <c r="A45" s="262"/>
      <c r="C45" s="263"/>
      <c r="D45" s="62">
        <f t="shared" si="20"/>
        <v>35</v>
      </c>
      <c r="E45" s="63">
        <f t="shared" si="16"/>
        <v>8.75</v>
      </c>
      <c r="F45" s="63">
        <f t="shared" si="21"/>
        <v>78.75</v>
      </c>
      <c r="G45" s="62">
        <f t="shared" si="17"/>
        <v>0</v>
      </c>
      <c r="H45" s="285">
        <f t="array" aca="1" ref="H45:Q45" ca="1">MMULT(H44:Q44, OFFSET(AB.rngTPMroot, MIN(4, INT(($F44-55)/5))*10, $G45*13))</f>
        <v>0</v>
      </c>
      <c r="I45" s="285">
        <f ca="1"/>
        <v>2.2875584781060334E-3</v>
      </c>
      <c r="J45" s="285">
        <f ca="1"/>
        <v>3.8988963473209924E-2</v>
      </c>
      <c r="K45" s="285">
        <f ca="1"/>
        <v>5.7532254819407901E-3</v>
      </c>
      <c r="L45" s="285">
        <f ca="1"/>
        <v>6.0274603565031715E-4</v>
      </c>
      <c r="M45" s="285">
        <f ca="1"/>
        <v>8.8977086152382874E-5</v>
      </c>
      <c r="N45" s="285">
        <f ca="1"/>
        <v>2.3054271416239505E-4</v>
      </c>
      <c r="O45" s="285">
        <f ca="1"/>
        <v>3.4017086414109473E-5</v>
      </c>
      <c r="P45" s="285">
        <f ca="1"/>
        <v>0.75271849274875147</v>
      </c>
      <c r="Q45" s="285">
        <f ca="1"/>
        <v>0.19929547689561278</v>
      </c>
      <c r="R45" s="283">
        <f t="shared" ca="1" si="18"/>
        <v>1.0000000000000002</v>
      </c>
      <c r="S45" s="418">
        <f t="shared" ca="1" si="14"/>
        <v>3.9822252223022638E-2</v>
      </c>
      <c r="U45" s="284">
        <f t="array" aca="1" ref="U45:AD45" ca="1">MMULT(U44:AD44, OFFSET(AB.rngTPMroot, MIN(4, INT(($F44-55)/5))*10, $G45*13))</f>
        <v>0.12272433960212818</v>
      </c>
      <c r="V45" s="284">
        <f ca="1"/>
        <v>0</v>
      </c>
      <c r="W45" s="284">
        <f ca="1"/>
        <v>3.8768509739723234E-2</v>
      </c>
      <c r="X45" s="284">
        <f ca="1"/>
        <v>5.7139716534873779E-3</v>
      </c>
      <c r="Y45" s="284">
        <f ca="1"/>
        <v>5.9801198024396496E-4</v>
      </c>
      <c r="Z45" s="284">
        <f ca="1"/>
        <v>8.8139150214966812E-5</v>
      </c>
      <c r="AA45" s="284">
        <f ca="1"/>
        <v>2.2930904280160034E-4</v>
      </c>
      <c r="AB45" s="284">
        <f ca="1"/>
        <v>3.3797155971516127E-5</v>
      </c>
      <c r="AC45" s="284">
        <f ca="1"/>
        <v>0.63318026521788839</v>
      </c>
      <c r="AD45" s="284">
        <f ca="1"/>
        <v>0.19866365645754119</v>
      </c>
      <c r="AE45" s="283">
        <f t="shared" ca="1" si="19"/>
        <v>1.0000000000000004</v>
      </c>
      <c r="AF45" s="418">
        <f t="shared" ca="1" si="15"/>
        <v>3.9595830762768798E-2</v>
      </c>
    </row>
    <row r="46" spans="1:32" ht="12" customHeight="1" x14ac:dyDescent="0.25">
      <c r="A46" s="262"/>
      <c r="C46" s="263"/>
      <c r="D46" s="62">
        <f t="shared" si="20"/>
        <v>36</v>
      </c>
      <c r="E46" s="63">
        <f t="shared" si="16"/>
        <v>9</v>
      </c>
      <c r="F46" s="63">
        <f t="shared" si="21"/>
        <v>79</v>
      </c>
      <c r="G46" s="62">
        <f t="shared" si="17"/>
        <v>0</v>
      </c>
      <c r="H46" s="285">
        <f t="array" aca="1" ref="H46:Q46" ca="1">MMULT(H45:Q45, OFFSET(AB.rngTPMroot, MIN(4, INT(($F45-55)/5))*10, $G46*13))</f>
        <v>0</v>
      </c>
      <c r="I46" s="285">
        <f ca="1"/>
        <v>1.9180593022789414E-3</v>
      </c>
      <c r="J46" s="285">
        <f ca="1"/>
        <v>3.8623342444310683E-2</v>
      </c>
      <c r="K46" s="285">
        <f ca="1"/>
        <v>5.6982455124325333E-3</v>
      </c>
      <c r="L46" s="285">
        <f ca="1"/>
        <v>5.9689086210711257E-4</v>
      </c>
      <c r="M46" s="285">
        <f ca="1"/>
        <v>8.8091464527927145E-5</v>
      </c>
      <c r="N46" s="285">
        <f ca="1"/>
        <v>2.2839148000580023E-4</v>
      </c>
      <c r="O46" s="285">
        <f ca="1"/>
        <v>3.3693867940412037E-5</v>
      </c>
      <c r="P46" s="285">
        <f ca="1"/>
        <v>0.74679858741345517</v>
      </c>
      <c r="Q46" s="285">
        <f ca="1"/>
        <v>0.20601469765294167</v>
      </c>
      <c r="R46" s="283">
        <f t="shared" ca="1" si="18"/>
        <v>1.0000000000000002</v>
      </c>
      <c r="S46" s="418">
        <f t="shared" ca="1" si="14"/>
        <v>3.9448624786423594E-2</v>
      </c>
      <c r="U46" s="284">
        <f t="array" aca="1" ref="U46:AD46" ca="1">MMULT(U45:AD45, OFFSET(AB.rngTPMroot, MIN(4, INT(($F45-55)/5))*10, $G46*13))</f>
        <v>0.11533228977297695</v>
      </c>
      <c r="V46" s="284">
        <f ca="1"/>
        <v>0</v>
      </c>
      <c r="W46" s="284">
        <f ca="1"/>
        <v>3.8443206118276722E-2</v>
      </c>
      <c r="X46" s="284">
        <f ca="1"/>
        <v>5.6660261512175908E-3</v>
      </c>
      <c r="Y46" s="284">
        <f ca="1"/>
        <v>5.9299410712612276E-4</v>
      </c>
      <c r="Z46" s="284">
        <f ca="1"/>
        <v>8.7399581298115486E-5</v>
      </c>
      <c r="AA46" s="284">
        <f ca="1"/>
        <v>2.2738492803539974E-4</v>
      </c>
      <c r="AB46" s="284">
        <f ca="1"/>
        <v>3.3513566602052646E-5</v>
      </c>
      <c r="AC46" s="284">
        <f ca="1"/>
        <v>0.63422957690551918</v>
      </c>
      <c r="AD46" s="284">
        <f ca="1"/>
        <v>0.20538760886894822</v>
      </c>
      <c r="AE46" s="283">
        <f t="shared" ca="1" si="19"/>
        <v>1.0000000000000002</v>
      </c>
      <c r="AF46" s="418">
        <f t="shared" ca="1" si="15"/>
        <v>3.9263585153438245E-2</v>
      </c>
    </row>
    <row r="47" spans="1:32" ht="12" customHeight="1" x14ac:dyDescent="0.25">
      <c r="A47" s="262"/>
      <c r="C47" s="263"/>
      <c r="D47" s="62">
        <f t="shared" si="20"/>
        <v>37</v>
      </c>
      <c r="E47" s="63">
        <f t="shared" si="16"/>
        <v>9.25</v>
      </c>
      <c r="F47" s="63">
        <f t="shared" si="21"/>
        <v>79.25</v>
      </c>
      <c r="G47" s="62">
        <f t="shared" si="17"/>
        <v>0</v>
      </c>
      <c r="H47" s="285">
        <f t="array" aca="1" ref="H47:Q47" ca="1">MMULT(H46:Q46, OFFSET(AB.rngTPMroot, MIN(4, INT(($F46-55)/5))*10, $G47*13))</f>
        <v>0</v>
      </c>
      <c r="I47" s="285">
        <f ca="1"/>
        <v>1.6082436896235062E-3</v>
      </c>
      <c r="J47" s="285">
        <f ca="1"/>
        <v>3.8267002814031371E-2</v>
      </c>
      <c r="K47" s="285">
        <f ca="1"/>
        <v>5.6448099193420007E-3</v>
      </c>
      <c r="L47" s="285">
        <f ca="1"/>
        <v>5.9121364800877527E-4</v>
      </c>
      <c r="M47" s="285">
        <f ca="1"/>
        <v>8.7235729637975419E-5</v>
      </c>
      <c r="N47" s="285">
        <f ca="1"/>
        <v>2.2629331022460045E-4</v>
      </c>
      <c r="O47" s="285">
        <f ca="1"/>
        <v>3.3379464599388855E-5</v>
      </c>
      <c r="P47" s="285">
        <f ca="1"/>
        <v>0.74086437553937468</v>
      </c>
      <c r="Q47" s="285">
        <f ca="1"/>
        <v>0.21267744588515802</v>
      </c>
      <c r="R47" s="283">
        <f t="shared" ca="1" si="18"/>
        <v>1.0000000000000004</v>
      </c>
      <c r="S47" s="418">
        <f t="shared" ca="1" si="14"/>
        <v>3.9084509772264742E-2</v>
      </c>
      <c r="U47" s="284">
        <f t="array" aca="1" ref="U47:AD47" ca="1">MMULT(U46:AD46, OFFSET(AB.rngTPMroot, MIN(4, INT(($F46-55)/5))*10, $G47*13))</f>
        <v>0.10838548496085988</v>
      </c>
      <c r="V47" s="284">
        <f ca="1"/>
        <v>0</v>
      </c>
      <c r="W47" s="284">
        <f ca="1"/>
        <v>3.8120632094816732E-2</v>
      </c>
      <c r="X47" s="284">
        <f ca="1"/>
        <v>5.6184829560167408E-3</v>
      </c>
      <c r="Y47" s="284">
        <f ca="1"/>
        <v>5.8801833860059401E-4</v>
      </c>
      <c r="Z47" s="284">
        <f ca="1"/>
        <v>8.6666218047888352E-5</v>
      </c>
      <c r="AA47" s="284">
        <f ca="1"/>
        <v>2.2547695837009995E-4</v>
      </c>
      <c r="AB47" s="284">
        <f ca="1"/>
        <v>3.3232356809454768E-5</v>
      </c>
      <c r="AC47" s="284">
        <f ca="1"/>
        <v>0.63488686501024316</v>
      </c>
      <c r="AD47" s="284">
        <f ca="1"/>
        <v>0.21205514110623586</v>
      </c>
      <c r="AE47" s="283">
        <f t="shared" ca="1" si="19"/>
        <v>1.0000000000000004</v>
      </c>
      <c r="AF47" s="418">
        <f t="shared" ca="1" si="15"/>
        <v>3.8934127391787428E-2</v>
      </c>
    </row>
    <row r="48" spans="1:32" ht="12" customHeight="1" x14ac:dyDescent="0.25">
      <c r="A48" s="262"/>
      <c r="C48" s="263"/>
      <c r="D48" s="62">
        <f t="shared" si="20"/>
        <v>38</v>
      </c>
      <c r="E48" s="63">
        <f t="shared" si="16"/>
        <v>9.5</v>
      </c>
      <c r="F48" s="63">
        <f t="shared" si="21"/>
        <v>79.5</v>
      </c>
      <c r="G48" s="62">
        <f t="shared" si="17"/>
        <v>0</v>
      </c>
      <c r="H48" s="285">
        <f t="array" aca="1" ref="H48:Q48" ca="1">MMULT(H47:Q47, OFFSET(AB.rngTPMroot, MIN(4, INT(($F47-55)/5))*10, $G48*13))</f>
        <v>0</v>
      </c>
      <c r="I48" s="285">
        <f ca="1"/>
        <v>1.3484712188725038E-3</v>
      </c>
      <c r="J48" s="285">
        <f ca="1"/>
        <v>3.7918863063709188E-2</v>
      </c>
      <c r="K48" s="285">
        <f ca="1"/>
        <v>5.5927308046834091E-3</v>
      </c>
      <c r="L48" s="285">
        <f ca="1"/>
        <v>5.8569209091337477E-4</v>
      </c>
      <c r="M48" s="285">
        <f ca="1"/>
        <v>8.6406003559691806E-5</v>
      </c>
      <c r="N48" s="285">
        <f ca="1"/>
        <v>2.2424210397895835E-4</v>
      </c>
      <c r="O48" s="285">
        <f ca="1"/>
        <v>3.3072816628399361E-5</v>
      </c>
      <c r="P48" s="285">
        <f ca="1"/>
        <v>0.73492631157965771</v>
      </c>
      <c r="Q48" s="285">
        <f ca="1"/>
        <v>0.21928421031799716</v>
      </c>
      <c r="R48" s="283">
        <f t="shared" ca="1" si="18"/>
        <v>1.0000000000000004</v>
      </c>
      <c r="S48" s="418">
        <f t="shared" ca="1" si="14"/>
        <v>3.8728797258601518E-2</v>
      </c>
      <c r="U48" s="284">
        <f t="array" aca="1" ref="U48:AD48" ca="1">MMULT(U47:AD47, OFFSET(AB.rngTPMroot, MIN(4, INT(($F47-55)/5))*10, $G48*13))</f>
        <v>0.10185710674196007</v>
      </c>
      <c r="V48" s="284">
        <f ca="1"/>
        <v>0</v>
      </c>
      <c r="W48" s="284">
        <f ca="1"/>
        <v>3.7800764765493836E-2</v>
      </c>
      <c r="X48" s="284">
        <f ca="1"/>
        <v>5.5713386921567593E-3</v>
      </c>
      <c r="Y48" s="284">
        <f ca="1"/>
        <v>5.8308432137094178E-4</v>
      </c>
      <c r="Z48" s="284">
        <f ca="1"/>
        <v>8.593900839300796E-5</v>
      </c>
      <c r="AA48" s="284">
        <f ca="1"/>
        <v>2.2358499833338534E-4</v>
      </c>
      <c r="AB48" s="284">
        <f ca="1"/>
        <v>3.295350662687368E-5</v>
      </c>
      <c r="AC48" s="284">
        <f ca="1"/>
        <v>0.63517850137886445</v>
      </c>
      <c r="AD48" s="284">
        <f ca="1"/>
        <v>0.21866672658680103</v>
      </c>
      <c r="AE48" s="283">
        <f t="shared" ca="1" si="19"/>
        <v>1.0000000000000004</v>
      </c>
      <c r="AF48" s="418">
        <f t="shared" ca="1" si="15"/>
        <v>3.8607434085198164E-2</v>
      </c>
    </row>
    <row r="49" spans="1:32" ht="12" customHeight="1" x14ac:dyDescent="0.25">
      <c r="A49" s="262"/>
      <c r="C49" s="263"/>
      <c r="D49" s="62">
        <f t="shared" si="20"/>
        <v>39</v>
      </c>
      <c r="E49" s="63">
        <f t="shared" si="16"/>
        <v>9.75</v>
      </c>
      <c r="F49" s="63">
        <f t="shared" si="21"/>
        <v>79.75</v>
      </c>
      <c r="G49" s="62">
        <f t="shared" si="17"/>
        <v>0</v>
      </c>
      <c r="H49" s="285">
        <f t="array" aca="1" ref="H49:Q49" ca="1">MMULT(H48:Q48, OFFSET(AB.rngTPMroot, MIN(4, INT(($F48-55)/5))*10, $G49*13))</f>
        <v>0</v>
      </c>
      <c r="I49" s="285">
        <f ca="1"/>
        <v>1.1306586432514977E-3</v>
      </c>
      <c r="J49" s="285">
        <f ca="1"/>
        <v>3.757801286300344E-2</v>
      </c>
      <c r="K49" s="285">
        <f ca="1"/>
        <v>5.5418501042683831E-3</v>
      </c>
      <c r="L49" s="285">
        <f ca="1"/>
        <v>5.8030743673450171E-4</v>
      </c>
      <c r="M49" s="285">
        <f ca="1"/>
        <v>8.559902678632555E-5</v>
      </c>
      <c r="N49" s="285">
        <f ca="1"/>
        <v>2.2223272514158761E-4</v>
      </c>
      <c r="O49" s="285">
        <f ca="1"/>
        <v>3.2773032388371159E-5</v>
      </c>
      <c r="P49" s="285">
        <f ca="1"/>
        <v>0.72899309299382653</v>
      </c>
      <c r="Q49" s="285">
        <f ca="1"/>
        <v>0.22583547317459973</v>
      </c>
      <c r="R49" s="283">
        <f t="shared" ca="1" si="18"/>
        <v>1.0000000000000004</v>
      </c>
      <c r="S49" s="418">
        <f t="shared" ca="1" si="14"/>
        <v>3.8380553024879534E-2</v>
      </c>
      <c r="U49" s="284">
        <f t="array" aca="1" ref="U49:AD49" ca="1">MMULT(U48:AD48, OFFSET(AB.rngTPMroot, MIN(4, INT(($F48-55)/5))*10, $G49*13))</f>
        <v>9.572195204542025E-2</v>
      </c>
      <c r="V49" s="284">
        <f ca="1"/>
        <v>0</v>
      </c>
      <c r="W49" s="284">
        <f ca="1"/>
        <v>3.7483581418643046E-2</v>
      </c>
      <c r="X49" s="284">
        <f ca="1"/>
        <v>5.5245900122350587E-3</v>
      </c>
      <c r="Y49" s="284">
        <f ca="1"/>
        <v>5.7819170510521253E-4</v>
      </c>
      <c r="Z49" s="284">
        <f ca="1"/>
        <v>8.5217900699123013E-5</v>
      </c>
      <c r="AA49" s="284">
        <f ca="1"/>
        <v>2.2170891358967802E-4</v>
      </c>
      <c r="AB49" s="284">
        <f ca="1"/>
        <v>3.2676996255000917E-5</v>
      </c>
      <c r="AC49" s="284">
        <f ca="1"/>
        <v>0.63512924625242184</v>
      </c>
      <c r="AD49" s="284">
        <f ca="1"/>
        <v>0.22522283475563121</v>
      </c>
      <c r="AE49" s="283">
        <f t="shared" ca="1" si="19"/>
        <v>1.0000000000000004</v>
      </c>
      <c r="AF49" s="418">
        <f t="shared" ca="1" si="15"/>
        <v>3.8283482037337932E-2</v>
      </c>
    </row>
    <row r="50" spans="1:32" ht="12" customHeight="1" x14ac:dyDescent="0.25">
      <c r="A50" s="262"/>
      <c r="C50" s="263"/>
      <c r="D50" s="62">
        <f t="shared" si="20"/>
        <v>40</v>
      </c>
      <c r="E50" s="63">
        <f t="shared" si="16"/>
        <v>10</v>
      </c>
      <c r="F50" s="63">
        <f t="shared" si="21"/>
        <v>80</v>
      </c>
      <c r="G50" s="62">
        <f t="shared" si="17"/>
        <v>1</v>
      </c>
      <c r="H50" s="285">
        <f t="array" aca="1" ref="H50:Q50" ca="1">MMULT(H49:Q49, OFFSET(AB.rngTPMroot, MIN(4, INT(($F49-55)/5))*10, $G50*13))</f>
        <v>9.4802836698896391E-4</v>
      </c>
      <c r="I50" s="285">
        <f ca="1"/>
        <v>0</v>
      </c>
      <c r="J50" s="285">
        <f ca="1"/>
        <v>3.7243685448011793E-2</v>
      </c>
      <c r="K50" s="285">
        <f ca="1"/>
        <v>5.4920347731191518E-3</v>
      </c>
      <c r="L50" s="285">
        <f ca="1"/>
        <v>5.7504390704474174E-4</v>
      </c>
      <c r="M50" s="285">
        <f ca="1"/>
        <v>8.4812058404058933E-5</v>
      </c>
      <c r="N50" s="285">
        <f ca="1"/>
        <v>2.2026084664594886E-4</v>
      </c>
      <c r="O50" s="285">
        <f ca="1"/>
        <v>3.2479361233181509E-5</v>
      </c>
      <c r="P50" s="285">
        <f ca="1"/>
        <v>0.72307194462053659</v>
      </c>
      <c r="Q50" s="285">
        <f ca="1"/>
        <v>0.23233171061801591</v>
      </c>
      <c r="R50" s="283">
        <f t="shared" ca="1" si="18"/>
        <v>1.0000000000000002</v>
      </c>
      <c r="S50" s="418">
        <f t="shared" ca="1" si="14"/>
        <v>3.8038990201702483E-2</v>
      </c>
      <c r="U50" s="284">
        <f t="array" aca="1" ref="U50:AD50" ca="1">MMULT(U49:AD49, OFFSET(AB.rngTPMroot, MIN(4, INT(($F49-55)/5))*10, $G50*13))</f>
        <v>8.9956335855857966E-2</v>
      </c>
      <c r="V50" s="284">
        <f ca="1"/>
        <v>0</v>
      </c>
      <c r="W50" s="284">
        <f ca="1"/>
        <v>3.7169059533171241E-2</v>
      </c>
      <c r="X50" s="284">
        <f ca="1"/>
        <v>5.4782335969368488E-3</v>
      </c>
      <c r="Y50" s="284">
        <f ca="1"/>
        <v>5.7334014241106198E-4</v>
      </c>
      <c r="Z50" s="284">
        <f ca="1"/>
        <v>8.4502843765142132E-5</v>
      </c>
      <c r="AA50" s="284">
        <f ca="1"/>
        <v>2.1984857093059989E-4</v>
      </c>
      <c r="AB50" s="284">
        <f ca="1"/>
        <v>3.2402806060662491E-5</v>
      </c>
      <c r="AC50" s="284">
        <f ca="1"/>
        <v>0.63476234553223021</v>
      </c>
      <c r="AD50" s="284">
        <f ca="1"/>
        <v>0.23172393111863668</v>
      </c>
      <c r="AE50" s="283">
        <f t="shared" ca="1" si="19"/>
        <v>1.0000000000000004</v>
      </c>
      <c r="AF50" s="418">
        <f t="shared" ca="1" si="15"/>
        <v>3.7962248246512904E-2</v>
      </c>
    </row>
    <row r="51" spans="1:32" ht="12" customHeight="1" x14ac:dyDescent="0.25">
      <c r="A51" s="262"/>
      <c r="C51" s="263"/>
      <c r="D51" s="62">
        <f t="shared" si="20"/>
        <v>41</v>
      </c>
      <c r="E51" s="63">
        <f t="shared" si="16"/>
        <v>10.25</v>
      </c>
      <c r="F51" s="63">
        <f t="shared" si="21"/>
        <v>80.25</v>
      </c>
      <c r="G51" s="62">
        <f t="shared" si="17"/>
        <v>0</v>
      </c>
      <c r="H51" s="285">
        <f t="array" aca="1" ref="H51:Q51" ca="1">MMULT(H50:Q50, OFFSET(AB.rngTPMroot, MIN(4, INT(($F50-55)/5))*10, $G51*13))</f>
        <v>8.9092581544172574E-4</v>
      </c>
      <c r="I51" s="285">
        <f ca="1"/>
        <v>0</v>
      </c>
      <c r="J51" s="285">
        <f ca="1"/>
        <v>3.6821642410732339E-2</v>
      </c>
      <c r="K51" s="285">
        <f ca="1"/>
        <v>5.4431727485242084E-3</v>
      </c>
      <c r="L51" s="285">
        <f ca="1"/>
        <v>5.6798116413835651E-4</v>
      </c>
      <c r="M51" s="285">
        <f ca="1"/>
        <v>8.4042792392285135E-5</v>
      </c>
      <c r="N51" s="285">
        <f ca="1"/>
        <v>2.1779365862331242E-4</v>
      </c>
      <c r="O51" s="285">
        <f ca="1"/>
        <v>3.2191170761112238E-5</v>
      </c>
      <c r="P51" s="285">
        <f ca="1"/>
        <v>0.7171688571120528</v>
      </c>
      <c r="Q51" s="285">
        <f ca="1"/>
        <v>0.2387733931273342</v>
      </c>
      <c r="R51" s="283">
        <f t="shared" ca="1" si="18"/>
        <v>1.0000000000000004</v>
      </c>
      <c r="S51" s="418">
        <f t="shared" ca="1" si="14"/>
        <v>3.7607417233494006E-2</v>
      </c>
      <c r="U51" s="284">
        <f t="array" aca="1" ref="U51:AD51" ca="1">MMULT(U50:AD50, OFFSET(AB.rngTPMroot, MIN(4, INT(($F50-55)/5))*10, $G51*13))</f>
        <v>8.4537999776395908E-2</v>
      </c>
      <c r="V51" s="284">
        <f ca="1"/>
        <v>0</v>
      </c>
      <c r="W51" s="284">
        <f ca="1"/>
        <v>3.6857176776958087E-2</v>
      </c>
      <c r="X51" s="284">
        <f ca="1"/>
        <v>5.4322661547994604E-3</v>
      </c>
      <c r="Y51" s="284">
        <f ca="1"/>
        <v>5.6852928881108791E-4</v>
      </c>
      <c r="Z51" s="284">
        <f ca="1"/>
        <v>8.379378681959845E-5</v>
      </c>
      <c r="AA51" s="284">
        <f ca="1"/>
        <v>2.1800383826551408E-4</v>
      </c>
      <c r="AB51" s="284">
        <f ca="1"/>
        <v>3.2130916575424885E-5</v>
      </c>
      <c r="AC51" s="284">
        <f ca="1"/>
        <v>0.63409962218567251</v>
      </c>
      <c r="AD51" s="284">
        <f ca="1"/>
        <v>0.23817047727570292</v>
      </c>
      <c r="AE51" s="283">
        <f t="shared" ca="1" si="19"/>
        <v>1.0000000000000004</v>
      </c>
      <c r="AF51" s="418">
        <f t="shared" ca="1" si="15"/>
        <v>3.7643709904034692E-2</v>
      </c>
    </row>
    <row r="52" spans="1:32" ht="12" customHeight="1" x14ac:dyDescent="0.25">
      <c r="A52" s="262"/>
      <c r="C52" s="263"/>
      <c r="D52" s="62">
        <f t="shared" si="20"/>
        <v>42</v>
      </c>
      <c r="E52" s="63">
        <f t="shared" si="16"/>
        <v>10.5</v>
      </c>
      <c r="F52" s="63">
        <f t="shared" si="21"/>
        <v>80.5</v>
      </c>
      <c r="G52" s="62">
        <f t="shared" si="17"/>
        <v>0</v>
      </c>
      <c r="H52" s="285">
        <f t="array" aca="1" ref="H52:Q52" ca="1">MMULT(H51:Q51, OFFSET(AB.rngTPMroot, MIN(4, INT(($F51-55)/5))*10, $G52*13))</f>
        <v>8.3726271940736568E-4</v>
      </c>
      <c r="I52" s="285">
        <f ca="1"/>
        <v>0</v>
      </c>
      <c r="J52" s="285">
        <f ca="1"/>
        <v>3.6518523718875137E-2</v>
      </c>
      <c r="K52" s="285">
        <f ca="1"/>
        <v>5.3814910666071317E-3</v>
      </c>
      <c r="L52" s="285">
        <f ca="1"/>
        <v>5.6330549797570402E-4</v>
      </c>
      <c r="M52" s="285">
        <f ca="1"/>
        <v>8.3010570976616377E-5</v>
      </c>
      <c r="N52" s="285">
        <f ca="1"/>
        <v>2.1600076388601926E-4</v>
      </c>
      <c r="O52" s="285">
        <f ca="1"/>
        <v>3.1830590693679169E-5</v>
      </c>
      <c r="P52" s="285">
        <f ca="1"/>
        <v>0.71120776941252961</v>
      </c>
      <c r="Q52" s="285">
        <f ca="1"/>
        <v>0.24516080565904913</v>
      </c>
      <c r="R52" s="283">
        <f t="shared" ca="1" si="18"/>
        <v>1.0000000000000004</v>
      </c>
      <c r="S52" s="418">
        <f t="shared" ca="1" si="14"/>
        <v>3.7297829980736857E-2</v>
      </c>
      <c r="U52" s="284">
        <f t="array" aca="1" ref="U52:AD52" ca="1">MMULT(U51:AD51, OFFSET(AB.rngTPMroot, MIN(4, INT(($F51-55)/5))*10, $G52*13))</f>
        <v>7.9446026099211364E-2</v>
      </c>
      <c r="V52" s="284">
        <f ca="1"/>
        <v>0</v>
      </c>
      <c r="W52" s="284">
        <f ca="1"/>
        <v>3.6547911005270356E-2</v>
      </c>
      <c r="X52" s="284">
        <f ca="1"/>
        <v>5.386684421978637E-3</v>
      </c>
      <c r="Y52" s="284">
        <f ca="1"/>
        <v>5.6375880271837227E-4</v>
      </c>
      <c r="Z52" s="284">
        <f ca="1"/>
        <v>8.3090679517044527E-5</v>
      </c>
      <c r="AA52" s="284">
        <f ca="1"/>
        <v>2.1617458461214634E-4</v>
      </c>
      <c r="AB52" s="284">
        <f ca="1"/>
        <v>3.1861308494212731E-5</v>
      </c>
      <c r="AC52" s="284">
        <f ca="1"/>
        <v>0.63316156214473251</v>
      </c>
      <c r="AD52" s="284">
        <f ca="1"/>
        <v>0.24456293095346587</v>
      </c>
      <c r="AE52" s="283">
        <f t="shared" ca="1" si="19"/>
        <v>1.0000000000000004</v>
      </c>
      <c r="AF52" s="418">
        <f t="shared" ca="1" si="15"/>
        <v>3.7327844392600874E-2</v>
      </c>
    </row>
    <row r="53" spans="1:32" ht="12" customHeight="1" x14ac:dyDescent="0.25">
      <c r="A53" s="262"/>
      <c r="C53" s="263"/>
      <c r="D53" s="62">
        <f t="shared" si="20"/>
        <v>43</v>
      </c>
      <c r="E53" s="63">
        <f t="shared" si="16"/>
        <v>10.75</v>
      </c>
      <c r="F53" s="63">
        <f t="shared" si="21"/>
        <v>80.75</v>
      </c>
      <c r="G53" s="62">
        <f t="shared" si="17"/>
        <v>0</v>
      </c>
      <c r="H53" s="285">
        <f t="array" aca="1" ref="H53:Q53" ca="1">MMULT(H52:Q52, OFFSET(AB.rngTPMroot, MIN(4, INT(($F52-55)/5))*10, $G53*13))</f>
        <v>7.8683191031102089E-4</v>
      </c>
      <c r="I53" s="285">
        <f ca="1"/>
        <v>0</v>
      </c>
      <c r="J53" s="285">
        <f ca="1"/>
        <v>3.6212630219736128E-2</v>
      </c>
      <c r="K53" s="285">
        <f ca="1"/>
        <v>5.3371902037027729E-3</v>
      </c>
      <c r="L53" s="285">
        <f ca="1"/>
        <v>5.5858702985835866E-4</v>
      </c>
      <c r="M53" s="285">
        <f ca="1"/>
        <v>8.2327221347502122E-5</v>
      </c>
      <c r="N53" s="285">
        <f ca="1"/>
        <v>2.1419145664264776E-4</v>
      </c>
      <c r="O53" s="285">
        <f ca="1"/>
        <v>3.1568558736916218E-5</v>
      </c>
      <c r="P53" s="285">
        <f ca="1"/>
        <v>0.70528207189793557</v>
      </c>
      <c r="Q53" s="285">
        <f ca="1"/>
        <v>0.25149460150172953</v>
      </c>
      <c r="R53" s="283">
        <f t="shared" ca="1" si="18"/>
        <v>1.0000000000000004</v>
      </c>
      <c r="S53" s="418">
        <f t="shared" ca="1" si="14"/>
        <v>3.6985408706237136E-2</v>
      </c>
      <c r="U53" s="284">
        <f t="array" aca="1" ref="U53:AD53" ca="1">MMULT(U52:AD52, OFFSET(AB.rngTPMroot, MIN(4, INT(($F52-55)/5))*10, $G53*13))</f>
        <v>7.4660757051870447E-2</v>
      </c>
      <c r="V53" s="284">
        <f ca="1"/>
        <v>0</v>
      </c>
      <c r="W53" s="284">
        <f ca="1"/>
        <v>3.6241240259189615E-2</v>
      </c>
      <c r="X53" s="284">
        <f ca="1"/>
        <v>5.3414851620167889E-3</v>
      </c>
      <c r="Y53" s="284">
        <f ca="1"/>
        <v>5.5902834541222707E-4</v>
      </c>
      <c r="Z53" s="284">
        <f ca="1"/>
        <v>8.2393471934477807E-5</v>
      </c>
      <c r="AA53" s="284">
        <f ca="1"/>
        <v>2.1436068008728472E-4</v>
      </c>
      <c r="AB53" s="284">
        <f ca="1"/>
        <v>3.1593962673938084E-5</v>
      </c>
      <c r="AC53" s="284">
        <f ca="1"/>
        <v>0.63196739502900379</v>
      </c>
      <c r="AD53" s="284">
        <f ca="1"/>
        <v>0.25090174603781201</v>
      </c>
      <c r="AE53" s="283">
        <f t="shared" ca="1" si="19"/>
        <v>1.0000000000000004</v>
      </c>
      <c r="AF53" s="418">
        <f t="shared" ca="1" si="15"/>
        <v>3.7014629284689127E-2</v>
      </c>
    </row>
    <row r="54" spans="1:32" ht="12" customHeight="1" x14ac:dyDescent="0.25">
      <c r="A54" s="262"/>
      <c r="C54" s="263"/>
      <c r="D54" s="62">
        <f t="shared" si="20"/>
        <v>44</v>
      </c>
      <c r="E54" s="63">
        <f t="shared" si="16"/>
        <v>11</v>
      </c>
      <c r="F54" s="63">
        <f t="shared" si="21"/>
        <v>81</v>
      </c>
      <c r="G54" s="62">
        <f t="shared" si="17"/>
        <v>0</v>
      </c>
      <c r="H54" s="285">
        <f t="array" aca="1" ref="H54:Q54" ca="1">MMULT(H53:Q53, OFFSET(AB.rngTPMroot, MIN(4, INT(($F53-55)/5))*10, $G54*13))</f>
        <v>7.3943869795362104E-4</v>
      </c>
      <c r="I54" s="285">
        <f ca="1"/>
        <v>0</v>
      </c>
      <c r="J54" s="285">
        <f ca="1"/>
        <v>3.5908700952111669E-2</v>
      </c>
      <c r="K54" s="285">
        <f ca="1"/>
        <v>5.2924838021091826E-3</v>
      </c>
      <c r="L54" s="285">
        <f ca="1"/>
        <v>5.5389886040313788E-4</v>
      </c>
      <c r="M54" s="285">
        <f ca="1"/>
        <v>8.1637616203377337E-5</v>
      </c>
      <c r="N54" s="285">
        <f ca="1"/>
        <v>2.1239376748961476E-4</v>
      </c>
      <c r="O54" s="285">
        <f ca="1"/>
        <v>3.1304128088811466E-5</v>
      </c>
      <c r="P54" s="285">
        <f ca="1"/>
        <v>0.69940488870241468</v>
      </c>
      <c r="Q54" s="285">
        <f ca="1"/>
        <v>0.25777525347322638</v>
      </c>
      <c r="R54" s="283">
        <f t="shared" ca="1" si="18"/>
        <v>1.0000000000000004</v>
      </c>
      <c r="S54" s="418">
        <f t="shared" ca="1" si="14"/>
        <v>3.6674993580004416E-2</v>
      </c>
      <c r="U54" s="284">
        <f t="array" aca="1" ref="U54:AD54" ca="1">MMULT(U53:AD53, OFFSET(AB.rngTPMroot, MIN(4, INT(($F53-55)/5))*10, $G54*13))</f>
        <v>7.0163718907694447E-2</v>
      </c>
      <c r="V54" s="284">
        <f ca="1"/>
        <v>0</v>
      </c>
      <c r="W54" s="284">
        <f ca="1"/>
        <v>3.5937142764053048E-2</v>
      </c>
      <c r="X54" s="284">
        <f ca="1"/>
        <v>5.2966651656132001E-3</v>
      </c>
      <c r="Y54" s="284">
        <f ca="1"/>
        <v>5.543375810141436E-4</v>
      </c>
      <c r="Z54" s="284">
        <f ca="1"/>
        <v>8.1702114567795909E-5</v>
      </c>
      <c r="AA54" s="284">
        <f ca="1"/>
        <v>2.1256199589755737E-4</v>
      </c>
      <c r="AB54" s="284">
        <f ca="1"/>
        <v>3.13288601321412E-5</v>
      </c>
      <c r="AC54" s="284">
        <f ca="1"/>
        <v>0.63053517000492254</v>
      </c>
      <c r="AD54" s="284">
        <f ca="1"/>
        <v>0.25718737260610575</v>
      </c>
      <c r="AE54" s="283">
        <f t="shared" ca="1" si="19"/>
        <v>1.0000000000000007</v>
      </c>
      <c r="AF54" s="418">
        <f t="shared" ca="1" si="15"/>
        <v>3.6704042340964749E-2</v>
      </c>
    </row>
    <row r="55" spans="1:32" ht="12" customHeight="1" x14ac:dyDescent="0.25">
      <c r="A55" s="262"/>
      <c r="C55" s="263"/>
      <c r="D55" s="62">
        <f t="shared" si="20"/>
        <v>45</v>
      </c>
      <c r="E55" s="63">
        <f t="shared" si="16"/>
        <v>11.25</v>
      </c>
      <c r="F55" s="63">
        <f t="shared" si="21"/>
        <v>81.25</v>
      </c>
      <c r="G55" s="62">
        <f t="shared" si="17"/>
        <v>0</v>
      </c>
      <c r="H55" s="285">
        <f t="array" aca="1" ref="H55:Q55" ca="1">MMULT(H54:Q54, OFFSET(AB.rngTPMroot, MIN(4, INT(($F54-55)/5))*10, $G55*13))</f>
        <v>6.9490011890241963E-4</v>
      </c>
      <c r="I55" s="285">
        <f ca="1"/>
        <v>0</v>
      </c>
      <c r="J55" s="285">
        <f ca="1"/>
        <v>3.5607393471565531E-2</v>
      </c>
      <c r="K55" s="285">
        <f ca="1"/>
        <v>5.2480644733797089E-3</v>
      </c>
      <c r="L55" s="285">
        <f ca="1"/>
        <v>5.4925113253550997E-4</v>
      </c>
      <c r="M55" s="285">
        <f ca="1"/>
        <v>8.0952439215328109E-5</v>
      </c>
      <c r="N55" s="285">
        <f ca="1"/>
        <v>2.106115857545711E-4</v>
      </c>
      <c r="O55" s="285">
        <f ca="1"/>
        <v>3.1041395427142795E-5</v>
      </c>
      <c r="P55" s="285">
        <f ca="1"/>
        <v>0.69357458040200337</v>
      </c>
      <c r="Q55" s="285">
        <f ca="1"/>
        <v>0.26400320498121693</v>
      </c>
      <c r="R55" s="283">
        <f t="shared" ca="1" si="18"/>
        <v>1.0000000000000004</v>
      </c>
      <c r="S55" s="418">
        <f t="shared" ca="1" si="14"/>
        <v>3.6367256189855611E-2</v>
      </c>
      <c r="U55" s="284">
        <f t="array" aca="1" ref="U55:AD55" ca="1">MMULT(U54:AD54, OFFSET(AB.rngTPMroot, MIN(4, INT(($F54-55)/5))*10, $G55*13))</f>
        <v>6.593755066718314E-2</v>
      </c>
      <c r="V55" s="284">
        <f ca="1"/>
        <v>0</v>
      </c>
      <c r="W55" s="284">
        <f ca="1"/>
        <v>3.5635596927907374E-2</v>
      </c>
      <c r="X55" s="284">
        <f ca="1"/>
        <v>5.2522212503961531E-3</v>
      </c>
      <c r="Y55" s="284">
        <f ca="1"/>
        <v>5.4968617646394412E-4</v>
      </c>
      <c r="Z55" s="284">
        <f ca="1"/>
        <v>8.1016558328281515E-5</v>
      </c>
      <c r="AA55" s="284">
        <f ca="1"/>
        <v>2.1077840433028793E-4</v>
      </c>
      <c r="AB55" s="284">
        <f ca="1"/>
        <v>3.1065982045642704E-5</v>
      </c>
      <c r="AC55" s="284">
        <f ca="1"/>
        <v>0.62888182707419915</v>
      </c>
      <c r="AD55" s="284">
        <f ca="1"/>
        <v>0.26342025695914661</v>
      </c>
      <c r="AE55" s="283">
        <f t="shared" ca="1" si="19"/>
        <v>1.0000000000000004</v>
      </c>
      <c r="AF55" s="418">
        <f t="shared" ca="1" si="15"/>
        <v>3.6396061508701602E-2</v>
      </c>
    </row>
    <row r="56" spans="1:32" ht="12" customHeight="1" x14ac:dyDescent="0.25">
      <c r="A56" s="262"/>
      <c r="C56" s="263"/>
      <c r="D56" s="62">
        <f t="shared" si="20"/>
        <v>46</v>
      </c>
      <c r="E56" s="63">
        <f t="shared" si="16"/>
        <v>11.5</v>
      </c>
      <c r="F56" s="63">
        <f t="shared" si="21"/>
        <v>81.5</v>
      </c>
      <c r="G56" s="62">
        <f t="shared" si="17"/>
        <v>0</v>
      </c>
      <c r="H56" s="285">
        <f t="array" aca="1" ref="H56:Q56" ca="1">MMULT(H55:Q55, OFFSET(AB.rngTPMroot, MIN(4, INT(($F55-55)/5))*10, $G56*13))</f>
        <v>6.5304423015318642E-4</v>
      </c>
      <c r="I56" s="285">
        <f ca="1"/>
        <v>0</v>
      </c>
      <c r="J56" s="285">
        <f ca="1"/>
        <v>3.5308615096542574E-2</v>
      </c>
      <c r="K56" s="285">
        <f ca="1"/>
        <v>5.2040283194033634E-3</v>
      </c>
      <c r="L56" s="285">
        <f ca="1"/>
        <v>5.4464241662403716E-4</v>
      </c>
      <c r="M56" s="285">
        <f ca="1"/>
        <v>8.0273172774123129E-5</v>
      </c>
      <c r="N56" s="285">
        <f ca="1"/>
        <v>2.088443632421171E-4</v>
      </c>
      <c r="O56" s="285">
        <f ca="1"/>
        <v>3.078092917799438E-5</v>
      </c>
      <c r="P56" s="285">
        <f ca="1"/>
        <v>0.68779087327077471</v>
      </c>
      <c r="Q56" s="285">
        <f ca="1"/>
        <v>0.27017889820130836</v>
      </c>
      <c r="R56" s="283">
        <f t="shared" ca="1" si="18"/>
        <v>1.0000000000000004</v>
      </c>
      <c r="S56" s="418">
        <f t="shared" ca="1" si="14"/>
        <v>3.6062101876408729E-2</v>
      </c>
      <c r="U56" s="284">
        <f t="array" aca="1" ref="U56:AD56" ca="1">MMULT(U55:AD55, OFFSET(AB.rngTPMroot, MIN(4, INT(($F55-55)/5))*10, $G56*13))</f>
        <v>6.196593703516691E-2</v>
      </c>
      <c r="V56" s="284">
        <f ca="1"/>
        <v>0</v>
      </c>
      <c r="W56" s="284">
        <f ca="1"/>
        <v>3.5336581339975741E-2</v>
      </c>
      <c r="X56" s="284">
        <f ca="1"/>
        <v>5.2081502606969657E-3</v>
      </c>
      <c r="Y56" s="284">
        <f ca="1"/>
        <v>5.4507380149613387E-4</v>
      </c>
      <c r="Z56" s="284">
        <f ca="1"/>
        <v>8.0336754539117071E-5</v>
      </c>
      <c r="AA56" s="284">
        <f ca="1"/>
        <v>2.0900977874442733E-4</v>
      </c>
      <c r="AB56" s="284">
        <f ca="1"/>
        <v>3.0805309749207099E-5</v>
      </c>
      <c r="AC56" s="284">
        <f ca="1"/>
        <v>0.62702326406677411</v>
      </c>
      <c r="AD56" s="284">
        <f ca="1"/>
        <v>0.26960084165285791</v>
      </c>
      <c r="AE56" s="283">
        <f t="shared" ca="1" si="19"/>
        <v>1.0000000000000004</v>
      </c>
      <c r="AF56" s="418">
        <f t="shared" ca="1" si="15"/>
        <v>3.60906649202163E-2</v>
      </c>
    </row>
    <row r="57" spans="1:32" ht="12" customHeight="1" x14ac:dyDescent="0.25">
      <c r="A57" s="262"/>
      <c r="C57" s="263"/>
      <c r="D57" s="62">
        <f t="shared" si="20"/>
        <v>47</v>
      </c>
      <c r="E57" s="63">
        <f t="shared" si="16"/>
        <v>11.75</v>
      </c>
      <c r="F57" s="63">
        <f t="shared" si="21"/>
        <v>81.75</v>
      </c>
      <c r="G57" s="62">
        <f t="shared" si="17"/>
        <v>0</v>
      </c>
      <c r="H57" s="285">
        <f t="array" aca="1" ref="H57:Q57" ca="1">MMULT(H56:Q56, OFFSET(AB.rngTPMroot, MIN(4, INT(($F56-55)/5))*10, $G57*13))</f>
        <v>6.1370944533721376E-4</v>
      </c>
      <c r="I57" s="285">
        <f ca="1"/>
        <v>0</v>
      </c>
      <c r="J57" s="285">
        <f ca="1"/>
        <v>3.5012343161560322E-2</v>
      </c>
      <c r="K57" s="285">
        <f ca="1"/>
        <v>5.1603617947506555E-3</v>
      </c>
      <c r="L57" s="285">
        <f ca="1"/>
        <v>5.4007236304914029E-4</v>
      </c>
      <c r="M57" s="285">
        <f ca="1"/>
        <v>7.959960793881605E-5</v>
      </c>
      <c r="N57" s="285">
        <f ca="1"/>
        <v>2.0709196588983644E-4</v>
      </c>
      <c r="O57" s="285">
        <f ca="1"/>
        <v>3.0522649222489018E-5</v>
      </c>
      <c r="P57" s="285">
        <f ca="1"/>
        <v>0.68205352736278457</v>
      </c>
      <c r="Q57" s="285">
        <f ca="1"/>
        <v>0.27630277164946743</v>
      </c>
      <c r="R57" s="283">
        <f t="shared" ca="1" si="18"/>
        <v>1.0000000000000004</v>
      </c>
      <c r="S57" s="418">
        <f t="shared" ca="1" si="14"/>
        <v>3.5759507490499304E-2</v>
      </c>
      <c r="U57" s="284">
        <f t="array" aca="1" ref="U57:AD57" ca="1">MMULT(U56:AD56, OFFSET(AB.rngTPMroot, MIN(4, INT(($F56-55)/5))*10, $G57*13))</f>
        <v>5.8233545434943072E-2</v>
      </c>
      <c r="V57" s="284">
        <f ca="1"/>
        <v>0</v>
      </c>
      <c r="W57" s="284">
        <f ca="1"/>
        <v>3.5040074769137515E-2</v>
      </c>
      <c r="X57" s="284">
        <f ca="1"/>
        <v>5.1644490673259354E-3</v>
      </c>
      <c r="Y57" s="284">
        <f ca="1"/>
        <v>5.4050012861645057E-4</v>
      </c>
      <c r="Z57" s="284">
        <f ca="1"/>
        <v>7.9662654931928484E-5</v>
      </c>
      <c r="AA57" s="284">
        <f ca="1"/>
        <v>2.0725599356156201E-4</v>
      </c>
      <c r="AB57" s="284">
        <f ca="1"/>
        <v>3.0546824734217452E-5</v>
      </c>
      <c r="AC57" s="284">
        <f ca="1"/>
        <v>0.62497439959703993</v>
      </c>
      <c r="AD57" s="284">
        <f ca="1"/>
        <v>0.2757295655297099</v>
      </c>
      <c r="AE57" s="283">
        <f t="shared" ca="1" si="19"/>
        <v>1.0000000000000004</v>
      </c>
      <c r="AF57" s="418">
        <f t="shared" ca="1" si="15"/>
        <v>3.5787830891315528E-2</v>
      </c>
    </row>
    <row r="58" spans="1:32" ht="12" customHeight="1" x14ac:dyDescent="0.25">
      <c r="A58" s="262"/>
      <c r="C58" s="263"/>
      <c r="D58" s="62">
        <f t="shared" si="20"/>
        <v>48</v>
      </c>
      <c r="E58" s="63">
        <f t="shared" si="16"/>
        <v>12</v>
      </c>
      <c r="F58" s="63">
        <f t="shared" si="21"/>
        <v>82</v>
      </c>
      <c r="G58" s="62">
        <f t="shared" si="17"/>
        <v>0</v>
      </c>
      <c r="H58" s="285">
        <f t="array" aca="1" ref="H58:Q58" ca="1">MMULT(H57:Q57, OFFSET(AB.rngTPMroot, MIN(4, INT(($F57-55)/5))*10, $G58*13))</f>
        <v>5.7674391091053863E-4</v>
      </c>
      <c r="I58" s="285">
        <f ca="1"/>
        <v>0</v>
      </c>
      <c r="J58" s="285">
        <f ca="1"/>
        <v>3.4718557245801959E-2</v>
      </c>
      <c r="K58" s="285">
        <f ca="1"/>
        <v>5.1170615868563795E-3</v>
      </c>
      <c r="L58" s="285">
        <f ca="1"/>
        <v>5.3554065681565475E-4</v>
      </c>
      <c r="M58" s="285">
        <f ca="1"/>
        <v>7.893169361242915E-5</v>
      </c>
      <c r="N58" s="285">
        <f ca="1"/>
        <v>2.0535427291212271E-4</v>
      </c>
      <c r="O58" s="285">
        <f ca="1"/>
        <v>3.0266535967375344E-5</v>
      </c>
      <c r="P58" s="285">
        <f ca="1"/>
        <v>0.67636228395650122</v>
      </c>
      <c r="Q58" s="285">
        <f ca="1"/>
        <v>0.28237526014062275</v>
      </c>
      <c r="R58" s="283">
        <f t="shared" ca="1" si="18"/>
        <v>1.0000000000000004</v>
      </c>
      <c r="S58" s="418">
        <f t="shared" ca="1" si="14"/>
        <v>3.5459452175529732E-2</v>
      </c>
      <c r="U58" s="284">
        <f t="array" aca="1" ref="U58:AD58" ca="1">MMULT(U57:AD57, OFFSET(AB.rngTPMroot, MIN(4, INT(($F57-55)/5))*10, $G58*13))</f>
        <v>5.4725966816237051E-2</v>
      </c>
      <c r="V58" s="284">
        <f ca="1"/>
        <v>0</v>
      </c>
      <c r="W58" s="284">
        <f ca="1"/>
        <v>3.4746056162420803E-2</v>
      </c>
      <c r="X58" s="284">
        <f ca="1"/>
        <v>5.1211145673501508E-3</v>
      </c>
      <c r="Y58" s="284">
        <f ca="1"/>
        <v>5.3596483307861151E-4</v>
      </c>
      <c r="Z58" s="284">
        <f ca="1"/>
        <v>7.8994211643357932E-5</v>
      </c>
      <c r="AA58" s="284">
        <f ca="1"/>
        <v>2.0551692425699726E-4</v>
      </c>
      <c r="AB58" s="284">
        <f ca="1"/>
        <v>3.0290508647361236E-5</v>
      </c>
      <c r="AC58" s="284">
        <f ca="1"/>
        <v>0.62274923222648726</v>
      </c>
      <c r="AD58" s="284">
        <f ca="1"/>
        <v>0.2818068637498789</v>
      </c>
      <c r="AE58" s="283">
        <f t="shared" ca="1" si="19"/>
        <v>1.0000000000000004</v>
      </c>
      <c r="AF58" s="418">
        <f t="shared" ca="1" si="15"/>
        <v>3.5487537919756416E-2</v>
      </c>
    </row>
    <row r="59" spans="1:32" ht="12" customHeight="1" x14ac:dyDescent="0.25">
      <c r="A59" s="262"/>
      <c r="C59" s="263"/>
      <c r="D59" s="62">
        <f t="shared" si="20"/>
        <v>49</v>
      </c>
      <c r="E59" s="63">
        <f t="shared" si="16"/>
        <v>12.25</v>
      </c>
      <c r="F59" s="63">
        <f t="shared" si="21"/>
        <v>82.25</v>
      </c>
      <c r="G59" s="62">
        <f t="shared" si="17"/>
        <v>0</v>
      </c>
      <c r="H59" s="285">
        <f t="array" aca="1" ref="H59:Q59" ca="1">MMULT(H58:Q58, OFFSET(AB.rngTPMroot, MIN(4, INT(($F58-55)/5))*10, $G59*13))</f>
        <v>5.4200491991713076E-4</v>
      </c>
      <c r="I59" s="285">
        <f ca="1"/>
        <v>0</v>
      </c>
      <c r="J59" s="285">
        <f ca="1"/>
        <v>3.4427236468560884E-2</v>
      </c>
      <c r="K59" s="285">
        <f ca="1"/>
        <v>5.0741247112137053E-3</v>
      </c>
      <c r="L59" s="285">
        <f ca="1"/>
        <v>5.3104697583452492E-4</v>
      </c>
      <c r="M59" s="285">
        <f ca="1"/>
        <v>7.8269383758350448E-5</v>
      </c>
      <c r="N59" s="285">
        <f ca="1"/>
        <v>2.0363116080320098E-4</v>
      </c>
      <c r="O59" s="285">
        <f ca="1"/>
        <v>3.0012571759810643E-5</v>
      </c>
      <c r="P59" s="285">
        <f ca="1"/>
        <v>0.67071687896621879</v>
      </c>
      <c r="Q59" s="285">
        <f ca="1"/>
        <v>0.28839679484193403</v>
      </c>
      <c r="R59" s="283">
        <f t="shared" ca="1" si="18"/>
        <v>1.0000000000000004</v>
      </c>
      <c r="S59" s="418">
        <f t="shared" ca="1" si="14"/>
        <v>3.5161914605198609E-2</v>
      </c>
      <c r="U59" s="284">
        <f t="array" aca="1" ref="U59:AD59" ca="1">MMULT(U58:AD58, OFFSET(AB.rngTPMroot, MIN(4, INT(($F58-55)/5))*10, $G59*13))</f>
        <v>5.1429660028475079E-2</v>
      </c>
      <c r="V59" s="284">
        <f ca="1"/>
        <v>0</v>
      </c>
      <c r="W59" s="284">
        <f ca="1"/>
        <v>3.445450464350755E-2</v>
      </c>
      <c r="X59" s="284">
        <f ca="1"/>
        <v>5.0781436838731797E-3</v>
      </c>
      <c r="Y59" s="284">
        <f ca="1"/>
        <v>5.314675928612553E-4</v>
      </c>
      <c r="Z59" s="284">
        <f ca="1"/>
        <v>7.8331377211665379E-5</v>
      </c>
      <c r="AA59" s="284">
        <f ca="1"/>
        <v>2.0379244735091573E-4</v>
      </c>
      <c r="AB59" s="284">
        <f ca="1"/>
        <v>3.003634328932718E-5</v>
      </c>
      <c r="AC59" s="284">
        <f ca="1"/>
        <v>0.6203608960612863</v>
      </c>
      <c r="AD59" s="284">
        <f ca="1"/>
        <v>0.2878331678221453</v>
      </c>
      <c r="AE59" s="283">
        <f t="shared" ca="1" si="19"/>
        <v>1.0000000000000004</v>
      </c>
      <c r="AF59" s="418">
        <f t="shared" ca="1" si="15"/>
        <v>3.5189764683719718E-2</v>
      </c>
    </row>
    <row r="60" spans="1:32" ht="12" customHeight="1" x14ac:dyDescent="0.25">
      <c r="A60" s="262"/>
      <c r="C60" s="263"/>
      <c r="D60" s="62">
        <f t="shared" si="20"/>
        <v>50</v>
      </c>
      <c r="E60" s="63">
        <f t="shared" si="16"/>
        <v>12.5</v>
      </c>
      <c r="F60" s="63">
        <f t="shared" si="21"/>
        <v>82.5</v>
      </c>
      <c r="G60" s="62">
        <f t="shared" si="17"/>
        <v>0</v>
      </c>
      <c r="H60" s="285">
        <f t="array" aca="1" ref="H60:Q60" ca="1">MMULT(H59:Q59, OFFSET(AB.rngTPMroot, MIN(4, INT(($F59-55)/5))*10, $G60*13))</f>
        <v>5.0935836106285866E-4</v>
      </c>
      <c r="I60" s="285">
        <f ca="1"/>
        <v>0</v>
      </c>
      <c r="J60" s="285">
        <f ca="1"/>
        <v>3.4138360141493573E-2</v>
      </c>
      <c r="K60" s="285">
        <f ca="1"/>
        <v>5.0315481161028108E-3</v>
      </c>
      <c r="L60" s="285">
        <f ca="1"/>
        <v>5.2659100098393318E-4</v>
      </c>
      <c r="M60" s="285">
        <f ca="1"/>
        <v>7.7612631303194238E-5</v>
      </c>
      <c r="N60" s="285">
        <f ca="1"/>
        <v>2.0192250719509039E-4</v>
      </c>
      <c r="O60" s="285">
        <f ca="1"/>
        <v>2.9760738549398985E-5</v>
      </c>
      <c r="P60" s="285">
        <f ca="1"/>
        <v>0.66511704320051457</v>
      </c>
      <c r="Q60" s="285">
        <f ca="1"/>
        <v>0.29436780330279511</v>
      </c>
      <c r="R60" s="283">
        <f t="shared" ca="1" si="18"/>
        <v>1.0000000000000004</v>
      </c>
      <c r="S60" s="418">
        <f t="shared" ca="1" si="14"/>
        <v>3.48668736496726E-2</v>
      </c>
      <c r="U60" s="284">
        <f t="array" aca="1" ref="U60:AD60" ca="1">MMULT(U59:AD59, OFFSET(AB.rngTPMroot, MIN(4, INT(($F59-55)/5))*10, $G60*13))</f>
        <v>4.833189954461909E-2</v>
      </c>
      <c r="V60" s="284">
        <f ca="1"/>
        <v>0</v>
      </c>
      <c r="W60" s="284">
        <f ca="1"/>
        <v>3.4165399511251346E-2</v>
      </c>
      <c r="X60" s="284">
        <f ca="1"/>
        <v>5.035533365816588E-3</v>
      </c>
      <c r="Y60" s="284">
        <f ca="1"/>
        <v>5.2700808864507753E-4</v>
      </c>
      <c r="Z60" s="284">
        <f ca="1"/>
        <v>7.7674104573358655E-5</v>
      </c>
      <c r="AA60" s="284">
        <f ca="1"/>
        <v>2.0208244039960973E-4</v>
      </c>
      <c r="AB60" s="284">
        <f ca="1"/>
        <v>2.9784310613513044E-5</v>
      </c>
      <c r="AC60" s="284">
        <f ca="1"/>
        <v>0.61782171299955002</v>
      </c>
      <c r="AD60" s="284">
        <f ca="1"/>
        <v>0.29380890563453205</v>
      </c>
      <c r="AE60" s="283">
        <f t="shared" ca="1" si="19"/>
        <v>1.0000000000000007</v>
      </c>
      <c r="AF60" s="418">
        <f t="shared" ca="1" si="15"/>
        <v>3.4894490040296038E-2</v>
      </c>
    </row>
    <row r="61" spans="1:32" ht="12" customHeight="1" x14ac:dyDescent="0.25">
      <c r="A61" s="262"/>
      <c r="C61" s="263"/>
      <c r="D61" s="62">
        <f t="shared" si="20"/>
        <v>51</v>
      </c>
      <c r="E61" s="63">
        <f t="shared" si="16"/>
        <v>12.75</v>
      </c>
      <c r="F61" s="63">
        <f t="shared" si="21"/>
        <v>82.75</v>
      </c>
      <c r="G61" s="62">
        <f t="shared" si="17"/>
        <v>0</v>
      </c>
      <c r="H61" s="285">
        <f t="array" aca="1" ref="H61:Q61" ca="1">MMULT(H60:Q60, OFFSET(AB.rngTPMroot, MIN(4, INT(($F60-55)/5))*10, $G61*13))</f>
        <v>4.7867820097335868E-4</v>
      </c>
      <c r="I61" s="285">
        <f ca="1"/>
        <v>0</v>
      </c>
      <c r="J61" s="285">
        <f ca="1"/>
        <v>3.3851907753745379E-2</v>
      </c>
      <c r="K61" s="285">
        <f ca="1"/>
        <v>4.9893287779177791E-3</v>
      </c>
      <c r="L61" s="285">
        <f ca="1"/>
        <v>5.2217241587986364E-4</v>
      </c>
      <c r="M61" s="285">
        <f ca="1"/>
        <v>7.6961389607237298E-5</v>
      </c>
      <c r="N61" s="285">
        <f ca="1"/>
        <v>2.0022819076962644E-4</v>
      </c>
      <c r="O61" s="285">
        <f ca="1"/>
        <v>2.951101845203328E-5</v>
      </c>
      <c r="P61" s="285">
        <f ca="1"/>
        <v>0.65956250276760209</v>
      </c>
      <c r="Q61" s="285">
        <f ca="1"/>
        <v>0.30028870948505315</v>
      </c>
      <c r="R61" s="283">
        <f t="shared" ca="1" si="18"/>
        <v>1.0000000000000004</v>
      </c>
      <c r="S61" s="418">
        <f t="shared" ca="1" si="14"/>
        <v>3.4574308360394872E-2</v>
      </c>
      <c r="U61" s="284">
        <f t="array" aca="1" ref="U61:AD61" ca="1">MMULT(U60:AD60, OFFSET(AB.rngTPMroot, MIN(4, INT(($F60-55)/5))*10, $G61*13))</f>
        <v>4.5420726333749675E-2</v>
      </c>
      <c r="V61" s="284">
        <f ca="1"/>
        <v>0</v>
      </c>
      <c r="W61" s="284">
        <f ca="1"/>
        <v>3.387872023820751E-2</v>
      </c>
      <c r="X61" s="284">
        <f ca="1"/>
        <v>4.9932805877033123E-3</v>
      </c>
      <c r="Y61" s="284">
        <f ca="1"/>
        <v>5.2258600379015755E-4</v>
      </c>
      <c r="Z61" s="284">
        <f ca="1"/>
        <v>7.70223470598518E-5</v>
      </c>
      <c r="AA61" s="284">
        <f ca="1"/>
        <v>2.0038678198678754E-4</v>
      </c>
      <c r="AB61" s="284">
        <f ca="1"/>
        <v>2.9534392724744261E-5</v>
      </c>
      <c r="AC61" s="284">
        <f ca="1"/>
        <v>0.61514324183009239</v>
      </c>
      <c r="AD61" s="284">
        <f ca="1"/>
        <v>0.29973450148468617</v>
      </c>
      <c r="AE61" s="283">
        <f t="shared" ca="1" si="19"/>
        <v>1.0000000000000004</v>
      </c>
      <c r="AF61" s="418">
        <f t="shared" ca="1" si="15"/>
        <v>3.4601693023984449E-2</v>
      </c>
    </row>
    <row r="62" spans="1:32" ht="12" customHeight="1" x14ac:dyDescent="0.25">
      <c r="A62" s="262"/>
      <c r="C62" s="263"/>
      <c r="D62" s="62">
        <f t="shared" si="20"/>
        <v>52</v>
      </c>
      <c r="E62" s="63">
        <f t="shared" si="16"/>
        <v>13</v>
      </c>
      <c r="F62" s="63">
        <f t="shared" si="21"/>
        <v>83</v>
      </c>
      <c r="G62" s="62">
        <f t="shared" si="17"/>
        <v>0</v>
      </c>
      <c r="H62" s="285">
        <f t="array" aca="1" ref="H62:Q62" ca="1">MMULT(H61:Q61, OFFSET(AB.rngTPMroot, MIN(4, INT(($F61-55)/5))*10, $G62*13))</f>
        <v>4.4984599763704371E-4</v>
      </c>
      <c r="I62" s="285">
        <f ca="1"/>
        <v>0</v>
      </c>
      <c r="J62" s="285">
        <f ca="1"/>
        <v>3.3567858966234758E-2</v>
      </c>
      <c r="K62" s="285">
        <f ca="1"/>
        <v>4.9474636989927318E-3</v>
      </c>
      <c r="L62" s="285">
        <f ca="1"/>
        <v>5.1779090678793496E-4</v>
      </c>
      <c r="M62" s="285">
        <f ca="1"/>
        <v>7.6315612430886715E-5</v>
      </c>
      <c r="N62" s="285">
        <f ca="1"/>
        <v>1.9854809122465283E-4</v>
      </c>
      <c r="O62" s="285">
        <f ca="1"/>
        <v>2.9263393737037339E-5</v>
      </c>
      <c r="P62" s="285">
        <f ca="1"/>
        <v>0.65405297953983199</v>
      </c>
      <c r="Q62" s="285">
        <f ca="1"/>
        <v>0.30615993379312351</v>
      </c>
      <c r="R62" s="283">
        <f t="shared" ca="1" si="18"/>
        <v>1.0000000000000004</v>
      </c>
      <c r="S62" s="418">
        <f t="shared" ca="1" si="14"/>
        <v>3.4284197964247344E-2</v>
      </c>
      <c r="U62" s="284">
        <f t="array" aca="1" ref="U62:AD62" ca="1">MMULT(U61:AD61, OFFSET(AB.rngTPMroot, MIN(4, INT(($F61-55)/5))*10, $G62*13))</f>
        <v>4.2684901692738558E-2</v>
      </c>
      <c r="V62" s="284">
        <f ca="1"/>
        <v>0</v>
      </c>
      <c r="W62" s="284">
        <f ca="1"/>
        <v>3.3594446469175573E-2</v>
      </c>
      <c r="X62" s="284">
        <f ca="1"/>
        <v>4.9513823494428391E-3</v>
      </c>
      <c r="Y62" s="284">
        <f ca="1"/>
        <v>5.182010243134764E-4</v>
      </c>
      <c r="Z62" s="284">
        <f ca="1"/>
        <v>7.6376058394151373E-5</v>
      </c>
      <c r="AA62" s="284">
        <f ca="1"/>
        <v>1.9870535171495214E-4</v>
      </c>
      <c r="AB62" s="284">
        <f ca="1"/>
        <v>2.928657187800332E-5</v>
      </c>
      <c r="AC62" s="284">
        <f ca="1"/>
        <v>0.61233632437233776</v>
      </c>
      <c r="AD62" s="284">
        <f ca="1"/>
        <v>0.30561037611000536</v>
      </c>
      <c r="AE62" s="283">
        <f t="shared" ca="1" si="19"/>
        <v>1.0000000000000007</v>
      </c>
      <c r="AF62" s="418">
        <f t="shared" ca="1" si="15"/>
        <v>3.4311352845204E-2</v>
      </c>
    </row>
    <row r="63" spans="1:32" ht="12" customHeight="1" x14ac:dyDescent="0.25">
      <c r="A63" s="262"/>
      <c r="C63" s="263"/>
      <c r="D63" s="62">
        <f t="shared" si="20"/>
        <v>53</v>
      </c>
      <c r="E63" s="63">
        <f t="shared" si="16"/>
        <v>13.25</v>
      </c>
      <c r="F63" s="63">
        <f t="shared" si="21"/>
        <v>83.25</v>
      </c>
      <c r="G63" s="62">
        <f t="shared" si="17"/>
        <v>0</v>
      </c>
      <c r="H63" s="285">
        <f t="array" aca="1" ref="H63:Q63" ca="1">MMULT(H62:Q62, OFFSET(AB.rngTPMroot, MIN(4, INT(($F62-55)/5))*10, $G63*13))</f>
        <v>4.2275044315487798E-4</v>
      </c>
      <c r="I63" s="285">
        <f ca="1"/>
        <v>0</v>
      </c>
      <c r="J63" s="285">
        <f ca="1"/>
        <v>3.3286193610531582E-2</v>
      </c>
      <c r="K63" s="285">
        <f ca="1"/>
        <v>4.9059499067664663E-3</v>
      </c>
      <c r="L63" s="285">
        <f ca="1"/>
        <v>5.1344616260609729E-4</v>
      </c>
      <c r="M63" s="285">
        <f ca="1"/>
        <v>7.5675253921794259E-5</v>
      </c>
      <c r="N63" s="285">
        <f ca="1"/>
        <v>1.968820892673867E-4</v>
      </c>
      <c r="O63" s="285">
        <f ca="1"/>
        <v>2.9017846822224793E-5</v>
      </c>
      <c r="P63" s="285">
        <f ca="1"/>
        <v>0.64858819158309011</v>
      </c>
      <c r="Q63" s="285">
        <f ca="1"/>
        <v>0.31198189310384</v>
      </c>
      <c r="R63" s="283">
        <f t="shared" ca="1" si="18"/>
        <v>1.0000000000000004</v>
      </c>
      <c r="S63" s="418">
        <f t="shared" ca="1" si="14"/>
        <v>3.3996521862405066E-2</v>
      </c>
      <c r="U63" s="284">
        <f t="array" aca="1" ref="U63:AD63" ca="1">MMULT(U62:AD62, OFFSET(AB.rngTPMroot, MIN(4, INT(($F62-55)/5))*10, $G63*13))</f>
        <v>4.0113863858775967E-2</v>
      </c>
      <c r="V63" s="284">
        <f ca="1"/>
        <v>0</v>
      </c>
      <c r="W63" s="284">
        <f ca="1"/>
        <v>3.3312558019754052E-2</v>
      </c>
      <c r="X63" s="284">
        <f ca="1"/>
        <v>4.9098356761181801E-3</v>
      </c>
      <c r="Y63" s="284">
        <f ca="1"/>
        <v>5.1385283886662284E-4</v>
      </c>
      <c r="Z63" s="284">
        <f ca="1"/>
        <v>7.5735192687570685E-5</v>
      </c>
      <c r="AA63" s="284">
        <f ca="1"/>
        <v>1.9703803019685301E-4</v>
      </c>
      <c r="AB63" s="284">
        <f ca="1"/>
        <v>2.904083047716978E-5</v>
      </c>
      <c r="AC63" s="284">
        <f ca="1"/>
        <v>0.60941112883561255</v>
      </c>
      <c r="AD63" s="284">
        <f ca="1"/>
        <v>0.31143694671751176</v>
      </c>
      <c r="AE63" s="283">
        <f t="shared" ca="1" si="19"/>
        <v>1.0000000000000007</v>
      </c>
      <c r="AF63" s="418">
        <f t="shared" ca="1" si="15"/>
        <v>3.4023448888817531E-2</v>
      </c>
    </row>
    <row r="64" spans="1:32" ht="12" customHeight="1" x14ac:dyDescent="0.25">
      <c r="A64" s="262"/>
      <c r="C64" s="263"/>
      <c r="D64" s="62">
        <f t="shared" si="20"/>
        <v>54</v>
      </c>
      <c r="E64" s="63">
        <f t="shared" si="16"/>
        <v>13.5</v>
      </c>
      <c r="F64" s="63">
        <f t="shared" si="21"/>
        <v>83.5</v>
      </c>
      <c r="G64" s="62">
        <f t="shared" si="17"/>
        <v>0</v>
      </c>
      <c r="H64" s="285">
        <f t="array" aca="1" ref="H64:Q64" ca="1">MMULT(H63:Q63, OFFSET(AB.rngTPMroot, MIN(4, INT(($F63-55)/5))*10, $G64*13))</f>
        <v>3.9728693403168501E-4</v>
      </c>
      <c r="I64" s="285">
        <f ca="1"/>
        <v>0</v>
      </c>
      <c r="J64" s="285">
        <f ca="1"/>
        <v>3.3006891687440608E-2</v>
      </c>
      <c r="K64" s="285">
        <f ca="1"/>
        <v>4.8647844536185217E-3</v>
      </c>
      <c r="L64" s="285">
        <f ca="1"/>
        <v>5.0913787484278307E-4</v>
      </c>
      <c r="M64" s="285">
        <f ca="1"/>
        <v>7.5040268612327517E-5</v>
      </c>
      <c r="N64" s="285">
        <f ca="1"/>
        <v>1.9523006660604068E-4</v>
      </c>
      <c r="O64" s="285">
        <f ca="1"/>
        <v>2.8774360272929412E-5</v>
      </c>
      <c r="P64" s="285">
        <f ca="1"/>
        <v>0.64316785355852102</v>
      </c>
      <c r="Q64" s="285">
        <f ca="1"/>
        <v>0.31775500079605468</v>
      </c>
      <c r="R64" s="283">
        <f t="shared" ca="1" si="18"/>
        <v>1.0000000000000004</v>
      </c>
      <c r="S64" s="418">
        <f t="shared" ca="1" si="14"/>
        <v>3.3711259628889427E-2</v>
      </c>
      <c r="U64" s="284">
        <f t="array" aca="1" ref="U64:AD64" ca="1">MMULT(U63:AD63, OFFSET(AB.rngTPMroot, MIN(4, INT(($F63-55)/5))*10, $G64*13))</f>
        <v>3.7697687235253775E-2</v>
      </c>
      <c r="V64" s="284">
        <f ca="1"/>
        <v>0</v>
      </c>
      <c r="W64" s="284">
        <f ca="1"/>
        <v>3.3033034874907212E-2</v>
      </c>
      <c r="X64" s="284">
        <f ca="1"/>
        <v>4.8686376177746573E-3</v>
      </c>
      <c r="Y64" s="284">
        <f ca="1"/>
        <v>5.0954113871368644E-4</v>
      </c>
      <c r="Z64" s="284">
        <f ca="1"/>
        <v>7.5099704436471564E-5</v>
      </c>
      <c r="AA64" s="284">
        <f ca="1"/>
        <v>1.9538469904700883E-4</v>
      </c>
      <c r="AB64" s="284">
        <f ca="1"/>
        <v>2.8797151073770951E-5</v>
      </c>
      <c r="AC64" s="284">
        <f ca="1"/>
        <v>0.60637719056531902</v>
      </c>
      <c r="AD64" s="284">
        <f ca="1"/>
        <v>0.31721462701347514</v>
      </c>
      <c r="AE64" s="283">
        <f t="shared" ca="1" si="19"/>
        <v>1.0000000000000009</v>
      </c>
      <c r="AF64" s="418">
        <f t="shared" ca="1" si="15"/>
        <v>3.3737960712667908E-2</v>
      </c>
    </row>
    <row r="65" spans="1:32" ht="12" customHeight="1" x14ac:dyDescent="0.25">
      <c r="A65" s="262"/>
      <c r="C65" s="263"/>
      <c r="D65" s="62">
        <f t="shared" si="20"/>
        <v>55</v>
      </c>
      <c r="E65" s="63">
        <f t="shared" si="16"/>
        <v>13.75</v>
      </c>
      <c r="F65" s="63">
        <f t="shared" si="21"/>
        <v>83.75</v>
      </c>
      <c r="G65" s="62">
        <f t="shared" si="17"/>
        <v>0</v>
      </c>
      <c r="H65" s="285">
        <f t="array" aca="1" ref="H65:Q65" ca="1">MMULT(H64:Q64, OFFSET(AB.rngTPMroot, MIN(4, INT(($F64-55)/5))*10, $G65*13))</f>
        <v>3.733571673500804E-4</v>
      </c>
      <c r="I65" s="285">
        <f ca="1"/>
        <v>0</v>
      </c>
      <c r="J65" s="285">
        <f ca="1"/>
        <v>3.2729933365578279E-2</v>
      </c>
      <c r="K65" s="285">
        <f ca="1"/>
        <v>4.8239644166621536E-3</v>
      </c>
      <c r="L65" s="285">
        <f ca="1"/>
        <v>5.0486573759495296E-4</v>
      </c>
      <c r="M65" s="285">
        <f ca="1"/>
        <v>7.4410611416376608E-5</v>
      </c>
      <c r="N65" s="285">
        <f ca="1"/>
        <v>1.9359190594140429E-4</v>
      </c>
      <c r="O65" s="285">
        <f ca="1"/>
        <v>2.8532916800780682E-5</v>
      </c>
      <c r="P65" s="285">
        <f ca="1"/>
        <v>0.63779167709866769</v>
      </c>
      <c r="Q65" s="285">
        <f ca="1"/>
        <v>0.32347966677998891</v>
      </c>
      <c r="R65" s="283">
        <f t="shared" ca="1" si="18"/>
        <v>1.0000000000000007</v>
      </c>
      <c r="S65" s="418">
        <f t="shared" ca="1" si="14"/>
        <v>3.3428391009114634E-2</v>
      </c>
      <c r="U65" s="284">
        <f t="array" aca="1" ref="U65:AD65" ca="1">MMULT(U64:AD64, OFFSET(AB.rngTPMroot, MIN(4, INT(($F64-55)/5))*10, $G65*13))</f>
        <v>3.5427044073594247E-2</v>
      </c>
      <c r="V65" s="284">
        <f ca="1"/>
        <v>0</v>
      </c>
      <c r="W65" s="284">
        <f ca="1"/>
        <v>3.2755857187543952E-2</v>
      </c>
      <c r="X65" s="284">
        <f ca="1"/>
        <v>4.8277852492104364E-3</v>
      </c>
      <c r="Y65" s="284">
        <f ca="1"/>
        <v>5.0526561770933612E-4</v>
      </c>
      <c r="Z65" s="284">
        <f ca="1"/>
        <v>7.4469548519033371E-5</v>
      </c>
      <c r="AA65" s="284">
        <f ca="1"/>
        <v>1.9374524087330182E-4</v>
      </c>
      <c r="AB65" s="284">
        <f ca="1"/>
        <v>2.8555516365742923E-5</v>
      </c>
      <c r="AC65" s="284">
        <f ca="1"/>
        <v>0.60324345033339755</v>
      </c>
      <c r="AD65" s="284">
        <f ca="1"/>
        <v>0.3229438272327872</v>
      </c>
      <c r="AE65" s="283">
        <f t="shared" ca="1" si="19"/>
        <v>1.0000000000000007</v>
      </c>
      <c r="AF65" s="418">
        <f t="shared" ca="1" si="15"/>
        <v>3.3454868046126587E-2</v>
      </c>
    </row>
    <row r="66" spans="1:32" ht="12" customHeight="1" x14ac:dyDescent="0.25">
      <c r="A66" s="262"/>
      <c r="C66" s="263"/>
      <c r="D66" s="62">
        <f t="shared" si="20"/>
        <v>56</v>
      </c>
      <c r="E66" s="63">
        <f t="shared" si="16"/>
        <v>14</v>
      </c>
      <c r="F66" s="63">
        <f t="shared" si="21"/>
        <v>84</v>
      </c>
      <c r="G66" s="62">
        <f t="shared" si="17"/>
        <v>0</v>
      </c>
      <c r="H66" s="285">
        <f t="array" aca="1" ref="H66:Q66" ca="1">MMULT(H65:Q65, OFFSET(AB.rngTPMroot, MIN(4, INT(($F65-55)/5))*10, $G66*13))</f>
        <v>3.508687612680428E-4</v>
      </c>
      <c r="I66" s="285">
        <f ca="1"/>
        <v>0</v>
      </c>
      <c r="J66" s="285">
        <f ca="1"/>
        <v>3.2455298979964631E-2</v>
      </c>
      <c r="K66" s="285">
        <f ca="1"/>
        <v>4.7834868975363308E-3</v>
      </c>
      <c r="L66" s="285">
        <f ca="1"/>
        <v>5.0062944752637646E-4</v>
      </c>
      <c r="M66" s="285">
        <f ca="1"/>
        <v>7.3786237626145677E-5</v>
      </c>
      <c r="N66" s="285">
        <f ca="1"/>
        <v>1.9196749095851562E-4</v>
      </c>
      <c r="O66" s="285">
        <f ca="1"/>
        <v>2.8293499262473416E-5</v>
      </c>
      <c r="P66" s="285">
        <f ca="1"/>
        <v>0.63245937115951956</v>
      </c>
      <c r="Q66" s="285">
        <f ca="1"/>
        <v>0.32915629752633863</v>
      </c>
      <c r="R66" s="283">
        <f t="shared" ca="1" si="18"/>
        <v>1.0000000000000007</v>
      </c>
      <c r="S66" s="418">
        <f t="shared" ca="1" si="14"/>
        <v>3.3147895918449528E-2</v>
      </c>
      <c r="U66" s="284">
        <f t="array" aca="1" ref="U66:AD66" ca="1">MMULT(U65:AD65, OFFSET(AB.rngTPMroot, MIN(4, INT(($F65-55)/5))*10, $G66*13))</f>
        <v>3.3293168463095511E-2</v>
      </c>
      <c r="V66" s="284">
        <f ca="1"/>
        <v>0</v>
      </c>
      <c r="W66" s="284">
        <f ca="1"/>
        <v>3.2481005277108649E-2</v>
      </c>
      <c r="X66" s="284">
        <f ca="1"/>
        <v>4.7872756697688243E-3</v>
      </c>
      <c r="Y66" s="284">
        <f ca="1"/>
        <v>5.0102597227708371E-4</v>
      </c>
      <c r="Z66" s="284">
        <f ca="1"/>
        <v>7.3844680192049244E-5</v>
      </c>
      <c r="AA66" s="284">
        <f ca="1"/>
        <v>1.9211953926864269E-4</v>
      </c>
      <c r="AB66" s="284">
        <f ca="1"/>
        <v>2.8315909196202089E-5</v>
      </c>
      <c r="AC66" s="284">
        <f ca="1"/>
        <v>0.60001829032100384</v>
      </c>
      <c r="AD66" s="284">
        <f ca="1"/>
        <v>0.32862495416809001</v>
      </c>
      <c r="AE66" s="283">
        <f t="shared" ca="1" si="19"/>
        <v>1.0000000000000009</v>
      </c>
      <c r="AF66" s="418">
        <f t="shared" ca="1" si="15"/>
        <v>3.317415078865437E-2</v>
      </c>
    </row>
    <row r="67" spans="1:32" ht="12" customHeight="1" x14ac:dyDescent="0.25">
      <c r="A67" s="262"/>
      <c r="C67" s="263"/>
      <c r="D67" s="62">
        <f t="shared" si="20"/>
        <v>57</v>
      </c>
      <c r="E67" s="63">
        <f t="shared" si="16"/>
        <v>14.25</v>
      </c>
      <c r="F67" s="63">
        <f t="shared" si="21"/>
        <v>84.25</v>
      </c>
      <c r="G67" s="62">
        <f t="shared" si="17"/>
        <v>0</v>
      </c>
      <c r="H67" s="285">
        <f t="array" aca="1" ref="H67:Q67" ca="1">MMULT(H66:Q66, OFFSET(AB.rngTPMroot, MIN(4, INT(($F66-55)/5))*10, $G67*13))</f>
        <v>3.2973489837503797E-4</v>
      </c>
      <c r="I67" s="285">
        <f ca="1"/>
        <v>0</v>
      </c>
      <c r="J67" s="285">
        <f ca="1"/>
        <v>3.2182969030627062E-2</v>
      </c>
      <c r="K67" s="285">
        <f ca="1"/>
        <v>4.7433490221999441E-3</v>
      </c>
      <c r="L67" s="285">
        <f ca="1"/>
        <v>4.9642870384609429E-4</v>
      </c>
      <c r="M67" s="285">
        <f ca="1"/>
        <v>7.3167102908978457E-5</v>
      </c>
      <c r="N67" s="285">
        <f ca="1"/>
        <v>1.9035670631840294E-4</v>
      </c>
      <c r="O67" s="285">
        <f ca="1"/>
        <v>2.8056090658550573E-5</v>
      </c>
      <c r="P67" s="285">
        <f ca="1"/>
        <v>0.62717064234993158</v>
      </c>
      <c r="Q67" s="285">
        <f ca="1"/>
        <v>0.33478529609513497</v>
      </c>
      <c r="R67" s="283">
        <f t="shared" ca="1" si="18"/>
        <v>1.0000000000000007</v>
      </c>
      <c r="S67" s="418">
        <f t="shared" ca="1" si="14"/>
        <v>3.2869754440791557E-2</v>
      </c>
      <c r="U67" s="284">
        <f t="array" aca="1" ref="U67:AD67" ca="1">MMULT(U66:AD66, OFFSET(AB.rngTPMroot, MIN(4, INT(($F66-55)/5))*10, $G67*13))</f>
        <v>3.1287822489775151E-2</v>
      </c>
      <c r="V67" s="284">
        <f ca="1"/>
        <v>0</v>
      </c>
      <c r="W67" s="284">
        <f ca="1"/>
        <v>3.220845962818368E-2</v>
      </c>
      <c r="X67" s="284">
        <f ca="1"/>
        <v>4.7471060031323252E-3</v>
      </c>
      <c r="Y67" s="284">
        <f ca="1"/>
        <v>4.9682190138772742E-4</v>
      </c>
      <c r="Z67" s="284">
        <f ca="1"/>
        <v>7.3225055087749227E-5</v>
      </c>
      <c r="AA67" s="284">
        <f ca="1"/>
        <v>1.9050747880270508E-4</v>
      </c>
      <c r="AB67" s="284">
        <f ca="1"/>
        <v>2.8078312552226967E-5</v>
      </c>
      <c r="AC67" s="284">
        <f ca="1"/>
        <v>0.59670956793241992</v>
      </c>
      <c r="AD67" s="284">
        <f ca="1"/>
        <v>0.33425841119865934</v>
      </c>
      <c r="AE67" s="283">
        <f t="shared" ca="1" si="19"/>
        <v>1.0000000000000009</v>
      </c>
      <c r="AF67" s="418">
        <f t="shared" ca="1" si="15"/>
        <v>3.2895789008374116E-2</v>
      </c>
    </row>
    <row r="68" spans="1:32" ht="12" customHeight="1" x14ac:dyDescent="0.25">
      <c r="A68" s="262"/>
      <c r="C68" s="263"/>
      <c r="D68" s="62">
        <f t="shared" si="20"/>
        <v>58</v>
      </c>
      <c r="E68" s="63">
        <f t="shared" si="16"/>
        <v>14.5</v>
      </c>
      <c r="F68" s="63">
        <f t="shared" si="21"/>
        <v>84.5</v>
      </c>
      <c r="G68" s="62">
        <f t="shared" si="17"/>
        <v>0</v>
      </c>
      <c r="H68" s="285">
        <f t="array" aca="1" ref="H68:Q68" ca="1">MMULT(H67:Q67, OFFSET(AB.rngTPMroot, MIN(4, INT(($F67-55)/5))*10, $G68*13))</f>
        <v>3.0987399052985834E-4</v>
      </c>
      <c r="I68" s="285">
        <f ca="1"/>
        <v>0</v>
      </c>
      <c r="J68" s="285">
        <f ca="1"/>
        <v>3.1912924181215767E-2</v>
      </c>
      <c r="K68" s="285">
        <f ca="1"/>
        <v>4.7035479407277455E-3</v>
      </c>
      <c r="L68" s="285">
        <f ca="1"/>
        <v>4.9226320828706159E-4</v>
      </c>
      <c r="M68" s="285">
        <f ca="1"/>
        <v>7.2553163304210698E-5</v>
      </c>
      <c r="N68" s="285">
        <f ca="1"/>
        <v>1.8875943764989493E-4</v>
      </c>
      <c r="O68" s="285">
        <f ca="1"/>
        <v>2.7820674132196285E-5</v>
      </c>
      <c r="P68" s="285">
        <f ca="1"/>
        <v>0.62192519523979095</v>
      </c>
      <c r="Q68" s="285">
        <f ca="1"/>
        <v>0.34036706216436297</v>
      </c>
      <c r="R68" s="283">
        <f t="shared" ca="1" si="18"/>
        <v>1.0000000000000007</v>
      </c>
      <c r="S68" s="418">
        <f t="shared" ca="1" si="14"/>
        <v>3.259394682715272E-2</v>
      </c>
      <c r="U68" s="284">
        <f t="array" aca="1" ref="U68:AD68" ca="1">MMULT(U67:AD67, OFFSET(AB.rngTPMroot, MIN(4, INT(($F67-55)/5))*10, $G68*13))</f>
        <v>2.9403264433566667E-2</v>
      </c>
      <c r="V68" s="284">
        <f ca="1"/>
        <v>0</v>
      </c>
      <c r="W68" s="284">
        <f ca="1"/>
        <v>3.1938200889103846E-2</v>
      </c>
      <c r="X68" s="284">
        <f ca="1"/>
        <v>4.7072733971183995E-3</v>
      </c>
      <c r="Y68" s="284">
        <f ca="1"/>
        <v>4.9265310653797919E-4</v>
      </c>
      <c r="Z68" s="284">
        <f ca="1"/>
        <v>7.2610629210649835E-5</v>
      </c>
      <c r="AA68" s="284">
        <f ca="1"/>
        <v>1.8890894501372979E-4</v>
      </c>
      <c r="AB68" s="284">
        <f ca="1"/>
        <v>2.7842709563650196E-5</v>
      </c>
      <c r="AC68" s="284">
        <f ca="1"/>
        <v>0.5933246475708398</v>
      </c>
      <c r="AD68" s="284">
        <f ca="1"/>
        <v>0.33984459831904612</v>
      </c>
      <c r="AE68" s="283">
        <f t="shared" ca="1" si="19"/>
        <v>1.0000000000000009</v>
      </c>
      <c r="AF68" s="418">
        <f t="shared" ca="1" si="15"/>
        <v>3.2619762940655557E-2</v>
      </c>
    </row>
    <row r="69" spans="1:32" ht="12" customHeight="1" x14ac:dyDescent="0.25">
      <c r="A69" s="262"/>
      <c r="C69" s="263"/>
      <c r="D69" s="62">
        <f t="shared" si="20"/>
        <v>59</v>
      </c>
      <c r="E69" s="63">
        <f t="shared" si="16"/>
        <v>14.75</v>
      </c>
      <c r="F69" s="63">
        <f t="shared" si="21"/>
        <v>84.75</v>
      </c>
      <c r="G69" s="62">
        <f t="shared" si="17"/>
        <v>0</v>
      </c>
      <c r="H69" s="285">
        <f t="array" aca="1" ref="H69:Q69" ca="1">MMULT(H68:Q68, OFFSET(AB.rngTPMroot, MIN(4, INT(($F68-55)/5))*10, $G69*13))</f>
        <v>2.9120936388627014E-4</v>
      </c>
      <c r="I69" s="285">
        <f ca="1"/>
        <v>0</v>
      </c>
      <c r="J69" s="285">
        <f ca="1"/>
        <v>3.164514525763077E-2</v>
      </c>
      <c r="K69" s="285">
        <f ca="1"/>
        <v>4.6640808271079968E-3</v>
      </c>
      <c r="L69" s="285">
        <f ca="1"/>
        <v>4.8813266508496942E-4</v>
      </c>
      <c r="M69" s="285">
        <f ca="1"/>
        <v>7.1944375220048745E-5</v>
      </c>
      <c r="N69" s="285">
        <f ca="1"/>
        <v>1.8717557154150023E-4</v>
      </c>
      <c r="O69" s="285">
        <f ca="1"/>
        <v>2.7587232968038925E-5</v>
      </c>
      <c r="P69" s="285">
        <f ca="1"/>
        <v>0.61672273264822108</v>
      </c>
      <c r="Q69" s="285">
        <f ca="1"/>
        <v>0.34590199205834005</v>
      </c>
      <c r="R69" s="283">
        <f t="shared" ca="1" si="18"/>
        <v>1.0000000000000007</v>
      </c>
      <c r="S69" s="418">
        <f t="shared" ca="1" si="14"/>
        <v>3.2320453494257238E-2</v>
      </c>
      <c r="U69" s="284">
        <f t="array" aca="1" ref="U69:AD69" ca="1">MMULT(U68:AD68, OFFSET(AB.rngTPMroot, MIN(4, INT(($F68-55)/5))*10, $G69*13))</f>
        <v>2.7632218881092855E-2</v>
      </c>
      <c r="V69" s="284">
        <f ca="1"/>
        <v>0</v>
      </c>
      <c r="W69" s="284">
        <f ca="1"/>
        <v>3.1670209870582285E-2</v>
      </c>
      <c r="X69" s="284">
        <f ca="1"/>
        <v>4.6677750234769581E-3</v>
      </c>
      <c r="Y69" s="284">
        <f ca="1"/>
        <v>4.8851929172926941E-4</v>
      </c>
      <c r="Z69" s="284">
        <f ca="1"/>
        <v>7.2001358934430467E-5</v>
      </c>
      <c r="AA69" s="284">
        <f ca="1"/>
        <v>1.8732382440039759E-4</v>
      </c>
      <c r="AB69" s="284">
        <f ca="1"/>
        <v>2.7609083501860709E-5</v>
      </c>
      <c r="AC69" s="284">
        <f ca="1"/>
        <v>0.58987043049880539</v>
      </c>
      <c r="AD69" s="284">
        <f ca="1"/>
        <v>0.34538391216747738</v>
      </c>
      <c r="AE69" s="283">
        <f t="shared" ca="1" si="19"/>
        <v>1.0000000000000009</v>
      </c>
      <c r="AF69" s="418">
        <f t="shared" ca="1" si="15"/>
        <v>3.2346052986711955E-2</v>
      </c>
    </row>
    <row r="70" spans="1:32" ht="12" customHeight="1" x14ac:dyDescent="0.25">
      <c r="A70" s="262"/>
      <c r="C70" s="263"/>
      <c r="D70" s="62">
        <f t="shared" si="20"/>
        <v>60</v>
      </c>
      <c r="E70" s="63">
        <f t="shared" si="16"/>
        <v>15</v>
      </c>
      <c r="F70" s="63">
        <f t="shared" si="21"/>
        <v>85</v>
      </c>
      <c r="G70" s="62">
        <f t="shared" si="17"/>
        <v>0</v>
      </c>
      <c r="H70" s="285">
        <f t="array" aca="1" ref="H70:Q70" ca="1">MMULT(H69:Q69, OFFSET(AB.rngTPMroot, MIN(4, INT(($F69-55)/5))*10, $G70*13))</f>
        <v>2.7366896289049723E-4</v>
      </c>
      <c r="I70" s="285">
        <f ca="1"/>
        <v>0</v>
      </c>
      <c r="J70" s="285">
        <f ca="1"/>
        <v>3.1379613246660526E-2</v>
      </c>
      <c r="K70" s="285">
        <f ca="1"/>
        <v>4.6249448790418044E-3</v>
      </c>
      <c r="L70" s="285">
        <f ca="1"/>
        <v>4.8403678095724464E-4</v>
      </c>
      <c r="M70" s="285">
        <f ca="1"/>
        <v>7.1340695430474374E-5</v>
      </c>
      <c r="N70" s="285">
        <f ca="1"/>
        <v>1.8560499553335459E-4</v>
      </c>
      <c r="O70" s="285">
        <f ca="1"/>
        <v>2.7355750590964306E-5</v>
      </c>
      <c r="P70" s="285">
        <f ca="1"/>
        <v>0.61156295591303955</v>
      </c>
      <c r="Q70" s="285">
        <f ca="1"/>
        <v>0.35139047877585633</v>
      </c>
      <c r="R70" s="283">
        <f t="shared" ca="1" si="18"/>
        <v>1.0000000000000007</v>
      </c>
      <c r="S70" s="418">
        <f t="shared" ca="1" si="14"/>
        <v>3.2049255023151126E-2</v>
      </c>
      <c r="U70" s="284">
        <f t="array" aca="1" ref="U70:AD70" ca="1">MMULT(U69:AD69, OFFSET(AB.rngTPMroot, MIN(4, INT(($F69-55)/5))*10, $G70*13))</f>
        <v>2.5967848638635185E-2</v>
      </c>
      <c r="V70" s="284">
        <f ca="1"/>
        <v>0</v>
      </c>
      <c r="W70" s="284">
        <f ca="1"/>
        <v>3.1404467544347975E-2</v>
      </c>
      <c r="X70" s="284">
        <f ca="1"/>
        <v>4.6286080776895434E-3</v>
      </c>
      <c r="Y70" s="284">
        <f ca="1"/>
        <v>4.8442016344672968E-4</v>
      </c>
      <c r="Z70" s="284">
        <f ca="1"/>
        <v>7.1397200998835612E-5</v>
      </c>
      <c r="AA70" s="284">
        <f ca="1"/>
        <v>1.8575200441377007E-4</v>
      </c>
      <c r="AB70" s="284">
        <f ca="1"/>
        <v>2.7377417778615954E-5</v>
      </c>
      <c r="AC70" s="284">
        <f ca="1"/>
        <v>0.58635338289867123</v>
      </c>
      <c r="AD70" s="284">
        <f ca="1"/>
        <v>0.35087674605401897</v>
      </c>
      <c r="AE70" s="283">
        <f t="shared" ca="1" si="19"/>
        <v>1.0000000000000009</v>
      </c>
      <c r="AF70" s="418">
        <f t="shared" ca="1" si="15"/>
        <v>3.2074639712208475E-2</v>
      </c>
    </row>
    <row r="71" spans="1:32" ht="12" customHeight="1" x14ac:dyDescent="0.25">
      <c r="A71" s="262"/>
      <c r="C71" s="263"/>
      <c r="D71" s="62">
        <f t="shared" si="20"/>
        <v>61</v>
      </c>
      <c r="E71" s="63">
        <f t="shared" si="16"/>
        <v>15.25</v>
      </c>
      <c r="F71" s="63">
        <f t="shared" si="21"/>
        <v>85.25</v>
      </c>
      <c r="G71" s="62">
        <f t="shared" si="17"/>
        <v>0</v>
      </c>
      <c r="H71" s="285">
        <f t="array" aca="1" ref="H71:Q71" ca="1">MMULT(H70:Q70, OFFSET(AB.rngTPMroot, MIN(4, INT(($F70-55)/5))*10, $G71*13))</f>
        <v>2.5718507210781169E-4</v>
      </c>
      <c r="I71" s="285">
        <f ca="1"/>
        <v>0</v>
      </c>
      <c r="J71" s="285">
        <f ca="1"/>
        <v>3.1116309294631897E-2</v>
      </c>
      <c r="K71" s="285">
        <f ca="1"/>
        <v>4.5861373177441553E-3</v>
      </c>
      <c r="L71" s="285">
        <f ca="1"/>
        <v>4.7997526508222592E-4</v>
      </c>
      <c r="M71" s="285">
        <f ca="1"/>
        <v>7.0742081072175565E-5</v>
      </c>
      <c r="N71" s="285">
        <f ca="1"/>
        <v>1.8404759810923592E-4</v>
      </c>
      <c r="O71" s="285">
        <f ca="1"/>
        <v>2.712621056493875E-5</v>
      </c>
      <c r="P71" s="285">
        <f ca="1"/>
        <v>0.60644556514260928</v>
      </c>
      <c r="Q71" s="285">
        <f ca="1"/>
        <v>0.35683291201807898</v>
      </c>
      <c r="R71" s="283">
        <f t="shared" ca="1" si="18"/>
        <v>1.0000000000000007</v>
      </c>
      <c r="S71" s="418">
        <f t="shared" ca="1" si="14"/>
        <v>3.178033215782336E-2</v>
      </c>
      <c r="U71" s="284">
        <f t="array" aca="1" ref="U71:AD71" ca="1">MMULT(U70:AD70, OFFSET(AB.rngTPMroot, MIN(4, INT(($F70-55)/5))*10, $G71*13))</f>
        <v>2.4403728336868089E-2</v>
      </c>
      <c r="V71" s="284">
        <f ca="1"/>
        <v>0</v>
      </c>
      <c r="W71" s="284">
        <f ca="1"/>
        <v>3.1140955041794687E-2</v>
      </c>
      <c r="X71" s="284">
        <f ca="1"/>
        <v>4.5897697787701964E-3</v>
      </c>
      <c r="Y71" s="284">
        <f ca="1"/>
        <v>4.8035543063835274E-4</v>
      </c>
      <c r="Z71" s="284">
        <f ca="1"/>
        <v>7.0798112506603272E-5</v>
      </c>
      <c r="AA71" s="284">
        <f ca="1"/>
        <v>1.8419337344929856E-4</v>
      </c>
      <c r="AB71" s="284">
        <f ca="1"/>
        <v>2.7147695944864044E-5</v>
      </c>
      <c r="AC71" s="284">
        <f ca="1"/>
        <v>0.58277956224152705</v>
      </c>
      <c r="AD71" s="284">
        <f ca="1"/>
        <v>0.35632348998850172</v>
      </c>
      <c r="AE71" s="283">
        <f t="shared" ca="1" si="19"/>
        <v>1.0000000000000009</v>
      </c>
      <c r="AF71" s="418">
        <f t="shared" ca="1" si="15"/>
        <v>3.1805503845882335E-2</v>
      </c>
    </row>
    <row r="72" spans="1:32" ht="12" customHeight="1" x14ac:dyDescent="0.25">
      <c r="A72" s="262"/>
      <c r="C72" s="263"/>
      <c r="D72" s="62">
        <f t="shared" si="20"/>
        <v>62</v>
      </c>
      <c r="E72" s="63">
        <f t="shared" si="16"/>
        <v>15.5</v>
      </c>
      <c r="F72" s="63">
        <f t="shared" si="21"/>
        <v>85.5</v>
      </c>
      <c r="G72" s="62">
        <f t="shared" si="17"/>
        <v>0</v>
      </c>
      <c r="H72" s="285">
        <f t="array" aca="1" ref="H72:Q72" ca="1">MMULT(H71:Q71, OFFSET(AB.rngTPMroot, MIN(4, INT(($F71-55)/5))*10, $G72*13))</f>
        <v>2.4169405480433111E-4</v>
      </c>
      <c r="I72" s="285">
        <f ca="1"/>
        <v>0</v>
      </c>
      <c r="J72" s="285">
        <f ca="1"/>
        <v>3.0855214706071481E-2</v>
      </c>
      <c r="K72" s="285">
        <f ca="1"/>
        <v>4.5476553877466111E-3</v>
      </c>
      <c r="L72" s="285">
        <f ca="1"/>
        <v>4.759478290785145E-4</v>
      </c>
      <c r="M72" s="285">
        <f ca="1"/>
        <v>7.0148489641503104E-5</v>
      </c>
      <c r="N72" s="285">
        <f ca="1"/>
        <v>1.8250326868864638E-4</v>
      </c>
      <c r="O72" s="285">
        <f ca="1"/>
        <v>2.6898596591842082E-5</v>
      </c>
      <c r="P72" s="285">
        <f ca="1"/>
        <v>0.60137025945115552</v>
      </c>
      <c r="Q72" s="285">
        <f ca="1"/>
        <v>0.36222967821622226</v>
      </c>
      <c r="R72" s="283">
        <f t="shared" ca="1" si="18"/>
        <v>1.0000000000000007</v>
      </c>
      <c r="S72" s="418">
        <f t="shared" ca="1" si="14"/>
        <v>3.1513665803838645E-2</v>
      </c>
      <c r="U72" s="284">
        <f t="array" aca="1" ref="U72:AD72" ca="1">MMULT(U71:AD71, OFFSET(AB.rngTPMroot, MIN(4, INT(($F71-55)/5))*10, $G72*13))</f>
        <v>2.2933819625458159E-2</v>
      </c>
      <c r="V72" s="284">
        <f ca="1"/>
        <v>0</v>
      </c>
      <c r="W72" s="284">
        <f ca="1"/>
        <v>3.0879653652641236E-2</v>
      </c>
      <c r="X72" s="284">
        <f ca="1"/>
        <v>4.5512573690680022E-3</v>
      </c>
      <c r="Y72" s="284">
        <f ca="1"/>
        <v>4.7632480469432666E-4</v>
      </c>
      <c r="Z72" s="284">
        <f ca="1"/>
        <v>7.0204050920419107E-5</v>
      </c>
      <c r="AA72" s="284">
        <f ca="1"/>
        <v>1.8264782083889959E-4</v>
      </c>
      <c r="AB72" s="284">
        <f ca="1"/>
        <v>2.6919901689575857E-5</v>
      </c>
      <c r="AC72" s="284">
        <f ca="1"/>
        <v>0.5791546420664766</v>
      </c>
      <c r="AD72" s="284">
        <f ca="1"/>
        <v>0.36172453070821364</v>
      </c>
      <c r="AE72" s="283">
        <f t="shared" ca="1" si="19"/>
        <v>1.0000000000000009</v>
      </c>
      <c r="AF72" s="418">
        <f t="shared" ca="1" si="15"/>
        <v>3.1538626278174463E-2</v>
      </c>
    </row>
    <row r="73" spans="1:32" ht="12" customHeight="1" x14ac:dyDescent="0.25">
      <c r="A73" s="262"/>
      <c r="C73" s="263"/>
      <c r="D73" s="62">
        <f t="shared" si="20"/>
        <v>63</v>
      </c>
      <c r="E73" s="63">
        <f t="shared" si="16"/>
        <v>15.75</v>
      </c>
      <c r="F73" s="63">
        <f t="shared" si="21"/>
        <v>85.75</v>
      </c>
      <c r="G73" s="62">
        <f t="shared" si="17"/>
        <v>0</v>
      </c>
      <c r="H73" s="285">
        <f t="array" aca="1" ref="H73:Q73" ca="1">MMULT(H72:Q72, OFFSET(AB.rngTPMroot, MIN(4, INT(($F72-55)/5))*10, $G73*13))</f>
        <v>2.2713610727480746E-4</v>
      </c>
      <c r="I73" s="285">
        <f ca="1"/>
        <v>0</v>
      </c>
      <c r="J73" s="285">
        <f ca="1"/>
        <v>3.0596310942378177E-2</v>
      </c>
      <c r="K73" s="285">
        <f ca="1"/>
        <v>4.5094963567016561E-3</v>
      </c>
      <c r="L73" s="285">
        <f ca="1"/>
        <v>4.71954186984498E-4</v>
      </c>
      <c r="M73" s="285">
        <f ca="1"/>
        <v>6.9559878991452693E-5</v>
      </c>
      <c r="N73" s="285">
        <f ca="1"/>
        <v>1.8097189761896065E-4</v>
      </c>
      <c r="O73" s="285">
        <f ca="1"/>
        <v>2.6672892510310434E-5</v>
      </c>
      <c r="P73" s="285">
        <f ca="1"/>
        <v>0.5963367371785554</v>
      </c>
      <c r="Q73" s="285">
        <f ca="1"/>
        <v>0.36758116055898543</v>
      </c>
      <c r="R73" s="283">
        <f t="shared" ca="1" si="18"/>
        <v>1.0000000000000007</v>
      </c>
      <c r="S73" s="418">
        <f t="shared" ca="1" si="14"/>
        <v>3.1249237026981635E-2</v>
      </c>
      <c r="U73" s="284">
        <f t="array" aca="1" ref="U73:AD73" ca="1">MMULT(U72:AD72, OFFSET(AB.rngTPMroot, MIN(4, INT(($F72-55)/5))*10, $G73*13))</f>
        <v>2.1552447861765953E-2</v>
      </c>
      <c r="V73" s="284">
        <f ca="1"/>
        <v>0</v>
      </c>
      <c r="W73" s="284">
        <f ca="1"/>
        <v>3.062054482360297E-2</v>
      </c>
      <c r="X73" s="284">
        <f ca="1"/>
        <v>4.5130681140712866E-3</v>
      </c>
      <c r="Y73" s="284">
        <f ca="1"/>
        <v>4.7232799942654253E-4</v>
      </c>
      <c r="Z73" s="284">
        <f ca="1"/>
        <v>6.9614974059896206E-5</v>
      </c>
      <c r="AA73" s="284">
        <f ca="1"/>
        <v>1.8111523684309725E-4</v>
      </c>
      <c r="AB73" s="284">
        <f ca="1"/>
        <v>2.6694018838586865E-5</v>
      </c>
      <c r="AC73" s="284">
        <f ca="1"/>
        <v>0.57548393526603303</v>
      </c>
      <c r="AD73" s="284">
        <f ca="1"/>
        <v>0.36708025170535952</v>
      </c>
      <c r="AE73" s="283">
        <f t="shared" ca="1" si="19"/>
        <v>1.0000000000000009</v>
      </c>
      <c r="AF73" s="418">
        <f t="shared" ca="1" si="15"/>
        <v>3.1273988059872609E-2</v>
      </c>
    </row>
    <row r="74" spans="1:32" ht="12" customHeight="1" x14ac:dyDescent="0.25">
      <c r="A74" s="262"/>
      <c r="C74" s="263"/>
      <c r="D74" s="62">
        <f t="shared" si="20"/>
        <v>64</v>
      </c>
      <c r="E74" s="63">
        <f t="shared" ref="E74:E105" si="22">D74*AB.cycleLength</f>
        <v>16</v>
      </c>
      <c r="F74" s="63">
        <f t="shared" si="21"/>
        <v>86</v>
      </c>
      <c r="G74" s="62">
        <f t="shared" ref="G74:G105" si="23">IF(AND(E73&lt;AB.maxDurHPE, E74&gt;=AB.maxDurHPE), 1, 0)</f>
        <v>0</v>
      </c>
      <c r="H74" s="285">
        <f t="array" aca="1" ref="H74:Q74" ca="1">MMULT(H73:Q73, OFFSET(AB.rngTPMroot, MIN(4, INT(($F73-55)/5))*10, $G74*13))</f>
        <v>2.134550279679794E-4</v>
      </c>
      <c r="I74" s="285">
        <f ca="1"/>
        <v>0</v>
      </c>
      <c r="J74" s="285">
        <f ca="1"/>
        <v>3.0339579620506887E-2</v>
      </c>
      <c r="K74" s="285">
        <f ca="1"/>
        <v>4.4716575151886994E-3</v>
      </c>
      <c r="L74" s="285">
        <f ca="1"/>
        <v>4.6799405523804624E-4</v>
      </c>
      <c r="M74" s="285">
        <f ca="1"/>
        <v>6.8976207328672336E-5</v>
      </c>
      <c r="N74" s="285">
        <f ca="1"/>
        <v>1.7945337616764019E-4</v>
      </c>
      <c r="O74" s="285">
        <f ca="1"/>
        <v>2.6449082294588702E-5</v>
      </c>
      <c r="P74" s="285">
        <f ca="1"/>
        <v>0.59134469609554774</v>
      </c>
      <c r="Q74" s="285">
        <f ca="1"/>
        <v>0.37288773901976047</v>
      </c>
      <c r="R74" s="283">
        <f t="shared" ref="R74:R105" ca="1" si="24">SUM(H74:Q74)</f>
        <v>1.0000000000000007</v>
      </c>
      <c r="S74" s="418">
        <f t="shared" ca="1" si="14"/>
        <v>3.0987027051912575E-2</v>
      </c>
      <c r="U74" s="284">
        <f t="array" aca="1" ref="U74:AD74" ca="1">MMULT(U73:AD73, OFFSET(AB.rngTPMroot, MIN(4, INT(($F73-55)/5))*10, $G74*13))</f>
        <v>2.0254280203656223E-2</v>
      </c>
      <c r="V74" s="284">
        <f ca="1"/>
        <v>0</v>
      </c>
      <c r="W74" s="284">
        <f ca="1"/>
        <v>3.0363610157074453E-2</v>
      </c>
      <c r="X74" s="284">
        <f ca="1"/>
        <v>4.4751993022134531E-3</v>
      </c>
      <c r="Y74" s="284">
        <f ca="1"/>
        <v>4.6836473104827403E-4</v>
      </c>
      <c r="Z74" s="284">
        <f ca="1"/>
        <v>6.9030840098580038E-5</v>
      </c>
      <c r="AA74" s="284">
        <f ca="1"/>
        <v>1.7959551264323112E-4</v>
      </c>
      <c r="AB74" s="284">
        <f ca="1"/>
        <v>2.6470031353448736E-5</v>
      </c>
      <c r="AC74" s="284">
        <f ca="1"/>
        <v>0.57177241596762296</v>
      </c>
      <c r="AD74" s="284">
        <f ca="1"/>
        <v>0.37239103325429024</v>
      </c>
      <c r="AE74" s="283">
        <f t="shared" ref="AE74:AE105" ca="1" si="25">SUM(U74:AD74)</f>
        <v>1.0000000000000009</v>
      </c>
      <c r="AF74" s="418">
        <f t="shared" ca="1" si="15"/>
        <v>3.1011570400765957E-2</v>
      </c>
    </row>
    <row r="75" spans="1:32" ht="12" customHeight="1" x14ac:dyDescent="0.25">
      <c r="A75" s="262"/>
      <c r="C75" s="263"/>
      <c r="D75" s="62">
        <f t="shared" ref="D75:D106" si="26">D74+1</f>
        <v>65</v>
      </c>
      <c r="E75" s="63">
        <f t="shared" si="22"/>
        <v>16.25</v>
      </c>
      <c r="F75" s="63">
        <f t="shared" ref="F75:F106" si="27">F74+AB.cycleLength</f>
        <v>86.25</v>
      </c>
      <c r="G75" s="62">
        <f t="shared" si="23"/>
        <v>0</v>
      </c>
      <c r="H75" s="285">
        <f t="array" aca="1" ref="H75:Q75" ca="1">MMULT(H74:Q74, OFFSET(AB.rngTPMroot, MIN(4, INT(($F74-55)/5))*10, $G75*13))</f>
        <v>2.0059800051818727E-4</v>
      </c>
      <c r="I75" s="285">
        <f ca="1"/>
        <v>0</v>
      </c>
      <c r="J75" s="285">
        <f ca="1"/>
        <v>3.0085002511663239E-2</v>
      </c>
      <c r="K75" s="285">
        <f ca="1"/>
        <v>4.4341361765216905E-3</v>
      </c>
      <c r="L75" s="285">
        <f ca="1"/>
        <v>4.6406715265637737E-4</v>
      </c>
      <c r="M75" s="285">
        <f ca="1"/>
        <v>6.8397433210494864E-5</v>
      </c>
      <c r="N75" s="285">
        <f ca="1"/>
        <v>1.7794759651451305E-4</v>
      </c>
      <c r="O75" s="285">
        <f ca="1"/>
        <v>2.622715005339268E-5</v>
      </c>
      <c r="P75" s="285">
        <f ca="1"/>
        <v>0.58639383359525132</v>
      </c>
      <c r="Q75" s="285">
        <f ca="1"/>
        <v>0.37814979038361152</v>
      </c>
      <c r="R75" s="283">
        <f t="shared" ca="1" si="24"/>
        <v>1.0000000000000009</v>
      </c>
      <c r="S75" s="418">
        <f t="shared" ref="S75:S130" ca="1" si="28">SUM(J75,L75,N75)</f>
        <v>3.0727017260834127E-2</v>
      </c>
      <c r="U75" s="284">
        <f t="array" aca="1" ref="U75:AD75" ca="1">MMULT(U74:AD74, OFFSET(AB.rngTPMroot, MIN(4, INT(($F74-55)/5))*10, $G75*13))</f>
        <v>1.9034305021842966E-2</v>
      </c>
      <c r="V75" s="284">
        <f ca="1"/>
        <v>0</v>
      </c>
      <c r="W75" s="284">
        <f ca="1"/>
        <v>3.0108831409823154E-2</v>
      </c>
      <c r="X75" s="284">
        <f ca="1"/>
        <v>4.4376482446804545E-3</v>
      </c>
      <c r="Y75" s="284">
        <f ca="1"/>
        <v>4.6443471815402773E-4</v>
      </c>
      <c r="Z75" s="284">
        <f ca="1"/>
        <v>6.8451607560978672E-5</v>
      </c>
      <c r="AA75" s="284">
        <f ca="1"/>
        <v>1.7808854033373004E-4</v>
      </c>
      <c r="AB75" s="284">
        <f ca="1"/>
        <v>2.6247923330290526E-5</v>
      </c>
      <c r="AC75" s="284">
        <f ca="1"/>
        <v>0.56802474009577197</v>
      </c>
      <c r="AD75" s="284">
        <f ca="1"/>
        <v>0.37765725243850334</v>
      </c>
      <c r="AE75" s="283">
        <f t="shared" ca="1" si="25"/>
        <v>1.0000000000000009</v>
      </c>
      <c r="AF75" s="418">
        <f t="shared" ref="AF75:AF130" ca="1" si="29">SUM(W75,Y75,AA75)</f>
        <v>3.0751354668310912E-2</v>
      </c>
    </row>
    <row r="76" spans="1:32" ht="12" customHeight="1" x14ac:dyDescent="0.25">
      <c r="A76" s="262"/>
      <c r="C76" s="263"/>
      <c r="D76" s="62">
        <f t="shared" si="26"/>
        <v>66</v>
      </c>
      <c r="E76" s="63">
        <f t="shared" si="22"/>
        <v>16.5</v>
      </c>
      <c r="F76" s="63">
        <f t="shared" si="27"/>
        <v>86.5</v>
      </c>
      <c r="G76" s="62">
        <f t="shared" si="23"/>
        <v>0</v>
      </c>
      <c r="H76" s="285">
        <f t="array" aca="1" ref="H76:Q76" ca="1">MMULT(H75:Q75, OFFSET(AB.rngTPMroot, MIN(4, INT(($F75-55)/5))*10, $G76*13))</f>
        <v>1.8851538984563548E-4</v>
      </c>
      <c r="I76" s="285">
        <f ca="1"/>
        <v>0</v>
      </c>
      <c r="J76" s="285">
        <f ca="1"/>
        <v>2.9832561540009284E-2</v>
      </c>
      <c r="K76" s="285">
        <f ca="1"/>
        <v>4.3969296765583579E-3</v>
      </c>
      <c r="L76" s="285">
        <f ca="1"/>
        <v>4.6017320041609277E-4</v>
      </c>
      <c r="M76" s="285">
        <f ca="1"/>
        <v>6.7823515541995437E-5</v>
      </c>
      <c r="N76" s="285">
        <f ca="1"/>
        <v>1.7645445174411809E-4</v>
      </c>
      <c r="O76" s="285">
        <f ca="1"/>
        <v>2.6007080028780725E-5</v>
      </c>
      <c r="P76" s="285">
        <f ca="1"/>
        <v>0.58148384687182864</v>
      </c>
      <c r="Q76" s="285">
        <f ca="1"/>
        <v>0.38336768827402778</v>
      </c>
      <c r="R76" s="283">
        <f t="shared" ca="1" si="24"/>
        <v>1.0000000000000007</v>
      </c>
      <c r="S76" s="418">
        <f t="shared" ca="1" si="28"/>
        <v>3.0469189192169493E-2</v>
      </c>
      <c r="U76" s="284">
        <f t="array" aca="1" ref="U76:AD76" ca="1">MMULT(U75:AD75, OFFSET(AB.rngTPMroot, MIN(4, INT(($F75-55)/5))*10, $G76*13))</f>
        <v>1.788781255228979E-2</v>
      </c>
      <c r="V76" s="284">
        <f ca="1"/>
        <v>0</v>
      </c>
      <c r="W76" s="284">
        <f ca="1"/>
        <v>2.9856190491694128E-2</v>
      </c>
      <c r="X76" s="284">
        <f ca="1"/>
        <v>4.4004122752198801E-3</v>
      </c>
      <c r="Y76" s="284">
        <f ca="1"/>
        <v>4.6053768169956243E-4</v>
      </c>
      <c r="Z76" s="284">
        <f ca="1"/>
        <v>6.7877235319617891E-5</v>
      </c>
      <c r="AA76" s="284">
        <f ca="1"/>
        <v>1.765942129144502E-4</v>
      </c>
      <c r="AB76" s="284">
        <f ca="1"/>
        <v>2.6027678998689482E-5</v>
      </c>
      <c r="AC76" s="284">
        <f ca="1"/>
        <v>0.56424526469444736</v>
      </c>
      <c r="AD76" s="284">
        <f ca="1"/>
        <v>0.38287928317741754</v>
      </c>
      <c r="AE76" s="283">
        <f t="shared" ca="1" si="25"/>
        <v>1.0000000000000011</v>
      </c>
      <c r="AF76" s="418">
        <f t="shared" ca="1" si="29"/>
        <v>3.0493322386308138E-2</v>
      </c>
    </row>
    <row r="77" spans="1:32" ht="12" customHeight="1" x14ac:dyDescent="0.25">
      <c r="A77" s="262"/>
      <c r="C77" s="263"/>
      <c r="D77" s="62">
        <f t="shared" si="26"/>
        <v>67</v>
      </c>
      <c r="E77" s="63">
        <f t="shared" si="22"/>
        <v>16.75</v>
      </c>
      <c r="F77" s="63">
        <f t="shared" si="27"/>
        <v>86.75</v>
      </c>
      <c r="G77" s="62">
        <f t="shared" si="23"/>
        <v>0</v>
      </c>
      <c r="H77" s="285">
        <f t="array" aca="1" ref="H77:Q77" ca="1">MMULT(H76:Q76, OFFSET(AB.rngTPMroot, MIN(4, INT(($F76-55)/5))*10, $G77*13))</f>
        <v>1.7716055053813889E-4</v>
      </c>
      <c r="I77" s="285">
        <f ca="1"/>
        <v>0</v>
      </c>
      <c r="J77" s="285">
        <f ca="1"/>
        <v>2.9582238781380069E-2</v>
      </c>
      <c r="K77" s="285">
        <f ca="1"/>
        <v>4.3600353735110441E-3</v>
      </c>
      <c r="L77" s="285">
        <f ca="1"/>
        <v>4.5631192203337987E-4</v>
      </c>
      <c r="M77" s="285">
        <f ca="1"/>
        <v>6.7254413573073524E-5</v>
      </c>
      <c r="N77" s="285">
        <f ca="1"/>
        <v>1.7497383583811368E-4</v>
      </c>
      <c r="O77" s="285">
        <f ca="1"/>
        <v>2.5788856595034882E-5</v>
      </c>
      <c r="P77" s="285">
        <f ca="1"/>
        <v>0.5766144330870796</v>
      </c>
      <c r="Q77" s="285">
        <f ca="1"/>
        <v>0.38854180317945219</v>
      </c>
      <c r="R77" s="283">
        <f t="shared" ca="1" si="24"/>
        <v>1.0000000000000007</v>
      </c>
      <c r="S77" s="418">
        <f t="shared" ca="1" si="28"/>
        <v>3.0213524539251562E-2</v>
      </c>
      <c r="U77" s="284">
        <f t="array" aca="1" ref="U77:AD77" ca="1">MMULT(U76:AD76, OFFSET(AB.rngTPMroot, MIN(4, INT(($F76-55)/5))*10, $G77*13))</f>
        <v>1.681037671397341E-2</v>
      </c>
      <c r="V77" s="284">
        <f ca="1"/>
        <v>0</v>
      </c>
      <c r="W77" s="284">
        <f ca="1"/>
        <v>2.9605669464325527E-2</v>
      </c>
      <c r="X77" s="284">
        <f ca="1"/>
        <v>4.3634887499516403E-3</v>
      </c>
      <c r="Y77" s="284">
        <f ca="1"/>
        <v>4.5667334498207589E-4</v>
      </c>
      <c r="Z77" s="284">
        <f ca="1"/>
        <v>6.7307682592121021E-5</v>
      </c>
      <c r="AA77" s="284">
        <f ca="1"/>
        <v>1.7511242428307796E-4</v>
      </c>
      <c r="AB77" s="284">
        <f ca="1"/>
        <v>2.5809282720551258E-5</v>
      </c>
      <c r="AC77" s="284">
        <f ca="1"/>
        <v>0.56043806608425062</v>
      </c>
      <c r="AD77" s="284">
        <f ca="1"/>
        <v>0.38805749625292196</v>
      </c>
      <c r="AE77" s="283">
        <f t="shared" ca="1" si="25"/>
        <v>1.0000000000000009</v>
      </c>
      <c r="AF77" s="418">
        <f t="shared" ca="1" si="29"/>
        <v>3.0237455233590681E-2</v>
      </c>
    </row>
    <row r="78" spans="1:32" ht="12" customHeight="1" x14ac:dyDescent="0.25">
      <c r="A78" s="262"/>
      <c r="C78" s="263"/>
      <c r="D78" s="62">
        <f t="shared" si="26"/>
        <v>68</v>
      </c>
      <c r="E78" s="63">
        <f t="shared" si="22"/>
        <v>17</v>
      </c>
      <c r="F78" s="63">
        <f t="shared" si="27"/>
        <v>87</v>
      </c>
      <c r="G78" s="62">
        <f t="shared" si="23"/>
        <v>0</v>
      </c>
      <c r="H78" s="285">
        <f t="array" aca="1" ref="H78:Q78" ca="1">MMULT(H77:Q77, OFFSET(AB.rngTPMroot, MIN(4, INT(($F77-55)/5))*10, $G78*13))</f>
        <v>1.6648964677460317E-4</v>
      </c>
      <c r="I78" s="285">
        <f ca="1"/>
        <v>0</v>
      </c>
      <c r="J78" s="285">
        <f ca="1"/>
        <v>2.9334016462010948E-2</v>
      </c>
      <c r="K78" s="285">
        <f ca="1"/>
        <v>4.3234506477591332E-3</v>
      </c>
      <c r="L78" s="285">
        <f ca="1"/>
        <v>4.5248304334438076E-4</v>
      </c>
      <c r="M78" s="285">
        <f ca="1"/>
        <v>6.6690086895559636E-5</v>
      </c>
      <c r="N78" s="285">
        <f ca="1"/>
        <v>1.7350564366775008E-4</v>
      </c>
      <c r="O78" s="285">
        <f ca="1"/>
        <v>2.5572464257551404E-5</v>
      </c>
      <c r="P78" s="285">
        <f ca="1"/>
        <v>0.5717852895257034</v>
      </c>
      <c r="Q78" s="285">
        <f ca="1"/>
        <v>0.39367250247958729</v>
      </c>
      <c r="R78" s="283">
        <f t="shared" ca="1" si="24"/>
        <v>1.0000000000000007</v>
      </c>
      <c r="S78" s="418">
        <f t="shared" ca="1" si="28"/>
        <v>2.9960005149023076E-2</v>
      </c>
      <c r="U78" s="284">
        <f t="array" aca="1" ref="U78:AD78" ca="1">MMULT(U77:AD77, OFFSET(AB.rngTPMroot, MIN(4, INT(($F77-55)/5))*10, $G78*13))</f>
        <v>1.5797838021817025E-2</v>
      </c>
      <c r="V78" s="284">
        <f ca="1"/>
        <v>0</v>
      </c>
      <c r="W78" s="284">
        <f ca="1"/>
        <v>2.9357250539874955E-2</v>
      </c>
      <c r="X78" s="284">
        <f ca="1"/>
        <v>4.3268750471802389E-3</v>
      </c>
      <c r="Y78" s="284">
        <f ca="1"/>
        <v>4.5284143362055797E-4</v>
      </c>
      <c r="Z78" s="284">
        <f ca="1"/>
        <v>6.6742908938313158E-5</v>
      </c>
      <c r="AA78" s="284">
        <f ca="1"/>
        <v>1.73643069227596E-4</v>
      </c>
      <c r="AB78" s="284">
        <f ca="1"/>
        <v>2.5592718988999582E-5</v>
      </c>
      <c r="AC78" s="284">
        <f ca="1"/>
        <v>0.55660695692465023</v>
      </c>
      <c r="AD78" s="284">
        <f ca="1"/>
        <v>0.39319225933570306</v>
      </c>
      <c r="AE78" s="283">
        <f t="shared" ca="1" si="25"/>
        <v>1.0000000000000009</v>
      </c>
      <c r="AF78" s="418">
        <f t="shared" ca="1" si="29"/>
        <v>2.9983735042723111E-2</v>
      </c>
    </row>
    <row r="79" spans="1:32" ht="12" customHeight="1" x14ac:dyDescent="0.25">
      <c r="A79" s="262"/>
      <c r="C79" s="263"/>
      <c r="D79" s="62">
        <f t="shared" si="26"/>
        <v>69</v>
      </c>
      <c r="E79" s="63">
        <f t="shared" si="22"/>
        <v>17.25</v>
      </c>
      <c r="F79" s="63">
        <f t="shared" si="27"/>
        <v>87.25</v>
      </c>
      <c r="G79" s="62">
        <f t="shared" si="23"/>
        <v>0</v>
      </c>
      <c r="H79" s="285">
        <f t="array" aca="1" ref="H79:Q79" ca="1">MMULT(H78:Q78, OFFSET(AB.rngTPMroot, MIN(4, INT(($F78-55)/5))*10, $G79*13))</f>
        <v>1.5646148309504638E-4</v>
      </c>
      <c r="I79" s="285">
        <f ca="1"/>
        <v>0</v>
      </c>
      <c r="J79" s="285">
        <f ca="1"/>
        <v>2.908787695727558E-2</v>
      </c>
      <c r="K79" s="285">
        <f ca="1"/>
        <v>4.2871729016630469E-3</v>
      </c>
      <c r="L79" s="285">
        <f ca="1"/>
        <v>4.486862924857258E-4</v>
      </c>
      <c r="M79" s="285">
        <f ca="1"/>
        <v>6.6130495440346184E-5</v>
      </c>
      <c r="N79" s="285">
        <f ca="1"/>
        <v>1.7204977098640489E-4</v>
      </c>
      <c r="O79" s="285">
        <f ca="1"/>
        <v>2.5357887651740595E-5</v>
      </c>
      <c r="P79" s="285">
        <f ca="1"/>
        <v>0.56699611373992231</v>
      </c>
      <c r="Q79" s="285">
        <f ca="1"/>
        <v>0.39876015047148045</v>
      </c>
      <c r="R79" s="283">
        <f t="shared" ca="1" si="24"/>
        <v>1.0000000000000007</v>
      </c>
      <c r="S79" s="418">
        <f t="shared" ca="1" si="28"/>
        <v>2.9708613020747711E-2</v>
      </c>
      <c r="U79" s="284">
        <f t="array" aca="1" ref="U79:AD79" ca="1">MMULT(U78:AD78, OFFSET(AB.rngTPMroot, MIN(4, INT(($F78-55)/5))*10, $G79*13))</f>
        <v>1.4846287528828215E-2</v>
      </c>
      <c r="V79" s="284">
        <f ca="1"/>
        <v>0</v>
      </c>
      <c r="W79" s="284">
        <f ca="1"/>
        <v>2.9110916079756449E-2</v>
      </c>
      <c r="X79" s="284">
        <f ca="1"/>
        <v>4.2905685672086323E-3</v>
      </c>
      <c r="Y79" s="284">
        <f ca="1"/>
        <v>4.4904167553630903E-4</v>
      </c>
      <c r="Z79" s="284">
        <f ca="1"/>
        <v>6.6182874257349862E-5</v>
      </c>
      <c r="AA79" s="284">
        <f ca="1"/>
        <v>1.721860434188132E-4</v>
      </c>
      <c r="AB79" s="284">
        <f ca="1"/>
        <v>2.5377972427275179E-5</v>
      </c>
      <c r="AC79" s="284">
        <f ca="1"/>
        <v>0.55275550224721737</v>
      </c>
      <c r="AD79" s="284">
        <f ca="1"/>
        <v>0.39828393701135062</v>
      </c>
      <c r="AE79" s="283">
        <f t="shared" ca="1" si="25"/>
        <v>1.0000000000000011</v>
      </c>
      <c r="AF79" s="418">
        <f t="shared" ca="1" si="29"/>
        <v>2.9732143798711572E-2</v>
      </c>
    </row>
    <row r="80" spans="1:32" ht="12" customHeight="1" x14ac:dyDescent="0.25">
      <c r="A80" s="262"/>
      <c r="C80" s="263"/>
      <c r="D80" s="62">
        <f t="shared" si="26"/>
        <v>70</v>
      </c>
      <c r="E80" s="63">
        <f t="shared" si="22"/>
        <v>17.5</v>
      </c>
      <c r="F80" s="63">
        <f t="shared" si="27"/>
        <v>87.5</v>
      </c>
      <c r="G80" s="62">
        <f t="shared" si="23"/>
        <v>0</v>
      </c>
      <c r="H80" s="285">
        <f t="array" aca="1" ref="H80:Q80" ca="1">MMULT(H79:Q79, OFFSET(AB.rngTPMroot, MIN(4, INT(($F79-55)/5))*10, $G80*13))</f>
        <v>1.4703734536384257E-4</v>
      </c>
      <c r="I80" s="285">
        <f ca="1"/>
        <v>0</v>
      </c>
      <c r="J80" s="285">
        <f ca="1"/>
        <v>2.8843802790434525E-2</v>
      </c>
      <c r="K80" s="285">
        <f ca="1"/>
        <v>4.2511995593798027E-3</v>
      </c>
      <c r="L80" s="285">
        <f ca="1"/>
        <v>4.4492139987523013E-4</v>
      </c>
      <c r="M80" s="285">
        <f ca="1"/>
        <v>6.5575599474542416E-5</v>
      </c>
      <c r="N80" s="285">
        <f ca="1"/>
        <v>1.7060611442218124E-4</v>
      </c>
      <c r="O80" s="285">
        <f ca="1"/>
        <v>2.5145111541935865E-5</v>
      </c>
      <c r="P80" s="285">
        <f ca="1"/>
        <v>0.5622466036841185</v>
      </c>
      <c r="Q80" s="285">
        <f ca="1"/>
        <v>0.40380510839539008</v>
      </c>
      <c r="R80" s="283">
        <f t="shared" ca="1" si="24"/>
        <v>1.0000000000000007</v>
      </c>
      <c r="S80" s="418">
        <f t="shared" ca="1" si="28"/>
        <v>2.9459330304731936E-2</v>
      </c>
      <c r="U80" s="284">
        <f t="array" aca="1" ref="U80:AD80" ca="1">MMULT(U79:AD79, OFFSET(AB.rngTPMroot, MIN(4, INT(($F79-55)/5))*10, $G80*13))</f>
        <v>1.3952051735449365E-2</v>
      </c>
      <c r="V80" s="284">
        <f ca="1"/>
        <v>0</v>
      </c>
      <c r="W80" s="284">
        <f ca="1"/>
        <v>2.886664859338807E-2</v>
      </c>
      <c r="X80" s="284">
        <f ca="1"/>
        <v>4.2545667321536368E-3</v>
      </c>
      <c r="Y80" s="284">
        <f ca="1"/>
        <v>4.452738009336209E-4</v>
      </c>
      <c r="Z80" s="284">
        <f ca="1"/>
        <v>6.5627538784869855E-5</v>
      </c>
      <c r="AA80" s="284">
        <f ca="1"/>
        <v>1.7074124340295667E-4</v>
      </c>
      <c r="AB80" s="284">
        <f ca="1"/>
        <v>2.5165027787644023E-5</v>
      </c>
      <c r="AC80" s="284">
        <f ca="1"/>
        <v>0.54888703452185672</v>
      </c>
      <c r="AD80" s="284">
        <f ca="1"/>
        <v>0.40333289080624424</v>
      </c>
      <c r="AE80" s="283">
        <f t="shared" ca="1" si="25"/>
        <v>1.0000000000000011</v>
      </c>
      <c r="AF80" s="418">
        <f t="shared" ca="1" si="29"/>
        <v>2.9482663637724647E-2</v>
      </c>
    </row>
    <row r="81" spans="1:32" ht="12" customHeight="1" x14ac:dyDescent="0.25">
      <c r="A81" s="262"/>
      <c r="C81" s="263"/>
      <c r="D81" s="62">
        <f t="shared" si="26"/>
        <v>71</v>
      </c>
      <c r="E81" s="63">
        <f t="shared" si="22"/>
        <v>17.75</v>
      </c>
      <c r="F81" s="63">
        <f t="shared" si="27"/>
        <v>87.75</v>
      </c>
      <c r="G81" s="62">
        <f t="shared" si="23"/>
        <v>0</v>
      </c>
      <c r="H81" s="285">
        <f t="array" aca="1" ref="H81:Q81" ca="1">MMULT(H80:Q80, OFFSET(AB.rngTPMroot, MIN(4, INT(($F80-55)/5))*10, $G81*13))</f>
        <v>1.381808513122193E-4</v>
      </c>
      <c r="I81" s="285">
        <f ca="1"/>
        <v>0</v>
      </c>
      <c r="J81" s="285">
        <f ca="1"/>
        <v>2.8601776631394335E-2</v>
      </c>
      <c r="K81" s="285">
        <f ca="1"/>
        <v>4.2155280666801211E-3</v>
      </c>
      <c r="L81" s="285">
        <f ca="1"/>
        <v>4.4118809819275234E-4</v>
      </c>
      <c r="M81" s="285">
        <f ca="1"/>
        <v>6.5025359598653218E-5</v>
      </c>
      <c r="N81" s="285">
        <f ca="1"/>
        <v>1.6917457147056788E-4</v>
      </c>
      <c r="O81" s="285">
        <f ca="1"/>
        <v>2.4934120820311945E-5</v>
      </c>
      <c r="P81" s="285">
        <f ca="1"/>
        <v>0.55753645784009664</v>
      </c>
      <c r="Q81" s="285">
        <f ca="1"/>
        <v>0.40880773446043511</v>
      </c>
      <c r="R81" s="283">
        <f t="shared" ca="1" si="24"/>
        <v>1.0000000000000007</v>
      </c>
      <c r="S81" s="418">
        <f t="shared" ca="1" si="28"/>
        <v>2.9212139301057653E-2</v>
      </c>
      <c r="U81" s="284">
        <f t="array" aca="1" ref="U81:AD81" ca="1">MMULT(U80:AD80, OFFSET(AB.rngTPMroot, MIN(4, INT(($F80-55)/5))*10, $G81*13))</f>
        <v>1.3111678407862527E-2</v>
      </c>
      <c r="V81" s="284">
        <f ca="1"/>
        <v>0</v>
      </c>
      <c r="W81" s="284">
        <f ca="1"/>
        <v>2.8624430736950032E-2</v>
      </c>
      <c r="X81" s="284">
        <f ca="1"/>
        <v>4.2188669857628871E-3</v>
      </c>
      <c r="Y81" s="284">
        <f ca="1"/>
        <v>4.4153754228062084E-4</v>
      </c>
      <c r="Z81" s="284">
        <f ca="1"/>
        <v>6.5076863090171569E-5</v>
      </c>
      <c r="AA81" s="284">
        <f ca="1"/>
        <v>1.6930856659432632E-4</v>
      </c>
      <c r="AB81" s="284">
        <f ca="1"/>
        <v>2.495386995031465E-5</v>
      </c>
      <c r="AC81" s="284">
        <f ca="1"/>
        <v>0.54500466781428702</v>
      </c>
      <c r="AD81" s="284">
        <f ca="1"/>
        <v>0.40833947921322322</v>
      </c>
      <c r="AE81" s="283">
        <f t="shared" ca="1" si="25"/>
        <v>1.0000000000000011</v>
      </c>
      <c r="AF81" s="418">
        <f t="shared" ca="1" si="29"/>
        <v>2.9235276845824981E-2</v>
      </c>
    </row>
    <row r="82" spans="1:32" ht="12" customHeight="1" x14ac:dyDescent="0.25">
      <c r="A82" s="262"/>
      <c r="C82" s="263"/>
      <c r="D82" s="62">
        <f t="shared" si="26"/>
        <v>72</v>
      </c>
      <c r="E82" s="63">
        <f t="shared" si="22"/>
        <v>18</v>
      </c>
      <c r="F82" s="63">
        <f t="shared" si="27"/>
        <v>88</v>
      </c>
      <c r="G82" s="62">
        <f t="shared" si="23"/>
        <v>0</v>
      </c>
      <c r="H82" s="285">
        <f t="array" aca="1" ref="H82:Q82" ca="1">MMULT(H81:Q81, OFFSET(AB.rngTPMroot, MIN(4, INT(($F81-55)/5))*10, $G82*13))</f>
        <v>1.2985781008302251E-4</v>
      </c>
      <c r="I82" s="285">
        <f ca="1"/>
        <v>0</v>
      </c>
      <c r="J82" s="285">
        <f ca="1"/>
        <v>2.8361781295477069E-2</v>
      </c>
      <c r="K82" s="285">
        <f ca="1"/>
        <v>4.1801558907670665E-3</v>
      </c>
      <c r="L82" s="285">
        <f ca="1"/>
        <v>4.3748612236121437E-4</v>
      </c>
      <c r="M82" s="285">
        <f ca="1"/>
        <v>6.4479736743781654E-5</v>
      </c>
      <c r="N82" s="285">
        <f ca="1"/>
        <v>1.6775504048716129E-4</v>
      </c>
      <c r="O82" s="285">
        <f ca="1"/>
        <v>2.472490050581217E-5</v>
      </c>
      <c r="P82" s="285">
        <f ca="1"/>
        <v>0.55286537533354674</v>
      </c>
      <c r="Q82" s="285">
        <f ca="1"/>
        <v>0.4137683838700289</v>
      </c>
      <c r="R82" s="283">
        <f t="shared" ca="1" si="24"/>
        <v>1.0000000000000009</v>
      </c>
      <c r="S82" s="418">
        <f t="shared" ca="1" si="28"/>
        <v>2.8967022458325446E-2</v>
      </c>
      <c r="U82" s="284">
        <f t="array" aca="1" ref="U82:AD82" ca="1">MMULT(U81:AD81, OFFSET(AB.rngTPMroot, MIN(4, INT(($F81-55)/5))*10, $G82*13))</f>
        <v>1.2321923250499713E-2</v>
      </c>
      <c r="V82" s="284">
        <f ca="1"/>
        <v>0</v>
      </c>
      <c r="W82" s="284">
        <f ca="1"/>
        <v>2.8384245312153222E-2</v>
      </c>
      <c r="X82" s="284">
        <f ca="1"/>
        <v>4.1834667932333404E-3</v>
      </c>
      <c r="Y82" s="284">
        <f ca="1"/>
        <v>4.3783263429027561E-4</v>
      </c>
      <c r="Z82" s="284">
        <f ca="1"/>
        <v>6.4530808073413461E-5</v>
      </c>
      <c r="AA82" s="284">
        <f ca="1"/>
        <v>1.6788791126801081E-4</v>
      </c>
      <c r="AB82" s="284">
        <f ca="1"/>
        <v>2.4744483922364626E-5</v>
      </c>
      <c r="AC82" s="284">
        <f ca="1"/>
        <v>0.54111131108952015</v>
      </c>
      <c r="AD82" s="284">
        <f ca="1"/>
        <v>0.41330405771704071</v>
      </c>
      <c r="AE82" s="283">
        <f t="shared" ca="1" si="25"/>
        <v>1.0000000000000013</v>
      </c>
      <c r="AF82" s="418">
        <f t="shared" ca="1" si="29"/>
        <v>2.8989965857711509E-2</v>
      </c>
    </row>
    <row r="83" spans="1:32" ht="12" customHeight="1" x14ac:dyDescent="0.25">
      <c r="A83" s="262"/>
      <c r="C83" s="263"/>
      <c r="D83" s="62">
        <f t="shared" si="26"/>
        <v>73</v>
      </c>
      <c r="E83" s="63">
        <f t="shared" si="22"/>
        <v>18.25</v>
      </c>
      <c r="F83" s="63">
        <f t="shared" si="27"/>
        <v>88.25</v>
      </c>
      <c r="G83" s="62">
        <f t="shared" si="23"/>
        <v>0</v>
      </c>
      <c r="H83" s="285">
        <f t="array" aca="1" ref="H83:Q83" ca="1">MMULT(H82:Q82, OFFSET(AB.rngTPMroot, MIN(4, INT(($F82-55)/5))*10, $G83*13))</f>
        <v>1.2203609023551548E-4</v>
      </c>
      <c r="I83" s="285">
        <f ca="1"/>
        <v>0</v>
      </c>
      <c r="J83" s="285">
        <f ca="1"/>
        <v>2.8123799742200101E-2</v>
      </c>
      <c r="K83" s="285">
        <f ca="1"/>
        <v>4.1450805200962107E-3</v>
      </c>
      <c r="L83" s="285">
        <f ca="1"/>
        <v>4.3381520952777951E-4</v>
      </c>
      <c r="M83" s="285">
        <f ca="1"/>
        <v>6.3938692168854971E-5</v>
      </c>
      <c r="N83" s="285">
        <f ca="1"/>
        <v>1.6634742068044833E-4</v>
      </c>
      <c r="O83" s="285">
        <f ca="1"/>
        <v>2.4517435743084802E-5</v>
      </c>
      <c r="P83" s="285">
        <f ca="1"/>
        <v>0.54823305604224881</v>
      </c>
      <c r="Q83" s="285">
        <f ca="1"/>
        <v>0.41868740884709998</v>
      </c>
      <c r="R83" s="283">
        <f t="shared" ca="1" si="24"/>
        <v>1.0000000000000009</v>
      </c>
      <c r="S83" s="418">
        <f t="shared" ca="1" si="28"/>
        <v>2.8723962372408332E-2</v>
      </c>
      <c r="U83" s="284">
        <f t="array" aca="1" ref="U83:AD83" ca="1">MMULT(U82:AD82, OFFSET(AB.rngTPMroot, MIN(4, INT(($F82-55)/5))*10, $G83*13))</f>
        <v>1.1579737381307296E-2</v>
      </c>
      <c r="V83" s="284">
        <f ca="1"/>
        <v>0</v>
      </c>
      <c r="W83" s="284">
        <f ca="1"/>
        <v>2.814607526501807E-2</v>
      </c>
      <c r="X83" s="284">
        <f ca="1"/>
        <v>4.1483636410312944E-3</v>
      </c>
      <c r="Y83" s="284">
        <f ca="1"/>
        <v>4.3415881390155539E-4</v>
      </c>
      <c r="Z83" s="284">
        <f ca="1"/>
        <v>6.3989334962837795E-5</v>
      </c>
      <c r="AA83" s="284">
        <f ca="1"/>
        <v>1.6647917655266491E-4</v>
      </c>
      <c r="AB83" s="284">
        <f ca="1"/>
        <v>2.4536854836675977E-5</v>
      </c>
      <c r="AC83" s="284">
        <f ca="1"/>
        <v>0.53720968071278663</v>
      </c>
      <c r="AD83" s="284">
        <f ca="1"/>
        <v>0.41822697881960419</v>
      </c>
      <c r="AE83" s="283">
        <f t="shared" ca="1" si="25"/>
        <v>1.0000000000000011</v>
      </c>
      <c r="AF83" s="418">
        <f t="shared" ca="1" si="29"/>
        <v>2.8746713255472289E-2</v>
      </c>
    </row>
    <row r="84" spans="1:32" ht="12" customHeight="1" x14ac:dyDescent="0.25">
      <c r="A84" s="262"/>
      <c r="C84" s="263"/>
      <c r="D84" s="62">
        <f t="shared" si="26"/>
        <v>74</v>
      </c>
      <c r="E84" s="63">
        <f t="shared" si="22"/>
        <v>18.5</v>
      </c>
      <c r="F84" s="63">
        <f t="shared" si="27"/>
        <v>88.5</v>
      </c>
      <c r="G84" s="62">
        <f t="shared" si="23"/>
        <v>0</v>
      </c>
      <c r="H84" s="285">
        <f t="array" aca="1" ref="H84:Q84" ca="1">MMULT(H83:Q83, OFFSET(AB.rngTPMroot, MIN(4, INT(($F83-55)/5))*10, $G84*13))</f>
        <v>1.1468549570063901E-4</v>
      </c>
      <c r="I84" s="285">
        <f ca="1"/>
        <v>0</v>
      </c>
      <c r="J84" s="285">
        <f ca="1"/>
        <v>2.7887815074066208E-2</v>
      </c>
      <c r="K84" s="285">
        <f ca="1"/>
        <v>4.1102994641973025E-3</v>
      </c>
      <c r="L84" s="285">
        <f ca="1"/>
        <v>4.3017509904518935E-4</v>
      </c>
      <c r="M84" s="285">
        <f ca="1"/>
        <v>6.3402187457873768E-5</v>
      </c>
      <c r="N84" s="285">
        <f ca="1"/>
        <v>1.6495161210464978E-4</v>
      </c>
      <c r="O84" s="285">
        <f ca="1"/>
        <v>2.4311711801428219E-5</v>
      </c>
      <c r="P84" s="285">
        <f ca="1"/>
        <v>0.54363920069652649</v>
      </c>
      <c r="Q84" s="285">
        <f ca="1"/>
        <v>0.42356515865910099</v>
      </c>
      <c r="R84" s="283">
        <f t="shared" ca="1" si="24"/>
        <v>1.0000000000000007</v>
      </c>
      <c r="S84" s="418">
        <f t="shared" ca="1" si="28"/>
        <v>2.8482941785216046E-2</v>
      </c>
      <c r="U84" s="284">
        <f t="array" aca="1" ref="U84:AD84" ca="1">MMULT(U83:AD83, OFFSET(AB.rngTPMroot, MIN(4, INT(($F83-55)/5))*10, $G84*13))</f>
        <v>1.0882255561412261E-2</v>
      </c>
      <c r="V84" s="284">
        <f ca="1"/>
        <v>0</v>
      </c>
      <c r="W84" s="284">
        <f ca="1"/>
        <v>2.7909903684663642E-2</v>
      </c>
      <c r="X84" s="284">
        <f ca="1"/>
        <v>4.1135550367139145E-3</v>
      </c>
      <c r="Y84" s="284">
        <f ca="1"/>
        <v>4.3051582026075561E-4</v>
      </c>
      <c r="Z84" s="284">
        <f ca="1"/>
        <v>6.3452405312017688E-5</v>
      </c>
      <c r="AA84" s="284">
        <f ca="1"/>
        <v>1.6508226242334707E-4</v>
      </c>
      <c r="AB84" s="284">
        <f ca="1"/>
        <v>2.4330967950879604E-5</v>
      </c>
      <c r="AC84" s="284">
        <f ca="1"/>
        <v>0.53330231219626001</v>
      </c>
      <c r="AD84" s="284">
        <f ca="1"/>
        <v>0.42310859206500445</v>
      </c>
      <c r="AE84" s="283">
        <f t="shared" ca="1" si="25"/>
        <v>1.0000000000000013</v>
      </c>
      <c r="AF84" s="418">
        <f t="shared" ca="1" si="29"/>
        <v>2.8505501767347743E-2</v>
      </c>
    </row>
    <row r="85" spans="1:32" ht="12" customHeight="1" x14ac:dyDescent="0.25">
      <c r="A85" s="262"/>
      <c r="C85" s="263"/>
      <c r="D85" s="62">
        <f t="shared" si="26"/>
        <v>75</v>
      </c>
      <c r="E85" s="63">
        <f t="shared" si="22"/>
        <v>18.75</v>
      </c>
      <c r="F85" s="63">
        <f t="shared" si="27"/>
        <v>88.75</v>
      </c>
      <c r="G85" s="62">
        <f t="shared" si="23"/>
        <v>0</v>
      </c>
      <c r="H85" s="285">
        <f t="array" aca="1" ref="H85:Q85" ca="1">MMULT(H84:Q84, OFFSET(AB.rngTPMroot, MIN(4, INT(($F84-55)/5))*10, $G85*13))</f>
        <v>1.0777764920785307E-4</v>
      </c>
      <c r="I85" s="285">
        <f ca="1"/>
        <v>0</v>
      </c>
      <c r="J85" s="285">
        <f ca="1"/>
        <v>2.7653810535363782E-2</v>
      </c>
      <c r="K85" s="285">
        <f ca="1"/>
        <v>4.0758102534974383E-3</v>
      </c>
      <c r="L85" s="285">
        <f ca="1"/>
        <v>4.2656553245325689E-4</v>
      </c>
      <c r="M85" s="285">
        <f ca="1"/>
        <v>6.2870184517184395E-5</v>
      </c>
      <c r="N85" s="285">
        <f ca="1"/>
        <v>1.6356751565262383E-4</v>
      </c>
      <c r="O85" s="285">
        <f ca="1"/>
        <v>2.4107714073744997E-5</v>
      </c>
      <c r="P85" s="285">
        <f ca="1"/>
        <v>0.5390835109724269</v>
      </c>
      <c r="Q85" s="285">
        <f ca="1"/>
        <v>0.42840197964280796</v>
      </c>
      <c r="R85" s="283">
        <f t="shared" ca="1" si="24"/>
        <v>1.0000000000000007</v>
      </c>
      <c r="S85" s="418">
        <f t="shared" ca="1" si="28"/>
        <v>2.8243943583469662E-2</v>
      </c>
      <c r="U85" s="284">
        <f t="array" aca="1" ref="U85:AD85" ca="1">MMULT(U84:AD84, OFFSET(AB.rngTPMroot, MIN(4, INT(($F84-55)/5))*10, $G85*13))</f>
        <v>1.0226785133750473E-2</v>
      </c>
      <c r="V85" s="284">
        <f ca="1"/>
        <v>0</v>
      </c>
      <c r="W85" s="284">
        <f ca="1"/>
        <v>2.7675713802106934E-2</v>
      </c>
      <c r="X85" s="284">
        <f ca="1"/>
        <v>4.079038508752267E-3</v>
      </c>
      <c r="Y85" s="284">
        <f ca="1"/>
        <v>4.2690339470297507E-4</v>
      </c>
      <c r="Z85" s="284">
        <f ca="1"/>
        <v>6.2919980997127375E-5</v>
      </c>
      <c r="AA85" s="284">
        <f ca="1"/>
        <v>1.6369706969441758E-4</v>
      </c>
      <c r="AB85" s="284">
        <f ca="1"/>
        <v>2.4126808646308493E-5</v>
      </c>
      <c r="AC85" s="284">
        <f ca="1"/>
        <v>0.52939157123701641</v>
      </c>
      <c r="AD85" s="284">
        <f ca="1"/>
        <v>0.42794924406433438</v>
      </c>
      <c r="AE85" s="283">
        <f t="shared" ca="1" si="25"/>
        <v>1.0000000000000013</v>
      </c>
      <c r="AF85" s="418">
        <f t="shared" ca="1" si="29"/>
        <v>2.8266314266504326E-2</v>
      </c>
    </row>
    <row r="86" spans="1:32" ht="12" customHeight="1" x14ac:dyDescent="0.25">
      <c r="A86" s="262"/>
      <c r="C86" s="263"/>
      <c r="D86" s="62">
        <f t="shared" si="26"/>
        <v>76</v>
      </c>
      <c r="E86" s="63">
        <f t="shared" si="22"/>
        <v>19</v>
      </c>
      <c r="F86" s="63">
        <f t="shared" si="27"/>
        <v>89</v>
      </c>
      <c r="G86" s="62">
        <f t="shared" si="23"/>
        <v>0</v>
      </c>
      <c r="H86" s="285">
        <f t="array" aca="1" ref="H86:Q86" ca="1">MMULT(H85:Q85, OFFSET(AB.rngTPMroot, MIN(4, INT(($F85-55)/5))*10, $G86*13))</f>
        <v>1.0128588273352433E-4</v>
      </c>
      <c r="I86" s="285">
        <f ca="1"/>
        <v>0</v>
      </c>
      <c r="J86" s="285">
        <f ca="1"/>
        <v>2.742176951097712E-2</v>
      </c>
      <c r="K86" s="285">
        <f ca="1"/>
        <v>4.0416104391457139E-3</v>
      </c>
      <c r="L86" s="285">
        <f ca="1"/>
        <v>4.2298625346051487E-4</v>
      </c>
      <c r="M86" s="285">
        <f ca="1"/>
        <v>6.2342645572774187E-5</v>
      </c>
      <c r="N86" s="285">
        <f ca="1"/>
        <v>1.6219503304882934E-4</v>
      </c>
      <c r="O86" s="285">
        <f ca="1"/>
        <v>2.3905428075504754E-5</v>
      </c>
      <c r="P86" s="285">
        <f ca="1"/>
        <v>0.53456568957807549</v>
      </c>
      <c r="Q86" s="285">
        <f ca="1"/>
        <v>0.43319821522891128</v>
      </c>
      <c r="R86" s="283">
        <f t="shared" ca="1" si="24"/>
        <v>1.0000000000000007</v>
      </c>
      <c r="S86" s="418">
        <f t="shared" ca="1" si="28"/>
        <v>2.8006950797486461E-2</v>
      </c>
      <c r="U86" s="284">
        <f t="array" aca="1" ref="U86:AD86" ca="1">MMULT(U85:AD85, OFFSET(AB.rngTPMroot, MIN(4, INT(($F85-55)/5))*10, $G86*13))</f>
        <v>9.6107956279540569E-3</v>
      </c>
      <c r="V86" s="284">
        <f ca="1"/>
        <v>0</v>
      </c>
      <c r="W86" s="284">
        <f ca="1"/>
        <v>2.7443488989072194E-2</v>
      </c>
      <c r="X86" s="284">
        <f ca="1"/>
        <v>4.0448116063558281E-3</v>
      </c>
      <c r="Y86" s="284">
        <f ca="1"/>
        <v>4.2332128073375037E-4</v>
      </c>
      <c r="Z86" s="284">
        <f ca="1"/>
        <v>6.2392024214235118E-5</v>
      </c>
      <c r="AA86" s="284">
        <f ca="1"/>
        <v>1.6232350001249571E-4</v>
      </c>
      <c r="AB86" s="284">
        <f ca="1"/>
        <v>2.3924362426959775E-5</v>
      </c>
      <c r="AC86" s="284">
        <f ca="1"/>
        <v>0.52547966408893243</v>
      </c>
      <c r="AD86" s="284">
        <f ca="1"/>
        <v>0.43274927852029943</v>
      </c>
      <c r="AE86" s="283">
        <f t="shared" ca="1" si="25"/>
        <v>1.0000000000000013</v>
      </c>
      <c r="AF86" s="418">
        <f t="shared" ca="1" si="29"/>
        <v>2.8029133769818439E-2</v>
      </c>
    </row>
    <row r="87" spans="1:32" ht="12" customHeight="1" x14ac:dyDescent="0.25">
      <c r="A87" s="262"/>
      <c r="C87" s="263"/>
      <c r="D87" s="62">
        <f t="shared" si="26"/>
        <v>77</v>
      </c>
      <c r="E87" s="63">
        <f t="shared" si="22"/>
        <v>19.25</v>
      </c>
      <c r="F87" s="63">
        <f t="shared" si="27"/>
        <v>89.25</v>
      </c>
      <c r="G87" s="62">
        <f t="shared" si="23"/>
        <v>0</v>
      </c>
      <c r="H87" s="285">
        <f t="array" aca="1" ref="H87:Q87" ca="1">MMULT(H86:Q86, OFFSET(AB.rngTPMroot, MIN(4, INT(($F86-55)/5))*10, $G87*13))</f>
        <v>9.5185134547931354E-5</v>
      </c>
      <c r="I87" s="285">
        <f ca="1"/>
        <v>0</v>
      </c>
      <c r="J87" s="285">
        <f ca="1"/>
        <v>2.7191675525206696E-2</v>
      </c>
      <c r="K87" s="285">
        <f ca="1"/>
        <v>4.0076975928393464E-3</v>
      </c>
      <c r="L87" s="285">
        <f ca="1"/>
        <v>4.1943700792601834E-4</v>
      </c>
      <c r="M87" s="285">
        <f ca="1"/>
        <v>6.1819533167589301E-5</v>
      </c>
      <c r="N87" s="285">
        <f ca="1"/>
        <v>1.608340668423476E-4</v>
      </c>
      <c r="O87" s="285">
        <f ca="1"/>
        <v>2.3704839443715723E-5</v>
      </c>
      <c r="P87" s="285">
        <f ca="1"/>
        <v>0.53008544033362659</v>
      </c>
      <c r="Q87" s="285">
        <f ca="1"/>
        <v>0.43795420596640044</v>
      </c>
      <c r="R87" s="283">
        <f t="shared" ca="1" si="24"/>
        <v>1.0000000000000007</v>
      </c>
      <c r="S87" s="418">
        <f t="shared" ca="1" si="28"/>
        <v>2.7771946599975061E-2</v>
      </c>
      <c r="U87" s="284">
        <f t="array" aca="1" ref="U87:AD87" ca="1">MMULT(U86:AD86, OFFSET(AB.rngTPMroot, MIN(4, INT(($F86-55)/5))*10, $G87*13))</f>
        <v>9.0319089913671515E-3</v>
      </c>
      <c r="V87" s="284">
        <f ca="1"/>
        <v>0</v>
      </c>
      <c r="W87" s="284">
        <f ca="1"/>
        <v>2.7213212756810289E-2</v>
      </c>
      <c r="X87" s="284">
        <f ca="1"/>
        <v>4.0108718992984725E-3</v>
      </c>
      <c r="Y87" s="284">
        <f ca="1"/>
        <v>4.1976922401084352E-4</v>
      </c>
      <c r="Z87" s="284">
        <f ca="1"/>
        <v>6.1868497476619182E-5</v>
      </c>
      <c r="AA87" s="284">
        <f ca="1"/>
        <v>1.6096145584947665E-4</v>
      </c>
      <c r="AB87" s="284">
        <f ca="1"/>
        <v>2.372361491846541E-5</v>
      </c>
      <c r="AC87" s="284">
        <f ca="1"/>
        <v>0.52156864730864827</v>
      </c>
      <c r="AD87" s="284">
        <f ca="1"/>
        <v>0.4375090362516218</v>
      </c>
      <c r="AE87" s="283">
        <f t="shared" ca="1" si="25"/>
        <v>1.0000000000000013</v>
      </c>
      <c r="AF87" s="418">
        <f t="shared" ca="1" si="29"/>
        <v>2.7793943436670611E-2</v>
      </c>
    </row>
    <row r="88" spans="1:32" ht="12" customHeight="1" x14ac:dyDescent="0.25">
      <c r="A88" s="262"/>
      <c r="C88" s="263"/>
      <c r="D88" s="62">
        <f t="shared" si="26"/>
        <v>78</v>
      </c>
      <c r="E88" s="63">
        <f t="shared" si="22"/>
        <v>19.5</v>
      </c>
      <c r="F88" s="63">
        <f t="shared" si="27"/>
        <v>89.5</v>
      </c>
      <c r="G88" s="62">
        <f t="shared" si="23"/>
        <v>0</v>
      </c>
      <c r="H88" s="285">
        <f t="array" aca="1" ref="H88:Q88" ca="1">MMULT(H87:Q87, OFFSET(AB.rngTPMroot, MIN(4, INT(($F87-55)/5))*10, $G88*13))</f>
        <v>8.9451852463433008E-5</v>
      </c>
      <c r="I88" s="285">
        <f ca="1"/>
        <v>0</v>
      </c>
      <c r="J88" s="285">
        <f ca="1"/>
        <v>2.6963512240599317E-2</v>
      </c>
      <c r="K88" s="285">
        <f ca="1"/>
        <v>3.9740693066512584E-3</v>
      </c>
      <c r="L88" s="285">
        <f ca="1"/>
        <v>4.159175438412996E-4</v>
      </c>
      <c r="M88" s="285">
        <f ca="1"/>
        <v>6.1300810158875248E-5</v>
      </c>
      <c r="N88" s="285">
        <f ca="1"/>
        <v>1.5948452039996324E-4</v>
      </c>
      <c r="O88" s="285">
        <f ca="1"/>
        <v>2.3505933935904889E-5</v>
      </c>
      <c r="P88" s="285">
        <f ca="1"/>
        <v>0.52564246824520633</v>
      </c>
      <c r="Q88" s="285">
        <f ca="1"/>
        <v>0.44267028954674437</v>
      </c>
      <c r="R88" s="283">
        <f t="shared" ca="1" si="24"/>
        <v>1.0000000000000009</v>
      </c>
      <c r="S88" s="418">
        <f t="shared" ca="1" si="28"/>
        <v>2.7538914304840581E-2</v>
      </c>
      <c r="U88" s="284">
        <f t="array" aca="1" ref="U88:AD88" ca="1">MMULT(U87:AD87, OFFSET(AB.rngTPMroot, MIN(4, INT(($F87-55)/5))*10, $G88*13))</f>
        <v>8.4878904084764659E-3</v>
      </c>
      <c r="V88" s="284">
        <f ca="1"/>
        <v>0</v>
      </c>
      <c r="W88" s="284">
        <f ca="1"/>
        <v>2.6984868754927897E-2</v>
      </c>
      <c r="X88" s="284">
        <f ca="1"/>
        <v>3.9772169777459185E-3</v>
      </c>
      <c r="Y88" s="284">
        <f ca="1"/>
        <v>4.1624697232618295E-4</v>
      </c>
      <c r="Z88" s="284">
        <f ca="1"/>
        <v>6.1349363612106026E-5</v>
      </c>
      <c r="AA88" s="284">
        <f ca="1"/>
        <v>1.5961084049560641E-4</v>
      </c>
      <c r="AB88" s="284">
        <f ca="1"/>
        <v>2.3524551867071617E-5</v>
      </c>
      <c r="AC88" s="284">
        <f ca="1"/>
        <v>0.51766043691331043</v>
      </c>
      <c r="AD88" s="284">
        <f ca="1"/>
        <v>0.4422288552172397</v>
      </c>
      <c r="AE88" s="283">
        <f t="shared" ca="1" si="25"/>
        <v>1.0000000000000013</v>
      </c>
      <c r="AF88" s="418">
        <f t="shared" ca="1" si="29"/>
        <v>2.7560726567749688E-2</v>
      </c>
    </row>
    <row r="89" spans="1:32" ht="12" customHeight="1" x14ac:dyDescent="0.25">
      <c r="A89" s="262"/>
      <c r="C89" s="263"/>
      <c r="D89" s="62">
        <f t="shared" si="26"/>
        <v>79</v>
      </c>
      <c r="E89" s="63">
        <f t="shared" si="22"/>
        <v>19.75</v>
      </c>
      <c r="F89" s="63">
        <f t="shared" si="27"/>
        <v>89.75</v>
      </c>
      <c r="G89" s="62">
        <f t="shared" si="23"/>
        <v>0</v>
      </c>
      <c r="H89" s="285">
        <f t="array" aca="1" ref="H89:Q89" ca="1">MMULT(H88:Q88, OFFSET(AB.rngTPMroot, MIN(4, INT(($F88-55)/5))*10, $G89*13))</f>
        <v>8.4063902910285734E-5</v>
      </c>
      <c r="I89" s="285">
        <f ca="1"/>
        <v>0</v>
      </c>
      <c r="J89" s="285">
        <f ca="1"/>
        <v>2.6737263456788139E-2</v>
      </c>
      <c r="K89" s="285">
        <f ca="1"/>
        <v>3.9407231928591021E-3</v>
      </c>
      <c r="L89" s="285">
        <f ca="1"/>
        <v>4.1242761131247502E-4</v>
      </c>
      <c r="M89" s="285">
        <f ca="1"/>
        <v>6.0786439715539503E-5</v>
      </c>
      <c r="N89" s="285">
        <f ca="1"/>
        <v>1.5814629789930287E-4</v>
      </c>
      <c r="O89" s="285">
        <f ca="1"/>
        <v>2.3308697429106753E-5</v>
      </c>
      <c r="P89" s="285">
        <f ca="1"/>
        <v>0.5212364795732185</v>
      </c>
      <c r="Q89" s="285">
        <f ca="1"/>
        <v>0.44734680082786837</v>
      </c>
      <c r="R89" s="283">
        <f t="shared" ca="1" si="24"/>
        <v>1.0000000000000009</v>
      </c>
      <c r="S89" s="418">
        <f t="shared" ca="1" si="28"/>
        <v>2.7307837365999919E-2</v>
      </c>
      <c r="U89" s="284">
        <f t="array" aca="1" ref="U89:AD89" ca="1">MMULT(U88:AD88, OFFSET(AB.rngTPMroot, MIN(4, INT(($F88-55)/5))*10, $G89*13))</f>
        <v>7.976639673314679E-3</v>
      </c>
      <c r="V89" s="284">
        <f ca="1"/>
        <v>0</v>
      </c>
      <c r="W89" s="284">
        <f ca="1"/>
        <v>2.675844077022663E-2</v>
      </c>
      <c r="X89" s="284">
        <f ca="1"/>
        <v>3.9438444520846173E-3</v>
      </c>
      <c r="Y89" s="284">
        <f ca="1"/>
        <v>4.1275427558795592E-4</v>
      </c>
      <c r="Z89" s="284">
        <f ca="1"/>
        <v>6.0834585760430999E-5</v>
      </c>
      <c r="AA89" s="284">
        <f ca="1"/>
        <v>1.5827155805261527E-4</v>
      </c>
      <c r="AB89" s="284">
        <f ca="1"/>
        <v>2.3327159138626764E-5</v>
      </c>
      <c r="AC89" s="284">
        <f ca="1"/>
        <v>0.51375681698553233</v>
      </c>
      <c r="AD89" s="284">
        <f ca="1"/>
        <v>0.44690907054030349</v>
      </c>
      <c r="AE89" s="283">
        <f t="shared" ca="1" si="25"/>
        <v>1.0000000000000013</v>
      </c>
      <c r="AF89" s="418">
        <f t="shared" ca="1" si="29"/>
        <v>2.7329466603867203E-2</v>
      </c>
    </row>
    <row r="90" spans="1:32" ht="12" customHeight="1" x14ac:dyDescent="0.25">
      <c r="A90" s="262"/>
      <c r="C90" s="263"/>
      <c r="D90" s="62">
        <f t="shared" si="26"/>
        <v>80</v>
      </c>
      <c r="E90" s="63">
        <f t="shared" si="22"/>
        <v>20</v>
      </c>
      <c r="F90" s="63">
        <f t="shared" si="27"/>
        <v>90</v>
      </c>
      <c r="G90" s="62">
        <f t="shared" si="23"/>
        <v>0</v>
      </c>
      <c r="H90" s="285">
        <f t="array" aca="1" ref="H90:Q90" ca="1">MMULT(H89:Q89, OFFSET(AB.rngTPMroot, MIN(4, INT(($F89-55)/5))*10, $G90*13))</f>
        <v>7.9000485489093218E-5</v>
      </c>
      <c r="I90" s="285">
        <f ca="1"/>
        <v>0</v>
      </c>
      <c r="J90" s="285">
        <f ca="1"/>
        <v>2.651291310934234E-2</v>
      </c>
      <c r="K90" s="285">
        <f ca="1"/>
        <v>3.907656883775733E-3</v>
      </c>
      <c r="L90" s="285">
        <f ca="1"/>
        <v>4.0896696254250141E-4</v>
      </c>
      <c r="M90" s="285">
        <f ca="1"/>
        <v>6.02763853155365E-5</v>
      </c>
      <c r="N90" s="285">
        <f ca="1"/>
        <v>1.5681930432203135E-4</v>
      </c>
      <c r="O90" s="285">
        <f ca="1"/>
        <v>2.3113115918860557E-5</v>
      </c>
      <c r="P90" s="285">
        <f ca="1"/>
        <v>0.51686718189536429</v>
      </c>
      <c r="Q90" s="285">
        <f ca="1"/>
        <v>0.45198407185793038</v>
      </c>
      <c r="R90" s="283">
        <f t="shared" ca="1" si="24"/>
        <v>1.0000000000000007</v>
      </c>
      <c r="S90" s="418">
        <f t="shared" ca="1" si="28"/>
        <v>2.7078699376206872E-2</v>
      </c>
      <c r="U90" s="284">
        <f t="array" aca="1" ref="U90:AD90" ca="1">MMULT(U89:AD89, OFFSET(AB.rngTPMroot, MIN(4, INT(($F89-55)/5))*10, $G90*13))</f>
        <v>7.4961830815294898E-3</v>
      </c>
      <c r="V90" s="284">
        <f ca="1"/>
        <v>0</v>
      </c>
      <c r="W90" s="284">
        <f ca="1"/>
        <v>2.6533912725551813E-2</v>
      </c>
      <c r="X90" s="284">
        <f ca="1"/>
        <v>3.9107519527520904E-3</v>
      </c>
      <c r="Y90" s="284">
        <f ca="1"/>
        <v>4.0929088580285108E-4</v>
      </c>
      <c r="Z90" s="284">
        <f ca="1"/>
        <v>6.0324127370621144E-5</v>
      </c>
      <c r="AA90" s="284">
        <f ca="1"/>
        <v>1.5694351342690856E-4</v>
      </c>
      <c r="AB90" s="284">
        <f ca="1"/>
        <v>2.3131422717577826E-5</v>
      </c>
      <c r="AC90" s="284">
        <f ca="1"/>
        <v>0.50985944775887937</v>
      </c>
      <c r="AD90" s="284">
        <f ca="1"/>
        <v>0.45155001453197063</v>
      </c>
      <c r="AE90" s="283">
        <f t="shared" ca="1" si="25"/>
        <v>1.0000000000000013</v>
      </c>
      <c r="AF90" s="418">
        <f t="shared" ca="1" si="29"/>
        <v>2.7100147124781572E-2</v>
      </c>
    </row>
    <row r="91" spans="1:32" ht="12" customHeight="1" x14ac:dyDescent="0.25">
      <c r="A91" s="262"/>
      <c r="C91" s="263"/>
      <c r="D91" s="62">
        <f t="shared" si="26"/>
        <v>81</v>
      </c>
      <c r="E91" s="63">
        <f t="shared" si="22"/>
        <v>20.25</v>
      </c>
      <c r="F91" s="63">
        <f t="shared" si="27"/>
        <v>90.25</v>
      </c>
      <c r="G91" s="62">
        <f t="shared" si="23"/>
        <v>0</v>
      </c>
      <c r="H91" s="285">
        <f t="array" aca="1" ref="H91:Q91" ca="1">MMULT(H90:Q90, OFFSET(AB.rngTPMroot, MIN(4, INT(($F90-55)/5))*10, $G91*13))</f>
        <v>7.4242052670014602E-5</v>
      </c>
      <c r="I91" s="285">
        <f ca="1"/>
        <v>0</v>
      </c>
      <c r="J91" s="285">
        <f ca="1"/>
        <v>2.6290445268626537E-2</v>
      </c>
      <c r="K91" s="285">
        <f ca="1"/>
        <v>3.8748680315810824E-3</v>
      </c>
      <c r="L91" s="285">
        <f ca="1"/>
        <v>4.055353518135819E-4</v>
      </c>
      <c r="M91" s="285">
        <f ca="1"/>
        <v>5.9770610743274353E-5</v>
      </c>
      <c r="N91" s="285">
        <f ca="1"/>
        <v>1.5550344544710507E-4</v>
      </c>
      <c r="O91" s="285">
        <f ca="1"/>
        <v>2.29191755182159E-5</v>
      </c>
      <c r="P91" s="285">
        <f ca="1"/>
        <v>0.51253428416470348</v>
      </c>
      <c r="Q91" s="285">
        <f ca="1"/>
        <v>0.45658243189889747</v>
      </c>
      <c r="R91" s="283">
        <f t="shared" ca="1" si="24"/>
        <v>1.0000000000000009</v>
      </c>
      <c r="S91" s="418">
        <f t="shared" ca="1" si="28"/>
        <v>2.6851484065887221E-2</v>
      </c>
      <c r="U91" s="284">
        <f t="array" aca="1" ref="U91:AD91" ca="1">MMULT(U90:AD90, OFFSET(AB.rngTPMroot, MIN(4, INT(($F90-55)/5))*10, $G91*13))</f>
        <v>7.0446658108173198E-3</v>
      </c>
      <c r="V91" s="284">
        <f ca="1"/>
        <v>0</v>
      </c>
      <c r="W91" s="284">
        <f ca="1"/>
        <v>2.631126867865094E-2</v>
      </c>
      <c r="X91" s="284">
        <f ca="1"/>
        <v>3.8779371300686752E-3</v>
      </c>
      <c r="Y91" s="284">
        <f ca="1"/>
        <v>4.0585655705845011E-4</v>
      </c>
      <c r="Z91" s="284">
        <f ca="1"/>
        <v>5.9817952198399935E-5</v>
      </c>
      <c r="AA91" s="284">
        <f ca="1"/>
        <v>1.5562661232281476E-4</v>
      </c>
      <c r="AB91" s="284">
        <f ca="1"/>
        <v>2.2937328705975203E-5</v>
      </c>
      <c r="AC91" s="284">
        <f ca="1"/>
        <v>0.50596987321517783</v>
      </c>
      <c r="AD91" s="284">
        <f ca="1"/>
        <v>0.45615201671500094</v>
      </c>
      <c r="AE91" s="283">
        <f t="shared" ca="1" si="25"/>
        <v>1.0000000000000013</v>
      </c>
      <c r="AF91" s="418">
        <f t="shared" ca="1" si="29"/>
        <v>2.6872751848032207E-2</v>
      </c>
    </row>
    <row r="92" spans="1:32" ht="12" customHeight="1" x14ac:dyDescent="0.25">
      <c r="A92" s="262"/>
      <c r="C92" s="263"/>
      <c r="D92" s="62">
        <f t="shared" si="26"/>
        <v>82</v>
      </c>
      <c r="E92" s="63">
        <f t="shared" si="22"/>
        <v>20.5</v>
      </c>
      <c r="F92" s="63">
        <f t="shared" si="27"/>
        <v>90.5</v>
      </c>
      <c r="G92" s="62">
        <f t="shared" si="23"/>
        <v>0</v>
      </c>
      <c r="H92" s="285">
        <f t="array" aca="1" ref="H92:Q92" ca="1">MMULT(H91:Q91, OFFSET(AB.rngTPMroot, MIN(4, INT(($F91-55)/5))*10, $G92*13))</f>
        <v>6.9770234328726891E-5</v>
      </c>
      <c r="I92" s="285">
        <f ca="1"/>
        <v>0</v>
      </c>
      <c r="J92" s="285">
        <f ca="1"/>
        <v>2.6069844138669702E-2</v>
      </c>
      <c r="K92" s="285">
        <f ca="1"/>
        <v>3.8423543081554665E-3</v>
      </c>
      <c r="L92" s="285">
        <f ca="1"/>
        <v>4.0213253546971884E-4</v>
      </c>
      <c r="M92" s="285">
        <f ca="1"/>
        <v>5.9269080087043467E-5</v>
      </c>
      <c r="N92" s="285">
        <f ca="1"/>
        <v>1.5419862784408223E-4</v>
      </c>
      <c r="O92" s="285">
        <f ca="1"/>
        <v>2.2726862456746715E-5</v>
      </c>
      <c r="P92" s="285">
        <f ca="1"/>
        <v>0.50823749676306473</v>
      </c>
      <c r="Q92" s="285">
        <f ca="1"/>
        <v>0.46114220744992457</v>
      </c>
      <c r="R92" s="283">
        <f t="shared" ca="1" si="24"/>
        <v>1.0000000000000009</v>
      </c>
      <c r="S92" s="418">
        <f t="shared" ca="1" si="28"/>
        <v>2.6626175301983506E-2</v>
      </c>
      <c r="U92" s="284">
        <f t="array" aca="1" ref="U92:AD92" ca="1">MMULT(U91:AD91, OFFSET(AB.rngTPMroot, MIN(4, INT(($F91-55)/5))*10, $G92*13))</f>
        <v>6.6203447603060276E-3</v>
      </c>
      <c r="V92" s="284">
        <f ca="1"/>
        <v>0</v>
      </c>
      <c r="W92" s="284">
        <f ca="1"/>
        <v>2.6090492821041759E-2</v>
      </c>
      <c r="X92" s="284">
        <f ca="1"/>
        <v>3.845397654070693E-3</v>
      </c>
      <c r="Y92" s="284">
        <f ca="1"/>
        <v>4.0245104550576724E-4</v>
      </c>
      <c r="Z92" s="284">
        <f ca="1"/>
        <v>5.9316024303613822E-5</v>
      </c>
      <c r="AA92" s="284">
        <f ca="1"/>
        <v>1.5432076123589016E-4</v>
      </c>
      <c r="AB92" s="284">
        <f ca="1"/>
        <v>2.2744863322485946E-5</v>
      </c>
      <c r="AC92" s="284">
        <f ca="1"/>
        <v>0.50208952822306141</v>
      </c>
      <c r="AD92" s="284">
        <f ca="1"/>
        <v>0.46071540384715376</v>
      </c>
      <c r="AE92" s="283">
        <f t="shared" ca="1" si="25"/>
        <v>1.0000000000000013</v>
      </c>
      <c r="AF92" s="418">
        <f t="shared" ca="1" si="29"/>
        <v>2.6647264627783416E-2</v>
      </c>
    </row>
    <row r="93" spans="1:32" ht="12" customHeight="1" x14ac:dyDescent="0.25">
      <c r="A93" s="262"/>
      <c r="C93" s="263"/>
      <c r="D93" s="62">
        <f t="shared" si="26"/>
        <v>83</v>
      </c>
      <c r="E93" s="63">
        <f t="shared" si="22"/>
        <v>20.75</v>
      </c>
      <c r="F93" s="63">
        <f t="shared" si="27"/>
        <v>90.75</v>
      </c>
      <c r="G93" s="62">
        <f t="shared" si="23"/>
        <v>0</v>
      </c>
      <c r="H93" s="285">
        <f t="array" aca="1" ref="H93:Q93" ca="1">MMULT(H92:Q92, OFFSET(AB.rngTPMroot, MIN(4, INT(($F92-55)/5))*10, $G93*13))</f>
        <v>6.5567766827809385E-5</v>
      </c>
      <c r="I93" s="285">
        <f ca="1"/>
        <v>0</v>
      </c>
      <c r="J93" s="285">
        <f ca="1"/>
        <v>2.5851094056043598E-2</v>
      </c>
      <c r="K93" s="285">
        <f ca="1"/>
        <v>3.8101134049142761E-3</v>
      </c>
      <c r="L93" s="285">
        <f ca="1"/>
        <v>3.9875827189941372E-4</v>
      </c>
      <c r="M93" s="285">
        <f ca="1"/>
        <v>5.8771757736466668E-5</v>
      </c>
      <c r="N93" s="285">
        <f ca="1"/>
        <v>1.5290475886648865E-4</v>
      </c>
      <c r="O93" s="285">
        <f ca="1"/>
        <v>2.2536163079573563E-5</v>
      </c>
      <c r="P93" s="285">
        <f ca="1"/>
        <v>0.50397653155009625</v>
      </c>
      <c r="Q93" s="285">
        <f ca="1"/>
        <v>0.46566372227053693</v>
      </c>
      <c r="R93" s="283">
        <f t="shared" ca="1" si="24"/>
        <v>1.0000000000000009</v>
      </c>
      <c r="S93" s="418">
        <f t="shared" ca="1" si="28"/>
        <v>2.6402757086809503E-2</v>
      </c>
      <c r="U93" s="284">
        <f t="array" aca="1" ref="U93:AD93" ca="1">MMULT(U92:AD92, OFFSET(AB.rngTPMroot, MIN(4, INT(($F92-55)/5))*10, $G93*13))</f>
        <v>6.2215818212427668E-3</v>
      </c>
      <c r="V93" s="284">
        <f ca="1"/>
        <v>0</v>
      </c>
      <c r="W93" s="284">
        <f ca="1"/>
        <v>2.5871569476889771E-2</v>
      </c>
      <c r="X93" s="284">
        <f ca="1"/>
        <v>3.8131312143450157E-3</v>
      </c>
      <c r="Y93" s="284">
        <f ca="1"/>
        <v>3.9907410934193478E-4</v>
      </c>
      <c r="Z93" s="284">
        <f ca="1"/>
        <v>5.8818308047680373E-5</v>
      </c>
      <c r="AA93" s="284">
        <f ca="1"/>
        <v>1.5302586744627976E-4</v>
      </c>
      <c r="AB93" s="284">
        <f ca="1"/>
        <v>2.2554012901415221E-5</v>
      </c>
      <c r="AC93" s="284">
        <f ca="1"/>
        <v>0.49821974524539775</v>
      </c>
      <c r="AD93" s="284">
        <f ca="1"/>
        <v>0.46524049994438882</v>
      </c>
      <c r="AE93" s="283">
        <f t="shared" ca="1" si="25"/>
        <v>1.0000000000000016</v>
      </c>
      <c r="AF93" s="418">
        <f t="shared" ca="1" si="29"/>
        <v>2.6423669453677984E-2</v>
      </c>
    </row>
    <row r="94" spans="1:32" ht="12" customHeight="1" x14ac:dyDescent="0.25">
      <c r="A94" s="262"/>
      <c r="C94" s="263"/>
      <c r="D94" s="62">
        <f t="shared" si="26"/>
        <v>84</v>
      </c>
      <c r="E94" s="63">
        <f t="shared" si="22"/>
        <v>21</v>
      </c>
      <c r="F94" s="63">
        <f t="shared" si="27"/>
        <v>91</v>
      </c>
      <c r="G94" s="62">
        <f t="shared" si="23"/>
        <v>0</v>
      </c>
      <c r="H94" s="285">
        <f t="array" aca="1" ref="H94:Q94" ca="1">MMULT(H93:Q93, OFFSET(AB.rngTPMroot, MIN(4, INT(($F93-55)/5))*10, $G94*13))</f>
        <v>6.1618426369766037E-5</v>
      </c>
      <c r="I94" s="285">
        <f ca="1"/>
        <v>0</v>
      </c>
      <c r="J94" s="285">
        <f ca="1"/>
        <v>2.5634179488750627E-2</v>
      </c>
      <c r="K94" s="285">
        <f ca="1"/>
        <v>3.7781430326440583E-3</v>
      </c>
      <c r="L94" s="285">
        <f ca="1"/>
        <v>3.9541232151851167E-4</v>
      </c>
      <c r="M94" s="285">
        <f ca="1"/>
        <v>5.8278608379970764E-5</v>
      </c>
      <c r="N94" s="285">
        <f ca="1"/>
        <v>1.516217466452397E-4</v>
      </c>
      <c r="O94" s="285">
        <f ca="1"/>
        <v>2.2347063846394044E-5</v>
      </c>
      <c r="P94" s="285">
        <f ca="1"/>
        <v>0.49975110190822802</v>
      </c>
      <c r="Q94" s="285">
        <f ca="1"/>
        <v>0.47014729740361827</v>
      </c>
      <c r="R94" s="283">
        <f t="shared" ca="1" si="24"/>
        <v>1.0000000000000009</v>
      </c>
      <c r="S94" s="418">
        <f t="shared" ca="1" si="28"/>
        <v>2.6181213556914378E-2</v>
      </c>
      <c r="U94" s="284">
        <f t="array" aca="1" ref="U94:AD94" ca="1">MMULT(U93:AD93, OFFSET(AB.rngTPMroot, MIN(4, INT(($F93-55)/5))*10, $G94*13))</f>
        <v>5.8468375530082162E-3</v>
      </c>
      <c r="V94" s="284">
        <f ca="1"/>
        <v>0</v>
      </c>
      <c r="W94" s="284">
        <f ca="1"/>
        <v>2.5654483101895227E-2</v>
      </c>
      <c r="X94" s="284">
        <f ca="1"/>
        <v>3.7811355198650136E-3</v>
      </c>
      <c r="Y94" s="284">
        <f ca="1"/>
        <v>3.9572550879303481E-4</v>
      </c>
      <c r="Z94" s="284">
        <f ca="1"/>
        <v>5.8324768091057736E-5</v>
      </c>
      <c r="AA94" s="284">
        <f ca="1"/>
        <v>1.5174183901213383E-4</v>
      </c>
      <c r="AB94" s="284">
        <f ca="1"/>
        <v>2.2364763891736004E-5</v>
      </c>
      <c r="AC94" s="284">
        <f ca="1"/>
        <v>0.49436176064157233</v>
      </c>
      <c r="AD94" s="284">
        <f ca="1"/>
        <v>0.46972762630387266</v>
      </c>
      <c r="AE94" s="283">
        <f t="shared" ca="1" si="25"/>
        <v>1.0000000000000013</v>
      </c>
      <c r="AF94" s="418">
        <f t="shared" ca="1" si="29"/>
        <v>2.6201950449700397E-2</v>
      </c>
    </row>
    <row r="95" spans="1:32" ht="12" customHeight="1" x14ac:dyDescent="0.25">
      <c r="A95" s="262"/>
      <c r="C95" s="263"/>
      <c r="D95" s="62">
        <f t="shared" si="26"/>
        <v>85</v>
      </c>
      <c r="E95" s="63">
        <f t="shared" si="22"/>
        <v>21.25</v>
      </c>
      <c r="F95" s="63">
        <f t="shared" si="27"/>
        <v>91.25</v>
      </c>
      <c r="G95" s="62">
        <f t="shared" si="23"/>
        <v>0</v>
      </c>
      <c r="H95" s="285">
        <f t="array" aca="1" ref="H95:Q95" ca="1">MMULT(H94:Q94, OFFSET(AB.rngTPMroot, MIN(4, INT(($F94-55)/5))*10, $G95*13))</f>
        <v>5.7906966364392354E-5</v>
      </c>
      <c r="I95" s="285">
        <f ca="1"/>
        <v>0</v>
      </c>
      <c r="J95" s="285">
        <f ca="1"/>
        <v>2.5419085035121008E-2</v>
      </c>
      <c r="K95" s="285">
        <f ca="1"/>
        <v>3.746440921339978E-3</v>
      </c>
      <c r="L95" s="285">
        <f ca="1"/>
        <v>3.9209444675319027E-4</v>
      </c>
      <c r="M95" s="285">
        <f ca="1"/>
        <v>5.7789597002279289E-5</v>
      </c>
      <c r="N95" s="285">
        <f ca="1"/>
        <v>1.5034950008211727E-4</v>
      </c>
      <c r="O95" s="285">
        <f ca="1"/>
        <v>2.2159551330521407E-5</v>
      </c>
      <c r="P95" s="285">
        <f ca="1"/>
        <v>0.49556092278380165</v>
      </c>
      <c r="Q95" s="285">
        <f ca="1"/>
        <v>0.47459325119820578</v>
      </c>
      <c r="R95" s="283">
        <f t="shared" ca="1" si="24"/>
        <v>1.0000000000000009</v>
      </c>
      <c r="S95" s="418">
        <f t="shared" ca="1" si="28"/>
        <v>2.5961528981956312E-2</v>
      </c>
      <c r="U95" s="284">
        <f t="array" aca="1" ref="U95:AD95" ca="1">MMULT(U94:AD94, OFFSET(AB.rngTPMroot, MIN(4, INT(($F94-55)/5))*10, $G95*13))</f>
        <v>5.4946652400431695E-3</v>
      </c>
      <c r="V95" s="284">
        <f ca="1"/>
        <v>0</v>
      </c>
      <c r="W95" s="284">
        <f ca="1"/>
        <v>2.5439218282189403E-2</v>
      </c>
      <c r="X95" s="284">
        <f ca="1"/>
        <v>3.7494082988278892E-3</v>
      </c>
      <c r="Y95" s="284">
        <f ca="1"/>
        <v>3.9240500609707388E-4</v>
      </c>
      <c r="Z95" s="284">
        <f ca="1"/>
        <v>5.7835369390735547E-5</v>
      </c>
      <c r="AA95" s="284">
        <f ca="1"/>
        <v>1.5046858476307966E-4</v>
      </c>
      <c r="AB95" s="284">
        <f ca="1"/>
        <v>2.2177102856126907E-5</v>
      </c>
      <c r="AC95" s="284">
        <f ca="1"/>
        <v>0.49051672058904233</v>
      </c>
      <c r="AD95" s="284">
        <f ca="1"/>
        <v>0.4741771015267916</v>
      </c>
      <c r="AE95" s="283">
        <f t="shared" ca="1" si="25"/>
        <v>1.0000000000000013</v>
      </c>
      <c r="AF95" s="418">
        <f t="shared" ca="1" si="29"/>
        <v>2.5982091873049555E-2</v>
      </c>
    </row>
    <row r="96" spans="1:32" ht="12" customHeight="1" x14ac:dyDescent="0.25">
      <c r="A96" s="262"/>
      <c r="C96" s="263"/>
      <c r="D96" s="62">
        <f t="shared" si="26"/>
        <v>86</v>
      </c>
      <c r="E96" s="63">
        <f t="shared" si="22"/>
        <v>21.5</v>
      </c>
      <c r="F96" s="63">
        <f t="shared" si="27"/>
        <v>91.5</v>
      </c>
      <c r="G96" s="62">
        <f t="shared" si="23"/>
        <v>0</v>
      </c>
      <c r="H96" s="285">
        <f t="array" aca="1" ref="H96:Q96" ca="1">MMULT(H95:Q95, OFFSET(AB.rngTPMroot, MIN(4, INT(($F95-55)/5))*10, $G96*13))</f>
        <v>5.4419058568690928E-5</v>
      </c>
      <c r="I96" s="285">
        <f ca="1"/>
        <v>0</v>
      </c>
      <c r="J96" s="285">
        <f ca="1"/>
        <v>2.5205795422719189E-2</v>
      </c>
      <c r="K96" s="285">
        <f ca="1"/>
        <v>3.715004820044639E-3</v>
      </c>
      <c r="L96" s="285">
        <f ca="1"/>
        <v>3.8880441202309113E-4</v>
      </c>
      <c r="M96" s="285">
        <f ca="1"/>
        <v>5.7304688881926294E-5</v>
      </c>
      <c r="N96" s="285">
        <f ca="1"/>
        <v>1.4908792884330146E-4</v>
      </c>
      <c r="O96" s="285">
        <f ca="1"/>
        <v>2.1973612217931215E-5</v>
      </c>
      <c r="P96" s="285">
        <f ca="1"/>
        <v>0.49140571072460809</v>
      </c>
      <c r="Q96" s="285">
        <f ca="1"/>
        <v>0.47900189933209408</v>
      </c>
      <c r="R96" s="283">
        <f t="shared" ca="1" si="24"/>
        <v>1.0000000000000009</v>
      </c>
      <c r="S96" s="418">
        <f t="shared" ca="1" si="28"/>
        <v>2.5743687763585581E-2</v>
      </c>
      <c r="U96" s="284">
        <f t="array" aca="1" ref="U96:AD96" ca="1">MMULT(U95:AD95, OFFSET(AB.rngTPMroot, MIN(4, INT(($F95-55)/5))*10, $G96*13))</f>
        <v>5.1637053067440054E-3</v>
      </c>
      <c r="V96" s="284">
        <f ca="1"/>
        <v>0</v>
      </c>
      <c r="W96" s="284">
        <f ca="1"/>
        <v>2.5225759733240195E-2</v>
      </c>
      <c r="X96" s="284">
        <f ca="1"/>
        <v>3.7179472984933673E-3</v>
      </c>
      <c r="Y96" s="284">
        <f ca="1"/>
        <v>3.8911236548710157E-4</v>
      </c>
      <c r="Z96" s="284">
        <f ca="1"/>
        <v>5.7350077197746606E-5</v>
      </c>
      <c r="AA96" s="284">
        <f ca="1"/>
        <v>1.4920601429374821E-4</v>
      </c>
      <c r="AB96" s="284">
        <f ca="1"/>
        <v>2.1991016470018081E-5</v>
      </c>
      <c r="AC96" s="284">
        <f ca="1"/>
        <v>0.4866856866471016</v>
      </c>
      <c r="AD96" s="284">
        <f ca="1"/>
        <v>0.4785892415409736</v>
      </c>
      <c r="AE96" s="283">
        <f t="shared" ca="1" si="25"/>
        <v>1.0000000000000013</v>
      </c>
      <c r="AF96" s="418">
        <f t="shared" ca="1" si="29"/>
        <v>2.5764078113021047E-2</v>
      </c>
    </row>
    <row r="97" spans="1:32" ht="12" customHeight="1" x14ac:dyDescent="0.25">
      <c r="A97" s="262"/>
      <c r="C97" s="263"/>
      <c r="D97" s="62">
        <f t="shared" si="26"/>
        <v>87</v>
      </c>
      <c r="E97" s="63">
        <f t="shared" si="22"/>
        <v>21.75</v>
      </c>
      <c r="F97" s="63">
        <f t="shared" si="27"/>
        <v>91.75</v>
      </c>
      <c r="G97" s="62">
        <f t="shared" si="23"/>
        <v>0</v>
      </c>
      <c r="H97" s="285">
        <f t="array" aca="1" ref="H97:Q97" ca="1">MMULT(H96:Q96, OFFSET(AB.rngTPMroot, MIN(4, INT(($F96-55)/5))*10, $G97*13))</f>
        <v>5.1141237772103917E-5</v>
      </c>
      <c r="I97" s="285">
        <f ca="1"/>
        <v>0</v>
      </c>
      <c r="J97" s="285">
        <f ca="1"/>
        <v>2.4994295507259481E-2</v>
      </c>
      <c r="K97" s="285">
        <f ca="1"/>
        <v>3.6838324966882549E-3</v>
      </c>
      <c r="L97" s="285">
        <f ca="1"/>
        <v>3.8554198372459249E-4</v>
      </c>
      <c r="M97" s="285">
        <f ca="1"/>
        <v>5.6823849588791037E-5</v>
      </c>
      <c r="N97" s="285">
        <f ca="1"/>
        <v>1.4783694335295664E-4</v>
      </c>
      <c r="O97" s="285">
        <f ca="1"/>
        <v>2.1789233306315992E-5</v>
      </c>
      <c r="P97" s="285">
        <f ca="1"/>
        <v>0.48728518391405895</v>
      </c>
      <c r="Q97" s="285">
        <f ca="1"/>
        <v>0.48337355483424943</v>
      </c>
      <c r="R97" s="283">
        <f t="shared" ca="1" si="24"/>
        <v>1.0000000000000009</v>
      </c>
      <c r="S97" s="418">
        <f t="shared" ca="1" si="28"/>
        <v>2.5527674434337028E-2</v>
      </c>
      <c r="U97" s="284">
        <f t="array" aca="1" ref="U97:AD97" ca="1">MMULT(U96:AD96, OFFSET(AB.rngTPMroot, MIN(4, INT(($F96-55)/5))*10, $G97*13))</f>
        <v>4.8526800687655209E-3</v>
      </c>
      <c r="V97" s="284">
        <f ca="1"/>
        <v>0</v>
      </c>
      <c r="W97" s="284">
        <f ca="1"/>
        <v>2.5014092298766836E-2</v>
      </c>
      <c r="X97" s="284">
        <f ca="1"/>
        <v>3.6867502850237489E-3</v>
      </c>
      <c r="Y97" s="284">
        <f ca="1"/>
        <v>3.8584735317446996E-4</v>
      </c>
      <c r="Z97" s="284">
        <f ca="1"/>
        <v>5.6868857054699723E-5</v>
      </c>
      <c r="AA97" s="284">
        <f ca="1"/>
        <v>1.4795403795735517E-4</v>
      </c>
      <c r="AB97" s="284">
        <f ca="1"/>
        <v>2.1806491520645136E-5</v>
      </c>
      <c r="AC97" s="284">
        <f ca="1"/>
        <v>0.48286964098441787</v>
      </c>
      <c r="AD97" s="284">
        <f ca="1"/>
        <v>0.48296435962332024</v>
      </c>
      <c r="AE97" s="283">
        <f t="shared" ca="1" si="25"/>
        <v>1.0000000000000013</v>
      </c>
      <c r="AF97" s="418">
        <f t="shared" ca="1" si="29"/>
        <v>2.5547893689898661E-2</v>
      </c>
    </row>
    <row r="98" spans="1:32" ht="12" customHeight="1" x14ac:dyDescent="0.25">
      <c r="A98" s="262"/>
      <c r="C98" s="263"/>
      <c r="D98" s="62">
        <f t="shared" si="26"/>
        <v>88</v>
      </c>
      <c r="E98" s="63">
        <f t="shared" si="22"/>
        <v>22</v>
      </c>
      <c r="F98" s="63">
        <f t="shared" si="27"/>
        <v>92</v>
      </c>
      <c r="G98" s="62">
        <f t="shared" si="23"/>
        <v>0</v>
      </c>
      <c r="H98" s="285">
        <f t="array" aca="1" ref="H98:Q98" ca="1">MMULT(H97:Q97, OFFSET(AB.rngTPMroot, MIN(4, INT(($F97-55)/5))*10, $G98*13))</f>
        <v>4.806084981351752E-5</v>
      </c>
      <c r="I98" s="285">
        <f ca="1"/>
        <v>0</v>
      </c>
      <c r="J98" s="285">
        <f ca="1"/>
        <v>2.4784570271530727E-2</v>
      </c>
      <c r="K98" s="285">
        <f ca="1"/>
        <v>3.6529217379301709E-3</v>
      </c>
      <c r="L98" s="285">
        <f ca="1"/>
        <v>3.8230693021422304E-4</v>
      </c>
      <c r="M98" s="285">
        <f ca="1"/>
        <v>5.6347044981653271E-5</v>
      </c>
      <c r="N98" s="285">
        <f ca="1"/>
        <v>1.4659645478687114E-4</v>
      </c>
      <c r="O98" s="285">
        <f ca="1"/>
        <v>2.160640150414783E-5</v>
      </c>
      <c r="P98" s="285">
        <f ca="1"/>
        <v>0.48319906220220377</v>
      </c>
      <c r="Q98" s="285">
        <f ca="1"/>
        <v>0.4877085281070358</v>
      </c>
      <c r="R98" s="283">
        <f t="shared" ca="1" si="24"/>
        <v>1.0000000000000009</v>
      </c>
      <c r="S98" s="418">
        <f t="shared" ca="1" si="28"/>
        <v>2.5313473656531821E-2</v>
      </c>
      <c r="U98" s="284">
        <f t="array" aca="1" ref="U98:AD98" ca="1">MMULT(U97:AD97, OFFSET(AB.rngTPMroot, MIN(4, INT(($F97-55)/5))*10, $G98*13))</f>
        <v>4.5603888004683091E-3</v>
      </c>
      <c r="V98" s="284">
        <f ca="1"/>
        <v>0</v>
      </c>
      <c r="W98" s="284">
        <f ca="1"/>
        <v>2.4804200949663759E-2</v>
      </c>
      <c r="X98" s="284">
        <f ca="1"/>
        <v>3.6558150433252954E-3</v>
      </c>
      <c r="Y98" s="284">
        <f ca="1"/>
        <v>3.8260973733223401E-4</v>
      </c>
      <c r="Z98" s="284">
        <f ca="1"/>
        <v>5.6391674793333023E-5</v>
      </c>
      <c r="AA98" s="284">
        <f ca="1"/>
        <v>1.4671256685933547E-4</v>
      </c>
      <c r="AB98" s="284">
        <f ca="1"/>
        <v>2.162351490611099E-5</v>
      </c>
      <c r="AC98" s="284">
        <f ca="1"/>
        <v>0.47906949129060261</v>
      </c>
      <c r="AD98" s="284">
        <f ca="1"/>
        <v>0.48730276642205039</v>
      </c>
      <c r="AE98" s="283">
        <f t="shared" ca="1" si="25"/>
        <v>1.0000000000000013</v>
      </c>
      <c r="AF98" s="418">
        <f t="shared" ca="1" si="29"/>
        <v>2.5333523253855326E-2</v>
      </c>
    </row>
    <row r="99" spans="1:32" ht="12" customHeight="1" x14ac:dyDescent="0.25">
      <c r="A99" s="262"/>
      <c r="C99" s="263"/>
      <c r="D99" s="62">
        <f t="shared" si="26"/>
        <v>89</v>
      </c>
      <c r="E99" s="63">
        <f t="shared" si="22"/>
        <v>22.25</v>
      </c>
      <c r="F99" s="63">
        <f t="shared" si="27"/>
        <v>92.25</v>
      </c>
      <c r="G99" s="62">
        <f t="shared" si="23"/>
        <v>0</v>
      </c>
      <c r="H99" s="285">
        <f t="array" aca="1" ref="H99:Q99" ca="1">MMULT(H98:Q98, OFFSET(AB.rngTPMroot, MIN(4, INT(($F98-55)/5))*10, $G99*13))</f>
        <v>4.5166002729355954E-5</v>
      </c>
      <c r="I99" s="285">
        <f ca="1"/>
        <v>0</v>
      </c>
      <c r="J99" s="285">
        <f ca="1"/>
        <v>2.4576604824330071E-2</v>
      </c>
      <c r="K99" s="285">
        <f ca="1"/>
        <v>3.622270349001702E-3</v>
      </c>
      <c r="L99" s="285">
        <f ca="1"/>
        <v>3.7909902179221428E-4</v>
      </c>
      <c r="M99" s="285">
        <f ca="1"/>
        <v>5.5874241205769145E-5</v>
      </c>
      <c r="N99" s="285">
        <f ca="1"/>
        <v>1.4536637506615063E-4</v>
      </c>
      <c r="O99" s="285">
        <f ca="1"/>
        <v>2.1425103829748831E-5</v>
      </c>
      <c r="P99" s="285">
        <f ca="1"/>
        <v>0.47914706713379152</v>
      </c>
      <c r="Q99" s="285">
        <f ca="1"/>
        <v>0.49200712694825438</v>
      </c>
      <c r="R99" s="283">
        <f t="shared" ca="1" si="24"/>
        <v>1.0000000000000009</v>
      </c>
      <c r="S99" s="418">
        <f t="shared" ca="1" si="28"/>
        <v>2.5101070221188435E-2</v>
      </c>
      <c r="U99" s="284">
        <f t="array" aca="1" ref="U99:AD99" ca="1">MMULT(U98:AD98, OFFSET(AB.rngTPMroot, MIN(4, INT(($F98-55)/5))*10, $G99*13))</f>
        <v>4.285703099468372E-3</v>
      </c>
      <c r="V99" s="284">
        <f ca="1"/>
        <v>0</v>
      </c>
      <c r="W99" s="284">
        <f ca="1"/>
        <v>2.459607078293349E-2</v>
      </c>
      <c r="X99" s="284">
        <f ca="1"/>
        <v>3.6251393768909515E-3</v>
      </c>
      <c r="Y99" s="284">
        <f ca="1"/>
        <v>3.7939928807869088E-4</v>
      </c>
      <c r="Z99" s="284">
        <f ca="1"/>
        <v>5.5918496532087943E-5</v>
      </c>
      <c r="AA99" s="284">
        <f ca="1"/>
        <v>1.4548151285103154E-4</v>
      </c>
      <c r="AB99" s="284">
        <f ca="1"/>
        <v>2.1442073634455584E-5</v>
      </c>
      <c r="AC99" s="284">
        <f ca="1"/>
        <v>0.47528607539085499</v>
      </c>
      <c r="AD99" s="284">
        <f ca="1"/>
        <v>0.49160476997875729</v>
      </c>
      <c r="AE99" s="283">
        <f t="shared" ca="1" si="25"/>
        <v>1.0000000000000013</v>
      </c>
      <c r="AF99" s="418">
        <f t="shared" ca="1" si="29"/>
        <v>2.5120951583863214E-2</v>
      </c>
    </row>
    <row r="100" spans="1:32" ht="12" customHeight="1" x14ac:dyDescent="0.25">
      <c r="A100" s="262"/>
      <c r="C100" s="263"/>
      <c r="D100" s="62">
        <f t="shared" si="26"/>
        <v>90</v>
      </c>
      <c r="E100" s="63">
        <f t="shared" si="22"/>
        <v>22.5</v>
      </c>
      <c r="F100" s="63">
        <f t="shared" si="27"/>
        <v>92.5</v>
      </c>
      <c r="G100" s="62">
        <f t="shared" si="23"/>
        <v>0</v>
      </c>
      <c r="H100" s="285">
        <f t="array" aca="1" ref="H100:Q100" ca="1">MMULT(H99:Q99, OFFSET(AB.rngTPMroot, MIN(4, INT(($F99-55)/5))*10, $G100*13))</f>
        <v>4.2445520844170159E-5</v>
      </c>
      <c r="I100" s="285">
        <f ca="1"/>
        <v>0</v>
      </c>
      <c r="J100" s="285">
        <f ca="1"/>
        <v>2.4370384399405594E-2</v>
      </c>
      <c r="K100" s="285">
        <f ca="1"/>
        <v>3.5918761535503039E-3</v>
      </c>
      <c r="L100" s="285">
        <f ca="1"/>
        <v>3.7591803068619099E-4</v>
      </c>
      <c r="M100" s="285">
        <f ca="1"/>
        <v>5.5405404690467419E-5</v>
      </c>
      <c r="N100" s="285">
        <f ca="1"/>
        <v>1.4414661685096402E-4</v>
      </c>
      <c r="O100" s="285">
        <f ca="1"/>
        <v>2.1245327410369379E-5</v>
      </c>
      <c r="P100" s="285">
        <f ca="1"/>
        <v>0.47512892197356432</v>
      </c>
      <c r="Q100" s="285">
        <f ca="1"/>
        <v>0.49626965657299854</v>
      </c>
      <c r="R100" s="283">
        <f t="shared" ca="1" si="24"/>
        <v>1.0000000000000009</v>
      </c>
      <c r="S100" s="418">
        <f t="shared" ca="1" si="28"/>
        <v>2.489044904694275E-2</v>
      </c>
      <c r="U100" s="284">
        <f t="array" aca="1" ref="U100:AD100" ca="1">MMULT(U99:AD99, OFFSET(AB.rngTPMroot, MIN(4, INT(($F99-55)/5))*10, $G100*13))</f>
        <v>4.0275625303936068E-3</v>
      </c>
      <c r="V100" s="284">
        <f ca="1"/>
        <v>0</v>
      </c>
      <c r="W100" s="284">
        <f ca="1"/>
        <v>2.4389687020628468E-2</v>
      </c>
      <c r="X100" s="284">
        <f ca="1"/>
        <v>3.5947211076443864E-3</v>
      </c>
      <c r="Y100" s="284">
        <f ca="1"/>
        <v>3.7621577746105761E-4</v>
      </c>
      <c r="Z100" s="284">
        <f ca="1"/>
        <v>5.5449288673703489E-5</v>
      </c>
      <c r="AA100" s="284">
        <f ca="1"/>
        <v>1.4426078852343465E-4</v>
      </c>
      <c r="AB100" s="284">
        <f ca="1"/>
        <v>2.126215482273339E-5</v>
      </c>
      <c r="AC100" s="284">
        <f ca="1"/>
        <v>0.47152016558157339</v>
      </c>
      <c r="AD100" s="284">
        <f ca="1"/>
        <v>0.4958706757502806</v>
      </c>
      <c r="AE100" s="283">
        <f t="shared" ca="1" si="25"/>
        <v>1.0000000000000013</v>
      </c>
      <c r="AF100" s="418">
        <f t="shared" ca="1" si="29"/>
        <v>2.4910163586612959E-2</v>
      </c>
    </row>
    <row r="101" spans="1:32" ht="12" customHeight="1" x14ac:dyDescent="0.25">
      <c r="A101" s="262"/>
      <c r="C101" s="263"/>
      <c r="D101" s="62">
        <f t="shared" si="26"/>
        <v>91</v>
      </c>
      <c r="E101" s="63">
        <f t="shared" si="22"/>
        <v>22.75</v>
      </c>
      <c r="F101" s="63">
        <f t="shared" si="27"/>
        <v>92.75</v>
      </c>
      <c r="G101" s="62">
        <f t="shared" si="23"/>
        <v>0</v>
      </c>
      <c r="H101" s="285">
        <f t="array" aca="1" ref="H101:Q101" ca="1">MMULT(H100:Q100, OFFSET(AB.rngTPMroot, MIN(4, INT(($F100-55)/5))*10, $G101*13))</f>
        <v>3.988890162648612E-5</v>
      </c>
      <c r="I101" s="285">
        <f ca="1"/>
        <v>0</v>
      </c>
      <c r="J101" s="285">
        <f ca="1"/>
        <v>2.4165894354407885E-2</v>
      </c>
      <c r="K101" s="285">
        <f ca="1"/>
        <v>3.5617369934850393E-3</v>
      </c>
      <c r="L101" s="285">
        <f ca="1"/>
        <v>3.7276373103499856E-4</v>
      </c>
      <c r="M101" s="285">
        <f ca="1"/>
        <v>5.4940502146765798E-5</v>
      </c>
      <c r="N101" s="285">
        <f ca="1"/>
        <v>1.4293709353434205E-4</v>
      </c>
      <c r="O101" s="285">
        <f ca="1"/>
        <v>2.106705948127412E-5</v>
      </c>
      <c r="P101" s="285">
        <f ca="1"/>
        <v>0.4711443517289593</v>
      </c>
      <c r="Q101" s="285">
        <f ca="1"/>
        <v>0.50049641963532487</v>
      </c>
      <c r="R101" s="283">
        <f t="shared" ca="1" si="24"/>
        <v>1.0000000000000009</v>
      </c>
      <c r="S101" s="418">
        <f t="shared" ca="1" si="28"/>
        <v>2.4681595178977226E-2</v>
      </c>
      <c r="U101" s="284">
        <f t="array" aca="1" ref="U101:AD101" ca="1">MMULT(U100:AD100, OFFSET(AB.rngTPMroot, MIN(4, INT(($F100-55)/5))*10, $G101*13))</f>
        <v>3.7849705310297279E-3</v>
      </c>
      <c r="V101" s="284">
        <f ca="1"/>
        <v>0</v>
      </c>
      <c r="W101" s="284">
        <f ca="1"/>
        <v>2.4185035008801765E-2</v>
      </c>
      <c r="X101" s="284">
        <f ca="1"/>
        <v>3.5645580757853422E-3</v>
      </c>
      <c r="Y101" s="284">
        <f ca="1"/>
        <v>3.7305897943928592E-4</v>
      </c>
      <c r="Z101" s="284">
        <f ca="1"/>
        <v>5.4984017902830735E-5</v>
      </c>
      <c r="AA101" s="284">
        <f ca="1"/>
        <v>1.4305030720097826E-4</v>
      </c>
      <c r="AB101" s="284">
        <f ca="1"/>
        <v>2.1083745696098726E-5</v>
      </c>
      <c r="AC101" s="284">
        <f ca="1"/>
        <v>0.46777247270375055</v>
      </c>
      <c r="AD101" s="284">
        <f ca="1"/>
        <v>0.50010078663039481</v>
      </c>
      <c r="AE101" s="283">
        <f t="shared" ca="1" si="25"/>
        <v>1.0000000000000013</v>
      </c>
      <c r="AF101" s="418">
        <f t="shared" ca="1" si="29"/>
        <v>2.470114429544203E-2</v>
      </c>
    </row>
    <row r="102" spans="1:32" ht="12" customHeight="1" x14ac:dyDescent="0.25">
      <c r="A102" s="262"/>
      <c r="C102" s="263"/>
      <c r="D102" s="62">
        <f t="shared" si="26"/>
        <v>92</v>
      </c>
      <c r="E102" s="63">
        <f t="shared" si="22"/>
        <v>23</v>
      </c>
      <c r="F102" s="63">
        <f t="shared" si="27"/>
        <v>93</v>
      </c>
      <c r="G102" s="62">
        <f t="shared" si="23"/>
        <v>0</v>
      </c>
      <c r="H102" s="285">
        <f t="array" aca="1" ref="H102:Q102" ca="1">MMULT(H101:Q101, OFFSET(AB.rngTPMroot, MIN(4, INT(($F101-55)/5))*10, $G102*13))</f>
        <v>3.7486275143352993E-5</v>
      </c>
      <c r="I102" s="285">
        <f ca="1"/>
        <v>0</v>
      </c>
      <c r="J102" s="285">
        <f ca="1"/>
        <v>2.396312016985036E-2</v>
      </c>
      <c r="K102" s="285">
        <f ca="1"/>
        <v>3.5318507288233493E-3</v>
      </c>
      <c r="L102" s="285">
        <f ca="1"/>
        <v>3.6963589887266629E-4</v>
      </c>
      <c r="M102" s="285">
        <f ca="1"/>
        <v>5.4479500565007282E-5</v>
      </c>
      <c r="N102" s="285">
        <f ca="1"/>
        <v>1.4173771923602804E-4</v>
      </c>
      <c r="O102" s="285">
        <f ca="1"/>
        <v>2.0890287384835613E-5</v>
      </c>
      <c r="P102" s="285">
        <f ca="1"/>
        <v>0.46719308317038261</v>
      </c>
      <c r="Q102" s="285">
        <f ca="1"/>
        <v>0.50468771624974273</v>
      </c>
      <c r="R102" s="283">
        <f t="shared" ca="1" si="24"/>
        <v>1.0000000000000009</v>
      </c>
      <c r="S102" s="418">
        <f t="shared" ca="1" si="28"/>
        <v>2.4474493787959056E-2</v>
      </c>
      <c r="U102" s="284">
        <f t="array" aca="1" ref="U102:AD102" ca="1">MMULT(U101:AD101, OFFSET(AB.rngTPMroot, MIN(4, INT(($F101-55)/5))*10, $G102*13))</f>
        <v>3.5569905650511165E-3</v>
      </c>
      <c r="V102" s="284">
        <f ca="1"/>
        <v>0</v>
      </c>
      <c r="W102" s="284">
        <f ca="1"/>
        <v>2.3982100216466618E-2</v>
      </c>
      <c r="X102" s="284">
        <f ca="1"/>
        <v>3.5346481396362809E-3</v>
      </c>
      <c r="Y102" s="284">
        <f ca="1"/>
        <v>3.6992866987001211E-4</v>
      </c>
      <c r="Z102" s="284">
        <f ca="1"/>
        <v>5.4522651183667336E-5</v>
      </c>
      <c r="AA102" s="284">
        <f ca="1"/>
        <v>1.4184998293538412E-4</v>
      </c>
      <c r="AB102" s="284">
        <f ca="1"/>
        <v>2.0906833586898644E-5</v>
      </c>
      <c r="AC102" s="284">
        <f ca="1"/>
        <v>0.46404364996995562</v>
      </c>
      <c r="AD102" s="284">
        <f ca="1"/>
        <v>0.50429540297131581</v>
      </c>
      <c r="AE102" s="283">
        <f t="shared" ca="1" si="25"/>
        <v>1.0000000000000013</v>
      </c>
      <c r="AF102" s="418">
        <f t="shared" ca="1" si="29"/>
        <v>2.4493878869272016E-2</v>
      </c>
    </row>
    <row r="103" spans="1:32" ht="12" customHeight="1" x14ac:dyDescent="0.25">
      <c r="A103" s="262"/>
      <c r="C103" s="263"/>
      <c r="D103" s="62">
        <f t="shared" si="26"/>
        <v>93</v>
      </c>
      <c r="E103" s="63">
        <f t="shared" si="22"/>
        <v>23.25</v>
      </c>
      <c r="F103" s="63">
        <f t="shared" si="27"/>
        <v>93.25</v>
      </c>
      <c r="G103" s="62">
        <f t="shared" si="23"/>
        <v>0</v>
      </c>
      <c r="H103" s="285">
        <f t="array" aca="1" ref="H103:Q103" ca="1">MMULT(H102:Q102, OFFSET(AB.rngTPMroot, MIN(4, INT(($F102-55)/5))*10, $G103*13))</f>
        <v>3.5228365957063646E-5</v>
      </c>
      <c r="I103" s="285">
        <f ca="1"/>
        <v>0</v>
      </c>
      <c r="J103" s="285">
        <f ca="1"/>
        <v>2.3762047448078367E-2</v>
      </c>
      <c r="K103" s="285">
        <f ca="1"/>
        <v>3.5022152375391038E-3</v>
      </c>
      <c r="L103" s="285">
        <f ca="1"/>
        <v>3.6653431211250485E-4</v>
      </c>
      <c r="M103" s="285">
        <f ca="1"/>
        <v>5.4022367212516422E-5</v>
      </c>
      <c r="N103" s="285">
        <f ca="1"/>
        <v>1.4054840879637999E-4</v>
      </c>
      <c r="O103" s="285">
        <f ca="1"/>
        <v>2.0714998569635622E-5</v>
      </c>
      <c r="P103" s="285">
        <f ca="1"/>
        <v>0.46327484484921183</v>
      </c>
      <c r="Q103" s="285">
        <f ca="1"/>
        <v>0.50884384401252358</v>
      </c>
      <c r="R103" s="283">
        <f t="shared" ca="1" si="24"/>
        <v>1.0000000000000009</v>
      </c>
      <c r="S103" s="418">
        <f t="shared" ca="1" si="28"/>
        <v>2.4269130168987251E-2</v>
      </c>
      <c r="U103" s="284">
        <f t="array" aca="1" ref="U103:AD103" ca="1">MMULT(U102:AD102, OFFSET(AB.rngTPMroot, MIN(4, INT(($F102-55)/5))*10, $G103*13))</f>
        <v>3.3427425064840718E-3</v>
      </c>
      <c r="V103" s="284">
        <f ca="1"/>
        <v>0</v>
      </c>
      <c r="W103" s="284">
        <f ca="1"/>
        <v>2.3780868234564663E-2</v>
      </c>
      <c r="X103" s="284">
        <f ca="1"/>
        <v>3.504989175490318E-3</v>
      </c>
      <c r="Y103" s="284">
        <f ca="1"/>
        <v>3.6682462649064264E-4</v>
      </c>
      <c r="Z103" s="284">
        <f ca="1"/>
        <v>5.4065155757611817E-5</v>
      </c>
      <c r="AA103" s="284">
        <f ca="1"/>
        <v>1.4065973049955921E-4</v>
      </c>
      <c r="AB103" s="284">
        <f ca="1"/>
        <v>2.0731405933773536E-5</v>
      </c>
      <c r="AC103" s="284">
        <f ca="1"/>
        <v>0.46033429655975411</v>
      </c>
      <c r="AD103" s="284">
        <f ca="1"/>
        <v>0.50845482260502672</v>
      </c>
      <c r="AE103" s="283">
        <f t="shared" ca="1" si="25"/>
        <v>1.0000000000000013</v>
      </c>
      <c r="AF103" s="418">
        <f t="shared" ca="1" si="29"/>
        <v>2.4288352591554863E-2</v>
      </c>
    </row>
    <row r="104" spans="1:32" ht="12" customHeight="1" x14ac:dyDescent="0.25">
      <c r="A104" s="262"/>
      <c r="C104" s="263"/>
      <c r="D104" s="62">
        <f t="shared" si="26"/>
        <v>94</v>
      </c>
      <c r="E104" s="63">
        <f t="shared" si="22"/>
        <v>23.5</v>
      </c>
      <c r="F104" s="63">
        <f t="shared" si="27"/>
        <v>93.5</v>
      </c>
      <c r="G104" s="62">
        <f t="shared" si="23"/>
        <v>0</v>
      </c>
      <c r="H104" s="285">
        <f t="array" aca="1" ref="H104:Q104" ca="1">MMULT(H103:Q103, OFFSET(AB.rngTPMroot, MIN(4, INT(($F103-55)/5))*10, $G104*13))</f>
        <v>3.3106457316948434E-5</v>
      </c>
      <c r="I104" s="285">
        <f ca="1"/>
        <v>0</v>
      </c>
      <c r="J104" s="285">
        <f ca="1"/>
        <v>2.3562661912246857E-2</v>
      </c>
      <c r="K104" s="285">
        <f ca="1"/>
        <v>3.472828415411936E-3</v>
      </c>
      <c r="L104" s="285">
        <f ca="1"/>
        <v>3.6345875053133748E-4</v>
      </c>
      <c r="M104" s="285">
        <f ca="1"/>
        <v>5.356906963127516E-5</v>
      </c>
      <c r="N104" s="285">
        <f ca="1"/>
        <v>1.3936907777032406E-4</v>
      </c>
      <c r="O104" s="285">
        <f ca="1"/>
        <v>2.0541180589573899E-5</v>
      </c>
      <c r="P104" s="285">
        <f ca="1"/>
        <v>0.45938936711367179</v>
      </c>
      <c r="Q104" s="285">
        <f ca="1"/>
        <v>0.51296509802283097</v>
      </c>
      <c r="R104" s="283">
        <f t="shared" ca="1" si="24"/>
        <v>1.0000000000000009</v>
      </c>
      <c r="S104" s="418">
        <f t="shared" ca="1" si="28"/>
        <v>2.4065489740548521E-2</v>
      </c>
      <c r="U104" s="284">
        <f t="array" aca="1" ref="U104:AD104" ca="1">MMULT(U103:AD103, OFFSET(AB.rngTPMroot, MIN(4, INT(($F103-55)/5))*10, $G104*13))</f>
        <v>3.1413992419445278E-3</v>
      </c>
      <c r="V104" s="284">
        <f ca="1"/>
        <v>0</v>
      </c>
      <c r="W104" s="284">
        <f ca="1"/>
        <v>2.3581324774942854E-2</v>
      </c>
      <c r="X104" s="284">
        <f ca="1"/>
        <v>3.4755790774604329E-3</v>
      </c>
      <c r="Y104" s="284">
        <f ca="1"/>
        <v>3.6374662890357258E-4</v>
      </c>
      <c r="Z104" s="284">
        <f ca="1"/>
        <v>5.361149914093768E-5</v>
      </c>
      <c r="AA104" s="284">
        <f ca="1"/>
        <v>1.3947946538154479E-4</v>
      </c>
      <c r="AB104" s="284">
        <f ca="1"/>
        <v>2.0557450280765182E-5</v>
      </c>
      <c r="AC104" s="284">
        <f ca="1"/>
        <v>0.45664496099752172</v>
      </c>
      <c r="AD104" s="284">
        <f ca="1"/>
        <v>0.51257934086442514</v>
      </c>
      <c r="AE104" s="283">
        <f t="shared" ca="1" si="25"/>
        <v>1.0000000000000016</v>
      </c>
      <c r="AF104" s="418">
        <f t="shared" ca="1" si="29"/>
        <v>2.4084550869227971E-2</v>
      </c>
    </row>
    <row r="105" spans="1:32" ht="12" customHeight="1" x14ac:dyDescent="0.25">
      <c r="A105" s="262"/>
      <c r="C105" s="263"/>
      <c r="D105" s="62">
        <f t="shared" si="26"/>
        <v>95</v>
      </c>
      <c r="E105" s="63">
        <f t="shared" si="22"/>
        <v>23.75</v>
      </c>
      <c r="F105" s="63">
        <f t="shared" si="27"/>
        <v>93.75</v>
      </c>
      <c r="G105" s="62">
        <f t="shared" si="23"/>
        <v>0</v>
      </c>
      <c r="H105" s="285">
        <f t="array" aca="1" ref="H105:Q105" ca="1">MMULT(H104:Q104, OFFSET(AB.rngTPMroot, MIN(4, INT(($F104-55)/5))*10, $G105*13))</f>
        <v>3.1112357508003056E-5</v>
      </c>
      <c r="I105" s="285">
        <f ca="1"/>
        <v>0</v>
      </c>
      <c r="J105" s="285">
        <f ca="1"/>
        <v>2.3364949405306725E-2</v>
      </c>
      <c r="K105" s="285">
        <f ca="1"/>
        <v>3.4436881758778295E-3</v>
      </c>
      <c r="L105" s="285">
        <f ca="1"/>
        <v>3.6040899575386347E-4</v>
      </c>
      <c r="M105" s="285">
        <f ca="1"/>
        <v>5.3119575635618183E-5</v>
      </c>
      <c r="N105" s="285">
        <f ca="1"/>
        <v>1.3819964242135852E-4</v>
      </c>
      <c r="O105" s="285">
        <f ca="1"/>
        <v>2.036882110298449E-5</v>
      </c>
      <c r="P105" s="285">
        <f ca="1"/>
        <v>0.45553638212272074</v>
      </c>
      <c r="Q105" s="285">
        <f ca="1"/>
        <v>0.51705177090367382</v>
      </c>
      <c r="R105" s="283">
        <f t="shared" ca="1" si="24"/>
        <v>1.0000000000000009</v>
      </c>
      <c r="S105" s="418">
        <f t="shared" ca="1" si="28"/>
        <v>2.3863558043481947E-2</v>
      </c>
      <c r="U105" s="284">
        <f t="array" aca="1" ref="U105:AD105" ca="1">MMULT(U104:AD104, OFFSET(AB.rngTPMroot, MIN(4, INT(($F104-55)/5))*10, $G105*13))</f>
        <v>2.9521834775330389E-3</v>
      </c>
      <c r="V105" s="284">
        <f ca="1"/>
        <v>0</v>
      </c>
      <c r="W105" s="284">
        <f ca="1"/>
        <v>2.3383455669338946E-2</v>
      </c>
      <c r="X105" s="284">
        <f ca="1"/>
        <v>3.4464157573299418E-3</v>
      </c>
      <c r="Y105" s="284">
        <f ca="1"/>
        <v>3.6069445856053644E-4</v>
      </c>
      <c r="Z105" s="284">
        <f ca="1"/>
        <v>5.3161649122486904E-5</v>
      </c>
      <c r="AA105" s="284">
        <f ca="1"/>
        <v>1.3830910377851549E-4</v>
      </c>
      <c r="AB105" s="284">
        <f ca="1"/>
        <v>2.038495427643238E-5</v>
      </c>
      <c r="AC105" s="284">
        <f ca="1"/>
        <v>0.45297614432576877</v>
      </c>
      <c r="AD105" s="284">
        <f ca="1"/>
        <v>0.51666925060429281</v>
      </c>
      <c r="AE105" s="283">
        <f t="shared" ca="1" si="25"/>
        <v>1.0000000000000016</v>
      </c>
      <c r="AF105" s="418">
        <f t="shared" ca="1" si="29"/>
        <v>2.3882459231677998E-2</v>
      </c>
    </row>
    <row r="106" spans="1:32" ht="12" customHeight="1" x14ac:dyDescent="0.25">
      <c r="A106" s="262"/>
      <c r="C106" s="263"/>
      <c r="D106" s="62">
        <f t="shared" si="26"/>
        <v>96</v>
      </c>
      <c r="E106" s="63">
        <f t="shared" ref="E106:E130" si="30">D106*AB.cycleLength</f>
        <v>24</v>
      </c>
      <c r="F106" s="63">
        <f t="shared" si="27"/>
        <v>94</v>
      </c>
      <c r="G106" s="62">
        <f t="shared" ref="G106:G130" si="31">IF(AND(E105&lt;AB.maxDurHPE, E106&gt;=AB.maxDurHPE), 1, 0)</f>
        <v>0</v>
      </c>
      <c r="H106" s="285">
        <f t="array" aca="1" ref="H106:Q106" ca="1">MMULT(H105:Q105, OFFSET(AB.rngTPMroot, MIN(4, INT(($F105-55)/5))*10, $G106*13))</f>
        <v>2.9238368226438101E-5</v>
      </c>
      <c r="I106" s="285">
        <f ca="1"/>
        <v>0</v>
      </c>
      <c r="J106" s="285">
        <f ca="1"/>
        <v>2.316889588899957E-2</v>
      </c>
      <c r="K106" s="285">
        <f ca="1"/>
        <v>3.4147924498809713E-3</v>
      </c>
      <c r="L106" s="285">
        <f ca="1"/>
        <v>3.573848312371526E-4</v>
      </c>
      <c r="M106" s="285">
        <f ca="1"/>
        <v>5.2673853309947694E-5</v>
      </c>
      <c r="N106" s="285">
        <f ca="1"/>
        <v>1.3704001971560833E-4</v>
      </c>
      <c r="O106" s="285">
        <f ca="1"/>
        <v>2.0197907871759412E-5</v>
      </c>
      <c r="P106" s="285">
        <f ca="1"/>
        <v>0.45171562385807573</v>
      </c>
      <c r="Q106" s="285">
        <f ca="1"/>
        <v>0.52110415282268374</v>
      </c>
      <c r="R106" s="283">
        <f t="shared" ref="R106:R130" ca="1" si="32">SUM(H106:Q106)</f>
        <v>1.0000000000000009</v>
      </c>
      <c r="S106" s="418">
        <f t="shared" ca="1" si="28"/>
        <v>2.3663320739952334E-2</v>
      </c>
      <c r="U106" s="284">
        <f t="array" aca="1" ref="U106:AD106" ca="1">MMULT(U105:AD105, OFFSET(AB.rngTPMroot, MIN(4, INT(($F105-55)/5))*10, $G106*13))</f>
        <v>2.7743647380599219E-3</v>
      </c>
      <c r="V106" s="284">
        <f ca="1"/>
        <v>0</v>
      </c>
      <c r="W106" s="284">
        <f ca="1"/>
        <v>2.3187246868375522E-2</v>
      </c>
      <c r="X106" s="284">
        <f ca="1"/>
        <v>3.4174971444042293E-3</v>
      </c>
      <c r="Y106" s="284">
        <f ca="1"/>
        <v>3.5766789874709052E-4</v>
      </c>
      <c r="Z106" s="284">
        <f ca="1"/>
        <v>5.2715573761382839E-5</v>
      </c>
      <c r="AA106" s="284">
        <f ca="1"/>
        <v>1.3714856259082903E-4</v>
      </c>
      <c r="AB106" s="284">
        <f ca="1"/>
        <v>2.0213905672973928E-5</v>
      </c>
      <c r="AC106" s="284">
        <f ca="1"/>
        <v>0.44932830308630028</v>
      </c>
      <c r="AD106" s="284">
        <f ca="1"/>
        <v>0.52072484222208926</v>
      </c>
      <c r="AE106" s="283">
        <f t="shared" ref="AE106:AE130" ca="1" si="33">SUM(U106:AD106)</f>
        <v>1.0000000000000016</v>
      </c>
      <c r="AF106" s="418">
        <f t="shared" ca="1" si="29"/>
        <v>2.368206332971344E-2</v>
      </c>
    </row>
    <row r="107" spans="1:32" ht="12" customHeight="1" x14ac:dyDescent="0.25">
      <c r="A107" s="262"/>
      <c r="C107" s="263"/>
      <c r="D107" s="62">
        <f t="shared" ref="D107:D130" si="34">D106+1</f>
        <v>97</v>
      </c>
      <c r="E107" s="63">
        <f t="shared" si="30"/>
        <v>24.25</v>
      </c>
      <c r="F107" s="63">
        <f t="shared" ref="F107:F130" si="35">F106+AB.cycleLength</f>
        <v>94.25</v>
      </c>
      <c r="G107" s="62">
        <f t="shared" si="31"/>
        <v>0</v>
      </c>
      <c r="H107" s="285">
        <f t="array" aca="1" ref="H107:Q107" ca="1">MMULT(H106:Q106, OFFSET(AB.rngTPMroot, MIN(4, INT(($F106-55)/5))*10, $G107*13))</f>
        <v>2.7477254860062695E-5</v>
      </c>
      <c r="I107" s="285">
        <f ca="1"/>
        <v>0</v>
      </c>
      <c r="J107" s="285">
        <f ca="1"/>
        <v>2.2974487442860968E-2</v>
      </c>
      <c r="K107" s="285">
        <f ca="1"/>
        <v>3.3861391857268348E-3</v>
      </c>
      <c r="L107" s="285">
        <f ca="1"/>
        <v>3.543860422552698E-4</v>
      </c>
      <c r="M107" s="285">
        <f ca="1"/>
        <v>5.2231871006467223E-5</v>
      </c>
      <c r="N107" s="285">
        <f ca="1"/>
        <v>1.3589012731592931E-4</v>
      </c>
      <c r="O107" s="285">
        <f ca="1"/>
        <v>2.0028428760479722E-5</v>
      </c>
      <c r="P107" s="285">
        <f ca="1"/>
        <v>0.44792682813449725</v>
      </c>
      <c r="Q107" s="285">
        <f ca="1"/>
        <v>0.52512253151271771</v>
      </c>
      <c r="R107" s="283">
        <f t="shared" ca="1" si="32"/>
        <v>1.0000000000000009</v>
      </c>
      <c r="S107" s="418">
        <f t="shared" ca="1" si="28"/>
        <v>2.3464763612432167E-2</v>
      </c>
      <c r="U107" s="284">
        <f t="array" aca="1" ref="U107:AD107" ca="1">MMULT(U106:AD106, OFFSET(AB.rngTPMroot, MIN(4, INT(($F106-55)/5))*10, $G107*13))</f>
        <v>2.6072565470159391E-3</v>
      </c>
      <c r="V107" s="284">
        <f ca="1"/>
        <v>0</v>
      </c>
      <c r="W107" s="284">
        <f ca="1"/>
        <v>2.2992684440562412E-2</v>
      </c>
      <c r="X107" s="284">
        <f ca="1"/>
        <v>3.3888211853637224E-3</v>
      </c>
      <c r="Y107" s="284">
        <f ca="1"/>
        <v>3.5466673456722585E-4</v>
      </c>
      <c r="Z107" s="284">
        <f ca="1"/>
        <v>5.2273241384762289E-5</v>
      </c>
      <c r="AA107" s="284">
        <f ca="1"/>
        <v>1.3599775941612594E-4</v>
      </c>
      <c r="AB107" s="284">
        <f ca="1"/>
        <v>2.0044292325358994E-5</v>
      </c>
      <c r="AC107" s="284">
        <f ca="1"/>
        <v>0.44570185212079505</v>
      </c>
      <c r="AD107" s="284">
        <f ca="1"/>
        <v>0.52474640367857084</v>
      </c>
      <c r="AE107" s="283">
        <f t="shared" ca="1" si="33"/>
        <v>1.0000000000000013</v>
      </c>
      <c r="AF107" s="418">
        <f t="shared" ca="1" si="29"/>
        <v>2.3483348934545765E-2</v>
      </c>
    </row>
    <row r="108" spans="1:32" ht="12" customHeight="1" x14ac:dyDescent="0.25">
      <c r="A108" s="262"/>
      <c r="C108" s="263"/>
      <c r="D108" s="62">
        <f t="shared" si="34"/>
        <v>98</v>
      </c>
      <c r="E108" s="63">
        <f t="shared" si="30"/>
        <v>24.5</v>
      </c>
      <c r="F108" s="63">
        <f t="shared" si="35"/>
        <v>94.5</v>
      </c>
      <c r="G108" s="62">
        <f t="shared" si="31"/>
        <v>0</v>
      </c>
      <c r="H108" s="285">
        <f t="array" aca="1" ref="H108:Q108" ca="1">MMULT(H107:Q107, OFFSET(AB.rngTPMroot, MIN(4, INT(($F107-55)/5))*10, $G108*13))</f>
        <v>2.5822218558768564E-5</v>
      </c>
      <c r="I108" s="285">
        <f ca="1"/>
        <v>0</v>
      </c>
      <c r="J108" s="285">
        <f ca="1"/>
        <v>2.2781710263232051E-2</v>
      </c>
      <c r="K108" s="285">
        <f ca="1"/>
        <v>3.3577263489365096E-3</v>
      </c>
      <c r="L108" s="285">
        <f ca="1"/>
        <v>3.5141241588402931E-4</v>
      </c>
      <c r="M108" s="285">
        <f ca="1"/>
        <v>5.1793597342934533E-5</v>
      </c>
      <c r="N108" s="285">
        <f ca="1"/>
        <v>1.3474988357606212E-4</v>
      </c>
      <c r="O108" s="285">
        <f ca="1"/>
        <v>1.9860371735553848E-5</v>
      </c>
      <c r="P108" s="285">
        <f ca="1"/>
        <v>0.444169732608447</v>
      </c>
      <c r="Q108" s="285">
        <f ca="1"/>
        <v>0.52910719229228809</v>
      </c>
      <c r="R108" s="283">
        <f t="shared" ca="1" si="32"/>
        <v>1.0000000000000009</v>
      </c>
      <c r="S108" s="418">
        <f t="shared" ca="1" si="28"/>
        <v>2.3267872562692145E-2</v>
      </c>
      <c r="U108" s="284">
        <f t="array" aca="1" ref="U108:AD108" ca="1">MMULT(U107:AD107, OFFSET(AB.rngTPMroot, MIN(4, INT(($F107-55)/5))*10, $G108*13))</f>
        <v>2.450213776401687E-3</v>
      </c>
      <c r="V108" s="284">
        <f ca="1"/>
        <v>0</v>
      </c>
      <c r="W108" s="284">
        <f ca="1"/>
        <v>2.2799754571307521E-2</v>
      </c>
      <c r="X108" s="284">
        <f ca="1"/>
        <v>3.3603858441180945E-3</v>
      </c>
      <c r="Y108" s="284">
        <f ca="1"/>
        <v>3.5169075292810928E-4</v>
      </c>
      <c r="Z108" s="284">
        <f ca="1"/>
        <v>5.1834620585526678E-5</v>
      </c>
      <c r="AA108" s="284">
        <f ca="1"/>
        <v>1.3485661254347876E-4</v>
      </c>
      <c r="AB108" s="284">
        <f ca="1"/>
        <v>1.9876102190464774E-5</v>
      </c>
      <c r="AC108" s="284">
        <f ca="1"/>
        <v>0.44209716720168929</v>
      </c>
      <c r="AD108" s="284">
        <f ca="1"/>
        <v>0.52873422051823726</v>
      </c>
      <c r="AE108" s="283">
        <f t="shared" ca="1" si="33"/>
        <v>1.0000000000000013</v>
      </c>
      <c r="AF108" s="418">
        <f t="shared" ca="1" si="29"/>
        <v>2.3286301936779111E-2</v>
      </c>
    </row>
    <row r="109" spans="1:32" ht="12" customHeight="1" x14ac:dyDescent="0.25">
      <c r="A109" s="262"/>
      <c r="C109" s="263"/>
      <c r="D109" s="62">
        <f t="shared" si="34"/>
        <v>99</v>
      </c>
      <c r="E109" s="63">
        <f t="shared" si="30"/>
        <v>24.75</v>
      </c>
      <c r="F109" s="63">
        <f t="shared" si="35"/>
        <v>94.75</v>
      </c>
      <c r="G109" s="62">
        <f t="shared" si="31"/>
        <v>0</v>
      </c>
      <c r="H109" s="285">
        <f t="array" aca="1" ref="H109:Q109" ca="1">MMULT(H108:Q108, OFFSET(AB.rngTPMroot, MIN(4, INT(($F108-55)/5))*10, $G109*13))</f>
        <v>2.426686998729138E-5</v>
      </c>
      <c r="I109" s="285">
        <f ca="1"/>
        <v>0</v>
      </c>
      <c r="J109" s="285">
        <f ca="1"/>
        <v>2.2590550662279395E-2</v>
      </c>
      <c r="K109" s="285">
        <f ca="1"/>
        <v>3.3295519221022423E-3</v>
      </c>
      <c r="L109" s="285">
        <f ca="1"/>
        <v>3.4846374098587577E-4</v>
      </c>
      <c r="M109" s="285">
        <f ca="1"/>
        <v>5.1359001200433464E-5</v>
      </c>
      <c r="N109" s="285">
        <f ca="1"/>
        <v>1.3361920753483491E-4</v>
      </c>
      <c r="O109" s="285">
        <f ca="1"/>
        <v>1.9693724864363184E-5</v>
      </c>
      <c r="P109" s="285">
        <f ca="1"/>
        <v>0.44044407678522529</v>
      </c>
      <c r="Q109" s="285">
        <f ca="1"/>
        <v>0.53305841808582122</v>
      </c>
      <c r="R109" s="283">
        <f t="shared" ca="1" si="32"/>
        <v>1.0000000000000009</v>
      </c>
      <c r="S109" s="418">
        <f t="shared" ca="1" si="28"/>
        <v>2.3072633610800107E-2</v>
      </c>
      <c r="U109" s="284">
        <f t="array" aca="1" ref="U109:AD109" ca="1">MMULT(U108:AD108, OFFSET(AB.rngTPMroot, MIN(4, INT(($F108-55)/5))*10, $G109*13))</f>
        <v>2.3026301561845939E-3</v>
      </c>
      <c r="V109" s="284">
        <f ca="1"/>
        <v>0</v>
      </c>
      <c r="W109" s="284">
        <f ca="1"/>
        <v>2.2608443561935945E-2</v>
      </c>
      <c r="X109" s="284">
        <f ca="1"/>
        <v>3.3321891016617E-3</v>
      </c>
      <c r="Y109" s="284">
        <f ca="1"/>
        <v>3.4873974252495362E-4</v>
      </c>
      <c r="Z109" s="284">
        <f ca="1"/>
        <v>5.1399680220112001E-5</v>
      </c>
      <c r="AA109" s="284">
        <f ca="1"/>
        <v>1.3372504094759014E-4</v>
      </c>
      <c r="AB109" s="284">
        <f ca="1"/>
        <v>1.9709323326221405E-5</v>
      </c>
      <c r="AC109" s="284">
        <f ca="1"/>
        <v>0.43851458750359446</v>
      </c>
      <c r="AD109" s="284">
        <f ca="1"/>
        <v>0.53268857588960594</v>
      </c>
      <c r="AE109" s="283">
        <f t="shared" ca="1" si="33"/>
        <v>1.0000000000000016</v>
      </c>
      <c r="AF109" s="418">
        <f t="shared" ca="1" si="29"/>
        <v>2.3090908345408487E-2</v>
      </c>
    </row>
    <row r="110" spans="1:32" ht="12" customHeight="1" x14ac:dyDescent="0.25">
      <c r="A110" s="262"/>
      <c r="C110" s="263"/>
      <c r="D110" s="62">
        <f t="shared" si="34"/>
        <v>100</v>
      </c>
      <c r="E110" s="63">
        <f t="shared" si="30"/>
        <v>25</v>
      </c>
      <c r="F110" s="63">
        <f t="shared" si="35"/>
        <v>95</v>
      </c>
      <c r="G110" s="62">
        <f t="shared" si="31"/>
        <v>0</v>
      </c>
      <c r="H110" s="285">
        <f t="array" aca="1" ref="H110:Q110" ca="1">MMULT(H109:Q109, OFFSET(AB.rngTPMroot, MIN(4, INT(($F109-55)/5))*10, $G110*13))</f>
        <v>2.280520465892092E-5</v>
      </c>
      <c r="I110" s="285">
        <f ca="1"/>
        <v>0</v>
      </c>
      <c r="J110" s="285">
        <f ca="1"/>
        <v>2.2400995067023158E-2</v>
      </c>
      <c r="K110" s="285">
        <f ca="1"/>
        <v>3.3016139047441933E-3</v>
      </c>
      <c r="L110" s="285">
        <f ca="1"/>
        <v>3.4553980819489313E-4</v>
      </c>
      <c r="M110" s="285">
        <f ca="1"/>
        <v>5.0928051721164255E-5</v>
      </c>
      <c r="N110" s="285">
        <f ca="1"/>
        <v>1.3249801891041486E-4</v>
      </c>
      <c r="O110" s="285">
        <f ca="1"/>
        <v>1.9528476314414814E-5</v>
      </c>
      <c r="P110" s="285">
        <f ca="1"/>
        <v>0.43674960202468754</v>
      </c>
      <c r="Q110" s="285">
        <f ca="1"/>
        <v>0.53697648944374621</v>
      </c>
      <c r="R110" s="283">
        <f t="shared" ca="1" si="32"/>
        <v>1.0000000000000009</v>
      </c>
      <c r="S110" s="418">
        <f t="shared" ca="1" si="28"/>
        <v>2.2879032894128463E-2</v>
      </c>
      <c r="U110" s="284">
        <f t="array" aca="1" ref="U110:AD110" ca="1">MMULT(U109:AD109, OFFSET(AB.rngTPMroot, MIN(4, INT(($F109-55)/5))*10, $G110*13))</f>
        <v>2.1639359337686874E-3</v>
      </c>
      <c r="V110" s="284">
        <f ca="1"/>
        <v>0</v>
      </c>
      <c r="W110" s="284">
        <f ca="1"/>
        <v>2.2418737828717342E-2</v>
      </c>
      <c r="X110" s="284">
        <f ca="1"/>
        <v>3.3042289559302141E-3</v>
      </c>
      <c r="Y110" s="284">
        <f ca="1"/>
        <v>3.4581349382601409E-4</v>
      </c>
      <c r="Z110" s="284">
        <f ca="1"/>
        <v>5.0968389406277518E-5</v>
      </c>
      <c r="AA110" s="284">
        <f ca="1"/>
        <v>1.3260296428303984E-4</v>
      </c>
      <c r="AB110" s="284">
        <f ca="1"/>
        <v>1.954394389076401E-5</v>
      </c>
      <c r="AC110" s="284">
        <f ca="1"/>
        <v>0.43495441792486272</v>
      </c>
      <c r="AD110" s="284">
        <f ca="1"/>
        <v>0.53660975056531646</v>
      </c>
      <c r="AE110" s="283">
        <f t="shared" ca="1" si="33"/>
        <v>1.0000000000000016</v>
      </c>
      <c r="AF110" s="418">
        <f t="shared" ca="1" si="29"/>
        <v>2.2897154286826399E-2</v>
      </c>
    </row>
    <row r="111" spans="1:32" ht="12" customHeight="1" x14ac:dyDescent="0.25">
      <c r="A111" s="262"/>
      <c r="C111" s="263"/>
      <c r="D111" s="62">
        <f t="shared" si="34"/>
        <v>101</v>
      </c>
      <c r="E111" s="63">
        <f t="shared" si="30"/>
        <v>25.25</v>
      </c>
      <c r="F111" s="63">
        <f t="shared" si="35"/>
        <v>95.25</v>
      </c>
      <c r="G111" s="62">
        <f t="shared" si="31"/>
        <v>0</v>
      </c>
      <c r="H111" s="285">
        <f t="array" aca="1" ref="H111:Q111" ca="1">MMULT(H110:Q110, OFFSET(AB.rngTPMroot, MIN(4, INT(($F110-55)/5))*10, $G111*13))</f>
        <v>2.1431579754934786E-5</v>
      </c>
      <c r="I111" s="285">
        <f ca="1"/>
        <v>0</v>
      </c>
      <c r="J111" s="285">
        <f ca="1"/>
        <v>2.2213030018373339E-2</v>
      </c>
      <c r="K111" s="285">
        <f ca="1"/>
        <v>3.2739103131684002E-3</v>
      </c>
      <c r="L111" s="285">
        <f ca="1"/>
        <v>3.426404099019389E-4</v>
      </c>
      <c r="M111" s="285">
        <f ca="1"/>
        <v>5.0500718306252641E-5</v>
      </c>
      <c r="N111" s="285">
        <f ca="1"/>
        <v>1.3138623809460799E-4</v>
      </c>
      <c r="O111" s="285">
        <f ca="1"/>
        <v>1.9364614352501366E-5</v>
      </c>
      <c r="P111" s="285">
        <f ca="1"/>
        <v>0.43308605154563418</v>
      </c>
      <c r="Q111" s="285">
        <f ca="1"/>
        <v>0.54086168456241479</v>
      </c>
      <c r="R111" s="283">
        <f t="shared" ca="1" si="32"/>
        <v>1.0000000000000009</v>
      </c>
      <c r="S111" s="418">
        <f t="shared" ca="1" si="28"/>
        <v>2.2687056666369887E-2</v>
      </c>
      <c r="U111" s="284">
        <f t="array" aca="1" ref="U111:AD111" ca="1">MMULT(U110:AD110, OFFSET(AB.rngTPMroot, MIN(4, INT(($F110-55)/5))*10, $G111*13))</f>
        <v>2.0335956744414198E-3</v>
      </c>
      <c r="V111" s="284">
        <f ca="1"/>
        <v>0</v>
      </c>
      <c r="W111" s="284">
        <f ca="1"/>
        <v>2.2230623901901395E-2</v>
      </c>
      <c r="X111" s="284">
        <f ca="1"/>
        <v>3.2765034216584864E-3</v>
      </c>
      <c r="Y111" s="284">
        <f ca="1"/>
        <v>3.4291179905771067E-4</v>
      </c>
      <c r="Z111" s="284">
        <f ca="1"/>
        <v>5.054071752091306E-5</v>
      </c>
      <c r="AA111" s="284">
        <f ca="1"/>
        <v>1.3149030287858002E-4</v>
      </c>
      <c r="AB111" s="284">
        <f ca="1"/>
        <v>1.9379952141591904E-5</v>
      </c>
      <c r="AC111" s="284">
        <f ca="1"/>
        <v>0.4314169312683348</v>
      </c>
      <c r="AD111" s="284">
        <f ca="1"/>
        <v>0.54049802296206662</v>
      </c>
      <c r="AE111" s="283">
        <f t="shared" ca="1" si="33"/>
        <v>1.0000000000000016</v>
      </c>
      <c r="AF111" s="418">
        <f t="shared" ca="1" si="29"/>
        <v>2.2705026003837687E-2</v>
      </c>
    </row>
    <row r="112" spans="1:32" ht="12" customHeight="1" x14ac:dyDescent="0.25">
      <c r="A112" s="262"/>
      <c r="C112" s="263"/>
      <c r="D112" s="62">
        <f t="shared" si="34"/>
        <v>102</v>
      </c>
      <c r="E112" s="63">
        <f t="shared" si="30"/>
        <v>25.5</v>
      </c>
      <c r="F112" s="63">
        <f t="shared" si="35"/>
        <v>95.5</v>
      </c>
      <c r="G112" s="62">
        <f t="shared" si="31"/>
        <v>0</v>
      </c>
      <c r="H112" s="285">
        <f t="array" aca="1" ref="H112:Q112" ca="1">MMULT(H111:Q111, OFFSET(AB.rngTPMroot, MIN(4, INT(($F111-55)/5))*10, $G112*13))</f>
        <v>2.0140692340266152E-5</v>
      </c>
      <c r="I112" s="285">
        <f ca="1"/>
        <v>0</v>
      </c>
      <c r="J112" s="285">
        <f ca="1"/>
        <v>2.2026642170174134E-2</v>
      </c>
      <c r="K112" s="285">
        <f ca="1"/>
        <v>3.2464391803259242E-3</v>
      </c>
      <c r="L112" s="285">
        <f ca="1"/>
        <v>3.397653402399031E-4</v>
      </c>
      <c r="M112" s="285">
        <f ca="1"/>
        <v>5.0076970613577168E-5</v>
      </c>
      <c r="N112" s="285">
        <f ca="1"/>
        <v>1.3028378614720655E-4</v>
      </c>
      <c r="O112" s="285">
        <f ca="1"/>
        <v>1.920212734386793E-5</v>
      </c>
      <c r="P112" s="285">
        <f ca="1"/>
        <v>0.42945317042896192</v>
      </c>
      <c r="Q112" s="285">
        <f ca="1"/>
        <v>0.54471427930385419</v>
      </c>
      <c r="R112" s="283">
        <f t="shared" ca="1" si="32"/>
        <v>1.0000000000000009</v>
      </c>
      <c r="S112" s="418">
        <f t="shared" ca="1" si="28"/>
        <v>2.2496691296561247E-2</v>
      </c>
      <c r="U112" s="284">
        <f t="array" aca="1" ref="U112:AD112" ca="1">MMULT(U111:AD111, OFFSET(AB.rngTPMroot, MIN(4, INT(($F111-55)/5))*10, $G112*13))</f>
        <v>1.9111061943060817E-3</v>
      </c>
      <c r="V112" s="284">
        <f ca="1"/>
        <v>0</v>
      </c>
      <c r="W112" s="284">
        <f ca="1"/>
        <v>2.2044088424761448E-2</v>
      </c>
      <c r="X112" s="284">
        <f ca="1"/>
        <v>3.2490105302395707E-3</v>
      </c>
      <c r="Y112" s="284">
        <f ca="1"/>
        <v>3.40034452189876E-4</v>
      </c>
      <c r="Z112" s="284">
        <f ca="1"/>
        <v>5.01166341978646E-5</v>
      </c>
      <c r="AA112" s="284">
        <f ca="1"/>
        <v>1.3038697773147813E-4</v>
      </c>
      <c r="AB112" s="284">
        <f ca="1"/>
        <v>1.9217336434734847E-5</v>
      </c>
      <c r="AC112" s="284">
        <f ca="1"/>
        <v>0.42790237028975958</v>
      </c>
      <c r="AD112" s="284">
        <f ca="1"/>
        <v>0.54435366916038086</v>
      </c>
      <c r="AE112" s="283">
        <f t="shared" ca="1" si="33"/>
        <v>1.0000000000000016</v>
      </c>
      <c r="AF112" s="418">
        <f t="shared" ca="1" si="29"/>
        <v>2.2514509854682802E-2</v>
      </c>
    </row>
    <row r="113" spans="1:32" ht="12" customHeight="1" x14ac:dyDescent="0.25">
      <c r="A113" s="262"/>
      <c r="C113" s="263"/>
      <c r="D113" s="62">
        <f t="shared" si="34"/>
        <v>103</v>
      </c>
      <c r="E113" s="63">
        <f t="shared" si="30"/>
        <v>25.75</v>
      </c>
      <c r="F113" s="63">
        <f t="shared" si="35"/>
        <v>95.75</v>
      </c>
      <c r="G113" s="62">
        <f t="shared" si="31"/>
        <v>0</v>
      </c>
      <c r="H113" s="285">
        <f t="array" aca="1" ref="H113:Q113" ca="1">MMULT(H112:Q112, OFFSET(AB.rngTPMroot, MIN(4, INT(($F112-55)/5))*10, $G113*13))</f>
        <v>1.8927558891306285E-5</v>
      </c>
      <c r="I113" s="285">
        <f ca="1"/>
        <v>0</v>
      </c>
      <c r="J113" s="285">
        <f ca="1"/>
        <v>2.1841818288256321E-2</v>
      </c>
      <c r="K113" s="285">
        <f ca="1"/>
        <v>3.2191985556731849E-3</v>
      </c>
      <c r="L113" s="285">
        <f ca="1"/>
        <v>3.36914395069091E-4</v>
      </c>
      <c r="M113" s="285">
        <f ca="1"/>
        <v>4.9656778555614835E-5</v>
      </c>
      <c r="N113" s="285">
        <f ca="1"/>
        <v>1.2919058479038409E-4</v>
      </c>
      <c r="O113" s="285">
        <f ca="1"/>
        <v>1.904100375138594E-5</v>
      </c>
      <c r="P113" s="285">
        <f ca="1"/>
        <v>0.42585070561965943</v>
      </c>
      <c r="Q113" s="285">
        <f ca="1"/>
        <v>0.54853454721535422</v>
      </c>
      <c r="R113" s="283">
        <f t="shared" ca="1" si="32"/>
        <v>1.0000000000000009</v>
      </c>
      <c r="S113" s="418">
        <f t="shared" ca="1" si="28"/>
        <v>2.2307923268115797E-2</v>
      </c>
      <c r="U113" s="284">
        <f t="array" aca="1" ref="U113:AD113" ca="1">MMULT(U112:AD112, OFFSET(AB.rngTPMroot, MIN(4, INT(($F112-55)/5))*10, $G113*13))</f>
        <v>1.7959946177198089E-3</v>
      </c>
      <c r="V113" s="284">
        <f ca="1"/>
        <v>0</v>
      </c>
      <c r="W113" s="284">
        <f ca="1"/>
        <v>2.1859118152646129E-2</v>
      </c>
      <c r="X113" s="284">
        <f ca="1"/>
        <v>3.2217483295849539E-3</v>
      </c>
      <c r="Y113" s="284">
        <f ca="1"/>
        <v>3.3718124892112588E-4</v>
      </c>
      <c r="Z113" s="284">
        <f ca="1"/>
        <v>4.9696109325778261E-5</v>
      </c>
      <c r="AA113" s="284">
        <f ca="1"/>
        <v>1.292929105019076E-4</v>
      </c>
      <c r="AB113" s="284">
        <f ca="1"/>
        <v>1.9056085223926249E-5</v>
      </c>
      <c r="AC113" s="284">
        <f ca="1"/>
        <v>0.42441094962186499</v>
      </c>
      <c r="AD113" s="284">
        <f ca="1"/>
        <v>0.54817696292421292</v>
      </c>
      <c r="AE113" s="283">
        <f t="shared" ca="1" si="33"/>
        <v>1.0000000000000016</v>
      </c>
      <c r="AF113" s="418">
        <f t="shared" ca="1" si="29"/>
        <v>2.232559231206916E-2</v>
      </c>
    </row>
    <row r="114" spans="1:32" ht="12" customHeight="1" x14ac:dyDescent="0.25">
      <c r="A114" s="262"/>
      <c r="C114" s="263"/>
      <c r="D114" s="62">
        <f t="shared" si="34"/>
        <v>104</v>
      </c>
      <c r="E114" s="63">
        <f t="shared" si="30"/>
        <v>26</v>
      </c>
      <c r="F114" s="63">
        <f t="shared" si="35"/>
        <v>96</v>
      </c>
      <c r="G114" s="62">
        <f t="shared" si="31"/>
        <v>0</v>
      </c>
      <c r="H114" s="285">
        <f t="array" aca="1" ref="H114:Q114" ca="1">MMULT(H113:Q113, OFFSET(AB.rngTPMroot, MIN(4, INT(($F113-55)/5))*10, $G114*13))</f>
        <v>1.7787496056808017E-5</v>
      </c>
      <c r="I114" s="285">
        <f ca="1"/>
        <v>0</v>
      </c>
      <c r="J114" s="285">
        <f ca="1"/>
        <v>2.1658545249497594E-2</v>
      </c>
      <c r="K114" s="285">
        <f ca="1"/>
        <v>3.1921865050334648E-3</v>
      </c>
      <c r="L114" s="285">
        <f ca="1"/>
        <v>3.3408737196272847E-4</v>
      </c>
      <c r="M114" s="285">
        <f ca="1"/>
        <v>4.9240112297304738E-5</v>
      </c>
      <c r="N114" s="285">
        <f ca="1"/>
        <v>1.2810655640313755E-4</v>
      </c>
      <c r="O114" s="285">
        <f ca="1"/>
        <v>1.8881232134733986E-5</v>
      </c>
      <c r="P114" s="285">
        <f ca="1"/>
        <v>0.42227840592772481</v>
      </c>
      <c r="Q114" s="285">
        <f ca="1"/>
        <v>0.55232275954889032</v>
      </c>
      <c r="R114" s="283">
        <f t="shared" ca="1" si="32"/>
        <v>1.0000000000000009</v>
      </c>
      <c r="S114" s="418">
        <f t="shared" ca="1" si="28"/>
        <v>2.212073917786346E-2</v>
      </c>
      <c r="U114" s="284">
        <f t="array" aca="1" ref="U114:AD114" ca="1">MMULT(U113:AD113, OFFSET(AB.rngTPMroot, MIN(4, INT(($F113-55)/5))*10, $G114*13))</f>
        <v>1.6878165517378429E-3</v>
      </c>
      <c r="V114" s="284">
        <f ca="1"/>
        <v>0</v>
      </c>
      <c r="W114" s="284">
        <f ca="1"/>
        <v>2.167569995203892E-2</v>
      </c>
      <c r="X114" s="284">
        <f ca="1"/>
        <v>3.1947148839859508E-3</v>
      </c>
      <c r="Y114" s="284">
        <f ca="1"/>
        <v>3.3435198666435383E-4</v>
      </c>
      <c r="Z114" s="284">
        <f ca="1"/>
        <v>4.9279113045962186E-5</v>
      </c>
      <c r="AA114" s="284">
        <f ca="1"/>
        <v>1.2820802350738548E-4</v>
      </c>
      <c r="AB114" s="284">
        <f ca="1"/>
        <v>1.8896187059783377E-5</v>
      </c>
      <c r="AC114" s="284">
        <f ca="1"/>
        <v>0.42094285758157746</v>
      </c>
      <c r="AD114" s="284">
        <f ca="1"/>
        <v>0.55196817572038381</v>
      </c>
      <c r="AE114" s="283">
        <f t="shared" ca="1" si="33"/>
        <v>1.0000000000000013</v>
      </c>
      <c r="AF114" s="418">
        <f t="shared" ca="1" si="29"/>
        <v>2.2138259962210659E-2</v>
      </c>
    </row>
    <row r="115" spans="1:32" ht="12" customHeight="1" x14ac:dyDescent="0.25">
      <c r="A115" s="262"/>
      <c r="C115" s="263"/>
      <c r="D115" s="62">
        <f t="shared" si="34"/>
        <v>105</v>
      </c>
      <c r="E115" s="63">
        <f t="shared" si="30"/>
        <v>26.25</v>
      </c>
      <c r="F115" s="63">
        <f t="shared" si="35"/>
        <v>96.25</v>
      </c>
      <c r="G115" s="62">
        <f t="shared" si="31"/>
        <v>0</v>
      </c>
      <c r="H115" s="285">
        <f t="array" aca="1" ref="H115:Q115" ca="1">MMULT(H114:Q114, OFFSET(AB.rngTPMroot, MIN(4, INT(($F114-55)/5))*10, $G115*13))</f>
        <v>1.6716102577616903E-5</v>
      </c>
      <c r="I115" s="285">
        <f ca="1"/>
        <v>0</v>
      </c>
      <c r="J115" s="285">
        <f ca="1"/>
        <v>2.1476810040890758E-2</v>
      </c>
      <c r="K115" s="285">
        <f ca="1"/>
        <v>3.1654011104595781E-3</v>
      </c>
      <c r="L115" s="285">
        <f ca="1"/>
        <v>3.3128407019258926E-4</v>
      </c>
      <c r="M115" s="285">
        <f ca="1"/>
        <v>4.8826942253929717E-5</v>
      </c>
      <c r="N115" s="285">
        <f ca="1"/>
        <v>1.2703162401577568E-4</v>
      </c>
      <c r="O115" s="285">
        <f ca="1"/>
        <v>1.8722801149585547E-5</v>
      </c>
      <c r="P115" s="285">
        <f ca="1"/>
        <v>0.41873602202807791</v>
      </c>
      <c r="Q115" s="285">
        <f ca="1"/>
        <v>0.55607918528038314</v>
      </c>
      <c r="R115" s="283">
        <f t="shared" ca="1" si="32"/>
        <v>1.0000000000000009</v>
      </c>
      <c r="S115" s="418">
        <f t="shared" ca="1" si="28"/>
        <v>2.1935125735099124E-2</v>
      </c>
      <c r="U115" s="284">
        <f t="array" aca="1" ref="U115:AD115" ca="1">MMULT(U114:AD114, OFFSET(AB.rngTPMroot, MIN(4, INT(($F114-55)/5))*10, $G115*13))</f>
        <v>1.5861543705164092E-3</v>
      </c>
      <c r="V115" s="284">
        <f ca="1"/>
        <v>0</v>
      </c>
      <c r="W115" s="284">
        <f ca="1"/>
        <v>2.1493820799625654E-2</v>
      </c>
      <c r="X115" s="284">
        <f ca="1"/>
        <v>3.1679082739762584E-3</v>
      </c>
      <c r="Y115" s="284">
        <f ca="1"/>
        <v>3.3154646453234602E-4</v>
      </c>
      <c r="Z115" s="284">
        <f ca="1"/>
        <v>4.8865615750266605E-5</v>
      </c>
      <c r="AA115" s="284">
        <f ca="1"/>
        <v>1.2713223971725648E-4</v>
      </c>
      <c r="AB115" s="284">
        <f ca="1"/>
        <v>1.8737630588994409E-5</v>
      </c>
      <c r="AC115" s="284">
        <f ca="1"/>
        <v>0.41749825786743699</v>
      </c>
      <c r="AD115" s="284">
        <f ca="1"/>
        <v>0.55572757673785733</v>
      </c>
      <c r="AE115" s="283">
        <f t="shared" ca="1" si="33"/>
        <v>1.0000000000000016</v>
      </c>
      <c r="AF115" s="418">
        <f t="shared" ca="1" si="29"/>
        <v>2.1952499503875254E-2</v>
      </c>
    </row>
    <row r="116" spans="1:32" ht="12" customHeight="1" x14ac:dyDescent="0.25">
      <c r="A116" s="262"/>
      <c r="C116" s="263"/>
      <c r="D116" s="62">
        <f t="shared" si="34"/>
        <v>106</v>
      </c>
      <c r="E116" s="63">
        <f t="shared" si="30"/>
        <v>26.5</v>
      </c>
      <c r="F116" s="63">
        <f t="shared" si="35"/>
        <v>96.5</v>
      </c>
      <c r="G116" s="62">
        <f t="shared" si="31"/>
        <v>0</v>
      </c>
      <c r="H116" s="285">
        <f t="array" aca="1" ref="H116:Q116" ca="1">MMULT(H115:Q115, OFFSET(AB.rngTPMroot, MIN(4, INT(($F115-55)/5))*10, $G116*13))</f>
        <v>1.5709242295430428E-5</v>
      </c>
      <c r="I116" s="285">
        <f ca="1"/>
        <v>0</v>
      </c>
      <c r="J116" s="285">
        <f ca="1"/>
        <v>2.1296599758619784E-2</v>
      </c>
      <c r="K116" s="285">
        <f ca="1"/>
        <v>3.1388404700976856E-3</v>
      </c>
      <c r="L116" s="285">
        <f ca="1"/>
        <v>3.285042907147424E-4</v>
      </c>
      <c r="M116" s="285">
        <f ca="1"/>
        <v>4.841723908901573E-5</v>
      </c>
      <c r="N116" s="285">
        <f ca="1"/>
        <v>1.2596571130445413E-4</v>
      </c>
      <c r="O116" s="285">
        <f ca="1"/>
        <v>1.8565699546803469E-5</v>
      </c>
      <c r="P116" s="285">
        <f ca="1"/>
        <v>0.41522330645953615</v>
      </c>
      <c r="Q116" s="285">
        <f ca="1"/>
        <v>0.55980409112879681</v>
      </c>
      <c r="R116" s="283">
        <f t="shared" ca="1" si="32"/>
        <v>1.0000000000000009</v>
      </c>
      <c r="S116" s="418">
        <f t="shared" ca="1" si="28"/>
        <v>2.175106976063898E-2</v>
      </c>
      <c r="U116" s="284">
        <f t="array" aca="1" ref="U116:AD116" ca="1">MMULT(U115:AD115, OFFSET(AB.rngTPMroot, MIN(4, INT(($F115-55)/5))*10, $G116*13))</f>
        <v>1.4906156030510842E-3</v>
      </c>
      <c r="V116" s="284">
        <f ca="1"/>
        <v>0</v>
      </c>
      <c r="W116" s="284">
        <f ca="1"/>
        <v>2.1313467781369801E-2</v>
      </c>
      <c r="X116" s="284">
        <f ca="1"/>
        <v>3.1413265961956721E-3</v>
      </c>
      <c r="Y116" s="284">
        <f ca="1"/>
        <v>3.2876448332351847E-4</v>
      </c>
      <c r="Z116" s="284">
        <f ca="1"/>
        <v>4.8455588078981416E-5</v>
      </c>
      <c r="AA116" s="284">
        <f ca="1"/>
        <v>1.2606548274722381E-4</v>
      </c>
      <c r="AB116" s="284">
        <f ca="1"/>
        <v>1.8580404553512284E-5</v>
      </c>
      <c r="AC116" s="284">
        <f ca="1"/>
        <v>0.4140772911538288</v>
      </c>
      <c r="AD116" s="284">
        <f ca="1"/>
        <v>0.55945543290685296</v>
      </c>
      <c r="AE116" s="283">
        <f t="shared" ca="1" si="33"/>
        <v>1.0000000000000016</v>
      </c>
      <c r="AF116" s="418">
        <f t="shared" ca="1" si="29"/>
        <v>2.1768297747440542E-2</v>
      </c>
    </row>
    <row r="117" spans="1:32" ht="12" customHeight="1" x14ac:dyDescent="0.25">
      <c r="A117" s="262"/>
      <c r="C117" s="263"/>
      <c r="D117" s="62">
        <f t="shared" si="34"/>
        <v>107</v>
      </c>
      <c r="E117" s="63">
        <f t="shared" si="30"/>
        <v>26.75</v>
      </c>
      <c r="F117" s="63">
        <f t="shared" si="35"/>
        <v>96.75</v>
      </c>
      <c r="G117" s="62">
        <f t="shared" si="31"/>
        <v>0</v>
      </c>
      <c r="H117" s="285">
        <f t="array" aca="1" ref="H117:Q117" ca="1">MMULT(H116:Q116, OFFSET(AB.rngTPMroot, MIN(4, INT(($F116-55)/5))*10, $G117*13))</f>
        <v>1.4763028184989877E-5</v>
      </c>
      <c r="I117" s="285">
        <f ca="1"/>
        <v>0</v>
      </c>
      <c r="J117" s="285">
        <f ca="1"/>
        <v>2.1117901607143573E-2</v>
      </c>
      <c r="K117" s="285">
        <f ca="1"/>
        <v>3.112502698052261E-3</v>
      </c>
      <c r="L117" s="285">
        <f ca="1"/>
        <v>3.257478361554193E-4</v>
      </c>
      <c r="M117" s="285">
        <f ca="1"/>
        <v>4.8010973712248868E-5</v>
      </c>
      <c r="N117" s="285">
        <f ca="1"/>
        <v>1.2490874258575617E-4</v>
      </c>
      <c r="O117" s="285">
        <f ca="1"/>
        <v>1.8409916171641257E-5</v>
      </c>
      <c r="P117" s="285">
        <f ca="1"/>
        <v>0.41174001362291812</v>
      </c>
      <c r="Q117" s="285">
        <f ca="1"/>
        <v>0.56349774157507693</v>
      </c>
      <c r="R117" s="283">
        <f t="shared" ca="1" si="32"/>
        <v>1.0000000000000009</v>
      </c>
      <c r="S117" s="418">
        <f t="shared" ca="1" si="28"/>
        <v>2.156855818588475E-2</v>
      </c>
      <c r="U117" s="284">
        <f t="array" aca="1" ref="U117:AD117" ca="1">MMULT(U116:AD116, OFFSET(AB.rngTPMroot, MIN(4, INT(($F116-55)/5))*10, $G117*13))</f>
        <v>1.4008314180264467E-3</v>
      </c>
      <c r="V117" s="284">
        <f ca="1"/>
        <v>0</v>
      </c>
      <c r="W117" s="284">
        <f ca="1"/>
        <v>2.1134628091595522E-2</v>
      </c>
      <c r="X117" s="284">
        <f ca="1"/>
        <v>3.1149679632549369E-3</v>
      </c>
      <c r="Y117" s="284">
        <f ca="1"/>
        <v>3.2600584550777212E-4</v>
      </c>
      <c r="Z117" s="284">
        <f ca="1"/>
        <v>4.8049000918751681E-5</v>
      </c>
      <c r="AA117" s="284">
        <f ca="1"/>
        <v>1.2500767685392542E-4</v>
      </c>
      <c r="AB117" s="284">
        <f ca="1"/>
        <v>1.8424497789755368E-5</v>
      </c>
      <c r="AC117" s="284">
        <f ca="1"/>
        <v>0.4106800765882555</v>
      </c>
      <c r="AD117" s="284">
        <f ca="1"/>
        <v>0.56315200891779893</v>
      </c>
      <c r="AE117" s="283">
        <f t="shared" ca="1" si="33"/>
        <v>1.0000000000000016</v>
      </c>
      <c r="AF117" s="418">
        <f t="shared" ca="1" si="29"/>
        <v>2.1585641613957221E-2</v>
      </c>
    </row>
    <row r="118" spans="1:32" ht="12" customHeight="1" x14ac:dyDescent="0.25">
      <c r="A118" s="262"/>
      <c r="C118" s="263"/>
      <c r="D118" s="62">
        <f t="shared" si="34"/>
        <v>108</v>
      </c>
      <c r="E118" s="63">
        <f t="shared" si="30"/>
        <v>27</v>
      </c>
      <c r="F118" s="63">
        <f t="shared" si="35"/>
        <v>97</v>
      </c>
      <c r="G118" s="62">
        <f t="shared" si="31"/>
        <v>0</v>
      </c>
      <c r="H118" s="285">
        <f t="array" aca="1" ref="H118:Q118" ca="1">MMULT(H117:Q117, OFFSET(AB.rngTPMroot, MIN(4, INT(($F117-55)/5))*10, $G118*13))</f>
        <v>1.3873807348060504E-5</v>
      </c>
      <c r="I118" s="285">
        <f ca="1"/>
        <v>0</v>
      </c>
      <c r="J118" s="285">
        <f ca="1"/>
        <v>2.0940702898287453E-2</v>
      </c>
      <c r="K118" s="285">
        <f ca="1"/>
        <v>3.0863859242521836E-3</v>
      </c>
      <c r="L118" s="285">
        <f ca="1"/>
        <v>3.2301451079699969E-4</v>
      </c>
      <c r="M118" s="285">
        <f ca="1"/>
        <v>4.7608117277409825E-5</v>
      </c>
      <c r="N118" s="285">
        <f ca="1"/>
        <v>1.2386064281131882E-4</v>
      </c>
      <c r="O118" s="285">
        <f ca="1"/>
        <v>1.8255439962951058E-5</v>
      </c>
      <c r="P118" s="285">
        <f ca="1"/>
        <v>0.40828589977833518</v>
      </c>
      <c r="Q118" s="285">
        <f ca="1"/>
        <v>0.5671603988809294</v>
      </c>
      <c r="R118" s="283">
        <f t="shared" ca="1" si="32"/>
        <v>1.0000000000000009</v>
      </c>
      <c r="S118" s="418">
        <f t="shared" ca="1" si="28"/>
        <v>2.138757805189577E-2</v>
      </c>
      <c r="U118" s="284">
        <f t="array" aca="1" ref="U118:AD118" ca="1">MMULT(U117:AD117, OFFSET(AB.rngTPMroot, MIN(4, INT(($F117-55)/5))*10, $G118*13))</f>
        <v>1.3164551999277144E-3</v>
      </c>
      <c r="V118" s="284">
        <f ca="1"/>
        <v>0</v>
      </c>
      <c r="W118" s="284">
        <f ca="1"/>
        <v>2.0957289032078445E-2</v>
      </c>
      <c r="X118" s="284">
        <f ca="1"/>
        <v>3.0888305036017366E-3</v>
      </c>
      <c r="Y118" s="284">
        <f ca="1"/>
        <v>3.2327035521246818E-4</v>
      </c>
      <c r="Z118" s="284">
        <f ca="1"/>
        <v>4.764582540051036E-5</v>
      </c>
      <c r="AA118" s="284">
        <f ca="1"/>
        <v>1.2395874692955618E-4</v>
      </c>
      <c r="AB118" s="284">
        <f ca="1"/>
        <v>1.8269899227814783E-5</v>
      </c>
      <c r="AC118" s="284">
        <f ca="1"/>
        <v>0.40730671319749695</v>
      </c>
      <c r="AD118" s="284">
        <f ca="1"/>
        <v>0.56681756724012633</v>
      </c>
      <c r="AE118" s="283">
        <f t="shared" ca="1" si="33"/>
        <v>1.0000000000000016</v>
      </c>
      <c r="AF118" s="418">
        <f t="shared" ca="1" si="29"/>
        <v>2.1404518134220469E-2</v>
      </c>
    </row>
    <row r="119" spans="1:32" ht="12" customHeight="1" x14ac:dyDescent="0.25">
      <c r="A119" s="262"/>
      <c r="C119" s="263"/>
      <c r="D119" s="62">
        <f t="shared" si="34"/>
        <v>109</v>
      </c>
      <c r="E119" s="63">
        <f t="shared" si="30"/>
        <v>27.25</v>
      </c>
      <c r="F119" s="63">
        <f t="shared" si="35"/>
        <v>97.25</v>
      </c>
      <c r="G119" s="62">
        <f t="shared" si="31"/>
        <v>0</v>
      </c>
      <c r="H119" s="285">
        <f t="array" aca="1" ref="H119:Q119" ca="1">MMULT(H118:Q118, OFFSET(AB.rngTPMroot, MIN(4, INT(($F118-55)/5))*10, $G119*13))</f>
        <v>1.3038146911268638E-5</v>
      </c>
      <c r="I119" s="285">
        <f ca="1"/>
        <v>0</v>
      </c>
      <c r="J119" s="285">
        <f ca="1"/>
        <v>2.0764991050342251E-2</v>
      </c>
      <c r="K119" s="285">
        <f ca="1"/>
        <v>3.0604882943179581E-3</v>
      </c>
      <c r="L119" s="285">
        <f ca="1"/>
        <v>3.2030412056411505E-4</v>
      </c>
      <c r="M119" s="285">
        <f ca="1"/>
        <v>4.7208641180325724E-5</v>
      </c>
      <c r="N119" s="285">
        <f ca="1"/>
        <v>1.2282133756250419E-4</v>
      </c>
      <c r="O119" s="285">
        <f ca="1"/>
        <v>1.8102259952398254E-5</v>
      </c>
      <c r="P119" s="285">
        <f ca="1"/>
        <v>0.40486072304172799</v>
      </c>
      <c r="Q119" s="285">
        <f ca="1"/>
        <v>0.57079232310744221</v>
      </c>
      <c r="R119" s="283">
        <f t="shared" ca="1" si="32"/>
        <v>1.0000000000000009</v>
      </c>
      <c r="S119" s="418">
        <f t="shared" ca="1" si="28"/>
        <v>2.120811650846887E-2</v>
      </c>
      <c r="U119" s="284">
        <f t="array" aca="1" ref="U119:AD119" ca="1">MMULT(U118:AD118, OFFSET(AB.rngTPMroot, MIN(4, INT(($F118-55)/5))*10, $G119*13))</f>
        <v>1.2371612109173865E-3</v>
      </c>
      <c r="V119" s="284">
        <f ca="1"/>
        <v>0</v>
      </c>
      <c r="W119" s="284">
        <f ca="1"/>
        <v>2.0781438011144023E-2</v>
      </c>
      <c r="X119" s="284">
        <f ca="1"/>
        <v>3.0629123613878117E-3</v>
      </c>
      <c r="Y119" s="284">
        <f ca="1"/>
        <v>3.2055781820852021E-4</v>
      </c>
      <c r="Z119" s="284">
        <f ca="1"/>
        <v>4.7246032897428591E-5</v>
      </c>
      <c r="AA119" s="284">
        <f ca="1"/>
        <v>1.2291861849653469E-4</v>
      </c>
      <c r="AB119" s="284">
        <f ca="1"/>
        <v>1.8116597890668433E-5</v>
      </c>
      <c r="AC119" s="284">
        <f ca="1"/>
        <v>0.403957281208154</v>
      </c>
      <c r="AD119" s="284">
        <f ca="1"/>
        <v>0.57045236814090516</v>
      </c>
      <c r="AE119" s="283">
        <f t="shared" ca="1" si="33"/>
        <v>1.0000000000000016</v>
      </c>
      <c r="AF119" s="418">
        <f t="shared" ca="1" si="29"/>
        <v>2.1224914447849078E-2</v>
      </c>
    </row>
    <row r="120" spans="1:32" ht="12" customHeight="1" x14ac:dyDescent="0.25">
      <c r="A120" s="262"/>
      <c r="C120" s="263"/>
      <c r="D120" s="62">
        <f t="shared" si="34"/>
        <v>110</v>
      </c>
      <c r="E120" s="63">
        <f t="shared" si="30"/>
        <v>27.5</v>
      </c>
      <c r="F120" s="63">
        <f t="shared" si="35"/>
        <v>97.5</v>
      </c>
      <c r="G120" s="62">
        <f t="shared" si="31"/>
        <v>0</v>
      </c>
      <c r="H120" s="285">
        <f t="array" aca="1" ref="H120:Q120" ca="1">MMULT(H119:Q119, OFFSET(AB.rngTPMroot, MIN(4, INT(($F119-55)/5))*10, $G120*13))</f>
        <v>1.2252820773353771E-5</v>
      </c>
      <c r="I120" s="285">
        <f ca="1"/>
        <v>0</v>
      </c>
      <c r="J120" s="285">
        <f ca="1"/>
        <v>2.0590753587170961E-2</v>
      </c>
      <c r="K120" s="285">
        <f ca="1"/>
        <v>3.0348079694300458E-3</v>
      </c>
      <c r="L120" s="285">
        <f ca="1"/>
        <v>3.1761647300986864E-4</v>
      </c>
      <c r="M120" s="285">
        <f ca="1"/>
        <v>4.6812517056839136E-5</v>
      </c>
      <c r="N120" s="285">
        <f ca="1"/>
        <v>1.2179075304511563E-4</v>
      </c>
      <c r="O120" s="285">
        <f ca="1"/>
        <v>1.7950365263682692E-5</v>
      </c>
      <c r="P120" s="285">
        <f ca="1"/>
        <v>0.40146424338070069</v>
      </c>
      <c r="Q120" s="285">
        <f ca="1"/>
        <v>0.57439377213355047</v>
      </c>
      <c r="R120" s="283">
        <f t="shared" ca="1" si="32"/>
        <v>1.0000000000000011</v>
      </c>
      <c r="S120" s="418">
        <f t="shared" ca="1" si="28"/>
        <v>2.1030160813225944E-2</v>
      </c>
      <c r="U120" s="284">
        <f t="array" aca="1" ref="U120:AD120" ca="1">MMULT(U119:AD119, OFFSET(AB.rngTPMroot, MIN(4, INT(($F119-55)/5))*10, $G120*13))</f>
        <v>1.162643333311013E-3</v>
      </c>
      <c r="V120" s="284">
        <f ca="1"/>
        <v>0</v>
      </c>
      <c r="W120" s="284">
        <f ca="1"/>
        <v>2.0607062542773502E-2</v>
      </c>
      <c r="X120" s="284">
        <f ca="1"/>
        <v>3.0372116963371808E-3</v>
      </c>
      <c r="Y120" s="284">
        <f ca="1"/>
        <v>3.1786804189660333E-4</v>
      </c>
      <c r="Z120" s="284">
        <f ca="1"/>
        <v>4.6849595022883035E-5</v>
      </c>
      <c r="AA120" s="284">
        <f ca="1"/>
        <v>1.2188721770221542E-4</v>
      </c>
      <c r="AB120" s="284">
        <f ca="1"/>
        <v>1.7964582893401562E-5</v>
      </c>
      <c r="AC120" s="284">
        <f ca="1"/>
        <v>0.40063184328674067</v>
      </c>
      <c r="AD120" s="284">
        <f ca="1"/>
        <v>0.57405666970332414</v>
      </c>
      <c r="AE120" s="283">
        <f t="shared" ca="1" si="33"/>
        <v>1.0000000000000016</v>
      </c>
      <c r="AF120" s="418">
        <f t="shared" ca="1" si="29"/>
        <v>2.104681780237232E-2</v>
      </c>
    </row>
    <row r="121" spans="1:32" ht="12" customHeight="1" x14ac:dyDescent="0.25">
      <c r="A121" s="262"/>
      <c r="C121" s="263"/>
      <c r="D121" s="62">
        <f t="shared" si="34"/>
        <v>111</v>
      </c>
      <c r="E121" s="63">
        <f t="shared" si="30"/>
        <v>27.75</v>
      </c>
      <c r="F121" s="63">
        <f t="shared" si="35"/>
        <v>97.75</v>
      </c>
      <c r="G121" s="62">
        <f t="shared" si="31"/>
        <v>0</v>
      </c>
      <c r="H121" s="285">
        <f t="array" aca="1" ref="H121:Q121" ca="1">MMULT(H120:Q120, OFFSET(AB.rngTPMroot, MIN(4, INT(($F120-55)/5))*10, $G121*13))</f>
        <v>1.1514797150672816E-5</v>
      </c>
      <c r="I121" s="285">
        <f ca="1"/>
        <v>0</v>
      </c>
      <c r="J121" s="285">
        <f ca="1"/>
        <v>2.0417978137322906E-2</v>
      </c>
      <c r="K121" s="285">
        <f ca="1"/>
        <v>3.0093431261983034E-3</v>
      </c>
      <c r="L121" s="285">
        <f ca="1"/>
        <v>3.1495137730217079E-4</v>
      </c>
      <c r="M121" s="285">
        <f ca="1"/>
        <v>4.6419716780794147E-5</v>
      </c>
      <c r="N121" s="285">
        <f ca="1"/>
        <v>1.2076881608415787E-4</v>
      </c>
      <c r="O121" s="285">
        <f ca="1"/>
        <v>1.7799745111766449E-5</v>
      </c>
      <c r="P121" s="285">
        <f ca="1"/>
        <v>0.39809622260970356</v>
      </c>
      <c r="Q121" s="285">
        <f ca="1"/>
        <v>0.57796500167434672</v>
      </c>
      <c r="R121" s="283">
        <f t="shared" ca="1" si="32"/>
        <v>1.0000000000000011</v>
      </c>
      <c r="S121" s="418">
        <f t="shared" ca="1" si="28"/>
        <v>2.0853698330709235E-2</v>
      </c>
      <c r="U121" s="284">
        <f t="array" aca="1" ref="U121:AD121" ca="1">MMULT(U120:AD120, OFFSET(AB.rngTPMroot, MIN(4, INT(($F120-55)/5))*10, $G121*13))</f>
        <v>1.0926138877973665E-3</v>
      </c>
      <c r="V121" s="284">
        <f ca="1"/>
        <v>0</v>
      </c>
      <c r="W121" s="284">
        <f ca="1"/>
        <v>2.0434150245717361E-2</v>
      </c>
      <c r="X121" s="284">
        <f ca="1"/>
        <v>3.0117266836154808E-3</v>
      </c>
      <c r="Y121" s="284">
        <f ca="1"/>
        <v>3.152008352934791E-4</v>
      </c>
      <c r="Z121" s="284">
        <f ca="1"/>
        <v>4.6456483628440366E-5</v>
      </c>
      <c r="AA121" s="284">
        <f ca="1"/>
        <v>1.208644713136447E-4</v>
      </c>
      <c r="AB121" s="284">
        <f ca="1"/>
        <v>1.7813843442433917E-5</v>
      </c>
      <c r="AC121" s="284">
        <f ca="1"/>
        <v>0.39733044570417797</v>
      </c>
      <c r="AD121" s="284">
        <f ca="1"/>
        <v>0.57763072784501546</v>
      </c>
      <c r="AE121" s="283">
        <f t="shared" ca="1" si="33"/>
        <v>1.0000000000000016</v>
      </c>
      <c r="AF121" s="418">
        <f t="shared" ca="1" si="29"/>
        <v>2.0870215552324486E-2</v>
      </c>
    </row>
    <row r="122" spans="1:32" ht="12" customHeight="1" x14ac:dyDescent="0.25">
      <c r="A122" s="262"/>
      <c r="C122" s="263"/>
      <c r="D122" s="62">
        <f t="shared" si="34"/>
        <v>112</v>
      </c>
      <c r="E122" s="63">
        <f t="shared" si="30"/>
        <v>28</v>
      </c>
      <c r="F122" s="63">
        <f t="shared" si="35"/>
        <v>98</v>
      </c>
      <c r="G122" s="62">
        <f t="shared" si="31"/>
        <v>0</v>
      </c>
      <c r="H122" s="285">
        <f t="array" aca="1" ref="H122:Q122" ca="1">MMULT(H121:Q121, OFFSET(AB.rngTPMroot, MIN(4, INT(($F121-55)/5))*10, $G122*13))</f>
        <v>1.0821226872875486E-5</v>
      </c>
      <c r="I122" s="285">
        <f ca="1"/>
        <v>0</v>
      </c>
      <c r="J122" s="285">
        <f ca="1"/>
        <v>2.0246652433155297E-2</v>
      </c>
      <c r="K122" s="285">
        <f ca="1"/>
        <v>2.9840919565325163E-3</v>
      </c>
      <c r="L122" s="285">
        <f ca="1"/>
        <v>3.1230864421018955E-4</v>
      </c>
      <c r="M122" s="285">
        <f ca="1"/>
        <v>4.6030212462039239E-5</v>
      </c>
      <c r="N122" s="285">
        <f ca="1"/>
        <v>1.1975545411864154E-4</v>
      </c>
      <c r="O122" s="285">
        <f ca="1"/>
        <v>1.7650388802108007E-5</v>
      </c>
      <c r="P122" s="285">
        <f ca="1"/>
        <v>0.39475642438460984</v>
      </c>
      <c r="Q122" s="285">
        <f ca="1"/>
        <v>0.58150626529923755</v>
      </c>
      <c r="R122" s="283">
        <f t="shared" ca="1" si="32"/>
        <v>1.0000000000000011</v>
      </c>
      <c r="S122" s="418">
        <f t="shared" ca="1" si="28"/>
        <v>2.0678716531484127E-2</v>
      </c>
      <c r="U122" s="284">
        <f t="array" aca="1" ref="U122:AD122" ca="1">MMULT(U121:AD121, OFFSET(AB.rngTPMroot, MIN(4, INT(($F121-55)/5))*10, $G122*13))</f>
        <v>1.0268025228407061E-3</v>
      </c>
      <c r="V122" s="284">
        <f ca="1"/>
        <v>0</v>
      </c>
      <c r="W122" s="284">
        <f ca="1"/>
        <v>2.02626888426162E-2</v>
      </c>
      <c r="X122" s="284">
        <f ca="1"/>
        <v>2.9864555137003954E-3</v>
      </c>
      <c r="Y122" s="284">
        <f ca="1"/>
        <v>3.1255600901843473E-4</v>
      </c>
      <c r="Z122" s="284">
        <f ca="1"/>
        <v>4.6066670801858656E-5</v>
      </c>
      <c r="AA122" s="284">
        <f ca="1"/>
        <v>1.198503067123611E-4</v>
      </c>
      <c r="AB122" s="284">
        <f ca="1"/>
        <v>1.766436883475336E-5</v>
      </c>
      <c r="AC122" s="284">
        <f ca="1"/>
        <v>0.39405311942925086</v>
      </c>
      <c r="AD122" s="284">
        <f ca="1"/>
        <v>0.58117479633622604</v>
      </c>
      <c r="AE122" s="283">
        <f t="shared" ca="1" si="33"/>
        <v>1.0000000000000016</v>
      </c>
      <c r="AF122" s="418">
        <f t="shared" ca="1" si="29"/>
        <v>2.0695095158346995E-2</v>
      </c>
    </row>
    <row r="123" spans="1:32" ht="12" customHeight="1" x14ac:dyDescent="0.25">
      <c r="A123" s="262"/>
      <c r="C123" s="263"/>
      <c r="D123" s="62">
        <f t="shared" si="34"/>
        <v>113</v>
      </c>
      <c r="E123" s="63">
        <f t="shared" si="30"/>
        <v>28.25</v>
      </c>
      <c r="F123" s="63">
        <f t="shared" si="35"/>
        <v>98.25</v>
      </c>
      <c r="G123" s="62">
        <f t="shared" si="31"/>
        <v>0</v>
      </c>
      <c r="H123" s="285">
        <f t="array" aca="1" ref="H123:Q123" ca="1">MMULT(H122:Q122, OFFSET(AB.rngTPMroot, MIN(4, INT(($F122-55)/5))*10, $G123*13))</f>
        <v>1.0169432383565731E-5</v>
      </c>
      <c r="I123" s="285">
        <f ca="1"/>
        <v>0</v>
      </c>
      <c r="J123" s="285">
        <f ca="1"/>
        <v>2.0076764309962216E-2</v>
      </c>
      <c r="K123" s="285">
        <f ca="1"/>
        <v>2.9590526675140169E-3</v>
      </c>
      <c r="L123" s="285">
        <f ca="1"/>
        <v>3.0968808609091453E-4</v>
      </c>
      <c r="M123" s="285">
        <f ca="1"/>
        <v>4.5643976444447078E-5</v>
      </c>
      <c r="N123" s="285">
        <f ca="1"/>
        <v>1.1875059519643104E-4</v>
      </c>
      <c r="O123" s="285">
        <f ca="1"/>
        <v>1.7502285729902947E-5</v>
      </c>
      <c r="P123" s="285">
        <f ca="1"/>
        <v>0.39144461419673154</v>
      </c>
      <c r="Q123" s="285">
        <f ca="1"/>
        <v>0.58501781444994794</v>
      </c>
      <c r="R123" s="283">
        <f t="shared" ca="1" si="32"/>
        <v>1.0000000000000009</v>
      </c>
      <c r="S123" s="418">
        <f t="shared" ca="1" si="28"/>
        <v>2.0505202991249562E-2</v>
      </c>
      <c r="U123" s="284">
        <f t="array" aca="1" ref="U123:AD123" ca="1">MMULT(U122:AD122, OFFSET(AB.rngTPMroot, MIN(4, INT(($F122-55)/5))*10, $G123*13))</f>
        <v>9.6495517097762819E-4</v>
      </c>
      <c r="V123" s="284">
        <f ca="1"/>
        <v>0</v>
      </c>
      <c r="W123" s="284">
        <f ca="1"/>
        <v>2.0092666159129014E-2</v>
      </c>
      <c r="X123" s="284">
        <f ca="1"/>
        <v>2.9613963922531707E-3</v>
      </c>
      <c r="Y123" s="284">
        <f ca="1"/>
        <v>3.0993337527983664E-4</v>
      </c>
      <c r="Z123" s="284">
        <f ca="1"/>
        <v>4.5680128865105432E-5</v>
      </c>
      <c r="AA123" s="284">
        <f ca="1"/>
        <v>1.1884465188923906E-4</v>
      </c>
      <c r="AB123" s="284">
        <f ca="1"/>
        <v>1.7516148457155914E-5</v>
      </c>
      <c r="AC123" s="284">
        <f ca="1"/>
        <v>0.39079988115531455</v>
      </c>
      <c r="AD123" s="284">
        <f ca="1"/>
        <v>0.58468912681783591</v>
      </c>
      <c r="AE123" s="283">
        <f t="shared" ca="1" si="33"/>
        <v>1.0000000000000016</v>
      </c>
      <c r="AF123" s="418">
        <f t="shared" ca="1" si="29"/>
        <v>2.0521444186298091E-2</v>
      </c>
    </row>
    <row r="124" spans="1:32" ht="12" customHeight="1" x14ac:dyDescent="0.25">
      <c r="A124" s="262"/>
      <c r="C124" s="263"/>
      <c r="D124" s="62">
        <f t="shared" si="34"/>
        <v>114</v>
      </c>
      <c r="E124" s="63">
        <f t="shared" si="30"/>
        <v>28.5</v>
      </c>
      <c r="F124" s="63">
        <f t="shared" si="35"/>
        <v>98.5</v>
      </c>
      <c r="G124" s="62">
        <f t="shared" si="31"/>
        <v>0</v>
      </c>
      <c r="H124" s="285">
        <f t="array" aca="1" ref="H124:Q124" ca="1">MMULT(H123:Q123, OFFSET(AB.rngTPMroot, MIN(4, INT(($F123-55)/5))*10, $G124*13))</f>
        <v>9.5568974034858843E-6</v>
      </c>
      <c r="I124" s="285">
        <f ca="1"/>
        <v>0</v>
      </c>
      <c r="J124" s="285">
        <f ca="1"/>
        <v>1.9908301705110865E-2</v>
      </c>
      <c r="K124" s="285">
        <f ca="1"/>
        <v>2.9342234812683825E-3</v>
      </c>
      <c r="L124" s="285">
        <f ca="1"/>
        <v>3.0708951687583345E-4</v>
      </c>
      <c r="M124" s="285">
        <f ca="1"/>
        <v>4.5260981303950767E-5</v>
      </c>
      <c r="N124" s="285">
        <f ca="1"/>
        <v>1.1775416796913563E-4</v>
      </c>
      <c r="O124" s="285">
        <f ca="1"/>
        <v>1.7355425379330964E-5</v>
      </c>
      <c r="P124" s="285">
        <f ca="1"/>
        <v>0.38816055936631549</v>
      </c>
      <c r="Q124" s="285">
        <f ca="1"/>
        <v>0.58849989845837458</v>
      </c>
      <c r="R124" s="283">
        <f t="shared" ca="1" si="32"/>
        <v>1.0000000000000011</v>
      </c>
      <c r="S124" s="418">
        <f t="shared" ca="1" si="28"/>
        <v>2.0333145389955835E-2</v>
      </c>
      <c r="U124" s="284">
        <f t="array" aca="1" ref="U124:AD124" ca="1">MMULT(U123:AD123, OFFSET(AB.rngTPMroot, MIN(4, INT(($F123-55)/5))*10, $G124*13))</f>
        <v>9.0683306797924236E-4</v>
      </c>
      <c r="V124" s="284">
        <f ca="1"/>
        <v>0</v>
      </c>
      <c r="W124" s="284">
        <f ca="1"/>
        <v>1.9924070123068766E-2</v>
      </c>
      <c r="X124" s="284">
        <f ca="1"/>
        <v>2.9365475399912144E-3</v>
      </c>
      <c r="Y124" s="284">
        <f ca="1"/>
        <v>3.0733274786179675E-4</v>
      </c>
      <c r="Z124" s="284">
        <f ca="1"/>
        <v>4.5296830372392504E-5</v>
      </c>
      <c r="AA124" s="284">
        <f ca="1"/>
        <v>1.1784743543937622E-4</v>
      </c>
      <c r="AB124" s="284">
        <f ca="1"/>
        <v>1.7369171785492179E-5</v>
      </c>
      <c r="AC124" s="284">
        <f ca="1"/>
        <v>0.38757073426427779</v>
      </c>
      <c r="AD124" s="284">
        <f ca="1"/>
        <v>0.58817396881922557</v>
      </c>
      <c r="AE124" s="283">
        <f t="shared" ca="1" si="33"/>
        <v>1.0000000000000018</v>
      </c>
      <c r="AF124" s="418">
        <f t="shared" ca="1" si="29"/>
        <v>2.0349250306369939E-2</v>
      </c>
    </row>
    <row r="125" spans="1:32" ht="12" customHeight="1" x14ac:dyDescent="0.25">
      <c r="A125" s="262"/>
      <c r="C125" s="263"/>
      <c r="D125" s="62">
        <f t="shared" si="34"/>
        <v>115</v>
      </c>
      <c r="E125" s="63">
        <f t="shared" si="30"/>
        <v>28.75</v>
      </c>
      <c r="F125" s="63">
        <f t="shared" si="35"/>
        <v>98.75</v>
      </c>
      <c r="G125" s="62">
        <f t="shared" si="31"/>
        <v>0</v>
      </c>
      <c r="H125" s="285">
        <f t="array" aca="1" ref="H125:Q125" ca="1">MMULT(H124:Q124, OFFSET(AB.rngTPMroot, MIN(4, INT(($F124-55)/5))*10, $G125*13))</f>
        <v>8.9812572163177582E-6</v>
      </c>
      <c r="I125" s="285">
        <f ca="1"/>
        <v>0</v>
      </c>
      <c r="J125" s="285">
        <f ca="1"/>
        <v>1.9741252657185078E-2</v>
      </c>
      <c r="K125" s="285">
        <f ca="1"/>
        <v>2.9096026348392002E-3</v>
      </c>
      <c r="L125" s="285">
        <f ca="1"/>
        <v>3.0451275205772106E-4</v>
      </c>
      <c r="M125" s="285">
        <f ca="1"/>
        <v>4.4881199846596675E-5</v>
      </c>
      <c r="N125" s="285">
        <f ca="1"/>
        <v>1.167661016870435E-4</v>
      </c>
      <c r="O125" s="285">
        <f ca="1"/>
        <v>1.72097973228092E-5</v>
      </c>
      <c r="P125" s="285">
        <f ca="1"/>
        <v>0.38490402903555737</v>
      </c>
      <c r="Q125" s="285">
        <f ca="1"/>
        <v>0.59195276456428891</v>
      </c>
      <c r="R125" s="283">
        <f t="shared" ca="1" si="32"/>
        <v>1.0000000000000011</v>
      </c>
      <c r="S125" s="418">
        <f t="shared" ca="1" si="28"/>
        <v>2.0162531510929844E-2</v>
      </c>
      <c r="U125" s="284">
        <f t="array" aca="1" ref="U125:AD125" ca="1">MMULT(U124:AD124, OFFSET(AB.rngTPMroot, MIN(4, INT(($F124-55)/5))*10, $G125*13))</f>
        <v>8.5221183109211068E-4</v>
      </c>
      <c r="V125" s="284">
        <f ca="1"/>
        <v>0</v>
      </c>
      <c r="W125" s="284">
        <f ca="1"/>
        <v>1.9756888763545227E-2</v>
      </c>
      <c r="X125" s="284">
        <f ca="1"/>
        <v>2.9119071925617595E-3</v>
      </c>
      <c r="Y125" s="284">
        <f ca="1"/>
        <v>3.0475394211095018E-4</v>
      </c>
      <c r="Z125" s="284">
        <f ca="1"/>
        <v>4.491674810822723E-5</v>
      </c>
      <c r="AA125" s="284">
        <f ca="1"/>
        <v>1.1685858655702334E-4</v>
      </c>
      <c r="AB125" s="284">
        <f ca="1"/>
        <v>1.7223428383920111E-5</v>
      </c>
      <c r="AC125" s="284">
        <f ca="1"/>
        <v>0.38436566973164904</v>
      </c>
      <c r="AD125" s="284">
        <f ca="1"/>
        <v>0.59162956977599346</v>
      </c>
      <c r="AE125" s="283">
        <f t="shared" ca="1" si="33"/>
        <v>1.0000000000000018</v>
      </c>
      <c r="AF125" s="418">
        <f t="shared" ca="1" si="29"/>
        <v>2.01785012922132E-2</v>
      </c>
    </row>
    <row r="126" spans="1:32" ht="12" customHeight="1" x14ac:dyDescent="0.25">
      <c r="A126" s="262"/>
      <c r="C126" s="263"/>
      <c r="D126" s="62">
        <f t="shared" si="34"/>
        <v>116</v>
      </c>
      <c r="E126" s="63">
        <f t="shared" si="30"/>
        <v>29</v>
      </c>
      <c r="F126" s="63">
        <f t="shared" si="35"/>
        <v>99</v>
      </c>
      <c r="G126" s="62">
        <f t="shared" si="31"/>
        <v>0</v>
      </c>
      <c r="H126" s="285">
        <f t="array" aca="1" ref="H126:Q126" ca="1">MMULT(H125:Q125, OFFSET(AB.rngTPMroot, MIN(4, INT(($F125-55)/5))*10, $G126*13))</f>
        <v>8.4402895395986928E-6</v>
      </c>
      <c r="I126" s="285">
        <f ca="1"/>
        <v>0</v>
      </c>
      <c r="J126" s="285">
        <f ca="1"/>
        <v>1.9575605305136027E-2</v>
      </c>
      <c r="K126" s="285">
        <f ca="1"/>
        <v>2.885188380062889E-3</v>
      </c>
      <c r="L126" s="285">
        <f ca="1"/>
        <v>3.0195760867753784E-4</v>
      </c>
      <c r="M126" s="285">
        <f ca="1"/>
        <v>4.4504605106613599E-5</v>
      </c>
      <c r="N126" s="285">
        <f ca="1"/>
        <v>1.1578632619409832E-4</v>
      </c>
      <c r="O126" s="285">
        <f ca="1"/>
        <v>1.7065391220251842E-5</v>
      </c>
      <c r="P126" s="285">
        <f ca="1"/>
        <v>0.38167479416117173</v>
      </c>
      <c r="Q126" s="285">
        <f ca="1"/>
        <v>0.59537665793289229</v>
      </c>
      <c r="R126" s="283">
        <f t="shared" ca="1" si="32"/>
        <v>1.0000000000000011</v>
      </c>
      <c r="S126" s="418">
        <f t="shared" ca="1" si="28"/>
        <v>1.9993349240007664E-2</v>
      </c>
      <c r="U126" s="284">
        <f t="array" aca="1" ref="U126:AD126" ca="1">MMULT(U125:AD125, OFFSET(AB.rngTPMroot, MIN(4, INT(($F125-55)/5))*10, $G126*13))</f>
        <v>8.0088059279945949E-4</v>
      </c>
      <c r="V126" s="284">
        <f ca="1"/>
        <v>0</v>
      </c>
      <c r="W126" s="284">
        <f ca="1"/>
        <v>1.9591110210114997E-2</v>
      </c>
      <c r="X126" s="284">
        <f ca="1"/>
        <v>2.8874736004165886E-3</v>
      </c>
      <c r="Y126" s="284">
        <f ca="1"/>
        <v>3.0219677492334448E-4</v>
      </c>
      <c r="Z126" s="284">
        <f ca="1"/>
        <v>4.4539855085480072E-5</v>
      </c>
      <c r="AA126" s="284">
        <f ca="1"/>
        <v>1.1587803503055675E-4</v>
      </c>
      <c r="AB126" s="284">
        <f ca="1"/>
        <v>1.7078907904164014E-5</v>
      </c>
      <c r="AC126" s="284">
        <f ca="1"/>
        <v>0.38118466697620257</v>
      </c>
      <c r="AD126" s="284">
        <f ca="1"/>
        <v>0.5950561750475245</v>
      </c>
      <c r="AE126" s="283">
        <f t="shared" ca="1" si="33"/>
        <v>1.0000000000000018</v>
      </c>
      <c r="AF126" s="418">
        <f t="shared" ca="1" si="29"/>
        <v>2.00091850200689E-2</v>
      </c>
    </row>
    <row r="127" spans="1:32" ht="12" customHeight="1" x14ac:dyDescent="0.25">
      <c r="A127" s="262"/>
      <c r="C127" s="263"/>
      <c r="D127" s="62">
        <f t="shared" si="34"/>
        <v>117</v>
      </c>
      <c r="E127" s="63">
        <f t="shared" si="30"/>
        <v>29.25</v>
      </c>
      <c r="F127" s="63">
        <f t="shared" si="35"/>
        <v>99.25</v>
      </c>
      <c r="G127" s="62">
        <f t="shared" si="31"/>
        <v>0</v>
      </c>
      <c r="H127" s="285">
        <f t="array" aca="1" ref="H127:Q127" ca="1">MMULT(H126:Q126, OFFSET(AB.rngTPMroot, MIN(4, INT(($F126-55)/5))*10, $G127*13))</f>
        <v>7.9319059455092973E-6</v>
      </c>
      <c r="I127" s="285">
        <f ca="1"/>
        <v>0</v>
      </c>
      <c r="J127" s="285">
        <f ca="1"/>
        <v>1.9411347887440047E-2</v>
      </c>
      <c r="K127" s="285">
        <f ca="1"/>
        <v>2.8609789834445763E-3</v>
      </c>
      <c r="L127" s="285">
        <f ca="1"/>
        <v>2.9942390531144001E-4</v>
      </c>
      <c r="M127" s="285">
        <f ca="1"/>
        <v>4.413117034449803E-5</v>
      </c>
      <c r="N127" s="285">
        <f ca="1"/>
        <v>1.1481477192291791E-4</v>
      </c>
      <c r="O127" s="285">
        <f ca="1"/>
        <v>1.6922196818335967E-5</v>
      </c>
      <c r="P127" s="285">
        <f ca="1"/>
        <v>0.37847262750655009</v>
      </c>
      <c r="Q127" s="285">
        <f ca="1"/>
        <v>0.59877182167222365</v>
      </c>
      <c r="R127" s="283">
        <f t="shared" ca="1" si="32"/>
        <v>1.0000000000000011</v>
      </c>
      <c r="S127" s="418">
        <f t="shared" ca="1" si="28"/>
        <v>1.9825586564674407E-2</v>
      </c>
      <c r="U127" s="284">
        <f t="array" aca="1" ref="U127:AD127" ca="1">MMULT(U126:AD126, OFFSET(AB.rngTPMroot, MIN(4, INT(($F126-55)/5))*10, $G127*13))</f>
        <v>7.5264118675851541E-4</v>
      </c>
      <c r="V127" s="284">
        <f ca="1"/>
        <v>0</v>
      </c>
      <c r="W127" s="284">
        <f ca="1"/>
        <v>1.9426722691938663E-2</v>
      </c>
      <c r="X127" s="284">
        <f ca="1"/>
        <v>2.8632450286878107E-3</v>
      </c>
      <c r="Y127" s="284">
        <f ca="1"/>
        <v>2.9966106473143858E-4</v>
      </c>
      <c r="Z127" s="284">
        <f ca="1"/>
        <v>4.4166124543468451E-5</v>
      </c>
      <c r="AA127" s="284">
        <f ca="1"/>
        <v>1.1490571123749327E-4</v>
      </c>
      <c r="AB127" s="284">
        <f ca="1"/>
        <v>1.6935600084779783E-5</v>
      </c>
      <c r="AC127" s="284">
        <f ca="1"/>
        <v>0.37802769465760755</v>
      </c>
      <c r="AD127" s="284">
        <f ca="1"/>
        <v>0.59845402793441194</v>
      </c>
      <c r="AE127" s="283">
        <f t="shared" ca="1" si="33"/>
        <v>1.0000000000000018</v>
      </c>
      <c r="AF127" s="418">
        <f t="shared" ca="1" si="29"/>
        <v>1.9841289467907596E-2</v>
      </c>
    </row>
    <row r="128" spans="1:32" ht="12" customHeight="1" x14ac:dyDescent="0.25">
      <c r="A128" s="262"/>
      <c r="C128" s="263"/>
      <c r="D128" s="62">
        <f t="shared" si="34"/>
        <v>118</v>
      </c>
      <c r="E128" s="63">
        <f t="shared" si="30"/>
        <v>29.5</v>
      </c>
      <c r="F128" s="63">
        <f t="shared" si="35"/>
        <v>99.5</v>
      </c>
      <c r="G128" s="62">
        <f t="shared" si="31"/>
        <v>0</v>
      </c>
      <c r="H128" s="285">
        <f t="array" aca="1" ref="H128:Q128" ca="1">MMULT(H127:Q127, OFFSET(AB.rngTPMroot, MIN(4, INT(($F127-55)/5))*10, $G128*13))</f>
        <v>7.4541437984125298E-6</v>
      </c>
      <c r="I128" s="285">
        <f ca="1"/>
        <v>0</v>
      </c>
      <c r="J128" s="285">
        <f ca="1"/>
        <v>1.9248468741263524E-2</v>
      </c>
      <c r="K128" s="285">
        <f ca="1"/>
        <v>2.8369727260350148E-3</v>
      </c>
      <c r="L128" s="285">
        <f ca="1"/>
        <v>2.9691146205789744E-4</v>
      </c>
      <c r="M128" s="285">
        <f ca="1"/>
        <v>4.3760869045115643E-5</v>
      </c>
      <c r="N128" s="285">
        <f ca="1"/>
        <v>1.1385136988985469E-4</v>
      </c>
      <c r="O128" s="285">
        <f ca="1"/>
        <v>1.6780203949773497E-5</v>
      </c>
      <c r="P128" s="285">
        <f ca="1"/>
        <v>0.37529730363354086</v>
      </c>
      <c r="Q128" s="285">
        <f ca="1"/>
        <v>0.60213849685042065</v>
      </c>
      <c r="R128" s="283">
        <f t="shared" ca="1" si="32"/>
        <v>1.0000000000000011</v>
      </c>
      <c r="S128" s="418">
        <f t="shared" ca="1" si="28"/>
        <v>1.9659231573211273E-2</v>
      </c>
      <c r="U128" s="284">
        <f t="array" aca="1" ref="U128:AD128" ca="1">MMULT(U127:AD127, OFFSET(AB.rngTPMroot, MIN(4, INT(($F127-55)/5))*10, $G128*13))</f>
        <v>7.073073827712419E-4</v>
      </c>
      <c r="V128" s="284">
        <f ca="1"/>
        <v>0</v>
      </c>
      <c r="W128" s="284">
        <f ca="1"/>
        <v>1.9263714536945035E-2</v>
      </c>
      <c r="X128" s="284">
        <f ca="1"/>
        <v>2.8392197570646796E-3</v>
      </c>
      <c r="Y128" s="284">
        <f ca="1"/>
        <v>2.9714663149121081E-4</v>
      </c>
      <c r="Z128" s="284">
        <f ca="1"/>
        <v>4.3795529946056666E-5</v>
      </c>
      <c r="AA128" s="284">
        <f ca="1"/>
        <v>1.1394154613954668E-4</v>
      </c>
      <c r="AB128" s="284">
        <f ca="1"/>
        <v>1.6793494750426324E-5</v>
      </c>
      <c r="AC128" s="284">
        <f ca="1"/>
        <v>0.3748947114251614</v>
      </c>
      <c r="AD128" s="284">
        <f ca="1"/>
        <v>0.60182336969573214</v>
      </c>
      <c r="AE128" s="283">
        <f t="shared" ca="1" si="33"/>
        <v>1.0000000000000018</v>
      </c>
      <c r="AF128" s="418">
        <f t="shared" ca="1" si="29"/>
        <v>1.9674802714575793E-2</v>
      </c>
    </row>
    <row r="129" spans="1:32" ht="12" customHeight="1" x14ac:dyDescent="0.25">
      <c r="A129" s="262"/>
      <c r="C129" s="263"/>
      <c r="D129" s="62">
        <f t="shared" si="34"/>
        <v>119</v>
      </c>
      <c r="E129" s="63">
        <f t="shared" si="30"/>
        <v>29.75</v>
      </c>
      <c r="F129" s="63">
        <f t="shared" si="35"/>
        <v>99.75</v>
      </c>
      <c r="G129" s="62">
        <f t="shared" si="31"/>
        <v>0</v>
      </c>
      <c r="H129" s="285">
        <f t="array" aca="1" ref="H129:Q129" ca="1">MMULT(H128:Q128, OFFSET(AB.rngTPMroot, MIN(4, INT(($F128-55)/5))*10, $G129*13))</f>
        <v>7.0051586780186242E-6</v>
      </c>
      <c r="I129" s="285">
        <f ca="1"/>
        <v>0</v>
      </c>
      <c r="J129" s="285">
        <f ca="1"/>
        <v>1.9086956301634792E-2</v>
      </c>
      <c r="K129" s="285">
        <f ca="1"/>
        <v>2.8131679033085283E-3</v>
      </c>
      <c r="L129" s="285">
        <f ca="1"/>
        <v>2.9442010052491981E-4</v>
      </c>
      <c r="M129" s="285">
        <f ca="1"/>
        <v>4.3393674915818582E-5</v>
      </c>
      <c r="N129" s="285">
        <f ca="1"/>
        <v>1.1289605169009763E-4</v>
      </c>
      <c r="O129" s="285">
        <f ca="1"/>
        <v>1.6639402532589297E-5</v>
      </c>
      <c r="P129" s="285">
        <f ca="1"/>
        <v>0.3721485988938798</v>
      </c>
      <c r="Q129" s="285">
        <f ca="1"/>
        <v>0.60547692251283647</v>
      </c>
      <c r="R129" s="283">
        <f t="shared" ca="1" si="32"/>
        <v>1.0000000000000011</v>
      </c>
      <c r="S129" s="418">
        <f t="shared" ca="1" si="28"/>
        <v>1.9494272453849808E-2</v>
      </c>
      <c r="U129" s="284">
        <f t="array" aca="1" ref="U129:AD129" ca="1">MMULT(U128:AD128, OFFSET(AB.rngTPMroot, MIN(4, INT(($F128-55)/5))*10, $G129*13))</f>
        <v>6.6470416783505088E-4</v>
      </c>
      <c r="V129" s="284">
        <f ca="1"/>
        <v>0</v>
      </c>
      <c r="W129" s="284">
        <f ca="1"/>
        <v>1.9102074171002386E-2</v>
      </c>
      <c r="X129" s="284">
        <f ca="1"/>
        <v>2.8153960796714452E-3</v>
      </c>
      <c r="Y129" s="284">
        <f ca="1"/>
        <v>2.9465329666937524E-4</v>
      </c>
      <c r="Z129" s="284">
        <f ca="1"/>
        <v>4.3428044979771676E-5</v>
      </c>
      <c r="AA129" s="284">
        <f ca="1"/>
        <v>1.1298547127772575E-4</v>
      </c>
      <c r="AB129" s="284">
        <f ca="1"/>
        <v>1.6652581811143048E-5</v>
      </c>
      <c r="AC129" s="284">
        <f ca="1"/>
        <v>0.37178566662058016</v>
      </c>
      <c r="AD129" s="284">
        <f ca="1"/>
        <v>0.60516443956617472</v>
      </c>
      <c r="AE129" s="283">
        <f t="shared" ca="1" si="33"/>
        <v>1.0000000000000018</v>
      </c>
      <c r="AF129" s="418">
        <f t="shared" ca="1" si="29"/>
        <v>1.9509712938949486E-2</v>
      </c>
    </row>
    <row r="130" spans="1:32" ht="12" customHeight="1" x14ac:dyDescent="0.25">
      <c r="A130" s="262"/>
      <c r="C130" s="263"/>
      <c r="D130" s="62">
        <f t="shared" si="34"/>
        <v>120</v>
      </c>
      <c r="E130" s="63">
        <f t="shared" si="30"/>
        <v>30</v>
      </c>
      <c r="F130" s="63">
        <f t="shared" si="35"/>
        <v>100</v>
      </c>
      <c r="G130" s="62">
        <f t="shared" si="31"/>
        <v>0</v>
      </c>
      <c r="H130" s="285">
        <f t="array" aca="1" ref="H130:Q130" ca="1">MMULT(H129:Q129, OFFSET(AB.rngTPMroot, MIN(4, INT(($F129-55)/5))*10, $G130*13))</f>
        <v>6.5832172589252036E-6</v>
      </c>
      <c r="I130" s="285">
        <f ca="1"/>
        <v>0</v>
      </c>
      <c r="J130" s="285">
        <f ca="1"/>
        <v>1.892679910062298E-2</v>
      </c>
      <c r="K130" s="285">
        <f ca="1"/>
        <v>2.7895628250419868E-3</v>
      </c>
      <c r="L130" s="285">
        <f ca="1"/>
        <v>2.9194964381739079E-4</v>
      </c>
      <c r="M130" s="285">
        <f ca="1"/>
        <v>4.3029561884578562E-5</v>
      </c>
      <c r="N130" s="285">
        <f ca="1"/>
        <v>1.119487494928153E-4</v>
      </c>
      <c r="O130" s="285">
        <f ca="1"/>
        <v>1.6499782569405327E-5</v>
      </c>
      <c r="P130" s="285">
        <f ca="1"/>
        <v>0.36902629142029986</v>
      </c>
      <c r="Q130" s="285">
        <f ca="1"/>
        <v>0.60878733569901311</v>
      </c>
      <c r="R130" s="283">
        <f t="shared" ca="1" si="32"/>
        <v>1.0000000000000011</v>
      </c>
      <c r="S130" s="418">
        <f t="shared" ca="1" si="28"/>
        <v>1.9330697493933187E-2</v>
      </c>
      <c r="U130" s="284">
        <f t="array" aca="1" ref="U130:AD130" ca="1">MMULT(U129:AD129, OFFSET(AB.rngTPMroot, MIN(4, INT(($F129-55)/5))*10, $G130*13))</f>
        <v>6.2466707049795521E-4</v>
      </c>
      <c r="V130" s="284">
        <f ca="1"/>
        <v>0</v>
      </c>
      <c r="W130" s="284">
        <f ca="1"/>
        <v>1.8941790117096645E-2</v>
      </c>
      <c r="X130" s="284">
        <f ca="1"/>
        <v>2.7917723049462329E-3</v>
      </c>
      <c r="Y130" s="284">
        <f ca="1"/>
        <v>2.9218088323070522E-4</v>
      </c>
      <c r="Z130" s="284">
        <f ca="1"/>
        <v>4.306364355193483E-5</v>
      </c>
      <c r="AA130" s="284">
        <f ca="1"/>
        <v>1.1203741876747347E-4</v>
      </c>
      <c r="AB130" s="284">
        <f ca="1"/>
        <v>1.6512851261633466E-5</v>
      </c>
      <c r="AC130" s="284">
        <f ca="1"/>
        <v>0.36870050093761991</v>
      </c>
      <c r="AD130" s="284">
        <f ca="1"/>
        <v>0.60847747477302927</v>
      </c>
      <c r="AE130" s="283">
        <f t="shared" ca="1" si="33"/>
        <v>1.0000000000000018</v>
      </c>
      <c r="AF130" s="418">
        <f t="shared" ca="1" si="29"/>
        <v>1.9346008419094826E-2</v>
      </c>
    </row>
    <row r="131" spans="1:32" ht="12" customHeight="1" x14ac:dyDescent="0.25">
      <c r="A131" s="262"/>
      <c r="C131" s="263"/>
    </row>
    <row r="132" spans="1:32" ht="12" customHeight="1" x14ac:dyDescent="0.25">
      <c r="A132" s="262"/>
      <c r="C132" s="263"/>
    </row>
    <row r="133" spans="1:32" ht="12" customHeight="1" x14ac:dyDescent="0.25">
      <c r="A133" s="262"/>
      <c r="C133" s="263"/>
    </row>
    <row r="134" spans="1:32" ht="12" customHeight="1" x14ac:dyDescent="0.25">
      <c r="A134" s="262"/>
      <c r="C134" s="263"/>
    </row>
    <row r="135" spans="1:32" ht="12" customHeight="1" x14ac:dyDescent="0.25">
      <c r="A135" s="262"/>
      <c r="C135" s="263"/>
    </row>
    <row r="136" spans="1:32" ht="12" customHeight="1" x14ac:dyDescent="0.25">
      <c r="A136" s="262"/>
      <c r="C136" s="263"/>
    </row>
    <row r="137" spans="1:32" ht="12" customHeight="1" x14ac:dyDescent="0.25">
      <c r="A137" s="262"/>
      <c r="C137" s="263"/>
    </row>
    <row r="138" spans="1:32" ht="12" customHeight="1" x14ac:dyDescent="0.25">
      <c r="A138" s="262"/>
      <c r="C138" s="263"/>
    </row>
    <row r="139" spans="1:32" ht="12" customHeight="1" x14ac:dyDescent="0.25">
      <c r="A139" s="262"/>
      <c r="C139" s="263"/>
    </row>
    <row r="140" spans="1:32" ht="12" customHeight="1" x14ac:dyDescent="0.25">
      <c r="A140" s="262"/>
      <c r="C140" s="263"/>
    </row>
    <row r="141" spans="1:32" ht="12" customHeight="1" x14ac:dyDescent="0.25">
      <c r="A141" s="262"/>
      <c r="C141" s="263"/>
    </row>
    <row r="142" spans="1:32" ht="12" customHeight="1" x14ac:dyDescent="0.25">
      <c r="A142" s="262"/>
      <c r="C142" s="263"/>
    </row>
    <row r="143" spans="1:32" ht="12" customHeight="1" x14ac:dyDescent="0.25">
      <c r="A143" s="262"/>
      <c r="C143" s="263"/>
    </row>
    <row r="144" spans="1:32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30" spans="1:3" ht="12" customHeight="1" x14ac:dyDescent="0.25">
      <c r="A330" s="262"/>
      <c r="C330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</sheetData>
  <mergeCells count="30">
    <mergeCell ref="D6:D9"/>
    <mergeCell ref="F6:F9"/>
    <mergeCell ref="H7:H9"/>
    <mergeCell ref="I7:I9"/>
    <mergeCell ref="G6:G9"/>
    <mergeCell ref="E6:E9"/>
    <mergeCell ref="P7:P9"/>
    <mergeCell ref="Q7:Q9"/>
    <mergeCell ref="R7:R9"/>
    <mergeCell ref="H6:R6"/>
    <mergeCell ref="J7:J9"/>
    <mergeCell ref="K7:K9"/>
    <mergeCell ref="L7:L9"/>
    <mergeCell ref="M7:M9"/>
    <mergeCell ref="N7:N9"/>
    <mergeCell ref="O7:O9"/>
    <mergeCell ref="S7:S9"/>
    <mergeCell ref="AF7:AF9"/>
    <mergeCell ref="AD7:AD9"/>
    <mergeCell ref="AE7:AE9"/>
    <mergeCell ref="U6:AE6"/>
    <mergeCell ref="U7:U9"/>
    <mergeCell ref="V7:V9"/>
    <mergeCell ref="W7:W9"/>
    <mergeCell ref="X7:X9"/>
    <mergeCell ref="Y7:Y9"/>
    <mergeCell ref="Z7:Z9"/>
    <mergeCell ref="AA7:AA9"/>
    <mergeCell ref="AB7:AB9"/>
    <mergeCell ref="AC7:AC9"/>
  </mergeCells>
  <conditionalFormatting sqref="R10:R130">
    <cfRule type="expression" dxfId="26" priority="2">
      <formula>ROUND(R10,10)&lt;&gt;1</formula>
    </cfRule>
  </conditionalFormatting>
  <conditionalFormatting sqref="AE10:AE130">
    <cfRule type="expression" dxfId="25" priority="1">
      <formula>ROUND(AE10,10)&lt;&gt;1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CE018-0634-4B83-9741-B238D45D1587}">
  <sheetPr codeName="shtTraceQALYs1">
    <tabColor theme="7" tint="-0.499984740745262"/>
  </sheetPr>
  <dimension ref="A1:AC351"/>
  <sheetViews>
    <sheetView workbookViewId="0">
      <pane xSplit="6" ySplit="10" topLeftCell="G11" activePane="bottomRight" state="frozen"/>
      <selection activeCell="K7" sqref="K7"/>
      <selection pane="topRight" activeCell="K7" sqref="K7"/>
      <selection pane="bottomLeft" activeCell="K7" sqref="K7"/>
      <selection pane="bottomRight" activeCell="G11" sqref="G11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7" max="16" width="11.7109375" customWidth="1"/>
    <col min="17" max="17" width="12" style="78" customWidth="1"/>
    <col min="18" max="18" width="1.7109375" customWidth="1"/>
    <col min="19" max="28" width="11.7109375" customWidth="1"/>
    <col min="29" max="29" width="12" style="78" customWidth="1"/>
    <col min="30" max="30" width="1.7109375" customWidth="1"/>
  </cols>
  <sheetData>
    <row r="1" spans="1:29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N1" s="271"/>
      <c r="P1" s="271"/>
    </row>
    <row r="2" spans="1:29" ht="12" hidden="1" customHeight="1" thickTop="1" x14ac:dyDescent="0.25">
      <c r="A2" s="262"/>
      <c r="C2" s="263"/>
      <c r="D2">
        <f>COLUMNS(G2:R2)</f>
        <v>12</v>
      </c>
      <c r="F2" t="s">
        <v>80</v>
      </c>
      <c r="G2">
        <f>MAX($F$2:F2)+1</f>
        <v>1</v>
      </c>
      <c r="H2">
        <f t="shared" ref="H2:P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S2">
        <f>MAX($F$2:R2)+1</f>
        <v>2</v>
      </c>
      <c r="T2">
        <f t="shared" ref="T2:AB2" si="1">S2</f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</row>
    <row r="3" spans="1:29" ht="12" hidden="1" customHeight="1" x14ac:dyDescent="0.25">
      <c r="A3" s="262"/>
      <c r="C3" s="263"/>
      <c r="F3" t="s">
        <v>79</v>
      </c>
      <c r="G3">
        <v>1</v>
      </c>
      <c r="H3">
        <f t="shared" ref="H3:P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S3">
        <v>1</v>
      </c>
      <c r="T3">
        <f t="shared" ref="T3:AB3" si="3">S3+1</f>
        <v>2</v>
      </c>
      <c r="U3">
        <f t="shared" si="3"/>
        <v>3</v>
      </c>
      <c r="V3">
        <f t="shared" si="3"/>
        <v>4</v>
      </c>
      <c r="W3">
        <f t="shared" si="3"/>
        <v>5</v>
      </c>
      <c r="X3">
        <f t="shared" si="3"/>
        <v>6</v>
      </c>
      <c r="Y3">
        <f t="shared" si="3"/>
        <v>7</v>
      </c>
      <c r="Z3">
        <f t="shared" si="3"/>
        <v>8</v>
      </c>
      <c r="AA3">
        <f t="shared" si="3"/>
        <v>9</v>
      </c>
      <c r="AB3">
        <f t="shared" si="3"/>
        <v>10</v>
      </c>
    </row>
    <row r="4" spans="1:29" ht="12" customHeight="1" thickTop="1" x14ac:dyDescent="0.25">
      <c r="A4" s="262"/>
      <c r="C4" s="263"/>
      <c r="F4" s="56" t="s">
        <v>43</v>
      </c>
      <c r="G4" s="92">
        <f t="shared" ref="G4:Q4" ca="1" si="4">SUM(OFFSET(G$11, 0, 0, timeHorizon*AB.cyclesPerYear))</f>
        <v>8.9268721106598316E-5</v>
      </c>
      <c r="H4" s="92">
        <f t="shared" ca="1" si="4"/>
        <v>1.1326482595717238</v>
      </c>
      <c r="I4" s="92">
        <f t="shared" ca="1" si="4"/>
        <v>0.39669601433102358</v>
      </c>
      <c r="J4" s="92">
        <f t="shared" ca="1" si="4"/>
        <v>5.701024205700618E-2</v>
      </c>
      <c r="K4" s="92">
        <f t="shared" ca="1" si="4"/>
        <v>6.4349750946021854E-3</v>
      </c>
      <c r="L4" s="92">
        <f t="shared" ca="1" si="4"/>
        <v>9.2601524812259352E-4</v>
      </c>
      <c r="M4" s="92">
        <f t="shared" ca="1" si="4"/>
        <v>1.7801185245823032E-3</v>
      </c>
      <c r="N4" s="92">
        <f t="shared" ca="1" si="4"/>
        <v>2.5574297566726583E-4</v>
      </c>
      <c r="O4" s="92">
        <f t="shared" ca="1" si="4"/>
        <v>5.2136828246340787</v>
      </c>
      <c r="P4" s="92">
        <f t="shared" ca="1" si="4"/>
        <v>0</v>
      </c>
      <c r="Q4" s="92">
        <f t="shared" ca="1" si="4"/>
        <v>6.8095234611579141</v>
      </c>
      <c r="S4" s="92">
        <f t="shared" ref="S4:AC4" ca="1" si="5">SUM(OFFSET(S$11, 0, 0, timeHorizon*AB.cyclesPerYear))</f>
        <v>2.9724218406219487</v>
      </c>
      <c r="T4" s="92">
        <f t="shared" ca="1" si="5"/>
        <v>0</v>
      </c>
      <c r="U4" s="92">
        <f t="shared" ca="1" si="5"/>
        <v>0.29391137116445437</v>
      </c>
      <c r="V4" s="92">
        <f t="shared" ca="1" si="5"/>
        <v>4.1993904960303273E-2</v>
      </c>
      <c r="W4" s="92">
        <f t="shared" ca="1" si="5"/>
        <v>4.3800716254247174E-3</v>
      </c>
      <c r="X4" s="92">
        <f t="shared" ca="1" si="5"/>
        <v>6.2581044592885219E-4</v>
      </c>
      <c r="Y4" s="92">
        <f t="shared" ca="1" si="5"/>
        <v>1.3334429087589626E-3</v>
      </c>
      <c r="Z4" s="92">
        <f t="shared" ca="1" si="5"/>
        <v>1.9049018217777078E-4</v>
      </c>
      <c r="AA4" s="92">
        <f t="shared" ca="1" si="5"/>
        <v>3.5128070597271712</v>
      </c>
      <c r="AB4" s="92">
        <f t="shared" ca="1" si="5"/>
        <v>0</v>
      </c>
      <c r="AC4" s="92">
        <f t="shared" ca="1" si="5"/>
        <v>6.827663991636169</v>
      </c>
    </row>
    <row r="5" spans="1:29" ht="12" customHeight="1" x14ac:dyDescent="0.25">
      <c r="A5" s="262"/>
      <c r="C5" s="263"/>
      <c r="F5" s="57" t="s">
        <v>42</v>
      </c>
      <c r="G5" s="92">
        <f t="array" aca="1" ref="G5" ca="1">SUM(OFFSET(G$11, 0, 0, timeHorizon*AB.cyclesPerYear) / (1+DQALYs)^(OFFSET($D$11, 0, 0, timeHorizon*AB.cyclesPerYear)/AB.cyclesPerYear))</f>
        <v>6.3830890383594833E-5</v>
      </c>
      <c r="H5" s="92">
        <f t="array" aca="1" ref="H5" ca="1">SUM(OFFSET(H$11, 0, 0, timeHorizon*AB.cyclesPerYear) / (1+DQALYs)^(OFFSET($D$11, 0, 0, timeHorizon*AB.cyclesPerYear)/AB.cyclesPerYear))</f>
        <v>1.0838347644950452</v>
      </c>
      <c r="I5" s="92">
        <f t="array" aca="1" ref="I5" ca="1">SUM(OFFSET(I$11, 0, 0, timeHorizon*AB.cyclesPerYear) / (1+DQALYs)^(OFFSET($D$11, 0, 0, timeHorizon*AB.cyclesPerYear)/AB.cyclesPerYear))</f>
        <v>0.34945702362892761</v>
      </c>
      <c r="J5" s="92">
        <f t="array" aca="1" ref="J5" ca="1">SUM(OFFSET(J$11, 0, 0, timeHorizon*AB.cyclesPerYear) / (1+DQALYs)^(OFFSET($D$11, 0, 0, timeHorizon*AB.cyclesPerYear)/AB.cyclesPerYear))</f>
        <v>4.9944388142235611E-2</v>
      </c>
      <c r="K5" s="92">
        <f t="array" aca="1" ref="K5" ca="1">SUM(OFFSET(K$11, 0, 0, timeHorizon*AB.cyclesPerYear) / (1+DQALYs)^(OFFSET($D$11, 0, 0, timeHorizon*AB.cyclesPerYear)/AB.cyclesPerYear))</f>
        <v>5.7065274333937743E-3</v>
      </c>
      <c r="L5" s="92">
        <f t="array" aca="1" ref="L5" ca="1">SUM(OFFSET(L$11, 0, 0, timeHorizon*AB.cyclesPerYear) / (1+DQALYs)^(OFFSET($D$11, 0, 0, timeHorizon*AB.cyclesPerYear)/AB.cyclesPerYear))</f>
        <v>8.1652423330300344E-4</v>
      </c>
      <c r="M5" s="92">
        <f t="array" aca="1" ref="M5" ca="1">SUM(OFFSET(M$11, 0, 0, timeHorizon*AB.cyclesPerYear) / (1+DQALYs)^(OFFSET($D$11, 0, 0, timeHorizon*AB.cyclesPerYear)/AB.cyclesPerYear))</f>
        <v>1.5672919587063736E-3</v>
      </c>
      <c r="N5" s="92">
        <f t="array" aca="1" ref="N5" ca="1">SUM(OFFSET(N$11, 0, 0, timeHorizon*AB.cyclesPerYear) / (1+DQALYs)^(OFFSET($D$11, 0, 0, timeHorizon*AB.cyclesPerYear)/AB.cyclesPerYear))</f>
        <v>2.2392870267452653E-4</v>
      </c>
      <c r="O5" s="92">
        <f t="array" aca="1" ref="O5" ca="1">SUM(OFFSET(O$11, 0, 0, timeHorizon*AB.cyclesPerYear) / (1+DQALYs)^(OFFSET($D$11, 0, 0, timeHorizon*AB.cyclesPerYear)/AB.cyclesPerYear))</f>
        <v>4.3451114721426451</v>
      </c>
      <c r="P5" s="92">
        <f t="array" aca="1" ref="P5" ca="1">SUM(OFFSET(P$11, 0, 0, timeHorizon*AB.cyclesPerYear) / (1+DQALYs)^(OFFSET($D$11, 0, 0, timeHorizon*AB.cyclesPerYear)/AB.cyclesPerYear))</f>
        <v>0</v>
      </c>
      <c r="Q5" s="92">
        <f t="array" aca="1" ref="Q5" ca="1">SUM(OFFSET(Q$11, 0, 0, timeHorizon*AB.cyclesPerYear) / (1+DQALYs)^(OFFSET($D$11, 0, 0, timeHorizon*AB.cyclesPerYear)/AB.cyclesPerYear))</f>
        <v>5.8367257516273154</v>
      </c>
      <c r="S5" s="92">
        <f t="array" aca="1" ref="S5" ca="1">SUM(OFFSET(S$11, 0, 0, timeHorizon*AB.cyclesPerYear) / (1+DQALYs)^(OFFSET($D$11, 0, 0, timeHorizon*AB.cyclesPerYear)/AB.cyclesPerYear))</f>
        <v>2.6883537822390355</v>
      </c>
      <c r="T5" s="92">
        <f t="array" aca="1" ref="T5" ca="1">SUM(OFFSET(T$11, 0, 0, timeHorizon*AB.cyclesPerYear) / (1+DQALYs)^(OFFSET($D$11, 0, 0, timeHorizon*AB.cyclesPerYear)/AB.cyclesPerYear))</f>
        <v>0</v>
      </c>
      <c r="U5" s="92">
        <f t="array" aca="1" ref="U5" ca="1">SUM(OFFSET(U$11, 0, 0, timeHorizon*AB.cyclesPerYear) / (1+DQALYs)^(OFFSET($D$11, 0, 0, timeHorizon*AB.cyclesPerYear)/AB.cyclesPerYear))</f>
        <v>0.25144554974989852</v>
      </c>
      <c r="V5" s="92">
        <f t="array" aca="1" ref="V5" ca="1">SUM(OFFSET(V$11, 0, 0, timeHorizon*AB.cyclesPerYear) / (1+DQALYs)^(OFFSET($D$11, 0, 0, timeHorizon*AB.cyclesPerYear)/AB.cyclesPerYear))</f>
        <v>3.5747145670947347E-2</v>
      </c>
      <c r="W5" s="92">
        <f t="array" aca="1" ref="W5" ca="1">SUM(OFFSET(W$11, 0, 0, timeHorizon*AB.cyclesPerYear) / (1+DQALYs)^(OFFSET($D$11, 0, 0, timeHorizon*AB.cyclesPerYear)/AB.cyclesPerYear))</f>
        <v>3.7474214801919616E-3</v>
      </c>
      <c r="X5" s="92">
        <f t="array" aca="1" ref="X5" ca="1">SUM(OFFSET(X$11, 0, 0, timeHorizon*AB.cyclesPerYear) / (1+DQALYs)^(OFFSET($D$11, 0, 0, timeHorizon*AB.cyclesPerYear)/AB.cyclesPerYear))</f>
        <v>5.3274721009927508E-4</v>
      </c>
      <c r="Y5" s="92">
        <f t="array" aca="1" ref="Y5" ca="1">SUM(OFFSET(Y$11, 0, 0, timeHorizon*AB.cyclesPerYear) / (1+DQALYs)^(OFFSET($D$11, 0, 0, timeHorizon*AB.cyclesPerYear)/AB.cyclesPerYear))</f>
        <v>1.1413210086822154E-3</v>
      </c>
      <c r="Z5" s="92">
        <f t="array" aca="1" ref="Z5" ca="1">SUM(OFFSET(Z$11, 0, 0, timeHorizon*AB.cyclesPerYear) / (1+DQALYs)^(OFFSET($D$11, 0, 0, timeHorizon*AB.cyclesPerYear)/AB.cyclesPerYear))</f>
        <v>1.6222928207380944E-4</v>
      </c>
      <c r="AA5" s="92">
        <f t="array" aca="1" ref="AA5" ca="1">SUM(OFFSET(AA$11, 0, 0, timeHorizon*AB.cyclesPerYear) / (1+DQALYs)^(OFFSET($D$11, 0, 0, timeHorizon*AB.cyclesPerYear)/AB.cyclesPerYear))</f>
        <v>2.8723560669136883</v>
      </c>
      <c r="AB5" s="92">
        <f t="array" aca="1" ref="AB5" ca="1">SUM(OFFSET(AB$11, 0, 0, timeHorizon*AB.cyclesPerYear) / (1+DQALYs)^(OFFSET($D$11, 0, 0, timeHorizon*AB.cyclesPerYear)/AB.cyclesPerYear))</f>
        <v>0</v>
      </c>
      <c r="AC5" s="92">
        <f t="array" aca="1" ref="AC5" ca="1">SUM(OFFSET(AC$11, 0, 0, timeHorizon*AB.cyclesPerYear) / (1+DQALYs)^(OFFSET($D$11, 0, 0, timeHorizon*AB.cyclesPerYear)/AB.cyclesPerYear))</f>
        <v>5.8534862635546148</v>
      </c>
    </row>
    <row r="6" spans="1:29" ht="12" customHeight="1" thickBot="1" x14ac:dyDescent="0.3">
      <c r="A6" s="262"/>
      <c r="C6" s="263"/>
      <c r="F6" s="57"/>
      <c r="G6" s="45" cm="1">
        <f t="array" ref="G6">INDEX(AB.rngU.Disutil_byState, G$3)</f>
        <v>0</v>
      </c>
      <c r="H6" s="45" cm="1">
        <f t="array" ref="H6">INDEX(AB.rngU.Disutil_byState, H$3)</f>
        <v>0</v>
      </c>
      <c r="I6" s="45" cm="1">
        <f t="array" ref="I6">INDEX(AB.rngU.Disutil_byState, I$3)</f>
        <v>-7.8690701001430718E-2</v>
      </c>
      <c r="J6" s="45" cm="1">
        <f t="array" ref="J6">INDEX(AB.rngU.Disutil_byState, J$3)</f>
        <v>-7.8690701001430718E-2</v>
      </c>
      <c r="K6" s="45" cm="1">
        <f t="array" ref="K6">INDEX(AB.rngU.Disutil_byState, K$3)</f>
        <v>-0.10199999999999998</v>
      </c>
      <c r="L6" s="45" cm="1">
        <f t="array" ref="L6">INDEX(AB.rngU.Disutil_byState, L$3)</f>
        <v>-0.10199999999999998</v>
      </c>
      <c r="M6" s="45" cm="1">
        <f t="array" ref="M6">INDEX(AB.rngU.Disutil_byState, M$3)</f>
        <v>-0.23899999999999999</v>
      </c>
      <c r="N6" s="45" cm="1">
        <f t="array" ref="N6">INDEX(AB.rngU.Disutil_byState, N$3)</f>
        <v>-0.23899999999999999</v>
      </c>
      <c r="O6" s="45" cm="1">
        <f t="array" ref="O6">INDEX(AB.rngU.Disutil_byState, O$3)</f>
        <v>0</v>
      </c>
      <c r="P6" s="45" cm="1">
        <f t="array" ref="P6">INDEX(AB.rngU.Disutil_byState, P$3)</f>
        <v>0</v>
      </c>
      <c r="Q6"/>
      <c r="S6" s="45" cm="1">
        <f t="array" ref="S6">INDEX(AB.rngU.Disutil_byState, S$3)</f>
        <v>0</v>
      </c>
      <c r="T6" s="45" cm="1">
        <f t="array" ref="T6">INDEX(AB.rngU.Disutil_byState, T$3)</f>
        <v>0</v>
      </c>
      <c r="U6" s="45" cm="1">
        <f t="array" ref="U6">INDEX(AB.rngU.Disutil_byState, U$3)</f>
        <v>-7.8690701001430718E-2</v>
      </c>
      <c r="V6" s="45" cm="1">
        <f t="array" ref="V6">INDEX(AB.rngU.Disutil_byState, V$3)</f>
        <v>-7.8690701001430718E-2</v>
      </c>
      <c r="W6" s="45" cm="1">
        <f t="array" ref="W6">INDEX(AB.rngU.Disutil_byState, W$3)</f>
        <v>-0.10199999999999998</v>
      </c>
      <c r="X6" s="45" cm="1">
        <f t="array" ref="X6">INDEX(AB.rngU.Disutil_byState, X$3)</f>
        <v>-0.10199999999999998</v>
      </c>
      <c r="Y6" s="45" cm="1">
        <f t="array" ref="Y6">INDEX(AB.rngU.Disutil_byState, Y$3)</f>
        <v>-0.23899999999999999</v>
      </c>
      <c r="Z6" s="45" cm="1">
        <f t="array" ref="Z6">INDEX(AB.rngU.Disutil_byState, Z$3)</f>
        <v>-0.23899999999999999</v>
      </c>
      <c r="AA6" s="45" cm="1">
        <f t="array" ref="AA6">INDEX(AB.rngU.Disutil_byState, AA$3)</f>
        <v>0</v>
      </c>
      <c r="AB6" s="45" cm="1">
        <f t="array" ref="AB6">INDEX(AB.rngU.Disutil_byState, AB$3)</f>
        <v>0</v>
      </c>
      <c r="AC6"/>
    </row>
    <row r="7" spans="1:29" ht="12" customHeight="1" thickBot="1" x14ac:dyDescent="0.3">
      <c r="A7" s="262"/>
      <c r="C7" s="263"/>
      <c r="D7" s="452" t="s">
        <v>31</v>
      </c>
      <c r="E7" s="452" t="s">
        <v>30</v>
      </c>
      <c r="F7" s="452" t="s">
        <v>36</v>
      </c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S7" s="438" t="str">
        <f>INDEX(rngStrats, S2)</f>
        <v>No HPE</v>
      </c>
      <c r="T7" s="438"/>
      <c r="U7" s="438"/>
      <c r="V7" s="438"/>
      <c r="W7" s="438"/>
      <c r="X7" s="438"/>
      <c r="Y7" s="438"/>
      <c r="Z7" s="438"/>
      <c r="AA7" s="438"/>
      <c r="AB7" s="438"/>
      <c r="AC7" s="438"/>
    </row>
    <row r="8" spans="1:29" ht="12" customHeight="1" thickBot="1" x14ac:dyDescent="0.3">
      <c r="A8" s="262"/>
      <c r="C8" s="263"/>
      <c r="D8" s="452"/>
      <c r="E8" s="452"/>
      <c r="F8" s="452"/>
      <c r="G8" s="501" t="str">
        <f t="shared" ref="G8:P8" ca="1" si="6">INDEX(AB.rngStates, G$3)</f>
        <v>Well no HPE</v>
      </c>
      <c r="H8" s="501" t="str">
        <f t="shared" ca="1" si="6"/>
        <v>Well with HPE</v>
      </c>
      <c r="I8" s="501" t="str">
        <f t="shared" ca="1" si="6"/>
        <v>GI discomfort</v>
      </c>
      <c r="J8" s="501" t="str">
        <f t="shared" ca="1" si="6"/>
        <v>Unresolved GI discomfort</v>
      </c>
      <c r="K8" s="501" t="str">
        <f t="shared" ca="1" si="6"/>
        <v>Symptomatic ulcer</v>
      </c>
      <c r="L8" s="501" t="str">
        <f t="shared" ca="1" si="6"/>
        <v>Unresolved ulcer</v>
      </c>
      <c r="M8" s="501" t="str">
        <f t="shared" ca="1" si="6"/>
        <v>Serious GI event</v>
      </c>
      <c r="N8" s="501" t="str">
        <f t="shared" ca="1" si="6"/>
        <v>Unresolved serious GI event</v>
      </c>
      <c r="O8" s="501" t="str">
        <f t="shared" ca="1" si="6"/>
        <v>Post-event</v>
      </c>
      <c r="P8" s="501" t="str">
        <f t="shared" ca="1" si="6"/>
        <v>Dead</v>
      </c>
      <c r="Q8" s="528" t="s">
        <v>37</v>
      </c>
      <c r="S8" s="501" t="str">
        <f t="shared" ref="S8:AB8" ca="1" si="7">INDEX(AB.rngStates, S$3)</f>
        <v>Well no HPE</v>
      </c>
      <c r="T8" s="501" t="str">
        <f t="shared" ca="1" si="7"/>
        <v>Well with HPE</v>
      </c>
      <c r="U8" s="501" t="str">
        <f t="shared" ca="1" si="7"/>
        <v>GI discomfort</v>
      </c>
      <c r="V8" s="501" t="str">
        <f t="shared" ca="1" si="7"/>
        <v>Unresolved GI discomfort</v>
      </c>
      <c r="W8" s="501" t="str">
        <f t="shared" ca="1" si="7"/>
        <v>Symptomatic ulcer</v>
      </c>
      <c r="X8" s="501" t="str">
        <f t="shared" ca="1" si="7"/>
        <v>Unresolved ulcer</v>
      </c>
      <c r="Y8" s="501" t="str">
        <f t="shared" ca="1" si="7"/>
        <v>Serious GI event</v>
      </c>
      <c r="Z8" s="501" t="str">
        <f t="shared" ca="1" si="7"/>
        <v>Unresolved serious GI event</v>
      </c>
      <c r="AA8" s="501" t="str">
        <f t="shared" ca="1" si="7"/>
        <v>Post-event</v>
      </c>
      <c r="AB8" s="501" t="str">
        <f t="shared" ca="1" si="7"/>
        <v>Dead</v>
      </c>
      <c r="AC8" s="528" t="s">
        <v>37</v>
      </c>
    </row>
    <row r="9" spans="1:29" ht="12" customHeight="1" thickBot="1" x14ac:dyDescent="0.3">
      <c r="A9" s="262"/>
      <c r="C9" s="263"/>
      <c r="D9" s="452"/>
      <c r="E9" s="452"/>
      <c r="F9" s="45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29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29"/>
    </row>
    <row r="10" spans="1:29" ht="12" customHeight="1" thickBot="1" x14ac:dyDescent="0.3">
      <c r="A10" s="262"/>
      <c r="C10" s="263"/>
      <c r="D10" s="452"/>
      <c r="E10" s="452"/>
      <c r="F10" s="452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30"/>
      <c r="S10" s="527"/>
      <c r="T10" s="527"/>
      <c r="U10" s="527"/>
      <c r="V10" s="527"/>
      <c r="W10" s="527"/>
      <c r="X10" s="527"/>
      <c r="Y10" s="527"/>
      <c r="Z10" s="527"/>
      <c r="AA10" s="527"/>
      <c r="AB10" s="527"/>
      <c r="AC10" s="530"/>
    </row>
    <row r="11" spans="1:29" ht="12" customHeight="1" x14ac:dyDescent="0.25">
      <c r="A11" s="262"/>
      <c r="C11" s="263"/>
      <c r="D11" s="62">
        <v>0</v>
      </c>
      <c r="E11" s="43">
        <f t="shared" ref="E11:E42" si="8">A.cohortAge+D11*AB.cycleLength</f>
        <v>70</v>
      </c>
      <c r="F11" s="44" cm="1">
        <f t="array" ref="F11">_fnGENPOP.U(E11)</f>
        <v>0.77900000000000003</v>
      </c>
      <c r="G11" s="45">
        <f t="shared" ref="G11:O20" ca="1" si="9">PRODUCT(AVERAGE(OFFSET(AB.Trace.MarkovQA.Root, $D11, (G$2-1)*AB.Trace.MarkovQA.NumCols+G$3-1, CHOOSE(swtchHalfCycle, 2, 1))), $F11+G$6, AB.cycleLength)</f>
        <v>0</v>
      </c>
      <c r="H11" s="45">
        <f t="shared" ca="1" si="9"/>
        <v>0.17937214132599325</v>
      </c>
      <c r="I11" s="45">
        <f t="shared" ca="1" si="9"/>
        <v>1.3094038039809994E-2</v>
      </c>
      <c r="J11" s="45">
        <f t="shared" ca="1" si="9"/>
        <v>0</v>
      </c>
      <c r="K11" s="45">
        <f t="shared" ca="1" si="9"/>
        <v>2.3661857939806017E-4</v>
      </c>
      <c r="L11" s="45">
        <f t="shared" ca="1" si="9"/>
        <v>0</v>
      </c>
      <c r="M11" s="45">
        <f t="shared" ca="1" si="9"/>
        <v>5.7981288335574871E-5</v>
      </c>
      <c r="N11" s="45">
        <f t="shared" ca="1" si="9"/>
        <v>0</v>
      </c>
      <c r="O11" s="45">
        <f t="shared" ca="1" si="9"/>
        <v>0</v>
      </c>
      <c r="P11" s="45">
        <v>0</v>
      </c>
      <c r="Q11" s="22">
        <f t="shared" ref="Q11:Q42" ca="1" si="10">SUM(G11:P11)</f>
        <v>0.19276077923353685</v>
      </c>
      <c r="S11" s="45">
        <f t="shared" ref="S11:AA20" ca="1" si="11">PRODUCT(AVERAGE(OFFSET(AB.Trace.MarkovQA.Root, $D11, (S$2-1)*AB.Trace.MarkovQA.NumCols+S$3-1, CHOOSE(swtchHalfCycle, 2, 1))), $F11+S$6, AB.cycleLength)</f>
        <v>0.18923550907017281</v>
      </c>
      <c r="T11" s="45">
        <f t="shared" ca="1" si="11"/>
        <v>0</v>
      </c>
      <c r="U11" s="45">
        <f t="shared" ca="1" si="11"/>
        <v>4.4519729335353985E-3</v>
      </c>
      <c r="V11" s="45">
        <f t="shared" ca="1" si="11"/>
        <v>0</v>
      </c>
      <c r="W11" s="45">
        <f t="shared" ca="1" si="11"/>
        <v>6.6386850927435052E-5</v>
      </c>
      <c r="X11" s="45">
        <f t="shared" ca="1" si="11"/>
        <v>0</v>
      </c>
      <c r="Y11" s="45">
        <f t="shared" ca="1" si="11"/>
        <v>2.0304787858838364E-5</v>
      </c>
      <c r="Z11" s="45">
        <f t="shared" ca="1" si="11"/>
        <v>0</v>
      </c>
      <c r="AA11" s="45">
        <f t="shared" ca="1" si="11"/>
        <v>0</v>
      </c>
      <c r="AB11" s="45">
        <v>0</v>
      </c>
      <c r="AC11" s="22">
        <f t="shared" ref="AC11:AC42" ca="1" si="12">SUM(S11:AB11)</f>
        <v>0.19377417364249447</v>
      </c>
    </row>
    <row r="12" spans="1:29" ht="12" customHeight="1" x14ac:dyDescent="0.25">
      <c r="A12" s="262"/>
      <c r="C12" s="263"/>
      <c r="D12" s="62">
        <f t="shared" ref="D12:D43" si="13">D11+1</f>
        <v>1</v>
      </c>
      <c r="E12" s="43">
        <f t="shared" si="8"/>
        <v>70.25</v>
      </c>
      <c r="F12" s="44" cm="1">
        <f t="array" ref="F12">_fnGENPOP.U(E12)</f>
        <v>0.77900000000000003</v>
      </c>
      <c r="G12" s="45">
        <f t="shared" ca="1" si="9"/>
        <v>0</v>
      </c>
      <c r="H12" s="45">
        <f t="shared" ca="1" si="9"/>
        <v>0.15104495838001025</v>
      </c>
      <c r="I12" s="45">
        <f t="shared" ca="1" si="9"/>
        <v>2.4120211982590293E-2</v>
      </c>
      <c r="J12" s="45">
        <f t="shared" ca="1" si="9"/>
        <v>1.9136965144312249E-3</v>
      </c>
      <c r="K12" s="45">
        <f t="shared" ca="1" si="9"/>
        <v>4.3586938397067624E-4</v>
      </c>
      <c r="L12" s="45">
        <f t="shared" ca="1" si="9"/>
        <v>3.4581856969334613E-5</v>
      </c>
      <c r="M12" s="45">
        <f t="shared" ca="1" si="9"/>
        <v>1.0680593422944183E-4</v>
      </c>
      <c r="N12" s="45">
        <f t="shared" ca="1" si="9"/>
        <v>8.4739779319925941E-6</v>
      </c>
      <c r="O12" s="45">
        <f t="shared" ca="1" si="9"/>
        <v>1.2654970837457319E-2</v>
      </c>
      <c r="P12" s="45">
        <v>0</v>
      </c>
      <c r="Q12" s="22">
        <f t="shared" ca="1" si="10"/>
        <v>0.19031956886759049</v>
      </c>
      <c r="S12" s="45">
        <f t="shared" ca="1" si="11"/>
        <v>0.17851882102530806</v>
      </c>
      <c r="T12" s="45">
        <f t="shared" ca="1" si="11"/>
        <v>0</v>
      </c>
      <c r="U12" s="45">
        <f t="shared" ca="1" si="11"/>
        <v>8.6518240251009151E-3</v>
      </c>
      <c r="V12" s="45">
        <f t="shared" ca="1" si="11"/>
        <v>6.5065681490661658E-4</v>
      </c>
      <c r="W12" s="45">
        <f t="shared" ca="1" si="11"/>
        <v>1.2901411584923076E-4</v>
      </c>
      <c r="X12" s="45">
        <f t="shared" ca="1" si="11"/>
        <v>9.7024527374705359E-6</v>
      </c>
      <c r="Y12" s="45">
        <f t="shared" ca="1" si="11"/>
        <v>3.945968541236602E-5</v>
      </c>
      <c r="Z12" s="45">
        <f t="shared" ca="1" si="11"/>
        <v>2.9675491726529523E-6</v>
      </c>
      <c r="AA12" s="45">
        <f t="shared" ca="1" si="11"/>
        <v>4.2898880966166951E-3</v>
      </c>
      <c r="AB12" s="45">
        <v>0</v>
      </c>
      <c r="AC12" s="22">
        <f t="shared" ca="1" si="12"/>
        <v>0.19229233376510399</v>
      </c>
    </row>
    <row r="13" spans="1:29" ht="12" customHeight="1" x14ac:dyDescent="0.25">
      <c r="A13" s="262"/>
      <c r="C13" s="263"/>
      <c r="D13" s="62">
        <f t="shared" si="13"/>
        <v>2</v>
      </c>
      <c r="E13" s="43">
        <f t="shared" si="8"/>
        <v>70.5</v>
      </c>
      <c r="F13" s="44" cm="1">
        <f t="array" ref="F13">_fnGENPOP.U(E13)</f>
        <v>0.77900000000000003</v>
      </c>
      <c r="G13" s="45">
        <f t="shared" ca="1" si="9"/>
        <v>0</v>
      </c>
      <c r="H13" s="45">
        <f t="shared" ca="1" si="9"/>
        <v>0.12719132014238219</v>
      </c>
      <c r="I13" s="45">
        <f t="shared" ca="1" si="9"/>
        <v>2.088963305152669E-2</v>
      </c>
      <c r="J13" s="45">
        <f t="shared" ca="1" si="9"/>
        <v>3.525174240222011E-3</v>
      </c>
      <c r="K13" s="45">
        <f t="shared" ca="1" si="9"/>
        <v>3.7566282043229233E-4</v>
      </c>
      <c r="L13" s="45">
        <f t="shared" ca="1" si="9"/>
        <v>6.3702405500577894E-5</v>
      </c>
      <c r="M13" s="45">
        <f t="shared" ca="1" si="9"/>
        <v>9.2577538194409616E-5</v>
      </c>
      <c r="N13" s="45">
        <f t="shared" ca="1" si="9"/>
        <v>1.5609710574692927E-5</v>
      </c>
      <c r="O13" s="45">
        <f t="shared" ca="1" si="9"/>
        <v>3.7417961280933838E-2</v>
      </c>
      <c r="P13" s="45">
        <v>0</v>
      </c>
      <c r="Q13" s="22">
        <f t="shared" ca="1" si="10"/>
        <v>0.18957164118976669</v>
      </c>
      <c r="S13" s="45">
        <f t="shared" ca="1" si="11"/>
        <v>0.16840903494728485</v>
      </c>
      <c r="T13" s="45">
        <f t="shared" ca="1" si="11"/>
        <v>0</v>
      </c>
      <c r="U13" s="45">
        <f t="shared" ca="1" si="11"/>
        <v>8.357991527859869E-3</v>
      </c>
      <c r="V13" s="45">
        <f t="shared" ca="1" si="11"/>
        <v>1.2644659676388269E-3</v>
      </c>
      <c r="W13" s="45">
        <f t="shared" ca="1" si="11"/>
        <v>1.2463254963506092E-4</v>
      </c>
      <c r="X13" s="45">
        <f t="shared" ca="1" si="11"/>
        <v>1.8855441160508635E-5</v>
      </c>
      <c r="Y13" s="45">
        <f t="shared" ca="1" si="11"/>
        <v>3.8119558998395599E-5</v>
      </c>
      <c r="Z13" s="45">
        <f t="shared" ca="1" si="11"/>
        <v>5.7670416264724157E-6</v>
      </c>
      <c r="AA13" s="45">
        <f t="shared" ca="1" si="11"/>
        <v>1.3118783113547802E-2</v>
      </c>
      <c r="AB13" s="45">
        <v>0</v>
      </c>
      <c r="AC13" s="22">
        <f t="shared" ca="1" si="12"/>
        <v>0.19133765014775181</v>
      </c>
    </row>
    <row r="14" spans="1:29" ht="12" customHeight="1" x14ac:dyDescent="0.25">
      <c r="A14" s="262"/>
      <c r="C14" s="263"/>
      <c r="D14" s="62">
        <f t="shared" si="13"/>
        <v>3</v>
      </c>
      <c r="E14" s="43">
        <f t="shared" si="8"/>
        <v>70.75</v>
      </c>
      <c r="F14" s="44" cm="1">
        <f t="array" ref="F14">_fnGENPOP.U(E14)</f>
        <v>0.77900000000000003</v>
      </c>
      <c r="G14" s="45">
        <f t="shared" ca="1" si="9"/>
        <v>0</v>
      </c>
      <c r="H14" s="45">
        <f t="shared" ca="1" si="9"/>
        <v>0.10710474611712001</v>
      </c>
      <c r="I14" s="45">
        <f t="shared" ca="1" si="9"/>
        <v>1.881418983444207E-2</v>
      </c>
      <c r="J14" s="45">
        <f t="shared" ca="1" si="9"/>
        <v>3.0530244250790359E-3</v>
      </c>
      <c r="K14" s="45">
        <f t="shared" ca="1" si="9"/>
        <v>3.3458166984770462E-4</v>
      </c>
      <c r="L14" s="45">
        <f t="shared" ca="1" si="9"/>
        <v>5.490320311251462E-5</v>
      </c>
      <c r="M14" s="45">
        <f t="shared" ca="1" si="9"/>
        <v>8.3537667500667136E-5</v>
      </c>
      <c r="N14" s="45">
        <f t="shared" ca="1" si="9"/>
        <v>1.3530227391934176E-5</v>
      </c>
      <c r="O14" s="45">
        <f t="shared" ca="1" si="9"/>
        <v>5.9480496854661356E-2</v>
      </c>
      <c r="P14" s="45">
        <v>0</v>
      </c>
      <c r="Q14" s="22">
        <f t="shared" ca="1" si="10"/>
        <v>0.18893900999915531</v>
      </c>
      <c r="S14" s="45">
        <f t="shared" ca="1" si="11"/>
        <v>0.15887178107598568</v>
      </c>
      <c r="T14" s="45">
        <f t="shared" ca="1" si="11"/>
        <v>0</v>
      </c>
      <c r="U14" s="45">
        <f t="shared" ca="1" si="11"/>
        <v>8.2994293472715298E-3</v>
      </c>
      <c r="V14" s="45">
        <f t="shared" ca="1" si="11"/>
        <v>1.2215222841023023E-3</v>
      </c>
      <c r="W14" s="45">
        <f t="shared" ca="1" si="11"/>
        <v>1.2375928315057306E-4</v>
      </c>
      <c r="X14" s="45">
        <f t="shared" ca="1" si="11"/>
        <v>1.8215074302988175E-5</v>
      </c>
      <c r="Y14" s="45">
        <f t="shared" ca="1" si="11"/>
        <v>3.7852465583599637E-5</v>
      </c>
      <c r="Z14" s="45">
        <f t="shared" ca="1" si="11"/>
        <v>5.5711818588808424E-6</v>
      </c>
      <c r="AA14" s="45">
        <f t="shared" ca="1" si="11"/>
        <v>2.1857929784757233E-2</v>
      </c>
      <c r="AB14" s="45">
        <v>0</v>
      </c>
      <c r="AC14" s="22">
        <f t="shared" ca="1" si="12"/>
        <v>0.19043606049701278</v>
      </c>
    </row>
    <row r="15" spans="1:29" ht="12" customHeight="1" x14ac:dyDescent="0.25">
      <c r="A15" s="262"/>
      <c r="C15" s="263"/>
      <c r="D15" s="62">
        <f t="shared" si="13"/>
        <v>4</v>
      </c>
      <c r="E15" s="43">
        <f t="shared" si="8"/>
        <v>71</v>
      </c>
      <c r="F15" s="44" cm="1">
        <f t="array" ref="F15">_fnGENPOP.U(E15)</f>
        <v>0.77900000000000003</v>
      </c>
      <c r="G15" s="45">
        <f t="shared" ca="1" si="9"/>
        <v>0</v>
      </c>
      <c r="H15" s="45">
        <f t="shared" ca="1" si="9"/>
        <v>9.0190326100643037E-2</v>
      </c>
      <c r="I15" s="45">
        <f t="shared" ca="1" si="9"/>
        <v>1.7121840122946867E-2</v>
      </c>
      <c r="J15" s="45">
        <f t="shared" ca="1" si="9"/>
        <v>2.7496979463900832E-3</v>
      </c>
      <c r="K15" s="45">
        <f t="shared" ca="1" si="9"/>
        <v>3.0081330681184094E-4</v>
      </c>
      <c r="L15" s="45">
        <f t="shared" ca="1" si="9"/>
        <v>4.8899183997591496E-5</v>
      </c>
      <c r="M15" s="45">
        <f t="shared" ca="1" si="9"/>
        <v>7.6177766748112768E-5</v>
      </c>
      <c r="N15" s="45">
        <f t="shared" ca="1" si="9"/>
        <v>1.220904831906698E-5</v>
      </c>
      <c r="O15" s="45">
        <f t="shared" ca="1" si="9"/>
        <v>7.7749255180759133E-2</v>
      </c>
      <c r="P15" s="45">
        <v>0</v>
      </c>
      <c r="Q15" s="22">
        <f t="shared" ca="1" si="10"/>
        <v>0.18824921865661573</v>
      </c>
      <c r="S15" s="45">
        <f t="shared" ca="1" si="11"/>
        <v>0.14987463606187509</v>
      </c>
      <c r="T15" s="45">
        <f t="shared" ca="1" si="11"/>
        <v>0</v>
      </c>
      <c r="U15" s="45">
        <f t="shared" ca="1" si="11"/>
        <v>8.2629399849828596E-3</v>
      </c>
      <c r="V15" s="45">
        <f t="shared" ca="1" si="11"/>
        <v>1.2129634086409157E-3</v>
      </c>
      <c r="W15" s="45">
        <f t="shared" ca="1" si="11"/>
        <v>1.2321516172601366E-4</v>
      </c>
      <c r="X15" s="45">
        <f t="shared" ca="1" si="11"/>
        <v>1.8087446215880656E-5</v>
      </c>
      <c r="Y15" s="45">
        <f t="shared" ca="1" si="11"/>
        <v>3.7686043017371808E-5</v>
      </c>
      <c r="Z15" s="45">
        <f t="shared" ca="1" si="11"/>
        <v>5.5321460980736284E-6</v>
      </c>
      <c r="AA15" s="45">
        <f t="shared" ca="1" si="11"/>
        <v>2.9997224851868391E-2</v>
      </c>
      <c r="AB15" s="45">
        <v>0</v>
      </c>
      <c r="AC15" s="22">
        <f t="shared" ca="1" si="12"/>
        <v>0.1895322851044246</v>
      </c>
    </row>
    <row r="16" spans="1:29" ht="12" customHeight="1" x14ac:dyDescent="0.25">
      <c r="A16" s="262"/>
      <c r="C16" s="263"/>
      <c r="D16" s="62">
        <f t="shared" si="13"/>
        <v>5</v>
      </c>
      <c r="E16" s="43">
        <f t="shared" si="8"/>
        <v>71.25</v>
      </c>
      <c r="F16" s="44" cm="1">
        <f t="array" ref="F16">_fnGENPOP.U(E16)</f>
        <v>0.77900000000000003</v>
      </c>
      <c r="G16" s="45">
        <f t="shared" ca="1" si="9"/>
        <v>0</v>
      </c>
      <c r="H16" s="45">
        <f t="shared" ca="1" si="9"/>
        <v>7.5947100544409174E-2</v>
      </c>
      <c r="I16" s="45">
        <f t="shared" ca="1" si="9"/>
        <v>1.5682599645206314E-2</v>
      </c>
      <c r="J16" s="45">
        <f t="shared" ca="1" si="9"/>
        <v>2.5023606670694825E-3</v>
      </c>
      <c r="K16" s="45">
        <f t="shared" ca="1" si="9"/>
        <v>2.721667270940807E-4</v>
      </c>
      <c r="L16" s="45">
        <f t="shared" ca="1" si="9"/>
        <v>4.3963930377332554E-5</v>
      </c>
      <c r="M16" s="45">
        <f t="shared" ca="1" si="9"/>
        <v>6.991561936173464E-5</v>
      </c>
      <c r="N16" s="45">
        <f t="shared" ca="1" si="9"/>
        <v>1.1133397219390823E-5</v>
      </c>
      <c r="O16" s="45">
        <f t="shared" ca="1" si="9"/>
        <v>9.3000691909013153E-2</v>
      </c>
      <c r="P16" s="45">
        <v>0</v>
      </c>
      <c r="Q16" s="22">
        <f t="shared" ca="1" si="10"/>
        <v>0.18752993243975066</v>
      </c>
      <c r="S16" s="45">
        <f t="shared" ca="1" si="11"/>
        <v>0.14138701273787649</v>
      </c>
      <c r="T16" s="45">
        <f t="shared" ca="1" si="11"/>
        <v>0</v>
      </c>
      <c r="U16" s="45">
        <f t="shared" ca="1" si="11"/>
        <v>8.2237191917086498E-3</v>
      </c>
      <c r="V16" s="45">
        <f t="shared" ca="1" si="11"/>
        <v>1.2076304803865954E-3</v>
      </c>
      <c r="W16" s="45">
        <f t="shared" ca="1" si="11"/>
        <v>1.2263030979739174E-4</v>
      </c>
      <c r="X16" s="45">
        <f t="shared" ca="1" si="11"/>
        <v>1.8007922751045681E-5</v>
      </c>
      <c r="Y16" s="45">
        <f t="shared" ca="1" si="11"/>
        <v>3.7507162799774501E-5</v>
      </c>
      <c r="Z16" s="45">
        <f t="shared" ca="1" si="11"/>
        <v>5.507823403734067E-6</v>
      </c>
      <c r="AA16" s="45">
        <f t="shared" ca="1" si="11"/>
        <v>3.7630750267276247E-2</v>
      </c>
      <c r="AB16" s="45">
        <v>0</v>
      </c>
      <c r="AC16" s="22">
        <f t="shared" ca="1" si="12"/>
        <v>0.18863276589599992</v>
      </c>
    </row>
    <row r="17" spans="1:29" ht="12" customHeight="1" x14ac:dyDescent="0.25">
      <c r="A17" s="262"/>
      <c r="C17" s="263"/>
      <c r="D17" s="62">
        <f t="shared" si="13"/>
        <v>6</v>
      </c>
      <c r="E17" s="43">
        <f t="shared" si="8"/>
        <v>71.5</v>
      </c>
      <c r="F17" s="44" cm="1">
        <f t="array" ref="F17">_fnGENPOP.U(E17)</f>
        <v>0.77900000000000003</v>
      </c>
      <c r="G17" s="45">
        <f t="shared" ca="1" si="9"/>
        <v>0</v>
      </c>
      <c r="H17" s="45">
        <f t="shared" ca="1" si="9"/>
        <v>6.3953223482817317E-2</v>
      </c>
      <c r="I17" s="45">
        <f t="shared" ca="1" si="9"/>
        <v>1.4464603714718962E-2</v>
      </c>
      <c r="J17" s="45">
        <f t="shared" ca="1" si="9"/>
        <v>2.2920153574479138E-3</v>
      </c>
      <c r="K17" s="45">
        <f t="shared" ca="1" si="9"/>
        <v>2.4795397288967093E-4</v>
      </c>
      <c r="L17" s="45">
        <f t="shared" ca="1" si="9"/>
        <v>3.9777226505724633E-5</v>
      </c>
      <c r="M17" s="45">
        <f t="shared" ca="1" si="9"/>
        <v>6.4614840101196198E-5</v>
      </c>
      <c r="N17" s="45">
        <f t="shared" ca="1" si="9"/>
        <v>1.0218183013526161E-5</v>
      </c>
      <c r="O17" s="45">
        <f t="shared" ca="1" si="9"/>
        <v>0.10571430070098692</v>
      </c>
      <c r="P17" s="45">
        <v>0</v>
      </c>
      <c r="Q17" s="22">
        <f t="shared" ca="1" si="10"/>
        <v>0.18678670747848122</v>
      </c>
      <c r="S17" s="45">
        <f t="shared" ca="1" si="11"/>
        <v>0.13338005613363121</v>
      </c>
      <c r="T17" s="45">
        <f t="shared" ca="1" si="11"/>
        <v>0</v>
      </c>
      <c r="U17" s="45">
        <f t="shared" ca="1" si="11"/>
        <v>8.1846699411655399E-3</v>
      </c>
      <c r="V17" s="45">
        <f t="shared" ca="1" si="11"/>
        <v>1.2018983528982005E-3</v>
      </c>
      <c r="W17" s="45">
        <f t="shared" ca="1" si="11"/>
        <v>1.2204801587662103E-4</v>
      </c>
      <c r="X17" s="45">
        <f t="shared" ca="1" si="11"/>
        <v>1.7922446514161436E-5</v>
      </c>
      <c r="Y17" s="45">
        <f t="shared" ca="1" si="11"/>
        <v>3.7329064963116078E-5</v>
      </c>
      <c r="Z17" s="45">
        <f t="shared" ca="1" si="11"/>
        <v>5.4816800209306947E-6</v>
      </c>
      <c r="AA17" s="45">
        <f t="shared" ca="1" si="11"/>
        <v>4.4788160672013959E-2</v>
      </c>
      <c r="AB17" s="45">
        <v>0</v>
      </c>
      <c r="AC17" s="22">
        <f t="shared" ca="1" si="12"/>
        <v>0.18773756630708374</v>
      </c>
    </row>
    <row r="18" spans="1:29" ht="12" customHeight="1" x14ac:dyDescent="0.25">
      <c r="A18" s="262"/>
      <c r="C18" s="263"/>
      <c r="D18" s="62">
        <f t="shared" si="13"/>
        <v>7</v>
      </c>
      <c r="E18" s="43">
        <f t="shared" si="8"/>
        <v>71.75</v>
      </c>
      <c r="F18" s="44" cm="1">
        <f t="array" ref="F18">_fnGENPOP.U(E18)</f>
        <v>0.77900000000000003</v>
      </c>
      <c r="G18" s="45">
        <f t="shared" ca="1" si="9"/>
        <v>0</v>
      </c>
      <c r="H18" s="45">
        <f t="shared" ca="1" si="9"/>
        <v>5.3853468592281385E-2</v>
      </c>
      <c r="I18" s="45">
        <f t="shared" ca="1" si="9"/>
        <v>1.3433049000882109E-2</v>
      </c>
      <c r="J18" s="45">
        <f t="shared" ca="1" si="9"/>
        <v>2.1140049866456858E-3</v>
      </c>
      <c r="K18" s="45">
        <f t="shared" ca="1" si="9"/>
        <v>2.2747687198937462E-4</v>
      </c>
      <c r="L18" s="45">
        <f t="shared" ca="1" si="9"/>
        <v>3.6238527199606583E-5</v>
      </c>
      <c r="M18" s="45">
        <f t="shared" ca="1" si="9"/>
        <v>6.0124228396669316E-5</v>
      </c>
      <c r="N18" s="45">
        <f t="shared" ca="1" si="9"/>
        <v>9.4434729688615152E-6</v>
      </c>
      <c r="O18" s="45">
        <f t="shared" ca="1" si="9"/>
        <v>0.11629002306594274</v>
      </c>
      <c r="P18" s="45">
        <v>0</v>
      </c>
      <c r="Q18" s="22">
        <f t="shared" ca="1" si="10"/>
        <v>0.18602382874630644</v>
      </c>
      <c r="S18" s="45">
        <f t="shared" ca="1" si="11"/>
        <v>0.12582654537862475</v>
      </c>
      <c r="T18" s="45">
        <f t="shared" ca="1" si="11"/>
        <v>0</v>
      </c>
      <c r="U18" s="45">
        <f t="shared" ca="1" si="11"/>
        <v>8.1458287941976789E-3</v>
      </c>
      <c r="V18" s="45">
        <f t="shared" ca="1" si="11"/>
        <v>1.1961912964173578E-3</v>
      </c>
      <c r="W18" s="45">
        <f t="shared" ca="1" si="11"/>
        <v>1.2146882515104796E-4</v>
      </c>
      <c r="X18" s="45">
        <f t="shared" ca="1" si="11"/>
        <v>1.7837344130682367E-5</v>
      </c>
      <c r="Y18" s="45">
        <f t="shared" ca="1" si="11"/>
        <v>3.7151916255980949E-5</v>
      </c>
      <c r="Z18" s="45">
        <f t="shared" ca="1" si="11"/>
        <v>5.4556509832721262E-6</v>
      </c>
      <c r="AA18" s="45">
        <f t="shared" ca="1" si="11"/>
        <v>5.149613351467805E-2</v>
      </c>
      <c r="AB18" s="45">
        <v>0</v>
      </c>
      <c r="AC18" s="22">
        <f t="shared" ca="1" si="12"/>
        <v>0.18684661272043881</v>
      </c>
    </row>
    <row r="19" spans="1:29" ht="12" customHeight="1" x14ac:dyDescent="0.25">
      <c r="A19" s="262"/>
      <c r="C19" s="263"/>
      <c r="D19" s="62">
        <f t="shared" si="13"/>
        <v>8</v>
      </c>
      <c r="E19" s="43">
        <f t="shared" si="8"/>
        <v>72</v>
      </c>
      <c r="F19" s="44" cm="1">
        <f t="array" ref="F19">_fnGENPOP.U(E19)</f>
        <v>0.77900000000000003</v>
      </c>
      <c r="G19" s="45">
        <f t="shared" ca="1" si="9"/>
        <v>0</v>
      </c>
      <c r="H19" s="45">
        <f t="shared" ca="1" si="9"/>
        <v>4.5348708344608309E-2</v>
      </c>
      <c r="I19" s="45">
        <f t="shared" ca="1" si="9"/>
        <v>1.2558453416717118E-2</v>
      </c>
      <c r="J19" s="45">
        <f t="shared" ca="1" si="9"/>
        <v>1.9632430403069894E-3</v>
      </c>
      <c r="K19" s="45">
        <f t="shared" ca="1" si="9"/>
        <v>2.1014490022685899E-4</v>
      </c>
      <c r="L19" s="45">
        <f t="shared" ca="1" si="9"/>
        <v>3.3245794438374878E-5</v>
      </c>
      <c r="M19" s="45">
        <f t="shared" ca="1" si="9"/>
        <v>5.6315663556079887E-5</v>
      </c>
      <c r="N19" s="45">
        <f t="shared" ca="1" si="9"/>
        <v>8.7871690891500243E-6</v>
      </c>
      <c r="O19" s="45">
        <f t="shared" ca="1" si="9"/>
        <v>0.12506615787334296</v>
      </c>
      <c r="P19" s="45">
        <v>0</v>
      </c>
      <c r="Q19" s="22">
        <f t="shared" ca="1" si="10"/>
        <v>0.18524505620228585</v>
      </c>
      <c r="S19" s="45">
        <f t="shared" ca="1" si="11"/>
        <v>0.11870080116068463</v>
      </c>
      <c r="T19" s="45">
        <f t="shared" ca="1" si="11"/>
        <v>0</v>
      </c>
      <c r="U19" s="45">
        <f t="shared" ca="1" si="11"/>
        <v>8.1071709056223136E-3</v>
      </c>
      <c r="V19" s="45">
        <f t="shared" ca="1" si="11"/>
        <v>1.1905146543194104E-3</v>
      </c>
      <c r="W19" s="45">
        <f t="shared" ca="1" si="11"/>
        <v>1.2089236713471763E-4</v>
      </c>
      <c r="X19" s="45">
        <f t="shared" ca="1" si="11"/>
        <v>1.7752695279858029E-5</v>
      </c>
      <c r="Y19" s="45">
        <f t="shared" ca="1" si="11"/>
        <v>3.6975603363177703E-5</v>
      </c>
      <c r="Z19" s="45">
        <f t="shared" ca="1" si="11"/>
        <v>5.4297606611003239E-6</v>
      </c>
      <c r="AA19" s="45">
        <f t="shared" ca="1" si="11"/>
        <v>5.7780349960316529E-2</v>
      </c>
      <c r="AB19" s="45">
        <v>0</v>
      </c>
      <c r="AC19" s="22">
        <f t="shared" ca="1" si="12"/>
        <v>0.18595988710738176</v>
      </c>
    </row>
    <row r="20" spans="1:29" ht="12" customHeight="1" x14ac:dyDescent="0.25">
      <c r="A20" s="262"/>
      <c r="C20" s="263"/>
      <c r="D20" s="62">
        <f t="shared" si="13"/>
        <v>9</v>
      </c>
      <c r="E20" s="43">
        <f t="shared" si="8"/>
        <v>72.25</v>
      </c>
      <c r="F20" s="44" cm="1">
        <f t="array" ref="F20">_fnGENPOP.U(E20)</f>
        <v>0.77900000000000003</v>
      </c>
      <c r="G20" s="45">
        <f t="shared" ca="1" si="9"/>
        <v>0</v>
      </c>
      <c r="H20" s="45">
        <f t="shared" ca="1" si="9"/>
        <v>3.8187054655549127E-2</v>
      </c>
      <c r="I20" s="45">
        <f t="shared" ca="1" si="9"/>
        <v>1.1816060198962135E-2</v>
      </c>
      <c r="J20" s="45">
        <f t="shared" ca="1" si="9"/>
        <v>1.8354207049918725E-3</v>
      </c>
      <c r="K20" s="45">
        <f t="shared" ca="1" si="9"/>
        <v>1.9546182618580588E-4</v>
      </c>
      <c r="L20" s="45">
        <f t="shared" ca="1" si="9"/>
        <v>3.0712722986367097E-5</v>
      </c>
      <c r="M20" s="45">
        <f t="shared" ca="1" si="9"/>
        <v>5.3081574717461774E-5</v>
      </c>
      <c r="N20" s="45">
        <f t="shared" ca="1" si="9"/>
        <v>8.2305465073107049E-6</v>
      </c>
      <c r="O20" s="45">
        <f t="shared" ca="1" si="9"/>
        <v>0.13232752563257755</v>
      </c>
      <c r="P20" s="45">
        <v>0</v>
      </c>
      <c r="Q20" s="22">
        <f t="shared" ca="1" si="10"/>
        <v>0.18445354786247764</v>
      </c>
      <c r="S20" s="45">
        <f t="shared" ca="1" si="11"/>
        <v>0.11197859842524104</v>
      </c>
      <c r="T20" s="45">
        <f t="shared" ca="1" si="11"/>
        <v>0</v>
      </c>
      <c r="U20" s="45">
        <f t="shared" ca="1" si="11"/>
        <v>8.0686963601526822E-3</v>
      </c>
      <c r="V20" s="45">
        <f t="shared" ca="1" si="11"/>
        <v>1.1848647954754827E-3</v>
      </c>
      <c r="W20" s="45">
        <f t="shared" ca="1" si="11"/>
        <v>1.2031864309085538E-4</v>
      </c>
      <c r="X20" s="45">
        <f t="shared" ca="1" si="11"/>
        <v>1.7668445815085336E-5</v>
      </c>
      <c r="Y20" s="45">
        <f t="shared" ca="1" si="11"/>
        <v>3.6800126671070836E-5</v>
      </c>
      <c r="Z20" s="45">
        <f t="shared" ca="1" si="11"/>
        <v>5.403992493375361E-6</v>
      </c>
      <c r="AA20" s="45">
        <f t="shared" ca="1" si="11"/>
        <v>6.3665018906870222E-2</v>
      </c>
      <c r="AB20" s="45">
        <v>0</v>
      </c>
      <c r="AC20" s="22">
        <f t="shared" ca="1" si="12"/>
        <v>0.18507736969580982</v>
      </c>
    </row>
    <row r="21" spans="1:29" ht="12" customHeight="1" x14ac:dyDescent="0.25">
      <c r="A21" s="262"/>
      <c r="C21" s="263"/>
      <c r="D21" s="62">
        <f t="shared" si="13"/>
        <v>10</v>
      </c>
      <c r="E21" s="43">
        <f t="shared" si="8"/>
        <v>72.5</v>
      </c>
      <c r="F21" s="44" cm="1">
        <f t="array" ref="F21">_fnGENPOP.U(E21)</f>
        <v>0.77900000000000003</v>
      </c>
      <c r="G21" s="45">
        <f t="shared" ref="G21:O30" ca="1" si="14">PRODUCT(AVERAGE(OFFSET(AB.Trace.MarkovQA.Root, $D21, (G$2-1)*AB.Trace.MarkovQA.NumCols+G$3-1, CHOOSE(swtchHalfCycle, 2, 1))), $F21+G$6, AB.cycleLength)</f>
        <v>0</v>
      </c>
      <c r="H21" s="45">
        <f t="shared" ca="1" si="14"/>
        <v>3.2156398638402972E-2</v>
      </c>
      <c r="I21" s="45">
        <f t="shared" ca="1" si="14"/>
        <v>1.1185019858957744E-2</v>
      </c>
      <c r="J21" s="45">
        <f t="shared" ca="1" si="14"/>
        <v>1.7269197743518616E-3</v>
      </c>
      <c r="K21" s="45">
        <f t="shared" ca="1" si="14"/>
        <v>1.8300974933769837E-4</v>
      </c>
      <c r="L21" s="45">
        <f t="shared" ca="1" si="14"/>
        <v>2.8566788513894262E-5</v>
      </c>
      <c r="M21" s="45">
        <f t="shared" ca="1" si="14"/>
        <v>5.0331368036192379E-5</v>
      </c>
      <c r="N21" s="45">
        <f t="shared" ca="1" si="14"/>
        <v>7.7578837184133668E-6</v>
      </c>
      <c r="O21" s="45">
        <f t="shared" ca="1" si="14"/>
        <v>0.13831395497253585</v>
      </c>
      <c r="P21" s="45">
        <v>0</v>
      </c>
      <c r="Q21" s="22">
        <f t="shared" ca="1" si="10"/>
        <v>0.18365195903385462</v>
      </c>
      <c r="S21" s="45">
        <f t="shared" ref="S21:AA30" ca="1" si="15">PRODUCT(AVERAGE(OFFSET(AB.Trace.MarkovQA.Root, $D21, (S$2-1)*AB.Trace.MarkovQA.NumCols+S$3-1, CHOOSE(swtchHalfCycle, 2, 1))), $F21+S$6, AB.cycleLength)</f>
        <v>0.10563708401855805</v>
      </c>
      <c r="T21" s="45">
        <f t="shared" ca="1" si="15"/>
        <v>0</v>
      </c>
      <c r="U21" s="45">
        <f t="shared" ca="1" si="15"/>
        <v>8.0304044191097136E-3</v>
      </c>
      <c r="V21" s="45">
        <f t="shared" ca="1" si="15"/>
        <v>1.1792417322664325E-3</v>
      </c>
      <c r="W21" s="45">
        <f t="shared" ca="1" si="15"/>
        <v>1.1974764200443973E-4</v>
      </c>
      <c r="X21" s="45">
        <f t="shared" ca="1" si="15"/>
        <v>1.7584595920984945E-5</v>
      </c>
      <c r="Y21" s="45">
        <f t="shared" ca="1" si="15"/>
        <v>3.6625482810654733E-5</v>
      </c>
      <c r="Z21" s="45">
        <f t="shared" ca="1" si="15"/>
        <v>5.3783465365644942E-6</v>
      </c>
      <c r="AA21" s="45">
        <f t="shared" ca="1" si="15"/>
        <v>6.9172974246201072E-2</v>
      </c>
      <c r="AB21" s="45">
        <v>0</v>
      </c>
      <c r="AC21" s="22">
        <f t="shared" ca="1" si="12"/>
        <v>0.18419904048340791</v>
      </c>
    </row>
    <row r="22" spans="1:29" ht="12" customHeight="1" x14ac:dyDescent="0.25">
      <c r="A22" s="262"/>
      <c r="C22" s="263"/>
      <c r="D22" s="62">
        <f t="shared" si="13"/>
        <v>11</v>
      </c>
      <c r="E22" s="43">
        <f t="shared" si="8"/>
        <v>72.75</v>
      </c>
      <c r="F22" s="44" cm="1">
        <f t="array" ref="F22">_fnGENPOP.U(E22)</f>
        <v>0.77900000000000003</v>
      </c>
      <c r="G22" s="45">
        <f t="shared" ca="1" si="14"/>
        <v>0</v>
      </c>
      <c r="H22" s="45">
        <f t="shared" ca="1" si="14"/>
        <v>2.7078128510275787E-2</v>
      </c>
      <c r="I22" s="45">
        <f t="shared" ca="1" si="14"/>
        <v>1.0647775002439087E-2</v>
      </c>
      <c r="J22" s="45">
        <f t="shared" ca="1" si="14"/>
        <v>1.6346930910735363E-3</v>
      </c>
      <c r="K22" s="45">
        <f t="shared" ca="1" si="14"/>
        <v>1.72436757631038E-4</v>
      </c>
      <c r="L22" s="45">
        <f t="shared" ca="1" si="14"/>
        <v>2.6746914767598128E-5</v>
      </c>
      <c r="M22" s="45">
        <f t="shared" ca="1" si="14"/>
        <v>4.798875414553213E-5</v>
      </c>
      <c r="N22" s="45">
        <f t="shared" ca="1" si="14"/>
        <v>7.3559404123141067E-6</v>
      </c>
      <c r="O22" s="45">
        <f t="shared" ca="1" si="14"/>
        <v>0.14322739774464663</v>
      </c>
      <c r="P22" s="45">
        <v>0</v>
      </c>
      <c r="Q22" s="22">
        <f t="shared" ca="1" si="10"/>
        <v>0.18284252271539153</v>
      </c>
      <c r="S22" s="45">
        <f t="shared" ca="1" si="15"/>
        <v>9.9654698994951038E-2</v>
      </c>
      <c r="T22" s="45">
        <f t="shared" ca="1" si="15"/>
        <v>0</v>
      </c>
      <c r="U22" s="45">
        <f t="shared" ca="1" si="15"/>
        <v>7.9922942018429109E-3</v>
      </c>
      <c r="V22" s="45">
        <f t="shared" ca="1" si="15"/>
        <v>1.1736453567341525E-3</v>
      </c>
      <c r="W22" s="45">
        <f t="shared" ca="1" si="15"/>
        <v>1.191793507434023E-4</v>
      </c>
      <c r="X22" s="45">
        <f t="shared" ca="1" si="15"/>
        <v>1.7501143987709065E-5</v>
      </c>
      <c r="Y22" s="45">
        <f t="shared" ca="1" si="15"/>
        <v>3.6451667765413176E-5</v>
      </c>
      <c r="Z22" s="45">
        <f t="shared" ca="1" si="15"/>
        <v>5.3528222982868138E-6</v>
      </c>
      <c r="AA22" s="45">
        <f t="shared" ca="1" si="15"/>
        <v>7.432575605514842E-2</v>
      </c>
      <c r="AB22" s="45">
        <v>0</v>
      </c>
      <c r="AC22" s="22">
        <f t="shared" ca="1" si="12"/>
        <v>0.18332487959347135</v>
      </c>
    </row>
    <row r="23" spans="1:29" ht="12" customHeight="1" x14ac:dyDescent="0.25">
      <c r="A23" s="262"/>
      <c r="C23" s="263"/>
      <c r="D23" s="62">
        <f t="shared" si="13"/>
        <v>12</v>
      </c>
      <c r="E23" s="43">
        <f t="shared" si="8"/>
        <v>73</v>
      </c>
      <c r="F23" s="44" cm="1">
        <f t="array" ref="F23">_fnGENPOP.U(E23)</f>
        <v>0.77900000000000003</v>
      </c>
      <c r="G23" s="45">
        <f t="shared" ca="1" si="14"/>
        <v>0</v>
      </c>
      <c r="H23" s="45">
        <f t="shared" ca="1" si="14"/>
        <v>2.280183959230285E-2</v>
      </c>
      <c r="I23" s="45">
        <f t="shared" ca="1" si="14"/>
        <v>1.0189540876614021E-2</v>
      </c>
      <c r="J23" s="45">
        <f t="shared" ca="1" si="14"/>
        <v>1.5561746381570227E-3</v>
      </c>
      <c r="K23" s="45">
        <f t="shared" ca="1" si="14"/>
        <v>1.6344651300290497E-4</v>
      </c>
      <c r="L23" s="45">
        <f t="shared" ca="1" si="14"/>
        <v>2.5201669724424283E-5</v>
      </c>
      <c r="M23" s="45">
        <f t="shared" ca="1" si="14"/>
        <v>4.5989491178645076E-5</v>
      </c>
      <c r="N23" s="45">
        <f t="shared" ca="1" si="14"/>
        <v>7.0135668814304474E-6</v>
      </c>
      <c r="O23" s="45">
        <f t="shared" ca="1" si="14"/>
        <v>0.14723790987407231</v>
      </c>
      <c r="P23" s="45">
        <v>0</v>
      </c>
      <c r="Q23" s="22">
        <f t="shared" ca="1" si="10"/>
        <v>0.1820271162219336</v>
      </c>
      <c r="S23" s="45">
        <f t="shared" ca="1" si="15"/>
        <v>9.4011105323861754E-2</v>
      </c>
      <c r="T23" s="45">
        <f t="shared" ca="1" si="15"/>
        <v>0</v>
      </c>
      <c r="U23" s="45">
        <f t="shared" ca="1" si="15"/>
        <v>7.9543648456710126E-3</v>
      </c>
      <c r="V23" s="45">
        <f t="shared" ca="1" si="15"/>
        <v>1.1680755401713809E-3</v>
      </c>
      <c r="W23" s="45">
        <f t="shared" ca="1" si="15"/>
        <v>1.1861375644362789E-4</v>
      </c>
      <c r="X23" s="45">
        <f t="shared" ca="1" si="15"/>
        <v>1.7418088096003038E-5</v>
      </c>
      <c r="Y23" s="45">
        <f t="shared" ca="1" si="15"/>
        <v>3.6278677600784931E-5</v>
      </c>
      <c r="Z23" s="45">
        <f t="shared" ca="1" si="15"/>
        <v>5.3274191915276023E-6</v>
      </c>
      <c r="AA23" s="45">
        <f t="shared" ca="1" si="15"/>
        <v>7.9143683593454486E-2</v>
      </c>
      <c r="AB23" s="45">
        <v>0</v>
      </c>
      <c r="AC23" s="22">
        <f t="shared" ca="1" si="12"/>
        <v>0.18245486724449059</v>
      </c>
    </row>
    <row r="24" spans="1:29" ht="12" customHeight="1" x14ac:dyDescent="0.25">
      <c r="A24" s="262"/>
      <c r="C24" s="263"/>
      <c r="D24" s="62">
        <f t="shared" si="13"/>
        <v>13</v>
      </c>
      <c r="E24" s="43">
        <f t="shared" si="8"/>
        <v>73.25</v>
      </c>
      <c r="F24" s="44" cm="1">
        <f t="array" ref="F24">_fnGENPOP.U(E24)</f>
        <v>0.77900000000000003</v>
      </c>
      <c r="G24" s="45">
        <f t="shared" ca="1" si="14"/>
        <v>0</v>
      </c>
      <c r="H24" s="45">
        <f t="shared" ca="1" si="14"/>
        <v>1.9200879728294578E-2</v>
      </c>
      <c r="I24" s="45">
        <f t="shared" ca="1" si="14"/>
        <v>9.7978674664847588E-3</v>
      </c>
      <c r="J24" s="45">
        <f t="shared" ca="1" si="14"/>
        <v>1.4892036207582073E-3</v>
      </c>
      <c r="K24" s="45">
        <f t="shared" ca="1" si="14"/>
        <v>1.5578947435861669E-4</v>
      </c>
      <c r="L24" s="45">
        <f t="shared" ca="1" si="14"/>
        <v>2.3887743511865946E-5</v>
      </c>
      <c r="M24" s="45">
        <f t="shared" ca="1" si="14"/>
        <v>4.427948201031722E-5</v>
      </c>
      <c r="N24" s="45">
        <f t="shared" ca="1" si="14"/>
        <v>6.7213741629175652E-6</v>
      </c>
      <c r="O24" s="45">
        <f t="shared" ca="1" si="14"/>
        <v>0.15048868847690794</v>
      </c>
      <c r="P24" s="45">
        <v>0</v>
      </c>
      <c r="Q24" s="22">
        <f t="shared" ca="1" si="10"/>
        <v>0.18120731736648921</v>
      </c>
      <c r="S24" s="45">
        <f t="shared" ca="1" si="15"/>
        <v>8.8687116747620767E-2</v>
      </c>
      <c r="T24" s="45">
        <f t="shared" ca="1" si="15"/>
        <v>0</v>
      </c>
      <c r="U24" s="45">
        <f t="shared" ca="1" si="15"/>
        <v>7.9166154923946304E-3</v>
      </c>
      <c r="V24" s="45">
        <f t="shared" ca="1" si="15"/>
        <v>1.1625321564970627E-3</v>
      </c>
      <c r="W24" s="45">
        <f t="shared" ca="1" si="15"/>
        <v>1.1805084630783422E-4</v>
      </c>
      <c r="X24" s="45">
        <f t="shared" ca="1" si="15"/>
        <v>1.7335426365773626E-5</v>
      </c>
      <c r="Y24" s="45">
        <f t="shared" ca="1" si="15"/>
        <v>3.6106508402649986E-5</v>
      </c>
      <c r="Z24" s="45">
        <f t="shared" ca="1" si="15"/>
        <v>5.3021366412498771E-6</v>
      </c>
      <c r="AA24" s="45">
        <f t="shared" ca="1" si="15"/>
        <v>8.3645924434326502E-2</v>
      </c>
      <c r="AB24" s="45">
        <v>0</v>
      </c>
      <c r="AC24" s="22">
        <f t="shared" ca="1" si="12"/>
        <v>0.18158898374855648</v>
      </c>
    </row>
    <row r="25" spans="1:29" ht="12" customHeight="1" x14ac:dyDescent="0.25">
      <c r="A25" s="262"/>
      <c r="C25" s="263"/>
      <c r="D25" s="62">
        <f t="shared" si="13"/>
        <v>14</v>
      </c>
      <c r="E25" s="43">
        <f t="shared" si="8"/>
        <v>73.5</v>
      </c>
      <c r="F25" s="44" cm="1">
        <f t="array" ref="F25">_fnGENPOP.U(E25)</f>
        <v>0.77900000000000003</v>
      </c>
      <c r="G25" s="45">
        <f t="shared" ca="1" si="14"/>
        <v>0</v>
      </c>
      <c r="H25" s="45">
        <f t="shared" ca="1" si="14"/>
        <v>1.616859818910777E-2</v>
      </c>
      <c r="I25" s="45">
        <f t="shared" ca="1" si="14"/>
        <v>9.4622707826705031E-3</v>
      </c>
      <c r="J25" s="45">
        <f t="shared" ca="1" si="14"/>
        <v>1.4319604664706669E-3</v>
      </c>
      <c r="K25" s="45">
        <f t="shared" ca="1" si="14"/>
        <v>1.4925550719059076E-4</v>
      </c>
      <c r="L25" s="45">
        <f t="shared" ca="1" si="14"/>
        <v>2.276866564452746E-5</v>
      </c>
      <c r="M25" s="45">
        <f t="shared" ca="1" si="14"/>
        <v>4.2813172154057724E-5</v>
      </c>
      <c r="N25" s="45">
        <f t="shared" ca="1" si="14"/>
        <v>6.4714559501305526E-6</v>
      </c>
      <c r="O25" s="45">
        <f t="shared" ca="1" si="14"/>
        <v>0.15310031353476619</v>
      </c>
      <c r="P25" s="45">
        <v>0</v>
      </c>
      <c r="Q25" s="22">
        <f t="shared" ca="1" si="10"/>
        <v>0.18038445177395443</v>
      </c>
      <c r="S25" s="45">
        <f t="shared" ca="1" si="15"/>
        <v>8.3664633554837373E-2</v>
      </c>
      <c r="T25" s="45">
        <f t="shared" ca="1" si="15"/>
        <v>0</v>
      </c>
      <c r="U25" s="45">
        <f t="shared" ca="1" si="15"/>
        <v>7.8790452877624678E-3</v>
      </c>
      <c r="V25" s="45">
        <f t="shared" ca="1" si="15"/>
        <v>1.1570150802851706E-3</v>
      </c>
      <c r="W25" s="45">
        <f t="shared" ca="1" si="15"/>
        <v>1.174906075976119E-4</v>
      </c>
      <c r="X25" s="45">
        <f t="shared" ca="1" si="15"/>
        <v>1.7253156926695226E-5</v>
      </c>
      <c r="Y25" s="45">
        <f t="shared" ca="1" si="15"/>
        <v>3.5935156274894935E-5</v>
      </c>
      <c r="Z25" s="45">
        <f t="shared" ca="1" si="15"/>
        <v>5.2769740754041437E-6</v>
      </c>
      <c r="AA25" s="45">
        <f t="shared" ca="1" si="15"/>
        <v>8.7850559693441729E-2</v>
      </c>
      <c r="AB25" s="45">
        <v>0</v>
      </c>
      <c r="AC25" s="22">
        <f t="shared" ca="1" si="12"/>
        <v>0.18072720951120133</v>
      </c>
    </row>
    <row r="26" spans="1:29" ht="12" customHeight="1" x14ac:dyDescent="0.25">
      <c r="A26" s="262"/>
      <c r="C26" s="263"/>
      <c r="D26" s="62">
        <f t="shared" si="13"/>
        <v>15</v>
      </c>
      <c r="E26" s="43">
        <f t="shared" si="8"/>
        <v>73.75</v>
      </c>
      <c r="F26" s="44" cm="1">
        <f t="array" ref="F26">_fnGENPOP.U(E26)</f>
        <v>0.77900000000000003</v>
      </c>
      <c r="G26" s="45">
        <f t="shared" ca="1" si="14"/>
        <v>0</v>
      </c>
      <c r="H26" s="45">
        <f t="shared" ca="1" si="14"/>
        <v>1.3615186965396334E-2</v>
      </c>
      <c r="I26" s="45">
        <f t="shared" ca="1" si="14"/>
        <v>9.173922379575275E-3</v>
      </c>
      <c r="J26" s="45">
        <f t="shared" ca="1" si="14"/>
        <v>1.3829129379605591E-3</v>
      </c>
      <c r="K26" s="45">
        <f t="shared" ca="1" si="14"/>
        <v>1.4366766034342303E-4</v>
      </c>
      <c r="L26" s="45">
        <f t="shared" ca="1" si="14"/>
        <v>2.1813724918309685E-5</v>
      </c>
      <c r="M26" s="45">
        <f t="shared" ca="1" si="14"/>
        <v>4.1552200678097849E-5</v>
      </c>
      <c r="N26" s="45">
        <f t="shared" ca="1" si="14"/>
        <v>6.2571544449364639E-6</v>
      </c>
      <c r="O26" s="45">
        <f t="shared" ca="1" si="14"/>
        <v>0.15517431969865975</v>
      </c>
      <c r="P26" s="45">
        <v>0</v>
      </c>
      <c r="Q26" s="22">
        <f t="shared" ca="1" si="10"/>
        <v>0.17955963272197667</v>
      </c>
      <c r="S26" s="45">
        <f t="shared" ca="1" si="15"/>
        <v>7.8926581047669545E-2</v>
      </c>
      <c r="T26" s="45">
        <f t="shared" ca="1" si="15"/>
        <v>0</v>
      </c>
      <c r="U26" s="45">
        <f t="shared" ca="1" si="15"/>
        <v>7.8416533815808143E-3</v>
      </c>
      <c r="V26" s="45">
        <f t="shared" ca="1" si="15"/>
        <v>1.1515241866866914E-3</v>
      </c>
      <c r="W26" s="45">
        <f t="shared" ca="1" si="15"/>
        <v>1.1693302763505746E-4</v>
      </c>
      <c r="X26" s="45">
        <f t="shared" ca="1" si="15"/>
        <v>1.7171277917046539E-5</v>
      </c>
      <c r="Y26" s="45">
        <f t="shared" ca="1" si="15"/>
        <v>3.5764617339912431E-5</v>
      </c>
      <c r="Z26" s="45">
        <f t="shared" ca="1" si="15"/>
        <v>5.2519309245725778E-6</v>
      </c>
      <c r="AA26" s="45">
        <f t="shared" ca="1" si="15"/>
        <v>9.1774645561195911E-2</v>
      </c>
      <c r="AB26" s="45">
        <v>0</v>
      </c>
      <c r="AC26" s="22">
        <f t="shared" ca="1" si="12"/>
        <v>0.17986952503094955</v>
      </c>
    </row>
    <row r="27" spans="1:29" ht="12" customHeight="1" x14ac:dyDescent="0.25">
      <c r="A27" s="262"/>
      <c r="C27" s="263"/>
      <c r="D27" s="62">
        <f t="shared" si="13"/>
        <v>16</v>
      </c>
      <c r="E27" s="43">
        <f t="shared" si="8"/>
        <v>74</v>
      </c>
      <c r="F27" s="44" cm="1">
        <f t="array" ref="F27">_fnGENPOP.U(E27)</f>
        <v>0.77900000000000003</v>
      </c>
      <c r="G27" s="45">
        <f t="shared" ca="1" si="14"/>
        <v>0</v>
      </c>
      <c r="H27" s="45">
        <f t="shared" ca="1" si="14"/>
        <v>1.1465020896343251E-2</v>
      </c>
      <c r="I27" s="45">
        <f t="shared" ca="1" si="14"/>
        <v>8.9253879057481569E-3</v>
      </c>
      <c r="J27" s="45">
        <f t="shared" ca="1" si="14"/>
        <v>1.3407707559791515E-3</v>
      </c>
      <c r="K27" s="45">
        <f t="shared" ca="1" si="14"/>
        <v>1.3887692557219142E-4</v>
      </c>
      <c r="L27" s="45">
        <f t="shared" ca="1" si="14"/>
        <v>2.099705988326939E-5</v>
      </c>
      <c r="M27" s="45">
        <f t="shared" ca="1" si="14"/>
        <v>4.0464264172572575E-5</v>
      </c>
      <c r="N27" s="45">
        <f t="shared" ca="1" si="14"/>
        <v>6.0728631887934028E-6</v>
      </c>
      <c r="O27" s="45">
        <f t="shared" ca="1" si="14"/>
        <v>0.15679620401904204</v>
      </c>
      <c r="P27" s="45">
        <v>0</v>
      </c>
      <c r="Q27" s="22">
        <f t="shared" ca="1" si="10"/>
        <v>0.17873379468992942</v>
      </c>
      <c r="S27" s="45">
        <f t="shared" ca="1" si="15"/>
        <v>7.4456851493783574E-2</v>
      </c>
      <c r="T27" s="45">
        <f t="shared" ca="1" si="15"/>
        <v>0</v>
      </c>
      <c r="U27" s="45">
        <f t="shared" ca="1" si="15"/>
        <v>7.8044389276915177E-3</v>
      </c>
      <c r="V27" s="45">
        <f t="shared" ca="1" si="15"/>
        <v>1.1460593514456289E-3</v>
      </c>
      <c r="W27" s="45">
        <f t="shared" ca="1" si="15"/>
        <v>1.1637809380244478E-4</v>
      </c>
      <c r="X27" s="45">
        <f t="shared" ca="1" si="15"/>
        <v>1.7089787483949203E-5</v>
      </c>
      <c r="Y27" s="45">
        <f t="shared" ca="1" si="15"/>
        <v>3.5594887738500716E-5</v>
      </c>
      <c r="Z27" s="45">
        <f t="shared" ca="1" si="15"/>
        <v>5.2270066220420211E-6</v>
      </c>
      <c r="AA27" s="45">
        <f t="shared" ca="1" si="15"/>
        <v>9.5434271350306507E-2</v>
      </c>
      <c r="AB27" s="45">
        <v>0</v>
      </c>
      <c r="AC27" s="22">
        <f t="shared" ca="1" si="12"/>
        <v>0.17901591089887417</v>
      </c>
    </row>
    <row r="28" spans="1:29" ht="12" customHeight="1" x14ac:dyDescent="0.25">
      <c r="A28" s="262"/>
      <c r="C28" s="263"/>
      <c r="D28" s="62">
        <f t="shared" si="13"/>
        <v>17</v>
      </c>
      <c r="E28" s="43">
        <f t="shared" si="8"/>
        <v>74.25</v>
      </c>
      <c r="F28" s="44" cm="1">
        <f t="array" ref="F28">_fnGENPOP.U(E28)</f>
        <v>0.77900000000000003</v>
      </c>
      <c r="G28" s="45">
        <f t="shared" ca="1" si="14"/>
        <v>0</v>
      </c>
      <c r="H28" s="45">
        <f t="shared" ca="1" si="14"/>
        <v>9.6544178561532544E-3</v>
      </c>
      <c r="I28" s="45">
        <f t="shared" ca="1" si="14"/>
        <v>8.7104069434434349E-3</v>
      </c>
      <c r="J28" s="45">
        <f t="shared" ca="1" si="14"/>
        <v>1.3044473884409695E-3</v>
      </c>
      <c r="K28" s="45">
        <f t="shared" ca="1" si="14"/>
        <v>1.347578246928026E-4</v>
      </c>
      <c r="L28" s="45">
        <f t="shared" ca="1" si="14"/>
        <v>2.0296892951922711E-5</v>
      </c>
      <c r="M28" s="45">
        <f t="shared" ca="1" si="14"/>
        <v>3.952216012366682E-5</v>
      </c>
      <c r="N28" s="45">
        <f t="shared" ca="1" si="14"/>
        <v>5.9138610313064345E-6</v>
      </c>
      <c r="O28" s="45">
        <f t="shared" ca="1" si="14"/>
        <v>0.15803795868279635</v>
      </c>
      <c r="P28" s="45">
        <v>0</v>
      </c>
      <c r="Q28" s="22">
        <f t="shared" ca="1" si="10"/>
        <v>0.17790772160963372</v>
      </c>
      <c r="S28" s="45">
        <f t="shared" ca="1" si="15"/>
        <v>7.0240249365660729E-2</v>
      </c>
      <c r="T28" s="45">
        <f t="shared" ca="1" si="15"/>
        <v>0</v>
      </c>
      <c r="U28" s="45">
        <f t="shared" ca="1" si="15"/>
        <v>7.7674010839520044E-3</v>
      </c>
      <c r="V28" s="45">
        <f t="shared" ca="1" si="15"/>
        <v>1.140620450895784E-3</v>
      </c>
      <c r="W28" s="45">
        <f t="shared" ca="1" si="15"/>
        <v>1.1582579354192723E-4</v>
      </c>
      <c r="X28" s="45">
        <f t="shared" ca="1" si="15"/>
        <v>1.7008683783319792E-5</v>
      </c>
      <c r="Y28" s="45">
        <f t="shared" ca="1" si="15"/>
        <v>3.5425963629772501E-5</v>
      </c>
      <c r="Z28" s="45">
        <f t="shared" ca="1" si="15"/>
        <v>5.2022006037892963E-6</v>
      </c>
      <c r="AA28" s="45">
        <f t="shared" ca="1" si="15"/>
        <v>9.8844614256090702E-2</v>
      </c>
      <c r="AB28" s="45">
        <v>0</v>
      </c>
      <c r="AC28" s="22">
        <f t="shared" ca="1" si="12"/>
        <v>0.17816634779815804</v>
      </c>
    </row>
    <row r="29" spans="1:29" ht="12" customHeight="1" x14ac:dyDescent="0.25">
      <c r="A29" s="262"/>
      <c r="C29" s="263"/>
      <c r="D29" s="62">
        <f t="shared" si="13"/>
        <v>18</v>
      </c>
      <c r="E29" s="43">
        <f t="shared" si="8"/>
        <v>74.5</v>
      </c>
      <c r="F29" s="44" cm="1">
        <f t="array" ref="F29">_fnGENPOP.U(E29)</f>
        <v>0.77900000000000003</v>
      </c>
      <c r="G29" s="45">
        <f t="shared" ca="1" si="14"/>
        <v>0</v>
      </c>
      <c r="H29" s="45">
        <f t="shared" ca="1" si="14"/>
        <v>8.1297526610648613E-3</v>
      </c>
      <c r="I29" s="45">
        <f t="shared" ca="1" si="14"/>
        <v>8.5237076168183466E-3</v>
      </c>
      <c r="J29" s="45">
        <f t="shared" ca="1" si="14"/>
        <v>1.2730278739275088E-3</v>
      </c>
      <c r="K29" s="45">
        <f t="shared" ca="1" si="14"/>
        <v>1.3120469362761682E-4</v>
      </c>
      <c r="L29" s="45">
        <f t="shared" ca="1" si="14"/>
        <v>1.9694885460306214E-5</v>
      </c>
      <c r="M29" s="45">
        <f t="shared" ca="1" si="14"/>
        <v>3.8702981362031185E-5</v>
      </c>
      <c r="N29" s="45">
        <f t="shared" ca="1" si="14"/>
        <v>5.7761723191504838E-6</v>
      </c>
      <c r="O29" s="45">
        <f t="shared" ca="1" si="14"/>
        <v>0.1589602037699625</v>
      </c>
      <c r="P29" s="45">
        <v>0</v>
      </c>
      <c r="Q29" s="22">
        <f t="shared" ca="1" si="10"/>
        <v>0.17708207065454232</v>
      </c>
      <c r="S29" s="45">
        <f t="shared" ca="1" si="15"/>
        <v>6.6262439681083196E-2</v>
      </c>
      <c r="T29" s="45">
        <f t="shared" ca="1" si="15"/>
        <v>0</v>
      </c>
      <c r="U29" s="45">
        <f t="shared" ca="1" si="15"/>
        <v>7.7305390122162929E-3</v>
      </c>
      <c r="V29" s="45">
        <f t="shared" ca="1" si="15"/>
        <v>1.1352073619578368E-3</v>
      </c>
      <c r="W29" s="45">
        <f t="shared" ca="1" si="15"/>
        <v>1.1527611435525442E-4</v>
      </c>
      <c r="X29" s="45">
        <f t="shared" ca="1" si="15"/>
        <v>1.6927964979826286E-5</v>
      </c>
      <c r="Y29" s="45">
        <f t="shared" ca="1" si="15"/>
        <v>3.5257841191068331E-5</v>
      </c>
      <c r="Z29" s="45">
        <f t="shared" ca="1" si="15"/>
        <v>5.1775123084678876E-6</v>
      </c>
      <c r="AA29" s="45">
        <f t="shared" ca="1" si="15"/>
        <v>0.10201999101556471</v>
      </c>
      <c r="AB29" s="45">
        <v>0</v>
      </c>
      <c r="AC29" s="22">
        <f t="shared" ca="1" si="12"/>
        <v>0.17732081650365666</v>
      </c>
    </row>
    <row r="30" spans="1:29" ht="12" customHeight="1" x14ac:dyDescent="0.25">
      <c r="A30" s="262"/>
      <c r="C30" s="263"/>
      <c r="D30" s="62">
        <f t="shared" si="13"/>
        <v>19</v>
      </c>
      <c r="E30" s="43">
        <f t="shared" si="8"/>
        <v>74.75</v>
      </c>
      <c r="F30" s="44" cm="1">
        <f t="array" ref="F30">_fnGENPOP.U(E30)</f>
        <v>0.77900000000000003</v>
      </c>
      <c r="G30" s="45">
        <f t="shared" ca="1" si="14"/>
        <v>0</v>
      </c>
      <c r="H30" s="45">
        <f t="shared" ca="1" si="14"/>
        <v>6.8458688358891398E-3</v>
      </c>
      <c r="I30" s="45">
        <f t="shared" ca="1" si="14"/>
        <v>8.3608504779602005E-3</v>
      </c>
      <c r="J30" s="45">
        <f t="shared" ca="1" si="14"/>
        <v>1.2457417266349144E-3</v>
      </c>
      <c r="K30" s="45">
        <f t="shared" ca="1" si="14"/>
        <v>1.2812855328975576E-4</v>
      </c>
      <c r="L30" s="45">
        <f t="shared" ca="1" si="14"/>
        <v>1.9175594580434758E-5</v>
      </c>
      <c r="M30" s="45">
        <f t="shared" ca="1" si="14"/>
        <v>3.7987437727187837E-5</v>
      </c>
      <c r="N30" s="45">
        <f t="shared" ca="1" si="14"/>
        <v>5.6564491645306456E-6</v>
      </c>
      <c r="O30" s="45">
        <f t="shared" ca="1" si="14"/>
        <v>0.15961398319672571</v>
      </c>
      <c r="P30" s="45">
        <v>0</v>
      </c>
      <c r="Q30" s="22">
        <f t="shared" ca="1" si="10"/>
        <v>0.17625739227197187</v>
      </c>
      <c r="S30" s="45">
        <f t="shared" ca="1" si="15"/>
        <v>6.2509899269175037E-2</v>
      </c>
      <c r="T30" s="45">
        <f t="shared" ca="1" si="15"/>
        <v>0</v>
      </c>
      <c r="U30" s="45">
        <f t="shared" ca="1" si="15"/>
        <v>7.6938518783160239E-3</v>
      </c>
      <c r="V30" s="45">
        <f t="shared" ca="1" si="15"/>
        <v>1.1298199621365692E-3</v>
      </c>
      <c r="W30" s="45">
        <f t="shared" ca="1" si="15"/>
        <v>1.1472904380348946E-4</v>
      </c>
      <c r="X30" s="45">
        <f t="shared" ca="1" si="15"/>
        <v>1.6847629246846669E-5</v>
      </c>
      <c r="Y30" s="45">
        <f t="shared" ca="1" si="15"/>
        <v>3.5090516617870138E-5</v>
      </c>
      <c r="Z30" s="45">
        <f t="shared" ca="1" si="15"/>
        <v>5.1529411773952832E-6</v>
      </c>
      <c r="AA30" s="45">
        <f t="shared" ca="1" si="15"/>
        <v>0.10497390664098978</v>
      </c>
      <c r="AB30" s="45">
        <v>0</v>
      </c>
      <c r="AC30" s="22">
        <f t="shared" ca="1" si="12"/>
        <v>0.17647929788146299</v>
      </c>
    </row>
    <row r="31" spans="1:29" ht="12" customHeight="1" x14ac:dyDescent="0.25">
      <c r="A31" s="262"/>
      <c r="C31" s="263"/>
      <c r="D31" s="62">
        <f t="shared" si="13"/>
        <v>20</v>
      </c>
      <c r="E31" s="43">
        <f t="shared" si="8"/>
        <v>75</v>
      </c>
      <c r="F31" s="44" cm="1">
        <f t="array" ref="F31">_fnGENPOP.U(E31)</f>
        <v>0.75329999999999997</v>
      </c>
      <c r="G31" s="45">
        <f t="shared" ref="G31:O40" ca="1" si="16">PRODUCT(AVERAGE(OFFSET(AB.Trace.MarkovQA.Root, $D31, (G$2-1)*AB.Trace.MarkovQA.NumCols+G$3-1, CHOOSE(swtchHalfCycle, 2, 1))), $F31+G$6, AB.cycleLength)</f>
        <v>0</v>
      </c>
      <c r="H31" s="45">
        <f t="shared" ca="1" si="16"/>
        <v>5.5636576414942731E-3</v>
      </c>
      <c r="I31" s="45">
        <f t="shared" ca="1" si="16"/>
        <v>7.9165087425696248E-3</v>
      </c>
      <c r="J31" s="45">
        <f t="shared" ca="1" si="16"/>
        <v>1.1770972756480504E-3</v>
      </c>
      <c r="K31" s="45">
        <f t="shared" ca="1" si="16"/>
        <v>1.2069202263899885E-4</v>
      </c>
      <c r="L31" s="45">
        <f t="shared" ca="1" si="16"/>
        <v>1.8015146558912405E-5</v>
      </c>
      <c r="M31" s="45">
        <f t="shared" ca="1" si="16"/>
        <v>3.5581259633685879E-5</v>
      </c>
      <c r="N31" s="45">
        <f t="shared" ca="1" si="16"/>
        <v>5.2876443094879991E-6</v>
      </c>
      <c r="O31" s="45">
        <f t="shared" ca="1" si="16"/>
        <v>0.1544610497384972</v>
      </c>
      <c r="P31" s="45">
        <v>0</v>
      </c>
      <c r="Q31" s="22">
        <f t="shared" ca="1" si="10"/>
        <v>0.16929788947135022</v>
      </c>
      <c r="S31" s="45">
        <f t="shared" ref="S31:AA40" ca="1" si="17">PRODUCT(AVERAGE(OFFSET(AB.Trace.MarkovQA.Root, $D31, (S$2-1)*AB.Trace.MarkovQA.NumCols+S$3-1, CHOOSE(swtchHalfCycle, 2, 1))), $F31+S$6, AB.cycleLength)</f>
        <v>5.6918716750754036E-2</v>
      </c>
      <c r="T31" s="45">
        <f t="shared" ca="1" si="17"/>
        <v>0</v>
      </c>
      <c r="U31" s="45">
        <f t="shared" ca="1" si="17"/>
        <v>7.3763292912962432E-3</v>
      </c>
      <c r="V31" s="45">
        <f t="shared" ca="1" si="17"/>
        <v>1.0831926858492181E-3</v>
      </c>
      <c r="W31" s="45">
        <f t="shared" ca="1" si="17"/>
        <v>1.0984994109266107E-4</v>
      </c>
      <c r="X31" s="45">
        <f t="shared" ca="1" si="17"/>
        <v>1.6131147083270742E-5</v>
      </c>
      <c r="Y31" s="45">
        <f t="shared" ca="1" si="17"/>
        <v>3.326186308041974E-5</v>
      </c>
      <c r="Z31" s="45">
        <f t="shared" ca="1" si="17"/>
        <v>4.8844086785742491E-6</v>
      </c>
      <c r="AA31" s="45">
        <f t="shared" ca="1" si="17"/>
        <v>0.10395894197477623</v>
      </c>
      <c r="AB31" s="45">
        <v>0</v>
      </c>
      <c r="AC31" s="22">
        <f t="shared" ca="1" si="12"/>
        <v>0.16950130806261066</v>
      </c>
    </row>
    <row r="32" spans="1:29" ht="12" customHeight="1" x14ac:dyDescent="0.25">
      <c r="A32" s="262"/>
      <c r="C32" s="263"/>
      <c r="D32" s="62">
        <f t="shared" si="13"/>
        <v>21</v>
      </c>
      <c r="E32" s="43">
        <f t="shared" si="8"/>
        <v>75.25</v>
      </c>
      <c r="F32" s="44" cm="1">
        <f t="array" ref="F32">_fnGENPOP.U(E32)</f>
        <v>0.75329999999999997</v>
      </c>
      <c r="G32" s="45">
        <f t="shared" ca="1" si="16"/>
        <v>0</v>
      </c>
      <c r="H32" s="45">
        <f t="shared" ca="1" si="16"/>
        <v>4.6649846970464029E-3</v>
      </c>
      <c r="I32" s="45">
        <f t="shared" ca="1" si="16"/>
        <v>7.7801461544222527E-3</v>
      </c>
      <c r="J32" s="45">
        <f t="shared" ca="1" si="16"/>
        <v>1.1569994787749712E-3</v>
      </c>
      <c r="K32" s="45">
        <f t="shared" ca="1" si="16"/>
        <v>1.18214864886848E-4</v>
      </c>
      <c r="L32" s="45">
        <f t="shared" ca="1" si="16"/>
        <v>1.7639165423354622E-5</v>
      </c>
      <c r="M32" s="45">
        <f t="shared" ca="1" si="16"/>
        <v>3.4984940830472437E-5</v>
      </c>
      <c r="N32" s="45">
        <f t="shared" ca="1" si="16"/>
        <v>5.2002088532992504E-6</v>
      </c>
      <c r="O32" s="45">
        <f t="shared" ca="1" si="16"/>
        <v>0.15410758030219729</v>
      </c>
      <c r="P32" s="45">
        <v>0</v>
      </c>
      <c r="Q32" s="22">
        <f t="shared" ca="1" si="10"/>
        <v>0.1678857498124349</v>
      </c>
      <c r="S32" s="45">
        <f t="shared" ca="1" si="17"/>
        <v>5.3490334151206333E-2</v>
      </c>
      <c r="T32" s="45">
        <f t="shared" ca="1" si="17"/>
        <v>0</v>
      </c>
      <c r="U32" s="45">
        <f t="shared" ca="1" si="17"/>
        <v>7.327109845077273E-3</v>
      </c>
      <c r="V32" s="45">
        <f t="shared" ca="1" si="17"/>
        <v>1.0780521341952206E-3</v>
      </c>
      <c r="W32" s="45">
        <f t="shared" ca="1" si="17"/>
        <v>1.091169541211945E-4</v>
      </c>
      <c r="X32" s="45">
        <f t="shared" ca="1" si="17"/>
        <v>1.6054592841441854E-5</v>
      </c>
      <c r="Y32" s="45">
        <f t="shared" ca="1" si="17"/>
        <v>3.3039919290171493E-5</v>
      </c>
      <c r="Z32" s="45">
        <f t="shared" ca="1" si="17"/>
        <v>4.8612285413378546E-6</v>
      </c>
      <c r="AA32" s="45">
        <f t="shared" ca="1" si="17"/>
        <v>0.10601848954722842</v>
      </c>
      <c r="AB32" s="45">
        <v>0</v>
      </c>
      <c r="AC32" s="22">
        <f t="shared" ca="1" si="12"/>
        <v>0.16807705837250139</v>
      </c>
    </row>
    <row r="33" spans="1:29" ht="12" customHeight="1" x14ac:dyDescent="0.25">
      <c r="A33" s="262"/>
      <c r="C33" s="263"/>
      <c r="D33" s="62">
        <f t="shared" si="13"/>
        <v>22</v>
      </c>
      <c r="E33" s="43">
        <f t="shared" si="8"/>
        <v>75.5</v>
      </c>
      <c r="F33" s="44" cm="1">
        <f t="array" ref="F33">_fnGENPOP.U(E33)</f>
        <v>0.75329999999999997</v>
      </c>
      <c r="G33" s="45">
        <f t="shared" ca="1" si="16"/>
        <v>0</v>
      </c>
      <c r="H33" s="45">
        <f t="shared" ca="1" si="16"/>
        <v>3.9114704077715893E-3</v>
      </c>
      <c r="I33" s="45">
        <f t="shared" ca="1" si="16"/>
        <v>7.64366603747449E-3</v>
      </c>
      <c r="J33" s="45">
        <f t="shared" ca="1" si="16"/>
        <v>1.1370700567858909E-3</v>
      </c>
      <c r="K33" s="45">
        <f t="shared" ca="1" si="16"/>
        <v>1.1580259476593002E-4</v>
      </c>
      <c r="L33" s="45">
        <f t="shared" ca="1" si="16"/>
        <v>1.7277128277779309E-5</v>
      </c>
      <c r="M33" s="45">
        <f t="shared" ca="1" si="16"/>
        <v>3.4385319013684816E-5</v>
      </c>
      <c r="N33" s="45">
        <f t="shared" ca="1" si="16"/>
        <v>5.1130567301933113E-6</v>
      </c>
      <c r="O33" s="45">
        <f t="shared" ca="1" si="16"/>
        <v>0.15362100386553076</v>
      </c>
      <c r="P33" s="45">
        <v>0</v>
      </c>
      <c r="Q33" s="22">
        <f t="shared" ca="1" si="10"/>
        <v>0.16648578846635032</v>
      </c>
      <c r="S33" s="45">
        <f t="shared" ca="1" si="17"/>
        <v>5.0268453172212575E-2</v>
      </c>
      <c r="T33" s="45">
        <f t="shared" ca="1" si="17"/>
        <v>0</v>
      </c>
      <c r="U33" s="45">
        <f t="shared" ca="1" si="17"/>
        <v>7.2647667908410764E-3</v>
      </c>
      <c r="V33" s="45">
        <f t="shared" ca="1" si="17"/>
        <v>1.0708587013989275E-3</v>
      </c>
      <c r="W33" s="45">
        <f t="shared" ca="1" si="17"/>
        <v>1.0818852745192098E-4</v>
      </c>
      <c r="X33" s="45">
        <f t="shared" ca="1" si="17"/>
        <v>1.5947466635747754E-5</v>
      </c>
      <c r="Y33" s="45">
        <f t="shared" ca="1" si="17"/>
        <v>3.2758797603200934E-5</v>
      </c>
      <c r="Z33" s="45">
        <f t="shared" ca="1" si="17"/>
        <v>4.8287914080023306E-6</v>
      </c>
      <c r="AA33" s="45">
        <f t="shared" ca="1" si="17"/>
        <v>0.10790081601642458</v>
      </c>
      <c r="AB33" s="45">
        <v>0</v>
      </c>
      <c r="AC33" s="22">
        <f t="shared" ca="1" si="12"/>
        <v>0.16666661826397602</v>
      </c>
    </row>
    <row r="34" spans="1:29" ht="12" customHeight="1" x14ac:dyDescent="0.25">
      <c r="A34" s="262"/>
      <c r="C34" s="263"/>
      <c r="D34" s="62">
        <f t="shared" si="13"/>
        <v>23</v>
      </c>
      <c r="E34" s="43">
        <f t="shared" si="8"/>
        <v>75.75</v>
      </c>
      <c r="F34" s="44" cm="1">
        <f t="array" ref="F34">_fnGENPOP.U(E34)</f>
        <v>0.75329999999999997</v>
      </c>
      <c r="G34" s="45">
        <f t="shared" ca="1" si="16"/>
        <v>0</v>
      </c>
      <c r="H34" s="45">
        <f t="shared" ca="1" si="16"/>
        <v>3.2796679398669113E-3</v>
      </c>
      <c r="I34" s="45">
        <f t="shared" ca="1" si="16"/>
        <v>7.5205683026433722E-3</v>
      </c>
      <c r="J34" s="45">
        <f t="shared" ca="1" si="16"/>
        <v>1.1171234579370082E-3</v>
      </c>
      <c r="K34" s="45">
        <f t="shared" ca="1" si="16"/>
        <v>1.1365096188454331E-4</v>
      </c>
      <c r="L34" s="45">
        <f t="shared" ca="1" si="16"/>
        <v>1.6924574473656229E-5</v>
      </c>
      <c r="M34" s="45">
        <f t="shared" ca="1" si="16"/>
        <v>3.3843489237263441E-5</v>
      </c>
      <c r="N34" s="45">
        <f t="shared" ca="1" si="16"/>
        <v>5.0254218709333474E-6</v>
      </c>
      <c r="O34" s="45">
        <f t="shared" ca="1" si="16"/>
        <v>0.15300948692052729</v>
      </c>
      <c r="P34" s="45">
        <v>0</v>
      </c>
      <c r="Q34" s="22">
        <f t="shared" ca="1" si="10"/>
        <v>0.16509629106844098</v>
      </c>
      <c r="S34" s="45">
        <f t="shared" ca="1" si="17"/>
        <v>4.7240635610610419E-2</v>
      </c>
      <c r="T34" s="45">
        <f t="shared" ca="1" si="17"/>
        <v>0</v>
      </c>
      <c r="U34" s="45">
        <f t="shared" ca="1" si="17"/>
        <v>7.2037573062767772E-3</v>
      </c>
      <c r="V34" s="45">
        <f t="shared" ca="1" si="17"/>
        <v>1.0617472504295565E-3</v>
      </c>
      <c r="W34" s="45">
        <f t="shared" ca="1" si="17"/>
        <v>1.0727996059965346E-4</v>
      </c>
      <c r="X34" s="45">
        <f t="shared" ca="1" si="17"/>
        <v>1.5811776875607154E-5</v>
      </c>
      <c r="Y34" s="45">
        <f t="shared" ca="1" si="17"/>
        <v>3.248368934243238E-5</v>
      </c>
      <c r="Z34" s="45">
        <f t="shared" ca="1" si="17"/>
        <v>4.7877054121581958E-6</v>
      </c>
      <c r="AA34" s="45">
        <f t="shared" ca="1" si="17"/>
        <v>0.10960164914107506</v>
      </c>
      <c r="AB34" s="45">
        <v>0</v>
      </c>
      <c r="AC34" s="22">
        <f t="shared" ca="1" si="12"/>
        <v>0.16526815244062165</v>
      </c>
    </row>
    <row r="35" spans="1:29" ht="12" customHeight="1" x14ac:dyDescent="0.25">
      <c r="A35" s="262"/>
      <c r="C35" s="263"/>
      <c r="D35" s="62">
        <f t="shared" si="13"/>
        <v>24</v>
      </c>
      <c r="E35" s="43">
        <f t="shared" si="8"/>
        <v>76</v>
      </c>
      <c r="F35" s="44" cm="1">
        <f t="array" ref="F35">_fnGENPOP.U(E35)</f>
        <v>0.75329999999999997</v>
      </c>
      <c r="G35" s="45">
        <f t="shared" ca="1" si="16"/>
        <v>0</v>
      </c>
      <c r="H35" s="45">
        <f t="shared" ca="1" si="16"/>
        <v>2.7499177226087759E-3</v>
      </c>
      <c r="I35" s="45">
        <f t="shared" ca="1" si="16"/>
        <v>7.4080840753512371E-3</v>
      </c>
      <c r="J35" s="45">
        <f t="shared" ca="1" si="16"/>
        <v>1.0991326971522542E-3</v>
      </c>
      <c r="K35" s="45">
        <f t="shared" ca="1" si="16"/>
        <v>1.1170882294967288E-4</v>
      </c>
      <c r="L35" s="45">
        <f t="shared" ca="1" si="16"/>
        <v>1.661011285891778E-5</v>
      </c>
      <c r="M35" s="45">
        <f t="shared" ca="1" si="16"/>
        <v>3.3347378229695588E-5</v>
      </c>
      <c r="N35" s="45">
        <f t="shared" ca="1" si="16"/>
        <v>4.9462333309733948E-6</v>
      </c>
      <c r="O35" s="45">
        <f t="shared" ca="1" si="16"/>
        <v>0.15229347923225731</v>
      </c>
      <c r="P35" s="45">
        <v>0</v>
      </c>
      <c r="Q35" s="22">
        <f t="shared" ca="1" si="10"/>
        <v>0.16371722627473884</v>
      </c>
      <c r="S35" s="45">
        <f t="shared" ca="1" si="17"/>
        <v>4.4395192452989611E-2</v>
      </c>
      <c r="T35" s="45">
        <f t="shared" ca="1" si="17"/>
        <v>0</v>
      </c>
      <c r="U35" s="45">
        <f t="shared" ca="1" si="17"/>
        <v>7.1433203207482837E-3</v>
      </c>
      <c r="V35" s="45">
        <f t="shared" ca="1" si="17"/>
        <v>1.0528307009584938E-3</v>
      </c>
      <c r="W35" s="45">
        <f t="shared" ca="1" si="17"/>
        <v>1.0637991953072277E-4</v>
      </c>
      <c r="X35" s="45">
        <f t="shared" ca="1" si="17"/>
        <v>1.5678989632052045E-5</v>
      </c>
      <c r="Y35" s="45">
        <f t="shared" ca="1" si="17"/>
        <v>3.2211162634600327E-5</v>
      </c>
      <c r="Z35" s="45">
        <f t="shared" ca="1" si="17"/>
        <v>4.7474982798645988E-6</v>
      </c>
      <c r="AA35" s="45">
        <f t="shared" ca="1" si="17"/>
        <v>0.11113103867960136</v>
      </c>
      <c r="AB35" s="45">
        <v>0</v>
      </c>
      <c r="AC35" s="22">
        <f t="shared" ca="1" si="12"/>
        <v>0.16388139972437499</v>
      </c>
    </row>
    <row r="36" spans="1:29" ht="12" customHeight="1" x14ac:dyDescent="0.25">
      <c r="A36" s="262"/>
      <c r="C36" s="263"/>
      <c r="D36" s="62">
        <f t="shared" si="13"/>
        <v>25</v>
      </c>
      <c r="E36" s="43">
        <f t="shared" si="8"/>
        <v>76.25</v>
      </c>
      <c r="F36" s="44" cm="1">
        <f t="array" ref="F36">_fnGENPOP.U(E36)</f>
        <v>0.75329999999999997</v>
      </c>
      <c r="G36" s="45">
        <f t="shared" ca="1" si="16"/>
        <v>0</v>
      </c>
      <c r="H36" s="45">
        <f t="shared" ca="1" si="16"/>
        <v>2.3057357085439281E-3</v>
      </c>
      <c r="I36" s="45">
        <f t="shared" ca="1" si="16"/>
        <v>7.3045112396686448E-3</v>
      </c>
      <c r="J36" s="45">
        <f t="shared" ca="1" si="16"/>
        <v>1.0826931028084018E-3</v>
      </c>
      <c r="K36" s="45">
        <f t="shared" ca="1" si="16"/>
        <v>1.0994252156747303E-4</v>
      </c>
      <c r="L36" s="45">
        <f t="shared" ca="1" si="16"/>
        <v>1.6326268830138962E-5</v>
      </c>
      <c r="M36" s="45">
        <f t="shared" ca="1" si="16"/>
        <v>3.2889656420377428E-5</v>
      </c>
      <c r="N36" s="45">
        <f t="shared" ca="1" si="16"/>
        <v>4.8737265990495151E-6</v>
      </c>
      <c r="O36" s="45">
        <f t="shared" ca="1" si="16"/>
        <v>0.15149175207515447</v>
      </c>
      <c r="P36" s="45">
        <v>0</v>
      </c>
      <c r="Q36" s="22">
        <f t="shared" ca="1" si="10"/>
        <v>0.16234872429959249</v>
      </c>
      <c r="S36" s="45">
        <f t="shared" ca="1" si="17"/>
        <v>4.1721138749778099E-2</v>
      </c>
      <c r="T36" s="45">
        <f t="shared" ca="1" si="17"/>
        <v>0</v>
      </c>
      <c r="U36" s="45">
        <f t="shared" ca="1" si="17"/>
        <v>7.0833811750303033E-3</v>
      </c>
      <c r="V36" s="45">
        <f t="shared" ca="1" si="17"/>
        <v>1.0439978223463367E-3</v>
      </c>
      <c r="W36" s="45">
        <f t="shared" ca="1" si="17"/>
        <v>1.0548729240329319E-4</v>
      </c>
      <c r="X36" s="45">
        <f t="shared" ca="1" si="17"/>
        <v>1.5547448433590505E-5</v>
      </c>
      <c r="Y36" s="45">
        <f t="shared" ca="1" si="17"/>
        <v>3.1940880821072664E-5</v>
      </c>
      <c r="Z36" s="45">
        <f t="shared" ca="1" si="17"/>
        <v>4.7076684420955338E-6</v>
      </c>
      <c r="AA36" s="45">
        <f t="shared" ca="1" si="17"/>
        <v>0.11250008215617036</v>
      </c>
      <c r="AB36" s="45">
        <v>0</v>
      </c>
      <c r="AC36" s="22">
        <f t="shared" ca="1" si="12"/>
        <v>0.16250628319342514</v>
      </c>
    </row>
    <row r="37" spans="1:29" ht="12" customHeight="1" x14ac:dyDescent="0.25">
      <c r="A37" s="262"/>
      <c r="C37" s="263"/>
      <c r="D37" s="62">
        <f t="shared" si="13"/>
        <v>26</v>
      </c>
      <c r="E37" s="43">
        <f t="shared" si="8"/>
        <v>76.5</v>
      </c>
      <c r="F37" s="44" cm="1">
        <f t="array" ref="F37">_fnGENPOP.U(E37)</f>
        <v>0.75329999999999997</v>
      </c>
      <c r="G37" s="45">
        <f t="shared" ca="1" si="16"/>
        <v>0</v>
      </c>
      <c r="H37" s="45">
        <f t="shared" ca="1" si="16"/>
        <v>1.9333004452987861E-3</v>
      </c>
      <c r="I37" s="45">
        <f t="shared" ca="1" si="16"/>
        <v>7.2084966098257481E-3</v>
      </c>
      <c r="J37" s="45">
        <f t="shared" ca="1" si="16"/>
        <v>1.0675559102912484E-3</v>
      </c>
      <c r="K37" s="45">
        <f t="shared" ca="1" si="16"/>
        <v>1.0832493966101956E-4</v>
      </c>
      <c r="L37" s="45">
        <f t="shared" ca="1" si="16"/>
        <v>1.6068123498021084E-5</v>
      </c>
      <c r="M37" s="45">
        <f t="shared" ca="1" si="16"/>
        <v>3.2464511814848925E-5</v>
      </c>
      <c r="N37" s="45">
        <f t="shared" ca="1" si="16"/>
        <v>4.806830456819887E-6</v>
      </c>
      <c r="O37" s="45">
        <f t="shared" ca="1" si="16"/>
        <v>0.15061984221381175</v>
      </c>
      <c r="P37" s="45">
        <v>0</v>
      </c>
      <c r="Q37" s="22">
        <f t="shared" ca="1" si="10"/>
        <v>0.16099085958465825</v>
      </c>
      <c r="S37" s="45">
        <f t="shared" ca="1" si="17"/>
        <v>3.9208151207395403E-2</v>
      </c>
      <c r="T37" s="45">
        <f t="shared" ca="1" si="17"/>
        <v>0</v>
      </c>
      <c r="U37" s="45">
        <f t="shared" ca="1" si="17"/>
        <v>7.0239449962885897E-3</v>
      </c>
      <c r="V37" s="45">
        <f t="shared" ca="1" si="17"/>
        <v>1.0352377031310311E-3</v>
      </c>
      <c r="W37" s="45">
        <f t="shared" ca="1" si="17"/>
        <v>1.0460215557226069E-4</v>
      </c>
      <c r="X37" s="45">
        <f t="shared" ca="1" si="17"/>
        <v>1.5416990784295823E-5</v>
      </c>
      <c r="Y37" s="45">
        <f t="shared" ca="1" si="17"/>
        <v>3.1672867021625974E-5</v>
      </c>
      <c r="Z37" s="45">
        <f t="shared" ca="1" si="17"/>
        <v>4.6681666961185109E-6</v>
      </c>
      <c r="AA37" s="45">
        <f t="shared" ca="1" si="17"/>
        <v>0.11371901123299051</v>
      </c>
      <c r="AB37" s="45">
        <v>0</v>
      </c>
      <c r="AC37" s="22">
        <f t="shared" ca="1" si="12"/>
        <v>0.16114270531987984</v>
      </c>
    </row>
    <row r="38" spans="1:29" ht="12" customHeight="1" x14ac:dyDescent="0.25">
      <c r="A38" s="262"/>
      <c r="C38" s="263"/>
      <c r="D38" s="62">
        <f t="shared" si="13"/>
        <v>27</v>
      </c>
      <c r="E38" s="43">
        <f t="shared" si="8"/>
        <v>76.75</v>
      </c>
      <c r="F38" s="44" cm="1">
        <f t="array" ref="F38">_fnGENPOP.U(E38)</f>
        <v>0.75329999999999997</v>
      </c>
      <c r="G38" s="45">
        <f t="shared" ca="1" si="16"/>
        <v>0</v>
      </c>
      <c r="H38" s="45">
        <f t="shared" ca="1" si="16"/>
        <v>1.6210229984046222E-3</v>
      </c>
      <c r="I38" s="45">
        <f t="shared" ca="1" si="16"/>
        <v>7.1188963527717272E-3</v>
      </c>
      <c r="J38" s="45">
        <f t="shared" ca="1" si="16"/>
        <v>1.0535233512054935E-3</v>
      </c>
      <c r="K38" s="45">
        <f t="shared" ca="1" si="16"/>
        <v>1.0683320208928249E-4</v>
      </c>
      <c r="L38" s="45">
        <f t="shared" ca="1" si="16"/>
        <v>1.5831713549709074E-5</v>
      </c>
      <c r="M38" s="45">
        <f t="shared" ca="1" si="16"/>
        <v>3.2067029622656863E-5</v>
      </c>
      <c r="N38" s="45">
        <f t="shared" ca="1" si="16"/>
        <v>4.7446954800269714E-6</v>
      </c>
      <c r="O38" s="45">
        <f t="shared" ca="1" si="16"/>
        <v>0.14969075998308368</v>
      </c>
      <c r="P38" s="45">
        <v>0</v>
      </c>
      <c r="Q38" s="22">
        <f t="shared" ca="1" si="10"/>
        <v>0.15964367932620718</v>
      </c>
      <c r="S38" s="45">
        <f t="shared" ca="1" si="17"/>
        <v>3.6846528334755907E-2</v>
      </c>
      <c r="T38" s="45">
        <f t="shared" ca="1" si="17"/>
        <v>0</v>
      </c>
      <c r="U38" s="45">
        <f t="shared" ca="1" si="17"/>
        <v>6.965007611208259E-3</v>
      </c>
      <c r="V38" s="45">
        <f t="shared" ca="1" si="17"/>
        <v>1.0265510926489696E-3</v>
      </c>
      <c r="W38" s="45">
        <f t="shared" ca="1" si="17"/>
        <v>1.0372444688768918E-4</v>
      </c>
      <c r="X38" s="45">
        <f t="shared" ca="1" si="17"/>
        <v>1.5287627843452694E-5</v>
      </c>
      <c r="Y38" s="45">
        <f t="shared" ca="1" si="17"/>
        <v>3.1407102417655112E-5</v>
      </c>
      <c r="Z38" s="45">
        <f t="shared" ca="1" si="17"/>
        <v>4.6289964208939215E-6</v>
      </c>
      <c r="AA38" s="45">
        <f t="shared" ca="1" si="17"/>
        <v>0.11479743390393782</v>
      </c>
      <c r="AB38" s="45">
        <v>0</v>
      </c>
      <c r="AC38" s="22">
        <f t="shared" ca="1" si="12"/>
        <v>0.15979056911612066</v>
      </c>
    </row>
    <row r="39" spans="1:29" ht="12" customHeight="1" x14ac:dyDescent="0.25">
      <c r="A39" s="262"/>
      <c r="C39" s="263"/>
      <c r="D39" s="62">
        <f t="shared" si="13"/>
        <v>28</v>
      </c>
      <c r="E39" s="43">
        <f t="shared" si="8"/>
        <v>77</v>
      </c>
      <c r="F39" s="44" cm="1">
        <f t="array" ref="F39">_fnGENPOP.U(E39)</f>
        <v>0.75329999999999997</v>
      </c>
      <c r="G39" s="45">
        <f t="shared" ca="1" si="16"/>
        <v>0</v>
      </c>
      <c r="H39" s="45">
        <f t="shared" ca="1" si="16"/>
        <v>1.3591863425814325E-3</v>
      </c>
      <c r="I39" s="45">
        <f t="shared" ca="1" si="16"/>
        <v>7.0347506265340861E-3</v>
      </c>
      <c r="J39" s="45">
        <f t="shared" ca="1" si="16"/>
        <v>1.0404282541013683E-3</v>
      </c>
      <c r="K39" s="45">
        <f t="shared" ca="1" si="16"/>
        <v>1.0544811720597618E-4</v>
      </c>
      <c r="L39" s="45">
        <f t="shared" ca="1" si="16"/>
        <v>1.5613695778353895E-5</v>
      </c>
      <c r="M39" s="45">
        <f t="shared" ca="1" si="16"/>
        <v>3.1693085458133967E-5</v>
      </c>
      <c r="N39" s="45">
        <f t="shared" ca="1" si="16"/>
        <v>4.6866033709744558E-6</v>
      </c>
      <c r="O39" s="45">
        <f t="shared" ca="1" si="16"/>
        <v>0.1487154017212233</v>
      </c>
      <c r="P39" s="45">
        <v>0</v>
      </c>
      <c r="Q39" s="22">
        <f t="shared" ca="1" si="10"/>
        <v>0.15830720844625362</v>
      </c>
      <c r="S39" s="45">
        <f t="shared" ca="1" si="17"/>
        <v>3.4627152990266176E-2</v>
      </c>
      <c r="T39" s="45">
        <f t="shared" ca="1" si="17"/>
        <v>0</v>
      </c>
      <c r="U39" s="45">
        <f t="shared" ca="1" si="17"/>
        <v>6.9065647614955771E-3</v>
      </c>
      <c r="V39" s="45">
        <f t="shared" ca="1" si="17"/>
        <v>1.0179373809692713E-3</v>
      </c>
      <c r="W39" s="45">
        <f t="shared" ca="1" si="17"/>
        <v>1.028541029341186E-4</v>
      </c>
      <c r="X39" s="45">
        <f t="shared" ca="1" si="17"/>
        <v>1.5159350527834411E-5</v>
      </c>
      <c r="Y39" s="45">
        <f t="shared" ca="1" si="17"/>
        <v>3.114356780736237E-5</v>
      </c>
      <c r="Z39" s="45">
        <f t="shared" ca="1" si="17"/>
        <v>4.5901548660785209E-6</v>
      </c>
      <c r="AA39" s="45">
        <f t="shared" ca="1" si="17"/>
        <v>0.11574437627495139</v>
      </c>
      <c r="AB39" s="45">
        <v>0</v>
      </c>
      <c r="AC39" s="22">
        <f t="shared" ca="1" si="12"/>
        <v>0.15844977858381781</v>
      </c>
    </row>
    <row r="40" spans="1:29" ht="12" customHeight="1" x14ac:dyDescent="0.25">
      <c r="A40" s="262"/>
      <c r="C40" s="263"/>
      <c r="D40" s="62">
        <f t="shared" si="13"/>
        <v>29</v>
      </c>
      <c r="E40" s="43">
        <f t="shared" si="8"/>
        <v>77.25</v>
      </c>
      <c r="F40" s="44" cm="1">
        <f t="array" ref="F40">_fnGENPOP.U(E40)</f>
        <v>0.75329999999999997</v>
      </c>
      <c r="G40" s="45">
        <f t="shared" ca="1" si="16"/>
        <v>0</v>
      </c>
      <c r="H40" s="45">
        <f t="shared" ca="1" si="16"/>
        <v>1.1396430005484511E-3</v>
      </c>
      <c r="I40" s="45">
        <f t="shared" ca="1" si="16"/>
        <v>6.9552540590814482E-3</v>
      </c>
      <c r="J40" s="45">
        <f t="shared" ca="1" si="16"/>
        <v>1.0281303378653164E-3</v>
      </c>
      <c r="K40" s="45">
        <f t="shared" ca="1" si="16"/>
        <v>1.0415358483152123E-4</v>
      </c>
      <c r="L40" s="45">
        <f t="shared" ca="1" si="16"/>
        <v>1.5411265320666515E-5</v>
      </c>
      <c r="M40" s="45">
        <f t="shared" ca="1" si="16"/>
        <v>3.133921856322151E-5</v>
      </c>
      <c r="N40" s="45">
        <f t="shared" ca="1" si="16"/>
        <v>4.6319513497978198E-6</v>
      </c>
      <c r="O40" s="45">
        <f t="shared" ca="1" si="16"/>
        <v>0.1477028897271318</v>
      </c>
      <c r="P40" s="45">
        <v>0</v>
      </c>
      <c r="Q40" s="22">
        <f t="shared" ca="1" si="10"/>
        <v>0.15698145314469222</v>
      </c>
      <c r="S40" s="45">
        <f t="shared" ca="1" si="17"/>
        <v>3.2541457184727271E-2</v>
      </c>
      <c r="T40" s="45">
        <f t="shared" ca="1" si="17"/>
        <v>0</v>
      </c>
      <c r="U40" s="45">
        <f t="shared" ca="1" si="17"/>
        <v>6.848612300967393E-3</v>
      </c>
      <c r="V40" s="45">
        <f t="shared" ca="1" si="17"/>
        <v>1.0093959457413799E-3</v>
      </c>
      <c r="W40" s="45">
        <f t="shared" ca="1" si="17"/>
        <v>1.0199106196566459E-4</v>
      </c>
      <c r="X40" s="45">
        <f t="shared" ca="1" si="17"/>
        <v>1.5032149569257657E-5</v>
      </c>
      <c r="Y40" s="45">
        <f t="shared" ca="1" si="17"/>
        <v>3.0882244494486899E-5</v>
      </c>
      <c r="Z40" s="45">
        <f t="shared" ca="1" si="17"/>
        <v>4.5516392253253835E-6</v>
      </c>
      <c r="AA40" s="45">
        <f t="shared" ca="1" si="17"/>
        <v>0.11656831599647612</v>
      </c>
      <c r="AB40" s="45">
        <v>0</v>
      </c>
      <c r="AC40" s="22">
        <f t="shared" ca="1" si="12"/>
        <v>0.15712023852316689</v>
      </c>
    </row>
    <row r="41" spans="1:29" ht="12" customHeight="1" x14ac:dyDescent="0.25">
      <c r="A41" s="262"/>
      <c r="C41" s="263"/>
      <c r="D41" s="62">
        <f t="shared" si="13"/>
        <v>30</v>
      </c>
      <c r="E41" s="43">
        <f t="shared" si="8"/>
        <v>77.5</v>
      </c>
      <c r="F41" s="44" cm="1">
        <f t="array" ref="F41">_fnGENPOP.U(E41)</f>
        <v>0.75329999999999997</v>
      </c>
      <c r="G41" s="45">
        <f t="shared" ref="G41:O50" ca="1" si="18">PRODUCT(AVERAGE(OFFSET(AB.Trace.MarkovQA.Root, $D41, (G$2-1)*AB.Trace.MarkovQA.NumCols+G$3-1, CHOOSE(swtchHalfCycle, 2, 1))), $F41+G$6, AB.cycleLength)</f>
        <v>0</v>
      </c>
      <c r="H41" s="45">
        <f t="shared" ca="1" si="18"/>
        <v>9.5556152089665627E-4</v>
      </c>
      <c r="I41" s="45">
        <f t="shared" ca="1" si="18"/>
        <v>6.8797307288321037E-3</v>
      </c>
      <c r="J41" s="45">
        <f t="shared" ca="1" si="18"/>
        <v>1.0165118971993561E-3</v>
      </c>
      <c r="K41" s="45">
        <f t="shared" ca="1" si="18"/>
        <v>1.0293609587983243E-4</v>
      </c>
      <c r="L41" s="45">
        <f t="shared" ca="1" si="18"/>
        <v>1.5222069131891061E-5</v>
      </c>
      <c r="M41" s="45">
        <f t="shared" ca="1" si="18"/>
        <v>3.1002524305097248E-5</v>
      </c>
      <c r="N41" s="45">
        <f t="shared" ca="1" si="18"/>
        <v>4.5802336259522286E-6</v>
      </c>
      <c r="O41" s="45">
        <f t="shared" ca="1" si="18"/>
        <v>0.14666085898223541</v>
      </c>
      <c r="P41" s="45">
        <v>0</v>
      </c>
      <c r="Q41" s="22">
        <f t="shared" ca="1" si="10"/>
        <v>0.1556664040521063</v>
      </c>
      <c r="S41" s="45">
        <f t="shared" ref="S41:AA50" ca="1" si="19">PRODUCT(AVERAGE(OFFSET(AB.Trace.MarkovQA.Root, $D41, (S$2-1)*AB.Trace.MarkovQA.NumCols+S$3-1, CHOOSE(swtchHalfCycle, 2, 1))), $F41+S$6, AB.cycleLength)</f>
        <v>3.0581389004262414E-2</v>
      </c>
      <c r="T41" s="45">
        <f t="shared" ca="1" si="19"/>
        <v>0</v>
      </c>
      <c r="U41" s="45">
        <f t="shared" ca="1" si="19"/>
        <v>6.7911461151805947E-3</v>
      </c>
      <c r="V41" s="45">
        <f t="shared" ca="1" si="19"/>
        <v>1.0009261809997229E-3</v>
      </c>
      <c r="W41" s="45">
        <f t="shared" ca="1" si="19"/>
        <v>1.0113526270912271E-4</v>
      </c>
      <c r="X41" s="45">
        <f t="shared" ca="1" si="19"/>
        <v>1.4906015943547973E-5</v>
      </c>
      <c r="Y41" s="45">
        <f t="shared" ca="1" si="19"/>
        <v>3.0623113925892322E-5</v>
      </c>
      <c r="Z41" s="45">
        <f t="shared" ca="1" si="19"/>
        <v>4.5134467661719158E-6</v>
      </c>
      <c r="AA41" s="45">
        <f t="shared" ca="1" si="19"/>
        <v>0.11727721539242282</v>
      </c>
      <c r="AB41" s="45">
        <v>0</v>
      </c>
      <c r="AC41" s="22">
        <f t="shared" ca="1" si="12"/>
        <v>0.15580185453221029</v>
      </c>
    </row>
    <row r="42" spans="1:29" ht="12" customHeight="1" x14ac:dyDescent="0.25">
      <c r="A42" s="262"/>
      <c r="C42" s="263"/>
      <c r="D42" s="62">
        <f t="shared" si="13"/>
        <v>31</v>
      </c>
      <c r="E42" s="43">
        <f t="shared" si="8"/>
        <v>77.75</v>
      </c>
      <c r="F42" s="44" cm="1">
        <f t="array" ref="F42">_fnGENPOP.U(E42)</f>
        <v>0.75329999999999997</v>
      </c>
      <c r="G42" s="45">
        <f t="shared" ca="1" si="18"/>
        <v>0</v>
      </c>
      <c r="H42" s="45">
        <f t="shared" ca="1" si="18"/>
        <v>8.0121390626617653E-4</v>
      </c>
      <c r="I42" s="45">
        <f t="shared" ca="1" si="18"/>
        <v>6.8076132628016655E-3</v>
      </c>
      <c r="J42" s="45">
        <f t="shared" ca="1" si="18"/>
        <v>1.005474146016948E-3</v>
      </c>
      <c r="K42" s="45">
        <f t="shared" ca="1" si="18"/>
        <v>1.0178431394521805E-4</v>
      </c>
      <c r="L42" s="45">
        <f t="shared" ca="1" si="18"/>
        <v>1.5044132856150779E-5</v>
      </c>
      <c r="M42" s="45">
        <f t="shared" ca="1" si="18"/>
        <v>3.0680564382474929E-5</v>
      </c>
      <c r="N42" s="45">
        <f t="shared" ca="1" si="18"/>
        <v>4.5310256867174078E-6</v>
      </c>
      <c r="O42" s="45">
        <f t="shared" ca="1" si="18"/>
        <v>0.14559569751589113</v>
      </c>
      <c r="P42" s="45">
        <v>0</v>
      </c>
      <c r="Q42" s="22">
        <f t="shared" ca="1" si="10"/>
        <v>0.15436203886784647</v>
      </c>
      <c r="S42" s="45">
        <f t="shared" ca="1" si="19"/>
        <v>2.8739381525574419E-2</v>
      </c>
      <c r="T42" s="45">
        <f t="shared" ca="1" si="19"/>
        <v>0</v>
      </c>
      <c r="U42" s="45">
        <f t="shared" ca="1" si="19"/>
        <v>6.7341621237953352E-3</v>
      </c>
      <c r="V42" s="45">
        <f t="shared" ca="1" si="19"/>
        <v>9.9252748541754253E-4</v>
      </c>
      <c r="W42" s="45">
        <f t="shared" ca="1" si="19"/>
        <v>1.0028664439916173E-4</v>
      </c>
      <c r="X42" s="45">
        <f t="shared" ca="1" si="19"/>
        <v>1.4780940695613164E-5</v>
      </c>
      <c r="Y42" s="45">
        <f t="shared" ca="1" si="19"/>
        <v>3.0366157702223076E-5</v>
      </c>
      <c r="Z42" s="45">
        <f t="shared" ca="1" si="19"/>
        <v>4.4755747770731873E-6</v>
      </c>
      <c r="AA42" s="45">
        <f t="shared" ca="1" si="19"/>
        <v>0.11787855254885177</v>
      </c>
      <c r="AB42" s="45">
        <v>0</v>
      </c>
      <c r="AC42" s="22">
        <f t="shared" ca="1" si="12"/>
        <v>0.15449453300121313</v>
      </c>
    </row>
    <row r="43" spans="1:29" ht="12" customHeight="1" x14ac:dyDescent="0.25">
      <c r="A43" s="262"/>
      <c r="C43" s="263"/>
      <c r="D43" s="62">
        <f t="shared" si="13"/>
        <v>32</v>
      </c>
      <c r="E43" s="43">
        <f t="shared" ref="E43:E74" si="20">A.cohortAge+D43*AB.cycleLength</f>
        <v>78</v>
      </c>
      <c r="F43" s="44" cm="1">
        <f t="array" ref="F43">_fnGENPOP.U(E43)</f>
        <v>0.75329999999999997</v>
      </c>
      <c r="G43" s="45">
        <f t="shared" ca="1" si="18"/>
        <v>0</v>
      </c>
      <c r="H43" s="45">
        <f t="shared" ca="1" si="18"/>
        <v>6.7179737730746437E-4</v>
      </c>
      <c r="I43" s="45">
        <f t="shared" ca="1" si="18"/>
        <v>6.7384253089504192E-3</v>
      </c>
      <c r="J43" s="45">
        <f t="shared" ca="1" si="18"/>
        <v>9.9493416263271898E-4</v>
      </c>
      <c r="K43" s="45">
        <f t="shared" ca="1" si="18"/>
        <v>1.0068872444414775E-4</v>
      </c>
      <c r="L43" s="45">
        <f t="shared" ca="1" si="18"/>
        <v>1.4875799675282126E-5</v>
      </c>
      <c r="M43" s="45">
        <f t="shared" ca="1" si="18"/>
        <v>3.0371291526936307E-5</v>
      </c>
      <c r="N43" s="45">
        <f t="shared" ca="1" si="18"/>
        <v>4.4839711738287456E-6</v>
      </c>
      <c r="O43" s="45">
        <f t="shared" ca="1" si="18"/>
        <v>0.14451274793415542</v>
      </c>
      <c r="P43" s="45">
        <v>0</v>
      </c>
      <c r="Q43" s="22">
        <f t="shared" ref="Q43:Q74" ca="1" si="21">SUM(G43:P43)</f>
        <v>0.15306832456986622</v>
      </c>
      <c r="S43" s="45">
        <f t="shared" ca="1" si="19"/>
        <v>2.7008323603529179E-2</v>
      </c>
      <c r="T43" s="45">
        <f t="shared" ca="1" si="19"/>
        <v>0</v>
      </c>
      <c r="U43" s="45">
        <f t="shared" ca="1" si="19"/>
        <v>6.6776562807545157E-3</v>
      </c>
      <c r="V43" s="45">
        <f t="shared" ca="1" si="19"/>
        <v>9.8419926265228062E-4</v>
      </c>
      <c r="W43" s="45">
        <f t="shared" ca="1" si="19"/>
        <v>9.9445146780996897E-5</v>
      </c>
      <c r="X43" s="45">
        <f t="shared" ca="1" si="19"/>
        <v>1.4656914944586826E-5</v>
      </c>
      <c r="Y43" s="45">
        <f t="shared" ca="1" si="19"/>
        <v>3.0111357578713791E-5</v>
      </c>
      <c r="Z43" s="45">
        <f t="shared" ca="1" si="19"/>
        <v>4.4380205689593713E-6</v>
      </c>
      <c r="AA43" s="45">
        <f t="shared" ca="1" si="19"/>
        <v>0.11837935051910556</v>
      </c>
      <c r="AB43" s="45">
        <v>0</v>
      </c>
      <c r="AC43" s="22">
        <f t="shared" ref="AC43:AC74" ca="1" si="22">SUM(S43:AB43)</f>
        <v>0.15319818110591479</v>
      </c>
    </row>
    <row r="44" spans="1:29" ht="12" customHeight="1" x14ac:dyDescent="0.25">
      <c r="A44" s="262"/>
      <c r="C44" s="263"/>
      <c r="D44" s="62">
        <f t="shared" ref="D44:D75" si="23">D43+1</f>
        <v>33</v>
      </c>
      <c r="E44" s="43">
        <f t="shared" si="20"/>
        <v>78.25</v>
      </c>
      <c r="F44" s="44" cm="1">
        <f t="array" ref="F44">_fnGENPOP.U(E44)</f>
        <v>0.75329999999999997</v>
      </c>
      <c r="G44" s="45">
        <f t="shared" ca="1" si="18"/>
        <v>0</v>
      </c>
      <c r="H44" s="45">
        <f t="shared" ca="1" si="18"/>
        <v>5.6328492631935721E-4</v>
      </c>
      <c r="I44" s="45">
        <f t="shared" ca="1" si="18"/>
        <v>6.6717668391718509E-3</v>
      </c>
      <c r="J44" s="45">
        <f t="shared" ca="1" si="18"/>
        <v>9.8482232809220466E-4</v>
      </c>
      <c r="K44" s="45">
        <f t="shared" ca="1" si="18"/>
        <v>9.9641340421809384E-5</v>
      </c>
      <c r="L44" s="45">
        <f t="shared" ca="1" si="18"/>
        <v>1.471567903082766E-5</v>
      </c>
      <c r="M44" s="45">
        <f t="shared" ca="1" si="18"/>
        <v>3.0072986364565677E-5</v>
      </c>
      <c r="N44" s="45">
        <f t="shared" ca="1" si="18"/>
        <v>4.4387708785605454E-6</v>
      </c>
      <c r="O44" s="45">
        <f t="shared" ca="1" si="18"/>
        <v>0.14341647639640753</v>
      </c>
      <c r="P44" s="45">
        <v>0</v>
      </c>
      <c r="Q44" s="22">
        <f t="shared" ca="1" si="21"/>
        <v>0.1517852192666867</v>
      </c>
      <c r="S44" s="45">
        <f t="shared" ca="1" si="19"/>
        <v>2.5381532418289287E-2</v>
      </c>
      <c r="T44" s="45">
        <f t="shared" ca="1" si="19"/>
        <v>0</v>
      </c>
      <c r="U44" s="45">
        <f t="shared" ca="1" si="19"/>
        <v>6.621624573952053E-3</v>
      </c>
      <c r="V44" s="45">
        <f t="shared" ca="1" si="19"/>
        <v>9.7594092137181002E-4</v>
      </c>
      <c r="W44" s="45">
        <f t="shared" ca="1" si="19"/>
        <v>9.8610710105449546E-5</v>
      </c>
      <c r="X44" s="45">
        <f t="shared" ca="1" si="19"/>
        <v>1.4533929884219033E-5</v>
      </c>
      <c r="Y44" s="45">
        <f t="shared" ca="1" si="19"/>
        <v>2.9858695463693403E-5</v>
      </c>
      <c r="Z44" s="45">
        <f t="shared" ca="1" si="19"/>
        <v>4.4007814753540302E-6</v>
      </c>
      <c r="AA44" s="45">
        <f t="shared" ca="1" si="19"/>
        <v>0.11878620477039312</v>
      </c>
      <c r="AB44" s="45">
        <v>0</v>
      </c>
      <c r="AC44" s="22">
        <f t="shared" ca="1" si="22"/>
        <v>0.15191270680093499</v>
      </c>
    </row>
    <row r="45" spans="1:29" ht="12" customHeight="1" x14ac:dyDescent="0.25">
      <c r="A45" s="262"/>
      <c r="C45" s="263"/>
      <c r="D45" s="62">
        <f t="shared" si="23"/>
        <v>34</v>
      </c>
      <c r="E45" s="43">
        <f t="shared" si="20"/>
        <v>78.5</v>
      </c>
      <c r="F45" s="44" cm="1">
        <f t="array" ref="F45">_fnGENPOP.U(E45)</f>
        <v>0.75329999999999997</v>
      </c>
      <c r="G45" s="45">
        <f t="shared" ca="1" si="18"/>
        <v>0</v>
      </c>
      <c r="H45" s="45">
        <f t="shared" ca="1" si="18"/>
        <v>4.7230001029519979E-4</v>
      </c>
      <c r="I45" s="45">
        <f t="shared" ca="1" si="18"/>
        <v>6.6073018262198463E-3</v>
      </c>
      <c r="J45" s="45">
        <f t="shared" ca="1" si="18"/>
        <v>9.7508017820041961E-4</v>
      </c>
      <c r="K45" s="45">
        <f t="shared" ca="1" si="18"/>
        <v>9.8635455878361529E-5</v>
      </c>
      <c r="L45" s="45">
        <f t="shared" ca="1" si="18"/>
        <v>1.4562603627600177E-5</v>
      </c>
      <c r="M45" s="45">
        <f t="shared" ca="1" si="18"/>
        <v>2.9784204476024486E-5</v>
      </c>
      <c r="N45" s="45">
        <f t="shared" ca="1" si="18"/>
        <v>4.3951735140401503E-6</v>
      </c>
      <c r="O45" s="45">
        <f t="shared" ca="1" si="18"/>
        <v>0.1423106142970052</v>
      </c>
      <c r="P45" s="45">
        <v>0</v>
      </c>
      <c r="Q45" s="22">
        <f t="shared" ca="1" si="21"/>
        <v>0.1505126737492167</v>
      </c>
      <c r="S45" s="45">
        <f t="shared" ca="1" si="19"/>
        <v>2.3852727676015015E-2</v>
      </c>
      <c r="T45" s="45">
        <f t="shared" ca="1" si="19"/>
        <v>0</v>
      </c>
      <c r="U45" s="45">
        <f t="shared" ca="1" si="19"/>
        <v>6.5660630249467604E-3</v>
      </c>
      <c r="V45" s="45">
        <f t="shared" ca="1" si="19"/>
        <v>9.6775187520595197E-4</v>
      </c>
      <c r="W45" s="45">
        <f t="shared" ca="1" si="19"/>
        <v>9.778327512468609E-5</v>
      </c>
      <c r="X45" s="45">
        <f t="shared" ca="1" si="19"/>
        <v>1.4411976782154296E-5</v>
      </c>
      <c r="Y45" s="45">
        <f t="shared" ca="1" si="19"/>
        <v>2.9608153417294963E-5</v>
      </c>
      <c r="Z45" s="45">
        <f t="shared" ca="1" si="19"/>
        <v>4.3638548521554974E-6</v>
      </c>
      <c r="AA45" s="45">
        <f t="shared" ca="1" si="19"/>
        <v>0.11910530897689534</v>
      </c>
      <c r="AB45" s="45">
        <v>0</v>
      </c>
      <c r="AC45" s="22">
        <f t="shared" ca="1" si="22"/>
        <v>0.15063801881323935</v>
      </c>
    </row>
    <row r="46" spans="1:29" ht="12" customHeight="1" x14ac:dyDescent="0.25">
      <c r="A46" s="262"/>
      <c r="C46" s="263"/>
      <c r="D46" s="62">
        <f t="shared" si="23"/>
        <v>35</v>
      </c>
      <c r="E46" s="43">
        <f t="shared" si="20"/>
        <v>78.75</v>
      </c>
      <c r="F46" s="44" cm="1">
        <f t="array" ref="F46">_fnGENPOP.U(E46)</f>
        <v>0.75329999999999997</v>
      </c>
      <c r="G46" s="45">
        <f t="shared" ca="1" si="18"/>
        <v>0</v>
      </c>
      <c r="H46" s="45">
        <f t="shared" ca="1" si="18"/>
        <v>3.9601148424550013E-4</v>
      </c>
      <c r="I46" s="45">
        <f t="shared" ca="1" si="18"/>
        <v>6.5447479110851354E-3</v>
      </c>
      <c r="J46" s="45">
        <f t="shared" ca="1" si="18"/>
        <v>9.6565860250207958E-4</v>
      </c>
      <c r="K46" s="45">
        <f t="shared" ca="1" si="18"/>
        <v>9.7665438938676741E-5</v>
      </c>
      <c r="L46" s="45">
        <f t="shared" ca="1" si="18"/>
        <v>1.4415593382260738E-5</v>
      </c>
      <c r="M46" s="45">
        <f t="shared" ca="1" si="18"/>
        <v>2.9503732007587854E-5</v>
      </c>
      <c r="N46" s="45">
        <f t="shared" ca="1" si="18"/>
        <v>4.3529679780663008E-6</v>
      </c>
      <c r="O46" s="45">
        <f t="shared" ca="1" si="18"/>
        <v>0.14119827706077379</v>
      </c>
      <c r="P46" s="45">
        <v>0</v>
      </c>
      <c r="Q46" s="22">
        <f t="shared" ca="1" si="21"/>
        <v>0.14925063279091311</v>
      </c>
      <c r="S46" s="45">
        <f t="shared" ca="1" si="19"/>
        <v>2.2416007363533337E-2</v>
      </c>
      <c r="T46" s="45">
        <f t="shared" ca="1" si="19"/>
        <v>0</v>
      </c>
      <c r="U46" s="45">
        <f t="shared" ca="1" si="19"/>
        <v>6.5109676886802581E-3</v>
      </c>
      <c r="V46" s="45">
        <f t="shared" ca="1" si="19"/>
        <v>9.5963154270465949E-4</v>
      </c>
      <c r="W46" s="45">
        <f t="shared" ca="1" si="19"/>
        <v>9.696278308801728E-5</v>
      </c>
      <c r="X46" s="45">
        <f t="shared" ca="1" si="19"/>
        <v>1.4291046979308812E-5</v>
      </c>
      <c r="Y46" s="45">
        <f t="shared" ca="1" si="19"/>
        <v>2.9359713650183641E-5</v>
      </c>
      <c r="Z46" s="45">
        <f t="shared" ca="1" si="19"/>
        <v>4.3272380774483021E-6</v>
      </c>
      <c r="AA46" s="45">
        <f t="shared" ca="1" si="19"/>
        <v>0.11934247925894537</v>
      </c>
      <c r="AB46" s="45">
        <v>0</v>
      </c>
      <c r="AC46" s="22">
        <f t="shared" ca="1" si="22"/>
        <v>0.14937402663565857</v>
      </c>
    </row>
    <row r="47" spans="1:29" ht="12" customHeight="1" x14ac:dyDescent="0.25">
      <c r="A47" s="262"/>
      <c r="C47" s="263"/>
      <c r="D47" s="62">
        <f t="shared" si="23"/>
        <v>36</v>
      </c>
      <c r="E47" s="43">
        <f t="shared" si="20"/>
        <v>79</v>
      </c>
      <c r="F47" s="44" cm="1">
        <f t="array" ref="F47">_fnGENPOP.U(E47)</f>
        <v>0.75329999999999997</v>
      </c>
      <c r="G47" s="45">
        <f t="shared" ca="1" si="18"/>
        <v>0</v>
      </c>
      <c r="H47" s="45">
        <f t="shared" ca="1" si="18"/>
        <v>3.3204550547501422E-4</v>
      </c>
      <c r="I47" s="45">
        <f t="shared" ca="1" si="18"/>
        <v>6.4838677393110125E-3</v>
      </c>
      <c r="J47" s="45">
        <f t="shared" ca="1" si="18"/>
        <v>9.5651633416641646E-4</v>
      </c>
      <c r="K47" s="45">
        <f t="shared" ca="1" si="18"/>
        <v>9.6726558429809713E-5</v>
      </c>
      <c r="L47" s="45">
        <f t="shared" ca="1" si="18"/>
        <v>1.4273825195031542E-5</v>
      </c>
      <c r="M47" s="45">
        <f t="shared" ca="1" si="18"/>
        <v>2.9230548451936881E-5</v>
      </c>
      <c r="N47" s="45">
        <f t="shared" ca="1" si="18"/>
        <v>4.3119768656524489E-6</v>
      </c>
      <c r="O47" s="45">
        <f t="shared" ca="1" si="18"/>
        <v>0.14008206374904583</v>
      </c>
      <c r="P47" s="45">
        <v>0</v>
      </c>
      <c r="Q47" s="22">
        <f t="shared" ca="1" si="21"/>
        <v>0.14799903623694072</v>
      </c>
      <c r="S47" s="45">
        <f t="shared" ca="1" si="19"/>
        <v>2.1065824963374911E-2</v>
      </c>
      <c r="T47" s="45">
        <f t="shared" ca="1" si="19"/>
        <v>0</v>
      </c>
      <c r="U47" s="45">
        <f t="shared" ca="1" si="19"/>
        <v>6.4563346531968553E-3</v>
      </c>
      <c r="V47" s="45">
        <f t="shared" ca="1" si="19"/>
        <v>9.5157934729679032E-4</v>
      </c>
      <c r="W47" s="45">
        <f t="shared" ca="1" si="19"/>
        <v>9.6149175737726323E-5</v>
      </c>
      <c r="X47" s="45">
        <f t="shared" ca="1" si="19"/>
        <v>1.4171131889256535E-5</v>
      </c>
      <c r="Y47" s="45">
        <f t="shared" ca="1" si="19"/>
        <v>2.9113358522293563E-5</v>
      </c>
      <c r="Z47" s="45">
        <f t="shared" ca="1" si="19"/>
        <v>4.2909285513172831E-6</v>
      </c>
      <c r="AA47" s="45">
        <f t="shared" ca="1" si="19"/>
        <v>0.11950317696189297</v>
      </c>
      <c r="AB47" s="45">
        <v>0</v>
      </c>
      <c r="AC47" s="22">
        <f t="shared" ca="1" si="22"/>
        <v>0.14812064052046212</v>
      </c>
    </row>
    <row r="48" spans="1:29" ht="12" customHeight="1" x14ac:dyDescent="0.25">
      <c r="A48" s="262"/>
      <c r="C48" s="263"/>
      <c r="D48" s="62">
        <f t="shared" si="23"/>
        <v>37</v>
      </c>
      <c r="E48" s="43">
        <f t="shared" si="20"/>
        <v>79.25</v>
      </c>
      <c r="F48" s="44" cm="1">
        <f t="array" ref="F48">_fnGENPOP.U(E48)</f>
        <v>0.75329999999999997</v>
      </c>
      <c r="G48" s="45">
        <f t="shared" ca="1" si="18"/>
        <v>0</v>
      </c>
      <c r="H48" s="45">
        <f t="shared" ca="1" si="18"/>
        <v>2.7841166757125555E-4</v>
      </c>
      <c r="I48" s="45">
        <f t="shared" ca="1" si="18"/>
        <v>6.4244616966726972E-3</v>
      </c>
      <c r="J48" s="45">
        <f t="shared" ca="1" si="18"/>
        <v>9.4761868378783203E-4</v>
      </c>
      <c r="K48" s="45">
        <f t="shared" ca="1" si="18"/>
        <v>9.5814838469999541E-5</v>
      </c>
      <c r="L48" s="45">
        <f t="shared" ca="1" si="18"/>
        <v>1.4136607603955083E-5</v>
      </c>
      <c r="M48" s="45">
        <f t="shared" ca="1" si="18"/>
        <v>2.8963795440611284E-5</v>
      </c>
      <c r="N48" s="45">
        <f t="shared" ca="1" si="18"/>
        <v>4.2720510294314348E-6</v>
      </c>
      <c r="O48" s="45">
        <f t="shared" ca="1" si="18"/>
        <v>0.13896414057584588</v>
      </c>
      <c r="P48" s="45">
        <v>0</v>
      </c>
      <c r="Q48" s="22">
        <f t="shared" ca="1" si="21"/>
        <v>0.14675781991642167</v>
      </c>
      <c r="S48" s="45">
        <f t="shared" ca="1" si="19"/>
        <v>1.9796968041216782E-2</v>
      </c>
      <c r="T48" s="45">
        <f t="shared" ca="1" si="19"/>
        <v>0</v>
      </c>
      <c r="U48" s="45">
        <f t="shared" ca="1" si="19"/>
        <v>6.4021600393657863E-3</v>
      </c>
      <c r="V48" s="45">
        <f t="shared" ca="1" si="19"/>
        <v>9.4359471724916747E-4</v>
      </c>
      <c r="W48" s="45">
        <f t="shared" ca="1" si="19"/>
        <v>9.5342395304932651E-5</v>
      </c>
      <c r="X48" s="45">
        <f t="shared" ca="1" si="19"/>
        <v>1.405222299761947E-5</v>
      </c>
      <c r="Y48" s="45">
        <f t="shared" ca="1" si="19"/>
        <v>2.8869070541575308E-5</v>
      </c>
      <c r="Z48" s="45">
        <f t="shared" ca="1" si="19"/>
        <v>4.2549236956629648E-6</v>
      </c>
      <c r="AA48" s="45">
        <f t="shared" ca="1" si="19"/>
        <v>0.11959253006261435</v>
      </c>
      <c r="AB48" s="45">
        <v>0</v>
      </c>
      <c r="AC48" s="22">
        <f t="shared" ca="1" si="22"/>
        <v>0.14687777147298586</v>
      </c>
    </row>
    <row r="49" spans="1:29" ht="12" customHeight="1" x14ac:dyDescent="0.25">
      <c r="A49" s="262"/>
      <c r="C49" s="263"/>
      <c r="D49" s="62">
        <f t="shared" si="23"/>
        <v>38</v>
      </c>
      <c r="E49" s="43">
        <f t="shared" si="20"/>
        <v>79.5</v>
      </c>
      <c r="F49" s="44" cm="1">
        <f t="array" ref="F49">_fnGENPOP.U(E49)</f>
        <v>0.75329999999999997</v>
      </c>
      <c r="G49" s="45">
        <f t="shared" ca="1" si="18"/>
        <v>0</v>
      </c>
      <c r="H49" s="45">
        <f t="shared" ca="1" si="18"/>
        <v>2.334410656422513E-4</v>
      </c>
      <c r="I49" s="45">
        <f t="shared" ca="1" si="18"/>
        <v>6.3663618181876956E-3</v>
      </c>
      <c r="J49" s="45">
        <f t="shared" ca="1" si="18"/>
        <v>9.3893647770385252E-4</v>
      </c>
      <c r="K49" s="45">
        <f t="shared" ca="1" si="18"/>
        <v>9.4926936544632731E-5</v>
      </c>
      <c r="L49" s="45">
        <f t="shared" ca="1" si="18"/>
        <v>1.4003359533045137E-5</v>
      </c>
      <c r="M49" s="45">
        <f t="shared" ca="1" si="18"/>
        <v>2.8702750577087097E-5</v>
      </c>
      <c r="N49" s="45">
        <f t="shared" ca="1" si="18"/>
        <v>4.233065018665635E-6</v>
      </c>
      <c r="O49" s="45">
        <f t="shared" ca="1" si="18"/>
        <v>0.1378463109331507</v>
      </c>
      <c r="P49" s="45">
        <v>0</v>
      </c>
      <c r="Q49" s="22">
        <f t="shared" ca="1" si="21"/>
        <v>0.14552691640635793</v>
      </c>
      <c r="S49" s="45">
        <f t="shared" ca="1" si="19"/>
        <v>1.8604538123066696E-2</v>
      </c>
      <c r="T49" s="45">
        <f t="shared" ca="1" si="19"/>
        <v>0</v>
      </c>
      <c r="U49" s="45">
        <f t="shared" ca="1" si="19"/>
        <v>6.3484400006057736E-3</v>
      </c>
      <c r="V49" s="45">
        <f t="shared" ca="1" si="19"/>
        <v>9.3567708562598329E-4</v>
      </c>
      <c r="W49" s="45">
        <f t="shared" ca="1" si="19"/>
        <v>9.4542384505489911E-5</v>
      </c>
      <c r="X49" s="45">
        <f t="shared" ca="1" si="19"/>
        <v>1.3934311861463112E-5</v>
      </c>
      <c r="Y49" s="45">
        <f t="shared" ca="1" si="19"/>
        <v>2.8626832362753934E-5</v>
      </c>
      <c r="Z49" s="45">
        <f t="shared" ca="1" si="19"/>
        <v>4.2192209540185134E-6</v>
      </c>
      <c r="AA49" s="45">
        <f t="shared" ca="1" si="19"/>
        <v>0.11961535328633099</v>
      </c>
      <c r="AB49" s="45">
        <v>0</v>
      </c>
      <c r="AC49" s="22">
        <f t="shared" ca="1" si="22"/>
        <v>0.14564533124531318</v>
      </c>
    </row>
    <row r="50" spans="1:29" ht="12" customHeight="1" x14ac:dyDescent="0.25">
      <c r="A50" s="262"/>
      <c r="C50" s="263"/>
      <c r="D50" s="62">
        <f t="shared" si="23"/>
        <v>39</v>
      </c>
      <c r="E50" s="43">
        <f t="shared" si="20"/>
        <v>79.75</v>
      </c>
      <c r="F50" s="44" cm="1">
        <f t="array" ref="F50">_fnGENPOP.U(E50)</f>
        <v>0.75329999999999997</v>
      </c>
      <c r="G50" s="45">
        <f t="shared" ca="1" si="18"/>
        <v>8.9268721106598316E-5</v>
      </c>
      <c r="H50" s="45">
        <f t="shared" ca="1" si="18"/>
        <v>1.0646564449516915E-4</v>
      </c>
      <c r="I50" s="45">
        <f t="shared" ca="1" si="18"/>
        <v>6.3094266809345526E-3</v>
      </c>
      <c r="J50" s="45">
        <f t="shared" ca="1" si="18"/>
        <v>9.3044516779566485E-4</v>
      </c>
      <c r="K50" s="45">
        <f t="shared" ca="1" si="18"/>
        <v>9.406004127542766E-5</v>
      </c>
      <c r="L50" s="45">
        <f t="shared" ca="1" si="18"/>
        <v>1.3873592473062177E-5</v>
      </c>
      <c r="M50" s="45">
        <f t="shared" ca="1" si="18"/>
        <v>2.8446805496291248E-5</v>
      </c>
      <c r="N50" s="45">
        <f t="shared" ca="1" si="18"/>
        <v>4.1949132549455669E-6</v>
      </c>
      <c r="O50" s="45">
        <f t="shared" ca="1" si="18"/>
        <v>0.13673007410436247</v>
      </c>
      <c r="P50" s="45">
        <v>0</v>
      </c>
      <c r="Q50" s="22">
        <f t="shared" ca="1" si="21"/>
        <v>0.14430625567119418</v>
      </c>
      <c r="S50" s="45">
        <f t="shared" ca="1" si="19"/>
        <v>1.7483931784504109E-2</v>
      </c>
      <c r="T50" s="45">
        <f t="shared" ca="1" si="19"/>
        <v>0</v>
      </c>
      <c r="U50" s="45">
        <f t="shared" ca="1" si="19"/>
        <v>6.2951707226119149E-3</v>
      </c>
      <c r="V50" s="45">
        <f t="shared" ca="1" si="19"/>
        <v>9.2782589024854607E-4</v>
      </c>
      <c r="W50" s="45">
        <f t="shared" ca="1" si="19"/>
        <v>9.3749086535918703E-5</v>
      </c>
      <c r="X50" s="45">
        <f t="shared" ca="1" si="19"/>
        <v>1.3817390108696985E-5</v>
      </c>
      <c r="Y50" s="45">
        <f t="shared" ca="1" si="19"/>
        <v>2.8386626786097368E-5</v>
      </c>
      <c r="Z50" s="45">
        <f t="shared" ca="1" si="19"/>
        <v>4.1838177913682106E-6</v>
      </c>
      <c r="AA50" s="45">
        <f t="shared" ca="1" si="19"/>
        <v>0.11957616701142229</v>
      </c>
      <c r="AB50" s="45">
        <v>0</v>
      </c>
      <c r="AC50" s="22">
        <f t="shared" ca="1" si="22"/>
        <v>0.14442323233000895</v>
      </c>
    </row>
    <row r="51" spans="1:29" ht="12" customHeight="1" x14ac:dyDescent="0.25">
      <c r="A51" s="262"/>
      <c r="C51" s="263"/>
      <c r="D51" s="62">
        <f t="shared" si="23"/>
        <v>40</v>
      </c>
      <c r="E51" s="43">
        <f t="shared" si="20"/>
        <v>80</v>
      </c>
      <c r="F51" s="44" cm="1">
        <f t="array" ref="F51">_fnGENPOP.U(E51)</f>
        <v>0.69850000000000001</v>
      </c>
      <c r="G51" s="45">
        <f t="shared" ref="G51:O60" ca="1" si="24">PRODUCT(AVERAGE(OFFSET(AB.Trace.MarkovQA.Root, $D51, (G$2-1)*AB.Trace.MarkovQA.NumCols+G$3-1, CHOOSE(swtchHalfCycle, 2, 1))), $F51+G$6, AB.cycleLength)</f>
        <v>1.6056368705347961E-4</v>
      </c>
      <c r="H51" s="45">
        <f t="shared" ca="1" si="24"/>
        <v>0</v>
      </c>
      <c r="I51" s="45">
        <f t="shared" ca="1" si="24"/>
        <v>5.7382973675284259E-3</v>
      </c>
      <c r="J51" s="45">
        <f t="shared" ca="1" si="24"/>
        <v>8.472179135492066E-4</v>
      </c>
      <c r="K51" s="45">
        <f t="shared" ca="1" si="24"/>
        <v>8.5226806870089772E-5</v>
      </c>
      <c r="L51" s="45">
        <f t="shared" ca="1" si="24"/>
        <v>1.2590239812502406E-5</v>
      </c>
      <c r="M51" s="45">
        <f t="shared" ca="1" si="24"/>
        <v>2.5160755646403197E-5</v>
      </c>
      <c r="N51" s="45">
        <f t="shared" ca="1" si="24"/>
        <v>3.7145136814222469E-6</v>
      </c>
      <c r="O51" s="45">
        <f t="shared" ca="1" si="24"/>
        <v>0.12575102500127672</v>
      </c>
      <c r="P51" s="45">
        <v>0</v>
      </c>
      <c r="Q51" s="22">
        <f t="shared" ca="1" si="21"/>
        <v>0.13262379628541826</v>
      </c>
      <c r="S51" s="45">
        <f t="shared" ref="S51:AA60" ca="1" si="25">PRODUCT(AVERAGE(OFFSET(AB.Trace.MarkovQA.Root, $D51, (S$2-1)*AB.Trace.MarkovQA.NumCols+S$3-1, CHOOSE(swtchHalfCycle, 2, 1))), $F51+S$6, AB.cycleLength)</f>
        <v>1.5235536679891165E-2</v>
      </c>
      <c r="T51" s="45">
        <f t="shared" ca="1" si="25"/>
        <v>0</v>
      </c>
      <c r="U51" s="45">
        <f t="shared" ca="1" si="25"/>
        <v>5.7352687043604623E-3</v>
      </c>
      <c r="V51" s="45">
        <f t="shared" ca="1" si="25"/>
        <v>8.4530365035596824E-4</v>
      </c>
      <c r="W51" s="45">
        <f t="shared" ca="1" si="25"/>
        <v>8.5140639465501548E-5</v>
      </c>
      <c r="X51" s="45">
        <f t="shared" ca="1" si="25"/>
        <v>1.254861751797472E-5</v>
      </c>
      <c r="Y51" s="45">
        <f t="shared" ca="1" si="25"/>
        <v>2.5149147753201797E-5</v>
      </c>
      <c r="Z51" s="45">
        <f t="shared" ca="1" si="25"/>
        <v>3.7066556939102687E-6</v>
      </c>
      <c r="AA51" s="45">
        <f t="shared" ca="1" si="25"/>
        <v>0.11078751055636939</v>
      </c>
      <c r="AB51" s="45">
        <v>0</v>
      </c>
      <c r="AC51" s="22">
        <f t="shared" ca="1" si="22"/>
        <v>0.13273016465140758</v>
      </c>
    </row>
    <row r="52" spans="1:29" ht="12" customHeight="1" x14ac:dyDescent="0.25">
      <c r="A52" s="262"/>
      <c r="C52" s="263"/>
      <c r="D52" s="62">
        <f t="shared" si="23"/>
        <v>41</v>
      </c>
      <c r="E52" s="43">
        <f t="shared" si="20"/>
        <v>80.25</v>
      </c>
      <c r="F52" s="44" cm="1">
        <f t="array" ref="F52">_fnGENPOP.U(E52)</f>
        <v>0.69850000000000001</v>
      </c>
      <c r="G52" s="45">
        <f t="shared" ca="1" si="24"/>
        <v>1.5089246144901132E-4</v>
      </c>
      <c r="H52" s="45">
        <f t="shared" ca="1" si="24"/>
        <v>0</v>
      </c>
      <c r="I52" s="45">
        <f t="shared" ca="1" si="24"/>
        <v>5.6821146196538276E-3</v>
      </c>
      <c r="J52" s="45">
        <f t="shared" ca="1" si="24"/>
        <v>8.3865341139396671E-4</v>
      </c>
      <c r="K52" s="45">
        <f t="shared" ca="1" si="24"/>
        <v>8.4351561743879649E-5</v>
      </c>
      <c r="L52" s="45">
        <f t="shared" ca="1" si="24"/>
        <v>1.2455916406193719E-5</v>
      </c>
      <c r="M52" s="45">
        <f t="shared" ca="1" si="24"/>
        <v>2.491606714287974E-5</v>
      </c>
      <c r="N52" s="45">
        <f t="shared" ca="1" si="24"/>
        <v>3.6772499235595818E-6</v>
      </c>
      <c r="O52" s="45">
        <f t="shared" ca="1" si="24"/>
        <v>0.12471513420342761</v>
      </c>
      <c r="P52" s="45">
        <v>0</v>
      </c>
      <c r="Q52" s="22">
        <f t="shared" ca="1" si="21"/>
        <v>0.13151219549114093</v>
      </c>
      <c r="S52" s="45">
        <f t="shared" ca="1" si="25"/>
        <v>1.4317855259263962E-2</v>
      </c>
      <c r="T52" s="45">
        <f t="shared" ca="1" si="25"/>
        <v>0</v>
      </c>
      <c r="U52" s="45">
        <f t="shared" ca="1" si="25"/>
        <v>5.687144500153932E-3</v>
      </c>
      <c r="V52" s="45">
        <f t="shared" ca="1" si="25"/>
        <v>8.38210771611625E-4</v>
      </c>
      <c r="W52" s="45">
        <f t="shared" ca="1" si="25"/>
        <v>8.4426230824665379E-5</v>
      </c>
      <c r="X52" s="45">
        <f t="shared" ca="1" si="25"/>
        <v>1.2443323021225942E-5</v>
      </c>
      <c r="Y52" s="45">
        <f t="shared" ca="1" si="25"/>
        <v>2.4938123164035622E-5</v>
      </c>
      <c r="Z52" s="45">
        <f t="shared" ca="1" si="25"/>
        <v>3.6755534274373106E-6</v>
      </c>
      <c r="AA52" s="45">
        <f t="shared" ca="1" si="25"/>
        <v>0.1106477421568485</v>
      </c>
      <c r="AB52" s="45">
        <v>0</v>
      </c>
      <c r="AC52" s="22">
        <f t="shared" ca="1" si="22"/>
        <v>0.13161643591831537</v>
      </c>
    </row>
    <row r="53" spans="1:29" ht="12" customHeight="1" x14ac:dyDescent="0.25">
      <c r="A53" s="262"/>
      <c r="C53" s="263"/>
      <c r="D53" s="62">
        <f t="shared" si="23"/>
        <v>42</v>
      </c>
      <c r="E53" s="43">
        <f t="shared" si="20"/>
        <v>80.5</v>
      </c>
      <c r="F53" s="44" cm="1">
        <f t="array" ref="F53">_fnGENPOP.U(E53)</f>
        <v>0.69850000000000001</v>
      </c>
      <c r="G53" s="45">
        <f t="shared" ca="1" si="24"/>
        <v>1.4180376235728662E-4</v>
      </c>
      <c r="H53" s="45">
        <f t="shared" ca="1" si="24"/>
        <v>0</v>
      </c>
      <c r="I53" s="45">
        <f t="shared" ca="1" si="24"/>
        <v>5.6349306922559598E-3</v>
      </c>
      <c r="J53" s="45">
        <f t="shared" ca="1" si="24"/>
        <v>8.3044229054248441E-4</v>
      </c>
      <c r="K53" s="45">
        <f t="shared" ca="1" si="24"/>
        <v>8.3651111606627304E-5</v>
      </c>
      <c r="L53" s="45">
        <f t="shared" ca="1" si="24"/>
        <v>1.2327999140167087E-5</v>
      </c>
      <c r="M53" s="45">
        <f t="shared" ca="1" si="24"/>
        <v>2.4709165666615314E-5</v>
      </c>
      <c r="N53" s="45">
        <f t="shared" ca="1" si="24"/>
        <v>3.6414886454198226E-6</v>
      </c>
      <c r="O53" s="45">
        <f t="shared" ca="1" si="24"/>
        <v>0.12367726926941999</v>
      </c>
      <c r="P53" s="45">
        <v>0</v>
      </c>
      <c r="Q53" s="22">
        <f t="shared" ca="1" si="21"/>
        <v>0.13040877577963456</v>
      </c>
      <c r="S53" s="45">
        <f t="shared" ca="1" si="25"/>
        <v>1.3455448503878831E-2</v>
      </c>
      <c r="T53" s="45">
        <f t="shared" ca="1" si="25"/>
        <v>0</v>
      </c>
      <c r="U53" s="45">
        <f t="shared" ca="1" si="25"/>
        <v>5.6394241024907204E-3</v>
      </c>
      <c r="V53" s="45">
        <f t="shared" ca="1" si="25"/>
        <v>8.3117740867424722E-4</v>
      </c>
      <c r="W53" s="45">
        <f t="shared" ca="1" si="25"/>
        <v>8.3717816732487832E-5</v>
      </c>
      <c r="X53" s="45">
        <f t="shared" ca="1" si="25"/>
        <v>1.2338912042604135E-5</v>
      </c>
      <c r="Y53" s="45">
        <f t="shared" ca="1" si="25"/>
        <v>2.4728869266173573E-5</v>
      </c>
      <c r="Z53" s="45">
        <f t="shared" ca="1" si="25"/>
        <v>3.6447121377206623E-6</v>
      </c>
      <c r="AA53" s="45">
        <f t="shared" ca="1" si="25"/>
        <v>0.11046157207323186</v>
      </c>
      <c r="AB53" s="45">
        <v>0</v>
      </c>
      <c r="AC53" s="22">
        <f t="shared" ca="1" si="22"/>
        <v>0.13051205239845465</v>
      </c>
    </row>
    <row r="54" spans="1:29" ht="12" customHeight="1" x14ac:dyDescent="0.25">
      <c r="A54" s="262"/>
      <c r="C54" s="263"/>
      <c r="D54" s="62">
        <f t="shared" si="23"/>
        <v>43</v>
      </c>
      <c r="E54" s="43">
        <f t="shared" si="20"/>
        <v>80.75</v>
      </c>
      <c r="F54" s="44" cm="1">
        <f t="array" ref="F54">_fnGENPOP.U(E54)</f>
        <v>0.69850000000000001</v>
      </c>
      <c r="G54" s="45">
        <f t="shared" ca="1" si="24"/>
        <v>1.3326250248410656E-4</v>
      </c>
      <c r="H54" s="45">
        <f t="shared" ca="1" si="24"/>
        <v>0</v>
      </c>
      <c r="I54" s="45">
        <f t="shared" ca="1" si="24"/>
        <v>5.5876839645583312E-3</v>
      </c>
      <c r="J54" s="45">
        <f t="shared" ca="1" si="24"/>
        <v>8.2354634926570271E-4</v>
      </c>
      <c r="K54" s="45">
        <f t="shared" ca="1" si="24"/>
        <v>8.2949729192622837E-5</v>
      </c>
      <c r="L54" s="45">
        <f t="shared" ca="1" si="24"/>
        <v>1.222562819988745E-5</v>
      </c>
      <c r="M54" s="45">
        <f t="shared" ca="1" si="24"/>
        <v>2.450198881109683E-5</v>
      </c>
      <c r="N54" s="45">
        <f t="shared" ca="1" si="24"/>
        <v>3.611249949552734E-6</v>
      </c>
      <c r="O54" s="45">
        <f t="shared" ca="1" si="24"/>
        <v>0.12264673024741808</v>
      </c>
      <c r="P54" s="45">
        <v>0</v>
      </c>
      <c r="Q54" s="22">
        <f t="shared" ca="1" si="21"/>
        <v>0.12931451165987939</v>
      </c>
      <c r="S54" s="45">
        <f t="shared" ca="1" si="25"/>
        <v>1.2644987057219509E-2</v>
      </c>
      <c r="T54" s="45">
        <f t="shared" ca="1" si="25"/>
        <v>0</v>
      </c>
      <c r="U54" s="45">
        <f t="shared" ca="1" si="25"/>
        <v>5.5921041230607843E-3</v>
      </c>
      <c r="V54" s="45">
        <f t="shared" ca="1" si="25"/>
        <v>8.242030621512179E-4</v>
      </c>
      <c r="W54" s="45">
        <f t="shared" ca="1" si="25"/>
        <v>8.3015346889166281E-5</v>
      </c>
      <c r="X54" s="45">
        <f t="shared" ca="1" si="25"/>
        <v>1.2235377168575786E-5</v>
      </c>
      <c r="Y54" s="45">
        <f t="shared" ca="1" si="25"/>
        <v>2.4521371201879369E-5</v>
      </c>
      <c r="Z54" s="45">
        <f t="shared" ca="1" si="25"/>
        <v>3.614129634924179E-6</v>
      </c>
      <c r="AA54" s="45">
        <f t="shared" ca="1" si="25"/>
        <v>0.11023225520952469</v>
      </c>
      <c r="AB54" s="45">
        <v>0</v>
      </c>
      <c r="AC54" s="22">
        <f t="shared" ca="1" si="22"/>
        <v>0.12941693567685075</v>
      </c>
    </row>
    <row r="55" spans="1:29" ht="12" customHeight="1" x14ac:dyDescent="0.25">
      <c r="A55" s="262"/>
      <c r="C55" s="263"/>
      <c r="D55" s="62">
        <f t="shared" si="23"/>
        <v>44</v>
      </c>
      <c r="E55" s="43">
        <f t="shared" si="20"/>
        <v>81</v>
      </c>
      <c r="F55" s="44" cm="1">
        <f t="array" ref="F55">_fnGENPOP.U(E55)</f>
        <v>0.69850000000000001</v>
      </c>
      <c r="G55" s="45">
        <f t="shared" ca="1" si="24"/>
        <v>1.2523570794674305E-4</v>
      </c>
      <c r="H55" s="45">
        <f t="shared" ca="1" si="24"/>
        <v>0</v>
      </c>
      <c r="I55" s="45">
        <f t="shared" ca="1" si="24"/>
        <v>5.5407925439818571E-3</v>
      </c>
      <c r="J55" s="45">
        <f t="shared" ca="1" si="24"/>
        <v>8.1664122971141862E-4</v>
      </c>
      <c r="K55" s="45">
        <f t="shared" ca="1" si="24"/>
        <v>8.2253621348487934E-5</v>
      </c>
      <c r="L55" s="45">
        <f t="shared" ca="1" si="24"/>
        <v>1.2123121007157225E-5</v>
      </c>
      <c r="M55" s="45">
        <f t="shared" ca="1" si="24"/>
        <v>2.4296369976962928E-5</v>
      </c>
      <c r="N55" s="45">
        <f t="shared" ca="1" si="24"/>
        <v>3.5809710069476229E-6</v>
      </c>
      <c r="O55" s="45">
        <f t="shared" ca="1" si="24"/>
        <v>0.12162451989617949</v>
      </c>
      <c r="P55" s="45">
        <v>0</v>
      </c>
      <c r="Q55" s="22">
        <f t="shared" ca="1" si="21"/>
        <v>0.12822944346115908</v>
      </c>
      <c r="S55" s="45">
        <f t="shared" ca="1" si="25"/>
        <v>1.18833420997565E-2</v>
      </c>
      <c r="T55" s="45">
        <f t="shared" ca="1" si="25"/>
        <v>0</v>
      </c>
      <c r="U55" s="45">
        <f t="shared" ca="1" si="25"/>
        <v>5.5451812019851341E-3</v>
      </c>
      <c r="V55" s="45">
        <f t="shared" ca="1" si="25"/>
        <v>8.1728723684028586E-4</v>
      </c>
      <c r="W55" s="45">
        <f t="shared" ca="1" si="25"/>
        <v>8.2318771416959913E-5</v>
      </c>
      <c r="X55" s="45">
        <f t="shared" ca="1" si="25"/>
        <v>1.2132711047813773E-5</v>
      </c>
      <c r="Y55" s="45">
        <f t="shared" ca="1" si="25"/>
        <v>2.4315614238086867E-5</v>
      </c>
      <c r="Z55" s="45">
        <f t="shared" ca="1" si="25"/>
        <v>3.5838037475864632E-6</v>
      </c>
      <c r="AA55" s="45">
        <f t="shared" ca="1" si="25"/>
        <v>0.10996284655747082</v>
      </c>
      <c r="AB55" s="45">
        <v>0</v>
      </c>
      <c r="AC55" s="22">
        <f t="shared" ca="1" si="22"/>
        <v>0.12833100799650318</v>
      </c>
    </row>
    <row r="56" spans="1:29" ht="12" customHeight="1" x14ac:dyDescent="0.25">
      <c r="A56" s="262"/>
      <c r="C56" s="263"/>
      <c r="D56" s="62">
        <f t="shared" si="23"/>
        <v>45</v>
      </c>
      <c r="E56" s="43">
        <f t="shared" si="20"/>
        <v>81.25</v>
      </c>
      <c r="F56" s="44" cm="1">
        <f t="array" ref="F56">_fnGENPOP.U(E56)</f>
        <v>0.69850000000000001</v>
      </c>
      <c r="G56" s="45">
        <f t="shared" ca="1" si="24"/>
        <v>1.176923909769176E-4</v>
      </c>
      <c r="H56" s="45">
        <f t="shared" ca="1" si="24"/>
        <v>0</v>
      </c>
      <c r="I56" s="45">
        <f t="shared" ca="1" si="24"/>
        <v>5.4943001947969526E-3</v>
      </c>
      <c r="J56" s="45">
        <f t="shared" ca="1" si="24"/>
        <v>8.0978803837035928E-4</v>
      </c>
      <c r="K56" s="45">
        <f t="shared" ca="1" si="24"/>
        <v>8.1563437759208743E-5</v>
      </c>
      <c r="L56" s="45">
        <f t="shared" ca="1" si="24"/>
        <v>1.2021384693963458E-5</v>
      </c>
      <c r="M56" s="45">
        <f t="shared" ca="1" si="24"/>
        <v>2.4092501070497281E-5</v>
      </c>
      <c r="N56" s="45">
        <f t="shared" ca="1" si="24"/>
        <v>3.5509197695075669E-6</v>
      </c>
      <c r="O56" s="45">
        <f t="shared" ca="1" si="24"/>
        <v>0.12061047117380445</v>
      </c>
      <c r="P56" s="45">
        <v>0</v>
      </c>
      <c r="Q56" s="22">
        <f t="shared" ca="1" si="21"/>
        <v>0.12715348004124186</v>
      </c>
      <c r="S56" s="45">
        <f t="shared" ca="1" si="25"/>
        <v>1.1167573270011439E-2</v>
      </c>
      <c r="T56" s="45">
        <f t="shared" ca="1" si="25"/>
        <v>0</v>
      </c>
      <c r="U56" s="45">
        <f t="shared" ca="1" si="25"/>
        <v>5.4986520075772658E-3</v>
      </c>
      <c r="V56" s="45">
        <f t="shared" ca="1" si="25"/>
        <v>8.1042944169440391E-4</v>
      </c>
      <c r="W56" s="45">
        <f t="shared" ca="1" si="25"/>
        <v>8.1628040856648317E-5</v>
      </c>
      <c r="X56" s="45">
        <f t="shared" ca="1" si="25"/>
        <v>1.2030906390675407E-5</v>
      </c>
      <c r="Y56" s="45">
        <f t="shared" ca="1" si="25"/>
        <v>2.4111583765353958E-5</v>
      </c>
      <c r="Z56" s="45">
        <f t="shared" ca="1" si="25"/>
        <v>3.5537323224666856E-6</v>
      </c>
      <c r="AA56" s="45">
        <f t="shared" ca="1" si="25"/>
        <v>0.10965621327024623</v>
      </c>
      <c r="AB56" s="45">
        <v>0</v>
      </c>
      <c r="AC56" s="22">
        <f t="shared" ca="1" si="22"/>
        <v>0.1272541922528645</v>
      </c>
    </row>
    <row r="57" spans="1:29" ht="12" customHeight="1" x14ac:dyDescent="0.25">
      <c r="A57" s="262"/>
      <c r="C57" s="263"/>
      <c r="D57" s="62">
        <f t="shared" si="23"/>
        <v>46</v>
      </c>
      <c r="E57" s="43">
        <f t="shared" si="20"/>
        <v>81.5</v>
      </c>
      <c r="F57" s="44" cm="1">
        <f t="array" ref="F57">_fnGENPOP.U(E57)</f>
        <v>0.69850000000000001</v>
      </c>
      <c r="G57" s="45">
        <f t="shared" ca="1" si="24"/>
        <v>1.1060343029125557E-4</v>
      </c>
      <c r="H57" s="45">
        <f t="shared" ca="1" si="24"/>
        <v>0</v>
      </c>
      <c r="I57" s="45">
        <f t="shared" ca="1" si="24"/>
        <v>5.4481979803578003E-3</v>
      </c>
      <c r="J57" s="45">
        <f t="shared" ca="1" si="24"/>
        <v>8.0299317140018799E-4</v>
      </c>
      <c r="K57" s="45">
        <f t="shared" ca="1" si="24"/>
        <v>8.0879045759381293E-5</v>
      </c>
      <c r="L57" s="45">
        <f t="shared" ca="1" si="24"/>
        <v>1.1920514211908528E-5</v>
      </c>
      <c r="M57" s="45">
        <f t="shared" ca="1" si="24"/>
        <v>2.3890342904516583E-5</v>
      </c>
      <c r="N57" s="45">
        <f t="shared" ca="1" si="24"/>
        <v>3.5211242843777653E-6</v>
      </c>
      <c r="O57" s="45">
        <f t="shared" ca="1" si="24"/>
        <v>0.11960453923031765</v>
      </c>
      <c r="P57" s="45">
        <v>0</v>
      </c>
      <c r="Q57" s="22">
        <f t="shared" ca="1" si="21"/>
        <v>0.12608654483952708</v>
      </c>
      <c r="S57" s="45">
        <f t="shared" ca="1" si="25"/>
        <v>1.0494917313171478E-2</v>
      </c>
      <c r="T57" s="45">
        <f t="shared" ca="1" si="25"/>
        <v>0</v>
      </c>
      <c r="U57" s="45">
        <f t="shared" ca="1" si="25"/>
        <v>5.4525132361066082E-3</v>
      </c>
      <c r="V57" s="45">
        <f t="shared" ca="1" si="25"/>
        <v>8.0362918978686313E-4</v>
      </c>
      <c r="W57" s="45">
        <f t="shared" ca="1" si="25"/>
        <v>8.0943106164019579E-5</v>
      </c>
      <c r="X57" s="45">
        <f t="shared" ca="1" si="25"/>
        <v>1.1929955968684835E-5</v>
      </c>
      <c r="Y57" s="45">
        <f t="shared" ca="1" si="25"/>
        <v>2.3909265296825264E-5</v>
      </c>
      <c r="Z57" s="45">
        <f t="shared" ca="1" si="25"/>
        <v>3.5239132243916976E-6</v>
      </c>
      <c r="AA57" s="45">
        <f t="shared" ca="1" si="25"/>
        <v>0.10931504600864675</v>
      </c>
      <c r="AB57" s="45">
        <v>0</v>
      </c>
      <c r="AC57" s="22">
        <f t="shared" ca="1" si="22"/>
        <v>0.12618641198836561</v>
      </c>
    </row>
    <row r="58" spans="1:29" ht="12" customHeight="1" x14ac:dyDescent="0.25">
      <c r="A58" s="262"/>
      <c r="C58" s="263"/>
      <c r="D58" s="62">
        <f t="shared" si="23"/>
        <v>47</v>
      </c>
      <c r="E58" s="43">
        <f t="shared" si="20"/>
        <v>81.75</v>
      </c>
      <c r="F58" s="44" cm="1">
        <f t="array" ref="F58">_fnGENPOP.U(E58)</f>
        <v>0.69850000000000001</v>
      </c>
      <c r="G58" s="45">
        <f t="shared" ca="1" si="24"/>
        <v>1.0394145866738188E-4</v>
      </c>
      <c r="H58" s="45">
        <f t="shared" ca="1" si="24"/>
        <v>0</v>
      </c>
      <c r="I58" s="45">
        <f t="shared" ca="1" si="24"/>
        <v>5.4024825625032828E-3</v>
      </c>
      <c r="J58" s="45">
        <f t="shared" ca="1" si="24"/>
        <v>7.9625532270817024E-4</v>
      </c>
      <c r="K58" s="45">
        <f t="shared" ca="1" si="24"/>
        <v>8.0200395793668793E-5</v>
      </c>
      <c r="L58" s="45">
        <f t="shared" ca="1" si="24"/>
        <v>1.1820490171914719E-5</v>
      </c>
      <c r="M58" s="45">
        <f t="shared" ca="1" si="24"/>
        <v>2.3689880841187529E-5</v>
      </c>
      <c r="N58" s="45">
        <f t="shared" ca="1" si="24"/>
        <v>3.4915788243428345E-6</v>
      </c>
      <c r="O58" s="45">
        <f t="shared" ca="1" si="24"/>
        <v>0.11860668052581515</v>
      </c>
      <c r="P58" s="45">
        <v>0</v>
      </c>
      <c r="Q58" s="22">
        <f t="shared" ca="1" si="21"/>
        <v>0.1250285622153251</v>
      </c>
      <c r="S58" s="45">
        <f t="shared" ca="1" si="25"/>
        <v>9.862777413431164E-3</v>
      </c>
      <c r="T58" s="45">
        <f t="shared" ca="1" si="25"/>
        <v>0</v>
      </c>
      <c r="U58" s="45">
        <f t="shared" ca="1" si="25"/>
        <v>5.4067616115639422E-3</v>
      </c>
      <c r="V58" s="45">
        <f t="shared" ca="1" si="25"/>
        <v>7.9688599827672029E-4</v>
      </c>
      <c r="W58" s="45">
        <f t="shared" ca="1" si="25"/>
        <v>8.0263918706388078E-5</v>
      </c>
      <c r="X58" s="45">
        <f t="shared" ca="1" si="25"/>
        <v>1.1829852614019795E-5</v>
      </c>
      <c r="Y58" s="45">
        <f t="shared" ca="1" si="25"/>
        <v>2.3708644467203498E-5</v>
      </c>
      <c r="Z58" s="45">
        <f t="shared" ca="1" si="25"/>
        <v>3.4943443361044261E-6</v>
      </c>
      <c r="AA58" s="45">
        <f t="shared" ca="1" si="25"/>
        <v>0.10894186960359172</v>
      </c>
      <c r="AB58" s="45">
        <v>0</v>
      </c>
      <c r="AC58" s="22">
        <f t="shared" ca="1" si="22"/>
        <v>0.12512759138698726</v>
      </c>
    </row>
    <row r="59" spans="1:29" ht="12" customHeight="1" x14ac:dyDescent="0.25">
      <c r="A59" s="262"/>
      <c r="C59" s="263"/>
      <c r="D59" s="62">
        <f t="shared" si="23"/>
        <v>48</v>
      </c>
      <c r="E59" s="43">
        <f t="shared" si="20"/>
        <v>82</v>
      </c>
      <c r="F59" s="44" cm="1">
        <f t="array" ref="F59">_fnGENPOP.U(E59)</f>
        <v>0.69850000000000001</v>
      </c>
      <c r="G59" s="45">
        <f t="shared" ca="1" si="24"/>
        <v>9.7680757291640881E-5</v>
      </c>
      <c r="H59" s="45">
        <f t="shared" ca="1" si="24"/>
        <v>0</v>
      </c>
      <c r="I59" s="45">
        <f t="shared" ca="1" si="24"/>
        <v>5.3571507413498641E-3</v>
      </c>
      <c r="J59" s="45">
        <f t="shared" ca="1" si="24"/>
        <v>7.8957400442133041E-4</v>
      </c>
      <c r="K59" s="45">
        <f t="shared" ca="1" si="24"/>
        <v>7.952744035947901E-5</v>
      </c>
      <c r="L59" s="45">
        <f t="shared" ca="1" si="24"/>
        <v>1.1721305331458754E-5</v>
      </c>
      <c r="M59" s="45">
        <f t="shared" ca="1" si="24"/>
        <v>2.3491100849023904E-5</v>
      </c>
      <c r="N59" s="45">
        <f t="shared" ca="1" si="24"/>
        <v>3.4622812500802452E-6</v>
      </c>
      <c r="O59" s="45">
        <f t="shared" ca="1" si="24"/>
        <v>0.11761684941269</v>
      </c>
      <c r="P59" s="45">
        <v>0</v>
      </c>
      <c r="Q59" s="22">
        <f t="shared" ca="1" si="21"/>
        <v>0.12397945704354288</v>
      </c>
      <c r="S59" s="45">
        <f t="shared" ca="1" si="25"/>
        <v>9.2687131688789278E-3</v>
      </c>
      <c r="T59" s="45">
        <f t="shared" ca="1" si="25"/>
        <v>0</v>
      </c>
      <c r="U59" s="45">
        <f t="shared" ca="1" si="25"/>
        <v>5.3613938854287901E-3</v>
      </c>
      <c r="V59" s="45">
        <f t="shared" ca="1" si="25"/>
        <v>7.9019938837451321E-4</v>
      </c>
      <c r="W59" s="45">
        <f t="shared" ca="1" si="25"/>
        <v>7.9590430259141319E-5</v>
      </c>
      <c r="X59" s="45">
        <f t="shared" ca="1" si="25"/>
        <v>1.1730589219002677E-5</v>
      </c>
      <c r="Y59" s="45">
        <f t="shared" ca="1" si="25"/>
        <v>2.3509707031729504E-5</v>
      </c>
      <c r="Z59" s="45">
        <f t="shared" ca="1" si="25"/>
        <v>3.4650235581135409E-6</v>
      </c>
      <c r="AA59" s="45">
        <f t="shared" ca="1" si="25"/>
        <v>0.10853905307612623</v>
      </c>
      <c r="AB59" s="45">
        <v>0</v>
      </c>
      <c r="AC59" s="22">
        <f t="shared" ca="1" si="22"/>
        <v>0.12407765526887644</v>
      </c>
    </row>
    <row r="60" spans="1:29" ht="12" customHeight="1" x14ac:dyDescent="0.25">
      <c r="A60" s="262"/>
      <c r="C60" s="263"/>
      <c r="D60" s="62">
        <f t="shared" si="23"/>
        <v>49</v>
      </c>
      <c r="E60" s="43">
        <f t="shared" si="20"/>
        <v>82.25</v>
      </c>
      <c r="F60" s="44" cm="1">
        <f t="array" ref="F60">_fnGENPOP.U(E60)</f>
        <v>0.69850000000000001</v>
      </c>
      <c r="G60" s="45">
        <f t="shared" ca="1" si="24"/>
        <v>9.1797156470565321E-5</v>
      </c>
      <c r="H60" s="45">
        <f t="shared" ca="1" si="24"/>
        <v>0</v>
      </c>
      <c r="I60" s="45">
        <f t="shared" ca="1" si="24"/>
        <v>5.3121992962870661E-3</v>
      </c>
      <c r="J60" s="45">
        <f t="shared" ca="1" si="24"/>
        <v>7.8294874887599247E-4</v>
      </c>
      <c r="K60" s="45">
        <f t="shared" ca="1" si="24"/>
        <v>7.8860131646526282E-5</v>
      </c>
      <c r="L60" s="45">
        <f t="shared" ca="1" si="24"/>
        <v>1.1622952748026426E-5</v>
      </c>
      <c r="M60" s="45">
        <f t="shared" ca="1" si="24"/>
        <v>2.3293988805651859E-5</v>
      </c>
      <c r="N60" s="45">
        <f t="shared" ca="1" si="24"/>
        <v>3.4332295108852283E-6</v>
      </c>
      <c r="O60" s="45">
        <f t="shared" ca="1" si="24"/>
        <v>0.11663499932918289</v>
      </c>
      <c r="P60" s="45">
        <v>0</v>
      </c>
      <c r="Q60" s="22">
        <f t="shared" ca="1" si="21"/>
        <v>0.1229391548335276</v>
      </c>
      <c r="S60" s="45">
        <f t="shared" ca="1" si="25"/>
        <v>8.7104311702257842E-3</v>
      </c>
      <c r="T60" s="45">
        <f t="shared" ca="1" si="25"/>
        <v>0</v>
      </c>
      <c r="U60" s="45">
        <f t="shared" ca="1" si="25"/>
        <v>5.3164068364387656E-3</v>
      </c>
      <c r="V60" s="45">
        <f t="shared" ca="1" si="25"/>
        <v>7.8356888530826669E-4</v>
      </c>
      <c r="W60" s="45">
        <f t="shared" ca="1" si="25"/>
        <v>7.892259300231594E-5</v>
      </c>
      <c r="X60" s="45">
        <f t="shared" ca="1" si="25"/>
        <v>1.1632158735595855E-5</v>
      </c>
      <c r="Y60" s="45">
        <f t="shared" ca="1" si="25"/>
        <v>2.3312438865170807E-5</v>
      </c>
      <c r="Z60" s="45">
        <f t="shared" ca="1" si="25"/>
        <v>3.4359488085443851E-6</v>
      </c>
      <c r="AA60" s="45">
        <f t="shared" ca="1" si="25"/>
        <v>0.10810881905362427</v>
      </c>
      <c r="AB60" s="45">
        <v>0</v>
      </c>
      <c r="AC60" s="22">
        <f t="shared" ca="1" si="22"/>
        <v>0.12303652908500871</v>
      </c>
    </row>
    <row r="61" spans="1:29" ht="12" customHeight="1" x14ac:dyDescent="0.25">
      <c r="A61" s="262"/>
      <c r="C61" s="263"/>
      <c r="D61" s="62">
        <f t="shared" si="23"/>
        <v>50</v>
      </c>
      <c r="E61" s="43">
        <f t="shared" si="20"/>
        <v>82.5</v>
      </c>
      <c r="F61" s="44" cm="1">
        <f t="array" ref="F61">_fnGENPOP.U(E61)</f>
        <v>0.69850000000000001</v>
      </c>
      <c r="G61" s="45">
        <f t="shared" ref="G61:O70" ca="1" si="26">PRODUCT(AVERAGE(OFFSET(AB.Trace.MarkovQA.Root, $D61, (G$2-1)*AB.Trace.MarkovQA.NumCols+G$3-1, CHOOSE(swtchHalfCycle, 2, 1))), $F61+G$6, AB.cycleLength)</f>
        <v>8.626794232278723E-5</v>
      </c>
      <c r="H61" s="45">
        <f t="shared" ca="1" si="26"/>
        <v>0</v>
      </c>
      <c r="I61" s="45">
        <f t="shared" ca="1" si="26"/>
        <v>5.2676250353591242E-3</v>
      </c>
      <c r="J61" s="45">
        <f t="shared" ca="1" si="26"/>
        <v>7.7637908537923277E-4</v>
      </c>
      <c r="K61" s="45">
        <f t="shared" ca="1" si="26"/>
        <v>7.8198422269906852E-5</v>
      </c>
      <c r="L61" s="45">
        <f t="shared" ca="1" si="26"/>
        <v>1.1525425434134052E-5</v>
      </c>
      <c r="M61" s="45">
        <f t="shared" ca="1" si="26"/>
        <v>2.3098530714348422E-5</v>
      </c>
      <c r="N61" s="45">
        <f t="shared" ca="1" si="26"/>
        <v>3.4044215427697657E-6</v>
      </c>
      <c r="O61" s="45">
        <f t="shared" ca="1" si="26"/>
        <v>0.11566108285734118</v>
      </c>
      <c r="P61" s="45">
        <v>0</v>
      </c>
      <c r="Q61" s="22">
        <f t="shared" ca="1" si="21"/>
        <v>0.12190758172036349</v>
      </c>
      <c r="S61" s="45">
        <f t="shared" ref="S61:AA70" ca="1" si="27">PRODUCT(AVERAGE(OFFSET(AB.Trace.MarkovQA.Root, $D61, (S$2-1)*AB.Trace.MarkovQA.NumCols+S$3-1, CHOOSE(swtchHalfCycle, 2, 1))), $F61+S$6, AB.cycleLength)</f>
        <v>8.1857761470050736E-3</v>
      </c>
      <c r="T61" s="45">
        <f t="shared" ca="1" si="27"/>
        <v>0</v>
      </c>
      <c r="U61" s="45">
        <f t="shared" ca="1" si="27"/>
        <v>5.27179727036085E-3</v>
      </c>
      <c r="V61" s="45">
        <f t="shared" ca="1" si="27"/>
        <v>7.7699401828977988E-4</v>
      </c>
      <c r="W61" s="45">
        <f t="shared" ca="1" si="27"/>
        <v>7.8260359517202222E-5</v>
      </c>
      <c r="X61" s="45">
        <f t="shared" ca="1" si="27"/>
        <v>1.1534554174901254E-5</v>
      </c>
      <c r="Y61" s="45">
        <f t="shared" ca="1" si="27"/>
        <v>2.3116825960818695E-5</v>
      </c>
      <c r="Z61" s="45">
        <f t="shared" ca="1" si="27"/>
        <v>3.4071180229911542E-6</v>
      </c>
      <c r="AA61" s="45">
        <f t="shared" ca="1" si="27"/>
        <v>0.10765325261856315</v>
      </c>
      <c r="AB61" s="45">
        <v>0</v>
      </c>
      <c r="AC61" s="22">
        <f t="shared" ca="1" si="22"/>
        <v>0.12200413891189477</v>
      </c>
    </row>
    <row r="62" spans="1:29" ht="12" customHeight="1" x14ac:dyDescent="0.25">
      <c r="A62" s="262"/>
      <c r="C62" s="263"/>
      <c r="D62" s="62">
        <f t="shared" si="23"/>
        <v>51</v>
      </c>
      <c r="E62" s="43">
        <f t="shared" si="20"/>
        <v>82.75</v>
      </c>
      <c r="F62" s="44" cm="1">
        <f t="array" ref="F62">_fnGENPOP.U(E62)</f>
        <v>0.69850000000000001</v>
      </c>
      <c r="G62" s="45">
        <f t="shared" ca="1" si="26"/>
        <v>8.1071769091170764E-5</v>
      </c>
      <c r="H62" s="45">
        <f t="shared" ca="1" si="26"/>
        <v>0</v>
      </c>
      <c r="I62" s="45">
        <f t="shared" ca="1" si="26"/>
        <v>5.2234247936697453E-3</v>
      </c>
      <c r="J62" s="45">
        <f t="shared" ca="1" si="26"/>
        <v>7.6986454742602008E-4</v>
      </c>
      <c r="K62" s="45">
        <f t="shared" ca="1" si="26"/>
        <v>7.7542265246417736E-5</v>
      </c>
      <c r="L62" s="45">
        <f t="shared" ca="1" si="26"/>
        <v>1.1428716464467623E-5</v>
      </c>
      <c r="M62" s="45">
        <f t="shared" ca="1" si="26"/>
        <v>2.2904712697046415E-5</v>
      </c>
      <c r="N62" s="45">
        <f t="shared" ca="1" si="26"/>
        <v>3.3758553001097439E-6</v>
      </c>
      <c r="O62" s="45">
        <f t="shared" ca="1" si="26"/>
        <v>0.11469505179896783</v>
      </c>
      <c r="P62" s="45">
        <v>0</v>
      </c>
      <c r="Q62" s="22">
        <f t="shared" ca="1" si="21"/>
        <v>0.12088466445886281</v>
      </c>
      <c r="S62" s="45">
        <f t="shared" ca="1" si="27"/>
        <v>7.692722647062754E-3</v>
      </c>
      <c r="T62" s="45">
        <f t="shared" ca="1" si="27"/>
        <v>0</v>
      </c>
      <c r="U62" s="45">
        <f t="shared" ca="1" si="27"/>
        <v>5.2275620197645891E-3</v>
      </c>
      <c r="V62" s="45">
        <f t="shared" ca="1" si="27"/>
        <v>7.704743204812012E-4</v>
      </c>
      <c r="W62" s="45">
        <f t="shared" ca="1" si="27"/>
        <v>7.760368278297722E-5</v>
      </c>
      <c r="X62" s="45">
        <f t="shared" ca="1" si="27"/>
        <v>1.1437768606664113E-5</v>
      </c>
      <c r="Y62" s="45">
        <f t="shared" ca="1" si="27"/>
        <v>2.2922854429493671E-5</v>
      </c>
      <c r="Z62" s="45">
        <f t="shared" ca="1" si="27"/>
        <v>3.3785291543703143E-6</v>
      </c>
      <c r="AA62" s="45">
        <f t="shared" ca="1" si="27"/>
        <v>0.10717430962404967</v>
      </c>
      <c r="AB62" s="45">
        <v>0</v>
      </c>
      <c r="AC62" s="22">
        <f t="shared" ca="1" si="22"/>
        <v>0.12098041144633172</v>
      </c>
    </row>
    <row r="63" spans="1:29" ht="12" customHeight="1" x14ac:dyDescent="0.25">
      <c r="A63" s="262"/>
      <c r="C63" s="263"/>
      <c r="D63" s="62">
        <f t="shared" si="23"/>
        <v>52</v>
      </c>
      <c r="E63" s="43">
        <f t="shared" si="20"/>
        <v>83</v>
      </c>
      <c r="F63" s="44" cm="1">
        <f t="array" ref="F63">_fnGENPOP.U(E63)</f>
        <v>0.69850000000000001</v>
      </c>
      <c r="G63" s="45">
        <f t="shared" ca="1" si="26"/>
        <v>7.6188576736644658E-5</v>
      </c>
      <c r="H63" s="45">
        <f t="shared" ca="1" si="26"/>
        <v>0</v>
      </c>
      <c r="I63" s="45">
        <f t="shared" ca="1" si="26"/>
        <v>5.1795954328523802E-3</v>
      </c>
      <c r="J63" s="45">
        <f t="shared" ca="1" si="26"/>
        <v>7.6340467246607173E-4</v>
      </c>
      <c r="K63" s="45">
        <f t="shared" ca="1" si="26"/>
        <v>7.6891613986692522E-5</v>
      </c>
      <c r="L63" s="45">
        <f t="shared" ca="1" si="26"/>
        <v>1.1332818972421774E-5</v>
      </c>
      <c r="M63" s="45">
        <f t="shared" ca="1" si="26"/>
        <v>2.2712520992011521E-5</v>
      </c>
      <c r="N63" s="45">
        <f t="shared" ca="1" si="26"/>
        <v>3.3475287546226188E-6</v>
      </c>
      <c r="O63" s="45">
        <f t="shared" ca="1" si="26"/>
        <v>0.11373685725367012</v>
      </c>
      <c r="P63" s="45">
        <v>0</v>
      </c>
      <c r="Q63" s="22">
        <f t="shared" ca="1" si="21"/>
        <v>0.11987033041843097</v>
      </c>
      <c r="S63" s="45">
        <f t="shared" ca="1" si="27"/>
        <v>7.2293672172166123E-3</v>
      </c>
      <c r="T63" s="45">
        <f t="shared" ca="1" si="27"/>
        <v>0</v>
      </c>
      <c r="U63" s="45">
        <f t="shared" ca="1" si="27"/>
        <v>5.1836979437972002E-3</v>
      </c>
      <c r="V63" s="45">
        <f t="shared" ca="1" si="27"/>
        <v>7.6400932896187896E-4</v>
      </c>
      <c r="W63" s="45">
        <f t="shared" ca="1" si="27"/>
        <v>7.6952516173366153E-5</v>
      </c>
      <c r="X63" s="45">
        <f t="shared" ca="1" si="27"/>
        <v>1.1341795158780902E-5</v>
      </c>
      <c r="Y63" s="45">
        <f t="shared" ca="1" si="27"/>
        <v>2.2730510498559309E-5</v>
      </c>
      <c r="Z63" s="45">
        <f t="shared" ca="1" si="27"/>
        <v>3.3501801727752552E-6</v>
      </c>
      <c r="AA63" s="45">
        <f t="shared" ca="1" si="27"/>
        <v>0.10667382450821918</v>
      </c>
      <c r="AB63" s="45">
        <v>0</v>
      </c>
      <c r="AC63" s="22">
        <f t="shared" ca="1" si="22"/>
        <v>0.11996527400019835</v>
      </c>
    </row>
    <row r="64" spans="1:29" ht="12" customHeight="1" x14ac:dyDescent="0.25">
      <c r="A64" s="262"/>
      <c r="C64" s="263"/>
      <c r="D64" s="62">
        <f t="shared" si="23"/>
        <v>53</v>
      </c>
      <c r="E64" s="43">
        <f t="shared" si="20"/>
        <v>83.25</v>
      </c>
      <c r="F64" s="44" cm="1">
        <f t="array" ref="F64">_fnGENPOP.U(E64)</f>
        <v>0.69850000000000001</v>
      </c>
      <c r="G64" s="45">
        <f t="shared" ca="1" si="26"/>
        <v>7.1599513495601783E-5</v>
      </c>
      <c r="H64" s="45">
        <f t="shared" ca="1" si="26"/>
        <v>0</v>
      </c>
      <c r="I64" s="45">
        <f t="shared" ca="1" si="26"/>
        <v>5.1361338408735628E-3</v>
      </c>
      <c r="J64" s="45">
        <f t="shared" ca="1" si="26"/>
        <v>7.5699900182643175E-4</v>
      </c>
      <c r="K64" s="45">
        <f t="shared" ca="1" si="26"/>
        <v>7.6246422292282145E-5</v>
      </c>
      <c r="L64" s="45">
        <f t="shared" ca="1" si="26"/>
        <v>1.1237726148950454E-5</v>
      </c>
      <c r="M64" s="45">
        <f t="shared" ca="1" si="26"/>
        <v>2.2521941952979985E-5</v>
      </c>
      <c r="N64" s="45">
        <f t="shared" ca="1" si="26"/>
        <v>3.3194398950279198E-6</v>
      </c>
      <c r="O64" s="45">
        <f t="shared" ca="1" si="26"/>
        <v>0.11278644969142693</v>
      </c>
      <c r="P64" s="45">
        <v>0</v>
      </c>
      <c r="Q64" s="22">
        <f t="shared" ca="1" si="21"/>
        <v>0.11886450757791177</v>
      </c>
      <c r="S64" s="45">
        <f t="shared" ca="1" si="27"/>
        <v>6.7939210548974716E-3</v>
      </c>
      <c r="T64" s="45">
        <f t="shared" ca="1" si="27"/>
        <v>0</v>
      </c>
      <c r="U64" s="45">
        <f t="shared" ca="1" si="27"/>
        <v>5.1402019279605578E-3</v>
      </c>
      <c r="V64" s="45">
        <f t="shared" ca="1" si="27"/>
        <v>7.5759858469549369E-4</v>
      </c>
      <c r="W64" s="45">
        <f t="shared" ca="1" si="27"/>
        <v>7.6306813453331818E-5</v>
      </c>
      <c r="X64" s="45">
        <f t="shared" ca="1" si="27"/>
        <v>1.1246627016811401E-5</v>
      </c>
      <c r="Y64" s="45">
        <f t="shared" ca="1" si="27"/>
        <v>2.2539780510944313E-5</v>
      </c>
      <c r="Z64" s="45">
        <f t="shared" ca="1" si="27"/>
        <v>3.3220690653321583E-6</v>
      </c>
      <c r="AA64" s="45">
        <f t="shared" ca="1" si="27"/>
        <v>0.10615351763769384</v>
      </c>
      <c r="AB64" s="45">
        <v>0</v>
      </c>
      <c r="AC64" s="22">
        <f t="shared" ca="1" si="22"/>
        <v>0.11895865449529379</v>
      </c>
    </row>
    <row r="65" spans="1:29" ht="12" customHeight="1" x14ac:dyDescent="0.25">
      <c r="A65" s="262"/>
      <c r="C65" s="263"/>
      <c r="D65" s="62">
        <f t="shared" si="23"/>
        <v>54</v>
      </c>
      <c r="E65" s="43">
        <f t="shared" si="20"/>
        <v>83.5</v>
      </c>
      <c r="F65" s="44" cm="1">
        <f t="array" ref="F65">_fnGENPOP.U(E65)</f>
        <v>0.69850000000000001</v>
      </c>
      <c r="G65" s="45">
        <f t="shared" ca="1" si="26"/>
        <v>6.7286863101895394E-5</v>
      </c>
      <c r="H65" s="45">
        <f t="shared" ca="1" si="26"/>
        <v>0</v>
      </c>
      <c r="I65" s="45">
        <f t="shared" ca="1" si="26"/>
        <v>5.0930369318129033E-3</v>
      </c>
      <c r="J65" s="45">
        <f t="shared" ca="1" si="26"/>
        <v>7.5064708068273058E-4</v>
      </c>
      <c r="K65" s="45">
        <f t="shared" ca="1" si="26"/>
        <v>7.56066443523887E-5</v>
      </c>
      <c r="L65" s="45">
        <f t="shared" ca="1" si="26"/>
        <v>1.1143431242140252E-5</v>
      </c>
      <c r="M65" s="45">
        <f t="shared" ca="1" si="26"/>
        <v>2.2332962048193871E-5</v>
      </c>
      <c r="N65" s="45">
        <f t="shared" ca="1" si="26"/>
        <v>3.291586726921224E-6</v>
      </c>
      <c r="O65" s="45">
        <f t="shared" ca="1" si="26"/>
        <v>0.11184377902050578</v>
      </c>
      <c r="P65" s="45">
        <v>0</v>
      </c>
      <c r="Q65" s="22">
        <f t="shared" ca="1" si="21"/>
        <v>0.11786712452047296</v>
      </c>
      <c r="S65" s="45">
        <f t="shared" ca="1" si="27"/>
        <v>6.384703102403794E-3</v>
      </c>
      <c r="T65" s="45">
        <f t="shared" ca="1" si="27"/>
        <v>0</v>
      </c>
      <c r="U65" s="45">
        <f t="shared" ca="1" si="27"/>
        <v>5.0970708838900501E-3</v>
      </c>
      <c r="V65" s="45">
        <f t="shared" ca="1" si="27"/>
        <v>7.5124163249746612E-4</v>
      </c>
      <c r="W65" s="45">
        <f t="shared" ca="1" si="27"/>
        <v>7.566652877579163E-5</v>
      </c>
      <c r="X65" s="45">
        <f t="shared" ca="1" si="27"/>
        <v>1.1152257423494838E-5</v>
      </c>
      <c r="Y65" s="45">
        <f t="shared" ca="1" si="27"/>
        <v>2.2350650924172843E-5</v>
      </c>
      <c r="Z65" s="45">
        <f t="shared" ca="1" si="27"/>
        <v>3.294193836057078E-6</v>
      </c>
      <c r="AA65" s="45">
        <f t="shared" ca="1" si="27"/>
        <v>0.10561500220846919</v>
      </c>
      <c r="AB65" s="45">
        <v>0</v>
      </c>
      <c r="AC65" s="22">
        <f t="shared" ca="1" si="22"/>
        <v>0.11796048145822001</v>
      </c>
    </row>
    <row r="66" spans="1:29" ht="12" customHeight="1" x14ac:dyDescent="0.25">
      <c r="A66" s="262"/>
      <c r="C66" s="263"/>
      <c r="D66" s="62">
        <f t="shared" si="23"/>
        <v>55</v>
      </c>
      <c r="E66" s="43">
        <f t="shared" si="20"/>
        <v>83.75</v>
      </c>
      <c r="F66" s="44" cm="1">
        <f t="array" ref="F66">_fnGENPOP.U(E66)</f>
        <v>0.69850000000000001</v>
      </c>
      <c r="G66" s="45">
        <f t="shared" ca="1" si="26"/>
        <v>6.3233976392469883E-5</v>
      </c>
      <c r="H66" s="45">
        <f t="shared" ca="1" si="26"/>
        <v>0</v>
      </c>
      <c r="I66" s="45">
        <f t="shared" ca="1" si="26"/>
        <v>5.0503016456437269E-3</v>
      </c>
      <c r="J66" s="45">
        <f t="shared" ca="1" si="26"/>
        <v>7.4434845802703073E-4</v>
      </c>
      <c r="K66" s="45">
        <f t="shared" ca="1" si="26"/>
        <v>7.4972234740609126E-5</v>
      </c>
      <c r="L66" s="45">
        <f t="shared" ca="1" si="26"/>
        <v>1.1049927556733068E-5</v>
      </c>
      <c r="M66" s="45">
        <f t="shared" ca="1" si="26"/>
        <v>2.2145567859439151E-5</v>
      </c>
      <c r="N66" s="45">
        <f t="shared" ca="1" si="26"/>
        <v>3.2639672726331574E-6</v>
      </c>
      <c r="O66" s="45">
        <f t="shared" ca="1" si="26"/>
        <v>0.11090879465104297</v>
      </c>
      <c r="P66" s="45">
        <v>0</v>
      </c>
      <c r="Q66" s="22">
        <f t="shared" ca="1" si="21"/>
        <v>0.11687811042853562</v>
      </c>
      <c r="S66" s="45">
        <f t="shared" ca="1" si="27"/>
        <v>6.0001335571097242E-3</v>
      </c>
      <c r="T66" s="45">
        <f t="shared" ca="1" si="27"/>
        <v>0</v>
      </c>
      <c r="U66" s="45">
        <f t="shared" ca="1" si="27"/>
        <v>5.0543017491353004E-3</v>
      </c>
      <c r="V66" s="45">
        <f t="shared" ca="1" si="27"/>
        <v>7.4493802100263442E-4</v>
      </c>
      <c r="W66" s="45">
        <f t="shared" ca="1" si="27"/>
        <v>7.5031616678362435E-5</v>
      </c>
      <c r="X66" s="45">
        <f t="shared" ca="1" si="27"/>
        <v>1.1058679678270097E-5</v>
      </c>
      <c r="Y66" s="45">
        <f t="shared" ca="1" si="27"/>
        <v>2.2163108309402938E-5</v>
      </c>
      <c r="Z66" s="45">
        <f t="shared" ca="1" si="27"/>
        <v>3.2665525057142167E-6</v>
      </c>
      <c r="AA66" s="45">
        <f t="shared" ca="1" si="27"/>
        <v>0.10505979073088741</v>
      </c>
      <c r="AB66" s="45">
        <v>0</v>
      </c>
      <c r="AC66" s="22">
        <f t="shared" ca="1" si="22"/>
        <v>0.11697068401530682</v>
      </c>
    </row>
    <row r="67" spans="1:29" ht="12" customHeight="1" x14ac:dyDescent="0.25">
      <c r="A67" s="262"/>
      <c r="C67" s="263"/>
      <c r="D67" s="62">
        <f t="shared" si="23"/>
        <v>56</v>
      </c>
      <c r="E67" s="43">
        <f t="shared" si="20"/>
        <v>84</v>
      </c>
      <c r="F67" s="44" cm="1">
        <f t="array" ref="F67">_fnGENPOP.U(E67)</f>
        <v>0.69850000000000001</v>
      </c>
      <c r="G67" s="45">
        <f t="shared" ca="1" si="26"/>
        <v>5.9425207032586483E-5</v>
      </c>
      <c r="H67" s="45">
        <f t="shared" ca="1" si="26"/>
        <v>0</v>
      </c>
      <c r="I67" s="45">
        <f t="shared" ca="1" si="26"/>
        <v>5.0079249480158104E-3</v>
      </c>
      <c r="J67" s="45">
        <f t="shared" ca="1" si="26"/>
        <v>7.3810268663576629E-4</v>
      </c>
      <c r="K67" s="45">
        <f t="shared" ca="1" si="26"/>
        <v>7.4343148411709859E-5</v>
      </c>
      <c r="L67" s="45">
        <f t="shared" ca="1" si="26"/>
        <v>1.0957208453650195E-5</v>
      </c>
      <c r="M67" s="45">
        <f t="shared" ca="1" si="26"/>
        <v>2.1959746081093012E-5</v>
      </c>
      <c r="N67" s="45">
        <f t="shared" ca="1" si="26"/>
        <v>3.2365795710888154E-6</v>
      </c>
      <c r="O67" s="45">
        <f t="shared" ca="1" si="26"/>
        <v>0.10998144555454395</v>
      </c>
      <c r="P67" s="45">
        <v>0</v>
      </c>
      <c r="Q67" s="22">
        <f t="shared" ca="1" si="21"/>
        <v>0.11589739507874565</v>
      </c>
      <c r="S67" s="45">
        <f t="shared" ca="1" si="27"/>
        <v>5.6387277725725195E-3</v>
      </c>
      <c r="T67" s="45">
        <f t="shared" ca="1" si="27"/>
        <v>0</v>
      </c>
      <c r="U67" s="45">
        <f t="shared" ca="1" si="27"/>
        <v>5.0118914869427232E-3</v>
      </c>
      <c r="V67" s="45">
        <f t="shared" ca="1" si="27"/>
        <v>7.3868730263320845E-4</v>
      </c>
      <c r="W67" s="45">
        <f t="shared" ca="1" si="27"/>
        <v>7.4402032080132479E-5</v>
      </c>
      <c r="X67" s="45">
        <f t="shared" ca="1" si="27"/>
        <v>1.0965887136799974E-5</v>
      </c>
      <c r="Y67" s="45">
        <f t="shared" ca="1" si="27"/>
        <v>2.1977139350473038E-5</v>
      </c>
      <c r="Z67" s="45">
        <f t="shared" ca="1" si="27"/>
        <v>3.2391431116753943E-6</v>
      </c>
      <c r="AA67" s="45">
        <f t="shared" ca="1" si="27"/>
        <v>0.10448930112375206</v>
      </c>
      <c r="AB67" s="45">
        <v>0</v>
      </c>
      <c r="AC67" s="22">
        <f t="shared" ca="1" si="22"/>
        <v>0.11598919188757958</v>
      </c>
    </row>
    <row r="68" spans="1:29" ht="12" customHeight="1" x14ac:dyDescent="0.25">
      <c r="A68" s="262"/>
      <c r="C68" s="263"/>
      <c r="D68" s="62">
        <f t="shared" si="23"/>
        <v>57</v>
      </c>
      <c r="E68" s="43">
        <f t="shared" si="20"/>
        <v>84.25</v>
      </c>
      <c r="F68" s="44" cm="1">
        <f t="array" ref="F68">_fnGENPOP.U(E68)</f>
        <v>0.69850000000000001</v>
      </c>
      <c r="G68" s="45">
        <f t="shared" ca="1" si="26"/>
        <v>5.5845851112508763E-5</v>
      </c>
      <c r="H68" s="45">
        <f t="shared" ca="1" si="26"/>
        <v>0</v>
      </c>
      <c r="I68" s="45">
        <f t="shared" ca="1" si="26"/>
        <v>4.9659038300399333E-3</v>
      </c>
      <c r="J68" s="45">
        <f t="shared" ca="1" si="26"/>
        <v>7.3190932303799055E-4</v>
      </c>
      <c r="K68" s="45">
        <f t="shared" ca="1" si="26"/>
        <v>7.371934069842843E-5</v>
      </c>
      <c r="L68" s="45">
        <f t="shared" ca="1" si="26"/>
        <v>1.0865267349520916E-5</v>
      </c>
      <c r="M68" s="45">
        <f t="shared" ca="1" si="26"/>
        <v>2.177548351917911E-5</v>
      </c>
      <c r="N68" s="45">
        <f t="shared" ca="1" si="26"/>
        <v>3.2094216776685228E-6</v>
      </c>
      <c r="O68" s="45">
        <f t="shared" ca="1" si="26"/>
        <v>0.10906168031955266</v>
      </c>
      <c r="P68" s="45">
        <v>0</v>
      </c>
      <c r="Q68" s="22">
        <f t="shared" ca="1" si="21"/>
        <v>0.11492490883698789</v>
      </c>
      <c r="S68" s="45">
        <f t="shared" ca="1" si="27"/>
        <v>5.2990905269942826E-3</v>
      </c>
      <c r="T68" s="45">
        <f t="shared" ca="1" si="27"/>
        <v>0</v>
      </c>
      <c r="U68" s="45">
        <f t="shared" ca="1" si="27"/>
        <v>4.9698370860398978E-3</v>
      </c>
      <c r="V68" s="45">
        <f t="shared" ca="1" si="27"/>
        <v>7.3248903356698937E-4</v>
      </c>
      <c r="W68" s="45">
        <f t="shared" ca="1" si="27"/>
        <v>7.3777730278460501E-5</v>
      </c>
      <c r="X68" s="45">
        <f t="shared" ca="1" si="27"/>
        <v>1.087387321049938E-5</v>
      </c>
      <c r="Y68" s="45">
        <f t="shared" ca="1" si="27"/>
        <v>2.179273084295648E-5</v>
      </c>
      <c r="Z68" s="45">
        <f t="shared" ca="1" si="27"/>
        <v>3.2119637077806943E-6</v>
      </c>
      <c r="AA68" s="45">
        <f t="shared" ca="1" si="27"/>
        <v>0.10390486244112837</v>
      </c>
      <c r="AB68" s="45">
        <v>0</v>
      </c>
      <c r="AC68" s="22">
        <f t="shared" ca="1" si="22"/>
        <v>0.11501593538576924</v>
      </c>
    </row>
    <row r="69" spans="1:29" ht="12" customHeight="1" x14ac:dyDescent="0.25">
      <c r="A69" s="262"/>
      <c r="C69" s="263"/>
      <c r="D69" s="62">
        <f t="shared" si="23"/>
        <v>58</v>
      </c>
      <c r="E69" s="43">
        <f t="shared" si="20"/>
        <v>84.5</v>
      </c>
      <c r="F69" s="44" cm="1">
        <f t="array" ref="F69">_fnGENPOP.U(E69)</f>
        <v>0.69850000000000001</v>
      </c>
      <c r="G69" s="45">
        <f t="shared" ca="1" si="26"/>
        <v>5.2482090382458221E-5</v>
      </c>
      <c r="H69" s="45">
        <f t="shared" ca="1" si="26"/>
        <v>0</v>
      </c>
      <c r="I69" s="45">
        <f t="shared" ca="1" si="26"/>
        <v>4.9242353080742327E-3</v>
      </c>
      <c r="J69" s="45">
        <f t="shared" ca="1" si="26"/>
        <v>7.2576792748388786E-4</v>
      </c>
      <c r="K69" s="45">
        <f t="shared" ca="1" si="26"/>
        <v>7.3100767308302062E-5</v>
      </c>
      <c r="L69" s="45">
        <f t="shared" ca="1" si="26"/>
        <v>1.0774097716215096E-5</v>
      </c>
      <c r="M69" s="45">
        <f t="shared" ca="1" si="26"/>
        <v>2.1592767090430759E-5</v>
      </c>
      <c r="N69" s="45">
        <f t="shared" ca="1" si="26"/>
        <v>3.1824916640697602E-6</v>
      </c>
      <c r="O69" s="45">
        <f t="shared" ca="1" si="26"/>
        <v>0.10814944720372205</v>
      </c>
      <c r="P69" s="45">
        <v>0</v>
      </c>
      <c r="Q69" s="22">
        <f t="shared" ca="1" si="21"/>
        <v>0.11396058265344164</v>
      </c>
      <c r="S69" s="45">
        <f t="shared" ca="1" si="27"/>
        <v>4.9799106369112093E-3</v>
      </c>
      <c r="T69" s="45">
        <f t="shared" ca="1" si="27"/>
        <v>0</v>
      </c>
      <c r="U69" s="45">
        <f t="shared" ca="1" si="27"/>
        <v>4.9281355604217638E-3</v>
      </c>
      <c r="V69" s="45">
        <f t="shared" ca="1" si="27"/>
        <v>7.2634277370585659E-4</v>
      </c>
      <c r="W69" s="45">
        <f t="shared" ca="1" si="27"/>
        <v>7.3158666945801734E-5</v>
      </c>
      <c r="X69" s="45">
        <f t="shared" ca="1" si="27"/>
        <v>1.078263136606755E-5</v>
      </c>
      <c r="Y69" s="45">
        <f t="shared" ca="1" si="27"/>
        <v>2.1609869693223941E-5</v>
      </c>
      <c r="Z69" s="45">
        <f t="shared" ca="1" si="27"/>
        <v>3.185012364200283E-6</v>
      </c>
      <c r="AA69" s="45">
        <f t="shared" ca="1" si="27"/>
        <v>0.1033077202539559</v>
      </c>
      <c r="AB69" s="45">
        <v>0</v>
      </c>
      <c r="AC69" s="22">
        <f t="shared" ca="1" si="22"/>
        <v>0.11405084540536403</v>
      </c>
    </row>
    <row r="70" spans="1:29" ht="12" customHeight="1" x14ac:dyDescent="0.25">
      <c r="A70" s="262"/>
      <c r="C70" s="263"/>
      <c r="D70" s="62">
        <f t="shared" si="23"/>
        <v>59</v>
      </c>
      <c r="E70" s="43">
        <f t="shared" si="20"/>
        <v>84.75</v>
      </c>
      <c r="F70" s="44" cm="1">
        <f t="array" ref="F70">_fnGENPOP.U(E70)</f>
        <v>0.69850000000000001</v>
      </c>
      <c r="G70" s="45">
        <f t="shared" ca="1" si="26"/>
        <v>4.9320938906696499E-5</v>
      </c>
      <c r="H70" s="45">
        <f t="shared" ca="1" si="26"/>
        <v>0</v>
      </c>
      <c r="I70" s="45">
        <f t="shared" ca="1" si="26"/>
        <v>4.8829164235123625E-3</v>
      </c>
      <c r="J70" s="45">
        <f t="shared" ca="1" si="26"/>
        <v>7.1967806391354976E-4</v>
      </c>
      <c r="K70" s="45">
        <f t="shared" ca="1" si="26"/>
        <v>7.2487384320522589E-5</v>
      </c>
      <c r="L70" s="45">
        <f t="shared" ca="1" si="26"/>
        <v>1.0683693080379632E-5</v>
      </c>
      <c r="M70" s="45">
        <f t="shared" ca="1" si="26"/>
        <v>2.1411583821361974E-5</v>
      </c>
      <c r="N70" s="45">
        <f t="shared" ca="1" si="26"/>
        <v>3.1557876181702482E-6</v>
      </c>
      <c r="O70" s="45">
        <f t="shared" ca="1" si="26"/>
        <v>0.10724469418250505</v>
      </c>
      <c r="P70" s="45">
        <v>0</v>
      </c>
      <c r="Q70" s="22">
        <f t="shared" ca="1" si="21"/>
        <v>0.1130043480576781</v>
      </c>
      <c r="S70" s="45">
        <f t="shared" ca="1" si="27"/>
        <v>4.6799558953162547E-3</v>
      </c>
      <c r="T70" s="45">
        <f t="shared" ca="1" si="27"/>
        <v>0</v>
      </c>
      <c r="U70" s="45">
        <f t="shared" ca="1" si="27"/>
        <v>4.8867839491386015E-3</v>
      </c>
      <c r="V70" s="45">
        <f t="shared" ca="1" si="27"/>
        <v>7.202480866445193E-4</v>
      </c>
      <c r="W70" s="45">
        <f t="shared" ca="1" si="27"/>
        <v>7.2544798126560436E-5</v>
      </c>
      <c r="X70" s="45">
        <f t="shared" ca="1" si="27"/>
        <v>1.0692155125024153E-5</v>
      </c>
      <c r="Y70" s="45">
        <f t="shared" ca="1" si="27"/>
        <v>2.1428542917513754E-5</v>
      </c>
      <c r="Z70" s="45">
        <f t="shared" ca="1" si="27"/>
        <v>3.1582871672973785E-6</v>
      </c>
      <c r="AA70" s="45">
        <f t="shared" ca="1" si="27"/>
        <v>0.10269904170726719</v>
      </c>
      <c r="AB70" s="45">
        <v>0</v>
      </c>
      <c r="AC70" s="22">
        <f t="shared" ca="1" si="22"/>
        <v>0.11309385342170296</v>
      </c>
    </row>
    <row r="71" spans="1:29" ht="12" customHeight="1" x14ac:dyDescent="0.25">
      <c r="A71" s="262"/>
      <c r="C71" s="263"/>
      <c r="D71" s="62">
        <f t="shared" si="23"/>
        <v>60</v>
      </c>
      <c r="E71" s="43">
        <f t="shared" si="20"/>
        <v>85</v>
      </c>
      <c r="F71" s="44" cm="1">
        <f t="array" ref="F71">_fnGENPOP.U(E71)</f>
        <v>0.64970000000000006</v>
      </c>
      <c r="G71" s="45">
        <f t="shared" ref="G71:O80" ca="1" si="28">PRODUCT(AVERAGE(OFFSET(AB.Trace.MarkovQA.Root, $D71, (G$2-1)*AB.Trace.MarkovQA.NumCols+G$3-1, CHOOSE(swtchHalfCycle, 2, 1))), $F71+G$6, AB.cycleLength)</f>
        <v>4.3111983317300165E-5</v>
      </c>
      <c r="H71" s="45">
        <f t="shared" ca="1" si="28"/>
        <v>0</v>
      </c>
      <c r="I71" s="45">
        <f t="shared" ca="1" si="28"/>
        <v>4.460719115071534E-3</v>
      </c>
      <c r="J71" s="45">
        <f t="shared" ca="1" si="28"/>
        <v>6.5745169852561916E-4</v>
      </c>
      <c r="K71" s="45">
        <f t="shared" ca="1" si="28"/>
        <v>6.5998674701977272E-5</v>
      </c>
      <c r="L71" s="45">
        <f t="shared" ca="1" si="28"/>
        <v>9.7273420863126733E-6</v>
      </c>
      <c r="M71" s="45">
        <f t="shared" ca="1" si="28"/>
        <v>1.8977040026126495E-5</v>
      </c>
      <c r="N71" s="45">
        <f t="shared" ca="1" si="28"/>
        <v>2.7969676808411737E-6</v>
      </c>
      <c r="O71" s="45">
        <f t="shared" ca="1" si="28"/>
        <v>9.8917517016231887E-2</v>
      </c>
      <c r="P71" s="45">
        <v>0</v>
      </c>
      <c r="Q71" s="22">
        <f t="shared" ca="1" si="21"/>
        <v>0.10417629983764159</v>
      </c>
      <c r="S71" s="45">
        <f t="shared" ref="S71:AA80" ca="1" si="29">PRODUCT(AVERAGE(OFFSET(AB.Trace.MarkovQA.Root, $D71, (S$2-1)*AB.Trace.MarkovQA.NumCols+S$3-1, CHOOSE(swtchHalfCycle, 2, 1))), $F71+S$6, AB.cycleLength)</f>
        <v>4.0908016951230605E-3</v>
      </c>
      <c r="T71" s="45">
        <f t="shared" ca="1" si="29"/>
        <v>0</v>
      </c>
      <c r="U71" s="45">
        <f t="shared" ca="1" si="29"/>
        <v>4.4642522383103265E-3</v>
      </c>
      <c r="V71" s="45">
        <f t="shared" ca="1" si="29"/>
        <v>6.5797243471512625E-4</v>
      </c>
      <c r="W71" s="45">
        <f t="shared" ca="1" si="29"/>
        <v>6.6050949110049958E-5</v>
      </c>
      <c r="X71" s="45">
        <f t="shared" ca="1" si="29"/>
        <v>9.7350466508661102E-6</v>
      </c>
      <c r="Y71" s="45">
        <f t="shared" ca="1" si="29"/>
        <v>1.8992070836045289E-5</v>
      </c>
      <c r="Z71" s="45">
        <f t="shared" ca="1" si="29"/>
        <v>2.7991830257791547E-6</v>
      </c>
      <c r="AA71" s="45">
        <f t="shared" ca="1" si="29"/>
        <v>9.494820930719837E-2</v>
      </c>
      <c r="AB71" s="45">
        <v>0</v>
      </c>
      <c r="AC71" s="22">
        <f t="shared" ca="1" si="22"/>
        <v>0.10425881292496962</v>
      </c>
    </row>
    <row r="72" spans="1:29" ht="12" customHeight="1" x14ac:dyDescent="0.25">
      <c r="A72" s="262"/>
      <c r="C72" s="263"/>
      <c r="D72" s="62">
        <f t="shared" si="23"/>
        <v>61</v>
      </c>
      <c r="E72" s="43">
        <f t="shared" si="20"/>
        <v>85.25</v>
      </c>
      <c r="F72" s="44" cm="1">
        <f t="array" ref="F72">_fnGENPOP.U(E72)</f>
        <v>0.64970000000000006</v>
      </c>
      <c r="G72" s="45">
        <f t="shared" ca="1" si="28"/>
        <v>4.0515221094352401E-5</v>
      </c>
      <c r="H72" s="45">
        <f t="shared" ca="1" si="28"/>
        <v>0</v>
      </c>
      <c r="I72" s="45">
        <f t="shared" ca="1" si="28"/>
        <v>4.4232895596893317E-3</v>
      </c>
      <c r="J72" s="45">
        <f t="shared" ca="1" si="28"/>
        <v>6.5193507124506602E-4</v>
      </c>
      <c r="K72" s="45">
        <f t="shared" ca="1" si="28"/>
        <v>6.5444884833979706E-5</v>
      </c>
      <c r="L72" s="45">
        <f t="shared" ca="1" si="28"/>
        <v>9.6457206974852277E-6</v>
      </c>
      <c r="M72" s="45">
        <f t="shared" ca="1" si="28"/>
        <v>1.8817805124236282E-5</v>
      </c>
      <c r="N72" s="45">
        <f t="shared" ca="1" si="28"/>
        <v>2.7734985374112365E-6</v>
      </c>
      <c r="O72" s="45">
        <f t="shared" ca="1" si="28"/>
        <v>9.8089742654821135E-2</v>
      </c>
      <c r="P72" s="45">
        <v>0</v>
      </c>
      <c r="Q72" s="22">
        <f t="shared" ca="1" si="21"/>
        <v>0.10330216441604299</v>
      </c>
      <c r="S72" s="45">
        <f t="shared" ca="1" si="29"/>
        <v>3.8444006138904207E-3</v>
      </c>
      <c r="T72" s="45">
        <f t="shared" ca="1" si="29"/>
        <v>0</v>
      </c>
      <c r="U72" s="45">
        <f t="shared" ca="1" si="29"/>
        <v>4.426793036759304E-3</v>
      </c>
      <c r="V72" s="45">
        <f t="shared" ca="1" si="29"/>
        <v>6.5245143797674772E-4</v>
      </c>
      <c r="W72" s="45">
        <f t="shared" ca="1" si="29"/>
        <v>6.5496720611463578E-5</v>
      </c>
      <c r="X72" s="45">
        <f t="shared" ca="1" si="29"/>
        <v>9.6533606136225226E-6</v>
      </c>
      <c r="Y72" s="45">
        <f t="shared" ca="1" si="29"/>
        <v>1.8832709811770378E-5</v>
      </c>
      <c r="Z72" s="45">
        <f t="shared" ca="1" si="29"/>
        <v>2.7756952935580585E-6</v>
      </c>
      <c r="AA72" s="45">
        <f t="shared" ca="1" si="29"/>
        <v>9.4363581567363755E-2</v>
      </c>
      <c r="AB72" s="45">
        <v>0</v>
      </c>
      <c r="AC72" s="22">
        <f t="shared" ca="1" si="22"/>
        <v>0.10338398514232064</v>
      </c>
    </row>
    <row r="73" spans="1:29" ht="12" customHeight="1" x14ac:dyDescent="0.25">
      <c r="A73" s="262"/>
      <c r="C73" s="263"/>
      <c r="D73" s="62">
        <f t="shared" si="23"/>
        <v>62</v>
      </c>
      <c r="E73" s="43">
        <f t="shared" si="20"/>
        <v>85.5</v>
      </c>
      <c r="F73" s="44" cm="1">
        <f t="array" ref="F73">_fnGENPOP.U(E73)</f>
        <v>0.64970000000000006</v>
      </c>
      <c r="G73" s="45">
        <f t="shared" ca="1" si="28"/>
        <v>3.8074869537852043E-5</v>
      </c>
      <c r="H73" s="45">
        <f t="shared" ca="1" si="28"/>
        <v>0</v>
      </c>
      <c r="I73" s="45">
        <f t="shared" ca="1" si="28"/>
        <v>4.3861740728642308E-3</v>
      </c>
      <c r="J73" s="45">
        <f t="shared" ca="1" si="28"/>
        <v>6.4646473356513422E-4</v>
      </c>
      <c r="K73" s="45">
        <f t="shared" ca="1" si="28"/>
        <v>6.4895741774714008E-5</v>
      </c>
      <c r="L73" s="45">
        <f t="shared" ca="1" si="28"/>
        <v>9.5647841875337381E-6</v>
      </c>
      <c r="M73" s="45">
        <f t="shared" ca="1" si="28"/>
        <v>1.8659906350316781E-5</v>
      </c>
      <c r="N73" s="45">
        <f t="shared" ca="1" si="28"/>
        <v>2.7502263217817551E-6</v>
      </c>
      <c r="O73" s="45">
        <f t="shared" ca="1" si="28"/>
        <v>9.7268779463790409E-2</v>
      </c>
      <c r="P73" s="45">
        <v>0</v>
      </c>
      <c r="Q73" s="22">
        <f t="shared" ca="1" si="21"/>
        <v>0.10243536379839197</v>
      </c>
      <c r="S73" s="45">
        <f t="shared" ca="1" si="29"/>
        <v>3.6128409983061886E-3</v>
      </c>
      <c r="T73" s="45">
        <f t="shared" ca="1" si="29"/>
        <v>0</v>
      </c>
      <c r="U73" s="45">
        <f t="shared" ca="1" si="29"/>
        <v>4.3896481525241351E-3</v>
      </c>
      <c r="V73" s="45">
        <f t="shared" ca="1" si="29"/>
        <v>6.4697676750277917E-4</v>
      </c>
      <c r="W73" s="45">
        <f t="shared" ca="1" si="29"/>
        <v>6.4947142602125014E-5</v>
      </c>
      <c r="X73" s="45">
        <f t="shared" ca="1" si="29"/>
        <v>9.5723599977148379E-6</v>
      </c>
      <c r="Y73" s="45">
        <f t="shared" ca="1" si="29"/>
        <v>1.8674685973749515E-5</v>
      </c>
      <c r="Z73" s="45">
        <f t="shared" ca="1" si="29"/>
        <v>2.7524046451145539E-6</v>
      </c>
      <c r="AA73" s="45">
        <f t="shared" ca="1" si="29"/>
        <v>9.3771085461616444E-2</v>
      </c>
      <c r="AB73" s="45">
        <v>0</v>
      </c>
      <c r="AC73" s="22">
        <f t="shared" ca="1" si="22"/>
        <v>0.10251649797316825</v>
      </c>
    </row>
    <row r="74" spans="1:29" ht="12" customHeight="1" x14ac:dyDescent="0.25">
      <c r="A74" s="262"/>
      <c r="C74" s="263"/>
      <c r="D74" s="62">
        <f t="shared" si="23"/>
        <v>63</v>
      </c>
      <c r="E74" s="43">
        <f t="shared" si="20"/>
        <v>85.75</v>
      </c>
      <c r="F74" s="44" cm="1">
        <f t="array" ref="F74">_fnGENPOP.U(E74)</f>
        <v>0.64970000000000006</v>
      </c>
      <c r="G74" s="45">
        <f t="shared" ca="1" si="28"/>
        <v>3.578150757090483E-5</v>
      </c>
      <c r="H74" s="45">
        <f t="shared" ca="1" si="28"/>
        <v>0</v>
      </c>
      <c r="I74" s="45">
        <f t="shared" ca="1" si="28"/>
        <v>4.3493700192708176E-3</v>
      </c>
      <c r="J74" s="45">
        <f t="shared" ca="1" si="28"/>
        <v>6.4104029707329983E-4</v>
      </c>
      <c r="K74" s="45">
        <f t="shared" ca="1" si="28"/>
        <v>6.4351206533160943E-5</v>
      </c>
      <c r="L74" s="45">
        <f t="shared" ca="1" si="28"/>
        <v>9.4845268096915606E-6</v>
      </c>
      <c r="M74" s="45">
        <f t="shared" ca="1" si="28"/>
        <v>1.8503332493019624E-5</v>
      </c>
      <c r="N74" s="45">
        <f t="shared" ca="1" si="28"/>
        <v>2.7271493815465099E-6</v>
      </c>
      <c r="O74" s="45">
        <f t="shared" ca="1" si="28"/>
        <v>9.6454578399773117E-2</v>
      </c>
      <c r="P74" s="45">
        <v>0</v>
      </c>
      <c r="Q74" s="22">
        <f t="shared" ca="1" si="21"/>
        <v>0.10157583643890555</v>
      </c>
      <c r="S74" s="45">
        <f t="shared" ca="1" si="29"/>
        <v>3.3952289030130989E-3</v>
      </c>
      <c r="T74" s="45">
        <f t="shared" ca="1" si="29"/>
        <v>0</v>
      </c>
      <c r="U74" s="45">
        <f t="shared" ca="1" si="29"/>
        <v>4.3528149481920908E-3</v>
      </c>
      <c r="V74" s="45">
        <f t="shared" ca="1" si="29"/>
        <v>6.4154803457305398E-4</v>
      </c>
      <c r="W74" s="45">
        <f t="shared" ca="1" si="29"/>
        <v>6.4402176060132142E-5</v>
      </c>
      <c r="X74" s="45">
        <f t="shared" ca="1" si="29"/>
        <v>9.4920390518246808E-6</v>
      </c>
      <c r="Y74" s="45">
        <f t="shared" ca="1" si="29"/>
        <v>1.8517988101754385E-5</v>
      </c>
      <c r="Z74" s="45">
        <f t="shared" ca="1" si="29"/>
        <v>2.7293094267336279E-6</v>
      </c>
      <c r="AA74" s="45">
        <f t="shared" ca="1" si="29"/>
        <v>9.317155642456329E-2</v>
      </c>
      <c r="AB74" s="45">
        <v>0</v>
      </c>
      <c r="AC74" s="22">
        <f t="shared" ca="1" si="22"/>
        <v>0.10165628982298197</v>
      </c>
    </row>
    <row r="75" spans="1:29" ht="12" customHeight="1" x14ac:dyDescent="0.25">
      <c r="A75" s="262"/>
      <c r="C75" s="263"/>
      <c r="D75" s="62">
        <f t="shared" si="23"/>
        <v>64</v>
      </c>
      <c r="E75" s="43">
        <f t="shared" ref="E75:E106" si="30">A.cohortAge+D75*AB.cycleLength</f>
        <v>86</v>
      </c>
      <c r="F75" s="44" cm="1">
        <f t="array" ref="F75">_fnGENPOP.U(E75)</f>
        <v>0.64970000000000006</v>
      </c>
      <c r="G75" s="45">
        <f t="shared" ca="1" si="28"/>
        <v>3.362628157593281E-5</v>
      </c>
      <c r="H75" s="45">
        <f t="shared" ca="1" si="28"/>
        <v>0</v>
      </c>
      <c r="I75" s="45">
        <f t="shared" ca="1" si="28"/>
        <v>4.3128747856964926E-3</v>
      </c>
      <c r="J75" s="45">
        <f t="shared" ca="1" si="28"/>
        <v>6.3566137661617882E-4</v>
      </c>
      <c r="K75" s="45">
        <f t="shared" ca="1" si="28"/>
        <v>6.381124044547198E-5</v>
      </c>
      <c r="L75" s="45">
        <f t="shared" ca="1" si="28"/>
        <v>9.4049428654127375E-6</v>
      </c>
      <c r="M75" s="45">
        <f t="shared" ca="1" si="28"/>
        <v>1.8348072435070045E-5</v>
      </c>
      <c r="N75" s="45">
        <f t="shared" ca="1" si="28"/>
        <v>2.7042660781644947E-6</v>
      </c>
      <c r="O75" s="45">
        <f t="shared" ca="1" si="28"/>
        <v>9.5647090342514021E-2</v>
      </c>
      <c r="P75" s="45">
        <v>0</v>
      </c>
      <c r="Q75" s="22">
        <f t="shared" ref="Q75:Q106" ca="1" si="31">SUM(G75:P75)</f>
        <v>0.10072352130822675</v>
      </c>
      <c r="S75" s="45">
        <f t="shared" ca="1" si="29"/>
        <v>3.1907242276258533E-3</v>
      </c>
      <c r="T75" s="45">
        <f t="shared" ca="1" si="29"/>
        <v>0</v>
      </c>
      <c r="U75" s="45">
        <f t="shared" ca="1" si="29"/>
        <v>4.3162908084807688E-3</v>
      </c>
      <c r="V75" s="45">
        <f t="shared" ca="1" si="29"/>
        <v>6.3616485372912596E-4</v>
      </c>
      <c r="W75" s="45">
        <f t="shared" ca="1" si="29"/>
        <v>6.3861782291012599E-5</v>
      </c>
      <c r="X75" s="45">
        <f t="shared" ca="1" si="29"/>
        <v>9.412392072892538E-6</v>
      </c>
      <c r="Y75" s="45">
        <f t="shared" ca="1" si="29"/>
        <v>1.8362605069704746E-5</v>
      </c>
      <c r="Z75" s="45">
        <f t="shared" ca="1" si="29"/>
        <v>2.7064079985764648E-6</v>
      </c>
      <c r="AA75" s="45">
        <f t="shared" ca="1" si="29"/>
        <v>9.2565776536798455E-2</v>
      </c>
      <c r="AB75" s="45">
        <v>0</v>
      </c>
      <c r="AC75" s="22">
        <f t="shared" ref="AC75:AC106" ca="1" si="32">SUM(S75:AB75)</f>
        <v>0.10080329961406639</v>
      </c>
    </row>
    <row r="76" spans="1:29" ht="12" customHeight="1" x14ac:dyDescent="0.25">
      <c r="A76" s="262"/>
      <c r="C76" s="263"/>
      <c r="D76" s="62">
        <f t="shared" ref="D76:D107" si="33">D75+1</f>
        <v>65</v>
      </c>
      <c r="E76" s="43">
        <f t="shared" si="30"/>
        <v>86.25</v>
      </c>
      <c r="F76" s="44" cm="1">
        <f t="array" ref="F76">_fnGENPOP.U(E76)</f>
        <v>0.64970000000000006</v>
      </c>
      <c r="G76" s="45">
        <f t="shared" ca="1" si="28"/>
        <v>3.1600871214921957E-5</v>
      </c>
      <c r="H76" s="45">
        <f t="shared" ca="1" si="28"/>
        <v>0</v>
      </c>
      <c r="I76" s="45">
        <f t="shared" ca="1" si="28"/>
        <v>4.2766857808559256E-3</v>
      </c>
      <c r="J76" s="45">
        <f t="shared" ca="1" si="28"/>
        <v>6.3032759027218017E-4</v>
      </c>
      <c r="K76" s="45">
        <f t="shared" ca="1" si="28"/>
        <v>6.3275805172223999E-5</v>
      </c>
      <c r="L76" s="45">
        <f t="shared" ca="1" si="28"/>
        <v>9.3260267039673694E-6</v>
      </c>
      <c r="M76" s="45">
        <f t="shared" ca="1" si="28"/>
        <v>1.8194115152477477E-5</v>
      </c>
      <c r="N76" s="45">
        <f t="shared" ca="1" si="28"/>
        <v>2.6815747868435776E-6</v>
      </c>
      <c r="O76" s="45">
        <f t="shared" ca="1" si="28"/>
        <v>9.4846266124932729E-2</v>
      </c>
      <c r="P76" s="45">
        <v>0</v>
      </c>
      <c r="Q76" s="22">
        <f t="shared" ca="1" si="31"/>
        <v>9.9878357889091274E-2</v>
      </c>
      <c r="S76" s="45">
        <f t="shared" ca="1" si="29"/>
        <v>2.9985374734892568E-3</v>
      </c>
      <c r="T76" s="45">
        <f t="shared" ca="1" si="29"/>
        <v>0</v>
      </c>
      <c r="U76" s="45">
        <f t="shared" ca="1" si="29"/>
        <v>4.2800731400524051E-3</v>
      </c>
      <c r="V76" s="45">
        <f t="shared" ca="1" si="29"/>
        <v>6.3082684274690267E-4</v>
      </c>
      <c r="W76" s="45">
        <f t="shared" ca="1" si="29"/>
        <v>6.3325922924976428E-5</v>
      </c>
      <c r="X76" s="45">
        <f t="shared" ca="1" si="29"/>
        <v>9.3334134057128423E-6</v>
      </c>
      <c r="Y76" s="45">
        <f t="shared" ca="1" si="29"/>
        <v>1.8208525844878457E-5</v>
      </c>
      <c r="Z76" s="45">
        <f t="shared" ca="1" si="29"/>
        <v>2.6836987345640118E-6</v>
      </c>
      <c r="AA76" s="45">
        <f t="shared" ca="1" si="29"/>
        <v>9.195447776402571E-2</v>
      </c>
      <c r="AB76" s="45">
        <v>0</v>
      </c>
      <c r="AC76" s="22">
        <f t="shared" ca="1" si="32"/>
        <v>9.9957466781224413E-2</v>
      </c>
    </row>
    <row r="77" spans="1:29" ht="12" customHeight="1" x14ac:dyDescent="0.25">
      <c r="A77" s="262"/>
      <c r="C77" s="263"/>
      <c r="D77" s="62">
        <f t="shared" si="33"/>
        <v>66</v>
      </c>
      <c r="E77" s="43">
        <f t="shared" si="30"/>
        <v>86.5</v>
      </c>
      <c r="F77" s="44" cm="1">
        <f t="array" ref="F77">_fnGENPOP.U(E77)</f>
        <v>0.64970000000000006</v>
      </c>
      <c r="G77" s="45">
        <f t="shared" ca="1" si="28"/>
        <v>2.9697457308417277E-5</v>
      </c>
      <c r="H77" s="45">
        <f t="shared" ca="1" si="28"/>
        <v>0</v>
      </c>
      <c r="I77" s="45">
        <f t="shared" ca="1" si="28"/>
        <v>4.2408004352070634E-3</v>
      </c>
      <c r="J77" s="45">
        <f t="shared" ca="1" si="28"/>
        <v>6.2503855932438766E-4</v>
      </c>
      <c r="K77" s="45">
        <f t="shared" ca="1" si="28"/>
        <v>6.2744862695697032E-5</v>
      </c>
      <c r="L77" s="45">
        <f t="shared" ca="1" si="28"/>
        <v>9.2477727220404083E-6</v>
      </c>
      <c r="M77" s="45">
        <f t="shared" ca="1" si="28"/>
        <v>1.8041449713752825E-5</v>
      </c>
      <c r="N77" s="45">
        <f t="shared" ca="1" si="28"/>
        <v>2.6590738964251341E-6</v>
      </c>
      <c r="O77" s="45">
        <f t="shared" ca="1" si="28"/>
        <v>9.4052056561162847E-2</v>
      </c>
      <c r="P77" s="45">
        <v>0</v>
      </c>
      <c r="Q77" s="22">
        <f t="shared" ca="1" si="31"/>
        <v>9.9040286172030631E-2</v>
      </c>
      <c r="S77" s="45">
        <f t="shared" ca="1" si="29"/>
        <v>2.8179266957864E-3</v>
      </c>
      <c r="T77" s="45">
        <f t="shared" ca="1" si="29"/>
        <v>0</v>
      </c>
      <c r="U77" s="45">
        <f t="shared" ca="1" si="29"/>
        <v>4.244159371329736E-3</v>
      </c>
      <c r="V77" s="45">
        <f t="shared" ca="1" si="29"/>
        <v>6.2553362260950416E-4</v>
      </c>
      <c r="W77" s="45">
        <f t="shared" ca="1" si="29"/>
        <v>6.2794559914191667E-5</v>
      </c>
      <c r="X77" s="45">
        <f t="shared" ca="1" si="29"/>
        <v>9.2550974425324266E-6</v>
      </c>
      <c r="Y77" s="45">
        <f t="shared" ca="1" si="29"/>
        <v>1.8055739487128106E-5</v>
      </c>
      <c r="Z77" s="45">
        <f t="shared" ca="1" si="29"/>
        <v>2.661180022261522E-6</v>
      </c>
      <c r="AA77" s="45">
        <f t="shared" ca="1" si="29"/>
        <v>9.1338345000865004E-2</v>
      </c>
      <c r="AB77" s="45">
        <v>0</v>
      </c>
      <c r="AC77" s="22">
        <f t="shared" ca="1" si="32"/>
        <v>9.9118731267456753E-2</v>
      </c>
    </row>
    <row r="78" spans="1:29" ht="12" customHeight="1" x14ac:dyDescent="0.25">
      <c r="A78" s="262"/>
      <c r="C78" s="263"/>
      <c r="D78" s="62">
        <f t="shared" si="33"/>
        <v>67</v>
      </c>
      <c r="E78" s="43">
        <f t="shared" si="30"/>
        <v>86.75</v>
      </c>
      <c r="F78" s="44" cm="1">
        <f t="array" ref="F78">_fnGENPOP.U(E78)</f>
        <v>0.64970000000000006</v>
      </c>
      <c r="G78" s="45">
        <f t="shared" ca="1" si="28"/>
        <v>2.7908691649261066E-5</v>
      </c>
      <c r="H78" s="45">
        <f t="shared" ca="1" si="28"/>
        <v>0</v>
      </c>
      <c r="I78" s="45">
        <f t="shared" ca="1" si="28"/>
        <v>4.2052162007686859E-3</v>
      </c>
      <c r="J78" s="45">
        <f t="shared" ca="1" si="28"/>
        <v>6.1979390823367001E-4</v>
      </c>
      <c r="K78" s="45">
        <f t="shared" ca="1" si="28"/>
        <v>6.2218375317174955E-5</v>
      </c>
      <c r="L78" s="45">
        <f t="shared" ca="1" si="28"/>
        <v>9.1701753633337992E-6</v>
      </c>
      <c r="M78" s="45">
        <f t="shared" ca="1" si="28"/>
        <v>1.7890065279132285E-5</v>
      </c>
      <c r="N78" s="45">
        <f t="shared" ca="1" si="28"/>
        <v>2.6367618092696489E-6</v>
      </c>
      <c r="O78" s="45">
        <f t="shared" ca="1" si="28"/>
        <v>9.3264412472690641E-2</v>
      </c>
      <c r="P78" s="45">
        <v>0</v>
      </c>
      <c r="Q78" s="22">
        <f t="shared" ca="1" si="31"/>
        <v>9.8209246651111165E-2</v>
      </c>
      <c r="S78" s="45">
        <f t="shared" ca="1" si="29"/>
        <v>2.6481946392303813E-3</v>
      </c>
      <c r="T78" s="45">
        <f t="shared" ca="1" si="29"/>
        <v>0</v>
      </c>
      <c r="U78" s="45">
        <f t="shared" ca="1" si="29"/>
        <v>4.2085469523134049E-3</v>
      </c>
      <c r="V78" s="45">
        <f t="shared" ca="1" si="29"/>
        <v>6.2028481748035243E-4</v>
      </c>
      <c r="W78" s="45">
        <f t="shared" ca="1" si="29"/>
        <v>6.2267655530082831E-5</v>
      </c>
      <c r="X78" s="45">
        <f t="shared" ca="1" si="29"/>
        <v>9.177438622652351E-6</v>
      </c>
      <c r="Y78" s="45">
        <f t="shared" ca="1" si="29"/>
        <v>1.7904235148104229E-5</v>
      </c>
      <c r="Z78" s="45">
        <f t="shared" ca="1" si="29"/>
        <v>2.638850262764067E-6</v>
      </c>
      <c r="AA78" s="45">
        <f t="shared" ca="1" si="29"/>
        <v>9.0718018931110367E-2</v>
      </c>
      <c r="AB78" s="45">
        <v>0</v>
      </c>
      <c r="AC78" s="22">
        <f t="shared" ca="1" si="32"/>
        <v>9.8287033519698114E-2</v>
      </c>
    </row>
    <row r="79" spans="1:29" ht="12" customHeight="1" x14ac:dyDescent="0.25">
      <c r="A79" s="262"/>
      <c r="C79" s="263"/>
      <c r="D79" s="62">
        <f t="shared" si="33"/>
        <v>68</v>
      </c>
      <c r="E79" s="43">
        <f t="shared" si="30"/>
        <v>87</v>
      </c>
      <c r="F79" s="44" cm="1">
        <f t="array" ref="F79">_fnGENPOP.U(E79)</f>
        <v>0.64970000000000006</v>
      </c>
      <c r="G79" s="45">
        <f t="shared" ca="1" si="28"/>
        <v>2.6227668634538919E-5</v>
      </c>
      <c r="H79" s="45">
        <f t="shared" ca="1" si="28"/>
        <v>0</v>
      </c>
      <c r="I79" s="45">
        <f t="shared" ca="1" si="28"/>
        <v>4.1699305509394916E-3</v>
      </c>
      <c r="J79" s="45">
        <f t="shared" ca="1" si="28"/>
        <v>6.1459326461201641E-4</v>
      </c>
      <c r="K79" s="45">
        <f t="shared" ca="1" si="28"/>
        <v>6.1696305654268687E-5</v>
      </c>
      <c r="L79" s="45">
        <f t="shared" ca="1" si="28"/>
        <v>9.0932291181719523E-6</v>
      </c>
      <c r="M79" s="45">
        <f t="shared" ca="1" si="28"/>
        <v>1.7739951099807683E-5</v>
      </c>
      <c r="N79" s="45">
        <f t="shared" ca="1" si="28"/>
        <v>2.6146369411432786E-6</v>
      </c>
      <c r="O79" s="45">
        <f t="shared" ca="1" si="28"/>
        <v>9.2483284712709626E-2</v>
      </c>
      <c r="P79" s="45">
        <v>0</v>
      </c>
      <c r="Q79" s="22">
        <f t="shared" ca="1" si="31"/>
        <v>9.7385180319709067E-2</v>
      </c>
      <c r="S79" s="45">
        <f t="shared" ca="1" si="29"/>
        <v>2.4886860462817765E-3</v>
      </c>
      <c r="T79" s="45">
        <f t="shared" ca="1" si="29"/>
        <v>0</v>
      </c>
      <c r="U79" s="45">
        <f t="shared" ca="1" si="29"/>
        <v>4.1732333544009098E-3</v>
      </c>
      <c r="V79" s="45">
        <f t="shared" ca="1" si="29"/>
        <v>6.1508005467648594E-4</v>
      </c>
      <c r="W79" s="45">
        <f t="shared" ca="1" si="29"/>
        <v>6.1745172360652009E-5</v>
      </c>
      <c r="X79" s="45">
        <f t="shared" ca="1" si="29"/>
        <v>9.1004314320330815E-6</v>
      </c>
      <c r="Y79" s="45">
        <f t="shared" ca="1" si="29"/>
        <v>1.7754002070485035E-5</v>
      </c>
      <c r="Z79" s="45">
        <f t="shared" ca="1" si="29"/>
        <v>2.6167078705830058E-6</v>
      </c>
      <c r="AA79" s="45">
        <f t="shared" ca="1" si="29"/>
        <v>9.0094098715495299E-2</v>
      </c>
      <c r="AB79" s="45">
        <v>0</v>
      </c>
      <c r="AC79" s="22">
        <f t="shared" ca="1" si="32"/>
        <v>9.7462314484588225E-2</v>
      </c>
    </row>
    <row r="80" spans="1:29" ht="12" customHeight="1" x14ac:dyDescent="0.25">
      <c r="A80" s="262"/>
      <c r="C80" s="263"/>
      <c r="D80" s="62">
        <f t="shared" si="33"/>
        <v>69</v>
      </c>
      <c r="E80" s="43">
        <f t="shared" si="30"/>
        <v>87.25</v>
      </c>
      <c r="F80" s="44" cm="1">
        <f t="array" ref="F80">_fnGENPOP.U(E80)</f>
        <v>0.64970000000000006</v>
      </c>
      <c r="G80" s="45">
        <f t="shared" ca="1" si="28"/>
        <v>2.4647898606217522E-5</v>
      </c>
      <c r="H80" s="45">
        <f t="shared" ca="1" si="28"/>
        <v>0</v>
      </c>
      <c r="I80" s="45">
        <f t="shared" ca="1" si="28"/>
        <v>4.1349409803186953E-3</v>
      </c>
      <c r="J80" s="45">
        <f t="shared" ca="1" si="28"/>
        <v>6.0943625919609578E-4</v>
      </c>
      <c r="K80" s="45">
        <f t="shared" ca="1" si="28"/>
        <v>6.1178616638261953E-5</v>
      </c>
      <c r="L80" s="45">
        <f t="shared" ca="1" si="28"/>
        <v>9.0169285231105618E-6</v>
      </c>
      <c r="M80" s="45">
        <f t="shared" ca="1" si="28"/>
        <v>1.7591096517163295E-5</v>
      </c>
      <c r="N80" s="45">
        <f t="shared" ca="1" si="28"/>
        <v>2.5926977211053657E-6</v>
      </c>
      <c r="O80" s="45">
        <f t="shared" ca="1" si="28"/>
        <v>9.1708624188799909E-2</v>
      </c>
      <c r="P80" s="45">
        <v>0</v>
      </c>
      <c r="Q80" s="22">
        <f t="shared" ca="1" si="31"/>
        <v>9.6568028666320554E-2</v>
      </c>
      <c r="S80" s="45">
        <f t="shared" ca="1" si="29"/>
        <v>2.3387851275001432E-3</v>
      </c>
      <c r="T80" s="45">
        <f t="shared" ca="1" si="29"/>
        <v>0</v>
      </c>
      <c r="U80" s="45">
        <f t="shared" ca="1" si="29"/>
        <v>4.138216070207059E-3</v>
      </c>
      <c r="V80" s="45">
        <f t="shared" ca="1" si="29"/>
        <v>6.0991896464209741E-4</v>
      </c>
      <c r="W80" s="45">
        <f t="shared" ca="1" si="29"/>
        <v>6.1227073307822583E-5</v>
      </c>
      <c r="X80" s="45">
        <f t="shared" ca="1" si="29"/>
        <v>9.0240704029029699E-6</v>
      </c>
      <c r="Y80" s="45">
        <f t="shared" ca="1" si="29"/>
        <v>1.7605029587212612E-5</v>
      </c>
      <c r="Z80" s="45">
        <f t="shared" ca="1" si="29"/>
        <v>2.5947512735334151E-6</v>
      </c>
      <c r="AA80" s="45">
        <f t="shared" ca="1" si="29"/>
        <v>8.9467144517358432E-2</v>
      </c>
      <c r="AB80" s="45">
        <v>0</v>
      </c>
      <c r="AC80" s="22">
        <f t="shared" ca="1" si="32"/>
        <v>9.664451560427921E-2</v>
      </c>
    </row>
    <row r="81" spans="1:29" ht="12" customHeight="1" x14ac:dyDescent="0.25">
      <c r="A81" s="262"/>
      <c r="C81" s="263"/>
      <c r="D81" s="62">
        <f t="shared" si="33"/>
        <v>70</v>
      </c>
      <c r="E81" s="43">
        <f t="shared" si="30"/>
        <v>87.5</v>
      </c>
      <c r="F81" s="44" cm="1">
        <f t="array" ref="F81">_fnGENPOP.U(E81)</f>
        <v>0.64970000000000006</v>
      </c>
      <c r="G81" s="45">
        <f t="shared" ref="G81:O90" ca="1" si="34">PRODUCT(AVERAGE(OFFSET(AB.Trace.MarkovQA.Root, $D81, (G$2-1)*AB.Trace.MarkovQA.NumCols+G$3-1, CHOOSE(swtchHalfCycle, 2, 1))), $F81+G$6, AB.cycleLength)</f>
        <v>2.3163282797554679E-5</v>
      </c>
      <c r="H81" s="45">
        <f t="shared" ca="1" si="34"/>
        <v>0</v>
      </c>
      <c r="I81" s="45">
        <f t="shared" ca="1" si="34"/>
        <v>4.1002450045281424E-3</v>
      </c>
      <c r="J81" s="45">
        <f t="shared" ca="1" si="34"/>
        <v>6.0432252582103723E-4</v>
      </c>
      <c r="K81" s="45">
        <f t="shared" ca="1" si="34"/>
        <v>6.0665271511479257E-5</v>
      </c>
      <c r="L81" s="45">
        <f t="shared" ca="1" si="34"/>
        <v>8.9412681605486571E-6</v>
      </c>
      <c r="M81" s="45">
        <f t="shared" ca="1" si="34"/>
        <v>1.7443490962019011E-5</v>
      </c>
      <c r="N81" s="45">
        <f t="shared" ca="1" si="34"/>
        <v>2.5709425913968975E-6</v>
      </c>
      <c r="O81" s="45">
        <f t="shared" ca="1" si="34"/>
        <v>9.0940381884035318E-2</v>
      </c>
      <c r="P81" s="45">
        <v>0</v>
      </c>
      <c r="Q81" s="22">
        <f t="shared" ca="1" si="31"/>
        <v>9.5757733670407491E-2</v>
      </c>
      <c r="S81" s="45">
        <f t="shared" ref="S81:AA90" ca="1" si="35">PRODUCT(AVERAGE(OFFSET(AB.Trace.MarkovQA.Root, $D81, (S$2-1)*AB.Trace.MarkovQA.NumCols+S$3-1, CHOOSE(swtchHalfCycle, 2, 1))), $F81+S$6, AB.cycleLength)</f>
        <v>2.1979131842637173E-3</v>
      </c>
      <c r="T81" s="45">
        <f t="shared" ca="1" si="35"/>
        <v>0</v>
      </c>
      <c r="U81" s="45">
        <f t="shared" ca="1" si="35"/>
        <v>4.1034926133859378E-3</v>
      </c>
      <c r="V81" s="45">
        <f t="shared" ca="1" si="35"/>
        <v>6.0480118092229437E-4</v>
      </c>
      <c r="W81" s="45">
        <f t="shared" ca="1" si="35"/>
        <v>6.0713321584805029E-5</v>
      </c>
      <c r="X81" s="45">
        <f t="shared" ca="1" si="35"/>
        <v>8.9483501133700242E-6</v>
      </c>
      <c r="Y81" s="45">
        <f t="shared" ca="1" si="35"/>
        <v>1.7457307120735519E-5</v>
      </c>
      <c r="Z81" s="45">
        <f t="shared" ca="1" si="35"/>
        <v>2.5729789126224539E-6</v>
      </c>
      <c r="AA81" s="45">
        <f t="shared" ca="1" si="35"/>
        <v>8.8837679875974074E-2</v>
      </c>
      <c r="AB81" s="45">
        <v>0</v>
      </c>
      <c r="AC81" s="22">
        <f t="shared" ca="1" si="32"/>
        <v>9.5833578812277553E-2</v>
      </c>
    </row>
    <row r="82" spans="1:29" ht="12" customHeight="1" x14ac:dyDescent="0.25">
      <c r="A82" s="262"/>
      <c r="C82" s="263"/>
      <c r="D82" s="62">
        <f t="shared" si="33"/>
        <v>71</v>
      </c>
      <c r="E82" s="43">
        <f t="shared" si="30"/>
        <v>87.75</v>
      </c>
      <c r="F82" s="44" cm="1">
        <f t="array" ref="F82">_fnGENPOP.U(E82)</f>
        <v>0.64970000000000006</v>
      </c>
      <c r="G82" s="45">
        <f t="shared" ca="1" si="34"/>
        <v>2.1768089788561076E-5</v>
      </c>
      <c r="H82" s="45">
        <f t="shared" ca="1" si="34"/>
        <v>0</v>
      </c>
      <c r="I82" s="45">
        <f t="shared" ca="1" si="34"/>
        <v>4.0658401600359049E-3</v>
      </c>
      <c r="J82" s="45">
        <f t="shared" ca="1" si="34"/>
        <v>5.9925170139443166E-4</v>
      </c>
      <c r="K82" s="45">
        <f t="shared" ca="1" si="34"/>
        <v>6.0156233824675948E-5</v>
      </c>
      <c r="L82" s="45">
        <f t="shared" ca="1" si="34"/>
        <v>8.866242658343949E-6</v>
      </c>
      <c r="M82" s="45">
        <f t="shared" ca="1" si="34"/>
        <v>1.7297123953879927E-5</v>
      </c>
      <c r="N82" s="45">
        <f t="shared" ca="1" si="34"/>
        <v>2.5493700073298971E-6</v>
      </c>
      <c r="O82" s="45">
        <f t="shared" ca="1" si="34"/>
        <v>9.0178508876614522E-2</v>
      </c>
      <c r="P82" s="45">
        <v>0</v>
      </c>
      <c r="Q82" s="22">
        <f t="shared" ca="1" si="31"/>
        <v>9.4954237798277649E-2</v>
      </c>
      <c r="S82" s="45">
        <f t="shared" ca="1" si="35"/>
        <v>2.0655263746797436E-3</v>
      </c>
      <c r="T82" s="45">
        <f t="shared" ca="1" si="35"/>
        <v>0</v>
      </c>
      <c r="U82" s="45">
        <f t="shared" ca="1" si="35"/>
        <v>4.0690605184543725E-3</v>
      </c>
      <c r="V82" s="45">
        <f t="shared" ca="1" si="35"/>
        <v>5.9972634013707939E-4</v>
      </c>
      <c r="W82" s="45">
        <f t="shared" ca="1" si="35"/>
        <v>6.0203880713485003E-5</v>
      </c>
      <c r="X82" s="45">
        <f t="shared" ca="1" si="35"/>
        <v>8.8732651870369411E-6</v>
      </c>
      <c r="Y82" s="45">
        <f t="shared" ca="1" si="35"/>
        <v>1.7310824182257735E-5</v>
      </c>
      <c r="Z82" s="45">
        <f t="shared" ca="1" si="35"/>
        <v>2.5513892419386727E-6</v>
      </c>
      <c r="AA82" s="45">
        <f t="shared" ca="1" si="35"/>
        <v>8.8206193936725463E-2</v>
      </c>
      <c r="AB82" s="45">
        <v>0</v>
      </c>
      <c r="AC82" s="22">
        <f t="shared" ca="1" si="32"/>
        <v>9.5029446529321382E-2</v>
      </c>
    </row>
    <row r="83" spans="1:29" ht="12" customHeight="1" x14ac:dyDescent="0.25">
      <c r="A83" s="262"/>
      <c r="C83" s="263"/>
      <c r="D83" s="62">
        <f t="shared" si="33"/>
        <v>72</v>
      </c>
      <c r="E83" s="43">
        <f t="shared" si="30"/>
        <v>88</v>
      </c>
      <c r="F83" s="44" cm="1">
        <f t="array" ref="F83">_fnGENPOP.U(E83)</f>
        <v>0.64970000000000006</v>
      </c>
      <c r="G83" s="45">
        <f t="shared" ca="1" si="34"/>
        <v>2.0456933379619266E-5</v>
      </c>
      <c r="H83" s="45">
        <f t="shared" ca="1" si="34"/>
        <v>0</v>
      </c>
      <c r="I83" s="45">
        <f t="shared" ca="1" si="34"/>
        <v>4.0317240039813651E-3</v>
      </c>
      <c r="J83" s="45">
        <f t="shared" ca="1" si="34"/>
        <v>5.9422342587055069E-4</v>
      </c>
      <c r="K83" s="45">
        <f t="shared" ca="1" si="34"/>
        <v>5.9651467434450245E-5</v>
      </c>
      <c r="L83" s="45">
        <f t="shared" ca="1" si="34"/>
        <v>8.7918466894313868E-6</v>
      </c>
      <c r="M83" s="45">
        <f t="shared" ca="1" si="34"/>
        <v>1.715198510019216E-5</v>
      </c>
      <c r="N83" s="45">
        <f t="shared" ca="1" si="34"/>
        <v>2.5279784371777488E-6</v>
      </c>
      <c r="O83" s="45">
        <f t="shared" ca="1" si="34"/>
        <v>8.9422956358106792E-2</v>
      </c>
      <c r="P83" s="45">
        <v>0</v>
      </c>
      <c r="Q83" s="22">
        <f t="shared" ca="1" si="31"/>
        <v>9.4157483998999578E-2</v>
      </c>
      <c r="S83" s="45">
        <f t="shared" ca="1" si="35"/>
        <v>1.9411136140606267E-3</v>
      </c>
      <c r="T83" s="45">
        <f t="shared" ca="1" si="35"/>
        <v>0</v>
      </c>
      <c r="U83" s="45">
        <f t="shared" ca="1" si="35"/>
        <v>4.0349173406168722E-3</v>
      </c>
      <c r="V83" s="45">
        <f t="shared" ca="1" si="35"/>
        <v>5.9469408195554933E-4</v>
      </c>
      <c r="W83" s="45">
        <f t="shared" ca="1" si="35"/>
        <v>5.9698714521833238E-5</v>
      </c>
      <c r="X83" s="45">
        <f t="shared" ca="1" si="35"/>
        <v>8.798810292619353E-6</v>
      </c>
      <c r="Y83" s="45">
        <f t="shared" ca="1" si="35"/>
        <v>1.7165570370993941E-5</v>
      </c>
      <c r="Z83" s="45">
        <f t="shared" ca="1" si="35"/>
        <v>2.5299807285422471E-6</v>
      </c>
      <c r="AA83" s="45">
        <f t="shared" ca="1" si="35"/>
        <v>8.7573143546744836E-2</v>
      </c>
      <c r="AB83" s="45">
        <v>0</v>
      </c>
      <c r="AC83" s="22">
        <f t="shared" ca="1" si="32"/>
        <v>9.4232061659291877E-2</v>
      </c>
    </row>
    <row r="84" spans="1:29" ht="12" customHeight="1" x14ac:dyDescent="0.25">
      <c r="A84" s="262"/>
      <c r="C84" s="263"/>
      <c r="D84" s="62">
        <f t="shared" si="33"/>
        <v>73</v>
      </c>
      <c r="E84" s="43">
        <f t="shared" si="30"/>
        <v>88.25</v>
      </c>
      <c r="F84" s="44" cm="1">
        <f t="array" ref="F84">_fnGENPOP.U(E84)</f>
        <v>0.64970000000000006</v>
      </c>
      <c r="G84" s="45">
        <f t="shared" ca="1" si="34"/>
        <v>1.9224751797839949E-5</v>
      </c>
      <c r="H84" s="45">
        <f t="shared" ca="1" si="34"/>
        <v>0</v>
      </c>
      <c r="I84" s="45">
        <f t="shared" ca="1" si="34"/>
        <v>3.997894114001763E-3</v>
      </c>
      <c r="J84" s="45">
        <f t="shared" ca="1" si="34"/>
        <v>5.8923734222478242E-4</v>
      </c>
      <c r="K84" s="45">
        <f t="shared" ca="1" si="34"/>
        <v>5.9150936500676887E-5</v>
      </c>
      <c r="L84" s="45">
        <f t="shared" ca="1" si="34"/>
        <v>8.7180749714449188E-6</v>
      </c>
      <c r="M84" s="45">
        <f t="shared" ca="1" si="34"/>
        <v>1.7008064095604977E-5</v>
      </c>
      <c r="N84" s="45">
        <f t="shared" ca="1" si="34"/>
        <v>2.5067663620664375E-6</v>
      </c>
      <c r="O84" s="45">
        <f t="shared" ca="1" si="34"/>
        <v>8.8673675650397799E-2</v>
      </c>
      <c r="P84" s="45">
        <v>0</v>
      </c>
      <c r="Q84" s="22">
        <f t="shared" ca="1" si="31"/>
        <v>9.336741570035198E-2</v>
      </c>
      <c r="S84" s="45">
        <f t="shared" ca="1" si="35"/>
        <v>1.824194601860612E-3</v>
      </c>
      <c r="T84" s="45">
        <f t="shared" ca="1" si="35"/>
        <v>0</v>
      </c>
      <c r="U84" s="45">
        <f t="shared" ca="1" si="35"/>
        <v>4.0010606555920397E-3</v>
      </c>
      <c r="V84" s="45">
        <f t="shared" ca="1" si="35"/>
        <v>5.897040490703098E-4</v>
      </c>
      <c r="W84" s="45">
        <f t="shared" ca="1" si="35"/>
        <v>5.9197787141337221E-5</v>
      </c>
      <c r="X84" s="45">
        <f t="shared" ca="1" si="35"/>
        <v>8.7249801435672944E-6</v>
      </c>
      <c r="Y84" s="45">
        <f t="shared" ca="1" si="35"/>
        <v>1.7021535373431018E-5</v>
      </c>
      <c r="Z84" s="45">
        <f t="shared" ca="1" si="35"/>
        <v>2.5087518523561349E-6</v>
      </c>
      <c r="AA84" s="45">
        <f t="shared" ca="1" si="35"/>
        <v>8.6938955224125966E-2</v>
      </c>
      <c r="AB84" s="45">
        <v>0</v>
      </c>
      <c r="AC84" s="22">
        <f t="shared" ca="1" si="32"/>
        <v>9.3441367585159613E-2</v>
      </c>
    </row>
    <row r="85" spans="1:29" ht="12" customHeight="1" x14ac:dyDescent="0.25">
      <c r="A85" s="262"/>
      <c r="C85" s="263"/>
      <c r="D85" s="62">
        <f t="shared" si="33"/>
        <v>74</v>
      </c>
      <c r="E85" s="43">
        <f t="shared" si="30"/>
        <v>88.5</v>
      </c>
      <c r="F85" s="44" cm="1">
        <f t="array" ref="F85">_fnGENPOP.U(E85)</f>
        <v>0.64970000000000006</v>
      </c>
      <c r="G85" s="45">
        <f t="shared" ca="1" si="34"/>
        <v>1.8066788155880915E-5</v>
      </c>
      <c r="H85" s="45">
        <f t="shared" ca="1" si="34"/>
        <v>0</v>
      </c>
      <c r="I85" s="45">
        <f t="shared" ca="1" si="34"/>
        <v>3.964348088060201E-3</v>
      </c>
      <c r="J85" s="45">
        <f t="shared" ca="1" si="34"/>
        <v>5.8429309642828132E-4</v>
      </c>
      <c r="K85" s="45">
        <f t="shared" ca="1" si="34"/>
        <v>5.8654605483962384E-5</v>
      </c>
      <c r="L85" s="45">
        <f t="shared" ca="1" si="34"/>
        <v>8.64492226634242E-6</v>
      </c>
      <c r="M85" s="45">
        <f t="shared" ca="1" si="34"/>
        <v>1.6865350721239037E-5</v>
      </c>
      <c r="N85" s="45">
        <f t="shared" ca="1" si="34"/>
        <v>2.4857322758667053E-6</v>
      </c>
      <c r="O85" s="45">
        <f t="shared" ca="1" si="34"/>
        <v>8.7930618221414888E-2</v>
      </c>
      <c r="P85" s="45">
        <v>0</v>
      </c>
      <c r="Q85" s="22">
        <f t="shared" ca="1" si="31"/>
        <v>9.2583976804806664E-2</v>
      </c>
      <c r="S85" s="45">
        <f t="shared" ca="1" si="35"/>
        <v>1.7143179674559037E-3</v>
      </c>
      <c r="T85" s="45">
        <f t="shared" ca="1" si="35"/>
        <v>0</v>
      </c>
      <c r="U85" s="45">
        <f t="shared" ca="1" si="35"/>
        <v>3.9674880594404351E-3</v>
      </c>
      <c r="V85" s="45">
        <f t="shared" ca="1" si="35"/>
        <v>5.8475588717210591E-4</v>
      </c>
      <c r="W85" s="45">
        <f t="shared" ca="1" si="35"/>
        <v>5.8701063004454423E-5</v>
      </c>
      <c r="X85" s="45">
        <f t="shared" ca="1" si="35"/>
        <v>8.6517694976898453E-6</v>
      </c>
      <c r="Y85" s="45">
        <f t="shared" ca="1" si="35"/>
        <v>1.6878708962595746E-5</v>
      </c>
      <c r="Z85" s="45">
        <f t="shared" ca="1" si="35"/>
        <v>2.4877011060581445E-6</v>
      </c>
      <c r="AA85" s="45">
        <f t="shared" ca="1" si="35"/>
        <v>8.6304027008324971E-2</v>
      </c>
      <c r="AB85" s="45">
        <v>0</v>
      </c>
      <c r="AC85" s="22">
        <f t="shared" ca="1" si="32"/>
        <v>9.2657308164964217E-2</v>
      </c>
    </row>
    <row r="86" spans="1:29" ht="12" customHeight="1" x14ac:dyDescent="0.25">
      <c r="A86" s="262"/>
      <c r="C86" s="263"/>
      <c r="D86" s="62">
        <f t="shared" si="33"/>
        <v>75</v>
      </c>
      <c r="E86" s="43">
        <f t="shared" si="30"/>
        <v>88.75</v>
      </c>
      <c r="F86" s="44" cm="1">
        <f t="array" ref="F86">_fnGENPOP.U(E86)</f>
        <v>0.64970000000000006</v>
      </c>
      <c r="G86" s="45">
        <f t="shared" ca="1" si="34"/>
        <v>1.6978572087789114E-5</v>
      </c>
      <c r="H86" s="45">
        <f t="shared" ca="1" si="34"/>
        <v>0</v>
      </c>
      <c r="I86" s="45">
        <f t="shared" ca="1" si="34"/>
        <v>3.9310835442750887E-3</v>
      </c>
      <c r="J86" s="45">
        <f t="shared" ca="1" si="34"/>
        <v>5.7939033742283083E-4</v>
      </c>
      <c r="K86" s="45">
        <f t="shared" ca="1" si="34"/>
        <v>5.8162439143121609E-5</v>
      </c>
      <c r="L86" s="45">
        <f t="shared" ca="1" si="34"/>
        <v>8.5723833800337912E-6</v>
      </c>
      <c r="M86" s="45">
        <f t="shared" ca="1" si="34"/>
        <v>1.6723834843960854E-5</v>
      </c>
      <c r="N86" s="45">
        <f t="shared" ca="1" si="34"/>
        <v>2.4648746850871096E-6</v>
      </c>
      <c r="O86" s="45">
        <f t="shared" ca="1" si="34"/>
        <v>8.7193735699707689E-2</v>
      </c>
      <c r="P86" s="45">
        <v>0</v>
      </c>
      <c r="Q86" s="22">
        <f t="shared" ca="1" si="31"/>
        <v>9.1807111685545603E-2</v>
      </c>
      <c r="S86" s="45">
        <f t="shared" ca="1" si="35"/>
        <v>1.6110595276099292E-3</v>
      </c>
      <c r="T86" s="45">
        <f t="shared" ca="1" si="35"/>
        <v>0</v>
      </c>
      <c r="U86" s="45">
        <f t="shared" ca="1" si="35"/>
        <v>3.9341971683938973E-3</v>
      </c>
      <c r="V86" s="45">
        <f t="shared" ca="1" si="35"/>
        <v>5.7984924492466498E-4</v>
      </c>
      <c r="W86" s="45">
        <f t="shared" ca="1" si="35"/>
        <v>5.8208506842086824E-5</v>
      </c>
      <c r="X86" s="45">
        <f t="shared" ca="1" si="35"/>
        <v>8.5791731567829053E-6</v>
      </c>
      <c r="Y86" s="45">
        <f t="shared" ca="1" si="35"/>
        <v>1.6737080997328662E-5</v>
      </c>
      <c r="Z86" s="45">
        <f t="shared" ca="1" si="35"/>
        <v>2.4668269949739101E-6</v>
      </c>
      <c r="AA86" s="45">
        <f t="shared" ca="1" si="35"/>
        <v>8.5668730198908624E-2</v>
      </c>
      <c r="AB86" s="45">
        <v>0</v>
      </c>
      <c r="AC86" s="22">
        <f t="shared" ca="1" si="32"/>
        <v>9.1879827727828295E-2</v>
      </c>
    </row>
    <row r="87" spans="1:29" ht="12" customHeight="1" x14ac:dyDescent="0.25">
      <c r="A87" s="262"/>
      <c r="C87" s="263"/>
      <c r="D87" s="62">
        <f t="shared" si="33"/>
        <v>76</v>
      </c>
      <c r="E87" s="43">
        <f t="shared" si="30"/>
        <v>89</v>
      </c>
      <c r="F87" s="44" cm="1">
        <f t="array" ref="F87">_fnGENPOP.U(E87)</f>
        <v>0.64970000000000006</v>
      </c>
      <c r="G87" s="45">
        <f t="shared" ca="1" si="34"/>
        <v>1.595590249097022E-5</v>
      </c>
      <c r="H87" s="45">
        <f t="shared" ca="1" si="34"/>
        <v>0</v>
      </c>
      <c r="I87" s="45">
        <f t="shared" ca="1" si="34"/>
        <v>3.8980981207510272E-3</v>
      </c>
      <c r="J87" s="45">
        <f t="shared" ca="1" si="34"/>
        <v>5.7452871709591784E-4</v>
      </c>
      <c r="K87" s="45">
        <f t="shared" ca="1" si="34"/>
        <v>5.7674402532675537E-5</v>
      </c>
      <c r="L87" s="45">
        <f t="shared" ca="1" si="34"/>
        <v>8.5004531620121349E-6</v>
      </c>
      <c r="M87" s="45">
        <f t="shared" ca="1" si="34"/>
        <v>1.65835064156633E-5</v>
      </c>
      <c r="N87" s="45">
        <f t="shared" ca="1" si="34"/>
        <v>2.4441921087679819E-6</v>
      </c>
      <c r="O87" s="45">
        <f t="shared" ca="1" si="34"/>
        <v>8.6462979887954108E-2</v>
      </c>
      <c r="P87" s="45">
        <v>0</v>
      </c>
      <c r="Q87" s="22">
        <f t="shared" ca="1" si="31"/>
        <v>9.1036765182511137E-2</v>
      </c>
      <c r="S87" s="45">
        <f t="shared" ca="1" si="35"/>
        <v>1.5140206488966238E-3</v>
      </c>
      <c r="T87" s="45">
        <f t="shared" ca="1" si="35"/>
        <v>0</v>
      </c>
      <c r="U87" s="45">
        <f t="shared" ca="1" si="35"/>
        <v>3.9011856186862794E-3</v>
      </c>
      <c r="V87" s="45">
        <f t="shared" ca="1" si="35"/>
        <v>5.7498377393975001E-4</v>
      </c>
      <c r="W87" s="45">
        <f t="shared" ca="1" si="35"/>
        <v>5.7720083681076767E-5</v>
      </c>
      <c r="X87" s="45">
        <f t="shared" ca="1" si="35"/>
        <v>8.5071859662601151E-6</v>
      </c>
      <c r="Y87" s="45">
        <f t="shared" ca="1" si="35"/>
        <v>1.6596641421564007E-5</v>
      </c>
      <c r="Z87" s="45">
        <f t="shared" ca="1" si="35"/>
        <v>2.4461280369707656E-6</v>
      </c>
      <c r="AA87" s="45">
        <f t="shared" ca="1" si="35"/>
        <v>8.5033410989376043E-2</v>
      </c>
      <c r="AB87" s="45">
        <v>0</v>
      </c>
      <c r="AC87" s="22">
        <f t="shared" ca="1" si="32"/>
        <v>9.1108871070004566E-2</v>
      </c>
    </row>
    <row r="88" spans="1:29" ht="12" customHeight="1" x14ac:dyDescent="0.25">
      <c r="A88" s="262"/>
      <c r="C88" s="263"/>
      <c r="D88" s="62">
        <f t="shared" si="33"/>
        <v>77</v>
      </c>
      <c r="E88" s="43">
        <f t="shared" si="30"/>
        <v>89.25</v>
      </c>
      <c r="F88" s="44" cm="1">
        <f t="array" ref="F88">_fnGENPOP.U(E88)</f>
        <v>0.64970000000000006</v>
      </c>
      <c r="G88" s="45">
        <f t="shared" ca="1" si="34"/>
        <v>1.4994831307660429E-5</v>
      </c>
      <c r="H88" s="45">
        <f t="shared" ca="1" si="34"/>
        <v>0</v>
      </c>
      <c r="I88" s="45">
        <f t="shared" ca="1" si="34"/>
        <v>3.8653894754110984E-3</v>
      </c>
      <c r="J88" s="45">
        <f t="shared" ca="1" si="34"/>
        <v>5.6970789025601433E-4</v>
      </c>
      <c r="K88" s="45">
        <f t="shared" ca="1" si="34"/>
        <v>5.7190461000370019E-5</v>
      </c>
      <c r="L88" s="45">
        <f t="shared" ca="1" si="34"/>
        <v>8.4291265049880799E-6</v>
      </c>
      <c r="M88" s="45">
        <f t="shared" ca="1" si="34"/>
        <v>1.6444355472552137E-5</v>
      </c>
      <c r="N88" s="45">
        <f t="shared" ca="1" si="34"/>
        <v>2.4236830783762736E-6</v>
      </c>
      <c r="O88" s="45">
        <f t="shared" ca="1" si="34"/>
        <v>8.5738302775458478E-2</v>
      </c>
      <c r="P88" s="45">
        <v>0</v>
      </c>
      <c r="Q88" s="22">
        <f t="shared" ca="1" si="31"/>
        <v>9.0272882598489534E-2</v>
      </c>
      <c r="S88" s="45">
        <f t="shared" ca="1" si="35"/>
        <v>1.4228267087598001E-3</v>
      </c>
      <c r="T88" s="45">
        <f t="shared" ca="1" si="35"/>
        <v>0</v>
      </c>
      <c r="U88" s="45">
        <f t="shared" ca="1" si="35"/>
        <v>3.8684510663856181E-3</v>
      </c>
      <c r="V88" s="45">
        <f t="shared" ca="1" si="35"/>
        <v>5.7015912875242331E-4</v>
      </c>
      <c r="W88" s="45">
        <f t="shared" ca="1" si="35"/>
        <v>5.7235758841723681E-5</v>
      </c>
      <c r="X88" s="45">
        <f t="shared" ca="1" si="35"/>
        <v>8.4358028147868504E-6</v>
      </c>
      <c r="Y88" s="45">
        <f t="shared" ca="1" si="35"/>
        <v>1.6457380263615703E-5</v>
      </c>
      <c r="Z88" s="45">
        <f t="shared" ca="1" si="35"/>
        <v>2.4256027623525073E-6</v>
      </c>
      <c r="AA88" s="45">
        <f t="shared" ca="1" si="35"/>
        <v>8.4398392002375824E-2</v>
      </c>
      <c r="AB88" s="45">
        <v>0</v>
      </c>
      <c r="AC88" s="22">
        <f t="shared" ca="1" si="32"/>
        <v>9.0344383450956148E-2</v>
      </c>
    </row>
    <row r="89" spans="1:29" ht="12" customHeight="1" x14ac:dyDescent="0.25">
      <c r="A89" s="262"/>
      <c r="C89" s="263"/>
      <c r="D89" s="62">
        <f t="shared" si="33"/>
        <v>78</v>
      </c>
      <c r="E89" s="43">
        <f t="shared" si="30"/>
        <v>89.5</v>
      </c>
      <c r="F89" s="44" cm="1">
        <f t="array" ref="F89">_fnGENPOP.U(E89)</f>
        <v>0.64970000000000006</v>
      </c>
      <c r="G89" s="45">
        <f t="shared" ca="1" si="34"/>
        <v>1.4091648283288135E-5</v>
      </c>
      <c r="H89" s="45">
        <f t="shared" ca="1" si="34"/>
        <v>0</v>
      </c>
      <c r="I89" s="45">
        <f t="shared" ca="1" si="34"/>
        <v>3.8329552858305778E-3</v>
      </c>
      <c r="J89" s="45">
        <f t="shared" ca="1" si="34"/>
        <v>5.6492751460806819E-4</v>
      </c>
      <c r="K89" s="45">
        <f t="shared" ca="1" si="34"/>
        <v>5.6710580184715305E-5</v>
      </c>
      <c r="L89" s="45">
        <f t="shared" ca="1" si="34"/>
        <v>8.3583983445271215E-6</v>
      </c>
      <c r="M89" s="45">
        <f t="shared" ca="1" si="34"/>
        <v>1.6306372134438576E-5</v>
      </c>
      <c r="N89" s="45">
        <f t="shared" ca="1" si="34"/>
        <v>2.4033461377012856E-6</v>
      </c>
      <c r="O89" s="45">
        <f t="shared" ca="1" si="34"/>
        <v>8.5019656549703837E-2</v>
      </c>
      <c r="P89" s="45">
        <v>0</v>
      </c>
      <c r="Q89" s="22">
        <f t="shared" ca="1" si="31"/>
        <v>8.9515409695227158E-2</v>
      </c>
      <c r="S89" s="45">
        <f t="shared" ca="1" si="35"/>
        <v>1.3371256492674636E-3</v>
      </c>
      <c r="T89" s="45">
        <f t="shared" ca="1" si="35"/>
        <v>0</v>
      </c>
      <c r="U89" s="45">
        <f t="shared" ca="1" si="35"/>
        <v>3.8359911872277025E-3</v>
      </c>
      <c r="V89" s="45">
        <f t="shared" ca="1" si="35"/>
        <v>5.6537496679651741E-4</v>
      </c>
      <c r="W89" s="45">
        <f t="shared" ca="1" si="35"/>
        <v>5.675549793532174E-5</v>
      </c>
      <c r="X89" s="45">
        <f t="shared" ca="1" si="35"/>
        <v>8.365018633917316E-6</v>
      </c>
      <c r="Y89" s="45">
        <f t="shared" ca="1" si="35"/>
        <v>1.6319287635469334E-5</v>
      </c>
      <c r="Z89" s="45">
        <f t="shared" ca="1" si="35"/>
        <v>2.405249713755041E-6</v>
      </c>
      <c r="AA89" s="45">
        <f t="shared" ca="1" si="35"/>
        <v>8.3763973732259772E-2</v>
      </c>
      <c r="AB89" s="45">
        <v>0</v>
      </c>
      <c r="AC89" s="22">
        <f t="shared" ca="1" si="32"/>
        <v>8.958631058946992E-2</v>
      </c>
    </row>
    <row r="90" spans="1:29" ht="12" customHeight="1" x14ac:dyDescent="0.25">
      <c r="A90" s="262"/>
      <c r="C90" s="263"/>
      <c r="D90" s="62">
        <f t="shared" si="33"/>
        <v>79</v>
      </c>
      <c r="E90" s="43">
        <f t="shared" si="30"/>
        <v>89.75</v>
      </c>
      <c r="F90" s="44" cm="1">
        <f t="array" ref="F90">_fnGENPOP.U(E90)</f>
        <v>0.64970000000000006</v>
      </c>
      <c r="G90" s="45">
        <f t="shared" ca="1" si="34"/>
        <v>1.3242866642884563E-5</v>
      </c>
      <c r="H90" s="45">
        <f t="shared" ca="1" si="34"/>
        <v>0</v>
      </c>
      <c r="I90" s="45">
        <f t="shared" ca="1" si="34"/>
        <v>3.8007932490720263E-3</v>
      </c>
      <c r="J90" s="45">
        <f t="shared" ca="1" si="34"/>
        <v>5.6018725072919941E-4</v>
      </c>
      <c r="K90" s="45">
        <f t="shared" ca="1" si="34"/>
        <v>5.623472601254633E-5</v>
      </c>
      <c r="L90" s="45">
        <f t="shared" ca="1" si="34"/>
        <v>8.2882636586900422E-6</v>
      </c>
      <c r="M90" s="45">
        <f t="shared" ca="1" si="34"/>
        <v>1.6169546604037749E-5</v>
      </c>
      <c r="N90" s="45">
        <f t="shared" ca="1" si="34"/>
        <v>2.3831798427512723E-6</v>
      </c>
      <c r="O90" s="45">
        <f t="shared" ca="1" si="34"/>
        <v>8.4306993607017294E-2</v>
      </c>
      <c r="P90" s="45">
        <v>0</v>
      </c>
      <c r="Q90" s="22">
        <f t="shared" ca="1" si="31"/>
        <v>8.876429268957943E-2</v>
      </c>
      <c r="S90" s="45">
        <f t="shared" ca="1" si="35"/>
        <v>1.2565866179777821E-3</v>
      </c>
      <c r="T90" s="45">
        <f t="shared" ca="1" si="35"/>
        <v>0</v>
      </c>
      <c r="U90" s="45">
        <f t="shared" ca="1" si="35"/>
        <v>3.8038036764510507E-3</v>
      </c>
      <c r="V90" s="45">
        <f t="shared" ca="1" si="35"/>
        <v>5.6063094838031146E-4</v>
      </c>
      <c r="W90" s="45">
        <f t="shared" ca="1" si="35"/>
        <v>5.6279266861718129E-5</v>
      </c>
      <c r="X90" s="45">
        <f t="shared" ca="1" si="35"/>
        <v>8.2948283977346581E-6</v>
      </c>
      <c r="Y90" s="45">
        <f t="shared" ca="1" si="35"/>
        <v>1.6182353732080057E-5</v>
      </c>
      <c r="Z90" s="45">
        <f t="shared" ca="1" si="35"/>
        <v>2.3850674460429036E-6</v>
      </c>
      <c r="AA90" s="45">
        <f t="shared" ca="1" si="35"/>
        <v>8.3130435900555549E-2</v>
      </c>
      <c r="AB90" s="45">
        <v>0</v>
      </c>
      <c r="AC90" s="22">
        <f t="shared" ca="1" si="32"/>
        <v>8.8834598659802269E-2</v>
      </c>
    </row>
    <row r="91" spans="1:29" ht="12" customHeight="1" x14ac:dyDescent="0.25">
      <c r="A91" s="262"/>
      <c r="C91" s="263"/>
      <c r="D91" s="62">
        <f t="shared" si="33"/>
        <v>80</v>
      </c>
      <c r="E91" s="43">
        <f t="shared" si="30"/>
        <v>90</v>
      </c>
      <c r="F91" s="44" cm="1">
        <f t="array" ref="F91">_fnGENPOP.U(E91)</f>
        <v>0.64970000000000006</v>
      </c>
      <c r="G91" s="45">
        <f t="shared" ref="G91:O100" ca="1" si="36">PRODUCT(AVERAGE(OFFSET(AB.Trace.MarkovQA.Root, $D91, (G$2-1)*AB.Trace.MarkovQA.NumCols+G$3-1, CHOOSE(swtchHalfCycle, 2, 1))), $F91+G$6, AB.cycleLength)</f>
        <v>1.2445209630246545E-5</v>
      </c>
      <c r="H91" s="45">
        <f t="shared" ca="1" si="36"/>
        <v>0</v>
      </c>
      <c r="I91" s="45">
        <f t="shared" ca="1" si="36"/>
        <v>3.7689010815217801E-3</v>
      </c>
      <c r="J91" s="45">
        <f t="shared" ca="1" si="36"/>
        <v>5.5548676204459941E-4</v>
      </c>
      <c r="K91" s="45">
        <f t="shared" ca="1" si="36"/>
        <v>5.5762864696603361E-5</v>
      </c>
      <c r="L91" s="45">
        <f t="shared" ca="1" si="36"/>
        <v>8.2187174676763394E-6</v>
      </c>
      <c r="M91" s="45">
        <f t="shared" ca="1" si="36"/>
        <v>1.6033869166273043E-5</v>
      </c>
      <c r="N91" s="45">
        <f t="shared" ca="1" si="36"/>
        <v>2.3631827616509128E-6</v>
      </c>
      <c r="O91" s="45">
        <f t="shared" ca="1" si="36"/>
        <v>8.3600266562403269E-2</v>
      </c>
      <c r="P91" s="45">
        <v>0</v>
      </c>
      <c r="Q91" s="22">
        <f t="shared" ca="1" si="31"/>
        <v>8.8019478249692099E-2</v>
      </c>
      <c r="S91" s="45">
        <f t="shared" ref="S91:AA100" ca="1" si="37">PRODUCT(AVERAGE(OFFSET(AB.Trace.MarkovQA.Root, $D91, (S$2-1)*AB.Trace.MarkovQA.NumCols+S$3-1, CHOOSE(swtchHalfCycle, 2, 1))), $F91+S$6, AB.cycleLength)</f>
        <v>1.1808986906697153E-3</v>
      </c>
      <c r="T91" s="45">
        <f t="shared" ca="1" si="37"/>
        <v>0</v>
      </c>
      <c r="U91" s="45">
        <f t="shared" ca="1" si="37"/>
        <v>3.7718862486332558E-3</v>
      </c>
      <c r="V91" s="45">
        <f t="shared" ca="1" si="37"/>
        <v>5.5592673666241194E-4</v>
      </c>
      <c r="W91" s="45">
        <f t="shared" ca="1" si="37"/>
        <v>5.5807031806891847E-5</v>
      </c>
      <c r="X91" s="45">
        <f t="shared" ca="1" si="37"/>
        <v>8.225227122494106E-6</v>
      </c>
      <c r="Y91" s="45">
        <f t="shared" ca="1" si="37"/>
        <v>1.6046568830676425E-5</v>
      </c>
      <c r="Z91" s="45">
        <f t="shared" ca="1" si="37"/>
        <v>2.365054526206654E-6</v>
      </c>
      <c r="AA91" s="45">
        <f t="shared" ca="1" si="37"/>
        <v>8.2498038729605622E-2</v>
      </c>
      <c r="AB91" s="45">
        <v>0</v>
      </c>
      <c r="AC91" s="22">
        <f t="shared" ca="1" si="32"/>
        <v>8.8089194287857275E-2</v>
      </c>
    </row>
    <row r="92" spans="1:29" ht="12" customHeight="1" x14ac:dyDescent="0.25">
      <c r="A92" s="262"/>
      <c r="C92" s="263"/>
      <c r="D92" s="62">
        <f t="shared" si="33"/>
        <v>81</v>
      </c>
      <c r="E92" s="43">
        <f t="shared" si="30"/>
        <v>90.25</v>
      </c>
      <c r="F92" s="44" cm="1">
        <f t="array" ref="F92">_fnGENPOP.U(E92)</f>
        <v>0.64970000000000006</v>
      </c>
      <c r="G92" s="45">
        <f t="shared" ca="1" si="36"/>
        <v>1.1695597857885296E-5</v>
      </c>
      <c r="H92" s="45">
        <f t="shared" ca="1" si="36"/>
        <v>0</v>
      </c>
      <c r="I92" s="45">
        <f t="shared" ca="1" si="36"/>
        <v>3.7372765187278054E-3</v>
      </c>
      <c r="J92" s="45">
        <f t="shared" ca="1" si="36"/>
        <v>5.5082571480363329E-4</v>
      </c>
      <c r="K92" s="45">
        <f t="shared" ca="1" si="36"/>
        <v>5.5294962733132984E-5</v>
      </c>
      <c r="L92" s="45">
        <f t="shared" ca="1" si="36"/>
        <v>8.1497548334706355E-6</v>
      </c>
      <c r="M92" s="45">
        <f t="shared" ca="1" si="36"/>
        <v>1.589933018758633E-5</v>
      </c>
      <c r="N92" s="45">
        <f t="shared" ca="1" si="36"/>
        <v>2.3433534745396437E-6</v>
      </c>
      <c r="O92" s="45">
        <f t="shared" ca="1" si="36"/>
        <v>8.2899428258596378E-2</v>
      </c>
      <c r="P92" s="45">
        <v>0</v>
      </c>
      <c r="Q92" s="22">
        <f t="shared" ca="1" si="31"/>
        <v>8.7280913491214432E-2</v>
      </c>
      <c r="S92" s="45">
        <f t="shared" ca="1" si="37"/>
        <v>1.109769671007355E-3</v>
      </c>
      <c r="T92" s="45">
        <f t="shared" ca="1" si="37"/>
        <v>0</v>
      </c>
      <c r="U92" s="45">
        <f t="shared" ca="1" si="37"/>
        <v>3.7402366375287183E-3</v>
      </c>
      <c r="V92" s="45">
        <f t="shared" ca="1" si="37"/>
        <v>5.5126199762783597E-4</v>
      </c>
      <c r="W92" s="45">
        <f t="shared" ca="1" si="37"/>
        <v>5.5338759240552736E-5</v>
      </c>
      <c r="X92" s="45">
        <f t="shared" ca="1" si="37"/>
        <v>8.1562098662691176E-6</v>
      </c>
      <c r="Y92" s="45">
        <f t="shared" ca="1" si="37"/>
        <v>1.5911923290070016E-5</v>
      </c>
      <c r="Z92" s="45">
        <f t="shared" ca="1" si="37"/>
        <v>2.3452095332611248E-6</v>
      </c>
      <c r="AA92" s="45">
        <f t="shared" ca="1" si="37"/>
        <v>8.1867024139303024E-2</v>
      </c>
      <c r="AB92" s="45">
        <v>0</v>
      </c>
      <c r="AC92" s="22">
        <f t="shared" ca="1" si="32"/>
        <v>8.7350044547397088E-2</v>
      </c>
    </row>
    <row r="93" spans="1:29" ht="12" customHeight="1" x14ac:dyDescent="0.25">
      <c r="A93" s="262"/>
      <c r="C93" s="263"/>
      <c r="D93" s="62">
        <f t="shared" si="33"/>
        <v>82</v>
      </c>
      <c r="E93" s="43">
        <f t="shared" si="30"/>
        <v>90.5</v>
      </c>
      <c r="F93" s="44" cm="1">
        <f t="array" ref="F93">_fnGENPOP.U(E93)</f>
        <v>0.64970000000000006</v>
      </c>
      <c r="G93" s="45">
        <f t="shared" ca="1" si="36"/>
        <v>1.0991137418925203E-5</v>
      </c>
      <c r="H93" s="45">
        <f t="shared" ca="1" si="36"/>
        <v>0</v>
      </c>
      <c r="I93" s="45">
        <f t="shared" ca="1" si="36"/>
        <v>3.7059173152389109E-3</v>
      </c>
      <c r="J93" s="45">
        <f t="shared" ca="1" si="36"/>
        <v>5.462037780561424E-4</v>
      </c>
      <c r="K93" s="45">
        <f t="shared" ca="1" si="36"/>
        <v>5.4830986899509246E-5</v>
      </c>
      <c r="L93" s="45">
        <f t="shared" ca="1" si="36"/>
        <v>8.0813708594920648E-6</v>
      </c>
      <c r="M93" s="45">
        <f t="shared" ca="1" si="36"/>
        <v>1.5765920115253936E-5</v>
      </c>
      <c r="N93" s="45">
        <f t="shared" ca="1" si="36"/>
        <v>2.3236905734708426E-6</v>
      </c>
      <c r="O93" s="45">
        <f t="shared" ca="1" si="36"/>
        <v>8.220443177438258E-2</v>
      </c>
      <c r="P93" s="45">
        <v>0</v>
      </c>
      <c r="Q93" s="22">
        <f t="shared" ca="1" si="31"/>
        <v>8.6548545973544291E-2</v>
      </c>
      <c r="S93" s="45">
        <f t="shared" ca="1" si="37"/>
        <v>1.0429249625040315E-3</v>
      </c>
      <c r="T93" s="45">
        <f t="shared" ca="1" si="37"/>
        <v>0</v>
      </c>
      <c r="U93" s="45">
        <f t="shared" ca="1" si="37"/>
        <v>3.7088525959077341E-3</v>
      </c>
      <c r="V93" s="45">
        <f t="shared" ca="1" si="37"/>
        <v>5.4663640006429504E-4</v>
      </c>
      <c r="W93" s="45">
        <f t="shared" ca="1" si="37"/>
        <v>5.4874415913760806E-5</v>
      </c>
      <c r="X93" s="45">
        <f t="shared" ca="1" si="37"/>
        <v>8.0877717286004801E-6</v>
      </c>
      <c r="Y93" s="45">
        <f t="shared" ca="1" si="37"/>
        <v>1.57784075499709E-5</v>
      </c>
      <c r="Z93" s="45">
        <f t="shared" ca="1" si="37"/>
        <v>2.3255310581445265E-6</v>
      </c>
      <c r="AA93" s="45">
        <f t="shared" ca="1" si="37"/>
        <v>8.1237616871557242E-2</v>
      </c>
      <c r="AB93" s="45">
        <v>0</v>
      </c>
      <c r="AC93" s="22">
        <f t="shared" ca="1" si="32"/>
        <v>8.6617096956283779E-2</v>
      </c>
    </row>
    <row r="94" spans="1:29" ht="12" customHeight="1" x14ac:dyDescent="0.25">
      <c r="A94" s="262"/>
      <c r="C94" s="263"/>
      <c r="D94" s="62">
        <f t="shared" si="33"/>
        <v>83</v>
      </c>
      <c r="E94" s="43">
        <f t="shared" si="30"/>
        <v>90.75</v>
      </c>
      <c r="F94" s="44" cm="1">
        <f t="array" ref="F94">_fnGENPOP.U(E94)</f>
        <v>0.64970000000000006</v>
      </c>
      <c r="G94" s="45">
        <f t="shared" ca="1" si="36"/>
        <v>1.0329108715058095E-5</v>
      </c>
      <c r="H94" s="45">
        <f t="shared" ca="1" si="36"/>
        <v>0</v>
      </c>
      <c r="I94" s="45">
        <f t="shared" ca="1" si="36"/>
        <v>3.6748212444453168E-3</v>
      </c>
      <c r="J94" s="45">
        <f t="shared" ca="1" si="36"/>
        <v>5.4162062362894572E-4</v>
      </c>
      <c r="K94" s="45">
        <f t="shared" ca="1" si="36"/>
        <v>5.4370904251874723E-5</v>
      </c>
      <c r="L94" s="45">
        <f t="shared" ca="1" si="36"/>
        <v>8.0135606902465994E-6</v>
      </c>
      <c r="M94" s="45">
        <f t="shared" ca="1" si="36"/>
        <v>1.5633629476708355E-5</v>
      </c>
      <c r="N94" s="45">
        <f t="shared" ca="1" si="36"/>
        <v>2.3041926623118625E-6</v>
      </c>
      <c r="O94" s="45">
        <f t="shared" ca="1" si="36"/>
        <v>8.1515230432234173E-2</v>
      </c>
      <c r="P94" s="45">
        <v>0</v>
      </c>
      <c r="Q94" s="22">
        <f t="shared" ca="1" si="31"/>
        <v>8.5822323696104638E-2</v>
      </c>
      <c r="S94" s="45">
        <f t="shared" ca="1" si="37"/>
        <v>9.8010650843135812E-4</v>
      </c>
      <c r="T94" s="45">
        <f t="shared" ca="1" si="37"/>
        <v>0</v>
      </c>
      <c r="U94" s="45">
        <f t="shared" ca="1" si="37"/>
        <v>3.6777318953969307E-3</v>
      </c>
      <c r="V94" s="45">
        <f t="shared" ca="1" si="37"/>
        <v>5.4204961553867793E-4</v>
      </c>
      <c r="W94" s="45">
        <f t="shared" ca="1" si="37"/>
        <v>5.4413968856565358E-5</v>
      </c>
      <c r="X94" s="45">
        <f t="shared" ca="1" si="37"/>
        <v>8.0199078501483582E-6</v>
      </c>
      <c r="Y94" s="45">
        <f t="shared" ca="1" si="37"/>
        <v>1.5646012130308811E-5</v>
      </c>
      <c r="Z94" s="45">
        <f t="shared" ca="1" si="37"/>
        <v>2.3060177036184014E-6</v>
      </c>
      <c r="AA94" s="45">
        <f t="shared" ca="1" si="37"/>
        <v>8.0610025546845557E-2</v>
      </c>
      <c r="AB94" s="45">
        <v>0</v>
      </c>
      <c r="AC94" s="22">
        <f t="shared" ca="1" si="32"/>
        <v>8.5890299472753159E-2</v>
      </c>
    </row>
    <row r="95" spans="1:29" ht="12" customHeight="1" x14ac:dyDescent="0.25">
      <c r="A95" s="262"/>
      <c r="C95" s="263"/>
      <c r="D95" s="62">
        <f t="shared" si="33"/>
        <v>84</v>
      </c>
      <c r="E95" s="43">
        <f t="shared" si="30"/>
        <v>91</v>
      </c>
      <c r="F95" s="44" cm="1">
        <f t="array" ref="F95">_fnGENPOP.U(E95)</f>
        <v>0.64970000000000006</v>
      </c>
      <c r="G95" s="45">
        <f t="shared" ca="1" si="36"/>
        <v>9.7069559574228386E-6</v>
      </c>
      <c r="H95" s="45">
        <f t="shared" ca="1" si="36"/>
        <v>0</v>
      </c>
      <c r="I95" s="45">
        <f t="shared" ca="1" si="36"/>
        <v>3.6439860984205587E-3</v>
      </c>
      <c r="J95" s="45">
        <f t="shared" ca="1" si="36"/>
        <v>5.3707592610253844E-4</v>
      </c>
      <c r="K95" s="45">
        <f t="shared" ca="1" si="36"/>
        <v>5.3914682122801405E-5</v>
      </c>
      <c r="L95" s="45">
        <f t="shared" ca="1" si="36"/>
        <v>7.9463195109822959E-6</v>
      </c>
      <c r="M95" s="45">
        <f t="shared" ca="1" si="36"/>
        <v>1.5502448878865689E-5</v>
      </c>
      <c r="N95" s="45">
        <f t="shared" ca="1" si="36"/>
        <v>2.2848583566448975E-6</v>
      </c>
      <c r="O95" s="45">
        <f t="shared" ca="1" si="36"/>
        <v>8.0831777805301472E-2</v>
      </c>
      <c r="P95" s="45">
        <v>0</v>
      </c>
      <c r="Q95" s="22">
        <f t="shared" ca="1" si="31"/>
        <v>8.5102195094651292E-2</v>
      </c>
      <c r="S95" s="45">
        <f t="shared" ca="1" si="37"/>
        <v>9.2107179558068562E-4</v>
      </c>
      <c r="T95" s="45">
        <f t="shared" ca="1" si="37"/>
        <v>0</v>
      </c>
      <c r="U95" s="45">
        <f t="shared" ca="1" si="37"/>
        <v>3.6468723263210494E-3</v>
      </c>
      <c r="V95" s="45">
        <f t="shared" ca="1" si="37"/>
        <v>5.375013183737305E-4</v>
      </c>
      <c r="W95" s="45">
        <f t="shared" ca="1" si="37"/>
        <v>5.3957385375664071E-5</v>
      </c>
      <c r="X95" s="45">
        <f t="shared" ca="1" si="37"/>
        <v>7.9526134123472732E-6</v>
      </c>
      <c r="Y95" s="45">
        <f t="shared" ca="1" si="37"/>
        <v>1.5514727630560026E-5</v>
      </c>
      <c r="Z95" s="45">
        <f t="shared" ca="1" si="37"/>
        <v>2.2866680841684129E-6</v>
      </c>
      <c r="AA95" s="45">
        <f t="shared" ca="1" si="37"/>
        <v>7.9984443656941295E-2</v>
      </c>
      <c r="AB95" s="45">
        <v>0</v>
      </c>
      <c r="AC95" s="22">
        <f t="shared" ca="1" si="32"/>
        <v>8.5169600491719497E-2</v>
      </c>
    </row>
    <row r="96" spans="1:29" ht="12" customHeight="1" x14ac:dyDescent="0.25">
      <c r="A96" s="262"/>
      <c r="C96" s="263"/>
      <c r="D96" s="62">
        <f t="shared" si="33"/>
        <v>85</v>
      </c>
      <c r="E96" s="43">
        <f t="shared" si="30"/>
        <v>91.25</v>
      </c>
      <c r="F96" s="44" cm="1">
        <f t="array" ref="F96">_fnGENPOP.U(E96)</f>
        <v>0.64970000000000006</v>
      </c>
      <c r="G96" s="45">
        <f t="shared" ca="1" si="36"/>
        <v>9.1222772998780282E-6</v>
      </c>
      <c r="H96" s="45">
        <f t="shared" ca="1" si="36"/>
        <v>0</v>
      </c>
      <c r="I96" s="45">
        <f t="shared" ca="1" si="36"/>
        <v>3.6134096877647125E-3</v>
      </c>
      <c r="J96" s="45">
        <f t="shared" ca="1" si="36"/>
        <v>5.3256936278798638E-4</v>
      </c>
      <c r="K96" s="45">
        <f t="shared" ca="1" si="36"/>
        <v>5.346228811897117E-5</v>
      </c>
      <c r="L96" s="45">
        <f t="shared" ca="1" si="36"/>
        <v>7.8796425473474252E-6</v>
      </c>
      <c r="M96" s="45">
        <f t="shared" ca="1" si="36"/>
        <v>1.5372369007458685E-5</v>
      </c>
      <c r="N96" s="45">
        <f t="shared" ca="1" si="36"/>
        <v>2.2656862836686868E-6</v>
      </c>
      <c r="O96" s="45">
        <f t="shared" ca="1" si="36"/>
        <v>8.015402772380173E-2</v>
      </c>
      <c r="P96" s="45">
        <v>0</v>
      </c>
      <c r="Q96" s="22">
        <f t="shared" ca="1" si="31"/>
        <v>8.438810903761175E-2</v>
      </c>
      <c r="S96" s="45">
        <f t="shared" ca="1" si="37"/>
        <v>8.6559291803095355E-4</v>
      </c>
      <c r="T96" s="45">
        <f t="shared" ca="1" si="37"/>
        <v>0</v>
      </c>
      <c r="U96" s="45">
        <f t="shared" ca="1" si="37"/>
        <v>3.6162716975460477E-3</v>
      </c>
      <c r="V96" s="45">
        <f t="shared" ca="1" si="37"/>
        <v>5.3299118562493179E-4</v>
      </c>
      <c r="W96" s="45">
        <f t="shared" ca="1" si="37"/>
        <v>5.3504633052081616E-5</v>
      </c>
      <c r="X96" s="45">
        <f t="shared" ca="1" si="37"/>
        <v>7.8858836370639612E-6</v>
      </c>
      <c r="Y96" s="45">
        <f t="shared" ca="1" si="37"/>
        <v>1.5384544729079905E-5</v>
      </c>
      <c r="Z96" s="45">
        <f t="shared" ca="1" si="37"/>
        <v>2.2674808259059688E-6</v>
      </c>
      <c r="AA96" s="45">
        <f t="shared" ca="1" si="37"/>
        <v>7.9361050497665342E-2</v>
      </c>
      <c r="AB96" s="45">
        <v>0</v>
      </c>
      <c r="AC96" s="22">
        <f t="shared" ca="1" si="32"/>
        <v>8.4454948841111405E-2</v>
      </c>
    </row>
    <row r="97" spans="1:29" ht="12" customHeight="1" x14ac:dyDescent="0.25">
      <c r="A97" s="262"/>
      <c r="C97" s="263"/>
      <c r="D97" s="62">
        <f t="shared" si="33"/>
        <v>86</v>
      </c>
      <c r="E97" s="43">
        <f t="shared" si="30"/>
        <v>91.5</v>
      </c>
      <c r="F97" s="44" cm="1">
        <f t="array" ref="F97">_fnGENPOP.U(E97)</f>
        <v>0.64970000000000006</v>
      </c>
      <c r="G97" s="45">
        <f t="shared" ca="1" si="36"/>
        <v>8.5728155665768026E-6</v>
      </c>
      <c r="H97" s="45">
        <f t="shared" ca="1" si="36"/>
        <v>0</v>
      </c>
      <c r="I97" s="45">
        <f t="shared" ca="1" si="36"/>
        <v>3.5830898414489446E-3</v>
      </c>
      <c r="J97" s="45">
        <f t="shared" ca="1" si="36"/>
        <v>5.2810061370401316E-4</v>
      </c>
      <c r="K97" s="45">
        <f t="shared" ca="1" si="36"/>
        <v>5.3013690118875798E-5</v>
      </c>
      <c r="L97" s="45">
        <f t="shared" ca="1" si="36"/>
        <v>7.8135250650514856E-6</v>
      </c>
      <c r="M97" s="45">
        <f t="shared" ca="1" si="36"/>
        <v>1.5243380626375402E-5</v>
      </c>
      <c r="N97" s="45">
        <f t="shared" ca="1" si="36"/>
        <v>2.2466750821010413E-6</v>
      </c>
      <c r="O97" s="45">
        <f t="shared" ca="1" si="36"/>
        <v>7.9481934280842756E-2</v>
      </c>
      <c r="P97" s="45">
        <v>0</v>
      </c>
      <c r="Q97" s="22">
        <f t="shared" ca="1" si="31"/>
        <v>8.3680014822454699E-2</v>
      </c>
      <c r="S97" s="45">
        <f t="shared" ca="1" si="37"/>
        <v>8.1345569730856737E-4</v>
      </c>
      <c r="T97" s="45">
        <f t="shared" ca="1" si="37"/>
        <v>0</v>
      </c>
      <c r="U97" s="45">
        <f t="shared" ca="1" si="37"/>
        <v>3.5859278363235231E-3</v>
      </c>
      <c r="V97" s="45">
        <f t="shared" ca="1" si="37"/>
        <v>5.285188970575636E-4</v>
      </c>
      <c r="W97" s="45">
        <f t="shared" ca="1" si="37"/>
        <v>5.3055679738867846E-5</v>
      </c>
      <c r="X97" s="45">
        <f t="shared" ca="1" si="37"/>
        <v>7.8197137862581076E-6</v>
      </c>
      <c r="Y97" s="45">
        <f t="shared" ca="1" si="37"/>
        <v>1.5255454182441023E-5</v>
      </c>
      <c r="Z97" s="45">
        <f t="shared" ca="1" si="37"/>
        <v>2.2484545664706736E-6</v>
      </c>
      <c r="AA97" s="45">
        <f t="shared" ca="1" si="37"/>
        <v>7.8740012045274782E-2</v>
      </c>
      <c r="AB97" s="45">
        <v>0</v>
      </c>
      <c r="AC97" s="22">
        <f t="shared" ca="1" si="32"/>
        <v>8.3746293778238473E-2</v>
      </c>
    </row>
    <row r="98" spans="1:29" ht="12" customHeight="1" x14ac:dyDescent="0.25">
      <c r="A98" s="262"/>
      <c r="C98" s="263"/>
      <c r="D98" s="62">
        <f t="shared" si="33"/>
        <v>87</v>
      </c>
      <c r="E98" s="43">
        <f t="shared" si="30"/>
        <v>91.75</v>
      </c>
      <c r="F98" s="44" cm="1">
        <f t="array" ref="F98">_fnGENPOP.U(E98)</f>
        <v>0.64970000000000006</v>
      </c>
      <c r="G98" s="45">
        <f t="shared" ca="1" si="36"/>
        <v>8.0564495380472818E-6</v>
      </c>
      <c r="H98" s="45">
        <f t="shared" ca="1" si="36"/>
        <v>0</v>
      </c>
      <c r="I98" s="45">
        <f t="shared" ca="1" si="36"/>
        <v>3.5530244066613583E-3</v>
      </c>
      <c r="J98" s="45">
        <f t="shared" ca="1" si="36"/>
        <v>5.2366936155428157E-4</v>
      </c>
      <c r="K98" s="45">
        <f t="shared" ca="1" si="36"/>
        <v>5.2568856270536161E-5</v>
      </c>
      <c r="L98" s="45">
        <f t="shared" ca="1" si="36"/>
        <v>7.7479623695290453E-6</v>
      </c>
      <c r="M98" s="45">
        <f t="shared" ca="1" si="36"/>
        <v>1.5115474577003411E-5</v>
      </c>
      <c r="N98" s="45">
        <f t="shared" ca="1" si="36"/>
        <v>2.2278234020821868E-6</v>
      </c>
      <c r="O98" s="45">
        <f t="shared" ca="1" si="36"/>
        <v>7.8815451837716988E-2</v>
      </c>
      <c r="P98" s="45">
        <v>0</v>
      </c>
      <c r="Q98" s="22">
        <f t="shared" ca="1" si="31"/>
        <v>8.2977862172089828E-2</v>
      </c>
      <c r="S98" s="45">
        <f t="shared" ca="1" si="37"/>
        <v>7.6445885554265254E-4</v>
      </c>
      <c r="T98" s="45">
        <f t="shared" ca="1" si="37"/>
        <v>0</v>
      </c>
      <c r="U98" s="45">
        <f t="shared" ca="1" si="37"/>
        <v>3.5558385881364393E-3</v>
      </c>
      <c r="V98" s="45">
        <f t="shared" ca="1" si="37"/>
        <v>5.240841351239735E-4</v>
      </c>
      <c r="W98" s="45">
        <f t="shared" ca="1" si="37"/>
        <v>5.261049355881523E-5</v>
      </c>
      <c r="X98" s="45">
        <f t="shared" ca="1" si="37"/>
        <v>7.7540991616459429E-6</v>
      </c>
      <c r="Y98" s="45">
        <f t="shared" ca="1" si="37"/>
        <v>1.5127446824776856E-5</v>
      </c>
      <c r="Z98" s="45">
        <f t="shared" ca="1" si="37"/>
        <v>2.2295879549335929E-6</v>
      </c>
      <c r="AA98" s="45">
        <f t="shared" ca="1" si="37"/>
        <v>7.8121481779885107E-2</v>
      </c>
      <c r="AB98" s="45">
        <v>0</v>
      </c>
      <c r="AC98" s="22">
        <f t="shared" ca="1" si="32"/>
        <v>8.3043584986188343E-2</v>
      </c>
    </row>
    <row r="99" spans="1:29" ht="12" customHeight="1" x14ac:dyDescent="0.25">
      <c r="A99" s="262"/>
      <c r="C99" s="263"/>
      <c r="D99" s="62">
        <f t="shared" si="33"/>
        <v>88</v>
      </c>
      <c r="E99" s="43">
        <f t="shared" si="30"/>
        <v>92</v>
      </c>
      <c r="F99" s="44" cm="1">
        <f t="array" ref="F99">_fnGENPOP.U(E99)</f>
        <v>0.64970000000000006</v>
      </c>
      <c r="G99" s="45">
        <f t="shared" ca="1" si="36"/>
        <v>7.5711857621381124E-6</v>
      </c>
      <c r="H99" s="45">
        <f t="shared" ca="1" si="36"/>
        <v>0</v>
      </c>
      <c r="I99" s="45">
        <f t="shared" ca="1" si="36"/>
        <v>3.523211248654139E-3</v>
      </c>
      <c r="J99" s="45">
        <f t="shared" ca="1" si="36"/>
        <v>5.1927529170486342E-4</v>
      </c>
      <c r="K99" s="45">
        <f t="shared" ca="1" si="36"/>
        <v>5.2127754989240726E-5</v>
      </c>
      <c r="L99" s="45">
        <f t="shared" ca="1" si="36"/>
        <v>7.6829498056064086E-6</v>
      </c>
      <c r="M99" s="45">
        <f t="shared" ca="1" si="36"/>
        <v>1.498864177757951E-5</v>
      </c>
      <c r="N99" s="45">
        <f t="shared" ca="1" si="36"/>
        <v>2.2091299050789203E-6</v>
      </c>
      <c r="O99" s="45">
        <f t="shared" ca="1" si="36"/>
        <v>7.8154535028699526E-2</v>
      </c>
      <c r="P99" s="45">
        <v>0</v>
      </c>
      <c r="Q99" s="22">
        <f t="shared" ca="1" si="31"/>
        <v>8.2281601231298171E-2</v>
      </c>
      <c r="S99" s="45">
        <f t="shared" ca="1" si="37"/>
        <v>7.1841323842360778E-4</v>
      </c>
      <c r="T99" s="45">
        <f t="shared" ca="1" si="37"/>
        <v>0</v>
      </c>
      <c r="U99" s="45">
        <f t="shared" ca="1" si="37"/>
        <v>3.5260018165461497E-3</v>
      </c>
      <c r="V99" s="45">
        <f t="shared" ca="1" si="37"/>
        <v>5.1968658494102671E-4</v>
      </c>
      <c r="W99" s="45">
        <f t="shared" ca="1" si="37"/>
        <v>5.2169042902195456E-5</v>
      </c>
      <c r="X99" s="45">
        <f t="shared" ca="1" si="37"/>
        <v>7.6890351043666338E-6</v>
      </c>
      <c r="Y99" s="45">
        <f t="shared" ca="1" si="37"/>
        <v>1.5000513567130969E-5</v>
      </c>
      <c r="Z99" s="45">
        <f t="shared" ca="1" si="37"/>
        <v>2.2108796517013372E-6</v>
      </c>
      <c r="AA99" s="45">
        <f t="shared" ca="1" si="37"/>
        <v>7.7505601459117876E-2</v>
      </c>
      <c r="AB99" s="45">
        <v>0</v>
      </c>
      <c r="AC99" s="22">
        <f t="shared" ca="1" si="32"/>
        <v>8.2346772570254051E-2</v>
      </c>
    </row>
    <row r="100" spans="1:29" ht="12" customHeight="1" x14ac:dyDescent="0.25">
      <c r="A100" s="262"/>
      <c r="C100" s="263"/>
      <c r="D100" s="62">
        <f t="shared" si="33"/>
        <v>89</v>
      </c>
      <c r="E100" s="43">
        <f t="shared" si="30"/>
        <v>92.25</v>
      </c>
      <c r="F100" s="44" cm="1">
        <f t="array" ref="F100">_fnGENPOP.U(E100)</f>
        <v>0.64970000000000006</v>
      </c>
      <c r="G100" s="45">
        <f t="shared" ca="1" si="36"/>
        <v>7.11515085821499E-6</v>
      </c>
      <c r="H100" s="45">
        <f t="shared" ca="1" si="36"/>
        <v>0</v>
      </c>
      <c r="I100" s="45">
        <f t="shared" ca="1" si="36"/>
        <v>3.4936482505919788E-3</v>
      </c>
      <c r="J100" s="45">
        <f t="shared" ca="1" si="36"/>
        <v>5.1491809216190024E-4</v>
      </c>
      <c r="K100" s="45">
        <f t="shared" ca="1" si="36"/>
        <v>5.169035495530283E-5</v>
      </c>
      <c r="L100" s="45">
        <f t="shared" ca="1" si="36"/>
        <v>7.6184827571710964E-6</v>
      </c>
      <c r="M100" s="45">
        <f t="shared" ca="1" si="36"/>
        <v>1.4862873222544875E-5</v>
      </c>
      <c r="N100" s="45">
        <f t="shared" ca="1" si="36"/>
        <v>2.190593263789569E-6</v>
      </c>
      <c r="O100" s="45">
        <f t="shared" ca="1" si="36"/>
        <v>7.7499138765381143E-2</v>
      </c>
      <c r="P100" s="45">
        <v>0</v>
      </c>
      <c r="Q100" s="22">
        <f t="shared" ca="1" si="31"/>
        <v>8.1591182563192047E-2</v>
      </c>
      <c r="S100" s="45">
        <f t="shared" ca="1" si="37"/>
        <v>6.7514108496516596E-4</v>
      </c>
      <c r="T100" s="45">
        <f t="shared" ca="1" si="37"/>
        <v>0</v>
      </c>
      <c r="U100" s="45">
        <f t="shared" ca="1" si="37"/>
        <v>3.4964154030407012E-3</v>
      </c>
      <c r="V100" s="45">
        <f t="shared" ca="1" si="37"/>
        <v>5.1532593426774928E-4</v>
      </c>
      <c r="W100" s="45">
        <f t="shared" ca="1" si="37"/>
        <v>5.1731296424515037E-5</v>
      </c>
      <c r="X100" s="45">
        <f t="shared" ca="1" si="37"/>
        <v>7.6245169946514971E-6</v>
      </c>
      <c r="Y100" s="45">
        <f t="shared" ca="1" si="37"/>
        <v>1.4874645396811661E-5</v>
      </c>
      <c r="Z100" s="45">
        <f t="shared" ca="1" si="37"/>
        <v>2.1923283284209394E-6</v>
      </c>
      <c r="AA100" s="45">
        <f t="shared" ca="1" si="37"/>
        <v>7.6892501844973343E-2</v>
      </c>
      <c r="AB100" s="45">
        <v>0</v>
      </c>
      <c r="AC100" s="22">
        <f t="shared" ca="1" si="32"/>
        <v>8.1655807054391363E-2</v>
      </c>
    </row>
    <row r="101" spans="1:29" ht="12" customHeight="1" x14ac:dyDescent="0.25">
      <c r="A101" s="262"/>
      <c r="C101" s="263"/>
      <c r="D101" s="62">
        <f t="shared" si="33"/>
        <v>90</v>
      </c>
      <c r="E101" s="43">
        <f t="shared" si="30"/>
        <v>92.5</v>
      </c>
      <c r="F101" s="44" cm="1">
        <f t="array" ref="F101">_fnGENPOP.U(E101)</f>
        <v>0.64970000000000006</v>
      </c>
      <c r="G101" s="45">
        <f t="shared" ref="G101:O110" ca="1" si="38">PRODUCT(AVERAGE(OFFSET(AB.Trace.MarkovQA.Root, $D101, (G$2-1)*AB.Trace.MarkovQA.NumCols+G$3-1, CHOOSE(swtchHalfCycle, 2, 1))), $F101+G$6, AB.cycleLength)</f>
        <v>6.6865842848981732E-6</v>
      </c>
      <c r="H101" s="45">
        <f t="shared" ca="1" si="38"/>
        <v>0</v>
      </c>
      <c r="I101" s="45">
        <f t="shared" ca="1" si="38"/>
        <v>3.4643333134017737E-3</v>
      </c>
      <c r="J101" s="45">
        <f t="shared" ca="1" si="38"/>
        <v>5.1059745354945017E-4</v>
      </c>
      <c r="K101" s="45">
        <f t="shared" ca="1" si="38"/>
        <v>5.1256625111836946E-5</v>
      </c>
      <c r="L101" s="45">
        <f t="shared" ca="1" si="38"/>
        <v>7.5545566468440795E-6</v>
      </c>
      <c r="M101" s="45">
        <f t="shared" ca="1" si="38"/>
        <v>1.4738159981905653E-5</v>
      </c>
      <c r="N101" s="45">
        <f t="shared" ca="1" si="38"/>
        <v>2.1722121620497488E-6</v>
      </c>
      <c r="O101" s="45">
        <f t="shared" ca="1" si="38"/>
        <v>7.6849218240566217E-2</v>
      </c>
      <c r="P101" s="45">
        <v>0</v>
      </c>
      <c r="Q101" s="22">
        <f t="shared" ca="1" si="31"/>
        <v>8.090655714570498E-2</v>
      </c>
      <c r="S101" s="45">
        <f t="shared" ref="S101:AA110" ca="1" si="39">PRODUCT(AVERAGE(OFFSET(AB.Trace.MarkovQA.Root, $D101, (S$2-1)*AB.Trace.MarkovQA.NumCols+S$3-1, CHOOSE(swtchHalfCycle, 2, 1))), $F101+S$6, AB.cycleLength)</f>
        <v>6.344753412508427E-4</v>
      </c>
      <c r="T101" s="45">
        <f t="shared" ca="1" si="39"/>
        <v>0</v>
      </c>
      <c r="U101" s="45">
        <f t="shared" ca="1" si="39"/>
        <v>3.4670772468844155E-3</v>
      </c>
      <c r="V101" s="45">
        <f t="shared" ca="1" si="39"/>
        <v>5.1100187348315741E-4</v>
      </c>
      <c r="W101" s="45">
        <f t="shared" ca="1" si="39"/>
        <v>5.1297223044289771E-5</v>
      </c>
      <c r="X101" s="45">
        <f t="shared" ca="1" si="39"/>
        <v>7.5605402514959754E-6</v>
      </c>
      <c r="Y101" s="45">
        <f t="shared" ca="1" si="39"/>
        <v>1.4749833376752051E-5</v>
      </c>
      <c r="Z101" s="45">
        <f t="shared" ca="1" si="39"/>
        <v>2.1739326678855438E-6</v>
      </c>
      <c r="AA101" s="45">
        <f t="shared" ca="1" si="39"/>
        <v>7.628230338674688E-2</v>
      </c>
      <c r="AB101" s="45">
        <v>0</v>
      </c>
      <c r="AC101" s="22">
        <f t="shared" ca="1" si="32"/>
        <v>8.0970639377705725E-2</v>
      </c>
    </row>
    <row r="102" spans="1:29" ht="12" customHeight="1" x14ac:dyDescent="0.25">
      <c r="A102" s="262"/>
      <c r="C102" s="263"/>
      <c r="D102" s="62">
        <f t="shared" si="33"/>
        <v>91</v>
      </c>
      <c r="E102" s="43">
        <f t="shared" si="30"/>
        <v>92.75</v>
      </c>
      <c r="F102" s="44" cm="1">
        <f t="array" ref="F102">_fnGENPOP.U(E102)</f>
        <v>0.64970000000000006</v>
      </c>
      <c r="G102" s="45">
        <f t="shared" ca="1" si="38"/>
        <v>6.2838315434205591E-6</v>
      </c>
      <c r="H102" s="45">
        <f t="shared" ca="1" si="38"/>
        <v>0</v>
      </c>
      <c r="I102" s="45">
        <f t="shared" ca="1" si="38"/>
        <v>3.435264355623583E-3</v>
      </c>
      <c r="J102" s="45">
        <f t="shared" ca="1" si="38"/>
        <v>5.0631306908752139E-4</v>
      </c>
      <c r="K102" s="45">
        <f t="shared" ca="1" si="38"/>
        <v>5.0826534662553506E-5</v>
      </c>
      <c r="L102" s="45">
        <f t="shared" ca="1" si="38"/>
        <v>7.4911669356547653E-6</v>
      </c>
      <c r="M102" s="45">
        <f t="shared" ca="1" si="38"/>
        <v>1.4614493200598875E-5</v>
      </c>
      <c r="N102" s="45">
        <f t="shared" ca="1" si="38"/>
        <v>2.1539852947389086E-6</v>
      </c>
      <c r="O102" s="45">
        <f t="shared" ca="1" si="38"/>
        <v>7.6204728931762805E-2</v>
      </c>
      <c r="P102" s="45">
        <v>0</v>
      </c>
      <c r="Q102" s="22">
        <f t="shared" ca="1" si="31"/>
        <v>8.0227676368110873E-2</v>
      </c>
      <c r="S102" s="45">
        <f t="shared" ca="1" si="39"/>
        <v>5.9625901551546557E-4</v>
      </c>
      <c r="T102" s="45">
        <f t="shared" ca="1" si="39"/>
        <v>0</v>
      </c>
      <c r="U102" s="45">
        <f t="shared" ca="1" si="39"/>
        <v>3.4379852649687247E-3</v>
      </c>
      <c r="V102" s="45">
        <f t="shared" ca="1" si="39"/>
        <v>5.0671409556427341E-4</v>
      </c>
      <c r="W102" s="45">
        <f t="shared" ca="1" si="39"/>
        <v>5.0866791940837822E-5</v>
      </c>
      <c r="X102" s="45">
        <f t="shared" ca="1" si="39"/>
        <v>7.4971003323343753E-6</v>
      </c>
      <c r="Y102" s="45">
        <f t="shared" ca="1" si="39"/>
        <v>1.4626068644875505E-5</v>
      </c>
      <c r="Z102" s="45">
        <f t="shared" ca="1" si="39"/>
        <v>2.1556913639408775E-6</v>
      </c>
      <c r="AA102" s="45">
        <f t="shared" ca="1" si="39"/>
        <v>7.5675116862638364E-2</v>
      </c>
      <c r="AB102" s="45">
        <v>0</v>
      </c>
      <c r="AC102" s="22">
        <f t="shared" ca="1" si="32"/>
        <v>8.0291220890968823E-2</v>
      </c>
    </row>
    <row r="103" spans="1:29" ht="12" customHeight="1" x14ac:dyDescent="0.25">
      <c r="A103" s="262"/>
      <c r="C103" s="263"/>
      <c r="D103" s="62">
        <f t="shared" si="33"/>
        <v>92</v>
      </c>
      <c r="E103" s="43">
        <f t="shared" si="30"/>
        <v>93</v>
      </c>
      <c r="F103" s="44" cm="1">
        <f t="array" ref="F103">_fnGENPOP.U(E103)</f>
        <v>0.64970000000000006</v>
      </c>
      <c r="G103" s="45">
        <f t="shared" ca="1" si="38"/>
        <v>5.9053377903675861E-6</v>
      </c>
      <c r="H103" s="45">
        <f t="shared" ca="1" si="38"/>
        <v>0</v>
      </c>
      <c r="I103" s="45">
        <f t="shared" ca="1" si="38"/>
        <v>3.4064393132628378E-3</v>
      </c>
      <c r="J103" s="45">
        <f t="shared" ca="1" si="38"/>
        <v>5.0206463457028974E-4</v>
      </c>
      <c r="K103" s="45">
        <f t="shared" ca="1" si="38"/>
        <v>5.0400053069572288E-5</v>
      </c>
      <c r="L103" s="45">
        <f t="shared" ca="1" si="38"/>
        <v>7.428309122718718E-6</v>
      </c>
      <c r="M103" s="45">
        <f t="shared" ca="1" si="38"/>
        <v>1.4491864097863748E-5</v>
      </c>
      <c r="N103" s="45">
        <f t="shared" ca="1" si="38"/>
        <v>2.1359113676876675E-6</v>
      </c>
      <c r="O103" s="45">
        <f t="shared" ca="1" si="38"/>
        <v>7.5565626604291322E-2</v>
      </c>
      <c r="P103" s="45">
        <v>0</v>
      </c>
      <c r="Q103" s="22">
        <f t="shared" ca="1" si="31"/>
        <v>7.9554492027572657E-2</v>
      </c>
      <c r="S103" s="45">
        <f t="shared" ca="1" si="39"/>
        <v>5.6034457207205157E-4</v>
      </c>
      <c r="T103" s="45">
        <f t="shared" ca="1" si="39"/>
        <v>0</v>
      </c>
      <c r="U103" s="45">
        <f t="shared" ca="1" si="39"/>
        <v>3.4091373916642696E-3</v>
      </c>
      <c r="V103" s="45">
        <f t="shared" ca="1" si="39"/>
        <v>5.0246229606432623E-4</v>
      </c>
      <c r="W103" s="45">
        <f t="shared" ca="1" si="39"/>
        <v>5.0439972552091327E-5</v>
      </c>
      <c r="X103" s="45">
        <f t="shared" ca="1" si="39"/>
        <v>7.4341927327173245E-6</v>
      </c>
      <c r="Y103" s="45">
        <f t="shared" ca="1" si="39"/>
        <v>1.4503342413466404E-5</v>
      </c>
      <c r="Z103" s="45">
        <f t="shared" ca="1" si="39"/>
        <v>2.1376031213925086E-6</v>
      </c>
      <c r="AA103" s="45">
        <f t="shared" ca="1" si="39"/>
        <v>7.5071043982544064E-2</v>
      </c>
      <c r="AB103" s="45">
        <v>0</v>
      </c>
      <c r="AC103" s="22">
        <f t="shared" ca="1" si="32"/>
        <v>7.9617503353164379E-2</v>
      </c>
    </row>
    <row r="104" spans="1:29" ht="12" customHeight="1" x14ac:dyDescent="0.25">
      <c r="A104" s="262"/>
      <c r="C104" s="263"/>
      <c r="D104" s="62">
        <f t="shared" si="33"/>
        <v>93</v>
      </c>
      <c r="E104" s="43">
        <f t="shared" si="30"/>
        <v>93.25</v>
      </c>
      <c r="F104" s="44" cm="1">
        <f t="array" ref="F104">_fnGENPOP.U(E104)</f>
        <v>0.64970000000000006</v>
      </c>
      <c r="G104" s="45">
        <f t="shared" ca="1" si="38"/>
        <v>5.549641835140707E-6</v>
      </c>
      <c r="H104" s="45">
        <f t="shared" ca="1" si="38"/>
        <v>0</v>
      </c>
      <c r="I104" s="45">
        <f t="shared" ca="1" si="38"/>
        <v>3.377856139643792E-3</v>
      </c>
      <c r="J104" s="45">
        <f t="shared" ca="1" si="38"/>
        <v>4.9785184834449925E-4</v>
      </c>
      <c r="K104" s="45">
        <f t="shared" ca="1" si="38"/>
        <v>4.9977150051254062E-5</v>
      </c>
      <c r="L104" s="45">
        <f t="shared" ca="1" si="38"/>
        <v>7.3659787449180823E-6</v>
      </c>
      <c r="M104" s="45">
        <f t="shared" ca="1" si="38"/>
        <v>1.4370263966618171E-5</v>
      </c>
      <c r="N104" s="45">
        <f t="shared" ca="1" si="38"/>
        <v>2.117989097585919E-6</v>
      </c>
      <c r="O104" s="45">
        <f t="shared" ca="1" si="38"/>
        <v>7.4931867314035686E-2</v>
      </c>
      <c r="P104" s="45">
        <v>0</v>
      </c>
      <c r="Q104" s="22">
        <f t="shared" ca="1" si="31"/>
        <v>7.8886956325719487E-2</v>
      </c>
      <c r="S104" s="45">
        <f t="shared" ca="1" si="39"/>
        <v>5.2659336174425771E-4</v>
      </c>
      <c r="T104" s="45">
        <f t="shared" ca="1" si="39"/>
        <v>0</v>
      </c>
      <c r="U104" s="45">
        <f t="shared" ca="1" si="39"/>
        <v>3.3805315786742283E-3</v>
      </c>
      <c r="V104" s="45">
        <f t="shared" ca="1" si="39"/>
        <v>4.9824617309113456E-4</v>
      </c>
      <c r="W104" s="45">
        <f t="shared" ca="1" si="39"/>
        <v>5.001673457242647E-5</v>
      </c>
      <c r="X104" s="45">
        <f t="shared" ca="1" si="39"/>
        <v>7.3718129859919462E-6</v>
      </c>
      <c r="Y104" s="45">
        <f t="shared" ca="1" si="39"/>
        <v>1.4381645968546177E-5</v>
      </c>
      <c r="Z104" s="45">
        <f t="shared" ca="1" si="39"/>
        <v>2.1196666559138817E-6</v>
      </c>
      <c r="AA104" s="45">
        <f t="shared" ca="1" si="39"/>
        <v>7.4470177954370276E-2</v>
      </c>
      <c r="AB104" s="45">
        <v>0</v>
      </c>
      <c r="AC104" s="22">
        <f t="shared" ca="1" si="32"/>
        <v>7.8949438928062776E-2</v>
      </c>
    </row>
    <row r="105" spans="1:29" ht="12" customHeight="1" x14ac:dyDescent="0.25">
      <c r="A105" s="262"/>
      <c r="C105" s="263"/>
      <c r="D105" s="62">
        <f t="shared" si="33"/>
        <v>94</v>
      </c>
      <c r="E105" s="43">
        <f t="shared" si="30"/>
        <v>93.5</v>
      </c>
      <c r="F105" s="44" cm="1">
        <f t="array" ref="F105">_fnGENPOP.U(E105)</f>
        <v>0.64970000000000006</v>
      </c>
      <c r="G105" s="45">
        <f t="shared" ca="1" si="38"/>
        <v>5.2153704989713736E-6</v>
      </c>
      <c r="H105" s="45">
        <f t="shared" ca="1" si="38"/>
        <v>0</v>
      </c>
      <c r="I105" s="45">
        <f t="shared" ca="1" si="38"/>
        <v>3.3495128052641997E-3</v>
      </c>
      <c r="J105" s="45">
        <f t="shared" ca="1" si="38"/>
        <v>4.9367441128804295E-4</v>
      </c>
      <c r="K105" s="45">
        <f t="shared" ca="1" si="38"/>
        <v>4.9557795580050576E-5</v>
      </c>
      <c r="L105" s="45">
        <f t="shared" ca="1" si="38"/>
        <v>7.3041713765846872E-6</v>
      </c>
      <c r="M105" s="45">
        <f t="shared" ca="1" si="38"/>
        <v>1.4249684172840508E-5</v>
      </c>
      <c r="N105" s="45">
        <f t="shared" ca="1" si="38"/>
        <v>2.100217211891717E-6</v>
      </c>
      <c r="O105" s="45">
        <f t="shared" ca="1" si="38"/>
        <v>7.4303407409860536E-2</v>
      </c>
      <c r="P105" s="45">
        <v>0</v>
      </c>
      <c r="Q105" s="22">
        <f t="shared" ca="1" si="31"/>
        <v>7.8225021865253125E-2</v>
      </c>
      <c r="S105" s="45">
        <f t="shared" ca="1" si="39"/>
        <v>4.9487508660557187E-4</v>
      </c>
      <c r="T105" s="45">
        <f t="shared" ca="1" si="39"/>
        <v>0</v>
      </c>
      <c r="U105" s="45">
        <f t="shared" ca="1" si="39"/>
        <v>3.3521657948888837E-3</v>
      </c>
      <c r="V105" s="45">
        <f t="shared" ca="1" si="39"/>
        <v>4.9406542728567117E-4</v>
      </c>
      <c r="W105" s="45">
        <f t="shared" ca="1" si="39"/>
        <v>4.9597047950511569E-5</v>
      </c>
      <c r="X105" s="45">
        <f t="shared" ca="1" si="39"/>
        <v>7.3099566629847063E-6</v>
      </c>
      <c r="Y105" s="45">
        <f t="shared" ca="1" si="39"/>
        <v>1.4260970669254597E-5</v>
      </c>
      <c r="Z105" s="45">
        <f t="shared" ca="1" si="39"/>
        <v>2.1018806939551299E-6</v>
      </c>
      <c r="AA105" s="45">
        <f t="shared" ca="1" si="39"/>
        <v>7.3872604016067739E-2</v>
      </c>
      <c r="AB105" s="45">
        <v>0</v>
      </c>
      <c r="AC105" s="22">
        <f t="shared" ca="1" si="32"/>
        <v>7.828698018082457E-2</v>
      </c>
    </row>
    <row r="106" spans="1:29" ht="12" customHeight="1" x14ac:dyDescent="0.25">
      <c r="A106" s="262"/>
      <c r="C106" s="263"/>
      <c r="D106" s="62">
        <f t="shared" si="33"/>
        <v>95</v>
      </c>
      <c r="E106" s="43">
        <f t="shared" si="30"/>
        <v>93.75</v>
      </c>
      <c r="F106" s="44" cm="1">
        <f t="array" ref="F106">_fnGENPOP.U(E106)</f>
        <v>0.64970000000000006</v>
      </c>
      <c r="G106" s="45">
        <f t="shared" ca="1" si="38"/>
        <v>4.9012333137083031E-6</v>
      </c>
      <c r="H106" s="45">
        <f t="shared" ca="1" si="38"/>
        <v>0</v>
      </c>
      <c r="I106" s="45">
        <f t="shared" ca="1" si="38"/>
        <v>3.3214072976512138E-3</v>
      </c>
      <c r="J106" s="45">
        <f t="shared" ca="1" si="38"/>
        <v>4.8953202678872531E-4</v>
      </c>
      <c r="K106" s="45">
        <f t="shared" ca="1" si="38"/>
        <v>4.9141959880372441E-5</v>
      </c>
      <c r="L106" s="45">
        <f t="shared" ca="1" si="38"/>
        <v>7.2428826291858053E-6</v>
      </c>
      <c r="M106" s="45">
        <f t="shared" ca="1" si="38"/>
        <v>1.4130116154956537E-5</v>
      </c>
      <c r="N106" s="45">
        <f t="shared" ca="1" si="38"/>
        <v>2.0825944487409153E-6</v>
      </c>
      <c r="O106" s="45">
        <f t="shared" ca="1" si="38"/>
        <v>7.3680203535715444E-2</v>
      </c>
      <c r="P106" s="45">
        <v>0</v>
      </c>
      <c r="Q106" s="22">
        <f t="shared" ca="1" si="31"/>
        <v>7.7568641646582351E-2</v>
      </c>
      <c r="S106" s="45">
        <f t="shared" ca="1" si="39"/>
        <v>4.6506729695884336E-4</v>
      </c>
      <c r="T106" s="45">
        <f t="shared" ca="1" si="39"/>
        <v>0</v>
      </c>
      <c r="U106" s="45">
        <f t="shared" ca="1" si="39"/>
        <v>3.3240380262414041E-3</v>
      </c>
      <c r="V106" s="45">
        <f t="shared" ca="1" si="39"/>
        <v>4.899197618008081E-4</v>
      </c>
      <c r="W106" s="45">
        <f t="shared" ca="1" si="39"/>
        <v>4.9180882887173418E-5</v>
      </c>
      <c r="X106" s="45">
        <f t="shared" ca="1" si="39"/>
        <v>7.2486193716869331E-6</v>
      </c>
      <c r="Y106" s="45">
        <f t="shared" ca="1" si="39"/>
        <v>1.4141307947236227E-5</v>
      </c>
      <c r="Z106" s="45">
        <f t="shared" ca="1" si="39"/>
        <v>2.0842439726526467E-6</v>
      </c>
      <c r="AA106" s="45">
        <f t="shared" ca="1" si="39"/>
        <v>7.3278399935452668E-2</v>
      </c>
      <c r="AB106" s="45">
        <v>0</v>
      </c>
      <c r="AC106" s="22">
        <f t="shared" ca="1" si="32"/>
        <v>7.7630080074632471E-2</v>
      </c>
    </row>
    <row r="107" spans="1:29" ht="12" customHeight="1" x14ac:dyDescent="0.25">
      <c r="A107" s="262"/>
      <c r="C107" s="263"/>
      <c r="D107" s="62">
        <f t="shared" si="33"/>
        <v>96</v>
      </c>
      <c r="E107" s="43">
        <f t="shared" ref="E107:E131" si="40">A.cohortAge+D107*AB.cycleLength</f>
        <v>94</v>
      </c>
      <c r="F107" s="44" cm="1">
        <f t="array" ref="F107">_fnGENPOP.U(E107)</f>
        <v>0.64970000000000006</v>
      </c>
      <c r="G107" s="45">
        <f t="shared" ca="1" si="38"/>
        <v>4.6060175399124466E-6</v>
      </c>
      <c r="H107" s="45">
        <f t="shared" ca="1" si="38"/>
        <v>0</v>
      </c>
      <c r="I107" s="45">
        <f t="shared" ca="1" si="38"/>
        <v>3.2935376212184942E-3</v>
      </c>
      <c r="J107" s="45">
        <f t="shared" ca="1" si="38"/>
        <v>4.8542440072320086E-4</v>
      </c>
      <c r="K107" s="45">
        <f t="shared" ca="1" si="38"/>
        <v>4.8729613426474974E-5</v>
      </c>
      <c r="L107" s="45">
        <f t="shared" ca="1" si="38"/>
        <v>7.1821081510125579E-6</v>
      </c>
      <c r="M107" s="45">
        <f t="shared" ca="1" si="38"/>
        <v>1.4011551423231566E-5</v>
      </c>
      <c r="N107" s="45">
        <f t="shared" ca="1" si="38"/>
        <v>2.065119556857577E-6</v>
      </c>
      <c r="O107" s="45">
        <f t="shared" ca="1" si="38"/>
        <v>7.3062212632446832E-2</v>
      </c>
      <c r="P107" s="45">
        <v>0</v>
      </c>
      <c r="Q107" s="22">
        <f t="shared" ref="Q107:Q131" ca="1" si="41">SUM(G107:P107)</f>
        <v>7.6917769064486011E-2</v>
      </c>
      <c r="S107" s="45">
        <f t="shared" ca="1" si="39"/>
        <v>4.3705491861422341E-4</v>
      </c>
      <c r="T107" s="45">
        <f t="shared" ca="1" si="39"/>
        <v>0</v>
      </c>
      <c r="U107" s="45">
        <f t="shared" ca="1" si="39"/>
        <v>3.296146275564842E-3</v>
      </c>
      <c r="V107" s="45">
        <f t="shared" ca="1" si="39"/>
        <v>4.8580888228023889E-4</v>
      </c>
      <c r="W107" s="45">
        <f t="shared" ca="1" si="39"/>
        <v>4.8768209833281391E-5</v>
      </c>
      <c r="X107" s="45">
        <f t="shared" ca="1" si="39"/>
        <v>7.1877967569429617E-6</v>
      </c>
      <c r="Y107" s="45">
        <f t="shared" ca="1" si="39"/>
        <v>1.4022649306032054E-5</v>
      </c>
      <c r="Z107" s="45">
        <f t="shared" ca="1" si="39"/>
        <v>2.0667552397394164E-6</v>
      </c>
      <c r="AA107" s="45">
        <f t="shared" ca="1" si="39"/>
        <v>7.2687636479756235E-2</v>
      </c>
      <c r="AB107" s="45">
        <v>0</v>
      </c>
      <c r="AC107" s="22">
        <f t="shared" ref="AC107:AC131" ca="1" si="42">SUM(S107:AB107)</f>
        <v>7.6978691967351534E-2</v>
      </c>
    </row>
    <row r="108" spans="1:29" ht="12" customHeight="1" x14ac:dyDescent="0.25">
      <c r="A108" s="262"/>
      <c r="C108" s="263"/>
      <c r="D108" s="62">
        <f t="shared" ref="D108:D131" si="43">D107+1</f>
        <v>97</v>
      </c>
      <c r="E108" s="43">
        <f t="shared" si="40"/>
        <v>94.25</v>
      </c>
      <c r="F108" s="44" cm="1">
        <f t="array" ref="F108">_fnGENPOP.U(E108)</f>
        <v>0.64970000000000006</v>
      </c>
      <c r="G108" s="45">
        <f t="shared" ca="1" si="38"/>
        <v>4.3285834850268336E-6</v>
      </c>
      <c r="H108" s="45">
        <f t="shared" ca="1" si="38"/>
        <v>0</v>
      </c>
      <c r="I108" s="45">
        <f t="shared" ca="1" si="38"/>
        <v>3.2659017971245147E-3</v>
      </c>
      <c r="J108" s="45">
        <f t="shared" ca="1" si="38"/>
        <v>4.8135124143609104E-4</v>
      </c>
      <c r="K108" s="45">
        <f t="shared" ca="1" si="38"/>
        <v>4.8320726940361779E-5</v>
      </c>
      <c r="L108" s="45">
        <f t="shared" ca="1" si="38"/>
        <v>7.1218436268709191E-6</v>
      </c>
      <c r="M108" s="45">
        <f t="shared" ca="1" si="38"/>
        <v>1.3893981559167613E-5</v>
      </c>
      <c r="N108" s="45">
        <f t="shared" ca="1" si="38"/>
        <v>2.0477912954651236E-6</v>
      </c>
      <c r="O108" s="45">
        <f t="shared" ca="1" si="38"/>
        <v>7.2449391939336374E-2</v>
      </c>
      <c r="P108" s="45">
        <v>0</v>
      </c>
      <c r="Q108" s="22">
        <f t="shared" ca="1" si="41"/>
        <v>7.627235790480387E-2</v>
      </c>
      <c r="S108" s="45">
        <f t="shared" ca="1" si="39"/>
        <v>4.1072980864055396E-4</v>
      </c>
      <c r="T108" s="45">
        <f t="shared" ca="1" si="39"/>
        <v>0</v>
      </c>
      <c r="U108" s="45">
        <f t="shared" ca="1" si="39"/>
        <v>3.2684885624503237E-3</v>
      </c>
      <c r="V108" s="45">
        <f t="shared" ca="1" si="39"/>
        <v>4.8173249683757858E-4</v>
      </c>
      <c r="W108" s="45">
        <f t="shared" ca="1" si="39"/>
        <v>4.835899948764939E-5</v>
      </c>
      <c r="X108" s="45">
        <f t="shared" ca="1" si="39"/>
        <v>7.1274845001409091E-6</v>
      </c>
      <c r="Y108" s="45">
        <f t="shared" ca="1" si="39"/>
        <v>1.3904986320476206E-5</v>
      </c>
      <c r="Z108" s="45">
        <f t="shared" ca="1" si="39"/>
        <v>2.049413253456103E-6</v>
      </c>
      <c r="AA108" s="45">
        <f t="shared" ca="1" si="39"/>
        <v>7.2100377856727266E-2</v>
      </c>
      <c r="AB108" s="45">
        <v>0</v>
      </c>
      <c r="AC108" s="22">
        <f t="shared" ca="1" si="42"/>
        <v>7.6332769608217443E-2</v>
      </c>
    </row>
    <row r="109" spans="1:29" ht="12" customHeight="1" x14ac:dyDescent="0.25">
      <c r="A109" s="262"/>
      <c r="C109" s="263"/>
      <c r="D109" s="62">
        <f t="shared" si="43"/>
        <v>98</v>
      </c>
      <c r="E109" s="43">
        <f t="shared" si="40"/>
        <v>94.5</v>
      </c>
      <c r="F109" s="44" cm="1">
        <f t="array" ref="F109">_fnGENPOP.U(E109)</f>
        <v>0.64970000000000006</v>
      </c>
      <c r="G109" s="45">
        <f t="shared" ca="1" si="38"/>
        <v>4.0678601035468939E-6</v>
      </c>
      <c r="H109" s="45">
        <f t="shared" ca="1" si="38"/>
        <v>0</v>
      </c>
      <c r="I109" s="45">
        <f t="shared" ca="1" si="38"/>
        <v>3.2384978631320584E-3</v>
      </c>
      <c r="J109" s="45">
        <f t="shared" ca="1" si="38"/>
        <v>4.773122597192753E-4</v>
      </c>
      <c r="K109" s="45">
        <f t="shared" ca="1" si="38"/>
        <v>4.7915271389705886E-5</v>
      </c>
      <c r="L109" s="45">
        <f t="shared" ca="1" si="38"/>
        <v>7.0620847777753323E-6</v>
      </c>
      <c r="M109" s="45">
        <f t="shared" ca="1" si="38"/>
        <v>1.3777398214905677E-5</v>
      </c>
      <c r="N109" s="45">
        <f t="shared" ca="1" si="38"/>
        <v>2.0306084341982408E-6</v>
      </c>
      <c r="O109" s="45">
        <f t="shared" ca="1" si="38"/>
        <v>7.1841698995383618E-2</v>
      </c>
      <c r="P109" s="45">
        <v>0</v>
      </c>
      <c r="Q109" s="22">
        <f t="shared" ca="1" si="41"/>
        <v>7.5632362341155085E-2</v>
      </c>
      <c r="S109" s="45">
        <f t="shared" ca="1" si="39"/>
        <v>3.8599033787516335E-4</v>
      </c>
      <c r="T109" s="45">
        <f t="shared" ca="1" si="39"/>
        <v>0</v>
      </c>
      <c r="U109" s="45">
        <f t="shared" ca="1" si="39"/>
        <v>3.2410629231064371E-3</v>
      </c>
      <c r="V109" s="45">
        <f t="shared" ca="1" si="39"/>
        <v>4.7769031603563859E-4</v>
      </c>
      <c r="W109" s="45">
        <f t="shared" ca="1" si="39"/>
        <v>4.7953222794955322E-5</v>
      </c>
      <c r="X109" s="45">
        <f t="shared" ca="1" si="39"/>
        <v>7.0676783189060394E-6</v>
      </c>
      <c r="Y109" s="45">
        <f t="shared" ca="1" si="39"/>
        <v>1.3788310636097752E-5</v>
      </c>
      <c r="Z109" s="45">
        <f t="shared" ca="1" si="39"/>
        <v>2.0322167824628771E-6</v>
      </c>
      <c r="AA109" s="45">
        <f t="shared" ca="1" si="39"/>
        <v>7.1516682129002862E-2</v>
      </c>
      <c r="AB109" s="45">
        <v>0</v>
      </c>
      <c r="AC109" s="22">
        <f t="shared" ca="1" si="42"/>
        <v>7.5692267134552516E-2</v>
      </c>
    </row>
    <row r="110" spans="1:29" ht="12" customHeight="1" x14ac:dyDescent="0.25">
      <c r="A110" s="262"/>
      <c r="C110" s="263"/>
      <c r="D110" s="62">
        <f t="shared" si="43"/>
        <v>99</v>
      </c>
      <c r="E110" s="43">
        <f t="shared" si="40"/>
        <v>94.75</v>
      </c>
      <c r="F110" s="44" cm="1">
        <f t="array" ref="F110">_fnGENPOP.U(E110)</f>
        <v>0.64970000000000006</v>
      </c>
      <c r="G110" s="45">
        <f t="shared" ca="1" si="38"/>
        <v>3.8228408622055167E-6</v>
      </c>
      <c r="H110" s="45">
        <f t="shared" ca="1" si="38"/>
        <v>0</v>
      </c>
      <c r="I110" s="45">
        <f t="shared" ca="1" si="38"/>
        <v>3.2113238734688913E-3</v>
      </c>
      <c r="J110" s="45">
        <f t="shared" ca="1" si="38"/>
        <v>4.7330716879135645E-4</v>
      </c>
      <c r="K110" s="45">
        <f t="shared" ca="1" si="38"/>
        <v>4.75132179857884E-5</v>
      </c>
      <c r="L110" s="45">
        <f t="shared" ca="1" si="38"/>
        <v>7.0028273606448845E-6</v>
      </c>
      <c r="M110" s="45">
        <f t="shared" ca="1" si="38"/>
        <v>1.3661793112633013E-5</v>
      </c>
      <c r="N110" s="45">
        <f t="shared" ca="1" si="38"/>
        <v>2.0135697530155155E-6</v>
      </c>
      <c r="O110" s="45">
        <f t="shared" ca="1" si="38"/>
        <v>7.1239091640350055E-2</v>
      </c>
      <c r="P110" s="45">
        <v>0</v>
      </c>
      <c r="Q110" s="22">
        <f t="shared" ca="1" si="41"/>
        <v>7.4997736931684586E-2</v>
      </c>
      <c r="S110" s="45">
        <f t="shared" ca="1" si="39"/>
        <v>3.6274099858033085E-4</v>
      </c>
      <c r="T110" s="45">
        <f t="shared" ca="1" si="39"/>
        <v>0</v>
      </c>
      <c r="U110" s="45">
        <f t="shared" ca="1" si="39"/>
        <v>3.2138674102197948E-3</v>
      </c>
      <c r="V110" s="45">
        <f t="shared" ca="1" si="39"/>
        <v>4.7368205286587575E-4</v>
      </c>
      <c r="W110" s="45">
        <f t="shared" ca="1" si="39"/>
        <v>4.7550850943678135E-5</v>
      </c>
      <c r="X110" s="45">
        <f t="shared" ca="1" si="39"/>
        <v>7.0083739667966933E-6</v>
      </c>
      <c r="Y110" s="45">
        <f t="shared" ca="1" si="39"/>
        <v>1.3672613968527469E-5</v>
      </c>
      <c r="Z110" s="45">
        <f t="shared" ca="1" si="39"/>
        <v>2.0151646057519891E-6</v>
      </c>
      <c r="AA110" s="45">
        <f t="shared" ca="1" si="39"/>
        <v>7.0936601603358587E-2</v>
      </c>
      <c r="AB110" s="45">
        <v>0</v>
      </c>
      <c r="AC110" s="22">
        <f t="shared" ca="1" si="42"/>
        <v>7.5057139068509346E-2</v>
      </c>
    </row>
    <row r="111" spans="1:29" ht="12" customHeight="1" x14ac:dyDescent="0.25">
      <c r="A111" s="262"/>
      <c r="C111" s="263"/>
      <c r="D111" s="62">
        <f t="shared" si="43"/>
        <v>100</v>
      </c>
      <c r="E111" s="43">
        <f t="shared" si="40"/>
        <v>95</v>
      </c>
      <c r="F111" s="44" cm="1">
        <f t="array" ref="F111">_fnGENPOP.U(E111)</f>
        <v>0.64970000000000006</v>
      </c>
      <c r="G111" s="45">
        <f t="shared" ref="G111:O120" ca="1" si="44">PRODUCT(AVERAGE(OFFSET(AB.Trace.MarkovQA.Root, $D111, (G$2-1)*AB.Trace.MarkovQA.NumCols+G$3-1, CHOOSE(swtchHalfCycle, 2, 1))), $F111+G$6, AB.cycleLength)</f>
        <v>3.5925798542102566E-6</v>
      </c>
      <c r="H111" s="45">
        <f t="shared" ca="1" si="44"/>
        <v>0</v>
      </c>
      <c r="I111" s="45">
        <f t="shared" ca="1" si="44"/>
        <v>3.1843778986896053E-3</v>
      </c>
      <c r="J111" s="45">
        <f t="shared" ca="1" si="44"/>
        <v>4.6933568427729821E-4</v>
      </c>
      <c r="K111" s="45">
        <f t="shared" ca="1" si="44"/>
        <v>4.7114538181454374E-5</v>
      </c>
      <c r="L111" s="45">
        <f t="shared" ca="1" si="44"/>
        <v>6.94406716800203E-6</v>
      </c>
      <c r="M111" s="45">
        <f t="shared" ca="1" si="44"/>
        <v>1.3547158043995364E-5</v>
      </c>
      <c r="N111" s="45">
        <f t="shared" ca="1" si="44"/>
        <v>1.9966740421128095E-6</v>
      </c>
      <c r="O111" s="45">
        <f t="shared" ca="1" si="44"/>
        <v>7.0641528015579769E-2</v>
      </c>
      <c r="P111" s="45">
        <v>0</v>
      </c>
      <c r="Q111" s="22">
        <f t="shared" ca="1" si="41"/>
        <v>7.4368436615836447E-2</v>
      </c>
      <c r="S111" s="45">
        <f t="shared" ref="S111:AA120" ca="1" si="45">PRODUCT(AVERAGE(OFFSET(AB.Trace.MarkovQA.Root, $D111, (S$2-1)*AB.Trace.MarkovQA.NumCols+S$3-1, CHOOSE(swtchHalfCycle, 2, 1))), $F111+S$6, AB.cycleLength)</f>
        <v>3.4089203573176339E-4</v>
      </c>
      <c r="T111" s="45">
        <f t="shared" ca="1" si="45"/>
        <v>0</v>
      </c>
      <c r="U111" s="45">
        <f t="shared" ca="1" si="45"/>
        <v>3.1869000928167694E-3</v>
      </c>
      <c r="V111" s="45">
        <f t="shared" ca="1" si="45"/>
        <v>4.6970742272801403E-4</v>
      </c>
      <c r="W111" s="45">
        <f t="shared" ca="1" si="45"/>
        <v>4.7151855364052011E-5</v>
      </c>
      <c r="X111" s="45">
        <f t="shared" ca="1" si="45"/>
        <v>6.9495672330027863E-6</v>
      </c>
      <c r="Y111" s="45">
        <f t="shared" ca="1" si="45"/>
        <v>1.355788810290966E-5</v>
      </c>
      <c r="Z111" s="45">
        <f t="shared" ca="1" si="45"/>
        <v>1.9982555125610721E-6</v>
      </c>
      <c r="AA111" s="45">
        <f t="shared" ca="1" si="45"/>
        <v>7.0360183196352552E-2</v>
      </c>
      <c r="AB111" s="45">
        <v>0</v>
      </c>
      <c r="AC111" s="22">
        <f t="shared" ca="1" si="42"/>
        <v>7.4427340313841628E-2</v>
      </c>
    </row>
    <row r="112" spans="1:29" ht="12" customHeight="1" x14ac:dyDescent="0.25">
      <c r="A112" s="262"/>
      <c r="C112" s="263"/>
      <c r="D112" s="62">
        <f t="shared" si="43"/>
        <v>101</v>
      </c>
      <c r="E112" s="43">
        <f t="shared" si="40"/>
        <v>95.25</v>
      </c>
      <c r="F112" s="44" cm="1">
        <f t="array" ref="F112">_fnGENPOP.U(E112)</f>
        <v>0.64970000000000006</v>
      </c>
      <c r="G112" s="45">
        <f t="shared" ca="1" si="44"/>
        <v>3.3761881475315067E-6</v>
      </c>
      <c r="H112" s="45">
        <f t="shared" ca="1" si="44"/>
        <v>0</v>
      </c>
      <c r="I112" s="45">
        <f t="shared" ca="1" si="44"/>
        <v>3.1576580255386249E-3</v>
      </c>
      <c r="J112" s="45">
        <f t="shared" ca="1" si="44"/>
        <v>4.6539752418823382E-4</v>
      </c>
      <c r="K112" s="45">
        <f t="shared" ca="1" si="44"/>
        <v>4.671920366908586E-5</v>
      </c>
      <c r="L112" s="45">
        <f t="shared" ca="1" si="44"/>
        <v>6.8858000276738499E-6</v>
      </c>
      <c r="M112" s="45">
        <f t="shared" ca="1" si="44"/>
        <v>1.3433484869514156E-5</v>
      </c>
      <c r="N112" s="45">
        <f t="shared" ca="1" si="44"/>
        <v>1.9799201018373593E-6</v>
      </c>
      <c r="O112" s="45">
        <f t="shared" ca="1" si="44"/>
        <v>7.0048966564611889E-2</v>
      </c>
      <c r="P112" s="45">
        <v>0</v>
      </c>
      <c r="Q112" s="22">
        <f t="shared" ca="1" si="41"/>
        <v>7.3744416711154392E-2</v>
      </c>
      <c r="S112" s="45">
        <f t="shared" ca="1" si="45"/>
        <v>3.2035910051565644E-4</v>
      </c>
      <c r="T112" s="45">
        <f t="shared" ca="1" si="45"/>
        <v>0</v>
      </c>
      <c r="U112" s="45">
        <f t="shared" ca="1" si="45"/>
        <v>3.1601590561263835E-3</v>
      </c>
      <c r="V112" s="45">
        <f t="shared" ca="1" si="45"/>
        <v>4.6576614340983669E-4</v>
      </c>
      <c r="W112" s="45">
        <f t="shared" ca="1" si="45"/>
        <v>4.6756207726037906E-5</v>
      </c>
      <c r="X112" s="45">
        <f t="shared" ca="1" si="45"/>
        <v>6.8912539420468168E-6</v>
      </c>
      <c r="Y112" s="45">
        <f t="shared" ca="1" si="45"/>
        <v>1.3444124893318864E-5</v>
      </c>
      <c r="Z112" s="45">
        <f t="shared" ca="1" si="45"/>
        <v>1.9814883022871748E-6</v>
      </c>
      <c r="AA112" s="45">
        <f t="shared" ca="1" si="45"/>
        <v>6.9787468777786757E-2</v>
      </c>
      <c r="AB112" s="45">
        <v>0</v>
      </c>
      <c r="AC112" s="22">
        <f t="shared" ca="1" si="42"/>
        <v>7.3802826152702325E-2</v>
      </c>
    </row>
    <row r="113" spans="1:29" ht="12" customHeight="1" x14ac:dyDescent="0.25">
      <c r="A113" s="262"/>
      <c r="C113" s="263"/>
      <c r="D113" s="62">
        <f t="shared" si="43"/>
        <v>102</v>
      </c>
      <c r="E113" s="43">
        <f t="shared" si="40"/>
        <v>95.5</v>
      </c>
      <c r="F113" s="44" cm="1">
        <f t="array" ref="F113">_fnGENPOP.U(E113)</f>
        <v>0.64970000000000006</v>
      </c>
      <c r="G113" s="45">
        <f t="shared" ca="1" si="44"/>
        <v>3.1728303531440767E-6</v>
      </c>
      <c r="H113" s="45">
        <f t="shared" ca="1" si="44"/>
        <v>0</v>
      </c>
      <c r="I113" s="45">
        <f t="shared" ca="1" si="44"/>
        <v>3.1311623568143544E-3</v>
      </c>
      <c r="J113" s="45">
        <f t="shared" ca="1" si="44"/>
        <v>4.614924089014435E-4</v>
      </c>
      <c r="K113" s="45">
        <f t="shared" ca="1" si="44"/>
        <v>4.6327186378592022E-5</v>
      </c>
      <c r="L113" s="45">
        <f t="shared" ca="1" si="44"/>
        <v>6.8280218024958088E-6</v>
      </c>
      <c r="M113" s="45">
        <f t="shared" ca="1" si="44"/>
        <v>1.3320765518008561E-5</v>
      </c>
      <c r="N113" s="45">
        <f t="shared" ca="1" si="44"/>
        <v>1.9633067426025958E-6</v>
      </c>
      <c r="O113" s="45">
        <f t="shared" ca="1" si="44"/>
        <v>6.9461366033598662E-2</v>
      </c>
      <c r="P113" s="45">
        <v>0</v>
      </c>
      <c r="Q113" s="22">
        <f t="shared" ca="1" si="41"/>
        <v>7.3125632910109303E-2</v>
      </c>
      <c r="S113" s="45">
        <f t="shared" ca="1" si="45"/>
        <v>3.0106292469665269E-4</v>
      </c>
      <c r="T113" s="45">
        <f t="shared" ca="1" si="45"/>
        <v>0</v>
      </c>
      <c r="U113" s="45">
        <f t="shared" ca="1" si="45"/>
        <v>3.1336424014443602E-3</v>
      </c>
      <c r="V113" s="45">
        <f t="shared" ca="1" si="45"/>
        <v>4.6185793506714793E-4</v>
      </c>
      <c r="W113" s="45">
        <f t="shared" ca="1" si="45"/>
        <v>4.6363879937311969E-5</v>
      </c>
      <c r="X113" s="45">
        <f t="shared" ca="1" si="45"/>
        <v>6.8334299534874008E-6</v>
      </c>
      <c r="Y113" s="45">
        <f t="shared" ca="1" si="45"/>
        <v>1.3331316262181442E-5</v>
      </c>
      <c r="Z113" s="45">
        <f t="shared" ca="1" si="45"/>
        <v>1.9648617844015143E-6</v>
      </c>
      <c r="AA113" s="45">
        <f t="shared" ca="1" si="45"/>
        <v>6.9218495493322818E-2</v>
      </c>
      <c r="AB113" s="45">
        <v>0</v>
      </c>
      <c r="AC113" s="22">
        <f t="shared" ca="1" si="42"/>
        <v>7.3183552242468364E-2</v>
      </c>
    </row>
    <row r="114" spans="1:29" ht="12" customHeight="1" x14ac:dyDescent="0.25">
      <c r="A114" s="262"/>
      <c r="C114" s="263"/>
      <c r="D114" s="62">
        <f t="shared" si="43"/>
        <v>103</v>
      </c>
      <c r="E114" s="43">
        <f t="shared" si="40"/>
        <v>95.75</v>
      </c>
      <c r="F114" s="44" cm="1">
        <f t="array" ref="F114">_fnGENPOP.U(E114)</f>
        <v>0.64970000000000006</v>
      </c>
      <c r="G114" s="45">
        <f t="shared" ca="1" si="44"/>
        <v>2.981721399973733E-6</v>
      </c>
      <c r="H114" s="45">
        <f t="shared" ca="1" si="44"/>
        <v>0</v>
      </c>
      <c r="I114" s="45">
        <f t="shared" ca="1" si="44"/>
        <v>3.1048890112344734E-3</v>
      </c>
      <c r="J114" s="45">
        <f t="shared" ca="1" si="44"/>
        <v>4.5762006114050054E-4</v>
      </c>
      <c r="K114" s="45">
        <f t="shared" ca="1" si="44"/>
        <v>4.5938458475415943E-5</v>
      </c>
      <c r="L114" s="45">
        <f t="shared" ca="1" si="44"/>
        <v>6.7707283900180072E-6</v>
      </c>
      <c r="M114" s="45">
        <f t="shared" ca="1" si="44"/>
        <v>1.320899198602242E-5</v>
      </c>
      <c r="N114" s="45">
        <f t="shared" ca="1" si="44"/>
        <v>1.9468327848036823E-6</v>
      </c>
      <c r="O114" s="45">
        <f t="shared" ca="1" si="44"/>
        <v>6.8878685471541953E-2</v>
      </c>
      <c r="P114" s="45">
        <v>0</v>
      </c>
      <c r="Q114" s="22">
        <f t="shared" ca="1" si="41"/>
        <v>7.2512041276953154E-2</v>
      </c>
      <c r="S114" s="45">
        <f t="shared" ca="1" si="45"/>
        <v>2.8292901459957959E-4</v>
      </c>
      <c r="T114" s="45">
        <f t="shared" ca="1" si="45"/>
        <v>0</v>
      </c>
      <c r="U114" s="45">
        <f t="shared" ca="1" si="45"/>
        <v>3.1073482459983044E-3</v>
      </c>
      <c r="V114" s="45">
        <f t="shared" ca="1" si="45"/>
        <v>4.5798252020390372E-4</v>
      </c>
      <c r="W114" s="45">
        <f t="shared" ca="1" si="45"/>
        <v>4.5974844141270912E-5</v>
      </c>
      <c r="X114" s="45">
        <f t="shared" ca="1" si="45"/>
        <v>6.7760911616252812E-6</v>
      </c>
      <c r="Y114" s="45">
        <f t="shared" ca="1" si="45"/>
        <v>1.3219454199702087E-5</v>
      </c>
      <c r="Z114" s="45">
        <f t="shared" ca="1" si="45"/>
        <v>1.9483747783649429E-6</v>
      </c>
      <c r="AA114" s="45">
        <f t="shared" ca="1" si="45"/>
        <v>6.865329606750957E-2</v>
      </c>
      <c r="AB114" s="45">
        <v>0</v>
      </c>
      <c r="AC114" s="22">
        <f t="shared" ca="1" si="42"/>
        <v>7.2569474612592319E-2</v>
      </c>
    </row>
    <row r="115" spans="1:29" ht="12" customHeight="1" x14ac:dyDescent="0.25">
      <c r="A115" s="262"/>
      <c r="C115" s="263"/>
      <c r="D115" s="62">
        <f t="shared" si="43"/>
        <v>104</v>
      </c>
      <c r="E115" s="43">
        <f t="shared" si="40"/>
        <v>96</v>
      </c>
      <c r="F115" s="44" cm="1">
        <f t="array" ref="F115">_fnGENPOP.U(E115)</f>
        <v>0.64970000000000006</v>
      </c>
      <c r="G115" s="45">
        <f t="shared" ca="1" si="44"/>
        <v>2.8021235040982342E-6</v>
      </c>
      <c r="H115" s="45">
        <f t="shared" ca="1" si="44"/>
        <v>0</v>
      </c>
      <c r="I115" s="45">
        <f t="shared" ca="1" si="44"/>
        <v>3.0788361233023602E-3</v>
      </c>
      <c r="J115" s="45">
        <f t="shared" ca="1" si="44"/>
        <v>4.5378020595558357E-4</v>
      </c>
      <c r="K115" s="45">
        <f t="shared" ca="1" si="44"/>
        <v>4.5552992358558446E-5</v>
      </c>
      <c r="L115" s="45">
        <f t="shared" ca="1" si="44"/>
        <v>6.7139157222138897E-6</v>
      </c>
      <c r="M115" s="45">
        <f t="shared" ca="1" si="44"/>
        <v>1.309815633725596E-5</v>
      </c>
      <c r="N115" s="45">
        <f t="shared" ca="1" si="44"/>
        <v>1.9304970587337543E-6</v>
      </c>
      <c r="O115" s="45">
        <f t="shared" ca="1" si="44"/>
        <v>6.8300884230360639E-2</v>
      </c>
      <c r="P115" s="45">
        <v>0</v>
      </c>
      <c r="Q115" s="22">
        <f t="shared" ca="1" si="41"/>
        <v>7.1903598244599437E-2</v>
      </c>
      <c r="S115" s="45">
        <f t="shared" ca="1" si="45"/>
        <v>2.6588736352357346E-4</v>
      </c>
      <c r="T115" s="45">
        <f t="shared" ca="1" si="45"/>
        <v>0</v>
      </c>
      <c r="U115" s="45">
        <f t="shared" ca="1" si="45"/>
        <v>3.0812747228140223E-3</v>
      </c>
      <c r="V115" s="45">
        <f t="shared" ca="1" si="45"/>
        <v>4.5413962365250805E-4</v>
      </c>
      <c r="W115" s="45">
        <f t="shared" ca="1" si="45"/>
        <v>4.5589072715054071E-5</v>
      </c>
      <c r="X115" s="45">
        <f t="shared" ca="1" si="45"/>
        <v>6.7192334952118142E-6</v>
      </c>
      <c r="Y115" s="45">
        <f t="shared" ca="1" si="45"/>
        <v>1.3108530763295059E-5</v>
      </c>
      <c r="Z115" s="45">
        <f t="shared" ca="1" si="45"/>
        <v>1.9320261135441298E-6</v>
      </c>
      <c r="AA115" s="45">
        <f t="shared" ca="1" si="45"/>
        <v>6.8091899088403088E-2</v>
      </c>
      <c r="AB115" s="45">
        <v>0</v>
      </c>
      <c r="AC115" s="22">
        <f t="shared" ca="1" si="42"/>
        <v>7.19605496614803E-2</v>
      </c>
    </row>
    <row r="116" spans="1:29" ht="12" customHeight="1" x14ac:dyDescent="0.25">
      <c r="A116" s="262"/>
      <c r="C116" s="263"/>
      <c r="D116" s="62">
        <f t="shared" si="43"/>
        <v>105</v>
      </c>
      <c r="E116" s="43">
        <f t="shared" si="40"/>
        <v>96.25</v>
      </c>
      <c r="F116" s="44" cm="1">
        <f t="array" ref="F116">_fnGENPOP.U(E116)</f>
        <v>0.64970000000000006</v>
      </c>
      <c r="G116" s="45">
        <f t="shared" ca="1" si="44"/>
        <v>2.6333433205023565E-6</v>
      </c>
      <c r="H116" s="45">
        <f t="shared" ca="1" si="44"/>
        <v>0</v>
      </c>
      <c r="I116" s="45">
        <f t="shared" ca="1" si="44"/>
        <v>3.0530018431746313E-3</v>
      </c>
      <c r="J116" s="45">
        <f t="shared" ca="1" si="44"/>
        <v>4.4997257070395451E-4</v>
      </c>
      <c r="K116" s="45">
        <f t="shared" ca="1" si="44"/>
        <v>4.5170760658618202E-5</v>
      </c>
      <c r="L116" s="45">
        <f t="shared" ca="1" si="44"/>
        <v>6.6575797651914038E-6</v>
      </c>
      <c r="M116" s="45">
        <f t="shared" ca="1" si="44"/>
        <v>1.2988250702002301E-5</v>
      </c>
      <c r="N116" s="45">
        <f t="shared" ca="1" si="44"/>
        <v>1.9142984045008711E-6</v>
      </c>
      <c r="O116" s="45">
        <f t="shared" ca="1" si="44"/>
        <v>6.7727921964800361E-2</v>
      </c>
      <c r="P116" s="45">
        <v>0</v>
      </c>
      <c r="Q116" s="22">
        <f t="shared" ca="1" si="41"/>
        <v>7.1300260611529762E-2</v>
      </c>
      <c r="S116" s="45">
        <f t="shared" ca="1" si="45"/>
        <v>2.4987218147835008E-4</v>
      </c>
      <c r="T116" s="45">
        <f t="shared" ca="1" si="45"/>
        <v>0</v>
      </c>
      <c r="U116" s="45">
        <f t="shared" ca="1" si="45"/>
        <v>3.0554199805829601E-3</v>
      </c>
      <c r="V116" s="45">
        <f t="shared" ca="1" si="45"/>
        <v>4.5032897255427545E-4</v>
      </c>
      <c r="W116" s="45">
        <f t="shared" ca="1" si="45"/>
        <v>4.5206538267582125E-5</v>
      </c>
      <c r="X116" s="45">
        <f t="shared" ca="1" si="45"/>
        <v>6.662852917159894E-6</v>
      </c>
      <c r="Y116" s="45">
        <f t="shared" ca="1" si="45"/>
        <v>1.299853807702026E-5</v>
      </c>
      <c r="Z116" s="45">
        <f t="shared" ca="1" si="45"/>
        <v>1.9158146291284377E-6</v>
      </c>
      <c r="AA116" s="45">
        <f t="shared" ca="1" si="45"/>
        <v>6.7534329274889546E-2</v>
      </c>
      <c r="AB116" s="45">
        <v>0</v>
      </c>
      <c r="AC116" s="22">
        <f t="shared" ca="1" si="42"/>
        <v>7.1356734153396023E-2</v>
      </c>
    </row>
    <row r="117" spans="1:29" ht="12" customHeight="1" x14ac:dyDescent="0.25">
      <c r="A117" s="262"/>
      <c r="C117" s="263"/>
      <c r="D117" s="62">
        <f t="shared" si="43"/>
        <v>106</v>
      </c>
      <c r="E117" s="43">
        <f t="shared" si="40"/>
        <v>96.5</v>
      </c>
      <c r="F117" s="44" cm="1">
        <f t="array" ref="F117">_fnGENPOP.U(E117)</f>
        <v>0.64970000000000006</v>
      </c>
      <c r="G117" s="45">
        <f t="shared" ca="1" si="44"/>
        <v>2.4747292663911343E-6</v>
      </c>
      <c r="H117" s="45">
        <f t="shared" ca="1" si="44"/>
        <v>0</v>
      </c>
      <c r="I117" s="45">
        <f t="shared" ca="1" si="44"/>
        <v>3.0273843365297994E-3</v>
      </c>
      <c r="J117" s="45">
        <f t="shared" ca="1" si="44"/>
        <v>4.4619688503059958E-4</v>
      </c>
      <c r="K117" s="45">
        <f t="shared" ca="1" si="44"/>
        <v>4.4791736235848449E-5</v>
      </c>
      <c r="L117" s="45">
        <f t="shared" ca="1" si="44"/>
        <v>6.6017165189065783E-6</v>
      </c>
      <c r="M117" s="45">
        <f t="shared" ca="1" si="44"/>
        <v>1.2879267276588673E-5</v>
      </c>
      <c r="N117" s="45">
        <f t="shared" ca="1" si="44"/>
        <v>1.8982356719456564E-6</v>
      </c>
      <c r="O117" s="45">
        <f t="shared" ca="1" si="44"/>
        <v>6.7159758632196323E-2</v>
      </c>
      <c r="P117" s="45">
        <v>0</v>
      </c>
      <c r="Q117" s="22">
        <f t="shared" ca="1" si="41"/>
        <v>7.0701985538726406E-2</v>
      </c>
      <c r="S117" s="45">
        <f t="shared" ca="1" si="45"/>
        <v>2.3482164119925899E-4</v>
      </c>
      <c r="T117" s="45">
        <f t="shared" ca="1" si="45"/>
        <v>0</v>
      </c>
      <c r="U117" s="45">
        <f t="shared" ca="1" si="45"/>
        <v>3.0297821835307492E-3</v>
      </c>
      <c r="V117" s="45">
        <f t="shared" ca="1" si="45"/>
        <v>4.4655029634005692E-4</v>
      </c>
      <c r="W117" s="45">
        <f t="shared" ca="1" si="45"/>
        <v>4.4827213637612236E-5</v>
      </c>
      <c r="X117" s="45">
        <f t="shared" ca="1" si="45"/>
        <v>6.606945424257303E-6</v>
      </c>
      <c r="Y117" s="45">
        <f t="shared" ca="1" si="45"/>
        <v>1.2889468331024001E-5</v>
      </c>
      <c r="Z117" s="45">
        <f t="shared" ca="1" si="45"/>
        <v>1.8997391740475033E-6</v>
      </c>
      <c r="AA117" s="45">
        <f t="shared" ca="1" si="45"/>
        <v>6.6980607727754021E-2</v>
      </c>
      <c r="AB117" s="45">
        <v>0</v>
      </c>
      <c r="AC117" s="22">
        <f t="shared" ca="1" si="42"/>
        <v>7.0757985215391034E-2</v>
      </c>
    </row>
    <row r="118" spans="1:29" ht="12" customHeight="1" x14ac:dyDescent="0.25">
      <c r="A118" s="262"/>
      <c r="C118" s="263"/>
      <c r="D118" s="62">
        <f t="shared" si="43"/>
        <v>107</v>
      </c>
      <c r="E118" s="43">
        <f t="shared" si="40"/>
        <v>96.75</v>
      </c>
      <c r="F118" s="44" cm="1">
        <f t="array" ref="F118">_fnGENPOP.U(E118)</f>
        <v>0.64970000000000006</v>
      </c>
      <c r="G118" s="45">
        <f t="shared" ca="1" si="44"/>
        <v>2.3256690057278543E-6</v>
      </c>
      <c r="H118" s="45">
        <f t="shared" ca="1" si="44"/>
        <v>0</v>
      </c>
      <c r="I118" s="45">
        <f t="shared" ca="1" si="44"/>
        <v>3.0019817844380301E-3</v>
      </c>
      <c r="J118" s="45">
        <f t="shared" ca="1" si="44"/>
        <v>4.424528808490335E-4</v>
      </c>
      <c r="K118" s="45">
        <f t="shared" ca="1" si="44"/>
        <v>4.4415892178229997E-5</v>
      </c>
      <c r="L118" s="45">
        <f t="shared" ca="1" si="44"/>
        <v>6.5463220168795096E-6</v>
      </c>
      <c r="M118" s="45">
        <f t="shared" ca="1" si="44"/>
        <v>1.2771198322822337E-5</v>
      </c>
      <c r="N118" s="45">
        <f t="shared" ca="1" si="44"/>
        <v>1.8823077205596334E-6</v>
      </c>
      <c r="O118" s="45">
        <f t="shared" ca="1" si="44"/>
        <v>6.6596354492099288E-2</v>
      </c>
      <c r="P118" s="45">
        <v>0</v>
      </c>
      <c r="Q118" s="22">
        <f t="shared" ca="1" si="41"/>
        <v>7.0108730546630568E-2</v>
      </c>
      <c r="S118" s="45">
        <f t="shared" ca="1" si="45"/>
        <v>2.2067763946060232E-4</v>
      </c>
      <c r="T118" s="45">
        <f t="shared" ca="1" si="45"/>
        <v>0</v>
      </c>
      <c r="U118" s="45">
        <f t="shared" ca="1" si="45"/>
        <v>3.0043595112868686E-3</v>
      </c>
      <c r="V118" s="45">
        <f t="shared" ca="1" si="45"/>
        <v>4.4280332671102853E-4</v>
      </c>
      <c r="W118" s="45">
        <f t="shared" ca="1" si="45"/>
        <v>4.445107189180946E-5</v>
      </c>
      <c r="X118" s="45">
        <f t="shared" ca="1" si="45"/>
        <v>6.551507046882479E-6</v>
      </c>
      <c r="Y118" s="45">
        <f t="shared" ca="1" si="45"/>
        <v>1.2781313780984489E-5</v>
      </c>
      <c r="Z118" s="45">
        <f t="shared" ca="1" si="45"/>
        <v>1.8837986068895079E-6</v>
      </c>
      <c r="AA118" s="45">
        <f t="shared" ca="1" si="45"/>
        <v>6.6430752165475421E-2</v>
      </c>
      <c r="AB118" s="45">
        <v>0</v>
      </c>
      <c r="AC118" s="22">
        <f t="shared" ca="1" si="42"/>
        <v>7.0164260334260486E-2</v>
      </c>
    </row>
    <row r="119" spans="1:29" ht="12" customHeight="1" x14ac:dyDescent="0.25">
      <c r="A119" s="262"/>
      <c r="C119" s="263"/>
      <c r="D119" s="62">
        <f t="shared" si="43"/>
        <v>108</v>
      </c>
      <c r="E119" s="43">
        <f t="shared" si="40"/>
        <v>97</v>
      </c>
      <c r="F119" s="44" cm="1">
        <f t="array" ref="F119">_fnGENPOP.U(E119)</f>
        <v>0.64970000000000006</v>
      </c>
      <c r="G119" s="45">
        <f t="shared" ca="1" si="44"/>
        <v>2.1855870852857681E-6</v>
      </c>
      <c r="H119" s="45">
        <f t="shared" ca="1" si="44"/>
        <v>0</v>
      </c>
      <c r="I119" s="45">
        <f t="shared" ca="1" si="44"/>
        <v>2.9767923832319902E-3</v>
      </c>
      <c r="J119" s="45">
        <f t="shared" ca="1" si="44"/>
        <v>4.3874029232226439E-4</v>
      </c>
      <c r="K119" s="45">
        <f t="shared" ca="1" si="44"/>
        <v>4.404320179956033E-5</v>
      </c>
      <c r="L119" s="45">
        <f t="shared" ca="1" si="44"/>
        <v>6.4913923259127206E-6</v>
      </c>
      <c r="M119" s="45">
        <f t="shared" ca="1" si="44"/>
        <v>1.2664036167441142E-5</v>
      </c>
      <c r="N119" s="45">
        <f t="shared" ca="1" si="44"/>
        <v>1.8665134194042458E-6</v>
      </c>
      <c r="O119" s="45">
        <f t="shared" ca="1" si="44"/>
        <v>6.6037670105774396E-2</v>
      </c>
      <c r="P119" s="45">
        <v>0</v>
      </c>
      <c r="Q119" s="22">
        <f t="shared" ca="1" si="41"/>
        <v>6.9520453512126254E-2</v>
      </c>
      <c r="S119" s="45">
        <f t="shared" ca="1" si="45"/>
        <v>2.0738557276575776E-4</v>
      </c>
      <c r="T119" s="45">
        <f t="shared" ca="1" si="45"/>
        <v>0</v>
      </c>
      <c r="U119" s="45">
        <f t="shared" ca="1" si="45"/>
        <v>2.9791501587553863E-3</v>
      </c>
      <c r="V119" s="45">
        <f t="shared" ca="1" si="45"/>
        <v>4.3908779761964162E-4</v>
      </c>
      <c r="W119" s="45">
        <f t="shared" ca="1" si="45"/>
        <v>4.4078086322834427E-5</v>
      </c>
      <c r="X119" s="45">
        <f t="shared" ca="1" si="45"/>
        <v>6.4965338487226465E-6</v>
      </c>
      <c r="Y119" s="45">
        <f t="shared" ca="1" si="45"/>
        <v>1.2674066747561941E-5</v>
      </c>
      <c r="Z119" s="45">
        <f t="shared" ca="1" si="45"/>
        <v>1.8679917958201326E-6</v>
      </c>
      <c r="AA119" s="45">
        <f t="shared" ca="1" si="45"/>
        <v>6.5884777145668941E-2</v>
      </c>
      <c r="AB119" s="45">
        <v>0</v>
      </c>
      <c r="AC119" s="22">
        <f t="shared" ca="1" si="42"/>
        <v>6.9575517353524671E-2</v>
      </c>
    </row>
    <row r="120" spans="1:29" ht="12" customHeight="1" x14ac:dyDescent="0.25">
      <c r="A120" s="262"/>
      <c r="C120" s="263"/>
      <c r="D120" s="62">
        <f t="shared" si="43"/>
        <v>109</v>
      </c>
      <c r="E120" s="43">
        <f t="shared" si="40"/>
        <v>97.25</v>
      </c>
      <c r="F120" s="44" cm="1">
        <f t="array" ref="F120">_fnGENPOP.U(E120)</f>
        <v>0.64970000000000006</v>
      </c>
      <c r="G120" s="45">
        <f t="shared" ca="1" si="44"/>
        <v>2.0539427130873979E-6</v>
      </c>
      <c r="H120" s="45">
        <f t="shared" ca="1" si="44"/>
        <v>0</v>
      </c>
      <c r="I120" s="45">
        <f t="shared" ca="1" si="44"/>
        <v>2.9518143443787825E-3</v>
      </c>
      <c r="J120" s="45">
        <f t="shared" ca="1" si="44"/>
        <v>4.3505885584391835E-4</v>
      </c>
      <c r="K120" s="45">
        <f t="shared" ca="1" si="44"/>
        <v>4.3673638637558866E-5</v>
      </c>
      <c r="L120" s="45">
        <f t="shared" ca="1" si="44"/>
        <v>6.4369235458119009E-6</v>
      </c>
      <c r="M120" s="45">
        <f t="shared" ca="1" si="44"/>
        <v>1.2557773201568684E-5</v>
      </c>
      <c r="N120" s="45">
        <f t="shared" ca="1" si="44"/>
        <v>1.8508516470305558E-6</v>
      </c>
      <c r="O120" s="45">
        <f t="shared" ca="1" si="44"/>
        <v>6.5483666335581489E-2</v>
      </c>
      <c r="P120" s="45">
        <v>0</v>
      </c>
      <c r="Q120" s="22">
        <f t="shared" ca="1" si="41"/>
        <v>6.8937112665549249E-2</v>
      </c>
      <c r="S120" s="45">
        <f t="shared" ca="1" si="45"/>
        <v>1.9489412654814892E-4</v>
      </c>
      <c r="T120" s="45">
        <f t="shared" ca="1" si="45"/>
        <v>0</v>
      </c>
      <c r="U120" s="45">
        <f t="shared" ca="1" si="45"/>
        <v>2.9541523359867929E-3</v>
      </c>
      <c r="V120" s="45">
        <f t="shared" ca="1" si="45"/>
        <v>4.3540344525073201E-4</v>
      </c>
      <c r="W120" s="45">
        <f t="shared" ca="1" si="45"/>
        <v>4.370823044744703E-5</v>
      </c>
      <c r="X120" s="45">
        <f t="shared" ca="1" si="45"/>
        <v>6.4420219264943357E-6</v>
      </c>
      <c r="Y120" s="45">
        <f t="shared" ca="1" si="45"/>
        <v>1.2567719615853336E-5</v>
      </c>
      <c r="Z120" s="45">
        <f t="shared" ca="1" si="45"/>
        <v>1.8523176185021935E-6</v>
      </c>
      <c r="AA120" s="45">
        <f t="shared" ca="1" si="45"/>
        <v>6.5342694273041638E-2</v>
      </c>
      <c r="AB120" s="45">
        <v>0</v>
      </c>
      <c r="AC120" s="22">
        <f t="shared" ca="1" si="42"/>
        <v>6.8991714470435603E-2</v>
      </c>
    </row>
    <row r="121" spans="1:29" ht="12" customHeight="1" x14ac:dyDescent="0.25">
      <c r="A121" s="262"/>
      <c r="C121" s="263"/>
      <c r="D121" s="62">
        <f t="shared" si="43"/>
        <v>110</v>
      </c>
      <c r="E121" s="43">
        <f t="shared" si="40"/>
        <v>97.5</v>
      </c>
      <c r="F121" s="44" cm="1">
        <f t="array" ref="F121">_fnGENPOP.U(E121)</f>
        <v>0.64970000000000006</v>
      </c>
      <c r="G121" s="45">
        <f t="shared" ref="G121:O131" ca="1" si="46">PRODUCT(AVERAGE(OFFSET(AB.Trace.MarkovQA.Root, $D121, (G$2-1)*AB.Trace.MarkovQA.NumCols+G$3-1, CHOOSE(swtchHalfCycle, 2, 1))), $F121+G$6, AB.cycleLength)</f>
        <v>1.9302276706550093E-6</v>
      </c>
      <c r="H121" s="45">
        <f t="shared" ca="1" si="46"/>
        <v>0</v>
      </c>
      <c r="I121" s="45">
        <f t="shared" ca="1" si="46"/>
        <v>2.9270458943529542E-3</v>
      </c>
      <c r="J121" s="45">
        <f t="shared" ca="1" si="46"/>
        <v>4.314083100195223E-4</v>
      </c>
      <c r="K121" s="45">
        <f t="shared" ca="1" si="46"/>
        <v>4.3307176451988008E-5</v>
      </c>
      <c r="L121" s="45">
        <f t="shared" ca="1" si="46"/>
        <v>6.3829118091089702E-6</v>
      </c>
      <c r="M121" s="45">
        <f t="shared" ca="1" si="46"/>
        <v>1.2452401880174079E-5</v>
      </c>
      <c r="N121" s="45">
        <f t="shared" ca="1" si="46"/>
        <v>1.8353212913996205E-6</v>
      </c>
      <c r="O121" s="45">
        <f t="shared" ca="1" si="46"/>
        <v>6.4934304344245714E-2</v>
      </c>
      <c r="P121" s="45">
        <v>0</v>
      </c>
      <c r="Q121" s="22">
        <f t="shared" ca="1" si="41"/>
        <v>6.8358666587721509E-2</v>
      </c>
      <c r="S121" s="45">
        <f t="shared" ref="S121:AA131" ca="1" si="47">PRODUCT(AVERAGE(OFFSET(AB.Trace.MarkovQA.Root, $D121, (S$2-1)*AB.Trace.MarkovQA.NumCols+S$3-1, CHOOSE(swtchHalfCycle, 2, 1))), $F121+S$6, AB.cycleLength)</f>
        <v>1.8315507706926428E-4</v>
      </c>
      <c r="T121" s="45">
        <f t="shared" ca="1" si="47"/>
        <v>0</v>
      </c>
      <c r="U121" s="45">
        <f t="shared" ca="1" si="47"/>
        <v>2.9293642680509107E-3</v>
      </c>
      <c r="V121" s="45">
        <f t="shared" ca="1" si="47"/>
        <v>4.3175000800278887E-4</v>
      </c>
      <c r="W121" s="45">
        <f t="shared" ca="1" si="47"/>
        <v>4.3341478004626018E-5</v>
      </c>
      <c r="X121" s="45">
        <f t="shared" ca="1" si="47"/>
        <v>6.387967409666229E-6</v>
      </c>
      <c r="Y121" s="45">
        <f t="shared" ca="1" si="47"/>
        <v>1.2462264834851721E-5</v>
      </c>
      <c r="Z121" s="45">
        <f t="shared" ca="1" si="47"/>
        <v>1.8367749620159542E-6</v>
      </c>
      <c r="AA121" s="45">
        <f t="shared" ca="1" si="47"/>
        <v>6.4804512394674982E-2</v>
      </c>
      <c r="AB121" s="45">
        <v>0</v>
      </c>
      <c r="AC121" s="22">
        <f t="shared" ca="1" si="42"/>
        <v>6.8412810233009103E-2</v>
      </c>
    </row>
    <row r="122" spans="1:29" ht="12" customHeight="1" x14ac:dyDescent="0.25">
      <c r="A122" s="262"/>
      <c r="C122" s="263"/>
      <c r="D122" s="62">
        <f t="shared" si="43"/>
        <v>111</v>
      </c>
      <c r="E122" s="43">
        <f t="shared" si="40"/>
        <v>97.75</v>
      </c>
      <c r="F122" s="44" cm="1">
        <f t="array" ref="F122">_fnGENPOP.U(E122)</f>
        <v>0.64970000000000006</v>
      </c>
      <c r="G122" s="45">
        <f t="shared" ca="1" si="46"/>
        <v>1.8139643510124165E-6</v>
      </c>
      <c r="H122" s="45">
        <f t="shared" ca="1" si="46"/>
        <v>0</v>
      </c>
      <c r="I122" s="45">
        <f t="shared" ca="1" si="46"/>
        <v>2.9024852745105686E-3</v>
      </c>
      <c r="J122" s="45">
        <f t="shared" ca="1" si="46"/>
        <v>4.2778839564794471E-4</v>
      </c>
      <c r="K122" s="45">
        <f t="shared" ca="1" si="46"/>
        <v>4.2943789222789977E-5</v>
      </c>
      <c r="L122" s="45">
        <f t="shared" ca="1" si="46"/>
        <v>6.3293532807874813E-6</v>
      </c>
      <c r="M122" s="45">
        <f t="shared" ca="1" si="46"/>
        <v>1.2347914721536216E-5</v>
      </c>
      <c r="N122" s="45">
        <f t="shared" ca="1" si="46"/>
        <v>1.8199212498035302E-6</v>
      </c>
      <c r="O122" s="45">
        <f t="shared" ca="1" si="46"/>
        <v>6.4389545594025682E-2</v>
      </c>
      <c r="P122" s="45">
        <v>0</v>
      </c>
      <c r="Q122" s="22">
        <f t="shared" ca="1" si="41"/>
        <v>6.7785074207010132E-2</v>
      </c>
      <c r="S122" s="45">
        <f t="shared" ca="1" si="47"/>
        <v>1.7212310524894451E-4</v>
      </c>
      <c r="T122" s="45">
        <f t="shared" ca="1" si="47"/>
        <v>0</v>
      </c>
      <c r="U122" s="45">
        <f t="shared" ca="1" si="47"/>
        <v>2.9047841949108653E-3</v>
      </c>
      <c r="V122" s="45">
        <f t="shared" ca="1" si="47"/>
        <v>4.2812722646937964E-4</v>
      </c>
      <c r="W122" s="45">
        <f t="shared" ca="1" si="47"/>
        <v>4.2977802953704407E-5</v>
      </c>
      <c r="X122" s="45">
        <f t="shared" ca="1" si="47"/>
        <v>6.3343664601843472E-6</v>
      </c>
      <c r="Y122" s="45">
        <f t="shared" ca="1" si="47"/>
        <v>1.2357694916910076E-5</v>
      </c>
      <c r="Z122" s="45">
        <f t="shared" ca="1" si="47"/>
        <v>1.8213627227801022E-6</v>
      </c>
      <c r="AA122" s="45">
        <f t="shared" ca="1" si="47"/>
        <v>6.4270237783398604E-2</v>
      </c>
      <c r="AB122" s="45">
        <v>0</v>
      </c>
      <c r="AC122" s="22">
        <f t="shared" ca="1" si="42"/>
        <v>6.7838763537081376E-2</v>
      </c>
    </row>
    <row r="123" spans="1:29" ht="12" customHeight="1" x14ac:dyDescent="0.25">
      <c r="A123" s="262"/>
      <c r="C123" s="263"/>
      <c r="D123" s="62">
        <f t="shared" si="43"/>
        <v>112</v>
      </c>
      <c r="E123" s="43">
        <f t="shared" si="40"/>
        <v>98</v>
      </c>
      <c r="F123" s="44" cm="1">
        <f t="array" ref="F123">_fnGENPOP.U(E123)</f>
        <v>0.64970000000000006</v>
      </c>
      <c r="G123" s="45">
        <f t="shared" ca="1" si="46"/>
        <v>1.7047039148637324E-6</v>
      </c>
      <c r="H123" s="45">
        <f t="shared" ca="1" si="46"/>
        <v>0</v>
      </c>
      <c r="I123" s="45">
        <f t="shared" ca="1" si="46"/>
        <v>2.8781307409643381E-3</v>
      </c>
      <c r="J123" s="45">
        <f t="shared" ca="1" si="46"/>
        <v>4.2419885570299087E-4</v>
      </c>
      <c r="K123" s="45">
        <f t="shared" ca="1" si="46"/>
        <v>4.2583451148239347E-5</v>
      </c>
      <c r="L123" s="45">
        <f t="shared" ca="1" si="46"/>
        <v>6.2762441580103207E-6</v>
      </c>
      <c r="M123" s="45">
        <f t="shared" ca="1" si="46"/>
        <v>1.2244304306712539E-5</v>
      </c>
      <c r="N123" s="45">
        <f t="shared" ca="1" si="46"/>
        <v>1.8046504287871126E-6</v>
      </c>
      <c r="O123" s="45">
        <f t="shared" ca="1" si="46"/>
        <v>6.3849351845787189E-2</v>
      </c>
      <c r="P123" s="45">
        <v>0</v>
      </c>
      <c r="Q123" s="22">
        <f t="shared" ca="1" si="41"/>
        <v>6.7216294796411127E-2</v>
      </c>
      <c r="S123" s="45">
        <f t="shared" ca="1" si="47"/>
        <v>1.6175562170922148E-4</v>
      </c>
      <c r="T123" s="45">
        <f t="shared" ca="1" si="47"/>
        <v>0</v>
      </c>
      <c r="U123" s="45">
        <f t="shared" ca="1" si="47"/>
        <v>2.8804103712981176E-3</v>
      </c>
      <c r="V123" s="45">
        <f t="shared" ca="1" si="47"/>
        <v>4.2453484342073127E-4</v>
      </c>
      <c r="W123" s="45">
        <f t="shared" ca="1" si="47"/>
        <v>4.2617179472520404E-5</v>
      </c>
      <c r="X123" s="45">
        <f t="shared" ca="1" si="47"/>
        <v>6.2812152721995301E-6</v>
      </c>
      <c r="Y123" s="45">
        <f t="shared" ca="1" si="47"/>
        <v>1.2254002437209649E-5</v>
      </c>
      <c r="Z123" s="45">
        <f t="shared" ca="1" si="47"/>
        <v>1.8060798064733925E-6</v>
      </c>
      <c r="AA123" s="45">
        <f t="shared" ca="1" si="47"/>
        <v>6.3739874309974021E-2</v>
      </c>
      <c r="AB123" s="45">
        <v>0</v>
      </c>
      <c r="AC123" s="22">
        <f t="shared" ca="1" si="42"/>
        <v>6.7269533623390498E-2</v>
      </c>
    </row>
    <row r="124" spans="1:29" ht="12" customHeight="1" x14ac:dyDescent="0.25">
      <c r="A124" s="262"/>
      <c r="C124" s="263"/>
      <c r="D124" s="62">
        <f t="shared" si="43"/>
        <v>113</v>
      </c>
      <c r="E124" s="43">
        <f t="shared" si="40"/>
        <v>98.25</v>
      </c>
      <c r="F124" s="44" cm="1">
        <f t="array" ref="F124">_fnGENPOP.U(E124)</f>
        <v>0.64970000000000006</v>
      </c>
      <c r="G124" s="45">
        <f t="shared" ca="1" si="46"/>
        <v>1.6020245578309297E-6</v>
      </c>
      <c r="H124" s="45">
        <f t="shared" ca="1" si="46"/>
        <v>0</v>
      </c>
      <c r="I124" s="45">
        <f t="shared" ca="1" si="46"/>
        <v>2.8539805644598E-3</v>
      </c>
      <c r="J124" s="45">
        <f t="shared" ca="1" si="46"/>
        <v>4.2063943531515328E-4</v>
      </c>
      <c r="K124" s="45">
        <f t="shared" ca="1" si="46"/>
        <v>4.2226136643110982E-5</v>
      </c>
      <c r="L124" s="45">
        <f t="shared" ca="1" si="46"/>
        <v>6.2235806698496876E-6</v>
      </c>
      <c r="M124" s="45">
        <f t="shared" ca="1" si="46"/>
        <v>1.2141563279012281E-5</v>
      </c>
      <c r="N124" s="45">
        <f t="shared" ca="1" si="46"/>
        <v>1.7895077440702962E-6</v>
      </c>
      <c r="O124" s="45">
        <f t="shared" ca="1" si="46"/>
        <v>6.3313685157988964E-2</v>
      </c>
      <c r="P124" s="45">
        <v>0</v>
      </c>
      <c r="Q124" s="22">
        <f t="shared" ca="1" si="41"/>
        <v>6.6652287970657795E-2</v>
      </c>
      <c r="S124" s="45">
        <f t="shared" ca="1" si="47"/>
        <v>1.5201260235628487E-4</v>
      </c>
      <c r="T124" s="45">
        <f t="shared" ca="1" si="47"/>
        <v>0</v>
      </c>
      <c r="U124" s="45">
        <f t="shared" ca="1" si="47"/>
        <v>2.8562410665885461E-3</v>
      </c>
      <c r="V124" s="45">
        <f t="shared" ca="1" si="47"/>
        <v>4.2097260378546648E-4</v>
      </c>
      <c r="W124" s="45">
        <f t="shared" ca="1" si="47"/>
        <v>4.2259581955584081E-5</v>
      </c>
      <c r="X124" s="45">
        <f t="shared" ca="1" si="47"/>
        <v>6.2285100717972032E-6</v>
      </c>
      <c r="Y124" s="45">
        <f t="shared" ca="1" si="47"/>
        <v>1.2151180033232789E-5</v>
      </c>
      <c r="Z124" s="45">
        <f t="shared" ca="1" si="47"/>
        <v>1.7909251279569466E-6</v>
      </c>
      <c r="AA124" s="45">
        <f t="shared" ca="1" si="47"/>
        <v>6.3213423604763647E-2</v>
      </c>
      <c r="AB124" s="45">
        <v>0</v>
      </c>
      <c r="AC124" s="22">
        <f t="shared" ca="1" si="42"/>
        <v>6.670508007468251E-2</v>
      </c>
    </row>
    <row r="125" spans="1:29" ht="12" customHeight="1" x14ac:dyDescent="0.25">
      <c r="A125" s="262"/>
      <c r="C125" s="263"/>
      <c r="D125" s="62">
        <f t="shared" si="43"/>
        <v>114</v>
      </c>
      <c r="E125" s="43">
        <f t="shared" si="40"/>
        <v>98.5</v>
      </c>
      <c r="F125" s="44" cm="1">
        <f t="array" ref="F125">_fnGENPOP.U(E125)</f>
        <v>0.64970000000000006</v>
      </c>
      <c r="G125" s="45">
        <f t="shared" ca="1" si="46"/>
        <v>1.5055298820608034E-6</v>
      </c>
      <c r="H125" s="45">
        <f t="shared" ca="1" si="46"/>
        <v>0</v>
      </c>
      <c r="I125" s="45">
        <f t="shared" ca="1" si="46"/>
        <v>2.8300330302525344E-3</v>
      </c>
      <c r="J125" s="45">
        <f t="shared" ca="1" si="46"/>
        <v>4.1710988175351534E-4</v>
      </c>
      <c r="K125" s="45">
        <f t="shared" ca="1" si="46"/>
        <v>4.1871820336863481E-5</v>
      </c>
      <c r="L125" s="45">
        <f t="shared" ca="1" si="46"/>
        <v>6.171359077019356E-6</v>
      </c>
      <c r="M125" s="45">
        <f t="shared" ca="1" si="46"/>
        <v>1.2039684343474097E-5</v>
      </c>
      <c r="N125" s="45">
        <f t="shared" ca="1" si="46"/>
        <v>1.7744921204711211E-6</v>
      </c>
      <c r="O125" s="45">
        <f t="shared" ca="1" si="46"/>
        <v>6.2782507885587105E-2</v>
      </c>
      <c r="P125" s="45">
        <v>0</v>
      </c>
      <c r="Q125" s="22">
        <f t="shared" ca="1" si="41"/>
        <v>6.6093013683353047E-2</v>
      </c>
      <c r="S125" s="45">
        <f t="shared" ca="1" si="47"/>
        <v>1.4285643386583227E-4</v>
      </c>
      <c r="T125" s="45">
        <f t="shared" ca="1" si="47"/>
        <v>0</v>
      </c>
      <c r="U125" s="45">
        <f t="shared" ca="1" si="47"/>
        <v>2.8322745646795632E-3</v>
      </c>
      <c r="V125" s="45">
        <f t="shared" ca="1" si="47"/>
        <v>4.1744025463249238E-4</v>
      </c>
      <c r="W125" s="45">
        <f t="shared" ca="1" si="47"/>
        <v>4.1904985012259188E-5</v>
      </c>
      <c r="X125" s="45">
        <f t="shared" ca="1" si="47"/>
        <v>6.1762471167294288E-6</v>
      </c>
      <c r="Y125" s="45">
        <f t="shared" ca="1" si="47"/>
        <v>1.2049220404240163E-5</v>
      </c>
      <c r="Z125" s="45">
        <f t="shared" ca="1" si="47"/>
        <v>1.7758976111972038E-6</v>
      </c>
      <c r="AA125" s="45">
        <f t="shared" ca="1" si="47"/>
        <v>6.2690885209519223E-2</v>
      </c>
      <c r="AB125" s="45">
        <v>0</v>
      </c>
      <c r="AC125" s="22">
        <f t="shared" ca="1" si="42"/>
        <v>6.6145362812841543E-2</v>
      </c>
    </row>
    <row r="126" spans="1:29" ht="12" customHeight="1" x14ac:dyDescent="0.25">
      <c r="A126" s="262"/>
      <c r="C126" s="263"/>
      <c r="D126" s="62">
        <f t="shared" si="43"/>
        <v>115</v>
      </c>
      <c r="E126" s="43">
        <f t="shared" si="40"/>
        <v>98.75</v>
      </c>
      <c r="F126" s="44" cm="1">
        <f t="array" ref="F126">_fnGENPOP.U(E126)</f>
        <v>0.64970000000000006</v>
      </c>
      <c r="G126" s="45">
        <f t="shared" ca="1" si="46"/>
        <v>1.4148473659148648E-6</v>
      </c>
      <c r="H126" s="45">
        <f t="shared" ca="1" si="46"/>
        <v>0</v>
      </c>
      <c r="I126" s="45">
        <f t="shared" ca="1" si="46"/>
        <v>2.8062864379864117E-3</v>
      </c>
      <c r="J126" s="45">
        <f t="shared" ca="1" si="46"/>
        <v>4.1360994440780625E-4</v>
      </c>
      <c r="K126" s="45">
        <f t="shared" ca="1" si="46"/>
        <v>4.1520477071837671E-5</v>
      </c>
      <c r="L126" s="45">
        <f t="shared" ca="1" si="46"/>
        <v>6.1195756716091592E-6</v>
      </c>
      <c r="M126" s="45">
        <f t="shared" ca="1" si="46"/>
        <v>1.1938660266348121E-5</v>
      </c>
      <c r="N126" s="45">
        <f t="shared" ca="1" si="46"/>
        <v>1.7596024918293963E-6</v>
      </c>
      <c r="O126" s="45">
        <f t="shared" ca="1" si="46"/>
        <v>6.225578267886437E-2</v>
      </c>
      <c r="P126" s="45">
        <v>0</v>
      </c>
      <c r="Q126" s="22">
        <f t="shared" ca="1" si="41"/>
        <v>6.5538432224126128E-2</v>
      </c>
      <c r="S126" s="45">
        <f t="shared" ca="1" si="47"/>
        <v>1.3425176847529414E-4</v>
      </c>
      <c r="T126" s="45">
        <f t="shared" ca="1" si="47"/>
        <v>0</v>
      </c>
      <c r="U126" s="45">
        <f t="shared" ca="1" si="47"/>
        <v>2.8085091638682686E-3</v>
      </c>
      <c r="V126" s="45">
        <f t="shared" ca="1" si="47"/>
        <v>4.139375451530417E-4</v>
      </c>
      <c r="W126" s="45">
        <f t="shared" ca="1" si="47"/>
        <v>4.1553363464960406E-5</v>
      </c>
      <c r="X126" s="45">
        <f t="shared" ca="1" si="47"/>
        <v>6.1244226961491866E-6</v>
      </c>
      <c r="Y126" s="45">
        <f t="shared" ca="1" si="47"/>
        <v>1.1948116310752394E-5</v>
      </c>
      <c r="Z126" s="45">
        <f t="shared" ca="1" si="47"/>
        <v>1.7609961891895192E-6</v>
      </c>
      <c r="AA126" s="45">
        <f t="shared" ca="1" si="47"/>
        <v>6.2172256719886403E-2</v>
      </c>
      <c r="AB126" s="45">
        <v>0</v>
      </c>
      <c r="AC126" s="22">
        <f t="shared" ca="1" si="42"/>
        <v>6.5590342096044058E-2</v>
      </c>
    </row>
    <row r="127" spans="1:29" ht="12" customHeight="1" x14ac:dyDescent="0.25">
      <c r="A127" s="262"/>
      <c r="C127" s="263"/>
      <c r="D127" s="62">
        <f t="shared" si="43"/>
        <v>116</v>
      </c>
      <c r="E127" s="43">
        <f t="shared" si="40"/>
        <v>99</v>
      </c>
      <c r="F127" s="44" cm="1">
        <f t="array" ref="F127">_fnGENPOP.U(E127)</f>
        <v>0.64970000000000006</v>
      </c>
      <c r="G127" s="45">
        <f t="shared" ca="1" si="46"/>
        <v>1.3296269258343328E-6</v>
      </c>
      <c r="H127" s="45">
        <f t="shared" ca="1" si="46"/>
        <v>0</v>
      </c>
      <c r="I127" s="45">
        <f t="shared" ca="1" si="46"/>
        <v>2.7827391015728623E-3</v>
      </c>
      <c r="J127" s="45">
        <f t="shared" ca="1" si="46"/>
        <v>4.1013937477060692E-4</v>
      </c>
      <c r="K127" s="45">
        <f t="shared" ca="1" si="46"/>
        <v>4.1172081901470406E-5</v>
      </c>
      <c r="L127" s="45">
        <f t="shared" ca="1" si="46"/>
        <v>6.0682267768217307E-6</v>
      </c>
      <c r="M127" s="45">
        <f t="shared" ca="1" si="46"/>
        <v>1.1838483874582323E-5</v>
      </c>
      <c r="N127" s="45">
        <f t="shared" ca="1" si="46"/>
        <v>1.7448378009310018E-6</v>
      </c>
      <c r="O127" s="45">
        <f t="shared" ca="1" si="46"/>
        <v>6.1733472482189855E-2</v>
      </c>
      <c r="P127" s="45">
        <v>0</v>
      </c>
      <c r="Q127" s="22">
        <f t="shared" ca="1" si="41"/>
        <v>6.4988504215812967E-2</v>
      </c>
      <c r="S127" s="45">
        <f t="shared" ca="1" si="47"/>
        <v>1.2616538752235207E-4</v>
      </c>
      <c r="T127" s="45">
        <f t="shared" ca="1" si="47"/>
        <v>0</v>
      </c>
      <c r="U127" s="45">
        <f t="shared" ca="1" si="47"/>
        <v>2.7849431767306217E-3</v>
      </c>
      <c r="V127" s="45">
        <f t="shared" ca="1" si="47"/>
        <v>4.1046422664286456E-4</v>
      </c>
      <c r="W127" s="45">
        <f t="shared" ca="1" si="47"/>
        <v>4.1204692347365596E-5</v>
      </c>
      <c r="X127" s="45">
        <f t="shared" ca="1" si="47"/>
        <v>6.0730331303468895E-6</v>
      </c>
      <c r="Y127" s="45">
        <f t="shared" ca="1" si="47"/>
        <v>1.184786057403602E-5</v>
      </c>
      <c r="Z127" s="45">
        <f t="shared" ca="1" si="47"/>
        <v>1.7462198038824026E-6</v>
      </c>
      <c r="AA127" s="45">
        <f t="shared" ca="1" si="47"/>
        <v>6.1657533919185811E-2</v>
      </c>
      <c r="AB127" s="45">
        <v>0</v>
      </c>
      <c r="AC127" s="22">
        <f t="shared" ca="1" si="42"/>
        <v>6.5039978515937277E-2</v>
      </c>
    </row>
    <row r="128" spans="1:29" ht="12" customHeight="1" x14ac:dyDescent="0.25">
      <c r="A128" s="262"/>
      <c r="C128" s="263"/>
      <c r="D128" s="62">
        <f t="shared" si="43"/>
        <v>117</v>
      </c>
      <c r="E128" s="43">
        <f t="shared" si="40"/>
        <v>99.25</v>
      </c>
      <c r="F128" s="44" cm="1">
        <f t="array" ref="F128">_fnGENPOP.U(E128)</f>
        <v>0.64970000000000006</v>
      </c>
      <c r="G128" s="45">
        <f t="shared" ca="1" si="46"/>
        <v>1.2495395648282515E-6</v>
      </c>
      <c r="H128" s="45">
        <f t="shared" ca="1" si="46"/>
        <v>0</v>
      </c>
      <c r="I128" s="45">
        <f t="shared" ca="1" si="46"/>
        <v>2.7593893490711579E-3</v>
      </c>
      <c r="J128" s="45">
        <f t="shared" ca="1" si="46"/>
        <v>4.0669792641970514E-4</v>
      </c>
      <c r="K128" s="45">
        <f t="shared" ca="1" si="46"/>
        <v>4.0826610088523271E-5</v>
      </c>
      <c r="L128" s="45">
        <f t="shared" ca="1" si="46"/>
        <v>6.0173087467114265E-6</v>
      </c>
      <c r="M128" s="45">
        <f t="shared" ca="1" si="46"/>
        <v>1.1739148055313215E-5</v>
      </c>
      <c r="N128" s="45">
        <f t="shared" ca="1" si="46"/>
        <v>1.7301969994328198E-6</v>
      </c>
      <c r="O128" s="45">
        <f t="shared" ca="1" si="46"/>
        <v>6.1215540532714642E-2</v>
      </c>
      <c r="P128" s="45">
        <v>0</v>
      </c>
      <c r="Q128" s="22">
        <f t="shared" ca="1" si="41"/>
        <v>6.4443190611660317E-2</v>
      </c>
      <c r="S128" s="45">
        <f t="shared" ca="1" si="47"/>
        <v>1.1856607320293543E-4</v>
      </c>
      <c r="T128" s="45">
        <f t="shared" ca="1" si="47"/>
        <v>0</v>
      </c>
      <c r="U128" s="45">
        <f t="shared" ca="1" si="47"/>
        <v>2.7615749300016288E-3</v>
      </c>
      <c r="V128" s="45">
        <f t="shared" ca="1" si="47"/>
        <v>4.070200524845695E-4</v>
      </c>
      <c r="W128" s="45">
        <f t="shared" ca="1" si="47"/>
        <v>4.0858946902643142E-5</v>
      </c>
      <c r="X128" s="45">
        <f t="shared" ca="1" si="47"/>
        <v>6.0220747704891133E-6</v>
      </c>
      <c r="Y128" s="45">
        <f t="shared" ca="1" si="47"/>
        <v>1.1748446075593789E-5</v>
      </c>
      <c r="Z128" s="45">
        <f t="shared" ca="1" si="47"/>
        <v>1.731567406102394E-6</v>
      </c>
      <c r="AA128" s="45">
        <f t="shared" ca="1" si="47"/>
        <v>6.1146710903996877E-2</v>
      </c>
      <c r="AB128" s="45">
        <v>0</v>
      </c>
      <c r="AC128" s="22">
        <f t="shared" ca="1" si="42"/>
        <v>6.4494232994840833E-2</v>
      </c>
    </row>
    <row r="129" spans="1:29" ht="12" customHeight="1" x14ac:dyDescent="0.25">
      <c r="A129" s="262"/>
      <c r="C129" s="263"/>
      <c r="D129" s="62">
        <f t="shared" si="43"/>
        <v>118</v>
      </c>
      <c r="E129" s="43">
        <f t="shared" si="40"/>
        <v>99.5</v>
      </c>
      <c r="F129" s="44" cm="1">
        <f t="array" ref="F129">_fnGENPOP.U(E129)</f>
        <v>0.64970000000000006</v>
      </c>
      <c r="G129" s="45">
        <f t="shared" ca="1" si="46"/>
        <v>1.1742761023671653E-6</v>
      </c>
      <c r="H129" s="45">
        <f t="shared" ca="1" si="46"/>
        <v>0</v>
      </c>
      <c r="I129" s="45">
        <f t="shared" ca="1" si="46"/>
        <v>2.7362355225696959E-3</v>
      </c>
      <c r="J129" s="45">
        <f t="shared" ca="1" si="46"/>
        <v>4.0328535500059898E-4</v>
      </c>
      <c r="K129" s="45">
        <f t="shared" ca="1" si="46"/>
        <v>4.0484037103326129E-5</v>
      </c>
      <c r="L129" s="45">
        <f t="shared" ca="1" si="46"/>
        <v>5.9668179659254598E-6</v>
      </c>
      <c r="M129" s="45">
        <f t="shared" ca="1" si="46"/>
        <v>1.1640645755360806E-5</v>
      </c>
      <c r="N129" s="45">
        <f t="shared" ca="1" si="46"/>
        <v>1.7156790477883004E-6</v>
      </c>
      <c r="O129" s="45">
        <f t="shared" ca="1" si="46"/>
        <v>6.0701950359008161E-2</v>
      </c>
      <c r="P129" s="45">
        <v>0</v>
      </c>
      <c r="Q129" s="22">
        <f t="shared" ca="1" si="41"/>
        <v>6.3902452692553222E-2</v>
      </c>
      <c r="S129" s="45">
        <f t="shared" ca="1" si="47"/>
        <v>1.1142448805361356E-4</v>
      </c>
      <c r="T129" s="45">
        <f t="shared" ca="1" si="47"/>
        <v>0</v>
      </c>
      <c r="U129" s="45">
        <f t="shared" ca="1" si="47"/>
        <v>2.7384027644565354E-3</v>
      </c>
      <c r="V129" s="45">
        <f t="shared" ca="1" si="47"/>
        <v>4.0360477813011292E-4</v>
      </c>
      <c r="W129" s="45">
        <f t="shared" ca="1" si="47"/>
        <v>4.0516102581694126E-5</v>
      </c>
      <c r="X129" s="45">
        <f t="shared" ca="1" si="47"/>
        <v>5.971543998359524E-6</v>
      </c>
      <c r="Y129" s="45">
        <f t="shared" ca="1" si="47"/>
        <v>1.1649865756659225E-5</v>
      </c>
      <c r="Z129" s="45">
        <f t="shared" ca="1" si="47"/>
        <v>1.717037955479568E-6</v>
      </c>
      <c r="AA129" s="45">
        <f t="shared" ca="1" si="47"/>
        <v>6.0639780202039799E-2</v>
      </c>
      <c r="AB129" s="45">
        <v>0</v>
      </c>
      <c r="AC129" s="22">
        <f t="shared" ca="1" si="42"/>
        <v>6.3953066782972259E-2</v>
      </c>
    </row>
    <row r="130" spans="1:29" ht="12" customHeight="1" x14ac:dyDescent="0.25">
      <c r="A130" s="262"/>
      <c r="C130" s="263"/>
      <c r="D130" s="62">
        <f t="shared" si="43"/>
        <v>119</v>
      </c>
      <c r="E130" s="43">
        <f t="shared" si="40"/>
        <v>99.75</v>
      </c>
      <c r="F130" s="44" cm="1">
        <f t="array" ref="F130">_fnGENPOP.U(E130)</f>
        <v>0.64970000000000006</v>
      </c>
      <c r="G130" s="45">
        <f t="shared" ca="1" si="46"/>
        <v>1.1035459807790508E-6</v>
      </c>
      <c r="H130" s="45">
        <f t="shared" ca="1" si="46"/>
        <v>0</v>
      </c>
      <c r="I130" s="45">
        <f t="shared" ca="1" si="46"/>
        <v>2.7132759780682859E-3</v>
      </c>
      <c r="J130" s="45">
        <f t="shared" ca="1" si="46"/>
        <v>3.9990141820914644E-4</v>
      </c>
      <c r="K130" s="45">
        <f t="shared" ca="1" si="46"/>
        <v>4.0144338622035448E-5</v>
      </c>
      <c r="L130" s="45">
        <f t="shared" ca="1" si="46"/>
        <v>5.9167508494471899E-6</v>
      </c>
      <c r="M130" s="45">
        <f t="shared" ca="1" si="46"/>
        <v>1.1542969980727794E-5</v>
      </c>
      <c r="N130" s="45">
        <f t="shared" ca="1" si="46"/>
        <v>1.7012829151736495E-6</v>
      </c>
      <c r="O130" s="45">
        <f t="shared" ca="1" si="46"/>
        <v>6.0192665779640324E-2</v>
      </c>
      <c r="P130" s="45">
        <v>0</v>
      </c>
      <c r="Q130" s="22">
        <f t="shared" ca="1" si="41"/>
        <v>6.3366252064265924E-2</v>
      </c>
      <c r="S130" s="45">
        <f t="shared" ca="1" si="47"/>
        <v>1.0471306169311928E-4</v>
      </c>
      <c r="T130" s="45">
        <f t="shared" ca="1" si="47"/>
        <v>0</v>
      </c>
      <c r="U130" s="45">
        <f t="shared" ca="1" si="47"/>
        <v>2.7154250347930166E-3</v>
      </c>
      <c r="V130" s="45">
        <f t="shared" ca="1" si="47"/>
        <v>4.0021816108343509E-4</v>
      </c>
      <c r="W130" s="45">
        <f t="shared" ca="1" si="47"/>
        <v>4.0176135041409264E-5</v>
      </c>
      <c r="X130" s="45">
        <f t="shared" ca="1" si="47"/>
        <v>5.9214372261019581E-6</v>
      </c>
      <c r="Y130" s="45">
        <f t="shared" ca="1" si="47"/>
        <v>1.1552112617695418E-5</v>
      </c>
      <c r="Z130" s="45">
        <f t="shared" ca="1" si="47"/>
        <v>1.7026304203736648E-6</v>
      </c>
      <c r="AA130" s="45">
        <f t="shared" ca="1" si="47"/>
        <v>6.0136732882820329E-2</v>
      </c>
      <c r="AB130" s="45">
        <v>0</v>
      </c>
      <c r="AC130" s="22">
        <f t="shared" ca="1" si="42"/>
        <v>6.3416441455695485E-2</v>
      </c>
    </row>
    <row r="131" spans="1:29" ht="12" customHeight="1" x14ac:dyDescent="0.25">
      <c r="A131" s="262"/>
      <c r="C131" s="263"/>
      <c r="D131" s="62">
        <f t="shared" si="43"/>
        <v>120</v>
      </c>
      <c r="E131" s="43">
        <f t="shared" si="40"/>
        <v>100</v>
      </c>
      <c r="F131" s="44" cm="1">
        <f t="array" ref="F131">_fnGENPOP.U(E131)</f>
        <v>0.64970000000000006</v>
      </c>
      <c r="G131" s="45">
        <f t="shared" ca="1" si="46"/>
        <v>1.0692790632809264E-6</v>
      </c>
      <c r="H131" s="45">
        <f t="shared" ca="1" si="46"/>
        <v>0</v>
      </c>
      <c r="I131" s="45">
        <f t="shared" ca="1" si="46"/>
        <v>2.70184457168337E-3</v>
      </c>
      <c r="J131" s="45">
        <f t="shared" ca="1" si="46"/>
        <v>3.982165783099234E-4</v>
      </c>
      <c r="K131" s="45">
        <f t="shared" ca="1" si="46"/>
        <v>3.9975204979696237E-5</v>
      </c>
      <c r="L131" s="45">
        <f t="shared" ca="1" si="46"/>
        <v>5.8918227610459201E-6</v>
      </c>
      <c r="M131" s="45">
        <f t="shared" ca="1" si="46"/>
        <v>1.1494337854174813E-5</v>
      </c>
      <c r="N131" s="45">
        <f t="shared" ca="1" si="46"/>
        <v>1.6941151753136922E-6</v>
      </c>
      <c r="O131" s="45">
        <f t="shared" ca="1" si="46"/>
        <v>5.9939095383942209E-2</v>
      </c>
      <c r="P131" s="45">
        <v>0</v>
      </c>
      <c r="Q131" s="22">
        <f t="shared" ca="1" si="41"/>
        <v>6.3099281293769016E-2</v>
      </c>
      <c r="S131" s="45">
        <f t="shared" ca="1" si="47"/>
        <v>1.0146154892563038E-4</v>
      </c>
      <c r="T131" s="45">
        <f t="shared" ca="1" si="47"/>
        <v>0</v>
      </c>
      <c r="U131" s="45">
        <f t="shared" ca="1" si="47"/>
        <v>2.703984574135346E-3</v>
      </c>
      <c r="V131" s="45">
        <f t="shared" ca="1" si="47"/>
        <v>3.9853198670274212E-4</v>
      </c>
      <c r="W131" s="45">
        <f t="shared" ca="1" si="47"/>
        <v>4.0006867436364318E-5</v>
      </c>
      <c r="X131" s="45">
        <f t="shared" ca="1" si="47"/>
        <v>5.896489393348677E-6</v>
      </c>
      <c r="Y131" s="45">
        <f t="shared" ca="1" si="47"/>
        <v>1.150344197195034E-5</v>
      </c>
      <c r="Z131" s="45">
        <f t="shared" ca="1" si="47"/>
        <v>1.6954570032882164E-6</v>
      </c>
      <c r="AA131" s="45">
        <f t="shared" ca="1" si="47"/>
        <v>5.9886178864792916E-2</v>
      </c>
      <c r="AB131" s="45">
        <v>0</v>
      </c>
      <c r="AC131" s="22">
        <f t="shared" ca="1" si="42"/>
        <v>6.314925923036159E-2</v>
      </c>
    </row>
    <row r="132" spans="1:29" ht="12" customHeight="1" x14ac:dyDescent="0.25">
      <c r="A132" s="262"/>
      <c r="C132" s="263"/>
    </row>
    <row r="133" spans="1:29" ht="12" customHeight="1" x14ac:dyDescent="0.25">
      <c r="A133" s="262"/>
      <c r="C133" s="263"/>
    </row>
    <row r="134" spans="1:29" ht="12" customHeight="1" x14ac:dyDescent="0.25">
      <c r="A134" s="262"/>
      <c r="C134" s="263"/>
    </row>
    <row r="135" spans="1:29" ht="12" customHeight="1" x14ac:dyDescent="0.25">
      <c r="A135" s="262"/>
      <c r="C135" s="263"/>
    </row>
    <row r="136" spans="1:29" ht="12" customHeight="1" x14ac:dyDescent="0.25">
      <c r="A136" s="262"/>
      <c r="C136" s="263"/>
    </row>
    <row r="137" spans="1:29" ht="12" customHeight="1" x14ac:dyDescent="0.25">
      <c r="A137" s="262"/>
      <c r="C137" s="263"/>
    </row>
    <row r="138" spans="1:29" ht="12" customHeight="1" x14ac:dyDescent="0.25">
      <c r="A138" s="262"/>
      <c r="C138" s="263"/>
    </row>
    <row r="139" spans="1:29" ht="12" customHeight="1" x14ac:dyDescent="0.25">
      <c r="A139" s="262"/>
      <c r="C139" s="263"/>
    </row>
    <row r="140" spans="1:29" ht="12" customHeight="1" x14ac:dyDescent="0.25">
      <c r="A140" s="262"/>
      <c r="C140" s="263"/>
    </row>
    <row r="141" spans="1:29" ht="12" customHeight="1" x14ac:dyDescent="0.25">
      <c r="A141" s="262"/>
      <c r="C141" s="263"/>
    </row>
    <row r="142" spans="1:29" ht="12" customHeight="1" x14ac:dyDescent="0.25">
      <c r="A142" s="262"/>
      <c r="C142" s="263"/>
    </row>
    <row r="143" spans="1:29" ht="12" customHeight="1" x14ac:dyDescent="0.25">
      <c r="A143" s="262"/>
      <c r="C143" s="263"/>
    </row>
    <row r="144" spans="1:29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13" spans="1:3" ht="12" customHeight="1" x14ac:dyDescent="0.25">
      <c r="A313" s="262"/>
      <c r="C313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  <row r="351" spans="1:3" ht="12" customHeight="1" x14ac:dyDescent="0.25">
      <c r="A351" s="262"/>
      <c r="C351" s="263"/>
    </row>
  </sheetData>
  <mergeCells count="27">
    <mergeCell ref="D7:D10"/>
    <mergeCell ref="G7:Q7"/>
    <mergeCell ref="G8:G10"/>
    <mergeCell ref="H8:H10"/>
    <mergeCell ref="I8:I10"/>
    <mergeCell ref="J8:J10"/>
    <mergeCell ref="K8:K10"/>
    <mergeCell ref="L8:L10"/>
    <mergeCell ref="M8:M10"/>
    <mergeCell ref="N8:N10"/>
    <mergeCell ref="O8:O10"/>
    <mergeCell ref="P8:P10"/>
    <mergeCell ref="Q8:Q10"/>
    <mergeCell ref="F7:F10"/>
    <mergeCell ref="E7:E10"/>
    <mergeCell ref="S7:AC7"/>
    <mergeCell ref="S8:S10"/>
    <mergeCell ref="T8:T10"/>
    <mergeCell ref="U8:U10"/>
    <mergeCell ref="V8:V10"/>
    <mergeCell ref="AC8:AC10"/>
    <mergeCell ref="W8:W10"/>
    <mergeCell ref="X8:X10"/>
    <mergeCell ref="Y8:Y10"/>
    <mergeCell ref="Z8:Z10"/>
    <mergeCell ref="AA8:AA10"/>
    <mergeCell ref="AB8:AB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8633-6A4D-4477-828E-FD8ED7B5CB0D}">
  <sheetPr codeName="shtTraceCosts1">
    <tabColor theme="7" tint="-0.499984740745262"/>
  </sheetPr>
  <dimension ref="A1:AC351"/>
  <sheetViews>
    <sheetView workbookViewId="0">
      <pane xSplit="6" ySplit="10" topLeftCell="G11" activePane="bottomRight" state="frozen"/>
      <selection activeCell="G11" sqref="G11"/>
      <selection pane="topRight" activeCell="G11" sqref="G11"/>
      <selection pane="bottomLeft" activeCell="G11" sqref="G11"/>
      <selection pane="bottomRight" activeCell="G11" sqref="G11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7" max="16" width="11.7109375" customWidth="1"/>
    <col min="17" max="17" width="11.7109375" style="49" customWidth="1"/>
    <col min="18" max="18" width="1.7109375" customWidth="1"/>
    <col min="19" max="28" width="11.7109375" customWidth="1"/>
    <col min="29" max="29" width="11.7109375" style="49" customWidth="1"/>
    <col min="30" max="30" width="1.7109375" customWidth="1"/>
  </cols>
  <sheetData>
    <row r="1" spans="1:29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N1" s="271"/>
      <c r="P1" s="271"/>
    </row>
    <row r="2" spans="1:29" ht="12" hidden="1" customHeight="1" thickTop="1" x14ac:dyDescent="0.25">
      <c r="A2" s="262"/>
      <c r="C2" s="263"/>
      <c r="D2">
        <f>COLUMNS(G2:R2)</f>
        <v>12</v>
      </c>
      <c r="F2" t="s">
        <v>80</v>
      </c>
      <c r="G2">
        <f>MAX($F$2:F2)+1</f>
        <v>1</v>
      </c>
      <c r="H2">
        <f t="shared" ref="H2:P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/>
      <c r="S2">
        <f>MAX($F$2:R2)+1</f>
        <v>2</v>
      </c>
      <c r="T2">
        <f t="shared" ref="T2:AB2" si="1">S2</f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  <c r="AC2"/>
    </row>
    <row r="3" spans="1:29" ht="12" hidden="1" customHeight="1" x14ac:dyDescent="0.25">
      <c r="A3" s="262"/>
      <c r="C3" s="263"/>
      <c r="F3" t="s">
        <v>79</v>
      </c>
      <c r="G3">
        <v>1</v>
      </c>
      <c r="H3">
        <f t="shared" ref="H3:P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Q3"/>
      <c r="S3">
        <v>1</v>
      </c>
      <c r="T3">
        <f t="shared" ref="T3:AB3" si="3">S3+1</f>
        <v>2</v>
      </c>
      <c r="U3">
        <f t="shared" si="3"/>
        <v>3</v>
      </c>
      <c r="V3">
        <f t="shared" si="3"/>
        <v>4</v>
      </c>
      <c r="W3">
        <f t="shared" si="3"/>
        <v>5</v>
      </c>
      <c r="X3">
        <f t="shared" si="3"/>
        <v>6</v>
      </c>
      <c r="Y3">
        <f t="shared" si="3"/>
        <v>7</v>
      </c>
      <c r="Z3">
        <f t="shared" si="3"/>
        <v>8</v>
      </c>
      <c r="AA3">
        <f t="shared" si="3"/>
        <v>9</v>
      </c>
      <c r="AB3">
        <f t="shared" si="3"/>
        <v>10</v>
      </c>
      <c r="AC3"/>
    </row>
    <row r="4" spans="1:29" ht="12" customHeight="1" thickTop="1" x14ac:dyDescent="0.25">
      <c r="A4" s="262"/>
      <c r="C4" s="263"/>
      <c r="F4" s="56" t="s">
        <v>46</v>
      </c>
      <c r="G4" s="50">
        <f t="shared" ref="G4:Q4" ca="1" si="4">SUM(OFFSET(G$11, 0, 0, timeHorizon*AB.cyclesPerYear))</f>
        <v>1.824037050427134E-3</v>
      </c>
      <c r="H4" s="50">
        <f t="shared" ca="1" si="4"/>
        <v>0</v>
      </c>
      <c r="I4" s="50">
        <f t="shared" ca="1" si="4"/>
        <v>98.917432463219811</v>
      </c>
      <c r="J4" s="50">
        <f t="shared" ca="1" si="4"/>
        <v>14.22127053532007</v>
      </c>
      <c r="K4" s="50">
        <f t="shared" ca="1" si="4"/>
        <v>24.193614154358915</v>
      </c>
      <c r="L4" s="50">
        <f t="shared" ca="1" si="4"/>
        <v>3.4828605267453829</v>
      </c>
      <c r="M4" s="50">
        <f t="shared" ca="1" si="4"/>
        <v>44.071886551405107</v>
      </c>
      <c r="N4" s="50">
        <f t="shared" ca="1" si="4"/>
        <v>6.3349176114784731</v>
      </c>
      <c r="O4" s="50">
        <f t="shared" ca="1" si="4"/>
        <v>104.99431484593579</v>
      </c>
      <c r="P4" s="50">
        <f t="shared" ca="1" si="4"/>
        <v>0</v>
      </c>
      <c r="Q4" s="50">
        <f t="shared" ca="1" si="4"/>
        <v>296.21812072551404</v>
      </c>
      <c r="S4" s="50">
        <f t="shared" ref="S4:AC4" ca="1" si="5">SUM(OFFSET(S$11, 0, 0, timeHorizon*AB.cyclesPerYear))</f>
        <v>59.185196549082924</v>
      </c>
      <c r="T4" s="50">
        <f t="shared" ca="1" si="5"/>
        <v>0</v>
      </c>
      <c r="U4" s="50">
        <f t="shared" ca="1" si="5"/>
        <v>73.597311652383041</v>
      </c>
      <c r="V4" s="50">
        <f t="shared" ca="1" si="5"/>
        <v>10.521261539682106</v>
      </c>
      <c r="W4" s="50">
        <f t="shared" ca="1" si="5"/>
        <v>16.556496695210729</v>
      </c>
      <c r="X4" s="50">
        <f t="shared" ca="1" si="5"/>
        <v>2.3668694956407967</v>
      </c>
      <c r="Y4" s="50">
        <f t="shared" ca="1" si="5"/>
        <v>33.188577071826174</v>
      </c>
      <c r="Z4" s="50">
        <f t="shared" ca="1" si="5"/>
        <v>4.7445442185696107</v>
      </c>
      <c r="AA4" s="50">
        <f t="shared" ca="1" si="5"/>
        <v>70.960659326881611</v>
      </c>
      <c r="AB4" s="50">
        <f t="shared" ca="1" si="5"/>
        <v>0</v>
      </c>
      <c r="AC4" s="50">
        <f t="shared" ca="1" si="5"/>
        <v>271.12091654927696</v>
      </c>
    </row>
    <row r="5" spans="1:29" ht="12" customHeight="1" x14ac:dyDescent="0.25">
      <c r="A5" s="262"/>
      <c r="C5" s="263"/>
      <c r="F5" s="57" t="s">
        <v>47</v>
      </c>
      <c r="G5" s="50">
        <f t="array" aca="1" ref="G5" ca="1">SUM(OFFSET(G$11, 0, 0, timeHorizon*AB.cyclesPerYear) / (1+DQALYs)^(OFFSET($D$11, 0, 0, timeHorizon*AB.cyclesPerYear)/AB.cyclesPerYear))</f>
        <v>1.304263213118039E-3</v>
      </c>
      <c r="H5" s="50">
        <f t="array" aca="1" ref="H5" ca="1">SUM(OFFSET(H$11, 0, 0, timeHorizon*AB.cyclesPerYear) / (1+DQALYs)^(OFFSET($D$11, 0, 0, timeHorizon*AB.cyclesPerYear)/AB.cyclesPerYear))</f>
        <v>0</v>
      </c>
      <c r="I5" s="50">
        <f t="array" aca="1" ref="I5" ca="1">SUM(OFFSET(I$11, 0, 0, timeHorizon*AB.cyclesPerYear) / (1+DQALYs)^(OFFSET($D$11, 0, 0, timeHorizon*AB.cyclesPerYear)/AB.cyclesPerYear))</f>
        <v>87.005370206473586</v>
      </c>
      <c r="J5" s="50">
        <f t="array" aca="1" ref="J5" ca="1">SUM(OFFSET(J$11, 0, 0, timeHorizon*AB.cyclesPerYear) / (1+DQALYs)^(OFFSET($D$11, 0, 0, timeHorizon*AB.cyclesPerYear)/AB.cyclesPerYear))</f>
        <v>12.439987540843374</v>
      </c>
      <c r="K5" s="50">
        <f t="array" aca="1" ref="K5" ca="1">SUM(OFFSET(K$11, 0, 0, timeHorizon*AB.cyclesPerYear) / (1+DQALYs)^(OFFSET($D$11, 0, 0, timeHorizon*AB.cyclesPerYear)/AB.cyclesPerYear))</f>
        <v>21.421964614150404</v>
      </c>
      <c r="L5" s="50">
        <f t="array" aca="1" ref="L5" ca="1">SUM(OFFSET(L$11, 0, 0, timeHorizon*AB.cyclesPerYear) / (1+DQALYs)^(OFFSET($D$11, 0, 0, timeHorizon*AB.cyclesPerYear)/AB.cyclesPerYear))</f>
        <v>3.0664119586368126</v>
      </c>
      <c r="M5" s="50">
        <f t="array" aca="1" ref="M5" ca="1">SUM(OFFSET(M$11, 0, 0, timeHorizon*AB.cyclesPerYear) / (1+DQALYs)^(OFFSET($D$11, 0, 0, timeHorizon*AB.cyclesPerYear)/AB.cyclesPerYear))</f>
        <v>38.725482215418182</v>
      </c>
      <c r="N5" s="50">
        <f t="array" aca="1" ref="N5" ca="1">SUM(OFFSET(N$11, 0, 0, timeHorizon*AB.cyclesPerYear) / (1+DQALYs)^(OFFSET($D$11, 0, 0, timeHorizon*AB.cyclesPerYear)/AB.cyclesPerYear))</f>
        <v>5.5359847081182441</v>
      </c>
      <c r="O5" s="50">
        <f t="array" aca="1" ref="O5" ca="1">SUM(OFFSET(O$11, 0, 0, timeHorizon*AB.cyclesPerYear) / (1+DQALYs)^(OFFSET($D$11, 0, 0, timeHorizon*AB.cyclesPerYear)/AB.cyclesPerYear))</f>
        <v>87.393954570202297</v>
      </c>
      <c r="P5" s="50">
        <f t="array" aca="1" ref="P5" ca="1">SUM(OFFSET(P$11, 0, 0, timeHorizon*AB.cyclesPerYear) / (1+DQALYs)^(OFFSET($D$11, 0, 0, timeHorizon*AB.cyclesPerYear)/AB.cyclesPerYear))</f>
        <v>0</v>
      </c>
      <c r="Q5" s="50">
        <f t="array" aca="1" ref="Q5" ca="1">SUM(OFFSET(Q$11, 0, 0, timeHorizon*AB.cyclesPerYear) / (1+DQALYs)^(OFFSET($D$11, 0, 0, timeHorizon*AB.cyclesPerYear)/AB.cyclesPerYear))</f>
        <v>255.59046007705604</v>
      </c>
      <c r="S5" s="50">
        <f t="array" aca="1" ref="S5" ca="1">SUM(OFFSET(S$11, 0, 0, timeHorizon*AB.cyclesPerYear) / (1+DQALYs)^(OFFSET($D$11, 0, 0, timeHorizon*AB.cyclesPerYear)/AB.cyclesPerYear))</f>
        <v>53.477307416872272</v>
      </c>
      <c r="T5" s="50">
        <f t="array" aca="1" ref="T5" ca="1">SUM(OFFSET(T$11, 0, 0, timeHorizon*AB.cyclesPerYear) / (1+DQALYs)^(OFFSET($D$11, 0, 0, timeHorizon*AB.cyclesPerYear)/AB.cyclesPerYear))</f>
        <v>0</v>
      </c>
      <c r="U5" s="50">
        <f t="array" aca="1" ref="U5" ca="1">SUM(OFFSET(U$11, 0, 0, timeHorizon*AB.cyclesPerYear) / (1+DQALYs)^(OFFSET($D$11, 0, 0, timeHorizon*AB.cyclesPerYear)/AB.cyclesPerYear))</f>
        <v>62.865323920638723</v>
      </c>
      <c r="V5" s="50">
        <f t="array" aca="1" ref="V5" ca="1">SUM(OFFSET(V$11, 0, 0, timeHorizon*AB.cyclesPerYear) / (1+DQALYs)^(OFFSET($D$11, 0, 0, timeHorizon*AB.cyclesPerYear)/AB.cyclesPerYear))</f>
        <v>8.9425043670406392</v>
      </c>
      <c r="W5" s="50">
        <f t="array" aca="1" ref="W5" ca="1">SUM(OFFSET(W$11, 0, 0, timeHorizon*AB.cyclesPerYear) / (1+DQALYs)^(OFFSET($D$11, 0, 0, timeHorizon*AB.cyclesPerYear)/AB.cyclesPerYear))</f>
        <v>14.142222105224205</v>
      </c>
      <c r="X5" s="50">
        <f t="array" aca="1" ref="X5" ca="1">SUM(OFFSET(X$11, 0, 0, timeHorizon*AB.cyclesPerYear) / (1+DQALYs)^(OFFSET($D$11, 0, 0, timeHorizon*AB.cyclesPerYear)/AB.cyclesPerYear))</f>
        <v>2.0117113067814327</v>
      </c>
      <c r="Y5" s="50">
        <f t="array" aca="1" ref="Y5" ca="1">SUM(OFFSET(Y$11, 0, 0, timeHorizon*AB.cyclesPerYear) / (1+DQALYs)^(OFFSET($D$11, 0, 0, timeHorizon*AB.cyclesPerYear)/AB.cyclesPerYear))</f>
        <v>28.349006250935236</v>
      </c>
      <c r="Z5" s="50">
        <f t="array" aca="1" ref="Z5" ca="1">SUM(OFFSET(Z$11, 0, 0, timeHorizon*AB.cyclesPerYear) / (1+DQALYs)^(OFFSET($D$11, 0, 0, timeHorizon*AB.cyclesPerYear)/AB.cyclesPerYear))</f>
        <v>4.0326064734874123</v>
      </c>
      <c r="AA5" s="50">
        <f t="array" aca="1" ref="AA5" ca="1">SUM(OFFSET(AA$11, 0, 0, timeHorizon*AB.cyclesPerYear) / (1+DQALYs)^(OFFSET($D$11, 0, 0, timeHorizon*AB.cyclesPerYear)/AB.cyclesPerYear))</f>
        <v>57.957525411307444</v>
      </c>
      <c r="AB5" s="50">
        <f t="array" aca="1" ref="AB5" ca="1">SUM(OFFSET(AB$11, 0, 0, timeHorizon*AB.cyclesPerYear) / (1+DQALYs)^(OFFSET($D$11, 0, 0, timeHorizon*AB.cyclesPerYear)/AB.cyclesPerYear))</f>
        <v>0</v>
      </c>
      <c r="AC5" s="50">
        <f t="array" aca="1" ref="AC5" ca="1">SUM(OFFSET(AC$11, 0, 0, timeHorizon*AB.cyclesPerYear) / (1+DQALYs)^(OFFSET($D$11, 0, 0, timeHorizon*AB.cyclesPerYear)/AB.cyclesPerYear))</f>
        <v>231.77820725228736</v>
      </c>
    </row>
    <row r="6" spans="1:29" ht="12" customHeight="1" thickBot="1" x14ac:dyDescent="0.3">
      <c r="A6" s="262"/>
      <c r="C6" s="263"/>
      <c r="F6" s="57"/>
      <c r="G6" s="42" cm="1">
        <f t="array" ref="G6">INDEX(AB.rngC.ByState, G$3)</f>
        <v>3.8480642857142855</v>
      </c>
      <c r="H6" s="42" cm="1">
        <f t="array" ref="H6">INDEX(AB.rngC.ByState, H$3)</f>
        <v>0</v>
      </c>
      <c r="I6" s="42" cm="1">
        <f t="array" ref="I6">INDEX(AB.rngC.ByState, I$3)</f>
        <v>43.078064285714284</v>
      </c>
      <c r="J6" s="42" cm="1">
        <f t="array" ref="J6">INDEX(AB.rngC.ByState, J$3)</f>
        <v>43.078064285714284</v>
      </c>
      <c r="K6" s="42" cm="1">
        <f t="array" ref="K6">INDEX(AB.rngC.ByState, K$3)</f>
        <v>628.24913390935058</v>
      </c>
      <c r="L6" s="42" cm="1">
        <f t="array" ref="L6">INDEX(AB.rngC.ByState, L$3)</f>
        <v>628.24913390935058</v>
      </c>
      <c r="M6" s="42" cm="1">
        <f t="array" ref="M6">INDEX(AB.rngC.ByState, M$3)</f>
        <v>3284.2846284020698</v>
      </c>
      <c r="N6" s="42" cm="1">
        <f t="array" ref="N6">INDEX(AB.rngC.ByState, N$3)</f>
        <v>3284.2846284020698</v>
      </c>
      <c r="O6" s="42" cm="1">
        <f t="array" ref="O6">INDEX(AB.rngC.ByState, O$3)</f>
        <v>3.8480642857142855</v>
      </c>
      <c r="P6" s="42" cm="1">
        <f t="array" ref="P6">INDEX(AB.rngC.ByState, P$3)</f>
        <v>0</v>
      </c>
      <c r="Q6"/>
      <c r="S6" s="42" cm="1">
        <f t="array" ref="S6">INDEX(AB.rngC.ByState, S$3)</f>
        <v>3.8480642857142855</v>
      </c>
      <c r="T6" s="42" cm="1">
        <f t="array" ref="T6">INDEX(AB.rngC.ByState, T$3)</f>
        <v>0</v>
      </c>
      <c r="U6" s="42" cm="1">
        <f t="array" ref="U6">INDEX(AB.rngC.ByState, U$3)</f>
        <v>43.078064285714284</v>
      </c>
      <c r="V6" s="42" cm="1">
        <f t="array" ref="V6">INDEX(AB.rngC.ByState, V$3)</f>
        <v>43.078064285714284</v>
      </c>
      <c r="W6" s="42" cm="1">
        <f t="array" ref="W6">INDEX(AB.rngC.ByState, W$3)</f>
        <v>628.24913390935058</v>
      </c>
      <c r="X6" s="42" cm="1">
        <f t="array" ref="X6">INDEX(AB.rngC.ByState, X$3)</f>
        <v>628.24913390935058</v>
      </c>
      <c r="Y6" s="42" cm="1">
        <f t="array" ref="Y6">INDEX(AB.rngC.ByState, Y$3)</f>
        <v>3284.2846284020698</v>
      </c>
      <c r="Z6" s="42" cm="1">
        <f t="array" ref="Z6">INDEX(AB.rngC.ByState, Z$3)</f>
        <v>3284.2846284020698</v>
      </c>
      <c r="AA6" s="42" cm="1">
        <f t="array" ref="AA6">INDEX(AB.rngC.ByState, AA$3)</f>
        <v>3.8480642857142855</v>
      </c>
      <c r="AB6" s="42" cm="1">
        <f t="array" ref="AB6">INDEX(AB.rngC.ByState, AB$3)</f>
        <v>0</v>
      </c>
      <c r="AC6" s="50"/>
    </row>
    <row r="7" spans="1:29" ht="12" customHeight="1" thickBot="1" x14ac:dyDescent="0.3">
      <c r="A7" s="262"/>
      <c r="C7" s="263"/>
      <c r="D7" s="531" t="s">
        <v>31</v>
      </c>
      <c r="E7" s="446" t="s">
        <v>30</v>
      </c>
      <c r="F7" s="446"/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S7" s="438" t="str">
        <f>INDEX(rngStrats, S2)</f>
        <v>No HPE</v>
      </c>
      <c r="T7" s="438"/>
      <c r="U7" s="438"/>
      <c r="V7" s="438"/>
      <c r="W7" s="438"/>
      <c r="X7" s="438"/>
      <c r="Y7" s="438"/>
      <c r="Z7" s="438"/>
      <c r="AA7" s="438"/>
      <c r="AB7" s="438"/>
      <c r="AC7" s="438"/>
    </row>
    <row r="8" spans="1:29" ht="12" customHeight="1" x14ac:dyDescent="0.25">
      <c r="A8" s="262"/>
      <c r="C8" s="263"/>
      <c r="D8" s="532"/>
      <c r="E8" s="466"/>
      <c r="F8" s="466"/>
      <c r="G8" s="501" t="str">
        <f t="shared" ref="G8:P8" ca="1" si="6">INDEX(AB.rngStates, G$3)</f>
        <v>Well no HPE</v>
      </c>
      <c r="H8" s="501" t="str">
        <f t="shared" ca="1" si="6"/>
        <v>Well with HPE</v>
      </c>
      <c r="I8" s="501" t="str">
        <f t="shared" ca="1" si="6"/>
        <v>GI discomfort</v>
      </c>
      <c r="J8" s="501" t="str">
        <f t="shared" ca="1" si="6"/>
        <v>Unresolved GI discomfort</v>
      </c>
      <c r="K8" s="501" t="str">
        <f t="shared" ca="1" si="6"/>
        <v>Symptomatic ulcer</v>
      </c>
      <c r="L8" s="501" t="str">
        <f t="shared" ca="1" si="6"/>
        <v>Unresolved ulcer</v>
      </c>
      <c r="M8" s="501" t="str">
        <f t="shared" ca="1" si="6"/>
        <v>Serious GI event</v>
      </c>
      <c r="N8" s="501" t="str">
        <f t="shared" ca="1" si="6"/>
        <v>Unresolved serious GI event</v>
      </c>
      <c r="O8" s="501" t="str">
        <f t="shared" ca="1" si="6"/>
        <v>Post-event</v>
      </c>
      <c r="P8" s="501" t="str">
        <f t="shared" ca="1" si="6"/>
        <v>Dead</v>
      </c>
      <c r="Q8" s="518" t="s">
        <v>37</v>
      </c>
      <c r="S8" s="501" t="str">
        <f t="shared" ref="S8:AB8" ca="1" si="7">INDEX(AB.rngStates, S$3)</f>
        <v>Well no HPE</v>
      </c>
      <c r="T8" s="501" t="str">
        <f t="shared" ca="1" si="7"/>
        <v>Well with HPE</v>
      </c>
      <c r="U8" s="501" t="str">
        <f t="shared" ca="1" si="7"/>
        <v>GI discomfort</v>
      </c>
      <c r="V8" s="501" t="str">
        <f t="shared" ca="1" si="7"/>
        <v>Unresolved GI discomfort</v>
      </c>
      <c r="W8" s="501" t="str">
        <f t="shared" ca="1" si="7"/>
        <v>Symptomatic ulcer</v>
      </c>
      <c r="X8" s="501" t="str">
        <f t="shared" ca="1" si="7"/>
        <v>Unresolved ulcer</v>
      </c>
      <c r="Y8" s="501" t="str">
        <f t="shared" ca="1" si="7"/>
        <v>Serious GI event</v>
      </c>
      <c r="Z8" s="501" t="str">
        <f t="shared" ca="1" si="7"/>
        <v>Unresolved serious GI event</v>
      </c>
      <c r="AA8" s="501" t="str">
        <f t="shared" ca="1" si="7"/>
        <v>Post-event</v>
      </c>
      <c r="AB8" s="501" t="str">
        <f t="shared" ca="1" si="7"/>
        <v>Dead</v>
      </c>
      <c r="AC8" s="518" t="s">
        <v>37</v>
      </c>
    </row>
    <row r="9" spans="1:29" ht="12" customHeight="1" x14ac:dyDescent="0.25">
      <c r="A9" s="262"/>
      <c r="C9" s="263"/>
      <c r="D9" s="532"/>
      <c r="E9" s="466"/>
      <c r="F9" s="466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19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19"/>
    </row>
    <row r="10" spans="1:29" ht="12" customHeight="1" thickBot="1" x14ac:dyDescent="0.3">
      <c r="A10" s="262"/>
      <c r="C10" s="263"/>
      <c r="D10" s="533"/>
      <c r="E10" s="447"/>
      <c r="F10" s="44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0"/>
      <c r="S10" s="527"/>
      <c r="T10" s="527"/>
      <c r="U10" s="527"/>
      <c r="V10" s="527"/>
      <c r="W10" s="527"/>
      <c r="X10" s="527"/>
      <c r="Y10" s="527"/>
      <c r="Z10" s="527"/>
      <c r="AA10" s="527"/>
      <c r="AB10" s="527"/>
      <c r="AC10" s="520"/>
    </row>
    <row r="11" spans="1:29" ht="12" customHeight="1" x14ac:dyDescent="0.25">
      <c r="A11" s="262"/>
      <c r="C11" s="263"/>
      <c r="D11" s="43">
        <v>0</v>
      </c>
      <c r="E11" s="43">
        <f t="shared" ref="E11:E42" si="8">A.cohortAge+D11*AB.cycleLength</f>
        <v>70</v>
      </c>
      <c r="G11" s="42">
        <f t="shared" ref="G11:O20" ca="1" si="9">PRODUCT(AVERAGE(OFFSET(AB.Trace.MarkovQA.Root, $D11, (G$2-1)*AB.Trace.MarkovQA.NumCols+G$3-1, CHOOSE(swtchHalfCycle, 2, 1))), G$6)</f>
        <v>0</v>
      </c>
      <c r="H11" s="42">
        <f t="shared" ca="1" si="9"/>
        <v>0</v>
      </c>
      <c r="I11" s="42">
        <f t="shared" ca="1" si="9"/>
        <v>3.2218096389416959</v>
      </c>
      <c r="J11" s="42">
        <f t="shared" ca="1" si="9"/>
        <v>0</v>
      </c>
      <c r="K11" s="42">
        <f t="shared" ca="1" si="9"/>
        <v>0.87831856764367622</v>
      </c>
      <c r="L11" s="42">
        <f t="shared" ca="1" si="9"/>
        <v>0</v>
      </c>
      <c r="M11" s="42">
        <f t="shared" ca="1" si="9"/>
        <v>1.410570770485013</v>
      </c>
      <c r="N11" s="42">
        <f t="shared" ca="1" si="9"/>
        <v>0</v>
      </c>
      <c r="O11" s="42">
        <f t="shared" ca="1" si="9"/>
        <v>0</v>
      </c>
      <c r="P11" s="42">
        <f t="shared" ref="P11:P42" ca="1" si="10">AVERAGE(OFFSET(AB.Trace.MarkovQA.Root, $D11, (P$2-1)*AB.Trace.MarkovQA.NumCols+P$3-1))*INDEX(AB.rngC.ByState, P$3)</f>
        <v>0</v>
      </c>
      <c r="Q11" s="51">
        <f t="shared" ref="Q11:Q42" ca="1" si="11">SUM(G11:P11)</f>
        <v>5.5106989770703851</v>
      </c>
      <c r="S11" s="42">
        <f t="shared" ref="S11:AA20" ca="1" si="12">PRODUCT(AVERAGE(OFFSET(AB.Trace.MarkovQA.Root, $D11, (S$2-1)*AB.Trace.MarkovQA.NumCols+S$3-1, CHOOSE(swtchHalfCycle, 2, 1))), S$6)</f>
        <v>3.7391034867362962</v>
      </c>
      <c r="T11" s="42">
        <f t="shared" ca="1" si="12"/>
        <v>0</v>
      </c>
      <c r="U11" s="42">
        <f t="shared" ca="1" si="12"/>
        <v>1.0954152772401766</v>
      </c>
      <c r="V11" s="42">
        <f t="shared" ca="1" si="12"/>
        <v>0</v>
      </c>
      <c r="W11" s="42">
        <f t="shared" ca="1" si="12"/>
        <v>0.24642529747787437</v>
      </c>
      <c r="X11" s="42">
        <f t="shared" ca="1" si="12"/>
        <v>0</v>
      </c>
      <c r="Y11" s="42">
        <f t="shared" ca="1" si="12"/>
        <v>0.49397557516850227</v>
      </c>
      <c r="Z11" s="42">
        <f t="shared" ca="1" si="12"/>
        <v>0</v>
      </c>
      <c r="AA11" s="42">
        <f t="shared" ca="1" si="12"/>
        <v>0</v>
      </c>
      <c r="AB11" s="42">
        <f t="shared" ref="AB11:AB42" ca="1" si="13">AVERAGE(OFFSET(AB.Trace.MarkovQA.Root, $D11, (AB$2-1)*AB.Trace.MarkovQA.NumCols+AB$3-1))*INDEX(AB.rngC.ByState, AB$3)</f>
        <v>0</v>
      </c>
      <c r="AC11" s="51">
        <f t="shared" ref="AC11:AC42" ca="1" si="14">SUM(S11:AB11)</f>
        <v>5.5749196366228491</v>
      </c>
    </row>
    <row r="12" spans="1:29" ht="12" customHeight="1" x14ac:dyDescent="0.25">
      <c r="A12" s="262"/>
      <c r="C12" s="263"/>
      <c r="D12" s="43">
        <f t="shared" ref="D12:D43" si="15">D11+1</f>
        <v>1</v>
      </c>
      <c r="E12" s="43">
        <f t="shared" si="8"/>
        <v>70.25</v>
      </c>
      <c r="G12" s="42">
        <f t="shared" ca="1" si="9"/>
        <v>0</v>
      </c>
      <c r="H12" s="42">
        <f t="shared" ca="1" si="9"/>
        <v>0</v>
      </c>
      <c r="I12" s="42">
        <f t="shared" ca="1" si="9"/>
        <v>5.934817908926286</v>
      </c>
      <c r="J12" s="42">
        <f t="shared" ca="1" si="9"/>
        <v>0.47086818118737606</v>
      </c>
      <c r="K12" s="42">
        <f t="shared" ca="1" si="9"/>
        <v>1.6179294710616219</v>
      </c>
      <c r="L12" s="42">
        <f t="shared" ca="1" si="9"/>
        <v>0.12836645016225412</v>
      </c>
      <c r="M12" s="42">
        <f t="shared" ca="1" si="9"/>
        <v>2.5983784297176165</v>
      </c>
      <c r="N12" s="42">
        <f t="shared" ca="1" si="9"/>
        <v>0.20615522565527139</v>
      </c>
      <c r="O12" s="42">
        <f t="shared" ca="1" si="9"/>
        <v>0.25004950611745985</v>
      </c>
      <c r="P12" s="42">
        <f t="shared" ca="1" si="10"/>
        <v>0</v>
      </c>
      <c r="Q12" s="51">
        <f t="shared" ca="1" si="11"/>
        <v>11.206565172827885</v>
      </c>
      <c r="S12" s="42">
        <f t="shared" ca="1" si="12"/>
        <v>3.527352500720454</v>
      </c>
      <c r="T12" s="42">
        <f t="shared" ca="1" si="12"/>
        <v>0</v>
      </c>
      <c r="U12" s="42">
        <f t="shared" ca="1" si="12"/>
        <v>2.1287955597616359</v>
      </c>
      <c r="V12" s="42">
        <f t="shared" ca="1" si="12"/>
        <v>0.16009518160370789</v>
      </c>
      <c r="W12" s="42">
        <f t="shared" ca="1" si="12"/>
        <v>0.47889516422073763</v>
      </c>
      <c r="X12" s="42">
        <f t="shared" ca="1" si="12"/>
        <v>3.6015110954873093E-2</v>
      </c>
      <c r="Y12" s="42">
        <f t="shared" ca="1" si="12"/>
        <v>0.95997657956603777</v>
      </c>
      <c r="Z12" s="42">
        <f t="shared" ca="1" si="12"/>
        <v>7.219463801312126E-2</v>
      </c>
      <c r="AA12" s="42">
        <f t="shared" ca="1" si="12"/>
        <v>8.4763877660084919E-2</v>
      </c>
      <c r="AB12" s="42">
        <f t="shared" ca="1" si="13"/>
        <v>0</v>
      </c>
      <c r="AC12" s="51">
        <f t="shared" ca="1" si="14"/>
        <v>7.4480886125006531</v>
      </c>
    </row>
    <row r="13" spans="1:29" ht="12" customHeight="1" x14ac:dyDescent="0.25">
      <c r="A13" s="262"/>
      <c r="C13" s="263"/>
      <c r="D13" s="43">
        <f t="shared" si="15"/>
        <v>2</v>
      </c>
      <c r="E13" s="43">
        <f t="shared" si="8"/>
        <v>70.5</v>
      </c>
      <c r="G13" s="42">
        <f t="shared" ca="1" si="9"/>
        <v>0</v>
      </c>
      <c r="H13" s="42">
        <f t="shared" ca="1" si="9"/>
        <v>0</v>
      </c>
      <c r="I13" s="42">
        <f t="shared" ca="1" si="9"/>
        <v>5.1399286388769605</v>
      </c>
      <c r="J13" s="42">
        <f t="shared" ca="1" si="9"/>
        <v>0.86737493136693611</v>
      </c>
      <c r="K13" s="42">
        <f t="shared" ca="1" si="9"/>
        <v>1.3944451496515895</v>
      </c>
      <c r="L13" s="42">
        <f t="shared" ca="1" si="9"/>
        <v>0.23646074495527508</v>
      </c>
      <c r="M13" s="42">
        <f t="shared" ca="1" si="9"/>
        <v>2.2522295231644813</v>
      </c>
      <c r="N13" s="42">
        <f t="shared" ca="1" si="9"/>
        <v>0.3797535740316238</v>
      </c>
      <c r="O13" s="42">
        <f t="shared" ca="1" si="9"/>
        <v>0.73934131167856965</v>
      </c>
      <c r="P13" s="42">
        <f t="shared" ca="1" si="10"/>
        <v>0</v>
      </c>
      <c r="Q13" s="51">
        <f t="shared" ca="1" si="11"/>
        <v>11.009533873725438</v>
      </c>
      <c r="S13" s="42">
        <f t="shared" ca="1" si="12"/>
        <v>3.3275932876624177</v>
      </c>
      <c r="T13" s="42">
        <f t="shared" ca="1" si="12"/>
        <v>0</v>
      </c>
      <c r="U13" s="42">
        <f t="shared" ca="1" si="12"/>
        <v>2.0564975895734228</v>
      </c>
      <c r="V13" s="42">
        <f t="shared" ca="1" si="12"/>
        <v>0.31112393520369108</v>
      </c>
      <c r="W13" s="42">
        <f t="shared" ca="1" si="12"/>
        <v>0.46263096818399502</v>
      </c>
      <c r="X13" s="42">
        <f t="shared" ca="1" si="12"/>
        <v>6.9990632665100555E-2</v>
      </c>
      <c r="Y13" s="42">
        <f t="shared" ca="1" si="12"/>
        <v>0.9273739382214552</v>
      </c>
      <c r="Z13" s="42">
        <f t="shared" ca="1" si="12"/>
        <v>0.14030078640872759</v>
      </c>
      <c r="AA13" s="42">
        <f t="shared" ca="1" si="12"/>
        <v>0.25921397058421025</v>
      </c>
      <c r="AB13" s="42">
        <f t="shared" ca="1" si="13"/>
        <v>0</v>
      </c>
      <c r="AC13" s="51">
        <f t="shared" ca="1" si="14"/>
        <v>7.5547251085030194</v>
      </c>
    </row>
    <row r="14" spans="1:29" ht="12" customHeight="1" x14ac:dyDescent="0.25">
      <c r="A14" s="262"/>
      <c r="C14" s="263"/>
      <c r="D14" s="43">
        <f t="shared" si="15"/>
        <v>3</v>
      </c>
      <c r="E14" s="43">
        <f t="shared" si="8"/>
        <v>70.75</v>
      </c>
      <c r="G14" s="42">
        <f t="shared" ca="1" si="9"/>
        <v>0</v>
      </c>
      <c r="H14" s="42">
        <f t="shared" ca="1" si="9"/>
        <v>0</v>
      </c>
      <c r="I14" s="42">
        <f t="shared" ca="1" si="9"/>
        <v>4.6292624149397934</v>
      </c>
      <c r="J14" s="42">
        <f t="shared" ca="1" si="9"/>
        <v>0.7512016912383126</v>
      </c>
      <c r="K14" s="42">
        <f t="shared" ca="1" si="9"/>
        <v>1.2419535852511947</v>
      </c>
      <c r="L14" s="42">
        <f t="shared" ca="1" si="9"/>
        <v>0.20379846265457294</v>
      </c>
      <c r="M14" s="42">
        <f t="shared" ca="1" si="9"/>
        <v>2.0323072390000312</v>
      </c>
      <c r="N14" s="42">
        <f t="shared" ca="1" si="9"/>
        <v>0.32916383586751141</v>
      </c>
      <c r="O14" s="42">
        <f t="shared" ca="1" si="9"/>
        <v>1.1752748428393491</v>
      </c>
      <c r="P14" s="42">
        <f t="shared" ca="1" si="10"/>
        <v>0</v>
      </c>
      <c r="Q14" s="51">
        <f t="shared" ca="1" si="11"/>
        <v>10.362962071790765</v>
      </c>
      <c r="S14" s="42">
        <f t="shared" ca="1" si="12"/>
        <v>3.1391467356422034</v>
      </c>
      <c r="T14" s="42">
        <f t="shared" ca="1" si="12"/>
        <v>0</v>
      </c>
      <c r="U14" s="42">
        <f t="shared" ca="1" si="12"/>
        <v>2.0420882685279729</v>
      </c>
      <c r="V14" s="42">
        <f t="shared" ca="1" si="12"/>
        <v>0.30055757109744752</v>
      </c>
      <c r="W14" s="42">
        <f t="shared" ca="1" si="12"/>
        <v>0.45938943842002716</v>
      </c>
      <c r="X14" s="42">
        <f t="shared" ca="1" si="12"/>
        <v>6.7613616868223272E-2</v>
      </c>
      <c r="Y14" s="42">
        <f t="shared" ca="1" si="12"/>
        <v>0.9208760804691456</v>
      </c>
      <c r="Z14" s="42">
        <f t="shared" ca="1" si="12"/>
        <v>0.13553590326781348</v>
      </c>
      <c r="AA14" s="42">
        <f t="shared" ca="1" si="12"/>
        <v>0.43189072638960124</v>
      </c>
      <c r="AB14" s="42">
        <f t="shared" ca="1" si="13"/>
        <v>0</v>
      </c>
      <c r="AC14" s="51">
        <f t="shared" ca="1" si="14"/>
        <v>7.4970983406824345</v>
      </c>
    </row>
    <row r="15" spans="1:29" ht="12" customHeight="1" x14ac:dyDescent="0.25">
      <c r="A15" s="262"/>
      <c r="C15" s="263"/>
      <c r="D15" s="43">
        <f t="shared" si="15"/>
        <v>4</v>
      </c>
      <c r="E15" s="43">
        <f t="shared" si="8"/>
        <v>71</v>
      </c>
      <c r="G15" s="42">
        <f t="shared" ca="1" si="9"/>
        <v>0</v>
      </c>
      <c r="H15" s="42">
        <f t="shared" ca="1" si="9"/>
        <v>0</v>
      </c>
      <c r="I15" s="42">
        <f t="shared" ca="1" si="9"/>
        <v>4.2128569793989499</v>
      </c>
      <c r="J15" s="42">
        <f t="shared" ca="1" si="9"/>
        <v>0.67656771126856352</v>
      </c>
      <c r="K15" s="42">
        <f t="shared" ca="1" si="9"/>
        <v>1.1166067915683711</v>
      </c>
      <c r="L15" s="42">
        <f t="shared" ca="1" si="9"/>
        <v>0.18151178726948794</v>
      </c>
      <c r="M15" s="42">
        <f t="shared" ca="1" si="9"/>
        <v>1.8532553211616671</v>
      </c>
      <c r="N15" s="42">
        <f t="shared" ca="1" si="9"/>
        <v>0.29702214608688748</v>
      </c>
      <c r="O15" s="42">
        <f t="shared" ca="1" si="9"/>
        <v>1.5362471481487323</v>
      </c>
      <c r="P15" s="42">
        <f t="shared" ca="1" si="10"/>
        <v>0</v>
      </c>
      <c r="Q15" s="51">
        <f t="shared" ca="1" si="11"/>
        <v>9.874067884902658</v>
      </c>
      <c r="S15" s="42">
        <f t="shared" ca="1" si="12"/>
        <v>2.9613721918568823</v>
      </c>
      <c r="T15" s="42">
        <f t="shared" ca="1" si="12"/>
        <v>0</v>
      </c>
      <c r="U15" s="42">
        <f t="shared" ca="1" si="12"/>
        <v>2.033110000801619</v>
      </c>
      <c r="V15" s="42">
        <f t="shared" ca="1" si="12"/>
        <v>0.2984516456849689</v>
      </c>
      <c r="W15" s="42">
        <f t="shared" ca="1" si="12"/>
        <v>0.45736968176584125</v>
      </c>
      <c r="X15" s="42">
        <f t="shared" ca="1" si="12"/>
        <v>6.7139866586463703E-2</v>
      </c>
      <c r="Y15" s="42">
        <f t="shared" ca="1" si="12"/>
        <v>0.91682734657224729</v>
      </c>
      <c r="Z15" s="42">
        <f t="shared" ca="1" si="12"/>
        <v>0.13458623994057559</v>
      </c>
      <c r="AA15" s="42">
        <f t="shared" ca="1" si="12"/>
        <v>0.59271501731972143</v>
      </c>
      <c r="AB15" s="42">
        <f t="shared" ca="1" si="13"/>
        <v>0</v>
      </c>
      <c r="AC15" s="51">
        <f t="shared" ca="1" si="14"/>
        <v>7.4615719905283191</v>
      </c>
    </row>
    <row r="16" spans="1:29" ht="12" customHeight="1" x14ac:dyDescent="0.25">
      <c r="A16" s="262"/>
      <c r="C16" s="263"/>
      <c r="D16" s="43">
        <f t="shared" si="15"/>
        <v>5</v>
      </c>
      <c r="E16" s="43">
        <f t="shared" si="8"/>
        <v>71.25</v>
      </c>
      <c r="G16" s="42">
        <f t="shared" ca="1" si="9"/>
        <v>0</v>
      </c>
      <c r="H16" s="42">
        <f t="shared" ca="1" si="9"/>
        <v>0</v>
      </c>
      <c r="I16" s="42">
        <f t="shared" ca="1" si="9"/>
        <v>3.8587294879527092</v>
      </c>
      <c r="J16" s="42">
        <f t="shared" ca="1" si="9"/>
        <v>0.61570996607476014</v>
      </c>
      <c r="K16" s="42">
        <f t="shared" ca="1" si="9"/>
        <v>1.0102718497831538</v>
      </c>
      <c r="L16" s="42">
        <f t="shared" ca="1" si="9"/>
        <v>0.16319232604319153</v>
      </c>
      <c r="M16" s="42">
        <f t="shared" ca="1" si="9"/>
        <v>1.7009095848515199</v>
      </c>
      <c r="N16" s="42">
        <f t="shared" ca="1" si="9"/>
        <v>0.27085366925584903</v>
      </c>
      <c r="O16" s="42">
        <f t="shared" ca="1" si="9"/>
        <v>1.8376002109462952</v>
      </c>
      <c r="P16" s="42">
        <f t="shared" ca="1" si="10"/>
        <v>0</v>
      </c>
      <c r="Q16" s="51">
        <f t="shared" ca="1" si="11"/>
        <v>9.4572670949074791</v>
      </c>
      <c r="S16" s="42">
        <f t="shared" ca="1" si="12"/>
        <v>2.7936652846236365</v>
      </c>
      <c r="T16" s="42">
        <f t="shared" ca="1" si="12"/>
        <v>0</v>
      </c>
      <c r="U16" s="42">
        <f t="shared" ca="1" si="12"/>
        <v>2.0234596599798187</v>
      </c>
      <c r="V16" s="42">
        <f t="shared" ca="1" si="12"/>
        <v>0.29713946989921697</v>
      </c>
      <c r="W16" s="42">
        <f t="shared" ca="1" si="12"/>
        <v>0.45519873513291997</v>
      </c>
      <c r="X16" s="42">
        <f t="shared" ca="1" si="12"/>
        <v>6.6844678711083835E-2</v>
      </c>
      <c r="Y16" s="42">
        <f t="shared" ca="1" si="12"/>
        <v>0.91247554250572827</v>
      </c>
      <c r="Z16" s="42">
        <f t="shared" ca="1" si="12"/>
        <v>0.13399451659879233</v>
      </c>
      <c r="AA16" s="42">
        <f t="shared" ca="1" si="12"/>
        <v>0.74354580820610539</v>
      </c>
      <c r="AB16" s="42">
        <f t="shared" ca="1" si="13"/>
        <v>0</v>
      </c>
      <c r="AC16" s="51">
        <f t="shared" ca="1" si="14"/>
        <v>7.4263236956573015</v>
      </c>
    </row>
    <row r="17" spans="1:29" ht="12" customHeight="1" x14ac:dyDescent="0.25">
      <c r="A17" s="262"/>
      <c r="C17" s="263"/>
      <c r="D17" s="43">
        <f t="shared" si="15"/>
        <v>6</v>
      </c>
      <c r="E17" s="43">
        <f t="shared" si="8"/>
        <v>71.5</v>
      </c>
      <c r="G17" s="42">
        <f t="shared" ca="1" si="9"/>
        <v>0</v>
      </c>
      <c r="H17" s="42">
        <f t="shared" ca="1" si="9"/>
        <v>0</v>
      </c>
      <c r="I17" s="42">
        <f t="shared" ca="1" si="9"/>
        <v>3.5590395819737251</v>
      </c>
      <c r="J17" s="42">
        <f t="shared" ca="1" si="9"/>
        <v>0.56395415598893739</v>
      </c>
      <c r="K17" s="42">
        <f t="shared" ca="1" si="9"/>
        <v>0.92039508843319562</v>
      </c>
      <c r="L17" s="42">
        <f t="shared" ca="1" si="9"/>
        <v>0.14765145111691322</v>
      </c>
      <c r="M17" s="42">
        <f t="shared" ca="1" si="9"/>
        <v>1.5719520452667874</v>
      </c>
      <c r="N17" s="42">
        <f t="shared" ca="1" si="9"/>
        <v>0.24858830667794893</v>
      </c>
      <c r="O17" s="42">
        <f t="shared" ca="1" si="9"/>
        <v>2.0888083441167056</v>
      </c>
      <c r="P17" s="42">
        <f t="shared" ca="1" si="10"/>
        <v>0</v>
      </c>
      <c r="Q17" s="51">
        <f t="shared" ca="1" si="11"/>
        <v>9.1003889735742138</v>
      </c>
      <c r="S17" s="42">
        <f t="shared" ca="1" si="12"/>
        <v>2.6354558687260226</v>
      </c>
      <c r="T17" s="42">
        <f t="shared" ca="1" si="12"/>
        <v>0</v>
      </c>
      <c r="U17" s="42">
        <f t="shared" ca="1" si="12"/>
        <v>2.0138515275297109</v>
      </c>
      <c r="V17" s="42">
        <f t="shared" ca="1" si="12"/>
        <v>0.2957290704840323</v>
      </c>
      <c r="W17" s="42">
        <f t="shared" ca="1" si="12"/>
        <v>0.45303728372136975</v>
      </c>
      <c r="X17" s="42">
        <f t="shared" ca="1" si="12"/>
        <v>6.6527394387347602E-2</v>
      </c>
      <c r="Y17" s="42">
        <f t="shared" ca="1" si="12"/>
        <v>0.90814277222951412</v>
      </c>
      <c r="Z17" s="42">
        <f t="shared" ca="1" si="12"/>
        <v>0.13335849948564013</v>
      </c>
      <c r="AA17" s="42">
        <f t="shared" ca="1" si="12"/>
        <v>0.88496904495409523</v>
      </c>
      <c r="AB17" s="42">
        <f t="shared" ca="1" si="13"/>
        <v>0</v>
      </c>
      <c r="AC17" s="51">
        <f t="shared" ca="1" si="14"/>
        <v>7.3910714615177326</v>
      </c>
    </row>
    <row r="18" spans="1:29" ht="12" customHeight="1" x14ac:dyDescent="0.25">
      <c r="A18" s="262"/>
      <c r="C18" s="263"/>
      <c r="D18" s="43">
        <f t="shared" si="15"/>
        <v>7</v>
      </c>
      <c r="E18" s="43">
        <f t="shared" si="8"/>
        <v>71.75</v>
      </c>
      <c r="G18" s="42">
        <f t="shared" ca="1" si="9"/>
        <v>0</v>
      </c>
      <c r="H18" s="42">
        <f t="shared" ca="1" si="9"/>
        <v>0</v>
      </c>
      <c r="I18" s="42">
        <f t="shared" ca="1" si="9"/>
        <v>3.3052238446105897</v>
      </c>
      <c r="J18" s="42">
        <f t="shared" ca="1" si="9"/>
        <v>0.52015441088826353</v>
      </c>
      <c r="K18" s="42">
        <f t="shared" ca="1" si="9"/>
        <v>0.84438492060108006</v>
      </c>
      <c r="L18" s="42">
        <f t="shared" ca="1" si="9"/>
        <v>0.1345159428496501</v>
      </c>
      <c r="M18" s="42">
        <f t="shared" ca="1" si="9"/>
        <v>1.4627042897608611</v>
      </c>
      <c r="N18" s="42">
        <f t="shared" ca="1" si="9"/>
        <v>0.22974113415083208</v>
      </c>
      <c r="O18" s="42">
        <f t="shared" ca="1" si="9"/>
        <v>2.2977739899612053</v>
      </c>
      <c r="P18" s="42">
        <f t="shared" ca="1" si="10"/>
        <v>0</v>
      </c>
      <c r="Q18" s="51">
        <f t="shared" ca="1" si="11"/>
        <v>8.7944985328224821</v>
      </c>
      <c r="S18" s="42">
        <f t="shared" ca="1" si="12"/>
        <v>2.4862060871183247</v>
      </c>
      <c r="T18" s="42">
        <f t="shared" ca="1" si="12"/>
        <v>0</v>
      </c>
      <c r="U18" s="42">
        <f t="shared" ca="1" si="12"/>
        <v>2.0042945993072521</v>
      </c>
      <c r="V18" s="42">
        <f t="shared" ca="1" si="12"/>
        <v>0.29432483983157343</v>
      </c>
      <c r="W18" s="42">
        <f t="shared" ca="1" si="12"/>
        <v>0.45088735124450346</v>
      </c>
      <c r="X18" s="42">
        <f t="shared" ca="1" si="12"/>
        <v>6.6211497792284982E-2</v>
      </c>
      <c r="Y18" s="42">
        <f t="shared" ca="1" si="12"/>
        <v>0.90383309240888288</v>
      </c>
      <c r="Z18" s="42">
        <f t="shared" ca="1" si="12"/>
        <v>0.13272526416509095</v>
      </c>
      <c r="AA18" s="42">
        <f t="shared" ca="1" si="12"/>
        <v>1.0175118471384188</v>
      </c>
      <c r="AB18" s="42">
        <f t="shared" ca="1" si="13"/>
        <v>0</v>
      </c>
      <c r="AC18" s="51">
        <f t="shared" ca="1" si="14"/>
        <v>7.3559945790063317</v>
      </c>
    </row>
    <row r="19" spans="1:29" ht="12" customHeight="1" x14ac:dyDescent="0.25">
      <c r="A19" s="262"/>
      <c r="C19" s="263"/>
      <c r="D19" s="43">
        <f t="shared" si="15"/>
        <v>8</v>
      </c>
      <c r="E19" s="43">
        <f t="shared" si="8"/>
        <v>72</v>
      </c>
      <c r="G19" s="42">
        <f t="shared" ca="1" si="9"/>
        <v>0</v>
      </c>
      <c r="H19" s="42">
        <f t="shared" ca="1" si="9"/>
        <v>0</v>
      </c>
      <c r="I19" s="42">
        <f t="shared" ca="1" si="9"/>
        <v>3.0900281597751191</v>
      </c>
      <c r="J19" s="42">
        <f t="shared" ca="1" si="9"/>
        <v>0.4830591855328108</v>
      </c>
      <c r="K19" s="42">
        <f t="shared" ca="1" si="9"/>
        <v>0.78004934453761321</v>
      </c>
      <c r="L19" s="42">
        <f t="shared" ca="1" si="9"/>
        <v>0.12340704024837412</v>
      </c>
      <c r="M19" s="42">
        <f t="shared" ca="1" si="9"/>
        <v>1.3700493937444134</v>
      </c>
      <c r="N19" s="42">
        <f t="shared" ca="1" si="9"/>
        <v>0.21377455086418695</v>
      </c>
      <c r="O19" s="42">
        <f t="shared" ca="1" si="9"/>
        <v>2.4711815941664468</v>
      </c>
      <c r="P19" s="42">
        <f t="shared" ca="1" si="10"/>
        <v>0</v>
      </c>
      <c r="Q19" s="51">
        <f t="shared" ca="1" si="11"/>
        <v>8.5315492688689645</v>
      </c>
      <c r="S19" s="42">
        <f t="shared" ca="1" si="12"/>
        <v>2.3454085423984763</v>
      </c>
      <c r="T19" s="42">
        <f t="shared" ca="1" si="12"/>
        <v>0</v>
      </c>
      <c r="U19" s="42">
        <f t="shared" ca="1" si="12"/>
        <v>1.9947827621142808</v>
      </c>
      <c r="V19" s="42">
        <f t="shared" ca="1" si="12"/>
        <v>0.29292809268814951</v>
      </c>
      <c r="W19" s="42">
        <f t="shared" ca="1" si="12"/>
        <v>0.44874756247348646</v>
      </c>
      <c r="X19" s="42">
        <f t="shared" ca="1" si="12"/>
        <v>6.5897284692037941E-2</v>
      </c>
      <c r="Y19" s="42">
        <f t="shared" ca="1" si="12"/>
        <v>0.89954374630797329</v>
      </c>
      <c r="Z19" s="42">
        <f t="shared" ca="1" si="12"/>
        <v>0.13209540351965965</v>
      </c>
      <c r="AA19" s="42">
        <f t="shared" ca="1" si="12"/>
        <v>1.141681648772102</v>
      </c>
      <c r="AB19" s="42">
        <f t="shared" ca="1" si="13"/>
        <v>0</v>
      </c>
      <c r="AC19" s="51">
        <f t="shared" ca="1" si="14"/>
        <v>7.3210850429661658</v>
      </c>
    </row>
    <row r="20" spans="1:29" ht="12" customHeight="1" x14ac:dyDescent="0.25">
      <c r="A20" s="262"/>
      <c r="C20" s="263"/>
      <c r="D20" s="43">
        <f t="shared" si="15"/>
        <v>9</v>
      </c>
      <c r="E20" s="43">
        <f t="shared" si="8"/>
        <v>72.25</v>
      </c>
      <c r="G20" s="42">
        <f t="shared" ca="1" si="9"/>
        <v>0</v>
      </c>
      <c r="H20" s="42">
        <f t="shared" ca="1" si="9"/>
        <v>0</v>
      </c>
      <c r="I20" s="42">
        <f t="shared" ca="1" si="9"/>
        <v>2.907361085067075</v>
      </c>
      <c r="J20" s="42">
        <f t="shared" ca="1" si="9"/>
        <v>0.4516082892746649</v>
      </c>
      <c r="K20" s="42">
        <f t="shared" ca="1" si="9"/>
        <v>0.72554636935641104</v>
      </c>
      <c r="L20" s="42">
        <f t="shared" ca="1" si="9"/>
        <v>0.11400438177951511</v>
      </c>
      <c r="M20" s="42">
        <f t="shared" ca="1" si="9"/>
        <v>1.2913703695995231</v>
      </c>
      <c r="N20" s="42">
        <f t="shared" ca="1" si="9"/>
        <v>0.20023301760969547</v>
      </c>
      <c r="O20" s="42">
        <f t="shared" ca="1" si="9"/>
        <v>2.6146589237672058</v>
      </c>
      <c r="P20" s="42">
        <f t="shared" ca="1" si="10"/>
        <v>0</v>
      </c>
      <c r="Q20" s="51">
        <f t="shared" ca="1" si="11"/>
        <v>8.3047824364540901</v>
      </c>
      <c r="S20" s="42">
        <f t="shared" ca="1" si="12"/>
        <v>2.2125845718331805</v>
      </c>
      <c r="T20" s="42">
        <f t="shared" ca="1" si="12"/>
        <v>0</v>
      </c>
      <c r="U20" s="42">
        <f t="shared" ca="1" si="12"/>
        <v>1.985316036794629</v>
      </c>
      <c r="V20" s="42">
        <f t="shared" ca="1" si="12"/>
        <v>0.29153793560851643</v>
      </c>
      <c r="W20" s="42">
        <f t="shared" ca="1" si="12"/>
        <v>0.4466179220973599</v>
      </c>
      <c r="X20" s="42">
        <f t="shared" ca="1" si="12"/>
        <v>6.5584554096612416E-2</v>
      </c>
      <c r="Y20" s="42">
        <f t="shared" ca="1" si="12"/>
        <v>0.89527474332627377</v>
      </c>
      <c r="Z20" s="42">
        <f t="shared" ca="1" si="12"/>
        <v>0.13146851465179904</v>
      </c>
      <c r="AA20" s="42">
        <f t="shared" ca="1" si="12"/>
        <v>1.2579567933496896</v>
      </c>
      <c r="AB20" s="42">
        <f t="shared" ca="1" si="13"/>
        <v>0</v>
      </c>
      <c r="AC20" s="51">
        <f t="shared" ca="1" si="14"/>
        <v>7.286341071758061</v>
      </c>
    </row>
    <row r="21" spans="1:29" ht="12" customHeight="1" x14ac:dyDescent="0.25">
      <c r="A21" s="262"/>
      <c r="C21" s="263"/>
      <c r="D21" s="43">
        <f t="shared" si="15"/>
        <v>10</v>
      </c>
      <c r="E21" s="43">
        <f t="shared" si="8"/>
        <v>72.5</v>
      </c>
      <c r="G21" s="42">
        <f t="shared" ref="G21:O30" ca="1" si="16">PRODUCT(AVERAGE(OFFSET(AB.Trace.MarkovQA.Root, $D21, (G$2-1)*AB.Trace.MarkovQA.NumCols+G$3-1, CHOOSE(swtchHalfCycle, 2, 1))), G$6)</f>
        <v>0</v>
      </c>
      <c r="H21" s="42">
        <f t="shared" ca="1" si="16"/>
        <v>0</v>
      </c>
      <c r="I21" s="42">
        <f t="shared" ca="1" si="16"/>
        <v>2.7520925694414173</v>
      </c>
      <c r="J21" s="42">
        <f t="shared" ca="1" si="16"/>
        <v>0.42491145647890466</v>
      </c>
      <c r="K21" s="42">
        <f t="shared" ca="1" si="16"/>
        <v>0.67932476524890006</v>
      </c>
      <c r="L21" s="42">
        <f t="shared" ca="1" si="16"/>
        <v>0.10603876007341596</v>
      </c>
      <c r="M21" s="42">
        <f t="shared" ca="1" si="16"/>
        <v>1.2244632471682511</v>
      </c>
      <c r="N21" s="42">
        <f t="shared" ca="1" si="16"/>
        <v>0.18873406107641266</v>
      </c>
      <c r="O21" s="42">
        <f t="shared" ca="1" si="16"/>
        <v>2.7329447514542178</v>
      </c>
      <c r="P21" s="42">
        <f t="shared" ca="1" si="10"/>
        <v>0</v>
      </c>
      <c r="Q21" s="51">
        <f t="shared" ca="1" si="11"/>
        <v>8.1085096109415193</v>
      </c>
      <c r="S21" s="42">
        <f t="shared" ref="S21:AA30" ca="1" si="17">PRODUCT(AVERAGE(OFFSET(AB.Trace.MarkovQA.Root, $D21, (S$2-1)*AB.Trace.MarkovQA.NumCols+S$3-1, CHOOSE(swtchHalfCycle, 2, 1))), S$6)</f>
        <v>2.0872826200709245</v>
      </c>
      <c r="T21" s="42">
        <f t="shared" ca="1" si="17"/>
        <v>0</v>
      </c>
      <c r="U21" s="42">
        <f t="shared" ca="1" si="17"/>
        <v>1.9758942415950929</v>
      </c>
      <c r="V21" s="42">
        <f t="shared" ca="1" si="17"/>
        <v>0.29015437163900482</v>
      </c>
      <c r="W21" s="42">
        <f t="shared" ca="1" si="17"/>
        <v>0.4444983892288108</v>
      </c>
      <c r="X21" s="42">
        <f t="shared" ca="1" si="17"/>
        <v>6.5273306691312788E-2</v>
      </c>
      <c r="Y21" s="42">
        <f t="shared" ca="1" si="17"/>
        <v>0.89102600150250044</v>
      </c>
      <c r="Z21" s="42">
        <f t="shared" ca="1" si="17"/>
        <v>0.1308445989352465</v>
      </c>
      <c r="AA21" s="42">
        <f t="shared" ca="1" si="17"/>
        <v>1.3667884556274217</v>
      </c>
      <c r="AB21" s="42">
        <f t="shared" ca="1" si="13"/>
        <v>0</v>
      </c>
      <c r="AC21" s="51">
        <f t="shared" ca="1" si="14"/>
        <v>7.2517619852903143</v>
      </c>
    </row>
    <row r="22" spans="1:29" ht="12" customHeight="1" x14ac:dyDescent="0.25">
      <c r="A22" s="262"/>
      <c r="C22" s="263"/>
      <c r="D22" s="43">
        <f t="shared" si="15"/>
        <v>11</v>
      </c>
      <c r="E22" s="43">
        <f t="shared" si="8"/>
        <v>72.75</v>
      </c>
      <c r="G22" s="42">
        <f t="shared" ca="1" si="16"/>
        <v>0</v>
      </c>
      <c r="H22" s="42">
        <f t="shared" ca="1" si="16"/>
        <v>0</v>
      </c>
      <c r="I22" s="42">
        <f t="shared" ca="1" si="16"/>
        <v>2.6199025871043284</v>
      </c>
      <c r="J22" s="42">
        <f t="shared" ca="1" si="16"/>
        <v>0.40221892906678458</v>
      </c>
      <c r="K22" s="42">
        <f t="shared" ca="1" si="16"/>
        <v>0.64007824895619625</v>
      </c>
      <c r="L22" s="42">
        <f t="shared" ca="1" si="16"/>
        <v>9.9283462555336724E-2</v>
      </c>
      <c r="M22" s="42">
        <f t="shared" ca="1" si="16"/>
        <v>1.1674720561210168</v>
      </c>
      <c r="N22" s="42">
        <f t="shared" ca="1" si="16"/>
        <v>0.17895557054522074</v>
      </c>
      <c r="O22" s="42">
        <f t="shared" ca="1" si="16"/>
        <v>2.8300294428599204</v>
      </c>
      <c r="P22" s="42">
        <f t="shared" ca="1" si="10"/>
        <v>0</v>
      </c>
      <c r="Q22" s="51">
        <f t="shared" ca="1" si="11"/>
        <v>7.9379402972088045</v>
      </c>
      <c r="S22" s="42">
        <f t="shared" ca="1" si="17"/>
        <v>1.969076704010672</v>
      </c>
      <c r="T22" s="42">
        <f t="shared" ca="1" si="17"/>
        <v>0</v>
      </c>
      <c r="U22" s="42">
        <f t="shared" ca="1" si="17"/>
        <v>1.9665171598301672</v>
      </c>
      <c r="V22" s="42">
        <f t="shared" ca="1" si="17"/>
        <v>0.28877737421634431</v>
      </c>
      <c r="W22" s="42">
        <f t="shared" ca="1" si="17"/>
        <v>0.44238891512213419</v>
      </c>
      <c r="X22" s="42">
        <f t="shared" ca="1" si="17"/>
        <v>6.4963536500449379E-2</v>
      </c>
      <c r="Y22" s="42">
        <f t="shared" ca="1" si="17"/>
        <v>0.88679742312270893</v>
      </c>
      <c r="Z22" s="42">
        <f t="shared" ca="1" si="17"/>
        <v>0.13022364439134237</v>
      </c>
      <c r="AA22" s="42">
        <f t="shared" ca="1" si="17"/>
        <v>1.4686022458769137</v>
      </c>
      <c r="AB22" s="42">
        <f t="shared" ca="1" si="13"/>
        <v>0</v>
      </c>
      <c r="AC22" s="51">
        <f t="shared" ca="1" si="14"/>
        <v>7.2173470030707314</v>
      </c>
    </row>
    <row r="23" spans="1:29" ht="12" customHeight="1" x14ac:dyDescent="0.25">
      <c r="A23" s="262"/>
      <c r="C23" s="263"/>
      <c r="D23" s="43">
        <f t="shared" si="15"/>
        <v>12</v>
      </c>
      <c r="E23" s="43">
        <f t="shared" si="8"/>
        <v>73</v>
      </c>
      <c r="G23" s="42">
        <f t="shared" ca="1" si="16"/>
        <v>0</v>
      </c>
      <c r="H23" s="42">
        <f t="shared" ca="1" si="16"/>
        <v>0</v>
      </c>
      <c r="I23" s="42">
        <f t="shared" ca="1" si="16"/>
        <v>2.5071533252657208</v>
      </c>
      <c r="J23" s="42">
        <f t="shared" ca="1" si="16"/>
        <v>0.38289933432663636</v>
      </c>
      <c r="K23" s="42">
        <f t="shared" ca="1" si="16"/>
        <v>0.60670682561050782</v>
      </c>
      <c r="L23" s="42">
        <f t="shared" ca="1" si="16"/>
        <v>9.3547575642180539E-2</v>
      </c>
      <c r="M23" s="42">
        <f t="shared" ca="1" si="16"/>
        <v>1.1188339181189377</v>
      </c>
      <c r="N23" s="42">
        <f t="shared" ca="1" si="16"/>
        <v>0.17062629554779155</v>
      </c>
      <c r="O23" s="42">
        <f t="shared" ca="1" si="16"/>
        <v>2.9092731321675811</v>
      </c>
      <c r="P23" s="42">
        <f t="shared" ca="1" si="10"/>
        <v>0</v>
      </c>
      <c r="Q23" s="51">
        <f t="shared" ca="1" si="11"/>
        <v>7.7890404066793568</v>
      </c>
      <c r="S23" s="42">
        <f t="shared" ca="1" si="17"/>
        <v>1.8575649646073249</v>
      </c>
      <c r="T23" s="42">
        <f t="shared" ca="1" si="17"/>
        <v>0</v>
      </c>
      <c r="U23" s="42">
        <f t="shared" ca="1" si="17"/>
        <v>1.9571845792357052</v>
      </c>
      <c r="V23" s="42">
        <f t="shared" ca="1" si="17"/>
        <v>0.28740691167190102</v>
      </c>
      <c r="W23" s="42">
        <f t="shared" ca="1" si="17"/>
        <v>0.44028945202625624</v>
      </c>
      <c r="X23" s="42">
        <f t="shared" ca="1" si="17"/>
        <v>6.4655236399826746E-2</v>
      </c>
      <c r="Y23" s="42">
        <f t="shared" ca="1" si="17"/>
        <v>0.88258891246675875</v>
      </c>
      <c r="Z23" s="42">
        <f t="shared" ca="1" si="17"/>
        <v>0.12960563673917247</v>
      </c>
      <c r="AA23" s="42">
        <f t="shared" ca="1" si="17"/>
        <v>1.5637996522508029</v>
      </c>
      <c r="AB23" s="42">
        <f t="shared" ca="1" si="13"/>
        <v>0</v>
      </c>
      <c r="AC23" s="51">
        <f t="shared" ca="1" si="14"/>
        <v>7.1830953453977493</v>
      </c>
    </row>
    <row r="24" spans="1:29" ht="12" customHeight="1" x14ac:dyDescent="0.25">
      <c r="A24" s="262"/>
      <c r="C24" s="263"/>
      <c r="D24" s="43">
        <f t="shared" si="15"/>
        <v>13</v>
      </c>
      <c r="E24" s="43">
        <f t="shared" si="8"/>
        <v>73.25</v>
      </c>
      <c r="G24" s="42">
        <f t="shared" ca="1" si="16"/>
        <v>0</v>
      </c>
      <c r="H24" s="42">
        <f t="shared" ca="1" si="16"/>
        <v>0</v>
      </c>
      <c r="I24" s="42">
        <f t="shared" ca="1" si="16"/>
        <v>2.4107814372175072</v>
      </c>
      <c r="J24" s="42">
        <f t="shared" ca="1" si="16"/>
        <v>0.36642100512603126</v>
      </c>
      <c r="K24" s="42">
        <f t="shared" ca="1" si="16"/>
        <v>0.57828420879169229</v>
      </c>
      <c r="L24" s="42">
        <f t="shared" ca="1" si="16"/>
        <v>8.8670334844186058E-2</v>
      </c>
      <c r="M24" s="42">
        <f t="shared" ca="1" si="16"/>
        <v>1.0772327564451172</v>
      </c>
      <c r="N24" s="42">
        <f t="shared" ca="1" si="16"/>
        <v>0.16351782107414065</v>
      </c>
      <c r="O24" s="42">
        <f t="shared" ca="1" si="16"/>
        <v>2.9735052504850956</v>
      </c>
      <c r="P24" s="42">
        <f t="shared" ca="1" si="10"/>
        <v>0</v>
      </c>
      <c r="Q24" s="51">
        <f t="shared" ca="1" si="11"/>
        <v>7.6584128139837713</v>
      </c>
      <c r="S24" s="42">
        <f t="shared" ca="1" si="17"/>
        <v>1.7523683006905919</v>
      </c>
      <c r="T24" s="42">
        <f t="shared" ca="1" si="17"/>
        <v>0</v>
      </c>
      <c r="U24" s="42">
        <f t="shared" ca="1" si="17"/>
        <v>1.9478962886503339</v>
      </c>
      <c r="V24" s="42">
        <f t="shared" ca="1" si="17"/>
        <v>0.28604295298322369</v>
      </c>
      <c r="W24" s="42">
        <f t="shared" ca="1" si="17"/>
        <v>0.43819995243818433</v>
      </c>
      <c r="X24" s="42">
        <f t="shared" ca="1" si="17"/>
        <v>6.434839941061507E-2</v>
      </c>
      <c r="Y24" s="42">
        <f t="shared" ca="1" si="17"/>
        <v>0.87840037431180384</v>
      </c>
      <c r="Z24" s="42">
        <f t="shared" ca="1" si="17"/>
        <v>0.12899056198921741</v>
      </c>
      <c r="AA24" s="42">
        <f t="shared" ca="1" si="17"/>
        <v>1.6527594067331846</v>
      </c>
      <c r="AB24" s="42">
        <f t="shared" ca="1" si="13"/>
        <v>0</v>
      </c>
      <c r="AC24" s="51">
        <f t="shared" ca="1" si="14"/>
        <v>7.1490062372071552</v>
      </c>
    </row>
    <row r="25" spans="1:29" ht="12" customHeight="1" x14ac:dyDescent="0.25">
      <c r="A25" s="262"/>
      <c r="C25" s="263"/>
      <c r="D25" s="43">
        <f t="shared" si="15"/>
        <v>14</v>
      </c>
      <c r="E25" s="43">
        <f t="shared" si="8"/>
        <v>73.5</v>
      </c>
      <c r="G25" s="42">
        <f t="shared" ca="1" si="16"/>
        <v>0</v>
      </c>
      <c r="H25" s="42">
        <f t="shared" ca="1" si="16"/>
        <v>0</v>
      </c>
      <c r="I25" s="42">
        <f t="shared" ca="1" si="16"/>
        <v>2.3282073200947098</v>
      </c>
      <c r="J25" s="42">
        <f t="shared" ca="1" si="16"/>
        <v>0.35233623267567565</v>
      </c>
      <c r="K25" s="42">
        <f t="shared" ca="1" si="16"/>
        <v>0.55403038773228641</v>
      </c>
      <c r="L25" s="42">
        <f t="shared" ca="1" si="16"/>
        <v>8.4516363199089881E-2</v>
      </c>
      <c r="M25" s="42">
        <f t="shared" ca="1" si="16"/>
        <v>1.0415603199903949</v>
      </c>
      <c r="N25" s="42">
        <f t="shared" ca="1" si="16"/>
        <v>0.15743780222514728</v>
      </c>
      <c r="O25" s="42">
        <f t="shared" ca="1" si="16"/>
        <v>3.0251083370721088</v>
      </c>
      <c r="P25" s="42">
        <f t="shared" ca="1" si="10"/>
        <v>0</v>
      </c>
      <c r="Q25" s="51">
        <f t="shared" ca="1" si="11"/>
        <v>7.5431967629894121</v>
      </c>
      <c r="S25" s="42">
        <f t="shared" ca="1" si="17"/>
        <v>1.6531290801527225</v>
      </c>
      <c r="T25" s="42">
        <f t="shared" ca="1" si="17"/>
        <v>0</v>
      </c>
      <c r="U25" s="42">
        <f t="shared" ca="1" si="17"/>
        <v>1.9386520778841134</v>
      </c>
      <c r="V25" s="42">
        <f t="shared" ca="1" si="17"/>
        <v>0.28468546728903155</v>
      </c>
      <c r="W25" s="42">
        <f t="shared" ca="1" si="17"/>
        <v>0.43612036907345958</v>
      </c>
      <c r="X25" s="42">
        <f t="shared" ca="1" si="17"/>
        <v>6.4043018590241585E-2</v>
      </c>
      <c r="Y25" s="42">
        <f t="shared" ca="1" si="17"/>
        <v>0.87423171387306375</v>
      </c>
      <c r="Z25" s="42">
        <f t="shared" ca="1" si="17"/>
        <v>0.12837840622463742</v>
      </c>
      <c r="AA25" s="42">
        <f t="shared" ca="1" si="17"/>
        <v>1.7358387739991992</v>
      </c>
      <c r="AB25" s="42">
        <f t="shared" ca="1" si="13"/>
        <v>0</v>
      </c>
      <c r="AC25" s="51">
        <f t="shared" ca="1" si="14"/>
        <v>7.1150789070864686</v>
      </c>
    </row>
    <row r="26" spans="1:29" ht="12" customHeight="1" x14ac:dyDescent="0.25">
      <c r="A26" s="262"/>
      <c r="C26" s="263"/>
      <c r="D26" s="43">
        <f t="shared" si="15"/>
        <v>15</v>
      </c>
      <c r="E26" s="43">
        <f t="shared" si="8"/>
        <v>73.75</v>
      </c>
      <c r="G26" s="42">
        <f t="shared" ca="1" si="16"/>
        <v>0</v>
      </c>
      <c r="H26" s="42">
        <f t="shared" ca="1" si="16"/>
        <v>0</v>
      </c>
      <c r="I26" s="42">
        <f t="shared" ca="1" si="16"/>
        <v>2.2572587203089758</v>
      </c>
      <c r="J26" s="42">
        <f t="shared" ca="1" si="16"/>
        <v>0.34026800745441865</v>
      </c>
      <c r="K26" s="42">
        <f t="shared" ca="1" si="16"/>
        <v>0.53328852692193951</v>
      </c>
      <c r="L26" s="42">
        <f t="shared" ca="1" si="16"/>
        <v>8.0971661963160274E-2</v>
      </c>
      <c r="M26" s="42">
        <f t="shared" ca="1" si="16"/>
        <v>1.0108833626915172</v>
      </c>
      <c r="N26" s="42">
        <f t="shared" ca="1" si="16"/>
        <v>0.15222426785957416</v>
      </c>
      <c r="O26" s="42">
        <f t="shared" ca="1" si="16"/>
        <v>3.0660886145952415</v>
      </c>
      <c r="P26" s="42">
        <f t="shared" ca="1" si="10"/>
        <v>0</v>
      </c>
      <c r="Q26" s="51">
        <f t="shared" ca="1" si="11"/>
        <v>7.4409831617948274</v>
      </c>
      <c r="S26" s="42">
        <f t="shared" ca="1" si="17"/>
        <v>1.5595099241236003</v>
      </c>
      <c r="T26" s="42">
        <f t="shared" ca="1" si="17"/>
        <v>0</v>
      </c>
      <c r="U26" s="42">
        <f t="shared" ca="1" si="17"/>
        <v>1.9294517377454801</v>
      </c>
      <c r="V26" s="42">
        <f t="shared" ca="1" si="17"/>
        <v>0.28333442387001917</v>
      </c>
      <c r="W26" s="42">
        <f t="shared" ca="1" si="17"/>
        <v>0.43405065487221861</v>
      </c>
      <c r="X26" s="42">
        <f t="shared" ca="1" si="17"/>
        <v>6.373908702807235E-2</v>
      </c>
      <c r="Y26" s="42">
        <f t="shared" ca="1" si="17"/>
        <v>0.87008283681597409</v>
      </c>
      <c r="Z26" s="42">
        <f t="shared" ca="1" si="17"/>
        <v>0.1277691555926162</v>
      </c>
      <c r="AA26" s="42">
        <f t="shared" ca="1" si="17"/>
        <v>1.8133747672304237</v>
      </c>
      <c r="AB26" s="42">
        <f t="shared" ca="1" si="13"/>
        <v>0</v>
      </c>
      <c r="AC26" s="51">
        <f t="shared" ca="1" si="14"/>
        <v>7.0813125872784042</v>
      </c>
    </row>
    <row r="27" spans="1:29" ht="12" customHeight="1" x14ac:dyDescent="0.25">
      <c r="A27" s="262"/>
      <c r="C27" s="263"/>
      <c r="D27" s="43">
        <f t="shared" si="15"/>
        <v>16</v>
      </c>
      <c r="E27" s="43">
        <f t="shared" si="8"/>
        <v>74</v>
      </c>
      <c r="G27" s="42">
        <f t="shared" ca="1" si="16"/>
        <v>0</v>
      </c>
      <c r="H27" s="42">
        <f t="shared" ca="1" si="16"/>
        <v>0</v>
      </c>
      <c r="I27" s="42">
        <f t="shared" ca="1" si="16"/>
        <v>2.1961064034338427</v>
      </c>
      <c r="J27" s="42">
        <f t="shared" ca="1" si="16"/>
        <v>0.32989885412670278</v>
      </c>
      <c r="K27" s="42">
        <f t="shared" ca="1" si="16"/>
        <v>0.51550551380042886</v>
      </c>
      <c r="L27" s="42">
        <f t="shared" ca="1" si="16"/>
        <v>7.7940234483348664E-2</v>
      </c>
      <c r="M27" s="42">
        <f t="shared" ca="1" si="16"/>
        <v>0.98441600608578295</v>
      </c>
      <c r="N27" s="42">
        <f t="shared" ca="1" si="16"/>
        <v>0.14774082386179963</v>
      </c>
      <c r="O27" s="42">
        <f t="shared" ca="1" si="16"/>
        <v>3.0981354188510726</v>
      </c>
      <c r="P27" s="42">
        <f t="shared" ca="1" si="10"/>
        <v>0</v>
      </c>
      <c r="Q27" s="51">
        <f t="shared" ca="1" si="11"/>
        <v>7.3497432546429788</v>
      </c>
      <c r="S27" s="42">
        <f t="shared" ca="1" si="17"/>
        <v>1.4711925599997993</v>
      </c>
      <c r="T27" s="42">
        <f t="shared" ca="1" si="17"/>
        <v>0</v>
      </c>
      <c r="U27" s="42">
        <f t="shared" ca="1" si="17"/>
        <v>1.9202950600358262</v>
      </c>
      <c r="V27" s="42">
        <f t="shared" ca="1" si="17"/>
        <v>0.28198979215279379</v>
      </c>
      <c r="W27" s="42">
        <f t="shared" ca="1" si="17"/>
        <v>0.43199076299797395</v>
      </c>
      <c r="X27" s="42">
        <f t="shared" ca="1" si="17"/>
        <v>6.3436597846298057E-2</v>
      </c>
      <c r="Y27" s="42">
        <f t="shared" ca="1" si="17"/>
        <v>0.86595364925374219</v>
      </c>
      <c r="Z27" s="42">
        <f t="shared" ca="1" si="17"/>
        <v>0.12716279630613656</v>
      </c>
      <c r="AA27" s="42">
        <f t="shared" ca="1" si="17"/>
        <v>1.8856852950771783</v>
      </c>
      <c r="AB27" s="42">
        <f t="shared" ca="1" si="13"/>
        <v>0</v>
      </c>
      <c r="AC27" s="51">
        <f t="shared" ca="1" si="14"/>
        <v>7.0477065136697483</v>
      </c>
    </row>
    <row r="28" spans="1:29" ht="12" customHeight="1" x14ac:dyDescent="0.25">
      <c r="A28" s="262"/>
      <c r="C28" s="263"/>
      <c r="D28" s="43">
        <f t="shared" si="15"/>
        <v>17</v>
      </c>
      <c r="E28" s="43">
        <f t="shared" si="8"/>
        <v>74.25</v>
      </c>
      <c r="G28" s="42">
        <f t="shared" ca="1" si="16"/>
        <v>0</v>
      </c>
      <c r="H28" s="42">
        <f t="shared" ca="1" si="16"/>
        <v>0</v>
      </c>
      <c r="I28" s="42">
        <f t="shared" ca="1" si="16"/>
        <v>2.1432099833656779</v>
      </c>
      <c r="J28" s="42">
        <f t="shared" ca="1" si="16"/>
        <v>0.32096142968226959</v>
      </c>
      <c r="K28" s="42">
        <f t="shared" ca="1" si="16"/>
        <v>0.50021557843876696</v>
      </c>
      <c r="L28" s="42">
        <f t="shared" ca="1" si="16"/>
        <v>7.5341243238382538E-2</v>
      </c>
      <c r="M28" s="42">
        <f t="shared" ca="1" si="16"/>
        <v>0.9614964664844754</v>
      </c>
      <c r="N28" s="42">
        <f t="shared" ca="1" si="16"/>
        <v>0.14387261392315359</v>
      </c>
      <c r="O28" s="42">
        <f t="shared" ca="1" si="16"/>
        <v>3.122671243103766</v>
      </c>
      <c r="P28" s="42">
        <f t="shared" ca="1" si="10"/>
        <v>0</v>
      </c>
      <c r="Q28" s="51">
        <f t="shared" ca="1" si="11"/>
        <v>7.2677685582364919</v>
      </c>
      <c r="S28" s="42">
        <f t="shared" ca="1" si="17"/>
        <v>1.387876739428316</v>
      </c>
      <c r="T28" s="42">
        <f t="shared" ca="1" si="17"/>
        <v>0</v>
      </c>
      <c r="U28" s="42">
        <f t="shared" ca="1" si="17"/>
        <v>1.9111818375445837</v>
      </c>
      <c r="V28" s="42">
        <f t="shared" ca="1" si="17"/>
        <v>0.28065154170908346</v>
      </c>
      <c r="W28" s="42">
        <f t="shared" ca="1" si="17"/>
        <v>0.42994064683650829</v>
      </c>
      <c r="X28" s="42">
        <f t="shared" ca="1" si="17"/>
        <v>6.3135544199755825E-2</v>
      </c>
      <c r="Y28" s="42">
        <f t="shared" ca="1" si="17"/>
        <v>0.8618440577451304</v>
      </c>
      <c r="Z28" s="42">
        <f t="shared" ca="1" si="17"/>
        <v>0.12655931464362333</v>
      </c>
      <c r="AA28" s="42">
        <f t="shared" ca="1" si="17"/>
        <v>1.9530702436665868</v>
      </c>
      <c r="AB28" s="42">
        <f t="shared" ca="1" si="13"/>
        <v>0</v>
      </c>
      <c r="AC28" s="51">
        <f t="shared" ca="1" si="14"/>
        <v>7.0142599257735876</v>
      </c>
    </row>
    <row r="29" spans="1:29" ht="12" customHeight="1" x14ac:dyDescent="0.25">
      <c r="A29" s="262"/>
      <c r="C29" s="263"/>
      <c r="D29" s="43">
        <f t="shared" si="15"/>
        <v>18</v>
      </c>
      <c r="E29" s="43">
        <f t="shared" si="8"/>
        <v>74.5</v>
      </c>
      <c r="G29" s="42">
        <f t="shared" ca="1" si="16"/>
        <v>0</v>
      </c>
      <c r="H29" s="42">
        <f t="shared" ca="1" si="16"/>
        <v>0</v>
      </c>
      <c r="I29" s="42">
        <f t="shared" ca="1" si="16"/>
        <v>2.0972723063652103</v>
      </c>
      <c r="J29" s="42">
        <f t="shared" ca="1" si="16"/>
        <v>0.31323060635622052</v>
      </c>
      <c r="K29" s="42">
        <f t="shared" ca="1" si="16"/>
        <v>0.48702650006730847</v>
      </c>
      <c r="L29" s="42">
        <f t="shared" ca="1" si="16"/>
        <v>7.3106615851587828E-2</v>
      </c>
      <c r="M29" s="42">
        <f t="shared" ca="1" si="16"/>
        <v>0.94156745748630244</v>
      </c>
      <c r="N29" s="42">
        <f t="shared" ca="1" si="16"/>
        <v>0.14052291821324051</v>
      </c>
      <c r="O29" s="42">
        <f t="shared" ca="1" si="16"/>
        <v>3.1408938792146754</v>
      </c>
      <c r="P29" s="42">
        <f t="shared" ca="1" si="10"/>
        <v>0</v>
      </c>
      <c r="Q29" s="51">
        <f t="shared" ca="1" si="11"/>
        <v>7.1936202835545453</v>
      </c>
      <c r="S29" s="42">
        <f t="shared" ca="1" si="17"/>
        <v>1.3092792175664869</v>
      </c>
      <c r="T29" s="42">
        <f t="shared" ca="1" si="17"/>
        <v>0</v>
      </c>
      <c r="U29" s="42">
        <f t="shared" ca="1" si="17"/>
        <v>1.9021118640445527</v>
      </c>
      <c r="V29" s="42">
        <f t="shared" ca="1" si="17"/>
        <v>0.27931964225501865</v>
      </c>
      <c r="W29" s="42">
        <f t="shared" ca="1" si="17"/>
        <v>0.42790025999482328</v>
      </c>
      <c r="X29" s="42">
        <f t="shared" ca="1" si="17"/>
        <v>6.283591927576769E-2</v>
      </c>
      <c r="Y29" s="42">
        <f t="shared" ca="1" si="17"/>
        <v>0.85775396929234837</v>
      </c>
      <c r="Z29" s="42">
        <f t="shared" ca="1" si="17"/>
        <v>0.12595869694861925</v>
      </c>
      <c r="AA29" s="42">
        <f t="shared" ca="1" si="17"/>
        <v>2.0158124973344638</v>
      </c>
      <c r="AB29" s="42">
        <f t="shared" ca="1" si="13"/>
        <v>0</v>
      </c>
      <c r="AC29" s="51">
        <f t="shared" ca="1" si="14"/>
        <v>6.9809720667120807</v>
      </c>
    </row>
    <row r="30" spans="1:29" ht="12" customHeight="1" x14ac:dyDescent="0.25">
      <c r="A30" s="262"/>
      <c r="C30" s="263"/>
      <c r="D30" s="43">
        <f t="shared" si="15"/>
        <v>19</v>
      </c>
      <c r="E30" s="43">
        <f t="shared" si="8"/>
        <v>74.75</v>
      </c>
      <c r="G30" s="42">
        <f t="shared" ca="1" si="16"/>
        <v>0</v>
      </c>
      <c r="H30" s="42">
        <f t="shared" ca="1" si="16"/>
        <v>0</v>
      </c>
      <c r="I30" s="42">
        <f t="shared" ca="1" si="16"/>
        <v>2.0572010389572184</v>
      </c>
      <c r="J30" s="42">
        <f t="shared" ca="1" si="16"/>
        <v>0.30651680484674065</v>
      </c>
      <c r="K30" s="42">
        <f t="shared" ca="1" si="16"/>
        <v>0.4756079919252415</v>
      </c>
      <c r="L30" s="42">
        <f t="shared" ca="1" si="16"/>
        <v>7.1179029171964392E-2</v>
      </c>
      <c r="M30" s="42">
        <f t="shared" ca="1" si="16"/>
        <v>0.92415968740580634</v>
      </c>
      <c r="N30" s="42">
        <f t="shared" ca="1" si="16"/>
        <v>0.13761028920300539</v>
      </c>
      <c r="O30" s="42">
        <f t="shared" ca="1" si="16"/>
        <v>3.153811903670964</v>
      </c>
      <c r="P30" s="42">
        <f t="shared" ca="1" si="10"/>
        <v>0</v>
      </c>
      <c r="Q30" s="51">
        <f t="shared" ca="1" si="11"/>
        <v>7.1260867451809409</v>
      </c>
      <c r="S30" s="42">
        <f t="shared" ca="1" si="17"/>
        <v>1.2351327901479332</v>
      </c>
      <c r="T30" s="42">
        <f t="shared" ca="1" si="17"/>
        <v>0</v>
      </c>
      <c r="U30" s="42">
        <f t="shared" ca="1" si="17"/>
        <v>1.8930849342872336</v>
      </c>
      <c r="V30" s="42">
        <f t="shared" ca="1" si="17"/>
        <v>0.27799406365044904</v>
      </c>
      <c r="W30" s="42">
        <f t="shared" ca="1" si="17"/>
        <v>0.42586955630008977</v>
      </c>
      <c r="X30" s="42">
        <f t="shared" ca="1" si="17"/>
        <v>6.2537716293986786E-2</v>
      </c>
      <c r="Y30" s="42">
        <f t="shared" ca="1" si="17"/>
        <v>0.85368329133895016</v>
      </c>
      <c r="Z30" s="42">
        <f t="shared" ca="1" si="17"/>
        <v>0.12536092962947695</v>
      </c>
      <c r="AA30" s="42">
        <f t="shared" ca="1" si="17"/>
        <v>2.0741789015512113</v>
      </c>
      <c r="AB30" s="42">
        <f t="shared" ca="1" si="13"/>
        <v>0</v>
      </c>
      <c r="AC30" s="51">
        <f t="shared" ca="1" si="14"/>
        <v>6.9478421831993309</v>
      </c>
    </row>
    <row r="31" spans="1:29" ht="12" customHeight="1" x14ac:dyDescent="0.25">
      <c r="A31" s="262"/>
      <c r="C31" s="263"/>
      <c r="D31" s="43">
        <f t="shared" si="15"/>
        <v>20</v>
      </c>
      <c r="E31" s="43">
        <f t="shared" si="8"/>
        <v>75</v>
      </c>
      <c r="G31" s="42">
        <f t="shared" ref="G31:O40" ca="1" si="18">PRODUCT(AVERAGE(OFFSET(AB.Trace.MarkovQA.Root, $D31, (G$2-1)*AB.Trace.MarkovQA.NumCols+G$3-1, CHOOSE(swtchHalfCycle, 2, 1))), G$6)</f>
        <v>0</v>
      </c>
      <c r="H31" s="42">
        <f t="shared" ca="1" si="18"/>
        <v>0</v>
      </c>
      <c r="I31" s="42">
        <f t="shared" ca="1" si="18"/>
        <v>2.022076322025657</v>
      </c>
      <c r="J31" s="42">
        <f t="shared" ca="1" si="18"/>
        <v>0.30066038037826337</v>
      </c>
      <c r="K31" s="42">
        <f t="shared" ca="1" si="18"/>
        <v>0.4656819204220406</v>
      </c>
      <c r="L31" s="42">
        <f t="shared" ca="1" si="18"/>
        <v>6.9510211717406636E-2</v>
      </c>
      <c r="M31" s="42">
        <f t="shared" ca="1" si="18"/>
        <v>0.90887796285512412</v>
      </c>
      <c r="N31" s="42">
        <f t="shared" ca="1" si="18"/>
        <v>0.13506613981029836</v>
      </c>
      <c r="O31" s="42">
        <f t="shared" ca="1" si="18"/>
        <v>3.1561186726809982</v>
      </c>
      <c r="P31" s="42">
        <f t="shared" ca="1" si="10"/>
        <v>0</v>
      </c>
      <c r="Q31" s="51">
        <f t="shared" ca="1" si="11"/>
        <v>7.0579916098897879</v>
      </c>
      <c r="S31" s="42">
        <f t="shared" ref="S31:AA40" ca="1" si="19">PRODUCT(AVERAGE(OFFSET(AB.Trace.MarkovQA.Root, $D31, (S$2-1)*AB.Trace.MarkovQA.NumCols+S$3-1, CHOOSE(swtchHalfCycle, 2, 1))), S$6)</f>
        <v>1.163026051332877</v>
      </c>
      <c r="T31" s="42">
        <f t="shared" ca="1" si="19"/>
        <v>0</v>
      </c>
      <c r="U31" s="42">
        <f t="shared" ca="1" si="19"/>
        <v>1.8841008439981837</v>
      </c>
      <c r="V31" s="42">
        <f t="shared" ca="1" si="19"/>
        <v>0.27667477589826167</v>
      </c>
      <c r="W31" s="42">
        <f t="shared" ca="1" si="19"/>
        <v>0.42384848979860279</v>
      </c>
      <c r="X31" s="42">
        <f t="shared" ca="1" si="19"/>
        <v>6.2240928506244068E-2</v>
      </c>
      <c r="Y31" s="42">
        <f t="shared" ca="1" si="19"/>
        <v>0.84963193176773777</v>
      </c>
      <c r="Z31" s="42">
        <f t="shared" ca="1" si="19"/>
        <v>0.1247659991590517</v>
      </c>
      <c r="AA31" s="42">
        <f t="shared" ca="1" si="19"/>
        <v>2.1242038592527823</v>
      </c>
      <c r="AB31" s="42">
        <f t="shared" ca="1" si="13"/>
        <v>0</v>
      </c>
      <c r="AC31" s="51">
        <f t="shared" ca="1" si="14"/>
        <v>6.9084928797137399</v>
      </c>
    </row>
    <row r="32" spans="1:29" ht="12" customHeight="1" x14ac:dyDescent="0.25">
      <c r="A32" s="262"/>
      <c r="C32" s="263"/>
      <c r="D32" s="43">
        <f t="shared" si="15"/>
        <v>21</v>
      </c>
      <c r="E32" s="43">
        <f t="shared" si="8"/>
        <v>75.25</v>
      </c>
      <c r="G32" s="42">
        <f t="shared" ca="1" si="18"/>
        <v>0</v>
      </c>
      <c r="H32" s="42">
        <f t="shared" ca="1" si="18"/>
        <v>0</v>
      </c>
      <c r="I32" s="42">
        <f t="shared" ca="1" si="18"/>
        <v>1.9872458721809905</v>
      </c>
      <c r="J32" s="42">
        <f t="shared" ca="1" si="18"/>
        <v>0.29552689534042037</v>
      </c>
      <c r="K32" s="42">
        <f t="shared" ca="1" si="18"/>
        <v>0.45612397654152104</v>
      </c>
      <c r="L32" s="42">
        <f t="shared" ca="1" si="18"/>
        <v>6.8059514203017382E-2</v>
      </c>
      <c r="M32" s="42">
        <f t="shared" ca="1" si="18"/>
        <v>0.89364575846841576</v>
      </c>
      <c r="N32" s="42">
        <f t="shared" ca="1" si="18"/>
        <v>0.13283271243531855</v>
      </c>
      <c r="O32" s="42">
        <f t="shared" ca="1" si="18"/>
        <v>3.1488961949753445</v>
      </c>
      <c r="P32" s="42">
        <f t="shared" ca="1" si="10"/>
        <v>0</v>
      </c>
      <c r="Q32" s="51">
        <f t="shared" ca="1" si="11"/>
        <v>6.9823309241450282</v>
      </c>
      <c r="S32" s="42">
        <f t="shared" ca="1" si="19"/>
        <v>1.0929735535812042</v>
      </c>
      <c r="T32" s="42">
        <f t="shared" ca="1" si="19"/>
        <v>0</v>
      </c>
      <c r="U32" s="42">
        <f t="shared" ca="1" si="19"/>
        <v>1.8715289540377251</v>
      </c>
      <c r="V32" s="42">
        <f t="shared" ca="1" si="19"/>
        <v>0.27536174914370215</v>
      </c>
      <c r="W32" s="42">
        <f t="shared" ca="1" si="19"/>
        <v>0.42102030966661624</v>
      </c>
      <c r="X32" s="42">
        <f t="shared" ca="1" si="19"/>
        <v>6.1945549196395541E-2</v>
      </c>
      <c r="Y32" s="42">
        <f t="shared" ca="1" si="19"/>
        <v>0.84396266030219924</v>
      </c>
      <c r="Z32" s="42">
        <f t="shared" ca="1" si="19"/>
        <v>0.12417389207439496</v>
      </c>
      <c r="AA32" s="42">
        <f t="shared" ca="1" si="19"/>
        <v>2.1662868087193043</v>
      </c>
      <c r="AB32" s="42">
        <f t="shared" ca="1" si="13"/>
        <v>0</v>
      </c>
      <c r="AC32" s="51">
        <f t="shared" ca="1" si="14"/>
        <v>6.8572534767215414</v>
      </c>
    </row>
    <row r="33" spans="1:29" ht="12" customHeight="1" x14ac:dyDescent="0.25">
      <c r="A33" s="262"/>
      <c r="C33" s="263"/>
      <c r="D33" s="43">
        <f t="shared" si="15"/>
        <v>22</v>
      </c>
      <c r="E33" s="43">
        <f t="shared" si="8"/>
        <v>75.5</v>
      </c>
      <c r="G33" s="42">
        <f t="shared" ca="1" si="18"/>
        <v>0</v>
      </c>
      <c r="H33" s="42">
        <f t="shared" ca="1" si="18"/>
        <v>0</v>
      </c>
      <c r="I33" s="42">
        <f t="shared" ca="1" si="18"/>
        <v>1.9523854025116567</v>
      </c>
      <c r="J33" s="42">
        <f t="shared" ca="1" si="18"/>
        <v>0.29043641750148647</v>
      </c>
      <c r="K33" s="42">
        <f t="shared" ca="1" si="18"/>
        <v>0.44681639715124227</v>
      </c>
      <c r="L33" s="42">
        <f t="shared" ca="1" si="18"/>
        <v>6.6662618620946426E-2</v>
      </c>
      <c r="M33" s="42">
        <f t="shared" ca="1" si="18"/>
        <v>0.87832918280650574</v>
      </c>
      <c r="N33" s="42">
        <f t="shared" ca="1" si="18"/>
        <v>0.13060652244310048</v>
      </c>
      <c r="O33" s="42">
        <f t="shared" ca="1" si="18"/>
        <v>3.1389539281058019</v>
      </c>
      <c r="P33" s="42">
        <f t="shared" ca="1" si="10"/>
        <v>0</v>
      </c>
      <c r="Q33" s="51">
        <f t="shared" ca="1" si="11"/>
        <v>6.9041904691407403</v>
      </c>
      <c r="S33" s="42">
        <f t="shared" ca="1" si="19"/>
        <v>1.0271405248909715</v>
      </c>
      <c r="T33" s="42">
        <f t="shared" ca="1" si="19"/>
        <v>0</v>
      </c>
      <c r="U33" s="42">
        <f t="shared" ca="1" si="19"/>
        <v>1.8556049630572191</v>
      </c>
      <c r="V33" s="42">
        <f t="shared" ca="1" si="19"/>
        <v>0.27352436468491287</v>
      </c>
      <c r="W33" s="42">
        <f t="shared" ca="1" si="19"/>
        <v>0.41743803881834707</v>
      </c>
      <c r="X33" s="42">
        <f t="shared" ca="1" si="19"/>
        <v>6.1532210053473306E-2</v>
      </c>
      <c r="Y33" s="42">
        <f t="shared" ca="1" si="19"/>
        <v>0.83678176483085664</v>
      </c>
      <c r="Z33" s="42">
        <f t="shared" ca="1" si="19"/>
        <v>0.12334532681362662</v>
      </c>
      <c r="AA33" s="42">
        <f t="shared" ca="1" si="19"/>
        <v>2.204748580975608</v>
      </c>
      <c r="AB33" s="42">
        <f t="shared" ca="1" si="13"/>
        <v>0</v>
      </c>
      <c r="AC33" s="51">
        <f t="shared" ca="1" si="14"/>
        <v>6.8001157741250147</v>
      </c>
    </row>
    <row r="34" spans="1:29" ht="12" customHeight="1" x14ac:dyDescent="0.25">
      <c r="A34" s="262"/>
      <c r="C34" s="263"/>
      <c r="D34" s="43">
        <f t="shared" si="15"/>
        <v>23</v>
      </c>
      <c r="E34" s="43">
        <f t="shared" si="8"/>
        <v>75.75</v>
      </c>
      <c r="G34" s="42">
        <f t="shared" ca="1" si="18"/>
        <v>0</v>
      </c>
      <c r="H34" s="42">
        <f t="shared" ca="1" si="18"/>
        <v>0</v>
      </c>
      <c r="I34" s="42">
        <f t="shared" ca="1" si="18"/>
        <v>1.920943131304589</v>
      </c>
      <c r="J34" s="42">
        <f t="shared" ca="1" si="18"/>
        <v>0.28534155225863223</v>
      </c>
      <c r="K34" s="42">
        <f t="shared" ca="1" si="18"/>
        <v>0.43851446873593708</v>
      </c>
      <c r="L34" s="42">
        <f t="shared" ca="1" si="18"/>
        <v>6.530231386371152E-2</v>
      </c>
      <c r="M34" s="42">
        <f t="shared" ca="1" si="18"/>
        <v>0.86448883121474007</v>
      </c>
      <c r="N34" s="42">
        <f t="shared" ca="1" si="18"/>
        <v>0.12836800157061609</v>
      </c>
      <c r="O34" s="42">
        <f t="shared" ca="1" si="18"/>
        <v>3.1264587388522407</v>
      </c>
      <c r="P34" s="42">
        <f t="shared" ca="1" si="10"/>
        <v>0</v>
      </c>
      <c r="Q34" s="51">
        <f t="shared" ca="1" si="11"/>
        <v>6.829417037800467</v>
      </c>
      <c r="S34" s="42">
        <f t="shared" ca="1" si="19"/>
        <v>0.96527281416504673</v>
      </c>
      <c r="T34" s="42">
        <f t="shared" ca="1" si="19"/>
        <v>0</v>
      </c>
      <c r="U34" s="42">
        <f t="shared" ca="1" si="19"/>
        <v>1.8400215994599454</v>
      </c>
      <c r="V34" s="42">
        <f t="shared" ca="1" si="19"/>
        <v>0.27119706993117998</v>
      </c>
      <c r="W34" s="42">
        <f t="shared" ca="1" si="19"/>
        <v>0.41393239571663776</v>
      </c>
      <c r="X34" s="42">
        <f t="shared" ca="1" si="19"/>
        <v>6.1008660387950817E-2</v>
      </c>
      <c r="Y34" s="42">
        <f t="shared" ca="1" si="19"/>
        <v>0.82975447467344976</v>
      </c>
      <c r="Z34" s="42">
        <f t="shared" ca="1" si="19"/>
        <v>0.12229583737482838</v>
      </c>
      <c r="AA34" s="42">
        <f t="shared" ca="1" si="19"/>
        <v>2.239501880871678</v>
      </c>
      <c r="AB34" s="42">
        <f t="shared" ca="1" si="13"/>
        <v>0</v>
      </c>
      <c r="AC34" s="51">
        <f t="shared" ca="1" si="14"/>
        <v>6.742984732580716</v>
      </c>
    </row>
    <row r="35" spans="1:29" ht="12" customHeight="1" x14ac:dyDescent="0.25">
      <c r="A35" s="262"/>
      <c r="C35" s="263"/>
      <c r="D35" s="43">
        <f t="shared" si="15"/>
        <v>24</v>
      </c>
      <c r="E35" s="43">
        <f t="shared" si="8"/>
        <v>76</v>
      </c>
      <c r="G35" s="42">
        <f t="shared" ca="1" si="18"/>
        <v>0</v>
      </c>
      <c r="H35" s="42">
        <f t="shared" ca="1" si="18"/>
        <v>0</v>
      </c>
      <c r="I35" s="42">
        <f t="shared" ca="1" si="18"/>
        <v>1.8922118180445282</v>
      </c>
      <c r="J35" s="42">
        <f t="shared" ca="1" si="18"/>
        <v>0.2807462574663131</v>
      </c>
      <c r="K35" s="42">
        <f t="shared" ca="1" si="18"/>
        <v>0.43102085839499443</v>
      </c>
      <c r="L35" s="42">
        <f t="shared" ca="1" si="18"/>
        <v>6.4088985215732613E-2</v>
      </c>
      <c r="M35" s="42">
        <f t="shared" ca="1" si="18"/>
        <v>0.85181630734823288</v>
      </c>
      <c r="N35" s="42">
        <f t="shared" ca="1" si="18"/>
        <v>0.12634523116784668</v>
      </c>
      <c r="O35" s="42">
        <f t="shared" ca="1" si="18"/>
        <v>3.1118284793883957</v>
      </c>
      <c r="P35" s="42">
        <f t="shared" ca="1" si="10"/>
        <v>0</v>
      </c>
      <c r="Q35" s="51">
        <f t="shared" ca="1" si="11"/>
        <v>6.7580579370260434</v>
      </c>
      <c r="S35" s="42">
        <f t="shared" ca="1" si="19"/>
        <v>0.90713157857831783</v>
      </c>
      <c r="T35" s="42">
        <f t="shared" ca="1" si="19"/>
        <v>0</v>
      </c>
      <c r="U35" s="42">
        <f t="shared" ca="1" si="19"/>
        <v>1.8245844665790554</v>
      </c>
      <c r="V35" s="42">
        <f t="shared" ca="1" si="19"/>
        <v>0.26891955794377403</v>
      </c>
      <c r="W35" s="42">
        <f t="shared" ca="1" si="19"/>
        <v>0.41045964876722241</v>
      </c>
      <c r="X35" s="42">
        <f t="shared" ca="1" si="19"/>
        <v>6.0496309884295316E-2</v>
      </c>
      <c r="Y35" s="42">
        <f t="shared" ca="1" si="19"/>
        <v>0.82279312699807083</v>
      </c>
      <c r="Z35" s="42">
        <f t="shared" ca="1" si="19"/>
        <v>0.12126879738615258</v>
      </c>
      <c r="AA35" s="42">
        <f t="shared" ca="1" si="19"/>
        <v>2.2707520561651768</v>
      </c>
      <c r="AB35" s="42">
        <f t="shared" ca="1" si="13"/>
        <v>0</v>
      </c>
      <c r="AC35" s="51">
        <f t="shared" ca="1" si="14"/>
        <v>6.6864055423020652</v>
      </c>
    </row>
    <row r="36" spans="1:29" ht="12" customHeight="1" x14ac:dyDescent="0.25">
      <c r="A36" s="262"/>
      <c r="C36" s="263"/>
      <c r="D36" s="43">
        <f t="shared" si="15"/>
        <v>25</v>
      </c>
      <c r="E36" s="43">
        <f t="shared" si="8"/>
        <v>76.25</v>
      </c>
      <c r="G36" s="42">
        <f t="shared" ca="1" si="18"/>
        <v>0</v>
      </c>
      <c r="H36" s="42">
        <f t="shared" ca="1" si="18"/>
        <v>0</v>
      </c>
      <c r="I36" s="42">
        <f t="shared" ca="1" si="18"/>
        <v>1.8657566993237416</v>
      </c>
      <c r="J36" s="42">
        <f t="shared" ca="1" si="18"/>
        <v>0.27654716976902338</v>
      </c>
      <c r="K36" s="42">
        <f t="shared" ca="1" si="18"/>
        <v>0.42420570523307255</v>
      </c>
      <c r="L36" s="42">
        <f t="shared" ca="1" si="18"/>
        <v>6.2993792430560594E-2</v>
      </c>
      <c r="M36" s="42">
        <f t="shared" ca="1" si="18"/>
        <v>0.84012438666047862</v>
      </c>
      <c r="N36" s="42">
        <f t="shared" ca="1" si="18"/>
        <v>0.124493139041747</v>
      </c>
      <c r="O36" s="42">
        <f t="shared" ca="1" si="18"/>
        <v>3.0954467051144823</v>
      </c>
      <c r="P36" s="42">
        <f t="shared" ca="1" si="10"/>
        <v>0</v>
      </c>
      <c r="Q36" s="51">
        <f t="shared" ca="1" si="11"/>
        <v>6.6895675975731059</v>
      </c>
      <c r="S36" s="42">
        <f t="shared" ca="1" si="19"/>
        <v>0.85249236151520758</v>
      </c>
      <c r="T36" s="42">
        <f t="shared" ca="1" si="19"/>
        <v>0</v>
      </c>
      <c r="U36" s="42">
        <f t="shared" ca="1" si="19"/>
        <v>1.8092744945623465</v>
      </c>
      <c r="V36" s="42">
        <f t="shared" ca="1" si="19"/>
        <v>0.26666341760745044</v>
      </c>
      <c r="W36" s="42">
        <f t="shared" ca="1" si="19"/>
        <v>0.40701550800436886</v>
      </c>
      <c r="X36" s="42">
        <f t="shared" ca="1" si="19"/>
        <v>5.9988767160469976E-2</v>
      </c>
      <c r="Y36" s="42">
        <f t="shared" ca="1" si="19"/>
        <v>0.81588912228871424</v>
      </c>
      <c r="Z36" s="42">
        <f t="shared" ca="1" si="19"/>
        <v>0.1202513949056028</v>
      </c>
      <c r="AA36" s="42">
        <f t="shared" ca="1" si="19"/>
        <v>2.2987258637200698</v>
      </c>
      <c r="AB36" s="42">
        <f t="shared" ca="1" si="13"/>
        <v>0</v>
      </c>
      <c r="AC36" s="51">
        <f t="shared" ca="1" si="14"/>
        <v>6.6303009297642301</v>
      </c>
    </row>
    <row r="37" spans="1:29" ht="12" customHeight="1" x14ac:dyDescent="0.25">
      <c r="A37" s="262"/>
      <c r="C37" s="263"/>
      <c r="D37" s="43">
        <f t="shared" si="15"/>
        <v>26</v>
      </c>
      <c r="E37" s="43">
        <f t="shared" si="8"/>
        <v>76.5</v>
      </c>
      <c r="G37" s="42">
        <f t="shared" ca="1" si="18"/>
        <v>0</v>
      </c>
      <c r="H37" s="42">
        <f t="shared" ca="1" si="18"/>
        <v>0</v>
      </c>
      <c r="I37" s="42">
        <f t="shared" ca="1" si="18"/>
        <v>1.8412321373120333</v>
      </c>
      <c r="J37" s="42">
        <f t="shared" ca="1" si="18"/>
        <v>0.27268074839993073</v>
      </c>
      <c r="K37" s="42">
        <f t="shared" ca="1" si="18"/>
        <v>0.41796437600379671</v>
      </c>
      <c r="L37" s="42">
        <f t="shared" ca="1" si="18"/>
        <v>6.1997756310027519E-2</v>
      </c>
      <c r="M37" s="42">
        <f t="shared" ca="1" si="18"/>
        <v>0.82926460915485667</v>
      </c>
      <c r="N37" s="42">
        <f t="shared" ca="1" si="18"/>
        <v>0.12278436228402453</v>
      </c>
      <c r="O37" s="42">
        <f t="shared" ca="1" si="18"/>
        <v>3.0776308803551835</v>
      </c>
      <c r="P37" s="42">
        <f t="shared" ca="1" si="10"/>
        <v>0</v>
      </c>
      <c r="Q37" s="51">
        <f t="shared" ca="1" si="11"/>
        <v>6.6235548698198521</v>
      </c>
      <c r="S37" s="42">
        <f t="shared" ca="1" si="19"/>
        <v>0.80114422604573843</v>
      </c>
      <c r="T37" s="42">
        <f t="shared" ca="1" si="19"/>
        <v>0</v>
      </c>
      <c r="U37" s="42">
        <f t="shared" ca="1" si="19"/>
        <v>1.7940929930174756</v>
      </c>
      <c r="V37" s="42">
        <f t="shared" ca="1" si="19"/>
        <v>0.26442586185915196</v>
      </c>
      <c r="W37" s="42">
        <f t="shared" ca="1" si="19"/>
        <v>0.40360026803822463</v>
      </c>
      <c r="X37" s="42">
        <f t="shared" ca="1" si="19"/>
        <v>5.9485405237047692E-2</v>
      </c>
      <c r="Y37" s="42">
        <f t="shared" ca="1" si="19"/>
        <v>0.80904305111062824</v>
      </c>
      <c r="Z37" s="42">
        <f t="shared" ca="1" si="19"/>
        <v>0.1192423731120397</v>
      </c>
      <c r="AA37" s="42">
        <f t="shared" ca="1" si="19"/>
        <v>2.3236323681529933</v>
      </c>
      <c r="AB37" s="42">
        <f t="shared" ca="1" si="13"/>
        <v>0</v>
      </c>
      <c r="AC37" s="51">
        <f t="shared" ca="1" si="14"/>
        <v>6.5746665465732992</v>
      </c>
    </row>
    <row r="38" spans="1:29" ht="12" customHeight="1" x14ac:dyDescent="0.25">
      <c r="A38" s="262"/>
      <c r="C38" s="263"/>
      <c r="D38" s="43">
        <f t="shared" si="15"/>
        <v>27</v>
      </c>
      <c r="E38" s="43">
        <f t="shared" si="8"/>
        <v>76.75</v>
      </c>
      <c r="G38" s="42">
        <f t="shared" ca="1" si="18"/>
        <v>0</v>
      </c>
      <c r="H38" s="42">
        <f t="shared" ca="1" si="18"/>
        <v>0</v>
      </c>
      <c r="I38" s="42">
        <f t="shared" ca="1" si="18"/>
        <v>1.8183459681523768</v>
      </c>
      <c r="J38" s="42">
        <f t="shared" ca="1" si="18"/>
        <v>0.26909647831479211</v>
      </c>
      <c r="K38" s="42">
        <f t="shared" ca="1" si="18"/>
        <v>0.41220860853894892</v>
      </c>
      <c r="L38" s="42">
        <f t="shared" ca="1" si="18"/>
        <v>6.108558468236238E-2</v>
      </c>
      <c r="M38" s="42">
        <f t="shared" ca="1" si="18"/>
        <v>0.81911143276846787</v>
      </c>
      <c r="N38" s="42">
        <f t="shared" ca="1" si="18"/>
        <v>0.12119720343380409</v>
      </c>
      <c r="O38" s="42">
        <f t="shared" ca="1" si="18"/>
        <v>3.0586468466339225</v>
      </c>
      <c r="P38" s="42">
        <f t="shared" ca="1" si="10"/>
        <v>0</v>
      </c>
      <c r="Q38" s="51">
        <f t="shared" ca="1" si="11"/>
        <v>6.5596921225246749</v>
      </c>
      <c r="S38" s="42">
        <f t="shared" ca="1" si="19"/>
        <v>0.75288894059489542</v>
      </c>
      <c r="T38" s="42">
        <f t="shared" ca="1" si="19"/>
        <v>0</v>
      </c>
      <c r="U38" s="42">
        <f t="shared" ca="1" si="19"/>
        <v>1.7790388959743941</v>
      </c>
      <c r="V38" s="42">
        <f t="shared" ca="1" si="19"/>
        <v>0.26220708209832333</v>
      </c>
      <c r="W38" s="42">
        <f t="shared" ca="1" si="19"/>
        <v>0.40021368906750904</v>
      </c>
      <c r="X38" s="42">
        <f t="shared" ca="1" si="19"/>
        <v>5.898626717136575E-2</v>
      </c>
      <c r="Y38" s="42">
        <f t="shared" ca="1" si="19"/>
        <v>0.80225443276651121</v>
      </c>
      <c r="Z38" s="42">
        <f t="shared" ca="1" si="19"/>
        <v>0.11824181831670312</v>
      </c>
      <c r="AA38" s="42">
        <f t="shared" ca="1" si="19"/>
        <v>2.3456678906007666</v>
      </c>
      <c r="AB38" s="42">
        <f t="shared" ca="1" si="13"/>
        <v>0</v>
      </c>
      <c r="AC38" s="51">
        <f t="shared" ca="1" si="14"/>
        <v>6.5194990165904692</v>
      </c>
    </row>
    <row r="39" spans="1:29" ht="12" customHeight="1" x14ac:dyDescent="0.25">
      <c r="A39" s="262"/>
      <c r="C39" s="263"/>
      <c r="D39" s="43">
        <f t="shared" si="15"/>
        <v>28</v>
      </c>
      <c r="E39" s="43">
        <f t="shared" si="8"/>
        <v>77</v>
      </c>
      <c r="G39" s="42">
        <f t="shared" ca="1" si="18"/>
        <v>0</v>
      </c>
      <c r="H39" s="42">
        <f t="shared" ca="1" si="18"/>
        <v>0</v>
      </c>
      <c r="I39" s="42">
        <f t="shared" ca="1" si="18"/>
        <v>1.7968530239571863</v>
      </c>
      <c r="J39" s="42">
        <f t="shared" ca="1" si="18"/>
        <v>0.2657516597022021</v>
      </c>
      <c r="K39" s="42">
        <f t="shared" ca="1" si="18"/>
        <v>0.40686435318302611</v>
      </c>
      <c r="L39" s="42">
        <f t="shared" ca="1" si="18"/>
        <v>6.0244378012436157E-2</v>
      </c>
      <c r="M39" s="42">
        <f t="shared" ca="1" si="18"/>
        <v>0.8095595053220499</v>
      </c>
      <c r="N39" s="42">
        <f t="shared" ca="1" si="18"/>
        <v>0.11971331449122093</v>
      </c>
      <c r="O39" s="42">
        <f t="shared" ca="1" si="18"/>
        <v>3.0387172499619921</v>
      </c>
      <c r="P39" s="42">
        <f t="shared" ca="1" si="10"/>
        <v>0</v>
      </c>
      <c r="Q39" s="51">
        <f t="shared" ca="1" si="11"/>
        <v>6.4977034846301134</v>
      </c>
      <c r="S39" s="42">
        <f t="shared" ca="1" si="19"/>
        <v>0.70754021366153141</v>
      </c>
      <c r="T39" s="42">
        <f t="shared" ca="1" si="19"/>
        <v>0</v>
      </c>
      <c r="U39" s="42">
        <f t="shared" ca="1" si="19"/>
        <v>1.7641111157573084</v>
      </c>
      <c r="V39" s="42">
        <f t="shared" ca="1" si="19"/>
        <v>0.26000692253320928</v>
      </c>
      <c r="W39" s="42">
        <f t="shared" ca="1" si="19"/>
        <v>0.39685552640800376</v>
      </c>
      <c r="X39" s="42">
        <f t="shared" ca="1" si="19"/>
        <v>5.8491317916414716E-2</v>
      </c>
      <c r="Y39" s="42">
        <f t="shared" ca="1" si="19"/>
        <v>0.79552277677089467</v>
      </c>
      <c r="Z39" s="42">
        <f t="shared" ca="1" si="19"/>
        <v>0.11724966026557766</v>
      </c>
      <c r="AA39" s="42">
        <f t="shared" ca="1" si="19"/>
        <v>2.3650168624235568</v>
      </c>
      <c r="AB39" s="42">
        <f t="shared" ca="1" si="13"/>
        <v>0</v>
      </c>
      <c r="AC39" s="51">
        <f t="shared" ca="1" si="14"/>
        <v>6.4647943957364973</v>
      </c>
    </row>
    <row r="40" spans="1:29" ht="12" customHeight="1" x14ac:dyDescent="0.25">
      <c r="A40" s="262"/>
      <c r="C40" s="263"/>
      <c r="D40" s="43">
        <f t="shared" si="15"/>
        <v>29</v>
      </c>
      <c r="E40" s="43">
        <f t="shared" si="8"/>
        <v>77.25</v>
      </c>
      <c r="G40" s="42">
        <f t="shared" ca="1" si="18"/>
        <v>0</v>
      </c>
      <c r="H40" s="42">
        <f t="shared" ca="1" si="18"/>
        <v>0</v>
      </c>
      <c r="I40" s="42">
        <f t="shared" ca="1" si="18"/>
        <v>1.7765475923641028</v>
      </c>
      <c r="J40" s="42">
        <f t="shared" ca="1" si="18"/>
        <v>0.26261046122193571</v>
      </c>
      <c r="K40" s="42">
        <f t="shared" ca="1" si="18"/>
        <v>0.40186948849351933</v>
      </c>
      <c r="L40" s="42">
        <f t="shared" ca="1" si="18"/>
        <v>5.9463313926951936E-2</v>
      </c>
      <c r="M40" s="42">
        <f t="shared" ca="1" si="18"/>
        <v>0.80052042615843833</v>
      </c>
      <c r="N40" s="42">
        <f t="shared" ca="1" si="18"/>
        <v>0.11831729821230566</v>
      </c>
      <c r="O40" s="42">
        <f t="shared" ca="1" si="18"/>
        <v>3.0180284872203442</v>
      </c>
      <c r="P40" s="42">
        <f t="shared" ca="1" si="10"/>
        <v>0</v>
      </c>
      <c r="Q40" s="51">
        <f t="shared" ca="1" si="11"/>
        <v>6.4373570675975982</v>
      </c>
      <c r="S40" s="42">
        <f t="shared" ca="1" si="19"/>
        <v>0.66492297463241501</v>
      </c>
      <c r="T40" s="42">
        <f t="shared" ca="1" si="19"/>
        <v>0</v>
      </c>
      <c r="U40" s="42">
        <f t="shared" ca="1" si="19"/>
        <v>1.7493085933262993</v>
      </c>
      <c r="V40" s="42">
        <f t="shared" ca="1" si="19"/>
        <v>0.25782522419975568</v>
      </c>
      <c r="W40" s="42">
        <f t="shared" ca="1" si="19"/>
        <v>0.39352554181743399</v>
      </c>
      <c r="X40" s="42">
        <f t="shared" ca="1" si="19"/>
        <v>5.8000521711542699E-2</v>
      </c>
      <c r="Y40" s="42">
        <f t="shared" ca="1" si="19"/>
        <v>0.78884760555160627</v>
      </c>
      <c r="Z40" s="42">
        <f t="shared" ca="1" si="19"/>
        <v>0.1162658272741051</v>
      </c>
      <c r="AA40" s="42">
        <f t="shared" ca="1" si="19"/>
        <v>2.3818525083334503</v>
      </c>
      <c r="AB40" s="42">
        <f t="shared" ca="1" si="13"/>
        <v>0</v>
      </c>
      <c r="AC40" s="51">
        <f t="shared" ca="1" si="14"/>
        <v>6.4105487968466086</v>
      </c>
    </row>
    <row r="41" spans="1:29" ht="12" customHeight="1" x14ac:dyDescent="0.25">
      <c r="A41" s="262"/>
      <c r="C41" s="263"/>
      <c r="D41" s="43">
        <f t="shared" si="15"/>
        <v>30</v>
      </c>
      <c r="E41" s="43">
        <f t="shared" si="8"/>
        <v>77.5</v>
      </c>
      <c r="G41" s="42">
        <f t="shared" ref="G41:O50" ca="1" si="20">PRODUCT(AVERAGE(OFFSET(AB.Trace.MarkovQA.Root, $D41, (G$2-1)*AB.Trace.MarkovQA.NumCols+G$3-1, CHOOSE(swtchHalfCycle, 2, 1))), G$6)</f>
        <v>0</v>
      </c>
      <c r="H41" s="42">
        <f t="shared" ca="1" si="20"/>
        <v>0</v>
      </c>
      <c r="I41" s="42">
        <f t="shared" ca="1" si="20"/>
        <v>1.7572570259258278</v>
      </c>
      <c r="J41" s="42">
        <f t="shared" ca="1" si="20"/>
        <v>0.25964281796738248</v>
      </c>
      <c r="K41" s="42">
        <f t="shared" ca="1" si="20"/>
        <v>0.39717189058507352</v>
      </c>
      <c r="L41" s="42">
        <f t="shared" ca="1" si="20"/>
        <v>5.8733313363542573E-2</v>
      </c>
      <c r="M41" s="42">
        <f t="shared" ca="1" si="20"/>
        <v>0.7919200001313822</v>
      </c>
      <c r="N41" s="42">
        <f t="shared" ca="1" si="20"/>
        <v>0.11699623482173969</v>
      </c>
      <c r="O41" s="42">
        <f t="shared" ca="1" si="20"/>
        <v>2.996736564777482</v>
      </c>
      <c r="P41" s="42">
        <f t="shared" ca="1" si="10"/>
        <v>0</v>
      </c>
      <c r="Q41" s="51">
        <f t="shared" ca="1" si="11"/>
        <v>6.3784578475724301</v>
      </c>
      <c r="S41" s="42">
        <f t="shared" ref="S41:AA50" ca="1" si="21">PRODUCT(AVERAGE(OFFSET(AB.Trace.MarkovQA.Root, $D41, (S$2-1)*AB.Trace.MarkovQA.NumCols+S$3-1, CHOOSE(swtchHalfCycle, 2, 1))), S$6)</f>
        <v>0.62487269791497546</v>
      </c>
      <c r="T41" s="42">
        <f t="shared" ca="1" si="21"/>
        <v>0</v>
      </c>
      <c r="U41" s="42">
        <f t="shared" ca="1" si="21"/>
        <v>1.7346302777486555</v>
      </c>
      <c r="V41" s="42">
        <f t="shared" ca="1" si="21"/>
        <v>0.25566183231904721</v>
      </c>
      <c r="W41" s="42">
        <f t="shared" ca="1" si="21"/>
        <v>0.39022349887732832</v>
      </c>
      <c r="X41" s="42">
        <f t="shared" ca="1" si="21"/>
        <v>5.7513843737589346E-2</v>
      </c>
      <c r="Y41" s="42">
        <f t="shared" ca="1" si="21"/>
        <v>0.78222844519240531</v>
      </c>
      <c r="Z41" s="42">
        <f t="shared" ca="1" si="21"/>
        <v>0.11529024954500838</v>
      </c>
      <c r="AA41" s="42">
        <f t="shared" ca="1" si="21"/>
        <v>2.3963375233219377</v>
      </c>
      <c r="AB41" s="42">
        <f t="shared" ca="1" si="13"/>
        <v>0</v>
      </c>
      <c r="AC41" s="51">
        <f t="shared" ca="1" si="14"/>
        <v>6.3567583686569478</v>
      </c>
    </row>
    <row r="42" spans="1:29" ht="12" customHeight="1" x14ac:dyDescent="0.25">
      <c r="A42" s="262"/>
      <c r="C42" s="263"/>
      <c r="D42" s="43">
        <f t="shared" si="15"/>
        <v>31</v>
      </c>
      <c r="E42" s="43">
        <f t="shared" si="8"/>
        <v>77.75</v>
      </c>
      <c r="G42" s="42">
        <f t="shared" ca="1" si="20"/>
        <v>0</v>
      </c>
      <c r="H42" s="42">
        <f t="shared" ca="1" si="20"/>
        <v>0</v>
      </c>
      <c r="I42" s="42">
        <f t="shared" ca="1" si="20"/>
        <v>1.7388364032490058</v>
      </c>
      <c r="J42" s="42">
        <f t="shared" ca="1" si="20"/>
        <v>0.25682349747647709</v>
      </c>
      <c r="K42" s="42">
        <f t="shared" ca="1" si="20"/>
        <v>0.39272781871113571</v>
      </c>
      <c r="L42" s="42">
        <f t="shared" ca="1" si="20"/>
        <v>5.8046758404998809E-2</v>
      </c>
      <c r="M42" s="42">
        <f t="shared" ca="1" si="20"/>
        <v>0.78369594393982078</v>
      </c>
      <c r="N42" s="42">
        <f t="shared" ca="1" si="20"/>
        <v>0.11573928068272149</v>
      </c>
      <c r="O42" s="42">
        <f t="shared" ca="1" si="20"/>
        <v>2.9749720099007608</v>
      </c>
      <c r="P42" s="42">
        <f t="shared" ca="1" si="10"/>
        <v>0</v>
      </c>
      <c r="Q42" s="51">
        <f t="shared" ca="1" si="11"/>
        <v>6.3208417123649205</v>
      </c>
      <c r="S42" s="42">
        <f t="shared" ca="1" si="21"/>
        <v>0.58723476777952932</v>
      </c>
      <c r="T42" s="42">
        <f t="shared" ca="1" si="21"/>
        <v>0</v>
      </c>
      <c r="U42" s="42">
        <f t="shared" ca="1" si="21"/>
        <v>1.7200751268025016</v>
      </c>
      <c r="V42" s="42">
        <f t="shared" ca="1" si="21"/>
        <v>0.25351659329703913</v>
      </c>
      <c r="W42" s="42">
        <f t="shared" ca="1" si="21"/>
        <v>0.38694916312880934</v>
      </c>
      <c r="X42" s="42">
        <f t="shared" ca="1" si="21"/>
        <v>5.703124944194346E-2</v>
      </c>
      <c r="Y42" s="42">
        <f t="shared" ca="1" si="21"/>
        <v>0.77566482570518669</v>
      </c>
      <c r="Z42" s="42">
        <f t="shared" ca="1" si="21"/>
        <v>0.11432285781532561</v>
      </c>
      <c r="AA42" s="42">
        <f t="shared" ca="1" si="21"/>
        <v>2.4086247078982144</v>
      </c>
      <c r="AB42" s="42">
        <f t="shared" ca="1" si="13"/>
        <v>0</v>
      </c>
      <c r="AC42" s="51">
        <f t="shared" ca="1" si="14"/>
        <v>6.3034192918685497</v>
      </c>
    </row>
    <row r="43" spans="1:29" ht="12" customHeight="1" x14ac:dyDescent="0.25">
      <c r="A43" s="262"/>
      <c r="C43" s="263"/>
      <c r="D43" s="43">
        <f t="shared" si="15"/>
        <v>32</v>
      </c>
      <c r="E43" s="43">
        <f t="shared" ref="E43:E74" si="22">A.cohortAge+D43*AB.cycleLength</f>
        <v>78</v>
      </c>
      <c r="G43" s="42">
        <f t="shared" ca="1" si="20"/>
        <v>0</v>
      </c>
      <c r="H43" s="42">
        <f t="shared" ca="1" si="20"/>
        <v>0</v>
      </c>
      <c r="I43" s="42">
        <f t="shared" ca="1" si="20"/>
        <v>1.7211640519889477</v>
      </c>
      <c r="J43" s="42">
        <f t="shared" ca="1" si="20"/>
        <v>0.25413131945598327</v>
      </c>
      <c r="K43" s="42">
        <f t="shared" ca="1" si="20"/>
        <v>0.38850056150144685</v>
      </c>
      <c r="L43" s="42">
        <f t="shared" ca="1" si="20"/>
        <v>5.7397256331675077E-2</v>
      </c>
      <c r="M43" s="42">
        <f t="shared" ca="1" si="20"/>
        <v>0.7757959627193074</v>
      </c>
      <c r="N43" s="42">
        <f t="shared" ca="1" si="20"/>
        <v>0.11453733307722135</v>
      </c>
      <c r="O43" s="42">
        <f t="shared" ca="1" si="20"/>
        <v>2.952843988614652</v>
      </c>
      <c r="P43" s="42">
        <f t="shared" ref="P43:P74" ca="1" si="23">AVERAGE(OFFSET(AB.Trace.MarkovQA.Root, $D43, (P$2-1)*AB.Trace.MarkovQA.NumCols+P$3-1))*INDEX(AB.rngC.ByState, P$3)</f>
        <v>0</v>
      </c>
      <c r="Q43" s="51">
        <f t="shared" ref="Q43:Q74" ca="1" si="24">SUM(G43:P43)</f>
        <v>6.2643704736892332</v>
      </c>
      <c r="S43" s="42">
        <f t="shared" ca="1" si="21"/>
        <v>0.55186388145893961</v>
      </c>
      <c r="T43" s="42">
        <f t="shared" ca="1" si="21"/>
        <v>0</v>
      </c>
      <c r="U43" s="42">
        <f t="shared" ca="1" si="21"/>
        <v>1.705642107022642</v>
      </c>
      <c r="V43" s="42">
        <f t="shared" ca="1" si="21"/>
        <v>0.25138935481277713</v>
      </c>
      <c r="W43" s="42">
        <f t="shared" ca="1" si="21"/>
        <v>0.38370230208290829</v>
      </c>
      <c r="X43" s="42">
        <f t="shared" ca="1" si="21"/>
        <v>5.6552704558389011E-2</v>
      </c>
      <c r="Y43" s="42">
        <f t="shared" ca="1" si="21"/>
        <v>0.76915628105065426</v>
      </c>
      <c r="Z43" s="42">
        <f t="shared" ca="1" si="21"/>
        <v>0.11336358339619267</v>
      </c>
      <c r="AA43" s="42">
        <f t="shared" ca="1" si="21"/>
        <v>2.4188575648406903</v>
      </c>
      <c r="AB43" s="42">
        <f t="shared" ref="AB43:AB74" ca="1" si="25">AVERAGE(OFFSET(AB.Trace.MarkovQA.Root, $D43, (AB$2-1)*AB.Trace.MarkovQA.NumCols+AB$3-1))*INDEX(AB.rngC.ByState, AB$3)</f>
        <v>0</v>
      </c>
      <c r="AC43" s="51">
        <f t="shared" ref="AC43:AC74" ca="1" si="26">SUM(S43:AB43)</f>
        <v>6.2505277792231935</v>
      </c>
    </row>
    <row r="44" spans="1:29" ht="12" customHeight="1" x14ac:dyDescent="0.25">
      <c r="A44" s="262"/>
      <c r="C44" s="263"/>
      <c r="D44" s="43">
        <f t="shared" ref="D44:D75" si="27">D43+1</f>
        <v>33</v>
      </c>
      <c r="E44" s="43">
        <f t="shared" si="22"/>
        <v>78.25</v>
      </c>
      <c r="G44" s="42">
        <f t="shared" ca="1" si="20"/>
        <v>0</v>
      </c>
      <c r="H44" s="42">
        <f t="shared" ca="1" si="20"/>
        <v>0</v>
      </c>
      <c r="I44" s="42">
        <f t="shared" ca="1" si="20"/>
        <v>1.704137794861623</v>
      </c>
      <c r="J44" s="42">
        <f t="shared" ca="1" si="20"/>
        <v>0.25154850146619617</v>
      </c>
      <c r="K44" s="42">
        <f t="shared" ca="1" si="20"/>
        <v>0.38445930183674809</v>
      </c>
      <c r="L44" s="42">
        <f t="shared" ca="1" si="20"/>
        <v>5.6779441768803743E-2</v>
      </c>
      <c r="M44" s="42">
        <f t="shared" ca="1" si="20"/>
        <v>0.76817613725287259</v>
      </c>
      <c r="N44" s="42">
        <f t="shared" ca="1" si="20"/>
        <v>0.11338274909939841</v>
      </c>
      <c r="O44" s="42">
        <f t="shared" ca="1" si="20"/>
        <v>2.9304437584176379</v>
      </c>
      <c r="P44" s="42">
        <f t="shared" ca="1" si="23"/>
        <v>0</v>
      </c>
      <c r="Q44" s="51">
        <f t="shared" ca="1" si="24"/>
        <v>6.2089276847032799</v>
      </c>
      <c r="S44" s="42">
        <f t="shared" ca="1" si="21"/>
        <v>0.5186234882013453</v>
      </c>
      <c r="T44" s="42">
        <f t="shared" ca="1" si="21"/>
        <v>0</v>
      </c>
      <c r="U44" s="42">
        <f t="shared" ca="1" si="21"/>
        <v>1.6913301936158278</v>
      </c>
      <c r="V44" s="42">
        <f t="shared" ca="1" si="21"/>
        <v>0.24927996582509737</v>
      </c>
      <c r="W44" s="42">
        <f t="shared" ca="1" si="21"/>
        <v>0.38048268520150297</v>
      </c>
      <c r="X44" s="42">
        <f t="shared" ca="1" si="21"/>
        <v>5.607817510861253E-2</v>
      </c>
      <c r="Y44" s="42">
        <f t="shared" ca="1" si="21"/>
        <v>0.7627023491001117</v>
      </c>
      <c r="Z44" s="42">
        <f t="shared" ca="1" si="21"/>
        <v>0.11241235817586487</v>
      </c>
      <c r="AA44" s="42">
        <f t="shared" ca="1" si="21"/>
        <v>2.4271708600158965</v>
      </c>
      <c r="AB44" s="42">
        <f t="shared" ca="1" si="25"/>
        <v>0</v>
      </c>
      <c r="AC44" s="51">
        <f t="shared" ca="1" si="26"/>
        <v>6.198080075244258</v>
      </c>
    </row>
    <row r="45" spans="1:29" ht="12" customHeight="1" x14ac:dyDescent="0.25">
      <c r="A45" s="262"/>
      <c r="C45" s="263"/>
      <c r="D45" s="43">
        <f t="shared" si="27"/>
        <v>34</v>
      </c>
      <c r="E45" s="43">
        <f t="shared" si="22"/>
        <v>78.5</v>
      </c>
      <c r="G45" s="42">
        <f t="shared" ca="1" si="20"/>
        <v>0</v>
      </c>
      <c r="H45" s="42">
        <f t="shared" ca="1" si="20"/>
        <v>0</v>
      </c>
      <c r="I45" s="42">
        <f t="shared" ca="1" si="20"/>
        <v>1.6876718020195545</v>
      </c>
      <c r="J45" s="42">
        <f t="shared" ca="1" si="20"/>
        <v>0.24906011027477698</v>
      </c>
      <c r="K45" s="42">
        <f t="shared" ca="1" si="20"/>
        <v>0.38057816507498599</v>
      </c>
      <c r="L45" s="42">
        <f t="shared" ca="1" si="20"/>
        <v>5.6188810787686033E-2</v>
      </c>
      <c r="M45" s="42">
        <f t="shared" ca="1" si="20"/>
        <v>0.76079957168805246</v>
      </c>
      <c r="N45" s="42">
        <f t="shared" ca="1" si="20"/>
        <v>0.11226910994611686</v>
      </c>
      <c r="O45" s="42">
        <f t="shared" ca="1" si="20"/>
        <v>2.9078475632781977</v>
      </c>
      <c r="P45" s="42">
        <f t="shared" ca="1" si="23"/>
        <v>0</v>
      </c>
      <c r="Q45" s="51">
        <f t="shared" ca="1" si="24"/>
        <v>6.1544151330693708</v>
      </c>
      <c r="S45" s="42">
        <f t="shared" ca="1" si="21"/>
        <v>0.48738526211040539</v>
      </c>
      <c r="T45" s="42">
        <f t="shared" ca="1" si="21"/>
        <v>0</v>
      </c>
      <c r="U45" s="42">
        <f t="shared" ca="1" si="21"/>
        <v>1.6771383703876754</v>
      </c>
      <c r="V45" s="42">
        <f t="shared" ca="1" si="21"/>
        <v>0.24718827656024325</v>
      </c>
      <c r="W45" s="42">
        <f t="shared" ca="1" si="21"/>
        <v>0.37729008388087693</v>
      </c>
      <c r="X45" s="42">
        <f t="shared" ca="1" si="21"/>
        <v>5.56076273994172E-2</v>
      </c>
      <c r="Y45" s="42">
        <f t="shared" ca="1" si="21"/>
        <v>0.75630257160250491</v>
      </c>
      <c r="Z45" s="42">
        <f t="shared" ca="1" si="21"/>
        <v>0.1114691146141325</v>
      </c>
      <c r="AA45" s="42">
        <f t="shared" ca="1" si="21"/>
        <v>2.4336911494116875</v>
      </c>
      <c r="AB45" s="42">
        <f t="shared" ca="1" si="25"/>
        <v>0</v>
      </c>
      <c r="AC45" s="51">
        <f t="shared" ca="1" si="26"/>
        <v>6.1460724559669426</v>
      </c>
    </row>
    <row r="46" spans="1:29" ht="12" customHeight="1" x14ac:dyDescent="0.25">
      <c r="A46" s="262"/>
      <c r="C46" s="263"/>
      <c r="D46" s="43">
        <f t="shared" si="27"/>
        <v>35</v>
      </c>
      <c r="E46" s="43">
        <f t="shared" si="22"/>
        <v>78.75</v>
      </c>
      <c r="G46" s="42">
        <f t="shared" ca="1" si="20"/>
        <v>0</v>
      </c>
      <c r="H46" s="42">
        <f t="shared" ca="1" si="20"/>
        <v>0</v>
      </c>
      <c r="I46" s="42">
        <f t="shared" ca="1" si="20"/>
        <v>1.6716939518387379</v>
      </c>
      <c r="J46" s="42">
        <f t="shared" ca="1" si="20"/>
        <v>0.24665360183080326</v>
      </c>
      <c r="K46" s="42">
        <f t="shared" ca="1" si="20"/>
        <v>0.37683542101090267</v>
      </c>
      <c r="L46" s="42">
        <f t="shared" ca="1" si="20"/>
        <v>5.5621581803744352E-2</v>
      </c>
      <c r="M46" s="42">
        <f t="shared" ca="1" si="20"/>
        <v>0.75363525967734724</v>
      </c>
      <c r="N46" s="42">
        <f t="shared" ca="1" si="20"/>
        <v>0.11119102328049459</v>
      </c>
      <c r="O46" s="42">
        <f t="shared" ca="1" si="20"/>
        <v>2.8851190609953763</v>
      </c>
      <c r="P46" s="42">
        <f t="shared" ca="1" si="23"/>
        <v>0</v>
      </c>
      <c r="Q46" s="51">
        <f t="shared" ca="1" si="24"/>
        <v>6.1007499004374068</v>
      </c>
      <c r="S46" s="42">
        <f t="shared" ca="1" si="21"/>
        <v>0.45802860673793216</v>
      </c>
      <c r="T46" s="42">
        <f t="shared" ca="1" si="21"/>
        <v>0</v>
      </c>
      <c r="U46" s="42">
        <f t="shared" ca="1" si="21"/>
        <v>1.6630656296706137</v>
      </c>
      <c r="V46" s="42">
        <f t="shared" ca="1" si="21"/>
        <v>0.24511413850118402</v>
      </c>
      <c r="W46" s="42">
        <f t="shared" ca="1" si="21"/>
        <v>0.37412427143551102</v>
      </c>
      <c r="X46" s="42">
        <f t="shared" ca="1" si="21"/>
        <v>5.514102802031999E-2</v>
      </c>
      <c r="Y46" s="42">
        <f t="shared" ca="1" si="21"/>
        <v>0.74995649415193122</v>
      </c>
      <c r="Z46" s="42">
        <f t="shared" ca="1" si="21"/>
        <v>0.11053378573750407</v>
      </c>
      <c r="AA46" s="42">
        <f t="shared" ca="1" si="21"/>
        <v>2.4385372744189331</v>
      </c>
      <c r="AB46" s="42">
        <f t="shared" ca="1" si="25"/>
        <v>0</v>
      </c>
      <c r="AC46" s="51">
        <f t="shared" ca="1" si="26"/>
        <v>6.0945012286739288</v>
      </c>
    </row>
    <row r="47" spans="1:29" ht="12" customHeight="1" x14ac:dyDescent="0.25">
      <c r="A47" s="262"/>
      <c r="C47" s="263"/>
      <c r="D47" s="43">
        <f t="shared" si="27"/>
        <v>36</v>
      </c>
      <c r="E47" s="43">
        <f t="shared" si="22"/>
        <v>79</v>
      </c>
      <c r="G47" s="42">
        <f t="shared" ca="1" si="20"/>
        <v>0</v>
      </c>
      <c r="H47" s="42">
        <f t="shared" ca="1" si="20"/>
        <v>0</v>
      </c>
      <c r="I47" s="42">
        <f t="shared" ca="1" si="20"/>
        <v>1.6561436179948128</v>
      </c>
      <c r="J47" s="42">
        <f t="shared" ca="1" si="20"/>
        <v>0.24431843554320198</v>
      </c>
      <c r="K47" s="42">
        <f t="shared" ca="1" si="20"/>
        <v>0.37321281473704987</v>
      </c>
      <c r="L47" s="42">
        <f t="shared" ca="1" si="20"/>
        <v>5.5074578942742418E-2</v>
      </c>
      <c r="M47" s="42">
        <f t="shared" ca="1" si="20"/>
        <v>0.7466571336609622</v>
      </c>
      <c r="N47" s="42">
        <f t="shared" ca="1" si="20"/>
        <v>0.1101439575180842</v>
      </c>
      <c r="O47" s="42">
        <f t="shared" ca="1" si="20"/>
        <v>2.8623113584593392</v>
      </c>
      <c r="P47" s="42">
        <f t="shared" ca="1" si="23"/>
        <v>0</v>
      </c>
      <c r="Q47" s="51">
        <f t="shared" ca="1" si="24"/>
        <v>6.0478618968561921</v>
      </c>
      <c r="S47" s="42">
        <f t="shared" ca="1" si="21"/>
        <v>0.43044018951637564</v>
      </c>
      <c r="T47" s="42">
        <f t="shared" ca="1" si="21"/>
        <v>0</v>
      </c>
      <c r="U47" s="42">
        <f t="shared" ca="1" si="21"/>
        <v>1.6491109722523338</v>
      </c>
      <c r="V47" s="42">
        <f t="shared" ca="1" si="21"/>
        <v>0.2430574043770844</v>
      </c>
      <c r="W47" s="42">
        <f t="shared" ca="1" si="21"/>
        <v>0.37098502308198683</v>
      </c>
      <c r="X47" s="42">
        <f t="shared" ca="1" si="21"/>
        <v>5.467834384118285E-2</v>
      </c>
      <c r="Y47" s="42">
        <f t="shared" ca="1" si="21"/>
        <v>0.74366366615537349</v>
      </c>
      <c r="Z47" s="42">
        <f t="shared" ca="1" si="21"/>
        <v>0.10960630513445782</v>
      </c>
      <c r="AA47" s="42">
        <f t="shared" ca="1" si="21"/>
        <v>2.4418208272744168</v>
      </c>
      <c r="AB47" s="42">
        <f t="shared" ca="1" si="25"/>
        <v>0</v>
      </c>
      <c r="AC47" s="51">
        <f t="shared" ca="1" si="26"/>
        <v>6.043362731633211</v>
      </c>
    </row>
    <row r="48" spans="1:29" ht="12" customHeight="1" x14ac:dyDescent="0.25">
      <c r="A48" s="262"/>
      <c r="C48" s="263"/>
      <c r="D48" s="43">
        <f t="shared" si="27"/>
        <v>37</v>
      </c>
      <c r="E48" s="43">
        <f t="shared" si="22"/>
        <v>79.25</v>
      </c>
      <c r="G48" s="42">
        <f t="shared" ca="1" si="20"/>
        <v>0</v>
      </c>
      <c r="H48" s="42">
        <f t="shared" ca="1" si="20"/>
        <v>0</v>
      </c>
      <c r="I48" s="42">
        <f t="shared" ca="1" si="20"/>
        <v>1.6409698139720572</v>
      </c>
      <c r="J48" s="42">
        <f t="shared" ca="1" si="20"/>
        <v>0.24204575086144942</v>
      </c>
      <c r="K48" s="42">
        <f t="shared" ca="1" si="20"/>
        <v>0.36969500558539253</v>
      </c>
      <c r="L48" s="42">
        <f t="shared" ca="1" si="20"/>
        <v>5.4545134245976484E-2</v>
      </c>
      <c r="M48" s="42">
        <f t="shared" ca="1" si="20"/>
        <v>0.73984326770975384</v>
      </c>
      <c r="N48" s="42">
        <f t="shared" ca="1" si="20"/>
        <v>0.10912410287933813</v>
      </c>
      <c r="O48" s="42">
        <f t="shared" ca="1" si="20"/>
        <v>2.8394687181462466</v>
      </c>
      <c r="P48" s="42">
        <f t="shared" ca="1" si="23"/>
        <v>0</v>
      </c>
      <c r="Q48" s="51">
        <f t="shared" ca="1" si="24"/>
        <v>5.9956917934002139</v>
      </c>
      <c r="S48" s="42">
        <f t="shared" ca="1" si="21"/>
        <v>0.40451350423381599</v>
      </c>
      <c r="T48" s="42">
        <f t="shared" ca="1" si="21"/>
        <v>0</v>
      </c>
      <c r="U48" s="42">
        <f t="shared" ca="1" si="21"/>
        <v>1.6352734073048427</v>
      </c>
      <c r="V48" s="42">
        <f t="shared" ca="1" si="21"/>
        <v>0.2410179281528477</v>
      </c>
      <c r="W48" s="42">
        <f t="shared" ca="1" si="21"/>
        <v>0.36787211592302704</v>
      </c>
      <c r="X48" s="42">
        <f t="shared" ca="1" si="21"/>
        <v>5.4219542009860219E-2</v>
      </c>
      <c r="Y48" s="42">
        <f t="shared" ca="1" si="21"/>
        <v>0.73742364080070621</v>
      </c>
      <c r="Z48" s="42">
        <f t="shared" ca="1" si="21"/>
        <v>0.10868660695072606</v>
      </c>
      <c r="AA48" s="42">
        <f t="shared" ca="1" si="21"/>
        <v>2.4436465884622769</v>
      </c>
      <c r="AB48" s="42">
        <f t="shared" ca="1" si="25"/>
        <v>0</v>
      </c>
      <c r="AC48" s="51">
        <f t="shared" ca="1" si="26"/>
        <v>5.9926533338381027</v>
      </c>
    </row>
    <row r="49" spans="1:29" ht="12" customHeight="1" x14ac:dyDescent="0.25">
      <c r="A49" s="262"/>
      <c r="C49" s="263"/>
      <c r="D49" s="43">
        <f t="shared" si="27"/>
        <v>38</v>
      </c>
      <c r="E49" s="43">
        <f t="shared" si="22"/>
        <v>79.5</v>
      </c>
      <c r="G49" s="42">
        <f t="shared" ca="1" si="20"/>
        <v>0</v>
      </c>
      <c r="H49" s="42">
        <f t="shared" ca="1" si="20"/>
        <v>0</v>
      </c>
      <c r="I49" s="42">
        <f t="shared" ca="1" si="20"/>
        <v>1.6261296372707608</v>
      </c>
      <c r="J49" s="42">
        <f t="shared" ca="1" si="20"/>
        <v>0.23982809609515615</v>
      </c>
      <c r="K49" s="42">
        <f t="shared" ca="1" si="20"/>
        <v>0.36626909669174512</v>
      </c>
      <c r="L49" s="42">
        <f t="shared" ca="1" si="20"/>
        <v>5.4031005671468478E-2</v>
      </c>
      <c r="M49" s="42">
        <f t="shared" ca="1" si="20"/>
        <v>0.73317520912452494</v>
      </c>
      <c r="N49" s="42">
        <f t="shared" ca="1" si="20"/>
        <v>0.10812825488493148</v>
      </c>
      <c r="O49" s="42">
        <f t="shared" ca="1" si="20"/>
        <v>2.8166279889516734</v>
      </c>
      <c r="P49" s="42">
        <f t="shared" ca="1" si="23"/>
        <v>0</v>
      </c>
      <c r="Q49" s="51">
        <f t="shared" ca="1" si="24"/>
        <v>5.9441892886902608</v>
      </c>
      <c r="S49" s="42">
        <f t="shared" ca="1" si="21"/>
        <v>0.38014845986238072</v>
      </c>
      <c r="T49" s="42">
        <f t="shared" ca="1" si="21"/>
        <v>0</v>
      </c>
      <c r="U49" s="42">
        <f t="shared" ca="1" si="21"/>
        <v>1.6215519523141086</v>
      </c>
      <c r="V49" s="42">
        <f t="shared" ca="1" si="21"/>
        <v>0.23899556501874655</v>
      </c>
      <c r="W49" s="42">
        <f t="shared" ca="1" si="21"/>
        <v>0.36478532893166798</v>
      </c>
      <c r="X49" s="42">
        <f t="shared" ca="1" si="21"/>
        <v>5.3764589949866368E-2</v>
      </c>
      <c r="Y49" s="42">
        <f t="shared" ca="1" si="21"/>
        <v>0.73123597502497106</v>
      </c>
      <c r="Z49" s="42">
        <f t="shared" ca="1" si="21"/>
        <v>0.10777462588461925</v>
      </c>
      <c r="AA49" s="42">
        <f t="shared" ca="1" si="21"/>
        <v>2.4441129377630544</v>
      </c>
      <c r="AB49" s="42">
        <f t="shared" ca="1" si="25"/>
        <v>0</v>
      </c>
      <c r="AC49" s="51">
        <f t="shared" ca="1" si="26"/>
        <v>5.9423694347494145</v>
      </c>
    </row>
    <row r="50" spans="1:29" ht="12" customHeight="1" x14ac:dyDescent="0.25">
      <c r="A50" s="262"/>
      <c r="C50" s="263"/>
      <c r="D50" s="43">
        <f t="shared" si="27"/>
        <v>39</v>
      </c>
      <c r="E50" s="43">
        <f t="shared" si="22"/>
        <v>79.75</v>
      </c>
      <c r="G50" s="42">
        <f t="shared" ca="1" si="20"/>
        <v>1.824037050427134E-3</v>
      </c>
      <c r="H50" s="42">
        <f t="shared" ca="1" si="20"/>
        <v>0</v>
      </c>
      <c r="I50" s="42">
        <f t="shared" ca="1" si="20"/>
        <v>1.611586964904117</v>
      </c>
      <c r="J50" s="42">
        <f t="shared" ca="1" si="20"/>
        <v>0.23765920103463545</v>
      </c>
      <c r="K50" s="42">
        <f t="shared" ca="1" si="20"/>
        <v>0.36292424054515704</v>
      </c>
      <c r="L50" s="42">
        <f t="shared" ca="1" si="20"/>
        <v>5.3530308339705804E-2</v>
      </c>
      <c r="M50" s="42">
        <f t="shared" ca="1" si="20"/>
        <v>0.72663741799426684</v>
      </c>
      <c r="N50" s="42">
        <f t="shared" ca="1" si="20"/>
        <v>0.10715371666885333</v>
      </c>
      <c r="O50" s="42">
        <f t="shared" ca="1" si="20"/>
        <v>2.7938198058891008</v>
      </c>
      <c r="P50" s="42">
        <f t="shared" ca="1" si="23"/>
        <v>0</v>
      </c>
      <c r="Q50" s="51">
        <f t="shared" ca="1" si="24"/>
        <v>5.8951356924262637</v>
      </c>
      <c r="S50" s="42">
        <f t="shared" ca="1" si="21"/>
        <v>0.35725099415274181</v>
      </c>
      <c r="T50" s="42">
        <f t="shared" ca="1" si="21"/>
        <v>0</v>
      </c>
      <c r="U50" s="42">
        <f t="shared" ca="1" si="21"/>
        <v>1.6079456330103012</v>
      </c>
      <c r="V50" s="42">
        <f t="shared" ca="1" si="21"/>
        <v>0.23699017138014114</v>
      </c>
      <c r="W50" s="42">
        <f t="shared" ca="1" si="21"/>
        <v>0.36172444293556688</v>
      </c>
      <c r="X50" s="42">
        <f t="shared" ca="1" si="21"/>
        <v>5.3313455358062388E-2</v>
      </c>
      <c r="Y50" s="42">
        <f t="shared" ca="1" si="21"/>
        <v>0.72510022948291686</v>
      </c>
      <c r="Z50" s="42">
        <f t="shared" ca="1" si="21"/>
        <v>0.10687029718238937</v>
      </c>
      <c r="AA50" s="42">
        <f t="shared" ca="1" si="21"/>
        <v>2.4433122405376921</v>
      </c>
      <c r="AB50" s="42">
        <f t="shared" ca="1" si="25"/>
        <v>0</v>
      </c>
      <c r="AC50" s="51">
        <f t="shared" ca="1" si="26"/>
        <v>5.8925074640398121</v>
      </c>
    </row>
    <row r="51" spans="1:29" ht="12" customHeight="1" x14ac:dyDescent="0.25">
      <c r="A51" s="262"/>
      <c r="C51" s="263"/>
      <c r="D51" s="43">
        <f t="shared" si="27"/>
        <v>40</v>
      </c>
      <c r="E51" s="43">
        <f t="shared" si="22"/>
        <v>80</v>
      </c>
      <c r="G51" s="42">
        <f t="shared" ref="G51:O60" ca="1" si="28">PRODUCT(AVERAGE(OFFSET(AB.Trace.MarkovQA.Root, $D51, (G$2-1)*AB.Trace.MarkovQA.NumCols+G$3-1, CHOOSE(swtchHalfCycle, 2, 1))), G$6)</f>
        <v>3.5382069562382252E-3</v>
      </c>
      <c r="H51" s="42">
        <f t="shared" ca="1" si="28"/>
        <v>0</v>
      </c>
      <c r="I51" s="42">
        <f t="shared" ca="1" si="28"/>
        <v>1.5952954774207424</v>
      </c>
      <c r="J51" s="42">
        <f t="shared" ca="1" si="28"/>
        <v>0.2355337862974895</v>
      </c>
      <c r="K51" s="42">
        <f t="shared" ca="1" si="28"/>
        <v>0.35905225550372766</v>
      </c>
      <c r="L51" s="42">
        <f t="shared" ca="1" si="28"/>
        <v>5.3041456884597889E-2</v>
      </c>
      <c r="M51" s="42">
        <f t="shared" ca="1" si="28"/>
        <v>0.71934783902905419</v>
      </c>
      <c r="N51" s="42">
        <f t="shared" ca="1" si="28"/>
        <v>0.10619821706972159</v>
      </c>
      <c r="O51" s="42">
        <f t="shared" ca="1" si="28"/>
        <v>2.7710695959878433</v>
      </c>
      <c r="P51" s="42">
        <f t="shared" ca="1" si="23"/>
        <v>0</v>
      </c>
      <c r="Q51" s="51">
        <f t="shared" ca="1" si="24"/>
        <v>5.8430768351494153</v>
      </c>
      <c r="S51" s="42">
        <f t="shared" ref="S51:AA60" ca="1" si="29">PRODUCT(AVERAGE(OFFSET(AB.Trace.MarkovQA.Root, $D51, (S$2-1)*AB.Trace.MarkovQA.NumCols+S$3-1, CHOOSE(swtchHalfCycle, 2, 1))), S$6)</f>
        <v>0.33573271050295889</v>
      </c>
      <c r="T51" s="42">
        <f t="shared" ca="1" si="29"/>
        <v>0</v>
      </c>
      <c r="U51" s="42">
        <f t="shared" ca="1" si="29"/>
        <v>1.5944534832986141</v>
      </c>
      <c r="V51" s="42">
        <f t="shared" ca="1" si="29"/>
        <v>0.23500160484728322</v>
      </c>
      <c r="W51" s="42">
        <f t="shared" ca="1" si="29"/>
        <v>0.3586892406014392</v>
      </c>
      <c r="X51" s="42">
        <f t="shared" ca="1" si="29"/>
        <v>5.2866106202362595E-2</v>
      </c>
      <c r="Y51" s="42">
        <f t="shared" ca="1" si="29"/>
        <v>0.71901596851580507</v>
      </c>
      <c r="Z51" s="42">
        <f t="shared" ca="1" si="29"/>
        <v>0.10597355663363223</v>
      </c>
      <c r="AA51" s="42">
        <f t="shared" ca="1" si="29"/>
        <v>2.4413312107382072</v>
      </c>
      <c r="AB51" s="42">
        <f t="shared" ca="1" si="25"/>
        <v>0</v>
      </c>
      <c r="AC51" s="51">
        <f t="shared" ca="1" si="26"/>
        <v>5.8430638813403029</v>
      </c>
    </row>
    <row r="52" spans="1:29" ht="12" customHeight="1" x14ac:dyDescent="0.25">
      <c r="A52" s="262"/>
      <c r="C52" s="263"/>
      <c r="D52" s="43">
        <f t="shared" si="27"/>
        <v>41</v>
      </c>
      <c r="E52" s="43">
        <f t="shared" si="22"/>
        <v>80.25</v>
      </c>
      <c r="G52" s="42">
        <f t="shared" ca="1" si="28"/>
        <v>3.3250902899668437E-3</v>
      </c>
      <c r="H52" s="42">
        <f t="shared" ca="1" si="28"/>
        <v>0</v>
      </c>
      <c r="I52" s="42">
        <f t="shared" ca="1" si="28"/>
        <v>1.579676195628098</v>
      </c>
      <c r="J52" s="42">
        <f t="shared" ca="1" si="28"/>
        <v>0.23315278184973653</v>
      </c>
      <c r="K52" s="42">
        <f t="shared" ca="1" si="28"/>
        <v>0.35536493283817938</v>
      </c>
      <c r="L52" s="42">
        <f t="shared" ca="1" si="28"/>
        <v>5.2475565426578198E-2</v>
      </c>
      <c r="M52" s="42">
        <f t="shared" ca="1" si="28"/>
        <v>0.71235217686697549</v>
      </c>
      <c r="N52" s="42">
        <f t="shared" ca="1" si="28"/>
        <v>0.10513284351459777</v>
      </c>
      <c r="O52" s="42">
        <f t="shared" ca="1" si="28"/>
        <v>2.7482425415391494</v>
      </c>
      <c r="P52" s="42">
        <f t="shared" ca="1" si="23"/>
        <v>0</v>
      </c>
      <c r="Q52" s="51">
        <f t="shared" ca="1" si="24"/>
        <v>5.789722127953282</v>
      </c>
      <c r="S52" s="42">
        <f t="shared" ca="1" si="29"/>
        <v>0.31551053669978585</v>
      </c>
      <c r="T52" s="42">
        <f t="shared" ca="1" si="29"/>
        <v>0</v>
      </c>
      <c r="U52" s="42">
        <f t="shared" ca="1" si="29"/>
        <v>1.5810745451906685</v>
      </c>
      <c r="V52" s="42">
        <f t="shared" ca="1" si="29"/>
        <v>0.23302972422520626</v>
      </c>
      <c r="W52" s="42">
        <f t="shared" ca="1" si="29"/>
        <v>0.35567950641962742</v>
      </c>
      <c r="X52" s="42">
        <f t="shared" ca="1" si="29"/>
        <v>5.242251071946006E-2</v>
      </c>
      <c r="Y52" s="42">
        <f t="shared" ca="1" si="29"/>
        <v>0.71298276012047679</v>
      </c>
      <c r="Z52" s="42">
        <f t="shared" ca="1" si="29"/>
        <v>0.10508434056672819</v>
      </c>
      <c r="AA52" s="42">
        <f t="shared" ca="1" si="29"/>
        <v>2.4382512520469097</v>
      </c>
      <c r="AB52" s="42">
        <f t="shared" ca="1" si="25"/>
        <v>0</v>
      </c>
      <c r="AC52" s="51">
        <f t="shared" ca="1" si="26"/>
        <v>5.7940351759888626</v>
      </c>
    </row>
    <row r="53" spans="1:29" ht="12" customHeight="1" x14ac:dyDescent="0.25">
      <c r="A53" s="262"/>
      <c r="C53" s="263"/>
      <c r="D53" s="43">
        <f t="shared" si="27"/>
        <v>42</v>
      </c>
      <c r="E53" s="43">
        <f t="shared" si="22"/>
        <v>80.5</v>
      </c>
      <c r="G53" s="42">
        <f t="shared" ca="1" si="28"/>
        <v>3.1248102706198451E-3</v>
      </c>
      <c r="H53" s="42">
        <f t="shared" ca="1" si="28"/>
        <v>0</v>
      </c>
      <c r="I53" s="42">
        <f t="shared" ca="1" si="28"/>
        <v>1.5665586624708387</v>
      </c>
      <c r="J53" s="42">
        <f t="shared" ca="1" si="28"/>
        <v>0.23087002041024585</v>
      </c>
      <c r="K53" s="42">
        <f t="shared" ca="1" si="28"/>
        <v>0.35241400447556093</v>
      </c>
      <c r="L53" s="42">
        <f t="shared" ca="1" si="28"/>
        <v>5.1936662415055762E-2</v>
      </c>
      <c r="M53" s="42">
        <f t="shared" ca="1" si="28"/>
        <v>0.70643684857022726</v>
      </c>
      <c r="N53" s="42">
        <f t="shared" ca="1" si="28"/>
        <v>0.10411042596433513</v>
      </c>
      <c r="O53" s="42">
        <f t="shared" ca="1" si="28"/>
        <v>2.7253719847119484</v>
      </c>
      <c r="P53" s="42">
        <f t="shared" ca="1" si="23"/>
        <v>0</v>
      </c>
      <c r="Q53" s="51">
        <f t="shared" ca="1" si="24"/>
        <v>5.7408234192888319</v>
      </c>
      <c r="S53" s="42">
        <f t="shared" ca="1" si="29"/>
        <v>0.29650640421499697</v>
      </c>
      <c r="T53" s="42">
        <f t="shared" ca="1" si="29"/>
        <v>0</v>
      </c>
      <c r="U53" s="42">
        <f t="shared" ca="1" si="29"/>
        <v>1.567807868736494</v>
      </c>
      <c r="V53" s="42">
        <f t="shared" ca="1" si="29"/>
        <v>0.23107438950369982</v>
      </c>
      <c r="W53" s="42">
        <f t="shared" ca="1" si="29"/>
        <v>0.35269502668879943</v>
      </c>
      <c r="X53" s="42">
        <f t="shared" ca="1" si="29"/>
        <v>5.198263741257135E-2</v>
      </c>
      <c r="Y53" s="42">
        <f t="shared" ca="1" si="29"/>
        <v>0.70700017591867881</v>
      </c>
      <c r="Z53" s="42">
        <f t="shared" ca="1" si="29"/>
        <v>0.10420258584432138</v>
      </c>
      <c r="AA53" s="42">
        <f t="shared" ca="1" si="29"/>
        <v>2.4341487784616063</v>
      </c>
      <c r="AB53" s="42">
        <f t="shared" ca="1" si="25"/>
        <v>0</v>
      </c>
      <c r="AC53" s="51">
        <f t="shared" ca="1" si="26"/>
        <v>5.7454178667811675</v>
      </c>
    </row>
    <row r="54" spans="1:29" ht="12" customHeight="1" x14ac:dyDescent="0.25">
      <c r="A54" s="262"/>
      <c r="C54" s="263"/>
      <c r="D54" s="43">
        <f t="shared" si="27"/>
        <v>43</v>
      </c>
      <c r="E54" s="43">
        <f t="shared" si="22"/>
        <v>80.75</v>
      </c>
      <c r="G54" s="42">
        <f t="shared" ca="1" si="28"/>
        <v>2.9365937089992937E-3</v>
      </c>
      <c r="H54" s="42">
        <f t="shared" ca="1" si="28"/>
        <v>0</v>
      </c>
      <c r="I54" s="42">
        <f t="shared" ca="1" si="28"/>
        <v>1.5534236702960744</v>
      </c>
      <c r="J54" s="42">
        <f t="shared" ca="1" si="28"/>
        <v>0.22895289007927674</v>
      </c>
      <c r="K54" s="42">
        <f t="shared" ca="1" si="28"/>
        <v>0.349459148521579</v>
      </c>
      <c r="L54" s="42">
        <f t="shared" ca="1" si="28"/>
        <v>5.1505383591463692E-2</v>
      </c>
      <c r="M54" s="42">
        <f t="shared" ca="1" si="28"/>
        <v>0.70051364716052067</v>
      </c>
      <c r="N54" s="42">
        <f t="shared" ca="1" si="28"/>
        <v>0.10324589944403738</v>
      </c>
      <c r="O54" s="42">
        <f t="shared" ca="1" si="28"/>
        <v>2.7026628628473786</v>
      </c>
      <c r="P54" s="42">
        <f t="shared" ca="1" si="23"/>
        <v>0</v>
      </c>
      <c r="Q54" s="51">
        <f t="shared" ca="1" si="24"/>
        <v>5.6927000956493297</v>
      </c>
      <c r="S54" s="42">
        <f t="shared" ca="1" si="29"/>
        <v>0.27864694681864438</v>
      </c>
      <c r="T54" s="42">
        <f t="shared" ca="1" si="29"/>
        <v>0</v>
      </c>
      <c r="U54" s="42">
        <f t="shared" ca="1" si="29"/>
        <v>1.5546525119570782</v>
      </c>
      <c r="V54" s="42">
        <f t="shared" ca="1" si="29"/>
        <v>0.22913546184736855</v>
      </c>
      <c r="W54" s="42">
        <f t="shared" ca="1" si="29"/>
        <v>0.3497355895007746</v>
      </c>
      <c r="X54" s="42">
        <f t="shared" ca="1" si="29"/>
        <v>5.1546455049200197E-2</v>
      </c>
      <c r="Y54" s="42">
        <f t="shared" ca="1" si="29"/>
        <v>0.70106779112664719</v>
      </c>
      <c r="Z54" s="42">
        <f t="shared" ca="1" si="29"/>
        <v>0.10332822985883669</v>
      </c>
      <c r="AA54" s="42">
        <f t="shared" ca="1" si="29"/>
        <v>2.4290955155648644</v>
      </c>
      <c r="AB54" s="42">
        <f t="shared" ca="1" si="25"/>
        <v>0</v>
      </c>
      <c r="AC54" s="51">
        <f t="shared" ca="1" si="26"/>
        <v>5.6972085017234146</v>
      </c>
    </row>
    <row r="55" spans="1:29" ht="12" customHeight="1" x14ac:dyDescent="0.25">
      <c r="A55" s="262"/>
      <c r="C55" s="263"/>
      <c r="D55" s="43">
        <f t="shared" si="27"/>
        <v>44</v>
      </c>
      <c r="E55" s="43">
        <f t="shared" si="22"/>
        <v>81</v>
      </c>
      <c r="G55" s="42">
        <f t="shared" ca="1" si="28"/>
        <v>2.7597139873787066E-3</v>
      </c>
      <c r="H55" s="42">
        <f t="shared" ca="1" si="28"/>
        <v>0</v>
      </c>
      <c r="I55" s="42">
        <f t="shared" ca="1" si="28"/>
        <v>1.5403874565231899</v>
      </c>
      <c r="J55" s="42">
        <f t="shared" ca="1" si="28"/>
        <v>0.22703320810909267</v>
      </c>
      <c r="K55" s="42">
        <f t="shared" ca="1" si="28"/>
        <v>0.34652651381790583</v>
      </c>
      <c r="L55" s="42">
        <f t="shared" ca="1" si="28"/>
        <v>5.10735307495375E-2</v>
      </c>
      <c r="M55" s="42">
        <f t="shared" ca="1" si="28"/>
        <v>0.69463498969583359</v>
      </c>
      <c r="N55" s="42">
        <f t="shared" ca="1" si="28"/>
        <v>0.10238022226656417</v>
      </c>
      <c r="O55" s="42">
        <f t="shared" ca="1" si="28"/>
        <v>2.6801372728969781</v>
      </c>
      <c r="P55" s="42">
        <f t="shared" ca="1" si="23"/>
        <v>0</v>
      </c>
      <c r="Q55" s="51">
        <f t="shared" ca="1" si="24"/>
        <v>5.6449329080464796</v>
      </c>
      <c r="S55" s="42">
        <f t="shared" ca="1" si="29"/>
        <v>0.26186321734572937</v>
      </c>
      <c r="T55" s="42">
        <f t="shared" ca="1" si="29"/>
        <v>0</v>
      </c>
      <c r="U55" s="42">
        <f t="shared" ca="1" si="29"/>
        <v>1.541607540777483</v>
      </c>
      <c r="V55" s="42">
        <f t="shared" ca="1" si="29"/>
        <v>0.2272128035857745</v>
      </c>
      <c r="W55" s="42">
        <f t="shared" ca="1" si="29"/>
        <v>0.34680098472547771</v>
      </c>
      <c r="X55" s="42">
        <f t="shared" ca="1" si="29"/>
        <v>5.1113932658919774E-2</v>
      </c>
      <c r="Y55" s="42">
        <f t="shared" ca="1" si="29"/>
        <v>0.69518518452494615</v>
      </c>
      <c r="Z55" s="42">
        <f t="shared" ca="1" si="29"/>
        <v>0.1024612105280344</v>
      </c>
      <c r="AA55" s="42">
        <f t="shared" ca="1" si="29"/>
        <v>2.4231587836408508</v>
      </c>
      <c r="AB55" s="42">
        <f t="shared" ca="1" si="25"/>
        <v>0</v>
      </c>
      <c r="AC55" s="51">
        <f t="shared" ca="1" si="26"/>
        <v>5.6494036577872162</v>
      </c>
    </row>
    <row r="56" spans="1:29" ht="12" customHeight="1" x14ac:dyDescent="0.25">
      <c r="A56" s="262"/>
      <c r="C56" s="263"/>
      <c r="D56" s="43">
        <f t="shared" si="27"/>
        <v>45</v>
      </c>
      <c r="E56" s="43">
        <f t="shared" si="22"/>
        <v>81.25</v>
      </c>
      <c r="G56" s="42">
        <f t="shared" ca="1" si="28"/>
        <v>2.5934882543656342E-3</v>
      </c>
      <c r="H56" s="42">
        <f t="shared" ca="1" si="28"/>
        <v>0</v>
      </c>
      <c r="I56" s="42">
        <f t="shared" ca="1" si="28"/>
        <v>1.527462187991613</v>
      </c>
      <c r="J56" s="42">
        <f t="shared" ca="1" si="28"/>
        <v>0.22512796262388005</v>
      </c>
      <c r="K56" s="42">
        <f t="shared" ca="1" si="28"/>
        <v>0.34361883742425553</v>
      </c>
      <c r="L56" s="42">
        <f t="shared" ca="1" si="28"/>
        <v>5.064492554818887E-2</v>
      </c>
      <c r="M56" s="42">
        <f t="shared" ca="1" si="28"/>
        <v>0.68880636279081286</v>
      </c>
      <c r="N56" s="42">
        <f t="shared" ca="1" si="28"/>
        <v>0.10152105519636755</v>
      </c>
      <c r="O56" s="42">
        <f t="shared" ca="1" si="28"/>
        <v>2.6577915338988647</v>
      </c>
      <c r="P56" s="42">
        <f t="shared" ca="1" si="23"/>
        <v>0</v>
      </c>
      <c r="Q56" s="51">
        <f t="shared" ca="1" si="24"/>
        <v>5.5975663537283484</v>
      </c>
      <c r="S56" s="42">
        <f t="shared" ca="1" si="29"/>
        <v>0.24609042152285476</v>
      </c>
      <c r="T56" s="42">
        <f t="shared" ca="1" si="29"/>
        <v>0</v>
      </c>
      <c r="U56" s="42">
        <f t="shared" ca="1" si="29"/>
        <v>1.5286720289605216</v>
      </c>
      <c r="V56" s="42">
        <f t="shared" ca="1" si="29"/>
        <v>0.22530627820366181</v>
      </c>
      <c r="W56" s="42">
        <f t="shared" ca="1" si="29"/>
        <v>0.34389100399601935</v>
      </c>
      <c r="X56" s="42">
        <f t="shared" ca="1" si="29"/>
        <v>5.0685039531173814E-2</v>
      </c>
      <c r="Y56" s="42">
        <f t="shared" ca="1" si="29"/>
        <v>0.68935193842856057</v>
      </c>
      <c r="Z56" s="42">
        <f t="shared" ca="1" si="29"/>
        <v>0.10160146629060215</v>
      </c>
      <c r="AA56" s="42">
        <f t="shared" ca="1" si="29"/>
        <v>2.4164017637331621</v>
      </c>
      <c r="AB56" s="42">
        <f t="shared" ca="1" si="25"/>
        <v>0</v>
      </c>
      <c r="AC56" s="51">
        <f t="shared" ca="1" si="26"/>
        <v>5.6019999406665555</v>
      </c>
    </row>
    <row r="57" spans="1:29" ht="12" customHeight="1" x14ac:dyDescent="0.25">
      <c r="A57" s="262"/>
      <c r="C57" s="263"/>
      <c r="D57" s="43">
        <f t="shared" si="27"/>
        <v>46</v>
      </c>
      <c r="E57" s="43">
        <f t="shared" si="22"/>
        <v>81.5</v>
      </c>
      <c r="G57" s="42">
        <f t="shared" ca="1" si="28"/>
        <v>2.4372747887259562E-3</v>
      </c>
      <c r="H57" s="42">
        <f t="shared" ca="1" si="28"/>
        <v>0</v>
      </c>
      <c r="I57" s="42">
        <f t="shared" ca="1" si="28"/>
        <v>1.5146453802377935</v>
      </c>
      <c r="J57" s="42">
        <f t="shared" ca="1" si="28"/>
        <v>0.22323893180987422</v>
      </c>
      <c r="K57" s="42">
        <f t="shared" ca="1" si="28"/>
        <v>0.34073556043417286</v>
      </c>
      <c r="L57" s="42">
        <f t="shared" ca="1" si="28"/>
        <v>5.0219968009291786E-2</v>
      </c>
      <c r="M57" s="42">
        <f t="shared" ca="1" si="28"/>
        <v>0.68302664608102959</v>
      </c>
      <c r="N57" s="42">
        <f t="shared" ca="1" si="28"/>
        <v>0.10066920010337438</v>
      </c>
      <c r="O57" s="42">
        <f t="shared" ca="1" si="28"/>
        <v>2.6356246575318454</v>
      </c>
      <c r="P57" s="42">
        <f t="shared" ca="1" si="23"/>
        <v>0</v>
      </c>
      <c r="Q57" s="51">
        <f t="shared" ca="1" si="24"/>
        <v>5.5505976189961075</v>
      </c>
      <c r="S57" s="42">
        <f t="shared" ca="1" si="29"/>
        <v>0.23126766782728525</v>
      </c>
      <c r="T57" s="42">
        <f t="shared" ca="1" si="29"/>
        <v>0</v>
      </c>
      <c r="U57" s="42">
        <f t="shared" ca="1" si="29"/>
        <v>1.5158450580409939</v>
      </c>
      <c r="V57" s="42">
        <f t="shared" ca="1" si="29"/>
        <v>0.22341575033126365</v>
      </c>
      <c r="W57" s="42">
        <f t="shared" ca="1" si="29"/>
        <v>0.34100544069390054</v>
      </c>
      <c r="X57" s="42">
        <f t="shared" ca="1" si="29"/>
        <v>5.0259745213095959E-2</v>
      </c>
      <c r="Y57" s="42">
        <f t="shared" ca="1" si="29"/>
        <v>0.68356763865723835</v>
      </c>
      <c r="Z57" s="42">
        <f t="shared" ca="1" si="29"/>
        <v>0.1007489361017839</v>
      </c>
      <c r="AA57" s="42">
        <f t="shared" ca="1" si="29"/>
        <v>2.4088837476712244</v>
      </c>
      <c r="AB57" s="42">
        <f t="shared" ca="1" si="25"/>
        <v>0</v>
      </c>
      <c r="AC57" s="51">
        <f t="shared" ca="1" si="26"/>
        <v>5.5549939845367859</v>
      </c>
    </row>
    <row r="58" spans="1:29" ht="12" customHeight="1" x14ac:dyDescent="0.25">
      <c r="A58" s="262"/>
      <c r="C58" s="263"/>
      <c r="D58" s="43">
        <f t="shared" si="27"/>
        <v>47</v>
      </c>
      <c r="E58" s="43">
        <f t="shared" si="22"/>
        <v>81.75</v>
      </c>
      <c r="G58" s="42">
        <f t="shared" ca="1" si="28"/>
        <v>2.2904705219928406E-3</v>
      </c>
      <c r="H58" s="42">
        <f t="shared" ca="1" si="28"/>
        <v>0</v>
      </c>
      <c r="I58" s="42">
        <f t="shared" ca="1" si="28"/>
        <v>1.5019361052245463</v>
      </c>
      <c r="J58" s="42">
        <f t="shared" ca="1" si="28"/>
        <v>0.22136575256218546</v>
      </c>
      <c r="K58" s="42">
        <f t="shared" ca="1" si="28"/>
        <v>0.33787647407583932</v>
      </c>
      <c r="L58" s="42">
        <f t="shared" ca="1" si="28"/>
        <v>4.9798576448545934E-2</v>
      </c>
      <c r="M58" s="42">
        <f t="shared" ca="1" si="28"/>
        <v>0.67729542106976182</v>
      </c>
      <c r="N58" s="42">
        <f t="shared" ca="1" si="28"/>
        <v>9.9824493246079143E-2</v>
      </c>
      <c r="O58" s="42">
        <f t="shared" ca="1" si="28"/>
        <v>2.6136356843436697</v>
      </c>
      <c r="P58" s="42">
        <f t="shared" ca="1" si="23"/>
        <v>0</v>
      </c>
      <c r="Q58" s="51">
        <f t="shared" ca="1" si="24"/>
        <v>5.5040229774926202</v>
      </c>
      <c r="S58" s="42">
        <f t="shared" ca="1" si="29"/>
        <v>0.21733773241273574</v>
      </c>
      <c r="T58" s="42">
        <f t="shared" ca="1" si="29"/>
        <v>0</v>
      </c>
      <c r="U58" s="42">
        <f t="shared" ca="1" si="29"/>
        <v>1.5031257172604717</v>
      </c>
      <c r="V58" s="42">
        <f t="shared" ca="1" si="29"/>
        <v>0.22154108573469078</v>
      </c>
      <c r="W58" s="42">
        <f t="shared" ca="1" si="29"/>
        <v>0.33814408993434253</v>
      </c>
      <c r="X58" s="42">
        <f t="shared" ca="1" si="29"/>
        <v>4.9838019507347543E-2</v>
      </c>
      <c r="Y58" s="42">
        <f t="shared" ca="1" si="29"/>
        <v>0.67783187450608251</v>
      </c>
      <c r="Z58" s="42">
        <f t="shared" ca="1" si="29"/>
        <v>9.9903559429045496E-2</v>
      </c>
      <c r="AA58" s="42">
        <f t="shared" ca="1" si="29"/>
        <v>2.4006603730309175</v>
      </c>
      <c r="AB58" s="42">
        <f t="shared" ca="1" si="25"/>
        <v>0</v>
      </c>
      <c r="AC58" s="51">
        <f t="shared" ca="1" si="26"/>
        <v>5.5083824518156339</v>
      </c>
    </row>
    <row r="59" spans="1:29" ht="12" customHeight="1" x14ac:dyDescent="0.25">
      <c r="A59" s="262"/>
      <c r="C59" s="263"/>
      <c r="D59" s="43">
        <f t="shared" si="27"/>
        <v>48</v>
      </c>
      <c r="E59" s="43">
        <f t="shared" si="22"/>
        <v>82</v>
      </c>
      <c r="G59" s="42">
        <f t="shared" ca="1" si="28"/>
        <v>2.1525087102962836E-3</v>
      </c>
      <c r="H59" s="42">
        <f t="shared" ca="1" si="28"/>
        <v>0</v>
      </c>
      <c r="I59" s="42">
        <f t="shared" ca="1" si="28"/>
        <v>1.4893334733570307</v>
      </c>
      <c r="J59" s="42">
        <f t="shared" ca="1" si="28"/>
        <v>0.21950828924797683</v>
      </c>
      <c r="K59" s="42">
        <f t="shared" ca="1" si="28"/>
        <v>0.33504137822544994</v>
      </c>
      <c r="L59" s="42">
        <f t="shared" ca="1" si="28"/>
        <v>4.9380720353904541E-2</v>
      </c>
      <c r="M59" s="42">
        <f t="shared" ca="1" si="28"/>
        <v>0.67161228659579564</v>
      </c>
      <c r="N59" s="42">
        <f t="shared" ca="1" si="28"/>
        <v>9.8986873461094679E-2</v>
      </c>
      <c r="O59" s="42">
        <f t="shared" ca="1" si="28"/>
        <v>2.5918236084364072</v>
      </c>
      <c r="P59" s="42">
        <f t="shared" ca="1" si="23"/>
        <v>0</v>
      </c>
      <c r="Q59" s="51">
        <f t="shared" ca="1" si="24"/>
        <v>5.4578391383879561</v>
      </c>
      <c r="S59" s="42">
        <f t="shared" ca="1" si="29"/>
        <v>0.20424683819437472</v>
      </c>
      <c r="T59" s="42">
        <f t="shared" ca="1" si="29"/>
        <v>0</v>
      </c>
      <c r="U59" s="42">
        <f t="shared" ca="1" si="29"/>
        <v>1.4905131035026307</v>
      </c>
      <c r="V59" s="42">
        <f t="shared" ca="1" si="29"/>
        <v>0.21968215130640023</v>
      </c>
      <c r="W59" s="42">
        <f t="shared" ca="1" si="29"/>
        <v>0.33530674855173914</v>
      </c>
      <c r="X59" s="42">
        <f t="shared" ca="1" si="29"/>
        <v>4.9419832469973488E-2</v>
      </c>
      <c r="Y59" s="42">
        <f t="shared" ca="1" si="29"/>
        <v>0.67214423871638962</v>
      </c>
      <c r="Z59" s="42">
        <f t="shared" ca="1" si="29"/>
        <v>9.9065276247776696E-2</v>
      </c>
      <c r="AA59" s="42">
        <f t="shared" ca="1" si="29"/>
        <v>2.3917838439369423</v>
      </c>
      <c r="AB59" s="42">
        <f t="shared" ca="1" si="25"/>
        <v>0</v>
      </c>
      <c r="AC59" s="51">
        <f t="shared" ca="1" si="26"/>
        <v>5.4621620329262264</v>
      </c>
    </row>
    <row r="60" spans="1:29" ht="12" customHeight="1" x14ac:dyDescent="0.25">
      <c r="A60" s="262"/>
      <c r="C60" s="263"/>
      <c r="D60" s="43">
        <f t="shared" si="27"/>
        <v>49</v>
      </c>
      <c r="E60" s="43">
        <f t="shared" si="22"/>
        <v>82.25</v>
      </c>
      <c r="G60" s="42">
        <f t="shared" ca="1" si="28"/>
        <v>2.0228567464252449E-3</v>
      </c>
      <c r="H60" s="42">
        <f t="shared" ca="1" si="28"/>
        <v>0</v>
      </c>
      <c r="I60" s="42">
        <f t="shared" ca="1" si="28"/>
        <v>1.4768365892781397</v>
      </c>
      <c r="J60" s="42">
        <f t="shared" ca="1" si="28"/>
        <v>0.21766641185276847</v>
      </c>
      <c r="K60" s="42">
        <f t="shared" ca="1" si="28"/>
        <v>0.33223007146291705</v>
      </c>
      <c r="L60" s="42">
        <f t="shared" ca="1" si="28"/>
        <v>4.8966370477229897E-2</v>
      </c>
      <c r="M60" s="42">
        <f t="shared" ca="1" si="28"/>
        <v>0.66597683889943238</v>
      </c>
      <c r="N60" s="42">
        <f t="shared" ca="1" si="28"/>
        <v>9.8156282118622068E-2</v>
      </c>
      <c r="O60" s="42">
        <f t="shared" ca="1" si="28"/>
        <v>2.5701874037677213</v>
      </c>
      <c r="P60" s="42">
        <f t="shared" ca="1" si="23"/>
        <v>0</v>
      </c>
      <c r="Q60" s="51">
        <f t="shared" ca="1" si="24"/>
        <v>5.4120428246032564</v>
      </c>
      <c r="S60" s="42">
        <f t="shared" ca="1" si="29"/>
        <v>0.19194444724019089</v>
      </c>
      <c r="T60" s="42">
        <f t="shared" ca="1" si="29"/>
        <v>0</v>
      </c>
      <c r="U60" s="42">
        <f t="shared" ca="1" si="29"/>
        <v>1.4780063212291281</v>
      </c>
      <c r="V60" s="42">
        <f t="shared" ca="1" si="29"/>
        <v>0.21783881505574448</v>
      </c>
      <c r="W60" s="42">
        <f t="shared" ca="1" si="29"/>
        <v>0.33249321508523161</v>
      </c>
      <c r="X60" s="42">
        <f t="shared" ca="1" si="29"/>
        <v>4.9005154408276158E-2</v>
      </c>
      <c r="Y60" s="42">
        <f t="shared" ca="1" si="29"/>
        <v>0.66650432744673316</v>
      </c>
      <c r="Z60" s="42">
        <f t="shared" ca="1" si="29"/>
        <v>9.8234027037029215E-2</v>
      </c>
      <c r="AA60" s="42">
        <f t="shared" ca="1" si="29"/>
        <v>2.3823031385597688</v>
      </c>
      <c r="AB60" s="42">
        <f t="shared" ca="1" si="25"/>
        <v>0</v>
      </c>
      <c r="AC60" s="51">
        <f t="shared" ca="1" si="26"/>
        <v>5.4163294460621021</v>
      </c>
    </row>
    <row r="61" spans="1:29" ht="12" customHeight="1" x14ac:dyDescent="0.25">
      <c r="A61" s="262"/>
      <c r="C61" s="263"/>
      <c r="D61" s="43">
        <f t="shared" si="27"/>
        <v>50</v>
      </c>
      <c r="E61" s="43">
        <f t="shared" si="22"/>
        <v>82.5</v>
      </c>
      <c r="G61" s="42">
        <f t="shared" ref="G61:O70" ca="1" si="30">PRODUCT(AVERAGE(OFFSET(AB.Trace.MarkovQA.Root, $D61, (G$2-1)*AB.Trace.MarkovQA.NumCols+G$3-1, CHOOSE(swtchHalfCycle, 2, 1))), G$6)</f>
        <v>1.9010141036757476E-3</v>
      </c>
      <c r="H61" s="42">
        <f t="shared" ca="1" si="30"/>
        <v>0</v>
      </c>
      <c r="I61" s="42">
        <f t="shared" ca="1" si="30"/>
        <v>1.46444456559702</v>
      </c>
      <c r="J61" s="42">
        <f t="shared" ca="1" si="30"/>
        <v>0.21583998951992392</v>
      </c>
      <c r="K61" s="42">
        <f t="shared" ca="1" si="30"/>
        <v>0.32944235416024575</v>
      </c>
      <c r="L61" s="42">
        <f t="shared" ca="1" si="30"/>
        <v>4.8555497380932226E-2</v>
      </c>
      <c r="M61" s="42">
        <f t="shared" ca="1" si="30"/>
        <v>0.66038867781334154</v>
      </c>
      <c r="N61" s="42">
        <f t="shared" ca="1" si="30"/>
        <v>9.7332660209093369E-2</v>
      </c>
      <c r="O61" s="42">
        <f t="shared" ca="1" si="30"/>
        <v>2.5487260254280626</v>
      </c>
      <c r="P61" s="42">
        <f t="shared" ca="1" si="23"/>
        <v>0</v>
      </c>
      <c r="Q61" s="51">
        <f t="shared" ca="1" si="24"/>
        <v>5.3666307842122958</v>
      </c>
      <c r="S61" s="42">
        <f t="shared" ref="S61:AA70" ca="1" si="31">PRODUCT(AVERAGE(OFFSET(AB.Trace.MarkovQA.Root, $D61, (S$2-1)*AB.Trace.MarkovQA.NumCols+S$3-1, CHOOSE(swtchHalfCycle, 2, 1))), S$6)</f>
        <v>0.18038306566724188</v>
      </c>
      <c r="T61" s="42">
        <f t="shared" ca="1" si="31"/>
        <v>0</v>
      </c>
      <c r="U61" s="42">
        <f t="shared" ca="1" si="31"/>
        <v>1.4656044824160148</v>
      </c>
      <c r="V61" s="42">
        <f t="shared" ca="1" si="31"/>
        <v>0.21601094609959934</v>
      </c>
      <c r="W61" s="42">
        <f t="shared" ca="1" si="31"/>
        <v>0.32970328976440366</v>
      </c>
      <c r="X61" s="42">
        <f t="shared" ca="1" si="31"/>
        <v>4.8593955878707101E-2</v>
      </c>
      <c r="Y61" s="42">
        <f t="shared" ca="1" si="31"/>
        <v>0.66091174024428945</v>
      </c>
      <c r="Z61" s="42">
        <f t="shared" ca="1" si="31"/>
        <v>9.7409752775290515E-2</v>
      </c>
      <c r="AA61" s="42">
        <f t="shared" ca="1" si="31"/>
        <v>2.372264204108637</v>
      </c>
      <c r="AB61" s="42">
        <f t="shared" ca="1" si="25"/>
        <v>0</v>
      </c>
      <c r="AC61" s="51">
        <f t="shared" ca="1" si="26"/>
        <v>5.3708814369541837</v>
      </c>
    </row>
    <row r="62" spans="1:29" ht="12" customHeight="1" x14ac:dyDescent="0.25">
      <c r="A62" s="262"/>
      <c r="C62" s="263"/>
      <c r="D62" s="43">
        <f t="shared" si="27"/>
        <v>51</v>
      </c>
      <c r="E62" s="43">
        <f t="shared" si="22"/>
        <v>82.75</v>
      </c>
      <c r="G62" s="42">
        <f t="shared" ca="1" si="30"/>
        <v>1.7865104035470838E-3</v>
      </c>
      <c r="H62" s="42">
        <f t="shared" ca="1" si="30"/>
        <v>0</v>
      </c>
      <c r="I62" s="42">
        <f t="shared" ca="1" si="30"/>
        <v>1.4521565224455824</v>
      </c>
      <c r="J62" s="42">
        <f t="shared" ca="1" si="30"/>
        <v>0.21402889255707652</v>
      </c>
      <c r="K62" s="42">
        <f t="shared" ca="1" si="30"/>
        <v>0.32667802838176746</v>
      </c>
      <c r="L62" s="42">
        <f t="shared" ca="1" si="30"/>
        <v>4.8148071889336584E-2</v>
      </c>
      <c r="M62" s="42">
        <f t="shared" ca="1" si="30"/>
        <v>0.65484740656257023</v>
      </c>
      <c r="N62" s="42">
        <f t="shared" ca="1" si="30"/>
        <v>9.6515949247965943E-2</v>
      </c>
      <c r="O62" s="42">
        <f t="shared" ca="1" si="30"/>
        <v>2.5274384113142911</v>
      </c>
      <c r="P62" s="42">
        <f t="shared" ca="1" si="23"/>
        <v>0</v>
      </c>
      <c r="Q62" s="51">
        <f t="shared" ca="1" si="24"/>
        <v>5.3215997928021377</v>
      </c>
      <c r="S62" s="42">
        <f t="shared" ca="1" si="31"/>
        <v>0.1695180602895785</v>
      </c>
      <c r="T62" s="42">
        <f t="shared" ca="1" si="31"/>
        <v>0</v>
      </c>
      <c r="U62" s="42">
        <f t="shared" ca="1" si="31"/>
        <v>1.4533067064906826</v>
      </c>
      <c r="V62" s="42">
        <f t="shared" ca="1" si="31"/>
        <v>0.21419841465307107</v>
      </c>
      <c r="W62" s="42">
        <f t="shared" ca="1" si="31"/>
        <v>0.3269367744950975</v>
      </c>
      <c r="X62" s="42">
        <f t="shared" ca="1" si="31"/>
        <v>4.8186207684776446E-2</v>
      </c>
      <c r="Y62" s="42">
        <f t="shared" ca="1" si="31"/>
        <v>0.65536608001640362</v>
      </c>
      <c r="Z62" s="42">
        <f t="shared" ca="1" si="31"/>
        <v>9.6592394936293069E-2</v>
      </c>
      <c r="AA62" s="42">
        <f t="shared" ca="1" si="31"/>
        <v>2.3617101400738174</v>
      </c>
      <c r="AB62" s="42">
        <f t="shared" ca="1" si="25"/>
        <v>0</v>
      </c>
      <c r="AC62" s="51">
        <f t="shared" ca="1" si="26"/>
        <v>5.325814778639721</v>
      </c>
    </row>
    <row r="63" spans="1:29" ht="12" customHeight="1" x14ac:dyDescent="0.25">
      <c r="A63" s="262"/>
      <c r="C63" s="263"/>
      <c r="D63" s="43">
        <f t="shared" si="27"/>
        <v>52</v>
      </c>
      <c r="E63" s="43">
        <f t="shared" si="22"/>
        <v>83</v>
      </c>
      <c r="G63" s="42">
        <f t="shared" ca="1" si="30"/>
        <v>1.6789035998263969E-3</v>
      </c>
      <c r="H63" s="42">
        <f t="shared" ca="1" si="30"/>
        <v>0</v>
      </c>
      <c r="I63" s="42">
        <f t="shared" ca="1" si="30"/>
        <v>1.4399715873312315</v>
      </c>
      <c r="J63" s="42">
        <f t="shared" ca="1" si="30"/>
        <v>0.21223299237131327</v>
      </c>
      <c r="K63" s="42">
        <f t="shared" ca="1" si="30"/>
        <v>0.32393689785100876</v>
      </c>
      <c r="L63" s="42">
        <f t="shared" ca="1" si="30"/>
        <v>4.7744065074101831E-2</v>
      </c>
      <c r="M63" s="42">
        <f t="shared" ca="1" si="30"/>
        <v>0.64935263169813062</v>
      </c>
      <c r="N63" s="42">
        <f t="shared" ca="1" si="30"/>
        <v>9.570609124649393E-2</v>
      </c>
      <c r="O63" s="42">
        <f t="shared" ca="1" si="30"/>
        <v>2.5063234838495734</v>
      </c>
      <c r="P63" s="42">
        <f t="shared" ca="1" si="23"/>
        <v>0</v>
      </c>
      <c r="Q63" s="51">
        <f t="shared" ca="1" si="24"/>
        <v>5.27694665302168</v>
      </c>
      <c r="S63" s="42">
        <f t="shared" ca="1" si="31"/>
        <v>0.15930748631000666</v>
      </c>
      <c r="T63" s="42">
        <f t="shared" ca="1" si="31"/>
        <v>0</v>
      </c>
      <c r="U63" s="42">
        <f t="shared" ca="1" si="31"/>
        <v>1.4411121202693422</v>
      </c>
      <c r="V63" s="42">
        <f t="shared" ca="1" si="31"/>
        <v>0.21240109202028104</v>
      </c>
      <c r="W63" s="42">
        <f t="shared" ca="1" si="31"/>
        <v>0.32419347284534838</v>
      </c>
      <c r="X63" s="42">
        <f t="shared" ca="1" si="31"/>
        <v>4.7781880874979824E-2</v>
      </c>
      <c r="Y63" s="42">
        <f t="shared" ca="1" si="31"/>
        <v>0.64986695300239572</v>
      </c>
      <c r="Z63" s="42">
        <f t="shared" ca="1" si="31"/>
        <v>9.5781895484858853E-2</v>
      </c>
      <c r="AA63" s="42">
        <f t="shared" ca="1" si="31"/>
        <v>2.3506813704259497</v>
      </c>
      <c r="AB63" s="42">
        <f t="shared" ca="1" si="25"/>
        <v>0</v>
      </c>
      <c r="AC63" s="51">
        <f t="shared" ca="1" si="26"/>
        <v>5.2811262712331617</v>
      </c>
    </row>
    <row r="64" spans="1:29" ht="12" customHeight="1" x14ac:dyDescent="0.25">
      <c r="A64" s="262"/>
      <c r="C64" s="263"/>
      <c r="D64" s="43">
        <f t="shared" si="27"/>
        <v>53</v>
      </c>
      <c r="E64" s="43">
        <f t="shared" si="22"/>
        <v>83.25</v>
      </c>
      <c r="G64" s="42">
        <f t="shared" ca="1" si="30"/>
        <v>1.577778272051214E-3</v>
      </c>
      <c r="H64" s="42">
        <f t="shared" ca="1" si="30"/>
        <v>0</v>
      </c>
      <c r="I64" s="42">
        <f t="shared" ca="1" si="30"/>
        <v>1.4278888950821933</v>
      </c>
      <c r="J64" s="42">
        <f t="shared" ca="1" si="30"/>
        <v>0.210452161447651</v>
      </c>
      <c r="K64" s="42">
        <f t="shared" ca="1" si="30"/>
        <v>0.32121876793839299</v>
      </c>
      <c r="L64" s="42">
        <f t="shared" ca="1" si="30"/>
        <v>4.7343448249378604E-2</v>
      </c>
      <c r="M64" s="42">
        <f t="shared" ca="1" si="30"/>
        <v>0.64390396307234687</v>
      </c>
      <c r="N64" s="42">
        <f t="shared" ca="1" si="30"/>
        <v>9.4903028702021996E-2</v>
      </c>
      <c r="O64" s="42">
        <f t="shared" ca="1" si="30"/>
        <v>2.4853801515824823</v>
      </c>
      <c r="P64" s="42">
        <f t="shared" ca="1" si="23"/>
        <v>0</v>
      </c>
      <c r="Q64" s="51">
        <f t="shared" ca="1" si="24"/>
        <v>5.2326681943465179</v>
      </c>
      <c r="S64" s="42">
        <f t="shared" ca="1" si="31"/>
        <v>0.14971192539048409</v>
      </c>
      <c r="T64" s="42">
        <f t="shared" ca="1" si="31"/>
        <v>0</v>
      </c>
      <c r="U64" s="42">
        <f t="shared" ca="1" si="31"/>
        <v>1.4290198578950235</v>
      </c>
      <c r="V64" s="42">
        <f t="shared" ca="1" si="31"/>
        <v>0.21061885058522795</v>
      </c>
      <c r="W64" s="42">
        <f t="shared" ca="1" si="31"/>
        <v>0.32147319003143732</v>
      </c>
      <c r="X64" s="42">
        <f t="shared" ca="1" si="31"/>
        <v>4.7380946740742766E-2</v>
      </c>
      <c r="Y64" s="42">
        <f t="shared" ca="1" si="31"/>
        <v>0.64441396874560142</v>
      </c>
      <c r="Z64" s="42">
        <f t="shared" ca="1" si="31"/>
        <v>9.4978196872778572E-2</v>
      </c>
      <c r="AA64" s="42">
        <f t="shared" ca="1" si="31"/>
        <v>2.3392158054376586</v>
      </c>
      <c r="AB64" s="42">
        <f t="shared" ca="1" si="25"/>
        <v>0</v>
      </c>
      <c r="AC64" s="51">
        <f t="shared" ca="1" si="26"/>
        <v>5.2368127416989552</v>
      </c>
    </row>
    <row r="65" spans="1:29" ht="12" customHeight="1" x14ac:dyDescent="0.25">
      <c r="A65" s="262"/>
      <c r="C65" s="263"/>
      <c r="D65" s="43">
        <f t="shared" si="27"/>
        <v>54</v>
      </c>
      <c r="E65" s="43">
        <f t="shared" si="22"/>
        <v>83.5</v>
      </c>
      <c r="G65" s="42">
        <f t="shared" ca="1" si="30"/>
        <v>1.4827440217617754E-3</v>
      </c>
      <c r="H65" s="42">
        <f t="shared" ca="1" si="30"/>
        <v>0</v>
      </c>
      <c r="I65" s="42">
        <f t="shared" ca="1" si="30"/>
        <v>1.4159075877863505</v>
      </c>
      <c r="J65" s="42">
        <f t="shared" ca="1" si="30"/>
        <v>0.20868627334104628</v>
      </c>
      <c r="K65" s="42">
        <f t="shared" ca="1" si="30"/>
        <v>0.3185234456474802</v>
      </c>
      <c r="L65" s="42">
        <f t="shared" ca="1" si="30"/>
        <v>4.6946192970011812E-2</v>
      </c>
      <c r="M65" s="42">
        <f t="shared" ca="1" si="30"/>
        <v>0.63850101381127244</v>
      </c>
      <c r="N65" s="42">
        <f t="shared" ca="1" si="30"/>
        <v>9.4106704594382209E-2</v>
      </c>
      <c r="O65" s="42">
        <f t="shared" ca="1" si="30"/>
        <v>2.4646073106836304</v>
      </c>
      <c r="P65" s="42">
        <f t="shared" ca="1" si="23"/>
        <v>0</v>
      </c>
      <c r="Q65" s="51">
        <f t="shared" ca="1" si="24"/>
        <v>5.1887612728559365</v>
      </c>
      <c r="S65" s="42">
        <f t="shared" ca="1" si="31"/>
        <v>0.14069433347601568</v>
      </c>
      <c r="T65" s="42">
        <f t="shared" ca="1" si="31"/>
        <v>0</v>
      </c>
      <c r="U65" s="42">
        <f t="shared" ca="1" si="31"/>
        <v>1.4170290607760949</v>
      </c>
      <c r="V65" s="42">
        <f t="shared" ca="1" si="31"/>
        <v>0.20885156380272696</v>
      </c>
      <c r="W65" s="42">
        <f t="shared" ca="1" si="31"/>
        <v>0.31877573290406058</v>
      </c>
      <c r="X65" s="42">
        <f t="shared" ca="1" si="31"/>
        <v>4.6983376814382277E-2</v>
      </c>
      <c r="Y65" s="42">
        <f t="shared" ca="1" si="31"/>
        <v>0.63900674006564862</v>
      </c>
      <c r="Z65" s="42">
        <f t="shared" ca="1" si="31"/>
        <v>9.4181242034725651E-2</v>
      </c>
      <c r="AA65" s="42">
        <f t="shared" ca="1" si="31"/>
        <v>2.327348993752588</v>
      </c>
      <c r="AB65" s="42">
        <f t="shared" ca="1" si="25"/>
        <v>0</v>
      </c>
      <c r="AC65" s="51">
        <f t="shared" ca="1" si="26"/>
        <v>5.1928710436262424</v>
      </c>
    </row>
    <row r="66" spans="1:29" ht="12" customHeight="1" x14ac:dyDescent="0.25">
      <c r="A66" s="262"/>
      <c r="C66" s="263"/>
      <c r="D66" s="43">
        <f t="shared" si="27"/>
        <v>55</v>
      </c>
      <c r="E66" s="43">
        <f t="shared" si="22"/>
        <v>83.75</v>
      </c>
      <c r="G66" s="42">
        <f t="shared" ca="1" si="30"/>
        <v>1.3934339653518316E-3</v>
      </c>
      <c r="H66" s="42">
        <f t="shared" ca="1" si="30"/>
        <v>0</v>
      </c>
      <c r="I66" s="42">
        <f t="shared" ca="1" si="30"/>
        <v>1.4040268147302597</v>
      </c>
      <c r="J66" s="42">
        <f t="shared" ca="1" si="30"/>
        <v>0.20693520266745624</v>
      </c>
      <c r="K66" s="42">
        <f t="shared" ca="1" si="30"/>
        <v>0.31585073960124865</v>
      </c>
      <c r="L66" s="42">
        <f t="shared" ca="1" si="30"/>
        <v>4.6552271029529697E-2</v>
      </c>
      <c r="M66" s="42">
        <f t="shared" ca="1" si="30"/>
        <v>0.63314340028718974</v>
      </c>
      <c r="N66" s="42">
        <f t="shared" ca="1" si="30"/>
        <v>9.3317062381862936E-2</v>
      </c>
      <c r="O66" s="42">
        <f t="shared" ca="1" si="30"/>
        <v>2.4440038463467317</v>
      </c>
      <c r="P66" s="42">
        <f t="shared" ca="1" si="23"/>
        <v>0</v>
      </c>
      <c r="Q66" s="51">
        <f t="shared" ca="1" si="24"/>
        <v>5.1452227710096308</v>
      </c>
      <c r="S66" s="42">
        <f t="shared" ca="1" si="31"/>
        <v>0.13221989778456547</v>
      </c>
      <c r="T66" s="42">
        <f t="shared" ca="1" si="31"/>
        <v>0</v>
      </c>
      <c r="U66" s="42">
        <f t="shared" ca="1" si="31"/>
        <v>1.4051388775253029</v>
      </c>
      <c r="V66" s="42">
        <f t="shared" ca="1" si="31"/>
        <v>0.20709910618942381</v>
      </c>
      <c r="W66" s="42">
        <f t="shared" ca="1" si="31"/>
        <v>0.31610090993461581</v>
      </c>
      <c r="X66" s="42">
        <f t="shared" ca="1" si="31"/>
        <v>4.6589142867085494E-2</v>
      </c>
      <c r="Y66" s="42">
        <f t="shared" ca="1" si="31"/>
        <v>0.63364488303096633</v>
      </c>
      <c r="Z66" s="42">
        <f t="shared" ca="1" si="31"/>
        <v>9.3390974384204267E-2</v>
      </c>
      <c r="AA66" s="42">
        <f t="shared" ca="1" si="31"/>
        <v>2.3151142652893033</v>
      </c>
      <c r="AB66" s="42">
        <f t="shared" ca="1" si="25"/>
        <v>0</v>
      </c>
      <c r="AC66" s="51">
        <f t="shared" ca="1" si="26"/>
        <v>5.1492980570054678</v>
      </c>
    </row>
    <row r="67" spans="1:29" ht="12" customHeight="1" x14ac:dyDescent="0.25">
      <c r="A67" s="262"/>
      <c r="C67" s="263"/>
      <c r="D67" s="43">
        <f t="shared" si="27"/>
        <v>56</v>
      </c>
      <c r="E67" s="43">
        <f t="shared" si="22"/>
        <v>84</v>
      </c>
      <c r="G67" s="42">
        <f t="shared" ca="1" si="30"/>
        <v>1.30950331769949E-3</v>
      </c>
      <c r="H67" s="42">
        <f t="shared" ca="1" si="30"/>
        <v>0</v>
      </c>
      <c r="I67" s="42">
        <f t="shared" ca="1" si="30"/>
        <v>1.3922457323387489</v>
      </c>
      <c r="J67" s="42">
        <f t="shared" ca="1" si="30"/>
        <v>0.2051988250949256</v>
      </c>
      <c r="K67" s="42">
        <f t="shared" ca="1" si="30"/>
        <v>0.31320046002850649</v>
      </c>
      <c r="L67" s="42">
        <f t="shared" ca="1" si="30"/>
        <v>4.6161654458138801E-2</v>
      </c>
      <c r="M67" s="42">
        <f t="shared" ca="1" si="30"/>
        <v>0.62783074209137202</v>
      </c>
      <c r="N67" s="42">
        <f t="shared" ca="1" si="30"/>
        <v>9.2534045997189646E-2</v>
      </c>
      <c r="O67" s="42">
        <f t="shared" ca="1" si="30"/>
        <v>2.4235686340997611</v>
      </c>
      <c r="P67" s="42">
        <f t="shared" ca="1" si="23"/>
        <v>0</v>
      </c>
      <c r="Q67" s="51">
        <f t="shared" ca="1" si="24"/>
        <v>5.1020495974263422</v>
      </c>
      <c r="S67" s="42">
        <f t="shared" ca="1" si="31"/>
        <v>0.12425590241088949</v>
      </c>
      <c r="T67" s="42">
        <f t="shared" ca="1" si="31"/>
        <v>0</v>
      </c>
      <c r="U67" s="42">
        <f t="shared" ca="1" si="31"/>
        <v>1.3933484638993205</v>
      </c>
      <c r="V67" s="42">
        <f t="shared" ca="1" si="31"/>
        <v>0.20536135331488592</v>
      </c>
      <c r="W67" s="42">
        <f t="shared" ca="1" si="31"/>
        <v>0.31344853120160232</v>
      </c>
      <c r="X67" s="42">
        <f t="shared" ca="1" si="31"/>
        <v>4.6198216906905426E-2</v>
      </c>
      <c r="Y67" s="42">
        <f t="shared" ca="1" si="31"/>
        <v>0.62832801693152418</v>
      </c>
      <c r="Z67" s="42">
        <f t="shared" ca="1" si="31"/>
        <v>9.260733780953162E-2</v>
      </c>
      <c r="AA67" s="42">
        <f t="shared" ca="1" si="31"/>
        <v>2.3025428655321738</v>
      </c>
      <c r="AB67" s="42">
        <f t="shared" ca="1" si="25"/>
        <v>0</v>
      </c>
      <c r="AC67" s="51">
        <f t="shared" ca="1" si="26"/>
        <v>5.1060906880068329</v>
      </c>
    </row>
    <row r="68" spans="1:29" ht="12" customHeight="1" x14ac:dyDescent="0.25">
      <c r="A68" s="262"/>
      <c r="C68" s="263"/>
      <c r="D68" s="43">
        <f t="shared" si="27"/>
        <v>57</v>
      </c>
      <c r="E68" s="43">
        <f t="shared" si="22"/>
        <v>84.25</v>
      </c>
      <c r="G68" s="42">
        <f t="shared" ca="1" si="30"/>
        <v>1.2306280611101639E-3</v>
      </c>
      <c r="H68" s="42">
        <f t="shared" ca="1" si="30"/>
        <v>0</v>
      </c>
      <c r="I68" s="42">
        <f t="shared" ca="1" si="30"/>
        <v>1.3805635041150217</v>
      </c>
      <c r="J68" s="42">
        <f t="shared" ca="1" si="30"/>
        <v>0.20347701733475901</v>
      </c>
      <c r="K68" s="42">
        <f t="shared" ca="1" si="30"/>
        <v>0.31057241875041741</v>
      </c>
      <c r="L68" s="42">
        <f t="shared" ca="1" si="30"/>
        <v>4.5774315520738039E-2</v>
      </c>
      <c r="M68" s="42">
        <f t="shared" ca="1" si="30"/>
        <v>0.62256266200707333</v>
      </c>
      <c r="N68" s="42">
        <f t="shared" ca="1" si="30"/>
        <v>9.1757599843543952E-2</v>
      </c>
      <c r="O68" s="42">
        <f t="shared" ca="1" si="30"/>
        <v>2.4033005410316912</v>
      </c>
      <c r="P68" s="42">
        <f t="shared" ca="1" si="23"/>
        <v>0</v>
      </c>
      <c r="Q68" s="51">
        <f t="shared" ca="1" si="24"/>
        <v>5.0592386866643544</v>
      </c>
      <c r="S68" s="42">
        <f t="shared" ca="1" si="31"/>
        <v>0.11677160202544647</v>
      </c>
      <c r="T68" s="42">
        <f t="shared" ca="1" si="31"/>
        <v>0</v>
      </c>
      <c r="U68" s="42">
        <f t="shared" ca="1" si="31"/>
        <v>1.3816569827388012</v>
      </c>
      <c r="V68" s="42">
        <f t="shared" ca="1" si="31"/>
        <v>0.20363818179276677</v>
      </c>
      <c r="W68" s="42">
        <f t="shared" ca="1" si="31"/>
        <v>0.31081840837713648</v>
      </c>
      <c r="X68" s="42">
        <f t="shared" ca="1" si="31"/>
        <v>4.581057117677334E-2</v>
      </c>
      <c r="Y68" s="42">
        <f t="shared" ca="1" si="31"/>
        <v>0.62305576425180109</v>
      </c>
      <c r="Z68" s="42">
        <f t="shared" ca="1" si="31"/>
        <v>9.1830276669853772E-2</v>
      </c>
      <c r="AA68" s="42">
        <f t="shared" ca="1" si="31"/>
        <v>2.2896640817280556</v>
      </c>
      <c r="AB68" s="42">
        <f t="shared" ca="1" si="25"/>
        <v>0</v>
      </c>
      <c r="AC68" s="51">
        <f t="shared" ca="1" si="26"/>
        <v>5.0632458687606352</v>
      </c>
    </row>
    <row r="69" spans="1:29" ht="12" customHeight="1" x14ac:dyDescent="0.25">
      <c r="A69" s="262"/>
      <c r="C69" s="263"/>
      <c r="D69" s="43">
        <f t="shared" si="27"/>
        <v>58</v>
      </c>
      <c r="E69" s="43">
        <f t="shared" si="22"/>
        <v>84.5</v>
      </c>
      <c r="G69" s="42">
        <f t="shared" ca="1" si="30"/>
        <v>1.1565036944330232E-3</v>
      </c>
      <c r="H69" s="42">
        <f t="shared" ca="1" si="30"/>
        <v>0</v>
      </c>
      <c r="I69" s="42">
        <f t="shared" ca="1" si="30"/>
        <v>1.3689793005812618</v>
      </c>
      <c r="J69" s="42">
        <f t="shared" ca="1" si="30"/>
        <v>0.20176965713276729</v>
      </c>
      <c r="K69" s="42">
        <f t="shared" ca="1" si="30"/>
        <v>0.3079664291671399</v>
      </c>
      <c r="L69" s="42">
        <f t="shared" ca="1" si="30"/>
        <v>4.5390226714949508E-2</v>
      </c>
      <c r="M69" s="42">
        <f t="shared" ca="1" si="30"/>
        <v>0.61733878598274494</v>
      </c>
      <c r="N69" s="42">
        <f t="shared" ca="1" si="30"/>
        <v>9.0987668790616205E-2</v>
      </c>
      <c r="O69" s="42">
        <f t="shared" ca="1" si="30"/>
        <v>2.3831984269399316</v>
      </c>
      <c r="P69" s="42">
        <f t="shared" ca="1" si="23"/>
        <v>0</v>
      </c>
      <c r="Q69" s="51">
        <f t="shared" ca="1" si="24"/>
        <v>5.0167869990038447</v>
      </c>
      <c r="S69" s="42">
        <f t="shared" ca="1" si="31"/>
        <v>0.10973810318079716</v>
      </c>
      <c r="T69" s="42">
        <f t="shared" ca="1" si="31"/>
        <v>0</v>
      </c>
      <c r="U69" s="42">
        <f t="shared" ca="1" si="31"/>
        <v>1.3700636039089396</v>
      </c>
      <c r="V69" s="42">
        <f t="shared" ca="1" si="31"/>
        <v>0.2019294692720455</v>
      </c>
      <c r="W69" s="42">
        <f t="shared" ca="1" si="31"/>
        <v>0.30821035471357966</v>
      </c>
      <c r="X69" s="42">
        <f t="shared" ca="1" si="31"/>
        <v>4.5426178152527988E-2</v>
      </c>
      <c r="Y69" s="42">
        <f t="shared" ca="1" si="31"/>
        <v>0.61782775064397943</v>
      </c>
      <c r="Z69" s="42">
        <f t="shared" ca="1" si="31"/>
        <v>9.1059735791194973E-2</v>
      </c>
      <c r="AA69" s="42">
        <f t="shared" ca="1" si="31"/>
        <v>2.2765053614763637</v>
      </c>
      <c r="AB69" s="42">
        <f t="shared" ca="1" si="25"/>
        <v>0</v>
      </c>
      <c r="AC69" s="51">
        <f t="shared" ca="1" si="26"/>
        <v>5.020760557139428</v>
      </c>
    </row>
    <row r="70" spans="1:29" ht="12" customHeight="1" x14ac:dyDescent="0.25">
      <c r="A70" s="262"/>
      <c r="C70" s="263"/>
      <c r="D70" s="43">
        <f t="shared" si="27"/>
        <v>59</v>
      </c>
      <c r="E70" s="43">
        <f t="shared" si="22"/>
        <v>84.75</v>
      </c>
      <c r="G70" s="42">
        <f t="shared" ca="1" si="30"/>
        <v>1.086844057521861E-3</v>
      </c>
      <c r="H70" s="42">
        <f t="shared" ca="1" si="30"/>
        <v>0</v>
      </c>
      <c r="I70" s="42">
        <f t="shared" ca="1" si="30"/>
        <v>1.3574922992197391</v>
      </c>
      <c r="J70" s="42">
        <f t="shared" ca="1" si="30"/>
        <v>0.20007662326058684</v>
      </c>
      <c r="K70" s="42">
        <f t="shared" ca="1" si="30"/>
        <v>0.30538230624457707</v>
      </c>
      <c r="L70" s="42">
        <f t="shared" ca="1" si="30"/>
        <v>4.5009360769165632E-2</v>
      </c>
      <c r="M70" s="42">
        <f t="shared" ca="1" si="30"/>
        <v>0.61215874310547613</v>
      </c>
      <c r="N70" s="42">
        <f t="shared" ca="1" si="30"/>
        <v>9.0224198170690981E-2</v>
      </c>
      <c r="O70" s="42">
        <f t="shared" ca="1" si="30"/>
        <v>2.3632611454032832</v>
      </c>
      <c r="P70" s="42">
        <f t="shared" ca="1" si="23"/>
        <v>0</v>
      </c>
      <c r="Q70" s="51">
        <f t="shared" ca="1" si="24"/>
        <v>4.9746915202310404</v>
      </c>
      <c r="S70" s="42">
        <f t="shared" ca="1" si="31"/>
        <v>0.10312825276726988</v>
      </c>
      <c r="T70" s="42">
        <f t="shared" ca="1" si="31"/>
        <v>0</v>
      </c>
      <c r="U70" s="42">
        <f t="shared" ca="1" si="31"/>
        <v>1.3585675042405281</v>
      </c>
      <c r="V70" s="42">
        <f t="shared" ca="1" si="31"/>
        <v>0.2002350944283392</v>
      </c>
      <c r="W70" s="42">
        <f t="shared" ca="1" si="31"/>
        <v>0.30562418503027838</v>
      </c>
      <c r="X70" s="42">
        <f t="shared" ca="1" si="31"/>
        <v>4.5045010540961258E-2</v>
      </c>
      <c r="Y70" s="42">
        <f t="shared" ca="1" si="31"/>
        <v>0.61264360490136638</v>
      </c>
      <c r="Z70" s="42">
        <f t="shared" ca="1" si="31"/>
        <v>9.0295660462540103E-2</v>
      </c>
      <c r="AA70" s="42">
        <f t="shared" ca="1" si="31"/>
        <v>2.2630924241707473</v>
      </c>
      <c r="AB70" s="42">
        <f t="shared" ca="1" si="25"/>
        <v>0</v>
      </c>
      <c r="AC70" s="51">
        <f t="shared" ca="1" si="26"/>
        <v>4.9786317365420309</v>
      </c>
    </row>
    <row r="71" spans="1:29" ht="12" customHeight="1" x14ac:dyDescent="0.25">
      <c r="A71" s="262"/>
      <c r="C71" s="263"/>
      <c r="D71" s="43">
        <f t="shared" si="27"/>
        <v>60</v>
      </c>
      <c r="E71" s="43">
        <f t="shared" si="22"/>
        <v>85</v>
      </c>
      <c r="G71" s="42">
        <f t="shared" ref="G71:O80" ca="1" si="32">PRODUCT(AVERAGE(OFFSET(AB.Trace.MarkovQA.Root, $D71, (G$2-1)*AB.Trace.MarkovQA.NumCols+G$3-1, CHOOSE(swtchHalfCycle, 2, 1))), G$6)</f>
        <v>1.021380226502157E-3</v>
      </c>
      <c r="H71" s="42">
        <f t="shared" ca="1" si="32"/>
        <v>0</v>
      </c>
      <c r="I71" s="42">
        <f t="shared" ca="1" si="32"/>
        <v>1.3461016844144076</v>
      </c>
      <c r="J71" s="42">
        <f t="shared" ca="1" si="32"/>
        <v>0.19839779550707196</v>
      </c>
      <c r="K71" s="42">
        <f t="shared" ca="1" si="32"/>
        <v>0.30281986650123921</v>
      </c>
      <c r="L71" s="42">
        <f t="shared" ca="1" si="32"/>
        <v>4.4631690640612828E-2</v>
      </c>
      <c r="M71" s="42">
        <f t="shared" ca="1" si="32"/>
        <v>0.60702216557465838</v>
      </c>
      <c r="N71" s="42">
        <f t="shared" ca="1" si="32"/>
        <v>8.9467133774765534E-2</v>
      </c>
      <c r="O71" s="42">
        <f t="shared" ca="1" si="32"/>
        <v>2.3434875447849595</v>
      </c>
      <c r="P71" s="42">
        <f t="shared" ca="1" si="23"/>
        <v>0</v>
      </c>
      <c r="Q71" s="51">
        <f t="shared" ca="1" si="24"/>
        <v>4.9329492614242163</v>
      </c>
      <c r="S71" s="42">
        <f t="shared" ref="S71:AA80" ca="1" si="33">PRODUCT(AVERAGE(OFFSET(AB.Trace.MarkovQA.Root, $D71, (S$2-1)*AB.Trace.MarkovQA.NumCols+S$3-1, CHOOSE(swtchHalfCycle, 2, 1))), S$6)</f>
        <v>9.6916533187271087E-2</v>
      </c>
      <c r="T71" s="42">
        <f t="shared" ca="1" si="33"/>
        <v>0</v>
      </c>
      <c r="U71" s="42">
        <f t="shared" ca="1" si="33"/>
        <v>1.34716786747151</v>
      </c>
      <c r="V71" s="42">
        <f t="shared" ca="1" si="33"/>
        <v>0.19855493695528886</v>
      </c>
      <c r="W71" s="42">
        <f t="shared" ca="1" si="33"/>
        <v>0.30305971570041612</v>
      </c>
      <c r="X71" s="42">
        <f t="shared" ca="1" si="33"/>
        <v>4.4667041277880279E-2</v>
      </c>
      <c r="Y71" s="42">
        <f t="shared" ca="1" si="33"/>
        <v>0.60750295893203587</v>
      </c>
      <c r="Z71" s="42">
        <f t="shared" ca="1" si="33"/>
        <v>8.9537996431950054E-2</v>
      </c>
      <c r="AA71" s="42">
        <f t="shared" ca="1" si="33"/>
        <v>2.2494493657229784</v>
      </c>
      <c r="AB71" s="42">
        <f t="shared" ca="1" si="25"/>
        <v>0</v>
      </c>
      <c r="AC71" s="51">
        <f t="shared" ca="1" si="26"/>
        <v>4.9368564156793306</v>
      </c>
    </row>
    <row r="72" spans="1:29" ht="12" customHeight="1" x14ac:dyDescent="0.25">
      <c r="A72" s="262"/>
      <c r="C72" s="263"/>
      <c r="D72" s="43">
        <f t="shared" si="27"/>
        <v>61</v>
      </c>
      <c r="E72" s="43">
        <f t="shared" si="22"/>
        <v>85.25</v>
      </c>
      <c r="G72" s="42">
        <f t="shared" ca="1" si="32"/>
        <v>9.5985947557947063E-4</v>
      </c>
      <c r="H72" s="42">
        <f t="shared" ca="1" si="32"/>
        <v>0</v>
      </c>
      <c r="I72" s="42">
        <f t="shared" ca="1" si="32"/>
        <v>1.3348066473929929</v>
      </c>
      <c r="J72" s="42">
        <f t="shared" ca="1" si="32"/>
        <v>0.19673305466975971</v>
      </c>
      <c r="K72" s="42">
        <f t="shared" ca="1" si="32"/>
        <v>0.30027892799521588</v>
      </c>
      <c r="L72" s="42">
        <f t="shared" ca="1" si="32"/>
        <v>4.4257189513431369E-2</v>
      </c>
      <c r="M72" s="42">
        <f t="shared" ca="1" si="32"/>
        <v>0.60192868867586968</v>
      </c>
      <c r="N72" s="42">
        <f t="shared" ca="1" si="32"/>
        <v>8.8716421848700711E-2</v>
      </c>
      <c r="O72" s="42">
        <f t="shared" ca="1" si="32"/>
        <v>2.3238764691699085</v>
      </c>
      <c r="P72" s="42">
        <f t="shared" ca="1" si="23"/>
        <v>0</v>
      </c>
      <c r="Q72" s="51">
        <f t="shared" ca="1" si="24"/>
        <v>4.8915572587414582</v>
      </c>
      <c r="S72" s="42">
        <f t="shared" ca="1" si="33"/>
        <v>9.1078963843557334E-2</v>
      </c>
      <c r="T72" s="42">
        <f t="shared" ca="1" si="33"/>
        <v>0</v>
      </c>
      <c r="U72" s="42">
        <f t="shared" ca="1" si="33"/>
        <v>1.3358638841890205</v>
      </c>
      <c r="V72" s="42">
        <f t="shared" ca="1" si="33"/>
        <v>0.19688887755601672</v>
      </c>
      <c r="W72" s="42">
        <f t="shared" ca="1" si="33"/>
        <v>0.30051676463797478</v>
      </c>
      <c r="X72" s="42">
        <f t="shared" ca="1" si="33"/>
        <v>4.4292243526185764E-2</v>
      </c>
      <c r="Y72" s="42">
        <f t="shared" ca="1" si="33"/>
        <v>0.60240544773269322</v>
      </c>
      <c r="Z72" s="42">
        <f t="shared" ca="1" si="33"/>
        <v>8.8786689902709534E-2</v>
      </c>
      <c r="AA72" s="42">
        <f t="shared" ca="1" si="33"/>
        <v>2.2355987569737374</v>
      </c>
      <c r="AB72" s="42">
        <f t="shared" ca="1" si="25"/>
        <v>0</v>
      </c>
      <c r="AC72" s="51">
        <f t="shared" ca="1" si="26"/>
        <v>4.8954316283618944</v>
      </c>
    </row>
    <row r="73" spans="1:29" ht="12" customHeight="1" x14ac:dyDescent="0.25">
      <c r="A73" s="262"/>
      <c r="C73" s="263"/>
      <c r="D73" s="43">
        <f t="shared" si="27"/>
        <v>62</v>
      </c>
      <c r="E73" s="43">
        <f t="shared" si="22"/>
        <v>85.5</v>
      </c>
      <c r="G73" s="42">
        <f t="shared" ca="1" si="32"/>
        <v>9.0204430138118657E-4</v>
      </c>
      <c r="H73" s="42">
        <f t="shared" ca="1" si="32"/>
        <v>0</v>
      </c>
      <c r="I73" s="42">
        <f t="shared" ca="1" si="32"/>
        <v>1.3236063861695673</v>
      </c>
      <c r="J73" s="42">
        <f t="shared" ca="1" si="32"/>
        <v>0.19508228254640583</v>
      </c>
      <c r="K73" s="42">
        <f t="shared" ca="1" si="32"/>
        <v>0.29775931031125746</v>
      </c>
      <c r="L73" s="42">
        <f t="shared" ca="1" si="32"/>
        <v>4.3885830796771386E-2</v>
      </c>
      <c r="M73" s="42">
        <f t="shared" ca="1" si="32"/>
        <v>0.59687795075497985</v>
      </c>
      <c r="N73" s="42">
        <f t="shared" ca="1" si="32"/>
        <v>8.7972009089404252E-2</v>
      </c>
      <c r="O73" s="42">
        <f t="shared" ca="1" si="32"/>
        <v>2.3044267592404553</v>
      </c>
      <c r="P73" s="42">
        <f t="shared" ca="1" si="23"/>
        <v>0</v>
      </c>
      <c r="Q73" s="51">
        <f t="shared" ca="1" si="24"/>
        <v>4.8505125732102226</v>
      </c>
      <c r="S73" s="42">
        <f t="shared" ca="1" si="33"/>
        <v>8.5593008561159839E-2</v>
      </c>
      <c r="T73" s="42">
        <f t="shared" ca="1" si="33"/>
        <v>0</v>
      </c>
      <c r="U73" s="42">
        <f t="shared" ca="1" si="33"/>
        <v>1.3246547517719176</v>
      </c>
      <c r="V73" s="42">
        <f t="shared" ca="1" si="33"/>
        <v>0.19523679793465623</v>
      </c>
      <c r="W73" s="42">
        <f t="shared" ca="1" si="33"/>
        <v>0.29799515128480641</v>
      </c>
      <c r="X73" s="42">
        <f t="shared" ca="1" si="33"/>
        <v>4.3920590673966468E-2</v>
      </c>
      <c r="Y73" s="42">
        <f t="shared" ca="1" si="33"/>
        <v>0.5973507093627588</v>
      </c>
      <c r="Z73" s="42">
        <f t="shared" ca="1" si="33"/>
        <v>8.8041687529507501E-2</v>
      </c>
      <c r="AA73" s="42">
        <f t="shared" ca="1" si="33"/>
        <v>2.2215617361705911</v>
      </c>
      <c r="AB73" s="42">
        <f t="shared" ca="1" si="25"/>
        <v>0</v>
      </c>
      <c r="AC73" s="51">
        <f t="shared" ca="1" si="26"/>
        <v>4.8543544332893642</v>
      </c>
    </row>
    <row r="74" spans="1:29" ht="12" customHeight="1" x14ac:dyDescent="0.25">
      <c r="A74" s="262"/>
      <c r="C74" s="263"/>
      <c r="D74" s="43">
        <f t="shared" si="27"/>
        <v>63</v>
      </c>
      <c r="E74" s="43">
        <f t="shared" si="22"/>
        <v>85.75</v>
      </c>
      <c r="G74" s="42">
        <f t="shared" ca="1" si="32"/>
        <v>8.4771150606504037E-4</v>
      </c>
      <c r="H74" s="42">
        <f t="shared" ca="1" si="32"/>
        <v>0</v>
      </c>
      <c r="I74" s="42">
        <f t="shared" ca="1" si="32"/>
        <v>1.3125001054876066</v>
      </c>
      <c r="J74" s="42">
        <f t="shared" ca="1" si="32"/>
        <v>0.19344536192659223</v>
      </c>
      <c r="K74" s="42">
        <f t="shared" ca="1" si="32"/>
        <v>0.29526083454796492</v>
      </c>
      <c r="L74" s="42">
        <f t="shared" ca="1" si="32"/>
        <v>4.3517588122904786E-2</v>
      </c>
      <c r="M74" s="42">
        <f t="shared" ca="1" si="32"/>
        <v>0.59186959319247034</v>
      </c>
      <c r="N74" s="42">
        <f t="shared" ca="1" si="32"/>
        <v>8.7233842641046139E-2</v>
      </c>
      <c r="O74" s="42">
        <f t="shared" ca="1" si="32"/>
        <v>2.2851372530940153</v>
      </c>
      <c r="P74" s="42">
        <f t="shared" ca="1" si="23"/>
        <v>0</v>
      </c>
      <c r="Q74" s="51">
        <f t="shared" ca="1" si="24"/>
        <v>4.809812290518666</v>
      </c>
      <c r="S74" s="42">
        <f t="shared" ca="1" si="33"/>
        <v>8.0437488585560074E-2</v>
      </c>
      <c r="T74" s="42">
        <f t="shared" ca="1" si="33"/>
        <v>0</v>
      </c>
      <c r="U74" s="42">
        <f t="shared" ca="1" si="33"/>
        <v>1.3135396743337926</v>
      </c>
      <c r="V74" s="42">
        <f t="shared" ca="1" si="33"/>
        <v>0.19359858078795253</v>
      </c>
      <c r="W74" s="42">
        <f t="shared" ca="1" si="33"/>
        <v>0.29549469659781286</v>
      </c>
      <c r="X74" s="42">
        <f t="shared" ca="1" si="33"/>
        <v>4.3552056332609737E-2</v>
      </c>
      <c r="Y74" s="42">
        <f t="shared" ca="1" si="33"/>
        <v>0.59233838491866897</v>
      </c>
      <c r="Z74" s="42">
        <f t="shared" ca="1" si="33"/>
        <v>8.7302936414649313E-2</v>
      </c>
      <c r="AA74" s="42">
        <f t="shared" ca="1" si="33"/>
        <v>2.2073580958705579</v>
      </c>
      <c r="AB74" s="42">
        <f t="shared" ca="1" si="25"/>
        <v>0</v>
      </c>
      <c r="AC74" s="51">
        <f t="shared" ca="1" si="26"/>
        <v>4.8136219138416037</v>
      </c>
    </row>
    <row r="75" spans="1:29" ht="12" customHeight="1" x14ac:dyDescent="0.25">
      <c r="A75" s="262"/>
      <c r="C75" s="263"/>
      <c r="D75" s="43">
        <f t="shared" si="27"/>
        <v>64</v>
      </c>
      <c r="E75" s="43">
        <f t="shared" ref="E75:E106" si="34">A.cohortAge+D75*AB.cycleLength</f>
        <v>86</v>
      </c>
      <c r="G75" s="42">
        <f t="shared" ca="1" si="32"/>
        <v>7.9665133565472884E-4</v>
      </c>
      <c r="H75" s="42">
        <f t="shared" ca="1" si="32"/>
        <v>0</v>
      </c>
      <c r="I75" s="42">
        <f t="shared" ca="1" si="32"/>
        <v>1.3014870167635237</v>
      </c>
      <c r="J75" s="42">
        <f t="shared" ca="1" si="32"/>
        <v>0.19182217658340445</v>
      </c>
      <c r="K75" s="42">
        <f t="shared" ca="1" si="32"/>
        <v>0.29278332330508738</v>
      </c>
      <c r="L75" s="42">
        <f t="shared" ca="1" si="32"/>
        <v>4.3152435345353124E-2</v>
      </c>
      <c r="M75" s="42">
        <f t="shared" ca="1" si="32"/>
        <v>0.58690326037797202</v>
      </c>
      <c r="N75" s="42">
        <f t="shared" ca="1" si="32"/>
        <v>8.6501870091305569E-2</v>
      </c>
      <c r="O75" s="42">
        <f t="shared" ca="1" si="32"/>
        <v>2.2660067870064085</v>
      </c>
      <c r="P75" s="42">
        <f t="shared" ref="P75:P106" ca="1" si="35">AVERAGE(OFFSET(AB.Trace.MarkovQA.Root, $D75, (P$2-1)*AB.Trace.MarkovQA.NumCols+P$3-1))*INDEX(AB.rngC.ByState, P$3)</f>
        <v>0</v>
      </c>
      <c r="Q75" s="51">
        <f t="shared" ref="Q75:Q106" ca="1" si="36">SUM(G75:P75)</f>
        <v>4.7694535208087094</v>
      </c>
      <c r="S75" s="42">
        <f t="shared" ca="1" si="33"/>
        <v>7.5592500821242678E-2</v>
      </c>
      <c r="T75" s="42">
        <f t="shared" ca="1" si="33"/>
        <v>0</v>
      </c>
      <c r="U75" s="42">
        <f t="shared" ca="1" si="33"/>
        <v>1.302517862666458</v>
      </c>
      <c r="V75" s="42">
        <f t="shared" ca="1" si="33"/>
        <v>0.19197410979693327</v>
      </c>
      <c r="W75" s="42">
        <f t="shared" ca="1" si="33"/>
        <v>0.29301522303623267</v>
      </c>
      <c r="X75" s="42">
        <f t="shared" ca="1" si="33"/>
        <v>4.3186614334927688E-2</v>
      </c>
      <c r="Y75" s="42">
        <f t="shared" ca="1" si="33"/>
        <v>0.58736811850839254</v>
      </c>
      <c r="Z75" s="42">
        <f t="shared" ca="1" si="33"/>
        <v>8.6570384104300888E-2</v>
      </c>
      <c r="AA75" s="42">
        <f t="shared" ca="1" si="33"/>
        <v>2.1930063646031308</v>
      </c>
      <c r="AB75" s="42">
        <f t="shared" ref="AB75:AB106" ca="1" si="37">AVERAGE(OFFSET(AB.Trace.MarkovQA.Root, $D75, (AB$2-1)*AB.Trace.MarkovQA.NumCols+AB$3-1))*INDEX(AB.rngC.ByState, AB$3)</f>
        <v>0</v>
      </c>
      <c r="AC75" s="51">
        <f t="shared" ref="AC75:AC106" ca="1" si="38">SUM(S75:AB75)</f>
        <v>4.7732311778716188</v>
      </c>
    </row>
    <row r="76" spans="1:29" ht="12" customHeight="1" x14ac:dyDescent="0.25">
      <c r="A76" s="262"/>
      <c r="C76" s="263"/>
      <c r="D76" s="43">
        <f t="shared" ref="D76:D107" si="39">D75+1</f>
        <v>65</v>
      </c>
      <c r="E76" s="43">
        <f t="shared" si="34"/>
        <v>86.25</v>
      </c>
      <c r="G76" s="42">
        <f t="shared" ca="1" si="32"/>
        <v>7.4866667027611374E-4</v>
      </c>
      <c r="H76" s="42">
        <f t="shared" ca="1" si="32"/>
        <v>0</v>
      </c>
      <c r="I76" s="42">
        <f t="shared" ca="1" si="32"/>
        <v>1.290566338030676</v>
      </c>
      <c r="J76" s="42">
        <f t="shared" ca="1" si="32"/>
        <v>0.1902126112651793</v>
      </c>
      <c r="K76" s="42">
        <f t="shared" ca="1" si="32"/>
        <v>0.29032660067092586</v>
      </c>
      <c r="L76" s="42">
        <f t="shared" ca="1" si="32"/>
        <v>4.2790346537031031E-2</v>
      </c>
      <c r="M76" s="42">
        <f t="shared" ca="1" si="32"/>
        <v>0.58197859968501531</v>
      </c>
      <c r="N76" s="42">
        <f t="shared" ca="1" si="32"/>
        <v>8.5776039467649556E-2</v>
      </c>
      <c r="O76" s="42">
        <f t="shared" ca="1" si="32"/>
        <v>2.2470341961441052</v>
      </c>
      <c r="P76" s="42">
        <f t="shared" ca="1" si="35"/>
        <v>0</v>
      </c>
      <c r="Q76" s="51">
        <f t="shared" ca="1" si="36"/>
        <v>4.7294333984708583</v>
      </c>
      <c r="S76" s="42">
        <f t="shared" ca="1" si="33"/>
        <v>7.103934099498202E-2</v>
      </c>
      <c r="T76" s="42">
        <f t="shared" ca="1" si="33"/>
        <v>0</v>
      </c>
      <c r="U76" s="42">
        <f t="shared" ca="1" si="33"/>
        <v>1.2915885341839133</v>
      </c>
      <c r="V76" s="42">
        <f t="shared" ca="1" si="33"/>
        <v>0.19036326961865002</v>
      </c>
      <c r="W76" s="42">
        <f t="shared" ca="1" si="33"/>
        <v>0.29055655454903578</v>
      </c>
      <c r="X76" s="42">
        <f t="shared" ca="1" si="33"/>
        <v>4.2824238733299359E-2</v>
      </c>
      <c r="Y76" s="42">
        <f t="shared" ca="1" si="33"/>
        <v>0.58243955722616136</v>
      </c>
      <c r="Z76" s="42">
        <f t="shared" ca="1" si="33"/>
        <v>8.5843978584764238E-2</v>
      </c>
      <c r="AA76" s="42">
        <f t="shared" ca="1" si="33"/>
        <v>2.178523883609393</v>
      </c>
      <c r="AB76" s="42">
        <f t="shared" ca="1" si="37"/>
        <v>0</v>
      </c>
      <c r="AC76" s="51">
        <f t="shared" ca="1" si="38"/>
        <v>4.7331793575001999</v>
      </c>
    </row>
    <row r="77" spans="1:29" ht="12" customHeight="1" x14ac:dyDescent="0.25">
      <c r="A77" s="262"/>
      <c r="C77" s="263"/>
      <c r="D77" s="43">
        <f t="shared" si="39"/>
        <v>66</v>
      </c>
      <c r="E77" s="43">
        <f t="shared" si="34"/>
        <v>86.5</v>
      </c>
      <c r="G77" s="42">
        <f t="shared" ca="1" si="32"/>
        <v>7.0357226316789413E-4</v>
      </c>
      <c r="H77" s="42">
        <f t="shared" ca="1" si="32"/>
        <v>0</v>
      </c>
      <c r="I77" s="42">
        <f t="shared" ca="1" si="32"/>
        <v>1.2797372938838441</v>
      </c>
      <c r="J77" s="42">
        <f t="shared" ca="1" si="32"/>
        <v>0.18861655168732144</v>
      </c>
      <c r="K77" s="42">
        <f t="shared" ca="1" si="32"/>
        <v>0.28789049220984314</v>
      </c>
      <c r="L77" s="42">
        <f t="shared" ca="1" si="32"/>
        <v>4.2431295988405358E-2</v>
      </c>
      <c r="M77" s="42">
        <f t="shared" ca="1" si="32"/>
        <v>0.57709526144599288</v>
      </c>
      <c r="N77" s="42">
        <f t="shared" ca="1" si="32"/>
        <v>8.505629923364269E-2</v>
      </c>
      <c r="O77" s="42">
        <f t="shared" ca="1" si="32"/>
        <v>2.2282183152285095</v>
      </c>
      <c r="P77" s="42">
        <f t="shared" ca="1" si="35"/>
        <v>0</v>
      </c>
      <c r="Q77" s="51">
        <f t="shared" ca="1" si="36"/>
        <v>4.689749081940727</v>
      </c>
      <c r="S77" s="42">
        <f t="shared" ca="1" si="33"/>
        <v>6.6760431447231081E-2</v>
      </c>
      <c r="T77" s="42">
        <f t="shared" ca="1" si="33"/>
        <v>0</v>
      </c>
      <c r="U77" s="42">
        <f t="shared" ca="1" si="33"/>
        <v>1.2807509128667773</v>
      </c>
      <c r="V77" s="42">
        <f t="shared" ca="1" si="33"/>
        <v>0.18876594587798803</v>
      </c>
      <c r="W77" s="42">
        <f t="shared" ca="1" si="33"/>
        <v>0.28811851656242277</v>
      </c>
      <c r="X77" s="42">
        <f t="shared" ca="1" si="33"/>
        <v>4.2464903797828316E-2</v>
      </c>
      <c r="Y77" s="42">
        <f t="shared" ca="1" si="33"/>
        <v>0.57755235112741266</v>
      </c>
      <c r="Z77" s="42">
        <f t="shared" ca="1" si="33"/>
        <v>8.512366827878444E-2</v>
      </c>
      <c r="AA77" s="42">
        <f t="shared" ca="1" si="33"/>
        <v>2.1639268789538466</v>
      </c>
      <c r="AB77" s="42">
        <f t="shared" ca="1" si="37"/>
        <v>0</v>
      </c>
      <c r="AC77" s="51">
        <f t="shared" ca="1" si="38"/>
        <v>4.6934636089122908</v>
      </c>
    </row>
    <row r="78" spans="1:29" ht="12" customHeight="1" x14ac:dyDescent="0.25">
      <c r="A78" s="262"/>
      <c r="C78" s="263"/>
      <c r="D78" s="43">
        <f t="shared" si="39"/>
        <v>67</v>
      </c>
      <c r="E78" s="43">
        <f t="shared" si="34"/>
        <v>86.75</v>
      </c>
      <c r="G78" s="42">
        <f t="shared" ca="1" si="32"/>
        <v>6.6119402552891496E-4</v>
      </c>
      <c r="H78" s="42">
        <f t="shared" ca="1" si="32"/>
        <v>0</v>
      </c>
      <c r="I78" s="42">
        <f t="shared" ca="1" si="32"/>
        <v>1.2689991154241747</v>
      </c>
      <c r="J78" s="42">
        <f t="shared" ca="1" si="32"/>
        <v>0.18703388452418904</v>
      </c>
      <c r="K78" s="42">
        <f t="shared" ca="1" si="32"/>
        <v>0.28547482494987819</v>
      </c>
      <c r="L78" s="42">
        <f t="shared" ca="1" si="32"/>
        <v>4.2075258205669694E-2</v>
      </c>
      <c r="M78" s="42">
        <f t="shared" ca="1" si="32"/>
        <v>0.57225289892733122</v>
      </c>
      <c r="N78" s="42">
        <f t="shared" ca="1" si="32"/>
        <v>8.4342598285287909E-2</v>
      </c>
      <c r="O78" s="42">
        <f t="shared" ca="1" si="32"/>
        <v>2.2095579791552211</v>
      </c>
      <c r="P78" s="42">
        <f t="shared" ca="1" si="35"/>
        <v>0</v>
      </c>
      <c r="Q78" s="51">
        <f t="shared" ca="1" si="36"/>
        <v>4.6503977534972805</v>
      </c>
      <c r="S78" s="42">
        <f t="shared" ca="1" si="33"/>
        <v>6.2739253272848738E-2</v>
      </c>
      <c r="T78" s="42">
        <f t="shared" ca="1" si="33"/>
        <v>0</v>
      </c>
      <c r="U78" s="42">
        <f t="shared" ca="1" si="33"/>
        <v>1.2700042292071885</v>
      </c>
      <c r="V78" s="42">
        <f t="shared" ca="1" si="33"/>
        <v>0.1871820251595456</v>
      </c>
      <c r="W78" s="42">
        <f t="shared" ca="1" si="33"/>
        <v>0.28570093596742974</v>
      </c>
      <c r="X78" s="42">
        <f t="shared" ca="1" si="33"/>
        <v>4.2108584014515699E-2</v>
      </c>
      <c r="Y78" s="42">
        <f t="shared" ca="1" si="33"/>
        <v>0.57270615320394214</v>
      </c>
      <c r="Z78" s="42">
        <f t="shared" ca="1" si="33"/>
        <v>8.4409402041887377E-2</v>
      </c>
      <c r="AA78" s="42">
        <f t="shared" ca="1" si="33"/>
        <v>2.1492305292877218</v>
      </c>
      <c r="AB78" s="42">
        <f t="shared" ca="1" si="37"/>
        <v>0</v>
      </c>
      <c r="AC78" s="51">
        <f t="shared" ca="1" si="38"/>
        <v>4.6540811121550796</v>
      </c>
    </row>
    <row r="79" spans="1:29" ht="12" customHeight="1" x14ac:dyDescent="0.25">
      <c r="A79" s="262"/>
      <c r="C79" s="263"/>
      <c r="D79" s="43">
        <f t="shared" si="39"/>
        <v>68</v>
      </c>
      <c r="E79" s="43">
        <f t="shared" si="34"/>
        <v>87</v>
      </c>
      <c r="G79" s="42">
        <f t="shared" ca="1" si="32"/>
        <v>6.2136835444123728E-4</v>
      </c>
      <c r="H79" s="42">
        <f t="shared" ca="1" si="32"/>
        <v>0</v>
      </c>
      <c r="I79" s="42">
        <f t="shared" ca="1" si="32"/>
        <v>1.2583510402045865</v>
      </c>
      <c r="J79" s="42">
        <f t="shared" ca="1" si="32"/>
        <v>0.18546449740104698</v>
      </c>
      <c r="K79" s="42">
        <f t="shared" ca="1" si="32"/>
        <v>0.2830794273704646</v>
      </c>
      <c r="L79" s="42">
        <f t="shared" ca="1" si="32"/>
        <v>4.1722207908934203E-2</v>
      </c>
      <c r="M79" s="42">
        <f t="shared" ca="1" si="32"/>
        <v>0.5674511683048723</v>
      </c>
      <c r="N79" s="42">
        <f t="shared" ca="1" si="32"/>
        <v>8.3634885947397861E-2</v>
      </c>
      <c r="O79" s="42">
        <f t="shared" ca="1" si="32"/>
        <v>2.1910520235710256</v>
      </c>
      <c r="P79" s="42">
        <f t="shared" ca="1" si="35"/>
        <v>0</v>
      </c>
      <c r="Q79" s="51">
        <f t="shared" ca="1" si="36"/>
        <v>4.611376619062769</v>
      </c>
      <c r="S79" s="42">
        <f t="shared" ca="1" si="33"/>
        <v>5.8960282549191279E-2</v>
      </c>
      <c r="T79" s="42">
        <f t="shared" ca="1" si="33"/>
        <v>0</v>
      </c>
      <c r="U79" s="42">
        <f t="shared" ca="1" si="33"/>
        <v>1.2593477201541678</v>
      </c>
      <c r="V79" s="42">
        <f t="shared" ca="1" si="33"/>
        <v>0.18561139499958093</v>
      </c>
      <c r="W79" s="42">
        <f t="shared" ca="1" si="33"/>
        <v>0.28330364110763695</v>
      </c>
      <c r="X79" s="42">
        <f t="shared" ca="1" si="33"/>
        <v>4.1755254083448698E-2</v>
      </c>
      <c r="Y79" s="42">
        <f t="shared" ca="1" si="33"/>
        <v>0.56790061935926484</v>
      </c>
      <c r="Z79" s="42">
        <f t="shared" ca="1" si="33"/>
        <v>8.3701129158748264E-2</v>
      </c>
      <c r="AA79" s="42">
        <f t="shared" ca="1" si="33"/>
        <v>2.1344490295257179</v>
      </c>
      <c r="AB79" s="42">
        <f t="shared" ca="1" si="37"/>
        <v>0</v>
      </c>
      <c r="AC79" s="51">
        <f t="shared" ca="1" si="38"/>
        <v>4.6150290709377568</v>
      </c>
    </row>
    <row r="80" spans="1:29" ht="12" customHeight="1" x14ac:dyDescent="0.25">
      <c r="A80" s="262"/>
      <c r="C80" s="263"/>
      <c r="D80" s="43">
        <f t="shared" si="39"/>
        <v>69</v>
      </c>
      <c r="E80" s="43">
        <f t="shared" si="34"/>
        <v>87.25</v>
      </c>
      <c r="G80" s="42">
        <f t="shared" ca="1" si="32"/>
        <v>5.8394150127438857E-4</v>
      </c>
      <c r="H80" s="42">
        <f t="shared" ca="1" si="32"/>
        <v>0</v>
      </c>
      <c r="I80" s="42">
        <f t="shared" ca="1" si="32"/>
        <v>1.247792312175634</v>
      </c>
      <c r="J80" s="42">
        <f t="shared" ca="1" si="32"/>
        <v>0.18390827888608816</v>
      </c>
      <c r="K80" s="42">
        <f t="shared" ca="1" si="32"/>
        <v>0.28070412939025197</v>
      </c>
      <c r="L80" s="42">
        <f t="shared" ca="1" si="32"/>
        <v>4.137212003043074E-2</v>
      </c>
      <c r="M80" s="42">
        <f t="shared" ca="1" si="32"/>
        <v>0.56268972863946032</v>
      </c>
      <c r="N80" s="42">
        <f t="shared" ca="1" si="32"/>
        <v>8.2933111969996864E-2</v>
      </c>
      <c r="O80" s="42">
        <f t="shared" ca="1" si="32"/>
        <v>2.1726992854112002</v>
      </c>
      <c r="P80" s="42">
        <f t="shared" ca="1" si="35"/>
        <v>0</v>
      </c>
      <c r="Q80" s="51">
        <f t="shared" ca="1" si="36"/>
        <v>4.572682908004337</v>
      </c>
      <c r="S80" s="42">
        <f t="shared" ca="1" si="33"/>
        <v>5.5408930405374979E-2</v>
      </c>
      <c r="T80" s="42">
        <f t="shared" ca="1" si="33"/>
        <v>0</v>
      </c>
      <c r="U80" s="42">
        <f t="shared" ca="1" si="33"/>
        <v>1.2487806290594385</v>
      </c>
      <c r="V80" s="42">
        <f t="shared" ca="1" si="33"/>
        <v>0.18405394387802712</v>
      </c>
      <c r="W80" s="42">
        <f t="shared" ca="1" si="33"/>
        <v>0.28092646176698083</v>
      </c>
      <c r="X80" s="42">
        <f t="shared" ca="1" si="33"/>
        <v>4.1404888917004154E-2</v>
      </c>
      <c r="Y80" s="42">
        <f t="shared" ca="1" si="33"/>
        <v>0.56313540838418319</v>
      </c>
      <c r="Z80" s="42">
        <f t="shared" ca="1" si="33"/>
        <v>8.2998799339590826E-2</v>
      </c>
      <c r="AA80" s="42">
        <f t="shared" ca="1" si="33"/>
        <v>2.1195956506823803</v>
      </c>
      <c r="AB80" s="42">
        <f t="shared" ca="1" si="37"/>
        <v>0</v>
      </c>
      <c r="AC80" s="51">
        <f t="shared" ca="1" si="38"/>
        <v>4.5763047124329805</v>
      </c>
    </row>
    <row r="81" spans="1:29" ht="12" customHeight="1" x14ac:dyDescent="0.25">
      <c r="A81" s="262"/>
      <c r="C81" s="263"/>
      <c r="D81" s="43">
        <f t="shared" si="39"/>
        <v>70</v>
      </c>
      <c r="E81" s="43">
        <f t="shared" si="34"/>
        <v>87.5</v>
      </c>
      <c r="G81" s="42">
        <f t="shared" ref="G81:O90" ca="1" si="40">PRODUCT(AVERAGE(OFFSET(AB.Trace.MarkovQA.Root, $D81, (G$2-1)*AB.Trace.MarkovQA.NumCols+G$3-1, CHOOSE(swtchHalfCycle, 2, 1))), G$6)</f>
        <v>5.4876897813249334E-4</v>
      </c>
      <c r="H81" s="42">
        <f t="shared" ca="1" si="40"/>
        <v>0</v>
      </c>
      <c r="I81" s="42">
        <f t="shared" ca="1" si="40"/>
        <v>1.2373221816318245</v>
      </c>
      <c r="J81" s="42">
        <f t="shared" ca="1" si="40"/>
        <v>0.18236511848252121</v>
      </c>
      <c r="K81" s="42">
        <f t="shared" ca="1" si="40"/>
        <v>0.27834876235502964</v>
      </c>
      <c r="L81" s="42">
        <f t="shared" ca="1" si="40"/>
        <v>4.1024969712732846E-2</v>
      </c>
      <c r="M81" s="42">
        <f t="shared" ca="1" si="40"/>
        <v>0.55796824185273397</v>
      </c>
      <c r="N81" s="42">
        <f t="shared" ca="1" si="40"/>
        <v>8.2237226524752974E-2</v>
      </c>
      <c r="O81" s="42">
        <f t="shared" ca="1" si="40"/>
        <v>2.154498603399567</v>
      </c>
      <c r="P81" s="42">
        <f t="shared" ca="1" si="35"/>
        <v>0</v>
      </c>
      <c r="Q81" s="51">
        <f t="shared" ca="1" si="36"/>
        <v>4.5343138729372949</v>
      </c>
      <c r="S81" s="42">
        <f t="shared" ref="S81:AA90" ca="1" si="41">PRODUCT(AVERAGE(OFFSET(AB.Trace.MarkovQA.Root, $D81, (S$2-1)*AB.Trace.MarkovQA.NumCols+S$3-1, CHOOSE(swtchHalfCycle, 2, 1))), S$6)</f>
        <v>5.2071486701343823E-2</v>
      </c>
      <c r="T81" s="42">
        <f t="shared" ca="1" si="41"/>
        <v>0</v>
      </c>
      <c r="U81" s="42">
        <f t="shared" ca="1" si="41"/>
        <v>1.2383022056237023</v>
      </c>
      <c r="V81" s="42">
        <f t="shared" ca="1" si="41"/>
        <v>0.18250956121057349</v>
      </c>
      <c r="W81" s="42">
        <f t="shared" ca="1" si="41"/>
        <v>0.27856922915766757</v>
      </c>
      <c r="X81" s="42">
        <f t="shared" ca="1" si="41"/>
        <v>4.1057463638067233E-2</v>
      </c>
      <c r="Y81" s="42">
        <f t="shared" ca="1" si="41"/>
        <v>0.55841018193256053</v>
      </c>
      <c r="Z81" s="42">
        <f t="shared" ca="1" si="41"/>
        <v>8.2302362716616478E-2</v>
      </c>
      <c r="AA81" s="42">
        <f t="shared" ca="1" si="41"/>
        <v>2.1046827960994583</v>
      </c>
      <c r="AB81" s="42">
        <f t="shared" ca="1" si="37"/>
        <v>0</v>
      </c>
      <c r="AC81" s="51">
        <f t="shared" ca="1" si="38"/>
        <v>4.5379052870799903</v>
      </c>
    </row>
    <row r="82" spans="1:29" ht="12" customHeight="1" x14ac:dyDescent="0.25">
      <c r="A82" s="262"/>
      <c r="C82" s="263"/>
      <c r="D82" s="43">
        <f t="shared" si="39"/>
        <v>71</v>
      </c>
      <c r="E82" s="43">
        <f t="shared" si="34"/>
        <v>87.75</v>
      </c>
      <c r="G82" s="42">
        <f t="shared" ca="1" si="40"/>
        <v>5.1571500005284719E-4</v>
      </c>
      <c r="H82" s="42">
        <f t="shared" ca="1" si="40"/>
        <v>0</v>
      </c>
      <c r="I82" s="42">
        <f t="shared" ca="1" si="40"/>
        <v>1.2269399051583878</v>
      </c>
      <c r="J82" s="42">
        <f t="shared" ca="1" si="40"/>
        <v>0.18083490662072504</v>
      </c>
      <c r="K82" s="42">
        <f t="shared" ca="1" si="40"/>
        <v>0.27601315902575163</v>
      </c>
      <c r="L82" s="42">
        <f t="shared" ca="1" si="40"/>
        <v>4.0680732306990854E-2</v>
      </c>
      <c r="M82" s="42">
        <f t="shared" ca="1" si="40"/>
        <v>0.55328637270312209</v>
      </c>
      <c r="N82" s="42">
        <f t="shared" ca="1" si="40"/>
        <v>8.154718020144E-2</v>
      </c>
      <c r="O82" s="42">
        <f t="shared" ca="1" si="40"/>
        <v>2.1364488185135846</v>
      </c>
      <c r="P82" s="42">
        <f t="shared" ca="1" si="35"/>
        <v>0</v>
      </c>
      <c r="Q82" s="51">
        <f t="shared" ca="1" si="36"/>
        <v>4.496266789530055</v>
      </c>
      <c r="S82" s="42">
        <f t="shared" ca="1" si="41"/>
        <v>4.8935067099313681E-2</v>
      </c>
      <c r="T82" s="42">
        <f t="shared" ca="1" si="41"/>
        <v>0</v>
      </c>
      <c r="U82" s="42">
        <f t="shared" ca="1" si="41"/>
        <v>1.2279117058433651</v>
      </c>
      <c r="V82" s="42">
        <f t="shared" ca="1" si="41"/>
        <v>0.18097813734081403</v>
      </c>
      <c r="W82" s="42">
        <f t="shared" ca="1" si="41"/>
        <v>0.2762317759081892</v>
      </c>
      <c r="X82" s="42">
        <f t="shared" ca="1" si="41"/>
        <v>4.0712953578265106E-2</v>
      </c>
      <c r="Y82" s="42">
        <f t="shared" ca="1" si="41"/>
        <v>0.55372460449729632</v>
      </c>
      <c r="Z82" s="42">
        <f t="shared" ca="1" si="41"/>
        <v>8.1611769840463505E-2</v>
      </c>
      <c r="AA82" s="42">
        <f t="shared" ca="1" si="41"/>
        <v>2.0897220542816757</v>
      </c>
      <c r="AB82" s="42">
        <f t="shared" ca="1" si="37"/>
        <v>0</v>
      </c>
      <c r="AC82" s="51">
        <f t="shared" ca="1" si="38"/>
        <v>4.4998280683893821</v>
      </c>
    </row>
    <row r="83" spans="1:29" ht="12" customHeight="1" x14ac:dyDescent="0.25">
      <c r="A83" s="262"/>
      <c r="C83" s="263"/>
      <c r="D83" s="43">
        <f t="shared" si="39"/>
        <v>72</v>
      </c>
      <c r="E83" s="43">
        <f t="shared" si="34"/>
        <v>88</v>
      </c>
      <c r="G83" s="42">
        <f t="shared" ca="1" si="40"/>
        <v>4.8465196080252012E-4</v>
      </c>
      <c r="H83" s="42">
        <f t="shared" ca="1" si="40"/>
        <v>0</v>
      </c>
      <c r="I83" s="42">
        <f t="shared" ca="1" si="40"/>
        <v>1.2166447455784906</v>
      </c>
      <c r="J83" s="42">
        <f t="shared" ca="1" si="40"/>
        <v>0.17931753465046876</v>
      </c>
      <c r="K83" s="42">
        <f t="shared" ca="1" si="40"/>
        <v>0.27369715356666202</v>
      </c>
      <c r="L83" s="42">
        <f t="shared" ca="1" si="40"/>
        <v>4.0339383371181731E-2</v>
      </c>
      <c r="M83" s="42">
        <f t="shared" ca="1" si="40"/>
        <v>0.54864378876203979</v>
      </c>
      <c r="N83" s="42">
        <f t="shared" ca="1" si="40"/>
        <v>8.0862924004429182E-2</v>
      </c>
      <c r="O83" s="42">
        <f t="shared" ca="1" si="40"/>
        <v>2.11854877441661</v>
      </c>
      <c r="P83" s="42">
        <f t="shared" ca="1" si="35"/>
        <v>0</v>
      </c>
      <c r="Q83" s="51">
        <f t="shared" ca="1" si="36"/>
        <v>4.4585389563106848</v>
      </c>
      <c r="S83" s="42">
        <f t="shared" ca="1" si="41"/>
        <v>4.5987563323259845E-2</v>
      </c>
      <c r="T83" s="42">
        <f t="shared" ca="1" si="41"/>
        <v>0</v>
      </c>
      <c r="U83" s="42">
        <f t="shared" ca="1" si="41"/>
        <v>1.217608391957711</v>
      </c>
      <c r="V83" s="42">
        <f t="shared" ca="1" si="41"/>
        <v>0.17945956353246134</v>
      </c>
      <c r="W83" s="42">
        <f t="shared" ca="1" si="41"/>
        <v>0.2739139360514391</v>
      </c>
      <c r="X83" s="42">
        <f t="shared" ca="1" si="41"/>
        <v>4.0371334276215358E-2</v>
      </c>
      <c r="Y83" s="42">
        <f t="shared" ca="1" si="41"/>
        <v>0.54907834338650507</v>
      </c>
      <c r="Z83" s="42">
        <f t="shared" ca="1" si="41"/>
        <v>8.0926971676696088E-2</v>
      </c>
      <c r="AA83" s="42">
        <f t="shared" ca="1" si="41"/>
        <v>2.0747242485452317</v>
      </c>
      <c r="AB83" s="42">
        <f t="shared" ca="1" si="37"/>
        <v>0</v>
      </c>
      <c r="AC83" s="51">
        <f t="shared" ca="1" si="38"/>
        <v>4.4620703527495191</v>
      </c>
    </row>
    <row r="84" spans="1:29" ht="12" customHeight="1" x14ac:dyDescent="0.25">
      <c r="A84" s="262"/>
      <c r="C84" s="263"/>
      <c r="D84" s="43">
        <f t="shared" si="39"/>
        <v>73</v>
      </c>
      <c r="E84" s="43">
        <f t="shared" si="34"/>
        <v>88.25</v>
      </c>
      <c r="G84" s="42">
        <f t="shared" ca="1" si="40"/>
        <v>4.5545994024928058E-4</v>
      </c>
      <c r="H84" s="42">
        <f t="shared" ca="1" si="40"/>
        <v>0</v>
      </c>
      <c r="I84" s="42">
        <f t="shared" ca="1" si="40"/>
        <v>1.2064359719008932</v>
      </c>
      <c r="J84" s="42">
        <f t="shared" ca="1" si="40"/>
        <v>0.17781289483319745</v>
      </c>
      <c r="K84" s="42">
        <f t="shared" ca="1" si="40"/>
        <v>0.27140058153352009</v>
      </c>
      <c r="L84" s="42">
        <f t="shared" ca="1" si="40"/>
        <v>4.00008986683736E-2</v>
      </c>
      <c r="M84" s="42">
        <f t="shared" ca="1" si="40"/>
        <v>0.54404016039028558</v>
      </c>
      <c r="N84" s="42">
        <f t="shared" ca="1" si="40"/>
        <v>8.0184409349210395E-2</v>
      </c>
      <c r="O84" s="42">
        <f t="shared" ca="1" si="40"/>
        <v>2.10079731785937</v>
      </c>
      <c r="P84" s="42">
        <f t="shared" ca="1" si="35"/>
        <v>0</v>
      </c>
      <c r="Q84" s="51">
        <f t="shared" ca="1" si="36"/>
        <v>4.4211276944750999</v>
      </c>
      <c r="S84" s="42">
        <f t="shared" ca="1" si="41"/>
        <v>4.3217596414422722E-2</v>
      </c>
      <c r="T84" s="42">
        <f t="shared" ca="1" si="41"/>
        <v>0</v>
      </c>
      <c r="U84" s="42">
        <f t="shared" ca="1" si="41"/>
        <v>1.2073915323965179</v>
      </c>
      <c r="V84" s="42">
        <f t="shared" ca="1" si="41"/>
        <v>0.17795373196162584</v>
      </c>
      <c r="W84" s="42">
        <f t="shared" ca="1" si="41"/>
        <v>0.27161554501292823</v>
      </c>
      <c r="X84" s="42">
        <f t="shared" ca="1" si="41"/>
        <v>4.0032581475789177E-2</v>
      </c>
      <c r="Y84" s="42">
        <f t="shared" ca="1" si="41"/>
        <v>0.54447106869989348</v>
      </c>
      <c r="Z84" s="42">
        <f t="shared" ca="1" si="41"/>
        <v>8.0247919602322595E-2</v>
      </c>
      <c r="AA84" s="42">
        <f t="shared" ca="1" si="41"/>
        <v>2.0596994836710638</v>
      </c>
      <c r="AB84" s="42">
        <f t="shared" ca="1" si="37"/>
        <v>0</v>
      </c>
      <c r="AC84" s="51">
        <f t="shared" ca="1" si="38"/>
        <v>4.4246294592345636</v>
      </c>
    </row>
    <row r="85" spans="1:29" ht="12" customHeight="1" x14ac:dyDescent="0.25">
      <c r="A85" s="262"/>
      <c r="C85" s="263"/>
      <c r="D85" s="43">
        <f t="shared" si="39"/>
        <v>74</v>
      </c>
      <c r="E85" s="43">
        <f t="shared" si="34"/>
        <v>88.5</v>
      </c>
      <c r="G85" s="42">
        <f t="shared" ca="1" si="40"/>
        <v>4.2802624140502506E-4</v>
      </c>
      <c r="H85" s="42">
        <f t="shared" ca="1" si="40"/>
        <v>0</v>
      </c>
      <c r="I85" s="42">
        <f t="shared" ca="1" si="40"/>
        <v>1.1963128592680499</v>
      </c>
      <c r="J85" s="42">
        <f t="shared" ca="1" si="40"/>
        <v>0.17632088033438223</v>
      </c>
      <c r="K85" s="42">
        <f t="shared" ca="1" si="40"/>
        <v>0.26912327986192447</v>
      </c>
      <c r="L85" s="42">
        <f t="shared" ca="1" si="40"/>
        <v>3.9665254165004819E-2</v>
      </c>
      <c r="M85" s="42">
        <f t="shared" ca="1" si="40"/>
        <v>0.53947516071463475</v>
      </c>
      <c r="N85" s="42">
        <f t="shared" ca="1" si="40"/>
        <v>7.9511588058942415E-2</v>
      </c>
      <c r="O85" s="42">
        <f t="shared" ca="1" si="40"/>
        <v>2.083193299052513</v>
      </c>
      <c r="P85" s="42">
        <f t="shared" ca="1" si="35"/>
        <v>0</v>
      </c>
      <c r="Q85" s="51">
        <f t="shared" ca="1" si="36"/>
        <v>4.3840303476968572</v>
      </c>
      <c r="S85" s="42">
        <f t="shared" ca="1" si="41"/>
        <v>4.0614472802372591E-2</v>
      </c>
      <c r="T85" s="42">
        <f t="shared" ca="1" si="41"/>
        <v>0</v>
      </c>
      <c r="U85" s="42">
        <f t="shared" ca="1" si="41"/>
        <v>1.1972604017281134</v>
      </c>
      <c r="V85" s="42">
        <f t="shared" ca="1" si="41"/>
        <v>0.17646053570916001</v>
      </c>
      <c r="W85" s="42">
        <f t="shared" ca="1" si="41"/>
        <v>0.26933643959909953</v>
      </c>
      <c r="X85" s="42">
        <f t="shared" ca="1" si="41"/>
        <v>3.9696671124389134E-2</v>
      </c>
      <c r="Y85" s="42">
        <f t="shared" ca="1" si="41"/>
        <v>0.5399024533053367</v>
      </c>
      <c r="Z85" s="42">
        <f t="shared" ca="1" si="41"/>
        <v>7.9574565402343214E-2</v>
      </c>
      <c r="AA85" s="42">
        <f t="shared" ca="1" si="41"/>
        <v>2.0446571897433055</v>
      </c>
      <c r="AB85" s="42">
        <f t="shared" ca="1" si="37"/>
        <v>0</v>
      </c>
      <c r="AC85" s="51">
        <f t="shared" ca="1" si="38"/>
        <v>4.3875027294141198</v>
      </c>
    </row>
    <row r="86" spans="1:29" ht="12" customHeight="1" x14ac:dyDescent="0.25">
      <c r="A86" s="262"/>
      <c r="C86" s="263"/>
      <c r="D86" s="43">
        <f t="shared" si="39"/>
        <v>75</v>
      </c>
      <c r="E86" s="43">
        <f t="shared" si="34"/>
        <v>88.75</v>
      </c>
      <c r="G86" s="42">
        <f t="shared" ca="1" si="40"/>
        <v>4.0224495535445105E-4</v>
      </c>
      <c r="H86" s="42">
        <f t="shared" ca="1" si="40"/>
        <v>0</v>
      </c>
      <c r="I86" s="42">
        <f t="shared" ca="1" si="40"/>
        <v>1.1862746889046381</v>
      </c>
      <c r="J86" s="42">
        <f t="shared" ca="1" si="40"/>
        <v>0.17484138521593451</v>
      </c>
      <c r="K86" s="42">
        <f t="shared" ca="1" si="40"/>
        <v>0.26686508685573457</v>
      </c>
      <c r="L86" s="42">
        <f t="shared" ca="1" si="40"/>
        <v>3.9332426029177574E-2</v>
      </c>
      <c r="M86" s="42">
        <f t="shared" ca="1" si="40"/>
        <v>0.53494846560463161</v>
      </c>
      <c r="N86" s="42">
        <f t="shared" ca="1" si="40"/>
        <v>7.8844412361032234E-2</v>
      </c>
      <c r="O86" s="42">
        <f t="shared" ca="1" si="40"/>
        <v>2.0657355720120414</v>
      </c>
      <c r="P86" s="42">
        <f t="shared" ca="1" si="35"/>
        <v>0</v>
      </c>
      <c r="Q86" s="51">
        <f t="shared" ca="1" si="36"/>
        <v>4.3472442819385444</v>
      </c>
      <c r="S86" s="42">
        <f t="shared" ca="1" si="41"/>
        <v>3.8168143022043993E-2</v>
      </c>
      <c r="T86" s="42">
        <f t="shared" ca="1" si="41"/>
        <v>0</v>
      </c>
      <c r="U86" s="42">
        <f t="shared" ca="1" si="41"/>
        <v>1.1872142806078683</v>
      </c>
      <c r="V86" s="42">
        <f t="shared" ca="1" si="41"/>
        <v>0.17497986875306695</v>
      </c>
      <c r="W86" s="42">
        <f t="shared" ca="1" si="41"/>
        <v>0.2670764579857407</v>
      </c>
      <c r="X86" s="42">
        <f t="shared" ca="1" si="41"/>
        <v>3.9363579371241256E-2</v>
      </c>
      <c r="Y86" s="42">
        <f t="shared" ca="1" si="41"/>
        <v>0.5353721728156503</v>
      </c>
      <c r="Z86" s="42">
        <f t="shared" ca="1" si="41"/>
        <v>7.8906861266326581E-2</v>
      </c>
      <c r="AA86" s="42">
        <f t="shared" ca="1" si="41"/>
        <v>2.0296061633425468</v>
      </c>
      <c r="AB86" s="42">
        <f t="shared" ca="1" si="37"/>
        <v>0</v>
      </c>
      <c r="AC86" s="51">
        <f t="shared" ca="1" si="38"/>
        <v>4.3506875271644851</v>
      </c>
    </row>
    <row r="87" spans="1:29" ht="12" customHeight="1" x14ac:dyDescent="0.25">
      <c r="A87" s="262"/>
      <c r="C87" s="263"/>
      <c r="D87" s="43">
        <f t="shared" si="39"/>
        <v>76</v>
      </c>
      <c r="E87" s="43">
        <f t="shared" si="34"/>
        <v>89</v>
      </c>
      <c r="G87" s="42">
        <f t="shared" ca="1" si="40"/>
        <v>3.7801655238936191E-4</v>
      </c>
      <c r="H87" s="42">
        <f t="shared" ca="1" si="40"/>
        <v>0</v>
      </c>
      <c r="I87" s="42">
        <f t="shared" ca="1" si="40"/>
        <v>1.176320748066525</v>
      </c>
      <c r="J87" s="42">
        <f t="shared" ca="1" si="40"/>
        <v>0.17337430442868437</v>
      </c>
      <c r="K87" s="42">
        <f t="shared" ca="1" si="40"/>
        <v>0.26462584217558999</v>
      </c>
      <c r="L87" s="42">
        <f t="shared" ca="1" si="40"/>
        <v>3.9002390628965669E-2</v>
      </c>
      <c r="M87" s="42">
        <f t="shared" ca="1" si="40"/>
        <v>0.53045975364957454</v>
      </c>
      <c r="N87" s="42">
        <f t="shared" ca="1" si="40"/>
        <v>7.8182834883743085E-2</v>
      </c>
      <c r="O87" s="42">
        <f t="shared" ca="1" si="40"/>
        <v>2.0484229948792905</v>
      </c>
      <c r="P87" s="42">
        <f t="shared" ca="1" si="35"/>
        <v>0</v>
      </c>
      <c r="Q87" s="51">
        <f t="shared" ca="1" si="36"/>
        <v>4.310766885264762</v>
      </c>
      <c r="S87" s="42">
        <f t="shared" ca="1" si="41"/>
        <v>3.586916291736534E-2</v>
      </c>
      <c r="T87" s="42">
        <f t="shared" ca="1" si="41"/>
        <v>0</v>
      </c>
      <c r="U87" s="42">
        <f t="shared" ca="1" si="41"/>
        <v>1.1772524557271189</v>
      </c>
      <c r="V87" s="42">
        <f t="shared" ca="1" si="41"/>
        <v>0.17351162596097208</v>
      </c>
      <c r="W87" s="42">
        <f t="shared" ca="1" si="41"/>
        <v>0.26483543970649415</v>
      </c>
      <c r="X87" s="42">
        <f t="shared" ca="1" si="41"/>
        <v>3.9033282565701648E-2</v>
      </c>
      <c r="Y87" s="42">
        <f t="shared" ca="1" si="41"/>
        <v>0.53087990556555864</v>
      </c>
      <c r="Z87" s="42">
        <f t="shared" ca="1" si="41"/>
        <v>7.8244759785014995E-2</v>
      </c>
      <c r="AA87" s="42">
        <f t="shared" ca="1" si="41"/>
        <v>2.0145546062532405</v>
      </c>
      <c r="AB87" s="42">
        <f t="shared" ca="1" si="37"/>
        <v>0</v>
      </c>
      <c r="AC87" s="51">
        <f t="shared" ca="1" si="38"/>
        <v>4.3141812384814671</v>
      </c>
    </row>
    <row r="88" spans="1:29" ht="12" customHeight="1" x14ac:dyDescent="0.25">
      <c r="A88" s="262"/>
      <c r="C88" s="263"/>
      <c r="D88" s="43">
        <f t="shared" si="39"/>
        <v>77</v>
      </c>
      <c r="E88" s="43">
        <f t="shared" si="34"/>
        <v>89.25</v>
      </c>
      <c r="G88" s="42">
        <f t="shared" ca="1" si="40"/>
        <v>3.5524749777016178E-4</v>
      </c>
      <c r="H88" s="42">
        <f t="shared" ca="1" si="40"/>
        <v>0</v>
      </c>
      <c r="I88" s="42">
        <f t="shared" ca="1" si="40"/>
        <v>1.1664503299901594</v>
      </c>
      <c r="J88" s="42">
        <f t="shared" ca="1" si="40"/>
        <v>0.17191953380492134</v>
      </c>
      <c r="K88" s="42">
        <f t="shared" ca="1" si="40"/>
        <v>0.26240538682752562</v>
      </c>
      <c r="L88" s="42">
        <f t="shared" ca="1" si="40"/>
        <v>3.867512453073662E-2</v>
      </c>
      <c r="M88" s="42">
        <f t="shared" ca="1" si="40"/>
        <v>0.5260087061356945</v>
      </c>
      <c r="N88" s="42">
        <f t="shared" ca="1" si="40"/>
        <v>7.7526808652830806E-2</v>
      </c>
      <c r="O88" s="42">
        <f t="shared" ca="1" si="40"/>
        <v>2.0312544302170217</v>
      </c>
      <c r="P88" s="42">
        <f t="shared" ca="1" si="35"/>
        <v>0</v>
      </c>
      <c r="Q88" s="51">
        <f t="shared" ca="1" si="36"/>
        <v>4.27459556765666</v>
      </c>
      <c r="S88" s="42">
        <f t="shared" ca="1" si="41"/>
        <v>3.3708657181708401E-2</v>
      </c>
      <c r="T88" s="42">
        <f t="shared" ca="1" si="41"/>
        <v>0</v>
      </c>
      <c r="U88" s="42">
        <f t="shared" ca="1" si="41"/>
        <v>1.1673742197625203</v>
      </c>
      <c r="V88" s="42">
        <f t="shared" ca="1" si="41"/>
        <v>0.17205570308265875</v>
      </c>
      <c r="W88" s="42">
        <f t="shared" ca="1" si="41"/>
        <v>0.26261322564146322</v>
      </c>
      <c r="X88" s="42">
        <f t="shared" ca="1" si="41"/>
        <v>3.8705757255577143E-2</v>
      </c>
      <c r="Y88" s="42">
        <f t="shared" ca="1" si="41"/>
        <v>0.5264253325888546</v>
      </c>
      <c r="Z88" s="42">
        <f t="shared" ca="1" si="41"/>
        <v>7.7588213946958251E-2</v>
      </c>
      <c r="AA88" s="42">
        <f t="shared" ca="1" si="41"/>
        <v>1.9995101618350413</v>
      </c>
      <c r="AB88" s="42">
        <f t="shared" ca="1" si="37"/>
        <v>0</v>
      </c>
      <c r="AC88" s="51">
        <f t="shared" ca="1" si="38"/>
        <v>4.2779812712947827</v>
      </c>
    </row>
    <row r="89" spans="1:29" ht="12" customHeight="1" x14ac:dyDescent="0.25">
      <c r="A89" s="262"/>
      <c r="C89" s="263"/>
      <c r="D89" s="43">
        <f t="shared" si="39"/>
        <v>78</v>
      </c>
      <c r="E89" s="43">
        <f t="shared" si="34"/>
        <v>89.5</v>
      </c>
      <c r="G89" s="42">
        <f t="shared" ca="1" si="40"/>
        <v>3.3384989063117183E-4</v>
      </c>
      <c r="H89" s="42">
        <f t="shared" ca="1" si="40"/>
        <v>0</v>
      </c>
      <c r="I89" s="42">
        <f t="shared" ca="1" si="40"/>
        <v>1.15666273384239</v>
      </c>
      <c r="J89" s="42">
        <f t="shared" ca="1" si="40"/>
        <v>0.17047697005099827</v>
      </c>
      <c r="K89" s="42">
        <f t="shared" ca="1" si="40"/>
        <v>0.2602035631516828</v>
      </c>
      <c r="L89" s="42">
        <f t="shared" ca="1" si="40"/>
        <v>3.835060449748777E-2</v>
      </c>
      <c r="M89" s="42">
        <f t="shared" ca="1" si="40"/>
        <v>0.52159500702352524</v>
      </c>
      <c r="N89" s="42">
        <f t="shared" ca="1" si="40"/>
        <v>7.6876287088208567E-2</v>
      </c>
      <c r="O89" s="42">
        <f t="shared" ca="1" si="40"/>
        <v>2.0142287452831149</v>
      </c>
      <c r="P89" s="42">
        <f t="shared" ca="1" si="35"/>
        <v>0</v>
      </c>
      <c r="Q89" s="51">
        <f t="shared" ca="1" si="36"/>
        <v>4.2387277608280387</v>
      </c>
      <c r="S89" s="42">
        <f t="shared" ca="1" si="41"/>
        <v>3.1678285094404506E-2</v>
      </c>
      <c r="T89" s="42">
        <f t="shared" ca="1" si="41"/>
        <v>0</v>
      </c>
      <c r="U89" s="42">
        <f t="shared" ca="1" si="41"/>
        <v>1.1575788713258237</v>
      </c>
      <c r="V89" s="42">
        <f t="shared" ca="1" si="41"/>
        <v>0.17061199674266586</v>
      </c>
      <c r="W89" s="42">
        <f t="shared" ca="1" si="41"/>
        <v>0.26040965800591426</v>
      </c>
      <c r="X89" s="42">
        <f t="shared" ca="1" si="41"/>
        <v>3.8380980185460156E-2</v>
      </c>
      <c r="Y89" s="42">
        <f t="shared" ca="1" si="41"/>
        <v>0.52200813759575249</v>
      </c>
      <c r="Z89" s="42">
        <f t="shared" ca="1" si="41"/>
        <v>7.6937177135175644E-2</v>
      </c>
      <c r="AA89" s="42">
        <f t="shared" ca="1" si="41"/>
        <v>1.9844799491988199</v>
      </c>
      <c r="AB89" s="42">
        <f t="shared" ca="1" si="37"/>
        <v>0</v>
      </c>
      <c r="AC89" s="51">
        <f t="shared" ca="1" si="38"/>
        <v>4.2420850552840168</v>
      </c>
    </row>
    <row r="90" spans="1:29" ht="12" customHeight="1" x14ac:dyDescent="0.25">
      <c r="A90" s="262"/>
      <c r="C90" s="263"/>
      <c r="D90" s="43">
        <f t="shared" si="39"/>
        <v>79</v>
      </c>
      <c r="E90" s="43">
        <f t="shared" si="34"/>
        <v>89.75</v>
      </c>
      <c r="G90" s="42">
        <f t="shared" ca="1" si="40"/>
        <v>3.1374112463574647E-4</v>
      </c>
      <c r="H90" s="42">
        <f t="shared" ca="1" si="40"/>
        <v>0</v>
      </c>
      <c r="I90" s="42">
        <f t="shared" ca="1" si="40"/>
        <v>1.1469572646707025</v>
      </c>
      <c r="J90" s="42">
        <f t="shared" ca="1" si="40"/>
        <v>0.16904651073999732</v>
      </c>
      <c r="K90" s="42">
        <f t="shared" ca="1" si="40"/>
        <v>0.25802021481111448</v>
      </c>
      <c r="L90" s="42">
        <f t="shared" ca="1" si="40"/>
        <v>3.8028807487196371E-2</v>
      </c>
      <c r="M90" s="42">
        <f t="shared" ca="1" si="40"/>
        <v>0.51721834292546442</v>
      </c>
      <c r="N90" s="42">
        <f t="shared" ca="1" si="40"/>
        <v>7.623122400063953E-2</v>
      </c>
      <c r="O90" s="42">
        <f t="shared" ca="1" si="40"/>
        <v>1.9973448122832433</v>
      </c>
      <c r="P90" s="42">
        <f t="shared" ca="1" si="35"/>
        <v>0</v>
      </c>
      <c r="Q90" s="51">
        <f t="shared" ca="1" si="36"/>
        <v>4.2031609180429932</v>
      </c>
      <c r="S90" s="42">
        <f t="shared" ca="1" si="41"/>
        <v>2.9770208321051584E-2</v>
      </c>
      <c r="T90" s="42">
        <f t="shared" ca="1" si="41"/>
        <v>0</v>
      </c>
      <c r="U90" s="42">
        <f t="shared" ca="1" si="41"/>
        <v>1.1478657149140772</v>
      </c>
      <c r="V90" s="42">
        <f t="shared" ca="1" si="41"/>
        <v>0.16918040443294799</v>
      </c>
      <c r="W90" s="42">
        <f t="shared" ca="1" si="41"/>
        <v>0.25822458033907342</v>
      </c>
      <c r="X90" s="42">
        <f t="shared" ca="1" si="41"/>
        <v>3.8058928295077482E-2</v>
      </c>
      <c r="Y90" s="42">
        <f t="shared" ca="1" si="41"/>
        <v>0.51762800695042988</v>
      </c>
      <c r="Z90" s="42">
        <f t="shared" ca="1" si="41"/>
        <v>7.6291603123846016E-2</v>
      </c>
      <c r="AA90" s="42">
        <f t="shared" ca="1" si="41"/>
        <v>1.969470595319615</v>
      </c>
      <c r="AB90" s="42">
        <f t="shared" ca="1" si="37"/>
        <v>0</v>
      </c>
      <c r="AC90" s="51">
        <f t="shared" ca="1" si="38"/>
        <v>4.2064900416961182</v>
      </c>
    </row>
    <row r="91" spans="1:29" ht="12" customHeight="1" x14ac:dyDescent="0.25">
      <c r="A91" s="262"/>
      <c r="C91" s="263"/>
      <c r="D91" s="43">
        <f t="shared" si="39"/>
        <v>80</v>
      </c>
      <c r="E91" s="43">
        <f t="shared" si="34"/>
        <v>90</v>
      </c>
      <c r="G91" s="42">
        <f t="shared" ref="G91:O100" ca="1" si="42">PRODUCT(AVERAGE(OFFSET(AB.Trace.MarkovQA.Root, $D91, (G$2-1)*AB.Trace.MarkovQA.NumCols+G$3-1, CHOOSE(swtchHalfCycle, 2, 1))), G$6)</f>
        <v>2.9484356907113568E-4</v>
      </c>
      <c r="H91" s="42">
        <f t="shared" ca="1" si="42"/>
        <v>0</v>
      </c>
      <c r="I91" s="42">
        <f t="shared" ca="1" si="42"/>
        <v>1.1373332333538766</v>
      </c>
      <c r="J91" s="42">
        <f t="shared" ca="1" si="42"/>
        <v>0.16762805430445701</v>
      </c>
      <c r="K91" s="42">
        <f t="shared" ca="1" si="42"/>
        <v>0.25585518678068547</v>
      </c>
      <c r="L91" s="42">
        <f t="shared" ca="1" si="42"/>
        <v>3.7709710651183573E-2</v>
      </c>
      <c r="M91" s="42">
        <f t="shared" ca="1" si="42"/>
        <v>0.5128784030835204</v>
      </c>
      <c r="N91" s="42">
        <f t="shared" ca="1" si="42"/>
        <v>7.5591573588457209E-2</v>
      </c>
      <c r="O91" s="42">
        <f t="shared" ca="1" si="42"/>
        <v>1.9806015086038367</v>
      </c>
      <c r="P91" s="42">
        <f t="shared" ca="1" si="35"/>
        <v>0</v>
      </c>
      <c r="Q91" s="51">
        <f t="shared" ca="1" si="36"/>
        <v>4.1678925139350884</v>
      </c>
      <c r="S91" s="42">
        <f t="shared" ref="S91:AA100" ca="1" si="43">PRODUCT(AVERAGE(OFFSET(AB.Trace.MarkovQA.Root, $D91, (S$2-1)*AB.Trace.MarkovQA.NumCols+S$3-1, CHOOSE(swtchHalfCycle, 2, 1))), S$6)</f>
        <v>2.7977060653303944E-2</v>
      </c>
      <c r="T91" s="42">
        <f t="shared" ca="1" si="43"/>
        <v>0</v>
      </c>
      <c r="U91" s="42">
        <f t="shared" ca="1" si="43"/>
        <v>1.1382340608602397</v>
      </c>
      <c r="V91" s="42">
        <f t="shared" ca="1" si="43"/>
        <v>0.16776082450559698</v>
      </c>
      <c r="W91" s="42">
        <f t="shared" ca="1" si="43"/>
        <v>0.25605783749301719</v>
      </c>
      <c r="X91" s="42">
        <f t="shared" ca="1" si="43"/>
        <v>3.7739578717652891E-2</v>
      </c>
      <c r="Y91" s="42">
        <f t="shared" ca="1" si="43"/>
        <v>0.51328462964875909</v>
      </c>
      <c r="Z91" s="42">
        <f t="shared" ca="1" si="43"/>
        <v>7.565144607502558E-2</v>
      </c>
      <c r="AA91" s="42">
        <f t="shared" ca="1" si="43"/>
        <v>1.9544882652108315</v>
      </c>
      <c r="AB91" s="42">
        <f t="shared" ca="1" si="37"/>
        <v>0</v>
      </c>
      <c r="AC91" s="51">
        <f t="shared" ca="1" si="38"/>
        <v>4.1711937031644268</v>
      </c>
    </row>
    <row r="92" spans="1:29" ht="12" customHeight="1" x14ac:dyDescent="0.25">
      <c r="A92" s="262"/>
      <c r="C92" s="263"/>
      <c r="D92" s="43">
        <f t="shared" si="39"/>
        <v>81</v>
      </c>
      <c r="E92" s="43">
        <f t="shared" si="34"/>
        <v>90.25</v>
      </c>
      <c r="G92" s="42">
        <f t="shared" ca="1" si="42"/>
        <v>2.7708426915194648E-4</v>
      </c>
      <c r="H92" s="42">
        <f t="shared" ca="1" si="42"/>
        <v>0</v>
      </c>
      <c r="I92" s="42">
        <f t="shared" ca="1" si="42"/>
        <v>1.127789956553056</v>
      </c>
      <c r="J92" s="42">
        <f t="shared" ca="1" si="42"/>
        <v>0.16622150002916072</v>
      </c>
      <c r="K92" s="42">
        <f t="shared" ca="1" si="42"/>
        <v>0.25370832533606436</v>
      </c>
      <c r="L92" s="42">
        <f t="shared" ca="1" si="42"/>
        <v>3.7393291332492015E-2</v>
      </c>
      <c r="M92" s="42">
        <f t="shared" ca="1" si="42"/>
        <v>0.50857487934724876</v>
      </c>
      <c r="N92" s="42">
        <f t="shared" ca="1" si="42"/>
        <v>7.4957290434313428E-2</v>
      </c>
      <c r="O92" s="42">
        <f t="shared" ca="1" si="42"/>
        <v>1.9639977170265555</v>
      </c>
      <c r="P92" s="42">
        <f t="shared" ca="1" si="35"/>
        <v>0</v>
      </c>
      <c r="Q92" s="51">
        <f t="shared" ca="1" si="36"/>
        <v>4.1329200443280421</v>
      </c>
      <c r="S92" s="42">
        <f t="shared" ca="1" si="43"/>
        <v>2.6291919571323964E-2</v>
      </c>
      <c r="T92" s="42">
        <f t="shared" ca="1" si="43"/>
        <v>0</v>
      </c>
      <c r="U92" s="42">
        <f t="shared" ca="1" si="43"/>
        <v>1.1286832252842147</v>
      </c>
      <c r="V92" s="42">
        <f t="shared" ca="1" si="43"/>
        <v>0.16635315616562449</v>
      </c>
      <c r="W92" s="42">
        <f t="shared" ca="1" si="43"/>
        <v>0.25390927562165655</v>
      </c>
      <c r="X92" s="42">
        <f t="shared" ca="1" si="43"/>
        <v>3.7422908778283533E-2</v>
      </c>
      <c r="Y92" s="42">
        <f t="shared" ca="1" si="43"/>
        <v>0.50897769729622433</v>
      </c>
      <c r="Z92" s="42">
        <f t="shared" ca="1" si="43"/>
        <v>7.501666053539327E-2</v>
      </c>
      <c r="AA92" s="42">
        <f t="shared" ca="1" si="43"/>
        <v>1.9395386902765044</v>
      </c>
      <c r="AB92" s="42">
        <f t="shared" ca="1" si="37"/>
        <v>0</v>
      </c>
      <c r="AC92" s="51">
        <f t="shared" ca="1" si="38"/>
        <v>4.1361935335292248</v>
      </c>
    </row>
    <row r="93" spans="1:29" ht="12" customHeight="1" x14ac:dyDescent="0.25">
      <c r="A93" s="262"/>
      <c r="C93" s="263"/>
      <c r="D93" s="43">
        <f t="shared" si="39"/>
        <v>82</v>
      </c>
      <c r="E93" s="43">
        <f t="shared" si="34"/>
        <v>90.5</v>
      </c>
      <c r="G93" s="42">
        <f t="shared" ca="1" si="42"/>
        <v>2.6039466437521294E-4</v>
      </c>
      <c r="H93" s="42">
        <f t="shared" ca="1" si="42"/>
        <v>0</v>
      </c>
      <c r="I93" s="42">
        <f t="shared" ca="1" si="42"/>
        <v>1.1183267566632289</v>
      </c>
      <c r="J93" s="42">
        <f t="shared" ca="1" si="42"/>
        <v>0.16482674804398567</v>
      </c>
      <c r="K93" s="42">
        <f t="shared" ca="1" si="42"/>
        <v>0.251579478042809</v>
      </c>
      <c r="L93" s="42">
        <f t="shared" ca="1" si="42"/>
        <v>3.7079527064277182E-2</v>
      </c>
      <c r="M93" s="42">
        <f t="shared" ca="1" si="42"/>
        <v>0.50430746615187216</v>
      </c>
      <c r="N93" s="42">
        <f t="shared" ca="1" si="42"/>
        <v>7.4328329501953519E-2</v>
      </c>
      <c r="O93" s="42">
        <f t="shared" ca="1" si="42"/>
        <v>1.9475323259254316</v>
      </c>
      <c r="P93" s="42">
        <f t="shared" ca="1" si="35"/>
        <v>0</v>
      </c>
      <c r="Q93" s="51">
        <f t="shared" ca="1" si="36"/>
        <v>4.0982410260579334</v>
      </c>
      <c r="S93" s="42">
        <f t="shared" ca="1" si="43"/>
        <v>2.4708279519111431E-2</v>
      </c>
      <c r="T93" s="42">
        <f t="shared" ca="1" si="43"/>
        <v>0</v>
      </c>
      <c r="U93" s="42">
        <f t="shared" ca="1" si="43"/>
        <v>1.1192125300442926</v>
      </c>
      <c r="V93" s="42">
        <f t="shared" ca="1" si="43"/>
        <v>0.16495729946380527</v>
      </c>
      <c r="W93" s="42">
        <f t="shared" ca="1" si="43"/>
        <v>0.25177874216981344</v>
      </c>
      <c r="X93" s="42">
        <f t="shared" ca="1" si="43"/>
        <v>3.7108895992329978E-2</v>
      </c>
      <c r="Y93" s="42">
        <f t="shared" ca="1" si="43"/>
        <v>0.5047069040860247</v>
      </c>
      <c r="Z93" s="42">
        <f t="shared" ca="1" si="43"/>
        <v>7.4387201433023298E-2</v>
      </c>
      <c r="AA93" s="42">
        <f t="shared" ca="1" si="43"/>
        <v>1.9246271949513909</v>
      </c>
      <c r="AB93" s="42">
        <f t="shared" ca="1" si="37"/>
        <v>0</v>
      </c>
      <c r="AC93" s="51">
        <f t="shared" ca="1" si="38"/>
        <v>4.1014870476597913</v>
      </c>
    </row>
    <row r="94" spans="1:29" ht="12" customHeight="1" x14ac:dyDescent="0.25">
      <c r="A94" s="262"/>
      <c r="C94" s="263"/>
      <c r="D94" s="43">
        <f t="shared" si="39"/>
        <v>83</v>
      </c>
      <c r="E94" s="43">
        <f t="shared" si="34"/>
        <v>90.75</v>
      </c>
      <c r="G94" s="42">
        <f t="shared" ca="1" si="42"/>
        <v>2.4471032383977361E-4</v>
      </c>
      <c r="H94" s="42">
        <f t="shared" ca="1" si="42"/>
        <v>0</v>
      </c>
      <c r="I94" s="42">
        <f t="shared" ca="1" si="42"/>
        <v>1.1089429617651152</v>
      </c>
      <c r="J94" s="42">
        <f t="shared" ca="1" si="42"/>
        <v>0.1634436993168116</v>
      </c>
      <c r="K94" s="42">
        <f t="shared" ca="1" si="42"/>
        <v>0.24946849374554328</v>
      </c>
      <c r="L94" s="42">
        <f t="shared" ca="1" si="42"/>
        <v>3.6768395568212105E-2</v>
      </c>
      <c r="M94" s="42">
        <f t="shared" ca="1" si="42"/>
        <v>0.50007586049658381</v>
      </c>
      <c r="N94" s="42">
        <f t="shared" ca="1" si="42"/>
        <v>7.370464613301865E-2</v>
      </c>
      <c r="O94" s="42">
        <f t="shared" ca="1" si="42"/>
        <v>1.9312042294477483</v>
      </c>
      <c r="P94" s="42">
        <f t="shared" ca="1" si="35"/>
        <v>0</v>
      </c>
      <c r="Q94" s="51">
        <f t="shared" ca="1" si="36"/>
        <v>4.0638529967968733</v>
      </c>
      <c r="S94" s="42">
        <f t="shared" ca="1" si="43"/>
        <v>2.3220026789538776E-2</v>
      </c>
      <c r="T94" s="42">
        <f t="shared" ca="1" si="43"/>
        <v>0</v>
      </c>
      <c r="U94" s="42">
        <f t="shared" ca="1" si="43"/>
        <v>1.1098213026889971</v>
      </c>
      <c r="V94" s="42">
        <f t="shared" ca="1" si="43"/>
        <v>0.16357315528958055</v>
      </c>
      <c r="W94" s="42">
        <f t="shared" ca="1" si="43"/>
        <v>0.24966608586238859</v>
      </c>
      <c r="X94" s="42">
        <f t="shared" ca="1" si="43"/>
        <v>3.6797518063819666E-2</v>
      </c>
      <c r="Y94" s="42">
        <f t="shared" ca="1" si="43"/>
        <v>0.50047194677736095</v>
      </c>
      <c r="Z94" s="42">
        <f t="shared" ca="1" si="43"/>
        <v>7.3763024074185099E-2</v>
      </c>
      <c r="AA94" s="42">
        <f t="shared" ca="1" si="43"/>
        <v>1.9097587217320766</v>
      </c>
      <c r="AB94" s="42">
        <f t="shared" ca="1" si="37"/>
        <v>0</v>
      </c>
      <c r="AC94" s="51">
        <f t="shared" ca="1" si="38"/>
        <v>4.0670717812779467</v>
      </c>
    </row>
    <row r="95" spans="1:29" ht="12" customHeight="1" x14ac:dyDescent="0.25">
      <c r="A95" s="262"/>
      <c r="C95" s="263"/>
      <c r="D95" s="43">
        <f t="shared" si="39"/>
        <v>84</v>
      </c>
      <c r="E95" s="43">
        <f t="shared" si="34"/>
        <v>91</v>
      </c>
      <c r="G95" s="42">
        <f t="shared" ca="1" si="42"/>
        <v>2.2997069750814434E-4</v>
      </c>
      <c r="H95" s="42">
        <f t="shared" ca="1" si="42"/>
        <v>0</v>
      </c>
      <c r="I95" s="42">
        <f t="shared" ca="1" si="42"/>
        <v>1.0996379055774594</v>
      </c>
      <c r="J95" s="42">
        <f t="shared" ca="1" si="42"/>
        <v>0.16207225564648925</v>
      </c>
      <c r="K95" s="42">
        <f t="shared" ca="1" si="42"/>
        <v>0.24737522255722422</v>
      </c>
      <c r="L95" s="42">
        <f t="shared" ca="1" si="42"/>
        <v>3.6459874752905609E-2</v>
      </c>
      <c r="M95" s="42">
        <f t="shared" ca="1" si="42"/>
        <v>0.49587976192303368</v>
      </c>
      <c r="N95" s="42">
        <f t="shared" ca="1" si="42"/>
        <v>7.308619604387484E-2</v>
      </c>
      <c r="O95" s="42">
        <f t="shared" ca="1" si="42"/>
        <v>1.9150123276796873</v>
      </c>
      <c r="P95" s="42">
        <f t="shared" ca="1" si="35"/>
        <v>0</v>
      </c>
      <c r="Q95" s="51">
        <f t="shared" ca="1" si="36"/>
        <v>4.0297535148781822</v>
      </c>
      <c r="S95" s="42">
        <f t="shared" ca="1" si="43"/>
        <v>2.1821415922134924E-2</v>
      </c>
      <c r="T95" s="42">
        <f t="shared" ca="1" si="43"/>
        <v>0</v>
      </c>
      <c r="U95" s="42">
        <f t="shared" ca="1" si="43"/>
        <v>1.1005088764093434</v>
      </c>
      <c r="V95" s="42">
        <f t="shared" ca="1" si="43"/>
        <v>0.16220062536402058</v>
      </c>
      <c r="W95" s="42">
        <f t="shared" ca="1" si="43"/>
        <v>0.24757115669362065</v>
      </c>
      <c r="X95" s="42">
        <f t="shared" ca="1" si="43"/>
        <v>3.6488752883863863E-2</v>
      </c>
      <c r="Y95" s="42">
        <f t="shared" ca="1" si="43"/>
        <v>0.49627252467390459</v>
      </c>
      <c r="Z95" s="42">
        <f t="shared" ca="1" si="43"/>
        <v>7.3144084140169735E-2</v>
      </c>
      <c r="AA95" s="42">
        <f t="shared" ca="1" si="43"/>
        <v>1.8949378546960276</v>
      </c>
      <c r="AB95" s="42">
        <f t="shared" ca="1" si="37"/>
        <v>0</v>
      </c>
      <c r="AC95" s="51">
        <f t="shared" ca="1" si="38"/>
        <v>4.0329452907830854</v>
      </c>
    </row>
    <row r="96" spans="1:29" ht="12" customHeight="1" x14ac:dyDescent="0.25">
      <c r="A96" s="262"/>
      <c r="C96" s="263"/>
      <c r="D96" s="43">
        <f t="shared" si="39"/>
        <v>85</v>
      </c>
      <c r="E96" s="43">
        <f t="shared" si="34"/>
        <v>91.25</v>
      </c>
      <c r="G96" s="42">
        <f t="shared" ca="1" si="42"/>
        <v>2.1611888245062508E-4</v>
      </c>
      <c r="H96" s="42">
        <f t="shared" ca="1" si="42"/>
        <v>0</v>
      </c>
      <c r="I96" s="42">
        <f t="shared" ca="1" si="42"/>
        <v>1.0904109274097202</v>
      </c>
      <c r="J96" s="42">
        <f t="shared" ca="1" si="42"/>
        <v>0.16071231965586782</v>
      </c>
      <c r="K96" s="42">
        <f t="shared" ca="1" si="42"/>
        <v>0.24529951584849952</v>
      </c>
      <c r="L96" s="42">
        <f t="shared" ca="1" si="42"/>
        <v>3.6153942712333673E-2</v>
      </c>
      <c r="M96" s="42">
        <f t="shared" ca="1" si="42"/>
        <v>0.49171887249399499</v>
      </c>
      <c r="N96" s="42">
        <f t="shared" ca="1" si="42"/>
        <v>7.2472935322468734E-2</v>
      </c>
      <c r="O96" s="42">
        <f t="shared" ca="1" si="42"/>
        <v>1.8989555267976859</v>
      </c>
      <c r="P96" s="42">
        <f t="shared" ca="1" si="35"/>
        <v>0</v>
      </c>
      <c r="Q96" s="51">
        <f t="shared" ca="1" si="36"/>
        <v>3.995940159123021</v>
      </c>
      <c r="S96" s="42">
        <f t="shared" ca="1" si="43"/>
        <v>2.0507047522500384E-2</v>
      </c>
      <c r="T96" s="42">
        <f t="shared" ca="1" si="43"/>
        <v>0</v>
      </c>
      <c r="U96" s="42">
        <f t="shared" ca="1" si="43"/>
        <v>1.0912745899914886</v>
      </c>
      <c r="V96" s="42">
        <f t="shared" ca="1" si="43"/>
        <v>0.16083961223284673</v>
      </c>
      <c r="W96" s="42">
        <f t="shared" ca="1" si="43"/>
        <v>0.24549380591643516</v>
      </c>
      <c r="X96" s="42">
        <f t="shared" ca="1" si="43"/>
        <v>3.6182578529087836E-2</v>
      </c>
      <c r="Y96" s="42">
        <f t="shared" ca="1" si="43"/>
        <v>0.49210833960244665</v>
      </c>
      <c r="Z96" s="42">
        <f t="shared" ca="1" si="43"/>
        <v>7.2530337684143187E-2</v>
      </c>
      <c r="AA96" s="42">
        <f t="shared" ca="1" si="43"/>
        <v>1.8801688415997162</v>
      </c>
      <c r="AB96" s="42">
        <f t="shared" ca="1" si="37"/>
        <v>0</v>
      </c>
      <c r="AC96" s="51">
        <f t="shared" ca="1" si="38"/>
        <v>3.9991051530786654</v>
      </c>
    </row>
    <row r="97" spans="1:29" ht="12" customHeight="1" x14ac:dyDescent="0.25">
      <c r="A97" s="262"/>
      <c r="C97" s="263"/>
      <c r="D97" s="43">
        <f t="shared" si="39"/>
        <v>86</v>
      </c>
      <c r="E97" s="43">
        <f t="shared" si="34"/>
        <v>91.5</v>
      </c>
      <c r="G97" s="42">
        <f t="shared" ca="1" si="42"/>
        <v>2.0310140316921453E-4</v>
      </c>
      <c r="H97" s="42">
        <f t="shared" ca="1" si="42"/>
        <v>0</v>
      </c>
      <c r="I97" s="42">
        <f t="shared" ca="1" si="42"/>
        <v>1.0812613721151618</v>
      </c>
      <c r="J97" s="42">
        <f t="shared" ca="1" si="42"/>
        <v>0.15936379478488069</v>
      </c>
      <c r="K97" s="42">
        <f t="shared" ca="1" si="42"/>
        <v>0.24324122623715475</v>
      </c>
      <c r="L97" s="42">
        <f t="shared" ca="1" si="42"/>
        <v>3.5850577724284079E-2</v>
      </c>
      <c r="M97" s="42">
        <f t="shared" ca="1" si="42"/>
        <v>0.48759289677220979</v>
      </c>
      <c r="N97" s="42">
        <f t="shared" ca="1" si="42"/>
        <v>7.1864820425209711E-2</v>
      </c>
      <c r="O97" s="42">
        <f t="shared" ca="1" si="42"/>
        <v>1.8830327392064086</v>
      </c>
      <c r="P97" s="42">
        <f t="shared" ca="1" si="35"/>
        <v>0</v>
      </c>
      <c r="Q97" s="51">
        <f t="shared" ca="1" si="36"/>
        <v>3.9624105286684785</v>
      </c>
      <c r="S97" s="42">
        <f t="shared" ca="1" si="43"/>
        <v>1.9271847417724537E-2</v>
      </c>
      <c r="T97" s="42">
        <f t="shared" ca="1" si="43"/>
        <v>0</v>
      </c>
      <c r="U97" s="42">
        <f t="shared" ca="1" si="43"/>
        <v>1.0821177877697861</v>
      </c>
      <c r="V97" s="42">
        <f t="shared" ca="1" si="43"/>
        <v>0.15949001925951178</v>
      </c>
      <c r="W97" s="42">
        <f t="shared" ca="1" si="43"/>
        <v>0.24343388603188315</v>
      </c>
      <c r="X97" s="42">
        <f t="shared" ca="1" si="43"/>
        <v>3.5878973260074234E-2</v>
      </c>
      <c r="Y97" s="42">
        <f t="shared" ca="1" si="43"/>
        <v>0.48797909589172733</v>
      </c>
      <c r="Z97" s="42">
        <f t="shared" ca="1" si="43"/>
        <v>7.1921741128026018E-2</v>
      </c>
      <c r="AA97" s="42">
        <f t="shared" ca="1" si="43"/>
        <v>1.8654556146414314</v>
      </c>
      <c r="AB97" s="42">
        <f t="shared" ca="1" si="37"/>
        <v>0</v>
      </c>
      <c r="AC97" s="51">
        <f t="shared" ca="1" si="38"/>
        <v>3.9655489654001648</v>
      </c>
    </row>
    <row r="98" spans="1:29" ht="12" customHeight="1" x14ac:dyDescent="0.25">
      <c r="A98" s="262"/>
      <c r="C98" s="263"/>
      <c r="D98" s="43">
        <f t="shared" si="39"/>
        <v>87</v>
      </c>
      <c r="E98" s="43">
        <f t="shared" si="34"/>
        <v>91.75</v>
      </c>
      <c r="G98" s="42">
        <f t="shared" ca="1" si="42"/>
        <v>1.9086800515326515E-4</v>
      </c>
      <c r="H98" s="42">
        <f t="shared" ca="1" si="42"/>
        <v>0</v>
      </c>
      <c r="I98" s="42">
        <f t="shared" ca="1" si="42"/>
        <v>1.0721885900443335</v>
      </c>
      <c r="J98" s="42">
        <f t="shared" ca="1" si="42"/>
        <v>0.15802658528368954</v>
      </c>
      <c r="K98" s="42">
        <f t="shared" ca="1" si="42"/>
        <v>0.24120020757764815</v>
      </c>
      <c r="L98" s="42">
        <f t="shared" ca="1" si="42"/>
        <v>3.5549758248814033E-2</v>
      </c>
      <c r="M98" s="42">
        <f t="shared" ca="1" si="42"/>
        <v>0.48350154179941146</v>
      </c>
      <c r="N98" s="42">
        <f t="shared" ca="1" si="42"/>
        <v>7.1261808173878061E-2</v>
      </c>
      <c r="O98" s="42">
        <f t="shared" ca="1" si="42"/>
        <v>1.8672428836641717</v>
      </c>
      <c r="P98" s="42">
        <f t="shared" ca="1" si="35"/>
        <v>0</v>
      </c>
      <c r="Q98" s="51">
        <f t="shared" ca="1" si="36"/>
        <v>3.9291622427971</v>
      </c>
      <c r="S98" s="42">
        <f t="shared" ca="1" si="43"/>
        <v>1.8111047067333828E-2</v>
      </c>
      <c r="T98" s="42">
        <f t="shared" ca="1" si="43"/>
        <v>0</v>
      </c>
      <c r="U98" s="42">
        <f t="shared" ca="1" si="43"/>
        <v>1.0730378195802295</v>
      </c>
      <c r="V98" s="42">
        <f t="shared" ca="1" si="43"/>
        <v>0.15815175061833847</v>
      </c>
      <c r="W98" s="42">
        <f t="shared" ca="1" si="43"/>
        <v>0.2413912507786681</v>
      </c>
      <c r="X98" s="42">
        <f t="shared" ca="1" si="43"/>
        <v>3.5577915519819495E-2</v>
      </c>
      <c r="Y98" s="42">
        <f t="shared" ca="1" si="43"/>
        <v>0.48388450035144215</v>
      </c>
      <c r="Z98" s="42">
        <f t="shared" ca="1" si="43"/>
        <v>7.1318251259399112E-2</v>
      </c>
      <c r="AA98" s="42">
        <f t="shared" ca="1" si="43"/>
        <v>1.850801809969248</v>
      </c>
      <c r="AB98" s="42">
        <f t="shared" ca="1" si="37"/>
        <v>0</v>
      </c>
      <c r="AC98" s="51">
        <f t="shared" ca="1" si="38"/>
        <v>3.9322743451444788</v>
      </c>
    </row>
    <row r="99" spans="1:29" ht="12" customHeight="1" x14ac:dyDescent="0.25">
      <c r="A99" s="262"/>
      <c r="C99" s="263"/>
      <c r="D99" s="43">
        <f t="shared" si="39"/>
        <v>88</v>
      </c>
      <c r="E99" s="43">
        <f t="shared" si="34"/>
        <v>92</v>
      </c>
      <c r="G99" s="42">
        <f t="shared" ca="1" si="42"/>
        <v>1.7937146086989173E-4</v>
      </c>
      <c r="H99" s="42">
        <f t="shared" ca="1" si="42"/>
        <v>0</v>
      </c>
      <c r="I99" s="42">
        <f t="shared" ca="1" si="42"/>
        <v>1.0631919369989451</v>
      </c>
      <c r="J99" s="42">
        <f t="shared" ca="1" si="42"/>
        <v>0.15670059620588553</v>
      </c>
      <c r="K99" s="42">
        <f t="shared" ca="1" si="42"/>
        <v>0.23917631495073441</v>
      </c>
      <c r="L99" s="42">
        <f t="shared" ca="1" si="42"/>
        <v>3.5251462926720753E-2</v>
      </c>
      <c r="M99" s="42">
        <f t="shared" ca="1" si="42"/>
        <v>0.47944451707552421</v>
      </c>
      <c r="N99" s="42">
        <f t="shared" ca="1" si="42"/>
        <v>7.0663855752559249E-2</v>
      </c>
      <c r="O99" s="42">
        <f t="shared" ca="1" si="42"/>
        <v>1.8515848853966121</v>
      </c>
      <c r="P99" s="42">
        <f t="shared" ca="1" si="35"/>
        <v>0</v>
      </c>
      <c r="Q99" s="51">
        <f t="shared" ca="1" si="36"/>
        <v>3.8961929407678513</v>
      </c>
      <c r="S99" s="42">
        <f t="shared" ca="1" si="43"/>
        <v>1.7020165154146387E-2</v>
      </c>
      <c r="T99" s="42">
        <f t="shared" ca="1" si="43"/>
        <v>0</v>
      </c>
      <c r="U99" s="42">
        <f t="shared" ca="1" si="43"/>
        <v>1.0640340407142892</v>
      </c>
      <c r="V99" s="42">
        <f t="shared" ca="1" si="43"/>
        <v>0.15682471128771552</v>
      </c>
      <c r="W99" s="42">
        <f t="shared" ca="1" si="43"/>
        <v>0.23936575512276095</v>
      </c>
      <c r="X99" s="42">
        <f t="shared" ca="1" si="43"/>
        <v>3.527938393220325E-2</v>
      </c>
      <c r="Y99" s="42">
        <f t="shared" ca="1" si="43"/>
        <v>0.47982426225142372</v>
      </c>
      <c r="Z99" s="42">
        <f t="shared" ca="1" si="43"/>
        <v>7.0719825228435562E-2</v>
      </c>
      <c r="AA99" s="42">
        <f t="shared" ca="1" si="43"/>
        <v>1.8362107860097676</v>
      </c>
      <c r="AB99" s="42">
        <f t="shared" ca="1" si="37"/>
        <v>0</v>
      </c>
      <c r="AC99" s="51">
        <f t="shared" ca="1" si="38"/>
        <v>3.899278929700742</v>
      </c>
    </row>
    <row r="100" spans="1:29" ht="12" customHeight="1" x14ac:dyDescent="0.25">
      <c r="A100" s="262"/>
      <c r="C100" s="263"/>
      <c r="D100" s="43">
        <f t="shared" si="39"/>
        <v>89</v>
      </c>
      <c r="E100" s="43">
        <f t="shared" si="34"/>
        <v>92.25</v>
      </c>
      <c r="G100" s="42">
        <f t="shared" ca="1" si="42"/>
        <v>1.6856738744015052E-4</v>
      </c>
      <c r="H100" s="42">
        <f t="shared" ca="1" si="42"/>
        <v>0</v>
      </c>
      <c r="I100" s="42">
        <f t="shared" ca="1" si="42"/>
        <v>1.0542707741861246</v>
      </c>
      <c r="J100" s="42">
        <f t="shared" ca="1" si="42"/>
        <v>0.15538573340174811</v>
      </c>
      <c r="K100" s="42">
        <f t="shared" ca="1" si="42"/>
        <v>0.2371694046531744</v>
      </c>
      <c r="L100" s="42">
        <f t="shared" ca="1" si="42"/>
        <v>3.4955670578024921E-2</v>
      </c>
      <c r="M100" s="42">
        <f t="shared" ca="1" si="42"/>
        <v>0.47542153453803615</v>
      </c>
      <c r="N100" s="42">
        <f t="shared" ca="1" si="42"/>
        <v>7.0070920704603856E-2</v>
      </c>
      <c r="O100" s="42">
        <f t="shared" ca="1" si="42"/>
        <v>1.8360576761993452</v>
      </c>
      <c r="P100" s="42">
        <f t="shared" ca="1" si="35"/>
        <v>0</v>
      </c>
      <c r="Q100" s="51">
        <f t="shared" ca="1" si="36"/>
        <v>3.8635002816484976</v>
      </c>
      <c r="S100" s="42">
        <f t="shared" ca="1" si="43"/>
        <v>1.5994990283963978E-2</v>
      </c>
      <c r="T100" s="42">
        <f t="shared" ca="1" si="43"/>
        <v>0</v>
      </c>
      <c r="U100" s="42">
        <f t="shared" ca="1" si="43"/>
        <v>1.055105811873136</v>
      </c>
      <c r="V100" s="42">
        <f t="shared" ca="1" si="43"/>
        <v>0.15550880704335079</v>
      </c>
      <c r="W100" s="42">
        <f t="shared" ca="1" si="43"/>
        <v>0.23735725524710208</v>
      </c>
      <c r="X100" s="42">
        <f t="shared" ca="1" si="43"/>
        <v>3.498335730047053E-2</v>
      </c>
      <c r="Y100" s="42">
        <f t="shared" ca="1" si="43"/>
        <v>0.47579809330099959</v>
      </c>
      <c r="Z100" s="42">
        <f t="shared" ca="1" si="43"/>
        <v>7.0126420544857987E-2</v>
      </c>
      <c r="AA100" s="42">
        <f t="shared" ca="1" si="43"/>
        <v>1.8216856406886976</v>
      </c>
      <c r="AB100" s="42">
        <f t="shared" ca="1" si="37"/>
        <v>0</v>
      </c>
      <c r="AC100" s="51">
        <f t="shared" ca="1" si="38"/>
        <v>3.8665603762825786</v>
      </c>
    </row>
    <row r="101" spans="1:29" ht="12" customHeight="1" x14ac:dyDescent="0.25">
      <c r="A101" s="262"/>
      <c r="C101" s="263"/>
      <c r="D101" s="43">
        <f t="shared" si="39"/>
        <v>90</v>
      </c>
      <c r="E101" s="43">
        <f t="shared" si="34"/>
        <v>92.5</v>
      </c>
      <c r="G101" s="42">
        <f t="shared" ref="G101:O110" ca="1" si="44">PRODUCT(AVERAGE(OFFSET(AB.Trace.MarkovQA.Root, $D101, (G$2-1)*AB.Trace.MarkovQA.NumCols+G$3-1, CHOOSE(swtchHalfCycle, 2, 1))), G$6)</f>
        <v>1.5841407529712209E-4</v>
      </c>
      <c r="H101" s="42">
        <f t="shared" ca="1" si="44"/>
        <v>0</v>
      </c>
      <c r="I101" s="42">
        <f t="shared" ca="1" si="44"/>
        <v>1.0454244681730627</v>
      </c>
      <c r="J101" s="42">
        <f t="shared" ca="1" si="44"/>
        <v>0.1540819035115597</v>
      </c>
      <c r="K101" s="42">
        <f t="shared" ca="1" si="44"/>
        <v>0.23517933418753206</v>
      </c>
      <c r="L101" s="42">
        <f t="shared" ca="1" si="44"/>
        <v>3.4662360200466827E-2</v>
      </c>
      <c r="M101" s="42">
        <f t="shared" ca="1" si="44"/>
        <v>0.47143230854154616</v>
      </c>
      <c r="N101" s="42">
        <f t="shared" ca="1" si="44"/>
        <v>6.9482960929612994E-2</v>
      </c>
      <c r="O101" s="42">
        <f t="shared" ca="1" si="44"/>
        <v>1.8206601945303102</v>
      </c>
      <c r="P101" s="42">
        <f t="shared" ca="1" si="35"/>
        <v>0</v>
      </c>
      <c r="Q101" s="51">
        <f t="shared" ca="1" si="36"/>
        <v>3.8310819441493877</v>
      </c>
      <c r="S101" s="42">
        <f t="shared" ref="S101:AA110" ca="1" si="45">PRODUCT(AVERAGE(OFFSET(AB.Trace.MarkovQA.Root, $D101, (S$2-1)*AB.Trace.MarkovQA.NumCols+S$3-1, CHOOSE(swtchHalfCycle, 2, 1))), S$6)</f>
        <v>1.5031564727312614E-2</v>
      </c>
      <c r="T101" s="42">
        <f t="shared" ca="1" si="45"/>
        <v>0</v>
      </c>
      <c r="U101" s="42">
        <f t="shared" ca="1" si="45"/>
        <v>1.0462524991222488</v>
      </c>
      <c r="V101" s="42">
        <f t="shared" ca="1" si="45"/>
        <v>0.15420394445158098</v>
      </c>
      <c r="W101" s="42">
        <f t="shared" ca="1" si="45"/>
        <v>0.23536560854138999</v>
      </c>
      <c r="X101" s="42">
        <f t="shared" ca="1" si="45"/>
        <v>3.4689814605726704E-2</v>
      </c>
      <c r="Y101" s="42">
        <f t="shared" ca="1" si="45"/>
        <v>0.47180570762852253</v>
      </c>
      <c r="Z101" s="42">
        <f t="shared" ca="1" si="45"/>
        <v>6.9537995074921768E-2</v>
      </c>
      <c r="AA101" s="42">
        <f t="shared" ca="1" si="45"/>
        <v>1.807229227610051</v>
      </c>
      <c r="AB101" s="42">
        <f t="shared" ca="1" si="37"/>
        <v>0</v>
      </c>
      <c r="AC101" s="51">
        <f t="shared" ca="1" si="38"/>
        <v>3.8341163617617546</v>
      </c>
    </row>
    <row r="102" spans="1:29" ht="12" customHeight="1" x14ac:dyDescent="0.25">
      <c r="A102" s="262"/>
      <c r="C102" s="263"/>
      <c r="D102" s="43">
        <f t="shared" si="39"/>
        <v>91</v>
      </c>
      <c r="E102" s="43">
        <f t="shared" si="34"/>
        <v>92.75</v>
      </c>
      <c r="G102" s="42">
        <f t="shared" ca="1" si="44"/>
        <v>1.4887232716442376E-4</v>
      </c>
      <c r="H102" s="42">
        <f t="shared" ca="1" si="44"/>
        <v>0</v>
      </c>
      <c r="I102" s="42">
        <f t="shared" ca="1" si="44"/>
        <v>1.0366523908420366</v>
      </c>
      <c r="J102" s="42">
        <f t="shared" ca="1" si="44"/>
        <v>0.15278901395897718</v>
      </c>
      <c r="K102" s="42">
        <f t="shared" ca="1" si="44"/>
        <v>0.23320596225205639</v>
      </c>
      <c r="L102" s="42">
        <f t="shared" ca="1" si="44"/>
        <v>3.4371510968015113E-2</v>
      </c>
      <c r="M102" s="42">
        <f t="shared" ca="1" si="44"/>
        <v>0.46747655583748182</v>
      </c>
      <c r="N102" s="42">
        <f t="shared" ca="1" si="44"/>
        <v>6.8899934680448971E-2</v>
      </c>
      <c r="O102" s="42">
        <f t="shared" ca="1" si="44"/>
        <v>1.8053913855924555</v>
      </c>
      <c r="P102" s="42">
        <f t="shared" ca="1" si="35"/>
        <v>0</v>
      </c>
      <c r="Q102" s="51">
        <f t="shared" ca="1" si="36"/>
        <v>3.7989356264586358</v>
      </c>
      <c r="S102" s="42">
        <f t="shared" ca="1" si="45"/>
        <v>1.4126169140466202E-2</v>
      </c>
      <c r="T102" s="42">
        <f t="shared" ca="1" si="45"/>
        <v>0</v>
      </c>
      <c r="U102" s="42">
        <f t="shared" ca="1" si="45"/>
        <v>1.0374734738464022</v>
      </c>
      <c r="V102" s="42">
        <f t="shared" ca="1" si="45"/>
        <v>0.15291003086273755</v>
      </c>
      <c r="W102" s="42">
        <f t="shared" ca="1" si="45"/>
        <v>0.23339067359195539</v>
      </c>
      <c r="X102" s="42">
        <f t="shared" ca="1" si="45"/>
        <v>3.4398735005445137E-2</v>
      </c>
      <c r="Y102" s="42">
        <f t="shared" ca="1" si="45"/>
        <v>0.46784682176107234</v>
      </c>
      <c r="Z102" s="42">
        <f t="shared" ca="1" si="45"/>
        <v>6.8954507038423332E-2</v>
      </c>
      <c r="AA102" s="42">
        <f t="shared" ca="1" si="45"/>
        <v>1.7928441712567251</v>
      </c>
      <c r="AB102" s="42">
        <f t="shared" ca="1" si="37"/>
        <v>0</v>
      </c>
      <c r="AC102" s="51">
        <f t="shared" ca="1" si="38"/>
        <v>3.8019445825032268</v>
      </c>
    </row>
    <row r="103" spans="1:29" ht="12" customHeight="1" x14ac:dyDescent="0.25">
      <c r="A103" s="262"/>
      <c r="C103" s="263"/>
      <c r="D103" s="43">
        <f t="shared" si="39"/>
        <v>92</v>
      </c>
      <c r="E103" s="43">
        <f t="shared" si="34"/>
        <v>93</v>
      </c>
      <c r="G103" s="42">
        <f t="shared" ca="1" si="44"/>
        <v>1.3990530673352268E-4</v>
      </c>
      <c r="H103" s="42">
        <f t="shared" ca="1" si="44"/>
        <v>0</v>
      </c>
      <c r="I103" s="42">
        <f t="shared" ca="1" si="44"/>
        <v>1.0279539193458116</v>
      </c>
      <c r="J103" s="42">
        <f t="shared" ca="1" si="44"/>
        <v>0.15150697294445836</v>
      </c>
      <c r="K103" s="42">
        <f t="shared" ca="1" si="44"/>
        <v>0.23124914873064883</v>
      </c>
      <c r="L103" s="42">
        <f t="shared" ca="1" si="44"/>
        <v>3.4083102229388068E-2</v>
      </c>
      <c r="M103" s="42">
        <f t="shared" ca="1" si="44"/>
        <v>0.46355399555398807</v>
      </c>
      <c r="N103" s="42">
        <f t="shared" ca="1" si="44"/>
        <v>6.8321800560271206E-2</v>
      </c>
      <c r="O103" s="42">
        <f t="shared" ca="1" si="44"/>
        <v>1.790250201407386</v>
      </c>
      <c r="P103" s="42">
        <f t="shared" ca="1" si="35"/>
        <v>0</v>
      </c>
      <c r="Q103" s="51">
        <f t="shared" ca="1" si="36"/>
        <v>3.7670590460786855</v>
      </c>
      <c r="S103" s="42">
        <f t="shared" ca="1" si="45"/>
        <v>1.3275308206768144E-2</v>
      </c>
      <c r="T103" s="42">
        <f t="shared" ca="1" si="45"/>
        <v>0</v>
      </c>
      <c r="U103" s="42">
        <f t="shared" ca="1" si="45"/>
        <v>1.0287681127050343</v>
      </c>
      <c r="V103" s="42">
        <f t="shared" ca="1" si="45"/>
        <v>0.15162697440456838</v>
      </c>
      <c r="W103" s="42">
        <f t="shared" ca="1" si="45"/>
        <v>0.2314323101717202</v>
      </c>
      <c r="X103" s="42">
        <f t="shared" ca="1" si="45"/>
        <v>3.4110097831987193E-2</v>
      </c>
      <c r="Y103" s="42">
        <f t="shared" ca="1" si="45"/>
        <v>0.46392115460432898</v>
      </c>
      <c r="Z103" s="42">
        <f t="shared" ca="1" si="45"/>
        <v>6.8375915005733603E-2</v>
      </c>
      <c r="AA103" s="42">
        <f t="shared" ca="1" si="45"/>
        <v>1.7785328812714427</v>
      </c>
      <c r="AB103" s="42">
        <f t="shared" ca="1" si="37"/>
        <v>0</v>
      </c>
      <c r="AC103" s="51">
        <f t="shared" ca="1" si="38"/>
        <v>3.7700427542015835</v>
      </c>
    </row>
    <row r="104" spans="1:29" ht="12" customHeight="1" x14ac:dyDescent="0.25">
      <c r="A104" s="262"/>
      <c r="C104" s="263"/>
      <c r="D104" s="43">
        <f t="shared" si="39"/>
        <v>93</v>
      </c>
      <c r="E104" s="43">
        <f t="shared" si="34"/>
        <v>93.25</v>
      </c>
      <c r="G104" s="42">
        <f t="shared" ca="1" si="44"/>
        <v>1.3147839645566163E-4</v>
      </c>
      <c r="H104" s="42">
        <f t="shared" ca="1" si="44"/>
        <v>0</v>
      </c>
      <c r="I104" s="42">
        <f t="shared" ca="1" si="44"/>
        <v>1.0193284360634172</v>
      </c>
      <c r="J104" s="42">
        <f t="shared" ca="1" si="44"/>
        <v>0.15023568943874413</v>
      </c>
      <c r="K104" s="42">
        <f t="shared" ca="1" si="44"/>
        <v>0.22930875468291412</v>
      </c>
      <c r="L104" s="42">
        <f t="shared" ca="1" si="44"/>
        <v>3.3797113506587331E-2</v>
      </c>
      <c r="M104" s="42">
        <f t="shared" ca="1" si="44"/>
        <v>0.45966434917598448</v>
      </c>
      <c r="N104" s="42">
        <f t="shared" ca="1" si="44"/>
        <v>6.7748517519596832E-2</v>
      </c>
      <c r="O104" s="42">
        <f t="shared" ca="1" si="44"/>
        <v>1.7752356008805439</v>
      </c>
      <c r="P104" s="42">
        <f t="shared" ca="1" si="35"/>
        <v>0</v>
      </c>
      <c r="Q104" s="51">
        <f t="shared" ca="1" si="36"/>
        <v>3.7354499396642438</v>
      </c>
      <c r="S104" s="42">
        <f t="shared" ca="1" si="45"/>
        <v>1.2475697142818537E-2</v>
      </c>
      <c r="T104" s="42">
        <f t="shared" ca="1" si="45"/>
        <v>0</v>
      </c>
      <c r="U104" s="42">
        <f t="shared" ca="1" si="45"/>
        <v>1.0201357975879863</v>
      </c>
      <c r="V104" s="42">
        <f t="shared" ca="1" si="45"/>
        <v>0.15035468397571436</v>
      </c>
      <c r="W104" s="42">
        <f t="shared" ca="1" si="45"/>
        <v>0.22949037923024135</v>
      </c>
      <c r="X104" s="42">
        <f t="shared" ca="1" si="45"/>
        <v>3.3823882591134877E-2</v>
      </c>
      <c r="Y104" s="42">
        <f t="shared" ca="1" si="45"/>
        <v>0.46002842742261313</v>
      </c>
      <c r="Z104" s="42">
        <f t="shared" ca="1" si="45"/>
        <v>6.7802177894856389E-2</v>
      </c>
      <c r="AA104" s="42">
        <f t="shared" ca="1" si="45"/>
        <v>1.7642975658734772</v>
      </c>
      <c r="AB104" s="42">
        <f t="shared" ca="1" si="37"/>
        <v>0</v>
      </c>
      <c r="AC104" s="51">
        <f t="shared" ca="1" si="38"/>
        <v>3.7384086117188424</v>
      </c>
    </row>
    <row r="105" spans="1:29" ht="12" customHeight="1" x14ac:dyDescent="0.25">
      <c r="A105" s="262"/>
      <c r="C105" s="263"/>
      <c r="D105" s="43">
        <f t="shared" si="39"/>
        <v>94</v>
      </c>
      <c r="E105" s="43">
        <f t="shared" si="34"/>
        <v>93.5</v>
      </c>
      <c r="G105" s="42">
        <f t="shared" ca="1" si="44"/>
        <v>1.2355906389939747E-4</v>
      </c>
      <c r="H105" s="42">
        <f t="shared" ca="1" si="44"/>
        <v>0</v>
      </c>
      <c r="I105" s="42">
        <f t="shared" ca="1" si="44"/>
        <v>1.0107753285562933</v>
      </c>
      <c r="J105" s="42">
        <f t="shared" ca="1" si="44"/>
        <v>0.14897507317639497</v>
      </c>
      <c r="K105" s="42">
        <f t="shared" ca="1" si="44"/>
        <v>0.22738464233429551</v>
      </c>
      <c r="L105" s="42">
        <f t="shared" ca="1" si="44"/>
        <v>3.3513524493443837E-2</v>
      </c>
      <c r="M105" s="42">
        <f t="shared" ca="1" si="44"/>
        <v>0.45580734052538918</v>
      </c>
      <c r="N105" s="42">
        <f t="shared" ca="1" si="44"/>
        <v>6.7180044853386092E-2</v>
      </c>
      <c r="O105" s="42">
        <f t="shared" ca="1" si="44"/>
        <v>1.7603465498584729</v>
      </c>
      <c r="P105" s="42">
        <f t="shared" ca="1" si="35"/>
        <v>0</v>
      </c>
      <c r="Q105" s="51">
        <f t="shared" ca="1" si="36"/>
        <v>3.7041060628615754</v>
      </c>
      <c r="S105" s="42">
        <f t="shared" ca="1" si="45"/>
        <v>1.1724249017433677E-2</v>
      </c>
      <c r="T105" s="42">
        <f t="shared" ca="1" si="45"/>
        <v>0</v>
      </c>
      <c r="U105" s="42">
        <f t="shared" ca="1" si="45"/>
        <v>1.0115759155716142</v>
      </c>
      <c r="V105" s="42">
        <f t="shared" ca="1" si="45"/>
        <v>0.14909306923924098</v>
      </c>
      <c r="W105" s="42">
        <f t="shared" ca="1" si="45"/>
        <v>0.2275647428838373</v>
      </c>
      <c r="X105" s="42">
        <f t="shared" ca="1" si="45"/>
        <v>3.3540068960635584E-2</v>
      </c>
      <c r="Y105" s="42">
        <f t="shared" ca="1" si="45"/>
        <v>0.45616836381909565</v>
      </c>
      <c r="Z105" s="42">
        <f t="shared" ca="1" si="45"/>
        <v>6.7233254968511388E-2</v>
      </c>
      <c r="AA105" s="42">
        <f t="shared" ca="1" si="45"/>
        <v>1.7501402444632534</v>
      </c>
      <c r="AB105" s="42">
        <f t="shared" ca="1" si="37"/>
        <v>0</v>
      </c>
      <c r="AC105" s="51">
        <f t="shared" ca="1" si="38"/>
        <v>3.7070399089236217</v>
      </c>
    </row>
    <row r="106" spans="1:29" ht="12" customHeight="1" x14ac:dyDescent="0.25">
      <c r="A106" s="262"/>
      <c r="C106" s="263"/>
      <c r="D106" s="43">
        <f t="shared" si="39"/>
        <v>95</v>
      </c>
      <c r="E106" s="43">
        <f t="shared" si="34"/>
        <v>93.75</v>
      </c>
      <c r="G106" s="42">
        <f t="shared" ca="1" si="44"/>
        <v>1.1611673615782053E-4</v>
      </c>
      <c r="H106" s="42">
        <f t="shared" ca="1" si="44"/>
        <v>0</v>
      </c>
      <c r="I106" s="42">
        <f t="shared" ca="1" si="44"/>
        <v>1.0022939895248049</v>
      </c>
      <c r="J106" s="42">
        <f t="shared" ca="1" si="44"/>
        <v>0.14772503464938178</v>
      </c>
      <c r="K106" s="42">
        <f t="shared" ca="1" si="44"/>
        <v>0.22547667506629201</v>
      </c>
      <c r="L106" s="42">
        <f t="shared" ca="1" si="44"/>
        <v>3.3232315054176093E-2</v>
      </c>
      <c r="M106" s="42">
        <f t="shared" ca="1" si="44"/>
        <v>0.45198269574150968</v>
      </c>
      <c r="N106" s="42">
        <f t="shared" ca="1" si="44"/>
        <v>6.6616342198152129E-2</v>
      </c>
      <c r="O106" s="42">
        <f t="shared" ca="1" si="44"/>
        <v>1.7455820211786732</v>
      </c>
      <c r="P106" s="42">
        <f t="shared" ca="1" si="35"/>
        <v>0</v>
      </c>
      <c r="Q106" s="51">
        <f t="shared" ca="1" si="36"/>
        <v>3.6730251901491471</v>
      </c>
      <c r="S106" s="42">
        <f t="shared" ca="1" si="45"/>
        <v>1.1018062834422072E-2</v>
      </c>
      <c r="T106" s="42">
        <f t="shared" ca="1" si="45"/>
        <v>0</v>
      </c>
      <c r="U106" s="42">
        <f t="shared" ca="1" si="45"/>
        <v>1.0030878588752705</v>
      </c>
      <c r="V106" s="42">
        <f t="shared" ca="1" si="45"/>
        <v>0.14784204061622416</v>
      </c>
      <c r="W106" s="42">
        <f t="shared" ca="1" si="45"/>
        <v>0.22565526440579806</v>
      </c>
      <c r="X106" s="42">
        <f t="shared" ca="1" si="45"/>
        <v>3.3258636788759219E-2</v>
      </c>
      <c r="Y106" s="42">
        <f t="shared" ca="1" si="45"/>
        <v>0.45234068971617197</v>
      </c>
      <c r="Z106" s="42">
        <f t="shared" ca="1" si="45"/>
        <v>6.666910583124179E-2</v>
      </c>
      <c r="AA106" s="42">
        <f t="shared" ca="1" si="45"/>
        <v>1.7360627594637732</v>
      </c>
      <c r="AB106" s="42">
        <f t="shared" ca="1" si="37"/>
        <v>0</v>
      </c>
      <c r="AC106" s="51">
        <f t="shared" ca="1" si="38"/>
        <v>3.6759344185316611</v>
      </c>
    </row>
    <row r="107" spans="1:29" ht="12" customHeight="1" x14ac:dyDescent="0.25">
      <c r="A107" s="262"/>
      <c r="C107" s="263"/>
      <c r="D107" s="43">
        <f t="shared" si="39"/>
        <v>96</v>
      </c>
      <c r="E107" s="43">
        <f t="shared" ref="E107:E131" si="46">A.cohortAge+D107*AB.cycleLength</f>
        <v>94</v>
      </c>
      <c r="G107" s="42">
        <f t="shared" ca="1" si="44"/>
        <v>1.0912268182059817E-4</v>
      </c>
      <c r="H107" s="42">
        <f t="shared" ca="1" si="44"/>
        <v>0</v>
      </c>
      <c r="I107" s="42">
        <f t="shared" ca="1" si="44"/>
        <v>0.9938838167651225</v>
      </c>
      <c r="J107" s="42">
        <f t="shared" ca="1" si="44"/>
        <v>0.14648548510073053</v>
      </c>
      <c r="K107" s="42">
        <f t="shared" ca="1" si="44"/>
        <v>0.22358471740675814</v>
      </c>
      <c r="L107" s="42">
        <f t="shared" ca="1" si="44"/>
        <v>3.2953465221960389E-2</v>
      </c>
      <c r="M107" s="42">
        <f t="shared" ca="1" si="44"/>
        <v>0.44819014326159795</v>
      </c>
      <c r="N107" s="42">
        <f t="shared" ca="1" si="44"/>
        <v>6.6057369529095036E-2</v>
      </c>
      <c r="O107" s="42">
        <f t="shared" ca="1" si="44"/>
        <v>1.7309409947125243</v>
      </c>
      <c r="P107" s="42">
        <f t="shared" ref="P107:P131" ca="1" si="47">AVERAGE(OFFSET(AB.Trace.MarkovQA.Root, $D107, (P$2-1)*AB.Trace.MarkovQA.NumCols+P$3-1))*INDEX(AB.rngC.ByState, P$3)</f>
        <v>0</v>
      </c>
      <c r="Q107" s="51">
        <f t="shared" ref="Q107:Q131" ca="1" si="48">SUM(G107:P107)</f>
        <v>3.6422051146796095</v>
      </c>
      <c r="S107" s="42">
        <f t="shared" ca="1" si="45"/>
        <v>1.0354412333170119E-2</v>
      </c>
      <c r="T107" s="42">
        <f t="shared" ca="1" si="45"/>
        <v>0</v>
      </c>
      <c r="U107" s="42">
        <f t="shared" ca="1" si="45"/>
        <v>0.99467102481814917</v>
      </c>
      <c r="V107" s="42">
        <f t="shared" ca="1" si="45"/>
        <v>0.14660150927938964</v>
      </c>
      <c r="W107" s="42">
        <f t="shared" ca="1" si="45"/>
        <v>0.22376180821667704</v>
      </c>
      <c r="X107" s="42">
        <f t="shared" ca="1" si="45"/>
        <v>3.2979566092867292E-2</v>
      </c>
      <c r="Y107" s="42">
        <f t="shared" ca="1" si="45"/>
        <v>0.44854513333600216</v>
      </c>
      <c r="Z107" s="42">
        <f t="shared" ca="1" si="45"/>
        <v>6.6109690426545895E-2</v>
      </c>
      <c r="AA107" s="42">
        <f t="shared" ca="1" si="45"/>
        <v>1.7220667874448687</v>
      </c>
      <c r="AB107" s="42">
        <f t="shared" ref="AB107:AB131" ca="1" si="49">AVERAGE(OFFSET(AB.Trace.MarkovQA.Root, $D107, (AB$2-1)*AB.Trace.MarkovQA.NumCols+AB$3-1))*INDEX(AB.rngC.ByState, AB$3)</f>
        <v>0</v>
      </c>
      <c r="AC107" s="51">
        <f t="shared" ref="AC107:AC131" ca="1" si="50">SUM(S107:AB107)</f>
        <v>3.6450899319476697</v>
      </c>
    </row>
    <row r="108" spans="1:29" ht="12" customHeight="1" x14ac:dyDescent="0.25">
      <c r="A108" s="262"/>
      <c r="C108" s="263"/>
      <c r="D108" s="43">
        <f t="shared" ref="D108:D131" si="51">D107+1</f>
        <v>97</v>
      </c>
      <c r="E108" s="43">
        <f t="shared" si="46"/>
        <v>94.25</v>
      </c>
      <c r="G108" s="42">
        <f t="shared" ca="1" si="44"/>
        <v>1.0254990005519122E-4</v>
      </c>
      <c r="H108" s="42">
        <f t="shared" ca="1" si="44"/>
        <v>0</v>
      </c>
      <c r="I108" s="42">
        <f t="shared" ca="1" si="44"/>
        <v>0.98554421312646368</v>
      </c>
      <c r="J108" s="42">
        <f t="shared" ca="1" si="44"/>
        <v>0.14525633651822026</v>
      </c>
      <c r="K108" s="42">
        <f t="shared" ca="1" si="44"/>
        <v>0.22170863502028487</v>
      </c>
      <c r="L108" s="42">
        <f t="shared" ca="1" si="44"/>
        <v>3.2676955197513111E-2</v>
      </c>
      <c r="M108" s="42">
        <f t="shared" ca="1" si="44"/>
        <v>0.44442941380156814</v>
      </c>
      <c r="N108" s="42">
        <f t="shared" ca="1" si="44"/>
        <v>6.5503087157259957E-2</v>
      </c>
      <c r="O108" s="42">
        <f t="shared" ca="1" si="44"/>
        <v>1.7164224574017344</v>
      </c>
      <c r="P108" s="42">
        <f t="shared" ca="1" si="47"/>
        <v>0</v>
      </c>
      <c r="Q108" s="51">
        <f t="shared" ca="1" si="48"/>
        <v>3.6116436481230991</v>
      </c>
      <c r="S108" s="42">
        <f t="shared" ca="1" si="45"/>
        <v>9.7307354638016211E-3</v>
      </c>
      <c r="T108" s="42">
        <f t="shared" ca="1" si="45"/>
        <v>0</v>
      </c>
      <c r="U108" s="42">
        <f t="shared" ca="1" si="45"/>
        <v>0.98632481577649178</v>
      </c>
      <c r="V108" s="42">
        <f t="shared" ca="1" si="45"/>
        <v>0.14537138714680622</v>
      </c>
      <c r="W108" s="42">
        <f t="shared" ca="1" si="45"/>
        <v>0.2218842398746646</v>
      </c>
      <c r="X108" s="42">
        <f t="shared" ca="1" si="45"/>
        <v>3.2702837057994129E-2</v>
      </c>
      <c r="Y108" s="42">
        <f t="shared" ca="1" si="45"/>
        <v>0.44478142518121311</v>
      </c>
      <c r="Z108" s="42">
        <f t="shared" ca="1" si="45"/>
        <v>6.5554969034033142E-2</v>
      </c>
      <c r="AA108" s="42">
        <f t="shared" ca="1" si="45"/>
        <v>1.7081538495735094</v>
      </c>
      <c r="AB108" s="42">
        <f t="shared" ca="1" si="49"/>
        <v>0</v>
      </c>
      <c r="AC108" s="51">
        <f t="shared" ca="1" si="50"/>
        <v>3.6145042591085135</v>
      </c>
    </row>
    <row r="109" spans="1:29" ht="12" customHeight="1" x14ac:dyDescent="0.25">
      <c r="A109" s="262"/>
      <c r="C109" s="263"/>
      <c r="D109" s="43">
        <f t="shared" si="51"/>
        <v>98</v>
      </c>
      <c r="E109" s="43">
        <f t="shared" si="46"/>
        <v>94.5</v>
      </c>
      <c r="G109" s="42">
        <f t="shared" ca="1" si="44"/>
        <v>9.6373016369036884E-5</v>
      </c>
      <c r="H109" s="42">
        <f t="shared" ca="1" si="44"/>
        <v>0</v>
      </c>
      <c r="I109" s="42">
        <f t="shared" ca="1" si="44"/>
        <v>0.97727458646869214</v>
      </c>
      <c r="J109" s="42">
        <f t="shared" ca="1" si="44"/>
        <v>0.14403750162813381</v>
      </c>
      <c r="K109" s="42">
        <f t="shared" ca="1" si="44"/>
        <v>0.21984829469866132</v>
      </c>
      <c r="L109" s="42">
        <f t="shared" ca="1" si="44"/>
        <v>3.2402765347684936E-2</v>
      </c>
      <c r="M109" s="42">
        <f t="shared" ca="1" si="44"/>
        <v>0.44070024033687677</v>
      </c>
      <c r="N109" s="42">
        <f t="shared" ca="1" si="44"/>
        <v>6.4953455726719039E-2</v>
      </c>
      <c r="O109" s="42">
        <f t="shared" ca="1" si="44"/>
        <v>1.7020254032887274</v>
      </c>
      <c r="P109" s="42">
        <f t="shared" ca="1" si="47"/>
        <v>0</v>
      </c>
      <c r="Q109" s="51">
        <f t="shared" ca="1" si="48"/>
        <v>3.5813386205118647</v>
      </c>
      <c r="S109" s="42">
        <f t="shared" ca="1" si="45"/>
        <v>9.1446244962795509E-3</v>
      </c>
      <c r="T109" s="42">
        <f t="shared" ca="1" si="45"/>
        <v>0</v>
      </c>
      <c r="U109" s="42">
        <f t="shared" ca="1" si="45"/>
        <v>0.97804863914115669</v>
      </c>
      <c r="V109" s="42">
        <f t="shared" ca="1" si="45"/>
        <v>0.1441515868756314</v>
      </c>
      <c r="W109" s="42">
        <f t="shared" ca="1" si="45"/>
        <v>0.22002242606604203</v>
      </c>
      <c r="X109" s="42">
        <f t="shared" ca="1" si="45"/>
        <v>3.2428430035439937E-2</v>
      </c>
      <c r="Y109" s="42">
        <f t="shared" ca="1" si="45"/>
        <v>0.44104929801576437</v>
      </c>
      <c r="Z109" s="42">
        <f t="shared" ca="1" si="45"/>
        <v>6.5004902266603742E-2</v>
      </c>
      <c r="AA109" s="42">
        <f t="shared" ca="1" si="45"/>
        <v>1.6943253214307956</v>
      </c>
      <c r="AB109" s="42">
        <f t="shared" ca="1" si="49"/>
        <v>0</v>
      </c>
      <c r="AC109" s="51">
        <f t="shared" ca="1" si="50"/>
        <v>3.5841752283277133</v>
      </c>
    </row>
    <row r="110" spans="1:29" ht="12" customHeight="1" x14ac:dyDescent="0.25">
      <c r="A110" s="262"/>
      <c r="C110" s="263"/>
      <c r="D110" s="43">
        <f t="shared" si="51"/>
        <v>99</v>
      </c>
      <c r="E110" s="43">
        <f t="shared" si="46"/>
        <v>94.75</v>
      </c>
      <c r="G110" s="42">
        <f t="shared" ca="1" si="44"/>
        <v>9.0568184650283227E-5</v>
      </c>
      <c r="H110" s="42">
        <f t="shared" ca="1" si="44"/>
        <v>0</v>
      </c>
      <c r="I110" s="42">
        <f t="shared" ca="1" si="44"/>
        <v>0.96907434962027472</v>
      </c>
      <c r="J110" s="42">
        <f t="shared" ca="1" si="44"/>
        <v>0.14282889388906123</v>
      </c>
      <c r="K110" s="42">
        <f t="shared" ca="1" si="44"/>
        <v>0.21800356435141671</v>
      </c>
      <c r="L110" s="42">
        <f t="shared" ca="1" si="44"/>
        <v>3.2130876204066836E-2</v>
      </c>
      <c r="M110" s="42">
        <f t="shared" ca="1" si="44"/>
        <v>0.4370023580835633</v>
      </c>
      <c r="N110" s="42">
        <f t="shared" ca="1" si="44"/>
        <v>6.4408436211777054E-2</v>
      </c>
      <c r="O110" s="42">
        <f t="shared" ca="1" si="44"/>
        <v>1.6877488335413768</v>
      </c>
      <c r="P110" s="42">
        <f t="shared" ca="1" si="47"/>
        <v>0</v>
      </c>
      <c r="Q110" s="51">
        <f t="shared" ca="1" si="48"/>
        <v>3.5512878800861869</v>
      </c>
      <c r="S110" s="42">
        <f t="shared" ca="1" si="45"/>
        <v>8.5938167252658602E-3</v>
      </c>
      <c r="T110" s="42">
        <f t="shared" ca="1" si="45"/>
        <v>0</v>
      </c>
      <c r="U110" s="42">
        <f t="shared" ca="1" si="45"/>
        <v>0.96984190727554009</v>
      </c>
      <c r="V110" s="42">
        <f t="shared" ca="1" si="45"/>
        <v>0.14294202185590979</v>
      </c>
      <c r="W110" s="42">
        <f t="shared" ca="1" si="45"/>
        <v>0.21817623459571597</v>
      </c>
      <c r="X110" s="42">
        <f t="shared" ca="1" si="45"/>
        <v>3.2156325541375652E-2</v>
      </c>
      <c r="Y110" s="42">
        <f t="shared" ca="1" si="45"/>
        <v>0.43734848684597205</v>
      </c>
      <c r="Z110" s="42">
        <f t="shared" ca="1" si="45"/>
        <v>6.4459451067652052E-2</v>
      </c>
      <c r="AA110" s="42">
        <f t="shared" ca="1" si="45"/>
        <v>1.6805824422338118</v>
      </c>
      <c r="AB110" s="42">
        <f t="shared" ca="1" si="49"/>
        <v>0</v>
      </c>
      <c r="AC110" s="51">
        <f t="shared" ca="1" si="50"/>
        <v>3.5541006861412434</v>
      </c>
    </row>
    <row r="111" spans="1:29" ht="12" customHeight="1" x14ac:dyDescent="0.25">
      <c r="A111" s="262"/>
      <c r="C111" s="263"/>
      <c r="D111" s="43">
        <f t="shared" si="51"/>
        <v>100</v>
      </c>
      <c r="E111" s="43">
        <f t="shared" si="46"/>
        <v>95</v>
      </c>
      <c r="G111" s="42">
        <f t="shared" ref="G111:O120" ca="1" si="52">PRODUCT(AVERAGE(OFFSET(AB.Trace.MarkovQA.Root, $D111, (G$2-1)*AB.Trace.MarkovQA.NumCols+G$3-1, CHOOSE(swtchHalfCycle, 2, 1))), G$6)</f>
        <v>8.5112995108900237E-5</v>
      </c>
      <c r="H111" s="42">
        <f t="shared" ca="1" si="52"/>
        <v>0</v>
      </c>
      <c r="I111" s="42">
        <f t="shared" ca="1" si="52"/>
        <v>0.96094292033659001</v>
      </c>
      <c r="J111" s="42">
        <f t="shared" ca="1" si="52"/>
        <v>0.14163042748575491</v>
      </c>
      <c r="K111" s="42">
        <f t="shared" ca="1" si="52"/>
        <v>0.21617431299644138</v>
      </c>
      <c r="L111" s="42">
        <f t="shared" ca="1" si="52"/>
        <v>3.1861268461607681E-2</v>
      </c>
      <c r="M111" s="42">
        <f t="shared" ca="1" si="52"/>
        <v>0.43333550447944891</v>
      </c>
      <c r="N111" s="42">
        <f t="shared" ca="1" si="52"/>
        <v>6.3867989914200396E-2</v>
      </c>
      <c r="O111" s="42">
        <f t="shared" ca="1" si="52"/>
        <v>1.6735917564724494</v>
      </c>
      <c r="P111" s="42">
        <f t="shared" ca="1" si="47"/>
        <v>0</v>
      </c>
      <c r="Q111" s="51">
        <f t="shared" ca="1" si="48"/>
        <v>3.5214892931416015</v>
      </c>
      <c r="S111" s="42">
        <f t="shared" ref="S111:AA120" ca="1" si="53">PRODUCT(AVERAGE(OFFSET(AB.Trace.MarkovQA.Root, $D111, (S$2-1)*AB.Trace.MarkovQA.NumCols+S$3-1, CHOOSE(swtchHalfCycle, 2, 1))), S$6)</f>
        <v>8.0761857348550809E-3</v>
      </c>
      <c r="T111" s="42">
        <f t="shared" ca="1" si="53"/>
        <v>0</v>
      </c>
      <c r="U111" s="42">
        <f t="shared" ca="1" si="53"/>
        <v>0.96170403747385258</v>
      </c>
      <c r="V111" s="42">
        <f t="shared" ca="1" si="53"/>
        <v>0.14174260620442372</v>
      </c>
      <c r="W111" s="42">
        <f t="shared" ca="1" si="53"/>
        <v>0.21634553437783194</v>
      </c>
      <c r="X111" s="42">
        <f t="shared" ca="1" si="53"/>
        <v>3.1886504255459573E-2</v>
      </c>
      <c r="Y111" s="42">
        <f t="shared" ca="1" si="53"/>
        <v>0.43367872890169457</v>
      </c>
      <c r="Z111" s="42">
        <f t="shared" ca="1" si="53"/>
        <v>6.3918576708293429E-2</v>
      </c>
      <c r="AA111" s="42">
        <f t="shared" ca="1" si="53"/>
        <v>1.6669263234982217</v>
      </c>
      <c r="AB111" s="42">
        <f t="shared" ca="1" si="49"/>
        <v>0</v>
      </c>
      <c r="AC111" s="51">
        <f t="shared" ca="1" si="50"/>
        <v>3.5242784971546328</v>
      </c>
    </row>
    <row r="112" spans="1:29" ht="12" customHeight="1" x14ac:dyDescent="0.25">
      <c r="A112" s="262"/>
      <c r="C112" s="263"/>
      <c r="D112" s="43">
        <f t="shared" si="51"/>
        <v>101</v>
      </c>
      <c r="E112" s="43">
        <f t="shared" si="46"/>
        <v>95.25</v>
      </c>
      <c r="G112" s="42">
        <f t="shared" ca="1" si="52"/>
        <v>7.9986387762769664E-5</v>
      </c>
      <c r="H112" s="42">
        <f t="shared" ca="1" si="52"/>
        <v>0</v>
      </c>
      <c r="I112" s="42">
        <f t="shared" ca="1" si="52"/>
        <v>0.95287972125858722</v>
      </c>
      <c r="J112" s="42">
        <f t="shared" ca="1" si="52"/>
        <v>0.14044201732303654</v>
      </c>
      <c r="K112" s="42">
        <f t="shared" ca="1" si="52"/>
        <v>0.21436041075068646</v>
      </c>
      <c r="L112" s="42">
        <f t="shared" ca="1" si="52"/>
        <v>3.1593922977243581E-2</v>
      </c>
      <c r="M112" s="42">
        <f t="shared" ca="1" si="52"/>
        <v>0.4296994191654942</v>
      </c>
      <c r="N112" s="42">
        <f t="shared" ca="1" si="52"/>
        <v>6.3332078460469426E-2</v>
      </c>
      <c r="O112" s="42">
        <f t="shared" ca="1" si="52"/>
        <v>1.6595531875541147</v>
      </c>
      <c r="P112" s="42">
        <f t="shared" ca="1" si="47"/>
        <v>0</v>
      </c>
      <c r="Q112" s="51">
        <f t="shared" ca="1" si="48"/>
        <v>3.4919407438773948</v>
      </c>
      <c r="S112" s="42">
        <f t="shared" ca="1" si="53"/>
        <v>7.5897331894588301E-3</v>
      </c>
      <c r="T112" s="42">
        <f t="shared" ca="1" si="53"/>
        <v>0</v>
      </c>
      <c r="U112" s="42">
        <f t="shared" ca="1" si="53"/>
        <v>0.95363445191974427</v>
      </c>
      <c r="V112" s="42">
        <f t="shared" ca="1" si="53"/>
        <v>0.14055325475859498</v>
      </c>
      <c r="W112" s="42">
        <f t="shared" ca="1" si="53"/>
        <v>0.21453019542646704</v>
      </c>
      <c r="X112" s="42">
        <f t="shared" ca="1" si="53"/>
        <v>3.1618947019465472E-2</v>
      </c>
      <c r="Y112" s="42">
        <f t="shared" ca="1" si="53"/>
        <v>0.43003976361767476</v>
      </c>
      <c r="Z112" s="42">
        <f t="shared" ca="1" si="53"/>
        <v>6.338224078461438E-2</v>
      </c>
      <c r="AA112" s="42">
        <f t="shared" ca="1" si="53"/>
        <v>1.6533579571753236</v>
      </c>
      <c r="AB112" s="42">
        <f t="shared" ca="1" si="49"/>
        <v>0</v>
      </c>
      <c r="AC112" s="51">
        <f t="shared" ca="1" si="50"/>
        <v>3.4947065438913434</v>
      </c>
    </row>
    <row r="113" spans="1:29" ht="12" customHeight="1" x14ac:dyDescent="0.25">
      <c r="A113" s="262"/>
      <c r="C113" s="263"/>
      <c r="D113" s="43">
        <f t="shared" si="51"/>
        <v>102</v>
      </c>
      <c r="E113" s="43">
        <f t="shared" si="46"/>
        <v>95.5</v>
      </c>
      <c r="G113" s="42">
        <f t="shared" ca="1" si="52"/>
        <v>7.5168571134763529E-5</v>
      </c>
      <c r="H113" s="42">
        <f t="shared" ca="1" si="52"/>
        <v>0</v>
      </c>
      <c r="I113" s="42">
        <f t="shared" ca="1" si="52"/>
        <v>0.94488417987179119</v>
      </c>
      <c r="J113" s="42">
        <f t="shared" ca="1" si="52"/>
        <v>0.13926357901975489</v>
      </c>
      <c r="K113" s="42">
        <f t="shared" ca="1" si="52"/>
        <v>0.2125617288209421</v>
      </c>
      <c r="L113" s="42">
        <f t="shared" ca="1" si="52"/>
        <v>3.1328820768538643E-2</v>
      </c>
      <c r="M113" s="42">
        <f t="shared" ca="1" si="52"/>
        <v>0.42609384396731281</v>
      </c>
      <c r="N113" s="42">
        <f t="shared" ca="1" si="52"/>
        <v>6.2800663799053746E-2</v>
      </c>
      <c r="O113" s="42">
        <f t="shared" ca="1" si="52"/>
        <v>1.645632149427849</v>
      </c>
      <c r="P113" s="42">
        <f t="shared" ca="1" si="47"/>
        <v>0</v>
      </c>
      <c r="Q113" s="51">
        <f t="shared" ca="1" si="48"/>
        <v>3.4626401342463771</v>
      </c>
      <c r="S113" s="42">
        <f t="shared" ca="1" si="53"/>
        <v>7.1325811191496283E-3</v>
      </c>
      <c r="T113" s="42">
        <f t="shared" ca="1" si="53"/>
        <v>0</v>
      </c>
      <c r="U113" s="42">
        <f t="shared" ca="1" si="53"/>
        <v>0.94563257764527897</v>
      </c>
      <c r="V113" s="42">
        <f t="shared" ca="1" si="53"/>
        <v>0.13937388307043805</v>
      </c>
      <c r="W113" s="42">
        <f t="shared" ca="1" si="53"/>
        <v>0.21273008884640027</v>
      </c>
      <c r="X113" s="42">
        <f t="shared" ca="1" si="53"/>
        <v>3.1353634835922385E-2</v>
      </c>
      <c r="Y113" s="42">
        <f t="shared" ca="1" si="53"/>
        <v>0.42643133261503813</v>
      </c>
      <c r="Z113" s="42">
        <f t="shared" ca="1" si="53"/>
        <v>6.285040521494574E-2</v>
      </c>
      <c r="AA113" s="42">
        <f t="shared" ca="1" si="53"/>
        <v>1.6398782232952485</v>
      </c>
      <c r="AB113" s="42">
        <f t="shared" ca="1" si="49"/>
        <v>0</v>
      </c>
      <c r="AC113" s="51">
        <f t="shared" ca="1" si="50"/>
        <v>3.4653827266424218</v>
      </c>
    </row>
    <row r="114" spans="1:29" ht="12" customHeight="1" x14ac:dyDescent="0.25">
      <c r="A114" s="262"/>
      <c r="C114" s="263"/>
      <c r="D114" s="43">
        <f t="shared" si="51"/>
        <v>103</v>
      </c>
      <c r="E114" s="43">
        <f t="shared" si="46"/>
        <v>95.75</v>
      </c>
      <c r="G114" s="42">
        <f t="shared" ca="1" si="52"/>
        <v>7.06409458469381E-5</v>
      </c>
      <c r="H114" s="42">
        <f t="shared" ca="1" si="52"/>
        <v>0</v>
      </c>
      <c r="I114" s="42">
        <f t="shared" ca="1" si="52"/>
        <v>0.93695572846565234</v>
      </c>
      <c r="J114" s="42">
        <f t="shared" ca="1" si="52"/>
        <v>0.13809502890279463</v>
      </c>
      <c r="K114" s="42">
        <f t="shared" ca="1" si="52"/>
        <v>0.21077813949469218</v>
      </c>
      <c r="L114" s="42">
        <f t="shared" ca="1" si="52"/>
        <v>3.1065943012337147E-2</v>
      </c>
      <c r="M114" s="42">
        <f t="shared" ca="1" si="52"/>
        <v>0.42251852287684005</v>
      </c>
      <c r="N114" s="42">
        <f t="shared" ca="1" si="52"/>
        <v>6.2273708197710512E-2</v>
      </c>
      <c r="O114" s="42">
        <f t="shared" ca="1" si="52"/>
        <v>1.6318276719100384</v>
      </c>
      <c r="P114" s="42">
        <f t="shared" ca="1" si="47"/>
        <v>0</v>
      </c>
      <c r="Q114" s="51">
        <f t="shared" ca="1" si="48"/>
        <v>3.4335853838059123</v>
      </c>
      <c r="S114" s="42">
        <f t="shared" ca="1" si="53"/>
        <v>6.7029646696812545E-3</v>
      </c>
      <c r="T114" s="42">
        <f t="shared" ca="1" si="53"/>
        <v>0</v>
      </c>
      <c r="U114" s="42">
        <f t="shared" ca="1" si="53"/>
        <v>0.93769784649025034</v>
      </c>
      <c r="V114" s="42">
        <f t="shared" ca="1" si="53"/>
        <v>0.13820440740056414</v>
      </c>
      <c r="W114" s="42">
        <f t="shared" ca="1" si="53"/>
        <v>0.21094508682396076</v>
      </c>
      <c r="X114" s="42">
        <f t="shared" ca="1" si="53"/>
        <v>3.1090548866765655E-2</v>
      </c>
      <c r="Y114" s="42">
        <f t="shared" ca="1" si="53"/>
        <v>0.42285317968294855</v>
      </c>
      <c r="Z114" s="42">
        <f t="shared" ca="1" si="53"/>
        <v>6.2323032237158717E-2</v>
      </c>
      <c r="AA114" s="42">
        <f t="shared" ca="1" si="53"/>
        <v>1.6264878971460832</v>
      </c>
      <c r="AB114" s="42">
        <f t="shared" ca="1" si="49"/>
        <v>0</v>
      </c>
      <c r="AC114" s="51">
        <f t="shared" ca="1" si="50"/>
        <v>3.4363049633174123</v>
      </c>
    </row>
    <row r="115" spans="1:29" ht="12" customHeight="1" x14ac:dyDescent="0.25">
      <c r="A115" s="262"/>
      <c r="C115" s="263"/>
      <c r="D115" s="43">
        <f t="shared" si="51"/>
        <v>104</v>
      </c>
      <c r="E115" s="43">
        <f t="shared" si="46"/>
        <v>96</v>
      </c>
      <c r="G115" s="42">
        <f t="shared" ca="1" si="52"/>
        <v>6.6386032816875368E-5</v>
      </c>
      <c r="H115" s="42">
        <f t="shared" ca="1" si="52"/>
        <v>0</v>
      </c>
      <c r="I115" s="42">
        <f t="shared" ca="1" si="52"/>
        <v>0.92909380409323761</v>
      </c>
      <c r="J115" s="42">
        <f t="shared" ca="1" si="52"/>
        <v>0.13693628400113514</v>
      </c>
      <c r="K115" s="42">
        <f t="shared" ca="1" si="52"/>
        <v>0.20900951613104693</v>
      </c>
      <c r="L115" s="42">
        <f t="shared" ca="1" si="52"/>
        <v>3.0805271043427042E-2</v>
      </c>
      <c r="M115" s="42">
        <f t="shared" ca="1" si="52"/>
        <v>0.41897320203415533</v>
      </c>
      <c r="N115" s="42">
        <f t="shared" ca="1" si="52"/>
        <v>6.1751174240805215E-2</v>
      </c>
      <c r="O115" s="42">
        <f t="shared" ca="1" si="52"/>
        <v>1.6181387919935772</v>
      </c>
      <c r="P115" s="42">
        <f t="shared" ca="1" si="47"/>
        <v>0</v>
      </c>
      <c r="Q115" s="51">
        <f t="shared" ca="1" si="48"/>
        <v>3.4047744295702014</v>
      </c>
      <c r="S115" s="42">
        <f t="shared" ca="1" si="53"/>
        <v>6.2992252891968248E-3</v>
      </c>
      <c r="T115" s="42">
        <f t="shared" ca="1" si="53"/>
        <v>0</v>
      </c>
      <c r="U115" s="42">
        <f t="shared" ca="1" si="53"/>
        <v>0.92982969506184165</v>
      </c>
      <c r="V115" s="42">
        <f t="shared" ca="1" si="53"/>
        <v>0.13704474471223524</v>
      </c>
      <c r="W115" s="42">
        <f t="shared" ca="1" si="53"/>
        <v>0.20917506261795232</v>
      </c>
      <c r="X115" s="42">
        <f t="shared" ca="1" si="53"/>
        <v>3.0829670431999415E-2</v>
      </c>
      <c r="Y115" s="42">
        <f t="shared" ca="1" si="53"/>
        <v>0.41930505076041497</v>
      </c>
      <c r="Z115" s="42">
        <f t="shared" ca="1" si="53"/>
        <v>6.1800084405983696E-2</v>
      </c>
      <c r="AA115" s="42">
        <f t="shared" ca="1" si="53"/>
        <v>1.6131876560169003</v>
      </c>
      <c r="AB115" s="42">
        <f t="shared" ca="1" si="49"/>
        <v>0</v>
      </c>
      <c r="AC115" s="51">
        <f t="shared" ca="1" si="50"/>
        <v>3.4074711892965244</v>
      </c>
    </row>
    <row r="116" spans="1:29" ht="12" customHeight="1" x14ac:dyDescent="0.25">
      <c r="A116" s="262"/>
      <c r="C116" s="263"/>
      <c r="D116" s="43">
        <f t="shared" si="51"/>
        <v>105</v>
      </c>
      <c r="E116" s="43">
        <f t="shared" si="46"/>
        <v>96.25</v>
      </c>
      <c r="G116" s="42">
        <f t="shared" ca="1" si="52"/>
        <v>6.2387405778971118E-5</v>
      </c>
      <c r="H116" s="42">
        <f t="shared" ca="1" si="52"/>
        <v>0</v>
      </c>
      <c r="I116" s="42">
        <f t="shared" ca="1" si="52"/>
        <v>0.92129784853125818</v>
      </c>
      <c r="J116" s="42">
        <f t="shared" ca="1" si="52"/>
        <v>0.13578726203995942</v>
      </c>
      <c r="K116" s="42">
        <f t="shared" ca="1" si="52"/>
        <v>0.20725573315175058</v>
      </c>
      <c r="L116" s="42">
        <f t="shared" ca="1" si="52"/>
        <v>3.0546786353214655E-2</v>
      </c>
      <c r="M116" s="42">
        <f t="shared" ca="1" si="52"/>
        <v>0.41545762970945743</v>
      </c>
      <c r="N116" s="42">
        <f t="shared" ca="1" si="52"/>
        <v>6.1233024826655151E-2</v>
      </c>
      <c r="O116" s="42">
        <f t="shared" ca="1" si="52"/>
        <v>1.604564553845728</v>
      </c>
      <c r="P116" s="42">
        <f t="shared" ca="1" si="47"/>
        <v>0</v>
      </c>
      <c r="Q116" s="51">
        <f t="shared" ca="1" si="48"/>
        <v>3.3762052258638025</v>
      </c>
      <c r="S116" s="42">
        <f t="shared" ca="1" si="53"/>
        <v>5.9198043253215786E-3</v>
      </c>
      <c r="T116" s="42">
        <f t="shared" ca="1" si="53"/>
        <v>0</v>
      </c>
      <c r="U116" s="42">
        <f t="shared" ca="1" si="53"/>
        <v>0.92202756469462266</v>
      </c>
      <c r="V116" s="42">
        <f t="shared" ca="1" si="53"/>
        <v>0.13589481266546832</v>
      </c>
      <c r="W116" s="42">
        <f t="shared" ca="1" si="53"/>
        <v>0.2074198905506546</v>
      </c>
      <c r="X116" s="42">
        <f t="shared" ca="1" si="53"/>
        <v>3.0570981008370222E-2</v>
      </c>
      <c r="Y116" s="42">
        <f t="shared" ca="1" si="53"/>
        <v>0.41578669391825307</v>
      </c>
      <c r="Z116" s="42">
        <f t="shared" ca="1" si="53"/>
        <v>6.1281524590351487E-2</v>
      </c>
      <c r="AA116" s="42">
        <f t="shared" ca="1" si="53"/>
        <v>1.5999780855309909</v>
      </c>
      <c r="AB116" s="42">
        <f t="shared" ca="1" si="49"/>
        <v>0</v>
      </c>
      <c r="AC116" s="51">
        <f t="shared" ca="1" si="50"/>
        <v>3.378879357284033</v>
      </c>
    </row>
    <row r="117" spans="1:29" ht="12" customHeight="1" x14ac:dyDescent="0.25">
      <c r="A117" s="262"/>
      <c r="C117" s="263"/>
      <c r="D117" s="43">
        <f t="shared" si="51"/>
        <v>106</v>
      </c>
      <c r="E117" s="43">
        <f t="shared" si="46"/>
        <v>96.5</v>
      </c>
      <c r="G117" s="42">
        <f t="shared" ca="1" si="52"/>
        <v>5.8629627870165531E-5</v>
      </c>
      <c r="H117" s="42">
        <f t="shared" ca="1" si="52"/>
        <v>0</v>
      </c>
      <c r="I117" s="42">
        <f t="shared" ca="1" si="52"/>
        <v>0.91356730824043508</v>
      </c>
      <c r="J117" s="42">
        <f t="shared" ca="1" si="52"/>
        <v>0.1346478814348121</v>
      </c>
      <c r="K117" s="42">
        <f t="shared" ca="1" si="52"/>
        <v>0.20551666603226479</v>
      </c>
      <c r="L117" s="42">
        <f t="shared" ca="1" si="52"/>
        <v>3.0290470588410518E-2</v>
      </c>
      <c r="M117" s="42">
        <f t="shared" ca="1" si="52"/>
        <v>0.41197155628519078</v>
      </c>
      <c r="N117" s="42">
        <f t="shared" ca="1" si="52"/>
        <v>6.0719223164894982E-2</v>
      </c>
      <c r="O117" s="42">
        <f t="shared" ca="1" si="52"/>
        <v>1.5911040088025017</v>
      </c>
      <c r="P117" s="42">
        <f t="shared" ca="1" si="47"/>
        <v>0</v>
      </c>
      <c r="Q117" s="51">
        <f t="shared" ca="1" si="48"/>
        <v>3.3478757441763802</v>
      </c>
      <c r="S117" s="42">
        <f t="shared" ca="1" si="53"/>
        <v>5.5632370079217036E-3</v>
      </c>
      <c r="T117" s="42">
        <f t="shared" ca="1" si="53"/>
        <v>0</v>
      </c>
      <c r="U117" s="42">
        <f t="shared" ca="1" si="53"/>
        <v>0.91429090141088165</v>
      </c>
      <c r="V117" s="42">
        <f t="shared" ca="1" si="53"/>
        <v>0.13475452961118892</v>
      </c>
      <c r="W117" s="42">
        <f t="shared" ca="1" si="53"/>
        <v>0.20567944599889951</v>
      </c>
      <c r="X117" s="42">
        <f t="shared" ca="1" si="53"/>
        <v>3.0314462228051831E-2</v>
      </c>
      <c r="Y117" s="42">
        <f t="shared" ca="1" si="53"/>
        <v>0.412297859341197</v>
      </c>
      <c r="Z117" s="42">
        <f t="shared" ca="1" si="53"/>
        <v>6.0767315970756838E-2</v>
      </c>
      <c r="AA117" s="42">
        <f t="shared" ca="1" si="53"/>
        <v>1.5868596855940189</v>
      </c>
      <c r="AB117" s="42">
        <f t="shared" ca="1" si="49"/>
        <v>0</v>
      </c>
      <c r="AC117" s="51">
        <f t="shared" ca="1" si="50"/>
        <v>3.3505274371629161</v>
      </c>
    </row>
    <row r="118" spans="1:29" ht="12" customHeight="1" x14ac:dyDescent="0.25">
      <c r="A118" s="262"/>
      <c r="C118" s="263"/>
      <c r="D118" s="43">
        <f t="shared" si="51"/>
        <v>107</v>
      </c>
      <c r="E118" s="43">
        <f t="shared" si="46"/>
        <v>96.75</v>
      </c>
      <c r="G118" s="42">
        <f t="shared" ca="1" si="52"/>
        <v>5.5098192035302495E-5</v>
      </c>
      <c r="H118" s="42">
        <f t="shared" ca="1" si="52"/>
        <v>0</v>
      </c>
      <c r="I118" s="42">
        <f t="shared" ca="1" si="52"/>
        <v>0.90590163432619519</v>
      </c>
      <c r="J118" s="42">
        <f t="shared" ca="1" si="52"/>
        <v>0.13351806128580684</v>
      </c>
      <c r="K118" s="42">
        <f t="shared" ca="1" si="52"/>
        <v>0.20379219129292744</v>
      </c>
      <c r="L118" s="42">
        <f t="shared" ca="1" si="52"/>
        <v>3.0036305549726233E-2</v>
      </c>
      <c r="M118" s="42">
        <f t="shared" ca="1" si="52"/>
        <v>0.4085147342383218</v>
      </c>
      <c r="N118" s="42">
        <f t="shared" ca="1" si="52"/>
        <v>6.0209732773864544E-2</v>
      </c>
      <c r="O118" s="42">
        <f t="shared" ca="1" si="52"/>
        <v>1.5777562153597993</v>
      </c>
      <c r="P118" s="42">
        <f t="shared" ca="1" si="47"/>
        <v>0</v>
      </c>
      <c r="Q118" s="51">
        <f t="shared" ca="1" si="48"/>
        <v>3.3197839730186764</v>
      </c>
      <c r="S118" s="42">
        <f t="shared" ca="1" si="53"/>
        <v>5.2281467942993827E-3</v>
      </c>
      <c r="T118" s="42">
        <f t="shared" ca="1" si="53"/>
        <v>0</v>
      </c>
      <c r="U118" s="42">
        <f t="shared" ca="1" si="53"/>
        <v>0.90661915588129249</v>
      </c>
      <c r="V118" s="42">
        <f t="shared" ca="1" si="53"/>
        <v>0.13362381458543374</v>
      </c>
      <c r="W118" s="42">
        <f t="shared" ca="1" si="53"/>
        <v>0.20395360538522231</v>
      </c>
      <c r="X118" s="42">
        <f t="shared" ca="1" si="53"/>
        <v>3.0060095877341052E-2</v>
      </c>
      <c r="Y118" s="42">
        <f t="shared" ca="1" si="53"/>
        <v>0.40883829931016202</v>
      </c>
      <c r="Z118" s="42">
        <f t="shared" ca="1" si="53"/>
        <v>6.02574220366442E-2</v>
      </c>
      <c r="AA118" s="42">
        <f t="shared" ca="1" si="53"/>
        <v>1.5738328759803164</v>
      </c>
      <c r="AB118" s="42">
        <f t="shared" ca="1" si="49"/>
        <v>0</v>
      </c>
      <c r="AC118" s="51">
        <f t="shared" ca="1" si="50"/>
        <v>3.3224134158507117</v>
      </c>
    </row>
    <row r="119" spans="1:29" ht="12" customHeight="1" x14ac:dyDescent="0.25">
      <c r="A119" s="262"/>
      <c r="C119" s="263"/>
      <c r="D119" s="43">
        <f t="shared" si="51"/>
        <v>108</v>
      </c>
      <c r="E119" s="43">
        <f t="shared" si="46"/>
        <v>97</v>
      </c>
      <c r="G119" s="42">
        <f t="shared" ca="1" si="52"/>
        <v>5.1779465022050462E-5</v>
      </c>
      <c r="H119" s="42">
        <f t="shared" ca="1" si="52"/>
        <v>0</v>
      </c>
      <c r="I119" s="42">
        <f t="shared" ca="1" si="52"/>
        <v>0.89830028249969784</v>
      </c>
      <c r="J119" s="42">
        <f t="shared" ca="1" si="52"/>
        <v>0.13239772137188216</v>
      </c>
      <c r="K119" s="42">
        <f t="shared" ca="1" si="52"/>
        <v>0.20208218649018458</v>
      </c>
      <c r="L119" s="42">
        <f t="shared" ca="1" si="52"/>
        <v>2.9784273190582224E-2</v>
      </c>
      <c r="M119" s="42">
        <f t="shared" ca="1" si="52"/>
        <v>0.40508691812276404</v>
      </c>
      <c r="N119" s="42">
        <f t="shared" ca="1" si="52"/>
        <v>5.9704517478018491E-2</v>
      </c>
      <c r="O119" s="42">
        <f t="shared" ca="1" si="52"/>
        <v>1.5645202391615352</v>
      </c>
      <c r="P119" s="42">
        <f t="shared" ca="1" si="47"/>
        <v>0</v>
      </c>
      <c r="Q119" s="51">
        <f t="shared" ca="1" si="48"/>
        <v>3.2919279177796863</v>
      </c>
      <c r="S119" s="42">
        <f t="shared" ca="1" si="53"/>
        <v>4.9132400549934657E-3</v>
      </c>
      <c r="T119" s="42">
        <f t="shared" ca="1" si="53"/>
        <v>0</v>
      </c>
      <c r="U119" s="42">
        <f t="shared" ca="1" si="53"/>
        <v>0.89901178338590948</v>
      </c>
      <c r="V119" s="42">
        <f t="shared" ca="1" si="53"/>
        <v>0.13250258730360198</v>
      </c>
      <c r="W119" s="42">
        <f t="shared" ca="1" si="53"/>
        <v>0.20224224616908756</v>
      </c>
      <c r="X119" s="42">
        <f t="shared" ca="1" si="53"/>
        <v>2.9807863895364484E-2</v>
      </c>
      <c r="Y119" s="42">
        <f t="shared" ca="1" si="53"/>
        <v>0.4054077681846554</v>
      </c>
      <c r="Z119" s="42">
        <f t="shared" ca="1" si="53"/>
        <v>5.975180658381532E-2</v>
      </c>
      <c r="AA119" s="42">
        <f t="shared" ca="1" si="53"/>
        <v>1.5608980015791498</v>
      </c>
      <c r="AB119" s="42">
        <f t="shared" ca="1" si="49"/>
        <v>0</v>
      </c>
      <c r="AC119" s="51">
        <f t="shared" ca="1" si="50"/>
        <v>3.2945352971565778</v>
      </c>
    </row>
    <row r="120" spans="1:29" ht="12" customHeight="1" x14ac:dyDescent="0.25">
      <c r="A120" s="262"/>
      <c r="C120" s="263"/>
      <c r="D120" s="43">
        <f t="shared" si="51"/>
        <v>109</v>
      </c>
      <c r="E120" s="43">
        <f t="shared" si="46"/>
        <v>97.25</v>
      </c>
      <c r="G120" s="42">
        <f t="shared" ca="1" si="52"/>
        <v>4.866063474917481E-5</v>
      </c>
      <c r="H120" s="42">
        <f t="shared" ca="1" si="52"/>
        <v>0</v>
      </c>
      <c r="I120" s="42">
        <f t="shared" ca="1" si="52"/>
        <v>0.89076271303918886</v>
      </c>
      <c r="J120" s="42">
        <f t="shared" ca="1" si="52"/>
        <v>0.13128678214510531</v>
      </c>
      <c r="K120" s="42">
        <f t="shared" ca="1" si="52"/>
        <v>0.20038653020789707</v>
      </c>
      <c r="L120" s="42">
        <f t="shared" ca="1" si="52"/>
        <v>2.9534355615826416E-2</v>
      </c>
      <c r="M120" s="42">
        <f t="shared" ca="1" si="52"/>
        <v>0.40168786455195005</v>
      </c>
      <c r="N120" s="42">
        <f t="shared" ca="1" si="52"/>
        <v>5.9203541405357753E-2</v>
      </c>
      <c r="O120" s="42">
        <f t="shared" ca="1" si="52"/>
        <v>1.5513951529849592</v>
      </c>
      <c r="P120" s="42">
        <f t="shared" ca="1" si="47"/>
        <v>0</v>
      </c>
      <c r="Q120" s="51">
        <f t="shared" ca="1" si="48"/>
        <v>3.2643056005850344</v>
      </c>
      <c r="S120" s="42">
        <f t="shared" ca="1" si="53"/>
        <v>4.617301079670076E-3</v>
      </c>
      <c r="T120" s="42">
        <f t="shared" ca="1" si="53"/>
        <v>0</v>
      </c>
      <c r="U120" s="42">
        <f t="shared" ca="1" si="53"/>
        <v>0.89146824377549017</v>
      </c>
      <c r="V120" s="42">
        <f t="shared" ca="1" si="53"/>
        <v>0.13139076815475476</v>
      </c>
      <c r="W120" s="42">
        <f t="shared" ca="1" si="53"/>
        <v>0.20054524683818806</v>
      </c>
      <c r="X120" s="42">
        <f t="shared" ca="1" si="53"/>
        <v>2.9557748372796143E-2</v>
      </c>
      <c r="Y120" s="42">
        <f t="shared" ca="1" si="53"/>
        <v>0.402006022385335</v>
      </c>
      <c r="Z120" s="42">
        <f t="shared" ca="1" si="53"/>
        <v>5.9250433711858612E-2</v>
      </c>
      <c r="AA120" s="42">
        <f t="shared" ca="1" si="53"/>
        <v>1.5480553373214645</v>
      </c>
      <c r="AB120" s="42">
        <f t="shared" ca="1" si="49"/>
        <v>0</v>
      </c>
      <c r="AC120" s="51">
        <f t="shared" ca="1" si="50"/>
        <v>3.2668911016395574</v>
      </c>
    </row>
    <row r="121" spans="1:29" ht="12" customHeight="1" x14ac:dyDescent="0.25">
      <c r="A121" s="262"/>
      <c r="C121" s="263"/>
      <c r="D121" s="43">
        <f t="shared" si="51"/>
        <v>110</v>
      </c>
      <c r="E121" s="43">
        <f t="shared" si="46"/>
        <v>97.5</v>
      </c>
      <c r="G121" s="42">
        <f t="shared" ref="G121:O131" ca="1" si="54">PRODUCT(AVERAGE(OFFSET(AB.Trace.MarkovQA.Root, $D121, (G$2-1)*AB.Trace.MarkovQA.NumCols+G$3-1, CHOOSE(swtchHalfCycle, 2, 1))), G$6)</f>
        <v>4.5729660844974712E-5</v>
      </c>
      <c r="H121" s="42">
        <f t="shared" ca="1" si="54"/>
        <v>0</v>
      </c>
      <c r="I121" s="42">
        <f t="shared" ca="1" si="54"/>
        <v>0.88328839075167875</v>
      </c>
      <c r="J121" s="42">
        <f t="shared" ca="1" si="54"/>
        <v>0.13018516472502423</v>
      </c>
      <c r="K121" s="42">
        <f t="shared" ca="1" si="54"/>
        <v>0.19870510204871925</v>
      </c>
      <c r="L121" s="42">
        <f t="shared" ca="1" si="54"/>
        <v>2.9286535080463583E-2</v>
      </c>
      <c r="M121" s="42">
        <f t="shared" ca="1" si="54"/>
        <v>0.39831733218155108</v>
      </c>
      <c r="N121" s="42">
        <f t="shared" ca="1" si="54"/>
        <v>5.8706768984882474E-2</v>
      </c>
      <c r="O121" s="42">
        <f t="shared" ca="1" si="54"/>
        <v>1.5383800367233733</v>
      </c>
      <c r="P121" s="42">
        <f t="shared" ca="1" si="47"/>
        <v>0</v>
      </c>
      <c r="Q121" s="51">
        <f t="shared" ca="1" si="48"/>
        <v>3.2369150601565373</v>
      </c>
      <c r="S121" s="42">
        <f t="shared" ref="S121:AA131" ca="1" si="55">PRODUCT(AVERAGE(OFFSET(AB.Trace.MarkovQA.Root, $D121, (S$2-1)*AB.Trace.MarkovQA.NumCols+S$3-1, CHOOSE(swtchHalfCycle, 2, 1))), S$6)</f>
        <v>4.3391873838232002E-3</v>
      </c>
      <c r="T121" s="42">
        <f t="shared" ca="1" si="55"/>
        <v>0</v>
      </c>
      <c r="U121" s="42">
        <f t="shared" ca="1" si="55"/>
        <v>0.88398800143314427</v>
      </c>
      <c r="V121" s="42">
        <f t="shared" ca="1" si="55"/>
        <v>0.13028827819596259</v>
      </c>
      <c r="W121" s="42">
        <f t="shared" ca="1" si="55"/>
        <v>0.19886248689981714</v>
      </c>
      <c r="X121" s="42">
        <f t="shared" ca="1" si="55"/>
        <v>2.9309731550585836E-2</v>
      </c>
      <c r="Y121" s="42">
        <f t="shared" ca="1" si="55"/>
        <v>0.39863282037671449</v>
      </c>
      <c r="Z121" s="42">
        <f t="shared" ca="1" si="55"/>
        <v>5.8753267821600126E-2</v>
      </c>
      <c r="AA121" s="42">
        <f t="shared" ca="1" si="55"/>
        <v>1.5353050928063876</v>
      </c>
      <c r="AB121" s="42">
        <f t="shared" ca="1" si="49"/>
        <v>0</v>
      </c>
      <c r="AC121" s="51">
        <f t="shared" ca="1" si="50"/>
        <v>3.2394788664680352</v>
      </c>
    </row>
    <row r="122" spans="1:29" ht="12" customHeight="1" x14ac:dyDescent="0.25">
      <c r="A122" s="262"/>
      <c r="C122" s="263"/>
      <c r="D122" s="43">
        <f t="shared" si="51"/>
        <v>111</v>
      </c>
      <c r="E122" s="43">
        <f t="shared" si="46"/>
        <v>97.75</v>
      </c>
      <c r="G122" s="42">
        <f t="shared" ca="1" si="54"/>
        <v>4.2975228164936259E-5</v>
      </c>
      <c r="H122" s="42">
        <f t="shared" ca="1" si="54"/>
        <v>0</v>
      </c>
      <c r="I122" s="42">
        <f t="shared" ca="1" si="54"/>
        <v>0.87587678493494114</v>
      </c>
      <c r="J122" s="42">
        <f t="shared" ca="1" si="54"/>
        <v>0.12909279089306677</v>
      </c>
      <c r="K122" s="42">
        <f t="shared" ca="1" si="54"/>
        <v>0.19703778262555052</v>
      </c>
      <c r="L122" s="42">
        <f t="shared" ca="1" si="54"/>
        <v>2.9040793988395406E-2</v>
      </c>
      <c r="M122" s="42">
        <f t="shared" ca="1" si="54"/>
        <v>0.39497508169234002</v>
      </c>
      <c r="N122" s="42">
        <f t="shared" ca="1" si="54"/>
        <v>5.8214164944066393E-2</v>
      </c>
      <c r="O122" s="42">
        <f t="shared" ca="1" si="54"/>
        <v>1.5254739773664265</v>
      </c>
      <c r="P122" s="42">
        <f t="shared" ca="1" si="47"/>
        <v>0</v>
      </c>
      <c r="Q122" s="51">
        <f t="shared" ca="1" si="48"/>
        <v>3.2097543516729519</v>
      </c>
      <c r="S122" s="42">
        <f t="shared" ca="1" si="55"/>
        <v>4.0778252981665654E-3</v>
      </c>
      <c r="T122" s="42">
        <f t="shared" ca="1" si="55"/>
        <v>0</v>
      </c>
      <c r="U122" s="42">
        <f t="shared" ca="1" si="55"/>
        <v>0.87657052523630152</v>
      </c>
      <c r="V122" s="42">
        <f t="shared" ca="1" si="55"/>
        <v>0.12919503914670014</v>
      </c>
      <c r="W122" s="42">
        <f t="shared" ca="1" si="55"/>
        <v>0.19719384687231345</v>
      </c>
      <c r="X122" s="42">
        <f t="shared" ca="1" si="55"/>
        <v>2.9063795818698224E-2</v>
      </c>
      <c r="Y122" s="42">
        <f t="shared" ca="1" si="55"/>
        <v>0.39528792265001361</v>
      </c>
      <c r="Z122" s="42">
        <f t="shared" ca="1" si="55"/>
        <v>5.8260273612575887E-2</v>
      </c>
      <c r="AA122" s="42">
        <f t="shared" ca="1" si="55"/>
        <v>1.5226474166455963</v>
      </c>
      <c r="AB122" s="42">
        <f t="shared" ca="1" si="49"/>
        <v>0</v>
      </c>
      <c r="AC122" s="51">
        <f t="shared" ca="1" si="50"/>
        <v>3.2122966452803663</v>
      </c>
    </row>
    <row r="123" spans="1:29" ht="12" customHeight="1" x14ac:dyDescent="0.25">
      <c r="A123" s="262"/>
      <c r="C123" s="263"/>
      <c r="D123" s="43">
        <f t="shared" si="51"/>
        <v>112</v>
      </c>
      <c r="E123" s="43">
        <f t="shared" si="46"/>
        <v>98</v>
      </c>
      <c r="G123" s="42">
        <f t="shared" ca="1" si="54"/>
        <v>4.0386703109154716E-5</v>
      </c>
      <c r="H123" s="42">
        <f t="shared" ca="1" si="54"/>
        <v>0</v>
      </c>
      <c r="I123" s="42">
        <f t="shared" ca="1" si="54"/>
        <v>0.86852736933983199</v>
      </c>
      <c r="J123" s="42">
        <f t="shared" ca="1" si="54"/>
        <v>0.1280095830869869</v>
      </c>
      <c r="K123" s="42">
        <f t="shared" ca="1" si="54"/>
        <v>0.19538445355305828</v>
      </c>
      <c r="L123" s="42">
        <f t="shared" ca="1" si="54"/>
        <v>2.8797114891171115E-2</v>
      </c>
      <c r="M123" s="42">
        <f t="shared" ca="1" si="54"/>
        <v>0.39166087577319941</v>
      </c>
      <c r="N123" s="42">
        <f t="shared" ca="1" si="54"/>
        <v>5.772569430635225E-2</v>
      </c>
      <c r="O123" s="42">
        <f t="shared" ca="1" si="54"/>
        <v>1.5126760689781693</v>
      </c>
      <c r="P123" s="42">
        <f t="shared" ca="1" si="47"/>
        <v>0</v>
      </c>
      <c r="Q123" s="51">
        <f t="shared" ca="1" si="48"/>
        <v>3.1828215466318781</v>
      </c>
      <c r="S123" s="42">
        <f t="shared" ca="1" si="55"/>
        <v>3.8322058236894903E-3</v>
      </c>
      <c r="T123" s="42">
        <f t="shared" ca="1" si="55"/>
        <v>0</v>
      </c>
      <c r="U123" s="42">
        <f t="shared" ca="1" si="55"/>
        <v>0.86921528851900087</v>
      </c>
      <c r="V123" s="42">
        <f t="shared" ca="1" si="55"/>
        <v>0.12811097338328797</v>
      </c>
      <c r="W123" s="42">
        <f t="shared" ca="1" si="55"/>
        <v>0.19553920827657692</v>
      </c>
      <c r="X123" s="42">
        <f t="shared" ca="1" si="55"/>
        <v>2.8819923714862441E-2</v>
      </c>
      <c r="Y123" s="42">
        <f t="shared" ca="1" si="55"/>
        <v>0.39197109170615191</v>
      </c>
      <c r="Z123" s="42">
        <f t="shared" ca="1" si="55"/>
        <v>5.7771416080525412E-2</v>
      </c>
      <c r="AA123" s="42">
        <f t="shared" ca="1" si="55"/>
        <v>1.5100824005425797</v>
      </c>
      <c r="AB123" s="42">
        <f t="shared" ca="1" si="49"/>
        <v>0</v>
      </c>
      <c r="AC123" s="51">
        <f t="shared" ca="1" si="50"/>
        <v>3.1853425080466748</v>
      </c>
    </row>
    <row r="124" spans="1:29" ht="12" customHeight="1" x14ac:dyDescent="0.25">
      <c r="A124" s="262"/>
      <c r="C124" s="263"/>
      <c r="D124" s="43">
        <f t="shared" si="51"/>
        <v>113</v>
      </c>
      <c r="E124" s="43">
        <f t="shared" si="46"/>
        <v>98.25</v>
      </c>
      <c r="G124" s="42">
        <f t="shared" ca="1" si="54"/>
        <v>3.7954092570887611E-5</v>
      </c>
      <c r="H124" s="42">
        <f t="shared" ca="1" si="54"/>
        <v>0</v>
      </c>
      <c r="I124" s="42">
        <f t="shared" ca="1" si="54"/>
        <v>0.86123962213292382</v>
      </c>
      <c r="J124" s="42">
        <f t="shared" ca="1" si="54"/>
        <v>0.12693546439535744</v>
      </c>
      <c r="K124" s="42">
        <f t="shared" ca="1" si="54"/>
        <v>0.19374499743927234</v>
      </c>
      <c r="L124" s="42">
        <f t="shared" ca="1" si="54"/>
        <v>2.8555480486748525E-2</v>
      </c>
      <c r="M124" s="42">
        <f t="shared" ca="1" si="54"/>
        <v>0.38837447910427131</v>
      </c>
      <c r="N124" s="42">
        <f t="shared" ca="1" si="54"/>
        <v>5.7241322388668497E-2</v>
      </c>
      <c r="O124" s="42">
        <f t="shared" ca="1" si="54"/>
        <v>1.4999854126730241</v>
      </c>
      <c r="P124" s="42">
        <f t="shared" ca="1" si="47"/>
        <v>0</v>
      </c>
      <c r="Q124" s="51">
        <f t="shared" ca="1" si="48"/>
        <v>3.1561147327128367</v>
      </c>
      <c r="S124" s="42">
        <f t="shared" ca="1" si="55"/>
        <v>3.6013807363749848E-3</v>
      </c>
      <c r="T124" s="42">
        <f t="shared" ca="1" si="55"/>
        <v>0</v>
      </c>
      <c r="U124" s="42">
        <f t="shared" ca="1" si="55"/>
        <v>0.86192176903449547</v>
      </c>
      <c r="V124" s="42">
        <f t="shared" ca="1" si="55"/>
        <v>0.12703600393338105</v>
      </c>
      <c r="W124" s="42">
        <f t="shared" ca="1" si="55"/>
        <v>0.19389845362765687</v>
      </c>
      <c r="X124" s="42">
        <f t="shared" ca="1" si="55"/>
        <v>2.8578097923332185E-2</v>
      </c>
      <c r="Y124" s="42">
        <f t="shared" ca="1" si="55"/>
        <v>0.38868209203888571</v>
      </c>
      <c r="Z124" s="42">
        <f t="shared" ca="1" si="55"/>
        <v>5.7286660514906343E-2</v>
      </c>
      <c r="AA124" s="42">
        <f t="shared" ca="1" si="55"/>
        <v>1.4976100831227914</v>
      </c>
      <c r="AB124" s="42">
        <f t="shared" ca="1" si="49"/>
        <v>0</v>
      </c>
      <c r="AC124" s="51">
        <f t="shared" ca="1" si="50"/>
        <v>3.1586145409318238</v>
      </c>
    </row>
    <row r="125" spans="1:29" ht="12" customHeight="1" x14ac:dyDescent="0.25">
      <c r="A125" s="262"/>
      <c r="C125" s="263"/>
      <c r="D125" s="43">
        <f t="shared" si="51"/>
        <v>114</v>
      </c>
      <c r="E125" s="43">
        <f t="shared" si="46"/>
        <v>98.5</v>
      </c>
      <c r="G125" s="42">
        <f t="shared" ca="1" si="54"/>
        <v>3.5668005357757842E-5</v>
      </c>
      <c r="H125" s="42">
        <f t="shared" ca="1" si="54"/>
        <v>0</v>
      </c>
      <c r="I125" s="42">
        <f t="shared" ca="1" si="54"/>
        <v>0.85401302585945404</v>
      </c>
      <c r="J125" s="42">
        <f t="shared" ca="1" si="54"/>
        <v>0.12587035855210923</v>
      </c>
      <c r="K125" s="42">
        <f t="shared" ca="1" si="54"/>
        <v>0.19211929787724966</v>
      </c>
      <c r="L125" s="42">
        <f t="shared" ca="1" si="54"/>
        <v>2.8315873618265611E-2</v>
      </c>
      <c r="M125" s="42">
        <f t="shared" ca="1" si="54"/>
        <v>0.38511565834024869</v>
      </c>
      <c r="N125" s="42">
        <f t="shared" ca="1" si="54"/>
        <v>5.6761014798966607E-2</v>
      </c>
      <c r="O125" s="42">
        <f t="shared" ca="1" si="54"/>
        <v>1.4874011165898304</v>
      </c>
      <c r="P125" s="42">
        <f t="shared" ca="1" si="47"/>
        <v>0</v>
      </c>
      <c r="Q125" s="51">
        <f t="shared" ca="1" si="48"/>
        <v>3.1296320136414817</v>
      </c>
      <c r="S125" s="42">
        <f t="shared" ca="1" si="55"/>
        <v>3.3844589265421814E-3</v>
      </c>
      <c r="T125" s="42">
        <f t="shared" ca="1" si="55"/>
        <v>0</v>
      </c>
      <c r="U125" s="42">
        <f t="shared" ca="1" si="55"/>
        <v>0.85468944891817156</v>
      </c>
      <c r="V125" s="42">
        <f t="shared" ca="1" si="55"/>
        <v>0.1259700544705035</v>
      </c>
      <c r="W125" s="42">
        <f t="shared" ca="1" si="55"/>
        <v>0.19227146642640969</v>
      </c>
      <c r="X125" s="42">
        <f t="shared" ca="1" si="55"/>
        <v>2.8338301273656285E-2</v>
      </c>
      <c r="Y125" s="42">
        <f t="shared" ca="1" si="55"/>
        <v>0.38542069011808655</v>
      </c>
      <c r="Z125" s="42">
        <f t="shared" ca="1" si="55"/>
        <v>5.6805972496429817E-2</v>
      </c>
      <c r="AA125" s="42">
        <f t="shared" ca="1" si="55"/>
        <v>1.4852304535297203</v>
      </c>
      <c r="AB125" s="42">
        <f t="shared" ca="1" si="49"/>
        <v>0</v>
      </c>
      <c r="AC125" s="51">
        <f t="shared" ca="1" si="50"/>
        <v>3.1321108461595197</v>
      </c>
    </row>
    <row r="126" spans="1:29" ht="12" customHeight="1" x14ac:dyDescent="0.25">
      <c r="A126" s="262"/>
      <c r="C126" s="263"/>
      <c r="D126" s="43">
        <f t="shared" si="51"/>
        <v>115</v>
      </c>
      <c r="E126" s="43">
        <f t="shared" si="46"/>
        <v>98.75</v>
      </c>
      <c r="G126" s="42">
        <f t="shared" ca="1" si="54"/>
        <v>3.3519615936671826E-5</v>
      </c>
      <c r="H126" s="42">
        <f t="shared" ca="1" si="54"/>
        <v>0</v>
      </c>
      <c r="I126" s="42">
        <f t="shared" ca="1" si="54"/>
        <v>0.84684706740658311</v>
      </c>
      <c r="J126" s="42">
        <f t="shared" ca="1" si="54"/>
        <v>0.12481418993111584</v>
      </c>
      <c r="K126" s="42">
        <f t="shared" ca="1" si="54"/>
        <v>0.19050723943680892</v>
      </c>
      <c r="L126" s="42">
        <f t="shared" ca="1" si="54"/>
        <v>2.8078277272822246E-2</v>
      </c>
      <c r="M126" s="42">
        <f t="shared" ca="1" si="54"/>
        <v>0.38188418209380753</v>
      </c>
      <c r="N126" s="42">
        <f t="shared" ca="1" si="54"/>
        <v>5.6284737433779056E-2</v>
      </c>
      <c r="O126" s="42">
        <f t="shared" ca="1" si="54"/>
        <v>1.4749222958641095</v>
      </c>
      <c r="P126" s="42">
        <f t="shared" ca="1" si="47"/>
        <v>0</v>
      </c>
      <c r="Q126" s="51">
        <f t="shared" ca="1" si="48"/>
        <v>3.1033715090549627</v>
      </c>
      <c r="S126" s="42">
        <f t="shared" ca="1" si="55"/>
        <v>3.1806029586810059E-3</v>
      </c>
      <c r="T126" s="42">
        <f t="shared" ca="1" si="55"/>
        <v>0</v>
      </c>
      <c r="U126" s="42">
        <f t="shared" ca="1" si="55"/>
        <v>0.84751781465077736</v>
      </c>
      <c r="V126" s="42">
        <f t="shared" ca="1" si="55"/>
        <v>0.12491304930862897</v>
      </c>
      <c r="W126" s="42">
        <f t="shared" ca="1" si="55"/>
        <v>0.19065813115122746</v>
      </c>
      <c r="X126" s="42">
        <f t="shared" ca="1" si="55"/>
        <v>2.8100516739459527E-2</v>
      </c>
      <c r="Y126" s="42">
        <f t="shared" ca="1" si="55"/>
        <v>0.3821866543731593</v>
      </c>
      <c r="Z126" s="42">
        <f t="shared" ca="1" si="55"/>
        <v>5.6329317894616607E-2</v>
      </c>
      <c r="AA126" s="42">
        <f t="shared" ca="1" si="55"/>
        <v>1.4729434548010147</v>
      </c>
      <c r="AB126" s="42">
        <f t="shared" ca="1" si="49"/>
        <v>0</v>
      </c>
      <c r="AC126" s="51">
        <f t="shared" ca="1" si="50"/>
        <v>3.105829541877565</v>
      </c>
    </row>
    <row r="127" spans="1:29" ht="12" customHeight="1" x14ac:dyDescent="0.25">
      <c r="A127" s="262"/>
      <c r="C127" s="263"/>
      <c r="D127" s="43">
        <f t="shared" si="51"/>
        <v>116</v>
      </c>
      <c r="E127" s="43">
        <f t="shared" si="46"/>
        <v>99</v>
      </c>
      <c r="G127" s="42">
        <f t="shared" ca="1" si="54"/>
        <v>3.150063036248837E-5</v>
      </c>
      <c r="H127" s="42">
        <f t="shared" ca="1" si="54"/>
        <v>0</v>
      </c>
      <c r="I127" s="42">
        <f t="shared" ca="1" si="54"/>
        <v>0.83974123796696287</v>
      </c>
      <c r="J127" s="42">
        <f t="shared" ca="1" si="54"/>
        <v>0.12376688354082398</v>
      </c>
      <c r="K127" s="42">
        <f t="shared" ca="1" si="54"/>
        <v>0.18890870765633469</v>
      </c>
      <c r="L127" s="42">
        <f t="shared" ca="1" si="54"/>
        <v>2.7842674580272279E-2</v>
      </c>
      <c r="M127" s="42">
        <f t="shared" ca="1" si="54"/>
        <v>0.37867982091917696</v>
      </c>
      <c r="N127" s="42">
        <f t="shared" ca="1" si="54"/>
        <v>5.5812456475797995E-2</v>
      </c>
      <c r="O127" s="42">
        <f t="shared" ca="1" si="54"/>
        <v>1.4625480725986788</v>
      </c>
      <c r="P127" s="42">
        <f t="shared" ca="1" si="47"/>
        <v>0</v>
      </c>
      <c r="Q127" s="51">
        <f t="shared" ca="1" si="48"/>
        <v>3.0773313543684102</v>
      </c>
      <c r="S127" s="42">
        <f t="shared" ca="1" si="55"/>
        <v>2.9890258384981726E-3</v>
      </c>
      <c r="T127" s="42">
        <f t="shared" ca="1" si="55"/>
        <v>0</v>
      </c>
      <c r="U127" s="42">
        <f t="shared" ca="1" si="55"/>
        <v>0.84040635702196265</v>
      </c>
      <c r="V127" s="42">
        <f t="shared" ca="1" si="55"/>
        <v>0.12386491339680701</v>
      </c>
      <c r="W127" s="42">
        <f t="shared" ca="1" si="55"/>
        <v>0.18905833324983515</v>
      </c>
      <c r="X127" s="42">
        <f t="shared" ca="1" si="55"/>
        <v>2.7864727437233703E-2</v>
      </c>
      <c r="Y127" s="42">
        <f t="shared" ca="1" si="55"/>
        <v>0.3789797551766001</v>
      </c>
      <c r="Z127" s="42">
        <f t="shared" ca="1" si="55"/>
        <v>5.585666286537376E-2</v>
      </c>
      <c r="AA127" s="42">
        <f t="shared" ca="1" si="55"/>
        <v>1.4607489870379318</v>
      </c>
      <c r="AB127" s="42">
        <f t="shared" ca="1" si="49"/>
        <v>0</v>
      </c>
      <c r="AC127" s="51">
        <f t="shared" ca="1" si="50"/>
        <v>3.0797687620242424</v>
      </c>
    </row>
    <row r="128" spans="1:29" ht="12" customHeight="1" x14ac:dyDescent="0.25">
      <c r="A128" s="262"/>
      <c r="C128" s="263"/>
      <c r="D128" s="43">
        <f t="shared" si="51"/>
        <v>117</v>
      </c>
      <c r="E128" s="43">
        <f t="shared" si="46"/>
        <v>99.25</v>
      </c>
      <c r="G128" s="42">
        <f t="shared" ca="1" si="54"/>
        <v>2.9603254258904503E-5</v>
      </c>
      <c r="H128" s="42">
        <f t="shared" ca="1" si="54"/>
        <v>0</v>
      </c>
      <c r="I128" s="42">
        <f t="shared" ca="1" si="54"/>
        <v>0.83269503300260928</v>
      </c>
      <c r="J128" s="42">
        <f t="shared" ca="1" si="54"/>
        <v>0.12272836501892871</v>
      </c>
      <c r="K128" s="42">
        <f t="shared" ca="1" si="54"/>
        <v>0.18732358903465032</v>
      </c>
      <c r="L128" s="42">
        <f t="shared" ca="1" si="54"/>
        <v>2.7609048812025659E-2</v>
      </c>
      <c r="M128" s="42">
        <f t="shared" ca="1" si="54"/>
        <v>0.37550234729584842</v>
      </c>
      <c r="N128" s="42">
        <f t="shared" ca="1" si="54"/>
        <v>5.5344138391474014E-2</v>
      </c>
      <c r="O128" s="42">
        <f t="shared" ca="1" si="54"/>
        <v>1.4502775758327502</v>
      </c>
      <c r="P128" s="42">
        <f t="shared" ca="1" si="47"/>
        <v>0</v>
      </c>
      <c r="Q128" s="51">
        <f t="shared" ca="1" si="48"/>
        <v>3.0515097006425456</v>
      </c>
      <c r="S128" s="42">
        <f t="shared" ca="1" si="55"/>
        <v>2.8089879746935591E-3</v>
      </c>
      <c r="T128" s="42">
        <f t="shared" ca="1" si="55"/>
        <v>0</v>
      </c>
      <c r="U128" s="42">
        <f t="shared" ca="1" si="55"/>
        <v>0.83335457109412259</v>
      </c>
      <c r="V128" s="42">
        <f t="shared" ca="1" si="55"/>
        <v>0.12282557231383384</v>
      </c>
      <c r="W128" s="42">
        <f t="shared" ca="1" si="55"/>
        <v>0.18747195913115713</v>
      </c>
      <c r="X128" s="42">
        <f t="shared" ca="1" si="55"/>
        <v>2.7630916625138845E-2</v>
      </c>
      <c r="Y128" s="42">
        <f t="shared" ca="1" si="55"/>
        <v>0.37579976482769223</v>
      </c>
      <c r="Z128" s="42">
        <f t="shared" ca="1" si="55"/>
        <v>5.5387973848591537E-2</v>
      </c>
      <c r="AA128" s="42">
        <f t="shared" ca="1" si="55"/>
        <v>1.4486469103805857</v>
      </c>
      <c r="AB128" s="42">
        <f t="shared" ca="1" si="49"/>
        <v>0</v>
      </c>
      <c r="AC128" s="51">
        <f t="shared" ca="1" si="50"/>
        <v>3.0539266561958156</v>
      </c>
    </row>
    <row r="129" spans="1:29" ht="12" customHeight="1" x14ac:dyDescent="0.25">
      <c r="A129" s="262"/>
      <c r="C129" s="263"/>
      <c r="D129" s="43">
        <f t="shared" si="51"/>
        <v>118</v>
      </c>
      <c r="E129" s="43">
        <f t="shared" si="46"/>
        <v>99.5</v>
      </c>
      <c r="G129" s="42">
        <f t="shared" ca="1" si="54"/>
        <v>2.7820162727947424E-5</v>
      </c>
      <c r="H129" s="42">
        <f t="shared" ca="1" si="54"/>
        <v>0</v>
      </c>
      <c r="I129" s="42">
        <f t="shared" ca="1" si="54"/>
        <v>0.82570795220907744</v>
      </c>
      <c r="J129" s="42">
        <f t="shared" ca="1" si="54"/>
        <v>0.12169856062709365</v>
      </c>
      <c r="K129" s="42">
        <f t="shared" ca="1" si="54"/>
        <v>0.18575177102295892</v>
      </c>
      <c r="L129" s="42">
        <f t="shared" ca="1" si="54"/>
        <v>2.7377383379860672E-2</v>
      </c>
      <c r="M129" s="42">
        <f t="shared" ca="1" si="54"/>
        <v>0.37235153561242063</v>
      </c>
      <c r="N129" s="42">
        <f t="shared" ca="1" si="54"/>
        <v>5.4879749928635153E-2</v>
      </c>
      <c r="O129" s="42">
        <f t="shared" ca="1" si="54"/>
        <v>1.4381099415096243</v>
      </c>
      <c r="P129" s="42">
        <f t="shared" ca="1" si="47"/>
        <v>0</v>
      </c>
      <c r="Q129" s="51">
        <f t="shared" ca="1" si="48"/>
        <v>3.0259047144523992</v>
      </c>
      <c r="S129" s="42">
        <f t="shared" ca="1" si="55"/>
        <v>2.6397943237377766E-3</v>
      </c>
      <c r="T129" s="42">
        <f t="shared" ca="1" si="55"/>
        <v>0</v>
      </c>
      <c r="U129" s="42">
        <f t="shared" ca="1" si="55"/>
        <v>0.82636195616654506</v>
      </c>
      <c r="V129" s="42">
        <f t="shared" ca="1" si="55"/>
        <v>0.12179495226296842</v>
      </c>
      <c r="W129" s="42">
        <f t="shared" ca="1" si="55"/>
        <v>0.18589889615725202</v>
      </c>
      <c r="X129" s="42">
        <f t="shared" ca="1" si="55"/>
        <v>2.7399067701814502E-2</v>
      </c>
      <c r="Y129" s="42">
        <f t="shared" ca="1" si="55"/>
        <v>0.37264645753633829</v>
      </c>
      <c r="Z129" s="42">
        <f t="shared" ca="1" si="55"/>
        <v>5.4923217565760518E-2</v>
      </c>
      <c r="AA129" s="42">
        <f t="shared" ca="1" si="55"/>
        <v>1.4366370478007298</v>
      </c>
      <c r="AB129" s="42">
        <f t="shared" ca="1" si="49"/>
        <v>0</v>
      </c>
      <c r="AC129" s="51">
        <f t="shared" ca="1" si="50"/>
        <v>3.0283013895151463</v>
      </c>
    </row>
    <row r="130" spans="1:29" ht="12" customHeight="1" x14ac:dyDescent="0.25">
      <c r="A130" s="262"/>
      <c r="C130" s="263"/>
      <c r="D130" s="43">
        <f t="shared" si="51"/>
        <v>119</v>
      </c>
      <c r="E130" s="43">
        <f t="shared" si="46"/>
        <v>99.75</v>
      </c>
      <c r="G130" s="42">
        <f t="shared" ca="1" si="54"/>
        <v>2.6144472071906467E-5</v>
      </c>
      <c r="H130" s="42">
        <f t="shared" ca="1" si="54"/>
        <v>0</v>
      </c>
      <c r="I130" s="42">
        <f t="shared" ca="1" si="54"/>
        <v>0.81877949947993944</v>
      </c>
      <c r="J130" s="42">
        <f t="shared" ca="1" si="54"/>
        <v>0.12067739724571516</v>
      </c>
      <c r="K130" s="42">
        <f t="shared" ca="1" si="54"/>
        <v>0.184193142016852</v>
      </c>
      <c r="L130" s="42">
        <f t="shared" ca="1" si="54"/>
        <v>2.7147661834746109E-2</v>
      </c>
      <c r="M130" s="42">
        <f t="shared" ca="1" si="54"/>
        <v>0.36922716215058021</v>
      </c>
      <c r="N130" s="42">
        <f t="shared" ca="1" si="54"/>
        <v>5.4419258114125915E-2</v>
      </c>
      <c r="O130" s="42">
        <f t="shared" ca="1" si="54"/>
        <v>1.426044312443099</v>
      </c>
      <c r="P130" s="42">
        <f t="shared" ca="1" si="47"/>
        <v>0</v>
      </c>
      <c r="Q130" s="51">
        <f t="shared" ca="1" si="48"/>
        <v>3.00051457775713</v>
      </c>
      <c r="S130" s="42">
        <f t="shared" ca="1" si="55"/>
        <v>2.4807917066282216E-3</v>
      </c>
      <c r="T130" s="42">
        <f t="shared" ca="1" si="55"/>
        <v>0</v>
      </c>
      <c r="U130" s="42">
        <f t="shared" ca="1" si="55"/>
        <v>0.81942801573985991</v>
      </c>
      <c r="V130" s="42">
        <f t="shared" ca="1" si="55"/>
        <v>0.12077298006669253</v>
      </c>
      <c r="W130" s="42">
        <f t="shared" ca="1" si="55"/>
        <v>0.18433903263531479</v>
      </c>
      <c r="X130" s="42">
        <f t="shared" ca="1" si="55"/>
        <v>2.7169164205200963E-2</v>
      </c>
      <c r="Y130" s="42">
        <f t="shared" ca="1" si="55"/>
        <v>0.36951960940702849</v>
      </c>
      <c r="Z130" s="42">
        <f t="shared" ca="1" si="55"/>
        <v>5.4462361017608769E-2</v>
      </c>
      <c r="AA130" s="42">
        <f t="shared" ca="1" si="55"/>
        <v>1.4247191877230769</v>
      </c>
      <c r="AB130" s="42">
        <f t="shared" ca="1" si="49"/>
        <v>0</v>
      </c>
      <c r="AC130" s="51">
        <f t="shared" ca="1" si="50"/>
        <v>3.0028911425014106</v>
      </c>
    </row>
    <row r="131" spans="1:29" ht="12" customHeight="1" x14ac:dyDescent="0.25">
      <c r="A131" s="262"/>
      <c r="C131" s="263"/>
      <c r="D131" s="43">
        <f t="shared" si="51"/>
        <v>120</v>
      </c>
      <c r="E131" s="43">
        <f t="shared" si="46"/>
        <v>100</v>
      </c>
      <c r="G131" s="42">
        <f t="shared" ca="1" si="54"/>
        <v>2.5332643219167969E-5</v>
      </c>
      <c r="H131" s="42">
        <f t="shared" ca="1" si="54"/>
        <v>0</v>
      </c>
      <c r="I131" s="42">
        <f t="shared" ca="1" si="54"/>
        <v>0.815329868379436</v>
      </c>
      <c r="J131" s="42">
        <f t="shared" ca="1" si="54"/>
        <v>0.12016896670619745</v>
      </c>
      <c r="K131" s="42">
        <f t="shared" ca="1" si="54"/>
        <v>0.18341711087341916</v>
      </c>
      <c r="L131" s="42">
        <f t="shared" ca="1" si="54"/>
        <v>2.7033284986485284E-2</v>
      </c>
      <c r="M131" s="42">
        <f t="shared" ca="1" si="54"/>
        <v>0.3676715571280873</v>
      </c>
      <c r="N131" s="42">
        <f t="shared" ca="1" si="54"/>
        <v>5.4189982264674322E-2</v>
      </c>
      <c r="O131" s="42">
        <f t="shared" ca="1" si="54"/>
        <v>1.4200368925040479</v>
      </c>
      <c r="P131" s="42">
        <f t="shared" ca="1" si="47"/>
        <v>0</v>
      </c>
      <c r="Q131" s="51">
        <f t="shared" ca="1" si="48"/>
        <v>2.9878729954855667</v>
      </c>
      <c r="S131" s="42">
        <f t="shared" ca="1" si="55"/>
        <v>2.4037590444449491E-3</v>
      </c>
      <c r="T131" s="42">
        <f t="shared" ca="1" si="55"/>
        <v>0</v>
      </c>
      <c r="U131" s="42">
        <f t="shared" ca="1" si="55"/>
        <v>0.81597565235079672</v>
      </c>
      <c r="V131" s="42">
        <f t="shared" ca="1" si="55"/>
        <v>0.12026414682355056</v>
      </c>
      <c r="W131" s="42">
        <f t="shared" ca="1" si="55"/>
        <v>0.18356238683455964</v>
      </c>
      <c r="X131" s="42">
        <f t="shared" ca="1" si="55"/>
        <v>2.7054696764484045E-2</v>
      </c>
      <c r="Y131" s="42">
        <f t="shared" ca="1" si="55"/>
        <v>0.36796277226385865</v>
      </c>
      <c r="Z131" s="42">
        <f t="shared" ca="1" si="55"/>
        <v>5.4232903569672516E-2</v>
      </c>
      <c r="AA131" s="42">
        <f t="shared" ca="1" si="55"/>
        <v>1.4187832297830216</v>
      </c>
      <c r="AB131" s="42">
        <f t="shared" ca="1" si="49"/>
        <v>0</v>
      </c>
      <c r="AC131" s="51">
        <f t="shared" ca="1" si="50"/>
        <v>2.9902395474343888</v>
      </c>
    </row>
    <row r="132" spans="1:29" ht="12" customHeight="1" x14ac:dyDescent="0.25">
      <c r="A132" s="262"/>
      <c r="C132" s="263"/>
    </row>
    <row r="133" spans="1:29" ht="12" customHeight="1" x14ac:dyDescent="0.25">
      <c r="A133" s="262"/>
      <c r="C133" s="263"/>
    </row>
    <row r="134" spans="1:29" ht="12" customHeight="1" x14ac:dyDescent="0.25">
      <c r="A134" s="262"/>
      <c r="C134" s="263"/>
    </row>
    <row r="135" spans="1:29" ht="12" customHeight="1" x14ac:dyDescent="0.25">
      <c r="A135" s="262"/>
      <c r="C135" s="263"/>
    </row>
    <row r="136" spans="1:29" ht="12" customHeight="1" x14ac:dyDescent="0.25">
      <c r="A136" s="262"/>
      <c r="C136" s="263"/>
    </row>
    <row r="137" spans="1:29" ht="12" customHeight="1" x14ac:dyDescent="0.25">
      <c r="A137" s="262"/>
      <c r="C137" s="263"/>
    </row>
    <row r="138" spans="1:29" ht="12" customHeight="1" x14ac:dyDescent="0.25">
      <c r="A138" s="262"/>
      <c r="C138" s="263"/>
    </row>
    <row r="139" spans="1:29" ht="12" customHeight="1" x14ac:dyDescent="0.25">
      <c r="A139" s="262"/>
      <c r="C139" s="263"/>
    </row>
    <row r="140" spans="1:29" ht="12" customHeight="1" x14ac:dyDescent="0.25">
      <c r="A140" s="262"/>
      <c r="C140" s="263"/>
    </row>
    <row r="141" spans="1:29" ht="12" customHeight="1" x14ac:dyDescent="0.25">
      <c r="A141" s="262"/>
      <c r="C141" s="263"/>
    </row>
    <row r="142" spans="1:29" ht="12" customHeight="1" x14ac:dyDescent="0.25">
      <c r="A142" s="262"/>
      <c r="C142" s="263"/>
    </row>
    <row r="143" spans="1:29" ht="12" customHeight="1" x14ac:dyDescent="0.25">
      <c r="A143" s="262"/>
      <c r="C143" s="263"/>
    </row>
    <row r="144" spans="1:29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13" spans="1:3" ht="12" customHeight="1" x14ac:dyDescent="0.25">
      <c r="A313" s="262"/>
      <c r="C313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  <row r="351" spans="1:3" ht="12" customHeight="1" x14ac:dyDescent="0.25">
      <c r="A351" s="262"/>
      <c r="C351" s="263"/>
    </row>
  </sheetData>
  <mergeCells count="27">
    <mergeCell ref="O8:O10"/>
    <mergeCell ref="P8:P10"/>
    <mergeCell ref="Q8:Q10"/>
    <mergeCell ref="D7:D10"/>
    <mergeCell ref="E7:E10"/>
    <mergeCell ref="G7:Q7"/>
    <mergeCell ref="F7:F10"/>
    <mergeCell ref="G8:G10"/>
    <mergeCell ref="H8:H10"/>
    <mergeCell ref="I8:I10"/>
    <mergeCell ref="J8:J10"/>
    <mergeCell ref="K8:K10"/>
    <mergeCell ref="L8:L10"/>
    <mergeCell ref="M8:M10"/>
    <mergeCell ref="N8:N10"/>
    <mergeCell ref="S7:AC7"/>
    <mergeCell ref="S8:S10"/>
    <mergeCell ref="T8:T10"/>
    <mergeCell ref="U8:U10"/>
    <mergeCell ref="V8:V10"/>
    <mergeCell ref="AC8:AC10"/>
    <mergeCell ref="W8:W10"/>
    <mergeCell ref="X8:X10"/>
    <mergeCell ref="Y8:Y10"/>
    <mergeCell ref="Z8:Z10"/>
    <mergeCell ref="AA8:AA10"/>
    <mergeCell ref="AB8:AB1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08218-F273-4716-8036-24C0B70DD649}">
  <sheetPr codeName="shtTraceMarkov2">
    <tabColor theme="7" tint="-0.499984740745262"/>
  </sheetPr>
  <dimension ref="A1:AF350"/>
  <sheetViews>
    <sheetView workbookViewId="0">
      <pane xSplit="7" ySplit="9" topLeftCell="H10" activePane="bottomRight" state="frozen"/>
      <selection activeCell="K7" sqref="K7"/>
      <selection pane="topRight" activeCell="K7" sqref="K7"/>
      <selection pane="bottomLeft" activeCell="K7" sqref="K7"/>
      <selection pane="bottomRight" activeCell="H10" sqref="H10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4" max="7" width="6.85546875" customWidth="1"/>
    <col min="8" max="17" width="11.7109375" customWidth="1"/>
    <col min="20" max="20" width="1.7109375" customWidth="1"/>
    <col min="21" max="30" width="11.7109375" customWidth="1"/>
    <col min="33" max="33" width="1.7109375" customWidth="1"/>
  </cols>
  <sheetData>
    <row r="1" spans="1:32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O1" s="271"/>
    </row>
    <row r="2" spans="1:32" ht="12" hidden="1" customHeight="1" thickTop="1" x14ac:dyDescent="0.25">
      <c r="A2" s="262"/>
      <c r="C2" s="263"/>
      <c r="D2">
        <f>COLUMNS(H2:T2)</f>
        <v>13</v>
      </c>
      <c r="H2">
        <f>MAX(F$2:$G2)+1</f>
        <v>1</v>
      </c>
      <c r="I2">
        <f t="shared" ref="I2:Q2" si="0">H2</f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S2" s="8"/>
      <c r="U2">
        <f>MAX($G$2:R2)+1</f>
        <v>2</v>
      </c>
      <c r="V2">
        <f t="shared" ref="V2:AD2" si="1">U2</f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  <c r="AC2">
        <f t="shared" si="1"/>
        <v>2</v>
      </c>
      <c r="AD2">
        <f t="shared" si="1"/>
        <v>2</v>
      </c>
      <c r="AF2" s="8"/>
    </row>
    <row r="3" spans="1:32" ht="12" hidden="1" customHeight="1" x14ac:dyDescent="0.25">
      <c r="A3" s="262"/>
      <c r="C3" s="263"/>
      <c r="H3">
        <v>1</v>
      </c>
      <c r="I3">
        <f t="shared" ref="I3:Q3" si="2">H3+1</f>
        <v>2</v>
      </c>
      <c r="J3">
        <f t="shared" si="2"/>
        <v>3</v>
      </c>
      <c r="K3">
        <f t="shared" si="2"/>
        <v>4</v>
      </c>
      <c r="L3">
        <f t="shared" si="2"/>
        <v>5</v>
      </c>
      <c r="M3">
        <f t="shared" si="2"/>
        <v>6</v>
      </c>
      <c r="N3">
        <f t="shared" si="2"/>
        <v>7</v>
      </c>
      <c r="O3">
        <f t="shared" si="2"/>
        <v>8</v>
      </c>
      <c r="P3">
        <f t="shared" si="2"/>
        <v>9</v>
      </c>
      <c r="Q3">
        <f t="shared" si="2"/>
        <v>10</v>
      </c>
      <c r="U3">
        <v>1</v>
      </c>
      <c r="V3">
        <f t="shared" ref="V3:AD3" si="3">U3+1</f>
        <v>2</v>
      </c>
      <c r="W3">
        <f t="shared" si="3"/>
        <v>3</v>
      </c>
      <c r="X3">
        <f t="shared" si="3"/>
        <v>4</v>
      </c>
      <c r="Y3">
        <f t="shared" si="3"/>
        <v>5</v>
      </c>
      <c r="Z3">
        <f t="shared" si="3"/>
        <v>6</v>
      </c>
      <c r="AA3">
        <f t="shared" si="3"/>
        <v>7</v>
      </c>
      <c r="AB3">
        <f t="shared" si="3"/>
        <v>8</v>
      </c>
      <c r="AC3">
        <f t="shared" si="3"/>
        <v>9</v>
      </c>
      <c r="AD3">
        <f t="shared" si="3"/>
        <v>10</v>
      </c>
    </row>
    <row r="4" spans="1:32" ht="12" customHeight="1" thickTop="1" x14ac:dyDescent="0.25">
      <c r="A4" s="262"/>
      <c r="C4" s="263"/>
      <c r="G4" s="57" t="s">
        <v>406</v>
      </c>
      <c r="J4" s="46">
        <f t="shared" ref="J4:O4" ca="1" si="4">SUM(OFFSET(J10, 0, 0, timeHorizon*AB.cyclesPerYear))</f>
        <v>2.4284393250430227</v>
      </c>
      <c r="K4" s="46">
        <f t="shared" ca="1" si="4"/>
        <v>0.34828268447961541</v>
      </c>
      <c r="L4" s="46">
        <f t="shared" ca="1" si="4"/>
        <v>4.0618931941475901E-2</v>
      </c>
      <c r="M4" s="46">
        <f t="shared" ca="1" si="4"/>
        <v>5.8340111367189964E-3</v>
      </c>
      <c r="N4" s="46">
        <f t="shared" ca="1" si="4"/>
        <v>1.4197283454150498E-2</v>
      </c>
      <c r="O4" s="46">
        <f t="shared" ca="1" si="4"/>
        <v>2.0357019365540943E-3</v>
      </c>
      <c r="Q4" s="46">
        <f ca="1">OFFSET(Q10, timeHorizon*AB.cyclesPerYear, 0)</f>
        <v>6.0997905967087658E-2</v>
      </c>
      <c r="R4" s="46">
        <f t="array" aca="1" ref="R4" ca="1">SUM(1-OFFSET(Q10, 0, 0, timeHorizon*AB.cyclesPerYear)) / AB.cyclesPerYear</f>
        <v>9.7320700288067652</v>
      </c>
      <c r="S4" s="46">
        <f ca="1">SUM(OFFSET(S10, 0, 0, timeHorizon*C.cyclesPerYear))</f>
        <v>2.4832555404386492</v>
      </c>
      <c r="W4" s="46">
        <f t="shared" ref="W4:AB4" ca="1" si="5">SUM(OFFSET(W10, 0, 0, timeHorizon*AB.cyclesPerYear))</f>
        <v>1.8265446418693543</v>
      </c>
      <c r="X4" s="46">
        <f t="shared" ca="1" si="5"/>
        <v>0.26033689840979468</v>
      </c>
      <c r="Y4" s="46">
        <f t="shared" ca="1" si="5"/>
        <v>2.8174814704551358E-2</v>
      </c>
      <c r="Z4" s="46">
        <f t="shared" ca="1" si="5"/>
        <v>4.015748482307401E-3</v>
      </c>
      <c r="AA4" s="46">
        <f t="shared" ca="1" si="5"/>
        <v>1.0803696254341596E-2</v>
      </c>
      <c r="AB4" s="46">
        <f t="shared" ca="1" si="5"/>
        <v>1.5398478141428213E-3</v>
      </c>
      <c r="AD4" s="46">
        <f ca="1">OFFSET(AD10, timeHorizon*AB.cyclesPerYear, 0)</f>
        <v>6.080759941093624E-2</v>
      </c>
      <c r="AE4" s="46">
        <f t="array" aca="1" ref="AE4" ca="1">SUM(1-OFFSET(AD10, 0, 0, timeHorizon*AB.cyclesPerYear)) / AB.cyclesPerYear</f>
        <v>9.7336432857240798</v>
      </c>
      <c r="AF4" s="46">
        <f ca="1">SUM(OFFSET(AF10, 0, 0, timeHorizon*C.cyclesPerYear))</f>
        <v>1.8655231528282468</v>
      </c>
    </row>
    <row r="5" spans="1:32" ht="12" customHeight="1" thickBot="1" x14ac:dyDescent="0.3">
      <c r="A5" s="262"/>
      <c r="C5" s="263"/>
      <c r="G5" s="57" t="s">
        <v>64</v>
      </c>
      <c r="R5" s="46">
        <f t="array" aca="1" ref="R5" ca="1">SUM((1-OFFSET(Q10, 0, 0, timeHorizon*AB.cyclesPerYear)) / AB.cyclesPerYear / (1+DQALYs)^(OFFSET($E$10, 0, 0, timeHorizon*AB.cyclesPerYear)))</f>
        <v>8.2847352066801729</v>
      </c>
      <c r="AE5" s="46">
        <f t="array" aca="1" ref="AE5" ca="1">SUM((1-OFFSET(AD10, 0, 0, timeHorizon*AB.cyclesPerYear)) / AB.cyclesPerYear / (1+DQALYs)^(OFFSET($E$10, 0, 0, timeHorizon*AB.cyclesPerYear)))</f>
        <v>8.286034645630016</v>
      </c>
    </row>
    <row r="6" spans="1:32" ht="12" customHeight="1" thickBot="1" x14ac:dyDescent="0.3">
      <c r="A6" s="262"/>
      <c r="C6" s="263"/>
      <c r="D6" s="452" t="s">
        <v>31</v>
      </c>
      <c r="E6" s="452" t="s">
        <v>92</v>
      </c>
      <c r="F6" s="452" t="s">
        <v>30</v>
      </c>
      <c r="G6" s="501" t="s">
        <v>139</v>
      </c>
      <c r="H6" s="438" t="str">
        <f>INDEX(rngStrats, H2)</f>
        <v>HPE</v>
      </c>
      <c r="I6" s="438"/>
      <c r="J6" s="438"/>
      <c r="K6" s="438"/>
      <c r="L6" s="438"/>
      <c r="M6" s="438"/>
      <c r="N6" s="438"/>
      <c r="O6" s="438"/>
      <c r="P6" s="438"/>
      <c r="Q6" s="438"/>
      <c r="R6" s="438"/>
      <c r="S6" s="303"/>
      <c r="U6" s="438" t="str">
        <f>INDEX(rngStrats, U2)</f>
        <v>No HPE</v>
      </c>
      <c r="V6" s="438"/>
      <c r="W6" s="438"/>
      <c r="X6" s="438"/>
      <c r="Y6" s="438"/>
      <c r="Z6" s="438"/>
      <c r="AA6" s="438"/>
      <c r="AB6" s="438"/>
      <c r="AC6" s="438"/>
      <c r="AD6" s="438"/>
      <c r="AE6" s="438"/>
      <c r="AF6" s="303"/>
    </row>
    <row r="7" spans="1:32" ht="12" customHeight="1" thickBot="1" x14ac:dyDescent="0.3">
      <c r="A7" s="262"/>
      <c r="C7" s="263"/>
      <c r="D7" s="452"/>
      <c r="E7" s="452"/>
      <c r="F7" s="452"/>
      <c r="G7" s="466"/>
      <c r="H7" s="501" t="str">
        <f t="shared" ref="H7:Q7" ca="1" si="6">INDEX(AB.rngStates, H$3)</f>
        <v>Well no HPE</v>
      </c>
      <c r="I7" s="501" t="str">
        <f t="shared" ca="1" si="6"/>
        <v>Well with HPE</v>
      </c>
      <c r="J7" s="501" t="str">
        <f t="shared" ca="1" si="6"/>
        <v>GI discomfort</v>
      </c>
      <c r="K7" s="501" t="str">
        <f t="shared" ca="1" si="6"/>
        <v>Unresolved GI discomfort</v>
      </c>
      <c r="L7" s="501" t="str">
        <f t="shared" ca="1" si="6"/>
        <v>Symptomatic ulcer</v>
      </c>
      <c r="M7" s="501" t="str">
        <f t="shared" ca="1" si="6"/>
        <v>Unresolved ulcer</v>
      </c>
      <c r="N7" s="501" t="str">
        <f t="shared" ca="1" si="6"/>
        <v>Serious GI event</v>
      </c>
      <c r="O7" s="501" t="str">
        <f t="shared" ca="1" si="6"/>
        <v>Unresolved serious GI event</v>
      </c>
      <c r="P7" s="501" t="str">
        <f t="shared" ca="1" si="6"/>
        <v>Post-event</v>
      </c>
      <c r="Q7" s="501" t="str">
        <f t="shared" ca="1" si="6"/>
        <v>Dead</v>
      </c>
      <c r="R7" s="518" t="s">
        <v>35</v>
      </c>
      <c r="S7" s="456" t="s">
        <v>763</v>
      </c>
      <c r="U7" s="501" t="str">
        <f t="shared" ref="U7:AD7" ca="1" si="7">INDEX(AB.rngStates, U$3)</f>
        <v>Well no HPE</v>
      </c>
      <c r="V7" s="501" t="str">
        <f t="shared" ca="1" si="7"/>
        <v>Well with HPE</v>
      </c>
      <c r="W7" s="501" t="str">
        <f t="shared" ca="1" si="7"/>
        <v>GI discomfort</v>
      </c>
      <c r="X7" s="501" t="str">
        <f t="shared" ca="1" si="7"/>
        <v>Unresolved GI discomfort</v>
      </c>
      <c r="Y7" s="501" t="str">
        <f t="shared" ca="1" si="7"/>
        <v>Symptomatic ulcer</v>
      </c>
      <c r="Z7" s="501" t="str">
        <f t="shared" ca="1" si="7"/>
        <v>Unresolved ulcer</v>
      </c>
      <c r="AA7" s="501" t="str">
        <f t="shared" ca="1" si="7"/>
        <v>Serious GI event</v>
      </c>
      <c r="AB7" s="501" t="str">
        <f t="shared" ca="1" si="7"/>
        <v>Unresolved serious GI event</v>
      </c>
      <c r="AC7" s="501" t="str">
        <f t="shared" ca="1" si="7"/>
        <v>Post-event</v>
      </c>
      <c r="AD7" s="501" t="str">
        <f t="shared" ca="1" si="7"/>
        <v>Dead</v>
      </c>
      <c r="AE7" s="518" t="s">
        <v>35</v>
      </c>
      <c r="AF7" s="456" t="s">
        <v>763</v>
      </c>
    </row>
    <row r="8" spans="1:32" ht="12" customHeight="1" thickBot="1" x14ac:dyDescent="0.3">
      <c r="A8" s="262"/>
      <c r="C8" s="263"/>
      <c r="D8" s="452"/>
      <c r="E8" s="452"/>
      <c r="F8" s="452"/>
      <c r="G8" s="466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19"/>
      <c r="S8" s="456"/>
      <c r="U8" s="502"/>
      <c r="V8" s="502"/>
      <c r="W8" s="502"/>
      <c r="X8" s="502"/>
      <c r="Y8" s="502"/>
      <c r="Z8" s="502"/>
      <c r="AA8" s="502"/>
      <c r="AB8" s="502"/>
      <c r="AC8" s="502"/>
      <c r="AD8" s="502"/>
      <c r="AE8" s="519"/>
      <c r="AF8" s="456"/>
    </row>
    <row r="9" spans="1:32" ht="12" customHeight="1" thickBot="1" x14ac:dyDescent="0.3">
      <c r="A9" s="262"/>
      <c r="C9" s="263"/>
      <c r="D9" s="452"/>
      <c r="E9" s="452"/>
      <c r="F9" s="452"/>
      <c r="G9" s="447"/>
      <c r="H9" s="527"/>
      <c r="I9" s="527"/>
      <c r="J9" s="527"/>
      <c r="K9" s="527"/>
      <c r="L9" s="527"/>
      <c r="M9" s="527"/>
      <c r="N9" s="527"/>
      <c r="O9" s="527"/>
      <c r="P9" s="527"/>
      <c r="Q9" s="527"/>
      <c r="R9" s="520"/>
      <c r="S9" s="456"/>
      <c r="U9" s="527"/>
      <c r="V9" s="527"/>
      <c r="W9" s="527"/>
      <c r="X9" s="527"/>
      <c r="Y9" s="527"/>
      <c r="Z9" s="527"/>
      <c r="AA9" s="527"/>
      <c r="AB9" s="527"/>
      <c r="AC9" s="527"/>
      <c r="AD9" s="527"/>
      <c r="AE9" s="520"/>
      <c r="AF9" s="456"/>
    </row>
    <row r="10" spans="1:32" ht="12" customHeight="1" x14ac:dyDescent="0.25">
      <c r="A10" s="262"/>
      <c r="C10" s="263"/>
      <c r="D10" s="62">
        <v>0</v>
      </c>
      <c r="E10" s="63">
        <f t="shared" ref="E10:E41" si="8">D10*AB.cycleLength</f>
        <v>0</v>
      </c>
      <c r="F10" s="63">
        <f>B.cohortAge+E10</f>
        <v>55</v>
      </c>
      <c r="G10" s="62">
        <f t="shared" ref="G10:G41" si="9">IF(AND(E9&lt;AB.maxDurHPE, E10&gt;=AB.maxDurHPE), 1, 0)</f>
        <v>0</v>
      </c>
      <c r="H10" s="285">
        <f>CHOOSE(H2, 0, 1)</f>
        <v>0</v>
      </c>
      <c r="I10" s="285">
        <f>CHOOSE(I2, 1, 0)</f>
        <v>1</v>
      </c>
      <c r="J10" s="285">
        <v>0</v>
      </c>
      <c r="K10" s="285">
        <v>0</v>
      </c>
      <c r="L10" s="285">
        <v>0</v>
      </c>
      <c r="M10" s="285">
        <v>0</v>
      </c>
      <c r="N10" s="285">
        <v>0</v>
      </c>
      <c r="O10" s="285">
        <v>0</v>
      </c>
      <c r="P10" s="285">
        <v>0</v>
      </c>
      <c r="Q10" s="285">
        <v>0</v>
      </c>
      <c r="R10" s="283">
        <f t="shared" ref="R10:R41" si="10">SUM(H10:Q10)</f>
        <v>1</v>
      </c>
      <c r="S10" s="418">
        <f>SUM(J10,L10,N10)</f>
        <v>0</v>
      </c>
      <c r="U10" s="285">
        <f>CHOOSE(U2, 0, 1)</f>
        <v>1</v>
      </c>
      <c r="V10" s="285">
        <f>CHOOSE(V2, 1, 0)</f>
        <v>0</v>
      </c>
      <c r="W10" s="285">
        <v>0</v>
      </c>
      <c r="X10" s="285">
        <v>0</v>
      </c>
      <c r="Y10" s="285">
        <v>0</v>
      </c>
      <c r="Z10" s="285">
        <v>0</v>
      </c>
      <c r="AA10" s="285">
        <v>0</v>
      </c>
      <c r="AB10" s="285">
        <v>0</v>
      </c>
      <c r="AC10" s="285">
        <v>0</v>
      </c>
      <c r="AD10" s="285">
        <v>0</v>
      </c>
      <c r="AE10" s="283">
        <f t="shared" ref="AE10:AE41" si="11">SUM(U10:AD10)</f>
        <v>1</v>
      </c>
      <c r="AF10" s="418">
        <f>SUM(W10,Y10,AA10)</f>
        <v>0</v>
      </c>
    </row>
    <row r="11" spans="1:32" ht="12" customHeight="1" x14ac:dyDescent="0.25">
      <c r="A11" s="262"/>
      <c r="C11" s="263"/>
      <c r="D11" s="62">
        <f t="shared" ref="D11:D42" si="12">D10+1</f>
        <v>1</v>
      </c>
      <c r="E11" s="63">
        <f t="shared" si="8"/>
        <v>0.25</v>
      </c>
      <c r="F11" s="63">
        <f t="shared" ref="F11:F42" si="13">F10+AB.cycleLength</f>
        <v>55.25</v>
      </c>
      <c r="G11" s="62">
        <f t="shared" si="9"/>
        <v>0</v>
      </c>
      <c r="H11" s="285">
        <f t="array" aca="1" ref="H11:Q11" ca="1">MMULT(H10:Q10, OFFSET(AB.rngTPMroot, MIN(4, INT(($F10-55)/5))*10, $G11*13))</f>
        <v>0</v>
      </c>
      <c r="I11" s="285">
        <f ca="1"/>
        <v>0.84555311285147816</v>
      </c>
      <c r="J11" s="285">
        <f ca="1"/>
        <v>0.14958005622411985</v>
      </c>
      <c r="K11" s="285">
        <f ca="1"/>
        <v>0</v>
      </c>
      <c r="L11" s="285">
        <f ca="1"/>
        <v>2.7960836561070623E-3</v>
      </c>
      <c r="M11" s="285">
        <f ca="1"/>
        <v>0</v>
      </c>
      <c r="N11" s="285">
        <f ca="1"/>
        <v>8.5898204941592393E-4</v>
      </c>
      <c r="O11" s="285">
        <f ca="1"/>
        <v>0</v>
      </c>
      <c r="P11" s="285">
        <f ca="1"/>
        <v>0</v>
      </c>
      <c r="Q11" s="285">
        <f ca="1"/>
        <v>1.2117652188790018E-3</v>
      </c>
      <c r="R11" s="283">
        <f t="shared" ca="1" si="10"/>
        <v>1</v>
      </c>
      <c r="S11" s="418">
        <f t="shared" ref="S11:S74" ca="1" si="14">SUM(J11,L11,N11)</f>
        <v>0.15323512192964284</v>
      </c>
      <c r="U11" s="285">
        <f t="array" aca="1" ref="U11:AD11" ca="1">MMULT(U10:AD10, OFFSET(AB.rngTPMroot, MIN(4, INT(($F10-55)/5))*10, $G11*13))</f>
        <v>0.94684572126410516</v>
      </c>
      <c r="V11" s="285">
        <f ca="1"/>
        <v>0</v>
      </c>
      <c r="W11" s="285">
        <f ca="1"/>
        <v>5.0857219116200753E-2</v>
      </c>
      <c r="X11" s="285">
        <f ca="1"/>
        <v>0</v>
      </c>
      <c r="Y11" s="285">
        <f ca="1"/>
        <v>7.8448272883231967E-4</v>
      </c>
      <c r="Z11" s="285">
        <f ca="1"/>
        <v>0</v>
      </c>
      <c r="AA11" s="285">
        <f ca="1"/>
        <v>3.0081167198279054E-4</v>
      </c>
      <c r="AB11" s="285">
        <f ca="1"/>
        <v>0</v>
      </c>
      <c r="AC11" s="285">
        <f ca="1"/>
        <v>0</v>
      </c>
      <c r="AD11" s="285">
        <f ca="1"/>
        <v>1.2117652188790018E-3</v>
      </c>
      <c r="AE11" s="283">
        <f t="shared" ca="1" si="11"/>
        <v>1</v>
      </c>
      <c r="AF11" s="418">
        <f t="shared" ref="AF11:AF74" ca="1" si="15">SUM(W11,Y11,AA11)</f>
        <v>5.1942513517015863E-2</v>
      </c>
    </row>
    <row r="12" spans="1:32" ht="12" customHeight="1" x14ac:dyDescent="0.25">
      <c r="A12" s="262"/>
      <c r="C12" s="263"/>
      <c r="D12" s="62">
        <f t="shared" si="12"/>
        <v>2</v>
      </c>
      <c r="E12" s="63">
        <f t="shared" si="8"/>
        <v>0.5</v>
      </c>
      <c r="F12" s="63">
        <f t="shared" si="13"/>
        <v>55.5</v>
      </c>
      <c r="G12" s="62">
        <f t="shared" si="9"/>
        <v>0</v>
      </c>
      <c r="H12" s="285">
        <f t="array" aca="1" ref="H12:Q12" ca="1">MMULT(H11:Q11, OFFSET(AB.rngTPMroot, MIN(4, INT(($F11-55)/5))*10, $G12*13))</f>
        <v>0</v>
      </c>
      <c r="I12" s="285">
        <f ca="1"/>
        <v>0.71496006665282452</v>
      </c>
      <c r="J12" s="285">
        <f ca="1"/>
        <v>0.12647788216080366</v>
      </c>
      <c r="K12" s="285">
        <f ca="1"/>
        <v>2.186115783032188E-2</v>
      </c>
      <c r="L12" s="285">
        <f ca="1"/>
        <v>2.3642372392144685E-3</v>
      </c>
      <c r="M12" s="285">
        <f ca="1"/>
        <v>4.0864823597441195E-4</v>
      </c>
      <c r="N12" s="285">
        <f ca="1"/>
        <v>7.2631494576717674E-4</v>
      </c>
      <c r="O12" s="285">
        <f ca="1"/>
        <v>1.2554041380729769E-4</v>
      </c>
      <c r="P12" s="285">
        <f ca="1"/>
        <v>0.13061259237461073</v>
      </c>
      <c r="Q12" s="285">
        <f ca="1"/>
        <v>2.4635601466758078E-3</v>
      </c>
      <c r="R12" s="283">
        <f t="shared" ca="1" si="10"/>
        <v>0.99999999999999989</v>
      </c>
      <c r="S12" s="418">
        <f t="shared" ca="1" si="14"/>
        <v>0.1295684343457853</v>
      </c>
      <c r="U12" s="285">
        <f t="array" aca="1" ref="U12:AD12" ca="1">MMULT(U11:AD11, OFFSET(AB.rngTPMroot, MIN(4, INT(($F11-55)/5))*10, $G12*13))</f>
        <v>0.89651681987614351</v>
      </c>
      <c r="V12" s="285">
        <f ca="1"/>
        <v>0</v>
      </c>
      <c r="W12" s="285">
        <f ca="1"/>
        <v>4.8153940315565739E-2</v>
      </c>
      <c r="X12" s="285">
        <f ca="1"/>
        <v>7.43279366230944E-3</v>
      </c>
      <c r="Y12" s="285">
        <f ca="1"/>
        <v>7.4278411520047115E-4</v>
      </c>
      <c r="Z12" s="285">
        <f ca="1"/>
        <v>1.1465232186080396E-4</v>
      </c>
      <c r="AA12" s="285">
        <f ca="1"/>
        <v>2.848222445232067E-4</v>
      </c>
      <c r="AB12" s="285">
        <f ca="1"/>
        <v>4.39636914467104E-5</v>
      </c>
      <c r="AC12" s="285">
        <f ca="1"/>
        <v>4.4274631455032555E-2</v>
      </c>
      <c r="AD12" s="285">
        <f ca="1"/>
        <v>2.4355923179175962E-3</v>
      </c>
      <c r="AE12" s="283">
        <f t="shared" ca="1" si="11"/>
        <v>0.99999999999999989</v>
      </c>
      <c r="AF12" s="418">
        <f t="shared" ca="1" si="15"/>
        <v>4.9181546675289414E-2</v>
      </c>
    </row>
    <row r="13" spans="1:32" ht="12" customHeight="1" x14ac:dyDescent="0.25">
      <c r="A13" s="262"/>
      <c r="C13" s="263"/>
      <c r="D13" s="62">
        <f t="shared" si="12"/>
        <v>3</v>
      </c>
      <c r="E13" s="63">
        <f t="shared" si="8"/>
        <v>0.75</v>
      </c>
      <c r="F13" s="63">
        <f t="shared" si="13"/>
        <v>55.75</v>
      </c>
      <c r="G13" s="62">
        <f t="shared" si="9"/>
        <v>0</v>
      </c>
      <c r="H13" s="285">
        <f t="array" aca="1" ref="H13:Q13" ca="1">MMULT(H12:Q12, OFFSET(AB.rngTPMroot, MIN(4, INT(($F12-55)/5))*10, $G13*13))</f>
        <v>0</v>
      </c>
      <c r="I13" s="285">
        <f ca="1"/>
        <v>0.60453670992279607</v>
      </c>
      <c r="J13" s="285">
        <f ca="1"/>
        <v>0.11358636019766055</v>
      </c>
      <c r="K13" s="285">
        <f ca="1"/>
        <v>1.8484770053966131E-2</v>
      </c>
      <c r="L13" s="285">
        <f ca="1"/>
        <v>2.101551480023077E-3</v>
      </c>
      <c r="M13" s="285">
        <f ca="1"/>
        <v>3.4553378798942943E-4</v>
      </c>
      <c r="N13" s="285">
        <f ca="1"/>
        <v>6.5342765559820207E-4</v>
      </c>
      <c r="O13" s="285">
        <f ca="1"/>
        <v>1.0615108768342326E-4</v>
      </c>
      <c r="P13" s="285">
        <f ca="1"/>
        <v>0.25647200191723596</v>
      </c>
      <c r="Q13" s="285">
        <f ca="1"/>
        <v>3.7134938970471354E-3</v>
      </c>
      <c r="R13" s="283">
        <f t="shared" ca="1" si="10"/>
        <v>0.99999999999999989</v>
      </c>
      <c r="S13" s="418">
        <f t="shared" ca="1" si="14"/>
        <v>0.11634133933328183</v>
      </c>
      <c r="U13" s="285">
        <f t="array" aca="1" ref="U13:AD13" ca="1">MMULT(U12:AD12, OFFSET(AB.rngTPMroot, MIN(4, INT(($F12-55)/5))*10, $G13*13))</f>
        <v>0.84886311494102895</v>
      </c>
      <c r="V13" s="285">
        <f ca="1"/>
        <v>0</v>
      </c>
      <c r="W13" s="285">
        <f ca="1"/>
        <v>4.7846036982998136E-2</v>
      </c>
      <c r="X13" s="285">
        <f ca="1"/>
        <v>7.037708876196651E-3</v>
      </c>
      <c r="Y13" s="285">
        <f ca="1"/>
        <v>7.3803464500239941E-4</v>
      </c>
      <c r="Z13" s="285">
        <f ca="1"/>
        <v>1.0855806038689725E-4</v>
      </c>
      <c r="AA13" s="285">
        <f ca="1"/>
        <v>2.8300104946204721E-4</v>
      </c>
      <c r="AB13" s="285">
        <f ca="1"/>
        <v>4.1626833137293073E-5</v>
      </c>
      <c r="AC13" s="285">
        <f ca="1"/>
        <v>9.1422723927161609E-2</v>
      </c>
      <c r="AD13" s="285">
        <f ca="1"/>
        <v>3.6591946846260782E-3</v>
      </c>
      <c r="AE13" s="283">
        <f t="shared" ca="1" si="11"/>
        <v>1</v>
      </c>
      <c r="AF13" s="418">
        <f t="shared" ca="1" si="15"/>
        <v>4.8867072677462584E-2</v>
      </c>
    </row>
    <row r="14" spans="1:32" ht="12" customHeight="1" x14ac:dyDescent="0.25">
      <c r="A14" s="262"/>
      <c r="C14" s="263"/>
      <c r="D14" s="62">
        <f t="shared" si="12"/>
        <v>4</v>
      </c>
      <c r="E14" s="63">
        <f t="shared" si="8"/>
        <v>1</v>
      </c>
      <c r="F14" s="63">
        <f t="shared" si="13"/>
        <v>56</v>
      </c>
      <c r="G14" s="62">
        <f t="shared" si="9"/>
        <v>0</v>
      </c>
      <c r="H14" s="285">
        <f t="array" aca="1" ref="H14:Q14" ca="1">MMULT(H13:Q13, OFFSET(AB.rngTPMroot, MIN(4, INT(($F13-55)/5))*10, $G14*13))</f>
        <v>0</v>
      </c>
      <c r="I14" s="285">
        <f ca="1"/>
        <v>0.51116789690821129</v>
      </c>
      <c r="J14" s="285">
        <f ca="1"/>
        <v>0.1034700878584718</v>
      </c>
      <c r="K14" s="285">
        <f ca="1"/>
        <v>1.6600671308294662E-2</v>
      </c>
      <c r="L14" s="285">
        <f ca="1"/>
        <v>1.8915330700649874E-3</v>
      </c>
      <c r="M14" s="285">
        <f ca="1"/>
        <v>3.0714220700983266E-4</v>
      </c>
      <c r="N14" s="285">
        <f ca="1"/>
        <v>5.9643595375014047E-4</v>
      </c>
      <c r="O14" s="285">
        <f ca="1"/>
        <v>9.5498594333501074E-5</v>
      </c>
      <c r="P14" s="285">
        <f ca="1"/>
        <v>0.36091340993144494</v>
      </c>
      <c r="Q14" s="285">
        <f ca="1"/>
        <v>4.9573241684188101E-3</v>
      </c>
      <c r="R14" s="283">
        <f t="shared" ca="1" si="10"/>
        <v>0.99999999999999989</v>
      </c>
      <c r="S14" s="418">
        <f t="shared" ca="1" si="14"/>
        <v>0.10595805688228692</v>
      </c>
      <c r="U14" s="285">
        <f t="array" aca="1" ref="U14:AD14" ca="1">MMULT(U13:AD13, OFFSET(AB.rngTPMroot, MIN(4, INT(($F13-55)/5))*10, $G14*13))</f>
        <v>0.80374240832083355</v>
      </c>
      <c r="V14" s="285">
        <f ca="1"/>
        <v>0</v>
      </c>
      <c r="W14" s="285">
        <f ca="1"/>
        <v>4.7820322939180197E-2</v>
      </c>
      <c r="X14" s="285">
        <f ca="1"/>
        <v>6.9927087370092646E-3</v>
      </c>
      <c r="Y14" s="285">
        <f ca="1"/>
        <v>7.3763800075770498E-4</v>
      </c>
      <c r="Z14" s="285">
        <f ca="1"/>
        <v>1.0786392428191487E-4</v>
      </c>
      <c r="AA14" s="285">
        <f ca="1"/>
        <v>2.8284895533168115E-4</v>
      </c>
      <c r="AB14" s="285">
        <f ca="1"/>
        <v>4.1360665082026687E-5</v>
      </c>
      <c r="AC14" s="285">
        <f ca="1"/>
        <v>0.13539372115070988</v>
      </c>
      <c r="AD14" s="285">
        <f ca="1"/>
        <v>4.8811273068138476E-3</v>
      </c>
      <c r="AE14" s="283">
        <f t="shared" ca="1" si="11"/>
        <v>1</v>
      </c>
      <c r="AF14" s="418">
        <f t="shared" ca="1" si="15"/>
        <v>4.8840809895269587E-2</v>
      </c>
    </row>
    <row r="15" spans="1:32" ht="12" customHeight="1" x14ac:dyDescent="0.25">
      <c r="A15" s="262"/>
      <c r="C15" s="263"/>
      <c r="D15" s="62">
        <f t="shared" si="12"/>
        <v>5</v>
      </c>
      <c r="E15" s="63">
        <f t="shared" si="8"/>
        <v>1.25</v>
      </c>
      <c r="F15" s="63">
        <f t="shared" si="13"/>
        <v>56.25</v>
      </c>
      <c r="G15" s="62">
        <f t="shared" si="9"/>
        <v>0</v>
      </c>
      <c r="H15" s="285">
        <f t="array" aca="1" ref="H15:Q15" ca="1">MMULT(H14:Q14, OFFSET(AB.rngTPMroot, MIN(4, INT(($F14-55)/5))*10, $G15*13))</f>
        <v>0</v>
      </c>
      <c r="I15" s="285">
        <f ca="1"/>
        <v>0.43221960642048152</v>
      </c>
      <c r="J15" s="285">
        <f ca="1"/>
        <v>9.4815575130354018E-2</v>
      </c>
      <c r="K15" s="285">
        <f ca="1"/>
        <v>1.5122175900256007E-2</v>
      </c>
      <c r="L15" s="285">
        <f ca="1"/>
        <v>1.7123985387668668E-3</v>
      </c>
      <c r="M15" s="285">
        <f ca="1"/>
        <v>2.7644797060382505E-4</v>
      </c>
      <c r="N15" s="285">
        <f ca="1"/>
        <v>5.4765101396433134E-4</v>
      </c>
      <c r="O15" s="285">
        <f ca="1"/>
        <v>8.7169244682419581E-5</v>
      </c>
      <c r="P15" s="285">
        <f ca="1"/>
        <v>0.44902274178014362</v>
      </c>
      <c r="Q15" s="285">
        <f ca="1"/>
        <v>6.1962340007473849E-3</v>
      </c>
      <c r="R15" s="283">
        <f t="shared" ca="1" si="10"/>
        <v>0.99999999999999989</v>
      </c>
      <c r="S15" s="418">
        <f t="shared" ca="1" si="14"/>
        <v>9.7075624683085213E-2</v>
      </c>
      <c r="U15" s="285">
        <f t="array" aca="1" ref="U15:AD15" ca="1">MMULT(U14:AD14, OFFSET(AB.rngTPMroot, MIN(4, INT(($F14-55)/5))*10, $G15*13))</f>
        <v>0.76102006031708858</v>
      </c>
      <c r="V15" s="285">
        <f ca="1"/>
        <v>0</v>
      </c>
      <c r="W15" s="285">
        <f ca="1"/>
        <v>4.7761851916474966E-2</v>
      </c>
      <c r="X15" s="285">
        <f ca="1"/>
        <v>6.9889506238988014E-3</v>
      </c>
      <c r="Y15" s="285">
        <f ca="1"/>
        <v>7.3673607359285901E-4</v>
      </c>
      <c r="Z15" s="285">
        <f ca="1"/>
        <v>1.0780595463907183E-4</v>
      </c>
      <c r="AA15" s="285">
        <f ca="1"/>
        <v>2.8250310932578142E-4</v>
      </c>
      <c r="AB15" s="285">
        <f ca="1"/>
        <v>4.1338436491712379E-5</v>
      </c>
      <c r="AC15" s="285">
        <f ca="1"/>
        <v>0.17695919314801817</v>
      </c>
      <c r="AD15" s="285">
        <f ca="1"/>
        <v>6.1015604204701611E-3</v>
      </c>
      <c r="AE15" s="283">
        <f t="shared" ca="1" si="11"/>
        <v>1</v>
      </c>
      <c r="AF15" s="418">
        <f t="shared" ca="1" si="15"/>
        <v>4.8781091099393603E-2</v>
      </c>
    </row>
    <row r="16" spans="1:32" ht="12" customHeight="1" x14ac:dyDescent="0.25">
      <c r="A16" s="262"/>
      <c r="C16" s="263"/>
      <c r="D16" s="62">
        <f t="shared" si="12"/>
        <v>6</v>
      </c>
      <c r="E16" s="63">
        <f t="shared" si="8"/>
        <v>1.5</v>
      </c>
      <c r="F16" s="63">
        <f t="shared" si="13"/>
        <v>56.5</v>
      </c>
      <c r="G16" s="62">
        <f t="shared" si="9"/>
        <v>0</v>
      </c>
      <c r="H16" s="285">
        <f t="array" aca="1" ref="H16:Q16" ca="1">MMULT(H15:Q15, OFFSET(AB.rngTPMroot, MIN(4, INT(($F15-55)/5))*10, $G16*13))</f>
        <v>0</v>
      </c>
      <c r="I16" s="285">
        <f ca="1"/>
        <v>0.36546463364427889</v>
      </c>
      <c r="J16" s="285">
        <f ca="1"/>
        <v>8.7487480996412584E-2</v>
      </c>
      <c r="K16" s="285">
        <f ca="1"/>
        <v>1.3857316978085043E-2</v>
      </c>
      <c r="L16" s="285">
        <f ca="1"/>
        <v>1.5607727631407925E-3</v>
      </c>
      <c r="M16" s="285">
        <f ca="1"/>
        <v>2.5026741979763088E-4</v>
      </c>
      <c r="N16" s="285">
        <f ca="1"/>
        <v>5.0634016503399112E-4</v>
      </c>
      <c r="O16" s="285">
        <f ca="1"/>
        <v>8.0039315096069093E-5</v>
      </c>
      <c r="P16" s="285">
        <f ca="1"/>
        <v>0.5233623884927856</v>
      </c>
      <c r="Q16" s="285">
        <f ca="1"/>
        <v>7.4307602253693731E-3</v>
      </c>
      <c r="R16" s="283">
        <f t="shared" ca="1" si="10"/>
        <v>1</v>
      </c>
      <c r="S16" s="418">
        <f t="shared" ca="1" si="14"/>
        <v>8.9554593924587367E-2</v>
      </c>
      <c r="U16" s="285">
        <f t="array" aca="1" ref="U16:AD16" ca="1">MMULT(U15:AD15, OFFSET(AB.rngTPMroot, MIN(4, INT(($F15-55)/5))*10, $G16*13))</f>
        <v>0.72056858790738654</v>
      </c>
      <c r="V16" s="285">
        <f ca="1"/>
        <v>0</v>
      </c>
      <c r="W16" s="285">
        <f ca="1"/>
        <v>4.7703016419925331E-2</v>
      </c>
      <c r="X16" s="285">
        <f ca="1"/>
        <v>6.9804050711819061E-3</v>
      </c>
      <c r="Y16" s="285">
        <f ca="1"/>
        <v>7.3582852434640896E-4</v>
      </c>
      <c r="Z16" s="285">
        <f ca="1"/>
        <v>1.0767413778728104E-4</v>
      </c>
      <c r="AA16" s="285">
        <f ca="1"/>
        <v>2.8215510752000844E-4</v>
      </c>
      <c r="AB16" s="285">
        <f ca="1"/>
        <v>4.1287891022544802E-5</v>
      </c>
      <c r="AC16" s="285">
        <f ca="1"/>
        <v>0.21626054684078738</v>
      </c>
      <c r="AD16" s="285">
        <f ca="1"/>
        <v>7.3204981000427136E-3</v>
      </c>
      <c r="AE16" s="283">
        <f t="shared" ca="1" si="11"/>
        <v>1.0000000000000002</v>
      </c>
      <c r="AF16" s="418">
        <f t="shared" ca="1" si="15"/>
        <v>4.8721000051791745E-2</v>
      </c>
    </row>
    <row r="17" spans="1:32" ht="12" customHeight="1" x14ac:dyDescent="0.25">
      <c r="A17" s="262"/>
      <c r="C17" s="263"/>
      <c r="D17" s="62">
        <f t="shared" si="12"/>
        <v>7</v>
      </c>
      <c r="E17" s="63">
        <f t="shared" si="8"/>
        <v>1.75</v>
      </c>
      <c r="F17" s="63">
        <f t="shared" si="13"/>
        <v>56.75</v>
      </c>
      <c r="G17" s="62">
        <f t="shared" si="9"/>
        <v>0</v>
      </c>
      <c r="H17" s="285">
        <f t="array" aca="1" ref="H17:Q17" ca="1">MMULT(H16:Q16, OFFSET(AB.rngTPMroot, MIN(4, INT(($F16-55)/5))*10, $G17*13))</f>
        <v>0</v>
      </c>
      <c r="I17" s="285">
        <f ca="1"/>
        <v>0.30901975861504505</v>
      </c>
      <c r="J17" s="285">
        <f ca="1"/>
        <v>8.1282976117194386E-2</v>
      </c>
      <c r="K17" s="285">
        <f ca="1"/>
        <v>1.2786314422654012E-2</v>
      </c>
      <c r="L17" s="285">
        <f ca="1"/>
        <v>1.4324384437109444E-3</v>
      </c>
      <c r="M17" s="285">
        <f ca="1"/>
        <v>2.2810727963068207E-4</v>
      </c>
      <c r="N17" s="285">
        <f ca="1"/>
        <v>4.7136107513222412E-4</v>
      </c>
      <c r="O17" s="285">
        <f ca="1"/>
        <v>7.4001725517832754E-5</v>
      </c>
      <c r="P17" s="285">
        <f ca="1"/>
        <v>0.58604369563802861</v>
      </c>
      <c r="Q17" s="285">
        <f ca="1"/>
        <v>8.6613466830861678E-3</v>
      </c>
      <c r="R17" s="283">
        <f t="shared" ca="1" si="10"/>
        <v>0.99999999999999989</v>
      </c>
      <c r="S17" s="418">
        <f t="shared" ca="1" si="14"/>
        <v>8.318677563603756E-2</v>
      </c>
      <c r="U17" s="285">
        <f t="array" aca="1" ref="U17:AD17" ca="1">MMULT(U16:AD16, OFFSET(AB.rngTPMroot, MIN(4, INT(($F16-55)/5))*10, $G17*13))</f>
        <v>0.68226728433742712</v>
      </c>
      <c r="V17" s="285">
        <f ca="1"/>
        <v>0</v>
      </c>
      <c r="W17" s="285">
        <f ca="1"/>
        <v>4.764452458032864E-2</v>
      </c>
      <c r="X17" s="285">
        <f ca="1"/>
        <v>6.9718062505331841E-3</v>
      </c>
      <c r="Y17" s="285">
        <f ca="1"/>
        <v>7.349262760768684E-4</v>
      </c>
      <c r="Z17" s="285">
        <f ca="1"/>
        <v>1.0754149926703804E-4</v>
      </c>
      <c r="AA17" s="285">
        <f ca="1"/>
        <v>2.8180913838578915E-4</v>
      </c>
      <c r="AB17" s="285">
        <f ca="1"/>
        <v>4.1237030482755715E-5</v>
      </c>
      <c r="AC17" s="285">
        <f ca="1"/>
        <v>0.25341293010048754</v>
      </c>
      <c r="AD17" s="285">
        <f ca="1"/>
        <v>8.5379407870111463E-3</v>
      </c>
      <c r="AE17" s="283">
        <f t="shared" ca="1" si="11"/>
        <v>1.0000000000000002</v>
      </c>
      <c r="AF17" s="418">
        <f t="shared" ca="1" si="15"/>
        <v>4.8661259994791296E-2</v>
      </c>
    </row>
    <row r="18" spans="1:32" ht="12" customHeight="1" x14ac:dyDescent="0.25">
      <c r="A18" s="262"/>
      <c r="C18" s="263"/>
      <c r="D18" s="62">
        <f t="shared" si="12"/>
        <v>8</v>
      </c>
      <c r="E18" s="63">
        <f t="shared" si="8"/>
        <v>2</v>
      </c>
      <c r="F18" s="63">
        <f t="shared" si="13"/>
        <v>57</v>
      </c>
      <c r="G18" s="62">
        <f t="shared" si="9"/>
        <v>0</v>
      </c>
      <c r="H18" s="285">
        <f t="array" aca="1" ref="H18:Q18" ca="1">MMULT(H17:Q17, OFFSET(AB.rngTPMroot, MIN(4, INT(($F17-55)/5))*10, $G18*13))</f>
        <v>0</v>
      </c>
      <c r="I18" s="285">
        <f ca="1"/>
        <v>0.26129261882956373</v>
      </c>
      <c r="J18" s="285">
        <f ca="1"/>
        <v>7.6027745508733674E-2</v>
      </c>
      <c r="K18" s="285">
        <f ca="1"/>
        <v>1.1879524681778653E-2</v>
      </c>
      <c r="L18" s="285">
        <f ca="1"/>
        <v>1.3237862540467751E-3</v>
      </c>
      <c r="M18" s="285">
        <f ca="1"/>
        <v>2.0935119086508324E-4</v>
      </c>
      <c r="N18" s="285">
        <f ca="1"/>
        <v>4.4173120950501452E-4</v>
      </c>
      <c r="O18" s="285">
        <f ca="1"/>
        <v>6.8889523902145432E-5</v>
      </c>
      <c r="P18" s="285">
        <f ca="1"/>
        <v>0.63886797979771992</v>
      </c>
      <c r="Q18" s="285">
        <f ca="1"/>
        <v>9.8883730038848167E-3</v>
      </c>
      <c r="R18" s="283">
        <f t="shared" ca="1" si="10"/>
        <v>0.99999999999999978</v>
      </c>
      <c r="S18" s="418">
        <f t="shared" ca="1" si="14"/>
        <v>7.7793262972285462E-2</v>
      </c>
      <c r="U18" s="285">
        <f t="array" aca="1" ref="U18:AD18" ca="1">MMULT(U17:AD17, OFFSET(AB.rngTPMroot, MIN(4, INT(($F17-55)/5))*10, $G18*13))</f>
        <v>0.64600185893337347</v>
      </c>
      <c r="V18" s="285">
        <f ca="1"/>
        <v>0</v>
      </c>
      <c r="W18" s="285">
        <f ca="1"/>
        <v>4.7586093688362731E-2</v>
      </c>
      <c r="X18" s="285">
        <f ca="1"/>
        <v>6.9632576554230627E-3</v>
      </c>
      <c r="Y18" s="285">
        <f ca="1"/>
        <v>7.3402496793666529E-4</v>
      </c>
      <c r="Z18" s="285">
        <f ca="1"/>
        <v>1.0740963548572612E-4</v>
      </c>
      <c r="AA18" s="285">
        <f ca="1"/>
        <v>2.8146352974628511E-4</v>
      </c>
      <c r="AB18" s="285">
        <f ca="1"/>
        <v>4.1186467018357392E-5</v>
      </c>
      <c r="AC18" s="285">
        <f ca="1"/>
        <v>0.28853081475244202</v>
      </c>
      <c r="AD18" s="285">
        <f ca="1"/>
        <v>9.7538903702117409E-3</v>
      </c>
      <c r="AE18" s="283">
        <f t="shared" ca="1" si="11"/>
        <v>1</v>
      </c>
      <c r="AF18" s="418">
        <f t="shared" ca="1" si="15"/>
        <v>4.8601582186045683E-2</v>
      </c>
    </row>
    <row r="19" spans="1:32" ht="12" customHeight="1" x14ac:dyDescent="0.25">
      <c r="A19" s="262"/>
      <c r="C19" s="263"/>
      <c r="D19" s="62">
        <f t="shared" si="12"/>
        <v>9</v>
      </c>
      <c r="E19" s="63">
        <f t="shared" si="8"/>
        <v>2.25</v>
      </c>
      <c r="F19" s="63">
        <f t="shared" si="13"/>
        <v>57.25</v>
      </c>
      <c r="G19" s="62">
        <f t="shared" si="9"/>
        <v>0</v>
      </c>
      <c r="H19" s="285">
        <f t="array" aca="1" ref="H19:Q19" ca="1">MMULT(H18:Q18, OFFSET(AB.rngTPMroot, MIN(4, INT(($F18-55)/5))*10, $G19*13))</f>
        <v>0</v>
      </c>
      <c r="I19" s="285">
        <f ca="1"/>
        <v>0.22093678721645238</v>
      </c>
      <c r="J19" s="285">
        <f ca="1"/>
        <v>7.1575213450370823E-2</v>
      </c>
      <c r="K19" s="285">
        <f ca="1"/>
        <v>1.1111471582546212E-2</v>
      </c>
      <c r="L19" s="285">
        <f ca="1"/>
        <v>1.2317769171260621E-3</v>
      </c>
      <c r="M19" s="285">
        <f ca="1"/>
        <v>1.9347164965606304E-4</v>
      </c>
      <c r="N19" s="285">
        <f ca="1"/>
        <v>4.1662461439869228E-4</v>
      </c>
      <c r="O19" s="285">
        <f ca="1"/>
        <v>6.455911258048415E-5</v>
      </c>
      <c r="P19" s="285">
        <f ca="1"/>
        <v>0.68335793512301035</v>
      </c>
      <c r="Q19" s="285">
        <f ca="1"/>
        <v>1.1112160333858784E-2</v>
      </c>
      <c r="R19" s="283">
        <f t="shared" ca="1" si="10"/>
        <v>0.99999999999999978</v>
      </c>
      <c r="S19" s="418">
        <f t="shared" ca="1" si="14"/>
        <v>7.3223614981895571E-2</v>
      </c>
      <c r="U19" s="285">
        <f t="array" aca="1" ref="U19:AD19" ca="1">MMULT(U18:AD18, OFFSET(AB.rngTPMroot, MIN(4, INT(($F18-55)/5))*10, $G19*13))</f>
        <v>0.61166409605972272</v>
      </c>
      <c r="V19" s="285">
        <f ca="1"/>
        <v>0</v>
      </c>
      <c r="W19" s="285">
        <f ca="1"/>
        <v>4.7527732956888454E-2</v>
      </c>
      <c r="X19" s="285">
        <f ca="1"/>
        <v>6.9547179678224689E-3</v>
      </c>
      <c r="Y19" s="285">
        <f ca="1"/>
        <v>7.3312474203601232E-4</v>
      </c>
      <c r="Z19" s="285">
        <f ca="1"/>
        <v>1.0727790910452186E-4</v>
      </c>
      <c r="AA19" s="285">
        <f ca="1"/>
        <v>2.8111833609397775E-4</v>
      </c>
      <c r="AB19" s="285">
        <f ca="1"/>
        <v>4.11359562403403E-5</v>
      </c>
      <c r="AC19" s="285">
        <f ca="1"/>
        <v>0.32172244738357897</v>
      </c>
      <c r="AD19" s="285">
        <f ca="1"/>
        <v>1.0968348688512658E-2</v>
      </c>
      <c r="AE19" s="283">
        <f t="shared" ca="1" si="11"/>
        <v>1</v>
      </c>
      <c r="AF19" s="418">
        <f t="shared" ca="1" si="15"/>
        <v>4.854197603501844E-2</v>
      </c>
    </row>
    <row r="20" spans="1:32" ht="12" customHeight="1" x14ac:dyDescent="0.25">
      <c r="A20" s="262"/>
      <c r="C20" s="263"/>
      <c r="D20" s="62">
        <f t="shared" si="12"/>
        <v>10</v>
      </c>
      <c r="E20" s="63">
        <f t="shared" si="8"/>
        <v>2.5</v>
      </c>
      <c r="F20" s="63">
        <f t="shared" si="13"/>
        <v>57.5</v>
      </c>
      <c r="G20" s="62">
        <f t="shared" si="9"/>
        <v>0</v>
      </c>
      <c r="H20" s="285">
        <f t="array" aca="1" ref="H20:Q20" ca="1">MMULT(H19:Q19, OFFSET(AB.rngTPMroot, MIN(4, INT(($F19-55)/5))*10, $G20*13))</f>
        <v>0</v>
      </c>
      <c r="I20" s="285">
        <f ca="1"/>
        <v>0.18681378817427596</v>
      </c>
      <c r="J20" s="285">
        <f ca="1"/>
        <v>6.7801421295158787E-2</v>
      </c>
      <c r="K20" s="285">
        <f ca="1"/>
        <v>1.0460733051424156E-2</v>
      </c>
      <c r="L20" s="285">
        <f ca="1"/>
        <v>1.1538402374832446E-3</v>
      </c>
      <c r="M20" s="285">
        <f ca="1"/>
        <v>1.8002446500416542E-4</v>
      </c>
      <c r="N20" s="285">
        <f ca="1"/>
        <v>3.9534277730161822E-4</v>
      </c>
      <c r="O20" s="285">
        <f ca="1"/>
        <v>6.0889778231666107E-5</v>
      </c>
      <c r="P20" s="285">
        <f ca="1"/>
        <v>0.72080097974545498</v>
      </c>
      <c r="Q20" s="285">
        <f ca="1"/>
        <v>1.233298047566531E-2</v>
      </c>
      <c r="R20" s="283">
        <f t="shared" ca="1" si="10"/>
        <v>0.99999999999999978</v>
      </c>
      <c r="S20" s="418">
        <f t="shared" ca="1" si="14"/>
        <v>6.935060430994365E-2</v>
      </c>
      <c r="U20" s="285">
        <f t="array" aca="1" ref="U20:AD20" ca="1">MMULT(U19:AD19, OFFSET(AB.rngTPMroot, MIN(4, INT(($F19-55)/5))*10, $G20*13))</f>
        <v>0.57915153220502502</v>
      </c>
      <c r="V20" s="285">
        <f ca="1"/>
        <v>0</v>
      </c>
      <c r="W20" s="285">
        <f ca="1"/>
        <v>4.7469443960009225E-2</v>
      </c>
      <c r="X20" s="285">
        <f ca="1"/>
        <v>6.9461885341930247E-3</v>
      </c>
      <c r="Y20" s="285">
        <f ca="1"/>
        <v>7.3222562265576785E-4</v>
      </c>
      <c r="Z20" s="285">
        <f ca="1"/>
        <v>1.071463408928638E-4</v>
      </c>
      <c r="AA20" s="285">
        <f ca="1"/>
        <v>2.8077356673941717E-4</v>
      </c>
      <c r="AB20" s="285">
        <f ca="1"/>
        <v>4.1085506112792487E-5</v>
      </c>
      <c r="AC20" s="285">
        <f ca="1"/>
        <v>0.3530902866943596</v>
      </c>
      <c r="AD20" s="285">
        <f ca="1"/>
        <v>1.2181317570012399E-2</v>
      </c>
      <c r="AE20" s="283">
        <f t="shared" ca="1" si="11"/>
        <v>1</v>
      </c>
      <c r="AF20" s="418">
        <f t="shared" ca="1" si="15"/>
        <v>4.8482443149404413E-2</v>
      </c>
    </row>
    <row r="21" spans="1:32" ht="12" customHeight="1" x14ac:dyDescent="0.25">
      <c r="A21" s="262"/>
      <c r="C21" s="263"/>
      <c r="D21" s="62">
        <f t="shared" si="12"/>
        <v>11</v>
      </c>
      <c r="E21" s="63">
        <f t="shared" si="8"/>
        <v>2.75</v>
      </c>
      <c r="F21" s="63">
        <f t="shared" si="13"/>
        <v>57.75</v>
      </c>
      <c r="G21" s="62">
        <f t="shared" si="9"/>
        <v>0</v>
      </c>
      <c r="H21" s="285">
        <f t="array" aca="1" ref="H21:Q21" ca="1">MMULT(H20:Q20, OFFSET(AB.rngTPMroot, MIN(4, INT(($F20-55)/5))*10, $G21*13))</f>
        <v>0</v>
      </c>
      <c r="I21" s="285">
        <f ca="1"/>
        <v>0.15796098011433571</v>
      </c>
      <c r="J21" s="285">
        <f ca="1"/>
        <v>6.4601550304635796E-2</v>
      </c>
      <c r="K21" s="285">
        <f ca="1"/>
        <v>9.9091925051342841E-3</v>
      </c>
      <c r="L21" s="285">
        <f ca="1"/>
        <v>1.0878028993852639E-3</v>
      </c>
      <c r="M21" s="285">
        <f ca="1"/>
        <v>1.6863400228171504E-4</v>
      </c>
      <c r="N21" s="285">
        <f ca="1"/>
        <v>3.7729503850915576E-4</v>
      </c>
      <c r="O21" s="285">
        <f ca="1"/>
        <v>5.7779433099817481E-5</v>
      </c>
      <c r="P21" s="285">
        <f ca="1"/>
        <v>0.75228570216731316</v>
      </c>
      <c r="Q21" s="285">
        <f ca="1"/>
        <v>1.3551063535305075E-2</v>
      </c>
      <c r="R21" s="283">
        <f t="shared" ca="1" si="10"/>
        <v>1</v>
      </c>
      <c r="S21" s="418">
        <f t="shared" ca="1" si="14"/>
        <v>6.606664824253021E-2</v>
      </c>
      <c r="U21" s="285">
        <f t="array" aca="1" ref="U21:AD21" ca="1">MMULT(U20:AD20, OFFSET(AB.rngTPMroot, MIN(4, INT(($F20-55)/5))*10, $G21*13))</f>
        <v>0.54836715023187854</v>
      </c>
      <c r="V21" s="285">
        <f ca="1"/>
        <v>0</v>
      </c>
      <c r="W21" s="285">
        <f ca="1"/>
        <v>4.7411226453051541E-2</v>
      </c>
      <c r="X21" s="285">
        <f ca="1"/>
        <v>6.9376695845902872E-3</v>
      </c>
      <c r="Y21" s="285">
        <f ca="1"/>
        <v>7.3132760602179431E-4</v>
      </c>
      <c r="Z21" s="285">
        <f ca="1"/>
        <v>1.0701493439940471E-4</v>
      </c>
      <c r="AA21" s="285">
        <f ca="1"/>
        <v>2.804292202354017E-4</v>
      </c>
      <c r="AB21" s="285">
        <f ca="1"/>
        <v>4.1035117996452869E-5</v>
      </c>
      <c r="AC21" s="285">
        <f ca="1"/>
        <v>0.38273134801045544</v>
      </c>
      <c r="AD21" s="285">
        <f ca="1"/>
        <v>1.3392798841371236E-2</v>
      </c>
      <c r="AE21" s="283">
        <f t="shared" ca="1" si="11"/>
        <v>1.0000000000000002</v>
      </c>
      <c r="AF21" s="418">
        <f t="shared" ca="1" si="15"/>
        <v>4.8422983279308739E-2</v>
      </c>
    </row>
    <row r="22" spans="1:32" ht="12" customHeight="1" x14ac:dyDescent="0.25">
      <c r="A22" s="262"/>
      <c r="C22" s="263"/>
      <c r="D22" s="62">
        <f t="shared" si="12"/>
        <v>12</v>
      </c>
      <c r="E22" s="63">
        <f t="shared" si="8"/>
        <v>3</v>
      </c>
      <c r="F22" s="63">
        <f t="shared" si="13"/>
        <v>58</v>
      </c>
      <c r="G22" s="62">
        <f t="shared" si="9"/>
        <v>0</v>
      </c>
      <c r="H22" s="285">
        <f t="array" aca="1" ref="H22:Q22" ca="1">MMULT(H21:Q21, OFFSET(AB.rngTPMroot, MIN(4, INT(($F21-55)/5))*10, $G22*13))</f>
        <v>0</v>
      </c>
      <c r="I22" s="285">
        <f ca="1"/>
        <v>0.13356439844474699</v>
      </c>
      <c r="J22" s="285">
        <f ca="1"/>
        <v>6.1886971079827394E-2</v>
      </c>
      <c r="K22" s="285">
        <f ca="1"/>
        <v>9.4415306621966188E-3</v>
      </c>
      <c r="L22" s="285">
        <f ca="1"/>
        <v>1.0318272552980983E-3</v>
      </c>
      <c r="M22" s="285">
        <f ca="1"/>
        <v>1.5898263092047407E-4</v>
      </c>
      <c r="N22" s="285">
        <f ca="1"/>
        <v>3.6198196630405716E-4</v>
      </c>
      <c r="O22" s="285">
        <f ca="1"/>
        <v>5.5141752140323201E-5</v>
      </c>
      <c r="P22" s="285">
        <f ca="1"/>
        <v>0.77873256184904904</v>
      </c>
      <c r="Q22" s="285">
        <f ca="1"/>
        <v>1.4766604359516957E-2</v>
      </c>
      <c r="R22" s="283">
        <f t="shared" ca="1" si="10"/>
        <v>0.99999999999999989</v>
      </c>
      <c r="S22" s="418">
        <f t="shared" ca="1" si="14"/>
        <v>6.3280780301429557E-2</v>
      </c>
      <c r="U22" s="285">
        <f t="array" aca="1" ref="U22:AD22" ca="1">MMULT(U21:AD21, OFFSET(AB.rngTPMroot, MIN(4, INT(($F21-55)/5))*10, $G22*13))</f>
        <v>0.51921908987884491</v>
      </c>
      <c r="V22" s="285">
        <f ca="1"/>
        <v>0</v>
      </c>
      <c r="W22" s="285">
        <f ca="1"/>
        <v>4.7353080343875836E-2</v>
      </c>
      <c r="X22" s="285">
        <f ca="1"/>
        <v>6.9291610832551698E-3</v>
      </c>
      <c r="Y22" s="285">
        <f ca="1"/>
        <v>7.3043069071282093E-4</v>
      </c>
      <c r="Z22" s="285">
        <f ca="1"/>
        <v>1.0688368907255355E-4</v>
      </c>
      <c r="AA22" s="285">
        <f ca="1"/>
        <v>2.8008529603694183E-4</v>
      </c>
      <c r="AB22" s="285">
        <f ca="1"/>
        <v>4.0984791679812621E-5</v>
      </c>
      <c r="AC22" s="285">
        <f ca="1"/>
        <v>0.41073748989948994</v>
      </c>
      <c r="AD22" s="285">
        <f ca="1"/>
        <v>1.460279432703207E-2</v>
      </c>
      <c r="AE22" s="283">
        <f t="shared" ca="1" si="11"/>
        <v>0.99999999999999989</v>
      </c>
      <c r="AF22" s="418">
        <f t="shared" ca="1" si="15"/>
        <v>4.8363596330625605E-2</v>
      </c>
    </row>
    <row r="23" spans="1:32" ht="12" customHeight="1" x14ac:dyDescent="0.25">
      <c r="A23" s="262"/>
      <c r="C23" s="263"/>
      <c r="D23" s="62">
        <f t="shared" si="12"/>
        <v>13</v>
      </c>
      <c r="E23" s="63">
        <f t="shared" si="8"/>
        <v>3.25</v>
      </c>
      <c r="F23" s="63">
        <f t="shared" si="13"/>
        <v>58.25</v>
      </c>
      <c r="G23" s="62">
        <f t="shared" si="9"/>
        <v>0</v>
      </c>
      <c r="H23" s="285">
        <f t="array" aca="1" ref="H23:Q23" ca="1">MMULT(H22:Q22, OFFSET(AB.rngTPMroot, MIN(4, INT(($F22-55)/5))*10, $G23*13))</f>
        <v>0</v>
      </c>
      <c r="I23" s="285">
        <f ca="1"/>
        <v>0.11293579287109094</v>
      </c>
      <c r="J23" s="285">
        <f ca="1"/>
        <v>5.9582742759783439E-2</v>
      </c>
      <c r="K23" s="285">
        <f ca="1"/>
        <v>9.0447943166270407E-3</v>
      </c>
      <c r="L23" s="285">
        <f ca="1"/>
        <v>9.8435947667905384E-4</v>
      </c>
      <c r="M23" s="285">
        <f ca="1"/>
        <v>1.5080177833268015E-4</v>
      </c>
      <c r="N23" s="285">
        <f ca="1"/>
        <v>3.4898126466232808E-4</v>
      </c>
      <c r="O23" s="285">
        <f ca="1"/>
        <v>5.2903743298815657E-5</v>
      </c>
      <c r="P23" s="285">
        <f ca="1"/>
        <v>0.80091985580849312</v>
      </c>
      <c r="Q23" s="285">
        <f ca="1"/>
        <v>1.5979767981032577E-2</v>
      </c>
      <c r="R23" s="283">
        <f t="shared" ca="1" si="10"/>
        <v>1</v>
      </c>
      <c r="S23" s="418">
        <f t="shared" ca="1" si="14"/>
        <v>6.0916083501124818E-2</v>
      </c>
      <c r="U23" s="285">
        <f t="array" aca="1" ref="U23:AD23" ca="1">MMULT(U22:AD22, OFFSET(AB.rngTPMroot, MIN(4, INT(($F22-55)/5))*10, $G23*13))</f>
        <v>0.49162037365042716</v>
      </c>
      <c r="V23" s="285">
        <f ca="1"/>
        <v>0</v>
      </c>
      <c r="W23" s="285">
        <f ca="1"/>
        <v>4.7295005546339398E-2</v>
      </c>
      <c r="X23" s="285">
        <f ca="1"/>
        <v>6.9206630167214563E-3</v>
      </c>
      <c r="Y23" s="285">
        <f ca="1"/>
        <v>7.2953487540007892E-4</v>
      </c>
      <c r="Z23" s="285">
        <f ca="1"/>
        <v>1.0675260470459127E-4</v>
      </c>
      <c r="AA23" s="285">
        <f ca="1"/>
        <v>2.7974179363451826E-4</v>
      </c>
      <c r="AB23" s="285">
        <f ca="1"/>
        <v>4.0934527083221393E-5</v>
      </c>
      <c r="AC23" s="285">
        <f ca="1"/>
        <v>0.43719568813649667</v>
      </c>
      <c r="AD23" s="285">
        <f ca="1"/>
        <v>1.5811305849192978E-2</v>
      </c>
      <c r="AE23" s="283">
        <f t="shared" ca="1" si="11"/>
        <v>1</v>
      </c>
      <c r="AF23" s="418">
        <f t="shared" ca="1" si="15"/>
        <v>4.8304282215373993E-2</v>
      </c>
    </row>
    <row r="24" spans="1:32" ht="12" customHeight="1" x14ac:dyDescent="0.25">
      <c r="A24" s="262"/>
      <c r="C24" s="263"/>
      <c r="D24" s="62">
        <f t="shared" si="12"/>
        <v>14</v>
      </c>
      <c r="E24" s="63">
        <f t="shared" si="8"/>
        <v>3.5</v>
      </c>
      <c r="F24" s="63">
        <f t="shared" si="13"/>
        <v>58.5</v>
      </c>
      <c r="G24" s="62">
        <f t="shared" si="9"/>
        <v>0</v>
      </c>
      <c r="H24" s="285">
        <f t="array" aca="1" ref="H24:Q24" ca="1">MMULT(H23:Q23, OFFSET(AB.rngTPMroot, MIN(4, INT(($F23-55)/5))*10, $G24*13))</f>
        <v>0</v>
      </c>
      <c r="I24" s="285">
        <f ca="1"/>
        <v>9.5493211214500717E-2</v>
      </c>
      <c r="J24" s="285">
        <f ca="1"/>
        <v>5.7625498848741782E-2</v>
      </c>
      <c r="K24" s="285">
        <f ca="1"/>
        <v>8.7080308452582179E-3</v>
      </c>
      <c r="L24" s="285">
        <f ca="1"/>
        <v>9.4408571869698452E-4</v>
      </c>
      <c r="M24" s="285">
        <f ca="1"/>
        <v>1.4386435213803496E-4</v>
      </c>
      <c r="N24" s="285">
        <f ca="1"/>
        <v>3.379358597627903E-4</v>
      </c>
      <c r="O24" s="285">
        <f ca="1"/>
        <v>5.1003687919314238E-5</v>
      </c>
      <c r="P24" s="285">
        <f ca="1"/>
        <v>0.81950567525004703</v>
      </c>
      <c r="Q24" s="285">
        <f ca="1"/>
        <v>1.7190694222935139E-2</v>
      </c>
      <c r="R24" s="283">
        <f t="shared" ca="1" si="10"/>
        <v>1</v>
      </c>
      <c r="S24" s="418">
        <f t="shared" ca="1" si="14"/>
        <v>5.8907520427201557E-2</v>
      </c>
      <c r="U24" s="285">
        <f t="array" aca="1" ref="U24:AD24" ca="1">MMULT(U23:AD23, OFFSET(AB.rngTPMroot, MIN(4, INT(($F23-55)/5))*10, $G24*13))</f>
        <v>0.4654886472771676</v>
      </c>
      <c r="V24" s="285">
        <f ca="1"/>
        <v>0</v>
      </c>
      <c r="W24" s="285">
        <f ca="1"/>
        <v>4.723700197294424E-2</v>
      </c>
      <c r="X24" s="285">
        <f ca="1"/>
        <v>6.9121753723993696E-3</v>
      </c>
      <c r="Y24" s="285">
        <f ca="1"/>
        <v>7.2864015873389443E-4</v>
      </c>
      <c r="Z24" s="285">
        <f ca="1"/>
        <v>1.0662168110131807E-4</v>
      </c>
      <c r="AA24" s="285">
        <f ca="1"/>
        <v>2.7939871251059548E-4</v>
      </c>
      <c r="AB24" s="285">
        <f ca="1"/>
        <v>4.0884324132212841E-5</v>
      </c>
      <c r="AC24" s="285">
        <f ca="1"/>
        <v>0.46218829527319344</v>
      </c>
      <c r="AD24" s="285">
        <f ca="1"/>
        <v>1.7018335227817462E-2</v>
      </c>
      <c r="AE24" s="283">
        <f t="shared" ca="1" si="11"/>
        <v>1.0000000000000002</v>
      </c>
      <c r="AF24" s="418">
        <f t="shared" ca="1" si="15"/>
        <v>4.8245040844188729E-2</v>
      </c>
    </row>
    <row r="25" spans="1:32" ht="12" customHeight="1" x14ac:dyDescent="0.25">
      <c r="A25" s="262"/>
      <c r="C25" s="263"/>
      <c r="D25" s="62">
        <f t="shared" si="12"/>
        <v>15</v>
      </c>
      <c r="E25" s="63">
        <f t="shared" si="8"/>
        <v>3.75</v>
      </c>
      <c r="F25" s="63">
        <f t="shared" si="13"/>
        <v>58.75</v>
      </c>
      <c r="G25" s="62">
        <f t="shared" si="9"/>
        <v>0</v>
      </c>
      <c r="H25" s="285">
        <f t="array" aca="1" ref="H25:Q25" ca="1">MMULT(H24:Q24, OFFSET(AB.rngTPMroot, MIN(4, INT(($F24-55)/5))*10, $G25*13))</f>
        <v>0</v>
      </c>
      <c r="I25" s="285">
        <f ca="1"/>
        <v>8.0744581998604764E-2</v>
      </c>
      <c r="J25" s="285">
        <f ca="1"/>
        <v>5.5961659595648472E-2</v>
      </c>
      <c r="K25" s="285">
        <f ca="1"/>
        <v>8.421979220918618E-3</v>
      </c>
      <c r="L25" s="285">
        <f ca="1"/>
        <v>9.0989505555977464E-4</v>
      </c>
      <c r="M25" s="285">
        <f ca="1"/>
        <v>1.3797833362800692E-4</v>
      </c>
      <c r="N25" s="285">
        <f ca="1"/>
        <v>3.2854382664569194E-4</v>
      </c>
      <c r="O25" s="285">
        <f ca="1"/>
        <v>4.9389399585000387E-5</v>
      </c>
      <c r="P25" s="285">
        <f ca="1"/>
        <v>0.83504647097754137</v>
      </c>
      <c r="Q25" s="285">
        <f ca="1"/>
        <v>1.8399501591868359E-2</v>
      </c>
      <c r="R25" s="283">
        <f t="shared" ca="1" si="10"/>
        <v>1</v>
      </c>
      <c r="S25" s="418">
        <f t="shared" ca="1" si="14"/>
        <v>5.7200098477853935E-2</v>
      </c>
      <c r="U25" s="285">
        <f t="array" aca="1" ref="U25:AD25" ca="1">MMULT(U24:AD24, OFFSET(AB.rngTPMroot, MIN(4, INT(($F24-55)/5))*10, $G25*13))</f>
        <v>0.44074593397140238</v>
      </c>
      <c r="V25" s="285">
        <f ca="1"/>
        <v>0</v>
      </c>
      <c r="W25" s="285">
        <f ca="1"/>
        <v>4.7179069536330887E-2</v>
      </c>
      <c r="X25" s="285">
        <f ca="1"/>
        <v>6.9036981375010598E-3</v>
      </c>
      <c r="Y25" s="285">
        <f ca="1"/>
        <v>7.2774653936673024E-4</v>
      </c>
      <c r="Z25" s="285">
        <f ca="1"/>
        <v>1.0649091806547876E-4</v>
      </c>
      <c r="AA25" s="285">
        <f ca="1"/>
        <v>2.7905605214845723E-4</v>
      </c>
      <c r="AB25" s="285">
        <f ca="1"/>
        <v>4.0834182751149028E-5</v>
      </c>
      <c r="AC25" s="285">
        <f ca="1"/>
        <v>0.48579328638179692</v>
      </c>
      <c r="AD25" s="285">
        <f ca="1"/>
        <v>1.8223884280637023E-2</v>
      </c>
      <c r="AE25" s="283">
        <f t="shared" ca="1" si="11"/>
        <v>1</v>
      </c>
      <c r="AF25" s="418">
        <f t="shared" ca="1" si="15"/>
        <v>4.8185872127846079E-2</v>
      </c>
    </row>
    <row r="26" spans="1:32" ht="12" customHeight="1" x14ac:dyDescent="0.25">
      <c r="A26" s="262"/>
      <c r="C26" s="263"/>
      <c r="D26" s="62">
        <f t="shared" si="12"/>
        <v>16</v>
      </c>
      <c r="E26" s="63">
        <f t="shared" si="8"/>
        <v>4</v>
      </c>
      <c r="F26" s="63">
        <f t="shared" si="13"/>
        <v>59</v>
      </c>
      <c r="G26" s="62">
        <f t="shared" si="9"/>
        <v>0</v>
      </c>
      <c r="H26" s="285">
        <f t="array" aca="1" ref="H26:Q26" ca="1">MMULT(H25:Q25, OFFSET(AB.rngTPMroot, MIN(4, INT(($F25-55)/5))*10, $G26*13))</f>
        <v>0</v>
      </c>
      <c r="I26" s="285">
        <f ca="1"/>
        <v>6.8273832654811684E-2</v>
      </c>
      <c r="J26" s="285">
        <f ca="1"/>
        <v>5.4545920461859347E-2</v>
      </c>
      <c r="K26" s="285">
        <f ca="1"/>
        <v>8.1788087513096318E-3</v>
      </c>
      <c r="L26" s="285">
        <f ca="1"/>
        <v>8.8084814029975537E-4</v>
      </c>
      <c r="M26" s="285">
        <f ca="1"/>
        <v>1.329813607558615E-4</v>
      </c>
      <c r="N26" s="285">
        <f ca="1"/>
        <v>3.2054987164247662E-4</v>
      </c>
      <c r="O26" s="285">
        <f ca="1"/>
        <v>4.8016751897177227E-5</v>
      </c>
      <c r="P26" s="285">
        <f ca="1"/>
        <v>0.84801275143747201</v>
      </c>
      <c r="Q26" s="285">
        <f ca="1"/>
        <v>1.9606290569952133E-2</v>
      </c>
      <c r="R26" s="283">
        <f t="shared" ca="1" si="10"/>
        <v>1.0000000000000002</v>
      </c>
      <c r="S26" s="418">
        <f t="shared" ca="1" si="14"/>
        <v>5.5747318473801578E-2</v>
      </c>
      <c r="U26" s="285">
        <f t="array" aca="1" ref="U26:AD26" ca="1">MMULT(U25:AD25, OFFSET(AB.rngTPMroot, MIN(4, INT(($F25-55)/5))*10, $G26*13))</f>
        <v>0.41731840174537416</v>
      </c>
      <c r="V26" s="285">
        <f ca="1"/>
        <v>0</v>
      </c>
      <c r="W26" s="285">
        <f ca="1"/>
        <v>4.7121208149256466E-2</v>
      </c>
      <c r="X26" s="285">
        <f ca="1"/>
        <v>6.8952312992589214E-3</v>
      </c>
      <c r="Y26" s="285">
        <f ca="1"/>
        <v>7.2685401595284774E-4</v>
      </c>
      <c r="Z26" s="285">
        <f ca="1"/>
        <v>1.0636031540013052E-4</v>
      </c>
      <c r="AA26" s="285">
        <f ca="1"/>
        <v>2.7871381203207709E-4</v>
      </c>
      <c r="AB26" s="285">
        <f ca="1"/>
        <v>4.0784102864511764E-5</v>
      </c>
      <c r="AC26" s="285">
        <f ca="1"/>
        <v>0.50808449173670711</v>
      </c>
      <c r="AD26" s="285">
        <f ca="1"/>
        <v>1.9427954823153862E-2</v>
      </c>
      <c r="AE26" s="283">
        <f t="shared" ca="1" si="11"/>
        <v>1.0000000000000002</v>
      </c>
      <c r="AF26" s="418">
        <f t="shared" ca="1" si="15"/>
        <v>4.8126775977241396E-2</v>
      </c>
    </row>
    <row r="27" spans="1:32" ht="12" customHeight="1" x14ac:dyDescent="0.25">
      <c r="A27" s="262"/>
      <c r="C27" s="263"/>
      <c r="D27" s="62">
        <f t="shared" si="12"/>
        <v>17</v>
      </c>
      <c r="E27" s="63">
        <f t="shared" si="8"/>
        <v>4.25</v>
      </c>
      <c r="F27" s="63">
        <f t="shared" si="13"/>
        <v>59.25</v>
      </c>
      <c r="G27" s="62">
        <f t="shared" si="9"/>
        <v>0</v>
      </c>
      <c r="H27" s="285">
        <f t="array" aca="1" ref="H27:Q27" ca="1">MMULT(H26:Q26, OFFSET(AB.rngTPMroot, MIN(4, INT(($F26-55)/5))*10, $G27*13))</f>
        <v>0</v>
      </c>
      <c r="I27" s="285">
        <f ca="1"/>
        <v>5.7729151727576922E-2</v>
      </c>
      <c r="J27" s="285">
        <f ca="1"/>
        <v>5.3339974040330682E-2</v>
      </c>
      <c r="K27" s="285">
        <f ca="1"/>
        <v>7.9718981682305977E-3</v>
      </c>
      <c r="L27" s="285">
        <f ca="1"/>
        <v>8.5615070495817925E-4</v>
      </c>
      <c r="M27" s="285">
        <f ca="1"/>
        <v>1.2873614775746664E-4</v>
      </c>
      <c r="N27" s="285">
        <f ca="1"/>
        <v>3.1373813031794246E-4</v>
      </c>
      <c r="O27" s="285">
        <f ca="1"/>
        <v>4.6848433630523161E-5</v>
      </c>
      <c r="P27" s="285">
        <f ca="1"/>
        <v>0.8588023562489252</v>
      </c>
      <c r="Q27" s="285">
        <f ca="1"/>
        <v>2.0811146398272636E-2</v>
      </c>
      <c r="R27" s="283">
        <f t="shared" ca="1" si="10"/>
        <v>1</v>
      </c>
      <c r="S27" s="418">
        <f t="shared" ca="1" si="14"/>
        <v>5.4509862875606808E-2</v>
      </c>
      <c r="U27" s="285">
        <f t="array" aca="1" ref="U27:AD27" ca="1">MMULT(U26:AD26, OFFSET(AB.rngTPMroot, MIN(4, INT(($F26-55)/5))*10, $G27*13))</f>
        <v>0.39513614309738238</v>
      </c>
      <c r="V27" s="285">
        <f ca="1"/>
        <v>0</v>
      </c>
      <c r="W27" s="285">
        <f ca="1"/>
        <v>4.7063417724584389E-2</v>
      </c>
      <c r="X27" s="285">
        <f ca="1"/>
        <v>6.886774844922389E-3</v>
      </c>
      <c r="Y27" s="285">
        <f ca="1"/>
        <v>7.2596258714814751E-4</v>
      </c>
      <c r="Z27" s="285">
        <f ca="1"/>
        <v>1.0622987290859336E-4</v>
      </c>
      <c r="AA27" s="285">
        <f ca="1"/>
        <v>2.7837199164605707E-4</v>
      </c>
      <c r="AB27" s="285">
        <f ca="1"/>
        <v>4.0734084396883674E-5</v>
      </c>
      <c r="AC27" s="285">
        <f ca="1"/>
        <v>0.52913181712836765</v>
      </c>
      <c r="AD27" s="285">
        <f ca="1"/>
        <v>2.0630548668643604E-2</v>
      </c>
      <c r="AE27" s="283">
        <f t="shared" ca="1" si="11"/>
        <v>1</v>
      </c>
      <c r="AF27" s="418">
        <f t="shared" ca="1" si="15"/>
        <v>4.8067752303378591E-2</v>
      </c>
    </row>
    <row r="28" spans="1:32" ht="12" customHeight="1" x14ac:dyDescent="0.25">
      <c r="A28" s="262"/>
      <c r="C28" s="263"/>
      <c r="D28" s="62">
        <f t="shared" si="12"/>
        <v>18</v>
      </c>
      <c r="E28" s="63">
        <f t="shared" si="8"/>
        <v>4.5</v>
      </c>
      <c r="F28" s="63">
        <f t="shared" si="13"/>
        <v>59.5</v>
      </c>
      <c r="G28" s="62">
        <f t="shared" si="9"/>
        <v>0</v>
      </c>
      <c r="H28" s="285">
        <f t="array" aca="1" ref="H28:Q28" ca="1">MMULT(H27:Q27, OFFSET(AB.rngTPMroot, MIN(4, INT(($F27-55)/5))*10, $G28*13))</f>
        <v>0</v>
      </c>
      <c r="I28" s="285">
        <f ca="1"/>
        <v>4.8813063945527951E-2</v>
      </c>
      <c r="J28" s="285">
        <f ca="1"/>
        <v>5.2311429370442787E-2</v>
      </c>
      <c r="K28" s="285">
        <f ca="1"/>
        <v>7.7956488357898545E-3</v>
      </c>
      <c r="L28" s="285">
        <f ca="1"/>
        <v>8.3513115358418543E-4</v>
      </c>
      <c r="M28" s="285">
        <f ca="1"/>
        <v>1.2512661219747599E-4</v>
      </c>
      <c r="N28" s="285">
        <f ca="1"/>
        <v>3.0792607774799617E-4</v>
      </c>
      <c r="O28" s="285">
        <f ca="1"/>
        <v>4.585289615076819E-5</v>
      </c>
      <c r="P28" s="285">
        <f ca="1"/>
        <v>0.86775167967808764</v>
      </c>
      <c r="Q28" s="285">
        <f ca="1"/>
        <v>2.2014141430471444E-2</v>
      </c>
      <c r="R28" s="283">
        <f t="shared" ca="1" si="10"/>
        <v>1.0000000000000002</v>
      </c>
      <c r="S28" s="418">
        <f t="shared" ca="1" si="14"/>
        <v>5.3454486601774966E-2</v>
      </c>
      <c r="U28" s="285">
        <f t="array" aca="1" ref="U28:AD28" ca="1">MMULT(U27:AD27, OFFSET(AB.rngTPMroot, MIN(4, INT(($F27-55)/5))*10, $G28*13))</f>
        <v>0.3741329664085577</v>
      </c>
      <c r="V28" s="285">
        <f ca="1"/>
        <v>0</v>
      </c>
      <c r="W28" s="285">
        <f ca="1"/>
        <v>4.7005698175284889E-2</v>
      </c>
      <c r="X28" s="285">
        <f ca="1"/>
        <v>6.8783287617564309E-3</v>
      </c>
      <c r="Y28" s="285">
        <f ca="1"/>
        <v>7.2507225161017822E-4</v>
      </c>
      <c r="Z28" s="285">
        <f ca="1"/>
        <v>1.0609959039442686E-4</v>
      </c>
      <c r="AA28" s="285">
        <f ca="1"/>
        <v>2.7803059047563125E-4</v>
      </c>
      <c r="AB28" s="285">
        <f ca="1"/>
        <v>4.068412727293923E-5</v>
      </c>
      <c r="AC28" s="285">
        <f ca="1"/>
        <v>0.5490014524664899</v>
      </c>
      <c r="AD28" s="285">
        <f ca="1"/>
        <v>2.1831667628158039E-2</v>
      </c>
      <c r="AE28" s="283">
        <f t="shared" ca="1" si="11"/>
        <v>1.0000000000000002</v>
      </c>
      <c r="AF28" s="418">
        <f t="shared" ca="1" si="15"/>
        <v>4.8008801017370699E-2</v>
      </c>
    </row>
    <row r="29" spans="1:32" ht="12" customHeight="1" x14ac:dyDescent="0.25">
      <c r="A29" s="262"/>
      <c r="C29" s="263"/>
      <c r="D29" s="62">
        <f t="shared" si="12"/>
        <v>19</v>
      </c>
      <c r="E29" s="63">
        <f t="shared" si="8"/>
        <v>4.75</v>
      </c>
      <c r="F29" s="63">
        <f t="shared" si="13"/>
        <v>59.75</v>
      </c>
      <c r="G29" s="62">
        <f t="shared" si="9"/>
        <v>0</v>
      </c>
      <c r="H29" s="285">
        <f t="array" aca="1" ref="H29:Q29" ca="1">MMULT(H28:Q28, OFFSET(AB.rngTPMroot, MIN(4, INT(($F28-55)/5))*10, $G29*13))</f>
        <v>0</v>
      </c>
      <c r="I29" s="285">
        <f ca="1"/>
        <v>4.1274038166959418E-2</v>
      </c>
      <c r="J29" s="285">
        <f ca="1"/>
        <v>5.143289816128338E-2</v>
      </c>
      <c r="K29" s="285">
        <f ca="1"/>
        <v>7.6453268080305826E-3</v>
      </c>
      <c r="L29" s="285">
        <f ca="1"/>
        <v>8.1722161592529474E-4</v>
      </c>
      <c r="M29" s="285">
        <f ca="1"/>
        <v>1.2205460018124209E-4</v>
      </c>
      <c r="N29" s="285">
        <f ca="1"/>
        <v>3.0295937933604055E-4</v>
      </c>
      <c r="O29" s="285">
        <f ca="1"/>
        <v>4.5003463400459894E-5</v>
      </c>
      <c r="P29" s="285">
        <f ca="1"/>
        <v>0.87514516068205317</v>
      </c>
      <c r="Q29" s="285">
        <f ca="1"/>
        <v>2.3215337122830571E-2</v>
      </c>
      <c r="R29" s="283">
        <f t="shared" ca="1" si="10"/>
        <v>1.0000000000000002</v>
      </c>
      <c r="S29" s="418">
        <f t="shared" ca="1" si="14"/>
        <v>5.2553079156544717E-2</v>
      </c>
      <c r="U29" s="285">
        <f t="array" aca="1" ref="U29:AD29" ca="1">MMULT(U28:AD28, OFFSET(AB.rngTPMroot, MIN(4, INT(($F28-55)/5))*10, $G29*13))</f>
        <v>0.35424619842779004</v>
      </c>
      <c r="V29" s="285">
        <f ca="1"/>
        <v>0</v>
      </c>
      <c r="W29" s="285">
        <f ca="1"/>
        <v>4.6948049414434943E-2</v>
      </c>
      <c r="X29" s="285">
        <f ca="1"/>
        <v>6.8698930370416278E-3</v>
      </c>
      <c r="Y29" s="285">
        <f ca="1"/>
        <v>7.2418300799813491E-4</v>
      </c>
      <c r="Z29" s="285">
        <f ca="1"/>
        <v>1.0596946766143143E-4</v>
      </c>
      <c r="AA29" s="285">
        <f ca="1"/>
        <v>2.7768960800666478E-4</v>
      </c>
      <c r="AB29" s="285">
        <f ca="1"/>
        <v>4.0634231417445276E-5</v>
      </c>
      <c r="AC29" s="285">
        <f ca="1"/>
        <v>0.56775606929512201</v>
      </c>
      <c r="AD29" s="285">
        <f ca="1"/>
        <v>2.3031313510527843E-2</v>
      </c>
      <c r="AE29" s="283">
        <f t="shared" ca="1" si="11"/>
        <v>1</v>
      </c>
      <c r="AF29" s="418">
        <f t="shared" ca="1" si="15"/>
        <v>4.794992203043974E-2</v>
      </c>
    </row>
    <row r="30" spans="1:32" ht="12" customHeight="1" x14ac:dyDescent="0.25">
      <c r="A30" s="262"/>
      <c r="C30" s="263"/>
      <c r="D30" s="62">
        <f t="shared" si="12"/>
        <v>20</v>
      </c>
      <c r="E30" s="63">
        <f t="shared" si="8"/>
        <v>5</v>
      </c>
      <c r="F30" s="63">
        <f t="shared" si="13"/>
        <v>60</v>
      </c>
      <c r="G30" s="62">
        <f t="shared" si="9"/>
        <v>0</v>
      </c>
      <c r="H30" s="285">
        <f t="array" aca="1" ref="H30:Q30" ca="1">MMULT(H29:Q29, OFFSET(AB.rngTPMroot, MIN(4, INT(($F29-55)/5))*10, $G30*13))</f>
        <v>0</v>
      </c>
      <c r="I30" s="285">
        <f ca="1"/>
        <v>3.4899391452023254E-2</v>
      </c>
      <c r="J30" s="285">
        <f ca="1"/>
        <v>5.0681222144900152E-2</v>
      </c>
      <c r="K30" s="285">
        <f ca="1"/>
        <v>7.5169292802644422E-3</v>
      </c>
      <c r="L30" s="285">
        <f ca="1"/>
        <v>8.0194192731643027E-4</v>
      </c>
      <c r="M30" s="285">
        <f ca="1"/>
        <v>1.1943711734755152E-4</v>
      </c>
      <c r="N30" s="285">
        <f ca="1"/>
        <v>2.9870753690474218E-4</v>
      </c>
      <c r="O30" s="285">
        <f ca="1"/>
        <v>4.4277579344655782E-5</v>
      </c>
      <c r="P30" s="285">
        <f ca="1"/>
        <v>0.88122330724490339</v>
      </c>
      <c r="Q30" s="285">
        <f ca="1"/>
        <v>2.4414785716995478E-2</v>
      </c>
      <c r="R30" s="283">
        <f t="shared" ca="1" si="10"/>
        <v>1</v>
      </c>
      <c r="S30" s="418">
        <f t="shared" ca="1" si="14"/>
        <v>5.178187160912133E-2</v>
      </c>
      <c r="U30" s="285">
        <f t="array" aca="1" ref="U30:AD30" ca="1">MMULT(U29:AD29, OFFSET(AB.rngTPMroot, MIN(4, INT(($F29-55)/5))*10, $G30*13))</f>
        <v>0.33541649725542816</v>
      </c>
      <c r="V30" s="285">
        <f ca="1"/>
        <v>0</v>
      </c>
      <c r="W30" s="285">
        <f ca="1"/>
        <v>4.6890471355218122E-2</v>
      </c>
      <c r="X30" s="285">
        <f ca="1"/>
        <v>6.8614676580741616E-3</v>
      </c>
      <c r="Y30" s="285">
        <f ca="1"/>
        <v>7.2329485497285703E-4</v>
      </c>
      <c r="Z30" s="285">
        <f ca="1"/>
        <v>1.0583950451364817E-4</v>
      </c>
      <c r="AA30" s="285">
        <f ca="1"/>
        <v>2.7734904372565366E-4</v>
      </c>
      <c r="AB30" s="285">
        <f ca="1"/>
        <v>4.0584396755260905E-5</v>
      </c>
      <c r="AC30" s="285">
        <f ca="1"/>
        <v>0.58545500780894699</v>
      </c>
      <c r="AD30" s="285">
        <f ca="1"/>
        <v>2.4229488122365309E-2</v>
      </c>
      <c r="AE30" s="283">
        <f t="shared" ca="1" si="11"/>
        <v>1.0000000000000002</v>
      </c>
      <c r="AF30" s="418">
        <f t="shared" ca="1" si="15"/>
        <v>4.7891115253916629E-2</v>
      </c>
    </row>
    <row r="31" spans="1:32" ht="12" customHeight="1" x14ac:dyDescent="0.25">
      <c r="A31" s="262"/>
      <c r="C31" s="263"/>
      <c r="D31" s="62">
        <f t="shared" si="12"/>
        <v>21</v>
      </c>
      <c r="E31" s="63">
        <f t="shared" si="8"/>
        <v>5.25</v>
      </c>
      <c r="F31" s="63">
        <f t="shared" si="13"/>
        <v>60.25</v>
      </c>
      <c r="G31" s="62">
        <f t="shared" si="9"/>
        <v>0</v>
      </c>
      <c r="H31" s="285">
        <f t="array" aca="1" ref="H31:Q31" ca="1">MMULT(H30:Q30, OFFSET(AB.rngTPMroot, MIN(4, INT(($F30-55)/5))*10, $G31*13))</f>
        <v>0</v>
      </c>
      <c r="I31" s="285">
        <f ca="1"/>
        <v>2.9485768474408858E-2</v>
      </c>
      <c r="J31" s="285">
        <f ca="1"/>
        <v>5.0036819762438352E-2</v>
      </c>
      <c r="K31" s="285">
        <f ca="1"/>
        <v>7.4070716665809704E-3</v>
      </c>
      <c r="L31" s="285">
        <f ca="1"/>
        <v>7.8888608282520821E-4</v>
      </c>
      <c r="M31" s="285">
        <f ca="1"/>
        <v>1.1720398752591228E-4</v>
      </c>
      <c r="N31" s="285">
        <f ca="1"/>
        <v>2.9506020723537121E-4</v>
      </c>
      <c r="O31" s="285">
        <f ca="1"/>
        <v>4.3656171646285866E-5</v>
      </c>
      <c r="P31" s="285">
        <f ca="1"/>
        <v>0.88554685767634989</v>
      </c>
      <c r="Q31" s="285">
        <f ca="1"/>
        <v>2.627867597098919E-2</v>
      </c>
      <c r="R31" s="283">
        <f t="shared" ca="1" si="10"/>
        <v>1</v>
      </c>
      <c r="S31" s="418">
        <f t="shared" ca="1" si="14"/>
        <v>5.1120766052498934E-2</v>
      </c>
      <c r="U31" s="285">
        <f t="array" aca="1" ref="U31:AD31" ca="1">MMULT(U30:AD30, OFFSET(AB.rngTPMroot, MIN(4, INT(($F30-55)/5))*10, $G31*13))</f>
        <v>0.31736161978543703</v>
      </c>
      <c r="V31" s="285">
        <f ca="1"/>
        <v>0</v>
      </c>
      <c r="W31" s="285">
        <f ca="1"/>
        <v>4.6832963910924494E-2</v>
      </c>
      <c r="X31" s="285">
        <f ca="1"/>
        <v>6.8530526121657913E-3</v>
      </c>
      <c r="Y31" s="285">
        <f ca="1"/>
        <v>7.2240779119682626E-4</v>
      </c>
      <c r="Z31" s="285">
        <f ca="1"/>
        <v>1.0570970075535846E-4</v>
      </c>
      <c r="AA31" s="285">
        <f ca="1"/>
        <v>2.7700889711972348E-4</v>
      </c>
      <c r="AB31" s="285">
        <f ca="1"/>
        <v>4.0534623211337383E-5</v>
      </c>
      <c r="AC31" s="285">
        <f ca="1"/>
        <v>0.60171494266096337</v>
      </c>
      <c r="AD31" s="285">
        <f ca="1"/>
        <v>2.6091760018226273E-2</v>
      </c>
      <c r="AE31" s="283">
        <f t="shared" ca="1" si="11"/>
        <v>1.0000000000000002</v>
      </c>
      <c r="AF31" s="418">
        <f t="shared" ca="1" si="15"/>
        <v>4.7832380599241039E-2</v>
      </c>
    </row>
    <row r="32" spans="1:32" ht="12" customHeight="1" x14ac:dyDescent="0.25">
      <c r="A32" s="262"/>
      <c r="C32" s="263"/>
      <c r="D32" s="62">
        <f t="shared" si="12"/>
        <v>22</v>
      </c>
      <c r="E32" s="63">
        <f t="shared" si="8"/>
        <v>5.5</v>
      </c>
      <c r="F32" s="63">
        <f t="shared" si="13"/>
        <v>60.5</v>
      </c>
      <c r="G32" s="62">
        <f t="shared" si="9"/>
        <v>0</v>
      </c>
      <c r="H32" s="285">
        <f t="array" aca="1" ref="H32:Q32" ca="1">MMULT(H31:Q31, OFFSET(AB.rngTPMroot, MIN(4, INT(($F31-55)/5))*10, $G32*13))</f>
        <v>0</v>
      </c>
      <c r="I32" s="285">
        <f ca="1"/>
        <v>2.4911911249846166E-2</v>
      </c>
      <c r="J32" s="285">
        <f ca="1"/>
        <v>4.9446933484722629E-2</v>
      </c>
      <c r="K32" s="285">
        <f ca="1"/>
        <v>7.3128921178841483E-3</v>
      </c>
      <c r="L32" s="285">
        <f ca="1"/>
        <v>7.7714089073788032E-4</v>
      </c>
      <c r="M32" s="285">
        <f ca="1"/>
        <v>1.1529587300693458E-4</v>
      </c>
      <c r="N32" s="285">
        <f ca="1"/>
        <v>2.9171057670948023E-4</v>
      </c>
      <c r="O32" s="285">
        <f ca="1"/>
        <v>4.3123113619874468E-5</v>
      </c>
      <c r="P32" s="285">
        <f ca="1"/>
        <v>0.88896227311461495</v>
      </c>
      <c r="Q32" s="285">
        <f ca="1"/>
        <v>2.8138719578857975E-2</v>
      </c>
      <c r="R32" s="283">
        <f t="shared" ca="1" si="10"/>
        <v>1</v>
      </c>
      <c r="S32" s="418">
        <f t="shared" ca="1" si="14"/>
        <v>5.051578495216999E-2</v>
      </c>
      <c r="U32" s="285">
        <f t="array" aca="1" ref="U32:AD32" ca="1">MMULT(U31:AD31, OFFSET(AB.rngTPMroot, MIN(4, INT(($F31-55)/5))*10, $G32*13))</f>
        <v>0.30027860447226806</v>
      </c>
      <c r="V32" s="285">
        <f ca="1"/>
        <v>0</v>
      </c>
      <c r="W32" s="285">
        <f ca="1"/>
        <v>4.6741678120901145E-2</v>
      </c>
      <c r="X32" s="285">
        <f ca="1"/>
        <v>6.8446478866438423E-3</v>
      </c>
      <c r="Y32" s="285">
        <f ca="1"/>
        <v>7.2099968971378007E-4</v>
      </c>
      <c r="Z32" s="285">
        <f ca="1"/>
        <v>1.0558005619108369E-4</v>
      </c>
      <c r="AA32" s="285">
        <f ca="1"/>
        <v>2.764689574296973E-4</v>
      </c>
      <c r="AB32" s="285">
        <f ca="1"/>
        <v>4.0484910710718007E-5</v>
      </c>
      <c r="AC32" s="285">
        <f ca="1"/>
        <v>0.61704104299323426</v>
      </c>
      <c r="AD32" s="285">
        <f ca="1"/>
        <v>2.7950492912907639E-2</v>
      </c>
      <c r="AE32" s="283">
        <f t="shared" ca="1" si="11"/>
        <v>1.0000000000000004</v>
      </c>
      <c r="AF32" s="418">
        <f t="shared" ca="1" si="15"/>
        <v>4.7739146768044624E-2</v>
      </c>
    </row>
    <row r="33" spans="1:32" ht="12" customHeight="1" x14ac:dyDescent="0.25">
      <c r="A33" s="262"/>
      <c r="C33" s="263"/>
      <c r="D33" s="62">
        <f t="shared" si="12"/>
        <v>23</v>
      </c>
      <c r="E33" s="63">
        <f t="shared" si="8"/>
        <v>5.75</v>
      </c>
      <c r="F33" s="63">
        <f t="shared" si="13"/>
        <v>60.75</v>
      </c>
      <c r="G33" s="62">
        <f t="shared" si="9"/>
        <v>0</v>
      </c>
      <c r="H33" s="285">
        <f t="array" aca="1" ref="H33:Q33" ca="1">MMULT(H32:Q32, OFFSET(AB.rngTPMroot, MIN(4, INT(($F32-55)/5))*10, $G33*13))</f>
        <v>0</v>
      </c>
      <c r="I33" s="285">
        <f ca="1"/>
        <v>2.104755460787271E-2</v>
      </c>
      <c r="J33" s="285">
        <f ca="1"/>
        <v>4.893647419522814E-2</v>
      </c>
      <c r="K33" s="285">
        <f ca="1"/>
        <v>7.2266801097821947E-3</v>
      </c>
      <c r="L33" s="285">
        <f ca="1"/>
        <v>7.6703133773001946E-4</v>
      </c>
      <c r="M33" s="285">
        <f ca="1"/>
        <v>1.1357931062254954E-4</v>
      </c>
      <c r="N33" s="285">
        <f ca="1"/>
        <v>2.8880911228548989E-4</v>
      </c>
      <c r="O33" s="285">
        <f ca="1"/>
        <v>4.2633564388190476E-5</v>
      </c>
      <c r="P33" s="285">
        <f ca="1"/>
        <v>0.8915822819316046</v>
      </c>
      <c r="Q33" s="285">
        <f ca="1"/>
        <v>2.9994955830486097E-2</v>
      </c>
      <c r="R33" s="283">
        <f t="shared" ca="1" si="10"/>
        <v>1</v>
      </c>
      <c r="S33" s="418">
        <f t="shared" ca="1" si="14"/>
        <v>4.9992314645243646E-2</v>
      </c>
      <c r="U33" s="285">
        <f t="array" aca="1" ref="U33:AD33" ca="1">MMULT(U32:AD32, OFFSET(AB.rngTPMroot, MIN(4, INT(($F32-55)/5))*10, $G33*13))</f>
        <v>0.28411513769299951</v>
      </c>
      <c r="V33" s="285">
        <f ca="1"/>
        <v>0</v>
      </c>
      <c r="W33" s="285">
        <f ca="1"/>
        <v>4.665232631074908E-2</v>
      </c>
      <c r="X33" s="285">
        <f ca="1"/>
        <v>6.8313064485287503E-3</v>
      </c>
      <c r="Y33" s="285">
        <f ca="1"/>
        <v>7.1962142025523874E-4</v>
      </c>
      <c r="Z33" s="285">
        <f ca="1"/>
        <v>1.0537426185232599E-4</v>
      </c>
      <c r="AA33" s="285">
        <f ca="1"/>
        <v>2.7594045689676176E-4</v>
      </c>
      <c r="AB33" s="285">
        <f ca="1"/>
        <v>4.0405998407296809E-5</v>
      </c>
      <c r="AC33" s="285">
        <f ca="1"/>
        <v>0.63145420790328033</v>
      </c>
      <c r="AD33" s="285">
        <f ca="1"/>
        <v>2.9805679507031009E-2</v>
      </c>
      <c r="AE33" s="283">
        <f t="shared" ca="1" si="11"/>
        <v>1.0000000000000002</v>
      </c>
      <c r="AF33" s="418">
        <f t="shared" ca="1" si="15"/>
        <v>4.7647888187901076E-2</v>
      </c>
    </row>
    <row r="34" spans="1:32" ht="12" customHeight="1" x14ac:dyDescent="0.25">
      <c r="A34" s="262"/>
      <c r="C34" s="263"/>
      <c r="D34" s="62">
        <f t="shared" si="12"/>
        <v>24</v>
      </c>
      <c r="E34" s="63">
        <f t="shared" si="8"/>
        <v>6</v>
      </c>
      <c r="F34" s="63">
        <f t="shared" si="13"/>
        <v>61</v>
      </c>
      <c r="G34" s="62">
        <f t="shared" si="9"/>
        <v>0</v>
      </c>
      <c r="H34" s="285">
        <f t="array" aca="1" ref="H34:Q34" ca="1">MMULT(H33:Q33, OFFSET(AB.rngTPMroot, MIN(4, INT(($F33-55)/5))*10, $G34*13))</f>
        <v>0</v>
      </c>
      <c r="I34" s="285">
        <f ca="1"/>
        <v>1.7782640220915177E-2</v>
      </c>
      <c r="J34" s="285">
        <f ca="1"/>
        <v>4.849168987394372E-2</v>
      </c>
      <c r="K34" s="285">
        <f ca="1"/>
        <v>7.1520763733263614E-3</v>
      </c>
      <c r="L34" s="285">
        <f ca="1"/>
        <v>7.5828162494834554E-4</v>
      </c>
      <c r="M34" s="285">
        <f ca="1"/>
        <v>1.1210179724624948E-4</v>
      </c>
      <c r="N34" s="285">
        <f ca="1"/>
        <v>2.8627782853034181E-4</v>
      </c>
      <c r="O34" s="285">
        <f ca="1"/>
        <v>4.2209514730013592E-5</v>
      </c>
      <c r="P34" s="285">
        <f ca="1"/>
        <v>0.89352729210643944</v>
      </c>
      <c r="Q34" s="285">
        <f ca="1"/>
        <v>3.1847430659920344E-2</v>
      </c>
      <c r="R34" s="283">
        <f t="shared" ca="1" si="10"/>
        <v>1</v>
      </c>
      <c r="S34" s="418">
        <f t="shared" ca="1" si="14"/>
        <v>4.9536249327422406E-2</v>
      </c>
      <c r="U34" s="285">
        <f t="array" aca="1" ref="U34:AD34" ca="1">MMULT(U33:AD33, OFFSET(AB.rngTPMroot, MIN(4, INT(($F33-55)/5))*10, $G34*13))</f>
        <v>0.26882172177460956</v>
      </c>
      <c r="V34" s="285">
        <f ca="1"/>
        <v>0</v>
      </c>
      <c r="W34" s="285">
        <f ca="1"/>
        <v>4.656331082506654E-2</v>
      </c>
      <c r="X34" s="285">
        <f ca="1"/>
        <v>6.8182476619935151E-3</v>
      </c>
      <c r="Y34" s="285">
        <f ca="1"/>
        <v>7.1824833866859078E-4</v>
      </c>
      <c r="Z34" s="285">
        <f ca="1"/>
        <v>1.0517282747045399E-4</v>
      </c>
      <c r="AA34" s="285">
        <f ca="1"/>
        <v>2.7541394566500633E-4</v>
      </c>
      <c r="AB34" s="285">
        <f ca="1"/>
        <v>4.0328757939178505E-5</v>
      </c>
      <c r="AC34" s="285">
        <f ca="1"/>
        <v>0.64500023062316902</v>
      </c>
      <c r="AD34" s="285">
        <f ca="1"/>
        <v>3.165732524541838E-2</v>
      </c>
      <c r="AE34" s="283">
        <f t="shared" ca="1" si="11"/>
        <v>1.0000000000000002</v>
      </c>
      <c r="AF34" s="418">
        <f t="shared" ca="1" si="15"/>
        <v>4.7556973109400137E-2</v>
      </c>
    </row>
    <row r="35" spans="1:32" ht="12" customHeight="1" x14ac:dyDescent="0.25">
      <c r="A35" s="262"/>
      <c r="C35" s="263"/>
      <c r="D35" s="62">
        <f t="shared" si="12"/>
        <v>25</v>
      </c>
      <c r="E35" s="63">
        <f t="shared" si="8"/>
        <v>6.25</v>
      </c>
      <c r="F35" s="63">
        <f t="shared" si="13"/>
        <v>61.25</v>
      </c>
      <c r="G35" s="62">
        <f t="shared" si="9"/>
        <v>0</v>
      </c>
      <c r="H35" s="285">
        <f t="array" aca="1" ref="H35:Q35" ca="1">MMULT(H34:Q34, OFFSET(AB.rngTPMroot, MIN(4, INT(($F34-55)/5))*10, $G35*13))</f>
        <v>0</v>
      </c>
      <c r="I35" s="285">
        <f ca="1"/>
        <v>1.5024182101811921E-2</v>
      </c>
      <c r="J35" s="285">
        <f ca="1"/>
        <v>4.8102241605020489E-2</v>
      </c>
      <c r="K35" s="285">
        <f ca="1"/>
        <v>7.0870710477936427E-3</v>
      </c>
      <c r="L35" s="285">
        <f ca="1"/>
        <v>7.5067847808194584E-4</v>
      </c>
      <c r="M35" s="285">
        <f ca="1"/>
        <v>1.1082302481549468E-4</v>
      </c>
      <c r="N35" s="285">
        <f ca="1"/>
        <v>2.8405840744178112E-4</v>
      </c>
      <c r="O35" s="285">
        <f ca="1"/>
        <v>4.1839567057299063E-5</v>
      </c>
      <c r="P35" s="285">
        <f ca="1"/>
        <v>0.89490292042857356</v>
      </c>
      <c r="Q35" s="285">
        <f ca="1"/>
        <v>3.369618533940396E-2</v>
      </c>
      <c r="R35" s="283">
        <f t="shared" ca="1" si="10"/>
        <v>1</v>
      </c>
      <c r="S35" s="418">
        <f t="shared" ca="1" si="14"/>
        <v>4.9136978490544214E-2</v>
      </c>
      <c r="U35" s="285">
        <f t="array" aca="1" ref="U35:AD35" ca="1">MMULT(U34:AD34, OFFSET(AB.rngTPMroot, MIN(4, INT(($F34-55)/5))*10, $G35*13))</f>
        <v>0.25435152341636802</v>
      </c>
      <c r="V35" s="285">
        <f ca="1"/>
        <v>0</v>
      </c>
      <c r="W35" s="285">
        <f ca="1"/>
        <v>4.6474443266288197E-2</v>
      </c>
      <c r="X35" s="285">
        <f ca="1"/>
        <v>6.80523802935283E-3</v>
      </c>
      <c r="Y35" s="285">
        <f ca="1"/>
        <v>7.1687753888388748E-4</v>
      </c>
      <c r="Z35" s="285">
        <f ca="1"/>
        <v>1.0497215129719034E-4</v>
      </c>
      <c r="AA35" s="285">
        <f ca="1"/>
        <v>2.7488830939535378E-4</v>
      </c>
      <c r="AB35" s="285">
        <f ca="1"/>
        <v>4.0251808207861406E-5</v>
      </c>
      <c r="AC35" s="285">
        <f ca="1"/>
        <v>0.65772636841894805</v>
      </c>
      <c r="AD35" s="285">
        <f ca="1"/>
        <v>3.3505437061258914E-2</v>
      </c>
      <c r="AE35" s="283">
        <f t="shared" ca="1" si="11"/>
        <v>1.0000000000000002</v>
      </c>
      <c r="AF35" s="418">
        <f t="shared" ca="1" si="15"/>
        <v>4.7466209114567434E-2</v>
      </c>
    </row>
    <row r="36" spans="1:32" ht="12" customHeight="1" x14ac:dyDescent="0.25">
      <c r="A36" s="262"/>
      <c r="C36" s="263"/>
      <c r="D36" s="62">
        <f t="shared" si="12"/>
        <v>26</v>
      </c>
      <c r="E36" s="63">
        <f t="shared" si="8"/>
        <v>6.5</v>
      </c>
      <c r="F36" s="63">
        <f t="shared" si="13"/>
        <v>61.5</v>
      </c>
      <c r="G36" s="62">
        <f t="shared" si="9"/>
        <v>0</v>
      </c>
      <c r="H36" s="285">
        <f t="array" aca="1" ref="H36:Q36" ca="1">MMULT(H35:Q35, OFFSET(AB.rngTPMroot, MIN(4, INT(($F35-55)/5))*10, $G36*13))</f>
        <v>0</v>
      </c>
      <c r="I36" s="285">
        <f ca="1"/>
        <v>1.2693618327998132E-2</v>
      </c>
      <c r="J36" s="285">
        <f ca="1"/>
        <v>4.7759591915474374E-2</v>
      </c>
      <c r="K36" s="285">
        <f ca="1"/>
        <v>7.0301530983785145E-3</v>
      </c>
      <c r="L36" s="285">
        <f ca="1"/>
        <v>7.440447550790722E-4</v>
      </c>
      <c r="M36" s="285">
        <f ca="1"/>
        <v>1.097118232432447E-4</v>
      </c>
      <c r="N36" s="285">
        <f ca="1"/>
        <v>2.8210274648901384E-4</v>
      </c>
      <c r="O36" s="285">
        <f ca="1"/>
        <v>4.1515198181302164E-5</v>
      </c>
      <c r="P36" s="285">
        <f ca="1"/>
        <v>0.89579800652290564</v>
      </c>
      <c r="Q36" s="285">
        <f ca="1"/>
        <v>3.5541255612250813E-2</v>
      </c>
      <c r="R36" s="283">
        <f t="shared" ca="1" si="10"/>
        <v>1</v>
      </c>
      <c r="S36" s="418">
        <f t="shared" ca="1" si="14"/>
        <v>4.8785739417042465E-2</v>
      </c>
      <c r="U36" s="285">
        <f t="array" aca="1" ref="U36:AD36" ca="1">MMULT(U35:AD35, OFFSET(AB.rngTPMroot, MIN(4, INT(($F35-55)/5))*10, $G36*13))</f>
        <v>0.24066023027138309</v>
      </c>
      <c r="V36" s="285">
        <f ca="1"/>
        <v>0</v>
      </c>
      <c r="W36" s="285">
        <f ca="1"/>
        <v>4.6385745196111119E-2</v>
      </c>
      <c r="X36" s="285">
        <f ca="1"/>
        <v>6.7922500162614467E-3</v>
      </c>
      <c r="Y36" s="285">
        <f ca="1"/>
        <v>7.1550935349459809E-4</v>
      </c>
      <c r="Z36" s="285">
        <f ca="1"/>
        <v>1.0477180860977838E-4</v>
      </c>
      <c r="AA36" s="285">
        <f ca="1"/>
        <v>2.7436367562152023E-4</v>
      </c>
      <c r="AB36" s="285">
        <f ca="1"/>
        <v>4.0174986352446414E-5</v>
      </c>
      <c r="AC36" s="285">
        <f ca="1"/>
        <v>0.66967693299207554</v>
      </c>
      <c r="AD36" s="285">
        <f ca="1"/>
        <v>3.5350021700090779E-2</v>
      </c>
      <c r="AE36" s="283">
        <f t="shared" ca="1" si="11"/>
        <v>1.0000000000000004</v>
      </c>
      <c r="AF36" s="418">
        <f t="shared" ca="1" si="15"/>
        <v>4.7375618225227234E-2</v>
      </c>
    </row>
    <row r="37" spans="1:32" ht="12" customHeight="1" x14ac:dyDescent="0.25">
      <c r="A37" s="262"/>
      <c r="C37" s="263"/>
      <c r="D37" s="62">
        <f t="shared" si="12"/>
        <v>27</v>
      </c>
      <c r="E37" s="63">
        <f t="shared" si="8"/>
        <v>6.75</v>
      </c>
      <c r="F37" s="63">
        <f t="shared" si="13"/>
        <v>61.75</v>
      </c>
      <c r="G37" s="62">
        <f t="shared" si="9"/>
        <v>0</v>
      </c>
      <c r="H37" s="285">
        <f t="array" aca="1" ref="H37:Q37" ca="1">MMULT(H36:Q36, OFFSET(AB.rngTPMroot, MIN(4, INT(($F36-55)/5))*10, $G37*13))</f>
        <v>0</v>
      </c>
      <c r="I37" s="285">
        <f ca="1"/>
        <v>1.0724573568464537E-2</v>
      </c>
      <c r="J37" s="285">
        <f ca="1"/>
        <v>4.7456507644780724E-2</v>
      </c>
      <c r="K37" s="285">
        <f ca="1"/>
        <v>6.9800747715429174E-3</v>
      </c>
      <c r="L37" s="285">
        <f ca="1"/>
        <v>7.382304833834178E-4</v>
      </c>
      <c r="M37" s="285">
        <f ca="1"/>
        <v>1.0874230318001402E-4</v>
      </c>
      <c r="N37" s="285">
        <f ca="1"/>
        <v>2.8037008638689335E-4</v>
      </c>
      <c r="O37" s="285">
        <f ca="1"/>
        <v>4.1229377906659499E-5</v>
      </c>
      <c r="P37" s="285">
        <f ca="1"/>
        <v>0.8962875990563115</v>
      </c>
      <c r="Q37" s="285">
        <f ca="1"/>
        <v>3.738267270804338E-2</v>
      </c>
      <c r="R37" s="283">
        <f t="shared" ca="1" si="10"/>
        <v>1</v>
      </c>
      <c r="S37" s="418">
        <f t="shared" ca="1" si="14"/>
        <v>4.8475108214551033E-2</v>
      </c>
      <c r="U37" s="285">
        <f t="array" aca="1" ref="U37:AD37" ca="1">MMULT(U36:AD36, OFFSET(AB.rngTPMroot, MIN(4, INT(($F36-55)/5))*10, $G37*13))</f>
        <v>0.22770591524810987</v>
      </c>
      <c r="V37" s="285">
        <f ca="1"/>
        <v>0</v>
      </c>
      <c r="W37" s="285">
        <f ca="1"/>
        <v>4.6297216581710335E-2</v>
      </c>
      <c r="X37" s="285">
        <f ca="1"/>
        <v>6.7792867739660924E-3</v>
      </c>
      <c r="Y37" s="285">
        <f ca="1"/>
        <v>7.1414378199439088E-4</v>
      </c>
      <c r="Z37" s="285">
        <f ca="1"/>
        <v>1.0457184801682621E-4</v>
      </c>
      <c r="AA37" s="285">
        <f ca="1"/>
        <v>2.7384004414935157E-4</v>
      </c>
      <c r="AB37" s="285">
        <f ca="1"/>
        <v>4.0098311012013941E-5</v>
      </c>
      <c r="AC37" s="285">
        <f ca="1"/>
        <v>0.68089384151878096</v>
      </c>
      <c r="AD37" s="285">
        <f ca="1"/>
        <v>3.7191085892260514E-2</v>
      </c>
      <c r="AE37" s="283">
        <f t="shared" ca="1" si="11"/>
        <v>1.0000000000000004</v>
      </c>
      <c r="AF37" s="418">
        <f t="shared" ca="1" si="15"/>
        <v>4.7285200407854076E-2</v>
      </c>
    </row>
    <row r="38" spans="1:32" ht="12" customHeight="1" x14ac:dyDescent="0.25">
      <c r="A38" s="262"/>
      <c r="C38" s="263"/>
      <c r="D38" s="62">
        <f t="shared" si="12"/>
        <v>28</v>
      </c>
      <c r="E38" s="63">
        <f t="shared" si="8"/>
        <v>7</v>
      </c>
      <c r="F38" s="63">
        <f t="shared" si="13"/>
        <v>62</v>
      </c>
      <c r="G38" s="62">
        <f t="shared" si="9"/>
        <v>0</v>
      </c>
      <c r="H38" s="285">
        <f t="array" aca="1" ref="H38:Q38" ca="1">MMULT(H37:Q37, OFFSET(AB.rngTPMroot, MIN(4, INT(($F37-55)/5))*10, $G38*13))</f>
        <v>0</v>
      </c>
      <c r="I38" s="285">
        <f ca="1"/>
        <v>9.0609686894175777E-3</v>
      </c>
      <c r="J38" s="285">
        <f ca="1"/>
        <v>4.7186877133690956E-2</v>
      </c>
      <c r="K38" s="285">
        <f ca="1"/>
        <v>6.9357789392991169E-3</v>
      </c>
      <c r="L38" s="285">
        <f ca="1"/>
        <v>7.3310894639976476E-4</v>
      </c>
      <c r="M38" s="285">
        <f ca="1"/>
        <v>1.0789254610399964E-4</v>
      </c>
      <c r="N38" s="285">
        <f ca="1"/>
        <v>2.7882598743252156E-4</v>
      </c>
      <c r="O38" s="285">
        <f ca="1"/>
        <v>4.0976149254960078E-5</v>
      </c>
      <c r="P38" s="285">
        <f ca="1"/>
        <v>0.8964351075638719</v>
      </c>
      <c r="Q38" s="285">
        <f ca="1"/>
        <v>3.9220464044529259E-2</v>
      </c>
      <c r="R38" s="283">
        <f t="shared" ca="1" si="10"/>
        <v>1</v>
      </c>
      <c r="S38" s="418">
        <f t="shared" ca="1" si="14"/>
        <v>4.8198812067523245E-2</v>
      </c>
      <c r="U38" s="285">
        <f t="array" aca="1" ref="U38:AD38" ca="1">MMULT(U37:AD37, OFFSET(AB.rngTPMroot, MIN(4, INT(($F37-55)/5))*10, $G38*13))</f>
        <v>0.21544890811626918</v>
      </c>
      <c r="V38" s="285">
        <f ca="1"/>
        <v>0</v>
      </c>
      <c r="W38" s="285">
        <f ca="1"/>
        <v>4.6208856918820471E-2</v>
      </c>
      <c r="X38" s="285">
        <f ca="1"/>
        <v>6.7663482976693893E-3</v>
      </c>
      <c r="Y38" s="285">
        <f ca="1"/>
        <v>7.1278081660487236E-4</v>
      </c>
      <c r="Z38" s="285">
        <f ca="1"/>
        <v>1.043722694443333E-4</v>
      </c>
      <c r="AA38" s="285">
        <f ca="1"/>
        <v>2.7331741199620524E-4</v>
      </c>
      <c r="AB38" s="285">
        <f ca="1"/>
        <v>4.0021782158188323E-5</v>
      </c>
      <c r="AC38" s="285">
        <f ca="1"/>
        <v>0.69141675803032421</v>
      </c>
      <c r="AD38" s="285">
        <f ca="1"/>
        <v>3.9028636356713504E-2</v>
      </c>
      <c r="AE38" s="283">
        <f t="shared" ca="1" si="11"/>
        <v>1.0000000000000004</v>
      </c>
      <c r="AF38" s="418">
        <f t="shared" ca="1" si="15"/>
        <v>4.7194955147421544E-2</v>
      </c>
    </row>
    <row r="39" spans="1:32" ht="12" customHeight="1" x14ac:dyDescent="0.25">
      <c r="A39" s="262"/>
      <c r="C39" s="263"/>
      <c r="D39" s="62">
        <f t="shared" si="12"/>
        <v>29</v>
      </c>
      <c r="E39" s="63">
        <f t="shared" si="8"/>
        <v>7.25</v>
      </c>
      <c r="F39" s="63">
        <f t="shared" si="13"/>
        <v>62.25</v>
      </c>
      <c r="G39" s="62">
        <f t="shared" si="9"/>
        <v>0</v>
      </c>
      <c r="H39" s="285">
        <f t="array" aca="1" ref="H39:Q39" ca="1">MMULT(H38:Q38, OFFSET(AB.rngTPMroot, MIN(4, INT(($F38-55)/5))*10, $G39*13))</f>
        <v>0</v>
      </c>
      <c r="I39" s="285">
        <f ca="1"/>
        <v>7.6554235995007786E-3</v>
      </c>
      <c r="J39" s="285">
        <f ca="1"/>
        <v>4.6945536894838893E-2</v>
      </c>
      <c r="K39" s="285">
        <f ca="1"/>
        <v>6.8963723813153981E-3</v>
      </c>
      <c r="L39" s="285">
        <f ca="1"/>
        <v>7.2857308586377859E-4</v>
      </c>
      <c r="M39" s="285">
        <f ca="1"/>
        <v>1.0714403235718227E-4</v>
      </c>
      <c r="N39" s="285">
        <f ca="1"/>
        <v>2.7744135298489041E-4</v>
      </c>
      <c r="O39" s="285">
        <f ca="1"/>
        <v>4.0750478856116402E-5</v>
      </c>
      <c r="P39" s="285">
        <f ca="1"/>
        <v>0.89629410435873724</v>
      </c>
      <c r="Q39" s="285">
        <f ca="1"/>
        <v>4.1054653815545829E-2</v>
      </c>
      <c r="R39" s="283">
        <f t="shared" ca="1" si="10"/>
        <v>1</v>
      </c>
      <c r="S39" s="418">
        <f t="shared" ca="1" si="14"/>
        <v>4.7951551333687559E-2</v>
      </c>
      <c r="U39" s="285">
        <f t="array" aca="1" ref="U39:AD39" ca="1">MMULT(U38:AD38, OFFSET(AB.rngTPMroot, MIN(4, INT(($F38-55)/5))*10, $G39*13))</f>
        <v>0.20385167402399268</v>
      </c>
      <c r="V39" s="285">
        <f ca="1"/>
        <v>0</v>
      </c>
      <c r="W39" s="285">
        <f ca="1"/>
        <v>4.6120665892176657E-2</v>
      </c>
      <c r="X39" s="285">
        <f ca="1"/>
        <v>6.7534345136728438E-3</v>
      </c>
      <c r="Y39" s="285">
        <f ca="1"/>
        <v>7.1142045246301903E-4</v>
      </c>
      <c r="Z39" s="285">
        <f ca="1"/>
        <v>1.0417307175548574E-4</v>
      </c>
      <c r="AA39" s="285">
        <f ca="1"/>
        <v>2.7279577729734389E-4</v>
      </c>
      <c r="AB39" s="285">
        <f ca="1"/>
        <v>3.9945399355055709E-5</v>
      </c>
      <c r="AC39" s="285">
        <f ca="1"/>
        <v>0.70128321106977287</v>
      </c>
      <c r="AD39" s="285">
        <f ca="1"/>
        <v>4.0862679799514419E-2</v>
      </c>
      <c r="AE39" s="283">
        <f t="shared" ca="1" si="11"/>
        <v>1.0000000000000004</v>
      </c>
      <c r="AF39" s="418">
        <f t="shared" ca="1" si="15"/>
        <v>4.7104882121937017E-2</v>
      </c>
    </row>
    <row r="40" spans="1:32" ht="12" customHeight="1" x14ac:dyDescent="0.25">
      <c r="A40" s="262"/>
      <c r="C40" s="263"/>
      <c r="D40" s="62">
        <f t="shared" si="12"/>
        <v>30</v>
      </c>
      <c r="E40" s="63">
        <f t="shared" si="8"/>
        <v>7.5</v>
      </c>
      <c r="F40" s="63">
        <f t="shared" si="13"/>
        <v>62.5</v>
      </c>
      <c r="G40" s="62">
        <f t="shared" si="9"/>
        <v>0</v>
      </c>
      <c r="H40" s="285">
        <f t="array" aca="1" ref="H40:Q40" ca="1">MMULT(H39:Q39, OFFSET(AB.rngTPMroot, MIN(4, INT(($F39-55)/5))*10, $G40*13))</f>
        <v>0</v>
      </c>
      <c r="I40" s="285">
        <f ca="1"/>
        <v>6.4679078470097342E-3</v>
      </c>
      <c r="J40" s="285">
        <f ca="1"/>
        <v>4.6728124350363984E-2</v>
      </c>
      <c r="K40" s="285">
        <f ca="1"/>
        <v>6.8611004527873902E-3</v>
      </c>
      <c r="L40" s="285">
        <f ca="1"/>
        <v>7.2453244963080249E-4</v>
      </c>
      <c r="M40" s="285">
        <f ca="1"/>
        <v>1.0648111535088733E-4</v>
      </c>
      <c r="N40" s="285">
        <f ca="1"/>
        <v>2.7619159957311567E-4</v>
      </c>
      <c r="O40" s="285">
        <f ca="1"/>
        <v>4.0548114229701163E-5</v>
      </c>
      <c r="P40" s="285">
        <f ca="1"/>
        <v>0.89590985058185812</v>
      </c>
      <c r="Q40" s="285">
        <f ca="1"/>
        <v>4.2885263489196419E-2</v>
      </c>
      <c r="R40" s="283">
        <f t="shared" ca="1" si="10"/>
        <v>1.0000000000000002</v>
      </c>
      <c r="S40" s="418">
        <f t="shared" ca="1" si="14"/>
        <v>4.7728848399567904E-2</v>
      </c>
      <c r="U40" s="285">
        <f t="array" aca="1" ref="U40:AD40" ca="1">MMULT(U39:AD39, OFFSET(AB.rngTPMroot, MIN(4, INT(($F39-55)/5))*10, $G40*13))</f>
        <v>0.19287869855417566</v>
      </c>
      <c r="V40" s="285">
        <f ca="1"/>
        <v>0</v>
      </c>
      <c r="W40" s="285">
        <f ca="1"/>
        <v>4.6032643180930824E-2</v>
      </c>
      <c r="X40" s="285">
        <f ca="1"/>
        <v>6.7405453759004277E-3</v>
      </c>
      <c r="Y40" s="285">
        <f ca="1"/>
        <v>7.1006268461968529E-4</v>
      </c>
      <c r="Z40" s="285">
        <f ca="1"/>
        <v>1.0397425423955162E-4</v>
      </c>
      <c r="AA40" s="285">
        <f ca="1"/>
        <v>2.7227513815500663E-4</v>
      </c>
      <c r="AB40" s="285">
        <f ca="1"/>
        <v>3.9869162330084318E-5</v>
      </c>
      <c r="AC40" s="285">
        <f ca="1"/>
        <v>0.71052870873572793</v>
      </c>
      <c r="AD40" s="285">
        <f ca="1"/>
        <v>4.2693222913921233E-2</v>
      </c>
      <c r="AE40" s="283">
        <f t="shared" ca="1" si="11"/>
        <v>1.0000000000000004</v>
      </c>
      <c r="AF40" s="418">
        <f t="shared" ca="1" si="15"/>
        <v>4.7014981003705512E-2</v>
      </c>
    </row>
    <row r="41" spans="1:32" ht="12" customHeight="1" x14ac:dyDescent="0.25">
      <c r="A41" s="262"/>
      <c r="C41" s="263"/>
      <c r="D41" s="62">
        <f t="shared" si="12"/>
        <v>31</v>
      </c>
      <c r="E41" s="63">
        <f t="shared" si="8"/>
        <v>7.75</v>
      </c>
      <c r="F41" s="63">
        <f t="shared" si="13"/>
        <v>62.75</v>
      </c>
      <c r="G41" s="62">
        <f t="shared" si="9"/>
        <v>0</v>
      </c>
      <c r="H41" s="285">
        <f t="array" aca="1" ref="H41:Q41" ca="1">MMULT(H40:Q40, OFFSET(AB.rngTPMroot, MIN(4, INT(($F40-55)/5))*10, $G41*13))</f>
        <v>0</v>
      </c>
      <c r="I41" s="285">
        <f ca="1"/>
        <v>5.4646005376029275E-3</v>
      </c>
      <c r="J41" s="285">
        <f ca="1"/>
        <v>4.6530953598812375E-2</v>
      </c>
      <c r="K41" s="285">
        <f ca="1"/>
        <v>6.8293255620095949E-3</v>
      </c>
      <c r="L41" s="285">
        <f ca="1"/>
        <v>7.2091061579244238E-4</v>
      </c>
      <c r="M41" s="285">
        <f ca="1"/>
        <v>1.0589057548445182E-4</v>
      </c>
      <c r="N41" s="285">
        <f ca="1"/>
        <v>2.7505595683723858E-4</v>
      </c>
      <c r="O41" s="285">
        <f ca="1"/>
        <v>4.0365462496084647E-5</v>
      </c>
      <c r="P41" s="285">
        <f ca="1"/>
        <v>0.8953205854622488</v>
      </c>
      <c r="Q41" s="285">
        <f ca="1"/>
        <v>4.4712312228716265E-2</v>
      </c>
      <c r="R41" s="283">
        <f t="shared" ca="1" si="10"/>
        <v>1.0000000000000002</v>
      </c>
      <c r="S41" s="418">
        <f t="shared" ca="1" si="14"/>
        <v>4.7526920171442055E-2</v>
      </c>
      <c r="U41" s="285">
        <f t="array" aca="1" ref="U41:AD41" ca="1">MMULT(U40:AD40, OFFSET(AB.rngTPMroot, MIN(4, INT(($F40-55)/5))*10, $G41*13))</f>
        <v>0.18249637896804313</v>
      </c>
      <c r="V41" s="285">
        <f ca="1"/>
        <v>0</v>
      </c>
      <c r="W41" s="285">
        <f ca="1"/>
        <v>4.5944788463741441E-2</v>
      </c>
      <c r="X41" s="285">
        <f ca="1"/>
        <v>6.7276808374601236E-3</v>
      </c>
      <c r="Y41" s="285">
        <f ca="1"/>
        <v>7.0870750811811447E-4</v>
      </c>
      <c r="Z41" s="285">
        <f ca="1"/>
        <v>1.0377581617321221E-4</v>
      </c>
      <c r="AA41" s="285">
        <f ca="1"/>
        <v>2.7175549266851378E-4</v>
      </c>
      <c r="AB41" s="285">
        <f ca="1"/>
        <v>3.9793070805915984E-5</v>
      </c>
      <c r="AC41" s="285">
        <f ca="1"/>
        <v>0.71918684746257144</v>
      </c>
      <c r="AD41" s="285">
        <f ca="1"/>
        <v>4.4520272380418481E-2</v>
      </c>
      <c r="AE41" s="283">
        <f t="shared" ca="1" si="11"/>
        <v>1.0000000000000004</v>
      </c>
      <c r="AF41" s="418">
        <f t="shared" ca="1" si="15"/>
        <v>4.692525146452807E-2</v>
      </c>
    </row>
    <row r="42" spans="1:32" ht="12" customHeight="1" x14ac:dyDescent="0.25">
      <c r="A42" s="262"/>
      <c r="C42" s="263"/>
      <c r="D42" s="62">
        <f t="shared" si="12"/>
        <v>32</v>
      </c>
      <c r="E42" s="63">
        <f t="shared" ref="E42:E73" si="16">D42*AB.cycleLength</f>
        <v>8</v>
      </c>
      <c r="F42" s="63">
        <f t="shared" si="13"/>
        <v>63</v>
      </c>
      <c r="G42" s="62">
        <f t="shared" ref="G42:G73" si="17">IF(AND(E41&lt;AB.maxDurHPE, E42&gt;=AB.maxDurHPE), 1, 0)</f>
        <v>0</v>
      </c>
      <c r="H42" s="285">
        <f t="array" aca="1" ref="H42:Q42" ca="1">MMULT(H41:Q41, OFFSET(AB.rngTPMroot, MIN(4, INT(($F41-55)/5))*10, $G42*13))</f>
        <v>0</v>
      </c>
      <c r="I42" s="285">
        <f ca="1"/>
        <v>4.6169271025368807E-3</v>
      </c>
      <c r="J42" s="285">
        <f ca="1"/>
        <v>4.6350910449755728E-2</v>
      </c>
      <c r="K42" s="285">
        <f ca="1"/>
        <v>6.8005090136808886E-3</v>
      </c>
      <c r="L42" s="285">
        <f ca="1"/>
        <v>7.1764301631352043E-4</v>
      </c>
      <c r="M42" s="285">
        <f ca="1"/>
        <v>1.0536124367930156E-4</v>
      </c>
      <c r="N42" s="285">
        <f ca="1"/>
        <v>2.7401687604253948E-4</v>
      </c>
      <c r="O42" s="285">
        <f ca="1"/>
        <v>4.0199488062630301E-5</v>
      </c>
      <c r="P42" s="285">
        <f ca="1"/>
        <v>0.89455861556188065</v>
      </c>
      <c r="Q42" s="285">
        <f ca="1"/>
        <v>4.6535817248048041E-2</v>
      </c>
      <c r="R42" s="283">
        <f t="shared" ref="R42:R73" ca="1" si="18">SUM(H42:Q42)</f>
        <v>1.0000000000000002</v>
      </c>
      <c r="S42" s="418">
        <f t="shared" ca="1" si="14"/>
        <v>4.7342570342111791E-2</v>
      </c>
      <c r="U42" s="285">
        <f t="array" aca="1" ref="U42:AD42" ca="1">MMULT(U41:AD41, OFFSET(AB.rngTPMroot, MIN(4, INT(($F41-55)/5))*10, $G42*13))</f>
        <v>0.17267292130288273</v>
      </c>
      <c r="V42" s="285">
        <f ca="1"/>
        <v>0</v>
      </c>
      <c r="W42" s="285">
        <f ca="1"/>
        <v>4.5857101419984621E-2</v>
      </c>
      <c r="X42" s="285">
        <f ca="1"/>
        <v>6.7148408513877976E-3</v>
      </c>
      <c r="Y42" s="285">
        <f ca="1"/>
        <v>7.0735491801261893E-4</v>
      </c>
      <c r="Z42" s="285">
        <f ca="1"/>
        <v>1.0357775683203644E-4</v>
      </c>
      <c r="AA42" s="285">
        <f ca="1"/>
        <v>2.7123683894143027E-4</v>
      </c>
      <c r="AB42" s="285">
        <f ca="1"/>
        <v>3.971712450476596E-5</v>
      </c>
      <c r="AC42" s="285">
        <f ca="1"/>
        <v>0.72728941492071364</v>
      </c>
      <c r="AD42" s="285">
        <f ca="1"/>
        <v>4.6343834866740791E-2</v>
      </c>
      <c r="AE42" s="283">
        <f t="shared" ref="AE42:AE73" ca="1" si="19">SUM(U42:AD42)</f>
        <v>1.0000000000000004</v>
      </c>
      <c r="AF42" s="418">
        <f t="shared" ca="1" si="15"/>
        <v>4.683569317693867E-2</v>
      </c>
    </row>
    <row r="43" spans="1:32" ht="12" customHeight="1" x14ac:dyDescent="0.25">
      <c r="A43" s="262"/>
      <c r="C43" s="263"/>
      <c r="D43" s="62">
        <f t="shared" ref="D43:D74" si="20">D42+1</f>
        <v>33</v>
      </c>
      <c r="E43" s="63">
        <f t="shared" si="16"/>
        <v>8.25</v>
      </c>
      <c r="F43" s="63">
        <f t="shared" ref="F43:F74" si="21">F42+AB.cycleLength</f>
        <v>63.25</v>
      </c>
      <c r="G43" s="62">
        <f t="shared" si="17"/>
        <v>0</v>
      </c>
      <c r="H43" s="285">
        <f t="array" aca="1" ref="H43:Q43" ca="1">MMULT(H42:Q42, OFFSET(AB.rngTPMroot, MIN(4, INT(($F42-55)/5))*10, $G43*13))</f>
        <v>0</v>
      </c>
      <c r="I43" s="285">
        <f ca="1"/>
        <v>3.9007454842234389E-3</v>
      </c>
      <c r="J43" s="285">
        <f ca="1"/>
        <v>4.6185363739495888E-2</v>
      </c>
      <c r="K43" s="285">
        <f ca="1"/>
        <v>6.7741956681911788E-3</v>
      </c>
      <c r="L43" s="285">
        <f ca="1"/>
        <v>7.1467509824928719E-4</v>
      </c>
      <c r="M43" s="285">
        <f ca="1"/>
        <v>1.0488368330301744E-4</v>
      </c>
      <c r="N43" s="285">
        <f ca="1"/>
        <v>2.7305953033832071E-4</v>
      </c>
      <c r="O43" s="285">
        <f ca="1"/>
        <v>4.0047626177932664E-5</v>
      </c>
      <c r="P43" s="285">
        <f ca="1"/>
        <v>0.89365123505775645</v>
      </c>
      <c r="Q43" s="285">
        <f ca="1"/>
        <v>4.8355794112264684E-2</v>
      </c>
      <c r="R43" s="283">
        <f t="shared" ca="1" si="18"/>
        <v>1.0000000000000002</v>
      </c>
      <c r="S43" s="418">
        <f t="shared" ca="1" si="14"/>
        <v>4.7173098368083498E-2</v>
      </c>
      <c r="U43" s="285">
        <f t="array" aca="1" ref="U43:AD43" ca="1">MMULT(U42:AD42, OFFSET(AB.rngTPMroot, MIN(4, INT(($F42-55)/5))*10, $G43*13))</f>
        <v>0.16337824300882478</v>
      </c>
      <c r="V43" s="285">
        <f ca="1"/>
        <v>0</v>
      </c>
      <c r="W43" s="285">
        <f ca="1"/>
        <v>4.5769581729651371E-2</v>
      </c>
      <c r="X43" s="285">
        <f ca="1"/>
        <v>6.7020253708241989E-3</v>
      </c>
      <c r="Y43" s="285">
        <f ca="1"/>
        <v>7.060049093669964E-4</v>
      </c>
      <c r="Z43" s="285">
        <f ca="1"/>
        <v>1.03380075493211E-4</v>
      </c>
      <c r="AA43" s="285">
        <f ca="1"/>
        <v>2.707191750809583E-4</v>
      </c>
      <c r="AB43" s="285">
        <f ca="1"/>
        <v>3.9641323149469845E-5</v>
      </c>
      <c r="AC43" s="285">
        <f ca="1"/>
        <v>0.73486648737971227</v>
      </c>
      <c r="AD43" s="285">
        <f ca="1"/>
        <v>4.8163917027897227E-2</v>
      </c>
      <c r="AE43" s="283">
        <f t="shared" ca="1" si="19"/>
        <v>1.0000000000000004</v>
      </c>
      <c r="AF43" s="418">
        <f t="shared" ca="1" si="15"/>
        <v>4.6746305814099325E-2</v>
      </c>
    </row>
    <row r="44" spans="1:32" ht="12" customHeight="1" x14ac:dyDescent="0.25">
      <c r="A44" s="262"/>
      <c r="C44" s="263"/>
      <c r="D44" s="62">
        <f t="shared" si="20"/>
        <v>34</v>
      </c>
      <c r="E44" s="63">
        <f t="shared" si="16"/>
        <v>8.5</v>
      </c>
      <c r="F44" s="63">
        <f t="shared" si="21"/>
        <v>63.5</v>
      </c>
      <c r="G44" s="62">
        <f t="shared" si="17"/>
        <v>0</v>
      </c>
      <c r="H44" s="285">
        <f t="array" aca="1" ref="H44:Q44" ca="1">MMULT(H43:Q43, OFFSET(AB.rngTPMroot, MIN(4, INT(($F43-55)/5))*10, $G44*13))</f>
        <v>0</v>
      </c>
      <c r="I44" s="285">
        <f ca="1"/>
        <v>3.295658561368417E-3</v>
      </c>
      <c r="J44" s="285">
        <f ca="1"/>
        <v>4.6032090403641868E-2</v>
      </c>
      <c r="K44" s="285">
        <f ca="1"/>
        <v>6.7500009803923029E-3</v>
      </c>
      <c r="L44" s="285">
        <f ca="1"/>
        <v>7.1196077019755209E-4</v>
      </c>
      <c r="M44" s="285">
        <f ca="1"/>
        <v>1.0444992143083008E-4</v>
      </c>
      <c r="N44" s="285">
        <f ca="1"/>
        <v>2.721713925374976E-4</v>
      </c>
      <c r="O44" s="285">
        <f ca="1"/>
        <v>3.9907709894529556E-5</v>
      </c>
      <c r="P44" s="285">
        <f ca="1"/>
        <v>0.89262150326914302</v>
      </c>
      <c r="Q44" s="285">
        <f ca="1"/>
        <v>5.0172256991394146E-2</v>
      </c>
      <c r="R44" s="283">
        <f t="shared" ca="1" si="18"/>
        <v>1.0000000000000002</v>
      </c>
      <c r="S44" s="418">
        <f t="shared" ca="1" si="14"/>
        <v>4.7016222566376914E-2</v>
      </c>
      <c r="U44" s="285">
        <f t="array" aca="1" ref="U44:AD44" ca="1">MMULT(U43:AD43, OFFSET(AB.rngTPMroot, MIN(4, INT(($F43-55)/5))*10, $G44*13))</f>
        <v>0.15458388082651256</v>
      </c>
      <c r="V44" s="285">
        <f ca="1"/>
        <v>0</v>
      </c>
      <c r="W44" s="285">
        <f ca="1"/>
        <v>4.5682229073342497E-2</v>
      </c>
      <c r="X44" s="285">
        <f ca="1"/>
        <v>6.689234348999944E-3</v>
      </c>
      <c r="Y44" s="285">
        <f ca="1"/>
        <v>7.0465747725445083E-4</v>
      </c>
      <c r="Z44" s="285">
        <f ca="1"/>
        <v>1.0318277143530884E-4</v>
      </c>
      <c r="AA44" s="285">
        <f ca="1"/>
        <v>2.7020249919790674E-4</v>
      </c>
      <c r="AB44" s="285">
        <f ca="1"/>
        <v>3.9565666463394825E-5</v>
      </c>
      <c r="AC44" s="285">
        <f ca="1"/>
        <v>0.74194652183059884</v>
      </c>
      <c r="AD44" s="285">
        <f ca="1"/>
        <v>4.9980525506195542E-2</v>
      </c>
      <c r="AE44" s="283">
        <f t="shared" ca="1" si="19"/>
        <v>1.0000000000000004</v>
      </c>
      <c r="AF44" s="418">
        <f t="shared" ca="1" si="15"/>
        <v>4.6657089049794855E-2</v>
      </c>
    </row>
    <row r="45" spans="1:32" ht="12" customHeight="1" x14ac:dyDescent="0.25">
      <c r="A45" s="262"/>
      <c r="C45" s="263"/>
      <c r="D45" s="62">
        <f t="shared" si="20"/>
        <v>35</v>
      </c>
      <c r="E45" s="63">
        <f t="shared" si="16"/>
        <v>8.75</v>
      </c>
      <c r="F45" s="63">
        <f t="shared" si="21"/>
        <v>63.75</v>
      </c>
      <c r="G45" s="62">
        <f t="shared" si="17"/>
        <v>0</v>
      </c>
      <c r="H45" s="285">
        <f t="array" aca="1" ref="H45:Q45" ca="1">MMULT(H44:Q44, OFFSET(AB.rngTPMroot, MIN(4, INT(($F44-55)/5))*10, $G45*13))</f>
        <v>0</v>
      </c>
      <c r="I45" s="285">
        <f ca="1"/>
        <v>2.7844332313014847E-3</v>
      </c>
      <c r="J45" s="285">
        <f ca="1"/>
        <v>4.5889212172496301E-2</v>
      </c>
      <c r="K45" s="285">
        <f ca="1"/>
        <v>6.7276000489388194E-3</v>
      </c>
      <c r="L45" s="285">
        <f ca="1"/>
        <v>7.0946108973853625E-4</v>
      </c>
      <c r="M45" s="285">
        <f ca="1"/>
        <v>1.0405322179425992E-4</v>
      </c>
      <c r="N45" s="285">
        <f ca="1"/>
        <v>2.7134187839140223E-4</v>
      </c>
      <c r="O45" s="285">
        <f ca="1"/>
        <v>3.9777908361297221E-5</v>
      </c>
      <c r="P45" s="285">
        <f ca="1"/>
        <v>0.89148890157410376</v>
      </c>
      <c r="Q45" s="285">
        <f ca="1"/>
        <v>5.1985218874874346E-2</v>
      </c>
      <c r="R45" s="283">
        <f t="shared" ca="1" si="18"/>
        <v>1.0000000000000002</v>
      </c>
      <c r="S45" s="418">
        <f t="shared" ca="1" si="14"/>
        <v>4.6870015140626241E-2</v>
      </c>
      <c r="U45" s="285">
        <f t="array" aca="1" ref="U45:AD45" ca="1">MMULT(U44:AD44, OFFSET(AB.rngTPMroot, MIN(4, INT(($F44-55)/5))*10, $G45*13))</f>
        <v>0.14626290362355471</v>
      </c>
      <c r="V45" s="285">
        <f ca="1"/>
        <v>0</v>
      </c>
      <c r="W45" s="285">
        <f ca="1"/>
        <v>4.5595043132268399E-2</v>
      </c>
      <c r="X45" s="285">
        <f ca="1"/>
        <v>6.676467739234769E-3</v>
      </c>
      <c r="Y45" s="285">
        <f ca="1"/>
        <v>7.0331261675758911E-4</v>
      </c>
      <c r="Z45" s="285">
        <f ca="1"/>
        <v>1.0298584393827762E-4</v>
      </c>
      <c r="AA45" s="285">
        <f ca="1"/>
        <v>2.696868094066901E-4</v>
      </c>
      <c r="AB45" s="285">
        <f ca="1"/>
        <v>3.9490154170435217E-5</v>
      </c>
      <c r="AC45" s="285">
        <f ca="1"/>
        <v>0.74855644314940317</v>
      </c>
      <c r="AD45" s="285">
        <f ca="1"/>
        <v>5.1793666931266455E-2</v>
      </c>
      <c r="AE45" s="283">
        <f t="shared" ca="1" si="19"/>
        <v>1.0000000000000004</v>
      </c>
      <c r="AF45" s="418">
        <f t="shared" ca="1" si="15"/>
        <v>4.6568042558432679E-2</v>
      </c>
    </row>
    <row r="46" spans="1:32" ht="12" customHeight="1" x14ac:dyDescent="0.25">
      <c r="A46" s="262"/>
      <c r="C46" s="263"/>
      <c r="D46" s="62">
        <f t="shared" si="20"/>
        <v>36</v>
      </c>
      <c r="E46" s="63">
        <f t="shared" si="16"/>
        <v>9</v>
      </c>
      <c r="F46" s="63">
        <f t="shared" si="21"/>
        <v>64</v>
      </c>
      <c r="G46" s="62">
        <f t="shared" si="17"/>
        <v>0</v>
      </c>
      <c r="H46" s="285">
        <f t="array" aca="1" ref="H46:Q46" ca="1">MMULT(H45:Q45, OFFSET(AB.rngTPMroot, MIN(4, INT(($F45-55)/5))*10, $G46*13))</f>
        <v>0</v>
      </c>
      <c r="I46" s="285">
        <f ca="1"/>
        <v>2.3525096047440101E-3</v>
      </c>
      <c r="J46" s="285">
        <f ca="1"/>
        <v>4.5755142086305704E-2</v>
      </c>
      <c r="K46" s="285">
        <f ca="1"/>
        <v>6.7067183643049373E-3</v>
      </c>
      <c r="L46" s="285">
        <f ca="1"/>
        <v>7.0714315448014366E-4</v>
      </c>
      <c r="M46" s="285">
        <f ca="1"/>
        <v>1.0368789295016563E-4</v>
      </c>
      <c r="N46" s="285">
        <f ca="1"/>
        <v>2.7056204520009271E-4</v>
      </c>
      <c r="O46" s="285">
        <f ca="1"/>
        <v>3.9656674687985156E-5</v>
      </c>
      <c r="P46" s="285">
        <f ca="1"/>
        <v>0.89026988842458188</v>
      </c>
      <c r="Q46" s="285">
        <f ca="1"/>
        <v>5.3794691752745406E-2</v>
      </c>
      <c r="R46" s="283">
        <f t="shared" ca="1" si="18"/>
        <v>1.0000000000000002</v>
      </c>
      <c r="S46" s="418">
        <f t="shared" ca="1" si="14"/>
        <v>4.6732847285985944E-2</v>
      </c>
      <c r="U46" s="285">
        <f t="array" aca="1" ref="U46:AD46" ca="1">MMULT(U45:AD45, OFFSET(AB.rngTPMroot, MIN(4, INT(($F45-55)/5))*10, $G46*13))</f>
        <v>0.13838982992283749</v>
      </c>
      <c r="V46" s="285">
        <f ca="1"/>
        <v>0</v>
      </c>
      <c r="W46" s="285">
        <f ca="1"/>
        <v>4.5508023588247945E-2</v>
      </c>
      <c r="X46" s="285">
        <f ca="1"/>
        <v>6.6637254949375073E-3</v>
      </c>
      <c r="Y46" s="285">
        <f ca="1"/>
        <v>7.0197032296840365E-4</v>
      </c>
      <c r="Z46" s="285">
        <f ca="1"/>
        <v>1.0278929228343931E-4</v>
      </c>
      <c r="AA46" s="285">
        <f ca="1"/>
        <v>2.6917210382532191E-4</v>
      </c>
      <c r="AB46" s="285">
        <f ca="1"/>
        <v>3.9414785995012273E-5</v>
      </c>
      <c r="AC46" s="285">
        <f ca="1"/>
        <v>0.75472172656881753</v>
      </c>
      <c r="AD46" s="285">
        <f ca="1"/>
        <v>5.3603347920087828E-2</v>
      </c>
      <c r="AE46" s="283">
        <f t="shared" ca="1" si="19"/>
        <v>1.0000000000000004</v>
      </c>
      <c r="AF46" s="418">
        <f t="shared" ca="1" si="15"/>
        <v>4.6479166015041672E-2</v>
      </c>
    </row>
    <row r="47" spans="1:32" ht="12" customHeight="1" x14ac:dyDescent="0.25">
      <c r="A47" s="262"/>
      <c r="C47" s="263"/>
      <c r="D47" s="62">
        <f t="shared" si="20"/>
        <v>37</v>
      </c>
      <c r="E47" s="63">
        <f t="shared" si="16"/>
        <v>9.25</v>
      </c>
      <c r="F47" s="63">
        <f t="shared" si="21"/>
        <v>64.25</v>
      </c>
      <c r="G47" s="62">
        <f t="shared" si="17"/>
        <v>0</v>
      </c>
      <c r="H47" s="285">
        <f t="array" aca="1" ref="H47:Q47" ca="1">MMULT(H46:Q46, OFFSET(AB.rngTPMroot, MIN(4, INT(($F46-55)/5))*10, $G47*13))</f>
        <v>0</v>
      </c>
      <c r="I47" s="285">
        <f ca="1"/>
        <v>1.987586334697638E-3</v>
      </c>
      <c r="J47" s="285">
        <f ca="1"/>
        <v>4.5628539307109944E-2</v>
      </c>
      <c r="K47" s="285">
        <f ca="1"/>
        <v>6.6871239919766776E-3</v>
      </c>
      <c r="L47" s="285">
        <f ca="1"/>
        <v>7.0497916512522036E-4</v>
      </c>
      <c r="M47" s="285">
        <f ca="1"/>
        <v>1.0334912620676862E-4</v>
      </c>
      <c r="N47" s="285">
        <f ca="1"/>
        <v>2.6982433717448451E-4</v>
      </c>
      <c r="O47" s="285">
        <f ca="1"/>
        <v>3.9542701897047057E-5</v>
      </c>
      <c r="P47" s="285">
        <f ca="1"/>
        <v>0.88897836826707366</v>
      </c>
      <c r="Q47" s="285">
        <f ca="1"/>
        <v>5.5600686768738902E-2</v>
      </c>
      <c r="R47" s="283">
        <f t="shared" ca="1" si="18"/>
        <v>1.0000000000000004</v>
      </c>
      <c r="S47" s="418">
        <f t="shared" ca="1" si="14"/>
        <v>4.6603342809409649E-2</v>
      </c>
      <c r="U47" s="285">
        <f t="array" aca="1" ref="U47:AD47" ca="1">MMULT(U46:AD46, OFFSET(AB.rngTPMroot, MIN(4, INT(($F46-55)/5))*10, $G47*13))</f>
        <v>0.13094054987014234</v>
      </c>
      <c r="V47" s="285">
        <f ca="1"/>
        <v>0</v>
      </c>
      <c r="W47" s="285">
        <f ca="1"/>
        <v>4.5421170123707208E-2</v>
      </c>
      <c r="X47" s="285">
        <f ca="1"/>
        <v>6.6510075696059141E-3</v>
      </c>
      <c r="Y47" s="285">
        <f ca="1"/>
        <v>7.0063059098825393E-4</v>
      </c>
      <c r="Z47" s="285">
        <f ca="1"/>
        <v>1.0259311575348751E-4</v>
      </c>
      <c r="AA47" s="285">
        <f ca="1"/>
        <v>2.6865838057540725E-4</v>
      </c>
      <c r="AB47" s="285">
        <f ca="1"/>
        <v>3.9339561662073273E-5</v>
      </c>
      <c r="AC47" s="285">
        <f ca="1"/>
        <v>0.76046647571055703</v>
      </c>
      <c r="AD47" s="285">
        <f ca="1"/>
        <v>5.5409575077008819E-2</v>
      </c>
      <c r="AE47" s="283">
        <f t="shared" ca="1" si="19"/>
        <v>1.0000000000000004</v>
      </c>
      <c r="AF47" s="418">
        <f t="shared" ca="1" si="15"/>
        <v>4.639045909527087E-2</v>
      </c>
    </row>
    <row r="48" spans="1:32" ht="12" customHeight="1" x14ac:dyDescent="0.25">
      <c r="A48" s="262"/>
      <c r="C48" s="263"/>
      <c r="D48" s="62">
        <f t="shared" si="20"/>
        <v>38</v>
      </c>
      <c r="E48" s="63">
        <f t="shared" si="16"/>
        <v>9.5</v>
      </c>
      <c r="F48" s="63">
        <f t="shared" si="21"/>
        <v>64.5</v>
      </c>
      <c r="G48" s="62">
        <f t="shared" si="17"/>
        <v>0</v>
      </c>
      <c r="H48" s="285">
        <f t="array" aca="1" ref="H48:Q48" ca="1">MMULT(H47:Q47, OFFSET(AB.rngTPMroot, MIN(4, INT(($F47-55)/5))*10, $G48*13))</f>
        <v>0</v>
      </c>
      <c r="I48" s="285">
        <f ca="1"/>
        <v>1.6792702694647095E-3</v>
      </c>
      <c r="J48" s="285">
        <f ca="1"/>
        <v>4.5508270940215534E-2</v>
      </c>
      <c r="K48" s="285">
        <f ca="1"/>
        <v>6.6686209681938204E-3</v>
      </c>
      <c r="L48" s="285">
        <f ca="1"/>
        <v>7.0294563387660654E-4</v>
      </c>
      <c r="M48" s="285">
        <f ca="1"/>
        <v>1.0303285869072868E-4</v>
      </c>
      <c r="N48" s="285">
        <f ca="1"/>
        <v>2.6912237029812095E-4</v>
      </c>
      <c r="O48" s="285">
        <f ca="1"/>
        <v>3.9434885708260819E-5</v>
      </c>
      <c r="P48" s="285">
        <f ca="1"/>
        <v>0.88762608772392915</v>
      </c>
      <c r="Q48" s="285">
        <f ca="1"/>
        <v>5.7403214349623477E-2</v>
      </c>
      <c r="R48" s="283">
        <f t="shared" ca="1" si="18"/>
        <v>1.0000000000000004</v>
      </c>
      <c r="S48" s="418">
        <f t="shared" ca="1" si="14"/>
        <v>4.6480338944390263E-2</v>
      </c>
      <c r="U48" s="285">
        <f t="array" aca="1" ref="U48:AD48" ca="1">MMULT(U47:AD47, OFFSET(AB.rngTPMroot, MIN(4, INT(($F47-55)/5))*10, $G48*13))</f>
        <v>0.12389225140210858</v>
      </c>
      <c r="V48" s="285">
        <f ca="1"/>
        <v>0</v>
      </c>
      <c r="W48" s="285">
        <f ca="1"/>
        <v>4.5334482421678396E-2</v>
      </c>
      <c r="X48" s="285">
        <f ca="1"/>
        <v>6.638313916826493E-3</v>
      </c>
      <c r="Y48" s="285">
        <f ca="1"/>
        <v>6.992934159278484E-4</v>
      </c>
      <c r="Z48" s="285">
        <f ca="1"/>
        <v>1.0239731363248483E-4</v>
      </c>
      <c r="AA48" s="285">
        <f ca="1"/>
        <v>2.6814563778213631E-4</v>
      </c>
      <c r="AB48" s="285">
        <f ca="1"/>
        <v>3.9264480897090387E-5</v>
      </c>
      <c r="AC48" s="285">
        <f ca="1"/>
        <v>0.76581349641737362</v>
      </c>
      <c r="AD48" s="285">
        <f ca="1"/>
        <v>5.7212354993773973E-2</v>
      </c>
      <c r="AE48" s="283">
        <f t="shared" ca="1" si="19"/>
        <v>1.0000000000000004</v>
      </c>
      <c r="AF48" s="418">
        <f t="shared" ca="1" si="15"/>
        <v>4.6301921475388384E-2</v>
      </c>
    </row>
    <row r="49" spans="1:32" ht="12" customHeight="1" x14ac:dyDescent="0.25">
      <c r="A49" s="262"/>
      <c r="C49" s="263"/>
      <c r="D49" s="62">
        <f t="shared" si="20"/>
        <v>39</v>
      </c>
      <c r="E49" s="63">
        <f t="shared" si="16"/>
        <v>9.75</v>
      </c>
      <c r="F49" s="63">
        <f t="shared" si="21"/>
        <v>64.75</v>
      </c>
      <c r="G49" s="62">
        <f t="shared" si="17"/>
        <v>0</v>
      </c>
      <c r="H49" s="285">
        <f t="array" aca="1" ref="H49:Q49" ca="1">MMULT(H48:Q48, OFFSET(AB.rngTPMroot, MIN(4, INT(($F48-55)/5))*10, $G49*13))</f>
        <v>0</v>
      </c>
      <c r="I49" s="285">
        <f ca="1"/>
        <v>1.4187804517870482E-3</v>
      </c>
      <c r="J49" s="285">
        <f ca="1"/>
        <v>4.5393379777953921E-2</v>
      </c>
      <c r="K49" s="285">
        <f ca="1"/>
        <v>6.6510437201499082E-3</v>
      </c>
      <c r="L49" s="285">
        <f ca="1"/>
        <v>7.0102271563506069E-4</v>
      </c>
      <c r="M49" s="285">
        <f ca="1"/>
        <v>1.0273565765536987E-4</v>
      </c>
      <c r="N49" s="285">
        <f ca="1"/>
        <v>2.6845075056136625E-4</v>
      </c>
      <c r="O49" s="285">
        <f ca="1"/>
        <v>3.9332293096229377E-5</v>
      </c>
      <c r="P49" s="285">
        <f ca="1"/>
        <v>0.88622297031867159</v>
      </c>
      <c r="Q49" s="285">
        <f ca="1"/>
        <v>5.9202284314489935E-2</v>
      </c>
      <c r="R49" s="283">
        <f t="shared" ca="1" si="18"/>
        <v>1.0000000000000004</v>
      </c>
      <c r="S49" s="418">
        <f t="shared" ca="1" si="14"/>
        <v>4.6362853244150348E-2</v>
      </c>
      <c r="U49" s="285">
        <f t="array" aca="1" ref="U49:AD49" ca="1">MMULT(U48:AD48, OFFSET(AB.rngTPMroot, MIN(4, INT(($F48-55)/5))*10, $G49*13))</f>
        <v>0.11722335038844442</v>
      </c>
      <c r="V49" s="285">
        <f ca="1"/>
        <v>0</v>
      </c>
      <c r="W49" s="285">
        <f ca="1"/>
        <v>4.5247960165798656E-2</v>
      </c>
      <c r="X49" s="285">
        <f ca="1"/>
        <v>6.6256444902743307E-3</v>
      </c>
      <c r="Y49" s="285">
        <f ca="1"/>
        <v>6.9795879290722701E-4</v>
      </c>
      <c r="Z49" s="285">
        <f ca="1"/>
        <v>1.0220188520586025E-4</v>
      </c>
      <c r="AA49" s="285">
        <f ca="1"/>
        <v>2.6763387357427745E-4</v>
      </c>
      <c r="AB49" s="285">
        <f ca="1"/>
        <v>3.9189543426059747E-5</v>
      </c>
      <c r="AC49" s="285">
        <f ca="1"/>
        <v>0.7707843666108225</v>
      </c>
      <c r="AD49" s="285">
        <f ca="1"/>
        <v>5.9011694249547289E-2</v>
      </c>
      <c r="AE49" s="283">
        <f t="shared" ca="1" si="19"/>
        <v>1.0000000000000007</v>
      </c>
      <c r="AF49" s="418">
        <f t="shared" ca="1" si="15"/>
        <v>4.6213552832280159E-2</v>
      </c>
    </row>
    <row r="50" spans="1:32" ht="12" customHeight="1" x14ac:dyDescent="0.25">
      <c r="A50" s="262"/>
      <c r="C50" s="263"/>
      <c r="D50" s="62">
        <f t="shared" si="20"/>
        <v>40</v>
      </c>
      <c r="E50" s="63">
        <f t="shared" si="16"/>
        <v>10</v>
      </c>
      <c r="F50" s="63">
        <f t="shared" si="21"/>
        <v>65</v>
      </c>
      <c r="G50" s="62">
        <f t="shared" si="17"/>
        <v>1</v>
      </c>
      <c r="H50" s="285">
        <f t="array" aca="1" ref="H50:Q50" ca="1">MMULT(H49:Q49, OFFSET(AB.rngTPMroot, MIN(4, INT(($F49-55)/5))*10, $G50*13))</f>
        <v>1.1986980338874887E-3</v>
      </c>
      <c r="I50" s="285">
        <f ca="1"/>
        <v>0</v>
      </c>
      <c r="J50" s="285">
        <f ca="1"/>
        <v>4.5283057047054945E-2</v>
      </c>
      <c r="K50" s="285">
        <f ca="1"/>
        <v>6.6342523517354786E-3</v>
      </c>
      <c r="L50" s="285">
        <f ca="1"/>
        <v>6.9919364294232132E-4</v>
      </c>
      <c r="M50" s="285">
        <f ca="1"/>
        <v>1.0245462273511116E-4</v>
      </c>
      <c r="N50" s="285">
        <f ca="1"/>
        <v>2.6780492039126186E-4</v>
      </c>
      <c r="O50" s="285">
        <f ca="1"/>
        <v>3.923413572526841E-5</v>
      </c>
      <c r="P50" s="285">
        <f ca="1"/>
        <v>0.8847773992784409</v>
      </c>
      <c r="Q50" s="285">
        <f ca="1"/>
        <v>6.0997905967087658E-2</v>
      </c>
      <c r="R50" s="283">
        <f t="shared" ca="1" si="18"/>
        <v>1.0000000000000004</v>
      </c>
      <c r="S50" s="418">
        <f t="shared" ca="1" si="14"/>
        <v>4.6250055610388523E-2</v>
      </c>
      <c r="U50" s="285">
        <f t="array" aca="1" ref="U50:AD50" ca="1">MMULT(U49:AD49, OFFSET(AB.rngTPMroot, MIN(4, INT(($F49-55)/5))*10, $G50*13))</f>
        <v>0.11091342453445915</v>
      </c>
      <c r="V50" s="285">
        <f ca="1"/>
        <v>0</v>
      </c>
      <c r="W50" s="285">
        <f ca="1"/>
        <v>4.5161603040308904E-2</v>
      </c>
      <c r="X50" s="285">
        <f ca="1"/>
        <v>6.6129992437129279E-3</v>
      </c>
      <c r="Y50" s="285">
        <f ca="1"/>
        <v>6.9662671705574323E-4</v>
      </c>
      <c r="Z50" s="285">
        <f ca="1"/>
        <v>1.0200682976040654E-4</v>
      </c>
      <c r="AA50" s="285">
        <f ca="1"/>
        <v>2.6712308608417014E-4</v>
      </c>
      <c r="AB50" s="285">
        <f ca="1"/>
        <v>3.9114748975500447E-5</v>
      </c>
      <c r="AC50" s="285">
        <f ca="1"/>
        <v>0.77539950238870758</v>
      </c>
      <c r="AD50" s="285">
        <f ca="1"/>
        <v>6.080759941093624E-2</v>
      </c>
      <c r="AE50" s="283">
        <f t="shared" ca="1" si="19"/>
        <v>1.0000000000000007</v>
      </c>
      <c r="AF50" s="418">
        <f t="shared" ca="1" si="15"/>
        <v>4.6125352843448812E-2</v>
      </c>
    </row>
    <row r="51" spans="1:32" ht="12" customHeight="1" x14ac:dyDescent="0.25">
      <c r="A51" s="262"/>
      <c r="C51" s="263"/>
      <c r="D51" s="62">
        <f t="shared" si="20"/>
        <v>41</v>
      </c>
      <c r="E51" s="63">
        <f t="shared" si="16"/>
        <v>10.25</v>
      </c>
      <c r="F51" s="63">
        <f t="shared" si="21"/>
        <v>65.25</v>
      </c>
      <c r="G51" s="62">
        <f t="shared" si="17"/>
        <v>0</v>
      </c>
      <c r="H51" s="285">
        <f t="array" aca="1" ref="H51:Q51" ca="1">MMULT(H50:Q50, OFFSET(AB.rngTPMroot, MIN(4, INT(($F50-55)/5))*10, $G51*13))</f>
        <v>1.1328439397088597E-3</v>
      </c>
      <c r="I51" s="285">
        <f ca="1"/>
        <v>0</v>
      </c>
      <c r="J51" s="285">
        <f ca="1"/>
        <v>4.5058280512729483E-2</v>
      </c>
      <c r="K51" s="285">
        <f ca="1"/>
        <v>6.6181286605607606E-3</v>
      </c>
      <c r="L51" s="285">
        <f ca="1"/>
        <v>6.950329464997842E-4</v>
      </c>
      <c r="M51" s="285">
        <f ca="1"/>
        <v>1.021873033622718E-4</v>
      </c>
      <c r="N51" s="285">
        <f ca="1"/>
        <v>2.6651195116930904E-4</v>
      </c>
      <c r="O51" s="285">
        <f ca="1"/>
        <v>3.913974750509632E-5</v>
      </c>
      <c r="P51" s="285">
        <f ca="1"/>
        <v>0.88224308056299705</v>
      </c>
      <c r="Q51" s="285">
        <f ca="1"/>
        <v>6.3844794375467875E-2</v>
      </c>
      <c r="R51" s="283">
        <f t="shared" ca="1" si="18"/>
        <v>1.0000000000000004</v>
      </c>
      <c r="S51" s="418">
        <f t="shared" ca="1" si="14"/>
        <v>4.6019825410398577E-2</v>
      </c>
      <c r="U51" s="285">
        <f t="array" aca="1" ref="U51:AD51" ca="1">MMULT(U50:AD50, OFFSET(AB.rngTPMroot, MIN(4, INT(($F50-55)/5))*10, $G51*13))</f>
        <v>0.10482006081943022</v>
      </c>
      <c r="V51" s="285">
        <f ca="1"/>
        <v>0</v>
      </c>
      <c r="W51" s="285">
        <f ca="1"/>
        <v>4.5075410730052716E-2</v>
      </c>
      <c r="X51" s="285">
        <f ca="1"/>
        <v>6.6003781309940251E-3</v>
      </c>
      <c r="Y51" s="285">
        <f ca="1"/>
        <v>6.9529718351204616E-4</v>
      </c>
      <c r="Z51" s="285">
        <f ca="1"/>
        <v>1.0181214658427767E-4</v>
      </c>
      <c r="AA51" s="285">
        <f ca="1"/>
        <v>2.6661327344771864E-4</v>
      </c>
      <c r="AB51" s="285">
        <f ca="1"/>
        <v>3.9040097272453492E-5</v>
      </c>
      <c r="AC51" s="285">
        <f ca="1"/>
        <v>0.77874643041592373</v>
      </c>
      <c r="AD51" s="285">
        <f ca="1"/>
        <v>6.3654957202783483E-2</v>
      </c>
      <c r="AE51" s="283">
        <f t="shared" ca="1" si="19"/>
        <v>1.0000000000000007</v>
      </c>
      <c r="AF51" s="418">
        <f t="shared" ca="1" si="15"/>
        <v>4.6037321187012481E-2</v>
      </c>
    </row>
    <row r="52" spans="1:32" ht="12" customHeight="1" x14ac:dyDescent="0.25">
      <c r="A52" s="262"/>
      <c r="C52" s="263"/>
      <c r="D52" s="62">
        <f t="shared" si="20"/>
        <v>42</v>
      </c>
      <c r="E52" s="63">
        <f t="shared" si="16"/>
        <v>10.5</v>
      </c>
      <c r="F52" s="63">
        <f t="shared" si="21"/>
        <v>65.5</v>
      </c>
      <c r="G52" s="62">
        <f t="shared" si="17"/>
        <v>0</v>
      </c>
      <c r="H52" s="285">
        <f t="array" aca="1" ref="H52:Q52" ca="1">MMULT(H51:Q51, OFFSET(AB.rngTPMroot, MIN(4, INT(($F51-55)/5))*10, $G52*13))</f>
        <v>1.0706077389424883E-3</v>
      </c>
      <c r="I52" s="285">
        <f ca="1"/>
        <v>0</v>
      </c>
      <c r="J52" s="285">
        <f ca="1"/>
        <v>4.4926042954410529E-2</v>
      </c>
      <c r="K52" s="285">
        <f ca="1"/>
        <v>6.5852775210607254E-3</v>
      </c>
      <c r="L52" s="285">
        <f ca="1"/>
        <v>6.9299315583865593E-4</v>
      </c>
      <c r="M52" s="285">
        <f ca="1"/>
        <v>1.0157921667003204E-4</v>
      </c>
      <c r="N52" s="285">
        <f ca="1"/>
        <v>2.6572978883900229E-4</v>
      </c>
      <c r="O52" s="285">
        <f ca="1"/>
        <v>3.8950779771399873E-5</v>
      </c>
      <c r="P52" s="285">
        <f ca="1"/>
        <v>0.87963582822920128</v>
      </c>
      <c r="Q52" s="285">
        <f ca="1"/>
        <v>6.6682990615266377E-2</v>
      </c>
      <c r="R52" s="283">
        <f t="shared" ca="1" si="18"/>
        <v>1.0000000000000004</v>
      </c>
      <c r="S52" s="418">
        <f t="shared" ca="1" si="14"/>
        <v>4.5884765899088187E-2</v>
      </c>
      <c r="U52" s="285">
        <f t="array" aca="1" ref="U52:AD52" ca="1">MMULT(U51:AD51, OFFSET(AB.rngTPMroot, MIN(4, INT(($F51-55)/5))*10, $G52*13))</f>
        <v>9.9061454429941229E-2</v>
      </c>
      <c r="V52" s="285">
        <f ca="1"/>
        <v>0</v>
      </c>
      <c r="W52" s="285">
        <f ca="1"/>
        <v>4.4935734648489066E-2</v>
      </c>
      <c r="X52" s="285">
        <f ca="1"/>
        <v>6.5877811060574432E-3</v>
      </c>
      <c r="Y52" s="285">
        <f ca="1"/>
        <v>6.9314265214910826E-4</v>
      </c>
      <c r="Z52" s="285">
        <f ca="1"/>
        <v>1.0161783496698612E-4</v>
      </c>
      <c r="AA52" s="285">
        <f ca="1"/>
        <v>2.6578711353647446E-4</v>
      </c>
      <c r="AB52" s="285">
        <f ca="1"/>
        <v>3.8965588044480884E-5</v>
      </c>
      <c r="AC52" s="285">
        <f ca="1"/>
        <v>0.78182179580051669</v>
      </c>
      <c r="AD52" s="285">
        <f ca="1"/>
        <v>6.649372082629923E-2</v>
      </c>
      <c r="AE52" s="283">
        <f t="shared" ca="1" si="19"/>
        <v>1.0000000000000007</v>
      </c>
      <c r="AF52" s="418">
        <f t="shared" ca="1" si="15"/>
        <v>4.5894664414174648E-2</v>
      </c>
    </row>
    <row r="53" spans="1:32" ht="12" customHeight="1" x14ac:dyDescent="0.25">
      <c r="A53" s="262"/>
      <c r="C53" s="263"/>
      <c r="D53" s="62">
        <f t="shared" si="20"/>
        <v>43</v>
      </c>
      <c r="E53" s="63">
        <f t="shared" si="16"/>
        <v>10.75</v>
      </c>
      <c r="F53" s="63">
        <f t="shared" si="21"/>
        <v>65.75</v>
      </c>
      <c r="G53" s="62">
        <f t="shared" si="17"/>
        <v>0</v>
      </c>
      <c r="H53" s="285">
        <f t="array" aca="1" ref="H53:Q53" ca="1">MMULT(H52:Q52, OFFSET(AB.rngTPMroot, MIN(4, INT(($F52-55)/5))*10, $G53*13))</f>
        <v>1.0117906716949204E-3</v>
      </c>
      <c r="I53" s="285">
        <f ca="1"/>
        <v>0</v>
      </c>
      <c r="J53" s="285">
        <f ca="1"/>
        <v>4.4790280191080119E-2</v>
      </c>
      <c r="K53" s="285">
        <f ca="1"/>
        <v>6.5659509730804548E-3</v>
      </c>
      <c r="L53" s="285">
        <f ca="1"/>
        <v>6.9089898818847605E-4</v>
      </c>
      <c r="M53" s="285">
        <f ca="1"/>
        <v>1.012811008201695E-4</v>
      </c>
      <c r="N53" s="285">
        <f ca="1"/>
        <v>2.6492677552958181E-4</v>
      </c>
      <c r="O53" s="285">
        <f ca="1"/>
        <v>3.8836466576289498E-5</v>
      </c>
      <c r="P53" s="285">
        <f ca="1"/>
        <v>0.87702345909580959</v>
      </c>
      <c r="Q53" s="285">
        <f ca="1"/>
        <v>6.9512575737220889E-2</v>
      </c>
      <c r="R53" s="283">
        <f t="shared" ca="1" si="18"/>
        <v>1.0000000000000004</v>
      </c>
      <c r="S53" s="418">
        <f t="shared" ca="1" si="14"/>
        <v>4.574610595479818E-2</v>
      </c>
      <c r="U53" s="285">
        <f t="array" aca="1" ref="U53:AD53" ca="1">MMULT(U52:AD52, OFFSET(AB.rngTPMroot, MIN(4, INT(($F52-55)/5))*10, $G53*13))</f>
        <v>9.3619214462011463E-2</v>
      </c>
      <c r="V53" s="285">
        <f ca="1"/>
        <v>0</v>
      </c>
      <c r="W53" s="285">
        <f ca="1"/>
        <v>4.4799272472761498E-2</v>
      </c>
      <c r="X53" s="285">
        <f ca="1"/>
        <v>6.5673674162831279E-3</v>
      </c>
      <c r="Y53" s="285">
        <f ca="1"/>
        <v>6.9103769592347274E-4</v>
      </c>
      <c r="Z53" s="285">
        <f ca="1"/>
        <v>1.0130294973853701E-4</v>
      </c>
      <c r="AA53" s="285">
        <f ca="1"/>
        <v>2.6497996332345891E-4</v>
      </c>
      <c r="AB53" s="285">
        <f ca="1"/>
        <v>3.8844844593323647E-5</v>
      </c>
      <c r="AC53" s="285">
        <f ca="1"/>
        <v>0.78459409927941448</v>
      </c>
      <c r="AD53" s="285">
        <f ca="1"/>
        <v>6.9323880915951278E-2</v>
      </c>
      <c r="AE53" s="283">
        <f t="shared" ca="1" si="19"/>
        <v>1.0000000000000007</v>
      </c>
      <c r="AF53" s="418">
        <f t="shared" ca="1" si="15"/>
        <v>4.5755290132008429E-2</v>
      </c>
    </row>
    <row r="54" spans="1:32" ht="12" customHeight="1" x14ac:dyDescent="0.25">
      <c r="A54" s="262"/>
      <c r="C54" s="263"/>
      <c r="D54" s="62">
        <f t="shared" si="20"/>
        <v>44</v>
      </c>
      <c r="E54" s="63">
        <f t="shared" si="16"/>
        <v>11</v>
      </c>
      <c r="F54" s="63">
        <f t="shared" si="21"/>
        <v>66</v>
      </c>
      <c r="G54" s="62">
        <f t="shared" si="17"/>
        <v>0</v>
      </c>
      <c r="H54" s="285">
        <f t="array" aca="1" ref="H54:Q54" ca="1">MMULT(H53:Q53, OFFSET(AB.rngTPMroot, MIN(4, INT(($F53-55)/5))*10, $G54*13))</f>
        <v>9.5620489754730915E-4</v>
      </c>
      <c r="I54" s="285">
        <f ca="1"/>
        <v>0</v>
      </c>
      <c r="J54" s="285">
        <f ca="1"/>
        <v>4.4654431089174031E-2</v>
      </c>
      <c r="K54" s="285">
        <f ca="1"/>
        <v>6.5461092156191541E-3</v>
      </c>
      <c r="L54" s="285">
        <f ca="1"/>
        <v>6.8880348874857935E-4</v>
      </c>
      <c r="M54" s="285">
        <f ca="1"/>
        <v>1.0097503776150115E-4</v>
      </c>
      <c r="N54" s="285">
        <f ca="1"/>
        <v>2.6412325154239011E-4</v>
      </c>
      <c r="O54" s="285">
        <f ca="1"/>
        <v>3.8719106006035486E-5</v>
      </c>
      <c r="P54" s="285">
        <f ca="1"/>
        <v>0.87441705094357669</v>
      </c>
      <c r="Q54" s="285">
        <f ca="1"/>
        <v>7.2333582970024804E-2</v>
      </c>
      <c r="R54" s="283">
        <f t="shared" ca="1" si="18"/>
        <v>1.0000000000000004</v>
      </c>
      <c r="S54" s="418">
        <f t="shared" ca="1" si="14"/>
        <v>4.5607357829464998E-2</v>
      </c>
      <c r="U54" s="285">
        <f t="array" aca="1" ref="U54:AD54" ca="1">MMULT(U53:AD53, OFFSET(AB.rngTPMroot, MIN(4, INT(($F53-55)/5))*10, $G54*13))</f>
        <v>8.8475960371474385E-2</v>
      </c>
      <c r="V54" s="285">
        <f ca="1"/>
        <v>0</v>
      </c>
      <c r="W54" s="285">
        <f ca="1"/>
        <v>4.4663486927712458E-2</v>
      </c>
      <c r="X54" s="285">
        <f ca="1"/>
        <v>6.5474234395474879E-3</v>
      </c>
      <c r="Y54" s="285">
        <f ca="1"/>
        <v>6.8894317686074796E-4</v>
      </c>
      <c r="Z54" s="285">
        <f ca="1"/>
        <v>1.0099530992721358E-4</v>
      </c>
      <c r="AA54" s="285">
        <f ca="1"/>
        <v>2.6417681526410533E-4</v>
      </c>
      <c r="AB54" s="285">
        <f ca="1"/>
        <v>3.8726879413707242E-5</v>
      </c>
      <c r="AC54" s="285">
        <f ca="1"/>
        <v>0.78707482685897734</v>
      </c>
      <c r="AD54" s="285">
        <f ca="1"/>
        <v>7.2145460220823146E-2</v>
      </c>
      <c r="AE54" s="283">
        <f t="shared" ca="1" si="19"/>
        <v>1.0000000000000007</v>
      </c>
      <c r="AF54" s="418">
        <f t="shared" ca="1" si="15"/>
        <v>4.5616606919837308E-2</v>
      </c>
    </row>
    <row r="55" spans="1:32" ht="12" customHeight="1" x14ac:dyDescent="0.25">
      <c r="A55" s="262"/>
      <c r="C55" s="263"/>
      <c r="D55" s="62">
        <f t="shared" si="20"/>
        <v>45</v>
      </c>
      <c r="E55" s="63">
        <f t="shared" si="16"/>
        <v>11.25</v>
      </c>
      <c r="F55" s="63">
        <f t="shared" si="21"/>
        <v>66.25</v>
      </c>
      <c r="G55" s="62">
        <f t="shared" si="17"/>
        <v>0</v>
      </c>
      <c r="H55" s="285">
        <f t="array" aca="1" ref="H55:Q55" ca="1">MMULT(H54:Q54, OFFSET(AB.rngTPMroot, MIN(4, INT(($F54-55)/5))*10, $G55*13))</f>
        <v>9.0367289566112155E-4</v>
      </c>
      <c r="I55" s="285">
        <f ca="1"/>
        <v>0</v>
      </c>
      <c r="J55" s="285">
        <f ca="1"/>
        <v>4.4519049480774099E-2</v>
      </c>
      <c r="K55" s="285">
        <f ca="1"/>
        <v>6.526254839756193E-3</v>
      </c>
      <c r="L55" s="285">
        <f ca="1"/>
        <v>6.8671520048907723E-4</v>
      </c>
      <c r="M55" s="285">
        <f ca="1"/>
        <v>1.0066878006147533E-4</v>
      </c>
      <c r="N55" s="285">
        <f ca="1"/>
        <v>2.6332249269858757E-4</v>
      </c>
      <c r="O55" s="285">
        <f ca="1"/>
        <v>3.8601670800113866E-5</v>
      </c>
      <c r="P55" s="285">
        <f ca="1"/>
        <v>0.87181567702604013</v>
      </c>
      <c r="Q55" s="285">
        <f ca="1"/>
        <v>7.5146037613719727E-2</v>
      </c>
      <c r="R55" s="283">
        <f t="shared" ca="1" si="18"/>
        <v>1.0000000000000004</v>
      </c>
      <c r="S55" s="418">
        <f t="shared" ca="1" si="14"/>
        <v>4.546908717396176E-2</v>
      </c>
      <c r="U55" s="285">
        <f t="array" aca="1" ref="U55:AD55" ca="1">MMULT(U54:AD54, OFFSET(AB.rngTPMroot, MIN(4, INT(($F54-55)/5))*10, $G55*13))</f>
        <v>8.3615266466811972E-2</v>
      </c>
      <c r="V55" s="285">
        <f ca="1"/>
        <v>0</v>
      </c>
      <c r="W55" s="285">
        <f ca="1"/>
        <v>4.452807823354115E-2</v>
      </c>
      <c r="X55" s="285">
        <f ca="1"/>
        <v>6.5275783525330427E-3</v>
      </c>
      <c r="Y55" s="285">
        <f ca="1"/>
        <v>6.868544707978305E-4</v>
      </c>
      <c r="Z55" s="285">
        <f ca="1"/>
        <v>1.0068919550952518E-4</v>
      </c>
      <c r="AA55" s="285">
        <f ca="1"/>
        <v>2.6337589621264066E-4</v>
      </c>
      <c r="AB55" s="285">
        <f ca="1"/>
        <v>3.8609499149721124E-5</v>
      </c>
      <c r="AC55" s="285">
        <f ca="1"/>
        <v>0.78928106268789455</v>
      </c>
      <c r="AD55" s="285">
        <f ca="1"/>
        <v>7.4958485197550204E-2</v>
      </c>
      <c r="AE55" s="283">
        <f t="shared" ca="1" si="19"/>
        <v>1.0000000000000007</v>
      </c>
      <c r="AF55" s="418">
        <f t="shared" ca="1" si="15"/>
        <v>4.5478308600551624E-2</v>
      </c>
    </row>
    <row r="56" spans="1:32" ht="12" customHeight="1" x14ac:dyDescent="0.25">
      <c r="A56" s="262"/>
      <c r="C56" s="263"/>
      <c r="D56" s="62">
        <f t="shared" si="20"/>
        <v>46</v>
      </c>
      <c r="E56" s="63">
        <f t="shared" si="16"/>
        <v>11.5</v>
      </c>
      <c r="F56" s="63">
        <f t="shared" si="21"/>
        <v>66.5</v>
      </c>
      <c r="G56" s="62">
        <f t="shared" si="17"/>
        <v>0</v>
      </c>
      <c r="H56" s="285">
        <f t="array" aca="1" ref="H56:Q56" ca="1">MMULT(H55:Q55, OFFSET(AB.rngTPMroot, MIN(4, INT(($F55-55)/5))*10, $G56*13))</f>
        <v>8.5402689784085009E-4</v>
      </c>
      <c r="I56" s="285">
        <f ca="1"/>
        <v>0</v>
      </c>
      <c r="J56" s="285">
        <f ca="1"/>
        <v>4.4384079205916242E-2</v>
      </c>
      <c r="K56" s="285">
        <f ca="1"/>
        <v>6.5064687881710853E-3</v>
      </c>
      <c r="L56" s="285">
        <f ca="1"/>
        <v>6.8463325713134424E-4</v>
      </c>
      <c r="M56" s="285">
        <f ca="1"/>
        <v>1.0036357627703643E-4</v>
      </c>
      <c r="N56" s="285">
        <f ca="1"/>
        <v>2.6252416682168102E-4</v>
      </c>
      <c r="O56" s="285">
        <f ca="1"/>
        <v>3.8484639720501459E-5</v>
      </c>
      <c r="P56" s="285">
        <f ca="1"/>
        <v>0.86921945388175992</v>
      </c>
      <c r="Q56" s="285">
        <f ca="1"/>
        <v>7.7949965586361927E-2</v>
      </c>
      <c r="R56" s="283">
        <f t="shared" ca="1" si="18"/>
        <v>1.0000000000000007</v>
      </c>
      <c r="S56" s="418">
        <f t="shared" ca="1" si="14"/>
        <v>4.5331236629869265E-2</v>
      </c>
      <c r="U56" s="285">
        <f t="array" aca="1" ref="U56:AD56" ca="1">MMULT(U55:AD55, OFFSET(AB.rngTPMroot, MIN(4, INT(($F55-55)/5))*10, $G56*13))</f>
        <v>7.9021609451442709E-2</v>
      </c>
      <c r="V56" s="285">
        <f ca="1"/>
        <v>0</v>
      </c>
      <c r="W56" s="285">
        <f ca="1"/>
        <v>4.4393079877548203E-2</v>
      </c>
      <c r="X56" s="285">
        <f ca="1"/>
        <v>6.5077883423565429E-3</v>
      </c>
      <c r="Y56" s="285">
        <f ca="1"/>
        <v>6.8477209428299888E-4</v>
      </c>
      <c r="Z56" s="285">
        <f ca="1"/>
        <v>1.0038393066302603E-4</v>
      </c>
      <c r="AA56" s="285">
        <f ca="1"/>
        <v>2.6257740424066753E-4</v>
      </c>
      <c r="AB56" s="285">
        <f ca="1"/>
        <v>3.8492444655723961E-5</v>
      </c>
      <c r="AC56" s="285">
        <f ca="1"/>
        <v>0.7912283146717094</v>
      </c>
      <c r="AD56" s="285">
        <f ca="1"/>
        <v>7.7762981783101343E-2</v>
      </c>
      <c r="AE56" s="283">
        <f t="shared" ca="1" si="19"/>
        <v>1.0000000000000007</v>
      </c>
      <c r="AF56" s="418">
        <f t="shared" ca="1" si="15"/>
        <v>4.534042937607187E-2</v>
      </c>
    </row>
    <row r="57" spans="1:32" ht="12" customHeight="1" x14ac:dyDescent="0.25">
      <c r="A57" s="262"/>
      <c r="C57" s="263"/>
      <c r="D57" s="62">
        <f t="shared" si="20"/>
        <v>47</v>
      </c>
      <c r="E57" s="63">
        <f t="shared" si="16"/>
        <v>11.75</v>
      </c>
      <c r="F57" s="63">
        <f t="shared" si="21"/>
        <v>66.75</v>
      </c>
      <c r="G57" s="62">
        <f t="shared" si="17"/>
        <v>0</v>
      </c>
      <c r="H57" s="285">
        <f t="array" aca="1" ref="H57:Q57" ca="1">MMULT(H56:Q56, OFFSET(AB.rngTPMroot, MIN(4, INT(($F56-55)/5))*10, $G57*13))</f>
        <v>8.0710835274313392E-4</v>
      </c>
      <c r="I57" s="285">
        <f ca="1"/>
        <v>0</v>
      </c>
      <c r="J57" s="285">
        <f ca="1"/>
        <v>4.4249517659203638E-2</v>
      </c>
      <c r="K57" s="285">
        <f ca="1"/>
        <v>6.4867428530728357E-3</v>
      </c>
      <c r="L57" s="285">
        <f ca="1"/>
        <v>6.8255761848661607E-4</v>
      </c>
      <c r="M57" s="285">
        <f ca="1"/>
        <v>1.0005929980137448E-4</v>
      </c>
      <c r="N57" s="285">
        <f ca="1"/>
        <v>2.6172825850119812E-4</v>
      </c>
      <c r="O57" s="285">
        <f ca="1"/>
        <v>3.8367964219531361E-5</v>
      </c>
      <c r="P57" s="285">
        <f ca="1"/>
        <v>0.86662852524932632</v>
      </c>
      <c r="Q57" s="285">
        <f ca="1"/>
        <v>8.0745392744645969E-2</v>
      </c>
      <c r="R57" s="283">
        <f t="shared" ca="1" si="18"/>
        <v>1.0000000000000007</v>
      </c>
      <c r="S57" s="418">
        <f t="shared" ca="1" si="14"/>
        <v>4.519380353619145E-2</v>
      </c>
      <c r="U57" s="285">
        <f t="array" aca="1" ref="U57:AD57" ca="1">MMULT(U56:AD56, OFFSET(AB.rngTPMroot, MIN(4, INT(($F56-55)/5))*10, $G57*13))</f>
        <v>7.4680318847932303E-2</v>
      </c>
      <c r="V57" s="285">
        <f ca="1"/>
        <v>0</v>
      </c>
      <c r="W57" s="285">
        <f ca="1"/>
        <v>4.4258491076988225E-2</v>
      </c>
      <c r="X57" s="285">
        <f ca="1"/>
        <v>6.4880583031942766E-3</v>
      </c>
      <c r="Y57" s="285">
        <f ca="1"/>
        <v>6.8269603524224955E-4</v>
      </c>
      <c r="Z57" s="285">
        <f ca="1"/>
        <v>1.0007959088135968E-4</v>
      </c>
      <c r="AA57" s="285">
        <f ca="1"/>
        <v>2.6178133471838202E-4</v>
      </c>
      <c r="AB57" s="285">
        <f ca="1"/>
        <v>3.8375744879923677E-5</v>
      </c>
      <c r="AC57" s="285">
        <f ca="1"/>
        <v>0.79293122323619414</v>
      </c>
      <c r="AD57" s="285">
        <f ca="1"/>
        <v>8.0558975829969834E-2</v>
      </c>
      <c r="AE57" s="283">
        <f t="shared" ca="1" si="19"/>
        <v>1.0000000000000007</v>
      </c>
      <c r="AF57" s="418">
        <f t="shared" ca="1" si="15"/>
        <v>4.5202968446948856E-2</v>
      </c>
    </row>
    <row r="58" spans="1:32" ht="12" customHeight="1" x14ac:dyDescent="0.25">
      <c r="A58" s="262"/>
      <c r="C58" s="263"/>
      <c r="D58" s="62">
        <f t="shared" si="20"/>
        <v>48</v>
      </c>
      <c r="E58" s="63">
        <f t="shared" si="16"/>
        <v>12</v>
      </c>
      <c r="F58" s="63">
        <f t="shared" si="21"/>
        <v>67</v>
      </c>
      <c r="G58" s="62">
        <f t="shared" si="17"/>
        <v>0</v>
      </c>
      <c r="H58" s="285">
        <f t="array" aca="1" ref="H58:Q58" ca="1">MMULT(H57:Q57, OFFSET(AB.rngTPMroot, MIN(4, INT(($F57-55)/5))*10, $G58*13))</f>
        <v>7.6276741952117E-4</v>
      </c>
      <c r="I58" s="285">
        <f ca="1"/>
        <v>0</v>
      </c>
      <c r="J58" s="285">
        <f ca="1"/>
        <v>4.4115364087300872E-2</v>
      </c>
      <c r="K58" s="285">
        <f ca="1"/>
        <v>6.4670766536821305E-3</v>
      </c>
      <c r="L58" s="285">
        <f ca="1"/>
        <v>6.804882729345436E-4</v>
      </c>
      <c r="M58" s="285">
        <f ca="1"/>
        <v>9.9755944760892819E-5</v>
      </c>
      <c r="N58" s="285">
        <f ca="1"/>
        <v>2.6093476328128978E-4</v>
      </c>
      <c r="O58" s="285">
        <f ca="1"/>
        <v>3.8251642044959682E-5</v>
      </c>
      <c r="P58" s="285">
        <f ca="1"/>
        <v>0.86404301635576375</v>
      </c>
      <c r="Q58" s="285">
        <f ca="1"/>
        <v>8.3532344860711039E-2</v>
      </c>
      <c r="R58" s="283">
        <f t="shared" ca="1" si="18"/>
        <v>1.0000000000000007</v>
      </c>
      <c r="S58" s="418">
        <f t="shared" ca="1" si="14"/>
        <v>4.5056787123516705E-2</v>
      </c>
      <c r="U58" s="285">
        <f t="array" aca="1" ref="U58:AD58" ca="1">MMULT(U57:AD57, OFFSET(AB.rngTPMroot, MIN(4, INT(($F57-55)/5))*10, $G58*13))</f>
        <v>7.057753014580001E-2</v>
      </c>
      <c r="V58" s="285">
        <f ca="1"/>
        <v>0</v>
      </c>
      <c r="W58" s="285">
        <f ca="1"/>
        <v>4.4124310303517253E-2</v>
      </c>
      <c r="X58" s="285">
        <f ca="1"/>
        <v>6.4683881206478357E-3</v>
      </c>
      <c r="Y58" s="285">
        <f ca="1"/>
        <v>6.8062627010057248E-4</v>
      </c>
      <c r="Z58" s="285">
        <f ca="1"/>
        <v>9.977617439990786E-5</v>
      </c>
      <c r="AA58" s="285">
        <f ca="1"/>
        <v>2.6098767860589333E-4</v>
      </c>
      <c r="AB58" s="285">
        <f ca="1"/>
        <v>3.8259399145673403E-5</v>
      </c>
      <c r="AC58" s="285">
        <f ca="1"/>
        <v>0.79440362879187565</v>
      </c>
      <c r="AD58" s="285">
        <f ca="1"/>
        <v>8.3346493115907902E-2</v>
      </c>
      <c r="AE58" s="283">
        <f t="shared" ca="1" si="19"/>
        <v>1.0000000000000007</v>
      </c>
      <c r="AF58" s="418">
        <f t="shared" ca="1" si="15"/>
        <v>4.5065924252223714E-2</v>
      </c>
    </row>
    <row r="59" spans="1:32" ht="12" customHeight="1" x14ac:dyDescent="0.25">
      <c r="A59" s="262"/>
      <c r="C59" s="263"/>
      <c r="D59" s="62">
        <f t="shared" si="20"/>
        <v>49</v>
      </c>
      <c r="E59" s="63">
        <f t="shared" si="16"/>
        <v>12.25</v>
      </c>
      <c r="F59" s="63">
        <f t="shared" si="21"/>
        <v>67.25</v>
      </c>
      <c r="G59" s="62">
        <f t="shared" si="17"/>
        <v>0</v>
      </c>
      <c r="H59" s="285">
        <f t="array" aca="1" ref="H59:Q59" ca="1">MMULT(H58:Q58, OFFSET(AB.rngTPMroot, MIN(4, INT(($F58-55)/5))*10, $G59*13))</f>
        <v>7.2086248928729607E-4</v>
      </c>
      <c r="I59" s="285">
        <f ca="1"/>
        <v>0</v>
      </c>
      <c r="J59" s="285">
        <f ca="1"/>
        <v>4.3981617238417398E-2</v>
      </c>
      <c r="K59" s="285">
        <f ca="1"/>
        <v>6.4474700798988344E-3</v>
      </c>
      <c r="L59" s="285">
        <f ca="1"/>
        <v>6.7842520116600852E-4</v>
      </c>
      <c r="M59" s="285">
        <f ca="1"/>
        <v>9.9453509457274867E-5</v>
      </c>
      <c r="N59" s="285">
        <f ca="1"/>
        <v>2.6014367375783105E-4</v>
      </c>
      <c r="O59" s="285">
        <f ca="1"/>
        <v>3.8135672545563111E-5</v>
      </c>
      <c r="P59" s="285">
        <f ca="1"/>
        <v>0.86146304450671951</v>
      </c>
      <c r="Q59" s="285">
        <f ca="1"/>
        <v>8.6310847628750964E-2</v>
      </c>
      <c r="R59" s="283">
        <f t="shared" ca="1" si="18"/>
        <v>1.0000000000000007</v>
      </c>
      <c r="S59" s="418">
        <f t="shared" ca="1" si="14"/>
        <v>4.492018611334124E-2</v>
      </c>
      <c r="U59" s="285">
        <f t="array" aca="1" ref="U59:AD59" ca="1">MMULT(U58:AD58, OFFSET(AB.rngTPMroot, MIN(4, INT(($F58-55)/5))*10, $G59*13))</f>
        <v>6.6700140523291623E-2</v>
      </c>
      <c r="V59" s="285">
        <f ca="1"/>
        <v>0</v>
      </c>
      <c r="W59" s="285">
        <f ca="1"/>
        <v>4.3990536331478647E-2</v>
      </c>
      <c r="X59" s="285">
        <f ca="1"/>
        <v>6.448777571349415E-3</v>
      </c>
      <c r="Y59" s="285">
        <f ca="1"/>
        <v>6.7856277995197016E-4</v>
      </c>
      <c r="Z59" s="285">
        <f ca="1"/>
        <v>9.9473677773177725E-5</v>
      </c>
      <c r="AA59" s="285">
        <f ca="1"/>
        <v>2.601964286536541E-4</v>
      </c>
      <c r="AB59" s="285">
        <f ca="1"/>
        <v>3.8143406131791131E-5</v>
      </c>
      <c r="AC59" s="285">
        <f ca="1"/>
        <v>0.79565860994099902</v>
      </c>
      <c r="AD59" s="285">
        <f ca="1"/>
        <v>8.6125559340371485E-2</v>
      </c>
      <c r="AE59" s="283">
        <f t="shared" ca="1" si="19"/>
        <v>1.0000000000000009</v>
      </c>
      <c r="AF59" s="418">
        <f t="shared" ca="1" si="15"/>
        <v>4.492929554008427E-2</v>
      </c>
    </row>
    <row r="60" spans="1:32" ht="12" customHeight="1" x14ac:dyDescent="0.25">
      <c r="A60" s="262"/>
      <c r="C60" s="263"/>
      <c r="D60" s="62">
        <f t="shared" si="20"/>
        <v>50</v>
      </c>
      <c r="E60" s="63">
        <f t="shared" si="16"/>
        <v>12.5</v>
      </c>
      <c r="F60" s="63">
        <f t="shared" si="21"/>
        <v>67.5</v>
      </c>
      <c r="G60" s="62">
        <f t="shared" si="17"/>
        <v>0</v>
      </c>
      <c r="H60" s="285">
        <f t="array" aca="1" ref="H60:Q60" ca="1">MMULT(H59:Q59, OFFSET(AB.rngTPMroot, MIN(4, INT(($F59-55)/5))*10, $G60*13))</f>
        <v>6.8125973286547114E-4</v>
      </c>
      <c r="I60" s="285">
        <f ca="1"/>
        <v>0</v>
      </c>
      <c r="J60" s="285">
        <f ca="1"/>
        <v>4.3848275876557971E-2</v>
      </c>
      <c r="K60" s="285">
        <f ca="1"/>
        <v>6.427922948773486E-3</v>
      </c>
      <c r="L60" s="285">
        <f ca="1"/>
        <v>6.7636838411553831E-4</v>
      </c>
      <c r="M60" s="285">
        <f ca="1"/>
        <v>9.9151991068488805E-5</v>
      </c>
      <c r="N60" s="285">
        <f ca="1"/>
        <v>2.5935498262012361E-4</v>
      </c>
      <c r="O60" s="285">
        <f ca="1"/>
        <v>3.8020054639227169E-5</v>
      </c>
      <c r="P60" s="285">
        <f ca="1"/>
        <v>0.85888871936426237</v>
      </c>
      <c r="Q60" s="285">
        <f ca="1"/>
        <v>8.9080926665098051E-2</v>
      </c>
      <c r="R60" s="283">
        <f t="shared" ca="1" si="18"/>
        <v>1.0000000000000007</v>
      </c>
      <c r="S60" s="418">
        <f t="shared" ca="1" si="14"/>
        <v>4.4783999243293633E-2</v>
      </c>
      <c r="U60" s="285">
        <f t="array" aca="1" ref="U60:AD60" ca="1">MMULT(U59:AD59, OFFSET(AB.rngTPMroot, MIN(4, INT(($F59-55)/5))*10, $G60*13))</f>
        <v>6.3035767001710513E-2</v>
      </c>
      <c r="V60" s="285">
        <f ca="1"/>
        <v>0</v>
      </c>
      <c r="W60" s="285">
        <f ca="1"/>
        <v>4.3857167929135514E-2</v>
      </c>
      <c r="X60" s="285">
        <f ca="1"/>
        <v>6.429226476169031E-3</v>
      </c>
      <c r="Y60" s="285">
        <f ca="1"/>
        <v>6.7650554579665612E-4</v>
      </c>
      <c r="Z60" s="285">
        <f ca="1"/>
        <v>9.9172098238053602E-5</v>
      </c>
      <c r="AA60" s="285">
        <f ca="1"/>
        <v>2.5940757757615332E-4</v>
      </c>
      <c r="AB60" s="285">
        <f ca="1"/>
        <v>3.8027764778753937E-5</v>
      </c>
      <c r="AC60" s="285">
        <f ca="1"/>
        <v>0.796708525481714</v>
      </c>
      <c r="AD60" s="285">
        <f ca="1"/>
        <v>8.8896200124882085E-2</v>
      </c>
      <c r="AE60" s="283">
        <f t="shared" ca="1" si="19"/>
        <v>1.0000000000000009</v>
      </c>
      <c r="AF60" s="418">
        <f t="shared" ca="1" si="15"/>
        <v>4.4793081052508329E-2</v>
      </c>
    </row>
    <row r="61" spans="1:32" ht="12" customHeight="1" x14ac:dyDescent="0.25">
      <c r="A61" s="262"/>
      <c r="C61" s="263"/>
      <c r="D61" s="62">
        <f t="shared" si="20"/>
        <v>51</v>
      </c>
      <c r="E61" s="63">
        <f t="shared" si="16"/>
        <v>12.75</v>
      </c>
      <c r="F61" s="63">
        <f t="shared" si="21"/>
        <v>67.75</v>
      </c>
      <c r="G61" s="62">
        <f t="shared" si="17"/>
        <v>0</v>
      </c>
      <c r="H61" s="285">
        <f t="array" aca="1" ref="H61:Q61" ca="1">MMULT(H60:Q60, OFFSET(AB.rngTPMroot, MIN(4, INT(($F60-55)/5))*10, $G61*13))</f>
        <v>6.4383267338933843E-4</v>
      </c>
      <c r="I61" s="285">
        <f ca="1"/>
        <v>0</v>
      </c>
      <c r="J61" s="285">
        <f ca="1"/>
        <v>4.3715338772650728E-2</v>
      </c>
      <c r="K61" s="285">
        <f ca="1"/>
        <v>6.408435079665111E-3</v>
      </c>
      <c r="L61" s="285">
        <f ca="1"/>
        <v>6.7431780282445483E-4</v>
      </c>
      <c r="M61" s="285">
        <f ca="1"/>
        <v>9.8851386808111629E-5</v>
      </c>
      <c r="N61" s="285">
        <f ca="1"/>
        <v>2.5856868259841934E-4</v>
      </c>
      <c r="O61" s="285">
        <f ca="1"/>
        <v>3.7904787257491702E-5</v>
      </c>
      <c r="P61" s="285">
        <f ca="1"/>
        <v>0.85632014330638817</v>
      </c>
      <c r="Q61" s="285">
        <f ca="1"/>
        <v>9.1842607508418911E-2</v>
      </c>
      <c r="R61" s="283">
        <f t="shared" ca="1" si="18"/>
        <v>1.0000000000000007</v>
      </c>
      <c r="S61" s="418">
        <f t="shared" ca="1" si="14"/>
        <v>4.4648225258073597E-2</v>
      </c>
      <c r="U61" s="285">
        <f t="array" aca="1" ref="U61:AD61" ca="1">MMULT(U60:AD60, OFFSET(AB.rngTPMroot, MIN(4, INT(($F60-55)/5))*10, $G61*13))</f>
        <v>5.9572706898666748E-2</v>
      </c>
      <c r="V61" s="285">
        <f ca="1"/>
        <v>0</v>
      </c>
      <c r="W61" s="285">
        <f ca="1"/>
        <v>4.3724203866732508E-2</v>
      </c>
      <c r="X61" s="285">
        <f ca="1"/>
        <v>6.4097346550880665E-3</v>
      </c>
      <c r="Y61" s="285">
        <f ca="1"/>
        <v>6.7445454866540879E-4</v>
      </c>
      <c r="Z61" s="285">
        <f ca="1"/>
        <v>9.8871433017712571E-5</v>
      </c>
      <c r="AA61" s="285">
        <f ca="1"/>
        <v>2.5862111809960025E-4</v>
      </c>
      <c r="AB61" s="285">
        <f ca="1"/>
        <v>3.7912474021782803E-5</v>
      </c>
      <c r="AC61" s="285">
        <f ca="1"/>
        <v>0.79756505399242372</v>
      </c>
      <c r="AD61" s="285">
        <f ca="1"/>
        <v>9.1658441013285213E-2</v>
      </c>
      <c r="AE61" s="283">
        <f t="shared" ca="1" si="19"/>
        <v>1.0000000000000007</v>
      </c>
      <c r="AF61" s="418">
        <f t="shared" ca="1" si="15"/>
        <v>4.4657279533497518E-2</v>
      </c>
    </row>
    <row r="62" spans="1:32" ht="12" customHeight="1" x14ac:dyDescent="0.25">
      <c r="A62" s="262"/>
      <c r="C62" s="263"/>
      <c r="D62" s="62">
        <f t="shared" si="20"/>
        <v>52</v>
      </c>
      <c r="E62" s="63">
        <f t="shared" si="16"/>
        <v>13</v>
      </c>
      <c r="F62" s="63">
        <f t="shared" si="21"/>
        <v>68</v>
      </c>
      <c r="G62" s="62">
        <f t="shared" si="17"/>
        <v>0</v>
      </c>
      <c r="H62" s="285">
        <f t="array" aca="1" ref="H62:Q62" ca="1">MMULT(H61:Q61, OFFSET(AB.rngTPMroot, MIN(4, INT(($F61-55)/5))*10, $G62*13))</f>
        <v>6.0846178238090315E-4</v>
      </c>
      <c r="I62" s="285">
        <f ca="1"/>
        <v>0</v>
      </c>
      <c r="J62" s="285">
        <f ca="1"/>
        <v>4.3582804701094144E-2</v>
      </c>
      <c r="K62" s="285">
        <f ca="1"/>
        <v>6.3890062929445888E-3</v>
      </c>
      <c r="L62" s="285">
        <f ca="1"/>
        <v>6.7227343838761032E-4</v>
      </c>
      <c r="M62" s="285">
        <f ca="1"/>
        <v>9.8551693905328433E-5</v>
      </c>
      <c r="N62" s="285">
        <f ca="1"/>
        <v>2.5778476644349677E-4</v>
      </c>
      <c r="O62" s="285">
        <f ca="1"/>
        <v>3.7789869337881433E-5</v>
      </c>
      <c r="P62" s="285">
        <f ca="1"/>
        <v>0.85375741183555365</v>
      </c>
      <c r="Q62" s="285">
        <f ca="1"/>
        <v>9.4595915619953133E-2</v>
      </c>
      <c r="R62" s="283">
        <f t="shared" ca="1" si="18"/>
        <v>1.0000000000000007</v>
      </c>
      <c r="S62" s="418">
        <f t="shared" ca="1" si="14"/>
        <v>4.4512862905925252E-2</v>
      </c>
      <c r="U62" s="285">
        <f t="array" aca="1" ref="U62:AD62" ca="1">MMULT(U61:AD61, OFFSET(AB.rngTPMroot, MIN(4, INT(($F61-55)/5))*10, $G62*13))</f>
        <v>5.6299900453946332E-2</v>
      </c>
      <c r="V62" s="285">
        <f ca="1"/>
        <v>0</v>
      </c>
      <c r="W62" s="285">
        <f ca="1"/>
        <v>4.3591642918407877E-2</v>
      </c>
      <c r="X62" s="285">
        <f ca="1"/>
        <v>6.3903019283775113E-3</v>
      </c>
      <c r="Y62" s="285">
        <f ca="1"/>
        <v>6.7240976964906703E-4</v>
      </c>
      <c r="Z62" s="285">
        <f ca="1"/>
        <v>9.8571679339798759E-5</v>
      </c>
      <c r="AA62" s="285">
        <f ca="1"/>
        <v>2.5783704297323426E-4</v>
      </c>
      <c r="AB62" s="285">
        <f ca="1"/>
        <v>3.7797532797811618E-5</v>
      </c>
      <c r="AC62" s="285">
        <f ca="1"/>
        <v>0.79823923120252527</v>
      </c>
      <c r="AD62" s="285">
        <f ca="1"/>
        <v>9.4412307471983842E-2</v>
      </c>
      <c r="AE62" s="283">
        <f t="shared" ca="1" si="19"/>
        <v>1.0000000000000007</v>
      </c>
      <c r="AF62" s="418">
        <f t="shared" ca="1" si="15"/>
        <v>4.4521889731030176E-2</v>
      </c>
    </row>
    <row r="63" spans="1:32" ht="12" customHeight="1" x14ac:dyDescent="0.25">
      <c r="A63" s="262"/>
      <c r="C63" s="263"/>
      <c r="D63" s="62">
        <f t="shared" si="20"/>
        <v>53</v>
      </c>
      <c r="E63" s="63">
        <f t="shared" si="16"/>
        <v>13.25</v>
      </c>
      <c r="F63" s="63">
        <f t="shared" si="21"/>
        <v>68.25</v>
      </c>
      <c r="G63" s="62">
        <f t="shared" si="17"/>
        <v>0</v>
      </c>
      <c r="H63" s="285">
        <f t="array" aca="1" ref="H63:Q63" ca="1">MMULT(H62:Q62, OFFSET(AB.rngTPMroot, MIN(4, INT(($F62-55)/5))*10, $G63*13))</f>
        <v>5.7503409801984786E-4</v>
      </c>
      <c r="I63" s="285">
        <f ca="1"/>
        <v>0</v>
      </c>
      <c r="J63" s="285">
        <f ca="1"/>
        <v>4.3450672439991581E-2</v>
      </c>
      <c r="K63" s="285">
        <f ca="1"/>
        <v>6.3696364094899894E-3</v>
      </c>
      <c r="L63" s="285">
        <f ca="1"/>
        <v>6.7023527195700611E-4</v>
      </c>
      <c r="M63" s="285">
        <f ca="1"/>
        <v>9.8252909597147718E-5</v>
      </c>
      <c r="N63" s="285">
        <f ca="1"/>
        <v>2.5700322692804841E-4</v>
      </c>
      <c r="O63" s="285">
        <f ca="1"/>
        <v>3.7675299820921075E-5</v>
      </c>
      <c r="P63" s="285">
        <f ca="1"/>
        <v>0.85120061396044799</v>
      </c>
      <c r="Q63" s="285">
        <f ca="1"/>
        <v>9.7340876383748179E-2</v>
      </c>
      <c r="R63" s="283">
        <f t="shared" ca="1" si="18"/>
        <v>1.0000000000000007</v>
      </c>
      <c r="S63" s="418">
        <f t="shared" ca="1" si="14"/>
        <v>4.4377910938876636E-2</v>
      </c>
      <c r="U63" s="285">
        <f t="array" aca="1" ref="U63:AD63" ca="1">MMULT(U62:AD62, OFFSET(AB.rngTPMroot, MIN(4, INT(($F62-55)/5))*10, $G63*13))</f>
        <v>5.3206895508641126E-2</v>
      </c>
      <c r="V63" s="285">
        <f ca="1"/>
        <v>0</v>
      </c>
      <c r="W63" s="285">
        <f ca="1"/>
        <v>4.34594838620211E-2</v>
      </c>
      <c r="X63" s="285">
        <f ca="1"/>
        <v>6.3709281168774015E-3</v>
      </c>
      <c r="Y63" s="285">
        <f ca="1"/>
        <v>6.7037118989586976E-4</v>
      </c>
      <c r="Z63" s="285">
        <f ca="1"/>
        <v>9.8272834440734131E-5</v>
      </c>
      <c r="AA63" s="285">
        <f ca="1"/>
        <v>2.5705534496830518E-4</v>
      </c>
      <c r="AB63" s="285">
        <f ca="1"/>
        <v>3.7682940047140135E-5</v>
      </c>
      <c r="AC63" s="285">
        <f ca="1"/>
        <v>0.79874148531293609</v>
      </c>
      <c r="AD63" s="285">
        <f ca="1"/>
        <v>9.7157824890173078E-2</v>
      </c>
      <c r="AE63" s="283">
        <f t="shared" ca="1" si="19"/>
        <v>1.0000000000000009</v>
      </c>
      <c r="AF63" s="418">
        <f t="shared" ca="1" si="15"/>
        <v>4.4386910396885276E-2</v>
      </c>
    </row>
    <row r="64" spans="1:32" ht="12" customHeight="1" x14ac:dyDescent="0.25">
      <c r="A64" s="262"/>
      <c r="C64" s="263"/>
      <c r="D64" s="62">
        <f t="shared" si="20"/>
        <v>54</v>
      </c>
      <c r="E64" s="63">
        <f t="shared" si="16"/>
        <v>13.5</v>
      </c>
      <c r="F64" s="63">
        <f t="shared" si="21"/>
        <v>68.5</v>
      </c>
      <c r="G64" s="62">
        <f t="shared" si="17"/>
        <v>0</v>
      </c>
      <c r="H64" s="285">
        <f t="array" aca="1" ref="H64:Q64" ca="1">MMULT(H63:Q63, OFFSET(AB.rngTPMroot, MIN(4, INT(($F63-55)/5))*10, $G64*13))</f>
        <v>5.4344286438437462E-4</v>
      </c>
      <c r="I64" s="285">
        <f ca="1"/>
        <v>0</v>
      </c>
      <c r="J64" s="285">
        <f ca="1"/>
        <v>4.3318940771153391E-2</v>
      </c>
      <c r="K64" s="285">
        <f ca="1"/>
        <v>6.3503252507208525E-3</v>
      </c>
      <c r="L64" s="285">
        <f ca="1"/>
        <v>6.6820328474182433E-4</v>
      </c>
      <c r="M64" s="285">
        <f ca="1"/>
        <v>9.79550311289304E-5</v>
      </c>
      <c r="N64" s="285">
        <f ca="1"/>
        <v>2.5622405684669271E-4</v>
      </c>
      <c r="O64" s="285">
        <f ca="1"/>
        <v>3.7561077650338045E-5</v>
      </c>
      <c r="P64" s="285">
        <f ca="1"/>
        <v>0.84864983255648097</v>
      </c>
      <c r="Q64" s="285">
        <f ca="1"/>
        <v>0.10007751510689335</v>
      </c>
      <c r="R64" s="283">
        <f t="shared" ca="1" si="18"/>
        <v>1.0000000000000007</v>
      </c>
      <c r="S64" s="418">
        <f t="shared" ca="1" si="14"/>
        <v>4.4243368112741911E-2</v>
      </c>
      <c r="U64" s="285">
        <f t="array" aca="1" ref="U64:AD64" ca="1">MMULT(U63:AD63, OFFSET(AB.rngTPMroot, MIN(4, INT(($F63-55)/5))*10, $G64*13))</f>
        <v>5.028381412473739E-2</v>
      </c>
      <c r="V64" s="285">
        <f ca="1"/>
        <v>0</v>
      </c>
      <c r="W64" s="285">
        <f ca="1"/>
        <v>4.3327725479135396E-2</v>
      </c>
      <c r="X64" s="285">
        <f ca="1"/>
        <v>6.3516130419716344E-3</v>
      </c>
      <c r="Y64" s="285">
        <f ca="1"/>
        <v>6.6833879061118718E-4</v>
      </c>
      <c r="Z64" s="285">
        <f ca="1"/>
        <v>9.797489556532972E-5</v>
      </c>
      <c r="AA64" s="285">
        <f ca="1"/>
        <v>2.5627601687796983E-4</v>
      </c>
      <c r="AB64" s="285">
        <f ca="1"/>
        <v>3.7568694713284949E-5</v>
      </c>
      <c r="AC64" s="285">
        <f ca="1"/>
        <v>0.79908167037631439</v>
      </c>
      <c r="AD64" s="285">
        <f ca="1"/>
        <v>9.9895018580074282E-2</v>
      </c>
      <c r="AE64" s="283">
        <f t="shared" ca="1" si="19"/>
        <v>1.0000000000000009</v>
      </c>
      <c r="AF64" s="418">
        <f t="shared" ca="1" si="15"/>
        <v>4.4252340286624552E-2</v>
      </c>
    </row>
    <row r="65" spans="1:32" ht="12" customHeight="1" x14ac:dyDescent="0.25">
      <c r="A65" s="262"/>
      <c r="C65" s="263"/>
      <c r="D65" s="62">
        <f t="shared" si="20"/>
        <v>55</v>
      </c>
      <c r="E65" s="63">
        <f t="shared" si="16"/>
        <v>13.75</v>
      </c>
      <c r="F65" s="63">
        <f t="shared" si="21"/>
        <v>68.75</v>
      </c>
      <c r="G65" s="62">
        <f t="shared" si="17"/>
        <v>0</v>
      </c>
      <c r="H65" s="285">
        <f t="array" aca="1" ref="H65:Q65" ca="1">MMULT(H64:Q64, OFFSET(AB.rngTPMroot, MIN(4, INT(($F64-55)/5))*10, $G65*13))</f>
        <v>5.135871905114402E-4</v>
      </c>
      <c r="I65" s="285">
        <f ca="1"/>
        <v>0</v>
      </c>
      <c r="J65" s="285">
        <f ca="1"/>
        <v>4.3187608480083163E-2</v>
      </c>
      <c r="K65" s="285">
        <f ca="1"/>
        <v>6.3310726385984954E-3</v>
      </c>
      <c r="L65" s="285">
        <f ca="1"/>
        <v>6.661774580082161E-4</v>
      </c>
      <c r="M65" s="285">
        <f ca="1"/>
        <v>9.7658055754394326E-5</v>
      </c>
      <c r="N65" s="285">
        <f ca="1"/>
        <v>2.5544724901589282E-4</v>
      </c>
      <c r="O65" s="285">
        <f ca="1"/>
        <v>3.7447201773064276E-5</v>
      </c>
      <c r="P65" s="285">
        <f ca="1"/>
        <v>0.846105144706503</v>
      </c>
      <c r="Q65" s="285">
        <f ca="1"/>
        <v>0.10280585701975313</v>
      </c>
      <c r="R65" s="283">
        <f t="shared" ca="1" si="18"/>
        <v>1.0000000000000009</v>
      </c>
      <c r="S65" s="418">
        <f t="shared" ca="1" si="14"/>
        <v>4.4109233187107272E-2</v>
      </c>
      <c r="U65" s="285">
        <f t="array" aca="1" ref="U65:AD65" ca="1">MMULT(U64:AD64, OFFSET(AB.rngTPMroot, MIN(4, INT(($F64-55)/5))*10, $G65*13))</f>
        <v>4.7521321038557898E-2</v>
      </c>
      <c r="V65" s="285">
        <f ca="1"/>
        <v>0</v>
      </c>
      <c r="W65" s="285">
        <f ca="1"/>
        <v>4.3196366555008005E-2</v>
      </c>
      <c r="X65" s="285">
        <f ca="1"/>
        <v>6.3323565255854085E-3</v>
      </c>
      <c r="Y65" s="285">
        <f ca="1"/>
        <v>6.6631255305737037E-4</v>
      </c>
      <c r="Z65" s="285">
        <f ca="1"/>
        <v>9.7677859966746258E-5</v>
      </c>
      <c r="AA65" s="285">
        <f ca="1"/>
        <v>2.5549905151723434E-4</v>
      </c>
      <c r="AB65" s="285">
        <f ca="1"/>
        <v>3.7454795742964351E-5</v>
      </c>
      <c r="AC65" s="285">
        <f ca="1"/>
        <v>0.79926909784339673</v>
      </c>
      <c r="AD65" s="285">
        <f ca="1"/>
        <v>0.10262391377716847</v>
      </c>
      <c r="AE65" s="283">
        <f t="shared" ca="1" si="19"/>
        <v>1.0000000000000009</v>
      </c>
      <c r="AF65" s="418">
        <f t="shared" ca="1" si="15"/>
        <v>4.4118178159582612E-2</v>
      </c>
    </row>
    <row r="66" spans="1:32" ht="12" customHeight="1" x14ac:dyDescent="0.25">
      <c r="A66" s="262"/>
      <c r="C66" s="263"/>
      <c r="D66" s="62">
        <f t="shared" si="20"/>
        <v>56</v>
      </c>
      <c r="E66" s="63">
        <f t="shared" si="16"/>
        <v>14</v>
      </c>
      <c r="F66" s="63">
        <f t="shared" si="21"/>
        <v>69</v>
      </c>
      <c r="G66" s="62">
        <f t="shared" si="17"/>
        <v>0</v>
      </c>
      <c r="H66" s="285">
        <f t="array" aca="1" ref="H66:Q66" ca="1">MMULT(H65:Q65, OFFSET(AB.rngTPMroot, MIN(4, INT(($F65-55)/5))*10, $G66*13))</f>
        <v>4.8537172818754646E-4</v>
      </c>
      <c r="I66" s="285">
        <f ca="1"/>
        <v>0</v>
      </c>
      <c r="J66" s="285">
        <f ca="1"/>
        <v>4.3056674355966482E-2</v>
      </c>
      <c r="K66" s="285">
        <f ca="1"/>
        <v>6.3118783956240022E-3</v>
      </c>
      <c r="L66" s="285">
        <f ca="1"/>
        <v>6.6415777307912791E-4</v>
      </c>
      <c r="M66" s="285">
        <f ca="1"/>
        <v>9.7361980735583407E-5</v>
      </c>
      <c r="N66" s="285">
        <f ca="1"/>
        <v>2.5467279627389079E-4</v>
      </c>
      <c r="O66" s="285">
        <f ca="1"/>
        <v>3.7333671139224283E-5</v>
      </c>
      <c r="P66" s="285">
        <f ca="1"/>
        <v>0.84356662202279509</v>
      </c>
      <c r="Q66" s="285">
        <f ca="1"/>
        <v>0.1055259272761998</v>
      </c>
      <c r="R66" s="283">
        <f t="shared" ca="1" si="18"/>
        <v>1.0000000000000009</v>
      </c>
      <c r="S66" s="418">
        <f t="shared" ca="1" si="14"/>
        <v>4.39755049253195E-2</v>
      </c>
      <c r="U66" s="285">
        <f t="array" aca="1" ref="U66:AD66" ca="1">MMULT(U65:AD65, OFFSET(AB.rngTPMroot, MIN(4, INT(($F65-55)/5))*10, $G66*13))</f>
        <v>4.4910593847309499E-2</v>
      </c>
      <c r="V66" s="285">
        <f ca="1"/>
        <v>0</v>
      </c>
      <c r="W66" s="285">
        <f ca="1"/>
        <v>4.3065405878578988E-2</v>
      </c>
      <c r="X66" s="285">
        <f ca="1"/>
        <v>6.3131583901838047E-3</v>
      </c>
      <c r="Y66" s="285">
        <f ca="1"/>
        <v>6.6429245855357871E-4</v>
      </c>
      <c r="Z66" s="285">
        <f ca="1"/>
        <v>9.7381724906472273E-5</v>
      </c>
      <c r="AA66" s="285">
        <f ca="1"/>
        <v>2.5472444172288831E-4</v>
      </c>
      <c r="AB66" s="285">
        <f ca="1"/>
        <v>3.7341242086089924E-5</v>
      </c>
      <c r="AC66" s="285">
        <f ca="1"/>
        <v>0.7993125663762306</v>
      </c>
      <c r="AD66" s="285">
        <f ca="1"/>
        <v>0.10534453564042888</v>
      </c>
      <c r="AE66" s="283">
        <f t="shared" ca="1" si="19"/>
        <v>1.0000000000000007</v>
      </c>
      <c r="AF66" s="418">
        <f t="shared" ca="1" si="15"/>
        <v>4.3984422778855455E-2</v>
      </c>
    </row>
    <row r="67" spans="1:32" ht="12" customHeight="1" x14ac:dyDescent="0.25">
      <c r="A67" s="262"/>
      <c r="C67" s="263"/>
      <c r="D67" s="62">
        <f t="shared" si="20"/>
        <v>57</v>
      </c>
      <c r="E67" s="63">
        <f t="shared" si="16"/>
        <v>14.25</v>
      </c>
      <c r="F67" s="63">
        <f t="shared" si="21"/>
        <v>69.25</v>
      </c>
      <c r="G67" s="62">
        <f t="shared" si="17"/>
        <v>0</v>
      </c>
      <c r="H67" s="285">
        <f t="array" aca="1" ref="H67:Q67" ca="1">MMULT(H66:Q66, OFFSET(AB.rngTPMroot, MIN(4, INT(($F66-55)/5))*10, $G67*13))</f>
        <v>4.5870636744106609E-4</v>
      </c>
      <c r="I67" s="285">
        <f ca="1"/>
        <v>0</v>
      </c>
      <c r="J67" s="285">
        <f ca="1"/>
        <v>4.292613719165983E-2</v>
      </c>
      <c r="K67" s="285">
        <f ca="1"/>
        <v>6.2927423448365834E-3</v>
      </c>
      <c r="L67" s="285">
        <f ca="1"/>
        <v>6.6214421133413079E-4</v>
      </c>
      <c r="M67" s="285">
        <f ca="1"/>
        <v>9.7066803342842195E-5</v>
      </c>
      <c r="N67" s="285">
        <f ca="1"/>
        <v>2.5390069148064097E-4</v>
      </c>
      <c r="O67" s="285">
        <f ca="1"/>
        <v>3.7220484702125576E-5</v>
      </c>
      <c r="P67" s="285">
        <f ca="1"/>
        <v>0.84103433095135816</v>
      </c>
      <c r="Q67" s="285">
        <f ca="1"/>
        <v>0.10823775095384533</v>
      </c>
      <c r="R67" s="283">
        <f t="shared" ca="1" si="18"/>
        <v>1.0000000000000007</v>
      </c>
      <c r="S67" s="418">
        <f t="shared" ca="1" si="14"/>
        <v>4.3842182094474602E-2</v>
      </c>
      <c r="U67" s="285">
        <f t="array" aca="1" ref="U67:AD67" ca="1">MMULT(U66:AD66, OFFSET(AB.rngTPMroot, MIN(4, INT(($F66-55)/5))*10, $G67*13))</f>
        <v>4.2443294833522612E-2</v>
      </c>
      <c r="V67" s="285">
        <f ca="1"/>
        <v>0</v>
      </c>
      <c r="W67" s="285">
        <f ca="1"/>
        <v>4.2934842242460032E-2</v>
      </c>
      <c r="X67" s="285">
        <f ca="1"/>
        <v>6.2940184587701488E-3</v>
      </c>
      <c r="Y67" s="285">
        <f ca="1"/>
        <v>6.6227848847560727E-4</v>
      </c>
      <c r="Z67" s="285">
        <f ca="1"/>
        <v>9.7086487654298858E-5</v>
      </c>
      <c r="AA67" s="285">
        <f ca="1"/>
        <v>2.5395218035343834E-4</v>
      </c>
      <c r="AB67" s="285">
        <f ca="1"/>
        <v>3.7228032695756899E-5</v>
      </c>
      <c r="AC67" s="285">
        <f ca="1"/>
        <v>0.79922039002351597</v>
      </c>
      <c r="AD67" s="285">
        <f ca="1"/>
        <v>0.10805690925255301</v>
      </c>
      <c r="AE67" s="283">
        <f t="shared" ca="1" si="19"/>
        <v>1.0000000000000009</v>
      </c>
      <c r="AF67" s="418">
        <f t="shared" ca="1" si="15"/>
        <v>4.3851072911289077E-2</v>
      </c>
    </row>
    <row r="68" spans="1:32" ht="12" customHeight="1" x14ac:dyDescent="0.25">
      <c r="A68" s="262"/>
      <c r="C68" s="263"/>
      <c r="D68" s="62">
        <f t="shared" si="20"/>
        <v>58</v>
      </c>
      <c r="E68" s="63">
        <f t="shared" si="16"/>
        <v>14.5</v>
      </c>
      <c r="F68" s="63">
        <f t="shared" si="21"/>
        <v>69.5</v>
      </c>
      <c r="G68" s="62">
        <f t="shared" si="17"/>
        <v>0</v>
      </c>
      <c r="H68" s="285">
        <f t="array" aca="1" ref="H68:Q68" ca="1">MMULT(H67:Q67, OFFSET(AB.rngTPMroot, MIN(4, INT(($F67-55)/5))*10, $G68*13))</f>
        <v>4.3350594876361611E-4</v>
      </c>
      <c r="I68" s="285">
        <f ca="1"/>
        <v>0</v>
      </c>
      <c r="J68" s="285">
        <f ca="1"/>
        <v>4.2795995783679465E-2</v>
      </c>
      <c r="K68" s="285">
        <f ca="1"/>
        <v>6.2736643098119504E-3</v>
      </c>
      <c r="L68" s="285">
        <f ca="1"/>
        <v>6.6013675420924863E-4</v>
      </c>
      <c r="M68" s="285">
        <f ca="1"/>
        <v>9.6772520854790939E-5</v>
      </c>
      <c r="N68" s="285">
        <f ca="1"/>
        <v>2.5313092751774475E-4</v>
      </c>
      <c r="O68" s="285">
        <f ca="1"/>
        <v>3.7107641418248934E-5</v>
      </c>
      <c r="P68" s="285">
        <f ca="1"/>
        <v>0.83850833305947303</v>
      </c>
      <c r="Q68" s="285">
        <f ca="1"/>
        <v>0.11094135305427259</v>
      </c>
      <c r="R68" s="283">
        <f t="shared" ca="1" si="18"/>
        <v>1.0000000000000007</v>
      </c>
      <c r="S68" s="418">
        <f t="shared" ca="1" si="14"/>
        <v>4.3709263465406462E-2</v>
      </c>
      <c r="U68" s="285">
        <f t="array" aca="1" ref="U68:AD68" ca="1">MMULT(U67:AD67, OFFSET(AB.rngTPMroot, MIN(4, INT(($F67-55)/5))*10, $G68*13))</f>
        <v>4.011154433740019E-2</v>
      </c>
      <c r="V68" s="285">
        <f ca="1"/>
        <v>0</v>
      </c>
      <c r="W68" s="285">
        <f ca="1"/>
        <v>4.2804674442923352E-2</v>
      </c>
      <c r="X68" s="285">
        <f ca="1"/>
        <v>6.2749365548843755E-3</v>
      </c>
      <c r="Y68" s="285">
        <f ca="1"/>
        <v>6.6027062425571517E-4</v>
      </c>
      <c r="Z68" s="285">
        <f ca="1"/>
        <v>9.6792145488294376E-5</v>
      </c>
      <c r="AA68" s="285">
        <f ca="1"/>
        <v>2.5318226028904229E-4</v>
      </c>
      <c r="AB68" s="285">
        <f ca="1"/>
        <v>3.7115166528234466E-5</v>
      </c>
      <c r="AC68" s="285">
        <f ca="1"/>
        <v>0.7990004248480379</v>
      </c>
      <c r="AD68" s="285">
        <f ca="1"/>
        <v>0.11076105962019385</v>
      </c>
      <c r="AE68" s="283">
        <f t="shared" ca="1" si="19"/>
        <v>1.0000000000000009</v>
      </c>
      <c r="AF68" s="418">
        <f t="shared" ca="1" si="15"/>
        <v>4.3718127327468111E-2</v>
      </c>
    </row>
    <row r="69" spans="1:32" ht="12" customHeight="1" x14ac:dyDescent="0.25">
      <c r="A69" s="262"/>
      <c r="C69" s="263"/>
      <c r="D69" s="62">
        <f t="shared" si="20"/>
        <v>59</v>
      </c>
      <c r="E69" s="63">
        <f t="shared" si="16"/>
        <v>14.75</v>
      </c>
      <c r="F69" s="63">
        <f t="shared" si="21"/>
        <v>69.75</v>
      </c>
      <c r="G69" s="62">
        <f t="shared" si="17"/>
        <v>0</v>
      </c>
      <c r="H69" s="285">
        <f t="array" aca="1" ref="H69:Q69" ca="1">MMULT(H68:Q68, OFFSET(AB.rngTPMroot, MIN(4, INT(($F68-55)/5))*10, $G69*13))</f>
        <v>4.0968999114141924E-4</v>
      </c>
      <c r="I69" s="285">
        <f ca="1"/>
        <v>0</v>
      </c>
      <c r="J69" s="285">
        <f ca="1"/>
        <v>4.2666248932190308E-2</v>
      </c>
      <c r="K69" s="285">
        <f ca="1"/>
        <v>6.2546441146606908E-3</v>
      </c>
      <c r="L69" s="285">
        <f ca="1"/>
        <v>6.5813538319678616E-4</v>
      </c>
      <c r="M69" s="285">
        <f ca="1"/>
        <v>9.6479130558300481E-5</v>
      </c>
      <c r="N69" s="285">
        <f ca="1"/>
        <v>2.5236349728838476E-4</v>
      </c>
      <c r="O69" s="285">
        <f ca="1"/>
        <v>3.6995140247238845E-5</v>
      </c>
      <c r="P69" s="285">
        <f ca="1"/>
        <v>0.83598868530745174</v>
      </c>
      <c r="Q69" s="285">
        <f ca="1"/>
        <v>0.11363675850326585</v>
      </c>
      <c r="R69" s="283">
        <f t="shared" ca="1" si="18"/>
        <v>1.0000000000000007</v>
      </c>
      <c r="S69" s="418">
        <f t="shared" ca="1" si="14"/>
        <v>4.3576747812675475E-2</v>
      </c>
      <c r="U69" s="285">
        <f t="array" aca="1" ref="U69:AD69" ca="1">MMULT(U68:AD68, OFFSET(AB.rngTPMroot, MIN(4, INT(($F68-55)/5))*10, $G69*13))</f>
        <v>3.7907895592037062E-2</v>
      </c>
      <c r="V69" s="285">
        <f ca="1"/>
        <v>0</v>
      </c>
      <c r="W69" s="285">
        <f ca="1"/>
        <v>4.2674901279890515E-2</v>
      </c>
      <c r="X69" s="285">
        <f ca="1"/>
        <v>6.2559125026014064E-3</v>
      </c>
      <c r="Y69" s="285">
        <f ca="1"/>
        <v>6.5826884738245386E-4</v>
      </c>
      <c r="Z69" s="285">
        <f ca="1"/>
        <v>9.6498695694779464E-5</v>
      </c>
      <c r="AA69" s="285">
        <f ca="1"/>
        <v>2.5241467443144349E-4</v>
      </c>
      <c r="AB69" s="285">
        <f ca="1"/>
        <v>3.7002642542956148E-5</v>
      </c>
      <c r="AC69" s="285">
        <f ca="1"/>
        <v>0.79866009409122996</v>
      </c>
      <c r="AD69" s="285">
        <f ca="1"/>
        <v>0.11345701167419039</v>
      </c>
      <c r="AE69" s="283">
        <f t="shared" ca="1" si="19"/>
        <v>1.0000000000000009</v>
      </c>
      <c r="AF69" s="418">
        <f t="shared" ca="1" si="15"/>
        <v>4.3585584801704408E-2</v>
      </c>
    </row>
    <row r="70" spans="1:32" ht="12" customHeight="1" x14ac:dyDescent="0.25">
      <c r="A70" s="262"/>
      <c r="C70" s="263"/>
      <c r="D70" s="62">
        <f t="shared" si="20"/>
        <v>60</v>
      </c>
      <c r="E70" s="63">
        <f t="shared" si="16"/>
        <v>15</v>
      </c>
      <c r="F70" s="63">
        <f t="shared" si="21"/>
        <v>70</v>
      </c>
      <c r="G70" s="62">
        <f t="shared" si="17"/>
        <v>0</v>
      </c>
      <c r="H70" s="285">
        <f t="array" aca="1" ref="H70:Q70" ca="1">MMULT(H69:Q69, OFFSET(AB.rngTPMroot, MIN(4, INT(($F69-55)/5))*10, $G70*13))</f>
        <v>3.8718243502808275E-4</v>
      </c>
      <c r="I70" s="285">
        <f ca="1"/>
        <v>0</v>
      </c>
      <c r="J70" s="285">
        <f ca="1"/>
        <v>4.2536895440994857E-2</v>
      </c>
      <c r="K70" s="285">
        <f ca="1"/>
        <v>6.2356815840266481E-3</v>
      </c>
      <c r="L70" s="285">
        <f ca="1"/>
        <v>6.5614007984515896E-4</v>
      </c>
      <c r="M70" s="285">
        <f ca="1"/>
        <v>9.6186629748467136E-5</v>
      </c>
      <c r="N70" s="285">
        <f ca="1"/>
        <v>2.5159839371725933E-4</v>
      </c>
      <c r="O70" s="285">
        <f ca="1"/>
        <v>3.6882980151893903E-5</v>
      </c>
      <c r="P70" s="285">
        <f ca="1"/>
        <v>0.83347544030544785</v>
      </c>
      <c r="Q70" s="285">
        <f ca="1"/>
        <v>0.11632399215104057</v>
      </c>
      <c r="R70" s="283">
        <f t="shared" ca="1" si="18"/>
        <v>1.0000000000000007</v>
      </c>
      <c r="S70" s="418">
        <f t="shared" ca="1" si="14"/>
        <v>4.3444633914557274E-2</v>
      </c>
      <c r="U70" s="285">
        <f t="array" aca="1" ref="U70:AD70" ca="1">MMULT(U69:AD69, OFFSET(AB.rngTPMroot, MIN(4, INT(($F69-55)/5))*10, $G70*13))</f>
        <v>3.5825310941142441E-2</v>
      </c>
      <c r="V70" s="285">
        <f ca="1"/>
        <v>0</v>
      </c>
      <c r="W70" s="285">
        <f ca="1"/>
        <v>4.2545521556921477E-2</v>
      </c>
      <c r="X70" s="285">
        <f ca="1"/>
        <v>6.2369461265295179E-3</v>
      </c>
      <c r="Y70" s="285">
        <f ca="1"/>
        <v>6.5627313940049708E-4</v>
      </c>
      <c r="Z70" s="285">
        <f ca="1"/>
        <v>9.6206135568301871E-5</v>
      </c>
      <c r="AA70" s="285">
        <f ca="1"/>
        <v>2.5164941570390544E-4</v>
      </c>
      <c r="AB70" s="285">
        <f ca="1"/>
        <v>3.689045970251017E-5</v>
      </c>
      <c r="AC70" s="285">
        <f ca="1"/>
        <v>0.79820641195523478</v>
      </c>
      <c r="AD70" s="285">
        <f ca="1"/>
        <v>0.11614479026979752</v>
      </c>
      <c r="AE70" s="283">
        <f t="shared" ca="1" si="19"/>
        <v>1.0000000000000009</v>
      </c>
      <c r="AF70" s="418">
        <f t="shared" ca="1" si="15"/>
        <v>4.3453444112025882E-2</v>
      </c>
    </row>
    <row r="71" spans="1:32" ht="12" customHeight="1" x14ac:dyDescent="0.25">
      <c r="A71" s="262"/>
      <c r="C71" s="263"/>
      <c r="D71" s="62">
        <f t="shared" si="20"/>
        <v>61</v>
      </c>
      <c r="E71" s="63">
        <f t="shared" si="16"/>
        <v>15.25</v>
      </c>
      <c r="F71" s="63">
        <f t="shared" si="21"/>
        <v>70.25</v>
      </c>
      <c r="G71" s="62">
        <f t="shared" si="17"/>
        <v>0</v>
      </c>
      <c r="H71" s="285">
        <f t="array" aca="1" ref="H71:Q71" ca="1">MMULT(H70:Q70, OFFSET(AB.rngTPMroot, MIN(4, INT(($F70-55)/5))*10, $G71*13))</f>
        <v>3.6525571845657287E-4</v>
      </c>
      <c r="I71" s="285">
        <f ca="1"/>
        <v>0</v>
      </c>
      <c r="J71" s="285">
        <f ca="1"/>
        <v>4.2407934117522229E-2</v>
      </c>
      <c r="K71" s="285">
        <f ca="1"/>
        <v>6.2167765430852949E-3</v>
      </c>
      <c r="L71" s="285">
        <f ca="1"/>
        <v>6.541508257587237E-4</v>
      </c>
      <c r="M71" s="285">
        <f ca="1"/>
        <v>9.5895015728587801E-5</v>
      </c>
      <c r="N71" s="285">
        <f ca="1"/>
        <v>2.5083560975051742E-4</v>
      </c>
      <c r="O71" s="285">
        <f ca="1"/>
        <v>3.6771160098157229E-5</v>
      </c>
      <c r="P71" s="285">
        <f ca="1"/>
        <v>0.82945478341536449</v>
      </c>
      <c r="Q71" s="285">
        <f ca="1"/>
        <v>0.12051759759423619</v>
      </c>
      <c r="R71" s="283">
        <f t="shared" ca="1" si="18"/>
        <v>1.0000000000000009</v>
      </c>
      <c r="S71" s="418">
        <f t="shared" ca="1" si="14"/>
        <v>4.3312920553031473E-2</v>
      </c>
      <c r="U71" s="285">
        <f t="array" aca="1" ref="U71:AD71" ca="1">MMULT(U70:AD70, OFFSET(AB.rngTPMroot, MIN(4, INT(($F70-55)/5))*10, $G71*13))</f>
        <v>3.3796470353279338E-2</v>
      </c>
      <c r="V71" s="285">
        <f ca="1"/>
        <v>0</v>
      </c>
      <c r="W71" s="285">
        <f ca="1"/>
        <v>4.2416534081203487E-2</v>
      </c>
      <c r="X71" s="285">
        <f ca="1"/>
        <v>6.2180372518087354E-3</v>
      </c>
      <c r="Y71" s="285">
        <f ca="1"/>
        <v>6.5428348191047103E-4</v>
      </c>
      <c r="Z71" s="285">
        <f ca="1"/>
        <v>9.5914462411611636E-5</v>
      </c>
      <c r="AA71" s="285">
        <f ca="1"/>
        <v>2.5088647705114666E-4</v>
      </c>
      <c r="AB71" s="285">
        <f ca="1"/>
        <v>3.677861697262996E-5</v>
      </c>
      <c r="AC71" s="285">
        <f ca="1"/>
        <v>0.79619184913531582</v>
      </c>
      <c r="AD71" s="285">
        <f ca="1"/>
        <v>0.12033924614004778</v>
      </c>
      <c r="AE71" s="283">
        <f t="shared" ca="1" si="19"/>
        <v>1.0000000000000011</v>
      </c>
      <c r="AF71" s="418">
        <f t="shared" ca="1" si="15"/>
        <v>4.3321704040165103E-2</v>
      </c>
    </row>
    <row r="72" spans="1:32" ht="12" customHeight="1" x14ac:dyDescent="0.25">
      <c r="A72" s="262"/>
      <c r="C72" s="263"/>
      <c r="D72" s="62">
        <f t="shared" si="20"/>
        <v>62</v>
      </c>
      <c r="E72" s="63">
        <f t="shared" si="16"/>
        <v>15.5</v>
      </c>
      <c r="F72" s="63">
        <f t="shared" si="21"/>
        <v>70.5</v>
      </c>
      <c r="G72" s="62">
        <f t="shared" si="17"/>
        <v>0</v>
      </c>
      <c r="H72" s="285">
        <f t="array" aca="1" ref="H72:Q72" ca="1">MMULT(H71:Q71, OFFSET(AB.rngTPMroot, MIN(4, INT(($F71-55)/5))*10, $G72*13))</f>
        <v>3.445707444232348E-4</v>
      </c>
      <c r="I72" s="285">
        <f ca="1"/>
        <v>0</v>
      </c>
      <c r="J72" s="285">
        <f ca="1"/>
        <v>4.2202339557243021E-2</v>
      </c>
      <c r="K72" s="285">
        <f ca="1"/>
        <v>6.1979288175421365E-3</v>
      </c>
      <c r="L72" s="285">
        <f ca="1"/>
        <v>6.5097948873944224E-4</v>
      </c>
      <c r="M72" s="285">
        <f ca="1"/>
        <v>9.5604285810135204E-5</v>
      </c>
      <c r="N72" s="285">
        <f ca="1"/>
        <v>2.4961955341666939E-4</v>
      </c>
      <c r="O72" s="285">
        <f ca="1"/>
        <v>3.6659679055106954E-5</v>
      </c>
      <c r="P72" s="285">
        <f ca="1"/>
        <v>0.82553091034536352</v>
      </c>
      <c r="Q72" s="285">
        <f ca="1"/>
        <v>0.12469138752840749</v>
      </c>
      <c r="R72" s="283">
        <f t="shared" ca="1" si="18"/>
        <v>1.0000000000000009</v>
      </c>
      <c r="S72" s="418">
        <f t="shared" ca="1" si="14"/>
        <v>4.3102938599399128E-2</v>
      </c>
      <c r="U72" s="285">
        <f t="array" aca="1" ref="U72:AD72" ca="1">MMULT(U71:AD71, OFFSET(AB.rngTPMroot, MIN(4, INT(($F71-55)/5))*10, $G72*13))</f>
        <v>3.1882526022359359E-2</v>
      </c>
      <c r="V72" s="285">
        <f ca="1"/>
        <v>0</v>
      </c>
      <c r="W72" s="285">
        <f ca="1"/>
        <v>4.2210897828118717E-2</v>
      </c>
      <c r="X72" s="285">
        <f ca="1"/>
        <v>6.1991857041092157E-3</v>
      </c>
      <c r="Y72" s="285">
        <f ca="1"/>
        <v>6.5111150177136427E-4</v>
      </c>
      <c r="Z72" s="285">
        <f ca="1"/>
        <v>9.5623673535636297E-5</v>
      </c>
      <c r="AA72" s="285">
        <f ca="1"/>
        <v>2.4967017411155082E-4</v>
      </c>
      <c r="AB72" s="285">
        <f ca="1"/>
        <v>3.6667113322184589E-5</v>
      </c>
      <c r="AC72" s="285">
        <f ca="1"/>
        <v>0.79416043549981374</v>
      </c>
      <c r="AD72" s="285">
        <f ca="1"/>
        <v>0.1245138824828592</v>
      </c>
      <c r="AE72" s="283">
        <f t="shared" ca="1" si="19"/>
        <v>1.0000000000000009</v>
      </c>
      <c r="AF72" s="418">
        <f t="shared" ca="1" si="15"/>
        <v>4.3111679504001632E-2</v>
      </c>
    </row>
    <row r="73" spans="1:32" ht="12" customHeight="1" x14ac:dyDescent="0.25">
      <c r="A73" s="262"/>
      <c r="C73" s="263"/>
      <c r="D73" s="62">
        <f t="shared" si="20"/>
        <v>63</v>
      </c>
      <c r="E73" s="63">
        <f t="shared" si="16"/>
        <v>15.75</v>
      </c>
      <c r="F73" s="63">
        <f t="shared" si="21"/>
        <v>70.75</v>
      </c>
      <c r="G73" s="62">
        <f t="shared" si="17"/>
        <v>0</v>
      </c>
      <c r="H73" s="285">
        <f t="array" aca="1" ref="H73:Q73" ca="1">MMULT(H72:Q72, OFFSET(AB.rngTPMroot, MIN(4, INT(($F72-55)/5))*10, $G73*13))</f>
        <v>3.2505719120315017E-4</v>
      </c>
      <c r="I73" s="285">
        <f ca="1"/>
        <v>0</v>
      </c>
      <c r="J73" s="285">
        <f ca="1"/>
        <v>4.2001730304480997E-2</v>
      </c>
      <c r="K73" s="285">
        <f ca="1"/>
        <v>6.1678811277312362E-3</v>
      </c>
      <c r="L73" s="285">
        <f ca="1"/>
        <v>6.4788505108102066E-4</v>
      </c>
      <c r="M73" s="285">
        <f ca="1"/>
        <v>9.5140794213315787E-5</v>
      </c>
      <c r="N73" s="285">
        <f ca="1"/>
        <v>2.4843298431621023E-4</v>
      </c>
      <c r="O73" s="285">
        <f ca="1"/>
        <v>3.6481952156776457E-5</v>
      </c>
      <c r="P73" s="285">
        <f ca="1"/>
        <v>0.8216320143447674</v>
      </c>
      <c r="Q73" s="285">
        <f ca="1"/>
        <v>0.12884537625005063</v>
      </c>
      <c r="R73" s="283">
        <f t="shared" ca="1" si="18"/>
        <v>1.0000000000000007</v>
      </c>
      <c r="S73" s="418">
        <f t="shared" ca="1" si="14"/>
        <v>4.2898048339878231E-2</v>
      </c>
      <c r="U73" s="285">
        <f t="array" aca="1" ref="U73:AD73" ca="1">MMULT(U72:AD72, OFFSET(AB.rngTPMroot, MIN(4, INT(($F72-55)/5))*10, $G73*13))</f>
        <v>3.0076971202638889E-2</v>
      </c>
      <c r="V73" s="285">
        <f ca="1"/>
        <v>0</v>
      </c>
      <c r="W73" s="285">
        <f ca="1"/>
        <v>4.2010247893528543E-2</v>
      </c>
      <c r="X73" s="285">
        <f ca="1"/>
        <v>6.1691319208856919E-3</v>
      </c>
      <c r="Y73" s="285">
        <f ca="1"/>
        <v>6.4801643658764512E-4</v>
      </c>
      <c r="Z73" s="285">
        <f ca="1"/>
        <v>9.5160087946714192E-5</v>
      </c>
      <c r="AA73" s="285">
        <f ca="1"/>
        <v>2.4848336438510079E-4</v>
      </c>
      <c r="AB73" s="285">
        <f ca="1"/>
        <v>3.6489350382370283E-5</v>
      </c>
      <c r="AC73" s="285">
        <f ca="1"/>
        <v>0.79204678614601887</v>
      </c>
      <c r="AD73" s="285">
        <f ca="1"/>
        <v>0.12866871359762716</v>
      </c>
      <c r="AE73" s="283">
        <f t="shared" ca="1" si="19"/>
        <v>1.0000000000000009</v>
      </c>
      <c r="AF73" s="418">
        <f t="shared" ca="1" si="15"/>
        <v>4.2906747694501285E-2</v>
      </c>
    </row>
    <row r="74" spans="1:32" ht="12" customHeight="1" x14ac:dyDescent="0.25">
      <c r="A74" s="262"/>
      <c r="C74" s="263"/>
      <c r="D74" s="62">
        <f t="shared" si="20"/>
        <v>64</v>
      </c>
      <c r="E74" s="63">
        <f t="shared" ref="E74:E105" si="22">D74*AB.cycleLength</f>
        <v>16</v>
      </c>
      <c r="F74" s="63">
        <f t="shared" si="21"/>
        <v>71</v>
      </c>
      <c r="G74" s="62">
        <f t="shared" ref="G74:G105" si="23">IF(AND(E73&lt;AB.maxDurHPE, E74&gt;=AB.maxDurHPE), 1, 0)</f>
        <v>0</v>
      </c>
      <c r="H74" s="285">
        <f t="array" aca="1" ref="H74:Q74" ca="1">MMULT(H73:Q73, OFFSET(AB.rngTPMroot, MIN(4, INT(($F73-55)/5))*10, $G74*13))</f>
        <v>3.0664871949516676E-4</v>
      </c>
      <c r="I74" s="285">
        <f ca="1"/>
        <v>0</v>
      </c>
      <c r="J74" s="285">
        <f ca="1"/>
        <v>4.1802450891215551E-2</v>
      </c>
      <c r="K74" s="285">
        <f ca="1"/>
        <v>6.1385620417009268E-3</v>
      </c>
      <c r="L74" s="285">
        <f ca="1"/>
        <v>6.4481112646156042E-4</v>
      </c>
      <c r="M74" s="285">
        <f ca="1"/>
        <v>9.468854147485253E-5</v>
      </c>
      <c r="N74" s="285">
        <f ca="1"/>
        <v>2.4725428098681349E-4</v>
      </c>
      <c r="O74" s="285">
        <f ca="1"/>
        <v>3.6308534824034891E-5</v>
      </c>
      <c r="P74" s="285">
        <f ca="1"/>
        <v>0.81774962563771481</v>
      </c>
      <c r="Q74" s="285">
        <f ca="1"/>
        <v>0.13297965022612707</v>
      </c>
      <c r="R74" s="283">
        <f t="shared" ref="R74:R105" ca="1" si="24">SUM(H74:Q74)</f>
        <v>1.0000000000000009</v>
      </c>
      <c r="S74" s="418">
        <f t="shared" ca="1" si="14"/>
        <v>4.2694516298663922E-2</v>
      </c>
      <c r="U74" s="285">
        <f t="array" aca="1" ref="U74:AD74" ca="1">MMULT(U73:AD73, OFFSET(AB.rngTPMroot, MIN(4, INT(($F73-55)/5))*10, $G74*13))</f>
        <v>2.8373667635053508E-2</v>
      </c>
      <c r="V74" s="285">
        <f ca="1"/>
        <v>0</v>
      </c>
      <c r="W74" s="285">
        <f ca="1"/>
        <v>4.1810928068114948E-2</v>
      </c>
      <c r="X74" s="285">
        <f ca="1"/>
        <v>6.139806889197328E-3</v>
      </c>
      <c r="Y74" s="285">
        <f ca="1"/>
        <v>6.4494188860275486E-4</v>
      </c>
      <c r="Z74" s="285">
        <f ca="1"/>
        <v>9.4707743495291876E-5</v>
      </c>
      <c r="AA74" s="285">
        <f ca="1"/>
        <v>2.4730442202482373E-4</v>
      </c>
      <c r="AB74" s="285">
        <f ca="1"/>
        <v>3.6315897882087684E-5</v>
      </c>
      <c r="AC74" s="285">
        <f ca="1"/>
        <v>0.78984850148678232</v>
      </c>
      <c r="AD74" s="285">
        <f ca="1"/>
        <v>0.13280382596884785</v>
      </c>
      <c r="AE74" s="283">
        <f t="shared" ref="AE74:AE105" ca="1" si="25">SUM(U74:AD74)</f>
        <v>1.0000000000000009</v>
      </c>
      <c r="AF74" s="418">
        <f t="shared" ca="1" si="15"/>
        <v>4.2703174378742527E-2</v>
      </c>
    </row>
    <row r="75" spans="1:32" ht="12" customHeight="1" x14ac:dyDescent="0.25">
      <c r="A75" s="262"/>
      <c r="C75" s="263"/>
      <c r="D75" s="62">
        <f t="shared" ref="D75:D106" si="26">D74+1</f>
        <v>65</v>
      </c>
      <c r="E75" s="63">
        <f t="shared" si="22"/>
        <v>16.25</v>
      </c>
      <c r="F75" s="63">
        <f t="shared" ref="F75:F106" si="27">F74+AB.cycleLength</f>
        <v>71.25</v>
      </c>
      <c r="G75" s="62">
        <f t="shared" si="23"/>
        <v>0</v>
      </c>
      <c r="H75" s="285">
        <f t="array" aca="1" ref="H75:Q75" ca="1">MMULT(H74:Q74, OFFSET(AB.rngTPMroot, MIN(4, INT(($F74-55)/5))*10, $G75*13))</f>
        <v>2.8928274689132361E-4</v>
      </c>
      <c r="I75" s="285">
        <f ca="1"/>
        <v>0</v>
      </c>
      <c r="J75" s="285">
        <f ca="1"/>
        <v>4.1604067194367468E-2</v>
      </c>
      <c r="K75" s="285">
        <f ca="1"/>
        <v>6.1094373120029882E-3</v>
      </c>
      <c r="L75" s="285">
        <f ca="1"/>
        <v>6.4175101844614487E-4</v>
      </c>
      <c r="M75" s="285">
        <f ca="1"/>
        <v>9.423928672150597E-5</v>
      </c>
      <c r="N75" s="285">
        <f ca="1"/>
        <v>2.4608087566540475E-4</v>
      </c>
      <c r="O75" s="285">
        <f ca="1"/>
        <v>3.6136267075449078E-5</v>
      </c>
      <c r="P75" s="285">
        <f ca="1"/>
        <v>0.813884701286965</v>
      </c>
      <c r="Q75" s="285">
        <f ca="1"/>
        <v>0.13709430401186554</v>
      </c>
      <c r="R75" s="283">
        <f t="shared" ca="1" si="24"/>
        <v>1.0000000000000009</v>
      </c>
      <c r="S75" s="418">
        <f t="shared" ref="S75:S130" ca="1" si="28">SUM(J75,L75,N75)</f>
        <v>4.2491899088479015E-2</v>
      </c>
      <c r="U75" s="285">
        <f t="array" aca="1" ref="U75:AD75" ca="1">MMULT(U74:AD74, OFFSET(AB.rngTPMroot, MIN(4, INT(($F74-55)/5))*10, $G75*13))</f>
        <v>2.676682467926984E-2</v>
      </c>
      <c r="V75" s="285">
        <f ca="1"/>
        <v>0</v>
      </c>
      <c r="W75" s="285">
        <f ca="1"/>
        <v>4.1612504140762278E-2</v>
      </c>
      <c r="X75" s="285">
        <f ca="1"/>
        <v>6.1106762532551276E-3</v>
      </c>
      <c r="Y75" s="285">
        <f ca="1"/>
        <v>6.4188116002379756E-4</v>
      </c>
      <c r="Z75" s="285">
        <f ca="1"/>
        <v>9.4258397636951799E-5</v>
      </c>
      <c r="AA75" s="285">
        <f ca="1"/>
        <v>2.4613077874692502E-4</v>
      </c>
      <c r="AB75" s="285">
        <f ca="1"/>
        <v>3.6143595199086601E-5</v>
      </c>
      <c r="AC75" s="285">
        <f ca="1"/>
        <v>0.78757226682418191</v>
      </c>
      <c r="AD75" s="285">
        <f ca="1"/>
        <v>0.13691931417092504</v>
      </c>
      <c r="AE75" s="283">
        <f t="shared" ca="1" si="25"/>
        <v>1.0000000000000009</v>
      </c>
      <c r="AF75" s="418">
        <f t="shared" ref="AF75:AF130" ca="1" si="29">SUM(W75,Y75,AA75)</f>
        <v>4.2500516079533E-2</v>
      </c>
    </row>
    <row r="76" spans="1:32" ht="12" customHeight="1" x14ac:dyDescent="0.25">
      <c r="A76" s="262"/>
      <c r="C76" s="263"/>
      <c r="D76" s="62">
        <f t="shared" si="26"/>
        <v>66</v>
      </c>
      <c r="E76" s="63">
        <f t="shared" si="22"/>
        <v>16.5</v>
      </c>
      <c r="F76" s="63">
        <f t="shared" si="27"/>
        <v>71.5</v>
      </c>
      <c r="G76" s="62">
        <f t="shared" si="23"/>
        <v>0</v>
      </c>
      <c r="H76" s="285">
        <f t="array" aca="1" ref="H76:Q76" ca="1">MMULT(H75:Q75, OFFSET(AB.rngTPMroot, MIN(4, INT(($F75-55)/5))*10, $G76*13))</f>
        <v>2.7290023511840751E-4</v>
      </c>
      <c r="I76" s="285">
        <f ca="1"/>
        <v>0</v>
      </c>
      <c r="J76" s="285">
        <f ca="1"/>
        <v>4.1406624704719966E-2</v>
      </c>
      <c r="K76" s="285">
        <f ca="1"/>
        <v>6.0804434914547428E-3</v>
      </c>
      <c r="L76" s="285">
        <f ca="1"/>
        <v>6.3870542873916108E-4</v>
      </c>
      <c r="M76" s="285">
        <f ca="1"/>
        <v>9.3792051267852986E-5</v>
      </c>
      <c r="N76" s="285">
        <f ca="1"/>
        <v>2.4491303742211416E-4</v>
      </c>
      <c r="O76" s="285">
        <f ca="1"/>
        <v>3.5964773631885845E-5</v>
      </c>
      <c r="P76" s="285">
        <f ca="1"/>
        <v>0.81003722555271152</v>
      </c>
      <c r="Q76" s="285">
        <f ca="1"/>
        <v>0.14118943072493512</v>
      </c>
      <c r="R76" s="283">
        <f t="shared" ca="1" si="24"/>
        <v>1.0000000000000007</v>
      </c>
      <c r="S76" s="418">
        <f t="shared" ca="1" si="28"/>
        <v>4.2290243170881238E-2</v>
      </c>
      <c r="U76" s="285">
        <f t="array" aca="1" ref="U76:AD76" ca="1">MMULT(U75:AD75, OFFSET(AB.rngTPMroot, MIN(4, INT(($F75-55)/5))*10, $G76*13))</f>
        <v>2.5250979627520327E-2</v>
      </c>
      <c r="V76" s="285">
        <f ca="1"/>
        <v>0</v>
      </c>
      <c r="W76" s="285">
        <f ca="1"/>
        <v>4.1415021611478899E-2</v>
      </c>
      <c r="X76" s="285">
        <f ca="1"/>
        <v>6.0816765530098647E-3</v>
      </c>
      <c r="Y76" s="285">
        <f ca="1"/>
        <v>6.3883495269745989E-4</v>
      </c>
      <c r="Z76" s="285">
        <f ca="1"/>
        <v>9.3811071487801898E-5</v>
      </c>
      <c r="AA76" s="285">
        <f ca="1"/>
        <v>2.4496270367609996E-4</v>
      </c>
      <c r="AB76" s="285">
        <f ca="1"/>
        <v>3.597206697813048E-5</v>
      </c>
      <c r="AC76" s="285">
        <f ca="1"/>
        <v>0.78522347007274118</v>
      </c>
      <c r="AD76" s="285">
        <f ca="1"/>
        <v>0.14101527134041122</v>
      </c>
      <c r="AE76" s="283">
        <f t="shared" ca="1" si="25"/>
        <v>1.0000000000000009</v>
      </c>
      <c r="AF76" s="418">
        <f t="shared" ca="1" si="29"/>
        <v>4.2298819267852457E-2</v>
      </c>
    </row>
    <row r="77" spans="1:32" ht="12" customHeight="1" x14ac:dyDescent="0.25">
      <c r="A77" s="262"/>
      <c r="C77" s="263"/>
      <c r="D77" s="62">
        <f t="shared" si="26"/>
        <v>67</v>
      </c>
      <c r="E77" s="63">
        <f t="shared" si="22"/>
        <v>16.75</v>
      </c>
      <c r="F77" s="63">
        <f t="shared" si="27"/>
        <v>71.75</v>
      </c>
      <c r="G77" s="62">
        <f t="shared" si="23"/>
        <v>0</v>
      </c>
      <c r="H77" s="285">
        <f t="array" aca="1" ref="H77:Q77" ca="1">MMULT(H76:Q76, OFFSET(AB.rngTPMroot, MIN(4, INT(($F76-55)/5))*10, $G77*13))</f>
        <v>2.5744548932833639E-4</v>
      </c>
      <c r="I77" s="285">
        <f ca="1"/>
        <v>0</v>
      </c>
      <c r="J77" s="285">
        <f ca="1"/>
        <v>4.1210119619267856E-2</v>
      </c>
      <c r="K77" s="285">
        <f ca="1"/>
        <v>6.0515872285440749E-3</v>
      </c>
      <c r="L77" s="285">
        <f ca="1"/>
        <v>6.35674298678497E-4</v>
      </c>
      <c r="M77" s="285">
        <f ca="1"/>
        <v>9.3346937668142754E-5</v>
      </c>
      <c r="N77" s="285">
        <f ca="1"/>
        <v>2.4375074376282242E-4</v>
      </c>
      <c r="O77" s="285">
        <f ca="1"/>
        <v>3.5794093818003384E-5</v>
      </c>
      <c r="P77" s="285">
        <f ca="1"/>
        <v>0.80620715856098957</v>
      </c>
      <c r="Q77" s="285">
        <f ca="1"/>
        <v>0.14526512302794348</v>
      </c>
      <c r="R77" s="283">
        <f t="shared" ca="1" si="24"/>
        <v>1.0000000000000009</v>
      </c>
      <c r="S77" s="418">
        <f t="shared" ca="1" si="28"/>
        <v>4.2089544661709173E-2</v>
      </c>
      <c r="U77" s="285">
        <f t="array" aca="1" ref="U77:AD77" ca="1">MMULT(U76:AD76, OFFSET(AB.rngTPMroot, MIN(4, INT(($F76-55)/5))*10, $G77*13))</f>
        <v>2.3820979133294781E-2</v>
      </c>
      <c r="V77" s="285">
        <f ca="1"/>
        <v>0</v>
      </c>
      <c r="W77" s="285">
        <f ca="1"/>
        <v>4.1218476676488425E-2</v>
      </c>
      <c r="X77" s="285">
        <f ca="1"/>
        <v>6.052814438297683E-3</v>
      </c>
      <c r="Y77" s="285">
        <f ca="1"/>
        <v>6.3580320794973382E-4</v>
      </c>
      <c r="Z77" s="285">
        <f ca="1"/>
        <v>9.3365867622888436E-5</v>
      </c>
      <c r="AA77" s="285">
        <f ca="1"/>
        <v>2.4380017431366774E-4</v>
      </c>
      <c r="AB77" s="285">
        <f ca="1"/>
        <v>3.5801352551852219E-5</v>
      </c>
      <c r="AC77" s="285">
        <f ca="1"/>
        <v>0.78280716899077674</v>
      </c>
      <c r="AD77" s="285">
        <f ca="1"/>
        <v>0.14509179015870527</v>
      </c>
      <c r="AE77" s="283">
        <f t="shared" ca="1" si="25"/>
        <v>1.0000000000000011</v>
      </c>
      <c r="AF77" s="418">
        <f t="shared" ca="1" si="29"/>
        <v>4.2098080058751826E-2</v>
      </c>
    </row>
    <row r="78" spans="1:32" ht="12" customHeight="1" x14ac:dyDescent="0.25">
      <c r="A78" s="262"/>
      <c r="C78" s="263"/>
      <c r="D78" s="62">
        <f t="shared" si="26"/>
        <v>68</v>
      </c>
      <c r="E78" s="63">
        <f t="shared" si="22"/>
        <v>17</v>
      </c>
      <c r="F78" s="63">
        <f t="shared" si="27"/>
        <v>72</v>
      </c>
      <c r="G78" s="62">
        <f t="shared" si="23"/>
        <v>0</v>
      </c>
      <c r="H78" s="285">
        <f t="array" aca="1" ref="H78:Q78" ca="1">MMULT(H77:Q77, OFFSET(AB.rngTPMroot, MIN(4, INT(($F77-55)/5))*10, $G78*13))</f>
        <v>2.4286596875502662E-4</v>
      </c>
      <c r="I78" s="285">
        <f ca="1"/>
        <v>0</v>
      </c>
      <c r="J78" s="285">
        <f ca="1"/>
        <v>4.1014547077647102E-2</v>
      </c>
      <c r="K78" s="285">
        <f ca="1"/>
        <v>6.0228679674609467E-3</v>
      </c>
      <c r="L78" s="285">
        <f ca="1"/>
        <v>6.3265755329206962E-4</v>
      </c>
      <c r="M78" s="285">
        <f ca="1"/>
        <v>9.2903937348894807E-5</v>
      </c>
      <c r="N78" s="285">
        <f ca="1"/>
        <v>2.4259396593931528E-4</v>
      </c>
      <c r="O78" s="285">
        <f ca="1"/>
        <v>3.5624224346281241E-5</v>
      </c>
      <c r="P78" s="285">
        <f ca="1"/>
        <v>0.80239446615328391</v>
      </c>
      <c r="Q78" s="285">
        <f ca="1"/>
        <v>0.14932147315192726</v>
      </c>
      <c r="R78" s="283">
        <f t="shared" ca="1" si="24"/>
        <v>1.0000000000000009</v>
      </c>
      <c r="S78" s="418">
        <f t="shared" ca="1" si="28"/>
        <v>4.1889798596878483E-2</v>
      </c>
      <c r="U78" s="285">
        <f t="array" aca="1" ref="U78:AD78" ca="1">MMULT(U77:AD77, OFFSET(AB.rngTPMroot, MIN(4, INT(($F77-55)/5))*10, $G78*13))</f>
        <v>2.2471961691752727E-2</v>
      </c>
      <c r="V78" s="285">
        <f ca="1"/>
        <v>0</v>
      </c>
      <c r="W78" s="285">
        <f ca="1"/>
        <v>4.1022864474441145E-2</v>
      </c>
      <c r="X78" s="285">
        <f ca="1"/>
        <v>6.0240893531958344E-3</v>
      </c>
      <c r="Y78" s="285">
        <f ca="1"/>
        <v>6.3278585079333213E-4</v>
      </c>
      <c r="Z78" s="285">
        <f ca="1"/>
        <v>9.2922777466992359E-5</v>
      </c>
      <c r="AA78" s="285">
        <f ca="1"/>
        <v>2.4264316190558401E-4</v>
      </c>
      <c r="AB78" s="285">
        <f ca="1"/>
        <v>3.5631448632064703E-5</v>
      </c>
      <c r="AC78" s="285">
        <f ca="1"/>
        <v>0.78032813836626591</v>
      </c>
      <c r="AD78" s="285">
        <f ca="1"/>
        <v>0.14914896287554746</v>
      </c>
      <c r="AE78" s="283">
        <f t="shared" ca="1" si="25"/>
        <v>1.0000000000000009</v>
      </c>
      <c r="AF78" s="418">
        <f t="shared" ca="1" si="29"/>
        <v>4.1898293487140068E-2</v>
      </c>
    </row>
    <row r="79" spans="1:32" ht="12" customHeight="1" x14ac:dyDescent="0.25">
      <c r="A79" s="262"/>
      <c r="C79" s="263"/>
      <c r="D79" s="62">
        <f t="shared" si="26"/>
        <v>69</v>
      </c>
      <c r="E79" s="63">
        <f t="shared" si="22"/>
        <v>17.25</v>
      </c>
      <c r="F79" s="63">
        <f t="shared" si="27"/>
        <v>72.25</v>
      </c>
      <c r="G79" s="62">
        <f t="shared" si="23"/>
        <v>0</v>
      </c>
      <c r="H79" s="285">
        <f t="array" aca="1" ref="H79:Q79" ca="1">MMULT(H78:Q78, OFFSET(AB.rngTPMroot, MIN(4, INT(($F78-55)/5))*10, $G79*13))</f>
        <v>2.2911210809404287E-4</v>
      </c>
      <c r="I79" s="285">
        <f ca="1"/>
        <v>0</v>
      </c>
      <c r="J79" s="285">
        <f ca="1"/>
        <v>4.0819902670573331E-2</v>
      </c>
      <c r="K79" s="285">
        <f ca="1"/>
        <v>5.9942849978620949E-3</v>
      </c>
      <c r="L79" s="285">
        <f ca="1"/>
        <v>6.2965512456578999E-4</v>
      </c>
      <c r="M79" s="285">
        <f ca="1"/>
        <v>9.246303935292287E-5</v>
      </c>
      <c r="N79" s="285">
        <f ca="1"/>
        <v>2.4144267787143688E-4</v>
      </c>
      <c r="O79" s="285">
        <f ca="1"/>
        <v>3.5455161015161652E-5</v>
      </c>
      <c r="P79" s="285">
        <f ca="1"/>
        <v>0.79859911133077233</v>
      </c>
      <c r="Q79" s="285">
        <f ca="1"/>
        <v>0.15335857288989371</v>
      </c>
      <c r="R79" s="283">
        <f t="shared" ca="1" si="24"/>
        <v>1.0000000000000009</v>
      </c>
      <c r="S79" s="418">
        <f t="shared" ca="1" si="28"/>
        <v>4.1691000473010553E-2</v>
      </c>
      <c r="U79" s="285">
        <f t="array" aca="1" ref="U79:AD79" ca="1">MMULT(U78:AD78, OFFSET(AB.rngTPMroot, MIN(4, INT(($F78-55)/5))*10, $G79*13))</f>
        <v>2.1199341112296037E-2</v>
      </c>
      <c r="V79" s="285">
        <f ca="1"/>
        <v>0</v>
      </c>
      <c r="W79" s="285">
        <f ca="1"/>
        <v>4.0828180595158539E-2</v>
      </c>
      <c r="X79" s="285">
        <f ca="1"/>
        <v>5.9955005872169989E-3</v>
      </c>
      <c r="Y79" s="285">
        <f ca="1"/>
        <v>6.2978281320037375E-4</v>
      </c>
      <c r="Z79" s="285">
        <f ca="1"/>
        <v>9.2481790060705292E-5</v>
      </c>
      <c r="AA79" s="285">
        <f ca="1"/>
        <v>2.4149164036640415E-4</v>
      </c>
      <c r="AB79" s="285">
        <f ca="1"/>
        <v>3.5462351016358097E-5</v>
      </c>
      <c r="AC79" s="285">
        <f ca="1"/>
        <v>0.77779087780812572</v>
      </c>
      <c r="AD79" s="285">
        <f ca="1"/>
        <v>0.15318688130255986</v>
      </c>
      <c r="AE79" s="283">
        <f t="shared" ca="1" si="25"/>
        <v>1.0000000000000009</v>
      </c>
      <c r="AF79" s="418">
        <f t="shared" ca="1" si="29"/>
        <v>4.1699455048725312E-2</v>
      </c>
    </row>
    <row r="80" spans="1:32" ht="12" customHeight="1" x14ac:dyDescent="0.25">
      <c r="A80" s="262"/>
      <c r="C80" s="263"/>
      <c r="D80" s="62">
        <f t="shared" si="26"/>
        <v>70</v>
      </c>
      <c r="E80" s="63">
        <f t="shared" si="22"/>
        <v>17.5</v>
      </c>
      <c r="F80" s="63">
        <f t="shared" si="27"/>
        <v>72.5</v>
      </c>
      <c r="G80" s="62">
        <f t="shared" si="23"/>
        <v>0</v>
      </c>
      <c r="H80" s="285">
        <f t="array" aca="1" ref="H80:Q80" ca="1">MMULT(H79:Q79, OFFSET(AB.rngTPMroot, MIN(4, INT(($F79-55)/5))*10, $G80*13))</f>
        <v>2.1613714899778417E-4</v>
      </c>
      <c r="I80" s="285">
        <f ca="1"/>
        <v>0</v>
      </c>
      <c r="J80" s="285">
        <f ca="1"/>
        <v>4.06261819956358E-2</v>
      </c>
      <c r="K80" s="285">
        <f ca="1"/>
        <v>5.965837675329648E-3</v>
      </c>
      <c r="L80" s="285">
        <f ca="1"/>
        <v>6.2666694459159581E-4</v>
      </c>
      <c r="M80" s="285">
        <f ca="1"/>
        <v>9.202423373995301E-5</v>
      </c>
      <c r="N80" s="285">
        <f ca="1"/>
        <v>2.4029685351968758E-4</v>
      </c>
      <c r="O80" s="285">
        <f ca="1"/>
        <v>3.5286900013024137E-5</v>
      </c>
      <c r="P80" s="285">
        <f ca="1"/>
        <v>0.79482105464899433</v>
      </c>
      <c r="Q80" s="285">
        <f ca="1"/>
        <v>0.15737651359917906</v>
      </c>
      <c r="R80" s="283">
        <f t="shared" ca="1" si="24"/>
        <v>1.0000000000000009</v>
      </c>
      <c r="S80" s="418">
        <f t="shared" ca="1" si="28"/>
        <v>4.1493145793747084E-2</v>
      </c>
      <c r="U80" s="285">
        <f t="array" aca="1" ref="U80:AD80" ca="1">MMULT(U79:AD79, OFFSET(AB.rngTPMroot, MIN(4, INT(($F79-55)/5))*10, $G80*13))</f>
        <v>1.9998790927114322E-2</v>
      </c>
      <c r="V80" s="285">
        <f ca="1"/>
        <v>0</v>
      </c>
      <c r="W80" s="285">
        <f ca="1"/>
        <v>4.0634420635337093E-2</v>
      </c>
      <c r="X80" s="285">
        <f ca="1"/>
        <v>5.967047495812625E-3</v>
      </c>
      <c r="Y80" s="285">
        <f ca="1"/>
        <v>6.2679402724902494E-4</v>
      </c>
      <c r="Z80" s="285">
        <f ca="1"/>
        <v>9.2042895461737581E-5</v>
      </c>
      <c r="AA80" s="285">
        <f ca="1"/>
        <v>2.4034558365134792E-4</v>
      </c>
      <c r="AB80" s="285">
        <f ca="1"/>
        <v>3.5294055892338966E-5</v>
      </c>
      <c r="AC80" s="285">
        <f ca="1"/>
        <v>0.77519962756387739</v>
      </c>
      <c r="AD80" s="285">
        <f ca="1"/>
        <v>0.15720563681560523</v>
      </c>
      <c r="AE80" s="283">
        <f t="shared" ca="1" si="25"/>
        <v>1.0000000000000011</v>
      </c>
      <c r="AF80" s="418">
        <f t="shared" ca="1" si="29"/>
        <v>4.1501560246237461E-2</v>
      </c>
    </row>
    <row r="81" spans="1:32" ht="12" customHeight="1" x14ac:dyDescent="0.25">
      <c r="A81" s="262"/>
      <c r="C81" s="263"/>
      <c r="D81" s="62">
        <f t="shared" si="26"/>
        <v>71</v>
      </c>
      <c r="E81" s="63">
        <f t="shared" si="22"/>
        <v>17.75</v>
      </c>
      <c r="F81" s="63">
        <f t="shared" si="27"/>
        <v>72.75</v>
      </c>
      <c r="G81" s="62">
        <f t="shared" si="23"/>
        <v>0</v>
      </c>
      <c r="H81" s="285">
        <f t="array" aca="1" ref="H81:Q81" ca="1">MMULT(H80:Q80, OFFSET(AB.rngTPMroot, MIN(4, INT(($F80-55)/5))*10, $G81*13))</f>
        <v>2.0389698111334778E-4</v>
      </c>
      <c r="I81" s="285">
        <f ca="1"/>
        <v>0</v>
      </c>
      <c r="J81" s="285">
        <f ca="1"/>
        <v>4.043338066879941E-2</v>
      </c>
      <c r="K81" s="285">
        <f ca="1"/>
        <v>5.9375253564503145E-3</v>
      </c>
      <c r="L81" s="285">
        <f ca="1"/>
        <v>6.2369294574487317E-4</v>
      </c>
      <c r="M81" s="285">
        <f ca="1"/>
        <v>9.1587510585207119E-5</v>
      </c>
      <c r="N81" s="285">
        <f ca="1"/>
        <v>2.3915646695325652E-4</v>
      </c>
      <c r="O81" s="285">
        <f ca="1"/>
        <v>3.5119437534190153E-5</v>
      </c>
      <c r="P81" s="285">
        <f ca="1"/>
        <v>0.79106025442925421</v>
      </c>
      <c r="Q81" s="285">
        <f ca="1"/>
        <v>0.16137538620356612</v>
      </c>
      <c r="R81" s="283">
        <f t="shared" ca="1" si="24"/>
        <v>1.0000000000000009</v>
      </c>
      <c r="S81" s="418">
        <f t="shared" ca="1" si="28"/>
        <v>4.1296230081497541E-2</v>
      </c>
      <c r="U81" s="285">
        <f t="array" aca="1" ref="U81:AD81" ca="1">MMULT(U80:AD80, OFFSET(AB.rngTPMroot, MIN(4, INT(($F80-55)/5))*10, $G81*13))</f>
        <v>1.8866229682697553E-2</v>
      </c>
      <c r="V81" s="285">
        <f ca="1"/>
        <v>0</v>
      </c>
      <c r="W81" s="285">
        <f ca="1"/>
        <v>4.0441580210052668E-2</v>
      </c>
      <c r="X81" s="285">
        <f ca="1"/>
        <v>5.9387294354389421E-3</v>
      </c>
      <c r="Y81" s="285">
        <f ca="1"/>
        <v>6.2381942530095815E-4</v>
      </c>
      <c r="Z81" s="285">
        <f ca="1"/>
        <v>9.1606083743298405E-5</v>
      </c>
      <c r="AA81" s="285">
        <f ca="1"/>
        <v>2.3920496582434601E-4</v>
      </c>
      <c r="AB81" s="285">
        <f ca="1"/>
        <v>3.5126559453557017E-5</v>
      </c>
      <c r="AC81" s="285">
        <f ca="1"/>
        <v>0.7725583832805849</v>
      </c>
      <c r="AD81" s="285">
        <f ca="1"/>
        <v>0.16120532035690491</v>
      </c>
      <c r="AE81" s="283">
        <f t="shared" ca="1" si="25"/>
        <v>1.0000000000000011</v>
      </c>
      <c r="AF81" s="418">
        <f t="shared" ca="1" si="29"/>
        <v>4.130460460117797E-2</v>
      </c>
    </row>
    <row r="82" spans="1:32" ht="12" customHeight="1" x14ac:dyDescent="0.25">
      <c r="A82" s="262"/>
      <c r="C82" s="263"/>
      <c r="D82" s="62">
        <f t="shared" si="26"/>
        <v>72</v>
      </c>
      <c r="E82" s="63">
        <f t="shared" si="22"/>
        <v>18</v>
      </c>
      <c r="F82" s="63">
        <f t="shared" si="27"/>
        <v>73</v>
      </c>
      <c r="G82" s="62">
        <f t="shared" si="23"/>
        <v>0</v>
      </c>
      <c r="H82" s="285">
        <f t="array" aca="1" ref="H82:Q82" ca="1">MMULT(H81:Q81, OFFSET(AB.rngTPMroot, MIN(4, INT(($F81-55)/5))*10, $G82*13))</f>
        <v>1.9234999212265502E-4</v>
      </c>
      <c r="I82" s="285">
        <f ca="1"/>
        <v>0</v>
      </c>
      <c r="J82" s="285">
        <f ca="1"/>
        <v>4.0241494327071713E-2</v>
      </c>
      <c r="K82" s="285">
        <f ca="1"/>
        <v>5.90934740049641E-3</v>
      </c>
      <c r="L82" s="285">
        <f ca="1"/>
        <v>6.2073306072559485E-4</v>
      </c>
      <c r="M82" s="285">
        <f ca="1"/>
        <v>9.1152860005333112E-5</v>
      </c>
      <c r="N82" s="285">
        <f ca="1"/>
        <v>2.3802149236579659E-4</v>
      </c>
      <c r="O82" s="285">
        <f ca="1"/>
        <v>3.495276978886604E-5</v>
      </c>
      <c r="P82" s="285">
        <f ca="1"/>
        <v>0.78731666690208746</v>
      </c>
      <c r="Q82" s="285">
        <f ca="1"/>
        <v>0.16535528119533713</v>
      </c>
      <c r="R82" s="283">
        <f t="shared" ca="1" si="24"/>
        <v>1.0000000000000009</v>
      </c>
      <c r="S82" s="418">
        <f t="shared" ca="1" si="28"/>
        <v>4.1100248880163108E-2</v>
      </c>
      <c r="U82" s="285">
        <f t="array" aca="1" ref="U82:AD82" ca="1">MMULT(U81:AD81, OFFSET(AB.rngTPMroot, MIN(4, INT(($F81-55)/5))*10, $G82*13))</f>
        <v>1.7797807064312211E-2</v>
      </c>
      <c r="V82" s="285">
        <f ca="1"/>
        <v>0</v>
      </c>
      <c r="W82" s="285">
        <f ca="1"/>
        <v>4.0249654955428031E-2</v>
      </c>
      <c r="X82" s="285">
        <f ca="1"/>
        <v>5.9105457652383325E-3</v>
      </c>
      <c r="Y82" s="285">
        <f ca="1"/>
        <v>6.2085894004249823E-4</v>
      </c>
      <c r="Z82" s="285">
        <f ca="1"/>
        <v>9.1171345020031464E-5</v>
      </c>
      <c r="AA82" s="285">
        <f ca="1"/>
        <v>2.3806976107381786E-4</v>
      </c>
      <c r="AB82" s="285">
        <f ca="1"/>
        <v>3.4959857909450046E-5</v>
      </c>
      <c r="AC82" s="285">
        <f ca="1"/>
        <v>0.76987090987388462</v>
      </c>
      <c r="AD82" s="285">
        <f ca="1"/>
        <v>0.16518602243709218</v>
      </c>
      <c r="AE82" s="283">
        <f t="shared" ca="1" si="25"/>
        <v>1.0000000000000011</v>
      </c>
      <c r="AF82" s="418">
        <f t="shared" ca="1" si="29"/>
        <v>4.1108583656544344E-2</v>
      </c>
    </row>
    <row r="83" spans="1:32" ht="12" customHeight="1" x14ac:dyDescent="0.25">
      <c r="A83" s="262"/>
      <c r="C83" s="263"/>
      <c r="D83" s="62">
        <f t="shared" si="26"/>
        <v>73</v>
      </c>
      <c r="E83" s="63">
        <f t="shared" si="22"/>
        <v>18.25</v>
      </c>
      <c r="F83" s="63">
        <f t="shared" si="27"/>
        <v>73.25</v>
      </c>
      <c r="G83" s="62">
        <f t="shared" si="23"/>
        <v>0</v>
      </c>
      <c r="H83" s="285">
        <f t="array" aca="1" ref="H83:Q83" ca="1">MMULT(H82:Q82, OFFSET(AB.rngTPMroot, MIN(4, INT(($F82-55)/5))*10, $G83*13))</f>
        <v>1.8145692627502763E-4</v>
      </c>
      <c r="I83" s="285">
        <f ca="1"/>
        <v>0</v>
      </c>
      <c r="J83" s="285">
        <f ca="1"/>
        <v>4.0050518628172688E-2</v>
      </c>
      <c r="K83" s="285">
        <f ca="1"/>
        <v>5.8813031698156373E-3</v>
      </c>
      <c r="L83" s="285">
        <f ca="1"/>
        <v>6.1778722255322732E-4</v>
      </c>
      <c r="M83" s="285">
        <f ca="1"/>
        <v>9.0720272164417372E-5</v>
      </c>
      <c r="N83" s="285">
        <f ca="1"/>
        <v>2.3689190407347099E-4</v>
      </c>
      <c r="O83" s="285">
        <f ca="1"/>
        <v>3.4786893005448534E-5</v>
      </c>
      <c r="P83" s="285">
        <f ca="1"/>
        <v>0.78359024634661978</v>
      </c>
      <c r="Q83" s="285">
        <f ca="1"/>
        <v>0.16931628863732132</v>
      </c>
      <c r="R83" s="283">
        <f t="shared" ca="1" si="24"/>
        <v>1.0000000000000011</v>
      </c>
      <c r="S83" s="418">
        <f t="shared" ca="1" si="28"/>
        <v>4.0905197754799387E-2</v>
      </c>
      <c r="U83" s="285">
        <f t="array" aca="1" ref="U83:AD83" ca="1">MMULT(U82:AD82, OFFSET(AB.rngTPMroot, MIN(4, INT(($F82-55)/5))*10, $G83*13))</f>
        <v>1.6789890806268932E-2</v>
      </c>
      <c r="V83" s="285">
        <f ca="1"/>
        <v>0</v>
      </c>
      <c r="W83" s="285">
        <f ca="1"/>
        <v>4.0058640528302589E-2</v>
      </c>
      <c r="X83" s="285">
        <f ca="1"/>
        <v>5.8824958474291873E-3</v>
      </c>
      <c r="Y83" s="285">
        <f ca="1"/>
        <v>6.1791250447952866E-4</v>
      </c>
      <c r="Z83" s="285">
        <f ca="1"/>
        <v>9.0738669454028451E-5</v>
      </c>
      <c r="AA83" s="285">
        <f ca="1"/>
        <v>2.3693994371071835E-4</v>
      </c>
      <c r="AB83" s="285">
        <f ca="1"/>
        <v>3.4793947487649947E-5</v>
      </c>
      <c r="AC83" s="285">
        <f ca="1"/>
        <v>0.76714075461560827</v>
      </c>
      <c r="AD83" s="285">
        <f ca="1"/>
        <v>0.16914783313726028</v>
      </c>
      <c r="AE83" s="283">
        <f t="shared" ca="1" si="25"/>
        <v>1.0000000000000011</v>
      </c>
      <c r="AF83" s="418">
        <f t="shared" ca="1" si="29"/>
        <v>4.0913492976492834E-2</v>
      </c>
    </row>
    <row r="84" spans="1:32" ht="12" customHeight="1" x14ac:dyDescent="0.25">
      <c r="A84" s="262"/>
      <c r="C84" s="263"/>
      <c r="D84" s="62">
        <f t="shared" si="26"/>
        <v>74</v>
      </c>
      <c r="E84" s="63">
        <f t="shared" si="22"/>
        <v>18.5</v>
      </c>
      <c r="F84" s="63">
        <f t="shared" si="27"/>
        <v>73.5</v>
      </c>
      <c r="G84" s="62">
        <f t="shared" si="23"/>
        <v>0</v>
      </c>
      <c r="H84" s="285">
        <f t="array" aca="1" ref="H84:Q84" ca="1">MMULT(H83:Q83, OFFSET(AB.rngTPMroot, MIN(4, INT(($F83-55)/5))*10, $G84*13))</f>
        <v>1.7118075093127446E-4</v>
      </c>
      <c r="I84" s="285">
        <f ca="1"/>
        <v>0</v>
      </c>
      <c r="J84" s="285">
        <f ca="1"/>
        <v>3.986044925042749E-2</v>
      </c>
      <c r="K84" s="285">
        <f ca="1"/>
        <v>5.8533920297828227E-3</v>
      </c>
      <c r="L84" s="285">
        <f ca="1"/>
        <v>6.148553645650757E-4</v>
      </c>
      <c r="M84" s="285">
        <f ca="1"/>
        <v>9.0289737273240291E-5</v>
      </c>
      <c r="N84" s="285">
        <f ca="1"/>
        <v>2.3576767651431907E-4</v>
      </c>
      <c r="O84" s="285">
        <f ca="1"/>
        <v>3.4621803430239302E-5</v>
      </c>
      <c r="P84" s="285">
        <f ca="1"/>
        <v>0.77988094522214346</v>
      </c>
      <c r="Q84" s="285">
        <f ca="1"/>
        <v>0.17325849816493311</v>
      </c>
      <c r="R84" s="283">
        <f t="shared" ca="1" si="24"/>
        <v>1.0000000000000009</v>
      </c>
      <c r="S84" s="418">
        <f t="shared" ca="1" si="28"/>
        <v>4.0711072291506889E-2</v>
      </c>
      <c r="U84" s="285">
        <f t="array" aca="1" ref="U84:AD84" ca="1">MMULT(U83:AD83, OFFSET(AB.rngTPMroot, MIN(4, INT(($F83-55)/5))*10, $G84*13))</f>
        <v>1.5839054343481158E-2</v>
      </c>
      <c r="V84" s="285">
        <f ca="1"/>
        <v>0</v>
      </c>
      <c r="W84" s="285">
        <f ca="1"/>
        <v>3.9868532606125086E-2</v>
      </c>
      <c r="X84" s="285">
        <f ca="1"/>
        <v>5.8545790472576383E-3</v>
      </c>
      <c r="Y84" s="285">
        <f ca="1"/>
        <v>6.1498005193583584E-4</v>
      </c>
      <c r="Z84" s="285">
        <f ca="1"/>
        <v>9.0308047254084628E-5</v>
      </c>
      <c r="AA84" s="285">
        <f ca="1"/>
        <v>2.35815488167903E-4</v>
      </c>
      <c r="AB84" s="285">
        <f ca="1"/>
        <v>3.4628824433697154E-5</v>
      </c>
      <c r="AC84" s="285">
        <f ca="1"/>
        <v>0.7643712594803449</v>
      </c>
      <c r="AD84" s="285">
        <f ca="1"/>
        <v>0.1730908421110009</v>
      </c>
      <c r="AE84" s="283">
        <f t="shared" ca="1" si="25"/>
        <v>1.0000000000000013</v>
      </c>
      <c r="AF84" s="418">
        <f t="shared" ca="1" si="29"/>
        <v>4.0719328146228827E-2</v>
      </c>
    </row>
    <row r="85" spans="1:32" ht="12" customHeight="1" x14ac:dyDescent="0.25">
      <c r="A85" s="262"/>
      <c r="C85" s="263"/>
      <c r="D85" s="62">
        <f t="shared" si="26"/>
        <v>75</v>
      </c>
      <c r="E85" s="63">
        <f t="shared" si="22"/>
        <v>18.75</v>
      </c>
      <c r="F85" s="63">
        <f t="shared" si="27"/>
        <v>73.75</v>
      </c>
      <c r="G85" s="62">
        <f t="shared" si="23"/>
        <v>0</v>
      </c>
      <c r="H85" s="285">
        <f t="array" aca="1" ref="H85:Q85" ca="1">MMULT(H84:Q84, OFFSET(AB.rngTPMroot, MIN(4, INT(($F84-55)/5))*10, $G85*13))</f>
        <v>1.6148653066558487E-4</v>
      </c>
      <c r="I85" s="285">
        <f ca="1"/>
        <v>0</v>
      </c>
      <c r="J85" s="285">
        <f ca="1"/>
        <v>3.9671281892670891E-2</v>
      </c>
      <c r="K85" s="285">
        <f ca="1"/>
        <v>5.8256133487842475E-3</v>
      </c>
      <c r="L85" s="285">
        <f ca="1"/>
        <v>6.1193742041481007E-4</v>
      </c>
      <c r="M85" s="285">
        <f ca="1"/>
        <v>8.9861245589034473E-5</v>
      </c>
      <c r="N85" s="285">
        <f ca="1"/>
        <v>2.3464878424769097E-4</v>
      </c>
      <c r="O85" s="285">
        <f ca="1"/>
        <v>3.4457497327352205E-5</v>
      </c>
      <c r="P85" s="285">
        <f ca="1"/>
        <v>0.7761887142921009</v>
      </c>
      <c r="Q85" s="285">
        <f ca="1"/>
        <v>0.1771819989882005</v>
      </c>
      <c r="R85" s="283">
        <f t="shared" ca="1" si="24"/>
        <v>1.0000000000000009</v>
      </c>
      <c r="S85" s="418">
        <f t="shared" ca="1" si="28"/>
        <v>4.051786809733339E-2</v>
      </c>
      <c r="U85" s="285">
        <f t="array" aca="1" ref="U85:AD85" ca="1">MMULT(U84:AD84, OFFSET(AB.rngTPMroot, MIN(4, INT(($F84-55)/5))*10, $G85*13))</f>
        <v>1.4942065162334383E-2</v>
      </c>
      <c r="V85" s="285">
        <f ca="1"/>
        <v>0</v>
      </c>
      <c r="W85" s="285">
        <f ca="1"/>
        <v>3.9679326886858081E-2</v>
      </c>
      <c r="X85" s="285">
        <f ca="1"/>
        <v>5.8267947329818772E-3</v>
      </c>
      <c r="Y85" s="285">
        <f ca="1"/>
        <v>6.1206151605163557E-4</v>
      </c>
      <c r="Z85" s="285">
        <f ca="1"/>
        <v>8.9879468675456854E-5</v>
      </c>
      <c r="AA85" s="285">
        <f ca="1"/>
        <v>2.3469636899956282E-4</v>
      </c>
      <c r="AB85" s="285">
        <f ca="1"/>
        <v>3.4464485010947942E-5</v>
      </c>
      <c r="AC85" s="285">
        <f ca="1"/>
        <v>0.76156557279265613</v>
      </c>
      <c r="AD85" s="285">
        <f ca="1"/>
        <v>0.17701513858643306</v>
      </c>
      <c r="AE85" s="283">
        <f t="shared" ca="1" si="25"/>
        <v>1.0000000000000011</v>
      </c>
      <c r="AF85" s="418">
        <f t="shared" ca="1" si="29"/>
        <v>4.0526084771909276E-2</v>
      </c>
    </row>
    <row r="86" spans="1:32" ht="12" customHeight="1" x14ac:dyDescent="0.25">
      <c r="A86" s="262"/>
      <c r="C86" s="263"/>
      <c r="D86" s="62">
        <f t="shared" si="26"/>
        <v>76</v>
      </c>
      <c r="E86" s="63">
        <f t="shared" si="22"/>
        <v>19</v>
      </c>
      <c r="F86" s="63">
        <f t="shared" si="27"/>
        <v>74</v>
      </c>
      <c r="G86" s="62">
        <f t="shared" si="23"/>
        <v>0</v>
      </c>
      <c r="H86" s="285">
        <f t="array" aca="1" ref="H86:Q86" ca="1">MMULT(H85:Q85, OFFSET(AB.rngTPMroot, MIN(4, INT(($F85-55)/5))*10, $G86*13))</f>
        <v>1.5234130849721894E-4</v>
      </c>
      <c r="I86" s="285">
        <f ca="1"/>
        <v>0</v>
      </c>
      <c r="J86" s="285">
        <f ca="1"/>
        <v>3.9483012274149895E-2</v>
      </c>
      <c r="K86" s="285">
        <f ca="1"/>
        <v>5.7979664982036744E-3</v>
      </c>
      <c r="L86" s="285">
        <f ca="1"/>
        <v>6.0903332407096324E-4</v>
      </c>
      <c r="M86" s="285">
        <f ca="1"/>
        <v>8.9434787415269365E-5</v>
      </c>
      <c r="N86" s="285">
        <f ca="1"/>
        <v>2.3353520195367161E-4</v>
      </c>
      <c r="O86" s="285">
        <f ca="1"/>
        <v>3.4293970978630729E-5</v>
      </c>
      <c r="P86" s="285">
        <f ca="1"/>
        <v>0.77251350274094788</v>
      </c>
      <c r="Q86" s="285">
        <f ca="1"/>
        <v>0.18108687989378383</v>
      </c>
      <c r="R86" s="283">
        <f t="shared" ca="1" si="24"/>
        <v>1.0000000000000011</v>
      </c>
      <c r="S86" s="418">
        <f t="shared" ca="1" si="28"/>
        <v>4.0325580800174531E-2</v>
      </c>
      <c r="U86" s="285">
        <f t="array" aca="1" ref="U86:AD86" ca="1">MMULT(U85:AD85, OFFSET(AB.rngTPMroot, MIN(4, INT(($F85-55)/5))*10, $G86*13))</f>
        <v>1.4095873811262956E-2</v>
      </c>
      <c r="V86" s="285">
        <f ca="1"/>
        <v>0</v>
      </c>
      <c r="W86" s="285">
        <f ca="1"/>
        <v>3.949101908888044E-2</v>
      </c>
      <c r="X86" s="285">
        <f ca="1"/>
        <v>5.7991422758581941E-3</v>
      </c>
      <c r="Y86" s="285">
        <f ca="1"/>
        <v>6.0915683078206989E-4</v>
      </c>
      <c r="Z86" s="285">
        <f ca="1"/>
        <v>8.9452924019648174E-5</v>
      </c>
      <c r="AA86" s="285">
        <f ca="1"/>
        <v>2.3358256088064808E-4</v>
      </c>
      <c r="AB86" s="285">
        <f ca="1"/>
        <v>3.4300925500491776E-5</v>
      </c>
      <c r="AC86" s="285">
        <f ca="1"/>
        <v>0.75872666021459445</v>
      </c>
      <c r="AD86" s="285">
        <f ca="1"/>
        <v>0.18092081136822225</v>
      </c>
      <c r="AE86" s="283">
        <f t="shared" ca="1" si="25"/>
        <v>1.0000000000000011</v>
      </c>
      <c r="AF86" s="418">
        <f t="shared" ca="1" si="29"/>
        <v>4.0333758480543158E-2</v>
      </c>
    </row>
    <row r="87" spans="1:32" ht="12" customHeight="1" x14ac:dyDescent="0.25">
      <c r="A87" s="262"/>
      <c r="C87" s="263"/>
      <c r="D87" s="62">
        <f t="shared" si="26"/>
        <v>77</v>
      </c>
      <c r="E87" s="63">
        <f t="shared" si="22"/>
        <v>19.25</v>
      </c>
      <c r="F87" s="63">
        <f t="shared" si="27"/>
        <v>74.25</v>
      </c>
      <c r="G87" s="62">
        <f t="shared" si="23"/>
        <v>0</v>
      </c>
      <c r="H87" s="285">
        <f t="array" aca="1" ref="H87:Q87" ca="1">MMULT(H86:Q86, OFFSET(AB.rngTPMroot, MIN(4, INT(($F86-55)/5))*10, $G87*13))</f>
        <v>1.4371399384822356E-4</v>
      </c>
      <c r="I87" s="285">
        <f ca="1"/>
        <v>0</v>
      </c>
      <c r="J87" s="285">
        <f ca="1"/>
        <v>3.9295636134426833E-2</v>
      </c>
      <c r="K87" s="285">
        <f ca="1"/>
        <v>5.7704508524081197E-3</v>
      </c>
      <c r="L87" s="285">
        <f ca="1"/>
        <v>6.0614300981543618E-4</v>
      </c>
      <c r="M87" s="285">
        <f ca="1"/>
        <v>8.9010353101431615E-5</v>
      </c>
      <c r="N87" s="285">
        <f ca="1"/>
        <v>2.3242690443250766E-4</v>
      </c>
      <c r="O87" s="285">
        <f ca="1"/>
        <v>3.4131220683563758E-5</v>
      </c>
      <c r="P87" s="285">
        <f ca="1"/>
        <v>0.76885525828430001</v>
      </c>
      <c r="Q87" s="285">
        <f ca="1"/>
        <v>0.18497322924698492</v>
      </c>
      <c r="R87" s="283">
        <f t="shared" ca="1" si="24"/>
        <v>1.0000000000000011</v>
      </c>
      <c r="S87" s="418">
        <f t="shared" ca="1" si="28"/>
        <v>4.0134206048674778E-2</v>
      </c>
      <c r="U87" s="285">
        <f t="array" aca="1" ref="U87:AD87" ca="1">MMULT(U86:AD86, OFFSET(AB.rngTPMroot, MIN(4, INT(($F86-55)/5))*10, $G87*13))</f>
        <v>1.3297603533674268E-2</v>
      </c>
      <c r="V87" s="285">
        <f ca="1"/>
        <v>0</v>
      </c>
      <c r="W87" s="285">
        <f ca="1"/>
        <v>3.9303604950890546E-2</v>
      </c>
      <c r="X87" s="285">
        <f ca="1"/>
        <v>5.7716210501267268E-3</v>
      </c>
      <c r="Y87" s="285">
        <f ca="1"/>
        <v>6.0626593039571288E-4</v>
      </c>
      <c r="Z87" s="285">
        <f ca="1"/>
        <v>8.9028403634188209E-5</v>
      </c>
      <c r="AA87" s="285">
        <f ca="1"/>
        <v>2.324740386062952E-4</v>
      </c>
      <c r="AB87" s="285">
        <f ca="1"/>
        <v>3.4138142201067108E-5</v>
      </c>
      <c r="AC87" s="285">
        <f ca="1"/>
        <v>0.75585731511088239</v>
      </c>
      <c r="AD87" s="285">
        <f ca="1"/>
        <v>0.18480794883959004</v>
      </c>
      <c r="AE87" s="283">
        <f t="shared" ca="1" si="25"/>
        <v>1.0000000000000011</v>
      </c>
      <c r="AF87" s="418">
        <f t="shared" ca="1" si="29"/>
        <v>4.0142344919892554E-2</v>
      </c>
    </row>
    <row r="88" spans="1:32" ht="12" customHeight="1" x14ac:dyDescent="0.25">
      <c r="A88" s="262"/>
      <c r="C88" s="263"/>
      <c r="D88" s="62">
        <f t="shared" si="26"/>
        <v>78</v>
      </c>
      <c r="E88" s="63">
        <f t="shared" si="22"/>
        <v>19.5</v>
      </c>
      <c r="F88" s="63">
        <f t="shared" si="27"/>
        <v>74.5</v>
      </c>
      <c r="G88" s="62">
        <f t="shared" si="23"/>
        <v>0</v>
      </c>
      <c r="H88" s="285">
        <f t="array" aca="1" ref="H88:Q88" ca="1">MMULT(H87:Q87, OFFSET(AB.rngTPMroot, MIN(4, INT(($F87-55)/5))*10, $G88*13))</f>
        <v>1.3557525684626954E-4</v>
      </c>
      <c r="I88" s="285">
        <f ca="1"/>
        <v>0</v>
      </c>
      <c r="J88" s="285">
        <f ca="1"/>
        <v>3.9109149233282972E-2</v>
      </c>
      <c r="K88" s="285">
        <f ca="1"/>
        <v>5.7430657887336898E-3</v>
      </c>
      <c r="L88" s="285">
        <f ca="1"/>
        <v>6.0326641224201112E-4</v>
      </c>
      <c r="M88" s="285">
        <f ca="1"/>
        <v>8.8587933042806724E-5</v>
      </c>
      <c r="N88" s="285">
        <f ca="1"/>
        <v>2.3132386660403736E-4</v>
      </c>
      <c r="O88" s="285">
        <f ca="1"/>
        <v>3.396924275920186E-5</v>
      </c>
      <c r="P88" s="285">
        <f ca="1"/>
        <v>0.76521392727274329</v>
      </c>
      <c r="Q88" s="285">
        <f ca="1"/>
        <v>0.18884113499374683</v>
      </c>
      <c r="R88" s="283">
        <f t="shared" ca="1" si="24"/>
        <v>1.0000000000000011</v>
      </c>
      <c r="S88" s="418">
        <f t="shared" ca="1" si="28"/>
        <v>3.9943739512129019E-2</v>
      </c>
      <c r="U88" s="285">
        <f t="array" aca="1" ref="U88:AD88" ca="1">MMULT(U87:AD87, OFFSET(AB.rngTPMroot, MIN(4, INT(($F87-55)/5))*10, $G88*13))</f>
        <v>1.2544540487975833E-2</v>
      </c>
      <c r="V88" s="285">
        <f ca="1"/>
        <v>0</v>
      </c>
      <c r="W88" s="285">
        <f ca="1"/>
        <v>3.9117080231809778E-2</v>
      </c>
      <c r="X88" s="285">
        <f ca="1"/>
        <v>5.7442304329973146E-3</v>
      </c>
      <c r="Y88" s="285">
        <f ca="1"/>
        <v>6.0338874947308261E-4</v>
      </c>
      <c r="Z88" s="285">
        <f ca="1"/>
        <v>8.8605897912414733E-5</v>
      </c>
      <c r="AA88" s="285">
        <f ca="1"/>
        <v>2.3137077709125631E-4</v>
      </c>
      <c r="AB88" s="285">
        <f ca="1"/>
        <v>3.397613142897764E-5</v>
      </c>
      <c r="AC88" s="285">
        <f ca="1"/>
        <v>0.75296016832699841</v>
      </c>
      <c r="AD88" s="285">
        <f ca="1"/>
        <v>0.18867663896431416</v>
      </c>
      <c r="AE88" s="283">
        <f t="shared" ca="1" si="25"/>
        <v>1.0000000000000011</v>
      </c>
      <c r="AF88" s="418">
        <f t="shared" ca="1" si="29"/>
        <v>3.9951839758374116E-2</v>
      </c>
    </row>
    <row r="89" spans="1:32" ht="12" customHeight="1" x14ac:dyDescent="0.25">
      <c r="A89" s="262"/>
      <c r="C89" s="263"/>
      <c r="D89" s="62">
        <f t="shared" si="26"/>
        <v>79</v>
      </c>
      <c r="E89" s="63">
        <f t="shared" si="22"/>
        <v>19.75</v>
      </c>
      <c r="F89" s="63">
        <f t="shared" si="27"/>
        <v>74.75</v>
      </c>
      <c r="G89" s="62">
        <f t="shared" si="23"/>
        <v>0</v>
      </c>
      <c r="H89" s="285">
        <f t="array" aca="1" ref="H89:Q89" ca="1">MMULT(H88:Q88, OFFSET(AB.rngTPMroot, MIN(4, INT(($F88-55)/5))*10, $G89*13))</f>
        <v>1.2789742861327597E-4</v>
      </c>
      <c r="I89" s="285">
        <f ca="1"/>
        <v>0</v>
      </c>
      <c r="J89" s="285">
        <f ca="1"/>
        <v>3.8923547350622582E-2</v>
      </c>
      <c r="K89" s="285">
        <f ca="1"/>
        <v>5.7158106874714929E-3</v>
      </c>
      <c r="L89" s="285">
        <f ca="1"/>
        <v>6.0040346625487076E-4</v>
      </c>
      <c r="M89" s="285">
        <f ca="1"/>
        <v>8.816751768026172E-5</v>
      </c>
      <c r="N89" s="285">
        <f ca="1"/>
        <v>2.3022606350712281E-4</v>
      </c>
      <c r="O89" s="285">
        <f ca="1"/>
        <v>3.3808033540073909E-5</v>
      </c>
      <c r="P89" s="285">
        <f ca="1"/>
        <v>0.76158945478966755</v>
      </c>
      <c r="Q89" s="285">
        <f ca="1"/>
        <v>0.19269068466264394</v>
      </c>
      <c r="R89" s="283">
        <f t="shared" ca="1" si="24"/>
        <v>1.0000000000000013</v>
      </c>
      <c r="S89" s="418">
        <f t="shared" ca="1" si="28"/>
        <v>3.9754176880384573E-2</v>
      </c>
      <c r="U89" s="285">
        <f t="array" aca="1" ref="U89:AD89" ca="1">MMULT(U88:AD88, OFFSET(AB.rngTPMroot, MIN(4, INT(($F88-55)/5))*10, $G89*13))</f>
        <v>1.1834124521456778E-2</v>
      </c>
      <c r="V89" s="285">
        <f ca="1"/>
        <v>0</v>
      </c>
      <c r="W89" s="285">
        <f ca="1"/>
        <v>3.8931440710686598E-2</v>
      </c>
      <c r="X89" s="285">
        <f ca="1"/>
        <v>5.7169698046353927E-3</v>
      </c>
      <c r="Y89" s="285">
        <f ca="1"/>
        <v>6.0052522290516132E-4</v>
      </c>
      <c r="Z89" s="285">
        <f ca="1"/>
        <v>8.8185397293256192E-5</v>
      </c>
      <c r="AA89" s="285">
        <f ca="1"/>
        <v>2.3027275136933161E-4</v>
      </c>
      <c r="AB89" s="285">
        <f ca="1"/>
        <v>3.3814889518008925E-5</v>
      </c>
      <c r="AC89" s="285">
        <f ca="1"/>
        <v>0.75003769741341775</v>
      </c>
      <c r="AD89" s="285">
        <f ca="1"/>
        <v>0.19252696928871904</v>
      </c>
      <c r="AE89" s="283">
        <f t="shared" ca="1" si="25"/>
        <v>1.0000000000000013</v>
      </c>
      <c r="AF89" s="418">
        <f t="shared" ca="1" si="29"/>
        <v>3.9762238684961093E-2</v>
      </c>
    </row>
    <row r="90" spans="1:32" ht="12" customHeight="1" x14ac:dyDescent="0.25">
      <c r="A90" s="262"/>
      <c r="C90" s="263"/>
      <c r="D90" s="62">
        <f t="shared" si="26"/>
        <v>80</v>
      </c>
      <c r="E90" s="63">
        <f t="shared" si="22"/>
        <v>20</v>
      </c>
      <c r="F90" s="63">
        <f t="shared" si="27"/>
        <v>75</v>
      </c>
      <c r="G90" s="62">
        <f t="shared" si="23"/>
        <v>0</v>
      </c>
      <c r="H90" s="285">
        <f t="array" aca="1" ref="H90:Q90" ca="1">MMULT(H89:Q89, OFFSET(AB.rngTPMroot, MIN(4, INT(($F89-55)/5))*10, $G90*13))</f>
        <v>1.2065440720083814E-4</v>
      </c>
      <c r="I90" s="285">
        <f ca="1"/>
        <v>0</v>
      </c>
      <c r="J90" s="285">
        <f ca="1"/>
        <v>3.8738826286377377E-2</v>
      </c>
      <c r="K90" s="285">
        <f ca="1"/>
        <v>5.6886849318536162E-3</v>
      </c>
      <c r="L90" s="285">
        <f ca="1"/>
        <v>5.9755410706712614E-4</v>
      </c>
      <c r="M90" s="285">
        <f ca="1"/>
        <v>8.7749097500028697E-5</v>
      </c>
      <c r="N90" s="285">
        <f ca="1"/>
        <v>2.2913347029908523E-4</v>
      </c>
      <c r="O90" s="285">
        <f ca="1"/>
        <v>3.3647589378104174E-5</v>
      </c>
      <c r="P90" s="285">
        <f ca="1"/>
        <v>0.75798178474346223</v>
      </c>
      <c r="Q90" s="285">
        <f ca="1"/>
        <v>0.19652196536686273</v>
      </c>
      <c r="R90" s="283">
        <f t="shared" ca="1" si="24"/>
        <v>1.0000000000000011</v>
      </c>
      <c r="S90" s="418">
        <f t="shared" ca="1" si="28"/>
        <v>3.9565513863743587E-2</v>
      </c>
      <c r="U90" s="285">
        <f t="array" aca="1" ref="U90:AD90" ca="1">MMULT(U89:AD89, OFFSET(AB.rngTPMroot, MIN(4, INT(($F89-55)/5))*10, $G90*13))</f>
        <v>1.1163940466658121E-2</v>
      </c>
      <c r="V90" s="285">
        <f ca="1"/>
        <v>0</v>
      </c>
      <c r="W90" s="285">
        <f ca="1"/>
        <v>3.8746682186600996E-2</v>
      </c>
      <c r="X90" s="285">
        <f ca="1"/>
        <v>5.6898385481479732E-3</v>
      </c>
      <c r="Y90" s="285">
        <f ca="1"/>
        <v>5.9767528589192145E-4</v>
      </c>
      <c r="Z90" s="285">
        <f ca="1"/>
        <v>8.7766892261015452E-5</v>
      </c>
      <c r="AA90" s="285">
        <f ca="1"/>
        <v>2.2917993659280449E-4</v>
      </c>
      <c r="AB90" s="285">
        <f ca="1"/>
        <v>3.3654412819345419E-5</v>
      </c>
      <c r="AC90" s="285">
        <f ca="1"/>
        <v>0.74709223532737212</v>
      </c>
      <c r="AD90" s="285">
        <f ca="1"/>
        <v>0.19635902694365695</v>
      </c>
      <c r="AE90" s="283">
        <f t="shared" ca="1" si="25"/>
        <v>1.0000000000000013</v>
      </c>
      <c r="AF90" s="418">
        <f t="shared" ca="1" si="29"/>
        <v>3.9573537409085723E-2</v>
      </c>
    </row>
    <row r="91" spans="1:32" ht="12" customHeight="1" x14ac:dyDescent="0.25">
      <c r="A91" s="262"/>
      <c r="C91" s="263"/>
      <c r="D91" s="62">
        <f t="shared" si="26"/>
        <v>81</v>
      </c>
      <c r="E91" s="63">
        <f t="shared" si="22"/>
        <v>20.25</v>
      </c>
      <c r="F91" s="63">
        <f t="shared" si="27"/>
        <v>75.25</v>
      </c>
      <c r="G91" s="62">
        <f t="shared" si="23"/>
        <v>0</v>
      </c>
      <c r="H91" s="285">
        <f t="array" aca="1" ref="H91:Q91" ca="1">MMULT(H90:Q90, OFFSET(AB.rngTPMroot, MIN(4, INT(($F90-55)/5))*10, $G91*13))</f>
        <v>1.1338703552031591E-4</v>
      </c>
      <c r="I91" s="285">
        <f ca="1"/>
        <v>0</v>
      </c>
      <c r="J91" s="285">
        <f ca="1"/>
        <v>3.8554981860411515E-2</v>
      </c>
      <c r="K91" s="285">
        <f ca="1"/>
        <v>5.6616879080391659E-3</v>
      </c>
      <c r="L91" s="285">
        <f ca="1"/>
        <v>5.9471827019934981E-4</v>
      </c>
      <c r="M91" s="285">
        <f ca="1"/>
        <v>8.7332663033489708E-5</v>
      </c>
      <c r="N91" s="285">
        <f ca="1"/>
        <v>2.280460622551427E-4</v>
      </c>
      <c r="O91" s="285">
        <f ca="1"/>
        <v>3.3487906642529729E-5</v>
      </c>
      <c r="P91" s="285">
        <f ca="1"/>
        <v>0.75146278445048531</v>
      </c>
      <c r="Q91" s="285">
        <f ca="1"/>
        <v>0.20326357384341434</v>
      </c>
      <c r="R91" s="283">
        <f t="shared" ca="1" si="24"/>
        <v>1.0000000000000011</v>
      </c>
      <c r="S91" s="418">
        <f t="shared" ca="1" si="28"/>
        <v>3.9377746192866006E-2</v>
      </c>
      <c r="U91" s="285">
        <f t="array" aca="1" ref="U91:AD91" ca="1">MMULT(U90:AD90, OFFSET(AB.rngTPMroot, MIN(4, INT(($F90-55)/5))*10, $G91*13))</f>
        <v>1.0491503324305117E-2</v>
      </c>
      <c r="V91" s="285">
        <f ca="1"/>
        <v>0</v>
      </c>
      <c r="W91" s="285">
        <f ca="1"/>
        <v>3.8562800478569435E-2</v>
      </c>
      <c r="X91" s="285">
        <f ca="1"/>
        <v>5.6628360495696809E-3</v>
      </c>
      <c r="Y91" s="285">
        <f ca="1"/>
        <v>5.9483887394085999E-4</v>
      </c>
      <c r="Z91" s="285">
        <f ca="1"/>
        <v>8.7350373345154348E-5</v>
      </c>
      <c r="AA91" s="285">
        <f ca="1"/>
        <v>2.2809230803187897E-4</v>
      </c>
      <c r="AB91" s="285">
        <f ca="1"/>
        <v>3.3494697701487914E-5</v>
      </c>
      <c r="AC91" s="285">
        <f ca="1"/>
        <v>0.74123708133421118</v>
      </c>
      <c r="AD91" s="285">
        <f ca="1"/>
        <v>0.20310200256032651</v>
      </c>
      <c r="AE91" s="283">
        <f t="shared" ca="1" si="25"/>
        <v>1.0000000000000013</v>
      </c>
      <c r="AF91" s="418">
        <f t="shared" ca="1" si="29"/>
        <v>3.938573166054217E-2</v>
      </c>
    </row>
    <row r="92" spans="1:32" ht="12" customHeight="1" x14ac:dyDescent="0.25">
      <c r="A92" s="262"/>
      <c r="C92" s="263"/>
      <c r="D92" s="62">
        <f t="shared" si="26"/>
        <v>82</v>
      </c>
      <c r="E92" s="63">
        <f t="shared" si="22"/>
        <v>20.5</v>
      </c>
      <c r="F92" s="63">
        <f t="shared" si="27"/>
        <v>75.5</v>
      </c>
      <c r="G92" s="62">
        <f t="shared" si="23"/>
        <v>0</v>
      </c>
      <c r="H92" s="285">
        <f t="array" aca="1" ref="H92:Q92" ca="1">MMULT(H91:Q91, OFFSET(AB.rngTPMroot, MIN(4, INT(($F91-55)/5))*10, $G92*13))</f>
        <v>1.0655739912330425E-4</v>
      </c>
      <c r="I92" s="285">
        <f ca="1"/>
        <v>0</v>
      </c>
      <c r="J92" s="285">
        <f ca="1"/>
        <v>3.8223074035779063E-2</v>
      </c>
      <c r="K92" s="285">
        <f ca="1"/>
        <v>5.6348190051003751E-3</v>
      </c>
      <c r="L92" s="285">
        <f ca="1"/>
        <v>5.895985259326891E-4</v>
      </c>
      <c r="M92" s="285">
        <f ca="1"/>
        <v>8.6918204856962377E-5</v>
      </c>
      <c r="N92" s="285">
        <f ca="1"/>
        <v>2.2608288476712985E-4</v>
      </c>
      <c r="O92" s="285">
        <f ca="1"/>
        <v>3.3328981719818296E-5</v>
      </c>
      <c r="P92" s="285">
        <f ca="1"/>
        <v>0.74515071121470389</v>
      </c>
      <c r="Q92" s="285">
        <f ca="1"/>
        <v>0.20994890974801794</v>
      </c>
      <c r="R92" s="283">
        <f t="shared" ca="1" si="24"/>
        <v>1.0000000000000013</v>
      </c>
      <c r="S92" s="418">
        <f t="shared" ca="1" si="28"/>
        <v>3.9038755446478883E-2</v>
      </c>
      <c r="U92" s="285">
        <f t="array" aca="1" ref="U92:AD92" ca="1">MMULT(U91:AD91, OFFSET(AB.rngTPMroot, MIN(4, INT(($F91-55)/5))*10, $G92*13))</f>
        <v>9.8595690592082497E-3</v>
      </c>
      <c r="V92" s="285">
        <f ca="1"/>
        <v>0</v>
      </c>
      <c r="W92" s="285">
        <f ca="1"/>
        <v>3.8230825345889625E-2</v>
      </c>
      <c r="X92" s="285">
        <f ca="1"/>
        <v>5.6359616978488604E-3</v>
      </c>
      <c r="Y92" s="285">
        <f ca="1"/>
        <v>5.8971809143417027E-4</v>
      </c>
      <c r="Z92" s="285">
        <f ca="1"/>
        <v>8.6935831120079504E-5</v>
      </c>
      <c r="AA92" s="285">
        <f ca="1"/>
        <v>2.2612873242838501E-4</v>
      </c>
      <c r="AB92" s="285">
        <f ca="1"/>
        <v>3.3335740550171341E-5</v>
      </c>
      <c r="AC92" s="285">
        <f ca="1"/>
        <v>0.73554883130806648</v>
      </c>
      <c r="AD92" s="285">
        <f ca="1"/>
        <v>0.20978869419345528</v>
      </c>
      <c r="AE92" s="283">
        <f t="shared" ca="1" si="25"/>
        <v>1.0000000000000013</v>
      </c>
      <c r="AF92" s="418">
        <f t="shared" ca="1" si="29"/>
        <v>3.9046672169752182E-2</v>
      </c>
    </row>
    <row r="93" spans="1:32" ht="12" customHeight="1" x14ac:dyDescent="0.25">
      <c r="A93" s="262"/>
      <c r="C93" s="263"/>
      <c r="D93" s="62">
        <f t="shared" si="26"/>
        <v>83</v>
      </c>
      <c r="E93" s="63">
        <f t="shared" si="22"/>
        <v>20.75</v>
      </c>
      <c r="F93" s="63">
        <f t="shared" si="27"/>
        <v>75.75</v>
      </c>
      <c r="G93" s="62">
        <f t="shared" si="23"/>
        <v>0</v>
      </c>
      <c r="H93" s="285">
        <f t="array" aca="1" ref="H93:Q93" ca="1">MMULT(H92:Q92, OFFSET(AB.rngTPMroot, MIN(4, INT(($F92-55)/5))*10, $G93*13))</f>
        <v>1.0013913191944015E-4</v>
      </c>
      <c r="I93" s="285">
        <f ca="1"/>
        <v>0</v>
      </c>
      <c r="J93" s="285">
        <f ca="1"/>
        <v>3.7901712207834691E-2</v>
      </c>
      <c r="K93" s="285">
        <f ca="1"/>
        <v>5.5863106041639755E-3</v>
      </c>
      <c r="L93" s="285">
        <f ca="1"/>
        <v>5.8464145576429621E-4</v>
      </c>
      <c r="M93" s="285">
        <f ca="1"/>
        <v>8.6169953116124295E-5</v>
      </c>
      <c r="N93" s="285">
        <f ca="1"/>
        <v>2.2418208502905302E-4</v>
      </c>
      <c r="O93" s="285">
        <f ca="1"/>
        <v>3.3042062901910649E-5</v>
      </c>
      <c r="P93" s="285">
        <f ca="1"/>
        <v>0.73890563067591708</v>
      </c>
      <c r="Q93" s="285">
        <f ca="1"/>
        <v>0.21657817182335462</v>
      </c>
      <c r="R93" s="283">
        <f t="shared" ca="1" si="24"/>
        <v>1.0000000000000011</v>
      </c>
      <c r="S93" s="418">
        <f t="shared" ca="1" si="28"/>
        <v>3.8710535748628039E-2</v>
      </c>
      <c r="U93" s="285">
        <f t="array" aca="1" ref="U93:AD93" ca="1">MMULT(U92:AD92, OFFSET(AB.rngTPMroot, MIN(4, INT(($F92-55)/5))*10, $G93*13))</f>
        <v>9.2656980633168927E-3</v>
      </c>
      <c r="V93" s="285">
        <f ca="1"/>
        <v>0</v>
      </c>
      <c r="W93" s="285">
        <f ca="1"/>
        <v>3.7909398348535184E-2</v>
      </c>
      <c r="X93" s="285">
        <f ca="1"/>
        <v>5.5874434598266647E-3</v>
      </c>
      <c r="Y93" s="285">
        <f ca="1"/>
        <v>5.8476001601465394E-4</v>
      </c>
      <c r="Z93" s="285">
        <f ca="1"/>
        <v>8.6187427640234822E-5</v>
      </c>
      <c r="AA93" s="285">
        <f ca="1"/>
        <v>2.2422754722449726E-4</v>
      </c>
      <c r="AB93" s="285">
        <f ca="1"/>
        <v>3.3048763547599326E-5</v>
      </c>
      <c r="AC93" s="285">
        <f ca="1"/>
        <v>0.72988993574786798</v>
      </c>
      <c r="AD93" s="285">
        <f ca="1"/>
        <v>0.21641930062602763</v>
      </c>
      <c r="AE93" s="283">
        <f t="shared" ca="1" si="25"/>
        <v>1.0000000000000013</v>
      </c>
      <c r="AF93" s="418">
        <f t="shared" ca="1" si="29"/>
        <v>3.8718385911774331E-2</v>
      </c>
    </row>
    <row r="94" spans="1:32" ht="12" customHeight="1" x14ac:dyDescent="0.25">
      <c r="A94" s="262"/>
      <c r="C94" s="263"/>
      <c r="D94" s="62">
        <f t="shared" si="26"/>
        <v>84</v>
      </c>
      <c r="E94" s="63">
        <f t="shared" si="22"/>
        <v>21</v>
      </c>
      <c r="F94" s="63">
        <f t="shared" si="27"/>
        <v>76</v>
      </c>
      <c r="G94" s="62">
        <f t="shared" si="23"/>
        <v>0</v>
      </c>
      <c r="H94" s="285">
        <f t="array" aca="1" ref="H94:Q94" ca="1">MMULT(H93:Q93, OFFSET(AB.rngTPMroot, MIN(4, INT(($F93-55)/5))*10, $G94*13))</f>
        <v>9.4107455925938915E-5</v>
      </c>
      <c r="I94" s="285">
        <f ca="1"/>
        <v>0</v>
      </c>
      <c r="J94" s="285">
        <f ca="1"/>
        <v>3.7583778363253752E-2</v>
      </c>
      <c r="K94" s="285">
        <f ca="1"/>
        <v>5.5393435029428987E-3</v>
      </c>
      <c r="L94" s="285">
        <f ca="1"/>
        <v>5.7973726292168072E-4</v>
      </c>
      <c r="M94" s="285">
        <f ca="1"/>
        <v>8.5445476230216143E-5</v>
      </c>
      <c r="N94" s="285">
        <f ca="1"/>
        <v>2.2230156122082453E-4</v>
      </c>
      <c r="O94" s="285">
        <f ca="1"/>
        <v>3.2764260605756471E-5</v>
      </c>
      <c r="P94" s="285">
        <f ca="1"/>
        <v>0.73271071725124615</v>
      </c>
      <c r="Q94" s="285">
        <f ca="1"/>
        <v>0.22315180486565406</v>
      </c>
      <c r="R94" s="283">
        <f t="shared" ca="1" si="24"/>
        <v>1.0000000000000013</v>
      </c>
      <c r="S94" s="418">
        <f t="shared" ca="1" si="28"/>
        <v>3.8385817187396261E-2</v>
      </c>
      <c r="U94" s="285">
        <f t="array" aca="1" ref="U94:AD94" ca="1">MMULT(U93:AD93, OFFSET(AB.rngTPMroot, MIN(4, INT(($F93-55)/5))*10, $G94*13))</f>
        <v>8.7075976733864118E-3</v>
      </c>
      <c r="V94" s="285">
        <f ca="1"/>
        <v>0</v>
      </c>
      <c r="W94" s="285">
        <f ca="1"/>
        <v>3.7591400029709676E-2</v>
      </c>
      <c r="X94" s="285">
        <f ca="1"/>
        <v>5.5404668340820968E-3</v>
      </c>
      <c r="Y94" s="285">
        <f ca="1"/>
        <v>5.798548286439811E-4</v>
      </c>
      <c r="Z94" s="285">
        <f ca="1"/>
        <v>8.5462803836655797E-5</v>
      </c>
      <c r="AA94" s="285">
        <f ca="1"/>
        <v>2.2234664206224178E-4</v>
      </c>
      <c r="AB94" s="285">
        <f ca="1"/>
        <v>3.277090491553284E-5</v>
      </c>
      <c r="AC94" s="285">
        <f ca="1"/>
        <v>0.7242458335388906</v>
      </c>
      <c r="AD94" s="285">
        <f ca="1"/>
        <v>0.22299426674447412</v>
      </c>
      <c r="AE94" s="283">
        <f t="shared" ca="1" si="25"/>
        <v>1.0000000000000013</v>
      </c>
      <c r="AF94" s="418">
        <f t="shared" ca="1" si="29"/>
        <v>3.8393601500415903E-2</v>
      </c>
    </row>
    <row r="95" spans="1:32" ht="12" customHeight="1" x14ac:dyDescent="0.25">
      <c r="A95" s="262"/>
      <c r="C95" s="263"/>
      <c r="D95" s="62">
        <f t="shared" si="26"/>
        <v>85</v>
      </c>
      <c r="E95" s="63">
        <f t="shared" si="22"/>
        <v>21.25</v>
      </c>
      <c r="F95" s="63">
        <f t="shared" si="27"/>
        <v>76.25</v>
      </c>
      <c r="G95" s="62">
        <f t="shared" si="23"/>
        <v>0</v>
      </c>
      <c r="H95" s="285">
        <f t="array" aca="1" ref="H95:Q95" ca="1">MMULT(H94:Q94, OFFSET(AB.rngTPMroot, MIN(4, INT(($F94-55)/5))*10, $G95*13))</f>
        <v>8.8439085611179195E-5</v>
      </c>
      <c r="I95" s="285">
        <f ca="1"/>
        <v>0</v>
      </c>
      <c r="J95" s="285">
        <f ca="1"/>
        <v>3.7268415539541737E-2</v>
      </c>
      <c r="K95" s="285">
        <f ca="1"/>
        <v>5.4928774022377953E-3</v>
      </c>
      <c r="L95" s="285">
        <f ca="1"/>
        <v>5.7487272858777196E-4</v>
      </c>
      <c r="M95" s="285">
        <f ca="1"/>
        <v>8.4728727376999282E-5</v>
      </c>
      <c r="N95" s="285">
        <f ca="1"/>
        <v>2.2043624455722019E-4</v>
      </c>
      <c r="O95" s="285">
        <f ca="1"/>
        <v>3.2489421641170417E-5</v>
      </c>
      <c r="P95" s="285">
        <f ca="1"/>
        <v>0.72656746179115383</v>
      </c>
      <c r="Q95" s="285">
        <f ca="1"/>
        <v>0.22967027905929352</v>
      </c>
      <c r="R95" s="283">
        <f t="shared" ca="1" si="24"/>
        <v>1.0000000000000013</v>
      </c>
      <c r="S95" s="418">
        <f t="shared" ca="1" si="28"/>
        <v>3.8063724512686727E-2</v>
      </c>
      <c r="U95" s="285">
        <f t="array" aca="1" ref="U95:AD95" ca="1">MMULT(U94:AD94, OFFSET(AB.rngTPMroot, MIN(4, INT(($F94-55)/5))*10, $G95*13))</f>
        <v>8.1831133200580396E-3</v>
      </c>
      <c r="V95" s="285">
        <f ca="1"/>
        <v>0</v>
      </c>
      <c r="W95" s="285">
        <f ca="1"/>
        <v>3.7275973253133948E-2</v>
      </c>
      <c r="X95" s="285">
        <f ca="1"/>
        <v>5.4939913104520921E-3</v>
      </c>
      <c r="Y95" s="285">
        <f ca="1"/>
        <v>5.7498930782441898E-4</v>
      </c>
      <c r="Z95" s="285">
        <f ca="1"/>
        <v>8.4745909632946511E-5</v>
      </c>
      <c r="AA95" s="285">
        <f ca="1"/>
        <v>2.2048094712848833E-4</v>
      </c>
      <c r="AB95" s="285">
        <f ca="1"/>
        <v>3.2496010215972594E-5</v>
      </c>
      <c r="AC95" s="285">
        <f ca="1"/>
        <v>0.71862014711303412</v>
      </c>
      <c r="AD95" s="285">
        <f ca="1"/>
        <v>0.22951406282852133</v>
      </c>
      <c r="AE95" s="283">
        <f t="shared" ca="1" si="25"/>
        <v>1.0000000000000013</v>
      </c>
      <c r="AF95" s="418">
        <f t="shared" ca="1" si="29"/>
        <v>3.8071443508086854E-2</v>
      </c>
    </row>
    <row r="96" spans="1:32" ht="12" customHeight="1" x14ac:dyDescent="0.25">
      <c r="A96" s="262"/>
      <c r="C96" s="263"/>
      <c r="D96" s="62">
        <f t="shared" si="26"/>
        <v>86</v>
      </c>
      <c r="E96" s="63">
        <f t="shared" si="22"/>
        <v>21.5</v>
      </c>
      <c r="F96" s="63">
        <f t="shared" si="27"/>
        <v>76.5</v>
      </c>
      <c r="G96" s="62">
        <f t="shared" si="23"/>
        <v>0</v>
      </c>
      <c r="H96" s="285">
        <f t="array" aca="1" ref="H96:Q96" ca="1">MMULT(H95:Q95, OFFSET(AB.rngTPMroot, MIN(4, INT(($F95-55)/5))*10, $G96*13))</f>
        <v>8.3112137999956758E-5</v>
      </c>
      <c r="I96" s="285">
        <f ca="1"/>
        <v>0</v>
      </c>
      <c r="J96" s="285">
        <f ca="1"/>
        <v>3.6955698372969886E-2</v>
      </c>
      <c r="K96" s="285">
        <f ca="1"/>
        <v>5.4467870567932487E-3</v>
      </c>
      <c r="L96" s="285">
        <f ca="1"/>
        <v>5.7004900404191219E-4</v>
      </c>
      <c r="M96" s="285">
        <f ca="1"/>
        <v>8.401777462347671E-5</v>
      </c>
      <c r="N96" s="285">
        <f ca="1"/>
        <v>2.1858657649890059E-4</v>
      </c>
      <c r="O96" s="285">
        <f ca="1"/>
        <v>3.2216805204086815E-5</v>
      </c>
      <c r="P96" s="285">
        <f ca="1"/>
        <v>0.72047547501554399</v>
      </c>
      <c r="Q96" s="285">
        <f ca="1"/>
        <v>0.2361340572563258</v>
      </c>
      <c r="R96" s="283">
        <f t="shared" ca="1" si="24"/>
        <v>1.0000000000000013</v>
      </c>
      <c r="S96" s="418">
        <f t="shared" ca="1" si="28"/>
        <v>3.7744333953510699E-2</v>
      </c>
      <c r="U96" s="285">
        <f t="array" aca="1" ref="U96:AD96" ca="1">MMULT(U95:AD95, OFFSET(AB.rngTPMroot, MIN(4, INT(($F95-55)/5))*10, $G96*13))</f>
        <v>7.6902202100558315E-3</v>
      </c>
      <c r="V96" s="285">
        <f ca="1"/>
        <v>0</v>
      </c>
      <c r="W96" s="285">
        <f ca="1"/>
        <v>3.6963192670214889E-2</v>
      </c>
      <c r="X96" s="285">
        <f ca="1"/>
        <v>5.4478916182825708E-3</v>
      </c>
      <c r="Y96" s="285">
        <f ca="1"/>
        <v>5.7016460506877922E-4</v>
      </c>
      <c r="Z96" s="285">
        <f ca="1"/>
        <v>8.403481270433062E-5</v>
      </c>
      <c r="AA96" s="285">
        <f ca="1"/>
        <v>2.1863090397342201E-4</v>
      </c>
      <c r="AB96" s="285">
        <f ca="1"/>
        <v>3.2223338494624223E-5</v>
      </c>
      <c r="AC96" s="285">
        <f ca="1"/>
        <v>0.71301449001712247</v>
      </c>
      <c r="AD96" s="285">
        <f ca="1"/>
        <v>0.23597915182408447</v>
      </c>
      <c r="AE96" s="283">
        <f t="shared" ca="1" si="25"/>
        <v>1.0000000000000013</v>
      </c>
      <c r="AF96" s="418">
        <f t="shared" ca="1" si="29"/>
        <v>3.7751988179257089E-2</v>
      </c>
    </row>
    <row r="97" spans="1:32" ht="12" customHeight="1" x14ac:dyDescent="0.25">
      <c r="A97" s="262"/>
      <c r="C97" s="263"/>
      <c r="D97" s="62">
        <f t="shared" si="26"/>
        <v>87</v>
      </c>
      <c r="E97" s="63">
        <f t="shared" si="22"/>
        <v>21.75</v>
      </c>
      <c r="F97" s="63">
        <f t="shared" si="27"/>
        <v>76.75</v>
      </c>
      <c r="G97" s="62">
        <f t="shared" si="23"/>
        <v>0</v>
      </c>
      <c r="H97" s="285">
        <f t="array" aca="1" ref="H97:Q97" ca="1">MMULT(H96:Q96, OFFSET(AB.rngTPMroot, MIN(4, INT(($F96-55)/5))*10, $G97*13))</f>
        <v>7.8106048193364556E-5</v>
      </c>
      <c r="I97" s="285">
        <f ca="1"/>
        <v>0</v>
      </c>
      <c r="J97" s="285">
        <f ca="1"/>
        <v>3.6645605952927818E-2</v>
      </c>
      <c r="K97" s="285">
        <f ca="1"/>
        <v>5.4010833747165747E-3</v>
      </c>
      <c r="L97" s="285">
        <f ca="1"/>
        <v>5.6526576673377306E-4</v>
      </c>
      <c r="M97" s="285">
        <f ca="1"/>
        <v>8.3312786229375311E-5</v>
      </c>
      <c r="N97" s="285">
        <f ca="1"/>
        <v>2.1675243336321485E-4</v>
      </c>
      <c r="O97" s="285">
        <f ca="1"/>
        <v>3.1946475814077472E-5</v>
      </c>
      <c r="P97" s="285">
        <f ca="1"/>
        <v>0.7144343287820768</v>
      </c>
      <c r="Q97" s="285">
        <f ca="1"/>
        <v>0.24254359837994624</v>
      </c>
      <c r="R97" s="283">
        <f t="shared" ca="1" si="24"/>
        <v>1.0000000000000013</v>
      </c>
      <c r="S97" s="418">
        <f t="shared" ca="1" si="28"/>
        <v>3.7427624153024808E-2</v>
      </c>
      <c r="U97" s="285">
        <f t="array" aca="1" ref="U97:AD97" ca="1">MMULT(U96:AD96, OFFSET(AB.rngTPMroot, MIN(4, INT(($F96-55)/5))*10, $G97*13))</f>
        <v>7.2270155093894879E-3</v>
      </c>
      <c r="V97" s="285">
        <f ca="1"/>
        <v>0</v>
      </c>
      <c r="W97" s="285">
        <f ca="1"/>
        <v>3.6653037366101572E-2</v>
      </c>
      <c r="X97" s="285">
        <f ca="1"/>
        <v>5.4021786678929247E-3</v>
      </c>
      <c r="Y97" s="285">
        <f ca="1"/>
        <v>5.6538039776132299E-4</v>
      </c>
      <c r="Z97" s="285">
        <f ca="1"/>
        <v>8.3329681344656599E-5</v>
      </c>
      <c r="AA97" s="285">
        <f ca="1"/>
        <v>2.1679638888931005E-4</v>
      </c>
      <c r="AB97" s="285">
        <f ca="1"/>
        <v>3.1952954284143563E-5</v>
      </c>
      <c r="AC97" s="285">
        <f ca="1"/>
        <v>0.70743031628691344</v>
      </c>
      <c r="AD97" s="285">
        <f ca="1"/>
        <v>0.24238999274742454</v>
      </c>
      <c r="AE97" s="283">
        <f t="shared" ca="1" si="25"/>
        <v>1.0000000000000013</v>
      </c>
      <c r="AF97" s="418">
        <f t="shared" ca="1" si="29"/>
        <v>3.7435214152752201E-2</v>
      </c>
    </row>
    <row r="98" spans="1:32" ht="12" customHeight="1" x14ac:dyDescent="0.25">
      <c r="A98" s="262"/>
      <c r="C98" s="263"/>
      <c r="D98" s="62">
        <f t="shared" si="26"/>
        <v>88</v>
      </c>
      <c r="E98" s="63">
        <f t="shared" si="22"/>
        <v>22</v>
      </c>
      <c r="F98" s="63">
        <f t="shared" si="27"/>
        <v>77</v>
      </c>
      <c r="G98" s="62">
        <f t="shared" si="23"/>
        <v>0</v>
      </c>
      <c r="H98" s="285">
        <f t="array" aca="1" ref="H98:Q98" ca="1">MMULT(H97:Q97, OFFSET(AB.rngTPMroot, MIN(4, INT(($F97-55)/5))*10, $G98*13))</f>
        <v>7.3401489977160269E-5</v>
      </c>
      <c r="I98" s="285">
        <f ca="1"/>
        <v>0</v>
      </c>
      <c r="J98" s="285">
        <f ca="1"/>
        <v>3.6338115459413158E-2</v>
      </c>
      <c r="K98" s="285">
        <f ca="1"/>
        <v>5.3557632999175053E-3</v>
      </c>
      <c r="L98" s="285">
        <f ca="1"/>
        <v>5.6052266466027532E-4</v>
      </c>
      <c r="M98" s="285">
        <f ca="1"/>
        <v>8.2613715053894286E-5</v>
      </c>
      <c r="N98" s="285">
        <f ca="1"/>
        <v>2.1493368017378825E-4</v>
      </c>
      <c r="O98" s="285">
        <f ca="1"/>
        <v>3.1678415394895988E-5</v>
      </c>
      <c r="P98" s="285">
        <f ca="1"/>
        <v>0.70844361374484277</v>
      </c>
      <c r="Q98" s="285">
        <f ca="1"/>
        <v>0.24889935753056774</v>
      </c>
      <c r="R98" s="283">
        <f t="shared" ca="1" si="24"/>
        <v>1.0000000000000011</v>
      </c>
      <c r="S98" s="418">
        <f t="shared" ca="1" si="28"/>
        <v>3.7113571804247215E-2</v>
      </c>
      <c r="U98" s="285">
        <f t="array" aca="1" ref="U98:AD98" ca="1">MMULT(U97:AD97, OFFSET(AB.rngTPMroot, MIN(4, INT(($F97-55)/5))*10, $G98*13))</f>
        <v>6.7917109973859909E-3</v>
      </c>
      <c r="V98" s="285">
        <f ca="1"/>
        <v>0</v>
      </c>
      <c r="W98" s="285">
        <f ca="1"/>
        <v>3.6345484516163956E-2</v>
      </c>
      <c r="X98" s="285">
        <f ca="1"/>
        <v>5.3568494025731314E-3</v>
      </c>
      <c r="Y98" s="285">
        <f ca="1"/>
        <v>5.6063633382758818E-4</v>
      </c>
      <c r="Z98" s="285">
        <f ca="1"/>
        <v>8.2630468403563888E-5</v>
      </c>
      <c r="AA98" s="285">
        <f ca="1"/>
        <v>2.1497726687240578E-4</v>
      </c>
      <c r="AB98" s="285">
        <f ca="1"/>
        <v>3.1684839504618495E-5</v>
      </c>
      <c r="AC98" s="285">
        <f ca="1"/>
        <v>0.70186898538402531</v>
      </c>
      <c r="AD98" s="285">
        <f ca="1"/>
        <v>0.24874704079124491</v>
      </c>
      <c r="AE98" s="283">
        <f t="shared" ca="1" si="25"/>
        <v>1.0000000000000016</v>
      </c>
      <c r="AF98" s="418">
        <f t="shared" ca="1" si="29"/>
        <v>3.7121098116863947E-2</v>
      </c>
    </row>
    <row r="99" spans="1:32" ht="12" customHeight="1" x14ac:dyDescent="0.25">
      <c r="A99" s="262"/>
      <c r="C99" s="263"/>
      <c r="D99" s="62">
        <f t="shared" si="26"/>
        <v>89</v>
      </c>
      <c r="E99" s="63">
        <f t="shared" si="22"/>
        <v>22.25</v>
      </c>
      <c r="F99" s="63">
        <f t="shared" si="27"/>
        <v>77.25</v>
      </c>
      <c r="G99" s="62">
        <f t="shared" si="23"/>
        <v>0</v>
      </c>
      <c r="H99" s="285">
        <f t="array" aca="1" ref="H99:Q99" ca="1">MMULT(H98:Q98, OFFSET(AB.rngTPMroot, MIN(4, INT(($F98-55)/5))*10, $G99*13))</f>
        <v>6.8980301212126537E-5</v>
      </c>
      <c r="I99" s="285">
        <f ca="1"/>
        <v>0</v>
      </c>
      <c r="J99" s="285">
        <f ca="1"/>
        <v>3.6033205091353784E-2</v>
      </c>
      <c r="K99" s="285">
        <f ca="1"/>
        <v>5.3108234972477179E-3</v>
      </c>
      <c r="L99" s="285">
        <f ca="1"/>
        <v>5.5581936153554178E-4</v>
      </c>
      <c r="M99" s="285">
        <f ca="1"/>
        <v>8.1920509651706852E-5</v>
      </c>
      <c r="N99" s="285">
        <f ca="1"/>
        <v>2.1313018798104245E-4</v>
      </c>
      <c r="O99" s="285">
        <f ca="1"/>
        <v>3.1412604219715768E-5</v>
      </c>
      <c r="P99" s="285">
        <f ca="1"/>
        <v>0.7025029224580196</v>
      </c>
      <c r="Q99" s="285">
        <f ca="1"/>
        <v>0.25520178598878002</v>
      </c>
      <c r="R99" s="283">
        <f t="shared" ca="1" si="24"/>
        <v>1.0000000000000013</v>
      </c>
      <c r="S99" s="418">
        <f t="shared" ca="1" si="28"/>
        <v>3.6802154640870367E-2</v>
      </c>
      <c r="U99" s="285">
        <f t="array" aca="1" ref="U99:AD99" ca="1">MMULT(U98:AD98, OFFSET(AB.rngTPMroot, MIN(4, INT(($F98-55)/5))*10, $G99*13))</f>
        <v>6.3826261631906309E-3</v>
      </c>
      <c r="V99" s="285">
        <f ca="1"/>
        <v>0</v>
      </c>
      <c r="W99" s="285">
        <f ca="1"/>
        <v>3.6040512314908853E-2</v>
      </c>
      <c r="X99" s="285">
        <f ca="1"/>
        <v>5.3119004864985338E-3</v>
      </c>
      <c r="Y99" s="285">
        <f ca="1"/>
        <v>5.5593207691350148E-4</v>
      </c>
      <c r="Z99" s="285">
        <f ca="1"/>
        <v>8.1937122425293087E-5</v>
      </c>
      <c r="AA99" s="285">
        <f ca="1"/>
        <v>2.1317340894698103E-4</v>
      </c>
      <c r="AB99" s="285">
        <f ca="1"/>
        <v>3.1418974425221999E-5</v>
      </c>
      <c r="AC99" s="285">
        <f ca="1"/>
        <v>0.69633175212504139</v>
      </c>
      <c r="AD99" s="285">
        <f ca="1"/>
        <v>0.2550507473276511</v>
      </c>
      <c r="AE99" s="283">
        <f t="shared" ca="1" si="25"/>
        <v>1.0000000000000016</v>
      </c>
      <c r="AF99" s="418">
        <f t="shared" ca="1" si="29"/>
        <v>3.6809617800769336E-2</v>
      </c>
    </row>
    <row r="100" spans="1:32" ht="12" customHeight="1" x14ac:dyDescent="0.25">
      <c r="A100" s="262"/>
      <c r="C100" s="263"/>
      <c r="D100" s="62">
        <f t="shared" si="26"/>
        <v>90</v>
      </c>
      <c r="E100" s="63">
        <f t="shared" si="22"/>
        <v>22.5</v>
      </c>
      <c r="F100" s="63">
        <f t="shared" si="27"/>
        <v>77.5</v>
      </c>
      <c r="G100" s="62">
        <f t="shared" si="23"/>
        <v>0</v>
      </c>
      <c r="H100" s="285">
        <f t="array" aca="1" ref="H100:Q100" ca="1">MMULT(H99:Q99, OFFSET(AB.rngTPMroot, MIN(4, INT(($F99-55)/5))*10, $G100*13))</f>
        <v>6.4825413718390469E-5</v>
      </c>
      <c r="I100" s="285">
        <f ca="1"/>
        <v>0</v>
      </c>
      <c r="J100" s="285">
        <f ca="1"/>
        <v>3.5730853203512339E-2</v>
      </c>
      <c r="K100" s="285">
        <f ca="1"/>
        <v>5.26626078047577E-3</v>
      </c>
      <c r="L100" s="285">
        <f ca="1"/>
        <v>5.5115552347747719E-4</v>
      </c>
      <c r="M100" s="285">
        <f ca="1"/>
        <v>8.1233120874558721E-5</v>
      </c>
      <c r="N100" s="285">
        <f ca="1"/>
        <v>2.1134182875713503E-4</v>
      </c>
      <c r="O100" s="285">
        <f ca="1"/>
        <v>3.1149023442527829E-5</v>
      </c>
      <c r="P100" s="285">
        <f ca="1"/>
        <v>0.69661184985738611</v>
      </c>
      <c r="Q100" s="285">
        <f ca="1"/>
        <v>0.26145133124835696</v>
      </c>
      <c r="R100" s="283">
        <f t="shared" ca="1" si="24"/>
        <v>1.0000000000000013</v>
      </c>
      <c r="S100" s="418">
        <f t="shared" ca="1" si="28"/>
        <v>3.6493350555746949E-2</v>
      </c>
      <c r="U100" s="285">
        <f t="array" aca="1" ref="U100:AD100" ca="1">MMULT(U99:AD99, OFFSET(AB.rngTPMroot, MIN(4, INT(($F99-55)/5))*10, $G100*13))</f>
        <v>5.9981817180861877E-3</v>
      </c>
      <c r="V100" s="285">
        <f ca="1"/>
        <v>0</v>
      </c>
      <c r="W100" s="285">
        <f ca="1"/>
        <v>3.57380991127094E-2</v>
      </c>
      <c r="X100" s="285">
        <f ca="1"/>
        <v>5.2673287327915487E-3</v>
      </c>
      <c r="Y100" s="285">
        <f ca="1"/>
        <v>5.5126729306925921E-4</v>
      </c>
      <c r="Z100" s="285">
        <f ca="1"/>
        <v>8.1249594251623028E-5</v>
      </c>
      <c r="AA100" s="285">
        <f ca="1"/>
        <v>2.1138468705923026E-4</v>
      </c>
      <c r="AB100" s="285">
        <f ca="1"/>
        <v>3.1155340196123288E-5</v>
      </c>
      <c r="AC100" s="285">
        <f ca="1"/>
        <v>0.69081977358067326</v>
      </c>
      <c r="AD100" s="285">
        <f ca="1"/>
        <v>0.26130155994116488</v>
      </c>
      <c r="AE100" s="283">
        <f t="shared" ca="1" si="25"/>
        <v>1.0000000000000016</v>
      </c>
      <c r="AF100" s="418">
        <f t="shared" ca="1" si="29"/>
        <v>3.6500751092837888E-2</v>
      </c>
    </row>
    <row r="101" spans="1:32" ht="12" customHeight="1" x14ac:dyDescent="0.25">
      <c r="A101" s="262"/>
      <c r="C101" s="263"/>
      <c r="D101" s="62">
        <f t="shared" si="26"/>
        <v>91</v>
      </c>
      <c r="E101" s="63">
        <f t="shared" si="22"/>
        <v>22.75</v>
      </c>
      <c r="F101" s="63">
        <f t="shared" si="27"/>
        <v>77.75</v>
      </c>
      <c r="G101" s="62">
        <f t="shared" si="23"/>
        <v>0</v>
      </c>
      <c r="H101" s="285">
        <f t="array" aca="1" ref="H101:Q101" ca="1">MMULT(H100:Q100, OFFSET(AB.rngTPMroot, MIN(4, INT(($F100-55)/5))*10, $G101*13))</f>
        <v>6.0920787383017822E-5</v>
      </c>
      <c r="I101" s="285">
        <f ca="1"/>
        <v>0</v>
      </c>
      <c r="J101" s="285">
        <f ca="1"/>
        <v>3.5431038327408799E-2</v>
      </c>
      <c r="K101" s="285">
        <f ca="1"/>
        <v>5.2220719861455021E-3</v>
      </c>
      <c r="L101" s="285">
        <f ca="1"/>
        <v>5.4653081933050398E-4</v>
      </c>
      <c r="M101" s="285">
        <f ca="1"/>
        <v>8.055149992550889E-5</v>
      </c>
      <c r="N101" s="285">
        <f ca="1"/>
        <v>2.0956847551971256E-4</v>
      </c>
      <c r="O101" s="285">
        <f ca="1"/>
        <v>3.0887654352035085E-5</v>
      </c>
      <c r="P101" s="285">
        <f ca="1"/>
        <v>0.69076999340173362</v>
      </c>
      <c r="Q101" s="285">
        <f ca="1"/>
        <v>0.26764843704820257</v>
      </c>
      <c r="R101" s="283">
        <f t="shared" ca="1" si="24"/>
        <v>1.0000000000000013</v>
      </c>
      <c r="S101" s="418">
        <f t="shared" ca="1" si="28"/>
        <v>3.6187137622259016E-2</v>
      </c>
      <c r="U101" s="285">
        <f t="array" aca="1" ref="U101:AD101" ca="1">MMULT(U100:AD100, OFFSET(AB.rngTPMroot, MIN(4, INT(($F100-55)/5))*10, $G101*13))</f>
        <v>5.6368934985843071E-3</v>
      </c>
      <c r="V101" s="285">
        <f ca="1"/>
        <v>0</v>
      </c>
      <c r="W101" s="285">
        <f ca="1"/>
        <v>3.5438223436731996E-2</v>
      </c>
      <c r="X101" s="285">
        <f ca="1"/>
        <v>5.2231309773544893E-3</v>
      </c>
      <c r="Y101" s="285">
        <f ca="1"/>
        <v>5.4664165107212812E-4</v>
      </c>
      <c r="Z101" s="285">
        <f ca="1"/>
        <v>8.0567835075717129E-5</v>
      </c>
      <c r="AA101" s="285">
        <f ca="1"/>
        <v>2.0961097420104922E-4</v>
      </c>
      <c r="AB101" s="285">
        <f ca="1"/>
        <v>3.0893918102230766E-5</v>
      </c>
      <c r="AC101" s="285">
        <f ca="1"/>
        <v>0.68533411524820298</v>
      </c>
      <c r="AD101" s="285">
        <f ca="1"/>
        <v>0.26749992246067672</v>
      </c>
      <c r="AE101" s="283">
        <f t="shared" ca="1" si="25"/>
        <v>1.0000000000000016</v>
      </c>
      <c r="AF101" s="418">
        <f t="shared" ca="1" si="29"/>
        <v>3.6194476062005175E-2</v>
      </c>
    </row>
    <row r="102" spans="1:32" ht="12" customHeight="1" x14ac:dyDescent="0.25">
      <c r="A102" s="262"/>
      <c r="C102" s="263"/>
      <c r="D102" s="62">
        <f t="shared" si="26"/>
        <v>92</v>
      </c>
      <c r="E102" s="63">
        <f t="shared" si="22"/>
        <v>23</v>
      </c>
      <c r="F102" s="63">
        <f t="shared" si="27"/>
        <v>78</v>
      </c>
      <c r="G102" s="62">
        <f t="shared" si="23"/>
        <v>0</v>
      </c>
      <c r="H102" s="285">
        <f t="array" aca="1" ref="H102:Q102" ca="1">MMULT(H101:Q101, OFFSET(AB.rngTPMroot, MIN(4, INT(($F101-55)/5))*10, $G102*13))</f>
        <v>5.7251348236501638E-5</v>
      </c>
      <c r="I102" s="285">
        <f ca="1"/>
        <v>0</v>
      </c>
      <c r="J102" s="285">
        <f ca="1"/>
        <v>3.5133739175161181E-2</v>
      </c>
      <c r="K102" s="285">
        <f ca="1"/>
        <v>5.1782539766338769E-3</v>
      </c>
      <c r="L102" s="285">
        <f ca="1"/>
        <v>5.4194492072480438E-4</v>
      </c>
      <c r="M102" s="285">
        <f ca="1"/>
        <v>7.9875598406097491E-5</v>
      </c>
      <c r="N102" s="285">
        <f ca="1"/>
        <v>2.0781000235462786E-4</v>
      </c>
      <c r="O102" s="285">
        <f ca="1"/>
        <v>3.0628478389738893E-5</v>
      </c>
      <c r="P102" s="285">
        <f ca="1"/>
        <v>0.68497695309625262</v>
      </c>
      <c r="Q102" s="285">
        <f ca="1"/>
        <v>0.27379354340384177</v>
      </c>
      <c r="R102" s="283">
        <f t="shared" ca="1" si="24"/>
        <v>1.0000000000000013</v>
      </c>
      <c r="S102" s="418">
        <f t="shared" ca="1" si="28"/>
        <v>3.5883494098240612E-2</v>
      </c>
      <c r="U102" s="285">
        <f t="array" aca="1" ref="U102:AD102" ca="1">MMULT(U101:AD101, OFFSET(AB.rngTPMroot, MIN(4, INT(($F101-55)/5))*10, $G102*13))</f>
        <v>5.2973667367517165E-3</v>
      </c>
      <c r="V102" s="285">
        <f ca="1"/>
        <v>0</v>
      </c>
      <c r="W102" s="285">
        <f ca="1"/>
        <v>3.5140863994777623E-2</v>
      </c>
      <c r="X102" s="285">
        <f ca="1"/>
        <v>5.1793040819280425E-3</v>
      </c>
      <c r="Y102" s="285">
        <f ca="1"/>
        <v>5.4205482248570035E-4</v>
      </c>
      <c r="Z102" s="285">
        <f ca="1"/>
        <v>7.9891796489300673E-5</v>
      </c>
      <c r="AA102" s="285">
        <f ca="1"/>
        <v>2.0785214443275646E-4</v>
      </c>
      <c r="AB102" s="285">
        <f ca="1"/>
        <v>3.0634689581282299E-5</v>
      </c>
      <c r="AC102" s="285">
        <f ca="1"/>
        <v>0.67987575674261236</v>
      </c>
      <c r="AD102" s="285">
        <f ca="1"/>
        <v>0.27364627499094285</v>
      </c>
      <c r="AE102" s="283">
        <f t="shared" ca="1" si="25"/>
        <v>1.0000000000000018</v>
      </c>
      <c r="AF102" s="418">
        <f t="shared" ca="1" si="29"/>
        <v>3.5890770961696079E-2</v>
      </c>
    </row>
    <row r="103" spans="1:32" ht="12" customHeight="1" x14ac:dyDescent="0.25">
      <c r="A103" s="262"/>
      <c r="C103" s="263"/>
      <c r="D103" s="62">
        <f t="shared" si="26"/>
        <v>93</v>
      </c>
      <c r="E103" s="63">
        <f t="shared" si="22"/>
        <v>23.25</v>
      </c>
      <c r="F103" s="63">
        <f t="shared" si="27"/>
        <v>78.25</v>
      </c>
      <c r="G103" s="62">
        <f t="shared" si="23"/>
        <v>0</v>
      </c>
      <c r="H103" s="285">
        <f t="array" aca="1" ref="H103:Q103" ca="1">MMULT(H102:Q102, OFFSET(AB.rngTPMroot, MIN(4, INT(($F102-55)/5))*10, $G103*13))</f>
        <v>5.3802930259087072E-5</v>
      </c>
      <c r="I103" s="285">
        <f ca="1"/>
        <v>0</v>
      </c>
      <c r="J103" s="285">
        <f ca="1"/>
        <v>3.4838934637525645E-2</v>
      </c>
      <c r="K103" s="285">
        <f ca="1"/>
        <v>5.1348036407123021E-3</v>
      </c>
      <c r="L103" s="285">
        <f ca="1"/>
        <v>5.3739750204609004E-4</v>
      </c>
      <c r="M103" s="285">
        <f ca="1"/>
        <v>7.9205368325004053E-5</v>
      </c>
      <c r="N103" s="285">
        <f ca="1"/>
        <v>2.0606628440434754E-4</v>
      </c>
      <c r="O103" s="285">
        <f ca="1"/>
        <v>3.037147715325919E-5</v>
      </c>
      <c r="P103" s="285">
        <f ca="1"/>
        <v>0.679232331520913</v>
      </c>
      <c r="Q103" s="285">
        <f ca="1"/>
        <v>0.27988708663866246</v>
      </c>
      <c r="R103" s="283">
        <f t="shared" ca="1" si="24"/>
        <v>1.0000000000000013</v>
      </c>
      <c r="S103" s="418">
        <f t="shared" ca="1" si="28"/>
        <v>3.5582398423976078E-2</v>
      </c>
      <c r="U103" s="285">
        <f t="array" aca="1" ref="U103:AD103" ca="1">MMULT(U102:AD102, OFFSET(AB.rngTPMroot, MIN(4, INT(($F102-55)/5))*10, $G103*13))</f>
        <v>4.9782906756516256E-3</v>
      </c>
      <c r="V103" s="285">
        <f ca="1"/>
        <v>0</v>
      </c>
      <c r="W103" s="285">
        <f ca="1"/>
        <v>3.48459996733217E-2</v>
      </c>
      <c r="X103" s="285">
        <f ca="1"/>
        <v>5.1358449346526804E-3</v>
      </c>
      <c r="Y103" s="285">
        <f ca="1"/>
        <v>5.3750648162965541E-4</v>
      </c>
      <c r="Z103" s="285">
        <f ca="1"/>
        <v>7.922143049132105E-5</v>
      </c>
      <c r="AA103" s="285">
        <f ca="1"/>
        <v>2.0610807287149848E-4</v>
      </c>
      <c r="AB103" s="285">
        <f ca="1"/>
        <v>3.0377636227165987E-5</v>
      </c>
      <c r="AC103" s="285">
        <f ca="1"/>
        <v>0.67444559715132224</v>
      </c>
      <c r="AD103" s="285">
        <f ca="1"/>
        <v>0.27974105394383375</v>
      </c>
      <c r="AE103" s="283">
        <f t="shared" ca="1" si="25"/>
        <v>1.0000000000000018</v>
      </c>
      <c r="AF103" s="418">
        <f t="shared" ca="1" si="29"/>
        <v>3.5589614227822849E-2</v>
      </c>
    </row>
    <row r="104" spans="1:32" ht="12" customHeight="1" x14ac:dyDescent="0.25">
      <c r="A104" s="262"/>
      <c r="C104" s="263"/>
      <c r="D104" s="62">
        <f t="shared" si="26"/>
        <v>94</v>
      </c>
      <c r="E104" s="63">
        <f t="shared" si="22"/>
        <v>23.5</v>
      </c>
      <c r="F104" s="63">
        <f t="shared" si="27"/>
        <v>78.5</v>
      </c>
      <c r="G104" s="62">
        <f t="shared" si="23"/>
        <v>0</v>
      </c>
      <c r="H104" s="285">
        <f t="array" aca="1" ref="H104:Q104" ca="1">MMULT(H103:Q103, OFFSET(AB.rngTPMroot, MIN(4, INT(($F103-55)/5))*10, $G104*13))</f>
        <v>5.0562220692273295E-5</v>
      </c>
      <c r="I104" s="285">
        <f ca="1"/>
        <v>0</v>
      </c>
      <c r="J104" s="285">
        <f ca="1"/>
        <v>3.4546603782380267E-2</v>
      </c>
      <c r="K104" s="285">
        <f ca="1"/>
        <v>5.091717893260188E-3</v>
      </c>
      <c r="L104" s="285">
        <f ca="1"/>
        <v>5.3288824041221349E-4</v>
      </c>
      <c r="M104" s="285">
        <f ca="1"/>
        <v>7.854076209362935E-5</v>
      </c>
      <c r="N104" s="285">
        <f ca="1"/>
        <v>2.0433719785898372E-4</v>
      </c>
      <c r="O104" s="285">
        <f ca="1"/>
        <v>3.011663239464025E-5</v>
      </c>
      <c r="P104" s="285">
        <f ca="1"/>
        <v>0.67353573385601284</v>
      </c>
      <c r="Q104" s="285">
        <f ca="1"/>
        <v>0.28592949941489609</v>
      </c>
      <c r="R104" s="283">
        <f t="shared" ca="1" si="24"/>
        <v>1.0000000000000011</v>
      </c>
      <c r="S104" s="418">
        <f t="shared" ca="1" si="28"/>
        <v>3.5283829220651465E-2</v>
      </c>
      <c r="U104" s="285">
        <f t="array" aca="1" ref="U104:AD104" ca="1">MMULT(U103:AD103, OFFSET(AB.rngTPMroot, MIN(4, INT(($F103-55)/5))*10, $G104*13))</f>
        <v>4.67843350911302E-3</v>
      </c>
      <c r="V104" s="285">
        <f ca="1"/>
        <v>0</v>
      </c>
      <c r="W104" s="285">
        <f ca="1"/>
        <v>3.4553609535997412E-2</v>
      </c>
      <c r="X104" s="285">
        <f ca="1"/>
        <v>5.0927504497821812E-3</v>
      </c>
      <c r="Y104" s="285">
        <f ca="1"/>
        <v>5.3299630555636828E-4</v>
      </c>
      <c r="Z104" s="285">
        <f ca="1"/>
        <v>7.8556689483528415E-5</v>
      </c>
      <c r="AA104" s="285">
        <f ca="1"/>
        <v>2.0437863568227994E-4</v>
      </c>
      <c r="AB104" s="285">
        <f ca="1"/>
        <v>3.0122739788225563E-5</v>
      </c>
      <c r="AC104" s="285">
        <f ca="1"/>
        <v>0.66904446006527751</v>
      </c>
      <c r="AD104" s="285">
        <f ca="1"/>
        <v>0.28578469206932111</v>
      </c>
      <c r="AE104" s="283">
        <f t="shared" ca="1" si="25"/>
        <v>1.0000000000000018</v>
      </c>
      <c r="AF104" s="418">
        <f t="shared" ca="1" si="29"/>
        <v>3.5290984477236061E-2</v>
      </c>
    </row>
    <row r="105" spans="1:32" ht="12" customHeight="1" x14ac:dyDescent="0.25">
      <c r="A105" s="262"/>
      <c r="C105" s="263"/>
      <c r="D105" s="62">
        <f t="shared" si="26"/>
        <v>95</v>
      </c>
      <c r="E105" s="63">
        <f t="shared" si="22"/>
        <v>23.75</v>
      </c>
      <c r="F105" s="63">
        <f t="shared" si="27"/>
        <v>78.75</v>
      </c>
      <c r="G105" s="62">
        <f t="shared" si="23"/>
        <v>0</v>
      </c>
      <c r="H105" s="285">
        <f t="array" aca="1" ref="H105:Q105" ca="1">MMULT(H104:Q104, OFFSET(AB.rngTPMroot, MIN(4, INT(($F104-55)/5))*10, $G105*13))</f>
        <v>4.7516708644365367E-5</v>
      </c>
      <c r="I105" s="285">
        <f ca="1"/>
        <v>0</v>
      </c>
      <c r="J105" s="285">
        <f ca="1"/>
        <v>3.4256725853243068E-2</v>
      </c>
      <c r="K105" s="285">
        <f ca="1"/>
        <v>5.0489936750433501E-3</v>
      </c>
      <c r="L105" s="285">
        <f ca="1"/>
        <v>5.2841681565030845E-4</v>
      </c>
      <c r="M105" s="285">
        <f ca="1"/>
        <v>7.7881732522677141E-5</v>
      </c>
      <c r="N105" s="285">
        <f ca="1"/>
        <v>2.0262261994752866E-4</v>
      </c>
      <c r="O105" s="285">
        <f ca="1"/>
        <v>2.9863926019039961E-5</v>
      </c>
      <c r="P105" s="285">
        <f ca="1"/>
        <v>0.66788676790459256</v>
      </c>
      <c r="Q105" s="285">
        <f ca="1"/>
        <v>0.29192121076433825</v>
      </c>
      <c r="R105" s="283">
        <f t="shared" ca="1" si="24"/>
        <v>1.0000000000000011</v>
      </c>
      <c r="S105" s="418">
        <f t="shared" ca="1" si="28"/>
        <v>3.4987765288840907E-2</v>
      </c>
      <c r="U105" s="285">
        <f t="array" aca="1" ref="U105:AD105" ca="1">MMULT(U104:AD104, OFFSET(AB.rngTPMroot, MIN(4, INT(($F104-55)/5))*10, $G105*13))</f>
        <v>4.3966376262926038E-3</v>
      </c>
      <c r="V105" s="285">
        <f ca="1"/>
        <v>0</v>
      </c>
      <c r="W105" s="285">
        <f ca="1"/>
        <v>3.4263672822113581E-2</v>
      </c>
      <c r="X105" s="285">
        <f ca="1"/>
        <v>5.050017567461971E-3</v>
      </c>
      <c r="Y105" s="285">
        <f ca="1"/>
        <v>5.2852397402804435E-4</v>
      </c>
      <c r="Z105" s="285">
        <f ca="1"/>
        <v>7.7897526267056968E-5</v>
      </c>
      <c r="AA105" s="285">
        <f ca="1"/>
        <v>2.0266371006919608E-4</v>
      </c>
      <c r="AB105" s="285">
        <f ca="1"/>
        <v>2.9869982165949456E-5</v>
      </c>
      <c r="AC105" s="285">
        <f ca="1"/>
        <v>0.66367309830539878</v>
      </c>
      <c r="AD105" s="285">
        <f ca="1"/>
        <v>0.29177761848620448</v>
      </c>
      <c r="AE105" s="283">
        <f t="shared" ca="1" si="25"/>
        <v>1.0000000000000016</v>
      </c>
      <c r="AF105" s="418">
        <f t="shared" ca="1" si="29"/>
        <v>3.4994860506210819E-2</v>
      </c>
    </row>
    <row r="106" spans="1:32" ht="12" customHeight="1" x14ac:dyDescent="0.25">
      <c r="A106" s="262"/>
      <c r="C106" s="263"/>
      <c r="D106" s="62">
        <f t="shared" si="26"/>
        <v>96</v>
      </c>
      <c r="E106" s="63">
        <f t="shared" ref="E106:E130" si="30">D106*AB.cycleLength</f>
        <v>24</v>
      </c>
      <c r="F106" s="63">
        <f t="shared" si="27"/>
        <v>79</v>
      </c>
      <c r="G106" s="62">
        <f t="shared" ref="G106:G130" si="31">IF(AND(E105&lt;AB.maxDurHPE, E106&gt;=AB.maxDurHPE), 1, 0)</f>
        <v>0</v>
      </c>
      <c r="H106" s="285">
        <f t="array" aca="1" ref="H106:Q106" ca="1">MMULT(H105:Q105, OFFSET(AB.rngTPMroot, MIN(4, INT(($F105-55)/5))*10, $G106*13))</f>
        <v>4.4654636791665673E-5</v>
      </c>
      <c r="I106" s="285">
        <f ca="1"/>
        <v>0</v>
      </c>
      <c r="J106" s="285">
        <f ca="1"/>
        <v>3.3969280267798184E-2</v>
      </c>
      <c r="K106" s="285">
        <f ca="1"/>
        <v>5.0066279524974234E-3</v>
      </c>
      <c r="L106" s="285">
        <f ca="1"/>
        <v>5.2398291027405534E-4</v>
      </c>
      <c r="M106" s="285">
        <f ca="1"/>
        <v>7.7228232818813178E-5</v>
      </c>
      <c r="N106" s="285">
        <f ca="1"/>
        <v>2.0092242892913689E-4</v>
      </c>
      <c r="O106" s="285">
        <f ca="1"/>
        <v>2.9613340083448781E-5</v>
      </c>
      <c r="P106" s="285">
        <f ca="1"/>
        <v>0.66228504411199707</v>
      </c>
      <c r="Q106" s="285">
        <f ca="1"/>
        <v>0.29786264611881125</v>
      </c>
      <c r="R106" s="283">
        <f t="shared" ref="R106:R130" ca="1" si="32">SUM(H106:Q106)</f>
        <v>1.0000000000000011</v>
      </c>
      <c r="S106" s="418">
        <f t="shared" ca="1" si="28"/>
        <v>3.4694185607001375E-2</v>
      </c>
      <c r="U106" s="285">
        <f t="array" aca="1" ref="U106:AD106" ca="1">MMULT(U105:AD105, OFFSET(AB.rngTPMroot, MIN(4, INT(($F105-55)/5))*10, $G106*13))</f>
        <v>4.1318151426708426E-3</v>
      </c>
      <c r="V106" s="285">
        <f ca="1"/>
        <v>0</v>
      </c>
      <c r="W106" s="285">
        <f ca="1"/>
        <v>3.39761689451804E-2</v>
      </c>
      <c r="X106" s="285">
        <f ca="1"/>
        <v>5.007643253512507E-3</v>
      </c>
      <c r="Y106" s="285">
        <f ca="1"/>
        <v>5.2408916949398042E-4</v>
      </c>
      <c r="Z106" s="285">
        <f ca="1"/>
        <v>7.7243894039083196E-5</v>
      </c>
      <c r="AA106" s="285">
        <f ca="1"/>
        <v>2.0096317426671344E-4</v>
      </c>
      <c r="AB106" s="285">
        <f ca="1"/>
        <v>2.9619345413689413E-5</v>
      </c>
      <c r="AC106" s="285">
        <f ca="1"/>
        <v>0.6583321983628444</v>
      </c>
      <c r="AD106" s="285">
        <f ca="1"/>
        <v>0.29772025871258007</v>
      </c>
      <c r="AE106" s="283">
        <f t="shared" ref="AE106:AE130" ca="1" si="33">SUM(U106:AD106)</f>
        <v>1.0000000000000018</v>
      </c>
      <c r="AF106" s="418">
        <f t="shared" ca="1" si="29"/>
        <v>3.4701221288941091E-2</v>
      </c>
    </row>
    <row r="107" spans="1:32" ht="12" customHeight="1" x14ac:dyDescent="0.25">
      <c r="A107" s="262"/>
      <c r="C107" s="263"/>
      <c r="D107" s="62">
        <f t="shared" ref="D107:D130" si="34">D106+1</f>
        <v>97</v>
      </c>
      <c r="E107" s="63">
        <f t="shared" si="30"/>
        <v>24.25</v>
      </c>
      <c r="F107" s="63">
        <f t="shared" ref="F107:F130" si="35">F106+AB.cycleLength</f>
        <v>79.25</v>
      </c>
      <c r="G107" s="62">
        <f t="shared" si="31"/>
        <v>0</v>
      </c>
      <c r="H107" s="285">
        <f t="array" aca="1" ref="H107:Q107" ca="1">MMULT(H106:Q106, OFFSET(AB.rngTPMroot, MIN(4, INT(($F106-55)/5))*10, $G107*13))</f>
        <v>4.1964955988845378E-5</v>
      </c>
      <c r="I107" s="285">
        <f ca="1"/>
        <v>0</v>
      </c>
      <c r="J107" s="285">
        <f ca="1"/>
        <v>3.3684246616434384E-2</v>
      </c>
      <c r="K107" s="285">
        <f ca="1"/>
        <v>4.9646177175124567E-3</v>
      </c>
      <c r="L107" s="285">
        <f ca="1"/>
        <v>5.1958620946113805E-4</v>
      </c>
      <c r="M107" s="285">
        <f ca="1"/>
        <v>7.6580216581342665E-5</v>
      </c>
      <c r="N107" s="285">
        <f ca="1"/>
        <v>1.9923650408448112E-4</v>
      </c>
      <c r="O107" s="285">
        <f ca="1"/>
        <v>2.9364856795415593E-5</v>
      </c>
      <c r="P107" s="285">
        <f ca="1"/>
        <v>0.65673017558277158</v>
      </c>
      <c r="Q107" s="285">
        <f ca="1"/>
        <v>0.30375422734037133</v>
      </c>
      <c r="R107" s="283">
        <f t="shared" ca="1" si="32"/>
        <v>1.0000000000000009</v>
      </c>
      <c r="S107" s="418">
        <f t="shared" ca="1" si="28"/>
        <v>3.4403069329980003E-2</v>
      </c>
      <c r="U107" s="285">
        <f t="array" aca="1" ref="U107:AD107" ca="1">MMULT(U106:AD106, OFFSET(AB.rngTPMroot, MIN(4, INT(($F106-55)/5))*10, $G107*13))</f>
        <v>3.882943700229324E-3</v>
      </c>
      <c r="V107" s="285">
        <f ca="1"/>
        <v>0</v>
      </c>
      <c r="W107" s="285">
        <f ca="1"/>
        <v>3.3691077491447764E-2</v>
      </c>
      <c r="X107" s="285">
        <f ca="1"/>
        <v>4.9656244992138162E-3</v>
      </c>
      <c r="Y107" s="285">
        <f ca="1"/>
        <v>5.1969157706801725E-4</v>
      </c>
      <c r="Z107" s="285">
        <f ca="1"/>
        <v>7.659574638950258E-5</v>
      </c>
      <c r="AA107" s="285">
        <f ca="1"/>
        <v>1.9927690753102396E-4</v>
      </c>
      <c r="AB107" s="285">
        <f ca="1"/>
        <v>2.9370811735386175E-5</v>
      </c>
      <c r="AC107" s="285">
        <f ca="1"/>
        <v>0.65302238457033279</v>
      </c>
      <c r="AD107" s="285">
        <f ca="1"/>
        <v>0.30361303469605405</v>
      </c>
      <c r="AE107" s="283">
        <f t="shared" ca="1" si="33"/>
        <v>1.0000000000000018</v>
      </c>
      <c r="AF107" s="418">
        <f t="shared" ca="1" si="29"/>
        <v>3.4410045976046799E-2</v>
      </c>
    </row>
    <row r="108" spans="1:32" ht="12" customHeight="1" x14ac:dyDescent="0.25">
      <c r="A108" s="262"/>
      <c r="C108" s="263"/>
      <c r="D108" s="62">
        <f t="shared" si="34"/>
        <v>98</v>
      </c>
      <c r="E108" s="63">
        <f t="shared" si="30"/>
        <v>24.5</v>
      </c>
      <c r="F108" s="63">
        <f t="shared" si="35"/>
        <v>79.5</v>
      </c>
      <c r="G108" s="62">
        <f t="shared" si="31"/>
        <v>0</v>
      </c>
      <c r="H108" s="285">
        <f t="array" aca="1" ref="H108:Q108" ca="1">MMULT(H107:Q107, OFFSET(AB.rngTPMroot, MIN(4, INT(($F107-55)/5))*10, $G108*13))</f>
        <v>3.9437282613267453E-5</v>
      </c>
      <c r="I108" s="285">
        <f ca="1"/>
        <v>0</v>
      </c>
      <c r="J108" s="285">
        <f ca="1"/>
        <v>3.3401604660795933E-2</v>
      </c>
      <c r="K108" s="285">
        <f ca="1"/>
        <v>4.9229599872193169E-3</v>
      </c>
      <c r="L108" s="285">
        <f ca="1"/>
        <v>5.1522640103089049E-4</v>
      </c>
      <c r="M108" s="285">
        <f ca="1"/>
        <v>7.5937637798915449E-5</v>
      </c>
      <c r="N108" s="285">
        <f ca="1"/>
        <v>1.9756472570718083E-4</v>
      </c>
      <c r="O108" s="285">
        <f ca="1"/>
        <v>2.9118458511784399E-5</v>
      </c>
      <c r="P108" s="285">
        <f ca="1"/>
        <v>0.65122177809506154</v>
      </c>
      <c r="Q108" s="285">
        <f ca="1"/>
        <v>0.30959637275126223</v>
      </c>
      <c r="R108" s="283">
        <f t="shared" ca="1" si="32"/>
        <v>1.0000000000000011</v>
      </c>
      <c r="S108" s="418">
        <f t="shared" ca="1" si="28"/>
        <v>3.4114395787534002E-2</v>
      </c>
      <c r="U108" s="285">
        <f t="array" aca="1" ref="U108:AD108" ca="1">MMULT(U107:AD107, OFFSET(AB.rngTPMroot, MIN(4, INT(($F107-55)/5))*10, $G108*13))</f>
        <v>3.6490625205958566E-3</v>
      </c>
      <c r="V108" s="285">
        <f ca="1"/>
        <v>0</v>
      </c>
      <c r="W108" s="285">
        <f ca="1"/>
        <v>3.3408378218455763E-2</v>
      </c>
      <c r="X108" s="285">
        <f ca="1"/>
        <v>4.9239583210918692E-3</v>
      </c>
      <c r="Y108" s="285">
        <f ca="1"/>
        <v>5.1533088450618134E-4</v>
      </c>
      <c r="Z108" s="285">
        <f ca="1"/>
        <v>7.595303729763431E-5</v>
      </c>
      <c r="AA108" s="285">
        <f ca="1"/>
        <v>1.9760479013147169E-4</v>
      </c>
      <c r="AB108" s="285">
        <f ca="1"/>
        <v>2.9124363484305861E-5</v>
      </c>
      <c r="AC108" s="285">
        <f ca="1"/>
        <v>0.6477442230207362</v>
      </c>
      <c r="AD108" s="285">
        <f ca="1"/>
        <v>0.30945636484370237</v>
      </c>
      <c r="AE108" s="283">
        <f t="shared" ca="1" si="33"/>
        <v>1.0000000000000016</v>
      </c>
      <c r="AF108" s="418">
        <f t="shared" ca="1" si="29"/>
        <v>3.4121313893093412E-2</v>
      </c>
    </row>
    <row r="109" spans="1:32" ht="12" customHeight="1" x14ac:dyDescent="0.25">
      <c r="A109" s="262"/>
      <c r="C109" s="263"/>
      <c r="D109" s="62">
        <f t="shared" si="34"/>
        <v>99</v>
      </c>
      <c r="E109" s="63">
        <f t="shared" si="30"/>
        <v>24.75</v>
      </c>
      <c r="F109" s="63">
        <f t="shared" si="35"/>
        <v>79.75</v>
      </c>
      <c r="G109" s="62">
        <f t="shared" si="31"/>
        <v>0</v>
      </c>
      <c r="H109" s="285">
        <f t="array" aca="1" ref="H109:Q109" ca="1">MMULT(H108:Q108, OFFSET(AB.rngTPMroot, MIN(4, INT(($F108-55)/5))*10, $G109*13))</f>
        <v>3.7061858478587185E-5</v>
      </c>
      <c r="I109" s="285">
        <f ca="1"/>
        <v>0</v>
      </c>
      <c r="J109" s="285">
        <f ca="1"/>
        <v>3.3121334332345619E-2</v>
      </c>
      <c r="K109" s="285">
        <f ca="1"/>
        <v>4.8816518037779026E-3</v>
      </c>
      <c r="L109" s="285">
        <f ca="1"/>
        <v>5.1090317542213141E-4</v>
      </c>
      <c r="M109" s="285">
        <f ca="1"/>
        <v>7.530045084625913E-5</v>
      </c>
      <c r="N109" s="285">
        <f ca="1"/>
        <v>1.9590697509530263E-4</v>
      </c>
      <c r="O109" s="285">
        <f ca="1"/>
        <v>2.8874127737441584E-5</v>
      </c>
      <c r="P109" s="285">
        <f ca="1"/>
        <v>0.64575947011268042</v>
      </c>
      <c r="Q109" s="285">
        <f ca="1"/>
        <v>0.31538949716361747</v>
      </c>
      <c r="R109" s="283">
        <f t="shared" ca="1" si="32"/>
        <v>1.0000000000000011</v>
      </c>
      <c r="S109" s="418">
        <f t="shared" ca="1" si="28"/>
        <v>3.3828144482863053E-2</v>
      </c>
      <c r="U109" s="285">
        <f t="array" aca="1" ref="U109:AD109" ca="1">MMULT(U108:AD108, OFFSET(AB.rngTPMroot, MIN(4, INT(($F108-55)/5))*10, $G109*13))</f>
        <v>3.4292686959203071E-3</v>
      </c>
      <c r="V109" s="285">
        <f ca="1"/>
        <v>0</v>
      </c>
      <c r="W109" s="285">
        <f ca="1"/>
        <v>3.3128051053597445E-2</v>
      </c>
      <c r="X109" s="285">
        <f ca="1"/>
        <v>4.8826417607067364E-3</v>
      </c>
      <c r="Y109" s="285">
        <f ca="1"/>
        <v>5.1100678218451458E-4</v>
      </c>
      <c r="Z109" s="285">
        <f ca="1"/>
        <v>7.5315721128953568E-5</v>
      </c>
      <c r="AA109" s="285">
        <f ca="1"/>
        <v>1.9594670334205139E-4</v>
      </c>
      <c r="AB109" s="285">
        <f ca="1"/>
        <v>2.8879983161787001E-5</v>
      </c>
      <c r="AC109" s="285">
        <f ca="1"/>
        <v>0.64249822524818101</v>
      </c>
      <c r="AD109" s="285">
        <f ca="1"/>
        <v>0.31525066405177887</v>
      </c>
      <c r="AE109" s="283">
        <f t="shared" ca="1" si="33"/>
        <v>1.0000000000000018</v>
      </c>
      <c r="AF109" s="418">
        <f t="shared" ca="1" si="29"/>
        <v>3.3835004539124011E-2</v>
      </c>
    </row>
    <row r="110" spans="1:32" ht="12" customHeight="1" x14ac:dyDescent="0.25">
      <c r="A110" s="262"/>
      <c r="C110" s="263"/>
      <c r="D110" s="62">
        <f t="shared" si="34"/>
        <v>100</v>
      </c>
      <c r="E110" s="63">
        <f t="shared" si="30"/>
        <v>25</v>
      </c>
      <c r="F110" s="63">
        <f t="shared" si="35"/>
        <v>80</v>
      </c>
      <c r="G110" s="62">
        <f t="shared" si="31"/>
        <v>0</v>
      </c>
      <c r="H110" s="285">
        <f t="array" aca="1" ref="H110:Q110" ca="1">MMULT(H109:Q109, OFFSET(AB.rngTPMroot, MIN(4, INT(($F109-55)/5))*10, $G110*13))</f>
        <v>3.4829513162875123E-5</v>
      </c>
      <c r="I110" s="285">
        <f ca="1"/>
        <v>0</v>
      </c>
      <c r="J110" s="285">
        <f ca="1"/>
        <v>3.2843415730939782E-2</v>
      </c>
      <c r="K110" s="285">
        <f ca="1"/>
        <v>4.840690234167124E-3</v>
      </c>
      <c r="L110" s="285">
        <f ca="1"/>
        <v>5.0661622567118323E-4</v>
      </c>
      <c r="M110" s="285">
        <f ca="1"/>
        <v>7.4668610480939533E-5</v>
      </c>
      <c r="N110" s="285">
        <f ca="1"/>
        <v>1.9426313454293199E-4</v>
      </c>
      <c r="O110" s="285">
        <f ca="1"/>
        <v>2.8631847124073702E-5</v>
      </c>
      <c r="P110" s="285">
        <f ca="1"/>
        <v>0.64034287279499869</v>
      </c>
      <c r="Q110" s="285">
        <f ca="1"/>
        <v>0.32113401190891355</v>
      </c>
      <c r="R110" s="283">
        <f t="shared" ca="1" si="32"/>
        <v>1.0000000000000011</v>
      </c>
      <c r="S110" s="418">
        <f t="shared" ca="1" si="28"/>
        <v>3.3544295091153899E-2</v>
      </c>
      <c r="U110" s="285">
        <f t="array" aca="1" ref="U110:AD110" ca="1">MMULT(U109:AD109, OFFSET(AB.rngTPMroot, MIN(4, INT(($F109-55)/5))*10, $G110*13))</f>
        <v>3.222713703161953E-3</v>
      </c>
      <c r="V110" s="285">
        <f ca="1"/>
        <v>0</v>
      </c>
      <c r="W110" s="285">
        <f ca="1"/>
        <v>3.2850076092693595E-2</v>
      </c>
      <c r="X110" s="285">
        <f ca="1"/>
        <v>4.8416718844425354E-3</v>
      </c>
      <c r="Y110" s="285">
        <f ca="1"/>
        <v>5.0671896307709027E-4</v>
      </c>
      <c r="Z110" s="285">
        <f ca="1"/>
        <v>7.4683752631851376E-5</v>
      </c>
      <c r="AA110" s="285">
        <f ca="1"/>
        <v>1.9430252943297891E-4</v>
      </c>
      <c r="AB110" s="285">
        <f ca="1"/>
        <v>2.8637653415998043E-5</v>
      </c>
      <c r="AC110" s="285">
        <f ca="1"/>
        <v>0.63728485168597115</v>
      </c>
      <c r="AD110" s="285">
        <f ca="1"/>
        <v>0.32099634373517444</v>
      </c>
      <c r="AE110" s="283">
        <f t="shared" ca="1" si="33"/>
        <v>1.0000000000000016</v>
      </c>
      <c r="AF110" s="418">
        <f t="shared" ca="1" si="29"/>
        <v>3.3551097585203665E-2</v>
      </c>
    </row>
    <row r="111" spans="1:32" ht="12" customHeight="1" x14ac:dyDescent="0.25">
      <c r="A111" s="262"/>
      <c r="C111" s="263"/>
      <c r="D111" s="62">
        <f t="shared" si="34"/>
        <v>101</v>
      </c>
      <c r="E111" s="63">
        <f t="shared" si="30"/>
        <v>25.25</v>
      </c>
      <c r="F111" s="63">
        <f t="shared" si="35"/>
        <v>80.25</v>
      </c>
      <c r="G111" s="62">
        <f t="shared" si="31"/>
        <v>0</v>
      </c>
      <c r="H111" s="285">
        <f t="array" aca="1" ref="H111:Q111" ca="1">MMULT(H110:Q110, OFFSET(AB.rngTPMroot, MIN(4, INT(($F110-55)/5))*10, $G111*13))</f>
        <v>3.2731628605828491E-5</v>
      </c>
      <c r="I111" s="285">
        <f ca="1"/>
        <v>0</v>
      </c>
      <c r="J111" s="285">
        <f ca="1"/>
        <v>3.2567829123415347E-2</v>
      </c>
      <c r="K111" s="285">
        <f ca="1"/>
        <v>4.8000723699766464E-3</v>
      </c>
      <c r="L111" s="285">
        <f ca="1"/>
        <v>5.0236524739007745E-4</v>
      </c>
      <c r="M111" s="285">
        <f ca="1"/>
        <v>7.4042071840148298E-5</v>
      </c>
      <c r="N111" s="285">
        <f ca="1"/>
        <v>1.9263308733181579E-4</v>
      </c>
      <c r="O111" s="285">
        <f ca="1"/>
        <v>2.8391599468935683E-5</v>
      </c>
      <c r="P111" s="285">
        <f ca="1"/>
        <v>0.63497161000479674</v>
      </c>
      <c r="Q111" s="285">
        <f ca="1"/>
        <v>0.32683032486717567</v>
      </c>
      <c r="R111" s="283">
        <f t="shared" ca="1" si="32"/>
        <v>1.0000000000000013</v>
      </c>
      <c r="S111" s="418">
        <f t="shared" ca="1" si="28"/>
        <v>3.3262827458137238E-2</v>
      </c>
      <c r="U111" s="285">
        <f t="array" aca="1" ref="U111:AD111" ca="1">MMULT(U110:AD110, OFFSET(AB.rngTPMroot, MIN(4, INT(($F110-55)/5))*10, $G111*13))</f>
        <v>3.0286001283316142E-3</v>
      </c>
      <c r="V111" s="285">
        <f ca="1"/>
        <v>0</v>
      </c>
      <c r="W111" s="285">
        <f ca="1"/>
        <v>3.2574433598579422E-2</v>
      </c>
      <c r="X111" s="285">
        <f ca="1"/>
        <v>4.8010457832991351E-3</v>
      </c>
      <c r="Y111" s="285">
        <f ca="1"/>
        <v>5.0246712273421259E-4</v>
      </c>
      <c r="Z111" s="285">
        <f ca="1"/>
        <v>7.4057086934421602E-5</v>
      </c>
      <c r="AA111" s="285">
        <f ca="1"/>
        <v>1.9267215166233169E-4</v>
      </c>
      <c r="AB111" s="285">
        <f ca="1"/>
        <v>2.8397357040705367E-5</v>
      </c>
      <c r="AC111" s="285">
        <f ca="1"/>
        <v>0.6321045149147908</v>
      </c>
      <c r="AD111" s="285">
        <f ca="1"/>
        <v>0.32669381185662894</v>
      </c>
      <c r="AE111" s="283">
        <f t="shared" ca="1" si="33"/>
        <v>1.0000000000000016</v>
      </c>
      <c r="AF111" s="418">
        <f t="shared" ca="1" si="29"/>
        <v>3.3269572872975967E-2</v>
      </c>
    </row>
    <row r="112" spans="1:32" ht="12" customHeight="1" x14ac:dyDescent="0.25">
      <c r="A112" s="262"/>
      <c r="C112" s="263"/>
      <c r="D112" s="62">
        <f t="shared" si="34"/>
        <v>102</v>
      </c>
      <c r="E112" s="63">
        <f t="shared" si="30"/>
        <v>25.5</v>
      </c>
      <c r="F112" s="63">
        <f t="shared" si="35"/>
        <v>80.5</v>
      </c>
      <c r="G112" s="62">
        <f t="shared" si="31"/>
        <v>0</v>
      </c>
      <c r="H112" s="285">
        <f t="array" aca="1" ref="H112:Q112" ca="1">MMULT(H111:Q111, OFFSET(AB.rngTPMroot, MIN(4, INT(($F111-55)/5))*10, $G112*13))</f>
        <v>3.0760105838397274E-5</v>
      </c>
      <c r="I112" s="285">
        <f ca="1"/>
        <v>0</v>
      </c>
      <c r="J112" s="285">
        <f ca="1"/>
        <v>3.2294554942188754E-2</v>
      </c>
      <c r="K112" s="285">
        <f ca="1"/>
        <v>4.7597953272003838E-3</v>
      </c>
      <c r="L112" s="285">
        <f ca="1"/>
        <v>4.9814993874494227E-4</v>
      </c>
      <c r="M112" s="285">
        <f ca="1"/>
        <v>7.342079043751744E-5</v>
      </c>
      <c r="N112" s="285">
        <f ca="1"/>
        <v>1.9101671772307494E-4</v>
      </c>
      <c r="O112" s="285">
        <f ca="1"/>
        <v>2.8153367713629382E-5</v>
      </c>
      <c r="P112" s="285">
        <f ca="1"/>
        <v>0.62964530831421572</v>
      </c>
      <c r="Q112" s="285">
        <f ca="1"/>
        <v>0.33247884049593879</v>
      </c>
      <c r="R112" s="283">
        <f t="shared" ca="1" si="32"/>
        <v>1.0000000000000013</v>
      </c>
      <c r="S112" s="418">
        <f t="shared" ca="1" si="28"/>
        <v>3.2983721598656771E-2</v>
      </c>
      <c r="U112" s="285">
        <f t="array" aca="1" ref="U112:AD112" ca="1">MMULT(U111:AD111, OFFSET(AB.rngTPMroot, MIN(4, INT(($F111-55)/5))*10, $G112*13))</f>
        <v>2.8461785880423652E-3</v>
      </c>
      <c r="V112" s="285">
        <f ca="1"/>
        <v>0</v>
      </c>
      <c r="W112" s="285">
        <f ca="1"/>
        <v>3.2301103999703221E-2</v>
      </c>
      <c r="X112" s="285">
        <f ca="1"/>
        <v>4.760760572685597E-3</v>
      </c>
      <c r="Y112" s="285">
        <f ca="1"/>
        <v>4.9825095926080035E-4</v>
      </c>
      <c r="Z112" s="285">
        <f ca="1"/>
        <v>7.3435679541274831E-5</v>
      </c>
      <c r="AA112" s="285">
        <f ca="1"/>
        <v>1.9105545426775973E-4</v>
      </c>
      <c r="AB112" s="285">
        <f ca="1"/>
        <v>2.8159076974051535E-5</v>
      </c>
      <c r="AC112" s="285">
        <f ca="1"/>
        <v>0.62695758271382884</v>
      </c>
      <c r="AD112" s="285">
        <f ca="1"/>
        <v>0.33234347295569777</v>
      </c>
      <c r="AE112" s="283">
        <f t="shared" ca="1" si="33"/>
        <v>1.0000000000000018</v>
      </c>
      <c r="AF112" s="418">
        <f t="shared" ca="1" si="29"/>
        <v>3.299041041323178E-2</v>
      </c>
    </row>
    <row r="113" spans="1:32" ht="12" customHeight="1" x14ac:dyDescent="0.25">
      <c r="A113" s="262"/>
      <c r="C113" s="263"/>
      <c r="D113" s="62">
        <f t="shared" si="34"/>
        <v>103</v>
      </c>
      <c r="E113" s="63">
        <f t="shared" si="30"/>
        <v>25.75</v>
      </c>
      <c r="F113" s="63">
        <f t="shared" si="35"/>
        <v>80.75</v>
      </c>
      <c r="G113" s="62">
        <f t="shared" si="31"/>
        <v>0</v>
      </c>
      <c r="H113" s="285">
        <f t="array" aca="1" ref="H113:Q113" ca="1">MMULT(H112:Q112, OFFSET(AB.rngTPMroot, MIN(4, INT(($F112-55)/5))*10, $G113*13))</f>
        <v>2.8907333716383303E-5</v>
      </c>
      <c r="I113" s="285">
        <f ca="1"/>
        <v>0</v>
      </c>
      <c r="J113" s="285">
        <f ca="1"/>
        <v>3.2023573783866513E-2</v>
      </c>
      <c r="K113" s="285">
        <f ca="1"/>
        <v>4.7198562460317329E-3</v>
      </c>
      <c r="L113" s="285">
        <f ca="1"/>
        <v>4.939700004345705E-4</v>
      </c>
      <c r="M113" s="285">
        <f ca="1"/>
        <v>7.2804722159960794E-5</v>
      </c>
      <c r="N113" s="285">
        <f ca="1"/>
        <v>1.8941391094898647E-4</v>
      </c>
      <c r="O113" s="285">
        <f ca="1"/>
        <v>2.7917134942892388E-5</v>
      </c>
      <c r="P113" s="285">
        <f ca="1"/>
        <v>0.62436359700893496</v>
      </c>
      <c r="Q113" s="285">
        <f ca="1"/>
        <v>0.33807995985896533</v>
      </c>
      <c r="R113" s="283">
        <f t="shared" ca="1" si="32"/>
        <v>1.0000000000000013</v>
      </c>
      <c r="S113" s="418">
        <f t="shared" ca="1" si="28"/>
        <v>3.2706957695250075E-2</v>
      </c>
      <c r="U113" s="285">
        <f t="array" aca="1" ref="U113:AD113" ca="1">MMULT(U112:AD112, OFFSET(AB.rngTPMroot, MIN(4, INT(($F112-55)/5))*10, $G113*13))</f>
        <v>2.6747448364843524E-3</v>
      </c>
      <c r="V113" s="285">
        <f ca="1"/>
        <v>0</v>
      </c>
      <c r="W113" s="285">
        <f ca="1"/>
        <v>3.2030067888736663E-2</v>
      </c>
      <c r="X113" s="285">
        <f ca="1"/>
        <v>4.7208133922153729E-3</v>
      </c>
      <c r="Y113" s="285">
        <f ca="1"/>
        <v>4.9407017329495075E-4</v>
      </c>
      <c r="Z113" s="285">
        <f ca="1"/>
        <v>7.2819486330379107E-5</v>
      </c>
      <c r="AA113" s="285">
        <f ca="1"/>
        <v>1.894523224582662E-4</v>
      </c>
      <c r="AB113" s="285">
        <f ca="1"/>
        <v>2.7922796297343854E-5</v>
      </c>
      <c r="AC113" s="285">
        <f ca="1"/>
        <v>0.62184438092670857</v>
      </c>
      <c r="AD113" s="285">
        <f ca="1"/>
        <v>0.3379457281774757</v>
      </c>
      <c r="AE113" s="283">
        <f t="shared" ca="1" si="33"/>
        <v>1.0000000000000018</v>
      </c>
      <c r="AF113" s="418">
        <f t="shared" ca="1" si="29"/>
        <v>3.2713590384489885E-2</v>
      </c>
    </row>
    <row r="114" spans="1:32" ht="12" customHeight="1" x14ac:dyDescent="0.25">
      <c r="A114" s="262"/>
      <c r="C114" s="263"/>
      <c r="D114" s="62">
        <f t="shared" si="34"/>
        <v>104</v>
      </c>
      <c r="E114" s="63">
        <f t="shared" si="30"/>
        <v>26</v>
      </c>
      <c r="F114" s="63">
        <f t="shared" si="35"/>
        <v>81</v>
      </c>
      <c r="G114" s="62">
        <f t="shared" si="31"/>
        <v>0</v>
      </c>
      <c r="H114" s="285">
        <f t="array" aca="1" ref="H114:Q114" ca="1">MMULT(H113:Q113, OFFSET(AB.rngTPMroot, MIN(4, INT(($F113-55)/5))*10, $G114*13))</f>
        <v>2.7166159537307068E-5</v>
      </c>
      <c r="I114" s="285">
        <f ca="1"/>
        <v>0</v>
      </c>
      <c r="J114" s="285">
        <f ca="1"/>
        <v>3.1754866407867545E-2</v>
      </c>
      <c r="K114" s="285">
        <f ca="1"/>
        <v>4.6802522906605037E-3</v>
      </c>
      <c r="L114" s="285">
        <f ca="1"/>
        <v>4.8982513566916909E-4</v>
      </c>
      <c r="M114" s="285">
        <f ca="1"/>
        <v>7.2193823264541667E-5</v>
      </c>
      <c r="N114" s="285">
        <f ca="1"/>
        <v>1.8782455320483473E-4</v>
      </c>
      <c r="O114" s="285">
        <f ca="1"/>
        <v>2.7682884383396963E-5</v>
      </c>
      <c r="P114" s="285">
        <f ca="1"/>
        <v>0.6191261080906918</v>
      </c>
      <c r="Q114" s="285">
        <f ca="1"/>
        <v>0.34363408065472223</v>
      </c>
      <c r="R114" s="283">
        <f t="shared" ca="1" si="32"/>
        <v>1.0000000000000013</v>
      </c>
      <c r="S114" s="418">
        <f t="shared" ca="1" si="28"/>
        <v>3.2432516096741547E-2</v>
      </c>
      <c r="U114" s="285">
        <f t="array" aca="1" ref="U114:AD114" ca="1">MMULT(U113:AD113, OFFSET(AB.rngTPMroot, MIN(4, INT(($F113-55)/5))*10, $G114*13))</f>
        <v>2.5136370466550687E-3</v>
      </c>
      <c r="V114" s="285">
        <f ca="1"/>
        <v>0</v>
      </c>
      <c r="W114" s="285">
        <f ca="1"/>
        <v>3.1761306021196832E-2</v>
      </c>
      <c r="X114" s="285">
        <f ca="1"/>
        <v>4.6812014055031955E-3</v>
      </c>
      <c r="Y114" s="285">
        <f ca="1"/>
        <v>4.8992446798668422E-4</v>
      </c>
      <c r="Z114" s="285">
        <f ca="1"/>
        <v>7.2208463549927078E-5</v>
      </c>
      <c r="AA114" s="285">
        <f ca="1"/>
        <v>1.8786264240605672E-4</v>
      </c>
      <c r="AB114" s="285">
        <f ca="1"/>
        <v>2.7688498233853114E-5</v>
      </c>
      <c r="AC114" s="285">
        <f ca="1"/>
        <v>0.61676519615339043</v>
      </c>
      <c r="AD114" s="285">
        <f ca="1"/>
        <v>0.34350097530107948</v>
      </c>
      <c r="AE114" s="283">
        <f t="shared" ca="1" si="33"/>
        <v>1.0000000000000016</v>
      </c>
      <c r="AF114" s="418">
        <f t="shared" ca="1" si="29"/>
        <v>3.2439093131589575E-2</v>
      </c>
    </row>
    <row r="115" spans="1:32" ht="12" customHeight="1" x14ac:dyDescent="0.25">
      <c r="A115" s="262"/>
      <c r="C115" s="263"/>
      <c r="D115" s="62">
        <f t="shared" si="34"/>
        <v>105</v>
      </c>
      <c r="E115" s="63">
        <f t="shared" si="30"/>
        <v>26.25</v>
      </c>
      <c r="F115" s="63">
        <f t="shared" si="35"/>
        <v>81.25</v>
      </c>
      <c r="G115" s="62">
        <f t="shared" si="31"/>
        <v>0</v>
      </c>
      <c r="H115" s="285">
        <f t="array" aca="1" ref="H115:Q115" ca="1">MMULT(H114:Q114, OFFSET(AB.rngTPMroot, MIN(4, INT(($F114-55)/5))*10, $G115*13))</f>
        <v>2.5529861427107555E-5</v>
      </c>
      <c r="I115" s="285">
        <f ca="1"/>
        <v>0</v>
      </c>
      <c r="J115" s="285">
        <f ca="1"/>
        <v>3.1488413735057043E-2</v>
      </c>
      <c r="K115" s="285">
        <f ca="1"/>
        <v>4.640980649071578E-3</v>
      </c>
      <c r="L115" s="285">
        <f ca="1"/>
        <v>4.8571505014928529E-4</v>
      </c>
      <c r="M115" s="285">
        <f ca="1"/>
        <v>7.1588050375367092E-5</v>
      </c>
      <c r="N115" s="285">
        <f ca="1"/>
        <v>1.8624853164083067E-4</v>
      </c>
      <c r="O115" s="285">
        <f ca="1"/>
        <v>2.7450599402559101E-5</v>
      </c>
      <c r="P115" s="285">
        <f ca="1"/>
        <v>0.61393247627825887</v>
      </c>
      <c r="Q115" s="285">
        <f ca="1"/>
        <v>0.34914159724461874</v>
      </c>
      <c r="R115" s="283">
        <f t="shared" ca="1" si="32"/>
        <v>1.0000000000000013</v>
      </c>
      <c r="S115" s="418">
        <f t="shared" ca="1" si="28"/>
        <v>3.2160377316847157E-2</v>
      </c>
      <c r="U115" s="285">
        <f t="array" aca="1" ref="U115:AD115" ca="1">MMULT(U114:AD114, OFFSET(AB.rngTPMroot, MIN(4, INT(($F114-55)/5))*10, $G115*13))</f>
        <v>2.3622332553491707E-3</v>
      </c>
      <c r="V115" s="285">
        <f ca="1"/>
        <v>0</v>
      </c>
      <c r="W115" s="285">
        <f ca="1"/>
        <v>3.1494799314079849E-2</v>
      </c>
      <c r="X115" s="285">
        <f ca="1"/>
        <v>4.6419217999636919E-3</v>
      </c>
      <c r="Y115" s="285">
        <f ca="1"/>
        <v>4.858135489768666E-4</v>
      </c>
      <c r="Z115" s="285">
        <f ca="1"/>
        <v>7.1602567815229497E-5</v>
      </c>
      <c r="AA115" s="285">
        <f ca="1"/>
        <v>1.8628630123845735E-4</v>
      </c>
      <c r="AB115" s="285">
        <f ca="1"/>
        <v>2.7456166147622342E-5</v>
      </c>
      <c r="AC115" s="285">
        <f ca="1"/>
        <v>0.61172027827853925</v>
      </c>
      <c r="AD115" s="285">
        <f ca="1"/>
        <v>0.34900960876789139</v>
      </c>
      <c r="AE115" s="283">
        <f t="shared" ca="1" si="33"/>
        <v>1.0000000000000016</v>
      </c>
      <c r="AF115" s="418">
        <f t="shared" ca="1" si="29"/>
        <v>3.2166899164295173E-2</v>
      </c>
    </row>
    <row r="116" spans="1:32" ht="12" customHeight="1" x14ac:dyDescent="0.25">
      <c r="A116" s="262"/>
      <c r="C116" s="263"/>
      <c r="D116" s="62">
        <f t="shared" si="34"/>
        <v>106</v>
      </c>
      <c r="E116" s="63">
        <f t="shared" si="30"/>
        <v>26.5</v>
      </c>
      <c r="F116" s="63">
        <f t="shared" si="35"/>
        <v>81.5</v>
      </c>
      <c r="G116" s="62">
        <f t="shared" si="31"/>
        <v>0</v>
      </c>
      <c r="H116" s="285">
        <f t="array" aca="1" ref="H116:Q116" ca="1">MMULT(H115:Q115, OFFSET(AB.rngTPMroot, MIN(4, INT(($F115-55)/5))*10, $G116*13))</f>
        <v>2.3992122390072784E-5</v>
      </c>
      <c r="I116" s="285">
        <f ca="1"/>
        <v>0</v>
      </c>
      <c r="J116" s="285">
        <f ca="1"/>
        <v>3.1224196846391737E-2</v>
      </c>
      <c r="K116" s="285">
        <f ca="1"/>
        <v>4.602038532845242E-3</v>
      </c>
      <c r="L116" s="285">
        <f ca="1"/>
        <v>4.816394520449109E-4</v>
      </c>
      <c r="M116" s="285">
        <f ca="1"/>
        <v>7.0987360480507887E-5</v>
      </c>
      <c r="N116" s="285">
        <f ca="1"/>
        <v>1.8468573435409931E-4</v>
      </c>
      <c r="O116" s="285">
        <f ca="1"/>
        <v>2.7220263507357533E-5</v>
      </c>
      <c r="P116" s="285">
        <f ca="1"/>
        <v>0.60878233900697998</v>
      </c>
      <c r="Q116" s="285">
        <f ca="1"/>
        <v>0.35460290068100742</v>
      </c>
      <c r="R116" s="283">
        <f t="shared" ca="1" si="32"/>
        <v>1.0000000000000013</v>
      </c>
      <c r="S116" s="418">
        <f t="shared" ca="1" si="28"/>
        <v>3.1890522032790754E-2</v>
      </c>
      <c r="U116" s="285">
        <f t="array" aca="1" ref="U116:AD116" ca="1">MMULT(U115:AD115, OFFSET(AB.rngTPMroot, MIN(4, INT(($F115-55)/5))*10, $G116*13))</f>
        <v>2.2199489620441091E-3</v>
      </c>
      <c r="V116" s="285">
        <f ca="1"/>
        <v>0</v>
      </c>
      <c r="W116" s="285">
        <f ca="1"/>
        <v>3.1230528844505841E-2</v>
      </c>
      <c r="X116" s="285">
        <f ca="1"/>
        <v>4.6029717866116829E-3</v>
      </c>
      <c r="Y116" s="285">
        <f ca="1"/>
        <v>4.817371243763092E-4</v>
      </c>
      <c r="Z116" s="285">
        <f ca="1"/>
        <v>7.1001756105634747E-5</v>
      </c>
      <c r="AA116" s="285">
        <f ca="1"/>
        <v>1.8472318702990025E-4</v>
      </c>
      <c r="AB116" s="285">
        <f ca="1"/>
        <v>2.7225783542285637E-5</v>
      </c>
      <c r="AC116" s="285">
        <f ca="1"/>
        <v>0.60670984284621965</v>
      </c>
      <c r="AD116" s="285">
        <f ca="1"/>
        <v>0.3544720197095661</v>
      </c>
      <c r="AE116" s="283">
        <f t="shared" ca="1" si="33"/>
        <v>1.0000000000000016</v>
      </c>
      <c r="AF116" s="418">
        <f t="shared" ca="1" si="29"/>
        <v>3.1896989155912055E-2</v>
      </c>
    </row>
    <row r="117" spans="1:32" ht="12" customHeight="1" x14ac:dyDescent="0.25">
      <c r="A117" s="262"/>
      <c r="C117" s="263"/>
      <c r="D117" s="62">
        <f t="shared" si="34"/>
        <v>107</v>
      </c>
      <c r="E117" s="63">
        <f t="shared" si="30"/>
        <v>26.75</v>
      </c>
      <c r="F117" s="63">
        <f t="shared" si="35"/>
        <v>81.75</v>
      </c>
      <c r="G117" s="62">
        <f t="shared" si="31"/>
        <v>0</v>
      </c>
      <c r="H117" s="285">
        <f t="array" aca="1" ref="H117:Q117" ca="1">MMULT(H116:Q116, OFFSET(AB.rngTPMroot, MIN(4, INT(($F116-55)/5))*10, $G117*13))</f>
        <v>2.2547005921819756E-5</v>
      </c>
      <c r="I117" s="285">
        <f ca="1"/>
        <v>0</v>
      </c>
      <c r="J117" s="285">
        <f ca="1"/>
        <v>3.0962196981576644E-2</v>
      </c>
      <c r="K117" s="285">
        <f ca="1"/>
        <v>4.5634231769591978E-3</v>
      </c>
      <c r="L117" s="285">
        <f ca="1"/>
        <v>4.7759805197476106E-4</v>
      </c>
      <c r="M117" s="285">
        <f ca="1"/>
        <v>7.0391710928944726E-5</v>
      </c>
      <c r="N117" s="285">
        <f ca="1"/>
        <v>1.8313605038073423E-4</v>
      </c>
      <c r="O117" s="285">
        <f ca="1"/>
        <v>2.6991860343162682E-5</v>
      </c>
      <c r="P117" s="285">
        <f ca="1"/>
        <v>0.6036753364269658</v>
      </c>
      <c r="Q117" s="285">
        <f ca="1"/>
        <v>0.36001837873495035</v>
      </c>
      <c r="R117" s="283">
        <f t="shared" ca="1" si="32"/>
        <v>1.0000000000000013</v>
      </c>
      <c r="S117" s="418">
        <f t="shared" ca="1" si="28"/>
        <v>3.1622931083932139E-2</v>
      </c>
      <c r="U117" s="285">
        <f t="array" aca="1" ref="U117:AD117" ca="1">MMULT(U116:AD116, OFFSET(AB.rngTPMroot, MIN(4, INT(($F116-55)/5))*10, $G117*13))</f>
        <v>2.0862348724119818E-3</v>
      </c>
      <c r="V117" s="285">
        <f ca="1"/>
        <v>0</v>
      </c>
      <c r="W117" s="285">
        <f ca="1"/>
        <v>3.0968475848375376E-2</v>
      </c>
      <c r="X117" s="285">
        <f ca="1"/>
        <v>4.5643485998641499E-3</v>
      </c>
      <c r="Y117" s="285">
        <f ca="1"/>
        <v>4.7769490474504301E-4</v>
      </c>
      <c r="Z117" s="285">
        <f ca="1"/>
        <v>7.0405985761474239E-5</v>
      </c>
      <c r="AA117" s="285">
        <f ca="1"/>
        <v>1.8317318879397637E-4</v>
      </c>
      <c r="AB117" s="285">
        <f ca="1"/>
        <v>2.6997334059896854E-5</v>
      </c>
      <c r="AC117" s="285">
        <f ca="1"/>
        <v>0.60173407329018724</v>
      </c>
      <c r="AD117" s="285">
        <f ca="1"/>
        <v>0.35988859597580231</v>
      </c>
      <c r="AE117" s="283">
        <f t="shared" ca="1" si="33"/>
        <v>1.0000000000000013</v>
      </c>
      <c r="AF117" s="418">
        <f t="shared" ca="1" si="29"/>
        <v>3.1629343941914391E-2</v>
      </c>
    </row>
    <row r="118" spans="1:32" ht="12" customHeight="1" x14ac:dyDescent="0.25">
      <c r="A118" s="262"/>
      <c r="C118" s="263"/>
      <c r="D118" s="62">
        <f t="shared" si="34"/>
        <v>108</v>
      </c>
      <c r="E118" s="63">
        <f t="shared" si="30"/>
        <v>27</v>
      </c>
      <c r="F118" s="63">
        <f t="shared" si="35"/>
        <v>82</v>
      </c>
      <c r="G118" s="62">
        <f t="shared" si="31"/>
        <v>0</v>
      </c>
      <c r="H118" s="285">
        <f t="array" aca="1" ref="H118:Q118" ca="1">MMULT(H117:Q117, OFFSET(AB.rngTPMroot, MIN(4, INT(($F117-55)/5))*10, $G118*13))</f>
        <v>2.118893309117672E-5</v>
      </c>
      <c r="I118" s="285">
        <f ca="1"/>
        <v>0</v>
      </c>
      <c r="J118" s="285">
        <f ca="1"/>
        <v>3.0702395537732987E-2</v>
      </c>
      <c r="K118" s="285">
        <f ca="1"/>
        <v>4.5251318395922438E-3</v>
      </c>
      <c r="L118" s="285">
        <f ca="1"/>
        <v>4.7359056298572729E-4</v>
      </c>
      <c r="M118" s="285">
        <f ca="1"/>
        <v>6.980105942753973E-5</v>
      </c>
      <c r="N118" s="285">
        <f ca="1"/>
        <v>1.8159936968791871E-4</v>
      </c>
      <c r="O118" s="285">
        <f ca="1"/>
        <v>2.6765373692575424E-5</v>
      </c>
      <c r="P118" s="285">
        <f ca="1"/>
        <v>0.59861111140003931</v>
      </c>
      <c r="Q118" s="285">
        <f ca="1"/>
        <v>0.36538841592375199</v>
      </c>
      <c r="R118" s="283">
        <f t="shared" ca="1" si="32"/>
        <v>1.0000000000000016</v>
      </c>
      <c r="S118" s="418">
        <f t="shared" ca="1" si="28"/>
        <v>3.1357585470406631E-2</v>
      </c>
      <c r="U118" s="285">
        <f t="array" aca="1" ref="U118:AD118" ca="1">MMULT(U117:AD117, OFFSET(AB.rngTPMroot, MIN(4, INT(($F117-55)/5))*10, $G118*13))</f>
        <v>1.9605747777463357E-3</v>
      </c>
      <c r="V118" s="285">
        <f ca="1"/>
        <v>0</v>
      </c>
      <c r="W118" s="285">
        <f ca="1"/>
        <v>3.0708621719037172E-2</v>
      </c>
      <c r="X118" s="285">
        <f ca="1"/>
        <v>4.5260494973438691E-3</v>
      </c>
      <c r="Y118" s="285">
        <f ca="1"/>
        <v>4.73686603071768E-4</v>
      </c>
      <c r="Z118" s="285">
        <f ca="1"/>
        <v>6.9815214481033392E-5</v>
      </c>
      <c r="AA118" s="285">
        <f ca="1"/>
        <v>1.816361964755553E-4</v>
      </c>
      <c r="AB118" s="285">
        <f ca="1"/>
        <v>2.6770801479768108E-5</v>
      </c>
      <c r="AC118" s="285">
        <f ca="1"/>
        <v>0.59679312302848464</v>
      </c>
      <c r="AD118" s="285">
        <f ca="1"/>
        <v>0.36525972216188124</v>
      </c>
      <c r="AE118" s="283">
        <f t="shared" ca="1" si="33"/>
        <v>1.0000000000000013</v>
      </c>
      <c r="AF118" s="418">
        <f t="shared" ca="1" si="29"/>
        <v>3.1363944518584493E-2</v>
      </c>
    </row>
    <row r="119" spans="1:32" ht="12" customHeight="1" x14ac:dyDescent="0.25">
      <c r="A119" s="262"/>
      <c r="C119" s="263"/>
      <c r="D119" s="62">
        <f t="shared" si="34"/>
        <v>109</v>
      </c>
      <c r="E119" s="63">
        <f t="shared" si="30"/>
        <v>27.25</v>
      </c>
      <c r="F119" s="63">
        <f t="shared" si="35"/>
        <v>82.25</v>
      </c>
      <c r="G119" s="62">
        <f t="shared" si="31"/>
        <v>0</v>
      </c>
      <c r="H119" s="285">
        <f t="array" aca="1" ref="H119:Q119" ca="1">MMULT(H118:Q118, OFFSET(AB.rngTPMroot, MIN(4, INT(($F118-55)/5))*10, $G119*13))</f>
        <v>1.9912661002491442E-5</v>
      </c>
      <c r="I119" s="285">
        <f ca="1"/>
        <v>0</v>
      </c>
      <c r="J119" s="285">
        <f ca="1"/>
        <v>3.0444774068077312E-2</v>
      </c>
      <c r="K119" s="285">
        <f ca="1"/>
        <v>4.4871618019295904E-3</v>
      </c>
      <c r="L119" s="285">
        <f ca="1"/>
        <v>4.6961670053250295E-4</v>
      </c>
      <c r="M119" s="285">
        <f ca="1"/>
        <v>6.9215364038033531E-5</v>
      </c>
      <c r="N119" s="285">
        <f ca="1"/>
        <v>1.80075583166113E-4</v>
      </c>
      <c r="O119" s="285">
        <f ca="1"/>
        <v>2.6540787474275614E-5</v>
      </c>
      <c r="P119" s="285">
        <f ca="1"/>
        <v>0.5935893094955198</v>
      </c>
      <c r="Q119" s="285">
        <f ca="1"/>
        <v>0.37071339353826127</v>
      </c>
      <c r="R119" s="283">
        <f t="shared" ca="1" si="32"/>
        <v>1.0000000000000013</v>
      </c>
      <c r="S119" s="418">
        <f t="shared" ca="1" si="28"/>
        <v>3.1094466351775929E-2</v>
      </c>
      <c r="U119" s="285">
        <f t="array" aca="1" ref="U119:AD119" ca="1">MMULT(U118:AD118, OFFSET(AB.rngTPMroot, MIN(4, INT(($F118-55)/5))*10, $G119*13))</f>
        <v>1.8424835621173646E-3</v>
      </c>
      <c r="V119" s="285">
        <f ca="1"/>
        <v>0</v>
      </c>
      <c r="W119" s="285">
        <f ca="1"/>
        <v>3.0450948005966941E-2</v>
      </c>
      <c r="X119" s="285">
        <f ca="1"/>
        <v>4.4880717596847003E-3</v>
      </c>
      <c r="Y119" s="285">
        <f ca="1"/>
        <v>4.6971193475347416E-4</v>
      </c>
      <c r="Z119" s="285">
        <f ca="1"/>
        <v>6.9229400317548151E-5</v>
      </c>
      <c r="AA119" s="285">
        <f ca="1"/>
        <v>1.8011210094297085E-4</v>
      </c>
      <c r="AB119" s="285">
        <f ca="1"/>
        <v>2.65461697173181E-5</v>
      </c>
      <c r="AC119" s="285">
        <f ca="1"/>
        <v>0.59188711743052669</v>
      </c>
      <c r="AD119" s="285">
        <f ca="1"/>
        <v>0.37058577963597439</v>
      </c>
      <c r="AE119" s="283">
        <f t="shared" ca="1" si="33"/>
        <v>1.0000000000000013</v>
      </c>
      <c r="AF119" s="418">
        <f t="shared" ca="1" si="29"/>
        <v>3.1100772041663387E-2</v>
      </c>
    </row>
    <row r="120" spans="1:32" ht="12" customHeight="1" x14ac:dyDescent="0.25">
      <c r="A120" s="262"/>
      <c r="C120" s="263"/>
      <c r="D120" s="62">
        <f t="shared" si="34"/>
        <v>110</v>
      </c>
      <c r="E120" s="63">
        <f t="shared" si="30"/>
        <v>27.5</v>
      </c>
      <c r="F120" s="63">
        <f t="shared" si="35"/>
        <v>82.5</v>
      </c>
      <c r="G120" s="62">
        <f t="shared" si="31"/>
        <v>0</v>
      </c>
      <c r="H120" s="285">
        <f t="array" aca="1" ref="H120:Q120" ca="1">MMULT(H119:Q119, OFFSET(AB.rngTPMroot, MIN(4, INT(($F119-55)/5))*10, $G120*13))</f>
        <v>1.8713262555218308E-5</v>
      </c>
      <c r="I120" s="285">
        <f ca="1"/>
        <v>0</v>
      </c>
      <c r="J120" s="285">
        <f ca="1"/>
        <v>3.0189314280611744E-2</v>
      </c>
      <c r="K120" s="285">
        <f ca="1"/>
        <v>4.4495103679698129E-3</v>
      </c>
      <c r="L120" s="285">
        <f ca="1"/>
        <v>4.6567618245737933E-4</v>
      </c>
      <c r="M120" s="285">
        <f ca="1"/>
        <v>6.8634583174067529E-5</v>
      </c>
      <c r="N120" s="285">
        <f ca="1"/>
        <v>1.7856458262130722E-4</v>
      </c>
      <c r="O120" s="285">
        <f ca="1"/>
        <v>2.6318085741880217E-5</v>
      </c>
      <c r="P120" s="285">
        <f ca="1"/>
        <v>0.58860957898492527</v>
      </c>
      <c r="Q120" s="285">
        <f ca="1"/>
        <v>0.37599368966994468</v>
      </c>
      <c r="R120" s="283">
        <f t="shared" ca="1" si="32"/>
        <v>1.0000000000000013</v>
      </c>
      <c r="S120" s="418">
        <f t="shared" ca="1" si="28"/>
        <v>3.0833555045690433E-2</v>
      </c>
      <c r="U120" s="285">
        <f t="array" aca="1" ref="U120:AD120" ca="1">MMULT(U119:AD119, OFFSET(AB.rngTPMroot, MIN(4, INT(($F119-55)/5))*10, $G120*13))</f>
        <v>1.7315053295620401E-3</v>
      </c>
      <c r="V120" s="285">
        <f ca="1"/>
        <v>0</v>
      </c>
      <c r="W120" s="285">
        <f ca="1"/>
        <v>3.019543641345734E-2</v>
      </c>
      <c r="X120" s="285">
        <f ca="1"/>
        <v>4.4504126903384955E-3</v>
      </c>
      <c r="Y120" s="285">
        <f ca="1"/>
        <v>4.6577061757523374E-4</v>
      </c>
      <c r="Z120" s="285">
        <f ca="1"/>
        <v>6.8648501676226546E-5</v>
      </c>
      <c r="AA120" s="285">
        <f ca="1"/>
        <v>1.7860079398027235E-4</v>
      </c>
      <c r="AB120" s="285">
        <f ca="1"/>
        <v>2.6323422822930018E-5</v>
      </c>
      <c r="AC120" s="285">
        <f ca="1"/>
        <v>0.58701615566436693</v>
      </c>
      <c r="AD120" s="285">
        <f ca="1"/>
        <v>0.37586714656622189</v>
      </c>
      <c r="AE120" s="283">
        <f t="shared" ca="1" si="33"/>
        <v>1.0000000000000013</v>
      </c>
      <c r="AF120" s="418">
        <f t="shared" ca="1" si="29"/>
        <v>3.0839807825012847E-2</v>
      </c>
    </row>
    <row r="121" spans="1:32" ht="12" customHeight="1" x14ac:dyDescent="0.25">
      <c r="A121" s="262"/>
      <c r="C121" s="263"/>
      <c r="D121" s="62">
        <f t="shared" si="34"/>
        <v>111</v>
      </c>
      <c r="E121" s="63">
        <f t="shared" si="30"/>
        <v>27.75</v>
      </c>
      <c r="F121" s="63">
        <f t="shared" si="35"/>
        <v>82.75</v>
      </c>
      <c r="G121" s="62">
        <f t="shared" si="31"/>
        <v>0</v>
      </c>
      <c r="H121" s="285">
        <f t="array" aca="1" ref="H121:Q121" ca="1">MMULT(H120:Q120, OFFSET(AB.rngTPMroot, MIN(4, INT(($F120-55)/5))*10, $G121*13))</f>
        <v>1.7586107422645365E-5</v>
      </c>
      <c r="I121" s="285">
        <f ca="1"/>
        <v>0</v>
      </c>
      <c r="J121" s="285">
        <f ca="1"/>
        <v>2.9935998036825166E-2</v>
      </c>
      <c r="K121" s="285">
        <f ca="1"/>
        <v>4.4121748643334352E-3</v>
      </c>
      <c r="L121" s="285">
        <f ca="1"/>
        <v>4.6176872897021166E-4</v>
      </c>
      <c r="M121" s="285">
        <f ca="1"/>
        <v>6.8058675598231077E-5</v>
      </c>
      <c r="N121" s="285">
        <f ca="1"/>
        <v>1.7706626076733926E-4</v>
      </c>
      <c r="O121" s="285">
        <f ca="1"/>
        <v>2.6097252682811111E-5</v>
      </c>
      <c r="P121" s="285">
        <f ca="1"/>
        <v>0.58367157083566967</v>
      </c>
      <c r="Q121" s="285">
        <f ca="1"/>
        <v>0.38122967923773177</v>
      </c>
      <c r="R121" s="283">
        <f t="shared" ca="1" si="32"/>
        <v>1.0000000000000013</v>
      </c>
      <c r="S121" s="418">
        <f t="shared" ca="1" si="28"/>
        <v>3.0574833026562716E-2</v>
      </c>
      <c r="U121" s="285">
        <f t="array" aca="1" ref="U121:AD121" ca="1">MMULT(U120:AD120, OFFSET(AB.rngTPMroot, MIN(4, INT(($F120-55)/5))*10, $G121*13))</f>
        <v>1.6272116440791194E-3</v>
      </c>
      <c r="V121" s="285">
        <f ca="1"/>
        <v>0</v>
      </c>
      <c r="W121" s="285">
        <f ca="1"/>
        <v>2.9942068799318926E-2</v>
      </c>
      <c r="X121" s="285">
        <f ca="1"/>
        <v>4.4130696153836368E-3</v>
      </c>
      <c r="Y121" s="285">
        <f ca="1"/>
        <v>4.6186237169016286E-4</v>
      </c>
      <c r="Z121" s="285">
        <f ca="1"/>
        <v>6.8072477311295341E-5</v>
      </c>
      <c r="AA121" s="285">
        <f ca="1"/>
        <v>1.7710216827954094E-4</v>
      </c>
      <c r="AB121" s="285">
        <f ca="1"/>
        <v>2.6102544980819084E-5</v>
      </c>
      <c r="AC121" s="285">
        <f ca="1"/>
        <v>0.58218031243137425</v>
      </c>
      <c r="AD121" s="285">
        <f ca="1"/>
        <v>0.38110419794758366</v>
      </c>
      <c r="AE121" s="283">
        <f t="shared" ca="1" si="33"/>
        <v>1.0000000000000013</v>
      </c>
      <c r="AF121" s="418">
        <f t="shared" ca="1" si="29"/>
        <v>3.0581033339288629E-2</v>
      </c>
    </row>
    <row r="122" spans="1:32" ht="12" customHeight="1" x14ac:dyDescent="0.25">
      <c r="A122" s="262"/>
      <c r="C122" s="263"/>
      <c r="D122" s="62">
        <f t="shared" si="34"/>
        <v>112</v>
      </c>
      <c r="E122" s="63">
        <f t="shared" si="30"/>
        <v>28</v>
      </c>
      <c r="F122" s="63">
        <f t="shared" si="35"/>
        <v>83</v>
      </c>
      <c r="G122" s="62">
        <f t="shared" si="31"/>
        <v>0</v>
      </c>
      <c r="H122" s="285">
        <f t="array" aca="1" ref="H122:Q122" ca="1">MMULT(H121:Q121, OFFSET(AB.rngTPMroot, MIN(4, INT(($F121-55)/5))*10, $G122*13))</f>
        <v>1.652684417632885E-5</v>
      </c>
      <c r="I122" s="285">
        <f ca="1"/>
        <v>0</v>
      </c>
      <c r="J122" s="285">
        <f ca="1"/>
        <v>2.9684807350405334E-2</v>
      </c>
      <c r="K122" s="285">
        <f ca="1"/>
        <v>4.3751526400731015E-3</v>
      </c>
      <c r="L122" s="285">
        <f ca="1"/>
        <v>4.5789406262855314E-4</v>
      </c>
      <c r="M122" s="285">
        <f ca="1"/>
        <v>6.7487600419133506E-5</v>
      </c>
      <c r="N122" s="285">
        <f ca="1"/>
        <v>1.7558051121827704E-4</v>
      </c>
      <c r="O122" s="285">
        <f ca="1"/>
        <v>2.5878272617172304E-5</v>
      </c>
      <c r="P122" s="285">
        <f ca="1"/>
        <v>0.57877493870382746</v>
      </c>
      <c r="Q122" s="285">
        <f ca="1"/>
        <v>0.38642173401463598</v>
      </c>
      <c r="R122" s="283">
        <f t="shared" ca="1" si="32"/>
        <v>1.0000000000000013</v>
      </c>
      <c r="S122" s="418">
        <f t="shared" ca="1" si="28"/>
        <v>3.0318281924252163E-2</v>
      </c>
      <c r="U122" s="285">
        <f t="array" aca="1" ref="U122:AD122" ca="1">MMULT(U121:AD121, OFFSET(AB.rngTPMroot, MIN(4, INT(($F121-55)/5))*10, $G122*13))</f>
        <v>1.5291998756344566E-3</v>
      </c>
      <c r="V122" s="285">
        <f ca="1"/>
        <v>0</v>
      </c>
      <c r="W122" s="285">
        <f ca="1"/>
        <v>2.9690827173591977E-2</v>
      </c>
      <c r="X122" s="285">
        <f ca="1"/>
        <v>4.3760398833351819E-3</v>
      </c>
      <c r="Y122" s="285">
        <f ca="1"/>
        <v>4.5798691959955185E-4</v>
      </c>
      <c r="Z122" s="285">
        <f ca="1"/>
        <v>6.7501286323071443E-5</v>
      </c>
      <c r="AA122" s="285">
        <f ca="1"/>
        <v>1.7561611743327035E-4</v>
      </c>
      <c r="AB122" s="285">
        <f ca="1"/>
        <v>2.5883520507909549E-5</v>
      </c>
      <c r="AC122" s="285">
        <f ca="1"/>
        <v>0.57737963959511063</v>
      </c>
      <c r="AD122" s="285">
        <f ca="1"/>
        <v>0.38629730562846543</v>
      </c>
      <c r="AE122" s="283">
        <f t="shared" ca="1" si="33"/>
        <v>1.0000000000000013</v>
      </c>
      <c r="AF122" s="418">
        <f t="shared" ca="1" si="29"/>
        <v>3.0324430210624802E-2</v>
      </c>
    </row>
    <row r="123" spans="1:32" ht="12" customHeight="1" x14ac:dyDescent="0.25">
      <c r="A123" s="262"/>
      <c r="C123" s="263"/>
      <c r="D123" s="62">
        <f t="shared" si="34"/>
        <v>113</v>
      </c>
      <c r="E123" s="63">
        <f t="shared" si="30"/>
        <v>28.25</v>
      </c>
      <c r="F123" s="63">
        <f t="shared" si="35"/>
        <v>83.25</v>
      </c>
      <c r="G123" s="62">
        <f t="shared" si="31"/>
        <v>0</v>
      </c>
      <c r="H123" s="285">
        <f t="array" aca="1" ref="H123:Q123" ca="1">MMULT(H122:Q122, OFFSET(AB.rngTPMroot, MIN(4, INT(($F122-55)/5))*10, $G123*13))</f>
        <v>1.5531383487225886E-5</v>
      </c>
      <c r="I123" s="285">
        <f ca="1"/>
        <v>0</v>
      </c>
      <c r="J123" s="285">
        <f ca="1"/>
        <v>2.9435724385961787E-2</v>
      </c>
      <c r="K123" s="285">
        <f ca="1"/>
        <v>4.3384410664853565E-3</v>
      </c>
      <c r="L123" s="285">
        <f ca="1"/>
        <v>4.5405190831795554E-4</v>
      </c>
      <c r="M123" s="285">
        <f ca="1"/>
        <v>6.6921317088500725E-5</v>
      </c>
      <c r="N123" s="285">
        <f ca="1"/>
        <v>1.7410722848086471E-4</v>
      </c>
      <c r="O123" s="285">
        <f ca="1"/>
        <v>2.5661129996636631E-5</v>
      </c>
      <c r="P123" s="285">
        <f ca="1"/>
        <v>0.57391933892603153</v>
      </c>
      <c r="Q123" s="285">
        <f ca="1"/>
        <v>0.39157022265415148</v>
      </c>
      <c r="R123" s="283">
        <f t="shared" ca="1" si="32"/>
        <v>1.0000000000000013</v>
      </c>
      <c r="S123" s="418">
        <f t="shared" ca="1" si="28"/>
        <v>3.0063883522760609E-2</v>
      </c>
      <c r="U123" s="285">
        <f t="array" aca="1" ref="U123:AD123" ca="1">MMULT(U122:AD122, OFFSET(AB.rngTPMroot, MIN(4, INT(($F122-55)/5))*10, $G123*13))</f>
        <v>1.4370916457913053E-3</v>
      </c>
      <c r="V123" s="285">
        <f ca="1"/>
        <v>0</v>
      </c>
      <c r="W123" s="285">
        <f ca="1"/>
        <v>2.9441693697269171E-2</v>
      </c>
      <c r="X123" s="285">
        <f ca="1"/>
        <v>4.3393208649565949E-3</v>
      </c>
      <c r="Y123" s="285">
        <f ca="1"/>
        <v>4.5414398613316141E-4</v>
      </c>
      <c r="Z123" s="285">
        <f ca="1"/>
        <v>6.6934888155057942E-5</v>
      </c>
      <c r="AA123" s="285">
        <f ca="1"/>
        <v>1.7414253592681171E-4</v>
      </c>
      <c r="AB123" s="285">
        <f ca="1"/>
        <v>2.5666333852721182E-5</v>
      </c>
      <c r="AC123" s="285">
        <f ca="1"/>
        <v>0.57261416771079543</v>
      </c>
      <c r="AD123" s="285">
        <f ca="1"/>
        <v>0.39144683833712118</v>
      </c>
      <c r="AE123" s="283">
        <f t="shared" ca="1" si="33"/>
        <v>1.0000000000000013</v>
      </c>
      <c r="AF123" s="418">
        <f t="shared" ca="1" si="29"/>
        <v>3.0069980219329145E-2</v>
      </c>
    </row>
    <row r="124" spans="1:32" ht="12" customHeight="1" x14ac:dyDescent="0.25">
      <c r="A124" s="262"/>
      <c r="C124" s="263"/>
      <c r="D124" s="62">
        <f t="shared" si="34"/>
        <v>114</v>
      </c>
      <c r="E124" s="63">
        <f t="shared" si="30"/>
        <v>28.5</v>
      </c>
      <c r="F124" s="63">
        <f t="shared" si="35"/>
        <v>83.5</v>
      </c>
      <c r="G124" s="62">
        <f t="shared" si="31"/>
        <v>0</v>
      </c>
      <c r="H124" s="285">
        <f t="array" aca="1" ref="H124:Q124" ca="1">MMULT(H123:Q123, OFFSET(AB.rngTPMroot, MIN(4, INT(($F123-55)/5))*10, $G124*13))</f>
        <v>1.4595882338672633E-5</v>
      </c>
      <c r="I124" s="285">
        <f ca="1"/>
        <v>0</v>
      </c>
      <c r="J124" s="285">
        <f ca="1"/>
        <v>2.9188731457759458E-2</v>
      </c>
      <c r="K124" s="285">
        <f ca="1"/>
        <v>4.3020375369239947E-3</v>
      </c>
      <c r="L124" s="285">
        <f ca="1"/>
        <v>4.5024199323243476E-4</v>
      </c>
      <c r="M124" s="285">
        <f ca="1"/>
        <v>6.6359785398296156E-5</v>
      </c>
      <c r="N124" s="285">
        <f ca="1"/>
        <v>1.7264630794703239E-4</v>
      </c>
      <c r="O124" s="285">
        <f ca="1"/>
        <v>2.5445809403341749E-5</v>
      </c>
      <c r="P124" s="285">
        <f ca="1"/>
        <v>0.56910443051056903</v>
      </c>
      <c r="Q124" s="285">
        <f ca="1"/>
        <v>0.39667551071642904</v>
      </c>
      <c r="R124" s="283">
        <f t="shared" ca="1" si="32"/>
        <v>1.0000000000000013</v>
      </c>
      <c r="S124" s="418">
        <f t="shared" ca="1" si="28"/>
        <v>2.9811619758938923E-2</v>
      </c>
      <c r="U124" s="285">
        <f t="array" aca="1" ref="U124:AD124" ca="1">MMULT(U123:AD123, OFFSET(AB.rngTPMroot, MIN(4, INT(($F123-55)/5))*10, $G124*13))</f>
        <v>1.3505313669649032E-3</v>
      </c>
      <c r="V124" s="285">
        <f ca="1"/>
        <v>0</v>
      </c>
      <c r="W124" s="285">
        <f ca="1"/>
        <v>2.919465068102892E-2</v>
      </c>
      <c r="X124" s="285">
        <f ca="1"/>
        <v>4.3029099530730672E-3</v>
      </c>
      <c r="Y124" s="285">
        <f ca="1"/>
        <v>4.5033329842968485E-4</v>
      </c>
      <c r="Z124" s="285">
        <f ca="1"/>
        <v>6.6373242591064353E-5</v>
      </c>
      <c r="AA124" s="285">
        <f ca="1"/>
        <v>1.7268131913088138E-4</v>
      </c>
      <c r="AB124" s="285">
        <f ca="1"/>
        <v>2.5450969594265037E-5</v>
      </c>
      <c r="AC124" s="285">
        <f ca="1"/>
        <v>0.56788390746135464</v>
      </c>
      <c r="AD124" s="285">
        <f ca="1"/>
        <v>0.39655316170783411</v>
      </c>
      <c r="AE124" s="283">
        <f t="shared" ca="1" si="33"/>
        <v>1.0000000000000016</v>
      </c>
      <c r="AF124" s="418">
        <f t="shared" ca="1" si="29"/>
        <v>2.9817665298589487E-2</v>
      </c>
    </row>
    <row r="125" spans="1:32" ht="12" customHeight="1" x14ac:dyDescent="0.25">
      <c r="A125" s="262"/>
      <c r="C125" s="263"/>
      <c r="D125" s="62">
        <f t="shared" si="34"/>
        <v>115</v>
      </c>
      <c r="E125" s="63">
        <f t="shared" si="30"/>
        <v>28.75</v>
      </c>
      <c r="F125" s="63">
        <f t="shared" si="35"/>
        <v>83.75</v>
      </c>
      <c r="G125" s="62">
        <f t="shared" si="31"/>
        <v>0</v>
      </c>
      <c r="H125" s="285">
        <f t="array" aca="1" ref="H125:Q125" ca="1">MMULT(H124:Q124, OFFSET(AB.rngTPMroot, MIN(4, INT(($F124-55)/5))*10, $G125*13))</f>
        <v>1.3716729190261433E-5</v>
      </c>
      <c r="I125" s="285">
        <f ca="1"/>
        <v>0</v>
      </c>
      <c r="J125" s="285">
        <f ca="1"/>
        <v>2.8943811028462947E-2</v>
      </c>
      <c r="K125" s="285">
        <f ca="1"/>
        <v>4.2659394666149817E-3</v>
      </c>
      <c r="L125" s="285">
        <f ca="1"/>
        <v>4.4646404685510117E-4</v>
      </c>
      <c r="M125" s="285">
        <f ca="1"/>
        <v>6.5802965477865724E-5</v>
      </c>
      <c r="N125" s="285">
        <f ca="1"/>
        <v>1.7119764588646846E-4</v>
      </c>
      <c r="O125" s="285">
        <f ca="1"/>
        <v>2.5232295548795434E-5</v>
      </c>
      <c r="P125" s="285">
        <f ca="1"/>
        <v>0.56432987512773292</v>
      </c>
      <c r="Q125" s="285">
        <f ca="1"/>
        <v>0.40173796069423195</v>
      </c>
      <c r="R125" s="283">
        <f t="shared" ca="1" si="32"/>
        <v>1.0000000000000013</v>
      </c>
      <c r="S125" s="418">
        <f t="shared" ca="1" si="28"/>
        <v>2.9561472721204515E-2</v>
      </c>
      <c r="U125" s="285">
        <f t="array" aca="1" ref="U125:AD125" ca="1">MMULT(U124:AD124, OFFSET(AB.rngTPMroot, MIN(4, INT(($F124-55)/5))*10, $G125*13))</f>
        <v>1.2691848696620718E-3</v>
      </c>
      <c r="V125" s="285">
        <f ca="1"/>
        <v>0</v>
      </c>
      <c r="W125" s="285">
        <f ca="1"/>
        <v>2.8949680583979419E-2</v>
      </c>
      <c r="X125" s="285">
        <f ca="1"/>
        <v>4.2668045623863908E-3</v>
      </c>
      <c r="Y125" s="285">
        <f ca="1"/>
        <v>4.4655458591737429E-4</v>
      </c>
      <c r="Z125" s="285">
        <f ca="1"/>
        <v>6.5816309752351232E-5</v>
      </c>
      <c r="AA125" s="285">
        <f ca="1"/>
        <v>1.712323632941323E-4</v>
      </c>
      <c r="AB125" s="285">
        <f ca="1"/>
        <v>2.5237412440948503E-5</v>
      </c>
      <c r="AC125" s="285">
        <f ca="1"/>
        <v>0.56318885100569094</v>
      </c>
      <c r="AD125" s="285">
        <f ca="1"/>
        <v>0.40161663830687794</v>
      </c>
      <c r="AE125" s="283">
        <f t="shared" ca="1" si="33"/>
        <v>1.0000000000000016</v>
      </c>
      <c r="AF125" s="418">
        <f t="shared" ca="1" si="29"/>
        <v>2.9567467533190925E-2</v>
      </c>
    </row>
    <row r="126" spans="1:32" ht="12" customHeight="1" x14ac:dyDescent="0.25">
      <c r="A126" s="262"/>
      <c r="C126" s="263"/>
      <c r="D126" s="62">
        <f t="shared" si="34"/>
        <v>116</v>
      </c>
      <c r="E126" s="63">
        <f t="shared" si="30"/>
        <v>29</v>
      </c>
      <c r="F126" s="63">
        <f t="shared" si="35"/>
        <v>84</v>
      </c>
      <c r="G126" s="62">
        <f t="shared" si="31"/>
        <v>0</v>
      </c>
      <c r="H126" s="285">
        <f t="array" aca="1" ref="H126:Q126" ca="1">MMULT(H125:Q125, OFFSET(AB.rngTPMroot, MIN(4, INT(($F125-55)/5))*10, $G126*13))</f>
        <v>1.2890530035341496E-5</v>
      </c>
      <c r="I126" s="285">
        <f ca="1"/>
        <v>0</v>
      </c>
      <c r="J126" s="285">
        <f ca="1"/>
        <v>2.870094570789131E-2</v>
      </c>
      <c r="K126" s="285">
        <f ca="1"/>
        <v>4.2301442924729234E-3</v>
      </c>
      <c r="L126" s="285">
        <f ca="1"/>
        <v>4.4271780093895196E-4</v>
      </c>
      <c r="M126" s="285">
        <f ca="1"/>
        <v>6.5250817791107036E-5</v>
      </c>
      <c r="N126" s="285">
        <f ca="1"/>
        <v>1.6976113943925459E-4</v>
      </c>
      <c r="O126" s="285">
        <f ca="1"/>
        <v>2.5020573272790025E-5</v>
      </c>
      <c r="P126" s="285">
        <f ca="1"/>
        <v>0.55959533709948539</v>
      </c>
      <c r="Q126" s="285">
        <f ca="1"/>
        <v>0.40675793203867427</v>
      </c>
      <c r="R126" s="283">
        <f t="shared" ca="1" si="32"/>
        <v>1.0000000000000013</v>
      </c>
      <c r="S126" s="418">
        <f t="shared" ca="1" si="28"/>
        <v>2.9313424648269519E-2</v>
      </c>
      <c r="U126" s="285">
        <f t="array" aca="1" ref="U126:AD126" ca="1">MMULT(U125:AD125, OFFSET(AB.rngTPMroot, MIN(4, INT(($F125-55)/5))*10, $G126*13))</f>
        <v>1.1927381124062343E-3</v>
      </c>
      <c r="V126" s="285">
        <f ca="1"/>
        <v>0</v>
      </c>
      <c r="W126" s="285">
        <f ca="1"/>
        <v>2.8706766012413135E-2</v>
      </c>
      <c r="X126" s="285">
        <f ca="1"/>
        <v>4.2310021292914033E-3</v>
      </c>
      <c r="Y126" s="285">
        <f ca="1"/>
        <v>4.4280758029482833E-4</v>
      </c>
      <c r="Z126" s="285">
        <f ca="1"/>
        <v>6.526405009479862E-5</v>
      </c>
      <c r="AA126" s="285">
        <f ca="1"/>
        <v>1.6979556553578691E-4</v>
      </c>
      <c r="AB126" s="285">
        <f ca="1"/>
        <v>2.5025647229489586E-5</v>
      </c>
      <c r="AC126" s="285">
        <f ca="1"/>
        <v>0.5585289732444757</v>
      </c>
      <c r="AD126" s="285">
        <f ca="1"/>
        <v>0.40663762765826023</v>
      </c>
      <c r="AE126" s="283">
        <f t="shared" ca="1" si="33"/>
        <v>1.0000000000000016</v>
      </c>
      <c r="AF126" s="418">
        <f t="shared" ca="1" si="29"/>
        <v>2.9319369158243749E-2</v>
      </c>
    </row>
    <row r="127" spans="1:32" ht="12" customHeight="1" x14ac:dyDescent="0.25">
      <c r="A127" s="262"/>
      <c r="C127" s="263"/>
      <c r="D127" s="62">
        <f t="shared" si="34"/>
        <v>117</v>
      </c>
      <c r="E127" s="63">
        <f t="shared" si="30"/>
        <v>29.25</v>
      </c>
      <c r="F127" s="63">
        <f t="shared" si="35"/>
        <v>84.25</v>
      </c>
      <c r="G127" s="62">
        <f t="shared" si="31"/>
        <v>0</v>
      </c>
      <c r="H127" s="285">
        <f t="array" aca="1" ref="H127:Q127" ca="1">MMULT(H126:Q126, OFFSET(AB.rngTPMroot, MIN(4, INT(($F126-55)/5))*10, $G127*13))</f>
        <v>1.2114095298317558E-5</v>
      </c>
      <c r="I127" s="285">
        <f ca="1"/>
        <v>0</v>
      </c>
      <c r="J127" s="285">
        <f ca="1"/>
        <v>2.8460118251783285E-2</v>
      </c>
      <c r="K127" s="285">
        <f ca="1"/>
        <v>4.194649472919084E-3</v>
      </c>
      <c r="L127" s="285">
        <f ca="1"/>
        <v>4.3900298948782433E-4</v>
      </c>
      <c r="M127" s="285">
        <f ca="1"/>
        <v>6.470330313366214E-5</v>
      </c>
      <c r="N127" s="285">
        <f ca="1"/>
        <v>1.6833668660856218E-4</v>
      </c>
      <c r="O127" s="285">
        <f ca="1"/>
        <v>2.4810627542326038E-5</v>
      </c>
      <c r="P127" s="285">
        <f ca="1"/>
        <v>0.5549004833884853</v>
      </c>
      <c r="Q127" s="285">
        <f ca="1"/>
        <v>0.41173578118474302</v>
      </c>
      <c r="R127" s="283">
        <f t="shared" ca="1" si="32"/>
        <v>1.0000000000000013</v>
      </c>
      <c r="S127" s="418">
        <f t="shared" ca="1" si="28"/>
        <v>2.9067457927879674E-2</v>
      </c>
      <c r="U127" s="285">
        <f t="array" aca="1" ref="U127:AD127" ca="1">MMULT(U126:AD126, OFFSET(AB.rngTPMroot, MIN(4, INT(($F126-55)/5))*10, $G127*13))</f>
        <v>1.1208959693674646E-3</v>
      </c>
      <c r="V127" s="285">
        <f ca="1"/>
        <v>0</v>
      </c>
      <c r="W127" s="285">
        <f ca="1"/>
        <v>2.8465889718571818E-2</v>
      </c>
      <c r="X127" s="285">
        <f ca="1"/>
        <v>4.1955001116939583E-3</v>
      </c>
      <c r="Y127" s="285">
        <f ca="1"/>
        <v>4.3909201551194273E-4</v>
      </c>
      <c r="Z127" s="285">
        <f ca="1"/>
        <v>6.4716424406098205E-5</v>
      </c>
      <c r="AA127" s="285">
        <f ca="1"/>
        <v>1.6837082383833253E-4</v>
      </c>
      <c r="AB127" s="285">
        <f ca="1"/>
        <v>2.481565892384021E-5</v>
      </c>
      <c r="AC127" s="285">
        <f ca="1"/>
        <v>0.55390423300843816</v>
      </c>
      <c r="AD127" s="285">
        <f ca="1"/>
        <v>0.41161648626925001</v>
      </c>
      <c r="AE127" s="283">
        <f t="shared" ca="1" si="33"/>
        <v>1.0000000000000016</v>
      </c>
      <c r="AF127" s="418">
        <f t="shared" ca="1" si="29"/>
        <v>2.9073352557922094E-2</v>
      </c>
    </row>
    <row r="128" spans="1:32" ht="12" customHeight="1" x14ac:dyDescent="0.25">
      <c r="A128" s="262"/>
      <c r="C128" s="263"/>
      <c r="D128" s="62">
        <f t="shared" si="34"/>
        <v>118</v>
      </c>
      <c r="E128" s="63">
        <f t="shared" si="30"/>
        <v>29.5</v>
      </c>
      <c r="F128" s="63">
        <f t="shared" si="35"/>
        <v>84.5</v>
      </c>
      <c r="G128" s="62">
        <f t="shared" si="31"/>
        <v>0</v>
      </c>
      <c r="H128" s="285">
        <f t="array" aca="1" ref="H128:Q128" ca="1">MMULT(H127:Q127, OFFSET(AB.rngTPMroot, MIN(4, INT(($F127-55)/5))*10, $G128*13))</f>
        <v>1.1384427521162967E-5</v>
      </c>
      <c r="I128" s="285">
        <f ca="1"/>
        <v>0</v>
      </c>
      <c r="J128" s="285">
        <f ca="1"/>
        <v>2.8221311560572893E-2</v>
      </c>
      <c r="K128" s="285">
        <f ca="1"/>
        <v>4.1594524877009197E-3</v>
      </c>
      <c r="L128" s="285">
        <f ca="1"/>
        <v>4.3531934873750918E-4</v>
      </c>
      <c r="M128" s="285">
        <f ca="1"/>
        <v>6.4160382630133858E-5</v>
      </c>
      <c r="N128" s="285">
        <f ca="1"/>
        <v>1.669241862534102E-4</v>
      </c>
      <c r="O128" s="285">
        <f ca="1"/>
        <v>2.4602443450544727E-5</v>
      </c>
      <c r="P128" s="285">
        <f ca="1"/>
        <v>0.55024498358652851</v>
      </c>
      <c r="Q128" s="285">
        <f ca="1"/>
        <v>0.41667186157660629</v>
      </c>
      <c r="R128" s="283">
        <f t="shared" ca="1" si="32"/>
        <v>1.0000000000000013</v>
      </c>
      <c r="S128" s="418">
        <f t="shared" ca="1" si="28"/>
        <v>2.8823555095563811E-2</v>
      </c>
      <c r="U128" s="285">
        <f t="array" aca="1" ref="U128:AD128" ca="1">MMULT(U127:AD127, OFFSET(AB.rngTPMroot, MIN(4, INT(($F127-55)/5))*10, $G128*13))</f>
        <v>1.0533810910171608E-3</v>
      </c>
      <c r="V128" s="285">
        <f ca="1"/>
        <v>0</v>
      </c>
      <c r="W128" s="285">
        <f ca="1"/>
        <v>2.8227034599421844E-2</v>
      </c>
      <c r="X128" s="285">
        <f ca="1"/>
        <v>4.160295988830426E-3</v>
      </c>
      <c r="Y128" s="285">
        <f ca="1"/>
        <v>4.354076277510191E-4</v>
      </c>
      <c r="Z128" s="285">
        <f ca="1"/>
        <v>6.4173393802969235E-5</v>
      </c>
      <c r="AA128" s="285">
        <f ca="1"/>
        <v>1.6695803704027767E-4</v>
      </c>
      <c r="AB128" s="285">
        <f ca="1"/>
        <v>2.4607432614118655E-5</v>
      </c>
      <c r="AC128" s="285">
        <f ca="1"/>
        <v>0.549314574173833</v>
      </c>
      <c r="AD128" s="285">
        <f ca="1"/>
        <v>0.41655356765569085</v>
      </c>
      <c r="AE128" s="283">
        <f t="shared" ca="1" si="33"/>
        <v>1.0000000000000018</v>
      </c>
      <c r="AF128" s="418">
        <f t="shared" ca="1" si="29"/>
        <v>2.8829400264213143E-2</v>
      </c>
    </row>
    <row r="129" spans="1:32" ht="12" customHeight="1" x14ac:dyDescent="0.25">
      <c r="A129" s="262"/>
      <c r="C129" s="263"/>
      <c r="D129" s="62">
        <f t="shared" si="34"/>
        <v>119</v>
      </c>
      <c r="E129" s="63">
        <f t="shared" si="30"/>
        <v>29.75</v>
      </c>
      <c r="F129" s="63">
        <f t="shared" si="35"/>
        <v>84.75</v>
      </c>
      <c r="G129" s="62">
        <f t="shared" si="31"/>
        <v>0</v>
      </c>
      <c r="H129" s="285">
        <f t="array" aca="1" ref="H129:Q129" ca="1">MMULT(H128:Q128, OFFSET(AB.rngTPMroot, MIN(4, INT(($F128-55)/5))*10, $G129*13))</f>
        <v>1.06987097916105E-5</v>
      </c>
      <c r="I129" s="285">
        <f ca="1"/>
        <v>0</v>
      </c>
      <c r="J129" s="285">
        <f ca="1"/>
        <v>2.7984508678175327E-2</v>
      </c>
      <c r="K129" s="285">
        <f ca="1"/>
        <v>4.1245508377131361E-3</v>
      </c>
      <c r="L129" s="285">
        <f ca="1"/>
        <v>4.3166661713702278E-4</v>
      </c>
      <c r="M129" s="285">
        <f ca="1"/>
        <v>6.3622017731325517E-5</v>
      </c>
      <c r="N129" s="285">
        <f ca="1"/>
        <v>1.6552353808148401E-4</v>
      </c>
      <c r="O129" s="285">
        <f ca="1"/>
        <v>2.4396006215669667E-5</v>
      </c>
      <c r="P129" s="285">
        <f ca="1"/>
        <v>0.54562850990244682</v>
      </c>
      <c r="Q129" s="285">
        <f ca="1"/>
        <v>0.42156652369270903</v>
      </c>
      <c r="R129" s="283">
        <f t="shared" ca="1" si="32"/>
        <v>1.0000000000000013</v>
      </c>
      <c r="S129" s="418">
        <f t="shared" ca="1" si="28"/>
        <v>2.8581698833393832E-2</v>
      </c>
      <c r="U129" s="285">
        <f t="array" aca="1" ref="U129:AD129" ca="1">MMULT(U128:AD128, OFFSET(AB.rngTPMroot, MIN(4, INT(($F128-55)/5))*10, $G129*13))</f>
        <v>9.8993283340885908E-4</v>
      </c>
      <c r="V129" s="285">
        <f ca="1"/>
        <v>0</v>
      </c>
      <c r="W129" s="285">
        <f ca="1"/>
        <v>2.7990183695439857E-2</v>
      </c>
      <c r="X129" s="285">
        <f ca="1"/>
        <v>4.1253872610887126E-3</v>
      </c>
      <c r="Y129" s="285">
        <f ca="1"/>
        <v>4.3175415540803368E-4</v>
      </c>
      <c r="Z129" s="285">
        <f ca="1"/>
        <v>6.3634919728397589E-5</v>
      </c>
      <c r="AA129" s="285">
        <f ca="1"/>
        <v>1.6555710482896925E-4</v>
      </c>
      <c r="AB129" s="285">
        <f ca="1"/>
        <v>2.440095351555089E-5</v>
      </c>
      <c r="AC129" s="285">
        <f ca="1"/>
        <v>0.54475992670948159</v>
      </c>
      <c r="AD129" s="285">
        <f ca="1"/>
        <v>0.42144922236710169</v>
      </c>
      <c r="AE129" s="283">
        <f t="shared" ca="1" si="33"/>
        <v>1.0000000000000018</v>
      </c>
      <c r="AF129" s="418">
        <f t="shared" ca="1" si="29"/>
        <v>2.8587494955676859E-2</v>
      </c>
    </row>
    <row r="130" spans="1:32" ht="12" customHeight="1" x14ac:dyDescent="0.25">
      <c r="A130" s="262"/>
      <c r="C130" s="263"/>
      <c r="D130" s="62">
        <f t="shared" si="34"/>
        <v>120</v>
      </c>
      <c r="E130" s="63">
        <f t="shared" si="30"/>
        <v>30</v>
      </c>
      <c r="F130" s="63">
        <f t="shared" si="35"/>
        <v>85</v>
      </c>
      <c r="G130" s="62">
        <f t="shared" si="31"/>
        <v>0</v>
      </c>
      <c r="H130" s="285">
        <f t="array" aca="1" ref="H130:Q130" ca="1">MMULT(H129:Q129, OFFSET(AB.rngTPMroot, MIN(4, INT(($F129-55)/5))*10, $G130*13))</f>
        <v>1.0054294868347457E-5</v>
      </c>
      <c r="I130" s="285">
        <f ca="1"/>
        <v>0</v>
      </c>
      <c r="J130" s="285">
        <f ca="1"/>
        <v>2.774969279078298E-2</v>
      </c>
      <c r="K130" s="285">
        <f ca="1"/>
        <v>4.0899420448202396E-3</v>
      </c>
      <c r="L130" s="285">
        <f ca="1"/>
        <v>4.2804453533003614E-4</v>
      </c>
      <c r="M130" s="285">
        <f ca="1"/>
        <v>6.3088170211503803E-5</v>
      </c>
      <c r="N130" s="285">
        <f ca="1"/>
        <v>1.6413464264201409E-4</v>
      </c>
      <c r="O130" s="285">
        <f ca="1"/>
        <v>2.4191301179957207E-5</v>
      </c>
      <c r="P130" s="285">
        <f ca="1"/>
        <v>0.54105073714950813</v>
      </c>
      <c r="Q130" s="285">
        <f ca="1"/>
        <v>0.42642011507065819</v>
      </c>
      <c r="R130" s="283">
        <f t="shared" ca="1" si="32"/>
        <v>1.0000000000000013</v>
      </c>
      <c r="S130" s="418">
        <f t="shared" ca="1" si="28"/>
        <v>2.8341871968755032E-2</v>
      </c>
      <c r="U130" s="285">
        <f t="array" aca="1" ref="U130:AD130" ca="1">MMULT(U129:AD129, OFFSET(AB.rngTPMroot, MIN(4, INT(($F129-55)/5))*10, $G130*13))</f>
        <v>9.3030625195162828E-4</v>
      </c>
      <c r="V130" s="285">
        <f ca="1"/>
        <v>0</v>
      </c>
      <c r="W130" s="285">
        <f ca="1"/>
        <v>2.7755320189408565E-2</v>
      </c>
      <c r="X130" s="285">
        <f ca="1"/>
        <v>4.0907714498307837E-3</v>
      </c>
      <c r="Y130" s="285">
        <f ca="1"/>
        <v>4.281313390740619E-4</v>
      </c>
      <c r="Z130" s="285">
        <f ca="1"/>
        <v>6.3100963948898149E-5</v>
      </c>
      <c r="AA130" s="285">
        <f ca="1"/>
        <v>1.6416792773346996E-4</v>
      </c>
      <c r="AB130" s="285">
        <f ca="1"/>
        <v>2.4196206967420785E-5</v>
      </c>
      <c r="AC130" s="285">
        <f ca="1"/>
        <v>0.54024020765951974</v>
      </c>
      <c r="AD130" s="285">
        <f ca="1"/>
        <v>0.42630379801156704</v>
      </c>
      <c r="AE130" s="283">
        <f t="shared" ca="1" si="33"/>
        <v>1.0000000000000018</v>
      </c>
      <c r="AF130" s="418">
        <f t="shared" ca="1" si="29"/>
        <v>2.8347619456216097E-2</v>
      </c>
    </row>
    <row r="131" spans="1:32" ht="12" customHeight="1" x14ac:dyDescent="0.25">
      <c r="A131" s="262"/>
      <c r="C131" s="263"/>
    </row>
    <row r="132" spans="1:32" ht="12" customHeight="1" x14ac:dyDescent="0.25">
      <c r="A132" s="262"/>
      <c r="C132" s="263"/>
    </row>
    <row r="133" spans="1:32" ht="12" customHeight="1" x14ac:dyDescent="0.25">
      <c r="A133" s="262"/>
      <c r="C133" s="263"/>
    </row>
    <row r="134" spans="1:32" ht="12" customHeight="1" x14ac:dyDescent="0.25">
      <c r="A134" s="262"/>
      <c r="C134" s="263"/>
    </row>
    <row r="135" spans="1:32" ht="12" customHeight="1" x14ac:dyDescent="0.25">
      <c r="A135" s="262"/>
      <c r="C135" s="263"/>
    </row>
    <row r="136" spans="1:32" ht="12" customHeight="1" x14ac:dyDescent="0.25">
      <c r="A136" s="262"/>
      <c r="C136" s="263"/>
    </row>
    <row r="137" spans="1:32" ht="12" customHeight="1" x14ac:dyDescent="0.25">
      <c r="A137" s="262"/>
      <c r="C137" s="263"/>
    </row>
    <row r="138" spans="1:32" ht="12" customHeight="1" x14ac:dyDescent="0.25">
      <c r="A138" s="262"/>
      <c r="C138" s="263"/>
    </row>
    <row r="139" spans="1:32" ht="12" customHeight="1" x14ac:dyDescent="0.25">
      <c r="A139" s="262"/>
      <c r="C139" s="263"/>
    </row>
    <row r="140" spans="1:32" ht="12" customHeight="1" x14ac:dyDescent="0.25">
      <c r="A140" s="262"/>
      <c r="C140" s="263"/>
    </row>
    <row r="141" spans="1:32" ht="12" customHeight="1" x14ac:dyDescent="0.25">
      <c r="A141" s="262"/>
      <c r="C141" s="263"/>
    </row>
    <row r="142" spans="1:32" ht="12" customHeight="1" x14ac:dyDescent="0.25">
      <c r="A142" s="262"/>
      <c r="C142" s="263"/>
    </row>
    <row r="143" spans="1:32" ht="12" customHeight="1" x14ac:dyDescent="0.25">
      <c r="A143" s="262"/>
      <c r="C143" s="263"/>
    </row>
    <row r="144" spans="1:32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30" spans="1:3" ht="12" customHeight="1" x14ac:dyDescent="0.25">
      <c r="A330" s="262"/>
      <c r="C330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</sheetData>
  <mergeCells count="30">
    <mergeCell ref="P7:P9"/>
    <mergeCell ref="AE7:AE9"/>
    <mergeCell ref="W7:W9"/>
    <mergeCell ref="X7:X9"/>
    <mergeCell ref="Y7:Y9"/>
    <mergeCell ref="U7:U9"/>
    <mergeCell ref="V7:V9"/>
    <mergeCell ref="S7:S9"/>
    <mergeCell ref="O7:O9"/>
    <mergeCell ref="D6:D9"/>
    <mergeCell ref="E6:E9"/>
    <mergeCell ref="F6:F9"/>
    <mergeCell ref="G6:G9"/>
    <mergeCell ref="L7:L9"/>
    <mergeCell ref="AF7:AF9"/>
    <mergeCell ref="U6:AE6"/>
    <mergeCell ref="H7:H9"/>
    <mergeCell ref="I7:I9"/>
    <mergeCell ref="J7:J9"/>
    <mergeCell ref="K7:K9"/>
    <mergeCell ref="H6:R6"/>
    <mergeCell ref="Q7:Q9"/>
    <mergeCell ref="R7:R9"/>
    <mergeCell ref="M7:M9"/>
    <mergeCell ref="AC7:AC9"/>
    <mergeCell ref="AD7:AD9"/>
    <mergeCell ref="AA7:AA9"/>
    <mergeCell ref="AB7:AB9"/>
    <mergeCell ref="Z7:Z9"/>
    <mergeCell ref="N7:N9"/>
  </mergeCells>
  <conditionalFormatting sqref="R10:R130">
    <cfRule type="expression" dxfId="24" priority="2">
      <formula>ROUND(R10,10)&lt;&gt;1</formula>
    </cfRule>
  </conditionalFormatting>
  <conditionalFormatting sqref="AE10:AE130">
    <cfRule type="expression" dxfId="23" priority="1">
      <formula>ROUND(AE10,10)&lt;&gt;1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B09DE-D9BA-4166-A796-D18369E952AC}">
  <sheetPr codeName="shtTraceQALYs2">
    <tabColor theme="7" tint="-0.499984740745262"/>
  </sheetPr>
  <dimension ref="A1:AC351"/>
  <sheetViews>
    <sheetView workbookViewId="0">
      <pane xSplit="6" ySplit="10" topLeftCell="G11" activePane="bottomRight" state="frozen"/>
      <selection activeCell="K7" sqref="K7"/>
      <selection pane="topRight" activeCell="K7" sqref="K7"/>
      <selection pane="bottomLeft" activeCell="K7" sqref="K7"/>
      <selection pane="bottomRight" activeCell="G11" sqref="G11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7" max="16" width="11.7109375" customWidth="1"/>
    <col min="17" max="17" width="12" style="78" customWidth="1"/>
    <col min="18" max="18" width="1.7109375" customWidth="1"/>
    <col min="19" max="28" width="11.7109375" customWidth="1"/>
    <col min="29" max="29" width="12" style="78" customWidth="1"/>
    <col min="30" max="30" width="1.7109375" customWidth="1"/>
  </cols>
  <sheetData>
    <row r="1" spans="1:29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N1" s="271"/>
      <c r="P1" s="271"/>
    </row>
    <row r="2" spans="1:29" ht="12" hidden="1" customHeight="1" thickTop="1" x14ac:dyDescent="0.25">
      <c r="A2" s="262"/>
      <c r="C2" s="263"/>
      <c r="D2">
        <f>COLUMNS(G2:R2)</f>
        <v>12</v>
      </c>
      <c r="F2" t="s">
        <v>80</v>
      </c>
      <c r="G2">
        <f>MAX($F$2:F2)+1</f>
        <v>1</v>
      </c>
      <c r="H2">
        <f t="shared" ref="H2:P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S2">
        <f>MAX($F$2:R2)+1</f>
        <v>2</v>
      </c>
      <c r="T2">
        <f t="shared" ref="T2:AB2" si="1">S2</f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</row>
    <row r="3" spans="1:29" ht="12" hidden="1" customHeight="1" x14ac:dyDescent="0.25">
      <c r="A3" s="262"/>
      <c r="C3" s="263"/>
      <c r="F3" t="s">
        <v>79</v>
      </c>
      <c r="G3">
        <v>1</v>
      </c>
      <c r="H3">
        <f t="shared" ref="H3:P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S3">
        <v>1</v>
      </c>
      <c r="T3">
        <f t="shared" ref="T3:AB3" si="3">S3+1</f>
        <v>2</v>
      </c>
      <c r="U3">
        <f t="shared" si="3"/>
        <v>3</v>
      </c>
      <c r="V3">
        <f t="shared" si="3"/>
        <v>4</v>
      </c>
      <c r="W3">
        <f t="shared" si="3"/>
        <v>5</v>
      </c>
      <c r="X3">
        <f t="shared" si="3"/>
        <v>6</v>
      </c>
      <c r="Y3">
        <f t="shared" si="3"/>
        <v>7</v>
      </c>
      <c r="Z3">
        <f t="shared" si="3"/>
        <v>8</v>
      </c>
      <c r="AA3">
        <f t="shared" si="3"/>
        <v>9</v>
      </c>
      <c r="AB3">
        <f t="shared" si="3"/>
        <v>10</v>
      </c>
    </row>
    <row r="4" spans="1:29" ht="12" customHeight="1" thickTop="1" x14ac:dyDescent="0.25">
      <c r="A4" s="262"/>
      <c r="C4" s="263"/>
      <c r="F4" s="56" t="s">
        <v>43</v>
      </c>
      <c r="G4" s="92">
        <f t="shared" ref="G4:Q4" ca="1" si="4">SUM(OFFSET(G$11, 0, 0, timeHorizon*AB.cyclesPerYear))</f>
        <v>1.2094863161924762E-4</v>
      </c>
      <c r="H4" s="92">
        <f t="shared" ca="1" si="4"/>
        <v>1.2255637756587481</v>
      </c>
      <c r="I4" s="92">
        <f t="shared" ca="1" si="4"/>
        <v>0.4520665513100241</v>
      </c>
      <c r="J4" s="92">
        <f t="shared" ca="1" si="4"/>
        <v>6.4834832186775021E-2</v>
      </c>
      <c r="K4" s="92">
        <f t="shared" ca="1" si="4"/>
        <v>7.3214392893465518E-3</v>
      </c>
      <c r="L4" s="92">
        <f t="shared" ca="1" si="4"/>
        <v>1.0515470605854007E-3</v>
      </c>
      <c r="M4" s="92">
        <f t="shared" ca="1" si="4"/>
        <v>2.0686079965450484E-3</v>
      </c>
      <c r="N4" s="92">
        <f t="shared" ca="1" si="4"/>
        <v>2.9659612887725635E-4</v>
      </c>
      <c r="O4" s="92">
        <f t="shared" ca="1" si="4"/>
        <v>6.1130164367394082</v>
      </c>
      <c r="P4" s="92">
        <f t="shared" ca="1" si="4"/>
        <v>0</v>
      </c>
      <c r="Q4" s="92">
        <f t="shared" ca="1" si="4"/>
        <v>7.8663407350019279</v>
      </c>
      <c r="S4" s="92">
        <f t="shared" ref="S4:AC4" ca="1" si="5">SUM(OFFSET(S$11, 0, 0, timeHorizon*AB.cyclesPerYear))</f>
        <v>3.3206730176929389</v>
      </c>
      <c r="T4" s="92">
        <f t="shared" ca="1" si="5"/>
        <v>0</v>
      </c>
      <c r="U4" s="92">
        <f t="shared" ca="1" si="5"/>
        <v>0.34025787954053849</v>
      </c>
      <c r="V4" s="92">
        <f t="shared" ca="1" si="5"/>
        <v>4.849979002020368E-2</v>
      </c>
      <c r="W4" s="92">
        <f t="shared" ca="1" si="5"/>
        <v>5.0823319957341252E-3</v>
      </c>
      <c r="X4" s="92">
        <f t="shared" ca="1" si="5"/>
        <v>7.2442063176044044E-4</v>
      </c>
      <c r="Y4" s="92">
        <f t="shared" ca="1" si="5"/>
        <v>1.5742305887722278E-3</v>
      </c>
      <c r="Z4" s="92">
        <f t="shared" ca="1" si="5"/>
        <v>2.2437109766374811E-4</v>
      </c>
      <c r="AA4" s="92">
        <f t="shared" ca="1" si="5"/>
        <v>4.1647720368544929</v>
      </c>
      <c r="AB4" s="92">
        <f t="shared" ca="1" si="5"/>
        <v>0</v>
      </c>
      <c r="AC4" s="92">
        <f t="shared" ca="1" si="5"/>
        <v>7.8818080784221056</v>
      </c>
    </row>
    <row r="5" spans="1:29" ht="12" customHeight="1" x14ac:dyDescent="0.25">
      <c r="A5" s="262"/>
      <c r="C5" s="263"/>
      <c r="F5" s="57" t="s">
        <v>42</v>
      </c>
      <c r="G5" s="92">
        <f t="array" aca="1" ref="G5" ca="1">SUM(OFFSET(G$11, 0, 0, timeHorizon*AB.cyclesPerYear) / (1+DQALYs)^(OFFSET($D$11, 0, 0, timeHorizon*AB.cyclesPerYear)/AB.cyclesPerYear))</f>
        <v>8.648335891039601E-5</v>
      </c>
      <c r="H5" s="92">
        <f t="array" aca="1" ref="H5" ca="1">SUM(OFFSET(H$11, 0, 0, timeHorizon*AB.cyclesPerYear) / (1+DQALYs)^(OFFSET($D$11, 0, 0, timeHorizon*AB.cyclesPerYear)/AB.cyclesPerYear))</f>
        <v>1.1712637235265584</v>
      </c>
      <c r="I5" s="92">
        <f t="array" aca="1" ref="I5" ca="1">SUM(OFFSET(I$11, 0, 0, timeHorizon*AB.cyclesPerYear) / (1+DQALYs)^(OFFSET($D$11, 0, 0, timeHorizon*AB.cyclesPerYear)/AB.cyclesPerYear))</f>
        <v>0.3957866257010127</v>
      </c>
      <c r="J5" s="92">
        <f t="array" aca="1" ref="J5" ca="1">SUM(OFFSET(J$11, 0, 0, timeHorizon*AB.cyclesPerYear) / (1+DQALYs)^(OFFSET($D$11, 0, 0, timeHorizon*AB.cyclesPerYear)/AB.cyclesPerYear))</f>
        <v>5.6469862076817617E-2</v>
      </c>
      <c r="K5" s="92">
        <f t="array" aca="1" ref="K5" ca="1">SUM(OFFSET(K$11, 0, 0, timeHorizon*AB.cyclesPerYear) / (1+DQALYs)^(OFFSET($D$11, 0, 0, timeHorizon*AB.cyclesPerYear)/AB.cyclesPerYear))</f>
        <v>6.4534009416733189E-3</v>
      </c>
      <c r="L5" s="92">
        <f t="array" aca="1" ref="L5" ca="1">SUM(OFFSET(L$11, 0, 0, timeHorizon*AB.cyclesPerYear) / (1+DQALYs)^(OFFSET($D$11, 0, 0, timeHorizon*AB.cyclesPerYear)/AB.cyclesPerYear))</f>
        <v>9.2192726901462688E-4</v>
      </c>
      <c r="M5" s="92">
        <f t="array" aca="1" ref="M5" ca="1">SUM(OFFSET(M$11, 0, 0, timeHorizon*AB.cyclesPerYear) / (1+DQALYs)^(OFFSET($D$11, 0, 0, timeHorizon*AB.cyclesPerYear)/AB.cyclesPerYear))</f>
        <v>1.8096693406157171E-3</v>
      </c>
      <c r="N5" s="92">
        <f t="array" aca="1" ref="N5" ca="1">SUM(OFFSET(N$11, 0, 0, timeHorizon*AB.cyclesPerYear) / (1+DQALYs)^(OFFSET($D$11, 0, 0, timeHorizon*AB.cyclesPerYear)/AB.cyclesPerYear))</f>
        <v>2.5813364795562E-4</v>
      </c>
      <c r="O5" s="92">
        <f t="array" aca="1" ref="O5" ca="1">SUM(OFFSET(O$11, 0, 0, timeHorizon*AB.cyclesPerYear) / (1+DQALYs)^(OFFSET($D$11, 0, 0, timeHorizon*AB.cyclesPerYear)/AB.cyclesPerYear))</f>
        <v>5.0675141720452199</v>
      </c>
      <c r="P5" s="92">
        <f t="array" aca="1" ref="P5" ca="1">SUM(OFFSET(P$11, 0, 0, timeHorizon*AB.cyclesPerYear) / (1+DQALYs)^(OFFSET($D$11, 0, 0, timeHorizon*AB.cyclesPerYear)/AB.cyclesPerYear))</f>
        <v>0</v>
      </c>
      <c r="Q5" s="92">
        <f t="array" aca="1" ref="Q5" ca="1">SUM(OFFSET(Q$11, 0, 0, timeHorizon*AB.cyclesPerYear) / (1+DQALYs)^(OFFSET($D$11, 0, 0, timeHorizon*AB.cyclesPerYear)/AB.cyclesPerYear))</f>
        <v>6.7005639979077802</v>
      </c>
      <c r="S5" s="92">
        <f t="array" aca="1" ref="S5" ca="1">SUM(OFFSET(S$11, 0, 0, timeHorizon*AB.cyclesPerYear) / (1+DQALYs)^(OFFSET($D$11, 0, 0, timeHorizon*AB.cyclesPerYear)/AB.cyclesPerYear))</f>
        <v>2.9898355708377591</v>
      </c>
      <c r="T5" s="92">
        <f t="array" aca="1" ref="T5" ca="1">SUM(OFFSET(T$11, 0, 0, timeHorizon*AB.cyclesPerYear) / (1+DQALYs)^(OFFSET($D$11, 0, 0, timeHorizon*AB.cyclesPerYear)/AB.cyclesPerYear))</f>
        <v>0</v>
      </c>
      <c r="U5" s="92">
        <f t="array" aca="1" ref="U5" ca="1">SUM(OFFSET(U$11, 0, 0, timeHorizon*AB.cyclesPerYear) / (1+DQALYs)^(OFFSET($D$11, 0, 0, timeHorizon*AB.cyclesPerYear)/AB.cyclesPerYear))</f>
        <v>0.28932294968545907</v>
      </c>
      <c r="V5" s="92">
        <f t="array" aca="1" ref="V5" ca="1">SUM(OFFSET(V$11, 0, 0, timeHorizon*AB.cyclesPerYear) / (1+DQALYs)^(OFFSET($D$11, 0, 0, timeHorizon*AB.cyclesPerYear)/AB.cyclesPerYear))</f>
        <v>4.1047845049586459E-2</v>
      </c>
      <c r="W5" s="92">
        <f t="array" aca="1" ref="W5" ca="1">SUM(OFFSET(W$11, 0, 0, timeHorizon*AB.cyclesPerYear) / (1+DQALYs)^(OFFSET($D$11, 0, 0, timeHorizon*AB.cyclesPerYear)/AB.cyclesPerYear))</f>
        <v>4.3216538118714181E-3</v>
      </c>
      <c r="X5" s="92">
        <f t="array" aca="1" ref="X5" ca="1">SUM(OFFSET(X$11, 0, 0, timeHorizon*AB.cyclesPerYear) / (1+DQALYs)^(OFFSET($D$11, 0, 0, timeHorizon*AB.cyclesPerYear)/AB.cyclesPerYear))</f>
        <v>6.1313099835476033E-4</v>
      </c>
      <c r="Y5" s="92">
        <f t="array" aca="1" ref="Y5" ca="1">SUM(OFFSET(Y$11, 0, 0, timeHorizon*AB.cyclesPerYear) / (1+DQALYs)^(OFFSET($D$11, 0, 0, timeHorizon*AB.cyclesPerYear)/AB.cyclesPerYear))</f>
        <v>1.3388974940307036E-3</v>
      </c>
      <c r="Z5" s="92">
        <f t="array" aca="1" ref="Z5" ca="1">SUM(OFFSET(Z$11, 0, 0, timeHorizon*AB.cyclesPerYear) / (1+DQALYs)^(OFFSET($D$11, 0, 0, timeHorizon*AB.cyclesPerYear)/AB.cyclesPerYear))</f>
        <v>1.8994122363763427E-4</v>
      </c>
      <c r="AA5" s="92">
        <f t="array" aca="1" ref="AA5" ca="1">SUM(OFFSET(AA$11, 0, 0, timeHorizon*AB.cyclesPerYear) / (1+DQALYs)^(OFFSET($D$11, 0, 0, timeHorizon*AB.cyclesPerYear)/AB.cyclesPerYear))</f>
        <v>3.388444979111001</v>
      </c>
      <c r="AB5" s="92">
        <f t="array" aca="1" ref="AB5" ca="1">SUM(OFFSET(AB$11, 0, 0, timeHorizon*AB.cyclesPerYear) / (1+DQALYs)^(OFFSET($D$11, 0, 0, timeHorizon*AB.cyclesPerYear)/AB.cyclesPerYear))</f>
        <v>0</v>
      </c>
      <c r="AC5" s="92">
        <f t="array" aca="1" ref="AC5" ca="1">SUM(OFFSET(AC$11, 0, 0, timeHorizon*AB.cyclesPerYear) / (1+DQALYs)^(OFFSET($D$11, 0, 0, timeHorizon*AB.cyclesPerYear)/AB.cyclesPerYear))</f>
        <v>6.7151149682116973</v>
      </c>
    </row>
    <row r="6" spans="1:29" ht="12" customHeight="1" thickBot="1" x14ac:dyDescent="0.3">
      <c r="A6" s="262"/>
      <c r="C6" s="263"/>
      <c r="F6" s="57"/>
      <c r="G6" s="45" cm="1">
        <f t="array" ref="G6">INDEX(AB.rngU.Disutil_byState, G$3)</f>
        <v>0</v>
      </c>
      <c r="H6" s="45" cm="1">
        <f t="array" ref="H6">INDEX(AB.rngU.Disutil_byState, H$3)</f>
        <v>0</v>
      </c>
      <c r="I6" s="45" cm="1">
        <f t="array" ref="I6">INDEX(AB.rngU.Disutil_byState, I$3)</f>
        <v>-7.8690701001430718E-2</v>
      </c>
      <c r="J6" s="45" cm="1">
        <f t="array" ref="J6">INDEX(AB.rngU.Disutil_byState, J$3)</f>
        <v>-7.8690701001430718E-2</v>
      </c>
      <c r="K6" s="45" cm="1">
        <f t="array" ref="K6">INDEX(AB.rngU.Disutil_byState, K$3)</f>
        <v>-0.10199999999999998</v>
      </c>
      <c r="L6" s="45" cm="1">
        <f t="array" ref="L6">INDEX(AB.rngU.Disutil_byState, L$3)</f>
        <v>-0.10199999999999998</v>
      </c>
      <c r="M6" s="45" cm="1">
        <f t="array" ref="M6">INDEX(AB.rngU.Disutil_byState, M$3)</f>
        <v>-0.23899999999999999</v>
      </c>
      <c r="N6" s="45" cm="1">
        <f t="array" ref="N6">INDEX(AB.rngU.Disutil_byState, N$3)</f>
        <v>-0.23899999999999999</v>
      </c>
      <c r="O6" s="45" cm="1">
        <f t="array" ref="O6">INDEX(AB.rngU.Disutil_byState, O$3)</f>
        <v>0</v>
      </c>
      <c r="P6" s="45" cm="1">
        <f t="array" ref="P6">INDEX(AB.rngU.Disutil_byState, P$3)</f>
        <v>0</v>
      </c>
      <c r="Q6"/>
      <c r="S6" s="45" cm="1">
        <f t="array" ref="S6">INDEX(AB.rngU.Disutil_byState, S$3)</f>
        <v>0</v>
      </c>
      <c r="T6" s="45" cm="1">
        <f t="array" ref="T6">INDEX(AB.rngU.Disutil_byState, T$3)</f>
        <v>0</v>
      </c>
      <c r="U6" s="45" cm="1">
        <f t="array" ref="U6">INDEX(AB.rngU.Disutil_byState, U$3)</f>
        <v>-7.8690701001430718E-2</v>
      </c>
      <c r="V6" s="45" cm="1">
        <f t="array" ref="V6">INDEX(AB.rngU.Disutil_byState, V$3)</f>
        <v>-7.8690701001430718E-2</v>
      </c>
      <c r="W6" s="45" cm="1">
        <f t="array" ref="W6">INDEX(AB.rngU.Disutil_byState, W$3)</f>
        <v>-0.10199999999999998</v>
      </c>
      <c r="X6" s="45" cm="1">
        <f t="array" ref="X6">INDEX(AB.rngU.Disutil_byState, X$3)</f>
        <v>-0.10199999999999998</v>
      </c>
      <c r="Y6" s="45" cm="1">
        <f t="array" ref="Y6">INDEX(AB.rngU.Disutil_byState, Y$3)</f>
        <v>-0.23899999999999999</v>
      </c>
      <c r="Z6" s="45" cm="1">
        <f t="array" ref="Z6">INDEX(AB.rngU.Disutil_byState, Z$3)</f>
        <v>-0.23899999999999999</v>
      </c>
      <c r="AA6" s="45" cm="1">
        <f t="array" ref="AA6">INDEX(AB.rngU.Disutil_byState, AA$3)</f>
        <v>0</v>
      </c>
      <c r="AB6" s="45" cm="1">
        <f t="array" ref="AB6">INDEX(AB.rngU.Disutil_byState, AB$3)</f>
        <v>0</v>
      </c>
      <c r="AC6"/>
    </row>
    <row r="7" spans="1:29" ht="12" customHeight="1" thickBot="1" x14ac:dyDescent="0.3">
      <c r="A7" s="262"/>
      <c r="C7" s="263"/>
      <c r="D7" s="452" t="s">
        <v>31</v>
      </c>
      <c r="E7" s="452" t="s">
        <v>30</v>
      </c>
      <c r="F7" s="452" t="s">
        <v>36</v>
      </c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S7" s="438" t="str">
        <f>INDEX(rngStrats, S2)</f>
        <v>No HPE</v>
      </c>
      <c r="T7" s="438"/>
      <c r="U7" s="438"/>
      <c r="V7" s="438"/>
      <c r="W7" s="438"/>
      <c r="X7" s="438"/>
      <c r="Y7" s="438"/>
      <c r="Z7" s="438"/>
      <c r="AA7" s="438"/>
      <c r="AB7" s="438"/>
      <c r="AC7" s="438"/>
    </row>
    <row r="8" spans="1:29" ht="12" customHeight="1" thickBot="1" x14ac:dyDescent="0.3">
      <c r="A8" s="262"/>
      <c r="C8" s="263"/>
      <c r="D8" s="452"/>
      <c r="E8" s="452"/>
      <c r="F8" s="452"/>
      <c r="G8" s="501" t="str">
        <f t="shared" ref="G8:P8" ca="1" si="6">INDEX(AB.rngStates, G$3)</f>
        <v>Well no HPE</v>
      </c>
      <c r="H8" s="501" t="str">
        <f t="shared" ca="1" si="6"/>
        <v>Well with HPE</v>
      </c>
      <c r="I8" s="501" t="str">
        <f t="shared" ca="1" si="6"/>
        <v>GI discomfort</v>
      </c>
      <c r="J8" s="501" t="str">
        <f t="shared" ca="1" si="6"/>
        <v>Unresolved GI discomfort</v>
      </c>
      <c r="K8" s="501" t="str">
        <f t="shared" ca="1" si="6"/>
        <v>Symptomatic ulcer</v>
      </c>
      <c r="L8" s="501" t="str">
        <f t="shared" ca="1" si="6"/>
        <v>Unresolved ulcer</v>
      </c>
      <c r="M8" s="501" t="str">
        <f t="shared" ca="1" si="6"/>
        <v>Serious GI event</v>
      </c>
      <c r="N8" s="501" t="str">
        <f t="shared" ca="1" si="6"/>
        <v>Unresolved serious GI event</v>
      </c>
      <c r="O8" s="501" t="str">
        <f t="shared" ca="1" si="6"/>
        <v>Post-event</v>
      </c>
      <c r="P8" s="501" t="str">
        <f t="shared" ca="1" si="6"/>
        <v>Dead</v>
      </c>
      <c r="Q8" s="528" t="s">
        <v>37</v>
      </c>
      <c r="S8" s="501" t="str">
        <f t="shared" ref="S8:AB8" ca="1" si="7">INDEX(AB.rngStates, S$3)</f>
        <v>Well no HPE</v>
      </c>
      <c r="T8" s="501" t="str">
        <f t="shared" ca="1" si="7"/>
        <v>Well with HPE</v>
      </c>
      <c r="U8" s="501" t="str">
        <f t="shared" ca="1" si="7"/>
        <v>GI discomfort</v>
      </c>
      <c r="V8" s="501" t="str">
        <f t="shared" ca="1" si="7"/>
        <v>Unresolved GI discomfort</v>
      </c>
      <c r="W8" s="501" t="str">
        <f t="shared" ca="1" si="7"/>
        <v>Symptomatic ulcer</v>
      </c>
      <c r="X8" s="501" t="str">
        <f t="shared" ca="1" si="7"/>
        <v>Unresolved ulcer</v>
      </c>
      <c r="Y8" s="501" t="str">
        <f t="shared" ca="1" si="7"/>
        <v>Serious GI event</v>
      </c>
      <c r="Z8" s="501" t="str">
        <f t="shared" ca="1" si="7"/>
        <v>Unresolved serious GI event</v>
      </c>
      <c r="AA8" s="501" t="str">
        <f t="shared" ca="1" si="7"/>
        <v>Post-event</v>
      </c>
      <c r="AB8" s="501" t="str">
        <f t="shared" ca="1" si="7"/>
        <v>Dead</v>
      </c>
      <c r="AC8" s="528" t="s">
        <v>37</v>
      </c>
    </row>
    <row r="9" spans="1:29" ht="12" customHeight="1" thickBot="1" x14ac:dyDescent="0.3">
      <c r="A9" s="262"/>
      <c r="C9" s="263"/>
      <c r="D9" s="452"/>
      <c r="E9" s="452"/>
      <c r="F9" s="45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29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29"/>
    </row>
    <row r="10" spans="1:29" ht="12" customHeight="1" thickBot="1" x14ac:dyDescent="0.3">
      <c r="A10" s="262"/>
      <c r="C10" s="263"/>
      <c r="D10" s="452"/>
      <c r="E10" s="452"/>
      <c r="F10" s="452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30"/>
      <c r="S10" s="527"/>
      <c r="T10" s="527"/>
      <c r="U10" s="527"/>
      <c r="V10" s="527"/>
      <c r="W10" s="527"/>
      <c r="X10" s="527"/>
      <c r="Y10" s="527"/>
      <c r="Z10" s="527"/>
      <c r="AA10" s="527"/>
      <c r="AB10" s="527"/>
      <c r="AC10" s="530"/>
    </row>
    <row r="11" spans="1:29" ht="12" customHeight="1" x14ac:dyDescent="0.25">
      <c r="A11" s="262"/>
      <c r="C11" s="263"/>
      <c r="D11" s="62">
        <v>0</v>
      </c>
      <c r="E11" s="43">
        <f t="shared" ref="E11:E42" si="8">B.cohortAge+D11*AB.cycleLength</f>
        <v>55</v>
      </c>
      <c r="F11" s="44" cm="1">
        <f t="array" ref="F11">_fnGENPOP.U(E11)</f>
        <v>0.82220000000000004</v>
      </c>
      <c r="G11" s="45">
        <f t="shared" ref="G11:O20" ca="1" si="9">PRODUCT(AVERAGE(OFFSET(AB.Trace.MarkovQB.Root, $D11, (G$2-1)*AB.Trace.MarkovQB.NumCols+G$3-1, CHOOSE(swtchHalfCycle, 2, 1))), $F11+G$6, AB.cycleLength)</f>
        <v>0</v>
      </c>
      <c r="H11" s="45">
        <f t="shared" ca="1" si="9"/>
        <v>0.18967672117331066</v>
      </c>
      <c r="I11" s="45">
        <f t="shared" ca="1" si="9"/>
        <v>1.3901770343420243E-2</v>
      </c>
      <c r="J11" s="45">
        <f t="shared" ca="1" si="9"/>
        <v>0</v>
      </c>
      <c r="K11" s="45">
        <f t="shared" ca="1" si="9"/>
        <v>2.5171743114103833E-4</v>
      </c>
      <c r="L11" s="45">
        <f t="shared" ca="1" si="9"/>
        <v>0</v>
      </c>
      <c r="M11" s="45">
        <f t="shared" ca="1" si="9"/>
        <v>6.2619791402420856E-5</v>
      </c>
      <c r="N11" s="45">
        <f t="shared" ca="1" si="9"/>
        <v>0</v>
      </c>
      <c r="O11" s="45">
        <f t="shared" ca="1" si="9"/>
        <v>0</v>
      </c>
      <c r="P11" s="45">
        <v>0</v>
      </c>
      <c r="Q11" s="22">
        <f t="shared" ref="Q11:Q42" ca="1" si="10">SUM(G11:P11)</f>
        <v>0.20389282873927439</v>
      </c>
      <c r="S11" s="45">
        <f t="shared" ref="S11:AA20" ca="1" si="11">PRODUCT(AVERAGE(OFFSET(AB.Trace.MarkovQB.Root, $D11, (S$2-1)*AB.Trace.MarkovQB.NumCols+S$3-1, CHOOSE(swtchHalfCycle, 2, 1))), $F11+S$6, AB.cycleLength)</f>
        <v>0.20008706900291839</v>
      </c>
      <c r="T11" s="45">
        <f t="shared" ca="1" si="11"/>
        <v>0</v>
      </c>
      <c r="U11" s="45">
        <f t="shared" ca="1" si="11"/>
        <v>4.726601916762883E-3</v>
      </c>
      <c r="V11" s="45">
        <f t="shared" ca="1" si="11"/>
        <v>0</v>
      </c>
      <c r="W11" s="45">
        <f t="shared" ca="1" si="11"/>
        <v>7.0623057663129579E-5</v>
      </c>
      <c r="X11" s="45">
        <f t="shared" ca="1" si="11"/>
        <v>0</v>
      </c>
      <c r="Y11" s="45">
        <f t="shared" ca="1" si="11"/>
        <v>2.1929170887545433E-5</v>
      </c>
      <c r="Z11" s="45">
        <f t="shared" ca="1" si="11"/>
        <v>0</v>
      </c>
      <c r="AA11" s="45">
        <f t="shared" ca="1" si="11"/>
        <v>0</v>
      </c>
      <c r="AB11" s="45">
        <v>0</v>
      </c>
      <c r="AC11" s="22">
        <f t="shared" ref="AC11:AC42" ca="1" si="12">SUM(S11:AB11)</f>
        <v>0.20490622314823195</v>
      </c>
    </row>
    <row r="12" spans="1:29" ht="12" customHeight="1" x14ac:dyDescent="0.25">
      <c r="A12" s="262"/>
      <c r="C12" s="263"/>
      <c r="D12" s="62">
        <f t="shared" ref="D12:D43" si="13">D11+1</f>
        <v>1</v>
      </c>
      <c r="E12" s="43">
        <f t="shared" si="8"/>
        <v>55.25</v>
      </c>
      <c r="F12" s="44" cm="1">
        <f t="array" ref="F12">_fnGENPOP.U(E12)</f>
        <v>0.82220000000000004</v>
      </c>
      <c r="G12" s="45">
        <f t="shared" ca="1" si="9"/>
        <v>0</v>
      </c>
      <c r="H12" s="45">
        <f t="shared" ca="1" si="9"/>
        <v>0.16038174202355474</v>
      </c>
      <c r="I12" s="45">
        <f t="shared" ca="1" si="9"/>
        <v>2.5656455531445594E-2</v>
      </c>
      <c r="J12" s="45">
        <f t="shared" ca="1" si="9"/>
        <v>2.0317467667149633E-3</v>
      </c>
      <c r="K12" s="45">
        <f t="shared" ca="1" si="9"/>
        <v>4.6455788860132083E-4</v>
      </c>
      <c r="L12" s="45">
        <f t="shared" ca="1" si="9"/>
        <v>3.6788557443596438E-5</v>
      </c>
      <c r="M12" s="45">
        <f t="shared" ca="1" si="9"/>
        <v>1.1556815094884805E-4</v>
      </c>
      <c r="N12" s="45">
        <f t="shared" ca="1" si="9"/>
        <v>9.1518961665520023E-6</v>
      </c>
      <c r="O12" s="45">
        <f t="shared" ca="1" si="9"/>
        <v>1.3423709181300619E-2</v>
      </c>
      <c r="P12" s="45">
        <v>0</v>
      </c>
      <c r="Q12" s="22">
        <f t="shared" ca="1" si="10"/>
        <v>0.20211971999617623</v>
      </c>
      <c r="S12" s="45">
        <f t="shared" ca="1" si="11"/>
        <v>0.18945158516568905</v>
      </c>
      <c r="T12" s="45">
        <f t="shared" ca="1" si="11"/>
        <v>0</v>
      </c>
      <c r="U12" s="45">
        <f t="shared" ca="1" si="11"/>
        <v>9.2019647177685373E-3</v>
      </c>
      <c r="V12" s="45">
        <f t="shared" ca="1" si="11"/>
        <v>6.9079390068308756E-4</v>
      </c>
      <c r="W12" s="45">
        <f t="shared" ca="1" si="11"/>
        <v>1.3749219763405202E-4</v>
      </c>
      <c r="X12" s="45">
        <f t="shared" ca="1" si="11"/>
        <v>1.0321575275518877E-5</v>
      </c>
      <c r="Y12" s="45">
        <f t="shared" ca="1" si="11"/>
        <v>4.2692712513287206E-5</v>
      </c>
      <c r="Z12" s="45">
        <f t="shared" ca="1" si="11"/>
        <v>3.2049531064651885E-6</v>
      </c>
      <c r="AA12" s="45">
        <f t="shared" ca="1" si="11"/>
        <v>4.5503252477909709E-3</v>
      </c>
      <c r="AB12" s="45">
        <v>0</v>
      </c>
      <c r="AC12" s="22">
        <f t="shared" ca="1" si="12"/>
        <v>0.20408838047046099</v>
      </c>
    </row>
    <row r="13" spans="1:29" ht="12" customHeight="1" x14ac:dyDescent="0.25">
      <c r="A13" s="262"/>
      <c r="C13" s="263"/>
      <c r="D13" s="62">
        <f t="shared" si="13"/>
        <v>2</v>
      </c>
      <c r="E13" s="43">
        <f t="shared" si="8"/>
        <v>55.5</v>
      </c>
      <c r="F13" s="44" cm="1">
        <f t="array" ref="F13">_fnGENPOP.U(E13)</f>
        <v>0.82220000000000004</v>
      </c>
      <c r="G13" s="45">
        <f t="shared" ca="1" si="9"/>
        <v>0</v>
      </c>
      <c r="H13" s="45">
        <f t="shared" ca="1" si="9"/>
        <v>0.13561128121255941</v>
      </c>
      <c r="I13" s="45">
        <f t="shared" ca="1" si="9"/>
        <v>2.2311249568820548E-2</v>
      </c>
      <c r="J13" s="45">
        <f t="shared" ca="1" si="9"/>
        <v>3.7496965698367258E-3</v>
      </c>
      <c r="K13" s="45">
        <f t="shared" ca="1" si="9"/>
        <v>4.0203262944936007E-4</v>
      </c>
      <c r="L13" s="45">
        <f t="shared" ca="1" si="9"/>
        <v>6.7895236707344833E-5</v>
      </c>
      <c r="M13" s="45">
        <f t="shared" ca="1" si="9"/>
        <v>1.0058323563953612E-4</v>
      </c>
      <c r="N13" s="45">
        <f t="shared" ca="1" si="9"/>
        <v>1.6890310458673559E-5</v>
      </c>
      <c r="O13" s="45">
        <f t="shared" ca="1" si="9"/>
        <v>3.9782619178344546E-2</v>
      </c>
      <c r="P13" s="45">
        <v>0</v>
      </c>
      <c r="Q13" s="22">
        <f t="shared" ca="1" si="10"/>
        <v>0.20204224794181613</v>
      </c>
      <c r="S13" s="45">
        <f t="shared" ca="1" si="11"/>
        <v>0.17938142280083491</v>
      </c>
      <c r="T13" s="45">
        <f t="shared" ca="1" si="11"/>
        <v>0</v>
      </c>
      <c r="U13" s="45">
        <f t="shared" ca="1" si="11"/>
        <v>8.9221094781417251E-3</v>
      </c>
      <c r="V13" s="45">
        <f t="shared" ca="1" si="11"/>
        <v>1.3448691498202101E-3</v>
      </c>
      <c r="W13" s="45">
        <f t="shared" ca="1" si="11"/>
        <v>1.3331070888726343E-4</v>
      </c>
      <c r="X13" s="45">
        <f t="shared" ca="1" si="11"/>
        <v>2.0094514661849302E-5</v>
      </c>
      <c r="Y13" s="45">
        <f t="shared" ca="1" si="11"/>
        <v>4.139431813152502E-5</v>
      </c>
      <c r="Z13" s="45">
        <f t="shared" ca="1" si="11"/>
        <v>6.2395492421738533E-6</v>
      </c>
      <c r="AA13" s="45">
        <f t="shared" ca="1" si="11"/>
        <v>1.3946295699405005E-2</v>
      </c>
      <c r="AB13" s="45">
        <v>0</v>
      </c>
      <c r="AC13" s="22">
        <f t="shared" ca="1" si="12"/>
        <v>0.20379573621912464</v>
      </c>
    </row>
    <row r="14" spans="1:29" ht="12" customHeight="1" x14ac:dyDescent="0.25">
      <c r="A14" s="262"/>
      <c r="C14" s="263"/>
      <c r="D14" s="62">
        <f t="shared" si="13"/>
        <v>3</v>
      </c>
      <c r="E14" s="43">
        <f t="shared" si="8"/>
        <v>55.75</v>
      </c>
      <c r="F14" s="44" cm="1">
        <f t="array" ref="F14">_fnGENPOP.U(E14)</f>
        <v>0.82220000000000004</v>
      </c>
      <c r="G14" s="45">
        <f t="shared" ca="1" si="9"/>
        <v>0</v>
      </c>
      <c r="H14" s="45">
        <f t="shared" ca="1" si="9"/>
        <v>0.11466654096705678</v>
      </c>
      <c r="I14" s="45">
        <f t="shared" ca="1" si="9"/>
        <v>2.0172935942166792E-2</v>
      </c>
      <c r="J14" s="45">
        <f t="shared" ca="1" si="9"/>
        <v>3.2607939890387412E-3</v>
      </c>
      <c r="K14" s="45">
        <f t="shared" ca="1" si="9"/>
        <v>3.5947743662167802E-4</v>
      </c>
      <c r="L14" s="45">
        <f t="shared" ca="1" si="9"/>
        <v>5.875715644980858E-5</v>
      </c>
      <c r="M14" s="45">
        <f t="shared" ca="1" si="9"/>
        <v>9.1115057121494178E-5</v>
      </c>
      <c r="N14" s="45">
        <f t="shared" ca="1" si="9"/>
        <v>1.4700261819033786E-5</v>
      </c>
      <c r="O14" s="45">
        <f t="shared" ca="1" si="9"/>
        <v>6.3451785702748176E-2</v>
      </c>
      <c r="P14" s="45">
        <v>0</v>
      </c>
      <c r="Q14" s="22">
        <f t="shared" ca="1" si="10"/>
        <v>0.20207610651302255</v>
      </c>
      <c r="S14" s="45">
        <f t="shared" ca="1" si="11"/>
        <v>0.16984653265323793</v>
      </c>
      <c r="T14" s="45">
        <f t="shared" ca="1" si="11"/>
        <v>0</v>
      </c>
      <c r="U14" s="45">
        <f t="shared" ca="1" si="11"/>
        <v>8.8911035254354547E-3</v>
      </c>
      <c r="V14" s="45">
        <f t="shared" ca="1" si="11"/>
        <v>1.303968245531489E-3</v>
      </c>
      <c r="W14" s="45">
        <f t="shared" ca="1" si="11"/>
        <v>1.3284742993455341E-4</v>
      </c>
      <c r="X14" s="45">
        <f t="shared" ca="1" si="11"/>
        <v>1.9483389169809815E-5</v>
      </c>
      <c r="Y14" s="45">
        <f t="shared" ca="1" si="11"/>
        <v>4.1250465349462801E-5</v>
      </c>
      <c r="Z14" s="45">
        <f t="shared" ca="1" si="11"/>
        <v>6.0497886201884113E-6</v>
      </c>
      <c r="AA14" s="45">
        <f t="shared" ca="1" si="11"/>
        <v>2.3311060142878245E-2</v>
      </c>
      <c r="AB14" s="45">
        <v>0</v>
      </c>
      <c r="AC14" s="22">
        <f t="shared" ca="1" si="12"/>
        <v>0.20355229564015714</v>
      </c>
    </row>
    <row r="15" spans="1:29" ht="12" customHeight="1" x14ac:dyDescent="0.25">
      <c r="A15" s="262"/>
      <c r="C15" s="263"/>
      <c r="D15" s="62">
        <f t="shared" si="13"/>
        <v>4</v>
      </c>
      <c r="E15" s="43">
        <f t="shared" si="8"/>
        <v>56</v>
      </c>
      <c r="F15" s="44" cm="1">
        <f t="array" ref="F15">_fnGENPOP.U(E15)</f>
        <v>0.82220000000000004</v>
      </c>
      <c r="G15" s="45">
        <f t="shared" ca="1" si="9"/>
        <v>0</v>
      </c>
      <c r="H15" s="45">
        <f t="shared" ca="1" si="9"/>
        <v>9.6956650654606402E-2</v>
      </c>
      <c r="I15" s="45">
        <f t="shared" ca="1" si="9"/>
        <v>1.8428404286286056E-2</v>
      </c>
      <c r="J15" s="45">
        <f t="shared" ca="1" si="9"/>
        <v>2.9482789862835287E-3</v>
      </c>
      <c r="K15" s="45">
        <f t="shared" ca="1" si="9"/>
        <v>3.2444394308508772E-4</v>
      </c>
      <c r="L15" s="45">
        <f t="shared" ca="1" si="9"/>
        <v>5.2537705739669533E-5</v>
      </c>
      <c r="M15" s="45">
        <f t="shared" ca="1" si="9"/>
        <v>8.3403939946385009E-5</v>
      </c>
      <c r="N15" s="45">
        <f t="shared" ca="1" si="9"/>
        <v>1.3316485464260618E-5</v>
      </c>
      <c r="O15" s="45">
        <f t="shared" ca="1" si="9"/>
        <v>8.324118799215853E-2</v>
      </c>
      <c r="P15" s="45">
        <v>0</v>
      </c>
      <c r="Q15" s="22">
        <f t="shared" ca="1" si="10"/>
        <v>0.20204822399356992</v>
      </c>
      <c r="S15" s="45">
        <f t="shared" ca="1" si="11"/>
        <v>0.16081846271426248</v>
      </c>
      <c r="T15" s="45">
        <f t="shared" ca="1" si="11"/>
        <v>0</v>
      </c>
      <c r="U15" s="45">
        <f t="shared" ca="1" si="11"/>
        <v>8.8832794779608558E-3</v>
      </c>
      <c r="V15" s="45">
        <f t="shared" ca="1" si="11"/>
        <v>1.2994367187831926E-3</v>
      </c>
      <c r="W15" s="45">
        <f t="shared" ca="1" si="11"/>
        <v>1.3273052604340953E-4</v>
      </c>
      <c r="X15" s="45">
        <f t="shared" ca="1" si="11"/>
        <v>1.941568084986183E-5</v>
      </c>
      <c r="Y15" s="45">
        <f t="shared" ca="1" si="11"/>
        <v>4.1214165513529032E-5</v>
      </c>
      <c r="Z15" s="45">
        <f t="shared" ca="1" si="11"/>
        <v>6.0287645047255792E-6</v>
      </c>
      <c r="AA15" s="45">
        <f t="shared" ca="1" si="11"/>
        <v>3.2102070767051773E-2</v>
      </c>
      <c r="AB15" s="45">
        <v>0</v>
      </c>
      <c r="AC15" s="22">
        <f t="shared" ca="1" si="12"/>
        <v>0.20330263881496982</v>
      </c>
    </row>
    <row r="16" spans="1:29" ht="12" customHeight="1" x14ac:dyDescent="0.25">
      <c r="A16" s="262"/>
      <c r="C16" s="263"/>
      <c r="D16" s="62">
        <f t="shared" si="13"/>
        <v>5</v>
      </c>
      <c r="E16" s="43">
        <f t="shared" si="8"/>
        <v>56.25</v>
      </c>
      <c r="F16" s="44" cm="1">
        <f t="array" ref="F16">_fnGENPOP.U(E16)</f>
        <v>0.82220000000000004</v>
      </c>
      <c r="G16" s="45">
        <f t="shared" ca="1" si="9"/>
        <v>0</v>
      </c>
      <c r="H16" s="45">
        <f t="shared" ca="1" si="9"/>
        <v>8.1981997772655746E-2</v>
      </c>
      <c r="I16" s="45">
        <f t="shared" ca="1" si="9"/>
        <v>1.6943002183263636E-2</v>
      </c>
      <c r="J16" s="45">
        <f t="shared" ca="1" si="9"/>
        <v>2.693315304413673E-3</v>
      </c>
      <c r="K16" s="45">
        <f t="shared" ca="1" si="9"/>
        <v>2.9466724645423709E-4</v>
      </c>
      <c r="L16" s="45">
        <f t="shared" ca="1" si="9"/>
        <v>4.7417553020891074E-5</v>
      </c>
      <c r="M16" s="45">
        <f t="shared" ca="1" si="9"/>
        <v>7.683595694897772E-5</v>
      </c>
      <c r="N16" s="45">
        <f t="shared" ca="1" si="9"/>
        <v>1.2189504007851824E-5</v>
      </c>
      <c r="O16" s="45">
        <f t="shared" ca="1" si="9"/>
        <v>9.9936881763800306E-2</v>
      </c>
      <c r="P16" s="45">
        <v>0</v>
      </c>
      <c r="Q16" s="22">
        <f t="shared" ca="1" si="10"/>
        <v>0.20198630728456529</v>
      </c>
      <c r="S16" s="45">
        <f t="shared" ca="1" si="11"/>
        <v>0.15227027332127044</v>
      </c>
      <c r="T16" s="45">
        <f t="shared" ca="1" si="11"/>
        <v>0</v>
      </c>
      <c r="U16" s="45">
        <f t="shared" ca="1" si="11"/>
        <v>8.8723771669734636E-3</v>
      </c>
      <c r="V16" s="45">
        <f t="shared" ca="1" si="11"/>
        <v>1.2982932325388912E-3</v>
      </c>
      <c r="W16" s="45">
        <f t="shared" ca="1" si="11"/>
        <v>1.325676279294826E-4</v>
      </c>
      <c r="X16" s="45">
        <f t="shared" ca="1" si="11"/>
        <v>1.9398595320682419E-5</v>
      </c>
      <c r="Y16" s="45">
        <f t="shared" ca="1" si="11"/>
        <v>4.1163584008058078E-5</v>
      </c>
      <c r="Z16" s="45">
        <f t="shared" ca="1" si="11"/>
        <v>6.0234592757893489E-6</v>
      </c>
      <c r="AA16" s="45">
        <f t="shared" ca="1" si="11"/>
        <v>4.0413158777349495E-2</v>
      </c>
      <c r="AB16" s="45">
        <v>0</v>
      </c>
      <c r="AC16" s="22">
        <f t="shared" ca="1" si="12"/>
        <v>0.20305325576466626</v>
      </c>
    </row>
    <row r="17" spans="1:29" ht="12" customHeight="1" x14ac:dyDescent="0.25">
      <c r="A17" s="262"/>
      <c r="C17" s="263"/>
      <c r="D17" s="62">
        <f t="shared" si="13"/>
        <v>6</v>
      </c>
      <c r="E17" s="43">
        <f t="shared" si="8"/>
        <v>56.5</v>
      </c>
      <c r="F17" s="44" cm="1">
        <f t="array" ref="F17">_fnGENPOP.U(E17)</f>
        <v>0.82220000000000004</v>
      </c>
      <c r="G17" s="45">
        <f t="shared" ca="1" si="9"/>
        <v>0</v>
      </c>
      <c r="H17" s="45">
        <f t="shared" ca="1" si="9"/>
        <v>6.932013341445202E-2</v>
      </c>
      <c r="I17" s="45">
        <f t="shared" ca="1" si="9"/>
        <v>1.5685300532525752E-2</v>
      </c>
      <c r="J17" s="45">
        <f t="shared" ca="1" si="9"/>
        <v>2.4762234631924705E-3</v>
      </c>
      <c r="K17" s="45">
        <f t="shared" ca="1" si="9"/>
        <v>2.6946383889682766E-4</v>
      </c>
      <c r="L17" s="45">
        <f t="shared" ca="1" si="9"/>
        <v>4.3065682316033875E-5</v>
      </c>
      <c r="M17" s="45">
        <f t="shared" ca="1" si="9"/>
        <v>7.1274420408117087E-5</v>
      </c>
      <c r="N17" s="45">
        <f t="shared" ca="1" si="9"/>
        <v>1.1229591860753445E-5</v>
      </c>
      <c r="O17" s="45">
        <f t="shared" ca="1" si="9"/>
        <v>0.11401921029654444</v>
      </c>
      <c r="P17" s="45">
        <v>0</v>
      </c>
      <c r="Q17" s="22">
        <f t="shared" ca="1" si="10"/>
        <v>0.20189590124019641</v>
      </c>
      <c r="S17" s="45">
        <f t="shared" ca="1" si="11"/>
        <v>0.14417645676996074</v>
      </c>
      <c r="T17" s="45">
        <f t="shared" ca="1" si="11"/>
        <v>0</v>
      </c>
      <c r="U17" s="45">
        <f t="shared" ca="1" si="11"/>
        <v>8.8614729212920223E-3</v>
      </c>
      <c r="V17" s="45">
        <f t="shared" ca="1" si="11"/>
        <v>1.2966998574110362E-3</v>
      </c>
      <c r="W17" s="45">
        <f t="shared" ca="1" si="11"/>
        <v>1.3240470090810556E-4</v>
      </c>
      <c r="X17" s="45">
        <f t="shared" ca="1" si="11"/>
        <v>1.9374787725815076E-5</v>
      </c>
      <c r="Y17" s="45">
        <f t="shared" ca="1" si="11"/>
        <v>4.1112993526532646E-5</v>
      </c>
      <c r="Z17" s="45">
        <f t="shared" ca="1" si="11"/>
        <v>6.0160667777364079E-6</v>
      </c>
      <c r="AA17" s="45">
        <f t="shared" ca="1" si="11"/>
        <v>4.8270691592639532E-2</v>
      </c>
      <c r="AB17" s="45">
        <v>0</v>
      </c>
      <c r="AC17" s="22">
        <f t="shared" ca="1" si="12"/>
        <v>0.20280422969024153</v>
      </c>
    </row>
    <row r="18" spans="1:29" ht="12" customHeight="1" x14ac:dyDescent="0.25">
      <c r="A18" s="262"/>
      <c r="C18" s="263"/>
      <c r="D18" s="62">
        <f t="shared" si="13"/>
        <v>7</v>
      </c>
      <c r="E18" s="43">
        <f t="shared" si="8"/>
        <v>56.75</v>
      </c>
      <c r="F18" s="44" cm="1">
        <f t="array" ref="F18">_fnGENPOP.U(E18)</f>
        <v>0.82220000000000004</v>
      </c>
      <c r="G18" s="45">
        <f t="shared" ca="1" si="9"/>
        <v>0</v>
      </c>
      <c r="H18" s="45">
        <f t="shared" ca="1" si="9"/>
        <v>5.8613854591869678E-2</v>
      </c>
      <c r="I18" s="45">
        <f t="shared" ca="1" si="9"/>
        <v>1.4620248045131607E-2</v>
      </c>
      <c r="J18" s="45">
        <f t="shared" ca="1" si="9"/>
        <v>2.292410092718529E-3</v>
      </c>
      <c r="K18" s="45">
        <f t="shared" ca="1" si="9"/>
        <v>2.4812912841563873E-4</v>
      </c>
      <c r="L18" s="45">
        <f t="shared" ca="1" si="9"/>
        <v>3.938219880638128E-5</v>
      </c>
      <c r="M18" s="45">
        <f t="shared" ca="1" si="9"/>
        <v>6.6564427550054695E-5</v>
      </c>
      <c r="N18" s="45">
        <f t="shared" ca="1" si="9"/>
        <v>1.0416772082716411E-5</v>
      </c>
      <c r="O18" s="45">
        <f t="shared" ca="1" si="9"/>
        <v>0.12589029744290905</v>
      </c>
      <c r="P18" s="45">
        <v>0</v>
      </c>
      <c r="Q18" s="22">
        <f t="shared" ca="1" si="10"/>
        <v>0.20178130269948363</v>
      </c>
      <c r="S18" s="45">
        <f t="shared" ca="1" si="11"/>
        <v>0.13651286119965655</v>
      </c>
      <c r="T18" s="45">
        <f t="shared" ca="1" si="11"/>
        <v>0</v>
      </c>
      <c r="U18" s="45">
        <f t="shared" ca="1" si="11"/>
        <v>8.8506062790193827E-3</v>
      </c>
      <c r="V18" s="45">
        <f t="shared" ca="1" si="11"/>
        <v>1.2951061995272242E-3</v>
      </c>
      <c r="W18" s="45">
        <f t="shared" ca="1" si="11"/>
        <v>1.3224233574231839E-4</v>
      </c>
      <c r="X18" s="45">
        <f t="shared" ca="1" si="11"/>
        <v>1.9350975906117595E-5</v>
      </c>
      <c r="Y18" s="45">
        <f t="shared" ca="1" si="11"/>
        <v>4.1062577506828214E-5</v>
      </c>
      <c r="Z18" s="45">
        <f t="shared" ca="1" si="11"/>
        <v>6.0086729678311465E-6</v>
      </c>
      <c r="AA18" s="45">
        <f t="shared" ca="1" si="11"/>
        <v>5.5698268377259844E-2</v>
      </c>
      <c r="AB18" s="45">
        <v>0</v>
      </c>
      <c r="AC18" s="22">
        <f t="shared" ca="1" si="12"/>
        <v>0.20255550661758609</v>
      </c>
    </row>
    <row r="19" spans="1:29" ht="12" customHeight="1" x14ac:dyDescent="0.25">
      <c r="A19" s="262"/>
      <c r="C19" s="263"/>
      <c r="D19" s="62">
        <f t="shared" si="13"/>
        <v>8</v>
      </c>
      <c r="E19" s="43">
        <f t="shared" si="8"/>
        <v>57</v>
      </c>
      <c r="F19" s="44" cm="1">
        <f t="array" ref="F19">_fnGENPOP.U(E19)</f>
        <v>0.82220000000000004</v>
      </c>
      <c r="G19" s="45">
        <f t="shared" ca="1" si="9"/>
        <v>0</v>
      </c>
      <c r="H19" s="45">
        <f t="shared" ca="1" si="9"/>
        <v>4.9561127206379306E-2</v>
      </c>
      <c r="I19" s="45">
        <f t="shared" ca="1" si="9"/>
        <v>1.3718021568224797E-2</v>
      </c>
      <c r="J19" s="45">
        <f t="shared" ca="1" si="9"/>
        <v>2.1367524394708634E-3</v>
      </c>
      <c r="K19" s="45">
        <f t="shared" ca="1" si="9"/>
        <v>2.3006457448483472E-4</v>
      </c>
      <c r="L19" s="45">
        <f t="shared" ca="1" si="9"/>
        <v>3.6264126217916195E-5</v>
      </c>
      <c r="M19" s="45">
        <f t="shared" ca="1" si="9"/>
        <v>6.257413956258023E-5</v>
      </c>
      <c r="N19" s="45">
        <f t="shared" ca="1" si="9"/>
        <v>9.7284055995836967E-6</v>
      </c>
      <c r="O19" s="45">
        <f t="shared" ca="1" si="9"/>
        <v>0.13589176840597805</v>
      </c>
      <c r="P19" s="45">
        <v>0</v>
      </c>
      <c r="Q19" s="22">
        <f t="shared" ca="1" si="10"/>
        <v>0.20164630086591795</v>
      </c>
      <c r="S19" s="45">
        <f t="shared" ca="1" si="11"/>
        <v>0.12925661852441547</v>
      </c>
      <c r="T19" s="45">
        <f t="shared" ca="1" si="11"/>
        <v>0</v>
      </c>
      <c r="U19" s="45">
        <f t="shared" ca="1" si="11"/>
        <v>8.8397518217602691E-3</v>
      </c>
      <c r="V19" s="45">
        <f t="shared" ca="1" si="11"/>
        <v>1.2935180373898076E-3</v>
      </c>
      <c r="W19" s="45">
        <f t="shared" ca="1" si="11"/>
        <v>1.320801526402903E-4</v>
      </c>
      <c r="X19" s="45">
        <f t="shared" ca="1" si="11"/>
        <v>1.9327246201737077E-5</v>
      </c>
      <c r="Y19" s="45">
        <f t="shared" ca="1" si="11"/>
        <v>4.1012218019755169E-5</v>
      </c>
      <c r="Z19" s="45">
        <f t="shared" ca="1" si="11"/>
        <v>6.0013046555590622E-6</v>
      </c>
      <c r="AA19" s="45">
        <f t="shared" ca="1" si="11"/>
        <v>6.2718779016029569E-2</v>
      </c>
      <c r="AB19" s="45">
        <v>0</v>
      </c>
      <c r="AC19" s="22">
        <f t="shared" ca="1" si="12"/>
        <v>0.20230708832111247</v>
      </c>
    </row>
    <row r="20" spans="1:29" ht="12" customHeight="1" x14ac:dyDescent="0.25">
      <c r="A20" s="262"/>
      <c r="C20" s="263"/>
      <c r="D20" s="62">
        <f t="shared" si="13"/>
        <v>9</v>
      </c>
      <c r="E20" s="43">
        <f t="shared" si="8"/>
        <v>57.25</v>
      </c>
      <c r="F20" s="44" cm="1">
        <f t="array" ref="F20">_fnGENPOP.U(E20)</f>
        <v>0.82220000000000004</v>
      </c>
      <c r="G20" s="45">
        <f t="shared" ca="1" si="9"/>
        <v>0</v>
      </c>
      <c r="H20" s="45">
        <f t="shared" ca="1" si="9"/>
        <v>4.1906565385782107E-2</v>
      </c>
      <c r="I20" s="45">
        <f t="shared" ca="1" si="9"/>
        <v>1.2953477999553546E-2</v>
      </c>
      <c r="J20" s="45">
        <f t="shared" ca="1" si="9"/>
        <v>2.0048918431571244E-3</v>
      </c>
      <c r="K20" s="45">
        <f t="shared" ca="1" si="9"/>
        <v>2.1476518434370285E-4</v>
      </c>
      <c r="L20" s="45">
        <f t="shared" ca="1" si="9"/>
        <v>3.3623987722287064E-5</v>
      </c>
      <c r="M20" s="45">
        <f t="shared" ca="1" si="9"/>
        <v>5.9192422854952637E-5</v>
      </c>
      <c r="N20" s="45">
        <f t="shared" ca="1" si="9"/>
        <v>9.1452241402057545E-6</v>
      </c>
      <c r="O20" s="45">
        <f t="shared" ca="1" si="9"/>
        <v>0.14431243247560652</v>
      </c>
      <c r="P20" s="45">
        <v>0</v>
      </c>
      <c r="Q20" s="22">
        <f t="shared" ca="1" si="10"/>
        <v>0.20149409452316044</v>
      </c>
      <c r="S20" s="45">
        <f t="shared" ca="1" si="11"/>
        <v>0.12238607619490946</v>
      </c>
      <c r="T20" s="45">
        <f t="shared" ca="1" si="11"/>
        <v>0</v>
      </c>
      <c r="U20" s="45">
        <f t="shared" ca="1" si="11"/>
        <v>8.8289105520407089E-3</v>
      </c>
      <c r="V20" s="45">
        <f t="shared" ca="1" si="11"/>
        <v>1.2919316560947743E-3</v>
      </c>
      <c r="W20" s="45">
        <f t="shared" ca="1" si="11"/>
        <v>1.3191816658137751E-4</v>
      </c>
      <c r="X20" s="45">
        <f t="shared" ca="1" si="11"/>
        <v>1.9303543106014644E-5</v>
      </c>
      <c r="Y20" s="45">
        <f t="shared" ca="1" si="11"/>
        <v>4.0961919716554498E-5</v>
      </c>
      <c r="Z20" s="45">
        <f t="shared" ca="1" si="11"/>
        <v>5.9939446055433804E-6</v>
      </c>
      <c r="AA20" s="45">
        <f t="shared" ca="1" si="11"/>
        <v>6.935387874486014E-2</v>
      </c>
      <c r="AB20" s="45">
        <v>0</v>
      </c>
      <c r="AC20" s="22">
        <f t="shared" ca="1" si="12"/>
        <v>0.20205897472191459</v>
      </c>
    </row>
    <row r="21" spans="1:29" ht="12" customHeight="1" x14ac:dyDescent="0.25">
      <c r="A21" s="262"/>
      <c r="C21" s="263"/>
      <c r="D21" s="62">
        <f t="shared" si="13"/>
        <v>10</v>
      </c>
      <c r="E21" s="43">
        <f t="shared" si="8"/>
        <v>57.5</v>
      </c>
      <c r="F21" s="44" cm="1">
        <f t="array" ref="F21">_fnGENPOP.U(E21)</f>
        <v>0.82220000000000004</v>
      </c>
      <c r="G21" s="45">
        <f t="shared" ref="G21:O30" ca="1" si="14">PRODUCT(AVERAGE(OFFSET(AB.Trace.MarkovQB.Root, $D21, (G$2-1)*AB.Trace.MarkovQB.NumCols+G$3-1, CHOOSE(swtchHalfCycle, 2, 1))), $F21+G$6, AB.cycleLength)</f>
        <v>0</v>
      </c>
      <c r="H21" s="45">
        <f t="shared" ca="1" si="14"/>
        <v>3.5434226810862064E-2</v>
      </c>
      <c r="I21" s="45">
        <f t="shared" ca="1" si="14"/>
        <v>1.2305355074936344E-2</v>
      </c>
      <c r="J21" s="45">
        <f t="shared" ca="1" si="14"/>
        <v>1.8931536339012263E-3</v>
      </c>
      <c r="K21" s="45">
        <f t="shared" ca="1" si="14"/>
        <v>2.0180392339658748E-4</v>
      </c>
      <c r="L21" s="45">
        <f t="shared" ca="1" si="14"/>
        <v>3.1387978517411389E-5</v>
      </c>
      <c r="M21" s="45">
        <f t="shared" ca="1" si="14"/>
        <v>5.6325296772605433E-5</v>
      </c>
      <c r="N21" s="45">
        <f t="shared" ca="1" si="14"/>
        <v>8.650985506065155E-6</v>
      </c>
      <c r="O21" s="45">
        <f t="shared" ca="1" si="14"/>
        <v>0.15139648373358475</v>
      </c>
      <c r="P21" s="45">
        <v>0</v>
      </c>
      <c r="Q21" s="22">
        <f t="shared" ca="1" si="10"/>
        <v>0.20132738743747705</v>
      </c>
      <c r="S21" s="45">
        <f t="shared" ref="S21:AA30" ca="1" si="15">PRODUCT(AVERAGE(OFFSET(AB.Trace.MarkovQB.Root, $D21, (S$2-1)*AB.Trace.MarkovQB.NumCols+S$3-1, CHOOSE(swtchHalfCycle, 2, 1))), $F21+S$6, AB.cycleLength)</f>
        <v>0.11588073258745278</v>
      </c>
      <c r="T21" s="45">
        <f t="shared" ca="1" si="15"/>
        <v>0</v>
      </c>
      <c r="U21" s="45">
        <f t="shared" ca="1" si="15"/>
        <v>8.8180825934161388E-3</v>
      </c>
      <c r="V21" s="45">
        <f t="shared" ca="1" si="15"/>
        <v>1.290347202161522E-3</v>
      </c>
      <c r="W21" s="45">
        <f t="shared" ca="1" si="15"/>
        <v>1.3175637941169755E-4</v>
      </c>
      <c r="X21" s="45">
        <f t="shared" ca="1" si="15"/>
        <v>1.9279868808186475E-5</v>
      </c>
      <c r="Y21" s="45">
        <f t="shared" ca="1" si="15"/>
        <v>4.09116831704643E-5</v>
      </c>
      <c r="Z21" s="45">
        <f t="shared" ca="1" si="15"/>
        <v>5.9865934975639867E-6</v>
      </c>
      <c r="AA21" s="45">
        <f t="shared" ca="1" si="15"/>
        <v>7.5624068506787365E-2</v>
      </c>
      <c r="AB21" s="45">
        <v>0</v>
      </c>
      <c r="AC21" s="22">
        <f t="shared" ca="1" si="12"/>
        <v>0.20181116541470573</v>
      </c>
    </row>
    <row r="22" spans="1:29" ht="12" customHeight="1" x14ac:dyDescent="0.25">
      <c r="A22" s="262"/>
      <c r="C22" s="263"/>
      <c r="D22" s="62">
        <f t="shared" si="13"/>
        <v>11</v>
      </c>
      <c r="E22" s="43">
        <f t="shared" si="8"/>
        <v>57.75</v>
      </c>
      <c r="F22" s="44" cm="1">
        <f t="array" ref="F22">_fnGENPOP.U(E22)</f>
        <v>0.82220000000000004</v>
      </c>
      <c r="G22" s="45">
        <f t="shared" ca="1" si="14"/>
        <v>0</v>
      </c>
      <c r="H22" s="45">
        <f t="shared" ca="1" si="14"/>
        <v>2.9961520781409724E-2</v>
      </c>
      <c r="I22" s="45">
        <f t="shared" ca="1" si="14"/>
        <v>1.1755673983240972E-2</v>
      </c>
      <c r="J22" s="45">
        <f t="shared" ca="1" si="14"/>
        <v>1.7984303271571969E-3</v>
      </c>
      <c r="K22" s="45">
        <f t="shared" ca="1" si="14"/>
        <v>1.9081970467536971E-4</v>
      </c>
      <c r="L22" s="45">
        <f t="shared" ca="1" si="14"/>
        <v>2.9493687404027079E-5</v>
      </c>
      <c r="M22" s="45">
        <f t="shared" ca="1" si="14"/>
        <v>5.3893293650883233E-5</v>
      </c>
      <c r="N22" s="45">
        <f t="shared" ca="1" si="14"/>
        <v>8.2319544040062565E-6</v>
      </c>
      <c r="O22" s="45">
        <f t="shared" ca="1" si="14"/>
        <v>0.15735040208428161</v>
      </c>
      <c r="P22" s="45">
        <v>0</v>
      </c>
      <c r="Q22" s="22">
        <f t="shared" ca="1" si="10"/>
        <v>0.20114846581622378</v>
      </c>
      <c r="S22" s="45">
        <f t="shared" ca="1" si="15"/>
        <v>0.10972117582737961</v>
      </c>
      <c r="T22" s="45">
        <f t="shared" ca="1" si="15"/>
        <v>0</v>
      </c>
      <c r="U22" s="45">
        <f t="shared" ca="1" si="15"/>
        <v>8.8072679145836039E-3</v>
      </c>
      <c r="V22" s="45">
        <f t="shared" ca="1" si="15"/>
        <v>1.2887646936477048E-3</v>
      </c>
      <c r="W22" s="45">
        <f t="shared" ca="1" si="15"/>
        <v>1.3159479066353374E-4</v>
      </c>
      <c r="X22" s="45">
        <f t="shared" ca="1" si="15"/>
        <v>1.9256223578063046E-5</v>
      </c>
      <c r="Y22" s="45">
        <f t="shared" ca="1" si="15"/>
        <v>4.0861508236253844E-5</v>
      </c>
      <c r="Z22" s="45">
        <f t="shared" ca="1" si="15"/>
        <v>5.9792514153997539E-6</v>
      </c>
      <c r="AA22" s="45">
        <f t="shared" ca="1" si="15"/>
        <v>8.1548759816194638E-2</v>
      </c>
      <c r="AB22" s="45">
        <v>0</v>
      </c>
      <c r="AC22" s="22">
        <f t="shared" ca="1" si="12"/>
        <v>0.20156366002569881</v>
      </c>
    </row>
    <row r="23" spans="1:29" ht="12" customHeight="1" x14ac:dyDescent="0.25">
      <c r="A23" s="262"/>
      <c r="C23" s="263"/>
      <c r="D23" s="62">
        <f t="shared" si="13"/>
        <v>12</v>
      </c>
      <c r="E23" s="43">
        <f t="shared" si="8"/>
        <v>58</v>
      </c>
      <c r="F23" s="44" cm="1">
        <f t="array" ref="F23">_fnGENPOP.U(E23)</f>
        <v>0.82220000000000004</v>
      </c>
      <c r="G23" s="45">
        <f t="shared" ca="1" si="14"/>
        <v>0</v>
      </c>
      <c r="H23" s="45">
        <f t="shared" ca="1" si="14"/>
        <v>2.5334057162485248E-2</v>
      </c>
      <c r="I23" s="45">
        <f t="shared" ca="1" si="14"/>
        <v>1.1289232723305733E-2</v>
      </c>
      <c r="J23" s="45">
        <f t="shared" ca="1" si="14"/>
        <v>1.7180943157581151E-3</v>
      </c>
      <c r="K23" s="45">
        <f t="shared" ca="1" si="14"/>
        <v>1.8150721054624314E-4</v>
      </c>
      <c r="L23" s="45">
        <f t="shared" ca="1" si="14"/>
        <v>2.788834144301521E-5</v>
      </c>
      <c r="M23" s="45">
        <f t="shared" ca="1" si="14"/>
        <v>5.1829219537449487E-5</v>
      </c>
      <c r="N23" s="45">
        <f t="shared" ca="1" si="14"/>
        <v>7.8765166175132227E-6</v>
      </c>
      <c r="O23" s="45">
        <f t="shared" ca="1" si="14"/>
        <v>0.16234877722475391</v>
      </c>
      <c r="P23" s="45">
        <v>0</v>
      </c>
      <c r="Q23" s="22">
        <f t="shared" ca="1" si="10"/>
        <v>0.20095926271444722</v>
      </c>
      <c r="S23" s="45">
        <f t="shared" ca="1" si="15"/>
        <v>0.10388902586422094</v>
      </c>
      <c r="T23" s="45">
        <f t="shared" ca="1" si="15"/>
        <v>0</v>
      </c>
      <c r="U23" s="45">
        <f t="shared" ca="1" si="15"/>
        <v>8.7964664989737887E-3</v>
      </c>
      <c r="V23" s="45">
        <f t="shared" ca="1" si="15"/>
        <v>1.287184125978389E-3</v>
      </c>
      <c r="W23" s="45">
        <f t="shared" ca="1" si="15"/>
        <v>1.3143340008931381E-4</v>
      </c>
      <c r="X23" s="45">
        <f t="shared" ca="1" si="15"/>
        <v>1.9232607347287464E-5</v>
      </c>
      <c r="Y23" s="45">
        <f t="shared" ca="1" si="15"/>
        <v>4.0811394837049441E-5</v>
      </c>
      <c r="Z23" s="45">
        <f t="shared" ca="1" si="15"/>
        <v>5.9719183378251806E-6</v>
      </c>
      <c r="AA23" s="45">
        <f t="shared" ca="1" si="15"/>
        <v>8.714633237264853E-2</v>
      </c>
      <c r="AB23" s="45">
        <v>0</v>
      </c>
      <c r="AC23" s="22">
        <f t="shared" ca="1" si="12"/>
        <v>0.20131645818243313</v>
      </c>
    </row>
    <row r="24" spans="1:29" ht="12" customHeight="1" x14ac:dyDescent="0.25">
      <c r="A24" s="262"/>
      <c r="C24" s="263"/>
      <c r="D24" s="62">
        <f t="shared" si="13"/>
        <v>13</v>
      </c>
      <c r="E24" s="43">
        <f t="shared" si="8"/>
        <v>58.25</v>
      </c>
      <c r="F24" s="44" cm="1">
        <f t="array" ref="F24">_fnGENPOP.U(E24)</f>
        <v>0.82220000000000004</v>
      </c>
      <c r="G24" s="45">
        <f t="shared" ca="1" si="14"/>
        <v>0</v>
      </c>
      <c r="H24" s="45">
        <f t="shared" ca="1" si="14"/>
        <v>2.1421290894896687E-2</v>
      </c>
      <c r="I24" s="45">
        <f t="shared" ca="1" si="14"/>
        <v>1.0893177194401192E-2</v>
      </c>
      <c r="J24" s="45">
        <f t="shared" ca="1" si="14"/>
        <v>1.649923823919684E-3</v>
      </c>
      <c r="K24" s="45">
        <f t="shared" ca="1" si="14"/>
        <v>1.7360827871372786E-4</v>
      </c>
      <c r="L24" s="45">
        <f t="shared" ca="1" si="14"/>
        <v>2.6527318395626134E-5</v>
      </c>
      <c r="M24" s="45">
        <f t="shared" ca="1" si="14"/>
        <v>5.0076258370591137E-5</v>
      </c>
      <c r="N24" s="45">
        <f t="shared" ca="1" si="14"/>
        <v>7.5748517358016701E-6</v>
      </c>
      <c r="O24" s="45">
        <f t="shared" ca="1" si="14"/>
        <v>0.16653923395454148</v>
      </c>
      <c r="P24" s="45">
        <v>0</v>
      </c>
      <c r="Q24" s="22">
        <f t="shared" ca="1" si="10"/>
        <v>0.20076141257497479</v>
      </c>
      <c r="S24" s="45">
        <f t="shared" ca="1" si="15"/>
        <v>9.8366879625833556E-2</v>
      </c>
      <c r="T24" s="45">
        <f t="shared" ca="1" si="15"/>
        <v>0</v>
      </c>
      <c r="U24" s="45">
        <f t="shared" ca="1" si="15"/>
        <v>8.7856783304487585E-3</v>
      </c>
      <c r="V24" s="45">
        <f t="shared" ca="1" si="15"/>
        <v>1.2856054967319655E-3</v>
      </c>
      <c r="W24" s="45">
        <f t="shared" ca="1" si="15"/>
        <v>1.3127220744791097E-4</v>
      </c>
      <c r="X24" s="45">
        <f t="shared" ca="1" si="15"/>
        <v>1.9209020079676988E-5</v>
      </c>
      <c r="Y24" s="45">
        <f t="shared" ca="1" si="15"/>
        <v>4.0761342897978795E-5</v>
      </c>
      <c r="Z24" s="45">
        <f t="shared" ca="1" si="15"/>
        <v>5.9645942536051566E-6</v>
      </c>
      <c r="AA24" s="45">
        <f t="shared" ca="1" si="15"/>
        <v>9.2434188894930908E-2</v>
      </c>
      <c r="AB24" s="45">
        <v>0</v>
      </c>
      <c r="AC24" s="22">
        <f t="shared" ca="1" si="12"/>
        <v>0.20106955951262434</v>
      </c>
    </row>
    <row r="25" spans="1:29" ht="12" customHeight="1" x14ac:dyDescent="0.25">
      <c r="A25" s="262"/>
      <c r="C25" s="263"/>
      <c r="D25" s="62">
        <f t="shared" si="13"/>
        <v>14</v>
      </c>
      <c r="E25" s="43">
        <f t="shared" si="8"/>
        <v>58.5</v>
      </c>
      <c r="F25" s="44" cm="1">
        <f t="array" ref="F25">_fnGENPOP.U(E25)</f>
        <v>0.82220000000000004</v>
      </c>
      <c r="G25" s="45">
        <f t="shared" ca="1" si="14"/>
        <v>0</v>
      </c>
      <c r="H25" s="45">
        <f t="shared" ca="1" si="14"/>
        <v>1.8112839197476915E-2</v>
      </c>
      <c r="I25" s="45">
        <f t="shared" ca="1" si="14"/>
        <v>1.0556638568778504E-2</v>
      </c>
      <c r="J25" s="45">
        <f t="shared" ca="1" si="14"/>
        <v>1.5920402220176968E-3</v>
      </c>
      <c r="K25" s="45">
        <f t="shared" ca="1" si="14"/>
        <v>1.6690461920246477E-4</v>
      </c>
      <c r="L25" s="45">
        <f t="shared" ca="1" si="14"/>
        <v>2.537288778608792E-5</v>
      </c>
      <c r="M25" s="45">
        <f t="shared" ca="1" si="14"/>
        <v>4.8586369139178357E-5</v>
      </c>
      <c r="N25" s="45">
        <f t="shared" ca="1" si="14"/>
        <v>7.3186560790645366E-6</v>
      </c>
      <c r="O25" s="45">
        <f t="shared" ca="1" si="14"/>
        <v>0.17004659682854043</v>
      </c>
      <c r="P25" s="45">
        <v>0</v>
      </c>
      <c r="Q25" s="22">
        <f t="shared" ca="1" si="10"/>
        <v>0.20055629734902033</v>
      </c>
      <c r="S25" s="45">
        <f t="shared" ca="1" si="15"/>
        <v>9.3138259087821779E-2</v>
      </c>
      <c r="T25" s="45">
        <f t="shared" ca="1" si="15"/>
        <v>0</v>
      </c>
      <c r="U25" s="45">
        <f t="shared" ca="1" si="15"/>
        <v>8.774903392757492E-3</v>
      </c>
      <c r="V25" s="45">
        <f t="shared" ca="1" si="15"/>
        <v>1.2840288035498716E-3</v>
      </c>
      <c r="W25" s="45">
        <f t="shared" ca="1" si="15"/>
        <v>1.3111121249650875E-4</v>
      </c>
      <c r="X25" s="45">
        <f t="shared" ca="1" si="15"/>
        <v>1.9185461739990888E-5</v>
      </c>
      <c r="Y25" s="45">
        <f t="shared" ca="1" si="15"/>
        <v>4.0711352343644953E-5</v>
      </c>
      <c r="Z25" s="45">
        <f t="shared" ca="1" si="15"/>
        <v>5.9572791517970809E-6</v>
      </c>
      <c r="AA25" s="45">
        <f t="shared" ca="1" si="15"/>
        <v>9.7428807054591643E-2</v>
      </c>
      <c r="AB25" s="45">
        <v>0</v>
      </c>
      <c r="AC25" s="22">
        <f t="shared" ca="1" si="12"/>
        <v>0.20082296364445273</v>
      </c>
    </row>
    <row r="26" spans="1:29" ht="12" customHeight="1" x14ac:dyDescent="0.25">
      <c r="A26" s="262"/>
      <c r="C26" s="263"/>
      <c r="D26" s="62">
        <f t="shared" si="13"/>
        <v>15</v>
      </c>
      <c r="E26" s="43">
        <f t="shared" si="8"/>
        <v>58.75</v>
      </c>
      <c r="F26" s="44" cm="1">
        <f t="array" ref="F26">_fnGENPOP.U(E26)</f>
        <v>0.82220000000000004</v>
      </c>
      <c r="G26" s="45">
        <f t="shared" ca="1" si="14"/>
        <v>0</v>
      </c>
      <c r="H26" s="45">
        <f t="shared" ca="1" si="14"/>
        <v>1.5315367566004877E-2</v>
      </c>
      <c r="I26" s="45">
        <f t="shared" ca="1" si="14"/>
        <v>1.0270426672823241E-2</v>
      </c>
      <c r="J26" s="45">
        <f t="shared" ca="1" si="14"/>
        <v>1.5428550285069133E-3</v>
      </c>
      <c r="K26" s="45">
        <f t="shared" ca="1" si="14"/>
        <v>1.612116562072542E-4</v>
      </c>
      <c r="L26" s="45">
        <f t="shared" ca="1" si="14"/>
        <v>2.4393146486907756E-5</v>
      </c>
      <c r="M26" s="45">
        <f t="shared" ca="1" si="14"/>
        <v>4.7318930605207488E-5</v>
      </c>
      <c r="N26" s="45">
        <f t="shared" ca="1" si="14"/>
        <v>7.1009084430507486E-6</v>
      </c>
      <c r="O26" s="45">
        <f t="shared" ca="1" si="14"/>
        <v>0.172976411583703</v>
      </c>
      <c r="P26" s="45">
        <v>0</v>
      </c>
      <c r="Q26" s="22">
        <f t="shared" ca="1" si="10"/>
        <v>0.20034508549278046</v>
      </c>
      <c r="S26" s="45">
        <f t="shared" ca="1" si="15"/>
        <v>8.818756210329172E-2</v>
      </c>
      <c r="T26" s="45">
        <f t="shared" ca="1" si="15"/>
        <v>0</v>
      </c>
      <c r="U26" s="45">
        <f t="shared" ca="1" si="15"/>
        <v>8.764141669672685E-3</v>
      </c>
      <c r="V26" s="45">
        <f t="shared" ca="1" si="15"/>
        <v>1.2824540440570171E-3</v>
      </c>
      <c r="W26" s="45">
        <f t="shared" ca="1" si="15"/>
        <v>1.3095041499264502E-4</v>
      </c>
      <c r="X26" s="45">
        <f t="shared" ca="1" si="15"/>
        <v>1.9161932292741476E-5</v>
      </c>
      <c r="Y26" s="45">
        <f t="shared" ca="1" si="15"/>
        <v>4.0661423098760951E-5</v>
      </c>
      <c r="Z26" s="45">
        <f t="shared" ca="1" si="15"/>
        <v>5.9499730213816723E-6</v>
      </c>
      <c r="AA26" s="45">
        <f t="shared" ca="1" si="15"/>
        <v>0.10214578864612925</v>
      </c>
      <c r="AB26" s="45">
        <v>0</v>
      </c>
      <c r="AC26" s="22">
        <f t="shared" ca="1" si="12"/>
        <v>0.20057667020655617</v>
      </c>
    </row>
    <row r="27" spans="1:29" ht="12" customHeight="1" x14ac:dyDescent="0.25">
      <c r="A27" s="262"/>
      <c r="C27" s="263"/>
      <c r="D27" s="62">
        <f t="shared" si="13"/>
        <v>16</v>
      </c>
      <c r="E27" s="43">
        <f t="shared" si="8"/>
        <v>59</v>
      </c>
      <c r="F27" s="44" cm="1">
        <f t="array" ref="F27">_fnGENPOP.U(E27)</f>
        <v>0.82220000000000004</v>
      </c>
      <c r="G27" s="45">
        <f t="shared" ca="1" si="14"/>
        <v>0</v>
      </c>
      <c r="H27" s="45">
        <f t="shared" ca="1" si="14"/>
        <v>1.2949956719899989E-2</v>
      </c>
      <c r="I27" s="45">
        <f t="shared" ca="1" si="14"/>
        <v>1.0026770724144613E-2</v>
      </c>
      <c r="J27" s="45">
        <f t="shared" ca="1" si="14"/>
        <v>1.5010250975098375E-3</v>
      </c>
      <c r="K27" s="45">
        <f t="shared" ca="1" si="14"/>
        <v>1.5637332104434558E-4</v>
      </c>
      <c r="L27" s="45">
        <f t="shared" ca="1" si="14"/>
        <v>2.3561118703912368E-5</v>
      </c>
      <c r="M27" s="45">
        <f t="shared" ca="1" si="14"/>
        <v>4.623959534291455E-5</v>
      </c>
      <c r="N27" s="45">
        <f t="shared" ca="1" si="14"/>
        <v>6.9156720249693588E-6</v>
      </c>
      <c r="O27" s="45">
        <f t="shared" ca="1" si="14"/>
        <v>0.1754179226924695</v>
      </c>
      <c r="P27" s="45">
        <v>0</v>
      </c>
      <c r="Q27" s="22">
        <f t="shared" ca="1" si="10"/>
        <v>0.20012876494114007</v>
      </c>
      <c r="S27" s="45">
        <f t="shared" ca="1" si="15"/>
        <v>8.3500015846214304E-2</v>
      </c>
      <c r="T27" s="45">
        <f t="shared" ca="1" si="15"/>
        <v>0</v>
      </c>
      <c r="U27" s="45">
        <f t="shared" ca="1" si="15"/>
        <v>8.7533931449877405E-3</v>
      </c>
      <c r="V27" s="45">
        <f t="shared" ca="1" si="15"/>
        <v>1.2808812158817777E-3</v>
      </c>
      <c r="W27" s="45">
        <f t="shared" ca="1" si="15"/>
        <v>1.3078981469416711E-4</v>
      </c>
      <c r="X27" s="45">
        <f t="shared" ca="1" si="15"/>
        <v>1.9138431702492871E-5</v>
      </c>
      <c r="Y27" s="45">
        <f t="shared" ca="1" si="15"/>
        <v>4.0611555088135987E-5</v>
      </c>
      <c r="Z27" s="45">
        <f t="shared" ca="1" si="15"/>
        <v>5.942675851355728E-6</v>
      </c>
      <c r="AA27" s="45">
        <f t="shared" ca="1" si="15"/>
        <v>0.10659990614360806</v>
      </c>
      <c r="AB27" s="45">
        <v>0</v>
      </c>
      <c r="AC27" s="22">
        <f t="shared" ca="1" si="12"/>
        <v>0.20033067882802805</v>
      </c>
    </row>
    <row r="28" spans="1:29" ht="12" customHeight="1" x14ac:dyDescent="0.25">
      <c r="A28" s="262"/>
      <c r="C28" s="263"/>
      <c r="D28" s="62">
        <f t="shared" si="13"/>
        <v>17</v>
      </c>
      <c r="E28" s="43">
        <f t="shared" si="8"/>
        <v>59.25</v>
      </c>
      <c r="F28" s="44" cm="1">
        <f t="array" ref="F28">_fnGENPOP.U(E28)</f>
        <v>0.82220000000000004</v>
      </c>
      <c r="G28" s="45">
        <f t="shared" ca="1" si="14"/>
        <v>0</v>
      </c>
      <c r="H28" s="45">
        <f t="shared" ca="1" si="14"/>
        <v>1.0949876215803353E-2</v>
      </c>
      <c r="I28" s="45">
        <f t="shared" ca="1" si="14"/>
        <v>9.8191001110199058E-3</v>
      </c>
      <c r="J28" s="45">
        <f t="shared" ca="1" si="14"/>
        <v>1.4654147274857797E-3</v>
      </c>
      <c r="K28" s="45">
        <f t="shared" ca="1" si="14"/>
        <v>1.5225764931527639E-4</v>
      </c>
      <c r="L28" s="45">
        <f t="shared" ca="1" si="14"/>
        <v>2.285399496494371E-5</v>
      </c>
      <c r="M28" s="45">
        <f t="shared" ca="1" si="14"/>
        <v>4.5319320768006935E-5</v>
      </c>
      <c r="N28" s="45">
        <f t="shared" ca="1" si="14"/>
        <v>6.75792694105614E-6</v>
      </c>
      <c r="O28" s="45">
        <f t="shared" ca="1" si="14"/>
        <v>0.17744659104239877</v>
      </c>
      <c r="P28" s="45">
        <v>0</v>
      </c>
      <c r="Q28" s="22">
        <f t="shared" ca="1" si="10"/>
        <v>0.19990817098869709</v>
      </c>
      <c r="S28" s="45">
        <f t="shared" ca="1" si="15"/>
        <v>7.9061632729472989E-2</v>
      </c>
      <c r="T28" s="45">
        <f t="shared" ca="1" si="15"/>
        <v>0</v>
      </c>
      <c r="U28" s="45">
        <f t="shared" ca="1" si="15"/>
        <v>8.7426578025158724E-3</v>
      </c>
      <c r="V28" s="45">
        <f t="shared" ca="1" si="15"/>
        <v>1.2793103166555558E-3</v>
      </c>
      <c r="W28" s="45">
        <f t="shared" ca="1" si="15"/>
        <v>1.3062941135921828E-4</v>
      </c>
      <c r="X28" s="45">
        <f t="shared" ca="1" si="15"/>
        <v>1.9114959933854397E-5</v>
      </c>
      <c r="Y28" s="45">
        <f t="shared" ca="1" si="15"/>
        <v>4.0561748236671081E-5</v>
      </c>
      <c r="Z28" s="45">
        <f t="shared" ca="1" si="15"/>
        <v>5.9353876307300901E-6</v>
      </c>
      <c r="AA28" s="45">
        <f t="shared" ca="1" si="15"/>
        <v>0.1108051467826115</v>
      </c>
      <c r="AB28" s="45">
        <v>0</v>
      </c>
      <c r="AC28" s="22">
        <f t="shared" ca="1" si="12"/>
        <v>0.20008498913841638</v>
      </c>
    </row>
    <row r="29" spans="1:29" ht="12" customHeight="1" x14ac:dyDescent="0.25">
      <c r="A29" s="262"/>
      <c r="C29" s="263"/>
      <c r="D29" s="62">
        <f t="shared" si="13"/>
        <v>18</v>
      </c>
      <c r="E29" s="43">
        <f t="shared" si="8"/>
        <v>59.5</v>
      </c>
      <c r="F29" s="44" cm="1">
        <f t="array" ref="F29">_fnGENPOP.U(E29)</f>
        <v>0.82220000000000004</v>
      </c>
      <c r="G29" s="45">
        <f t="shared" ca="1" si="14"/>
        <v>0</v>
      </c>
      <c r="H29" s="45">
        <f t="shared" ca="1" si="14"/>
        <v>9.2587019196108903E-3</v>
      </c>
      <c r="I29" s="45">
        <f t="shared" ca="1" si="14"/>
        <v>9.641859029773962E-3</v>
      </c>
      <c r="J29" s="45">
        <f t="shared" ca="1" si="14"/>
        <v>1.4350636220988645E-3</v>
      </c>
      <c r="K29" s="45">
        <f t="shared" ca="1" si="14"/>
        <v>1.4875305807509096E-4</v>
      </c>
      <c r="L29" s="45">
        <f t="shared" ca="1" si="14"/>
        <v>2.2252488644394099E-5</v>
      </c>
      <c r="M29" s="45">
        <f t="shared" ca="1" si="14"/>
        <v>4.4533549821426278E-5</v>
      </c>
      <c r="N29" s="45">
        <f t="shared" ca="1" si="14"/>
        <v>6.6234286112845282E-6</v>
      </c>
      <c r="O29" s="45">
        <f t="shared" ca="1" si="14"/>
        <v>0.17912622276801349</v>
      </c>
      <c r="P29" s="45">
        <v>0</v>
      </c>
      <c r="Q29" s="22">
        <f t="shared" ca="1" si="10"/>
        <v>0.1996840098646494</v>
      </c>
      <c r="S29" s="45">
        <f t="shared" ca="1" si="15"/>
        <v>7.4859168666055645E-2</v>
      </c>
      <c r="T29" s="45">
        <f t="shared" ca="1" si="15"/>
        <v>0</v>
      </c>
      <c r="U29" s="45">
        <f t="shared" ca="1" si="15"/>
        <v>8.7319356260901395E-3</v>
      </c>
      <c r="V29" s="45">
        <f t="shared" ca="1" si="15"/>
        <v>1.2777413440126493E-3</v>
      </c>
      <c r="W29" s="45">
        <f t="shared" ca="1" si="15"/>
        <v>1.3046920474623841E-4</v>
      </c>
      <c r="X29" s="45">
        <f t="shared" ca="1" si="15"/>
        <v>1.9091516951478644E-5</v>
      </c>
      <c r="Y29" s="45">
        <f t="shared" ca="1" si="15"/>
        <v>4.0512002469359381E-5</v>
      </c>
      <c r="Z29" s="45">
        <f t="shared" ca="1" si="15"/>
        <v>5.9281083485290308E-6</v>
      </c>
      <c r="AA29" s="45">
        <f t="shared" ca="1" si="15"/>
        <v>0.11477475429904967</v>
      </c>
      <c r="AB29" s="45">
        <v>0</v>
      </c>
      <c r="AC29" s="22">
        <f t="shared" ca="1" si="12"/>
        <v>0.19983960076772372</v>
      </c>
    </row>
    <row r="30" spans="1:29" ht="12" customHeight="1" x14ac:dyDescent="0.25">
      <c r="A30" s="262"/>
      <c r="C30" s="263"/>
      <c r="D30" s="62">
        <f t="shared" si="13"/>
        <v>19</v>
      </c>
      <c r="E30" s="43">
        <f t="shared" si="8"/>
        <v>59.75</v>
      </c>
      <c r="F30" s="44" cm="1">
        <f t="array" ref="F30">_fnGENPOP.U(E30)</f>
        <v>0.82220000000000004</v>
      </c>
      <c r="G30" s="45">
        <f t="shared" ca="1" si="14"/>
        <v>0</v>
      </c>
      <c r="H30" s="45">
        <f t="shared" ca="1" si="14"/>
        <v>7.8287242290909446E-3</v>
      </c>
      <c r="I30" s="45">
        <f t="shared" ca="1" si="14"/>
        <v>9.49034975083826E-3</v>
      </c>
      <c r="J30" s="45">
        <f t="shared" ca="1" si="14"/>
        <v>1.4091597994306279E-3</v>
      </c>
      <c r="K30" s="45">
        <f t="shared" ca="1" si="14"/>
        <v>1.4576519798033629E-4</v>
      </c>
      <c r="L30" s="45">
        <f t="shared" ca="1" si="14"/>
        <v>2.1740291870529646E-5</v>
      </c>
      <c r="M30" s="45">
        <f t="shared" ca="1" si="14"/>
        <v>4.3861518193953065E-5</v>
      </c>
      <c r="N30" s="45">
        <f t="shared" ca="1" si="14"/>
        <v>6.5085880161189331E-6</v>
      </c>
      <c r="O30" s="45">
        <f t="shared" ca="1" si="14"/>
        <v>0.18051076929119295</v>
      </c>
      <c r="P30" s="45">
        <v>0</v>
      </c>
      <c r="Q30" s="22">
        <f t="shared" ca="1" si="10"/>
        <v>0.19945687866661371</v>
      </c>
      <c r="S30" s="45">
        <f t="shared" ca="1" si="15"/>
        <v>7.0880083548842746E-2</v>
      </c>
      <c r="T30" s="45">
        <f t="shared" ca="1" si="15"/>
        <v>0</v>
      </c>
      <c r="U30" s="45">
        <f t="shared" ca="1" si="15"/>
        <v>8.7212265995634305E-3</v>
      </c>
      <c r="V30" s="45">
        <f t="shared" ca="1" si="15"/>
        <v>1.276174295590256E-3</v>
      </c>
      <c r="W30" s="45">
        <f t="shared" ca="1" si="15"/>
        <v>1.3030919461396356E-4</v>
      </c>
      <c r="X30" s="45">
        <f t="shared" ca="1" si="15"/>
        <v>1.9068102720061543E-5</v>
      </c>
      <c r="Y30" s="45">
        <f t="shared" ca="1" si="15"/>
        <v>4.0462317711286011E-5</v>
      </c>
      <c r="Z30" s="45">
        <f t="shared" ca="1" si="15"/>
        <v>5.9208379937902819E-6</v>
      </c>
      <c r="AA30" s="45">
        <f t="shared" ca="1" si="15"/>
        <v>0.11852126844937071</v>
      </c>
      <c r="AB30" s="45">
        <v>0</v>
      </c>
      <c r="AC30" s="22">
        <f t="shared" ca="1" si="12"/>
        <v>0.19959451334640624</v>
      </c>
    </row>
    <row r="31" spans="1:29" ht="12" customHeight="1" x14ac:dyDescent="0.25">
      <c r="A31" s="262"/>
      <c r="C31" s="263"/>
      <c r="D31" s="62">
        <f t="shared" si="13"/>
        <v>20</v>
      </c>
      <c r="E31" s="43">
        <f t="shared" si="8"/>
        <v>60</v>
      </c>
      <c r="F31" s="44" cm="1">
        <f t="array" ref="F31">_fnGENPOP.U(E31)</f>
        <v>0.80720000000000003</v>
      </c>
      <c r="G31" s="45">
        <f t="shared" ref="G31:O40" ca="1" si="16">PRODUCT(AVERAGE(OFFSET(AB.Trace.MarkovQB.Root, $D31, (G$2-1)*AB.Trace.MarkovQB.NumCols+G$3-1, CHOOSE(swtchHalfCycle, 2, 1))), $F31+G$6, AB.cycleLength)</f>
        <v>0</v>
      </c>
      <c r="H31" s="45">
        <f t="shared" ca="1" si="16"/>
        <v>6.496462636577E-3</v>
      </c>
      <c r="I31" s="45">
        <f t="shared" ca="1" si="16"/>
        <v>9.171753763302962E-3</v>
      </c>
      <c r="J31" s="45">
        <f t="shared" ca="1" si="16"/>
        <v>1.359034183505042E-3</v>
      </c>
      <c r="K31" s="45">
        <f t="shared" ca="1" si="16"/>
        <v>1.4023148909398544E-4</v>
      </c>
      <c r="L31" s="45">
        <f t="shared" ca="1" si="16"/>
        <v>2.0859913394595837E-5</v>
      </c>
      <c r="M31" s="45">
        <f t="shared" ca="1" si="16"/>
        <v>4.2172354027551553E-5</v>
      </c>
      <c r="N31" s="45">
        <f t="shared" ca="1" si="16"/>
        <v>6.2454946641316313E-6</v>
      </c>
      <c r="O31" s="45">
        <f t="shared" ca="1" si="16"/>
        <v>0.17826710964055445</v>
      </c>
      <c r="P31" s="45">
        <v>0</v>
      </c>
      <c r="Q31" s="22">
        <f t="shared" ca="1" si="10"/>
        <v>0.19550386947511972</v>
      </c>
      <c r="S31" s="45">
        <f t="shared" ref="S31:AA40" ca="1" si="17">PRODUCT(AVERAGE(OFFSET(AB.Trace.MarkovQB.Root, $D31, (S$2-1)*AB.Trace.MarkovQB.NumCols+S$3-1, CHOOSE(swtchHalfCycle, 2, 1))), $F31+S$6, AB.cycleLength)</f>
        <v>6.5865312009423305E-2</v>
      </c>
      <c r="T31" s="45">
        <f t="shared" ca="1" si="17"/>
        <v>0</v>
      </c>
      <c r="U31" s="45">
        <f t="shared" ca="1" si="17"/>
        <v>8.5347992656844181E-3</v>
      </c>
      <c r="V31" s="45">
        <f t="shared" ca="1" si="17"/>
        <v>1.2488944435217722E-3</v>
      </c>
      <c r="W31" s="45">
        <f t="shared" ca="1" si="17"/>
        <v>1.2743868825985759E-4</v>
      </c>
      <c r="X31" s="45">
        <f t="shared" ca="1" si="17"/>
        <v>1.8648062444462936E-5</v>
      </c>
      <c r="Y31" s="45">
        <f t="shared" ca="1" si="17"/>
        <v>3.9373272748542919E-5</v>
      </c>
      <c r="Z31" s="45">
        <f t="shared" ca="1" si="17"/>
        <v>5.7614783931276442E-6</v>
      </c>
      <c r="AA31" s="45">
        <f t="shared" ca="1" si="17"/>
        <v>0.11978544800241395</v>
      </c>
      <c r="AB31" s="45">
        <v>0</v>
      </c>
      <c r="AC31" s="22">
        <f t="shared" ca="1" si="12"/>
        <v>0.19562567522288943</v>
      </c>
    </row>
    <row r="32" spans="1:29" ht="12" customHeight="1" x14ac:dyDescent="0.25">
      <c r="A32" s="262"/>
      <c r="C32" s="263"/>
      <c r="D32" s="62">
        <f t="shared" si="13"/>
        <v>21</v>
      </c>
      <c r="E32" s="43">
        <f t="shared" si="8"/>
        <v>60.25</v>
      </c>
      <c r="F32" s="44" cm="1">
        <f t="array" ref="F32">_fnGENPOP.U(E32)</f>
        <v>0.80720000000000003</v>
      </c>
      <c r="G32" s="45">
        <f t="shared" ca="1" si="16"/>
        <v>0</v>
      </c>
      <c r="H32" s="45">
        <f t="shared" ca="1" si="16"/>
        <v>5.4887258841773319E-3</v>
      </c>
      <c r="I32" s="45">
        <f t="shared" ca="1" si="16"/>
        <v>9.0593549174794868E-3</v>
      </c>
      <c r="J32" s="45">
        <f t="shared" ca="1" si="16"/>
        <v>1.3404538122381263E-3</v>
      </c>
      <c r="K32" s="45">
        <f t="shared" ca="1" si="16"/>
        <v>1.3804527771958626E-4</v>
      </c>
      <c r="L32" s="45">
        <f t="shared" ca="1" si="16"/>
        <v>2.0494862705970451E-5</v>
      </c>
      <c r="M32" s="45">
        <f t="shared" ca="1" si="16"/>
        <v>4.1675394929683076E-5</v>
      </c>
      <c r="N32" s="45">
        <f t="shared" ca="1" si="16"/>
        <v>6.163498736029038E-6</v>
      </c>
      <c r="O32" s="45">
        <f t="shared" ca="1" si="16"/>
        <v>0.17904797129680836</v>
      </c>
      <c r="P32" s="45">
        <v>0</v>
      </c>
      <c r="Q32" s="22">
        <f t="shared" ca="1" si="10"/>
        <v>0.19514288494479456</v>
      </c>
      <c r="S32" s="45">
        <f t="shared" ca="1" si="17"/>
        <v>6.2319898627602441E-2</v>
      </c>
      <c r="T32" s="45">
        <f t="shared" ca="1" si="17"/>
        <v>0</v>
      </c>
      <c r="U32" s="45">
        <f t="shared" ca="1" si="17"/>
        <v>8.5212496088309195E-3</v>
      </c>
      <c r="V32" s="45">
        <f t="shared" ca="1" si="17"/>
        <v>1.2473627735350198E-3</v>
      </c>
      <c r="W32" s="45">
        <f t="shared" ca="1" si="17"/>
        <v>1.2723636944226996E-4</v>
      </c>
      <c r="X32" s="45">
        <f t="shared" ca="1" si="17"/>
        <v>1.8625192074828877E-5</v>
      </c>
      <c r="Y32" s="45">
        <f t="shared" ca="1" si="17"/>
        <v>3.9310764619372607E-5</v>
      </c>
      <c r="Z32" s="45">
        <f t="shared" ca="1" si="17"/>
        <v>5.7544123968139842E-6</v>
      </c>
      <c r="AA32" s="45">
        <f t="shared" ca="1" si="17"/>
        <v>0.12297247895250854</v>
      </c>
      <c r="AB32" s="45">
        <v>0</v>
      </c>
      <c r="AC32" s="22">
        <f t="shared" ca="1" si="12"/>
        <v>0.19525191670101019</v>
      </c>
    </row>
    <row r="33" spans="1:29" ht="12" customHeight="1" x14ac:dyDescent="0.25">
      <c r="A33" s="262"/>
      <c r="C33" s="263"/>
      <c r="D33" s="62">
        <f t="shared" si="13"/>
        <v>22</v>
      </c>
      <c r="E33" s="43">
        <f t="shared" si="8"/>
        <v>60.5</v>
      </c>
      <c r="F33" s="44" cm="1">
        <f t="array" ref="F33">_fnGENPOP.U(E33)</f>
        <v>0.80720000000000003</v>
      </c>
      <c r="G33" s="45">
        <f t="shared" ca="1" si="16"/>
        <v>0</v>
      </c>
      <c r="H33" s="45">
        <f t="shared" ca="1" si="16"/>
        <v>4.6373101050438343E-3</v>
      </c>
      <c r="I33" s="45">
        <f t="shared" ca="1" si="16"/>
        <v>8.9591534202514249E-3</v>
      </c>
      <c r="J33" s="45">
        <f t="shared" ca="1" si="16"/>
        <v>1.3240266964145344E-3</v>
      </c>
      <c r="K33" s="45">
        <f t="shared" ca="1" si="16"/>
        <v>1.3611878193944539E-4</v>
      </c>
      <c r="L33" s="45">
        <f t="shared" ca="1" si="16"/>
        <v>2.0175347436939027E-5</v>
      </c>
      <c r="M33" s="45">
        <f t="shared" ca="1" si="16"/>
        <v>4.1231410910867749E-5</v>
      </c>
      <c r="N33" s="45">
        <f t="shared" ca="1" si="16"/>
        <v>6.0908680555228127E-6</v>
      </c>
      <c r="O33" s="45">
        <f t="shared" ca="1" si="16"/>
        <v>0.17965694560416356</v>
      </c>
      <c r="P33" s="45">
        <v>0</v>
      </c>
      <c r="Q33" s="22">
        <f t="shared" ca="1" si="10"/>
        <v>0.19478105223421613</v>
      </c>
      <c r="S33" s="45">
        <f t="shared" ca="1" si="17"/>
        <v>5.8965328584475507E-2</v>
      </c>
      <c r="T33" s="45">
        <f t="shared" ca="1" si="17"/>
        <v>0</v>
      </c>
      <c r="U33" s="45">
        <f t="shared" ca="1" si="17"/>
        <v>8.504800087396347E-3</v>
      </c>
      <c r="V33" s="45">
        <f t="shared" ca="1" si="17"/>
        <v>1.2453824882316287E-3</v>
      </c>
      <c r="W33" s="45">
        <f t="shared" ca="1" si="17"/>
        <v>1.26990750843769E-4</v>
      </c>
      <c r="X33" s="45">
        <f t="shared" ca="1" si="17"/>
        <v>1.8595623135526564E-5</v>
      </c>
      <c r="Y33" s="45">
        <f t="shared" ca="1" si="17"/>
        <v>3.9234878652536753E-5</v>
      </c>
      <c r="Z33" s="45">
        <f t="shared" ca="1" si="17"/>
        <v>5.7452768201070023E-6</v>
      </c>
      <c r="AA33" s="45">
        <f t="shared" ca="1" si="17"/>
        <v>0.12597317081545834</v>
      </c>
      <c r="AB33" s="45">
        <v>0</v>
      </c>
      <c r="AC33" s="22">
        <f t="shared" ca="1" si="12"/>
        <v>0.19487924850501376</v>
      </c>
    </row>
    <row r="34" spans="1:29" ht="12" customHeight="1" x14ac:dyDescent="0.25">
      <c r="A34" s="262"/>
      <c r="C34" s="263"/>
      <c r="D34" s="62">
        <f t="shared" si="13"/>
        <v>23</v>
      </c>
      <c r="E34" s="43">
        <f t="shared" si="8"/>
        <v>60.75</v>
      </c>
      <c r="F34" s="44" cm="1">
        <f t="array" ref="F34">_fnGENPOP.U(E34)</f>
        <v>0.80720000000000003</v>
      </c>
      <c r="G34" s="45">
        <f t="shared" ca="1" si="16"/>
        <v>0</v>
      </c>
      <c r="H34" s="45">
        <f t="shared" ca="1" si="16"/>
        <v>3.917966658224698E-3</v>
      </c>
      <c r="I34" s="45">
        <f t="shared" ca="1" si="16"/>
        <v>8.8721654385937494E-3</v>
      </c>
      <c r="J34" s="45">
        <f t="shared" ca="1" si="16"/>
        <v>1.3093822257475684E-3</v>
      </c>
      <c r="K34" s="45">
        <f t="shared" ca="1" si="16"/>
        <v>1.3445633766009788E-4</v>
      </c>
      <c r="L34" s="45">
        <f t="shared" ca="1" si="16"/>
        <v>1.9893789658634635E-5</v>
      </c>
      <c r="M34" s="45">
        <f t="shared" ca="1" si="16"/>
        <v>4.084554997144445E-5</v>
      </c>
      <c r="N34" s="45">
        <f t="shared" ca="1" si="16"/>
        <v>6.0259796943704446E-6</v>
      </c>
      <c r="O34" s="45">
        <f t="shared" ca="1" si="16"/>
        <v>0.18011755602043866</v>
      </c>
      <c r="P34" s="45">
        <v>0</v>
      </c>
      <c r="Q34" s="22">
        <f t="shared" ca="1" si="10"/>
        <v>0.19441829199998922</v>
      </c>
      <c r="S34" s="45">
        <f t="shared" ca="1" si="17"/>
        <v>5.5791329120281757E-2</v>
      </c>
      <c r="T34" s="45">
        <f t="shared" ca="1" si="17"/>
        <v>0</v>
      </c>
      <c r="U34" s="45">
        <f t="shared" ca="1" si="17"/>
        <v>8.4885573081897557E-3</v>
      </c>
      <c r="V34" s="45">
        <f t="shared" ca="1" si="17"/>
        <v>1.242978387087452E-3</v>
      </c>
      <c r="W34" s="45">
        <f t="shared" ca="1" si="17"/>
        <v>1.267482192491356E-4</v>
      </c>
      <c r="X34" s="45">
        <f t="shared" ca="1" si="17"/>
        <v>1.8559725923803056E-5</v>
      </c>
      <c r="Y34" s="45">
        <f t="shared" ca="1" si="17"/>
        <v>3.9159946441949581E-5</v>
      </c>
      <c r="Z34" s="45">
        <f t="shared" ca="1" si="17"/>
        <v>5.7341860695084089E-6</v>
      </c>
      <c r="AA34" s="45">
        <f t="shared" ca="1" si="17"/>
        <v>0.12879425284731874</v>
      </c>
      <c r="AB34" s="45">
        <v>0</v>
      </c>
      <c r="AC34" s="22">
        <f t="shared" ca="1" si="12"/>
        <v>0.19450731974056212</v>
      </c>
    </row>
    <row r="35" spans="1:29" ht="12" customHeight="1" x14ac:dyDescent="0.25">
      <c r="A35" s="262"/>
      <c r="C35" s="263"/>
      <c r="D35" s="62">
        <f t="shared" si="13"/>
        <v>24</v>
      </c>
      <c r="E35" s="43">
        <f t="shared" si="8"/>
        <v>61</v>
      </c>
      <c r="F35" s="44" cm="1">
        <f t="array" ref="F35">_fnGENPOP.U(E35)</f>
        <v>0.80720000000000003</v>
      </c>
      <c r="G35" s="45">
        <f t="shared" ca="1" si="16"/>
        <v>0</v>
      </c>
      <c r="H35" s="45">
        <f t="shared" ca="1" si="16"/>
        <v>3.310208372363164E-3</v>
      </c>
      <c r="I35" s="45">
        <f t="shared" ca="1" si="16"/>
        <v>8.7961971636570067E-3</v>
      </c>
      <c r="J35" s="45">
        <f t="shared" ca="1" si="16"/>
        <v>1.2966689132621774E-3</v>
      </c>
      <c r="K35" s="45">
        <f t="shared" ca="1" si="16"/>
        <v>1.330148330821202E-4</v>
      </c>
      <c r="L35" s="45">
        <f t="shared" ca="1" si="16"/>
        <v>1.9650823064742748E-5</v>
      </c>
      <c r="M35" s="45">
        <f t="shared" ca="1" si="16"/>
        <v>4.0508131159920035E-5</v>
      </c>
      <c r="N35" s="45">
        <f t="shared" ca="1" si="16"/>
        <v>5.969586033943881E-6</v>
      </c>
      <c r="O35" s="45">
        <f t="shared" ca="1" si="16"/>
        <v>0.18045260844478284</v>
      </c>
      <c r="P35" s="45">
        <v>0</v>
      </c>
      <c r="Q35" s="22">
        <f t="shared" ca="1" si="10"/>
        <v>0.19405482626740592</v>
      </c>
      <c r="S35" s="45">
        <f t="shared" ca="1" si="17"/>
        <v>5.2788180439769648E-2</v>
      </c>
      <c r="T35" s="45">
        <f t="shared" ca="1" si="17"/>
        <v>0</v>
      </c>
      <c r="U35" s="45">
        <f t="shared" ca="1" si="17"/>
        <v>8.4723586266867643E-3</v>
      </c>
      <c r="V35" s="45">
        <f t="shared" ca="1" si="17"/>
        <v>1.2406045013649708E-3</v>
      </c>
      <c r="W35" s="45">
        <f t="shared" ca="1" si="17"/>
        <v>1.2650634610625097E-4</v>
      </c>
      <c r="X35" s="45">
        <f t="shared" ca="1" si="17"/>
        <v>1.8524279878367848E-5</v>
      </c>
      <c r="Y35" s="45">
        <f t="shared" ca="1" si="17"/>
        <v>3.9085217665662081E-5</v>
      </c>
      <c r="Z35" s="45">
        <f t="shared" ca="1" si="17"/>
        <v>5.7232347105935105E-6</v>
      </c>
      <c r="AA35" s="45">
        <f t="shared" ca="1" si="17"/>
        <v>0.13144511384334961</v>
      </c>
      <c r="AB35" s="45">
        <v>0</v>
      </c>
      <c r="AC35" s="22">
        <f t="shared" ca="1" si="12"/>
        <v>0.19413609648953187</v>
      </c>
    </row>
    <row r="36" spans="1:29" ht="12" customHeight="1" x14ac:dyDescent="0.25">
      <c r="A36" s="262"/>
      <c r="C36" s="263"/>
      <c r="D36" s="62">
        <f t="shared" si="13"/>
        <v>25</v>
      </c>
      <c r="E36" s="43">
        <f t="shared" si="8"/>
        <v>61.25</v>
      </c>
      <c r="F36" s="44" cm="1">
        <f t="array" ref="F36">_fnGENPOP.U(E36)</f>
        <v>0.80720000000000003</v>
      </c>
      <c r="G36" s="45">
        <f t="shared" ca="1" si="16"/>
        <v>0</v>
      </c>
      <c r="H36" s="45">
        <f t="shared" ca="1" si="16"/>
        <v>2.7967260633678342E-3</v>
      </c>
      <c r="I36" s="45">
        <f t="shared" ca="1" si="16"/>
        <v>8.7295296423416588E-3</v>
      </c>
      <c r="J36" s="45">
        <f t="shared" ca="1" si="16"/>
        <v>1.2855661333166942E-3</v>
      </c>
      <c r="K36" s="45">
        <f t="shared" ca="1" si="16"/>
        <v>1.3175985300314377E-4</v>
      </c>
      <c r="L36" s="45">
        <f t="shared" ca="1" si="16"/>
        <v>1.9440146856377878E-5</v>
      </c>
      <c r="M36" s="45">
        <f t="shared" ca="1" si="16"/>
        <v>4.0211595957934713E-5</v>
      </c>
      <c r="N36" s="45">
        <f t="shared" ca="1" si="16"/>
        <v>5.9202722010716524E-6</v>
      </c>
      <c r="O36" s="45">
        <f t="shared" ca="1" si="16"/>
        <v>0.18068172352940426</v>
      </c>
      <c r="P36" s="45">
        <v>0</v>
      </c>
      <c r="Q36" s="22">
        <f t="shared" ca="1" si="10"/>
        <v>0.19369087723644898</v>
      </c>
      <c r="S36" s="45">
        <f t="shared" ca="1" si="17"/>
        <v>4.9946685947094088E-2</v>
      </c>
      <c r="T36" s="45">
        <f t="shared" ca="1" si="17"/>
        <v>0</v>
      </c>
      <c r="U36" s="45">
        <f t="shared" ca="1" si="17"/>
        <v>8.456188850202195E-3</v>
      </c>
      <c r="V36" s="45">
        <f t="shared" ca="1" si="17"/>
        <v>1.2382370605314855E-3</v>
      </c>
      <c r="W36" s="45">
        <f t="shared" ca="1" si="17"/>
        <v>1.2626490456316353E-4</v>
      </c>
      <c r="X36" s="45">
        <f t="shared" ca="1" si="17"/>
        <v>1.8488930065799295E-5</v>
      </c>
      <c r="Y36" s="45">
        <f t="shared" ca="1" si="17"/>
        <v>3.9010622235823482E-5</v>
      </c>
      <c r="Z36" s="45">
        <f t="shared" ca="1" si="17"/>
        <v>5.7123130836458639E-6</v>
      </c>
      <c r="AA36" s="45">
        <f t="shared" ca="1" si="17"/>
        <v>0.13393499311237228</v>
      </c>
      <c r="AB36" s="45">
        <v>0</v>
      </c>
      <c r="AC36" s="22">
        <f t="shared" ca="1" si="12"/>
        <v>0.19376558174014849</v>
      </c>
    </row>
    <row r="37" spans="1:29" ht="12" customHeight="1" x14ac:dyDescent="0.25">
      <c r="A37" s="262"/>
      <c r="C37" s="263"/>
      <c r="D37" s="62">
        <f t="shared" si="13"/>
        <v>26</v>
      </c>
      <c r="E37" s="43">
        <f t="shared" si="8"/>
        <v>61.5</v>
      </c>
      <c r="F37" s="44" cm="1">
        <f t="array" ref="F37">_fnGENPOP.U(E37)</f>
        <v>0.80720000000000003</v>
      </c>
      <c r="G37" s="45">
        <f t="shared" ca="1" si="16"/>
        <v>0</v>
      </c>
      <c r="H37" s="45">
        <f t="shared" ca="1" si="16"/>
        <v>2.3628955623530832E-3</v>
      </c>
      <c r="I37" s="45">
        <f t="shared" ca="1" si="16"/>
        <v>8.6707267430024271E-3</v>
      </c>
      <c r="J37" s="45">
        <f t="shared" ca="1" si="16"/>
        <v>1.2758226605408352E-3</v>
      </c>
      <c r="K37" s="45">
        <f t="shared" ca="1" si="16"/>
        <v>1.3066256227046852E-4</v>
      </c>
      <c r="L37" s="45">
        <f t="shared" ca="1" si="16"/>
        <v>1.9256731244210257E-5</v>
      </c>
      <c r="M37" s="45">
        <f t="shared" ca="1" si="16"/>
        <v>3.9949632955011314E-5</v>
      </c>
      <c r="N37" s="45">
        <f t="shared" ca="1" si="16"/>
        <v>5.8769335166474784E-6</v>
      </c>
      <c r="O37" s="45">
        <f t="shared" ca="1" si="16"/>
        <v>0.180821437602943</v>
      </c>
      <c r="P37" s="45">
        <v>0</v>
      </c>
      <c r="Q37" s="22">
        <f t="shared" ca="1" si="10"/>
        <v>0.1933266284288257</v>
      </c>
      <c r="S37" s="45">
        <f t="shared" ca="1" si="17"/>
        <v>4.7258144082916842E-2</v>
      </c>
      <c r="T37" s="45">
        <f t="shared" ca="1" si="17"/>
        <v>0</v>
      </c>
      <c r="U37" s="45">
        <f t="shared" ca="1" si="17"/>
        <v>8.4400499392339873E-3</v>
      </c>
      <c r="V37" s="45">
        <f t="shared" ca="1" si="17"/>
        <v>1.2358738441727447E-3</v>
      </c>
      <c r="W37" s="45">
        <f t="shared" ca="1" si="17"/>
        <v>1.2602392389335438E-4</v>
      </c>
      <c r="X37" s="45">
        <f t="shared" ca="1" si="17"/>
        <v>1.8453643331635195E-5</v>
      </c>
      <c r="Y37" s="45">
        <f t="shared" ca="1" si="17"/>
        <v>3.893616919672617E-5</v>
      </c>
      <c r="Z37" s="45">
        <f t="shared" ca="1" si="17"/>
        <v>5.7014109453107962E-6</v>
      </c>
      <c r="AA37" s="45">
        <f t="shared" ca="1" si="17"/>
        <v>0.13627259114814544</v>
      </c>
      <c r="AB37" s="45">
        <v>0</v>
      </c>
      <c r="AC37" s="22">
        <f t="shared" ca="1" si="12"/>
        <v>0.19339577416183604</v>
      </c>
    </row>
    <row r="38" spans="1:29" ht="12" customHeight="1" x14ac:dyDescent="0.25">
      <c r="A38" s="262"/>
      <c r="C38" s="263"/>
      <c r="D38" s="62">
        <f t="shared" si="13"/>
        <v>27</v>
      </c>
      <c r="E38" s="43">
        <f t="shared" si="8"/>
        <v>61.75</v>
      </c>
      <c r="F38" s="44" cm="1">
        <f t="array" ref="F38">_fnGENPOP.U(E38)</f>
        <v>0.80720000000000003</v>
      </c>
      <c r="G38" s="45">
        <f t="shared" ca="1" si="16"/>
        <v>0</v>
      </c>
      <c r="H38" s="45">
        <f t="shared" ca="1" si="16"/>
        <v>1.9963612138203055E-3</v>
      </c>
      <c r="I38" s="45">
        <f t="shared" ca="1" si="16"/>
        <v>8.6185732374770337E-3</v>
      </c>
      <c r="J38" s="45">
        <f t="shared" ca="1" si="16"/>
        <v>1.2672286039815211E-3</v>
      </c>
      <c r="K38" s="45">
        <f t="shared" ca="1" si="16"/>
        <v>1.2969857073538753E-4</v>
      </c>
      <c r="L38" s="45">
        <f t="shared" ca="1" si="16"/>
        <v>1.9096361964385807E-5</v>
      </c>
      <c r="M38" s="45">
        <f t="shared" ca="1" si="16"/>
        <v>3.9716901143023941E-5</v>
      </c>
      <c r="N38" s="45">
        <f t="shared" ca="1" si="16"/>
        <v>5.8386475666540308E-6</v>
      </c>
      <c r="O38" s="45">
        <f t="shared" ca="1" si="16"/>
        <v>0.18088572109797652</v>
      </c>
      <c r="P38" s="45">
        <v>0</v>
      </c>
      <c r="Q38" s="22">
        <f t="shared" ca="1" si="10"/>
        <v>0.19296223463466483</v>
      </c>
      <c r="S38" s="45">
        <f t="shared" ca="1" si="17"/>
        <v>4.4714321677465849E-2</v>
      </c>
      <c r="T38" s="45">
        <f t="shared" ca="1" si="17"/>
        <v>0</v>
      </c>
      <c r="U38" s="45">
        <f t="shared" ca="1" si="17"/>
        <v>8.4239418448727281E-3</v>
      </c>
      <c r="V38" s="45">
        <f t="shared" ca="1" si="17"/>
        <v>1.23351513881595E-3</v>
      </c>
      <c r="W38" s="45">
        <f t="shared" ca="1" si="17"/>
        <v>1.2578340336652508E-4</v>
      </c>
      <c r="X38" s="45">
        <f t="shared" ca="1" si="17"/>
        <v>1.8418423954201212E-5</v>
      </c>
      <c r="Y38" s="45">
        <f t="shared" ca="1" si="17"/>
        <v>3.8861858322738174E-5</v>
      </c>
      <c r="Z38" s="45">
        <f t="shared" ca="1" si="17"/>
        <v>5.6905296174136165E-6</v>
      </c>
      <c r="AA38" s="45">
        <f t="shared" ca="1" si="17"/>
        <v>0.1384661394945047</v>
      </c>
      <c r="AB38" s="45">
        <v>0</v>
      </c>
      <c r="AC38" s="22">
        <f t="shared" ca="1" si="12"/>
        <v>0.19302667237092011</v>
      </c>
    </row>
    <row r="39" spans="1:29" ht="12" customHeight="1" x14ac:dyDescent="0.25">
      <c r="A39" s="262"/>
      <c r="C39" s="263"/>
      <c r="D39" s="62">
        <f t="shared" si="13"/>
        <v>28</v>
      </c>
      <c r="E39" s="43">
        <f t="shared" si="8"/>
        <v>62</v>
      </c>
      <c r="F39" s="44" cm="1">
        <f t="array" ref="F39">_fnGENPOP.U(E39)</f>
        <v>0.80720000000000003</v>
      </c>
      <c r="G39" s="45">
        <f t="shared" ca="1" si="16"/>
        <v>0</v>
      </c>
      <c r="H39" s="45">
        <f t="shared" ca="1" si="16"/>
        <v>1.6866839819518623E-3</v>
      </c>
      <c r="I39" s="45">
        <f t="shared" ca="1" si="16"/>
        <v>8.5720423696209209E-3</v>
      </c>
      <c r="J39" s="45">
        <f t="shared" ca="1" si="16"/>
        <v>1.2596063577778769E-3</v>
      </c>
      <c r="K39" s="45">
        <f t="shared" ca="1" si="16"/>
        <v>1.2884727114403135E-4</v>
      </c>
      <c r="L39" s="45">
        <f t="shared" ca="1" si="16"/>
        <v>1.8955474391353186E-5</v>
      </c>
      <c r="M39" s="45">
        <f t="shared" ca="1" si="16"/>
        <v>3.950888785314669E-5</v>
      </c>
      <c r="N39" s="45">
        <f t="shared" ca="1" si="16"/>
        <v>5.8046337615892074E-6</v>
      </c>
      <c r="O39" s="45">
        <f t="shared" ca="1" si="16"/>
        <v>0.18088637748299127</v>
      </c>
      <c r="P39" s="45">
        <v>0</v>
      </c>
      <c r="Q39" s="22">
        <f t="shared" ca="1" si="10"/>
        <v>0.19259782645949206</v>
      </c>
      <c r="S39" s="45">
        <f t="shared" ca="1" si="17"/>
        <v>4.2307428737952429E-2</v>
      </c>
      <c r="T39" s="45">
        <f t="shared" ca="1" si="17"/>
        <v>0</v>
      </c>
      <c r="U39" s="45">
        <f t="shared" ca="1" si="17"/>
        <v>8.4078644924889916E-3</v>
      </c>
      <c r="V39" s="45">
        <f t="shared" ca="1" si="17"/>
        <v>1.2311609373129796E-3</v>
      </c>
      <c r="W39" s="45">
        <f t="shared" ca="1" si="17"/>
        <v>1.2554334186833463E-4</v>
      </c>
      <c r="X39" s="45">
        <f t="shared" ca="1" si="17"/>
        <v>1.838327182676405E-5</v>
      </c>
      <c r="Y39" s="45">
        <f t="shared" ca="1" si="17"/>
        <v>3.8787689269574332E-5</v>
      </c>
      <c r="Z39" s="45">
        <f t="shared" ca="1" si="17"/>
        <v>5.6796690669781581E-6</v>
      </c>
      <c r="AA39" s="45">
        <f t="shared" ca="1" si="17"/>
        <v>0.14052342688219979</v>
      </c>
      <c r="AB39" s="45">
        <v>0</v>
      </c>
      <c r="AC39" s="22">
        <f t="shared" ca="1" si="12"/>
        <v>0.19265827502198585</v>
      </c>
    </row>
    <row r="40" spans="1:29" ht="12" customHeight="1" x14ac:dyDescent="0.25">
      <c r="A40" s="262"/>
      <c r="C40" s="263"/>
      <c r="D40" s="62">
        <f t="shared" si="13"/>
        <v>29</v>
      </c>
      <c r="E40" s="43">
        <f t="shared" si="8"/>
        <v>62.25</v>
      </c>
      <c r="F40" s="44" cm="1">
        <f t="array" ref="F40">_fnGENPOP.U(E40)</f>
        <v>0.80720000000000003</v>
      </c>
      <c r="G40" s="45">
        <f t="shared" ca="1" si="16"/>
        <v>0</v>
      </c>
      <c r="H40" s="45">
        <f t="shared" ca="1" si="16"/>
        <v>1.4250441429529107E-3</v>
      </c>
      <c r="I40" s="45">
        <f t="shared" ca="1" si="16"/>
        <v>8.5302666610465247E-3</v>
      </c>
      <c r="J40" s="45">
        <f t="shared" ca="1" si="16"/>
        <v>1.2528058612955105E-3</v>
      </c>
      <c r="K40" s="45">
        <f t="shared" ca="1" si="16"/>
        <v>1.2809125295384734E-4</v>
      </c>
      <c r="L40" s="45">
        <f t="shared" ca="1" si="16"/>
        <v>1.8831056770466335E-5</v>
      </c>
      <c r="M40" s="45">
        <f t="shared" ca="1" si="16"/>
        <v>3.9321780455432382E-5</v>
      </c>
      <c r="N40" s="45">
        <f t="shared" ca="1" si="16"/>
        <v>5.7742325739201929E-6</v>
      </c>
      <c r="O40" s="45">
        <f t="shared" ca="1" si="16"/>
        <v>0.18083337905350608</v>
      </c>
      <c r="P40" s="45">
        <v>0</v>
      </c>
      <c r="Q40" s="22">
        <f t="shared" ca="1" si="10"/>
        <v>0.1922335140415547</v>
      </c>
      <c r="S40" s="45">
        <f t="shared" ca="1" si="17"/>
        <v>4.0030094593137187E-2</v>
      </c>
      <c r="T40" s="45">
        <f t="shared" ca="1" si="17"/>
        <v>0</v>
      </c>
      <c r="U40" s="45">
        <f t="shared" ca="1" si="17"/>
        <v>8.3918178241560032E-3</v>
      </c>
      <c r="V40" s="45">
        <f t="shared" ca="1" si="17"/>
        <v>1.2288112287567271E-3</v>
      </c>
      <c r="W40" s="45">
        <f t="shared" ca="1" si="17"/>
        <v>1.253037385338404E-4</v>
      </c>
      <c r="X40" s="45">
        <f t="shared" ca="1" si="17"/>
        <v>1.8348186786462546E-5</v>
      </c>
      <c r="Y40" s="45">
        <f t="shared" ca="1" si="17"/>
        <v>3.8713661770003204E-5</v>
      </c>
      <c r="Z40" s="45">
        <f t="shared" ca="1" si="17"/>
        <v>5.6688292436870709E-6</v>
      </c>
      <c r="AA40" s="45">
        <f t="shared" ca="1" si="17"/>
        <v>0.14245182270837503</v>
      </c>
      <c r="AB40" s="45">
        <v>0</v>
      </c>
      <c r="AC40" s="22">
        <f t="shared" ca="1" si="12"/>
        <v>0.19229058077075895</v>
      </c>
    </row>
    <row r="41" spans="1:29" ht="12" customHeight="1" x14ac:dyDescent="0.25">
      <c r="A41" s="262"/>
      <c r="C41" s="263"/>
      <c r="D41" s="62">
        <f t="shared" si="13"/>
        <v>30</v>
      </c>
      <c r="E41" s="43">
        <f t="shared" si="8"/>
        <v>62.5</v>
      </c>
      <c r="F41" s="44" cm="1">
        <f t="array" ref="F41">_fnGENPOP.U(E41)</f>
        <v>0.80720000000000003</v>
      </c>
      <c r="G41" s="45">
        <f t="shared" ref="G41:O50" ca="1" si="18">PRODUCT(AVERAGE(OFFSET(AB.Trace.MarkovQB.Root, $D41, (G$2-1)*AB.Trace.MarkovQB.NumCols+G$3-1, CHOOSE(swtchHalfCycle, 2, 1))), $F41+G$6, AB.cycleLength)</f>
        <v>0</v>
      </c>
      <c r="H41" s="45">
        <f t="shared" ca="1" si="18"/>
        <v>1.2039900960074178E-3</v>
      </c>
      <c r="I41" s="45">
        <f t="shared" ca="1" si="18"/>
        <v>8.4925131877509261E-3</v>
      </c>
      <c r="J41" s="45">
        <f t="shared" ca="1" si="18"/>
        <v>1.2467003323789411E-3</v>
      </c>
      <c r="K41" s="45">
        <f t="shared" ca="1" si="18"/>
        <v>1.2741580621705904E-4</v>
      </c>
      <c r="L41" s="45">
        <f t="shared" ca="1" si="18"/>
        <v>1.8720564547135149E-5</v>
      </c>
      <c r="M41" s="45">
        <f t="shared" ca="1" si="18"/>
        <v>3.9152357694045411E-5</v>
      </c>
      <c r="N41" s="45">
        <f t="shared" ca="1" si="18"/>
        <v>5.7468867869489379E-6</v>
      </c>
      <c r="O41" s="45">
        <f t="shared" ca="1" si="18"/>
        <v>0.18073515099685039</v>
      </c>
      <c r="P41" s="45">
        <v>0</v>
      </c>
      <c r="Q41" s="22">
        <f t="shared" ca="1" si="10"/>
        <v>0.19186939022823285</v>
      </c>
      <c r="S41" s="45">
        <f t="shared" ref="S41:AA50" ca="1" si="19">PRODUCT(AVERAGE(OFFSET(AB.Trace.MarkovQB.Root, $D41, (S$2-1)*AB.Trace.MarkovQB.NumCols+S$3-1, CHOOSE(swtchHalfCycle, 2, 1))), $F41+S$6, AB.cycleLength)</f>
        <v>3.7875345321991875E-2</v>
      </c>
      <c r="T41" s="45">
        <f t="shared" ca="1" si="19"/>
        <v>0</v>
      </c>
      <c r="U41" s="45">
        <f t="shared" ca="1" si="19"/>
        <v>8.3758017813936273E-3</v>
      </c>
      <c r="V41" s="45">
        <f t="shared" ca="1" si="19"/>
        <v>1.2264660046811813E-3</v>
      </c>
      <c r="W41" s="45">
        <f t="shared" ca="1" si="19"/>
        <v>1.2506459248983707E-4</v>
      </c>
      <c r="X41" s="45">
        <f t="shared" ca="1" si="19"/>
        <v>1.8313168706885131E-5</v>
      </c>
      <c r="Y41" s="45">
        <f t="shared" ca="1" si="19"/>
        <v>3.8639775554240539E-5</v>
      </c>
      <c r="Z41" s="45">
        <f t="shared" ca="1" si="19"/>
        <v>5.6580101084844221E-6</v>
      </c>
      <c r="AA41" s="45">
        <f t="shared" ca="1" si="19"/>
        <v>0.1442582996204084</v>
      </c>
      <c r="AB41" s="45">
        <v>0</v>
      </c>
      <c r="AC41" s="22">
        <f t="shared" ca="1" si="12"/>
        <v>0.19192358827533451</v>
      </c>
    </row>
    <row r="42" spans="1:29" ht="12" customHeight="1" x14ac:dyDescent="0.25">
      <c r="A42" s="262"/>
      <c r="C42" s="263"/>
      <c r="D42" s="62">
        <f t="shared" si="13"/>
        <v>31</v>
      </c>
      <c r="E42" s="43">
        <f t="shared" si="8"/>
        <v>62.75</v>
      </c>
      <c r="F42" s="44" cm="1">
        <f t="array" ref="F42">_fnGENPOP.U(E42)</f>
        <v>0.80720000000000003</v>
      </c>
      <c r="G42" s="45">
        <f t="shared" ca="1" si="18"/>
        <v>0</v>
      </c>
      <c r="H42" s="45">
        <f t="shared" ca="1" si="18"/>
        <v>1.0172261388901069E-3</v>
      </c>
      <c r="I42" s="45">
        <f t="shared" ca="1" si="18"/>
        <v>8.4581627084628457E-3</v>
      </c>
      <c r="J42" s="45">
        <f t="shared" ca="1" si="18"/>
        <v>1.2411826540253421E-3</v>
      </c>
      <c r="K42" s="45">
        <f t="shared" ca="1" si="18"/>
        <v>1.2680850267014063E-4</v>
      </c>
      <c r="L42" s="45">
        <f t="shared" ca="1" si="18"/>
        <v>1.8621847859284862E-5</v>
      </c>
      <c r="M42" s="45">
        <f t="shared" ca="1" si="18"/>
        <v>3.8997897955286238E-5</v>
      </c>
      <c r="N42" s="45">
        <f t="shared" ca="1" si="18"/>
        <v>5.7221256134327299E-6</v>
      </c>
      <c r="O42" s="45">
        <f t="shared" ca="1" si="18"/>
        <v>0.18059881138333467</v>
      </c>
      <c r="P42" s="45">
        <v>0</v>
      </c>
      <c r="Q42" s="22">
        <f t="shared" ca="1" si="10"/>
        <v>0.19150553325881112</v>
      </c>
      <c r="S42" s="45">
        <f t="shared" ca="1" si="19"/>
        <v>3.5836582397336419E-2</v>
      </c>
      <c r="T42" s="45">
        <f t="shared" ca="1" si="19"/>
        <v>0</v>
      </c>
      <c r="U42" s="45">
        <f t="shared" ca="1" si="19"/>
        <v>8.3598163057421408E-3</v>
      </c>
      <c r="V42" s="45">
        <f t="shared" ca="1" si="19"/>
        <v>1.224125256539458E-3</v>
      </c>
      <c r="W42" s="45">
        <f t="shared" ca="1" si="19"/>
        <v>1.2482590286342415E-4</v>
      </c>
      <c r="X42" s="45">
        <f t="shared" ca="1" si="19"/>
        <v>1.827821746041267E-5</v>
      </c>
      <c r="Y42" s="45">
        <f t="shared" ca="1" si="19"/>
        <v>3.856603035259628E-5</v>
      </c>
      <c r="Z42" s="45">
        <f t="shared" ca="1" si="19"/>
        <v>5.6472116219411853E-6</v>
      </c>
      <c r="AA42" s="45">
        <f t="shared" ca="1" si="19"/>
        <v>0.14594945487447347</v>
      </c>
      <c r="AB42" s="45">
        <v>0</v>
      </c>
      <c r="AC42" s="22">
        <f t="shared" ca="1" si="12"/>
        <v>0.19155729619638986</v>
      </c>
    </row>
    <row r="43" spans="1:29" ht="12" customHeight="1" x14ac:dyDescent="0.25">
      <c r="A43" s="262"/>
      <c r="C43" s="263"/>
      <c r="D43" s="62">
        <f t="shared" si="13"/>
        <v>32</v>
      </c>
      <c r="E43" s="43">
        <f t="shared" ref="E43:E74" si="20">B.cohortAge+D43*AB.cycleLength</f>
        <v>63</v>
      </c>
      <c r="F43" s="44" cm="1">
        <f t="array" ref="F43">_fnGENPOP.U(E43)</f>
        <v>0.80720000000000003</v>
      </c>
      <c r="G43" s="45">
        <f t="shared" ca="1" si="18"/>
        <v>0</v>
      </c>
      <c r="H43" s="45">
        <f t="shared" ca="1" si="18"/>
        <v>8.5943316400411633E-4</v>
      </c>
      <c r="I43" s="45">
        <f t="shared" ca="1" si="18"/>
        <v>8.4266920301938868E-3</v>
      </c>
      <c r="J43" s="45">
        <f t="shared" ca="1" si="18"/>
        <v>1.2361623239879021E-3</v>
      </c>
      <c r="K43" s="45">
        <f t="shared" ca="1" si="18"/>
        <v>1.2625884179871152E-4</v>
      </c>
      <c r="L43" s="45">
        <f t="shared" ca="1" si="18"/>
        <v>1.853309031349142E-5</v>
      </c>
      <c r="M43" s="45">
        <f t="shared" ca="1" si="18"/>
        <v>3.8856101763200604E-5</v>
      </c>
      <c r="N43" s="45">
        <f t="shared" ca="1" si="18"/>
        <v>5.6995512889359849E-6</v>
      </c>
      <c r="O43" s="45">
        <f t="shared" ca="1" si="18"/>
        <v>0.1804303739275214</v>
      </c>
      <c r="P43" s="45">
        <v>0</v>
      </c>
      <c r="Q43" s="22">
        <f t="shared" ref="Q43:Q74" ca="1" si="21">SUM(G43:P43)</f>
        <v>0.19114200903087164</v>
      </c>
      <c r="S43" s="45">
        <f t="shared" ca="1" si="19"/>
        <v>3.3907562479051287E-2</v>
      </c>
      <c r="T43" s="45">
        <f t="shared" ca="1" si="19"/>
        <v>0</v>
      </c>
      <c r="U43" s="45">
        <f t="shared" ca="1" si="19"/>
        <v>8.343861338863166E-3</v>
      </c>
      <c r="V43" s="45">
        <f t="shared" ca="1" si="19"/>
        <v>1.2217889757876557E-3</v>
      </c>
      <c r="W43" s="45">
        <f t="shared" ca="1" si="19"/>
        <v>1.2458766878351308E-4</v>
      </c>
      <c r="X43" s="45">
        <f t="shared" ca="1" si="19"/>
        <v>1.8243332919470561E-5</v>
      </c>
      <c r="Y43" s="45">
        <f t="shared" ca="1" si="19"/>
        <v>3.8492425895940155E-5</v>
      </c>
      <c r="Z43" s="45">
        <f t="shared" ca="1" si="19"/>
        <v>5.6364337446420988E-6</v>
      </c>
      <c r="AA43" s="45">
        <f t="shared" ca="1" si="19"/>
        <v>0.14753153054211299</v>
      </c>
      <c r="AB43" s="45">
        <v>0</v>
      </c>
      <c r="AC43" s="22">
        <f t="shared" ref="AC43:AC74" ca="1" si="22">SUM(S43:AB43)</f>
        <v>0.19119170319715867</v>
      </c>
    </row>
    <row r="44" spans="1:29" ht="12" customHeight="1" x14ac:dyDescent="0.25">
      <c r="A44" s="262"/>
      <c r="C44" s="263"/>
      <c r="D44" s="62">
        <f t="shared" ref="D44:D75" si="23">D43+1</f>
        <v>33</v>
      </c>
      <c r="E44" s="43">
        <f t="shared" si="20"/>
        <v>63.25</v>
      </c>
      <c r="F44" s="44" cm="1">
        <f t="array" ref="F44">_fnGENPOP.U(E44)</f>
        <v>0.80720000000000003</v>
      </c>
      <c r="G44" s="45">
        <f t="shared" ca="1" si="18"/>
        <v>0</v>
      </c>
      <c r="H44" s="45">
        <f t="shared" ca="1" si="18"/>
        <v>7.2611716820021827E-4</v>
      </c>
      <c r="I44" s="45">
        <f t="shared" ca="1" si="18"/>
        <v>8.39765910915625E-3</v>
      </c>
      <c r="J44" s="45">
        <f t="shared" ca="1" si="18"/>
        <v>1.2315628774972941E-3</v>
      </c>
      <c r="K44" s="45">
        <f t="shared" ca="1" si="18"/>
        <v>1.257579518035889E-4</v>
      </c>
      <c r="L44" s="45">
        <f t="shared" ca="1" si="18"/>
        <v>1.845275725728866E-5</v>
      </c>
      <c r="M44" s="45">
        <f t="shared" ca="1" si="18"/>
        <v>3.8725026297255002E-5</v>
      </c>
      <c r="N44" s="45">
        <f t="shared" ca="1" si="18"/>
        <v>5.6788277445466298E-6</v>
      </c>
      <c r="O44" s="45">
        <f t="shared" ca="1" si="18"/>
        <v>0.18023491929718416</v>
      </c>
      <c r="P44" s="45">
        <v>0</v>
      </c>
      <c r="Q44" s="22">
        <f t="shared" ca="1" si="21"/>
        <v>0.1907788730151406</v>
      </c>
      <c r="S44" s="45">
        <f t="shared" ca="1" si="19"/>
        <v>3.2082378294985538E-2</v>
      </c>
      <c r="T44" s="45">
        <f t="shared" ca="1" si="19"/>
        <v>0</v>
      </c>
      <c r="U44" s="45">
        <f t="shared" ca="1" si="19"/>
        <v>8.3279368225298561E-3</v>
      </c>
      <c r="V44" s="45">
        <f t="shared" ca="1" si="19"/>
        <v>1.2194571538996081E-3</v>
      </c>
      <c r="W44" s="45">
        <f t="shared" ca="1" si="19"/>
        <v>1.2434988938068056E-4</v>
      </c>
      <c r="X44" s="45">
        <f t="shared" ca="1" si="19"/>
        <v>1.8208514956749025E-5</v>
      </c>
      <c r="Y44" s="45">
        <f t="shared" ca="1" si="19"/>
        <v>3.8418961915656391E-5</v>
      </c>
      <c r="Z44" s="45">
        <f t="shared" ca="1" si="19"/>
        <v>5.6256764372537145E-6</v>
      </c>
      <c r="AA44" s="45">
        <f t="shared" ca="1" si="19"/>
        <v>0.1490104326293204</v>
      </c>
      <c r="AB44" s="45">
        <v>0</v>
      </c>
      <c r="AC44" s="22">
        <f t="shared" ca="1" si="22"/>
        <v>0.19082680794342574</v>
      </c>
    </row>
    <row r="45" spans="1:29" ht="12" customHeight="1" x14ac:dyDescent="0.25">
      <c r="A45" s="262"/>
      <c r="C45" s="263"/>
      <c r="D45" s="62">
        <f t="shared" si="23"/>
        <v>34</v>
      </c>
      <c r="E45" s="43">
        <f t="shared" si="20"/>
        <v>63.5</v>
      </c>
      <c r="F45" s="44" cm="1">
        <f t="array" ref="F45">_fnGENPOP.U(E45)</f>
        <v>0.80720000000000003</v>
      </c>
      <c r="G45" s="45">
        <f t="shared" ca="1" si="18"/>
        <v>0</v>
      </c>
      <c r="H45" s="45">
        <f t="shared" ca="1" si="18"/>
        <v>6.1348126188039305E-4</v>
      </c>
      <c r="I45" s="45">
        <f t="shared" ca="1" si="18"/>
        <v>8.3706904628472259E-3</v>
      </c>
      <c r="J45" s="45">
        <f t="shared" ca="1" si="18"/>
        <v>1.2273197097575515E-3</v>
      </c>
      <c r="K45" s="45">
        <f t="shared" ca="1" si="18"/>
        <v>1.252983369533662E-4</v>
      </c>
      <c r="L45" s="45">
        <f t="shared" ca="1" si="18"/>
        <v>1.8379552075291686E-5</v>
      </c>
      <c r="M45" s="45">
        <f t="shared" ca="1" si="18"/>
        <v>3.8603030067725107E-5</v>
      </c>
      <c r="N45" s="45">
        <f t="shared" ca="1" si="18"/>
        <v>5.6596710366200973E-6</v>
      </c>
      <c r="O45" s="45">
        <f t="shared" ca="1" si="18"/>
        <v>0.1800167398486836</v>
      </c>
      <c r="P45" s="45">
        <v>0</v>
      </c>
      <c r="Q45" s="22">
        <f t="shared" ca="1" si="21"/>
        <v>0.19041617187330179</v>
      </c>
      <c r="S45" s="45">
        <f t="shared" ca="1" si="19"/>
        <v>3.0355440551011793E-2</v>
      </c>
      <c r="T45" s="45">
        <f t="shared" ca="1" si="19"/>
        <v>0</v>
      </c>
      <c r="U45" s="45">
        <f t="shared" ca="1" si="19"/>
        <v>8.3120426986263984E-3</v>
      </c>
      <c r="V45" s="45">
        <f t="shared" ca="1" si="19"/>
        <v>1.2171297823654482E-3</v>
      </c>
      <c r="W45" s="45">
        <f t="shared" ca="1" si="19"/>
        <v>1.2411256378716133E-4</v>
      </c>
      <c r="X45" s="45">
        <f t="shared" ca="1" si="19"/>
        <v>1.8173763445181649E-5</v>
      </c>
      <c r="Y45" s="45">
        <f t="shared" ca="1" si="19"/>
        <v>3.8345638143641492E-5</v>
      </c>
      <c r="Z45" s="45">
        <f t="shared" ca="1" si="19"/>
        <v>5.6149396605177791E-6</v>
      </c>
      <c r="AA45" s="45">
        <f t="shared" ca="1" si="19"/>
        <v>0.15039174916648221</v>
      </c>
      <c r="AB45" s="45">
        <v>0</v>
      </c>
      <c r="AC45" s="22">
        <f t="shared" ca="1" si="22"/>
        <v>0.19046260910352233</v>
      </c>
    </row>
    <row r="46" spans="1:29" ht="12" customHeight="1" x14ac:dyDescent="0.25">
      <c r="A46" s="262"/>
      <c r="C46" s="263"/>
      <c r="D46" s="62">
        <f t="shared" si="23"/>
        <v>35</v>
      </c>
      <c r="E46" s="43">
        <f t="shared" si="20"/>
        <v>63.75</v>
      </c>
      <c r="F46" s="44" cm="1">
        <f t="array" ref="F46">_fnGENPOP.U(E46)</f>
        <v>0.80720000000000003</v>
      </c>
      <c r="G46" s="45">
        <f t="shared" ca="1" si="18"/>
        <v>0</v>
      </c>
      <c r="H46" s="45">
        <f t="shared" ca="1" si="18"/>
        <v>5.1831753215699048E-4</v>
      </c>
      <c r="I46" s="45">
        <f t="shared" ca="1" si="18"/>
        <v>8.3454705347820492E-3</v>
      </c>
      <c r="J46" s="45">
        <f t="shared" ca="1" si="18"/>
        <v>1.2233782362194726E-3</v>
      </c>
      <c r="K46" s="45">
        <f t="shared" ca="1" si="18"/>
        <v>1.2487366412787664E-4</v>
      </c>
      <c r="L46" s="45">
        <f t="shared" ca="1" si="18"/>
        <v>1.8312379264721113E-5</v>
      </c>
      <c r="M46" s="45">
        <f t="shared" ca="1" si="18"/>
        <v>3.8488726173085932E-5</v>
      </c>
      <c r="N46" s="45">
        <f t="shared" ca="1" si="18"/>
        <v>5.6418412610752813E-6</v>
      </c>
      <c r="O46" s="45">
        <f t="shared" ca="1" si="18"/>
        <v>0.17977946191086738</v>
      </c>
      <c r="P46" s="45">
        <v>0</v>
      </c>
      <c r="Q46" s="22">
        <f t="shared" ca="1" si="21"/>
        <v>0.19005394482485266</v>
      </c>
      <c r="S46" s="45">
        <f t="shared" ca="1" si="19"/>
        <v>2.8721460814830974E-2</v>
      </c>
      <c r="T46" s="45">
        <f t="shared" ca="1" si="19"/>
        <v>0</v>
      </c>
      <c r="U46" s="45">
        <f t="shared" ca="1" si="19"/>
        <v>8.2961789091479075E-3</v>
      </c>
      <c r="V46" s="45">
        <f t="shared" ca="1" si="19"/>
        <v>1.2148068526915377E-3</v>
      </c>
      <c r="W46" s="45">
        <f t="shared" ca="1" si="19"/>
        <v>1.2387569113684626E-4</v>
      </c>
      <c r="X46" s="45">
        <f t="shared" ca="1" si="19"/>
        <v>1.8139078257944348E-5</v>
      </c>
      <c r="Y46" s="45">
        <f t="shared" ca="1" si="19"/>
        <v>3.8272454312303661E-5</v>
      </c>
      <c r="Z46" s="45">
        <f t="shared" ca="1" si="19"/>
        <v>5.6042233752509084E-6</v>
      </c>
      <c r="AA46" s="45">
        <f t="shared" ca="1" si="19"/>
        <v>0.15168076732456848</v>
      </c>
      <c r="AB46" s="45">
        <v>0</v>
      </c>
      <c r="AC46" s="22">
        <f t="shared" ca="1" si="22"/>
        <v>0.19009910534832125</v>
      </c>
    </row>
    <row r="47" spans="1:29" ht="12" customHeight="1" x14ac:dyDescent="0.25">
      <c r="A47" s="262"/>
      <c r="C47" s="263"/>
      <c r="D47" s="62">
        <f t="shared" si="23"/>
        <v>36</v>
      </c>
      <c r="E47" s="43">
        <f t="shared" si="20"/>
        <v>64</v>
      </c>
      <c r="F47" s="44" cm="1">
        <f t="array" ref="F47">_fnGENPOP.U(E47)</f>
        <v>0.80720000000000003</v>
      </c>
      <c r="G47" s="45">
        <f t="shared" ca="1" si="18"/>
        <v>0</v>
      </c>
      <c r="H47" s="45">
        <f t="shared" ca="1" si="18"/>
        <v>4.3791568028966231E-4</v>
      </c>
      <c r="I47" s="45">
        <f t="shared" ca="1" si="18"/>
        <v>8.3217327089782304E-3</v>
      </c>
      <c r="J47" s="45">
        <f t="shared" ca="1" si="18"/>
        <v>1.2196923382340082E-3</v>
      </c>
      <c r="K47" s="45">
        <f t="shared" ca="1" si="18"/>
        <v>1.2447858247321283E-4</v>
      </c>
      <c r="L47" s="45">
        <f t="shared" ca="1" si="18"/>
        <v>1.8250313238683757E-5</v>
      </c>
      <c r="M47" s="45">
        <f t="shared" ca="1" si="18"/>
        <v>3.838094280815435E-5</v>
      </c>
      <c r="N47" s="45">
        <f t="shared" ca="1" si="18"/>
        <v>5.6251357219519134E-6</v>
      </c>
      <c r="O47" s="45">
        <f t="shared" ca="1" si="18"/>
        <v>0.17952614910018805</v>
      </c>
      <c r="P47" s="45">
        <v>0</v>
      </c>
      <c r="Q47" s="22">
        <f t="shared" ca="1" si="21"/>
        <v>0.18969222480193196</v>
      </c>
      <c r="S47" s="45">
        <f t="shared" ca="1" si="19"/>
        <v>2.7175435321111663E-2</v>
      </c>
      <c r="T47" s="45">
        <f t="shared" ca="1" si="19"/>
        <v>0</v>
      </c>
      <c r="U47" s="45">
        <f t="shared" ca="1" si="19"/>
        <v>8.2803453962001956E-3</v>
      </c>
      <c r="V47" s="45">
        <f t="shared" ca="1" si="19"/>
        <v>1.21248835640045E-3</v>
      </c>
      <c r="W47" s="45">
        <f t="shared" ca="1" si="19"/>
        <v>1.236392705652794E-4</v>
      </c>
      <c r="X47" s="45">
        <f t="shared" ca="1" si="19"/>
        <v>1.8104459268455102E-5</v>
      </c>
      <c r="Y47" s="45">
        <f t="shared" ca="1" si="19"/>
        <v>3.8199410154561788E-5</v>
      </c>
      <c r="Z47" s="45">
        <f t="shared" ca="1" si="19"/>
        <v>5.5935275423445011E-6</v>
      </c>
      <c r="AA47" s="45">
        <f t="shared" ca="1" si="19"/>
        <v>0.1528824896099889</v>
      </c>
      <c r="AB47" s="45">
        <v>0</v>
      </c>
      <c r="AC47" s="22">
        <f t="shared" ca="1" si="22"/>
        <v>0.18973629535123185</v>
      </c>
    </row>
    <row r="48" spans="1:29" ht="12" customHeight="1" x14ac:dyDescent="0.25">
      <c r="A48" s="262"/>
      <c r="C48" s="263"/>
      <c r="D48" s="62">
        <f t="shared" si="23"/>
        <v>37</v>
      </c>
      <c r="E48" s="43">
        <f t="shared" si="20"/>
        <v>64.25</v>
      </c>
      <c r="F48" s="44" cm="1">
        <f t="array" ref="F48">_fnGENPOP.U(E48)</f>
        <v>0.80720000000000003</v>
      </c>
      <c r="G48" s="45">
        <f t="shared" ca="1" si="18"/>
        <v>0</v>
      </c>
      <c r="H48" s="45">
        <f t="shared" ca="1" si="18"/>
        <v>3.6998583135998089E-4</v>
      </c>
      <c r="I48" s="45">
        <f t="shared" ca="1" si="18"/>
        <v>8.2992517182805883E-3</v>
      </c>
      <c r="J48" s="45">
        <f t="shared" ca="1" si="18"/>
        <v>1.2162230498171855E-3</v>
      </c>
      <c r="K48" s="45">
        <f t="shared" ca="1" si="18"/>
        <v>1.2410857103201106E-4</v>
      </c>
      <c r="L48" s="45">
        <f t="shared" ca="1" si="18"/>
        <v>1.8192571968714387E-5</v>
      </c>
      <c r="M48" s="45">
        <f t="shared" ca="1" si="18"/>
        <v>3.8278689898241808E-5</v>
      </c>
      <c r="N48" s="45">
        <f t="shared" ca="1" si="18"/>
        <v>5.6093831596669923E-6</v>
      </c>
      <c r="O48" s="45">
        <f t="shared" ca="1" si="18"/>
        <v>0.1792593896094922</v>
      </c>
      <c r="P48" s="45">
        <v>0</v>
      </c>
      <c r="Q48" s="22">
        <f t="shared" ca="1" si="21"/>
        <v>0.18933103942500859</v>
      </c>
      <c r="S48" s="45">
        <f t="shared" ca="1" si="19"/>
        <v>2.5712629648370122E-2</v>
      </c>
      <c r="T48" s="45">
        <f t="shared" ca="1" si="19"/>
        <v>0</v>
      </c>
      <c r="U48" s="45">
        <f t="shared" ca="1" si="19"/>
        <v>8.2645421019995734E-3</v>
      </c>
      <c r="V48" s="45">
        <f t="shared" ca="1" si="19"/>
        <v>1.2101742850309373E-3</v>
      </c>
      <c r="W48" s="45">
        <f t="shared" ca="1" si="19"/>
        <v>1.2340330120965442E-4</v>
      </c>
      <c r="X48" s="45">
        <f t="shared" ca="1" si="19"/>
        <v>1.8069906350373462E-5</v>
      </c>
      <c r="Y48" s="45">
        <f t="shared" ca="1" si="19"/>
        <v>3.8126505403844535E-5</v>
      </c>
      <c r="Z48" s="45">
        <f t="shared" ca="1" si="19"/>
        <v>5.582852122764599E-6</v>
      </c>
      <c r="AA48" s="45">
        <f t="shared" ca="1" si="19"/>
        <v>0.15400164918770823</v>
      </c>
      <c r="AB48" s="45">
        <v>0</v>
      </c>
      <c r="AC48" s="22">
        <f t="shared" ca="1" si="22"/>
        <v>0.18937417778819549</v>
      </c>
    </row>
    <row r="49" spans="1:29" ht="12" customHeight="1" x14ac:dyDescent="0.25">
      <c r="A49" s="262"/>
      <c r="C49" s="263"/>
      <c r="D49" s="62">
        <f t="shared" si="23"/>
        <v>38</v>
      </c>
      <c r="E49" s="43">
        <f t="shared" si="20"/>
        <v>64.5</v>
      </c>
      <c r="F49" s="44" cm="1">
        <f t="array" ref="F49">_fnGENPOP.U(E49)</f>
        <v>0.80720000000000003</v>
      </c>
      <c r="G49" s="45">
        <f t="shared" ca="1" si="18"/>
        <v>0</v>
      </c>
      <c r="H49" s="45">
        <f t="shared" ca="1" si="18"/>
        <v>3.1259331777430238E-4</v>
      </c>
      <c r="I49" s="45">
        <f t="shared" ca="1" si="18"/>
        <v>8.2778372303133028E-3</v>
      </c>
      <c r="J49" s="45">
        <f t="shared" ca="1" si="18"/>
        <v>1.2129374481251608E-3</v>
      </c>
      <c r="K49" s="45">
        <f t="shared" ca="1" si="18"/>
        <v>1.2375981000945348E-4</v>
      </c>
      <c r="L49" s="45">
        <f t="shared" ca="1" si="18"/>
        <v>1.8138494715908587E-5</v>
      </c>
      <c r="M49" s="45">
        <f t="shared" ca="1" si="18"/>
        <v>3.8181130909045078E-5</v>
      </c>
      <c r="N49" s="45">
        <f t="shared" ca="1" si="18"/>
        <v>5.5944388745889161E-6</v>
      </c>
      <c r="O49" s="45">
        <f t="shared" ca="1" si="18"/>
        <v>0.17898136995649841</v>
      </c>
      <c r="P49" s="45">
        <v>0</v>
      </c>
      <c r="Q49" s="22">
        <f t="shared" ca="1" si="21"/>
        <v>0.18897041182722016</v>
      </c>
      <c r="S49" s="45">
        <f t="shared" ca="1" si="19"/>
        <v>2.4328564220666798E-2</v>
      </c>
      <c r="T49" s="45">
        <f t="shared" ca="1" si="19"/>
        <v>0</v>
      </c>
      <c r="U49" s="45">
        <f t="shared" ca="1" si="19"/>
        <v>8.2487689688726315E-3</v>
      </c>
      <c r="V49" s="45">
        <f t="shared" ca="1" si="19"/>
        <v>1.2078646301379003E-3</v>
      </c>
      <c r="W49" s="45">
        <f t="shared" ca="1" si="19"/>
        <v>1.2316778220881192E-4</v>
      </c>
      <c r="X49" s="45">
        <f t="shared" ca="1" si="19"/>
        <v>1.8035419377600117E-5</v>
      </c>
      <c r="Y49" s="45">
        <f t="shared" ca="1" si="19"/>
        <v>3.8053739794089286E-5</v>
      </c>
      <c r="Z49" s="45">
        <f t="shared" ca="1" si="19"/>
        <v>5.5721970775517387E-6</v>
      </c>
      <c r="AA49" s="45">
        <f t="shared" ca="1" si="19"/>
        <v>0.15504272437954497</v>
      </c>
      <c r="AB49" s="45">
        <v>0</v>
      </c>
      <c r="AC49" s="22">
        <f t="shared" ca="1" si="22"/>
        <v>0.18901275133768036</v>
      </c>
    </row>
    <row r="50" spans="1:29" ht="12" customHeight="1" x14ac:dyDescent="0.25">
      <c r="A50" s="262"/>
      <c r="C50" s="263"/>
      <c r="D50" s="62">
        <f t="shared" si="23"/>
        <v>39</v>
      </c>
      <c r="E50" s="43">
        <f t="shared" si="20"/>
        <v>64.75</v>
      </c>
      <c r="F50" s="44" cm="1">
        <f t="array" ref="F50">_fnGENPOP.U(E50)</f>
        <v>0.80720000000000003</v>
      </c>
      <c r="G50" s="45">
        <f t="shared" ca="1" si="18"/>
        <v>1.2094863161924762E-4</v>
      </c>
      <c r="H50" s="45">
        <f t="shared" ca="1" si="18"/>
        <v>1.4315494758531316E-4</v>
      </c>
      <c r="I50" s="45">
        <f t="shared" ca="1" si="18"/>
        <v>8.2573284283844074E-3</v>
      </c>
      <c r="J50" s="45">
        <f t="shared" ca="1" si="18"/>
        <v>1.2098077160397087E-3</v>
      </c>
      <c r="K50" s="45">
        <f t="shared" ca="1" si="18"/>
        <v>1.2342907200859623E-4</v>
      </c>
      <c r="L50" s="45">
        <f t="shared" ca="1" si="18"/>
        <v>1.8087523216420905E-5</v>
      </c>
      <c r="M50" s="45">
        <f t="shared" ca="1" si="18"/>
        <v>3.8087559029410413E-5</v>
      </c>
      <c r="N50" s="45">
        <f t="shared" ca="1" si="18"/>
        <v>5.5801806070468799E-6</v>
      </c>
      <c r="O50" s="45">
        <f t="shared" ca="1" si="18"/>
        <v>0.17869393729234864</v>
      </c>
      <c r="P50" s="45">
        <v>0</v>
      </c>
      <c r="Q50" s="22">
        <f t="shared" ca="1" si="21"/>
        <v>0.18861036135083881</v>
      </c>
      <c r="S50" s="45">
        <f t="shared" ca="1" si="19"/>
        <v>2.3019000589720971E-2</v>
      </c>
      <c r="T50" s="45">
        <f t="shared" ca="1" si="19"/>
        <v>0</v>
      </c>
      <c r="U50" s="45">
        <f t="shared" ca="1" si="19"/>
        <v>8.233025939256032E-3</v>
      </c>
      <c r="V50" s="45">
        <f t="shared" ca="1" si="19"/>
        <v>1.2055593832923574E-3</v>
      </c>
      <c r="W50" s="45">
        <f t="shared" ca="1" si="19"/>
        <v>1.2293271270323583E-4</v>
      </c>
      <c r="X50" s="45">
        <f t="shared" ca="1" si="19"/>
        <v>1.8000998224276419E-5</v>
      </c>
      <c r="Y50" s="45">
        <f t="shared" ca="1" si="19"/>
        <v>3.7981113059741244E-5</v>
      </c>
      <c r="Z50" s="45">
        <f t="shared" ca="1" si="19"/>
        <v>5.5615623678208137E-6</v>
      </c>
      <c r="AA50" s="45">
        <f t="shared" ca="1" si="19"/>
        <v>0.15600995238205259</v>
      </c>
      <c r="AB50" s="45">
        <v>0</v>
      </c>
      <c r="AC50" s="22">
        <f t="shared" ca="1" si="22"/>
        <v>0.18865201468067702</v>
      </c>
    </row>
    <row r="51" spans="1:29" ht="12" customHeight="1" x14ac:dyDescent="0.25">
      <c r="A51" s="262"/>
      <c r="C51" s="263"/>
      <c r="D51" s="62">
        <f t="shared" si="23"/>
        <v>40</v>
      </c>
      <c r="E51" s="43">
        <f t="shared" si="20"/>
        <v>65</v>
      </c>
      <c r="F51" s="44" cm="1">
        <f t="array" ref="F51">_fnGENPOP.U(E51)</f>
        <v>0.80410000000000004</v>
      </c>
      <c r="G51" s="45">
        <f t="shared" ref="G51:O60" ca="1" si="24">PRODUCT(AVERAGE(OFFSET(AB.Trace.MarkovQB.Root, $D51, (G$2-1)*AB.Trace.MarkovQB.NumCols+G$3-1, CHOOSE(swtchHalfCycle, 2, 1))), $F51+G$6, AB.cycleLength)</f>
        <v>2.3434911262110297E-4</v>
      </c>
      <c r="H51" s="45">
        <f t="shared" ca="1" si="24"/>
        <v>0</v>
      </c>
      <c r="I51" s="45">
        <f t="shared" ca="1" si="24"/>
        <v>8.1918057937295438E-3</v>
      </c>
      <c r="J51" s="45">
        <f t="shared" ca="1" si="24"/>
        <v>1.2016750525239708E-3</v>
      </c>
      <c r="K51" s="45">
        <f t="shared" ca="1" si="24"/>
        <v>1.2236081105591279E-4</v>
      </c>
      <c r="L51" s="45">
        <f t="shared" ca="1" si="24"/>
        <v>1.7959887039121574E-5</v>
      </c>
      <c r="M51" s="45">
        <f t="shared" ca="1" si="24"/>
        <v>3.7742808014859827E-5</v>
      </c>
      <c r="N51" s="45">
        <f t="shared" ca="1" si="24"/>
        <v>5.5361351766848888E-6</v>
      </c>
      <c r="O51" s="45">
        <f t="shared" ca="1" si="24"/>
        <v>0.17760764598006254</v>
      </c>
      <c r="P51" s="45">
        <v>0</v>
      </c>
      <c r="Q51" s="22">
        <f t="shared" ca="1" si="21"/>
        <v>0.18741907558022375</v>
      </c>
      <c r="S51" s="45">
        <f t="shared" ref="S51:AA60" ca="1" si="25">PRODUCT(AVERAGE(OFFSET(AB.Trace.MarkovQB.Root, $D51, (S$2-1)*AB.Trace.MarkovQB.NumCols+S$3-1, CHOOSE(swtchHalfCycle, 2, 1))), $F51+S$6, AB.cycleLength)</f>
        <v>2.1683911946632807E-2</v>
      </c>
      <c r="T51" s="45">
        <f t="shared" ca="1" si="25"/>
        <v>0</v>
      </c>
      <c r="U51" s="45">
        <f t="shared" ca="1" si="25"/>
        <v>8.1823461128602837E-3</v>
      </c>
      <c r="V51" s="45">
        <f t="shared" ca="1" si="25"/>
        <v>1.1981383523487158E-3</v>
      </c>
      <c r="W51" s="45">
        <f t="shared" ca="1" si="25"/>
        <v>1.2215872132358062E-4</v>
      </c>
      <c r="X51" s="45">
        <f t="shared" ca="1" si="25"/>
        <v>1.7887662911450349E-5</v>
      </c>
      <c r="Y51" s="45">
        <f t="shared" ca="1" si="25"/>
        <v>3.7701802096433797E-5</v>
      </c>
      <c r="Z51" s="45">
        <f t="shared" ca="1" si="25"/>
        <v>5.520662951839847E-6</v>
      </c>
      <c r="AA51" s="45">
        <f t="shared" ca="1" si="25"/>
        <v>0.15621109307102551</v>
      </c>
      <c r="AB51" s="45">
        <v>0</v>
      </c>
      <c r="AC51" s="22">
        <f t="shared" ca="1" si="22"/>
        <v>0.18745875833215062</v>
      </c>
    </row>
    <row r="52" spans="1:29" ht="12" customHeight="1" x14ac:dyDescent="0.25">
      <c r="A52" s="262"/>
      <c r="C52" s="263"/>
      <c r="D52" s="62">
        <f t="shared" si="23"/>
        <v>41</v>
      </c>
      <c r="E52" s="43">
        <f t="shared" si="20"/>
        <v>65.25</v>
      </c>
      <c r="F52" s="44" cm="1">
        <f t="array" ref="F52">_fnGENPOP.U(E52)</f>
        <v>0.80410000000000004</v>
      </c>
      <c r="G52" s="45">
        <f t="shared" ca="1" si="24"/>
        <v>2.2147443685044364E-4</v>
      </c>
      <c r="H52" s="45">
        <f t="shared" ca="1" si="24"/>
        <v>0</v>
      </c>
      <c r="I52" s="45">
        <f t="shared" ca="1" si="24"/>
        <v>8.1594331258948178E-3</v>
      </c>
      <c r="J52" s="45">
        <f t="shared" ca="1" si="24"/>
        <v>1.1972342028254274E-3</v>
      </c>
      <c r="K52" s="45">
        <f t="shared" ca="1" si="24"/>
        <v>1.2181664080647737E-4</v>
      </c>
      <c r="L52" s="45">
        <f t="shared" ca="1" si="24"/>
        <v>1.7883059214335066E-5</v>
      </c>
      <c r="M52" s="45">
        <f t="shared" ca="1" si="24"/>
        <v>3.7596225909837092E-5</v>
      </c>
      <c r="N52" s="45">
        <f t="shared" ca="1" si="24"/>
        <v>5.5161196204935001E-6</v>
      </c>
      <c r="O52" s="45">
        <f t="shared" ca="1" si="24"/>
        <v>0.17709085381997583</v>
      </c>
      <c r="P52" s="45">
        <v>0</v>
      </c>
      <c r="Q52" s="22">
        <f t="shared" ca="1" si="21"/>
        <v>0.18685180763109766</v>
      </c>
      <c r="S52" s="45">
        <f t="shared" ca="1" si="25"/>
        <v>2.0492640801502451E-2</v>
      </c>
      <c r="T52" s="45">
        <f t="shared" ca="1" si="25"/>
        <v>0</v>
      </c>
      <c r="U52" s="45">
        <f t="shared" ca="1" si="25"/>
        <v>8.161865233888288E-3</v>
      </c>
      <c r="V52" s="45">
        <f t="shared" ca="1" si="25"/>
        <v>1.1958516684038765E-3</v>
      </c>
      <c r="W52" s="45">
        <f t="shared" ca="1" si="25"/>
        <v>1.2185295107721207E-4</v>
      </c>
      <c r="X52" s="45">
        <f t="shared" ca="1" si="25"/>
        <v>1.7853523755892792E-5</v>
      </c>
      <c r="Y52" s="45">
        <f t="shared" ca="1" si="25"/>
        <v>3.760743233559594E-5</v>
      </c>
      <c r="Z52" s="45">
        <f t="shared" ca="1" si="25"/>
        <v>5.5101265965749527E-6</v>
      </c>
      <c r="AA52" s="45">
        <f t="shared" ca="1" si="25"/>
        <v>0.15685661383757998</v>
      </c>
      <c r="AB52" s="45">
        <v>0</v>
      </c>
      <c r="AC52" s="22">
        <f t="shared" ca="1" si="22"/>
        <v>0.18688979557513988</v>
      </c>
    </row>
    <row r="53" spans="1:29" ht="12" customHeight="1" x14ac:dyDescent="0.25">
      <c r="A53" s="262"/>
      <c r="C53" s="263"/>
      <c r="D53" s="62">
        <f t="shared" si="23"/>
        <v>42</v>
      </c>
      <c r="E53" s="43">
        <f t="shared" si="20"/>
        <v>65.5</v>
      </c>
      <c r="F53" s="44" cm="1">
        <f t="array" ref="F53">_fnGENPOP.U(E53)</f>
        <v>0.80410000000000004</v>
      </c>
      <c r="G53" s="45">
        <f t="shared" ca="1" si="24"/>
        <v>2.0930707024919255E-4</v>
      </c>
      <c r="H53" s="45">
        <f t="shared" ca="1" si="24"/>
        <v>0</v>
      </c>
      <c r="I53" s="45">
        <f t="shared" ca="1" si="24"/>
        <v>8.1351318852124366E-3</v>
      </c>
      <c r="J53" s="45">
        <f t="shared" ca="1" si="24"/>
        <v>1.1925029303631205E-3</v>
      </c>
      <c r="K53" s="45">
        <f t="shared" ca="1" si="24"/>
        <v>1.2145383429018119E-4</v>
      </c>
      <c r="L53" s="45">
        <f t="shared" ca="1" si="24"/>
        <v>1.7803528613733812E-5</v>
      </c>
      <c r="M53" s="45">
        <f t="shared" ca="1" si="24"/>
        <v>3.7484253065585864E-5</v>
      </c>
      <c r="N53" s="45">
        <f t="shared" ca="1" si="24"/>
        <v>5.4946966138849093E-6</v>
      </c>
      <c r="O53" s="45">
        <f t="shared" ca="1" si="24"/>
        <v>0.17656621661725516</v>
      </c>
      <c r="P53" s="45">
        <v>0</v>
      </c>
      <c r="Q53" s="22">
        <f t="shared" ca="1" si="21"/>
        <v>0.18628539481566331</v>
      </c>
      <c r="S53" s="45">
        <f t="shared" ca="1" si="25"/>
        <v>1.9366815732002395E-2</v>
      </c>
      <c r="T53" s="45">
        <f t="shared" ca="1" si="25"/>
        <v>0</v>
      </c>
      <c r="U53" s="45">
        <f t="shared" ca="1" si="25"/>
        <v>8.1368260764322509E-3</v>
      </c>
      <c r="V53" s="45">
        <f t="shared" ca="1" si="25"/>
        <v>1.1928583834766424E-3</v>
      </c>
      <c r="W53" s="45">
        <f t="shared" ca="1" si="25"/>
        <v>1.214791277977199E-4</v>
      </c>
      <c r="X53" s="45">
        <f t="shared" ca="1" si="25"/>
        <v>1.7808835367718477E-5</v>
      </c>
      <c r="Y53" s="45">
        <f t="shared" ca="1" si="25"/>
        <v>3.7492059391693548E-5</v>
      </c>
      <c r="Z53" s="45">
        <f t="shared" ca="1" si="25"/>
        <v>5.4963344354529177E-6</v>
      </c>
      <c r="AA53" s="45">
        <f t="shared" ca="1" si="25"/>
        <v>0.15744437765422159</v>
      </c>
      <c r="AB53" s="45">
        <v>0</v>
      </c>
      <c r="AC53" s="22">
        <f t="shared" ca="1" si="22"/>
        <v>0.18632315420312545</v>
      </c>
    </row>
    <row r="54" spans="1:29" ht="12" customHeight="1" x14ac:dyDescent="0.25">
      <c r="A54" s="262"/>
      <c r="C54" s="263"/>
      <c r="D54" s="62">
        <f t="shared" si="23"/>
        <v>43</v>
      </c>
      <c r="E54" s="43">
        <f t="shared" si="20"/>
        <v>65.75</v>
      </c>
      <c r="F54" s="44" cm="1">
        <f t="array" ref="F54">_fnGENPOP.U(E54)</f>
        <v>0.80410000000000004</v>
      </c>
      <c r="G54" s="45">
        <f t="shared" ca="1" si="24"/>
        <v>1.9780815465345961E-4</v>
      </c>
      <c r="H54" s="45">
        <f t="shared" ca="1" si="24"/>
        <v>0</v>
      </c>
      <c r="I54" s="45">
        <f t="shared" ca="1" si="24"/>
        <v>8.1105031636173244E-3</v>
      </c>
      <c r="J54" s="45">
        <f t="shared" ca="1" si="24"/>
        <v>1.1889512987389541E-3</v>
      </c>
      <c r="K54" s="45">
        <f t="shared" ca="1" si="24"/>
        <v>1.2108613863218833E-4</v>
      </c>
      <c r="L54" s="45">
        <f t="shared" ca="1" si="24"/>
        <v>1.7750504362273874E-5</v>
      </c>
      <c r="M54" s="45">
        <f t="shared" ca="1" si="24"/>
        <v>3.7370771287296417E-5</v>
      </c>
      <c r="N54" s="45">
        <f t="shared" ca="1" si="24"/>
        <v>5.4783317582839821E-6</v>
      </c>
      <c r="O54" s="45">
        <f t="shared" ca="1" si="24"/>
        <v>0.17604166426533382</v>
      </c>
      <c r="P54" s="45">
        <v>0</v>
      </c>
      <c r="Q54" s="22">
        <f t="shared" ca="1" si="21"/>
        <v>0.1857206126283836</v>
      </c>
      <c r="S54" s="45">
        <f t="shared" ca="1" si="25"/>
        <v>1.8302841260450748E-2</v>
      </c>
      <c r="T54" s="45">
        <f t="shared" ca="1" si="25"/>
        <v>0</v>
      </c>
      <c r="U54" s="45">
        <f t="shared" ca="1" si="25"/>
        <v>8.1121396978969355E-3</v>
      </c>
      <c r="V54" s="45">
        <f t="shared" ca="1" si="25"/>
        <v>1.1891989051551167E-3</v>
      </c>
      <c r="W54" s="45">
        <f t="shared" ca="1" si="25"/>
        <v>1.2111057134772516E-4</v>
      </c>
      <c r="X54" s="45">
        <f t="shared" ca="1" si="25"/>
        <v>1.775420101391544E-5</v>
      </c>
      <c r="Y54" s="45">
        <f t="shared" ca="1" si="25"/>
        <v>3.7378311947479072E-5</v>
      </c>
      <c r="Z54" s="45">
        <f t="shared" ca="1" si="25"/>
        <v>5.4794726545466445E-6</v>
      </c>
      <c r="AA54" s="45">
        <f t="shared" ca="1" si="25"/>
        <v>0.15797237293848512</v>
      </c>
      <c r="AB54" s="45">
        <v>0</v>
      </c>
      <c r="AC54" s="22">
        <f t="shared" ca="1" si="22"/>
        <v>0.18575827535895159</v>
      </c>
    </row>
    <row r="55" spans="1:29" ht="12" customHeight="1" x14ac:dyDescent="0.25">
      <c r="A55" s="262"/>
      <c r="C55" s="263"/>
      <c r="D55" s="62">
        <f t="shared" si="23"/>
        <v>44</v>
      </c>
      <c r="E55" s="43">
        <f t="shared" si="20"/>
        <v>66</v>
      </c>
      <c r="F55" s="44" cm="1">
        <f t="array" ref="F55">_fnGENPOP.U(E55)</f>
        <v>0.80410000000000004</v>
      </c>
      <c r="G55" s="45">
        <f t="shared" ca="1" si="24"/>
        <v>1.8694096668986238E-4</v>
      </c>
      <c r="H55" s="45">
        <f t="shared" ca="1" si="24"/>
        <v>0</v>
      </c>
      <c r="I55" s="45">
        <f t="shared" ca="1" si="24"/>
        <v>8.085909003688576E-3</v>
      </c>
      <c r="J55" s="45">
        <f t="shared" ca="1" si="24"/>
        <v>1.1853518057079906E-3</v>
      </c>
      <c r="K55" s="45">
        <f t="shared" ca="1" si="24"/>
        <v>1.2071895896421985E-4</v>
      </c>
      <c r="L55" s="45">
        <f t="shared" ca="1" si="24"/>
        <v>1.7696765561688975E-5</v>
      </c>
      <c r="M55" s="45">
        <f t="shared" ca="1" si="24"/>
        <v>3.7257448758822067E-5</v>
      </c>
      <c r="N55" s="45">
        <f t="shared" ca="1" si="24"/>
        <v>5.4617463716443756E-6</v>
      </c>
      <c r="O55" s="45">
        <f t="shared" ca="1" si="24"/>
        <v>0.17551821707004611</v>
      </c>
      <c r="P55" s="45">
        <v>0</v>
      </c>
      <c r="Q55" s="22">
        <f t="shared" ca="1" si="21"/>
        <v>0.18515755376578891</v>
      </c>
      <c r="S55" s="45">
        <f t="shared" ca="1" si="25"/>
        <v>1.729731943758326E-2</v>
      </c>
      <c r="T55" s="45">
        <f t="shared" ca="1" si="25"/>
        <v>0</v>
      </c>
      <c r="U55" s="45">
        <f t="shared" ca="1" si="25"/>
        <v>8.0875488450262746E-3</v>
      </c>
      <c r="V55" s="45">
        <f t="shared" ca="1" si="25"/>
        <v>1.1855909855497718E-3</v>
      </c>
      <c r="W55" s="45">
        <f t="shared" ca="1" si="25"/>
        <v>1.20743441052636E-4</v>
      </c>
      <c r="X55" s="45">
        <f t="shared" ca="1" si="25"/>
        <v>1.7700336408391788E-5</v>
      </c>
      <c r="Y55" s="45">
        <f t="shared" ca="1" si="25"/>
        <v>3.7265004656938643E-5</v>
      </c>
      <c r="Z55" s="45">
        <f t="shared" ca="1" si="25"/>
        <v>5.4628484407741712E-6</v>
      </c>
      <c r="AA55" s="45">
        <f t="shared" ca="1" si="25"/>
        <v>0.15844347134807996</v>
      </c>
      <c r="AB55" s="45">
        <v>0</v>
      </c>
      <c r="AC55" s="22">
        <f t="shared" ca="1" si="22"/>
        <v>0.185195102246798</v>
      </c>
    </row>
    <row r="56" spans="1:29" ht="12" customHeight="1" x14ac:dyDescent="0.25">
      <c r="A56" s="262"/>
      <c r="C56" s="263"/>
      <c r="D56" s="62">
        <f t="shared" si="23"/>
        <v>45</v>
      </c>
      <c r="E56" s="43">
        <f t="shared" si="20"/>
        <v>66.25</v>
      </c>
      <c r="F56" s="44" cm="1">
        <f t="array" ref="F56">_fnGENPOP.U(E56)</f>
        <v>0.80410000000000004</v>
      </c>
      <c r="G56" s="45">
        <f t="shared" ca="1" si="24"/>
        <v>1.7667080049436695E-4</v>
      </c>
      <c r="H56" s="45">
        <f t="shared" ca="1" si="24"/>
        <v>0</v>
      </c>
      <c r="I56" s="45">
        <f t="shared" ca="1" si="24"/>
        <v>8.0613945324239551E-3</v>
      </c>
      <c r="J56" s="45">
        <f t="shared" ca="1" si="24"/>
        <v>1.1817573638721024E-3</v>
      </c>
      <c r="K56" s="45">
        <f t="shared" ca="1" si="24"/>
        <v>1.2035296901191224E-4</v>
      </c>
      <c r="L56" s="45">
        <f t="shared" ca="1" si="24"/>
        <v>1.764310217315864E-5</v>
      </c>
      <c r="M56" s="45">
        <f t="shared" ca="1" si="24"/>
        <v>3.7144493411862978E-5</v>
      </c>
      <c r="N56" s="45">
        <f t="shared" ca="1" si="24"/>
        <v>5.4451842593999653E-6</v>
      </c>
      <c r="O56" s="45">
        <f t="shared" ca="1" si="24"/>
        <v>0.17499579359537026</v>
      </c>
      <c r="P56" s="45">
        <v>0</v>
      </c>
      <c r="Q56" s="22">
        <f t="shared" ca="1" si="21"/>
        <v>0.18459620204101701</v>
      </c>
      <c r="S56" s="45">
        <f t="shared" ca="1" si="25"/>
        <v>1.6347038990733573E-2</v>
      </c>
      <c r="T56" s="45">
        <f t="shared" ca="1" si="25"/>
        <v>0</v>
      </c>
      <c r="U56" s="45">
        <f t="shared" ca="1" si="25"/>
        <v>8.0630293714382857E-3</v>
      </c>
      <c r="V56" s="45">
        <f t="shared" ca="1" si="25"/>
        <v>1.181997027041144E-3</v>
      </c>
      <c r="W56" s="45">
        <f t="shared" ca="1" si="25"/>
        <v>1.2037737641790629E-4</v>
      </c>
      <c r="X56" s="45">
        <f t="shared" ca="1" si="25"/>
        <v>1.7646680235718526E-5</v>
      </c>
      <c r="Y56" s="45">
        <f t="shared" ca="1" si="25"/>
        <v>3.7152026260770562E-5</v>
      </c>
      <c r="Z56" s="45">
        <f t="shared" ca="1" si="25"/>
        <v>5.4462885555571274E-6</v>
      </c>
      <c r="AA56" s="45">
        <f t="shared" ca="1" si="25"/>
        <v>0.15886094879185719</v>
      </c>
      <c r="AB56" s="45">
        <v>0</v>
      </c>
      <c r="AC56" s="22">
        <f t="shared" ca="1" si="22"/>
        <v>0.18463363655254014</v>
      </c>
    </row>
    <row r="57" spans="1:29" ht="12" customHeight="1" x14ac:dyDescent="0.25">
      <c r="A57" s="262"/>
      <c r="C57" s="263"/>
      <c r="D57" s="62">
        <f t="shared" si="23"/>
        <v>46</v>
      </c>
      <c r="E57" s="43">
        <f t="shared" si="20"/>
        <v>66.5</v>
      </c>
      <c r="F57" s="44" cm="1">
        <f t="array" ref="F57">_fnGENPOP.U(E57)</f>
        <v>0.80410000000000004</v>
      </c>
      <c r="G57" s="45">
        <f t="shared" ca="1" si="24"/>
        <v>1.6696485687432269E-4</v>
      </c>
      <c r="H57" s="45">
        <f t="shared" ca="1" si="24"/>
        <v>0</v>
      </c>
      <c r="I57" s="45">
        <f t="shared" ca="1" si="24"/>
        <v>8.0369544212060499E-3</v>
      </c>
      <c r="J57" s="45">
        <f t="shared" ca="1" si="24"/>
        <v>1.1781745685518503E-3</v>
      </c>
      <c r="K57" s="45">
        <f t="shared" ca="1" si="24"/>
        <v>1.1998808922142126E-4</v>
      </c>
      <c r="L57" s="45">
        <f t="shared" ca="1" si="24"/>
        <v>1.7589612661831536E-5</v>
      </c>
      <c r="M57" s="45">
        <f t="shared" ca="1" si="24"/>
        <v>3.7031880693744879E-5</v>
      </c>
      <c r="N57" s="45">
        <f t="shared" ca="1" si="24"/>
        <v>5.4286758108140685E-6</v>
      </c>
      <c r="O57" s="45">
        <f t="shared" ca="1" si="24"/>
        <v>0.17447442000241331</v>
      </c>
      <c r="P57" s="45">
        <v>0</v>
      </c>
      <c r="Q57" s="22">
        <f t="shared" ca="1" si="21"/>
        <v>0.18403655210743333</v>
      </c>
      <c r="S57" s="45">
        <f t="shared" ca="1" si="25"/>
        <v>1.5448965068190932E-2</v>
      </c>
      <c r="T57" s="45">
        <f t="shared" ca="1" si="25"/>
        <v>0</v>
      </c>
      <c r="U57" s="45">
        <f t="shared" ca="1" si="25"/>
        <v>8.0385842426565247E-3</v>
      </c>
      <c r="V57" s="45">
        <f t="shared" ca="1" si="25"/>
        <v>1.1784135006302412E-3</v>
      </c>
      <c r="W57" s="45">
        <f t="shared" ca="1" si="25"/>
        <v>1.2001242171745962E-4</v>
      </c>
      <c r="X57" s="45">
        <f t="shared" ca="1" si="25"/>
        <v>1.7593179809539151E-5</v>
      </c>
      <c r="Y57" s="45">
        <f t="shared" ca="1" si="25"/>
        <v>3.7039390423219859E-5</v>
      </c>
      <c r="Z57" s="45">
        <f t="shared" ca="1" si="25"/>
        <v>5.4297767383243096E-6</v>
      </c>
      <c r="AA57" s="45">
        <f t="shared" ca="1" si="25"/>
        <v>0.15922783555396816</v>
      </c>
      <c r="AB57" s="45">
        <v>0</v>
      </c>
      <c r="AC57" s="22">
        <f t="shared" ca="1" si="22"/>
        <v>0.1840738731341344</v>
      </c>
    </row>
    <row r="58" spans="1:29" ht="12" customHeight="1" x14ac:dyDescent="0.25">
      <c r="A58" s="262"/>
      <c r="C58" s="263"/>
      <c r="D58" s="62">
        <f t="shared" si="23"/>
        <v>47</v>
      </c>
      <c r="E58" s="43">
        <f t="shared" si="20"/>
        <v>66.75</v>
      </c>
      <c r="F58" s="44" cm="1">
        <f t="array" ref="F58">_fnGENPOP.U(E58)</f>
        <v>0.80410000000000004</v>
      </c>
      <c r="G58" s="45">
        <f t="shared" ca="1" si="24"/>
        <v>1.5779213855971583E-4</v>
      </c>
      <c r="H58" s="45">
        <f t="shared" ca="1" si="24"/>
        <v>0</v>
      </c>
      <c r="I58" s="45">
        <f t="shared" ca="1" si="24"/>
        <v>8.0125883654779129E-3</v>
      </c>
      <c r="J58" s="45">
        <f t="shared" ca="1" si="24"/>
        <v>1.1746026409686391E-3</v>
      </c>
      <c r="K58" s="45">
        <f t="shared" ca="1" si="24"/>
        <v>1.1962431504584955E-4</v>
      </c>
      <c r="L58" s="45">
        <f t="shared" ca="1" si="24"/>
        <v>1.7536285400895987E-5</v>
      </c>
      <c r="M58" s="45">
        <f t="shared" ca="1" si="24"/>
        <v>3.6919609201160495E-5</v>
      </c>
      <c r="N58" s="45">
        <f t="shared" ca="1" si="24"/>
        <v>5.4122174375079869E-6</v>
      </c>
      <c r="O58" s="45">
        <f t="shared" ca="1" si="24"/>
        <v>0.17395412332558163</v>
      </c>
      <c r="P58" s="45">
        <v>0</v>
      </c>
      <c r="Q58" s="22">
        <f t="shared" ca="1" si="21"/>
        <v>0.18347859889767332</v>
      </c>
      <c r="S58" s="45">
        <f t="shared" ca="1" si="25"/>
        <v>1.4600229546982519E-2</v>
      </c>
      <c r="T58" s="45">
        <f t="shared" ca="1" si="25"/>
        <v>0</v>
      </c>
      <c r="U58" s="45">
        <f t="shared" ca="1" si="25"/>
        <v>8.0142132491202826E-3</v>
      </c>
      <c r="V58" s="45">
        <f t="shared" ca="1" si="25"/>
        <v>1.1748408397289783E-3</v>
      </c>
      <c r="W58" s="45">
        <f t="shared" ca="1" si="25"/>
        <v>1.1964857382264942E-4</v>
      </c>
      <c r="X58" s="45">
        <f t="shared" ca="1" si="25"/>
        <v>1.7539841600497242E-5</v>
      </c>
      <c r="Y58" s="45">
        <f t="shared" ca="1" si="25"/>
        <v>3.6927096178693503E-5</v>
      </c>
      <c r="Z58" s="45">
        <f t="shared" ca="1" si="25"/>
        <v>5.4133149861081147E-6</v>
      </c>
      <c r="AA58" s="45">
        <f t="shared" ca="1" si="25"/>
        <v>0.15954699431447136</v>
      </c>
      <c r="AB58" s="45">
        <v>0</v>
      </c>
      <c r="AC58" s="22">
        <f t="shared" ca="1" si="22"/>
        <v>0.18351580677689108</v>
      </c>
    </row>
    <row r="59" spans="1:29" ht="12" customHeight="1" x14ac:dyDescent="0.25">
      <c r="A59" s="262"/>
      <c r="C59" s="263"/>
      <c r="D59" s="62">
        <f t="shared" si="23"/>
        <v>48</v>
      </c>
      <c r="E59" s="43">
        <f t="shared" si="20"/>
        <v>67</v>
      </c>
      <c r="F59" s="44" cm="1">
        <f t="array" ref="F59">_fnGENPOP.U(E59)</f>
        <v>0.80410000000000004</v>
      </c>
      <c r="G59" s="45">
        <f t="shared" ca="1" si="24"/>
        <v>1.4912335120911098E-4</v>
      </c>
      <c r="H59" s="45">
        <f t="shared" ca="1" si="24"/>
        <v>0</v>
      </c>
      <c r="I59" s="45">
        <f t="shared" ca="1" si="24"/>
        <v>7.9882961834224185E-3</v>
      </c>
      <c r="J59" s="45">
        <f t="shared" ca="1" si="24"/>
        <v>1.171041536611404E-3</v>
      </c>
      <c r="K59" s="45">
        <f t="shared" ca="1" si="24"/>
        <v>1.192616437707497E-4</v>
      </c>
      <c r="L59" s="45">
        <f t="shared" ca="1" si="24"/>
        <v>1.7483119725821944E-5</v>
      </c>
      <c r="M59" s="45">
        <f t="shared" ca="1" si="24"/>
        <v>3.6807678096350902E-5</v>
      </c>
      <c r="N59" s="45">
        <f t="shared" ca="1" si="24"/>
        <v>5.3958089343880543E-6</v>
      </c>
      <c r="O59" s="45">
        <f t="shared" ca="1" si="24"/>
        <v>0.17343492794244036</v>
      </c>
      <c r="P59" s="45">
        <v>0</v>
      </c>
      <c r="Q59" s="22">
        <f t="shared" ca="1" si="21"/>
        <v>0.18292233726421062</v>
      </c>
      <c r="S59" s="45">
        <f t="shared" ca="1" si="25"/>
        <v>1.3798121873127074E-2</v>
      </c>
      <c r="T59" s="45">
        <f t="shared" ca="1" si="25"/>
        <v>0</v>
      </c>
      <c r="U59" s="45">
        <f t="shared" ca="1" si="25"/>
        <v>7.9899161411073529E-3</v>
      </c>
      <c r="V59" s="45">
        <f t="shared" ca="1" si="25"/>
        <v>1.171279013710012E-3</v>
      </c>
      <c r="W59" s="45">
        <f t="shared" ca="1" si="25"/>
        <v>1.1928582900523628E-4</v>
      </c>
      <c r="X59" s="45">
        <f t="shared" ca="1" si="25"/>
        <v>1.7486665151340428E-5</v>
      </c>
      <c r="Y59" s="45">
        <f t="shared" ca="1" si="25"/>
        <v>3.6815142376546288E-5</v>
      </c>
      <c r="Z59" s="45">
        <f t="shared" ca="1" si="25"/>
        <v>5.3969031577869015E-6</v>
      </c>
      <c r="AA59" s="45">
        <f t="shared" ca="1" si="25"/>
        <v>0.15982113077063806</v>
      </c>
      <c r="AB59" s="45">
        <v>0</v>
      </c>
      <c r="AC59" s="22">
        <f t="shared" ca="1" si="22"/>
        <v>0.18295943233827341</v>
      </c>
    </row>
    <row r="60" spans="1:29" ht="12" customHeight="1" x14ac:dyDescent="0.25">
      <c r="A60" s="262"/>
      <c r="C60" s="263"/>
      <c r="D60" s="62">
        <f t="shared" si="23"/>
        <v>49</v>
      </c>
      <c r="E60" s="43">
        <f t="shared" si="20"/>
        <v>67.25</v>
      </c>
      <c r="F60" s="44" cm="1">
        <f t="array" ref="F60">_fnGENPOP.U(E60)</f>
        <v>0.80410000000000004</v>
      </c>
      <c r="G60" s="45">
        <f t="shared" ca="1" si="24"/>
        <v>1.4093080985413001E-4</v>
      </c>
      <c r="H60" s="45">
        <f t="shared" ca="1" si="24"/>
        <v>0</v>
      </c>
      <c r="I60" s="45">
        <f t="shared" ca="1" si="24"/>
        <v>7.9640776494566932E-3</v>
      </c>
      <c r="J60" s="45">
        <f t="shared" ca="1" si="24"/>
        <v>1.1674912289075317E-3</v>
      </c>
      <c r="K60" s="45">
        <f t="shared" ca="1" si="24"/>
        <v>1.1890007202827175E-4</v>
      </c>
      <c r="L60" s="45">
        <f t="shared" ca="1" si="24"/>
        <v>1.7430115239892333E-5</v>
      </c>
      <c r="M60" s="45">
        <f t="shared" ca="1" si="24"/>
        <v>3.6696086339897778E-5</v>
      </c>
      <c r="N60" s="45">
        <f t="shared" ca="1" si="24"/>
        <v>5.3794501790156241E-6</v>
      </c>
      <c r="O60" s="45">
        <f t="shared" ca="1" si="24"/>
        <v>0.17291685666608209</v>
      </c>
      <c r="P60" s="45">
        <v>0</v>
      </c>
      <c r="Q60" s="22">
        <f t="shared" ca="1" si="21"/>
        <v>0.18236776207808753</v>
      </c>
      <c r="S60" s="45">
        <f t="shared" ca="1" si="25"/>
        <v>1.3040080405106777E-2</v>
      </c>
      <c r="T60" s="45">
        <f t="shared" ca="1" si="25"/>
        <v>0</v>
      </c>
      <c r="U60" s="45">
        <f t="shared" ca="1" si="25"/>
        <v>7.9656926957907201E-3</v>
      </c>
      <c r="V60" s="45">
        <f t="shared" ca="1" si="25"/>
        <v>1.1677279860763867E-3</v>
      </c>
      <c r="W60" s="45">
        <f t="shared" ca="1" si="25"/>
        <v>1.1892418393851382E-4</v>
      </c>
      <c r="X60" s="45">
        <f t="shared" ca="1" si="25"/>
        <v>1.7433649917185692E-5</v>
      </c>
      <c r="Y60" s="45">
        <f t="shared" ca="1" si="25"/>
        <v>3.6703527990058024E-5</v>
      </c>
      <c r="Z60" s="45">
        <f t="shared" ca="1" si="25"/>
        <v>5.3805410851936269E-6</v>
      </c>
      <c r="AA60" s="45">
        <f t="shared" ca="1" si="25"/>
        <v>0.16005280169917543</v>
      </c>
      <c r="AB60" s="45">
        <v>0</v>
      </c>
      <c r="AC60" s="22">
        <f t="shared" ca="1" si="22"/>
        <v>0.18240474468908027</v>
      </c>
    </row>
    <row r="61" spans="1:29" ht="12" customHeight="1" x14ac:dyDescent="0.25">
      <c r="A61" s="262"/>
      <c r="C61" s="263"/>
      <c r="D61" s="62">
        <f t="shared" si="23"/>
        <v>50</v>
      </c>
      <c r="E61" s="43">
        <f t="shared" si="20"/>
        <v>67.5</v>
      </c>
      <c r="F61" s="44" cm="1">
        <f t="array" ref="F61">_fnGENPOP.U(E61)</f>
        <v>0.80410000000000004</v>
      </c>
      <c r="G61" s="45">
        <f t="shared" ref="G61:O70" ca="1" si="26">PRODUCT(AVERAGE(OFFSET(AB.Trace.MarkovQB.Root, $D61, (G$2-1)*AB.Trace.MarkovQB.NumCols+G$3-1, CHOOSE(swtchHalfCycle, 2, 1))), $F61+G$6, AB.cycleLength)</f>
        <v>1.3318835048368657E-4</v>
      </c>
      <c r="H61" s="45">
        <f t="shared" ca="1" si="26"/>
        <v>0</v>
      </c>
      <c r="I61" s="45">
        <f t="shared" ca="1" si="26"/>
        <v>7.939932540057917E-3</v>
      </c>
      <c r="J61" s="45">
        <f t="shared" ca="1" si="26"/>
        <v>1.1639516848880377E-3</v>
      </c>
      <c r="K61" s="45">
        <f t="shared" ca="1" si="26"/>
        <v>1.1853959648132116E-4</v>
      </c>
      <c r="L61" s="45">
        <f t="shared" ca="1" si="26"/>
        <v>1.7377271450895148E-5</v>
      </c>
      <c r="M61" s="45">
        <f t="shared" ca="1" si="26"/>
        <v>3.6584832901874837E-5</v>
      </c>
      <c r="N61" s="45">
        <f t="shared" ca="1" si="26"/>
        <v>5.3631410194794793E-6</v>
      </c>
      <c r="O61" s="45">
        <f t="shared" ca="1" si="26"/>
        <v>0.17239993080918378</v>
      </c>
      <c r="P61" s="45">
        <v>0</v>
      </c>
      <c r="Q61" s="22">
        <f t="shared" ca="1" si="21"/>
        <v>0.181814868226467</v>
      </c>
      <c r="S61" s="45">
        <f t="shared" ref="S61:AA70" ca="1" si="27">PRODUCT(AVERAGE(OFFSET(AB.Trace.MarkovQB.Root, $D61, (S$2-1)*AB.Trace.MarkovQB.NumCols+S$3-1, CHOOSE(swtchHalfCycle, 2, 1))), $F61+S$6, AB.cycleLength)</f>
        <v>1.2323684232911671E-2</v>
      </c>
      <c r="T61" s="45">
        <f t="shared" ca="1" si="27"/>
        <v>0</v>
      </c>
      <c r="U61" s="45">
        <f t="shared" ca="1" si="27"/>
        <v>7.9415426899717128E-3</v>
      </c>
      <c r="V61" s="45">
        <f t="shared" ca="1" si="27"/>
        <v>1.1641877242618863E-3</v>
      </c>
      <c r="W61" s="45">
        <f t="shared" ca="1" si="27"/>
        <v>1.1856363529022698E-4</v>
      </c>
      <c r="X61" s="45">
        <f t="shared" ca="1" si="27"/>
        <v>1.7380795411834179E-5</v>
      </c>
      <c r="Y61" s="45">
        <f t="shared" ca="1" si="27"/>
        <v>3.6592251990796046E-5</v>
      </c>
      <c r="Z61" s="45">
        <f t="shared" ca="1" si="27"/>
        <v>5.3642286182729145E-6</v>
      </c>
      <c r="AA61" s="45">
        <f t="shared" ca="1" si="27"/>
        <v>0.1602444231568943</v>
      </c>
      <c r="AB61" s="45">
        <v>0</v>
      </c>
      <c r="AC61" s="22">
        <f t="shared" ca="1" si="22"/>
        <v>0.18185173871535071</v>
      </c>
    </row>
    <row r="62" spans="1:29" ht="12" customHeight="1" x14ac:dyDescent="0.25">
      <c r="A62" s="262"/>
      <c r="C62" s="263"/>
      <c r="D62" s="62">
        <f t="shared" si="23"/>
        <v>51</v>
      </c>
      <c r="E62" s="43">
        <f t="shared" si="20"/>
        <v>67.75</v>
      </c>
      <c r="F62" s="44" cm="1">
        <f t="array" ref="F62">_fnGENPOP.U(E62)</f>
        <v>0.80410000000000004</v>
      </c>
      <c r="G62" s="45">
        <f t="shared" ca="1" si="26"/>
        <v>1.2587124648560642E-4</v>
      </c>
      <c r="H62" s="45">
        <f t="shared" ca="1" si="26"/>
        <v>0</v>
      </c>
      <c r="I62" s="45">
        <f t="shared" ca="1" si="26"/>
        <v>7.9158606326457243E-3</v>
      </c>
      <c r="J62" s="45">
        <f t="shared" ca="1" si="26"/>
        <v>1.1604228718850114E-3</v>
      </c>
      <c r="K62" s="45">
        <f t="shared" ca="1" si="26"/>
        <v>1.1818021380687388E-4</v>
      </c>
      <c r="L62" s="45">
        <f t="shared" ca="1" si="26"/>
        <v>1.7324587871113285E-5</v>
      </c>
      <c r="M62" s="45">
        <f t="shared" ca="1" si="26"/>
        <v>3.6473916756698347E-5</v>
      </c>
      <c r="N62" s="45">
        <f t="shared" ca="1" si="26"/>
        <v>5.34688130525567E-6</v>
      </c>
      <c r="O62" s="45">
        <f t="shared" ca="1" si="26"/>
        <v>0.17188417026120442</v>
      </c>
      <c r="P62" s="45">
        <v>0</v>
      </c>
      <c r="Q62" s="22">
        <f t="shared" ca="1" si="21"/>
        <v>0.1812636506119607</v>
      </c>
      <c r="S62" s="45">
        <f t="shared" ca="1" si="27"/>
        <v>1.1646645446529522E-2</v>
      </c>
      <c r="T62" s="45">
        <f t="shared" ca="1" si="27"/>
        <v>0</v>
      </c>
      <c r="U62" s="45">
        <f t="shared" ca="1" si="27"/>
        <v>7.9174659009843967E-3</v>
      </c>
      <c r="V62" s="45">
        <f t="shared" ca="1" si="27"/>
        <v>1.1606581956459759E-3</v>
      </c>
      <c r="W62" s="45">
        <f t="shared" ca="1" si="27"/>
        <v>1.1820417973607419E-4</v>
      </c>
      <c r="X62" s="45">
        <f t="shared" ca="1" si="27"/>
        <v>1.7328101148276089E-5</v>
      </c>
      <c r="Y62" s="45">
        <f t="shared" ca="1" si="27"/>
        <v>3.6481313352782353E-5</v>
      </c>
      <c r="Z62" s="45">
        <f t="shared" ca="1" si="27"/>
        <v>5.3479656067191007E-6</v>
      </c>
      <c r="AA62" s="45">
        <f t="shared" ca="1" si="27"/>
        <v>0.16039827821565733</v>
      </c>
      <c r="AB62" s="45">
        <v>0</v>
      </c>
      <c r="AC62" s="22">
        <f t="shared" ca="1" si="22"/>
        <v>0.18130040931866109</v>
      </c>
    </row>
    <row r="63" spans="1:29" ht="12" customHeight="1" x14ac:dyDescent="0.25">
      <c r="A63" s="262"/>
      <c r="C63" s="263"/>
      <c r="D63" s="62">
        <f t="shared" si="23"/>
        <v>52</v>
      </c>
      <c r="E63" s="43">
        <f t="shared" si="20"/>
        <v>68</v>
      </c>
      <c r="F63" s="44" cm="1">
        <f t="array" ref="F63">_fnGENPOP.U(E63)</f>
        <v>0.80410000000000004</v>
      </c>
      <c r="G63" s="45">
        <f t="shared" ca="1" si="26"/>
        <v>1.1895612967878051E-4</v>
      </c>
      <c r="H63" s="45">
        <f t="shared" ca="1" si="26"/>
        <v>0</v>
      </c>
      <c r="I63" s="45">
        <f t="shared" ca="1" si="26"/>
        <v>7.8918617052903747E-3</v>
      </c>
      <c r="J63" s="45">
        <f t="shared" ca="1" si="26"/>
        <v>1.1569047573682849E-3</v>
      </c>
      <c r="K63" s="45">
        <f t="shared" ca="1" si="26"/>
        <v>1.1782192069161942E-4</v>
      </c>
      <c r="L63" s="45">
        <f t="shared" ca="1" si="26"/>
        <v>1.7272064014886064E-5</v>
      </c>
      <c r="M63" s="45">
        <f t="shared" ca="1" si="26"/>
        <v>3.6363336881782531E-5</v>
      </c>
      <c r="N63" s="45">
        <f t="shared" ca="1" si="26"/>
        <v>5.3306708864549127E-6</v>
      </c>
      <c r="O63" s="45">
        <f t="shared" ca="1" si="26"/>
        <v>0.17136959356782064</v>
      </c>
      <c r="P63" s="45">
        <v>0</v>
      </c>
      <c r="Q63" s="22">
        <f t="shared" ca="1" si="21"/>
        <v>0.18071410415263281</v>
      </c>
      <c r="S63" s="45">
        <f t="shared" ca="1" si="27"/>
        <v>1.1006801829189573E-2</v>
      </c>
      <c r="T63" s="45">
        <f t="shared" ca="1" si="27"/>
        <v>0</v>
      </c>
      <c r="U63" s="45">
        <f t="shared" ca="1" si="27"/>
        <v>7.8934621068533217E-3</v>
      </c>
      <c r="V63" s="45">
        <f t="shared" ca="1" si="27"/>
        <v>1.157139367685981E-3</v>
      </c>
      <c r="W63" s="45">
        <f t="shared" ca="1" si="27"/>
        <v>1.1784581396206253E-4</v>
      </c>
      <c r="X63" s="45">
        <f t="shared" ca="1" si="27"/>
        <v>1.7275566640664017E-5</v>
      </c>
      <c r="Y63" s="45">
        <f t="shared" ca="1" si="27"/>
        <v>3.6370711053220494E-5</v>
      </c>
      <c r="Z63" s="45">
        <f t="shared" ca="1" si="27"/>
        <v>5.3317519005852802E-6</v>
      </c>
      <c r="AA63" s="45">
        <f t="shared" ca="1" si="27"/>
        <v>0.16051652426876034</v>
      </c>
      <c r="AB63" s="45">
        <v>0</v>
      </c>
      <c r="AC63" s="22">
        <f t="shared" ca="1" si="22"/>
        <v>0.18075075141604574</v>
      </c>
    </row>
    <row r="64" spans="1:29" ht="12" customHeight="1" x14ac:dyDescent="0.25">
      <c r="A64" s="262"/>
      <c r="C64" s="263"/>
      <c r="D64" s="62">
        <f t="shared" si="23"/>
        <v>53</v>
      </c>
      <c r="E64" s="43">
        <f t="shared" si="20"/>
        <v>68.25</v>
      </c>
      <c r="F64" s="44" cm="1">
        <f t="array" ref="F64">_fnGENPOP.U(E64)</f>
        <v>0.80410000000000004</v>
      </c>
      <c r="G64" s="45">
        <f t="shared" ca="1" si="26"/>
        <v>1.1242091568365441E-4</v>
      </c>
      <c r="H64" s="45">
        <f t="shared" ca="1" si="26"/>
        <v>0</v>
      </c>
      <c r="I64" s="45">
        <f t="shared" ca="1" si="26"/>
        <v>7.8679355367342087E-3</v>
      </c>
      <c r="J64" s="45">
        <f t="shared" ca="1" si="26"/>
        <v>1.1533973089027782E-3</v>
      </c>
      <c r="K64" s="45">
        <f t="shared" ca="1" si="26"/>
        <v>1.1746471383228111E-4</v>
      </c>
      <c r="L64" s="45">
        <f t="shared" ca="1" si="26"/>
        <v>1.7219699397972431E-5</v>
      </c>
      <c r="M64" s="45">
        <f t="shared" ca="1" si="26"/>
        <v>3.6253092257638276E-5</v>
      </c>
      <c r="N64" s="45">
        <f t="shared" ca="1" si="26"/>
        <v>5.3145096136260663E-6</v>
      </c>
      <c r="O64" s="45">
        <f t="shared" ca="1" si="26"/>
        <v>0.17085621800553283</v>
      </c>
      <c r="P64" s="45">
        <v>0</v>
      </c>
      <c r="Q64" s="22">
        <f t="shared" ca="1" si="21"/>
        <v>0.18016622378195499</v>
      </c>
      <c r="S64" s="45">
        <f t="shared" ca="1" si="27"/>
        <v>1.0402109952024959E-2</v>
      </c>
      <c r="T64" s="45">
        <f t="shared" ca="1" si="27"/>
        <v>0</v>
      </c>
      <c r="U64" s="45">
        <f t="shared" ca="1" si="27"/>
        <v>7.8695310862763029E-3</v>
      </c>
      <c r="V64" s="45">
        <f t="shared" ca="1" si="27"/>
        <v>1.1536312079401406E-3</v>
      </c>
      <c r="W64" s="45">
        <f t="shared" ca="1" si="27"/>
        <v>1.174885346642506E-4</v>
      </c>
      <c r="X64" s="45">
        <f t="shared" ca="1" si="27"/>
        <v>1.722319140465718E-5</v>
      </c>
      <c r="Y64" s="45">
        <f t="shared" ca="1" si="27"/>
        <v>3.6260444072416258E-5</v>
      </c>
      <c r="Z64" s="45">
        <f t="shared" ca="1" si="27"/>
        <v>5.3155873503895272E-6</v>
      </c>
      <c r="AA64" s="45">
        <f t="shared" ca="1" si="27"/>
        <v>0.1606011999362158</v>
      </c>
      <c r="AB64" s="45">
        <v>0</v>
      </c>
      <c r="AC64" s="22">
        <f t="shared" ca="1" si="22"/>
        <v>0.18020275993994891</v>
      </c>
    </row>
    <row r="65" spans="1:29" ht="12" customHeight="1" x14ac:dyDescent="0.25">
      <c r="A65" s="262"/>
      <c r="C65" s="263"/>
      <c r="D65" s="62">
        <f t="shared" si="23"/>
        <v>54</v>
      </c>
      <c r="E65" s="43">
        <f t="shared" si="20"/>
        <v>68.5</v>
      </c>
      <c r="F65" s="44" cm="1">
        <f t="array" ref="F65">_fnGENPOP.U(E65)</f>
        <v>0.80410000000000004</v>
      </c>
      <c r="G65" s="45">
        <f t="shared" ca="1" si="26"/>
        <v>1.062447333927156E-4</v>
      </c>
      <c r="H65" s="45">
        <f t="shared" ca="1" si="26"/>
        <v>0</v>
      </c>
      <c r="I65" s="45">
        <f t="shared" ca="1" si="26"/>
        <v>7.8440819063905886E-3</v>
      </c>
      <c r="J65" s="45">
        <f t="shared" ca="1" si="26"/>
        <v>1.1499004941516356E-3</v>
      </c>
      <c r="K65" s="45">
        <f t="shared" ca="1" si="26"/>
        <v>1.1710858993560043E-4</v>
      </c>
      <c r="L65" s="45">
        <f t="shared" ca="1" si="26"/>
        <v>1.7167493537597787E-5</v>
      </c>
      <c r="M65" s="45">
        <f t="shared" ca="1" si="26"/>
        <v>3.6143181867868383E-5</v>
      </c>
      <c r="N65" s="45">
        <f t="shared" ca="1" si="26"/>
        <v>5.2983973377705822E-6</v>
      </c>
      <c r="O65" s="45">
        <f t="shared" ca="1" si="26"/>
        <v>0.17034405965214569</v>
      </c>
      <c r="P65" s="45">
        <v>0</v>
      </c>
      <c r="Q65" s="22">
        <f t="shared" ca="1" si="21"/>
        <v>0.17962000444875947</v>
      </c>
      <c r="S65" s="45">
        <f t="shared" ca="1" si="27"/>
        <v>9.8306386481007181E-3</v>
      </c>
      <c r="T65" s="45">
        <f t="shared" ca="1" si="27"/>
        <v>0</v>
      </c>
      <c r="U65" s="45">
        <f t="shared" ca="1" si="27"/>
        <v>7.8456726186219589E-3</v>
      </c>
      <c r="V65" s="45">
        <f t="shared" ca="1" si="27"/>
        <v>1.1501336840650926E-3</v>
      </c>
      <c r="W65" s="45">
        <f t="shared" ca="1" si="27"/>
        <v>1.171323385487118E-4</v>
      </c>
      <c r="X65" s="45">
        <f t="shared" ca="1" si="27"/>
        <v>1.7170974957383818E-5</v>
      </c>
      <c r="Y65" s="45">
        <f t="shared" ca="1" si="27"/>
        <v>3.6150511393766233E-5</v>
      </c>
      <c r="Z65" s="45">
        <f t="shared" ca="1" si="27"/>
        <v>5.2994718071033106E-6</v>
      </c>
      <c r="AA65" s="45">
        <f t="shared" ca="1" si="27"/>
        <v>0.16065423159068373</v>
      </c>
      <c r="AB65" s="45">
        <v>0</v>
      </c>
      <c r="AC65" s="22">
        <f t="shared" ca="1" si="22"/>
        <v>0.17965642983817848</v>
      </c>
    </row>
    <row r="66" spans="1:29" ht="12" customHeight="1" x14ac:dyDescent="0.25">
      <c r="A66" s="262"/>
      <c r="C66" s="263"/>
      <c r="D66" s="62">
        <f t="shared" si="23"/>
        <v>55</v>
      </c>
      <c r="E66" s="43">
        <f t="shared" si="20"/>
        <v>68.75</v>
      </c>
      <c r="F66" s="44" cm="1">
        <f t="array" ref="F66">_fnGENPOP.U(E66)</f>
        <v>0.80410000000000004</v>
      </c>
      <c r="G66" s="45">
        <f t="shared" ca="1" si="26"/>
        <v>1.0040785831573189E-4</v>
      </c>
      <c r="H66" s="45">
        <f t="shared" ca="1" si="26"/>
        <v>0</v>
      </c>
      <c r="I66" s="45">
        <f t="shared" ca="1" si="26"/>
        <v>7.8203005943416407E-3</v>
      </c>
      <c r="J66" s="45">
        <f t="shared" ca="1" si="26"/>
        <v>1.1464142808760723E-3</v>
      </c>
      <c r="K66" s="45">
        <f t="shared" ca="1" si="26"/>
        <v>1.1675354571830302E-4</v>
      </c>
      <c r="L66" s="45">
        <f t="shared" ca="1" si="26"/>
        <v>1.7115445952451671E-5</v>
      </c>
      <c r="M66" s="45">
        <f t="shared" ca="1" si="26"/>
        <v>3.6033604699157093E-5</v>
      </c>
      <c r="N66" s="45">
        <f t="shared" ca="1" si="26"/>
        <v>5.2823339103417835E-6</v>
      </c>
      <c r="O66" s="45">
        <f t="shared" ca="1" si="26"/>
        <v>0.16983313345337858</v>
      </c>
      <c r="P66" s="45">
        <v>0</v>
      </c>
      <c r="Q66" s="22">
        <f t="shared" ca="1" si="21"/>
        <v>0.17907544111719229</v>
      </c>
      <c r="S66" s="45">
        <f t="shared" ca="1" si="27"/>
        <v>9.2905628449657471E-3</v>
      </c>
      <c r="T66" s="45">
        <f t="shared" ca="1" si="27"/>
        <v>0</v>
      </c>
      <c r="U66" s="45">
        <f t="shared" ca="1" si="27"/>
        <v>7.8218864839278059E-3</v>
      </c>
      <c r="V66" s="45">
        <f t="shared" ca="1" si="27"/>
        <v>1.1466467638155122E-3</v>
      </c>
      <c r="W66" s="45">
        <f t="shared" ca="1" si="27"/>
        <v>1.1677722233150593E-4</v>
      </c>
      <c r="X66" s="45">
        <f t="shared" ca="1" si="27"/>
        <v>1.7118916817435841E-5</v>
      </c>
      <c r="Y66" s="45">
        <f t="shared" ca="1" si="27"/>
        <v>3.6040912003749166E-5</v>
      </c>
      <c r="Z66" s="45">
        <f t="shared" ca="1" si="27"/>
        <v>5.2834051221498222E-6</v>
      </c>
      <c r="AA66" s="45">
        <f t="shared" ca="1" si="27"/>
        <v>0.16067743952487529</v>
      </c>
      <c r="AB66" s="45">
        <v>0</v>
      </c>
      <c r="AC66" s="22">
        <f t="shared" ca="1" si="22"/>
        <v>0.17911175607385918</v>
      </c>
    </row>
    <row r="67" spans="1:29" ht="12" customHeight="1" x14ac:dyDescent="0.25">
      <c r="A67" s="262"/>
      <c r="C67" s="263"/>
      <c r="D67" s="62">
        <f t="shared" si="23"/>
        <v>56</v>
      </c>
      <c r="E67" s="43">
        <f t="shared" si="20"/>
        <v>69</v>
      </c>
      <c r="F67" s="44" cm="1">
        <f t="array" ref="F67">_fnGENPOP.U(E67)</f>
        <v>0.80410000000000004</v>
      </c>
      <c r="G67" s="45">
        <f t="shared" ca="1" si="26"/>
        <v>9.489164958687093E-5</v>
      </c>
      <c r="H67" s="45">
        <f t="shared" ca="1" si="26"/>
        <v>0</v>
      </c>
      <c r="I67" s="45">
        <f t="shared" ca="1" si="26"/>
        <v>7.796591381336212E-3</v>
      </c>
      <c r="J67" s="45">
        <f t="shared" ca="1" si="26"/>
        <v>1.1429386369350427E-3</v>
      </c>
      <c r="K67" s="45">
        <f t="shared" ca="1" si="26"/>
        <v>1.1639957790706862E-4</v>
      </c>
      <c r="L67" s="45">
        <f t="shared" ca="1" si="26"/>
        <v>1.7063556162682828E-5</v>
      </c>
      <c r="M67" s="45">
        <f t="shared" ca="1" si="26"/>
        <v>3.5924359741260737E-5</v>
      </c>
      <c r="N67" s="45">
        <f t="shared" ca="1" si="26"/>
        <v>5.2663191832433514E-6</v>
      </c>
      <c r="O67" s="45">
        <f t="shared" ca="1" si="26"/>
        <v>0.16932345328581458</v>
      </c>
      <c r="P67" s="45">
        <v>0</v>
      </c>
      <c r="Q67" s="22">
        <f t="shared" ca="1" si="21"/>
        <v>0.17853252876666695</v>
      </c>
      <c r="S67" s="45">
        <f t="shared" ca="1" si="27"/>
        <v>8.7801577360321365E-3</v>
      </c>
      <c r="T67" s="45">
        <f t="shared" ca="1" si="27"/>
        <v>0</v>
      </c>
      <c r="U67" s="45">
        <f t="shared" ca="1" si="27"/>
        <v>7.7981724628982422E-3</v>
      </c>
      <c r="V67" s="45">
        <f t="shared" ca="1" si="27"/>
        <v>1.143170415043835E-3</v>
      </c>
      <c r="W67" s="45">
        <f t="shared" ca="1" si="27"/>
        <v>1.1642318273864894E-4</v>
      </c>
      <c r="X67" s="45">
        <f t="shared" ca="1" si="27"/>
        <v>1.7067016504864676E-5</v>
      </c>
      <c r="Y67" s="45">
        <f t="shared" ca="1" si="27"/>
        <v>3.5931644891916526E-5</v>
      </c>
      <c r="Z67" s="45">
        <f t="shared" ca="1" si="27"/>
        <v>5.2673871474027055E-6</v>
      </c>
      <c r="AA67" s="45">
        <f t="shared" ca="1" si="27"/>
        <v>0.16067254378012955</v>
      </c>
      <c r="AB67" s="45">
        <v>0</v>
      </c>
      <c r="AC67" s="22">
        <f t="shared" ca="1" si="22"/>
        <v>0.17856873362538658</v>
      </c>
    </row>
    <row r="68" spans="1:29" ht="12" customHeight="1" x14ac:dyDescent="0.25">
      <c r="A68" s="262"/>
      <c r="C68" s="263"/>
      <c r="D68" s="62">
        <f t="shared" si="23"/>
        <v>57</v>
      </c>
      <c r="E68" s="43">
        <f t="shared" si="20"/>
        <v>69.25</v>
      </c>
      <c r="F68" s="44" cm="1">
        <f t="array" ref="F68">_fnGENPOP.U(E68)</f>
        <v>0.80410000000000004</v>
      </c>
      <c r="G68" s="45">
        <f t="shared" ca="1" si="26"/>
        <v>8.9678490432523129E-5</v>
      </c>
      <c r="H68" s="45">
        <f t="shared" ca="1" si="26"/>
        <v>0</v>
      </c>
      <c r="I68" s="45">
        <f t="shared" ca="1" si="26"/>
        <v>7.7729540487878768E-3</v>
      </c>
      <c r="J68" s="45">
        <f t="shared" ca="1" si="26"/>
        <v>1.1394735302849438E-3</v>
      </c>
      <c r="K68" s="45">
        <f t="shared" ca="1" si="26"/>
        <v>1.1604668323850086E-4</v>
      </c>
      <c r="L68" s="45">
        <f t="shared" ca="1" si="26"/>
        <v>1.7011823689894778E-5</v>
      </c>
      <c r="M68" s="45">
        <f t="shared" ca="1" si="26"/>
        <v>3.581544598699848E-5</v>
      </c>
      <c r="N68" s="45">
        <f t="shared" ca="1" si="26"/>
        <v>5.2503530088279548E-6</v>
      </c>
      <c r="O68" s="45">
        <f t="shared" ca="1" si="26"/>
        <v>0.1688150320163887</v>
      </c>
      <c r="P68" s="45">
        <v>0</v>
      </c>
      <c r="Q68" s="22">
        <f t="shared" ca="1" si="21"/>
        <v>0.17799126239181826</v>
      </c>
      <c r="S68" s="45">
        <f t="shared" ca="1" si="27"/>
        <v>8.2977932721673784E-3</v>
      </c>
      <c r="T68" s="45">
        <f t="shared" ca="1" si="27"/>
        <v>0</v>
      </c>
      <c r="U68" s="45">
        <f t="shared" ca="1" si="27"/>
        <v>7.7745303369025119E-3</v>
      </c>
      <c r="V68" s="45">
        <f t="shared" ca="1" si="27"/>
        <v>1.1397046056999603E-3</v>
      </c>
      <c r="W68" s="45">
        <f t="shared" ca="1" si="27"/>
        <v>1.1607021650608269E-4</v>
      </c>
      <c r="X68" s="45">
        <f t="shared" ca="1" si="27"/>
        <v>1.701527354117684E-5</v>
      </c>
      <c r="Y68" s="45">
        <f t="shared" ca="1" si="27"/>
        <v>3.5822709050883231E-5</v>
      </c>
      <c r="Z68" s="45">
        <f t="shared" ca="1" si="27"/>
        <v>5.2514177351846903E-6</v>
      </c>
      <c r="AA68" s="45">
        <f t="shared" ca="1" si="27"/>
        <v>0.16064116965477707</v>
      </c>
      <c r="AB68" s="45">
        <v>0</v>
      </c>
      <c r="AC68" s="22">
        <f t="shared" ca="1" si="22"/>
        <v>0.17802735748638024</v>
      </c>
    </row>
    <row r="69" spans="1:29" ht="12" customHeight="1" x14ac:dyDescent="0.25">
      <c r="A69" s="262"/>
      <c r="C69" s="263"/>
      <c r="D69" s="62">
        <f t="shared" si="23"/>
        <v>58</v>
      </c>
      <c r="E69" s="43">
        <f t="shared" si="20"/>
        <v>69.5</v>
      </c>
      <c r="F69" s="44" cm="1">
        <f t="array" ref="F69">_fnGENPOP.U(E69)</f>
        <v>0.80410000000000004</v>
      </c>
      <c r="G69" s="45">
        <f t="shared" ca="1" si="26"/>
        <v>8.4751731909704869E-5</v>
      </c>
      <c r="H69" s="45">
        <f t="shared" ca="1" si="26"/>
        <v>0</v>
      </c>
      <c r="I69" s="45">
        <f t="shared" ca="1" si="26"/>
        <v>7.74938837877291E-3</v>
      </c>
      <c r="J69" s="45">
        <f t="shared" ca="1" si="26"/>
        <v>1.1360189289793211E-3</v>
      </c>
      <c r="K69" s="45">
        <f t="shared" ca="1" si="26"/>
        <v>1.1569485845909714E-4</v>
      </c>
      <c r="L69" s="45">
        <f t="shared" ca="1" si="26"/>
        <v>1.6960248057141438E-5</v>
      </c>
      <c r="M69" s="45">
        <f t="shared" ca="1" si="26"/>
        <v>3.5706862432242978E-5</v>
      </c>
      <c r="N69" s="45">
        <f t="shared" ca="1" si="26"/>
        <v>5.234435239895893E-6</v>
      </c>
      <c r="O69" s="45">
        <f t="shared" ca="1" si="26"/>
        <v>0.16830788155860554</v>
      </c>
      <c r="P69" s="45">
        <v>0</v>
      </c>
      <c r="Q69" s="22">
        <f t="shared" ca="1" si="21"/>
        <v>0.17745163700245586</v>
      </c>
      <c r="S69" s="45">
        <f t="shared" ca="1" si="27"/>
        <v>7.8419289559075612E-3</v>
      </c>
      <c r="T69" s="45">
        <f t="shared" ca="1" si="27"/>
        <v>0</v>
      </c>
      <c r="U69" s="45">
        <f t="shared" ca="1" si="27"/>
        <v>7.750959887972691E-3</v>
      </c>
      <c r="V69" s="45">
        <f t="shared" ca="1" si="27"/>
        <v>1.1362493038309556E-3</v>
      </c>
      <c r="W69" s="45">
        <f t="shared" ca="1" si="27"/>
        <v>1.1571832037964483E-4</v>
      </c>
      <c r="X69" s="45">
        <f t="shared" ca="1" si="27"/>
        <v>1.6963687449329521E-5</v>
      </c>
      <c r="Y69" s="45">
        <f t="shared" ca="1" si="27"/>
        <v>3.5714103476318318E-5</v>
      </c>
      <c r="Z69" s="45">
        <f t="shared" ca="1" si="27"/>
        <v>5.2354967382662275E-6</v>
      </c>
      <c r="AA69" s="45">
        <f t="shared" ca="1" si="27"/>
        <v>0.16058485290988317</v>
      </c>
      <c r="AB69" s="45">
        <v>0</v>
      </c>
      <c r="AC69" s="22">
        <f t="shared" ca="1" si="22"/>
        <v>0.17748762266563795</v>
      </c>
    </row>
    <row r="70" spans="1:29" ht="12" customHeight="1" x14ac:dyDescent="0.25">
      <c r="A70" s="262"/>
      <c r="C70" s="263"/>
      <c r="D70" s="62">
        <f t="shared" si="23"/>
        <v>59</v>
      </c>
      <c r="E70" s="43">
        <f t="shared" si="20"/>
        <v>69.75</v>
      </c>
      <c r="F70" s="44" cm="1">
        <f t="array" ref="F70">_fnGENPOP.U(E70)</f>
        <v>0.80410000000000004</v>
      </c>
      <c r="G70" s="45">
        <f t="shared" ca="1" si="26"/>
        <v>8.0095639735362068E-5</v>
      </c>
      <c r="H70" s="45">
        <f t="shared" ca="1" si="26"/>
        <v>0</v>
      </c>
      <c r="I70" s="45">
        <f t="shared" ca="1" si="26"/>
        <v>7.7258941540282681E-3</v>
      </c>
      <c r="J70" s="45">
        <f t="shared" ca="1" si="26"/>
        <v>1.1325748011685747E-3</v>
      </c>
      <c r="K70" s="45">
        <f t="shared" ca="1" si="26"/>
        <v>1.1534410032521873E-4</v>
      </c>
      <c r="L70" s="45">
        <f t="shared" ca="1" si="26"/>
        <v>1.6908828788922695E-5</v>
      </c>
      <c r="M70" s="45">
        <f t="shared" ca="1" si="26"/>
        <v>3.5598608075911184E-5</v>
      </c>
      <c r="N70" s="45">
        <f t="shared" ca="1" si="26"/>
        <v>5.2185657296937403E-6</v>
      </c>
      <c r="O70" s="45">
        <f t="shared" ca="1" si="26"/>
        <v>0.1678020129256666</v>
      </c>
      <c r="P70" s="45">
        <v>0</v>
      </c>
      <c r="Q70" s="22">
        <f t="shared" ca="1" si="21"/>
        <v>0.17691364762351855</v>
      </c>
      <c r="S70" s="45">
        <f t="shared" ca="1" si="27"/>
        <v>7.4111089216662047E-3</v>
      </c>
      <c r="T70" s="45">
        <f t="shared" ca="1" si="27"/>
        <v>0</v>
      </c>
      <c r="U70" s="45">
        <f t="shared" ca="1" si="27"/>
        <v>7.7274608988016826E-3</v>
      </c>
      <c r="V70" s="45">
        <f t="shared" ca="1" si="27"/>
        <v>1.1328044775807615E-3</v>
      </c>
      <c r="W70" s="45">
        <f t="shared" ca="1" si="27"/>
        <v>1.1536749111503874E-4</v>
      </c>
      <c r="X70" s="45">
        <f t="shared" ca="1" si="27"/>
        <v>1.6912257753726179E-5</v>
      </c>
      <c r="Y70" s="45">
        <f t="shared" ca="1" si="27"/>
        <v>3.5605827166935711E-5</v>
      </c>
      <c r="Z70" s="45">
        <f t="shared" ca="1" si="27"/>
        <v>5.2196240098641271E-6</v>
      </c>
      <c r="AA70" s="45">
        <f t="shared" ca="1" si="27"/>
        <v>0.16050504468899529</v>
      </c>
      <c r="AB70" s="45">
        <v>0</v>
      </c>
      <c r="AC70" s="22">
        <f t="shared" ca="1" si="22"/>
        <v>0.17694952418708951</v>
      </c>
    </row>
    <row r="71" spans="1:29" ht="12" customHeight="1" x14ac:dyDescent="0.25">
      <c r="A71" s="262"/>
      <c r="C71" s="263"/>
      <c r="D71" s="62">
        <f t="shared" si="23"/>
        <v>60</v>
      </c>
      <c r="E71" s="43">
        <f t="shared" si="20"/>
        <v>70</v>
      </c>
      <c r="F71" s="44" cm="1">
        <f t="array" ref="F71">_fnGENPOP.U(E71)</f>
        <v>0.77900000000000003</v>
      </c>
      <c r="G71" s="45">
        <f t="shared" ref="G71:O80" ca="1" si="28">PRODUCT(AVERAGE(OFFSET(AB.Trace.MarkovQB.Root, $D71, (G$2-1)*AB.Trace.MarkovQB.NumCols+G$3-1, CHOOSE(swtchHalfCycle, 2, 1))), $F71+G$6, AB.cycleLength)</f>
        <v>7.3268665195568337E-5</v>
      </c>
      <c r="H71" s="45">
        <f t="shared" ca="1" si="28"/>
        <v>0</v>
      </c>
      <c r="I71" s="45">
        <f t="shared" ca="1" si="28"/>
        <v>7.4359567552097572E-3</v>
      </c>
      <c r="J71" s="45">
        <f t="shared" ca="1" si="28"/>
        <v>1.0900715277258502E-3</v>
      </c>
      <c r="K71" s="45">
        <f t="shared" ca="1" si="28"/>
        <v>1.1088336788672858E-4</v>
      </c>
      <c r="L71" s="45">
        <f t="shared" ca="1" si="28"/>
        <v>1.6254909248495774E-5</v>
      </c>
      <c r="M71" s="45">
        <f t="shared" ca="1" si="28"/>
        <v>3.3914295234074934E-5</v>
      </c>
      <c r="N71" s="45">
        <f t="shared" ca="1" si="28"/>
        <v>4.9716544668784519E-6</v>
      </c>
      <c r="O71" s="45">
        <f t="shared" ca="1" si="28"/>
        <v>0.1619278305348141</v>
      </c>
      <c r="P71" s="45">
        <v>0</v>
      </c>
      <c r="Q71" s="22">
        <f t="shared" ca="1" si="21"/>
        <v>0.17069315170978144</v>
      </c>
      <c r="S71" s="45">
        <f t="shared" ref="S71:AA80" ca="1" si="29">PRODUCT(AVERAGE(OFFSET(AB.Trace.MarkovQB.Root, $D71, (S$2-1)*AB.Trace.MarkovQB.NumCols+S$3-1, CHOOSE(swtchHalfCycle, 2, 1))), $F71+S$6, AB.cycleLength)</f>
        <v>6.779420953544322E-3</v>
      </c>
      <c r="T71" s="45">
        <f t="shared" ca="1" si="29"/>
        <v>0</v>
      </c>
      <c r="U71" s="45">
        <f t="shared" ca="1" si="29"/>
        <v>7.437464703176592E-3</v>
      </c>
      <c r="V71" s="45">
        <f t="shared" ca="1" si="29"/>
        <v>1.0902925848403618E-3</v>
      </c>
      <c r="W71" s="45">
        <f t="shared" ca="1" si="29"/>
        <v>1.1090585407844067E-4</v>
      </c>
      <c r="X71" s="45">
        <f t="shared" ca="1" si="29"/>
        <v>1.6258205604050183E-5</v>
      </c>
      <c r="Y71" s="45">
        <f t="shared" ca="1" si="29"/>
        <v>3.3921172760966017E-5</v>
      </c>
      <c r="Z71" s="45">
        <f t="shared" ca="1" si="29"/>
        <v>4.9726626755719591E-6</v>
      </c>
      <c r="AA71" s="45">
        <f t="shared" ca="1" si="29"/>
        <v>0.15525453067369235</v>
      </c>
      <c r="AB71" s="45">
        <v>0</v>
      </c>
      <c r="AC71" s="22">
        <f t="shared" ca="1" si="22"/>
        <v>0.17072776681037266</v>
      </c>
    </row>
    <row r="72" spans="1:29" ht="12" customHeight="1" x14ac:dyDescent="0.25">
      <c r="A72" s="262"/>
      <c r="C72" s="263"/>
      <c r="D72" s="62">
        <f t="shared" si="23"/>
        <v>61</v>
      </c>
      <c r="E72" s="43">
        <f t="shared" si="20"/>
        <v>70.25</v>
      </c>
      <c r="F72" s="44" cm="1">
        <f t="array" ref="F72">_fnGENPOP.U(E72)</f>
        <v>0.77900000000000003</v>
      </c>
      <c r="G72" s="45">
        <f t="shared" ca="1" si="28"/>
        <v>6.9119351822921274E-5</v>
      </c>
      <c r="H72" s="45">
        <f t="shared" ca="1" si="28"/>
        <v>0</v>
      </c>
      <c r="I72" s="45">
        <f t="shared" ca="1" si="28"/>
        <v>7.4066701806564947E-3</v>
      </c>
      <c r="J72" s="45">
        <f t="shared" ca="1" si="28"/>
        <v>1.0867667010468472E-3</v>
      </c>
      <c r="K72" s="45">
        <f t="shared" ca="1" si="28"/>
        <v>1.104466528644073E-4</v>
      </c>
      <c r="L72" s="45">
        <f t="shared" ca="1" si="28"/>
        <v>1.6205628392714435E-5</v>
      </c>
      <c r="M72" s="45">
        <f t="shared" ca="1" si="28"/>
        <v>3.378072351378511E-5</v>
      </c>
      <c r="N72" s="45">
        <f t="shared" ca="1" si="28"/>
        <v>4.9565816428453332E-6</v>
      </c>
      <c r="O72" s="45">
        <f t="shared" ca="1" si="28"/>
        <v>0.16115423192995088</v>
      </c>
      <c r="P72" s="45">
        <v>0</v>
      </c>
      <c r="Q72" s="22">
        <f t="shared" ca="1" si="21"/>
        <v>0.16988217774989089</v>
      </c>
      <c r="S72" s="45">
        <f t="shared" ca="1" si="29"/>
        <v>6.3954922720778186E-3</v>
      </c>
      <c r="T72" s="45">
        <f t="shared" ca="1" si="29"/>
        <v>0</v>
      </c>
      <c r="U72" s="45">
        <f t="shared" ca="1" si="29"/>
        <v>7.4081721895583232E-3</v>
      </c>
      <c r="V72" s="45">
        <f t="shared" ca="1" si="29"/>
        <v>1.0869870879709803E-3</v>
      </c>
      <c r="W72" s="45">
        <f t="shared" ca="1" si="29"/>
        <v>1.1046905049407531E-4</v>
      </c>
      <c r="X72" s="45">
        <f t="shared" ca="1" si="29"/>
        <v>1.6208914754535857E-5</v>
      </c>
      <c r="Y72" s="45">
        <f t="shared" ca="1" si="29"/>
        <v>3.3787573953482079E-5</v>
      </c>
      <c r="Z72" s="45">
        <f t="shared" ca="1" si="29"/>
        <v>4.9575867948999826E-6</v>
      </c>
      <c r="AA72" s="45">
        <f t="shared" ca="1" si="29"/>
        <v>0.15486055371634574</v>
      </c>
      <c r="AB72" s="45">
        <v>0</v>
      </c>
      <c r="AC72" s="22">
        <f t="shared" ca="1" si="22"/>
        <v>0.16991662839194988</v>
      </c>
    </row>
    <row r="73" spans="1:29" ht="12" customHeight="1" x14ac:dyDescent="0.25">
      <c r="A73" s="262"/>
      <c r="C73" s="263"/>
      <c r="D73" s="62">
        <f t="shared" si="23"/>
        <v>62</v>
      </c>
      <c r="E73" s="43">
        <f t="shared" si="20"/>
        <v>70.5</v>
      </c>
      <c r="F73" s="44" cm="1">
        <f t="array" ref="F73">_fnGENPOP.U(E73)</f>
        <v>0.77900000000000003</v>
      </c>
      <c r="G73" s="45">
        <f t="shared" ca="1" si="28"/>
        <v>6.5205020231619233E-5</v>
      </c>
      <c r="H73" s="45">
        <f t="shared" ca="1" si="28"/>
        <v>0</v>
      </c>
      <c r="I73" s="45">
        <f t="shared" ca="1" si="28"/>
        <v>7.3711116422113133E-3</v>
      </c>
      <c r="J73" s="45">
        <f t="shared" ca="1" si="28"/>
        <v>1.0824864617904914E-3</v>
      </c>
      <c r="K73" s="45">
        <f t="shared" ca="1" si="28"/>
        <v>1.0991641168230668E-4</v>
      </c>
      <c r="L73" s="45">
        <f t="shared" ca="1" si="28"/>
        <v>1.6141802396984543E-5</v>
      </c>
      <c r="M73" s="45">
        <f t="shared" ca="1" si="28"/>
        <v>3.3618546296969374E-5</v>
      </c>
      <c r="N73" s="45">
        <f t="shared" ca="1" si="28"/>
        <v>4.9370601068021314E-6</v>
      </c>
      <c r="O73" s="45">
        <f t="shared" ca="1" si="28"/>
        <v>0.16039248979170151</v>
      </c>
      <c r="P73" s="45">
        <v>0</v>
      </c>
      <c r="Q73" s="22">
        <f t="shared" ca="1" si="21"/>
        <v>0.16907590673641798</v>
      </c>
      <c r="S73" s="45">
        <f t="shared" ca="1" si="29"/>
        <v>6.0333060422842043E-3</v>
      </c>
      <c r="T73" s="45">
        <f t="shared" ca="1" si="29"/>
        <v>0</v>
      </c>
      <c r="U73" s="45">
        <f t="shared" ca="1" si="29"/>
        <v>7.3726064401478941E-3</v>
      </c>
      <c r="V73" s="45">
        <f t="shared" ca="1" si="29"/>
        <v>1.0827059807189791E-3</v>
      </c>
      <c r="W73" s="45">
        <f t="shared" ca="1" si="29"/>
        <v>1.0993870178363117E-4</v>
      </c>
      <c r="X73" s="45">
        <f t="shared" ca="1" si="29"/>
        <v>1.6145075815443911E-5</v>
      </c>
      <c r="Y73" s="45">
        <f t="shared" ca="1" si="29"/>
        <v>3.3625363848523987E-5</v>
      </c>
      <c r="Z73" s="45">
        <f t="shared" ca="1" si="29"/>
        <v>4.9380613000574543E-6</v>
      </c>
      <c r="AA73" s="45">
        <f t="shared" ca="1" si="29"/>
        <v>0.15445692820776297</v>
      </c>
      <c r="AB73" s="45">
        <v>0</v>
      </c>
      <c r="AC73" s="22">
        <f t="shared" ca="1" si="22"/>
        <v>0.16911019387366169</v>
      </c>
    </row>
    <row r="74" spans="1:29" ht="12" customHeight="1" x14ac:dyDescent="0.25">
      <c r="A74" s="262"/>
      <c r="C74" s="263"/>
      <c r="D74" s="62">
        <f t="shared" si="23"/>
        <v>63</v>
      </c>
      <c r="E74" s="43">
        <f t="shared" si="20"/>
        <v>70.75</v>
      </c>
      <c r="F74" s="44" cm="1">
        <f t="array" ref="F74">_fnGENPOP.U(E74)</f>
        <v>0.77900000000000003</v>
      </c>
      <c r="G74" s="45">
        <f t="shared" ca="1" si="28"/>
        <v>6.1512363054248601E-5</v>
      </c>
      <c r="H74" s="45">
        <f t="shared" ca="1" si="28"/>
        <v>0</v>
      </c>
      <c r="I74" s="45">
        <f t="shared" ca="1" si="28"/>
        <v>7.336105923288417E-3</v>
      </c>
      <c r="J74" s="45">
        <f t="shared" ca="1" si="28"/>
        <v>1.0772895736438461E-3</v>
      </c>
      <c r="K74" s="45">
        <f t="shared" ca="1" si="28"/>
        <v>1.0939441402454095E-4</v>
      </c>
      <c r="L74" s="45">
        <f t="shared" ca="1" si="28"/>
        <v>1.6064307532611245E-5</v>
      </c>
      <c r="M74" s="45">
        <f t="shared" ca="1" si="28"/>
        <v>3.3458890407954105E-5</v>
      </c>
      <c r="N74" s="45">
        <f t="shared" ca="1" si="28"/>
        <v>4.9133578712047664E-6</v>
      </c>
      <c r="O74" s="45">
        <f t="shared" ca="1" si="28"/>
        <v>0.15963478719329421</v>
      </c>
      <c r="P74" s="45">
        <v>0</v>
      </c>
      <c r="Q74" s="22">
        <f t="shared" ca="1" si="21"/>
        <v>0.16827352602311704</v>
      </c>
      <c r="S74" s="45">
        <f t="shared" ca="1" si="29"/>
        <v>5.6916309568202979E-3</v>
      </c>
      <c r="T74" s="45">
        <f t="shared" ca="1" si="29"/>
        <v>0</v>
      </c>
      <c r="U74" s="45">
        <f t="shared" ca="1" si="29"/>
        <v>7.3375936223667847E-3</v>
      </c>
      <c r="V74" s="45">
        <f t="shared" ca="1" si="29"/>
        <v>1.0775080386881905E-3</v>
      </c>
      <c r="W74" s="45">
        <f t="shared" ca="1" si="29"/>
        <v>1.0941659826923761E-4</v>
      </c>
      <c r="X74" s="45">
        <f t="shared" ca="1" si="29"/>
        <v>1.6067565235779765E-5</v>
      </c>
      <c r="Y74" s="45">
        <f t="shared" ca="1" si="29"/>
        <v>3.3465675582669904E-5</v>
      </c>
      <c r="Z74" s="45">
        <f t="shared" ca="1" si="29"/>
        <v>4.9143542578509127E-6</v>
      </c>
      <c r="AA74" s="45">
        <f t="shared" ca="1" si="29"/>
        <v>0.15403705363324402</v>
      </c>
      <c r="AB74" s="45">
        <v>0</v>
      </c>
      <c r="AC74" s="22">
        <f t="shared" ca="1" si="22"/>
        <v>0.16830765044446483</v>
      </c>
    </row>
    <row r="75" spans="1:29" ht="12" customHeight="1" x14ac:dyDescent="0.25">
      <c r="A75" s="262"/>
      <c r="C75" s="263"/>
      <c r="D75" s="62">
        <f t="shared" si="23"/>
        <v>64</v>
      </c>
      <c r="E75" s="43">
        <f t="shared" ref="E75:E106" si="30">B.cohortAge+D75*AB.cycleLength</f>
        <v>71</v>
      </c>
      <c r="F75" s="44" cm="1">
        <f t="array" ref="F75">_fnGENPOP.U(E75)</f>
        <v>0.77900000000000003</v>
      </c>
      <c r="G75" s="45">
        <f t="shared" ca="1" si="28"/>
        <v>5.8028826539384503E-5</v>
      </c>
      <c r="H75" s="45">
        <f t="shared" ca="1" si="28"/>
        <v>0</v>
      </c>
      <c r="I75" s="45">
        <f t="shared" ca="1" si="28"/>
        <v>7.3012950265532676E-3</v>
      </c>
      <c r="J75" s="45">
        <f t="shared" ca="1" si="28"/>
        <v>1.0721734801909149E-3</v>
      </c>
      <c r="K75" s="45">
        <f t="shared" ca="1" si="28"/>
        <v>1.0887532151281457E-4</v>
      </c>
      <c r="L75" s="45">
        <f t="shared" ca="1" si="28"/>
        <v>1.5988017461116839E-5</v>
      </c>
      <c r="M75" s="45">
        <f t="shared" ca="1" si="28"/>
        <v>3.3300123074024736E-5</v>
      </c>
      <c r="N75" s="45">
        <f t="shared" ca="1" si="28"/>
        <v>4.8900241282151684E-6</v>
      </c>
      <c r="O75" s="45">
        <f t="shared" ca="1" si="28"/>
        <v>0.15888039258429071</v>
      </c>
      <c r="P75" s="45">
        <v>0</v>
      </c>
      <c r="Q75" s="22">
        <f t="shared" ref="Q75:Q106" ca="1" si="31">SUM(G75:P75)</f>
        <v>0.16747494340375044</v>
      </c>
      <c r="S75" s="45">
        <f t="shared" ca="1" si="29"/>
        <v>5.3693054391072362E-3</v>
      </c>
      <c r="T75" s="45">
        <f t="shared" ca="1" si="29"/>
        <v>0</v>
      </c>
      <c r="U75" s="45">
        <f t="shared" ca="1" si="29"/>
        <v>7.3027756662816853E-3</v>
      </c>
      <c r="V75" s="45">
        <f t="shared" ca="1" si="29"/>
        <v>1.0723909077355836E-3</v>
      </c>
      <c r="W75" s="45">
        <f t="shared" ca="1" si="29"/>
        <v>1.08897400490022E-4</v>
      </c>
      <c r="X75" s="45">
        <f t="shared" ca="1" si="29"/>
        <v>1.5991259693316124E-5</v>
      </c>
      <c r="Y75" s="45">
        <f t="shared" ca="1" si="29"/>
        <v>3.3306876052093047E-5</v>
      </c>
      <c r="Z75" s="45">
        <f t="shared" ca="1" si="29"/>
        <v>4.8910157829792642E-6</v>
      </c>
      <c r="AA75" s="45">
        <f t="shared" ca="1" si="29"/>
        <v>0.15360134731428016</v>
      </c>
      <c r="AB75" s="45">
        <v>0</v>
      </c>
      <c r="AC75" s="22">
        <f t="shared" ref="AC75:AC106" ca="1" si="32">SUM(S75:AB75)</f>
        <v>0.16750890587942308</v>
      </c>
    </row>
    <row r="76" spans="1:29" ht="12" customHeight="1" x14ac:dyDescent="0.25">
      <c r="A76" s="262"/>
      <c r="C76" s="263"/>
      <c r="D76" s="62">
        <f t="shared" ref="D76:D107" si="33">D75+1</f>
        <v>65</v>
      </c>
      <c r="E76" s="43">
        <f t="shared" si="30"/>
        <v>71.25</v>
      </c>
      <c r="F76" s="44" cm="1">
        <f t="array" ref="F76">_fnGENPOP.U(E76)</f>
        <v>0.77900000000000003</v>
      </c>
      <c r="G76" s="45">
        <f t="shared" ca="1" si="28"/>
        <v>5.4742567873197574E-5</v>
      </c>
      <c r="H76" s="45">
        <f t="shared" ca="1" si="28"/>
        <v>0</v>
      </c>
      <c r="I76" s="45">
        <f t="shared" ca="1" si="28"/>
        <v>7.2666449316545175E-3</v>
      </c>
      <c r="J76" s="45">
        <f t="shared" ca="1" si="28"/>
        <v>1.0670858600432E-3</v>
      </c>
      <c r="K76" s="45">
        <f t="shared" ca="1" si="28"/>
        <v>1.0835862684305651E-4</v>
      </c>
      <c r="L76" s="45">
        <f t="shared" ca="1" si="28"/>
        <v>1.5912151977349504E-5</v>
      </c>
      <c r="M76" s="45">
        <f t="shared" ca="1" si="28"/>
        <v>3.3142089133407525E-5</v>
      </c>
      <c r="N76" s="45">
        <f t="shared" ca="1" si="28"/>
        <v>4.8668202477451069E-6</v>
      </c>
      <c r="O76" s="45">
        <f t="shared" ca="1" si="28"/>
        <v>0.1581293976260135</v>
      </c>
      <c r="P76" s="45">
        <v>0</v>
      </c>
      <c r="Q76" s="22">
        <f t="shared" ca="1" si="31"/>
        <v>0.16668015067378597</v>
      </c>
      <c r="S76" s="45">
        <f t="shared" ca="1" si="29"/>
        <v>5.0652336943736919E-3</v>
      </c>
      <c r="T76" s="45">
        <f t="shared" ca="1" si="29"/>
        <v>0</v>
      </c>
      <c r="U76" s="45">
        <f t="shared" ca="1" si="29"/>
        <v>7.2681185446422103E-3</v>
      </c>
      <c r="V76" s="45">
        <f t="shared" ca="1" si="29"/>
        <v>1.0673022558623346E-3</v>
      </c>
      <c r="W76" s="45">
        <f t="shared" ca="1" si="29"/>
        <v>1.0838060103903643E-4</v>
      </c>
      <c r="X76" s="45">
        <f t="shared" ca="1" si="29"/>
        <v>1.5915378824682285E-5</v>
      </c>
      <c r="Y76" s="45">
        <f t="shared" ca="1" si="29"/>
        <v>3.3148810063554187E-5</v>
      </c>
      <c r="Z76" s="45">
        <f t="shared" ca="1" si="29"/>
        <v>4.8678071969621537E-6</v>
      </c>
      <c r="AA76" s="45">
        <f t="shared" ca="1" si="29"/>
        <v>0.1531509848803379</v>
      </c>
      <c r="AB76" s="45">
        <v>0</v>
      </c>
      <c r="AC76" s="22">
        <f t="shared" ca="1" si="32"/>
        <v>0.16671395197234037</v>
      </c>
    </row>
    <row r="77" spans="1:29" ht="12" customHeight="1" x14ac:dyDescent="0.25">
      <c r="A77" s="262"/>
      <c r="C77" s="263"/>
      <c r="D77" s="62">
        <f t="shared" si="33"/>
        <v>66</v>
      </c>
      <c r="E77" s="43">
        <f t="shared" si="30"/>
        <v>71.5</v>
      </c>
      <c r="F77" s="44" cm="1">
        <f t="array" ref="F77">_fnGENPOP.U(E77)</f>
        <v>0.77900000000000003</v>
      </c>
      <c r="G77" s="45">
        <f t="shared" ca="1" si="28"/>
        <v>5.1642414918001688E-5</v>
      </c>
      <c r="H77" s="45">
        <f t="shared" ca="1" si="28"/>
        <v>0</v>
      </c>
      <c r="I77" s="45">
        <f t="shared" ca="1" si="28"/>
        <v>7.2321592878844933E-3</v>
      </c>
      <c r="J77" s="45">
        <f t="shared" ca="1" si="28"/>
        <v>1.0620217411189351E-3</v>
      </c>
      <c r="K77" s="45">
        <f t="shared" ca="1" si="28"/>
        <v>1.0784438443271933E-4</v>
      </c>
      <c r="L77" s="45">
        <f t="shared" ca="1" si="28"/>
        <v>1.5836636938708643E-5</v>
      </c>
      <c r="M77" s="45">
        <f t="shared" ca="1" si="28"/>
        <v>3.2984805229983225E-5</v>
      </c>
      <c r="N77" s="45">
        <f t="shared" ca="1" si="28"/>
        <v>4.8437235528675233E-6</v>
      </c>
      <c r="O77" s="45">
        <f t="shared" ca="1" si="28"/>
        <v>0.15738179690307164</v>
      </c>
      <c r="P77" s="45">
        <v>0</v>
      </c>
      <c r="Q77" s="22">
        <f t="shared" ca="1" si="31"/>
        <v>0.16588912989714735</v>
      </c>
      <c r="S77" s="45">
        <f t="shared" ca="1" si="29"/>
        <v>4.7783819843343709E-3</v>
      </c>
      <c r="T77" s="45">
        <f t="shared" ca="1" si="29"/>
        <v>0</v>
      </c>
      <c r="U77" s="45">
        <f t="shared" ca="1" si="29"/>
        <v>7.2336259074807334E-3</v>
      </c>
      <c r="V77" s="45">
        <f t="shared" ca="1" si="29"/>
        <v>1.0622371099783803E-3</v>
      </c>
      <c r="W77" s="45">
        <f t="shared" ca="1" si="29"/>
        <v>1.0786625434476877E-4</v>
      </c>
      <c r="X77" s="45">
        <f t="shared" ca="1" si="29"/>
        <v>1.5839848472242171E-5</v>
      </c>
      <c r="Y77" s="45">
        <f t="shared" ca="1" si="29"/>
        <v>3.2991494264309321E-5</v>
      </c>
      <c r="Z77" s="45">
        <f t="shared" ca="1" si="29"/>
        <v>4.8447058182738323E-6</v>
      </c>
      <c r="AA77" s="45">
        <f t="shared" ca="1" si="29"/>
        <v>0.15268698347881007</v>
      </c>
      <c r="AB77" s="45">
        <v>0</v>
      </c>
      <c r="AC77" s="22">
        <f t="shared" ca="1" si="32"/>
        <v>0.16592277078350315</v>
      </c>
    </row>
    <row r="78" spans="1:29" ht="12" customHeight="1" x14ac:dyDescent="0.25">
      <c r="A78" s="262"/>
      <c r="C78" s="263"/>
      <c r="D78" s="62">
        <f t="shared" si="33"/>
        <v>67</v>
      </c>
      <c r="E78" s="43">
        <f t="shared" si="30"/>
        <v>71.75</v>
      </c>
      <c r="F78" s="44" cm="1">
        <f t="array" ref="F78">_fnGENPOP.U(E78)</f>
        <v>0.77900000000000003</v>
      </c>
      <c r="G78" s="45">
        <f t="shared" ca="1" si="28"/>
        <v>4.8717828230867476E-5</v>
      </c>
      <c r="H78" s="45">
        <f t="shared" ca="1" si="28"/>
        <v>0</v>
      </c>
      <c r="I78" s="45">
        <f t="shared" ca="1" si="28"/>
        <v>7.1978373368634403E-3</v>
      </c>
      <c r="J78" s="45">
        <f t="shared" ca="1" si="28"/>
        <v>1.0569816567629889E-3</v>
      </c>
      <c r="K78" s="45">
        <f t="shared" ca="1" si="28"/>
        <v>1.0733258297300922E-4</v>
      </c>
      <c r="L78" s="45">
        <f t="shared" ca="1" si="28"/>
        <v>1.5761480298316805E-5</v>
      </c>
      <c r="M78" s="45">
        <f t="shared" ca="1" si="28"/>
        <v>3.2828267904894298E-5</v>
      </c>
      <c r="N78" s="45">
        <f t="shared" ca="1" si="28"/>
        <v>4.8207364760892121E-6</v>
      </c>
      <c r="O78" s="45">
        <f t="shared" ca="1" si="28"/>
        <v>0.15663758320655238</v>
      </c>
      <c r="P78" s="45">
        <v>0</v>
      </c>
      <c r="Q78" s="22">
        <f t="shared" ca="1" si="31"/>
        <v>0.16510186309606198</v>
      </c>
      <c r="S78" s="45">
        <f t="shared" ca="1" si="29"/>
        <v>4.5077751128390015E-3</v>
      </c>
      <c r="T78" s="45">
        <f t="shared" ca="1" si="29"/>
        <v>0</v>
      </c>
      <c r="U78" s="45">
        <f t="shared" ca="1" si="29"/>
        <v>7.1992969962637095E-3</v>
      </c>
      <c r="V78" s="45">
        <f t="shared" ca="1" si="29"/>
        <v>1.0571960035367486E-3</v>
      </c>
      <c r="W78" s="45">
        <f t="shared" ca="1" si="29"/>
        <v>1.0735434909613197E-4</v>
      </c>
      <c r="X78" s="45">
        <f t="shared" ca="1" si="29"/>
        <v>1.5764676590731165E-5</v>
      </c>
      <c r="Y78" s="45">
        <f t="shared" ca="1" si="29"/>
        <v>3.2834925194799493E-5</v>
      </c>
      <c r="Z78" s="45">
        <f t="shared" ca="1" si="29"/>
        <v>4.8217140799143923E-6</v>
      </c>
      <c r="AA78" s="45">
        <f t="shared" ca="1" si="29"/>
        <v>0.15221030055389204</v>
      </c>
      <c r="AB78" s="45">
        <v>0</v>
      </c>
      <c r="AC78" s="22">
        <f t="shared" ca="1" si="32"/>
        <v>0.16513534433149307</v>
      </c>
    </row>
    <row r="79" spans="1:29" ht="12" customHeight="1" x14ac:dyDescent="0.25">
      <c r="A79" s="262"/>
      <c r="C79" s="263"/>
      <c r="D79" s="62">
        <f t="shared" si="33"/>
        <v>68</v>
      </c>
      <c r="E79" s="43">
        <f t="shared" si="30"/>
        <v>72</v>
      </c>
      <c r="F79" s="44" cm="1">
        <f t="array" ref="F79">_fnGENPOP.U(E79)</f>
        <v>0.77900000000000003</v>
      </c>
      <c r="G79" s="45">
        <f t="shared" ca="1" si="28"/>
        <v>4.5958865233178144E-5</v>
      </c>
      <c r="H79" s="45">
        <f t="shared" ca="1" si="28"/>
        <v>0</v>
      </c>
      <c r="I79" s="45">
        <f t="shared" ca="1" si="28"/>
        <v>7.1636782671387371E-3</v>
      </c>
      <c r="J79" s="45">
        <f t="shared" ca="1" si="28"/>
        <v>1.0519654961379948E-3</v>
      </c>
      <c r="K79" s="45">
        <f t="shared" ca="1" si="28"/>
        <v>1.0682321036372137E-4</v>
      </c>
      <c r="L79" s="45">
        <f t="shared" ca="1" si="28"/>
        <v>1.5686680403391322E-5</v>
      </c>
      <c r="M79" s="45">
        <f t="shared" ca="1" si="28"/>
        <v>3.2672473457225771E-5</v>
      </c>
      <c r="N79" s="45">
        <f t="shared" ca="1" si="28"/>
        <v>4.7978585118973952E-6</v>
      </c>
      <c r="O79" s="45">
        <f t="shared" ca="1" si="28"/>
        <v>0.15589674960750999</v>
      </c>
      <c r="P79" s="45">
        <v>0</v>
      </c>
      <c r="Q79" s="22">
        <f t="shared" ca="1" si="31"/>
        <v>0.16431833245875613</v>
      </c>
      <c r="S79" s="45">
        <f t="shared" ca="1" si="29"/>
        <v>4.2524931105442487E-3</v>
      </c>
      <c r="T79" s="45">
        <f t="shared" ca="1" si="29"/>
        <v>0</v>
      </c>
      <c r="U79" s="45">
        <f t="shared" ca="1" si="29"/>
        <v>7.1651309993739573E-3</v>
      </c>
      <c r="V79" s="45">
        <f t="shared" ca="1" si="29"/>
        <v>1.0521788256775959E-3</v>
      </c>
      <c r="W79" s="45">
        <f t="shared" ca="1" si="29"/>
        <v>1.0684487319046737E-4</v>
      </c>
      <c r="X79" s="45">
        <f t="shared" ca="1" si="29"/>
        <v>1.5689861527031415E-5</v>
      </c>
      <c r="Y79" s="45">
        <f t="shared" ca="1" si="29"/>
        <v>3.2679099153359206E-5</v>
      </c>
      <c r="Z79" s="45">
        <f t="shared" ca="1" si="29"/>
        <v>4.798831476268539E-6</v>
      </c>
      <c r="AA79" s="45">
        <f t="shared" ca="1" si="29"/>
        <v>0.15172183919998139</v>
      </c>
      <c r="AB79" s="45">
        <v>0</v>
      </c>
      <c r="AC79" s="22">
        <f t="shared" ca="1" si="32"/>
        <v>0.16435165480092431</v>
      </c>
    </row>
    <row r="80" spans="1:29" ht="12" customHeight="1" x14ac:dyDescent="0.25">
      <c r="A80" s="262"/>
      <c r="C80" s="263"/>
      <c r="D80" s="62">
        <f t="shared" si="33"/>
        <v>69</v>
      </c>
      <c r="E80" s="43">
        <f t="shared" si="30"/>
        <v>72.25</v>
      </c>
      <c r="F80" s="44" cm="1">
        <f t="array" ref="F80">_fnGENPOP.U(E80)</f>
        <v>0.77900000000000003</v>
      </c>
      <c r="G80" s="45">
        <f t="shared" ca="1" si="28"/>
        <v>4.335614640931666E-5</v>
      </c>
      <c r="H80" s="45">
        <f t="shared" ca="1" si="28"/>
        <v>0</v>
      </c>
      <c r="I80" s="45">
        <f t="shared" ca="1" si="28"/>
        <v>7.1296813073463798E-3</v>
      </c>
      <c r="J80" s="45">
        <f t="shared" ca="1" si="28"/>
        <v>1.0469731406499755E-3</v>
      </c>
      <c r="K80" s="45">
        <f t="shared" ca="1" si="28"/>
        <v>1.0631625510244378E-4</v>
      </c>
      <c r="L80" s="45">
        <f t="shared" ca="1" si="28"/>
        <v>1.5612235485484623E-5</v>
      </c>
      <c r="M80" s="45">
        <f t="shared" ca="1" si="28"/>
        <v>3.2517418368900905E-5</v>
      </c>
      <c r="N80" s="45">
        <f t="shared" ca="1" si="28"/>
        <v>4.7750891194025408E-6</v>
      </c>
      <c r="O80" s="45">
        <f t="shared" ca="1" si="28"/>
        <v>0.15515928866227979</v>
      </c>
      <c r="P80" s="45">
        <v>0</v>
      </c>
      <c r="Q80" s="22">
        <f t="shared" ca="1" si="31"/>
        <v>0.1635385202547617</v>
      </c>
      <c r="S80" s="45">
        <f t="shared" ca="1" si="29"/>
        <v>4.0116681073375845E-3</v>
      </c>
      <c r="T80" s="45">
        <f t="shared" ca="1" si="29"/>
        <v>0</v>
      </c>
      <c r="U80" s="45">
        <f t="shared" ca="1" si="29"/>
        <v>7.1311271452910484E-3</v>
      </c>
      <c r="V80" s="45">
        <f t="shared" ca="1" si="29"/>
        <v>1.0471854577828944E-3</v>
      </c>
      <c r="W80" s="45">
        <f t="shared" ca="1" si="29"/>
        <v>1.0633781512303036E-4</v>
      </c>
      <c r="X80" s="45">
        <f t="shared" ca="1" si="29"/>
        <v>1.561540151233673E-5</v>
      </c>
      <c r="Y80" s="45">
        <f t="shared" ca="1" si="29"/>
        <v>3.2524012621198272E-5</v>
      </c>
      <c r="Z80" s="45">
        <f t="shared" ca="1" si="29"/>
        <v>4.7760574663370517E-6</v>
      </c>
      <c r="AA80" s="45">
        <f t="shared" ca="1" si="29"/>
        <v>0.15122245046059882</v>
      </c>
      <c r="AB80" s="45">
        <v>0</v>
      </c>
      <c r="AC80" s="22">
        <f t="shared" ca="1" si="32"/>
        <v>0.16357168445773324</v>
      </c>
    </row>
    <row r="81" spans="1:29" ht="12" customHeight="1" x14ac:dyDescent="0.25">
      <c r="A81" s="262"/>
      <c r="C81" s="263"/>
      <c r="D81" s="62">
        <f t="shared" si="33"/>
        <v>70</v>
      </c>
      <c r="E81" s="43">
        <f t="shared" si="30"/>
        <v>72.5</v>
      </c>
      <c r="F81" s="44" cm="1">
        <f t="array" ref="F81">_fnGENPOP.U(E81)</f>
        <v>0.77900000000000003</v>
      </c>
      <c r="G81" s="45">
        <f t="shared" ref="G81:O90" ca="1" si="34">PRODUCT(AVERAGE(OFFSET(AB.Trace.MarkovQB.Root, $D81, (G$2-1)*AB.Trace.MarkovQB.NumCols+G$3-1, CHOOSE(swtchHalfCycle, 2, 1))), $F81+G$6, AB.cycleLength)</f>
        <v>4.0900823419571478E-5</v>
      </c>
      <c r="H81" s="45">
        <f t="shared" ca="1" si="34"/>
        <v>0</v>
      </c>
      <c r="I81" s="45">
        <f t="shared" ca="1" si="34"/>
        <v>7.0958456883326521E-3</v>
      </c>
      <c r="J81" s="45">
        <f t="shared" ca="1" si="34"/>
        <v>1.0420044775639138E-3</v>
      </c>
      <c r="K81" s="45">
        <f t="shared" ca="1" si="34"/>
        <v>1.058117057197237E-4</v>
      </c>
      <c r="L81" s="45">
        <f t="shared" ca="1" si="34"/>
        <v>1.5538143863516676E-5</v>
      </c>
      <c r="M81" s="45">
        <f t="shared" ca="1" si="34"/>
        <v>3.2363099131923727E-5</v>
      </c>
      <c r="N81" s="45">
        <f t="shared" ca="1" si="34"/>
        <v>4.7524277844369652E-6</v>
      </c>
      <c r="O81" s="45">
        <f t="shared" ca="1" si="34"/>
        <v>0.15442519247149444</v>
      </c>
      <c r="P81" s="45">
        <v>0</v>
      </c>
      <c r="Q81" s="22">
        <f t="shared" ca="1" si="31"/>
        <v>0.16276240883731019</v>
      </c>
      <c r="S81" s="45">
        <f t="shared" ref="S81:AA90" ca="1" si="35">PRODUCT(AVERAGE(OFFSET(AB.Trace.MarkovQB.Root, $D81, (S$2-1)*AB.Trace.MarkovQB.NumCols+S$3-1, CHOOSE(swtchHalfCycle, 2, 1))), $F81+S$6, AB.cycleLength)</f>
        <v>3.7844813818804315E-3</v>
      </c>
      <c r="T81" s="45">
        <f t="shared" ca="1" si="35"/>
        <v>0</v>
      </c>
      <c r="U81" s="45">
        <f t="shared" ca="1" si="35"/>
        <v>7.0972846647052897E-3</v>
      </c>
      <c r="V81" s="45">
        <f t="shared" ca="1" si="35"/>
        <v>1.0422157870947654E-3</v>
      </c>
      <c r="W81" s="45">
        <f t="shared" ca="1" si="35"/>
        <v>1.0583316342204231E-4</v>
      </c>
      <c r="X81" s="45">
        <f t="shared" ca="1" si="35"/>
        <v>1.5541294865226171E-5</v>
      </c>
      <c r="Y81" s="45">
        <f t="shared" ca="1" si="35"/>
        <v>3.2369662089609342E-5</v>
      </c>
      <c r="Z81" s="45">
        <f t="shared" ca="1" si="35"/>
        <v>4.7533915358479786E-6</v>
      </c>
      <c r="AA81" s="45">
        <f t="shared" ca="1" si="35"/>
        <v>0.15071293630597951</v>
      </c>
      <c r="AB81" s="45">
        <v>0</v>
      </c>
      <c r="AC81" s="22">
        <f t="shared" ca="1" si="32"/>
        <v>0.16279541565157274</v>
      </c>
    </row>
    <row r="82" spans="1:29" ht="12" customHeight="1" x14ac:dyDescent="0.25">
      <c r="A82" s="262"/>
      <c r="C82" s="263"/>
      <c r="D82" s="62">
        <f t="shared" si="33"/>
        <v>71</v>
      </c>
      <c r="E82" s="43">
        <f t="shared" si="30"/>
        <v>72.75</v>
      </c>
      <c r="F82" s="44" cm="1">
        <f t="array" ref="F82">_fnGENPOP.U(E82)</f>
        <v>0.77900000000000003</v>
      </c>
      <c r="G82" s="45">
        <f t="shared" ca="1" si="34"/>
        <v>3.8584549018855777E-5</v>
      </c>
      <c r="H82" s="45">
        <f t="shared" ca="1" si="34"/>
        <v>0</v>
      </c>
      <c r="I82" s="45">
        <f t="shared" ca="1" si="34"/>
        <v>7.0621706443944636E-3</v>
      </c>
      <c r="J82" s="45">
        <f t="shared" ca="1" si="34"/>
        <v>1.0370593944678261E-3</v>
      </c>
      <c r="K82" s="45">
        <f t="shared" ca="1" si="34"/>
        <v>1.0530955079756337E-4</v>
      </c>
      <c r="L82" s="45">
        <f t="shared" ca="1" si="34"/>
        <v>1.5464403861224468E-5</v>
      </c>
      <c r="M82" s="45">
        <f t="shared" ca="1" si="34"/>
        <v>3.2209512254036087E-5</v>
      </c>
      <c r="N82" s="45">
        <f t="shared" ca="1" si="34"/>
        <v>4.7298739943062936E-6</v>
      </c>
      <c r="O82" s="45">
        <f t="shared" ca="1" si="34"/>
        <v>0.15369445271463941</v>
      </c>
      <c r="P82" s="45">
        <v>0</v>
      </c>
      <c r="Q82" s="22">
        <f t="shared" ca="1" si="31"/>
        <v>0.16198998064342768</v>
      </c>
      <c r="S82" s="45">
        <f t="shared" ca="1" si="35"/>
        <v>3.5701605782400758E-3</v>
      </c>
      <c r="T82" s="45">
        <f t="shared" ca="1" si="35"/>
        <v>0</v>
      </c>
      <c r="U82" s="45">
        <f t="shared" ca="1" si="35"/>
        <v>7.0636027917583112E-3</v>
      </c>
      <c r="V82" s="45">
        <f t="shared" ca="1" si="35"/>
        <v>1.0372697011784293E-3</v>
      </c>
      <c r="W82" s="45">
        <f t="shared" ca="1" si="35"/>
        <v>1.0533090666719E-4</v>
      </c>
      <c r="X82" s="45">
        <f t="shared" ca="1" si="35"/>
        <v>1.546753990909679E-5</v>
      </c>
      <c r="Y82" s="45">
        <f t="shared" ca="1" si="35"/>
        <v>3.2216044065626065E-5</v>
      </c>
      <c r="Z82" s="45">
        <f t="shared" ca="1" si="35"/>
        <v>4.7308331720029766E-6</v>
      </c>
      <c r="AA82" s="45">
        <f t="shared" ca="1" si="35"/>
        <v>0.15019405242091646</v>
      </c>
      <c r="AB82" s="45">
        <v>0</v>
      </c>
      <c r="AC82" s="22">
        <f t="shared" ca="1" si="32"/>
        <v>0.16202283081590718</v>
      </c>
    </row>
    <row r="83" spans="1:29" ht="12" customHeight="1" x14ac:dyDescent="0.25">
      <c r="A83" s="262"/>
      <c r="C83" s="263"/>
      <c r="D83" s="62">
        <f t="shared" si="33"/>
        <v>72</v>
      </c>
      <c r="E83" s="43">
        <f t="shared" si="30"/>
        <v>73</v>
      </c>
      <c r="F83" s="44" cm="1">
        <f t="array" ref="F83">_fnGENPOP.U(E83)</f>
        <v>0.77900000000000003</v>
      </c>
      <c r="G83" s="45">
        <f t="shared" ca="1" si="34"/>
        <v>3.6399448678974347E-5</v>
      </c>
      <c r="H83" s="45">
        <f t="shared" ca="1" si="34"/>
        <v>0</v>
      </c>
      <c r="I83" s="45">
        <f t="shared" ca="1" si="34"/>
        <v>7.0286554134839068E-3</v>
      </c>
      <c r="J83" s="45">
        <f t="shared" ca="1" si="34"/>
        <v>1.0321377794540389E-3</v>
      </c>
      <c r="K83" s="45">
        <f t="shared" ca="1" si="34"/>
        <v>1.0480977897247033E-4</v>
      </c>
      <c r="L83" s="45">
        <f t="shared" ca="1" si="34"/>
        <v>1.5391013809865136E-5</v>
      </c>
      <c r="M83" s="45">
        <f t="shared" ca="1" si="34"/>
        <v>3.2056654259650566E-5</v>
      </c>
      <c r="N83" s="45">
        <f t="shared" ca="1" si="34"/>
        <v>4.7074272386162342E-6</v>
      </c>
      <c r="O83" s="45">
        <f t="shared" ca="1" si="34"/>
        <v>0.15296706067759286</v>
      </c>
      <c r="P83" s="45">
        <v>0</v>
      </c>
      <c r="Q83" s="22">
        <f t="shared" ca="1" si="31"/>
        <v>0.16122121819349039</v>
      </c>
      <c r="S83" s="45">
        <f t="shared" ca="1" si="35"/>
        <v>3.3679770801478387E-3</v>
      </c>
      <c r="T83" s="45">
        <f t="shared" ca="1" si="35"/>
        <v>0</v>
      </c>
      <c r="U83" s="45">
        <f t="shared" ca="1" si="35"/>
        <v>7.0300807642476697E-3</v>
      </c>
      <c r="V83" s="45">
        <f t="shared" ca="1" si="35"/>
        <v>1.0323470881035185E-3</v>
      </c>
      <c r="W83" s="45">
        <f t="shared" ca="1" si="35"/>
        <v>1.0483103349267653E-4</v>
      </c>
      <c r="X83" s="45">
        <f t="shared" ca="1" si="35"/>
        <v>1.5394134974867321E-5</v>
      </c>
      <c r="Y83" s="45">
        <f t="shared" ca="1" si="35"/>
        <v>3.2063155072956193E-5</v>
      </c>
      <c r="Z83" s="45">
        <f t="shared" ca="1" si="35"/>
        <v>4.7083818643042491E-6</v>
      </c>
      <c r="AA83" s="45">
        <f t="shared" ca="1" si="35"/>
        <v>0.14966651082966437</v>
      </c>
      <c r="AB83" s="45">
        <v>0</v>
      </c>
      <c r="AC83" s="22">
        <f t="shared" ca="1" si="32"/>
        <v>0.16125391246756821</v>
      </c>
    </row>
    <row r="84" spans="1:29" ht="12" customHeight="1" x14ac:dyDescent="0.25">
      <c r="A84" s="262"/>
      <c r="C84" s="263"/>
      <c r="D84" s="62">
        <f t="shared" si="33"/>
        <v>73</v>
      </c>
      <c r="E84" s="43">
        <f t="shared" si="30"/>
        <v>73.25</v>
      </c>
      <c r="F84" s="44" cm="1">
        <f t="array" ref="F84">_fnGENPOP.U(E84)</f>
        <v>0.77900000000000003</v>
      </c>
      <c r="G84" s="45">
        <f t="shared" ca="1" si="34"/>
        <v>3.4338093817963668E-5</v>
      </c>
      <c r="H84" s="45">
        <f t="shared" ca="1" si="34"/>
        <v>0</v>
      </c>
      <c r="I84" s="45">
        <f t="shared" ca="1" si="34"/>
        <v>6.9952992371699598E-3</v>
      </c>
      <c r="J84" s="45">
        <f t="shared" ca="1" si="34"/>
        <v>1.0272395211490841E-3</v>
      </c>
      <c r="K84" s="45">
        <f t="shared" ca="1" si="34"/>
        <v>1.0431237893488641E-4</v>
      </c>
      <c r="L84" s="45">
        <f t="shared" ca="1" si="34"/>
        <v>1.531797204866178E-5</v>
      </c>
      <c r="M84" s="45">
        <f t="shared" ca="1" si="34"/>
        <v>3.1904521689675832E-5</v>
      </c>
      <c r="N84" s="45">
        <f t="shared" ca="1" si="34"/>
        <v>4.6850870094089298E-6</v>
      </c>
      <c r="O84" s="45">
        <f t="shared" ca="1" si="34"/>
        <v>0.15224300727900833</v>
      </c>
      <c r="P84" s="45">
        <v>0</v>
      </c>
      <c r="Q84" s="22">
        <f t="shared" ca="1" si="31"/>
        <v>0.16045610409082797</v>
      </c>
      <c r="S84" s="45">
        <f t="shared" ca="1" si="35"/>
        <v>3.1772435339569153E-3</v>
      </c>
      <c r="T84" s="45">
        <f t="shared" ca="1" si="35"/>
        <v>0</v>
      </c>
      <c r="U84" s="45">
        <f t="shared" ca="1" si="35"/>
        <v>6.9967178235885415E-3</v>
      </c>
      <c r="V84" s="45">
        <f t="shared" ca="1" si="35"/>
        <v>1.0274478364739796E-3</v>
      </c>
      <c r="W84" s="45">
        <f t="shared" ca="1" si="35"/>
        <v>1.0433353258665023E-4</v>
      </c>
      <c r="X84" s="45">
        <f t="shared" ca="1" si="35"/>
        <v>1.532107840142407E-5</v>
      </c>
      <c r="Y84" s="45">
        <f t="shared" ca="1" si="35"/>
        <v>3.1910991651806946E-5</v>
      </c>
      <c r="Z84" s="45">
        <f t="shared" ca="1" si="35"/>
        <v>4.6860371046909295E-6</v>
      </c>
      <c r="AA84" s="45">
        <f t="shared" ca="1" si="35"/>
        <v>0.14913098237259342</v>
      </c>
      <c r="AB84" s="45">
        <v>0</v>
      </c>
      <c r="AC84" s="22">
        <f t="shared" ca="1" si="32"/>
        <v>0.16048864320635745</v>
      </c>
    </row>
    <row r="85" spans="1:29" ht="12" customHeight="1" x14ac:dyDescent="0.25">
      <c r="A85" s="262"/>
      <c r="C85" s="263"/>
      <c r="D85" s="62">
        <f t="shared" si="33"/>
        <v>74</v>
      </c>
      <c r="E85" s="43">
        <f t="shared" si="30"/>
        <v>73.5</v>
      </c>
      <c r="F85" s="44" cm="1">
        <f t="array" ref="F85">_fnGENPOP.U(E85)</f>
        <v>0.77900000000000003</v>
      </c>
      <c r="G85" s="45">
        <f t="shared" ca="1" si="34"/>
        <v>3.239347654549418E-5</v>
      </c>
      <c r="H85" s="45">
        <f t="shared" ca="1" si="34"/>
        <v>0</v>
      </c>
      <c r="I85" s="45">
        <f t="shared" ca="1" si="34"/>
        <v>6.9621013606207391E-3</v>
      </c>
      <c r="J85" s="45">
        <f t="shared" ca="1" si="34"/>
        <v>1.0223645087081032E-3</v>
      </c>
      <c r="K85" s="45">
        <f t="shared" ca="1" si="34"/>
        <v>1.0381733942892283E-4</v>
      </c>
      <c r="L85" s="45">
        <f t="shared" ca="1" si="34"/>
        <v>1.5245276924720003E-5</v>
      </c>
      <c r="M85" s="45">
        <f t="shared" ca="1" si="34"/>
        <v>3.1753111101435681E-5</v>
      </c>
      <c r="N85" s="45">
        <f t="shared" ca="1" si="34"/>
        <v>4.6628528011374278E-6</v>
      </c>
      <c r="O85" s="45">
        <f t="shared" ca="1" si="34"/>
        <v>0.15152228309519955</v>
      </c>
      <c r="P85" s="45">
        <v>0</v>
      </c>
      <c r="Q85" s="22">
        <f t="shared" ca="1" si="31"/>
        <v>0.15969462102133011</v>
      </c>
      <c r="S85" s="45">
        <f t="shared" ca="1" si="35"/>
        <v>2.9973115118787884E-3</v>
      </c>
      <c r="T85" s="45">
        <f t="shared" ca="1" si="35"/>
        <v>0</v>
      </c>
      <c r="U85" s="45">
        <f t="shared" ca="1" si="35"/>
        <v>6.9635132147959659E-3</v>
      </c>
      <c r="V85" s="45">
        <f t="shared" ca="1" si="35"/>
        <v>1.0225718354224752E-3</v>
      </c>
      <c r="W85" s="45">
        <f t="shared" ca="1" si="35"/>
        <v>1.0383839269093977E-4</v>
      </c>
      <c r="X85" s="45">
        <f t="shared" ca="1" si="35"/>
        <v>1.524836853553745E-5</v>
      </c>
      <c r="Y85" s="45">
        <f t="shared" ca="1" si="35"/>
        <v>3.1759550358803946E-5</v>
      </c>
      <c r="Z85" s="45">
        <f t="shared" ca="1" si="35"/>
        <v>4.6637983875135437E-6</v>
      </c>
      <c r="AA85" s="45">
        <f t="shared" ca="1" si="35"/>
        <v>0.14858809904258347</v>
      </c>
      <c r="AB85" s="45">
        <v>0</v>
      </c>
      <c r="AC85" s="22">
        <f t="shared" ca="1" si="32"/>
        <v>0.15972700571465348</v>
      </c>
    </row>
    <row r="86" spans="1:29" ht="12" customHeight="1" x14ac:dyDescent="0.25">
      <c r="A86" s="262"/>
      <c r="C86" s="263"/>
      <c r="D86" s="62">
        <f t="shared" si="33"/>
        <v>75</v>
      </c>
      <c r="E86" s="43">
        <f t="shared" si="30"/>
        <v>73.75</v>
      </c>
      <c r="F86" s="44" cm="1">
        <f t="array" ref="F86">_fnGENPOP.U(E86)</f>
        <v>0.77900000000000003</v>
      </c>
      <c r="G86" s="45">
        <f t="shared" ca="1" si="34"/>
        <v>3.0558985838478025E-5</v>
      </c>
      <c r="H86" s="45">
        <f t="shared" ca="1" si="34"/>
        <v>0</v>
      </c>
      <c r="I86" s="45">
        <f t="shared" ca="1" si="34"/>
        <v>6.9290610325866021E-3</v>
      </c>
      <c r="J86" s="45">
        <f t="shared" ca="1" si="34"/>
        <v>1.0175126318122511E-3</v>
      </c>
      <c r="K86" s="45">
        <f t="shared" ca="1" si="34"/>
        <v>1.0332464925210858E-4</v>
      </c>
      <c r="L86" s="45">
        <f t="shared" ca="1" si="34"/>
        <v>1.5172926792989214E-5</v>
      </c>
      <c r="M86" s="45">
        <f t="shared" ca="1" si="34"/>
        <v>3.1602419068591975E-5</v>
      </c>
      <c r="N86" s="45">
        <f t="shared" ca="1" si="34"/>
        <v>4.6407241106538483E-6</v>
      </c>
      <c r="O86" s="45">
        <f t="shared" ca="1" si="34"/>
        <v>0.15080487838359313</v>
      </c>
      <c r="P86" s="45">
        <v>0</v>
      </c>
      <c r="Q86" s="22">
        <f t="shared" ca="1" si="31"/>
        <v>0.1589367517530548</v>
      </c>
      <c r="S86" s="45">
        <f t="shared" ca="1" si="35"/>
        <v>2.8275693075540411E-3</v>
      </c>
      <c r="T86" s="45">
        <f t="shared" ca="1" si="35"/>
        <v>0</v>
      </c>
      <c r="U86" s="45">
        <f t="shared" ca="1" si="35"/>
        <v>6.9304661864679554E-3</v>
      </c>
      <c r="V86" s="45">
        <f t="shared" ca="1" si="35"/>
        <v>1.0177189746077891E-3</v>
      </c>
      <c r="W86" s="45">
        <f t="shared" ca="1" si="35"/>
        <v>1.0334560260080233E-4</v>
      </c>
      <c r="X86" s="45">
        <f t="shared" ca="1" si="35"/>
        <v>1.5176003731823264E-5</v>
      </c>
      <c r="Y86" s="45">
        <f t="shared" ca="1" si="35"/>
        <v>3.1608827766914237E-5</v>
      </c>
      <c r="Z86" s="45">
        <f t="shared" ca="1" si="35"/>
        <v>4.6416652095221808E-6</v>
      </c>
      <c r="AA86" s="45">
        <f t="shared" ca="1" si="35"/>
        <v>0.14803845618908104</v>
      </c>
      <c r="AB86" s="45">
        <v>0</v>
      </c>
      <c r="AC86" s="22">
        <f t="shared" ca="1" si="32"/>
        <v>0.1589689827570199</v>
      </c>
    </row>
    <row r="87" spans="1:29" ht="12" customHeight="1" x14ac:dyDescent="0.25">
      <c r="A87" s="262"/>
      <c r="C87" s="263"/>
      <c r="D87" s="62">
        <f t="shared" si="33"/>
        <v>76</v>
      </c>
      <c r="E87" s="43">
        <f t="shared" si="30"/>
        <v>74</v>
      </c>
      <c r="F87" s="44" cm="1">
        <f t="array" ref="F87">_fnGENPOP.U(E87)</f>
        <v>0.77900000000000003</v>
      </c>
      <c r="G87" s="45">
        <f t="shared" ca="1" si="34"/>
        <v>2.8828385065887463E-5</v>
      </c>
      <c r="H87" s="45">
        <f t="shared" ca="1" si="34"/>
        <v>0</v>
      </c>
      <c r="I87" s="45">
        <f t="shared" ca="1" si="34"/>
        <v>6.8961775053831414E-3</v>
      </c>
      <c r="J87" s="45">
        <f t="shared" ca="1" si="34"/>
        <v>1.012683780666229E-3</v>
      </c>
      <c r="K87" s="45">
        <f t="shared" ca="1" si="34"/>
        <v>1.0283429725513657E-4</v>
      </c>
      <c r="L87" s="45">
        <f t="shared" ca="1" si="34"/>
        <v>1.5100920016225822E-5</v>
      </c>
      <c r="M87" s="45">
        <f t="shared" ca="1" si="34"/>
        <v>3.1452442181067101E-5</v>
      </c>
      <c r="N87" s="45">
        <f t="shared" ca="1" si="34"/>
        <v>4.6187004371981288E-6</v>
      </c>
      <c r="O87" s="45">
        <f t="shared" ca="1" si="34"/>
        <v>0.15009078310483354</v>
      </c>
      <c r="P87" s="45">
        <v>0</v>
      </c>
      <c r="Q87" s="22">
        <f t="shared" ca="1" si="31"/>
        <v>0.15818247913583841</v>
      </c>
      <c r="S87" s="45">
        <f t="shared" ca="1" si="35"/>
        <v>2.6674398564632625E-3</v>
      </c>
      <c r="T87" s="45">
        <f t="shared" ca="1" si="35"/>
        <v>0</v>
      </c>
      <c r="U87" s="45">
        <f t="shared" ca="1" si="35"/>
        <v>6.8975759907684798E-3</v>
      </c>
      <c r="V87" s="45">
        <f t="shared" ca="1" si="35"/>
        <v>1.0128891442123568E-3</v>
      </c>
      <c r="W87" s="45">
        <f t="shared" ca="1" si="35"/>
        <v>1.0285515116466987E-4</v>
      </c>
      <c r="X87" s="45">
        <f t="shared" ca="1" si="35"/>
        <v>1.5103982352705905E-5</v>
      </c>
      <c r="Y87" s="45">
        <f t="shared" ca="1" si="35"/>
        <v>3.1458820465368676E-5</v>
      </c>
      <c r="Z87" s="45">
        <f t="shared" ca="1" si="35"/>
        <v>4.6196370698552249E-6</v>
      </c>
      <c r="AA87" s="45">
        <f t="shared" ca="1" si="35"/>
        <v>0.14748261459731832</v>
      </c>
      <c r="AB87" s="45">
        <v>0</v>
      </c>
      <c r="AC87" s="22">
        <f t="shared" ca="1" si="32"/>
        <v>0.15821455717981503</v>
      </c>
    </row>
    <row r="88" spans="1:29" ht="12" customHeight="1" x14ac:dyDescent="0.25">
      <c r="A88" s="262"/>
      <c r="C88" s="263"/>
      <c r="D88" s="62">
        <f t="shared" si="33"/>
        <v>77</v>
      </c>
      <c r="E88" s="43">
        <f t="shared" si="30"/>
        <v>74.25</v>
      </c>
      <c r="F88" s="44" cm="1">
        <f t="array" ref="F88">_fnGENPOP.U(E88)</f>
        <v>0.77900000000000003</v>
      </c>
      <c r="G88" s="45">
        <f t="shared" ca="1" si="34"/>
        <v>2.7195790786376268E-5</v>
      </c>
      <c r="H88" s="45">
        <f t="shared" ca="1" si="34"/>
        <v>0</v>
      </c>
      <c r="I88" s="45">
        <f t="shared" ca="1" si="34"/>
        <v>6.8634500348742676E-3</v>
      </c>
      <c r="J88" s="45">
        <f t="shared" ca="1" si="34"/>
        <v>1.0078778459957978E-3</v>
      </c>
      <c r="K88" s="45">
        <f t="shared" ca="1" si="34"/>
        <v>1.023462723416115E-4</v>
      </c>
      <c r="L88" s="45">
        <f t="shared" ca="1" si="34"/>
        <v>1.5029254964956172E-5</v>
      </c>
      <c r="M88" s="45">
        <f t="shared" ca="1" si="34"/>
        <v>3.130317704496679E-5</v>
      </c>
      <c r="N88" s="45">
        <f t="shared" ca="1" si="34"/>
        <v>4.5967812823866793E-6</v>
      </c>
      <c r="O88" s="45">
        <f t="shared" ca="1" si="34"/>
        <v>0.14937998694361709</v>
      </c>
      <c r="P88" s="45">
        <v>0</v>
      </c>
      <c r="Q88" s="22">
        <f t="shared" ca="1" si="31"/>
        <v>0.15743178610090747</v>
      </c>
      <c r="S88" s="45">
        <f t="shared" ca="1" si="35"/>
        <v>2.5163787741081787E-3</v>
      </c>
      <c r="T88" s="45">
        <f t="shared" ca="1" si="35"/>
        <v>0</v>
      </c>
      <c r="U88" s="45">
        <f t="shared" ca="1" si="35"/>
        <v>6.8648418834105435E-3</v>
      </c>
      <c r="V88" s="45">
        <f t="shared" ca="1" si="35"/>
        <v>1.008082234939779E-3</v>
      </c>
      <c r="W88" s="45">
        <f t="shared" ca="1" si="35"/>
        <v>1.0236702728389683E-4</v>
      </c>
      <c r="X88" s="45">
        <f t="shared" ca="1" si="35"/>
        <v>1.5032302768381273E-5</v>
      </c>
      <c r="Y88" s="45">
        <f t="shared" ca="1" si="35"/>
        <v>3.1309525059584733E-5</v>
      </c>
      <c r="Z88" s="45">
        <f t="shared" ca="1" si="35"/>
        <v>4.5977134700280207E-6</v>
      </c>
      <c r="AA88" s="45">
        <f t="shared" ca="1" si="35"/>
        <v>0.14692110244976367</v>
      </c>
      <c r="AB88" s="45">
        <v>0</v>
      </c>
      <c r="AC88" s="22">
        <f t="shared" ca="1" si="32"/>
        <v>0.15746371191080405</v>
      </c>
    </row>
    <row r="89" spans="1:29" ht="12" customHeight="1" x14ac:dyDescent="0.25">
      <c r="A89" s="262"/>
      <c r="C89" s="263"/>
      <c r="D89" s="62">
        <f t="shared" si="33"/>
        <v>78</v>
      </c>
      <c r="E89" s="43">
        <f t="shared" si="30"/>
        <v>74.5</v>
      </c>
      <c r="F89" s="44" cm="1">
        <f t="array" ref="F89">_fnGENPOP.U(E89)</f>
        <v>0.77900000000000003</v>
      </c>
      <c r="G89" s="45">
        <f t="shared" ca="1" si="34"/>
        <v>2.5655652746623247E-5</v>
      </c>
      <c r="H89" s="45">
        <f t="shared" ca="1" si="34"/>
        <v>0</v>
      </c>
      <c r="I89" s="45">
        <f t="shared" ca="1" si="34"/>
        <v>6.8308778804553683E-3</v>
      </c>
      <c r="J89" s="45">
        <f t="shared" ca="1" si="34"/>
        <v>1.0030947190453059E-3</v>
      </c>
      <c r="K89" s="45">
        <f t="shared" ca="1" si="34"/>
        <v>1.0186056346779864E-4</v>
      </c>
      <c r="L89" s="45">
        <f t="shared" ca="1" si="34"/>
        <v>1.4957930017439668E-5</v>
      </c>
      <c r="M89" s="45">
        <f t="shared" ca="1" si="34"/>
        <v>3.1154620282503312E-5</v>
      </c>
      <c r="N89" s="45">
        <f t="shared" ca="1" si="34"/>
        <v>4.5749661502011141E-6</v>
      </c>
      <c r="O89" s="45">
        <f t="shared" ca="1" si="34"/>
        <v>0.14867247932832725</v>
      </c>
      <c r="P89" s="45">
        <v>0</v>
      </c>
      <c r="Q89" s="22">
        <f t="shared" ca="1" si="31"/>
        <v>0.1566846556604925</v>
      </c>
      <c r="S89" s="45">
        <f t="shared" ca="1" si="35"/>
        <v>2.3738725052935006E-3</v>
      </c>
      <c r="T89" s="45">
        <f t="shared" ca="1" si="35"/>
        <v>0</v>
      </c>
      <c r="U89" s="45">
        <f t="shared" ca="1" si="35"/>
        <v>6.8322631236393486E-3</v>
      </c>
      <c r="V89" s="45">
        <f t="shared" ca="1" si="35"/>
        <v>1.0032981380123495E-3</v>
      </c>
      <c r="W89" s="45">
        <f t="shared" ca="1" si="35"/>
        <v>1.0188121991250889E-4</v>
      </c>
      <c r="X89" s="45">
        <f t="shared" ca="1" si="35"/>
        <v>1.4960963356779903E-5</v>
      </c>
      <c r="Y89" s="45">
        <f t="shared" ca="1" si="35"/>
        <v>3.1160938171089684E-5</v>
      </c>
      <c r="Z89" s="45">
        <f t="shared" ca="1" si="35"/>
        <v>4.5758939139215938E-6</v>
      </c>
      <c r="AA89" s="45">
        <f t="shared" ca="1" si="35"/>
        <v>0.14635441717647302</v>
      </c>
      <c r="AB89" s="45">
        <v>0</v>
      </c>
      <c r="AC89" s="22">
        <f t="shared" ca="1" si="32"/>
        <v>0.15671642995877252</v>
      </c>
    </row>
    <row r="90" spans="1:29" ht="12" customHeight="1" x14ac:dyDescent="0.25">
      <c r="A90" s="262"/>
      <c r="C90" s="263"/>
      <c r="D90" s="62">
        <f t="shared" si="33"/>
        <v>79</v>
      </c>
      <c r="E90" s="43">
        <f t="shared" si="30"/>
        <v>74.75</v>
      </c>
      <c r="F90" s="44" cm="1">
        <f t="array" ref="F90">_fnGENPOP.U(E90)</f>
        <v>0.77900000000000003</v>
      </c>
      <c r="G90" s="45">
        <f t="shared" ca="1" si="34"/>
        <v>2.4202735012399363E-5</v>
      </c>
      <c r="H90" s="45">
        <f t="shared" ca="1" si="34"/>
        <v>0</v>
      </c>
      <c r="I90" s="45">
        <f t="shared" ca="1" si="34"/>
        <v>6.7984603050365517E-3</v>
      </c>
      <c r="J90" s="45">
        <f t="shared" ca="1" si="34"/>
        <v>9.9833429157522775E-4</v>
      </c>
      <c r="K90" s="45">
        <f t="shared" ca="1" si="34"/>
        <v>1.01377159642374E-4</v>
      </c>
      <c r="L90" s="45">
        <f t="shared" ca="1" si="34"/>
        <v>1.4886943559632077E-5</v>
      </c>
      <c r="M90" s="45">
        <f t="shared" ca="1" si="34"/>
        <v>3.1006768531919041E-5</v>
      </c>
      <c r="N90" s="45">
        <f t="shared" ca="1" si="34"/>
        <v>4.5532545469770205E-6</v>
      </c>
      <c r="O90" s="45">
        <f t="shared" ca="1" si="34"/>
        <v>0.14796824944953851</v>
      </c>
      <c r="P90" s="45">
        <v>0</v>
      </c>
      <c r="Q90" s="22">
        <f t="shared" ca="1" si="31"/>
        <v>0.15594107090744358</v>
      </c>
      <c r="S90" s="45">
        <f t="shared" ca="1" si="35"/>
        <v>2.2394365782176886E-3</v>
      </c>
      <c r="T90" s="45">
        <f t="shared" ca="1" si="35"/>
        <v>0</v>
      </c>
      <c r="U90" s="45">
        <f t="shared" ca="1" si="35"/>
        <v>6.7998389742155241E-3</v>
      </c>
      <c r="V90" s="45">
        <f t="shared" ca="1" si="35"/>
        <v>9.9853674516859302E-4</v>
      </c>
      <c r="W90" s="45">
        <f t="shared" ca="1" si="35"/>
        <v>1.0139771805695314E-4</v>
      </c>
      <c r="X90" s="45">
        <f t="shared" ca="1" si="35"/>
        <v>1.4889962503530239E-5</v>
      </c>
      <c r="Y90" s="45">
        <f t="shared" ca="1" si="35"/>
        <v>3.1013056437444192E-5</v>
      </c>
      <c r="Z90" s="45">
        <f t="shared" ca="1" si="35"/>
        <v>4.5541779077714183E-6</v>
      </c>
      <c r="AA90" s="45">
        <f t="shared" ca="1" si="35"/>
        <v>0.14578302720063441</v>
      </c>
      <c r="AB90" s="45">
        <v>0</v>
      </c>
      <c r="AC90" s="22">
        <f t="shared" ca="1" si="32"/>
        <v>0.1559726944131419</v>
      </c>
    </row>
    <row r="91" spans="1:29" ht="12" customHeight="1" x14ac:dyDescent="0.25">
      <c r="A91" s="262"/>
      <c r="C91" s="263"/>
      <c r="D91" s="62">
        <f t="shared" si="33"/>
        <v>80</v>
      </c>
      <c r="E91" s="43">
        <f t="shared" si="30"/>
        <v>75</v>
      </c>
      <c r="F91" s="44" cm="1">
        <f t="array" ref="F91">_fnGENPOP.U(E91)</f>
        <v>0.75329999999999997</v>
      </c>
      <c r="G91" s="45">
        <f t="shared" ref="G91:O100" ca="1" si="36">PRODUCT(AVERAGE(OFFSET(AB.Trace.MarkovQB.Root, $D91, (G$2-1)*AB.Trace.MarkovQB.NumCols+G$3-1, CHOOSE(swtchHalfCycle, 2, 1))), $F91+G$6, AB.cycleLength)</f>
        <v>2.2037927350230666E-5</v>
      </c>
      <c r="H91" s="45">
        <f t="shared" ca="1" si="36"/>
        <v>0</v>
      </c>
      <c r="I91" s="45">
        <f t="shared" ca="1" si="36"/>
        <v>6.5178902163543946E-3</v>
      </c>
      <c r="J91" s="45">
        <f t="shared" ca="1" si="36"/>
        <v>9.5713338311155863E-4</v>
      </c>
      <c r="K91" s="45">
        <f t="shared" ca="1" si="36"/>
        <v>9.7065874914206967E-5</v>
      </c>
      <c r="L91" s="45">
        <f t="shared" ca="1" si="36"/>
        <v>1.4253843829435067E-5</v>
      </c>
      <c r="M91" s="45">
        <f t="shared" ca="1" si="36"/>
        <v>2.9390929199079925E-5</v>
      </c>
      <c r="N91" s="45">
        <f t="shared" ca="1" si="36"/>
        <v>4.3159732004265015E-6</v>
      </c>
      <c r="O91" s="45">
        <f t="shared" ca="1" si="36"/>
        <v>0.14213307424672508</v>
      </c>
      <c r="P91" s="45">
        <v>0</v>
      </c>
      <c r="Q91" s="22">
        <f t="shared" ca="1" si="31"/>
        <v>0.14977516239468441</v>
      </c>
      <c r="S91" s="45">
        <f t="shared" ref="S91:AA100" ca="1" si="37">PRODUCT(AVERAGE(OFFSET(AB.Trace.MarkovQB.Root, $D91, (S$2-1)*AB.Trace.MarkovQB.NumCols+S$3-1, CHOOSE(swtchHalfCycle, 2, 1))), $F91+S$6, AB.cycleLength)</f>
        <v>2.0391307259665756E-3</v>
      </c>
      <c r="T91" s="45">
        <f t="shared" ca="1" si="37"/>
        <v>0</v>
      </c>
      <c r="U91" s="45">
        <f t="shared" ca="1" si="37"/>
        <v>6.5192119883365832E-3</v>
      </c>
      <c r="V91" s="45">
        <f t="shared" ca="1" si="37"/>
        <v>9.5732748151564626E-4</v>
      </c>
      <c r="W91" s="45">
        <f t="shared" ca="1" si="37"/>
        <v>9.7085559037386325E-5</v>
      </c>
      <c r="X91" s="45">
        <f t="shared" ca="1" si="37"/>
        <v>1.4256734386162297E-5</v>
      </c>
      <c r="Y91" s="45">
        <f t="shared" ca="1" si="37"/>
        <v>2.9396889426309337E-5</v>
      </c>
      <c r="Z91" s="45">
        <f t="shared" ca="1" si="37"/>
        <v>4.3168484426080732E-6</v>
      </c>
      <c r="AA91" s="45">
        <f t="shared" ca="1" si="37"/>
        <v>0.14014480928014633</v>
      </c>
      <c r="AB91" s="45">
        <v>0</v>
      </c>
      <c r="AC91" s="22">
        <f t="shared" ca="1" si="32"/>
        <v>0.14980553550725761</v>
      </c>
    </row>
    <row r="92" spans="1:29" ht="12" customHeight="1" x14ac:dyDescent="0.25">
      <c r="A92" s="262"/>
      <c r="C92" s="263"/>
      <c r="D92" s="62">
        <f t="shared" si="33"/>
        <v>81</v>
      </c>
      <c r="E92" s="43">
        <f t="shared" si="30"/>
        <v>75.25</v>
      </c>
      <c r="F92" s="44" cm="1">
        <f t="array" ref="F92">_fnGENPOP.U(E92)</f>
        <v>0.75329999999999997</v>
      </c>
      <c r="G92" s="45">
        <f t="shared" ca="1" si="36"/>
        <v>2.0710517827129883E-5</v>
      </c>
      <c r="H92" s="45">
        <f t="shared" ca="1" si="36"/>
        <v>0</v>
      </c>
      <c r="I92" s="45">
        <f t="shared" ca="1" si="36"/>
        <v>6.4743988083252619E-3</v>
      </c>
      <c r="J92" s="45">
        <f t="shared" ca="1" si="36"/>
        <v>9.5259107622569462E-4</v>
      </c>
      <c r="K92" s="45">
        <f t="shared" ca="1" si="36"/>
        <v>9.6418191165099617E-5</v>
      </c>
      <c r="L92" s="45">
        <f t="shared" ca="1" si="36"/>
        <v>1.4186198782131431E-5</v>
      </c>
      <c r="M92" s="45">
        <f t="shared" ca="1" si="36"/>
        <v>2.9194814681694344E-5</v>
      </c>
      <c r="N92" s="45">
        <f t="shared" ca="1" si="36"/>
        <v>4.2954907105944479E-6</v>
      </c>
      <c r="O92" s="45">
        <f t="shared" ca="1" si="36"/>
        <v>0.14092486828557338</v>
      </c>
      <c r="P92" s="45">
        <v>0</v>
      </c>
      <c r="Q92" s="22">
        <f t="shared" ca="1" si="31"/>
        <v>0.14851666338329098</v>
      </c>
      <c r="S92" s="45">
        <f t="shared" ca="1" si="37"/>
        <v>1.9163078533125772E-3</v>
      </c>
      <c r="T92" s="45">
        <f t="shared" ca="1" si="37"/>
        <v>0</v>
      </c>
      <c r="U92" s="45">
        <f t="shared" ca="1" si="37"/>
        <v>6.475711760624594E-3</v>
      </c>
      <c r="V92" s="45">
        <f t="shared" ca="1" si="37"/>
        <v>9.5278425348907948E-4</v>
      </c>
      <c r="W92" s="45">
        <f t="shared" ca="1" si="37"/>
        <v>9.6437743943594647E-5</v>
      </c>
      <c r="X92" s="45">
        <f t="shared" ca="1" si="37"/>
        <v>1.4189075621025852E-5</v>
      </c>
      <c r="Y92" s="45">
        <f t="shared" ca="1" si="37"/>
        <v>2.9200735138589219E-5</v>
      </c>
      <c r="Z92" s="45">
        <f t="shared" ca="1" si="37"/>
        <v>4.2963617991035439E-6</v>
      </c>
      <c r="AA92" s="45">
        <f t="shared" ca="1" si="37"/>
        <v>0.13905785349917849</v>
      </c>
      <c r="AB92" s="45">
        <v>0</v>
      </c>
      <c r="AC92" s="22">
        <f t="shared" ca="1" si="32"/>
        <v>0.14854678128310705</v>
      </c>
    </row>
    <row r="93" spans="1:29" ht="12" customHeight="1" x14ac:dyDescent="0.25">
      <c r="A93" s="262"/>
      <c r="C93" s="263"/>
      <c r="D93" s="62">
        <f t="shared" si="33"/>
        <v>82</v>
      </c>
      <c r="E93" s="43">
        <f t="shared" si="30"/>
        <v>75.5</v>
      </c>
      <c r="F93" s="44" cm="1">
        <f t="array" ref="F93">_fnGENPOP.U(E93)</f>
        <v>0.75329999999999997</v>
      </c>
      <c r="G93" s="45">
        <f t="shared" ca="1" si="36"/>
        <v>1.9463062104312419E-5</v>
      </c>
      <c r="H93" s="45">
        <f t="shared" ca="1" si="36"/>
        <v>0</v>
      </c>
      <c r="I93" s="45">
        <f t="shared" ca="1" si="36"/>
        <v>6.4193110855275256E-3</v>
      </c>
      <c r="J93" s="45">
        <f t="shared" ca="1" si="36"/>
        <v>9.4623479745973909E-4</v>
      </c>
      <c r="K93" s="45">
        <f t="shared" ca="1" si="36"/>
        <v>9.5597812509905819E-5</v>
      </c>
      <c r="L93" s="45">
        <f t="shared" ca="1" si="36"/>
        <v>1.4091539660983918E-5</v>
      </c>
      <c r="M93" s="45">
        <f t="shared" ca="1" si="36"/>
        <v>2.8946409245772104E-5</v>
      </c>
      <c r="N93" s="45">
        <f t="shared" ca="1" si="36"/>
        <v>4.2668285311193993E-6</v>
      </c>
      <c r="O93" s="45">
        <f t="shared" ca="1" si="36"/>
        <v>0.13974245529327559</v>
      </c>
      <c r="P93" s="45">
        <v>0</v>
      </c>
      <c r="Q93" s="22">
        <f t="shared" ca="1" si="31"/>
        <v>0.14727036682831496</v>
      </c>
      <c r="S93" s="45">
        <f t="shared" ca="1" si="37"/>
        <v>1.8008829654247737E-3</v>
      </c>
      <c r="T93" s="45">
        <f t="shared" ca="1" si="37"/>
        <v>0</v>
      </c>
      <c r="U93" s="45">
        <f t="shared" ca="1" si="37"/>
        <v>6.4206128665112707E-3</v>
      </c>
      <c r="V93" s="45">
        <f t="shared" ca="1" si="37"/>
        <v>9.4642668572455146E-4</v>
      </c>
      <c r="W93" s="45">
        <f t="shared" ca="1" si="37"/>
        <v>9.5617198922677405E-5</v>
      </c>
      <c r="X93" s="45">
        <f t="shared" ca="1" si="37"/>
        <v>1.409439730382409E-5</v>
      </c>
      <c r="Y93" s="45">
        <f t="shared" ca="1" si="37"/>
        <v>2.895227932818467E-5</v>
      </c>
      <c r="Z93" s="45">
        <f t="shared" ca="1" si="37"/>
        <v>4.2676938071854315E-6</v>
      </c>
      <c r="AA93" s="45">
        <f t="shared" ca="1" si="37"/>
        <v>0.13798937790290444</v>
      </c>
      <c r="AB93" s="45">
        <v>0</v>
      </c>
      <c r="AC93" s="22">
        <f t="shared" ca="1" si="32"/>
        <v>0.14730023198992692</v>
      </c>
    </row>
    <row r="94" spans="1:29" ht="12" customHeight="1" x14ac:dyDescent="0.25">
      <c r="A94" s="262"/>
      <c r="C94" s="263"/>
      <c r="D94" s="62">
        <f t="shared" si="33"/>
        <v>83</v>
      </c>
      <c r="E94" s="43">
        <f t="shared" si="30"/>
        <v>75.75</v>
      </c>
      <c r="F94" s="44" cm="1">
        <f t="array" ref="F94">_fnGENPOP.U(E94)</f>
        <v>0.75329999999999997</v>
      </c>
      <c r="G94" s="45">
        <f t="shared" ca="1" si="36"/>
        <v>1.8290744327990505E-5</v>
      </c>
      <c r="H94" s="45">
        <f t="shared" ca="1" si="36"/>
        <v>0</v>
      </c>
      <c r="I94" s="45">
        <f t="shared" ca="1" si="36"/>
        <v>6.3654017348406351E-3</v>
      </c>
      <c r="J94" s="45">
        <f t="shared" ca="1" si="36"/>
        <v>9.3818371476199014E-4</v>
      </c>
      <c r="K94" s="45">
        <f t="shared" ca="1" si="36"/>
        <v>9.4794982435022088E-5</v>
      </c>
      <c r="L94" s="45">
        <f t="shared" ca="1" si="36"/>
        <v>1.3971641141658941E-5</v>
      </c>
      <c r="M94" s="45">
        <f t="shared" ca="1" si="36"/>
        <v>2.8703317408289E-5</v>
      </c>
      <c r="N94" s="45">
        <f t="shared" ca="1" si="36"/>
        <v>4.2305240224991494E-6</v>
      </c>
      <c r="O94" s="45">
        <f t="shared" ca="1" si="36"/>
        <v>0.1385710743616915</v>
      </c>
      <c r="P94" s="45">
        <v>0</v>
      </c>
      <c r="Q94" s="22">
        <f t="shared" ca="1" si="31"/>
        <v>0.14603465102062957</v>
      </c>
      <c r="S94" s="45">
        <f t="shared" ca="1" si="37"/>
        <v>1.6924104598073247E-3</v>
      </c>
      <c r="T94" s="45">
        <f t="shared" ca="1" si="37"/>
        <v>0</v>
      </c>
      <c r="U94" s="45">
        <f t="shared" ca="1" si="37"/>
        <v>6.3666925834725101E-3</v>
      </c>
      <c r="V94" s="45">
        <f t="shared" ca="1" si="37"/>
        <v>9.38373970336594E-4</v>
      </c>
      <c r="W94" s="45">
        <f t="shared" ca="1" si="37"/>
        <v>9.4814206040771132E-5</v>
      </c>
      <c r="X94" s="45">
        <f t="shared" ca="1" si="37"/>
        <v>1.3974474470112358E-5</v>
      </c>
      <c r="Y94" s="45">
        <f t="shared" ca="1" si="37"/>
        <v>2.8709138193771235E-5</v>
      </c>
      <c r="Z94" s="45">
        <f t="shared" ca="1" si="37"/>
        <v>4.2313819363236093E-6</v>
      </c>
      <c r="AA94" s="45">
        <f t="shared" ca="1" si="37"/>
        <v>0.1369250593754644</v>
      </c>
      <c r="AB94" s="45">
        <v>0</v>
      </c>
      <c r="AC94" s="22">
        <f t="shared" ca="1" si="32"/>
        <v>0.1460642655897218</v>
      </c>
    </row>
    <row r="95" spans="1:29" ht="12" customHeight="1" x14ac:dyDescent="0.25">
      <c r="A95" s="262"/>
      <c r="C95" s="263"/>
      <c r="D95" s="62">
        <f t="shared" si="33"/>
        <v>84</v>
      </c>
      <c r="E95" s="43">
        <f t="shared" si="30"/>
        <v>76</v>
      </c>
      <c r="F95" s="44" cm="1">
        <f t="array" ref="F95">_fnGENPOP.U(E95)</f>
        <v>0.75329999999999997</v>
      </c>
      <c r="G95" s="45">
        <f t="shared" ca="1" si="36"/>
        <v>1.7189038717488882E-5</v>
      </c>
      <c r="H95" s="45">
        <f t="shared" ca="1" si="36"/>
        <v>0</v>
      </c>
      <c r="I95" s="45">
        <f t="shared" ca="1" si="36"/>
        <v>6.3119982571587302E-3</v>
      </c>
      <c r="J95" s="45">
        <f t="shared" ca="1" si="36"/>
        <v>9.3030485140516356E-4</v>
      </c>
      <c r="K95" s="45">
        <f t="shared" ca="1" si="36"/>
        <v>9.3999685933763313E-5</v>
      </c>
      <c r="L95" s="45">
        <f t="shared" ca="1" si="36"/>
        <v>1.3854307351172426E-5</v>
      </c>
      <c r="M95" s="45">
        <f t="shared" ca="1" si="36"/>
        <v>2.8462506688956051E-5</v>
      </c>
      <c r="N95" s="45">
        <f t="shared" ca="1" si="36"/>
        <v>4.1949960974493122E-6</v>
      </c>
      <c r="O95" s="45">
        <f t="shared" ca="1" si="36"/>
        <v>0.13740928153407997</v>
      </c>
      <c r="P95" s="45">
        <v>0</v>
      </c>
      <c r="Q95" s="22">
        <f t="shared" ca="1" si="31"/>
        <v>0.14480928517743269</v>
      </c>
      <c r="S95" s="45">
        <f t="shared" ca="1" si="37"/>
        <v>1.590471573920213E-3</v>
      </c>
      <c r="T95" s="45">
        <f t="shared" ca="1" si="37"/>
        <v>0</v>
      </c>
      <c r="U95" s="45">
        <f t="shared" ca="1" si="37"/>
        <v>6.313278276025419E-3</v>
      </c>
      <c r="V95" s="45">
        <f t="shared" ca="1" si="37"/>
        <v>9.3049350921415783E-4</v>
      </c>
      <c r="W95" s="45">
        <f t="shared" ca="1" si="37"/>
        <v>9.401874826023362E-5</v>
      </c>
      <c r="X95" s="45">
        <f t="shared" ca="1" si="37"/>
        <v>1.3857116885343997E-5</v>
      </c>
      <c r="Y95" s="45">
        <f t="shared" ca="1" si="37"/>
        <v>2.8468278640099057E-5</v>
      </c>
      <c r="Z95" s="45">
        <f t="shared" ca="1" si="37"/>
        <v>4.1958468065166548E-6</v>
      </c>
      <c r="AA95" s="45">
        <f t="shared" ca="1" si="37"/>
        <v>0.13586386790313687</v>
      </c>
      <c r="AB95" s="45">
        <v>0</v>
      </c>
      <c r="AC95" s="22">
        <f t="shared" ca="1" si="32"/>
        <v>0.14483865125288886</v>
      </c>
    </row>
    <row r="96" spans="1:29" ht="12" customHeight="1" x14ac:dyDescent="0.25">
      <c r="A96" s="262"/>
      <c r="C96" s="263"/>
      <c r="D96" s="62">
        <f t="shared" si="33"/>
        <v>85</v>
      </c>
      <c r="E96" s="43">
        <f t="shared" si="30"/>
        <v>76.25</v>
      </c>
      <c r="F96" s="44" cm="1">
        <f t="array" ref="F96">_fnGENPOP.U(E96)</f>
        <v>0.75329999999999997</v>
      </c>
      <c r="G96" s="45">
        <f t="shared" ca="1" si="36"/>
        <v>1.6153692093283588E-5</v>
      </c>
      <c r="H96" s="45">
        <f t="shared" ca="1" si="36"/>
        <v>0</v>
      </c>
      <c r="I96" s="45">
        <f t="shared" ca="1" si="36"/>
        <v>6.2590346819136776E-3</v>
      </c>
      <c r="J96" s="45">
        <f t="shared" ca="1" si="36"/>
        <v>9.2249992149831192E-4</v>
      </c>
      <c r="K96" s="45">
        <f t="shared" ca="1" si="36"/>
        <v>9.3210940557714148E-5</v>
      </c>
      <c r="L96" s="45">
        <f t="shared" ca="1" si="36"/>
        <v>1.3738074594113751E-5</v>
      </c>
      <c r="M96" s="45">
        <f t="shared" ca="1" si="36"/>
        <v>2.8223679608645365E-5</v>
      </c>
      <c r="N96" s="45">
        <f t="shared" ca="1" si="36"/>
        <v>4.159801558314474E-6</v>
      </c>
      <c r="O96" s="45">
        <f t="shared" ca="1" si="36"/>
        <v>0.13625718053706068</v>
      </c>
      <c r="P96" s="45">
        <v>0</v>
      </c>
      <c r="Q96" s="22">
        <f t="shared" ca="1" si="31"/>
        <v>0.14359420132888473</v>
      </c>
      <c r="S96" s="45">
        <f t="shared" ca="1" si="37"/>
        <v>1.4946727685293474E-3</v>
      </c>
      <c r="T96" s="45">
        <f t="shared" ca="1" si="37"/>
        <v>0</v>
      </c>
      <c r="U96" s="45">
        <f t="shared" ca="1" si="37"/>
        <v>6.2603039602236038E-3</v>
      </c>
      <c r="V96" s="45">
        <f t="shared" ca="1" si="37"/>
        <v>9.2268699653476273E-4</v>
      </c>
      <c r="W96" s="45">
        <f t="shared" ca="1" si="37"/>
        <v>9.3229842933417495E-5</v>
      </c>
      <c r="X96" s="45">
        <f t="shared" ca="1" si="37"/>
        <v>1.3740860557283574E-5</v>
      </c>
      <c r="Y96" s="45">
        <f t="shared" ca="1" si="37"/>
        <v>2.8229403127714062E-5</v>
      </c>
      <c r="Z96" s="45">
        <f t="shared" ca="1" si="37"/>
        <v>4.1606451302324924E-6</v>
      </c>
      <c r="AA96" s="45">
        <f t="shared" ca="1" si="37"/>
        <v>0.13480629651876835</v>
      </c>
      <c r="AB96" s="45">
        <v>0</v>
      </c>
      <c r="AC96" s="22">
        <f t="shared" ca="1" si="32"/>
        <v>0.14362332099580472</v>
      </c>
    </row>
    <row r="97" spans="1:29" ht="12" customHeight="1" x14ac:dyDescent="0.25">
      <c r="A97" s="262"/>
      <c r="C97" s="263"/>
      <c r="D97" s="62">
        <f t="shared" si="33"/>
        <v>86</v>
      </c>
      <c r="E97" s="43">
        <f t="shared" si="30"/>
        <v>76.5</v>
      </c>
      <c r="F97" s="44" cm="1">
        <f t="array" ref="F97">_fnGENPOP.U(E97)</f>
        <v>0.75329999999999997</v>
      </c>
      <c r="G97" s="45">
        <f t="shared" ca="1" si="36"/>
        <v>1.5180707457428618E-5</v>
      </c>
      <c r="H97" s="45">
        <f t="shared" ca="1" si="36"/>
        <v>0</v>
      </c>
      <c r="I97" s="45">
        <f t="shared" ca="1" si="36"/>
        <v>6.2065155395842767E-3</v>
      </c>
      <c r="J97" s="45">
        <f t="shared" ca="1" si="36"/>
        <v>9.1475928342851863E-4</v>
      </c>
      <c r="K97" s="45">
        <f t="shared" ca="1" si="36"/>
        <v>9.2428813775775461E-5</v>
      </c>
      <c r="L97" s="45">
        <f t="shared" ca="1" si="36"/>
        <v>1.3622799285432815E-5</v>
      </c>
      <c r="M97" s="45">
        <f t="shared" ca="1" si="36"/>
        <v>2.7986856596510747E-5</v>
      </c>
      <c r="N97" s="45">
        <f t="shared" ca="1" si="36"/>
        <v>4.1248969284552361E-6</v>
      </c>
      <c r="O97" s="45">
        <f t="shared" ca="1" si="36"/>
        <v>0.13511469440009344</v>
      </c>
      <c r="P97" s="45">
        <v>0</v>
      </c>
      <c r="Q97" s="22">
        <f t="shared" ca="1" si="31"/>
        <v>0.14238931329714982</v>
      </c>
      <c r="S97" s="45">
        <f t="shared" ca="1" si="37"/>
        <v>1.40464420843227E-3</v>
      </c>
      <c r="T97" s="45">
        <f t="shared" ca="1" si="37"/>
        <v>0</v>
      </c>
      <c r="U97" s="45">
        <f t="shared" ca="1" si="37"/>
        <v>6.2077741674646074E-3</v>
      </c>
      <c r="V97" s="45">
        <f t="shared" ca="1" si="37"/>
        <v>9.149447887302571E-4</v>
      </c>
      <c r="W97" s="45">
        <f t="shared" ca="1" si="37"/>
        <v>9.2447557542905701E-5</v>
      </c>
      <c r="X97" s="45">
        <f t="shared" ca="1" si="37"/>
        <v>1.3625561871763172E-5</v>
      </c>
      <c r="Y97" s="45">
        <f t="shared" ca="1" si="37"/>
        <v>2.7992532089912887E-5</v>
      </c>
      <c r="Z97" s="45">
        <f t="shared" ca="1" si="37"/>
        <v>4.1257334220150336E-6</v>
      </c>
      <c r="AA97" s="45">
        <f t="shared" ca="1" si="37"/>
        <v>0.13375263407360377</v>
      </c>
      <c r="AB97" s="45">
        <v>0</v>
      </c>
      <c r="AC97" s="22">
        <f t="shared" ca="1" si="32"/>
        <v>0.1424181886231575</v>
      </c>
    </row>
    <row r="98" spans="1:29" ht="12" customHeight="1" x14ac:dyDescent="0.25">
      <c r="A98" s="262"/>
      <c r="C98" s="263"/>
      <c r="D98" s="62">
        <f t="shared" si="33"/>
        <v>87</v>
      </c>
      <c r="E98" s="43">
        <f t="shared" si="30"/>
        <v>76.75</v>
      </c>
      <c r="F98" s="44" cm="1">
        <f t="array" ref="F98">_fnGENPOP.U(E98)</f>
        <v>0.75329999999999997</v>
      </c>
      <c r="G98" s="45">
        <f t="shared" ca="1" si="36"/>
        <v>1.4266328562982043E-5</v>
      </c>
      <c r="H98" s="45">
        <f t="shared" ca="1" si="36"/>
        <v>0</v>
      </c>
      <c r="I98" s="45">
        <f t="shared" ca="1" si="36"/>
        <v>6.1544371425357762E-3</v>
      </c>
      <c r="J98" s="45">
        <f t="shared" ca="1" si="36"/>
        <v>9.0708359932624839E-4</v>
      </c>
      <c r="K98" s="45">
        <f t="shared" ca="1" si="36"/>
        <v>9.1653250670867972E-5</v>
      </c>
      <c r="L98" s="45">
        <f t="shared" ca="1" si="36"/>
        <v>1.3508491285724188E-5</v>
      </c>
      <c r="M98" s="45">
        <f t="shared" ca="1" si="36"/>
        <v>2.7752021024010083E-5</v>
      </c>
      <c r="N98" s="45">
        <f t="shared" ca="1" si="36"/>
        <v>4.0902851935968808E-6</v>
      </c>
      <c r="O98" s="45">
        <f t="shared" ca="1" si="36"/>
        <v>0.13398174426319107</v>
      </c>
      <c r="P98" s="45">
        <v>0</v>
      </c>
      <c r="Q98" s="22">
        <f t="shared" ca="1" si="31"/>
        <v>0.14119453538179028</v>
      </c>
      <c r="S98" s="45">
        <f t="shared" ca="1" si="37"/>
        <v>1.3200383346942458E-3</v>
      </c>
      <c r="T98" s="45">
        <f t="shared" ca="1" si="37"/>
        <v>0</v>
      </c>
      <c r="U98" s="45">
        <f t="shared" ca="1" si="37"/>
        <v>6.1556852093658573E-3</v>
      </c>
      <c r="V98" s="45">
        <f t="shared" ca="1" si="37"/>
        <v>9.0726754806537944E-4</v>
      </c>
      <c r="W98" s="45">
        <f t="shared" ca="1" si="37"/>
        <v>9.1671837160482223E-5</v>
      </c>
      <c r="X98" s="45">
        <f t="shared" ca="1" si="37"/>
        <v>1.3511230691377E-5</v>
      </c>
      <c r="Y98" s="45">
        <f t="shared" ca="1" si="37"/>
        <v>2.7757648894781307E-5</v>
      </c>
      <c r="Z98" s="45">
        <f t="shared" ca="1" si="37"/>
        <v>4.0911146681950403E-6</v>
      </c>
      <c r="AA98" s="45">
        <f t="shared" ca="1" si="37"/>
        <v>0.13270314549358977</v>
      </c>
      <c r="AB98" s="45">
        <v>0</v>
      </c>
      <c r="AC98" s="22">
        <f t="shared" ca="1" si="32"/>
        <v>0.14122316841713009</v>
      </c>
    </row>
    <row r="99" spans="1:29" ht="12" customHeight="1" x14ac:dyDescent="0.25">
      <c r="A99" s="262"/>
      <c r="C99" s="263"/>
      <c r="D99" s="62">
        <f t="shared" si="33"/>
        <v>88</v>
      </c>
      <c r="E99" s="43">
        <f t="shared" si="30"/>
        <v>77</v>
      </c>
      <c r="F99" s="44" cm="1">
        <f t="array" ref="F99">_fnGENPOP.U(E99)</f>
        <v>0.75329999999999997</v>
      </c>
      <c r="G99" s="45">
        <f t="shared" ca="1" si="36"/>
        <v>1.3407025412861217E-5</v>
      </c>
      <c r="H99" s="45">
        <f t="shared" ca="1" si="36"/>
        <v>0</v>
      </c>
      <c r="I99" s="45">
        <f t="shared" ca="1" si="36"/>
        <v>6.1027957280442051E-3</v>
      </c>
      <c r="J99" s="45">
        <f t="shared" ca="1" si="36"/>
        <v>8.9947233024287819E-4</v>
      </c>
      <c r="K99" s="45">
        <f t="shared" ca="1" si="36"/>
        <v>9.0884195207666945E-5</v>
      </c>
      <c r="L99" s="45">
        <f t="shared" ca="1" si="36"/>
        <v>1.3395142568844752E-5</v>
      </c>
      <c r="M99" s="45">
        <f t="shared" ca="1" si="36"/>
        <v>2.7519155924003677E-5</v>
      </c>
      <c r="N99" s="45">
        <f t="shared" ca="1" si="36"/>
        <v>4.0559639234743532E-6</v>
      </c>
      <c r="O99" s="45">
        <f t="shared" ca="1" si="36"/>
        <v>0.13285825321520203</v>
      </c>
      <c r="P99" s="45">
        <v>0</v>
      </c>
      <c r="Q99" s="22">
        <f t="shared" ca="1" si="31"/>
        <v>0.14000978275652598</v>
      </c>
      <c r="S99" s="45">
        <f t="shared" ca="1" si="37"/>
        <v>1.2405285228827962E-3</v>
      </c>
      <c r="T99" s="45">
        <f t="shared" ca="1" si="37"/>
        <v>0</v>
      </c>
      <c r="U99" s="45">
        <f t="shared" ca="1" si="37"/>
        <v>6.1040333224403349E-3</v>
      </c>
      <c r="V99" s="45">
        <f t="shared" ca="1" si="37"/>
        <v>8.9965473548221241E-4</v>
      </c>
      <c r="W99" s="45">
        <f t="shared" ca="1" si="37"/>
        <v>9.0902625739458964E-5</v>
      </c>
      <c r="X99" s="45">
        <f t="shared" ca="1" si="37"/>
        <v>1.3397858988354319E-5</v>
      </c>
      <c r="Y99" s="45">
        <f t="shared" ca="1" si="37"/>
        <v>2.7524736571738829E-5</v>
      </c>
      <c r="Z99" s="45">
        <f t="shared" ca="1" si="37"/>
        <v>4.0567864380146206E-6</v>
      </c>
      <c r="AA99" s="45">
        <f t="shared" ca="1" si="37"/>
        <v>0.13165807694569751</v>
      </c>
      <c r="AB99" s="45">
        <v>0</v>
      </c>
      <c r="AC99" s="22">
        <f t="shared" ca="1" si="32"/>
        <v>0.14003817553424042</v>
      </c>
    </row>
    <row r="100" spans="1:29" ht="12" customHeight="1" x14ac:dyDescent="0.25">
      <c r="A100" s="262"/>
      <c r="C100" s="263"/>
      <c r="D100" s="62">
        <f t="shared" si="33"/>
        <v>89</v>
      </c>
      <c r="E100" s="43">
        <f t="shared" si="30"/>
        <v>77.25</v>
      </c>
      <c r="F100" s="44" cm="1">
        <f t="array" ref="F100">_fnGENPOP.U(E100)</f>
        <v>0.75329999999999997</v>
      </c>
      <c r="G100" s="45">
        <f t="shared" ca="1" si="36"/>
        <v>1.2599480632144806E-5</v>
      </c>
      <c r="H100" s="45">
        <f t="shared" ca="1" si="36"/>
        <v>0</v>
      </c>
      <c r="I100" s="45">
        <f t="shared" ca="1" si="36"/>
        <v>6.0515876324490122E-3</v>
      </c>
      <c r="J100" s="45">
        <f t="shared" ca="1" si="36"/>
        <v>8.9192492625547867E-4</v>
      </c>
      <c r="K100" s="45">
        <f t="shared" ca="1" si="36"/>
        <v>9.0121592826122407E-5</v>
      </c>
      <c r="L100" s="45">
        <f t="shared" ca="1" si="36"/>
        <v>1.3282744945219595E-5</v>
      </c>
      <c r="M100" s="45">
        <f t="shared" ca="1" si="36"/>
        <v>2.7288244776055582E-5</v>
      </c>
      <c r="N100" s="45">
        <f t="shared" ca="1" si="36"/>
        <v>4.0219306383364846E-6</v>
      </c>
      <c r="O100" s="45">
        <f t="shared" ca="1" si="36"/>
        <v>0.13174414474814938</v>
      </c>
      <c r="P100" s="45">
        <v>0</v>
      </c>
      <c r="Q100" s="22">
        <f t="shared" ca="1" si="31"/>
        <v>0.13883497130067174</v>
      </c>
      <c r="S100" s="45">
        <f t="shared" ca="1" si="37"/>
        <v>1.1658078221207285E-3</v>
      </c>
      <c r="T100" s="45">
        <f t="shared" ca="1" si="37"/>
        <v>0</v>
      </c>
      <c r="U100" s="45">
        <f t="shared" ca="1" si="37"/>
        <v>6.0528148422845304E-3</v>
      </c>
      <c r="V100" s="45">
        <f t="shared" ca="1" si="37"/>
        <v>8.9210580094630789E-4</v>
      </c>
      <c r="W100" s="45">
        <f t="shared" ca="1" si="37"/>
        <v>9.0139868708721506E-5</v>
      </c>
      <c r="X100" s="45">
        <f t="shared" ca="1" si="37"/>
        <v>1.3285438571459433E-5</v>
      </c>
      <c r="Y100" s="45">
        <f t="shared" ca="1" si="37"/>
        <v>2.7293778596999307E-5</v>
      </c>
      <c r="Z100" s="45">
        <f t="shared" ca="1" si="37"/>
        <v>4.0227462512197345E-6</v>
      </c>
      <c r="AA100" s="45">
        <f t="shared" ca="1" si="37"/>
        <v>0.13061765553926435</v>
      </c>
      <c r="AB100" s="45">
        <v>0</v>
      </c>
      <c r="AC100" s="22">
        <f t="shared" ca="1" si="32"/>
        <v>0.13886312583674432</v>
      </c>
    </row>
    <row r="101" spans="1:29" ht="12" customHeight="1" x14ac:dyDescent="0.25">
      <c r="A101" s="262"/>
      <c r="C101" s="263"/>
      <c r="D101" s="62">
        <f t="shared" si="33"/>
        <v>90</v>
      </c>
      <c r="E101" s="43">
        <f t="shared" si="30"/>
        <v>77.5</v>
      </c>
      <c r="F101" s="44" cm="1">
        <f t="array" ref="F101">_fnGENPOP.U(E101)</f>
        <v>0.75329999999999997</v>
      </c>
      <c r="G101" s="45">
        <f t="shared" ref="G101:O110" ca="1" si="38">PRODUCT(AVERAGE(OFFSET(AB.Trace.MarkovQB.Root, $D101, (G$2-1)*AB.Trace.MarkovQB.NumCols+G$3-1, CHOOSE(swtchHalfCycle, 2, 1))), $F101+G$6, AB.cycleLength)</f>
        <v>1.1840576661211358E-5</v>
      </c>
      <c r="H101" s="45">
        <f t="shared" ca="1" si="38"/>
        <v>0</v>
      </c>
      <c r="I101" s="45">
        <f t="shared" ca="1" si="38"/>
        <v>6.0008092201358672E-3</v>
      </c>
      <c r="J101" s="45">
        <f t="shared" ca="1" si="38"/>
        <v>8.8444085191926268E-4</v>
      </c>
      <c r="K101" s="45">
        <f t="shared" ca="1" si="38"/>
        <v>8.9365389383854772E-5</v>
      </c>
      <c r="L101" s="45">
        <f t="shared" ca="1" si="38"/>
        <v>1.3171290440885502E-5</v>
      </c>
      <c r="M101" s="45">
        <f t="shared" ca="1" si="38"/>
        <v>2.7059271186197836E-5</v>
      </c>
      <c r="N101" s="45">
        <f t="shared" ca="1" si="38"/>
        <v>3.988182923717964E-6</v>
      </c>
      <c r="O101" s="45">
        <f t="shared" ca="1" si="38"/>
        <v>0.13063934281588688</v>
      </c>
      <c r="P101" s="45">
        <v>0</v>
      </c>
      <c r="Q101" s="22">
        <f t="shared" ca="1" si="31"/>
        <v>0.13767001759853786</v>
      </c>
      <c r="S101" s="45">
        <f t="shared" ref="S101:AA110" ca="1" si="39">PRODUCT(AVERAGE(OFFSET(AB.Trace.MarkovQB.Root, $D101, (S$2-1)*AB.Trace.MarkovQB.NumCols+S$3-1, CHOOSE(swtchHalfCycle, 2, 1))), $F101+S$6, AB.cycleLength)</f>
        <v>1.0955877700897355E-3</v>
      </c>
      <c r="T101" s="45">
        <f t="shared" ca="1" si="39"/>
        <v>0</v>
      </c>
      <c r="U101" s="45">
        <f t="shared" ca="1" si="39"/>
        <v>6.0020261325468395E-3</v>
      </c>
      <c r="V101" s="45">
        <f t="shared" ca="1" si="39"/>
        <v>8.8462020890429406E-4</v>
      </c>
      <c r="W101" s="45">
        <f t="shared" ca="1" si="39"/>
        <v>8.9383511914910697E-5</v>
      </c>
      <c r="X101" s="45">
        <f t="shared" ca="1" si="39"/>
        <v>1.3173961465112079E-5</v>
      </c>
      <c r="Y101" s="45">
        <f t="shared" ca="1" si="39"/>
        <v>2.7064758573270215E-5</v>
      </c>
      <c r="Z101" s="45">
        <f t="shared" ca="1" si="39"/>
        <v>3.9889916928554366E-6</v>
      </c>
      <c r="AA101" s="45">
        <f t="shared" ca="1" si="39"/>
        <v>0.12958209055684905</v>
      </c>
      <c r="AB101" s="45">
        <v>0</v>
      </c>
      <c r="AC101" s="22">
        <f t="shared" ca="1" si="32"/>
        <v>0.13769793589203608</v>
      </c>
    </row>
    <row r="102" spans="1:29" ht="12" customHeight="1" x14ac:dyDescent="0.25">
      <c r="A102" s="262"/>
      <c r="C102" s="263"/>
      <c r="D102" s="62">
        <f t="shared" si="33"/>
        <v>91</v>
      </c>
      <c r="E102" s="43">
        <f t="shared" si="30"/>
        <v>77.75</v>
      </c>
      <c r="F102" s="44" cm="1">
        <f t="array" ref="F102">_fnGENPOP.U(E102)</f>
        <v>0.75329999999999997</v>
      </c>
      <c r="G102" s="45">
        <f t="shared" ca="1" si="38"/>
        <v>1.1127383720273001E-5</v>
      </c>
      <c r="H102" s="45">
        <f t="shared" ca="1" si="38"/>
        <v>0</v>
      </c>
      <c r="I102" s="45">
        <f t="shared" ca="1" si="38"/>
        <v>5.9504568856248432E-3</v>
      </c>
      <c r="J102" s="45">
        <f t="shared" ca="1" si="38"/>
        <v>8.7701957588840211E-4</v>
      </c>
      <c r="K102" s="45">
        <f t="shared" ca="1" si="38"/>
        <v>8.8615531187252798E-5</v>
      </c>
      <c r="L102" s="45">
        <f t="shared" ca="1" si="38"/>
        <v>1.3060771142921905E-5</v>
      </c>
      <c r="M102" s="45">
        <f t="shared" ca="1" si="38"/>
        <v>2.6832218896346656E-5</v>
      </c>
      <c r="N102" s="45">
        <f t="shared" ca="1" si="38"/>
        <v>3.9547183836367942E-6</v>
      </c>
      <c r="O102" s="45">
        <f t="shared" ca="1" si="38"/>
        <v>0.1295437718496166</v>
      </c>
      <c r="P102" s="45">
        <v>0</v>
      </c>
      <c r="Q102" s="22">
        <f t="shared" ca="1" si="31"/>
        <v>0.13651483893446029</v>
      </c>
      <c r="S102" s="45">
        <f t="shared" ca="1" si="39"/>
        <v>1.0295972794098281E-3</v>
      </c>
      <c r="T102" s="45">
        <f t="shared" ca="1" si="39"/>
        <v>0</v>
      </c>
      <c r="U102" s="45">
        <f t="shared" ca="1" si="39"/>
        <v>5.951663587016179E-3</v>
      </c>
      <c r="V102" s="45">
        <f t="shared" ca="1" si="39"/>
        <v>8.771974279025911E-4</v>
      </c>
      <c r="W102" s="45">
        <f t="shared" ca="1" si="39"/>
        <v>8.8633501653526706E-5</v>
      </c>
      <c r="X102" s="45">
        <f t="shared" ca="1" si="39"/>
        <v>1.306341975478701E-5</v>
      </c>
      <c r="Y102" s="45">
        <f t="shared" ca="1" si="39"/>
        <v>2.683766023917078E-5</v>
      </c>
      <c r="Z102" s="45">
        <f t="shared" ca="1" si="39"/>
        <v>3.9555203664538454E-6</v>
      </c>
      <c r="AA102" s="45">
        <f t="shared" ca="1" si="39"/>
        <v>0.12855157457133512</v>
      </c>
      <c r="AB102" s="45">
        <v>0</v>
      </c>
      <c r="AC102" s="22">
        <f t="shared" ca="1" si="32"/>
        <v>0.13654252296767766</v>
      </c>
    </row>
    <row r="103" spans="1:29" ht="12" customHeight="1" x14ac:dyDescent="0.25">
      <c r="A103" s="262"/>
      <c r="C103" s="263"/>
      <c r="D103" s="62">
        <f t="shared" si="33"/>
        <v>92</v>
      </c>
      <c r="E103" s="43">
        <f t="shared" si="30"/>
        <v>78</v>
      </c>
      <c r="F103" s="44" cm="1">
        <f t="array" ref="F103">_fnGENPOP.U(E103)</f>
        <v>0.75329999999999997</v>
      </c>
      <c r="G103" s="45">
        <f t="shared" ca="1" si="38"/>
        <v>1.0457148498840871E-5</v>
      </c>
      <c r="H103" s="45">
        <f t="shared" ca="1" si="38"/>
        <v>0</v>
      </c>
      <c r="I103" s="45">
        <f t="shared" ca="1" si="38"/>
        <v>5.9005270537290247E-3</v>
      </c>
      <c r="J103" s="45">
        <f t="shared" ca="1" si="38"/>
        <v>8.6966057122122003E-4</v>
      </c>
      <c r="K103" s="45">
        <f t="shared" ca="1" si="38"/>
        <v>8.7871964993835436E-5</v>
      </c>
      <c r="L103" s="45">
        <f t="shared" ca="1" si="38"/>
        <v>1.2951179203995805E-5</v>
      </c>
      <c r="M103" s="45">
        <f t="shared" ca="1" si="38"/>
        <v>2.6607071785017629E-5</v>
      </c>
      <c r="N103" s="45">
        <f t="shared" ca="1" si="38"/>
        <v>3.9215346419704891E-6</v>
      </c>
      <c r="O103" s="45">
        <f t="shared" ca="1" si="38"/>
        <v>0.12845735676276385</v>
      </c>
      <c r="P103" s="45">
        <v>0</v>
      </c>
      <c r="Q103" s="22">
        <f t="shared" ca="1" si="31"/>
        <v>0.13536935328683775</v>
      </c>
      <c r="S103" s="45">
        <f t="shared" ca="1" si="39"/>
        <v>9.6758159109542957E-4</v>
      </c>
      <c r="T103" s="45">
        <f t="shared" ca="1" si="39"/>
        <v>0</v>
      </c>
      <c r="U103" s="45">
        <f t="shared" ca="1" si="39"/>
        <v>5.901723629780615E-3</v>
      </c>
      <c r="V103" s="45">
        <f t="shared" ca="1" si="39"/>
        <v>8.6983693089266278E-4</v>
      </c>
      <c r="W103" s="45">
        <f t="shared" ca="1" si="39"/>
        <v>8.7889784671291415E-5</v>
      </c>
      <c r="X103" s="45">
        <f t="shared" ca="1" si="39"/>
        <v>1.2953805591559865E-5</v>
      </c>
      <c r="Y103" s="45">
        <f t="shared" ca="1" si="39"/>
        <v>2.6612467469947289E-5</v>
      </c>
      <c r="Z103" s="45">
        <f t="shared" ca="1" si="39"/>
        <v>3.922329895410619E-6</v>
      </c>
      <c r="AA103" s="45">
        <f t="shared" ca="1" si="39"/>
        <v>0.12752628448603762</v>
      </c>
      <c r="AB103" s="45">
        <v>0</v>
      </c>
      <c r="AC103" s="22">
        <f t="shared" ca="1" si="32"/>
        <v>0.13539680502543452</v>
      </c>
    </row>
    <row r="104" spans="1:29" ht="12" customHeight="1" x14ac:dyDescent="0.25">
      <c r="A104" s="262"/>
      <c r="C104" s="263"/>
      <c r="D104" s="62">
        <f t="shared" si="33"/>
        <v>93</v>
      </c>
      <c r="E104" s="43">
        <f t="shared" si="30"/>
        <v>78.25</v>
      </c>
      <c r="F104" s="44" cm="1">
        <f t="array" ref="F104">_fnGENPOP.U(E104)</f>
        <v>0.75329999999999997</v>
      </c>
      <c r="G104" s="45">
        <f t="shared" ca="1" si="38"/>
        <v>9.8272835264574703E-6</v>
      </c>
      <c r="H104" s="45">
        <f t="shared" ca="1" si="38"/>
        <v>0</v>
      </c>
      <c r="I104" s="45">
        <f t="shared" ca="1" si="38"/>
        <v>5.851016179261378E-3</v>
      </c>
      <c r="J104" s="45">
        <f t="shared" ca="1" si="38"/>
        <v>8.6236331540336933E-4</v>
      </c>
      <c r="K104" s="45">
        <f t="shared" ca="1" si="38"/>
        <v>8.713463800788663E-5</v>
      </c>
      <c r="L104" s="45">
        <f t="shared" ca="1" si="38"/>
        <v>1.2842506842706993E-5</v>
      </c>
      <c r="M104" s="45">
        <f t="shared" ca="1" si="38"/>
        <v>2.6383813866003909E-5</v>
      </c>
      <c r="N104" s="45">
        <f t="shared" ca="1" si="38"/>
        <v>3.8886293425605853E-6</v>
      </c>
      <c r="O104" s="45">
        <f t="shared" ca="1" si="38"/>
        <v>0.12738002295605477</v>
      </c>
      <c r="P104" s="45">
        <v>0</v>
      </c>
      <c r="Q104" s="22">
        <f t="shared" ca="1" si="31"/>
        <v>0.13423347932230514</v>
      </c>
      <c r="S104" s="45">
        <f t="shared" ca="1" si="39"/>
        <v>9.09301291047901E-4</v>
      </c>
      <c r="T104" s="45">
        <f t="shared" ca="1" si="39"/>
        <v>0</v>
      </c>
      <c r="U104" s="45">
        <f t="shared" ca="1" si="39"/>
        <v>5.8522027149341778E-3</v>
      </c>
      <c r="V104" s="45">
        <f t="shared" ca="1" si="39"/>
        <v>8.6253819525420044E-4</v>
      </c>
      <c r="W104" s="45">
        <f t="shared" ca="1" si="39"/>
        <v>8.7152308161782152E-5</v>
      </c>
      <c r="X104" s="45">
        <f t="shared" ca="1" si="39"/>
        <v>1.2845111192452432E-5</v>
      </c>
      <c r="Y104" s="45">
        <f t="shared" ca="1" si="39"/>
        <v>2.6389164276151029E-5</v>
      </c>
      <c r="Z104" s="45">
        <f t="shared" ca="1" si="39"/>
        <v>3.8894179230894843E-6</v>
      </c>
      <c r="AA104" s="45">
        <f t="shared" ca="1" si="39"/>
        <v>0.12650638251265806</v>
      </c>
      <c r="AB104" s="45">
        <v>0</v>
      </c>
      <c r="AC104" s="22">
        <f t="shared" ca="1" si="32"/>
        <v>0.13426070071544782</v>
      </c>
    </row>
    <row r="105" spans="1:29" ht="12" customHeight="1" x14ac:dyDescent="0.25">
      <c r="A105" s="262"/>
      <c r="C105" s="263"/>
      <c r="D105" s="62">
        <f t="shared" si="33"/>
        <v>94</v>
      </c>
      <c r="E105" s="43">
        <f t="shared" si="30"/>
        <v>78.5</v>
      </c>
      <c r="F105" s="44" cm="1">
        <f t="array" ref="F105">_fnGENPOP.U(E105)</f>
        <v>0.75329999999999997</v>
      </c>
      <c r="G105" s="45">
        <f t="shared" ca="1" si="38"/>
        <v>9.2353571836612362E-6</v>
      </c>
      <c r="H105" s="45">
        <f t="shared" ca="1" si="38"/>
        <v>0</v>
      </c>
      <c r="I105" s="45">
        <f t="shared" ca="1" si="38"/>
        <v>5.801920746781917E-3</v>
      </c>
      <c r="J105" s="45">
        <f t="shared" ca="1" si="38"/>
        <v>8.5512729030499143E-4</v>
      </c>
      <c r="K105" s="45">
        <f t="shared" ca="1" si="38"/>
        <v>8.6403497876690077E-5</v>
      </c>
      <c r="L105" s="45">
        <f t="shared" ca="1" si="38"/>
        <v>1.2734746342950052E-5</v>
      </c>
      <c r="M105" s="45">
        <f t="shared" ca="1" si="38"/>
        <v>2.6162429287236162E-5</v>
      </c>
      <c r="N105" s="45">
        <f t="shared" ca="1" si="38"/>
        <v>3.8560001490194661E-6</v>
      </c>
      <c r="O105" s="45">
        <f t="shared" ca="1" si="38"/>
        <v>0.12631169632203301</v>
      </c>
      <c r="P105" s="45">
        <v>0</v>
      </c>
      <c r="Q105" s="22">
        <f t="shared" ca="1" si="31"/>
        <v>0.13310713638995947</v>
      </c>
      <c r="S105" s="45">
        <f t="shared" ca="1" si="39"/>
        <v>8.5453138578763215E-4</v>
      </c>
      <c r="T105" s="45">
        <f t="shared" ca="1" si="39"/>
        <v>0</v>
      </c>
      <c r="U105" s="45">
        <f t="shared" ca="1" si="39"/>
        <v>5.8030973263239827E-3</v>
      </c>
      <c r="V105" s="45">
        <f t="shared" ca="1" si="39"/>
        <v>8.5530070275227318E-4</v>
      </c>
      <c r="W105" s="45">
        <f t="shared" ca="1" si="39"/>
        <v>8.6421019761665996E-5</v>
      </c>
      <c r="X105" s="45">
        <f t="shared" ca="1" si="39"/>
        <v>1.2737328839794533E-5</v>
      </c>
      <c r="Y105" s="45">
        <f t="shared" ca="1" si="39"/>
        <v>2.6167734802498011E-5</v>
      </c>
      <c r="Z105" s="45">
        <f t="shared" ca="1" si="39"/>
        <v>3.8567821126290266E-6</v>
      </c>
      <c r="AA105" s="45">
        <f t="shared" ca="1" si="39"/>
        <v>0.12549201709007879</v>
      </c>
      <c r="AB105" s="45">
        <v>0</v>
      </c>
      <c r="AC105" s="22">
        <f t="shared" ca="1" si="32"/>
        <v>0.13313412937045926</v>
      </c>
    </row>
    <row r="106" spans="1:29" ht="12" customHeight="1" x14ac:dyDescent="0.25">
      <c r="A106" s="262"/>
      <c r="C106" s="263"/>
      <c r="D106" s="62">
        <f t="shared" si="33"/>
        <v>95</v>
      </c>
      <c r="E106" s="43">
        <f t="shared" si="30"/>
        <v>78.75</v>
      </c>
      <c r="F106" s="44" cm="1">
        <f t="array" ref="F106">_fnGENPOP.U(E106)</f>
        <v>0.75329999999999997</v>
      </c>
      <c r="G106" s="45">
        <f t="shared" ca="1" si="38"/>
        <v>8.6790843146202722E-6</v>
      </c>
      <c r="H106" s="45">
        <f t="shared" ca="1" si="38"/>
        <v>0</v>
      </c>
      <c r="I106" s="45">
        <f t="shared" ca="1" si="38"/>
        <v>5.7532372703484672E-3</v>
      </c>
      <c r="J106" s="45">
        <f t="shared" ca="1" si="38"/>
        <v>8.4795198214376671E-4</v>
      </c>
      <c r="K106" s="45">
        <f t="shared" ca="1" si="38"/>
        <v>8.5678492686817276E-5</v>
      </c>
      <c r="L106" s="45">
        <f t="shared" ca="1" si="38"/>
        <v>1.2627890053364081E-5</v>
      </c>
      <c r="M106" s="45">
        <f t="shared" ca="1" si="38"/>
        <v>2.5942902329658637E-5</v>
      </c>
      <c r="N106" s="45">
        <f t="shared" ca="1" si="38"/>
        <v>3.8236447445637451E-6</v>
      </c>
      <c r="O106" s="45">
        <f t="shared" ca="1" si="38"/>
        <v>0.1252523032490121</v>
      </c>
      <c r="P106" s="45">
        <v>0</v>
      </c>
      <c r="Q106" s="22">
        <f t="shared" ca="1" si="31"/>
        <v>0.13199024451563335</v>
      </c>
      <c r="S106" s="45">
        <f t="shared" ca="1" si="39"/>
        <v>8.0306043385752063E-4</v>
      </c>
      <c r="T106" s="45">
        <f t="shared" ca="1" si="39"/>
        <v>0</v>
      </c>
      <c r="U106" s="45">
        <f t="shared" ca="1" si="39"/>
        <v>5.7544039773009346E-3</v>
      </c>
      <c r="V106" s="45">
        <f t="shared" ca="1" si="39"/>
        <v>8.4812393950037094E-4</v>
      </c>
      <c r="W106" s="45">
        <f t="shared" ca="1" si="39"/>
        <v>8.5695867546986844E-5</v>
      </c>
      <c r="X106" s="45">
        <f t="shared" ca="1" si="39"/>
        <v>1.2630450880673637E-5</v>
      </c>
      <c r="Y106" s="45">
        <f t="shared" ca="1" si="39"/>
        <v>2.5948163326744784E-5</v>
      </c>
      <c r="Z106" s="45">
        <f t="shared" ca="1" si="39"/>
        <v>3.824420146776034E-6</v>
      </c>
      <c r="AA106" s="45">
        <f t="shared" ca="1" si="39"/>
        <v>0.12448332374752344</v>
      </c>
      <c r="AB106" s="45">
        <v>0</v>
      </c>
      <c r="AC106" s="22">
        <f t="shared" ca="1" si="32"/>
        <v>0.13201701100008345</v>
      </c>
    </row>
    <row r="107" spans="1:29" ht="12" customHeight="1" x14ac:dyDescent="0.25">
      <c r="A107" s="262"/>
      <c r="C107" s="263"/>
      <c r="D107" s="62">
        <f t="shared" si="33"/>
        <v>96</v>
      </c>
      <c r="E107" s="43">
        <f t="shared" ref="E107:E131" si="40">B.cohortAge+D107*AB.cycleLength</f>
        <v>79</v>
      </c>
      <c r="F107" s="44" cm="1">
        <f t="array" ref="F107">_fnGENPOP.U(E107)</f>
        <v>0.75329999999999997</v>
      </c>
      <c r="G107" s="45">
        <f t="shared" ca="1" si="38"/>
        <v>8.1563174051948714E-6</v>
      </c>
      <c r="H107" s="45">
        <f t="shared" ca="1" si="38"/>
        <v>0</v>
      </c>
      <c r="I107" s="45">
        <f t="shared" ca="1" si="38"/>
        <v>5.7049622932691243E-3</v>
      </c>
      <c r="J107" s="45">
        <f t="shared" ca="1" si="38"/>
        <v>8.4083688144848557E-4</v>
      </c>
      <c r="K107" s="45">
        <f t="shared" ca="1" si="38"/>
        <v>8.4959570960441426E-5</v>
      </c>
      <c r="L107" s="45">
        <f t="shared" ca="1" si="38"/>
        <v>1.2521930386790187E-5</v>
      </c>
      <c r="M107" s="45">
        <f t="shared" ca="1" si="38"/>
        <v>2.5725217406112968E-5</v>
      </c>
      <c r="N107" s="45">
        <f t="shared" ca="1" si="38"/>
        <v>3.7915608318499931E-6</v>
      </c>
      <c r="O107" s="45">
        <f t="shared" ca="1" si="38"/>
        <v>0.12420177062450864</v>
      </c>
      <c r="P107" s="45">
        <v>0</v>
      </c>
      <c r="Q107" s="22">
        <f t="shared" ref="Q107:Q131" ca="1" si="41">SUM(G107:P107)</f>
        <v>0.13088272439621665</v>
      </c>
      <c r="S107" s="45">
        <f t="shared" ca="1" si="39"/>
        <v>7.5468972954458686E-4</v>
      </c>
      <c r="T107" s="45">
        <f t="shared" ca="1" si="39"/>
        <v>0</v>
      </c>
      <c r="U107" s="45">
        <f t="shared" ca="1" si="39"/>
        <v>5.7061192104721449E-3</v>
      </c>
      <c r="V107" s="45">
        <f t="shared" ca="1" si="39"/>
        <v>8.4100739592396761E-4</v>
      </c>
      <c r="W107" s="45">
        <f t="shared" ca="1" si="39"/>
        <v>8.497680002947864E-5</v>
      </c>
      <c r="X107" s="45">
        <f t="shared" ca="1" si="39"/>
        <v>1.2524469726392239E-5</v>
      </c>
      <c r="Y107" s="45">
        <f t="shared" ca="1" si="39"/>
        <v>2.573043425857204E-5</v>
      </c>
      <c r="Z107" s="45">
        <f t="shared" ca="1" si="39"/>
        <v>3.7923297277211969E-6</v>
      </c>
      <c r="AA107" s="45">
        <f t="shared" ca="1" si="39"/>
        <v>0.12348042591544529</v>
      </c>
      <c r="AB107" s="45">
        <v>0</v>
      </c>
      <c r="AC107" s="22">
        <f t="shared" ref="AC107:AC131" ca="1" si="42">SUM(S107:AB107)</f>
        <v>0.13090926628512817</v>
      </c>
    </row>
    <row r="108" spans="1:29" ht="12" customHeight="1" x14ac:dyDescent="0.25">
      <c r="A108" s="262"/>
      <c r="C108" s="263"/>
      <c r="D108" s="62">
        <f t="shared" ref="D108:D131" si="43">D107+1</f>
        <v>97</v>
      </c>
      <c r="E108" s="43">
        <f t="shared" si="40"/>
        <v>79.25</v>
      </c>
      <c r="F108" s="44" cm="1">
        <f t="array" ref="F108">_fnGENPOP.U(E108)</f>
        <v>0.75329999999999997</v>
      </c>
      <c r="G108" s="45">
        <f t="shared" ca="1" si="38"/>
        <v>7.6650382923714492E-6</v>
      </c>
      <c r="H108" s="45">
        <f t="shared" ca="1" si="38"/>
        <v>0</v>
      </c>
      <c r="I108" s="45">
        <f t="shared" ca="1" si="38"/>
        <v>5.6570923878568272E-3</v>
      </c>
      <c r="J108" s="45">
        <f t="shared" ca="1" si="38"/>
        <v>8.3378148302287313E-4</v>
      </c>
      <c r="K108" s="45">
        <f t="shared" ca="1" si="38"/>
        <v>8.4246681651682263E-5</v>
      </c>
      <c r="L108" s="45">
        <f t="shared" ca="1" si="38"/>
        <v>1.2416859819732765E-5</v>
      </c>
      <c r="M108" s="45">
        <f t="shared" ca="1" si="38"/>
        <v>2.5509359060231467E-5</v>
      </c>
      <c r="N108" s="45">
        <f t="shared" ca="1" si="38"/>
        <v>3.7597461328116192E-6</v>
      </c>
      <c r="O108" s="45">
        <f t="shared" ca="1" si="38"/>
        <v>0.12316002583818897</v>
      </c>
      <c r="P108" s="45">
        <v>0</v>
      </c>
      <c r="Q108" s="22">
        <f t="shared" ca="1" si="41"/>
        <v>0.12978449739402551</v>
      </c>
      <c r="S108" s="45">
        <f t="shared" ca="1" si="39"/>
        <v>7.0923253576845094E-4</v>
      </c>
      <c r="T108" s="45">
        <f t="shared" ca="1" si="39"/>
        <v>0</v>
      </c>
      <c r="U108" s="45">
        <f t="shared" ca="1" si="39"/>
        <v>5.6582395974554452E-3</v>
      </c>
      <c r="V108" s="45">
        <f t="shared" ca="1" si="39"/>
        <v>8.3395056672433898E-4</v>
      </c>
      <c r="W108" s="45">
        <f t="shared" ca="1" si="39"/>
        <v>8.4263766152909442E-5</v>
      </c>
      <c r="X108" s="45">
        <f t="shared" ca="1" si="39"/>
        <v>1.2419377851929034E-5</v>
      </c>
      <c r="Y108" s="45">
        <f t="shared" ca="1" si="39"/>
        <v>2.5514532138477688E-5</v>
      </c>
      <c r="Z108" s="45">
        <f t="shared" ca="1" si="39"/>
        <v>3.7605085769359515E-6</v>
      </c>
      <c r="AA108" s="45">
        <f t="shared" ca="1" si="39"/>
        <v>0.12248343568729401</v>
      </c>
      <c r="AB108" s="45">
        <v>0</v>
      </c>
      <c r="AC108" s="22">
        <f t="shared" ca="1" si="42"/>
        <v>0.1298108165719625</v>
      </c>
    </row>
    <row r="109" spans="1:29" ht="12" customHeight="1" x14ac:dyDescent="0.25">
      <c r="A109" s="262"/>
      <c r="C109" s="263"/>
      <c r="D109" s="62">
        <f t="shared" si="43"/>
        <v>98</v>
      </c>
      <c r="E109" s="43">
        <f t="shared" si="40"/>
        <v>79.5</v>
      </c>
      <c r="F109" s="44" cm="1">
        <f t="array" ref="F109">_fnGENPOP.U(E109)</f>
        <v>0.75329999999999997</v>
      </c>
      <c r="G109" s="45">
        <f t="shared" ca="1" si="38"/>
        <v>7.2033503730617629E-6</v>
      </c>
      <c r="H109" s="45">
        <f t="shared" ca="1" si="38"/>
        <v>0</v>
      </c>
      <c r="I109" s="45">
        <f t="shared" ca="1" si="38"/>
        <v>5.6096241551859757E-3</v>
      </c>
      <c r="J109" s="45">
        <f t="shared" ca="1" si="38"/>
        <v>8.2678528590971769E-4</v>
      </c>
      <c r="K109" s="45">
        <f t="shared" ca="1" si="38"/>
        <v>8.353977414298164E-5</v>
      </c>
      <c r="L109" s="45">
        <f t="shared" ca="1" si="38"/>
        <v>1.2312670891825275E-5</v>
      </c>
      <c r="M109" s="45">
        <f t="shared" ca="1" si="38"/>
        <v>2.5295311965339657E-5</v>
      </c>
      <c r="N109" s="45">
        <f t="shared" ca="1" si="38"/>
        <v>3.7281983884971154E-6</v>
      </c>
      <c r="O109" s="45">
        <f t="shared" ca="1" si="38"/>
        <v>0.12212699678436151</v>
      </c>
      <c r="P109" s="45">
        <v>0</v>
      </c>
      <c r="Q109" s="22">
        <f t="shared" ca="1" si="41"/>
        <v>0.1286954855312189</v>
      </c>
      <c r="S109" s="45">
        <f t="shared" ca="1" si="39"/>
        <v>6.6651336317520321E-4</v>
      </c>
      <c r="T109" s="45">
        <f t="shared" ca="1" si="39"/>
        <v>0</v>
      </c>
      <c r="U109" s="45">
        <f t="shared" ca="1" si="39"/>
        <v>5.610761738635962E-3</v>
      </c>
      <c r="V109" s="45">
        <f t="shared" ca="1" si="39"/>
        <v>8.2695295084268361E-4</v>
      </c>
      <c r="W109" s="45">
        <f t="shared" ca="1" si="39"/>
        <v>8.3556715289456285E-5</v>
      </c>
      <c r="X109" s="45">
        <f t="shared" ca="1" si="39"/>
        <v>1.2315167795404587E-5</v>
      </c>
      <c r="Y109" s="45">
        <f t="shared" ca="1" si="39"/>
        <v>2.5300441636679113E-5</v>
      </c>
      <c r="Z109" s="45">
        <f t="shared" ca="1" si="39"/>
        <v>3.7289544350106948E-6</v>
      </c>
      <c r="AA109" s="45">
        <f t="shared" ca="1" si="39"/>
        <v>0.1214924545351219</v>
      </c>
      <c r="AB109" s="45">
        <v>0</v>
      </c>
      <c r="AC109" s="22">
        <f t="shared" ca="1" si="42"/>
        <v>0.1287215838669323</v>
      </c>
    </row>
    <row r="110" spans="1:29" ht="12" customHeight="1" x14ac:dyDescent="0.25">
      <c r="A110" s="262"/>
      <c r="C110" s="263"/>
      <c r="D110" s="62">
        <f t="shared" si="43"/>
        <v>99</v>
      </c>
      <c r="E110" s="43">
        <f t="shared" si="40"/>
        <v>79.75</v>
      </c>
      <c r="F110" s="44" cm="1">
        <f t="array" ref="F110">_fnGENPOP.U(E110)</f>
        <v>0.75329999999999997</v>
      </c>
      <c r="G110" s="45">
        <f t="shared" ca="1" si="38"/>
        <v>6.7694712821891941E-6</v>
      </c>
      <c r="H110" s="45">
        <f t="shared" ca="1" si="38"/>
        <v>0</v>
      </c>
      <c r="I110" s="45">
        <f t="shared" ca="1" si="38"/>
        <v>5.5625542248510986E-3</v>
      </c>
      <c r="J110" s="45">
        <f t="shared" ca="1" si="38"/>
        <v>8.1984779335530198E-4</v>
      </c>
      <c r="K110" s="45">
        <f t="shared" ca="1" si="38"/>
        <v>8.2838798241509468E-5</v>
      </c>
      <c r="L110" s="45">
        <f t="shared" ca="1" si="38"/>
        <v>1.2209356205300559E-5</v>
      </c>
      <c r="M110" s="45">
        <f t="shared" ca="1" si="38"/>
        <v>2.5083060923368005E-5</v>
      </c>
      <c r="N110" s="45">
        <f t="shared" ca="1" si="38"/>
        <v>3.6969153589096636E-6</v>
      </c>
      <c r="O110" s="45">
        <f t="shared" ca="1" si="38"/>
        <v>0.12110261186404433</v>
      </c>
      <c r="P110" s="45">
        <v>0</v>
      </c>
      <c r="Q110" s="22">
        <f t="shared" ca="1" si="41"/>
        <v>0.12761561148426201</v>
      </c>
      <c r="S110" s="45">
        <f t="shared" ca="1" si="39"/>
        <v>6.2636729265358329E-4</v>
      </c>
      <c r="T110" s="45">
        <f t="shared" ca="1" si="39"/>
        <v>0</v>
      </c>
      <c r="U110" s="45">
        <f t="shared" ca="1" si="39"/>
        <v>5.5636822629247336E-3</v>
      </c>
      <c r="V110" s="45">
        <f t="shared" ca="1" si="39"/>
        <v>8.2001405142454657E-4</v>
      </c>
      <c r="W110" s="45">
        <f t="shared" ca="1" si="39"/>
        <v>8.2855597236110399E-5</v>
      </c>
      <c r="X110" s="45">
        <f t="shared" ca="1" si="39"/>
        <v>1.2211832157551533E-5</v>
      </c>
      <c r="Y110" s="45">
        <f t="shared" ca="1" si="39"/>
        <v>2.5088147552024761E-5</v>
      </c>
      <c r="Z110" s="45">
        <f t="shared" ca="1" si="39"/>
        <v>3.6976650614943559E-6</v>
      </c>
      <c r="AA110" s="45">
        <f t="shared" ca="1" si="39"/>
        <v>0.12050757398181208</v>
      </c>
      <c r="AB110" s="45">
        <v>0</v>
      </c>
      <c r="AC110" s="22">
        <f t="shared" ca="1" si="42"/>
        <v>0.12764149083082213</v>
      </c>
    </row>
    <row r="111" spans="1:29" ht="12" customHeight="1" x14ac:dyDescent="0.25">
      <c r="A111" s="262"/>
      <c r="C111" s="263"/>
      <c r="D111" s="62">
        <f t="shared" si="43"/>
        <v>100</v>
      </c>
      <c r="E111" s="43">
        <f t="shared" si="40"/>
        <v>80</v>
      </c>
      <c r="F111" s="44" cm="1">
        <f t="array" ref="F111">_fnGENPOP.U(E111)</f>
        <v>0.69850000000000001</v>
      </c>
      <c r="G111" s="45">
        <f t="shared" ref="G111:O120" ca="1" si="44">PRODUCT(AVERAGE(OFFSET(AB.Trace.MarkovQB.Root, $D111, (G$2-1)*AB.Trace.MarkovQB.NumCols+G$3-1, CHOOSE(swtchHalfCycle, 2, 1))), $F111+G$6, AB.cycleLength)</f>
        <v>5.8989321906799342E-6</v>
      </c>
      <c r="H111" s="45">
        <f t="shared" ca="1" si="44"/>
        <v>0</v>
      </c>
      <c r="I111" s="45">
        <f t="shared" ca="1" si="44"/>
        <v>5.0678122274752024E-3</v>
      </c>
      <c r="J111" s="45">
        <f t="shared" ca="1" si="44"/>
        <v>7.4692928893574644E-4</v>
      </c>
      <c r="K111" s="45">
        <f t="shared" ca="1" si="44"/>
        <v>7.5232181085130249E-5</v>
      </c>
      <c r="L111" s="45">
        <f t="shared" ca="1" si="44"/>
        <v>1.1088240250566113E-5</v>
      </c>
      <c r="M111" s="45">
        <f t="shared" ca="1" si="44"/>
        <v>2.2222351743930828E-5</v>
      </c>
      <c r="N111" s="45">
        <f t="shared" ca="1" si="44"/>
        <v>3.2752842136859769E-6</v>
      </c>
      <c r="O111" s="45">
        <f t="shared" ca="1" si="44"/>
        <v>0.11135089577945714</v>
      </c>
      <c r="P111" s="45">
        <v>0</v>
      </c>
      <c r="Q111" s="22">
        <f t="shared" ca="1" si="41"/>
        <v>0.11728335428535208</v>
      </c>
      <c r="S111" s="45">
        <f t="shared" ref="S111:AA120" ca="1" si="45">PRODUCT(AVERAGE(OFFSET(AB.Trace.MarkovQB.Root, $D111, (S$2-1)*AB.Trace.MarkovQB.NumCols+S$3-1, CHOOSE(swtchHalfCycle, 2, 1))), $F111+S$6, AB.cycleLength)</f>
        <v>5.4581783891228207E-4</v>
      </c>
      <c r="T111" s="45">
        <f t="shared" ca="1" si="45"/>
        <v>0</v>
      </c>
      <c r="U111" s="45">
        <f t="shared" ca="1" si="45"/>
        <v>5.0688399361341289E-3</v>
      </c>
      <c r="V111" s="45">
        <f t="shared" ca="1" si="45"/>
        <v>7.4708075976051037E-4</v>
      </c>
      <c r="W111" s="45">
        <f t="shared" ca="1" si="45"/>
        <v>7.5247437523305285E-5</v>
      </c>
      <c r="X111" s="45">
        <f t="shared" ca="1" si="45"/>
        <v>1.1090488850160229E-5</v>
      </c>
      <c r="Y111" s="45">
        <f t="shared" ca="1" si="45"/>
        <v>2.2226858245411903E-5</v>
      </c>
      <c r="Z111" s="45">
        <f t="shared" ca="1" si="45"/>
        <v>3.2759484131069024E-6</v>
      </c>
      <c r="AA111" s="45">
        <f t="shared" ca="1" si="45"/>
        <v>0.11083355907132904</v>
      </c>
      <c r="AB111" s="45">
        <v>0</v>
      </c>
      <c r="AC111" s="22">
        <f t="shared" ca="1" si="42"/>
        <v>0.11730713833916795</v>
      </c>
    </row>
    <row r="112" spans="1:29" ht="12" customHeight="1" x14ac:dyDescent="0.25">
      <c r="A112" s="262"/>
      <c r="C112" s="263"/>
      <c r="D112" s="62">
        <f t="shared" si="43"/>
        <v>101</v>
      </c>
      <c r="E112" s="43">
        <f t="shared" si="40"/>
        <v>80.25</v>
      </c>
      <c r="F112" s="44" cm="1">
        <f t="array" ref="F112">_fnGENPOP.U(E112)</f>
        <v>0.69850000000000001</v>
      </c>
      <c r="G112" s="45">
        <f t="shared" ca="1" si="44"/>
        <v>5.5436220636614623E-6</v>
      </c>
      <c r="H112" s="45">
        <f t="shared" ca="1" si="44"/>
        <v>0</v>
      </c>
      <c r="I112" s="45">
        <f t="shared" ca="1" si="44"/>
        <v>5.0252885998847557E-3</v>
      </c>
      <c r="J112" s="45">
        <f t="shared" ca="1" si="44"/>
        <v>7.4066186198829529E-4</v>
      </c>
      <c r="K112" s="45">
        <f t="shared" ca="1" si="44"/>
        <v>7.4600913566192406E-5</v>
      </c>
      <c r="L112" s="45">
        <f t="shared" ca="1" si="44"/>
        <v>1.0995199668578452E-5</v>
      </c>
      <c r="M112" s="45">
        <f t="shared" ca="1" si="44"/>
        <v>2.2035885677840287E-5</v>
      </c>
      <c r="N112" s="45">
        <f t="shared" ca="1" si="44"/>
        <v>3.2478015525485811E-6</v>
      </c>
      <c r="O112" s="45">
        <f t="shared" ca="1" si="44"/>
        <v>0.11041686468072878</v>
      </c>
      <c r="P112" s="45">
        <v>0</v>
      </c>
      <c r="Q112" s="22">
        <f t="shared" ca="1" si="41"/>
        <v>0.11629923856513065</v>
      </c>
      <c r="S112" s="45">
        <f t="shared" ca="1" si="45"/>
        <v>5.1294161667340315E-4</v>
      </c>
      <c r="T112" s="45">
        <f t="shared" ca="1" si="45"/>
        <v>0</v>
      </c>
      <c r="U112" s="45">
        <f t="shared" ca="1" si="45"/>
        <v>5.0263076851183612E-3</v>
      </c>
      <c r="V112" s="45">
        <f t="shared" ca="1" si="45"/>
        <v>7.4081206183287019E-4</v>
      </c>
      <c r="W112" s="45">
        <f t="shared" ca="1" si="45"/>
        <v>7.4616041988753164E-5</v>
      </c>
      <c r="X112" s="45">
        <f t="shared" ca="1" si="45"/>
        <v>1.0997429400344115E-5</v>
      </c>
      <c r="Y112" s="45">
        <f t="shared" ca="1" si="45"/>
        <v>2.2040354365609626E-5</v>
      </c>
      <c r="Z112" s="45">
        <f t="shared" ca="1" si="45"/>
        <v>3.2484601787226001E-6</v>
      </c>
      <c r="AA112" s="45">
        <f t="shared" ca="1" si="45"/>
        <v>0.10993185939919885</v>
      </c>
      <c r="AB112" s="45">
        <v>0</v>
      </c>
      <c r="AC112" s="22">
        <f t="shared" ca="1" si="42"/>
        <v>0.11632282304875691</v>
      </c>
    </row>
    <row r="113" spans="1:29" ht="12" customHeight="1" x14ac:dyDescent="0.25">
      <c r="A113" s="262"/>
      <c r="C113" s="263"/>
      <c r="D113" s="62">
        <f t="shared" si="43"/>
        <v>102</v>
      </c>
      <c r="E113" s="43">
        <f t="shared" si="40"/>
        <v>80.5</v>
      </c>
      <c r="F113" s="44" cm="1">
        <f t="array" ref="F113">_fnGENPOP.U(E113)</f>
        <v>0.69850000000000001</v>
      </c>
      <c r="G113" s="45">
        <f t="shared" ca="1" si="44"/>
        <v>5.2097133161267795E-6</v>
      </c>
      <c r="H113" s="45">
        <f t="shared" ca="1" si="44"/>
        <v>0</v>
      </c>
      <c r="I113" s="45">
        <f t="shared" ca="1" si="44"/>
        <v>4.9831217848245075E-3</v>
      </c>
      <c r="J113" s="45">
        <f t="shared" ca="1" si="44"/>
        <v>7.3444702454446037E-4</v>
      </c>
      <c r="K113" s="45">
        <f t="shared" ca="1" si="44"/>
        <v>7.3974942965072434E-5</v>
      </c>
      <c r="L113" s="45">
        <f t="shared" ca="1" si="44"/>
        <v>1.0902939783049471E-5</v>
      </c>
      <c r="M113" s="45">
        <f t="shared" ca="1" si="44"/>
        <v>2.1850984234351527E-5</v>
      </c>
      <c r="N113" s="45">
        <f t="shared" ca="1" si="44"/>
        <v>3.2205494963339693E-6</v>
      </c>
      <c r="O113" s="45">
        <f t="shared" ca="1" si="44"/>
        <v>0.10949065254602759</v>
      </c>
      <c r="P113" s="45">
        <v>0</v>
      </c>
      <c r="Q113" s="22">
        <f t="shared" ca="1" si="41"/>
        <v>0.11532338048519149</v>
      </c>
      <c r="S113" s="45">
        <f t="shared" ca="1" si="45"/>
        <v>4.8204562650398911E-4</v>
      </c>
      <c r="T113" s="45">
        <f t="shared" ca="1" si="45"/>
        <v>0</v>
      </c>
      <c r="U113" s="45">
        <f t="shared" ca="1" si="45"/>
        <v>4.9841323189912991E-3</v>
      </c>
      <c r="V113" s="45">
        <f t="shared" ca="1" si="45"/>
        <v>7.3459596407354441E-4</v>
      </c>
      <c r="W113" s="45">
        <f t="shared" ca="1" si="45"/>
        <v>7.3989944446188193E-5</v>
      </c>
      <c r="X113" s="45">
        <f t="shared" ca="1" si="45"/>
        <v>1.0905150805305199E-5</v>
      </c>
      <c r="Y113" s="45">
        <f t="shared" ca="1" si="45"/>
        <v>2.1855415425701116E-5</v>
      </c>
      <c r="Z113" s="45">
        <f t="shared" ca="1" si="45"/>
        <v>3.2212025960257729E-6</v>
      </c>
      <c r="AA113" s="45">
        <f t="shared" ca="1" si="45"/>
        <v>0.10903602145036442</v>
      </c>
      <c r="AB113" s="45">
        <v>0</v>
      </c>
      <c r="AC113" s="22">
        <f t="shared" ca="1" si="42"/>
        <v>0.11534676707320647</v>
      </c>
    </row>
    <row r="114" spans="1:29" ht="12" customHeight="1" x14ac:dyDescent="0.25">
      <c r="A114" s="262"/>
      <c r="C114" s="263"/>
      <c r="D114" s="62">
        <f t="shared" si="43"/>
        <v>103</v>
      </c>
      <c r="E114" s="43">
        <f t="shared" si="40"/>
        <v>80.75</v>
      </c>
      <c r="F114" s="44" cm="1">
        <f t="array" ref="F114">_fnGENPOP.U(E114)</f>
        <v>0.69850000000000001</v>
      </c>
      <c r="G114" s="45">
        <f t="shared" ca="1" si="44"/>
        <v>4.8959168797128408E-6</v>
      </c>
      <c r="H114" s="45">
        <f t="shared" ca="1" si="44"/>
        <v>0</v>
      </c>
      <c r="I114" s="45">
        <f t="shared" ca="1" si="44"/>
        <v>4.9413087883076086E-3</v>
      </c>
      <c r="J114" s="45">
        <f t="shared" ca="1" si="44"/>
        <v>7.2828433532971023E-4</v>
      </c>
      <c r="K114" s="45">
        <f t="shared" ca="1" si="44"/>
        <v>7.3354224835735088E-5</v>
      </c>
      <c r="L114" s="45">
        <f t="shared" ca="1" si="44"/>
        <v>1.0811454043214465E-5</v>
      </c>
      <c r="M114" s="45">
        <f t="shared" ca="1" si="44"/>
        <v>2.1667634284835105E-5</v>
      </c>
      <c r="N114" s="45">
        <f t="shared" ca="1" si="44"/>
        <v>3.1935261100537447E-6</v>
      </c>
      <c r="O114" s="45">
        <f t="shared" ca="1" si="44"/>
        <v>0.10857219487651117</v>
      </c>
      <c r="P114" s="45">
        <v>0</v>
      </c>
      <c r="Q114" s="22">
        <f t="shared" ca="1" si="41"/>
        <v>0.11435571075630203</v>
      </c>
      <c r="S114" s="45">
        <f t="shared" ca="1" si="45"/>
        <v>4.5301059317161074E-4</v>
      </c>
      <c r="T114" s="45">
        <f t="shared" ca="1" si="45"/>
        <v>0</v>
      </c>
      <c r="U114" s="45">
        <f t="shared" ca="1" si="45"/>
        <v>4.9423108431589386E-3</v>
      </c>
      <c r="V114" s="45">
        <f t="shared" ca="1" si="45"/>
        <v>7.2843202511851512E-4</v>
      </c>
      <c r="W114" s="45">
        <f t="shared" ca="1" si="45"/>
        <v>7.3369100440561909E-5</v>
      </c>
      <c r="X114" s="45">
        <f t="shared" ca="1" si="45"/>
        <v>1.0813646512950331E-5</v>
      </c>
      <c r="Y114" s="45">
        <f t="shared" ca="1" si="45"/>
        <v>2.1672028294394546E-5</v>
      </c>
      <c r="Z114" s="45">
        <f t="shared" ca="1" si="45"/>
        <v>3.194173729635626E-6</v>
      </c>
      <c r="AA114" s="45">
        <f t="shared" ca="1" si="45"/>
        <v>0.10814609869880616</v>
      </c>
      <c r="AB114" s="45">
        <v>0</v>
      </c>
      <c r="AC114" s="22">
        <f t="shared" ca="1" si="42"/>
        <v>0.11437890110923277</v>
      </c>
    </row>
    <row r="115" spans="1:29" ht="12" customHeight="1" x14ac:dyDescent="0.25">
      <c r="A115" s="262"/>
      <c r="C115" s="263"/>
      <c r="D115" s="62">
        <f t="shared" si="43"/>
        <v>104</v>
      </c>
      <c r="E115" s="43">
        <f t="shared" si="40"/>
        <v>81</v>
      </c>
      <c r="F115" s="44" cm="1">
        <f t="array" ref="F115">_fnGENPOP.U(E115)</f>
        <v>0.69850000000000001</v>
      </c>
      <c r="G115" s="45">
        <f t="shared" ca="1" si="44"/>
        <v>4.6010213304554519E-6</v>
      </c>
      <c r="H115" s="45">
        <f t="shared" ca="1" si="44"/>
        <v>0</v>
      </c>
      <c r="I115" s="45">
        <f t="shared" ca="1" si="44"/>
        <v>4.8998466414695279E-3</v>
      </c>
      <c r="J115" s="45">
        <f t="shared" ca="1" si="44"/>
        <v>7.2217335677221442E-4</v>
      </c>
      <c r="K115" s="45">
        <f t="shared" ca="1" si="44"/>
        <v>7.2738715105088515E-5</v>
      </c>
      <c r="L115" s="45">
        <f t="shared" ca="1" si="44"/>
        <v>1.0720735953275698E-5</v>
      </c>
      <c r="M115" s="45">
        <f t="shared" ca="1" si="44"/>
        <v>2.1485822810822906E-5</v>
      </c>
      <c r="N115" s="45">
        <f t="shared" ca="1" si="44"/>
        <v>3.1667294749558518E-6</v>
      </c>
      <c r="O115" s="45">
        <f t="shared" ca="1" si="44"/>
        <v>0.10766142764771401</v>
      </c>
      <c r="P115" s="45">
        <v>0</v>
      </c>
      <c r="Q115" s="22">
        <f t="shared" ca="1" si="41"/>
        <v>0.11339616067063035</v>
      </c>
      <c r="S115" s="45">
        <f t="shared" ca="1" si="45"/>
        <v>4.2572442574374515E-4</v>
      </c>
      <c r="T115" s="45">
        <f t="shared" ca="1" si="45"/>
        <v>0</v>
      </c>
      <c r="U115" s="45">
        <f t="shared" ca="1" si="45"/>
        <v>4.9008402881546868E-3</v>
      </c>
      <c r="V115" s="45">
        <f t="shared" ca="1" si="45"/>
        <v>7.2231980730721567E-4</v>
      </c>
      <c r="W115" s="45">
        <f t="shared" ca="1" si="45"/>
        <v>7.2753465889844769E-5</v>
      </c>
      <c r="X115" s="45">
        <f t="shared" ca="1" si="45"/>
        <v>1.0722910026164488E-5</v>
      </c>
      <c r="Y115" s="45">
        <f t="shared" ca="1" si="45"/>
        <v>2.1490179950581779E-5</v>
      </c>
      <c r="Z115" s="45">
        <f t="shared" ca="1" si="45"/>
        <v>3.1673716604109965E-6</v>
      </c>
      <c r="AA115" s="45">
        <f t="shared" ca="1" si="45"/>
        <v>0.10726213798633787</v>
      </c>
      <c r="AB115" s="45">
        <v>0</v>
      </c>
      <c r="AC115" s="22">
        <f t="shared" ca="1" si="42"/>
        <v>0.11341915643507051</v>
      </c>
    </row>
    <row r="116" spans="1:29" ht="12" customHeight="1" x14ac:dyDescent="0.25">
      <c r="A116" s="262"/>
      <c r="C116" s="263"/>
      <c r="D116" s="62">
        <f t="shared" si="43"/>
        <v>105</v>
      </c>
      <c r="E116" s="43">
        <f t="shared" si="40"/>
        <v>81.25</v>
      </c>
      <c r="F116" s="44" cm="1">
        <f t="array" ref="F116">_fnGENPOP.U(E116)</f>
        <v>0.69850000000000001</v>
      </c>
      <c r="G116" s="45">
        <f t="shared" ca="1" si="44"/>
        <v>4.3238882120375585E-6</v>
      </c>
      <c r="H116" s="45">
        <f t="shared" ca="1" si="44"/>
        <v>0</v>
      </c>
      <c r="I116" s="45">
        <f t="shared" ca="1" si="44"/>
        <v>4.8587324003572536E-3</v>
      </c>
      <c r="J116" s="45">
        <f t="shared" ca="1" si="44"/>
        <v>7.1611365497177418E-4</v>
      </c>
      <c r="K116" s="45">
        <f t="shared" ca="1" si="44"/>
        <v>7.2128370069854763E-5</v>
      </c>
      <c r="L116" s="45">
        <f t="shared" ca="1" si="44"/>
        <v>1.0630779071941177E-5</v>
      </c>
      <c r="M116" s="45">
        <f t="shared" ca="1" si="44"/>
        <v>2.130553690308379E-5</v>
      </c>
      <c r="N116" s="45">
        <f t="shared" ca="1" si="44"/>
        <v>3.1401576883883369E-6</v>
      </c>
      <c r="O116" s="45">
        <f t="shared" ca="1" si="44"/>
        <v>0.10675828730959241</v>
      </c>
      <c r="P116" s="45">
        <v>0</v>
      </c>
      <c r="Q116" s="22">
        <f t="shared" ca="1" si="41"/>
        <v>0.11244466209686675</v>
      </c>
      <c r="S116" s="45">
        <f t="shared" ca="1" si="45"/>
        <v>4.0008178485615071E-4</v>
      </c>
      <c r="T116" s="45">
        <f t="shared" ca="1" si="45"/>
        <v>0</v>
      </c>
      <c r="U116" s="45">
        <f t="shared" ca="1" si="45"/>
        <v>4.8597177094285276E-3</v>
      </c>
      <c r="V116" s="45">
        <f t="shared" ca="1" si="45"/>
        <v>7.1625887665145661E-4</v>
      </c>
      <c r="W116" s="45">
        <f t="shared" ca="1" si="45"/>
        <v>7.2142997081896175E-5</v>
      </c>
      <c r="X116" s="45">
        <f t="shared" ca="1" si="45"/>
        <v>1.0632934902349441E-5</v>
      </c>
      <c r="Y116" s="45">
        <f t="shared" ca="1" si="45"/>
        <v>2.1309857482413791E-5</v>
      </c>
      <c r="Z116" s="45">
        <f t="shared" ca="1" si="45"/>
        <v>3.1407944853140898E-6</v>
      </c>
      <c r="AA116" s="45">
        <f t="shared" ca="1" si="45"/>
        <v>0.10638417995070551</v>
      </c>
      <c r="AB116" s="45">
        <v>0</v>
      </c>
      <c r="AC116" s="22">
        <f t="shared" ca="1" si="42"/>
        <v>0.11246746490559362</v>
      </c>
    </row>
    <row r="117" spans="1:29" ht="12" customHeight="1" x14ac:dyDescent="0.25">
      <c r="A117" s="262"/>
      <c r="C117" s="263"/>
      <c r="D117" s="62">
        <f t="shared" si="43"/>
        <v>106</v>
      </c>
      <c r="E117" s="43">
        <f t="shared" si="40"/>
        <v>81.5</v>
      </c>
      <c r="F117" s="44" cm="1">
        <f t="array" ref="F117">_fnGENPOP.U(E117)</f>
        <v>0.69850000000000001</v>
      </c>
      <c r="G117" s="45">
        <f t="shared" ca="1" si="44"/>
        <v>4.0634476407321176E-6</v>
      </c>
      <c r="H117" s="45">
        <f t="shared" ca="1" si="44"/>
        <v>0</v>
      </c>
      <c r="I117" s="45">
        <f t="shared" ca="1" si="44"/>
        <v>4.8179631457202551E-3</v>
      </c>
      <c r="J117" s="45">
        <f t="shared" ca="1" si="44"/>
        <v>7.1010479966901485E-4</v>
      </c>
      <c r="K117" s="45">
        <f t="shared" ca="1" si="44"/>
        <v>7.1523146393466793E-5</v>
      </c>
      <c r="L117" s="45">
        <f t="shared" ca="1" si="44"/>
        <v>1.0541577011967311E-5</v>
      </c>
      <c r="M117" s="45">
        <f t="shared" ca="1" si="44"/>
        <v>2.1126763760707003E-5</v>
      </c>
      <c r="N117" s="45">
        <f t="shared" ca="1" si="44"/>
        <v>3.1138088636642549E-6</v>
      </c>
      <c r="O117" s="45">
        <f t="shared" ca="1" si="44"/>
        <v>0.10586271078632639</v>
      </c>
      <c r="P117" s="45">
        <v>0</v>
      </c>
      <c r="Q117" s="22">
        <f t="shared" ca="1" si="41"/>
        <v>0.1115011474753862</v>
      </c>
      <c r="S117" s="45">
        <f t="shared" ca="1" si="45"/>
        <v>3.7598367604594745E-4</v>
      </c>
      <c r="T117" s="45">
        <f t="shared" ca="1" si="45"/>
        <v>0</v>
      </c>
      <c r="U117" s="45">
        <f t="shared" ca="1" si="45"/>
        <v>4.8189401871379283E-3</v>
      </c>
      <c r="V117" s="45">
        <f t="shared" ca="1" si="45"/>
        <v>7.1024880280460992E-4</v>
      </c>
      <c r="W117" s="45">
        <f t="shared" ca="1" si="45"/>
        <v>7.1537650671360829E-5</v>
      </c>
      <c r="X117" s="45">
        <f t="shared" ca="1" si="45"/>
        <v>1.0543714752966315E-5</v>
      </c>
      <c r="Y117" s="45">
        <f t="shared" ca="1" si="45"/>
        <v>2.1131048086383916E-5</v>
      </c>
      <c r="Z117" s="45">
        <f t="shared" ca="1" si="45"/>
        <v>3.1144403172753571E-6</v>
      </c>
      <c r="AA117" s="45">
        <f t="shared" ca="1" si="45"/>
        <v>0.10551225942766003</v>
      </c>
      <c r="AB117" s="45">
        <v>0</v>
      </c>
      <c r="AC117" s="22">
        <f t="shared" ca="1" si="42"/>
        <v>0.1115237589474765</v>
      </c>
    </row>
    <row r="118" spans="1:29" ht="12" customHeight="1" x14ac:dyDescent="0.25">
      <c r="A118" s="262"/>
      <c r="C118" s="263"/>
      <c r="D118" s="62">
        <f t="shared" si="43"/>
        <v>107</v>
      </c>
      <c r="E118" s="43">
        <f t="shared" si="40"/>
        <v>81.75</v>
      </c>
      <c r="F118" s="44" cm="1">
        <f t="array" ref="F118">_fnGENPOP.U(E118)</f>
        <v>0.69850000000000001</v>
      </c>
      <c r="G118" s="45">
        <f t="shared" ca="1" si="44"/>
        <v>3.8186941750722546E-6</v>
      </c>
      <c r="H118" s="45">
        <f t="shared" ca="1" si="44"/>
        <v>0</v>
      </c>
      <c r="I118" s="45">
        <f t="shared" ca="1" si="44"/>
        <v>4.777535982803215E-3</v>
      </c>
      <c r="J118" s="45">
        <f t="shared" ca="1" si="44"/>
        <v>7.0414636421483494E-4</v>
      </c>
      <c r="K118" s="45">
        <f t="shared" ca="1" si="44"/>
        <v>7.0923001102991408E-5</v>
      </c>
      <c r="L118" s="45">
        <f t="shared" ca="1" si="44"/>
        <v>1.0453123439705373E-5</v>
      </c>
      <c r="M118" s="45">
        <f t="shared" ca="1" si="44"/>
        <v>2.0949490690193256E-5</v>
      </c>
      <c r="N118" s="45">
        <f t="shared" ca="1" si="44"/>
        <v>3.0876811299277075E-6</v>
      </c>
      <c r="O118" s="45">
        <f t="shared" ca="1" si="44"/>
        <v>0.10497463547589539</v>
      </c>
      <c r="P118" s="45">
        <v>0</v>
      </c>
      <c r="Q118" s="22">
        <f t="shared" ca="1" si="41"/>
        <v>0.11056554981345133</v>
      </c>
      <c r="S118" s="45">
        <f t="shared" ca="1" si="45"/>
        <v>3.5333706757944812E-4</v>
      </c>
      <c r="T118" s="45">
        <f t="shared" ca="1" si="45"/>
        <v>0</v>
      </c>
      <c r="U118" s="45">
        <f t="shared" ca="1" si="45"/>
        <v>4.7785048259405419E-3</v>
      </c>
      <c r="V118" s="45">
        <f t="shared" ca="1" si="45"/>
        <v>7.0428915903105382E-4</v>
      </c>
      <c r="W118" s="45">
        <f t="shared" ca="1" si="45"/>
        <v>7.0937383676590975E-5</v>
      </c>
      <c r="X118" s="45">
        <f t="shared" ca="1" si="45"/>
        <v>1.0455243243081976E-5</v>
      </c>
      <c r="Y118" s="45">
        <f t="shared" ca="1" si="45"/>
        <v>2.0953739066418726E-5</v>
      </c>
      <c r="Z118" s="45">
        <f t="shared" ca="1" si="45"/>
        <v>3.0883072850595064E-6</v>
      </c>
      <c r="AA118" s="45">
        <f t="shared" ca="1" si="45"/>
        <v>0.10464640582857404</v>
      </c>
      <c r="AB118" s="45">
        <v>0</v>
      </c>
      <c r="AC118" s="22">
        <f t="shared" ca="1" si="42"/>
        <v>0.11058797155439623</v>
      </c>
    </row>
    <row r="119" spans="1:29" ht="12" customHeight="1" x14ac:dyDescent="0.25">
      <c r="A119" s="262"/>
      <c r="C119" s="263"/>
      <c r="D119" s="62">
        <f t="shared" si="43"/>
        <v>108</v>
      </c>
      <c r="E119" s="43">
        <f t="shared" si="40"/>
        <v>82</v>
      </c>
      <c r="F119" s="44" cm="1">
        <f t="array" ref="F119">_fnGENPOP.U(E119)</f>
        <v>0.69850000000000001</v>
      </c>
      <c r="G119" s="45">
        <f t="shared" ca="1" si="44"/>
        <v>3.5886829343034019E-6</v>
      </c>
      <c r="H119" s="45">
        <f t="shared" ca="1" si="44"/>
        <v>0</v>
      </c>
      <c r="I119" s="45">
        <f t="shared" ca="1" si="44"/>
        <v>4.7374480411404877E-3</v>
      </c>
      <c r="J119" s="45">
        <f t="shared" ca="1" si="44"/>
        <v>6.9823792554011383E-4</v>
      </c>
      <c r="K119" s="45">
        <f t="shared" ca="1" si="44"/>
        <v>7.0327891586078044E-5</v>
      </c>
      <c r="L119" s="45">
        <f t="shared" ca="1" si="44"/>
        <v>1.0365412074651807E-5</v>
      </c>
      <c r="M119" s="45">
        <f t="shared" ca="1" si="44"/>
        <v>2.0773705104553449E-5</v>
      </c>
      <c r="N119" s="45">
        <f t="shared" ca="1" si="44"/>
        <v>3.0617726320210067E-6</v>
      </c>
      <c r="O119" s="45">
        <f t="shared" ca="1" si="44"/>
        <v>0.1040939992494435</v>
      </c>
      <c r="P119" s="45">
        <v>0</v>
      </c>
      <c r="Q119" s="22">
        <f t="shared" ca="1" si="41"/>
        <v>0.10963780268045571</v>
      </c>
      <c r="S119" s="45">
        <f t="shared" ca="1" si="45"/>
        <v>3.3205453129934933E-4</v>
      </c>
      <c r="T119" s="45">
        <f t="shared" ca="1" si="45"/>
        <v>0</v>
      </c>
      <c r="U119" s="45">
        <f t="shared" ca="1" si="45"/>
        <v>4.7384087547886148E-3</v>
      </c>
      <c r="V119" s="45">
        <f t="shared" ca="1" si="45"/>
        <v>6.9837952217587237E-4</v>
      </c>
      <c r="W119" s="45">
        <f t="shared" ca="1" si="45"/>
        <v>7.0342153476594618E-5</v>
      </c>
      <c r="X119" s="45">
        <f t="shared" ca="1" si="45"/>
        <v>1.0367514090919236E-5</v>
      </c>
      <c r="Y119" s="45">
        <f t="shared" ca="1" si="45"/>
        <v>2.0777917832976598E-5</v>
      </c>
      <c r="Z119" s="45">
        <f t="shared" ca="1" si="45"/>
        <v>3.0623935331326393E-6</v>
      </c>
      <c r="AA119" s="45">
        <f t="shared" ca="1" si="45"/>
        <v>0.10378664349507742</v>
      </c>
      <c r="AB119" s="45">
        <v>0</v>
      </c>
      <c r="AC119" s="22">
        <f t="shared" ca="1" si="42"/>
        <v>0.10966003628227489</v>
      </c>
    </row>
    <row r="120" spans="1:29" ht="12" customHeight="1" x14ac:dyDescent="0.25">
      <c r="A120" s="262"/>
      <c r="C120" s="263"/>
      <c r="D120" s="62">
        <f t="shared" si="43"/>
        <v>109</v>
      </c>
      <c r="E120" s="43">
        <f t="shared" si="40"/>
        <v>82.25</v>
      </c>
      <c r="F120" s="44" cm="1">
        <f t="array" ref="F120">_fnGENPOP.U(E120)</f>
        <v>0.69850000000000001</v>
      </c>
      <c r="G120" s="45">
        <f t="shared" ca="1" si="44"/>
        <v>3.3725259506325327E-6</v>
      </c>
      <c r="H120" s="45">
        <f t="shared" ca="1" si="44"/>
        <v>0</v>
      </c>
      <c r="I120" s="45">
        <f t="shared" ca="1" si="44"/>
        <v>4.6976964743522852E-3</v>
      </c>
      <c r="J120" s="45">
        <f t="shared" ca="1" si="44"/>
        <v>6.9237906412567148E-4</v>
      </c>
      <c r="K120" s="45">
        <f t="shared" ca="1" si="44"/>
        <v>6.9737775587933097E-5</v>
      </c>
      <c r="L120" s="45">
        <f t="shared" ca="1" si="44"/>
        <v>1.0278436689002286E-5</v>
      </c>
      <c r="M120" s="45">
        <f t="shared" ca="1" si="44"/>
        <v>2.0599394522414951E-5</v>
      </c>
      <c r="N120" s="45">
        <f t="shared" ca="1" si="44"/>
        <v>3.0360815303529507E-6</v>
      </c>
      <c r="O120" s="45">
        <f t="shared" ca="1" si="44"/>
        <v>0.10322074045044886</v>
      </c>
      <c r="P120" s="45">
        <v>0</v>
      </c>
      <c r="Q120" s="22">
        <f t="shared" ca="1" si="41"/>
        <v>0.10871784020320716</v>
      </c>
      <c r="S120" s="45">
        <f t="shared" ca="1" si="45"/>
        <v>3.1205390510475803E-4</v>
      </c>
      <c r="T120" s="45">
        <f t="shared" ca="1" si="45"/>
        <v>0</v>
      </c>
      <c r="U120" s="45">
        <f t="shared" ca="1" si="45"/>
        <v>4.69864912672514E-3</v>
      </c>
      <c r="V120" s="45">
        <f t="shared" ca="1" si="45"/>
        <v>6.9251947263481112E-4</v>
      </c>
      <c r="W120" s="45">
        <f t="shared" ca="1" si="45"/>
        <v>6.9751917808009284E-5</v>
      </c>
      <c r="X120" s="45">
        <f t="shared" ca="1" si="45"/>
        <v>1.0280521067410827E-5</v>
      </c>
      <c r="Y120" s="45">
        <f t="shared" ca="1" si="45"/>
        <v>2.0603571902153783E-5</v>
      </c>
      <c r="Z120" s="45">
        <f t="shared" ca="1" si="45"/>
        <v>3.0366972215305015E-6</v>
      </c>
      <c r="AA120" s="45">
        <f t="shared" ca="1" si="45"/>
        <v>0.10293299203209789</v>
      </c>
      <c r="AB120" s="45">
        <v>0</v>
      </c>
      <c r="AC120" s="22">
        <f t="shared" ca="1" si="42"/>
        <v>0.10873988724456171</v>
      </c>
    </row>
    <row r="121" spans="1:29" ht="12" customHeight="1" x14ac:dyDescent="0.25">
      <c r="A121" s="262"/>
      <c r="C121" s="263"/>
      <c r="D121" s="62">
        <f t="shared" si="43"/>
        <v>110</v>
      </c>
      <c r="E121" s="43">
        <f t="shared" si="40"/>
        <v>82.5</v>
      </c>
      <c r="F121" s="44" cm="1">
        <f t="array" ref="F121">_fnGENPOP.U(E121)</f>
        <v>0.69850000000000001</v>
      </c>
      <c r="G121" s="45">
        <f t="shared" ref="G121:O131" ca="1" si="46">PRODUCT(AVERAGE(OFFSET(AB.Trace.MarkovQB.Root, $D121, (G$2-1)*AB.Trace.MarkovQB.NumCols+G$3-1, CHOOSE(swtchHalfCycle, 2, 1))), $F121+G$6, AB.cycleLength)</f>
        <v>3.1693887411922221E-6</v>
      </c>
      <c r="H121" s="45">
        <f t="shared" ca="1" si="46"/>
        <v>0</v>
      </c>
      <c r="I121" s="45">
        <f t="shared" ca="1" si="46"/>
        <v>4.6582784599425772E-3</v>
      </c>
      <c r="J121" s="45">
        <f t="shared" ca="1" si="46"/>
        <v>6.8656936397248122E-4</v>
      </c>
      <c r="K121" s="45">
        <f t="shared" ca="1" si="46"/>
        <v>6.915261120831976E-5</v>
      </c>
      <c r="L121" s="45">
        <f t="shared" ca="1" si="46"/>
        <v>1.0192191107209515E-5</v>
      </c>
      <c r="M121" s="45">
        <f t="shared" ca="1" si="46"/>
        <v>2.0426546567135383E-5</v>
      </c>
      <c r="N121" s="45">
        <f t="shared" ca="1" si="46"/>
        <v>3.0106060007682083E-6</v>
      </c>
      <c r="O121" s="45">
        <f t="shared" ca="1" si="46"/>
        <v>0.1023547978937107</v>
      </c>
      <c r="P121" s="45">
        <v>0</v>
      </c>
      <c r="Q121" s="22">
        <f t="shared" ca="1" si="41"/>
        <v>0.10780559706125038</v>
      </c>
      <c r="S121" s="45">
        <f t="shared" ref="S121:AA131" ca="1" si="47">PRODUCT(AVERAGE(OFFSET(AB.Trace.MarkovQB.Root, $D121, (S$2-1)*AB.Trace.MarkovQB.NumCols+S$3-1, CHOOSE(swtchHalfCycle, 2, 1))), $F121+S$6, AB.cycleLength)</f>
        <v>2.9325797576104374E-4</v>
      </c>
      <c r="T121" s="45">
        <f t="shared" ca="1" si="47"/>
        <v>0</v>
      </c>
      <c r="U121" s="45">
        <f t="shared" ca="1" si="47"/>
        <v>4.6592231186817074E-3</v>
      </c>
      <c r="V121" s="45">
        <f t="shared" ca="1" si="47"/>
        <v>6.8670859432448216E-4</v>
      </c>
      <c r="W121" s="45">
        <f t="shared" ca="1" si="47"/>
        <v>6.9166634762101139E-5</v>
      </c>
      <c r="X121" s="45">
        <f t="shared" ca="1" si="47"/>
        <v>1.0194257995757102E-5</v>
      </c>
      <c r="Y121" s="45">
        <f t="shared" ca="1" si="47"/>
        <v>2.0430688894798027E-5</v>
      </c>
      <c r="Z121" s="45">
        <f t="shared" ca="1" si="47"/>
        <v>3.0112165257278391E-6</v>
      </c>
      <c r="AA121" s="45">
        <f t="shared" ca="1" si="47"/>
        <v>0.1020854666206094</v>
      </c>
      <c r="AB121" s="45">
        <v>0</v>
      </c>
      <c r="AC121" s="22">
        <f t="shared" ca="1" si="42"/>
        <v>0.10782745910755502</v>
      </c>
    </row>
    <row r="122" spans="1:29" ht="12" customHeight="1" x14ac:dyDescent="0.25">
      <c r="A122" s="262"/>
      <c r="C122" s="263"/>
      <c r="D122" s="62">
        <f t="shared" si="43"/>
        <v>111</v>
      </c>
      <c r="E122" s="43">
        <f t="shared" si="40"/>
        <v>82.75</v>
      </c>
      <c r="F122" s="44" cm="1">
        <f t="array" ref="F122">_fnGENPOP.U(E122)</f>
        <v>0.69850000000000001</v>
      </c>
      <c r="G122" s="45">
        <f t="shared" ca="1" si="46"/>
        <v>2.9784870864854362E-6</v>
      </c>
      <c r="H122" s="45">
        <f t="shared" ca="1" si="46"/>
        <v>0</v>
      </c>
      <c r="I122" s="45">
        <f t="shared" ca="1" si="46"/>
        <v>4.6191911990986819E-3</v>
      </c>
      <c r="J122" s="45">
        <f t="shared" ca="1" si="46"/>
        <v>6.808084125721329E-4</v>
      </c>
      <c r="K122" s="45">
        <f t="shared" ca="1" si="46"/>
        <v>6.8572356898582905E-5</v>
      </c>
      <c r="L122" s="45">
        <f t="shared" ca="1" si="46"/>
        <v>1.0106669205544747E-5</v>
      </c>
      <c r="M122" s="45">
        <f t="shared" ca="1" si="46"/>
        <v>2.0255148965923837E-5</v>
      </c>
      <c r="N122" s="45">
        <f t="shared" ca="1" si="46"/>
        <v>2.9853442344177979E-6</v>
      </c>
      <c r="O122" s="45">
        <f t="shared" ca="1" si="46"/>
        <v>0.10149611086416735</v>
      </c>
      <c r="P122" s="45">
        <v>0</v>
      </c>
      <c r="Q122" s="22">
        <f t="shared" ca="1" si="41"/>
        <v>0.10690100848222912</v>
      </c>
      <c r="S122" s="45">
        <f t="shared" ca="1" si="47"/>
        <v>2.7559418081499161E-4</v>
      </c>
      <c r="T122" s="45">
        <f t="shared" ca="1" si="47"/>
        <v>0</v>
      </c>
      <c r="U122" s="45">
        <f t="shared" ca="1" si="47"/>
        <v>4.6201279312780641E-3</v>
      </c>
      <c r="V122" s="45">
        <f t="shared" ca="1" si="47"/>
        <v>6.8094647465282224E-4</v>
      </c>
      <c r="W122" s="45">
        <f t="shared" ca="1" si="47"/>
        <v>6.8586262781789354E-5</v>
      </c>
      <c r="X122" s="45">
        <f t="shared" ca="1" si="47"/>
        <v>1.0108718750987474E-5</v>
      </c>
      <c r="Y122" s="45">
        <f t="shared" ca="1" si="47"/>
        <v>2.0259256535629599E-5</v>
      </c>
      <c r="Z122" s="45">
        <f t="shared" ca="1" si="47"/>
        <v>2.9859496365088509E-6</v>
      </c>
      <c r="AA122" s="45">
        <f t="shared" ca="1" si="47"/>
        <v>0.10124407831131248</v>
      </c>
      <c r="AB122" s="45">
        <v>0</v>
      </c>
      <c r="AC122" s="22">
        <f t="shared" ca="1" si="42"/>
        <v>0.10692268708576327</v>
      </c>
    </row>
    <row r="123" spans="1:29" ht="12" customHeight="1" x14ac:dyDescent="0.25">
      <c r="A123" s="262"/>
      <c r="C123" s="263"/>
      <c r="D123" s="62">
        <f t="shared" si="43"/>
        <v>112</v>
      </c>
      <c r="E123" s="43">
        <f t="shared" si="40"/>
        <v>83</v>
      </c>
      <c r="F123" s="44" cm="1">
        <f t="array" ref="F123">_fnGENPOP.U(E123)</f>
        <v>0.69850000000000001</v>
      </c>
      <c r="G123" s="45">
        <f t="shared" ca="1" si="46"/>
        <v>2.7990840028741234E-6</v>
      </c>
      <c r="H123" s="45">
        <f t="shared" ca="1" si="46"/>
        <v>0</v>
      </c>
      <c r="I123" s="45">
        <f t="shared" ca="1" si="46"/>
        <v>4.580431916492547E-3</v>
      </c>
      <c r="J123" s="45">
        <f t="shared" ca="1" si="46"/>
        <v>6.750958008775429E-4</v>
      </c>
      <c r="K123" s="45">
        <f t="shared" ca="1" si="46"/>
        <v>6.7996971458699051E-5</v>
      </c>
      <c r="L123" s="45">
        <f t="shared" ca="1" si="46"/>
        <v>1.0021864911662979E-5</v>
      </c>
      <c r="M123" s="45">
        <f t="shared" ca="1" si="46"/>
        <v>2.0085189548969458E-5</v>
      </c>
      <c r="N123" s="45">
        <f t="shared" ca="1" si="46"/>
        <v>2.9602944376306506E-6</v>
      </c>
      <c r="O123" s="45">
        <f t="shared" ca="1" si="46"/>
        <v>0.10064461911555707</v>
      </c>
      <c r="P123" s="45">
        <v>0</v>
      </c>
      <c r="Q123" s="22">
        <f t="shared" ca="1" si="41"/>
        <v>0.10600401023728699</v>
      </c>
      <c r="S123" s="45">
        <f t="shared" ca="1" si="47"/>
        <v>2.5899432846448686E-4</v>
      </c>
      <c r="T123" s="45">
        <f t="shared" ca="1" si="47"/>
        <v>0</v>
      </c>
      <c r="U123" s="45">
        <f t="shared" ca="1" si="47"/>
        <v>4.5813607886233398E-3</v>
      </c>
      <c r="V123" s="45">
        <f t="shared" ca="1" si="47"/>
        <v>6.7523270448979658E-4</v>
      </c>
      <c r="W123" s="45">
        <f t="shared" ca="1" si="47"/>
        <v>6.8010760658695436E-5</v>
      </c>
      <c r="X123" s="45">
        <f t="shared" ca="1" si="47"/>
        <v>1.0023897259525522E-5</v>
      </c>
      <c r="Y123" s="45">
        <f t="shared" ca="1" si="47"/>
        <v>2.0089262652369713E-5</v>
      </c>
      <c r="Z123" s="45">
        <f t="shared" ca="1" si="47"/>
        <v>2.9608947598387278E-6</v>
      </c>
      <c r="AA123" s="45">
        <f t="shared" ca="1" si="47"/>
        <v>0.10040883430039692</v>
      </c>
      <c r="AB123" s="45">
        <v>0</v>
      </c>
      <c r="AC123" s="22">
        <f t="shared" ca="1" si="42"/>
        <v>0.10602550693730498</v>
      </c>
    </row>
    <row r="124" spans="1:29" ht="12" customHeight="1" x14ac:dyDescent="0.25">
      <c r="A124" s="262"/>
      <c r="C124" s="263"/>
      <c r="D124" s="62">
        <f t="shared" si="43"/>
        <v>113</v>
      </c>
      <c r="E124" s="43">
        <f t="shared" si="40"/>
        <v>83.25</v>
      </c>
      <c r="F124" s="44" cm="1">
        <f t="array" ref="F124">_fnGENPOP.U(E124)</f>
        <v>0.69850000000000001</v>
      </c>
      <c r="G124" s="45">
        <f t="shared" ca="1" si="46"/>
        <v>2.6304868974237645E-6</v>
      </c>
      <c r="H124" s="45">
        <f t="shared" ca="1" si="46"/>
        <v>0</v>
      </c>
      <c r="I124" s="45">
        <f t="shared" ca="1" si="46"/>
        <v>4.5419978600836804E-3</v>
      </c>
      <c r="J124" s="45">
        <f t="shared" ca="1" si="46"/>
        <v>6.6943112327391078E-4</v>
      </c>
      <c r="K124" s="45">
        <f t="shared" ca="1" si="46"/>
        <v>6.7426414034350981E-5</v>
      </c>
      <c r="L124" s="45">
        <f t="shared" ca="1" si="46"/>
        <v>9.9377722041717947E-6</v>
      </c>
      <c r="M124" s="45">
        <f t="shared" ca="1" si="46"/>
        <v>1.9916656248577341E-5</v>
      </c>
      <c r="N124" s="45">
        <f t="shared" ca="1" si="46"/>
        <v>2.9354548317862582E-6</v>
      </c>
      <c r="O124" s="45">
        <f t="shared" ca="1" si="46"/>
        <v>9.980026286893319E-2</v>
      </c>
      <c r="P124" s="45">
        <v>0</v>
      </c>
      <c r="Q124" s="22">
        <f t="shared" ca="1" si="41"/>
        <v>0.10511453863650709</v>
      </c>
      <c r="S124" s="45">
        <f t="shared" ca="1" si="47"/>
        <v>2.4339433430127649E-4</v>
      </c>
      <c r="T124" s="45">
        <f t="shared" ca="1" si="47"/>
        <v>0</v>
      </c>
      <c r="U124" s="45">
        <f t="shared" ca="1" si="47"/>
        <v>4.5429189381189549E-3</v>
      </c>
      <c r="V124" s="45">
        <f t="shared" ca="1" si="47"/>
        <v>6.695668781383496E-4</v>
      </c>
      <c r="W124" s="45">
        <f t="shared" ca="1" si="47"/>
        <v>6.7440087530217224E-5</v>
      </c>
      <c r="X124" s="45">
        <f t="shared" ca="1" si="47"/>
        <v>9.9397874987577433E-6</v>
      </c>
      <c r="Y124" s="45">
        <f t="shared" ca="1" si="47"/>
        <v>1.9920695174876247E-5</v>
      </c>
      <c r="Z124" s="45">
        <f t="shared" ca="1" si="47"/>
        <v>2.9360501167362711E-6</v>
      </c>
      <c r="AA124" s="45">
        <f t="shared" ca="1" si="47"/>
        <v>9.9579738188468353E-2</v>
      </c>
      <c r="AB124" s="45">
        <v>0</v>
      </c>
      <c r="AC124" s="22">
        <f t="shared" ca="1" si="42"/>
        <v>0.10513585495934752</v>
      </c>
    </row>
    <row r="125" spans="1:29" ht="12" customHeight="1" x14ac:dyDescent="0.25">
      <c r="A125" s="262"/>
      <c r="C125" s="263"/>
      <c r="D125" s="62">
        <f t="shared" si="43"/>
        <v>114</v>
      </c>
      <c r="E125" s="43">
        <f t="shared" si="40"/>
        <v>83.5</v>
      </c>
      <c r="F125" s="44" cm="1">
        <f t="array" ref="F125">_fnGENPOP.U(E125)</f>
        <v>0.69850000000000001</v>
      </c>
      <c r="G125" s="45">
        <f t="shared" ca="1" si="46"/>
        <v>2.4720448941200557E-6</v>
      </c>
      <c r="H125" s="45">
        <f t="shared" ca="1" si="46"/>
        <v>0</v>
      </c>
      <c r="I125" s="45">
        <f t="shared" ca="1" si="46"/>
        <v>4.5038863009237567E-3</v>
      </c>
      <c r="J125" s="45">
        <f t="shared" ca="1" si="46"/>
        <v>6.6381397754991934E-4</v>
      </c>
      <c r="K125" s="45">
        <f t="shared" ca="1" si="46"/>
        <v>6.6860644114026893E-5</v>
      </c>
      <c r="L125" s="45">
        <f t="shared" ca="1" si="46"/>
        <v>9.8543851122038209E-6</v>
      </c>
      <c r="M125" s="45">
        <f t="shared" ca="1" si="46"/>
        <v>1.9749537098311705E-5</v>
      </c>
      <c r="N125" s="45">
        <f t="shared" ca="1" si="46"/>
        <v>2.9108236531883796E-6</v>
      </c>
      <c r="O125" s="45">
        <f t="shared" ca="1" si="46"/>
        <v>9.8962982811044251E-2</v>
      </c>
      <c r="P125" s="45">
        <v>0</v>
      </c>
      <c r="Q125" s="22">
        <f t="shared" ca="1" si="41"/>
        <v>0.10423253052438977</v>
      </c>
      <c r="S125" s="45">
        <f t="shared" ca="1" si="47"/>
        <v>2.2873397391049279E-4</v>
      </c>
      <c r="T125" s="45">
        <f t="shared" ca="1" si="47"/>
        <v>0</v>
      </c>
      <c r="U125" s="45">
        <f t="shared" ca="1" si="47"/>
        <v>4.5047996502631769E-3</v>
      </c>
      <c r="V125" s="45">
        <f t="shared" ca="1" si="47"/>
        <v>6.6394859330559891E-4</v>
      </c>
      <c r="W125" s="45">
        <f t="shared" ca="1" si="47"/>
        <v>6.6874202876627604E-5</v>
      </c>
      <c r="X125" s="45">
        <f t="shared" ca="1" si="47"/>
        <v>9.8563834966059246E-6</v>
      </c>
      <c r="Y125" s="45">
        <f t="shared" ca="1" si="47"/>
        <v>1.9753542134286724E-5</v>
      </c>
      <c r="Z125" s="45">
        <f t="shared" ca="1" si="47"/>
        <v>2.9114139431475778E-6</v>
      </c>
      <c r="AA125" s="45">
        <f t="shared" ca="1" si="47"/>
        <v>9.8756790223653926E-2</v>
      </c>
      <c r="AB125" s="45">
        <v>0</v>
      </c>
      <c r="AC125" s="22">
        <f t="shared" ca="1" si="42"/>
        <v>0.10425366798358386</v>
      </c>
    </row>
    <row r="126" spans="1:29" ht="12" customHeight="1" x14ac:dyDescent="0.25">
      <c r="A126" s="262"/>
      <c r="C126" s="263"/>
      <c r="D126" s="62">
        <f t="shared" si="43"/>
        <v>115</v>
      </c>
      <c r="E126" s="43">
        <f t="shared" si="40"/>
        <v>83.75</v>
      </c>
      <c r="F126" s="44" cm="1">
        <f t="array" ref="F126">_fnGENPOP.U(E126)</f>
        <v>0.69850000000000001</v>
      </c>
      <c r="G126" s="45">
        <f t="shared" ca="1" si="46"/>
        <v>2.3231463211354559E-6</v>
      </c>
      <c r="H126" s="45">
        <f t="shared" ca="1" si="46"/>
        <v>0</v>
      </c>
      <c r="I126" s="45">
        <f t="shared" ca="1" si="46"/>
        <v>4.4660945329628486E-3</v>
      </c>
      <c r="J126" s="45">
        <f t="shared" ca="1" si="46"/>
        <v>6.5824396486917553E-4</v>
      </c>
      <c r="K126" s="45">
        <f t="shared" ca="1" si="46"/>
        <v>6.6299621526144092E-5</v>
      </c>
      <c r="L126" s="45">
        <f t="shared" ca="1" si="46"/>
        <v>9.771697714992781E-6</v>
      </c>
      <c r="M126" s="45">
        <f t="shared" ca="1" si="46"/>
        <v>1.958382023214622E-5</v>
      </c>
      <c r="N126" s="45">
        <f t="shared" ca="1" si="46"/>
        <v>2.8863991529398147E-6</v>
      </c>
      <c r="O126" s="45">
        <f t="shared" ca="1" si="46"/>
        <v>9.8132720092588999E-2</v>
      </c>
      <c r="P126" s="45">
        <v>0</v>
      </c>
      <c r="Q126" s="22">
        <f t="shared" ca="1" si="41"/>
        <v>0.10335792327536839</v>
      </c>
      <c r="S126" s="45">
        <f t="shared" ca="1" si="47"/>
        <v>2.1495665037183899E-4</v>
      </c>
      <c r="T126" s="45">
        <f t="shared" ca="1" si="47"/>
        <v>0</v>
      </c>
      <c r="U126" s="45">
        <f t="shared" ca="1" si="47"/>
        <v>4.4670002184573144E-3</v>
      </c>
      <c r="V126" s="45">
        <f t="shared" ca="1" si="47"/>
        <v>6.5837745107427063E-4</v>
      </c>
      <c r="W126" s="45">
        <f t="shared" ca="1" si="47"/>
        <v>6.6313066518197363E-5</v>
      </c>
      <c r="X126" s="45">
        <f t="shared" ca="1" si="47"/>
        <v>9.7736793311031108E-6</v>
      </c>
      <c r="Y126" s="45">
        <f t="shared" ca="1" si="47"/>
        <v>1.9587791662168485E-5</v>
      </c>
      <c r="Z126" s="45">
        <f t="shared" ca="1" si="47"/>
        <v>2.8869844898207876E-6</v>
      </c>
      <c r="AA126" s="45">
        <f t="shared" ca="1" si="47"/>
        <v>9.7939987529842676E-2</v>
      </c>
      <c r="AB126" s="45">
        <v>0</v>
      </c>
      <c r="AC126" s="22">
        <f t="shared" ca="1" si="42"/>
        <v>0.10337888337174739</v>
      </c>
    </row>
    <row r="127" spans="1:29" ht="12" customHeight="1" x14ac:dyDescent="0.25">
      <c r="A127" s="262"/>
      <c r="C127" s="263"/>
      <c r="D127" s="62">
        <f t="shared" si="43"/>
        <v>116</v>
      </c>
      <c r="E127" s="43">
        <f t="shared" si="40"/>
        <v>84</v>
      </c>
      <c r="F127" s="44" cm="1">
        <f t="array" ref="F127">_fnGENPOP.U(E127)</f>
        <v>0.69850000000000001</v>
      </c>
      <c r="G127" s="45">
        <f t="shared" ca="1" si="46"/>
        <v>2.1832163494451061E-6</v>
      </c>
      <c r="H127" s="45">
        <f t="shared" ca="1" si="46"/>
        <v>0</v>
      </c>
      <c r="I127" s="45">
        <f t="shared" ca="1" si="46"/>
        <v>4.4286198728572864E-3</v>
      </c>
      <c r="J127" s="45">
        <f t="shared" ca="1" si="46"/>
        <v>6.5272068974189204E-4</v>
      </c>
      <c r="K127" s="45">
        <f t="shared" ca="1" si="46"/>
        <v>6.574330643619651E-5</v>
      </c>
      <c r="L127" s="45">
        <f t="shared" ca="1" si="46"/>
        <v>9.6897041414531019E-6</v>
      </c>
      <c r="M127" s="45">
        <f t="shared" ca="1" si="46"/>
        <v>1.9419493883621477E-5</v>
      </c>
      <c r="N127" s="45">
        <f t="shared" ca="1" si="46"/>
        <v>2.8621795968182287E-6</v>
      </c>
      <c r="O127" s="45">
        <f t="shared" ca="1" si="46"/>
        <v>9.7309416326355938E-2</v>
      </c>
      <c r="P127" s="45">
        <v>0</v>
      </c>
      <c r="Q127" s="22">
        <f t="shared" ca="1" si="41"/>
        <v>0.10249065478936265</v>
      </c>
      <c r="S127" s="45">
        <f t="shared" ca="1" si="47"/>
        <v>2.020091757648661E-4</v>
      </c>
      <c r="T127" s="45">
        <f t="shared" ca="1" si="47"/>
        <v>0</v>
      </c>
      <c r="U127" s="45">
        <f t="shared" ca="1" si="47"/>
        <v>4.4295179588135399E-3</v>
      </c>
      <c r="V127" s="45">
        <f t="shared" ca="1" si="47"/>
        <v>6.5285305587437631E-4</v>
      </c>
      <c r="W127" s="45">
        <f t="shared" ca="1" si="47"/>
        <v>6.5756638612342368E-5</v>
      </c>
      <c r="X127" s="45">
        <f t="shared" ca="1" si="47"/>
        <v>9.6916691299731206E-6</v>
      </c>
      <c r="Y127" s="45">
        <f t="shared" ca="1" si="47"/>
        <v>1.9423431989675985E-5</v>
      </c>
      <c r="Z127" s="45">
        <f t="shared" ca="1" si="47"/>
        <v>2.86276002218188E-6</v>
      </c>
      <c r="AA127" s="45">
        <f t="shared" ca="1" si="47"/>
        <v>9.7129324320957541E-2</v>
      </c>
      <c r="AB127" s="45">
        <v>0</v>
      </c>
      <c r="AC127" s="22">
        <f t="shared" ca="1" si="42"/>
        <v>0.1025114390111645</v>
      </c>
    </row>
    <row r="128" spans="1:29" ht="12" customHeight="1" x14ac:dyDescent="0.25">
      <c r="A128" s="262"/>
      <c r="C128" s="263"/>
      <c r="D128" s="62">
        <f t="shared" si="43"/>
        <v>117</v>
      </c>
      <c r="E128" s="43">
        <f t="shared" si="40"/>
        <v>84.25</v>
      </c>
      <c r="F128" s="44" cm="1">
        <f t="array" ref="F128">_fnGENPOP.U(E128)</f>
        <v>0.69850000000000001</v>
      </c>
      <c r="G128" s="45">
        <f t="shared" ca="1" si="46"/>
        <v>2.0517147736758932E-6</v>
      </c>
      <c r="H128" s="45">
        <f t="shared" ca="1" si="46"/>
        <v>0</v>
      </c>
      <c r="I128" s="45">
        <f t="shared" ca="1" si="46"/>
        <v>4.3914596597791362E-3</v>
      </c>
      <c r="J128" s="45">
        <f t="shared" ca="1" si="46"/>
        <v>6.4724375999680717E-4</v>
      </c>
      <c r="K128" s="45">
        <f t="shared" ca="1" si="46"/>
        <v>6.5191659343926428E-5</v>
      </c>
      <c r="L128" s="45">
        <f t="shared" ca="1" si="46"/>
        <v>9.6083985697630399E-6</v>
      </c>
      <c r="M128" s="45">
        <f t="shared" ca="1" si="46"/>
        <v>1.925654638500954E-5</v>
      </c>
      <c r="N128" s="45">
        <f t="shared" ca="1" si="46"/>
        <v>2.8381632651530146E-6</v>
      </c>
      <c r="O128" s="45">
        <f t="shared" ca="1" si="46"/>
        <v>9.6493013585255902E-2</v>
      </c>
      <c r="P128" s="45">
        <v>0</v>
      </c>
      <c r="Q128" s="22">
        <f t="shared" ca="1" si="41"/>
        <v>0.10163066348736938</v>
      </c>
      <c r="S128" s="45">
        <f t="shared" ca="1" si="47"/>
        <v>1.898415658348326E-4</v>
      </c>
      <c r="T128" s="45">
        <f t="shared" ca="1" si="47"/>
        <v>0</v>
      </c>
      <c r="U128" s="45">
        <f t="shared" ca="1" si="47"/>
        <v>4.3923502099643243E-3</v>
      </c>
      <c r="V128" s="45">
        <f t="shared" ca="1" si="47"/>
        <v>6.4737501545512465E-4</v>
      </c>
      <c r="W128" s="45">
        <f t="shared" ca="1" si="47"/>
        <v>6.5204879650794596E-5</v>
      </c>
      <c r="X128" s="45">
        <f t="shared" ca="1" si="47"/>
        <v>9.6103470702135904E-6</v>
      </c>
      <c r="Y128" s="45">
        <f t="shared" ca="1" si="47"/>
        <v>1.9260451446715177E-5</v>
      </c>
      <c r="Z128" s="45">
        <f t="shared" ca="1" si="47"/>
        <v>2.8387388202115124E-6</v>
      </c>
      <c r="AA128" s="45">
        <f t="shared" ca="1" si="47"/>
        <v>9.6324792102102055E-2</v>
      </c>
      <c r="AB128" s="45">
        <v>0</v>
      </c>
      <c r="AC128" s="22">
        <f t="shared" ca="1" si="42"/>
        <v>0.10165127331034426</v>
      </c>
    </row>
    <row r="129" spans="1:29" ht="12" customHeight="1" x14ac:dyDescent="0.25">
      <c r="A129" s="262"/>
      <c r="C129" s="263"/>
      <c r="D129" s="62">
        <f t="shared" si="43"/>
        <v>118</v>
      </c>
      <c r="E129" s="43">
        <f t="shared" si="40"/>
        <v>84.5</v>
      </c>
      <c r="F129" s="44" cm="1">
        <f t="array" ref="F129">_fnGENPOP.U(E129)</f>
        <v>0.69850000000000001</v>
      </c>
      <c r="G129" s="45">
        <f t="shared" ca="1" si="46"/>
        <v>1.9281339266215336E-6</v>
      </c>
      <c r="H129" s="45">
        <f t="shared" ca="1" si="46"/>
        <v>0</v>
      </c>
      <c r="I129" s="45">
        <f t="shared" ca="1" si="46"/>
        <v>4.3546112552272668E-3</v>
      </c>
      <c r="J129" s="45">
        <f t="shared" ca="1" si="46"/>
        <v>6.4181278675333779E-4</v>
      </c>
      <c r="K129" s="45">
        <f t="shared" ca="1" si="46"/>
        <v>6.4644641080519792E-5</v>
      </c>
      <c r="L129" s="45">
        <f t="shared" ca="1" si="46"/>
        <v>9.5277752269513148E-6</v>
      </c>
      <c r="M129" s="45">
        <f t="shared" ca="1" si="46"/>
        <v>1.9094966166485484E-5</v>
      </c>
      <c r="N129" s="45">
        <f t="shared" ca="1" si="46"/>
        <v>2.8143484527031893E-6</v>
      </c>
      <c r="O129" s="45">
        <f t="shared" ca="1" si="46"/>
        <v>9.5683454400256163E-2</v>
      </c>
      <c r="P129" s="45">
        <v>0</v>
      </c>
      <c r="Q129" s="22">
        <f t="shared" ca="1" si="41"/>
        <v>0.10077788830709004</v>
      </c>
      <c r="S129" s="45">
        <f t="shared" ca="1" si="47"/>
        <v>1.7840684702644685E-4</v>
      </c>
      <c r="T129" s="45">
        <f t="shared" ca="1" si="47"/>
        <v>0</v>
      </c>
      <c r="U129" s="45">
        <f t="shared" ca="1" si="47"/>
        <v>4.3554943328734724E-3</v>
      </c>
      <c r="V129" s="45">
        <f t="shared" ca="1" si="47"/>
        <v>6.4194294085707113E-4</v>
      </c>
      <c r="W129" s="45">
        <f t="shared" ca="1" si="47"/>
        <v>6.4657750456796872E-5</v>
      </c>
      <c r="X129" s="45">
        <f t="shared" ca="1" si="47"/>
        <v>9.5297073776825387E-6</v>
      </c>
      <c r="Y129" s="45">
        <f t="shared" ca="1" si="47"/>
        <v>1.9098838461114872E-5</v>
      </c>
      <c r="Z129" s="45">
        <f t="shared" ca="1" si="47"/>
        <v>2.8149191783228943E-6</v>
      </c>
      <c r="AA129" s="45">
        <f t="shared" ca="1" si="47"/>
        <v>9.5526379858374408E-2</v>
      </c>
      <c r="AB129" s="45">
        <v>0</v>
      </c>
      <c r="AC129" s="22">
        <f t="shared" ca="1" si="42"/>
        <v>0.10079832519460531</v>
      </c>
    </row>
    <row r="130" spans="1:29" ht="12" customHeight="1" x14ac:dyDescent="0.25">
      <c r="A130" s="262"/>
      <c r="C130" s="263"/>
      <c r="D130" s="62">
        <f t="shared" si="43"/>
        <v>119</v>
      </c>
      <c r="E130" s="43">
        <f t="shared" si="40"/>
        <v>84.75</v>
      </c>
      <c r="F130" s="44" cm="1">
        <f t="array" ref="F130">_fnGENPOP.U(E130)</f>
        <v>0.69850000000000001</v>
      </c>
      <c r="G130" s="45">
        <f t="shared" ca="1" si="46"/>
        <v>1.8119967193725791E-6</v>
      </c>
      <c r="H130" s="45">
        <f t="shared" ca="1" si="46"/>
        <v>0</v>
      </c>
      <c r="I130" s="45">
        <f t="shared" ca="1" si="46"/>
        <v>4.3180720428400102E-3</v>
      </c>
      <c r="J130" s="45">
        <f t="shared" ca="1" si="46"/>
        <v>6.3642738439396865E-4</v>
      </c>
      <c r="K130" s="45">
        <f t="shared" ca="1" si="46"/>
        <v>6.410221280582509E-5</v>
      </c>
      <c r="L130" s="45">
        <f t="shared" ca="1" si="46"/>
        <v>9.4478283884872104E-6</v>
      </c>
      <c r="M130" s="45">
        <f t="shared" ca="1" si="46"/>
        <v>1.8934741755305922E-5</v>
      </c>
      <c r="N130" s="45">
        <f t="shared" ca="1" si="46"/>
        <v>2.7907334685363185E-6</v>
      </c>
      <c r="O130" s="45">
        <f t="shared" ca="1" si="46"/>
        <v>9.4880681758223825E-2</v>
      </c>
      <c r="P130" s="45">
        <v>0</v>
      </c>
      <c r="Q130" s="22">
        <f t="shared" ca="1" si="41"/>
        <v>9.9932268698595325E-2</v>
      </c>
      <c r="S130" s="45">
        <f t="shared" ca="1" si="47"/>
        <v>1.6766087514053754E-4</v>
      </c>
      <c r="T130" s="45">
        <f t="shared" ca="1" si="47"/>
        <v>0</v>
      </c>
      <c r="U130" s="45">
        <f t="shared" ca="1" si="47"/>
        <v>4.3189477106487396E-3</v>
      </c>
      <c r="V130" s="45">
        <f t="shared" ca="1" si="47"/>
        <v>6.3655644638450025E-4</v>
      </c>
      <c r="W130" s="45">
        <f t="shared" ca="1" si="47"/>
        <v>6.4115212182321252E-5</v>
      </c>
      <c r="X130" s="45">
        <f t="shared" ca="1" si="47"/>
        <v>9.4497443266883638E-6</v>
      </c>
      <c r="Y130" s="45">
        <f t="shared" ca="1" si="47"/>
        <v>1.8938581557805101E-5</v>
      </c>
      <c r="Z130" s="45">
        <f t="shared" ca="1" si="47"/>
        <v>2.7912994052406858E-6</v>
      </c>
      <c r="AA130" s="45">
        <f t="shared" ca="1" si="47"/>
        <v>9.4734074232093415E-2</v>
      </c>
      <c r="AB130" s="45">
        <v>0</v>
      </c>
      <c r="AC130" s="22">
        <f t="shared" ca="1" si="42"/>
        <v>9.9952534101739252E-2</v>
      </c>
    </row>
    <row r="131" spans="1:29" ht="12" customHeight="1" x14ac:dyDescent="0.25">
      <c r="A131" s="262"/>
      <c r="C131" s="263"/>
      <c r="D131" s="62">
        <f t="shared" si="43"/>
        <v>120</v>
      </c>
      <c r="E131" s="43">
        <f t="shared" si="40"/>
        <v>85</v>
      </c>
      <c r="F131" s="44" cm="1">
        <f t="array" ref="F131">_fnGENPOP.U(E131)</f>
        <v>0.64970000000000006</v>
      </c>
      <c r="G131" s="45">
        <f t="shared" ca="1" si="46"/>
        <v>1.6330688439913358E-6</v>
      </c>
      <c r="H131" s="45">
        <f t="shared" ca="1" si="46"/>
        <v>0</v>
      </c>
      <c r="I131" s="45">
        <f t="shared" ca="1" si="46"/>
        <v>3.9613331569726606E-3</v>
      </c>
      <c r="J131" s="45">
        <f t="shared" ca="1" si="46"/>
        <v>5.8384873498939507E-4</v>
      </c>
      <c r="K131" s="45">
        <f t="shared" ca="1" si="46"/>
        <v>5.8609998000065205E-5</v>
      </c>
      <c r="L131" s="45">
        <f t="shared" ca="1" si="46"/>
        <v>8.638347706210159E-6</v>
      </c>
      <c r="M131" s="45">
        <f t="shared" ca="1" si="46"/>
        <v>1.6852524433268798E-5</v>
      </c>
      <c r="N131" s="45">
        <f t="shared" ca="1" si="46"/>
        <v>2.4838418486521065E-6</v>
      </c>
      <c r="O131" s="45">
        <f t="shared" ca="1" si="46"/>
        <v>8.788016598150887E-2</v>
      </c>
      <c r="P131" s="45">
        <v>0</v>
      </c>
      <c r="Q131" s="22">
        <f t="shared" ca="1" si="41"/>
        <v>9.2513565654303118E-2</v>
      </c>
      <c r="S131" s="45">
        <f t="shared" ca="1" si="47"/>
        <v>1.5110499297324323E-4</v>
      </c>
      <c r="T131" s="45">
        <f t="shared" ca="1" si="47"/>
        <v>0</v>
      </c>
      <c r="U131" s="45">
        <f t="shared" ca="1" si="47"/>
        <v>3.9621364812087558E-3</v>
      </c>
      <c r="V131" s="45">
        <f t="shared" ca="1" si="47"/>
        <v>5.8396713448280923E-4</v>
      </c>
      <c r="W131" s="45">
        <f t="shared" ca="1" si="47"/>
        <v>5.8621883602715932E-5</v>
      </c>
      <c r="X131" s="45">
        <f t="shared" ca="1" si="47"/>
        <v>8.6400994887028801E-6</v>
      </c>
      <c r="Y131" s="45">
        <f t="shared" ca="1" si="47"/>
        <v>1.6855941980034031E-5</v>
      </c>
      <c r="Z131" s="45">
        <f t="shared" ca="1" si="47"/>
        <v>2.4843455503799294E-6</v>
      </c>
      <c r="AA131" s="45">
        <f t="shared" ca="1" si="47"/>
        <v>8.7748515729097504E-2</v>
      </c>
      <c r="AB131" s="45">
        <v>0</v>
      </c>
      <c r="AC131" s="22">
        <f t="shared" ca="1" si="42"/>
        <v>9.2532326608384147E-2</v>
      </c>
    </row>
    <row r="132" spans="1:29" ht="12" customHeight="1" x14ac:dyDescent="0.25">
      <c r="A132" s="262"/>
      <c r="C132" s="263"/>
    </row>
    <row r="133" spans="1:29" ht="12" customHeight="1" x14ac:dyDescent="0.25">
      <c r="A133" s="262"/>
      <c r="C133" s="263"/>
    </row>
    <row r="134" spans="1:29" ht="12" customHeight="1" x14ac:dyDescent="0.25">
      <c r="A134" s="262"/>
      <c r="C134" s="263"/>
    </row>
    <row r="135" spans="1:29" ht="12" customHeight="1" x14ac:dyDescent="0.25">
      <c r="A135" s="262"/>
      <c r="C135" s="263"/>
    </row>
    <row r="136" spans="1:29" ht="12" customHeight="1" x14ac:dyDescent="0.25">
      <c r="A136" s="262"/>
      <c r="C136" s="263"/>
    </row>
    <row r="137" spans="1:29" ht="12" customHeight="1" x14ac:dyDescent="0.25">
      <c r="A137" s="262"/>
      <c r="C137" s="263"/>
    </row>
    <row r="138" spans="1:29" ht="12" customHeight="1" x14ac:dyDescent="0.25">
      <c r="A138" s="262"/>
      <c r="C138" s="263"/>
    </row>
    <row r="139" spans="1:29" ht="12" customHeight="1" x14ac:dyDescent="0.25">
      <c r="A139" s="262"/>
      <c r="C139" s="263"/>
    </row>
    <row r="140" spans="1:29" ht="12" customHeight="1" x14ac:dyDescent="0.25">
      <c r="A140" s="262"/>
      <c r="C140" s="263"/>
    </row>
    <row r="141" spans="1:29" ht="12" customHeight="1" x14ac:dyDescent="0.25">
      <c r="A141" s="262"/>
      <c r="C141" s="263"/>
    </row>
    <row r="142" spans="1:29" ht="12" customHeight="1" x14ac:dyDescent="0.25">
      <c r="A142" s="262"/>
      <c r="C142" s="263"/>
    </row>
    <row r="143" spans="1:29" ht="12" customHeight="1" x14ac:dyDescent="0.25">
      <c r="A143" s="262"/>
      <c r="C143" s="263"/>
    </row>
    <row r="144" spans="1:29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13" spans="1:3" ht="12" customHeight="1" x14ac:dyDescent="0.25">
      <c r="A313" s="262"/>
      <c r="C313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  <row r="351" spans="1:3" ht="12" customHeight="1" x14ac:dyDescent="0.25">
      <c r="A351" s="262"/>
      <c r="C351" s="263"/>
    </row>
  </sheetData>
  <mergeCells count="27">
    <mergeCell ref="D7:D10"/>
    <mergeCell ref="E7:E10"/>
    <mergeCell ref="F7:F10"/>
    <mergeCell ref="G7:Q7"/>
    <mergeCell ref="S7:AC7"/>
    <mergeCell ref="G8:G10"/>
    <mergeCell ref="H8:H10"/>
    <mergeCell ref="I8:I10"/>
    <mergeCell ref="J8:J10"/>
    <mergeCell ref="K8:K10"/>
    <mergeCell ref="L8:L10"/>
    <mergeCell ref="M8:M10"/>
    <mergeCell ref="N8:N10"/>
    <mergeCell ref="O8:O10"/>
    <mergeCell ref="P8:P10"/>
    <mergeCell ref="V8:V10"/>
    <mergeCell ref="Q8:Q10"/>
    <mergeCell ref="S8:S10"/>
    <mergeCell ref="T8:T10"/>
    <mergeCell ref="U8:U10"/>
    <mergeCell ref="AC8:AC10"/>
    <mergeCell ref="W8:W10"/>
    <mergeCell ref="Y8:Y10"/>
    <mergeCell ref="Z8:Z10"/>
    <mergeCell ref="AA8:AA10"/>
    <mergeCell ref="AB8:AB10"/>
    <mergeCell ref="X8:X1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64973-C10F-493A-B115-4D21C67E8E4D}">
  <sheetPr codeName="shtTraceCosts2">
    <tabColor theme="7" tint="-0.499984740745262"/>
  </sheetPr>
  <dimension ref="A1:AC351"/>
  <sheetViews>
    <sheetView workbookViewId="0">
      <pane xSplit="6" ySplit="10" topLeftCell="G11" activePane="bottomRight" state="frozen"/>
      <selection activeCell="K7" sqref="K7"/>
      <selection pane="topRight" activeCell="K7" sqref="K7"/>
      <selection pane="bottomLeft" activeCell="K7" sqref="K7"/>
      <selection pane="bottomRight" activeCell="G11" sqref="G11"/>
    </sheetView>
  </sheetViews>
  <sheetFormatPr defaultColWidth="9.28515625" defaultRowHeight="12" customHeight="1" x14ac:dyDescent="0.25"/>
  <cols>
    <col min="1" max="1" width="1.7109375" style="260" customWidth="1"/>
    <col min="2" max="2" width="19.7109375" style="260" customWidth="1"/>
    <col min="3" max="3" width="1.7109375" style="259" customWidth="1"/>
    <col min="7" max="16" width="11.7109375" customWidth="1"/>
    <col min="17" max="17" width="11.7109375" style="49" customWidth="1"/>
    <col min="18" max="18" width="1.7109375" customWidth="1"/>
    <col min="19" max="28" width="11.7109375" customWidth="1"/>
    <col min="29" max="29" width="11.7109375" style="49" customWidth="1"/>
    <col min="30" max="30" width="1.7109375" customWidth="1"/>
  </cols>
  <sheetData>
    <row r="1" spans="1:29" s="261" customFormat="1" ht="24.95" customHeight="1" thickBot="1" x14ac:dyDescent="0.3">
      <c r="A1" s="262"/>
      <c r="B1" s="260"/>
      <c r="C1" s="262"/>
      <c r="D1" s="261" t="str">
        <f>AB.zWorkbookTitle</f>
        <v>Camacho et al. (2024) Harms of hazardous prescribing of NSAIDs -- A: No gastroprotection - NSAIDs in people &gt;65 &amp; B: No gastroprotection - NSAIDs in people with ulcer history</v>
      </c>
      <c r="E1" s="271"/>
      <c r="F1" s="271"/>
      <c r="G1" s="271"/>
      <c r="H1" s="271"/>
      <c r="I1" s="271"/>
      <c r="J1" s="271"/>
      <c r="K1" s="271"/>
      <c r="L1" s="271"/>
      <c r="M1" s="271"/>
      <c r="N1" s="271"/>
      <c r="P1" s="271"/>
    </row>
    <row r="2" spans="1:29" ht="12" hidden="1" customHeight="1" thickTop="1" x14ac:dyDescent="0.25">
      <c r="A2" s="262"/>
      <c r="C2" s="263"/>
      <c r="D2">
        <f>COLUMNS(G2:R2)</f>
        <v>12</v>
      </c>
      <c r="F2" t="s">
        <v>80</v>
      </c>
      <c r="G2">
        <f>MAX($F$2:F2)+1</f>
        <v>1</v>
      </c>
      <c r="H2">
        <f t="shared" ref="H2:P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/>
      <c r="S2">
        <f>MAX($F$2:R2)+1</f>
        <v>2</v>
      </c>
      <c r="T2">
        <f t="shared" ref="T2:AB2" si="1">S2</f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  <c r="AC2"/>
    </row>
    <row r="3" spans="1:29" ht="12" hidden="1" customHeight="1" x14ac:dyDescent="0.25">
      <c r="A3" s="262"/>
      <c r="C3" s="263"/>
      <c r="F3" t="s">
        <v>79</v>
      </c>
      <c r="G3">
        <v>1</v>
      </c>
      <c r="H3">
        <f t="shared" ref="H3:P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Q3"/>
      <c r="S3">
        <v>1</v>
      </c>
      <c r="T3">
        <f t="shared" ref="T3:AB3" si="3">S3+1</f>
        <v>2</v>
      </c>
      <c r="U3">
        <f t="shared" si="3"/>
        <v>3</v>
      </c>
      <c r="V3">
        <f t="shared" si="3"/>
        <v>4</v>
      </c>
      <c r="W3">
        <f t="shared" si="3"/>
        <v>5</v>
      </c>
      <c r="X3">
        <f t="shared" si="3"/>
        <v>6</v>
      </c>
      <c r="Y3">
        <f t="shared" si="3"/>
        <v>7</v>
      </c>
      <c r="Z3">
        <f t="shared" si="3"/>
        <v>8</v>
      </c>
      <c r="AA3">
        <f t="shared" si="3"/>
        <v>9</v>
      </c>
      <c r="AB3">
        <f t="shared" si="3"/>
        <v>10</v>
      </c>
      <c r="AC3"/>
    </row>
    <row r="4" spans="1:29" ht="12" customHeight="1" thickTop="1" x14ac:dyDescent="0.25">
      <c r="A4" s="262"/>
      <c r="C4" s="263"/>
      <c r="F4" s="56" t="s">
        <v>46</v>
      </c>
      <c r="G4" s="50">
        <f t="shared" ref="G4:Q4" ca="1" si="4">SUM(OFFSET(G$11, 0, 0, timeHorizon*AB.cyclesPerYear))</f>
        <v>2.306333546779189E-3</v>
      </c>
      <c r="H4" s="50">
        <f t="shared" ca="1" si="4"/>
        <v>0</v>
      </c>
      <c r="I4" s="50">
        <f t="shared" ca="1" si="4"/>
        <v>105.58781857942328</v>
      </c>
      <c r="J4" s="50">
        <f t="shared" ca="1" si="4"/>
        <v>15.146239246261873</v>
      </c>
      <c r="K4" s="50">
        <f t="shared" ca="1" si="4"/>
        <v>25.738442712861808</v>
      </c>
      <c r="L4" s="50">
        <f t="shared" ca="1" si="4"/>
        <v>3.6973959578603854</v>
      </c>
      <c r="M4" s="50">
        <f t="shared" ca="1" si="4"/>
        <v>47.067693605259265</v>
      </c>
      <c r="N4" s="50">
        <f t="shared" ca="1" si="4"/>
        <v>6.7502526126685076</v>
      </c>
      <c r="O4" s="50">
        <f t="shared" ca="1" si="4"/>
        <v>115.69302398135494</v>
      </c>
      <c r="P4" s="50">
        <f t="shared" ca="1" si="4"/>
        <v>0</v>
      </c>
      <c r="Q4" s="50">
        <f t="shared" ca="1" si="4"/>
        <v>319.68317302923685</v>
      </c>
      <c r="S4" s="50">
        <f t="shared" ref="S4:AC4" ca="1" si="5">SUM(OFFSET(S$11, 0, 0, timeHorizon*AB.cyclesPerYear))</f>
        <v>62.450635264670936</v>
      </c>
      <c r="T4" s="50">
        <f t="shared" ca="1" si="5"/>
        <v>0</v>
      </c>
      <c r="U4" s="50">
        <f t="shared" ca="1" si="5"/>
        <v>79.656744722683143</v>
      </c>
      <c r="V4" s="50">
        <f t="shared" ca="1" si="5"/>
        <v>11.357247248911625</v>
      </c>
      <c r="W4" s="50">
        <f t="shared" ca="1" si="5"/>
        <v>17.919630502015018</v>
      </c>
      <c r="X4" s="50">
        <f t="shared" ca="1" si="5"/>
        <v>2.5549333572323207</v>
      </c>
      <c r="Y4" s="50">
        <f t="shared" ca="1" si="5"/>
        <v>35.921067660817911</v>
      </c>
      <c r="Z4" s="50">
        <f t="shared" ca="1" si="5"/>
        <v>5.1215304904698149</v>
      </c>
      <c r="AA4" s="50">
        <f t="shared" ca="1" si="5"/>
        <v>78.951543111921836</v>
      </c>
      <c r="AB4" s="50">
        <f t="shared" ca="1" si="5"/>
        <v>0</v>
      </c>
      <c r="AC4" s="50">
        <f t="shared" ca="1" si="5"/>
        <v>293.93333235872262</v>
      </c>
    </row>
    <row r="5" spans="1:29" ht="12" customHeight="1" x14ac:dyDescent="0.25">
      <c r="A5" s="262"/>
      <c r="C5" s="263"/>
      <c r="F5" s="57" t="s">
        <v>47</v>
      </c>
      <c r="G5" s="50">
        <f t="array" aca="1" ref="G5" ca="1">SUM(OFFSET(G$11, 0, 0, timeHorizon*AB.cyclesPerYear) / (1+DQALYs)^(OFFSET($D$11, 0, 0, timeHorizon*AB.cyclesPerYear)/AB.cyclesPerYear))</f>
        <v>1.6491254942106305E-3</v>
      </c>
      <c r="H5" s="50">
        <f t="array" aca="1" ref="H5" ca="1">SUM(OFFSET(H$11, 0, 0, timeHorizon*AB.cyclesPerYear) / (1+DQALYs)^(OFFSET($D$11, 0, 0, timeHorizon*AB.cyclesPerYear)/AB.cyclesPerYear))</f>
        <v>0</v>
      </c>
      <c r="I5" s="50">
        <f t="array" aca="1" ref="I5" ca="1">SUM(OFFSET(I$11, 0, 0, timeHorizon*AB.cyclesPerYear) / (1+DQALYs)^(OFFSET($D$11, 0, 0, timeHorizon*AB.cyclesPerYear)/AB.cyclesPerYear))</f>
        <v>92.362854986569957</v>
      </c>
      <c r="J5" s="50">
        <f t="array" aca="1" ref="J5" ca="1">SUM(OFFSET(J$11, 0, 0, timeHorizon*AB.cyclesPerYear) / (1+DQALYs)^(OFFSET($D$11, 0, 0, timeHorizon*AB.cyclesPerYear)/AB.cyclesPerYear))</f>
        <v>13.180898018905392</v>
      </c>
      <c r="K5" s="50">
        <f t="array" aca="1" ref="K5" ca="1">SUM(OFFSET(K$11, 0, 0, timeHorizon*AB.cyclesPerYear) / (1+DQALYs)^(OFFSET($D$11, 0, 0, timeHorizon*AB.cyclesPerYear)/AB.cyclesPerYear))</f>
        <v>22.667084375500806</v>
      </c>
      <c r="L5" s="50">
        <f t="array" aca="1" ref="L5" ca="1">SUM(OFFSET(L$11, 0, 0, timeHorizon*AB.cyclesPerYear) / (1+DQALYs)^(OFFSET($D$11, 0, 0, timeHorizon*AB.cyclesPerYear)/AB.cyclesPerYear))</f>
        <v>3.2388587667355004</v>
      </c>
      <c r="M5" s="50">
        <f t="array" aca="1" ref="M5" ca="1">SUM(OFFSET(M$11, 0, 0, timeHorizon*AB.cyclesPerYear) / (1+DQALYs)^(OFFSET($D$11, 0, 0, timeHorizon*AB.cyclesPerYear)/AB.cyclesPerYear))</f>
        <v>41.130439253754574</v>
      </c>
      <c r="N5" s="50">
        <f t="array" aca="1" ref="N5" ca="1">SUM(OFFSET(N$11, 0, 0, timeHorizon*AB.cyclesPerYear) / (1+DQALYs)^(OFFSET($D$11, 0, 0, timeHorizon*AB.cyclesPerYear)/AB.cyclesPerYear))</f>
        <v>5.8685070733158735</v>
      </c>
      <c r="O5" s="50">
        <f t="array" aca="1" ref="O5" ca="1">SUM(OFFSET(O$11, 0, 0, timeHorizon*AB.cyclesPerYear) / (1+DQALYs)^(OFFSET($D$11, 0, 0, timeHorizon*AB.cyclesPerYear)/AB.cyclesPerYear))</f>
        <v>95.84095690559883</v>
      </c>
      <c r="P5" s="50">
        <f t="array" aca="1" ref="P5" ca="1">SUM(OFFSET(P$11, 0, 0, timeHorizon*AB.cyclesPerYear) / (1+DQALYs)^(OFFSET($D$11, 0, 0, timeHorizon*AB.cyclesPerYear)/AB.cyclesPerYear))</f>
        <v>0</v>
      </c>
      <c r="Q5" s="50">
        <f t="array" aca="1" ref="Q5" ca="1">SUM(OFFSET(Q$11, 0, 0, timeHorizon*AB.cyclesPerYear) / (1+DQALYs)^(OFFSET($D$11, 0, 0, timeHorizon*AB.cyclesPerYear)/AB.cyclesPerYear))</f>
        <v>274.2912485058751</v>
      </c>
      <c r="S5" s="50">
        <f t="array" aca="1" ref="S5" ca="1">SUM(OFFSET(S$11, 0, 0, timeHorizon*AB.cyclesPerYear) / (1+DQALYs)^(OFFSET($D$11, 0, 0, timeHorizon*AB.cyclesPerYear)/AB.cyclesPerYear))</f>
        <v>56.196955565326867</v>
      </c>
      <c r="T5" s="50">
        <f t="array" aca="1" ref="T5" ca="1">SUM(OFFSET(T$11, 0, 0, timeHorizon*AB.cyclesPerYear) / (1+DQALYs)^(OFFSET($D$11, 0, 0, timeHorizon*AB.cyclesPerYear)/AB.cyclesPerYear))</f>
        <v>0</v>
      </c>
      <c r="U5" s="50">
        <f t="array" aca="1" ref="U5" ca="1">SUM(OFFSET(U$11, 0, 0, timeHorizon*AB.cyclesPerYear) / (1+DQALYs)^(OFFSET($D$11, 0, 0, timeHorizon*AB.cyclesPerYear)/AB.cyclesPerYear))</f>
        <v>67.674101741108274</v>
      </c>
      <c r="V5" s="50">
        <f t="array" aca="1" ref="V5" ca="1">SUM(OFFSET(V$11, 0, 0, timeHorizon*AB.cyclesPerYear) / (1+DQALYs)^(OFFSET($D$11, 0, 0, timeHorizon*AB.cyclesPerYear)/AB.cyclesPerYear))</f>
        <v>9.6041262295987995</v>
      </c>
      <c r="W5" s="50">
        <f t="array" aca="1" ref="W5" ca="1">SUM(OFFSET(W$11, 0, 0, timeHorizon*AB.cyclesPerYear) / (1+DQALYs)^(OFFSET($D$11, 0, 0, timeHorizon*AB.cyclesPerYear)/AB.cyclesPerYear))</f>
        <v>15.224007734414762</v>
      </c>
      <c r="X5" s="50">
        <f t="array" aca="1" ref="X5" ca="1">SUM(OFFSET(X$11, 0, 0, timeHorizon*AB.cyclesPerYear) / (1+DQALYs)^(OFFSET($D$11, 0, 0, timeHorizon*AB.cyclesPerYear)/AB.cyclesPerYear))</f>
        <v>2.1605501697097722</v>
      </c>
      <c r="Y5" s="50">
        <f t="array" aca="1" ref="Y5" ca="1">SUM(OFFSET(Y$11, 0, 0, timeHorizon*AB.cyclesPerYear) / (1+DQALYs)^(OFFSET($D$11, 0, 0, timeHorizon*AB.cyclesPerYear)/AB.cyclesPerYear))</f>
        <v>30.51751607463304</v>
      </c>
      <c r="Z5" s="50">
        <f t="array" aca="1" ref="Z5" ca="1">SUM(OFFSET(Z$11, 0, 0, timeHorizon*AB.cyclesPerYear) / (1+DQALYs)^(OFFSET($D$11, 0, 0, timeHorizon*AB.cyclesPerYear)/AB.cyclesPerYear))</f>
        <v>4.3309636781857401</v>
      </c>
      <c r="AA5" s="50">
        <f t="array" aca="1" ref="AA5" ca="1">SUM(OFFSET(AA$11, 0, 0, timeHorizon*AB.cyclesPerYear) / (1+DQALYs)^(OFFSET($D$11, 0, 0, timeHorizon*AB.cyclesPerYear)/AB.cyclesPerYear))</f>
        <v>64.195691624905791</v>
      </c>
      <c r="AB5" s="50">
        <f t="array" aca="1" ref="AB5" ca="1">SUM(OFFSET(AB$11, 0, 0, timeHorizon*AB.cyclesPerYear) / (1+DQALYs)^(OFFSET($D$11, 0, 0, timeHorizon*AB.cyclesPerYear)/AB.cyclesPerYear))</f>
        <v>0</v>
      </c>
      <c r="AC5" s="50">
        <f t="array" aca="1" ref="AC5" ca="1">SUM(OFFSET(AC$11, 0, 0, timeHorizon*AB.cyclesPerYear) / (1+DQALYs)^(OFFSET($D$11, 0, 0, timeHorizon*AB.cyclesPerYear)/AB.cyclesPerYear))</f>
        <v>249.90391281788305</v>
      </c>
    </row>
    <row r="6" spans="1:29" ht="12" customHeight="1" thickBot="1" x14ac:dyDescent="0.3">
      <c r="A6" s="262"/>
      <c r="C6" s="263"/>
      <c r="F6" s="57"/>
      <c r="G6" s="42" cm="1">
        <f t="array" ref="G6">INDEX(AB.rngC.ByState, G$3)</f>
        <v>3.8480642857142855</v>
      </c>
      <c r="H6" s="42" cm="1">
        <f t="array" ref="H6">INDEX(AB.rngC.ByState, H$3)</f>
        <v>0</v>
      </c>
      <c r="I6" s="42" cm="1">
        <f t="array" ref="I6">INDEX(AB.rngC.ByState, I$3)</f>
        <v>43.078064285714284</v>
      </c>
      <c r="J6" s="42" cm="1">
        <f t="array" ref="J6">INDEX(AB.rngC.ByState, J$3)</f>
        <v>43.078064285714284</v>
      </c>
      <c r="K6" s="42" cm="1">
        <f t="array" ref="K6">INDEX(AB.rngC.ByState, K$3)</f>
        <v>628.24913390935058</v>
      </c>
      <c r="L6" s="42" cm="1">
        <f t="array" ref="L6">INDEX(AB.rngC.ByState, L$3)</f>
        <v>628.24913390935058</v>
      </c>
      <c r="M6" s="42" cm="1">
        <f t="array" ref="M6">INDEX(AB.rngC.ByState, M$3)</f>
        <v>3284.2846284020698</v>
      </c>
      <c r="N6" s="42" cm="1">
        <f t="array" ref="N6">INDEX(AB.rngC.ByState, N$3)</f>
        <v>3284.2846284020698</v>
      </c>
      <c r="O6" s="42" cm="1">
        <f t="array" ref="O6">INDEX(AB.rngC.ByState, O$3)</f>
        <v>3.8480642857142855</v>
      </c>
      <c r="P6" s="42" cm="1">
        <f t="array" ref="P6">INDEX(AB.rngC.ByState, P$3)</f>
        <v>0</v>
      </c>
      <c r="Q6"/>
      <c r="S6" s="42" cm="1">
        <f t="array" ref="S6">INDEX(AB.rngC.ByState, S$3)</f>
        <v>3.8480642857142855</v>
      </c>
      <c r="T6" s="42" cm="1">
        <f t="array" ref="T6">INDEX(AB.rngC.ByState, T$3)</f>
        <v>0</v>
      </c>
      <c r="U6" s="42" cm="1">
        <f t="array" ref="U6">INDEX(AB.rngC.ByState, U$3)</f>
        <v>43.078064285714284</v>
      </c>
      <c r="V6" s="42" cm="1">
        <f t="array" ref="V6">INDEX(AB.rngC.ByState, V$3)</f>
        <v>43.078064285714284</v>
      </c>
      <c r="W6" s="42" cm="1">
        <f t="array" ref="W6">INDEX(AB.rngC.ByState, W$3)</f>
        <v>628.24913390935058</v>
      </c>
      <c r="X6" s="42" cm="1">
        <f t="array" ref="X6">INDEX(AB.rngC.ByState, X$3)</f>
        <v>628.24913390935058</v>
      </c>
      <c r="Y6" s="42" cm="1">
        <f t="array" ref="Y6">INDEX(AB.rngC.ByState, Y$3)</f>
        <v>3284.2846284020698</v>
      </c>
      <c r="Z6" s="42" cm="1">
        <f t="array" ref="Z6">INDEX(AB.rngC.ByState, Z$3)</f>
        <v>3284.2846284020698</v>
      </c>
      <c r="AA6" s="42" cm="1">
        <f t="array" ref="AA6">INDEX(AB.rngC.ByState, AA$3)</f>
        <v>3.8480642857142855</v>
      </c>
      <c r="AB6" s="42" cm="1">
        <f t="array" ref="AB6">INDEX(AB.rngC.ByState, AB$3)</f>
        <v>0</v>
      </c>
      <c r="AC6" s="50"/>
    </row>
    <row r="7" spans="1:29" ht="12" customHeight="1" thickBot="1" x14ac:dyDescent="0.3">
      <c r="A7" s="262"/>
      <c r="C7" s="263"/>
      <c r="D7" s="531" t="s">
        <v>31</v>
      </c>
      <c r="E7" s="446" t="s">
        <v>30</v>
      </c>
      <c r="F7" s="446"/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S7" s="438" t="str">
        <f>INDEX(rngStrats, S2)</f>
        <v>No HPE</v>
      </c>
      <c r="T7" s="438"/>
      <c r="U7" s="438"/>
      <c r="V7" s="438"/>
      <c r="W7" s="438"/>
      <c r="X7" s="438"/>
      <c r="Y7" s="438"/>
      <c r="Z7" s="438"/>
      <c r="AA7" s="438"/>
      <c r="AB7" s="438"/>
      <c r="AC7" s="438"/>
    </row>
    <row r="8" spans="1:29" ht="12" customHeight="1" x14ac:dyDescent="0.25">
      <c r="A8" s="262"/>
      <c r="C8" s="263"/>
      <c r="D8" s="532"/>
      <c r="E8" s="466"/>
      <c r="F8" s="466"/>
      <c r="G8" s="501" t="str">
        <f t="shared" ref="G8:P8" ca="1" si="6">INDEX(AB.rngStates, G$3)</f>
        <v>Well no HPE</v>
      </c>
      <c r="H8" s="501" t="str">
        <f t="shared" ca="1" si="6"/>
        <v>Well with HPE</v>
      </c>
      <c r="I8" s="501" t="str">
        <f t="shared" ca="1" si="6"/>
        <v>GI discomfort</v>
      </c>
      <c r="J8" s="501" t="str">
        <f t="shared" ca="1" si="6"/>
        <v>Unresolved GI discomfort</v>
      </c>
      <c r="K8" s="501" t="str">
        <f t="shared" ca="1" si="6"/>
        <v>Symptomatic ulcer</v>
      </c>
      <c r="L8" s="501" t="str">
        <f t="shared" ca="1" si="6"/>
        <v>Unresolved ulcer</v>
      </c>
      <c r="M8" s="501" t="str">
        <f t="shared" ca="1" si="6"/>
        <v>Serious GI event</v>
      </c>
      <c r="N8" s="501" t="str">
        <f t="shared" ca="1" si="6"/>
        <v>Unresolved serious GI event</v>
      </c>
      <c r="O8" s="501" t="str">
        <f t="shared" ca="1" si="6"/>
        <v>Post-event</v>
      </c>
      <c r="P8" s="501" t="str">
        <f t="shared" ca="1" si="6"/>
        <v>Dead</v>
      </c>
      <c r="Q8" s="518" t="s">
        <v>37</v>
      </c>
      <c r="S8" s="501" t="str">
        <f t="shared" ref="S8:AB8" ca="1" si="7">INDEX(AB.rngStates, S$3)</f>
        <v>Well no HPE</v>
      </c>
      <c r="T8" s="501" t="str">
        <f t="shared" ca="1" si="7"/>
        <v>Well with HPE</v>
      </c>
      <c r="U8" s="501" t="str">
        <f t="shared" ca="1" si="7"/>
        <v>GI discomfort</v>
      </c>
      <c r="V8" s="501" t="str">
        <f t="shared" ca="1" si="7"/>
        <v>Unresolved GI discomfort</v>
      </c>
      <c r="W8" s="501" t="str">
        <f t="shared" ca="1" si="7"/>
        <v>Symptomatic ulcer</v>
      </c>
      <c r="X8" s="501" t="str">
        <f t="shared" ca="1" si="7"/>
        <v>Unresolved ulcer</v>
      </c>
      <c r="Y8" s="501" t="str">
        <f t="shared" ca="1" si="7"/>
        <v>Serious GI event</v>
      </c>
      <c r="Z8" s="501" t="str">
        <f t="shared" ca="1" si="7"/>
        <v>Unresolved serious GI event</v>
      </c>
      <c r="AA8" s="501" t="str">
        <f t="shared" ca="1" si="7"/>
        <v>Post-event</v>
      </c>
      <c r="AB8" s="501" t="str">
        <f t="shared" ca="1" si="7"/>
        <v>Dead</v>
      </c>
      <c r="AC8" s="518" t="s">
        <v>37</v>
      </c>
    </row>
    <row r="9" spans="1:29" ht="12" customHeight="1" x14ac:dyDescent="0.25">
      <c r="A9" s="262"/>
      <c r="C9" s="263"/>
      <c r="D9" s="532"/>
      <c r="E9" s="466"/>
      <c r="F9" s="466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19"/>
      <c r="S9" s="502"/>
      <c r="T9" s="502"/>
      <c r="U9" s="502"/>
      <c r="V9" s="502"/>
      <c r="W9" s="502"/>
      <c r="X9" s="502"/>
      <c r="Y9" s="502"/>
      <c r="Z9" s="502"/>
      <c r="AA9" s="502"/>
      <c r="AB9" s="502"/>
      <c r="AC9" s="519"/>
    </row>
    <row r="10" spans="1:29" ht="12" customHeight="1" thickBot="1" x14ac:dyDescent="0.3">
      <c r="A10" s="262"/>
      <c r="C10" s="263"/>
      <c r="D10" s="533"/>
      <c r="E10" s="447"/>
      <c r="F10" s="44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0"/>
      <c r="S10" s="527"/>
      <c r="T10" s="527"/>
      <c r="U10" s="527"/>
      <c r="V10" s="527"/>
      <c r="W10" s="527"/>
      <c r="X10" s="527"/>
      <c r="Y10" s="527"/>
      <c r="Z10" s="527"/>
      <c r="AA10" s="527"/>
      <c r="AB10" s="527"/>
      <c r="AC10" s="520"/>
    </row>
    <row r="11" spans="1:29" ht="12" customHeight="1" x14ac:dyDescent="0.25">
      <c r="A11" s="262"/>
      <c r="C11" s="263"/>
      <c r="D11" s="43">
        <v>0</v>
      </c>
      <c r="E11" s="43">
        <f t="shared" ref="E11:E42" si="8">B.cohortAge+D11*AB.cycleLength</f>
        <v>55</v>
      </c>
      <c r="G11" s="42">
        <f t="shared" ref="G11:O20" ca="1" si="9">PRODUCT(AVERAGE(OFFSET(AB.Trace.MarkovQB.Root, $D11, (G$2-1)*AB.Trace.MarkovQB.NumCols+G$3-1, CHOOSE(swtchHalfCycle, 2, 1))), G$6)</f>
        <v>0</v>
      </c>
      <c r="H11" s="42">
        <f t="shared" ca="1" si="9"/>
        <v>0</v>
      </c>
      <c r="I11" s="42">
        <f t="shared" ca="1" si="9"/>
        <v>3.2218096389416959</v>
      </c>
      <c r="J11" s="42">
        <f t="shared" ca="1" si="9"/>
        <v>0</v>
      </c>
      <c r="K11" s="42">
        <f t="shared" ca="1" si="9"/>
        <v>0.87831856764367622</v>
      </c>
      <c r="L11" s="42">
        <f t="shared" ca="1" si="9"/>
        <v>0</v>
      </c>
      <c r="M11" s="42">
        <f t="shared" ca="1" si="9"/>
        <v>1.410570770485013</v>
      </c>
      <c r="N11" s="42">
        <f t="shared" ca="1" si="9"/>
        <v>0</v>
      </c>
      <c r="O11" s="42">
        <f t="shared" ca="1" si="9"/>
        <v>0</v>
      </c>
      <c r="P11" s="42">
        <f t="shared" ref="P11:P42" ca="1" si="10">AVERAGE(OFFSET(AB.Trace.MarkovQB.Root, $D11, (P$2-1)*AB.Trace.MarkovQB.NumCols+P$3-1))*INDEX(AB.rngC.ByState, P$3)</f>
        <v>0</v>
      </c>
      <c r="Q11" s="51">
        <f t="shared" ref="Q11:Q42" ca="1" si="11">SUM(G11:P11)</f>
        <v>5.5106989770703851</v>
      </c>
      <c r="S11" s="42">
        <f t="shared" ref="S11:AA20" ca="1" si="12">PRODUCT(AVERAGE(OFFSET(AB.Trace.MarkovQB.Root, $D11, (S$2-1)*AB.Trace.MarkovQB.NumCols+S$3-1, CHOOSE(swtchHalfCycle, 2, 1))), S$6)</f>
        <v>3.7457937448960354</v>
      </c>
      <c r="T11" s="42">
        <f t="shared" ca="1" si="12"/>
        <v>0</v>
      </c>
      <c r="U11" s="42">
        <f t="shared" ca="1" si="12"/>
        <v>1.0954152772401766</v>
      </c>
      <c r="V11" s="42">
        <f t="shared" ca="1" si="12"/>
        <v>0</v>
      </c>
      <c r="W11" s="42">
        <f t="shared" ca="1" si="12"/>
        <v>0.24642529747787437</v>
      </c>
      <c r="X11" s="42">
        <f t="shared" ca="1" si="12"/>
        <v>0</v>
      </c>
      <c r="Y11" s="42">
        <f t="shared" ca="1" si="12"/>
        <v>0.49397557516850227</v>
      </c>
      <c r="Z11" s="42">
        <f t="shared" ca="1" si="12"/>
        <v>0</v>
      </c>
      <c r="AA11" s="42">
        <f t="shared" ca="1" si="12"/>
        <v>0</v>
      </c>
      <c r="AB11" s="42">
        <f t="shared" ref="AB11:AB42" ca="1" si="13">AVERAGE(OFFSET(AB.Trace.MarkovQB.Root, $D11, (AB$2-1)*AB.Trace.MarkovQB.NumCols+AB$3-1))*INDEX(AB.rngC.ByState, AB$3)</f>
        <v>0</v>
      </c>
      <c r="AC11" s="51">
        <f t="shared" ref="AC11:AC42" ca="1" si="14">SUM(S11:AB11)</f>
        <v>5.5816098947825887</v>
      </c>
    </row>
    <row r="12" spans="1:29" ht="12" customHeight="1" x14ac:dyDescent="0.25">
      <c r="A12" s="262"/>
      <c r="C12" s="263"/>
      <c r="D12" s="43">
        <f t="shared" ref="D12:D43" si="15">D11+1</f>
        <v>1</v>
      </c>
      <c r="E12" s="43">
        <f t="shared" si="8"/>
        <v>55.25</v>
      </c>
      <c r="G12" s="42">
        <f t="shared" ca="1" si="9"/>
        <v>0</v>
      </c>
      <c r="H12" s="42">
        <f t="shared" ca="1" si="9"/>
        <v>0</v>
      </c>
      <c r="I12" s="42">
        <f t="shared" ca="1" si="9"/>
        <v>5.9460208081637447</v>
      </c>
      <c r="J12" s="42">
        <f t="shared" ca="1" si="9"/>
        <v>0.47086818118737606</v>
      </c>
      <c r="K12" s="42">
        <f t="shared" ca="1" si="9"/>
        <v>1.6209835665900381</v>
      </c>
      <c r="L12" s="42">
        <f t="shared" ca="1" si="9"/>
        <v>0.12836645016225412</v>
      </c>
      <c r="M12" s="42">
        <f t="shared" ca="1" si="9"/>
        <v>2.6032832763659242</v>
      </c>
      <c r="N12" s="42">
        <f t="shared" ca="1" si="9"/>
        <v>0.20615522565527139</v>
      </c>
      <c r="O12" s="42">
        <f t="shared" ca="1" si="9"/>
        <v>0.25130282599064879</v>
      </c>
      <c r="P12" s="42">
        <f t="shared" ca="1" si="10"/>
        <v>0</v>
      </c>
      <c r="Q12" s="51">
        <f t="shared" ca="1" si="11"/>
        <v>11.226980334115256</v>
      </c>
      <c r="S12" s="42">
        <f t="shared" ca="1" si="12"/>
        <v>3.5466887800926603</v>
      </c>
      <c r="T12" s="42">
        <f t="shared" ca="1" si="12"/>
        <v>0</v>
      </c>
      <c r="U12" s="42">
        <f t="shared" ca="1" si="12"/>
        <v>2.1326045455023719</v>
      </c>
      <c r="V12" s="42">
        <f t="shared" ca="1" si="12"/>
        <v>0.16009518160370789</v>
      </c>
      <c r="W12" s="42">
        <f t="shared" ca="1" si="12"/>
        <v>0.47975203600603405</v>
      </c>
      <c r="X12" s="42">
        <f t="shared" ca="1" si="12"/>
        <v>3.6015110954873093E-2</v>
      </c>
      <c r="Y12" s="42">
        <f t="shared" ca="1" si="12"/>
        <v>0.96169423492577399</v>
      </c>
      <c r="Z12" s="42">
        <f t="shared" ca="1" si="12"/>
        <v>7.219463801312126E-2</v>
      </c>
      <c r="AA12" s="42">
        <f t="shared" ca="1" si="12"/>
        <v>8.5185814032636545E-2</v>
      </c>
      <c r="AB12" s="42">
        <f t="shared" ca="1" si="13"/>
        <v>0</v>
      </c>
      <c r="AC12" s="51">
        <f t="shared" ca="1" si="14"/>
        <v>7.4742303411311797</v>
      </c>
    </row>
    <row r="13" spans="1:29" ht="12" customHeight="1" x14ac:dyDescent="0.25">
      <c r="A13" s="262"/>
      <c r="C13" s="263"/>
      <c r="D13" s="43">
        <f t="shared" si="15"/>
        <v>2</v>
      </c>
      <c r="E13" s="43">
        <f t="shared" si="8"/>
        <v>55.5</v>
      </c>
      <c r="G13" s="42">
        <f t="shared" ca="1" si="9"/>
        <v>0</v>
      </c>
      <c r="H13" s="42">
        <f t="shared" ca="1" si="9"/>
        <v>0</v>
      </c>
      <c r="I13" s="42">
        <f t="shared" ca="1" si="9"/>
        <v>5.1707514325096078</v>
      </c>
      <c r="J13" s="42">
        <f t="shared" ca="1" si="9"/>
        <v>0.86901223753307566</v>
      </c>
      <c r="K13" s="42">
        <f t="shared" ca="1" si="9"/>
        <v>1.402813947541568</v>
      </c>
      <c r="L13" s="42">
        <f t="shared" ca="1" si="9"/>
        <v>0.2369071016826422</v>
      </c>
      <c r="M13" s="42">
        <f t="shared" ca="1" si="9"/>
        <v>2.265733708407899</v>
      </c>
      <c r="N13" s="42">
        <f t="shared" ca="1" si="9"/>
        <v>0.38047041843868501</v>
      </c>
      <c r="O13" s="42">
        <f t="shared" ca="1" si="9"/>
        <v>0.74476320142232955</v>
      </c>
      <c r="P13" s="42">
        <f t="shared" ca="1" si="10"/>
        <v>0</v>
      </c>
      <c r="Q13" s="51">
        <f t="shared" ca="1" si="11"/>
        <v>11.070452047535808</v>
      </c>
      <c r="S13" s="42">
        <f t="shared" ca="1" si="12"/>
        <v>3.3581670960861443</v>
      </c>
      <c r="T13" s="42">
        <f t="shared" ca="1" si="12"/>
        <v>0</v>
      </c>
      <c r="U13" s="42">
        <f t="shared" ca="1" si="12"/>
        <v>2.0677465967473232</v>
      </c>
      <c r="V13" s="42">
        <f t="shared" ca="1" si="12"/>
        <v>0.31168061930017854</v>
      </c>
      <c r="W13" s="42">
        <f t="shared" ca="1" si="12"/>
        <v>0.46516155178708585</v>
      </c>
      <c r="X13" s="42">
        <f t="shared" ca="1" si="12"/>
        <v>7.0115864663346683E-2</v>
      </c>
      <c r="Y13" s="42">
        <f t="shared" ca="1" si="12"/>
        <v>0.93244665804219951</v>
      </c>
      <c r="Z13" s="42">
        <f t="shared" ca="1" si="12"/>
        <v>0.14055182211405604</v>
      </c>
      <c r="AA13" s="42">
        <f t="shared" ca="1" si="12"/>
        <v>0.26108607345605028</v>
      </c>
      <c r="AB13" s="42">
        <f t="shared" ca="1" si="13"/>
        <v>0</v>
      </c>
      <c r="AC13" s="51">
        <f t="shared" ca="1" si="14"/>
        <v>7.6069562821963839</v>
      </c>
    </row>
    <row r="14" spans="1:29" ht="12" customHeight="1" x14ac:dyDescent="0.25">
      <c r="A14" s="262"/>
      <c r="C14" s="263"/>
      <c r="D14" s="43">
        <f t="shared" si="15"/>
        <v>3</v>
      </c>
      <c r="E14" s="43">
        <f t="shared" si="8"/>
        <v>55.75</v>
      </c>
      <c r="G14" s="42">
        <f t="shared" ca="1" si="9"/>
        <v>0</v>
      </c>
      <c r="H14" s="42">
        <f t="shared" ca="1" si="9"/>
        <v>0</v>
      </c>
      <c r="I14" s="42">
        <f t="shared" ca="1" si="9"/>
        <v>4.6751858114954361</v>
      </c>
      <c r="J14" s="42">
        <f t="shared" ca="1" si="9"/>
        <v>0.75570644924806463</v>
      </c>
      <c r="K14" s="42">
        <f t="shared" ca="1" si="9"/>
        <v>1.2543259551098176</v>
      </c>
      <c r="L14" s="42">
        <f t="shared" ca="1" si="9"/>
        <v>0.20502156429085502</v>
      </c>
      <c r="M14" s="42">
        <f t="shared" ca="1" si="9"/>
        <v>2.0524539198909455</v>
      </c>
      <c r="N14" s="42">
        <f t="shared" ca="1" si="9"/>
        <v>0.33113747548517491</v>
      </c>
      <c r="O14" s="42">
        <f t="shared" ca="1" si="9"/>
        <v>1.1878693769279571</v>
      </c>
      <c r="P14" s="42">
        <f t="shared" ca="1" si="10"/>
        <v>0</v>
      </c>
      <c r="Q14" s="51">
        <f t="shared" ca="1" si="11"/>
        <v>10.461700552448249</v>
      </c>
      <c r="S14" s="42">
        <f t="shared" ca="1" si="12"/>
        <v>3.1796661462190712</v>
      </c>
      <c r="T14" s="42">
        <f t="shared" ca="1" si="12"/>
        <v>0</v>
      </c>
      <c r="U14" s="42">
        <f t="shared" ca="1" si="12"/>
        <v>2.0605608013539394</v>
      </c>
      <c r="V14" s="42">
        <f t="shared" ca="1" si="12"/>
        <v>0.30220161594855122</v>
      </c>
      <c r="W14" s="42">
        <f t="shared" ca="1" si="12"/>
        <v>0.46354503081625276</v>
      </c>
      <c r="X14" s="42">
        <f t="shared" ca="1" si="12"/>
        <v>6.7983462213561982E-2</v>
      </c>
      <c r="Y14" s="42">
        <f t="shared" ca="1" si="12"/>
        <v>0.92920623636263977</v>
      </c>
      <c r="Z14" s="42">
        <f t="shared" ca="1" si="12"/>
        <v>0.136277282375628</v>
      </c>
      <c r="AA14" s="42">
        <f t="shared" ca="1" si="12"/>
        <v>0.4364021308584165</v>
      </c>
      <c r="AB14" s="42">
        <f t="shared" ca="1" si="13"/>
        <v>0</v>
      </c>
      <c r="AC14" s="51">
        <f t="shared" ca="1" si="14"/>
        <v>7.5758427061480598</v>
      </c>
    </row>
    <row r="15" spans="1:29" ht="12" customHeight="1" x14ac:dyDescent="0.25">
      <c r="A15" s="262"/>
      <c r="C15" s="263"/>
      <c r="D15" s="43">
        <f t="shared" si="15"/>
        <v>4</v>
      </c>
      <c r="E15" s="43">
        <f t="shared" si="8"/>
        <v>56</v>
      </c>
      <c r="G15" s="42">
        <f t="shared" ca="1" si="9"/>
        <v>0</v>
      </c>
      <c r="H15" s="42">
        <f t="shared" ca="1" si="9"/>
        <v>0</v>
      </c>
      <c r="I15" s="42">
        <f t="shared" ca="1" si="9"/>
        <v>4.2708812685840583</v>
      </c>
      <c r="J15" s="42">
        <f t="shared" ca="1" si="9"/>
        <v>0.68327942568791877</v>
      </c>
      <c r="K15" s="42">
        <f t="shared" ca="1" si="9"/>
        <v>1.1320834559585724</v>
      </c>
      <c r="L15" s="42">
        <f t="shared" ca="1" si="9"/>
        <v>0.18332001182189225</v>
      </c>
      <c r="M15" s="42">
        <f t="shared" ca="1" si="9"/>
        <v>1.8787536208098874</v>
      </c>
      <c r="N15" s="42">
        <f t="shared" ca="1" si="9"/>
        <v>0.29996658789170605</v>
      </c>
      <c r="O15" s="42">
        <f t="shared" ca="1" si="9"/>
        <v>1.5583431895551156</v>
      </c>
      <c r="P15" s="42">
        <f t="shared" ca="1" si="10"/>
        <v>0</v>
      </c>
      <c r="Q15" s="51">
        <f t="shared" ca="1" si="11"/>
        <v>10.00662756030915</v>
      </c>
      <c r="S15" s="42">
        <f t="shared" ca="1" si="12"/>
        <v>3.0106532855958541</v>
      </c>
      <c r="T15" s="42">
        <f t="shared" ca="1" si="12"/>
        <v>0</v>
      </c>
      <c r="U15" s="42">
        <f t="shared" ca="1" si="12"/>
        <v>2.0587475365001482</v>
      </c>
      <c r="V15" s="42">
        <f t="shared" ca="1" si="12"/>
        <v>0.30115141038507826</v>
      </c>
      <c r="W15" s="42">
        <f t="shared" ca="1" si="12"/>
        <v>0.46313711763457116</v>
      </c>
      <c r="X15" s="42">
        <f t="shared" ca="1" si="12"/>
        <v>6.7747207321222205E-2</v>
      </c>
      <c r="Y15" s="42">
        <f t="shared" ca="1" si="12"/>
        <v>0.92838854779493873</v>
      </c>
      <c r="Z15" s="42">
        <f t="shared" ca="1" si="12"/>
        <v>0.13580369404064632</v>
      </c>
      <c r="AA15" s="42">
        <f t="shared" ca="1" si="12"/>
        <v>0.60097704702585519</v>
      </c>
      <c r="AB15" s="42">
        <f t="shared" ca="1" si="13"/>
        <v>0</v>
      </c>
      <c r="AC15" s="51">
        <f t="shared" ca="1" si="14"/>
        <v>7.5666058462983141</v>
      </c>
    </row>
    <row r="16" spans="1:29" ht="12" customHeight="1" x14ac:dyDescent="0.25">
      <c r="A16" s="262"/>
      <c r="C16" s="263"/>
      <c r="D16" s="43">
        <f t="shared" si="15"/>
        <v>5</v>
      </c>
      <c r="E16" s="43">
        <f t="shared" si="8"/>
        <v>56.25</v>
      </c>
      <c r="G16" s="42">
        <f t="shared" ca="1" si="9"/>
        <v>0</v>
      </c>
      <c r="H16" s="42">
        <f t="shared" ca="1" si="9"/>
        <v>0</v>
      </c>
      <c r="I16" s="42">
        <f t="shared" ca="1" si="9"/>
        <v>3.9266313856555159</v>
      </c>
      <c r="J16" s="42">
        <f t="shared" ca="1" si="9"/>
        <v>0.6241902285902875</v>
      </c>
      <c r="K16" s="42">
        <f t="shared" ca="1" si="9"/>
        <v>1.0281835177802143</v>
      </c>
      <c r="L16" s="42">
        <f t="shared" ca="1" si="9"/>
        <v>0.16545424391822008</v>
      </c>
      <c r="M16" s="42">
        <f t="shared" ca="1" si="9"/>
        <v>1.7308035138277824</v>
      </c>
      <c r="N16" s="42">
        <f t="shared" ca="1" si="9"/>
        <v>0.27458025130886943</v>
      </c>
      <c r="O16" s="42">
        <f t="shared" ca="1" si="9"/>
        <v>1.8709002458814459</v>
      </c>
      <c r="P16" s="42">
        <f t="shared" ca="1" si="10"/>
        <v>0</v>
      </c>
      <c r="Q16" s="51">
        <f t="shared" ca="1" si="11"/>
        <v>9.6207433869623351</v>
      </c>
      <c r="S16" s="42">
        <f t="shared" ca="1" si="12"/>
        <v>2.8506241816761544</v>
      </c>
      <c r="T16" s="42">
        <f t="shared" ca="1" si="12"/>
        <v>0</v>
      </c>
      <c r="U16" s="42">
        <f t="shared" ca="1" si="12"/>
        <v>2.0562208676113514</v>
      </c>
      <c r="V16" s="42">
        <f t="shared" ca="1" si="12"/>
        <v>0.30088640133134781</v>
      </c>
      <c r="W16" s="42">
        <f t="shared" ca="1" si="12"/>
        <v>0.46256871664045807</v>
      </c>
      <c r="X16" s="42">
        <f t="shared" ca="1" si="12"/>
        <v>6.7687590720781496E-2</v>
      </c>
      <c r="Y16" s="42">
        <f t="shared" ca="1" si="12"/>
        <v>0.92724915094377502</v>
      </c>
      <c r="Z16" s="42">
        <f t="shared" ca="1" si="12"/>
        <v>0.13568418867819493</v>
      </c>
      <c r="AA16" s="42">
        <f t="shared" ca="1" si="12"/>
        <v>0.75656741894439006</v>
      </c>
      <c r="AB16" s="42">
        <f t="shared" ca="1" si="13"/>
        <v>0</v>
      </c>
      <c r="AC16" s="51">
        <f t="shared" ca="1" si="14"/>
        <v>7.5574885165464547</v>
      </c>
    </row>
    <row r="17" spans="1:29" ht="12" customHeight="1" x14ac:dyDescent="0.25">
      <c r="A17" s="262"/>
      <c r="C17" s="263"/>
      <c r="D17" s="43">
        <f t="shared" si="15"/>
        <v>6</v>
      </c>
      <c r="E17" s="43">
        <f t="shared" si="8"/>
        <v>56.5</v>
      </c>
      <c r="G17" s="42">
        <f t="shared" ca="1" si="9"/>
        <v>0</v>
      </c>
      <c r="H17" s="42">
        <f t="shared" ca="1" si="9"/>
        <v>0</v>
      </c>
      <c r="I17" s="42">
        <f t="shared" ca="1" si="9"/>
        <v>3.6351523005346733</v>
      </c>
      <c r="J17" s="42">
        <f t="shared" ca="1" si="9"/>
        <v>0.57387803314295638</v>
      </c>
      <c r="K17" s="42">
        <f t="shared" ca="1" si="9"/>
        <v>0.94024117415618291</v>
      </c>
      <c r="L17" s="42">
        <f t="shared" ca="1" si="9"/>
        <v>0.15026924529999175</v>
      </c>
      <c r="M17" s="42">
        <f t="shared" ca="1" si="9"/>
        <v>1.6055245771237703</v>
      </c>
      <c r="N17" s="42">
        <f t="shared" ca="1" si="9"/>
        <v>0.25295731091564838</v>
      </c>
      <c r="O17" s="42">
        <f t="shared" ca="1" si="9"/>
        <v>2.1345329653489622</v>
      </c>
      <c r="P17" s="42">
        <f t="shared" ca="1" si="10"/>
        <v>0</v>
      </c>
      <c r="Q17" s="51">
        <f t="shared" ca="1" si="11"/>
        <v>9.2925556065221855</v>
      </c>
      <c r="S17" s="42">
        <f t="shared" ca="1" si="12"/>
        <v>2.6991013093520579</v>
      </c>
      <c r="T17" s="42">
        <f t="shared" ca="1" si="12"/>
        <v>0</v>
      </c>
      <c r="U17" s="42">
        <f t="shared" ca="1" si="12"/>
        <v>2.0536937503468593</v>
      </c>
      <c r="V17" s="42">
        <f t="shared" ca="1" si="12"/>
        <v>0.3005171281223567</v>
      </c>
      <c r="W17" s="42">
        <f t="shared" ca="1" si="12"/>
        <v>0.4620002147794719</v>
      </c>
      <c r="X17" s="42">
        <f t="shared" ca="1" si="12"/>
        <v>6.760451879156254E-2</v>
      </c>
      <c r="Y17" s="42">
        <f t="shared" ca="1" si="12"/>
        <v>0.92610955189838795</v>
      </c>
      <c r="Z17" s="42">
        <f t="shared" ca="1" si="12"/>
        <v>0.13551766557997294</v>
      </c>
      <c r="AA17" s="42">
        <f t="shared" ca="1" si="12"/>
        <v>0.90366686628248605</v>
      </c>
      <c r="AB17" s="42">
        <f t="shared" ca="1" si="13"/>
        <v>0</v>
      </c>
      <c r="AC17" s="51">
        <f t="shared" ca="1" si="14"/>
        <v>7.5482110051531546</v>
      </c>
    </row>
    <row r="18" spans="1:29" ht="12" customHeight="1" x14ac:dyDescent="0.25">
      <c r="A18" s="262"/>
      <c r="C18" s="263"/>
      <c r="D18" s="43">
        <f t="shared" si="15"/>
        <v>7</v>
      </c>
      <c r="E18" s="43">
        <f t="shared" si="8"/>
        <v>56.75</v>
      </c>
      <c r="G18" s="42">
        <f t="shared" ca="1" si="9"/>
        <v>0</v>
      </c>
      <c r="H18" s="42">
        <f t="shared" ca="1" si="9"/>
        <v>0</v>
      </c>
      <c r="I18" s="42">
        <f t="shared" ca="1" si="9"/>
        <v>3.3883206895169167</v>
      </c>
      <c r="J18" s="42">
        <f t="shared" ca="1" si="9"/>
        <v>0.5312783013009178</v>
      </c>
      <c r="K18" s="42">
        <f t="shared" ca="1" si="9"/>
        <v>0.86579788961292437</v>
      </c>
      <c r="L18" s="42">
        <f t="shared" ca="1" si="9"/>
        <v>0.13741645260513688</v>
      </c>
      <c r="M18" s="42">
        <f t="shared" ca="1" si="9"/>
        <v>1.499427477373305</v>
      </c>
      <c r="N18" s="42">
        <f t="shared" ca="1" si="9"/>
        <v>0.23464776700160025</v>
      </c>
      <c r="O18" s="42">
        <f t="shared" ca="1" si="9"/>
        <v>2.356769435699376</v>
      </c>
      <c r="P18" s="42">
        <f t="shared" ca="1" si="10"/>
        <v>0</v>
      </c>
      <c r="Q18" s="51">
        <f t="shared" ca="1" si="11"/>
        <v>9.0136580131101773</v>
      </c>
      <c r="S18" s="42">
        <f t="shared" ca="1" si="12"/>
        <v>2.5556325260183397</v>
      </c>
      <c r="T18" s="42">
        <f t="shared" ca="1" si="12"/>
        <v>0</v>
      </c>
      <c r="U18" s="42">
        <f t="shared" ca="1" si="12"/>
        <v>2.0511753478735018</v>
      </c>
      <c r="V18" s="42">
        <f t="shared" ca="1" si="12"/>
        <v>0.30014778938316</v>
      </c>
      <c r="W18" s="42">
        <f t="shared" ca="1" si="12"/>
        <v>0.46143367340328284</v>
      </c>
      <c r="X18" s="42">
        <f t="shared" ca="1" si="12"/>
        <v>6.7521432120628097E-2</v>
      </c>
      <c r="Y18" s="42">
        <f t="shared" ca="1" si="12"/>
        <v>0.92497388277259596</v>
      </c>
      <c r="Z18" s="42">
        <f t="shared" ca="1" si="12"/>
        <v>0.13535111293102109</v>
      </c>
      <c r="AA18" s="42">
        <f t="shared" ca="1" si="12"/>
        <v>1.0427171847174068</v>
      </c>
      <c r="AB18" s="42">
        <f t="shared" ca="1" si="13"/>
        <v>0</v>
      </c>
      <c r="AC18" s="51">
        <f t="shared" ca="1" si="14"/>
        <v>7.5389529492199365</v>
      </c>
    </row>
    <row r="19" spans="1:29" ht="12" customHeight="1" x14ac:dyDescent="0.25">
      <c r="A19" s="262"/>
      <c r="C19" s="263"/>
      <c r="D19" s="43">
        <f t="shared" si="15"/>
        <v>8</v>
      </c>
      <c r="E19" s="43">
        <f t="shared" si="8"/>
        <v>57</v>
      </c>
      <c r="G19" s="42">
        <f t="shared" ca="1" si="9"/>
        <v>0</v>
      </c>
      <c r="H19" s="42">
        <f t="shared" ca="1" si="9"/>
        <v>0</v>
      </c>
      <c r="I19" s="42">
        <f t="shared" ca="1" si="9"/>
        <v>3.1792248774009755</v>
      </c>
      <c r="J19" s="42">
        <f t="shared" ca="1" si="9"/>
        <v>0.49520380753360177</v>
      </c>
      <c r="K19" s="42">
        <f t="shared" ca="1" si="9"/>
        <v>0.8027651744699843</v>
      </c>
      <c r="L19" s="42">
        <f t="shared" ca="1" si="9"/>
        <v>0.12653655033815731</v>
      </c>
      <c r="M19" s="42">
        <f t="shared" ca="1" si="9"/>
        <v>1.4095424190731691</v>
      </c>
      <c r="N19" s="42">
        <f t="shared" ca="1" si="9"/>
        <v>0.219141652740558</v>
      </c>
      <c r="O19" s="42">
        <f t="shared" ca="1" si="9"/>
        <v>2.5440051604261789</v>
      </c>
      <c r="P19" s="42">
        <f t="shared" ca="1" si="10"/>
        <v>0</v>
      </c>
      <c r="Q19" s="51">
        <f t="shared" ca="1" si="11"/>
        <v>8.7764196419826241</v>
      </c>
      <c r="S19" s="42">
        <f t="shared" ca="1" si="12"/>
        <v>2.4197897223838418</v>
      </c>
      <c r="T19" s="42">
        <f t="shared" ca="1" si="12"/>
        <v>0</v>
      </c>
      <c r="U19" s="42">
        <f t="shared" ca="1" si="12"/>
        <v>2.0486597693422075</v>
      </c>
      <c r="V19" s="42">
        <f t="shared" ca="1" si="12"/>
        <v>0.29977972431258765</v>
      </c>
      <c r="W19" s="42">
        <f t="shared" ca="1" si="12"/>
        <v>0.46086776730284479</v>
      </c>
      <c r="X19" s="42">
        <f t="shared" ca="1" si="12"/>
        <v>6.7438631974974184E-2</v>
      </c>
      <c r="Y19" s="42">
        <f t="shared" ca="1" si="12"/>
        <v>0.92383948709846553</v>
      </c>
      <c r="Z19" s="42">
        <f t="shared" ca="1" si="12"/>
        <v>0.13518513464067491</v>
      </c>
      <c r="AA19" s="42">
        <f t="shared" ca="1" si="12"/>
        <v>1.1741468916331301</v>
      </c>
      <c r="AB19" s="42">
        <f t="shared" ca="1" si="13"/>
        <v>0</v>
      </c>
      <c r="AC19" s="51">
        <f t="shared" ca="1" si="14"/>
        <v>7.5297071286887265</v>
      </c>
    </row>
    <row r="20" spans="1:29" ht="12" customHeight="1" x14ac:dyDescent="0.25">
      <c r="A20" s="262"/>
      <c r="C20" s="263"/>
      <c r="D20" s="43">
        <f t="shared" si="15"/>
        <v>9</v>
      </c>
      <c r="E20" s="43">
        <f t="shared" si="8"/>
        <v>57.25</v>
      </c>
      <c r="G20" s="42">
        <f t="shared" ca="1" si="9"/>
        <v>0</v>
      </c>
      <c r="H20" s="42">
        <f t="shared" ca="1" si="9"/>
        <v>0</v>
      </c>
      <c r="I20" s="42">
        <f t="shared" ca="1" si="9"/>
        <v>3.0020378157472218</v>
      </c>
      <c r="J20" s="42">
        <f t="shared" ca="1" si="9"/>
        <v>0.4646444090033795</v>
      </c>
      <c r="K20" s="42">
        <f t="shared" ca="1" si="9"/>
        <v>0.74938095561129314</v>
      </c>
      <c r="L20" s="42">
        <f t="shared" ca="1" si="9"/>
        <v>0.11732430527689801</v>
      </c>
      <c r="M20" s="42">
        <f t="shared" ca="1" si="9"/>
        <v>1.3333660116625259</v>
      </c>
      <c r="N20" s="42">
        <f t="shared" ca="1" si="9"/>
        <v>0.20600493187221738</v>
      </c>
      <c r="O20" s="42">
        <f t="shared" ca="1" si="9"/>
        <v>2.7016468858863334</v>
      </c>
      <c r="P20" s="42">
        <f t="shared" ca="1" si="10"/>
        <v>0</v>
      </c>
      <c r="Q20" s="51">
        <f t="shared" ca="1" si="11"/>
        <v>8.5744053150598702</v>
      </c>
      <c r="S20" s="42">
        <f t="shared" ca="1" si="12"/>
        <v>2.2911675449979971</v>
      </c>
      <c r="T20" s="42">
        <f t="shared" ca="1" si="12"/>
        <v>0</v>
      </c>
      <c r="U20" s="42">
        <f t="shared" ca="1" si="12"/>
        <v>2.0461472470937458</v>
      </c>
      <c r="V20" s="42">
        <f t="shared" ca="1" si="12"/>
        <v>0.29941207196176356</v>
      </c>
      <c r="W20" s="42">
        <f t="shared" ca="1" si="12"/>
        <v>0.46030254874568094</v>
      </c>
      <c r="X20" s="42">
        <f t="shared" ca="1" si="12"/>
        <v>6.7355924675009796E-2</v>
      </c>
      <c r="Y20" s="42">
        <f t="shared" ca="1" si="12"/>
        <v>0.9227064696496543</v>
      </c>
      <c r="Z20" s="42">
        <f t="shared" ca="1" si="12"/>
        <v>0.13501934246556674</v>
      </c>
      <c r="AA20" s="42">
        <f t="shared" ca="1" si="12"/>
        <v>1.2983613907752636</v>
      </c>
      <c r="AB20" s="42">
        <f t="shared" ca="1" si="13"/>
        <v>0</v>
      </c>
      <c r="AC20" s="51">
        <f t="shared" ca="1" si="14"/>
        <v>7.5204725403646817</v>
      </c>
    </row>
    <row r="21" spans="1:29" ht="12" customHeight="1" x14ac:dyDescent="0.25">
      <c r="A21" s="262"/>
      <c r="C21" s="263"/>
      <c r="D21" s="43">
        <f t="shared" si="15"/>
        <v>10</v>
      </c>
      <c r="E21" s="43">
        <f t="shared" si="8"/>
        <v>57.5</v>
      </c>
      <c r="G21" s="42">
        <f t="shared" ref="G21:O30" ca="1" si="16">PRODUCT(AVERAGE(OFFSET(AB.Trace.MarkovQB.Root, $D21, (G$2-1)*AB.Trace.MarkovQB.NumCols+G$3-1, CHOOSE(swtchHalfCycle, 2, 1))), G$6)</f>
        <v>0</v>
      </c>
      <c r="H21" s="42">
        <f t="shared" ca="1" si="16"/>
        <v>0</v>
      </c>
      <c r="I21" s="42">
        <f t="shared" ca="1" si="16"/>
        <v>2.8518318610977769</v>
      </c>
      <c r="J21" s="42">
        <f t="shared" ca="1" si="16"/>
        <v>0.43874848131031946</v>
      </c>
      <c r="K21" s="42">
        <f t="shared" ca="1" si="16"/>
        <v>0.70415517963574015</v>
      </c>
      <c r="L21" s="42">
        <f t="shared" ca="1" si="16"/>
        <v>0.10952219005125802</v>
      </c>
      <c r="M21" s="42">
        <f t="shared" ca="1" si="16"/>
        <v>1.2687812508947374</v>
      </c>
      <c r="N21" s="42">
        <f t="shared" ca="1" si="16"/>
        <v>0.19487173332029414</v>
      </c>
      <c r="O21" s="42">
        <f t="shared" ca="1" si="16"/>
        <v>2.8342661252149415</v>
      </c>
      <c r="P21" s="42">
        <f t="shared" ca="1" si="10"/>
        <v>0</v>
      </c>
      <c r="Q21" s="51">
        <f t="shared" ca="1" si="11"/>
        <v>8.4021768215250674</v>
      </c>
      <c r="S21" s="42">
        <f t="shared" ref="S21:AA30" ca="1" si="17">PRODUCT(AVERAGE(OFFSET(AB.Trace.MarkovQB.Root, $D21, (S$2-1)*AB.Trace.MarkovQB.NumCols+S$3-1, CHOOSE(swtchHalfCycle, 2, 1))), S$6)</f>
        <v>2.1693821866805378</v>
      </c>
      <c r="T21" s="42">
        <f t="shared" ca="1" si="17"/>
        <v>0</v>
      </c>
      <c r="U21" s="42">
        <f t="shared" ca="1" si="17"/>
        <v>2.0436378097627506</v>
      </c>
      <c r="V21" s="42">
        <f t="shared" ca="1" si="17"/>
        <v>0.29904486628734184</v>
      </c>
      <c r="W21" s="42">
        <f t="shared" ca="1" si="17"/>
        <v>0.45973802417345605</v>
      </c>
      <c r="X21" s="42">
        <f t="shared" ca="1" si="17"/>
        <v>6.7273317859644841E-2</v>
      </c>
      <c r="Y21" s="42">
        <f t="shared" ca="1" si="17"/>
        <v>0.9215748433388995</v>
      </c>
      <c r="Z21" s="42">
        <f t="shared" ca="1" si="17"/>
        <v>0.13485375171838948</v>
      </c>
      <c r="AA21" s="42">
        <f t="shared" ca="1" si="17"/>
        <v>1.4157444765817508</v>
      </c>
      <c r="AB21" s="42">
        <f t="shared" ca="1" si="13"/>
        <v>0</v>
      </c>
      <c r="AC21" s="51">
        <f t="shared" ca="1" si="14"/>
        <v>7.5112492764027703</v>
      </c>
    </row>
    <row r="22" spans="1:29" ht="12" customHeight="1" x14ac:dyDescent="0.25">
      <c r="A22" s="262"/>
      <c r="C22" s="263"/>
      <c r="D22" s="43">
        <f t="shared" si="15"/>
        <v>11</v>
      </c>
      <c r="E22" s="43">
        <f t="shared" si="8"/>
        <v>57.75</v>
      </c>
      <c r="G22" s="42">
        <f t="shared" ca="1" si="16"/>
        <v>0</v>
      </c>
      <c r="H22" s="42">
        <f t="shared" ca="1" si="16"/>
        <v>0</v>
      </c>
      <c r="I22" s="42">
        <f t="shared" ca="1" si="16"/>
        <v>2.7244403278024261</v>
      </c>
      <c r="J22" s="42">
        <f t="shared" ca="1" si="16"/>
        <v>0.41679584828867067</v>
      </c>
      <c r="K22" s="42">
        <f t="shared" ca="1" si="16"/>
        <v>0.66582790444398265</v>
      </c>
      <c r="L22" s="42">
        <f t="shared" ca="1" si="16"/>
        <v>0.10291243303178635</v>
      </c>
      <c r="M22" s="42">
        <f t="shared" ca="1" si="16"/>
        <v>1.2139980515195792</v>
      </c>
      <c r="N22" s="42">
        <f t="shared" ca="1" si="16"/>
        <v>0.18543265645256835</v>
      </c>
      <c r="O22" s="42">
        <f t="shared" ca="1" si="16"/>
        <v>2.9457283512688237</v>
      </c>
      <c r="P22" s="42">
        <f t="shared" ca="1" si="10"/>
        <v>0</v>
      </c>
      <c r="Q22" s="51">
        <f t="shared" ca="1" si="11"/>
        <v>8.2551355728078377</v>
      </c>
      <c r="S22" s="42">
        <f t="shared" ca="1" si="17"/>
        <v>2.0540702412450353</v>
      </c>
      <c r="T22" s="42">
        <f t="shared" ca="1" si="17"/>
        <v>0</v>
      </c>
      <c r="U22" s="42">
        <f t="shared" ca="1" si="17"/>
        <v>2.0411314500945945</v>
      </c>
      <c r="V22" s="42">
        <f t="shared" ca="1" si="17"/>
        <v>0.29867811147428047</v>
      </c>
      <c r="W22" s="42">
        <f t="shared" ca="1" si="17"/>
        <v>0.45917419195416476</v>
      </c>
      <c r="X22" s="42">
        <f t="shared" ca="1" si="17"/>
        <v>6.7190812470330041E-2</v>
      </c>
      <c r="Y22" s="42">
        <f t="shared" ca="1" si="17"/>
        <v>0.92044460489473978</v>
      </c>
      <c r="Z22" s="42">
        <f t="shared" ca="1" si="17"/>
        <v>0.13468836428634245</v>
      </c>
      <c r="AA22" s="42">
        <f t="shared" ca="1" si="17"/>
        <v>1.5266595484942391</v>
      </c>
      <c r="AB22" s="42">
        <f t="shared" ca="1" si="13"/>
        <v>0</v>
      </c>
      <c r="AC22" s="51">
        <f t="shared" ca="1" si="14"/>
        <v>7.5020373249137258</v>
      </c>
    </row>
    <row r="23" spans="1:29" ht="12" customHeight="1" x14ac:dyDescent="0.25">
      <c r="A23" s="262"/>
      <c r="C23" s="263"/>
      <c r="D23" s="43">
        <f t="shared" si="15"/>
        <v>12</v>
      </c>
      <c r="E23" s="43">
        <f t="shared" si="8"/>
        <v>58</v>
      </c>
      <c r="G23" s="42">
        <f t="shared" ca="1" si="16"/>
        <v>0</v>
      </c>
      <c r="H23" s="42">
        <f t="shared" ca="1" si="16"/>
        <v>0</v>
      </c>
      <c r="I23" s="42">
        <f t="shared" ca="1" si="16"/>
        <v>2.6163400707750366</v>
      </c>
      <c r="J23" s="42">
        <f t="shared" ca="1" si="16"/>
        <v>0.39817754792218568</v>
      </c>
      <c r="K23" s="42">
        <f t="shared" ca="1" si="16"/>
        <v>0.63333378408208485</v>
      </c>
      <c r="L23" s="42">
        <f t="shared" ca="1" si="16"/>
        <v>9.7310893405956972E-2</v>
      </c>
      <c r="M23" s="42">
        <f t="shared" ca="1" si="16"/>
        <v>1.1675028054109846</v>
      </c>
      <c r="N23" s="42">
        <f t="shared" ca="1" si="16"/>
        <v>0.17742607991942483</v>
      </c>
      <c r="O23" s="42">
        <f t="shared" ca="1" si="16"/>
        <v>3.0393020261151071</v>
      </c>
      <c r="P23" s="42">
        <f t="shared" ca="1" si="10"/>
        <v>0</v>
      </c>
      <c r="Q23" s="51">
        <f t="shared" ca="1" si="11"/>
        <v>8.1293932076307804</v>
      </c>
      <c r="S23" s="42">
        <f t="shared" ca="1" si="17"/>
        <v>1.94488761909879</v>
      </c>
      <c r="T23" s="42">
        <f t="shared" ca="1" si="17"/>
        <v>0</v>
      </c>
      <c r="U23" s="42">
        <f t="shared" ca="1" si="17"/>
        <v>2.0386281642492494</v>
      </c>
      <c r="V23" s="42">
        <f t="shared" ca="1" si="17"/>
        <v>0.29831180646231403</v>
      </c>
      <c r="W23" s="42">
        <f t="shared" ca="1" si="17"/>
        <v>0.45861105122395196</v>
      </c>
      <c r="X23" s="42">
        <f t="shared" ca="1" si="17"/>
        <v>6.7108408268547415E-2</v>
      </c>
      <c r="Y23" s="42">
        <f t="shared" ca="1" si="17"/>
        <v>0.91931575258552178</v>
      </c>
      <c r="Z23" s="42">
        <f t="shared" ca="1" si="17"/>
        <v>0.13452317969130095</v>
      </c>
      <c r="AA23" s="42">
        <f t="shared" ca="1" si="17"/>
        <v>1.6314506895362466</v>
      </c>
      <c r="AB23" s="42">
        <f t="shared" ca="1" si="13"/>
        <v>0</v>
      </c>
      <c r="AC23" s="51">
        <f t="shared" ca="1" si="14"/>
        <v>7.4928366711159216</v>
      </c>
    </row>
    <row r="24" spans="1:29" ht="12" customHeight="1" x14ac:dyDescent="0.25">
      <c r="A24" s="262"/>
      <c r="C24" s="263"/>
      <c r="D24" s="43">
        <f t="shared" si="15"/>
        <v>13</v>
      </c>
      <c r="E24" s="43">
        <f t="shared" si="8"/>
        <v>58.25</v>
      </c>
      <c r="G24" s="42">
        <f t="shared" ca="1" si="16"/>
        <v>0</v>
      </c>
      <c r="H24" s="42">
        <f t="shared" ca="1" si="16"/>
        <v>0</v>
      </c>
      <c r="I24" s="42">
        <f t="shared" ca="1" si="16"/>
        <v>2.5245520834137904</v>
      </c>
      <c r="J24" s="42">
        <f t="shared" ca="1" si="16"/>
        <v>0.38237867178836965</v>
      </c>
      <c r="K24" s="42">
        <f t="shared" ca="1" si="16"/>
        <v>0.60577201189332219</v>
      </c>
      <c r="L24" s="42">
        <f t="shared" ca="1" si="16"/>
        <v>9.2561870630323242E-2</v>
      </c>
      <c r="M24" s="42">
        <f t="shared" ca="1" si="16"/>
        <v>1.1280156763677842</v>
      </c>
      <c r="N24" s="42">
        <f t="shared" ca="1" si="16"/>
        <v>0.17063078956322469</v>
      </c>
      <c r="O24" s="42">
        <f t="shared" ca="1" si="16"/>
        <v>3.1177508068629867</v>
      </c>
      <c r="P24" s="42">
        <f t="shared" ca="1" si="10"/>
        <v>0</v>
      </c>
      <c r="Q24" s="51">
        <f t="shared" ca="1" si="11"/>
        <v>8.0216619105198017</v>
      </c>
      <c r="S24" s="42">
        <f t="shared" ca="1" si="17"/>
        <v>1.841508520483222</v>
      </c>
      <c r="T24" s="42">
        <f t="shared" ca="1" si="17"/>
        <v>0</v>
      </c>
      <c r="U24" s="42">
        <f t="shared" ca="1" si="17"/>
        <v>2.0361279484866635</v>
      </c>
      <c r="V24" s="42">
        <f t="shared" ca="1" si="17"/>
        <v>0.29794595069022167</v>
      </c>
      <c r="W24" s="42">
        <f t="shared" ca="1" si="17"/>
        <v>0.45804860114145324</v>
      </c>
      <c r="X24" s="42">
        <f t="shared" ca="1" si="17"/>
        <v>6.7026105128044383E-2</v>
      </c>
      <c r="Y24" s="42">
        <f t="shared" ca="1" si="17"/>
        <v>0.91818828472467506</v>
      </c>
      <c r="Z24" s="42">
        <f t="shared" ca="1" si="17"/>
        <v>0.13435819768018334</v>
      </c>
      <c r="AA24" s="42">
        <f t="shared" ca="1" si="17"/>
        <v>1.7304436928511391</v>
      </c>
      <c r="AB24" s="42">
        <f t="shared" ca="1" si="13"/>
        <v>0</v>
      </c>
      <c r="AC24" s="51">
        <f t="shared" ca="1" si="14"/>
        <v>7.4836473011856013</v>
      </c>
    </row>
    <row r="25" spans="1:29" ht="12" customHeight="1" x14ac:dyDescent="0.25">
      <c r="A25" s="262"/>
      <c r="C25" s="263"/>
      <c r="D25" s="43">
        <f t="shared" si="15"/>
        <v>14</v>
      </c>
      <c r="E25" s="43">
        <f t="shared" si="8"/>
        <v>58.5</v>
      </c>
      <c r="G25" s="42">
        <f t="shared" ca="1" si="16"/>
        <v>0</v>
      </c>
      <c r="H25" s="42">
        <f t="shared" ca="1" si="16"/>
        <v>0</v>
      </c>
      <c r="I25" s="42">
        <f t="shared" ca="1" si="16"/>
        <v>2.4465574567495287</v>
      </c>
      <c r="J25" s="42">
        <f t="shared" ca="1" si="16"/>
        <v>0.36896383742284927</v>
      </c>
      <c r="K25" s="42">
        <f t="shared" ca="1" si="16"/>
        <v>0.58238090785569807</v>
      </c>
      <c r="L25" s="42">
        <f t="shared" ca="1" si="16"/>
        <v>8.8533711615600516E-2</v>
      </c>
      <c r="M25" s="42">
        <f t="shared" ca="1" si="16"/>
        <v>1.0944544946068051</v>
      </c>
      <c r="N25" s="42">
        <f t="shared" ca="1" si="16"/>
        <v>0.16485973704412221</v>
      </c>
      <c r="O25" s="42">
        <f t="shared" ca="1" si="16"/>
        <v>3.1834115113751515</v>
      </c>
      <c r="P25" s="42">
        <f t="shared" ca="1" si="10"/>
        <v>0</v>
      </c>
      <c r="Q25" s="51">
        <f t="shared" ca="1" si="11"/>
        <v>7.9291616566697565</v>
      </c>
      <c r="S25" s="42">
        <f t="shared" ca="1" si="17"/>
        <v>1.7436244632909315</v>
      </c>
      <c r="T25" s="42">
        <f t="shared" ca="1" si="17"/>
        <v>0</v>
      </c>
      <c r="U25" s="42">
        <f t="shared" ca="1" si="17"/>
        <v>2.0336307990405755</v>
      </c>
      <c r="V25" s="42">
        <f t="shared" ca="1" si="17"/>
        <v>0.29758054361139391</v>
      </c>
      <c r="W25" s="42">
        <f t="shared" ca="1" si="17"/>
        <v>0.45748684085940816</v>
      </c>
      <c r="X25" s="42">
        <f t="shared" ca="1" si="17"/>
        <v>6.694390292585535E-2</v>
      </c>
      <c r="Y25" s="42">
        <f t="shared" ca="1" si="17"/>
        <v>0.91706219961381119</v>
      </c>
      <c r="Z25" s="42">
        <f t="shared" ca="1" si="17"/>
        <v>0.13419341800649706</v>
      </c>
      <c r="AA25" s="42">
        <f t="shared" ca="1" si="17"/>
        <v>1.8239470339407546</v>
      </c>
      <c r="AB25" s="42">
        <f t="shared" ca="1" si="13"/>
        <v>0</v>
      </c>
      <c r="AC25" s="51">
        <f t="shared" ca="1" si="14"/>
        <v>7.4744692012892271</v>
      </c>
    </row>
    <row r="26" spans="1:29" ht="12" customHeight="1" x14ac:dyDescent="0.25">
      <c r="A26" s="262"/>
      <c r="C26" s="263"/>
      <c r="D26" s="43">
        <f t="shared" si="15"/>
        <v>15</v>
      </c>
      <c r="E26" s="43">
        <f t="shared" si="8"/>
        <v>58.75</v>
      </c>
      <c r="G26" s="42">
        <f t="shared" ca="1" si="16"/>
        <v>0</v>
      </c>
      <c r="H26" s="42">
        <f t="shared" ca="1" si="16"/>
        <v>0</v>
      </c>
      <c r="I26" s="42">
        <f t="shared" ca="1" si="16"/>
        <v>2.3802263188880199</v>
      </c>
      <c r="J26" s="42">
        <f t="shared" ca="1" si="16"/>
        <v>0.35756490573058047</v>
      </c>
      <c r="K26" s="42">
        <f t="shared" ca="1" si="16"/>
        <v>0.56251643092640613</v>
      </c>
      <c r="L26" s="42">
        <f t="shared" ca="1" si="16"/>
        <v>8.5115096660503833E-2</v>
      </c>
      <c r="M26" s="42">
        <f t="shared" ca="1" si="16"/>
        <v>1.0659042278402413</v>
      </c>
      <c r="N26" s="42">
        <f t="shared" ca="1" si="16"/>
        <v>0.1599547630123597</v>
      </c>
      <c r="O26" s="42">
        <f t="shared" ca="1" si="16"/>
        <v>3.2382600422586347</v>
      </c>
      <c r="P26" s="42">
        <f t="shared" ca="1" si="10"/>
        <v>0</v>
      </c>
      <c r="Q26" s="51">
        <f t="shared" ca="1" si="11"/>
        <v>7.8495417853167453</v>
      </c>
      <c r="S26" s="42">
        <f t="shared" ca="1" si="17"/>
        <v>1.6509433625584402</v>
      </c>
      <c r="T26" s="42">
        <f t="shared" ca="1" si="17"/>
        <v>0</v>
      </c>
      <c r="U26" s="42">
        <f t="shared" ca="1" si="17"/>
        <v>2.0311367121502202</v>
      </c>
      <c r="V26" s="42">
        <f t="shared" ca="1" si="17"/>
        <v>0.29721558467539083</v>
      </c>
      <c r="W26" s="42">
        <f t="shared" ca="1" si="17"/>
        <v>0.45692576953179265</v>
      </c>
      <c r="X26" s="42">
        <f t="shared" ca="1" si="17"/>
        <v>6.6861801538153007E-2</v>
      </c>
      <c r="Y26" s="42">
        <f t="shared" ca="1" si="17"/>
        <v>0.91593749555701942</v>
      </c>
      <c r="Z26" s="42">
        <f t="shared" ca="1" si="17"/>
        <v>0.13402884042202226</v>
      </c>
      <c r="AA26" s="42">
        <f t="shared" ca="1" si="17"/>
        <v>1.9122527911714411</v>
      </c>
      <c r="AB26" s="42">
        <f t="shared" ca="1" si="13"/>
        <v>0</v>
      </c>
      <c r="AC26" s="51">
        <f t="shared" ca="1" si="14"/>
        <v>7.4653023576044797</v>
      </c>
    </row>
    <row r="27" spans="1:29" ht="12" customHeight="1" x14ac:dyDescent="0.25">
      <c r="A27" s="262"/>
      <c r="C27" s="263"/>
      <c r="D27" s="43">
        <f t="shared" si="15"/>
        <v>16</v>
      </c>
      <c r="E27" s="43">
        <f t="shared" si="8"/>
        <v>59</v>
      </c>
      <c r="G27" s="42">
        <f t="shared" ca="1" si="16"/>
        <v>0</v>
      </c>
      <c r="H27" s="42">
        <f t="shared" ca="1" si="16"/>
        <v>0</v>
      </c>
      <c r="I27" s="42">
        <f t="shared" ca="1" si="16"/>
        <v>2.3237577494435655</v>
      </c>
      <c r="J27" s="42">
        <f t="shared" ca="1" si="16"/>
        <v>0.34787059546984228</v>
      </c>
      <c r="K27" s="42">
        <f t="shared" ca="1" si="16"/>
        <v>0.54563401006741974</v>
      </c>
      <c r="L27" s="42">
        <f t="shared" ca="1" si="16"/>
        <v>8.2211899026205751E-2</v>
      </c>
      <c r="M27" s="42">
        <f t="shared" ca="1" si="16"/>
        <v>1.0415911674092331</v>
      </c>
      <c r="N27" s="42">
        <f t="shared" ca="1" si="16"/>
        <v>0.15578213529956844</v>
      </c>
      <c r="O27" s="42">
        <f t="shared" ca="1" si="16"/>
        <v>3.2839671291028041</v>
      </c>
      <c r="P27" s="42">
        <f t="shared" ca="1" si="10"/>
        <v>0</v>
      </c>
      <c r="Q27" s="51">
        <f t="shared" ca="1" si="11"/>
        <v>7.7808146858186387</v>
      </c>
      <c r="S27" s="42">
        <f t="shared" ca="1" si="17"/>
        <v>1.5631886588878334</v>
      </c>
      <c r="T27" s="42">
        <f t="shared" ca="1" si="17"/>
        <v>0</v>
      </c>
      <c r="U27" s="42">
        <f t="shared" ca="1" si="17"/>
        <v>2.0286456840596325</v>
      </c>
      <c r="V27" s="42">
        <f t="shared" ca="1" si="17"/>
        <v>0.29685107333257588</v>
      </c>
      <c r="W27" s="42">
        <f t="shared" ca="1" si="17"/>
        <v>0.45636538631366252</v>
      </c>
      <c r="X27" s="42">
        <f t="shared" ca="1" si="17"/>
        <v>6.677980084129076E-2</v>
      </c>
      <c r="Y27" s="42">
        <f t="shared" ca="1" si="17"/>
        <v>0.91481417086055461</v>
      </c>
      <c r="Z27" s="42">
        <f t="shared" ca="1" si="17"/>
        <v>0.13386446467890123</v>
      </c>
      <c r="AA27" s="42">
        <f t="shared" ca="1" si="17"/>
        <v>1.9956375173520458</v>
      </c>
      <c r="AB27" s="42">
        <f t="shared" ca="1" si="13"/>
        <v>0</v>
      </c>
      <c r="AC27" s="51">
        <f t="shared" ca="1" si="14"/>
        <v>7.4561467563264969</v>
      </c>
    </row>
    <row r="28" spans="1:29" ht="12" customHeight="1" x14ac:dyDescent="0.25">
      <c r="A28" s="262"/>
      <c r="C28" s="263"/>
      <c r="D28" s="43">
        <f t="shared" si="15"/>
        <v>17</v>
      </c>
      <c r="E28" s="43">
        <f t="shared" si="8"/>
        <v>59.25</v>
      </c>
      <c r="G28" s="42">
        <f t="shared" ca="1" si="16"/>
        <v>0</v>
      </c>
      <c r="H28" s="42">
        <f t="shared" ca="1" si="16"/>
        <v>0</v>
      </c>
      <c r="I28" s="42">
        <f t="shared" ca="1" si="16"/>
        <v>2.2756289740026165</v>
      </c>
      <c r="J28" s="42">
        <f t="shared" ca="1" si="16"/>
        <v>0.33961770173360734</v>
      </c>
      <c r="K28" s="42">
        <f t="shared" ca="1" si="16"/>
        <v>0.53127318141291868</v>
      </c>
      <c r="L28" s="42">
        <f t="shared" ca="1" si="16"/>
        <v>7.974452953676503E-2</v>
      </c>
      <c r="M28" s="42">
        <f t="shared" ca="1" si="16"/>
        <v>1.0208611012893543</v>
      </c>
      <c r="N28" s="42">
        <f t="shared" ca="1" si="16"/>
        <v>0.15222877621656308</v>
      </c>
      <c r="O28" s="42">
        <f t="shared" ca="1" si="16"/>
        <v>3.3219454615032986</v>
      </c>
      <c r="P28" s="42">
        <f t="shared" ca="1" si="10"/>
        <v>0</v>
      </c>
      <c r="Q28" s="51">
        <f t="shared" ca="1" si="11"/>
        <v>7.7212997256951237</v>
      </c>
      <c r="S28" s="42">
        <f t="shared" ca="1" si="17"/>
        <v>1.48009849319652</v>
      </c>
      <c r="T28" s="42">
        <f t="shared" ca="1" si="17"/>
        <v>0</v>
      </c>
      <c r="U28" s="42">
        <f t="shared" ca="1" si="17"/>
        <v>2.0261577110174382</v>
      </c>
      <c r="V28" s="42">
        <f t="shared" ca="1" si="17"/>
        <v>0.29648700903401387</v>
      </c>
      <c r="W28" s="42">
        <f t="shared" ca="1" si="17"/>
        <v>0.45580569036110613</v>
      </c>
      <c r="X28" s="42">
        <f t="shared" ca="1" si="17"/>
        <v>6.6697900711779848E-2</v>
      </c>
      <c r="Y28" s="42">
        <f t="shared" ca="1" si="17"/>
        <v>0.91369222383274062</v>
      </c>
      <c r="Z28" s="42">
        <f t="shared" ca="1" si="17"/>
        <v>0.13370029052959267</v>
      </c>
      <c r="AA28" s="42">
        <f t="shared" ca="1" si="17"/>
        <v>2.0743630649841713</v>
      </c>
      <c r="AB28" s="42">
        <f t="shared" ca="1" si="13"/>
        <v>0</v>
      </c>
      <c r="AC28" s="51">
        <f t="shared" ca="1" si="14"/>
        <v>7.447002383667364</v>
      </c>
    </row>
    <row r="29" spans="1:29" ht="12" customHeight="1" x14ac:dyDescent="0.25">
      <c r="A29" s="262"/>
      <c r="C29" s="263"/>
      <c r="D29" s="43">
        <f t="shared" si="15"/>
        <v>18</v>
      </c>
      <c r="E29" s="43">
        <f t="shared" si="8"/>
        <v>59.5</v>
      </c>
      <c r="G29" s="42">
        <f t="shared" ca="1" si="16"/>
        <v>0</v>
      </c>
      <c r="H29" s="42">
        <f t="shared" ca="1" si="16"/>
        <v>0</v>
      </c>
      <c r="I29" s="42">
        <f t="shared" ca="1" si="16"/>
        <v>2.234552405344949</v>
      </c>
      <c r="J29" s="42">
        <f t="shared" ca="1" si="16"/>
        <v>0.33258367070932265</v>
      </c>
      <c r="K29" s="42">
        <f t="shared" ca="1" si="16"/>
        <v>0.51904459817852389</v>
      </c>
      <c r="L29" s="42">
        <f t="shared" ca="1" si="16"/>
        <v>7.7645691297796443E-2</v>
      </c>
      <c r="M29" s="42">
        <f t="shared" ca="1" si="16"/>
        <v>1.0031608582077369</v>
      </c>
      <c r="N29" s="42">
        <f t="shared" ca="1" si="16"/>
        <v>0.149199072533335</v>
      </c>
      <c r="O29" s="42">
        <f t="shared" ca="1" si="16"/>
        <v>3.353389542537065</v>
      </c>
      <c r="P29" s="42">
        <f t="shared" ca="1" si="10"/>
        <v>0</v>
      </c>
      <c r="Q29" s="51">
        <f t="shared" ca="1" si="11"/>
        <v>7.6695758388087292</v>
      </c>
      <c r="S29" s="42">
        <f t="shared" ca="1" si="17"/>
        <v>1.4014249253325743</v>
      </c>
      <c r="T29" s="42">
        <f t="shared" ca="1" si="17"/>
        <v>0</v>
      </c>
      <c r="U29" s="42">
        <f t="shared" ca="1" si="17"/>
        <v>2.023672789276862</v>
      </c>
      <c r="V29" s="42">
        <f t="shared" ca="1" si="17"/>
        <v>0.2961233912314406</v>
      </c>
      <c r="W29" s="42">
        <f t="shared" ca="1" si="17"/>
        <v>0.45524668083124686</v>
      </c>
      <c r="X29" s="42">
        <f t="shared" ca="1" si="17"/>
        <v>6.6616101026282376E-2</v>
      </c>
      <c r="Y29" s="42">
        <f t="shared" ca="1" si="17"/>
        <v>0.91257165278397601</v>
      </c>
      <c r="Z29" s="42">
        <f t="shared" ca="1" si="17"/>
        <v>0.13353631772685784</v>
      </c>
      <c r="AA29" s="42">
        <f t="shared" ca="1" si="17"/>
        <v>2.1486773676468265</v>
      </c>
      <c r="AB29" s="42">
        <f t="shared" ca="1" si="13"/>
        <v>0</v>
      </c>
      <c r="AC29" s="51">
        <f t="shared" ca="1" si="14"/>
        <v>7.4378692258560672</v>
      </c>
    </row>
    <row r="30" spans="1:29" ht="12" customHeight="1" x14ac:dyDescent="0.25">
      <c r="A30" s="262"/>
      <c r="C30" s="263"/>
      <c r="D30" s="43">
        <f t="shared" si="15"/>
        <v>19</v>
      </c>
      <c r="E30" s="43">
        <f t="shared" si="8"/>
        <v>59.75</v>
      </c>
      <c r="G30" s="42">
        <f t="shared" ca="1" si="16"/>
        <v>0</v>
      </c>
      <c r="H30" s="42">
        <f t="shared" ca="1" si="16"/>
        <v>0</v>
      </c>
      <c r="I30" s="42">
        <f t="shared" ca="1" si="16"/>
        <v>2.1994393195144681</v>
      </c>
      <c r="J30" s="42">
        <f t="shared" ca="1" si="16"/>
        <v>0.32658032124401792</v>
      </c>
      <c r="K30" s="42">
        <f t="shared" ca="1" si="16"/>
        <v>0.50861904684960446</v>
      </c>
      <c r="L30" s="42">
        <f t="shared" ca="1" si="16"/>
        <v>7.5858481191873064E-2</v>
      </c>
      <c r="M30" s="42">
        <f t="shared" ca="1" si="16"/>
        <v>0.98802270221383914</v>
      </c>
      <c r="N30" s="42">
        <f t="shared" ca="1" si="16"/>
        <v>0.14661217814774577</v>
      </c>
      <c r="O30" s="42">
        <f t="shared" ca="1" si="16"/>
        <v>3.3793093869922188</v>
      </c>
      <c r="P30" s="42">
        <f t="shared" ca="1" si="10"/>
        <v>0</v>
      </c>
      <c r="Q30" s="51">
        <f t="shared" ca="1" si="11"/>
        <v>7.6244414361537673</v>
      </c>
      <c r="S30" s="42">
        <f t="shared" ca="1" si="17"/>
        <v>1.3269331942240157</v>
      </c>
      <c r="T30" s="42">
        <f t="shared" ca="1" si="17"/>
        <v>0</v>
      </c>
      <c r="U30" s="42">
        <f t="shared" ca="1" si="17"/>
        <v>2.0211909150957252</v>
      </c>
      <c r="V30" s="42">
        <f t="shared" ca="1" si="17"/>
        <v>0.29576021937726416</v>
      </c>
      <c r="W30" s="42">
        <f t="shared" ca="1" si="17"/>
        <v>0.45468835688224168</v>
      </c>
      <c r="X30" s="42">
        <f t="shared" ca="1" si="17"/>
        <v>6.6534401661611745E-2</v>
      </c>
      <c r="Y30" s="42">
        <f t="shared" ca="1" si="17"/>
        <v>0.91145245602673153</v>
      </c>
      <c r="Z30" s="42">
        <f t="shared" ca="1" si="17"/>
        <v>0.13337254602376111</v>
      </c>
      <c r="AA30" s="42">
        <f t="shared" ca="1" si="17"/>
        <v>2.2188151798471356</v>
      </c>
      <c r="AB30" s="42">
        <f t="shared" ca="1" si="13"/>
        <v>0</v>
      </c>
      <c r="AC30" s="51">
        <f t="shared" ca="1" si="14"/>
        <v>7.428747269138487</v>
      </c>
    </row>
    <row r="31" spans="1:29" ht="12" customHeight="1" x14ac:dyDescent="0.25">
      <c r="A31" s="262"/>
      <c r="C31" s="263"/>
      <c r="D31" s="43">
        <f t="shared" si="15"/>
        <v>20</v>
      </c>
      <c r="E31" s="43">
        <f t="shared" si="8"/>
        <v>60</v>
      </c>
      <c r="G31" s="42">
        <f t="shared" ref="G31:O40" ca="1" si="18">PRODUCT(AVERAGE(OFFSET(AB.Trace.MarkovQB.Root, $D31, (G$2-1)*AB.Trace.MarkovQB.NumCols+G$3-1, CHOOSE(swtchHalfCycle, 2, 1))), G$6)</f>
        <v>0</v>
      </c>
      <c r="H31" s="42">
        <f t="shared" ca="1" si="18"/>
        <v>0</v>
      </c>
      <c r="I31" s="42">
        <f t="shared" ca="1" si="18"/>
        <v>2.1693691420077967</v>
      </c>
      <c r="J31" s="42">
        <f t="shared" ca="1" si="18"/>
        <v>0.32144853609413376</v>
      </c>
      <c r="K31" s="42">
        <f t="shared" ca="1" si="18"/>
        <v>0.49971815978510997</v>
      </c>
      <c r="L31" s="42">
        <f t="shared" ca="1" si="18"/>
        <v>7.4334784592052713E-2</v>
      </c>
      <c r="M31" s="42">
        <f t="shared" ca="1" si="18"/>
        <v>0.9750511374601738</v>
      </c>
      <c r="N31" s="42">
        <f t="shared" ca="1" si="18"/>
        <v>0.14439973334864245</v>
      </c>
      <c r="O31" s="42">
        <f t="shared" ca="1" si="18"/>
        <v>3.3993225863495065</v>
      </c>
      <c r="P31" s="42">
        <f t="shared" ca="1" si="10"/>
        <v>0</v>
      </c>
      <c r="Q31" s="51">
        <f t="shared" ca="1" si="11"/>
        <v>7.5836440796374154</v>
      </c>
      <c r="S31" s="42">
        <f t="shared" ref="S31:AA40" ca="1" si="19">PRODUCT(AVERAGE(OFFSET(AB.Trace.MarkovQB.Root, $D31, (S$2-1)*AB.Trace.MarkovQB.NumCols+S$3-1, CHOOSE(swtchHalfCycle, 2, 1))), S$6)</f>
        <v>1.2559660793403866</v>
      </c>
      <c r="T31" s="42">
        <f t="shared" ca="1" si="19"/>
        <v>0</v>
      </c>
      <c r="U31" s="42">
        <f t="shared" ca="1" si="19"/>
        <v>2.0187120847364364</v>
      </c>
      <c r="V31" s="42">
        <f t="shared" ca="1" si="19"/>
        <v>0.29539749292456419</v>
      </c>
      <c r="W31" s="42">
        <f t="shared" ca="1" si="19"/>
        <v>0.45413071767327995</v>
      </c>
      <c r="X31" s="42">
        <f t="shared" ca="1" si="19"/>
        <v>6.6452802494732413E-2</v>
      </c>
      <c r="Y31" s="42">
        <f t="shared" ca="1" si="19"/>
        <v>0.91033463187554808</v>
      </c>
      <c r="Z31" s="42">
        <f t="shared" ca="1" si="19"/>
        <v>0.13320897517366967</v>
      </c>
      <c r="AA31" s="42">
        <f t="shared" ca="1" si="19"/>
        <v>2.2841531437382296</v>
      </c>
      <c r="AB31" s="42">
        <f t="shared" ca="1" si="13"/>
        <v>0</v>
      </c>
      <c r="AC31" s="51">
        <f t="shared" ca="1" si="14"/>
        <v>7.4183559279568474</v>
      </c>
    </row>
    <row r="32" spans="1:29" ht="12" customHeight="1" x14ac:dyDescent="0.25">
      <c r="A32" s="262"/>
      <c r="C32" s="263"/>
      <c r="D32" s="43">
        <f t="shared" si="15"/>
        <v>21</v>
      </c>
      <c r="E32" s="43">
        <f t="shared" si="8"/>
        <v>60.25</v>
      </c>
      <c r="G32" s="42">
        <f t="shared" ca="1" si="18"/>
        <v>0</v>
      </c>
      <c r="H32" s="42">
        <f t="shared" ca="1" si="18"/>
        <v>0</v>
      </c>
      <c r="I32" s="42">
        <f t="shared" ca="1" si="18"/>
        <v>2.1427837588826688</v>
      </c>
      <c r="J32" s="42">
        <f t="shared" ca="1" si="18"/>
        <v>0.31705377309528726</v>
      </c>
      <c r="K32" s="42">
        <f t="shared" ca="1" si="18"/>
        <v>0.49192754490984592</v>
      </c>
      <c r="L32" s="42">
        <f t="shared" ca="1" si="18"/>
        <v>7.3033918006902912E-2</v>
      </c>
      <c r="M32" s="42">
        <f t="shared" ca="1" si="18"/>
        <v>0.96356113305275382</v>
      </c>
      <c r="N32" s="42">
        <f t="shared" ca="1" si="18"/>
        <v>0.14250393633168429</v>
      </c>
      <c r="O32" s="42">
        <f t="shared" ca="1" si="18"/>
        <v>3.4142126054353059</v>
      </c>
      <c r="P32" s="42">
        <f t="shared" ca="1" si="10"/>
        <v>0</v>
      </c>
      <c r="Q32" s="51">
        <f t="shared" ca="1" si="11"/>
        <v>7.5450766697144491</v>
      </c>
      <c r="S32" s="42">
        <f t="shared" ca="1" si="19"/>
        <v>1.1883596441933184</v>
      </c>
      <c r="T32" s="42">
        <f t="shared" ca="1" si="19"/>
        <v>0</v>
      </c>
      <c r="U32" s="42">
        <f t="shared" ca="1" si="19"/>
        <v>2.0155072224798434</v>
      </c>
      <c r="V32" s="42">
        <f t="shared" ca="1" si="19"/>
        <v>0.29503521132709098</v>
      </c>
      <c r="W32" s="42">
        <f t="shared" ca="1" si="19"/>
        <v>0.45340974988018296</v>
      </c>
      <c r="X32" s="42">
        <f t="shared" ca="1" si="19"/>
        <v>6.6371303402759735E-2</v>
      </c>
      <c r="Y32" s="42">
        <f t="shared" ca="1" si="19"/>
        <v>0.90888940492880954</v>
      </c>
      <c r="Z32" s="42">
        <f t="shared" ca="1" si="19"/>
        <v>0.13304560493025328</v>
      </c>
      <c r="AA32" s="42">
        <f t="shared" ca="1" si="19"/>
        <v>2.344925690698215</v>
      </c>
      <c r="AB32" s="42">
        <f t="shared" ca="1" si="13"/>
        <v>0</v>
      </c>
      <c r="AC32" s="51">
        <f t="shared" ca="1" si="14"/>
        <v>7.4055438318404736</v>
      </c>
    </row>
    <row r="33" spans="1:29" ht="12" customHeight="1" x14ac:dyDescent="0.25">
      <c r="A33" s="262"/>
      <c r="C33" s="263"/>
      <c r="D33" s="43">
        <f t="shared" si="15"/>
        <v>22</v>
      </c>
      <c r="E33" s="43">
        <f t="shared" si="8"/>
        <v>60.5</v>
      </c>
      <c r="G33" s="42">
        <f t="shared" ca="1" si="18"/>
        <v>0</v>
      </c>
      <c r="H33" s="42">
        <f t="shared" ca="1" si="18"/>
        <v>0</v>
      </c>
      <c r="I33" s="42">
        <f t="shared" ca="1" si="18"/>
        <v>2.1190833803422779</v>
      </c>
      <c r="J33" s="42">
        <f t="shared" ca="1" si="18"/>
        <v>0.31316831355509839</v>
      </c>
      <c r="K33" s="42">
        <f t="shared" ca="1" si="18"/>
        <v>0.48506243257091497</v>
      </c>
      <c r="L33" s="42">
        <f t="shared" ca="1" si="18"/>
        <v>7.1895317944283485E-2</v>
      </c>
      <c r="M33" s="42">
        <f t="shared" ca="1" si="18"/>
        <v>0.95329594552546515</v>
      </c>
      <c r="N33" s="42">
        <f t="shared" ca="1" si="18"/>
        <v>0.14082466968235677</v>
      </c>
      <c r="O33" s="42">
        <f t="shared" ca="1" si="18"/>
        <v>3.4258249556981957</v>
      </c>
      <c r="P33" s="42">
        <f t="shared" ca="1" si="10"/>
        <v>0</v>
      </c>
      <c r="Q33" s="51">
        <f t="shared" ca="1" si="11"/>
        <v>7.5091550153185924</v>
      </c>
      <c r="S33" s="42">
        <f t="shared" ca="1" si="19"/>
        <v>1.1243923440105446</v>
      </c>
      <c r="T33" s="42">
        <f t="shared" ca="1" si="19"/>
        <v>0</v>
      </c>
      <c r="U33" s="42">
        <f t="shared" ca="1" si="19"/>
        <v>2.0116164634034566</v>
      </c>
      <c r="V33" s="42">
        <f t="shared" ca="1" si="19"/>
        <v>0.29456682000952894</v>
      </c>
      <c r="W33" s="42">
        <f t="shared" ca="1" si="19"/>
        <v>0.45253448231478166</v>
      </c>
      <c r="X33" s="42">
        <f t="shared" ca="1" si="19"/>
        <v>6.6265933802604912E-2</v>
      </c>
      <c r="Y33" s="42">
        <f t="shared" ca="1" si="19"/>
        <v>0.90713487402848969</v>
      </c>
      <c r="Z33" s="42">
        <f t="shared" ca="1" si="19"/>
        <v>0.13283438469688244</v>
      </c>
      <c r="AA33" s="42">
        <f t="shared" ca="1" si="19"/>
        <v>2.402144992929387</v>
      </c>
      <c r="AB33" s="42">
        <f t="shared" ca="1" si="13"/>
        <v>0</v>
      </c>
      <c r="AC33" s="51">
        <f t="shared" ca="1" si="14"/>
        <v>7.3914902951956751</v>
      </c>
    </row>
    <row r="34" spans="1:29" ht="12" customHeight="1" x14ac:dyDescent="0.25">
      <c r="A34" s="262"/>
      <c r="C34" s="263"/>
      <c r="D34" s="43">
        <f t="shared" si="15"/>
        <v>23</v>
      </c>
      <c r="E34" s="43">
        <f t="shared" si="8"/>
        <v>60.75</v>
      </c>
      <c r="G34" s="42">
        <f t="shared" ca="1" si="18"/>
        <v>0</v>
      </c>
      <c r="H34" s="42">
        <f t="shared" ca="1" si="18"/>
        <v>0</v>
      </c>
      <c r="I34" s="42">
        <f t="shared" ca="1" si="18"/>
        <v>2.0985083575054522</v>
      </c>
      <c r="J34" s="42">
        <f t="shared" ca="1" si="18"/>
        <v>0.3097044980639907</v>
      </c>
      <c r="K34" s="42">
        <f t="shared" ca="1" si="18"/>
        <v>0.47913827387169422</v>
      </c>
      <c r="L34" s="42">
        <f t="shared" ca="1" si="18"/>
        <v>7.0891980279137845E-2</v>
      </c>
      <c r="M34" s="42">
        <f t="shared" ca="1" si="18"/>
        <v>0.94437459985810357</v>
      </c>
      <c r="N34" s="42">
        <f t="shared" ca="1" si="18"/>
        <v>0.13932441028710912</v>
      </c>
      <c r="O34" s="42">
        <f t="shared" ca="1" si="18"/>
        <v>3.4346081989712194</v>
      </c>
      <c r="P34" s="42">
        <f t="shared" ca="1" si="10"/>
        <v>0</v>
      </c>
      <c r="Q34" s="51">
        <f t="shared" ca="1" si="11"/>
        <v>7.476550318836706</v>
      </c>
      <c r="S34" s="42">
        <f t="shared" ca="1" si="19"/>
        <v>1.0638682905861627</v>
      </c>
      <c r="T34" s="42">
        <f t="shared" ca="1" si="19"/>
        <v>0</v>
      </c>
      <c r="U34" s="42">
        <f t="shared" ca="1" si="19"/>
        <v>2.0077746044852405</v>
      </c>
      <c r="V34" s="42">
        <f t="shared" ca="1" si="19"/>
        <v>0.2939981847222069</v>
      </c>
      <c r="W34" s="42">
        <f t="shared" ca="1" si="19"/>
        <v>0.45167021535917135</v>
      </c>
      <c r="X34" s="42">
        <f t="shared" ca="1" si="19"/>
        <v>6.6138013257085598E-2</v>
      </c>
      <c r="Y34" s="42">
        <f t="shared" ca="1" si="19"/>
        <v>0.90540239456771088</v>
      </c>
      <c r="Z34" s="42">
        <f t="shared" ca="1" si="19"/>
        <v>0.13257795962325766</v>
      </c>
      <c r="AA34" s="42">
        <f t="shared" ca="1" si="19"/>
        <v>2.4559393686175555</v>
      </c>
      <c r="AB34" s="42">
        <f t="shared" ca="1" si="13"/>
        <v>0</v>
      </c>
      <c r="AC34" s="51">
        <f t="shared" ca="1" si="14"/>
        <v>7.3773690312183913</v>
      </c>
    </row>
    <row r="35" spans="1:29" ht="12" customHeight="1" x14ac:dyDescent="0.25">
      <c r="A35" s="262"/>
      <c r="C35" s="263"/>
      <c r="D35" s="43">
        <f t="shared" si="15"/>
        <v>24</v>
      </c>
      <c r="E35" s="43">
        <f t="shared" si="8"/>
        <v>61</v>
      </c>
      <c r="G35" s="42">
        <f t="shared" ca="1" si="18"/>
        <v>0</v>
      </c>
      <c r="H35" s="42">
        <f t="shared" ca="1" si="18"/>
        <v>0</v>
      </c>
      <c r="I35" s="42">
        <f t="shared" ca="1" si="18"/>
        <v>2.0805397949303504</v>
      </c>
      <c r="J35" s="42">
        <f t="shared" ca="1" si="18"/>
        <v>0.30669745399038517</v>
      </c>
      <c r="K35" s="42">
        <f t="shared" ca="1" si="18"/>
        <v>0.4740014389162725</v>
      </c>
      <c r="L35" s="42">
        <f t="shared" ca="1" si="18"/>
        <v>7.0026163193593421E-2</v>
      </c>
      <c r="M35" s="42">
        <f t="shared" ca="1" si="18"/>
        <v>0.93657326641196958</v>
      </c>
      <c r="N35" s="42">
        <f t="shared" ca="1" si="18"/>
        <v>0.13802055367268964</v>
      </c>
      <c r="O35" s="42">
        <f t="shared" ca="1" si="18"/>
        <v>3.4409972141741965</v>
      </c>
      <c r="P35" s="42">
        <f t="shared" ca="1" si="10"/>
        <v>0</v>
      </c>
      <c r="Q35" s="51">
        <f t="shared" ca="1" si="11"/>
        <v>7.4468558852894571</v>
      </c>
      <c r="S35" s="42">
        <f t="shared" ca="1" si="19"/>
        <v>1.006602140030322</v>
      </c>
      <c r="T35" s="42">
        <f t="shared" ca="1" si="19"/>
        <v>0</v>
      </c>
      <c r="U35" s="42">
        <f t="shared" ca="1" si="19"/>
        <v>2.0039431758729283</v>
      </c>
      <c r="V35" s="42">
        <f t="shared" ca="1" si="19"/>
        <v>0.29343669620366331</v>
      </c>
      <c r="W35" s="42">
        <f t="shared" ca="1" si="19"/>
        <v>0.4508082948116206</v>
      </c>
      <c r="X35" s="42">
        <f t="shared" ca="1" si="19"/>
        <v>6.60117004530857E-2</v>
      </c>
      <c r="Y35" s="42">
        <f t="shared" ca="1" si="19"/>
        <v>0.90367461863486787</v>
      </c>
      <c r="Z35" s="42">
        <f t="shared" ca="1" si="19"/>
        <v>0.13232475737232968</v>
      </c>
      <c r="AA35" s="42">
        <f t="shared" ca="1" si="19"/>
        <v>2.5064878499120025</v>
      </c>
      <c r="AB35" s="42">
        <f t="shared" ca="1" si="13"/>
        <v>0</v>
      </c>
      <c r="AC35" s="51">
        <f t="shared" ca="1" si="14"/>
        <v>7.3632892332908213</v>
      </c>
    </row>
    <row r="36" spans="1:29" ht="12" customHeight="1" x14ac:dyDescent="0.25">
      <c r="A36" s="262"/>
      <c r="C36" s="263"/>
      <c r="D36" s="43">
        <f t="shared" si="15"/>
        <v>25</v>
      </c>
      <c r="E36" s="43">
        <f t="shared" si="8"/>
        <v>61.25</v>
      </c>
      <c r="G36" s="42">
        <f t="shared" ca="1" si="18"/>
        <v>0</v>
      </c>
      <c r="H36" s="42">
        <f t="shared" ca="1" si="18"/>
        <v>0</v>
      </c>
      <c r="I36" s="42">
        <f t="shared" ca="1" si="18"/>
        <v>2.064771113471159</v>
      </c>
      <c r="J36" s="42">
        <f t="shared" ca="1" si="18"/>
        <v>0.30407134465232105</v>
      </c>
      <c r="K36" s="42">
        <f t="shared" ca="1" si="18"/>
        <v>0.46952928833379698</v>
      </c>
      <c r="L36" s="42">
        <f t="shared" ca="1" si="18"/>
        <v>6.9275413644866612E-2</v>
      </c>
      <c r="M36" s="42">
        <f t="shared" ca="1" si="18"/>
        <v>0.9297171875266439</v>
      </c>
      <c r="N36" s="42">
        <f t="shared" ca="1" si="18"/>
        <v>0.13688038708860059</v>
      </c>
      <c r="O36" s="42">
        <f t="shared" ca="1" si="18"/>
        <v>3.4453661416987265</v>
      </c>
      <c r="P36" s="42">
        <f t="shared" ca="1" si="10"/>
        <v>0</v>
      </c>
      <c r="Q36" s="51">
        <f t="shared" ca="1" si="11"/>
        <v>7.4196108764161135</v>
      </c>
      <c r="S36" s="42">
        <f t="shared" ca="1" si="19"/>
        <v>0.95241852518731585</v>
      </c>
      <c r="T36" s="42">
        <f t="shared" ca="1" si="19"/>
        <v>0</v>
      </c>
      <c r="U36" s="42">
        <f t="shared" ca="1" si="19"/>
        <v>2.000118584083391</v>
      </c>
      <c r="V36" s="42">
        <f t="shared" ca="1" si="19"/>
        <v>0.29287673207660164</v>
      </c>
      <c r="W36" s="42">
        <f t="shared" ca="1" si="19"/>
        <v>0.44994791227994491</v>
      </c>
      <c r="X36" s="42">
        <f t="shared" ca="1" si="19"/>
        <v>6.5885730577135329E-2</v>
      </c>
      <c r="Y36" s="42">
        <f t="shared" ca="1" si="19"/>
        <v>0.90194992575512156</v>
      </c>
      <c r="Z36" s="42">
        <f t="shared" ca="1" si="19"/>
        <v>0.1320722425430351</v>
      </c>
      <c r="AA36" s="42">
        <f t="shared" ca="1" si="19"/>
        <v>2.5539666184494973</v>
      </c>
      <c r="AB36" s="42">
        <f t="shared" ca="1" si="13"/>
        <v>0</v>
      </c>
      <c r="AC36" s="51">
        <f t="shared" ca="1" si="14"/>
        <v>7.3492362709520425</v>
      </c>
    </row>
    <row r="37" spans="1:29" ht="12" customHeight="1" x14ac:dyDescent="0.25">
      <c r="A37" s="262"/>
      <c r="C37" s="263"/>
      <c r="D37" s="43">
        <f t="shared" si="15"/>
        <v>26</v>
      </c>
      <c r="E37" s="43">
        <f t="shared" si="8"/>
        <v>61.5</v>
      </c>
      <c r="G37" s="42">
        <f t="shared" ca="1" si="18"/>
        <v>0</v>
      </c>
      <c r="H37" s="42">
        <f t="shared" ca="1" si="18"/>
        <v>0</v>
      </c>
      <c r="I37" s="42">
        <f t="shared" ca="1" si="18"/>
        <v>2.0508626289458203</v>
      </c>
      <c r="J37" s="42">
        <f t="shared" ca="1" si="18"/>
        <v>0.30176674841899065</v>
      </c>
      <c r="K37" s="42">
        <f t="shared" ca="1" si="18"/>
        <v>0.46561906738966774</v>
      </c>
      <c r="L37" s="42">
        <f t="shared" ca="1" si="18"/>
        <v>6.8621807862168038E-2</v>
      </c>
      <c r="M37" s="42">
        <f t="shared" ca="1" si="18"/>
        <v>0.92366043945405418</v>
      </c>
      <c r="N37" s="42">
        <f t="shared" ca="1" si="18"/>
        <v>0.13587836966466899</v>
      </c>
      <c r="O37" s="42">
        <f t="shared" ca="1" si="18"/>
        <v>3.4480303078860213</v>
      </c>
      <c r="P37" s="42">
        <f t="shared" ca="1" si="10"/>
        <v>0</v>
      </c>
      <c r="Q37" s="51">
        <f t="shared" ca="1" si="11"/>
        <v>7.3944393696213915</v>
      </c>
      <c r="S37" s="42">
        <f t="shared" ca="1" si="19"/>
        <v>0.90115151860561038</v>
      </c>
      <c r="T37" s="42">
        <f t="shared" ca="1" si="19"/>
        <v>0</v>
      </c>
      <c r="U37" s="42">
        <f t="shared" ca="1" si="19"/>
        <v>1.9963012928276962</v>
      </c>
      <c r="V37" s="42">
        <f t="shared" ca="1" si="19"/>
        <v>0.29231776715267921</v>
      </c>
      <c r="W37" s="42">
        <f t="shared" ca="1" si="19"/>
        <v>0.44908917208087235</v>
      </c>
      <c r="X37" s="42">
        <f t="shared" ca="1" si="19"/>
        <v>6.5759985482540403E-2</v>
      </c>
      <c r="Y37" s="42">
        <f t="shared" ca="1" si="19"/>
        <v>0.90022852503815498</v>
      </c>
      <c r="Z37" s="42">
        <f t="shared" ca="1" si="19"/>
        <v>0.13182017830262274</v>
      </c>
      <c r="AA37" s="42">
        <f t="shared" ca="1" si="19"/>
        <v>2.5985415813623542</v>
      </c>
      <c r="AB37" s="42">
        <f t="shared" ca="1" si="13"/>
        <v>0</v>
      </c>
      <c r="AC37" s="51">
        <f t="shared" ca="1" si="14"/>
        <v>7.3352100208525304</v>
      </c>
    </row>
    <row r="38" spans="1:29" ht="12" customHeight="1" x14ac:dyDescent="0.25">
      <c r="A38" s="262"/>
      <c r="C38" s="263"/>
      <c r="D38" s="43">
        <f t="shared" si="15"/>
        <v>27</v>
      </c>
      <c r="E38" s="43">
        <f t="shared" si="8"/>
        <v>61.75</v>
      </c>
      <c r="G38" s="42">
        <f t="shared" ca="1" si="18"/>
        <v>0</v>
      </c>
      <c r="H38" s="42">
        <f t="shared" ca="1" si="18"/>
        <v>0</v>
      </c>
      <c r="I38" s="42">
        <f t="shared" ca="1" si="18"/>
        <v>2.0385269068522978</v>
      </c>
      <c r="J38" s="42">
        <f t="shared" ca="1" si="18"/>
        <v>0.29973402037312441</v>
      </c>
      <c r="K38" s="42">
        <f t="shared" ca="1" si="18"/>
        <v>0.46218386122398109</v>
      </c>
      <c r="L38" s="42">
        <f t="shared" ca="1" si="18"/>
        <v>6.8050328218632147E-2</v>
      </c>
      <c r="M38" s="42">
        <f t="shared" ca="1" si="18"/>
        <v>0.91827953475394664</v>
      </c>
      <c r="N38" s="42">
        <f t="shared" ca="1" si="18"/>
        <v>0.13499317461329799</v>
      </c>
      <c r="O38" s="42">
        <f t="shared" ca="1" si="18"/>
        <v>3.4492561107670885</v>
      </c>
      <c r="P38" s="42">
        <f t="shared" ca="1" si="10"/>
        <v>0</v>
      </c>
      <c r="Q38" s="51">
        <f t="shared" ca="1" si="11"/>
        <v>7.3710239368023682</v>
      </c>
      <c r="S38" s="42">
        <f t="shared" ca="1" si="19"/>
        <v>0.85264412441524484</v>
      </c>
      <c r="T38" s="42">
        <f t="shared" ca="1" si="19"/>
        <v>0</v>
      </c>
      <c r="U38" s="42">
        <f t="shared" ca="1" si="19"/>
        <v>1.9924912905374383</v>
      </c>
      <c r="V38" s="42">
        <f t="shared" ca="1" si="19"/>
        <v>0.29175986920336966</v>
      </c>
      <c r="W38" s="42">
        <f t="shared" ca="1" si="19"/>
        <v>0.44823207161196743</v>
      </c>
      <c r="X38" s="42">
        <f t="shared" ca="1" si="19"/>
        <v>6.5634480415213539E-2</v>
      </c>
      <c r="Y38" s="42">
        <f t="shared" ca="1" si="19"/>
        <v>0.89851041126721587</v>
      </c>
      <c r="Z38" s="42">
        <f t="shared" ca="1" si="19"/>
        <v>0.13156859521251849</v>
      </c>
      <c r="AA38" s="42">
        <f t="shared" ca="1" si="19"/>
        <v>2.6403697035160349</v>
      </c>
      <c r="AB38" s="42">
        <f t="shared" ca="1" si="13"/>
        <v>0</v>
      </c>
      <c r="AC38" s="51">
        <f t="shared" ca="1" si="14"/>
        <v>7.3212105461790031</v>
      </c>
    </row>
    <row r="39" spans="1:29" ht="12" customHeight="1" x14ac:dyDescent="0.25">
      <c r="A39" s="262"/>
      <c r="C39" s="263"/>
      <c r="D39" s="43">
        <f t="shared" si="15"/>
        <v>28</v>
      </c>
      <c r="E39" s="43">
        <f t="shared" si="8"/>
        <v>62</v>
      </c>
      <c r="G39" s="42">
        <f t="shared" ca="1" si="18"/>
        <v>0</v>
      </c>
      <c r="H39" s="42">
        <f t="shared" ca="1" si="18"/>
        <v>0</v>
      </c>
      <c r="I39" s="42">
        <f t="shared" ca="1" si="18"/>
        <v>2.0275210914452408</v>
      </c>
      <c r="J39" s="42">
        <f t="shared" ca="1" si="18"/>
        <v>0.29793115189957992</v>
      </c>
      <c r="K39" s="42">
        <f t="shared" ca="1" si="18"/>
        <v>0.45915023541021527</v>
      </c>
      <c r="L39" s="42">
        <f t="shared" ca="1" si="18"/>
        <v>6.7548272088533826E-2</v>
      </c>
      <c r="M39" s="42">
        <f t="shared" ca="1" si="18"/>
        <v>0.91347013770750374</v>
      </c>
      <c r="N39" s="42">
        <f t="shared" ca="1" si="18"/>
        <v>0.13420675421817049</v>
      </c>
      <c r="O39" s="42">
        <f t="shared" ca="1" si="18"/>
        <v>3.4492686271780548</v>
      </c>
      <c r="P39" s="42">
        <f t="shared" ca="1" si="10"/>
        <v>0</v>
      </c>
      <c r="Q39" s="51">
        <f t="shared" ca="1" si="11"/>
        <v>7.3490962699472995</v>
      </c>
      <c r="S39" s="42">
        <f t="shared" ca="1" si="19"/>
        <v>0.80674779755657544</v>
      </c>
      <c r="T39" s="42">
        <f t="shared" ca="1" si="19"/>
        <v>0</v>
      </c>
      <c r="U39" s="42">
        <f t="shared" ca="1" si="19"/>
        <v>1.9886885595607289</v>
      </c>
      <c r="V39" s="42">
        <f t="shared" ca="1" si="19"/>
        <v>0.29120303653794788</v>
      </c>
      <c r="W39" s="42">
        <f t="shared" ca="1" si="19"/>
        <v>0.44737660690225034</v>
      </c>
      <c r="X39" s="42">
        <f t="shared" ca="1" si="19"/>
        <v>6.5509214994808149E-2</v>
      </c>
      <c r="Y39" s="42">
        <f t="shared" ca="1" si="19"/>
        <v>0.89679557648221664</v>
      </c>
      <c r="Z39" s="42">
        <f t="shared" ca="1" si="19"/>
        <v>0.13131749251029279</v>
      </c>
      <c r="AA39" s="42">
        <f t="shared" ca="1" si="19"/>
        <v>2.6795995059047359</v>
      </c>
      <c r="AB39" s="42">
        <f t="shared" ca="1" si="13"/>
        <v>0</v>
      </c>
      <c r="AC39" s="51">
        <f t="shared" ca="1" si="14"/>
        <v>7.3072377904495571</v>
      </c>
    </row>
    <row r="40" spans="1:29" ht="12" customHeight="1" x14ac:dyDescent="0.25">
      <c r="A40" s="262"/>
      <c r="C40" s="263"/>
      <c r="D40" s="43">
        <f t="shared" si="15"/>
        <v>29</v>
      </c>
      <c r="E40" s="43">
        <f t="shared" si="8"/>
        <v>62.25</v>
      </c>
      <c r="G40" s="42">
        <f t="shared" ca="1" si="18"/>
        <v>0</v>
      </c>
      <c r="H40" s="42">
        <f t="shared" ca="1" si="18"/>
        <v>0</v>
      </c>
      <c r="I40" s="42">
        <f t="shared" ca="1" si="18"/>
        <v>2.0176400004995361</v>
      </c>
      <c r="J40" s="42">
        <f t="shared" ca="1" si="18"/>
        <v>0.29632264957822391</v>
      </c>
      <c r="K40" s="42">
        <f t="shared" ca="1" si="18"/>
        <v>0.45645614707667681</v>
      </c>
      <c r="L40" s="42">
        <f t="shared" ca="1" si="18"/>
        <v>6.710490701442591E-2</v>
      </c>
      <c r="M40" s="42">
        <f t="shared" ca="1" si="18"/>
        <v>0.90914409793155582</v>
      </c>
      <c r="N40" s="42">
        <f t="shared" ca="1" si="18"/>
        <v>0.13350385979123272</v>
      </c>
      <c r="O40" s="42">
        <f t="shared" ca="1" si="18"/>
        <v>3.4482580158613998</v>
      </c>
      <c r="P40" s="42">
        <f t="shared" ca="1" si="10"/>
        <v>0</v>
      </c>
      <c r="Q40" s="51">
        <f t="shared" ca="1" si="11"/>
        <v>7.3284296777530509</v>
      </c>
      <c r="S40" s="42">
        <f t="shared" ca="1" si="19"/>
        <v>0.76332198888808589</v>
      </c>
      <c r="T40" s="42">
        <f t="shared" ca="1" si="19"/>
        <v>0</v>
      </c>
      <c r="U40" s="42">
        <f t="shared" ca="1" si="19"/>
        <v>1.9848930861963108</v>
      </c>
      <c r="V40" s="42">
        <f t="shared" ca="1" si="19"/>
        <v>0.29064726657658657</v>
      </c>
      <c r="W40" s="42">
        <f t="shared" ca="1" si="19"/>
        <v>0.44652277486947783</v>
      </c>
      <c r="X40" s="42">
        <f t="shared" ca="1" si="19"/>
        <v>6.5384188640964735E-2</v>
      </c>
      <c r="Y40" s="42">
        <f t="shared" ca="1" si="19"/>
        <v>0.89508401450459962</v>
      </c>
      <c r="Z40" s="42">
        <f t="shared" ca="1" si="19"/>
        <v>0.13106686903257708</v>
      </c>
      <c r="AA40" s="42">
        <f t="shared" ca="1" si="19"/>
        <v>2.7163715133746344</v>
      </c>
      <c r="AB40" s="42">
        <f t="shared" ca="1" si="13"/>
        <v>0</v>
      </c>
      <c r="AC40" s="51">
        <f t="shared" ca="1" si="14"/>
        <v>7.2932917020832377</v>
      </c>
    </row>
    <row r="41" spans="1:29" ht="12" customHeight="1" x14ac:dyDescent="0.25">
      <c r="A41" s="262"/>
      <c r="C41" s="263"/>
      <c r="D41" s="43">
        <f t="shared" si="15"/>
        <v>30</v>
      </c>
      <c r="E41" s="43">
        <f t="shared" si="8"/>
        <v>62.5</v>
      </c>
      <c r="G41" s="42">
        <f t="shared" ref="G41:O50" ca="1" si="20">PRODUCT(AVERAGE(OFFSET(AB.Trace.MarkovQB.Root, $D41, (G$2-1)*AB.Trace.MarkovQB.NumCols+G$3-1, CHOOSE(swtchHalfCycle, 2, 1))), G$6)</f>
        <v>0</v>
      </c>
      <c r="H41" s="42">
        <f t="shared" ca="1" si="20"/>
        <v>0</v>
      </c>
      <c r="I41" s="42">
        <f t="shared" ca="1" si="20"/>
        <v>2.0087102775605294</v>
      </c>
      <c r="J41" s="42">
        <f t="shared" ca="1" si="20"/>
        <v>0.29487852598211989</v>
      </c>
      <c r="K41" s="42">
        <f t="shared" ca="1" si="20"/>
        <v>0.45404917698371516</v>
      </c>
      <c r="L41" s="42">
        <f t="shared" ca="1" si="20"/>
        <v>6.6711165417083093E-2</v>
      </c>
      <c r="M41" s="42">
        <f t="shared" ca="1" si="20"/>
        <v>0.90522693798136467</v>
      </c>
      <c r="N41" s="42">
        <f t="shared" ca="1" si="20"/>
        <v>0.1328716081347649</v>
      </c>
      <c r="O41" s="42">
        <f t="shared" ca="1" si="20"/>
        <v>3.4463849342128774</v>
      </c>
      <c r="P41" s="42">
        <f t="shared" ca="1" si="10"/>
        <v>0</v>
      </c>
      <c r="Q41" s="51">
        <f t="shared" ca="1" si="11"/>
        <v>7.3088326262724541</v>
      </c>
      <c r="S41" s="42">
        <f t="shared" ref="S41:AA50" ca="1" si="21">PRODUCT(AVERAGE(OFFSET(AB.Trace.MarkovQB.Root, $D41, (S$2-1)*AB.Trace.MarkovQB.NumCols+S$3-1, CHOOSE(swtchHalfCycle, 2, 1))), S$6)</f>
        <v>0.72223371478024068</v>
      </c>
      <c r="T41" s="42">
        <f t="shared" ca="1" si="21"/>
        <v>0</v>
      </c>
      <c r="U41" s="42">
        <f t="shared" ca="1" si="21"/>
        <v>1.9811048566120415</v>
      </c>
      <c r="V41" s="42">
        <f t="shared" ca="1" si="21"/>
        <v>0.29009255731684402</v>
      </c>
      <c r="W41" s="42">
        <f t="shared" ca="1" si="21"/>
        <v>0.44567057240196256</v>
      </c>
      <c r="X41" s="42">
        <f t="shared" ca="1" si="21"/>
        <v>6.5259400903212736E-2</v>
      </c>
      <c r="Y41" s="42">
        <f t="shared" ca="1" si="21"/>
        <v>0.8933757190967847</v>
      </c>
      <c r="Z41" s="42">
        <f t="shared" ca="1" si="21"/>
        <v>0.13081672387637391</v>
      </c>
      <c r="AA41" s="42">
        <f t="shared" ca="1" si="21"/>
        <v>2.7508186852684053</v>
      </c>
      <c r="AB41" s="42">
        <f t="shared" ca="1" si="13"/>
        <v>0</v>
      </c>
      <c r="AC41" s="51">
        <f t="shared" ca="1" si="14"/>
        <v>7.2793722302558654</v>
      </c>
    </row>
    <row r="42" spans="1:29" ht="12" customHeight="1" x14ac:dyDescent="0.25">
      <c r="A42" s="262"/>
      <c r="C42" s="263"/>
      <c r="D42" s="43">
        <f t="shared" si="15"/>
        <v>31</v>
      </c>
      <c r="E42" s="43">
        <f t="shared" si="8"/>
        <v>62.75</v>
      </c>
      <c r="G42" s="42">
        <f t="shared" ca="1" si="20"/>
        <v>0</v>
      </c>
      <c r="H42" s="42">
        <f t="shared" ca="1" si="20"/>
        <v>0</v>
      </c>
      <c r="I42" s="42">
        <f t="shared" ca="1" si="20"/>
        <v>2.0005854552305955</v>
      </c>
      <c r="J42" s="42">
        <f t="shared" ca="1" si="20"/>
        <v>0.29357344502762295</v>
      </c>
      <c r="K42" s="42">
        <f t="shared" ca="1" si="20"/>
        <v>0.45188503672636082</v>
      </c>
      <c r="L42" s="42">
        <f t="shared" ca="1" si="20"/>
        <v>6.6359386213201407E-2</v>
      </c>
      <c r="M42" s="42">
        <f t="shared" ca="1" si="20"/>
        <v>0.90165573245011676</v>
      </c>
      <c r="N42" s="42">
        <f t="shared" ca="1" si="20"/>
        <v>0.13229911435398012</v>
      </c>
      <c r="O42" s="42">
        <f t="shared" ca="1" si="20"/>
        <v>3.4437851146018863</v>
      </c>
      <c r="P42" s="42">
        <f t="shared" ca="1" si="10"/>
        <v>0</v>
      </c>
      <c r="Q42" s="51">
        <f t="shared" ca="1" si="11"/>
        <v>7.2901432846037642</v>
      </c>
      <c r="S42" s="42">
        <f t="shared" ca="1" si="21"/>
        <v>0.68335714987734142</v>
      </c>
      <c r="T42" s="42">
        <f t="shared" ca="1" si="21"/>
        <v>0</v>
      </c>
      <c r="U42" s="42">
        <f t="shared" ca="1" si="21"/>
        <v>1.9773238569806075</v>
      </c>
      <c r="V42" s="42">
        <f t="shared" ca="1" si="21"/>
        <v>0.28953890673714966</v>
      </c>
      <c r="W42" s="42">
        <f t="shared" ca="1" si="21"/>
        <v>0.44481999638910347</v>
      </c>
      <c r="X42" s="42">
        <f t="shared" ca="1" si="21"/>
        <v>6.5134851326778376E-2</v>
      </c>
      <c r="Y42" s="42">
        <f t="shared" ca="1" si="21"/>
        <v>0.89167068402336935</v>
      </c>
      <c r="Z42" s="42">
        <f t="shared" ca="1" si="21"/>
        <v>0.13056705613005951</v>
      </c>
      <c r="AA42" s="42">
        <f t="shared" ca="1" si="21"/>
        <v>2.7830668227053024</v>
      </c>
      <c r="AB42" s="42">
        <f t="shared" ca="1" si="13"/>
        <v>0</v>
      </c>
      <c r="AC42" s="51">
        <f t="shared" ca="1" si="14"/>
        <v>7.2654793241697124</v>
      </c>
    </row>
    <row r="43" spans="1:29" ht="12" customHeight="1" x14ac:dyDescent="0.25">
      <c r="A43" s="262"/>
      <c r="C43" s="263"/>
      <c r="D43" s="43">
        <f t="shared" si="15"/>
        <v>32</v>
      </c>
      <c r="E43" s="43">
        <f t="shared" ref="E43:E74" si="22">B.cohortAge+D43*AB.cycleLength</f>
        <v>63</v>
      </c>
      <c r="G43" s="42">
        <f t="shared" ca="1" si="20"/>
        <v>0</v>
      </c>
      <c r="H43" s="42">
        <f t="shared" ca="1" si="20"/>
        <v>0</v>
      </c>
      <c r="I43" s="42">
        <f t="shared" ca="1" si="20"/>
        <v>1.9931417841425323</v>
      </c>
      <c r="J43" s="42">
        <f t="shared" ca="1" si="20"/>
        <v>0.2923860004726358</v>
      </c>
      <c r="K43" s="42">
        <f t="shared" ca="1" si="20"/>
        <v>0.44992630747837897</v>
      </c>
      <c r="L43" s="42">
        <f t="shared" ca="1" si="20"/>
        <v>6.6043096642738289E-2</v>
      </c>
      <c r="M43" s="42">
        <f t="shared" ca="1" si="20"/>
        <v>0.89837731601905169</v>
      </c>
      <c r="N43" s="42">
        <f t="shared" ca="1" si="20"/>
        <v>0.13177718188695289</v>
      </c>
      <c r="O43" s="42">
        <f t="shared" ca="1" si="20"/>
        <v>3.4405732307659513</v>
      </c>
      <c r="P43" s="42">
        <f t="shared" ref="P43:P74" ca="1" si="23">AVERAGE(OFFSET(AB.Trace.MarkovQB.Root, $D43, (P$2-1)*AB.Trace.MarkovQB.NumCols+P$3-1))*INDEX(AB.rngC.ByState, P$3)</f>
        <v>0</v>
      </c>
      <c r="Q43" s="51">
        <f t="shared" ref="Q43:Q74" ca="1" si="24">SUM(G43:P43)</f>
        <v>7.2722249174082414</v>
      </c>
      <c r="S43" s="42">
        <f t="shared" ca="1" si="21"/>
        <v>0.64657324178029241</v>
      </c>
      <c r="T43" s="42">
        <f t="shared" ca="1" si="21"/>
        <v>0</v>
      </c>
      <c r="U43" s="42">
        <f t="shared" ca="1" si="21"/>
        <v>1.9735500735033964</v>
      </c>
      <c r="V43" s="42">
        <f t="shared" ca="1" si="21"/>
        <v>0.28898631281663845</v>
      </c>
      <c r="W43" s="42">
        <f t="shared" ca="1" si="21"/>
        <v>0.44397104372675628</v>
      </c>
      <c r="X43" s="42">
        <f t="shared" ca="1" si="21"/>
        <v>6.5010539457046643E-2</v>
      </c>
      <c r="Y43" s="42">
        <f t="shared" ca="1" si="21"/>
        <v>0.8899689030618938</v>
      </c>
      <c r="Z43" s="42">
        <f t="shared" ca="1" si="21"/>
        <v>0.13031786488232847</v>
      </c>
      <c r="AA43" s="42">
        <f t="shared" ca="1" si="21"/>
        <v>2.8132349538943076</v>
      </c>
      <c r="AB43" s="42">
        <f t="shared" ref="AB43:AB74" ca="1" si="25">AVERAGE(OFFSET(AB.Trace.MarkovQB.Root, $D43, (AB$2-1)*AB.Trace.MarkovQB.NumCols+AB$3-1))*INDEX(AB.rngC.ByState, AB$3)</f>
        <v>0</v>
      </c>
      <c r="AC43" s="51">
        <f t="shared" ref="AC43:AC74" ca="1" si="26">SUM(S43:AB43)</f>
        <v>7.2516129331226598</v>
      </c>
    </row>
    <row r="44" spans="1:29" ht="12" customHeight="1" x14ac:dyDescent="0.25">
      <c r="A44" s="262"/>
      <c r="C44" s="263"/>
      <c r="D44" s="43">
        <f t="shared" ref="D44:D75" si="27">D43+1</f>
        <v>33</v>
      </c>
      <c r="E44" s="43">
        <f t="shared" si="22"/>
        <v>63.25</v>
      </c>
      <c r="G44" s="42">
        <f t="shared" ca="1" si="20"/>
        <v>0</v>
      </c>
      <c r="H44" s="42">
        <f t="shared" ca="1" si="20"/>
        <v>0</v>
      </c>
      <c r="I44" s="42">
        <f t="shared" ca="1" si="20"/>
        <v>1.9862747089214987</v>
      </c>
      <c r="J44" s="42">
        <f t="shared" ca="1" si="20"/>
        <v>0.2912981063201604</v>
      </c>
      <c r="K44" s="42">
        <f t="shared" ca="1" si="20"/>
        <v>0.44814137437787049</v>
      </c>
      <c r="L44" s="42">
        <f t="shared" ca="1" si="20"/>
        <v>6.5756827936081022E-2</v>
      </c>
      <c r="M44" s="42">
        <f t="shared" ca="1" si="20"/>
        <v>0.89534676946526237</v>
      </c>
      <c r="N44" s="42">
        <f t="shared" ca="1" si="20"/>
        <v>0.13129804061075459</v>
      </c>
      <c r="O44" s="42">
        <f t="shared" ca="1" si="20"/>
        <v>3.4368461644504005</v>
      </c>
      <c r="P44" s="42">
        <f t="shared" ca="1" si="23"/>
        <v>0</v>
      </c>
      <c r="Q44" s="51">
        <f t="shared" ca="1" si="24"/>
        <v>7.2549619920820279</v>
      </c>
      <c r="S44" s="42">
        <f t="shared" ca="1" si="21"/>
        <v>0.61176934647031234</v>
      </c>
      <c r="T44" s="42">
        <f t="shared" ca="1" si="21"/>
        <v>0</v>
      </c>
      <c r="U44" s="42">
        <f t="shared" ca="1" si="21"/>
        <v>1.9697834924081747</v>
      </c>
      <c r="V44" s="42">
        <f t="shared" ca="1" si="21"/>
        <v>0.28843477353864033</v>
      </c>
      <c r="W44" s="42">
        <f t="shared" ca="1" si="21"/>
        <v>0.4431237113167108</v>
      </c>
      <c r="X44" s="42">
        <f t="shared" ca="1" si="21"/>
        <v>6.4886464840346172E-2</v>
      </c>
      <c r="Y44" s="42">
        <f t="shared" ca="1" si="21"/>
        <v>0.88827037000179387</v>
      </c>
      <c r="Z44" s="42">
        <f t="shared" ca="1" si="21"/>
        <v>0.13006914922376694</v>
      </c>
      <c r="AA44" s="42">
        <f t="shared" ca="1" si="21"/>
        <v>2.8414356987102201</v>
      </c>
      <c r="AB44" s="42">
        <f t="shared" ca="1" si="25"/>
        <v>0</v>
      </c>
      <c r="AC44" s="51">
        <f t="shared" ca="1" si="26"/>
        <v>7.2377730065099657</v>
      </c>
    </row>
    <row r="45" spans="1:29" ht="12" customHeight="1" x14ac:dyDescent="0.25">
      <c r="A45" s="262"/>
      <c r="C45" s="263"/>
      <c r="D45" s="43">
        <f t="shared" si="27"/>
        <v>34</v>
      </c>
      <c r="E45" s="43">
        <f t="shared" si="22"/>
        <v>63.5</v>
      </c>
      <c r="G45" s="42">
        <f t="shared" ca="1" si="20"/>
        <v>0</v>
      </c>
      <c r="H45" s="42">
        <f t="shared" ca="1" si="20"/>
        <v>0</v>
      </c>
      <c r="I45" s="42">
        <f t="shared" ca="1" si="20"/>
        <v>1.9798958908007371</v>
      </c>
      <c r="J45" s="42">
        <f t="shared" ca="1" si="20"/>
        <v>0.29029448177936756</v>
      </c>
      <c r="K45" s="42">
        <f t="shared" ca="1" si="20"/>
        <v>0.44650352621233291</v>
      </c>
      <c r="L45" s="42">
        <f t="shared" ca="1" si="20"/>
        <v>6.5495959574270041E-2</v>
      </c>
      <c r="M45" s="42">
        <f t="shared" ca="1" si="20"/>
        <v>0.89252614052215751</v>
      </c>
      <c r="N45" s="42">
        <f t="shared" ca="1" si="20"/>
        <v>0.13085512557116361</v>
      </c>
      <c r="O45" s="42">
        <f t="shared" ca="1" si="20"/>
        <v>3.4326857653242766</v>
      </c>
      <c r="P45" s="42">
        <f t="shared" ca="1" si="23"/>
        <v>0</v>
      </c>
      <c r="Q45" s="51">
        <f t="shared" ca="1" si="24"/>
        <v>7.2382568897843065</v>
      </c>
      <c r="S45" s="42">
        <f t="shared" ca="1" si="21"/>
        <v>0.57883888335714395</v>
      </c>
      <c r="T45" s="42">
        <f t="shared" ca="1" si="21"/>
        <v>0</v>
      </c>
      <c r="U45" s="42">
        <f t="shared" ca="1" si="21"/>
        <v>1.966024099948974</v>
      </c>
      <c r="V45" s="42">
        <f t="shared" ca="1" si="21"/>
        <v>0.28788428689034029</v>
      </c>
      <c r="W45" s="42">
        <f t="shared" ca="1" si="21"/>
        <v>0.44227799606666551</v>
      </c>
      <c r="X45" s="42">
        <f t="shared" ca="1" si="21"/>
        <v>6.4762627023872851E-2</v>
      </c>
      <c r="Y45" s="42">
        <f t="shared" ca="1" si="21"/>
        <v>0.88657507864434937</v>
      </c>
      <c r="Z45" s="42">
        <f t="shared" ca="1" si="21"/>
        <v>0.12982090824669959</v>
      </c>
      <c r="AA45" s="42">
        <f t="shared" ca="1" si="21"/>
        <v>2.867775613645398</v>
      </c>
      <c r="AB45" s="42">
        <f t="shared" ca="1" si="25"/>
        <v>0</v>
      </c>
      <c r="AC45" s="51">
        <f t="shared" ca="1" si="26"/>
        <v>7.2239594938234433</v>
      </c>
    </row>
    <row r="46" spans="1:29" ht="12" customHeight="1" x14ac:dyDescent="0.25">
      <c r="A46" s="262"/>
      <c r="C46" s="263"/>
      <c r="D46" s="43">
        <f t="shared" si="27"/>
        <v>35</v>
      </c>
      <c r="E46" s="43">
        <f t="shared" si="22"/>
        <v>63.75</v>
      </c>
      <c r="G46" s="42">
        <f t="shared" ca="1" si="20"/>
        <v>0</v>
      </c>
      <c r="H46" s="42">
        <f t="shared" ca="1" si="20"/>
        <v>0</v>
      </c>
      <c r="I46" s="42">
        <f t="shared" ca="1" si="20"/>
        <v>1.9739306920917232</v>
      </c>
      <c r="J46" s="42">
        <f t="shared" ca="1" si="20"/>
        <v>0.28936221612023483</v>
      </c>
      <c r="K46" s="42">
        <f t="shared" ca="1" si="20"/>
        <v>0.44499019476134788</v>
      </c>
      <c r="L46" s="42">
        <f t="shared" ca="1" si="20"/>
        <v>6.5256587707774191E-2</v>
      </c>
      <c r="M46" s="42">
        <f t="shared" ca="1" si="20"/>
        <v>0.88988336316115835</v>
      </c>
      <c r="N46" s="42">
        <f t="shared" ca="1" si="20"/>
        <v>0.13044289003614287</v>
      </c>
      <c r="O46" s="42">
        <f t="shared" ca="1" si="20"/>
        <v>3.4281611827757206</v>
      </c>
      <c r="P46" s="42">
        <f t="shared" ca="1" si="23"/>
        <v>0</v>
      </c>
      <c r="Q46" s="51">
        <f t="shared" ca="1" si="24"/>
        <v>7.2220271266541012</v>
      </c>
      <c r="S46" s="42">
        <f t="shared" ca="1" si="21"/>
        <v>0.54768100889540827</v>
      </c>
      <c r="T46" s="42">
        <f t="shared" ca="1" si="21"/>
        <v>0</v>
      </c>
      <c r="U46" s="42">
        <f t="shared" ca="1" si="21"/>
        <v>1.9622718824060605</v>
      </c>
      <c r="V46" s="42">
        <f t="shared" ca="1" si="21"/>
        <v>0.287334850862762</v>
      </c>
      <c r="W46" s="42">
        <f t="shared" ca="1" si="21"/>
        <v>0.4414338948902205</v>
      </c>
      <c r="X46" s="42">
        <f t="shared" ca="1" si="21"/>
        <v>6.4639025555686153E-2</v>
      </c>
      <c r="Y46" s="42">
        <f t="shared" ca="1" si="21"/>
        <v>0.88488302280267095</v>
      </c>
      <c r="Z46" s="42">
        <f t="shared" ca="1" si="21"/>
        <v>0.12957314104518214</v>
      </c>
      <c r="AA46" s="42">
        <f t="shared" ca="1" si="21"/>
        <v>2.8923555181933116</v>
      </c>
      <c r="AB46" s="42">
        <f t="shared" ca="1" si="25"/>
        <v>0</v>
      </c>
      <c r="AC46" s="51">
        <f t="shared" ca="1" si="26"/>
        <v>7.2101723446513022</v>
      </c>
    </row>
    <row r="47" spans="1:29" ht="12" customHeight="1" x14ac:dyDescent="0.25">
      <c r="A47" s="262"/>
      <c r="C47" s="263"/>
      <c r="D47" s="43">
        <f t="shared" si="27"/>
        <v>36</v>
      </c>
      <c r="E47" s="43">
        <f t="shared" si="22"/>
        <v>64</v>
      </c>
      <c r="G47" s="42">
        <f t="shared" ca="1" si="20"/>
        <v>0</v>
      </c>
      <c r="H47" s="42">
        <f t="shared" ca="1" si="20"/>
        <v>0</v>
      </c>
      <c r="I47" s="42">
        <f t="shared" ca="1" si="20"/>
        <v>1.9683160508653958</v>
      </c>
      <c r="J47" s="42">
        <f t="shared" ca="1" si="20"/>
        <v>0.28849040102831114</v>
      </c>
      <c r="K47" s="42">
        <f t="shared" ca="1" si="20"/>
        <v>0.44358231213306654</v>
      </c>
      <c r="L47" s="42">
        <f t="shared" ca="1" si="20"/>
        <v>6.5035413986258783E-2</v>
      </c>
      <c r="M47" s="42">
        <f t="shared" ca="1" si="20"/>
        <v>0.88739134451531354</v>
      </c>
      <c r="N47" s="42">
        <f t="shared" ca="1" si="20"/>
        <v>0.13005664754862406</v>
      </c>
      <c r="O47" s="42">
        <f t="shared" ca="1" si="20"/>
        <v>3.4233308359972812</v>
      </c>
      <c r="P47" s="42">
        <f t="shared" ca="1" si="23"/>
        <v>0</v>
      </c>
      <c r="Q47" s="51">
        <f t="shared" ca="1" si="24"/>
        <v>7.2062030060742508</v>
      </c>
      <c r="S47" s="42">
        <f t="shared" ca="1" si="21"/>
        <v>0.51820030776961501</v>
      </c>
      <c r="T47" s="42">
        <f t="shared" ca="1" si="21"/>
        <v>0</v>
      </c>
      <c r="U47" s="42">
        <f t="shared" ca="1" si="21"/>
        <v>1.9585268260858855</v>
      </c>
      <c r="V47" s="42">
        <f t="shared" ca="1" si="21"/>
        <v>0.28678646345076353</v>
      </c>
      <c r="W47" s="42">
        <f t="shared" ca="1" si="21"/>
        <v>0.44059140470686686</v>
      </c>
      <c r="X47" s="42">
        <f t="shared" ca="1" si="21"/>
        <v>6.4515659984708068E-2</v>
      </c>
      <c r="Y47" s="42">
        <f t="shared" ca="1" si="21"/>
        <v>0.88319419630167695</v>
      </c>
      <c r="Z47" s="42">
        <f t="shared" ca="1" si="21"/>
        <v>0.1293258467149993</v>
      </c>
      <c r="AA47" s="42">
        <f t="shared" ca="1" si="21"/>
        <v>2.9152708036634469</v>
      </c>
      <c r="AB47" s="42">
        <f t="shared" ca="1" si="25"/>
        <v>0</v>
      </c>
      <c r="AC47" s="51">
        <f t="shared" ca="1" si="26"/>
        <v>7.1964115086779614</v>
      </c>
    </row>
    <row r="48" spans="1:29" ht="12" customHeight="1" x14ac:dyDescent="0.25">
      <c r="A48" s="262"/>
      <c r="C48" s="263"/>
      <c r="D48" s="43">
        <f t="shared" si="27"/>
        <v>37</v>
      </c>
      <c r="E48" s="43">
        <f t="shared" si="22"/>
        <v>64.25</v>
      </c>
      <c r="G48" s="42">
        <f t="shared" ca="1" si="20"/>
        <v>0</v>
      </c>
      <c r="H48" s="42">
        <f t="shared" ca="1" si="20"/>
        <v>0</v>
      </c>
      <c r="I48" s="42">
        <f t="shared" ca="1" si="20"/>
        <v>1.9629986853146155</v>
      </c>
      <c r="J48" s="42">
        <f t="shared" ca="1" si="20"/>
        <v>0.28766981998891461</v>
      </c>
      <c r="K48" s="42">
        <f t="shared" ca="1" si="20"/>
        <v>0.44226376779119714</v>
      </c>
      <c r="L48" s="42">
        <f t="shared" ca="1" si="20"/>
        <v>6.4829651633172669E-2</v>
      </c>
      <c r="M48" s="42">
        <f t="shared" ca="1" si="20"/>
        <v>0.88502719344009251</v>
      </c>
      <c r="N48" s="42">
        <f t="shared" ca="1" si="20"/>
        <v>0.12969243848019524</v>
      </c>
      <c r="O48" s="42">
        <f t="shared" ca="1" si="20"/>
        <v>3.4182440784699173</v>
      </c>
      <c r="P48" s="42">
        <f t="shared" ca="1" si="23"/>
        <v>0</v>
      </c>
      <c r="Q48" s="51">
        <f t="shared" ca="1" si="24"/>
        <v>7.1907256351181044</v>
      </c>
      <c r="S48" s="42">
        <f t="shared" ca="1" si="21"/>
        <v>0.49030650070213738</v>
      </c>
      <c r="T48" s="42">
        <f t="shared" ca="1" si="21"/>
        <v>0</v>
      </c>
      <c r="U48" s="42">
        <f t="shared" ca="1" si="21"/>
        <v>1.9547889173210351</v>
      </c>
      <c r="V48" s="42">
        <f t="shared" ca="1" si="21"/>
        <v>0.2862391226530297</v>
      </c>
      <c r="W48" s="42">
        <f t="shared" ca="1" si="21"/>
        <v>0.43975052244197449</v>
      </c>
      <c r="X48" s="42">
        <f t="shared" ca="1" si="21"/>
        <v>6.4392529860721498E-2</v>
      </c>
      <c r="Y48" s="42">
        <f t="shared" ca="1" si="21"/>
        <v>0.88150859297807138</v>
      </c>
      <c r="Z48" s="42">
        <f t="shared" ca="1" si="21"/>
        <v>0.12907902435366164</v>
      </c>
      <c r="AA48" s="42">
        <f t="shared" ca="1" si="21"/>
        <v>2.9366117253732429</v>
      </c>
      <c r="AB48" s="42">
        <f t="shared" ca="1" si="25"/>
        <v>0</v>
      </c>
      <c r="AC48" s="51">
        <f t="shared" ca="1" si="26"/>
        <v>7.1826769356838742</v>
      </c>
    </row>
    <row r="49" spans="1:29" ht="12" customHeight="1" x14ac:dyDescent="0.25">
      <c r="A49" s="262"/>
      <c r="C49" s="263"/>
      <c r="D49" s="43">
        <f t="shared" si="27"/>
        <v>38</v>
      </c>
      <c r="E49" s="43">
        <f t="shared" si="22"/>
        <v>64.5</v>
      </c>
      <c r="G49" s="42">
        <f t="shared" ca="1" si="20"/>
        <v>0</v>
      </c>
      <c r="H49" s="42">
        <f t="shared" ca="1" si="20"/>
        <v>0</v>
      </c>
      <c r="I49" s="42">
        <f t="shared" ca="1" si="20"/>
        <v>1.9579335766574248</v>
      </c>
      <c r="J49" s="42">
        <f t="shared" ca="1" si="20"/>
        <v>0.28689268585431482</v>
      </c>
      <c r="K49" s="42">
        <f t="shared" ca="1" si="20"/>
        <v>0.44102094980842266</v>
      </c>
      <c r="L49" s="42">
        <f t="shared" ca="1" si="20"/>
        <v>6.4636946090124228E-2</v>
      </c>
      <c r="M49" s="42">
        <f t="shared" ca="1" si="20"/>
        <v>0.88277156874047091</v>
      </c>
      <c r="N49" s="42">
        <f t="shared" ca="1" si="20"/>
        <v>0.12934691728509223</v>
      </c>
      <c r="O49" s="42">
        <f t="shared" ca="1" si="20"/>
        <v>3.4129426042508291</v>
      </c>
      <c r="P49" s="42">
        <f t="shared" ca="1" si="23"/>
        <v>0</v>
      </c>
      <c r="Q49" s="51">
        <f t="shared" ca="1" si="24"/>
        <v>7.1755452486866789</v>
      </c>
      <c r="S49" s="42">
        <f t="shared" ca="1" si="21"/>
        <v>0.46391416798936719</v>
      </c>
      <c r="T49" s="42">
        <f t="shared" ca="1" si="21"/>
        <v>0</v>
      </c>
      <c r="U49" s="42">
        <f t="shared" ca="1" si="21"/>
        <v>1.9510581424701798</v>
      </c>
      <c r="V49" s="42">
        <f t="shared" ca="1" si="21"/>
        <v>0.2856928264720649</v>
      </c>
      <c r="W49" s="42">
        <f t="shared" ca="1" si="21"/>
        <v>0.43891124502678158</v>
      </c>
      <c r="X49" s="42">
        <f t="shared" ca="1" si="21"/>
        <v>6.4269634734368641E-2</v>
      </c>
      <c r="Y49" s="42">
        <f t="shared" ca="1" si="21"/>
        <v>0.87982620668032085</v>
      </c>
      <c r="Z49" s="42">
        <f t="shared" ca="1" si="21"/>
        <v>0.12883267306040205</v>
      </c>
      <c r="AA49" s="42">
        <f t="shared" ca="1" si="21"/>
        <v>2.9564636791118462</v>
      </c>
      <c r="AB49" s="42">
        <f t="shared" ca="1" si="25"/>
        <v>0</v>
      </c>
      <c r="AC49" s="51">
        <f t="shared" ca="1" si="26"/>
        <v>7.1689685755453318</v>
      </c>
    </row>
    <row r="50" spans="1:29" ht="12" customHeight="1" x14ac:dyDescent="0.25">
      <c r="A50" s="262"/>
      <c r="C50" s="263"/>
      <c r="D50" s="43">
        <f t="shared" si="27"/>
        <v>39</v>
      </c>
      <c r="E50" s="43">
        <f t="shared" si="22"/>
        <v>64.75</v>
      </c>
      <c r="G50" s="42">
        <f t="shared" ca="1" si="20"/>
        <v>2.306333546779189E-3</v>
      </c>
      <c r="H50" s="42">
        <f t="shared" ca="1" si="20"/>
        <v>0</v>
      </c>
      <c r="I50" s="42">
        <f t="shared" ca="1" si="20"/>
        <v>1.9530826873736209</v>
      </c>
      <c r="J50" s="42">
        <f t="shared" ca="1" si="20"/>
        <v>0.28615241911971306</v>
      </c>
      <c r="K50" s="42">
        <f t="shared" ca="1" si="20"/>
        <v>0.43984235728097243</v>
      </c>
      <c r="L50" s="42">
        <f t="shared" ca="1" si="20"/>
        <v>6.4455307970968254E-2</v>
      </c>
      <c r="M50" s="42">
        <f t="shared" ca="1" si="20"/>
        <v>0.88060812850157744</v>
      </c>
      <c r="N50" s="42">
        <f t="shared" ca="1" si="20"/>
        <v>0.12901725724344526</v>
      </c>
      <c r="O50" s="42">
        <f t="shared" ca="1" si="20"/>
        <v>3.4074616361167238</v>
      </c>
      <c r="P50" s="42">
        <f t="shared" ca="1" si="23"/>
        <v>0</v>
      </c>
      <c r="Q50" s="51">
        <f t="shared" ca="1" si="24"/>
        <v>7.1629261271538009</v>
      </c>
      <c r="S50" s="42">
        <f t="shared" ca="1" si="21"/>
        <v>0.43894248791943186</v>
      </c>
      <c r="T50" s="42">
        <f t="shared" ca="1" si="21"/>
        <v>0</v>
      </c>
      <c r="U50" s="42">
        <f t="shared" ca="1" si="21"/>
        <v>1.9473344879180252</v>
      </c>
      <c r="V50" s="42">
        <f t="shared" ca="1" si="21"/>
        <v>0.28514757291418585</v>
      </c>
      <c r="W50" s="42">
        <f t="shared" ca="1" si="21"/>
        <v>0.43807356939838299</v>
      </c>
      <c r="X50" s="42">
        <f t="shared" ca="1" si="21"/>
        <v>6.4146974157149275E-2</v>
      </c>
      <c r="Y50" s="42">
        <f t="shared" ca="1" si="21"/>
        <v>0.87814703126863258</v>
      </c>
      <c r="Z50" s="42">
        <f t="shared" ca="1" si="21"/>
        <v>0.12858679193617259</v>
      </c>
      <c r="AA50" s="42">
        <f t="shared" ca="1" si="21"/>
        <v>2.9749074627223138</v>
      </c>
      <c r="AB50" s="42">
        <f t="shared" ca="1" si="25"/>
        <v>0</v>
      </c>
      <c r="AC50" s="51">
        <f t="shared" ca="1" si="26"/>
        <v>7.1552863782342939</v>
      </c>
    </row>
    <row r="51" spans="1:29" ht="12" customHeight="1" x14ac:dyDescent="0.25">
      <c r="A51" s="262"/>
      <c r="C51" s="263"/>
      <c r="D51" s="43">
        <f t="shared" si="27"/>
        <v>40</v>
      </c>
      <c r="E51" s="43">
        <f t="shared" si="22"/>
        <v>65</v>
      </c>
      <c r="G51" s="42">
        <f t="shared" ref="G51:O60" ca="1" si="28">PRODUCT(AVERAGE(OFFSET(AB.Trace.MarkovQB.Root, $D51, (G$2-1)*AB.Trace.MarkovQB.NumCols+G$3-1, CHOOSE(swtchHalfCycle, 2, 1))), G$6)</f>
        <v>4.4859616996199541E-3</v>
      </c>
      <c r="H51" s="42">
        <f t="shared" ca="1" si="28"/>
        <v>0</v>
      </c>
      <c r="I51" s="42">
        <f t="shared" ca="1" si="28"/>
        <v>1.9458649735289042</v>
      </c>
      <c r="J51" s="42">
        <f t="shared" ca="1" si="28"/>
        <v>0.28544346059323839</v>
      </c>
      <c r="K51" s="42">
        <f t="shared" ca="1" si="28"/>
        <v>0.43796082364519523</v>
      </c>
      <c r="L51" s="42">
        <f t="shared" ca="1" si="28"/>
        <v>6.4283056416111081E-2</v>
      </c>
      <c r="M51" s="42">
        <f t="shared" ca="1" si="28"/>
        <v>0.87742434398113289</v>
      </c>
      <c r="N51" s="42">
        <f t="shared" ca="1" si="28"/>
        <v>0.12870106998083281</v>
      </c>
      <c r="O51" s="42">
        <f t="shared" ca="1" si="28"/>
        <v>3.3998042003017783</v>
      </c>
      <c r="P51" s="42">
        <f t="shared" ca="1" si="23"/>
        <v>0</v>
      </c>
      <c r="Q51" s="51">
        <f t="shared" ca="1" si="24"/>
        <v>7.1439678901468131</v>
      </c>
      <c r="S51" s="42">
        <f t="shared" ref="S51:AA60" ca="1" si="29">PRODUCT(AVERAGE(OFFSET(AB.Trace.MarkovQB.Root, $D51, (S$2-1)*AB.Trace.MarkovQB.NumCols+S$3-1, CHOOSE(swtchHalfCycle, 2, 1))), S$6)</f>
        <v>0.4150781601114838</v>
      </c>
      <c r="T51" s="42">
        <f t="shared" ca="1" si="29"/>
        <v>0</v>
      </c>
      <c r="U51" s="42">
        <f t="shared" ca="1" si="29"/>
        <v>1.9436179400752613</v>
      </c>
      <c r="V51" s="42">
        <f t="shared" ca="1" si="29"/>
        <v>0.28460335998951436</v>
      </c>
      <c r="W51" s="42">
        <f t="shared" ca="1" si="29"/>
        <v>0.43723749249971933</v>
      </c>
      <c r="X51" s="42">
        <f t="shared" ca="1" si="29"/>
        <v>6.4024547681419144E-2</v>
      </c>
      <c r="Y51" s="42">
        <f t="shared" ca="1" si="29"/>
        <v>0.87647106061493141</v>
      </c>
      <c r="Z51" s="42">
        <f t="shared" ca="1" si="29"/>
        <v>0.12834138008364115</v>
      </c>
      <c r="AA51" s="42">
        <f t="shared" ca="1" si="29"/>
        <v>2.9902267294068081</v>
      </c>
      <c r="AB51" s="42">
        <f t="shared" ca="1" si="25"/>
        <v>0</v>
      </c>
      <c r="AC51" s="51">
        <f t="shared" ca="1" si="26"/>
        <v>7.1396006704627784</v>
      </c>
    </row>
    <row r="52" spans="1:29" ht="12" customHeight="1" x14ac:dyDescent="0.25">
      <c r="A52" s="262"/>
      <c r="C52" s="263"/>
      <c r="D52" s="43">
        <f t="shared" si="27"/>
        <v>41</v>
      </c>
      <c r="E52" s="43">
        <f t="shared" si="22"/>
        <v>65.25</v>
      </c>
      <c r="G52" s="42">
        <f t="shared" ca="1" si="28"/>
        <v>4.2395118549577214E-3</v>
      </c>
      <c r="H52" s="42">
        <f t="shared" ca="1" si="28"/>
        <v>0</v>
      </c>
      <c r="I52" s="42">
        <f t="shared" ca="1" si="28"/>
        <v>1.938175235511983</v>
      </c>
      <c r="J52" s="42">
        <f t="shared" ca="1" si="28"/>
        <v>0.28438859014114387</v>
      </c>
      <c r="K52" s="42">
        <f t="shared" ca="1" si="28"/>
        <v>0.43601309831884832</v>
      </c>
      <c r="L52" s="42">
        <f t="shared" ca="1" si="28"/>
        <v>6.4008069865008607E-2</v>
      </c>
      <c r="M52" s="42">
        <f t="shared" ca="1" si="28"/>
        <v>0.87401668265163379</v>
      </c>
      <c r="N52" s="42">
        <f t="shared" ca="1" si="28"/>
        <v>0.12823575917900451</v>
      </c>
      <c r="O52" s="42">
        <f t="shared" ca="1" si="28"/>
        <v>3.3899116523382573</v>
      </c>
      <c r="P52" s="42">
        <f t="shared" ca="1" si="23"/>
        <v>0</v>
      </c>
      <c r="Q52" s="51">
        <f t="shared" ca="1" si="24"/>
        <v>7.1189885998608373</v>
      </c>
      <c r="S52" s="42">
        <f t="shared" ca="1" si="29"/>
        <v>0.39227458867420939</v>
      </c>
      <c r="T52" s="42">
        <f t="shared" ca="1" si="29"/>
        <v>0</v>
      </c>
      <c r="U52" s="42">
        <f t="shared" ca="1" si="29"/>
        <v>1.9387529535237986</v>
      </c>
      <c r="V52" s="42">
        <f t="shared" ca="1" si="29"/>
        <v>0.28406018571196989</v>
      </c>
      <c r="W52" s="42">
        <f t="shared" ca="1" si="29"/>
        <v>0.43614306211968068</v>
      </c>
      <c r="X52" s="42">
        <f t="shared" ca="1" si="29"/>
        <v>6.3902354860388325E-2</v>
      </c>
      <c r="Y52" s="42">
        <f t="shared" ca="1" si="29"/>
        <v>0.87427720356374938</v>
      </c>
      <c r="Z52" s="42">
        <f t="shared" ca="1" si="29"/>
        <v>0.12809643660718831</v>
      </c>
      <c r="AA52" s="42">
        <f t="shared" ca="1" si="29"/>
        <v>3.0025834283619881</v>
      </c>
      <c r="AB52" s="42">
        <f t="shared" ca="1" si="25"/>
        <v>0</v>
      </c>
      <c r="AC52" s="51">
        <f t="shared" ca="1" si="26"/>
        <v>7.1200902134229729</v>
      </c>
    </row>
    <row r="53" spans="1:29" ht="12" customHeight="1" x14ac:dyDescent="0.25">
      <c r="A53" s="262"/>
      <c r="C53" s="263"/>
      <c r="D53" s="43">
        <f t="shared" si="27"/>
        <v>42</v>
      </c>
      <c r="E53" s="43">
        <f t="shared" si="22"/>
        <v>65.5</v>
      </c>
      <c r="G53" s="42">
        <f t="shared" ca="1" si="28"/>
        <v>4.0066014763010015E-3</v>
      </c>
      <c r="H53" s="42">
        <f t="shared" ca="1" si="28"/>
        <v>0</v>
      </c>
      <c r="I53" s="42">
        <f t="shared" ca="1" si="28"/>
        <v>1.9324027679696811</v>
      </c>
      <c r="J53" s="42">
        <f t="shared" ca="1" si="28"/>
        <v>0.2832647332533656</v>
      </c>
      <c r="K53" s="42">
        <f t="shared" ca="1" si="28"/>
        <v>0.43471452045449999</v>
      </c>
      <c r="L53" s="42">
        <f t="shared" ca="1" si="28"/>
        <v>6.3723409383897492E-2</v>
      </c>
      <c r="M53" s="42">
        <f t="shared" ca="1" si="28"/>
        <v>0.87141359865819712</v>
      </c>
      <c r="N53" s="42">
        <f t="shared" ca="1" si="28"/>
        <v>0.12773772873272063</v>
      </c>
      <c r="O53" s="42">
        <f t="shared" ca="1" si="28"/>
        <v>3.3798689328618421</v>
      </c>
      <c r="P53" s="42">
        <f t="shared" ca="1" si="23"/>
        <v>0</v>
      </c>
      <c r="Q53" s="51">
        <f t="shared" ca="1" si="24"/>
        <v>7.0971322927905049</v>
      </c>
      <c r="S53" s="42">
        <f t="shared" ca="1" si="29"/>
        <v>0.3707238002553313</v>
      </c>
      <c r="T53" s="42">
        <f t="shared" ca="1" si="29"/>
        <v>0</v>
      </c>
      <c r="U53" s="42">
        <f t="shared" ca="1" si="29"/>
        <v>1.9328052027241305</v>
      </c>
      <c r="V53" s="42">
        <f t="shared" ca="1" si="29"/>
        <v>0.28334916686675321</v>
      </c>
      <c r="W53" s="42">
        <f t="shared" ca="1" si="29"/>
        <v>0.43480505242547124</v>
      </c>
      <c r="X53" s="42">
        <f t="shared" ca="1" si="29"/>
        <v>6.3742403621725355E-2</v>
      </c>
      <c r="Y53" s="42">
        <f t="shared" ca="1" si="29"/>
        <v>0.87159507589648955</v>
      </c>
      <c r="Z53" s="42">
        <f t="shared" ca="1" si="29"/>
        <v>0.12777580392082807</v>
      </c>
      <c r="AA53" s="42">
        <f t="shared" ca="1" si="29"/>
        <v>3.0138345312161294</v>
      </c>
      <c r="AB53" s="42">
        <f t="shared" ca="1" si="25"/>
        <v>0</v>
      </c>
      <c r="AC53" s="51">
        <f t="shared" ca="1" si="26"/>
        <v>7.098631036926859</v>
      </c>
    </row>
    <row r="54" spans="1:29" ht="12" customHeight="1" x14ac:dyDescent="0.25">
      <c r="A54" s="262"/>
      <c r="C54" s="263"/>
      <c r="D54" s="43">
        <f t="shared" si="27"/>
        <v>43</v>
      </c>
      <c r="E54" s="43">
        <f t="shared" si="22"/>
        <v>65.75</v>
      </c>
      <c r="G54" s="42">
        <f t="shared" ca="1" si="28"/>
        <v>3.7864867322224892E-3</v>
      </c>
      <c r="H54" s="42">
        <f t="shared" ca="1" si="28"/>
        <v>0</v>
      </c>
      <c r="I54" s="42">
        <f t="shared" ca="1" si="28"/>
        <v>1.926552511273971</v>
      </c>
      <c r="J54" s="42">
        <f t="shared" ca="1" si="28"/>
        <v>0.28242108586347836</v>
      </c>
      <c r="K54" s="42">
        <f t="shared" ca="1" si="28"/>
        <v>0.43339844309414538</v>
      </c>
      <c r="L54" s="42">
        <f t="shared" ca="1" si="28"/>
        <v>6.3533621945892085E-2</v>
      </c>
      <c r="M54" s="42">
        <f t="shared" ca="1" si="28"/>
        <v>0.86877543578408811</v>
      </c>
      <c r="N54" s="42">
        <f t="shared" ca="1" si="28"/>
        <v>0.12735728743952549</v>
      </c>
      <c r="O54" s="42">
        <f t="shared" ca="1" si="28"/>
        <v>3.3698278376178878</v>
      </c>
      <c r="P54" s="42">
        <f t="shared" ca="1" si="23"/>
        <v>0</v>
      </c>
      <c r="Q54" s="51">
        <f t="shared" ca="1" si="24"/>
        <v>7.0756527097512105</v>
      </c>
      <c r="S54" s="42">
        <f t="shared" ca="1" si="29"/>
        <v>0.35035696943881783</v>
      </c>
      <c r="T54" s="42">
        <f t="shared" ca="1" si="29"/>
        <v>0</v>
      </c>
      <c r="U54" s="42">
        <f t="shared" ca="1" si="29"/>
        <v>1.9269412503155037</v>
      </c>
      <c r="V54" s="42">
        <f t="shared" ca="1" si="29"/>
        <v>0.28247990179058458</v>
      </c>
      <c r="W54" s="42">
        <f t="shared" ca="1" si="29"/>
        <v>0.43348589406907817</v>
      </c>
      <c r="X54" s="42">
        <f t="shared" ca="1" si="29"/>
        <v>6.354685321318837E-2</v>
      </c>
      <c r="Y54" s="42">
        <f t="shared" ca="1" si="29"/>
        <v>0.8689507369649474</v>
      </c>
      <c r="Z54" s="42">
        <f t="shared" ca="1" si="29"/>
        <v>0.12738381037746968</v>
      </c>
      <c r="AA54" s="42">
        <f t="shared" ca="1" si="29"/>
        <v>3.0239415318200344</v>
      </c>
      <c r="AB54" s="42">
        <f t="shared" ca="1" si="25"/>
        <v>0</v>
      </c>
      <c r="AC54" s="51">
        <f t="shared" ca="1" si="26"/>
        <v>7.0770869479896241</v>
      </c>
    </row>
    <row r="55" spans="1:29" ht="12" customHeight="1" x14ac:dyDescent="0.25">
      <c r="A55" s="262"/>
      <c r="C55" s="263"/>
      <c r="D55" s="43">
        <f t="shared" si="27"/>
        <v>44</v>
      </c>
      <c r="E55" s="43">
        <f t="shared" si="22"/>
        <v>66</v>
      </c>
      <c r="G55" s="42">
        <f t="shared" ca="1" si="28"/>
        <v>3.5784646559192303E-3</v>
      </c>
      <c r="H55" s="42">
        <f t="shared" ca="1" si="28"/>
        <v>0</v>
      </c>
      <c r="I55" s="42">
        <f t="shared" ca="1" si="28"/>
        <v>1.9207104642865596</v>
      </c>
      <c r="J55" s="42">
        <f t="shared" ca="1" si="28"/>
        <v>0.28156606957185992</v>
      </c>
      <c r="K55" s="42">
        <f t="shared" ca="1" si="28"/>
        <v>0.43208421259484142</v>
      </c>
      <c r="L55" s="42">
        <f t="shared" ca="1" si="28"/>
        <v>6.3341276952729925E-2</v>
      </c>
      <c r="M55" s="42">
        <f t="shared" ca="1" si="28"/>
        <v>0.8661409750633664</v>
      </c>
      <c r="N55" s="42">
        <f t="shared" ca="1" si="28"/>
        <v>0.1269717193602718</v>
      </c>
      <c r="O55" s="42">
        <f t="shared" ca="1" si="28"/>
        <v>3.3598078975226557</v>
      </c>
      <c r="P55" s="42">
        <f t="shared" ca="1" si="23"/>
        <v>0</v>
      </c>
      <c r="Q55" s="51">
        <f t="shared" ca="1" si="24"/>
        <v>7.0542010800082036</v>
      </c>
      <c r="S55" s="42">
        <f t="shared" ca="1" si="29"/>
        <v>0.33110905194058277</v>
      </c>
      <c r="T55" s="42">
        <f t="shared" ca="1" si="29"/>
        <v>0</v>
      </c>
      <c r="U55" s="42">
        <f t="shared" ca="1" si="29"/>
        <v>1.9210999888799787</v>
      </c>
      <c r="V55" s="42">
        <f t="shared" ca="1" si="29"/>
        <v>0.28162288386753725</v>
      </c>
      <c r="W55" s="42">
        <f t="shared" ca="1" si="29"/>
        <v>0.43217184028801187</v>
      </c>
      <c r="X55" s="42">
        <f t="shared" ca="1" si="29"/>
        <v>6.335405793178342E-2</v>
      </c>
      <c r="Y55" s="42">
        <f t="shared" ca="1" si="29"/>
        <v>0.86631663048745444</v>
      </c>
      <c r="Z55" s="42">
        <f t="shared" ca="1" si="29"/>
        <v>0.12699733966607554</v>
      </c>
      <c r="AA55" s="42">
        <f t="shared" ca="1" si="29"/>
        <v>3.0329594000703453</v>
      </c>
      <c r="AB55" s="42">
        <f t="shared" ca="1" si="25"/>
        <v>0</v>
      </c>
      <c r="AC55" s="51">
        <f t="shared" ca="1" si="26"/>
        <v>7.0556311931317701</v>
      </c>
    </row>
    <row r="56" spans="1:29" ht="12" customHeight="1" x14ac:dyDescent="0.25">
      <c r="A56" s="262"/>
      <c r="C56" s="263"/>
      <c r="D56" s="43">
        <f t="shared" si="27"/>
        <v>45</v>
      </c>
      <c r="E56" s="43">
        <f t="shared" si="22"/>
        <v>66.25</v>
      </c>
      <c r="G56" s="42">
        <f t="shared" ca="1" si="28"/>
        <v>3.3818709001911559E-3</v>
      </c>
      <c r="H56" s="42">
        <f t="shared" ca="1" si="28"/>
        <v>0</v>
      </c>
      <c r="I56" s="42">
        <f t="shared" ca="1" si="28"/>
        <v>1.9148873463831881</v>
      </c>
      <c r="J56" s="42">
        <f t="shared" ca="1" si="28"/>
        <v>0.28071225313089943</v>
      </c>
      <c r="K56" s="42">
        <f t="shared" ca="1" si="28"/>
        <v>0.43077424039397677</v>
      </c>
      <c r="L56" s="42">
        <f t="shared" ca="1" si="28"/>
        <v>6.3149201878712979E-2</v>
      </c>
      <c r="M56" s="42">
        <f t="shared" ca="1" si="28"/>
        <v>0.86351505037949761</v>
      </c>
      <c r="N56" s="42">
        <f t="shared" ca="1" si="28"/>
        <v>0.12658669235154282</v>
      </c>
      <c r="O56" s="42">
        <f t="shared" ca="1" si="28"/>
        <v>3.3498075537101006</v>
      </c>
      <c r="P56" s="42">
        <f t="shared" ca="1" si="23"/>
        <v>0</v>
      </c>
      <c r="Q56" s="51">
        <f t="shared" ca="1" si="24"/>
        <v>7.0328142091281096</v>
      </c>
      <c r="S56" s="42">
        <f t="shared" ca="1" si="29"/>
        <v>0.31291857688059077</v>
      </c>
      <c r="T56" s="42">
        <f t="shared" ca="1" si="29"/>
        <v>0</v>
      </c>
      <c r="U56" s="42">
        <f t="shared" ca="1" si="29"/>
        <v>1.9152756827348358</v>
      </c>
      <c r="V56" s="42">
        <f t="shared" ca="1" si="29"/>
        <v>0.28076918223515629</v>
      </c>
      <c r="W56" s="42">
        <f t="shared" ca="1" si="29"/>
        <v>0.43086160077954422</v>
      </c>
      <c r="X56" s="42">
        <f t="shared" ca="1" si="29"/>
        <v>6.3162008685175436E-2</v>
      </c>
      <c r="Y56" s="42">
        <f t="shared" ca="1" si="29"/>
        <v>0.86369016996806769</v>
      </c>
      <c r="Z56" s="42">
        <f t="shared" ca="1" si="29"/>
        <v>0.12661236443007173</v>
      </c>
      <c r="AA56" s="42">
        <f t="shared" ca="1" si="29"/>
        <v>3.0409508441270074</v>
      </c>
      <c r="AB56" s="42">
        <f t="shared" ca="1" si="25"/>
        <v>0</v>
      </c>
      <c r="AC56" s="51">
        <f t="shared" ca="1" si="26"/>
        <v>7.0342404298404491</v>
      </c>
    </row>
    <row r="57" spans="1:29" ht="12" customHeight="1" x14ac:dyDescent="0.25">
      <c r="A57" s="262"/>
      <c r="C57" s="263"/>
      <c r="D57" s="43">
        <f t="shared" si="27"/>
        <v>46</v>
      </c>
      <c r="E57" s="43">
        <f t="shared" si="22"/>
        <v>66.5</v>
      </c>
      <c r="G57" s="42">
        <f t="shared" ca="1" si="28"/>
        <v>3.1960776157566391E-3</v>
      </c>
      <c r="H57" s="42">
        <f t="shared" ca="1" si="28"/>
        <v>0</v>
      </c>
      <c r="I57" s="42">
        <f t="shared" ca="1" si="28"/>
        <v>1.9090818918148589</v>
      </c>
      <c r="J57" s="42">
        <f t="shared" ca="1" si="28"/>
        <v>0.27986120317969837</v>
      </c>
      <c r="K57" s="42">
        <f t="shared" ca="1" si="28"/>
        <v>0.42946824174787512</v>
      </c>
      <c r="L57" s="42">
        <f t="shared" ca="1" si="28"/>
        <v>6.2957749155941364E-2</v>
      </c>
      <c r="M57" s="42">
        <f t="shared" ca="1" si="28"/>
        <v>0.86089709094521794</v>
      </c>
      <c r="N57" s="42">
        <f t="shared" ca="1" si="28"/>
        <v>0.12620291288646107</v>
      </c>
      <c r="O57" s="42">
        <f t="shared" ca="1" si="28"/>
        <v>3.3398273069618245</v>
      </c>
      <c r="P57" s="42">
        <f t="shared" ca="1" si="23"/>
        <v>0</v>
      </c>
      <c r="Q57" s="51">
        <f t="shared" ca="1" si="24"/>
        <v>7.0114924743076337</v>
      </c>
      <c r="S57" s="42">
        <f t="shared" ca="1" si="29"/>
        <v>0.2957274504671214</v>
      </c>
      <c r="T57" s="42">
        <f t="shared" ca="1" si="29"/>
        <v>0</v>
      </c>
      <c r="U57" s="42">
        <f t="shared" ca="1" si="29"/>
        <v>1.9094690363045408</v>
      </c>
      <c r="V57" s="42">
        <f t="shared" ca="1" si="29"/>
        <v>0.27991795862216129</v>
      </c>
      <c r="W57" s="42">
        <f t="shared" ca="1" si="29"/>
        <v>0.42955533401143847</v>
      </c>
      <c r="X57" s="42">
        <f t="shared" ca="1" si="29"/>
        <v>6.2970516895339376E-2</v>
      </c>
      <c r="Y57" s="42">
        <f t="shared" ca="1" si="29"/>
        <v>0.86107167306574983</v>
      </c>
      <c r="Z57" s="42">
        <f t="shared" ca="1" si="29"/>
        <v>0.12622850665251217</v>
      </c>
      <c r="AA57" s="42">
        <f t="shared" ca="1" si="29"/>
        <v>3.0479738703485251</v>
      </c>
      <c r="AB57" s="42">
        <f t="shared" ca="1" si="25"/>
        <v>0</v>
      </c>
      <c r="AC57" s="51">
        <f t="shared" ca="1" si="26"/>
        <v>7.0129143463673884</v>
      </c>
    </row>
    <row r="58" spans="1:29" ht="12" customHeight="1" x14ac:dyDescent="0.25">
      <c r="A58" s="262"/>
      <c r="C58" s="263"/>
      <c r="D58" s="43">
        <f t="shared" si="27"/>
        <v>47</v>
      </c>
      <c r="E58" s="43">
        <f t="shared" si="22"/>
        <v>66.75</v>
      </c>
      <c r="G58" s="42">
        <f t="shared" ca="1" si="28"/>
        <v>3.0204914461292001E-3</v>
      </c>
      <c r="H58" s="42">
        <f t="shared" ca="1" si="28"/>
        <v>0</v>
      </c>
      <c r="I58" s="42">
        <f t="shared" ca="1" si="28"/>
        <v>1.9032940282377309</v>
      </c>
      <c r="J58" s="42">
        <f t="shared" ca="1" si="28"/>
        <v>0.27901273472876509</v>
      </c>
      <c r="K58" s="42">
        <f t="shared" ca="1" si="28"/>
        <v>0.42816620038202119</v>
      </c>
      <c r="L58" s="42">
        <f t="shared" ca="1" si="28"/>
        <v>6.2766877169064747E-2</v>
      </c>
      <c r="M58" s="42">
        <f t="shared" ca="1" si="28"/>
        <v>0.85828706413720068</v>
      </c>
      <c r="N58" s="42">
        <f t="shared" ca="1" si="28"/>
        <v>0.12582029754434343</v>
      </c>
      <c r="O58" s="42">
        <f t="shared" ca="1" si="28"/>
        <v>3.3298676747763163</v>
      </c>
      <c r="P58" s="42">
        <f t="shared" ca="1" si="23"/>
        <v>0</v>
      </c>
      <c r="Q58" s="51">
        <f t="shared" ca="1" si="24"/>
        <v>6.9902353684215717</v>
      </c>
      <c r="S58" s="42">
        <f t="shared" ca="1" si="29"/>
        <v>0.27948077046623004</v>
      </c>
      <c r="T58" s="42">
        <f t="shared" ca="1" si="29"/>
        <v>0</v>
      </c>
      <c r="U58" s="42">
        <f t="shared" ca="1" si="29"/>
        <v>1.9036799998104659</v>
      </c>
      <c r="V58" s="42">
        <f t="shared" ca="1" si="29"/>
        <v>0.27906931598034174</v>
      </c>
      <c r="W58" s="42">
        <f t="shared" ca="1" si="29"/>
        <v>0.42825302878546351</v>
      </c>
      <c r="X58" s="42">
        <f t="shared" ca="1" si="29"/>
        <v>6.2779605722373386E-2</v>
      </c>
      <c r="Y58" s="42">
        <f t="shared" ca="1" si="29"/>
        <v>0.85846111733291719</v>
      </c>
      <c r="Z58" s="42">
        <f t="shared" ca="1" si="29"/>
        <v>0.12584581275932361</v>
      </c>
      <c r="AA58" s="42">
        <f t="shared" ca="1" si="29"/>
        <v>3.0540832767793926</v>
      </c>
      <c r="AB58" s="42">
        <f t="shared" ca="1" si="25"/>
        <v>0</v>
      </c>
      <c r="AC58" s="51">
        <f t="shared" ca="1" si="26"/>
        <v>6.9916529276365083</v>
      </c>
    </row>
    <row r="59" spans="1:29" ht="12" customHeight="1" x14ac:dyDescent="0.25">
      <c r="A59" s="262"/>
      <c r="C59" s="263"/>
      <c r="D59" s="43">
        <f t="shared" si="27"/>
        <v>48</v>
      </c>
      <c r="E59" s="43">
        <f t="shared" si="22"/>
        <v>67</v>
      </c>
      <c r="G59" s="42">
        <f t="shared" ca="1" si="28"/>
        <v>2.8545516326517004E-3</v>
      </c>
      <c r="H59" s="42">
        <f t="shared" ca="1" si="28"/>
        <v>0</v>
      </c>
      <c r="I59" s="42">
        <f t="shared" ca="1" si="28"/>
        <v>1.8975237124633313</v>
      </c>
      <c r="J59" s="42">
        <f t="shared" ca="1" si="28"/>
        <v>0.2781668372050311</v>
      </c>
      <c r="K59" s="42">
        <f t="shared" ca="1" si="28"/>
        <v>0.42686810658070923</v>
      </c>
      <c r="L59" s="42">
        <f t="shared" ca="1" si="28"/>
        <v>6.2576583539559139E-2</v>
      </c>
      <c r="M59" s="42">
        <f t="shared" ca="1" si="28"/>
        <v>0.85568495047968018</v>
      </c>
      <c r="N59" s="42">
        <f t="shared" ca="1" si="28"/>
        <v>0.12543884155728358</v>
      </c>
      <c r="O59" s="42">
        <f t="shared" ca="1" si="28"/>
        <v>3.319929123794231</v>
      </c>
      <c r="P59" s="42">
        <f t="shared" ca="1" si="23"/>
        <v>0</v>
      </c>
      <c r="Q59" s="51">
        <f t="shared" ca="1" si="24"/>
        <v>6.969042707252477</v>
      </c>
      <c r="S59" s="42">
        <f t="shared" ca="1" si="29"/>
        <v>0.26412665086388953</v>
      </c>
      <c r="T59" s="42">
        <f t="shared" ca="1" si="29"/>
        <v>0</v>
      </c>
      <c r="U59" s="42">
        <f t="shared" ca="1" si="29"/>
        <v>1.8979085139341041</v>
      </c>
      <c r="V59" s="42">
        <f t="shared" ca="1" si="29"/>
        <v>0.27822324703454032</v>
      </c>
      <c r="W59" s="42">
        <f t="shared" ca="1" si="29"/>
        <v>0.4269546717572914</v>
      </c>
      <c r="X59" s="42">
        <f t="shared" ca="1" si="29"/>
        <v>6.2589273529653586E-2</v>
      </c>
      <c r="Y59" s="42">
        <f t="shared" ca="1" si="29"/>
        <v>0.85585847601999365</v>
      </c>
      <c r="Z59" s="42">
        <f t="shared" ca="1" si="29"/>
        <v>0.12546427946978664</v>
      </c>
      <c r="AA59" s="42">
        <f t="shared" ca="1" si="29"/>
        <v>3.0593308564654387</v>
      </c>
      <c r="AB59" s="42">
        <f t="shared" ca="1" si="25"/>
        <v>0</v>
      </c>
      <c r="AC59" s="51">
        <f t="shared" ca="1" si="26"/>
        <v>6.9704559690746972</v>
      </c>
    </row>
    <row r="60" spans="1:29" ht="12" customHeight="1" x14ac:dyDescent="0.25">
      <c r="A60" s="262"/>
      <c r="C60" s="263"/>
      <c r="D60" s="43">
        <f t="shared" si="27"/>
        <v>49</v>
      </c>
      <c r="E60" s="43">
        <f t="shared" si="22"/>
        <v>67.25</v>
      </c>
      <c r="G60" s="42">
        <f t="shared" ca="1" si="28"/>
        <v>2.6977282236362071E-3</v>
      </c>
      <c r="H60" s="42">
        <f t="shared" ca="1" si="28"/>
        <v>0</v>
      </c>
      <c r="I60" s="42">
        <f t="shared" ca="1" si="28"/>
        <v>1.8917708909071616</v>
      </c>
      <c r="J60" s="42">
        <f t="shared" ca="1" si="28"/>
        <v>0.27732350429649189</v>
      </c>
      <c r="K60" s="42">
        <f t="shared" ca="1" si="28"/>
        <v>0.42557394828953782</v>
      </c>
      <c r="L60" s="42">
        <f t="shared" ca="1" si="28"/>
        <v>6.2386866847472043E-2</v>
      </c>
      <c r="M60" s="42">
        <f t="shared" ca="1" si="28"/>
        <v>0.85309072580882273</v>
      </c>
      <c r="N60" s="42">
        <f t="shared" ca="1" si="28"/>
        <v>0.12505854207889416</v>
      </c>
      <c r="O60" s="42">
        <f t="shared" ca="1" si="28"/>
        <v>3.3100120907087507</v>
      </c>
      <c r="P60" s="42">
        <f t="shared" ca="1" si="23"/>
        <v>0</v>
      </c>
      <c r="Q60" s="51">
        <f t="shared" ca="1" si="24"/>
        <v>6.9479142971607679</v>
      </c>
      <c r="S60" s="42">
        <f t="shared" ca="1" si="29"/>
        <v>0.24961605616084598</v>
      </c>
      <c r="T60" s="42">
        <f t="shared" ca="1" si="29"/>
        <v>0</v>
      </c>
      <c r="U60" s="42">
        <f t="shared" ca="1" si="29"/>
        <v>1.8921545257455767</v>
      </c>
      <c r="V60" s="42">
        <f t="shared" ca="1" si="29"/>
        <v>0.27737974311534419</v>
      </c>
      <c r="W60" s="42">
        <f t="shared" ca="1" si="29"/>
        <v>0.42566025101978411</v>
      </c>
      <c r="X60" s="42">
        <f t="shared" ca="1" si="29"/>
        <v>6.2399518366903467E-2</v>
      </c>
      <c r="Y60" s="42">
        <f t="shared" ca="1" si="29"/>
        <v>0.85326372525834482</v>
      </c>
      <c r="Z60" s="42">
        <f t="shared" ca="1" si="29"/>
        <v>0.12508390287444501</v>
      </c>
      <c r="AA60" s="42">
        <f t="shared" ca="1" si="29"/>
        <v>3.0637655517826525</v>
      </c>
      <c r="AB60" s="42">
        <f t="shared" ca="1" si="25"/>
        <v>0</v>
      </c>
      <c r="AC60" s="51">
        <f t="shared" ca="1" si="26"/>
        <v>6.9493232743238966</v>
      </c>
    </row>
    <row r="61" spans="1:29" ht="12" customHeight="1" x14ac:dyDescent="0.25">
      <c r="A61" s="262"/>
      <c r="C61" s="263"/>
      <c r="D61" s="43">
        <f t="shared" si="27"/>
        <v>50</v>
      </c>
      <c r="E61" s="43">
        <f t="shared" si="22"/>
        <v>67.5</v>
      </c>
      <c r="G61" s="42">
        <f t="shared" ref="G61:O70" ca="1" si="30">PRODUCT(AVERAGE(OFFSET(AB.Trace.MarkovQB.Root, $D61, (G$2-1)*AB.Trace.MarkovQB.NumCols+G$3-1, CHOOSE(swtchHalfCycle, 2, 1))), G$6)</f>
        <v>2.5495203818901688E-3</v>
      </c>
      <c r="H61" s="42">
        <f t="shared" ca="1" si="30"/>
        <v>0</v>
      </c>
      <c r="I61" s="42">
        <f t="shared" ca="1" si="30"/>
        <v>1.8860355104740627</v>
      </c>
      <c r="J61" s="42">
        <f t="shared" ca="1" si="30"/>
        <v>0.27648272817176128</v>
      </c>
      <c r="K61" s="42">
        <f t="shared" ca="1" si="30"/>
        <v>0.42428371356418698</v>
      </c>
      <c r="L61" s="42">
        <f t="shared" ca="1" si="30"/>
        <v>6.2197725331050044E-2</v>
      </c>
      <c r="M61" s="42">
        <f t="shared" ca="1" si="30"/>
        <v>0.85050436618146019</v>
      </c>
      <c r="N61" s="42">
        <f t="shared" ca="1" si="30"/>
        <v>0.12467939557762561</v>
      </c>
      <c r="O61" s="42">
        <f t="shared" ca="1" si="30"/>
        <v>3.3001169834917743</v>
      </c>
      <c r="P61" s="42">
        <f t="shared" ca="1" si="23"/>
        <v>0</v>
      </c>
      <c r="Q61" s="51">
        <f t="shared" ca="1" si="24"/>
        <v>6.9268499431738118</v>
      </c>
      <c r="S61" s="42">
        <f t="shared" ref="S61:AA70" ca="1" si="31">PRODUCT(AVERAGE(OFFSET(AB.Trace.MarkovQB.Root, $D61, (S$2-1)*AB.Trace.MarkovQB.NumCols+S$3-1, CHOOSE(swtchHalfCycle, 2, 1))), S$6)</f>
        <v>0.23590264477098694</v>
      </c>
      <c r="T61" s="42">
        <f t="shared" ca="1" si="31"/>
        <v>0</v>
      </c>
      <c r="U61" s="42">
        <f t="shared" ca="1" si="31"/>
        <v>1.8864179822267233</v>
      </c>
      <c r="V61" s="42">
        <f t="shared" ca="1" si="31"/>
        <v>0.27653879648704011</v>
      </c>
      <c r="W61" s="42">
        <f t="shared" ca="1" si="31"/>
        <v>0.42436975464594334</v>
      </c>
      <c r="X61" s="42">
        <f t="shared" ca="1" si="31"/>
        <v>6.221033849389225E-2</v>
      </c>
      <c r="Y61" s="42">
        <f t="shared" ca="1" si="31"/>
        <v>0.85067684113952557</v>
      </c>
      <c r="Z61" s="42">
        <f t="shared" ca="1" si="31"/>
        <v>0.12470467948489262</v>
      </c>
      <c r="AA61" s="42">
        <f t="shared" ca="1" si="31"/>
        <v>3.0674336114161527</v>
      </c>
      <c r="AB61" s="42">
        <f t="shared" ca="1" si="25"/>
        <v>0</v>
      </c>
      <c r="AC61" s="51">
        <f t="shared" ca="1" si="26"/>
        <v>6.9282546486651579</v>
      </c>
    </row>
    <row r="62" spans="1:29" ht="12" customHeight="1" x14ac:dyDescent="0.25">
      <c r="A62" s="262"/>
      <c r="C62" s="263"/>
      <c r="D62" s="43">
        <f t="shared" si="27"/>
        <v>51</v>
      </c>
      <c r="E62" s="43">
        <f t="shared" si="22"/>
        <v>67.75</v>
      </c>
      <c r="G62" s="42">
        <f t="shared" ca="1" si="30"/>
        <v>2.4094547852237373E-3</v>
      </c>
      <c r="H62" s="42">
        <f t="shared" ca="1" si="30"/>
        <v>0</v>
      </c>
      <c r="I62" s="42">
        <f t="shared" ca="1" si="30"/>
        <v>1.8803175182927452</v>
      </c>
      <c r="J62" s="42">
        <f t="shared" ca="1" si="30"/>
        <v>0.27564450107097016</v>
      </c>
      <c r="K62" s="42">
        <f t="shared" ca="1" si="30"/>
        <v>0.42299739051069868</v>
      </c>
      <c r="L62" s="42">
        <f t="shared" ca="1" si="30"/>
        <v>6.2009157244628174E-2</v>
      </c>
      <c r="M62" s="42">
        <f t="shared" ca="1" si="30"/>
        <v>0.84792584775537816</v>
      </c>
      <c r="N62" s="42">
        <f t="shared" ca="1" si="30"/>
        <v>0.12430139855417867</v>
      </c>
      <c r="O62" s="42">
        <f t="shared" ca="1" si="30"/>
        <v>3.2902441828716542</v>
      </c>
      <c r="P62" s="42">
        <f t="shared" ca="1" si="23"/>
        <v>0</v>
      </c>
      <c r="Q62" s="51">
        <f t="shared" ca="1" si="24"/>
        <v>6.9058494510854764</v>
      </c>
      <c r="S62" s="42">
        <f t="shared" ca="1" si="31"/>
        <v>0.22294262102309245</v>
      </c>
      <c r="T62" s="42">
        <f t="shared" ca="1" si="31"/>
        <v>0</v>
      </c>
      <c r="U62" s="42">
        <f t="shared" ca="1" si="31"/>
        <v>1.8806988304859282</v>
      </c>
      <c r="V62" s="42">
        <f t="shared" ca="1" si="31"/>
        <v>0.27570039940101243</v>
      </c>
      <c r="W62" s="42">
        <f t="shared" ca="1" si="31"/>
        <v>0.42308317073723867</v>
      </c>
      <c r="X62" s="42">
        <f t="shared" ca="1" si="31"/>
        <v>6.2021732167486542E-2</v>
      </c>
      <c r="Y62" s="42">
        <f t="shared" ca="1" si="31"/>
        <v>0.84809779981215538</v>
      </c>
      <c r="Z62" s="42">
        <f t="shared" ca="1" si="31"/>
        <v>0.12432660580690491</v>
      </c>
      <c r="AA62" s="42">
        <f t="shared" ca="1" si="31"/>
        <v>3.0703787384242487</v>
      </c>
      <c r="AB62" s="42">
        <f t="shared" ca="1" si="25"/>
        <v>0</v>
      </c>
      <c r="AC62" s="51">
        <f t="shared" ca="1" si="26"/>
        <v>6.9072498978580672</v>
      </c>
    </row>
    <row r="63" spans="1:29" ht="12" customHeight="1" x14ac:dyDescent="0.25">
      <c r="A63" s="262"/>
      <c r="C63" s="263"/>
      <c r="D63" s="43">
        <f t="shared" si="27"/>
        <v>52</v>
      </c>
      <c r="E63" s="43">
        <f t="shared" si="22"/>
        <v>68</v>
      </c>
      <c r="G63" s="42">
        <f t="shared" ca="1" si="30"/>
        <v>2.2770841148300578E-3</v>
      </c>
      <c r="H63" s="42">
        <f t="shared" ca="1" si="30"/>
        <v>0</v>
      </c>
      <c r="I63" s="42">
        <f t="shared" ca="1" si="30"/>
        <v>1.8746168616464678</v>
      </c>
      <c r="J63" s="42">
        <f t="shared" ca="1" si="30"/>
        <v>0.2748088152669681</v>
      </c>
      <c r="K63" s="42">
        <f t="shared" ca="1" si="30"/>
        <v>0.42171496726988228</v>
      </c>
      <c r="L63" s="42">
        <f t="shared" ca="1" si="30"/>
        <v>6.1821160849901892E-2</v>
      </c>
      <c r="M63" s="42">
        <f t="shared" ca="1" si="30"/>
        <v>0.84535514675805634</v>
      </c>
      <c r="N63" s="42">
        <f t="shared" ca="1" si="30"/>
        <v>0.12392454752400851</v>
      </c>
      <c r="O63" s="42">
        <f t="shared" ca="1" si="30"/>
        <v>3.2803940438537649</v>
      </c>
      <c r="P63" s="42">
        <f t="shared" ca="1" si="23"/>
        <v>0</v>
      </c>
      <c r="Q63" s="51">
        <f t="shared" ca="1" si="24"/>
        <v>6.8849126272838799</v>
      </c>
      <c r="S63" s="42">
        <f t="shared" ca="1" si="31"/>
        <v>0.21069459529331705</v>
      </c>
      <c r="T63" s="42">
        <f t="shared" ca="1" si="31"/>
        <v>0</v>
      </c>
      <c r="U63" s="42">
        <f t="shared" ca="1" si="31"/>
        <v>1.8749970177955919</v>
      </c>
      <c r="V63" s="42">
        <f t="shared" ca="1" si="31"/>
        <v>0.27486454412713984</v>
      </c>
      <c r="W63" s="42">
        <f t="shared" ca="1" si="31"/>
        <v>0.42180048743203663</v>
      </c>
      <c r="X63" s="42">
        <f t="shared" ca="1" si="31"/>
        <v>6.18336976487135E-2</v>
      </c>
      <c r="Y63" s="42">
        <f t="shared" ca="1" si="31"/>
        <v>0.84552657749881655</v>
      </c>
      <c r="Z63" s="42">
        <f t="shared" ca="1" si="31"/>
        <v>0.12394967835459744</v>
      </c>
      <c r="AA63" s="42">
        <f t="shared" ca="1" si="31"/>
        <v>3.0726422300987783</v>
      </c>
      <c r="AB63" s="42">
        <f t="shared" ca="1" si="25"/>
        <v>0</v>
      </c>
      <c r="AC63" s="51">
        <f t="shared" ca="1" si="26"/>
        <v>6.8863088282489908</v>
      </c>
    </row>
    <row r="64" spans="1:29" ht="12" customHeight="1" x14ac:dyDescent="0.25">
      <c r="A64" s="262"/>
      <c r="C64" s="263"/>
      <c r="D64" s="43">
        <f t="shared" si="27"/>
        <v>53</v>
      </c>
      <c r="E64" s="43">
        <f t="shared" si="22"/>
        <v>68.25</v>
      </c>
      <c r="G64" s="42">
        <f t="shared" ca="1" si="30"/>
        <v>2.1519856267109439E-3</v>
      </c>
      <c r="H64" s="42">
        <f t="shared" ca="1" si="30"/>
        <v>0</v>
      </c>
      <c r="I64" s="42">
        <f t="shared" ca="1" si="30"/>
        <v>1.8689334879781332</v>
      </c>
      <c r="J64" s="42">
        <f t="shared" ca="1" si="30"/>
        <v>0.27397566305519183</v>
      </c>
      <c r="K64" s="42">
        <f t="shared" ca="1" si="30"/>
        <v>0.4204364320184607</v>
      </c>
      <c r="L64" s="42">
        <f t="shared" ca="1" si="30"/>
        <v>6.1633734413647889E-2</v>
      </c>
      <c r="M64" s="42">
        <f t="shared" ca="1" si="30"/>
        <v>0.84279223948896465</v>
      </c>
      <c r="N64" s="42">
        <f t="shared" ca="1" si="30"/>
        <v>0.12354883901275605</v>
      </c>
      <c r="O64" s="42">
        <f t="shared" ca="1" si="30"/>
        <v>3.2705668971486377</v>
      </c>
      <c r="P64" s="42">
        <f t="shared" ca="1" si="23"/>
        <v>0</v>
      </c>
      <c r="Q64" s="51">
        <f t="shared" ca="1" si="24"/>
        <v>6.8640392787425029</v>
      </c>
      <c r="S64" s="42">
        <f t="shared" ca="1" si="31"/>
        <v>0.19911945182171562</v>
      </c>
      <c r="T64" s="42">
        <f t="shared" ca="1" si="31"/>
        <v>0</v>
      </c>
      <c r="U64" s="42">
        <f t="shared" ca="1" si="31"/>
        <v>1.8693124915880415</v>
      </c>
      <c r="V64" s="42">
        <f t="shared" ca="1" si="31"/>
        <v>0.27403122295927229</v>
      </c>
      <c r="W64" s="42">
        <f t="shared" ca="1" si="31"/>
        <v>0.42052169290468111</v>
      </c>
      <c r="X64" s="42">
        <f t="shared" ca="1" si="31"/>
        <v>6.1646233203992845E-2</v>
      </c>
      <c r="Y64" s="42">
        <f t="shared" ca="1" si="31"/>
        <v>0.842963150494211</v>
      </c>
      <c r="Z64" s="42">
        <f t="shared" ca="1" si="31"/>
        <v>0.12357389365289548</v>
      </c>
      <c r="AA64" s="42">
        <f t="shared" ca="1" si="31"/>
        <v>3.0742631101475504</v>
      </c>
      <c r="AB64" s="42">
        <f t="shared" ca="1" si="25"/>
        <v>0</v>
      </c>
      <c r="AC64" s="51">
        <f t="shared" ca="1" si="26"/>
        <v>6.8654312467723599</v>
      </c>
    </row>
    <row r="65" spans="1:29" ht="12" customHeight="1" x14ac:dyDescent="0.25">
      <c r="A65" s="262"/>
      <c r="C65" s="263"/>
      <c r="D65" s="43">
        <f t="shared" si="27"/>
        <v>54</v>
      </c>
      <c r="E65" s="43">
        <f t="shared" si="22"/>
        <v>68.5</v>
      </c>
      <c r="G65" s="42">
        <f t="shared" ca="1" si="30"/>
        <v>2.0337598015855978E-3</v>
      </c>
      <c r="H65" s="42">
        <f t="shared" ca="1" si="30"/>
        <v>0</v>
      </c>
      <c r="I65" s="42">
        <f t="shared" ca="1" si="30"/>
        <v>1.8632673448900383</v>
      </c>
      <c r="J65" s="42">
        <f t="shared" ca="1" si="30"/>
        <v>0.27314503675441015</v>
      </c>
      <c r="K65" s="42">
        <f t="shared" ca="1" si="30"/>
        <v>0.41916177296901436</v>
      </c>
      <c r="L65" s="42">
        <f t="shared" ca="1" si="30"/>
        <v>6.1446876207891653E-2</v>
      </c>
      <c r="M65" s="42">
        <f t="shared" ca="1" si="30"/>
        <v>0.8402371023194517</v>
      </c>
      <c r="N65" s="42">
        <f t="shared" ca="1" si="30"/>
        <v>0.12317426955658377</v>
      </c>
      <c r="O65" s="42">
        <f t="shared" ca="1" si="30"/>
        <v>3.2607630505211072</v>
      </c>
      <c r="P65" s="42">
        <f t="shared" ca="1" si="23"/>
        <v>0</v>
      </c>
      <c r="Q65" s="51">
        <f t="shared" ca="1" si="24"/>
        <v>6.8432292130200825</v>
      </c>
      <c r="S65" s="42">
        <f t="shared" ca="1" si="31"/>
        <v>0.18818022379066751</v>
      </c>
      <c r="T65" s="42">
        <f t="shared" ca="1" si="31"/>
        <v>0</v>
      </c>
      <c r="U65" s="42">
        <f t="shared" ca="1" si="31"/>
        <v>1.8636451994549443</v>
      </c>
      <c r="V65" s="42">
        <f t="shared" ca="1" si="31"/>
        <v>0.27320042821463297</v>
      </c>
      <c r="W65" s="42">
        <f t="shared" ca="1" si="31"/>
        <v>0.4192467753653612</v>
      </c>
      <c r="X65" s="42">
        <f t="shared" ca="1" si="31"/>
        <v>6.1459337105002315E-2</v>
      </c>
      <c r="Y65" s="42">
        <f t="shared" ca="1" si="31"/>
        <v>0.84040749516489344</v>
      </c>
      <c r="Z65" s="42">
        <f t="shared" ca="1" si="31"/>
        <v>0.1231992482372645</v>
      </c>
      <c r="AA65" s="42">
        <f t="shared" ca="1" si="31"/>
        <v>3.0752782536151311</v>
      </c>
      <c r="AB65" s="42">
        <f t="shared" ca="1" si="25"/>
        <v>0</v>
      </c>
      <c r="AC65" s="51">
        <f t="shared" ca="1" si="26"/>
        <v>6.8446169609478975</v>
      </c>
    </row>
    <row r="66" spans="1:29" ht="12" customHeight="1" x14ac:dyDescent="0.25">
      <c r="A66" s="262"/>
      <c r="C66" s="263"/>
      <c r="D66" s="43">
        <f t="shared" si="27"/>
        <v>55</v>
      </c>
      <c r="E66" s="43">
        <f t="shared" si="22"/>
        <v>68.75</v>
      </c>
      <c r="G66" s="42">
        <f t="shared" ca="1" si="30"/>
        <v>1.9220290689706653E-3</v>
      </c>
      <c r="H66" s="42">
        <f t="shared" ca="1" si="30"/>
        <v>0</v>
      </c>
      <c r="I66" s="42">
        <f t="shared" ca="1" si="30"/>
        <v>1.8576183801433359</v>
      </c>
      <c r="J66" s="42">
        <f t="shared" ca="1" si="30"/>
        <v>0.27231692870668733</v>
      </c>
      <c r="K66" s="42">
        <f t="shared" ca="1" si="30"/>
        <v>0.41789097836985978</v>
      </c>
      <c r="L66" s="42">
        <f t="shared" ca="1" si="30"/>
        <v>6.1260584509899227E-2</v>
      </c>
      <c r="M66" s="42">
        <f t="shared" ca="1" si="30"/>
        <v>0.83768971169250195</v>
      </c>
      <c r="N66" s="42">
        <f t="shared" ca="1" si="30"/>
        <v>0.12280083570215901</v>
      </c>
      <c r="O66" s="42">
        <f t="shared" ca="1" si="30"/>
        <v>3.2509827900653856</v>
      </c>
      <c r="P66" s="42">
        <f t="shared" ca="1" si="23"/>
        <v>0</v>
      </c>
      <c r="Q66" s="51">
        <f t="shared" ca="1" si="24"/>
        <v>6.8224822382587993</v>
      </c>
      <c r="S66" s="42">
        <f t="shared" ca="1" si="31"/>
        <v>0.17784197526624448</v>
      </c>
      <c r="T66" s="42">
        <f t="shared" ca="1" si="31"/>
        <v>0</v>
      </c>
      <c r="U66" s="42">
        <f t="shared" ca="1" si="31"/>
        <v>1.8579950891468582</v>
      </c>
      <c r="V66" s="42">
        <f t="shared" ca="1" si="31"/>
        <v>0.27237215223373251</v>
      </c>
      <c r="W66" s="42">
        <f t="shared" ca="1" si="31"/>
        <v>0.41797572306001007</v>
      </c>
      <c r="X66" s="42">
        <f t="shared" ca="1" si="31"/>
        <v>6.1273007628658498E-2</v>
      </c>
      <c r="Y66" s="42">
        <f t="shared" ca="1" si="31"/>
        <v>0.83785958794907112</v>
      </c>
      <c r="Z66" s="42">
        <f t="shared" ca="1" si="31"/>
        <v>0.12282573865367134</v>
      </c>
      <c r="AA66" s="42">
        <f t="shared" ca="1" si="31"/>
        <v>3.0757225049406269</v>
      </c>
      <c r="AB66" s="42">
        <f t="shared" ca="1" si="25"/>
        <v>0</v>
      </c>
      <c r="AC66" s="51">
        <f t="shared" ca="1" si="26"/>
        <v>6.8238657788788739</v>
      </c>
    </row>
    <row r="67" spans="1:29" ht="12" customHeight="1" x14ac:dyDescent="0.25">
      <c r="A67" s="262"/>
      <c r="C67" s="263"/>
      <c r="D67" s="43">
        <f t="shared" si="27"/>
        <v>56</v>
      </c>
      <c r="E67" s="43">
        <f t="shared" si="22"/>
        <v>69</v>
      </c>
      <c r="G67" s="42">
        <f t="shared" ca="1" si="30"/>
        <v>1.8164366013568099E-3</v>
      </c>
      <c r="H67" s="42">
        <f t="shared" ca="1" si="30"/>
        <v>0</v>
      </c>
      <c r="I67" s="42">
        <f t="shared" ca="1" si="30"/>
        <v>1.8519865416575514</v>
      </c>
      <c r="J67" s="42">
        <f t="shared" ca="1" si="30"/>
        <v>0.27149133127730435</v>
      </c>
      <c r="K67" s="42">
        <f t="shared" ca="1" si="30"/>
        <v>0.41662403650494134</v>
      </c>
      <c r="L67" s="42">
        <f t="shared" ca="1" si="30"/>
        <v>6.1074857602159506E-2</v>
      </c>
      <c r="M67" s="42">
        <f t="shared" ca="1" si="30"/>
        <v>0.83515004412251848</v>
      </c>
      <c r="N67" s="42">
        <f t="shared" ca="1" si="30"/>
        <v>0.12242853400661888</v>
      </c>
      <c r="O67" s="42">
        <f t="shared" ca="1" si="30"/>
        <v>3.241226381410045</v>
      </c>
      <c r="P67" s="42">
        <f t="shared" ca="1" si="23"/>
        <v>0</v>
      </c>
      <c r="Q67" s="51">
        <f t="shared" ca="1" si="24"/>
        <v>6.8017981631824957</v>
      </c>
      <c r="S67" s="42">
        <f t="shared" ca="1" si="31"/>
        <v>0.16807168962548569</v>
      </c>
      <c r="T67" s="42">
        <f t="shared" ca="1" si="31"/>
        <v>0</v>
      </c>
      <c r="U67" s="42">
        <f t="shared" ca="1" si="31"/>
        <v>1.8523621085727489</v>
      </c>
      <c r="V67" s="42">
        <f t="shared" ca="1" si="31"/>
        <v>0.27154638738030362</v>
      </c>
      <c r="W67" s="42">
        <f t="shared" ca="1" si="31"/>
        <v>0.41670852427019656</v>
      </c>
      <c r="X67" s="42">
        <f t="shared" ca="1" si="31"/>
        <v>6.1087243057101975E-2</v>
      </c>
      <c r="Y67" s="42">
        <f t="shared" ca="1" si="31"/>
        <v>0.83531940535638427</v>
      </c>
      <c r="Z67" s="42">
        <f t="shared" ca="1" si="31"/>
        <v>0.12245336145855482</v>
      </c>
      <c r="AA67" s="42">
        <f t="shared" ca="1" si="31"/>
        <v>3.075628789529568</v>
      </c>
      <c r="AB67" s="42">
        <f t="shared" ca="1" si="25"/>
        <v>0</v>
      </c>
      <c r="AC67" s="51">
        <f t="shared" ca="1" si="26"/>
        <v>6.803177509250343</v>
      </c>
    </row>
    <row r="68" spans="1:29" ht="12" customHeight="1" x14ac:dyDescent="0.25">
      <c r="A68" s="262"/>
      <c r="C68" s="263"/>
      <c r="D68" s="43">
        <f t="shared" si="27"/>
        <v>57</v>
      </c>
      <c r="E68" s="43">
        <f t="shared" si="22"/>
        <v>69.25</v>
      </c>
      <c r="G68" s="42">
        <f t="shared" ca="1" si="30"/>
        <v>1.7166451746308293E-3</v>
      </c>
      <c r="H68" s="42">
        <f t="shared" ca="1" si="30"/>
        <v>0</v>
      </c>
      <c r="I68" s="42">
        <f t="shared" ca="1" si="30"/>
        <v>1.8463717775101069</v>
      </c>
      <c r="J68" s="42">
        <f t="shared" ca="1" si="30"/>
        <v>0.27066823685468866</v>
      </c>
      <c r="K68" s="42">
        <f t="shared" ca="1" si="30"/>
        <v>0.41536093569372401</v>
      </c>
      <c r="L68" s="42">
        <f t="shared" ca="1" si="30"/>
        <v>6.0889693772368421E-2</v>
      </c>
      <c r="M68" s="42">
        <f t="shared" ca="1" si="30"/>
        <v>0.83261807619510664</v>
      </c>
      <c r="N68" s="42">
        <f t="shared" ca="1" si="30"/>
        <v>0.12205736103753817</v>
      </c>
      <c r="O68" s="42">
        <f t="shared" ca="1" si="30"/>
        <v>3.2314940708567539</v>
      </c>
      <c r="P68" s="42">
        <f t="shared" ca="1" si="23"/>
        <v>0</v>
      </c>
      <c r="Q68" s="51">
        <f t="shared" ca="1" si="24"/>
        <v>6.7811767970949175</v>
      </c>
      <c r="S68" s="42">
        <f t="shared" ca="1" si="31"/>
        <v>0.15883816411325738</v>
      </c>
      <c r="T68" s="42">
        <f t="shared" ca="1" si="31"/>
        <v>0</v>
      </c>
      <c r="U68" s="42">
        <f t="shared" ca="1" si="31"/>
        <v>1.8467462057995088</v>
      </c>
      <c r="V68" s="42">
        <f t="shared" ca="1" si="31"/>
        <v>0.27072312604123022</v>
      </c>
      <c r="W68" s="42">
        <f t="shared" ca="1" si="31"/>
        <v>0.41544516731301667</v>
      </c>
      <c r="X68" s="42">
        <f t="shared" ca="1" si="31"/>
        <v>6.0902041677681457E-2</v>
      </c>
      <c r="Y68" s="42">
        <f t="shared" ca="1" si="31"/>
        <v>0.8327869239676905</v>
      </c>
      <c r="Z68" s="42">
        <f t="shared" ca="1" si="31"/>
        <v>0.12208211321879377</v>
      </c>
      <c r="AA68" s="42">
        <f t="shared" ca="1" si="31"/>
        <v>3.0750282191962044</v>
      </c>
      <c r="AB68" s="42">
        <f t="shared" ca="1" si="25"/>
        <v>0</v>
      </c>
      <c r="AC68" s="51">
        <f t="shared" ca="1" si="26"/>
        <v>6.7825519613273828</v>
      </c>
    </row>
    <row r="69" spans="1:29" ht="12" customHeight="1" x14ac:dyDescent="0.25">
      <c r="A69" s="262"/>
      <c r="C69" s="263"/>
      <c r="D69" s="43">
        <f t="shared" si="27"/>
        <v>58</v>
      </c>
      <c r="E69" s="43">
        <f t="shared" si="22"/>
        <v>69.5</v>
      </c>
      <c r="G69" s="42">
        <f t="shared" ca="1" si="30"/>
        <v>1.6223360911039276E-3</v>
      </c>
      <c r="H69" s="42">
        <f t="shared" ca="1" si="30"/>
        <v>0</v>
      </c>
      <c r="I69" s="42">
        <f t="shared" ca="1" si="30"/>
        <v>1.840774035935842</v>
      </c>
      <c r="J69" s="42">
        <f t="shared" ca="1" si="30"/>
        <v>0.26984763785034416</v>
      </c>
      <c r="K69" s="42">
        <f t="shared" ca="1" si="30"/>
        <v>0.41410166429108486</v>
      </c>
      <c r="L69" s="42">
        <f t="shared" ca="1" si="30"/>
        <v>6.0705091313413201E-2</v>
      </c>
      <c r="M69" s="42">
        <f t="shared" ca="1" si="30"/>
        <v>0.83009378456685856</v>
      </c>
      <c r="N69" s="42">
        <f t="shared" ca="1" si="30"/>
        <v>0.12168731337289812</v>
      </c>
      <c r="O69" s="42">
        <f t="shared" ca="1" si="30"/>
        <v>3.2217860864564107</v>
      </c>
      <c r="P69" s="42">
        <f t="shared" ca="1" si="23"/>
        <v>0</v>
      </c>
      <c r="Q69" s="51">
        <f t="shared" ca="1" si="24"/>
        <v>6.7606179498779557</v>
      </c>
      <c r="S69" s="42">
        <f t="shared" ca="1" si="31"/>
        <v>0.15011191019194928</v>
      </c>
      <c r="T69" s="42">
        <f t="shared" ca="1" si="31"/>
        <v>0</v>
      </c>
      <c r="U69" s="42">
        <f t="shared" ca="1" si="31"/>
        <v>1.8411473290514788</v>
      </c>
      <c r="V69" s="42">
        <f t="shared" ca="1" si="31"/>
        <v>0.26990236062647738</v>
      </c>
      <c r="W69" s="42">
        <f t="shared" ca="1" si="31"/>
        <v>0.41418564054098622</v>
      </c>
      <c r="X69" s="42">
        <f t="shared" ca="1" si="31"/>
        <v>6.0717401782937989E-2</v>
      </c>
      <c r="Y69" s="42">
        <f t="shared" ca="1" si="31"/>
        <v>0.83026212043484804</v>
      </c>
      <c r="Z69" s="42">
        <f t="shared" ca="1" si="31"/>
        <v>0.12171199051167542</v>
      </c>
      <c r="AA69" s="42">
        <f t="shared" ca="1" si="31"/>
        <v>3.0739501918129744</v>
      </c>
      <c r="AB69" s="42">
        <f t="shared" ca="1" si="25"/>
        <v>0</v>
      </c>
      <c r="AC69" s="51">
        <f t="shared" ca="1" si="26"/>
        <v>6.7619889449533268</v>
      </c>
    </row>
    <row r="70" spans="1:29" ht="12" customHeight="1" x14ac:dyDescent="0.25">
      <c r="A70" s="262"/>
      <c r="C70" s="263"/>
      <c r="D70" s="43">
        <f t="shared" si="27"/>
        <v>59</v>
      </c>
      <c r="E70" s="43">
        <f t="shared" si="22"/>
        <v>69.75</v>
      </c>
      <c r="G70" s="42">
        <f t="shared" ca="1" si="30"/>
        <v>1.533208161706677E-3</v>
      </c>
      <c r="H70" s="42">
        <f t="shared" ca="1" si="30"/>
        <v>0</v>
      </c>
      <c r="I70" s="42">
        <f t="shared" ca="1" si="30"/>
        <v>1.8351932653265328</v>
      </c>
      <c r="J70" s="42">
        <f t="shared" ca="1" si="30"/>
        <v>0.26902952669878116</v>
      </c>
      <c r="K70" s="42">
        <f t="shared" ca="1" si="30"/>
        <v>0.41284621068720639</v>
      </c>
      <c r="L70" s="42">
        <f t="shared" ca="1" si="30"/>
        <v>6.0521048523356644E-2</v>
      </c>
      <c r="M70" s="42">
        <f t="shared" ca="1" si="30"/>
        <v>0.82757714596513809</v>
      </c>
      <c r="N70" s="42">
        <f t="shared" ca="1" si="30"/>
        <v>0.12131838760105454</v>
      </c>
      <c r="O70" s="42">
        <f t="shared" ca="1" si="30"/>
        <v>3.2121026390261136</v>
      </c>
      <c r="P70" s="42">
        <f t="shared" ca="1" si="23"/>
        <v>0</v>
      </c>
      <c r="Q70" s="51">
        <f t="shared" ca="1" si="24"/>
        <v>6.7401214319898894</v>
      </c>
      <c r="S70" s="42">
        <f t="shared" ca="1" si="31"/>
        <v>0.14186505936576163</v>
      </c>
      <c r="T70" s="42">
        <f t="shared" ca="1" si="31"/>
        <v>0</v>
      </c>
      <c r="U70" s="42">
        <f t="shared" ca="1" si="31"/>
        <v>1.8355654267099704</v>
      </c>
      <c r="V70" s="42">
        <f t="shared" ca="1" si="31"/>
        <v>0.26908408356902119</v>
      </c>
      <c r="W70" s="42">
        <f t="shared" ca="1" si="31"/>
        <v>0.41292993234193293</v>
      </c>
      <c r="X70" s="42">
        <f t="shared" ca="1" si="31"/>
        <v>6.0533321670589203E-2</v>
      </c>
      <c r="Y70" s="42">
        <f t="shared" ca="1" si="31"/>
        <v>0.82774497148050086</v>
      </c>
      <c r="Z70" s="42">
        <f t="shared" ca="1" si="31"/>
        <v>0.12134298992486374</v>
      </c>
      <c r="AA70" s="42">
        <f t="shared" ca="1" si="31"/>
        <v>3.0724224854853777</v>
      </c>
      <c r="AB70" s="42">
        <f t="shared" ca="1" si="25"/>
        <v>0</v>
      </c>
      <c r="AC70" s="51">
        <f t="shared" ca="1" si="26"/>
        <v>6.7414882705480181</v>
      </c>
    </row>
    <row r="71" spans="1:29" ht="12" customHeight="1" x14ac:dyDescent="0.25">
      <c r="A71" s="262"/>
      <c r="C71" s="263"/>
      <c r="D71" s="43">
        <f t="shared" si="27"/>
        <v>60</v>
      </c>
      <c r="E71" s="43">
        <f t="shared" si="22"/>
        <v>70</v>
      </c>
      <c r="G71" s="42">
        <f t="shared" ref="G71:O80" ca="1" si="32">PRODUCT(AVERAGE(OFFSET(AB.Trace.MarkovQB.Root, $D71, (G$2-1)*AB.Trace.MarkovQB.NumCols+G$3-1, CHOOSE(swtchHalfCycle, 2, 1))), G$6)</f>
        <v>1.4477151928165535E-3</v>
      </c>
      <c r="H71" s="42">
        <f t="shared" ca="1" si="32"/>
        <v>0</v>
      </c>
      <c r="I71" s="42">
        <f t="shared" ca="1" si="32"/>
        <v>1.829629414230421</v>
      </c>
      <c r="J71" s="42">
        <f t="shared" ca="1" si="32"/>
        <v>0.26821389585744676</v>
      </c>
      <c r="K71" s="42">
        <f t="shared" ca="1" si="32"/>
        <v>0.41159456330746896</v>
      </c>
      <c r="L71" s="42">
        <f t="shared" ca="1" si="32"/>
        <v>6.0337563705421343E-2</v>
      </c>
      <c r="M71" s="42">
        <f t="shared" ca="1" si="32"/>
        <v>0.82506813718786576</v>
      </c>
      <c r="N71" s="42">
        <f t="shared" ca="1" si="32"/>
        <v>0.12095058032070656</v>
      </c>
      <c r="O71" s="42">
        <f t="shared" ca="1" si="32"/>
        <v>3.1995312017674622</v>
      </c>
      <c r="P71" s="42">
        <f t="shared" ca="1" si="23"/>
        <v>0</v>
      </c>
      <c r="Q71" s="51">
        <f t="shared" ca="1" si="24"/>
        <v>6.7167730715696097</v>
      </c>
      <c r="S71" s="42">
        <f t="shared" ref="S71:AA80" ca="1" si="33">PRODUCT(AVERAGE(OFFSET(AB.Trace.MarkovQB.Root, $D71, (S$2-1)*AB.Trace.MarkovQB.NumCols+S$3-1, CHOOSE(swtchHalfCycle, 2, 1))), S$6)</f>
        <v>0.13395454505343768</v>
      </c>
      <c r="T71" s="42">
        <f t="shared" ca="1" si="33"/>
        <v>0</v>
      </c>
      <c r="U71" s="42">
        <f t="shared" ca="1" si="33"/>
        <v>1.8300004473127904</v>
      </c>
      <c r="V71" s="42">
        <f t="shared" ca="1" si="33"/>
        <v>0.26826828732477903</v>
      </c>
      <c r="W71" s="42">
        <f t="shared" ca="1" si="33"/>
        <v>0.41167803113889018</v>
      </c>
      <c r="X71" s="42">
        <f t="shared" ca="1" si="33"/>
        <v>6.0349799643513599E-2</v>
      </c>
      <c r="Y71" s="42">
        <f t="shared" ca="1" si="33"/>
        <v>0.82523545389786435</v>
      </c>
      <c r="Z71" s="42">
        <f t="shared" ca="1" si="33"/>
        <v>0.12097510805636809</v>
      </c>
      <c r="AA71" s="42">
        <f t="shared" ca="1" si="33"/>
        <v>3.0676735028537538</v>
      </c>
      <c r="AB71" s="42">
        <f t="shared" ca="1" si="25"/>
        <v>0</v>
      </c>
      <c r="AC71" s="51">
        <f t="shared" ca="1" si="26"/>
        <v>6.7181351752813967</v>
      </c>
    </row>
    <row r="72" spans="1:29" ht="12" customHeight="1" x14ac:dyDescent="0.25">
      <c r="A72" s="262"/>
      <c r="C72" s="263"/>
      <c r="D72" s="43">
        <f t="shared" si="27"/>
        <v>61</v>
      </c>
      <c r="E72" s="43">
        <f t="shared" si="22"/>
        <v>70.25</v>
      </c>
      <c r="G72" s="42">
        <f t="shared" ca="1" si="32"/>
        <v>1.3657289304313423E-3</v>
      </c>
      <c r="H72" s="42">
        <f t="shared" ca="1" si="32"/>
        <v>0</v>
      </c>
      <c r="I72" s="42">
        <f t="shared" ca="1" si="32"/>
        <v>1.8224234042967082</v>
      </c>
      <c r="J72" s="42">
        <f t="shared" ca="1" si="32"/>
        <v>0.26740073780665513</v>
      </c>
      <c r="K72" s="42">
        <f t="shared" ca="1" si="32"/>
        <v>0.40997349486115559</v>
      </c>
      <c r="L72" s="42">
        <f t="shared" ca="1" si="32"/>
        <v>6.0154635167974146E-2</v>
      </c>
      <c r="M72" s="42">
        <f t="shared" ca="1" si="32"/>
        <v>0.82181859979722072</v>
      </c>
      <c r="N72" s="42">
        <f t="shared" ca="1" si="32"/>
        <v>0.12058388814086522</v>
      </c>
      <c r="O72" s="42">
        <f t="shared" ca="1" si="32"/>
        <v>3.1842456707643683</v>
      </c>
      <c r="P72" s="42">
        <f t="shared" ca="1" si="23"/>
        <v>0</v>
      </c>
      <c r="Q72" s="51">
        <f t="shared" ca="1" si="24"/>
        <v>6.687966159765379</v>
      </c>
      <c r="S72" s="42">
        <f t="shared" ca="1" si="33"/>
        <v>0.12636850013732664</v>
      </c>
      <c r="T72" s="42">
        <f t="shared" ca="1" si="33"/>
        <v>0</v>
      </c>
      <c r="U72" s="42">
        <f t="shared" ca="1" si="33"/>
        <v>1.8227929760623451</v>
      </c>
      <c r="V72" s="42">
        <f t="shared" ca="1" si="33"/>
        <v>0.26745496437254029</v>
      </c>
      <c r="W72" s="42">
        <f t="shared" ca="1" si="33"/>
        <v>0.41005663395386194</v>
      </c>
      <c r="X72" s="42">
        <f t="shared" ca="1" si="33"/>
        <v>6.0166834009734979E-2</v>
      </c>
      <c r="Y72" s="42">
        <f t="shared" ca="1" si="33"/>
        <v>0.82198525752903207</v>
      </c>
      <c r="Z72" s="42">
        <f t="shared" ca="1" si="33"/>
        <v>0.12060834151451183</v>
      </c>
      <c r="AA72" s="42">
        <f t="shared" ca="1" si="33"/>
        <v>3.0598889141042807</v>
      </c>
      <c r="AB72" s="42">
        <f t="shared" ca="1" si="25"/>
        <v>0</v>
      </c>
      <c r="AC72" s="51">
        <f t="shared" ca="1" si="26"/>
        <v>6.6893224216836327</v>
      </c>
    </row>
    <row r="73" spans="1:29" ht="12" customHeight="1" x14ac:dyDescent="0.25">
      <c r="A73" s="262"/>
      <c r="C73" s="263"/>
      <c r="D73" s="43">
        <f t="shared" si="27"/>
        <v>62</v>
      </c>
      <c r="E73" s="43">
        <f t="shared" si="22"/>
        <v>70.5</v>
      </c>
      <c r="G73" s="42">
        <f t="shared" ca="1" si="32"/>
        <v>1.2883856719002383E-3</v>
      </c>
      <c r="H73" s="42">
        <f t="shared" ca="1" si="32"/>
        <v>0</v>
      </c>
      <c r="I73" s="42">
        <f t="shared" ca="1" si="32"/>
        <v>1.8136741673110619</v>
      </c>
      <c r="J73" s="42">
        <f t="shared" ca="1" si="32"/>
        <v>0.26634757788370567</v>
      </c>
      <c r="K73" s="42">
        <f t="shared" ca="1" si="32"/>
        <v>0.40800526110388652</v>
      </c>
      <c r="L73" s="42">
        <f t="shared" ca="1" si="32"/>
        <v>5.9917715661101434E-2</v>
      </c>
      <c r="M73" s="42">
        <f t="shared" ca="1" si="32"/>
        <v>0.81787314690636914</v>
      </c>
      <c r="N73" s="42">
        <f t="shared" ca="1" si="32"/>
        <v>0.12010896754272088</v>
      </c>
      <c r="O73" s="42">
        <f t="shared" ca="1" si="32"/>
        <v>3.1691944116263913</v>
      </c>
      <c r="P73" s="42">
        <f t="shared" ca="1" si="23"/>
        <v>0</v>
      </c>
      <c r="Q73" s="51">
        <f t="shared" ca="1" si="24"/>
        <v>6.6564096337071366</v>
      </c>
      <c r="S73" s="42">
        <f t="shared" ca="1" si="33"/>
        <v>0.11921206421616456</v>
      </c>
      <c r="T73" s="42">
        <f t="shared" ca="1" si="33"/>
        <v>0</v>
      </c>
      <c r="U73" s="42">
        <f t="shared" ca="1" si="33"/>
        <v>1.8140419648068158</v>
      </c>
      <c r="V73" s="42">
        <f t="shared" ca="1" si="33"/>
        <v>0.26640159087783183</v>
      </c>
      <c r="W73" s="42">
        <f t="shared" ca="1" si="33"/>
        <v>0.40808800105574389</v>
      </c>
      <c r="X73" s="42">
        <f t="shared" ca="1" si="33"/>
        <v>5.9929866457627406E-2</v>
      </c>
      <c r="Y73" s="42">
        <f t="shared" ca="1" si="33"/>
        <v>0.81803900453432588</v>
      </c>
      <c r="Z73" s="42">
        <f t="shared" ca="1" si="33"/>
        <v>0.12013332460656174</v>
      </c>
      <c r="AA73" s="42">
        <f t="shared" ca="1" si="33"/>
        <v>3.0519136796787065</v>
      </c>
      <c r="AB73" s="42">
        <f t="shared" ca="1" si="25"/>
        <v>0</v>
      </c>
      <c r="AC73" s="51">
        <f t="shared" ca="1" si="26"/>
        <v>6.6577594962337772</v>
      </c>
    </row>
    <row r="74" spans="1:29" ht="12" customHeight="1" x14ac:dyDescent="0.25">
      <c r="A74" s="262"/>
      <c r="C74" s="263"/>
      <c r="D74" s="43">
        <f t="shared" si="27"/>
        <v>63</v>
      </c>
      <c r="E74" s="43">
        <f t="shared" si="22"/>
        <v>70.75</v>
      </c>
      <c r="G74" s="42">
        <f t="shared" ca="1" si="32"/>
        <v>1.2154224770164054E-3</v>
      </c>
      <c r="H74" s="42">
        <f t="shared" ca="1" si="32"/>
        <v>0</v>
      </c>
      <c r="I74" s="42">
        <f t="shared" ca="1" si="32"/>
        <v>1.8050609524799319</v>
      </c>
      <c r="J74" s="42">
        <f t="shared" ca="1" si="32"/>
        <v>0.26506887499064408</v>
      </c>
      <c r="K74" s="42">
        <f t="shared" ca="1" si="32"/>
        <v>0.40606762697452736</v>
      </c>
      <c r="L74" s="42">
        <f t="shared" ca="1" si="32"/>
        <v>5.963005786833956E-2</v>
      </c>
      <c r="M74" s="42">
        <f t="shared" ca="1" si="32"/>
        <v>0.81398903296468983</v>
      </c>
      <c r="N74" s="42">
        <f t="shared" ca="1" si="32"/>
        <v>0.11953233874248985</v>
      </c>
      <c r="O74" s="42">
        <f t="shared" ca="1" si="32"/>
        <v>3.1542229697361526</v>
      </c>
      <c r="P74" s="42">
        <f t="shared" ca="1" si="23"/>
        <v>0</v>
      </c>
      <c r="Q74" s="51">
        <f t="shared" ca="1" si="24"/>
        <v>6.6247872762337927</v>
      </c>
      <c r="S74" s="42">
        <f t="shared" ca="1" si="33"/>
        <v>0.11246090789425424</v>
      </c>
      <c r="T74" s="42">
        <f t="shared" ca="1" si="33"/>
        <v>0</v>
      </c>
      <c r="U74" s="42">
        <f t="shared" ca="1" si="33"/>
        <v>1.8054270032899233</v>
      </c>
      <c r="V74" s="42">
        <f t="shared" ca="1" si="33"/>
        <v>0.26512262867483993</v>
      </c>
      <c r="W74" s="42">
        <f t="shared" ca="1" si="33"/>
        <v>0.40614997399087666</v>
      </c>
      <c r="X74" s="42">
        <f t="shared" ca="1" si="33"/>
        <v>5.9642150330343438E-2</v>
      </c>
      <c r="Y74" s="42">
        <f t="shared" ca="1" si="33"/>
        <v>0.81415410292780188</v>
      </c>
      <c r="Z74" s="42">
        <f t="shared" ca="1" si="33"/>
        <v>0.11955657887097787</v>
      </c>
      <c r="AA74" s="42">
        <f t="shared" ca="1" si="33"/>
        <v>3.0436173800397546</v>
      </c>
      <c r="AB74" s="42">
        <f t="shared" ca="1" si="25"/>
        <v>0</v>
      </c>
      <c r="AC74" s="51">
        <f t="shared" ca="1" si="26"/>
        <v>6.6261307260187721</v>
      </c>
    </row>
    <row r="75" spans="1:29" ht="12" customHeight="1" x14ac:dyDescent="0.25">
      <c r="A75" s="262"/>
      <c r="C75" s="263"/>
      <c r="D75" s="43">
        <f t="shared" si="27"/>
        <v>64</v>
      </c>
      <c r="E75" s="43">
        <f t="shared" ref="E75:E106" si="34">B.cohortAge+D75*AB.cycleLength</f>
        <v>71</v>
      </c>
      <c r="G75" s="42">
        <f t="shared" ca="1" si="32"/>
        <v>1.1465912962675983E-3</v>
      </c>
      <c r="H75" s="42">
        <f t="shared" ca="1" si="32"/>
        <v>0</v>
      </c>
      <c r="I75" s="42">
        <f t="shared" ca="1" si="32"/>
        <v>1.7964956739691682</v>
      </c>
      <c r="J75" s="42">
        <f t="shared" ca="1" si="32"/>
        <v>0.26381005176512212</v>
      </c>
      <c r="K75" s="42">
        <f t="shared" ca="1" si="32"/>
        <v>0.40414077662941117</v>
      </c>
      <c r="L75" s="42">
        <f t="shared" ca="1" si="32"/>
        <v>5.9346872217868406E-2</v>
      </c>
      <c r="M75" s="42">
        <f t="shared" ca="1" si="32"/>
        <v>0.81012653582160377</v>
      </c>
      <c r="N75" s="42">
        <f t="shared" ca="1" si="32"/>
        <v>0.11896467464305414</v>
      </c>
      <c r="O75" s="42">
        <f t="shared" ca="1" si="32"/>
        <v>3.1393168903921636</v>
      </c>
      <c r="P75" s="42">
        <f t="shared" ref="P75:P106" ca="1" si="35">AVERAGE(OFFSET(AB.Trace.MarkovQB.Root, $D75, (P$2-1)*AB.Trace.MarkovQB.NumCols+P$3-1))*INDEX(AB.rngC.ByState, P$3)</f>
        <v>0</v>
      </c>
      <c r="Q75" s="51">
        <f t="shared" ref="Q75:Q106" ca="1" si="36">SUM(G75:P75)</f>
        <v>6.5933480667346585</v>
      </c>
      <c r="S75" s="42">
        <f t="shared" ca="1" si="33"/>
        <v>0.10609207958572535</v>
      </c>
      <c r="T75" s="42">
        <f t="shared" ca="1" si="33"/>
        <v>0</v>
      </c>
      <c r="U75" s="42">
        <f t="shared" ca="1" si="33"/>
        <v>1.7968599878144704</v>
      </c>
      <c r="V75" s="42">
        <f t="shared" ca="1" si="33"/>
        <v>0.26386355017081303</v>
      </c>
      <c r="W75" s="42">
        <f t="shared" ca="1" si="33"/>
        <v>0.4042227328971108</v>
      </c>
      <c r="X75" s="42">
        <f t="shared" ca="1" si="33"/>
        <v>5.9358907252262103E-2</v>
      </c>
      <c r="Y75" s="42">
        <f t="shared" ca="1" si="33"/>
        <v>0.81029082250357187</v>
      </c>
      <c r="Z75" s="42">
        <f t="shared" ca="1" si="33"/>
        <v>0.11898879965415342</v>
      </c>
      <c r="AA75" s="42">
        <f t="shared" ca="1" si="33"/>
        <v>3.035008261040705</v>
      </c>
      <c r="AB75" s="42">
        <f t="shared" ref="AB75:AB106" ca="1" si="37">AVERAGE(OFFSET(AB.Trace.MarkovQB.Root, $D75, (AB$2-1)*AB.Trace.MarkovQB.NumCols+AB$3-1))*INDEX(AB.rngC.ByState, AB$3)</f>
        <v>0</v>
      </c>
      <c r="AC75" s="51">
        <f t="shared" ref="AC75:AC106" ca="1" si="38">SUM(S75:AB75)</f>
        <v>6.5946851409188119</v>
      </c>
    </row>
    <row r="76" spans="1:29" ht="12" customHeight="1" x14ac:dyDescent="0.25">
      <c r="A76" s="262"/>
      <c r="C76" s="263"/>
      <c r="D76" s="43">
        <f t="shared" ref="D76:D107" si="39">D75+1</f>
        <v>65</v>
      </c>
      <c r="E76" s="43">
        <f t="shared" si="34"/>
        <v>71.25</v>
      </c>
      <c r="G76" s="42">
        <f t="shared" ca="1" si="32"/>
        <v>1.0816581275540015E-3</v>
      </c>
      <c r="H76" s="42">
        <f t="shared" ca="1" si="32"/>
        <v>0</v>
      </c>
      <c r="I76" s="42">
        <f t="shared" ca="1" si="32"/>
        <v>1.7879699610152553</v>
      </c>
      <c r="J76" s="42">
        <f t="shared" ca="1" si="32"/>
        <v>0.26255823444327331</v>
      </c>
      <c r="K76" s="42">
        <f t="shared" ca="1" si="32"/>
        <v>0.40222282697640627</v>
      </c>
      <c r="L76" s="42">
        <f t="shared" ca="1" si="32"/>
        <v>5.9065262619815567E-2</v>
      </c>
      <c r="M76" s="42">
        <f t="shared" ca="1" si="32"/>
        <v>0.80628188069616002</v>
      </c>
      <c r="N76" s="42">
        <f t="shared" ca="1" si="32"/>
        <v>0.11840016984344598</v>
      </c>
      <c r="O76" s="42">
        <f t="shared" ca="1" si="32"/>
        <v>3.124477984730043</v>
      </c>
      <c r="P76" s="42">
        <f t="shared" ca="1" si="35"/>
        <v>0</v>
      </c>
      <c r="Q76" s="51">
        <f t="shared" ca="1" si="36"/>
        <v>6.5620579784519535</v>
      </c>
      <c r="S76" s="42">
        <f t="shared" ca="1" si="33"/>
        <v>0.10008392748711699</v>
      </c>
      <c r="T76" s="42">
        <f t="shared" ca="1" si="33"/>
        <v>0</v>
      </c>
      <c r="U76" s="42">
        <f t="shared" ca="1" si="33"/>
        <v>1.7883325459194217</v>
      </c>
      <c r="V76" s="42">
        <f t="shared" ca="1" si="33"/>
        <v>0.26261147899119613</v>
      </c>
      <c r="W76" s="42">
        <f t="shared" ca="1" si="33"/>
        <v>0.40230439430044013</v>
      </c>
      <c r="X76" s="42">
        <f t="shared" ca="1" si="33"/>
        <v>5.9077240546208935E-2</v>
      </c>
      <c r="Y76" s="42">
        <f t="shared" ca="1" si="33"/>
        <v>0.80644538771519148</v>
      </c>
      <c r="Z76" s="42">
        <f t="shared" ca="1" si="33"/>
        <v>0.11842418037783529</v>
      </c>
      <c r="AA76" s="42">
        <f t="shared" ca="1" si="33"/>
        <v>3.0261095519383661</v>
      </c>
      <c r="AB76" s="42">
        <f t="shared" ca="1" si="37"/>
        <v>0</v>
      </c>
      <c r="AC76" s="51">
        <f t="shared" ca="1" si="38"/>
        <v>6.5633887072757773</v>
      </c>
    </row>
    <row r="77" spans="1:29" ht="12" customHeight="1" x14ac:dyDescent="0.25">
      <c r="A77" s="262"/>
      <c r="C77" s="263"/>
      <c r="D77" s="43">
        <f t="shared" si="39"/>
        <v>66</v>
      </c>
      <c r="E77" s="43">
        <f t="shared" si="34"/>
        <v>71.5</v>
      </c>
      <c r="G77" s="42">
        <f t="shared" ca="1" si="32"/>
        <v>1.0204022206623923E-3</v>
      </c>
      <c r="H77" s="42">
        <f t="shared" ca="1" si="32"/>
        <v>0</v>
      </c>
      <c r="I77" s="42">
        <f t="shared" ca="1" si="32"/>
        <v>1.7794847115325843</v>
      </c>
      <c r="J77" s="42">
        <f t="shared" ca="1" si="32"/>
        <v>0.26131219963618479</v>
      </c>
      <c r="K77" s="42">
        <f t="shared" ca="1" si="32"/>
        <v>0.40031398001088903</v>
      </c>
      <c r="L77" s="42">
        <f t="shared" ca="1" si="32"/>
        <v>5.8784953859855438E-2</v>
      </c>
      <c r="M77" s="42">
        <f t="shared" ca="1" si="32"/>
        <v>0.80245547250125993</v>
      </c>
      <c r="N77" s="42">
        <f t="shared" ca="1" si="32"/>
        <v>0.11783827265860643</v>
      </c>
      <c r="O77" s="42">
        <f t="shared" ca="1" si="32"/>
        <v>3.1097061457471074</v>
      </c>
      <c r="P77" s="42">
        <f t="shared" ca="1" si="35"/>
        <v>0</v>
      </c>
      <c r="Q77" s="51">
        <f t="shared" ca="1" si="36"/>
        <v>6.5309161381671492</v>
      </c>
      <c r="S77" s="42">
        <f t="shared" ca="1" si="33"/>
        <v>9.4416025968768427E-2</v>
      </c>
      <c r="T77" s="42">
        <f t="shared" ca="1" si="33"/>
        <v>0</v>
      </c>
      <c r="U77" s="42">
        <f t="shared" ca="1" si="33"/>
        <v>1.7798455757012586</v>
      </c>
      <c r="V77" s="42">
        <f t="shared" ca="1" si="33"/>
        <v>0.26136519149898368</v>
      </c>
      <c r="W77" s="42">
        <f t="shared" ca="1" si="33"/>
        <v>0.40039516023720356</v>
      </c>
      <c r="X77" s="42">
        <f t="shared" ca="1" si="33"/>
        <v>5.8796874942047224E-2</v>
      </c>
      <c r="Y77" s="42">
        <f t="shared" ca="1" si="33"/>
        <v>0.80261820355767521</v>
      </c>
      <c r="Z77" s="42">
        <f t="shared" ca="1" si="33"/>
        <v>0.11786216924508754</v>
      </c>
      <c r="AA77" s="42">
        <f t="shared" ca="1" si="33"/>
        <v>3.0169413505430351</v>
      </c>
      <c r="AB77" s="42">
        <f t="shared" ca="1" si="37"/>
        <v>0</v>
      </c>
      <c r="AC77" s="51">
        <f t="shared" ca="1" si="38"/>
        <v>6.5322405516940591</v>
      </c>
    </row>
    <row r="78" spans="1:29" ht="12" customHeight="1" x14ac:dyDescent="0.25">
      <c r="A78" s="262"/>
      <c r="C78" s="263"/>
      <c r="D78" s="43">
        <f t="shared" si="39"/>
        <v>67</v>
      </c>
      <c r="E78" s="43">
        <f t="shared" si="34"/>
        <v>71.75</v>
      </c>
      <c r="G78" s="42">
        <f t="shared" ca="1" si="32"/>
        <v>9.6261532679211453E-4</v>
      </c>
      <c r="H78" s="42">
        <f t="shared" ca="1" si="32"/>
        <v>0</v>
      </c>
      <c r="I78" s="42">
        <f t="shared" ca="1" si="32"/>
        <v>1.7710397389205665</v>
      </c>
      <c r="J78" s="42">
        <f t="shared" ca="1" si="32"/>
        <v>0.26007207857424058</v>
      </c>
      <c r="K78" s="42">
        <f t="shared" ca="1" si="32"/>
        <v>0.39841419375507559</v>
      </c>
      <c r="L78" s="42">
        <f t="shared" ca="1" si="32"/>
        <v>5.8505975459656273E-2</v>
      </c>
      <c r="M78" s="42">
        <f t="shared" ca="1" si="32"/>
        <v>0.79864722708969893</v>
      </c>
      <c r="N78" s="42">
        <f t="shared" ca="1" si="32"/>
        <v>0.11727904226664415</v>
      </c>
      <c r="O78" s="42">
        <f t="shared" ca="1" si="32"/>
        <v>3.0950012310024846</v>
      </c>
      <c r="P78" s="42">
        <f t="shared" ca="1" si="35"/>
        <v>0</v>
      </c>
      <c r="Q78" s="51">
        <f t="shared" ca="1" si="36"/>
        <v>6.4999221023951588</v>
      </c>
      <c r="S78" s="42">
        <f t="shared" ca="1" si="33"/>
        <v>8.9069106134775061E-2</v>
      </c>
      <c r="T78" s="42">
        <f t="shared" ca="1" si="33"/>
        <v>0</v>
      </c>
      <c r="U78" s="42">
        <f t="shared" ca="1" si="33"/>
        <v>1.7713988905215519</v>
      </c>
      <c r="V78" s="42">
        <f t="shared" ca="1" si="33"/>
        <v>0.26012481895117212</v>
      </c>
      <c r="W78" s="42">
        <f t="shared" ca="1" si="33"/>
        <v>0.39849498872110478</v>
      </c>
      <c r="X78" s="42">
        <f t="shared" ca="1" si="33"/>
        <v>5.8517839967432005E-2</v>
      </c>
      <c r="Y78" s="42">
        <f t="shared" ca="1" si="33"/>
        <v>0.7988091858667542</v>
      </c>
      <c r="Z78" s="42">
        <f t="shared" ca="1" si="33"/>
        <v>0.11730282544601975</v>
      </c>
      <c r="AA78" s="42">
        <f t="shared" ca="1" si="33"/>
        <v>3.0075225749898293</v>
      </c>
      <c r="AB78" s="42">
        <f t="shared" ca="1" si="37"/>
        <v>0</v>
      </c>
      <c r="AC78" s="51">
        <f t="shared" ca="1" si="38"/>
        <v>6.5012402305986399</v>
      </c>
    </row>
    <row r="79" spans="1:29" ht="12" customHeight="1" x14ac:dyDescent="0.25">
      <c r="A79" s="262"/>
      <c r="C79" s="263"/>
      <c r="D79" s="43">
        <f t="shared" si="39"/>
        <v>68</v>
      </c>
      <c r="E79" s="43">
        <f t="shared" si="34"/>
        <v>72</v>
      </c>
      <c r="G79" s="42">
        <f t="shared" ca="1" si="32"/>
        <v>9.0810099058150832E-4</v>
      </c>
      <c r="H79" s="42">
        <f t="shared" ca="1" si="32"/>
        <v>0</v>
      </c>
      <c r="I79" s="42">
        <f t="shared" ca="1" si="32"/>
        <v>1.7626348435199475</v>
      </c>
      <c r="J79" s="42">
        <f t="shared" ca="1" si="32"/>
        <v>0.25883784398572401</v>
      </c>
      <c r="K79" s="42">
        <f t="shared" ca="1" si="32"/>
        <v>0.39652342329349666</v>
      </c>
      <c r="L79" s="42">
        <f t="shared" ca="1" si="32"/>
        <v>5.8228321284155865E-2</v>
      </c>
      <c r="M79" s="42">
        <f t="shared" ca="1" si="32"/>
        <v>0.79485705442549059</v>
      </c>
      <c r="N79" s="42">
        <f t="shared" ca="1" si="32"/>
        <v>0.11672246636942699</v>
      </c>
      <c r="O79" s="42">
        <f t="shared" ca="1" si="32"/>
        <v>3.0803631035871719</v>
      </c>
      <c r="P79" s="42">
        <f t="shared" ca="1" si="35"/>
        <v>0</v>
      </c>
      <c r="Q79" s="51">
        <f t="shared" ca="1" si="36"/>
        <v>6.469075157455995</v>
      </c>
      <c r="S79" s="42">
        <f t="shared" ca="1" si="33"/>
        <v>8.4024990315437101E-2</v>
      </c>
      <c r="T79" s="42">
        <f t="shared" ca="1" si="33"/>
        <v>0</v>
      </c>
      <c r="U79" s="42">
        <f t="shared" ca="1" si="33"/>
        <v>1.7629922906805562</v>
      </c>
      <c r="V79" s="42">
        <f t="shared" ca="1" si="33"/>
        <v>0.25889033407051437</v>
      </c>
      <c r="W79" s="42">
        <f t="shared" ca="1" si="33"/>
        <v>0.39660383482756578</v>
      </c>
      <c r="X79" s="42">
        <f t="shared" ca="1" si="33"/>
        <v>5.8240129486056877E-2</v>
      </c>
      <c r="Y79" s="42">
        <f t="shared" ca="1" si="33"/>
        <v>0.79501824458818304</v>
      </c>
      <c r="Z79" s="42">
        <f t="shared" ca="1" si="33"/>
        <v>0.11674613668000573</v>
      </c>
      <c r="AA79" s="42">
        <f t="shared" ca="1" si="33"/>
        <v>2.9978710695164779</v>
      </c>
      <c r="AB79" s="42">
        <f t="shared" ca="1" si="37"/>
        <v>0</v>
      </c>
      <c r="AC79" s="51">
        <f t="shared" ca="1" si="38"/>
        <v>6.4703870301647974</v>
      </c>
    </row>
    <row r="80" spans="1:29" ht="12" customHeight="1" x14ac:dyDescent="0.25">
      <c r="A80" s="262"/>
      <c r="C80" s="263"/>
      <c r="D80" s="43">
        <f t="shared" si="39"/>
        <v>69</v>
      </c>
      <c r="E80" s="43">
        <f t="shared" si="34"/>
        <v>72.25</v>
      </c>
      <c r="G80" s="42">
        <f t="shared" ca="1" si="32"/>
        <v>8.5667388222793889E-4</v>
      </c>
      <c r="H80" s="42">
        <f t="shared" ca="1" si="32"/>
        <v>0</v>
      </c>
      <c r="I80" s="42">
        <f t="shared" ca="1" si="32"/>
        <v>1.7542698355353428</v>
      </c>
      <c r="J80" s="42">
        <f t="shared" ca="1" si="32"/>
        <v>0.25760946669039142</v>
      </c>
      <c r="K80" s="42">
        <f t="shared" ca="1" si="32"/>
        <v>0.39464162592966545</v>
      </c>
      <c r="L80" s="42">
        <f t="shared" ca="1" si="32"/>
        <v>5.7951984768948556E-2</v>
      </c>
      <c r="M80" s="42">
        <f t="shared" ca="1" si="32"/>
        <v>0.79108486892074326</v>
      </c>
      <c r="N80" s="42">
        <f t="shared" ca="1" si="32"/>
        <v>0.11616853180817584</v>
      </c>
      <c r="O80" s="42">
        <f t="shared" ca="1" si="32"/>
        <v>3.0657916164218344</v>
      </c>
      <c r="P80" s="42">
        <f t="shared" ca="1" si="35"/>
        <v>0</v>
      </c>
      <c r="Q80" s="51">
        <f t="shared" ca="1" si="36"/>
        <v>6.43837460395733</v>
      </c>
      <c r="S80" s="42">
        <f t="shared" ca="1" si="33"/>
        <v>7.9266530269498231E-2</v>
      </c>
      <c r="T80" s="42">
        <f t="shared" ca="1" si="33"/>
        <v>0</v>
      </c>
      <c r="U80" s="42">
        <f t="shared" ca="1" si="33"/>
        <v>1.7546255863443991</v>
      </c>
      <c r="V80" s="42">
        <f t="shared" ca="1" si="33"/>
        <v>0.25766170767084917</v>
      </c>
      <c r="W80" s="42">
        <f t="shared" ca="1" si="33"/>
        <v>0.39472165585144142</v>
      </c>
      <c r="X80" s="42">
        <f t="shared" ca="1" si="33"/>
        <v>5.7963736932185012E-2</v>
      </c>
      <c r="Y80" s="42">
        <f t="shared" ca="1" si="33"/>
        <v>0.79124529411671385</v>
      </c>
      <c r="Z80" s="42">
        <f t="shared" ca="1" si="33"/>
        <v>0.11619208978559788</v>
      </c>
      <c r="AA80" s="42">
        <f t="shared" ca="1" si="33"/>
        <v>2.9880036498876925</v>
      </c>
      <c r="AB80" s="42">
        <f t="shared" ca="1" si="37"/>
        <v>0</v>
      </c>
      <c r="AC80" s="51">
        <f t="shared" ca="1" si="38"/>
        <v>6.4396802508583768</v>
      </c>
    </row>
    <row r="81" spans="1:29" ht="12" customHeight="1" x14ac:dyDescent="0.25">
      <c r="A81" s="262"/>
      <c r="C81" s="263"/>
      <c r="D81" s="43">
        <f t="shared" si="39"/>
        <v>70</v>
      </c>
      <c r="E81" s="43">
        <f t="shared" si="34"/>
        <v>72.5</v>
      </c>
      <c r="G81" s="42">
        <f t="shared" ref="G81:O90" ca="1" si="40">PRODUCT(AVERAGE(OFFSET(AB.Trace.MarkovQB.Root, $D81, (G$2-1)*AB.Trace.MarkovQB.NumCols+G$3-1, CHOOSE(swtchHalfCycle, 2, 1))), G$6)</f>
        <v>8.0815916743085707E-4</v>
      </c>
      <c r="H81" s="42">
        <f t="shared" ca="1" si="40"/>
        <v>0</v>
      </c>
      <c r="I81" s="42">
        <f t="shared" ca="1" si="40"/>
        <v>1.7459445257152126</v>
      </c>
      <c r="J81" s="42">
        <f t="shared" ca="1" si="40"/>
        <v>0.25638691894960602</v>
      </c>
      <c r="K81" s="42">
        <f t="shared" ca="1" si="40"/>
        <v>0.39276875908943859</v>
      </c>
      <c r="L81" s="42">
        <f t="shared" ca="1" si="40"/>
        <v>5.7676959673933485E-2</v>
      </c>
      <c r="M81" s="42">
        <f t="shared" ca="1" si="40"/>
        <v>0.78733058523281085</v>
      </c>
      <c r="N81" s="42">
        <f t="shared" ca="1" si="40"/>
        <v>0.11561722607420169</v>
      </c>
      <c r="O81" s="42">
        <f t="shared" ca="1" si="40"/>
        <v>3.0512866134229131</v>
      </c>
      <c r="P81" s="42">
        <f t="shared" ca="1" si="35"/>
        <v>0</v>
      </c>
      <c r="Q81" s="51">
        <f t="shared" ca="1" si="36"/>
        <v>6.4078197473255472</v>
      </c>
      <c r="S81" s="42">
        <f t="shared" ref="S81:AA90" ca="1" si="41">PRODUCT(AVERAGE(OFFSET(AB.Trace.MarkovQB.Root, $D81, (S$2-1)*AB.Trace.MarkovQB.NumCols+S$3-1, CHOOSE(swtchHalfCycle, 2, 1))), S$6)</f>
        <v>7.4777548886083359E-2</v>
      </c>
      <c r="T81" s="42">
        <f t="shared" ca="1" si="41"/>
        <v>0</v>
      </c>
      <c r="U81" s="42">
        <f t="shared" ca="1" si="41"/>
        <v>1.746298588223163</v>
      </c>
      <c r="V81" s="42">
        <f t="shared" ca="1" si="41"/>
        <v>0.25643891200791458</v>
      </c>
      <c r="W81" s="42">
        <f t="shared" ca="1" si="41"/>
        <v>0.39284840920995473</v>
      </c>
      <c r="X81" s="42">
        <f t="shared" ca="1" si="41"/>
        <v>5.7688656064450089E-2</v>
      </c>
      <c r="Y81" s="42">
        <f t="shared" ca="1" si="41"/>
        <v>0.78749024909239385</v>
      </c>
      <c r="Z81" s="42">
        <f t="shared" ca="1" si="41"/>
        <v>0.11564067225157053</v>
      </c>
      <c r="AA81" s="42">
        <f t="shared" ca="1" si="41"/>
        <v>2.9779361622293794</v>
      </c>
      <c r="AB81" s="42">
        <f t="shared" ca="1" si="37"/>
        <v>0</v>
      </c>
      <c r="AC81" s="51">
        <f t="shared" ca="1" si="38"/>
        <v>6.4091191979649089</v>
      </c>
    </row>
    <row r="82" spans="1:29" ht="12" customHeight="1" x14ac:dyDescent="0.25">
      <c r="A82" s="262"/>
      <c r="C82" s="263"/>
      <c r="D82" s="43">
        <f t="shared" si="39"/>
        <v>71</v>
      </c>
      <c r="E82" s="43">
        <f t="shared" si="34"/>
        <v>72.75</v>
      </c>
      <c r="G82" s="42">
        <f t="shared" ca="1" si="40"/>
        <v>7.6239191301592335E-4</v>
      </c>
      <c r="H82" s="42">
        <f t="shared" ca="1" si="40"/>
        <v>0</v>
      </c>
      <c r="I82" s="42">
        <f t="shared" ca="1" si="40"/>
        <v>1.7376587256570499</v>
      </c>
      <c r="J82" s="42">
        <f t="shared" ca="1" si="40"/>
        <v>0.25517017310421414</v>
      </c>
      <c r="K82" s="42">
        <f t="shared" ca="1" si="40"/>
        <v>0.39090478038967175</v>
      </c>
      <c r="L82" s="42">
        <f t="shared" ca="1" si="40"/>
        <v>5.7403239776890325E-2</v>
      </c>
      <c r="M82" s="42">
        <f t="shared" ca="1" si="40"/>
        <v>0.78359411840191706</v>
      </c>
      <c r="N82" s="42">
        <f t="shared" ca="1" si="40"/>
        <v>0.1150685366946582</v>
      </c>
      <c r="O82" s="42">
        <f t="shared" ca="1" si="40"/>
        <v>3.036847930185401</v>
      </c>
      <c r="P82" s="42">
        <f t="shared" ca="1" si="35"/>
        <v>0</v>
      </c>
      <c r="Q82" s="51">
        <f t="shared" ca="1" si="36"/>
        <v>6.3774098961228187</v>
      </c>
      <c r="S82" s="42">
        <f t="shared" ca="1" si="41"/>
        <v>7.0542785188142221E-2</v>
      </c>
      <c r="T82" s="42">
        <f t="shared" ca="1" si="41"/>
        <v>0</v>
      </c>
      <c r="U82" s="42">
        <f t="shared" ca="1" si="41"/>
        <v>1.7380111078761333</v>
      </c>
      <c r="V82" s="42">
        <f t="shared" ca="1" si="41"/>
        <v>0.25522191941694783</v>
      </c>
      <c r="W82" s="42">
        <f t="shared" ca="1" si="41"/>
        <v>0.39098405251136636</v>
      </c>
      <c r="X82" s="42">
        <f t="shared" ca="1" si="41"/>
        <v>5.7414880659370005E-2</v>
      </c>
      <c r="Y82" s="42">
        <f t="shared" ca="1" si="41"/>
        <v>0.78375302453821771</v>
      </c>
      <c r="Z82" s="42">
        <f t="shared" ca="1" si="41"/>
        <v>0.11509187160254801</v>
      </c>
      <c r="AA82" s="42">
        <f t="shared" ca="1" si="41"/>
        <v>2.9676835381136217</v>
      </c>
      <c r="AB82" s="42">
        <f t="shared" ca="1" si="37"/>
        <v>0</v>
      </c>
      <c r="AC82" s="51">
        <f t="shared" ca="1" si="38"/>
        <v>6.3787031799063474</v>
      </c>
    </row>
    <row r="83" spans="1:29" ht="12" customHeight="1" x14ac:dyDescent="0.25">
      <c r="A83" s="262"/>
      <c r="C83" s="263"/>
      <c r="D83" s="43">
        <f t="shared" si="39"/>
        <v>72</v>
      </c>
      <c r="E83" s="43">
        <f t="shared" si="34"/>
        <v>73</v>
      </c>
      <c r="G83" s="42">
        <f t="shared" ca="1" si="40"/>
        <v>7.1921652621951843E-4</v>
      </c>
      <c r="H83" s="42">
        <f t="shared" ca="1" si="40"/>
        <v>0</v>
      </c>
      <c r="I83" s="42">
        <f t="shared" ca="1" si="40"/>
        <v>1.7294122478577114</v>
      </c>
      <c r="J83" s="42">
        <f t="shared" ca="1" si="40"/>
        <v>0.25395920161914809</v>
      </c>
      <c r="K83" s="42">
        <f t="shared" ca="1" si="40"/>
        <v>0.38904964764954181</v>
      </c>
      <c r="L83" s="42">
        <f t="shared" ca="1" si="40"/>
        <v>5.7130818883513297E-2</v>
      </c>
      <c r="M83" s="42">
        <f t="shared" ca="1" si="40"/>
        <v>0.77987538387385236</v>
      </c>
      <c r="N83" s="42">
        <f t="shared" ca="1" si="40"/>
        <v>0.11452245125265556</v>
      </c>
      <c r="O83" s="42">
        <f t="shared" ca="1" si="40"/>
        <v>3.0224753945270098</v>
      </c>
      <c r="P83" s="42">
        <f t="shared" ca="1" si="35"/>
        <v>0</v>
      </c>
      <c r="Q83" s="51">
        <f t="shared" ca="1" si="36"/>
        <v>6.3471443621896526</v>
      </c>
      <c r="S83" s="42">
        <f t="shared" ca="1" si="41"/>
        <v>6.6547842450429676E-2</v>
      </c>
      <c r="T83" s="42">
        <f t="shared" ca="1" si="41"/>
        <v>0</v>
      </c>
      <c r="U83" s="42">
        <f t="shared" ca="1" si="41"/>
        <v>1.7297629577621427</v>
      </c>
      <c r="V83" s="42">
        <f t="shared" ca="1" si="41"/>
        <v>0.25401070235729756</v>
      </c>
      <c r="W83" s="42">
        <f t="shared" ca="1" si="41"/>
        <v>0.38912854356629928</v>
      </c>
      <c r="X83" s="42">
        <f t="shared" ca="1" si="41"/>
        <v>5.7142404521382785E-2</v>
      </c>
      <c r="Y83" s="42">
        <f t="shared" ca="1" si="41"/>
        <v>0.78003353588282864</v>
      </c>
      <c r="Z83" s="42">
        <f t="shared" ca="1" si="41"/>
        <v>0.1145456754191224</v>
      </c>
      <c r="AA83" s="42">
        <f t="shared" ca="1" si="41"/>
        <v>2.9572598464241429</v>
      </c>
      <c r="AB83" s="42">
        <f t="shared" ca="1" si="37"/>
        <v>0</v>
      </c>
      <c r="AC83" s="51">
        <f t="shared" ca="1" si="38"/>
        <v>6.348431508383646</v>
      </c>
    </row>
    <row r="84" spans="1:29" ht="12" customHeight="1" x14ac:dyDescent="0.25">
      <c r="A84" s="262"/>
      <c r="C84" s="263"/>
      <c r="D84" s="43">
        <f t="shared" si="39"/>
        <v>73</v>
      </c>
      <c r="E84" s="43">
        <f t="shared" si="34"/>
        <v>73.25</v>
      </c>
      <c r="G84" s="42">
        <f t="shared" ca="1" si="40"/>
        <v>6.7848622572740677E-4</v>
      </c>
      <c r="H84" s="42">
        <f t="shared" ca="1" si="40"/>
        <v>0</v>
      </c>
      <c r="I84" s="42">
        <f t="shared" ca="1" si="40"/>
        <v>1.7212049057039938</v>
      </c>
      <c r="J84" s="42">
        <f t="shared" ca="1" si="40"/>
        <v>0.25275397709078262</v>
      </c>
      <c r="K84" s="42">
        <f t="shared" ca="1" si="40"/>
        <v>0.38720331888842757</v>
      </c>
      <c r="L84" s="42">
        <f t="shared" ca="1" si="40"/>
        <v>5.6859690829065904E-2</v>
      </c>
      <c r="M84" s="42">
        <f t="shared" ca="1" si="40"/>
        <v>0.77617429749572409</v>
      </c>
      <c r="N84" s="42">
        <f t="shared" ca="1" si="40"/>
        <v>0.11397895739057756</v>
      </c>
      <c r="O84" s="42">
        <f t="shared" ca="1" si="40"/>
        <v>3.0081688270094582</v>
      </c>
      <c r="P84" s="42">
        <f t="shared" ca="1" si="35"/>
        <v>0</v>
      </c>
      <c r="Q84" s="51">
        <f t="shared" ca="1" si="36"/>
        <v>6.3170224606337566</v>
      </c>
      <c r="S84" s="42">
        <f t="shared" ca="1" si="41"/>
        <v>6.2779139255641853E-2</v>
      </c>
      <c r="T84" s="42">
        <f t="shared" ca="1" si="41"/>
        <v>0</v>
      </c>
      <c r="U84" s="42">
        <f t="shared" ca="1" si="41"/>
        <v>1.7215539512301457</v>
      </c>
      <c r="V84" s="42">
        <f t="shared" ca="1" si="41"/>
        <v>0.25280523341978112</v>
      </c>
      <c r="W84" s="42">
        <f t="shared" ca="1" si="41"/>
        <v>0.38728184038561897</v>
      </c>
      <c r="X84" s="42">
        <f t="shared" ca="1" si="41"/>
        <v>5.6871221484501799E-2</v>
      </c>
      <c r="Y84" s="42">
        <f t="shared" ca="1" si="41"/>
        <v>0.77633169895626897</v>
      </c>
      <c r="Z84" s="42">
        <f t="shared" ca="1" si="41"/>
        <v>0.11400207134117156</v>
      </c>
      <c r="AA84" s="42">
        <f t="shared" ca="1" si="41"/>
        <v>2.9466783422924951</v>
      </c>
      <c r="AB84" s="42">
        <f t="shared" ca="1" si="37"/>
        <v>0</v>
      </c>
      <c r="AC84" s="51">
        <f t="shared" ca="1" si="38"/>
        <v>6.3183034983656254</v>
      </c>
    </row>
    <row r="85" spans="1:29" ht="12" customHeight="1" x14ac:dyDescent="0.25">
      <c r="A85" s="262"/>
      <c r="C85" s="263"/>
      <c r="D85" s="43">
        <f t="shared" si="39"/>
        <v>74</v>
      </c>
      <c r="E85" s="43">
        <f t="shared" si="34"/>
        <v>73.5</v>
      </c>
      <c r="G85" s="42">
        <f t="shared" ca="1" si="40"/>
        <v>6.4006254266926581E-4</v>
      </c>
      <c r="H85" s="42">
        <f t="shared" ca="1" si="40"/>
        <v>0</v>
      </c>
      <c r="I85" s="42">
        <f t="shared" ca="1" si="40"/>
        <v>1.7130365134682686</v>
      </c>
      <c r="J85" s="42">
        <f t="shared" ca="1" si="40"/>
        <v>0.25155447224555755</v>
      </c>
      <c r="K85" s="42">
        <f t="shared" ca="1" si="40"/>
        <v>0.3853657523249267</v>
      </c>
      <c r="L85" s="42">
        <f t="shared" ca="1" si="40"/>
        <v>5.6589849478071191E-2</v>
      </c>
      <c r="M85" s="42">
        <f t="shared" ca="1" si="40"/>
        <v>0.77249077551398748</v>
      </c>
      <c r="N85" s="42">
        <f t="shared" ca="1" si="40"/>
        <v>0.11343804280946063</v>
      </c>
      <c r="O85" s="42">
        <f t="shared" ca="1" si="40"/>
        <v>2.9939280414301761</v>
      </c>
      <c r="P85" s="42">
        <f t="shared" ca="1" si="35"/>
        <v>0</v>
      </c>
      <c r="Q85" s="51">
        <f t="shared" ca="1" si="36"/>
        <v>6.2870435098131177</v>
      </c>
      <c r="S85" s="42">
        <f t="shared" ca="1" si="41"/>
        <v>5.9223863322316071E-2</v>
      </c>
      <c r="T85" s="42">
        <f t="shared" ca="1" si="41"/>
        <v>0</v>
      </c>
      <c r="U85" s="42">
        <f t="shared" ca="1" si="41"/>
        <v>1.7133839025148481</v>
      </c>
      <c r="V85" s="42">
        <f t="shared" ca="1" si="41"/>
        <v>0.25160548532530758</v>
      </c>
      <c r="W85" s="42">
        <f t="shared" ca="1" si="41"/>
        <v>0.38544390117945021</v>
      </c>
      <c r="X85" s="42">
        <f t="shared" ca="1" si="41"/>
        <v>5.6601325412005875E-2</v>
      </c>
      <c r="Y85" s="42">
        <f t="shared" ca="1" si="41"/>
        <v>0.77264742998800906</v>
      </c>
      <c r="Z85" s="42">
        <f t="shared" ca="1" si="41"/>
        <v>0.11346104706723771</v>
      </c>
      <c r="AA85" s="42">
        <f t="shared" ca="1" si="41"/>
        <v>2.9359515132628622</v>
      </c>
      <c r="AB85" s="42">
        <f t="shared" ca="1" si="37"/>
        <v>0</v>
      </c>
      <c r="AC85" s="51">
        <f t="shared" ca="1" si="38"/>
        <v>6.2883184680720365</v>
      </c>
    </row>
    <row r="86" spans="1:29" ht="12" customHeight="1" x14ac:dyDescent="0.25">
      <c r="A86" s="262"/>
      <c r="C86" s="263"/>
      <c r="D86" s="43">
        <f t="shared" si="39"/>
        <v>75</v>
      </c>
      <c r="E86" s="43">
        <f t="shared" si="34"/>
        <v>73.75</v>
      </c>
      <c r="G86" s="42">
        <f t="shared" ca="1" si="40"/>
        <v>6.0381484987263618E-4</v>
      </c>
      <c r="H86" s="42">
        <f t="shared" ca="1" si="40"/>
        <v>0</v>
      </c>
      <c r="I86" s="42">
        <f t="shared" ca="1" si="40"/>
        <v>1.7049068863043226</v>
      </c>
      <c r="J86" s="42">
        <f t="shared" ca="1" si="40"/>
        <v>0.25036065993933937</v>
      </c>
      <c r="K86" s="42">
        <f t="shared" ca="1" si="40"/>
        <v>0.38353690637592108</v>
      </c>
      <c r="L86" s="42">
        <f t="shared" ca="1" si="40"/>
        <v>5.6321288724168111E-2</v>
      </c>
      <c r="M86" s="42">
        <f t="shared" ca="1" si="40"/>
        <v>0.76882473457257094</v>
      </c>
      <c r="N86" s="42">
        <f t="shared" ca="1" si="40"/>
        <v>0.11289969526870591</v>
      </c>
      <c r="O86" s="42">
        <f t="shared" ca="1" si="40"/>
        <v>2.9797528452857049</v>
      </c>
      <c r="P86" s="42">
        <f t="shared" ca="1" si="35"/>
        <v>0</v>
      </c>
      <c r="Q86" s="51">
        <f t="shared" ca="1" si="36"/>
        <v>6.2572068313206053</v>
      </c>
      <c r="S86" s="42">
        <f t="shared" ca="1" si="41"/>
        <v>5.5869927947525433E-2</v>
      </c>
      <c r="T86" s="42">
        <f t="shared" ca="1" si="41"/>
        <v>0</v>
      </c>
      <c r="U86" s="42">
        <f t="shared" ca="1" si="41"/>
        <v>1.7052526267325525</v>
      </c>
      <c r="V86" s="42">
        <f t="shared" ca="1" si="41"/>
        <v>0.25041143092423868</v>
      </c>
      <c r="W86" s="42">
        <f t="shared" ca="1" si="41"/>
        <v>0.38361468435624219</v>
      </c>
      <c r="X86" s="42">
        <f t="shared" ca="1" si="41"/>
        <v>5.6332710196295648E-2</v>
      </c>
      <c r="Y86" s="42">
        <f t="shared" ca="1" si="41"/>
        <v>0.76898064560507362</v>
      </c>
      <c r="Z86" s="42">
        <f t="shared" ca="1" si="41"/>
        <v>0.11292259035423978</v>
      </c>
      <c r="AA86" s="42">
        <f t="shared" ca="1" si="41"/>
        <v>2.9250911228420109</v>
      </c>
      <c r="AB86" s="42">
        <f t="shared" ca="1" si="37"/>
        <v>0</v>
      </c>
      <c r="AC86" s="51">
        <f t="shared" ca="1" si="38"/>
        <v>6.2584757389581789</v>
      </c>
    </row>
    <row r="87" spans="1:29" ht="12" customHeight="1" x14ac:dyDescent="0.25">
      <c r="A87" s="262"/>
      <c r="C87" s="263"/>
      <c r="D87" s="43">
        <f t="shared" si="39"/>
        <v>76</v>
      </c>
      <c r="E87" s="43">
        <f t="shared" si="34"/>
        <v>74</v>
      </c>
      <c r="G87" s="42">
        <f t="shared" ca="1" si="40"/>
        <v>5.6961991777592107E-4</v>
      </c>
      <c r="H87" s="42">
        <f t="shared" ca="1" si="40"/>
        <v>0</v>
      </c>
      <c r="I87" s="42">
        <f t="shared" ca="1" si="40"/>
        <v>1.6968158402431759</v>
      </c>
      <c r="J87" s="42">
        <f t="shared" ca="1" si="40"/>
        <v>0.24917251315681369</v>
      </c>
      <c r="K87" s="42">
        <f t="shared" ca="1" si="40"/>
        <v>0.38171673965563518</v>
      </c>
      <c r="L87" s="42">
        <f t="shared" ca="1" si="40"/>
        <v>5.6054002489974879E-2</v>
      </c>
      <c r="M87" s="42">
        <f t="shared" ca="1" si="40"/>
        <v>0.76517609171098921</v>
      </c>
      <c r="N87" s="42">
        <f t="shared" ca="1" si="40"/>
        <v>0.11236390258580542</v>
      </c>
      <c r="O87" s="42">
        <f t="shared" ca="1" si="40"/>
        <v>2.9656430402084673</v>
      </c>
      <c r="P87" s="42">
        <f t="shared" ca="1" si="35"/>
        <v>0</v>
      </c>
      <c r="Q87" s="51">
        <f t="shared" ca="1" si="36"/>
        <v>6.2275117499686381</v>
      </c>
      <c r="S87" s="42">
        <f t="shared" ca="1" si="41"/>
        <v>5.2705930916288161E-2</v>
      </c>
      <c r="T87" s="42">
        <f t="shared" ca="1" si="41"/>
        <v>0</v>
      </c>
      <c r="U87" s="42">
        <f t="shared" ca="1" si="41"/>
        <v>1.6971599398769712</v>
      </c>
      <c r="V87" s="42">
        <f t="shared" ca="1" si="41"/>
        <v>0.24922304319578181</v>
      </c>
      <c r="W87" s="42">
        <f t="shared" ca="1" si="41"/>
        <v>0.38179414852182675</v>
      </c>
      <c r="X87" s="42">
        <f t="shared" ca="1" si="41"/>
        <v>5.6065369758756867E-2</v>
      </c>
      <c r="Y87" s="42">
        <f t="shared" ca="1" si="41"/>
        <v>0.76533126283015385</v>
      </c>
      <c r="Z87" s="42">
        <f t="shared" ca="1" si="41"/>
        <v>0.1123866890171992</v>
      </c>
      <c r="AA87" s="42">
        <f t="shared" ca="1" si="41"/>
        <v>2.9141082515825669</v>
      </c>
      <c r="AB87" s="42">
        <f t="shared" ca="1" si="37"/>
        <v>0</v>
      </c>
      <c r="AC87" s="51">
        <f t="shared" ca="1" si="38"/>
        <v>6.2287746356995441</v>
      </c>
    </row>
    <row r="88" spans="1:29" ht="12" customHeight="1" x14ac:dyDescent="0.25">
      <c r="A88" s="262"/>
      <c r="C88" s="263"/>
      <c r="D88" s="43">
        <f t="shared" si="39"/>
        <v>77</v>
      </c>
      <c r="E88" s="43">
        <f t="shared" si="34"/>
        <v>74.25</v>
      </c>
      <c r="G88" s="42">
        <f t="shared" ca="1" si="40"/>
        <v>5.3736149549069132E-4</v>
      </c>
      <c r="H88" s="42">
        <f t="shared" ca="1" si="40"/>
        <v>0</v>
      </c>
      <c r="I88" s="42">
        <f t="shared" ca="1" si="40"/>
        <v>1.688763192188917</v>
      </c>
      <c r="J88" s="42">
        <f t="shared" ca="1" si="40"/>
        <v>0.24799000501087404</v>
      </c>
      <c r="K88" s="42">
        <f t="shared" ca="1" si="40"/>
        <v>0.37990521097469976</v>
      </c>
      <c r="L88" s="42">
        <f t="shared" ca="1" si="40"/>
        <v>5.578798472695138E-2</v>
      </c>
      <c r="M88" s="42">
        <f t="shared" ca="1" si="40"/>
        <v>0.76154476436246632</v>
      </c>
      <c r="N88" s="42">
        <f t="shared" ca="1" si="40"/>
        <v>0.11183065263606609</v>
      </c>
      <c r="O88" s="42">
        <f t="shared" ca="1" si="40"/>
        <v>2.9515984223784297</v>
      </c>
      <c r="P88" s="42">
        <f t="shared" ca="1" si="35"/>
        <v>0</v>
      </c>
      <c r="Q88" s="51">
        <f t="shared" ca="1" si="36"/>
        <v>6.1979575937738947</v>
      </c>
      <c r="S88" s="42">
        <f t="shared" ca="1" si="41"/>
        <v>4.9721115737998346E-2</v>
      </c>
      <c r="T88" s="42">
        <f t="shared" ca="1" si="41"/>
        <v>0</v>
      </c>
      <c r="U88" s="42">
        <f t="shared" ca="1" si="41"/>
        <v>1.689105658815063</v>
      </c>
      <c r="V88" s="42">
        <f t="shared" ca="1" si="41"/>
        <v>0.24804029524737781</v>
      </c>
      <c r="W88" s="42">
        <f t="shared" ca="1" si="41"/>
        <v>0.37998225247848177</v>
      </c>
      <c r="X88" s="42">
        <f t="shared" ca="1" si="41"/>
        <v>5.5799298049622852E-2</v>
      </c>
      <c r="Y88" s="42">
        <f t="shared" ca="1" si="41"/>
        <v>0.76169919907972983</v>
      </c>
      <c r="Z88" s="42">
        <f t="shared" ca="1" si="41"/>
        <v>0.11185333092896421</v>
      </c>
      <c r="AA88" s="42">
        <f t="shared" ca="1" si="41"/>
        <v>2.9030133358393075</v>
      </c>
      <c r="AB88" s="42">
        <f t="shared" ca="1" si="37"/>
        <v>0</v>
      </c>
      <c r="AC88" s="51">
        <f t="shared" ca="1" si="38"/>
        <v>6.1992144861765457</v>
      </c>
    </row>
    <row r="89" spans="1:29" ht="12" customHeight="1" x14ac:dyDescent="0.25">
      <c r="A89" s="262"/>
      <c r="C89" s="263"/>
      <c r="D89" s="43">
        <f t="shared" si="39"/>
        <v>78</v>
      </c>
      <c r="E89" s="43">
        <f t="shared" si="34"/>
        <v>74.5</v>
      </c>
      <c r="G89" s="42">
        <f t="shared" ca="1" si="40"/>
        <v>5.0692991558905535E-4</v>
      </c>
      <c r="H89" s="42">
        <f t="shared" ca="1" si="40"/>
        <v>0</v>
      </c>
      <c r="I89" s="42">
        <f t="shared" ca="1" si="40"/>
        <v>1.6807487599145603</v>
      </c>
      <c r="J89" s="42">
        <f t="shared" ca="1" si="40"/>
        <v>0.24681310874201301</v>
      </c>
      <c r="K89" s="42">
        <f t="shared" ca="1" si="40"/>
        <v>0.37810227933921964</v>
      </c>
      <c r="L89" s="42">
        <f t="shared" ca="1" si="40"/>
        <v>5.5523229415262325E-2</v>
      </c>
      <c r="M89" s="42">
        <f t="shared" ca="1" si="40"/>
        <v>0.75793067035206652</v>
      </c>
      <c r="N89" s="42">
        <f t="shared" ca="1" si="40"/>
        <v>0.11129993335233565</v>
      </c>
      <c r="O89" s="42">
        <f t="shared" ca="1" si="40"/>
        <v>2.9376187829110729</v>
      </c>
      <c r="P89" s="42">
        <f t="shared" ca="1" si="35"/>
        <v>0</v>
      </c>
      <c r="Q89" s="51">
        <f t="shared" ca="1" si="36"/>
        <v>6.1685436939421194</v>
      </c>
      <c r="S89" s="42">
        <f t="shared" ca="1" si="41"/>
        <v>4.6905335078095071E-2</v>
      </c>
      <c r="T89" s="42">
        <f t="shared" ca="1" si="41"/>
        <v>0</v>
      </c>
      <c r="U89" s="42">
        <f t="shared" ca="1" si="41"/>
        <v>1.681089601282888</v>
      </c>
      <c r="V89" s="42">
        <f t="shared" ca="1" si="41"/>
        <v>0.24686316031409278</v>
      </c>
      <c r="W89" s="42">
        <f t="shared" ca="1" si="41"/>
        <v>0.3781789552239988</v>
      </c>
      <c r="X89" s="42">
        <f t="shared" ca="1" si="41"/>
        <v>5.5534489047837539E-2</v>
      </c>
      <c r="Y89" s="42">
        <f t="shared" ca="1" si="41"/>
        <v>0.75808437216220115</v>
      </c>
      <c r="Z89" s="42">
        <f t="shared" ca="1" si="41"/>
        <v>0.11132250401993535</v>
      </c>
      <c r="AA89" s="42">
        <f t="shared" ca="1" si="41"/>
        <v>2.8918162043302451</v>
      </c>
      <c r="AB89" s="42">
        <f t="shared" ca="1" si="37"/>
        <v>0</v>
      </c>
      <c r="AC89" s="51">
        <f t="shared" ca="1" si="38"/>
        <v>6.1697946214592942</v>
      </c>
    </row>
    <row r="90" spans="1:29" ht="12" customHeight="1" x14ac:dyDescent="0.25">
      <c r="A90" s="262"/>
      <c r="C90" s="263"/>
      <c r="D90" s="43">
        <f t="shared" si="39"/>
        <v>79</v>
      </c>
      <c r="E90" s="43">
        <f t="shared" si="34"/>
        <v>74.75</v>
      </c>
      <c r="G90" s="42">
        <f t="shared" ca="1" si="40"/>
        <v>4.782217212725067E-4</v>
      </c>
      <c r="H90" s="42">
        <f t="shared" ca="1" si="40"/>
        <v>0</v>
      </c>
      <c r="I90" s="42">
        <f t="shared" ca="1" si="40"/>
        <v>1.6727723620579233</v>
      </c>
      <c r="J90" s="42">
        <f t="shared" ca="1" si="40"/>
        <v>0.24564179771771699</v>
      </c>
      <c r="K90" s="42">
        <f t="shared" ca="1" si="40"/>
        <v>0.37630790394984598</v>
      </c>
      <c r="L90" s="42">
        <f t="shared" ca="1" si="40"/>
        <v>5.5259730563640981E-2</v>
      </c>
      <c r="M90" s="42">
        <f t="shared" ca="1" si="40"/>
        <v>0.75433372789483488</v>
      </c>
      <c r="N90" s="42">
        <f t="shared" ca="1" si="40"/>
        <v>0.11077173272472932</v>
      </c>
      <c r="O90" s="42">
        <f t="shared" ca="1" si="40"/>
        <v>2.9237039082230121</v>
      </c>
      <c r="P90" s="42">
        <f t="shared" ca="1" si="35"/>
        <v>0</v>
      </c>
      <c r="Q90" s="51">
        <f t="shared" ca="1" si="36"/>
        <v>6.1392693848529767</v>
      </c>
      <c r="S90" s="42">
        <f t="shared" ca="1" si="41"/>
        <v>4.4249016260650545E-2</v>
      </c>
      <c r="T90" s="42">
        <f t="shared" ca="1" si="41"/>
        <v>0</v>
      </c>
      <c r="U90" s="42">
        <f t="shared" ca="1" si="41"/>
        <v>1.6731115858814849</v>
      </c>
      <c r="V90" s="42">
        <f t="shared" ca="1" si="41"/>
        <v>0.24569161175801224</v>
      </c>
      <c r="W90" s="42">
        <f t="shared" ca="1" si="41"/>
        <v>0.37638421595075522</v>
      </c>
      <c r="X90" s="42">
        <f t="shared" ca="1" si="41"/>
        <v>5.5270936760919216E-2</v>
      </c>
      <c r="Y90" s="42">
        <f t="shared" ca="1" si="41"/>
        <v>0.75448670027602815</v>
      </c>
      <c r="Z90" s="42">
        <f t="shared" ca="1" si="41"/>
        <v>0.11079419627779236</v>
      </c>
      <c r="AA90" s="42">
        <f t="shared" ca="1" si="41"/>
        <v>2.880526112626832</v>
      </c>
      <c r="AB90" s="42">
        <f t="shared" ca="1" si="37"/>
        <v>0</v>
      </c>
      <c r="AC90" s="51">
        <f t="shared" ca="1" si="38"/>
        <v>6.1405143757924749</v>
      </c>
    </row>
    <row r="91" spans="1:29" ht="12" customHeight="1" x14ac:dyDescent="0.25">
      <c r="A91" s="262"/>
      <c r="C91" s="263"/>
      <c r="D91" s="43">
        <f t="shared" si="39"/>
        <v>80</v>
      </c>
      <c r="E91" s="43">
        <f t="shared" si="34"/>
        <v>75</v>
      </c>
      <c r="G91" s="42">
        <f t="shared" ref="G91:O100" ca="1" si="42">PRODUCT(AVERAGE(OFFSET(AB.Trace.MarkovQB.Root, $D91, (G$2-1)*AB.Trace.MarkovQB.NumCols+G$3-1, CHOOSE(swtchHalfCycle, 2, 1))), G$6)</f>
        <v>4.5030325855615927E-4</v>
      </c>
      <c r="H91" s="42">
        <f t="shared" ca="1" si="42"/>
        <v>0</v>
      </c>
      <c r="I91" s="42">
        <f t="shared" ca="1" si="42"/>
        <v>1.6648338181175191</v>
      </c>
      <c r="J91" s="42">
        <f t="shared" ca="1" si="42"/>
        <v>0.24447604543186333</v>
      </c>
      <c r="K91" s="42">
        <f t="shared" ca="1" si="42"/>
        <v>0.374522044200853</v>
      </c>
      <c r="L91" s="42">
        <f t="shared" ca="1" si="42"/>
        <v>5.4997482209253629E-2</v>
      </c>
      <c r="M91" s="42">
        <f t="shared" ca="1" si="42"/>
        <v>0.75075385559394725</v>
      </c>
      <c r="N91" s="42">
        <f t="shared" ca="1" si="42"/>
        <v>0.11024603880035812</v>
      </c>
      <c r="O91" s="42">
        <f t="shared" ca="1" si="42"/>
        <v>2.9042198689903076</v>
      </c>
      <c r="P91" s="42">
        <f t="shared" ca="1" si="35"/>
        <v>0</v>
      </c>
      <c r="Q91" s="51">
        <f t="shared" ca="1" si="36"/>
        <v>6.1044994566026585</v>
      </c>
      <c r="S91" s="42">
        <f t="shared" ref="S91:AA100" ca="1" si="43">PRODUCT(AVERAGE(OFFSET(AB.Trace.MarkovQB.Root, $D91, (S$2-1)*AB.Trace.MarkovQB.NumCols+S$3-1, CHOOSE(swtchHalfCycle, 2, 1))), S$6)</f>
        <v>4.1665769921649401E-2</v>
      </c>
      <c r="T91" s="42">
        <f t="shared" ca="1" si="43"/>
        <v>0</v>
      </c>
      <c r="U91" s="42">
        <f t="shared" ca="1" si="43"/>
        <v>1.6651714320727629</v>
      </c>
      <c r="V91" s="42">
        <f t="shared" ca="1" si="43"/>
        <v>0.24452562306763831</v>
      </c>
      <c r="W91" s="42">
        <f t="shared" ca="1" si="43"/>
        <v>0.37459799404479094</v>
      </c>
      <c r="X91" s="42">
        <f t="shared" ca="1" si="43"/>
        <v>5.5008635224824937E-2</v>
      </c>
      <c r="Y91" s="42">
        <f t="shared" ca="1" si="43"/>
        <v>0.75090610200787944</v>
      </c>
      <c r="Z91" s="42">
        <f t="shared" ca="1" si="43"/>
        <v>0.1102683957472223</v>
      </c>
      <c r="AA91" s="42">
        <f t="shared" ca="1" si="43"/>
        <v>2.8635934444134934</v>
      </c>
      <c r="AB91" s="42">
        <f t="shared" ca="1" si="37"/>
        <v>0</v>
      </c>
      <c r="AC91" s="51">
        <f t="shared" ca="1" si="38"/>
        <v>6.1057373965002615</v>
      </c>
    </row>
    <row r="92" spans="1:29" ht="12" customHeight="1" x14ac:dyDescent="0.25">
      <c r="A92" s="262"/>
      <c r="C92" s="263"/>
      <c r="D92" s="43">
        <f t="shared" si="39"/>
        <v>81</v>
      </c>
      <c r="E92" s="43">
        <f t="shared" si="34"/>
        <v>75.25</v>
      </c>
      <c r="G92" s="42">
        <f t="shared" ca="1" si="42"/>
        <v>4.2318016189686727E-4</v>
      </c>
      <c r="H92" s="42">
        <f t="shared" ca="1" si="42"/>
        <v>0</v>
      </c>
      <c r="I92" s="42">
        <f t="shared" ca="1" si="42"/>
        <v>1.6537250138141311</v>
      </c>
      <c r="J92" s="42">
        <f t="shared" ca="1" si="42"/>
        <v>0.24331582550412048</v>
      </c>
      <c r="K92" s="42">
        <f t="shared" ca="1" si="42"/>
        <v>0.37202300072212519</v>
      </c>
      <c r="L92" s="42">
        <f t="shared" ca="1" si="42"/>
        <v>5.4736478417564592E-2</v>
      </c>
      <c r="M92" s="42">
        <f t="shared" ca="1" si="42"/>
        <v>0.74574436000883382</v>
      </c>
      <c r="N92" s="42">
        <f t="shared" ca="1" si="42"/>
        <v>0.10972283968305836</v>
      </c>
      <c r="O92" s="42">
        <f t="shared" ca="1" si="42"/>
        <v>2.8795324710936132</v>
      </c>
      <c r="P92" s="42">
        <f t="shared" ca="1" si="35"/>
        <v>0</v>
      </c>
      <c r="Q92" s="51">
        <f t="shared" ca="1" si="36"/>
        <v>6.0592231694053442</v>
      </c>
      <c r="S92" s="42">
        <f t="shared" ca="1" si="43"/>
        <v>3.9156117407492037E-2</v>
      </c>
      <c r="T92" s="42">
        <f t="shared" ca="1" si="43"/>
        <v>0</v>
      </c>
      <c r="U92" s="42">
        <f t="shared" ca="1" si="43"/>
        <v>1.6540603749995679</v>
      </c>
      <c r="V92" s="42">
        <f t="shared" ca="1" si="43"/>
        <v>0.24336516785728984</v>
      </c>
      <c r="W92" s="42">
        <f t="shared" ca="1" si="43"/>
        <v>0.37209844378157564</v>
      </c>
      <c r="X92" s="42">
        <f t="shared" ca="1" si="43"/>
        <v>5.4747578503815585E-2</v>
      </c>
      <c r="Y92" s="42">
        <f t="shared" ca="1" si="43"/>
        <v>0.74589559054021981</v>
      </c>
      <c r="Z92" s="42">
        <f t="shared" ca="1" si="43"/>
        <v>0.10974509052964909</v>
      </c>
      <c r="AA92" s="42">
        <f t="shared" ca="1" si="43"/>
        <v>2.841383564042363</v>
      </c>
      <c r="AB92" s="42">
        <f t="shared" ca="1" si="37"/>
        <v>0</v>
      </c>
      <c r="AC92" s="51">
        <f t="shared" ca="1" si="38"/>
        <v>6.0604519276619726</v>
      </c>
    </row>
    <row r="93" spans="1:29" ht="12" customHeight="1" x14ac:dyDescent="0.25">
      <c r="A93" s="262"/>
      <c r="C93" s="263"/>
      <c r="D93" s="43">
        <f t="shared" si="39"/>
        <v>82</v>
      </c>
      <c r="E93" s="43">
        <f t="shared" si="34"/>
        <v>75.5</v>
      </c>
      <c r="G93" s="42">
        <f t="shared" ca="1" si="42"/>
        <v>3.9769076954330942E-4</v>
      </c>
      <c r="H93" s="42">
        <f t="shared" ca="1" si="42"/>
        <v>0</v>
      </c>
      <c r="I93" s="42">
        <f t="shared" ca="1" si="42"/>
        <v>1.6396542177693259</v>
      </c>
      <c r="J93" s="42">
        <f t="shared" ca="1" si="42"/>
        <v>0.24169227133311086</v>
      </c>
      <c r="K93" s="42">
        <f t="shared" ca="1" si="42"/>
        <v>0.36885762575143133</v>
      </c>
      <c r="L93" s="42">
        <f t="shared" ca="1" si="42"/>
        <v>5.4371242668278273E-2</v>
      </c>
      <c r="M93" s="42">
        <f t="shared" ca="1" si="42"/>
        <v>0.73939915950476276</v>
      </c>
      <c r="N93" s="42">
        <f t="shared" ca="1" si="42"/>
        <v>0.10899070081106611</v>
      </c>
      <c r="O93" s="42">
        <f t="shared" ca="1" si="42"/>
        <v>2.855372103608544</v>
      </c>
      <c r="P93" s="42">
        <f t="shared" ca="1" si="35"/>
        <v>0</v>
      </c>
      <c r="Q93" s="51">
        <f t="shared" ca="1" si="36"/>
        <v>6.0087350122160625</v>
      </c>
      <c r="S93" s="42">
        <f t="shared" ca="1" si="43"/>
        <v>3.6797628684467315E-2</v>
      </c>
      <c r="T93" s="42">
        <f t="shared" ca="1" si="43"/>
        <v>0</v>
      </c>
      <c r="U93" s="42">
        <f t="shared" ca="1" si="43"/>
        <v>1.6399867255185487</v>
      </c>
      <c r="V93" s="42">
        <f t="shared" ca="1" si="43"/>
        <v>0.24174128444348175</v>
      </c>
      <c r="W93" s="42">
        <f t="shared" ca="1" si="43"/>
        <v>0.36893242690010852</v>
      </c>
      <c r="X93" s="42">
        <f t="shared" ca="1" si="43"/>
        <v>5.4382268687865935E-2</v>
      </c>
      <c r="Y93" s="42">
        <f t="shared" ca="1" si="43"/>
        <v>0.73954910328415258</v>
      </c>
      <c r="Z93" s="42">
        <f t="shared" ca="1" si="43"/>
        <v>0.10901280318620121</v>
      </c>
      <c r="AA93" s="42">
        <f t="shared" ca="1" si="43"/>
        <v>2.8195512912045588</v>
      </c>
      <c r="AB93" s="42">
        <f t="shared" ca="1" si="37"/>
        <v>0</v>
      </c>
      <c r="AC93" s="51">
        <f t="shared" ca="1" si="38"/>
        <v>6.0099535319093853</v>
      </c>
    </row>
    <row r="94" spans="1:29" ht="12" customHeight="1" x14ac:dyDescent="0.25">
      <c r="A94" s="262"/>
      <c r="C94" s="263"/>
      <c r="D94" s="43">
        <f t="shared" si="39"/>
        <v>83</v>
      </c>
      <c r="E94" s="43">
        <f t="shared" si="34"/>
        <v>75.75</v>
      </c>
      <c r="G94" s="42">
        <f t="shared" ca="1" si="42"/>
        <v>3.7373667865483291E-4</v>
      </c>
      <c r="H94" s="42">
        <f t="shared" ca="1" si="42"/>
        <v>0</v>
      </c>
      <c r="I94" s="42">
        <f t="shared" ca="1" si="42"/>
        <v>1.6258844077300136</v>
      </c>
      <c r="J94" s="42">
        <f t="shared" ca="1" si="42"/>
        <v>0.23963582142328554</v>
      </c>
      <c r="K94" s="42">
        <f t="shared" ca="1" si="42"/>
        <v>0.36575996077847217</v>
      </c>
      <c r="L94" s="42">
        <f t="shared" ca="1" si="42"/>
        <v>5.3908622426159868E-2</v>
      </c>
      <c r="M94" s="42">
        <f t="shared" ca="1" si="42"/>
        <v>0.73318968810569007</v>
      </c>
      <c r="N94" s="42">
        <f t="shared" ca="1" si="42"/>
        <v>0.10806334837394245</v>
      </c>
      <c r="O94" s="42">
        <f t="shared" ca="1" si="42"/>
        <v>2.8314371553659021</v>
      </c>
      <c r="P94" s="42">
        <f t="shared" ca="1" si="35"/>
        <v>0</v>
      </c>
      <c r="Q94" s="51">
        <f t="shared" ca="1" si="36"/>
        <v>5.9582527408821209</v>
      </c>
      <c r="S94" s="42">
        <f t="shared" ca="1" si="43"/>
        <v>3.4581198710494407E-2</v>
      </c>
      <c r="T94" s="42">
        <f t="shared" ca="1" si="43"/>
        <v>0</v>
      </c>
      <c r="U94" s="42">
        <f t="shared" ca="1" si="43"/>
        <v>1.6262141230803924</v>
      </c>
      <c r="V94" s="42">
        <f t="shared" ca="1" si="43"/>
        <v>0.23968441750333166</v>
      </c>
      <c r="W94" s="42">
        <f t="shared" ca="1" si="43"/>
        <v>0.36583413374738022</v>
      </c>
      <c r="X94" s="42">
        <f t="shared" ca="1" si="43"/>
        <v>5.3919554630348046E-2</v>
      </c>
      <c r="Y94" s="42">
        <f t="shared" ca="1" si="43"/>
        <v>0.73333837265777668</v>
      </c>
      <c r="Z94" s="42">
        <f t="shared" ca="1" si="43"/>
        <v>0.10808526268999273</v>
      </c>
      <c r="AA94" s="42">
        <f t="shared" ca="1" si="43"/>
        <v>2.7978039601860223</v>
      </c>
      <c r="AB94" s="42">
        <f t="shared" ca="1" si="37"/>
        <v>0</v>
      </c>
      <c r="AC94" s="51">
        <f t="shared" ca="1" si="38"/>
        <v>5.9594610232057388</v>
      </c>
    </row>
    <row r="95" spans="1:29" ht="12" customHeight="1" x14ac:dyDescent="0.25">
      <c r="A95" s="262"/>
      <c r="C95" s="263"/>
      <c r="D95" s="43">
        <f t="shared" si="39"/>
        <v>84</v>
      </c>
      <c r="E95" s="43">
        <f t="shared" si="34"/>
        <v>76</v>
      </c>
      <c r="G95" s="42">
        <f t="shared" ca="1" si="42"/>
        <v>3.5122541348482178E-4</v>
      </c>
      <c r="H95" s="42">
        <f t="shared" ca="1" si="42"/>
        <v>0</v>
      </c>
      <c r="I95" s="42">
        <f t="shared" ca="1" si="42"/>
        <v>1.6122438104356873</v>
      </c>
      <c r="J95" s="42">
        <f t="shared" ca="1" si="42"/>
        <v>0.23762336068378745</v>
      </c>
      <c r="K95" s="42">
        <f t="shared" ca="1" si="42"/>
        <v>0.36269136358444815</v>
      </c>
      <c r="L95" s="42">
        <f t="shared" ca="1" si="42"/>
        <v>5.3455898014973288E-2</v>
      </c>
      <c r="M95" s="42">
        <f t="shared" ca="1" si="42"/>
        <v>0.72703848496464663</v>
      </c>
      <c r="N95" s="42">
        <f t="shared" ca="1" si="42"/>
        <v>0.1071558327751075</v>
      </c>
      <c r="O95" s="42">
        <f t="shared" ca="1" si="42"/>
        <v>2.807698121847618</v>
      </c>
      <c r="P95" s="42">
        <f t="shared" ca="1" si="35"/>
        <v>0</v>
      </c>
      <c r="Q95" s="51">
        <f t="shared" ca="1" si="36"/>
        <v>5.9082580977197523</v>
      </c>
      <c r="S95" s="42">
        <f t="shared" ca="1" si="43"/>
        <v>3.2498270867097626E-2</v>
      </c>
      <c r="T95" s="42">
        <f t="shared" ca="1" si="43"/>
        <v>0</v>
      </c>
      <c r="U95" s="42">
        <f t="shared" ca="1" si="43"/>
        <v>1.6125707595904528</v>
      </c>
      <c r="V95" s="42">
        <f t="shared" ca="1" si="43"/>
        <v>0.23767154865413367</v>
      </c>
      <c r="W95" s="42">
        <f t="shared" ca="1" si="43"/>
        <v>0.36276491426828211</v>
      </c>
      <c r="X95" s="42">
        <f t="shared" ca="1" si="43"/>
        <v>5.3466738410551232E-2</v>
      </c>
      <c r="Y95" s="42">
        <f t="shared" ca="1" si="43"/>
        <v>0.72718592210573063</v>
      </c>
      <c r="Z95" s="42">
        <f t="shared" ca="1" si="43"/>
        <v>0.10717756305481287</v>
      </c>
      <c r="AA95" s="42">
        <f t="shared" ca="1" si="43"/>
        <v>2.7761205246093956</v>
      </c>
      <c r="AB95" s="42">
        <f t="shared" ca="1" si="37"/>
        <v>0</v>
      </c>
      <c r="AC95" s="51">
        <f t="shared" ca="1" si="38"/>
        <v>5.9094562415604575</v>
      </c>
    </row>
    <row r="96" spans="1:29" ht="12" customHeight="1" x14ac:dyDescent="0.25">
      <c r="A96" s="262"/>
      <c r="C96" s="263"/>
      <c r="D96" s="43">
        <f t="shared" si="39"/>
        <v>85</v>
      </c>
      <c r="E96" s="43">
        <f t="shared" si="34"/>
        <v>76.25</v>
      </c>
      <c r="G96" s="42">
        <f t="shared" ca="1" si="42"/>
        <v>3.3007006837429875E-4</v>
      </c>
      <c r="H96" s="42">
        <f t="shared" ca="1" si="42"/>
        <v>0</v>
      </c>
      <c r="I96" s="42">
        <f t="shared" ca="1" si="42"/>
        <v>1.598715575336678</v>
      </c>
      <c r="J96" s="42">
        <f t="shared" ca="1" si="42"/>
        <v>0.23562978441514154</v>
      </c>
      <c r="K96" s="42">
        <f t="shared" ca="1" si="42"/>
        <v>0.35964804345929602</v>
      </c>
      <c r="L96" s="42">
        <f t="shared" ca="1" si="42"/>
        <v>5.3007421866015765E-2</v>
      </c>
      <c r="M96" s="42">
        <f t="shared" ca="1" si="42"/>
        <v>0.72093795135616501</v>
      </c>
      <c r="N96" s="42">
        <f t="shared" ca="1" si="42"/>
        <v>0.10625683309488784</v>
      </c>
      <c r="O96" s="42">
        <f t="shared" ca="1" si="42"/>
        <v>2.7841571225104835</v>
      </c>
      <c r="P96" s="42">
        <f t="shared" ca="1" si="35"/>
        <v>0</v>
      </c>
      <c r="Q96" s="51">
        <f t="shared" ca="1" si="36"/>
        <v>5.8586828021070421</v>
      </c>
      <c r="S96" s="42">
        <f t="shared" ca="1" si="43"/>
        <v>3.0540803926231128E-2</v>
      </c>
      <c r="T96" s="42">
        <f t="shared" ca="1" si="43"/>
        <v>0</v>
      </c>
      <c r="U96" s="42">
        <f t="shared" ca="1" si="43"/>
        <v>1.5990397810819152</v>
      </c>
      <c r="V96" s="42">
        <f t="shared" ca="1" si="43"/>
        <v>0.23567756810539572</v>
      </c>
      <c r="W96" s="42">
        <f t="shared" ca="1" si="43"/>
        <v>0.35972097698402783</v>
      </c>
      <c r="X96" s="42">
        <f t="shared" ca="1" si="43"/>
        <v>5.3018171314494468E-2</v>
      </c>
      <c r="Y96" s="42">
        <f t="shared" ca="1" si="43"/>
        <v>0.72108415136159132</v>
      </c>
      <c r="Z96" s="42">
        <f t="shared" ca="1" si="43"/>
        <v>0.10627838106520322</v>
      </c>
      <c r="AA96" s="42">
        <f t="shared" ca="1" si="43"/>
        <v>2.7545110586660431</v>
      </c>
      <c r="AB96" s="42">
        <f t="shared" ca="1" si="37"/>
        <v>0</v>
      </c>
      <c r="AC96" s="51">
        <f t="shared" ca="1" si="38"/>
        <v>5.859870892504901</v>
      </c>
    </row>
    <row r="97" spans="1:29" ht="12" customHeight="1" x14ac:dyDescent="0.25">
      <c r="A97" s="262"/>
      <c r="C97" s="263"/>
      <c r="D97" s="43">
        <f t="shared" si="39"/>
        <v>86</v>
      </c>
      <c r="E97" s="43">
        <f t="shared" si="34"/>
        <v>76.5</v>
      </c>
      <c r="G97" s="42">
        <f t="shared" ca="1" si="42"/>
        <v>3.1018897224907783E-4</v>
      </c>
      <c r="H97" s="42">
        <f t="shared" ca="1" si="42"/>
        <v>0</v>
      </c>
      <c r="I97" s="42">
        <f t="shared" ca="1" si="42"/>
        <v>1.5853008596317211</v>
      </c>
      <c r="J97" s="42">
        <f t="shared" ca="1" si="42"/>
        <v>0.23365262990583965</v>
      </c>
      <c r="K97" s="42">
        <f t="shared" ca="1" si="42"/>
        <v>0.35663026072715853</v>
      </c>
      <c r="L97" s="42">
        <f t="shared" ca="1" si="42"/>
        <v>5.2562639966185085E-2</v>
      </c>
      <c r="M97" s="42">
        <f t="shared" ca="1" si="42"/>
        <v>0.71488860911696139</v>
      </c>
      <c r="N97" s="42">
        <f t="shared" ca="1" si="42"/>
        <v>0.10536523877789962</v>
      </c>
      <c r="O97" s="42">
        <f t="shared" ca="1" si="42"/>
        <v>2.7608125846074585</v>
      </c>
      <c r="P97" s="42">
        <f t="shared" ca="1" si="35"/>
        <v>0</v>
      </c>
      <c r="Q97" s="51">
        <f t="shared" ca="1" si="36"/>
        <v>5.8095230117054726</v>
      </c>
      <c r="S97" s="42">
        <f t="shared" ca="1" si="43"/>
        <v>2.8701241006789491E-2</v>
      </c>
      <c r="T97" s="42">
        <f t="shared" ca="1" si="43"/>
        <v>0</v>
      </c>
      <c r="U97" s="42">
        <f t="shared" ca="1" si="43"/>
        <v>1.5856223449881854</v>
      </c>
      <c r="V97" s="42">
        <f t="shared" ca="1" si="43"/>
        <v>0.23370001264619319</v>
      </c>
      <c r="W97" s="42">
        <f t="shared" ca="1" si="43"/>
        <v>0.35670258227155138</v>
      </c>
      <c r="X97" s="42">
        <f t="shared" ca="1" si="43"/>
        <v>5.2573299216726439E-2</v>
      </c>
      <c r="Y97" s="42">
        <f t="shared" ca="1" si="43"/>
        <v>0.7150335823678986</v>
      </c>
      <c r="Z97" s="42">
        <f t="shared" ca="1" si="43"/>
        <v>0.10538660594056889</v>
      </c>
      <c r="AA97" s="42">
        <f t="shared" ca="1" si="43"/>
        <v>2.7329814644834531</v>
      </c>
      <c r="AB97" s="42">
        <f t="shared" ca="1" si="37"/>
        <v>0</v>
      </c>
      <c r="AC97" s="51">
        <f t="shared" ca="1" si="38"/>
        <v>5.8107011329213663</v>
      </c>
    </row>
    <row r="98" spans="1:29" ht="12" customHeight="1" x14ac:dyDescent="0.25">
      <c r="A98" s="262"/>
      <c r="C98" s="263"/>
      <c r="D98" s="43">
        <f t="shared" si="39"/>
        <v>87</v>
      </c>
      <c r="E98" s="43">
        <f t="shared" si="34"/>
        <v>76.75</v>
      </c>
      <c r="G98" s="42">
        <f t="shared" ca="1" si="42"/>
        <v>2.9150537332524524E-4</v>
      </c>
      <c r="H98" s="42">
        <f t="shared" ca="1" si="42"/>
        <v>0</v>
      </c>
      <c r="I98" s="42">
        <f t="shared" ca="1" si="42"/>
        <v>1.5719987214057431</v>
      </c>
      <c r="J98" s="42">
        <f t="shared" ca="1" si="42"/>
        <v>0.23169206628072941</v>
      </c>
      <c r="K98" s="42">
        <f t="shared" ca="1" si="42"/>
        <v>0.35363780349423862</v>
      </c>
      <c r="L98" s="42">
        <f t="shared" ca="1" si="42"/>
        <v>5.2121590361911441E-2</v>
      </c>
      <c r="M98" s="42">
        <f t="shared" ca="1" si="42"/>
        <v>0.70889003349210489</v>
      </c>
      <c r="N98" s="42">
        <f t="shared" ca="1" si="42"/>
        <v>0.10448112609069275</v>
      </c>
      <c r="O98" s="42">
        <f t="shared" ca="1" si="42"/>
        <v>2.7376628967842316</v>
      </c>
      <c r="P98" s="42">
        <f t="shared" ca="1" si="35"/>
        <v>0</v>
      </c>
      <c r="Q98" s="51">
        <f t="shared" ca="1" si="36"/>
        <v>5.7607757432829771</v>
      </c>
      <c r="S98" s="42">
        <f t="shared" ca="1" si="43"/>
        <v>2.697248040095945E-2</v>
      </c>
      <c r="T98" s="42">
        <f t="shared" ca="1" si="43"/>
        <v>0</v>
      </c>
      <c r="U98" s="42">
        <f t="shared" ca="1" si="43"/>
        <v>1.5723175092031776</v>
      </c>
      <c r="V98" s="42">
        <f t="shared" ca="1" si="43"/>
        <v>0.23173905143567067</v>
      </c>
      <c r="W98" s="42">
        <f t="shared" ca="1" si="43"/>
        <v>0.35370951819408553</v>
      </c>
      <c r="X98" s="42">
        <f t="shared" ca="1" si="43"/>
        <v>5.213216017139282E-2</v>
      </c>
      <c r="Y98" s="42">
        <f t="shared" ca="1" si="43"/>
        <v>0.70903379028358504</v>
      </c>
      <c r="Z98" s="42">
        <f t="shared" ca="1" si="43"/>
        <v>0.10450231396292597</v>
      </c>
      <c r="AA98" s="42">
        <f t="shared" ca="1" si="43"/>
        <v>2.711537155321011</v>
      </c>
      <c r="AB98" s="42">
        <f t="shared" ca="1" si="37"/>
        <v>0</v>
      </c>
      <c r="AC98" s="51">
        <f t="shared" ca="1" si="38"/>
        <v>5.7619439789728082</v>
      </c>
    </row>
    <row r="99" spans="1:29" ht="12" customHeight="1" x14ac:dyDescent="0.25">
      <c r="A99" s="262"/>
      <c r="C99" s="263"/>
      <c r="D99" s="43">
        <f t="shared" si="39"/>
        <v>88</v>
      </c>
      <c r="E99" s="43">
        <f t="shared" si="34"/>
        <v>77</v>
      </c>
      <c r="G99" s="42">
        <f t="shared" ca="1" si="42"/>
        <v>2.7394714280576171E-4</v>
      </c>
      <c r="H99" s="42">
        <f t="shared" ca="1" si="42"/>
        <v>0</v>
      </c>
      <c r="I99" s="42">
        <f t="shared" ca="1" si="42"/>
        <v>1.5588081995639869</v>
      </c>
      <c r="J99" s="42">
        <f t="shared" ca="1" si="42"/>
        <v>0.22974795587871735</v>
      </c>
      <c r="K99" s="42">
        <f t="shared" ca="1" si="42"/>
        <v>0.35067045555206577</v>
      </c>
      <c r="L99" s="42">
        <f t="shared" ca="1" si="42"/>
        <v>5.1684242084870193E-2</v>
      </c>
      <c r="M99" s="42">
        <f t="shared" ca="1" si="42"/>
        <v>0.70294179107762034</v>
      </c>
      <c r="N99" s="42">
        <f t="shared" ca="1" si="42"/>
        <v>0.10360443295524144</v>
      </c>
      <c r="O99" s="42">
        <f t="shared" ca="1" si="42"/>
        <v>2.7147064875072564</v>
      </c>
      <c r="P99" s="42">
        <f t="shared" ca="1" si="35"/>
        <v>0</v>
      </c>
      <c r="Q99" s="51">
        <f t="shared" ca="1" si="36"/>
        <v>5.7124375117625643</v>
      </c>
      <c r="S99" s="42">
        <f t="shared" ca="1" si="43"/>
        <v>2.5347848157786724E-2</v>
      </c>
      <c r="T99" s="42">
        <f t="shared" ca="1" si="43"/>
        <v>0</v>
      </c>
      <c r="U99" s="42">
        <f t="shared" ca="1" si="43"/>
        <v>1.5591243124372323</v>
      </c>
      <c r="V99" s="42">
        <f t="shared" ca="1" si="43"/>
        <v>0.22979454678481817</v>
      </c>
      <c r="W99" s="42">
        <f t="shared" ca="1" si="43"/>
        <v>0.35074156849931482</v>
      </c>
      <c r="X99" s="42">
        <f t="shared" ca="1" si="43"/>
        <v>5.1694723203888897E-2</v>
      </c>
      <c r="Y99" s="42">
        <f t="shared" ca="1" si="43"/>
        <v>0.7030843416167849</v>
      </c>
      <c r="Z99" s="42">
        <f t="shared" ca="1" si="43"/>
        <v>0.10362544304165978</v>
      </c>
      <c r="AA99" s="42">
        <f t="shared" ca="1" si="43"/>
        <v>2.6901831611340072</v>
      </c>
      <c r="AB99" s="42">
        <f t="shared" ca="1" si="37"/>
        <v>0</v>
      </c>
      <c r="AC99" s="51">
        <f t="shared" ca="1" si="38"/>
        <v>5.7135959448754923</v>
      </c>
    </row>
    <row r="100" spans="1:29" ht="12" customHeight="1" x14ac:dyDescent="0.25">
      <c r="A100" s="262"/>
      <c r="C100" s="263"/>
      <c r="D100" s="43">
        <f t="shared" si="39"/>
        <v>89</v>
      </c>
      <c r="E100" s="43">
        <f t="shared" si="34"/>
        <v>77.25</v>
      </c>
      <c r="G100" s="42">
        <f t="shared" ca="1" si="42"/>
        <v>2.5744649642429456E-4</v>
      </c>
      <c r="H100" s="42">
        <f t="shared" ca="1" si="42"/>
        <v>0</v>
      </c>
      <c r="I100" s="42">
        <f t="shared" ca="1" si="42"/>
        <v>1.5457283583149952</v>
      </c>
      <c r="J100" s="42">
        <f t="shared" ca="1" si="42"/>
        <v>0.22782015823559509</v>
      </c>
      <c r="K100" s="42">
        <f t="shared" ca="1" si="42"/>
        <v>0.34772800638441603</v>
      </c>
      <c r="L100" s="42">
        <f t="shared" ca="1" si="42"/>
        <v>5.1250563536146258E-2</v>
      </c>
      <c r="M100" s="42">
        <f t="shared" ca="1" si="42"/>
        <v>0.69704345988001115</v>
      </c>
      <c r="N100" s="42">
        <f t="shared" ca="1" si="42"/>
        <v>0.10273509602946017</v>
      </c>
      <c r="O100" s="42">
        <f t="shared" ca="1" si="42"/>
        <v>2.6919417934810936</v>
      </c>
      <c r="P100" s="42">
        <f t="shared" ca="1" si="35"/>
        <v>0</v>
      </c>
      <c r="Q100" s="51">
        <f t="shared" ca="1" si="36"/>
        <v>5.6645048823581412</v>
      </c>
      <c r="S100" s="42">
        <f t="shared" ca="1" si="43"/>
        <v>2.382107231811564E-2</v>
      </c>
      <c r="T100" s="42">
        <f t="shared" ca="1" si="43"/>
        <v>0</v>
      </c>
      <c r="U100" s="42">
        <f t="shared" ca="1" si="43"/>
        <v>1.5460418187091225</v>
      </c>
      <c r="V100" s="42">
        <f t="shared" ca="1" si="43"/>
        <v>0.22786635820094253</v>
      </c>
      <c r="W100" s="42">
        <f t="shared" ca="1" si="43"/>
        <v>0.347798522628324</v>
      </c>
      <c r="X100" s="42">
        <f t="shared" ca="1" si="43"/>
        <v>5.126095670889156E-2</v>
      </c>
      <c r="Y100" s="42">
        <f t="shared" ca="1" si="43"/>
        <v>0.69718481428842494</v>
      </c>
      <c r="Z100" s="42">
        <f t="shared" ca="1" si="43"/>
        <v>0.10275592982183959</v>
      </c>
      <c r="AA100" s="42">
        <f t="shared" ca="1" si="43"/>
        <v>2.6689241224711213</v>
      </c>
      <c r="AB100" s="42">
        <f t="shared" ca="1" si="37"/>
        <v>0</v>
      </c>
      <c r="AC100" s="51">
        <f t="shared" ca="1" si="38"/>
        <v>5.6656535951467824</v>
      </c>
    </row>
    <row r="101" spans="1:29" ht="12" customHeight="1" x14ac:dyDescent="0.25">
      <c r="A101" s="262"/>
      <c r="C101" s="263"/>
      <c r="D101" s="43">
        <f t="shared" si="39"/>
        <v>90</v>
      </c>
      <c r="E101" s="43">
        <f t="shared" si="34"/>
        <v>77.5</v>
      </c>
      <c r="G101" s="42">
        <f t="shared" ref="G101:O110" ca="1" si="44">PRODUCT(AVERAGE(OFFSET(AB.Trace.MarkovQB.Root, $D101, (G$2-1)*AB.Trace.MarkovQB.NumCols+G$3-1, CHOOSE(swtchHalfCycle, 2, 1))), G$6)</f>
        <v>2.4193973276128781E-4</v>
      </c>
      <c r="H101" s="42">
        <f t="shared" ca="1" si="44"/>
        <v>0</v>
      </c>
      <c r="I101" s="42">
        <f t="shared" ca="1" si="44"/>
        <v>1.532758269031024</v>
      </c>
      <c r="J101" s="42">
        <f t="shared" ca="1" si="44"/>
        <v>0.22590853658523738</v>
      </c>
      <c r="K101" s="42">
        <f t="shared" ca="1" si="44"/>
        <v>0.34481024708661839</v>
      </c>
      <c r="L101" s="42">
        <f t="shared" ca="1" si="44"/>
        <v>5.0820523948747587E-2</v>
      </c>
      <c r="M101" s="42">
        <f t="shared" ca="1" si="44"/>
        <v>0.69119462113624419</v>
      </c>
      <c r="N101" s="42">
        <f t="shared" ca="1" si="44"/>
        <v>0.1018730536389075</v>
      </c>
      <c r="O101" s="42">
        <f t="shared" ca="1" si="44"/>
        <v>2.6693672608469368</v>
      </c>
      <c r="P101" s="42">
        <f t="shared" ca="1" si="35"/>
        <v>0</v>
      </c>
      <c r="Q101" s="51">
        <f t="shared" ca="1" si="36"/>
        <v>5.6169744520064766</v>
      </c>
      <c r="S101" s="42">
        <f t="shared" ref="S101:AA110" ca="1" si="45">PRODUCT(AVERAGE(OFFSET(AB.Trace.MarkovQB.Root, $D101, (S$2-1)*AB.Trace.MarkovQB.NumCols+S$3-1, CHOOSE(swtchHalfCycle, 2, 1))), S$6)</f>
        <v>2.2386258701434569E-2</v>
      </c>
      <c r="T101" s="42">
        <f t="shared" ca="1" si="45"/>
        <v>0</v>
      </c>
      <c r="U101" s="42">
        <f t="shared" ca="1" si="45"/>
        <v>1.5330690992027858</v>
      </c>
      <c r="V101" s="42">
        <f t="shared" ca="1" si="45"/>
        <v>0.22595434889018332</v>
      </c>
      <c r="W101" s="42">
        <f t="shared" ca="1" si="45"/>
        <v>0.34488017163407808</v>
      </c>
      <c r="X101" s="42">
        <f t="shared" ca="1" si="45"/>
        <v>5.0830829913169492E-2</v>
      </c>
      <c r="Y101" s="42">
        <f t="shared" ca="1" si="45"/>
        <v>0.69133478945055027</v>
      </c>
      <c r="Z101" s="42">
        <f t="shared" ca="1" si="45"/>
        <v>0.1018937126165169</v>
      </c>
      <c r="AA101" s="42">
        <f t="shared" ca="1" si="45"/>
        <v>2.6477643156246131</v>
      </c>
      <c r="AB101" s="42">
        <f t="shared" ca="1" si="37"/>
        <v>0</v>
      </c>
      <c r="AC101" s="51">
        <f t="shared" ca="1" si="38"/>
        <v>5.6181135260333317</v>
      </c>
    </row>
    <row r="102" spans="1:29" ht="12" customHeight="1" x14ac:dyDescent="0.25">
      <c r="A102" s="262"/>
      <c r="C102" s="263"/>
      <c r="D102" s="43">
        <f t="shared" si="39"/>
        <v>91</v>
      </c>
      <c r="E102" s="43">
        <f t="shared" si="34"/>
        <v>77.75</v>
      </c>
      <c r="G102" s="42">
        <f t="shared" ca="1" si="44"/>
        <v>2.2736698732202891E-4</v>
      </c>
      <c r="H102" s="42">
        <f t="shared" ca="1" si="44"/>
        <v>0</v>
      </c>
      <c r="I102" s="42">
        <f t="shared" ca="1" si="44"/>
        <v>1.5198970107814174</v>
      </c>
      <c r="J102" s="42">
        <f t="shared" ca="1" si="44"/>
        <v>0.22401295520849671</v>
      </c>
      <c r="K102" s="42">
        <f t="shared" ca="1" si="44"/>
        <v>0.34191697048554348</v>
      </c>
      <c r="L102" s="42">
        <f t="shared" ca="1" si="44"/>
        <v>5.0394092791210966E-2</v>
      </c>
      <c r="M102" s="42">
        <f t="shared" ca="1" si="44"/>
        <v>0.68539485955427482</v>
      </c>
      <c r="N102" s="42">
        <f t="shared" ca="1" si="44"/>
        <v>0.10101824458127477</v>
      </c>
      <c r="O102" s="42">
        <f t="shared" ca="1" si="44"/>
        <v>2.6469813454996913</v>
      </c>
      <c r="P102" s="42">
        <f t="shared" ca="1" si="35"/>
        <v>0</v>
      </c>
      <c r="Q102" s="51">
        <f t="shared" ca="1" si="36"/>
        <v>5.569842845889232</v>
      </c>
      <c r="S102" s="42">
        <f t="shared" ca="1" si="45"/>
        <v>2.1037868151151214E-2</v>
      </c>
      <c r="T102" s="42">
        <f t="shared" ca="1" si="45"/>
        <v>0</v>
      </c>
      <c r="U102" s="42">
        <f t="shared" ca="1" si="45"/>
        <v>1.5202052328008102</v>
      </c>
      <c r="V102" s="42">
        <f t="shared" ca="1" si="45"/>
        <v>0.22405838310587048</v>
      </c>
      <c r="W102" s="42">
        <f t="shared" ca="1" si="45"/>
        <v>0.34198630830143495</v>
      </c>
      <c r="X102" s="42">
        <f t="shared" ca="1" si="45"/>
        <v>5.0404312279067956E-2</v>
      </c>
      <c r="Y102" s="42">
        <f t="shared" ca="1" si="45"/>
        <v>0.68553385172689874</v>
      </c>
      <c r="Z102" s="42">
        <f t="shared" ca="1" si="45"/>
        <v>0.10103873021097171</v>
      </c>
      <c r="AA102" s="42">
        <f t="shared" ca="1" si="45"/>
        <v>2.6267076754562138</v>
      </c>
      <c r="AB102" s="42">
        <f t="shared" ca="1" si="37"/>
        <v>0</v>
      </c>
      <c r="AC102" s="51">
        <f t="shared" ca="1" si="38"/>
        <v>5.5709723620324185</v>
      </c>
    </row>
    <row r="103" spans="1:29" ht="12" customHeight="1" x14ac:dyDescent="0.25">
      <c r="A103" s="262"/>
      <c r="C103" s="263"/>
      <c r="D103" s="43">
        <f t="shared" si="39"/>
        <v>92</v>
      </c>
      <c r="E103" s="43">
        <f t="shared" si="34"/>
        <v>78</v>
      </c>
      <c r="G103" s="42">
        <f t="shared" ca="1" si="44"/>
        <v>2.1367200142732143E-4</v>
      </c>
      <c r="H103" s="42">
        <f t="shared" ca="1" si="44"/>
        <v>0</v>
      </c>
      <c r="I103" s="42">
        <f t="shared" ca="1" si="44"/>
        <v>1.5071436703731196</v>
      </c>
      <c r="J103" s="42">
        <f t="shared" ca="1" si="44"/>
        <v>0.22213327951115702</v>
      </c>
      <c r="K103" s="42">
        <f t="shared" ca="1" si="44"/>
        <v>0.33904797114871721</v>
      </c>
      <c r="L103" s="42">
        <f t="shared" ca="1" si="44"/>
        <v>4.9971239785138385E-2</v>
      </c>
      <c r="M103" s="42">
        <f t="shared" ca="1" si="44"/>
        <v>0.67964376333131493</v>
      </c>
      <c r="N103" s="42">
        <f t="shared" ca="1" si="44"/>
        <v>0.10017060816153912</v>
      </c>
      <c r="O103" s="42">
        <f t="shared" ca="1" si="44"/>
        <v>2.6247825131875748</v>
      </c>
      <c r="P103" s="42">
        <f t="shared" ca="1" si="35"/>
        <v>0</v>
      </c>
      <c r="Q103" s="51">
        <f t="shared" ca="1" si="36"/>
        <v>5.5231067174999886</v>
      </c>
      <c r="S103" s="42">
        <f t="shared" ca="1" si="45"/>
        <v>1.9770695150452284E-2</v>
      </c>
      <c r="T103" s="42">
        <f t="shared" ca="1" si="45"/>
        <v>0</v>
      </c>
      <c r="U103" s="42">
        <f t="shared" ca="1" si="45"/>
        <v>1.5074493061249521</v>
      </c>
      <c r="V103" s="42">
        <f t="shared" ca="1" si="45"/>
        <v>0.22217832622649342</v>
      </c>
      <c r="W103" s="42">
        <f t="shared" ca="1" si="45"/>
        <v>0.33911672715626068</v>
      </c>
      <c r="X103" s="42">
        <f t="shared" ca="1" si="45"/>
        <v>4.9981373522048754E-2</v>
      </c>
      <c r="Y103" s="42">
        <f t="shared" ca="1" si="45"/>
        <v>0.67978158923117249</v>
      </c>
      <c r="Z103" s="42">
        <f t="shared" ca="1" si="45"/>
        <v>0.10019092189787279</v>
      </c>
      <c r="AA103" s="42">
        <f t="shared" ca="1" si="45"/>
        <v>2.6057578166497342</v>
      </c>
      <c r="AB103" s="42">
        <f t="shared" ca="1" si="37"/>
        <v>0</v>
      </c>
      <c r="AC103" s="51">
        <f t="shared" ca="1" si="38"/>
        <v>5.5242267559589866</v>
      </c>
    </row>
    <row r="104" spans="1:29" ht="12" customHeight="1" x14ac:dyDescent="0.25">
      <c r="A104" s="262"/>
      <c r="C104" s="263"/>
      <c r="D104" s="43">
        <f t="shared" si="39"/>
        <v>93</v>
      </c>
      <c r="E104" s="43">
        <f t="shared" si="34"/>
        <v>78.25</v>
      </c>
      <c r="G104" s="42">
        <f t="shared" ca="1" si="44"/>
        <v>2.0080190502455504E-4</v>
      </c>
      <c r="H104" s="42">
        <f t="shared" ca="1" si="44"/>
        <v>0</v>
      </c>
      <c r="I104" s="42">
        <f t="shared" ca="1" si="44"/>
        <v>1.4944973422758026</v>
      </c>
      <c r="J104" s="42">
        <f t="shared" ca="1" si="44"/>
        <v>0.22026937602985419</v>
      </c>
      <c r="K104" s="42">
        <f t="shared" ca="1" si="44"/>
        <v>0.33620304536747769</v>
      </c>
      <c r="L104" s="42">
        <f t="shared" ca="1" si="44"/>
        <v>4.9551934906528955E-2</v>
      </c>
      <c r="M104" s="42">
        <f t="shared" ca="1" si="44"/>
        <v>0.67394092412007012</v>
      </c>
      <c r="N104" s="42">
        <f t="shared" ca="1" si="44"/>
        <v>9.9330084194633295E-2</v>
      </c>
      <c r="O104" s="42">
        <f t="shared" ca="1" si="44"/>
        <v>2.6027692396158781</v>
      </c>
      <c r="P104" s="42">
        <f t="shared" ca="1" si="35"/>
        <v>0</v>
      </c>
      <c r="Q104" s="51">
        <f t="shared" ca="1" si="36"/>
        <v>5.4767627484152692</v>
      </c>
      <c r="S104" s="42">
        <f t="shared" ca="1" si="45"/>
        <v>1.8579847726193116E-2</v>
      </c>
      <c r="T104" s="42">
        <f t="shared" ca="1" si="45"/>
        <v>0</v>
      </c>
      <c r="U104" s="42">
        <f t="shared" ca="1" si="45"/>
        <v>1.4948004134612489</v>
      </c>
      <c r="V104" s="42">
        <f t="shared" ca="1" si="45"/>
        <v>0.2203140447616227</v>
      </c>
      <c r="W104" s="42">
        <f t="shared" ca="1" si="45"/>
        <v>0.3362712244485826</v>
      </c>
      <c r="X104" s="42">
        <f t="shared" ca="1" si="45"/>
        <v>4.9561983612022388E-2</v>
      </c>
      <c r="Y104" s="42">
        <f t="shared" ca="1" si="45"/>
        <v>0.67407759353326746</v>
      </c>
      <c r="Z104" s="42">
        <f t="shared" ca="1" si="45"/>
        <v>9.9350227479947859E-2</v>
      </c>
      <c r="AA104" s="42">
        <f t="shared" ca="1" si="45"/>
        <v>2.5849180536937197</v>
      </c>
      <c r="AB104" s="42">
        <f t="shared" ca="1" si="37"/>
        <v>0</v>
      </c>
      <c r="AC104" s="51">
        <f t="shared" ca="1" si="38"/>
        <v>5.4778733887166045</v>
      </c>
    </row>
    <row r="105" spans="1:29" ht="12" customHeight="1" x14ac:dyDescent="0.25">
      <c r="A105" s="262"/>
      <c r="C105" s="263"/>
      <c r="D105" s="43">
        <f t="shared" si="39"/>
        <v>94</v>
      </c>
      <c r="E105" s="43">
        <f t="shared" si="34"/>
        <v>78.5</v>
      </c>
      <c r="G105" s="42">
        <f t="shared" ca="1" si="44"/>
        <v>1.8870701258070715E-4</v>
      </c>
      <c r="H105" s="42">
        <f t="shared" ca="1" si="44"/>
        <v>0</v>
      </c>
      <c r="I105" s="42">
        <f t="shared" ca="1" si="44"/>
        <v>1.4819571285572861</v>
      </c>
      <c r="J105" s="42">
        <f t="shared" ca="1" si="44"/>
        <v>0.21842111242113316</v>
      </c>
      <c r="K105" s="42">
        <f t="shared" ca="1" si="44"/>
        <v>0.3333819911424471</v>
      </c>
      <c r="L105" s="42">
        <f t="shared" ca="1" si="44"/>
        <v>4.9136148383317306E-2</v>
      </c>
      <c r="M105" s="42">
        <f t="shared" ca="1" si="44"/>
        <v>0.6682859369996178</v>
      </c>
      <c r="N105" s="42">
        <f t="shared" ca="1" si="44"/>
        <v>9.8496613000511171E-2</v>
      </c>
      <c r="O105" s="42">
        <f t="shared" ca="1" si="44"/>
        <v>2.5809400105392468</v>
      </c>
      <c r="P105" s="42">
        <f t="shared" ca="1" si="35"/>
        <v>0</v>
      </c>
      <c r="Q105" s="51">
        <f t="shared" ca="1" si="36"/>
        <v>5.43080764805614</v>
      </c>
      <c r="S105" s="42">
        <f t="shared" ca="1" si="45"/>
        <v>1.7460728563235488E-2</v>
      </c>
      <c r="T105" s="42">
        <f t="shared" ca="1" si="45"/>
        <v>0</v>
      </c>
      <c r="U105" s="42">
        <f t="shared" ca="1" si="45"/>
        <v>1.4822576566954284</v>
      </c>
      <c r="V105" s="42">
        <f t="shared" ca="1" si="45"/>
        <v>0.2184654063409652</v>
      </c>
      <c r="W105" s="42">
        <f t="shared" ca="1" si="45"/>
        <v>0.33344959813805947</v>
      </c>
      <c r="X105" s="42">
        <f t="shared" ca="1" si="45"/>
        <v>4.9146112770885972E-2</v>
      </c>
      <c r="Y105" s="42">
        <f t="shared" ca="1" si="45"/>
        <v>0.66842145963014654</v>
      </c>
      <c r="Z105" s="42">
        <f t="shared" ca="1" si="45"/>
        <v>9.8516587265048208E-2</v>
      </c>
      <c r="AA105" s="42">
        <f t="shared" ca="1" si="45"/>
        <v>2.5641914196552715</v>
      </c>
      <c r="AB105" s="42">
        <f t="shared" ca="1" si="37"/>
        <v>0</v>
      </c>
      <c r="AC105" s="51">
        <f t="shared" ca="1" si="38"/>
        <v>5.431908969059041</v>
      </c>
    </row>
    <row r="106" spans="1:29" ht="12" customHeight="1" x14ac:dyDescent="0.25">
      <c r="A106" s="262"/>
      <c r="C106" s="263"/>
      <c r="D106" s="43">
        <f t="shared" si="39"/>
        <v>95</v>
      </c>
      <c r="E106" s="43">
        <f t="shared" si="34"/>
        <v>78.75</v>
      </c>
      <c r="G106" s="42">
        <f t="shared" ca="1" si="44"/>
        <v>1.7734063126931274E-4</v>
      </c>
      <c r="H106" s="42">
        <f t="shared" ca="1" si="44"/>
        <v>0</v>
      </c>
      <c r="I106" s="42">
        <f t="shared" ca="1" si="44"/>
        <v>1.4695221388198756</v>
      </c>
      <c r="J106" s="42">
        <f t="shared" ca="1" si="44"/>
        <v>0.21658835745201016</v>
      </c>
      <c r="K106" s="42">
        <f t="shared" ca="1" si="44"/>
        <v>0.33058460816920976</v>
      </c>
      <c r="L106" s="42">
        <f t="shared" ca="1" si="44"/>
        <v>4.8723850693250338E-2</v>
      </c>
      <c r="M106" s="42">
        <f t="shared" ca="1" si="44"/>
        <v>0.66267840044669735</v>
      </c>
      <c r="N106" s="42">
        <f t="shared" ca="1" si="44"/>
        <v>9.7670135399891639E-2</v>
      </c>
      <c r="O106" s="42">
        <f t="shared" ca="1" si="44"/>
        <v>2.5592933218424472</v>
      </c>
      <c r="P106" s="42">
        <f t="shared" ca="1" si="35"/>
        <v>0</v>
      </c>
      <c r="Q106" s="51">
        <f t="shared" ca="1" si="36"/>
        <v>5.385238153454651</v>
      </c>
      <c r="S106" s="42">
        <f t="shared" ca="1" si="45"/>
        <v>1.6409017256324675E-2</v>
      </c>
      <c r="T106" s="42">
        <f t="shared" ca="1" si="45"/>
        <v>0</v>
      </c>
      <c r="U106" s="42">
        <f t="shared" ca="1" si="45"/>
        <v>1.4698201452492301</v>
      </c>
      <c r="V106" s="42">
        <f t="shared" ca="1" si="45"/>
        <v>0.21663227970492424</v>
      </c>
      <c r="W106" s="42">
        <f t="shared" ca="1" si="45"/>
        <v>0.33065164787965551</v>
      </c>
      <c r="X106" s="42">
        <f t="shared" ca="1" si="45"/>
        <v>4.8733731470399548E-2</v>
      </c>
      <c r="Y106" s="42">
        <f t="shared" ca="1" si="45"/>
        <v>0.66281278591712389</v>
      </c>
      <c r="Z106" s="42">
        <f t="shared" ca="1" si="45"/>
        <v>9.7689942061891619E-2</v>
      </c>
      <c r="AA106" s="42">
        <f t="shared" ca="1" si="45"/>
        <v>2.5435806838170927</v>
      </c>
      <c r="AB106" s="42">
        <f t="shared" ca="1" si="37"/>
        <v>0</v>
      </c>
      <c r="AC106" s="51">
        <f t="shared" ca="1" si="38"/>
        <v>5.3863302333566425</v>
      </c>
    </row>
    <row r="107" spans="1:29" ht="12" customHeight="1" x14ac:dyDescent="0.25">
      <c r="A107" s="262"/>
      <c r="C107" s="263"/>
      <c r="D107" s="43">
        <f t="shared" si="39"/>
        <v>96</v>
      </c>
      <c r="E107" s="43">
        <f t="shared" ref="E107:E131" si="46">B.cohortAge+D107*AB.cycleLength</f>
        <v>79</v>
      </c>
      <c r="G107" s="42">
        <f t="shared" ca="1" si="44"/>
        <v>1.6665888071089977E-4</v>
      </c>
      <c r="H107" s="42">
        <f t="shared" ca="1" si="44"/>
        <v>0</v>
      </c>
      <c r="I107" s="42">
        <f t="shared" ca="1" si="44"/>
        <v>1.457191490137135</v>
      </c>
      <c r="J107" s="42">
        <f t="shared" ca="1" si="44"/>
        <v>0.21477098099066794</v>
      </c>
      <c r="K107" s="42">
        <f t="shared" ca="1" si="44"/>
        <v>0.32781069782408928</v>
      </c>
      <c r="L107" s="42">
        <f t="shared" ca="1" si="44"/>
        <v>4.8315012561794039E-2</v>
      </c>
      <c r="M107" s="42">
        <f t="shared" ca="1" si="44"/>
        <v>0.65711791630719962</v>
      </c>
      <c r="N107" s="42">
        <f t="shared" ca="1" si="44"/>
        <v>9.6850592710062591E-2</v>
      </c>
      <c r="O107" s="42">
        <f t="shared" ca="1" si="44"/>
        <v>2.5378276796105106</v>
      </c>
      <c r="P107" s="42">
        <f t="shared" ref="P107:P131" ca="1" si="47">AVERAGE(OFFSET(AB.Trace.MarkovQB.Root, $D107, (P$2-1)*AB.Trace.MarkovQB.NumCols+P$3-1))*INDEX(AB.rngC.ByState, P$3)</f>
        <v>0</v>
      </c>
      <c r="Q107" s="51">
        <f t="shared" ref="Q107:Q131" ca="1" si="48">SUM(G107:P107)</f>
        <v>5.3400510290221703</v>
      </c>
      <c r="S107" s="42">
        <f t="shared" ca="1" si="45"/>
        <v>1.5420653630988441E-2</v>
      </c>
      <c r="T107" s="42">
        <f t="shared" ca="1" si="45"/>
        <v>0</v>
      </c>
      <c r="U107" s="42">
        <f t="shared" ca="1" si="45"/>
        <v>1.4574869960171695</v>
      </c>
      <c r="V107" s="42">
        <f t="shared" ca="1" si="45"/>
        <v>0.21481453469529288</v>
      </c>
      <c r="W107" s="42">
        <f t="shared" ca="1" si="45"/>
        <v>0.32787717500941521</v>
      </c>
      <c r="X107" s="42">
        <f t="shared" ca="1" si="45"/>
        <v>4.8324810430092464E-2</v>
      </c>
      <c r="Y107" s="42">
        <f t="shared" ca="1" si="45"/>
        <v>0.65725117415934797</v>
      </c>
      <c r="Z107" s="42">
        <f t="shared" ca="1" si="45"/>
        <v>9.6870233175865711E-2</v>
      </c>
      <c r="AA107" s="42">
        <f t="shared" ca="1" si="45"/>
        <v>2.5230883682464555</v>
      </c>
      <c r="AB107" s="42">
        <f t="shared" ref="AB107:AB131" ca="1" si="49">AVERAGE(OFFSET(AB.Trace.MarkovQB.Root, $D107, (AB$2-1)*AB.Trace.MarkovQB.NumCols+AB$3-1))*INDEX(AB.rngC.ByState, AB$3)</f>
        <v>0</v>
      </c>
      <c r="AC107" s="51">
        <f t="shared" ref="AC107:AC131" ca="1" si="50">SUM(S107:AB107)</f>
        <v>5.3411339453646276</v>
      </c>
    </row>
    <row r="108" spans="1:29" ht="12" customHeight="1" x14ac:dyDescent="0.25">
      <c r="A108" s="262"/>
      <c r="C108" s="263"/>
      <c r="D108" s="43">
        <f t="shared" ref="D108:D131" si="51">D107+1</f>
        <v>97</v>
      </c>
      <c r="E108" s="43">
        <f t="shared" si="46"/>
        <v>79.25</v>
      </c>
      <c r="G108" s="42">
        <f t="shared" ca="1" si="44"/>
        <v>1.5662052357099158E-4</v>
      </c>
      <c r="H108" s="42">
        <f t="shared" ca="1" si="44"/>
        <v>0</v>
      </c>
      <c r="I108" s="42">
        <f t="shared" ca="1" si="44"/>
        <v>1.4449643069911977</v>
      </c>
      <c r="J108" s="42">
        <f t="shared" ca="1" si="44"/>
        <v>0.21296885399721532</v>
      </c>
      <c r="K108" s="42">
        <f t="shared" ca="1" si="44"/>
        <v>0.32506006315004549</v>
      </c>
      <c r="L108" s="42">
        <f t="shared" ca="1" si="44"/>
        <v>4.7909604960054808E-2</v>
      </c>
      <c r="M108" s="42">
        <f t="shared" ca="1" si="44"/>
        <v>0.65160408976789641</v>
      </c>
      <c r="N108" s="42">
        <f t="shared" ca="1" si="44"/>
        <v>9.6037926740714194E-2</v>
      </c>
      <c r="O108" s="42">
        <f t="shared" ca="1" si="44"/>
        <v>2.5165416001889476</v>
      </c>
      <c r="P108" s="42">
        <f t="shared" ca="1" si="47"/>
        <v>0</v>
      </c>
      <c r="Q108" s="51">
        <f t="shared" ca="1" si="48"/>
        <v>5.2952430663196424</v>
      </c>
      <c r="S108" s="42">
        <f t="shared" ca="1" si="45"/>
        <v>1.44918220690676E-2</v>
      </c>
      <c r="T108" s="42">
        <f t="shared" ca="1" si="45"/>
        <v>0</v>
      </c>
      <c r="U108" s="42">
        <f t="shared" ca="1" si="45"/>
        <v>1.4452573333038312</v>
      </c>
      <c r="V108" s="42">
        <f t="shared" ca="1" si="45"/>
        <v>0.21301204224601195</v>
      </c>
      <c r="W108" s="42">
        <f t="shared" ca="1" si="45"/>
        <v>0.32512598253035718</v>
      </c>
      <c r="X108" s="42">
        <f t="shared" ca="1" si="45"/>
        <v>4.7919320615184315E-2</v>
      </c>
      <c r="Y108" s="42">
        <f t="shared" ca="1" si="45"/>
        <v>0.65173622946352605</v>
      </c>
      <c r="Z108" s="42">
        <f t="shared" ca="1" si="45"/>
        <v>9.6057402404860104E-2</v>
      </c>
      <c r="AA108" s="42">
        <f t="shared" ca="1" si="45"/>
        <v>2.5027167633604606</v>
      </c>
      <c r="AB108" s="42">
        <f t="shared" ca="1" si="49"/>
        <v>0</v>
      </c>
      <c r="AC108" s="51">
        <f t="shared" ca="1" si="50"/>
        <v>5.2963168959932991</v>
      </c>
    </row>
    <row r="109" spans="1:29" ht="12" customHeight="1" x14ac:dyDescent="0.25">
      <c r="A109" s="262"/>
      <c r="C109" s="263"/>
      <c r="D109" s="43">
        <f t="shared" si="51"/>
        <v>98</v>
      </c>
      <c r="E109" s="43">
        <f t="shared" si="46"/>
        <v>79.5</v>
      </c>
      <c r="G109" s="42">
        <f t="shared" ca="1" si="44"/>
        <v>1.4718680636169199E-4</v>
      </c>
      <c r="H109" s="42">
        <f t="shared" ca="1" si="44"/>
        <v>0</v>
      </c>
      <c r="I109" s="42">
        <f t="shared" ca="1" si="44"/>
        <v>1.4328397212106005</v>
      </c>
      <c r="J109" s="42">
        <f t="shared" ca="1" si="44"/>
        <v>0.21118184851452526</v>
      </c>
      <c r="K109" s="42">
        <f t="shared" ca="1" si="44"/>
        <v>0.32233250884268982</v>
      </c>
      <c r="L109" s="42">
        <f t="shared" ca="1" si="44"/>
        <v>4.7507599102718255E-2</v>
      </c>
      <c r="M109" s="42">
        <f t="shared" ca="1" si="44"/>
        <v>0.64613652932840737</v>
      </c>
      <c r="N109" s="42">
        <f t="shared" ca="1" si="44"/>
        <v>9.5232079789807078E-2</v>
      </c>
      <c r="O109" s="42">
        <f t="shared" ca="1" si="44"/>
        <v>2.4954336102346737</v>
      </c>
      <c r="P109" s="42">
        <f t="shared" ca="1" si="47"/>
        <v>0</v>
      </c>
      <c r="Q109" s="51">
        <f t="shared" ca="1" si="48"/>
        <v>5.2508110838297837</v>
      </c>
      <c r="S109" s="42">
        <f t="shared" ca="1" si="45"/>
        <v>1.3618936778366201E-2</v>
      </c>
      <c r="T109" s="42">
        <f t="shared" ca="1" si="45"/>
        <v>0</v>
      </c>
      <c r="U109" s="42">
        <f t="shared" ca="1" si="45"/>
        <v>1.4331302887616948</v>
      </c>
      <c r="V109" s="42">
        <f t="shared" ca="1" si="45"/>
        <v>0.21122467437400563</v>
      </c>
      <c r="W109" s="42">
        <f t="shared" ca="1" si="45"/>
        <v>0.32239787509848672</v>
      </c>
      <c r="X109" s="42">
        <f t="shared" ca="1" si="45"/>
        <v>4.7517233234523309E-2</v>
      </c>
      <c r="Y109" s="42">
        <f t="shared" ca="1" si="45"/>
        <v>0.64626756024988463</v>
      </c>
      <c r="Z109" s="42">
        <f t="shared" ca="1" si="45"/>
        <v>9.5251392035133969E-2</v>
      </c>
      <c r="AA109" s="42">
        <f t="shared" ca="1" si="45"/>
        <v>2.4824679425480909</v>
      </c>
      <c r="AB109" s="42">
        <f t="shared" ca="1" si="49"/>
        <v>0</v>
      </c>
      <c r="AC109" s="51">
        <f t="shared" ca="1" si="50"/>
        <v>5.2518759030801858</v>
      </c>
    </row>
    <row r="110" spans="1:29" ht="12" customHeight="1" x14ac:dyDescent="0.25">
      <c r="A110" s="262"/>
      <c r="C110" s="263"/>
      <c r="D110" s="43">
        <f t="shared" si="51"/>
        <v>99</v>
      </c>
      <c r="E110" s="43">
        <f t="shared" si="46"/>
        <v>79.75</v>
      </c>
      <c r="G110" s="42">
        <f t="shared" ca="1" si="44"/>
        <v>1.3832130983226196E-4</v>
      </c>
      <c r="H110" s="42">
        <f t="shared" ca="1" si="44"/>
        <v>0</v>
      </c>
      <c r="I110" s="42">
        <f t="shared" ca="1" si="44"/>
        <v>1.4208168719086418</v>
      </c>
      <c r="J110" s="42">
        <f t="shared" ca="1" si="44"/>
        <v>0.20940983765914917</v>
      </c>
      <c r="K110" s="42">
        <f t="shared" ca="1" si="44"/>
        <v>0.31962784123641796</v>
      </c>
      <c r="L110" s="42">
        <f t="shared" ca="1" si="44"/>
        <v>4.7108966446005415E-2</v>
      </c>
      <c r="M110" s="42">
        <f t="shared" ca="1" si="44"/>
        <v>0.64071484677340207</v>
      </c>
      <c r="N110" s="42">
        <f t="shared" ca="1" si="44"/>
        <v>9.4432994639475243E-2</v>
      </c>
      <c r="O110" s="42">
        <f t="shared" ca="1" si="44"/>
        <v>2.474502246758254</v>
      </c>
      <c r="P110" s="42">
        <f t="shared" ca="1" si="47"/>
        <v>0</v>
      </c>
      <c r="Q110" s="51">
        <f t="shared" ca="1" si="48"/>
        <v>5.2067519267311777</v>
      </c>
      <c r="S110" s="42">
        <f t="shared" ca="1" si="45"/>
        <v>1.2798627949554239E-2</v>
      </c>
      <c r="T110" s="42">
        <f t="shared" ca="1" si="45"/>
        <v>0</v>
      </c>
      <c r="U110" s="42">
        <f t="shared" ca="1" si="45"/>
        <v>1.4211050013294779</v>
      </c>
      <c r="V110" s="42">
        <f t="shared" ca="1" si="45"/>
        <v>0.20945230417009447</v>
      </c>
      <c r="W110" s="42">
        <f t="shared" ca="1" si="45"/>
        <v>0.31969265900892574</v>
      </c>
      <c r="X110" s="42">
        <f t="shared" ca="1" si="45"/>
        <v>4.7118519738542031E-2</v>
      </c>
      <c r="Y110" s="42">
        <f t="shared" ca="1" si="45"/>
        <v>0.6408447782243667</v>
      </c>
      <c r="Z110" s="42">
        <f t="shared" ca="1" si="45"/>
        <v>9.4452144837218019E-2</v>
      </c>
      <c r="AA110" s="42">
        <f t="shared" ca="1" si="45"/>
        <v>2.4623437759059241</v>
      </c>
      <c r="AB110" s="42">
        <f t="shared" ca="1" si="49"/>
        <v>0</v>
      </c>
      <c r="AC110" s="51">
        <f t="shared" ca="1" si="50"/>
        <v>5.2078078111641037</v>
      </c>
    </row>
    <row r="111" spans="1:29" ht="12" customHeight="1" x14ac:dyDescent="0.25">
      <c r="A111" s="262"/>
      <c r="C111" s="263"/>
      <c r="D111" s="43">
        <f t="shared" si="51"/>
        <v>100</v>
      </c>
      <c r="E111" s="43">
        <f t="shared" si="46"/>
        <v>80</v>
      </c>
      <c r="G111" s="42">
        <f t="shared" ref="G111:O120" ca="1" si="52">PRODUCT(AVERAGE(OFFSET(AB.Trace.MarkovQB.Root, $D111, (G$2-1)*AB.Trace.MarkovQB.NumCols+G$3-1, CHOOSE(swtchHalfCycle, 2, 1))), G$6)</f>
        <v>1.2998980837111403E-4</v>
      </c>
      <c r="H111" s="42">
        <f t="shared" ca="1" si="52"/>
        <v>0</v>
      </c>
      <c r="I111" s="42">
        <f t="shared" ca="1" si="52"/>
        <v>1.4088949054222537</v>
      </c>
      <c r="J111" s="42">
        <f t="shared" ca="1" si="52"/>
        <v>0.20765269561230779</v>
      </c>
      <c r="K111" s="42">
        <f t="shared" ca="1" si="52"/>
        <v>0.31694586829065891</v>
      </c>
      <c r="L111" s="42">
        <f t="shared" ca="1" si="52"/>
        <v>4.6713678685646007E-2</v>
      </c>
      <c r="M111" s="42">
        <f t="shared" ca="1" si="52"/>
        <v>0.63533865714503546</v>
      </c>
      <c r="N111" s="42">
        <f t="shared" ca="1" si="52"/>
        <v>9.3640614551963555E-2</v>
      </c>
      <c r="O111" s="42">
        <f t="shared" ca="1" si="52"/>
        <v>2.4537460571580394</v>
      </c>
      <c r="P111" s="42">
        <f t="shared" ca="1" si="47"/>
        <v>0</v>
      </c>
      <c r="Q111" s="51">
        <f t="shared" ca="1" si="48"/>
        <v>5.1630624666742762</v>
      </c>
      <c r="S111" s="42">
        <f t="shared" ref="S111:AA120" ca="1" si="53">PRODUCT(AVERAGE(OFFSET(AB.Trace.MarkovQB.Root, $D111, (S$2-1)*AB.Trace.MarkovQB.NumCols+S$3-1, CHOOSE(swtchHalfCycle, 2, 1))), S$6)</f>
        <v>1.2027728746881064E-2</v>
      </c>
      <c r="T111" s="42">
        <f t="shared" ca="1" si="53"/>
        <v>0</v>
      </c>
      <c r="U111" s="42">
        <f t="shared" ca="1" si="53"/>
        <v>1.4091806171709982</v>
      </c>
      <c r="V111" s="42">
        <f t="shared" ca="1" si="53"/>
        <v>0.20769480578998428</v>
      </c>
      <c r="W111" s="42">
        <f t="shared" ca="1" si="53"/>
        <v>0.31701014218215934</v>
      </c>
      <c r="X111" s="42">
        <f t="shared" ca="1" si="53"/>
        <v>4.672315181723033E-2</v>
      </c>
      <c r="Y111" s="42">
        <f t="shared" ca="1" si="53"/>
        <v>0.63546749835106076</v>
      </c>
      <c r="Z111" s="42">
        <f t="shared" ca="1" si="53"/>
        <v>9.365960406185117E-2</v>
      </c>
      <c r="AA111" s="42">
        <f t="shared" ca="1" si="53"/>
        <v>2.4423459431409356</v>
      </c>
      <c r="AB111" s="42">
        <f t="shared" ca="1" si="49"/>
        <v>0</v>
      </c>
      <c r="AC111" s="51">
        <f t="shared" ca="1" si="50"/>
        <v>5.164109491261101</v>
      </c>
    </row>
    <row r="112" spans="1:29" ht="12" customHeight="1" x14ac:dyDescent="0.25">
      <c r="A112" s="262"/>
      <c r="C112" s="263"/>
      <c r="D112" s="43">
        <f t="shared" si="51"/>
        <v>101</v>
      </c>
      <c r="E112" s="43">
        <f t="shared" si="46"/>
        <v>80.25</v>
      </c>
      <c r="G112" s="42">
        <f t="shared" ca="1" si="52"/>
        <v>1.2216013787644036E-4</v>
      </c>
      <c r="H112" s="42">
        <f t="shared" ca="1" si="52"/>
        <v>0</v>
      </c>
      <c r="I112" s="42">
        <f t="shared" ca="1" si="52"/>
        <v>1.3970729752513915</v>
      </c>
      <c r="J112" s="42">
        <f t="shared" ca="1" si="52"/>
        <v>0.20591029761095775</v>
      </c>
      <c r="K112" s="42">
        <f t="shared" ca="1" si="52"/>
        <v>0.31428639957623938</v>
      </c>
      <c r="L112" s="42">
        <f t="shared" ca="1" si="52"/>
        <v>4.6321707754868671E-2</v>
      </c>
      <c r="M112" s="42">
        <f t="shared" ca="1" si="52"/>
        <v>0.63000757871561408</v>
      </c>
      <c r="N112" s="42">
        <f t="shared" ca="1" si="52"/>
        <v>9.2854883265598973E-2</v>
      </c>
      <c r="O112" s="42">
        <f t="shared" ca="1" si="52"/>
        <v>2.433163599246726</v>
      </c>
      <c r="P112" s="42">
        <f t="shared" ca="1" si="47"/>
        <v>0</v>
      </c>
      <c r="Q112" s="51">
        <f t="shared" ca="1" si="48"/>
        <v>5.1197396015592727</v>
      </c>
      <c r="S112" s="42">
        <f t="shared" ca="1" si="53"/>
        <v>1.1303263082476563E-2</v>
      </c>
      <c r="T112" s="42">
        <f t="shared" ca="1" si="53"/>
        <v>0</v>
      </c>
      <c r="U112" s="42">
        <f t="shared" ca="1" si="53"/>
        <v>1.3973562896145468</v>
      </c>
      <c r="V112" s="42">
        <f t="shared" ca="1" si="53"/>
        <v>0.20595205444533085</v>
      </c>
      <c r="W112" s="42">
        <f t="shared" ca="1" si="53"/>
        <v>0.3143501341503967</v>
      </c>
      <c r="X112" s="42">
        <f t="shared" ca="1" si="53"/>
        <v>4.6331101398125192E-2</v>
      </c>
      <c r="Y112" s="42">
        <f t="shared" ca="1" si="53"/>
        <v>0.63013533882486306</v>
      </c>
      <c r="Z112" s="42">
        <f t="shared" ca="1" si="53"/>
        <v>9.2873713435951036E-2</v>
      </c>
      <c r="AA112" s="42">
        <f t="shared" ca="1" si="53"/>
        <v>2.4224759456906018</v>
      </c>
      <c r="AB112" s="42">
        <f t="shared" ca="1" si="49"/>
        <v>0</v>
      </c>
      <c r="AC112" s="51">
        <f t="shared" ca="1" si="50"/>
        <v>5.1207778406422921</v>
      </c>
    </row>
    <row r="113" spans="1:29" ht="12" customHeight="1" x14ac:dyDescent="0.25">
      <c r="A113" s="262"/>
      <c r="C113" s="263"/>
      <c r="D113" s="43">
        <f t="shared" si="51"/>
        <v>102</v>
      </c>
      <c r="E113" s="43">
        <f t="shared" si="46"/>
        <v>80.5</v>
      </c>
      <c r="G113" s="42">
        <f t="shared" ca="1" si="52"/>
        <v>1.1480207158538351E-4</v>
      </c>
      <c r="H113" s="42">
        <f t="shared" ca="1" si="52"/>
        <v>0</v>
      </c>
      <c r="I113" s="42">
        <f t="shared" ca="1" si="52"/>
        <v>1.3853502419989279</v>
      </c>
      <c r="J113" s="42">
        <f t="shared" ca="1" si="52"/>
        <v>0.20418251993893283</v>
      </c>
      <c r="K113" s="42">
        <f t="shared" ca="1" si="52"/>
        <v>0.31164924626186324</v>
      </c>
      <c r="L113" s="42">
        <f t="shared" ca="1" si="52"/>
        <v>4.5933025822408269E-2</v>
      </c>
      <c r="M113" s="42">
        <f t="shared" ca="1" si="52"/>
        <v>0.62472123296049353</v>
      </c>
      <c r="N113" s="42">
        <f t="shared" ca="1" si="52"/>
        <v>9.2075744990795932E-2</v>
      </c>
      <c r="O113" s="42">
        <f t="shared" ca="1" si="52"/>
        <v>2.4127534412708416</v>
      </c>
      <c r="P113" s="42">
        <f t="shared" ca="1" si="47"/>
        <v>0</v>
      </c>
      <c r="Q113" s="51">
        <f t="shared" ca="1" si="48"/>
        <v>5.0767802553158488</v>
      </c>
      <c r="S113" s="42">
        <f t="shared" ca="1" si="53"/>
        <v>1.0622434127042337E-2</v>
      </c>
      <c r="T113" s="42">
        <f t="shared" ca="1" si="53"/>
        <v>0</v>
      </c>
      <c r="U113" s="42">
        <f t="shared" ca="1" si="53"/>
        <v>1.3856311790927744</v>
      </c>
      <c r="V113" s="42">
        <f t="shared" ca="1" si="53"/>
        <v>0.20422392639487943</v>
      </c>
      <c r="W113" s="42">
        <f t="shared" ca="1" si="53"/>
        <v>0.31171244604404824</v>
      </c>
      <c r="X113" s="42">
        <f t="shared" ca="1" si="53"/>
        <v>4.59423406443175E-2</v>
      </c>
      <c r="Y113" s="42">
        <f t="shared" ca="1" si="53"/>
        <v>0.62484792104436693</v>
      </c>
      <c r="Z113" s="42">
        <f t="shared" ca="1" si="53"/>
        <v>9.209441715861838E-2</v>
      </c>
      <c r="AA113" s="42">
        <f t="shared" ca="1" si="53"/>
        <v>2.4027351181075107</v>
      </c>
      <c r="AB113" s="42">
        <f t="shared" ca="1" si="49"/>
        <v>0</v>
      </c>
      <c r="AC113" s="51">
        <f t="shared" ca="1" si="50"/>
        <v>5.0778097826135582</v>
      </c>
    </row>
    <row r="114" spans="1:29" ht="12" customHeight="1" x14ac:dyDescent="0.25">
      <c r="A114" s="262"/>
      <c r="C114" s="263"/>
      <c r="D114" s="43">
        <f t="shared" si="51"/>
        <v>103</v>
      </c>
      <c r="E114" s="43">
        <f t="shared" si="46"/>
        <v>80.75</v>
      </c>
      <c r="G114" s="42">
        <f t="shared" ca="1" si="52"/>
        <v>1.0788720338238342E-4</v>
      </c>
      <c r="H114" s="42">
        <f t="shared" ca="1" si="52"/>
        <v>0</v>
      </c>
      <c r="I114" s="42">
        <f t="shared" ca="1" si="52"/>
        <v>1.3737258733110518</v>
      </c>
      <c r="J114" s="42">
        <f t="shared" ca="1" si="52"/>
        <v>0.2024692399181599</v>
      </c>
      <c r="K114" s="42">
        <f t="shared" ca="1" si="52"/>
        <v>0.30903422110070305</v>
      </c>
      <c r="L114" s="42">
        <f t="shared" ca="1" si="52"/>
        <v>4.5547605290529647E-2</v>
      </c>
      <c r="M114" s="42">
        <f t="shared" ca="1" si="52"/>
        <v>0.61947924453120007</v>
      </c>
      <c r="N114" s="42">
        <f t="shared" ca="1" si="52"/>
        <v>9.1303144406095063E-2</v>
      </c>
      <c r="O114" s="42">
        <f t="shared" ca="1" si="52"/>
        <v>2.3925141619236312</v>
      </c>
      <c r="P114" s="42">
        <f t="shared" ca="1" si="47"/>
        <v>0</v>
      </c>
      <c r="Q114" s="51">
        <f t="shared" ca="1" si="48"/>
        <v>5.034181377684753</v>
      </c>
      <c r="S114" s="42">
        <f t="shared" ca="1" si="53"/>
        <v>9.9826135125779189E-3</v>
      </c>
      <c r="T114" s="42">
        <f t="shared" ca="1" si="53"/>
        <v>0</v>
      </c>
      <c r="U114" s="42">
        <f t="shared" ca="1" si="53"/>
        <v>1.3740044530830762</v>
      </c>
      <c r="V114" s="42">
        <f t="shared" ca="1" si="53"/>
        <v>0.20251029893567873</v>
      </c>
      <c r="W114" s="42">
        <f t="shared" ca="1" si="53"/>
        <v>0.30909689057831463</v>
      </c>
      <c r="X114" s="42">
        <f t="shared" ca="1" si="53"/>
        <v>4.555684195247553E-2</v>
      </c>
      <c r="Y114" s="42">
        <f t="shared" ca="1" si="53"/>
        <v>0.6196048695849814</v>
      </c>
      <c r="Z114" s="42">
        <f t="shared" ca="1" si="53"/>
        <v>9.1321659897175139E-2</v>
      </c>
      <c r="AA114" s="42">
        <f t="shared" ca="1" si="53"/>
        <v>2.3831246387528022</v>
      </c>
      <c r="AB114" s="42">
        <f t="shared" ca="1" si="49"/>
        <v>0</v>
      </c>
      <c r="AC114" s="51">
        <f t="shared" ca="1" si="50"/>
        <v>5.0352022662970821</v>
      </c>
    </row>
    <row r="115" spans="1:29" ht="12" customHeight="1" x14ac:dyDescent="0.25">
      <c r="A115" s="262"/>
      <c r="C115" s="263"/>
      <c r="D115" s="43">
        <f t="shared" si="51"/>
        <v>104</v>
      </c>
      <c r="E115" s="43">
        <f t="shared" si="46"/>
        <v>81</v>
      </c>
      <c r="G115" s="42">
        <f t="shared" ca="1" si="52"/>
        <v>1.0138883813620759E-4</v>
      </c>
      <c r="H115" s="42">
        <f t="shared" ca="1" si="52"/>
        <v>0</v>
      </c>
      <c r="I115" s="42">
        <f t="shared" ca="1" si="52"/>
        <v>1.3621990438181715</v>
      </c>
      <c r="J115" s="42">
        <f t="shared" ca="1" si="52"/>
        <v>0.20077033589994808</v>
      </c>
      <c r="K115" s="42">
        <f t="shared" ca="1" si="52"/>
        <v>0.30644113841710546</v>
      </c>
      <c r="L115" s="42">
        <f t="shared" ca="1" si="52"/>
        <v>4.5165418793068179E-2</v>
      </c>
      <c r="M115" s="42">
        <f t="shared" ca="1" si="52"/>
        <v>0.61428124122878103</v>
      </c>
      <c r="N115" s="42">
        <f t="shared" ca="1" si="52"/>
        <v>9.0537026654235131E-2</v>
      </c>
      <c r="O115" s="42">
        <f t="shared" ca="1" si="52"/>
        <v>2.3724443503517874</v>
      </c>
      <c r="P115" s="42">
        <f t="shared" ca="1" si="47"/>
        <v>0</v>
      </c>
      <c r="Q115" s="51">
        <f t="shared" ca="1" si="48"/>
        <v>4.9919399440012331</v>
      </c>
      <c r="S115" s="42">
        <f t="shared" ca="1" si="53"/>
        <v>9.381331185458721E-3</v>
      </c>
      <c r="T115" s="42">
        <f t="shared" ca="1" si="53"/>
        <v>0</v>
      </c>
      <c r="U115" s="42">
        <f t="shared" ca="1" si="53"/>
        <v>1.3624752860484814</v>
      </c>
      <c r="V115" s="42">
        <f t="shared" ca="1" si="53"/>
        <v>0.20081105039436858</v>
      </c>
      <c r="W115" s="42">
        <f t="shared" ca="1" si="53"/>
        <v>0.30650328203988902</v>
      </c>
      <c r="X115" s="42">
        <f t="shared" ca="1" si="53"/>
        <v>4.5174577950885038E-2</v>
      </c>
      <c r="Y115" s="42">
        <f t="shared" ca="1" si="53"/>
        <v>0.61440581217227497</v>
      </c>
      <c r="Z115" s="42">
        <f t="shared" ca="1" si="53"/>
        <v>9.0555386783235478E-2</v>
      </c>
      <c r="AA115" s="42">
        <f t="shared" ca="1" si="53"/>
        <v>2.3636455398401397</v>
      </c>
      <c r="AB115" s="42">
        <f t="shared" ca="1" si="49"/>
        <v>0</v>
      </c>
      <c r="AC115" s="51">
        <f t="shared" ca="1" si="50"/>
        <v>4.9929522664147328</v>
      </c>
    </row>
    <row r="116" spans="1:29" ht="12" customHeight="1" x14ac:dyDescent="0.25">
      <c r="A116" s="262"/>
      <c r="C116" s="263"/>
      <c r="D116" s="43">
        <f t="shared" si="51"/>
        <v>105</v>
      </c>
      <c r="E116" s="43">
        <f t="shared" si="46"/>
        <v>81.25</v>
      </c>
      <c r="G116" s="42">
        <f t="shared" ca="1" si="52"/>
        <v>9.5281888642306236E-5</v>
      </c>
      <c r="H116" s="42">
        <f t="shared" ca="1" si="52"/>
        <v>0</v>
      </c>
      <c r="I116" s="42">
        <f t="shared" ca="1" si="52"/>
        <v>1.3507689350763081</v>
      </c>
      <c r="J116" s="42">
        <f t="shared" ca="1" si="52"/>
        <v>0.19908568725635151</v>
      </c>
      <c r="K116" s="42">
        <f t="shared" ca="1" si="52"/>
        <v>0.30386981409340735</v>
      </c>
      <c r="L116" s="42">
        <f t="shared" ca="1" si="52"/>
        <v>4.4786439193486634E-2</v>
      </c>
      <c r="M116" s="42">
        <f t="shared" ca="1" si="52"/>
        <v>0.60912685397737654</v>
      </c>
      <c r="N116" s="42">
        <f t="shared" ca="1" si="52"/>
        <v>8.9777337338258031E-2</v>
      </c>
      <c r="O116" s="42">
        <f t="shared" ca="1" si="52"/>
        <v>2.3525426061564332</v>
      </c>
      <c r="P116" s="42">
        <f t="shared" ca="1" si="47"/>
        <v>0</v>
      </c>
      <c r="Q116" s="51">
        <f t="shared" ca="1" si="48"/>
        <v>4.9500529549802632</v>
      </c>
      <c r="S116" s="42">
        <f t="shared" ca="1" si="53"/>
        <v>8.8162658706930856E-3</v>
      </c>
      <c r="T116" s="42">
        <f t="shared" ca="1" si="53"/>
        <v>0</v>
      </c>
      <c r="U116" s="42">
        <f t="shared" ca="1" si="53"/>
        <v>1.3510428593790396</v>
      </c>
      <c r="V116" s="42">
        <f t="shared" ca="1" si="53"/>
        <v>0.19912606011854087</v>
      </c>
      <c r="W116" s="42">
        <f t="shared" ca="1" si="53"/>
        <v>0.30393143627377084</v>
      </c>
      <c r="X116" s="42">
        <f t="shared" ca="1" si="53"/>
        <v>4.4795521497505729E-2</v>
      </c>
      <c r="Y116" s="42">
        <f t="shared" ca="1" si="53"/>
        <v>0.60925037965554241</v>
      </c>
      <c r="Z116" s="42">
        <f t="shared" ca="1" si="53"/>
        <v>8.9795543408810047E-2</v>
      </c>
      <c r="AA116" s="42">
        <f t="shared" ca="1" si="53"/>
        <v>2.3442987168693579</v>
      </c>
      <c r="AB116" s="42">
        <f t="shared" ca="1" si="49"/>
        <v>0</v>
      </c>
      <c r="AC116" s="51">
        <f t="shared" ca="1" si="50"/>
        <v>4.9510567830732608</v>
      </c>
    </row>
    <row r="117" spans="1:29" ht="12" customHeight="1" x14ac:dyDescent="0.25">
      <c r="A117" s="262"/>
      <c r="C117" s="263"/>
      <c r="D117" s="43">
        <f t="shared" si="51"/>
        <v>106</v>
      </c>
      <c r="E117" s="43">
        <f t="shared" si="46"/>
        <v>81.5</v>
      </c>
      <c r="G117" s="42">
        <f t="shared" ca="1" si="52"/>
        <v>8.9542778772634126E-5</v>
      </c>
      <c r="H117" s="42">
        <f t="shared" ca="1" si="52"/>
        <v>0</v>
      </c>
      <c r="I117" s="42">
        <f t="shared" ca="1" si="52"/>
        <v>1.339434735508984</v>
      </c>
      <c r="J117" s="42">
        <f t="shared" ca="1" si="52"/>
        <v>0.19741517437160422</v>
      </c>
      <c r="K117" s="42">
        <f t="shared" ca="1" si="52"/>
        <v>0.30132006555686303</v>
      </c>
      <c r="L117" s="42">
        <f t="shared" ca="1" si="52"/>
        <v>4.4410639582948414E-2</v>
      </c>
      <c r="M117" s="42">
        <f t="shared" ca="1" si="52"/>
        <v>0.60401571679801447</v>
      </c>
      <c r="N117" s="42">
        <f t="shared" ca="1" si="52"/>
        <v>8.9024022517646378E-2</v>
      </c>
      <c r="O117" s="42">
        <f t="shared" ca="1" si="52"/>
        <v>2.3328075393887646</v>
      </c>
      <c r="P117" s="42">
        <f t="shared" ca="1" si="47"/>
        <v>0</v>
      </c>
      <c r="Q117" s="51">
        <f t="shared" ca="1" si="48"/>
        <v>4.9085174365035975</v>
      </c>
      <c r="S117" s="42">
        <f t="shared" ca="1" si="53"/>
        <v>8.2852361105453399E-3</v>
      </c>
      <c r="T117" s="42">
        <f t="shared" ca="1" si="53"/>
        <v>0</v>
      </c>
      <c r="U117" s="42">
        <f t="shared" ca="1" si="53"/>
        <v>1.3397063613336906</v>
      </c>
      <c r="V117" s="42">
        <f t="shared" ca="1" si="53"/>
        <v>0.19745520846817255</v>
      </c>
      <c r="W117" s="42">
        <f t="shared" ca="1" si="53"/>
        <v>0.30138117067019016</v>
      </c>
      <c r="X117" s="42">
        <f t="shared" ca="1" si="53"/>
        <v>4.4419645678044122E-2</v>
      </c>
      <c r="Y117" s="42">
        <f t="shared" ca="1" si="53"/>
        <v>0.6041382059815944</v>
      </c>
      <c r="Z117" s="42">
        <f t="shared" ca="1" si="53"/>
        <v>8.9042075822442834E-2</v>
      </c>
      <c r="AA117" s="42">
        <f t="shared" ca="1" si="53"/>
        <v>2.3250849374866083</v>
      </c>
      <c r="AB117" s="42">
        <f t="shared" ca="1" si="49"/>
        <v>0</v>
      </c>
      <c r="AC117" s="51">
        <f t="shared" ca="1" si="50"/>
        <v>4.9095128415512885</v>
      </c>
    </row>
    <row r="118" spans="1:29" ht="12" customHeight="1" x14ac:dyDescent="0.25">
      <c r="A118" s="262"/>
      <c r="C118" s="263"/>
      <c r="D118" s="43">
        <f t="shared" si="51"/>
        <v>107</v>
      </c>
      <c r="E118" s="43">
        <f t="shared" si="46"/>
        <v>81.75</v>
      </c>
      <c r="G118" s="42">
        <f t="shared" ca="1" si="52"/>
        <v>8.4149352459044925E-5</v>
      </c>
      <c r="H118" s="42">
        <f t="shared" ca="1" si="52"/>
        <v>0</v>
      </c>
      <c r="I118" s="42">
        <f t="shared" ca="1" si="52"/>
        <v>1.328195640349598</v>
      </c>
      <c r="J118" s="42">
        <f t="shared" ca="1" si="52"/>
        <v>0.19575867863362703</v>
      </c>
      <c r="K118" s="42">
        <f t="shared" ca="1" si="52"/>
        <v>0.29879171176668073</v>
      </c>
      <c r="L118" s="42">
        <f t="shared" ca="1" si="52"/>
        <v>4.403799327840692E-2</v>
      </c>
      <c r="M118" s="42">
        <f t="shared" ca="1" si="52"/>
        <v>0.59894746678262434</v>
      </c>
      <c r="N118" s="42">
        <f t="shared" ca="1" si="52"/>
        <v>8.827702870449361E-2</v>
      </c>
      <c r="O118" s="42">
        <f t="shared" ca="1" si="52"/>
        <v>2.3132377705406952</v>
      </c>
      <c r="P118" s="42">
        <f t="shared" ca="1" si="47"/>
        <v>0</v>
      </c>
      <c r="Q118" s="51">
        <f t="shared" ca="1" si="48"/>
        <v>4.867330439408585</v>
      </c>
      <c r="S118" s="42">
        <f t="shared" ca="1" si="53"/>
        <v>7.7861918429290725E-3</v>
      </c>
      <c r="T118" s="42">
        <f t="shared" ca="1" si="53"/>
        <v>0</v>
      </c>
      <c r="U118" s="42">
        <f t="shared" ca="1" si="53"/>
        <v>1.3284649869826348</v>
      </c>
      <c r="V118" s="42">
        <f t="shared" ca="1" si="53"/>
        <v>0.19579837680713091</v>
      </c>
      <c r="W118" s="42">
        <f t="shared" ca="1" si="53"/>
        <v>0.29885230415164177</v>
      </c>
      <c r="X118" s="42">
        <f t="shared" ca="1" si="53"/>
        <v>4.4046923804042522E-2</v>
      </c>
      <c r="Y118" s="42">
        <f t="shared" ca="1" si="53"/>
        <v>0.59906892816876567</v>
      </c>
      <c r="Z118" s="42">
        <f t="shared" ca="1" si="53"/>
        <v>8.829493052538033E-2</v>
      </c>
      <c r="AA118" s="42">
        <f t="shared" ca="1" si="53"/>
        <v>2.3060048498055776</v>
      </c>
      <c r="AB118" s="42">
        <f t="shared" ca="1" si="49"/>
        <v>0</v>
      </c>
      <c r="AC118" s="51">
        <f t="shared" ca="1" si="50"/>
        <v>4.8683174920881029</v>
      </c>
    </row>
    <row r="119" spans="1:29" ht="12" customHeight="1" x14ac:dyDescent="0.25">
      <c r="A119" s="262"/>
      <c r="C119" s="263"/>
      <c r="D119" s="43">
        <f t="shared" si="51"/>
        <v>108</v>
      </c>
      <c r="E119" s="43">
        <f t="shared" si="46"/>
        <v>82</v>
      </c>
      <c r="G119" s="42">
        <f t="shared" ca="1" si="52"/>
        <v>7.9080788158884845E-5</v>
      </c>
      <c r="H119" s="42">
        <f t="shared" ca="1" si="52"/>
        <v>0</v>
      </c>
      <c r="I119" s="42">
        <f t="shared" ca="1" si="52"/>
        <v>1.3170508515842854</v>
      </c>
      <c r="J119" s="42">
        <f t="shared" ca="1" si="52"/>
        <v>0.1941160824256058</v>
      </c>
      <c r="K119" s="42">
        <f t="shared" ca="1" si="52"/>
        <v>0.29628457320116836</v>
      </c>
      <c r="L119" s="42">
        <f t="shared" ca="1" si="52"/>
        <v>4.3668473820710964E-2</v>
      </c>
      <c r="M119" s="42">
        <f t="shared" ca="1" si="52"/>
        <v>0.59392174406826981</v>
      </c>
      <c r="N119" s="42">
        <f t="shared" ca="1" si="52"/>
        <v>8.7536302859706108E-2</v>
      </c>
      <c r="O119" s="42">
        <f t="shared" ca="1" si="52"/>
        <v>2.2938319305308701</v>
      </c>
      <c r="P119" s="42">
        <f t="shared" ca="1" si="47"/>
        <v>0</v>
      </c>
      <c r="Q119" s="51">
        <f t="shared" ca="1" si="48"/>
        <v>4.8264890392787754</v>
      </c>
      <c r="S119" s="42">
        <f t="shared" ca="1" si="53"/>
        <v>7.317206487058683E-3</v>
      </c>
      <c r="T119" s="42">
        <f t="shared" ca="1" si="53"/>
        <v>0</v>
      </c>
      <c r="U119" s="42">
        <f t="shared" ca="1" si="53"/>
        <v>1.3173179381501761</v>
      </c>
      <c r="V119" s="42">
        <f t="shared" ca="1" si="53"/>
        <v>0.19415544749475017</v>
      </c>
      <c r="W119" s="42">
        <f t="shared" ca="1" si="53"/>
        <v>0.29634465716002806</v>
      </c>
      <c r="X119" s="42">
        <f t="shared" ca="1" si="53"/>
        <v>4.367732941098406E-2</v>
      </c>
      <c r="Y119" s="42">
        <f t="shared" ca="1" si="53"/>
        <v>0.5940421862811428</v>
      </c>
      <c r="Z119" s="42">
        <f t="shared" ca="1" si="53"/>
        <v>8.7554054467773063E-2</v>
      </c>
      <c r="AA119" s="42">
        <f t="shared" ca="1" si="53"/>
        <v>2.2870589902222953</v>
      </c>
      <c r="AB119" s="42">
        <f t="shared" ca="1" si="49"/>
        <v>0</v>
      </c>
      <c r="AC119" s="51">
        <f t="shared" ca="1" si="50"/>
        <v>4.8274678096742081</v>
      </c>
    </row>
    <row r="120" spans="1:29" ht="12" customHeight="1" x14ac:dyDescent="0.25">
      <c r="A120" s="262"/>
      <c r="C120" s="263"/>
      <c r="D120" s="43">
        <f t="shared" si="51"/>
        <v>109</v>
      </c>
      <c r="E120" s="43">
        <f t="shared" si="46"/>
        <v>82.25</v>
      </c>
      <c r="G120" s="42">
        <f t="shared" ca="1" si="52"/>
        <v>7.4317518472576477E-5</v>
      </c>
      <c r="H120" s="42">
        <f t="shared" ca="1" si="52"/>
        <v>0</v>
      </c>
      <c r="I120" s="42">
        <f t="shared" ca="1" si="52"/>
        <v>1.3059995778952531</v>
      </c>
      <c r="J120" s="42">
        <f t="shared" ca="1" si="52"/>
        <v>0.19248726911764014</v>
      </c>
      <c r="K120" s="42">
        <f t="shared" ca="1" si="52"/>
        <v>0.29379847184498653</v>
      </c>
      <c r="L120" s="42">
        <f t="shared" ca="1" si="52"/>
        <v>4.3302054972726101E-2</v>
      </c>
      <c r="M120" s="42">
        <f t="shared" ca="1" si="52"/>
        <v>0.58893819181159701</v>
      </c>
      <c r="N120" s="42">
        <f t="shared" ca="1" si="52"/>
        <v>8.6801792389237242E-2</v>
      </c>
      <c r="O120" s="42">
        <f t="shared" ca="1" si="52"/>
        <v>2.274588660686363</v>
      </c>
      <c r="P120" s="42">
        <f t="shared" ca="1" si="47"/>
        <v>0</v>
      </c>
      <c r="Q120" s="51">
        <f t="shared" ca="1" si="48"/>
        <v>4.7859903362362761</v>
      </c>
      <c r="S120" s="42">
        <f t="shared" ca="1" si="53"/>
        <v>6.8764695058055499E-3</v>
      </c>
      <c r="T120" s="42">
        <f t="shared" ca="1" si="53"/>
        <v>0</v>
      </c>
      <c r="U120" s="42">
        <f t="shared" ca="1" si="53"/>
        <v>1.3062644233580503</v>
      </c>
      <c r="V120" s="42">
        <f t="shared" ca="1" si="53"/>
        <v>0.19252630387747835</v>
      </c>
      <c r="W120" s="42">
        <f t="shared" ca="1" si="53"/>
        <v>0.29385805164390971</v>
      </c>
      <c r="X120" s="42">
        <f t="shared" ca="1" si="53"/>
        <v>4.3310836256413639E-2</v>
      </c>
      <c r="Y120" s="42">
        <f t="shared" ca="1" si="53"/>
        <v>0.58905762340300727</v>
      </c>
      <c r="Z120" s="42">
        <f t="shared" ca="1" si="53"/>
        <v>8.681939504490882E-2</v>
      </c>
      <c r="AA120" s="42">
        <f t="shared" ca="1" si="53"/>
        <v>2.2682477907540677</v>
      </c>
      <c r="AB120" s="42">
        <f t="shared" ca="1" si="49"/>
        <v>0</v>
      </c>
      <c r="AC120" s="51">
        <f t="shared" ca="1" si="50"/>
        <v>4.7869608938436414</v>
      </c>
    </row>
    <row r="121" spans="1:29" ht="12" customHeight="1" x14ac:dyDescent="0.25">
      <c r="A121" s="262"/>
      <c r="C121" s="263"/>
      <c r="D121" s="43">
        <f t="shared" si="51"/>
        <v>110</v>
      </c>
      <c r="E121" s="43">
        <f t="shared" si="46"/>
        <v>82.5</v>
      </c>
      <c r="G121" s="42">
        <f t="shared" ref="G121:O131" ca="1" si="54">PRODUCT(AVERAGE(OFFSET(AB.Trace.MarkovQB.Root, $D121, (G$2-1)*AB.Trace.MarkovQB.NumCols+G$3-1, CHOOSE(swtchHalfCycle, 2, 1))), G$6)</f>
        <v>6.984115460287328E-5</v>
      </c>
      <c r="H121" s="42">
        <f t="shared" ca="1" si="54"/>
        <v>0</v>
      </c>
      <c r="I121" s="42">
        <f t="shared" ca="1" si="54"/>
        <v>1.295041034604598</v>
      </c>
      <c r="J121" s="42">
        <f t="shared" ca="1" si="54"/>
        <v>0.1908721230584621</v>
      </c>
      <c r="K121" s="42">
        <f t="shared" ca="1" si="54"/>
        <v>0.29133323117650922</v>
      </c>
      <c r="L121" s="42">
        <f t="shared" ca="1" si="54"/>
        <v>4.293871071747167E-2</v>
      </c>
      <c r="M121" s="42">
        <f t="shared" ca="1" si="54"/>
        <v>0.58399645616349771</v>
      </c>
      <c r="N121" s="42">
        <f t="shared" ca="1" si="54"/>
        <v>8.6073445140353033E-2</v>
      </c>
      <c r="O121" s="42">
        <f t="shared" ca="1" si="54"/>
        <v>2.2555066127203545</v>
      </c>
      <c r="P121" s="42">
        <f t="shared" ca="1" si="47"/>
        <v>0</v>
      </c>
      <c r="Q121" s="51">
        <f t="shared" ca="1" si="48"/>
        <v>4.7458314547358489</v>
      </c>
      <c r="S121" s="42">
        <f t="shared" ref="S121:AA131" ca="1" si="55">PRODUCT(AVERAGE(OFFSET(AB.Trace.MarkovQB.Root, $D121, (S$2-1)*AB.Trace.MarkovQB.NumCols+S$3-1, CHOOSE(swtchHalfCycle, 2, 1))), S$6)</f>
        <v>6.4622794160454572E-3</v>
      </c>
      <c r="T121" s="42">
        <f t="shared" ca="1" si="55"/>
        <v>0</v>
      </c>
      <c r="U121" s="42">
        <f t="shared" ca="1" si="55"/>
        <v>1.2953036577692267</v>
      </c>
      <c r="V121" s="42">
        <f t="shared" ca="1" si="55"/>
        <v>0.19091083028059455</v>
      </c>
      <c r="W121" s="42">
        <f t="shared" ca="1" si="55"/>
        <v>0.29139231104586366</v>
      </c>
      <c r="X121" s="42">
        <f t="shared" ca="1" si="55"/>
        <v>4.2947418318074575E-2</v>
      </c>
      <c r="Y121" s="42">
        <f t="shared" ca="1" si="55"/>
        <v>0.58411488561349312</v>
      </c>
      <c r="Z121" s="42">
        <f t="shared" ca="1" si="55"/>
        <v>8.6090900093477501E-2</v>
      </c>
      <c r="AA121" s="42">
        <f t="shared" ca="1" si="55"/>
        <v>2.2495715859312519</v>
      </c>
      <c r="AB121" s="42">
        <f t="shared" ca="1" si="49"/>
        <v>0</v>
      </c>
      <c r="AC121" s="51">
        <f t="shared" ca="1" si="50"/>
        <v>4.7467938684680275</v>
      </c>
    </row>
    <row r="122" spans="1:29" ht="12" customHeight="1" x14ac:dyDescent="0.25">
      <c r="A122" s="262"/>
      <c r="C122" s="263"/>
      <c r="D122" s="43">
        <f t="shared" si="51"/>
        <v>111</v>
      </c>
      <c r="E122" s="43">
        <f t="shared" si="46"/>
        <v>82.75</v>
      </c>
      <c r="G122" s="42">
        <f t="shared" ca="1" si="54"/>
        <v>6.5634415364156348E-5</v>
      </c>
      <c r="H122" s="42">
        <f t="shared" ca="1" si="54"/>
        <v>0</v>
      </c>
      <c r="I122" s="42">
        <f t="shared" ca="1" si="54"/>
        <v>1.284174443618588</v>
      </c>
      <c r="J122" s="42">
        <f t="shared" ca="1" si="54"/>
        <v>0.18927052956722504</v>
      </c>
      <c r="K122" s="42">
        <f t="shared" ca="1" si="54"/>
        <v>0.28888867615528974</v>
      </c>
      <c r="L122" s="42">
        <f t="shared" ca="1" si="54"/>
        <v>4.2578415256273532E-2</v>
      </c>
      <c r="M122" s="42">
        <f t="shared" ca="1" si="54"/>
        <v>0.57909618624398462</v>
      </c>
      <c r="N122" s="42">
        <f t="shared" ca="1" si="54"/>
        <v>8.5351209397929215E-2</v>
      </c>
      <c r="O122" s="42">
        <f t="shared" ca="1" si="54"/>
        <v>2.2365844487060849</v>
      </c>
      <c r="P122" s="42">
        <f t="shared" ca="1" si="47"/>
        <v>0</v>
      </c>
      <c r="Q122" s="51">
        <f t="shared" ca="1" si="48"/>
        <v>4.7060095433607394</v>
      </c>
      <c r="S122" s="42">
        <f t="shared" ca="1" si="55"/>
        <v>6.0730372200134821E-3</v>
      </c>
      <c r="T122" s="42">
        <f t="shared" ca="1" si="55"/>
        <v>0</v>
      </c>
      <c r="U122" s="42">
        <f t="shared" ca="1" si="55"/>
        <v>1.2844348631321842</v>
      </c>
      <c r="V122" s="42">
        <f t="shared" ca="1" si="55"/>
        <v>0.18930891199999567</v>
      </c>
      <c r="W122" s="42">
        <f t="shared" ca="1" si="55"/>
        <v>0.28894726028994661</v>
      </c>
      <c r="X122" s="42">
        <f t="shared" ca="1" si="55"/>
        <v>4.2587049792060967E-2</v>
      </c>
      <c r="Y122" s="42">
        <f t="shared" ca="1" si="55"/>
        <v>0.57921362196145776</v>
      </c>
      <c r="Z122" s="42">
        <f t="shared" ca="1" si="55"/>
        <v>8.5368517887867382E-2</v>
      </c>
      <c r="AA122" s="42">
        <f t="shared" ca="1" si="55"/>
        <v>2.2310306192688434</v>
      </c>
      <c r="AB122" s="42">
        <f t="shared" ca="1" si="49"/>
        <v>0</v>
      </c>
      <c r="AC122" s="51">
        <f t="shared" ca="1" si="50"/>
        <v>4.7069638815523698</v>
      </c>
    </row>
    <row r="123" spans="1:29" ht="12" customHeight="1" x14ac:dyDescent="0.25">
      <c r="A123" s="262"/>
      <c r="C123" s="263"/>
      <c r="D123" s="43">
        <f t="shared" si="51"/>
        <v>112</v>
      </c>
      <c r="E123" s="43">
        <f t="shared" si="46"/>
        <v>83</v>
      </c>
      <c r="G123" s="42">
        <f t="shared" ca="1" si="54"/>
        <v>6.1681060467711358E-5</v>
      </c>
      <c r="H123" s="42">
        <f t="shared" ca="1" si="54"/>
        <v>0</v>
      </c>
      <c r="I123" s="42">
        <f t="shared" ca="1" si="54"/>
        <v>1.2733990333724172</v>
      </c>
      <c r="J123" s="42">
        <f t="shared" ca="1" si="54"/>
        <v>0.18768237492536033</v>
      </c>
      <c r="K123" s="42">
        <f t="shared" ca="1" si="54"/>
        <v>0.28646463320963295</v>
      </c>
      <c r="L123" s="42">
        <f t="shared" ca="1" si="54"/>
        <v>4.2221143006932284E-2</v>
      </c>
      <c r="M123" s="42">
        <f t="shared" ca="1" si="54"/>
        <v>0.57423703411727778</v>
      </c>
      <c r="N123" s="42">
        <f t="shared" ca="1" si="54"/>
        <v>8.4635033880779073E-2</v>
      </c>
      <c r="O123" s="42">
        <f t="shared" ca="1" si="54"/>
        <v>2.2178208410473439</v>
      </c>
      <c r="P123" s="42">
        <f t="shared" ca="1" si="47"/>
        <v>0</v>
      </c>
      <c r="Q123" s="51">
        <f t="shared" ca="1" si="48"/>
        <v>4.666521774620211</v>
      </c>
      <c r="S123" s="42">
        <f t="shared" ca="1" si="55"/>
        <v>5.707240232307783E-3</v>
      </c>
      <c r="T123" s="42">
        <f t="shared" ca="1" si="55"/>
        <v>0</v>
      </c>
      <c r="U123" s="42">
        <f t="shared" ca="1" si="55"/>
        <v>1.273657267725649</v>
      </c>
      <c r="V123" s="42">
        <f t="shared" ca="1" si="55"/>
        <v>0.18772043529405208</v>
      </c>
      <c r="W123" s="42">
        <f t="shared" ca="1" si="55"/>
        <v>0.2865227257692643</v>
      </c>
      <c r="X123" s="42">
        <f t="shared" ca="1" si="55"/>
        <v>4.2229705090985566E-2</v>
      </c>
      <c r="Y123" s="42">
        <f t="shared" ca="1" si="55"/>
        <v>0.57435348444056267</v>
      </c>
      <c r="Z123" s="42">
        <f t="shared" ca="1" si="55"/>
        <v>8.4652197136492469E-2</v>
      </c>
      <c r="AA123" s="42">
        <f t="shared" ca="1" si="55"/>
        <v>2.2126250493432265</v>
      </c>
      <c r="AB123" s="42">
        <f t="shared" ca="1" si="49"/>
        <v>0</v>
      </c>
      <c r="AC123" s="51">
        <f t="shared" ca="1" si="50"/>
        <v>4.6674681050325404</v>
      </c>
    </row>
    <row r="124" spans="1:29" ht="12" customHeight="1" x14ac:dyDescent="0.25">
      <c r="A124" s="262"/>
      <c r="C124" s="263"/>
      <c r="D124" s="43">
        <f t="shared" si="51"/>
        <v>113</v>
      </c>
      <c r="E124" s="43">
        <f t="shared" si="46"/>
        <v>83.25</v>
      </c>
      <c r="G124" s="42">
        <f t="shared" ca="1" si="54"/>
        <v>5.7965827825430294E-5</v>
      </c>
      <c r="H124" s="42">
        <f t="shared" ca="1" si="54"/>
        <v>0</v>
      </c>
      <c r="I124" s="42">
        <f t="shared" ca="1" si="54"/>
        <v>1.262714038775421</v>
      </c>
      <c r="J124" s="42">
        <f t="shared" ca="1" si="54"/>
        <v>0.18610754636850338</v>
      </c>
      <c r="K124" s="42">
        <f t="shared" ca="1" si="54"/>
        <v>0.28406093022427015</v>
      </c>
      <c r="L124" s="42">
        <f t="shared" ca="1" si="54"/>
        <v>4.1866868601906769E-2</v>
      </c>
      <c r="M124" s="42">
        <f t="shared" ca="1" si="54"/>
        <v>0.56941865476709985</v>
      </c>
      <c r="N124" s="42">
        <f t="shared" ca="1" si="54"/>
        <v>8.392486773801254E-2</v>
      </c>
      <c r="O124" s="42">
        <f t="shared" ca="1" si="54"/>
        <v>2.1992144724457514</v>
      </c>
      <c r="P124" s="42">
        <f t="shared" ca="1" si="47"/>
        <v>0</v>
      </c>
      <c r="Q124" s="51">
        <f t="shared" ca="1" si="48"/>
        <v>4.6273653447487906</v>
      </c>
      <c r="S124" s="42">
        <f t="shared" ca="1" si="55"/>
        <v>5.3634762787112128E-3</v>
      </c>
      <c r="T124" s="42">
        <f t="shared" ca="1" si="55"/>
        <v>0</v>
      </c>
      <c r="U124" s="42">
        <f t="shared" ca="1" si="55"/>
        <v>1.2629701063038032</v>
      </c>
      <c r="V124" s="42">
        <f t="shared" ca="1" si="55"/>
        <v>0.18614528737553146</v>
      </c>
      <c r="W124" s="42">
        <f t="shared" ca="1" si="55"/>
        <v>0.28411853533364467</v>
      </c>
      <c r="X124" s="42">
        <f t="shared" ca="1" si="55"/>
        <v>4.1875358842162903E-2</v>
      </c>
      <c r="Y124" s="42">
        <f t="shared" ca="1" si="55"/>
        <v>0.56953412796456437</v>
      </c>
      <c r="Z124" s="42">
        <f t="shared" ca="1" si="55"/>
        <v>8.3941886978150484E-2</v>
      </c>
      <c r="AA124" s="42">
        <f t="shared" ca="1" si="55"/>
        <v>2.1943549554979187</v>
      </c>
      <c r="AB124" s="42">
        <f t="shared" ca="1" si="49"/>
        <v>0</v>
      </c>
      <c r="AC124" s="51">
        <f t="shared" ca="1" si="50"/>
        <v>4.6283037345744873</v>
      </c>
    </row>
    <row r="125" spans="1:29" ht="12" customHeight="1" x14ac:dyDescent="0.25">
      <c r="A125" s="262"/>
      <c r="C125" s="263"/>
      <c r="D125" s="43">
        <f t="shared" si="51"/>
        <v>114</v>
      </c>
      <c r="E125" s="43">
        <f t="shared" si="46"/>
        <v>83.5</v>
      </c>
      <c r="G125" s="42">
        <f t="shared" ca="1" si="54"/>
        <v>5.4474374629896861E-5</v>
      </c>
      <c r="H125" s="42">
        <f t="shared" ca="1" si="54"/>
        <v>0</v>
      </c>
      <c r="I125" s="42">
        <f t="shared" ca="1" si="54"/>
        <v>1.2521187011567527</v>
      </c>
      <c r="J125" s="42">
        <f t="shared" ca="1" si="54"/>
        <v>0.18454593207848682</v>
      </c>
      <c r="K125" s="42">
        <f t="shared" ca="1" si="54"/>
        <v>0.28167739652813889</v>
      </c>
      <c r="L125" s="42">
        <f t="shared" ca="1" si="54"/>
        <v>4.1515566886512985E-2</v>
      </c>
      <c r="M125" s="42">
        <f t="shared" ca="1" si="54"/>
        <v>0.56464070607217887</v>
      </c>
      <c r="N125" s="42">
        <f t="shared" ca="1" si="54"/>
        <v>8.3220660545425484E-2</v>
      </c>
      <c r="O125" s="42">
        <f t="shared" ca="1" si="54"/>
        <v>2.1807640358650602</v>
      </c>
      <c r="P125" s="42">
        <f t="shared" ca="1" si="47"/>
        <v>0</v>
      </c>
      <c r="Q125" s="51">
        <f t="shared" ca="1" si="48"/>
        <v>4.588537473507186</v>
      </c>
      <c r="S125" s="42">
        <f t="shared" ca="1" si="55"/>
        <v>5.0404182444350491E-3</v>
      </c>
      <c r="T125" s="42">
        <f t="shared" ca="1" si="55"/>
        <v>0</v>
      </c>
      <c r="U125" s="42">
        <f t="shared" ca="1" si="55"/>
        <v>1.252372620041948</v>
      </c>
      <c r="V125" s="42">
        <f t="shared" ca="1" si="55"/>
        <v>0.18458335640359069</v>
      </c>
      <c r="W125" s="42">
        <f t="shared" ca="1" si="55"/>
        <v>0.28173451827741486</v>
      </c>
      <c r="X125" s="42">
        <f t="shared" ca="1" si="55"/>
        <v>4.1523985885807801E-2</v>
      </c>
      <c r="Y125" s="42">
        <f t="shared" ca="1" si="55"/>
        <v>0.56475521034281173</v>
      </c>
      <c r="Z125" s="42">
        <f t="shared" ca="1" si="55"/>
        <v>8.3237536978411714E-2</v>
      </c>
      <c r="AA125" s="42">
        <f t="shared" ca="1" si="55"/>
        <v>2.1762203432006895</v>
      </c>
      <c r="AB125" s="42">
        <f t="shared" ca="1" si="49"/>
        <v>0</v>
      </c>
      <c r="AC125" s="51">
        <f t="shared" ca="1" si="50"/>
        <v>4.5894679893751089</v>
      </c>
    </row>
    <row r="126" spans="1:29" ht="12" customHeight="1" x14ac:dyDescent="0.25">
      <c r="A126" s="262"/>
      <c r="C126" s="263"/>
      <c r="D126" s="43">
        <f t="shared" si="51"/>
        <v>115</v>
      </c>
      <c r="E126" s="43">
        <f t="shared" si="46"/>
        <v>83.75</v>
      </c>
      <c r="G126" s="42">
        <f t="shared" ca="1" si="54"/>
        <v>5.1193221983392282E-5</v>
      </c>
      <c r="H126" s="42">
        <f t="shared" ca="1" si="54"/>
        <v>0</v>
      </c>
      <c r="I126" s="42">
        <f t="shared" ca="1" si="54"/>
        <v>1.2416122682115152</v>
      </c>
      <c r="J126" s="42">
        <f t="shared" ca="1" si="54"/>
        <v>0.18299742117540091</v>
      </c>
      <c r="K126" s="42">
        <f t="shared" ca="1" si="54"/>
        <v>0.27931386288226495</v>
      </c>
      <c r="L126" s="42">
        <f t="shared" ca="1" si="54"/>
        <v>4.1167212917137937E-2</v>
      </c>
      <c r="M126" s="42">
        <f t="shared" ca="1" si="54"/>
        <v>0.55990284878195673</v>
      </c>
      <c r="N126" s="42">
        <f t="shared" ca="1" si="54"/>
        <v>8.2522362301919366E-2</v>
      </c>
      <c r="O126" s="42">
        <f t="shared" ca="1" si="54"/>
        <v>2.162468234492704</v>
      </c>
      <c r="P126" s="42">
        <f t="shared" ca="1" si="47"/>
        <v>0</v>
      </c>
      <c r="Q126" s="51">
        <f t="shared" ca="1" si="48"/>
        <v>4.5500354039848823</v>
      </c>
      <c r="S126" s="42">
        <f t="shared" ca="1" si="55"/>
        <v>4.73681895073813E-3</v>
      </c>
      <c r="T126" s="42">
        <f t="shared" ca="1" si="55"/>
        <v>0</v>
      </c>
      <c r="U126" s="42">
        <f t="shared" ca="1" si="55"/>
        <v>1.2418640564826255</v>
      </c>
      <c r="V126" s="42">
        <f t="shared" ca="1" si="55"/>
        <v>0.18303453147583454</v>
      </c>
      <c r="W126" s="42">
        <f t="shared" ca="1" si="55"/>
        <v>0.27937050532728008</v>
      </c>
      <c r="X126" s="42">
        <f t="shared" ca="1" si="55"/>
        <v>4.1175561273248951E-2</v>
      </c>
      <c r="Y126" s="42">
        <f t="shared" ca="1" si="55"/>
        <v>0.56001639225594935</v>
      </c>
      <c r="Z126" s="42">
        <f t="shared" ca="1" si="55"/>
        <v>8.2539097126037908E-2</v>
      </c>
      <c r="AA126" s="42">
        <f t="shared" ca="1" si="55"/>
        <v>2.1582211490730998</v>
      </c>
      <c r="AB126" s="42">
        <f t="shared" ca="1" si="49"/>
        <v>0</v>
      </c>
      <c r="AC126" s="51">
        <f t="shared" ca="1" si="50"/>
        <v>4.5509581119648139</v>
      </c>
    </row>
    <row r="127" spans="1:29" ht="12" customHeight="1" x14ac:dyDescent="0.25">
      <c r="A127" s="262"/>
      <c r="C127" s="263"/>
      <c r="D127" s="43">
        <f t="shared" si="51"/>
        <v>116</v>
      </c>
      <c r="E127" s="43">
        <f t="shared" si="46"/>
        <v>84</v>
      </c>
      <c r="G127" s="42">
        <f t="shared" ca="1" si="54"/>
        <v>4.8109702862060027E-5</v>
      </c>
      <c r="H127" s="42">
        <f t="shared" ca="1" si="54"/>
        <v>0</v>
      </c>
      <c r="I127" s="42">
        <f t="shared" ca="1" si="54"/>
        <v>1.231193993947344</v>
      </c>
      <c r="J127" s="42">
        <f t="shared" ca="1" si="54"/>
        <v>0.18146190370972087</v>
      </c>
      <c r="K127" s="42">
        <f t="shared" ca="1" si="54"/>
        <v>0.27697016146774511</v>
      </c>
      <c r="L127" s="42">
        <f t="shared" ca="1" si="54"/>
        <v>4.0821781959468617E-2</v>
      </c>
      <c r="M127" s="42">
        <f t="shared" ca="1" si="54"/>
        <v>0.55520474649250073</v>
      </c>
      <c r="N127" s="42">
        <f t="shared" ca="1" si="54"/>
        <v>8.1829923425951176E-2</v>
      </c>
      <c r="O127" s="42">
        <f t="shared" ca="1" si="54"/>
        <v>2.1443257816987997</v>
      </c>
      <c r="P127" s="42">
        <f t="shared" ca="1" si="47"/>
        <v>0</v>
      </c>
      <c r="Q127" s="51">
        <f t="shared" ca="1" si="48"/>
        <v>4.5118564024043923</v>
      </c>
      <c r="S127" s="42">
        <f t="shared" ca="1" si="55"/>
        <v>4.4515063401423683E-3</v>
      </c>
      <c r="T127" s="42">
        <f t="shared" ca="1" si="55"/>
        <v>0</v>
      </c>
      <c r="U127" s="42">
        <f t="shared" ca="1" si="55"/>
        <v>1.2314436694821906</v>
      </c>
      <c r="V127" s="42">
        <f t="shared" ca="1" si="55"/>
        <v>0.18149870262044146</v>
      </c>
      <c r="W127" s="42">
        <f t="shared" ca="1" si="55"/>
        <v>0.27702632863030513</v>
      </c>
      <c r="X127" s="42">
        <f t="shared" ca="1" si="55"/>
        <v>4.0830060265157432E-2</v>
      </c>
      <c r="Y127" s="42">
        <f t="shared" ca="1" si="55"/>
        <v>0.55531733723182475</v>
      </c>
      <c r="Z127" s="42">
        <f t="shared" ca="1" si="55"/>
        <v>8.1846517829431267E-2</v>
      </c>
      <c r="AA127" s="42">
        <f t="shared" ca="1" si="55"/>
        <v>2.1403572456122357</v>
      </c>
      <c r="AB127" s="42">
        <f t="shared" ca="1" si="49"/>
        <v>0</v>
      </c>
      <c r="AC127" s="51">
        <f t="shared" ca="1" si="50"/>
        <v>4.5127713680117285</v>
      </c>
    </row>
    <row r="128" spans="1:29" ht="12" customHeight="1" x14ac:dyDescent="0.25">
      <c r="A128" s="262"/>
      <c r="C128" s="263"/>
      <c r="D128" s="43">
        <f t="shared" si="51"/>
        <v>117</v>
      </c>
      <c r="E128" s="43">
        <f t="shared" si="46"/>
        <v>84.25</v>
      </c>
      <c r="G128" s="42">
        <f t="shared" ca="1" si="54"/>
        <v>4.5211913214342577E-5</v>
      </c>
      <c r="H128" s="42">
        <f t="shared" ca="1" si="54"/>
        <v>0</v>
      </c>
      <c r="I128" s="42">
        <f t="shared" ca="1" si="54"/>
        <v>1.2208631386314406</v>
      </c>
      <c r="J128" s="42">
        <f t="shared" ca="1" si="54"/>
        <v>0.17993927065450011</v>
      </c>
      <c r="K128" s="42">
        <f t="shared" ca="1" si="54"/>
        <v>0.27464612587383203</v>
      </c>
      <c r="L128" s="42">
        <f t="shared" ca="1" si="54"/>
        <v>4.0479249486735779E-2</v>
      </c>
      <c r="M128" s="42">
        <f t="shared" ca="1" si="54"/>
        <v>0.55054606562261821</v>
      </c>
      <c r="N128" s="42">
        <f t="shared" ca="1" si="54"/>
        <v>8.1143294752012832E-2</v>
      </c>
      <c r="O128" s="42">
        <f t="shared" ca="1" si="54"/>
        <v>2.1263354009927937</v>
      </c>
      <c r="P128" s="42">
        <f t="shared" ca="1" si="47"/>
        <v>0</v>
      </c>
      <c r="Q128" s="51">
        <f t="shared" ca="1" si="48"/>
        <v>4.4739977579271475</v>
      </c>
      <c r="S128" s="42">
        <f t="shared" ca="1" si="55"/>
        <v>4.1833789516569596E-3</v>
      </c>
      <c r="T128" s="42">
        <f t="shared" ca="1" si="55"/>
        <v>0</v>
      </c>
      <c r="U128" s="42">
        <f t="shared" ca="1" si="55"/>
        <v>1.2211107191578328</v>
      </c>
      <c r="V128" s="42">
        <f t="shared" ca="1" si="55"/>
        <v>0.17997576078835509</v>
      </c>
      <c r="W128" s="42">
        <f t="shared" ca="1" si="55"/>
        <v>0.27470182174199592</v>
      </c>
      <c r="X128" s="42">
        <f t="shared" ca="1" si="55"/>
        <v>4.048745832979013E-2</v>
      </c>
      <c r="Y128" s="42">
        <f t="shared" ca="1" si="55"/>
        <v>0.55065771162159782</v>
      </c>
      <c r="Z128" s="42">
        <f t="shared" ca="1" si="55"/>
        <v>8.1159749913113352E-2</v>
      </c>
      <c r="AA128" s="42">
        <f t="shared" ca="1" si="55"/>
        <v>2.1226284456232065</v>
      </c>
      <c r="AB128" s="42">
        <f t="shared" ca="1" si="49"/>
        <v>0</v>
      </c>
      <c r="AC128" s="51">
        <f t="shared" ca="1" si="50"/>
        <v>4.4749050461275486</v>
      </c>
    </row>
    <row r="129" spans="1:29" ht="12" customHeight="1" x14ac:dyDescent="0.25">
      <c r="A129" s="262"/>
      <c r="C129" s="263"/>
      <c r="D129" s="43">
        <f t="shared" si="51"/>
        <v>118</v>
      </c>
      <c r="E129" s="43">
        <f t="shared" si="46"/>
        <v>84.5</v>
      </c>
      <c r="G129" s="42">
        <f t="shared" ca="1" si="54"/>
        <v>4.2488666004904062E-5</v>
      </c>
      <c r="H129" s="42">
        <f t="shared" ca="1" si="54"/>
        <v>0</v>
      </c>
      <c r="I129" s="42">
        <f t="shared" ca="1" si="54"/>
        <v>1.2106189687380484</v>
      </c>
      <c r="J129" s="42">
        <f t="shared" ca="1" si="54"/>
        <v>0.17842941389762879</v>
      </c>
      <c r="K129" s="42">
        <f t="shared" ca="1" si="54"/>
        <v>0.27234159108611822</v>
      </c>
      <c r="L129" s="42">
        <f t="shared" ca="1" si="54"/>
        <v>4.0139591177972368E-2</v>
      </c>
      <c r="M129" s="42">
        <f t="shared" ca="1" si="54"/>
        <v>0.54592647539017081</v>
      </c>
      <c r="N129" s="42">
        <f t="shared" ca="1" si="54"/>
        <v>8.0462427527140223E-2</v>
      </c>
      <c r="O129" s="42">
        <f t="shared" ca="1" si="54"/>
        <v>2.1084958259779363</v>
      </c>
      <c r="P129" s="42">
        <f t="shared" ca="1" si="47"/>
        <v>0</v>
      </c>
      <c r="Q129" s="51">
        <f t="shared" ca="1" si="48"/>
        <v>4.4364567824610202</v>
      </c>
      <c r="S129" s="42">
        <f t="shared" ca="1" si="55"/>
        <v>3.9314016685432331E-3</v>
      </c>
      <c r="T129" s="42">
        <f t="shared" ca="1" si="55"/>
        <v>0</v>
      </c>
      <c r="U129" s="42">
        <f t="shared" ca="1" si="55"/>
        <v>1.2108644718350428</v>
      </c>
      <c r="V129" s="42">
        <f t="shared" ca="1" si="55"/>
        <v>0.17846559784554136</v>
      </c>
      <c r="W129" s="42">
        <f t="shared" ca="1" si="55"/>
        <v>0.27239681961448148</v>
      </c>
      <c r="X129" s="42">
        <f t="shared" ca="1" si="55"/>
        <v>4.0147731141247964E-2</v>
      </c>
      <c r="Y129" s="42">
        <f t="shared" ca="1" si="55"/>
        <v>0.54603718457605066</v>
      </c>
      <c r="Z129" s="42">
        <f t="shared" ca="1" si="55"/>
        <v>8.0478744614233433E-2</v>
      </c>
      <c r="AA129" s="42">
        <f t="shared" ca="1" si="55"/>
        <v>2.1050345063798828</v>
      </c>
      <c r="AB129" s="42">
        <f t="shared" ca="1" si="49"/>
        <v>0</v>
      </c>
      <c r="AC129" s="51">
        <f t="shared" ca="1" si="50"/>
        <v>4.4373564576750235</v>
      </c>
    </row>
    <row r="130" spans="1:29" ht="12" customHeight="1" x14ac:dyDescent="0.25">
      <c r="A130" s="262"/>
      <c r="C130" s="263"/>
      <c r="D130" s="43">
        <f t="shared" si="51"/>
        <v>119</v>
      </c>
      <c r="E130" s="43">
        <f t="shared" si="46"/>
        <v>84.75</v>
      </c>
      <c r="G130" s="42">
        <f t="shared" ca="1" si="54"/>
        <v>3.9929448026623176E-5</v>
      </c>
      <c r="H130" s="42">
        <f t="shared" ca="1" si="54"/>
        <v>0</v>
      </c>
      <c r="I130" s="42">
        <f t="shared" ca="1" si="54"/>
        <v>1.2004607568963688</v>
      </c>
      <c r="J130" s="42">
        <f t="shared" ca="1" si="54"/>
        <v>0.17693222623415761</v>
      </c>
      <c r="K130" s="42">
        <f t="shared" ca="1" si="54"/>
        <v>0.27005639347481969</v>
      </c>
      <c r="L130" s="42">
        <f t="shared" ca="1" si="54"/>
        <v>3.9802782916286777E-2</v>
      </c>
      <c r="M130" s="42">
        <f t="shared" ca="1" si="54"/>
        <v>0.54134564778858818</v>
      </c>
      <c r="N130" s="42">
        <f t="shared" ca="1" si="54"/>
        <v>7.9787273407451773E-2</v>
      </c>
      <c r="O130" s="42">
        <f t="shared" ca="1" si="54"/>
        <v>2.0908058003037597</v>
      </c>
      <c r="P130" s="42">
        <f t="shared" ca="1" si="47"/>
        <v>0</v>
      </c>
      <c r="Q130" s="51">
        <f t="shared" ca="1" si="48"/>
        <v>4.3992308104694597</v>
      </c>
      <c r="S130" s="42">
        <f t="shared" ca="1" si="55"/>
        <v>3.6946017222041785E-3</v>
      </c>
      <c r="T130" s="42">
        <f t="shared" ca="1" si="55"/>
        <v>0</v>
      </c>
      <c r="U130" s="42">
        <f t="shared" ca="1" si="55"/>
        <v>1.2007041999955177</v>
      </c>
      <c r="V130" s="42">
        <f t="shared" ca="1" si="55"/>
        <v>0.17696810656531073</v>
      </c>
      <c r="W130" s="42">
        <f t="shared" ca="1" si="55"/>
        <v>0.27011115858479512</v>
      </c>
      <c r="X130" s="42">
        <f t="shared" ca="1" si="55"/>
        <v>3.9810854577748619E-2</v>
      </c>
      <c r="Y130" s="42">
        <f t="shared" ca="1" si="55"/>
        <v>0.54145542802209545</v>
      </c>
      <c r="Z130" s="42">
        <f t="shared" ca="1" si="55"/>
        <v>7.980345357910619E-2</v>
      </c>
      <c r="AA130" s="42">
        <f t="shared" ca="1" si="55"/>
        <v>2.0875751335302772</v>
      </c>
      <c r="AB130" s="42">
        <f t="shared" ca="1" si="49"/>
        <v>0</v>
      </c>
      <c r="AC130" s="51">
        <f t="shared" ca="1" si="50"/>
        <v>4.4001229365770556</v>
      </c>
    </row>
    <row r="131" spans="1:29" ht="12" customHeight="1" x14ac:dyDescent="0.25">
      <c r="A131" s="262"/>
      <c r="C131" s="263"/>
      <c r="D131" s="43">
        <f t="shared" si="51"/>
        <v>120</v>
      </c>
      <c r="E131" s="43">
        <f t="shared" si="46"/>
        <v>85</v>
      </c>
      <c r="G131" s="42">
        <f t="shared" ca="1" si="54"/>
        <v>3.8689573000928263E-5</v>
      </c>
      <c r="H131" s="42">
        <f t="shared" ca="1" si="54"/>
        <v>0</v>
      </c>
      <c r="I131" s="42">
        <f t="shared" ca="1" si="54"/>
        <v>1.1954030499501713</v>
      </c>
      <c r="J131" s="42">
        <f t="shared" ca="1" si="54"/>
        <v>0.176186786331612</v>
      </c>
      <c r="K131" s="42">
        <f t="shared" ca="1" si="54"/>
        <v>0.26891860859572564</v>
      </c>
      <c r="L131" s="42">
        <f t="shared" ca="1" si="54"/>
        <v>3.9635088295302955E-2</v>
      </c>
      <c r="M131" s="42">
        <f t="shared" ca="1" si="54"/>
        <v>0.53906488381743378</v>
      </c>
      <c r="N131" s="42">
        <f t="shared" ca="1" si="54"/>
        <v>7.945111860637831E-2</v>
      </c>
      <c r="O131" s="42">
        <f t="shared" ca="1" si="54"/>
        <v>2.0819980183844096</v>
      </c>
      <c r="P131" s="42">
        <f t="shared" ca="1" si="47"/>
        <v>0</v>
      </c>
      <c r="Q131" s="51">
        <f t="shared" ca="1" si="48"/>
        <v>4.3806962435540342</v>
      </c>
      <c r="S131" s="42">
        <f t="shared" ca="1" si="55"/>
        <v>3.5798782629117764E-3</v>
      </c>
      <c r="T131" s="42">
        <f t="shared" ca="1" si="55"/>
        <v>0</v>
      </c>
      <c r="U131" s="42">
        <f t="shared" ca="1" si="55"/>
        <v>1.1956454673899257</v>
      </c>
      <c r="V131" s="42">
        <f t="shared" ca="1" si="55"/>
        <v>0.17622251549397513</v>
      </c>
      <c r="W131" s="42">
        <f t="shared" ca="1" si="55"/>
        <v>0.2689731429727299</v>
      </c>
      <c r="X131" s="42">
        <f t="shared" ca="1" si="55"/>
        <v>3.964312594974042E-2</v>
      </c>
      <c r="Y131" s="42">
        <f t="shared" ca="1" si="55"/>
        <v>0.53917420153165729</v>
      </c>
      <c r="Z131" s="42">
        <f t="shared" ca="1" si="55"/>
        <v>7.9467230608735145E-2</v>
      </c>
      <c r="AA131" s="42">
        <f t="shared" ca="1" si="55"/>
        <v>2.078879048801467</v>
      </c>
      <c r="AB131" s="42">
        <f t="shared" ca="1" si="49"/>
        <v>0</v>
      </c>
      <c r="AC131" s="51">
        <f t="shared" ca="1" si="50"/>
        <v>4.3815846110111423</v>
      </c>
    </row>
    <row r="132" spans="1:29" ht="12" customHeight="1" x14ac:dyDescent="0.25">
      <c r="A132" s="262"/>
      <c r="C132" s="263"/>
    </row>
    <row r="133" spans="1:29" ht="12" customHeight="1" x14ac:dyDescent="0.25">
      <c r="A133" s="262"/>
      <c r="C133" s="263"/>
    </row>
    <row r="134" spans="1:29" ht="12" customHeight="1" x14ac:dyDescent="0.25">
      <c r="A134" s="262"/>
      <c r="C134" s="263"/>
    </row>
    <row r="135" spans="1:29" ht="12" customHeight="1" x14ac:dyDescent="0.25">
      <c r="A135" s="262"/>
      <c r="C135" s="263"/>
    </row>
    <row r="136" spans="1:29" ht="12" customHeight="1" x14ac:dyDescent="0.25">
      <c r="A136" s="262"/>
      <c r="C136" s="263"/>
    </row>
    <row r="137" spans="1:29" ht="12" customHeight="1" x14ac:dyDescent="0.25">
      <c r="A137" s="262"/>
      <c r="C137" s="263"/>
    </row>
    <row r="138" spans="1:29" ht="12" customHeight="1" x14ac:dyDescent="0.25">
      <c r="A138" s="262"/>
      <c r="C138" s="263"/>
    </row>
    <row r="139" spans="1:29" ht="12" customHeight="1" x14ac:dyDescent="0.25">
      <c r="A139" s="262"/>
      <c r="C139" s="263"/>
    </row>
    <row r="140" spans="1:29" ht="12" customHeight="1" x14ac:dyDescent="0.25">
      <c r="A140" s="262"/>
      <c r="C140" s="263"/>
    </row>
    <row r="141" spans="1:29" ht="12" customHeight="1" x14ac:dyDescent="0.25">
      <c r="A141" s="262"/>
      <c r="C141" s="263"/>
    </row>
    <row r="142" spans="1:29" ht="12" customHeight="1" x14ac:dyDescent="0.25">
      <c r="A142" s="262"/>
      <c r="C142" s="263"/>
    </row>
    <row r="143" spans="1:29" ht="12" customHeight="1" x14ac:dyDescent="0.25">
      <c r="A143" s="262"/>
      <c r="C143" s="263"/>
    </row>
    <row r="144" spans="1:29" ht="12" customHeight="1" x14ac:dyDescent="0.25">
      <c r="A144" s="262"/>
      <c r="C144" s="263"/>
    </row>
    <row r="145" spans="1:3" ht="12" customHeight="1" x14ac:dyDescent="0.25">
      <c r="A145" s="262"/>
      <c r="C145" s="263"/>
    </row>
    <row r="146" spans="1:3" ht="12" customHeight="1" x14ac:dyDescent="0.25">
      <c r="A146" s="262"/>
      <c r="C146" s="263"/>
    </row>
    <row r="147" spans="1:3" ht="12" customHeight="1" x14ac:dyDescent="0.25">
      <c r="A147" s="262"/>
      <c r="C147" s="263"/>
    </row>
    <row r="148" spans="1:3" ht="12" customHeight="1" x14ac:dyDescent="0.25">
      <c r="A148" s="262"/>
      <c r="C148" s="263"/>
    </row>
    <row r="149" spans="1:3" ht="12" customHeight="1" x14ac:dyDescent="0.25">
      <c r="A149" s="262"/>
      <c r="C149" s="263"/>
    </row>
    <row r="150" spans="1:3" ht="12" customHeight="1" x14ac:dyDescent="0.25">
      <c r="A150" s="262"/>
      <c r="C150" s="263"/>
    </row>
    <row r="151" spans="1:3" ht="12" customHeight="1" x14ac:dyDescent="0.25">
      <c r="A151" s="262"/>
      <c r="C151" s="263"/>
    </row>
    <row r="152" spans="1:3" ht="12" customHeight="1" x14ac:dyDescent="0.25">
      <c r="A152" s="262"/>
      <c r="C152" s="263"/>
    </row>
    <row r="153" spans="1:3" ht="12" customHeight="1" x14ac:dyDescent="0.25">
      <c r="A153" s="262"/>
      <c r="C153" s="263"/>
    </row>
    <row r="154" spans="1:3" ht="12" customHeight="1" x14ac:dyDescent="0.25">
      <c r="A154" s="262"/>
      <c r="C154" s="263"/>
    </row>
    <row r="155" spans="1:3" ht="12" customHeight="1" x14ac:dyDescent="0.25">
      <c r="A155" s="262"/>
      <c r="C155" s="263"/>
    </row>
    <row r="156" spans="1:3" ht="12" customHeight="1" x14ac:dyDescent="0.25">
      <c r="A156" s="262"/>
      <c r="C156" s="263"/>
    </row>
    <row r="157" spans="1:3" ht="12" customHeight="1" x14ac:dyDescent="0.25">
      <c r="A157" s="262"/>
      <c r="C157" s="263"/>
    </row>
    <row r="158" spans="1:3" ht="12" customHeight="1" x14ac:dyDescent="0.25">
      <c r="A158" s="262"/>
      <c r="C158" s="263"/>
    </row>
    <row r="159" spans="1:3" ht="12" customHeight="1" x14ac:dyDescent="0.25">
      <c r="A159" s="262"/>
      <c r="C159" s="263"/>
    </row>
    <row r="160" spans="1:3" ht="12" customHeight="1" x14ac:dyDescent="0.25">
      <c r="A160" s="262"/>
      <c r="C160" s="263"/>
    </row>
    <row r="161" spans="1:3" ht="12" customHeight="1" x14ac:dyDescent="0.25">
      <c r="A161" s="262"/>
      <c r="C161" s="263"/>
    </row>
    <row r="162" spans="1:3" ht="12" customHeight="1" x14ac:dyDescent="0.25">
      <c r="A162" s="262"/>
      <c r="C162" s="263"/>
    </row>
    <row r="163" spans="1:3" ht="12" customHeight="1" x14ac:dyDescent="0.25">
      <c r="A163" s="262"/>
      <c r="C163" s="263"/>
    </row>
    <row r="164" spans="1:3" ht="12" customHeight="1" x14ac:dyDescent="0.25">
      <c r="A164" s="262"/>
      <c r="C164" s="263"/>
    </row>
    <row r="165" spans="1:3" ht="12" customHeight="1" x14ac:dyDescent="0.25">
      <c r="A165" s="262"/>
      <c r="C165" s="263"/>
    </row>
    <row r="166" spans="1:3" ht="12" customHeight="1" x14ac:dyDescent="0.25">
      <c r="A166" s="262"/>
      <c r="C166" s="263"/>
    </row>
    <row r="167" spans="1:3" ht="12" customHeight="1" x14ac:dyDescent="0.25">
      <c r="A167" s="262"/>
      <c r="C167" s="263"/>
    </row>
    <row r="168" spans="1:3" ht="12" customHeight="1" x14ac:dyDescent="0.25">
      <c r="A168" s="262"/>
      <c r="C168" s="263"/>
    </row>
    <row r="169" spans="1:3" ht="12" customHeight="1" x14ac:dyDescent="0.25">
      <c r="A169" s="262"/>
      <c r="C169" s="263"/>
    </row>
    <row r="170" spans="1:3" ht="12" customHeight="1" x14ac:dyDescent="0.25">
      <c r="A170" s="262"/>
      <c r="C170" s="263"/>
    </row>
    <row r="171" spans="1:3" ht="12" customHeight="1" x14ac:dyDescent="0.25">
      <c r="A171" s="262"/>
      <c r="C171" s="263"/>
    </row>
    <row r="172" spans="1:3" ht="12" customHeight="1" x14ac:dyDescent="0.25">
      <c r="A172" s="262"/>
      <c r="C172" s="263"/>
    </row>
    <row r="173" spans="1:3" ht="12" customHeight="1" x14ac:dyDescent="0.25">
      <c r="A173" s="262"/>
      <c r="C173" s="263"/>
    </row>
    <row r="174" spans="1:3" ht="12" customHeight="1" x14ac:dyDescent="0.25">
      <c r="A174" s="262"/>
      <c r="C174" s="263"/>
    </row>
    <row r="175" spans="1:3" ht="12" customHeight="1" x14ac:dyDescent="0.25">
      <c r="A175" s="262"/>
      <c r="C175" s="263"/>
    </row>
    <row r="176" spans="1:3" ht="12" customHeight="1" x14ac:dyDescent="0.25">
      <c r="A176" s="262"/>
      <c r="C176" s="263"/>
    </row>
    <row r="177" spans="1:3" ht="12" customHeight="1" x14ac:dyDescent="0.25">
      <c r="A177" s="262"/>
      <c r="C177" s="263"/>
    </row>
    <row r="178" spans="1:3" ht="12" customHeight="1" x14ac:dyDescent="0.25">
      <c r="A178" s="262"/>
      <c r="C178" s="263"/>
    </row>
    <row r="179" spans="1:3" ht="12" customHeight="1" x14ac:dyDescent="0.25">
      <c r="A179" s="262"/>
      <c r="C179" s="263"/>
    </row>
    <row r="180" spans="1:3" ht="12" customHeight="1" x14ac:dyDescent="0.25">
      <c r="A180" s="262"/>
      <c r="C180" s="263"/>
    </row>
    <row r="181" spans="1:3" ht="12" customHeight="1" x14ac:dyDescent="0.25">
      <c r="A181" s="262"/>
      <c r="C181" s="263"/>
    </row>
    <row r="182" spans="1:3" ht="12" customHeight="1" x14ac:dyDescent="0.25">
      <c r="A182" s="262"/>
      <c r="C182" s="263"/>
    </row>
    <row r="183" spans="1:3" ht="12" customHeight="1" x14ac:dyDescent="0.25">
      <c r="A183" s="262"/>
      <c r="C183" s="263"/>
    </row>
    <row r="184" spans="1:3" ht="12" customHeight="1" x14ac:dyDescent="0.25">
      <c r="A184" s="262"/>
      <c r="C184" s="263"/>
    </row>
    <row r="185" spans="1:3" ht="12" customHeight="1" x14ac:dyDescent="0.25">
      <c r="A185" s="262"/>
      <c r="C185" s="263"/>
    </row>
    <row r="186" spans="1:3" ht="12" customHeight="1" x14ac:dyDescent="0.25">
      <c r="A186" s="262"/>
      <c r="C186" s="263"/>
    </row>
    <row r="187" spans="1:3" ht="12" customHeight="1" x14ac:dyDescent="0.25">
      <c r="A187" s="262"/>
      <c r="C187" s="263"/>
    </row>
    <row r="188" spans="1:3" ht="12" customHeight="1" x14ac:dyDescent="0.25">
      <c r="A188" s="262"/>
      <c r="C188" s="263"/>
    </row>
    <row r="189" spans="1:3" ht="12" customHeight="1" x14ac:dyDescent="0.25">
      <c r="A189" s="262"/>
      <c r="C189" s="263"/>
    </row>
    <row r="190" spans="1:3" ht="12" customHeight="1" x14ac:dyDescent="0.25">
      <c r="A190" s="262"/>
      <c r="C190" s="263"/>
    </row>
    <row r="191" spans="1:3" ht="12" customHeight="1" x14ac:dyDescent="0.25">
      <c r="A191" s="262"/>
      <c r="C191" s="263"/>
    </row>
    <row r="192" spans="1:3" ht="12" customHeight="1" x14ac:dyDescent="0.25">
      <c r="A192" s="262"/>
      <c r="C192" s="263"/>
    </row>
    <row r="193" spans="1:3" ht="12" customHeight="1" x14ac:dyDescent="0.25">
      <c r="A193" s="262"/>
      <c r="C193" s="263"/>
    </row>
    <row r="194" spans="1:3" ht="12" customHeight="1" x14ac:dyDescent="0.25">
      <c r="A194" s="262"/>
      <c r="C194" s="263"/>
    </row>
    <row r="195" spans="1:3" ht="12" customHeight="1" x14ac:dyDescent="0.25">
      <c r="A195" s="262"/>
      <c r="C195" s="263"/>
    </row>
    <row r="196" spans="1:3" ht="12" customHeight="1" x14ac:dyDescent="0.25">
      <c r="A196" s="262"/>
      <c r="C196" s="263"/>
    </row>
    <row r="197" spans="1:3" ht="12" customHeight="1" x14ac:dyDescent="0.25">
      <c r="A197" s="262"/>
      <c r="C197" s="263"/>
    </row>
    <row r="198" spans="1:3" ht="12" customHeight="1" x14ac:dyDescent="0.25">
      <c r="A198" s="262"/>
      <c r="C198" s="263"/>
    </row>
    <row r="199" spans="1:3" ht="12" customHeight="1" x14ac:dyDescent="0.25">
      <c r="A199" s="262"/>
      <c r="C199" s="263"/>
    </row>
    <row r="200" spans="1:3" ht="12" customHeight="1" x14ac:dyDescent="0.25">
      <c r="A200" s="262"/>
      <c r="C200" s="263"/>
    </row>
    <row r="201" spans="1:3" ht="12" customHeight="1" x14ac:dyDescent="0.25">
      <c r="A201" s="262"/>
      <c r="C201" s="263"/>
    </row>
    <row r="202" spans="1:3" ht="12" customHeight="1" x14ac:dyDescent="0.25">
      <c r="A202" s="262"/>
      <c r="C202" s="263"/>
    </row>
    <row r="203" spans="1:3" ht="12" customHeight="1" x14ac:dyDescent="0.25">
      <c r="A203" s="262"/>
      <c r="C203" s="263"/>
    </row>
    <row r="204" spans="1:3" ht="12" customHeight="1" x14ac:dyDescent="0.25">
      <c r="A204" s="262"/>
      <c r="C204" s="263"/>
    </row>
    <row r="205" spans="1:3" ht="12" customHeight="1" x14ac:dyDescent="0.25">
      <c r="A205" s="262"/>
      <c r="C205" s="263"/>
    </row>
    <row r="206" spans="1:3" ht="12" customHeight="1" x14ac:dyDescent="0.25">
      <c r="A206" s="262"/>
      <c r="C206" s="263"/>
    </row>
    <row r="207" spans="1:3" ht="12" customHeight="1" x14ac:dyDescent="0.25">
      <c r="A207" s="262"/>
      <c r="C207" s="263"/>
    </row>
    <row r="208" spans="1:3" ht="12" customHeight="1" x14ac:dyDescent="0.25">
      <c r="A208" s="262"/>
      <c r="C208" s="263"/>
    </row>
    <row r="209" spans="1:3" ht="12" customHeight="1" x14ac:dyDescent="0.25">
      <c r="A209" s="262"/>
      <c r="C209" s="263"/>
    </row>
    <row r="210" spans="1:3" ht="12" customHeight="1" x14ac:dyDescent="0.25">
      <c r="A210" s="262"/>
      <c r="C210" s="263"/>
    </row>
    <row r="211" spans="1:3" ht="12" customHeight="1" x14ac:dyDescent="0.25">
      <c r="A211" s="262"/>
      <c r="C211" s="263"/>
    </row>
    <row r="212" spans="1:3" ht="12" customHeight="1" x14ac:dyDescent="0.25">
      <c r="A212" s="262"/>
      <c r="C212" s="263"/>
    </row>
    <row r="213" spans="1:3" ht="12" customHeight="1" x14ac:dyDescent="0.25">
      <c r="A213" s="262"/>
      <c r="C213" s="263"/>
    </row>
    <row r="214" spans="1:3" ht="12" customHeight="1" x14ac:dyDescent="0.25">
      <c r="A214" s="262"/>
      <c r="C214" s="263"/>
    </row>
    <row r="215" spans="1:3" ht="12" customHeight="1" x14ac:dyDescent="0.25">
      <c r="A215" s="262"/>
      <c r="C215" s="263"/>
    </row>
    <row r="216" spans="1:3" ht="12" customHeight="1" x14ac:dyDescent="0.25">
      <c r="A216" s="262"/>
      <c r="C216" s="263"/>
    </row>
    <row r="217" spans="1:3" ht="12" customHeight="1" x14ac:dyDescent="0.25">
      <c r="A217" s="262"/>
      <c r="C217" s="263"/>
    </row>
    <row r="218" spans="1:3" ht="12" customHeight="1" x14ac:dyDescent="0.25">
      <c r="A218" s="262"/>
      <c r="C218" s="263"/>
    </row>
    <row r="219" spans="1:3" ht="12" customHeight="1" x14ac:dyDescent="0.25">
      <c r="A219" s="262"/>
      <c r="C219" s="263"/>
    </row>
    <row r="220" spans="1:3" ht="12" customHeight="1" x14ac:dyDescent="0.25">
      <c r="A220" s="262"/>
      <c r="C220" s="263"/>
    </row>
    <row r="221" spans="1:3" ht="12" customHeight="1" x14ac:dyDescent="0.25">
      <c r="A221" s="262"/>
      <c r="C221" s="263"/>
    </row>
    <row r="222" spans="1:3" ht="12" customHeight="1" x14ac:dyDescent="0.25">
      <c r="A222" s="262"/>
      <c r="C222" s="263"/>
    </row>
    <row r="223" spans="1:3" ht="12" customHeight="1" x14ac:dyDescent="0.25">
      <c r="A223" s="262"/>
      <c r="C223" s="263"/>
    </row>
    <row r="224" spans="1:3" ht="12" customHeight="1" x14ac:dyDescent="0.25">
      <c r="A224" s="262"/>
      <c r="C224" s="263"/>
    </row>
    <row r="225" spans="1:3" ht="12" customHeight="1" x14ac:dyDescent="0.25">
      <c r="A225" s="262"/>
      <c r="C225" s="263"/>
    </row>
    <row r="226" spans="1:3" ht="12" customHeight="1" x14ac:dyDescent="0.25">
      <c r="A226" s="262"/>
      <c r="C226" s="263"/>
    </row>
    <row r="227" spans="1:3" ht="12" customHeight="1" x14ac:dyDescent="0.25">
      <c r="A227" s="262"/>
      <c r="C227" s="263"/>
    </row>
    <row r="228" spans="1:3" ht="12" customHeight="1" x14ac:dyDescent="0.25">
      <c r="A228" s="262"/>
      <c r="C228" s="263"/>
    </row>
    <row r="229" spans="1:3" ht="12" customHeight="1" x14ac:dyDescent="0.25">
      <c r="A229" s="262"/>
      <c r="C229" s="263"/>
    </row>
    <row r="230" spans="1:3" ht="12" customHeight="1" x14ac:dyDescent="0.25">
      <c r="A230" s="262"/>
      <c r="C230" s="263"/>
    </row>
    <row r="231" spans="1:3" ht="12" customHeight="1" x14ac:dyDescent="0.25">
      <c r="A231" s="262"/>
      <c r="C231" s="263"/>
    </row>
    <row r="232" spans="1:3" ht="12" customHeight="1" x14ac:dyDescent="0.25">
      <c r="A232" s="262"/>
      <c r="C232" s="263"/>
    </row>
    <row r="233" spans="1:3" ht="12" customHeight="1" x14ac:dyDescent="0.25">
      <c r="A233" s="262"/>
      <c r="C233" s="263"/>
    </row>
    <row r="234" spans="1:3" ht="12" customHeight="1" x14ac:dyDescent="0.25">
      <c r="A234" s="262"/>
      <c r="C234" s="263"/>
    </row>
    <row r="235" spans="1:3" ht="12" customHeight="1" x14ac:dyDescent="0.25">
      <c r="A235" s="262"/>
      <c r="C235" s="263"/>
    </row>
    <row r="236" spans="1:3" ht="12" customHeight="1" x14ac:dyDescent="0.25">
      <c r="A236" s="262"/>
      <c r="C236" s="263"/>
    </row>
    <row r="237" spans="1:3" ht="12" customHeight="1" x14ac:dyDescent="0.25">
      <c r="A237" s="262"/>
      <c r="C237" s="263"/>
    </row>
    <row r="238" spans="1:3" ht="12" customHeight="1" x14ac:dyDescent="0.25">
      <c r="A238" s="262"/>
      <c r="C238" s="263"/>
    </row>
    <row r="239" spans="1:3" ht="12" customHeight="1" x14ac:dyDescent="0.25">
      <c r="A239" s="262"/>
      <c r="C239" s="263"/>
    </row>
    <row r="240" spans="1:3" ht="12" customHeight="1" x14ac:dyDescent="0.25">
      <c r="A240" s="262"/>
      <c r="C240" s="263"/>
    </row>
    <row r="241" spans="1:3" ht="12" customHeight="1" x14ac:dyDescent="0.25">
      <c r="A241" s="262"/>
      <c r="C241" s="263"/>
    </row>
    <row r="242" spans="1:3" ht="12" customHeight="1" x14ac:dyDescent="0.25">
      <c r="A242" s="262"/>
      <c r="C242" s="263"/>
    </row>
    <row r="243" spans="1:3" ht="12" customHeight="1" x14ac:dyDescent="0.25">
      <c r="A243" s="262"/>
      <c r="C243" s="263"/>
    </row>
    <row r="244" spans="1:3" ht="12" customHeight="1" x14ac:dyDescent="0.25">
      <c r="A244" s="262"/>
      <c r="C244" s="263"/>
    </row>
    <row r="245" spans="1:3" ht="12" customHeight="1" x14ac:dyDescent="0.25">
      <c r="A245" s="262"/>
      <c r="C245" s="263"/>
    </row>
    <row r="246" spans="1:3" ht="12" customHeight="1" x14ac:dyDescent="0.25">
      <c r="A246" s="262"/>
      <c r="C246" s="263"/>
    </row>
    <row r="247" spans="1:3" ht="12" customHeight="1" x14ac:dyDescent="0.25">
      <c r="A247" s="262"/>
      <c r="C247" s="263"/>
    </row>
    <row r="248" spans="1:3" ht="12" customHeight="1" x14ac:dyDescent="0.25">
      <c r="A248" s="262"/>
      <c r="C248" s="263"/>
    </row>
    <row r="249" spans="1:3" ht="12" customHeight="1" x14ac:dyDescent="0.25">
      <c r="A249" s="262"/>
      <c r="C249" s="263"/>
    </row>
    <row r="250" spans="1:3" ht="12" customHeight="1" x14ac:dyDescent="0.25">
      <c r="A250" s="262"/>
      <c r="C250" s="263"/>
    </row>
    <row r="251" spans="1:3" ht="12" customHeight="1" x14ac:dyDescent="0.25">
      <c r="A251" s="262"/>
      <c r="C251" s="263"/>
    </row>
    <row r="252" spans="1:3" ht="12" customHeight="1" x14ac:dyDescent="0.25">
      <c r="A252" s="262"/>
      <c r="C252" s="263"/>
    </row>
    <row r="253" spans="1:3" ht="12" customHeight="1" x14ac:dyDescent="0.25">
      <c r="A253" s="262"/>
      <c r="C253" s="263"/>
    </row>
    <row r="254" spans="1:3" ht="12" customHeight="1" x14ac:dyDescent="0.25">
      <c r="A254" s="262"/>
      <c r="C254" s="263"/>
    </row>
    <row r="255" spans="1:3" ht="12" customHeight="1" x14ac:dyDescent="0.25">
      <c r="A255" s="262"/>
      <c r="C255" s="263"/>
    </row>
    <row r="256" spans="1:3" ht="12" customHeight="1" x14ac:dyDescent="0.25">
      <c r="A256" s="262"/>
      <c r="C256" s="263"/>
    </row>
    <row r="257" spans="1:3" ht="12" customHeight="1" x14ac:dyDescent="0.25">
      <c r="A257" s="262"/>
      <c r="C257" s="263"/>
    </row>
    <row r="258" spans="1:3" ht="12" customHeight="1" x14ac:dyDescent="0.25">
      <c r="A258" s="262"/>
      <c r="C258" s="263"/>
    </row>
    <row r="259" spans="1:3" ht="12" customHeight="1" x14ac:dyDescent="0.25">
      <c r="A259" s="262"/>
      <c r="C259" s="263"/>
    </row>
    <row r="260" spans="1:3" ht="12" customHeight="1" x14ac:dyDescent="0.25">
      <c r="A260" s="262"/>
      <c r="C260" s="263"/>
    </row>
    <row r="261" spans="1:3" ht="12" customHeight="1" x14ac:dyDescent="0.25">
      <c r="A261" s="262"/>
      <c r="C261" s="263"/>
    </row>
    <row r="262" spans="1:3" ht="12" customHeight="1" x14ac:dyDescent="0.25">
      <c r="A262" s="262"/>
      <c r="C262" s="263"/>
    </row>
    <row r="263" spans="1:3" ht="12" customHeight="1" x14ac:dyDescent="0.25">
      <c r="A263" s="262"/>
      <c r="C263" s="263"/>
    </row>
    <row r="264" spans="1:3" ht="12" customHeight="1" x14ac:dyDescent="0.25">
      <c r="A264" s="262"/>
      <c r="C264" s="263"/>
    </row>
    <row r="265" spans="1:3" ht="12" customHeight="1" x14ac:dyDescent="0.25">
      <c r="A265" s="262"/>
      <c r="C265" s="263"/>
    </row>
    <row r="266" spans="1:3" ht="12" customHeight="1" x14ac:dyDescent="0.25">
      <c r="A266" s="262"/>
      <c r="C266" s="263"/>
    </row>
    <row r="267" spans="1:3" ht="12" customHeight="1" x14ac:dyDescent="0.25">
      <c r="A267" s="262"/>
      <c r="C267" s="263"/>
    </row>
    <row r="268" spans="1:3" ht="12" customHeight="1" x14ac:dyDescent="0.25">
      <c r="A268" s="262"/>
      <c r="C268" s="263"/>
    </row>
    <row r="269" spans="1:3" ht="12" customHeight="1" x14ac:dyDescent="0.25">
      <c r="A269" s="262"/>
      <c r="C269" s="263"/>
    </row>
    <row r="270" spans="1:3" ht="12" customHeight="1" x14ac:dyDescent="0.25">
      <c r="A270" s="262"/>
      <c r="C270" s="263"/>
    </row>
    <row r="271" spans="1:3" ht="12" customHeight="1" x14ac:dyDescent="0.25">
      <c r="A271" s="262"/>
      <c r="C271" s="263"/>
    </row>
    <row r="272" spans="1:3" ht="12" customHeight="1" x14ac:dyDescent="0.25">
      <c r="A272" s="262"/>
      <c r="C272" s="263"/>
    </row>
    <row r="273" spans="1:3" ht="12" customHeight="1" x14ac:dyDescent="0.25">
      <c r="A273" s="262"/>
      <c r="C273" s="263"/>
    </row>
    <row r="274" spans="1:3" ht="12" customHeight="1" x14ac:dyDescent="0.25">
      <c r="A274" s="262"/>
      <c r="C274" s="263"/>
    </row>
    <row r="275" spans="1:3" ht="12" customHeight="1" x14ac:dyDescent="0.25">
      <c r="A275" s="262"/>
      <c r="C275" s="263"/>
    </row>
    <row r="276" spans="1:3" ht="12" customHeight="1" x14ac:dyDescent="0.25">
      <c r="A276" s="262"/>
      <c r="C276" s="263"/>
    </row>
    <row r="277" spans="1:3" ht="12" customHeight="1" x14ac:dyDescent="0.25">
      <c r="A277" s="262"/>
      <c r="C277" s="263"/>
    </row>
    <row r="278" spans="1:3" ht="12" customHeight="1" x14ac:dyDescent="0.25">
      <c r="A278" s="262"/>
      <c r="C278" s="263"/>
    </row>
    <row r="279" spans="1:3" ht="12" customHeight="1" x14ac:dyDescent="0.25">
      <c r="A279" s="262"/>
      <c r="C279" s="263"/>
    </row>
    <row r="280" spans="1:3" ht="12" customHeight="1" x14ac:dyDescent="0.25">
      <c r="A280" s="262"/>
      <c r="C280" s="263"/>
    </row>
    <row r="281" spans="1:3" ht="12" customHeight="1" x14ac:dyDescent="0.25">
      <c r="A281" s="262"/>
      <c r="C281" s="263"/>
    </row>
    <row r="282" spans="1:3" ht="12" customHeight="1" x14ac:dyDescent="0.25">
      <c r="A282" s="262"/>
      <c r="C282" s="263"/>
    </row>
    <row r="283" spans="1:3" ht="12" customHeight="1" x14ac:dyDescent="0.25">
      <c r="A283" s="262"/>
      <c r="C283" s="263"/>
    </row>
    <row r="284" spans="1:3" ht="12" customHeight="1" x14ac:dyDescent="0.25">
      <c r="A284" s="262"/>
      <c r="C284" s="263"/>
    </row>
    <row r="285" spans="1:3" ht="12" customHeight="1" x14ac:dyDescent="0.25">
      <c r="A285" s="262"/>
      <c r="C285" s="263"/>
    </row>
    <row r="286" spans="1:3" ht="12" customHeight="1" x14ac:dyDescent="0.25">
      <c r="A286" s="262"/>
      <c r="C286" s="263"/>
    </row>
    <row r="287" spans="1:3" ht="12" customHeight="1" x14ac:dyDescent="0.25">
      <c r="A287" s="262"/>
      <c r="C287" s="263"/>
    </row>
    <row r="288" spans="1:3" ht="12" customHeight="1" x14ac:dyDescent="0.25">
      <c r="A288" s="262"/>
      <c r="C288" s="263"/>
    </row>
    <row r="289" spans="1:3" ht="12" customHeight="1" x14ac:dyDescent="0.25">
      <c r="A289" s="262"/>
      <c r="C289" s="263"/>
    </row>
    <row r="290" spans="1:3" ht="12" customHeight="1" x14ac:dyDescent="0.25">
      <c r="A290" s="262"/>
      <c r="C290" s="263"/>
    </row>
    <row r="291" spans="1:3" ht="12" customHeight="1" x14ac:dyDescent="0.25">
      <c r="A291" s="262"/>
      <c r="C291" s="263"/>
    </row>
    <row r="292" spans="1:3" ht="12" customHeight="1" x14ac:dyDescent="0.25">
      <c r="A292" s="262"/>
      <c r="C292" s="263"/>
    </row>
    <row r="293" spans="1:3" ht="12" customHeight="1" x14ac:dyDescent="0.25">
      <c r="A293" s="262"/>
      <c r="C293" s="263"/>
    </row>
    <row r="294" spans="1:3" ht="12" customHeight="1" x14ac:dyDescent="0.25">
      <c r="A294" s="262"/>
      <c r="C294" s="263"/>
    </row>
    <row r="295" spans="1:3" ht="12" customHeight="1" x14ac:dyDescent="0.25">
      <c r="A295" s="262"/>
      <c r="C295" s="263"/>
    </row>
    <row r="296" spans="1:3" ht="12" customHeight="1" x14ac:dyDescent="0.25">
      <c r="A296" s="262"/>
      <c r="C296" s="263"/>
    </row>
    <row r="297" spans="1:3" ht="12" customHeight="1" x14ac:dyDescent="0.25">
      <c r="A297" s="262"/>
      <c r="C297" s="263"/>
    </row>
    <row r="298" spans="1:3" ht="12" customHeight="1" x14ac:dyDescent="0.25">
      <c r="A298" s="262"/>
      <c r="C298" s="263"/>
    </row>
    <row r="299" spans="1:3" ht="12" customHeight="1" x14ac:dyDescent="0.25">
      <c r="A299" s="262"/>
      <c r="C299" s="263"/>
    </row>
    <row r="300" spans="1:3" ht="12" customHeight="1" x14ac:dyDescent="0.25">
      <c r="A300" s="262"/>
      <c r="C300" s="263"/>
    </row>
    <row r="301" spans="1:3" ht="12" customHeight="1" x14ac:dyDescent="0.25">
      <c r="A301" s="262"/>
      <c r="C301" s="263"/>
    </row>
    <row r="302" spans="1:3" ht="12" customHeight="1" x14ac:dyDescent="0.25">
      <c r="A302" s="262"/>
      <c r="C302" s="263"/>
    </row>
    <row r="303" spans="1:3" ht="12" customHeight="1" x14ac:dyDescent="0.25">
      <c r="A303" s="262"/>
      <c r="C303" s="263"/>
    </row>
    <row r="304" spans="1:3" ht="12" customHeight="1" x14ac:dyDescent="0.25">
      <c r="A304" s="262"/>
      <c r="C304" s="263"/>
    </row>
    <row r="305" spans="1:3" ht="12" customHeight="1" x14ac:dyDescent="0.25">
      <c r="A305" s="262"/>
      <c r="C305" s="263"/>
    </row>
    <row r="306" spans="1:3" ht="12" customHeight="1" x14ac:dyDescent="0.25">
      <c r="A306" s="262"/>
      <c r="C306" s="263"/>
    </row>
    <row r="307" spans="1:3" ht="12" customHeight="1" x14ac:dyDescent="0.25">
      <c r="A307" s="262"/>
      <c r="C307" s="263"/>
    </row>
    <row r="308" spans="1:3" ht="12" customHeight="1" x14ac:dyDescent="0.25">
      <c r="A308" s="262"/>
      <c r="C308" s="263"/>
    </row>
    <row r="309" spans="1:3" ht="12" customHeight="1" x14ac:dyDescent="0.25">
      <c r="A309" s="262"/>
      <c r="C309" s="263"/>
    </row>
    <row r="310" spans="1:3" ht="12" customHeight="1" x14ac:dyDescent="0.25">
      <c r="A310" s="262"/>
      <c r="C310" s="263"/>
    </row>
    <row r="311" spans="1:3" ht="12" customHeight="1" x14ac:dyDescent="0.25">
      <c r="A311" s="262"/>
      <c r="C311" s="263"/>
    </row>
    <row r="312" spans="1:3" ht="12" customHeight="1" x14ac:dyDescent="0.25">
      <c r="A312" s="262"/>
      <c r="C312" s="263"/>
    </row>
    <row r="313" spans="1:3" ht="12" customHeight="1" x14ac:dyDescent="0.25">
      <c r="A313" s="262"/>
      <c r="C313" s="263"/>
    </row>
    <row r="331" spans="1:3" ht="12" customHeight="1" x14ac:dyDescent="0.25">
      <c r="A331" s="262"/>
      <c r="C331" s="263"/>
    </row>
    <row r="332" spans="1:3" ht="12" customHeight="1" x14ac:dyDescent="0.25">
      <c r="A332" s="262"/>
      <c r="C332" s="263"/>
    </row>
    <row r="333" spans="1:3" ht="12" customHeight="1" x14ac:dyDescent="0.25">
      <c r="A333" s="262"/>
      <c r="C333" s="263"/>
    </row>
    <row r="334" spans="1:3" ht="12" customHeight="1" x14ac:dyDescent="0.25">
      <c r="A334" s="262"/>
      <c r="C334" s="263"/>
    </row>
    <row r="335" spans="1:3" ht="12" customHeight="1" x14ac:dyDescent="0.25">
      <c r="A335" s="262"/>
      <c r="C335" s="263"/>
    </row>
    <row r="336" spans="1:3" ht="12" customHeight="1" x14ac:dyDescent="0.25">
      <c r="A336" s="262"/>
      <c r="C336" s="263"/>
    </row>
    <row r="337" spans="1:3" ht="12" customHeight="1" x14ac:dyDescent="0.25">
      <c r="A337" s="262"/>
      <c r="C337" s="263"/>
    </row>
    <row r="338" spans="1:3" ht="12" customHeight="1" x14ac:dyDescent="0.25">
      <c r="A338" s="262"/>
      <c r="C338" s="263"/>
    </row>
    <row r="339" spans="1:3" ht="12" customHeight="1" x14ac:dyDescent="0.25">
      <c r="A339" s="262"/>
      <c r="C339" s="263"/>
    </row>
    <row r="340" spans="1:3" ht="12" customHeight="1" x14ac:dyDescent="0.25">
      <c r="A340" s="262"/>
      <c r="C340" s="263"/>
    </row>
    <row r="341" spans="1:3" ht="12" customHeight="1" x14ac:dyDescent="0.25">
      <c r="A341" s="262"/>
      <c r="C341" s="263"/>
    </row>
    <row r="342" spans="1:3" ht="12" customHeight="1" x14ac:dyDescent="0.25">
      <c r="A342" s="262"/>
      <c r="C342" s="263"/>
    </row>
    <row r="343" spans="1:3" ht="12" customHeight="1" x14ac:dyDescent="0.25">
      <c r="A343" s="262"/>
      <c r="C343" s="263"/>
    </row>
    <row r="344" spans="1:3" ht="12" customHeight="1" x14ac:dyDescent="0.25">
      <c r="A344" s="262"/>
      <c r="C344" s="263"/>
    </row>
    <row r="345" spans="1:3" ht="12" customHeight="1" x14ac:dyDescent="0.25">
      <c r="A345" s="262"/>
      <c r="C345" s="263"/>
    </row>
    <row r="346" spans="1:3" ht="12" customHeight="1" x14ac:dyDescent="0.25">
      <c r="A346" s="262"/>
      <c r="C346" s="263"/>
    </row>
    <row r="347" spans="1:3" ht="12" customHeight="1" x14ac:dyDescent="0.25">
      <c r="A347" s="262"/>
      <c r="C347" s="263"/>
    </row>
    <row r="348" spans="1:3" ht="12" customHeight="1" x14ac:dyDescent="0.25">
      <c r="A348" s="262"/>
      <c r="C348" s="263"/>
    </row>
    <row r="349" spans="1:3" ht="12" customHeight="1" x14ac:dyDescent="0.25">
      <c r="A349" s="262"/>
      <c r="C349" s="263"/>
    </row>
    <row r="350" spans="1:3" ht="12" customHeight="1" x14ac:dyDescent="0.25">
      <c r="A350" s="262"/>
      <c r="C350" s="263"/>
    </row>
    <row r="351" spans="1:3" ht="12" customHeight="1" x14ac:dyDescent="0.25">
      <c r="A351" s="262"/>
      <c r="C351" s="263"/>
    </row>
  </sheetData>
  <mergeCells count="27">
    <mergeCell ref="D7:D10"/>
    <mergeCell ref="E7:E10"/>
    <mergeCell ref="F7:F10"/>
    <mergeCell ref="G7:Q7"/>
    <mergeCell ref="S7:AC7"/>
    <mergeCell ref="G8:G10"/>
    <mergeCell ref="H8:H10"/>
    <mergeCell ref="I8:I10"/>
    <mergeCell ref="J8:J10"/>
    <mergeCell ref="K8:K10"/>
    <mergeCell ref="L8:L10"/>
    <mergeCell ref="M8:M10"/>
    <mergeCell ref="N8:N10"/>
    <mergeCell ref="O8:O10"/>
    <mergeCell ref="P8:P10"/>
    <mergeCell ref="V8:V10"/>
    <mergeCell ref="Q8:Q10"/>
    <mergeCell ref="S8:S10"/>
    <mergeCell ref="T8:T10"/>
    <mergeCell ref="U8:U10"/>
    <mergeCell ref="AC8:AC10"/>
    <mergeCell ref="W8:W10"/>
    <mergeCell ref="Y8:Y10"/>
    <mergeCell ref="Z8:Z10"/>
    <mergeCell ref="AA8:AA10"/>
    <mergeCell ref="AB8:AB10"/>
    <mergeCell ref="X8:X1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B8683-1C7B-44D3-B258-272956A1C869}">
  <sheetPr codeName="Sheet15">
    <tabColor theme="9" tint="-0.249977111117893"/>
  </sheetPr>
  <dimension ref="A1:AO71"/>
  <sheetViews>
    <sheetView workbookViewId="0">
      <pane xSplit="10" ySplit="6" topLeftCell="K7" activePane="bottomRight" state="frozen"/>
      <selection activeCell="K40" sqref="K40"/>
      <selection pane="topRight" activeCell="K40" sqref="K40"/>
      <selection pane="bottomLeft" activeCell="K40" sqref="K40"/>
      <selection pane="bottomRight" activeCell="K7" sqref="K7"/>
    </sheetView>
  </sheetViews>
  <sheetFormatPr defaultRowHeight="12" customHeight="1" x14ac:dyDescent="0.25"/>
  <cols>
    <col min="1" max="1" width="1.7109375" style="326" customWidth="1"/>
    <col min="2" max="2" width="19.7109375" style="326" customWidth="1"/>
    <col min="3" max="3" width="1.7109375" style="325" customWidth="1"/>
    <col min="4" max="5" width="9.140625" hidden="1" customWidth="1"/>
    <col min="10" max="10" width="9.140625" hidden="1" customWidth="1"/>
    <col min="11" max="23" width="11.7109375" customWidth="1"/>
    <col min="24" max="24" width="9.140625" hidden="1" customWidth="1"/>
    <col min="25" max="25" width="11.7109375" customWidth="1"/>
    <col min="26" max="26" width="2.7109375" customWidth="1"/>
    <col min="27" max="35" width="11.7109375" customWidth="1"/>
    <col min="36" max="36" width="12" customWidth="1"/>
    <col min="37" max="37" width="9.140625" customWidth="1"/>
    <col min="38" max="38" width="11.7109375" customWidth="1"/>
    <col min="40" max="40" width="0" hidden="1" customWidth="1"/>
  </cols>
  <sheetData>
    <row r="1" spans="1:41" s="337" customFormat="1" ht="24.95" customHeight="1" thickBot="1" x14ac:dyDescent="0.3">
      <c r="A1" s="328"/>
      <c r="B1" s="326"/>
      <c r="C1" s="328"/>
      <c r="D1"/>
      <c r="F1" s="337" t="str">
        <f>C.zWorkbookTitle</f>
        <v>Camacho et al. (2024) Harms of hazardous prescribing of NSAIDs -- C: NSAIDs - DOAC/warfarin</v>
      </c>
      <c r="G1" s="339"/>
      <c r="H1" s="338"/>
      <c r="I1" s="338"/>
      <c r="J1" s="338"/>
      <c r="K1" s="338"/>
      <c r="L1" s="338"/>
      <c r="M1" s="338"/>
      <c r="N1" s="338"/>
      <c r="O1" s="338"/>
      <c r="P1" s="338"/>
      <c r="Q1" s="338"/>
      <c r="S1" s="338"/>
      <c r="Z1" s="338"/>
      <c r="AA1" s="338"/>
      <c r="AB1" s="338"/>
      <c r="AC1" s="338"/>
      <c r="AD1" s="338"/>
      <c r="AE1" s="338"/>
      <c r="AF1" s="338"/>
      <c r="AG1" s="338"/>
      <c r="AI1" s="338"/>
    </row>
    <row r="2" spans="1:41" ht="12" hidden="1" customHeight="1" thickTop="1" x14ac:dyDescent="0.25">
      <c r="A2" s="328"/>
      <c r="C2" s="327"/>
      <c r="I2" s="124" t="s">
        <v>79</v>
      </c>
      <c r="K2">
        <v>1</v>
      </c>
      <c r="L2">
        <f t="shared" ref="L2:W2" si="0">K2+1</f>
        <v>2</v>
      </c>
      <c r="M2">
        <f t="shared" si="0"/>
        <v>3</v>
      </c>
      <c r="N2">
        <f t="shared" si="0"/>
        <v>4</v>
      </c>
      <c r="O2">
        <f t="shared" si="0"/>
        <v>5</v>
      </c>
      <c r="P2">
        <f t="shared" si="0"/>
        <v>6</v>
      </c>
      <c r="Q2">
        <f t="shared" si="0"/>
        <v>7</v>
      </c>
      <c r="R2">
        <f t="shared" si="0"/>
        <v>8</v>
      </c>
      <c r="S2">
        <f t="shared" si="0"/>
        <v>9</v>
      </c>
      <c r="T2">
        <f t="shared" si="0"/>
        <v>10</v>
      </c>
      <c r="U2">
        <f t="shared" si="0"/>
        <v>11</v>
      </c>
      <c r="V2">
        <f t="shared" si="0"/>
        <v>12</v>
      </c>
      <c r="W2">
        <f t="shared" si="0"/>
        <v>13</v>
      </c>
      <c r="AA2">
        <v>1</v>
      </c>
      <c r="AB2">
        <f t="shared" ref="AB2:AM2" si="1">AA2+1</f>
        <v>2</v>
      </c>
      <c r="AC2">
        <f t="shared" si="1"/>
        <v>3</v>
      </c>
      <c r="AD2">
        <f t="shared" si="1"/>
        <v>4</v>
      </c>
      <c r="AE2">
        <f t="shared" si="1"/>
        <v>5</v>
      </c>
      <c r="AF2">
        <f t="shared" si="1"/>
        <v>6</v>
      </c>
      <c r="AG2">
        <f t="shared" si="1"/>
        <v>7</v>
      </c>
      <c r="AH2">
        <f t="shared" si="1"/>
        <v>8</v>
      </c>
      <c r="AI2">
        <f t="shared" si="1"/>
        <v>9</v>
      </c>
      <c r="AJ2">
        <f t="shared" si="1"/>
        <v>10</v>
      </c>
      <c r="AK2">
        <f t="shared" si="1"/>
        <v>11</v>
      </c>
      <c r="AL2">
        <f t="shared" si="1"/>
        <v>12</v>
      </c>
      <c r="AM2">
        <f t="shared" si="1"/>
        <v>13</v>
      </c>
    </row>
    <row r="3" spans="1:41" ht="12" customHeight="1" thickTop="1" thickBot="1" x14ac:dyDescent="0.3">
      <c r="A3" s="328"/>
      <c r="C3" s="327"/>
      <c r="K3" s="91" t="s">
        <v>140</v>
      </c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AA3" s="91" t="s">
        <v>140</v>
      </c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</row>
    <row r="4" spans="1:41" ht="12" customHeight="1" thickBot="1" x14ac:dyDescent="0.3">
      <c r="A4" s="328"/>
      <c r="C4" s="327"/>
      <c r="F4" s="456" t="s">
        <v>30</v>
      </c>
      <c r="G4" s="120"/>
      <c r="H4" s="114"/>
      <c r="I4" s="122" t="s">
        <v>83</v>
      </c>
      <c r="K4" s="456" t="str">
        <f t="array" aca="1" ref="K4" ca="1">INDEX(C.rngStates, K$2)</f>
        <v>Well no HPE</v>
      </c>
      <c r="L4" s="456" t="str">
        <f t="array" aca="1" ref="L4" ca="1">INDEX(C.rngStates, L$2)</f>
        <v>Well with HPE</v>
      </c>
      <c r="M4" s="456" t="str">
        <f t="array" aca="1" ref="M4" ca="1">INDEX(C.rngStates, M$2)</f>
        <v>GI discomfort</v>
      </c>
      <c r="N4" s="456" t="str">
        <f t="array" aca="1" ref="N4" ca="1">INDEX(C.rngStates, N$2)</f>
        <v>Unresolved GI discomfort</v>
      </c>
      <c r="O4" s="456" t="str">
        <f t="array" aca="1" ref="O4" ca="1">INDEX(C.rngStates, O$2)</f>
        <v>Symptomatic ulcer</v>
      </c>
      <c r="P4" s="456" t="str">
        <f t="array" aca="1" ref="P4" ca="1">INDEX(C.rngStates, P$2)</f>
        <v>Unresolved ulcer</v>
      </c>
      <c r="Q4" s="456" t="str">
        <f t="array" aca="1" ref="Q4" ca="1">INDEX(C.rngStates, Q$2)</f>
        <v>Serious GI event</v>
      </c>
      <c r="R4" s="456" t="str">
        <f t="array" aca="1" ref="R4" ca="1">INDEX(C.rngStates, R$2)</f>
        <v>Unresolved serious GI event</v>
      </c>
      <c r="S4" s="456" t="str">
        <f t="array" aca="1" ref="S4" ca="1">INDEX(C.rngStates, S$2)</f>
        <v>Post-GI event</v>
      </c>
      <c r="T4" s="456" t="str">
        <f t="array" aca="1" ref="T4" ca="1">INDEX(C.rngStates, T$2)</f>
        <v>Stroke</v>
      </c>
      <c r="U4" s="456" t="str">
        <f t="array" aca="1" ref="U4" ca="1">INDEX(C.rngStates, U$2)</f>
        <v>Recurrent stroke</v>
      </c>
      <c r="V4" s="456" t="str">
        <f t="array" aca="1" ref="V4" ca="1">INDEX(C.rngStates, V$2)</f>
        <v>Post-stroke</v>
      </c>
      <c r="W4" s="456" t="str">
        <f t="array" aca="1" ref="W4" ca="1">INDEX(C.rngStates, W$2)</f>
        <v>Dead</v>
      </c>
      <c r="X4" s="456"/>
      <c r="Y4" s="456" t="s">
        <v>35</v>
      </c>
      <c r="AA4" s="456" t="str">
        <f t="array" aca="1" ref="AA4" ca="1">INDEX(C.rngStates, AA$2)</f>
        <v>Well no HPE</v>
      </c>
      <c r="AB4" s="456" t="str">
        <f t="array" aca="1" ref="AB4" ca="1">INDEX(C.rngStates, AB$2)</f>
        <v>Well with HPE</v>
      </c>
      <c r="AC4" s="456" t="str">
        <f t="array" aca="1" ref="AC4" ca="1">INDEX(C.rngStates, AC$2)</f>
        <v>GI discomfort</v>
      </c>
      <c r="AD4" s="456" t="str">
        <f t="array" aca="1" ref="AD4" ca="1">INDEX(C.rngStates, AD$2)</f>
        <v>Unresolved GI discomfort</v>
      </c>
      <c r="AE4" s="456" t="str">
        <f t="array" aca="1" ref="AE4" ca="1">INDEX(C.rngStates, AE$2)</f>
        <v>Symptomatic ulcer</v>
      </c>
      <c r="AF4" s="456" t="str">
        <f t="array" aca="1" ref="AF4" ca="1">INDEX(C.rngStates, AF$2)</f>
        <v>Unresolved ulcer</v>
      </c>
      <c r="AG4" s="456" t="str">
        <f t="array" aca="1" ref="AG4" ca="1">INDEX(C.rngStates, AG$2)</f>
        <v>Serious GI event</v>
      </c>
      <c r="AH4" s="456" t="str">
        <f t="array" aca="1" ref="AH4" ca="1">INDEX(C.rngStates, AH$2)</f>
        <v>Unresolved serious GI event</v>
      </c>
      <c r="AI4" s="456" t="str">
        <f t="array" aca="1" ref="AI4" ca="1">INDEX(C.rngStates, AI$2)</f>
        <v>Post-GI event</v>
      </c>
      <c r="AJ4" s="456" t="str">
        <f t="array" aca="1" ref="AJ4" ca="1">INDEX(C.rngStates, AJ$2)</f>
        <v>Stroke</v>
      </c>
      <c r="AK4" s="456" t="str">
        <f t="array" aca="1" ref="AK4" ca="1">INDEX(C.rngStates, AK$2)</f>
        <v>Recurrent stroke</v>
      </c>
      <c r="AL4" s="456" t="str">
        <f t="array" aca="1" ref="AL4" ca="1">INDEX(C.rngStates, AL$2)</f>
        <v>Post-stroke</v>
      </c>
      <c r="AM4" s="456" t="str">
        <f t="array" aca="1" ref="AM4" ca="1">INDEX(C.rngStates, AM$2)</f>
        <v>Dead</v>
      </c>
      <c r="AN4" s="456"/>
      <c r="AO4" s="456" t="s">
        <v>35</v>
      </c>
    </row>
    <row r="5" spans="1:41" ht="12" customHeight="1" thickBot="1" x14ac:dyDescent="0.3">
      <c r="A5" s="328"/>
      <c r="C5" s="327"/>
      <c r="F5" s="456"/>
      <c r="G5" s="115"/>
      <c r="H5" s="119"/>
      <c r="I5" s="117"/>
      <c r="K5" s="456"/>
      <c r="L5" s="456"/>
      <c r="M5" s="456"/>
      <c r="N5" s="456"/>
      <c r="O5" s="456"/>
      <c r="P5" s="456"/>
      <c r="Q5" s="456"/>
      <c r="R5" s="456"/>
      <c r="S5" s="456"/>
      <c r="T5" s="456"/>
      <c r="U5" s="456"/>
      <c r="V5" s="456"/>
      <c r="W5" s="456"/>
      <c r="X5" s="456"/>
      <c r="Y5" s="456"/>
      <c r="AA5" s="456"/>
      <c r="AB5" s="456"/>
      <c r="AC5" s="456"/>
      <c r="AD5" s="456"/>
      <c r="AE5" s="456"/>
      <c r="AF5" s="456"/>
      <c r="AG5" s="456"/>
      <c r="AH5" s="456"/>
      <c r="AI5" s="456"/>
      <c r="AJ5" s="456"/>
      <c r="AK5" s="456"/>
      <c r="AL5" s="456"/>
      <c r="AM5" s="456"/>
      <c r="AN5" s="456"/>
      <c r="AO5" s="456"/>
    </row>
    <row r="6" spans="1:41" ht="12" customHeight="1" thickBot="1" x14ac:dyDescent="0.3">
      <c r="A6" s="328"/>
      <c r="C6" s="327"/>
      <c r="F6" s="456"/>
      <c r="G6" s="121" t="s">
        <v>84</v>
      </c>
      <c r="H6" s="113"/>
      <c r="I6" s="118"/>
      <c r="K6" s="456"/>
      <c r="L6" s="456"/>
      <c r="M6" s="456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6"/>
      <c r="AA6" s="456"/>
      <c r="AB6" s="456"/>
      <c r="AC6" s="456"/>
      <c r="AD6" s="456"/>
      <c r="AE6" s="456"/>
      <c r="AF6" s="456"/>
      <c r="AG6" s="456"/>
      <c r="AH6" s="456"/>
      <c r="AI6" s="456"/>
      <c r="AJ6" s="456"/>
      <c r="AK6" s="456"/>
      <c r="AL6" s="456"/>
      <c r="AM6" s="456"/>
      <c r="AN6" s="456"/>
      <c r="AO6" s="456"/>
    </row>
    <row r="7" spans="1:41" ht="12" customHeight="1" thickBot="1" x14ac:dyDescent="0.3">
      <c r="A7" s="328"/>
      <c r="C7" s="327"/>
      <c r="D7">
        <v>1</v>
      </c>
      <c r="E7">
        <v>70</v>
      </c>
      <c r="F7" s="112" t="str">
        <f t="shared" ref="F7:F38" si="2">E7&amp;"-"&amp;E7+4</f>
        <v>70-74</v>
      </c>
      <c r="G7" s="110" t="str">
        <f t="array" aca="1" ref="G7" ca="1">INDEX(C.rngStates, $D7)</f>
        <v>Well no HPE</v>
      </c>
      <c r="H7" s="112"/>
      <c r="I7" s="110"/>
      <c r="K7" s="280">
        <f>1-SUM(J7:J7, L7:X7)</f>
        <v>0.97727142449949644</v>
      </c>
      <c r="L7" s="279">
        <v>0</v>
      </c>
      <c r="M7" s="279">
        <f>INDEX(C.rngTP.GIpain, 1)</f>
        <v>7.197486913300466E-3</v>
      </c>
      <c r="N7" s="279">
        <v>0</v>
      </c>
      <c r="O7" s="279">
        <f>INDEX(C.rngTP.Ulcer, 1)</f>
        <v>3.1627894446695226E-4</v>
      </c>
      <c r="P7" s="279">
        <v>0</v>
      </c>
      <c r="Q7" s="279">
        <f>INDEX(C.rngTP.SeriousGI, 1)</f>
        <v>1.7160259408945944E-3</v>
      </c>
      <c r="R7" s="279">
        <v>0</v>
      </c>
      <c r="S7" s="279">
        <v>0</v>
      </c>
      <c r="T7" s="279">
        <f>INDEX(C.rngTP.Stroke_noHPE, MATCH($E7, Parameters!$D$284:$D$286, 1))</f>
        <v>1.990516289608002E-3</v>
      </c>
      <c r="U7" s="279">
        <v>0</v>
      </c>
      <c r="V7" s="279">
        <v>0</v>
      </c>
      <c r="W7" s="279">
        <f>INDEX(C.rngPDeath.NoEvent, MATCH($E7, Parameters!$D$325:$D$329, 1))</f>
        <v>1.1508267412233542E-2</v>
      </c>
      <c r="X7" s="131"/>
      <c r="Y7" s="132">
        <f t="shared" ref="Y7:Y38" si="3">SUM(K7:W7)</f>
        <v>1</v>
      </c>
      <c r="AA7" s="280">
        <f>1-SUM(Z7:Z7, AB7:AN7)</f>
        <v>0.97727142449949644</v>
      </c>
      <c r="AB7" s="279">
        <v>0</v>
      </c>
      <c r="AC7" s="279">
        <f>INDEX(C.rngTP.GIpain, 1)</f>
        <v>7.197486913300466E-3</v>
      </c>
      <c r="AD7" s="279">
        <v>0</v>
      </c>
      <c r="AE7" s="279">
        <f>INDEX(C.rngTP.Ulcer, 1)</f>
        <v>3.1627894446695226E-4</v>
      </c>
      <c r="AF7" s="279">
        <v>0</v>
      </c>
      <c r="AG7" s="279">
        <f>INDEX(C.rngTP.SeriousGI, 1)</f>
        <v>1.7160259408945944E-3</v>
      </c>
      <c r="AH7" s="279">
        <v>0</v>
      </c>
      <c r="AI7" s="279">
        <v>0</v>
      </c>
      <c r="AJ7" s="279">
        <f>INDEX(C.rngTP.Stroke_noHPE, MATCH($E7, Parameters!$D$284:$D$286, 1))</f>
        <v>1.990516289608002E-3</v>
      </c>
      <c r="AK7" s="279">
        <v>0</v>
      </c>
      <c r="AL7" s="279">
        <v>0</v>
      </c>
      <c r="AM7" s="279">
        <f>INDEX(C.rngPDeath.NoEvent, MATCH($E7, Parameters!$D$325:$D$329, 1))</f>
        <v>1.1508267412233542E-2</v>
      </c>
      <c r="AN7" s="131"/>
      <c r="AO7" s="132">
        <f t="shared" ref="AO7:AO38" si="4">SUM(AA7:AM7)</f>
        <v>1</v>
      </c>
    </row>
    <row r="8" spans="1:41" ht="12" customHeight="1" thickBot="1" x14ac:dyDescent="0.3">
      <c r="A8" s="328"/>
      <c r="C8" s="327"/>
      <c r="D8">
        <f t="shared" ref="D8:D19" si="5">D7+1</f>
        <v>2</v>
      </c>
      <c r="E8">
        <f t="shared" ref="E8:E19" si="6">E7</f>
        <v>70</v>
      </c>
      <c r="F8" s="112" t="str">
        <f t="shared" si="2"/>
        <v>70-74</v>
      </c>
      <c r="G8" s="110" t="str">
        <f t="array" aca="1" ref="G8" ca="1">INDEX(C.rngStates, $D8)</f>
        <v>Well with HPE</v>
      </c>
      <c r="H8" s="112"/>
      <c r="I8" s="110"/>
      <c r="K8" s="279">
        <v>0</v>
      </c>
      <c r="L8" s="280">
        <f>1-SUM(J8:K8, M8:X8)</f>
        <v>0.96227606631622697</v>
      </c>
      <c r="M8" s="279">
        <f>INDEX(C.rngTP.GIpain, 2)</f>
        <v>1.5136652891765377E-2</v>
      </c>
      <c r="N8" s="279">
        <v>0</v>
      </c>
      <c r="O8" s="279">
        <f>INDEX(C.rngTP.Ulcer, 2)</f>
        <v>5.3755519342140107E-4</v>
      </c>
      <c r="P8" s="279">
        <v>0</v>
      </c>
      <c r="Q8" s="279">
        <f>INDEX(C.rngTP.SeriousGI, 2)</f>
        <v>5.156335227526343E-3</v>
      </c>
      <c r="R8" s="279">
        <v>0</v>
      </c>
      <c r="S8" s="279">
        <v>0</v>
      </c>
      <c r="T8" s="279">
        <f>INDEX(C.rngTP.Stroke_HPE, MATCH($E8, Parameters!$D$287:$D$289, 1))</f>
        <v>5.3851229588263161E-3</v>
      </c>
      <c r="U8" s="279">
        <v>0</v>
      </c>
      <c r="V8" s="279">
        <v>0</v>
      </c>
      <c r="W8" s="279">
        <f>INDEX(C.rngPDeath.NoEvent, MATCH($E8, Parameters!$D$325:$D$329, 1))</f>
        <v>1.1508267412233542E-2</v>
      </c>
      <c r="X8" s="131"/>
      <c r="Y8" s="132">
        <f t="shared" si="3"/>
        <v>0.99999999999999989</v>
      </c>
      <c r="AA8" s="280">
        <f>1-SUM(Z8, AB8:AN8)</f>
        <v>0.96227606631622697</v>
      </c>
      <c r="AB8" s="280">
        <v>0</v>
      </c>
      <c r="AC8" s="279">
        <f>INDEX(C.rngTP.GIpain, 2)</f>
        <v>1.5136652891765377E-2</v>
      </c>
      <c r="AD8" s="279">
        <v>0</v>
      </c>
      <c r="AE8" s="279">
        <f>INDEX(C.rngTP.Ulcer, 2)</f>
        <v>5.3755519342140107E-4</v>
      </c>
      <c r="AF8" s="279">
        <v>0</v>
      </c>
      <c r="AG8" s="279">
        <f>INDEX(C.rngTP.SeriousGI, 2)</f>
        <v>5.156335227526343E-3</v>
      </c>
      <c r="AH8" s="279">
        <v>0</v>
      </c>
      <c r="AI8" s="279">
        <v>0</v>
      </c>
      <c r="AJ8" s="279">
        <f>INDEX(C.rngTP.Stroke_HPE, MATCH($E8, Parameters!$D$287:$D$289, 1))</f>
        <v>5.3851229588263161E-3</v>
      </c>
      <c r="AK8" s="279">
        <v>0</v>
      </c>
      <c r="AL8" s="279">
        <v>0</v>
      </c>
      <c r="AM8" s="279">
        <f>INDEX(C.rngPDeath.NoEvent, MATCH($E8, Parameters!$D$325:$D$329, 1))</f>
        <v>1.1508267412233542E-2</v>
      </c>
      <c r="AN8" s="131"/>
      <c r="AO8" s="132">
        <f t="shared" si="4"/>
        <v>0.99999999999999989</v>
      </c>
    </row>
    <row r="9" spans="1:41" ht="12" customHeight="1" thickBot="1" x14ac:dyDescent="0.3">
      <c r="A9" s="328"/>
      <c r="C9" s="327"/>
      <c r="D9">
        <f t="shared" si="5"/>
        <v>3</v>
      </c>
      <c r="E9">
        <f t="shared" si="6"/>
        <v>70</v>
      </c>
      <c r="F9" s="112" t="str">
        <f t="shared" si="2"/>
        <v>70-74</v>
      </c>
      <c r="G9" s="110" t="str">
        <f t="array" aca="1" ref="G9" ca="1">INDEX(C.rngStates, $D9)</f>
        <v>GI discomfort</v>
      </c>
      <c r="H9" s="112"/>
      <c r="I9" s="110"/>
      <c r="K9" s="279">
        <v>0</v>
      </c>
      <c r="L9" s="279">
        <v>0</v>
      </c>
      <c r="M9" s="280">
        <v>0</v>
      </c>
      <c r="N9" s="279">
        <f>TP.unresolved</f>
        <v>0.10094637223974767</v>
      </c>
      <c r="O9" s="279">
        <v>0</v>
      </c>
      <c r="P9" s="279">
        <v>0</v>
      </c>
      <c r="Q9" s="279">
        <v>0</v>
      </c>
      <c r="R9" s="279">
        <v>0</v>
      </c>
      <c r="S9" s="280">
        <f t="shared" ref="S9:S15" si="7">1-SUM(J9:R9, T9:X9)</f>
        <v>0.88754536034801879</v>
      </c>
      <c r="T9" s="279">
        <v>0</v>
      </c>
      <c r="U9" s="279">
        <v>0</v>
      </c>
      <c r="V9" s="279">
        <v>0</v>
      </c>
      <c r="W9" s="279">
        <f>INDEX(C.rngPDeath.NoEvent, MATCH($E9, Parameters!$D$325:$D$329, 1))</f>
        <v>1.1508267412233542E-2</v>
      </c>
      <c r="X9" s="131"/>
      <c r="Y9" s="132">
        <f t="shared" si="3"/>
        <v>1</v>
      </c>
      <c r="AA9" s="279">
        <v>0</v>
      </c>
      <c r="AB9" s="279">
        <v>0</v>
      </c>
      <c r="AC9" s="280">
        <v>0</v>
      </c>
      <c r="AD9" s="279">
        <f>TP.unresolved</f>
        <v>0.10094637223974767</v>
      </c>
      <c r="AE9" s="279">
        <v>0</v>
      </c>
      <c r="AF9" s="279">
        <v>0</v>
      </c>
      <c r="AG9" s="279">
        <v>0</v>
      </c>
      <c r="AH9" s="279">
        <v>0</v>
      </c>
      <c r="AI9" s="280">
        <f t="shared" ref="AI9:AI15" si="8">1-SUM(Z9:AH9, AJ9:AN9)</f>
        <v>0.88754536034801879</v>
      </c>
      <c r="AJ9" s="279">
        <v>0</v>
      </c>
      <c r="AK9" s="279">
        <v>0</v>
      </c>
      <c r="AL9" s="279">
        <v>0</v>
      </c>
      <c r="AM9" s="279">
        <f>INDEX(C.rngPDeath.NoEvent, MATCH($E9, Parameters!$D$325:$D$329, 1))</f>
        <v>1.1508267412233542E-2</v>
      </c>
      <c r="AN9" s="131"/>
      <c r="AO9" s="132">
        <f t="shared" si="4"/>
        <v>1</v>
      </c>
    </row>
    <row r="10" spans="1:41" ht="12" customHeight="1" thickBot="1" x14ac:dyDescent="0.3">
      <c r="A10" s="328"/>
      <c r="C10" s="327"/>
      <c r="D10">
        <f t="shared" si="5"/>
        <v>4</v>
      </c>
      <c r="E10">
        <f t="shared" si="6"/>
        <v>70</v>
      </c>
      <c r="F10" s="112" t="str">
        <f t="shared" si="2"/>
        <v>70-74</v>
      </c>
      <c r="G10" s="110" t="str">
        <f t="array" aca="1" ref="G10" ca="1">INDEX(C.rngStates, $D10)</f>
        <v>Unresolved GI discomfort</v>
      </c>
      <c r="H10" s="112"/>
      <c r="I10" s="110"/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80">
        <f t="shared" si="7"/>
        <v>0.98849173258776646</v>
      </c>
      <c r="T10" s="279">
        <v>0</v>
      </c>
      <c r="U10" s="279">
        <v>0</v>
      </c>
      <c r="V10" s="279">
        <v>0</v>
      </c>
      <c r="W10" s="279">
        <f>INDEX(C.rngPDeath.NoEvent, MATCH($E10, Parameters!$D$325:$D$329, 1))</f>
        <v>1.1508267412233542E-2</v>
      </c>
      <c r="X10" s="131"/>
      <c r="Y10" s="132">
        <f t="shared" si="3"/>
        <v>1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79">
        <v>0</v>
      </c>
      <c r="AG10" s="279">
        <v>0</v>
      </c>
      <c r="AH10" s="279">
        <v>0</v>
      </c>
      <c r="AI10" s="280">
        <f t="shared" si="8"/>
        <v>0.98849173258776646</v>
      </c>
      <c r="AJ10" s="279">
        <v>0</v>
      </c>
      <c r="AK10" s="279">
        <v>0</v>
      </c>
      <c r="AL10" s="279">
        <v>0</v>
      </c>
      <c r="AM10" s="279">
        <f>INDEX(C.rngPDeath.NoEvent, MATCH($E10, Parameters!$D$325:$D$329, 1))</f>
        <v>1.1508267412233542E-2</v>
      </c>
      <c r="AN10" s="131"/>
      <c r="AO10" s="132">
        <f t="shared" si="4"/>
        <v>1</v>
      </c>
    </row>
    <row r="11" spans="1:41" ht="12" customHeight="1" thickBot="1" x14ac:dyDescent="0.3">
      <c r="A11" s="328"/>
      <c r="C11" s="327"/>
      <c r="D11">
        <f t="shared" si="5"/>
        <v>5</v>
      </c>
      <c r="E11">
        <f t="shared" si="6"/>
        <v>70</v>
      </c>
      <c r="F11" s="112" t="str">
        <f t="shared" si="2"/>
        <v>70-74</v>
      </c>
      <c r="G11" s="110" t="str">
        <f t="array" aca="1" ref="G11" ca="1">INDEX(C.rngStates, $D11)</f>
        <v>Symptomatic ulcer</v>
      </c>
      <c r="H11" s="112"/>
      <c r="I11" s="110"/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f>TP.unresolved</f>
        <v>0.10094637223974767</v>
      </c>
      <c r="Q11" s="279">
        <v>0</v>
      </c>
      <c r="R11" s="279">
        <v>0</v>
      </c>
      <c r="S11" s="280">
        <f t="shared" si="7"/>
        <v>0.83996895938085647</v>
      </c>
      <c r="T11" s="279">
        <v>0</v>
      </c>
      <c r="U11" s="279">
        <v>0</v>
      </c>
      <c r="V11" s="279">
        <v>0</v>
      </c>
      <c r="W11" s="279">
        <f>INDEX(C.rngPDeath.Ulcer, MATCH($E11, Parameters!$D$340:$D$344, 1))</f>
        <v>5.9084668379395855E-2</v>
      </c>
      <c r="X11" s="131"/>
      <c r="Y11" s="132">
        <f t="shared" si="3"/>
        <v>1</v>
      </c>
      <c r="AA11" s="279">
        <v>0</v>
      </c>
      <c r="AB11" s="279">
        <v>0</v>
      </c>
      <c r="AC11" s="279">
        <v>0</v>
      </c>
      <c r="AD11" s="279">
        <v>0</v>
      </c>
      <c r="AE11" s="279">
        <v>0</v>
      </c>
      <c r="AF11" s="279">
        <f>TP.unresolved</f>
        <v>0.10094637223974767</v>
      </c>
      <c r="AG11" s="279">
        <v>0</v>
      </c>
      <c r="AH11" s="279">
        <v>0</v>
      </c>
      <c r="AI11" s="280">
        <f t="shared" si="8"/>
        <v>0.83996895938085647</v>
      </c>
      <c r="AJ11" s="279">
        <v>0</v>
      </c>
      <c r="AK11" s="279">
        <v>0</v>
      </c>
      <c r="AL11" s="279">
        <v>0</v>
      </c>
      <c r="AM11" s="279">
        <f>INDEX(C.rngPDeath.Ulcer, MATCH($E11, Parameters!$D$340:$D$344, 1))</f>
        <v>5.9084668379395855E-2</v>
      </c>
      <c r="AN11" s="131"/>
      <c r="AO11" s="132">
        <f t="shared" si="4"/>
        <v>1</v>
      </c>
    </row>
    <row r="12" spans="1:41" ht="12" customHeight="1" thickBot="1" x14ac:dyDescent="0.3">
      <c r="A12" s="328"/>
      <c r="C12" s="327"/>
      <c r="D12">
        <f t="shared" si="5"/>
        <v>6</v>
      </c>
      <c r="E12">
        <f t="shared" si="6"/>
        <v>70</v>
      </c>
      <c r="F12" s="112" t="str">
        <f t="shared" si="2"/>
        <v>70-74</v>
      </c>
      <c r="G12" s="110" t="str">
        <f t="array" aca="1" ref="G12" ca="1">INDEX(C.rngStates, $D12)</f>
        <v>Unresolved ulcer</v>
      </c>
      <c r="H12" s="112"/>
      <c r="I12" s="110"/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80">
        <v>0</v>
      </c>
      <c r="Q12" s="279">
        <v>0</v>
      </c>
      <c r="R12" s="279">
        <v>0</v>
      </c>
      <c r="S12" s="280">
        <f t="shared" si="7"/>
        <v>0.94091533162060415</v>
      </c>
      <c r="T12" s="279">
        <v>0</v>
      </c>
      <c r="U12" s="279">
        <v>0</v>
      </c>
      <c r="V12" s="279">
        <v>0</v>
      </c>
      <c r="W12" s="279">
        <f>INDEX(C.rngPDeath.Ulcer, MATCH($E12, Parameters!$D$340:$D$344, 1))</f>
        <v>5.9084668379395855E-2</v>
      </c>
      <c r="X12" s="131"/>
      <c r="Y12" s="132">
        <f t="shared" si="3"/>
        <v>1</v>
      </c>
      <c r="AA12" s="279">
        <v>0</v>
      </c>
      <c r="AB12" s="279">
        <v>0</v>
      </c>
      <c r="AC12" s="279">
        <v>0</v>
      </c>
      <c r="AD12" s="279">
        <v>0</v>
      </c>
      <c r="AE12" s="279">
        <v>0</v>
      </c>
      <c r="AF12" s="280">
        <v>0</v>
      </c>
      <c r="AG12" s="279">
        <v>0</v>
      </c>
      <c r="AH12" s="279">
        <v>0</v>
      </c>
      <c r="AI12" s="280">
        <f t="shared" si="8"/>
        <v>0.94091533162060415</v>
      </c>
      <c r="AJ12" s="279">
        <v>0</v>
      </c>
      <c r="AK12" s="279">
        <v>0</v>
      </c>
      <c r="AL12" s="279">
        <v>0</v>
      </c>
      <c r="AM12" s="279">
        <f>INDEX(C.rngPDeath.Ulcer, MATCH($E12, Parameters!$D$340:$D$344, 1))</f>
        <v>5.9084668379395855E-2</v>
      </c>
      <c r="AN12" s="131"/>
      <c r="AO12" s="132">
        <f t="shared" si="4"/>
        <v>1</v>
      </c>
    </row>
    <row r="13" spans="1:41" ht="12" customHeight="1" thickBot="1" x14ac:dyDescent="0.3">
      <c r="A13" s="328"/>
      <c r="C13" s="327"/>
      <c r="D13">
        <f t="shared" si="5"/>
        <v>7</v>
      </c>
      <c r="E13">
        <f t="shared" si="6"/>
        <v>70</v>
      </c>
      <c r="F13" s="112" t="str">
        <f t="shared" si="2"/>
        <v>70-74</v>
      </c>
      <c r="G13" s="110" t="str">
        <f t="array" aca="1" ref="G13" ca="1">INDEX(C.rngStates, $D13)</f>
        <v>Serious GI event</v>
      </c>
      <c r="H13" s="112"/>
      <c r="I13" s="110"/>
      <c r="K13" s="279">
        <v>0</v>
      </c>
      <c r="L13" s="279">
        <v>0</v>
      </c>
      <c r="M13" s="279">
        <v>0</v>
      </c>
      <c r="N13" s="279">
        <v>0</v>
      </c>
      <c r="O13" s="279">
        <v>0</v>
      </c>
      <c r="P13" s="279">
        <v>0</v>
      </c>
      <c r="Q13" s="279">
        <v>0</v>
      </c>
      <c r="R13" s="279">
        <f>TP.unresolved</f>
        <v>0.10094637223974767</v>
      </c>
      <c r="S13" s="280">
        <f t="shared" si="7"/>
        <v>0.83553469448094109</v>
      </c>
      <c r="T13" s="279">
        <v>0</v>
      </c>
      <c r="U13" s="279">
        <v>0</v>
      </c>
      <c r="V13" s="279">
        <v>0</v>
      </c>
      <c r="W13" s="279">
        <f>INDEX(C.rngPDeath.SeriousGI, MATCH($E13, Parameters!$D$333:$D$337, 1))</f>
        <v>6.351893327931124E-2</v>
      </c>
      <c r="X13" s="131"/>
      <c r="Y13" s="132">
        <f t="shared" si="3"/>
        <v>1</v>
      </c>
      <c r="AA13" s="279">
        <v>0</v>
      </c>
      <c r="AB13" s="279">
        <v>0</v>
      </c>
      <c r="AC13" s="279">
        <v>0</v>
      </c>
      <c r="AD13" s="279">
        <v>0</v>
      </c>
      <c r="AE13" s="279">
        <v>0</v>
      </c>
      <c r="AF13" s="279">
        <v>0</v>
      </c>
      <c r="AG13" s="279">
        <v>0</v>
      </c>
      <c r="AH13" s="279">
        <f>TP.unresolved</f>
        <v>0.10094637223974767</v>
      </c>
      <c r="AI13" s="280">
        <f t="shared" si="8"/>
        <v>0.83553469448094109</v>
      </c>
      <c r="AJ13" s="279">
        <v>0</v>
      </c>
      <c r="AK13" s="279">
        <v>0</v>
      </c>
      <c r="AL13" s="279">
        <v>0</v>
      </c>
      <c r="AM13" s="279">
        <f>INDEX(C.rngPDeath.SeriousGI, MATCH($E13, Parameters!$D$333:$D$337, 1))</f>
        <v>6.351893327931124E-2</v>
      </c>
      <c r="AN13" s="131"/>
      <c r="AO13" s="132">
        <f t="shared" si="4"/>
        <v>1</v>
      </c>
    </row>
    <row r="14" spans="1:41" ht="12" customHeight="1" thickBot="1" x14ac:dyDescent="0.3">
      <c r="A14" s="328"/>
      <c r="C14" s="327"/>
      <c r="D14">
        <f t="shared" si="5"/>
        <v>8</v>
      </c>
      <c r="E14">
        <f t="shared" si="6"/>
        <v>70</v>
      </c>
      <c r="F14" s="112" t="str">
        <f t="shared" si="2"/>
        <v>70-74</v>
      </c>
      <c r="G14" s="110" t="str">
        <f t="array" aca="1" ref="G14" ca="1">INDEX(C.rngStates, $D14)</f>
        <v>Unresolved serious GI event</v>
      </c>
      <c r="H14" s="112"/>
      <c r="I14" s="110"/>
      <c r="K14" s="279">
        <v>0</v>
      </c>
      <c r="L14" s="279">
        <v>0</v>
      </c>
      <c r="M14" s="279">
        <v>0</v>
      </c>
      <c r="N14" s="279">
        <v>0</v>
      </c>
      <c r="O14" s="279">
        <v>0</v>
      </c>
      <c r="P14" s="279">
        <v>0</v>
      </c>
      <c r="Q14" s="279">
        <v>0</v>
      </c>
      <c r="R14" s="280">
        <v>0</v>
      </c>
      <c r="S14" s="280">
        <f t="shared" si="7"/>
        <v>0.93648106672068876</v>
      </c>
      <c r="T14" s="279">
        <v>0</v>
      </c>
      <c r="U14" s="279">
        <v>0</v>
      </c>
      <c r="V14" s="279">
        <v>0</v>
      </c>
      <c r="W14" s="279">
        <f>INDEX(C.rngPDeath.SeriousGI, MATCH($E14, Parameters!$D$333:$D$337, 1))</f>
        <v>6.351893327931124E-2</v>
      </c>
      <c r="X14" s="131"/>
      <c r="Y14" s="132">
        <f t="shared" si="3"/>
        <v>1</v>
      </c>
      <c r="AA14" s="279">
        <v>0</v>
      </c>
      <c r="AB14" s="279">
        <v>0</v>
      </c>
      <c r="AC14" s="279">
        <v>0</v>
      </c>
      <c r="AD14" s="279">
        <v>0</v>
      </c>
      <c r="AE14" s="279">
        <v>0</v>
      </c>
      <c r="AF14" s="279">
        <v>0</v>
      </c>
      <c r="AG14" s="279">
        <v>0</v>
      </c>
      <c r="AH14" s="280">
        <v>0</v>
      </c>
      <c r="AI14" s="280">
        <f t="shared" si="8"/>
        <v>0.93648106672068876</v>
      </c>
      <c r="AJ14" s="279">
        <v>0</v>
      </c>
      <c r="AK14" s="279">
        <v>0</v>
      </c>
      <c r="AL14" s="279">
        <v>0</v>
      </c>
      <c r="AM14" s="279">
        <f>INDEX(C.rngPDeath.SeriousGI, MATCH($E14, Parameters!$D$333:$D$337, 1))</f>
        <v>6.351893327931124E-2</v>
      </c>
      <c r="AN14" s="131"/>
      <c r="AO14" s="132">
        <f t="shared" si="4"/>
        <v>1</v>
      </c>
    </row>
    <row r="15" spans="1:41" ht="12" customHeight="1" thickBot="1" x14ac:dyDescent="0.3">
      <c r="A15" s="328"/>
      <c r="C15" s="327"/>
      <c r="D15">
        <f t="shared" si="5"/>
        <v>9</v>
      </c>
      <c r="E15">
        <f t="shared" si="6"/>
        <v>70</v>
      </c>
      <c r="F15" s="112" t="str">
        <f t="shared" si="2"/>
        <v>70-74</v>
      </c>
      <c r="G15" s="110" t="str">
        <f t="array" aca="1" ref="G15" ca="1">INDEX(C.rngStates, $D15)</f>
        <v>Post-GI event</v>
      </c>
      <c r="H15" s="112"/>
      <c r="I15" s="110"/>
      <c r="K15" s="279">
        <v>0</v>
      </c>
      <c r="L15" s="279">
        <v>0</v>
      </c>
      <c r="M15" s="279">
        <f>INDEX(C.rngTP.GIpain, 1)</f>
        <v>7.197486913300466E-3</v>
      </c>
      <c r="N15" s="279">
        <v>0</v>
      </c>
      <c r="O15" s="279">
        <f>INDEX(C.rngTP.Ulcer, 1)</f>
        <v>3.1627894446695226E-4</v>
      </c>
      <c r="P15" s="279">
        <v>0</v>
      </c>
      <c r="Q15" s="279">
        <f>INDEX(C.rngTP.SeriousGI, 1)</f>
        <v>1.7160259408945944E-3</v>
      </c>
      <c r="R15" s="279">
        <v>0</v>
      </c>
      <c r="S15" s="280">
        <f t="shared" si="7"/>
        <v>0.97727142449949644</v>
      </c>
      <c r="T15" s="279">
        <f>INDEX(C.rngTP.Stroke_noHPE, MATCH($E15, Parameters!$D$284:$D$286, 1))</f>
        <v>1.990516289608002E-3</v>
      </c>
      <c r="U15" s="279">
        <v>0</v>
      </c>
      <c r="V15" s="279">
        <v>0</v>
      </c>
      <c r="W15" s="279">
        <f>INDEX(C.rngPDeath.NoEvent, MATCH($E15, Parameters!$D$325:$D$329, 1))</f>
        <v>1.1508267412233542E-2</v>
      </c>
      <c r="X15" s="131"/>
      <c r="Y15" s="132">
        <f t="shared" si="3"/>
        <v>1</v>
      </c>
      <c r="AA15" s="279">
        <v>0</v>
      </c>
      <c r="AB15" s="279">
        <v>0</v>
      </c>
      <c r="AC15" s="279">
        <f>INDEX(C.rngTP.GIpain, 1)</f>
        <v>7.197486913300466E-3</v>
      </c>
      <c r="AD15" s="279">
        <v>0</v>
      </c>
      <c r="AE15" s="279">
        <f>INDEX(C.rngTP.Ulcer, 1)</f>
        <v>3.1627894446695226E-4</v>
      </c>
      <c r="AF15" s="279">
        <v>0</v>
      </c>
      <c r="AG15" s="279">
        <f>INDEX(C.rngTP.SeriousGI, 1)</f>
        <v>1.7160259408945944E-3</v>
      </c>
      <c r="AH15" s="279">
        <v>0</v>
      </c>
      <c r="AI15" s="280">
        <f t="shared" si="8"/>
        <v>0.97727142449949644</v>
      </c>
      <c r="AJ15" s="279">
        <f>INDEX(C.rngTP.Stroke_noHPE, MATCH($E15, Parameters!$D$284:$D$286, 1))</f>
        <v>1.990516289608002E-3</v>
      </c>
      <c r="AK15" s="279">
        <v>0</v>
      </c>
      <c r="AL15" s="279">
        <v>0</v>
      </c>
      <c r="AM15" s="279">
        <f>INDEX(C.rngPDeath.NoEvent, MATCH($E15, Parameters!$D$325:$D$329, 1))</f>
        <v>1.1508267412233542E-2</v>
      </c>
      <c r="AN15" s="131"/>
      <c r="AO15" s="132">
        <f t="shared" si="4"/>
        <v>1</v>
      </c>
    </row>
    <row r="16" spans="1:41" ht="12" customHeight="1" thickBot="1" x14ac:dyDescent="0.3">
      <c r="A16" s="328"/>
      <c r="C16" s="327"/>
      <c r="D16">
        <f t="shared" si="5"/>
        <v>10</v>
      </c>
      <c r="E16">
        <f t="shared" si="6"/>
        <v>70</v>
      </c>
      <c r="F16" s="112" t="str">
        <f t="shared" si="2"/>
        <v>70-74</v>
      </c>
      <c r="G16" s="110" t="str">
        <f t="array" aca="1" ref="G16" ca="1">INDEX(C.rngStates, $D16)</f>
        <v>Stroke</v>
      </c>
      <c r="H16" s="112"/>
      <c r="I16" s="110"/>
      <c r="K16" s="279">
        <v>0</v>
      </c>
      <c r="L16" s="279">
        <v>0</v>
      </c>
      <c r="M16" s="279">
        <v>0</v>
      </c>
      <c r="N16" s="279">
        <v>0</v>
      </c>
      <c r="O16" s="279">
        <v>0</v>
      </c>
      <c r="P16" s="279">
        <v>0</v>
      </c>
      <c r="Q16" s="279">
        <v>0</v>
      </c>
      <c r="R16" s="279">
        <v>0</v>
      </c>
      <c r="S16" s="279">
        <v>0</v>
      </c>
      <c r="T16" s="279">
        <v>0</v>
      </c>
      <c r="U16" s="279">
        <f>INDEX(C.rngTP.Stroke_repeat, MATCH($E16, Parameters!$D$294:$D$296, 1))</f>
        <v>2.1000000000000019E-2</v>
      </c>
      <c r="V16" s="280">
        <f>1-SUM(J16:U16, W16:X16)</f>
        <v>0.9226084957875984</v>
      </c>
      <c r="W16" s="279">
        <f>INDEX(C.rngPDeath.Stroke, MATCH($E16, Parameters!$D$325:$D$329, 1))</f>
        <v>5.6391504212401578E-2</v>
      </c>
      <c r="X16" s="131"/>
      <c r="Y16" s="132">
        <f t="shared" si="3"/>
        <v>1</v>
      </c>
      <c r="AA16" s="279">
        <v>0</v>
      </c>
      <c r="AB16" s="279">
        <v>0</v>
      </c>
      <c r="AC16" s="279">
        <v>0</v>
      </c>
      <c r="AD16" s="279">
        <v>0</v>
      </c>
      <c r="AE16" s="279">
        <v>0</v>
      </c>
      <c r="AF16" s="279">
        <v>0</v>
      </c>
      <c r="AG16" s="279">
        <v>0</v>
      </c>
      <c r="AH16" s="279">
        <v>0</v>
      </c>
      <c r="AI16" s="279">
        <v>0</v>
      </c>
      <c r="AJ16" s="279">
        <v>0</v>
      </c>
      <c r="AK16" s="279">
        <f>INDEX(C.rngTP.Stroke_repeat, MATCH($E16, Parameters!$D$294:$D$296, 1))</f>
        <v>2.1000000000000019E-2</v>
      </c>
      <c r="AL16" s="280">
        <f>1-SUM(Z16:AK16, AM16:AN16)</f>
        <v>0.9226084957875984</v>
      </c>
      <c r="AM16" s="279">
        <f>INDEX(C.rngPDeath.Stroke, MATCH($E16, Parameters!$D$325:$D$329, 1))</f>
        <v>5.6391504212401578E-2</v>
      </c>
      <c r="AN16" s="131"/>
      <c r="AO16" s="132">
        <f t="shared" si="4"/>
        <v>1</v>
      </c>
    </row>
    <row r="17" spans="1:41" ht="12" customHeight="1" thickBot="1" x14ac:dyDescent="0.3">
      <c r="A17" s="328"/>
      <c r="C17" s="327"/>
      <c r="D17">
        <f t="shared" si="5"/>
        <v>11</v>
      </c>
      <c r="E17">
        <f t="shared" si="6"/>
        <v>70</v>
      </c>
      <c r="F17" s="112" t="str">
        <f t="shared" si="2"/>
        <v>70-74</v>
      </c>
      <c r="G17" s="110" t="str">
        <f t="array" aca="1" ref="G17" ca="1">INDEX(C.rngStates, $D17)</f>
        <v>Recurrent stroke</v>
      </c>
      <c r="H17" s="112"/>
      <c r="I17" s="110"/>
      <c r="K17" s="279">
        <v>0</v>
      </c>
      <c r="L17" s="279">
        <v>0</v>
      </c>
      <c r="M17" s="279">
        <v>0</v>
      </c>
      <c r="N17" s="279">
        <v>0</v>
      </c>
      <c r="O17" s="279">
        <v>0</v>
      </c>
      <c r="P17" s="279">
        <v>0</v>
      </c>
      <c r="Q17" s="279">
        <v>0</v>
      </c>
      <c r="R17" s="280">
        <v>0</v>
      </c>
      <c r="S17" s="279">
        <v>0</v>
      </c>
      <c r="T17" s="279">
        <v>0</v>
      </c>
      <c r="U17" s="279">
        <v>0</v>
      </c>
      <c r="V17" s="280">
        <f>1-SUM(J17:U17, W17:X17)</f>
        <v>0.94360849578759842</v>
      </c>
      <c r="W17" s="279">
        <f>INDEX(C.rngPDeath.Stroke, MATCH($E17, Parameters!$D$325:$D$329, 1))</f>
        <v>5.6391504212401578E-2</v>
      </c>
      <c r="X17" s="131"/>
      <c r="Y17" s="132">
        <f t="shared" si="3"/>
        <v>1</v>
      </c>
      <c r="AA17" s="279">
        <v>0</v>
      </c>
      <c r="AB17" s="279">
        <v>0</v>
      </c>
      <c r="AC17" s="279">
        <v>0</v>
      </c>
      <c r="AD17" s="279">
        <v>0</v>
      </c>
      <c r="AE17" s="279">
        <v>0</v>
      </c>
      <c r="AF17" s="279">
        <v>0</v>
      </c>
      <c r="AG17" s="279">
        <v>0</v>
      </c>
      <c r="AH17" s="280">
        <v>0</v>
      </c>
      <c r="AI17" s="279">
        <v>0</v>
      </c>
      <c r="AJ17" s="279">
        <v>0</v>
      </c>
      <c r="AK17" s="279">
        <v>0</v>
      </c>
      <c r="AL17" s="280">
        <f>1-SUM(Z17:AK17, AM17:AN17)</f>
        <v>0.94360849578759842</v>
      </c>
      <c r="AM17" s="279">
        <f>INDEX(C.rngPDeath.Stroke, MATCH($E17, Parameters!$D$325:$D$329, 1))</f>
        <v>5.6391504212401578E-2</v>
      </c>
      <c r="AN17" s="131"/>
      <c r="AO17" s="132">
        <f t="shared" si="4"/>
        <v>1</v>
      </c>
    </row>
    <row r="18" spans="1:41" ht="12" customHeight="1" thickBot="1" x14ac:dyDescent="0.3">
      <c r="A18" s="328"/>
      <c r="C18" s="327"/>
      <c r="D18">
        <f t="shared" si="5"/>
        <v>12</v>
      </c>
      <c r="E18">
        <f t="shared" si="6"/>
        <v>70</v>
      </c>
      <c r="F18" s="112" t="str">
        <f t="shared" si="2"/>
        <v>70-74</v>
      </c>
      <c r="G18" s="110" t="str">
        <f t="array" aca="1" ref="G18" ca="1">INDEX(C.rngStates, $D18)</f>
        <v>Post-stroke</v>
      </c>
      <c r="H18" s="112"/>
      <c r="I18" s="110"/>
      <c r="K18" s="279">
        <v>0</v>
      </c>
      <c r="L18" s="279">
        <v>0</v>
      </c>
      <c r="M18" s="279">
        <v>0</v>
      </c>
      <c r="N18" s="279">
        <v>0</v>
      </c>
      <c r="O18" s="279">
        <v>0</v>
      </c>
      <c r="P18" s="279">
        <v>0</v>
      </c>
      <c r="Q18" s="279">
        <v>0</v>
      </c>
      <c r="R18" s="279">
        <v>0</v>
      </c>
      <c r="S18" s="279">
        <v>0</v>
      </c>
      <c r="T18" s="279">
        <f>INDEX(C.rngTP.Stroke_recur, MATCH($E18, Parameters!$D$305:$D$307, 1))</f>
        <v>6.7481208735362674E-3</v>
      </c>
      <c r="U18" s="279">
        <v>0</v>
      </c>
      <c r="V18" s="280">
        <f>1-SUM(J18:U18, W18:X18)</f>
        <v>0.9786705564492062</v>
      </c>
      <c r="W18" s="279">
        <f>INDEX(C.rngPDeath.PostStroke, MATCH($E18, Parameters!$D$325:$D$329, 1))</f>
        <v>1.4581322677257536E-2</v>
      </c>
      <c r="X18" s="131"/>
      <c r="Y18" s="132">
        <f t="shared" si="3"/>
        <v>1</v>
      </c>
      <c r="AA18" s="279">
        <v>0</v>
      </c>
      <c r="AB18" s="279">
        <v>0</v>
      </c>
      <c r="AC18" s="279">
        <v>0</v>
      </c>
      <c r="AD18" s="279">
        <v>0</v>
      </c>
      <c r="AE18" s="279">
        <v>0</v>
      </c>
      <c r="AF18" s="279">
        <v>0</v>
      </c>
      <c r="AG18" s="279">
        <v>0</v>
      </c>
      <c r="AH18" s="279">
        <v>0</v>
      </c>
      <c r="AI18" s="279">
        <v>0</v>
      </c>
      <c r="AJ18" s="279">
        <f>INDEX(C.rngTP.Stroke_recur, MATCH($E18, Parameters!$D$305:$D$307, 1))</f>
        <v>6.7481208735362674E-3</v>
      </c>
      <c r="AK18" s="279">
        <v>0</v>
      </c>
      <c r="AL18" s="280">
        <f>1-SUM(Z18:AK18, AM18:AN18)</f>
        <v>0.9786705564492062</v>
      </c>
      <c r="AM18" s="279">
        <f>INDEX(C.rngPDeath.PostStroke, MATCH($E18, Parameters!$D$325:$D$329, 1))</f>
        <v>1.4581322677257536E-2</v>
      </c>
      <c r="AN18" s="131"/>
      <c r="AO18" s="132">
        <f t="shared" si="4"/>
        <v>1</v>
      </c>
    </row>
    <row r="19" spans="1:41" s="188" customFormat="1" ht="12" customHeight="1" thickBot="1" x14ac:dyDescent="0.3">
      <c r="A19" s="328"/>
      <c r="B19" s="326"/>
      <c r="C19" s="327"/>
      <c r="D19" s="188">
        <f t="shared" si="5"/>
        <v>13</v>
      </c>
      <c r="E19" s="188">
        <f t="shared" si="6"/>
        <v>70</v>
      </c>
      <c r="F19" s="112" t="str">
        <f t="shared" si="2"/>
        <v>70-74</v>
      </c>
      <c r="G19" s="110" t="str">
        <f t="array" aca="1" ref="G19" ca="1">INDEX(C.rngStates, $D19)</f>
        <v>Dead</v>
      </c>
      <c r="H19" s="112"/>
      <c r="I19" s="110"/>
      <c r="K19" s="278">
        <v>0</v>
      </c>
      <c r="L19" s="278">
        <v>0</v>
      </c>
      <c r="M19" s="278">
        <v>0</v>
      </c>
      <c r="N19" s="278">
        <v>0</v>
      </c>
      <c r="O19" s="278">
        <v>0</v>
      </c>
      <c r="P19" s="278">
        <v>0</v>
      </c>
      <c r="Q19" s="278">
        <v>0</v>
      </c>
      <c r="R19" s="278">
        <v>0</v>
      </c>
      <c r="S19" s="278">
        <v>0</v>
      </c>
      <c r="T19" s="278">
        <v>0</v>
      </c>
      <c r="U19" s="278">
        <v>0</v>
      </c>
      <c r="V19" s="278">
        <v>0</v>
      </c>
      <c r="W19" s="277">
        <v>1</v>
      </c>
      <c r="X19" s="191"/>
      <c r="Y19" s="132">
        <f t="shared" si="3"/>
        <v>1</v>
      </c>
      <c r="AA19" s="278">
        <v>0</v>
      </c>
      <c r="AB19" s="278">
        <v>0</v>
      </c>
      <c r="AC19" s="278">
        <v>0</v>
      </c>
      <c r="AD19" s="278">
        <v>0</v>
      </c>
      <c r="AE19" s="278">
        <v>0</v>
      </c>
      <c r="AF19" s="278">
        <v>0</v>
      </c>
      <c r="AG19" s="278">
        <v>0</v>
      </c>
      <c r="AH19" s="278">
        <v>0</v>
      </c>
      <c r="AI19" s="278">
        <v>0</v>
      </c>
      <c r="AJ19" s="278">
        <v>0</v>
      </c>
      <c r="AK19" s="278">
        <v>0</v>
      </c>
      <c r="AL19" s="278">
        <v>0</v>
      </c>
      <c r="AM19" s="277">
        <v>1</v>
      </c>
      <c r="AN19" s="191"/>
      <c r="AO19" s="132">
        <f t="shared" si="4"/>
        <v>1</v>
      </c>
    </row>
    <row r="20" spans="1:41" ht="12" customHeight="1" thickBot="1" x14ac:dyDescent="0.3">
      <c r="A20" s="328"/>
      <c r="C20" s="327"/>
      <c r="D20">
        <v>1</v>
      </c>
      <c r="E20">
        <f>E7+5</f>
        <v>75</v>
      </c>
      <c r="F20" s="112" t="str">
        <f t="shared" si="2"/>
        <v>75-79</v>
      </c>
      <c r="G20" s="110" t="str">
        <f t="array" aca="1" ref="G20" ca="1">INDEX(C.rngStates, $D20)</f>
        <v>Well no HPE</v>
      </c>
      <c r="H20" s="112"/>
      <c r="I20" s="110"/>
      <c r="K20" s="280">
        <f>1-SUM(J20:J20, L20:X20)</f>
        <v>0.96856220906358836</v>
      </c>
      <c r="L20" s="279">
        <v>0</v>
      </c>
      <c r="M20" s="279">
        <f>INDEX(C.rngTP.GIpain, 1)</f>
        <v>7.197486913300466E-3</v>
      </c>
      <c r="N20" s="279">
        <v>0</v>
      </c>
      <c r="O20" s="279">
        <f>INDEX(C.rngTP.Ulcer, 1)</f>
        <v>3.1627894446695226E-4</v>
      </c>
      <c r="P20" s="279">
        <v>0</v>
      </c>
      <c r="Q20" s="279">
        <f>INDEX(C.rngTP.SeriousGI, 1)</f>
        <v>1.7160259408945944E-3</v>
      </c>
      <c r="R20" s="279">
        <v>0</v>
      </c>
      <c r="S20" s="279">
        <v>0</v>
      </c>
      <c r="T20" s="279">
        <f>INDEX(C.rngTP.Stroke_noHPE, MATCH($E20, Parameters!$D$284:$D$286, 1))</f>
        <v>1.990516289608002E-3</v>
      </c>
      <c r="U20" s="279">
        <v>0</v>
      </c>
      <c r="V20" s="279">
        <v>0</v>
      </c>
      <c r="W20" s="279">
        <f>INDEX(C.rngPDeath.NoEvent, MATCH($E20, Parameters!$D$325:$D$329, 1))</f>
        <v>2.0217482848141621E-2</v>
      </c>
      <c r="X20" s="131"/>
      <c r="Y20" s="132">
        <f t="shared" si="3"/>
        <v>1</v>
      </c>
      <c r="AA20" s="280">
        <f>1-SUM(Z20:Z20, AB20:AN20)</f>
        <v>0.96856220906358836</v>
      </c>
      <c r="AB20" s="279">
        <v>0</v>
      </c>
      <c r="AC20" s="279">
        <f>INDEX(C.rngTP.GIpain, 1)</f>
        <v>7.197486913300466E-3</v>
      </c>
      <c r="AD20" s="279">
        <v>0</v>
      </c>
      <c r="AE20" s="279">
        <f>INDEX(C.rngTP.Ulcer, 1)</f>
        <v>3.1627894446695226E-4</v>
      </c>
      <c r="AF20" s="279">
        <v>0</v>
      </c>
      <c r="AG20" s="279">
        <f>INDEX(C.rngTP.SeriousGI, 1)</f>
        <v>1.7160259408945944E-3</v>
      </c>
      <c r="AH20" s="279">
        <v>0</v>
      </c>
      <c r="AI20" s="279">
        <v>0</v>
      </c>
      <c r="AJ20" s="279">
        <f>INDEX(C.rngTP.Stroke_noHPE, MATCH($E20, Parameters!$D$284:$D$286, 1))</f>
        <v>1.990516289608002E-3</v>
      </c>
      <c r="AK20" s="279">
        <v>0</v>
      </c>
      <c r="AL20" s="279">
        <v>0</v>
      </c>
      <c r="AM20" s="279">
        <f>INDEX(C.rngPDeath.NoEvent, MATCH($E20, Parameters!$D$325:$D$329, 1))</f>
        <v>2.0217482848141621E-2</v>
      </c>
      <c r="AN20" s="131"/>
      <c r="AO20" s="132">
        <f t="shared" si="4"/>
        <v>1</v>
      </c>
    </row>
    <row r="21" spans="1:41" ht="12" customHeight="1" thickBot="1" x14ac:dyDescent="0.3">
      <c r="A21" s="328"/>
      <c r="C21" s="327"/>
      <c r="D21">
        <f t="shared" ref="D21:D32" si="9">D20+1</f>
        <v>2</v>
      </c>
      <c r="E21">
        <f t="shared" ref="E21:E32" si="10">E20</f>
        <v>75</v>
      </c>
      <c r="F21" s="112" t="str">
        <f t="shared" si="2"/>
        <v>75-79</v>
      </c>
      <c r="G21" s="110" t="str">
        <f t="array" aca="1" ref="G21" ca="1">INDEX(C.rngStates, $D21)</f>
        <v>Well with HPE</v>
      </c>
      <c r="H21" s="112"/>
      <c r="I21" s="110"/>
      <c r="K21" s="279">
        <v>0</v>
      </c>
      <c r="L21" s="280">
        <f>1-SUM(J21:K21, M21:X21)</f>
        <v>0.95356685088031889</v>
      </c>
      <c r="M21" s="279">
        <f>INDEX(C.rngTP.GIpain, 2)</f>
        <v>1.5136652891765377E-2</v>
      </c>
      <c r="N21" s="279">
        <v>0</v>
      </c>
      <c r="O21" s="279">
        <f>INDEX(C.rngTP.Ulcer, 2)</f>
        <v>5.3755519342140107E-4</v>
      </c>
      <c r="P21" s="279">
        <v>0</v>
      </c>
      <c r="Q21" s="279">
        <f>INDEX(C.rngTP.SeriousGI, 2)</f>
        <v>5.156335227526343E-3</v>
      </c>
      <c r="R21" s="279">
        <v>0</v>
      </c>
      <c r="S21" s="279">
        <v>0</v>
      </c>
      <c r="T21" s="279">
        <f>INDEX(C.rngTP.Stroke_HPE, MATCH($E21, Parameters!$D$287:$D$289, 1))</f>
        <v>5.3851229588263161E-3</v>
      </c>
      <c r="U21" s="279">
        <v>0</v>
      </c>
      <c r="V21" s="279">
        <v>0</v>
      </c>
      <c r="W21" s="279">
        <f>INDEX(C.rngPDeath.NoEvent, MATCH($E21, Parameters!$D$325:$D$329, 1))</f>
        <v>2.0217482848141621E-2</v>
      </c>
      <c r="X21" s="131"/>
      <c r="Y21" s="132">
        <f t="shared" si="3"/>
        <v>0.99999999999999989</v>
      </c>
      <c r="AA21" s="280">
        <f>1-SUM(Z21, AB21:AN21)</f>
        <v>0.95356685088031889</v>
      </c>
      <c r="AB21" s="280">
        <v>0</v>
      </c>
      <c r="AC21" s="279">
        <f>INDEX(C.rngTP.GIpain, 2)</f>
        <v>1.5136652891765377E-2</v>
      </c>
      <c r="AD21" s="279">
        <v>0</v>
      </c>
      <c r="AE21" s="279">
        <f>INDEX(C.rngTP.Ulcer, 2)</f>
        <v>5.3755519342140107E-4</v>
      </c>
      <c r="AF21" s="279">
        <v>0</v>
      </c>
      <c r="AG21" s="279">
        <f>INDEX(C.rngTP.SeriousGI, 2)</f>
        <v>5.156335227526343E-3</v>
      </c>
      <c r="AH21" s="279">
        <v>0</v>
      </c>
      <c r="AI21" s="279">
        <v>0</v>
      </c>
      <c r="AJ21" s="279">
        <f>INDEX(C.rngTP.Stroke_HPE, MATCH($E21, Parameters!$D$287:$D$289, 1))</f>
        <v>5.3851229588263161E-3</v>
      </c>
      <c r="AK21" s="279">
        <v>0</v>
      </c>
      <c r="AL21" s="279">
        <v>0</v>
      </c>
      <c r="AM21" s="279">
        <f>INDEX(C.rngPDeath.NoEvent, MATCH($E21, Parameters!$D$325:$D$329, 1))</f>
        <v>2.0217482848141621E-2</v>
      </c>
      <c r="AN21" s="131"/>
      <c r="AO21" s="132">
        <f t="shared" si="4"/>
        <v>0.99999999999999989</v>
      </c>
    </row>
    <row r="22" spans="1:41" ht="12" customHeight="1" thickBot="1" x14ac:dyDescent="0.3">
      <c r="A22" s="328"/>
      <c r="C22" s="327"/>
      <c r="D22">
        <f t="shared" si="9"/>
        <v>3</v>
      </c>
      <c r="E22">
        <f t="shared" si="10"/>
        <v>75</v>
      </c>
      <c r="F22" s="112" t="str">
        <f t="shared" si="2"/>
        <v>75-79</v>
      </c>
      <c r="G22" s="110" t="str">
        <f t="array" aca="1" ref="G22" ca="1">INDEX(C.rngStates, $D22)</f>
        <v>GI discomfort</v>
      </c>
      <c r="H22" s="112"/>
      <c r="I22" s="110"/>
      <c r="K22" s="279">
        <v>0</v>
      </c>
      <c r="L22" s="279">
        <v>0</v>
      </c>
      <c r="M22" s="280">
        <v>0</v>
      </c>
      <c r="N22" s="279">
        <f>TP.unresolved</f>
        <v>0.10094637223974767</v>
      </c>
      <c r="O22" s="279">
        <v>0</v>
      </c>
      <c r="P22" s="279">
        <v>0</v>
      </c>
      <c r="Q22" s="279">
        <v>0</v>
      </c>
      <c r="R22" s="279">
        <v>0</v>
      </c>
      <c r="S22" s="280">
        <f t="shared" ref="S22:S28" si="11">1-SUM(J22:R22, T22:X22)</f>
        <v>0.87883614491211071</v>
      </c>
      <c r="T22" s="279">
        <v>0</v>
      </c>
      <c r="U22" s="279">
        <v>0</v>
      </c>
      <c r="V22" s="279">
        <v>0</v>
      </c>
      <c r="W22" s="279">
        <f>INDEX(C.rngPDeath.NoEvent, MATCH($E22, Parameters!$D$325:$D$329, 1))</f>
        <v>2.0217482848141621E-2</v>
      </c>
      <c r="X22" s="131"/>
      <c r="Y22" s="132">
        <f t="shared" si="3"/>
        <v>1</v>
      </c>
      <c r="AA22" s="279">
        <v>0</v>
      </c>
      <c r="AB22" s="279">
        <v>0</v>
      </c>
      <c r="AC22" s="280">
        <v>0</v>
      </c>
      <c r="AD22" s="279">
        <f>TP.unresolved</f>
        <v>0.10094637223974767</v>
      </c>
      <c r="AE22" s="279">
        <v>0</v>
      </c>
      <c r="AF22" s="279">
        <v>0</v>
      </c>
      <c r="AG22" s="279">
        <v>0</v>
      </c>
      <c r="AH22" s="279">
        <v>0</v>
      </c>
      <c r="AI22" s="280">
        <f t="shared" ref="AI22:AI28" si="12">1-SUM(Z22:AH22, AJ22:AN22)</f>
        <v>0.87883614491211071</v>
      </c>
      <c r="AJ22" s="279">
        <v>0</v>
      </c>
      <c r="AK22" s="279">
        <v>0</v>
      </c>
      <c r="AL22" s="279">
        <v>0</v>
      </c>
      <c r="AM22" s="279">
        <f>INDEX(C.rngPDeath.NoEvent, MATCH($E22, Parameters!$D$325:$D$329, 1))</f>
        <v>2.0217482848141621E-2</v>
      </c>
      <c r="AN22" s="131"/>
      <c r="AO22" s="132">
        <f t="shared" si="4"/>
        <v>1</v>
      </c>
    </row>
    <row r="23" spans="1:41" ht="12" customHeight="1" thickBot="1" x14ac:dyDescent="0.3">
      <c r="A23" s="328"/>
      <c r="C23" s="327"/>
      <c r="D23">
        <f t="shared" si="9"/>
        <v>4</v>
      </c>
      <c r="E23">
        <f t="shared" si="10"/>
        <v>75</v>
      </c>
      <c r="F23" s="112" t="str">
        <f t="shared" si="2"/>
        <v>75-79</v>
      </c>
      <c r="G23" s="110" t="str">
        <f t="array" aca="1" ref="G23" ca="1">INDEX(C.rngStates, $D23)</f>
        <v>Unresolved GI discomfort</v>
      </c>
      <c r="H23" s="112"/>
      <c r="I23" s="110"/>
      <c r="K23" s="279">
        <v>0</v>
      </c>
      <c r="L23" s="279">
        <v>0</v>
      </c>
      <c r="M23" s="279">
        <v>0</v>
      </c>
      <c r="N23" s="279">
        <v>0</v>
      </c>
      <c r="O23" s="279">
        <v>0</v>
      </c>
      <c r="P23" s="279">
        <v>0</v>
      </c>
      <c r="Q23" s="279">
        <v>0</v>
      </c>
      <c r="R23" s="279">
        <v>0</v>
      </c>
      <c r="S23" s="280">
        <f t="shared" si="11"/>
        <v>0.97978251715185838</v>
      </c>
      <c r="T23" s="279">
        <v>0</v>
      </c>
      <c r="U23" s="279">
        <v>0</v>
      </c>
      <c r="V23" s="279">
        <v>0</v>
      </c>
      <c r="W23" s="279">
        <f>INDEX(C.rngPDeath.NoEvent, MATCH($E23, Parameters!$D$325:$D$329, 1))</f>
        <v>2.0217482848141621E-2</v>
      </c>
      <c r="X23" s="131"/>
      <c r="Y23" s="132">
        <f t="shared" si="3"/>
        <v>1</v>
      </c>
      <c r="AA23" s="279">
        <v>0</v>
      </c>
      <c r="AB23" s="279">
        <v>0</v>
      </c>
      <c r="AC23" s="279">
        <v>0</v>
      </c>
      <c r="AD23" s="279">
        <v>0</v>
      </c>
      <c r="AE23" s="279">
        <v>0</v>
      </c>
      <c r="AF23" s="279">
        <v>0</v>
      </c>
      <c r="AG23" s="279">
        <v>0</v>
      </c>
      <c r="AH23" s="279">
        <v>0</v>
      </c>
      <c r="AI23" s="280">
        <f t="shared" si="12"/>
        <v>0.97978251715185838</v>
      </c>
      <c r="AJ23" s="279">
        <v>0</v>
      </c>
      <c r="AK23" s="279">
        <v>0</v>
      </c>
      <c r="AL23" s="279">
        <v>0</v>
      </c>
      <c r="AM23" s="279">
        <f>INDEX(C.rngPDeath.NoEvent, MATCH($E23, Parameters!$D$325:$D$329, 1))</f>
        <v>2.0217482848141621E-2</v>
      </c>
      <c r="AN23" s="131"/>
      <c r="AO23" s="132">
        <f t="shared" si="4"/>
        <v>1</v>
      </c>
    </row>
    <row r="24" spans="1:41" ht="12" customHeight="1" thickBot="1" x14ac:dyDescent="0.3">
      <c r="A24" s="328"/>
      <c r="C24" s="327"/>
      <c r="D24">
        <f t="shared" si="9"/>
        <v>5</v>
      </c>
      <c r="E24">
        <f t="shared" si="10"/>
        <v>75</v>
      </c>
      <c r="F24" s="112" t="str">
        <f t="shared" si="2"/>
        <v>75-79</v>
      </c>
      <c r="G24" s="110" t="str">
        <f t="array" aca="1" ref="G24" ca="1">INDEX(C.rngStates, $D24)</f>
        <v>Symptomatic ulcer</v>
      </c>
      <c r="H24" s="112"/>
      <c r="I24" s="110"/>
      <c r="K24" s="279">
        <v>0</v>
      </c>
      <c r="L24" s="279">
        <v>0</v>
      </c>
      <c r="M24" s="279">
        <v>0</v>
      </c>
      <c r="N24" s="279">
        <v>0</v>
      </c>
      <c r="O24" s="279">
        <v>0</v>
      </c>
      <c r="P24" s="279">
        <f>TP.unresolved</f>
        <v>0.10094637223974767</v>
      </c>
      <c r="Q24" s="279">
        <v>0</v>
      </c>
      <c r="R24" s="279">
        <v>0</v>
      </c>
      <c r="S24" s="280">
        <f t="shared" si="11"/>
        <v>0.79716179170008072</v>
      </c>
      <c r="T24" s="279">
        <v>0</v>
      </c>
      <c r="U24" s="279">
        <v>0</v>
      </c>
      <c r="V24" s="279">
        <v>0</v>
      </c>
      <c r="W24" s="279">
        <f>INDEX(C.rngPDeath.Ulcer, MATCH($E24, Parameters!$D$340:$D$344, 1))</f>
        <v>0.1018918360601716</v>
      </c>
      <c r="X24" s="131"/>
      <c r="Y24" s="132">
        <f t="shared" si="3"/>
        <v>1</v>
      </c>
      <c r="AA24" s="279">
        <v>0</v>
      </c>
      <c r="AB24" s="279">
        <v>0</v>
      </c>
      <c r="AC24" s="279">
        <v>0</v>
      </c>
      <c r="AD24" s="279">
        <v>0</v>
      </c>
      <c r="AE24" s="279">
        <v>0</v>
      </c>
      <c r="AF24" s="279">
        <f>TP.unresolved</f>
        <v>0.10094637223974767</v>
      </c>
      <c r="AG24" s="279">
        <v>0</v>
      </c>
      <c r="AH24" s="279">
        <v>0</v>
      </c>
      <c r="AI24" s="280">
        <f t="shared" si="12"/>
        <v>0.79716179170008072</v>
      </c>
      <c r="AJ24" s="279">
        <v>0</v>
      </c>
      <c r="AK24" s="279">
        <v>0</v>
      </c>
      <c r="AL24" s="279">
        <v>0</v>
      </c>
      <c r="AM24" s="279">
        <f>INDEX(C.rngPDeath.Ulcer, MATCH($E24, Parameters!$D$340:$D$344, 1))</f>
        <v>0.1018918360601716</v>
      </c>
      <c r="AN24" s="131"/>
      <c r="AO24" s="132">
        <f t="shared" si="4"/>
        <v>1</v>
      </c>
    </row>
    <row r="25" spans="1:41" ht="12" customHeight="1" thickBot="1" x14ac:dyDescent="0.3">
      <c r="A25" s="328"/>
      <c r="C25" s="327"/>
      <c r="D25">
        <f t="shared" si="9"/>
        <v>6</v>
      </c>
      <c r="E25">
        <f t="shared" si="10"/>
        <v>75</v>
      </c>
      <c r="F25" s="112" t="str">
        <f t="shared" si="2"/>
        <v>75-79</v>
      </c>
      <c r="G25" s="110" t="str">
        <f t="array" aca="1" ref="G25" ca="1">INDEX(C.rngStates, $D25)</f>
        <v>Unresolved ulcer</v>
      </c>
      <c r="H25" s="112"/>
      <c r="I25" s="110"/>
      <c r="K25" s="279">
        <v>0</v>
      </c>
      <c r="L25" s="279">
        <v>0</v>
      </c>
      <c r="M25" s="279">
        <v>0</v>
      </c>
      <c r="N25" s="279">
        <v>0</v>
      </c>
      <c r="O25" s="279">
        <v>0</v>
      </c>
      <c r="P25" s="280">
        <v>0</v>
      </c>
      <c r="Q25" s="279">
        <v>0</v>
      </c>
      <c r="R25" s="279">
        <v>0</v>
      </c>
      <c r="S25" s="280">
        <f t="shared" si="11"/>
        <v>0.8981081639398284</v>
      </c>
      <c r="T25" s="279">
        <v>0</v>
      </c>
      <c r="U25" s="279">
        <v>0</v>
      </c>
      <c r="V25" s="279">
        <v>0</v>
      </c>
      <c r="W25" s="279">
        <f>INDEX(C.rngPDeath.Ulcer, MATCH($E25, Parameters!$D$340:$D$344, 1))</f>
        <v>0.1018918360601716</v>
      </c>
      <c r="X25" s="131"/>
      <c r="Y25" s="132">
        <f t="shared" si="3"/>
        <v>1</v>
      </c>
      <c r="AA25" s="279">
        <v>0</v>
      </c>
      <c r="AB25" s="279">
        <v>0</v>
      </c>
      <c r="AC25" s="279">
        <v>0</v>
      </c>
      <c r="AD25" s="279">
        <v>0</v>
      </c>
      <c r="AE25" s="279">
        <v>0</v>
      </c>
      <c r="AF25" s="280">
        <v>0</v>
      </c>
      <c r="AG25" s="279">
        <v>0</v>
      </c>
      <c r="AH25" s="279">
        <v>0</v>
      </c>
      <c r="AI25" s="280">
        <f t="shared" si="12"/>
        <v>0.8981081639398284</v>
      </c>
      <c r="AJ25" s="279">
        <v>0</v>
      </c>
      <c r="AK25" s="279">
        <v>0</v>
      </c>
      <c r="AL25" s="279">
        <v>0</v>
      </c>
      <c r="AM25" s="279">
        <f>INDEX(C.rngPDeath.Ulcer, MATCH($E25, Parameters!$D$340:$D$344, 1))</f>
        <v>0.1018918360601716</v>
      </c>
      <c r="AN25" s="131"/>
      <c r="AO25" s="132">
        <f t="shared" si="4"/>
        <v>1</v>
      </c>
    </row>
    <row r="26" spans="1:41" ht="12" customHeight="1" thickBot="1" x14ac:dyDescent="0.3">
      <c r="A26" s="328"/>
      <c r="C26" s="327"/>
      <c r="D26">
        <f t="shared" si="9"/>
        <v>7</v>
      </c>
      <c r="E26">
        <f t="shared" si="10"/>
        <v>75</v>
      </c>
      <c r="F26" s="112" t="str">
        <f t="shared" si="2"/>
        <v>75-79</v>
      </c>
      <c r="G26" s="110" t="str">
        <f t="array" aca="1" ref="G26" ca="1">INDEX(C.rngStates, $D26)</f>
        <v>Serious GI event</v>
      </c>
      <c r="H26" s="112"/>
      <c r="I26" s="110"/>
      <c r="K26" s="279">
        <v>0</v>
      </c>
      <c r="L26" s="279">
        <v>0</v>
      </c>
      <c r="M26" s="279">
        <v>0</v>
      </c>
      <c r="N26" s="279">
        <v>0</v>
      </c>
      <c r="O26" s="279">
        <v>0</v>
      </c>
      <c r="P26" s="279">
        <v>0</v>
      </c>
      <c r="Q26" s="279">
        <v>0</v>
      </c>
      <c r="R26" s="279">
        <f>TP.unresolved</f>
        <v>0.10094637223974767</v>
      </c>
      <c r="S26" s="280">
        <f t="shared" si="11"/>
        <v>0.78697136554945546</v>
      </c>
      <c r="T26" s="279">
        <v>0</v>
      </c>
      <c r="U26" s="279">
        <v>0</v>
      </c>
      <c r="V26" s="279">
        <v>0</v>
      </c>
      <c r="W26" s="279">
        <f>INDEX(C.rngPDeath.SeriousGI, MATCH($E26, Parameters!$D$333:$D$337, 1))</f>
        <v>0.11208226221079687</v>
      </c>
      <c r="X26" s="131"/>
      <c r="Y26" s="132">
        <f t="shared" si="3"/>
        <v>1</v>
      </c>
      <c r="AA26" s="279">
        <v>0</v>
      </c>
      <c r="AB26" s="279">
        <v>0</v>
      </c>
      <c r="AC26" s="279">
        <v>0</v>
      </c>
      <c r="AD26" s="279">
        <v>0</v>
      </c>
      <c r="AE26" s="279">
        <v>0</v>
      </c>
      <c r="AF26" s="279">
        <v>0</v>
      </c>
      <c r="AG26" s="279">
        <v>0</v>
      </c>
      <c r="AH26" s="279">
        <f>TP.unresolved</f>
        <v>0.10094637223974767</v>
      </c>
      <c r="AI26" s="280">
        <f t="shared" si="12"/>
        <v>0.78697136554945546</v>
      </c>
      <c r="AJ26" s="279">
        <v>0</v>
      </c>
      <c r="AK26" s="279">
        <v>0</v>
      </c>
      <c r="AL26" s="279">
        <v>0</v>
      </c>
      <c r="AM26" s="279">
        <f>INDEX(C.rngPDeath.SeriousGI, MATCH($E26, Parameters!$D$333:$D$337, 1))</f>
        <v>0.11208226221079687</v>
      </c>
      <c r="AN26" s="131"/>
      <c r="AO26" s="132">
        <f t="shared" si="4"/>
        <v>1</v>
      </c>
    </row>
    <row r="27" spans="1:41" ht="12" customHeight="1" thickBot="1" x14ac:dyDescent="0.3">
      <c r="A27" s="328"/>
      <c r="C27" s="327"/>
      <c r="D27">
        <f t="shared" si="9"/>
        <v>8</v>
      </c>
      <c r="E27">
        <f t="shared" si="10"/>
        <v>75</v>
      </c>
      <c r="F27" s="112" t="str">
        <f t="shared" si="2"/>
        <v>75-79</v>
      </c>
      <c r="G27" s="110" t="str">
        <f t="array" aca="1" ref="G27" ca="1">INDEX(C.rngStates, $D27)</f>
        <v>Unresolved serious GI event</v>
      </c>
      <c r="H27" s="112"/>
      <c r="I27" s="110"/>
      <c r="K27" s="279">
        <v>0</v>
      </c>
      <c r="L27" s="279">
        <v>0</v>
      </c>
      <c r="M27" s="279">
        <v>0</v>
      </c>
      <c r="N27" s="279">
        <v>0</v>
      </c>
      <c r="O27" s="279">
        <v>0</v>
      </c>
      <c r="P27" s="279">
        <v>0</v>
      </c>
      <c r="Q27" s="279">
        <v>0</v>
      </c>
      <c r="R27" s="280">
        <v>0</v>
      </c>
      <c r="S27" s="280">
        <f t="shared" si="11"/>
        <v>0.88791773778920313</v>
      </c>
      <c r="T27" s="279">
        <v>0</v>
      </c>
      <c r="U27" s="279">
        <v>0</v>
      </c>
      <c r="V27" s="279">
        <v>0</v>
      </c>
      <c r="W27" s="279">
        <f>INDEX(C.rngPDeath.SeriousGI, MATCH($E27, Parameters!$D$333:$D$337, 1))</f>
        <v>0.11208226221079687</v>
      </c>
      <c r="X27" s="131"/>
      <c r="Y27" s="132">
        <f t="shared" si="3"/>
        <v>1</v>
      </c>
      <c r="AA27" s="279">
        <v>0</v>
      </c>
      <c r="AB27" s="279">
        <v>0</v>
      </c>
      <c r="AC27" s="279">
        <v>0</v>
      </c>
      <c r="AD27" s="279">
        <v>0</v>
      </c>
      <c r="AE27" s="279">
        <v>0</v>
      </c>
      <c r="AF27" s="279">
        <v>0</v>
      </c>
      <c r="AG27" s="279">
        <v>0</v>
      </c>
      <c r="AH27" s="280">
        <v>0</v>
      </c>
      <c r="AI27" s="280">
        <f t="shared" si="12"/>
        <v>0.88791773778920313</v>
      </c>
      <c r="AJ27" s="279">
        <v>0</v>
      </c>
      <c r="AK27" s="279">
        <v>0</v>
      </c>
      <c r="AL27" s="279">
        <v>0</v>
      </c>
      <c r="AM27" s="279">
        <f>INDEX(C.rngPDeath.SeriousGI, MATCH($E27, Parameters!$D$333:$D$337, 1))</f>
        <v>0.11208226221079687</v>
      </c>
      <c r="AN27" s="131"/>
      <c r="AO27" s="132">
        <f t="shared" si="4"/>
        <v>1</v>
      </c>
    </row>
    <row r="28" spans="1:41" ht="12" customHeight="1" thickBot="1" x14ac:dyDescent="0.3">
      <c r="A28" s="328"/>
      <c r="C28" s="327"/>
      <c r="D28">
        <f t="shared" si="9"/>
        <v>9</v>
      </c>
      <c r="E28">
        <f t="shared" si="10"/>
        <v>75</v>
      </c>
      <c r="F28" s="112" t="str">
        <f t="shared" si="2"/>
        <v>75-79</v>
      </c>
      <c r="G28" s="110" t="str">
        <f t="array" aca="1" ref="G28" ca="1">INDEX(C.rngStates, $D28)</f>
        <v>Post-GI event</v>
      </c>
      <c r="H28" s="112"/>
      <c r="I28" s="110"/>
      <c r="K28" s="279">
        <v>0</v>
      </c>
      <c r="L28" s="279">
        <v>0</v>
      </c>
      <c r="M28" s="279">
        <f>INDEX(C.rngTP.GIpain, 1)</f>
        <v>7.197486913300466E-3</v>
      </c>
      <c r="N28" s="279">
        <v>0</v>
      </c>
      <c r="O28" s="279">
        <f>INDEX(C.rngTP.Ulcer, 1)</f>
        <v>3.1627894446695226E-4</v>
      </c>
      <c r="P28" s="279">
        <v>0</v>
      </c>
      <c r="Q28" s="279">
        <f>INDEX(C.rngTP.SeriousGI, 1)</f>
        <v>1.7160259408945944E-3</v>
      </c>
      <c r="R28" s="279">
        <v>0</v>
      </c>
      <c r="S28" s="280">
        <f t="shared" si="11"/>
        <v>0.96856220906358836</v>
      </c>
      <c r="T28" s="279">
        <f>INDEX(C.rngTP.Stroke_noHPE, MATCH($E28, Parameters!$D$284:$D$286, 1))</f>
        <v>1.990516289608002E-3</v>
      </c>
      <c r="U28" s="279">
        <v>0</v>
      </c>
      <c r="V28" s="279">
        <v>0</v>
      </c>
      <c r="W28" s="279">
        <f>INDEX(C.rngPDeath.NoEvent, MATCH($E28, Parameters!$D$325:$D$329, 1))</f>
        <v>2.0217482848141621E-2</v>
      </c>
      <c r="X28" s="131"/>
      <c r="Y28" s="132">
        <f t="shared" si="3"/>
        <v>1</v>
      </c>
      <c r="AA28" s="279">
        <v>0</v>
      </c>
      <c r="AB28" s="279">
        <v>0</v>
      </c>
      <c r="AC28" s="279">
        <f>INDEX(C.rngTP.GIpain, 1)</f>
        <v>7.197486913300466E-3</v>
      </c>
      <c r="AD28" s="279">
        <v>0</v>
      </c>
      <c r="AE28" s="279">
        <f>INDEX(C.rngTP.Ulcer, 1)</f>
        <v>3.1627894446695226E-4</v>
      </c>
      <c r="AF28" s="279">
        <v>0</v>
      </c>
      <c r="AG28" s="279">
        <f>INDEX(C.rngTP.SeriousGI, 1)</f>
        <v>1.7160259408945944E-3</v>
      </c>
      <c r="AH28" s="279">
        <v>0</v>
      </c>
      <c r="AI28" s="280">
        <f t="shared" si="12"/>
        <v>0.96856220906358836</v>
      </c>
      <c r="AJ28" s="279">
        <f>INDEX(C.rngTP.Stroke_noHPE, MATCH($E28, Parameters!$D$284:$D$286, 1))</f>
        <v>1.990516289608002E-3</v>
      </c>
      <c r="AK28" s="279">
        <v>0</v>
      </c>
      <c r="AL28" s="279">
        <v>0</v>
      </c>
      <c r="AM28" s="279">
        <f>INDEX(C.rngPDeath.NoEvent, MATCH($E28, Parameters!$D$325:$D$329, 1))</f>
        <v>2.0217482848141621E-2</v>
      </c>
      <c r="AN28" s="131"/>
      <c r="AO28" s="132">
        <f t="shared" si="4"/>
        <v>1</v>
      </c>
    </row>
    <row r="29" spans="1:41" ht="12" customHeight="1" thickBot="1" x14ac:dyDescent="0.3">
      <c r="A29" s="328"/>
      <c r="C29" s="327"/>
      <c r="D29">
        <f t="shared" si="9"/>
        <v>10</v>
      </c>
      <c r="E29">
        <f t="shared" si="10"/>
        <v>75</v>
      </c>
      <c r="F29" s="112" t="str">
        <f t="shared" si="2"/>
        <v>75-79</v>
      </c>
      <c r="G29" s="110" t="str">
        <f t="array" aca="1" ref="G29" ca="1">INDEX(C.rngStates, $D29)</f>
        <v>Stroke</v>
      </c>
      <c r="H29" s="112"/>
      <c r="I29" s="110"/>
      <c r="K29" s="279">
        <v>0</v>
      </c>
      <c r="L29" s="279">
        <v>0</v>
      </c>
      <c r="M29" s="279">
        <v>0</v>
      </c>
      <c r="N29" s="279">
        <v>0</v>
      </c>
      <c r="O29" s="279">
        <v>0</v>
      </c>
      <c r="P29" s="279">
        <v>0</v>
      </c>
      <c r="Q29" s="279">
        <v>0</v>
      </c>
      <c r="R29" s="279">
        <v>0</v>
      </c>
      <c r="S29" s="279">
        <v>0</v>
      </c>
      <c r="T29" s="279">
        <v>0</v>
      </c>
      <c r="U29" s="279">
        <f>INDEX(C.rngTP.Stroke_repeat, MATCH($E29, Parameters!$D$294:$D$296, 1))</f>
        <v>2.1000000000000019E-2</v>
      </c>
      <c r="V29" s="280">
        <f>1-SUM(J29:U29, W29:X29)</f>
        <v>0.87949443472542854</v>
      </c>
      <c r="W29" s="279">
        <f>INDEX(C.rngPDeath.Stroke, MATCH($E29, Parameters!$D$325:$D$329, 1))</f>
        <v>9.9505565274571439E-2</v>
      </c>
      <c r="X29" s="131"/>
      <c r="Y29" s="132">
        <f t="shared" si="3"/>
        <v>1</v>
      </c>
      <c r="AA29" s="279">
        <v>0</v>
      </c>
      <c r="AB29" s="279">
        <v>0</v>
      </c>
      <c r="AC29" s="279">
        <v>0</v>
      </c>
      <c r="AD29" s="279">
        <v>0</v>
      </c>
      <c r="AE29" s="279">
        <v>0</v>
      </c>
      <c r="AF29" s="279">
        <v>0</v>
      </c>
      <c r="AG29" s="279">
        <v>0</v>
      </c>
      <c r="AH29" s="279">
        <v>0</v>
      </c>
      <c r="AI29" s="279">
        <v>0</v>
      </c>
      <c r="AJ29" s="279">
        <v>0</v>
      </c>
      <c r="AK29" s="279">
        <f>INDEX(C.rngTP.Stroke_repeat, MATCH($E29, Parameters!$D$294:$D$296, 1))</f>
        <v>2.1000000000000019E-2</v>
      </c>
      <c r="AL29" s="280">
        <f>1-SUM(Z29:AK29, AM29:AN29)</f>
        <v>0.87949443472542854</v>
      </c>
      <c r="AM29" s="279">
        <f>INDEX(C.rngPDeath.Stroke, MATCH($E29, Parameters!$D$325:$D$329, 1))</f>
        <v>9.9505565274571439E-2</v>
      </c>
      <c r="AN29" s="131"/>
      <c r="AO29" s="132">
        <f t="shared" si="4"/>
        <v>1</v>
      </c>
    </row>
    <row r="30" spans="1:41" ht="12" customHeight="1" thickBot="1" x14ac:dyDescent="0.3">
      <c r="A30" s="328"/>
      <c r="C30" s="327"/>
      <c r="D30">
        <f t="shared" si="9"/>
        <v>11</v>
      </c>
      <c r="E30">
        <f t="shared" si="10"/>
        <v>75</v>
      </c>
      <c r="F30" s="112" t="str">
        <f t="shared" si="2"/>
        <v>75-79</v>
      </c>
      <c r="G30" s="110" t="str">
        <f t="array" aca="1" ref="G30" ca="1">INDEX(C.rngStates, $D30)</f>
        <v>Recurrent stroke</v>
      </c>
      <c r="H30" s="112"/>
      <c r="I30" s="110"/>
      <c r="K30" s="279">
        <v>0</v>
      </c>
      <c r="L30" s="279">
        <v>0</v>
      </c>
      <c r="M30" s="279">
        <v>0</v>
      </c>
      <c r="N30" s="279">
        <v>0</v>
      </c>
      <c r="O30" s="279">
        <v>0</v>
      </c>
      <c r="P30" s="279">
        <v>0</v>
      </c>
      <c r="Q30" s="279">
        <v>0</v>
      </c>
      <c r="R30" s="280">
        <v>0</v>
      </c>
      <c r="S30" s="279">
        <v>0</v>
      </c>
      <c r="T30" s="279">
        <v>0</v>
      </c>
      <c r="U30" s="279">
        <v>0</v>
      </c>
      <c r="V30" s="280">
        <f>1-SUM(J30:U30, W30:X30)</f>
        <v>0.90049443472542856</v>
      </c>
      <c r="W30" s="279">
        <f>INDEX(C.rngPDeath.Stroke, MATCH($E30, Parameters!$D$325:$D$329, 1))</f>
        <v>9.9505565274571439E-2</v>
      </c>
      <c r="X30" s="131"/>
      <c r="Y30" s="132">
        <f t="shared" si="3"/>
        <v>1</v>
      </c>
      <c r="AA30" s="279">
        <v>0</v>
      </c>
      <c r="AB30" s="279">
        <v>0</v>
      </c>
      <c r="AC30" s="279">
        <v>0</v>
      </c>
      <c r="AD30" s="279">
        <v>0</v>
      </c>
      <c r="AE30" s="279">
        <v>0</v>
      </c>
      <c r="AF30" s="279">
        <v>0</v>
      </c>
      <c r="AG30" s="279">
        <v>0</v>
      </c>
      <c r="AH30" s="280">
        <v>0</v>
      </c>
      <c r="AI30" s="279">
        <v>0</v>
      </c>
      <c r="AJ30" s="279">
        <v>0</v>
      </c>
      <c r="AK30" s="279">
        <v>0</v>
      </c>
      <c r="AL30" s="280">
        <f>1-SUM(Z30:AK30, AM30:AN30)</f>
        <v>0.90049443472542856</v>
      </c>
      <c r="AM30" s="279">
        <f>INDEX(C.rngPDeath.Stroke, MATCH($E30, Parameters!$D$325:$D$329, 1))</f>
        <v>9.9505565274571439E-2</v>
      </c>
      <c r="AN30" s="131"/>
      <c r="AO30" s="132">
        <f t="shared" si="4"/>
        <v>1</v>
      </c>
    </row>
    <row r="31" spans="1:41" ht="12" customHeight="1" thickBot="1" x14ac:dyDescent="0.3">
      <c r="A31" s="328"/>
      <c r="C31" s="327"/>
      <c r="D31">
        <f t="shared" si="9"/>
        <v>12</v>
      </c>
      <c r="E31">
        <f t="shared" si="10"/>
        <v>75</v>
      </c>
      <c r="F31" s="112" t="str">
        <f t="shared" si="2"/>
        <v>75-79</v>
      </c>
      <c r="G31" s="110" t="str">
        <f t="array" aca="1" ref="G31" ca="1">INDEX(C.rngStates, $D31)</f>
        <v>Post-stroke</v>
      </c>
      <c r="H31" s="112"/>
      <c r="I31" s="110"/>
      <c r="K31" s="279">
        <v>0</v>
      </c>
      <c r="L31" s="279">
        <v>0</v>
      </c>
      <c r="M31" s="279">
        <v>0</v>
      </c>
      <c r="N31" s="279">
        <v>0</v>
      </c>
      <c r="O31" s="279">
        <v>0</v>
      </c>
      <c r="P31" s="279">
        <v>0</v>
      </c>
      <c r="Q31" s="279">
        <v>0</v>
      </c>
      <c r="R31" s="279">
        <v>0</v>
      </c>
      <c r="S31" s="279">
        <v>0</v>
      </c>
      <c r="T31" s="279">
        <f>INDEX(C.rngTP.Stroke_recur, MATCH($E31, Parameters!$D$305:$D$307, 1))</f>
        <v>6.7481208735362674E-3</v>
      </c>
      <c r="U31" s="279">
        <v>0</v>
      </c>
      <c r="V31" s="280">
        <f>1-SUM(J31:U31, W31:X31)</f>
        <v>0.96766600519453105</v>
      </c>
      <c r="W31" s="279">
        <f>INDEX(C.rngPDeath.PostStroke, MATCH($E31, Parameters!$D$325:$D$329, 1))</f>
        <v>2.5585873931932679E-2</v>
      </c>
      <c r="X31" s="131"/>
      <c r="Y31" s="132">
        <f t="shared" si="3"/>
        <v>1</v>
      </c>
      <c r="AA31" s="279">
        <v>0</v>
      </c>
      <c r="AB31" s="279">
        <v>0</v>
      </c>
      <c r="AC31" s="279">
        <v>0</v>
      </c>
      <c r="AD31" s="279">
        <v>0</v>
      </c>
      <c r="AE31" s="279">
        <v>0</v>
      </c>
      <c r="AF31" s="279">
        <v>0</v>
      </c>
      <c r="AG31" s="279">
        <v>0</v>
      </c>
      <c r="AH31" s="279">
        <v>0</v>
      </c>
      <c r="AI31" s="279">
        <v>0</v>
      </c>
      <c r="AJ31" s="279">
        <f>INDEX(C.rngTP.Stroke_recur, MATCH($E31, Parameters!$D$305:$D$307, 1))</f>
        <v>6.7481208735362674E-3</v>
      </c>
      <c r="AK31" s="279">
        <v>0</v>
      </c>
      <c r="AL31" s="280">
        <f>1-SUM(Z31:AK31, AM31:AN31)</f>
        <v>0.96766600519453105</v>
      </c>
      <c r="AM31" s="279">
        <f>INDEX(C.rngPDeath.PostStroke, MATCH($E31, Parameters!$D$325:$D$329, 1))</f>
        <v>2.5585873931932679E-2</v>
      </c>
      <c r="AN31" s="131"/>
      <c r="AO31" s="132">
        <f t="shared" si="4"/>
        <v>1</v>
      </c>
    </row>
    <row r="32" spans="1:41" s="188" customFormat="1" ht="12" customHeight="1" thickBot="1" x14ac:dyDescent="0.3">
      <c r="A32" s="328"/>
      <c r="B32" s="326"/>
      <c r="C32" s="327"/>
      <c r="D32" s="188">
        <f t="shared" si="9"/>
        <v>13</v>
      </c>
      <c r="E32" s="188">
        <f t="shared" si="10"/>
        <v>75</v>
      </c>
      <c r="F32" s="112" t="str">
        <f t="shared" si="2"/>
        <v>75-79</v>
      </c>
      <c r="G32" s="110" t="str">
        <f t="array" aca="1" ref="G32" ca="1">INDEX(C.rngStates, $D32)</f>
        <v>Dead</v>
      </c>
      <c r="H32" s="112"/>
      <c r="I32" s="110"/>
      <c r="K32" s="278">
        <v>0</v>
      </c>
      <c r="L32" s="278">
        <v>0</v>
      </c>
      <c r="M32" s="278">
        <v>0</v>
      </c>
      <c r="N32" s="278">
        <v>0</v>
      </c>
      <c r="O32" s="278">
        <v>0</v>
      </c>
      <c r="P32" s="278">
        <v>0</v>
      </c>
      <c r="Q32" s="278">
        <v>0</v>
      </c>
      <c r="R32" s="278">
        <v>0</v>
      </c>
      <c r="S32" s="278">
        <v>0</v>
      </c>
      <c r="T32" s="278">
        <v>0</v>
      </c>
      <c r="U32" s="278">
        <v>0</v>
      </c>
      <c r="V32" s="278">
        <v>0</v>
      </c>
      <c r="W32" s="277">
        <v>1</v>
      </c>
      <c r="X32" s="191"/>
      <c r="Y32" s="132">
        <f t="shared" si="3"/>
        <v>1</v>
      </c>
      <c r="AA32" s="278">
        <v>0</v>
      </c>
      <c r="AB32" s="278">
        <v>0</v>
      </c>
      <c r="AC32" s="278">
        <v>0</v>
      </c>
      <c r="AD32" s="278">
        <v>0</v>
      </c>
      <c r="AE32" s="278">
        <v>0</v>
      </c>
      <c r="AF32" s="278">
        <v>0</v>
      </c>
      <c r="AG32" s="278">
        <v>0</v>
      </c>
      <c r="AH32" s="278">
        <v>0</v>
      </c>
      <c r="AI32" s="278">
        <v>0</v>
      </c>
      <c r="AJ32" s="278">
        <v>0</v>
      </c>
      <c r="AK32" s="278">
        <v>0</v>
      </c>
      <c r="AL32" s="278">
        <v>0</v>
      </c>
      <c r="AM32" s="277">
        <v>1</v>
      </c>
      <c r="AN32" s="191"/>
      <c r="AO32" s="132">
        <f t="shared" si="4"/>
        <v>1</v>
      </c>
    </row>
    <row r="33" spans="1:41" ht="12" customHeight="1" thickBot="1" x14ac:dyDescent="0.3">
      <c r="A33" s="328"/>
      <c r="C33" s="327"/>
      <c r="D33">
        <v>1</v>
      </c>
      <c r="E33">
        <f>E20+5</f>
        <v>80</v>
      </c>
      <c r="F33" s="112" t="str">
        <f t="shared" si="2"/>
        <v>80-84</v>
      </c>
      <c r="G33" s="110" t="str">
        <f t="array" aca="1" ref="G33" ca="1">INDEX(C.rngStates, $D33)</f>
        <v>Well no HPE</v>
      </c>
      <c r="H33" s="112"/>
      <c r="I33" s="110"/>
      <c r="K33" s="280">
        <f>1-SUM(J33:J33, L33:X33)</f>
        <v>0.95242846853523122</v>
      </c>
      <c r="L33" s="279">
        <v>0</v>
      </c>
      <c r="M33" s="279">
        <f>INDEX(C.rngTP.GIpain, 1)</f>
        <v>7.197486913300466E-3</v>
      </c>
      <c r="N33" s="279">
        <v>0</v>
      </c>
      <c r="O33" s="279">
        <f>INDEX(C.rngTP.Ulcer, 1)</f>
        <v>3.1627894446695226E-4</v>
      </c>
      <c r="P33" s="279">
        <v>0</v>
      </c>
      <c r="Q33" s="279">
        <f>INDEX(C.rngTP.SeriousGI, 1)</f>
        <v>1.7160259408945944E-3</v>
      </c>
      <c r="R33" s="279">
        <v>0</v>
      </c>
      <c r="S33" s="279">
        <v>0</v>
      </c>
      <c r="T33" s="279">
        <f>INDEX(C.rngTP.Stroke_noHPE, MATCH($E33, Parameters!$D$284:$D$286, 1))</f>
        <v>2.8849554947409928E-3</v>
      </c>
      <c r="U33" s="279">
        <v>0</v>
      </c>
      <c r="V33" s="279">
        <v>0</v>
      </c>
      <c r="W33" s="279">
        <f>INDEX(C.rngPDeath.NoEvent, MATCH($E33, Parameters!$D$325:$D$329, 1))</f>
        <v>3.5456784171365774E-2</v>
      </c>
      <c r="X33" s="131"/>
      <c r="Y33" s="132">
        <f t="shared" si="3"/>
        <v>1</v>
      </c>
      <c r="AA33" s="280">
        <f>1-SUM(Z33:Z33, AB33:AN33)</f>
        <v>0.95242846853523122</v>
      </c>
      <c r="AB33" s="279">
        <v>0</v>
      </c>
      <c r="AC33" s="279">
        <f>INDEX(C.rngTP.GIpain, 1)</f>
        <v>7.197486913300466E-3</v>
      </c>
      <c r="AD33" s="279">
        <v>0</v>
      </c>
      <c r="AE33" s="279">
        <f>INDEX(C.rngTP.Ulcer, 1)</f>
        <v>3.1627894446695226E-4</v>
      </c>
      <c r="AF33" s="279">
        <v>0</v>
      </c>
      <c r="AG33" s="279">
        <f>INDEX(C.rngTP.SeriousGI, 1)</f>
        <v>1.7160259408945944E-3</v>
      </c>
      <c r="AH33" s="279">
        <v>0</v>
      </c>
      <c r="AI33" s="279">
        <v>0</v>
      </c>
      <c r="AJ33" s="279">
        <f>INDEX(C.rngTP.Stroke_noHPE, MATCH($E33, Parameters!$D$284:$D$286, 1))</f>
        <v>2.8849554947409928E-3</v>
      </c>
      <c r="AK33" s="279">
        <v>0</v>
      </c>
      <c r="AL33" s="279">
        <v>0</v>
      </c>
      <c r="AM33" s="279">
        <f>INDEX(C.rngPDeath.NoEvent, MATCH($E33, Parameters!$D$325:$D$329, 1))</f>
        <v>3.5456784171365774E-2</v>
      </c>
      <c r="AN33" s="131"/>
      <c r="AO33" s="132">
        <f t="shared" si="4"/>
        <v>1</v>
      </c>
    </row>
    <row r="34" spans="1:41" ht="12" customHeight="1" thickBot="1" x14ac:dyDescent="0.3">
      <c r="A34" s="328"/>
      <c r="C34" s="327"/>
      <c r="D34">
        <f t="shared" ref="D34:D45" si="13">D33+1</f>
        <v>2</v>
      </c>
      <c r="E34">
        <f t="shared" ref="E34:E45" si="14">E33</f>
        <v>80</v>
      </c>
      <c r="F34" s="112" t="str">
        <f t="shared" si="2"/>
        <v>80-84</v>
      </c>
      <c r="G34" s="110" t="str">
        <f t="array" aca="1" ref="G34" ca="1">INDEX(C.rngStates, $D34)</f>
        <v>Well with HPE</v>
      </c>
      <c r="H34" s="112"/>
      <c r="I34" s="110"/>
      <c r="K34" s="279">
        <v>0</v>
      </c>
      <c r="L34" s="280">
        <f>1-SUM(J34:K34, M34:X34)</f>
        <v>0.93591371468880846</v>
      </c>
      <c r="M34" s="279">
        <f>INDEX(C.rngTP.GIpain, 2)</f>
        <v>1.5136652891765377E-2</v>
      </c>
      <c r="N34" s="279">
        <v>0</v>
      </c>
      <c r="O34" s="279">
        <f>INDEX(C.rngTP.Ulcer, 2)</f>
        <v>5.3755519342140107E-4</v>
      </c>
      <c r="P34" s="279">
        <v>0</v>
      </c>
      <c r="Q34" s="279">
        <f>INDEX(C.rngTP.SeriousGI, 2)</f>
        <v>5.156335227526343E-3</v>
      </c>
      <c r="R34" s="279">
        <v>0</v>
      </c>
      <c r="S34" s="279">
        <v>0</v>
      </c>
      <c r="T34" s="279">
        <f>INDEX(C.rngTP.Stroke_HPE, MATCH($E34, Parameters!$D$287:$D$289, 1))</f>
        <v>7.7989578271125959E-3</v>
      </c>
      <c r="U34" s="279">
        <v>0</v>
      </c>
      <c r="V34" s="279">
        <v>0</v>
      </c>
      <c r="W34" s="279">
        <f>INDEX(C.rngPDeath.NoEvent, MATCH($E34, Parameters!$D$325:$D$329, 1))</f>
        <v>3.5456784171365774E-2</v>
      </c>
      <c r="X34" s="131"/>
      <c r="Y34" s="132">
        <f t="shared" si="3"/>
        <v>0.99999999999999989</v>
      </c>
      <c r="AA34" s="280">
        <f>1-SUM(Z34, AB34:AN34)</f>
        <v>0.93591371468880846</v>
      </c>
      <c r="AB34" s="280">
        <v>0</v>
      </c>
      <c r="AC34" s="279">
        <f>INDEX(C.rngTP.GIpain, 2)</f>
        <v>1.5136652891765377E-2</v>
      </c>
      <c r="AD34" s="279">
        <v>0</v>
      </c>
      <c r="AE34" s="279">
        <f>INDEX(C.rngTP.Ulcer, 2)</f>
        <v>5.3755519342140107E-4</v>
      </c>
      <c r="AF34" s="279">
        <v>0</v>
      </c>
      <c r="AG34" s="279">
        <f>INDEX(C.rngTP.SeriousGI, 2)</f>
        <v>5.156335227526343E-3</v>
      </c>
      <c r="AH34" s="279">
        <v>0</v>
      </c>
      <c r="AI34" s="279">
        <v>0</v>
      </c>
      <c r="AJ34" s="279">
        <f>INDEX(C.rngTP.Stroke_HPE, MATCH($E34, Parameters!$D$287:$D$289, 1))</f>
        <v>7.7989578271125959E-3</v>
      </c>
      <c r="AK34" s="279">
        <v>0</v>
      </c>
      <c r="AL34" s="279">
        <v>0</v>
      </c>
      <c r="AM34" s="279">
        <f>INDEX(C.rngPDeath.NoEvent, MATCH($E34, Parameters!$D$325:$D$329, 1))</f>
        <v>3.5456784171365774E-2</v>
      </c>
      <c r="AN34" s="131"/>
      <c r="AO34" s="132">
        <f t="shared" si="4"/>
        <v>0.99999999999999989</v>
      </c>
    </row>
    <row r="35" spans="1:41" ht="12" customHeight="1" thickBot="1" x14ac:dyDescent="0.3">
      <c r="A35" s="328"/>
      <c r="C35" s="327"/>
      <c r="D35">
        <f t="shared" si="13"/>
        <v>3</v>
      </c>
      <c r="E35">
        <f t="shared" si="14"/>
        <v>80</v>
      </c>
      <c r="F35" s="112" t="str">
        <f t="shared" si="2"/>
        <v>80-84</v>
      </c>
      <c r="G35" s="110" t="str">
        <f t="array" aca="1" ref="G35" ca="1">INDEX(C.rngStates, $D35)</f>
        <v>GI discomfort</v>
      </c>
      <c r="H35" s="112"/>
      <c r="I35" s="110"/>
      <c r="K35" s="279">
        <v>0</v>
      </c>
      <c r="L35" s="279">
        <v>0</v>
      </c>
      <c r="M35" s="280">
        <v>0</v>
      </c>
      <c r="N35" s="279">
        <f>TP.unresolved</f>
        <v>0.10094637223974767</v>
      </c>
      <c r="O35" s="279">
        <v>0</v>
      </c>
      <c r="P35" s="279">
        <v>0</v>
      </c>
      <c r="Q35" s="279">
        <v>0</v>
      </c>
      <c r="R35" s="279">
        <v>0</v>
      </c>
      <c r="S35" s="280">
        <f t="shared" ref="S35:S41" si="15">1-SUM(J35:R35, T35:X35)</f>
        <v>0.86359684358888655</v>
      </c>
      <c r="T35" s="279">
        <v>0</v>
      </c>
      <c r="U35" s="279">
        <v>0</v>
      </c>
      <c r="V35" s="279">
        <v>0</v>
      </c>
      <c r="W35" s="279">
        <f>INDEX(C.rngPDeath.NoEvent, MATCH($E35, Parameters!$D$325:$D$329, 1))</f>
        <v>3.5456784171365774E-2</v>
      </c>
      <c r="X35" s="131"/>
      <c r="Y35" s="132">
        <f t="shared" si="3"/>
        <v>1</v>
      </c>
      <c r="AA35" s="279">
        <v>0</v>
      </c>
      <c r="AB35" s="279">
        <v>0</v>
      </c>
      <c r="AC35" s="280">
        <v>0</v>
      </c>
      <c r="AD35" s="279">
        <f>TP.unresolved</f>
        <v>0.10094637223974767</v>
      </c>
      <c r="AE35" s="279">
        <v>0</v>
      </c>
      <c r="AF35" s="279">
        <v>0</v>
      </c>
      <c r="AG35" s="279">
        <v>0</v>
      </c>
      <c r="AH35" s="279">
        <v>0</v>
      </c>
      <c r="AI35" s="280">
        <f t="shared" ref="AI35:AI41" si="16">1-SUM(Z35:AH35, AJ35:AN35)</f>
        <v>0.86359684358888655</v>
      </c>
      <c r="AJ35" s="279">
        <v>0</v>
      </c>
      <c r="AK35" s="279">
        <v>0</v>
      </c>
      <c r="AL35" s="279">
        <v>0</v>
      </c>
      <c r="AM35" s="279">
        <f>INDEX(C.rngPDeath.NoEvent, MATCH($E35, Parameters!$D$325:$D$329, 1))</f>
        <v>3.5456784171365774E-2</v>
      </c>
      <c r="AN35" s="131"/>
      <c r="AO35" s="132">
        <f t="shared" si="4"/>
        <v>1</v>
      </c>
    </row>
    <row r="36" spans="1:41" ht="12" customHeight="1" thickBot="1" x14ac:dyDescent="0.3">
      <c r="A36" s="328"/>
      <c r="C36" s="327"/>
      <c r="D36">
        <f t="shared" si="13"/>
        <v>4</v>
      </c>
      <c r="E36">
        <f t="shared" si="14"/>
        <v>80</v>
      </c>
      <c r="F36" s="112" t="str">
        <f t="shared" si="2"/>
        <v>80-84</v>
      </c>
      <c r="G36" s="110" t="str">
        <f t="array" aca="1" ref="G36" ca="1">INDEX(C.rngStates, $D36)</f>
        <v>Unresolved GI discomfort</v>
      </c>
      <c r="H36" s="112"/>
      <c r="I36" s="110"/>
      <c r="K36" s="279">
        <v>0</v>
      </c>
      <c r="L36" s="279">
        <v>0</v>
      </c>
      <c r="M36" s="279">
        <v>0</v>
      </c>
      <c r="N36" s="279">
        <v>0</v>
      </c>
      <c r="O36" s="279">
        <v>0</v>
      </c>
      <c r="P36" s="279">
        <v>0</v>
      </c>
      <c r="Q36" s="279">
        <v>0</v>
      </c>
      <c r="R36" s="279">
        <v>0</v>
      </c>
      <c r="S36" s="280">
        <f t="shared" si="15"/>
        <v>0.96454321582863423</v>
      </c>
      <c r="T36" s="279">
        <v>0</v>
      </c>
      <c r="U36" s="279">
        <v>0</v>
      </c>
      <c r="V36" s="279">
        <v>0</v>
      </c>
      <c r="W36" s="279">
        <f>INDEX(C.rngPDeath.NoEvent, MATCH($E36, Parameters!$D$325:$D$329, 1))</f>
        <v>3.5456784171365774E-2</v>
      </c>
      <c r="X36" s="131"/>
      <c r="Y36" s="132">
        <f t="shared" si="3"/>
        <v>1</v>
      </c>
      <c r="AA36" s="279">
        <v>0</v>
      </c>
      <c r="AB36" s="279">
        <v>0</v>
      </c>
      <c r="AC36" s="279">
        <v>0</v>
      </c>
      <c r="AD36" s="279">
        <v>0</v>
      </c>
      <c r="AE36" s="279">
        <v>0</v>
      </c>
      <c r="AF36" s="279">
        <v>0</v>
      </c>
      <c r="AG36" s="279">
        <v>0</v>
      </c>
      <c r="AH36" s="279">
        <v>0</v>
      </c>
      <c r="AI36" s="280">
        <f t="shared" si="16"/>
        <v>0.96454321582863423</v>
      </c>
      <c r="AJ36" s="279">
        <v>0</v>
      </c>
      <c r="AK36" s="279">
        <v>0</v>
      </c>
      <c r="AL36" s="279">
        <v>0</v>
      </c>
      <c r="AM36" s="279">
        <f>INDEX(C.rngPDeath.NoEvent, MATCH($E36, Parameters!$D$325:$D$329, 1))</f>
        <v>3.5456784171365774E-2</v>
      </c>
      <c r="AN36" s="131"/>
      <c r="AO36" s="132">
        <f t="shared" si="4"/>
        <v>1</v>
      </c>
    </row>
    <row r="37" spans="1:41" ht="12" customHeight="1" thickBot="1" x14ac:dyDescent="0.3">
      <c r="A37" s="328"/>
      <c r="C37" s="327"/>
      <c r="D37">
        <f t="shared" si="13"/>
        <v>5</v>
      </c>
      <c r="E37">
        <f t="shared" si="14"/>
        <v>80</v>
      </c>
      <c r="F37" s="112" t="str">
        <f t="shared" si="2"/>
        <v>80-84</v>
      </c>
      <c r="G37" s="110" t="str">
        <f t="array" aca="1" ref="G37" ca="1">INDEX(C.rngStates, $D37)</f>
        <v>Symptomatic ulcer</v>
      </c>
      <c r="H37" s="112"/>
      <c r="I37" s="110"/>
      <c r="K37" s="279">
        <v>0</v>
      </c>
      <c r="L37" s="279">
        <v>0</v>
      </c>
      <c r="M37" s="279">
        <v>0</v>
      </c>
      <c r="N37" s="279">
        <v>0</v>
      </c>
      <c r="O37" s="279">
        <v>0</v>
      </c>
      <c r="P37" s="279">
        <f>TP.unresolved</f>
        <v>0.10094637223974767</v>
      </c>
      <c r="Q37" s="279">
        <v>0</v>
      </c>
      <c r="R37" s="279">
        <v>0</v>
      </c>
      <c r="S37" s="280">
        <f t="shared" si="15"/>
        <v>0.72605880133407519</v>
      </c>
      <c r="T37" s="279">
        <v>0</v>
      </c>
      <c r="U37" s="279">
        <v>0</v>
      </c>
      <c r="V37" s="279">
        <v>0</v>
      </c>
      <c r="W37" s="279">
        <f>INDEX(C.rngPDeath.Ulcer, MATCH($E37, Parameters!$D$340:$D$344, 1))</f>
        <v>0.17299482642617714</v>
      </c>
      <c r="X37" s="131"/>
      <c r="Y37" s="132">
        <f t="shared" si="3"/>
        <v>1</v>
      </c>
      <c r="AA37" s="279">
        <v>0</v>
      </c>
      <c r="AB37" s="279">
        <v>0</v>
      </c>
      <c r="AC37" s="279">
        <v>0</v>
      </c>
      <c r="AD37" s="279">
        <v>0</v>
      </c>
      <c r="AE37" s="279">
        <v>0</v>
      </c>
      <c r="AF37" s="279">
        <f>TP.unresolved</f>
        <v>0.10094637223974767</v>
      </c>
      <c r="AG37" s="279">
        <v>0</v>
      </c>
      <c r="AH37" s="279">
        <v>0</v>
      </c>
      <c r="AI37" s="280">
        <f t="shared" si="16"/>
        <v>0.72605880133407519</v>
      </c>
      <c r="AJ37" s="279">
        <v>0</v>
      </c>
      <c r="AK37" s="279">
        <v>0</v>
      </c>
      <c r="AL37" s="279">
        <v>0</v>
      </c>
      <c r="AM37" s="279">
        <f>INDEX(C.rngPDeath.Ulcer, MATCH($E37, Parameters!$D$340:$D$344, 1))</f>
        <v>0.17299482642617714</v>
      </c>
      <c r="AN37" s="131"/>
      <c r="AO37" s="132">
        <f t="shared" si="4"/>
        <v>1</v>
      </c>
    </row>
    <row r="38" spans="1:41" ht="12" customHeight="1" thickBot="1" x14ac:dyDescent="0.3">
      <c r="A38" s="328"/>
      <c r="C38" s="327"/>
      <c r="D38">
        <f t="shared" si="13"/>
        <v>6</v>
      </c>
      <c r="E38">
        <f t="shared" si="14"/>
        <v>80</v>
      </c>
      <c r="F38" s="112" t="str">
        <f t="shared" si="2"/>
        <v>80-84</v>
      </c>
      <c r="G38" s="110" t="str">
        <f t="array" aca="1" ref="G38" ca="1">INDEX(C.rngStates, $D38)</f>
        <v>Unresolved ulcer</v>
      </c>
      <c r="H38" s="112"/>
      <c r="I38" s="110"/>
      <c r="K38" s="279">
        <v>0</v>
      </c>
      <c r="L38" s="279">
        <v>0</v>
      </c>
      <c r="M38" s="279">
        <v>0</v>
      </c>
      <c r="N38" s="279">
        <v>0</v>
      </c>
      <c r="O38" s="279">
        <v>0</v>
      </c>
      <c r="P38" s="280">
        <v>0</v>
      </c>
      <c r="Q38" s="279">
        <v>0</v>
      </c>
      <c r="R38" s="279">
        <v>0</v>
      </c>
      <c r="S38" s="280">
        <f t="shared" si="15"/>
        <v>0.82700517357382286</v>
      </c>
      <c r="T38" s="279">
        <v>0</v>
      </c>
      <c r="U38" s="279">
        <v>0</v>
      </c>
      <c r="V38" s="279">
        <v>0</v>
      </c>
      <c r="W38" s="279">
        <f>INDEX(C.rngPDeath.Ulcer, MATCH($E38, Parameters!$D$340:$D$344, 1))</f>
        <v>0.17299482642617714</v>
      </c>
      <c r="X38" s="131"/>
      <c r="Y38" s="132">
        <f t="shared" si="3"/>
        <v>1</v>
      </c>
      <c r="AA38" s="279">
        <v>0</v>
      </c>
      <c r="AB38" s="279">
        <v>0</v>
      </c>
      <c r="AC38" s="279">
        <v>0</v>
      </c>
      <c r="AD38" s="279">
        <v>0</v>
      </c>
      <c r="AE38" s="279">
        <v>0</v>
      </c>
      <c r="AF38" s="280">
        <v>0</v>
      </c>
      <c r="AG38" s="279">
        <v>0</v>
      </c>
      <c r="AH38" s="279">
        <v>0</v>
      </c>
      <c r="AI38" s="280">
        <f t="shared" si="16"/>
        <v>0.82700517357382286</v>
      </c>
      <c r="AJ38" s="279">
        <v>0</v>
      </c>
      <c r="AK38" s="279">
        <v>0</v>
      </c>
      <c r="AL38" s="279">
        <v>0</v>
      </c>
      <c r="AM38" s="279">
        <f>INDEX(C.rngPDeath.Ulcer, MATCH($E38, Parameters!$D$340:$D$344, 1))</f>
        <v>0.17299482642617714</v>
      </c>
      <c r="AN38" s="131"/>
      <c r="AO38" s="132">
        <f t="shared" si="4"/>
        <v>1</v>
      </c>
    </row>
    <row r="39" spans="1:41" ht="12" customHeight="1" thickBot="1" x14ac:dyDescent="0.3">
      <c r="A39" s="328"/>
      <c r="C39" s="327"/>
      <c r="D39">
        <f t="shared" si="13"/>
        <v>7</v>
      </c>
      <c r="E39">
        <f t="shared" si="14"/>
        <v>80</v>
      </c>
      <c r="F39" s="112" t="str">
        <f t="shared" ref="F39:F58" si="17">E39&amp;"-"&amp;E39+4</f>
        <v>80-84</v>
      </c>
      <c r="G39" s="110" t="str">
        <f t="array" aca="1" ref="G39" ca="1">INDEX(C.rngStates, $D39)</f>
        <v>Serious GI event</v>
      </c>
      <c r="H39" s="112"/>
      <c r="I39" s="110"/>
      <c r="K39" s="279">
        <v>0</v>
      </c>
      <c r="L39" s="279">
        <v>0</v>
      </c>
      <c r="M39" s="279">
        <v>0</v>
      </c>
      <c r="N39" s="279">
        <v>0</v>
      </c>
      <c r="O39" s="279">
        <v>0</v>
      </c>
      <c r="P39" s="279">
        <v>0</v>
      </c>
      <c r="Q39" s="279">
        <v>0</v>
      </c>
      <c r="R39" s="279">
        <f>TP.unresolved</f>
        <v>0.10094637223974767</v>
      </c>
      <c r="S39" s="280">
        <f t="shared" si="15"/>
        <v>0.70094786373474327</v>
      </c>
      <c r="T39" s="279">
        <v>0</v>
      </c>
      <c r="U39" s="279">
        <v>0</v>
      </c>
      <c r="V39" s="279">
        <v>0</v>
      </c>
      <c r="W39" s="279">
        <f>INDEX(C.rngPDeath.SeriousGI, MATCH($E39, Parameters!$D$333:$D$337, 1))</f>
        <v>0.19810576402550906</v>
      </c>
      <c r="X39" s="131"/>
      <c r="Y39" s="132">
        <f t="shared" ref="Y39:Y71" si="18">SUM(K39:W39)</f>
        <v>1</v>
      </c>
      <c r="AA39" s="279">
        <v>0</v>
      </c>
      <c r="AB39" s="279">
        <v>0</v>
      </c>
      <c r="AC39" s="279">
        <v>0</v>
      </c>
      <c r="AD39" s="279">
        <v>0</v>
      </c>
      <c r="AE39" s="279">
        <v>0</v>
      </c>
      <c r="AF39" s="279">
        <v>0</v>
      </c>
      <c r="AG39" s="279">
        <v>0</v>
      </c>
      <c r="AH39" s="279">
        <f>TP.unresolved</f>
        <v>0.10094637223974767</v>
      </c>
      <c r="AI39" s="280">
        <f t="shared" si="16"/>
        <v>0.70094786373474327</v>
      </c>
      <c r="AJ39" s="279">
        <v>0</v>
      </c>
      <c r="AK39" s="279">
        <v>0</v>
      </c>
      <c r="AL39" s="279">
        <v>0</v>
      </c>
      <c r="AM39" s="279">
        <f>INDEX(C.rngPDeath.SeriousGI, MATCH($E39, Parameters!$D$333:$D$337, 1))</f>
        <v>0.19810576402550906</v>
      </c>
      <c r="AN39" s="131"/>
      <c r="AO39" s="132">
        <f t="shared" ref="AO39:AO71" si="19">SUM(AA39:AM39)</f>
        <v>1</v>
      </c>
    </row>
    <row r="40" spans="1:41" ht="12" customHeight="1" thickBot="1" x14ac:dyDescent="0.3">
      <c r="A40" s="328"/>
      <c r="C40" s="327"/>
      <c r="D40">
        <f t="shared" si="13"/>
        <v>8</v>
      </c>
      <c r="E40">
        <f t="shared" si="14"/>
        <v>80</v>
      </c>
      <c r="F40" s="112" t="str">
        <f t="shared" si="17"/>
        <v>80-84</v>
      </c>
      <c r="G40" s="110" t="str">
        <f t="array" aca="1" ref="G40" ca="1">INDEX(C.rngStates, $D40)</f>
        <v>Unresolved serious GI event</v>
      </c>
      <c r="H40" s="112"/>
      <c r="I40" s="110"/>
      <c r="K40" s="279">
        <v>0</v>
      </c>
      <c r="L40" s="279">
        <v>0</v>
      </c>
      <c r="M40" s="279">
        <v>0</v>
      </c>
      <c r="N40" s="279">
        <v>0</v>
      </c>
      <c r="O40" s="279">
        <v>0</v>
      </c>
      <c r="P40" s="279">
        <v>0</v>
      </c>
      <c r="Q40" s="279">
        <v>0</v>
      </c>
      <c r="R40" s="280">
        <v>0</v>
      </c>
      <c r="S40" s="280">
        <f t="shared" si="15"/>
        <v>0.80189423597449094</v>
      </c>
      <c r="T40" s="279">
        <v>0</v>
      </c>
      <c r="U40" s="279">
        <v>0</v>
      </c>
      <c r="V40" s="279">
        <v>0</v>
      </c>
      <c r="W40" s="279">
        <f>INDEX(C.rngPDeath.SeriousGI, MATCH($E40, Parameters!$D$333:$D$337, 1))</f>
        <v>0.19810576402550906</v>
      </c>
      <c r="X40" s="131"/>
      <c r="Y40" s="132">
        <f t="shared" si="18"/>
        <v>1</v>
      </c>
      <c r="AA40" s="279">
        <v>0</v>
      </c>
      <c r="AB40" s="279">
        <v>0</v>
      </c>
      <c r="AC40" s="279">
        <v>0</v>
      </c>
      <c r="AD40" s="279">
        <v>0</v>
      </c>
      <c r="AE40" s="279">
        <v>0</v>
      </c>
      <c r="AF40" s="279">
        <v>0</v>
      </c>
      <c r="AG40" s="279">
        <v>0</v>
      </c>
      <c r="AH40" s="280">
        <v>0</v>
      </c>
      <c r="AI40" s="280">
        <f t="shared" si="16"/>
        <v>0.80189423597449094</v>
      </c>
      <c r="AJ40" s="279">
        <v>0</v>
      </c>
      <c r="AK40" s="279">
        <v>0</v>
      </c>
      <c r="AL40" s="279">
        <v>0</v>
      </c>
      <c r="AM40" s="279">
        <f>INDEX(C.rngPDeath.SeriousGI, MATCH($E40, Parameters!$D$333:$D$337, 1))</f>
        <v>0.19810576402550906</v>
      </c>
      <c r="AN40" s="131"/>
      <c r="AO40" s="132">
        <f t="shared" si="19"/>
        <v>1</v>
      </c>
    </row>
    <row r="41" spans="1:41" ht="12" customHeight="1" thickBot="1" x14ac:dyDescent="0.3">
      <c r="A41" s="328"/>
      <c r="C41" s="327"/>
      <c r="D41">
        <f t="shared" si="13"/>
        <v>9</v>
      </c>
      <c r="E41">
        <f t="shared" si="14"/>
        <v>80</v>
      </c>
      <c r="F41" s="112" t="str">
        <f t="shared" si="17"/>
        <v>80-84</v>
      </c>
      <c r="G41" s="110" t="str">
        <f t="array" aca="1" ref="G41" ca="1">INDEX(C.rngStates, $D41)</f>
        <v>Post-GI event</v>
      </c>
      <c r="H41" s="112"/>
      <c r="I41" s="110"/>
      <c r="K41" s="279">
        <v>0</v>
      </c>
      <c r="L41" s="279">
        <v>0</v>
      </c>
      <c r="M41" s="279">
        <f>INDEX(C.rngTP.GIpain, 1)</f>
        <v>7.197486913300466E-3</v>
      </c>
      <c r="N41" s="279">
        <v>0</v>
      </c>
      <c r="O41" s="279">
        <f>INDEX(C.rngTP.Ulcer, 1)</f>
        <v>3.1627894446695226E-4</v>
      </c>
      <c r="P41" s="279">
        <v>0</v>
      </c>
      <c r="Q41" s="279">
        <f>INDEX(C.rngTP.SeriousGI, 1)</f>
        <v>1.7160259408945944E-3</v>
      </c>
      <c r="R41" s="279">
        <v>0</v>
      </c>
      <c r="S41" s="280">
        <f t="shared" si="15"/>
        <v>0.95242846853523122</v>
      </c>
      <c r="T41" s="279">
        <f>INDEX(C.rngTP.Stroke_noHPE, MATCH($E41, Parameters!$D$284:$D$286, 1))</f>
        <v>2.8849554947409928E-3</v>
      </c>
      <c r="U41" s="279">
        <v>0</v>
      </c>
      <c r="V41" s="279">
        <v>0</v>
      </c>
      <c r="W41" s="279">
        <f>INDEX(C.rngPDeath.NoEvent, MATCH($E41, Parameters!$D$325:$D$329, 1))</f>
        <v>3.5456784171365774E-2</v>
      </c>
      <c r="X41" s="131"/>
      <c r="Y41" s="132">
        <f t="shared" si="18"/>
        <v>1</v>
      </c>
      <c r="AA41" s="279">
        <v>0</v>
      </c>
      <c r="AB41" s="279">
        <v>0</v>
      </c>
      <c r="AC41" s="279">
        <f>INDEX(C.rngTP.GIpain, 1)</f>
        <v>7.197486913300466E-3</v>
      </c>
      <c r="AD41" s="279">
        <v>0</v>
      </c>
      <c r="AE41" s="279">
        <f>INDEX(C.rngTP.Ulcer, 1)</f>
        <v>3.1627894446695226E-4</v>
      </c>
      <c r="AF41" s="279">
        <v>0</v>
      </c>
      <c r="AG41" s="279">
        <f>INDEX(C.rngTP.SeriousGI, 1)</f>
        <v>1.7160259408945944E-3</v>
      </c>
      <c r="AH41" s="279">
        <v>0</v>
      </c>
      <c r="AI41" s="280">
        <f t="shared" si="16"/>
        <v>0.95242846853523122</v>
      </c>
      <c r="AJ41" s="279">
        <f>INDEX(C.rngTP.Stroke_noHPE, MATCH($E41, Parameters!$D$284:$D$286, 1))</f>
        <v>2.8849554947409928E-3</v>
      </c>
      <c r="AK41" s="279">
        <v>0</v>
      </c>
      <c r="AL41" s="279">
        <v>0</v>
      </c>
      <c r="AM41" s="279">
        <f>INDEX(C.rngPDeath.NoEvent, MATCH($E41, Parameters!$D$325:$D$329, 1))</f>
        <v>3.5456784171365774E-2</v>
      </c>
      <c r="AN41" s="131"/>
      <c r="AO41" s="132">
        <f t="shared" si="19"/>
        <v>1</v>
      </c>
    </row>
    <row r="42" spans="1:41" ht="12" customHeight="1" thickBot="1" x14ac:dyDescent="0.3">
      <c r="A42" s="328"/>
      <c r="C42" s="327"/>
      <c r="D42">
        <f t="shared" si="13"/>
        <v>10</v>
      </c>
      <c r="E42">
        <f t="shared" si="14"/>
        <v>80</v>
      </c>
      <c r="F42" s="112" t="str">
        <f t="shared" si="17"/>
        <v>80-84</v>
      </c>
      <c r="G42" s="110" t="str">
        <f t="array" aca="1" ref="G42" ca="1">INDEX(C.rngStates, $D42)</f>
        <v>Stroke</v>
      </c>
      <c r="H42" s="112"/>
      <c r="I42" s="110"/>
      <c r="K42" s="279">
        <v>0</v>
      </c>
      <c r="L42" s="279">
        <v>0</v>
      </c>
      <c r="M42" s="279">
        <v>0</v>
      </c>
      <c r="N42" s="279">
        <v>0</v>
      </c>
      <c r="O42" s="279">
        <v>0</v>
      </c>
      <c r="P42" s="279">
        <v>0</v>
      </c>
      <c r="Q42" s="279">
        <v>0</v>
      </c>
      <c r="R42" s="279">
        <v>0</v>
      </c>
      <c r="S42" s="279">
        <v>0</v>
      </c>
      <c r="T42" s="279">
        <v>0</v>
      </c>
      <c r="U42" s="279">
        <f>INDEX(C.rngTP.Stroke_repeat, MATCH($E42, Parameters!$D$294:$D$296, 1))</f>
        <v>2.4318832209509145E-2</v>
      </c>
      <c r="V42" s="280">
        <f>1-SUM(J42:U42, W42:X42)</f>
        <v>0.79980475661996198</v>
      </c>
      <c r="W42" s="279">
        <f>INDEX(C.rngPDeath.Stroke, MATCH($E42, Parameters!$D$325:$D$329, 1))</f>
        <v>0.17587641117052888</v>
      </c>
      <c r="X42" s="131"/>
      <c r="Y42" s="132">
        <f t="shared" si="18"/>
        <v>1</v>
      </c>
      <c r="AA42" s="279">
        <v>0</v>
      </c>
      <c r="AB42" s="279">
        <v>0</v>
      </c>
      <c r="AC42" s="279">
        <v>0</v>
      </c>
      <c r="AD42" s="279">
        <v>0</v>
      </c>
      <c r="AE42" s="279">
        <v>0</v>
      </c>
      <c r="AF42" s="279">
        <v>0</v>
      </c>
      <c r="AG42" s="279">
        <v>0</v>
      </c>
      <c r="AH42" s="279">
        <v>0</v>
      </c>
      <c r="AI42" s="279">
        <v>0</v>
      </c>
      <c r="AJ42" s="279">
        <v>0</v>
      </c>
      <c r="AK42" s="279">
        <f>INDEX(C.rngTP.Stroke_repeat, MATCH($E42, Parameters!$D$294:$D$296, 1))</f>
        <v>2.4318832209509145E-2</v>
      </c>
      <c r="AL42" s="280">
        <f>1-SUM(Z42:AK42, AM42:AN42)</f>
        <v>0.79980475661996198</v>
      </c>
      <c r="AM42" s="279">
        <f>INDEX(C.rngPDeath.Stroke, MATCH($E42, Parameters!$D$325:$D$329, 1))</f>
        <v>0.17587641117052888</v>
      </c>
      <c r="AN42" s="131"/>
      <c r="AO42" s="132">
        <f t="shared" si="19"/>
        <v>1</v>
      </c>
    </row>
    <row r="43" spans="1:41" ht="12" customHeight="1" thickBot="1" x14ac:dyDescent="0.3">
      <c r="A43" s="328"/>
      <c r="C43" s="327"/>
      <c r="D43">
        <f t="shared" si="13"/>
        <v>11</v>
      </c>
      <c r="E43">
        <f t="shared" si="14"/>
        <v>80</v>
      </c>
      <c r="F43" s="112" t="str">
        <f t="shared" si="17"/>
        <v>80-84</v>
      </c>
      <c r="G43" s="110" t="str">
        <f t="array" aca="1" ref="G43" ca="1">INDEX(C.rngStates, $D43)</f>
        <v>Recurrent stroke</v>
      </c>
      <c r="H43" s="112"/>
      <c r="I43" s="110"/>
      <c r="K43" s="279">
        <v>0</v>
      </c>
      <c r="L43" s="279">
        <v>0</v>
      </c>
      <c r="M43" s="279">
        <v>0</v>
      </c>
      <c r="N43" s="279">
        <v>0</v>
      </c>
      <c r="O43" s="279">
        <v>0</v>
      </c>
      <c r="P43" s="279">
        <v>0</v>
      </c>
      <c r="Q43" s="279">
        <v>0</v>
      </c>
      <c r="R43" s="280">
        <v>0</v>
      </c>
      <c r="S43" s="279">
        <v>0</v>
      </c>
      <c r="T43" s="279">
        <v>0</v>
      </c>
      <c r="U43" s="279">
        <v>0</v>
      </c>
      <c r="V43" s="280">
        <f>1-SUM(J43:U43, W43:X43)</f>
        <v>0.82412358882947112</v>
      </c>
      <c r="W43" s="279">
        <f>INDEX(C.rngPDeath.Stroke, MATCH($E43, Parameters!$D$325:$D$329, 1))</f>
        <v>0.17587641117052888</v>
      </c>
      <c r="X43" s="131"/>
      <c r="Y43" s="132">
        <f t="shared" si="18"/>
        <v>1</v>
      </c>
      <c r="AA43" s="279">
        <v>0</v>
      </c>
      <c r="AB43" s="279">
        <v>0</v>
      </c>
      <c r="AC43" s="279">
        <v>0</v>
      </c>
      <c r="AD43" s="279">
        <v>0</v>
      </c>
      <c r="AE43" s="279">
        <v>0</v>
      </c>
      <c r="AF43" s="279">
        <v>0</v>
      </c>
      <c r="AG43" s="279">
        <v>0</v>
      </c>
      <c r="AH43" s="280">
        <v>0</v>
      </c>
      <c r="AI43" s="279">
        <v>0</v>
      </c>
      <c r="AJ43" s="279">
        <v>0</v>
      </c>
      <c r="AK43" s="279">
        <v>0</v>
      </c>
      <c r="AL43" s="280">
        <f>1-SUM(Z43:AK43, AM43:AN43)</f>
        <v>0.82412358882947112</v>
      </c>
      <c r="AM43" s="279">
        <f>INDEX(C.rngPDeath.Stroke, MATCH($E43, Parameters!$D$325:$D$329, 1))</f>
        <v>0.17587641117052888</v>
      </c>
      <c r="AN43" s="131"/>
      <c r="AO43" s="132">
        <f t="shared" si="19"/>
        <v>1</v>
      </c>
    </row>
    <row r="44" spans="1:41" ht="12" customHeight="1" thickBot="1" x14ac:dyDescent="0.3">
      <c r="A44" s="328"/>
      <c r="C44" s="327"/>
      <c r="D44">
        <f t="shared" si="13"/>
        <v>12</v>
      </c>
      <c r="E44">
        <f t="shared" si="14"/>
        <v>80</v>
      </c>
      <c r="F44" s="112" t="str">
        <f t="shared" si="17"/>
        <v>80-84</v>
      </c>
      <c r="G44" s="110" t="str">
        <f t="array" aca="1" ref="G44" ca="1">INDEX(C.rngStates, $D44)</f>
        <v>Post-stroke</v>
      </c>
      <c r="H44" s="112"/>
      <c r="I44" s="110"/>
      <c r="K44" s="279">
        <v>0</v>
      </c>
      <c r="L44" s="279">
        <v>0</v>
      </c>
      <c r="M44" s="279">
        <v>0</v>
      </c>
      <c r="N44" s="279">
        <v>0</v>
      </c>
      <c r="O44" s="279">
        <v>0</v>
      </c>
      <c r="P44" s="279">
        <v>0</v>
      </c>
      <c r="Q44" s="279">
        <v>0</v>
      </c>
      <c r="R44" s="279">
        <v>0</v>
      </c>
      <c r="S44" s="279">
        <v>0</v>
      </c>
      <c r="T44" s="279">
        <f>INDEX(C.rngTP.Stroke_recur, MATCH($E44, Parameters!$D$305:$D$307, 1))</f>
        <v>9.7699003482121238E-3</v>
      </c>
      <c r="U44" s="279">
        <v>0</v>
      </c>
      <c r="V44" s="280">
        <f>1-SUM(J44:U44, W44:X44)</f>
        <v>0.94545190012786995</v>
      </c>
      <c r="W44" s="279">
        <f>INDEX(C.rngPDeath.PostStroke, MATCH($E44, Parameters!$D$325:$D$329, 1))</f>
        <v>4.4778199523917928E-2</v>
      </c>
      <c r="X44" s="131"/>
      <c r="Y44" s="132">
        <f t="shared" si="18"/>
        <v>1</v>
      </c>
      <c r="AA44" s="279">
        <v>0</v>
      </c>
      <c r="AB44" s="279">
        <v>0</v>
      </c>
      <c r="AC44" s="279">
        <v>0</v>
      </c>
      <c r="AD44" s="279">
        <v>0</v>
      </c>
      <c r="AE44" s="279">
        <v>0</v>
      </c>
      <c r="AF44" s="279">
        <v>0</v>
      </c>
      <c r="AG44" s="279">
        <v>0</v>
      </c>
      <c r="AH44" s="279">
        <v>0</v>
      </c>
      <c r="AI44" s="279">
        <v>0</v>
      </c>
      <c r="AJ44" s="279">
        <f>INDEX(C.rngTP.Stroke_recur, MATCH($E44, Parameters!$D$305:$D$307, 1))</f>
        <v>9.7699003482121238E-3</v>
      </c>
      <c r="AK44" s="279">
        <v>0</v>
      </c>
      <c r="AL44" s="280">
        <f>1-SUM(Z44:AK44, AM44:AN44)</f>
        <v>0.94545190012786995</v>
      </c>
      <c r="AM44" s="279">
        <f>INDEX(C.rngPDeath.PostStroke, MATCH($E44, Parameters!$D$325:$D$329, 1))</f>
        <v>4.4778199523917928E-2</v>
      </c>
      <c r="AN44" s="131"/>
      <c r="AO44" s="132">
        <f t="shared" si="19"/>
        <v>1</v>
      </c>
    </row>
    <row r="45" spans="1:41" s="188" customFormat="1" ht="12" customHeight="1" thickBot="1" x14ac:dyDescent="0.3">
      <c r="A45" s="328"/>
      <c r="B45" s="326"/>
      <c r="C45" s="327"/>
      <c r="D45" s="188">
        <f t="shared" si="13"/>
        <v>13</v>
      </c>
      <c r="E45" s="188">
        <f t="shared" si="14"/>
        <v>80</v>
      </c>
      <c r="F45" s="112" t="str">
        <f t="shared" si="17"/>
        <v>80-84</v>
      </c>
      <c r="G45" s="110" t="str">
        <f t="array" aca="1" ref="G45" ca="1">INDEX(C.rngStates, $D45)</f>
        <v>Dead</v>
      </c>
      <c r="H45" s="112"/>
      <c r="I45" s="110"/>
      <c r="K45" s="278">
        <v>0</v>
      </c>
      <c r="L45" s="278">
        <v>0</v>
      </c>
      <c r="M45" s="278">
        <v>0</v>
      </c>
      <c r="N45" s="278">
        <v>0</v>
      </c>
      <c r="O45" s="278">
        <v>0</v>
      </c>
      <c r="P45" s="278">
        <v>0</v>
      </c>
      <c r="Q45" s="278">
        <v>0</v>
      </c>
      <c r="R45" s="278">
        <v>0</v>
      </c>
      <c r="S45" s="278">
        <v>0</v>
      </c>
      <c r="T45" s="278">
        <v>0</v>
      </c>
      <c r="U45" s="278">
        <v>0</v>
      </c>
      <c r="V45" s="278">
        <v>0</v>
      </c>
      <c r="W45" s="277">
        <v>1</v>
      </c>
      <c r="X45" s="191"/>
      <c r="Y45" s="132">
        <f t="shared" si="18"/>
        <v>1</v>
      </c>
      <c r="AA45" s="278">
        <v>0</v>
      </c>
      <c r="AB45" s="278">
        <v>0</v>
      </c>
      <c r="AC45" s="278">
        <v>0</v>
      </c>
      <c r="AD45" s="278">
        <v>0</v>
      </c>
      <c r="AE45" s="278">
        <v>0</v>
      </c>
      <c r="AF45" s="278">
        <v>0</v>
      </c>
      <c r="AG45" s="278">
        <v>0</v>
      </c>
      <c r="AH45" s="278">
        <v>0</v>
      </c>
      <c r="AI45" s="278">
        <v>0</v>
      </c>
      <c r="AJ45" s="278">
        <v>0</v>
      </c>
      <c r="AK45" s="278">
        <v>0</v>
      </c>
      <c r="AL45" s="278">
        <v>0</v>
      </c>
      <c r="AM45" s="277">
        <v>1</v>
      </c>
      <c r="AN45" s="191"/>
      <c r="AO45" s="132">
        <f t="shared" si="19"/>
        <v>1</v>
      </c>
    </row>
    <row r="46" spans="1:41" ht="12" customHeight="1" thickBot="1" x14ac:dyDescent="0.3">
      <c r="A46" s="328"/>
      <c r="C46" s="327"/>
      <c r="D46">
        <v>1</v>
      </c>
      <c r="E46">
        <f>E33+5</f>
        <v>85</v>
      </c>
      <c r="F46" s="112" t="str">
        <f t="shared" si="17"/>
        <v>85-89</v>
      </c>
      <c r="G46" s="110" t="str">
        <f t="array" aca="1" ref="G46" ca="1">INDEX(C.rngStates, $D46)</f>
        <v>Well no HPE</v>
      </c>
      <c r="H46" s="112"/>
      <c r="I46" s="110"/>
      <c r="K46" s="280">
        <f>1-SUM(J46:J46, L46:X46)</f>
        <v>0.92280810879299502</v>
      </c>
      <c r="L46" s="279">
        <v>0</v>
      </c>
      <c r="M46" s="279">
        <f>INDEX(C.rngTP.GIpain, 1)</f>
        <v>7.197486913300466E-3</v>
      </c>
      <c r="N46" s="279">
        <v>0</v>
      </c>
      <c r="O46" s="279">
        <f>INDEX(C.rngTP.Ulcer, 1)</f>
        <v>3.1627894446695226E-4</v>
      </c>
      <c r="P46" s="279">
        <v>0</v>
      </c>
      <c r="Q46" s="279">
        <f>INDEX(C.rngTP.SeriousGI, 1)</f>
        <v>1.7160259408945944E-3</v>
      </c>
      <c r="R46" s="279">
        <v>0</v>
      </c>
      <c r="S46" s="279">
        <v>0</v>
      </c>
      <c r="T46" s="279">
        <f>INDEX(C.rngTP.Stroke_noHPE, MATCH($E46, Parameters!$D$284:$D$286, 1))</f>
        <v>2.8849554947409928E-3</v>
      </c>
      <c r="U46" s="279">
        <v>0</v>
      </c>
      <c r="V46" s="279">
        <v>0</v>
      </c>
      <c r="W46" s="279">
        <f>INDEX(C.rngPDeath.NoEvent, MATCH($E46, Parameters!$D$325:$D$329, 1))</f>
        <v>6.5077143913601976E-2</v>
      </c>
      <c r="X46" s="131"/>
      <c r="Y46" s="132">
        <f t="shared" si="18"/>
        <v>1</v>
      </c>
      <c r="AA46" s="280">
        <f>1-SUM(Z46:Z46, AB46:AN46)</f>
        <v>0.92280810879299502</v>
      </c>
      <c r="AB46" s="279">
        <v>0</v>
      </c>
      <c r="AC46" s="279">
        <f>INDEX(C.rngTP.GIpain, 1)</f>
        <v>7.197486913300466E-3</v>
      </c>
      <c r="AD46" s="279">
        <v>0</v>
      </c>
      <c r="AE46" s="279">
        <f>INDEX(C.rngTP.Ulcer, 1)</f>
        <v>3.1627894446695226E-4</v>
      </c>
      <c r="AF46" s="279">
        <v>0</v>
      </c>
      <c r="AG46" s="279">
        <f>INDEX(C.rngTP.SeriousGI, 1)</f>
        <v>1.7160259408945944E-3</v>
      </c>
      <c r="AH46" s="279">
        <v>0</v>
      </c>
      <c r="AI46" s="279">
        <v>0</v>
      </c>
      <c r="AJ46" s="279">
        <f>INDEX(C.rngTP.Stroke_noHPE, MATCH($E46, Parameters!$D$284:$D$286, 1))</f>
        <v>2.8849554947409928E-3</v>
      </c>
      <c r="AK46" s="279">
        <v>0</v>
      </c>
      <c r="AL46" s="279">
        <v>0</v>
      </c>
      <c r="AM46" s="279">
        <f>INDEX(C.rngPDeath.NoEvent, MATCH($E46, Parameters!$D$325:$D$329, 1))</f>
        <v>6.5077143913601976E-2</v>
      </c>
      <c r="AN46" s="131"/>
      <c r="AO46" s="132">
        <f t="shared" si="19"/>
        <v>1</v>
      </c>
    </row>
    <row r="47" spans="1:41" ht="12" customHeight="1" thickBot="1" x14ac:dyDescent="0.3">
      <c r="A47" s="328"/>
      <c r="C47" s="327"/>
      <c r="D47">
        <f t="shared" ref="D47:D58" si="20">D46+1</f>
        <v>2</v>
      </c>
      <c r="E47">
        <f t="shared" ref="E47:E58" si="21">E46</f>
        <v>85</v>
      </c>
      <c r="F47" s="112" t="str">
        <f t="shared" si="17"/>
        <v>85-89</v>
      </c>
      <c r="G47" s="110" t="str">
        <f t="array" aca="1" ref="G47" ca="1">INDEX(C.rngStates, $D47)</f>
        <v>Well with HPE</v>
      </c>
      <c r="H47" s="112"/>
      <c r="I47" s="110"/>
      <c r="K47" s="279">
        <v>0</v>
      </c>
      <c r="L47" s="280">
        <f>1-SUM(J47:K47, M47:X47)</f>
        <v>0.90629335494657226</v>
      </c>
      <c r="M47" s="279">
        <f>INDEX(C.rngTP.GIpain, 2)</f>
        <v>1.5136652891765377E-2</v>
      </c>
      <c r="N47" s="279">
        <v>0</v>
      </c>
      <c r="O47" s="279">
        <f>INDEX(C.rngTP.Ulcer, 2)</f>
        <v>5.3755519342140107E-4</v>
      </c>
      <c r="P47" s="279">
        <v>0</v>
      </c>
      <c r="Q47" s="279">
        <f>INDEX(C.rngTP.SeriousGI, 2)</f>
        <v>5.156335227526343E-3</v>
      </c>
      <c r="R47" s="279">
        <v>0</v>
      </c>
      <c r="S47" s="279">
        <v>0</v>
      </c>
      <c r="T47" s="279">
        <f>INDEX(C.rngTP.Stroke_HPE, MATCH($E47, Parameters!$D$287:$D$289, 1))</f>
        <v>7.7989578271125959E-3</v>
      </c>
      <c r="U47" s="279">
        <v>0</v>
      </c>
      <c r="V47" s="279">
        <v>0</v>
      </c>
      <c r="W47" s="279">
        <f>INDEX(C.rngPDeath.NoEvent, MATCH($E47, Parameters!$D$325:$D$329, 1))</f>
        <v>6.5077143913601976E-2</v>
      </c>
      <c r="X47" s="131"/>
      <c r="Y47" s="132">
        <f t="shared" si="18"/>
        <v>0.99999999999999989</v>
      </c>
      <c r="AA47" s="280">
        <f>1-SUM(Z47, AB47:AN47)</f>
        <v>0.90629335494657226</v>
      </c>
      <c r="AB47" s="280">
        <v>0</v>
      </c>
      <c r="AC47" s="279">
        <f>INDEX(C.rngTP.GIpain, 2)</f>
        <v>1.5136652891765377E-2</v>
      </c>
      <c r="AD47" s="279">
        <v>0</v>
      </c>
      <c r="AE47" s="279">
        <f>INDEX(C.rngTP.Ulcer, 2)</f>
        <v>5.3755519342140107E-4</v>
      </c>
      <c r="AF47" s="279">
        <v>0</v>
      </c>
      <c r="AG47" s="279">
        <f>INDEX(C.rngTP.SeriousGI, 2)</f>
        <v>5.156335227526343E-3</v>
      </c>
      <c r="AH47" s="279">
        <v>0</v>
      </c>
      <c r="AI47" s="279">
        <v>0</v>
      </c>
      <c r="AJ47" s="279">
        <f>INDEX(C.rngTP.Stroke_HPE, MATCH($E47, Parameters!$D$287:$D$289, 1))</f>
        <v>7.7989578271125959E-3</v>
      </c>
      <c r="AK47" s="279">
        <v>0</v>
      </c>
      <c r="AL47" s="279">
        <v>0</v>
      </c>
      <c r="AM47" s="279">
        <f>INDEX(C.rngPDeath.NoEvent, MATCH($E47, Parameters!$D$325:$D$329, 1))</f>
        <v>6.5077143913601976E-2</v>
      </c>
      <c r="AN47" s="131"/>
      <c r="AO47" s="132">
        <f t="shared" si="19"/>
        <v>0.99999999999999989</v>
      </c>
    </row>
    <row r="48" spans="1:41" ht="12" customHeight="1" thickBot="1" x14ac:dyDescent="0.3">
      <c r="A48" s="328"/>
      <c r="C48" s="327"/>
      <c r="D48">
        <f t="shared" si="20"/>
        <v>3</v>
      </c>
      <c r="E48">
        <f t="shared" si="21"/>
        <v>85</v>
      </c>
      <c r="F48" s="112" t="str">
        <f t="shared" si="17"/>
        <v>85-89</v>
      </c>
      <c r="G48" s="110" t="str">
        <f t="array" aca="1" ref="G48" ca="1">INDEX(C.rngStates, $D48)</f>
        <v>GI discomfort</v>
      </c>
      <c r="H48" s="112"/>
      <c r="I48" s="110"/>
      <c r="K48" s="279">
        <v>0</v>
      </c>
      <c r="L48" s="279">
        <v>0</v>
      </c>
      <c r="M48" s="280">
        <v>0</v>
      </c>
      <c r="N48" s="279">
        <f>TP.unresolved</f>
        <v>0.10094637223974767</v>
      </c>
      <c r="O48" s="279">
        <v>0</v>
      </c>
      <c r="P48" s="279">
        <v>0</v>
      </c>
      <c r="Q48" s="279">
        <v>0</v>
      </c>
      <c r="R48" s="279">
        <v>0</v>
      </c>
      <c r="S48" s="280">
        <f t="shared" ref="S48:S54" si="22">1-SUM(J48:R48, T48:X48)</f>
        <v>0.83397648384665035</v>
      </c>
      <c r="T48" s="279">
        <v>0</v>
      </c>
      <c r="U48" s="279">
        <v>0</v>
      </c>
      <c r="V48" s="279">
        <v>0</v>
      </c>
      <c r="W48" s="279">
        <f>INDEX(C.rngPDeath.NoEvent, MATCH($E48, Parameters!$D$325:$D$329, 1))</f>
        <v>6.5077143913601976E-2</v>
      </c>
      <c r="X48" s="131"/>
      <c r="Y48" s="132">
        <f t="shared" si="18"/>
        <v>1</v>
      </c>
      <c r="AA48" s="279">
        <v>0</v>
      </c>
      <c r="AB48" s="279">
        <v>0</v>
      </c>
      <c r="AC48" s="280">
        <v>0</v>
      </c>
      <c r="AD48" s="279">
        <f>TP.unresolved</f>
        <v>0.10094637223974767</v>
      </c>
      <c r="AE48" s="279">
        <v>0</v>
      </c>
      <c r="AF48" s="279">
        <v>0</v>
      </c>
      <c r="AG48" s="279">
        <v>0</v>
      </c>
      <c r="AH48" s="279">
        <v>0</v>
      </c>
      <c r="AI48" s="280">
        <f t="shared" ref="AI48:AI54" si="23">1-SUM(Z48:AH48, AJ48:AN48)</f>
        <v>0.83397648384665035</v>
      </c>
      <c r="AJ48" s="279">
        <v>0</v>
      </c>
      <c r="AK48" s="279">
        <v>0</v>
      </c>
      <c r="AL48" s="279">
        <v>0</v>
      </c>
      <c r="AM48" s="279">
        <f>INDEX(C.rngPDeath.NoEvent, MATCH($E48, Parameters!$D$325:$D$329, 1))</f>
        <v>6.5077143913601976E-2</v>
      </c>
      <c r="AN48" s="131"/>
      <c r="AO48" s="132">
        <f t="shared" si="19"/>
        <v>1</v>
      </c>
    </row>
    <row r="49" spans="1:41" ht="12" customHeight="1" thickBot="1" x14ac:dyDescent="0.3">
      <c r="A49" s="328"/>
      <c r="C49" s="327"/>
      <c r="D49">
        <f t="shared" si="20"/>
        <v>4</v>
      </c>
      <c r="E49">
        <f t="shared" si="21"/>
        <v>85</v>
      </c>
      <c r="F49" s="112" t="str">
        <f t="shared" si="17"/>
        <v>85-89</v>
      </c>
      <c r="G49" s="110" t="str">
        <f t="array" aca="1" ref="G49" ca="1">INDEX(C.rngStates, $D49)</f>
        <v>Unresolved GI discomfort</v>
      </c>
      <c r="H49" s="112"/>
      <c r="I49" s="110"/>
      <c r="K49" s="279">
        <v>0</v>
      </c>
      <c r="L49" s="279">
        <v>0</v>
      </c>
      <c r="M49" s="279">
        <v>0</v>
      </c>
      <c r="N49" s="279">
        <v>0</v>
      </c>
      <c r="O49" s="279">
        <v>0</v>
      </c>
      <c r="P49" s="279">
        <v>0</v>
      </c>
      <c r="Q49" s="279">
        <v>0</v>
      </c>
      <c r="R49" s="279">
        <v>0</v>
      </c>
      <c r="S49" s="280">
        <f t="shared" si="22"/>
        <v>0.93492285608639802</v>
      </c>
      <c r="T49" s="279">
        <v>0</v>
      </c>
      <c r="U49" s="279">
        <v>0</v>
      </c>
      <c r="V49" s="279">
        <v>0</v>
      </c>
      <c r="W49" s="279">
        <f>INDEX(C.rngPDeath.NoEvent, MATCH($E49, Parameters!$D$325:$D$329, 1))</f>
        <v>6.5077143913601976E-2</v>
      </c>
      <c r="X49" s="131"/>
      <c r="Y49" s="132">
        <f t="shared" si="18"/>
        <v>1</v>
      </c>
      <c r="AA49" s="279">
        <v>0</v>
      </c>
      <c r="AB49" s="279">
        <v>0</v>
      </c>
      <c r="AC49" s="279">
        <v>0</v>
      </c>
      <c r="AD49" s="279">
        <v>0</v>
      </c>
      <c r="AE49" s="279">
        <v>0</v>
      </c>
      <c r="AF49" s="279">
        <v>0</v>
      </c>
      <c r="AG49" s="279">
        <v>0</v>
      </c>
      <c r="AH49" s="279">
        <v>0</v>
      </c>
      <c r="AI49" s="280">
        <f t="shared" si="23"/>
        <v>0.93492285608639802</v>
      </c>
      <c r="AJ49" s="279">
        <v>0</v>
      </c>
      <c r="AK49" s="279">
        <v>0</v>
      </c>
      <c r="AL49" s="279">
        <v>0</v>
      </c>
      <c r="AM49" s="279">
        <f>INDEX(C.rngPDeath.NoEvent, MATCH($E49, Parameters!$D$325:$D$329, 1))</f>
        <v>6.5077143913601976E-2</v>
      </c>
      <c r="AN49" s="131"/>
      <c r="AO49" s="132">
        <f t="shared" si="19"/>
        <v>1</v>
      </c>
    </row>
    <row r="50" spans="1:41" ht="12" customHeight="1" thickBot="1" x14ac:dyDescent="0.3">
      <c r="A50" s="328"/>
      <c r="C50" s="327"/>
      <c r="D50">
        <f t="shared" si="20"/>
        <v>5</v>
      </c>
      <c r="E50">
        <f t="shared" si="21"/>
        <v>85</v>
      </c>
      <c r="F50" s="112" t="str">
        <f t="shared" si="17"/>
        <v>85-89</v>
      </c>
      <c r="G50" s="110" t="str">
        <f t="array" aca="1" ref="G50" ca="1">INDEX(C.rngStates, $D50)</f>
        <v>Symptomatic ulcer</v>
      </c>
      <c r="H50" s="112"/>
      <c r="I50" s="110"/>
      <c r="K50" s="279">
        <v>0</v>
      </c>
      <c r="L50" s="279">
        <v>0</v>
      </c>
      <c r="M50" s="279">
        <v>0</v>
      </c>
      <c r="N50" s="279">
        <v>0</v>
      </c>
      <c r="O50" s="279">
        <v>0</v>
      </c>
      <c r="P50" s="279">
        <f>TP.unresolved</f>
        <v>0.10094637223974767</v>
      </c>
      <c r="Q50" s="279">
        <v>0</v>
      </c>
      <c r="R50" s="279">
        <v>0</v>
      </c>
      <c r="S50" s="280">
        <f t="shared" si="22"/>
        <v>0.60089036926377093</v>
      </c>
      <c r="T50" s="279">
        <v>0</v>
      </c>
      <c r="U50" s="279">
        <v>0</v>
      </c>
      <c r="V50" s="279">
        <v>0</v>
      </c>
      <c r="W50" s="279">
        <f>INDEX(C.rngPDeath.Ulcer, MATCH($E50, Parameters!$D$340:$D$344, 1))</f>
        <v>0.2981632584964814</v>
      </c>
      <c r="X50" s="131"/>
      <c r="Y50" s="132">
        <f t="shared" si="18"/>
        <v>1</v>
      </c>
      <c r="AA50" s="279">
        <v>0</v>
      </c>
      <c r="AB50" s="279">
        <v>0</v>
      </c>
      <c r="AC50" s="279">
        <v>0</v>
      </c>
      <c r="AD50" s="279">
        <v>0</v>
      </c>
      <c r="AE50" s="279">
        <v>0</v>
      </c>
      <c r="AF50" s="279">
        <f>TP.unresolved</f>
        <v>0.10094637223974767</v>
      </c>
      <c r="AG50" s="279">
        <v>0</v>
      </c>
      <c r="AH50" s="279">
        <v>0</v>
      </c>
      <c r="AI50" s="280">
        <f t="shared" si="23"/>
        <v>0.60089036926377093</v>
      </c>
      <c r="AJ50" s="279">
        <v>0</v>
      </c>
      <c r="AK50" s="279">
        <v>0</v>
      </c>
      <c r="AL50" s="279">
        <v>0</v>
      </c>
      <c r="AM50" s="279">
        <f>INDEX(C.rngPDeath.Ulcer, MATCH($E50, Parameters!$D$340:$D$344, 1))</f>
        <v>0.2981632584964814</v>
      </c>
      <c r="AN50" s="131"/>
      <c r="AO50" s="132">
        <f t="shared" si="19"/>
        <v>1</v>
      </c>
    </row>
    <row r="51" spans="1:41" ht="12" customHeight="1" thickBot="1" x14ac:dyDescent="0.3">
      <c r="A51" s="328"/>
      <c r="C51" s="327"/>
      <c r="D51">
        <f t="shared" si="20"/>
        <v>6</v>
      </c>
      <c r="E51">
        <f t="shared" si="21"/>
        <v>85</v>
      </c>
      <c r="F51" s="112" t="str">
        <f t="shared" si="17"/>
        <v>85-89</v>
      </c>
      <c r="G51" s="110" t="str">
        <f t="array" aca="1" ref="G51" ca="1">INDEX(C.rngStates, $D51)</f>
        <v>Unresolved ulcer</v>
      </c>
      <c r="H51" s="112"/>
      <c r="I51" s="110"/>
      <c r="K51" s="279">
        <v>0</v>
      </c>
      <c r="L51" s="279">
        <v>0</v>
      </c>
      <c r="M51" s="279">
        <v>0</v>
      </c>
      <c r="N51" s="279">
        <v>0</v>
      </c>
      <c r="O51" s="279">
        <v>0</v>
      </c>
      <c r="P51" s="280">
        <v>0</v>
      </c>
      <c r="Q51" s="279">
        <v>0</v>
      </c>
      <c r="R51" s="279">
        <v>0</v>
      </c>
      <c r="S51" s="280">
        <f t="shared" si="22"/>
        <v>0.7018367415035186</v>
      </c>
      <c r="T51" s="279">
        <v>0</v>
      </c>
      <c r="U51" s="279">
        <v>0</v>
      </c>
      <c r="V51" s="279">
        <v>0</v>
      </c>
      <c r="W51" s="279">
        <f>INDEX(C.rngPDeath.Ulcer, MATCH($E51, Parameters!$D$340:$D$344, 1))</f>
        <v>0.2981632584964814</v>
      </c>
      <c r="X51" s="131"/>
      <c r="Y51" s="132">
        <f t="shared" si="18"/>
        <v>1</v>
      </c>
      <c r="AA51" s="279">
        <v>0</v>
      </c>
      <c r="AB51" s="279">
        <v>0</v>
      </c>
      <c r="AC51" s="279">
        <v>0</v>
      </c>
      <c r="AD51" s="279">
        <v>0</v>
      </c>
      <c r="AE51" s="279">
        <v>0</v>
      </c>
      <c r="AF51" s="280">
        <v>0</v>
      </c>
      <c r="AG51" s="279">
        <v>0</v>
      </c>
      <c r="AH51" s="279">
        <v>0</v>
      </c>
      <c r="AI51" s="280">
        <f t="shared" si="23"/>
        <v>0.7018367415035186</v>
      </c>
      <c r="AJ51" s="279">
        <v>0</v>
      </c>
      <c r="AK51" s="279">
        <v>0</v>
      </c>
      <c r="AL51" s="279">
        <v>0</v>
      </c>
      <c r="AM51" s="279">
        <f>INDEX(C.rngPDeath.Ulcer, MATCH($E51, Parameters!$D$340:$D$344, 1))</f>
        <v>0.2981632584964814</v>
      </c>
      <c r="AN51" s="131"/>
      <c r="AO51" s="132">
        <f t="shared" si="19"/>
        <v>1</v>
      </c>
    </row>
    <row r="52" spans="1:41" ht="12" customHeight="1" thickBot="1" x14ac:dyDescent="0.3">
      <c r="A52" s="328"/>
      <c r="C52" s="327"/>
      <c r="D52">
        <f t="shared" si="20"/>
        <v>7</v>
      </c>
      <c r="E52">
        <f t="shared" si="21"/>
        <v>85</v>
      </c>
      <c r="F52" s="112" t="str">
        <f t="shared" si="17"/>
        <v>85-89</v>
      </c>
      <c r="G52" s="110" t="str">
        <f t="array" aca="1" ref="G52" ca="1">INDEX(C.rngStates, $D52)</f>
        <v>Serious GI event</v>
      </c>
      <c r="H52" s="112"/>
      <c r="I52" s="110"/>
      <c r="K52" s="279">
        <v>0</v>
      </c>
      <c r="L52" s="279">
        <v>0</v>
      </c>
      <c r="M52" s="279">
        <v>0</v>
      </c>
      <c r="N52" s="279">
        <v>0</v>
      </c>
      <c r="O52" s="279">
        <v>0</v>
      </c>
      <c r="P52" s="279">
        <v>0</v>
      </c>
      <c r="Q52" s="279">
        <v>0</v>
      </c>
      <c r="R52" s="279">
        <f>TP.unresolved</f>
        <v>0.10094637223974767</v>
      </c>
      <c r="S52" s="280">
        <f t="shared" si="22"/>
        <v>0.52978632309705742</v>
      </c>
      <c r="T52" s="279">
        <v>0</v>
      </c>
      <c r="U52" s="279">
        <v>0</v>
      </c>
      <c r="V52" s="279">
        <v>0</v>
      </c>
      <c r="W52" s="279">
        <f>INDEX(C.rngPDeath.SeriousGI, MATCH($E52, Parameters!$D$333:$D$337, 1))</f>
        <v>0.36926730466319491</v>
      </c>
      <c r="X52" s="131"/>
      <c r="Y52" s="132">
        <f t="shared" si="18"/>
        <v>1</v>
      </c>
      <c r="AA52" s="279">
        <v>0</v>
      </c>
      <c r="AB52" s="279">
        <v>0</v>
      </c>
      <c r="AC52" s="279">
        <v>0</v>
      </c>
      <c r="AD52" s="279">
        <v>0</v>
      </c>
      <c r="AE52" s="279">
        <v>0</v>
      </c>
      <c r="AF52" s="279">
        <v>0</v>
      </c>
      <c r="AG52" s="279">
        <v>0</v>
      </c>
      <c r="AH52" s="279">
        <f>TP.unresolved</f>
        <v>0.10094637223974767</v>
      </c>
      <c r="AI52" s="280">
        <f t="shared" si="23"/>
        <v>0.52978632309705742</v>
      </c>
      <c r="AJ52" s="279">
        <v>0</v>
      </c>
      <c r="AK52" s="279">
        <v>0</v>
      </c>
      <c r="AL52" s="279">
        <v>0</v>
      </c>
      <c r="AM52" s="279">
        <f>INDEX(C.rngPDeath.SeriousGI, MATCH($E52, Parameters!$D$333:$D$337, 1))</f>
        <v>0.36926730466319491</v>
      </c>
      <c r="AN52" s="131"/>
      <c r="AO52" s="132">
        <f t="shared" si="19"/>
        <v>1</v>
      </c>
    </row>
    <row r="53" spans="1:41" ht="12" customHeight="1" thickBot="1" x14ac:dyDescent="0.3">
      <c r="A53" s="328"/>
      <c r="C53" s="327"/>
      <c r="D53">
        <f t="shared" si="20"/>
        <v>8</v>
      </c>
      <c r="E53">
        <f t="shared" si="21"/>
        <v>85</v>
      </c>
      <c r="F53" s="112" t="str">
        <f t="shared" si="17"/>
        <v>85-89</v>
      </c>
      <c r="G53" s="110" t="str">
        <f t="array" aca="1" ref="G53" ca="1">INDEX(C.rngStates, $D53)</f>
        <v>Unresolved serious GI event</v>
      </c>
      <c r="H53" s="112"/>
      <c r="I53" s="110"/>
      <c r="K53" s="279">
        <v>0</v>
      </c>
      <c r="L53" s="279">
        <v>0</v>
      </c>
      <c r="M53" s="279">
        <v>0</v>
      </c>
      <c r="N53" s="279">
        <v>0</v>
      </c>
      <c r="O53" s="279">
        <v>0</v>
      </c>
      <c r="P53" s="279">
        <v>0</v>
      </c>
      <c r="Q53" s="279">
        <v>0</v>
      </c>
      <c r="R53" s="280">
        <v>0</v>
      </c>
      <c r="S53" s="280">
        <f t="shared" si="22"/>
        <v>0.63073269533680509</v>
      </c>
      <c r="T53" s="279">
        <v>0</v>
      </c>
      <c r="U53" s="279">
        <v>0</v>
      </c>
      <c r="V53" s="279">
        <v>0</v>
      </c>
      <c r="W53" s="279">
        <f>INDEX(C.rngPDeath.SeriousGI, MATCH($E53, Parameters!$D$333:$D$337, 1))</f>
        <v>0.36926730466319491</v>
      </c>
      <c r="X53" s="131"/>
      <c r="Y53" s="132">
        <f t="shared" si="18"/>
        <v>1</v>
      </c>
      <c r="AA53" s="279">
        <v>0</v>
      </c>
      <c r="AB53" s="279">
        <v>0</v>
      </c>
      <c r="AC53" s="279">
        <v>0</v>
      </c>
      <c r="AD53" s="279">
        <v>0</v>
      </c>
      <c r="AE53" s="279">
        <v>0</v>
      </c>
      <c r="AF53" s="279">
        <v>0</v>
      </c>
      <c r="AG53" s="279">
        <v>0</v>
      </c>
      <c r="AH53" s="280">
        <v>0</v>
      </c>
      <c r="AI53" s="280">
        <f t="shared" si="23"/>
        <v>0.63073269533680509</v>
      </c>
      <c r="AJ53" s="279">
        <v>0</v>
      </c>
      <c r="AK53" s="279">
        <v>0</v>
      </c>
      <c r="AL53" s="279">
        <v>0</v>
      </c>
      <c r="AM53" s="279">
        <f>INDEX(C.rngPDeath.SeriousGI, MATCH($E53, Parameters!$D$333:$D$337, 1))</f>
        <v>0.36926730466319491</v>
      </c>
      <c r="AN53" s="131"/>
      <c r="AO53" s="132">
        <f t="shared" si="19"/>
        <v>1</v>
      </c>
    </row>
    <row r="54" spans="1:41" ht="12" customHeight="1" thickBot="1" x14ac:dyDescent="0.3">
      <c r="A54" s="328"/>
      <c r="C54" s="327"/>
      <c r="D54">
        <f t="shared" si="20"/>
        <v>9</v>
      </c>
      <c r="E54">
        <f t="shared" si="21"/>
        <v>85</v>
      </c>
      <c r="F54" s="112" t="str">
        <f t="shared" si="17"/>
        <v>85-89</v>
      </c>
      <c r="G54" s="110" t="str">
        <f t="array" aca="1" ref="G54" ca="1">INDEX(C.rngStates, $D54)</f>
        <v>Post-GI event</v>
      </c>
      <c r="H54" s="112"/>
      <c r="I54" s="110"/>
      <c r="K54" s="279">
        <v>0</v>
      </c>
      <c r="L54" s="279">
        <v>0</v>
      </c>
      <c r="M54" s="279">
        <f>INDEX(C.rngTP.GIpain, 1)</f>
        <v>7.197486913300466E-3</v>
      </c>
      <c r="N54" s="279">
        <v>0</v>
      </c>
      <c r="O54" s="279">
        <f>INDEX(C.rngTP.Ulcer, 1)</f>
        <v>3.1627894446695226E-4</v>
      </c>
      <c r="P54" s="279">
        <v>0</v>
      </c>
      <c r="Q54" s="279">
        <f>INDEX(C.rngTP.SeriousGI, 1)</f>
        <v>1.7160259408945944E-3</v>
      </c>
      <c r="R54" s="279">
        <v>0</v>
      </c>
      <c r="S54" s="280">
        <f t="shared" si="22"/>
        <v>0.92280810879299502</v>
      </c>
      <c r="T54" s="279">
        <f>INDEX(C.rngTP.Stroke_noHPE, MATCH($E54, Parameters!$D$284:$D$286, 1))</f>
        <v>2.8849554947409928E-3</v>
      </c>
      <c r="U54" s="279">
        <v>0</v>
      </c>
      <c r="V54" s="279">
        <v>0</v>
      </c>
      <c r="W54" s="279">
        <f>INDEX(C.rngPDeath.NoEvent, MATCH($E54, Parameters!$D$325:$D$329, 1))</f>
        <v>6.5077143913601976E-2</v>
      </c>
      <c r="X54" s="131"/>
      <c r="Y54" s="132">
        <f t="shared" si="18"/>
        <v>1</v>
      </c>
      <c r="AA54" s="279">
        <v>0</v>
      </c>
      <c r="AB54" s="279">
        <v>0</v>
      </c>
      <c r="AC54" s="279">
        <f>INDEX(C.rngTP.GIpain, 1)</f>
        <v>7.197486913300466E-3</v>
      </c>
      <c r="AD54" s="279">
        <v>0</v>
      </c>
      <c r="AE54" s="279">
        <f>INDEX(C.rngTP.Ulcer, 1)</f>
        <v>3.1627894446695226E-4</v>
      </c>
      <c r="AF54" s="279">
        <v>0</v>
      </c>
      <c r="AG54" s="279">
        <f>INDEX(C.rngTP.SeriousGI, 1)</f>
        <v>1.7160259408945944E-3</v>
      </c>
      <c r="AH54" s="279">
        <v>0</v>
      </c>
      <c r="AI54" s="280">
        <f t="shared" si="23"/>
        <v>0.92280810879299502</v>
      </c>
      <c r="AJ54" s="279">
        <f>INDEX(C.rngTP.Stroke_noHPE, MATCH($E54, Parameters!$D$284:$D$286, 1))</f>
        <v>2.8849554947409928E-3</v>
      </c>
      <c r="AK54" s="279">
        <v>0</v>
      </c>
      <c r="AL54" s="279">
        <v>0</v>
      </c>
      <c r="AM54" s="279">
        <f>INDEX(C.rngPDeath.NoEvent, MATCH($E54, Parameters!$D$325:$D$329, 1))</f>
        <v>6.5077143913601976E-2</v>
      </c>
      <c r="AN54" s="131"/>
      <c r="AO54" s="132">
        <f t="shared" si="19"/>
        <v>1</v>
      </c>
    </row>
    <row r="55" spans="1:41" ht="12" customHeight="1" thickBot="1" x14ac:dyDescent="0.3">
      <c r="A55" s="328"/>
      <c r="C55" s="327"/>
      <c r="D55">
        <f t="shared" si="20"/>
        <v>10</v>
      </c>
      <c r="E55">
        <f t="shared" si="21"/>
        <v>85</v>
      </c>
      <c r="F55" s="112" t="str">
        <f t="shared" si="17"/>
        <v>85-89</v>
      </c>
      <c r="G55" s="110" t="str">
        <f t="array" aca="1" ref="G55" ca="1">INDEX(C.rngStates, $D55)</f>
        <v>Stroke</v>
      </c>
      <c r="H55" s="112"/>
      <c r="I55" s="110"/>
      <c r="K55" s="279">
        <v>0</v>
      </c>
      <c r="L55" s="279">
        <v>0</v>
      </c>
      <c r="M55" s="279">
        <v>0</v>
      </c>
      <c r="N55" s="279">
        <v>0</v>
      </c>
      <c r="O55" s="279">
        <v>0</v>
      </c>
      <c r="P55" s="279">
        <v>0</v>
      </c>
      <c r="Q55" s="279">
        <v>0</v>
      </c>
      <c r="R55" s="279">
        <v>0</v>
      </c>
      <c r="S55" s="279">
        <v>0</v>
      </c>
      <c r="T55" s="279">
        <v>0</v>
      </c>
      <c r="U55" s="279">
        <f>INDEX(C.rngTP.Stroke_repeat, MATCH($E55, Parameters!$D$294:$D$296, 1))</f>
        <v>2.4318832209509145E-2</v>
      </c>
      <c r="V55" s="280">
        <f>1-SUM(J55:U55, W55:X55)</f>
        <v>0.64784917044176993</v>
      </c>
      <c r="W55" s="279">
        <f>INDEX(C.rngPDeath.Stroke, MATCH($E55, Parameters!$D$325:$D$329, 1))</f>
        <v>0.32783199734872093</v>
      </c>
      <c r="X55" s="131"/>
      <c r="Y55" s="132">
        <f t="shared" si="18"/>
        <v>1</v>
      </c>
      <c r="AA55" s="279">
        <v>0</v>
      </c>
      <c r="AB55" s="279">
        <v>0</v>
      </c>
      <c r="AC55" s="279">
        <v>0</v>
      </c>
      <c r="AD55" s="279">
        <v>0</v>
      </c>
      <c r="AE55" s="279">
        <v>0</v>
      </c>
      <c r="AF55" s="279">
        <v>0</v>
      </c>
      <c r="AG55" s="279">
        <v>0</v>
      </c>
      <c r="AH55" s="279">
        <v>0</v>
      </c>
      <c r="AI55" s="279">
        <v>0</v>
      </c>
      <c r="AJ55" s="279">
        <v>0</v>
      </c>
      <c r="AK55" s="279">
        <f>INDEX(C.rngTP.Stroke_repeat, MATCH($E55, Parameters!$D$294:$D$296, 1))</f>
        <v>2.4318832209509145E-2</v>
      </c>
      <c r="AL55" s="280">
        <f>1-SUM(Z55:AK55, AM55:AN55)</f>
        <v>0.64784917044176993</v>
      </c>
      <c r="AM55" s="279">
        <f>INDEX(C.rngPDeath.Stroke, MATCH($E55, Parameters!$D$325:$D$329, 1))</f>
        <v>0.32783199734872093</v>
      </c>
      <c r="AN55" s="131"/>
      <c r="AO55" s="132">
        <f t="shared" si="19"/>
        <v>1</v>
      </c>
    </row>
    <row r="56" spans="1:41" ht="12" customHeight="1" thickBot="1" x14ac:dyDescent="0.3">
      <c r="A56" s="328"/>
      <c r="C56" s="327"/>
      <c r="D56">
        <f t="shared" si="20"/>
        <v>11</v>
      </c>
      <c r="E56">
        <f t="shared" si="21"/>
        <v>85</v>
      </c>
      <c r="F56" s="112" t="str">
        <f t="shared" si="17"/>
        <v>85-89</v>
      </c>
      <c r="G56" s="110" t="str">
        <f t="array" aca="1" ref="G56" ca="1">INDEX(C.rngStates, $D56)</f>
        <v>Recurrent stroke</v>
      </c>
      <c r="H56" s="112"/>
      <c r="I56" s="110"/>
      <c r="K56" s="279">
        <v>0</v>
      </c>
      <c r="L56" s="279">
        <v>0</v>
      </c>
      <c r="M56" s="279">
        <v>0</v>
      </c>
      <c r="N56" s="279">
        <v>0</v>
      </c>
      <c r="O56" s="279">
        <v>0</v>
      </c>
      <c r="P56" s="279">
        <v>0</v>
      </c>
      <c r="Q56" s="279">
        <v>0</v>
      </c>
      <c r="R56" s="280">
        <v>0</v>
      </c>
      <c r="S56" s="279">
        <v>0</v>
      </c>
      <c r="T56" s="279">
        <v>0</v>
      </c>
      <c r="U56" s="279">
        <v>0</v>
      </c>
      <c r="V56" s="280">
        <f>1-SUM(J56:U56, W56:X56)</f>
        <v>0.67216800265127907</v>
      </c>
      <c r="W56" s="279">
        <f>INDEX(C.rngPDeath.Stroke, MATCH($E56, Parameters!$D$325:$D$329, 1))</f>
        <v>0.32783199734872093</v>
      </c>
      <c r="X56" s="131"/>
      <c r="Y56" s="132">
        <f t="shared" si="18"/>
        <v>1</v>
      </c>
      <c r="AA56" s="279">
        <v>0</v>
      </c>
      <c r="AB56" s="279">
        <v>0</v>
      </c>
      <c r="AC56" s="279">
        <v>0</v>
      </c>
      <c r="AD56" s="279">
        <v>0</v>
      </c>
      <c r="AE56" s="279">
        <v>0</v>
      </c>
      <c r="AF56" s="279">
        <v>0</v>
      </c>
      <c r="AG56" s="279">
        <v>0</v>
      </c>
      <c r="AH56" s="280">
        <v>0</v>
      </c>
      <c r="AI56" s="279">
        <v>0</v>
      </c>
      <c r="AJ56" s="279">
        <v>0</v>
      </c>
      <c r="AK56" s="279">
        <v>0</v>
      </c>
      <c r="AL56" s="280">
        <f>1-SUM(Z56:AK56, AM56:AN56)</f>
        <v>0.67216800265127907</v>
      </c>
      <c r="AM56" s="279">
        <f>INDEX(C.rngPDeath.Stroke, MATCH($E56, Parameters!$D$325:$D$329, 1))</f>
        <v>0.32783199734872093</v>
      </c>
      <c r="AN56" s="131"/>
      <c r="AO56" s="132">
        <f t="shared" si="19"/>
        <v>1</v>
      </c>
    </row>
    <row r="57" spans="1:41" ht="12" customHeight="1" thickBot="1" x14ac:dyDescent="0.3">
      <c r="A57" s="328"/>
      <c r="C57" s="327"/>
      <c r="D57">
        <f t="shared" si="20"/>
        <v>12</v>
      </c>
      <c r="E57">
        <f t="shared" si="21"/>
        <v>85</v>
      </c>
      <c r="F57" s="112" t="str">
        <f t="shared" si="17"/>
        <v>85-89</v>
      </c>
      <c r="G57" s="110" t="str">
        <f t="array" aca="1" ref="G57" ca="1">INDEX(C.rngStates, $D57)</f>
        <v>Post-stroke</v>
      </c>
      <c r="H57" s="112"/>
      <c r="I57" s="110"/>
      <c r="K57" s="279">
        <v>0</v>
      </c>
      <c r="L57" s="279">
        <v>0</v>
      </c>
      <c r="M57" s="279">
        <v>0</v>
      </c>
      <c r="N57" s="279">
        <v>0</v>
      </c>
      <c r="O57" s="279">
        <v>0</v>
      </c>
      <c r="P57" s="279">
        <v>0</v>
      </c>
      <c r="Q57" s="279">
        <v>0</v>
      </c>
      <c r="R57" s="279">
        <v>0</v>
      </c>
      <c r="S57" s="279">
        <v>0</v>
      </c>
      <c r="T57" s="279">
        <f>INDEX(C.rngTP.Stroke_recur, MATCH($E57, Parameters!$D$305:$D$307, 1))</f>
        <v>9.7699003482121238E-3</v>
      </c>
      <c r="U57" s="279">
        <v>0</v>
      </c>
      <c r="V57" s="280">
        <f>1-SUM(J57:U57, W57:X57)</f>
        <v>0.90838183875052403</v>
      </c>
      <c r="W57" s="279">
        <f>INDEX(C.rngPDeath.PostStroke, MATCH($E57, Parameters!$D$325:$D$329, 1))</f>
        <v>8.1848260901263847E-2</v>
      </c>
      <c r="X57" s="131"/>
      <c r="Y57" s="132">
        <f t="shared" si="18"/>
        <v>1</v>
      </c>
      <c r="AA57" s="279">
        <v>0</v>
      </c>
      <c r="AB57" s="279">
        <v>0</v>
      </c>
      <c r="AC57" s="279">
        <v>0</v>
      </c>
      <c r="AD57" s="279">
        <v>0</v>
      </c>
      <c r="AE57" s="279">
        <v>0</v>
      </c>
      <c r="AF57" s="279">
        <v>0</v>
      </c>
      <c r="AG57" s="279">
        <v>0</v>
      </c>
      <c r="AH57" s="279">
        <v>0</v>
      </c>
      <c r="AI57" s="279">
        <v>0</v>
      </c>
      <c r="AJ57" s="279">
        <f>INDEX(C.rngTP.Stroke_recur, MATCH($E57, Parameters!$D$305:$D$307, 1))</f>
        <v>9.7699003482121238E-3</v>
      </c>
      <c r="AK57" s="279">
        <v>0</v>
      </c>
      <c r="AL57" s="280">
        <f>1-SUM(Z57:AK57, AM57:AN57)</f>
        <v>0.90838183875052403</v>
      </c>
      <c r="AM57" s="279">
        <f>INDEX(C.rngPDeath.PostStroke, MATCH($E57, Parameters!$D$325:$D$329, 1))</f>
        <v>8.1848260901263847E-2</v>
      </c>
      <c r="AN57" s="131"/>
      <c r="AO57" s="132">
        <f t="shared" si="19"/>
        <v>1</v>
      </c>
    </row>
    <row r="58" spans="1:41" s="188" customFormat="1" ht="12" customHeight="1" thickBot="1" x14ac:dyDescent="0.3">
      <c r="A58" s="328"/>
      <c r="B58" s="326"/>
      <c r="C58" s="327"/>
      <c r="D58" s="188">
        <f t="shared" si="20"/>
        <v>13</v>
      </c>
      <c r="E58" s="188">
        <f t="shared" si="21"/>
        <v>85</v>
      </c>
      <c r="F58" s="112" t="str">
        <f t="shared" si="17"/>
        <v>85-89</v>
      </c>
      <c r="G58" s="110" t="str">
        <f t="array" aca="1" ref="G58" ca="1">INDEX(C.rngStates, $D58)</f>
        <v>Dead</v>
      </c>
      <c r="H58" s="112"/>
      <c r="I58" s="110"/>
      <c r="K58" s="278">
        <v>0</v>
      </c>
      <c r="L58" s="278">
        <v>0</v>
      </c>
      <c r="M58" s="278">
        <v>0</v>
      </c>
      <c r="N58" s="278">
        <v>0</v>
      </c>
      <c r="O58" s="278">
        <v>0</v>
      </c>
      <c r="P58" s="278">
        <v>0</v>
      </c>
      <c r="Q58" s="278">
        <v>0</v>
      </c>
      <c r="R58" s="278">
        <v>0</v>
      </c>
      <c r="S58" s="278">
        <v>0</v>
      </c>
      <c r="T58" s="278">
        <v>0</v>
      </c>
      <c r="U58" s="278">
        <v>0</v>
      </c>
      <c r="V58" s="278">
        <v>0</v>
      </c>
      <c r="W58" s="277">
        <v>1</v>
      </c>
      <c r="X58" s="191"/>
      <c r="Y58" s="132">
        <f t="shared" si="18"/>
        <v>1</v>
      </c>
      <c r="AA58" s="278">
        <v>0</v>
      </c>
      <c r="AB58" s="278">
        <v>0</v>
      </c>
      <c r="AC58" s="278">
        <v>0</v>
      </c>
      <c r="AD58" s="278">
        <v>0</v>
      </c>
      <c r="AE58" s="278">
        <v>0</v>
      </c>
      <c r="AF58" s="278">
        <v>0</v>
      </c>
      <c r="AG58" s="278">
        <v>0</v>
      </c>
      <c r="AH58" s="278">
        <v>0</v>
      </c>
      <c r="AI58" s="278">
        <v>0</v>
      </c>
      <c r="AJ58" s="278">
        <v>0</v>
      </c>
      <c r="AK58" s="278">
        <v>0</v>
      </c>
      <c r="AL58" s="278">
        <v>0</v>
      </c>
      <c r="AM58" s="277">
        <v>1</v>
      </c>
      <c r="AN58" s="191"/>
      <c r="AO58" s="132">
        <f t="shared" si="19"/>
        <v>1</v>
      </c>
    </row>
    <row r="59" spans="1:41" ht="12" customHeight="1" thickBot="1" x14ac:dyDescent="0.3">
      <c r="A59" s="328"/>
      <c r="C59" s="327"/>
      <c r="D59">
        <v>1</v>
      </c>
      <c r="E59">
        <f>E46+5</f>
        <v>90</v>
      </c>
      <c r="F59" s="112" t="str">
        <f t="shared" ref="F59:F71" si="24">E59&amp;"+"</f>
        <v>90+</v>
      </c>
      <c r="G59" s="110" t="str">
        <f t="array" aca="1" ref="G59" ca="1">INDEX(C.rngStates, $D59)</f>
        <v>Well no HPE</v>
      </c>
      <c r="H59" s="112"/>
      <c r="I59" s="110"/>
      <c r="K59" s="280">
        <f>1-SUM(J59:J59, L59:X59)</f>
        <v>0.862023005639456</v>
      </c>
      <c r="L59" s="279">
        <v>0</v>
      </c>
      <c r="M59" s="279">
        <f>INDEX(C.rngTP.GIpain, 1)</f>
        <v>7.197486913300466E-3</v>
      </c>
      <c r="N59" s="279">
        <v>0</v>
      </c>
      <c r="O59" s="279">
        <f>INDEX(C.rngTP.Ulcer, 1)</f>
        <v>3.1627894446695226E-4</v>
      </c>
      <c r="P59" s="279">
        <v>0</v>
      </c>
      <c r="Q59" s="279">
        <f>INDEX(C.rngTP.SeriousGI, 1)</f>
        <v>1.7160259408945944E-3</v>
      </c>
      <c r="R59" s="279">
        <v>0</v>
      </c>
      <c r="S59" s="279">
        <v>0</v>
      </c>
      <c r="T59" s="279">
        <f>INDEX(C.rngTP.Stroke_noHPE, MATCH($E59, Parameters!$D$284:$D$286, 1))</f>
        <v>4.1804686612078035E-3</v>
      </c>
      <c r="U59" s="279">
        <v>0</v>
      </c>
      <c r="V59" s="279">
        <v>0</v>
      </c>
      <c r="W59" s="279">
        <f>INDEX(C.rngPDeath.NoEvent, MATCH($E59, Parameters!$D$325:$D$329, 1))</f>
        <v>0.12456673390067419</v>
      </c>
      <c r="X59" s="131"/>
      <c r="Y59" s="132">
        <f t="shared" si="18"/>
        <v>1</v>
      </c>
      <c r="AA59" s="280">
        <f>1-SUM(Z59:Z59, AB59:AN59)</f>
        <v>0.862023005639456</v>
      </c>
      <c r="AB59" s="279">
        <v>0</v>
      </c>
      <c r="AC59" s="279">
        <f>INDEX(C.rngTP.GIpain, 1)</f>
        <v>7.197486913300466E-3</v>
      </c>
      <c r="AD59" s="279">
        <v>0</v>
      </c>
      <c r="AE59" s="279">
        <f>INDEX(C.rngTP.Ulcer, 1)</f>
        <v>3.1627894446695226E-4</v>
      </c>
      <c r="AF59" s="279">
        <v>0</v>
      </c>
      <c r="AG59" s="279">
        <f>INDEX(C.rngTP.SeriousGI, 1)</f>
        <v>1.7160259408945944E-3</v>
      </c>
      <c r="AH59" s="279">
        <v>0</v>
      </c>
      <c r="AI59" s="279">
        <v>0</v>
      </c>
      <c r="AJ59" s="279">
        <f>INDEX(C.rngTP.Stroke_noHPE, MATCH($E59, Parameters!$D$284:$D$286, 1))</f>
        <v>4.1804686612078035E-3</v>
      </c>
      <c r="AK59" s="279">
        <v>0</v>
      </c>
      <c r="AL59" s="279">
        <v>0</v>
      </c>
      <c r="AM59" s="279">
        <f>INDEX(C.rngPDeath.NoEvent, MATCH($E59, Parameters!$D$325:$D$329, 1))</f>
        <v>0.12456673390067419</v>
      </c>
      <c r="AN59" s="131"/>
      <c r="AO59" s="132">
        <f t="shared" si="19"/>
        <v>1</v>
      </c>
    </row>
    <row r="60" spans="1:41" ht="12" customHeight="1" thickBot="1" x14ac:dyDescent="0.3">
      <c r="A60" s="328"/>
      <c r="C60" s="327"/>
      <c r="D60">
        <f t="shared" ref="D60:D71" si="25">D59+1</f>
        <v>2</v>
      </c>
      <c r="E60">
        <f t="shared" ref="E60:E71" si="26">E59</f>
        <v>90</v>
      </c>
      <c r="F60" s="112" t="str">
        <f t="shared" si="24"/>
        <v>90+</v>
      </c>
      <c r="G60" s="110" t="str">
        <f t="array" aca="1" ref="G60" ca="1">INDEX(C.rngStates, $D60)</f>
        <v>Well with HPE</v>
      </c>
      <c r="H60" s="112"/>
      <c r="I60" s="110"/>
      <c r="K60" s="279">
        <v>0</v>
      </c>
      <c r="L60" s="280">
        <f>1-SUM(J60:K60, M60:X60)</f>
        <v>0.84331410614236835</v>
      </c>
      <c r="M60" s="279">
        <f>INDEX(C.rngTP.GIpain, 2)</f>
        <v>1.5136652891765377E-2</v>
      </c>
      <c r="N60" s="279">
        <v>0</v>
      </c>
      <c r="O60" s="279">
        <f>INDEX(C.rngTP.Ulcer, 2)</f>
        <v>5.3755519342140107E-4</v>
      </c>
      <c r="P60" s="279">
        <v>0</v>
      </c>
      <c r="Q60" s="279">
        <f>INDEX(C.rngTP.SeriousGI, 2)</f>
        <v>5.156335227526343E-3</v>
      </c>
      <c r="R60" s="279">
        <v>0</v>
      </c>
      <c r="S60" s="279">
        <v>0</v>
      </c>
      <c r="T60" s="279">
        <f>INDEX(C.rngTP.Stroke_HPE, MATCH($E60, Parameters!$D$287:$D$289, 1))</f>
        <v>1.1288616644244298E-2</v>
      </c>
      <c r="U60" s="279">
        <v>0</v>
      </c>
      <c r="V60" s="279">
        <v>0</v>
      </c>
      <c r="W60" s="279">
        <f>INDEX(C.rngPDeath.NoEvent, MATCH($E60, Parameters!$D$325:$D$329, 1))</f>
        <v>0.12456673390067419</v>
      </c>
      <c r="X60" s="131"/>
      <c r="Y60" s="132">
        <f t="shared" si="18"/>
        <v>0.99999999999999989</v>
      </c>
      <c r="AA60" s="280">
        <f>1-SUM(Z60, AB60:AN60)</f>
        <v>0.84331410614236835</v>
      </c>
      <c r="AB60" s="280">
        <v>0</v>
      </c>
      <c r="AC60" s="279">
        <f>INDEX(C.rngTP.GIpain, 2)</f>
        <v>1.5136652891765377E-2</v>
      </c>
      <c r="AD60" s="279">
        <v>0</v>
      </c>
      <c r="AE60" s="279">
        <f>INDEX(C.rngTP.Ulcer, 2)</f>
        <v>5.3755519342140107E-4</v>
      </c>
      <c r="AF60" s="279">
        <v>0</v>
      </c>
      <c r="AG60" s="279">
        <f>INDEX(C.rngTP.SeriousGI, 2)</f>
        <v>5.156335227526343E-3</v>
      </c>
      <c r="AH60" s="279">
        <v>0</v>
      </c>
      <c r="AI60" s="279">
        <v>0</v>
      </c>
      <c r="AJ60" s="279">
        <f>INDEX(C.rngTP.Stroke_HPE, MATCH($E60, Parameters!$D$287:$D$289, 1))</f>
        <v>1.1288616644244298E-2</v>
      </c>
      <c r="AK60" s="279">
        <v>0</v>
      </c>
      <c r="AL60" s="279">
        <v>0</v>
      </c>
      <c r="AM60" s="279">
        <f>INDEX(C.rngPDeath.NoEvent, MATCH($E60, Parameters!$D$325:$D$329, 1))</f>
        <v>0.12456673390067419</v>
      </c>
      <c r="AN60" s="131"/>
      <c r="AO60" s="132">
        <f t="shared" si="19"/>
        <v>0.99999999999999989</v>
      </c>
    </row>
    <row r="61" spans="1:41" ht="12" customHeight="1" thickBot="1" x14ac:dyDescent="0.3">
      <c r="A61" s="328"/>
      <c r="C61" s="327"/>
      <c r="D61">
        <f t="shared" si="25"/>
        <v>3</v>
      </c>
      <c r="E61">
        <f t="shared" si="26"/>
        <v>90</v>
      </c>
      <c r="F61" s="112" t="str">
        <f t="shared" si="24"/>
        <v>90+</v>
      </c>
      <c r="G61" s="110" t="str">
        <f t="array" aca="1" ref="G61" ca="1">INDEX(C.rngStates, $D61)</f>
        <v>GI discomfort</v>
      </c>
      <c r="H61" s="112"/>
      <c r="I61" s="110"/>
      <c r="K61" s="279">
        <v>0</v>
      </c>
      <c r="L61" s="279">
        <v>0</v>
      </c>
      <c r="M61" s="280">
        <v>0</v>
      </c>
      <c r="N61" s="279">
        <f>TP.unresolved</f>
        <v>0.10094637223974767</v>
      </c>
      <c r="O61" s="279">
        <v>0</v>
      </c>
      <c r="P61" s="279">
        <v>0</v>
      </c>
      <c r="Q61" s="279">
        <v>0</v>
      </c>
      <c r="R61" s="279">
        <v>0</v>
      </c>
      <c r="S61" s="280">
        <f t="shared" ref="S61:S67" si="27">1-SUM(J61:R61, T61:X61)</f>
        <v>0.77448689385957814</v>
      </c>
      <c r="T61" s="279">
        <v>0</v>
      </c>
      <c r="U61" s="279">
        <v>0</v>
      </c>
      <c r="V61" s="279">
        <v>0</v>
      </c>
      <c r="W61" s="279">
        <f>INDEX(C.rngPDeath.NoEvent, MATCH($E61, Parameters!$D$325:$D$329, 1))</f>
        <v>0.12456673390067419</v>
      </c>
      <c r="X61" s="131"/>
      <c r="Y61" s="132">
        <f t="shared" si="18"/>
        <v>1</v>
      </c>
      <c r="AA61" s="279">
        <v>0</v>
      </c>
      <c r="AB61" s="279">
        <v>0</v>
      </c>
      <c r="AC61" s="280">
        <v>0</v>
      </c>
      <c r="AD61" s="279">
        <f>TP.unresolved</f>
        <v>0.10094637223974767</v>
      </c>
      <c r="AE61" s="279">
        <v>0</v>
      </c>
      <c r="AF61" s="279">
        <v>0</v>
      </c>
      <c r="AG61" s="279">
        <v>0</v>
      </c>
      <c r="AH61" s="279">
        <v>0</v>
      </c>
      <c r="AI61" s="280">
        <f t="shared" ref="AI61:AI67" si="28">1-SUM(Z61:AH61, AJ61:AN61)</f>
        <v>0.77448689385957814</v>
      </c>
      <c r="AJ61" s="279">
        <v>0</v>
      </c>
      <c r="AK61" s="279">
        <v>0</v>
      </c>
      <c r="AL61" s="279">
        <v>0</v>
      </c>
      <c r="AM61" s="279">
        <f>INDEX(C.rngPDeath.NoEvent, MATCH($E61, Parameters!$D$325:$D$329, 1))</f>
        <v>0.12456673390067419</v>
      </c>
      <c r="AN61" s="131"/>
      <c r="AO61" s="132">
        <f t="shared" si="19"/>
        <v>1</v>
      </c>
    </row>
    <row r="62" spans="1:41" ht="12" customHeight="1" thickBot="1" x14ac:dyDescent="0.3">
      <c r="A62" s="328"/>
      <c r="C62" s="327"/>
      <c r="D62">
        <f t="shared" si="25"/>
        <v>4</v>
      </c>
      <c r="E62">
        <f t="shared" si="26"/>
        <v>90</v>
      </c>
      <c r="F62" s="112" t="str">
        <f t="shared" si="24"/>
        <v>90+</v>
      </c>
      <c r="G62" s="110" t="str">
        <f t="array" aca="1" ref="G62" ca="1">INDEX(C.rngStates, $D62)</f>
        <v>Unresolved GI discomfort</v>
      </c>
      <c r="H62" s="112"/>
      <c r="I62" s="110"/>
      <c r="K62" s="279">
        <v>0</v>
      </c>
      <c r="L62" s="279">
        <v>0</v>
      </c>
      <c r="M62" s="279">
        <v>0</v>
      </c>
      <c r="N62" s="279">
        <v>0</v>
      </c>
      <c r="O62" s="279">
        <v>0</v>
      </c>
      <c r="P62" s="279">
        <v>0</v>
      </c>
      <c r="Q62" s="279">
        <v>0</v>
      </c>
      <c r="R62" s="279">
        <v>0</v>
      </c>
      <c r="S62" s="280">
        <f t="shared" si="27"/>
        <v>0.87543326609932581</v>
      </c>
      <c r="T62" s="279">
        <v>0</v>
      </c>
      <c r="U62" s="279">
        <v>0</v>
      </c>
      <c r="V62" s="279">
        <v>0</v>
      </c>
      <c r="W62" s="279">
        <f>INDEX(C.rngPDeath.NoEvent, MATCH($E62, Parameters!$D$325:$D$329, 1))</f>
        <v>0.12456673390067419</v>
      </c>
      <c r="X62" s="131"/>
      <c r="Y62" s="132">
        <f t="shared" si="18"/>
        <v>1</v>
      </c>
      <c r="AA62" s="279">
        <v>0</v>
      </c>
      <c r="AB62" s="279">
        <v>0</v>
      </c>
      <c r="AC62" s="279">
        <v>0</v>
      </c>
      <c r="AD62" s="279">
        <v>0</v>
      </c>
      <c r="AE62" s="279">
        <v>0</v>
      </c>
      <c r="AF62" s="279">
        <v>0</v>
      </c>
      <c r="AG62" s="279">
        <v>0</v>
      </c>
      <c r="AH62" s="279">
        <v>0</v>
      </c>
      <c r="AI62" s="280">
        <f t="shared" si="28"/>
        <v>0.87543326609932581</v>
      </c>
      <c r="AJ62" s="279">
        <v>0</v>
      </c>
      <c r="AK62" s="279">
        <v>0</v>
      </c>
      <c r="AL62" s="279">
        <v>0</v>
      </c>
      <c r="AM62" s="279">
        <f>INDEX(C.rngPDeath.NoEvent, MATCH($E62, Parameters!$D$325:$D$329, 1))</f>
        <v>0.12456673390067419</v>
      </c>
      <c r="AN62" s="131"/>
      <c r="AO62" s="132">
        <f t="shared" si="19"/>
        <v>1</v>
      </c>
    </row>
    <row r="63" spans="1:41" ht="12" customHeight="1" thickBot="1" x14ac:dyDescent="0.3">
      <c r="A63" s="328"/>
      <c r="C63" s="327"/>
      <c r="D63">
        <f t="shared" si="25"/>
        <v>5</v>
      </c>
      <c r="E63">
        <f t="shared" si="26"/>
        <v>90</v>
      </c>
      <c r="F63" s="112" t="str">
        <f t="shared" si="24"/>
        <v>90+</v>
      </c>
      <c r="G63" s="110" t="str">
        <f t="array" aca="1" ref="G63" ca="1">INDEX(C.rngStates, $D63)</f>
        <v>Symptomatic ulcer</v>
      </c>
      <c r="H63" s="112"/>
      <c r="I63" s="110"/>
      <c r="K63" s="279">
        <v>0</v>
      </c>
      <c r="L63" s="279">
        <v>0</v>
      </c>
      <c r="M63" s="279">
        <v>0</v>
      </c>
      <c r="N63" s="279">
        <v>0</v>
      </c>
      <c r="O63" s="279">
        <v>0</v>
      </c>
      <c r="P63" s="279">
        <f>TP.unresolved</f>
        <v>0.10094637223974767</v>
      </c>
      <c r="Q63" s="279">
        <v>0</v>
      </c>
      <c r="R63" s="279">
        <v>0</v>
      </c>
      <c r="S63" s="280">
        <f t="shared" si="27"/>
        <v>0.39565197150986653</v>
      </c>
      <c r="T63" s="279">
        <v>0</v>
      </c>
      <c r="U63" s="279">
        <v>0</v>
      </c>
      <c r="V63" s="279">
        <v>0</v>
      </c>
      <c r="W63" s="279">
        <f>INDEX(C.rngPDeath.Ulcer, MATCH($E63, Parameters!$D$340:$D$344, 1))</f>
        <v>0.5034016562503858</v>
      </c>
      <c r="X63" s="131"/>
      <c r="Y63" s="132">
        <f t="shared" si="18"/>
        <v>1</v>
      </c>
      <c r="AA63" s="279">
        <v>0</v>
      </c>
      <c r="AB63" s="279">
        <v>0</v>
      </c>
      <c r="AC63" s="279">
        <v>0</v>
      </c>
      <c r="AD63" s="279">
        <v>0</v>
      </c>
      <c r="AE63" s="279">
        <v>0</v>
      </c>
      <c r="AF63" s="279">
        <f>TP.unresolved</f>
        <v>0.10094637223974767</v>
      </c>
      <c r="AG63" s="279">
        <v>0</v>
      </c>
      <c r="AH63" s="279">
        <v>0</v>
      </c>
      <c r="AI63" s="280">
        <f t="shared" si="28"/>
        <v>0.39565197150986653</v>
      </c>
      <c r="AJ63" s="279">
        <v>0</v>
      </c>
      <c r="AK63" s="279">
        <v>0</v>
      </c>
      <c r="AL63" s="279">
        <v>0</v>
      </c>
      <c r="AM63" s="279">
        <f>INDEX(C.rngPDeath.Ulcer, MATCH($E63, Parameters!$D$340:$D$344, 1))</f>
        <v>0.5034016562503858</v>
      </c>
      <c r="AN63" s="131"/>
      <c r="AO63" s="132">
        <f t="shared" si="19"/>
        <v>1</v>
      </c>
    </row>
    <row r="64" spans="1:41" ht="12" customHeight="1" thickBot="1" x14ac:dyDescent="0.3">
      <c r="A64" s="328"/>
      <c r="C64" s="327"/>
      <c r="D64">
        <f t="shared" si="25"/>
        <v>6</v>
      </c>
      <c r="E64">
        <f t="shared" si="26"/>
        <v>90</v>
      </c>
      <c r="F64" s="112" t="str">
        <f t="shared" si="24"/>
        <v>90+</v>
      </c>
      <c r="G64" s="110" t="str">
        <f t="array" aca="1" ref="G64" ca="1">INDEX(C.rngStates, $D64)</f>
        <v>Unresolved ulcer</v>
      </c>
      <c r="H64" s="112"/>
      <c r="I64" s="110"/>
      <c r="K64" s="279">
        <v>0</v>
      </c>
      <c r="L64" s="279">
        <v>0</v>
      </c>
      <c r="M64" s="279">
        <v>0</v>
      </c>
      <c r="N64" s="279">
        <v>0</v>
      </c>
      <c r="O64" s="279">
        <v>0</v>
      </c>
      <c r="P64" s="280">
        <v>0</v>
      </c>
      <c r="Q64" s="279">
        <v>0</v>
      </c>
      <c r="R64" s="279">
        <v>0</v>
      </c>
      <c r="S64" s="280">
        <f t="shared" si="27"/>
        <v>0.4965983437496142</v>
      </c>
      <c r="T64" s="279">
        <v>0</v>
      </c>
      <c r="U64" s="279">
        <v>0</v>
      </c>
      <c r="V64" s="279">
        <v>0</v>
      </c>
      <c r="W64" s="279">
        <f>INDEX(C.rngPDeath.Ulcer, MATCH($E64, Parameters!$D$340:$D$344, 1))</f>
        <v>0.5034016562503858</v>
      </c>
      <c r="X64" s="131"/>
      <c r="Y64" s="132">
        <f t="shared" si="18"/>
        <v>1</v>
      </c>
      <c r="AA64" s="279">
        <v>0</v>
      </c>
      <c r="AB64" s="279">
        <v>0</v>
      </c>
      <c r="AC64" s="279">
        <v>0</v>
      </c>
      <c r="AD64" s="279">
        <v>0</v>
      </c>
      <c r="AE64" s="279">
        <v>0</v>
      </c>
      <c r="AF64" s="280">
        <v>0</v>
      </c>
      <c r="AG64" s="279">
        <v>0</v>
      </c>
      <c r="AH64" s="279">
        <v>0</v>
      </c>
      <c r="AI64" s="280">
        <f t="shared" si="28"/>
        <v>0.4965983437496142</v>
      </c>
      <c r="AJ64" s="279">
        <v>0</v>
      </c>
      <c r="AK64" s="279">
        <v>0</v>
      </c>
      <c r="AL64" s="279">
        <v>0</v>
      </c>
      <c r="AM64" s="279">
        <f>INDEX(C.rngPDeath.Ulcer, MATCH($E64, Parameters!$D$340:$D$344, 1))</f>
        <v>0.5034016562503858</v>
      </c>
      <c r="AN64" s="131"/>
      <c r="AO64" s="132">
        <f t="shared" si="19"/>
        <v>1</v>
      </c>
    </row>
    <row r="65" spans="1:41" ht="12" customHeight="1" thickBot="1" x14ac:dyDescent="0.3">
      <c r="A65" s="328"/>
      <c r="C65" s="327"/>
      <c r="D65">
        <f t="shared" si="25"/>
        <v>7</v>
      </c>
      <c r="E65">
        <f t="shared" si="26"/>
        <v>90</v>
      </c>
      <c r="F65" s="112" t="str">
        <f t="shared" si="24"/>
        <v>90+</v>
      </c>
      <c r="G65" s="110" t="str">
        <f t="array" aca="1" ref="G65" ca="1">INDEX(C.rngStates, $D65)</f>
        <v>Serious GI event</v>
      </c>
      <c r="H65" s="112"/>
      <c r="I65" s="110"/>
      <c r="K65" s="279">
        <v>0</v>
      </c>
      <c r="L65" s="279">
        <v>0</v>
      </c>
      <c r="M65" s="279">
        <v>0</v>
      </c>
      <c r="N65" s="279">
        <v>0</v>
      </c>
      <c r="O65" s="279">
        <v>0</v>
      </c>
      <c r="P65" s="279">
        <v>0</v>
      </c>
      <c r="Q65" s="279">
        <v>0</v>
      </c>
      <c r="R65" s="279">
        <f>TP.unresolved</f>
        <v>0.10094637223974767</v>
      </c>
      <c r="S65" s="280">
        <f t="shared" si="27"/>
        <v>0.16900375403504131</v>
      </c>
      <c r="T65" s="279">
        <v>0</v>
      </c>
      <c r="U65" s="279">
        <v>0</v>
      </c>
      <c r="V65" s="279">
        <v>0</v>
      </c>
      <c r="W65" s="279">
        <f>INDEX(C.rngPDeath.SeriousGI, MATCH($E65, Parameters!$D$333:$D$337, 1))</f>
        <v>0.73004987372521102</v>
      </c>
      <c r="X65" s="131"/>
      <c r="Y65" s="132">
        <f t="shared" si="18"/>
        <v>1</v>
      </c>
      <c r="AA65" s="279">
        <v>0</v>
      </c>
      <c r="AB65" s="279">
        <v>0</v>
      </c>
      <c r="AC65" s="279">
        <v>0</v>
      </c>
      <c r="AD65" s="279">
        <v>0</v>
      </c>
      <c r="AE65" s="279">
        <v>0</v>
      </c>
      <c r="AF65" s="279">
        <v>0</v>
      </c>
      <c r="AG65" s="279">
        <v>0</v>
      </c>
      <c r="AH65" s="279">
        <f>TP.unresolved</f>
        <v>0.10094637223974767</v>
      </c>
      <c r="AI65" s="280">
        <f t="shared" si="28"/>
        <v>0.16900375403504131</v>
      </c>
      <c r="AJ65" s="279">
        <v>0</v>
      </c>
      <c r="AK65" s="279">
        <v>0</v>
      </c>
      <c r="AL65" s="279">
        <v>0</v>
      </c>
      <c r="AM65" s="279">
        <f>INDEX(C.rngPDeath.SeriousGI, MATCH($E65, Parameters!$D$333:$D$337, 1))</f>
        <v>0.73004987372521102</v>
      </c>
      <c r="AN65" s="131"/>
      <c r="AO65" s="132">
        <f t="shared" si="19"/>
        <v>1</v>
      </c>
    </row>
    <row r="66" spans="1:41" ht="12" customHeight="1" thickBot="1" x14ac:dyDescent="0.3">
      <c r="A66" s="328"/>
      <c r="C66" s="327"/>
      <c r="D66">
        <f t="shared" si="25"/>
        <v>8</v>
      </c>
      <c r="E66">
        <f t="shared" si="26"/>
        <v>90</v>
      </c>
      <c r="F66" s="112" t="str">
        <f t="shared" si="24"/>
        <v>90+</v>
      </c>
      <c r="G66" s="110" t="str">
        <f t="array" aca="1" ref="G66" ca="1">INDEX(C.rngStates, $D66)</f>
        <v>Unresolved serious GI event</v>
      </c>
      <c r="H66" s="112"/>
      <c r="I66" s="110"/>
      <c r="K66" s="279">
        <v>0</v>
      </c>
      <c r="L66" s="279">
        <v>0</v>
      </c>
      <c r="M66" s="279">
        <v>0</v>
      </c>
      <c r="N66" s="279">
        <v>0</v>
      </c>
      <c r="O66" s="279">
        <v>0</v>
      </c>
      <c r="P66" s="279">
        <v>0</v>
      </c>
      <c r="Q66" s="279">
        <v>0</v>
      </c>
      <c r="R66" s="280">
        <v>0</v>
      </c>
      <c r="S66" s="280">
        <f t="shared" si="27"/>
        <v>0.26995012627478898</v>
      </c>
      <c r="T66" s="279">
        <v>0</v>
      </c>
      <c r="U66" s="279">
        <v>0</v>
      </c>
      <c r="V66" s="279">
        <v>0</v>
      </c>
      <c r="W66" s="279">
        <f>INDEX(C.rngPDeath.SeriousGI, MATCH($E66, Parameters!$D$333:$D$337, 1))</f>
        <v>0.73004987372521102</v>
      </c>
      <c r="X66" s="131"/>
      <c r="Y66" s="132">
        <f t="shared" si="18"/>
        <v>1</v>
      </c>
      <c r="AA66" s="279">
        <v>0</v>
      </c>
      <c r="AB66" s="279">
        <v>0</v>
      </c>
      <c r="AC66" s="279">
        <v>0</v>
      </c>
      <c r="AD66" s="279">
        <v>0</v>
      </c>
      <c r="AE66" s="279">
        <v>0</v>
      </c>
      <c r="AF66" s="279">
        <v>0</v>
      </c>
      <c r="AG66" s="279">
        <v>0</v>
      </c>
      <c r="AH66" s="280">
        <v>0</v>
      </c>
      <c r="AI66" s="280">
        <f t="shared" si="28"/>
        <v>0.26995012627478898</v>
      </c>
      <c r="AJ66" s="279">
        <v>0</v>
      </c>
      <c r="AK66" s="279">
        <v>0</v>
      </c>
      <c r="AL66" s="279">
        <v>0</v>
      </c>
      <c r="AM66" s="279">
        <f>INDEX(C.rngPDeath.SeriousGI, MATCH($E66, Parameters!$D$333:$D$337, 1))</f>
        <v>0.73004987372521102</v>
      </c>
      <c r="AN66" s="131"/>
      <c r="AO66" s="132">
        <f t="shared" si="19"/>
        <v>1</v>
      </c>
    </row>
    <row r="67" spans="1:41" ht="12" customHeight="1" thickBot="1" x14ac:dyDescent="0.3">
      <c r="A67" s="328"/>
      <c r="C67" s="327"/>
      <c r="D67">
        <f t="shared" si="25"/>
        <v>9</v>
      </c>
      <c r="E67">
        <f t="shared" si="26"/>
        <v>90</v>
      </c>
      <c r="F67" s="112" t="str">
        <f t="shared" si="24"/>
        <v>90+</v>
      </c>
      <c r="G67" s="110" t="str">
        <f t="array" aca="1" ref="G67" ca="1">INDEX(C.rngStates, $D67)</f>
        <v>Post-GI event</v>
      </c>
      <c r="H67" s="112"/>
      <c r="I67" s="110"/>
      <c r="K67" s="279">
        <v>0</v>
      </c>
      <c r="L67" s="279">
        <v>0</v>
      </c>
      <c r="M67" s="279">
        <f>INDEX(C.rngTP.GIpain, 1)</f>
        <v>7.197486913300466E-3</v>
      </c>
      <c r="N67" s="279">
        <v>0</v>
      </c>
      <c r="O67" s="279">
        <f>INDEX(C.rngTP.Ulcer, 1)</f>
        <v>3.1627894446695226E-4</v>
      </c>
      <c r="P67" s="279">
        <v>0</v>
      </c>
      <c r="Q67" s="279">
        <f>INDEX(C.rngTP.SeriousGI, 1)</f>
        <v>1.7160259408945944E-3</v>
      </c>
      <c r="R67" s="279">
        <v>0</v>
      </c>
      <c r="S67" s="280">
        <f t="shared" si="27"/>
        <v>0.862023005639456</v>
      </c>
      <c r="T67" s="279">
        <f>INDEX(C.rngTP.Stroke_noHPE, MATCH($E67, Parameters!$D$284:$D$286, 1))</f>
        <v>4.1804686612078035E-3</v>
      </c>
      <c r="U67" s="279">
        <v>0</v>
      </c>
      <c r="V67" s="279">
        <v>0</v>
      </c>
      <c r="W67" s="279">
        <f>INDEX(C.rngPDeath.NoEvent, MATCH($E67, Parameters!$D$325:$D$329, 1))</f>
        <v>0.12456673390067419</v>
      </c>
      <c r="X67" s="131"/>
      <c r="Y67" s="132">
        <f t="shared" si="18"/>
        <v>1</v>
      </c>
      <c r="AA67" s="279">
        <v>0</v>
      </c>
      <c r="AB67" s="279">
        <v>0</v>
      </c>
      <c r="AC67" s="279">
        <f>INDEX(C.rngTP.GIpain, 1)</f>
        <v>7.197486913300466E-3</v>
      </c>
      <c r="AD67" s="279">
        <v>0</v>
      </c>
      <c r="AE67" s="279">
        <f>INDEX(C.rngTP.Ulcer, 1)</f>
        <v>3.1627894446695226E-4</v>
      </c>
      <c r="AF67" s="279">
        <v>0</v>
      </c>
      <c r="AG67" s="279">
        <f>INDEX(C.rngTP.SeriousGI, 1)</f>
        <v>1.7160259408945944E-3</v>
      </c>
      <c r="AH67" s="279">
        <v>0</v>
      </c>
      <c r="AI67" s="280">
        <f t="shared" si="28"/>
        <v>0.862023005639456</v>
      </c>
      <c r="AJ67" s="279">
        <f>INDEX(C.rngTP.Stroke_noHPE, MATCH($E67, Parameters!$D$284:$D$286, 1))</f>
        <v>4.1804686612078035E-3</v>
      </c>
      <c r="AK67" s="279">
        <v>0</v>
      </c>
      <c r="AL67" s="279">
        <v>0</v>
      </c>
      <c r="AM67" s="279">
        <f>INDEX(C.rngPDeath.NoEvent, MATCH($E67, Parameters!$D$325:$D$329, 1))</f>
        <v>0.12456673390067419</v>
      </c>
      <c r="AN67" s="131"/>
      <c r="AO67" s="132">
        <f t="shared" si="19"/>
        <v>1</v>
      </c>
    </row>
    <row r="68" spans="1:41" ht="12" customHeight="1" thickBot="1" x14ac:dyDescent="0.3">
      <c r="A68" s="328"/>
      <c r="C68" s="327"/>
      <c r="D68">
        <f t="shared" si="25"/>
        <v>10</v>
      </c>
      <c r="E68">
        <f t="shared" si="26"/>
        <v>90</v>
      </c>
      <c r="F68" s="112" t="str">
        <f t="shared" si="24"/>
        <v>90+</v>
      </c>
      <c r="G68" s="110" t="str">
        <f t="array" aca="1" ref="G68" ca="1">INDEX(C.rngStates, $D68)</f>
        <v>Stroke</v>
      </c>
      <c r="H68" s="112"/>
      <c r="I68" s="110"/>
      <c r="K68" s="279">
        <v>0</v>
      </c>
      <c r="L68" s="279">
        <v>0</v>
      </c>
      <c r="M68" s="279">
        <v>0</v>
      </c>
      <c r="N68" s="279">
        <v>0</v>
      </c>
      <c r="O68" s="279">
        <v>0</v>
      </c>
      <c r="P68" s="279">
        <v>0</v>
      </c>
      <c r="Q68" s="279">
        <v>0</v>
      </c>
      <c r="R68" s="279">
        <v>0</v>
      </c>
      <c r="S68" s="279">
        <v>0</v>
      </c>
      <c r="T68" s="279">
        <v>0</v>
      </c>
      <c r="U68" s="279">
        <f>INDEX(C.rngTP.Stroke_repeat, MATCH($E68, Parameters!$D$294:$D$296, 1))</f>
        <v>2.8154584974608654E-2</v>
      </c>
      <c r="V68" s="280">
        <f>1-SUM(J68:U68, W68:X68)</f>
        <v>0.3237140878129503</v>
      </c>
      <c r="W68" s="279">
        <f>INDEX(C.rngPDeath.Stroke, MATCH($E68, Parameters!$D$325:$D$329, 1))</f>
        <v>0.64813132721244104</v>
      </c>
      <c r="X68" s="131"/>
      <c r="Y68" s="132">
        <f t="shared" si="18"/>
        <v>1</v>
      </c>
      <c r="AA68" s="279">
        <v>0</v>
      </c>
      <c r="AB68" s="279">
        <v>0</v>
      </c>
      <c r="AC68" s="279">
        <v>0</v>
      </c>
      <c r="AD68" s="279">
        <v>0</v>
      </c>
      <c r="AE68" s="279">
        <v>0</v>
      </c>
      <c r="AF68" s="279">
        <v>0</v>
      </c>
      <c r="AG68" s="279">
        <v>0</v>
      </c>
      <c r="AH68" s="279">
        <v>0</v>
      </c>
      <c r="AI68" s="279">
        <v>0</v>
      </c>
      <c r="AJ68" s="279">
        <v>0</v>
      </c>
      <c r="AK68" s="279">
        <f>INDEX(C.rngTP.Stroke_repeat, MATCH($E68, Parameters!$D$294:$D$296, 1))</f>
        <v>2.8154584974608654E-2</v>
      </c>
      <c r="AL68" s="280">
        <f>1-SUM(Z68:AK68, AM68:AN68)</f>
        <v>0.3237140878129503</v>
      </c>
      <c r="AM68" s="279">
        <f>INDEX(C.rngPDeath.Stroke, MATCH($E68, Parameters!$D$325:$D$329, 1))</f>
        <v>0.64813132721244104</v>
      </c>
      <c r="AN68" s="131"/>
      <c r="AO68" s="132">
        <f t="shared" si="19"/>
        <v>1</v>
      </c>
    </row>
    <row r="69" spans="1:41" ht="12" customHeight="1" thickBot="1" x14ac:dyDescent="0.3">
      <c r="A69" s="328"/>
      <c r="C69" s="327"/>
      <c r="D69">
        <f t="shared" si="25"/>
        <v>11</v>
      </c>
      <c r="E69">
        <f t="shared" si="26"/>
        <v>90</v>
      </c>
      <c r="F69" s="112" t="str">
        <f t="shared" si="24"/>
        <v>90+</v>
      </c>
      <c r="G69" s="110" t="str">
        <f t="array" aca="1" ref="G69" ca="1">INDEX(C.rngStates, $D69)</f>
        <v>Recurrent stroke</v>
      </c>
      <c r="H69" s="112"/>
      <c r="I69" s="110"/>
      <c r="K69" s="279">
        <v>0</v>
      </c>
      <c r="L69" s="279">
        <v>0</v>
      </c>
      <c r="M69" s="279">
        <v>0</v>
      </c>
      <c r="N69" s="279">
        <v>0</v>
      </c>
      <c r="O69" s="279">
        <v>0</v>
      </c>
      <c r="P69" s="279">
        <v>0</v>
      </c>
      <c r="Q69" s="279">
        <v>0</v>
      </c>
      <c r="R69" s="280">
        <v>0</v>
      </c>
      <c r="S69" s="279">
        <v>0</v>
      </c>
      <c r="T69" s="279">
        <v>0</v>
      </c>
      <c r="U69" s="279">
        <v>0</v>
      </c>
      <c r="V69" s="280">
        <f>1-SUM(J69:U69, W69:X69)</f>
        <v>0.35186867278755896</v>
      </c>
      <c r="W69" s="279">
        <f>INDEX(C.rngPDeath.Stroke, MATCH($E69, Parameters!$D$325:$D$329, 1))</f>
        <v>0.64813132721244104</v>
      </c>
      <c r="X69" s="131"/>
      <c r="Y69" s="132">
        <f t="shared" si="18"/>
        <v>1</v>
      </c>
      <c r="AA69" s="279">
        <v>0</v>
      </c>
      <c r="AB69" s="279">
        <v>0</v>
      </c>
      <c r="AC69" s="279">
        <v>0</v>
      </c>
      <c r="AD69" s="279">
        <v>0</v>
      </c>
      <c r="AE69" s="279">
        <v>0</v>
      </c>
      <c r="AF69" s="279">
        <v>0</v>
      </c>
      <c r="AG69" s="279">
        <v>0</v>
      </c>
      <c r="AH69" s="280">
        <v>0</v>
      </c>
      <c r="AI69" s="279">
        <v>0</v>
      </c>
      <c r="AJ69" s="279">
        <v>0</v>
      </c>
      <c r="AK69" s="279">
        <v>0</v>
      </c>
      <c r="AL69" s="280">
        <f>1-SUM(Z69:AK69, AM69:AN69)</f>
        <v>0.35186867278755896</v>
      </c>
      <c r="AM69" s="279">
        <f>INDEX(C.rngPDeath.Stroke, MATCH($E69, Parameters!$D$325:$D$329, 1))</f>
        <v>0.64813132721244104</v>
      </c>
      <c r="AN69" s="131"/>
      <c r="AO69" s="132">
        <f t="shared" si="19"/>
        <v>1</v>
      </c>
    </row>
    <row r="70" spans="1:41" ht="12" customHeight="1" thickBot="1" x14ac:dyDescent="0.3">
      <c r="A70" s="328"/>
      <c r="C70" s="327"/>
      <c r="D70">
        <f t="shared" si="25"/>
        <v>12</v>
      </c>
      <c r="E70">
        <f t="shared" si="26"/>
        <v>90</v>
      </c>
      <c r="F70" s="112" t="str">
        <f t="shared" si="24"/>
        <v>90+</v>
      </c>
      <c r="G70" s="110" t="str">
        <f t="array" aca="1" ref="G70" ca="1">INDEX(C.rngStates, $D70)</f>
        <v>Post-stroke</v>
      </c>
      <c r="H70" s="112"/>
      <c r="I70" s="110"/>
      <c r="K70" s="279">
        <v>0</v>
      </c>
      <c r="L70" s="279">
        <v>0</v>
      </c>
      <c r="M70" s="279">
        <v>0</v>
      </c>
      <c r="N70" s="279">
        <v>0</v>
      </c>
      <c r="O70" s="279">
        <v>0</v>
      </c>
      <c r="P70" s="279">
        <v>0</v>
      </c>
      <c r="Q70" s="279">
        <v>0</v>
      </c>
      <c r="R70" s="279">
        <v>0</v>
      </c>
      <c r="S70" s="279">
        <v>0</v>
      </c>
      <c r="T70" s="279">
        <f>INDEX(C.rngTP.Stroke_recur, MATCH($E70, Parameters!$D$305:$D$307, 1))</f>
        <v>1.4135158641402246E-2</v>
      </c>
      <c r="U70" s="279">
        <v>0</v>
      </c>
      <c r="V70" s="280">
        <f>1-SUM(J70:U70, W70:X70)</f>
        <v>0.83052312360538583</v>
      </c>
      <c r="W70" s="279">
        <f>INDEX(C.rngPDeath.PostStroke, MATCH($E70, Parameters!$D$325:$D$329, 1))</f>
        <v>0.15534171775321193</v>
      </c>
      <c r="X70" s="131"/>
      <c r="Y70" s="132">
        <f t="shared" si="18"/>
        <v>1</v>
      </c>
      <c r="AA70" s="279">
        <v>0</v>
      </c>
      <c r="AB70" s="279">
        <v>0</v>
      </c>
      <c r="AC70" s="279">
        <v>0</v>
      </c>
      <c r="AD70" s="279">
        <v>0</v>
      </c>
      <c r="AE70" s="279">
        <v>0</v>
      </c>
      <c r="AF70" s="279">
        <v>0</v>
      </c>
      <c r="AG70" s="279">
        <v>0</v>
      </c>
      <c r="AH70" s="279">
        <v>0</v>
      </c>
      <c r="AI70" s="279">
        <v>0</v>
      </c>
      <c r="AJ70" s="279">
        <f>INDEX(C.rngTP.Stroke_recur, MATCH($E70, Parameters!$D$305:$D$307, 1))</f>
        <v>1.4135158641402246E-2</v>
      </c>
      <c r="AK70" s="279">
        <v>0</v>
      </c>
      <c r="AL70" s="280">
        <f>1-SUM(Z70:AK70, AM70:AN70)</f>
        <v>0.83052312360538583</v>
      </c>
      <c r="AM70" s="279">
        <f>INDEX(C.rngPDeath.PostStroke, MATCH($E70, Parameters!$D$325:$D$329, 1))</f>
        <v>0.15534171775321193</v>
      </c>
      <c r="AN70" s="131"/>
      <c r="AO70" s="132">
        <f t="shared" si="19"/>
        <v>1</v>
      </c>
    </row>
    <row r="71" spans="1:41" s="188" customFormat="1" ht="12" customHeight="1" thickBot="1" x14ac:dyDescent="0.3">
      <c r="A71" s="328"/>
      <c r="B71" s="326"/>
      <c r="C71" s="327"/>
      <c r="D71" s="188">
        <f t="shared" si="25"/>
        <v>13</v>
      </c>
      <c r="E71" s="188">
        <f t="shared" si="26"/>
        <v>90</v>
      </c>
      <c r="F71" s="112" t="str">
        <f t="shared" si="24"/>
        <v>90+</v>
      </c>
      <c r="G71" s="110" t="str">
        <f t="array" aca="1" ref="G71" ca="1">INDEX(C.rngStates, $D71)</f>
        <v>Dead</v>
      </c>
      <c r="H71" s="112"/>
      <c r="I71" s="110"/>
      <c r="K71" s="278">
        <v>0</v>
      </c>
      <c r="L71" s="278">
        <v>0</v>
      </c>
      <c r="M71" s="278">
        <v>0</v>
      </c>
      <c r="N71" s="278">
        <v>0</v>
      </c>
      <c r="O71" s="278">
        <v>0</v>
      </c>
      <c r="P71" s="278">
        <v>0</v>
      </c>
      <c r="Q71" s="278">
        <v>0</v>
      </c>
      <c r="R71" s="278">
        <v>0</v>
      </c>
      <c r="S71" s="278">
        <v>0</v>
      </c>
      <c r="T71" s="278">
        <v>0</v>
      </c>
      <c r="U71" s="278">
        <v>0</v>
      </c>
      <c r="V71" s="278">
        <v>0</v>
      </c>
      <c r="W71" s="277">
        <v>1</v>
      </c>
      <c r="X71" s="191"/>
      <c r="Y71" s="132">
        <f t="shared" si="18"/>
        <v>1</v>
      </c>
      <c r="AA71" s="278">
        <v>0</v>
      </c>
      <c r="AB71" s="278">
        <v>0</v>
      </c>
      <c r="AC71" s="278">
        <v>0</v>
      </c>
      <c r="AD71" s="278">
        <v>0</v>
      </c>
      <c r="AE71" s="278">
        <v>0</v>
      </c>
      <c r="AF71" s="278">
        <v>0</v>
      </c>
      <c r="AG71" s="278">
        <v>0</v>
      </c>
      <c r="AH71" s="278">
        <v>0</v>
      </c>
      <c r="AI71" s="278">
        <v>0</v>
      </c>
      <c r="AJ71" s="278">
        <v>0</v>
      </c>
      <c r="AK71" s="278">
        <v>0</v>
      </c>
      <c r="AL71" s="278">
        <v>0</v>
      </c>
      <c r="AM71" s="277">
        <v>1</v>
      </c>
      <c r="AN71" s="191"/>
      <c r="AO71" s="132">
        <f t="shared" si="19"/>
        <v>1</v>
      </c>
    </row>
  </sheetData>
  <mergeCells count="31">
    <mergeCell ref="F4:F6"/>
    <mergeCell ref="K4:K6"/>
    <mergeCell ref="L4:L6"/>
    <mergeCell ref="M4:M6"/>
    <mergeCell ref="N4:N6"/>
    <mergeCell ref="AD4:AD6"/>
    <mergeCell ref="AE4:AE6"/>
    <mergeCell ref="AF4:AF6"/>
    <mergeCell ref="AG4:AG6"/>
    <mergeCell ref="O4:O6"/>
    <mergeCell ref="P4:P6"/>
    <mergeCell ref="Q4:Q6"/>
    <mergeCell ref="R4:R6"/>
    <mergeCell ref="S4:S6"/>
    <mergeCell ref="T4:T6"/>
    <mergeCell ref="AO4:AO6"/>
    <mergeCell ref="U4:U6"/>
    <mergeCell ref="V4:V6"/>
    <mergeCell ref="W4:W6"/>
    <mergeCell ref="AM4:AM6"/>
    <mergeCell ref="AN4:AN6"/>
    <mergeCell ref="AL4:AL6"/>
    <mergeCell ref="X4:X6"/>
    <mergeCell ref="Y4:Y6"/>
    <mergeCell ref="AA4:AA6"/>
    <mergeCell ref="AH4:AH6"/>
    <mergeCell ref="AI4:AI6"/>
    <mergeCell ref="AJ4:AJ6"/>
    <mergeCell ref="AK4:AK6"/>
    <mergeCell ref="AB4:AB6"/>
    <mergeCell ref="AC4:AC6"/>
  </mergeCells>
  <conditionalFormatting sqref="K7:W19">
    <cfRule type="top10" dxfId="22" priority="6" percent="1" bottom="1" rank="10"/>
  </conditionalFormatting>
  <conditionalFormatting sqref="AA7:AM14 AA16:AM19">
    <cfRule type="top10" dxfId="21" priority="5" percent="1" bottom="1" rank="10"/>
  </conditionalFormatting>
  <conditionalFormatting sqref="K20:W71">
    <cfRule type="top10" dxfId="20" priority="4" percent="1" bottom="1" rank="10"/>
  </conditionalFormatting>
  <conditionalFormatting sqref="AA15:AM15">
    <cfRule type="top10" dxfId="19" priority="3" percent="1" bottom="1" rank="10"/>
  </conditionalFormatting>
  <conditionalFormatting sqref="AA68:AM71 AA55:AM66 AA42:AM53 AA20:AM27 AA29:AM40">
    <cfRule type="top10" dxfId="18" priority="2" percent="1" bottom="1" rank="10"/>
  </conditionalFormatting>
  <conditionalFormatting sqref="AA67:AM67 AA54:AM54 AA41:AM41 AA28:AM28">
    <cfRule type="top10" dxfId="17" priority="1" percent="1" bottom="1" rank="10"/>
  </conditionalFormatting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3AC9C-4E58-4FD1-AF1F-5D92FAC72326}">
  <sheetPr codeName="shtTraceMarkov9">
    <tabColor theme="9" tint="-0.249977111117893"/>
  </sheetPr>
  <dimension ref="A1:AN130"/>
  <sheetViews>
    <sheetView workbookViewId="0">
      <pane xSplit="7" ySplit="9" topLeftCell="H10" activePane="bottomRight" state="frozen"/>
      <selection activeCell="K40" sqref="K40"/>
      <selection pane="topRight" activeCell="K40" sqref="K40"/>
      <selection pane="bottomLeft" activeCell="K40" sqref="K40"/>
      <selection pane="bottomRight" activeCell="H10" sqref="H10"/>
    </sheetView>
  </sheetViews>
  <sheetFormatPr defaultColWidth="9.28515625" defaultRowHeight="12" customHeight="1" x14ac:dyDescent="0.25"/>
  <cols>
    <col min="1" max="1" width="1.7109375" style="326" customWidth="1"/>
    <col min="2" max="2" width="19.7109375" style="326" customWidth="1"/>
    <col min="3" max="3" width="1.7109375" style="340" customWidth="1"/>
    <col min="4" max="4" width="6.85546875" style="10" customWidth="1"/>
    <col min="5" max="7" width="6.85546875" customWidth="1"/>
    <col min="8" max="20" width="11.7109375" customWidth="1"/>
    <col min="24" max="24" width="1.7109375" customWidth="1"/>
    <col min="25" max="37" width="11.7109375" customWidth="1"/>
    <col min="41" max="41" width="1.7109375" customWidth="1"/>
  </cols>
  <sheetData>
    <row r="1" spans="1:40" s="342" customFormat="1" ht="24.95" customHeight="1" thickBot="1" x14ac:dyDescent="0.3">
      <c r="A1" s="326"/>
      <c r="B1" s="326"/>
      <c r="C1" s="326"/>
      <c r="D1" s="343" t="str">
        <f>C.zWorkbookTitle</f>
        <v>Camacho et al. (2024) Harms of hazardous prescribing of NSAIDs -- C: NSAIDs - DOAC/warfarin</v>
      </c>
    </row>
    <row r="2" spans="1:40" s="8" customFormat="1" ht="12" hidden="1" customHeight="1" thickTop="1" x14ac:dyDescent="0.25">
      <c r="A2" s="326"/>
      <c r="B2" s="326"/>
      <c r="C2" s="340"/>
      <c r="D2" s="324">
        <f>COLUMNS(H2:X2)</f>
        <v>17</v>
      </c>
      <c r="H2" s="8">
        <f>MAX(F$2:$G2)+1</f>
        <v>1</v>
      </c>
      <c r="I2" s="8">
        <f t="shared" ref="I2:N2" si="0">H2</f>
        <v>1</v>
      </c>
      <c r="J2" s="8">
        <f t="shared" si="0"/>
        <v>1</v>
      </c>
      <c r="K2" s="8">
        <f t="shared" si="0"/>
        <v>1</v>
      </c>
      <c r="L2" s="8">
        <f t="shared" si="0"/>
        <v>1</v>
      </c>
      <c r="M2" s="8">
        <f t="shared" si="0"/>
        <v>1</v>
      </c>
      <c r="N2" s="8">
        <f t="shared" si="0"/>
        <v>1</v>
      </c>
      <c r="O2" s="8">
        <f>K2</f>
        <v>1</v>
      </c>
      <c r="P2" s="8">
        <f>O2</f>
        <v>1</v>
      </c>
      <c r="Q2" s="8">
        <f>P2</f>
        <v>1</v>
      </c>
      <c r="R2" s="8">
        <f>N2</f>
        <v>1</v>
      </c>
      <c r="S2" s="8">
        <f>R2</f>
        <v>1</v>
      </c>
      <c r="T2" s="8">
        <f>S2</f>
        <v>1</v>
      </c>
      <c r="Y2" s="8">
        <f>MAX($G$2:U2)+1</f>
        <v>2</v>
      </c>
      <c r="Z2" s="8">
        <f t="shared" ref="Z2:AE2" si="1">Y2</f>
        <v>2</v>
      </c>
      <c r="AA2" s="8">
        <f t="shared" si="1"/>
        <v>2</v>
      </c>
      <c r="AB2" s="8">
        <f t="shared" si="1"/>
        <v>2</v>
      </c>
      <c r="AC2" s="8">
        <f t="shared" si="1"/>
        <v>2</v>
      </c>
      <c r="AD2" s="8">
        <f t="shared" si="1"/>
        <v>2</v>
      </c>
      <c r="AE2" s="8">
        <f t="shared" si="1"/>
        <v>2</v>
      </c>
      <c r="AF2" s="8">
        <f>AB2</f>
        <v>2</v>
      </c>
      <c r="AG2" s="8">
        <f>AF2</f>
        <v>2</v>
      </c>
      <c r="AH2" s="8">
        <f>AG2</f>
        <v>2</v>
      </c>
      <c r="AI2" s="8">
        <f>AE2</f>
        <v>2</v>
      </c>
      <c r="AJ2" s="8">
        <f>AI2</f>
        <v>2</v>
      </c>
      <c r="AK2" s="8">
        <f>AJ2</f>
        <v>2</v>
      </c>
    </row>
    <row r="3" spans="1:40" ht="12" hidden="1" customHeight="1" x14ac:dyDescent="0.25">
      <c r="H3">
        <v>1</v>
      </c>
      <c r="I3">
        <f t="shared" ref="I3:T3" si="2">H3+1</f>
        <v>2</v>
      </c>
      <c r="J3">
        <f t="shared" si="2"/>
        <v>3</v>
      </c>
      <c r="K3">
        <f t="shared" si="2"/>
        <v>4</v>
      </c>
      <c r="L3">
        <f t="shared" si="2"/>
        <v>5</v>
      </c>
      <c r="M3">
        <f t="shared" si="2"/>
        <v>6</v>
      </c>
      <c r="N3">
        <f t="shared" si="2"/>
        <v>7</v>
      </c>
      <c r="O3">
        <f t="shared" si="2"/>
        <v>8</v>
      </c>
      <c r="P3">
        <f t="shared" si="2"/>
        <v>9</v>
      </c>
      <c r="Q3">
        <f t="shared" si="2"/>
        <v>10</v>
      </c>
      <c r="R3">
        <f t="shared" si="2"/>
        <v>11</v>
      </c>
      <c r="S3">
        <f t="shared" si="2"/>
        <v>12</v>
      </c>
      <c r="T3">
        <f t="shared" si="2"/>
        <v>13</v>
      </c>
      <c r="Y3">
        <v>1</v>
      </c>
      <c r="Z3">
        <f t="shared" ref="Z3:AK3" si="3">Y3+1</f>
        <v>2</v>
      </c>
      <c r="AA3">
        <f t="shared" si="3"/>
        <v>3</v>
      </c>
      <c r="AB3">
        <f t="shared" si="3"/>
        <v>4</v>
      </c>
      <c r="AC3">
        <f t="shared" si="3"/>
        <v>5</v>
      </c>
      <c r="AD3">
        <f t="shared" si="3"/>
        <v>6</v>
      </c>
      <c r="AE3">
        <f t="shared" si="3"/>
        <v>7</v>
      </c>
      <c r="AF3">
        <f t="shared" si="3"/>
        <v>8</v>
      </c>
      <c r="AG3">
        <f t="shared" si="3"/>
        <v>9</v>
      </c>
      <c r="AH3">
        <f t="shared" si="3"/>
        <v>10</v>
      </c>
      <c r="AI3">
        <f t="shared" si="3"/>
        <v>11</v>
      </c>
      <c r="AJ3">
        <f t="shared" si="3"/>
        <v>12</v>
      </c>
      <c r="AK3">
        <f t="shared" si="3"/>
        <v>13</v>
      </c>
    </row>
    <row r="4" spans="1:40" ht="12" customHeight="1" thickTop="1" x14ac:dyDescent="0.25">
      <c r="G4" s="57" t="s">
        <v>406</v>
      </c>
      <c r="H4" s="46">
        <f t="shared" ref="H4:S4" ca="1" si="4">SUM(OFFSET(H10, 0, 0, timeHorizon*C.cyclesPerYear))</f>
        <v>0</v>
      </c>
      <c r="I4" s="46">
        <f t="shared" ca="1" si="4"/>
        <v>20.347674177402379</v>
      </c>
      <c r="J4" s="46">
        <f t="shared" ca="1" si="4"/>
        <v>0.35852602189752703</v>
      </c>
      <c r="K4" s="46">
        <f t="shared" ca="1" si="4"/>
        <v>3.5705694710915045E-2</v>
      </c>
      <c r="L4" s="46">
        <f t="shared" ca="1" si="4"/>
        <v>1.3182411666714116E-2</v>
      </c>
      <c r="M4" s="46">
        <f t="shared" ca="1" si="4"/>
        <v>1.3118877834276759E-3</v>
      </c>
      <c r="N4" s="46">
        <f t="shared" ca="1" si="4"/>
        <v>0.1166762894595664</v>
      </c>
      <c r="O4" s="46">
        <f t="shared" ca="1" si="4"/>
        <v>1.1631364163175784E-2</v>
      </c>
      <c r="P4" s="46">
        <f t="shared" ca="1" si="4"/>
        <v>7.6688676314517021</v>
      </c>
      <c r="Q4" s="46">
        <f t="shared" ca="1" si="4"/>
        <v>0.1365675215768806</v>
      </c>
      <c r="R4" s="46">
        <f t="shared" ca="1" si="4"/>
        <v>2.8252535230855339E-3</v>
      </c>
      <c r="S4" s="46">
        <f t="shared" ca="1" si="4"/>
        <v>2.0308753863593059</v>
      </c>
      <c r="T4" s="46">
        <f ca="1">OFFSET(T10, timeHorizon*AB.cyclesPerYear, 0)</f>
        <v>0.49246077079843226</v>
      </c>
      <c r="U4" s="46">
        <f t="array" aca="1" ref="U4" ca="1">SUM(1-OFFSET(T10, 0, 0, timeHorizon*C.cyclesPerYear)) / C.cyclesPerYear</f>
        <v>7.6809609099986798</v>
      </c>
      <c r="V4" s="46">
        <f ca="1">SUM(OFFSET(V10, 0, 0, timeHorizon*C.cyclesPerYear))</f>
        <v>0.48838472302380759</v>
      </c>
      <c r="W4" s="46">
        <f ca="1">SUM(OFFSET(W10, 0, 0, timeHorizon*C.cyclesPerYear))</f>
        <v>0.13939277509996614</v>
      </c>
      <c r="Y4" s="46">
        <f t="shared" ref="Y4:AJ4" ca="1" si="5">SUM(OFFSET(Y10, 0, 0, timeHorizon*C.cyclesPerYear))</f>
        <v>25.699232995488806</v>
      </c>
      <c r="Z4" s="46">
        <f t="shared" ca="1" si="5"/>
        <v>0</v>
      </c>
      <c r="AA4" s="46">
        <f t="shared" ca="1" si="5"/>
        <v>0.21019833241658026</v>
      </c>
      <c r="AB4" s="46">
        <f t="shared" ca="1" si="5"/>
        <v>2.0854931786711415E-2</v>
      </c>
      <c r="AC4" s="46">
        <f t="shared" ca="1" si="5"/>
        <v>9.2367388098443977E-3</v>
      </c>
      <c r="AD4" s="46">
        <f t="shared" ca="1" si="5"/>
        <v>9.1642762145804847E-4</v>
      </c>
      <c r="AE4" s="46">
        <f t="shared" ca="1" si="5"/>
        <v>5.0115518861601149E-2</v>
      </c>
      <c r="AF4" s="46">
        <f t="shared" ca="1" si="5"/>
        <v>4.9722360558170642E-3</v>
      </c>
      <c r="AG4" s="46">
        <f t="shared" ca="1" si="5"/>
        <v>3.9947134473355628</v>
      </c>
      <c r="AH4" s="46">
        <f t="shared" ca="1" si="5"/>
        <v>6.3911434432607009E-2</v>
      </c>
      <c r="AI4" s="46">
        <f t="shared" ca="1" si="5"/>
        <v>1.3165251502438029E-3</v>
      </c>
      <c r="AJ4" s="46">
        <f t="shared" ca="1" si="5"/>
        <v>0.88956821665883556</v>
      </c>
      <c r="AK4" s="46">
        <f ca="1">OFFSET(AK10, timeHorizon*AB.cyclesPerYear, 0)</f>
        <v>0.48209285805324259</v>
      </c>
      <c r="AL4" s="46">
        <f t="array" aca="1" ref="AL4" ca="1">SUM(1-OFFSET(AK10, 0, 0, timeHorizon*C.cyclesPerYear)) / C.cyclesPerYear</f>
        <v>7.736259201154513</v>
      </c>
      <c r="AM4" s="46">
        <f ca="1">SUM(OFFSET(AM10, 0, 0, timeHorizon*C.cyclesPerYear))</f>
        <v>0.2695505900880259</v>
      </c>
      <c r="AN4" s="46">
        <f ca="1">SUM(OFFSET(AN10, 0, 0, timeHorizon*C.cyclesPerYear))</f>
        <v>6.5227959582850811E-2</v>
      </c>
    </row>
    <row r="5" spans="1:40" ht="12" customHeight="1" thickBot="1" x14ac:dyDescent="0.3">
      <c r="G5" s="57" t="s">
        <v>64</v>
      </c>
      <c r="U5" s="46" cm="1">
        <f t="array" aca="1" ref="U5" ca="1">SUM((1-OFFSET(T10, 0, 0, timeHorizon*C.cyclesPerYear)) / C.cyclesPerYear / (1+DQALYs)^(OFFSET($E$10, 0, 0, timeHorizon*C.cyclesPerYear)))</f>
        <v>6.6482730863874879</v>
      </c>
      <c r="AL5" s="46" cm="1">
        <f t="array" aca="1" ref="AL5" ca="1">SUM((1-OFFSET(AK10, 0, 0, timeHorizon*C.cyclesPerYear)) / C.cyclesPerYear / (1+DQALYs)^(OFFSET($E$10, 0, 0, timeHorizon*C.cyclesPerYear)))</f>
        <v>6.6925442823311956</v>
      </c>
    </row>
    <row r="6" spans="1:40" ht="12" customHeight="1" thickBot="1" x14ac:dyDescent="0.3">
      <c r="D6" s="452" t="s">
        <v>31</v>
      </c>
      <c r="E6" s="452" t="s">
        <v>92</v>
      </c>
      <c r="F6" s="452" t="s">
        <v>30</v>
      </c>
      <c r="G6" s="501" t="s">
        <v>139</v>
      </c>
      <c r="H6" s="438" t="str">
        <f>INDEX(rngStrats, H2)</f>
        <v>HPE</v>
      </c>
      <c r="I6" s="438"/>
      <c r="J6" s="438"/>
      <c r="K6" s="438"/>
      <c r="L6" s="438"/>
      <c r="M6" s="438"/>
      <c r="N6" s="438"/>
      <c r="O6" s="438"/>
      <c r="P6" s="438"/>
      <c r="Q6" s="438"/>
      <c r="R6" s="438"/>
      <c r="S6" s="438"/>
      <c r="T6" s="438"/>
      <c r="U6" s="438"/>
      <c r="V6" s="303"/>
      <c r="W6" s="303"/>
      <c r="Y6" s="438" t="str">
        <f>INDEX(rngStrats, Y2)</f>
        <v>No HPE</v>
      </c>
      <c r="Z6" s="438"/>
      <c r="AA6" s="438"/>
      <c r="AB6" s="438"/>
      <c r="AC6" s="438"/>
      <c r="AD6" s="438"/>
      <c r="AE6" s="438"/>
      <c r="AF6" s="438"/>
      <c r="AG6" s="438"/>
      <c r="AH6" s="438"/>
      <c r="AI6" s="438"/>
      <c r="AJ6" s="438"/>
      <c r="AK6" s="438"/>
      <c r="AL6" s="438"/>
      <c r="AM6" s="303"/>
      <c r="AN6" s="303"/>
    </row>
    <row r="7" spans="1:40" ht="12" customHeight="1" thickBot="1" x14ac:dyDescent="0.3">
      <c r="D7" s="452"/>
      <c r="E7" s="452"/>
      <c r="F7" s="452"/>
      <c r="G7" s="466"/>
      <c r="H7" s="501" t="str">
        <f t="shared" ref="H7:T7" ca="1" si="6">INDEX(C.rngStates, H$3)</f>
        <v>Well no HPE</v>
      </c>
      <c r="I7" s="501" t="str">
        <f t="shared" ca="1" si="6"/>
        <v>Well with HPE</v>
      </c>
      <c r="J7" s="501" t="str">
        <f t="shared" ca="1" si="6"/>
        <v>GI discomfort</v>
      </c>
      <c r="K7" s="501" t="str">
        <f t="shared" ca="1" si="6"/>
        <v>Unresolved GI discomfort</v>
      </c>
      <c r="L7" s="501" t="str">
        <f t="shared" ca="1" si="6"/>
        <v>Symptomatic ulcer</v>
      </c>
      <c r="M7" s="501" t="str">
        <f t="shared" ca="1" si="6"/>
        <v>Unresolved ulcer</v>
      </c>
      <c r="N7" s="501" t="str">
        <f t="shared" ca="1" si="6"/>
        <v>Serious GI event</v>
      </c>
      <c r="O7" s="501" t="str">
        <f t="shared" ca="1" si="6"/>
        <v>Unresolved serious GI event</v>
      </c>
      <c r="P7" s="501" t="str">
        <f t="shared" ca="1" si="6"/>
        <v>Post-GI event</v>
      </c>
      <c r="Q7" s="501" t="str">
        <f t="shared" ca="1" si="6"/>
        <v>Stroke</v>
      </c>
      <c r="R7" s="501" t="str">
        <f t="shared" ca="1" si="6"/>
        <v>Recurrent stroke</v>
      </c>
      <c r="S7" s="501" t="str">
        <f t="shared" ca="1" si="6"/>
        <v>Post-stroke</v>
      </c>
      <c r="T7" s="501" t="str">
        <f t="shared" ca="1" si="6"/>
        <v>Dead</v>
      </c>
      <c r="U7" s="518" t="s">
        <v>35</v>
      </c>
      <c r="V7" s="456" t="s">
        <v>763</v>
      </c>
      <c r="W7" s="456" t="s">
        <v>764</v>
      </c>
      <c r="Y7" s="501" t="str">
        <f t="shared" ref="Y7:AK7" ca="1" si="7">INDEX(C.rngStates, Y$3)</f>
        <v>Well no HPE</v>
      </c>
      <c r="Z7" s="501" t="str">
        <f t="shared" ca="1" si="7"/>
        <v>Well with HPE</v>
      </c>
      <c r="AA7" s="501" t="str">
        <f t="shared" ca="1" si="7"/>
        <v>GI discomfort</v>
      </c>
      <c r="AB7" s="501" t="str">
        <f t="shared" ca="1" si="7"/>
        <v>Unresolved GI discomfort</v>
      </c>
      <c r="AC7" s="501" t="str">
        <f t="shared" ca="1" si="7"/>
        <v>Symptomatic ulcer</v>
      </c>
      <c r="AD7" s="501" t="str">
        <f t="shared" ca="1" si="7"/>
        <v>Unresolved ulcer</v>
      </c>
      <c r="AE7" s="501" t="str">
        <f t="shared" ca="1" si="7"/>
        <v>Serious GI event</v>
      </c>
      <c r="AF7" s="501" t="str">
        <f t="shared" ca="1" si="7"/>
        <v>Unresolved serious GI event</v>
      </c>
      <c r="AG7" s="501" t="str">
        <f t="shared" ca="1" si="7"/>
        <v>Post-GI event</v>
      </c>
      <c r="AH7" s="501" t="str">
        <f t="shared" ca="1" si="7"/>
        <v>Stroke</v>
      </c>
      <c r="AI7" s="501" t="str">
        <f t="shared" ca="1" si="7"/>
        <v>Recurrent stroke</v>
      </c>
      <c r="AJ7" s="501" t="str">
        <f t="shared" ca="1" si="7"/>
        <v>Post-stroke</v>
      </c>
      <c r="AK7" s="501" t="str">
        <f t="shared" ca="1" si="7"/>
        <v>Dead</v>
      </c>
      <c r="AL7" s="518" t="s">
        <v>35</v>
      </c>
      <c r="AM7" s="456" t="s">
        <v>763</v>
      </c>
      <c r="AN7" s="456" t="s">
        <v>764</v>
      </c>
    </row>
    <row r="8" spans="1:40" ht="12" customHeight="1" thickBot="1" x14ac:dyDescent="0.3">
      <c r="D8" s="452"/>
      <c r="E8" s="452"/>
      <c r="F8" s="452"/>
      <c r="G8" s="466"/>
      <c r="H8" s="502"/>
      <c r="I8" s="502"/>
      <c r="J8" s="502"/>
      <c r="K8" s="502"/>
      <c r="L8" s="502"/>
      <c r="M8" s="502"/>
      <c r="N8" s="502"/>
      <c r="O8" s="502"/>
      <c r="P8" s="502"/>
      <c r="Q8" s="502"/>
      <c r="R8" s="502"/>
      <c r="S8" s="502"/>
      <c r="T8" s="502"/>
      <c r="U8" s="519"/>
      <c r="V8" s="456"/>
      <c r="W8" s="456"/>
      <c r="Y8" s="502"/>
      <c r="Z8" s="502"/>
      <c r="AA8" s="502"/>
      <c r="AB8" s="502"/>
      <c r="AC8" s="502"/>
      <c r="AD8" s="502"/>
      <c r="AE8" s="502"/>
      <c r="AF8" s="502"/>
      <c r="AG8" s="502"/>
      <c r="AH8" s="502"/>
      <c r="AI8" s="502"/>
      <c r="AJ8" s="502"/>
      <c r="AK8" s="502"/>
      <c r="AL8" s="519"/>
      <c r="AM8" s="456"/>
      <c r="AN8" s="456"/>
    </row>
    <row r="9" spans="1:40" ht="12" customHeight="1" thickBot="1" x14ac:dyDescent="0.3">
      <c r="D9" s="452"/>
      <c r="E9" s="452"/>
      <c r="F9" s="452"/>
      <c r="G9" s="447"/>
      <c r="H9" s="527"/>
      <c r="I9" s="527"/>
      <c r="J9" s="527"/>
      <c r="K9" s="527"/>
      <c r="L9" s="527"/>
      <c r="M9" s="527"/>
      <c r="N9" s="527"/>
      <c r="O9" s="527"/>
      <c r="P9" s="527"/>
      <c r="Q9" s="527"/>
      <c r="R9" s="527"/>
      <c r="S9" s="527"/>
      <c r="T9" s="527"/>
      <c r="U9" s="520"/>
      <c r="V9" s="456"/>
      <c r="W9" s="456"/>
      <c r="Y9" s="527"/>
      <c r="Z9" s="527"/>
      <c r="AA9" s="527"/>
      <c r="AB9" s="527"/>
      <c r="AC9" s="527"/>
      <c r="AD9" s="527"/>
      <c r="AE9" s="527"/>
      <c r="AF9" s="527"/>
      <c r="AG9" s="527"/>
      <c r="AH9" s="527"/>
      <c r="AI9" s="527"/>
      <c r="AJ9" s="527"/>
      <c r="AK9" s="527"/>
      <c r="AL9" s="520"/>
      <c r="AM9" s="456"/>
      <c r="AN9" s="456"/>
    </row>
    <row r="10" spans="1:40" ht="12" customHeight="1" x14ac:dyDescent="0.25">
      <c r="D10" s="341">
        <v>0</v>
      </c>
      <c r="E10" s="63">
        <f t="shared" ref="E10:E41" si="8">D10*C.cycleLength</f>
        <v>0</v>
      </c>
      <c r="F10" s="63">
        <f>C.cohortAge+E10</f>
        <v>70</v>
      </c>
      <c r="G10" s="62">
        <f t="shared" ref="G10:G41" si="9">IF(AND(E9&lt;C.maxDurHPE, E10&gt;=C.maxDurHPE), 1, 0)</f>
        <v>0</v>
      </c>
      <c r="H10" s="116">
        <f>CHOOSE(H2, 0, 1)</f>
        <v>0</v>
      </c>
      <c r="I10" s="116">
        <f>CHOOSE(I2, 1, 0)</f>
        <v>1</v>
      </c>
      <c r="J10" s="116">
        <v>0</v>
      </c>
      <c r="K10" s="116">
        <v>0</v>
      </c>
      <c r="L10" s="116">
        <v>0</v>
      </c>
      <c r="M10" s="116">
        <v>0</v>
      </c>
      <c r="N10" s="116">
        <v>0</v>
      </c>
      <c r="O10" s="116">
        <v>0</v>
      </c>
      <c r="P10" s="116">
        <v>0</v>
      </c>
      <c r="Q10" s="116">
        <v>0</v>
      </c>
      <c r="R10" s="116">
        <v>0</v>
      </c>
      <c r="S10" s="116">
        <v>0</v>
      </c>
      <c r="T10" s="116">
        <v>0</v>
      </c>
      <c r="U10" s="283">
        <f t="shared" ref="U10:U41" si="10">SUM(H10:T10)</f>
        <v>1</v>
      </c>
      <c r="V10" s="418">
        <f>SUM(J10,L10,N10)</f>
        <v>0</v>
      </c>
      <c r="W10" s="418">
        <f>Q10+R10</f>
        <v>0</v>
      </c>
      <c r="Y10" s="116">
        <f>CHOOSE(Y2, 0, 1)</f>
        <v>1</v>
      </c>
      <c r="Z10" s="116">
        <f>CHOOSE(Z2, 1, 0)</f>
        <v>0</v>
      </c>
      <c r="AA10" s="116">
        <v>0</v>
      </c>
      <c r="AB10" s="116">
        <v>0</v>
      </c>
      <c r="AC10" s="116">
        <v>0</v>
      </c>
      <c r="AD10" s="116">
        <v>0</v>
      </c>
      <c r="AE10" s="116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28">
        <f t="shared" ref="AL10:AL41" si="11">SUM(Y10:AK10)</f>
        <v>1</v>
      </c>
      <c r="AM10" s="418">
        <f>SUM(AA10,AC10,AE10)</f>
        <v>0</v>
      </c>
      <c r="AN10" s="418">
        <f>AH10+AI10</f>
        <v>0</v>
      </c>
    </row>
    <row r="11" spans="1:40" ht="12" customHeight="1" x14ac:dyDescent="0.25">
      <c r="D11" s="341">
        <f t="shared" ref="D11:D42" si="12">D10+1</f>
        <v>1</v>
      </c>
      <c r="E11" s="63">
        <f t="shared" si="8"/>
        <v>0.25</v>
      </c>
      <c r="F11" s="63">
        <f t="shared" ref="F11:F42" si="13">F10+C.cycleLength</f>
        <v>70.25</v>
      </c>
      <c r="G11" s="62">
        <f t="shared" si="9"/>
        <v>0</v>
      </c>
      <c r="H11" s="116">
        <f t="array" aca="1" ref="H11:T11" ca="1">MMULT(H10:T10, OFFSET(C.rngTPMroot, MIN(4, INT(($F10-70)/5))*13, $G11*16))</f>
        <v>0</v>
      </c>
      <c r="I11" s="116">
        <f ca="1"/>
        <v>0.96227606631622697</v>
      </c>
      <c r="J11" s="116">
        <f ca="1"/>
        <v>1.5136652891765377E-2</v>
      </c>
      <c r="K11" s="116">
        <f ca="1"/>
        <v>0</v>
      </c>
      <c r="L11" s="116">
        <f ca="1"/>
        <v>5.3755519342140107E-4</v>
      </c>
      <c r="M11" s="116">
        <f ca="1"/>
        <v>0</v>
      </c>
      <c r="N11" s="116">
        <f ca="1"/>
        <v>5.156335227526343E-3</v>
      </c>
      <c r="O11" s="116">
        <f ca="1"/>
        <v>0</v>
      </c>
      <c r="P11" s="116">
        <f ca="1"/>
        <v>0</v>
      </c>
      <c r="Q11" s="116">
        <f ca="1"/>
        <v>5.3851229588263161E-3</v>
      </c>
      <c r="R11" s="116">
        <f ca="1"/>
        <v>0</v>
      </c>
      <c r="S11" s="116">
        <f ca="1"/>
        <v>0</v>
      </c>
      <c r="T11" s="116">
        <f ca="1"/>
        <v>1.1508267412233542E-2</v>
      </c>
      <c r="U11" s="283">
        <f t="shared" ca="1" si="10"/>
        <v>0.99999999999999989</v>
      </c>
      <c r="V11" s="418">
        <f t="shared" ref="V11:V74" ca="1" si="14">SUM(J11,L11,N11)</f>
        <v>2.0830543312713123E-2</v>
      </c>
      <c r="W11" s="418">
        <f t="shared" ref="W11:W74" ca="1" si="15">Q11+R11</f>
        <v>5.3851229588263161E-3</v>
      </c>
      <c r="Y11" s="116">
        <f t="array" aca="1" ref="Y11:AK11" ca="1">MMULT(Y10:AK10, OFFSET(C.rngTPMroot, MIN(4, INT(($F10-70)/5))*13, $G11*16))</f>
        <v>0.97727142449949644</v>
      </c>
      <c r="Z11" s="116">
        <f ca="1"/>
        <v>0</v>
      </c>
      <c r="AA11" s="116">
        <f ca="1"/>
        <v>7.197486913300466E-3</v>
      </c>
      <c r="AB11" s="116">
        <f ca="1"/>
        <v>0</v>
      </c>
      <c r="AC11" s="116">
        <f ca="1"/>
        <v>3.1627894446695226E-4</v>
      </c>
      <c r="AD11" s="116">
        <f ca="1"/>
        <v>0</v>
      </c>
      <c r="AE11" s="116">
        <f ca="1"/>
        <v>1.7160259408945944E-3</v>
      </c>
      <c r="AF11" s="116">
        <f ca="1"/>
        <v>0</v>
      </c>
      <c r="AG11" s="116">
        <f ca="1"/>
        <v>0</v>
      </c>
      <c r="AH11" s="116">
        <f ca="1"/>
        <v>1.990516289608002E-3</v>
      </c>
      <c r="AI11" s="116">
        <f ca="1"/>
        <v>0</v>
      </c>
      <c r="AJ11" s="116">
        <f ca="1"/>
        <v>0</v>
      </c>
      <c r="AK11" s="116">
        <f ca="1"/>
        <v>1.1508267412233542E-2</v>
      </c>
      <c r="AL11" s="128">
        <f t="shared" ca="1" si="11"/>
        <v>1</v>
      </c>
      <c r="AM11" s="418">
        <f t="shared" ref="AM11:AM74" ca="1" si="16">SUM(AA11,AC11,AE11)</f>
        <v>9.2297917986620126E-3</v>
      </c>
      <c r="AN11" s="418">
        <f t="shared" ref="AN11:AN74" ca="1" si="17">AH11+AI11</f>
        <v>1.990516289608002E-3</v>
      </c>
    </row>
    <row r="12" spans="1:40" ht="12" customHeight="1" x14ac:dyDescent="0.25">
      <c r="D12" s="341">
        <f t="shared" si="12"/>
        <v>2</v>
      </c>
      <c r="E12" s="63">
        <f t="shared" si="8"/>
        <v>0.5</v>
      </c>
      <c r="F12" s="63">
        <f t="shared" si="13"/>
        <v>70.5</v>
      </c>
      <c r="G12" s="62">
        <f t="shared" si="9"/>
        <v>0</v>
      </c>
      <c r="H12" s="116">
        <f t="array" aca="1" ref="H12:T12" ca="1">MMULT(H11:T11, OFFSET(C.rngTPMroot, MIN(4, INT(($F11-70)/5))*13, $G12*16))</f>
        <v>0</v>
      </c>
      <c r="I12" s="116">
        <f ca="1"/>
        <v>0.92597522780503161</v>
      </c>
      <c r="J12" s="116">
        <f ca="1"/>
        <v>1.4565638801882129E-2</v>
      </c>
      <c r="K12" s="116">
        <f ca="1"/>
        <v>1.5279901972760008E-3</v>
      </c>
      <c r="L12" s="116">
        <f ca="1"/>
        <v>5.1727649695340432E-4</v>
      </c>
      <c r="M12" s="116">
        <f ca="1"/>
        <v>5.4264246654526313E-5</v>
      </c>
      <c r="N12" s="116">
        <f ca="1"/>
        <v>4.9618179793518369E-3</v>
      </c>
      <c r="O12" s="116">
        <f ca="1"/>
        <v>5.2051333527079822E-4</v>
      </c>
      <c r="P12" s="116">
        <f ca="1"/>
        <v>1.8194292700685268E-2</v>
      </c>
      <c r="Q12" s="116">
        <f ca="1"/>
        <v>5.1819749374485882E-3</v>
      </c>
      <c r="R12" s="116">
        <f ca="1"/>
        <v>1.1308758213535274E-4</v>
      </c>
      <c r="S12" s="116">
        <f ca="1"/>
        <v>4.9683601926740085E-3</v>
      </c>
      <c r="T12" s="116">
        <f ca="1"/>
        <v>2.3419555724636339E-2</v>
      </c>
      <c r="U12" s="283">
        <f t="shared" ca="1" si="10"/>
        <v>0.99999999999999989</v>
      </c>
      <c r="V12" s="418">
        <f t="shared" ca="1" si="14"/>
        <v>2.0044733278187371E-2</v>
      </c>
      <c r="W12" s="418">
        <f t="shared" ca="1" si="15"/>
        <v>5.2950625195839407E-3</v>
      </c>
      <c r="Y12" s="116">
        <f t="array" aca="1" ref="Y12:AK12" ca="1">MMULT(Y11:AK11, OFFSET(C.rngTPMroot, MIN(4, INT(($F11-70)/5))*13, $G12*16))</f>
        <v>0.95505943714327501</v>
      </c>
      <c r="Z12" s="116">
        <f ca="1"/>
        <v>0</v>
      </c>
      <c r="AA12" s="116">
        <f ca="1"/>
        <v>7.0338982885776299E-3</v>
      </c>
      <c r="AB12" s="116">
        <f ca="1"/>
        <v>7.2656019314074137E-4</v>
      </c>
      <c r="AC12" s="116">
        <f ca="1"/>
        <v>3.0909037459841558E-4</v>
      </c>
      <c r="AD12" s="116">
        <f ca="1"/>
        <v>3.1927212059755445E-5</v>
      </c>
      <c r="AE12" s="116">
        <f ca="1"/>
        <v>1.6770231157361489E-3</v>
      </c>
      <c r="AF12" s="116">
        <f ca="1"/>
        <v>1.7322659340260896E-4</v>
      </c>
      <c r="AG12" s="116">
        <f ca="1"/>
        <v>8.0875598221701282E-3</v>
      </c>
      <c r="AH12" s="116">
        <f ca="1"/>
        <v>1.9452746898346643E-3</v>
      </c>
      <c r="AI12" s="116">
        <f ca="1"/>
        <v>4.1800842081768078E-5</v>
      </c>
      <c r="AJ12" s="116">
        <f ca="1"/>
        <v>1.8364672397959503E-3</v>
      </c>
      <c r="AK12" s="116">
        <f ca="1"/>
        <v>2.3077734485327211E-2</v>
      </c>
      <c r="AL12" s="128">
        <f t="shared" ca="1" si="11"/>
        <v>0.99999999999999989</v>
      </c>
      <c r="AM12" s="418">
        <f t="shared" ca="1" si="16"/>
        <v>9.0200117789121948E-3</v>
      </c>
      <c r="AN12" s="418">
        <f t="shared" ca="1" si="17"/>
        <v>1.9870755319164324E-3</v>
      </c>
    </row>
    <row r="13" spans="1:40" ht="12" customHeight="1" x14ac:dyDescent="0.25">
      <c r="D13" s="341">
        <f t="shared" si="12"/>
        <v>3</v>
      </c>
      <c r="E13" s="63">
        <f t="shared" si="8"/>
        <v>0.75</v>
      </c>
      <c r="F13" s="63">
        <f t="shared" si="13"/>
        <v>70.75</v>
      </c>
      <c r="G13" s="62">
        <f t="shared" si="9"/>
        <v>0</v>
      </c>
      <c r="H13" s="116">
        <f t="array" aca="1" ref="H13:T13" ca="1">MMULT(H12:T12, OFFSET(C.rngTPMroot, MIN(4, INT(($F12-70)/5))*13, $G13*16))</f>
        <v>0</v>
      </c>
      <c r="I13" s="116">
        <f ca="1"/>
        <v>0.89104379971849801</v>
      </c>
      <c r="J13" s="116">
        <f ca="1"/>
        <v>1.4147118793268076E-2</v>
      </c>
      <c r="K13" s="116">
        <f ca="1"/>
        <v>1.4703483964045056E-3</v>
      </c>
      <c r="L13" s="116">
        <f ca="1"/>
        <v>5.0351726437685514E-4</v>
      </c>
      <c r="M13" s="116">
        <f ca="1"/>
        <v>5.2217185812331055E-5</v>
      </c>
      <c r="N13" s="116">
        <f ca="1"/>
        <v>4.8058605651984197E-3</v>
      </c>
      <c r="O13" s="116">
        <f ca="1"/>
        <v>5.0087752472952312E-4</v>
      </c>
      <c r="P13" s="116">
        <f ca="1"/>
        <v>3.7337609377356251E-2</v>
      </c>
      <c r="Q13" s="116">
        <f ca="1"/>
        <v>5.0562335896793438E-3</v>
      </c>
      <c r="R13" s="116">
        <f ca="1"/>
        <v>1.0882147368642044E-4</v>
      </c>
      <c r="S13" s="116">
        <f ca="1"/>
        <v>9.7500323399238309E-3</v>
      </c>
      <c r="T13" s="116">
        <f ca="1"/>
        <v>3.5223563771066287E-2</v>
      </c>
      <c r="U13" s="283">
        <f t="shared" ca="1" si="10"/>
        <v>0.99999999999999978</v>
      </c>
      <c r="V13" s="418">
        <f t="shared" ca="1" si="14"/>
        <v>1.945649662284335E-2</v>
      </c>
      <c r="W13" s="418">
        <f t="shared" ca="1" si="15"/>
        <v>5.165055063365764E-3</v>
      </c>
      <c r="Y13" s="116">
        <f t="array" aca="1" ref="Y13:AK13" ca="1">MMULT(Y12:AK12, OFFSET(C.rngTPMroot, MIN(4, INT(($F12-70)/5))*13, $G13*16))</f>
        <v>0.93335229661869568</v>
      </c>
      <c r="Z13" s="116">
        <f ca="1"/>
        <v>0</v>
      </c>
      <c r="AA13" s="116">
        <f ca="1"/>
        <v>6.9322379062434353E-3</v>
      </c>
      <c r="AB13" s="116">
        <f ca="1"/>
        <v>7.1004651493528157E-4</v>
      </c>
      <c r="AC13" s="116">
        <f ca="1"/>
        <v>3.0462311556674586E-4</v>
      </c>
      <c r="AD13" s="116">
        <f ca="1"/>
        <v>3.1201552009934705E-5</v>
      </c>
      <c r="AE13" s="116">
        <f ca="1"/>
        <v>1.6527852316874311E-3</v>
      </c>
      <c r="AF13" s="116">
        <f ca="1"/>
        <v>1.6928939969576272E-4</v>
      </c>
      <c r="AG13" s="116">
        <f ca="1"/>
        <v>1.6717945188718178E-2</v>
      </c>
      <c r="AH13" s="116">
        <f ca="1"/>
        <v>1.9295524896611798E-3</v>
      </c>
      <c r="AI13" s="116">
        <f ca="1"/>
        <v>4.0850768486527984E-5</v>
      </c>
      <c r="AJ13" s="116">
        <f ca="1"/>
        <v>3.6314670006733192E-3</v>
      </c>
      <c r="AK13" s="116">
        <f ca="1"/>
        <v>3.4527704213626581E-2</v>
      </c>
      <c r="AL13" s="128">
        <f t="shared" ca="1" si="11"/>
        <v>1</v>
      </c>
      <c r="AM13" s="418">
        <f t="shared" ca="1" si="16"/>
        <v>8.8896462534976128E-3</v>
      </c>
      <c r="AN13" s="418">
        <f t="shared" ca="1" si="17"/>
        <v>1.970403258147708E-3</v>
      </c>
    </row>
    <row r="14" spans="1:40" ht="12" customHeight="1" x14ac:dyDescent="0.25">
      <c r="D14" s="341">
        <f t="shared" si="12"/>
        <v>4</v>
      </c>
      <c r="E14" s="63">
        <f t="shared" si="8"/>
        <v>1</v>
      </c>
      <c r="F14" s="63">
        <f t="shared" si="13"/>
        <v>71</v>
      </c>
      <c r="G14" s="62">
        <f t="shared" si="9"/>
        <v>0</v>
      </c>
      <c r="H14" s="116">
        <f t="array" aca="1" ref="H14:T14" ca="1">MMULT(H13:T13, OFFSET(C.rngTPMroot, MIN(4, INT(($F13-70)/5))*13, $G14*16))</f>
        <v>0</v>
      </c>
      <c r="I14" s="116">
        <f ca="1"/>
        <v>0.85743012250858031</v>
      </c>
      <c r="J14" s="116">
        <f ca="1"/>
        <v>1.3756157662566059E-2</v>
      </c>
      <c r="K14" s="116">
        <f ca="1"/>
        <v>1.4281003198251692E-3</v>
      </c>
      <c r="L14" s="116">
        <f ca="1"/>
        <v>4.9079432178740696E-4</v>
      </c>
      <c r="M14" s="116">
        <f ca="1"/>
        <v>5.0828241198925458E-5</v>
      </c>
      <c r="N14" s="116">
        <f ca="1"/>
        <v>4.6585928400199516E-3</v>
      </c>
      <c r="O14" s="116">
        <f ca="1"/>
        <v>4.8513418954684379E-4</v>
      </c>
      <c r="P14" s="116">
        <f ca="1"/>
        <v>5.5455211965751594E-2</v>
      </c>
      <c r="Q14" s="116">
        <f ca="1"/>
        <v>4.9384959396152634E-3</v>
      </c>
      <c r="R14" s="116">
        <f ca="1"/>
        <v>1.0618090538326631E-4</v>
      </c>
      <c r="S14" s="116">
        <f ca="1"/>
        <v>1.4309678509130433E-2</v>
      </c>
      <c r="T14" s="116">
        <f ca="1"/>
        <v>4.6890702596594648E-2</v>
      </c>
      <c r="U14" s="283">
        <f t="shared" ca="1" si="10"/>
        <v>1</v>
      </c>
      <c r="V14" s="418">
        <f t="shared" ca="1" si="14"/>
        <v>1.8905544824373417E-2</v>
      </c>
      <c r="W14" s="418">
        <f t="shared" ca="1" si="15"/>
        <v>5.04467684499853E-3</v>
      </c>
      <c r="Y14" s="116">
        <f t="array" aca="1" ref="Y14:AK14" ca="1">MMULT(Y13:AK13, OFFSET(C.rngTPMroot, MIN(4, INT(($F13-70)/5))*13, $G14*16))</f>
        <v>0.91213852847642929</v>
      </c>
      <c r="Z14" s="116">
        <f ca="1"/>
        <v>0</v>
      </c>
      <c r="AA14" s="116">
        <f ca="1"/>
        <v>6.8381181321250702E-3</v>
      </c>
      <c r="AB14" s="116">
        <f ca="1"/>
        <v>6.9978426813813882E-4</v>
      </c>
      <c r="AC14" s="116">
        <f ca="1"/>
        <v>3.0048721324831099E-4</v>
      </c>
      <c r="AD14" s="116">
        <f ca="1"/>
        <v>3.0750598416832399E-5</v>
      </c>
      <c r="AE14" s="116">
        <f ca="1"/>
        <v>1.6303451806135222E-3</v>
      </c>
      <c r="AF14" s="116">
        <f ca="1"/>
        <v>1.6684267323027703E-4</v>
      </c>
      <c r="AG14" s="116">
        <f ca="1"/>
        <v>2.5017248510819046E-2</v>
      </c>
      <c r="AH14" s="116">
        <f ca="1"/>
        <v>1.9156358708582724E-3</v>
      </c>
      <c r="AI14" s="116">
        <f ca="1"/>
        <v>4.0520602282884812E-5</v>
      </c>
      <c r="AJ14" s="116">
        <f ca="1"/>
        <v>5.3727784825087438E-3</v>
      </c>
      <c r="AK14" s="116">
        <f ca="1"/>
        <v>4.5848959991329694E-2</v>
      </c>
      <c r="AL14" s="128">
        <f t="shared" ca="1" si="11"/>
        <v>1.0000000000000002</v>
      </c>
      <c r="AM14" s="418">
        <f t="shared" ca="1" si="16"/>
        <v>8.7689505259869027E-3</v>
      </c>
      <c r="AN14" s="418">
        <f t="shared" ca="1" si="17"/>
        <v>1.956156473141157E-3</v>
      </c>
    </row>
    <row r="15" spans="1:40" ht="12" customHeight="1" x14ac:dyDescent="0.25">
      <c r="D15" s="341">
        <f t="shared" si="12"/>
        <v>5</v>
      </c>
      <c r="E15" s="63">
        <f t="shared" si="8"/>
        <v>1.25</v>
      </c>
      <c r="F15" s="63">
        <f t="shared" si="13"/>
        <v>71.25</v>
      </c>
      <c r="G15" s="62">
        <f t="shared" si="9"/>
        <v>0</v>
      </c>
      <c r="H15" s="116">
        <f t="array" aca="1" ref="H15:T15" ca="1">MMULT(H14:T14, OFFSET(C.rngTPMroot, MIN(4, INT(($F14-70)/5))*13, $G15*16))</f>
        <v>0</v>
      </c>
      <c r="I15" s="116">
        <f ca="1"/>
        <v>0.82508448542859725</v>
      </c>
      <c r="J15" s="116">
        <f ca="1"/>
        <v>1.3377760305754044E-2</v>
      </c>
      <c r="K15" s="116">
        <f ca="1"/>
        <v>1.3886342119940507E-3</v>
      </c>
      <c r="L15" s="116">
        <f ca="1"/>
        <v>4.7845533125615453E-4</v>
      </c>
      <c r="M15" s="116">
        <f ca="1"/>
        <v>4.9543906300306087E-5</v>
      </c>
      <c r="N15" s="116">
        <f ca="1"/>
        <v>4.5163597281242581E-3</v>
      </c>
      <c r="O15" s="116">
        <f ca="1"/>
        <v>4.7026804694207732E-4</v>
      </c>
      <c r="P15" s="116">
        <f ca="1"/>
        <v>7.2622485258562908E-2</v>
      </c>
      <c r="Q15" s="116">
        <f ca="1"/>
        <v>4.8243145813127658E-3</v>
      </c>
      <c r="R15" s="116">
        <f ca="1"/>
        <v>1.0370841473192062E-4</v>
      </c>
      <c r="S15" s="116">
        <f ca="1"/>
        <v>1.8660952543851597E-2</v>
      </c>
      <c r="T15" s="116">
        <f ca="1"/>
        <v>5.8423032242572497E-2</v>
      </c>
      <c r="U15" s="283">
        <f t="shared" ca="1" si="10"/>
        <v>0.99999999999999967</v>
      </c>
      <c r="V15" s="418">
        <f t="shared" ca="1" si="14"/>
        <v>1.8372575365134459E-2</v>
      </c>
      <c r="W15" s="418">
        <f t="shared" ca="1" si="15"/>
        <v>4.9280229960446866E-3</v>
      </c>
      <c r="Y15" s="116">
        <f t="array" aca="1" ref="Y15:AK15" ca="1">MMULT(Y14:AK14, OFFSET(C.rngTPMroot, MIN(4, INT(($F14-70)/5))*13, $G15*16))</f>
        <v>0.89140691906503455</v>
      </c>
      <c r="Z15" s="116">
        <f ca="1"/>
        <v>0</v>
      </c>
      <c r="AA15" s="116">
        <f ca="1"/>
        <v>6.7451664405896502E-3</v>
      </c>
      <c r="AB15" s="116">
        <f ca="1"/>
        <v>6.902832183848654E-4</v>
      </c>
      <c r="AC15" s="116">
        <f ca="1"/>
        <v>2.9640263994663342E-4</v>
      </c>
      <c r="AD15" s="116">
        <f ca="1"/>
        <v>3.0333094081848441E-5</v>
      </c>
      <c r="AE15" s="116">
        <f ca="1"/>
        <v>1.6081836239693476E-3</v>
      </c>
      <c r="AF15" s="116">
        <f ca="1"/>
        <v>1.6457743148149128E-4</v>
      </c>
      <c r="AG15" s="116">
        <f ca="1"/>
        <v>3.300930168286479E-2</v>
      </c>
      <c r="AH15" s="116">
        <f ca="1"/>
        <v>1.9016799986200654E-3</v>
      </c>
      <c r="AI15" s="116">
        <f ca="1"/>
        <v>4.0228353288023756E-5</v>
      </c>
      <c r="AJ15" s="116">
        <f ca="1"/>
        <v>7.0637976210130311E-3</v>
      </c>
      <c r="AK15" s="116">
        <f ca="1"/>
        <v>5.7043126830725779E-2</v>
      </c>
      <c r="AL15" s="128">
        <f t="shared" ca="1" si="11"/>
        <v>1</v>
      </c>
      <c r="AM15" s="418">
        <f t="shared" ca="1" si="16"/>
        <v>8.6497527045056311E-3</v>
      </c>
      <c r="AN15" s="418">
        <f t="shared" ca="1" si="17"/>
        <v>1.9419083519080893E-3</v>
      </c>
    </row>
    <row r="16" spans="1:40" ht="12" customHeight="1" x14ac:dyDescent="0.25">
      <c r="D16" s="341">
        <f t="shared" si="12"/>
        <v>6</v>
      </c>
      <c r="E16" s="63">
        <f t="shared" si="8"/>
        <v>1.5</v>
      </c>
      <c r="F16" s="63">
        <f t="shared" si="13"/>
        <v>71.5</v>
      </c>
      <c r="G16" s="62">
        <f t="shared" si="9"/>
        <v>0</v>
      </c>
      <c r="H16" s="116">
        <f t="array" aca="1" ref="H16:T16" ca="1">MMULT(H15:T15, OFFSET(C.rngTPMroot, MIN(4, INT(($F15-70)/5))*13, $G16*16))</f>
        <v>0</v>
      </c>
      <c r="I16" s="116">
        <f ca="1"/>
        <v>0.79395905301677883</v>
      </c>
      <c r="J16" s="116">
        <f ca="1"/>
        <v>1.3011716849573387E-2</v>
      </c>
      <c r="K16" s="116">
        <f ca="1"/>
        <v>1.3504363715587683E-3</v>
      </c>
      <c r="L16" s="116">
        <f ca="1"/>
        <v>4.6649741313571186E-4</v>
      </c>
      <c r="M16" s="116">
        <f ca="1"/>
        <v>4.8298329969075552E-5</v>
      </c>
      <c r="N16" s="116">
        <f ca="1"/>
        <v>4.3790342664968502E-3</v>
      </c>
      <c r="O16" s="116">
        <f ca="1"/>
        <v>4.5591013028383696E-4</v>
      </c>
      <c r="P16" s="116">
        <f ca="1"/>
        <v>8.8880378764275084E-2</v>
      </c>
      <c r="Q16" s="116">
        <f ca="1"/>
        <v>4.7136640087331576E-3</v>
      </c>
      <c r="R16" s="116">
        <f ca="1"/>
        <v>1.0131060620756817E-4</v>
      </c>
      <c r="S16" s="116">
        <f ca="1"/>
        <v>2.2811738570260323E-2</v>
      </c>
      <c r="T16" s="116">
        <f ca="1"/>
        <v>6.9821961672727167E-2</v>
      </c>
      <c r="U16" s="283">
        <f t="shared" ca="1" si="10"/>
        <v>0.99999999999999978</v>
      </c>
      <c r="V16" s="418">
        <f t="shared" ca="1" si="14"/>
        <v>1.7857248529205949E-2</v>
      </c>
      <c r="W16" s="418">
        <f t="shared" ca="1" si="15"/>
        <v>4.8149746149407256E-3</v>
      </c>
      <c r="Y16" s="116">
        <f t="array" aca="1" ref="Y16:AK16" ca="1">MMULT(Y15:AK15, OFFSET(C.rngTPMroot, MIN(4, INT(($F15-70)/5))*13, $G16*16))</f>
        <v>0.87114650960339368</v>
      </c>
      <c r="Z16" s="116">
        <f ca="1"/>
        <v>0</v>
      </c>
      <c r="AA16" s="116">
        <f ca="1"/>
        <v>6.6534736512756801E-3</v>
      </c>
      <c r="AB16" s="116">
        <f ca="1"/>
        <v>6.8090008233081666E-4</v>
      </c>
      <c r="AC16" s="116">
        <f ca="1"/>
        <v>2.9237338654627471E-4</v>
      </c>
      <c r="AD16" s="116">
        <f ca="1"/>
        <v>2.9920771224896759E-5</v>
      </c>
      <c r="AE16" s="116">
        <f ca="1"/>
        <v>1.586322214987139E-3</v>
      </c>
      <c r="AF16" s="116">
        <f ca="1"/>
        <v>1.6234030273507615E-4</v>
      </c>
      <c r="AG16" s="116">
        <f ca="1"/>
        <v>4.0703354462810155E-2</v>
      </c>
      <c r="AH16" s="116">
        <f ca="1"/>
        <v>1.887732905949354E-3</v>
      </c>
      <c r="AI16" s="116">
        <f ca="1"/>
        <v>3.9935279971021406E-5</v>
      </c>
      <c r="AJ16" s="116">
        <f ca="1"/>
        <v>8.7055966873317465E-3</v>
      </c>
      <c r="AK16" s="116">
        <f ca="1"/>
        <v>6.8111540651444272E-2</v>
      </c>
      <c r="AL16" s="128">
        <f t="shared" ca="1" si="11"/>
        <v>1</v>
      </c>
      <c r="AM16" s="418">
        <f t="shared" ca="1" si="16"/>
        <v>8.532169252809094E-3</v>
      </c>
      <c r="AN16" s="418">
        <f t="shared" ca="1" si="17"/>
        <v>1.9276681859203755E-3</v>
      </c>
    </row>
    <row r="17" spans="4:40" ht="12" customHeight="1" x14ac:dyDescent="0.25">
      <c r="D17" s="341">
        <f t="shared" si="12"/>
        <v>7</v>
      </c>
      <c r="E17" s="63">
        <f t="shared" si="8"/>
        <v>1.75</v>
      </c>
      <c r="F17" s="63">
        <f t="shared" si="13"/>
        <v>71.75</v>
      </c>
      <c r="G17" s="62">
        <f t="shared" si="9"/>
        <v>0</v>
      </c>
      <c r="H17" s="116">
        <f t="array" aca="1" ref="H17:T17" ca="1">MMULT(H16:T16, OFFSET(C.rngTPMroot, MIN(4, INT(($F16-70)/5))*13, $G17*16))</f>
        <v>0</v>
      </c>
      <c r="I17" s="116">
        <f ca="1"/>
        <v>0.76400779435314259</v>
      </c>
      <c r="J17" s="116">
        <f ca="1"/>
        <v>1.2657597958794784E-2</v>
      </c>
      <c r="K17" s="116">
        <f ca="1"/>
        <v>1.3134856125752319E-3</v>
      </c>
      <c r="L17" s="116">
        <f ca="1"/>
        <v>4.5490780469249482E-4</v>
      </c>
      <c r="M17" s="116">
        <f ca="1"/>
        <v>4.7091221515276926E-5</v>
      </c>
      <c r="N17" s="116">
        <f ca="1"/>
        <v>4.2464400698799054E-3</v>
      </c>
      <c r="O17" s="116">
        <f ca="1"/>
        <v>4.4204762311640146E-4</v>
      </c>
      <c r="P17" s="116">
        <f ca="1"/>
        <v>0.1042667127226316</v>
      </c>
      <c r="Q17" s="116">
        <f ca="1"/>
        <v>4.6064213357330996E-3</v>
      </c>
      <c r="R17" s="116">
        <f ca="1"/>
        <v>9.8986944183396402E-5</v>
      </c>
      <c r="S17" s="116">
        <f ca="1"/>
        <v>2.6769640889606785E-2</v>
      </c>
      <c r="T17" s="116">
        <f ca="1"/>
        <v>8.1088873464128117E-2</v>
      </c>
      <c r="U17" s="283">
        <f t="shared" ca="1" si="10"/>
        <v>0.99999999999999967</v>
      </c>
      <c r="V17" s="418">
        <f t="shared" ca="1" si="14"/>
        <v>1.7358945833367185E-2</v>
      </c>
      <c r="W17" s="418">
        <f t="shared" ca="1" si="15"/>
        <v>4.7054082799164957E-3</v>
      </c>
      <c r="Y17" s="116">
        <f t="array" aca="1" ref="Y17:AK17" ca="1">MMULT(Y16:AK16, OFFSET(C.rngTPMroot, MIN(4, INT(($F16-70)/5))*13, $G17*16))</f>
        <v>0.85134659038787275</v>
      </c>
      <c r="Z17" s="116">
        <f ca="1"/>
        <v>0</v>
      </c>
      <c r="AA17" s="116">
        <f ca="1"/>
        <v>6.5630274635113109E-3</v>
      </c>
      <c r="AB17" s="116">
        <f ca="1"/>
        <v>6.7164402788902789E-4</v>
      </c>
      <c r="AC17" s="116">
        <f ca="1"/>
        <v>2.8839891251919284E-4</v>
      </c>
      <c r="AD17" s="116">
        <f ca="1"/>
        <v>2.951403271129588E-5</v>
      </c>
      <c r="AE17" s="116">
        <f ca="1"/>
        <v>1.5647580209388154E-3</v>
      </c>
      <c r="AF17" s="116">
        <f ca="1"/>
        <v>1.6013347280627278E-4</v>
      </c>
      <c r="AG17" s="116">
        <f ca="1"/>
        <v>4.8107742318020341E-2</v>
      </c>
      <c r="AH17" s="116">
        <f ca="1"/>
        <v>1.8737984268229926E-3</v>
      </c>
      <c r="AI17" s="116">
        <f ca="1"/>
        <v>3.9642391024936468E-5</v>
      </c>
      <c r="AJ17" s="116">
        <f ca="1"/>
        <v>1.0299232840482325E-2</v>
      </c>
      <c r="AK17" s="116">
        <f ca="1"/>
        <v>7.9055517705400799E-2</v>
      </c>
      <c r="AL17" s="128">
        <f t="shared" ca="1" si="11"/>
        <v>1</v>
      </c>
      <c r="AM17" s="418">
        <f t="shared" ca="1" si="16"/>
        <v>8.4161843969693187E-3</v>
      </c>
      <c r="AN17" s="418">
        <f t="shared" ca="1" si="17"/>
        <v>1.9134408178479291E-3</v>
      </c>
    </row>
    <row r="18" spans="4:40" ht="12" customHeight="1" x14ac:dyDescent="0.25">
      <c r="D18" s="341">
        <f t="shared" si="12"/>
        <v>8</v>
      </c>
      <c r="E18" s="63">
        <f t="shared" si="8"/>
        <v>2</v>
      </c>
      <c r="F18" s="63">
        <f t="shared" si="13"/>
        <v>72</v>
      </c>
      <c r="G18" s="62">
        <f t="shared" si="9"/>
        <v>0</v>
      </c>
      <c r="H18" s="116">
        <f t="array" aca="1" ref="H18:T18" ca="1">MMULT(H17:T17, OFFSET(C.rngTPMroot, MIN(4, INT(($F17-70)/5))*13, $G18*16))</f>
        <v>0</v>
      </c>
      <c r="I18" s="116">
        <f ca="1"/>
        <v>0.73518641498507897</v>
      </c>
      <c r="J18" s="116">
        <f ca="1"/>
        <v>1.2314979090040784E-2</v>
      </c>
      <c r="K18" s="116">
        <f ca="1"/>
        <v>1.2777385952095685E-3</v>
      </c>
      <c r="L18" s="116">
        <f ca="1"/>
        <v>4.4367372351191445E-4</v>
      </c>
      <c r="M18" s="116">
        <f ca="1"/>
        <v>4.5921292587255018E-5</v>
      </c>
      <c r="N18" s="116">
        <f ca="1"/>
        <v>4.1184046879316517E-3</v>
      </c>
      <c r="O18" s="116">
        <f ca="1"/>
        <v>4.2866271998787705E-4</v>
      </c>
      <c r="P18" s="116">
        <f ca="1"/>
        <v>0.1188178754043948</v>
      </c>
      <c r="Q18" s="116">
        <f ca="1"/>
        <v>4.5024652766958648E-3</v>
      </c>
      <c r="R18" s="116">
        <f ca="1"/>
        <v>9.6734848050395179E-5</v>
      </c>
      <c r="S18" s="116">
        <f ca="1"/>
        <v>3.0541987726405016E-2</v>
      </c>
      <c r="T18" s="116">
        <f ca="1"/>
        <v>9.2225141650105591E-2</v>
      </c>
      <c r="U18" s="283">
        <f t="shared" ca="1" si="10"/>
        <v>0.99999999999999978</v>
      </c>
      <c r="V18" s="418">
        <f t="shared" ca="1" si="14"/>
        <v>1.6877057501484348E-2</v>
      </c>
      <c r="W18" s="418">
        <f t="shared" ca="1" si="15"/>
        <v>4.5992001247462597E-3</v>
      </c>
      <c r="Y18" s="116">
        <f t="array" aca="1" ref="Y18:AK18" ca="1">MMULT(Y17:AK17, OFFSET(C.rngTPMroot, MIN(4, INT(($F17-70)/5))*13, $G18*16))</f>
        <v>0.83199669513114571</v>
      </c>
      <c r="Z18" s="116">
        <f ca="1"/>
        <v>0</v>
      </c>
      <c r="AA18" s="116">
        <f ca="1"/>
        <v>6.4738107887620687E-3</v>
      </c>
      <c r="AB18" s="116">
        <f ca="1"/>
        <v>6.6251381335129982E-4</v>
      </c>
      <c r="AC18" s="116">
        <f ca="1"/>
        <v>2.8447846694444677E-4</v>
      </c>
      <c r="AD18" s="116">
        <f ca="1"/>
        <v>2.9112823976700867E-5</v>
      </c>
      <c r="AE18" s="116">
        <f ca="1"/>
        <v>1.5434869675733497E-3</v>
      </c>
      <c r="AF18" s="116">
        <f ca="1"/>
        <v>1.5795664564682054E-4</v>
      </c>
      <c r="AG18" s="116">
        <f ca="1"/>
        <v>5.5230608929177138E-2</v>
      </c>
      <c r="AH18" s="116">
        <f ca="1"/>
        <v>1.8598789691218445E-3</v>
      </c>
      <c r="AI18" s="116">
        <f ca="1"/>
        <v>3.934976696328288E-5</v>
      </c>
      <c r="AJ18" s="116">
        <f ca="1"/>
        <v>1.1845745179939568E-2</v>
      </c>
      <c r="AK18" s="116">
        <f ca="1"/>
        <v>8.9876362517397834E-2</v>
      </c>
      <c r="AL18" s="128">
        <f t="shared" ca="1" si="11"/>
        <v>0.99999999999999989</v>
      </c>
      <c r="AM18" s="418">
        <f t="shared" ca="1" si="16"/>
        <v>8.3017762232798654E-3</v>
      </c>
      <c r="AN18" s="418">
        <f t="shared" ca="1" si="17"/>
        <v>1.8992287360851275E-3</v>
      </c>
    </row>
    <row r="19" spans="4:40" ht="12" customHeight="1" x14ac:dyDescent="0.25">
      <c r="D19" s="341">
        <f t="shared" si="12"/>
        <v>9</v>
      </c>
      <c r="E19" s="63">
        <f t="shared" si="8"/>
        <v>2.25</v>
      </c>
      <c r="F19" s="63">
        <f t="shared" si="13"/>
        <v>72.25</v>
      </c>
      <c r="G19" s="62">
        <f t="shared" si="9"/>
        <v>0</v>
      </c>
      <c r="H19" s="116">
        <f t="array" aca="1" ref="H19:T19" ca="1">MMULT(H18:T18, OFFSET(C.rngTPMroot, MIN(4, INT(($F18-70)/5))*13, $G19*16))</f>
        <v>0</v>
      </c>
      <c r="I19" s="116">
        <f ca="1"/>
        <v>0.70745229142097099</v>
      </c>
      <c r="J19" s="116">
        <f ca="1"/>
        <v>1.1983451677659813E-2</v>
      </c>
      <c r="K19" s="116">
        <f ca="1"/>
        <v>1.2431524633479661E-3</v>
      </c>
      <c r="L19" s="116">
        <f ca="1"/>
        <v>4.3278286772479842E-4</v>
      </c>
      <c r="M19" s="116">
        <f ca="1"/>
        <v>4.4787252846628607E-5</v>
      </c>
      <c r="N19" s="116">
        <f ca="1"/>
        <v>3.9947621668222867E-3</v>
      </c>
      <c r="O19" s="116">
        <f ca="1"/>
        <v>4.1573801266187038E-4</v>
      </c>
      <c r="P19" s="116">
        <f ca="1"/>
        <v>0.13256883567242173</v>
      </c>
      <c r="Q19" s="116">
        <f ca="1"/>
        <v>4.4016791837382645E-3</v>
      </c>
      <c r="R19" s="116">
        <f ca="1"/>
        <v>9.4551770810613251E-5</v>
      </c>
      <c r="S19" s="116">
        <f ca="1"/>
        <v>3.4135836663992961E-2</v>
      </c>
      <c r="T19" s="116">
        <f ca="1"/>
        <v>0.10323213084700171</v>
      </c>
      <c r="U19" s="283">
        <f t="shared" ca="1" si="10"/>
        <v>0.99999999999999956</v>
      </c>
      <c r="V19" s="418">
        <f t="shared" ca="1" si="14"/>
        <v>1.6410996712206898E-2</v>
      </c>
      <c r="W19" s="418">
        <f t="shared" ca="1" si="15"/>
        <v>4.4962309545488778E-3</v>
      </c>
      <c r="Y19" s="116">
        <f t="array" aca="1" ref="Y19:AK19" ca="1">MMULT(Y18:AK18, OFFSET(C.rngTPMroot, MIN(4, INT(($F18-70)/5))*13, $G19*16))</f>
        <v>0.81308659542968797</v>
      </c>
      <c r="Z19" s="116">
        <f ca="1"/>
        <v>0</v>
      </c>
      <c r="AA19" s="116">
        <f ca="1"/>
        <v>6.3858069100970272E-3</v>
      </c>
      <c r="AB19" s="116">
        <f ca="1"/>
        <v>6.5350771369207029E-4</v>
      </c>
      <c r="AC19" s="116">
        <f ca="1"/>
        <v>2.806113152304586E-4</v>
      </c>
      <c r="AD19" s="116">
        <f ca="1"/>
        <v>2.8717069218366878E-5</v>
      </c>
      <c r="AE19" s="116">
        <f ca="1"/>
        <v>1.5225050692374898E-3</v>
      </c>
      <c r="AF19" s="116">
        <f ca="1"/>
        <v>1.5580940997585871E-4</v>
      </c>
      <c r="AG19" s="116">
        <f ca="1"/>
        <v>6.2079892124920932E-2</v>
      </c>
      <c r="AH19" s="116">
        <f ca="1"/>
        <v>1.8459769216284062E-3</v>
      </c>
      <c r="AI19" s="116">
        <f ca="1"/>
        <v>3.905745835155877E-5</v>
      </c>
      <c r="AJ19" s="116">
        <f ca="1"/>
        <v>1.3346152939269268E-2</v>
      </c>
      <c r="AK19" s="116">
        <f ca="1"/>
        <v>0.1005753676386906</v>
      </c>
      <c r="AL19" s="128">
        <f t="shared" ca="1" si="11"/>
        <v>0.99999999999999989</v>
      </c>
      <c r="AM19" s="418">
        <f t="shared" ca="1" si="16"/>
        <v>8.1889232945649756E-3</v>
      </c>
      <c r="AN19" s="418">
        <f t="shared" ca="1" si="17"/>
        <v>1.8850343799799651E-3</v>
      </c>
    </row>
    <row r="20" spans="4:40" ht="12" customHeight="1" x14ac:dyDescent="0.25">
      <c r="D20" s="341">
        <f t="shared" si="12"/>
        <v>10</v>
      </c>
      <c r="E20" s="63">
        <f t="shared" si="8"/>
        <v>2.5</v>
      </c>
      <c r="F20" s="63">
        <f t="shared" si="13"/>
        <v>72.5</v>
      </c>
      <c r="G20" s="62">
        <f t="shared" si="9"/>
        <v>0</v>
      </c>
      <c r="H20" s="116">
        <f t="array" aca="1" ref="H20:T20" ca="1">MMULT(H19:T19, OFFSET(C.rngTPMroot, MIN(4, INT(($F19-70)/5))*13, $G20*16))</f>
        <v>0</v>
      </c>
      <c r="I20" s="116">
        <f ca="1"/>
        <v>0.68076440809497296</v>
      </c>
      <c r="J20" s="116">
        <f ca="1"/>
        <v>1.1662622232587018E-2</v>
      </c>
      <c r="K20" s="116">
        <f ca="1"/>
        <v>1.2096859737700761E-3</v>
      </c>
      <c r="L20" s="116">
        <f ca="1"/>
        <v>4.2222338476689982E-4</v>
      </c>
      <c r="M20" s="116">
        <f ca="1"/>
        <v>4.3687860464332982E-5</v>
      </c>
      <c r="N20" s="116">
        <f ca="1"/>
        <v>3.8753527330162535E-3</v>
      </c>
      <c r="O20" s="116">
        <f ca="1"/>
        <v>4.0325674870130354E-4</v>
      </c>
      <c r="P20" s="116">
        <f ca="1"/>
        <v>0.14555319610371348</v>
      </c>
      <c r="Q20" s="116">
        <f ca="1"/>
        <v>4.3039507556335939E-3</v>
      </c>
      <c r="R20" s="116">
        <f ca="1"/>
        <v>9.2435262858503632E-5</v>
      </c>
      <c r="S20" s="116">
        <f ca="1"/>
        <v>3.7557984727686206E-2</v>
      </c>
      <c r="T20" s="116">
        <f ca="1"/>
        <v>0.11411119612182889</v>
      </c>
      <c r="U20" s="283">
        <f t="shared" ca="1" si="10"/>
        <v>0.99999999999999967</v>
      </c>
      <c r="V20" s="418">
        <f t="shared" ca="1" si="14"/>
        <v>1.5960198350370172E-2</v>
      </c>
      <c r="W20" s="418">
        <f t="shared" ca="1" si="15"/>
        <v>4.3963860184920971E-3</v>
      </c>
      <c r="Y20" s="116">
        <f t="array" aca="1" ref="Y20:AK20" ca="1">MMULT(Y19:AK19, OFFSET(C.rngTPMroot, MIN(4, INT(($F19-70)/5))*13, $G20*16))</f>
        <v>0.79460629535701688</v>
      </c>
      <c r="Z20" s="116">
        <f ca="1"/>
        <v>0</v>
      </c>
      <c r="AA20" s="116">
        <f ca="1"/>
        <v>6.2989993411334327E-3</v>
      </c>
      <c r="AB20" s="116">
        <f ca="1"/>
        <v>6.4462404139780738E-4</v>
      </c>
      <c r="AC20" s="116">
        <f ca="1"/>
        <v>2.7679673291662181E-4</v>
      </c>
      <c r="AD20" s="116">
        <f ca="1"/>
        <v>2.8326694281939048E-5</v>
      </c>
      <c r="AE20" s="116">
        <f ca="1"/>
        <v>1.5018083952453151E-3</v>
      </c>
      <c r="AF20" s="116">
        <f ca="1"/>
        <v>1.5369136345615045E-4</v>
      </c>
      <c r="AG20" s="116">
        <f ca="1"/>
        <v>6.8663328372480167E-2</v>
      </c>
      <c r="AH20" s="116">
        <f ca="1"/>
        <v>1.8320946028273582E-3</v>
      </c>
      <c r="AI20" s="116">
        <f ca="1"/>
        <v>3.8765515354196566E-5</v>
      </c>
      <c r="AJ20" s="116">
        <f ca="1"/>
        <v>1.4801455863977469E-2</v>
      </c>
      <c r="AK20" s="116">
        <f ca="1"/>
        <v>0.11115381371991263</v>
      </c>
      <c r="AL20" s="128">
        <f t="shared" ca="1" si="11"/>
        <v>0.99999999999999989</v>
      </c>
      <c r="AM20" s="418">
        <f t="shared" ca="1" si="16"/>
        <v>8.0776044692953686E-3</v>
      </c>
      <c r="AN20" s="418">
        <f t="shared" ca="1" si="17"/>
        <v>1.8708601181815548E-3</v>
      </c>
    </row>
    <row r="21" spans="4:40" ht="12" customHeight="1" x14ac:dyDescent="0.25">
      <c r="D21" s="341">
        <f t="shared" si="12"/>
        <v>11</v>
      </c>
      <c r="E21" s="63">
        <f t="shared" si="8"/>
        <v>2.75</v>
      </c>
      <c r="F21" s="63">
        <f t="shared" si="13"/>
        <v>72.75</v>
      </c>
      <c r="G21" s="62">
        <f t="shared" si="9"/>
        <v>0</v>
      </c>
      <c r="H21" s="116">
        <f t="array" aca="1" ref="H21:T21" ca="1">MMULT(H20:T20, OFFSET(C.rngTPMroot, MIN(4, INT(($F20-70)/5))*13, $G21*16))</f>
        <v>0</v>
      </c>
      <c r="I21" s="116">
        <f ca="1"/>
        <v>0.6550832967097252</v>
      </c>
      <c r="J21" s="116">
        <f ca="1"/>
        <v>1.1352111770547253E-2</v>
      </c>
      <c r="K21" s="116">
        <f ca="1"/>
        <v>1.1772994051822863E-3</v>
      </c>
      <c r="L21" s="116">
        <f ca="1"/>
        <v>4.1198385429537266E-4</v>
      </c>
      <c r="M21" s="116">
        <f ca="1"/>
        <v>4.2621918967005679E-5</v>
      </c>
      <c r="N21" s="116">
        <f ca="1"/>
        <v>3.7600225594003191E-3</v>
      </c>
      <c r="O21" s="116">
        <f ca="1"/>
        <v>3.9120279954738219E-4</v>
      </c>
      <c r="P21" s="116">
        <f ca="1"/>
        <v>0.15780324521967223</v>
      </c>
      <c r="Q21" s="116">
        <f ca="1"/>
        <v>4.2091718721418521E-3</v>
      </c>
      <c r="R21" s="116">
        <f ca="1"/>
        <v>9.0382965868305546E-5</v>
      </c>
      <c r="S21" s="116">
        <f ca="1"/>
        <v>4.0814978044498094E-2</v>
      </c>
      <c r="T21" s="116">
        <f ca="1"/>
        <v>0.12486368288015418</v>
      </c>
      <c r="U21" s="283">
        <f t="shared" ca="1" si="10"/>
        <v>0.99999999999999956</v>
      </c>
      <c r="V21" s="418">
        <f t="shared" ca="1" si="14"/>
        <v>1.5524118184242945E-2</v>
      </c>
      <c r="W21" s="418">
        <f t="shared" ca="1" si="15"/>
        <v>4.2995548380101575E-3</v>
      </c>
      <c r="Y21" s="116">
        <f t="array" aca="1" ref="Y21:AK21" ca="1">MMULT(Y20:AK20, OFFSET(C.rngTPMroot, MIN(4, INT(($F20-70)/5))*13, $G21*16))</f>
        <v>0.77654602617981949</v>
      </c>
      <c r="Z21" s="116">
        <f ca="1"/>
        <v>0</v>
      </c>
      <c r="AA21" s="116">
        <f ca="1"/>
        <v>6.2133718194428726E-3</v>
      </c>
      <c r="AB21" s="116">
        <f ca="1"/>
        <v>6.3586113222798078E-4</v>
      </c>
      <c r="AC21" s="116">
        <f ca="1"/>
        <v>2.7303400538354839E-4</v>
      </c>
      <c r="AD21" s="116">
        <f ca="1"/>
        <v>2.7941626035747323E-5</v>
      </c>
      <c r="AE21" s="116">
        <f ca="1"/>
        <v>1.4813930683061326E-3</v>
      </c>
      <c r="AF21" s="116">
        <f ca="1"/>
        <v>1.5160210929921167E-4</v>
      </c>
      <c r="AG21" s="116">
        <f ca="1"/>
        <v>7.4988457660395025E-2</v>
      </c>
      <c r="AH21" s="116">
        <f ca="1"/>
        <v>1.8182342616317668E-3</v>
      </c>
      <c r="AI21" s="116">
        <f ca="1"/>
        <v>3.8473986659374552E-5</v>
      </c>
      <c r="AJ21" s="116">
        <f ca="1"/>
        <v>1.6212634561944127E-2</v>
      </c>
      <c r="AK21" s="116">
        <f ca="1"/>
        <v>0.1216129695888547</v>
      </c>
      <c r="AL21" s="128">
        <f t="shared" ca="1" si="11"/>
        <v>0.99999999999999989</v>
      </c>
      <c r="AM21" s="418">
        <f t="shared" ca="1" si="16"/>
        <v>7.9677988931325539E-3</v>
      </c>
      <c r="AN21" s="418">
        <f t="shared" ca="1" si="17"/>
        <v>1.8567082482911412E-3</v>
      </c>
    </row>
    <row r="22" spans="4:40" ht="12" customHeight="1" x14ac:dyDescent="0.25">
      <c r="D22" s="341">
        <f t="shared" si="12"/>
        <v>12</v>
      </c>
      <c r="E22" s="63">
        <f t="shared" si="8"/>
        <v>3</v>
      </c>
      <c r="F22" s="63">
        <f t="shared" si="13"/>
        <v>73</v>
      </c>
      <c r="G22" s="62">
        <f t="shared" si="9"/>
        <v>0</v>
      </c>
      <c r="H22" s="116">
        <f t="array" aca="1" ref="H22:T22" ca="1">MMULT(H21:T21, OFFSET(C.rngTPMroot, MIN(4, INT(($F21-70)/5))*13, $G22*16))</f>
        <v>0</v>
      </c>
      <c r="I22" s="116">
        <f ca="1"/>
        <v>0.63037097786730012</v>
      </c>
      <c r="J22" s="116">
        <f ca="1"/>
        <v>1.1051555269833395E-2</v>
      </c>
      <c r="K22" s="116">
        <f ca="1"/>
        <v>1.145954500496884E-3</v>
      </c>
      <c r="L22" s="116">
        <f ca="1"/>
        <v>4.0205327210146298E-4</v>
      </c>
      <c r="M22" s="116">
        <f ca="1"/>
        <v>4.1588275512466657E-5</v>
      </c>
      <c r="N22" s="116">
        <f ca="1"/>
        <v>3.6486235421427562E-3</v>
      </c>
      <c r="O22" s="116">
        <f ca="1"/>
        <v>3.7956063691107334E-4</v>
      </c>
      <c r="P22" s="116">
        <f ca="1"/>
        <v>0.16935000768920455</v>
      </c>
      <c r="Q22" s="116">
        <f ca="1"/>
        <v>4.1172384365129383E-3</v>
      </c>
      <c r="R22" s="116">
        <f ca="1"/>
        <v>8.8392609314978969E-5</v>
      </c>
      <c r="S22" s="116">
        <f ca="1"/>
        <v>4.391312113820716E-2</v>
      </c>
      <c r="T22" s="116">
        <f ca="1"/>
        <v>0.13549092676246166</v>
      </c>
      <c r="U22" s="283">
        <f t="shared" ca="1" si="10"/>
        <v>0.99999999999999922</v>
      </c>
      <c r="V22" s="418">
        <f t="shared" ca="1" si="14"/>
        <v>1.5102232084077613E-2</v>
      </c>
      <c r="W22" s="418">
        <f t="shared" ca="1" si="15"/>
        <v>4.2056310458279175E-3</v>
      </c>
      <c r="Y22" s="116">
        <f t="array" aca="1" ref="Y22:AK22" ca="1">MMULT(Y21:AK21, OFFSET(C.rngTPMroot, MIN(4, INT(($F21-70)/5))*13, $G22*16))</f>
        <v>0.75889624119417542</v>
      </c>
      <c r="Z22" s="116">
        <f ca="1"/>
        <v>0</v>
      </c>
      <c r="AA22" s="116">
        <f ca="1"/>
        <v>6.1289083036640112E-3</v>
      </c>
      <c r="AB22" s="116">
        <f ca="1"/>
        <v>6.2721734454943847E-4</v>
      </c>
      <c r="AC22" s="116">
        <f ca="1"/>
        <v>2.6932242772619404E-4</v>
      </c>
      <c r="AD22" s="116">
        <f ca="1"/>
        <v>2.7561792341556945E-5</v>
      </c>
      <c r="AE22" s="116">
        <f ca="1"/>
        <v>1.4612552638360969E-3</v>
      </c>
      <c r="AF22" s="116">
        <f ca="1"/>
        <v>1.495412561066128E-4</v>
      </c>
      <c r="AG22" s="116">
        <f ca="1"/>
        <v>8.106262824501137E-2</v>
      </c>
      <c r="AH22" s="116">
        <f ca="1"/>
        <v>1.8043980789493597E-3</v>
      </c>
      <c r="AI22" s="116">
        <f ca="1"/>
        <v>3.8182919494267139E-5</v>
      </c>
      <c r="AJ22" s="116">
        <f ca="1"/>
        <v>1.7580650846037653E-2</v>
      </c>
      <c r="AK22" s="116">
        <f ca="1"/>
        <v>0.13195409232810798</v>
      </c>
      <c r="AL22" s="128">
        <f t="shared" ca="1" si="11"/>
        <v>1</v>
      </c>
      <c r="AM22" s="418">
        <f t="shared" ca="1" si="16"/>
        <v>7.8594859952263018E-3</v>
      </c>
      <c r="AN22" s="418">
        <f t="shared" ca="1" si="17"/>
        <v>1.8425809984436267E-3</v>
      </c>
    </row>
    <row r="23" spans="4:40" ht="12" customHeight="1" x14ac:dyDescent="0.25">
      <c r="D23" s="341">
        <f t="shared" si="12"/>
        <v>13</v>
      </c>
      <c r="E23" s="63">
        <f t="shared" si="8"/>
        <v>3.25</v>
      </c>
      <c r="F23" s="63">
        <f t="shared" si="13"/>
        <v>73.25</v>
      </c>
      <c r="G23" s="62">
        <f t="shared" si="9"/>
        <v>0</v>
      </c>
      <c r="H23" s="116">
        <f t="array" aca="1" ref="H23:T23" ca="1">MMULT(H22:T22, OFFSET(C.rngTPMroot, MIN(4, INT(($F22-70)/5))*13, $G23*16))</f>
        <v>0</v>
      </c>
      <c r="I23" s="116">
        <f ca="1"/>
        <v>0.60659090490205891</v>
      </c>
      <c r="J23" s="116">
        <f ca="1"/>
        <v>1.0760601149130421E-2</v>
      </c>
      <c r="K23" s="116">
        <f ca="1"/>
        <v>1.1156144120967469E-3</v>
      </c>
      <c r="L23" s="116">
        <f ca="1"/>
        <v>3.9242103461210615E-4</v>
      </c>
      <c r="M23" s="116">
        <f ca="1"/>
        <v>4.0585819265762841E-5</v>
      </c>
      <c r="N23" s="116">
        <f ca="1"/>
        <v>3.5410130858727624E-3</v>
      </c>
      <c r="O23" s="116">
        <f ca="1"/>
        <v>3.6831531024784936E-4</v>
      </c>
      <c r="P23" s="116">
        <f ca="1"/>
        <v>0.1802232926287908</v>
      </c>
      <c r="Q23" s="116">
        <f ca="1"/>
        <v>4.0280502238164576E-3</v>
      </c>
      <c r="R23" s="116">
        <f ca="1"/>
        <v>8.6462007166771774E-5</v>
      </c>
      <c r="S23" s="116">
        <f ca="1"/>
        <v>4.6858485877575136E-2</v>
      </c>
      <c r="T23" s="116">
        <f ca="1"/>
        <v>0.14599425354936565</v>
      </c>
      <c r="U23" s="283">
        <f t="shared" ca="1" si="10"/>
        <v>0.99999999999999944</v>
      </c>
      <c r="V23" s="418">
        <f t="shared" ca="1" si="14"/>
        <v>1.469403526961529E-2</v>
      </c>
      <c r="W23" s="418">
        <f t="shared" ca="1" si="15"/>
        <v>4.1145122309832298E-3</v>
      </c>
      <c r="Y23" s="116">
        <f t="array" aca="1" ref="Y23:AK23" ca="1">MMULT(Y22:AK22, OFFSET(C.rngTPMroot, MIN(4, INT(($F22-70)/5))*13, $G23*16))</f>
        <v>0.7416476106791452</v>
      </c>
      <c r="Z23" s="116">
        <f ca="1"/>
        <v>0</v>
      </c>
      <c r="AA23" s="116">
        <f ca="1"/>
        <v>6.0455929704992016E-3</v>
      </c>
      <c r="AB23" s="116">
        <f ca="1"/>
        <v>6.1869105904494774E-4</v>
      </c>
      <c r="AC23" s="116">
        <f ca="1"/>
        <v>2.6566130462188055E-4</v>
      </c>
      <c r="AD23" s="116">
        <f ca="1"/>
        <v>2.7187122041760923E-5</v>
      </c>
      <c r="AE23" s="116">
        <f ca="1"/>
        <v>1.4413912092421403E-3</v>
      </c>
      <c r="AF23" s="116">
        <f ca="1"/>
        <v>1.4750841780048933E-4</v>
      </c>
      <c r="AG23" s="116">
        <f ca="1"/>
        <v>8.6893001285015231E-2</v>
      </c>
      <c r="AH23" s="116">
        <f ca="1"/>
        <v>1.7905881691639219E-3</v>
      </c>
      <c r="AI23" s="116">
        <f ca="1"/>
        <v>3.7892359657936587E-5</v>
      </c>
      <c r="AJ23" s="116">
        <f ca="1"/>
        <v>1.8906448070881141E-2</v>
      </c>
      <c r="AK23" s="116">
        <f ca="1"/>
        <v>0.14217842735288605</v>
      </c>
      <c r="AL23" s="128">
        <f t="shared" ca="1" si="11"/>
        <v>1</v>
      </c>
      <c r="AM23" s="418">
        <f t="shared" ca="1" si="16"/>
        <v>7.7526454843632221E-3</v>
      </c>
      <c r="AN23" s="418">
        <f t="shared" ca="1" si="17"/>
        <v>1.8284805288218584E-3</v>
      </c>
    </row>
    <row r="24" spans="4:40" ht="12" customHeight="1" x14ac:dyDescent="0.25">
      <c r="D24" s="341">
        <f t="shared" si="12"/>
        <v>14</v>
      </c>
      <c r="E24" s="63">
        <f t="shared" si="8"/>
        <v>3.5</v>
      </c>
      <c r="F24" s="63">
        <f t="shared" si="13"/>
        <v>73.5</v>
      </c>
      <c r="G24" s="62">
        <f t="shared" si="9"/>
        <v>0</v>
      </c>
      <c r="H24" s="116">
        <f t="array" aca="1" ref="H24:T24" ca="1">MMULT(H23:T23, OFFSET(C.rngTPMroot, MIN(4, INT(($F23-70)/5))*13, $G24*16))</f>
        <v>0</v>
      </c>
      <c r="I24" s="116">
        <f ca="1"/>
        <v>0.58370790983235377</v>
      </c>
      <c r="J24" s="116">
        <f ca="1"/>
        <v>1.0478910764971969E-2</v>
      </c>
      <c r="K24" s="116">
        <f ca="1"/>
        <v>1.086243649123576E-3</v>
      </c>
      <c r="L24" s="116">
        <f ca="1"/>
        <v>3.8307692397328161E-4</v>
      </c>
      <c r="M24" s="116">
        <f ca="1"/>
        <v>3.9613479834660573E-5</v>
      </c>
      <c r="N24" s="116">
        <f ca="1"/>
        <v>3.4370538969480109E-3</v>
      </c>
      <c r="O24" s="116">
        <f ca="1"/>
        <v>3.5745242507232946E-4</v>
      </c>
      <c r="P24" s="116">
        <f ca="1"/>
        <v>0.19045174007207163</v>
      </c>
      <c r="Q24" s="116">
        <f ca="1"/>
        <v>3.941510735000475E-3</v>
      </c>
      <c r="R24" s="116">
        <f ca="1"/>
        <v>8.4589054700145685E-5</v>
      </c>
      <c r="S24" s="116">
        <f ca="1"/>
        <v>4.9656920090651341E-2</v>
      </c>
      <c r="T24" s="116">
        <f ca="1"/>
        <v>0.15637497907529813</v>
      </c>
      <c r="U24" s="283">
        <f t="shared" ca="1" si="10"/>
        <v>0.99999999999999933</v>
      </c>
      <c r="V24" s="418">
        <f t="shared" ca="1" si="14"/>
        <v>1.4299041585893261E-2</v>
      </c>
      <c r="W24" s="418">
        <f t="shared" ca="1" si="15"/>
        <v>4.0260997897006209E-3</v>
      </c>
      <c r="Y24" s="116">
        <f t="array" aca="1" ref="Y24:AK24" ca="1">MMULT(Y23:AK23, OFFSET(C.rngTPMroot, MIN(4, INT(($F23-70)/5))*13, $G24*16))</f>
        <v>0.72479101696505621</v>
      </c>
      <c r="Z24" s="116">
        <f ca="1"/>
        <v>0</v>
      </c>
      <c r="AA24" s="116">
        <f ca="1"/>
        <v>5.9634102117500044E-3</v>
      </c>
      <c r="AB24" s="116">
        <f ca="1"/>
        <v>6.102806784100143E-4</v>
      </c>
      <c r="AC24" s="116">
        <f ca="1"/>
        <v>2.6204995020002737E-4</v>
      </c>
      <c r="AD24" s="116">
        <f ca="1"/>
        <v>2.6817544946057352E-5</v>
      </c>
      <c r="AE24" s="116">
        <f ca="1"/>
        <v>1.4217971832151816E-3</v>
      </c>
      <c r="AF24" s="116">
        <f ca="1"/>
        <v>1.4550321355125711E-4</v>
      </c>
      <c r="AG24" s="116">
        <f ca="1"/>
        <v>9.2486555366890932E-2</v>
      </c>
      <c r="AH24" s="116">
        <f ca="1"/>
        <v>1.7768065815879865E-3</v>
      </c>
      <c r="AI24" s="116">
        <f ca="1"/>
        <v>3.7602351552442393E-5</v>
      </c>
      <c r="AJ24" s="116">
        <f ca="1"/>
        <v>2.0190951463833332E-2</v>
      </c>
      <c r="AK24" s="116">
        <f ca="1"/>
        <v>0.15228720848900648</v>
      </c>
      <c r="AL24" s="128">
        <f t="shared" ca="1" si="11"/>
        <v>1</v>
      </c>
      <c r="AM24" s="418">
        <f t="shared" ca="1" si="16"/>
        <v>7.6472573451652134E-3</v>
      </c>
      <c r="AN24" s="418">
        <f t="shared" ca="1" si="17"/>
        <v>1.8144089331404289E-3</v>
      </c>
    </row>
    <row r="25" spans="4:40" ht="12" customHeight="1" x14ac:dyDescent="0.25">
      <c r="D25" s="341">
        <f t="shared" si="12"/>
        <v>15</v>
      </c>
      <c r="E25" s="63">
        <f t="shared" si="8"/>
        <v>3.75</v>
      </c>
      <c r="F25" s="63">
        <f t="shared" si="13"/>
        <v>73.75</v>
      </c>
      <c r="G25" s="62">
        <f t="shared" si="9"/>
        <v>0</v>
      </c>
      <c r="H25" s="116">
        <f t="array" aca="1" ref="H25:T25" ca="1">MMULT(H24:T24, OFFSET(C.rngTPMroot, MIN(4, INT(($F24-70)/5))*13, $G25*16))</f>
        <v>0</v>
      </c>
      <c r="I25" s="116">
        <f ca="1"/>
        <v>0.56168815135114425</v>
      </c>
      <c r="J25" s="116">
        <f ca="1"/>
        <v>1.0206157928094258E-2</v>
      </c>
      <c r="K25" s="116">
        <f ca="1"/>
        <v>1.0578080267479595E-3</v>
      </c>
      <c r="L25" s="116">
        <f ca="1"/>
        <v>3.7401109369342188E-4</v>
      </c>
      <c r="M25" s="116">
        <f ca="1"/>
        <v>3.8670225763864405E-5</v>
      </c>
      <c r="N25" s="116">
        <f ca="1"/>
        <v>3.3366137845065253E-3</v>
      </c>
      <c r="O25" s="116">
        <f ca="1"/>
        <v>3.4695812208938924E-4</v>
      </c>
      <c r="P25" s="116">
        <f ca="1"/>
        <v>0.20006286567807022</v>
      </c>
      <c r="Q25" s="116">
        <f ca="1"/>
        <v>3.8575270564636236E-3</v>
      </c>
      <c r="R25" s="116">
        <f ca="1"/>
        <v>8.2771725435010047E-5</v>
      </c>
      <c r="S25" s="116">
        <f ca="1"/>
        <v>5.231405585768667E-2</v>
      </c>
      <c r="T25" s="116">
        <f ca="1"/>
        <v>0.16663440915030406</v>
      </c>
      <c r="U25" s="283">
        <f t="shared" ca="1" si="10"/>
        <v>0.99999999999999911</v>
      </c>
      <c r="V25" s="418">
        <f t="shared" ca="1" si="14"/>
        <v>1.3916782806294204E-2</v>
      </c>
      <c r="W25" s="418">
        <f t="shared" ca="1" si="15"/>
        <v>3.9402987818986336E-3</v>
      </c>
      <c r="Y25" s="116">
        <f t="array" aca="1" ref="Y25:AK25" ca="1">MMULT(Y24:AK24, OFFSET(C.rngTPMroot, MIN(4, INT(($F24-70)/5))*13, $G25*16))</f>
        <v>0.70831754961387916</v>
      </c>
      <c r="Z25" s="116">
        <f ca="1"/>
        <v>0</v>
      </c>
      <c r="AA25" s="116">
        <f ca="1"/>
        <v>5.8823446313931646E-3</v>
      </c>
      <c r="AB25" s="116">
        <f ca="1"/>
        <v>6.0198462705362838E-4</v>
      </c>
      <c r="AC25" s="116">
        <f ca="1"/>
        <v>2.5848768791366148E-4</v>
      </c>
      <c r="AD25" s="116">
        <f ca="1"/>
        <v>2.6452991818299304E-5</v>
      </c>
      <c r="AE25" s="116">
        <f ca="1"/>
        <v>1.4024695150329795E-3</v>
      </c>
      <c r="AF25" s="116">
        <f ca="1"/>
        <v>1.4352526770626444E-4</v>
      </c>
      <c r="AG25" s="116">
        <f ca="1"/>
        <v>9.7850090923810945E-2</v>
      </c>
      <c r="AH25" s="116">
        <f ca="1"/>
        <v>1.7630553018876741E-3</v>
      </c>
      <c r="AI25" s="116">
        <f ca="1"/>
        <v>3.7312938213347749E-5</v>
      </c>
      <c r="AJ25" s="116">
        <f ca="1"/>
        <v>2.1435068450279555E-2</v>
      </c>
      <c r="AK25" s="116">
        <f ca="1"/>
        <v>0.16228165805101125</v>
      </c>
      <c r="AL25" s="128">
        <f t="shared" ca="1" si="11"/>
        <v>0.99999999999999978</v>
      </c>
      <c r="AM25" s="418">
        <f t="shared" ca="1" si="16"/>
        <v>7.5433018343398061E-3</v>
      </c>
      <c r="AN25" s="418">
        <f t="shared" ca="1" si="17"/>
        <v>1.8003682401010219E-3</v>
      </c>
    </row>
    <row r="26" spans="4:40" ht="12" customHeight="1" x14ac:dyDescent="0.25">
      <c r="D26" s="341">
        <f t="shared" si="12"/>
        <v>16</v>
      </c>
      <c r="E26" s="63">
        <f t="shared" si="8"/>
        <v>4</v>
      </c>
      <c r="F26" s="63">
        <f t="shared" si="13"/>
        <v>74</v>
      </c>
      <c r="G26" s="62">
        <f t="shared" si="9"/>
        <v>0</v>
      </c>
      <c r="H26" s="116">
        <f t="array" aca="1" ref="H26:T26" ca="1">MMULT(H25:T25, OFFSET(C.rngTPMroot, MIN(4, INT(($F25-70)/5))*13, $G26*16))</f>
        <v>0</v>
      </c>
      <c r="I26" s="116">
        <f ca="1"/>
        <v>0.54049906477861265</v>
      </c>
      <c r="J26" s="116">
        <f ca="1"/>
        <v>9.9420284379749448E-3</v>
      </c>
      <c r="K26" s="116">
        <f ca="1"/>
        <v>1.0302746173470548E-3</v>
      </c>
      <c r="L26" s="116">
        <f ca="1"/>
        <v>3.6521405482576723E-4</v>
      </c>
      <c r="M26" s="116">
        <f ca="1"/>
        <v>3.7755063085771308E-5</v>
      </c>
      <c r="N26" s="116">
        <f ca="1"/>
        <v>3.2395654690093325E-3</v>
      </c>
      <c r="O26" s="116">
        <f ca="1"/>
        <v>3.3681905711106894E-4</v>
      </c>
      <c r="P26" s="116">
        <f ca="1"/>
        <v>0.20908310374460887</v>
      </c>
      <c r="Q26" s="116">
        <f ca="1"/>
        <v>3.7760097249322118E-3</v>
      </c>
      <c r="R26" s="116">
        <f ca="1"/>
        <v>8.1008068185736172E-5</v>
      </c>
      <c r="S26" s="116">
        <f ca="1"/>
        <v>5.4835317494712404E-2</v>
      </c>
      <c r="T26" s="116">
        <f ca="1"/>
        <v>0.17677383948959341</v>
      </c>
      <c r="U26" s="283">
        <f t="shared" ca="1" si="10"/>
        <v>0.99999999999999933</v>
      </c>
      <c r="V26" s="418">
        <f t="shared" ca="1" si="14"/>
        <v>1.3546807961810046E-2</v>
      </c>
      <c r="W26" s="418">
        <f t="shared" ca="1" si="15"/>
        <v>3.857017793117948E-3</v>
      </c>
      <c r="Y26" s="116">
        <f t="array" aca="1" ref="Y26:AK26" ca="1">MMULT(Y25:AK25, OFFSET(C.rngTPMroot, MIN(4, INT(($F25-70)/5))*13, $G26*16))</f>
        <v>0.69221850070914848</v>
      </c>
      <c r="Z26" s="116">
        <f ca="1"/>
        <v>0</v>
      </c>
      <c r="AA26" s="116">
        <f ca="1"/>
        <v>5.8023810426963392E-3</v>
      </c>
      <c r="AB26" s="116">
        <f ca="1"/>
        <v>5.9380135080309569E-4</v>
      </c>
      <c r="AC26" s="116">
        <f ca="1"/>
        <v>2.5497385041267401E-4</v>
      </c>
      <c r="AD26" s="116">
        <f ca="1"/>
        <v>2.6093394363524196E-5</v>
      </c>
      <c r="AE26" s="116">
        <f ca="1"/>
        <v>1.3834045838724649E-3</v>
      </c>
      <c r="AF26" s="116">
        <f ca="1"/>
        <v>1.4157420971941756E-4</v>
      </c>
      <c r="AG26" s="116">
        <f ca="1"/>
        <v>0.10299023455043001</v>
      </c>
      <c r="AH26" s="116">
        <f ca="1"/>
        <v>1.7493362534801308E-3</v>
      </c>
      <c r="AI26" s="116">
        <f ca="1"/>
        <v>3.7024161339641188E-5</v>
      </c>
      <c r="AJ26" s="116">
        <f ca="1"/>
        <v>2.2639688973327767E-2</v>
      </c>
      <c r="AK26" s="116">
        <f ca="1"/>
        <v>0.17216298692040644</v>
      </c>
      <c r="AL26" s="128">
        <f t="shared" ca="1" si="11"/>
        <v>1</v>
      </c>
      <c r="AM26" s="418">
        <f t="shared" ca="1" si="16"/>
        <v>7.4407594769814777E-3</v>
      </c>
      <c r="AN26" s="418">
        <f t="shared" ca="1" si="17"/>
        <v>1.7863604148197719E-3</v>
      </c>
    </row>
    <row r="27" spans="4:40" ht="12" customHeight="1" x14ac:dyDescent="0.25">
      <c r="D27" s="341">
        <f t="shared" si="12"/>
        <v>17</v>
      </c>
      <c r="E27" s="63">
        <f t="shared" si="8"/>
        <v>4.25</v>
      </c>
      <c r="F27" s="63">
        <f t="shared" si="13"/>
        <v>74.25</v>
      </c>
      <c r="G27" s="62">
        <f t="shared" si="9"/>
        <v>0</v>
      </c>
      <c r="H27" s="116">
        <f t="array" aca="1" ref="H27:T27" ca="1">MMULT(H26:T26, OFFSET(C.rngTPMroot, MIN(4, INT(($F26-70)/5))*13, $G27*16))</f>
        <v>0</v>
      </c>
      <c r="I27" s="116">
        <f ca="1"/>
        <v>0.52010931390276294</v>
      </c>
      <c r="J27" s="116">
        <f ca="1"/>
        <v>9.6862196348717344E-3</v>
      </c>
      <c r="K27" s="116">
        <f ca="1"/>
        <v>1.0036117035179758E-3</v>
      </c>
      <c r="L27" s="116">
        <f ca="1"/>
        <v>3.5667666266937272E-4</v>
      </c>
      <c r="M27" s="116">
        <f ca="1"/>
        <v>3.6867033925629515E-5</v>
      </c>
      <c r="N27" s="116">
        <f ca="1"/>
        <v>3.1457863979915076E-3</v>
      </c>
      <c r="O27" s="116">
        <f ca="1"/>
        <v>3.2702238172964881E-4</v>
      </c>
      <c r="P27" s="116">
        <f ca="1"/>
        <v>0.21753784859096714</v>
      </c>
      <c r="Q27" s="116">
        <f ca="1"/>
        <v>3.69687259744196E-3</v>
      </c>
      <c r="R27" s="116">
        <f ca="1"/>
        <v>7.9296204223576521E-5</v>
      </c>
      <c r="S27" s="116">
        <f ca="1"/>
        <v>5.7225929239385534E-2</v>
      </c>
      <c r="T27" s="116">
        <f ca="1"/>
        <v>0.1867945556505122</v>
      </c>
      <c r="U27" s="283">
        <f t="shared" ca="1" si="10"/>
        <v>0.999999999999999</v>
      </c>
      <c r="V27" s="418">
        <f t="shared" ca="1" si="14"/>
        <v>1.3188682695532614E-2</v>
      </c>
      <c r="W27" s="418">
        <f t="shared" ca="1" si="15"/>
        <v>3.7761688016655364E-3</v>
      </c>
      <c r="Y27" s="116">
        <f t="array" aca="1" ref="Y27:AK27" ca="1">MMULT(Y26:AK26, OFFSET(C.rngTPMroot, MIN(4, INT(($F26-70)/5))*13, $G27*16))</f>
        <v>0.67648536025293526</v>
      </c>
      <c r="Z27" s="116">
        <f ca="1"/>
        <v>0</v>
      </c>
      <c r="AA27" s="116">
        <f ca="1"/>
        <v>5.7235044653730308E-3</v>
      </c>
      <c r="AB27" s="116">
        <f ca="1"/>
        <v>5.857293166128799E-4</v>
      </c>
      <c r="AC27" s="116">
        <f ca="1"/>
        <v>2.5150777941879956E-4</v>
      </c>
      <c r="AD27" s="116">
        <f ca="1"/>
        <v>2.5738685215159532E-5</v>
      </c>
      <c r="AE27" s="116">
        <f ca="1"/>
        <v>1.3645988181314186E-3</v>
      </c>
      <c r="AF27" s="116">
        <f ca="1"/>
        <v>1.3964967408176308E-4</v>
      </c>
      <c r="AG27" s="116">
        <f ca="1"/>
        <v>0.10791344321599945</v>
      </c>
      <c r="AH27" s="116">
        <f ca="1"/>
        <v>1.7356512989040501E-3</v>
      </c>
      <c r="AI27" s="116">
        <f ca="1"/>
        <v>3.6736061323082776E-5</v>
      </c>
      <c r="AJ27" s="116">
        <f ca="1"/>
        <v>2.3805685808003154E-2</v>
      </c>
      <c r="AK27" s="116">
        <f ca="1"/>
        <v>0.18193239462400196</v>
      </c>
      <c r="AL27" s="128">
        <f t="shared" ca="1" si="11"/>
        <v>1</v>
      </c>
      <c r="AM27" s="418">
        <f t="shared" ca="1" si="16"/>
        <v>7.3396110629232484E-3</v>
      </c>
      <c r="AN27" s="418">
        <f t="shared" ca="1" si="17"/>
        <v>1.7723873602271329E-3</v>
      </c>
    </row>
    <row r="28" spans="4:40" ht="12" customHeight="1" x14ac:dyDescent="0.25">
      <c r="D28" s="341">
        <f t="shared" si="12"/>
        <v>18</v>
      </c>
      <c r="E28" s="63">
        <f t="shared" si="8"/>
        <v>4.5</v>
      </c>
      <c r="F28" s="63">
        <f t="shared" si="13"/>
        <v>74.5</v>
      </c>
      <c r="G28" s="62">
        <f t="shared" si="9"/>
        <v>0</v>
      </c>
      <c r="H28" s="116">
        <f t="array" aca="1" ref="H28:T28" ca="1">MMULT(H27:T27, OFFSET(C.rngTPMroot, MIN(4, INT(($F27-70)/5))*13, $G28*16))</f>
        <v>0</v>
      </c>
      <c r="I28" s="116">
        <f ca="1"/>
        <v>0.50048874463678239</v>
      </c>
      <c r="J28" s="116">
        <f ca="1"/>
        <v>9.4384399687013881E-3</v>
      </c>
      <c r="K28" s="116">
        <f ca="1"/>
        <v>9.7778873285771489E-4</v>
      </c>
      <c r="L28" s="116">
        <f ca="1"/>
        <v>3.4839010396923471E-4</v>
      </c>
      <c r="M28" s="116">
        <f ca="1"/>
        <v>3.6005215159053414E-5</v>
      </c>
      <c r="N28" s="116">
        <f ca="1"/>
        <v>3.0551585687498732E-3</v>
      </c>
      <c r="O28" s="116">
        <f ca="1"/>
        <v>3.1755572471838574E-4</v>
      </c>
      <c r="P28" s="116">
        <f ca="1"/>
        <v>0.22545149437141004</v>
      </c>
      <c r="Q28" s="116">
        <f ca="1"/>
        <v>3.6200327262315779E-3</v>
      </c>
      <c r="R28" s="116">
        <f ca="1"/>
        <v>7.763432454628123E-5</v>
      </c>
      <c r="S28" s="116">
        <f ca="1"/>
        <v>5.9490922650265732E-2</v>
      </c>
      <c r="T28" s="116">
        <f ca="1"/>
        <v>0.19669783297660748</v>
      </c>
      <c r="U28" s="283">
        <f t="shared" ca="1" si="10"/>
        <v>0.999999999999999</v>
      </c>
      <c r="V28" s="418">
        <f t="shared" ca="1" si="14"/>
        <v>1.2841988641420495E-2</v>
      </c>
      <c r="W28" s="418">
        <f t="shared" ca="1" si="15"/>
        <v>3.6976670507778593E-3</v>
      </c>
      <c r="Y28" s="116">
        <f t="array" aca="1" ref="Y28:AK28" ca="1">MMULT(Y27:AK27, OFFSET(C.rngTPMroot, MIN(4, INT(($F27-70)/5))*13, $G28*16))</f>
        <v>0.66110981166744109</v>
      </c>
      <c r="Z28" s="116">
        <f ca="1"/>
        <v>0</v>
      </c>
      <c r="AA28" s="116">
        <f ca="1"/>
        <v>5.6457001227762016E-3</v>
      </c>
      <c r="AB28" s="116">
        <f ca="1"/>
        <v>5.77767012277404E-4</v>
      </c>
      <c r="AC28" s="116">
        <f ca="1"/>
        <v>2.4808882560229501E-4</v>
      </c>
      <c r="AD28" s="116">
        <f ca="1"/>
        <v>2.538879792240249E-5</v>
      </c>
      <c r="AE28" s="116">
        <f ca="1"/>
        <v>1.3460486947593727E-3</v>
      </c>
      <c r="AF28" s="116">
        <f ca="1"/>
        <v>1.3775130025301392E-4</v>
      </c>
      <c r="AG28" s="116">
        <f ca="1"/>
        <v>0.1126260083781615</v>
      </c>
      <c r="AH28" s="116">
        <f ca="1"/>
        <v>1.7220022411637724E-3</v>
      </c>
      <c r="AI28" s="116">
        <f ca="1"/>
        <v>3.6448677276985086E-5</v>
      </c>
      <c r="AJ28" s="116">
        <f ca="1"/>
        <v>2.4933914870033311E-2</v>
      </c>
      <c r="AK28" s="116">
        <f ca="1"/>
        <v>0.19159106941233267</v>
      </c>
      <c r="AL28" s="128">
        <f t="shared" ca="1" si="11"/>
        <v>1.0000000000000002</v>
      </c>
      <c r="AM28" s="418">
        <f t="shared" ca="1" si="16"/>
        <v>7.2398376431378701E-3</v>
      </c>
      <c r="AN28" s="418">
        <f t="shared" ca="1" si="17"/>
        <v>1.7584509184407574E-3</v>
      </c>
    </row>
    <row r="29" spans="4:40" ht="12" customHeight="1" x14ac:dyDescent="0.25">
      <c r="D29" s="341">
        <f t="shared" si="12"/>
        <v>19</v>
      </c>
      <c r="E29" s="63">
        <f t="shared" si="8"/>
        <v>4.75</v>
      </c>
      <c r="F29" s="63">
        <f t="shared" si="13"/>
        <v>74.75</v>
      </c>
      <c r="G29" s="62">
        <f t="shared" si="9"/>
        <v>0</v>
      </c>
      <c r="H29" s="116">
        <f t="array" aca="1" ref="H29:T29" ca="1">MMULT(H28:T28, OFFSET(C.rngTPMroot, MIN(4, INT(($F28-70)/5))*13, $G29*16))</f>
        <v>0</v>
      </c>
      <c r="I29" s="116">
        <f ca="1"/>
        <v>0.48160834042462958</v>
      </c>
      <c r="J29" s="116">
        <f ca="1"/>
        <v>9.198408584124634E-3</v>
      </c>
      <c r="K29" s="116">
        <f ca="1"/>
        <v>9.5277627444304274E-4</v>
      </c>
      <c r="L29" s="116">
        <f ca="1"/>
        <v>3.4034588459674637E-4</v>
      </c>
      <c r="M29" s="116">
        <f ca="1"/>
        <v>3.5168717119922763E-5</v>
      </c>
      <c r="N29" s="116">
        <f ca="1"/>
        <v>2.9675683577058687E-3</v>
      </c>
      <c r="O29" s="116">
        <f ca="1"/>
        <v>3.0840717413247945E-4</v>
      </c>
      <c r="P29" s="116">
        <f ca="1"/>
        <v>0.2328474733788895</v>
      </c>
      <c r="Q29" s="116">
        <f ca="1"/>
        <v>3.5454102383626462E-3</v>
      </c>
      <c r="R29" s="116">
        <f ca="1"/>
        <v>7.60206872508632E-5</v>
      </c>
      <c r="S29" s="116">
        <f ca="1"/>
        <v>6.1635143730269244E-2</v>
      </c>
      <c r="T29" s="116">
        <f ca="1"/>
        <v>0.20648493654847458</v>
      </c>
      <c r="U29" s="283">
        <f t="shared" ca="1" si="10"/>
        <v>0.99999999999999911</v>
      </c>
      <c r="V29" s="418">
        <f t="shared" ca="1" si="14"/>
        <v>1.250632282642725E-2</v>
      </c>
      <c r="W29" s="418">
        <f t="shared" ca="1" si="15"/>
        <v>3.6214309256135096E-3</v>
      </c>
      <c r="Y29" s="116">
        <f t="array" aca="1" ref="Y29:AK29" ca="1">MMULT(Y28:AK28, OFFSET(C.rngTPMroot, MIN(4, INT(($F28-70)/5))*13, $G29*16))</f>
        <v>0.64608372739883402</v>
      </c>
      <c r="Z29" s="116">
        <f ca="1"/>
        <v>0</v>
      </c>
      <c r="AA29" s="116">
        <f ca="1"/>
        <v>5.568953439130029E-3</v>
      </c>
      <c r="AB29" s="116">
        <f ca="1"/>
        <v>5.6991294614775563E-4</v>
      </c>
      <c r="AC29" s="116">
        <f ca="1"/>
        <v>2.4471634846029493E-4</v>
      </c>
      <c r="AD29" s="116">
        <f ca="1"/>
        <v>2.5043666937771114E-5</v>
      </c>
      <c r="AE29" s="116">
        <f ca="1"/>
        <v>1.3277507385976058E-3</v>
      </c>
      <c r="AF29" s="116">
        <f ca="1"/>
        <v>1.3587873259400613E-4</v>
      </c>
      <c r="AG29" s="116">
        <f ca="1"/>
        <v>0.11713405999972964</v>
      </c>
      <c r="AH29" s="116">
        <f ca="1"/>
        <v>1.7083908250474255E-3</v>
      </c>
      <c r="AI29" s="116">
        <f ca="1"/>
        <v>3.616204706443925E-5</v>
      </c>
      <c r="AJ29" s="116">
        <f ca="1"/>
        <v>2.6025215519314401E-2</v>
      </c>
      <c r="AK29" s="116">
        <f ca="1"/>
        <v>0.20114018833814268</v>
      </c>
      <c r="AL29" s="128">
        <f t="shared" ca="1" si="11"/>
        <v>1</v>
      </c>
      <c r="AM29" s="418">
        <f t="shared" ca="1" si="16"/>
        <v>7.1414205261879299E-3</v>
      </c>
      <c r="AN29" s="418">
        <f t="shared" ca="1" si="17"/>
        <v>1.7445528721118648E-3</v>
      </c>
    </row>
    <row r="30" spans="4:40" ht="12" customHeight="1" x14ac:dyDescent="0.25">
      <c r="D30" s="341">
        <f t="shared" si="12"/>
        <v>20</v>
      </c>
      <c r="E30" s="63">
        <f t="shared" si="8"/>
        <v>5</v>
      </c>
      <c r="F30" s="63">
        <f t="shared" si="13"/>
        <v>75</v>
      </c>
      <c r="G30" s="62">
        <f t="shared" si="9"/>
        <v>0</v>
      </c>
      <c r="H30" s="116">
        <f t="array" aca="1" ref="H30:T30" ca="1">MMULT(H29:T29, OFFSET(C.rngTPMroot, MIN(4, INT(($F29-70)/5))*13, $G30*16))</f>
        <v>0</v>
      </c>
      <c r="I30" s="116">
        <f ca="1"/>
        <v>0.46344017932889886</v>
      </c>
      <c r="J30" s="116">
        <f ca="1"/>
        <v>8.965854921226429E-3</v>
      </c>
      <c r="K30" s="116">
        <f ca="1"/>
        <v>9.285459769463357E-4</v>
      </c>
      <c r="L30" s="116">
        <f ca="1"/>
        <v>3.3253581769239368E-4</v>
      </c>
      <c r="M30" s="116">
        <f ca="1"/>
        <v>3.4356682356769363E-5</v>
      </c>
      <c r="N30" s="116">
        <f ca="1"/>
        <v>2.8829063561919546E-3</v>
      </c>
      <c r="O30" s="116">
        <f ca="1"/>
        <v>2.9956526008387328E-4</v>
      </c>
      <c r="P30" s="116">
        <f ca="1"/>
        <v>0.23974829289598268</v>
      </c>
      <c r="Q30" s="116">
        <f ca="1"/>
        <v>3.4729282198872956E-3</v>
      </c>
      <c r="R30" s="116">
        <f ca="1"/>
        <v>7.4453615005615634E-5</v>
      </c>
      <c r="S30" s="116">
        <f ca="1"/>
        <v>6.3663259784640644E-2</v>
      </c>
      <c r="T30" s="116">
        <f ca="1"/>
        <v>0.21615712114108623</v>
      </c>
      <c r="U30" s="283">
        <f t="shared" ca="1" si="10"/>
        <v>0.999999999999999</v>
      </c>
      <c r="V30" s="418">
        <f t="shared" ca="1" si="14"/>
        <v>1.2181297095110778E-2</v>
      </c>
      <c r="W30" s="418">
        <f t="shared" ca="1" si="15"/>
        <v>3.5473818348929114E-3</v>
      </c>
      <c r="Y30" s="116">
        <f t="array" aca="1" ref="Y30:AK30" ca="1">MMULT(Y29:AK29, OFFSET(C.rngTPMroot, MIN(4, INT(($F29-70)/5))*13, $G30*16))</f>
        <v>0.63139916462100287</v>
      </c>
      <c r="Z30" s="116">
        <f ca="1"/>
        <v>0</v>
      </c>
      <c r="AA30" s="116">
        <f ca="1"/>
        <v>5.4932500367992987E-3</v>
      </c>
      <c r="AB30" s="116">
        <f ca="1"/>
        <v>5.6216564685224288E-4</v>
      </c>
      <c r="AC30" s="116">
        <f ca="1"/>
        <v>2.4138971619682049E-4</v>
      </c>
      <c r="AD30" s="116">
        <f ca="1"/>
        <v>2.4703227604824735E-5</v>
      </c>
      <c r="AE30" s="116">
        <f ca="1"/>
        <v>1.3097015217281107E-3</v>
      </c>
      <c r="AF30" s="116">
        <f ca="1"/>
        <v>1.3403162030007382E-4</v>
      </c>
      <c r="AG30" s="116">
        <f ca="1"/>
        <v>0.12144357047070778</v>
      </c>
      <c r="AH30" s="116">
        <f ca="1"/>
        <v>1.6948187384195834E-3</v>
      </c>
      <c r="AI30" s="116">
        <f ca="1"/>
        <v>3.5876207325995971E-5</v>
      </c>
      <c r="AJ30" s="116">
        <f ca="1"/>
        <v>2.7080410858147358E-2</v>
      </c>
      <c r="AK30" s="116">
        <f ca="1"/>
        <v>0.21058091733491513</v>
      </c>
      <c r="AL30" s="128">
        <f t="shared" ca="1" si="11"/>
        <v>1.0000000000000004</v>
      </c>
      <c r="AM30" s="418">
        <f t="shared" ca="1" si="16"/>
        <v>7.0443412747242303E-3</v>
      </c>
      <c r="AN30" s="418">
        <f t="shared" ca="1" si="17"/>
        <v>1.7306949457455794E-3</v>
      </c>
    </row>
    <row r="31" spans="4:40" ht="12" customHeight="1" x14ac:dyDescent="0.25">
      <c r="D31" s="341">
        <f t="shared" si="12"/>
        <v>21</v>
      </c>
      <c r="E31" s="63">
        <f t="shared" si="8"/>
        <v>5.25</v>
      </c>
      <c r="F31" s="63">
        <f t="shared" si="13"/>
        <v>75.25</v>
      </c>
      <c r="G31" s="62">
        <f t="shared" si="9"/>
        <v>0</v>
      </c>
      <c r="H31" s="116">
        <f t="array" aca="1" ref="H31:T31" ca="1">MMULT(H30:T30, OFFSET(C.rngTPMroot, MIN(4, INT(($F30-70)/5))*13, $G31*16))</f>
        <v>0</v>
      </c>
      <c r="I31" s="116">
        <f ca="1"/>
        <v>0.44192119237406835</v>
      </c>
      <c r="J31" s="116">
        <f ca="1"/>
        <v>8.7405183312040044E-3</v>
      </c>
      <c r="K31" s="116">
        <f ca="1"/>
        <v>9.0507052832569667E-4</v>
      </c>
      <c r="L31" s="116">
        <f ca="1"/>
        <v>3.2495201225329011E-4</v>
      </c>
      <c r="M31" s="116">
        <f ca="1"/>
        <v>3.3568284435825243E-5</v>
      </c>
      <c r="N31" s="116">
        <f ca="1"/>
        <v>2.8010672124194284E-3</v>
      </c>
      <c r="O31" s="116">
        <f ca="1"/>
        <v>2.9101893816448765E-4</v>
      </c>
      <c r="P31" s="116">
        <f ca="1"/>
        <v>0.24383112160103693</v>
      </c>
      <c r="Q31" s="116">
        <f ca="1"/>
        <v>3.402512604391898E-3</v>
      </c>
      <c r="R31" s="116">
        <f ca="1"/>
        <v>7.2931492617633273E-5</v>
      </c>
      <c r="S31" s="116">
        <f ca="1"/>
        <v>6.4726238381014364E-2</v>
      </c>
      <c r="T31" s="116">
        <f ca="1"/>
        <v>0.23294980824006717</v>
      </c>
      <c r="U31" s="283">
        <f t="shared" ca="1" si="10"/>
        <v>0.99999999999999911</v>
      </c>
      <c r="V31" s="418">
        <f t="shared" ca="1" si="14"/>
        <v>1.1866537555876723E-2</v>
      </c>
      <c r="W31" s="418">
        <f t="shared" ca="1" si="15"/>
        <v>3.4754440970095313E-3</v>
      </c>
      <c r="Y31" s="116">
        <f t="array" aca="1" ref="Y31:AK31" ca="1">MMULT(Y30:AK30, OFFSET(C.rngTPMroot, MIN(4, INT(($F30-70)/5))*13, $G31*16))</f>
        <v>0.61154936968622287</v>
      </c>
      <c r="Z31" s="116">
        <f ca="1"/>
        <v>0</v>
      </c>
      <c r="AA31" s="116">
        <f ca="1"/>
        <v>5.4185757335959168E-3</v>
      </c>
      <c r="AB31" s="116">
        <f ca="1"/>
        <v>5.5452366302074965E-4</v>
      </c>
      <c r="AC31" s="116">
        <f ca="1"/>
        <v>2.381083056044196E-4</v>
      </c>
      <c r="AD31" s="116">
        <f ca="1"/>
        <v>2.4367416146051289E-5</v>
      </c>
      <c r="AE31" s="116">
        <f ca="1"/>
        <v>1.2918976628314126E-3</v>
      </c>
      <c r="AF31" s="116">
        <f ca="1"/>
        <v>1.3220961733532985E-4</v>
      </c>
      <c r="AG31" s="116">
        <f ca="1"/>
        <v>0.12436843912674111</v>
      </c>
      <c r="AH31" s="116">
        <f ca="1"/>
        <v>1.6812876134888939E-3</v>
      </c>
      <c r="AI31" s="116">
        <f ca="1"/>
        <v>3.5591193506811281E-5</v>
      </c>
      <c r="AJ31" s="116">
        <f ca="1"/>
        <v>2.7727682967474569E-2</v>
      </c>
      <c r="AK31" s="116">
        <f ca="1"/>
        <v>0.22697794701403198</v>
      </c>
      <c r="AL31" s="128">
        <f t="shared" ca="1" si="11"/>
        <v>1.0000000000000002</v>
      </c>
      <c r="AM31" s="418">
        <f t="shared" ca="1" si="16"/>
        <v>6.9485817020317484E-3</v>
      </c>
      <c r="AN31" s="418">
        <f t="shared" ca="1" si="17"/>
        <v>1.7168788069957051E-3</v>
      </c>
    </row>
    <row r="32" spans="4:40" ht="12" customHeight="1" x14ac:dyDescent="0.25">
      <c r="D32" s="341">
        <f t="shared" si="12"/>
        <v>22</v>
      </c>
      <c r="E32" s="63">
        <f t="shared" si="8"/>
        <v>5.5</v>
      </c>
      <c r="F32" s="63">
        <f t="shared" si="13"/>
        <v>75.5</v>
      </c>
      <c r="G32" s="62">
        <f t="shared" si="9"/>
        <v>0</v>
      </c>
      <c r="H32" s="116">
        <f t="array" aca="1" ref="H32:T32" ca="1">MMULT(H31:T31, OFFSET(C.rngTPMroot, MIN(4, INT(($F31-70)/5))*13, $G32*16))</f>
        <v>0</v>
      </c>
      <c r="I32" s="116">
        <f ca="1"/>
        <v>0.42140139974941593</v>
      </c>
      <c r="J32" s="116">
        <f ca="1"/>
        <v>8.4441790012601842E-3</v>
      </c>
      <c r="K32" s="116">
        <f ca="1"/>
        <v>8.8232361703005754E-4</v>
      </c>
      <c r="L32" s="116">
        <f ca="1"/>
        <v>3.1467568181182753E-4</v>
      </c>
      <c r="M32" s="116">
        <f ca="1"/>
        <v>3.2802726788975671E-5</v>
      </c>
      <c r="N32" s="116">
        <f ca="1"/>
        <v>2.6971143418936579E-3</v>
      </c>
      <c r="O32" s="116">
        <f ca="1"/>
        <v>2.8275757349344399E-4</v>
      </c>
      <c r="P32" s="116">
        <f ca="1"/>
        <v>0.24748581333651262</v>
      </c>
      <c r="Q32" s="116">
        <f ca="1"/>
        <v>3.3019302587901571E-3</v>
      </c>
      <c r="R32" s="116">
        <f ca="1"/>
        <v>7.1452764692229927E-5</v>
      </c>
      <c r="S32" s="116">
        <f ca="1"/>
        <v>6.5691545828289288E-2</v>
      </c>
      <c r="T32" s="116">
        <f ca="1"/>
        <v>0.24939400512002063</v>
      </c>
      <c r="U32" s="283">
        <f t="shared" ca="1" si="10"/>
        <v>0.999999999999999</v>
      </c>
      <c r="V32" s="418">
        <f t="shared" ca="1" si="14"/>
        <v>1.145596902496567E-2</v>
      </c>
      <c r="W32" s="418">
        <f t="shared" ca="1" si="15"/>
        <v>3.3733830234823868E-3</v>
      </c>
      <c r="Y32" s="116">
        <f t="array" aca="1" ref="Y32:AK32" ca="1">MMULT(Y31:AK31, OFFSET(C.rngTPMroot, MIN(4, INT(($F31-70)/5))*13, $G32*16))</f>
        <v>0.59232360845473309</v>
      </c>
      <c r="Z32" s="116">
        <f ca="1"/>
        <v>0</v>
      </c>
      <c r="AA32" s="116">
        <f ca="1"/>
        <v>5.2967587981960626E-3</v>
      </c>
      <c r="AB32" s="116">
        <f ca="1"/>
        <v>5.4698556301283725E-4</v>
      </c>
      <c r="AC32" s="116">
        <f ca="1"/>
        <v>2.3275530778579665E-4</v>
      </c>
      <c r="AD32" s="116">
        <f ca="1"/>
        <v>2.4036169650919338E-5</v>
      </c>
      <c r="AE32" s="116">
        <f ca="1"/>
        <v>1.2628540502893548E-3</v>
      </c>
      <c r="AF32" s="116">
        <f ca="1"/>
        <v>1.3041238236783981E-4</v>
      </c>
      <c r="AG32" s="116">
        <f ca="1"/>
        <v>0.12710969608848541</v>
      </c>
      <c r="AH32" s="116">
        <f ca="1"/>
        <v>1.6519661424624433E-3</v>
      </c>
      <c r="AI32" s="116">
        <f ca="1"/>
        <v>3.53070398832668E-5</v>
      </c>
      <c r="AJ32" s="116">
        <f ca="1"/>
        <v>2.8341868981350955E-2</v>
      </c>
      <c r="AK32" s="116">
        <f ca="1"/>
        <v>0.24304375102178216</v>
      </c>
      <c r="AL32" s="128">
        <f t="shared" ca="1" si="11"/>
        <v>1.0000000000000002</v>
      </c>
      <c r="AM32" s="418">
        <f t="shared" ca="1" si="16"/>
        <v>6.7923681562712139E-3</v>
      </c>
      <c r="AN32" s="418">
        <f t="shared" ca="1" si="17"/>
        <v>1.6872731823457101E-3</v>
      </c>
    </row>
    <row r="33" spans="4:40" ht="12" customHeight="1" x14ac:dyDescent="0.25">
      <c r="D33" s="341">
        <f t="shared" si="12"/>
        <v>23</v>
      </c>
      <c r="E33" s="63">
        <f t="shared" si="8"/>
        <v>5.75</v>
      </c>
      <c r="F33" s="63">
        <f t="shared" si="13"/>
        <v>75.75</v>
      </c>
      <c r="G33" s="62">
        <f t="shared" si="9"/>
        <v>0</v>
      </c>
      <c r="H33" s="116">
        <f t="array" aca="1" ref="H33:T33" ca="1">MMULT(H32:T32, OFFSET(C.rngTPMroot, MIN(4, INT(($F32-70)/5))*13, $G33*16))</f>
        <v>0</v>
      </c>
      <c r="I33" s="116">
        <f ca="1"/>
        <v>0.40183440571560897</v>
      </c>
      <c r="J33" s="116">
        <f ca="1"/>
        <v>8.1598826188280463E-3</v>
      </c>
      <c r="K33" s="116">
        <f ca="1"/>
        <v>8.5240923672027125E-4</v>
      </c>
      <c r="L33" s="116">
        <f ca="1"/>
        <v>3.0480106276296382E-4</v>
      </c>
      <c r="M33" s="116">
        <f ca="1"/>
        <v>3.1765368510973139E-5</v>
      </c>
      <c r="N33" s="116">
        <f ca="1"/>
        <v>2.5975789581456771E-3</v>
      </c>
      <c r="O33" s="116">
        <f ca="1"/>
        <v>2.7226390832995928E-4</v>
      </c>
      <c r="P33" s="116">
        <f ca="1"/>
        <v>0.25064486610069148</v>
      </c>
      <c r="Q33" s="116">
        <f ca="1"/>
        <v>3.2052173871840828E-3</v>
      </c>
      <c r="R33" s="116">
        <f ca="1"/>
        <v>6.9340535434593361E-5</v>
      </c>
      <c r="S33" s="116">
        <f ca="1"/>
        <v>6.6535847830122702E-2</v>
      </c>
      <c r="T33" s="116">
        <f ca="1"/>
        <v>0.26549162127765935</v>
      </c>
      <c r="U33" s="283">
        <f t="shared" ca="1" si="10"/>
        <v>0.999999999999999</v>
      </c>
      <c r="V33" s="418">
        <f t="shared" ca="1" si="14"/>
        <v>1.1062262639736687E-2</v>
      </c>
      <c r="W33" s="418">
        <f t="shared" ca="1" si="15"/>
        <v>3.2745579226186763E-3</v>
      </c>
      <c r="Y33" s="116">
        <f t="array" aca="1" ref="Y33:AK33" ca="1">MMULT(Y32:AK32, OFFSET(C.rngTPMroot, MIN(4, INT(($F32-70)/5))*13, $G33*16))</f>
        <v>0.57370226268543223</v>
      </c>
      <c r="Z33" s="116">
        <f ca="1"/>
        <v>0</v>
      </c>
      <c r="AA33" s="116">
        <f ca="1"/>
        <v>5.1781117944423236E-3</v>
      </c>
      <c r="AB33" s="116">
        <f ca="1"/>
        <v>5.3468858530685828E-4</v>
      </c>
      <c r="AC33" s="116">
        <f ca="1"/>
        <v>2.2754160617530054E-4</v>
      </c>
      <c r="AD33" s="116">
        <f ca="1"/>
        <v>2.3495803940522069E-5</v>
      </c>
      <c r="AE33" s="116">
        <f ca="1"/>
        <v>1.2345662133396837E-3</v>
      </c>
      <c r="AF33" s="116">
        <f ca="1"/>
        <v>1.2748053504498224E-4</v>
      </c>
      <c r="AG33" s="116">
        <f ca="1"/>
        <v>0.12962131417372835</v>
      </c>
      <c r="AH33" s="116">
        <f ca="1"/>
        <v>1.6232980696478754E-3</v>
      </c>
      <c r="AI33" s="116">
        <f ca="1"/>
        <v>3.4691288991711336E-5</v>
      </c>
      <c r="AJ33" s="116">
        <f ca="1"/>
        <v>2.8910151958502738E-2</v>
      </c>
      <c r="AK33" s="116">
        <f ca="1"/>
        <v>0.25878239728544755</v>
      </c>
      <c r="AL33" s="128">
        <f t="shared" ca="1" si="11"/>
        <v>1.0000000000000002</v>
      </c>
      <c r="AM33" s="418">
        <f t="shared" ca="1" si="16"/>
        <v>6.6402196139573079E-3</v>
      </c>
      <c r="AN33" s="418">
        <f t="shared" ca="1" si="17"/>
        <v>1.6579893586395867E-3</v>
      </c>
    </row>
    <row r="34" spans="4:40" ht="12" customHeight="1" x14ac:dyDescent="0.25">
      <c r="D34" s="341">
        <f t="shared" si="12"/>
        <v>24</v>
      </c>
      <c r="E34" s="63">
        <f t="shared" si="8"/>
        <v>6</v>
      </c>
      <c r="F34" s="63">
        <f t="shared" si="13"/>
        <v>76</v>
      </c>
      <c r="G34" s="62">
        <f t="shared" si="9"/>
        <v>0</v>
      </c>
      <c r="H34" s="116">
        <f t="array" aca="1" ref="H34:T34" ca="1">MMULT(H33:T33, OFFSET(C.rngTPMroot, MIN(4, INT(($F33-70)/5))*13, $G34*16))</f>
        <v>0</v>
      </c>
      <c r="I34" s="116">
        <f ca="1"/>
        <v>0.38317596883359767</v>
      </c>
      <c r="J34" s="116">
        <f ca="1"/>
        <v>7.8864410629316678E-3</v>
      </c>
      <c r="K34" s="116">
        <f ca="1"/>
        <v>8.2371054827286305E-4</v>
      </c>
      <c r="L34" s="116">
        <f ca="1"/>
        <v>2.9528186537421521E-4</v>
      </c>
      <c r="M34" s="116">
        <f ca="1"/>
        <v>3.0768561540740842E-5</v>
      </c>
      <c r="N34" s="116">
        <f ca="1"/>
        <v>2.502105994004346E-3</v>
      </c>
      <c r="O34" s="116">
        <f ca="1"/>
        <v>2.6221617243110944E-4</v>
      </c>
      <c r="P34" s="116">
        <f ca="1"/>
        <v>0.25332899336367143</v>
      </c>
      <c r="Q34" s="116">
        <f ca="1"/>
        <v>3.111832316326381E-3</v>
      </c>
      <c r="R34" s="116">
        <f ca="1"/>
        <v>6.7309565130865799E-5</v>
      </c>
      <c r="S34" s="116">
        <f ca="1"/>
        <v>6.7265889692379358E-2</v>
      </c>
      <c r="T34" s="116">
        <f ca="1"/>
        <v>0.28124948202433842</v>
      </c>
      <c r="U34" s="283">
        <f t="shared" ca="1" si="10"/>
        <v>0.99999999999999911</v>
      </c>
      <c r="V34" s="418">
        <f t="shared" ca="1" si="14"/>
        <v>1.0683828922310228E-2</v>
      </c>
      <c r="W34" s="418">
        <f t="shared" ca="1" si="15"/>
        <v>3.1791418814572469E-3</v>
      </c>
      <c r="Y34" s="116">
        <f t="array" aca="1" ref="Y34:AK34" ca="1">MMULT(Y33:AK33, OFFSET(C.rngTPMroot, MIN(4, INT(($F33-70)/5))*13, $G34*16))</f>
        <v>0.55566633089138129</v>
      </c>
      <c r="Z34" s="116">
        <f ca="1"/>
        <v>0</v>
      </c>
      <c r="AA34" s="116">
        <f ca="1"/>
        <v>5.0621622402594827E-3</v>
      </c>
      <c r="AB34" s="116">
        <f ca="1"/>
        <v>5.2271160070080261E-4</v>
      </c>
      <c r="AC34" s="116">
        <f ca="1"/>
        <v>2.2244643850773666E-4</v>
      </c>
      <c r="AD34" s="116">
        <f ca="1"/>
        <v>2.2969499677001957E-5</v>
      </c>
      <c r="AE34" s="116">
        <f ca="1"/>
        <v>1.2069215027330925E-3</v>
      </c>
      <c r="AF34" s="116">
        <f ca="1"/>
        <v>1.2462498052640344E-4</v>
      </c>
      <c r="AG34" s="116">
        <f ca="1"/>
        <v>0.13190814646805249</v>
      </c>
      <c r="AH34" s="116">
        <f ca="1"/>
        <v>1.5950662364918025E-3</v>
      </c>
      <c r="AI34" s="116">
        <f ca="1"/>
        <v>3.4089259462605411E-5</v>
      </c>
      <c r="AJ34" s="116">
        <f ca="1"/>
        <v>2.9434292186077515E-2</v>
      </c>
      <c r="AK34" s="116">
        <f ca="1"/>
        <v>0.27420023869612992</v>
      </c>
      <c r="AL34" s="128">
        <f t="shared" ca="1" si="11"/>
        <v>1</v>
      </c>
      <c r="AM34" s="418">
        <f t="shared" ca="1" si="16"/>
        <v>6.4915301815003119E-3</v>
      </c>
      <c r="AN34" s="418">
        <f t="shared" ca="1" si="17"/>
        <v>1.6291554959544079E-3</v>
      </c>
    </row>
    <row r="35" spans="4:40" ht="12" customHeight="1" x14ac:dyDescent="0.25">
      <c r="D35" s="341">
        <f t="shared" si="12"/>
        <v>25</v>
      </c>
      <c r="E35" s="63">
        <f t="shared" si="8"/>
        <v>6.25</v>
      </c>
      <c r="F35" s="63">
        <f t="shared" si="13"/>
        <v>76.25</v>
      </c>
      <c r="G35" s="62">
        <f t="shared" si="9"/>
        <v>0</v>
      </c>
      <c r="H35" s="116">
        <f t="array" aca="1" ref="H35:T35" ca="1">MMULT(H34:T34, OFFSET(C.rngTPMroot, MIN(4, INT(($F34-70)/5))*13, $G35*16))</f>
        <v>0</v>
      </c>
      <c r="I35" s="116">
        <f ca="1"/>
        <v>0.36538390193366893</v>
      </c>
      <c r="J35" s="116">
        <f ca="1"/>
        <v>7.6233337511946823E-3</v>
      </c>
      <c r="K35" s="116">
        <f ca="1"/>
        <v>7.9610761518553142E-4</v>
      </c>
      <c r="L35" s="116">
        <f ca="1"/>
        <v>2.8610085866471492E-4</v>
      </c>
      <c r="M35" s="116">
        <f ca="1"/>
        <v>2.9807633097712588E-5</v>
      </c>
      <c r="N35" s="116">
        <f ca="1"/>
        <v>2.4105028706309902E-3</v>
      </c>
      <c r="O35" s="116">
        <f ca="1"/>
        <v>2.5257852305406658E-4</v>
      </c>
      <c r="P35" s="116">
        <f ca="1"/>
        <v>0.25556776916604601</v>
      </c>
      <c r="Q35" s="116">
        <f ca="1"/>
        <v>3.0216235492668423E-3</v>
      </c>
      <c r="R35" s="116">
        <f ca="1"/>
        <v>6.5348478642854055E-5</v>
      </c>
      <c r="S35" s="116">
        <f ca="1"/>
        <v>6.7888365857292646E-2</v>
      </c>
      <c r="T35" s="116">
        <f ca="1"/>
        <v>0.29667455976325408</v>
      </c>
      <c r="U35" s="283">
        <f t="shared" ca="1" si="10"/>
        <v>0.99999999999999889</v>
      </c>
      <c r="V35" s="418">
        <f t="shared" ca="1" si="14"/>
        <v>1.0319937480490388E-2</v>
      </c>
      <c r="W35" s="418">
        <f t="shared" ca="1" si="15"/>
        <v>3.0869720279096961E-3</v>
      </c>
      <c r="Y35" s="116">
        <f t="array" aca="1" ref="Y35:AK35" ca="1">MMULT(Y34:AK34, OFFSET(C.rngTPMroot, MIN(4, INT(($F34-70)/5))*13, $G35*16))</f>
        <v>0.53819740895041512</v>
      </c>
      <c r="Z35" s="116">
        <f ca="1"/>
        <v>0</v>
      </c>
      <c r="AA35" s="116">
        <f ca="1"/>
        <v>4.9488083027139319E-3</v>
      </c>
      <c r="AB35" s="116">
        <f ca="1"/>
        <v>5.1100691384322878E-4</v>
      </c>
      <c r="AC35" s="116">
        <f ca="1"/>
        <v>2.1746532994165808E-4</v>
      </c>
      <c r="AD35" s="116">
        <f ca="1"/>
        <v>2.2455160985008125E-5</v>
      </c>
      <c r="AE35" s="116">
        <f ca="1"/>
        <v>1.1798956394458312E-3</v>
      </c>
      <c r="AF35" s="116">
        <f ca="1"/>
        <v>1.2183434727905039E-4</v>
      </c>
      <c r="AG35" s="116">
        <f ca="1"/>
        <v>0.13398062486316625</v>
      </c>
      <c r="AH35" s="116">
        <f ca="1"/>
        <v>1.5672543590012965E-3</v>
      </c>
      <c r="AI35" s="116">
        <f ca="1"/>
        <v>3.3496390966327881E-5</v>
      </c>
      <c r="AJ35" s="116">
        <f ca="1"/>
        <v>2.991611300187319E-2</v>
      </c>
      <c r="AK35" s="116">
        <f ca="1"/>
        <v>0.28930363674036924</v>
      </c>
      <c r="AL35" s="128">
        <f t="shared" ca="1" si="11"/>
        <v>1.0000000000000002</v>
      </c>
      <c r="AM35" s="418">
        <f t="shared" ca="1" si="16"/>
        <v>6.3461692721014217E-3</v>
      </c>
      <c r="AN35" s="418">
        <f t="shared" ca="1" si="17"/>
        <v>1.6007507499676244E-3</v>
      </c>
    </row>
    <row r="36" spans="4:40" ht="12" customHeight="1" x14ac:dyDescent="0.25">
      <c r="D36" s="341">
        <f t="shared" si="12"/>
        <v>26</v>
      </c>
      <c r="E36" s="63">
        <f t="shared" si="8"/>
        <v>6.5</v>
      </c>
      <c r="F36" s="63">
        <f t="shared" si="13"/>
        <v>76.5</v>
      </c>
      <c r="G36" s="62">
        <f t="shared" si="9"/>
        <v>0</v>
      </c>
      <c r="H36" s="116">
        <f t="array" aca="1" ref="H36:T36" ca="1">MMULT(H35:T35, OFFSET(C.rngTPMroot, MIN(4, INT(($F35-70)/5))*13, $G36*16))</f>
        <v>0</v>
      </c>
      <c r="I36" s="116">
        <f ca="1"/>
        <v>0.34841797672925195</v>
      </c>
      <c r="J36" s="116">
        <f ca="1"/>
        <v>7.3701349698427968E-3</v>
      </c>
      <c r="K36" s="116">
        <f ca="1"/>
        <v>7.6954788655593032E-4</v>
      </c>
      <c r="L36" s="116">
        <f ca="1"/>
        <v>2.7724471834863037E-4</v>
      </c>
      <c r="M36" s="116">
        <f ca="1"/>
        <v>2.8880843776879751E-5</v>
      </c>
      <c r="N36" s="116">
        <f ca="1"/>
        <v>2.3226028066571044E-3</v>
      </c>
      <c r="O36" s="116">
        <f ca="1"/>
        <v>2.4333152006369627E-4</v>
      </c>
      <c r="P36" s="116">
        <f ca="1"/>
        <v>0.25738906147562585</v>
      </c>
      <c r="Q36" s="116">
        <f ca="1"/>
        <v>2.9344679454241995E-3</v>
      </c>
      <c r="R36" s="116">
        <f ca="1"/>
        <v>6.3454094534603743E-5</v>
      </c>
      <c r="S36" s="116">
        <f ca="1"/>
        <v>6.840961082506232E-2</v>
      </c>
      <c r="T36" s="116">
        <f ca="1"/>
        <v>0.31177368618485513</v>
      </c>
      <c r="U36" s="283">
        <f t="shared" ca="1" si="10"/>
        <v>0.999999999999999</v>
      </c>
      <c r="V36" s="418">
        <f t="shared" ca="1" si="14"/>
        <v>9.9699824948485307E-3</v>
      </c>
      <c r="W36" s="418">
        <f t="shared" ca="1" si="15"/>
        <v>2.9979220399588033E-3</v>
      </c>
      <c r="Y36" s="116">
        <f t="array" aca="1" ref="Y36:AK36" ca="1">MMULT(Y35:AK35, OFFSET(C.rngTPMroot, MIN(4, INT(($F35-70)/5))*13, $G36*16))</f>
        <v>0.52127767132531355</v>
      </c>
      <c r="Z36" s="116">
        <f ca="1"/>
        <v>0</v>
      </c>
      <c r="AA36" s="116">
        <f ca="1"/>
        <v>4.8379926017812908E-3</v>
      </c>
      <c r="AB36" s="116">
        <f ca="1"/>
        <v>4.9956424506891446E-4</v>
      </c>
      <c r="AC36" s="116">
        <f ca="1"/>
        <v>2.1259575902843087E-4</v>
      </c>
      <c r="AD36" s="116">
        <f ca="1"/>
        <v>2.1952336145530162E-5</v>
      </c>
      <c r="AE36" s="116">
        <f ca="1"/>
        <v>1.1534749429236294E-3</v>
      </c>
      <c r="AF36" s="116">
        <f ca="1"/>
        <v>1.1910618442355398E-4</v>
      </c>
      <c r="AG36" s="116">
        <f ca="1"/>
        <v>0.13584868241623543</v>
      </c>
      <c r="AH36" s="116">
        <f ca="1"/>
        <v>1.5398588724256225E-3</v>
      </c>
      <c r="AI36" s="116">
        <f ca="1"/>
        <v>3.2912341539027257E-5</v>
      </c>
      <c r="AJ36" s="116">
        <f ca="1"/>
        <v>3.0357360359660177E-2</v>
      </c>
      <c r="AK36" s="116">
        <f ca="1"/>
        <v>0.30409882861545501</v>
      </c>
      <c r="AL36" s="128">
        <f t="shared" ca="1" si="11"/>
        <v>1.0000000000000002</v>
      </c>
      <c r="AM36" s="418">
        <f t="shared" ca="1" si="16"/>
        <v>6.2040633037333511E-3</v>
      </c>
      <c r="AN36" s="418">
        <f t="shared" ca="1" si="17"/>
        <v>1.5727712139646498E-3</v>
      </c>
    </row>
    <row r="37" spans="4:40" ht="12" customHeight="1" x14ac:dyDescent="0.25">
      <c r="D37" s="341">
        <f t="shared" si="12"/>
        <v>27</v>
      </c>
      <c r="E37" s="63">
        <f t="shared" si="8"/>
        <v>6.75</v>
      </c>
      <c r="F37" s="63">
        <f t="shared" si="13"/>
        <v>76.75</v>
      </c>
      <c r="G37" s="62">
        <f t="shared" si="9"/>
        <v>0</v>
      </c>
      <c r="H37" s="116">
        <f t="array" aca="1" ref="H37:T37" ca="1">MMULT(H36:T36, OFFSET(C.rngTPMroot, MIN(4, INT(($F36-70)/5))*13, $G37*16))</f>
        <v>0</v>
      </c>
      <c r="I37" s="116">
        <f ca="1"/>
        <v>0.33223983285980502</v>
      </c>
      <c r="J37" s="116">
        <f ca="1"/>
        <v>7.12643637659938E-3</v>
      </c>
      <c r="K37" s="116">
        <f ca="1"/>
        <v>7.4398838812293245E-4</v>
      </c>
      <c r="L37" s="116">
        <f ca="1"/>
        <v>2.6870063355303672E-4</v>
      </c>
      <c r="M37" s="116">
        <f ca="1"/>
        <v>2.7986848539924844E-5</v>
      </c>
      <c r="N37" s="116">
        <f ca="1"/>
        <v>2.2382461937071828E-3</v>
      </c>
      <c r="O37" s="116">
        <f ca="1"/>
        <v>2.3445832748589075E-4</v>
      </c>
      <c r="P37" s="116">
        <f ca="1"/>
        <v>0.25881927583458053</v>
      </c>
      <c r="Q37" s="116">
        <f ca="1"/>
        <v>2.8502470881457522E-3</v>
      </c>
      <c r="R37" s="116">
        <f ca="1"/>
        <v>6.1623826853908248E-5</v>
      </c>
      <c r="S37" s="116">
        <f ca="1"/>
        <v>6.8835643109870295E-2</v>
      </c>
      <c r="T37" s="116">
        <f ca="1"/>
        <v>0.32655356051273521</v>
      </c>
      <c r="U37" s="283">
        <f t="shared" ca="1" si="10"/>
        <v>0.99999999999999911</v>
      </c>
      <c r="V37" s="418">
        <f t="shared" ca="1" si="14"/>
        <v>9.6333832038595999E-3</v>
      </c>
      <c r="W37" s="418">
        <f t="shared" ca="1" si="15"/>
        <v>2.9118709149996602E-3</v>
      </c>
      <c r="Y37" s="116">
        <f t="array" aca="1" ref="Y37:AK37" ca="1">MMULT(Y36:AK36, OFFSET(C.rngTPMroot, MIN(4, INT(($F36-70)/5))*13, $G37*16))</f>
        <v>0.50488985287436883</v>
      </c>
      <c r="Z37" s="116">
        <f ca="1"/>
        <v>0</v>
      </c>
      <c r="AA37" s="116">
        <f ca="1"/>
        <v>4.7296583314396512E-3</v>
      </c>
      <c r="AB37" s="116">
        <f ca="1"/>
        <v>4.8837780207255954E-4</v>
      </c>
      <c r="AC37" s="116">
        <f ca="1"/>
        <v>2.0783522954279421E-4</v>
      </c>
      <c r="AD37" s="116">
        <f ca="1"/>
        <v>2.1460770627475679E-5</v>
      </c>
      <c r="AE37" s="116">
        <f ca="1"/>
        <v>1.1276458694659756E-3</v>
      </c>
      <c r="AF37" s="116">
        <f ca="1"/>
        <v>1.1643911095759039E-4</v>
      </c>
      <c r="AG37" s="116">
        <f ca="1"/>
        <v>0.13752186405349687</v>
      </c>
      <c r="AH37" s="116">
        <f ca="1"/>
        <v>1.5128758485617488E-3</v>
      </c>
      <c r="AI37" s="116">
        <f ca="1"/>
        <v>3.2337036320938098E-5</v>
      </c>
      <c r="AJ37" s="116">
        <f ca="1"/>
        <v>3.0759720316433758E-2</v>
      </c>
      <c r="AK37" s="116">
        <f ca="1"/>
        <v>0.31859193275671194</v>
      </c>
      <c r="AL37" s="128">
        <f t="shared" ca="1" si="11"/>
        <v>1.0000000000000002</v>
      </c>
      <c r="AM37" s="418">
        <f t="shared" ca="1" si="16"/>
        <v>6.0651394304484215E-3</v>
      </c>
      <c r="AN37" s="418">
        <f t="shared" ca="1" si="17"/>
        <v>1.5452128848826869E-3</v>
      </c>
    </row>
    <row r="38" spans="4:40" ht="12" customHeight="1" x14ac:dyDescent="0.25">
      <c r="D38" s="341">
        <f t="shared" si="12"/>
        <v>28</v>
      </c>
      <c r="E38" s="63">
        <f t="shared" si="8"/>
        <v>7</v>
      </c>
      <c r="F38" s="63">
        <f t="shared" si="13"/>
        <v>77</v>
      </c>
      <c r="G38" s="62">
        <f t="shared" si="9"/>
        <v>0</v>
      </c>
      <c r="H38" s="116">
        <f t="array" aca="1" ref="H38:T38" ca="1">MMULT(H37:T37, OFFSET(C.rngTPMroot, MIN(4, INT(($F37-70)/5))*13, $G38*16))</f>
        <v>0</v>
      </c>
      <c r="I38" s="116">
        <f ca="1"/>
        <v>0.31681289115712774</v>
      </c>
      <c r="J38" s="116">
        <f ca="1"/>
        <v>6.8918473775463097E-3</v>
      </c>
      <c r="K38" s="116">
        <f ca="1"/>
        <v>7.1938789921507961E-4</v>
      </c>
      <c r="L38" s="116">
        <f ca="1"/>
        <v>2.6045633498390856E-4</v>
      </c>
      <c r="M38" s="116">
        <f ca="1"/>
        <v>2.7124354175700879E-5</v>
      </c>
      <c r="N38" s="116">
        <f ca="1"/>
        <v>2.1572805454981706E-3</v>
      </c>
      <c r="O38" s="116">
        <f ca="1"/>
        <v>2.2594283343416364E-4</v>
      </c>
      <c r="P38" s="116">
        <f ca="1"/>
        <v>0.25988343470527386</v>
      </c>
      <c r="Q38" s="116">
        <f ca="1"/>
        <v>2.7688475764962419E-3</v>
      </c>
      <c r="R38" s="116">
        <f ca="1"/>
        <v>5.9855188851060849E-5</v>
      </c>
      <c r="S38" s="116">
        <f ca="1"/>
        <v>6.9172180147869605E-2</v>
      </c>
      <c r="T38" s="116">
        <f ca="1"/>
        <v>0.34102075187952718</v>
      </c>
      <c r="U38" s="283">
        <f t="shared" ca="1" si="10"/>
        <v>0.99999999999999911</v>
      </c>
      <c r="V38" s="418">
        <f t="shared" ca="1" si="14"/>
        <v>9.3095842580283895E-3</v>
      </c>
      <c r="W38" s="418">
        <f t="shared" ca="1" si="15"/>
        <v>2.8287027653473027E-3</v>
      </c>
      <c r="Y38" s="116">
        <f t="array" aca="1" ref="Y38:AK38" ca="1">MMULT(Y37:AK37, OFFSET(C.rngTPMroot, MIN(4, INT(($F37-70)/5))*13, $G38*16))</f>
        <v>0.48901723123378882</v>
      </c>
      <c r="Z38" s="116">
        <f ca="1"/>
        <v>0</v>
      </c>
      <c r="AA38" s="116">
        <f ca="1"/>
        <v>4.6237499255391973E-3</v>
      </c>
      <c r="AB38" s="116">
        <f ca="1"/>
        <v>4.7744185049233091E-4</v>
      </c>
      <c r="AC38" s="116">
        <f ca="1"/>
        <v>2.031812997431479E-4</v>
      </c>
      <c r="AD38" s="116">
        <f ca="1"/>
        <v>2.0980212445960308E-5</v>
      </c>
      <c r="AE38" s="116">
        <f ca="1"/>
        <v>1.1023951709828526E-3</v>
      </c>
      <c r="AF38" s="116">
        <f ca="1"/>
        <v>1.1383175969372629E-4</v>
      </c>
      <c r="AG38" s="116">
        <f ca="1"/>
        <v>0.13900934492819422</v>
      </c>
      <c r="AH38" s="116">
        <f ca="1"/>
        <v>1.4863012979114253E-3</v>
      </c>
      <c r="AI38" s="116">
        <f ca="1"/>
        <v>3.1770392819796753E-5</v>
      </c>
      <c r="AJ38" s="116">
        <f ca="1"/>
        <v>3.1124820889987602E-2</v>
      </c>
      <c r="AK38" s="116">
        <f ca="1"/>
        <v>0.33278895103840106</v>
      </c>
      <c r="AL38" s="128">
        <f t="shared" ca="1" si="11"/>
        <v>1</v>
      </c>
      <c r="AM38" s="418">
        <f t="shared" ca="1" si="16"/>
        <v>5.9293263962651981E-3</v>
      </c>
      <c r="AN38" s="418">
        <f t="shared" ca="1" si="17"/>
        <v>1.5180716907312222E-3</v>
      </c>
    </row>
    <row r="39" spans="4:40" ht="12" customHeight="1" x14ac:dyDescent="0.25">
      <c r="D39" s="341">
        <f t="shared" si="12"/>
        <v>29</v>
      </c>
      <c r="E39" s="63">
        <f t="shared" si="8"/>
        <v>7.25</v>
      </c>
      <c r="F39" s="63">
        <f t="shared" si="13"/>
        <v>77.25</v>
      </c>
      <c r="G39" s="62">
        <f t="shared" si="9"/>
        <v>0</v>
      </c>
      <c r="H39" s="116">
        <f t="array" aca="1" ref="H39:T39" ca="1">MMULT(H38:T38, OFFSET(C.rngTPMroot, MIN(4, INT(($F38-70)/5))*13, $G39*16))</f>
        <v>0</v>
      </c>
      <c r="I39" s="116">
        <f ca="1"/>
        <v>0.3021022709389915</v>
      </c>
      <c r="J39" s="116">
        <f ca="1"/>
        <v>6.665994385356872E-3</v>
      </c>
      <c r="K39" s="116">
        <f ca="1"/>
        <v>6.9570699079331863E-4</v>
      </c>
      <c r="L39" s="116">
        <f ca="1"/>
        <v>2.5250007339739321E-4</v>
      </c>
      <c r="M39" s="116">
        <f ca="1"/>
        <v>2.6292122143486048E-5</v>
      </c>
      <c r="N39" s="116">
        <f ca="1"/>
        <v>2.0795601867710034E-3</v>
      </c>
      <c r="O39" s="116">
        <f ca="1"/>
        <v>2.1776964497142426E-4</v>
      </c>
      <c r="P39" s="116">
        <f ca="1"/>
        <v>0.26060524499335858</v>
      </c>
      <c r="Q39" s="116">
        <f ca="1"/>
        <v>2.6901608167263667E-3</v>
      </c>
      <c r="R39" s="116">
        <f ca="1"/>
        <v>5.814579910642113E-5</v>
      </c>
      <c r="S39" s="116">
        <f ca="1"/>
        <v>6.9424652532866685E-2</v>
      </c>
      <c r="T39" s="116">
        <f ca="1"/>
        <v>0.35518170151551592</v>
      </c>
      <c r="U39" s="283">
        <f t="shared" ca="1" si="10"/>
        <v>0.99999999999999889</v>
      </c>
      <c r="V39" s="418">
        <f t="shared" ca="1" si="14"/>
        <v>8.9980546455252688E-3</v>
      </c>
      <c r="W39" s="418">
        <f t="shared" ca="1" si="15"/>
        <v>2.7483066158327878E-3</v>
      </c>
      <c r="Y39" s="116">
        <f t="array" aca="1" ref="Y39:AK39" ca="1">MMULT(Y38:AK38, OFFSET(C.rngTPMroot, MIN(4, INT(($F38-70)/5))*13, $G39*16))</f>
        <v>0.47364360975395808</v>
      </c>
      <c r="Z39" s="116">
        <f ca="1"/>
        <v>0</v>
      </c>
      <c r="AA39" s="116">
        <f ca="1"/>
        <v>4.5202130631307709E-3</v>
      </c>
      <c r="AB39" s="116">
        <f ca="1"/>
        <v>4.667507811269854E-4</v>
      </c>
      <c r="AC39" s="116">
        <f ca="1"/>
        <v>1.9863158260570598E-4</v>
      </c>
      <c r="AD39" s="116">
        <f ca="1"/>
        <v>2.0510415116027556E-5</v>
      </c>
      <c r="AE39" s="116">
        <f ca="1"/>
        <v>1.0777098962651776E-3</v>
      </c>
      <c r="AF39" s="116">
        <f ca="1"/>
        <v>1.1128279328533533E-4</v>
      </c>
      <c r="AG39" s="116">
        <f ca="1"/>
        <v>0.14031994348246307</v>
      </c>
      <c r="AH39" s="116">
        <f ca="1"/>
        <v>1.4601311836899707E-3</v>
      </c>
      <c r="AI39" s="116">
        <f ca="1"/>
        <v>3.1212327256139958E-5</v>
      </c>
      <c r="AJ39" s="116">
        <f ca="1"/>
        <v>3.1454233874771136E-2</v>
      </c>
      <c r="AK39" s="116">
        <f ca="1"/>
        <v>0.34669577084633169</v>
      </c>
      <c r="AL39" s="128">
        <f t="shared" ca="1" si="11"/>
        <v>1</v>
      </c>
      <c r="AM39" s="418">
        <f t="shared" ca="1" si="16"/>
        <v>5.7965545420016543E-3</v>
      </c>
      <c r="AN39" s="418">
        <f t="shared" ca="1" si="17"/>
        <v>1.4913435109461107E-3</v>
      </c>
    </row>
    <row r="40" spans="4:40" ht="12" customHeight="1" x14ac:dyDescent="0.25">
      <c r="D40" s="341">
        <f t="shared" si="12"/>
        <v>30</v>
      </c>
      <c r="E40" s="63">
        <f t="shared" si="8"/>
        <v>7.5</v>
      </c>
      <c r="F40" s="63">
        <f t="shared" si="13"/>
        <v>77.5</v>
      </c>
      <c r="G40" s="62">
        <f t="shared" si="9"/>
        <v>0</v>
      </c>
      <c r="H40" s="116">
        <f t="array" aca="1" ref="H40:T40" ca="1">MMULT(H39:T39, OFFSET(C.rngTPMroot, MIN(4, INT(($F39-70)/5))*13, $G40*16))</f>
        <v>0</v>
      </c>
      <c r="I40" s="116">
        <f ca="1"/>
        <v>0.28807471114308703</v>
      </c>
      <c r="J40" s="116">
        <f ca="1"/>
        <v>6.4485200533947332E-3</v>
      </c>
      <c r="K40" s="116">
        <f ca="1"/>
        <v>6.7290795057230277E-4</v>
      </c>
      <c r="L40" s="116">
        <f ca="1"/>
        <v>2.4482059649670503E-4</v>
      </c>
      <c r="M40" s="116">
        <f ca="1"/>
        <v>2.5488966399736864E-5</v>
      </c>
      <c r="N40" s="116">
        <f ca="1"/>
        <v>2.004945942700224E-3</v>
      </c>
      <c r="O40" s="116">
        <f ca="1"/>
        <v>2.0992405670874491E-4</v>
      </c>
      <c r="P40" s="116">
        <f ca="1"/>
        <v>0.26100716256950329</v>
      </c>
      <c r="Q40" s="116">
        <f ca="1"/>
        <v>2.6140828073587361E-3</v>
      </c>
      <c r="R40" s="116">
        <f ca="1"/>
        <v>5.6493377151253752E-5</v>
      </c>
      <c r="S40" s="116">
        <f ca="1"/>
        <v>6.9598217613822733E-2</v>
      </c>
      <c r="T40" s="116">
        <f ca="1"/>
        <v>0.36904272492280343</v>
      </c>
      <c r="U40" s="283">
        <f t="shared" ca="1" si="10"/>
        <v>0.99999999999999911</v>
      </c>
      <c r="V40" s="418">
        <f t="shared" ca="1" si="14"/>
        <v>8.6982865925916628E-3</v>
      </c>
      <c r="W40" s="418">
        <f t="shared" ca="1" si="15"/>
        <v>2.6705761845099898E-3</v>
      </c>
      <c r="Y40" s="116">
        <f t="array" aca="1" ref="Y40:AK40" ca="1">MMULT(Y39:AK39, OFFSET(C.rngTPMroot, MIN(4, INT(($F39-70)/5))*13, $G40*16))</f>
        <v>0.45875330097214578</v>
      </c>
      <c r="Z40" s="116">
        <f ca="1"/>
        <v>0</v>
      </c>
      <c r="AA40" s="116">
        <f ca="1"/>
        <v>4.4189946396625953E-3</v>
      </c>
      <c r="AB40" s="116">
        <f ca="1"/>
        <v>4.5629911047376888E-4</v>
      </c>
      <c r="AC40" s="116">
        <f ca="1"/>
        <v>1.9418374455879473E-4</v>
      </c>
      <c r="AD40" s="116">
        <f ca="1"/>
        <v>2.0051137676285786E-5</v>
      </c>
      <c r="AE40" s="116">
        <f ca="1"/>
        <v>1.0535773841175179E-3</v>
      </c>
      <c r="AF40" s="116">
        <f ca="1"/>
        <v>1.0879090435484446E-4</v>
      </c>
      <c r="AG40" s="116">
        <f ca="1"/>
        <v>0.14146213418718914</v>
      </c>
      <c r="AH40" s="116">
        <f ca="1"/>
        <v>1.4343614261141406E-3</v>
      </c>
      <c r="AI40" s="116">
        <f ca="1"/>
        <v>3.0662754857489415E-5</v>
      </c>
      <c r="AJ40" s="116">
        <f ca="1"/>
        <v>3.1749476617067646E-2</v>
      </c>
      <c r="AK40" s="116">
        <f ca="1"/>
        <v>0.36031816712178205</v>
      </c>
      <c r="AL40" s="128">
        <f t="shared" ca="1" si="11"/>
        <v>1.0000000000000002</v>
      </c>
      <c r="AM40" s="418">
        <f t="shared" ca="1" si="16"/>
        <v>5.666755768338908E-3</v>
      </c>
      <c r="AN40" s="418">
        <f t="shared" ca="1" si="17"/>
        <v>1.4650241809716299E-3</v>
      </c>
    </row>
    <row r="41" spans="4:40" ht="12" customHeight="1" x14ac:dyDescent="0.25">
      <c r="D41" s="341">
        <f t="shared" si="12"/>
        <v>31</v>
      </c>
      <c r="E41" s="63">
        <f t="shared" si="8"/>
        <v>7.75</v>
      </c>
      <c r="F41" s="63">
        <f t="shared" si="13"/>
        <v>77.75</v>
      </c>
      <c r="G41" s="62">
        <f t="shared" si="9"/>
        <v>0</v>
      </c>
      <c r="H41" s="116">
        <f t="array" aca="1" ref="H41:T41" ca="1">MMULT(H40:T40, OFFSET(C.rngTPMroot, MIN(4, INT(($F40-70)/5))*13, $G41*16))</f>
        <v>0</v>
      </c>
      <c r="I41" s="116">
        <f ca="1"/>
        <v>0.27469849512297101</v>
      </c>
      <c r="J41" s="116">
        <f ca="1"/>
        <v>6.239082546340171E-3</v>
      </c>
      <c r="K41" s="116">
        <f ca="1"/>
        <v>6.509547057054623E-4</v>
      </c>
      <c r="L41" s="116">
        <f ca="1"/>
        <v>2.374071269441331E-4</v>
      </c>
      <c r="M41" s="116">
        <f ca="1"/>
        <v>2.4713751065913451E-5</v>
      </c>
      <c r="N41" s="116">
        <f ca="1"/>
        <v>1.9333048429551354E-3</v>
      </c>
      <c r="O41" s="116">
        <f ca="1"/>
        <v>2.0239201945238862E-4</v>
      </c>
      <c r="P41" s="116">
        <f ca="1"/>
        <v>0.26111045372355673</v>
      </c>
      <c r="Q41" s="116">
        <f ca="1"/>
        <v>2.540513934673614E-3</v>
      </c>
      <c r="R41" s="116">
        <f ca="1"/>
        <v>5.4895738954533504E-5</v>
      </c>
      <c r="S41" s="116">
        <f ca="1"/>
        <v>6.9697772459734478E-2</v>
      </c>
      <c r="T41" s="116">
        <f ca="1"/>
        <v>0.38261001402764533</v>
      </c>
      <c r="U41" s="283">
        <f t="shared" ca="1" si="10"/>
        <v>0.99999999999999889</v>
      </c>
      <c r="V41" s="418">
        <f t="shared" ca="1" si="14"/>
        <v>8.40979451623944E-3</v>
      </c>
      <c r="W41" s="418">
        <f t="shared" ca="1" si="15"/>
        <v>2.5954096736281475E-3</v>
      </c>
      <c r="Y41" s="116">
        <f t="array" aca="1" ref="Y41:AK41" ca="1">MMULT(Y40:AK40, OFFSET(C.rngTPMroot, MIN(4, INT(($F40-70)/5))*13, $G41*16))</f>
        <v>0.44433111060479474</v>
      </c>
      <c r="Z41" s="116">
        <f ca="1"/>
        <v>0</v>
      </c>
      <c r="AA41" s="116">
        <f ca="1"/>
        <v>4.3200427397202578E-3</v>
      </c>
      <c r="AB41" s="116">
        <f ca="1"/>
        <v>4.4608147782082997E-4</v>
      </c>
      <c r="AC41" s="116">
        <f ca="1"/>
        <v>1.8983550428496688E-4</v>
      </c>
      <c r="AD41" s="116">
        <f ca="1"/>
        <v>1.9602144561140168E-5</v>
      </c>
      <c r="AE41" s="116">
        <f ca="1"/>
        <v>1.029985256858756E-3</v>
      </c>
      <c r="AF41" s="116">
        <f ca="1"/>
        <v>1.0635481480050658E-4</v>
      </c>
      <c r="AG41" s="116">
        <f ca="1"/>
        <v>0.14244405985028885</v>
      </c>
      <c r="AH41" s="116">
        <f ca="1"/>
        <v>1.4089879068422974E-3</v>
      </c>
      <c r="AI41" s="116">
        <f ca="1"/>
        <v>3.012158994839698E-5</v>
      </c>
      <c r="AJ41" s="116">
        <f ca="1"/>
        <v>3.2012013736809758E-2</v>
      </c>
      <c r="AK41" s="116">
        <f ca="1"/>
        <v>0.37366180437326957</v>
      </c>
      <c r="AL41" s="128">
        <f t="shared" ca="1" si="11"/>
        <v>1</v>
      </c>
      <c r="AM41" s="418">
        <f t="shared" ca="1" si="16"/>
        <v>5.5398635008639813E-3</v>
      </c>
      <c r="AN41" s="418">
        <f t="shared" ca="1" si="17"/>
        <v>1.4391094967906944E-3</v>
      </c>
    </row>
    <row r="42" spans="4:40" ht="12" customHeight="1" x14ac:dyDescent="0.25">
      <c r="D42" s="341">
        <f t="shared" si="12"/>
        <v>32</v>
      </c>
      <c r="E42" s="63">
        <f t="shared" ref="E42:E73" si="18">D42*C.cycleLength</f>
        <v>8</v>
      </c>
      <c r="F42" s="63">
        <f t="shared" si="13"/>
        <v>78</v>
      </c>
      <c r="G42" s="62">
        <f t="shared" ref="G42:G73" si="19">IF(AND(E41&lt;C.maxDurHPE, E42&gt;=C.maxDurHPE), 1, 0)</f>
        <v>0</v>
      </c>
      <c r="H42" s="116">
        <f t="array" aca="1" ref="H42:T42" ca="1">MMULT(H41:T41, OFFSET(C.rngTPMroot, MIN(4, INT(($F41-70)/5))*13, $G42*16))</f>
        <v>0</v>
      </c>
      <c r="I42" s="116">
        <f ca="1"/>
        <v>0.26194337893597408</v>
      </c>
      <c r="J42" s="116">
        <f ca="1"/>
        <v>6.0373548441679629E-3</v>
      </c>
      <c r="K42" s="116">
        <f ca="1"/>
        <v>6.2981274915736764E-4</v>
      </c>
      <c r="L42" s="116">
        <f ca="1"/>
        <v>2.3024934137137E-4</v>
      </c>
      <c r="M42" s="116">
        <f ca="1"/>
        <v>2.3965388208871491E-5</v>
      </c>
      <c r="N42" s="116">
        <f ca="1"/>
        <v>1.8645098393794295E-3</v>
      </c>
      <c r="O42" s="116">
        <f ca="1"/>
        <v>1.95160110329856E-4</v>
      </c>
      <c r="P42" s="116">
        <f ca="1"/>
        <v>0.26093525368961951</v>
      </c>
      <c r="Q42" s="116">
        <f ca="1"/>
        <v>2.4693587775399418E-3</v>
      </c>
      <c r="R42" s="116">
        <f ca="1"/>
        <v>5.3350792628145941E-5</v>
      </c>
      <c r="S42" s="116">
        <f ca="1"/>
        <v>6.9727966221375212E-2</v>
      </c>
      <c r="T42" s="116">
        <f ca="1"/>
        <v>0.39588963931024712</v>
      </c>
      <c r="U42" s="283">
        <f t="shared" ref="U42:U73" ca="1" si="20">SUM(H42:T42)</f>
        <v>0.99999999999999889</v>
      </c>
      <c r="V42" s="418">
        <f t="shared" ca="1" si="14"/>
        <v>8.1321140249187625E-3</v>
      </c>
      <c r="W42" s="418">
        <f t="shared" ca="1" si="15"/>
        <v>2.5227095701680878E-3</v>
      </c>
      <c r="Y42" s="116">
        <f t="array" aca="1" ref="Y42:AK42" ca="1">MMULT(Y41:AK41, OFFSET(C.rngTPMroot, MIN(4, INT(($F41-70)/5))*13, $G42*16))</f>
        <v>0.43036232204305763</v>
      </c>
      <c r="Z42" s="116">
        <f ca="1"/>
        <v>0</v>
      </c>
      <c r="AA42" s="116">
        <f ca="1"/>
        <v>4.2233066104001137E-3</v>
      </c>
      <c r="AB42" s="116">
        <f ca="1"/>
        <v>4.3609264249542048E-4</v>
      </c>
      <c r="AC42" s="116">
        <f ca="1"/>
        <v>1.8558463155094983E-4</v>
      </c>
      <c r="AD42" s="116">
        <f ca="1"/>
        <v>1.916320547987048E-5</v>
      </c>
      <c r="AE42" s="116">
        <f ca="1"/>
        <v>1.0069214139737709E-3</v>
      </c>
      <c r="AF42" s="116">
        <f ca="1"/>
        <v>1.039732751403161E-4</v>
      </c>
      <c r="AG42" s="116">
        <f ca="1"/>
        <v>0.14327354350443897</v>
      </c>
      <c r="AH42" s="116">
        <f ca="1"/>
        <v>1.3840064732296516E-3</v>
      </c>
      <c r="AI42" s="116">
        <f ca="1"/>
        <v>2.9588746043688271E-5</v>
      </c>
      <c r="AJ42" s="116">
        <f ca="1"/>
        <v>3.2243258797707994E-2</v>
      </c>
      <c r="AK42" s="116">
        <f ca="1"/>
        <v>0.38673223865648171</v>
      </c>
      <c r="AL42" s="128">
        <f t="shared" ref="AL42:AL73" ca="1" si="21">SUM(Y42:AK42)</f>
        <v>1</v>
      </c>
      <c r="AM42" s="418">
        <f t="shared" ca="1" si="16"/>
        <v>5.4158126559248343E-3</v>
      </c>
      <c r="AN42" s="418">
        <f t="shared" ca="1" si="17"/>
        <v>1.4135952192733398E-3</v>
      </c>
    </row>
    <row r="43" spans="4:40" ht="12" customHeight="1" x14ac:dyDescent="0.25">
      <c r="D43" s="341">
        <f t="shared" ref="D43:D74" si="22">D42+1</f>
        <v>33</v>
      </c>
      <c r="E43" s="63">
        <f t="shared" si="18"/>
        <v>8.25</v>
      </c>
      <c r="F43" s="63">
        <f t="shared" ref="F43:F74" si="23">F42+C.cycleLength</f>
        <v>78.25</v>
      </c>
      <c r="G43" s="62">
        <f t="shared" si="19"/>
        <v>0</v>
      </c>
      <c r="H43" s="116">
        <f t="array" aca="1" ref="H43:T43" ca="1">MMULT(H42:T42, OFFSET(C.rngTPMroot, MIN(4, INT(($F42-70)/5))*13, $G43*16))</f>
        <v>0</v>
      </c>
      <c r="I43" s="116">
        <f ca="1"/>
        <v>0.24978052296092687</v>
      </c>
      <c r="J43" s="116">
        <f ca="1"/>
        <v>5.84302407789978E-3</v>
      </c>
      <c r="K43" s="116">
        <f ca="1"/>
        <v>6.0944906944282299E-4</v>
      </c>
      <c r="L43" s="116">
        <f ca="1"/>
        <v>2.2333735034055216E-4</v>
      </c>
      <c r="M43" s="116">
        <f ca="1"/>
        <v>2.324283572203105E-5</v>
      </c>
      <c r="N43" s="116">
        <f ca="1"/>
        <v>1.798439536650144E-3</v>
      </c>
      <c r="O43" s="116">
        <f ca="1"/>
        <v>1.8821550429066805E-4</v>
      </c>
      <c r="P43" s="116">
        <f ca="1"/>
        <v>0.2605006223799598</v>
      </c>
      <c r="Q43" s="116">
        <f ca="1"/>
        <v>2.4005259211505336E-3</v>
      </c>
      <c r="R43" s="116">
        <f ca="1"/>
        <v>5.1856534328338824E-5</v>
      </c>
      <c r="S43" s="116">
        <f ca="1"/>
        <v>6.9693211917813955E-2</v>
      </c>
      <c r="T43" s="116">
        <f ca="1"/>
        <v>0.40888755191147336</v>
      </c>
      <c r="U43" s="283">
        <f t="shared" ca="1" si="20"/>
        <v>0.99999999999999889</v>
      </c>
      <c r="V43" s="418">
        <f t="shared" ca="1" si="14"/>
        <v>7.8648009648904765E-3</v>
      </c>
      <c r="W43" s="418">
        <f t="shared" ca="1" si="15"/>
        <v>2.4523824554788724E-3</v>
      </c>
      <c r="Y43" s="116">
        <f t="array" aca="1" ref="Y43:AK43" ca="1">MMULT(Y42:AK42, OFFSET(C.rngTPMroot, MIN(4, INT(($F42-70)/5))*13, $G43*16))</f>
        <v>0.41683268133575935</v>
      </c>
      <c r="Z43" s="116">
        <f ca="1"/>
        <v>0</v>
      </c>
      <c r="AA43" s="116">
        <f ca="1"/>
        <v>4.128736635277892E-3</v>
      </c>
      <c r="AB43" s="116">
        <f ca="1"/>
        <v>4.2632748117603689E-4</v>
      </c>
      <c r="AC43" s="116">
        <f ca="1"/>
        <v>1.8142894606374877E-4</v>
      </c>
      <c r="AD43" s="116">
        <f ca="1"/>
        <v>1.8734095298518602E-5</v>
      </c>
      <c r="AE43" s="116">
        <f ca="1"/>
        <v>9.8437402590702792E-4</v>
      </c>
      <c r="AF43" s="116">
        <f ca="1"/>
        <v>1.0164506387116933E-4</v>
      </c>
      <c r="AG43" s="116">
        <f ca="1"/>
        <v>0.14395809988836591</v>
      </c>
      <c r="AH43" s="116">
        <f ca="1"/>
        <v>1.359412942399323E-3</v>
      </c>
      <c r="AI43" s="116">
        <f ca="1"/>
        <v>2.906413593782271E-5</v>
      </c>
      <c r="AJ43" s="116">
        <f ca="1"/>
        <v>3.2444575927203803E-2</v>
      </c>
      <c r="AK43" s="116">
        <f ca="1"/>
        <v>0.39953491952273951</v>
      </c>
      <c r="AL43" s="128">
        <f t="shared" ca="1" si="21"/>
        <v>1.0000000000000002</v>
      </c>
      <c r="AM43" s="418">
        <f t="shared" ca="1" si="16"/>
        <v>5.2945396072486689E-3</v>
      </c>
      <c r="AN43" s="418">
        <f t="shared" ca="1" si="17"/>
        <v>1.3884770783371457E-3</v>
      </c>
    </row>
    <row r="44" spans="4:40" ht="12" customHeight="1" x14ac:dyDescent="0.25">
      <c r="D44" s="341">
        <f t="shared" si="22"/>
        <v>34</v>
      </c>
      <c r="E44" s="63">
        <f t="shared" si="18"/>
        <v>8.5</v>
      </c>
      <c r="F44" s="63">
        <f t="shared" si="23"/>
        <v>78.5</v>
      </c>
      <c r="G44" s="62">
        <f t="shared" si="19"/>
        <v>0</v>
      </c>
      <c r="H44" s="116">
        <f t="array" aca="1" ref="H44:T44" ca="1">MMULT(H43:T43, OFFSET(C.rngTPMroot, MIN(4, INT(($F43-70)/5))*13, $G44*16))</f>
        <v>0</v>
      </c>
      <c r="I44" s="116">
        <f ca="1"/>
        <v>0.23818242669109022</v>
      </c>
      <c r="J44" s="116">
        <f ca="1"/>
        <v>5.6557908956695688E-3</v>
      </c>
      <c r="K44" s="116">
        <f ca="1"/>
        <v>5.8983208357347961E-4</v>
      </c>
      <c r="L44" s="116">
        <f ca="1"/>
        <v>2.1666167921247757E-4</v>
      </c>
      <c r="M44" s="116">
        <f ca="1"/>
        <v>2.2545095302516314E-5</v>
      </c>
      <c r="N44" s="116">
        <f ca="1"/>
        <v>1.7349779353165776E-3</v>
      </c>
      <c r="O44" s="116">
        <f ca="1"/>
        <v>1.8154594691736477E-4</v>
      </c>
      <c r="P44" s="116">
        <f ca="1"/>
        <v>0.25982459745902653</v>
      </c>
      <c r="Q44" s="116">
        <f ca="1"/>
        <v>2.3339277792512507E-3</v>
      </c>
      <c r="R44" s="116">
        <f ca="1"/>
        <v>5.0411044344161253E-5</v>
      </c>
      <c r="S44" s="116">
        <f ca="1"/>
        <v>6.9597697674319753E-2</v>
      </c>
      <c r="T44" s="116">
        <f ca="1"/>
        <v>0.4216095857159749</v>
      </c>
      <c r="U44" s="283">
        <f t="shared" ca="1" si="20"/>
        <v>0.99999999999999867</v>
      </c>
      <c r="V44" s="418">
        <f t="shared" ca="1" si="14"/>
        <v>7.6074305101986248E-3</v>
      </c>
      <c r="W44" s="418">
        <f t="shared" ca="1" si="15"/>
        <v>2.3843388235954121E-3</v>
      </c>
      <c r="Y44" s="116">
        <f t="array" aca="1" ref="Y44:AK44" ca="1">MMULT(Y43:AK43, OFFSET(C.rngTPMroot, MIN(4, INT(($F43-70)/5))*13, $G44*16))</f>
        <v>0.40372838264446187</v>
      </c>
      <c r="Z44" s="116">
        <f ca="1"/>
        <v>0</v>
      </c>
      <c r="AA44" s="116">
        <f ca="1"/>
        <v>4.0362843089601867E-3</v>
      </c>
      <c r="AB44" s="116">
        <f ca="1"/>
        <v>4.1678098526464543E-4</v>
      </c>
      <c r="AC44" s="116">
        <f ca="1"/>
        <v>1.7736631635236388E-4</v>
      </c>
      <c r="AD44" s="116">
        <f ca="1"/>
        <v>1.8314593924416288E-5</v>
      </c>
      <c r="AE44" s="116">
        <f ca="1"/>
        <v>9.6233152799514421E-4</v>
      </c>
      <c r="AF44" s="116">
        <f ca="1"/>
        <v>9.9368986842349863E-5</v>
      </c>
      <c r="AG44" s="116">
        <f ca="1"/>
        <v>0.14450494653520657</v>
      </c>
      <c r="AH44" s="116">
        <f ca="1"/>
        <v>1.335203105136015E-3</v>
      </c>
      <c r="AI44" s="116">
        <f ca="1"/>
        <v>2.8547671790385808E-5</v>
      </c>
      <c r="AJ44" s="116">
        <f ca="1"/>
        <v>3.2617281387703992E-2</v>
      </c>
      <c r="AK44" s="116">
        <f ca="1"/>
        <v>0.41207519193636222</v>
      </c>
      <c r="AL44" s="128">
        <f t="shared" ca="1" si="21"/>
        <v>1.0000000000000002</v>
      </c>
      <c r="AM44" s="418">
        <f t="shared" ca="1" si="16"/>
        <v>5.1759821533076946E-3</v>
      </c>
      <c r="AN44" s="418">
        <f t="shared" ca="1" si="17"/>
        <v>1.3637507769264008E-3</v>
      </c>
    </row>
    <row r="45" spans="4:40" ht="12" customHeight="1" x14ac:dyDescent="0.25">
      <c r="D45" s="341">
        <f t="shared" si="22"/>
        <v>35</v>
      </c>
      <c r="E45" s="63">
        <f t="shared" si="18"/>
        <v>8.75</v>
      </c>
      <c r="F45" s="63">
        <f t="shared" si="23"/>
        <v>78.75</v>
      </c>
      <c r="G45" s="62">
        <f t="shared" si="19"/>
        <v>0</v>
      </c>
      <c r="H45" s="116">
        <f t="array" aca="1" ref="H45:T45" ca="1">MMULT(H44:T44, OFFSET(C.rngTPMroot, MIN(4, INT(($F44-70)/5))*13, $G45*16))</f>
        <v>0</v>
      </c>
      <c r="I45" s="116">
        <f ca="1"/>
        <v>0.22712286655485531</v>
      </c>
      <c r="J45" s="116">
        <f ca="1"/>
        <v>5.475368857706291E-3</v>
      </c>
      <c r="K45" s="116">
        <f ca="1"/>
        <v>5.7093157306443618E-4</v>
      </c>
      <c r="L45" s="116">
        <f ca="1"/>
        <v>2.1021324988039936E-4</v>
      </c>
      <c r="M45" s="116">
        <f ca="1"/>
        <v>2.1871210519871559E-5</v>
      </c>
      <c r="N45" s="116">
        <f ca="1"/>
        <v>1.6740141866471644E-3</v>
      </c>
      <c r="O45" s="116">
        <f ca="1"/>
        <v>1.7513972848621611E-4</v>
      </c>
      <c r="P45" s="116">
        <f ca="1"/>
        <v>0.25892424488267984</v>
      </c>
      <c r="Q45" s="116">
        <f ca="1"/>
        <v>2.269480424472334E-3</v>
      </c>
      <c r="R45" s="116">
        <f ca="1"/>
        <v>4.901248336427631E-5</v>
      </c>
      <c r="S45" s="116">
        <f ca="1"/>
        <v>6.9445397437028877E-2</v>
      </c>
      <c r="T45" s="116">
        <f ca="1"/>
        <v>0.43406145941129376</v>
      </c>
      <c r="U45" s="283">
        <f t="shared" ca="1" si="20"/>
        <v>0.99999999999999867</v>
      </c>
      <c r="V45" s="418">
        <f t="shared" ca="1" si="14"/>
        <v>7.3595962942338547E-3</v>
      </c>
      <c r="W45" s="418">
        <f t="shared" ca="1" si="15"/>
        <v>2.3184929078366103E-3</v>
      </c>
      <c r="Y45" s="116">
        <f t="array" aca="1" ref="Y45:AK45" ca="1">MMULT(Y44:AK44, OFFSET(C.rngTPMroot, MIN(4, INT(($F44-70)/5))*13, $G45*16))</f>
        <v>0.39103605415578968</v>
      </c>
      <c r="Z45" s="116">
        <f ca="1"/>
        <v>0</v>
      </c>
      <c r="AA45" s="116">
        <f ca="1"/>
        <v>3.9459022122058105E-3</v>
      </c>
      <c r="AB45" s="116">
        <f ca="1"/>
        <v>4.0744825831774771E-4</v>
      </c>
      <c r="AC45" s="116">
        <f ca="1"/>
        <v>1.7339465867454871E-4</v>
      </c>
      <c r="AD45" s="116">
        <f ca="1"/>
        <v>1.7904486193298569E-5</v>
      </c>
      <c r="AE45" s="116">
        <f ca="1"/>
        <v>9.4078261453531633E-4</v>
      </c>
      <c r="AF45" s="116">
        <f ca="1"/>
        <v>9.714387664304299E-5</v>
      </c>
      <c r="AG45" s="116">
        <f ca="1"/>
        <v>0.14492101448100941</v>
      </c>
      <c r="AH45" s="116">
        <f ca="1"/>
        <v>1.3113727296085273E-3</v>
      </c>
      <c r="AI45" s="116">
        <f ca="1"/>
        <v>2.8039265207856341E-5</v>
      </c>
      <c r="AJ45" s="116">
        <f ca="1"/>
        <v>3.27626451005123E-2</v>
      </c>
      <c r="AK45" s="116">
        <f ca="1"/>
        <v>0.42435829816130266</v>
      </c>
      <c r="AL45" s="128">
        <f t="shared" ca="1" si="21"/>
        <v>1.0000000000000004</v>
      </c>
      <c r="AM45" s="418">
        <f t="shared" ca="1" si="16"/>
        <v>5.060079485415675E-3</v>
      </c>
      <c r="AN45" s="418">
        <f t="shared" ca="1" si="17"/>
        <v>1.3394119948163838E-3</v>
      </c>
    </row>
    <row r="46" spans="4:40" ht="12" customHeight="1" x14ac:dyDescent="0.25">
      <c r="D46" s="341">
        <f t="shared" si="22"/>
        <v>36</v>
      </c>
      <c r="E46" s="63">
        <f t="shared" si="18"/>
        <v>9</v>
      </c>
      <c r="F46" s="63">
        <f t="shared" si="23"/>
        <v>79</v>
      </c>
      <c r="G46" s="62">
        <f t="shared" si="19"/>
        <v>0</v>
      </c>
      <c r="H46" s="116">
        <f t="array" aca="1" ref="H46:T46" ca="1">MMULT(H45:T45, OFFSET(C.rngTPMroot, MIN(4, INT(($F45-70)/5))*13, $G46*16))</f>
        <v>0</v>
      </c>
      <c r="I46" s="116">
        <f ca="1"/>
        <v>0.21657683662362429</v>
      </c>
      <c r="J46" s="116">
        <f ca="1"/>
        <v>5.3014838589028855E-3</v>
      </c>
      <c r="K46" s="116">
        <f ca="1"/>
        <v>5.5271862285994125E-4</v>
      </c>
      <c r="L46" s="116">
        <f ca="1"/>
        <v>2.0398336332971498E-4</v>
      </c>
      <c r="M46" s="116">
        <f ca="1"/>
        <v>2.1220264972153885E-5</v>
      </c>
      <c r="N46" s="116">
        <f ca="1"/>
        <v>1.6154423587387882E-3</v>
      </c>
      <c r="O46" s="116">
        <f ca="1"/>
        <v>1.6898565921990311E-4</v>
      </c>
      <c r="P46" s="116">
        <f ca="1"/>
        <v>0.25781570702191314</v>
      </c>
      <c r="Q46" s="116">
        <f ca="1"/>
        <v>2.2071034263882591E-3</v>
      </c>
      <c r="R46" s="116">
        <f ca="1"/>
        <v>4.7659088913919053E-5</v>
      </c>
      <c r="S46" s="116">
        <f ca="1"/>
        <v>6.9240081188579577E-2</v>
      </c>
      <c r="T46" s="116">
        <f ca="1"/>
        <v>0.44624877852255618</v>
      </c>
      <c r="U46" s="283">
        <f t="shared" ca="1" si="20"/>
        <v>0.99999999999999867</v>
      </c>
      <c r="V46" s="418">
        <f t="shared" ca="1" si="14"/>
        <v>7.120909580971389E-3</v>
      </c>
      <c r="W46" s="418">
        <f t="shared" ca="1" si="15"/>
        <v>2.2547625153021781E-3</v>
      </c>
      <c r="Y46" s="116">
        <f t="array" aca="1" ref="Y46:AK46" ca="1">MMULT(Y45:AK45, OFFSET(C.rngTPMroot, MIN(4, INT(($F45-70)/5))*13, $G46*16))</f>
        <v>0.37874274443664063</v>
      </c>
      <c r="Z46" s="116">
        <f ca="1"/>
        <v>0</v>
      </c>
      <c r="AA46" s="116">
        <f ca="1"/>
        <v>3.8575439876042412E-3</v>
      </c>
      <c r="AB46" s="116">
        <f ca="1"/>
        <v>3.9832451353497158E-4</v>
      </c>
      <c r="AC46" s="116">
        <f ca="1"/>
        <v>1.695119359480487E-4</v>
      </c>
      <c r="AD46" s="116">
        <f ca="1"/>
        <v>1.7503561758944986E-5</v>
      </c>
      <c r="AE46" s="116">
        <f ca="1"/>
        <v>9.1971623298657177E-4</v>
      </c>
      <c r="AF46" s="116">
        <f ca="1"/>
        <v>9.4968592003565096E-5</v>
      </c>
      <c r="AG46" s="116">
        <f ca="1"/>
        <v>0.14521295860601816</v>
      </c>
      <c r="AH46" s="116">
        <f ca="1"/>
        <v>1.2879175649271302E-3</v>
      </c>
      <c r="AI46" s="116">
        <f ca="1"/>
        <v>2.7538827321779097E-5</v>
      </c>
      <c r="AJ46" s="116">
        <f ca="1"/>
        <v>3.2881892123833772E-2</v>
      </c>
      <c r="AK46" s="116">
        <f ca="1"/>
        <v>0.43638937961742241</v>
      </c>
      <c r="AL46" s="128">
        <f t="shared" ca="1" si="21"/>
        <v>1.0000000000000002</v>
      </c>
      <c r="AM46" s="418">
        <f t="shared" ca="1" si="16"/>
        <v>4.9467721565388621E-3</v>
      </c>
      <c r="AN46" s="418">
        <f t="shared" ca="1" si="17"/>
        <v>1.3154563922489094E-3</v>
      </c>
    </row>
    <row r="47" spans="4:40" ht="12" customHeight="1" x14ac:dyDescent="0.25">
      <c r="D47" s="341">
        <f t="shared" si="22"/>
        <v>37</v>
      </c>
      <c r="E47" s="63">
        <f t="shared" si="18"/>
        <v>9.25</v>
      </c>
      <c r="F47" s="63">
        <f t="shared" si="23"/>
        <v>79.25</v>
      </c>
      <c r="G47" s="62">
        <f t="shared" si="19"/>
        <v>0</v>
      </c>
      <c r="H47" s="116">
        <f t="array" aca="1" ref="H47:T47" ca="1">MMULT(H46:T46, OFFSET(C.rngTPMroot, MIN(4, INT(($F46-70)/5))*13, $G47*16))</f>
        <v>0</v>
      </c>
      <c r="I47" s="116">
        <f ca="1"/>
        <v>0.20652049207281073</v>
      </c>
      <c r="J47" s="116">
        <f ca="1"/>
        <v>5.1338735777019069E-3</v>
      </c>
      <c r="K47" s="116">
        <f ca="1"/>
        <v>5.3516556304382466E-4</v>
      </c>
      <c r="L47" s="116">
        <f ca="1"/>
        <v>1.9796368298569925E-4</v>
      </c>
      <c r="M47" s="116">
        <f ca="1"/>
        <v>2.0591380525397105E-5</v>
      </c>
      <c r="N47" s="116">
        <f ca="1"/>
        <v>1.5591612133682949E-3</v>
      </c>
      <c r="O47" s="116">
        <f ca="1"/>
        <v>1.6307304567710171E-4</v>
      </c>
      <c r="P47" s="116">
        <f ca="1"/>
        <v>0.25651424848476734</v>
      </c>
      <c r="Q47" s="116">
        <f ca="1"/>
        <v>2.1467196969497775E-3</v>
      </c>
      <c r="R47" s="116">
        <f ca="1"/>
        <v>4.6349171954153485E-5</v>
      </c>
      <c r="S47" s="116">
        <f ca="1"/>
        <v>6.8985324687800761E-2</v>
      </c>
      <c r="T47" s="116">
        <f ca="1"/>
        <v>0.45817703742241378</v>
      </c>
      <c r="U47" s="283">
        <f t="shared" ca="1" si="20"/>
        <v>0.99999999999999878</v>
      </c>
      <c r="V47" s="418">
        <f t="shared" ca="1" si="14"/>
        <v>6.890998474055901E-3</v>
      </c>
      <c r="W47" s="418">
        <f t="shared" ca="1" si="15"/>
        <v>2.1930688689039309E-3</v>
      </c>
      <c r="Y47" s="116">
        <f t="array" aca="1" ref="Y47:AK47" ca="1">MMULT(Y46:AK46, OFFSET(C.rngTPMroot, MIN(4, INT(($F46-70)/5))*13, $G47*16))</f>
        <v>0.36683590921835874</v>
      </c>
      <c r="Z47" s="116">
        <f ca="1"/>
        <v>0</v>
      </c>
      <c r="AA47" s="116">
        <f ca="1"/>
        <v>3.7711643157986819E-3</v>
      </c>
      <c r="AB47" s="116">
        <f ca="1"/>
        <v>3.8940507130389834E-4</v>
      </c>
      <c r="AC47" s="116">
        <f ca="1"/>
        <v>1.65716156705772E-4</v>
      </c>
      <c r="AD47" s="116">
        <f ca="1"/>
        <v>1.7111614985291989E-5</v>
      </c>
      <c r="AE47" s="116">
        <f ca="1"/>
        <v>8.9912157830086717E-4</v>
      </c>
      <c r="AF47" s="116">
        <f ca="1"/>
        <v>9.2842017210000965E-5</v>
      </c>
      <c r="AG47" s="116">
        <f ca="1"/>
        <v>0.14538716762096685</v>
      </c>
      <c r="AH47" s="116">
        <f ca="1"/>
        <v>1.2648333445416358E-3</v>
      </c>
      <c r="AI47" s="116">
        <f ca="1"/>
        <v>2.7046268863469758E-5</v>
      </c>
      <c r="AJ47" s="116">
        <f ca="1"/>
        <v>3.2976204086188406E-2</v>
      </c>
      <c r="AK47" s="116">
        <f ca="1"/>
        <v>0.4481734787067766</v>
      </c>
      <c r="AL47" s="128">
        <f t="shared" ca="1" si="21"/>
        <v>1.0000000000000002</v>
      </c>
      <c r="AM47" s="418">
        <f t="shared" ca="1" si="16"/>
        <v>4.8360020508053216E-3</v>
      </c>
      <c r="AN47" s="418">
        <f t="shared" ca="1" si="17"/>
        <v>1.2918796134051055E-3</v>
      </c>
    </row>
    <row r="48" spans="4:40" ht="12" customHeight="1" x14ac:dyDescent="0.25">
      <c r="D48" s="341">
        <f t="shared" si="22"/>
        <v>38</v>
      </c>
      <c r="E48" s="63">
        <f t="shared" si="18"/>
        <v>9.5</v>
      </c>
      <c r="F48" s="63">
        <f t="shared" si="23"/>
        <v>79.5</v>
      </c>
      <c r="G48" s="62">
        <f t="shared" si="19"/>
        <v>0</v>
      </c>
      <c r="H48" s="116">
        <f t="array" aca="1" ref="H48:T48" ca="1">MMULT(H47:T47, OFFSET(C.rngTPMroot, MIN(4, INT(($F47-70)/5))*13, $G48*16))</f>
        <v>0</v>
      </c>
      <c r="I48" s="116">
        <f ca="1"/>
        <v>0.196931095268124</v>
      </c>
      <c r="J48" s="116">
        <f ca="1"/>
        <v>4.9722869500869356E-3</v>
      </c>
      <c r="K48" s="116">
        <f ca="1"/>
        <v>5.1824591320650181E-4</v>
      </c>
      <c r="L48" s="116">
        <f ca="1"/>
        <v>1.9214621881317843E-4</v>
      </c>
      <c r="M48" s="116">
        <f ca="1"/>
        <v>1.9983715632625799E-5</v>
      </c>
      <c r="N48" s="116">
        <f ca="1"/>
        <v>1.5050739930900514E-3</v>
      </c>
      <c r="O48" s="116">
        <f ca="1"/>
        <v>1.5739166822645255E-4</v>
      </c>
      <c r="P48" s="116">
        <f ca="1"/>
        <v>0.2550342997448235</v>
      </c>
      <c r="Q48" s="116">
        <f ca="1"/>
        <v>2.0882553429483106E-3</v>
      </c>
      <c r="R48" s="116">
        <f ca="1"/>
        <v>4.5081113635945364E-5</v>
      </c>
      <c r="S48" s="116">
        <f ca="1"/>
        <v>6.8684518755473462E-2</v>
      </c>
      <c r="T48" s="116">
        <f ca="1"/>
        <v>0.46985162131593777</v>
      </c>
      <c r="U48" s="283">
        <f t="shared" ca="1" si="20"/>
        <v>0.99999999999999867</v>
      </c>
      <c r="V48" s="418">
        <f t="shared" ca="1" si="14"/>
        <v>6.6695071619901651E-3</v>
      </c>
      <c r="W48" s="418">
        <f t="shared" ca="1" si="15"/>
        <v>2.1333364565842561E-3</v>
      </c>
      <c r="Y48" s="116">
        <f t="array" aca="1" ref="Y48:AK48" ca="1">MMULT(Y47:AK47, OFFSET(C.rngTPMroot, MIN(4, INT(($F47-70)/5))*13, $G48*16))</f>
        <v>0.35530339859638349</v>
      </c>
      <c r="Z48" s="116">
        <f ca="1"/>
        <v>0</v>
      </c>
      <c r="AA48" s="116">
        <f ca="1"/>
        <v>3.6867188922415448E-3</v>
      </c>
      <c r="AB48" s="116">
        <f ca="1"/>
        <v>3.8068535679986707E-4</v>
      </c>
      <c r="AC48" s="116">
        <f ca="1"/>
        <v>1.6200537407435646E-4</v>
      </c>
      <c r="AD48" s="116">
        <f ca="1"/>
        <v>1.6728444840961216E-5</v>
      </c>
      <c r="AE48" s="116">
        <f ca="1"/>
        <v>8.7898808738112776E-4</v>
      </c>
      <c r="AF48" s="116">
        <f ca="1"/>
        <v>9.0763061531948765E-5</v>
      </c>
      <c r="AG48" s="116">
        <f ca="1"/>
        <v>0.14544977371021534</v>
      </c>
      <c r="AH48" s="116">
        <f ca="1"/>
        <v>1.242115789485809E-3</v>
      </c>
      <c r="AI48" s="116">
        <f ca="1"/>
        <v>2.6561500235374376E-5</v>
      </c>
      <c r="AJ48" s="116">
        <f ca="1"/>
        <v>3.3046720576532664E-2</v>
      </c>
      <c r="AK48" s="116">
        <f ca="1"/>
        <v>0.4597155406102777</v>
      </c>
      <c r="AL48" s="128">
        <f t="shared" ca="1" si="21"/>
        <v>1.0000000000000002</v>
      </c>
      <c r="AM48" s="418">
        <f t="shared" ca="1" si="16"/>
        <v>4.7277123536970285E-3</v>
      </c>
      <c r="AN48" s="418">
        <f t="shared" ca="1" si="17"/>
        <v>1.2686772897211834E-3</v>
      </c>
    </row>
    <row r="49" spans="4:40" ht="12" customHeight="1" x14ac:dyDescent="0.25">
      <c r="D49" s="341">
        <f t="shared" si="22"/>
        <v>39</v>
      </c>
      <c r="E49" s="63">
        <f t="shared" si="18"/>
        <v>9.75</v>
      </c>
      <c r="F49" s="63">
        <f t="shared" si="23"/>
        <v>79.75</v>
      </c>
      <c r="G49" s="62">
        <f t="shared" si="19"/>
        <v>0</v>
      </c>
      <c r="H49" s="116">
        <f t="array" aca="1" ref="H49:T49" ca="1">MMULT(H48:T48, OFFSET(C.rngTPMroot, MIN(4, INT(($F48-70)/5))*13, $G49*16))</f>
        <v>0</v>
      </c>
      <c r="I49" s="116">
        <f ca="1"/>
        <v>0.18778696435523706</v>
      </c>
      <c r="J49" s="116">
        <f ca="1"/>
        <v>4.8164836675248877E-3</v>
      </c>
      <c r="K49" s="116">
        <f ca="1"/>
        <v>5.0193432934631541E-4</v>
      </c>
      <c r="L49" s="116">
        <f ca="1"/>
        <v>1.8652331213370583E-4</v>
      </c>
      <c r="M49" s="116">
        <f ca="1"/>
        <v>1.9396463728775118E-5</v>
      </c>
      <c r="N49" s="116">
        <f ca="1"/>
        <v>1.4530882181063788E-3</v>
      </c>
      <c r="O49" s="116">
        <f ca="1"/>
        <v>1.5193175955483174E-4</v>
      </c>
      <c r="P49" s="116">
        <f ca="1"/>
        <v>0.25338949867959454</v>
      </c>
      <c r="Q49" s="116">
        <f ca="1"/>
        <v>2.0316395251886317E-3</v>
      </c>
      <c r="R49" s="116">
        <f ca="1"/>
        <v>4.3853362201914561E-5</v>
      </c>
      <c r="S49" s="116">
        <f ca="1"/>
        <v>6.8340878127166924E-2</v>
      </c>
      <c r="T49" s="116">
        <f ca="1"/>
        <v>0.48127780820021482</v>
      </c>
      <c r="U49" s="283">
        <f t="shared" ca="1" si="20"/>
        <v>0.99999999999999878</v>
      </c>
      <c r="V49" s="418">
        <f t="shared" ca="1" si="14"/>
        <v>6.456095197764973E-3</v>
      </c>
      <c r="W49" s="418">
        <f t="shared" ca="1" si="15"/>
        <v>2.0754928873905464E-3</v>
      </c>
      <c r="Y49" s="116">
        <f t="array" aca="1" ref="Y49:AK49" ca="1">MMULT(Y48:AK48, OFFSET(C.rngTPMroot, MIN(4, INT(($F48-70)/5))*13, $G49*16))</f>
        <v>0.34413344463231388</v>
      </c>
      <c r="Z49" s="116">
        <f ca="1"/>
        <v>0</v>
      </c>
      <c r="AA49" s="116">
        <f ca="1"/>
        <v>3.604164404470438E-3</v>
      </c>
      <c r="AB49" s="116">
        <f ca="1"/>
        <v>3.7216089763952517E-4</v>
      </c>
      <c r="AC49" s="116">
        <f ca="1"/>
        <v>1.5837768477560896E-4</v>
      </c>
      <c r="AD49" s="116">
        <f ca="1"/>
        <v>1.6353854796149554E-5</v>
      </c>
      <c r="AE49" s="116">
        <f ca="1"/>
        <v>8.5930543366338416E-4</v>
      </c>
      <c r="AF49" s="116">
        <f ca="1"/>
        <v>8.8730658663079183E-5</v>
      </c>
      <c r="AG49" s="116">
        <f ca="1"/>
        <v>0.14540666184316778</v>
      </c>
      <c r="AH49" s="116">
        <f ca="1"/>
        <v>1.219760611473588E-3</v>
      </c>
      <c r="AI49" s="116">
        <f ca="1"/>
        <v>2.6084431579202012E-5</v>
      </c>
      <c r="AJ49" s="116">
        <f ca="1"/>
        <v>3.3094540492350534E-2</v>
      </c>
      <c r="AK49" s="116">
        <f ca="1"/>
        <v>0.47102041505510706</v>
      </c>
      <c r="AL49" s="128">
        <f t="shared" ca="1" si="21"/>
        <v>1.0000000000000002</v>
      </c>
      <c r="AM49" s="418">
        <f t="shared" ca="1" si="16"/>
        <v>4.6218475229094311E-3</v>
      </c>
      <c r="AN49" s="418">
        <f t="shared" ca="1" si="17"/>
        <v>1.24584504305279E-3</v>
      </c>
    </row>
    <row r="50" spans="4:40" ht="12" customHeight="1" x14ac:dyDescent="0.25">
      <c r="D50" s="341">
        <f t="shared" si="22"/>
        <v>40</v>
      </c>
      <c r="E50" s="63">
        <f t="shared" si="18"/>
        <v>10</v>
      </c>
      <c r="F50" s="63">
        <f t="shared" si="23"/>
        <v>80</v>
      </c>
      <c r="G50" s="62">
        <f t="shared" si="19"/>
        <v>1</v>
      </c>
      <c r="H50" s="116">
        <f t="array" aca="1" ref="H50:T50" ca="1">MMULT(H49:T49, OFFSET(C.rngTPMroot, MIN(4, INT(($F49-70)/5))*13, $G50*16))</f>
        <v>0.17906742423659811</v>
      </c>
      <c r="I50" s="116">
        <f ca="1"/>
        <v>0</v>
      </c>
      <c r="J50" s="116">
        <f ca="1"/>
        <v>4.6662336977576881E-3</v>
      </c>
      <c r="K50" s="116">
        <f ca="1"/>
        <v>4.8620655318863237E-4</v>
      </c>
      <c r="L50" s="116">
        <f ca="1"/>
        <v>1.8108762112738956E-4</v>
      </c>
      <c r="M50" s="116">
        <f ca="1"/>
        <v>1.8828851698039714E-5</v>
      </c>
      <c r="N50" s="116">
        <f ca="1"/>
        <v>1.4031154924596034E-3</v>
      </c>
      <c r="O50" s="116">
        <f ca="1"/>
        <v>1.4668398416215817E-4</v>
      </c>
      <c r="P50" s="116">
        <f ca="1"/>
        <v>0.25159273011730482</v>
      </c>
      <c r="Q50" s="116">
        <f ca="1"/>
        <v>1.9768043240607574E-3</v>
      </c>
      <c r="R50" s="116">
        <f ca="1"/>
        <v>4.2664430028961303E-5</v>
      </c>
      <c r="S50" s="116">
        <f ca="1"/>
        <v>6.7957449893180352E-2</v>
      </c>
      <c r="T50" s="116">
        <f ca="1"/>
        <v>0.49246077079843226</v>
      </c>
      <c r="U50" s="283">
        <f t="shared" ca="1" si="20"/>
        <v>0.99999999999999867</v>
      </c>
      <c r="V50" s="418">
        <f t="shared" ca="1" si="14"/>
        <v>6.2504368113446814E-3</v>
      </c>
      <c r="W50" s="418">
        <f t="shared" ca="1" si="15"/>
        <v>2.0194687540897186E-3</v>
      </c>
      <c r="Y50" s="116">
        <f t="array" aca="1" ref="Y50:AK50" ca="1">MMULT(Y49:AK49, OFFSET(C.rngTPMroot, MIN(4, INT(($F49-70)/5))*13, $G50*16))</f>
        <v>0.33331464934573601</v>
      </c>
      <c r="Z50" s="116">
        <f ca="1"/>
        <v>0</v>
      </c>
      <c r="AA50" s="116">
        <f ca="1"/>
        <v>3.523458509892996E-3</v>
      </c>
      <c r="AB50" s="116">
        <f ca="1"/>
        <v>3.6382732158692132E-4</v>
      </c>
      <c r="AC50" s="116">
        <f ca="1"/>
        <v>1.5483122815030477E-4</v>
      </c>
      <c r="AD50" s="116">
        <f ca="1"/>
        <v>1.5987652721828038E-5</v>
      </c>
      <c r="AE50" s="116">
        <f ca="1"/>
        <v>8.4006352182022835E-4</v>
      </c>
      <c r="AF50" s="116">
        <f ca="1"/>
        <v>8.6743766174221784E-5</v>
      </c>
      <c r="AG50" s="116">
        <f ca="1"/>
        <v>0.14526347876504192</v>
      </c>
      <c r="AH50" s="116">
        <f ca="1"/>
        <v>1.1977635158524039E-3</v>
      </c>
      <c r="AI50" s="116">
        <f ca="1"/>
        <v>2.561497284094537E-5</v>
      </c>
      <c r="AJ50" s="116">
        <f ca="1"/>
        <v>3.3120723346939843E-2</v>
      </c>
      <c r="AK50" s="116">
        <f ca="1"/>
        <v>0.48209285805324259</v>
      </c>
      <c r="AL50" s="128">
        <f t="shared" ca="1" si="21"/>
        <v>1.0000000000000002</v>
      </c>
      <c r="AM50" s="418">
        <f t="shared" ca="1" si="16"/>
        <v>4.5183532598635293E-3</v>
      </c>
      <c r="AN50" s="418">
        <f t="shared" ca="1" si="17"/>
        <v>1.2233784886933493E-3</v>
      </c>
    </row>
    <row r="51" spans="4:40" ht="12" customHeight="1" x14ac:dyDescent="0.25">
      <c r="D51" s="341">
        <f t="shared" si="22"/>
        <v>41</v>
      </c>
      <c r="E51" s="63">
        <f t="shared" si="18"/>
        <v>10.25</v>
      </c>
      <c r="F51" s="63">
        <f t="shared" si="23"/>
        <v>80.25</v>
      </c>
      <c r="G51" s="62">
        <f t="shared" si="19"/>
        <v>0</v>
      </c>
      <c r="H51" s="116">
        <f t="array" aca="1" ref="H51:T51" ca="1">MMULT(H50:T50, OFFSET(C.rngTPMroot, MIN(4, INT(($F50-70)/5))*13, $G51*16))</f>
        <v>0.17054891263021169</v>
      </c>
      <c r="I51" s="116">
        <f ca="1"/>
        <v>0</v>
      </c>
      <c r="J51" s="116">
        <f ca="1"/>
        <v>3.0996708250421749E-3</v>
      </c>
      <c r="K51" s="116">
        <f ca="1"/>
        <v>4.7103936381150184E-4</v>
      </c>
      <c r="L51" s="116">
        <f ca="1"/>
        <v>1.3620873904302716E-4</v>
      </c>
      <c r="M51" s="116">
        <f ca="1"/>
        <v>1.828013841033586E-5</v>
      </c>
      <c r="N51" s="116">
        <f ca="1"/>
        <v>7.3902399658096749E-4</v>
      </c>
      <c r="O51" s="116">
        <f ca="1"/>
        <v>1.4163941879718399E-4</v>
      </c>
      <c r="P51" s="116">
        <f ca="1"/>
        <v>0.24537097823274454</v>
      </c>
      <c r="Q51" s="116">
        <f ca="1"/>
        <v>1.9063728920442869E-3</v>
      </c>
      <c r="R51" s="116">
        <f ca="1"/>
        <v>4.8073572667865702E-5</v>
      </c>
      <c r="S51" s="116">
        <f ca="1"/>
        <v>6.5866718393833415E-2</v>
      </c>
      <c r="T51" s="116">
        <f ca="1"/>
        <v>0.51165308179681179</v>
      </c>
      <c r="U51" s="283">
        <f t="shared" ca="1" si="20"/>
        <v>0.99999999999999867</v>
      </c>
      <c r="V51" s="418">
        <f t="shared" ca="1" si="14"/>
        <v>3.974903560666169E-3</v>
      </c>
      <c r="W51" s="418">
        <f t="shared" ca="1" si="15"/>
        <v>1.9544464647121527E-3</v>
      </c>
      <c r="Y51" s="116">
        <f t="array" aca="1" ref="Y51:AK51" ca="1">MMULT(Y50:AK50, OFFSET(C.rngTPMroot, MIN(4, INT(($F50-70)/5))*13, $G51*16))</f>
        <v>0.31745836101671698</v>
      </c>
      <c r="Z51" s="116">
        <f ca="1"/>
        <v>0</v>
      </c>
      <c r="AA51" s="116">
        <f ca="1"/>
        <v>3.4445598140691578E-3</v>
      </c>
      <c r="AB51" s="116">
        <f ca="1"/>
        <v>3.5568035431096504E-4</v>
      </c>
      <c r="AC51" s="116">
        <f ca="1"/>
        <v>1.5136418520384669E-4</v>
      </c>
      <c r="AD51" s="116">
        <f ca="1"/>
        <v>1.5629650791197962E-5</v>
      </c>
      <c r="AE51" s="116">
        <f ca="1"/>
        <v>8.2125248258287141E-4</v>
      </c>
      <c r="AF51" s="116">
        <f ca="1"/>
        <v>8.480136497869816E-5</v>
      </c>
      <c r="AG51" s="116">
        <f ca="1"/>
        <v>0.14253088594127605</v>
      </c>
      <c r="AH51" s="116">
        <f ca="1"/>
        <v>1.7042627669163527E-3</v>
      </c>
      <c r="AI51" s="116">
        <f ca="1"/>
        <v>2.9128209968686358E-5</v>
      </c>
      <c r="AJ51" s="116">
        <f ca="1"/>
        <v>3.2293137682603827E-2</v>
      </c>
      <c r="AK51" s="116">
        <f ca="1"/>
        <v>0.50111093653058159</v>
      </c>
      <c r="AL51" s="128">
        <f t="shared" ca="1" si="21"/>
        <v>1.0000000000000002</v>
      </c>
      <c r="AM51" s="418">
        <f t="shared" ca="1" si="16"/>
        <v>4.4171764818558765E-3</v>
      </c>
      <c r="AN51" s="418">
        <f t="shared" ca="1" si="17"/>
        <v>1.733390976885039E-3</v>
      </c>
    </row>
    <row r="52" spans="4:40" ht="12" customHeight="1" x14ac:dyDescent="0.25">
      <c r="D52" s="341">
        <f t="shared" si="22"/>
        <v>42</v>
      </c>
      <c r="E52" s="63">
        <f t="shared" si="18"/>
        <v>10.5</v>
      </c>
      <c r="F52" s="63">
        <f t="shared" si="23"/>
        <v>80.5</v>
      </c>
      <c r="G52" s="62">
        <f t="shared" si="19"/>
        <v>0</v>
      </c>
      <c r="H52" s="116">
        <f t="array" aca="1" ref="H52:T52" ca="1">MMULT(H51:T51, OFFSET(C.rngTPMroot, MIN(4, INT(($F51-70)/5))*13, $G52*16))</f>
        <v>0.16243563966674146</v>
      </c>
      <c r="I52" s="116">
        <f ca="1"/>
        <v>0</v>
      </c>
      <c r="J52" s="116">
        <f ca="1"/>
        <v>2.9935779714674853E-3</v>
      </c>
      <c r="K52" s="116">
        <f ca="1"/>
        <v>3.1290052492539315E-4</v>
      </c>
      <c r="L52" s="116">
        <f ca="1"/>
        <v>1.3154670406494577E-4</v>
      </c>
      <c r="M52" s="116">
        <f ca="1"/>
        <v>1.3749778073744071E-5</v>
      </c>
      <c r="N52" s="116">
        <f ca="1"/>
        <v>7.1372932205488143E-4</v>
      </c>
      <c r="O52" s="116">
        <f ca="1"/>
        <v>7.4601791452968361E-5</v>
      </c>
      <c r="P52" s="116">
        <f ca="1"/>
        <v>0.23757511923264021</v>
      </c>
      <c r="Q52" s="116">
        <f ca="1"/>
        <v>1.8434216494886625E-3</v>
      </c>
      <c r="R52" s="116">
        <f ca="1"/>
        <v>4.6360762490381703E-5</v>
      </c>
      <c r="S52" s="116">
        <f ca="1"/>
        <v>6.3838158732820394E-2</v>
      </c>
      <c r="T52" s="116">
        <f ca="1"/>
        <v>0.53002119386377822</v>
      </c>
      <c r="U52" s="283">
        <f t="shared" ca="1" si="20"/>
        <v>0.99999999999999867</v>
      </c>
      <c r="V52" s="418">
        <f t="shared" ca="1" si="14"/>
        <v>3.8388539975873128E-3</v>
      </c>
      <c r="W52" s="418">
        <f t="shared" ca="1" si="15"/>
        <v>1.8897824119790442E-3</v>
      </c>
      <c r="Y52" s="116">
        <f t="array" aca="1" ref="Y52:AK52" ca="1">MMULT(Y51:AK51, OFFSET(C.rngTPMroot, MIN(4, INT(($F51-70)/5))*13, $G52*16))</f>
        <v>0.30235638060685632</v>
      </c>
      <c r="Z52" s="116">
        <f ca="1"/>
        <v>0</v>
      </c>
      <c r="AA52" s="116">
        <f ca="1"/>
        <v>3.3107665852390913E-3</v>
      </c>
      <c r="AB52" s="116">
        <f ca="1"/>
        <v>3.4771581719310123E-4</v>
      </c>
      <c r="AC52" s="116">
        <f ca="1"/>
        <v>1.4548491349402227E-4</v>
      </c>
      <c r="AD52" s="116">
        <f ca="1"/>
        <v>1.5279665383353617E-5</v>
      </c>
      <c r="AE52" s="116">
        <f ca="1"/>
        <v>7.8935348031248587E-4</v>
      </c>
      <c r="AF52" s="116">
        <f ca="1"/>
        <v>8.290245880962743E-5</v>
      </c>
      <c r="AG52" s="116">
        <f ca="1"/>
        <v>0.13983473547172867</v>
      </c>
      <c r="AH52" s="116">
        <f ca="1"/>
        <v>1.6425492426233668E-3</v>
      </c>
      <c r="AI52" s="116">
        <f ca="1"/>
        <v>4.1445680269552576E-5</v>
      </c>
      <c r="AJ52" s="116">
        <f ca="1"/>
        <v>3.1918691095554272E-2</v>
      </c>
      <c r="AK52" s="116">
        <f ca="1"/>
        <v>0.51951469498253633</v>
      </c>
      <c r="AL52" s="128">
        <f t="shared" ca="1" si="21"/>
        <v>1.0000000000000002</v>
      </c>
      <c r="AM52" s="418">
        <f t="shared" ca="1" si="16"/>
        <v>4.245604979045599E-3</v>
      </c>
      <c r="AN52" s="418">
        <f t="shared" ca="1" si="17"/>
        <v>1.6839949228929193E-3</v>
      </c>
    </row>
    <row r="53" spans="4:40" ht="12" customHeight="1" x14ac:dyDescent="0.25">
      <c r="D53" s="341">
        <f t="shared" si="22"/>
        <v>43</v>
      </c>
      <c r="E53" s="63">
        <f t="shared" si="18"/>
        <v>10.75</v>
      </c>
      <c r="F53" s="63">
        <f t="shared" si="23"/>
        <v>80.75</v>
      </c>
      <c r="G53" s="62">
        <f t="shared" si="19"/>
        <v>0</v>
      </c>
      <c r="H53" s="116">
        <f t="array" aca="1" ref="H53:T53" ca="1">MMULT(H52:T52, OFFSET(C.rngTPMroot, MIN(4, INT(($F52-70)/5))*13, $G53*16))</f>
        <v>0.15470832752333522</v>
      </c>
      <c r="I53" s="116">
        <f ca="1"/>
        <v>0</v>
      </c>
      <c r="J53" s="116">
        <f ca="1"/>
        <v>2.8790722023576878E-3</v>
      </c>
      <c r="K53" s="116">
        <f ca="1"/>
        <v>3.0219083623646552E-4</v>
      </c>
      <c r="L53" s="116">
        <f ca="1"/>
        <v>1.2651498060012095E-4</v>
      </c>
      <c r="M53" s="116">
        <f ca="1"/>
        <v>1.3279162555451944E-5</v>
      </c>
      <c r="N53" s="116">
        <f ca="1"/>
        <v>6.8642883890827216E-4</v>
      </c>
      <c r="O53" s="116">
        <f ca="1"/>
        <v>7.2048385822574815E-5</v>
      </c>
      <c r="P53" s="116">
        <f ca="1"/>
        <v>0.22982734910857505</v>
      </c>
      <c r="Q53" s="116">
        <f ca="1"/>
        <v>1.7777056860752882E-3</v>
      </c>
      <c r="R53" s="116">
        <f ca="1"/>
        <v>4.4829861785291363E-5</v>
      </c>
      <c r="S53" s="116">
        <f ca="1"/>
        <v>6.1868492876291308E-2</v>
      </c>
      <c r="T53" s="116">
        <f ca="1"/>
        <v>0.547693760537456</v>
      </c>
      <c r="U53" s="283">
        <f t="shared" ca="1" si="20"/>
        <v>0.99999999999999867</v>
      </c>
      <c r="V53" s="418">
        <f t="shared" ca="1" si="14"/>
        <v>3.6920160218660808E-3</v>
      </c>
      <c r="W53" s="418">
        <f t="shared" ca="1" si="15"/>
        <v>1.8225355478605795E-3</v>
      </c>
      <c r="Y53" s="116">
        <f t="array" aca="1" ref="Y53:AK53" ca="1">MMULT(Y52:AK52, OFFSET(C.rngTPMroot, MIN(4, INT(($F52-70)/5))*13, $G53*16))</f>
        <v>0.28797282453324363</v>
      </c>
      <c r="Z53" s="116">
        <f ca="1"/>
        <v>0</v>
      </c>
      <c r="AA53" s="116">
        <f ca="1"/>
        <v>3.1826647711533426E-3</v>
      </c>
      <c r="AB53" s="116">
        <f ca="1"/>
        <v>3.3420987611246358E-4</v>
      </c>
      <c r="AC53" s="116">
        <f ca="1"/>
        <v>1.3985573944599842E-4</v>
      </c>
      <c r="AD53" s="116">
        <f ca="1"/>
        <v>1.4686174232835062E-5</v>
      </c>
      <c r="AE53" s="116">
        <f ca="1"/>
        <v>7.5881142602398461E-4</v>
      </c>
      <c r="AF53" s="116">
        <f ca="1"/>
        <v>7.9682370252364535E-5</v>
      </c>
      <c r="AG53" s="116">
        <f ca="1"/>
        <v>0.13711517906260001</v>
      </c>
      <c r="AH53" s="116">
        <f ca="1"/>
        <v>1.5875441213054967E-3</v>
      </c>
      <c r="AI53" s="116">
        <f ca="1"/>
        <v>3.9944879427213983E-5</v>
      </c>
      <c r="AJ53" s="116">
        <f ca="1"/>
        <v>3.1525462205884217E-2</v>
      </c>
      <c r="AK53" s="116">
        <f ca="1"/>
        <v>0.53724913484031867</v>
      </c>
      <c r="AL53" s="128">
        <f t="shared" ca="1" si="21"/>
        <v>1.0000000000000002</v>
      </c>
      <c r="AM53" s="418">
        <f t="shared" ca="1" si="16"/>
        <v>4.0813319366233254E-3</v>
      </c>
      <c r="AN53" s="418">
        <f t="shared" ca="1" si="17"/>
        <v>1.6274890007327107E-3</v>
      </c>
    </row>
    <row r="54" spans="4:40" ht="12" customHeight="1" x14ac:dyDescent="0.25">
      <c r="D54" s="341">
        <f t="shared" si="22"/>
        <v>44</v>
      </c>
      <c r="E54" s="63">
        <f t="shared" si="18"/>
        <v>11</v>
      </c>
      <c r="F54" s="63">
        <f t="shared" si="23"/>
        <v>81</v>
      </c>
      <c r="G54" s="62">
        <f t="shared" si="19"/>
        <v>0</v>
      </c>
      <c r="H54" s="116">
        <f t="array" aca="1" ref="H54:T54" ca="1">MMULT(H53:T53, OFFSET(C.rngTPMroot, MIN(4, INT(($F53-70)/5))*13, $G54*16))</f>
        <v>0.14734861545269712</v>
      </c>
      <c r="I54" s="116">
        <f ca="1"/>
        <v>0</v>
      </c>
      <c r="J54" s="116">
        <f ca="1"/>
        <v>2.7676905002553139E-3</v>
      </c>
      <c r="K54" s="116">
        <f ca="1"/>
        <v>2.9063189424430926E-4</v>
      </c>
      <c r="L54" s="116">
        <f ca="1"/>
        <v>1.2162053791502587E-4</v>
      </c>
      <c r="M54" s="116">
        <f ca="1"/>
        <v>1.2771228325564265E-5</v>
      </c>
      <c r="N54" s="116">
        <f ca="1"/>
        <v>6.5987319629981327E-4</v>
      </c>
      <c r="O54" s="116">
        <f ca="1"/>
        <v>6.9292501088532226E-5</v>
      </c>
      <c r="P54" s="116">
        <f ca="1"/>
        <v>0.22231370919123061</v>
      </c>
      <c r="Q54" s="116">
        <f ca="1"/>
        <v>1.7138173233186131E-3</v>
      </c>
      <c r="R54" s="116">
        <f ca="1"/>
        <v>4.3231726297555274E-5</v>
      </c>
      <c r="S54" s="116">
        <f ca="1"/>
        <v>5.9952446958111791E-2</v>
      </c>
      <c r="T54" s="116">
        <f ca="1"/>
        <v>0.56470629949021445</v>
      </c>
      <c r="U54" s="283">
        <f t="shared" ca="1" si="20"/>
        <v>0.99999999999999867</v>
      </c>
      <c r="V54" s="418">
        <f t="shared" ca="1" si="14"/>
        <v>3.5491842344701529E-3</v>
      </c>
      <c r="W54" s="418">
        <f t="shared" ca="1" si="15"/>
        <v>1.7570490496161683E-3</v>
      </c>
      <c r="Y54" s="116">
        <f t="array" aca="1" ref="Y54:AK54" ca="1">MMULT(Y53:AK53, OFFSET(C.rngTPMroot, MIN(4, INT(($F53-70)/5))*13, $G54*16))</f>
        <v>0.2742735162499621</v>
      </c>
      <c r="Z54" s="116">
        <f ca="1"/>
        <v>0</v>
      </c>
      <c r="AA54" s="116">
        <f ca="1"/>
        <v>3.0595653428821057E-3</v>
      </c>
      <c r="AB54" s="116">
        <f ca="1"/>
        <v>3.2127846270317665E-4</v>
      </c>
      <c r="AC54" s="116">
        <f ca="1"/>
        <v>1.3444638508285745E-4</v>
      </c>
      <c r="AD54" s="116">
        <f ca="1"/>
        <v>1.4117929533980919E-5</v>
      </c>
      <c r="AE54" s="116">
        <f ca="1"/>
        <v>7.2946204133356228E-4</v>
      </c>
      <c r="AF54" s="116">
        <f ca="1"/>
        <v>7.6599260671190907E-5</v>
      </c>
      <c r="AG54" s="116">
        <f ca="1"/>
        <v>0.13437277224083852</v>
      </c>
      <c r="AH54" s="116">
        <f ca="1"/>
        <v>1.5343605959051241E-3</v>
      </c>
      <c r="AI54" s="116">
        <f ca="1"/>
        <v>3.8607219111221007E-5</v>
      </c>
      <c r="AJ54" s="116">
        <f ca="1"/>
        <v>3.1108453001915694E-2</v>
      </c>
      <c r="AK54" s="116">
        <f ca="1"/>
        <v>0.55433682127006068</v>
      </c>
      <c r="AL54" s="128">
        <f t="shared" ca="1" si="21"/>
        <v>1.0000000000000002</v>
      </c>
      <c r="AM54" s="418">
        <f t="shared" ca="1" si="16"/>
        <v>3.9234737692985253E-3</v>
      </c>
      <c r="AN54" s="418">
        <f t="shared" ca="1" si="17"/>
        <v>1.5729678150163452E-3</v>
      </c>
    </row>
    <row r="55" spans="4:40" ht="12" customHeight="1" x14ac:dyDescent="0.25">
      <c r="D55" s="341">
        <f t="shared" si="22"/>
        <v>45</v>
      </c>
      <c r="E55" s="63">
        <f t="shared" si="18"/>
        <v>11.25</v>
      </c>
      <c r="F55" s="63">
        <f t="shared" si="23"/>
        <v>81.25</v>
      </c>
      <c r="G55" s="62">
        <f t="shared" si="19"/>
        <v>0</v>
      </c>
      <c r="H55" s="116">
        <f t="array" aca="1" ref="H55:T55" ca="1">MMULT(H54:T54, OFFSET(C.rngTPMroot, MIN(4, INT(($F54-70)/5))*13, $G55*16))</f>
        <v>0.14033901615639902</v>
      </c>
      <c r="I55" s="116">
        <f ca="1"/>
        <v>0</v>
      </c>
      <c r="J55" s="116">
        <f ca="1"/>
        <v>2.6606397439648982E-3</v>
      </c>
      <c r="K55" s="116">
        <f ca="1"/>
        <v>2.7938831548318638E-4</v>
      </c>
      <c r="L55" s="116">
        <f ca="1"/>
        <v>1.1691640984758131E-4</v>
      </c>
      <c r="M55" s="116">
        <f ca="1"/>
        <v>1.2277152092368547E-5</v>
      </c>
      <c r="N55" s="116">
        <f ca="1"/>
        <v>6.3435013846037912E-4</v>
      </c>
      <c r="O55" s="116">
        <f ca="1"/>
        <v>6.661180530471304E-5</v>
      </c>
      <c r="P55" s="116">
        <f ca="1"/>
        <v>0.21502536887971441</v>
      </c>
      <c r="Q55" s="116">
        <f ca="1"/>
        <v>1.6521887870924532E-3</v>
      </c>
      <c r="R55" s="116">
        <f ca="1"/>
        <v>4.1678035923535437E-5</v>
      </c>
      <c r="S55" s="116">
        <f ca="1"/>
        <v>5.8088502426457682E-2</v>
      </c>
      <c r="T55" s="116">
        <f ca="1"/>
        <v>0.58108306214925853</v>
      </c>
      <c r="U55" s="283">
        <f t="shared" ca="1" si="20"/>
        <v>0.99999999999999878</v>
      </c>
      <c r="V55" s="418">
        <f t="shared" ca="1" si="14"/>
        <v>3.4119062922728584E-3</v>
      </c>
      <c r="W55" s="418">
        <f t="shared" ca="1" si="15"/>
        <v>1.6938668230159887E-3</v>
      </c>
      <c r="Y55" s="116">
        <f t="array" aca="1" ref="Y55:AK55" ca="1">MMULT(Y54:AK54, OFFSET(C.rngTPMroot, MIN(4, INT(($F54-70)/5))*13, $G55*16))</f>
        <v>0.26122590504172427</v>
      </c>
      <c r="Z55" s="116">
        <f ca="1"/>
        <v>0</v>
      </c>
      <c r="AA55" s="116">
        <f ca="1"/>
        <v>2.941226313581344E-3</v>
      </c>
      <c r="AB55" s="116">
        <f ca="1"/>
        <v>3.0885202199440828E-4</v>
      </c>
      <c r="AC55" s="116">
        <f ca="1"/>
        <v>1.2924621678420809E-4</v>
      </c>
      <c r="AD55" s="116">
        <f ca="1"/>
        <v>1.3571874834862587E-5</v>
      </c>
      <c r="AE55" s="116">
        <f ca="1"/>
        <v>7.0124763170050994E-4</v>
      </c>
      <c r="AF55" s="116">
        <f ca="1"/>
        <v>7.363654675922398E-5</v>
      </c>
      <c r="AG55" s="116">
        <f ca="1"/>
        <v>0.1316146025597566</v>
      </c>
      <c r="AH55" s="116">
        <f ca="1"/>
        <v>1.4828528412028049E-3</v>
      </c>
      <c r="AI55" s="116">
        <f ca="1"/>
        <v>3.7313857880699177E-5</v>
      </c>
      <c r="AJ55" s="116">
        <f ca="1"/>
        <v>3.0670552023643556E-2</v>
      </c>
      <c r="AK55" s="116">
        <f ca="1"/>
        <v>0.57080099307013776</v>
      </c>
      <c r="AL55" s="128">
        <f t="shared" ca="1" si="21"/>
        <v>1.0000000000000002</v>
      </c>
      <c r="AM55" s="418">
        <f t="shared" ca="1" si="16"/>
        <v>3.7717201620660621E-3</v>
      </c>
      <c r="AN55" s="418">
        <f t="shared" ca="1" si="17"/>
        <v>1.5201666990835041E-3</v>
      </c>
    </row>
    <row r="56" spans="4:40" ht="12" customHeight="1" x14ac:dyDescent="0.25">
      <c r="D56" s="341">
        <f t="shared" si="22"/>
        <v>46</v>
      </c>
      <c r="E56" s="63">
        <f t="shared" si="18"/>
        <v>11.5</v>
      </c>
      <c r="F56" s="63">
        <f t="shared" si="23"/>
        <v>81.5</v>
      </c>
      <c r="G56" s="62">
        <f t="shared" si="19"/>
        <v>0</v>
      </c>
      <c r="H56" s="116">
        <f t="array" aca="1" ref="H56:T56" ca="1">MMULT(H55:T55, OFFSET(C.rngTPMroot, MIN(4, INT(($F55-70)/5))*13, $G56*16))</f>
        <v>0.1336628742335802</v>
      </c>
      <c r="I56" s="116">
        <f ca="1"/>
        <v>0</v>
      </c>
      <c r="J56" s="116">
        <f ca="1"/>
        <v>2.5577305107504942E-3</v>
      </c>
      <c r="K56" s="116">
        <f ca="1"/>
        <v>2.6858192999014755E-4</v>
      </c>
      <c r="L56" s="116">
        <f ca="1"/>
        <v>1.1239427260036956E-4</v>
      </c>
      <c r="M56" s="116">
        <f ca="1"/>
        <v>1.1802287429408843E-5</v>
      </c>
      <c r="N56" s="116">
        <f ca="1"/>
        <v>6.0981450319202545E-4</v>
      </c>
      <c r="O56" s="116">
        <f ca="1"/>
        <v>6.4035345207356901E-5</v>
      </c>
      <c r="P56" s="116">
        <f ca="1"/>
        <v>0.20795658842124859</v>
      </c>
      <c r="Q56" s="116">
        <f ca="1"/>
        <v>1.592729315328559E-3</v>
      </c>
      <c r="R56" s="116">
        <f ca="1"/>
        <v>4.0179301891733796E-5</v>
      </c>
      <c r="S56" s="116">
        <f ca="1"/>
        <v>5.6275661297968176E-2</v>
      </c>
      <c r="T56" s="116">
        <f ca="1"/>
        <v>0.59684760858081165</v>
      </c>
      <c r="U56" s="283">
        <f t="shared" ca="1" si="20"/>
        <v>0.99999999999999867</v>
      </c>
      <c r="V56" s="418">
        <f t="shared" ca="1" si="14"/>
        <v>3.2799392865428892E-3</v>
      </c>
      <c r="W56" s="418">
        <f t="shared" ca="1" si="15"/>
        <v>1.6329086172202929E-3</v>
      </c>
      <c r="Y56" s="116">
        <f t="array" aca="1" ref="Y56:AK56" ca="1">MMULT(Y55:AK55, OFFSET(C.rngTPMroot, MIN(4, INT(($F55-70)/5))*13, $G56*16))</f>
        <v>0.24879898868061917</v>
      </c>
      <c r="Z56" s="116">
        <f ca="1"/>
        <v>0</v>
      </c>
      <c r="AA56" s="116">
        <f ca="1"/>
        <v>2.8274644124759709E-3</v>
      </c>
      <c r="AB56" s="116">
        <f ca="1"/>
        <v>2.9690612629212318E-4</v>
      </c>
      <c r="AC56" s="116">
        <f ca="1"/>
        <v>1.2424718108805811E-4</v>
      </c>
      <c r="AD56" s="116">
        <f ca="1"/>
        <v>1.3046936710077793E-5</v>
      </c>
      <c r="AE56" s="116">
        <f ca="1"/>
        <v>6.7412450167834124E-4</v>
      </c>
      <c r="AF56" s="116">
        <f ca="1"/>
        <v>7.0788404461881156E-5</v>
      </c>
      <c r="AG56" s="116">
        <f ca="1"/>
        <v>0.12884708035179285</v>
      </c>
      <c r="AH56" s="116">
        <f ca="1"/>
        <v>1.4329756178573863E-3</v>
      </c>
      <c r="AI56" s="116">
        <f ca="1"/>
        <v>3.6061249436604922E-5</v>
      </c>
      <c r="AJ56" s="116">
        <f ca="1"/>
        <v>3.0214275674955632E-2</v>
      </c>
      <c r="AK56" s="116">
        <f ca="1"/>
        <v>0.58666404086263213</v>
      </c>
      <c r="AL56" s="128">
        <f t="shared" ca="1" si="21"/>
        <v>1.0000000000000002</v>
      </c>
      <c r="AM56" s="418">
        <f t="shared" ca="1" si="16"/>
        <v>3.6258360952423703E-3</v>
      </c>
      <c r="AN56" s="418">
        <f t="shared" ca="1" si="17"/>
        <v>1.4690368672939911E-3</v>
      </c>
    </row>
    <row r="57" spans="4:40" ht="12" customHeight="1" x14ac:dyDescent="0.25">
      <c r="D57" s="341">
        <f t="shared" si="22"/>
        <v>47</v>
      </c>
      <c r="E57" s="63">
        <f t="shared" si="18"/>
        <v>11.75</v>
      </c>
      <c r="F57" s="63">
        <f t="shared" si="23"/>
        <v>81.75</v>
      </c>
      <c r="G57" s="62">
        <f t="shared" si="19"/>
        <v>0</v>
      </c>
      <c r="H57" s="116">
        <f t="array" aca="1" ref="H57:T57" ca="1">MMULT(H56:T56, OFFSET(C.rngTPMroot, MIN(4, INT(($F56-70)/5))*13, $G57*16))</f>
        <v>0.127304326606306</v>
      </c>
      <c r="I57" s="116">
        <f ca="1"/>
        <v>0</v>
      </c>
      <c r="J57" s="116">
        <f ca="1"/>
        <v>2.4588016117868673E-3</v>
      </c>
      <c r="K57" s="116">
        <f ca="1"/>
        <v>2.5819361622717935E-4</v>
      </c>
      <c r="L57" s="116">
        <f ca="1"/>
        <v>1.0804704305783665E-4</v>
      </c>
      <c r="M57" s="116">
        <f ca="1"/>
        <v>1.1345794079532578E-5</v>
      </c>
      <c r="N57" s="116">
        <f ca="1"/>
        <v>5.8622785983015828E-4</v>
      </c>
      <c r="O57" s="116">
        <f ca="1"/>
        <v>6.1558561836418991E-5</v>
      </c>
      <c r="P57" s="116">
        <f ca="1"/>
        <v>0.20110184505727494</v>
      </c>
      <c r="Q57" s="116">
        <f ca="1"/>
        <v>1.5353645488074006E-3</v>
      </c>
      <c r="R57" s="116">
        <f ca="1"/>
        <v>3.8733316974641606E-5</v>
      </c>
      <c r="S57" s="116">
        <f ca="1"/>
        <v>5.451291609799596E-2</v>
      </c>
      <c r="T57" s="116">
        <f ca="1"/>
        <v>0.61202263988582173</v>
      </c>
      <c r="U57" s="283">
        <f t="shared" ca="1" si="20"/>
        <v>0.99999999999999867</v>
      </c>
      <c r="V57" s="418">
        <f t="shared" ca="1" si="14"/>
        <v>3.1530765146748625E-3</v>
      </c>
      <c r="W57" s="418">
        <f t="shared" ca="1" si="15"/>
        <v>1.5740978657820422E-3</v>
      </c>
      <c r="Y57" s="116">
        <f t="array" aca="1" ref="Y57:AK57" ca="1">MMULT(Y56:AK56, OFFSET(C.rngTPMroot, MIN(4, INT(($F56-70)/5))*13, $G57*16))</f>
        <v>0.23696323976219644</v>
      </c>
      <c r="Z57" s="116">
        <f ca="1"/>
        <v>0</v>
      </c>
      <c r="AA57" s="116">
        <f ca="1"/>
        <v>2.7181026397201497E-3</v>
      </c>
      <c r="AB57" s="116">
        <f ca="1"/>
        <v>2.8542227507643881E-4</v>
      </c>
      <c r="AC57" s="116">
        <f ca="1"/>
        <v>1.1944150009566506E-4</v>
      </c>
      <c r="AD57" s="116">
        <f ca="1"/>
        <v>1.2542302191854452E-5</v>
      </c>
      <c r="AE57" s="116">
        <f ca="1"/>
        <v>6.4805045093648981E-4</v>
      </c>
      <c r="AF57" s="116">
        <f ca="1"/>
        <v>6.8050422882356235E-5</v>
      </c>
      <c r="AG57" s="116">
        <f ca="1"/>
        <v>0.12607608713290408</v>
      </c>
      <c r="AH57" s="116">
        <f ca="1"/>
        <v>1.3846825643601193E-3</v>
      </c>
      <c r="AI57" s="116">
        <f ca="1"/>
        <v>3.4848293610991472E-5</v>
      </c>
      <c r="AJ57" s="116">
        <f ca="1"/>
        <v>2.9741963989460218E-2</v>
      </c>
      <c r="AK57" s="116">
        <f ca="1"/>
        <v>0.6019475686665654</v>
      </c>
      <c r="AL57" s="128">
        <f t="shared" ca="1" si="21"/>
        <v>1.0000000000000002</v>
      </c>
      <c r="AM57" s="418">
        <f t="shared" ca="1" si="16"/>
        <v>3.4855945907523046E-3</v>
      </c>
      <c r="AN57" s="418">
        <f t="shared" ca="1" si="17"/>
        <v>1.4195308579711108E-3</v>
      </c>
    </row>
    <row r="58" spans="4:40" ht="12" customHeight="1" x14ac:dyDescent="0.25">
      <c r="D58" s="341">
        <f t="shared" si="22"/>
        <v>48</v>
      </c>
      <c r="E58" s="63">
        <f t="shared" si="18"/>
        <v>12</v>
      </c>
      <c r="F58" s="63">
        <f t="shared" si="23"/>
        <v>82</v>
      </c>
      <c r="G58" s="62">
        <f t="shared" si="19"/>
        <v>0</v>
      </c>
      <c r="H58" s="116">
        <f t="array" aca="1" ref="H58:T58" ca="1">MMULT(H57:T57, OFFSET(C.rngTPMroot, MIN(4, INT(($F57-70)/5))*13, $G58*16))</f>
        <v>0.12124826482755291</v>
      </c>
      <c r="I58" s="116">
        <f ca="1"/>
        <v>0</v>
      </c>
      <c r="J58" s="116">
        <f ca="1"/>
        <v>2.3636991227957301E-3</v>
      </c>
      <c r="K58" s="116">
        <f ca="1"/>
        <v>2.4820710276712865E-4</v>
      </c>
      <c r="L58" s="116">
        <f ca="1"/>
        <v>1.0386795733019011E-4</v>
      </c>
      <c r="M58" s="116">
        <f ca="1"/>
        <v>1.0906957027920423E-5</v>
      </c>
      <c r="N58" s="116">
        <f ca="1"/>
        <v>5.6355350972458812E-4</v>
      </c>
      <c r="O58" s="116">
        <f ca="1"/>
        <v>5.9177575755725783E-5</v>
      </c>
      <c r="P58" s="116">
        <f ca="1"/>
        <v>0.19445568467825589</v>
      </c>
      <c r="Q58" s="116">
        <f ca="1"/>
        <v>1.4800229474155706E-3</v>
      </c>
      <c r="R58" s="116">
        <f ca="1"/>
        <v>3.733827284287589E-5</v>
      </c>
      <c r="S58" s="116">
        <f ca="1"/>
        <v>5.2799253015835663E-2</v>
      </c>
      <c r="T58" s="116">
        <f ca="1"/>
        <v>0.62663002403269441</v>
      </c>
      <c r="U58" s="283">
        <f t="shared" ca="1" si="20"/>
        <v>0.99999999999999856</v>
      </c>
      <c r="V58" s="418">
        <f t="shared" ca="1" si="14"/>
        <v>3.0311205898505083E-3</v>
      </c>
      <c r="W58" s="418">
        <f t="shared" ca="1" si="15"/>
        <v>1.5173612202584465E-3</v>
      </c>
      <c r="Y58" s="116">
        <f t="array" aca="1" ref="Y58:AK58" ca="1">MMULT(Y57:AK57, OFFSET(C.rngTPMroot, MIN(4, INT(($F57-70)/5))*13, $G58*16))</f>
        <v>0.22569053554585555</v>
      </c>
      <c r="Z58" s="116">
        <f ca="1"/>
        <v>0</v>
      </c>
      <c r="AA58" s="116">
        <f ca="1"/>
        <v>2.612970804340896E-3</v>
      </c>
      <c r="AB58" s="116">
        <f ca="1"/>
        <v>2.7438260085503098E-4</v>
      </c>
      <c r="AC58" s="116">
        <f ca="1"/>
        <v>1.1482169511037523E-4</v>
      </c>
      <c r="AD58" s="116">
        <f ca="1"/>
        <v>1.2057186129530862E-5</v>
      </c>
      <c r="AE58" s="116">
        <f ca="1"/>
        <v>6.22984902516905E-4</v>
      </c>
      <c r="AF58" s="116">
        <f ca="1"/>
        <v>6.5418342050371238E-5</v>
      </c>
      <c r="AG58" s="116">
        <f ca="1"/>
        <v>0.12330701448842195</v>
      </c>
      <c r="AH58" s="116">
        <f ca="1"/>
        <v>1.3379283252702315E-3</v>
      </c>
      <c r="AI58" s="116">
        <f ca="1"/>
        <v>3.3673862946106589E-5</v>
      </c>
      <c r="AJ58" s="116">
        <f ca="1"/>
        <v>2.9255791369549072E-2</v>
      </c>
      <c r="AK58" s="116">
        <f ca="1"/>
        <v>0.61667242087695417</v>
      </c>
      <c r="AL58" s="128">
        <f t="shared" ca="1" si="21"/>
        <v>1.0000000000000002</v>
      </c>
      <c r="AM58" s="418">
        <f t="shared" ca="1" si="16"/>
        <v>3.3507774019681763E-3</v>
      </c>
      <c r="AN58" s="418">
        <f t="shared" ca="1" si="17"/>
        <v>1.3716021882163381E-3</v>
      </c>
    </row>
    <row r="59" spans="4:40" ht="12" customHeight="1" x14ac:dyDescent="0.25">
      <c r="D59" s="341">
        <f t="shared" si="22"/>
        <v>49</v>
      </c>
      <c r="E59" s="63">
        <f t="shared" si="18"/>
        <v>12.25</v>
      </c>
      <c r="F59" s="63">
        <f t="shared" si="23"/>
        <v>82.25</v>
      </c>
      <c r="G59" s="62">
        <f t="shared" si="19"/>
        <v>0</v>
      </c>
      <c r="H59" s="116">
        <f t="array" aca="1" ref="H59:T59" ca="1">MMULT(H58:T58, OFFSET(C.rngTPMroot, MIN(4, INT(($F58-70)/5))*13, $G59*16))</f>
        <v>0.11548029918226035</v>
      </c>
      <c r="I59" s="116">
        <f ca="1"/>
        <v>0</v>
      </c>
      <c r="J59" s="116">
        <f ca="1"/>
        <v>2.2722750450453297E-3</v>
      </c>
      <c r="K59" s="116">
        <f ca="1"/>
        <v>2.3860685151250283E-4</v>
      </c>
      <c r="L59" s="116">
        <f ca="1"/>
        <v>9.9850511913745214E-5</v>
      </c>
      <c r="M59" s="116">
        <f ca="1"/>
        <v>1.0485093484435598E-5</v>
      </c>
      <c r="N59" s="116">
        <f ca="1"/>
        <v>5.4175616699484504E-4</v>
      </c>
      <c r="O59" s="116">
        <f ca="1"/>
        <v>5.6888682369674533E-5</v>
      </c>
      <c r="P59" s="116">
        <f ca="1"/>
        <v>0.18801272967494115</v>
      </c>
      <c r="Q59" s="116">
        <f ca="1"/>
        <v>1.4266352842629689E-3</v>
      </c>
      <c r="R59" s="116">
        <f ca="1"/>
        <v>3.5992429724422438E-5</v>
      </c>
      <c r="S59" s="116">
        <f ca="1"/>
        <v>5.1133654833819632E-2</v>
      </c>
      <c r="T59" s="116">
        <f ca="1"/>
        <v>0.64069082624366958</v>
      </c>
      <c r="U59" s="283">
        <f t="shared" ca="1" si="20"/>
        <v>0.99999999999999867</v>
      </c>
      <c r="V59" s="418">
        <f t="shared" ca="1" si="14"/>
        <v>2.9138817239539199E-3</v>
      </c>
      <c r="W59" s="418">
        <f t="shared" ca="1" si="15"/>
        <v>1.4626277139873913E-3</v>
      </c>
      <c r="Y59" s="116">
        <f t="array" aca="1" ref="Y59:AK59" ca="1">MMULT(Y58:AK58, OFFSET(C.rngTPMroot, MIN(4, INT(($F58-70)/5))*13, $G59*16))</f>
        <v>0.21495409113283537</v>
      </c>
      <c r="Z59" s="116">
        <f ca="1"/>
        <v>0</v>
      </c>
      <c r="AA59" s="116">
        <f ca="1"/>
        <v>2.5119052991456367E-3</v>
      </c>
      <c r="AB59" s="116">
        <f ca="1"/>
        <v>2.6376992346658897E-4</v>
      </c>
      <c r="AC59" s="116">
        <f ca="1"/>
        <v>1.1038057674639366E-4</v>
      </c>
      <c r="AD59" s="116">
        <f ca="1"/>
        <v>1.1590833575810752E-5</v>
      </c>
      <c r="AE59" s="116">
        <f ca="1"/>
        <v>5.9888884916747928E-4</v>
      </c>
      <c r="AF59" s="116">
        <f ca="1"/>
        <v>6.2888065869214405E-5</v>
      </c>
      <c r="AG59" s="116">
        <f ca="1"/>
        <v>0.12054479536967641</v>
      </c>
      <c r="AH59" s="116">
        <f ca="1"/>
        <v>1.2926685659111121E-3</v>
      </c>
      <c r="AI59" s="116">
        <f ca="1"/>
        <v>3.2536854450596331E-5</v>
      </c>
      <c r="AJ59" s="116">
        <f ca="1"/>
        <v>2.8757776403433317E-2</v>
      </c>
      <c r="AK59" s="116">
        <f ca="1"/>
        <v>0.63085870812572231</v>
      </c>
      <c r="AL59" s="128">
        <f t="shared" ca="1" si="21"/>
        <v>1.0000000000000002</v>
      </c>
      <c r="AM59" s="418">
        <f t="shared" ca="1" si="16"/>
        <v>3.2211747250595092E-3</v>
      </c>
      <c r="AN59" s="418">
        <f t="shared" ca="1" si="17"/>
        <v>1.3252054203617084E-3</v>
      </c>
    </row>
    <row r="60" spans="4:40" ht="12" customHeight="1" x14ac:dyDescent="0.25">
      <c r="D60" s="341">
        <f t="shared" si="22"/>
        <v>50</v>
      </c>
      <c r="E60" s="63">
        <f t="shared" si="18"/>
        <v>12.5</v>
      </c>
      <c r="F60" s="63">
        <f t="shared" si="23"/>
        <v>82.5</v>
      </c>
      <c r="G60" s="62">
        <f t="shared" si="19"/>
        <v>0</v>
      </c>
      <c r="H60" s="116">
        <f t="array" aca="1" ref="H60:T60" ca="1">MMULT(H59:T59, OFFSET(C.rngTPMroot, MIN(4, INT(($F59-70)/5))*13, $G60*16))</f>
        <v>0.10998672449615055</v>
      </c>
      <c r="I60" s="116">
        <f ca="1"/>
        <v>0</v>
      </c>
      <c r="J60" s="116">
        <f ca="1"/>
        <v>2.1843871034776282E-3</v>
      </c>
      <c r="K60" s="116">
        <f ca="1"/>
        <v>2.2937792252823526E-4</v>
      </c>
      <c r="L60" s="116">
        <f ca="1"/>
        <v>9.5988454820033974E-5</v>
      </c>
      <c r="M60" s="116">
        <f ca="1"/>
        <v>1.0079546943974284E-5</v>
      </c>
      <c r="N60" s="116">
        <f ca="1"/>
        <v>5.2080191039962948E-4</v>
      </c>
      <c r="O60" s="116">
        <f ca="1"/>
        <v>5.4688319696640528E-5</v>
      </c>
      <c r="P60" s="116">
        <f ca="1"/>
        <v>0.18176768246993047</v>
      </c>
      <c r="Q60" s="116">
        <f ca="1"/>
        <v>1.3751345933834631E-3</v>
      </c>
      <c r="R60" s="116">
        <f ca="1"/>
        <v>3.4694104102156525E-5</v>
      </c>
      <c r="S60" s="116">
        <f ca="1"/>
        <v>4.9515103019787995E-2</v>
      </c>
      <c r="T60" s="116">
        <f ca="1"/>
        <v>0.65422533805877781</v>
      </c>
      <c r="U60" s="283">
        <f t="shared" ca="1" si="20"/>
        <v>0.99999999999999867</v>
      </c>
      <c r="V60" s="418">
        <f t="shared" ca="1" si="14"/>
        <v>2.8011774686972917E-3</v>
      </c>
      <c r="W60" s="418">
        <f t="shared" ca="1" si="15"/>
        <v>1.4098286974856197E-3</v>
      </c>
      <c r="Y60" s="116">
        <f t="array" aca="1" ref="Y60:AK60" ca="1">MMULT(Y59:AK59, OFFSET(C.rngTPMroot, MIN(4, INT(($F59-70)/5))*13, $G60*16))</f>
        <v>0.2047283958230289</v>
      </c>
      <c r="Z60" s="116">
        <f ca="1"/>
        <v>0</v>
      </c>
      <c r="AA60" s="116">
        <f ca="1"/>
        <v>2.4147488450287071E-3</v>
      </c>
      <c r="AB60" s="116">
        <f ca="1"/>
        <v>2.5356772735855019E-4</v>
      </c>
      <c r="AC60" s="116">
        <f ca="1"/>
        <v>1.0611123369285225E-4</v>
      </c>
      <c r="AD60" s="116">
        <f ca="1"/>
        <v>1.1142518788279489E-5</v>
      </c>
      <c r="AE60" s="116">
        <f ca="1"/>
        <v>5.7572479237956149E-4</v>
      </c>
      <c r="AF60" s="116">
        <f ca="1"/>
        <v>6.0455656698294461E-5</v>
      </c>
      <c r="AG60" s="116">
        <f ca="1"/>
        <v>0.11779393372733633</v>
      </c>
      <c r="AH60" s="116">
        <f ca="1"/>
        <v>1.2488599657926155E-3</v>
      </c>
      <c r="AI60" s="116">
        <f ca="1"/>
        <v>3.143618995689915E-5</v>
      </c>
      <c r="AJ60" s="116">
        <f ca="1"/>
        <v>2.8249791201086311E-2</v>
      </c>
      <c r="AK60" s="116">
        <f ca="1"/>
        <v>0.64452583231885296</v>
      </c>
      <c r="AL60" s="128">
        <f t="shared" ca="1" si="21"/>
        <v>1.0000000000000002</v>
      </c>
      <c r="AM60" s="418">
        <f t="shared" ca="1" si="16"/>
        <v>3.0965848711011208E-3</v>
      </c>
      <c r="AN60" s="418">
        <f t="shared" ca="1" si="17"/>
        <v>1.2802961557495146E-3</v>
      </c>
    </row>
    <row r="61" spans="4:40" ht="12" customHeight="1" x14ac:dyDescent="0.25">
      <c r="D61" s="341">
        <f t="shared" si="22"/>
        <v>51</v>
      </c>
      <c r="E61" s="63">
        <f t="shared" si="18"/>
        <v>12.75</v>
      </c>
      <c r="F61" s="63">
        <f t="shared" si="23"/>
        <v>82.75</v>
      </c>
      <c r="G61" s="62">
        <f t="shared" si="19"/>
        <v>0</v>
      </c>
      <c r="H61" s="116">
        <f t="array" aca="1" ref="H61:T61" ca="1">MMULT(H60:T60, OFFSET(C.rngTPMroot, MIN(4, INT(($F60-70)/5))*13, $G61*16))</f>
        <v>0.10475448757107507</v>
      </c>
      <c r="I61" s="116">
        <f ca="1"/>
        <v>0</v>
      </c>
      <c r="J61" s="116">
        <f ca="1"/>
        <v>2.0998985260361064E-3</v>
      </c>
      <c r="K61" s="116">
        <f ca="1"/>
        <v>2.2050595366335688E-4</v>
      </c>
      <c r="L61" s="116">
        <f ca="1"/>
        <v>9.2275775878813732E-5</v>
      </c>
      <c r="M61" s="116">
        <f ca="1"/>
        <v>9.6896862909813518E-6</v>
      </c>
      <c r="N61" s="116">
        <f ca="1"/>
        <v>5.0065813072411357E-4</v>
      </c>
      <c r="O61" s="116">
        <f ca="1"/>
        <v>5.2573063510372715E-5</v>
      </c>
      <c r="P61" s="116">
        <f ca="1"/>
        <v>0.17571532850559105</v>
      </c>
      <c r="Q61" s="116">
        <f ca="1"/>
        <v>1.325456101726481E-3</v>
      </c>
      <c r="R61" s="116">
        <f ca="1"/>
        <v>3.3441667441984026E-5</v>
      </c>
      <c r="S61" s="116">
        <f ca="1"/>
        <v>4.7942579653450432E-2</v>
      </c>
      <c r="T61" s="116">
        <f ca="1"/>
        <v>0.6672531053646098</v>
      </c>
      <c r="U61" s="283">
        <f t="shared" ca="1" si="20"/>
        <v>0.99999999999999845</v>
      </c>
      <c r="V61" s="418">
        <f t="shared" ca="1" si="14"/>
        <v>2.6928324326390336E-3</v>
      </c>
      <c r="W61" s="418">
        <f t="shared" ca="1" si="15"/>
        <v>1.358897769168465E-3</v>
      </c>
      <c r="Y61" s="116">
        <f t="array" aca="1" ref="Y61:AK61" ca="1">MMULT(Y60:AK60, OFFSET(C.rngTPMroot, MIN(4, INT(($F60-70)/5))*13, $G61*16))</f>
        <v>0.19498915249940205</v>
      </c>
      <c r="Z61" s="116">
        <f ca="1"/>
        <v>0</v>
      </c>
      <c r="AA61" s="116">
        <f ca="1"/>
        <v>2.3213502461859339E-3</v>
      </c>
      <c r="AB61" s="116">
        <f ca="1"/>
        <v>2.4376013577576865E-4</v>
      </c>
      <c r="AC61" s="116">
        <f ca="1"/>
        <v>1.0200702195721204E-4</v>
      </c>
      <c r="AD61" s="116">
        <f ca="1"/>
        <v>1.0711544095177519E-5</v>
      </c>
      <c r="AE61" s="116">
        <f ca="1"/>
        <v>5.5345668402618196E-4</v>
      </c>
      <c r="AF61" s="116">
        <f ca="1"/>
        <v>5.8117329199198662E-5</v>
      </c>
      <c r="AG61" s="116">
        <f ca="1"/>
        <v>0.11505853243625459</v>
      </c>
      <c r="AH61" s="116">
        <f ca="1"/>
        <v>1.2064602117054044E-3</v>
      </c>
      <c r="AI61" s="116">
        <f ca="1"/>
        <v>3.0370815961283948E-5</v>
      </c>
      <c r="AJ61" s="116">
        <f ca="1"/>
        <v>2.7733570215962216E-2</v>
      </c>
      <c r="AK61" s="116">
        <f ca="1"/>
        <v>0.65769251085947522</v>
      </c>
      <c r="AL61" s="128">
        <f t="shared" ca="1" si="21"/>
        <v>1.0000000000000002</v>
      </c>
      <c r="AM61" s="418">
        <f t="shared" ca="1" si="16"/>
        <v>2.9768139521693278E-3</v>
      </c>
      <c r="AN61" s="418">
        <f t="shared" ca="1" si="17"/>
        <v>1.2368310276666885E-3</v>
      </c>
    </row>
    <row r="62" spans="4:40" ht="12" customHeight="1" x14ac:dyDescent="0.25">
      <c r="D62" s="341">
        <f t="shared" si="22"/>
        <v>52</v>
      </c>
      <c r="E62" s="63">
        <f t="shared" si="18"/>
        <v>13</v>
      </c>
      <c r="F62" s="63">
        <f t="shared" si="23"/>
        <v>83</v>
      </c>
      <c r="G62" s="62">
        <f t="shared" si="19"/>
        <v>0</v>
      </c>
      <c r="H62" s="116">
        <f t="array" aca="1" ref="H62:T62" ca="1">MMULT(H61:T61, OFFSET(C.rngTPMroot, MIN(4, INT(($F61-70)/5))*13, $G62*16))</f>
        <v>9.9771156169511946E-2</v>
      </c>
      <c r="I62" s="116">
        <f ca="1"/>
        <v>0</v>
      </c>
      <c r="J62" s="116">
        <f ca="1"/>
        <v>2.0186778307875928E-3</v>
      </c>
      <c r="K62" s="116">
        <f ca="1"/>
        <v>2.1197713827493826E-4</v>
      </c>
      <c r="L62" s="116">
        <f ca="1"/>
        <v>8.8706697383568198E-5</v>
      </c>
      <c r="M62" s="116">
        <f ca="1"/>
        <v>9.3149048205742609E-6</v>
      </c>
      <c r="N62" s="116">
        <f ca="1"/>
        <v>4.8129348002549482E-4</v>
      </c>
      <c r="O62" s="116">
        <f ca="1"/>
        <v>5.0539622028932619E-5</v>
      </c>
      <c r="P62" s="116">
        <f ca="1"/>
        <v>0.16985053883105136</v>
      </c>
      <c r="Q62" s="116">
        <f ca="1"/>
        <v>1.2775371626498064E-3</v>
      </c>
      <c r="R62" s="116">
        <f ca="1"/>
        <v>3.2233544538956374E-5</v>
      </c>
      <c r="S62" s="116">
        <f ca="1"/>
        <v>4.6415069192226988E-2</v>
      </c>
      <c r="T62" s="116">
        <f ca="1"/>
        <v>0.67979295542669838</v>
      </c>
      <c r="U62" s="283">
        <f t="shared" ca="1" si="20"/>
        <v>0.99999999999999856</v>
      </c>
      <c r="V62" s="418">
        <f t="shared" ca="1" si="14"/>
        <v>2.5886780081966557E-3</v>
      </c>
      <c r="W62" s="418">
        <f t="shared" ca="1" si="15"/>
        <v>1.3097707071887629E-3</v>
      </c>
      <c r="Y62" s="116">
        <f t="array" aca="1" ref="Y62:AK62" ca="1">MMULT(Y61:AK61, OFFSET(C.rngTPMroot, MIN(4, INT(($F61-70)/5))*13, $G62*16))</f>
        <v>0.18571321989598816</v>
      </c>
      <c r="Z62" s="116">
        <f ca="1"/>
        <v>0</v>
      </c>
      <c r="AA62" s="116">
        <f ca="1"/>
        <v>2.2315641548234949E-3</v>
      </c>
      <c r="AB62" s="116">
        <f ca="1"/>
        <v>2.3433188605031518E-4</v>
      </c>
      <c r="AC62" s="116">
        <f ca="1"/>
        <v>9.8061554525871654E-5</v>
      </c>
      <c r="AD62" s="116">
        <f ca="1"/>
        <v>1.0297238809560841E-5</v>
      </c>
      <c r="AE62" s="116">
        <f ca="1"/>
        <v>5.3204987026390092E-4</v>
      </c>
      <c r="AF62" s="116">
        <f ca="1"/>
        <v>5.5869444444283375E-5</v>
      </c>
      <c r="AG62" s="116">
        <f ca="1"/>
        <v>0.11234231960100215</v>
      </c>
      <c r="AH62" s="116">
        <f ca="1"/>
        <v>1.1654279895969414E-3</v>
      </c>
      <c r="AI62" s="116">
        <f ca="1"/>
        <v>2.9339703455912612E-5</v>
      </c>
      <c r="AJ62" s="116">
        <f ca="1"/>
        <v>2.7210718579851578E-2</v>
      </c>
      <c r="AK62" s="116">
        <f ca="1"/>
        <v>0.67037680008118805</v>
      </c>
      <c r="AL62" s="128">
        <f t="shared" ca="1" si="21"/>
        <v>1.0000000000000002</v>
      </c>
      <c r="AM62" s="418">
        <f t="shared" ca="1" si="16"/>
        <v>2.8616755796132677E-3</v>
      </c>
      <c r="AN62" s="418">
        <f t="shared" ca="1" si="17"/>
        <v>1.194767693052854E-3</v>
      </c>
    </row>
    <row r="63" spans="4:40" ht="12" customHeight="1" x14ac:dyDescent="0.25">
      <c r="D63" s="341">
        <f t="shared" si="22"/>
        <v>53</v>
      </c>
      <c r="E63" s="63">
        <f t="shared" si="18"/>
        <v>13.25</v>
      </c>
      <c r="F63" s="63">
        <f t="shared" si="23"/>
        <v>83.25</v>
      </c>
      <c r="G63" s="62">
        <f t="shared" si="19"/>
        <v>0</v>
      </c>
      <c r="H63" s="116">
        <f t="array" aca="1" ref="H63:T63" ca="1">MMULT(H62:T62, OFFSET(C.rngTPMroot, MIN(4, INT(($F62-70)/5))*13, $G63*16))</f>
        <v>9.5024889474517649E-2</v>
      </c>
      <c r="I63" s="116">
        <f ca="1"/>
        <v>0</v>
      </c>
      <c r="J63" s="116">
        <f ca="1"/>
        <v>1.9405986213084441E-3</v>
      </c>
      <c r="K63" s="116">
        <f ca="1"/>
        <v>2.0377820373881071E-4</v>
      </c>
      <c r="L63" s="116">
        <f ca="1"/>
        <v>8.5275665100168705E-5</v>
      </c>
      <c r="M63" s="116">
        <f ca="1"/>
        <v>8.9546192942403258E-6</v>
      </c>
      <c r="N63" s="116">
        <f ca="1"/>
        <v>4.6267782284893698E-4</v>
      </c>
      <c r="O63" s="116">
        <f ca="1"/>
        <v>4.858483079121716E-5</v>
      </c>
      <c r="P63" s="116">
        <f ca="1"/>
        <v>0.1641682723133642</v>
      </c>
      <c r="Q63" s="116">
        <f ca="1"/>
        <v>1.2313171911566834E-3</v>
      </c>
      <c r="R63" s="116">
        <f ca="1"/>
        <v>3.1068211899893033E-5</v>
      </c>
      <c r="S63" s="116">
        <f ca="1"/>
        <v>4.4931560086209792E-2</v>
      </c>
      <c r="T63" s="116">
        <f ca="1"/>
        <v>0.69186302295976854</v>
      </c>
      <c r="U63" s="283">
        <f t="shared" ca="1" si="20"/>
        <v>0.99999999999999856</v>
      </c>
      <c r="V63" s="418">
        <f t="shared" ca="1" si="14"/>
        <v>2.4885521092575498E-3</v>
      </c>
      <c r="W63" s="418">
        <f t="shared" ca="1" si="15"/>
        <v>1.2623854030565764E-3</v>
      </c>
      <c r="Y63" s="116">
        <f t="array" aca="1" ref="Y63:AK63" ca="1">MMULT(Y62:AK62, OFFSET(C.rngTPMroot, MIN(4, INT(($F62-70)/5))*13, $G63*16))</f>
        <v>0.17687855761228263</v>
      </c>
      <c r="Z63" s="116">
        <f ca="1"/>
        <v>0</v>
      </c>
      <c r="AA63" s="116">
        <f ca="1"/>
        <v>2.1452508449662979E-3</v>
      </c>
      <c r="AB63" s="116">
        <f ca="1"/>
        <v>2.2526830584969042E-4</v>
      </c>
      <c r="AC63" s="116">
        <f ca="1"/>
        <v>9.4268691424636092E-5</v>
      </c>
      <c r="AD63" s="116">
        <f ca="1"/>
        <v>9.8989581855769529E-6</v>
      </c>
      <c r="AE63" s="116">
        <f ca="1"/>
        <v>5.1147103760416869E-4</v>
      </c>
      <c r="AF63" s="116">
        <f ca="1"/>
        <v>5.3708504253769201E-5</v>
      </c>
      <c r="AG63" s="116">
        <f ca="1"/>
        <v>0.10964867333052562</v>
      </c>
      <c r="AH63" s="116">
        <f ca="1"/>
        <v>1.1257229753382271E-3</v>
      </c>
      <c r="AI63" s="116">
        <f ca="1"/>
        <v>2.8341847731273588E-5</v>
      </c>
      <c r="AJ63" s="116">
        <f ca="1"/>
        <v>2.6682719976450362E-2</v>
      </c>
      <c r="AK63" s="116">
        <f ca="1"/>
        <v>0.68259611791538799</v>
      </c>
      <c r="AL63" s="128">
        <f t="shared" ca="1" si="21"/>
        <v>1.0000000000000002</v>
      </c>
      <c r="AM63" s="418">
        <f t="shared" ca="1" si="16"/>
        <v>2.7509905739951028E-3</v>
      </c>
      <c r="AN63" s="418">
        <f t="shared" ca="1" si="17"/>
        <v>1.1540648230695006E-3</v>
      </c>
    </row>
    <row r="64" spans="4:40" ht="12" customHeight="1" x14ac:dyDescent="0.25">
      <c r="D64" s="341">
        <f t="shared" si="22"/>
        <v>54</v>
      </c>
      <c r="E64" s="63">
        <f t="shared" si="18"/>
        <v>13.5</v>
      </c>
      <c r="F64" s="63">
        <f t="shared" si="23"/>
        <v>83.5</v>
      </c>
      <c r="G64" s="62">
        <f t="shared" si="19"/>
        <v>0</v>
      </c>
      <c r="H64" s="116">
        <f t="array" aca="1" ref="H64:T64" ca="1">MMULT(H63:T63, OFFSET(C.rngTPMroot, MIN(4, INT(($F63-70)/5))*13, $G64*16))</f>
        <v>9.0504409954944451E-2</v>
      </c>
      <c r="I64" s="116">
        <f ca="1"/>
        <v>0</v>
      </c>
      <c r="J64" s="116">
        <f ca="1"/>
        <v>1.8655393899852501E-3</v>
      </c>
      <c r="K64" s="116">
        <f ca="1"/>
        <v>1.9589639079454333E-4</v>
      </c>
      <c r="L64" s="116">
        <f ca="1"/>
        <v>8.1977339623323257E-5</v>
      </c>
      <c r="M64" s="116">
        <f ca="1"/>
        <v>8.6082690321936899E-6</v>
      </c>
      <c r="N64" s="116">
        <f ca="1"/>
        <v>4.4478218933049476E-4</v>
      </c>
      <c r="O64" s="116">
        <f ca="1"/>
        <v>4.6705647732384826E-5</v>
      </c>
      <c r="P64" s="116">
        <f ca="1"/>
        <v>0.15866357750043719</v>
      </c>
      <c r="Q64" s="116">
        <f ca="1"/>
        <v>1.1867376008312159E-3</v>
      </c>
      <c r="R64" s="116">
        <f ca="1"/>
        <v>2.9944196168423478E-5</v>
      </c>
      <c r="S64" s="116">
        <f ca="1"/>
        <v>4.349104625190111E-2</v>
      </c>
      <c r="T64" s="116">
        <f ca="1"/>
        <v>0.70348077526921804</v>
      </c>
      <c r="U64" s="283">
        <f t="shared" ca="1" si="20"/>
        <v>0.99999999999999867</v>
      </c>
      <c r="V64" s="418">
        <f t="shared" ca="1" si="14"/>
        <v>2.3922989189390682E-3</v>
      </c>
      <c r="W64" s="418">
        <f t="shared" ca="1" si="15"/>
        <v>1.2166817969996395E-3</v>
      </c>
      <c r="Y64" s="116">
        <f t="array" aca="1" ref="Y64:AK64" ca="1">MMULT(Y63:AK63, OFFSET(C.rngTPMroot, MIN(4, INT(($F63-70)/5))*13, $G64*16))</f>
        <v>0.16846417374338701</v>
      </c>
      <c r="Z64" s="116">
        <f ca="1"/>
        <v>0</v>
      </c>
      <c r="AA64" s="116">
        <f ca="1"/>
        <v>2.0622759950150826E-3</v>
      </c>
      <c r="AB64" s="116">
        <f ca="1"/>
        <v>2.1655529034360113E-4</v>
      </c>
      <c r="AC64" s="116">
        <f ca="1"/>
        <v>9.0622530163630066E-5</v>
      </c>
      <c r="AD64" s="116">
        <f ca="1"/>
        <v>9.516082415105224E-6</v>
      </c>
      <c r="AE64" s="116">
        <f ca="1"/>
        <v>4.9168816107055522E-4</v>
      </c>
      <c r="AF64" s="116">
        <f ca="1"/>
        <v>5.1631145751840394E-5</v>
      </c>
      <c r="AG64" s="116">
        <f ca="1"/>
        <v>0.1069806450655665</v>
      </c>
      <c r="AH64" s="116">
        <f ca="1"/>
        <v>1.0873058244905451E-3</v>
      </c>
      <c r="AI64" s="116">
        <f ca="1"/>
        <v>2.7376268151639745E-5</v>
      </c>
      <c r="AJ64" s="116">
        <f ca="1"/>
        <v>2.6150944077893114E-2</v>
      </c>
      <c r="AK64" s="116">
        <f ca="1"/>
        <v>0.69436726581575159</v>
      </c>
      <c r="AL64" s="128">
        <f t="shared" ca="1" si="21"/>
        <v>1.0000000000000002</v>
      </c>
      <c r="AM64" s="418">
        <f t="shared" ca="1" si="16"/>
        <v>2.6445866862492675E-3</v>
      </c>
      <c r="AN64" s="418">
        <f t="shared" ca="1" si="17"/>
        <v>1.1146820926421848E-3</v>
      </c>
    </row>
    <row r="65" spans="4:40" ht="12" customHeight="1" x14ac:dyDescent="0.25">
      <c r="D65" s="341">
        <f t="shared" si="22"/>
        <v>55</v>
      </c>
      <c r="E65" s="63">
        <f t="shared" si="18"/>
        <v>13.75</v>
      </c>
      <c r="F65" s="63">
        <f t="shared" si="23"/>
        <v>83.75</v>
      </c>
      <c r="G65" s="62">
        <f t="shared" si="19"/>
        <v>0</v>
      </c>
      <c r="H65" s="116">
        <f t="array" aca="1" ref="H65:T65" ca="1">MMULT(H64:T64, OFFSET(C.rngTPMroot, MIN(4, INT(($F64-70)/5))*13, $G65*16))</f>
        <v>8.619897656907248E-2</v>
      </c>
      <c r="I65" s="116">
        <f ca="1"/>
        <v>0</v>
      </c>
      <c r="J65" s="116">
        <f ca="1"/>
        <v>1.793383328923524E-3</v>
      </c>
      <c r="K65" s="116">
        <f ca="1"/>
        <v>1.8831943368936285E-4</v>
      </c>
      <c r="L65" s="116">
        <f ca="1"/>
        <v>7.88065880673429E-5</v>
      </c>
      <c r="M65" s="116">
        <f ca="1"/>
        <v>8.2753150408402064E-6</v>
      </c>
      <c r="N65" s="116">
        <f ca="1"/>
        <v>4.2757873011393379E-4</v>
      </c>
      <c r="O65" s="116">
        <f ca="1"/>
        <v>4.4899148449766048E-5</v>
      </c>
      <c r="P65" s="116">
        <f ca="1"/>
        <v>0.1533315941617017</v>
      </c>
      <c r="Q65" s="116">
        <f ca="1"/>
        <v>1.1437417424435162E-3</v>
      </c>
      <c r="R65" s="116">
        <f ca="1"/>
        <v>2.8860072591329779E-5</v>
      </c>
      <c r="S65" s="116">
        <f ca="1"/>
        <v>4.2092528413824486E-2</v>
      </c>
      <c r="T65" s="116">
        <f ca="1"/>
        <v>0.71466303649608032</v>
      </c>
      <c r="U65" s="283">
        <f t="shared" ca="1" si="20"/>
        <v>0.99999999999999867</v>
      </c>
      <c r="V65" s="418">
        <f t="shared" ca="1" si="14"/>
        <v>2.2997686471048009E-3</v>
      </c>
      <c r="W65" s="418">
        <f t="shared" ca="1" si="15"/>
        <v>1.1726018150348459E-3</v>
      </c>
      <c r="Y65" s="116">
        <f t="array" aca="1" ref="Y65:AK65" ca="1">MMULT(Y64:AK64, OFFSET(C.rngTPMroot, MIN(4, INT(($F64-70)/5))*13, $G65*16))</f>
        <v>0.16045007500146721</v>
      </c>
      <c r="Z65" s="116">
        <f ca="1"/>
        <v>0</v>
      </c>
      <c r="AA65" s="116">
        <f ca="1"/>
        <v>1.9825104787138609E-3</v>
      </c>
      <c r="AB65" s="116">
        <f ca="1"/>
        <v>2.0817928025388855E-4</v>
      </c>
      <c r="AC65" s="116">
        <f ca="1"/>
        <v>8.7117396551786741E-5</v>
      </c>
      <c r="AD65" s="116">
        <f ca="1"/>
        <v>9.1480156632055614E-6</v>
      </c>
      <c r="AE65" s="116">
        <f ca="1"/>
        <v>4.7267045436117554E-4</v>
      </c>
      <c r="AF65" s="116">
        <f ca="1"/>
        <v>4.9634136133305278E-5</v>
      </c>
      <c r="AG65" s="116">
        <f ca="1"/>
        <v>0.10434098153808065</v>
      </c>
      <c r="AH65" s="116">
        <f ca="1"/>
        <v>1.0501381611735113E-3</v>
      </c>
      <c r="AI65" s="116">
        <f ca="1"/>
        <v>2.6442007906207565E-5</v>
      </c>
      <c r="AJ65" s="116">
        <f ca="1"/>
        <v>2.5616653567267729E-2</v>
      </c>
      <c r="AK65" s="116">
        <f ca="1"/>
        <v>0.70570644996242771</v>
      </c>
      <c r="AL65" s="128">
        <f t="shared" ca="1" si="21"/>
        <v>1.0000000000000002</v>
      </c>
      <c r="AM65" s="418">
        <f t="shared" ca="1" si="16"/>
        <v>2.5422983296268234E-3</v>
      </c>
      <c r="AN65" s="418">
        <f t="shared" ca="1" si="17"/>
        <v>1.0765801690797189E-3</v>
      </c>
    </row>
    <row r="66" spans="4:40" ht="12" customHeight="1" x14ac:dyDescent="0.25">
      <c r="D66" s="341">
        <f t="shared" si="22"/>
        <v>56</v>
      </c>
      <c r="E66" s="63">
        <f t="shared" si="18"/>
        <v>14</v>
      </c>
      <c r="F66" s="63">
        <f t="shared" si="23"/>
        <v>84</v>
      </c>
      <c r="G66" s="62">
        <f t="shared" si="19"/>
        <v>0</v>
      </c>
      <c r="H66" s="116">
        <f t="array" aca="1" ref="H66:T66" ca="1">MMULT(H65:T65, OFFSET(C.rngTPMroot, MIN(4, INT(($F65-70)/5))*13, $G66*16))</f>
        <v>8.2098359242985988E-2</v>
      </c>
      <c r="I66" s="116">
        <f ca="1"/>
        <v>0</v>
      </c>
      <c r="J66" s="116">
        <f ca="1"/>
        <v>1.7240181481701388E-3</v>
      </c>
      <c r="K66" s="116">
        <f ca="1"/>
        <v>1.8103554109007188E-4</v>
      </c>
      <c r="L66" s="116">
        <f ca="1"/>
        <v>7.5758476078295915E-5</v>
      </c>
      <c r="M66" s="116">
        <f ca="1"/>
        <v>7.9552391739904536E-6</v>
      </c>
      <c r="N66" s="116">
        <f ca="1"/>
        <v>4.1104067301129588E-4</v>
      </c>
      <c r="O66" s="116">
        <f ca="1"/>
        <v>4.3162521651879771E-5</v>
      </c>
      <c r="P66" s="116">
        <f ca="1"/>
        <v>0.14816755453088712</v>
      </c>
      <c r="Q66" s="116">
        <f ca="1"/>
        <v>1.1022748441955456E-3</v>
      </c>
      <c r="R66" s="116">
        <f ca="1"/>
        <v>2.7814463525495495E-5</v>
      </c>
      <c r="S66" s="116">
        <f ca="1"/>
        <v>4.0735015322585687E-2</v>
      </c>
      <c r="T66" s="116">
        <f ca="1"/>
        <v>0.72542601099664306</v>
      </c>
      <c r="U66" s="283">
        <f t="shared" ca="1" si="20"/>
        <v>0.99999999999999845</v>
      </c>
      <c r="V66" s="418">
        <f t="shared" ca="1" si="14"/>
        <v>2.2108172972597306E-3</v>
      </c>
      <c r="W66" s="418">
        <f t="shared" ca="1" si="15"/>
        <v>1.1300893077210411E-3</v>
      </c>
      <c r="Y66" s="116">
        <f t="array" aca="1" ref="Y66:AK66" ca="1">MMULT(Y65:AK65, OFFSET(C.rngTPMroot, MIN(4, INT(($F65-70)/5))*13, $G66*16))</f>
        <v>0.1528172192100104</v>
      </c>
      <c r="Z66" s="116">
        <f ca="1"/>
        <v>0</v>
      </c>
      <c r="AA66" s="116">
        <f ca="1"/>
        <v>1.9058301642023996E-3</v>
      </c>
      <c r="AB66" s="116">
        <f ca="1"/>
        <v>2.0012724075344976E-4</v>
      </c>
      <c r="AC66" s="116">
        <f ca="1"/>
        <v>8.3747835866617278E-5</v>
      </c>
      <c r="AD66" s="116">
        <f ca="1"/>
        <v>8.7941851408743746E-6</v>
      </c>
      <c r="AE66" s="116">
        <f ca="1"/>
        <v>4.5438832193875139E-4</v>
      </c>
      <c r="AF66" s="116">
        <f ca="1"/>
        <v>4.7714367632673887E-5</v>
      </c>
      <c r="AG66" s="116">
        <f ca="1"/>
        <v>0.10173214543772616</v>
      </c>
      <c r="AH66" s="116">
        <f ca="1"/>
        <v>1.0141825661289198E-3</v>
      </c>
      <c r="AI66" s="116">
        <f ca="1"/>
        <v>2.5538133738381093E-5</v>
      </c>
      <c r="AJ66" s="116">
        <f ca="1"/>
        <v>2.5081010768956889E-2</v>
      </c>
      <c r="AK66" s="116">
        <f ca="1"/>
        <v>0.71662930176790474</v>
      </c>
      <c r="AL66" s="128">
        <f t="shared" ca="1" si="21"/>
        <v>1.0000000000000002</v>
      </c>
      <c r="AM66" s="418">
        <f t="shared" ca="1" si="16"/>
        <v>2.4439663220077682E-3</v>
      </c>
      <c r="AN66" s="418">
        <f t="shared" ca="1" si="17"/>
        <v>1.0397206998673009E-3</v>
      </c>
    </row>
    <row r="67" spans="4:40" ht="12" customHeight="1" x14ac:dyDescent="0.25">
      <c r="D67" s="341">
        <f t="shared" si="22"/>
        <v>57</v>
      </c>
      <c r="E67" s="63">
        <f t="shared" si="18"/>
        <v>14.25</v>
      </c>
      <c r="F67" s="63">
        <f t="shared" si="23"/>
        <v>84.25</v>
      </c>
      <c r="G67" s="62">
        <f t="shared" si="19"/>
        <v>0</v>
      </c>
      <c r="H67" s="116">
        <f t="array" aca="1" ref="H67:T67" ca="1">MMULT(H66:T66, OFFSET(C.rngTPMroot, MIN(4, INT(($F66-70)/5))*13, $G67*16))</f>
        <v>7.8192814563052396E-2</v>
      </c>
      <c r="I67" s="116">
        <f ca="1"/>
        <v>0</v>
      </c>
      <c r="J67" s="116">
        <f ca="1"/>
        <v>1.6573359009666251E-3</v>
      </c>
      <c r="K67" s="116">
        <f ca="1"/>
        <v>1.7403337773326329E-4</v>
      </c>
      <c r="L67" s="116">
        <f ca="1"/>
        <v>7.282826015511883E-5</v>
      </c>
      <c r="M67" s="116">
        <f ca="1"/>
        <v>7.6475433265156786E-6</v>
      </c>
      <c r="N67" s="116">
        <f ca="1"/>
        <v>3.9514228133976417E-4</v>
      </c>
      <c r="O67" s="116">
        <f ca="1"/>
        <v>4.1493064783474677E-5</v>
      </c>
      <c r="P67" s="116">
        <f ca="1"/>
        <v>0.14316678427375951</v>
      </c>
      <c r="Q67" s="116">
        <f ca="1"/>
        <v>1.0622839535780468E-3</v>
      </c>
      <c r="R67" s="116">
        <f ca="1"/>
        <v>2.6806036984754307E-5</v>
      </c>
      <c r="S67" s="116">
        <f ca="1"/>
        <v>3.9417524857468661E-2</v>
      </c>
      <c r="T67" s="116">
        <f ca="1"/>
        <v>0.73578530588685043</v>
      </c>
      <c r="U67" s="283">
        <f t="shared" ca="1" si="20"/>
        <v>0.99999999999999856</v>
      </c>
      <c r="V67" s="418">
        <f t="shared" ca="1" si="14"/>
        <v>2.125306442461508E-3</v>
      </c>
      <c r="W67" s="418">
        <f t="shared" ca="1" si="15"/>
        <v>1.0890899905628012E-3</v>
      </c>
      <c r="Y67" s="116">
        <f t="array" aca="1" ref="Y67:AK67" ca="1">MMULT(Y66:AK66, OFFSET(C.rngTPMroot, MIN(4, INT(($F66-70)/5))*13, $G67*16))</f>
        <v>0.14554747005800292</v>
      </c>
      <c r="Z67" s="116">
        <f ca="1"/>
        <v>0</v>
      </c>
      <c r="AA67" s="116">
        <f ca="1"/>
        <v>1.8321157208410323E-3</v>
      </c>
      <c r="AB67" s="116">
        <f ca="1"/>
        <v>1.9238664118131487E-4</v>
      </c>
      <c r="AC67" s="116">
        <f ca="1"/>
        <v>8.0508604365519458E-5</v>
      </c>
      <c r="AD67" s="116">
        <f ca="1"/>
        <v>8.4540402136648386E-6</v>
      </c>
      <c r="AE67" s="116">
        <f ca="1"/>
        <v>4.3681331297375334E-4</v>
      </c>
      <c r="AF67" s="116">
        <f ca="1"/>
        <v>4.5868852687823502E-5</v>
      </c>
      <c r="AG67" s="116">
        <f ca="1"/>
        <v>9.9156334856529166E-2</v>
      </c>
      <c r="AH67" s="116">
        <f ca="1"/>
        <v>9.7940256406846022E-4</v>
      </c>
      <c r="AI67" s="116">
        <f ca="1"/>
        <v>2.4663735655498613E-5</v>
      </c>
      <c r="AJ67" s="116">
        <f ca="1"/>
        <v>2.4545083907537287E-2</v>
      </c>
      <c r="AK67" s="116">
        <f ca="1"/>
        <v>0.72715089770594377</v>
      </c>
      <c r="AL67" s="128">
        <f t="shared" ca="1" si="21"/>
        <v>1.0000000000000002</v>
      </c>
      <c r="AM67" s="418">
        <f t="shared" ca="1" si="16"/>
        <v>2.3494376381803048E-3</v>
      </c>
      <c r="AN67" s="418">
        <f t="shared" ca="1" si="17"/>
        <v>1.0040662997239588E-3</v>
      </c>
    </row>
    <row r="68" spans="4:40" ht="12" customHeight="1" x14ac:dyDescent="0.25">
      <c r="D68" s="341">
        <f t="shared" si="22"/>
        <v>58</v>
      </c>
      <c r="E68" s="63">
        <f t="shared" si="18"/>
        <v>14.5</v>
      </c>
      <c r="F68" s="63">
        <f t="shared" si="23"/>
        <v>84.5</v>
      </c>
      <c r="G68" s="62">
        <f t="shared" si="19"/>
        <v>0</v>
      </c>
      <c r="H68" s="116">
        <f t="array" aca="1" ref="H68:T68" ca="1">MMULT(H67:T67, OFFSET(C.rngTPMroot, MIN(4, INT(($F67-70)/5))*13, $G68*16))</f>
        <v>7.4473062624747316E-2</v>
      </c>
      <c r="I68" s="116">
        <f ca="1"/>
        <v>0</v>
      </c>
      <c r="J68" s="116">
        <f ca="1"/>
        <v>1.5932328157613946E-3</v>
      </c>
      <c r="K68" s="116">
        <f ca="1"/>
        <v>1.6730204678527453E-4</v>
      </c>
      <c r="L68" s="116">
        <f ca="1"/>
        <v>7.0011380267734867E-5</v>
      </c>
      <c r="M68" s="116">
        <f ca="1"/>
        <v>7.3517486591918088E-6</v>
      </c>
      <c r="N68" s="116">
        <f ca="1"/>
        <v>3.7985881386999013E-4</v>
      </c>
      <c r="O68" s="116">
        <f ca="1"/>
        <v>3.9888179819786931E-5</v>
      </c>
      <c r="P68" s="116">
        <f ca="1"/>
        <v>0.13832470320225906</v>
      </c>
      <c r="Q68" s="116">
        <f ca="1"/>
        <v>1.0237178808085656E-3</v>
      </c>
      <c r="R68" s="116">
        <f ca="1"/>
        <v>2.5833505225918523E-5</v>
      </c>
      <c r="S68" s="116">
        <f ca="1"/>
        <v>3.8139085021186243E-2</v>
      </c>
      <c r="T68" s="116">
        <f ca="1"/>
        <v>0.74575595278060802</v>
      </c>
      <c r="U68" s="283">
        <f t="shared" ca="1" si="20"/>
        <v>0.99999999999999845</v>
      </c>
      <c r="V68" s="418">
        <f t="shared" ca="1" si="14"/>
        <v>2.0431030098991198E-3</v>
      </c>
      <c r="W68" s="418">
        <f t="shared" ca="1" si="15"/>
        <v>1.049551386034484E-3</v>
      </c>
      <c r="Y68" s="116">
        <f t="array" aca="1" ref="Y68:AK68" ca="1">MMULT(Y67:AK67, OFFSET(C.rngTPMroot, MIN(4, INT(($F67-70)/5))*13, $G68*16))</f>
        <v>0.13862355400652115</v>
      </c>
      <c r="Z68" s="116">
        <f ca="1"/>
        <v>0</v>
      </c>
      <c r="AA68" s="116">
        <f ca="1"/>
        <v>1.7612524335071749E-3</v>
      </c>
      <c r="AB68" s="116">
        <f ca="1"/>
        <v>1.8494543554231247E-4</v>
      </c>
      <c r="AC68" s="116">
        <f ca="1"/>
        <v>7.7394661125415208E-5</v>
      </c>
      <c r="AD68" s="116">
        <f ca="1"/>
        <v>8.1270515447843018E-6</v>
      </c>
      <c r="AE68" s="116">
        <f ca="1"/>
        <v>4.1991807706894717E-4</v>
      </c>
      <c r="AF68" s="116">
        <f ca="1"/>
        <v>4.4094719290725907E-5</v>
      </c>
      <c r="AG68" s="116">
        <f ca="1"/>
        <v>9.6615501579084023E-2</v>
      </c>
      <c r="AH68" s="116">
        <f ca="1"/>
        <v>9.4576261038735161E-4</v>
      </c>
      <c r="AI68" s="116">
        <f ca="1"/>
        <v>2.3817926621143913E-5</v>
      </c>
      <c r="AJ68" s="116">
        <f ca="1"/>
        <v>2.4009853014909224E-2</v>
      </c>
      <c r="AK68" s="116">
        <f ca="1"/>
        <v>0.73728577848439802</v>
      </c>
      <c r="AL68" s="128">
        <f t="shared" ca="1" si="21"/>
        <v>1.0000000000000002</v>
      </c>
      <c r="AM68" s="418">
        <f t="shared" ca="1" si="16"/>
        <v>2.2585651717015372E-3</v>
      </c>
      <c r="AN68" s="418">
        <f t="shared" ca="1" si="17"/>
        <v>9.6958053700849556E-4</v>
      </c>
    </row>
    <row r="69" spans="4:40" ht="12" customHeight="1" x14ac:dyDescent="0.25">
      <c r="D69" s="341">
        <f t="shared" si="22"/>
        <v>59</v>
      </c>
      <c r="E69" s="63">
        <f t="shared" si="18"/>
        <v>14.75</v>
      </c>
      <c r="F69" s="63">
        <f t="shared" si="23"/>
        <v>84.75</v>
      </c>
      <c r="G69" s="62">
        <f t="shared" si="19"/>
        <v>0</v>
      </c>
      <c r="H69" s="116">
        <f t="array" aca="1" ref="H69:T69" ca="1">MMULT(H68:T68, OFFSET(C.rngTPMroot, MIN(4, INT(($F68-70)/5))*13, $G69*16))</f>
        <v>7.093026498281646E-2</v>
      </c>
      <c r="I69" s="116">
        <f ca="1"/>
        <v>0</v>
      </c>
      <c r="J69" s="116">
        <f ca="1"/>
        <v>1.5316091347194554E-3</v>
      </c>
      <c r="K69" s="116">
        <f ca="1"/>
        <v>1.6083107288443105E-4</v>
      </c>
      <c r="L69" s="116">
        <f ca="1"/>
        <v>6.7303452760691259E-5</v>
      </c>
      <c r="M69" s="116">
        <f ca="1"/>
        <v>7.0673948535252893E-6</v>
      </c>
      <c r="N69" s="116">
        <f ca="1"/>
        <v>3.6516648632355618E-4</v>
      </c>
      <c r="O69" s="116">
        <f ca="1"/>
        <v>3.8345369223469052E-5</v>
      </c>
      <c r="P69" s="116">
        <f ca="1"/>
        <v>0.13363682575512964</v>
      </c>
      <c r="Q69" s="116">
        <f ca="1"/>
        <v>9.8652714382020841E-4</v>
      </c>
      <c r="R69" s="116">
        <f ca="1"/>
        <v>2.489562337325779E-5</v>
      </c>
      <c r="S69" s="116">
        <f ca="1"/>
        <v>3.6898734833965344E-2</v>
      </c>
      <c r="T69" s="116">
        <f ca="1"/>
        <v>0.75535242875012842</v>
      </c>
      <c r="U69" s="283">
        <f t="shared" ca="1" si="20"/>
        <v>0.99999999999999845</v>
      </c>
      <c r="V69" s="418">
        <f t="shared" ca="1" si="14"/>
        <v>1.9640790738037028E-3</v>
      </c>
      <c r="W69" s="418">
        <f t="shared" ca="1" si="15"/>
        <v>1.0114227671934662E-3</v>
      </c>
      <c r="Y69" s="116">
        <f t="array" aca="1" ref="Y69:AK69" ca="1">MMULT(Y68:AK68, OFFSET(C.rngTPMroot, MIN(4, INT(($F68-70)/5))*13, $G69*16))</f>
        <v>0.13202901924534186</v>
      </c>
      <c r="Z69" s="116">
        <f ca="1"/>
        <v>0</v>
      </c>
      <c r="AA69" s="116">
        <f ca="1"/>
        <v>1.6931300240745541E-3</v>
      </c>
      <c r="AB69" s="116">
        <f ca="1"/>
        <v>1.7779204376097672E-4</v>
      </c>
      <c r="AC69" s="116">
        <f ca="1"/>
        <v>7.4401160198017918E-5</v>
      </c>
      <c r="AD69" s="116">
        <f ca="1"/>
        <v>7.8127102713352915E-6</v>
      </c>
      <c r="AE69" s="116">
        <f ca="1"/>
        <v>4.036763216964439E-4</v>
      </c>
      <c r="AF69" s="116">
        <f ca="1"/>
        <v>4.2389206518000994E-5</v>
      </c>
      <c r="AG69" s="116">
        <f ca="1"/>
        <v>9.4111368282082095E-2</v>
      </c>
      <c r="AH69" s="116">
        <f ca="1"/>
        <v>9.1322807732025705E-4</v>
      </c>
      <c r="AI69" s="116">
        <f ca="1"/>
        <v>2.2999842232037376E-5</v>
      </c>
      <c r="AJ69" s="116">
        <f ca="1"/>
        <v>2.3476215504323404E-2</v>
      </c>
      <c r="AK69" s="116">
        <f ca="1"/>
        <v>0.74704796758218128</v>
      </c>
      <c r="AL69" s="128">
        <f t="shared" ca="1" si="21"/>
        <v>1.0000000000000002</v>
      </c>
      <c r="AM69" s="418">
        <f t="shared" ca="1" si="16"/>
        <v>2.1712075059690159E-3</v>
      </c>
      <c r="AN69" s="418">
        <f t="shared" ca="1" si="17"/>
        <v>9.3622791955229442E-4</v>
      </c>
    </row>
    <row r="70" spans="4:40" ht="12" customHeight="1" x14ac:dyDescent="0.25">
      <c r="D70" s="341">
        <f t="shared" si="22"/>
        <v>60</v>
      </c>
      <c r="E70" s="63">
        <f t="shared" si="18"/>
        <v>15</v>
      </c>
      <c r="F70" s="63">
        <f t="shared" si="23"/>
        <v>85</v>
      </c>
      <c r="G70" s="62">
        <f t="shared" si="19"/>
        <v>0</v>
      </c>
      <c r="H70" s="116">
        <f t="array" aca="1" ref="H70:T70" ca="1">MMULT(H69:T69, OFFSET(C.rngTPMroot, MIN(4, INT(($F69-70)/5))*13, $G70*16))</f>
        <v>6.7556003650382015E-2</v>
      </c>
      <c r="I70" s="116">
        <f ca="1"/>
        <v>0</v>
      </c>
      <c r="J70" s="116">
        <f ca="1"/>
        <v>1.472368958478316E-3</v>
      </c>
      <c r="K70" s="116">
        <f ca="1"/>
        <v>1.5461038583918798E-4</v>
      </c>
      <c r="L70" s="116">
        <f ca="1"/>
        <v>6.4700263531272841E-5</v>
      </c>
      <c r="M70" s="116">
        <f ca="1"/>
        <v>6.7940393954010129E-6</v>
      </c>
      <c r="N70" s="116">
        <f ca="1"/>
        <v>3.510424343596538E-4</v>
      </c>
      <c r="O70" s="116">
        <f ca="1"/>
        <v>3.6862232057898431E-5</v>
      </c>
      <c r="P70" s="116">
        <f ca="1"/>
        <v>0.12909876126386566</v>
      </c>
      <c r="Q70" s="116">
        <f ca="1"/>
        <v>9.5066391477056163E-4</v>
      </c>
      <c r="R70" s="116">
        <f ca="1"/>
        <v>2.3991188080689946E-5</v>
      </c>
      <c r="S70" s="116">
        <f ca="1"/>
        <v>3.5695525133729582E-2</v>
      </c>
      <c r="T70" s="116">
        <f ca="1"/>
        <v>0.76458867653550822</v>
      </c>
      <c r="U70" s="283">
        <f t="shared" ca="1" si="20"/>
        <v>0.99999999999999845</v>
      </c>
      <c r="V70" s="418">
        <f t="shared" ca="1" si="14"/>
        <v>1.8881116563692424E-3</v>
      </c>
      <c r="W70" s="418">
        <f t="shared" ca="1" si="15"/>
        <v>9.7465510285125155E-4</v>
      </c>
      <c r="Y70" s="116">
        <f t="array" aca="1" ref="Y70:AK70" ca="1">MMULT(Y69:AK69, OFFSET(C.rngTPMroot, MIN(4, INT(($F69-70)/5))*13, $G70*16))</f>
        <v>0.1257481966020495</v>
      </c>
      <c r="Z70" s="116">
        <f ca="1"/>
        <v>0</v>
      </c>
      <c r="AA70" s="116">
        <f ca="1"/>
        <v>1.6276424797973298E-3</v>
      </c>
      <c r="AB70" s="116">
        <f ca="1"/>
        <v>1.7091533366052288E-4</v>
      </c>
      <c r="AC70" s="116">
        <f ca="1"/>
        <v>7.1523443068521189E-5</v>
      </c>
      <c r="AD70" s="116">
        <f ca="1"/>
        <v>7.5105272124182153E-6</v>
      </c>
      <c r="AE70" s="116">
        <f ca="1"/>
        <v>3.8806277128101589E-4</v>
      </c>
      <c r="AF70" s="116">
        <f ca="1"/>
        <v>4.0749660234341353E-5</v>
      </c>
      <c r="AG70" s="116">
        <f ca="1"/>
        <v>9.1645444703585904E-2</v>
      </c>
      <c r="AH70" s="116">
        <f ca="1"/>
        <v>8.8176523961049124E-4</v>
      </c>
      <c r="AI70" s="116">
        <f ca="1"/>
        <v>2.2208640381363976E-5</v>
      </c>
      <c r="AJ70" s="116">
        <f ca="1"/>
        <v>2.2944991429016345E-2</v>
      </c>
      <c r="AK70" s="116">
        <f ca="1"/>
        <v>0.75645098917010245</v>
      </c>
      <c r="AL70" s="128">
        <f t="shared" ca="1" si="21"/>
        <v>1.0000000000000002</v>
      </c>
      <c r="AM70" s="418">
        <f t="shared" ca="1" si="16"/>
        <v>2.0872286941468667E-3</v>
      </c>
      <c r="AN70" s="418">
        <f t="shared" ca="1" si="17"/>
        <v>9.0397387999185518E-4</v>
      </c>
    </row>
    <row r="71" spans="4:40" ht="12" customHeight="1" x14ac:dyDescent="0.25">
      <c r="D71" s="341">
        <f t="shared" si="22"/>
        <v>61</v>
      </c>
      <c r="E71" s="63">
        <f t="shared" si="18"/>
        <v>15.25</v>
      </c>
      <c r="F71" s="63">
        <f t="shared" si="23"/>
        <v>85.25</v>
      </c>
      <c r="G71" s="62">
        <f t="shared" si="19"/>
        <v>0</v>
      </c>
      <c r="H71" s="116">
        <f t="array" aca="1" ref="H71:T71" ca="1">MMULT(H70:T70, OFFSET(C.rngTPMroot, MIN(4, INT(($F70-70)/5))*13, $G71*16))</f>
        <v>6.2341227966221699E-2</v>
      </c>
      <c r="I71" s="116">
        <f ca="1"/>
        <v>0</v>
      </c>
      <c r="J71" s="116">
        <f ca="1"/>
        <v>1.4154200969084773E-3</v>
      </c>
      <c r="K71" s="116">
        <f ca="1"/>
        <v>1.4863030495680166E-4</v>
      </c>
      <c r="L71" s="116">
        <f ca="1"/>
        <v>6.2197761471474892E-5</v>
      </c>
      <c r="M71" s="116">
        <f ca="1"/>
        <v>6.5312568864376392E-6</v>
      </c>
      <c r="N71" s="116">
        <f ca="1"/>
        <v>3.3746467799337715E-4</v>
      </c>
      <c r="O71" s="116">
        <f ca="1"/>
        <v>3.5436460250816799E-5</v>
      </c>
      <c r="P71" s="116">
        <f ca="1"/>
        <v>0.12075872736710047</v>
      </c>
      <c r="Q71" s="116">
        <f ca="1"/>
        <v>9.1608196803999627E-4</v>
      </c>
      <c r="R71" s="116">
        <f ca="1"/>
        <v>2.3119036230940391E-5</v>
      </c>
      <c r="S71" s="116">
        <f ca="1"/>
        <v>3.3057179693669281E-2</v>
      </c>
      <c r="T71" s="116">
        <f ca="1"/>
        <v>0.78089798341026873</v>
      </c>
      <c r="U71" s="283">
        <f t="shared" ca="1" si="20"/>
        <v>0.99999999999999856</v>
      </c>
      <c r="V71" s="418">
        <f t="shared" ca="1" si="14"/>
        <v>1.8150825363733292E-3</v>
      </c>
      <c r="W71" s="418">
        <f t="shared" ca="1" si="15"/>
        <v>9.3920100427093665E-4</v>
      </c>
      <c r="Y71" s="116">
        <f t="array" aca="1" ref="Y71:AK71" ca="1">MMULT(Y70:AK70, OFFSET(C.rngTPMroot, MIN(4, INT(($F70-70)/5))*13, $G71*16))</f>
        <v>0.11604145549046702</v>
      </c>
      <c r="Z71" s="116">
        <f ca="1"/>
        <v>0</v>
      </c>
      <c r="AA71" s="116">
        <f ca="1"/>
        <v>1.5646878883320463E-3</v>
      </c>
      <c r="AB71" s="116">
        <f ca="1"/>
        <v>1.6430460363884723E-4</v>
      </c>
      <c r="AC71" s="116">
        <f ca="1"/>
        <v>6.8757031405973599E-5</v>
      </c>
      <c r="AD71" s="116">
        <f ca="1"/>
        <v>7.22003210786334E-6</v>
      </c>
      <c r="AE71" s="116">
        <f ca="1"/>
        <v>3.7305312786600493E-4</v>
      </c>
      <c r="AF71" s="116">
        <f ca="1"/>
        <v>3.9173528962121493E-5</v>
      </c>
      <c r="AG71" s="116">
        <f ca="1"/>
        <v>8.6367909114388478E-2</v>
      </c>
      <c r="AH71" s="116">
        <f ca="1"/>
        <v>8.5134125975851638E-4</v>
      </c>
      <c r="AI71" s="116">
        <f ca="1"/>
        <v>2.1443500910265162E-5</v>
      </c>
      <c r="AJ71" s="116">
        <f ca="1"/>
        <v>2.1428992320857668E-2</v>
      </c>
      <c r="AK71" s="116">
        <f ca="1"/>
        <v>0.7730716621013054</v>
      </c>
      <c r="AL71" s="128">
        <f t="shared" ca="1" si="21"/>
        <v>1.0000000000000002</v>
      </c>
      <c r="AM71" s="418">
        <f t="shared" ca="1" si="16"/>
        <v>2.0064980476040247E-3</v>
      </c>
      <c r="AN71" s="418">
        <f t="shared" ca="1" si="17"/>
        <v>8.7278476066878158E-4</v>
      </c>
    </row>
    <row r="72" spans="4:40" ht="12" customHeight="1" x14ac:dyDescent="0.25">
      <c r="D72" s="341">
        <f t="shared" si="22"/>
        <v>62</v>
      </c>
      <c r="E72" s="63">
        <f t="shared" si="18"/>
        <v>15.5</v>
      </c>
      <c r="F72" s="63">
        <f t="shared" si="23"/>
        <v>85.5</v>
      </c>
      <c r="G72" s="62">
        <f t="shared" si="19"/>
        <v>0</v>
      </c>
      <c r="H72" s="116">
        <f t="array" aca="1" ref="H72:T72" ca="1">MMULT(H71:T71, OFFSET(C.rngTPMroot, MIN(4, INT(($F71-70)/5))*13, $G72*16))</f>
        <v>5.7528990679342015E-2</v>
      </c>
      <c r="I72" s="116">
        <f ca="1"/>
        <v>0</v>
      </c>
      <c r="J72" s="116">
        <f ca="1"/>
        <v>1.3178595323374862E-3</v>
      </c>
      <c r="K72" s="116">
        <f ca="1"/>
        <v>1.4288152397814286E-4</v>
      </c>
      <c r="L72" s="116">
        <f ca="1"/>
        <v>5.7910660604769244E-5</v>
      </c>
      <c r="M72" s="116">
        <f ca="1"/>
        <v>6.2786383819785404E-6</v>
      </c>
      <c r="N72" s="116">
        <f ca="1"/>
        <v>3.1420427312862237E-4</v>
      </c>
      <c r="O72" s="116">
        <f ca="1"/>
        <v>3.4065835002486032E-5</v>
      </c>
      <c r="P72" s="116">
        <f ca="1"/>
        <v>0.11299961078360521</v>
      </c>
      <c r="Q72" s="116">
        <f ca="1"/>
        <v>8.5120057362578834E-4</v>
      </c>
      <c r="R72" s="116">
        <f ca="1"/>
        <v>2.2278043670921587E-5</v>
      </c>
      <c r="S72" s="116">
        <f ca="1"/>
        <v>3.0637564493499737E-2</v>
      </c>
      <c r="T72" s="116">
        <f ca="1"/>
        <v>0.79608715496282134</v>
      </c>
      <c r="U72" s="283">
        <f t="shared" ca="1" si="20"/>
        <v>0.99999999999999845</v>
      </c>
      <c r="V72" s="418">
        <f t="shared" ca="1" si="14"/>
        <v>1.6899744660708778E-3</v>
      </c>
      <c r="W72" s="418">
        <f t="shared" ca="1" si="15"/>
        <v>8.7347861729670997E-4</v>
      </c>
      <c r="Y72" s="116">
        <f t="array" aca="1" ref="Y72:AK72" ca="1">MMULT(Y71:AK71, OFFSET(C.rngTPMroot, MIN(4, INT(($F71-70)/5))*13, $G72*16))</f>
        <v>0.10708399608274438</v>
      </c>
      <c r="Z72" s="116">
        <f ca="1"/>
        <v>0</v>
      </c>
      <c r="AA72" s="116">
        <f ca="1"/>
        <v>1.4568387528729101E-3</v>
      </c>
      <c r="AB72" s="116">
        <f ca="1"/>
        <v>1.5794956601459148E-4</v>
      </c>
      <c r="AC72" s="116">
        <f ca="1"/>
        <v>6.4017820187450191E-5</v>
      </c>
      <c r="AD72" s="116">
        <f ca="1"/>
        <v>6.940772886407432E-6</v>
      </c>
      <c r="AE72" s="116">
        <f ca="1"/>
        <v>3.4733972034192413E-4</v>
      </c>
      <c r="AF72" s="116">
        <f ca="1"/>
        <v>3.7658359910763916E-5</v>
      </c>
      <c r="AG72" s="116">
        <f ca="1"/>
        <v>8.142826109522415E-2</v>
      </c>
      <c r="AH72" s="116">
        <f ca="1"/>
        <v>7.9330112814119313E-4</v>
      </c>
      <c r="AI72" s="116">
        <f ca="1"/>
        <v>2.0703625249099499E-5</v>
      </c>
      <c r="AJ72" s="116">
        <f ca="1"/>
        <v>2.0031661811065658E-2</v>
      </c>
      <c r="AK72" s="116">
        <f ca="1"/>
        <v>0.78857133126536172</v>
      </c>
      <c r="AL72" s="128">
        <f t="shared" ca="1" si="21"/>
        <v>1.0000000000000002</v>
      </c>
      <c r="AM72" s="418">
        <f t="shared" ca="1" si="16"/>
        <v>1.8681962934022846E-3</v>
      </c>
      <c r="AN72" s="418">
        <f t="shared" ca="1" si="17"/>
        <v>8.1400475339029265E-4</v>
      </c>
    </row>
    <row r="73" spans="4:40" ht="12" customHeight="1" x14ac:dyDescent="0.25">
      <c r="D73" s="341">
        <f t="shared" si="22"/>
        <v>63</v>
      </c>
      <c r="E73" s="63">
        <f t="shared" si="18"/>
        <v>15.75</v>
      </c>
      <c r="F73" s="63">
        <f t="shared" si="23"/>
        <v>85.75</v>
      </c>
      <c r="G73" s="62">
        <f t="shared" si="19"/>
        <v>0</v>
      </c>
      <c r="H73" s="116">
        <f t="array" aca="1" ref="H73:T73" ca="1">MMULT(H72:T72, OFFSET(C.rngTPMroot, MIN(4, INT(($F72-70)/5))*13, $G73*16))</f>
        <v>5.3088219089573445E-2</v>
      </c>
      <c r="I73" s="116">
        <f ca="1"/>
        <v>0</v>
      </c>
      <c r="J73" s="116">
        <f ca="1"/>
        <v>1.2273773773729933E-3</v>
      </c>
      <c r="K73" s="116">
        <f ca="1"/>
        <v>1.3303313891103967E-4</v>
      </c>
      <c r="L73" s="116">
        <f ca="1"/>
        <v>5.3934606072126516E-5</v>
      </c>
      <c r="M73" s="116">
        <f ca="1"/>
        <v>5.8458711020587271E-6</v>
      </c>
      <c r="N73" s="116">
        <f ca="1"/>
        <v>2.9263150377489329E-4</v>
      </c>
      <c r="O73" s="116">
        <f ca="1"/>
        <v>3.1717781514561258E-5</v>
      </c>
      <c r="P73" s="116">
        <f ca="1"/>
        <v>0.10573675628285589</v>
      </c>
      <c r="Q73" s="116">
        <f ca="1"/>
        <v>7.9129337781444096E-4</v>
      </c>
      <c r="R73" s="116">
        <f ca="1"/>
        <v>2.070020392664348E-5</v>
      </c>
      <c r="S73" s="116">
        <f ca="1"/>
        <v>2.8397031343063345E-2</v>
      </c>
      <c r="T73" s="116">
        <f ca="1"/>
        <v>0.81022145942401702</v>
      </c>
      <c r="U73" s="283">
        <f t="shared" ca="1" si="20"/>
        <v>0.99999999999999845</v>
      </c>
      <c r="V73" s="418">
        <f t="shared" ca="1" si="14"/>
        <v>1.5739434872200132E-3</v>
      </c>
      <c r="W73" s="418">
        <f t="shared" ca="1" si="15"/>
        <v>8.1199358174108445E-4</v>
      </c>
      <c r="Y73" s="116">
        <f t="array" aca="1" ref="Y73:AK73" ca="1">MMULT(Y72:AK72, OFFSET(C.rngTPMroot, MIN(4, INT(($F72-70)/5))*13, $G73*16))</f>
        <v>9.8817979907113829E-2</v>
      </c>
      <c r="Z73" s="116">
        <f ca="1"/>
        <v>0</v>
      </c>
      <c r="AA73" s="116">
        <f ca="1"/>
        <v>1.3568145040351604E-3</v>
      </c>
      <c r="AB73" s="116">
        <f ca="1"/>
        <v>1.4706258704079856E-4</v>
      </c>
      <c r="AC73" s="116">
        <f ca="1"/>
        <v>5.9622457719330529E-5</v>
      </c>
      <c r="AD73" s="116">
        <f ca="1"/>
        <v>6.4623667066195803E-6</v>
      </c>
      <c r="AE73" s="116">
        <f ca="1"/>
        <v>3.234919234939872E-4</v>
      </c>
      <c r="AF73" s="116">
        <f ca="1"/>
        <v>3.5062684703285732E-5</v>
      </c>
      <c r="AG73" s="116">
        <f ca="1"/>
        <v>7.6756406716806475E-2</v>
      </c>
      <c r="AH73" s="116">
        <f ca="1"/>
        <v>7.3955681187480539E-4</v>
      </c>
      <c r="AI73" s="116">
        <f ca="1"/>
        <v>1.9292157026879988E-5</v>
      </c>
      <c r="AJ73" s="116">
        <f ca="1"/>
        <v>1.8724253581372596E-2</v>
      </c>
      <c r="AK73" s="116">
        <f ca="1"/>
        <v>0.80301399430210652</v>
      </c>
      <c r="AL73" s="128">
        <f t="shared" ca="1" si="21"/>
        <v>1.0000000000000002</v>
      </c>
      <c r="AM73" s="418">
        <f t="shared" ca="1" si="16"/>
        <v>1.7399288852484782E-3</v>
      </c>
      <c r="AN73" s="418">
        <f t="shared" ca="1" si="17"/>
        <v>7.5884896890168535E-4</v>
      </c>
    </row>
    <row r="74" spans="4:40" ht="12" customHeight="1" x14ac:dyDescent="0.25">
      <c r="D74" s="341">
        <f t="shared" si="22"/>
        <v>64</v>
      </c>
      <c r="E74" s="63">
        <f t="shared" ref="E74:E105" si="24">D74*C.cycleLength</f>
        <v>16</v>
      </c>
      <c r="F74" s="63">
        <f t="shared" si="23"/>
        <v>86</v>
      </c>
      <c r="G74" s="62">
        <f t="shared" ref="G74:G105" si="25">IF(AND(E73&lt;C.maxDurHPE, E74&gt;=C.maxDurHPE), 1, 0)</f>
        <v>0</v>
      </c>
      <c r="H74" s="116">
        <f t="array" aca="1" ref="H74:T74" ca="1">MMULT(H73:T73, OFFSET(C.rngTPMroot, MIN(4, INT(($F73-70)/5))*13, $G74*16))</f>
        <v>4.8990239057237449E-2</v>
      </c>
      <c r="I74" s="116">
        <f ca="1"/>
        <v>0</v>
      </c>
      <c r="J74" s="116">
        <f ca="1"/>
        <v>1.143140681748329E-3</v>
      </c>
      <c r="K74" s="116">
        <f ca="1"/>
        <v>1.2389929361493942E-4</v>
      </c>
      <c r="L74" s="116">
        <f ca="1"/>
        <v>5.0232995565781639E-5</v>
      </c>
      <c r="M74" s="116">
        <f ca="1"/>
        <v>5.444502821161038E-6</v>
      </c>
      <c r="N74" s="116">
        <f ca="1"/>
        <v>2.725477778010338E-4</v>
      </c>
      <c r="O74" s="116">
        <f ca="1"/>
        <v>2.9540088709137504E-5</v>
      </c>
      <c r="P74" s="116">
        <f ca="1"/>
        <v>9.8934264929723723E-2</v>
      </c>
      <c r="Q74" s="116">
        <f ca="1"/>
        <v>7.356391518095781E-4</v>
      </c>
      <c r="R74" s="116">
        <f ca="1"/>
        <v>1.9243330883565117E-5</v>
      </c>
      <c r="S74" s="116">
        <f ca="1"/>
        <v>2.6321900319589142E-2</v>
      </c>
      <c r="T74" s="116">
        <f ca="1"/>
        <v>0.82337390787049458</v>
      </c>
      <c r="U74" s="283">
        <f t="shared" ref="U74:U105" ca="1" si="26">SUM(H74:T74)</f>
        <v>0.99999999999999845</v>
      </c>
      <c r="V74" s="418">
        <f t="shared" ca="1" si="14"/>
        <v>1.4659214551151444E-3</v>
      </c>
      <c r="W74" s="418">
        <f t="shared" ca="1" si="15"/>
        <v>7.5488248269314317E-4</v>
      </c>
      <c r="Y74" s="116">
        <f t="array" aca="1" ref="Y74:AK74" ca="1">MMULT(Y73:AK73, OFFSET(C.rngTPMroot, MIN(4, INT(($F73-70)/5))*13, $G74*16))</f>
        <v>9.1190033152827893E-2</v>
      </c>
      <c r="Z74" s="116">
        <f ca="1"/>
        <v>0</v>
      </c>
      <c r="AA74" s="116">
        <f ca="1"/>
        <v>1.2636943500364227E-3</v>
      </c>
      <c r="AB74" s="116">
        <f ca="1"/>
        <v>1.3696550198462193E-4</v>
      </c>
      <c r="AC74" s="116">
        <f ca="1"/>
        <v>5.5530481676846092E-5</v>
      </c>
      <c r="AD74" s="116">
        <f ca="1"/>
        <v>6.0186708107841563E-6</v>
      </c>
      <c r="AE74" s="116">
        <f ca="1"/>
        <v>3.0129020200330412E-4</v>
      </c>
      <c r="AF74" s="116">
        <f ca="1"/>
        <v>3.2655336125576006E-5</v>
      </c>
      <c r="AG74" s="116">
        <f ca="1"/>
        <v>7.2334336948644426E-2</v>
      </c>
      <c r="AH74" s="116">
        <f ca="1"/>
        <v>6.894583830111226E-4</v>
      </c>
      <c r="AI74" s="116">
        <f ca="1"/>
        <v>1.7985158017382912E-5</v>
      </c>
      <c r="AJ74" s="116">
        <f ca="1"/>
        <v>1.750086073520157E-2</v>
      </c>
      <c r="AK74" s="116">
        <f ca="1"/>
        <v>0.81647117107966038</v>
      </c>
      <c r="AL74" s="128">
        <f t="shared" ref="AL74:AL105" ca="1" si="27">SUM(Y74:AK74)</f>
        <v>1.0000000000000004</v>
      </c>
      <c r="AM74" s="418">
        <f t="shared" ca="1" si="16"/>
        <v>1.6205150337165728E-3</v>
      </c>
      <c r="AN74" s="418">
        <f t="shared" ca="1" si="17"/>
        <v>7.0744354102850551E-4</v>
      </c>
    </row>
    <row r="75" spans="4:40" ht="12" customHeight="1" x14ac:dyDescent="0.25">
      <c r="D75" s="341">
        <f t="shared" ref="D75:D106" si="28">D74+1</f>
        <v>65</v>
      </c>
      <c r="E75" s="63">
        <f t="shared" si="24"/>
        <v>16.25</v>
      </c>
      <c r="F75" s="63">
        <f t="shared" ref="F75:F106" si="29">F74+C.cycleLength</f>
        <v>86.25</v>
      </c>
      <c r="G75" s="62">
        <f t="shared" si="25"/>
        <v>0</v>
      </c>
      <c r="H75" s="116">
        <f t="array" aca="1" ref="H75:T75" ca="1">MMULT(H74:T74, OFFSET(C.rngTPMroot, MIN(4, INT(($F74-70)/5))*13, $G75*16))</f>
        <v>4.5208589853726007E-2</v>
      </c>
      <c r="I75" s="116">
        <f ca="1"/>
        <v>0</v>
      </c>
      <c r="J75" s="116">
        <f ca="1"/>
        <v>1.0646846816026157E-3</v>
      </c>
      <c r="K75" s="116">
        <f ca="1"/>
        <v>1.1539590478216575E-4</v>
      </c>
      <c r="L75" s="116">
        <f ca="1"/>
        <v>4.6785405981793546E-5</v>
      </c>
      <c r="M75" s="116">
        <f ca="1"/>
        <v>5.0708386691009877E-6</v>
      </c>
      <c r="N75" s="116">
        <f ca="1"/>
        <v>2.5384228613559124E-4</v>
      </c>
      <c r="O75" s="116">
        <f ca="1"/>
        <v>2.7512709431019196E-5</v>
      </c>
      <c r="P75" s="116">
        <f ca="1"/>
        <v>9.2563560302598921E-2</v>
      </c>
      <c r="Q75" s="116">
        <f ca="1"/>
        <v>6.8391795368197826E-4</v>
      </c>
      <c r="R75" s="116">
        <f ca="1"/>
        <v>1.7889885099602755E-5</v>
      </c>
      <c r="S75" s="116">
        <f ca="1"/>
        <v>2.4399854177245078E-2</v>
      </c>
      <c r="T75" s="116">
        <f ca="1"/>
        <v>0.83561289600104449</v>
      </c>
      <c r="U75" s="283">
        <f t="shared" ca="1" si="26"/>
        <v>0.99999999999999833</v>
      </c>
      <c r="V75" s="418">
        <f t="shared" ref="V75:V130" ca="1" si="30">SUM(J75,L75,N75)</f>
        <v>1.3653123737200003E-3</v>
      </c>
      <c r="W75" s="418">
        <f t="shared" ref="W75:W130" ca="1" si="31">Q75+R75</f>
        <v>7.0180783878158101E-4</v>
      </c>
      <c r="Y75" s="116">
        <f t="array" aca="1" ref="Y75:AK75" ca="1">MMULT(Y74:AK74, OFFSET(C.rngTPMroot, MIN(4, INT(($F74-70)/5))*13, $G75*16))</f>
        <v>8.4150902034531627E-2</v>
      </c>
      <c r="Z75" s="116">
        <f ca="1"/>
        <v>0</v>
      </c>
      <c r="AA75" s="116">
        <f ca="1"/>
        <v>1.176964513811049E-3</v>
      </c>
      <c r="AB75" s="116">
        <f ca="1"/>
        <v>1.2756536025604272E-4</v>
      </c>
      <c r="AC75" s="116">
        <f ca="1"/>
        <v>5.1719315170316912E-5</v>
      </c>
      <c r="AD75" s="116">
        <f ca="1"/>
        <v>5.6056006740033931E-6</v>
      </c>
      <c r="AE75" s="116">
        <f ca="1"/>
        <v>2.8061206106257488E-4</v>
      </c>
      <c r="AF75" s="116">
        <f ca="1"/>
        <v>3.0414152883614308E-5</v>
      </c>
      <c r="AG75" s="116">
        <f ca="1"/>
        <v>6.8150464301801189E-2</v>
      </c>
      <c r="AH75" s="116">
        <f ca="1"/>
        <v>6.4274219543916005E-4</v>
      </c>
      <c r="AI75" s="116">
        <f ca="1"/>
        <v>1.676682273188698E-5</v>
      </c>
      <c r="AJ75" s="116">
        <f ca="1"/>
        <v>1.6356218143589042E-2</v>
      </c>
      <c r="AK75" s="116">
        <f ca="1"/>
        <v>0.82901002549804981</v>
      </c>
      <c r="AL75" s="128">
        <f t="shared" ca="1" si="27"/>
        <v>1.0000000000000002</v>
      </c>
      <c r="AM75" s="418">
        <f t="shared" ref="AM75:AM130" ca="1" si="32">SUM(AA75,AC75,AE75)</f>
        <v>1.5092958900439408E-3</v>
      </c>
      <c r="AN75" s="418">
        <f t="shared" ref="AN75:AN130" ca="1" si="33">AH75+AI75</f>
        <v>6.5950901817104699E-4</v>
      </c>
    </row>
    <row r="76" spans="4:40" ht="12" customHeight="1" x14ac:dyDescent="0.25">
      <c r="D76" s="341">
        <f t="shared" si="28"/>
        <v>66</v>
      </c>
      <c r="E76" s="63">
        <f t="shared" si="24"/>
        <v>16.5</v>
      </c>
      <c r="F76" s="63">
        <f t="shared" si="29"/>
        <v>86.5</v>
      </c>
      <c r="G76" s="62">
        <f t="shared" si="25"/>
        <v>0</v>
      </c>
      <c r="H76" s="116">
        <f t="array" aca="1" ref="H76:T76" ca="1">MMULT(H75:T75, OFFSET(C.rngTPMroot, MIN(4, INT(($F75-70)/5))*13, $G76*16))</f>
        <v>4.1718853304115081E-2</v>
      </c>
      <c r="I76" s="116">
        <f ca="1"/>
        <v>0</v>
      </c>
      <c r="J76" s="116">
        <f ca="1"/>
        <v>9.9161324776741544E-4</v>
      </c>
      <c r="K76" s="116">
        <f ca="1"/>
        <v>1.0747605618701488E-4</v>
      </c>
      <c r="L76" s="116">
        <f ca="1"/>
        <v>4.35744302283849E-5</v>
      </c>
      <c r="M76" s="116">
        <f ca="1"/>
        <v>4.7228170076258484E-6</v>
      </c>
      <c r="N76" s="116">
        <f ca="1"/>
        <v>2.3642058360107883E-4</v>
      </c>
      <c r="O76" s="116">
        <f ca="1"/>
        <v>2.5624457906431933E-5</v>
      </c>
      <c r="P76" s="116">
        <f ca="1"/>
        <v>8.6597719419594155E-2</v>
      </c>
      <c r="Q76" s="116">
        <f ca="1"/>
        <v>6.3585066543836249E-4</v>
      </c>
      <c r="R76" s="116">
        <f ca="1"/>
        <v>1.6632085960662876E-5</v>
      </c>
      <c r="S76" s="116">
        <f ca="1"/>
        <v>2.2619485090048703E-2</v>
      </c>
      <c r="T76" s="116">
        <f ca="1"/>
        <v>0.8470020278421434</v>
      </c>
      <c r="U76" s="283">
        <f t="shared" ca="1" si="26"/>
        <v>0.99999999999999833</v>
      </c>
      <c r="V76" s="418">
        <f t="shared" ca="1" si="30"/>
        <v>1.2716082615968792E-3</v>
      </c>
      <c r="W76" s="418">
        <f t="shared" ca="1" si="31"/>
        <v>6.5248275139902538E-4</v>
      </c>
      <c r="Y76" s="116">
        <f t="array" aca="1" ref="Y76:AK76" ca="1">MMULT(Y75:AK75, OFFSET(C.rngTPMroot, MIN(4, INT(($F75-70)/5))*13, $G76*16))</f>
        <v>7.7655134759710726E-2</v>
      </c>
      <c r="Z76" s="116">
        <f ca="1"/>
        <v>0</v>
      </c>
      <c r="AA76" s="116">
        <f ca="1"/>
        <v>1.0961870910835357E-3</v>
      </c>
      <c r="AB76" s="116">
        <f ca="1"/>
        <v>1.1881029792414379E-4</v>
      </c>
      <c r="AC76" s="116">
        <f ca="1"/>
        <v>4.8169715385729963E-5</v>
      </c>
      <c r="AD76" s="116">
        <f ca="1"/>
        <v>5.2208772411676399E-6</v>
      </c>
      <c r="AE76" s="116">
        <f ca="1"/>
        <v>2.6135309546683781E-4</v>
      </c>
      <c r="AF76" s="116">
        <f ca="1"/>
        <v>2.8326769570985489E-5</v>
      </c>
      <c r="AG76" s="116">
        <f ca="1"/>
        <v>6.4193485061072031E-2</v>
      </c>
      <c r="AH76" s="116">
        <f ca="1"/>
        <v>5.9918128500504827E-4</v>
      </c>
      <c r="AI76" s="116">
        <f ca="1"/>
        <v>1.5630739604856466E-5</v>
      </c>
      <c r="AJ76" s="116">
        <f ca="1"/>
        <v>1.5285361632147778E-2</v>
      </c>
      <c r="AK76" s="116">
        <f ca="1"/>
        <v>0.84069313867578743</v>
      </c>
      <c r="AL76" s="128">
        <f t="shared" ca="1" si="27"/>
        <v>1.0000000000000002</v>
      </c>
      <c r="AM76" s="418">
        <f t="shared" ca="1" si="32"/>
        <v>1.4057099019361033E-3</v>
      </c>
      <c r="AN76" s="418">
        <f t="shared" ca="1" si="33"/>
        <v>6.1481202460990478E-4</v>
      </c>
    </row>
    <row r="77" spans="4:40" ht="12" customHeight="1" x14ac:dyDescent="0.25">
      <c r="D77" s="341">
        <f t="shared" si="28"/>
        <v>67</v>
      </c>
      <c r="E77" s="63">
        <f t="shared" si="24"/>
        <v>16.75</v>
      </c>
      <c r="F77" s="63">
        <f t="shared" si="29"/>
        <v>86.75</v>
      </c>
      <c r="G77" s="62">
        <f t="shared" si="25"/>
        <v>0</v>
      </c>
      <c r="H77" s="116">
        <f t="array" aca="1" ref="H77:T77" ca="1">MMULT(H76:T76, OFFSET(C.rngTPMroot, MIN(4, INT(($F76-70)/5))*13, $G77*16))</f>
        <v>3.8498496118582831E-2</v>
      </c>
      <c r="I77" s="116">
        <f ca="1"/>
        <v>0</v>
      </c>
      <c r="J77" s="116">
        <f ca="1"/>
        <v>9.2355685293846472E-4</v>
      </c>
      <c r="K77" s="116">
        <f ca="1"/>
        <v>1.0009976002699466E-4</v>
      </c>
      <c r="L77" s="116">
        <f ca="1"/>
        <v>4.0583830178671671E-5</v>
      </c>
      <c r="M77" s="116">
        <f ca="1"/>
        <v>4.3986806539694554E-6</v>
      </c>
      <c r="N77" s="116">
        <f ca="1"/>
        <v>2.2019456744057277E-4</v>
      </c>
      <c r="O77" s="116">
        <f ca="1"/>
        <v>2.3865800237332887E-5</v>
      </c>
      <c r="P77" s="116">
        <f ca="1"/>
        <v>8.1011454311564285E-2</v>
      </c>
      <c r="Q77" s="116">
        <f ca="1"/>
        <v>5.9117771680324287E-4</v>
      </c>
      <c r="R77" s="116">
        <f ca="1"/>
        <v>1.5463145643100272E-5</v>
      </c>
      <c r="S77" s="116">
        <f ca="1"/>
        <v>2.0970244339817697E-2</v>
      </c>
      <c r="T77" s="116">
        <f ca="1"/>
        <v>0.85760046487611119</v>
      </c>
      <c r="U77" s="283">
        <f t="shared" ca="1" si="26"/>
        <v>0.99999999999999833</v>
      </c>
      <c r="V77" s="418">
        <f t="shared" ca="1" si="30"/>
        <v>1.184335250557709E-3</v>
      </c>
      <c r="W77" s="418">
        <f t="shared" ca="1" si="31"/>
        <v>6.0664086244634316E-4</v>
      </c>
      <c r="Y77" s="116">
        <f t="array" aca="1" ref="Y77:AK77" ca="1">MMULT(Y76:AK76, OFFSET(C.rngTPMroot, MIN(4, INT(($F76-70)/5))*13, $G77*16))</f>
        <v>7.1660788045673829E-2</v>
      </c>
      <c r="Z77" s="116">
        <f ca="1"/>
        <v>0</v>
      </c>
      <c r="AA77" s="116">
        <f ca="1"/>
        <v>1.020953584829817E-3</v>
      </c>
      <c r="AB77" s="116">
        <f ca="1"/>
        <v>1.1065611014092477E-4</v>
      </c>
      <c r="AC77" s="116">
        <f ca="1"/>
        <v>4.4863731751011172E-5</v>
      </c>
      <c r="AD77" s="116">
        <f ca="1"/>
        <v>4.8625580200105977E-6</v>
      </c>
      <c r="AE77" s="116">
        <f ca="1"/>
        <v>2.4341591129255834E-4</v>
      </c>
      <c r="AF77" s="116">
        <f ca="1"/>
        <v>2.6382646861005721E-5</v>
      </c>
      <c r="AG77" s="116">
        <f ca="1"/>
        <v>6.0452478101702206E-2</v>
      </c>
      <c r="AH77" s="116">
        <f ca="1"/>
        <v>5.5856341510586221E-4</v>
      </c>
      <c r="AI77" s="116">
        <f ca="1"/>
        <v>1.4571389133115846E-5</v>
      </c>
      <c r="AJ77" s="116">
        <f ca="1"/>
        <v>1.4283630486832023E-2</v>
      </c>
      <c r="AK77" s="116">
        <f ca="1"/>
        <v>0.85157883401865786</v>
      </c>
      <c r="AL77" s="128">
        <f t="shared" ca="1" si="27"/>
        <v>1.0000000000000002</v>
      </c>
      <c r="AM77" s="418">
        <f t="shared" ca="1" si="32"/>
        <v>1.3092332278733865E-3</v>
      </c>
      <c r="AN77" s="418">
        <f t="shared" ca="1" si="33"/>
        <v>5.7313480423897803E-4</v>
      </c>
    </row>
    <row r="78" spans="4:40" ht="12" customHeight="1" x14ac:dyDescent="0.25">
      <c r="D78" s="341">
        <f t="shared" si="28"/>
        <v>68</v>
      </c>
      <c r="E78" s="63">
        <f t="shared" si="24"/>
        <v>17</v>
      </c>
      <c r="F78" s="63">
        <f t="shared" si="29"/>
        <v>87</v>
      </c>
      <c r="G78" s="62">
        <f t="shared" si="25"/>
        <v>0</v>
      </c>
      <c r="H78" s="116">
        <f t="array" aca="1" ref="H78:T78" ca="1">MMULT(H77:T77, OFFSET(C.rngTPMroot, MIN(4, INT(($F77-70)/5))*13, $G78*16))</f>
        <v>3.5526724394563884E-2</v>
      </c>
      <c r="I78" s="116">
        <f ca="1"/>
        <v>0</v>
      </c>
      <c r="J78" s="116">
        <f ca="1"/>
        <v>8.6017130423017129E-4</v>
      </c>
      <c r="K78" s="116">
        <f ca="1"/>
        <v>9.3229713861296164E-5</v>
      </c>
      <c r="L78" s="116">
        <f ca="1"/>
        <v>3.7798480975344716E-5</v>
      </c>
      <c r="M78" s="116">
        <f ca="1"/>
        <v>4.0967904281308961E-6</v>
      </c>
      <c r="N78" s="116">
        <f ca="1"/>
        <v>2.0508217513315953E-4</v>
      </c>
      <c r="O78" s="116">
        <f ca="1"/>
        <v>2.2227842770026281E-5</v>
      </c>
      <c r="P78" s="116">
        <f ca="1"/>
        <v>7.5781019793368501E-2</v>
      </c>
      <c r="Q78" s="116">
        <f ca="1"/>
        <v>5.4965808564735484E-4</v>
      </c>
      <c r="R78" s="116">
        <f ca="1"/>
        <v>1.4376751700938778E-5</v>
      </c>
      <c r="S78" s="116">
        <f ca="1"/>
        <v>1.944237693758764E-2</v>
      </c>
      <c r="T78" s="116">
        <f ca="1"/>
        <v>0.86746323772973188</v>
      </c>
      <c r="U78" s="283">
        <f t="shared" ca="1" si="26"/>
        <v>0.99999999999999833</v>
      </c>
      <c r="V78" s="418">
        <f t="shared" ca="1" si="30"/>
        <v>1.1030519603386756E-3</v>
      </c>
      <c r="W78" s="418">
        <f t="shared" ca="1" si="31"/>
        <v>5.6403483734829361E-4</v>
      </c>
      <c r="Y78" s="116">
        <f t="array" aca="1" ref="Y78:AK78" ca="1">MMULT(Y77:AK77, OFFSET(C.rngTPMroot, MIN(4, INT(($F77-70)/5))*13, $G78*16))</f>
        <v>6.6129156291043933E-2</v>
      </c>
      <c r="Z78" s="116">
        <f ca="1"/>
        <v>0</v>
      </c>
      <c r="AA78" s="116">
        <f ca="1"/>
        <v>9.5088350416912043E-4</v>
      </c>
      <c r="AB78" s="116">
        <f ca="1"/>
        <v>1.0306156061373551E-4</v>
      </c>
      <c r="AC78" s="116">
        <f ca="1"/>
        <v>4.1784644367173624E-5</v>
      </c>
      <c r="AD78" s="116">
        <f ca="1"/>
        <v>4.5288309654017606E-6</v>
      </c>
      <c r="AE78" s="116">
        <f ca="1"/>
        <v>2.2670979184520894E-4</v>
      </c>
      <c r="AF78" s="116">
        <f ca="1"/>
        <v>2.4571953190415994E-5</v>
      </c>
      <c r="AG78" s="116">
        <f ca="1"/>
        <v>5.6916912921071441E-2</v>
      </c>
      <c r="AH78" s="116">
        <f ca="1"/>
        <v>5.2069053956708511E-4</v>
      </c>
      <c r="AI78" s="116">
        <f ca="1"/>
        <v>1.3583609970329868E-5</v>
      </c>
      <c r="AJ78" s="116">
        <f ca="1"/>
        <v>1.3346649792306431E-2</v>
      </c>
      <c r="AK78" s="116">
        <f ca="1"/>
        <v>0.86172146656088999</v>
      </c>
      <c r="AL78" s="128">
        <f t="shared" ca="1" si="27"/>
        <v>1.0000000000000002</v>
      </c>
      <c r="AM78" s="418">
        <f t="shared" ca="1" si="32"/>
        <v>1.2193779403815029E-3</v>
      </c>
      <c r="AN78" s="418">
        <f t="shared" ca="1" si="33"/>
        <v>5.3427414953741495E-4</v>
      </c>
    </row>
    <row r="79" spans="4:40" ht="12" customHeight="1" x14ac:dyDescent="0.25">
      <c r="D79" s="341">
        <f t="shared" si="28"/>
        <v>69</v>
      </c>
      <c r="E79" s="63">
        <f t="shared" si="24"/>
        <v>17.25</v>
      </c>
      <c r="F79" s="63">
        <f t="shared" si="29"/>
        <v>87.25</v>
      </c>
      <c r="G79" s="62">
        <f t="shared" si="25"/>
        <v>0</v>
      </c>
      <c r="H79" s="116">
        <f t="array" aca="1" ref="H79:T79" ca="1">MMULT(H78:T78, OFFSET(C.rngTPMroot, MIN(4, INT(($F78-70)/5))*13, $G79*16))</f>
        <v>3.2784349350157456E-2</v>
      </c>
      <c r="I79" s="116">
        <f ca="1"/>
        <v>0</v>
      </c>
      <c r="J79" s="116">
        <f ca="1"/>
        <v>8.0113603214163943E-4</v>
      </c>
      <c r="K79" s="116">
        <f ca="1"/>
        <v>8.6831172666768113E-5</v>
      </c>
      <c r="L79" s="116">
        <f ca="1"/>
        <v>3.5204295842756797E-5</v>
      </c>
      <c r="M79" s="116">
        <f ca="1"/>
        <v>3.8156195306341683E-6</v>
      </c>
      <c r="N79" s="116">
        <f ca="1"/>
        <v>1.9100697644895147E-4</v>
      </c>
      <c r="O79" s="116">
        <f ca="1"/>
        <v>2.0702301590729047E-5</v>
      </c>
      <c r="P79" s="116">
        <f ca="1"/>
        <v>7.0884122367999888E-2</v>
      </c>
      <c r="Q79" s="116">
        <f ca="1"/>
        <v>5.1106797341480918E-4</v>
      </c>
      <c r="R79" s="116">
        <f ca="1"/>
        <v>1.336704275745803E-5</v>
      </c>
      <c r="S79" s="116">
        <f ca="1"/>
        <v>1.8026861239535327E-2</v>
      </c>
      <c r="T79" s="116">
        <f ca="1"/>
        <v>0.87664153562791192</v>
      </c>
      <c r="U79" s="283">
        <f t="shared" ca="1" si="26"/>
        <v>0.99999999999999833</v>
      </c>
      <c r="V79" s="418">
        <f t="shared" ca="1" si="30"/>
        <v>1.0273473044333477E-3</v>
      </c>
      <c r="W79" s="418">
        <f t="shared" ca="1" si="31"/>
        <v>5.2443501617226726E-4</v>
      </c>
      <c r="Y79" s="116">
        <f t="array" aca="1" ref="Y79:AK79" ca="1">MMULT(Y78:AK78, OFFSET(C.rngTPMroot, MIN(4, INT(($F78-70)/5))*13, $G79*16))</f>
        <v>6.1024521653014641E-2</v>
      </c>
      <c r="Z79" s="116">
        <f ca="1"/>
        <v>0</v>
      </c>
      <c r="AA79" s="116">
        <f ca="1"/>
        <v>8.8562247288726382E-4</v>
      </c>
      <c r="AB79" s="116">
        <f ca="1"/>
        <v>9.5988240168491692E-5</v>
      </c>
      <c r="AC79" s="116">
        <f ca="1"/>
        <v>3.8916880891215404E-5</v>
      </c>
      <c r="AD79" s="116">
        <f ca="1"/>
        <v>4.2180082641941844E-6</v>
      </c>
      <c r="AE79" s="116">
        <f ca="1"/>
        <v>2.1115024669310167E-4</v>
      </c>
      <c r="AF79" s="116">
        <f ca="1"/>
        <v>2.2885531038002172E-5</v>
      </c>
      <c r="AG79" s="116">
        <f ca="1"/>
        <v>5.3576650432634154E-2</v>
      </c>
      <c r="AH79" s="116">
        <f ca="1"/>
        <v>4.8537787193309267E-4</v>
      </c>
      <c r="AI79" s="116">
        <f ca="1"/>
        <v>1.2662585864810726E-5</v>
      </c>
      <c r="AJ79" s="116">
        <f ca="1"/>
        <v>1.2470313681592579E-2</v>
      </c>
      <c r="AK79" s="116">
        <f ca="1"/>
        <v>0.87117169239501868</v>
      </c>
      <c r="AL79" s="128">
        <f t="shared" ca="1" si="27"/>
        <v>1.0000000000000002</v>
      </c>
      <c r="AM79" s="418">
        <f t="shared" ca="1" si="32"/>
        <v>1.1356896004715809E-3</v>
      </c>
      <c r="AN79" s="418">
        <f t="shared" ca="1" si="33"/>
        <v>4.9804045779790337E-4</v>
      </c>
    </row>
    <row r="80" spans="4:40" ht="12" customHeight="1" x14ac:dyDescent="0.25">
      <c r="D80" s="341">
        <f t="shared" si="28"/>
        <v>70</v>
      </c>
      <c r="E80" s="63">
        <f t="shared" si="24"/>
        <v>17.5</v>
      </c>
      <c r="F80" s="63">
        <f t="shared" si="29"/>
        <v>87.5</v>
      </c>
      <c r="G80" s="62">
        <f t="shared" si="25"/>
        <v>0</v>
      </c>
      <c r="H80" s="116">
        <f t="array" aca="1" ref="H80:T80" ca="1">MMULT(H79:T79, OFFSET(C.rngTPMroot, MIN(4, INT(($F79-70)/5))*13, $G80*16))</f>
        <v>3.0253663421827656E-2</v>
      </c>
      <c r="I80" s="116">
        <f ca="1"/>
        <v>0</v>
      </c>
      <c r="J80" s="116">
        <f ca="1"/>
        <v>7.4615246851329699E-4</v>
      </c>
      <c r="K80" s="116">
        <f ca="1"/>
        <v>8.0871776115244384E-5</v>
      </c>
      <c r="L80" s="116">
        <f ca="1"/>
        <v>3.27881548095209E-5</v>
      </c>
      <c r="M80" s="116">
        <f ca="1"/>
        <v>3.5537459525811292E-6</v>
      </c>
      <c r="N80" s="116">
        <f ca="1"/>
        <v>1.778977867212556E-4</v>
      </c>
      <c r="O80" s="116">
        <f ca="1"/>
        <v>1.9281461345004571E-5</v>
      </c>
      <c r="P80" s="116">
        <f ca="1"/>
        <v>6.6299834331508101E-2</v>
      </c>
      <c r="Q80" s="116">
        <f ca="1"/>
        <v>4.7519956501600706E-4</v>
      </c>
      <c r="R80" s="116">
        <f ca="1"/>
        <v>1.2428576293128626E-5</v>
      </c>
      <c r="S80" s="116">
        <f ca="1"/>
        <v>1.6715353220717426E-2</v>
      </c>
      <c r="T80" s="116">
        <f ca="1"/>
        <v>0.88518297549117908</v>
      </c>
      <c r="U80" s="283">
        <f t="shared" ca="1" si="26"/>
        <v>0.99999999999999833</v>
      </c>
      <c r="V80" s="418">
        <f t="shared" ca="1" si="30"/>
        <v>9.5683841004407357E-4</v>
      </c>
      <c r="W80" s="418">
        <f t="shared" ca="1" si="31"/>
        <v>4.8762814130913566E-4</v>
      </c>
      <c r="Y80" s="116">
        <f t="array" aca="1" ref="Y80:AK80" ca="1">MMULT(Y79:AK79, OFFSET(C.rngTPMroot, MIN(4, INT(($F79-70)/5))*13, $G80*16))</f>
        <v>5.6313923416615612E-2</v>
      </c>
      <c r="Z80" s="116">
        <f ca="1"/>
        <v>0</v>
      </c>
      <c r="AA80" s="116">
        <f ca="1"/>
        <v>8.2484043633535183E-4</v>
      </c>
      <c r="AB80" s="116">
        <f ca="1"/>
        <v>8.9400375811963571E-5</v>
      </c>
      <c r="AC80" s="116">
        <f ca="1"/>
        <v>3.624593774192456E-5</v>
      </c>
      <c r="AD80" s="116">
        <f ca="1"/>
        <v>3.9285179448545534E-6</v>
      </c>
      <c r="AE80" s="116">
        <f ca="1"/>
        <v>1.9665858415589878E-4</v>
      </c>
      <c r="AF80" s="116">
        <f ca="1"/>
        <v>2.1314851401196391E-5</v>
      </c>
      <c r="AG80" s="116">
        <f ca="1"/>
        <v>5.0421941674403135E-2</v>
      </c>
      <c r="AH80" s="116">
        <f ca="1"/>
        <v>4.524530030923563E-4</v>
      </c>
      <c r="AI80" s="116">
        <f ca="1"/>
        <v>1.1803823025749498E-5</v>
      </c>
      <c r="AJ80" s="116">
        <f ca="1"/>
        <v>1.165076950861268E-2</v>
      </c>
      <c r="AK80" s="116">
        <f ca="1"/>
        <v>0.87997671987085946</v>
      </c>
      <c r="AL80" s="128">
        <f t="shared" ca="1" si="27"/>
        <v>1.0000000000000002</v>
      </c>
      <c r="AM80" s="418">
        <f t="shared" ca="1" si="32"/>
        <v>1.0577449582331751E-3</v>
      </c>
      <c r="AN80" s="418">
        <f t="shared" ca="1" si="33"/>
        <v>4.642568261181058E-4</v>
      </c>
    </row>
    <row r="81" spans="4:40" ht="12" customHeight="1" x14ac:dyDescent="0.25">
      <c r="D81" s="341">
        <f t="shared" si="28"/>
        <v>71</v>
      </c>
      <c r="E81" s="63">
        <f t="shared" si="24"/>
        <v>17.75</v>
      </c>
      <c r="F81" s="63">
        <f t="shared" si="29"/>
        <v>87.75</v>
      </c>
      <c r="G81" s="62">
        <f t="shared" si="25"/>
        <v>0</v>
      </c>
      <c r="H81" s="116">
        <f t="array" aca="1" ref="H81:T81" ca="1">MMULT(H80:T80, OFFSET(C.rngTPMroot, MIN(4, INT(($F80-70)/5))*13, $G81*16))</f>
        <v>2.7918325926356589E-2</v>
      </c>
      <c r="I81" s="116">
        <f ca="1"/>
        <v>0</v>
      </c>
      <c r="J81" s="116">
        <f ca="1"/>
        <v>6.9494253651302003E-4</v>
      </c>
      <c r="K81" s="116">
        <f ca="1"/>
        <v>7.5321384834149877E-5</v>
      </c>
      <c r="L81" s="116">
        <f ca="1"/>
        <v>3.053783835401728E-5</v>
      </c>
      <c r="M81" s="116">
        <f ca="1"/>
        <v>3.3098452804563699E-6</v>
      </c>
      <c r="N81" s="116">
        <f ca="1"/>
        <v>1.6568830682883211E-4</v>
      </c>
      <c r="O81" s="116">
        <f ca="1"/>
        <v>1.7958136198991108E-5</v>
      </c>
      <c r="P81" s="116">
        <f ca="1"/>
        <v>6.2008512715083321E-2</v>
      </c>
      <c r="Q81" s="116">
        <f ca="1"/>
        <v>4.4185987913152394E-4</v>
      </c>
      <c r="R81" s="116">
        <f ca="1"/>
        <v>1.1556298487656007E-5</v>
      </c>
      <c r="S81" s="116">
        <f ca="1"/>
        <v>1.550013502929245E-2</v>
      </c>
      <c r="T81" s="116">
        <f ca="1"/>
        <v>0.89313185210363732</v>
      </c>
      <c r="U81" s="283">
        <f t="shared" ca="1" si="26"/>
        <v>0.99999999999999833</v>
      </c>
      <c r="V81" s="418">
        <f t="shared" ca="1" si="30"/>
        <v>8.9116868169586937E-4</v>
      </c>
      <c r="W81" s="418">
        <f t="shared" ca="1" si="31"/>
        <v>4.5341617761917994E-4</v>
      </c>
      <c r="Y81" s="116">
        <f t="array" aca="1" ref="Y81:AK81" ca="1">MMULT(Y80:AK80, OFFSET(C.rngTPMroot, MIN(4, INT(($F80-70)/5))*13, $G81*16))</f>
        <v>5.1966945166800609E-2</v>
      </c>
      <c r="Z81" s="116">
        <f ca="1"/>
        <v>0</v>
      </c>
      <c r="AA81" s="116">
        <f ca="1"/>
        <v>7.6822999217241155E-4</v>
      </c>
      <c r="AB81" s="116">
        <f ca="1"/>
        <v>8.3264649724704317E-5</v>
      </c>
      <c r="AC81" s="116">
        <f ca="1"/>
        <v>3.3758306747754426E-5</v>
      </c>
      <c r="AD81" s="116">
        <f ca="1"/>
        <v>3.6588959234750359E-6</v>
      </c>
      <c r="AE81" s="116">
        <f ca="1"/>
        <v>1.8316151332001393E-4</v>
      </c>
      <c r="AF81" s="116">
        <f ca="1"/>
        <v>1.9851970640343102E-5</v>
      </c>
      <c r="AG81" s="116">
        <f ca="1"/>
        <v>4.7443424634773294E-2</v>
      </c>
      <c r="AH81" s="116">
        <f ca="1"/>
        <v>4.217550775594021E-4</v>
      </c>
      <c r="AI81" s="116">
        <f ca="1"/>
        <v>1.1003128664891536E-5</v>
      </c>
      <c r="AJ81" s="116">
        <f ca="1"/>
        <v>1.0884402883956262E-2</v>
      </c>
      <c r="AK81" s="116">
        <f ca="1"/>
        <v>0.888180543779717</v>
      </c>
      <c r="AL81" s="128">
        <f t="shared" ca="1" si="27"/>
        <v>1.0000000000000002</v>
      </c>
      <c r="AM81" s="418">
        <f t="shared" ca="1" si="32"/>
        <v>9.851498122401799E-4</v>
      </c>
      <c r="AN81" s="418">
        <f t="shared" ca="1" si="33"/>
        <v>4.3275820622429366E-4</v>
      </c>
    </row>
    <row r="82" spans="4:40" ht="12" customHeight="1" x14ac:dyDescent="0.25">
      <c r="D82" s="341">
        <f t="shared" si="28"/>
        <v>72</v>
      </c>
      <c r="E82" s="63">
        <f t="shared" si="24"/>
        <v>18</v>
      </c>
      <c r="F82" s="63">
        <f t="shared" si="29"/>
        <v>88</v>
      </c>
      <c r="G82" s="62">
        <f t="shared" si="25"/>
        <v>0</v>
      </c>
      <c r="H82" s="116">
        <f t="array" aca="1" ref="H82:T82" ca="1">MMULT(H81:T81, OFFSET(C.rngTPMroot, MIN(4, INT(($F81-70)/5))*13, $G82*16))</f>
        <v>2.5763257548767564E-2</v>
      </c>
      <c r="I82" s="116">
        <f ca="1"/>
        <v>0</v>
      </c>
      <c r="J82" s="116">
        <f ca="1"/>
        <v>6.4724724427624647E-4</v>
      </c>
      <c r="K82" s="116">
        <f ca="1"/>
        <v>7.0151927976077762E-5</v>
      </c>
      <c r="L82" s="116">
        <f ca="1"/>
        <v>2.844196560476455E-5</v>
      </c>
      <c r="M82" s="116">
        <f ca="1"/>
        <v>3.0826839978818718E-6</v>
      </c>
      <c r="N82" s="116">
        <f ca="1"/>
        <v>1.5431678789135328E-4</v>
      </c>
      <c r="O82" s="116">
        <f ca="1"/>
        <v>1.6725633496916813E-5</v>
      </c>
      <c r="P82" s="116">
        <f ca="1"/>
        <v>5.7991722811477166E-2</v>
      </c>
      <c r="Q82" s="116">
        <f ca="1"/>
        <v>4.1086970188332795E-4</v>
      </c>
      <c r="R82" s="116">
        <f ca="1"/>
        <v>1.0745516260713522E-5</v>
      </c>
      <c r="S82" s="116">
        <f ca="1"/>
        <v>1.4374067489009431E-2</v>
      </c>
      <c r="T82" s="116">
        <f ca="1"/>
        <v>0.9005293706893569</v>
      </c>
      <c r="U82" s="283">
        <f t="shared" ca="1" si="26"/>
        <v>0.99999999999999833</v>
      </c>
      <c r="V82" s="418">
        <f t="shared" ca="1" si="30"/>
        <v>8.3000599777236428E-4</v>
      </c>
      <c r="W82" s="418">
        <f t="shared" ca="1" si="31"/>
        <v>4.2161521814404148E-4</v>
      </c>
      <c r="Y82" s="116">
        <f t="array" aca="1" ref="Y82:AK82" ca="1">MMULT(Y81:AK81, OFFSET(C.rngTPMroot, MIN(4, INT(($F81-70)/5))*13, $G82*16))</f>
        <v>4.7955518389124541E-2</v>
      </c>
      <c r="Z82" s="116">
        <f ca="1"/>
        <v>0</v>
      </c>
      <c r="AA82" s="116">
        <f ca="1"/>
        <v>7.1550483569318799E-4</v>
      </c>
      <c r="AB82" s="116">
        <f ca="1"/>
        <v>7.7550030755574697E-5</v>
      </c>
      <c r="AC82" s="116">
        <f ca="1"/>
        <v>3.1441406829911182E-5</v>
      </c>
      <c r="AD82" s="116">
        <f ca="1"/>
        <v>3.4077785991424038E-6</v>
      </c>
      <c r="AE82" s="116">
        <f ca="1"/>
        <v>1.7059077337342544E-4</v>
      </c>
      <c r="AF82" s="116">
        <f ca="1"/>
        <v>1.8489490303597627E-5</v>
      </c>
      <c r="AG82" s="116">
        <f ca="1"/>
        <v>4.4632119474291514E-2</v>
      </c>
      <c r="AH82" s="116">
        <f ca="1"/>
        <v>3.9313402411933002E-4</v>
      </c>
      <c r="AI82" s="116">
        <f ca="1"/>
        <v>1.0256590964675616E-5</v>
      </c>
      <c r="AJ82" s="116">
        <f ca="1"/>
        <v>1.0167823533573754E-2</v>
      </c>
      <c r="AK82" s="116">
        <f ca="1"/>
        <v>0.8958241636723715</v>
      </c>
      <c r="AL82" s="128">
        <f t="shared" ca="1" si="27"/>
        <v>1.0000000000000002</v>
      </c>
      <c r="AM82" s="418">
        <f t="shared" ca="1" si="32"/>
        <v>9.1753701589652472E-4</v>
      </c>
      <c r="AN82" s="418">
        <f t="shared" ca="1" si="33"/>
        <v>4.0339061508400565E-4</v>
      </c>
    </row>
    <row r="83" spans="4:40" ht="12" customHeight="1" x14ac:dyDescent="0.25">
      <c r="D83" s="341">
        <f t="shared" si="28"/>
        <v>73</v>
      </c>
      <c r="E83" s="63">
        <f t="shared" si="24"/>
        <v>18.25</v>
      </c>
      <c r="F83" s="63">
        <f t="shared" si="29"/>
        <v>88.25</v>
      </c>
      <c r="G83" s="62">
        <f t="shared" si="25"/>
        <v>0</v>
      </c>
      <c r="H83" s="116">
        <f t="array" aca="1" ref="H83:T83" ca="1">MMULT(H82:T82, OFFSET(C.rngTPMroot, MIN(4, INT(($F82-70)/5))*13, $G83*16))</f>
        <v>2.377454297492505E-2</v>
      </c>
      <c r="I83" s="116">
        <f ca="1"/>
        <v>0</v>
      </c>
      <c r="J83" s="116">
        <f ca="1"/>
        <v>6.0282537506659906E-4</v>
      </c>
      <c r="K83" s="116">
        <f ca="1"/>
        <v>6.5337261251860871E-5</v>
      </c>
      <c r="L83" s="116">
        <f ca="1"/>
        <v>2.648993678218852E-5</v>
      </c>
      <c r="M83" s="116">
        <f ca="1"/>
        <v>2.8711132471686623E-6</v>
      </c>
      <c r="N83" s="116">
        <f ca="1"/>
        <v>1.4372571897729722E-4</v>
      </c>
      <c r="O83" s="116">
        <f ca="1"/>
        <v>1.5577719913322735E-5</v>
      </c>
      <c r="P83" s="116">
        <f ca="1"/>
        <v>5.4232166046783964E-2</v>
      </c>
      <c r="Q83" s="116">
        <f ca="1"/>
        <v>3.8206259776830975E-4</v>
      </c>
      <c r="R83" s="116">
        <f ca="1"/>
        <v>9.9918713400716961E-6</v>
      </c>
      <c r="S83" s="116">
        <f ca="1"/>
        <v>1.3330546243717706E-2</v>
      </c>
      <c r="T83" s="116">
        <f ca="1"/>
        <v>0.90741386314022476</v>
      </c>
      <c r="U83" s="283">
        <f t="shared" ca="1" si="26"/>
        <v>0.99999999999999833</v>
      </c>
      <c r="V83" s="418">
        <f t="shared" ca="1" si="30"/>
        <v>7.7304103082608477E-4</v>
      </c>
      <c r="W83" s="418">
        <f t="shared" ca="1" si="31"/>
        <v>3.9205446910838145E-4</v>
      </c>
      <c r="Y83" s="116">
        <f t="array" aca="1" ref="Y83:AK83" ca="1">MMULT(Y82:AK82, OFFSET(C.rngTPMroot, MIN(4, INT(($F82-70)/5))*13, $G83*16))</f>
        <v>4.4253741230855716E-2</v>
      </c>
      <c r="Z83" s="116">
        <f ca="1"/>
        <v>0</v>
      </c>
      <c r="AA83" s="116">
        <f ca="1"/>
        <v>6.6639831185533974E-4</v>
      </c>
      <c r="AB83" s="116">
        <f ca="1"/>
        <v>7.2227617483224056E-5</v>
      </c>
      <c r="AC83" s="116">
        <f ca="1"/>
        <v>2.9283520374129655E-5</v>
      </c>
      <c r="AD83" s="116">
        <f ca="1"/>
        <v>3.173895957593559E-6</v>
      </c>
      <c r="AE83" s="116">
        <f ca="1"/>
        <v>1.588827883797765E-4</v>
      </c>
      <c r="AF83" s="116">
        <f ca="1"/>
        <v>1.722051970962024E-5</v>
      </c>
      <c r="AG83" s="116">
        <f ca="1"/>
        <v>4.1979422394206593E-2</v>
      </c>
      <c r="AH83" s="116">
        <f ca="1"/>
        <v>3.6644983728037299E-4</v>
      </c>
      <c r="AI83" s="116">
        <f ca="1"/>
        <v>9.5605603684071076E-6</v>
      </c>
      <c r="AJ83" s="116">
        <f ca="1"/>
        <v>9.4978519411794571E-3</v>
      </c>
      <c r="AK83" s="116">
        <f ca="1"/>
        <v>0.90294578738234987</v>
      </c>
      <c r="AL83" s="128">
        <f t="shared" ca="1" si="27"/>
        <v>1</v>
      </c>
      <c r="AM83" s="418">
        <f t="shared" ca="1" si="32"/>
        <v>8.54564620609246E-4</v>
      </c>
      <c r="AN83" s="418">
        <f t="shared" ca="1" si="33"/>
        <v>3.7601039764878009E-4</v>
      </c>
    </row>
    <row r="84" spans="4:40" ht="12" customHeight="1" x14ac:dyDescent="0.25">
      <c r="D84" s="341">
        <f t="shared" si="28"/>
        <v>74</v>
      </c>
      <c r="E84" s="63">
        <f t="shared" si="24"/>
        <v>18.5</v>
      </c>
      <c r="F84" s="63">
        <f t="shared" si="29"/>
        <v>88.5</v>
      </c>
      <c r="G84" s="62">
        <f t="shared" si="25"/>
        <v>0</v>
      </c>
      <c r="H84" s="116">
        <f t="array" aca="1" ref="H84:T84" ca="1">MMULT(H83:T83, OFFSET(C.rngTPMroot, MIN(4, INT(($F83-70)/5))*13, $G84*16))</f>
        <v>2.1939341040108369E-2</v>
      </c>
      <c r="I84" s="116">
        <f ca="1"/>
        <v>0</v>
      </c>
      <c r="J84" s="116">
        <f ca="1"/>
        <v>5.61452267333388E-4</v>
      </c>
      <c r="K84" s="116">
        <f ca="1"/>
        <v>6.0853034707038413E-5</v>
      </c>
      <c r="L84" s="116">
        <f ca="1"/>
        <v>2.4671879590726808E-5</v>
      </c>
      <c r="M84" s="116">
        <f ca="1"/>
        <v>2.6740630190221861E-6</v>
      </c>
      <c r="N84" s="116">
        <f ca="1"/>
        <v>1.3386153624506906E-4</v>
      </c>
      <c r="O84" s="116">
        <f ca="1"/>
        <v>1.4508589928307612E-5</v>
      </c>
      <c r="P84" s="116">
        <f ca="1"/>
        <v>5.0713611969070725E-2</v>
      </c>
      <c r="Q84" s="116">
        <f ca="1"/>
        <v>3.5528399220719663E-4</v>
      </c>
      <c r="R84" s="116">
        <f ca="1"/>
        <v>9.2913162086567078E-6</v>
      </c>
      <c r="S84" s="116">
        <f ca="1"/>
        <v>1.2363461261639612E-2</v>
      </c>
      <c r="T84" s="116">
        <f ca="1"/>
        <v>0.91382098904994025</v>
      </c>
      <c r="U84" s="283">
        <f t="shared" ca="1" si="26"/>
        <v>0.99999999999999833</v>
      </c>
      <c r="V84" s="418">
        <f t="shared" ca="1" si="30"/>
        <v>7.199856831691839E-4</v>
      </c>
      <c r="W84" s="418">
        <f t="shared" ca="1" si="31"/>
        <v>3.6457530841585336E-4</v>
      </c>
      <c r="Y84" s="116">
        <f t="array" aca="1" ref="Y84:AK84" ca="1">MMULT(Y83:AK83, OFFSET(C.rngTPMroot, MIN(4, INT(($F83-70)/5))*13, $G84*16))</f>
        <v>4.0837711252260551E-2</v>
      </c>
      <c r="Z84" s="116">
        <f ca="1"/>
        <v>0</v>
      </c>
      <c r="AA84" s="116">
        <f ca="1"/>
        <v>6.2066206668388369E-4</v>
      </c>
      <c r="AB84" s="116">
        <f ca="1"/>
        <v>6.7270492048488581E-5</v>
      </c>
      <c r="AC84" s="116">
        <f ca="1"/>
        <v>2.727373396938069E-5</v>
      </c>
      <c r="AD84" s="116">
        <f ca="1"/>
        <v>2.956065148177127E-6</v>
      </c>
      <c r="AE84" s="116">
        <f ca="1"/>
        <v>1.4797834574601504E-4</v>
      </c>
      <c r="AF84" s="116">
        <f ca="1"/>
        <v>1.6038641098273974E-5</v>
      </c>
      <c r="AG84" s="116">
        <f ca="1"/>
        <v>3.9477098374446663E-2</v>
      </c>
      <c r="AH84" s="116">
        <f ca="1"/>
        <v>3.41571906216419E-4</v>
      </c>
      <c r="AI84" s="116">
        <f ca="1"/>
        <v>8.9116321060233194E-6</v>
      </c>
      <c r="AJ84" s="116">
        <f ca="1"/>
        <v>8.8715067363665003E-3</v>
      </c>
      <c r="AK84" s="116">
        <f ca="1"/>
        <v>0.90958102075390967</v>
      </c>
      <c r="AL84" s="128">
        <f t="shared" ca="1" si="27"/>
        <v>1</v>
      </c>
      <c r="AM84" s="418">
        <f t="shared" ca="1" si="32"/>
        <v>7.9591414639927941E-4</v>
      </c>
      <c r="AN84" s="418">
        <f t="shared" ca="1" si="33"/>
        <v>3.504835383224423E-4</v>
      </c>
    </row>
    <row r="85" spans="4:40" ht="12" customHeight="1" x14ac:dyDescent="0.25">
      <c r="D85" s="341">
        <f t="shared" si="28"/>
        <v>75</v>
      </c>
      <c r="E85" s="63">
        <f t="shared" si="24"/>
        <v>18.75</v>
      </c>
      <c r="F85" s="63">
        <f t="shared" si="29"/>
        <v>88.75</v>
      </c>
      <c r="G85" s="62">
        <f t="shared" si="25"/>
        <v>0</v>
      </c>
      <c r="H85" s="116">
        <f t="array" aca="1" ref="H85:T85" ca="1">MMULT(H84:T84, OFFSET(C.rngTPMroot, MIN(4, INT(($F84-70)/5))*13, $G85*16))</f>
        <v>2.0245801813386945E-2</v>
      </c>
      <c r="I85" s="116">
        <f ca="1"/>
        <v>0</v>
      </c>
      <c r="J85" s="116">
        <f ca="1"/>
        <v>5.2291867849620023E-4</v>
      </c>
      <c r="K85" s="116">
        <f ca="1"/>
        <v>5.6676569573086508E-5</v>
      </c>
      <c r="L85" s="116">
        <f ca="1"/>
        <v>2.297859929015025E-5</v>
      </c>
      <c r="M85" s="116">
        <f ca="1"/>
        <v>2.4905367410197417E-6</v>
      </c>
      <c r="N85" s="116">
        <f ca="1"/>
        <v>1.2467435204634731E-4</v>
      </c>
      <c r="O85" s="116">
        <f ca="1"/>
        <v>1.3512836466379216E-5</v>
      </c>
      <c r="P85" s="116">
        <f ca="1"/>
        <v>4.7420834135644178E-2</v>
      </c>
      <c r="Q85" s="116">
        <f ca="1"/>
        <v>3.3039032047819033E-4</v>
      </c>
      <c r="R85" s="116">
        <f ca="1"/>
        <v>8.6400917932113701E-6</v>
      </c>
      <c r="S85" s="116">
        <f ca="1"/>
        <v>1.1467159439249711E-2</v>
      </c>
      <c r="T85" s="116">
        <f ca="1"/>
        <v>0.91978392262683295</v>
      </c>
      <c r="U85" s="283">
        <f t="shared" ca="1" si="26"/>
        <v>0.99999999999999833</v>
      </c>
      <c r="V85" s="418">
        <f t="shared" ca="1" si="30"/>
        <v>6.7057162983269784E-4</v>
      </c>
      <c r="W85" s="418">
        <f t="shared" ca="1" si="31"/>
        <v>3.3903041227140168E-4</v>
      </c>
      <c r="Y85" s="116">
        <f t="array" aca="1" ref="Y85:AK85" ca="1">MMULT(Y84:AK84, OFFSET(C.rngTPMroot, MIN(4, INT(($F84-70)/5))*13, $G85*16))</f>
        <v>3.7685371088132968E-2</v>
      </c>
      <c r="Z85" s="116">
        <f ca="1"/>
        <v>0</v>
      </c>
      <c r="AA85" s="116">
        <f ca="1"/>
        <v>5.7806479123244338E-4</v>
      </c>
      <c r="AB85" s="116">
        <f ca="1"/>
        <v>6.2653584018562418E-5</v>
      </c>
      <c r="AC85" s="116">
        <f ca="1"/>
        <v>2.5401883213799175E-5</v>
      </c>
      <c r="AD85" s="116">
        <f ca="1"/>
        <v>2.7531845016409538E-6</v>
      </c>
      <c r="AE85" s="116">
        <f ca="1"/>
        <v>1.3782229675744046E-4</v>
      </c>
      <c r="AF85" s="116">
        <f ca="1"/>
        <v>1.4937877173099316E-5</v>
      </c>
      <c r="AG85" s="116">
        <f ca="1"/>
        <v>3.7117272978372022E-2</v>
      </c>
      <c r="AH85" s="116">
        <f ca="1"/>
        <v>3.1837838809443904E-4</v>
      </c>
      <c r="AI85" s="116">
        <f ca="1"/>
        <v>8.3066298747592871E-6</v>
      </c>
      <c r="AJ85" s="116">
        <f ca="1"/>
        <v>8.2859927917098512E-3</v>
      </c>
      <c r="AK85" s="116">
        <f ca="1"/>
        <v>0.91576304450691903</v>
      </c>
      <c r="AL85" s="128">
        <f t="shared" ca="1" si="27"/>
        <v>1</v>
      </c>
      <c r="AM85" s="418">
        <f t="shared" ca="1" si="32"/>
        <v>7.4128897120368301E-4</v>
      </c>
      <c r="AN85" s="418">
        <f t="shared" ca="1" si="33"/>
        <v>3.2668501796919835E-4</v>
      </c>
    </row>
    <row r="86" spans="4:40" ht="12" customHeight="1" x14ac:dyDescent="0.25">
      <c r="D86" s="341">
        <f t="shared" si="28"/>
        <v>76</v>
      </c>
      <c r="E86" s="63">
        <f t="shared" si="24"/>
        <v>19</v>
      </c>
      <c r="F86" s="63">
        <f t="shared" si="29"/>
        <v>89</v>
      </c>
      <c r="G86" s="62">
        <f t="shared" si="25"/>
        <v>0</v>
      </c>
      <c r="H86" s="116">
        <f t="array" aca="1" ref="H86:T86" ca="1">MMULT(H85:T85, OFFSET(C.rngTPMroot, MIN(4, INT(($F85-70)/5))*13, $G86*16))</f>
        <v>1.8682990082409395E-2</v>
      </c>
      <c r="I86" s="116">
        <f ca="1"/>
        <v>0</v>
      </c>
      <c r="J86" s="116">
        <f ca="1"/>
        <v>4.8702972671021836E-4</v>
      </c>
      <c r="K86" s="116">
        <f ca="1"/>
        <v>5.2786743570594365E-5</v>
      </c>
      <c r="L86" s="116">
        <f ca="1"/>
        <v>2.1401532193589091E-5</v>
      </c>
      <c r="M86" s="116">
        <f ca="1"/>
        <v>2.3196062374915089E-6</v>
      </c>
      <c r="N86" s="116">
        <f ca="1"/>
        <v>1.1611770262160811E-4</v>
      </c>
      <c r="O86" s="116">
        <f ca="1"/>
        <v>1.2585423550419922E-5</v>
      </c>
      <c r="P86" s="116">
        <f ca="1"/>
        <v>4.4339549690753315E-2</v>
      </c>
      <c r="Q86" s="116">
        <f ca="1"/>
        <v>3.0724823819032541E-4</v>
      </c>
      <c r="R86" s="116">
        <f ca="1"/>
        <v>8.0347067673550644E-6</v>
      </c>
      <c r="S86" s="116">
        <f ca="1"/>
        <v>1.0636410064958234E-2</v>
      </c>
      <c r="T86" s="116">
        <f ca="1"/>
        <v>0.92533352648203582</v>
      </c>
      <c r="U86" s="283">
        <f t="shared" ca="1" si="26"/>
        <v>0.99999999999999833</v>
      </c>
      <c r="V86" s="418">
        <f t="shared" ca="1" si="30"/>
        <v>6.2454896152541555E-4</v>
      </c>
      <c r="W86" s="418">
        <f t="shared" ca="1" si="31"/>
        <v>3.1528294495768047E-4</v>
      </c>
      <c r="Y86" s="116">
        <f t="array" aca="1" ref="Y86:AK86" ca="1">MMULT(Y85:AK85, OFFSET(C.rngTPMroot, MIN(4, INT(($F85-70)/5))*13, $G86*16))</f>
        <v>3.47763660230022E-2</v>
      </c>
      <c r="Z86" s="116">
        <f ca="1"/>
        <v>0</v>
      </c>
      <c r="AA86" s="116">
        <f ca="1"/>
        <v>5.3839105174894241E-4</v>
      </c>
      <c r="AB86" s="116">
        <f ca="1"/>
        <v>5.8353543594442254E-5</v>
      </c>
      <c r="AC86" s="116">
        <f ca="1"/>
        <v>2.3658501308691329E-5</v>
      </c>
      <c r="AD86" s="116">
        <f ca="1"/>
        <v>2.5642279584907695E-6</v>
      </c>
      <c r="AE86" s="116">
        <f ca="1"/>
        <v>1.2836327766562768E-4</v>
      </c>
      <c r="AF86" s="116">
        <f ca="1"/>
        <v>1.3912660871413554E-5</v>
      </c>
      <c r="AG86" s="116">
        <f ca="1"/>
        <v>3.4892423398862726E-2</v>
      </c>
      <c r="AH86" s="116">
        <f ca="1"/>
        <v>2.967556228818275E-4</v>
      </c>
      <c r="AI86" s="116">
        <f ca="1"/>
        <v>7.7425905992026472E-6</v>
      </c>
      <c r="AJ86" s="116">
        <f ca="1"/>
        <v>7.7386899934322332E-3</v>
      </c>
      <c r="AK86" s="116">
        <f ca="1"/>
        <v>0.92152277910807423</v>
      </c>
      <c r="AL86" s="128">
        <f t="shared" ca="1" si="27"/>
        <v>1</v>
      </c>
      <c r="AM86" s="418">
        <f t="shared" ca="1" si="32"/>
        <v>6.904128307232615E-4</v>
      </c>
      <c r="AN86" s="418">
        <f t="shared" ca="1" si="33"/>
        <v>3.0449821348103016E-4</v>
      </c>
    </row>
    <row r="87" spans="4:40" ht="12" customHeight="1" x14ac:dyDescent="0.25">
      <c r="D87" s="341">
        <f t="shared" si="28"/>
        <v>77</v>
      </c>
      <c r="E87" s="63">
        <f t="shared" si="24"/>
        <v>19.25</v>
      </c>
      <c r="F87" s="63">
        <f t="shared" si="29"/>
        <v>89.25</v>
      </c>
      <c r="G87" s="62">
        <f t="shared" si="25"/>
        <v>0</v>
      </c>
      <c r="H87" s="116">
        <f t="array" aca="1" ref="H87:T87" ca="1">MMULT(H86:T86, OFFSET(C.rngTPMroot, MIN(4, INT(($F86-70)/5))*13, $G87*16))</f>
        <v>1.7240814744546498E-2</v>
      </c>
      <c r="I87" s="116">
        <f ca="1"/>
        <v>0</v>
      </c>
      <c r="J87" s="116">
        <f ca="1"/>
        <v>4.536039052602967E-4</v>
      </c>
      <c r="K87" s="116">
        <f ca="1"/>
        <v>4.9163884084312279E-5</v>
      </c>
      <c r="L87" s="116">
        <f ca="1"/>
        <v>1.9932702357082418E-5</v>
      </c>
      <c r="M87" s="116">
        <f ca="1"/>
        <v>2.1604070353149882E-6</v>
      </c>
      <c r="N87" s="116">
        <f ca="1"/>
        <v>1.0814831311180853E-4</v>
      </c>
      <c r="O87" s="116">
        <f ca="1"/>
        <v>1.1721660832465177E-5</v>
      </c>
      <c r="P87" s="116">
        <f ca="1"/>
        <v>4.1456362435232395E-2</v>
      </c>
      <c r="Q87" s="116">
        <f ca="1"/>
        <v>2.857338888084809E-4</v>
      </c>
      <c r="R87" s="116">
        <f ca="1"/>
        <v>7.4719183512178236E-6</v>
      </c>
      <c r="S87" s="116">
        <f ca="1"/>
        <v>9.8663729215423407E-3</v>
      </c>
      <c r="T87" s="116">
        <f ca="1"/>
        <v>0.93049851321883614</v>
      </c>
      <c r="U87" s="283">
        <f t="shared" ca="1" si="26"/>
        <v>0.99999999999999833</v>
      </c>
      <c r="V87" s="418">
        <f t="shared" ca="1" si="30"/>
        <v>5.8168492072918762E-4</v>
      </c>
      <c r="W87" s="418">
        <f t="shared" ca="1" si="31"/>
        <v>2.9320580715969872E-4</v>
      </c>
      <c r="Y87" s="116">
        <f t="array" aca="1" ref="Y87:AK87" ca="1">MMULT(Y86:AK86, OFFSET(C.rngTPMroot, MIN(4, INT(($F86-70)/5))*13, $G87*16))</f>
        <v>3.2091912560379632E-2</v>
      </c>
      <c r="Z87" s="116">
        <f ca="1"/>
        <v>0</v>
      </c>
      <c r="AA87" s="116">
        <f ca="1"/>
        <v>5.0144020012935875E-4</v>
      </c>
      <c r="AB87" s="116">
        <f ca="1"/>
        <v>5.4348623520397994E-5</v>
      </c>
      <c r="AC87" s="116">
        <f ca="1"/>
        <v>2.2034771180637808E-5</v>
      </c>
      <c r="AD87" s="116">
        <f ca="1"/>
        <v>2.3882398797417122E-6</v>
      </c>
      <c r="AE87" s="116">
        <f ca="1"/>
        <v>1.1955344991864313E-4</v>
      </c>
      <c r="AF87" s="116">
        <f ca="1"/>
        <v>1.2957807209148541E-5</v>
      </c>
      <c r="AG87" s="116">
        <f ca="1"/>
        <v>3.2795368899789477E-2</v>
      </c>
      <c r="AH87" s="116">
        <f ca="1"/>
        <v>2.7659758691610161E-4</v>
      </c>
      <c r="AI87" s="116">
        <f ca="1"/>
        <v>7.2167502000915353E-6</v>
      </c>
      <c r="AJ87" s="116">
        <f ca="1"/>
        <v>7.2271426515205881E-3</v>
      </c>
      <c r="AK87" s="116">
        <f ca="1"/>
        <v>0.92688903845935622</v>
      </c>
      <c r="AL87" s="128">
        <f t="shared" ca="1" si="27"/>
        <v>1</v>
      </c>
      <c r="AM87" s="418">
        <f t="shared" ca="1" si="32"/>
        <v>6.4302842122863967E-4</v>
      </c>
      <c r="AN87" s="418">
        <f t="shared" ca="1" si="33"/>
        <v>2.8381433711619316E-4</v>
      </c>
    </row>
    <row r="88" spans="4:40" ht="12" customHeight="1" x14ac:dyDescent="0.25">
      <c r="D88" s="341">
        <f t="shared" si="28"/>
        <v>78</v>
      </c>
      <c r="E88" s="63">
        <f t="shared" si="24"/>
        <v>19.5</v>
      </c>
      <c r="F88" s="63">
        <f t="shared" si="29"/>
        <v>89.5</v>
      </c>
      <c r="G88" s="62">
        <f t="shared" si="25"/>
        <v>0</v>
      </c>
      <c r="H88" s="116">
        <f t="array" aca="1" ref="H88:T88" ca="1">MMULT(H87:T87, OFFSET(C.rngTPMroot, MIN(4, INT(($F87-70)/5))*13, $G88*16))</f>
        <v>1.5909963648465336E-2</v>
      </c>
      <c r="I88" s="116">
        <f ca="1"/>
        <v>0</v>
      </c>
      <c r="J88" s="116">
        <f ca="1"/>
        <v>4.2247216459913734E-4</v>
      </c>
      <c r="K88" s="116">
        <f ca="1"/>
        <v>4.5789668669809151E-5</v>
      </c>
      <c r="L88" s="116">
        <f ca="1"/>
        <v>1.8564681241610148E-5</v>
      </c>
      <c r="M88" s="116">
        <f ca="1"/>
        <v>2.0121339918821377E-6</v>
      </c>
      <c r="N88" s="116">
        <f ca="1"/>
        <v>1.0072587869778678E-4</v>
      </c>
      <c r="O88" s="116">
        <f ca="1"/>
        <v>1.0917179872485408E-5</v>
      </c>
      <c r="P88" s="116">
        <f ca="1"/>
        <v>3.875870919898336E-2</v>
      </c>
      <c r="Q88" s="116">
        <f ca="1"/>
        <v>2.6573222407235591E-4</v>
      </c>
      <c r="R88" s="116">
        <f ca="1"/>
        <v>6.9487144985039896E-6</v>
      </c>
      <c r="S88" s="116">
        <f ca="1"/>
        <v>9.1525688235347975E-3</v>
      </c>
      <c r="T88" s="116">
        <f ca="1"/>
        <v>0.93530559568337124</v>
      </c>
      <c r="U88" s="283">
        <f t="shared" ca="1" si="26"/>
        <v>0.99999999999999833</v>
      </c>
      <c r="V88" s="418">
        <f t="shared" ca="1" si="30"/>
        <v>5.4176272453853431E-4</v>
      </c>
      <c r="W88" s="418">
        <f t="shared" ca="1" si="31"/>
        <v>2.7268093857085989E-4</v>
      </c>
      <c r="Y88" s="116">
        <f t="array" aca="1" ref="Y88:AK88" ca="1">MMULT(Y87:AK87, OFFSET(C.rngTPMroot, MIN(4, INT(($F87-70)/5))*13, $G88*16))</f>
        <v>2.9614677137394092E-2</v>
      </c>
      <c r="Z88" s="116">
        <f ca="1"/>
        <v>0</v>
      </c>
      <c r="AA88" s="116">
        <f ca="1"/>
        <v>4.6702535914921117E-4</v>
      </c>
      <c r="AB88" s="116">
        <f ca="1"/>
        <v>5.0618569098231819E-5</v>
      </c>
      <c r="AC88" s="116">
        <f ca="1"/>
        <v>2.0522480889552325E-5</v>
      </c>
      <c r="AD88" s="116">
        <f ca="1"/>
        <v>2.2243302138183285E-6</v>
      </c>
      <c r="AE88" s="116">
        <f ca="1"/>
        <v>1.1134825821977907E-4</v>
      </c>
      <c r="AF88" s="116">
        <f ca="1"/>
        <v>1.2068487058033381E-5</v>
      </c>
      <c r="AG88" s="116">
        <f ca="1"/>
        <v>3.0819260788471782E-2</v>
      </c>
      <c r="AH88" s="116">
        <f ca="1"/>
        <v>2.578053826949899E-4</v>
      </c>
      <c r="AI88" s="116">
        <f ca="1"/>
        <v>6.7265303057677973E-6</v>
      </c>
      <c r="AJ88" s="116">
        <f ca="1"/>
        <v>6.7490495164980301E-3</v>
      </c>
      <c r="AK88" s="116">
        <f ca="1"/>
        <v>0.93188867316000679</v>
      </c>
      <c r="AL88" s="128">
        <f t="shared" ca="1" si="27"/>
        <v>1</v>
      </c>
      <c r="AM88" s="418">
        <f t="shared" ca="1" si="32"/>
        <v>5.988960982585426E-4</v>
      </c>
      <c r="AN88" s="418">
        <f t="shared" ca="1" si="33"/>
        <v>2.6453191300075771E-4</v>
      </c>
    </row>
    <row r="89" spans="4:40" ht="12" customHeight="1" x14ac:dyDescent="0.25">
      <c r="D89" s="341">
        <f t="shared" si="28"/>
        <v>79</v>
      </c>
      <c r="E89" s="63">
        <f t="shared" si="24"/>
        <v>19.75</v>
      </c>
      <c r="F89" s="63">
        <f t="shared" si="29"/>
        <v>89.75</v>
      </c>
      <c r="G89" s="62">
        <f t="shared" si="25"/>
        <v>0</v>
      </c>
      <c r="H89" s="116">
        <f t="array" aca="1" ref="H89:T89" ca="1">MMULT(H88:T88, OFFSET(C.rngTPMroot, MIN(4, INT(($F88-70)/5))*13, $G89*16))</f>
        <v>1.4681843465405596E-2</v>
      </c>
      <c r="I89" s="116">
        <f ca="1"/>
        <v>0</v>
      </c>
      <c r="J89" s="116">
        <f ca="1"/>
        <v>3.9347705738701651E-4</v>
      </c>
      <c r="K89" s="116">
        <f ca="1"/>
        <v>4.264703238855647E-5</v>
      </c>
      <c r="L89" s="116">
        <f ca="1"/>
        <v>1.7290550143600209E-5</v>
      </c>
      <c r="M89" s="116">
        <f ca="1"/>
        <v>1.8740372231278391E-6</v>
      </c>
      <c r="N89" s="116">
        <f ca="1"/>
        <v>9.3812860760501913E-5</v>
      </c>
      <c r="O89" s="116">
        <f ca="1"/>
        <v>1.0167912045202454E-5</v>
      </c>
      <c r="P89" s="116">
        <f ca="1"/>
        <v>3.6234809336272329E-2</v>
      </c>
      <c r="Q89" s="116">
        <f ca="1"/>
        <v>2.4713637345753287E-4</v>
      </c>
      <c r="R89" s="116">
        <f ca="1"/>
        <v>6.4622973698753103E-6</v>
      </c>
      <c r="S89" s="116">
        <f ca="1"/>
        <v>8.4908524016836344E-3</v>
      </c>
      <c r="T89" s="116">
        <f ca="1"/>
        <v>0.93977962667586135</v>
      </c>
      <c r="U89" s="283">
        <f t="shared" ca="1" si="26"/>
        <v>0.99999999999999833</v>
      </c>
      <c r="V89" s="418">
        <f t="shared" ca="1" si="30"/>
        <v>5.0458046829111869E-4</v>
      </c>
      <c r="W89" s="418">
        <f t="shared" ca="1" si="31"/>
        <v>2.5359867082740817E-4</v>
      </c>
      <c r="Y89" s="116">
        <f t="array" aca="1" ref="Y89:AK89" ca="1">MMULT(Y88:AK88, OFFSET(C.rngTPMroot, MIN(4, INT(($F88-70)/5))*13, $G89*16))</f>
        <v>2.7328664201673788E-2</v>
      </c>
      <c r="Z89" s="116">
        <f ca="1"/>
        <v>0</v>
      </c>
      <c r="AA89" s="116">
        <f ca="1"/>
        <v>4.3497247734063235E-4</v>
      </c>
      <c r="AB89" s="116">
        <f ca="1"/>
        <v>4.7144515750078117E-5</v>
      </c>
      <c r="AC89" s="116">
        <f ca="1"/>
        <v>1.9113982097174172E-5</v>
      </c>
      <c r="AD89" s="116">
        <f ca="1"/>
        <v>2.0716699951598568E-6</v>
      </c>
      <c r="AE89" s="116">
        <f ca="1"/>
        <v>1.0370620519119949E-4</v>
      </c>
      <c r="AF89" s="116">
        <f ca="1"/>
        <v>1.1240202722501362E-5</v>
      </c>
      <c r="AG89" s="116">
        <f ca="1"/>
        <v>2.8957572038156056E-2</v>
      </c>
      <c r="AH89" s="116">
        <f ca="1"/>
        <v>2.4028676250939778E-4</v>
      </c>
      <c r="AI89" s="116">
        <f ca="1"/>
        <v>6.2695258444677519E-6</v>
      </c>
      <c r="AJ89" s="116">
        <f ca="1"/>
        <v>6.3022543713695889E-3</v>
      </c>
      <c r="AK89" s="116">
        <f ca="1"/>
        <v>0.93654670404735008</v>
      </c>
      <c r="AL89" s="128">
        <f t="shared" ca="1" si="27"/>
        <v>1.0000000000000002</v>
      </c>
      <c r="AM89" s="418">
        <f t="shared" ca="1" si="32"/>
        <v>5.5779266462900601E-4</v>
      </c>
      <c r="AN89" s="418">
        <f t="shared" ca="1" si="33"/>
        <v>2.4655628835386551E-4</v>
      </c>
    </row>
    <row r="90" spans="4:40" ht="12" customHeight="1" x14ac:dyDescent="0.25">
      <c r="D90" s="341">
        <f t="shared" si="28"/>
        <v>80</v>
      </c>
      <c r="E90" s="63">
        <f t="shared" si="24"/>
        <v>20</v>
      </c>
      <c r="F90" s="63">
        <f t="shared" si="29"/>
        <v>90</v>
      </c>
      <c r="G90" s="62">
        <f t="shared" si="25"/>
        <v>0</v>
      </c>
      <c r="H90" s="116">
        <f t="array" aca="1" ref="H90:T90" ca="1">MMULT(H89:T89, OFFSET(C.rngTPMroot, MIN(4, INT(($F89-70)/5))*13, $G90*16))</f>
        <v>1.3548524201905731E-2</v>
      </c>
      <c r="I90" s="116">
        <f ca="1"/>
        <v>0</v>
      </c>
      <c r="J90" s="116">
        <f ca="1"/>
        <v>3.6647194220914035E-4</v>
      </c>
      <c r="K90" s="116">
        <f ca="1"/>
        <v>3.9720081502790329E-5</v>
      </c>
      <c r="L90" s="116">
        <f ca="1"/>
        <v>1.6103865203904982E-5</v>
      </c>
      <c r="M90" s="116">
        <f ca="1"/>
        <v>1.7454183110258892E-6</v>
      </c>
      <c r="N90" s="116">
        <f ca="1"/>
        <v>8.7374297031202742E-5</v>
      </c>
      <c r="O90" s="116">
        <f ca="1"/>
        <v>9.4700679632052447E-6</v>
      </c>
      <c r="P90" s="116">
        <f ca="1"/>
        <v>3.3873617172568933E-2</v>
      </c>
      <c r="Q90" s="116">
        <f ca="1"/>
        <v>2.2984705910984677E-4</v>
      </c>
      <c r="R90" s="116">
        <f ca="1"/>
        <v>6.010067998980331E-6</v>
      </c>
      <c r="S90" s="116">
        <f ca="1"/>
        <v>7.8773869612467819E-3</v>
      </c>
      <c r="T90" s="116">
        <f ca="1"/>
        <v>0.94394372886494682</v>
      </c>
      <c r="U90" s="283">
        <f t="shared" ca="1" si="26"/>
        <v>0.99999999999999833</v>
      </c>
      <c r="V90" s="418">
        <f t="shared" ca="1" si="30"/>
        <v>4.6995010444424808E-4</v>
      </c>
      <c r="W90" s="418">
        <f t="shared" ca="1" si="31"/>
        <v>2.3585712710882711E-4</v>
      </c>
      <c r="Y90" s="116">
        <f t="array" aca="1" ref="Y90:AK90" ca="1">MMULT(Y89:AK89, OFFSET(C.rngTPMroot, MIN(4, INT(($F89-70)/5))*13, $G90*16))</f>
        <v>2.5219112927785413E-2</v>
      </c>
      <c r="Z90" s="116">
        <f ca="1"/>
        <v>0</v>
      </c>
      <c r="AA90" s="116">
        <f ca="1"/>
        <v>4.0511944873511375E-4</v>
      </c>
      <c r="AB90" s="116">
        <f ca="1"/>
        <v>4.3908893611672683E-5</v>
      </c>
      <c r="AC90" s="116">
        <f ca="1"/>
        <v>1.7802151385950898E-5</v>
      </c>
      <c r="AD90" s="116">
        <f ca="1"/>
        <v>1.9294871517652168E-6</v>
      </c>
      <c r="AE90" s="116">
        <f ca="1"/>
        <v>9.6588641502869425E-5</v>
      </c>
      <c r="AF90" s="116">
        <f ca="1"/>
        <v>1.0468765192802476E-5</v>
      </c>
      <c r="AG90" s="116">
        <f ca="1"/>
        <v>2.7204086664673423E-2</v>
      </c>
      <c r="AH90" s="116">
        <f ca="1"/>
        <v>2.2395568369575183E-4</v>
      </c>
      <c r="AI90" s="116">
        <f ca="1"/>
        <v>5.8434934596322171E-6</v>
      </c>
      <c r="AJ90" s="116">
        <f ca="1"/>
        <v>5.8847371685625339E-3</v>
      </c>
      <c r="AK90" s="116">
        <f ca="1"/>
        <v>0.94088644667424315</v>
      </c>
      <c r="AL90" s="128">
        <f t="shared" ca="1" si="27"/>
        <v>1</v>
      </c>
      <c r="AM90" s="418">
        <f t="shared" ca="1" si="32"/>
        <v>5.1951024162393412E-4</v>
      </c>
      <c r="AN90" s="418">
        <f t="shared" ca="1" si="33"/>
        <v>2.2979917715538404E-4</v>
      </c>
    </row>
    <row r="91" spans="4:40" ht="12" customHeight="1" x14ac:dyDescent="0.25">
      <c r="D91" s="341">
        <f t="shared" si="28"/>
        <v>81</v>
      </c>
      <c r="E91" s="63">
        <f t="shared" si="24"/>
        <v>20.25</v>
      </c>
      <c r="F91" s="63">
        <f t="shared" si="29"/>
        <v>90.25</v>
      </c>
      <c r="G91" s="62">
        <f t="shared" si="25"/>
        <v>0</v>
      </c>
      <c r="H91" s="116">
        <f t="array" aca="1" ref="H91:T91" ca="1">MMULT(H90:T90, OFFSET(C.rngTPMroot, MIN(4, INT(($F90-70)/5))*13, $G91*16))</f>
        <v>1.1679139554505689E-2</v>
      </c>
      <c r="I91" s="116">
        <f ca="1"/>
        <v>0</v>
      </c>
      <c r="J91" s="116">
        <f ca="1"/>
        <v>3.4132024194346596E-4</v>
      </c>
      <c r="K91" s="116">
        <f ca="1"/>
        <v>3.6994013093667181E-5</v>
      </c>
      <c r="L91" s="116">
        <f ca="1"/>
        <v>1.4998624818281432E-5</v>
      </c>
      <c r="M91" s="116">
        <f ca="1"/>
        <v>1.6256267713721123E-6</v>
      </c>
      <c r="N91" s="116">
        <f ca="1"/>
        <v>8.1377624771369368E-5</v>
      </c>
      <c r="O91" s="116">
        <f ca="1"/>
        <v>8.8201183122980726E-6</v>
      </c>
      <c r="P91" s="116">
        <f ca="1"/>
        <v>2.9542998611972331E-2</v>
      </c>
      <c r="Q91" s="116">
        <f ca="1"/>
        <v>3.0959489024029414E-4</v>
      </c>
      <c r="R91" s="116">
        <f ca="1"/>
        <v>6.4712485568720792E-6</v>
      </c>
      <c r="S91" s="116">
        <f ca="1"/>
        <v>6.618871510629413E-3</v>
      </c>
      <c r="T91" s="116">
        <f ca="1"/>
        <v>0.9513577879343833</v>
      </c>
      <c r="U91" s="283">
        <f t="shared" ca="1" si="26"/>
        <v>0.99999999999999833</v>
      </c>
      <c r="V91" s="418">
        <f t="shared" ca="1" si="30"/>
        <v>4.3769649153311673E-4</v>
      </c>
      <c r="W91" s="418">
        <f t="shared" ca="1" si="31"/>
        <v>3.1606613879716624E-4</v>
      </c>
      <c r="Y91" s="116">
        <f t="array" aca="1" ref="Y91:AK91" ca="1">MMULT(Y90:AK90, OFFSET(C.rngTPMroot, MIN(4, INT(($F90-70)/5))*13, $G91*16))</f>
        <v>2.1739455525570443E-2</v>
      </c>
      <c r="Z91" s="116">
        <f ca="1"/>
        <v>0</v>
      </c>
      <c r="AA91" s="116">
        <f ca="1"/>
        <v>3.7731529302006077E-4</v>
      </c>
      <c r="AB91" s="116">
        <f ca="1"/>
        <v>4.0895338673576163E-5</v>
      </c>
      <c r="AC91" s="116">
        <f ca="1"/>
        <v>1.6580354232683239E-5</v>
      </c>
      <c r="AD91" s="116">
        <f ca="1"/>
        <v>1.7970626004745392E-6</v>
      </c>
      <c r="AE91" s="116">
        <f ca="1"/>
        <v>8.9959570405354295E-5</v>
      </c>
      <c r="AF91" s="116">
        <f ca="1"/>
        <v>9.7502729592801988E-6</v>
      </c>
      <c r="AG91" s="116">
        <f ca="1"/>
        <v>2.3829899085909954E-2</v>
      </c>
      <c r="AH91" s="116">
        <f ca="1"/>
        <v>3.023352364571035E-4</v>
      </c>
      <c r="AI91" s="116">
        <f ca="1"/>
        <v>6.3053793271586229E-6</v>
      </c>
      <c r="AJ91" s="116">
        <f ca="1"/>
        <v>4.961964046977449E-3</v>
      </c>
      <c r="AK91" s="116">
        <f ca="1"/>
        <v>0.94862374283386652</v>
      </c>
      <c r="AL91" s="128">
        <f t="shared" ca="1" si="27"/>
        <v>1</v>
      </c>
      <c r="AM91" s="418">
        <f t="shared" ca="1" si="32"/>
        <v>4.838552176580983E-4</v>
      </c>
      <c r="AN91" s="418">
        <f t="shared" ca="1" si="33"/>
        <v>3.0864061578426212E-4</v>
      </c>
    </row>
    <row r="92" spans="4:40" ht="12" customHeight="1" x14ac:dyDescent="0.25">
      <c r="D92" s="341">
        <f t="shared" si="28"/>
        <v>82</v>
      </c>
      <c r="E92" s="63">
        <f t="shared" si="24"/>
        <v>20.5</v>
      </c>
      <c r="F92" s="63">
        <f t="shared" si="29"/>
        <v>90.5</v>
      </c>
      <c r="G92" s="62">
        <f t="shared" si="25"/>
        <v>0</v>
      </c>
      <c r="H92" s="116">
        <f t="array" aca="1" ref="H92:T92" ca="1">MMULT(H91:T91, OFFSET(C.rngTPMroot, MIN(4, INT(($F91-70)/5))*13, $G92*16))</f>
        <v>1.0067686982057652E-2</v>
      </c>
      <c r="I92" s="116">
        <f ca="1"/>
        <v>0</v>
      </c>
      <c r="J92" s="116">
        <f ca="1"/>
        <v>2.9669579999148921E-4</v>
      </c>
      <c r="K92" s="116">
        <f ca="1"/>
        <v>3.4455040196185852E-5</v>
      </c>
      <c r="L92" s="116">
        <f ca="1"/>
        <v>1.3037694347964536E-5</v>
      </c>
      <c r="M92" s="116">
        <f ca="1"/>
        <v>1.5140567639905553E-6</v>
      </c>
      <c r="N92" s="116">
        <f ca="1"/>
        <v>7.0738258432817422E-5</v>
      </c>
      <c r="O92" s="116">
        <f ca="1"/>
        <v>8.2147760021571632E-6</v>
      </c>
      <c r="P92" s="116">
        <f ca="1"/>
        <v>2.5786353937972059E-2</v>
      </c>
      <c r="Q92" s="116">
        <f ca="1"/>
        <v>2.6588665558274392E-4</v>
      </c>
      <c r="R92" s="116">
        <f ca="1"/>
        <v>8.7165156449750009E-6</v>
      </c>
      <c r="S92" s="116">
        <f ca="1"/>
        <v>5.5996230988773115E-3</v>
      </c>
      <c r="T92" s="116">
        <f ca="1"/>
        <v>0.95784707718412898</v>
      </c>
      <c r="U92" s="283">
        <f t="shared" ca="1" si="26"/>
        <v>0.99999999999999833</v>
      </c>
      <c r="V92" s="418">
        <f t="shared" ca="1" si="30"/>
        <v>3.8047175277227112E-4</v>
      </c>
      <c r="W92" s="418">
        <f t="shared" ca="1" si="31"/>
        <v>2.7460317122771891E-4</v>
      </c>
      <c r="Y92" s="116">
        <f t="array" aca="1" ref="Y92:AK92" ca="1">MMULT(Y91:AK91, OFFSET(C.rngTPMroot, MIN(4, INT(($F91-70)/5))*13, $G92*16))</f>
        <v>1.8739910793117511E-2</v>
      </c>
      <c r="Z92" s="116">
        <f ca="1"/>
        <v>0</v>
      </c>
      <c r="AA92" s="116">
        <f ca="1"/>
        <v>3.2798483346367841E-4</v>
      </c>
      <c r="AB92" s="116">
        <f ca="1"/>
        <v>3.8088610020952519E-5</v>
      </c>
      <c r="AC92" s="116">
        <f ca="1"/>
        <v>1.4412627376559263E-5</v>
      </c>
      <c r="AD92" s="116">
        <f ca="1"/>
        <v>1.6737266102393181E-6</v>
      </c>
      <c r="AE92" s="116">
        <f ca="1"/>
        <v>7.819819462312507E-5</v>
      </c>
      <c r="AF92" s="116">
        <f ca="1"/>
        <v>9.0810922806666828E-6</v>
      </c>
      <c r="AG92" s="116">
        <f ca="1"/>
        <v>2.0895236183999053E-2</v>
      </c>
      <c r="AH92" s="116">
        <f ca="1"/>
        <v>2.6063940784171961E-4</v>
      </c>
      <c r="AI92" s="116">
        <f ca="1"/>
        <v>8.5121231056499204E-6</v>
      </c>
      <c r="AJ92" s="116">
        <f ca="1"/>
        <v>4.2211147202520253E-3</v>
      </c>
      <c r="AK92" s="116">
        <f ca="1"/>
        <v>0.95540514768730889</v>
      </c>
      <c r="AL92" s="128">
        <f t="shared" ca="1" si="27"/>
        <v>1</v>
      </c>
      <c r="AM92" s="418">
        <f t="shared" ca="1" si="32"/>
        <v>4.2059565546336279E-4</v>
      </c>
      <c r="AN92" s="418">
        <f t="shared" ca="1" si="33"/>
        <v>2.6915153094736954E-4</v>
      </c>
    </row>
    <row r="93" spans="4:40" ht="12" customHeight="1" x14ac:dyDescent="0.25">
      <c r="D93" s="341">
        <f t="shared" si="28"/>
        <v>83</v>
      </c>
      <c r="E93" s="63">
        <f t="shared" si="24"/>
        <v>20.75</v>
      </c>
      <c r="F93" s="63">
        <f t="shared" si="29"/>
        <v>90.75</v>
      </c>
      <c r="G93" s="62">
        <f t="shared" si="25"/>
        <v>0</v>
      </c>
      <c r="H93" s="116">
        <f t="array" aca="1" ref="H93:T93" ca="1">MMULT(H92:T92, OFFSET(C.rngTPMroot, MIN(4, INT(($F92-70)/5))*13, $G93*16))</f>
        <v>8.678577792110561E-3</v>
      </c>
      <c r="I93" s="116">
        <f ca="1"/>
        <v>0</v>
      </c>
      <c r="J93" s="116">
        <f ca="1"/>
        <v>2.5805899031085321E-4</v>
      </c>
      <c r="K93" s="116">
        <f ca="1"/>
        <v>2.9950364667910594E-5</v>
      </c>
      <c r="L93" s="116">
        <f ca="1"/>
        <v>1.1339878217061911E-5</v>
      </c>
      <c r="M93" s="116">
        <f ca="1"/>
        <v>1.3161079467976823E-6</v>
      </c>
      <c r="N93" s="116">
        <f ca="1"/>
        <v>6.1526464304667271E-5</v>
      </c>
      <c r="O93" s="116">
        <f ca="1"/>
        <v>7.1407705673506572E-6</v>
      </c>
      <c r="P93" s="116">
        <f ca="1"/>
        <v>2.2508463301624822E-2</v>
      </c>
      <c r="Q93" s="116">
        <f ca="1"/>
        <v>2.2903825527853766E-4</v>
      </c>
      <c r="R93" s="116">
        <f ca="1"/>
        <v>7.485928438218868E-6</v>
      </c>
      <c r="S93" s="116">
        <f ca="1"/>
        <v>4.7397547920573881E-3</v>
      </c>
      <c r="T93" s="116">
        <f ca="1"/>
        <v>0.96346734735447415</v>
      </c>
      <c r="U93" s="283">
        <f t="shared" ca="1" si="26"/>
        <v>0.99999999999999833</v>
      </c>
      <c r="V93" s="418">
        <f t="shared" ca="1" si="30"/>
        <v>3.3092533283258238E-4</v>
      </c>
      <c r="W93" s="418">
        <f t="shared" ca="1" si="31"/>
        <v>2.3652418371675652E-4</v>
      </c>
      <c r="Y93" s="116">
        <f t="array" aca="1" ref="Y93:AK93" ca="1">MMULT(Y92:AK92, OFFSET(C.rngTPMroot, MIN(4, INT(($F92-70)/5))*13, $G93*16))</f>
        <v>1.6154234227298437E-2</v>
      </c>
      <c r="Z93" s="116">
        <f ca="1"/>
        <v>0</v>
      </c>
      <c r="AA93" s="116">
        <f ca="1"/>
        <v>2.8527345167453702E-4</v>
      </c>
      <c r="AB93" s="116">
        <f ca="1"/>
        <v>3.3108879087816127E-5</v>
      </c>
      <c r="AC93" s="116">
        <f ca="1"/>
        <v>1.2535762449714941E-5</v>
      </c>
      <c r="AD93" s="116">
        <f ca="1"/>
        <v>1.4549024481069293E-6</v>
      </c>
      <c r="AE93" s="116">
        <f ca="1"/>
        <v>6.8014940383901991E-5</v>
      </c>
      <c r="AF93" s="116">
        <f ca="1"/>
        <v>7.8938240629022179E-6</v>
      </c>
      <c r="AG93" s="116">
        <f ca="1"/>
        <v>1.8321739074808E-2</v>
      </c>
      <c r="AH93" s="116">
        <f ca="1"/>
        <v>2.2535961603452166E-4</v>
      </c>
      <c r="AI93" s="116">
        <f ca="1"/>
        <v>7.3381943558113757E-6</v>
      </c>
      <c r="AJ93" s="116">
        <f ca="1"/>
        <v>3.5931011801777655E-3</v>
      </c>
      <c r="AK93" s="116">
        <f ca="1"/>
        <v>0.9612899459472185</v>
      </c>
      <c r="AL93" s="128">
        <f t="shared" ca="1" si="27"/>
        <v>1</v>
      </c>
      <c r="AM93" s="418">
        <f t="shared" ca="1" si="32"/>
        <v>3.6582415450815394E-4</v>
      </c>
      <c r="AN93" s="418">
        <f t="shared" ca="1" si="33"/>
        <v>2.3269781039033304E-4</v>
      </c>
    </row>
    <row r="94" spans="4:40" ht="12" customHeight="1" x14ac:dyDescent="0.25">
      <c r="D94" s="341">
        <f t="shared" si="28"/>
        <v>84</v>
      </c>
      <c r="E94" s="63">
        <f t="shared" si="24"/>
        <v>21</v>
      </c>
      <c r="F94" s="63">
        <f t="shared" si="29"/>
        <v>91</v>
      </c>
      <c r="G94" s="62">
        <f t="shared" si="25"/>
        <v>0</v>
      </c>
      <c r="H94" s="116">
        <f t="array" aca="1" ref="H94:T94" ca="1">MMULT(H93:T93, OFFSET(C.rngTPMroot, MIN(4, INT(($F93-70)/5))*13, $G94*16))</f>
        <v>7.4811337130309798E-3</v>
      </c>
      <c r="I94" s="116">
        <f ca="1"/>
        <v>0</v>
      </c>
      <c r="J94" s="116">
        <f ca="1"/>
        <v>2.2446832013672428E-4</v>
      </c>
      <c r="K94" s="116">
        <f ca="1"/>
        <v>2.6050118895732824E-5</v>
      </c>
      <c r="L94" s="116">
        <f ca="1"/>
        <v>9.8638044381740904E-6</v>
      </c>
      <c r="M94" s="116">
        <f ca="1"/>
        <v>1.1447195676529378E-6</v>
      </c>
      <c r="N94" s="116">
        <f ca="1"/>
        <v>5.3517771536595642E-5</v>
      </c>
      <c r="O94" s="116">
        <f ca="1"/>
        <v>6.2108733682944906E-6</v>
      </c>
      <c r="P94" s="116">
        <f ca="1"/>
        <v>1.9646362116548695E-2</v>
      </c>
      <c r="Q94" s="116">
        <f ca="1"/>
        <v>1.973736338352384E-4</v>
      </c>
      <c r="R94" s="116">
        <f ca="1"/>
        <v>6.4484770206756979E-6</v>
      </c>
      <c r="S94" s="116">
        <f ca="1"/>
        <v>4.013252928608998E-3</v>
      </c>
      <c r="T94" s="116">
        <f ca="1"/>
        <v>0.96833417352301054</v>
      </c>
      <c r="U94" s="283">
        <f t="shared" ca="1" si="26"/>
        <v>0.99999999999999833</v>
      </c>
      <c r="V94" s="418">
        <f t="shared" ca="1" si="30"/>
        <v>2.87849896111494E-4</v>
      </c>
      <c r="W94" s="418">
        <f t="shared" ca="1" si="31"/>
        <v>2.0382211085591409E-4</v>
      </c>
      <c r="Y94" s="116">
        <f t="array" aca="1" ref="Y94:AK94" ca="1">MMULT(Y93:AK93, OFFSET(C.rngTPMroot, MIN(4, INT(($F93-70)/5))*13, $G94*16))</f>
        <v>1.3925321542419574E-2</v>
      </c>
      <c r="Z94" s="116">
        <f ca="1"/>
        <v>0</v>
      </c>
      <c r="AA94" s="116">
        <f ca="1"/>
        <v>2.481403666652073E-4</v>
      </c>
      <c r="AB94" s="116">
        <f ca="1"/>
        <v>2.8797320042855484E-5</v>
      </c>
      <c r="AC94" s="116">
        <f ca="1"/>
        <v>1.0904024445461051E-5</v>
      </c>
      <c r="AD94" s="116">
        <f ca="1"/>
        <v>1.2654397425579755E-6</v>
      </c>
      <c r="AE94" s="116">
        <f ca="1"/>
        <v>5.9161664524004113E-5</v>
      </c>
      <c r="AF94" s="116">
        <f ca="1"/>
        <v>6.8658614898576168E-6</v>
      </c>
      <c r="AG94" s="116">
        <f ca="1"/>
        <v>1.6062993769784182E-2</v>
      </c>
      <c r="AH94" s="116">
        <f ca="1"/>
        <v>1.9491478115051523E-4</v>
      </c>
      <c r="AI94" s="116">
        <f ca="1"/>
        <v>6.344906459489119E-6</v>
      </c>
      <c r="AJ94" s="116">
        <f ca="1"/>
        <v>3.0596877788345647E-3</v>
      </c>
      <c r="AK94" s="116">
        <f ca="1"/>
        <v>0.96639560254444179</v>
      </c>
      <c r="AL94" s="128">
        <f t="shared" ca="1" si="27"/>
        <v>1</v>
      </c>
      <c r="AM94" s="418">
        <f t="shared" ca="1" si="32"/>
        <v>3.1820605563467246E-4</v>
      </c>
      <c r="AN94" s="418">
        <f t="shared" ca="1" si="33"/>
        <v>2.0125968761000435E-4</v>
      </c>
    </row>
    <row r="95" spans="4:40" ht="12" customHeight="1" x14ac:dyDescent="0.25">
      <c r="D95" s="341">
        <f t="shared" si="28"/>
        <v>85</v>
      </c>
      <c r="E95" s="63">
        <f t="shared" si="24"/>
        <v>21.25</v>
      </c>
      <c r="F95" s="63">
        <f t="shared" si="29"/>
        <v>91.25</v>
      </c>
      <c r="G95" s="62">
        <f t="shared" si="25"/>
        <v>0</v>
      </c>
      <c r="H95" s="116">
        <f t="array" aca="1" ref="H95:T95" ca="1">MMULT(H94:T94, OFFSET(C.rngTPMroot, MIN(4, INT(($F94-70)/5))*13, $G95*16))</f>
        <v>6.4489093688976287E-3</v>
      </c>
      <c r="I95" s="116">
        <f ca="1"/>
        <v>0</v>
      </c>
      <c r="J95" s="116">
        <f ca="1"/>
        <v>1.9524979622401265E-4</v>
      </c>
      <c r="K95" s="116">
        <f ca="1"/>
        <v>2.2659262600552619E-5</v>
      </c>
      <c r="L95" s="116">
        <f ca="1"/>
        <v>8.5798557470111083E-6</v>
      </c>
      <c r="M95" s="116">
        <f ca="1"/>
        <v>9.9571527451599678E-7</v>
      </c>
      <c r="N95" s="116">
        <f ca="1"/>
        <v>4.6551486555068644E-5</v>
      </c>
      <c r="O95" s="116">
        <f ca="1"/>
        <v>5.4024248869749561E-6</v>
      </c>
      <c r="P95" s="116">
        <f ca="1"/>
        <v>1.7147461464149416E-2</v>
      </c>
      <c r="Q95" s="116">
        <f ca="1"/>
        <v>1.7013361298656355E-4</v>
      </c>
      <c r="R95" s="116">
        <f ca="1"/>
        <v>5.5569727455615134E-6</v>
      </c>
      <c r="S95" s="116">
        <f ca="1"/>
        <v>3.3992610009728752E-3</v>
      </c>
      <c r="T95" s="116">
        <f ca="1"/>
        <v>0.97254923903895818</v>
      </c>
      <c r="U95" s="283">
        <f t="shared" ca="1" si="26"/>
        <v>0.99999999999999833</v>
      </c>
      <c r="V95" s="418">
        <f t="shared" ca="1" si="30"/>
        <v>2.5038113852609238E-4</v>
      </c>
      <c r="W95" s="418">
        <f t="shared" ca="1" si="31"/>
        <v>1.7569058573212507E-4</v>
      </c>
      <c r="Y95" s="116">
        <f t="array" aca="1" ref="Y95:AK95" ca="1">MMULT(Y94:AK94, OFFSET(C.rngTPMroot, MIN(4, INT(($F94-70)/5))*13, $G95*16))</f>
        <v>1.2003947530492387E-2</v>
      </c>
      <c r="Z95" s="116">
        <f ca="1"/>
        <v>0</v>
      </c>
      <c r="AA95" s="116">
        <f ca="1"/>
        <v>2.158405070115145E-4</v>
      </c>
      <c r="AB95" s="116">
        <f ca="1"/>
        <v>2.504886982109349E-5</v>
      </c>
      <c r="AC95" s="116">
        <f ca="1"/>
        <v>9.4846727132859461E-6</v>
      </c>
      <c r="AD95" s="116">
        <f ca="1"/>
        <v>1.1007217105828195E-6</v>
      </c>
      <c r="AE95" s="116">
        <f ca="1"/>
        <v>5.146072699946822E-5</v>
      </c>
      <c r="AF95" s="116">
        <f ca="1"/>
        <v>5.9721554093631939E-6</v>
      </c>
      <c r="AG95" s="116">
        <f ca="1"/>
        <v>1.4080856360382152E-2</v>
      </c>
      <c r="AH95" s="116">
        <f ca="1"/>
        <v>1.6861438451207215E-4</v>
      </c>
      <c r="AI95" s="116">
        <f ca="1"/>
        <v>5.4877447687094305E-6</v>
      </c>
      <c r="AJ95" s="116">
        <f ca="1"/>
        <v>2.606470685731169E-3</v>
      </c>
      <c r="AK95" s="116">
        <f ca="1"/>
        <v>0.97082571564044828</v>
      </c>
      <c r="AL95" s="128">
        <f t="shared" ca="1" si="27"/>
        <v>1</v>
      </c>
      <c r="AM95" s="418">
        <f t="shared" ca="1" si="32"/>
        <v>2.7678590672426868E-4</v>
      </c>
      <c r="AN95" s="418">
        <f t="shared" ca="1" si="33"/>
        <v>1.7410212928078159E-4</v>
      </c>
    </row>
    <row r="96" spans="4:40" ht="12" customHeight="1" x14ac:dyDescent="0.25">
      <c r="D96" s="341">
        <f t="shared" si="28"/>
        <v>86</v>
      </c>
      <c r="E96" s="63">
        <f t="shared" si="24"/>
        <v>21.5</v>
      </c>
      <c r="F96" s="63">
        <f t="shared" si="29"/>
        <v>91.5</v>
      </c>
      <c r="G96" s="62">
        <f t="shared" si="25"/>
        <v>0</v>
      </c>
      <c r="H96" s="116">
        <f t="array" aca="1" ref="H96:T96" ca="1">MMULT(H95:T95, OFFSET(C.rngTPMroot, MIN(4, INT(($F95-70)/5))*13, $G96*16))</f>
        <v>5.5591082372735811E-3</v>
      </c>
      <c r="I96" s="116">
        <f ca="1"/>
        <v>0</v>
      </c>
      <c r="J96" s="116">
        <f ca="1"/>
        <v>1.6983457027224092E-4</v>
      </c>
      <c r="K96" s="116">
        <f ca="1"/>
        <v>1.9709758609364061E-5</v>
      </c>
      <c r="L96" s="116">
        <f ca="1"/>
        <v>7.4630352603268979E-6</v>
      </c>
      <c r="M96" s="116">
        <f ca="1"/>
        <v>8.6610531200112164E-7</v>
      </c>
      <c r="N96" s="116">
        <f ca="1"/>
        <v>4.049198446047732E-5</v>
      </c>
      <c r="O96" s="116">
        <f ca="1"/>
        <v>4.699203690101568E-6</v>
      </c>
      <c r="P96" s="116">
        <f ca="1"/>
        <v>1.4965776219544775E-2</v>
      </c>
      <c r="Q96" s="116">
        <f ca="1"/>
        <v>1.4669298229807442E-4</v>
      </c>
      <c r="R96" s="116">
        <f ca="1"/>
        <v>4.7900412638673856E-6</v>
      </c>
      <c r="S96" s="116">
        <f ca="1"/>
        <v>2.8801948364369271E-3</v>
      </c>
      <c r="T96" s="116">
        <f ca="1"/>
        <v>0.97620037302557661</v>
      </c>
      <c r="U96" s="283">
        <f t="shared" ca="1" si="26"/>
        <v>0.99999999999999833</v>
      </c>
      <c r="V96" s="418">
        <f t="shared" ca="1" si="30"/>
        <v>2.1778958999304511E-4</v>
      </c>
      <c r="W96" s="418">
        <f t="shared" ca="1" si="31"/>
        <v>1.5148302356194181E-4</v>
      </c>
      <c r="Y96" s="116">
        <f t="array" aca="1" ref="Y96:AK96" ca="1">MMULT(Y95:AK95, OFFSET(C.rngTPMroot, MIN(4, INT(($F95-70)/5))*13, $G96*16))</f>
        <v>1.0347678929773374E-2</v>
      </c>
      <c r="Z96" s="116">
        <f ca="1"/>
        <v>0</v>
      </c>
      <c r="AA96" s="116">
        <f ca="1"/>
        <v>1.8774503464057856E-4</v>
      </c>
      <c r="AB96" s="116">
        <f ca="1"/>
        <v>2.178831616520021E-5</v>
      </c>
      <c r="AC96" s="116">
        <f ca="1"/>
        <v>8.2500742412332484E-6</v>
      </c>
      <c r="AD96" s="116">
        <f ca="1"/>
        <v>9.5744330228754068E-7</v>
      </c>
      <c r="AE96" s="116">
        <f ca="1"/>
        <v>4.4762200139888958E-5</v>
      </c>
      <c r="AF96" s="116">
        <f ca="1"/>
        <v>5.1947737034163521E-6</v>
      </c>
      <c r="AG96" s="116">
        <f ca="1"/>
        <v>1.234172486570979E-2</v>
      </c>
      <c r="AH96" s="116">
        <f ca="1"/>
        <v>1.4588958183652694E-4</v>
      </c>
      <c r="AI96" s="116">
        <f ca="1"/>
        <v>4.7472680166864731E-6</v>
      </c>
      <c r="AJ96" s="116">
        <f ca="1"/>
        <v>2.2212479926421525E-3</v>
      </c>
      <c r="AK96" s="116">
        <f ca="1"/>
        <v>0.97467001351982896</v>
      </c>
      <c r="AL96" s="128">
        <f t="shared" ca="1" si="27"/>
        <v>1</v>
      </c>
      <c r="AM96" s="418">
        <f t="shared" ca="1" si="32"/>
        <v>2.4075730902170075E-4</v>
      </c>
      <c r="AN96" s="418">
        <f t="shared" ca="1" si="33"/>
        <v>1.5063684985321341E-4</v>
      </c>
    </row>
    <row r="97" spans="4:40" ht="12" customHeight="1" x14ac:dyDescent="0.25">
      <c r="D97" s="341">
        <f t="shared" si="28"/>
        <v>87</v>
      </c>
      <c r="E97" s="63">
        <f t="shared" si="24"/>
        <v>21.75</v>
      </c>
      <c r="F97" s="63">
        <f t="shared" si="29"/>
        <v>91.75</v>
      </c>
      <c r="G97" s="62">
        <f t="shared" si="25"/>
        <v>0</v>
      </c>
      <c r="H97" s="116">
        <f t="array" aca="1" ref="H97:T97" ca="1">MMULT(H96:T96, OFFSET(C.rngTPMroot, MIN(4, INT(($F96-70)/5))*13, $G97*16))</f>
        <v>4.7920791913696305E-3</v>
      </c>
      <c r="I97" s="116">
        <f ca="1"/>
        <v>0</v>
      </c>
      <c r="J97" s="116">
        <f ca="1"/>
        <v>1.4772758727495426E-4</v>
      </c>
      <c r="K97" s="116">
        <f ca="1"/>
        <v>1.7144183749879215E-5</v>
      </c>
      <c r="L97" s="116">
        <f ca="1"/>
        <v>6.4915887913086651E-6</v>
      </c>
      <c r="M97" s="116">
        <f ca="1"/>
        <v>7.5336633542732126E-7</v>
      </c>
      <c r="N97" s="116">
        <f ca="1"/>
        <v>3.5221234161764557E-5</v>
      </c>
      <c r="O97" s="116">
        <f ca="1"/>
        <v>4.087518936073422E-6</v>
      </c>
      <c r="P97" s="116">
        <f ca="1"/>
        <v>1.3061127344742362E-2</v>
      </c>
      <c r="Q97" s="116">
        <f ca="1"/>
        <v>1.2651564717782384E-4</v>
      </c>
      <c r="R97" s="116">
        <f ca="1"/>
        <v>4.1300800352898997E-6</v>
      </c>
      <c r="S97" s="116">
        <f ca="1"/>
        <v>2.4412404625649971E-3</v>
      </c>
      <c r="T97" s="116">
        <f ca="1"/>
        <v>0.97936348179485888</v>
      </c>
      <c r="U97" s="283">
        <f t="shared" ca="1" si="26"/>
        <v>0.99999999999999845</v>
      </c>
      <c r="V97" s="418">
        <f t="shared" ca="1" si="30"/>
        <v>1.8944041022802747E-4</v>
      </c>
      <c r="W97" s="418">
        <f t="shared" ca="1" si="31"/>
        <v>1.3064572721311374E-4</v>
      </c>
      <c r="Y97" s="116">
        <f t="array" aca="1" ref="Y97:AK97" ca="1">MMULT(Y96:AK96, OFFSET(C.rngTPMroot, MIN(4, INT(($F96-70)/5))*13, $G97*16))</f>
        <v>8.9199372924353131E-3</v>
      </c>
      <c r="Z97" s="116">
        <f ca="1"/>
        <v>0</v>
      </c>
      <c r="AA97" s="116">
        <f ca="1"/>
        <v>1.6330668688858E-4</v>
      </c>
      <c r="AB97" s="116">
        <f ca="1"/>
        <v>1.8952180152992165E-5</v>
      </c>
      <c r="AC97" s="116">
        <f ca="1"/>
        <v>7.1761806830198751E-6</v>
      </c>
      <c r="AD97" s="116">
        <f ca="1"/>
        <v>8.3281506536108528E-7</v>
      </c>
      <c r="AE97" s="116">
        <f ca="1"/>
        <v>3.8935605496481376E-5</v>
      </c>
      <c r="AF97" s="116">
        <f ca="1"/>
        <v>4.5185817175913161E-6</v>
      </c>
      <c r="AG97" s="116">
        <f ca="1"/>
        <v>1.0816037981590523E-2</v>
      </c>
      <c r="AH97" s="116">
        <f ca="1"/>
        <v>1.2625003426639986E-4</v>
      </c>
      <c r="AI97" s="116">
        <f ca="1"/>
        <v>4.1074606287266212E-6</v>
      </c>
      <c r="AJ97" s="116">
        <f ca="1"/>
        <v>1.8936947489533759E-3</v>
      </c>
      <c r="AK97" s="116">
        <f ca="1"/>
        <v>0.97800625043212175</v>
      </c>
      <c r="AL97" s="128">
        <f t="shared" ca="1" si="27"/>
        <v>1</v>
      </c>
      <c r="AM97" s="418">
        <f t="shared" ca="1" si="32"/>
        <v>2.0941847306808127E-4</v>
      </c>
      <c r="AN97" s="418">
        <f t="shared" ca="1" si="33"/>
        <v>1.3035749489512648E-4</v>
      </c>
    </row>
    <row r="98" spans="4:40" ht="12" customHeight="1" x14ac:dyDescent="0.25">
      <c r="D98" s="341">
        <f t="shared" si="28"/>
        <v>88</v>
      </c>
      <c r="E98" s="63">
        <f t="shared" si="24"/>
        <v>22</v>
      </c>
      <c r="F98" s="63">
        <f t="shared" si="29"/>
        <v>92</v>
      </c>
      <c r="G98" s="62">
        <f t="shared" si="25"/>
        <v>0</v>
      </c>
      <c r="H98" s="116">
        <f t="array" aca="1" ref="H98:T98" ca="1">MMULT(H97:T97, OFFSET(C.rngTPMroot, MIN(4, INT(($F97-70)/5))*13, $G98*16))</f>
        <v>4.1308825078067426E-3</v>
      </c>
      <c r="I98" s="116">
        <f ca="1"/>
        <v>0</v>
      </c>
      <c r="J98" s="116">
        <f ca="1"/>
        <v>1.284982204041164E-4</v>
      </c>
      <c r="K98" s="116">
        <f ca="1"/>
        <v>1.4912564015137344E-5</v>
      </c>
      <c r="L98" s="116">
        <f ca="1"/>
        <v>5.6465933185919947E-6</v>
      </c>
      <c r="M98" s="116">
        <f ca="1"/>
        <v>6.5530233855481813E-7</v>
      </c>
      <c r="N98" s="116">
        <f ca="1"/>
        <v>3.0636565544117101E-5</v>
      </c>
      <c r="O98" s="116">
        <f ca="1"/>
        <v>3.5554558144368019E-6</v>
      </c>
      <c r="P98" s="116">
        <f ca="1"/>
        <v>1.1398412397161162E-2</v>
      </c>
      <c r="Q98" s="116">
        <f ca="1"/>
        <v>1.0914209164645294E-4</v>
      </c>
      <c r="R98" s="116">
        <f ca="1"/>
        <v>3.561995539085649E-6</v>
      </c>
      <c r="S98" s="116">
        <f ca="1"/>
        <v>2.0699147975420966E-3</v>
      </c>
      <c r="T98" s="116">
        <f ca="1"/>
        <v>0.98210418150886791</v>
      </c>
      <c r="U98" s="283">
        <f t="shared" ca="1" si="26"/>
        <v>0.99999999999999845</v>
      </c>
      <c r="V98" s="418">
        <f t="shared" ca="1" si="30"/>
        <v>1.6478137926682551E-4</v>
      </c>
      <c r="W98" s="418">
        <f t="shared" ca="1" si="31"/>
        <v>1.1270408718553858E-4</v>
      </c>
      <c r="Y98" s="116">
        <f t="array" aca="1" ref="Y98:AK98" ca="1">MMULT(Y97:AK97, OFFSET(C.rngTPMroot, MIN(4, INT(($F97-70)/5))*13, $G98*16))</f>
        <v>7.6891911549405601E-3</v>
      </c>
      <c r="Z98" s="116">
        <f ca="1"/>
        <v>0</v>
      </c>
      <c r="AA98" s="116">
        <f ca="1"/>
        <v>1.4204942375602251E-4</v>
      </c>
      <c r="AB98" s="116">
        <f ca="1"/>
        <v>1.6485217603894517E-5</v>
      </c>
      <c r="AC98" s="116">
        <f ca="1"/>
        <v>6.2420734276947603E-6</v>
      </c>
      <c r="AD98" s="116">
        <f ca="1"/>
        <v>7.2440940648781096E-7</v>
      </c>
      <c r="AE98" s="116">
        <f ca="1"/>
        <v>3.386744553908263E-5</v>
      </c>
      <c r="AF98" s="116">
        <f ca="1"/>
        <v>3.9304081258277742E-6</v>
      </c>
      <c r="AG98" s="116">
        <f ca="1"/>
        <v>9.4777967274640839E-3</v>
      </c>
      <c r="AH98" s="116">
        <f ca="1"/>
        <v>1.0927330182628347E-4</v>
      </c>
      <c r="AI98" s="116">
        <f ca="1"/>
        <v>3.5545173178006092E-6</v>
      </c>
      <c r="AJ98" s="116">
        <f ca="1"/>
        <v>1.6150714794547333E-3</v>
      </c>
      <c r="AK98" s="116">
        <f ca="1"/>
        <v>0.98090181384113762</v>
      </c>
      <c r="AL98" s="128">
        <f t="shared" ca="1" si="27"/>
        <v>1</v>
      </c>
      <c r="AM98" s="418">
        <f t="shared" ca="1" si="32"/>
        <v>1.8215894272279989E-4</v>
      </c>
      <c r="AN98" s="418">
        <f t="shared" ca="1" si="33"/>
        <v>1.1282781914408407E-4</v>
      </c>
    </row>
    <row r="99" spans="4:40" ht="12" customHeight="1" x14ac:dyDescent="0.25">
      <c r="D99" s="341">
        <f t="shared" si="28"/>
        <v>89</v>
      </c>
      <c r="E99" s="63">
        <f t="shared" si="24"/>
        <v>22.25</v>
      </c>
      <c r="F99" s="63">
        <f t="shared" si="29"/>
        <v>92.25</v>
      </c>
      <c r="G99" s="62">
        <f t="shared" si="25"/>
        <v>0</v>
      </c>
      <c r="H99" s="116">
        <f t="array" aca="1" ref="H99:T99" ca="1">MMULT(H98:T98, OFFSET(C.rngTPMroot, MIN(4, INT(($F98-70)/5))*13, $G99*16))</f>
        <v>3.560915755323022E-3</v>
      </c>
      <c r="I99" s="116">
        <f ca="1"/>
        <v>0</v>
      </c>
      <c r="J99" s="116">
        <f ca="1"/>
        <v>1.117718968512901E-4</v>
      </c>
      <c r="K99" s="116">
        <f ca="1"/>
        <v>1.2971429189059074E-5</v>
      </c>
      <c r="L99" s="116">
        <f ca="1"/>
        <v>4.9115890008592688E-6</v>
      </c>
      <c r="M99" s="116">
        <f ca="1"/>
        <v>5.7000311102505958E-7</v>
      </c>
      <c r="N99" s="116">
        <f ca="1"/>
        <v>2.6648672900727177E-5</v>
      </c>
      <c r="O99" s="116">
        <f ca="1"/>
        <v>3.0926501495638728E-6</v>
      </c>
      <c r="P99" s="116">
        <f ca="1"/>
        <v>9.9469658544964201E-3</v>
      </c>
      <c r="Q99" s="116">
        <f ca="1"/>
        <v>9.4178304718315893E-5</v>
      </c>
      <c r="R99" s="116">
        <f ca="1"/>
        <v>3.0728502935665844E-6</v>
      </c>
      <c r="S99" s="116">
        <f ca="1"/>
        <v>1.755696290533814E-3</v>
      </c>
      <c r="T99" s="116">
        <f ca="1"/>
        <v>0.98447920470343075</v>
      </c>
      <c r="U99" s="283">
        <f t="shared" ca="1" si="26"/>
        <v>0.99999999999999845</v>
      </c>
      <c r="V99" s="418">
        <f t="shared" ca="1" si="30"/>
        <v>1.4333215875287654E-4</v>
      </c>
      <c r="W99" s="418">
        <f t="shared" ca="1" si="31"/>
        <v>9.7251155011882475E-5</v>
      </c>
      <c r="Y99" s="116">
        <f t="array" aca="1" ref="Y99:AK99" ca="1">MMULT(Y98:AK98, OFFSET(C.rngTPMroot, MIN(4, INT(($F98-70)/5))*13, $G99*16))</f>
        <v>6.6282596703181812E-3</v>
      </c>
      <c r="Z99" s="116">
        <f ca="1"/>
        <v>0</v>
      </c>
      <c r="AA99" s="116">
        <f ca="1"/>
        <v>1.2355917062439512E-4</v>
      </c>
      <c r="AB99" s="116">
        <f ca="1"/>
        <v>1.4339374006917104E-5</v>
      </c>
      <c r="AC99" s="116">
        <f ca="1"/>
        <v>5.4295568071239008E-6</v>
      </c>
      <c r="AD99" s="116">
        <f ca="1"/>
        <v>6.3011466777991296E-7</v>
      </c>
      <c r="AE99" s="116">
        <f ca="1"/>
        <v>2.945899653322953E-5</v>
      </c>
      <c r="AF99" s="116">
        <f ca="1"/>
        <v>3.4187957641976171E-6</v>
      </c>
      <c r="AG99" s="116">
        <f ca="1"/>
        <v>8.3041401154920671E-3</v>
      </c>
      <c r="AH99" s="116">
        <f ca="1"/>
        <v>9.4595346429023595E-5</v>
      </c>
      <c r="AI99" s="116">
        <f ca="1"/>
        <v>3.0765444617241572E-6</v>
      </c>
      <c r="AJ99" s="116">
        <f ca="1"/>
        <v>1.3779782404767364E-3</v>
      </c>
      <c r="AK99" s="116">
        <f ca="1"/>
        <v>0.98341511407441873</v>
      </c>
      <c r="AL99" s="128">
        <f t="shared" ca="1" si="27"/>
        <v>1</v>
      </c>
      <c r="AM99" s="418">
        <f t="shared" ca="1" si="32"/>
        <v>1.5844772396474854E-4</v>
      </c>
      <c r="AN99" s="418">
        <f t="shared" ca="1" si="33"/>
        <v>9.767189089074775E-5</v>
      </c>
    </row>
    <row r="100" spans="4:40" ht="12" customHeight="1" x14ac:dyDescent="0.25">
      <c r="D100" s="341">
        <f t="shared" si="28"/>
        <v>90</v>
      </c>
      <c r="E100" s="63">
        <f t="shared" si="24"/>
        <v>22.5</v>
      </c>
      <c r="F100" s="63">
        <f t="shared" si="29"/>
        <v>92.5</v>
      </c>
      <c r="G100" s="62">
        <f t="shared" si="25"/>
        <v>0</v>
      </c>
      <c r="H100" s="116">
        <f t="array" aca="1" ref="H100:T100" ca="1">MMULT(H99:T99, OFFSET(C.rngTPMroot, MIN(4, INT(($F99-70)/5))*13, $G100*16))</f>
        <v>3.0695913022324452E-3</v>
      </c>
      <c r="I100" s="116">
        <f ca="1"/>
        <v>0</v>
      </c>
      <c r="J100" s="116">
        <f ca="1"/>
        <v>9.722280111308746E-5</v>
      </c>
      <c r="K100" s="116">
        <f ca="1"/>
        <v>1.1282967505493012E-5</v>
      </c>
      <c r="L100" s="116">
        <f ca="1"/>
        <v>4.2722585375382492E-6</v>
      </c>
      <c r="M100" s="116">
        <f ca="1"/>
        <v>4.9580709156939013E-7</v>
      </c>
      <c r="N100" s="116">
        <f ca="1"/>
        <v>2.3179875248983197E-5</v>
      </c>
      <c r="O100" s="116">
        <f ca="1"/>
        <v>2.6900868543320821E-6</v>
      </c>
      <c r="P100" s="116">
        <f ca="1"/>
        <v>8.6799998222511238E-3</v>
      </c>
      <c r="Q100" s="116">
        <f ca="1"/>
        <v>8.1286321341972299E-5</v>
      </c>
      <c r="R100" s="116">
        <f ca="1"/>
        <v>2.651551082956412E-6</v>
      </c>
      <c r="S100" s="116">
        <f ca="1"/>
        <v>1.489714451074664E-3</v>
      </c>
      <c r="T100" s="116">
        <f ca="1"/>
        <v>0.98653761275566421</v>
      </c>
      <c r="U100" s="283">
        <f t="shared" ca="1" si="26"/>
        <v>0.99999999999999833</v>
      </c>
      <c r="V100" s="418">
        <f t="shared" ca="1" si="30"/>
        <v>1.2467493489960892E-4</v>
      </c>
      <c r="W100" s="418">
        <f t="shared" ca="1" si="31"/>
        <v>8.3937872424928706E-5</v>
      </c>
      <c r="Y100" s="116">
        <f t="array" aca="1" ref="Y100:AK100" ca="1">MMULT(Y99:AK99, OFFSET(C.rngTPMroot, MIN(4, INT(($F99-70)/5))*13, $G100*16))</f>
        <v>5.7137123231664685E-3</v>
      </c>
      <c r="Z100" s="116">
        <f ca="1"/>
        <v>0</v>
      </c>
      <c r="AA100" s="116">
        <f ca="1"/>
        <v>1.0747575204253995E-4</v>
      </c>
      <c r="AB100" s="116">
        <f ca="1"/>
        <v>1.2472850031484686E-5</v>
      </c>
      <c r="AC100" s="116">
        <f ca="1"/>
        <v>4.722803642614609E-6</v>
      </c>
      <c r="AD100" s="116">
        <f ca="1"/>
        <v>5.4809406254878518E-7</v>
      </c>
      <c r="AE100" s="116">
        <f ca="1"/>
        <v>2.5624385392259271E-5</v>
      </c>
      <c r="AF100" s="116">
        <f ca="1"/>
        <v>2.9737788298528245E-6</v>
      </c>
      <c r="AG100" s="116">
        <f ca="1"/>
        <v>7.2749706590011292E-3</v>
      </c>
      <c r="AH100" s="116">
        <f ca="1"/>
        <v>8.190237037474486E-5</v>
      </c>
      <c r="AI100" s="116">
        <f ca="1"/>
        <v>2.663292719238488E-6</v>
      </c>
      <c r="AJ100" s="116">
        <f ca="1"/>
        <v>1.1761471784381328E-3</v>
      </c>
      <c r="AK100" s="116">
        <f ca="1"/>
        <v>0.98559678651229909</v>
      </c>
      <c r="AL100" s="128">
        <f t="shared" ca="1" si="27"/>
        <v>1</v>
      </c>
      <c r="AM100" s="418">
        <f t="shared" ca="1" si="32"/>
        <v>1.3782294107741384E-4</v>
      </c>
      <c r="AN100" s="418">
        <f t="shared" ca="1" si="33"/>
        <v>8.4565663093983355E-5</v>
      </c>
    </row>
    <row r="101" spans="4:40" ht="12" customHeight="1" x14ac:dyDescent="0.25">
      <c r="D101" s="341">
        <f t="shared" si="28"/>
        <v>91</v>
      </c>
      <c r="E101" s="63">
        <f t="shared" si="24"/>
        <v>22.75</v>
      </c>
      <c r="F101" s="63">
        <f t="shared" si="29"/>
        <v>92.75</v>
      </c>
      <c r="G101" s="62">
        <f t="shared" si="25"/>
        <v>0</v>
      </c>
      <c r="H101" s="116">
        <f t="array" aca="1" ref="H101:T101" ca="1">MMULT(H100:T100, OFFSET(C.rngTPMroot, MIN(4, INT(($F100-70)/5))*13, $G101*16))</f>
        <v>2.6460583204351443E-3</v>
      </c>
      <c r="I101" s="116">
        <f ca="1"/>
        <v>0</v>
      </c>
      <c r="J101" s="116">
        <f ca="1"/>
        <v>8.4567528355101795E-5</v>
      </c>
      <c r="K101" s="116">
        <f ca="1"/>
        <v>9.8142890713526817E-6</v>
      </c>
      <c r="L101" s="116">
        <f ca="1"/>
        <v>3.7161482787699342E-6</v>
      </c>
      <c r="M101" s="116">
        <f ca="1"/>
        <v>4.3126900063477612E-7</v>
      </c>
      <c r="N101" s="116">
        <f ca="1"/>
        <v>2.0162603164518692E-5</v>
      </c>
      <c r="O101" s="116">
        <f ca="1"/>
        <v>2.3399243153547717E-6</v>
      </c>
      <c r="P101" s="116">
        <f ca="1"/>
        <v>7.5741150257827156E-3</v>
      </c>
      <c r="Q101" s="116">
        <f ca="1"/>
        <v>7.0176147574238759E-5</v>
      </c>
      <c r="R101" s="116">
        <f ca="1"/>
        <v>2.2885826414959039E-6</v>
      </c>
      <c r="S101" s="116">
        <f ca="1"/>
        <v>1.2644888243118879E-3</v>
      </c>
      <c r="T101" s="116">
        <f ca="1"/>
        <v>0.98832184133706713</v>
      </c>
      <c r="U101" s="283">
        <f t="shared" ca="1" si="26"/>
        <v>0.99999999999999833</v>
      </c>
      <c r="V101" s="418">
        <f t="shared" ca="1" si="30"/>
        <v>1.0844627979839043E-4</v>
      </c>
      <c r="W101" s="418">
        <f t="shared" ca="1" si="31"/>
        <v>7.2464730215734656E-5</v>
      </c>
      <c r="Y101" s="116">
        <f t="array" aca="1" ref="Y101:AK101" ca="1">MMULT(Y100:AK100, OFFSET(C.rngTPMroot, MIN(4, INT(($F100-70)/5))*13, $G101*16))</f>
        <v>4.925351470175158E-3</v>
      </c>
      <c r="Z101" s="116">
        <f ca="1"/>
        <v>0</v>
      </c>
      <c r="AA101" s="116">
        <f ca="1"/>
        <v>9.3485875785159756E-5</v>
      </c>
      <c r="AB101" s="116">
        <f ca="1"/>
        <v>1.0849287272433059E-5</v>
      </c>
      <c r="AC101" s="116">
        <f ca="1"/>
        <v>4.1080469436158336E-6</v>
      </c>
      <c r="AD101" s="116">
        <f ca="1"/>
        <v>4.7674989452261056E-7</v>
      </c>
      <c r="AE101" s="116">
        <f ca="1"/>
        <v>2.228891693545576E-5</v>
      </c>
      <c r="AF101" s="116">
        <f ca="1"/>
        <v>2.5866887462217572E-6</v>
      </c>
      <c r="AG101" s="116">
        <f ca="1"/>
        <v>6.3726239410889854E-3</v>
      </c>
      <c r="AH101" s="116">
        <f ca="1"/>
        <v>7.0923809110175396E-5</v>
      </c>
      <c r="AI101" s="116">
        <f ca="1"/>
        <v>2.3059272463376245E-6</v>
      </c>
      <c r="AJ101" s="116">
        <f ca="1"/>
        <v>1.0042675088460414E-3</v>
      </c>
      <c r="AK101" s="116">
        <f ca="1"/>
        <v>0.98749073177795599</v>
      </c>
      <c r="AL101" s="128">
        <f t="shared" ca="1" si="27"/>
        <v>1</v>
      </c>
      <c r="AM101" s="418">
        <f t="shared" ca="1" si="32"/>
        <v>1.1988283966423135E-4</v>
      </c>
      <c r="AN101" s="418">
        <f t="shared" ca="1" si="33"/>
        <v>7.3229736356513023E-5</v>
      </c>
    </row>
    <row r="102" spans="4:40" ht="12" customHeight="1" x14ac:dyDescent="0.25">
      <c r="D102" s="341">
        <f t="shared" si="28"/>
        <v>92</v>
      </c>
      <c r="E102" s="63">
        <f t="shared" si="24"/>
        <v>23</v>
      </c>
      <c r="F102" s="63">
        <f t="shared" si="29"/>
        <v>93</v>
      </c>
      <c r="G102" s="62">
        <f t="shared" si="25"/>
        <v>0</v>
      </c>
      <c r="H102" s="116">
        <f t="array" aca="1" ref="H102:T102" ca="1">MMULT(H101:T101, OFFSET(C.rngTPMroot, MIN(4, INT(($F101-70)/5))*13, $G102*16))</f>
        <v>2.2809631464787939E-3</v>
      </c>
      <c r="I102" s="116">
        <f ca="1"/>
        <v>0</v>
      </c>
      <c r="J102" s="116">
        <f ca="1"/>
        <v>7.3559563911065282E-5</v>
      </c>
      <c r="K102" s="116">
        <f ca="1"/>
        <v>8.5367851967295226E-6</v>
      </c>
      <c r="L102" s="116">
        <f ca="1"/>
        <v>3.2324256382110643E-6</v>
      </c>
      <c r="M102" s="116">
        <f ca="1"/>
        <v>3.7513168744680737E-7</v>
      </c>
      <c r="N102" s="116">
        <f ca="1"/>
        <v>1.7538082582549357E-5</v>
      </c>
      <c r="O102" s="116">
        <f ca="1"/>
        <v>2.0353416443678182E-6</v>
      </c>
      <c r="P102" s="116">
        <f ca="1"/>
        <v>6.6088732844321544E-3</v>
      </c>
      <c r="Q102" s="116">
        <f ca="1"/>
        <v>6.0598864517903803E-5</v>
      </c>
      <c r="R102" s="116">
        <f ca="1"/>
        <v>1.9757803100695822E-6</v>
      </c>
      <c r="S102" s="116">
        <f ca="1"/>
        <v>1.0737094962664606E-3</v>
      </c>
      <c r="T102" s="116">
        <f ca="1"/>
        <v>0.98986860209733263</v>
      </c>
      <c r="U102" s="283">
        <f t="shared" ca="1" si="26"/>
        <v>0.99999999999999833</v>
      </c>
      <c r="V102" s="418">
        <f t="shared" ca="1" si="30"/>
        <v>9.4330072131825699E-5</v>
      </c>
      <c r="W102" s="418">
        <f t="shared" ca="1" si="31"/>
        <v>6.257464482797338E-5</v>
      </c>
      <c r="Y102" s="116">
        <f t="array" aca="1" ref="Y102:AK102" ca="1">MMULT(Y101:AK101, OFFSET(C.rngTPMroot, MIN(4, INT(($F101-70)/5))*13, $G102*16))</f>
        <v>4.2457662781511035E-3</v>
      </c>
      <c r="Z102" s="116">
        <f ca="1"/>
        <v>0</v>
      </c>
      <c r="AA102" s="116">
        <f ca="1"/>
        <v>8.1317030169364126E-5</v>
      </c>
      <c r="AB102" s="116">
        <f ca="1"/>
        <v>9.4370600161675504E-6</v>
      </c>
      <c r="AC102" s="116">
        <f ca="1"/>
        <v>3.573311737688204E-6</v>
      </c>
      <c r="AD102" s="116">
        <f ca="1"/>
        <v>4.1469243594860168E-7</v>
      </c>
      <c r="AE102" s="116">
        <f ca="1"/>
        <v>1.9387618885318545E-5</v>
      </c>
      <c r="AF102" s="116">
        <f ca="1"/>
        <v>2.2499853057873332E-6</v>
      </c>
      <c r="AG102" s="116">
        <f ca="1"/>
        <v>5.581577153725272E-3</v>
      </c>
      <c r="AH102" s="116">
        <f ca="1"/>
        <v>6.1426312697830727E-5</v>
      </c>
      <c r="AI102" s="116">
        <f ca="1"/>
        <v>1.9968304103153568E-6</v>
      </c>
      <c r="AJ102" s="116">
        <f ca="1"/>
        <v>8.5783780811224744E-4</v>
      </c>
      <c r="AK102" s="116">
        <f ca="1"/>
        <v>0.98913501591835307</v>
      </c>
      <c r="AL102" s="128">
        <f t="shared" ca="1" si="27"/>
        <v>1</v>
      </c>
      <c r="AM102" s="418">
        <f t="shared" ca="1" si="32"/>
        <v>1.0427796079237088E-4</v>
      </c>
      <c r="AN102" s="418">
        <f t="shared" ca="1" si="33"/>
        <v>6.342314310814608E-5</v>
      </c>
    </row>
    <row r="103" spans="4:40" ht="12" customHeight="1" x14ac:dyDescent="0.25">
      <c r="D103" s="341">
        <f t="shared" si="28"/>
        <v>93</v>
      </c>
      <c r="E103" s="63">
        <f t="shared" si="24"/>
        <v>23.25</v>
      </c>
      <c r="F103" s="63">
        <f t="shared" si="29"/>
        <v>93.25</v>
      </c>
      <c r="G103" s="62">
        <f t="shared" si="25"/>
        <v>0</v>
      </c>
      <c r="H103" s="116">
        <f t="array" aca="1" ref="H103:T103" ca="1">MMULT(H102:T102, OFFSET(C.rngTPMroot, MIN(4, INT(($F102-70)/5))*13, $G103*16))</f>
        <v>1.9662427072804807E-3</v>
      </c>
      <c r="I103" s="116">
        <f ca="1"/>
        <v>0</v>
      </c>
      <c r="J103" s="116">
        <f ca="1"/>
        <v>6.3984481372863272E-5</v>
      </c>
      <c r="K103" s="116">
        <f ca="1"/>
        <v>7.4255711203599051E-6</v>
      </c>
      <c r="L103" s="116">
        <f ca="1"/>
        <v>2.8116680828523728E-6</v>
      </c>
      <c r="M103" s="116">
        <f ca="1"/>
        <v>3.2630164171215801E-7</v>
      </c>
      <c r="N103" s="116">
        <f ca="1"/>
        <v>1.5255189925753004E-5</v>
      </c>
      <c r="O103" s="116">
        <f ca="1"/>
        <v>1.7704058127494625E-6</v>
      </c>
      <c r="P103" s="116">
        <f ca="1"/>
        <v>5.7664237643305447E-3</v>
      </c>
      <c r="Q103" s="116">
        <f ca="1"/>
        <v>5.2340736667193165E-5</v>
      </c>
      <c r="R103" s="116">
        <f ca="1"/>
        <v>1.7061358804341198E-6</v>
      </c>
      <c r="S103" s="116">
        <f ca="1"/>
        <v>9.1205248602932399E-4</v>
      </c>
      <c r="T103" s="116">
        <f ca="1"/>
        <v>0.99120966055185411</v>
      </c>
      <c r="U103" s="283">
        <f t="shared" ca="1" si="26"/>
        <v>0.99999999999999833</v>
      </c>
      <c r="V103" s="418">
        <f t="shared" ca="1" si="30"/>
        <v>8.2051339381468652E-5</v>
      </c>
      <c r="W103" s="418">
        <f t="shared" ca="1" si="31"/>
        <v>5.4046872547627288E-5</v>
      </c>
      <c r="Y103" s="116">
        <f t="array" aca="1" ref="Y103:AK103" ca="1">MMULT(Y102:AK102, OFFSET(C.rngTPMroot, MIN(4, INT(($F102-70)/5))*13, $G103*16))</f>
        <v>3.6599482083344609E-3</v>
      </c>
      <c r="Z103" s="116">
        <f ca="1"/>
        <v>0</v>
      </c>
      <c r="AA103" s="116">
        <f ca="1"/>
        <v>7.0732175743439495E-5</v>
      </c>
      <c r="AB103" s="116">
        <f ca="1"/>
        <v>8.2086591969074227E-6</v>
      </c>
      <c r="AC103" s="116">
        <f ca="1"/>
        <v>3.1081818075480963E-6</v>
      </c>
      <c r="AD103" s="116">
        <f ca="1"/>
        <v>3.6071285680133302E-7</v>
      </c>
      <c r="AE103" s="116">
        <f ca="1"/>
        <v>1.686397625917997E-5</v>
      </c>
      <c r="AF103" s="116">
        <f ca="1"/>
        <v>1.9571097928397275E-6</v>
      </c>
      <c r="AG103" s="116">
        <f ca="1"/>
        <v>4.8881920922503909E-3</v>
      </c>
      <c r="AH103" s="116">
        <f ca="1"/>
        <v>5.3208574746144933E-5</v>
      </c>
      <c r="AI103" s="116">
        <f ca="1"/>
        <v>1.7294323405279579E-6</v>
      </c>
      <c r="AJ103" s="116">
        <f ca="1"/>
        <v>7.3304132078913216E-4</v>
      </c>
      <c r="AK103" s="116">
        <f ca="1"/>
        <v>0.99056264955588269</v>
      </c>
      <c r="AL103" s="128">
        <f t="shared" ca="1" si="27"/>
        <v>1</v>
      </c>
      <c r="AM103" s="418">
        <f t="shared" ca="1" si="32"/>
        <v>9.0704333810167568E-5</v>
      </c>
      <c r="AN103" s="418">
        <f t="shared" ca="1" si="33"/>
        <v>5.4938007086672891E-5</v>
      </c>
    </row>
    <row r="104" spans="4:40" ht="12" customHeight="1" x14ac:dyDescent="0.25">
      <c r="D104" s="341">
        <f t="shared" si="28"/>
        <v>94</v>
      </c>
      <c r="E104" s="63">
        <f t="shared" si="24"/>
        <v>23.5</v>
      </c>
      <c r="F104" s="63">
        <f t="shared" si="29"/>
        <v>93.5</v>
      </c>
      <c r="G104" s="62">
        <f t="shared" si="25"/>
        <v>0</v>
      </c>
      <c r="H104" s="116">
        <f t="array" aca="1" ref="H104:T104" ca="1">MMULT(H103:T103, OFFSET(C.rngTPMroot, MIN(4, INT(($F103-70)/5))*13, $G104*16))</f>
        <v>1.6949464483465811E-3</v>
      </c>
      <c r="I104" s="116">
        <f ca="1"/>
        <v>0</v>
      </c>
      <c r="J104" s="116">
        <f ca="1"/>
        <v>5.5655765734337647E-5</v>
      </c>
      <c r="K104" s="116">
        <f ca="1"/>
        <v>6.4590012742322569E-6</v>
      </c>
      <c r="L104" s="116">
        <f ca="1"/>
        <v>2.4456795895561272E-6</v>
      </c>
      <c r="M104" s="116">
        <f ca="1"/>
        <v>2.8382769290623331E-7</v>
      </c>
      <c r="N104" s="116">
        <f ca="1"/>
        <v>1.3269456257570393E-5</v>
      </c>
      <c r="O104" s="116">
        <f ca="1"/>
        <v>1.5399560808331113E-6</v>
      </c>
      <c r="P104" s="116">
        <f ca="1"/>
        <v>5.0311762678449641E-3</v>
      </c>
      <c r="Q104" s="116">
        <f ca="1"/>
        <v>4.5218176431452015E-5</v>
      </c>
      <c r="R104" s="116">
        <f ca="1"/>
        <v>1.4736317181301049E-6</v>
      </c>
      <c r="S104" s="116">
        <f ca="1"/>
        <v>7.7502444918265355E-4</v>
      </c>
      <c r="T104" s="116">
        <f ca="1"/>
        <v>0.99237250733984517</v>
      </c>
      <c r="U104" s="283">
        <f t="shared" ca="1" si="26"/>
        <v>0.99999999999999833</v>
      </c>
      <c r="V104" s="418">
        <f t="shared" ca="1" si="30"/>
        <v>7.1370901581464165E-5</v>
      </c>
      <c r="W104" s="418">
        <f t="shared" ca="1" si="31"/>
        <v>4.6691808149582116E-5</v>
      </c>
      <c r="Y104" s="116">
        <f t="array" aca="1" ref="Y104:AK104" ca="1">MMULT(Y103:AK103, OFFSET(C.rngTPMroot, MIN(4, INT(($F103-70)/5))*13, $G104*16))</f>
        <v>3.154959555033214E-3</v>
      </c>
      <c r="Z104" s="116">
        <f ca="1"/>
        <v>0</v>
      </c>
      <c r="AA104" s="116">
        <f ca="1"/>
        <v>6.1525127946515787E-5</v>
      </c>
      <c r="AB104" s="116">
        <f ca="1"/>
        <v>7.1401565419244946E-6</v>
      </c>
      <c r="AC104" s="116">
        <f ca="1"/>
        <v>2.7035967914243929E-6</v>
      </c>
      <c r="AD104" s="116">
        <f ca="1"/>
        <v>3.1375967773356189E-7</v>
      </c>
      <c r="AE104" s="116">
        <f ca="1"/>
        <v>1.466883050221012E-5</v>
      </c>
      <c r="AF104" s="116">
        <f ca="1"/>
        <v>1.7023572249014487E-6</v>
      </c>
      <c r="AG104" s="116">
        <f ca="1"/>
        <v>4.2804886009219084E-3</v>
      </c>
      <c r="AH104" s="116">
        <f ca="1"/>
        <v>4.6096887998259845E-5</v>
      </c>
      <c r="AI104" s="116">
        <f ca="1"/>
        <v>1.4980653390681536E-6</v>
      </c>
      <c r="AJ104" s="116">
        <f ca="1"/>
        <v>6.2664066577372069E-4</v>
      </c>
      <c r="AK104" s="116">
        <f ca="1"/>
        <v>0.99180226239624913</v>
      </c>
      <c r="AL104" s="128">
        <f t="shared" ca="1" si="27"/>
        <v>1</v>
      </c>
      <c r="AM104" s="418">
        <f t="shared" ca="1" si="32"/>
        <v>7.8897555240150299E-5</v>
      </c>
      <c r="AN104" s="418">
        <f t="shared" ca="1" si="33"/>
        <v>4.7594953337327997E-5</v>
      </c>
    </row>
    <row r="105" spans="4:40" ht="12" customHeight="1" x14ac:dyDescent="0.25">
      <c r="D105" s="341">
        <f t="shared" si="28"/>
        <v>95</v>
      </c>
      <c r="E105" s="63">
        <f t="shared" si="24"/>
        <v>23.75</v>
      </c>
      <c r="F105" s="63">
        <f t="shared" si="29"/>
        <v>93.75</v>
      </c>
      <c r="G105" s="62">
        <f t="shared" si="25"/>
        <v>0</v>
      </c>
      <c r="H105" s="116">
        <f t="array" aca="1" ref="H105:T105" ca="1">MMULT(H104:T104, OFFSET(C.rngTPMroot, MIN(4, INT(($F104-70)/5))*13, $G105*16))</f>
        <v>1.4610828318016409E-3</v>
      </c>
      <c r="I105" s="116">
        <f ca="1"/>
        <v>0</v>
      </c>
      <c r="J105" s="116">
        <f ca="1"/>
        <v>4.8411180227041632E-5</v>
      </c>
      <c r="K105" s="116">
        <f ca="1"/>
        <v>5.6182476451066412E-6</v>
      </c>
      <c r="L105" s="116">
        <f ca="1"/>
        <v>2.1273309930322517E-6</v>
      </c>
      <c r="M105" s="116">
        <f ca="1"/>
        <v>2.4688248222648613E-7</v>
      </c>
      <c r="N105" s="116">
        <f ca="1"/>
        <v>1.1542201062625102E-5</v>
      </c>
      <c r="O105" s="116">
        <f ca="1"/>
        <v>1.3395034707957499E-6</v>
      </c>
      <c r="P105" s="116">
        <f ca="1"/>
        <v>4.3895156595933297E-3</v>
      </c>
      <c r="Q105" s="116">
        <f ca="1"/>
        <v>3.9073438766638863E-5</v>
      </c>
      <c r="R105" s="116">
        <f ca="1"/>
        <v>1.2730989907361621E-6</v>
      </c>
      <c r="S105" s="116">
        <f ca="1"/>
        <v>6.5883201197862971E-4</v>
      </c>
      <c r="T105" s="116">
        <f ca="1"/>
        <v>0.99338093761298663</v>
      </c>
      <c r="U105" s="283">
        <f t="shared" ca="1" si="26"/>
        <v>0.99999999999999845</v>
      </c>
      <c r="V105" s="418">
        <f t="shared" ca="1" si="30"/>
        <v>6.2080712282698984E-5</v>
      </c>
      <c r="W105" s="418">
        <f t="shared" ca="1" si="31"/>
        <v>4.0346537757375023E-5</v>
      </c>
      <c r="Y105" s="116">
        <f t="array" aca="1" ref="Y105:AK105" ca="1">MMULT(Y104:AK104, OFFSET(C.rngTPMroot, MIN(4, INT(($F104-70)/5))*13, $G105*16))</f>
        <v>2.719647718300652E-3</v>
      </c>
      <c r="Z105" s="116">
        <f ca="1"/>
        <v>0</v>
      </c>
      <c r="AA105" s="116">
        <f ca="1"/>
        <v>5.3516540797011075E-5</v>
      </c>
      <c r="AB105" s="116">
        <f ca="1"/>
        <v>6.2107384677870846E-6</v>
      </c>
      <c r="AC105" s="116">
        <f ca="1"/>
        <v>2.3516756944042329E-6</v>
      </c>
      <c r="AD105" s="116">
        <f ca="1"/>
        <v>2.729182880933142E-7</v>
      </c>
      <c r="AE105" s="116">
        <f ca="1"/>
        <v>1.2759421917795864E-5</v>
      </c>
      <c r="AF105" s="116">
        <f ca="1"/>
        <v>1.4807652241978677E-6</v>
      </c>
      <c r="AG105" s="116">
        <f ca="1"/>
        <v>3.7479449200786977E-3</v>
      </c>
      <c r="AH105" s="116">
        <f ca="1"/>
        <v>3.9941323219871206E-5</v>
      </c>
      <c r="AI105" s="116">
        <f ca="1"/>
        <v>1.2978387502120247E-6</v>
      </c>
      <c r="AJ105" s="116">
        <f ca="1"/>
        <v>5.3588889742852851E-4</v>
      </c>
      <c r="AK105" s="116">
        <f ca="1"/>
        <v>0.99287868724183281</v>
      </c>
      <c r="AL105" s="128">
        <f t="shared" ca="1" si="27"/>
        <v>1</v>
      </c>
      <c r="AM105" s="418">
        <f t="shared" ca="1" si="32"/>
        <v>6.8627638409211175E-5</v>
      </c>
      <c r="AN105" s="418">
        <f t="shared" ca="1" si="33"/>
        <v>4.1239161970083229E-5</v>
      </c>
    </row>
    <row r="106" spans="4:40" ht="12" customHeight="1" x14ac:dyDescent="0.25">
      <c r="D106" s="341">
        <f t="shared" si="28"/>
        <v>96</v>
      </c>
      <c r="E106" s="63">
        <f t="shared" ref="E106:E130" si="34">D106*C.cycleLength</f>
        <v>24</v>
      </c>
      <c r="F106" s="63">
        <f t="shared" si="29"/>
        <v>94</v>
      </c>
      <c r="G106" s="62">
        <f t="shared" ref="G106:G130" si="35">IF(AND(E105&lt;C.maxDurHPE, E106&gt;=C.maxDurHPE), 1, 0)</f>
        <v>0</v>
      </c>
      <c r="H106" s="116">
        <f t="array" aca="1" ref="H106:T106" ca="1">MMULT(H105:T105, OFFSET(C.rngTPMroot, MIN(4, INT(($F105-70)/5))*13, $G106*16))</f>
        <v>1.2594870141578582E-3</v>
      </c>
      <c r="I106" s="116">
        <f ca="1"/>
        <v>0</v>
      </c>
      <c r="J106" s="116">
        <f ca="1"/>
        <v>4.2109606076790751E-5</v>
      </c>
      <c r="K106" s="116">
        <f ca="1"/>
        <v>4.8869330197644567E-6</v>
      </c>
      <c r="L106" s="116">
        <f ca="1"/>
        <v>1.8504211153583446E-6</v>
      </c>
      <c r="M106" s="116">
        <f ca="1"/>
        <v>2.1474634629978573E-7</v>
      </c>
      <c r="N106" s="116">
        <f ca="1"/>
        <v>1.0039778780992548E-5</v>
      </c>
      <c r="O106" s="116">
        <f ca="1"/>
        <v>1.1651433249337646E-6</v>
      </c>
      <c r="P106" s="116">
        <f ca="1"/>
        <v>3.8295522662456492E-3</v>
      </c>
      <c r="Q106" s="116">
        <f ca="1"/>
        <v>3.3770938649938487E-5</v>
      </c>
      <c r="R106" s="116">
        <f ca="1"/>
        <v>1.1000964520055018E-6</v>
      </c>
      <c r="S106" s="116">
        <f ca="1"/>
        <v>5.6027180675996774E-4</v>
      </c>
      <c r="T106" s="116">
        <f ca="1"/>
        <v>0.99425555124906884</v>
      </c>
      <c r="U106" s="283">
        <f t="shared" ref="U106:U130" ca="1" si="36">SUM(H106:T106)</f>
        <v>0.99999999999999845</v>
      </c>
      <c r="V106" s="418">
        <f t="shared" ca="1" si="30"/>
        <v>5.3999805973141643E-5</v>
      </c>
      <c r="W106" s="418">
        <f t="shared" ca="1" si="31"/>
        <v>3.4871035101943987E-5</v>
      </c>
      <c r="Y106" s="116">
        <f t="array" aca="1" ref="Y106:AK106" ca="1">MMULT(Y105:AK105, OFFSET(C.rngTPMroot, MIN(4, INT(($F105-70)/5))*13, $G106*16))</f>
        <v>2.3443989004100167E-3</v>
      </c>
      <c r="Z106" s="116">
        <f ca="1"/>
        <v>0</v>
      </c>
      <c r="AA106" s="116">
        <f ca="1"/>
        <v>4.65504133752938E-5</v>
      </c>
      <c r="AB106" s="116">
        <f ca="1"/>
        <v>5.4023006482787227E-6</v>
      </c>
      <c r="AC106" s="116">
        <f ca="1"/>
        <v>2.0455633729088516E-6</v>
      </c>
      <c r="AD106" s="116">
        <f ca="1"/>
        <v>2.373931300344968E-7</v>
      </c>
      <c r="AE106" s="116">
        <f ca="1"/>
        <v>1.1098556742597876E-5</v>
      </c>
      <c r="AF106" s="116">
        <f ca="1"/>
        <v>1.2880173544778164E-6</v>
      </c>
      <c r="AG106" s="116">
        <f ca="1"/>
        <v>3.2813217903484688E-3</v>
      </c>
      <c r="AH106" s="116">
        <f ca="1"/>
        <v>3.4612442917521554E-5</v>
      </c>
      <c r="AI106" s="116">
        <f ca="1"/>
        <v>1.1245313785921735E-6</v>
      </c>
      <c r="AJ106" s="116">
        <f ca="1"/>
        <v>4.584543588084799E-4</v>
      </c>
      <c r="AK106" s="116">
        <f ca="1"/>
        <v>0.99381346573151341</v>
      </c>
      <c r="AL106" s="128">
        <f t="shared" ref="AL106:AL130" ca="1" si="37">SUM(Y106:AK106)</f>
        <v>1</v>
      </c>
      <c r="AM106" s="418">
        <f t="shared" ca="1" si="32"/>
        <v>5.9694533490800528E-5</v>
      </c>
      <c r="AN106" s="418">
        <f t="shared" ca="1" si="33"/>
        <v>3.5736974296113729E-5</v>
      </c>
    </row>
    <row r="107" spans="4:40" ht="12" customHeight="1" x14ac:dyDescent="0.25">
      <c r="D107" s="341">
        <f t="shared" ref="D107:D130" si="38">D106+1</f>
        <v>97</v>
      </c>
      <c r="E107" s="63">
        <f t="shared" si="34"/>
        <v>24.25</v>
      </c>
      <c r="F107" s="63">
        <f t="shared" ref="F107:F130" si="39">F106+C.cycleLength</f>
        <v>94.25</v>
      </c>
      <c r="G107" s="62">
        <f t="shared" si="35"/>
        <v>0</v>
      </c>
      <c r="H107" s="116">
        <f t="array" aca="1" ref="H107:T107" ca="1">MMULT(H106:T106, OFFSET(C.rngTPMroot, MIN(4, INT(($F106-70)/5))*13, $G107*16))</f>
        <v>1.0857067815082209E-3</v>
      </c>
      <c r="I107" s="116">
        <f ca="1"/>
        <v>0</v>
      </c>
      <c r="J107" s="116">
        <f ca="1"/>
        <v>3.6628293621976263E-5</v>
      </c>
      <c r="K107" s="116">
        <f ca="1"/>
        <v>4.2508119698968594E-6</v>
      </c>
      <c r="L107" s="116">
        <f ca="1"/>
        <v>1.6095559719568796E-6</v>
      </c>
      <c r="M107" s="116">
        <f ca="1"/>
        <v>1.8679329871125253E-7</v>
      </c>
      <c r="N107" s="116">
        <f ca="1"/>
        <v>8.7329234194039782E-6</v>
      </c>
      <c r="O107" s="116">
        <f ca="1"/>
        <v>1.0134792460307939E-6</v>
      </c>
      <c r="P107" s="116">
        <f ca="1"/>
        <v>3.3409037328829068E-3</v>
      </c>
      <c r="Q107" s="116">
        <f ca="1"/>
        <v>2.9194100098239578E-5</v>
      </c>
      <c r="R107" s="116">
        <f ca="1"/>
        <v>9.5080676189198883E-7</v>
      </c>
      <c r="S107" s="116">
        <f ca="1"/>
        <v>4.7663790909647895E-4</v>
      </c>
      <c r="T107" s="116">
        <f ca="1"/>
        <v>0.99501418481212267</v>
      </c>
      <c r="U107" s="283">
        <f t="shared" ca="1" si="36"/>
        <v>0.99999999999999833</v>
      </c>
      <c r="V107" s="418">
        <f t="shared" ca="1" si="30"/>
        <v>4.6970773013337117E-5</v>
      </c>
      <c r="W107" s="418">
        <f t="shared" ca="1" si="31"/>
        <v>3.0144906860131566E-5</v>
      </c>
      <c r="Y107" s="116">
        <f t="array" aca="1" ref="Y107:AK107" ca="1">MMULT(Y106:AK106, OFFSET(C.rngTPMroot, MIN(4, INT(($F106-70)/5))*13, $G107*16))</f>
        <v>2.0209257865492782E-3</v>
      </c>
      <c r="Z107" s="116">
        <f ca="1"/>
        <v>0</v>
      </c>
      <c r="AA107" s="116">
        <f ca="1"/>
        <v>4.049105104961785E-5</v>
      </c>
      <c r="AB107" s="116">
        <f ca="1"/>
        <v>4.6990953564965368E-6</v>
      </c>
      <c r="AC107" s="116">
        <f ca="1"/>
        <v>1.7792970019389874E-6</v>
      </c>
      <c r="AD107" s="116">
        <f ca="1"/>
        <v>2.0649220168165073E-7</v>
      </c>
      <c r="AE107" s="116">
        <f ca="1"/>
        <v>9.6538826415690173E-6</v>
      </c>
      <c r="AF107" s="116">
        <f ca="1"/>
        <v>1.1203590402622467E-6</v>
      </c>
      <c r="AG107" s="116">
        <f ca="1"/>
        <v>2.8725075293681997E-3</v>
      </c>
      <c r="AH107" s="116">
        <f ca="1"/>
        <v>2.9998474136024377E-5</v>
      </c>
      <c r="AI107" s="116">
        <f ca="1"/>
        <v>9.7449896530015216E-7</v>
      </c>
      <c r="AJ107" s="116">
        <f ca="1"/>
        <v>3.9235716885783952E-4</v>
      </c>
      <c r="AK107" s="116">
        <f ca="1"/>
        <v>0.99462528636483183</v>
      </c>
      <c r="AL107" s="128">
        <f t="shared" ca="1" si="37"/>
        <v>1</v>
      </c>
      <c r="AM107" s="418">
        <f t="shared" ca="1" si="32"/>
        <v>5.1924230693125857E-5</v>
      </c>
      <c r="AN107" s="418">
        <f t="shared" ca="1" si="33"/>
        <v>3.097297310132453E-5</v>
      </c>
    </row>
    <row r="108" spans="4:40" ht="12" customHeight="1" x14ac:dyDescent="0.25">
      <c r="D108" s="341">
        <f t="shared" si="38"/>
        <v>98</v>
      </c>
      <c r="E108" s="63">
        <f t="shared" si="34"/>
        <v>24.5</v>
      </c>
      <c r="F108" s="63">
        <f t="shared" si="39"/>
        <v>94.5</v>
      </c>
      <c r="G108" s="62">
        <f t="shared" si="35"/>
        <v>0</v>
      </c>
      <c r="H108" s="116">
        <f t="array" aca="1" ref="H108:T108" ca="1">MMULT(H107:T107, OFFSET(C.rngTPMroot, MIN(4, INT(($F107-70)/5))*13, $G108*16))</f>
        <v>9.3590422303885669E-4</v>
      </c>
      <c r="I108" s="116">
        <f ca="1"/>
        <v>0</v>
      </c>
      <c r="J108" s="116">
        <f ca="1"/>
        <v>3.1860471247608383E-5</v>
      </c>
      <c r="K108" s="116">
        <f ca="1"/>
        <v>3.6974933624707915E-6</v>
      </c>
      <c r="L108" s="116">
        <f ca="1"/>
        <v>1.4000437010579385E-6</v>
      </c>
      <c r="M108" s="116">
        <f ca="1"/>
        <v>1.6247883628586803E-7</v>
      </c>
      <c r="N108" s="116">
        <f ca="1"/>
        <v>7.5961784729319396E-6</v>
      </c>
      <c r="O108" s="116">
        <f ca="1"/>
        <v>8.8155693823636404E-7</v>
      </c>
      <c r="P108" s="116">
        <f ca="1"/>
        <v>2.9145043838611898E-3</v>
      </c>
      <c r="Q108" s="116">
        <f ca="1"/>
        <v>2.5242658990370055E-5</v>
      </c>
      <c r="R108" s="116">
        <f ca="1"/>
        <v>8.2194777197311707E-7</v>
      </c>
      <c r="S108" s="116">
        <f ca="1"/>
        <v>4.056439056877536E-4</v>
      </c>
      <c r="T108" s="116">
        <f ca="1"/>
        <v>0.99567228465808966</v>
      </c>
      <c r="U108" s="283">
        <f t="shared" ca="1" si="36"/>
        <v>0.99999999999999845</v>
      </c>
      <c r="V108" s="418">
        <f t="shared" ca="1" si="30"/>
        <v>4.0856693421598261E-5</v>
      </c>
      <c r="W108" s="418">
        <f t="shared" ca="1" si="31"/>
        <v>2.6064606762343172E-5</v>
      </c>
      <c r="Y108" s="116">
        <f t="array" aca="1" ref="Y108:AK108" ca="1">MMULT(Y107:AK107, OFFSET(C.rngTPMroot, MIN(4, INT(($F107-70)/5))*13, $G108*16))</f>
        <v>1.7420845206954905E-3</v>
      </c>
      <c r="Z108" s="116">
        <f ca="1"/>
        <v>0</v>
      </c>
      <c r="AA108" s="116">
        <f ca="1"/>
        <v>3.5220422252424552E-5</v>
      </c>
      <c r="AB108" s="116">
        <f ca="1"/>
        <v>4.087424711633349E-6</v>
      </c>
      <c r="AC108" s="116">
        <f ca="1"/>
        <v>1.5476899239777979E-6</v>
      </c>
      <c r="AD108" s="116">
        <f ca="1"/>
        <v>1.7961357748280006E-7</v>
      </c>
      <c r="AE108" s="116">
        <f ca="1"/>
        <v>8.3972585101522454E-6</v>
      </c>
      <c r="AF108" s="116">
        <f ca="1"/>
        <v>9.7452443069466448E-7</v>
      </c>
      <c r="AG108" s="116">
        <f ca="1"/>
        <v>2.5143816164640231E-3</v>
      </c>
      <c r="AH108" s="116">
        <f ca="1"/>
        <v>2.6002875448800214E-5</v>
      </c>
      <c r="AI108" s="116">
        <f ca="1"/>
        <v>8.4459458917129822E-7</v>
      </c>
      <c r="AJ108" s="116">
        <f ca="1"/>
        <v>3.3591552579705525E-4</v>
      </c>
      <c r="AK108" s="116">
        <f ca="1"/>
        <v>0.99533036393359908</v>
      </c>
      <c r="AL108" s="128">
        <f t="shared" ca="1" si="37"/>
        <v>1</v>
      </c>
      <c r="AM108" s="418">
        <f t="shared" ca="1" si="32"/>
        <v>4.5165370686554591E-5</v>
      </c>
      <c r="AN108" s="418">
        <f t="shared" ca="1" si="33"/>
        <v>2.6847470037971513E-5</v>
      </c>
    </row>
    <row r="109" spans="4:40" ht="12" customHeight="1" x14ac:dyDescent="0.25">
      <c r="D109" s="341">
        <f t="shared" si="38"/>
        <v>99</v>
      </c>
      <c r="E109" s="63">
        <f t="shared" si="34"/>
        <v>24.75</v>
      </c>
      <c r="F109" s="63">
        <f t="shared" si="39"/>
        <v>94.75</v>
      </c>
      <c r="G109" s="62">
        <f t="shared" si="35"/>
        <v>0</v>
      </c>
      <c r="H109" s="116">
        <f t="array" aca="1" ref="H109:T109" ca="1">MMULT(H108:T108, OFFSET(C.rngTPMroot, MIN(4, INT(($F108-70)/5))*13, $G109*16))</f>
        <v>8.0677097133461501E-4</v>
      </c>
      <c r="I109" s="116">
        <f ca="1"/>
        <v>0</v>
      </c>
      <c r="J109" s="116">
        <f ca="1"/>
        <v>2.7713265559022564E-5</v>
      </c>
      <c r="K109" s="116">
        <f ca="1"/>
        <v>3.2161989902948536E-6</v>
      </c>
      <c r="L109" s="116">
        <f ca="1"/>
        <v>1.2178031699568147E-6</v>
      </c>
      <c r="M109" s="116">
        <f ca="1"/>
        <v>1.4132933259890867E-7</v>
      </c>
      <c r="N109" s="116">
        <f ca="1"/>
        <v>6.6074010524842975E-6</v>
      </c>
      <c r="O109" s="116">
        <f ca="1"/>
        <v>7.6680665972814565E-7</v>
      </c>
      <c r="P109" s="116">
        <f ca="1"/>
        <v>2.5424386308861031E-3</v>
      </c>
      <c r="Q109" s="116">
        <f ca="1"/>
        <v>2.1830353472804848E-5</v>
      </c>
      <c r="R109" s="116">
        <f ca="1"/>
        <v>7.1069658752944275E-7</v>
      </c>
      <c r="S109" s="116">
        <f ca="1"/>
        <v>3.4535726562394755E-4</v>
      </c>
      <c r="T109" s="116">
        <f ca="1"/>
        <v>0.99624322927732933</v>
      </c>
      <c r="U109" s="283">
        <f t="shared" ca="1" si="36"/>
        <v>0.99999999999999845</v>
      </c>
      <c r="V109" s="418">
        <f t="shared" ca="1" si="30"/>
        <v>3.5538469781463673E-5</v>
      </c>
      <c r="W109" s="418">
        <f t="shared" ca="1" si="31"/>
        <v>2.2541050060334292E-5</v>
      </c>
      <c r="Y109" s="116">
        <f t="array" aca="1" ref="Y109:AK109" ca="1">MMULT(Y108:AK108, OFFSET(C.rngTPMroot, MIN(4, INT(($F108-70)/5))*13, $G109*16))</f>
        <v>1.5017169346078977E-3</v>
      </c>
      <c r="Z109" s="116">
        <f ca="1"/>
        <v>0</v>
      </c>
      <c r="AA109" s="116">
        <f ca="1"/>
        <v>3.0635859319112186E-5</v>
      </c>
      <c r="AB109" s="116">
        <f ca="1"/>
        <v>3.5553738551343411E-6</v>
      </c>
      <c r="AC109" s="116">
        <f ca="1"/>
        <v>1.3462306170201364E-6</v>
      </c>
      <c r="AD109" s="116">
        <f ca="1"/>
        <v>1.5623368317756956E-7</v>
      </c>
      <c r="AE109" s="116">
        <f ca="1"/>
        <v>7.3042063079051339E-6</v>
      </c>
      <c r="AF109" s="116">
        <f ca="1"/>
        <v>8.4767278335921757E-7</v>
      </c>
      <c r="AG109" s="116">
        <f ca="1"/>
        <v>2.2006946049245974E-3</v>
      </c>
      <c r="AH109" s="116">
        <f ca="1"/>
        <v>2.254224254113901E-5</v>
      </c>
      <c r="AI109" s="116">
        <f ca="1"/>
        <v>7.3210016640741079E-7</v>
      </c>
      <c r="AJ109" s="116">
        <f ca="1"/>
        <v>2.8770029523607327E-4</v>
      </c>
      <c r="AK109" s="116">
        <f ca="1"/>
        <v>0.99594276824595818</v>
      </c>
      <c r="AL109" s="128">
        <f t="shared" ca="1" si="37"/>
        <v>1</v>
      </c>
      <c r="AM109" s="418">
        <f t="shared" ca="1" si="32"/>
        <v>3.9286296244037456E-5</v>
      </c>
      <c r="AN109" s="418">
        <f t="shared" ca="1" si="33"/>
        <v>2.3274342707546421E-5</v>
      </c>
    </row>
    <row r="110" spans="4:40" ht="12" customHeight="1" x14ac:dyDescent="0.25">
      <c r="D110" s="341">
        <f t="shared" si="38"/>
        <v>100</v>
      </c>
      <c r="E110" s="63">
        <f t="shared" si="34"/>
        <v>25</v>
      </c>
      <c r="F110" s="63">
        <f t="shared" si="39"/>
        <v>95</v>
      </c>
      <c r="G110" s="62">
        <f t="shared" si="35"/>
        <v>0</v>
      </c>
      <c r="H110" s="116">
        <f t="array" aca="1" ref="H110:T110" ca="1">MMULT(H109:T109, OFFSET(C.rngTPMroot, MIN(4, INT(($F109-70)/5))*13, $G110*16))</f>
        <v>6.9545513757252823E-4</v>
      </c>
      <c r="I110" s="116">
        <f ca="1"/>
        <v>0</v>
      </c>
      <c r="J110" s="116">
        <f ca="1"/>
        <v>2.4105892281883878E-5</v>
      </c>
      <c r="K110" s="116">
        <f ca="1"/>
        <v>2.7975536211000705E-6</v>
      </c>
      <c r="L110" s="116">
        <f ca="1"/>
        <v>1.0592844777889497E-6</v>
      </c>
      <c r="M110" s="116">
        <f ca="1"/>
        <v>1.2293281210920532E-7</v>
      </c>
      <c r="N110" s="116">
        <f ca="1"/>
        <v>5.747330558904018E-6</v>
      </c>
      <c r="O110" s="116">
        <f ca="1"/>
        <v>6.6699316618138047E-7</v>
      </c>
      <c r="P110" s="116">
        <f ca="1"/>
        <v>2.2177954040728176E-3</v>
      </c>
      <c r="Q110" s="116">
        <f ca="1"/>
        <v>1.888294551945536E-5</v>
      </c>
      <c r="R110" s="116">
        <f ca="1"/>
        <v>6.1462454187582719E-7</v>
      </c>
      <c r="S110" s="116">
        <f ca="1"/>
        <v>2.941440598319078E-4</v>
      </c>
      <c r="T110" s="116">
        <f ca="1"/>
        <v>0.99673860784154189</v>
      </c>
      <c r="U110" s="283">
        <f t="shared" ca="1" si="36"/>
        <v>0.99999999999999845</v>
      </c>
      <c r="V110" s="418">
        <f t="shared" ca="1" si="30"/>
        <v>3.0912507318576842E-5</v>
      </c>
      <c r="W110" s="418">
        <f t="shared" ca="1" si="31"/>
        <v>1.9497570061331188E-5</v>
      </c>
      <c r="Y110" s="116">
        <f t="array" aca="1" ref="Y110:AK110" ca="1">MMULT(Y109:AK109, OFFSET(C.rngTPMroot, MIN(4, INT(($F109-70)/5))*13, $G110*16))</f>
        <v>1.2945145455903705E-3</v>
      </c>
      <c r="Z110" s="116">
        <f ca="1"/>
        <v>0</v>
      </c>
      <c r="AA110" s="116">
        <f ca="1"/>
        <v>2.6648058603437762E-5</v>
      </c>
      <c r="AB110" s="116">
        <f ca="1"/>
        <v>3.0925788587116415E-6</v>
      </c>
      <c r="AC110" s="116">
        <f ca="1"/>
        <v>1.1709948137056013E-6</v>
      </c>
      <c r="AD110" s="116">
        <f ca="1"/>
        <v>1.3589709698625988E-7</v>
      </c>
      <c r="AE110" s="116">
        <f ca="1"/>
        <v>6.3534342457052537E-6</v>
      </c>
      <c r="AF110" s="116">
        <f ca="1"/>
        <v>7.3733312887370465E-7</v>
      </c>
      <c r="AG110" s="116">
        <f ca="1"/>
        <v>1.925962433749844E-3</v>
      </c>
      <c r="AH110" s="116">
        <f ca="1"/>
        <v>1.9544504726249891E-5</v>
      </c>
      <c r="AI110" s="116">
        <f ca="1"/>
        <v>6.3466748314273641E-7</v>
      </c>
      <c r="AJ110" s="116">
        <f ca="1"/>
        <v>2.4649659245701972E-4</v>
      </c>
      <c r="AK110" s="116">
        <f ca="1"/>
        <v>0.99647470895924595</v>
      </c>
      <c r="AL110" s="128">
        <f t="shared" ca="1" si="37"/>
        <v>1</v>
      </c>
      <c r="AM110" s="418">
        <f t="shared" ca="1" si="32"/>
        <v>3.4172487662848617E-5</v>
      </c>
      <c r="AN110" s="418">
        <f t="shared" ca="1" si="33"/>
        <v>2.0179172209392628E-5</v>
      </c>
    </row>
    <row r="111" spans="4:40" ht="12" customHeight="1" x14ac:dyDescent="0.25">
      <c r="D111" s="341">
        <f t="shared" si="38"/>
        <v>101</v>
      </c>
      <c r="E111" s="63">
        <f t="shared" si="34"/>
        <v>25.25</v>
      </c>
      <c r="F111" s="63">
        <f t="shared" si="39"/>
        <v>95.25</v>
      </c>
      <c r="G111" s="62">
        <f t="shared" si="35"/>
        <v>0</v>
      </c>
      <c r="H111" s="116">
        <f t="array" aca="1" ref="H111:T111" ca="1">MMULT(H110:T110, OFFSET(C.rngTPMroot, MIN(4, INT(($F110-70)/5))*13, $G111*16))</f>
        <v>5.9949832797767211E-4</v>
      </c>
      <c r="I111" s="116">
        <f ca="1"/>
        <v>0</v>
      </c>
      <c r="J111" s="116">
        <f ca="1"/>
        <v>2.0968082648657872E-5</v>
      </c>
      <c r="K111" s="116">
        <f ca="1"/>
        <v>2.4334023754583106E-6</v>
      </c>
      <c r="L111" s="116">
        <f ca="1"/>
        <v>9.2139980627936694E-7</v>
      </c>
      <c r="M111" s="116">
        <f ca="1"/>
        <v>1.0693092520267004E-7</v>
      </c>
      <c r="N111" s="116">
        <f ca="1"/>
        <v>4.9992135017886411E-6</v>
      </c>
      <c r="O111" s="116">
        <f ca="1"/>
        <v>5.8017216998400201E-7</v>
      </c>
      <c r="P111" s="116">
        <f ca="1"/>
        <v>1.9345409608054226E-3</v>
      </c>
      <c r="Q111" s="116">
        <f ca="1"/>
        <v>1.633652554074516E-5</v>
      </c>
      <c r="R111" s="116">
        <f ca="1"/>
        <v>5.3164149419841173E-7</v>
      </c>
      <c r="S111" s="116">
        <f ca="1"/>
        <v>2.506223859674302E-4</v>
      </c>
      <c r="T111" s="116">
        <f ca="1"/>
        <v>0.99716846095678557</v>
      </c>
      <c r="U111" s="283">
        <f t="shared" ca="1" si="36"/>
        <v>0.99999999999999845</v>
      </c>
      <c r="V111" s="418">
        <f t="shared" ca="1" si="30"/>
        <v>2.6888695956725881E-5</v>
      </c>
      <c r="W111" s="418">
        <f t="shared" ca="1" si="31"/>
        <v>1.686816703494357E-5</v>
      </c>
      <c r="Y111" s="116">
        <f t="array" aca="1" ref="Y111:AK111" ca="1">MMULT(Y110:AK110, OFFSET(C.rngTPMroot, MIN(4, INT(($F110-70)/5))*13, $G111*16))</f>
        <v>1.1159013194338057E-3</v>
      </c>
      <c r="Z111" s="116">
        <f ca="1"/>
        <v>0</v>
      </c>
      <c r="AA111" s="116">
        <f ca="1"/>
        <v>2.3179340913386608E-5</v>
      </c>
      <c r="AB111" s="116">
        <f ca="1"/>
        <v>2.6900248432492387E-6</v>
      </c>
      <c r="AC111" s="116">
        <f ca="1"/>
        <v>1.0185690597058418E-6</v>
      </c>
      <c r="AD111" s="116">
        <f ca="1"/>
        <v>1.1820767835513961E-7</v>
      </c>
      <c r="AE111" s="116">
        <f ca="1"/>
        <v>5.5264220386016727E-6</v>
      </c>
      <c r="AF111" s="116">
        <f ca="1"/>
        <v>6.4135613836772298E-7</v>
      </c>
      <c r="AG111" s="116">
        <f ca="1"/>
        <v>1.6853734345255776E-3</v>
      </c>
      <c r="AH111" s="116">
        <f ca="1"/>
        <v>1.6947371525217989E-5</v>
      </c>
      <c r="AI111" s="116">
        <f ca="1"/>
        <v>5.5026741910184303E-7</v>
      </c>
      <c r="AJ111" s="116">
        <f ca="1"/>
        <v>2.1127127104965653E-4</v>
      </c>
      <c r="AK111" s="116">
        <f ca="1"/>
        <v>0.99693678241537498</v>
      </c>
      <c r="AL111" s="128">
        <f t="shared" ca="1" si="37"/>
        <v>1</v>
      </c>
      <c r="AM111" s="418">
        <f t="shared" ca="1" si="32"/>
        <v>2.972433201169412E-5</v>
      </c>
      <c r="AN111" s="418">
        <f t="shared" ca="1" si="33"/>
        <v>1.7497638944319832E-5</v>
      </c>
    </row>
    <row r="112" spans="4:40" ht="12" customHeight="1" x14ac:dyDescent="0.25">
      <c r="D112" s="341">
        <f t="shared" si="38"/>
        <v>102</v>
      </c>
      <c r="E112" s="63">
        <f t="shared" si="34"/>
        <v>25.5</v>
      </c>
      <c r="F112" s="63">
        <f t="shared" si="39"/>
        <v>95.5</v>
      </c>
      <c r="G112" s="62">
        <f t="shared" si="35"/>
        <v>0</v>
      </c>
      <c r="H112" s="116">
        <f t="array" aca="1" ref="H112:T112" ca="1">MMULT(H111:T111, OFFSET(C.rngTPMroot, MIN(4, INT(($F111-70)/5))*13, $G112*16))</f>
        <v>5.167813505591413E-4</v>
      </c>
      <c r="I112" s="116">
        <f ca="1"/>
        <v>0</v>
      </c>
      <c r="J112" s="116">
        <f ca="1"/>
        <v>1.8238714618805544E-5</v>
      </c>
      <c r="K112" s="116">
        <f ca="1"/>
        <v>2.1166518762052119E-6</v>
      </c>
      <c r="L112" s="116">
        <f ca="1"/>
        <v>8.0146327149410358E-7</v>
      </c>
      <c r="M112" s="116">
        <f ca="1"/>
        <v>9.3011967826308366E-8</v>
      </c>
      <c r="N112" s="116">
        <f ca="1"/>
        <v>4.3484771547978795E-6</v>
      </c>
      <c r="O112" s="116">
        <f ca="1"/>
        <v>5.0465246705752864E-7</v>
      </c>
      <c r="P112" s="116">
        <f ca="1"/>
        <v>1.6874077589259903E-3</v>
      </c>
      <c r="Q112" s="116">
        <f ca="1"/>
        <v>1.4136059017763407E-5</v>
      </c>
      <c r="R112" s="116">
        <f ca="1"/>
        <v>4.599480965267742E-7</v>
      </c>
      <c r="S112" s="116">
        <f ca="1"/>
        <v>2.1362311828952241E-4</v>
      </c>
      <c r="T112" s="116">
        <f ca="1"/>
        <v>0.99754148879375326</v>
      </c>
      <c r="U112" s="283">
        <f t="shared" ca="1" si="36"/>
        <v>0.99999999999999845</v>
      </c>
      <c r="V112" s="418">
        <f t="shared" ca="1" si="30"/>
        <v>2.338865504509753E-5</v>
      </c>
      <c r="W112" s="418">
        <f t="shared" ca="1" si="31"/>
        <v>1.4596007114290181E-5</v>
      </c>
      <c r="Y112" s="116">
        <f t="array" aca="1" ref="Y112:AK112" ca="1">MMULT(Y111:AK111, OFFSET(C.rngTPMroot, MIN(4, INT(($F111-70)/5))*13, $G112*16))</f>
        <v>9.6193260937536384E-4</v>
      </c>
      <c r="Z112" s="116">
        <f ca="1"/>
        <v>0</v>
      </c>
      <c r="AA112" s="116">
        <f ca="1"/>
        <v>2.0162138382181644E-5</v>
      </c>
      <c r="AB112" s="116">
        <f ca="1"/>
        <v>2.3398703761147373E-6</v>
      </c>
      <c r="AC112" s="116">
        <f ca="1"/>
        <v>8.8598422234419524E-7</v>
      </c>
      <c r="AD112" s="116">
        <f ca="1"/>
        <v>1.0282085145295568E-7</v>
      </c>
      <c r="AE112" s="116">
        <f ca="1"/>
        <v>4.8070601453674241E-6</v>
      </c>
      <c r="AF112" s="116">
        <f ca="1"/>
        <v>5.5787225626262959E-7</v>
      </c>
      <c r="AG112" s="116">
        <f ca="1"/>
        <v>1.4747065274700927E-3</v>
      </c>
      <c r="AH112" s="116">
        <f ca="1"/>
        <v>1.469699425301739E-5</v>
      </c>
      <c r="AI112" s="116">
        <f ca="1"/>
        <v>4.7714621170301297E-7</v>
      </c>
      <c r="AJ112" s="116">
        <f ca="1"/>
        <v>1.8114540074079156E-4</v>
      </c>
      <c r="AK112" s="116">
        <f ca="1"/>
        <v>0.9973381855757153</v>
      </c>
      <c r="AL112" s="128">
        <f t="shared" ca="1" si="37"/>
        <v>1</v>
      </c>
      <c r="AM112" s="418">
        <f t="shared" ca="1" si="32"/>
        <v>2.5855182749893264E-5</v>
      </c>
      <c r="AN112" s="418">
        <f t="shared" ca="1" si="33"/>
        <v>1.5174140464720404E-5</v>
      </c>
    </row>
    <row r="113" spans="4:40" ht="12" customHeight="1" x14ac:dyDescent="0.25">
      <c r="D113" s="341">
        <f t="shared" si="38"/>
        <v>103</v>
      </c>
      <c r="E113" s="63">
        <f t="shared" si="34"/>
        <v>25.75</v>
      </c>
      <c r="F113" s="63">
        <f t="shared" si="39"/>
        <v>95.75</v>
      </c>
      <c r="G113" s="62">
        <f t="shared" si="35"/>
        <v>0</v>
      </c>
      <c r="H113" s="116">
        <f t="array" aca="1" ref="H113:T113" ca="1">MMULT(H112:T112, OFFSET(C.rngTPMroot, MIN(4, INT(($F112-70)/5))*13, $G113*16))</f>
        <v>4.4547741306740835E-4</v>
      </c>
      <c r="I113" s="116">
        <f ca="1"/>
        <v>0</v>
      </c>
      <c r="J113" s="116">
        <f ca="1"/>
        <v>1.5864622269958644E-5</v>
      </c>
      <c r="K113" s="116">
        <f ca="1"/>
        <v>1.8411320750844721E-6</v>
      </c>
      <c r="L113" s="116">
        <f ca="1"/>
        <v>6.9713860495350893E-7</v>
      </c>
      <c r="M113" s="116">
        <f ca="1"/>
        <v>8.0904809740729734E-8</v>
      </c>
      <c r="N113" s="116">
        <f ca="1"/>
        <v>3.7824456905138414E-6</v>
      </c>
      <c r="O113" s="116">
        <f ca="1"/>
        <v>4.3896299354426559E-7</v>
      </c>
      <c r="P113" s="116">
        <f ca="1"/>
        <v>1.4717973710603467E-3</v>
      </c>
      <c r="Q113" s="116">
        <f ca="1"/>
        <v>1.2234140162071567E-5</v>
      </c>
      <c r="R113" s="116">
        <f ca="1"/>
        <v>3.9799487482170278E-7</v>
      </c>
      <c r="S113" s="116">
        <f ca="1"/>
        <v>1.8215682225261834E-4</v>
      </c>
      <c r="T113" s="116">
        <f ca="1"/>
        <v>0.99786523105213731</v>
      </c>
      <c r="U113" s="283">
        <f t="shared" ca="1" si="36"/>
        <v>0.99999999999999833</v>
      </c>
      <c r="V113" s="418">
        <f t="shared" ca="1" si="30"/>
        <v>2.0344206565425996E-5</v>
      </c>
      <c r="W113" s="418">
        <f t="shared" ca="1" si="31"/>
        <v>1.263213503689327E-5</v>
      </c>
      <c r="Y113" s="116">
        <f t="array" aca="1" ref="Y113:AK113" ca="1">MMULT(Y112:AK112, OFFSET(C.rngTPMroot, MIN(4, INT(($F112-70)/5))*13, $G113*16))</f>
        <v>8.292080391563559E-4</v>
      </c>
      <c r="Z113" s="116">
        <f ca="1"/>
        <v>0</v>
      </c>
      <c r="AA113" s="116">
        <f ca="1"/>
        <v>1.7537678299880915E-5</v>
      </c>
      <c r="AB113" s="116">
        <f ca="1"/>
        <v>2.0352947262770123E-6</v>
      </c>
      <c r="AC113" s="116">
        <f ca="1"/>
        <v>7.7065765424834668E-7</v>
      </c>
      <c r="AD113" s="116">
        <f ca="1"/>
        <v>8.9436893107300497E-8</v>
      </c>
      <c r="AE113" s="116">
        <f ca="1"/>
        <v>4.1813359674258168E-6</v>
      </c>
      <c r="AF113" s="116">
        <f ca="1"/>
        <v>4.8525528281311555E-7</v>
      </c>
      <c r="AG113" s="116">
        <f ca="1"/>
        <v>1.2902592765059826E-3</v>
      </c>
      <c r="AH113" s="116">
        <f ca="1"/>
        <v>1.2746812526886337E-5</v>
      </c>
      <c r="AI113" s="116">
        <f ca="1"/>
        <v>4.1378777356791317E-7</v>
      </c>
      <c r="AJ113" s="116">
        <f ca="1"/>
        <v>1.5537096094243681E-4</v>
      </c>
      <c r="AK113" s="116">
        <f ca="1"/>
        <v>0.99768690146427097</v>
      </c>
      <c r="AL113" s="128">
        <f t="shared" ca="1" si="37"/>
        <v>1</v>
      </c>
      <c r="AM113" s="418">
        <f t="shared" ca="1" si="32"/>
        <v>2.2489671921555079E-5</v>
      </c>
      <c r="AN113" s="418">
        <f t="shared" ca="1" si="33"/>
        <v>1.3160600300454251E-5</v>
      </c>
    </row>
    <row r="114" spans="4:40" ht="12" customHeight="1" x14ac:dyDescent="0.25">
      <c r="D114" s="341">
        <f t="shared" si="38"/>
        <v>104</v>
      </c>
      <c r="E114" s="63">
        <f t="shared" si="34"/>
        <v>26</v>
      </c>
      <c r="F114" s="63">
        <f t="shared" si="39"/>
        <v>96</v>
      </c>
      <c r="G114" s="62">
        <f t="shared" si="35"/>
        <v>0</v>
      </c>
      <c r="H114" s="116">
        <f t="array" aca="1" ref="H114:T114" ca="1">MMULT(H113:T113, OFFSET(C.rngTPMroot, MIN(4, INT(($F113-70)/5))*13, $G114*16))</f>
        <v>3.8401177855685681E-4</v>
      </c>
      <c r="I114" s="116">
        <f ca="1"/>
        <v>0</v>
      </c>
      <c r="J114" s="116">
        <f ca="1"/>
        <v>1.3799560167960492E-5</v>
      </c>
      <c r="K114" s="116">
        <f ca="1"/>
        <v>1.6014760651062359E-6</v>
      </c>
      <c r="L114" s="116">
        <f ca="1"/>
        <v>6.0639364497703011E-7</v>
      </c>
      <c r="M114" s="116">
        <f ca="1"/>
        <v>7.0373613118335311E-8</v>
      </c>
      <c r="N114" s="116">
        <f ca="1"/>
        <v>3.2900932653863111E-6</v>
      </c>
      <c r="O114" s="116">
        <f ca="1"/>
        <v>3.8182417065123964E-7</v>
      </c>
      <c r="P114" s="116">
        <f ca="1"/>
        <v>1.2836956708782686E-3</v>
      </c>
      <c r="Q114" s="116">
        <f ca="1"/>
        <v>1.0589922730124506E-5</v>
      </c>
      <c r="R114" s="116">
        <f ca="1"/>
        <v>3.4444713878431644E-7</v>
      </c>
      <c r="S114" s="116">
        <f ca="1"/>
        <v>1.5538585845439615E-4</v>
      </c>
      <c r="T114" s="116">
        <f ca="1"/>
        <v>0.99814622260131269</v>
      </c>
      <c r="U114" s="283">
        <f t="shared" ca="1" si="36"/>
        <v>0.99999999999999833</v>
      </c>
      <c r="V114" s="418">
        <f t="shared" ca="1" si="30"/>
        <v>1.7696047078323832E-5</v>
      </c>
      <c r="W114" s="418">
        <f t="shared" ca="1" si="31"/>
        <v>1.0934369868908823E-5</v>
      </c>
      <c r="Y114" s="116">
        <f t="array" aca="1" ref="Y114:AK114" ca="1">MMULT(Y113:AK113, OFFSET(C.rngTPMroot, MIN(4, INT(($F113-70)/5))*13, $G114*16))</f>
        <v>7.1479640621396163E-4</v>
      </c>
      <c r="Z114" s="116">
        <f ca="1"/>
        <v>0</v>
      </c>
      <c r="AA114" s="116">
        <f ca="1"/>
        <v>1.525483826764775E-5</v>
      </c>
      <c r="AB114" s="116">
        <f ca="1"/>
        <v>1.7703650018807239E-6</v>
      </c>
      <c r="AC114" s="116">
        <f ca="1"/>
        <v>6.7034288542988912E-7</v>
      </c>
      <c r="AD114" s="116">
        <f ca="1"/>
        <v>7.7795094435164367E-8</v>
      </c>
      <c r="AE114" s="116">
        <f ca="1"/>
        <v>3.6370608945548041E-6</v>
      </c>
      <c r="AF114" s="116">
        <f ca="1"/>
        <v>4.2209069702721197E-7</v>
      </c>
      <c r="AG114" s="116">
        <f ca="1"/>
        <v>1.1287846289230572E-3</v>
      </c>
      <c r="AH114" s="116">
        <f ca="1"/>
        <v>1.1056559872769091E-5</v>
      </c>
      <c r="AI114" s="116">
        <f ca="1"/>
        <v>3.5888121644362743E-7</v>
      </c>
      <c r="AJ114" s="116">
        <f ca="1"/>
        <v>1.3331109754384778E-4</v>
      </c>
      <c r="AK114" s="116">
        <f ca="1"/>
        <v>0.99798985993338885</v>
      </c>
      <c r="AL114" s="128">
        <f t="shared" ca="1" si="37"/>
        <v>0.99999999999999989</v>
      </c>
      <c r="AM114" s="418">
        <f t="shared" ca="1" si="32"/>
        <v>1.9562242047632446E-5</v>
      </c>
      <c r="AN114" s="418">
        <f t="shared" ca="1" si="33"/>
        <v>1.1415441089212718E-5</v>
      </c>
    </row>
    <row r="115" spans="4:40" ht="12" customHeight="1" x14ac:dyDescent="0.25">
      <c r="D115" s="341">
        <f t="shared" si="38"/>
        <v>105</v>
      </c>
      <c r="E115" s="63">
        <f t="shared" si="34"/>
        <v>26.25</v>
      </c>
      <c r="F115" s="63">
        <f t="shared" si="39"/>
        <v>96.25</v>
      </c>
      <c r="G115" s="62">
        <f t="shared" si="35"/>
        <v>0</v>
      </c>
      <c r="H115" s="116">
        <f t="array" aca="1" ref="H115:T115" ca="1">MMULT(H114:T114, OFFSET(C.rngTPMroot, MIN(4, INT(($F114-70)/5))*13, $G115*16))</f>
        <v>3.3102698755253492E-4</v>
      </c>
      <c r="I115" s="116">
        <f ca="1"/>
        <v>0</v>
      </c>
      <c r="J115" s="116">
        <f ca="1"/>
        <v>1.2003302542523013E-5</v>
      </c>
      <c r="K115" s="116">
        <f ca="1"/>
        <v>1.3930155374597347E-6</v>
      </c>
      <c r="L115" s="116">
        <f ca="1"/>
        <v>5.2746075178701459E-7</v>
      </c>
      <c r="M115" s="116">
        <f ca="1"/>
        <v>6.1213238609668676E-8</v>
      </c>
      <c r="N115" s="116">
        <f ca="1"/>
        <v>2.8618292450538353E-6</v>
      </c>
      <c r="O115" s="116">
        <f ca="1"/>
        <v>3.321229794711735E-7</v>
      </c>
      <c r="P115" s="116">
        <f ca="1"/>
        <v>1.1195987443071331E-3</v>
      </c>
      <c r="Q115" s="116">
        <f ca="1"/>
        <v>9.1682024883097035E-6</v>
      </c>
      <c r="R115" s="116">
        <f ca="1"/>
        <v>2.9815487937983008E-7</v>
      </c>
      <c r="S115" s="116">
        <f ca="1"/>
        <v>1.3260085586181084E-4</v>
      </c>
      <c r="T115" s="116">
        <f ca="1"/>
        <v>0.99839012811061423</v>
      </c>
      <c r="U115" s="283">
        <f t="shared" ca="1" si="36"/>
        <v>0.99999999999999833</v>
      </c>
      <c r="V115" s="418">
        <f t="shared" ca="1" si="30"/>
        <v>1.5392592539363862E-5</v>
      </c>
      <c r="W115" s="418">
        <f t="shared" ca="1" si="31"/>
        <v>9.4663573676895337E-6</v>
      </c>
      <c r="Y115" s="116">
        <f t="array" aca="1" ref="Y115:AK115" ca="1">MMULT(Y114:AK114, OFFSET(C.rngTPMroot, MIN(4, INT(($F114-70)/5))*13, $G115*16))</f>
        <v>6.1617094650484074E-4</v>
      </c>
      <c r="Z115" s="116">
        <f ca="1"/>
        <v>0</v>
      </c>
      <c r="AA115" s="116">
        <f ca="1"/>
        <v>1.326915037400762E-5</v>
      </c>
      <c r="AB115" s="116">
        <f ca="1"/>
        <v>1.5399205822231174E-6</v>
      </c>
      <c r="AC115" s="116">
        <f ca="1"/>
        <v>5.830858638324275E-7</v>
      </c>
      <c r="AD115" s="116">
        <f ca="1"/>
        <v>6.7668682440872119E-8</v>
      </c>
      <c r="AE115" s="116">
        <f ca="1"/>
        <v>3.1636328804364332E-6</v>
      </c>
      <c r="AF115" s="116">
        <f ca="1"/>
        <v>3.6714810292035889E-7</v>
      </c>
      <c r="AG115" s="116">
        <f ca="1"/>
        <v>9.8743530304694891E-4</v>
      </c>
      <c r="AH115" s="116">
        <f ca="1"/>
        <v>9.5914062542290879E-6</v>
      </c>
      <c r="AI115" s="116">
        <f ca="1"/>
        <v>3.1129285446472564E-7</v>
      </c>
      <c r="AJ115" s="116">
        <f ca="1"/>
        <v>1.1442339239425985E-4</v>
      </c>
      <c r="AK115" s="116">
        <f ca="1"/>
        <v>0.99825307705245925</v>
      </c>
      <c r="AL115" s="128">
        <f t="shared" ca="1" si="37"/>
        <v>0.99999999999999989</v>
      </c>
      <c r="AM115" s="418">
        <f t="shared" ca="1" si="32"/>
        <v>1.7015869118276482E-5</v>
      </c>
      <c r="AN115" s="418">
        <f t="shared" ca="1" si="33"/>
        <v>9.9026991086938138E-6</v>
      </c>
    </row>
    <row r="116" spans="4:40" ht="12" customHeight="1" x14ac:dyDescent="0.25">
      <c r="D116" s="341">
        <f t="shared" si="38"/>
        <v>106</v>
      </c>
      <c r="E116" s="63">
        <f t="shared" si="34"/>
        <v>26.5</v>
      </c>
      <c r="F116" s="63">
        <f t="shared" si="39"/>
        <v>96.5</v>
      </c>
      <c r="G116" s="62">
        <f t="shared" si="35"/>
        <v>0</v>
      </c>
      <c r="H116" s="116">
        <f t="array" aca="1" ref="H116:T116" ca="1">MMULT(H115:T115, OFFSET(C.rngTPMroot, MIN(4, INT(($F115-70)/5))*13, $G116*16))</f>
        <v>2.8535287875781093E-4</v>
      </c>
      <c r="I116" s="116">
        <f ca="1"/>
        <v>0</v>
      </c>
      <c r="J116" s="116">
        <f ca="1"/>
        <v>1.0440859721156872E-5</v>
      </c>
      <c r="K116" s="116">
        <f ca="1"/>
        <v>1.2116898465638378E-6</v>
      </c>
      <c r="L116" s="116">
        <f ca="1"/>
        <v>4.5880237528917598E-7</v>
      </c>
      <c r="M116" s="116">
        <f ca="1"/>
        <v>5.3245249391749126E-8</v>
      </c>
      <c r="N116" s="116">
        <f ca="1"/>
        <v>2.4893113864003963E-6</v>
      </c>
      <c r="O116" s="116">
        <f ca="1"/>
        <v>2.8889128025780054E-7</v>
      </c>
      <c r="P116" s="116">
        <f ca="1"/>
        <v>9.764481731270126E-4</v>
      </c>
      <c r="Q116" s="116">
        <f ca="1"/>
        <v>7.9386295447733853E-6</v>
      </c>
      <c r="R116" s="116">
        <f ca="1"/>
        <v>2.5812693602153406E-7</v>
      </c>
      <c r="S116" s="116">
        <f ca="1"/>
        <v>1.1320086467017877E-4</v>
      </c>
      <c r="T116" s="116">
        <f ca="1"/>
        <v>0.99860185852710348</v>
      </c>
      <c r="U116" s="283">
        <f t="shared" ca="1" si="36"/>
        <v>0.99999999999999833</v>
      </c>
      <c r="V116" s="418">
        <f t="shared" ca="1" si="30"/>
        <v>1.3388973482846444E-5</v>
      </c>
      <c r="W116" s="418">
        <f t="shared" ca="1" si="31"/>
        <v>8.1967564807949189E-6</v>
      </c>
      <c r="Y116" s="116">
        <f t="array" aca="1" ref="Y116:AK116" ca="1">MMULT(Y115:AK115, OFFSET(C.rngTPMroot, MIN(4, INT(($F115-70)/5))*13, $G116*16))</f>
        <v>5.3115353129381127E-4</v>
      </c>
      <c r="Z116" s="116">
        <f ca="1"/>
        <v>0</v>
      </c>
      <c r="AA116" s="116">
        <f ca="1"/>
        <v>1.1541934995235847E-5</v>
      </c>
      <c r="AB116" s="116">
        <f ca="1"/>
        <v>1.3394725929597603E-6</v>
      </c>
      <c r="AC116" s="116">
        <f ca="1"/>
        <v>5.0718689194884808E-7</v>
      </c>
      <c r="AD116" s="116">
        <f ca="1"/>
        <v>5.8860402658163051E-8</v>
      </c>
      <c r="AE116" s="116">
        <f ca="1"/>
        <v>2.7518299232115616E-6</v>
      </c>
      <c r="AF116" s="116">
        <f ca="1"/>
        <v>3.1935726237844134E-7</v>
      </c>
      <c r="AG116" s="116">
        <f ca="1"/>
        <v>8.6371490930632405E-4</v>
      </c>
      <c r="AH116" s="116">
        <f ca="1"/>
        <v>8.3212184749485193E-6</v>
      </c>
      <c r="AI116" s="116">
        <f ca="1"/>
        <v>2.7004206241068574E-7</v>
      </c>
      <c r="AJ116" s="116">
        <f ca="1"/>
        <v>9.8245680794785393E-5</v>
      </c>
      <c r="AK116" s="116">
        <f ca="1"/>
        <v>0.99848177597599919</v>
      </c>
      <c r="AL116" s="128">
        <f t="shared" ca="1" si="37"/>
        <v>0.99999999999999989</v>
      </c>
      <c r="AM116" s="418">
        <f t="shared" ca="1" si="32"/>
        <v>1.4800951810396257E-5</v>
      </c>
      <c r="AN116" s="418">
        <f t="shared" ca="1" si="33"/>
        <v>8.5912605373592052E-6</v>
      </c>
    </row>
    <row r="117" spans="4:40" ht="12" customHeight="1" x14ac:dyDescent="0.25">
      <c r="D117" s="341">
        <f t="shared" si="38"/>
        <v>107</v>
      </c>
      <c r="E117" s="63">
        <f t="shared" si="34"/>
        <v>26.75</v>
      </c>
      <c r="F117" s="63">
        <f t="shared" si="39"/>
        <v>96.75</v>
      </c>
      <c r="G117" s="62">
        <f t="shared" si="35"/>
        <v>0</v>
      </c>
      <c r="H117" s="116">
        <f t="array" aca="1" ref="H117:T117" ca="1">MMULT(H116:T116, OFFSET(C.rngTPMroot, MIN(4, INT(($F116-70)/5))*13, $G117*16))</f>
        <v>2.4598074621467943E-4</v>
      </c>
      <c r="I117" s="116">
        <f ca="1"/>
        <v>0</v>
      </c>
      <c r="J117" s="116">
        <f ca="1"/>
        <v>9.0817965581297795E-6</v>
      </c>
      <c r="K117" s="116">
        <f ca="1"/>
        <v>1.0539669119148897E-6</v>
      </c>
      <c r="L117" s="116">
        <f ca="1"/>
        <v>3.9908110481742203E-7</v>
      </c>
      <c r="M117" s="116">
        <f ca="1"/>
        <v>4.6314435360421568E-8</v>
      </c>
      <c r="N117" s="116">
        <f ca="1"/>
        <v>2.1652833372824434E-6</v>
      </c>
      <c r="O117" s="116">
        <f ca="1"/>
        <v>2.5128695383221679E-7</v>
      </c>
      <c r="P117" s="116">
        <f ca="1"/>
        <v>8.5157450843846853E-4</v>
      </c>
      <c r="Q117" s="116">
        <f ca="1"/>
        <v>6.8750319345404301E-6</v>
      </c>
      <c r="R117" s="116">
        <f ca="1"/>
        <v>2.2350882010026109E-7</v>
      </c>
      <c r="S117" s="116">
        <f ca="1"/>
        <v>9.6676608724667305E-5</v>
      </c>
      <c r="T117" s="116">
        <f ca="1"/>
        <v>0.99878567186656453</v>
      </c>
      <c r="U117" s="283">
        <f t="shared" ca="1" si="36"/>
        <v>0.99999999999999833</v>
      </c>
      <c r="V117" s="418">
        <f t="shared" ca="1" si="30"/>
        <v>1.1646161000229645E-5</v>
      </c>
      <c r="W117" s="418">
        <f t="shared" ca="1" si="31"/>
        <v>7.0985407546406916E-6</v>
      </c>
      <c r="Y117" s="116">
        <f t="array" aca="1" ref="Y117:AK117" ca="1">MMULT(Y116:AK116, OFFSET(C.rngTPMroot, MIN(4, INT(($F116-70)/5))*13, $G117*16))</f>
        <v>4.5786656350190206E-4</v>
      </c>
      <c r="Z117" s="116">
        <f ca="1"/>
        <v>0</v>
      </c>
      <c r="AA117" s="116">
        <f ca="1"/>
        <v>1.0039547346995302E-5</v>
      </c>
      <c r="AB117" s="116">
        <f ca="1"/>
        <v>1.1651164663960481E-6</v>
      </c>
      <c r="AC117" s="116">
        <f ca="1"/>
        <v>4.4116751806327455E-7</v>
      </c>
      <c r="AD117" s="116">
        <f ca="1"/>
        <v>5.1198676789789101E-8</v>
      </c>
      <c r="AE117" s="116">
        <f ca="1"/>
        <v>2.3936304282050227E-6</v>
      </c>
      <c r="AF117" s="116">
        <f ca="1"/>
        <v>2.7778724776899053E-7</v>
      </c>
      <c r="AG117" s="116">
        <f ca="1"/>
        <v>7.5543499797933278E-4</v>
      </c>
      <c r="AH117" s="116">
        <f ca="1"/>
        <v>7.2199220863035215E-6</v>
      </c>
      <c r="AI117" s="116">
        <f ca="1"/>
        <v>2.3428045264522153E-7</v>
      </c>
      <c r="AJ117" s="116">
        <f ca="1"/>
        <v>8.4384024684630313E-5</v>
      </c>
      <c r="AK117" s="116">
        <f ca="1"/>
        <v>0.99868049176361084</v>
      </c>
      <c r="AL117" s="128">
        <f t="shared" ca="1" si="37"/>
        <v>0.99999999999999989</v>
      </c>
      <c r="AM117" s="418">
        <f t="shared" ca="1" si="32"/>
        <v>1.2874345293263599E-5</v>
      </c>
      <c r="AN117" s="418">
        <f t="shared" ca="1" si="33"/>
        <v>7.4542025389487432E-6</v>
      </c>
    </row>
    <row r="118" spans="4:40" ht="12" customHeight="1" x14ac:dyDescent="0.25">
      <c r="D118" s="341">
        <f t="shared" si="38"/>
        <v>108</v>
      </c>
      <c r="E118" s="63">
        <f t="shared" si="34"/>
        <v>27</v>
      </c>
      <c r="F118" s="63">
        <f t="shared" si="39"/>
        <v>97</v>
      </c>
      <c r="G118" s="62">
        <f t="shared" si="35"/>
        <v>0</v>
      </c>
      <c r="H118" s="116">
        <f t="array" aca="1" ref="H118:T118" ca="1">MMULT(H117:T117, OFFSET(C.rngTPMroot, MIN(4, INT(($F117-70)/5))*13, $G118*16))</f>
        <v>2.120410621814142E-4</v>
      </c>
      <c r="I118" s="116">
        <f ca="1"/>
        <v>0</v>
      </c>
      <c r="J118" s="116">
        <f ca="1"/>
        <v>7.8996395819901934E-6</v>
      </c>
      <c r="K118" s="116">
        <f ca="1"/>
        <v>9.1677441596262795E-7</v>
      </c>
      <c r="L118" s="116">
        <f ca="1"/>
        <v>3.4713361743585468E-7</v>
      </c>
      <c r="M118" s="116">
        <f ca="1"/>
        <v>4.0285789760749244E-8</v>
      </c>
      <c r="N118" s="116">
        <f ca="1"/>
        <v>1.8834332885499744E-6</v>
      </c>
      <c r="O118" s="116">
        <f ca="1"/>
        <v>2.1857749776983663E-7</v>
      </c>
      <c r="P118" s="116">
        <f ca="1"/>
        <v>7.4264790024837328E-4</v>
      </c>
      <c r="Q118" s="116">
        <f ca="1"/>
        <v>5.9548345472573805E-6</v>
      </c>
      <c r="R118" s="116">
        <f ca="1"/>
        <v>1.9356367080416667E-7</v>
      </c>
      <c r="S118" s="116">
        <f ca="1"/>
        <v>8.2596349500846036E-5</v>
      </c>
      <c r="T118" s="116">
        <f ca="1"/>
        <v>0.99894526044565812</v>
      </c>
      <c r="U118" s="283">
        <f t="shared" ca="1" si="36"/>
        <v>0.99999999999999833</v>
      </c>
      <c r="V118" s="418">
        <f t="shared" ca="1" si="30"/>
        <v>1.0130206487976023E-5</v>
      </c>
      <c r="W118" s="418">
        <f t="shared" ca="1" si="31"/>
        <v>6.1483982180615475E-6</v>
      </c>
      <c r="Y118" s="116">
        <f t="array" aca="1" ref="Y118:AK118" ca="1">MMULT(Y117:AK117, OFFSET(C.rngTPMroot, MIN(4, INT(($F117-70)/5))*13, $G118*16))</f>
        <v>3.9469151125171844E-4</v>
      </c>
      <c r="Z118" s="116">
        <f ca="1"/>
        <v>0</v>
      </c>
      <c r="AA118" s="116">
        <f ca="1"/>
        <v>8.7327221106482091E-6</v>
      </c>
      <c r="AB118" s="116">
        <f ca="1"/>
        <v>1.0134558836083588E-6</v>
      </c>
      <c r="AC118" s="116">
        <f ca="1"/>
        <v>3.8374173718538996E-7</v>
      </c>
      <c r="AD118" s="116">
        <f ca="1"/>
        <v>4.4534260498500916E-8</v>
      </c>
      <c r="AE118" s="116">
        <f ca="1"/>
        <v>2.0820569536297164E-6</v>
      </c>
      <c r="AF118" s="116">
        <f ca="1"/>
        <v>2.4162830820997082E-7</v>
      </c>
      <c r="AG118" s="116">
        <f ca="1"/>
        <v>6.6067732228461027E-4</v>
      </c>
      <c r="AH118" s="116">
        <f ca="1"/>
        <v>6.2649507300840476E-6</v>
      </c>
      <c r="AI118" s="116">
        <f ca="1"/>
        <v>2.0327390988888629E-7</v>
      </c>
      <c r="AJ118" s="116">
        <f ca="1"/>
        <v>7.2502510207653813E-5</v>
      </c>
      <c r="AK118" s="116">
        <f ca="1"/>
        <v>0.9988531622923621</v>
      </c>
      <c r="AL118" s="128">
        <f t="shared" ca="1" si="37"/>
        <v>0.99999999999999978</v>
      </c>
      <c r="AM118" s="418">
        <f t="shared" ca="1" si="32"/>
        <v>1.1198520801463316E-5</v>
      </c>
      <c r="AN118" s="418">
        <f t="shared" ca="1" si="33"/>
        <v>6.4682246399729337E-6</v>
      </c>
    </row>
    <row r="119" spans="4:40" ht="12" customHeight="1" x14ac:dyDescent="0.25">
      <c r="D119" s="341">
        <f t="shared" si="38"/>
        <v>109</v>
      </c>
      <c r="E119" s="63">
        <f t="shared" si="34"/>
        <v>27.25</v>
      </c>
      <c r="F119" s="63">
        <f t="shared" si="39"/>
        <v>97.25</v>
      </c>
      <c r="G119" s="62">
        <f t="shared" si="35"/>
        <v>0</v>
      </c>
      <c r="H119" s="116">
        <f t="array" aca="1" ref="H119:T119" ca="1">MMULT(H118:T118, OFFSET(C.rngTPMroot, MIN(4, INT(($F118-70)/5))*13, $G119*16))</f>
        <v>1.8278427374060545E-4</v>
      </c>
      <c r="I119" s="116">
        <f ca="1"/>
        <v>0</v>
      </c>
      <c r="J119" s="116">
        <f ca="1"/>
        <v>6.8713613133607951E-6</v>
      </c>
      <c r="K119" s="116">
        <f ca="1"/>
        <v>7.9743995780342682E-7</v>
      </c>
      <c r="L119" s="116">
        <f ca="1"/>
        <v>3.0194801733154302E-7</v>
      </c>
      <c r="M119" s="116">
        <f ca="1"/>
        <v>3.5041879362609949E-8</v>
      </c>
      <c r="N119" s="116">
        <f ca="1"/>
        <v>1.63827102501526E-6</v>
      </c>
      <c r="O119" s="116">
        <f ca="1"/>
        <v>1.901257578346978E-7</v>
      </c>
      <c r="P119" s="116">
        <f ca="1"/>
        <v>6.4763497952359278E-4</v>
      </c>
      <c r="Q119" s="116">
        <f ca="1"/>
        <v>5.1585597920338846E-6</v>
      </c>
      <c r="R119" s="116">
        <f ca="1"/>
        <v>1.6765589527049316E-7</v>
      </c>
      <c r="S119" s="116">
        <f ca="1"/>
        <v>7.0593951011333018E-5</v>
      </c>
      <c r="T119" s="116">
        <f ca="1"/>
        <v>0.99908382639208471</v>
      </c>
      <c r="U119" s="283">
        <f t="shared" ca="1" si="36"/>
        <v>0.99999999999999822</v>
      </c>
      <c r="V119" s="418">
        <f t="shared" ca="1" si="30"/>
        <v>8.8115803557075974E-6</v>
      </c>
      <c r="W119" s="418">
        <f t="shared" ca="1" si="31"/>
        <v>5.3262156873043777E-6</v>
      </c>
      <c r="Y119" s="116">
        <f t="array" aca="1" ref="Y119:AK119" ca="1">MMULT(Y118:AK118, OFFSET(C.rngTPMroot, MIN(4, INT(($F118-70)/5))*13, $G119*16))</f>
        <v>3.4023316282958549E-4</v>
      </c>
      <c r="Z119" s="116">
        <f ca="1"/>
        <v>0</v>
      </c>
      <c r="AA119" s="116">
        <f ca="1"/>
        <v>7.5960033680829035E-6</v>
      </c>
      <c r="AB119" s="116">
        <f ca="1"/>
        <v>8.8153661684776912E-7</v>
      </c>
      <c r="AC119" s="116">
        <f ca="1"/>
        <v>3.3379094069418871E-7</v>
      </c>
      <c r="AD119" s="116">
        <f ca="1"/>
        <v>3.8737336245843795E-8</v>
      </c>
      <c r="AE119" s="116">
        <f ca="1"/>
        <v>1.8110402955600091E-6</v>
      </c>
      <c r="AF119" s="116">
        <f ca="1"/>
        <v>2.1017609626546041E-7</v>
      </c>
      <c r="AG119" s="116">
        <f ca="1"/>
        <v>5.7776068977871957E-4</v>
      </c>
      <c r="AH119" s="116">
        <f ca="1"/>
        <v>5.4367708182991297E-6</v>
      </c>
      <c r="AI119" s="116">
        <f ca="1"/>
        <v>1.7638708769188785E-7</v>
      </c>
      <c r="AJ119" s="116">
        <f ca="1"/>
        <v>6.2314589778559188E-5</v>
      </c>
      <c r="AK119" s="116">
        <f ca="1"/>
        <v>0.9990032071150533</v>
      </c>
      <c r="AL119" s="128">
        <f t="shared" ca="1" si="37"/>
        <v>0.99999999999999989</v>
      </c>
      <c r="AM119" s="418">
        <f t="shared" ca="1" si="32"/>
        <v>9.740834604337101E-6</v>
      </c>
      <c r="AN119" s="418">
        <f t="shared" ca="1" si="33"/>
        <v>5.6131579059910175E-6</v>
      </c>
    </row>
    <row r="120" spans="4:40" ht="12" customHeight="1" x14ac:dyDescent="0.25">
      <c r="D120" s="341">
        <f t="shared" si="38"/>
        <v>110</v>
      </c>
      <c r="E120" s="63">
        <f t="shared" si="34"/>
        <v>27.5</v>
      </c>
      <c r="F120" s="63">
        <f t="shared" si="39"/>
        <v>97.5</v>
      </c>
      <c r="G120" s="62">
        <f t="shared" si="35"/>
        <v>0</v>
      </c>
      <c r="H120" s="116">
        <f t="array" aca="1" ref="H120:T120" ca="1">MMULT(H119:T119, OFFSET(C.rngTPMroot, MIN(4, INT(($F119-70)/5))*13, $G120*16))</f>
        <v>1.5756424903350181E-4</v>
      </c>
      <c r="I120" s="116">
        <f ca="1"/>
        <v>0</v>
      </c>
      <c r="J120" s="116">
        <f ca="1"/>
        <v>5.9769317079218118E-6</v>
      </c>
      <c r="K120" s="116">
        <f ca="1"/>
        <v>6.9363899693232029E-7</v>
      </c>
      <c r="L120" s="116">
        <f ca="1"/>
        <v>2.6264412488743531E-7</v>
      </c>
      <c r="M120" s="116">
        <f ca="1"/>
        <v>3.0480556954603727E-8</v>
      </c>
      <c r="N120" s="116">
        <f ca="1"/>
        <v>1.4250209804196822E-6</v>
      </c>
      <c r="O120" s="116">
        <f ca="1"/>
        <v>1.6537751672078341E-7</v>
      </c>
      <c r="P120" s="116">
        <f ca="1"/>
        <v>5.6476120284641869E-4</v>
      </c>
      <c r="Q120" s="116">
        <f ca="1"/>
        <v>4.4693983606031373E-6</v>
      </c>
      <c r="R120" s="116">
        <f ca="1"/>
        <v>1.4523711001141755E-7</v>
      </c>
      <c r="S120" s="116">
        <f ca="1"/>
        <v>6.0358800036438533E-5</v>
      </c>
      <c r="T120" s="116">
        <f ca="1"/>
        <v>0.9992041470187274</v>
      </c>
      <c r="U120" s="283">
        <f t="shared" ca="1" si="36"/>
        <v>0.99999999999999822</v>
      </c>
      <c r="V120" s="418">
        <f t="shared" ca="1" si="30"/>
        <v>7.6645968132289298E-6</v>
      </c>
      <c r="W120" s="418">
        <f t="shared" ca="1" si="31"/>
        <v>4.6146354706145546E-6</v>
      </c>
      <c r="Y120" s="116">
        <f t="array" aca="1" ref="Y120:AK120" ca="1">MMULT(Y119:AK119, OFFSET(C.rngTPMroot, MIN(4, INT(($F119-70)/5))*13, $G120*16))</f>
        <v>2.9328881364057771E-4</v>
      </c>
      <c r="Z120" s="116">
        <f ca="1"/>
        <v>0</v>
      </c>
      <c r="AA120" s="116">
        <f ca="1"/>
        <v>6.607248740638553E-6</v>
      </c>
      <c r="AB120" s="116">
        <f ca="1"/>
        <v>7.6678898352887378E-7</v>
      </c>
      <c r="AC120" s="116">
        <f ca="1"/>
        <v>2.9034212673010569E-7</v>
      </c>
      <c r="AD120" s="116">
        <f ca="1"/>
        <v>3.3694984549571109E-8</v>
      </c>
      <c r="AE120" s="116">
        <f ca="1"/>
        <v>1.5753012646576202E-6</v>
      </c>
      <c r="AF120" s="116">
        <f ca="1"/>
        <v>1.8281794781678332E-7</v>
      </c>
      <c r="AG120" s="116">
        <f ca="1"/>
        <v>5.0521184949050776E-4</v>
      </c>
      <c r="AH120" s="116">
        <f ca="1"/>
        <v>4.7184711442042715E-6</v>
      </c>
      <c r="AI120" s="116">
        <f ca="1"/>
        <v>1.5307002599127548E-7</v>
      </c>
      <c r="AJ120" s="116">
        <f ca="1"/>
        <v>5.3575732145614E-5</v>
      </c>
      <c r="AK120" s="116">
        <f ca="1"/>
        <v>0.99913359586950501</v>
      </c>
      <c r="AL120" s="128">
        <f t="shared" ca="1" si="37"/>
        <v>0.99999999999999978</v>
      </c>
      <c r="AM120" s="418">
        <f t="shared" ca="1" si="32"/>
        <v>8.4728921320262797E-6</v>
      </c>
      <c r="AN120" s="418">
        <f t="shared" ca="1" si="33"/>
        <v>4.8715411701955468E-6</v>
      </c>
    </row>
    <row r="121" spans="4:40" ht="12" customHeight="1" x14ac:dyDescent="0.25">
      <c r="D121" s="341">
        <f t="shared" si="38"/>
        <v>111</v>
      </c>
      <c r="E121" s="63">
        <f t="shared" si="34"/>
        <v>27.75</v>
      </c>
      <c r="F121" s="63">
        <f t="shared" si="39"/>
        <v>97.75</v>
      </c>
      <c r="G121" s="62">
        <f t="shared" si="35"/>
        <v>0</v>
      </c>
      <c r="H121" s="116">
        <f t="array" aca="1" ref="H121:T121" ca="1">MMULT(H120:T120, OFFSET(C.rngTPMroot, MIN(4, INT(($F120-70)/5))*13, $G121*16))</f>
        <v>1.3582400753318297E-4</v>
      </c>
      <c r="I121" s="116">
        <f ca="1"/>
        <v>0</v>
      </c>
      <c r="J121" s="116">
        <f ca="1"/>
        <v>5.1989279870495729E-6</v>
      </c>
      <c r="K121" s="116">
        <f ca="1"/>
        <v>6.0334957303942605E-7</v>
      </c>
      <c r="L121" s="116">
        <f ca="1"/>
        <v>2.2845633148219558E-7</v>
      </c>
      <c r="M121" s="116">
        <f ca="1"/>
        <v>2.6512971597469821E-8</v>
      </c>
      <c r="N121" s="116">
        <f ca="1"/>
        <v>1.2395292131943535E-6</v>
      </c>
      <c r="O121" s="116">
        <f ca="1"/>
        <v>1.4385069833889542E-7</v>
      </c>
      <c r="P121" s="116">
        <f ca="1"/>
        <v>4.9247796930879063E-4</v>
      </c>
      <c r="Q121" s="116">
        <f ca="1"/>
        <v>3.872840128696507E-6</v>
      </c>
      <c r="R121" s="116">
        <f ca="1"/>
        <v>1.2583405592897764E-7</v>
      </c>
      <c r="S121" s="116">
        <f ca="1"/>
        <v>5.1627290745850368E-5</v>
      </c>
      <c r="T121" s="116">
        <f ca="1"/>
        <v>0.9993086314314511</v>
      </c>
      <c r="U121" s="283">
        <f t="shared" ca="1" si="36"/>
        <v>0.99999999999999822</v>
      </c>
      <c r="V121" s="418">
        <f t="shared" ca="1" si="30"/>
        <v>6.6669135317261212E-6</v>
      </c>
      <c r="W121" s="418">
        <f t="shared" ca="1" si="31"/>
        <v>3.9986741846254846E-6</v>
      </c>
      <c r="Y121" s="116">
        <f t="array" aca="1" ref="Y121:AK121" ca="1">MMULT(Y120:AK120, OFFSET(C.rngTPMroot, MIN(4, INT(($F120-70)/5))*13, $G121*16))</f>
        <v>2.5282170465488107E-4</v>
      </c>
      <c r="Z121" s="116">
        <f ca="1"/>
        <v>0</v>
      </c>
      <c r="AA121" s="116">
        <f ca="1"/>
        <v>5.7471980731477318E-6</v>
      </c>
      <c r="AB121" s="116">
        <f ca="1"/>
        <v>6.6697779085310335E-7</v>
      </c>
      <c r="AC121" s="116">
        <f ca="1"/>
        <v>2.525489468912611E-7</v>
      </c>
      <c r="AD121" s="116">
        <f ca="1"/>
        <v>2.930898440177724E-8</v>
      </c>
      <c r="AE121" s="116">
        <f ca="1"/>
        <v>1.3702478517544786E-6</v>
      </c>
      <c r="AF121" s="116">
        <f ca="1"/>
        <v>1.5902094785187339E-7</v>
      </c>
      <c r="AG121" s="116">
        <f ca="1"/>
        <v>4.4173992798476528E-4</v>
      </c>
      <c r="AH121" s="116">
        <f ca="1"/>
        <v>4.0954084713806792E-6</v>
      </c>
      <c r="AI121" s="116">
        <f ca="1"/>
        <v>1.3284659677973807E-7</v>
      </c>
      <c r="AJ121" s="116">
        <f ca="1"/>
        <v>4.6077180540227739E-5</v>
      </c>
      <c r="AK121" s="116">
        <f ca="1"/>
        <v>0.99924690762915691</v>
      </c>
      <c r="AL121" s="128">
        <f t="shared" ca="1" si="37"/>
        <v>0.99999999999999989</v>
      </c>
      <c r="AM121" s="418">
        <f t="shared" ca="1" si="32"/>
        <v>7.3699948717934711E-6</v>
      </c>
      <c r="AN121" s="418">
        <f t="shared" ca="1" si="33"/>
        <v>4.2282550681604169E-6</v>
      </c>
    </row>
    <row r="122" spans="4:40" ht="12" customHeight="1" x14ac:dyDescent="0.25">
      <c r="D122" s="341">
        <f t="shared" si="38"/>
        <v>112</v>
      </c>
      <c r="E122" s="63">
        <f t="shared" si="34"/>
        <v>28</v>
      </c>
      <c r="F122" s="63">
        <f t="shared" si="39"/>
        <v>98</v>
      </c>
      <c r="G122" s="62">
        <f t="shared" si="35"/>
        <v>0</v>
      </c>
      <c r="H122" s="116">
        <f t="array" aca="1" ref="H122:T122" ca="1">MMULT(H121:T121, OFFSET(C.rngTPMroot, MIN(4, INT(($F121-70)/5))*13, $G122*16))</f>
        <v>1.1708341921175049E-4</v>
      </c>
      <c r="I122" s="116">
        <f ca="1"/>
        <v>0</v>
      </c>
      <c r="J122" s="116">
        <f ca="1"/>
        <v>4.522195255920917E-6</v>
      </c>
      <c r="K122" s="116">
        <f ca="1"/>
        <v>5.2481291982834825E-7</v>
      </c>
      <c r="L122" s="116">
        <f ca="1"/>
        <v>1.987186860420789E-7</v>
      </c>
      <c r="M122" s="116">
        <f ca="1"/>
        <v>2.3061837878328902E-8</v>
      </c>
      <c r="N122" s="116">
        <f ca="1"/>
        <v>1.0781824909761815E-6</v>
      </c>
      <c r="O122" s="116">
        <f ca="1"/>
        <v>1.2512597735715878E-7</v>
      </c>
      <c r="P122" s="116">
        <f ca="1"/>
        <v>4.2943390629037993E-4</v>
      </c>
      <c r="Q122" s="116">
        <f ca="1"/>
        <v>3.3563566688811748E-6</v>
      </c>
      <c r="R122" s="116">
        <f ca="1"/>
        <v>1.0903820649646012E-7</v>
      </c>
      <c r="S122" s="116">
        <f ca="1"/>
        <v>4.417562874528466E-5</v>
      </c>
      <c r="T122" s="116">
        <f ca="1"/>
        <v>0.99939936955370745</v>
      </c>
      <c r="U122" s="283">
        <f t="shared" ca="1" si="36"/>
        <v>0.99999999999999822</v>
      </c>
      <c r="V122" s="418">
        <f t="shared" ca="1" si="30"/>
        <v>5.7990964329391773E-6</v>
      </c>
      <c r="W122" s="418">
        <f t="shared" ca="1" si="31"/>
        <v>3.4653948753776349E-6</v>
      </c>
      <c r="Y122" s="116">
        <f t="array" aca="1" ref="Y122:AK122" ca="1">MMULT(Y121:AK121, OFFSET(C.rngTPMroot, MIN(4, INT(($F121-70)/5))*13, $G122*16))</f>
        <v>2.1793812573749142E-4</v>
      </c>
      <c r="Z122" s="116">
        <f ca="1"/>
        <v>0</v>
      </c>
      <c r="AA122" s="116">
        <f ca="1"/>
        <v>4.9990982614044604E-6</v>
      </c>
      <c r="AB122" s="116">
        <f ca="1"/>
        <v>5.8015879602753154E-7</v>
      </c>
      <c r="AC122" s="116">
        <f ca="1"/>
        <v>2.196752200385104E-7</v>
      </c>
      <c r="AD122" s="116">
        <f ca="1"/>
        <v>2.5493900001641508E-8</v>
      </c>
      <c r="AE122" s="116">
        <f ca="1"/>
        <v>1.1918857791597349E-6</v>
      </c>
      <c r="AF122" s="116">
        <f ca="1"/>
        <v>1.3832154970392217E-7</v>
      </c>
      <c r="AG122" s="116">
        <f ca="1"/>
        <v>3.8621398560002347E-4</v>
      </c>
      <c r="AH122" s="116">
        <f ca="1"/>
        <v>3.5549013952120201E-6</v>
      </c>
      <c r="AI122" s="116">
        <f ca="1"/>
        <v>1.1530452581321947E-7</v>
      </c>
      <c r="AJ122" s="116">
        <f ca="1"/>
        <v>3.9640649882426899E-5</v>
      </c>
      <c r="AK122" s="116">
        <f ca="1"/>
        <v>0.99934538239935256</v>
      </c>
      <c r="AL122" s="128">
        <f t="shared" ca="1" si="37"/>
        <v>0.99999999999999989</v>
      </c>
      <c r="AM122" s="418">
        <f t="shared" ca="1" si="32"/>
        <v>6.4106592606027058E-6</v>
      </c>
      <c r="AN122" s="418">
        <f t="shared" ca="1" si="33"/>
        <v>3.6702059210252397E-6</v>
      </c>
    </row>
    <row r="123" spans="4:40" ht="12" customHeight="1" x14ac:dyDescent="0.25">
      <c r="D123" s="341">
        <f t="shared" si="38"/>
        <v>113</v>
      </c>
      <c r="E123" s="63">
        <f t="shared" si="34"/>
        <v>28.25</v>
      </c>
      <c r="F123" s="63">
        <f t="shared" si="39"/>
        <v>98.25</v>
      </c>
      <c r="G123" s="62">
        <f t="shared" si="35"/>
        <v>0</v>
      </c>
      <c r="H123" s="116">
        <f t="array" aca="1" ref="H123:T123" ca="1">MMULT(H122:T122, OFFSET(C.rngTPMroot, MIN(4, INT(($F122-70)/5))*13, $G123*16))</f>
        <v>1.0092860093945759E-4</v>
      </c>
      <c r="I123" s="116">
        <f ca="1"/>
        <v>0</v>
      </c>
      <c r="J123" s="116">
        <f ca="1"/>
        <v>3.9335512981935547E-6</v>
      </c>
      <c r="K123" s="116">
        <f ca="1"/>
        <v>4.5649920564501386E-7</v>
      </c>
      <c r="L123" s="116">
        <f ca="1"/>
        <v>1.7285192284271559E-7</v>
      </c>
      <c r="M123" s="116">
        <f ca="1"/>
        <v>2.0059930452197247E-8</v>
      </c>
      <c r="N123" s="116">
        <f ca="1"/>
        <v>9.3783790770999076E-7</v>
      </c>
      <c r="O123" s="116">
        <f ca="1"/>
        <v>1.0883861107646E-7</v>
      </c>
      <c r="P123" s="116">
        <f ca="1"/>
        <v>3.7444979684190724E-4</v>
      </c>
      <c r="Q123" s="116">
        <f ca="1"/>
        <v>2.9091280724670485E-6</v>
      </c>
      <c r="R123" s="116">
        <f ca="1"/>
        <v>9.4496829039109474E-8</v>
      </c>
      <c r="S123" s="116">
        <f ca="1"/>
        <v>3.7813748239210512E-5</v>
      </c>
      <c r="T123" s="116">
        <f ca="1"/>
        <v>0.99947817459020027</v>
      </c>
      <c r="U123" s="283">
        <f t="shared" ca="1" si="36"/>
        <v>0.99999999999999822</v>
      </c>
      <c r="V123" s="418">
        <f t="shared" ca="1" si="30"/>
        <v>5.0442411287462615E-6</v>
      </c>
      <c r="W123" s="418">
        <f t="shared" ca="1" si="31"/>
        <v>3.003624901506158E-6</v>
      </c>
      <c r="Y123" s="116">
        <f t="array" aca="1" ref="Y123:AK123" ca="1">MMULT(Y122:AK122, OFFSET(C.rngTPMroot, MIN(4, INT(($F122-70)/5))*13, $G123*16))</f>
        <v>1.8786767819166204E-4</v>
      </c>
      <c r="Z123" s="116">
        <f ca="1"/>
        <v>0</v>
      </c>
      <c r="AA123" s="116">
        <f ca="1"/>
        <v>4.3483769149946094E-6</v>
      </c>
      <c r="AB123" s="116">
        <f ca="1"/>
        <v>5.0464083395881006E-7</v>
      </c>
      <c r="AC123" s="116">
        <f ca="1"/>
        <v>1.9108059207130982E-7</v>
      </c>
      <c r="AD123" s="116">
        <f ca="1"/>
        <v>2.2175416533855947E-8</v>
      </c>
      <c r="AE123" s="116">
        <f ca="1"/>
        <v>1.0367406953014146E-6</v>
      </c>
      <c r="AF123" s="116">
        <f ca="1"/>
        <v>1.2031654553032028E-7</v>
      </c>
      <c r="AG123" s="116">
        <f ca="1"/>
        <v>3.3764331533444708E-4</v>
      </c>
      <c r="AH123" s="116">
        <f ca="1"/>
        <v>3.0859658427853962E-6</v>
      </c>
      <c r="AI123" s="116">
        <f ca="1"/>
        <v>1.0008677340785168E-7</v>
      </c>
      <c r="AJ123" s="116">
        <f ca="1"/>
        <v>3.4113820074980996E-5</v>
      </c>
      <c r="AK123" s="116">
        <f ca="1"/>
        <v>0.99943096580278423</v>
      </c>
      <c r="AL123" s="128">
        <f t="shared" ca="1" si="37"/>
        <v>0.99999999999999989</v>
      </c>
      <c r="AM123" s="418">
        <f t="shared" ca="1" si="32"/>
        <v>5.5761982023673337E-6</v>
      </c>
      <c r="AN123" s="418">
        <f t="shared" ca="1" si="33"/>
        <v>3.186052616193248E-6</v>
      </c>
    </row>
    <row r="124" spans="4:40" ht="12" customHeight="1" x14ac:dyDescent="0.25">
      <c r="D124" s="341">
        <f t="shared" si="38"/>
        <v>114</v>
      </c>
      <c r="E124" s="63">
        <f t="shared" si="34"/>
        <v>28.5</v>
      </c>
      <c r="F124" s="63">
        <f t="shared" si="39"/>
        <v>98.5</v>
      </c>
      <c r="G124" s="62">
        <f t="shared" si="35"/>
        <v>0</v>
      </c>
      <c r="H124" s="116">
        <f t="array" aca="1" ref="H124:T124" ca="1">MMULT(H123:T123, OFFSET(C.rngTPMroot, MIN(4, INT(($F123-70)/5))*13, $G124*16))</f>
        <v>8.7002775936816446E-5</v>
      </c>
      <c r="I124" s="116">
        <f ca="1"/>
        <v>0</v>
      </c>
      <c r="J124" s="116">
        <f ca="1"/>
        <v>3.4215297968971166E-6</v>
      </c>
      <c r="K124" s="116">
        <f ca="1"/>
        <v>3.9707773357158926E-7</v>
      </c>
      <c r="L124" s="116">
        <f ca="1"/>
        <v>1.5035217787268103E-7</v>
      </c>
      <c r="M124" s="116">
        <f ca="1"/>
        <v>1.7448774545636913E-8</v>
      </c>
      <c r="N124" s="116">
        <f ca="1"/>
        <v>8.1576166233373134E-7</v>
      </c>
      <c r="O124" s="116">
        <f ca="1"/>
        <v>9.4671334532238852E-8</v>
      </c>
      <c r="P124" s="116">
        <f ca="1"/>
        <v>3.2649668790826265E-4</v>
      </c>
      <c r="Q124" s="116">
        <f ca="1"/>
        <v>2.5218078243274584E-6</v>
      </c>
      <c r="R124" s="116">
        <f ca="1"/>
        <v>8.1905293518292997E-8</v>
      </c>
      <c r="S124" s="116">
        <f ca="1"/>
        <v>3.2380168516983115E-5</v>
      </c>
      <c r="T124" s="116">
        <f ca="1"/>
        <v>0.99954661981303861</v>
      </c>
      <c r="U124" s="283">
        <f t="shared" ca="1" si="36"/>
        <v>0.99999999999999822</v>
      </c>
      <c r="V124" s="418">
        <f t="shared" ca="1" si="30"/>
        <v>4.3876436371035285E-6</v>
      </c>
      <c r="W124" s="418">
        <f t="shared" ca="1" si="31"/>
        <v>2.6037131178457516E-6</v>
      </c>
      <c r="Y124" s="116">
        <f t="array" aca="1" ref="Y124:AK124" ca="1">MMULT(Y123:AK123, OFFSET(C.rngTPMroot, MIN(4, INT(($F123-70)/5))*13, $G124*16))</f>
        <v>1.6194626061728261E-4</v>
      </c>
      <c r="Z124" s="116">
        <f ca="1"/>
        <v>0</v>
      </c>
      <c r="AA124" s="116">
        <f ca="1"/>
        <v>3.7823584986996962E-6</v>
      </c>
      <c r="AB124" s="116">
        <f ca="1"/>
        <v>4.3895287469977144E-7</v>
      </c>
      <c r="AC124" s="116">
        <f ca="1"/>
        <v>1.6620806233821717E-7</v>
      </c>
      <c r="AD124" s="116">
        <f ca="1"/>
        <v>1.9288892575021819E-8</v>
      </c>
      <c r="AE124" s="116">
        <f ca="1"/>
        <v>9.0179049711609447E-7</v>
      </c>
      <c r="AF124" s="116">
        <f ca="1"/>
        <v>1.0465521214399143E-7</v>
      </c>
      <c r="AG124" s="116">
        <f ca="1"/>
        <v>2.9516015204659383E-4</v>
      </c>
      <c r="AH124" s="116">
        <f ca="1"/>
        <v>2.6790864981801849E-6</v>
      </c>
      <c r="AI124" s="116">
        <f ca="1"/>
        <v>8.6884087549441246E-8</v>
      </c>
      <c r="AJ124" s="116">
        <f ca="1"/>
        <v>2.936650442472714E-5</v>
      </c>
      <c r="AK124" s="116">
        <f ca="1"/>
        <v>0.99950534785828804</v>
      </c>
      <c r="AL124" s="128">
        <f t="shared" ca="1" si="37"/>
        <v>1</v>
      </c>
      <c r="AM124" s="418">
        <f t="shared" ca="1" si="32"/>
        <v>4.8503570581540076E-6</v>
      </c>
      <c r="AN124" s="418">
        <f t="shared" ca="1" si="33"/>
        <v>2.7659705857296263E-6</v>
      </c>
    </row>
    <row r="125" spans="4:40" ht="12" customHeight="1" x14ac:dyDescent="0.25">
      <c r="D125" s="341">
        <f t="shared" si="38"/>
        <v>115</v>
      </c>
      <c r="E125" s="63">
        <f t="shared" si="34"/>
        <v>28.75</v>
      </c>
      <c r="F125" s="63">
        <f t="shared" si="39"/>
        <v>98.75</v>
      </c>
      <c r="G125" s="62">
        <f t="shared" si="35"/>
        <v>0</v>
      </c>
      <c r="H125" s="116">
        <f t="array" aca="1" ref="H125:T125" ca="1">MMULT(H124:T124, OFFSET(C.rngTPMroot, MIN(4, INT(($F124-70)/5))*13, $G125*16))</f>
        <v>7.4998394412030653E-5</v>
      </c>
      <c r="I125" s="116">
        <f ca="1"/>
        <v>0</v>
      </c>
      <c r="J125" s="116">
        <f ca="1"/>
        <v>2.9761569796817161E-6</v>
      </c>
      <c r="K125" s="116">
        <f ca="1"/>
        <v>3.4539102050696456E-7</v>
      </c>
      <c r="L125" s="116">
        <f ca="1"/>
        <v>1.3078117396257229E-7</v>
      </c>
      <c r="M125" s="116">
        <f ca="1"/>
        <v>1.5177506914592411E-8</v>
      </c>
      <c r="N125" s="116">
        <f ca="1"/>
        <v>7.0957580650416212E-7</v>
      </c>
      <c r="O125" s="116">
        <f ca="1"/>
        <v>8.2348180424856197E-8</v>
      </c>
      <c r="P125" s="116">
        <f ca="1"/>
        <v>2.8467677677403055E-4</v>
      </c>
      <c r="Q125" s="116">
        <f ca="1"/>
        <v>2.1863203688534771E-6</v>
      </c>
      <c r="R125" s="116">
        <f ca="1"/>
        <v>7.1000452679660401E-8</v>
      </c>
      <c r="S125" s="116">
        <f ca="1"/>
        <v>2.7737643326009874E-5</v>
      </c>
      <c r="T125" s="116">
        <f ca="1"/>
        <v>0.99960607043399663</v>
      </c>
      <c r="U125" s="283">
        <f t="shared" ca="1" si="36"/>
        <v>0.99999999999999822</v>
      </c>
      <c r="V125" s="418">
        <f t="shared" ca="1" si="30"/>
        <v>3.8165139601484506E-6</v>
      </c>
      <c r="W125" s="418">
        <f t="shared" ca="1" si="31"/>
        <v>2.2573208215331374E-6</v>
      </c>
      <c r="Y125" s="116">
        <f t="array" aca="1" ref="Y125:AK125" ca="1">MMULT(Y124:AK124, OFFSET(C.rngTPMroot, MIN(4, INT(($F124-70)/5))*13, $G125*16))</f>
        <v>1.3960140232938061E-4</v>
      </c>
      <c r="Z125" s="116">
        <f ca="1"/>
        <v>0</v>
      </c>
      <c r="AA125" s="116">
        <f ca="1"/>
        <v>3.2900174231339727E-6</v>
      </c>
      <c r="AB125" s="116">
        <f ca="1"/>
        <v>3.8181536895391272E-7</v>
      </c>
      <c r="AC125" s="116">
        <f ca="1"/>
        <v>1.4457313370640596E-7</v>
      </c>
      <c r="AD125" s="116">
        <f ca="1"/>
        <v>1.6778100930040858E-8</v>
      </c>
      <c r="AE125" s="116">
        <f ca="1"/>
        <v>7.8440646188048132E-7</v>
      </c>
      <c r="AF125" s="116">
        <f ca="1"/>
        <v>9.1032479204148368E-8</v>
      </c>
      <c r="AG125" s="116">
        <f ca="1"/>
        <v>2.5800449949283684E-4</v>
      </c>
      <c r="AH125" s="116">
        <f ca="1"/>
        <v>2.3260192317654165E-6</v>
      </c>
      <c r="AI125" s="116">
        <f ca="1"/>
        <v>7.5428568467340755E-8</v>
      </c>
      <c r="AJ125" s="116">
        <f ca="1"/>
        <v>2.5287390814698539E-5</v>
      </c>
      <c r="AK125" s="116">
        <f ca="1"/>
        <v>0.99956999663659496</v>
      </c>
      <c r="AL125" s="128">
        <f t="shared" ca="1" si="37"/>
        <v>0.99999999999999989</v>
      </c>
      <c r="AM125" s="418">
        <f t="shared" ca="1" si="32"/>
        <v>4.2189970187208604E-6</v>
      </c>
      <c r="AN125" s="418">
        <f t="shared" ca="1" si="33"/>
        <v>2.4014478002327572E-6</v>
      </c>
    </row>
    <row r="126" spans="4:40" ht="12" customHeight="1" x14ac:dyDescent="0.25">
      <c r="D126" s="341">
        <f t="shared" si="38"/>
        <v>116</v>
      </c>
      <c r="E126" s="63">
        <f t="shared" si="34"/>
        <v>29</v>
      </c>
      <c r="F126" s="63">
        <f t="shared" si="39"/>
        <v>99</v>
      </c>
      <c r="G126" s="62">
        <f t="shared" si="35"/>
        <v>0</v>
      </c>
      <c r="H126" s="116">
        <f t="array" aca="1" ref="H126:T126" ca="1">MMULT(H125:T125, OFFSET(C.rngTPMroot, MIN(4, INT(($F125-70)/5))*13, $G126*16))</f>
        <v>6.4650341369192041E-5</v>
      </c>
      <c r="I126" s="116">
        <f ca="1"/>
        <v>0</v>
      </c>
      <c r="J126" s="116">
        <f ca="1"/>
        <v>2.5887573376507803E-6</v>
      </c>
      <c r="K126" s="116">
        <f ca="1"/>
        <v>3.0043225031487365E-7</v>
      </c>
      <c r="L126" s="116">
        <f ca="1"/>
        <v>1.1375768349369781E-7</v>
      </c>
      <c r="M126" s="116">
        <f ca="1"/>
        <v>1.3201885068777018E-8</v>
      </c>
      <c r="N126" s="116">
        <f ca="1"/>
        <v>6.1721192405098497E-7</v>
      </c>
      <c r="O126" s="116">
        <f ca="1"/>
        <v>7.1629103495688315E-8</v>
      </c>
      <c r="P126" s="116">
        <f ca="1"/>
        <v>2.4820672394538482E-4</v>
      </c>
      <c r="Q126" s="116">
        <f ca="1"/>
        <v>1.8956867701096626E-6</v>
      </c>
      <c r="R126" s="116">
        <f ca="1"/>
        <v>6.1554942606602962E-8</v>
      </c>
      <c r="S126" s="116">
        <f ca="1"/>
        <v>2.3769479715491789E-5</v>
      </c>
      <c r="T126" s="116">
        <f ca="1"/>
        <v>0.99965771122307134</v>
      </c>
      <c r="U126" s="283">
        <f t="shared" ca="1" si="36"/>
        <v>0.99999999999999822</v>
      </c>
      <c r="V126" s="418">
        <f t="shared" ca="1" si="30"/>
        <v>3.319726945195463E-6</v>
      </c>
      <c r="W126" s="418">
        <f t="shared" ca="1" si="31"/>
        <v>1.9572417127162657E-6</v>
      </c>
      <c r="Y126" s="116">
        <f t="array" aca="1" ref="Y126:AK126" ca="1">MMULT(Y125:AK125, OFFSET(C.rngTPMroot, MIN(4, INT(($F125-70)/5))*13, $G126*16))</f>
        <v>1.2033962042745563E-4</v>
      </c>
      <c r="Z126" s="116">
        <f ca="1"/>
        <v>0</v>
      </c>
      <c r="AA126" s="116">
        <f ca="1"/>
        <v>2.8617632750164402E-6</v>
      </c>
      <c r="AB126" s="116">
        <f ca="1"/>
        <v>3.3211532347093741E-7</v>
      </c>
      <c r="AC126" s="116">
        <f ca="1"/>
        <v>1.2575437494216159E-7</v>
      </c>
      <c r="AD126" s="116">
        <f ca="1"/>
        <v>1.4594133370993667E-8</v>
      </c>
      <c r="AE126" s="116">
        <f ca="1"/>
        <v>6.8230204177971448E-7</v>
      </c>
      <c r="AF126" s="116">
        <f ca="1"/>
        <v>7.9182986688250511E-8</v>
      </c>
      <c r="AG126" s="116">
        <f ca="1"/>
        <v>2.2551081786011072E-4</v>
      </c>
      <c r="AH126" s="116">
        <f ca="1"/>
        <v>2.0196202928719489E-6</v>
      </c>
      <c r="AI126" s="116">
        <f ca="1"/>
        <v>6.5488106113313366E-8</v>
      </c>
      <c r="AJ126" s="116">
        <f ca="1"/>
        <v>2.1781268951376761E-5</v>
      </c>
      <c r="AK126" s="116">
        <f ca="1"/>
        <v>0.99962618747222676</v>
      </c>
      <c r="AL126" s="128">
        <f t="shared" ca="1" si="37"/>
        <v>1</v>
      </c>
      <c r="AM126" s="418">
        <f t="shared" ca="1" si="32"/>
        <v>3.6698196917383162E-6</v>
      </c>
      <c r="AN126" s="418">
        <f t="shared" ca="1" si="33"/>
        <v>2.0851083989852623E-6</v>
      </c>
    </row>
    <row r="127" spans="4:40" ht="12" customHeight="1" x14ac:dyDescent="0.25">
      <c r="D127" s="341">
        <f t="shared" si="38"/>
        <v>117</v>
      </c>
      <c r="E127" s="63">
        <f t="shared" si="34"/>
        <v>29.25</v>
      </c>
      <c r="F127" s="63">
        <f t="shared" si="39"/>
        <v>99.25</v>
      </c>
      <c r="G127" s="62">
        <f t="shared" si="35"/>
        <v>0</v>
      </c>
      <c r="H127" s="116">
        <f t="array" aca="1" ref="H127:T127" ca="1">MMULT(H126:T126, OFFSET(C.rngTPMroot, MIN(4, INT(($F126-70)/5))*13, $G127*16))</f>
        <v>5.5730081582687786E-5</v>
      </c>
      <c r="I127" s="116">
        <f ca="1"/>
        <v>0</v>
      </c>
      <c r="J127" s="116">
        <f ca="1"/>
        <v>2.2517846333352563E-6</v>
      </c>
      <c r="K127" s="116">
        <f ca="1"/>
        <v>2.6132566184487382E-7</v>
      </c>
      <c r="L127" s="116">
        <f ca="1"/>
        <v>9.8950102386722708E-8</v>
      </c>
      <c r="M127" s="116">
        <f ca="1"/>
        <v>1.1483425463086217E-8</v>
      </c>
      <c r="N127" s="116">
        <f ca="1"/>
        <v>5.3687083987196832E-7</v>
      </c>
      <c r="O127" s="116">
        <f ca="1"/>
        <v>6.2305304636061596E-8</v>
      </c>
      <c r="P127" s="116">
        <f ca="1"/>
        <v>2.1640308511459302E-4</v>
      </c>
      <c r="Q127" s="116">
        <f ca="1"/>
        <v>1.6438745235871006E-6</v>
      </c>
      <c r="R127" s="116">
        <f ca="1"/>
        <v>5.3372274254293913E-8</v>
      </c>
      <c r="S127" s="116">
        <f ca="1"/>
        <v>2.0376422309308725E-5</v>
      </c>
      <c r="T127" s="116">
        <f ca="1"/>
        <v>0.99970257044422628</v>
      </c>
      <c r="U127" s="283">
        <f t="shared" ca="1" si="36"/>
        <v>0.99999999999999822</v>
      </c>
      <c r="V127" s="418">
        <f t="shared" ca="1" si="30"/>
        <v>2.8876055755939477E-6</v>
      </c>
      <c r="W127" s="418">
        <f t="shared" ca="1" si="31"/>
        <v>1.6972467978413945E-6</v>
      </c>
      <c r="Y127" s="116">
        <f t="array" aca="1" ref="Y127:AK127" ca="1">MMULT(Y126:AK126, OFFSET(C.rngTPMroot, MIN(4, INT(($F126-70)/5))*13, $G127*16))</f>
        <v>1.0373552129838657E-4</v>
      </c>
      <c r="Z127" s="116">
        <f ca="1"/>
        <v>0</v>
      </c>
      <c r="AA127" s="116">
        <f ca="1"/>
        <v>2.4892540035339892E-6</v>
      </c>
      <c r="AB127" s="116">
        <f ca="1"/>
        <v>2.8888462082184897E-7</v>
      </c>
      <c r="AC127" s="116">
        <f ca="1"/>
        <v>1.0938521156502429E-7</v>
      </c>
      <c r="AD127" s="116">
        <f ca="1"/>
        <v>1.269444794368824E-8</v>
      </c>
      <c r="AE127" s="116">
        <f ca="1"/>
        <v>5.9348832377122891E-7</v>
      </c>
      <c r="AF127" s="116">
        <f ca="1"/>
        <v>6.8875915889434924E-8</v>
      </c>
      <c r="AG127" s="116">
        <f ca="1"/>
        <v>1.9709634542069545E-4</v>
      </c>
      <c r="AH127" s="116">
        <f ca="1"/>
        <v>1.7536986107649142E-6</v>
      </c>
      <c r="AI127" s="116">
        <f ca="1"/>
        <v>5.68615711521073E-8</v>
      </c>
      <c r="AJ127" s="116">
        <f ca="1"/>
        <v>1.8766670279403463E-5</v>
      </c>
      <c r="AK127" s="116">
        <f ca="1"/>
        <v>0.99967502832029598</v>
      </c>
      <c r="AL127" s="128">
        <f t="shared" ca="1" si="37"/>
        <v>0.99999999999999989</v>
      </c>
      <c r="AM127" s="418">
        <f t="shared" ca="1" si="32"/>
        <v>3.1921275388702425E-6</v>
      </c>
      <c r="AN127" s="418">
        <f t="shared" ca="1" si="33"/>
        <v>1.8105601819170215E-6</v>
      </c>
    </row>
    <row r="128" spans="4:40" ht="12" customHeight="1" x14ac:dyDescent="0.25">
      <c r="D128" s="341">
        <f t="shared" si="38"/>
        <v>118</v>
      </c>
      <c r="E128" s="63">
        <f t="shared" si="34"/>
        <v>29.5</v>
      </c>
      <c r="F128" s="63">
        <f t="shared" si="39"/>
        <v>99.5</v>
      </c>
      <c r="G128" s="62">
        <f t="shared" si="35"/>
        <v>0</v>
      </c>
      <c r="H128" s="116">
        <f t="array" aca="1" ref="H128:T128" ca="1">MMULT(H127:T127, OFFSET(C.rngTPMroot, MIN(4, INT(($F127-70)/5))*13, $G128*16))</f>
        <v>4.8040612430440617E-5</v>
      </c>
      <c r="I128" s="116">
        <f ca="1"/>
        <v>0</v>
      </c>
      <c r="J128" s="116">
        <f ca="1"/>
        <v>1.9586749059786927E-6</v>
      </c>
      <c r="K128" s="116">
        <f ca="1"/>
        <v>2.2730948980040451E-7</v>
      </c>
      <c r="L128" s="116">
        <f ca="1"/>
        <v>8.6069990717465129E-8</v>
      </c>
      <c r="M128" s="116">
        <f ca="1"/>
        <v>9.988653868691255E-9</v>
      </c>
      <c r="N128" s="116">
        <f ca="1"/>
        <v>4.6698757343032679E-7</v>
      </c>
      <c r="O128" s="116">
        <f ca="1"/>
        <v>5.419516364638168E-8</v>
      </c>
      <c r="P128" s="116">
        <f ca="1"/>
        <v>1.8866959368948983E-4</v>
      </c>
      <c r="Q128" s="116">
        <f ca="1"/>
        <v>1.425668136939508E-6</v>
      </c>
      <c r="R128" s="116">
        <f ca="1"/>
        <v>4.6282604961927339E-8</v>
      </c>
      <c r="S128" s="116">
        <f ca="1"/>
        <v>1.7474015277417012E-5</v>
      </c>
      <c r="T128" s="116">
        <f ca="1"/>
        <v>0.99974154060208154</v>
      </c>
      <c r="U128" s="283">
        <f t="shared" ca="1" si="36"/>
        <v>0.99999999999999822</v>
      </c>
      <c r="V128" s="418">
        <f t="shared" ca="1" si="30"/>
        <v>2.5117324701264843E-6</v>
      </c>
      <c r="W128" s="418">
        <f t="shared" ca="1" si="31"/>
        <v>1.4719507419014353E-6</v>
      </c>
      <c r="Y128" s="116">
        <f t="array" aca="1" ref="Y128:AK128" ca="1">MMULT(Y127:AK127, OFFSET(C.rngTPMroot, MIN(4, INT(($F127-70)/5))*13, $G128*16))</f>
        <v>8.9422405861210998E-5</v>
      </c>
      <c r="Z128" s="116">
        <f ca="1"/>
        <v>0</v>
      </c>
      <c r="AA128" s="116">
        <f ca="1"/>
        <v>2.1652334238143428E-6</v>
      </c>
      <c r="AB128" s="116">
        <f ca="1"/>
        <v>2.5128116124002424E-7</v>
      </c>
      <c r="AC128" s="116">
        <f ca="1"/>
        <v>9.5146785267934123E-8</v>
      </c>
      <c r="AD128" s="116">
        <f ca="1"/>
        <v>1.1042040284166494E-8</v>
      </c>
      <c r="AE128" s="116">
        <f ca="1"/>
        <v>5.1623528713768989E-7</v>
      </c>
      <c r="AF128" s="116">
        <f ca="1"/>
        <v>5.9910493251354354E-8</v>
      </c>
      <c r="AG128" s="116">
        <f ca="1"/>
        <v>1.7225085522177514E-4</v>
      </c>
      <c r="AH128" s="116">
        <f ca="1"/>
        <v>1.5228880526820217E-6</v>
      </c>
      <c r="AI128" s="116">
        <f ca="1"/>
        <v>4.9374656556633922E-8</v>
      </c>
      <c r="AJ128" s="116">
        <f ca="1"/>
        <v>1.6173858371779033E-5</v>
      </c>
      <c r="AK128" s="116">
        <f ca="1"/>
        <v>0.99971748176864494</v>
      </c>
      <c r="AL128" s="128">
        <f t="shared" ca="1" si="37"/>
        <v>0.99999999999999989</v>
      </c>
      <c r="AM128" s="418">
        <f t="shared" ca="1" si="32"/>
        <v>2.7766154962199669E-6</v>
      </c>
      <c r="AN128" s="418">
        <f t="shared" ca="1" si="33"/>
        <v>1.5722627092386557E-6</v>
      </c>
    </row>
    <row r="129" spans="4:40" ht="12" customHeight="1" x14ac:dyDescent="0.25">
      <c r="D129" s="341">
        <f t="shared" si="38"/>
        <v>119</v>
      </c>
      <c r="E129" s="63">
        <f t="shared" si="34"/>
        <v>29.75</v>
      </c>
      <c r="F129" s="63">
        <f t="shared" si="39"/>
        <v>99.75</v>
      </c>
      <c r="G129" s="62">
        <f t="shared" si="35"/>
        <v>0</v>
      </c>
      <c r="H129" s="116">
        <f t="array" aca="1" ref="H129:T129" ca="1">MMULT(H128:T128, OFFSET(C.rngTPMroot, MIN(4, INT(($F128-70)/5))*13, $G129*16))</f>
        <v>4.1412113120048629E-5</v>
      </c>
      <c r="I129" s="116">
        <f ca="1"/>
        <v>0</v>
      </c>
      <c r="J129" s="116">
        <f ca="1"/>
        <v>1.7037186107928553E-6</v>
      </c>
      <c r="K129" s="116">
        <f ca="1"/>
        <v>1.9772112615557788E-7</v>
      </c>
      <c r="L129" s="116">
        <f ca="1"/>
        <v>7.4866454136166299E-8</v>
      </c>
      <c r="M129" s="116">
        <f ca="1"/>
        <v>8.6884533216368614E-9</v>
      </c>
      <c r="N129" s="116">
        <f ca="1"/>
        <v>4.0620085417630699E-7</v>
      </c>
      <c r="O129" s="116">
        <f ca="1"/>
        <v>4.7140701418834266E-8</v>
      </c>
      <c r="P129" s="116">
        <f ca="1"/>
        <v>1.6448605931282238E-4</v>
      </c>
      <c r="Q129" s="116">
        <f ca="1"/>
        <v>1.2365575765209846E-6</v>
      </c>
      <c r="R129" s="116">
        <f ca="1"/>
        <v>4.0139094707055382E-8</v>
      </c>
      <c r="S129" s="116">
        <f ca="1"/>
        <v>1.4990368009383074E-5</v>
      </c>
      <c r="T129" s="116">
        <f ca="1"/>
        <v>0.99977539642668478</v>
      </c>
      <c r="U129" s="283">
        <f t="shared" ca="1" si="36"/>
        <v>0.99999999999999822</v>
      </c>
      <c r="V129" s="418">
        <f t="shared" ca="1" si="30"/>
        <v>2.1847859191053286E-6</v>
      </c>
      <c r="W129" s="418">
        <f t="shared" ca="1" si="31"/>
        <v>1.27669667122804E-6</v>
      </c>
      <c r="Y129" s="116">
        <f t="array" aca="1" ref="Y129:AK129" ca="1">MMULT(Y128:AK128, OFFSET(C.rngTPMroot, MIN(4, INT(($F128-70)/5))*13, $G129*16))</f>
        <v>7.708417107199241E-5</v>
      </c>
      <c r="Z129" s="116">
        <f ca="1"/>
        <v>0</v>
      </c>
      <c r="AA129" s="116">
        <f ca="1"/>
        <v>1.8833898722054488E-6</v>
      </c>
      <c r="AB129" s="116">
        <f ca="1"/>
        <v>2.1857245918630599E-7</v>
      </c>
      <c r="AC129" s="116">
        <f ca="1"/>
        <v>8.2761742810552073E-8</v>
      </c>
      <c r="AD129" s="116">
        <f ca="1"/>
        <v>9.6047228030722182E-9</v>
      </c>
      <c r="AE129" s="116">
        <f ca="1"/>
        <v>4.4903810405688812E-7</v>
      </c>
      <c r="AF129" s="116">
        <f ca="1"/>
        <v>5.2112079458694267E-8</v>
      </c>
      <c r="AG129" s="116">
        <f ca="1"/>
        <v>1.5052767175762673E-4</v>
      </c>
      <c r="AH129" s="116">
        <f ca="1"/>
        <v>1.3225369213621394E-6</v>
      </c>
      <c r="AI129" s="116">
        <f ca="1"/>
        <v>4.2876281086052281E-8</v>
      </c>
      <c r="AJ129" s="116">
        <f ca="1"/>
        <v>1.3943117087368167E-5</v>
      </c>
      <c r="AK129" s="116">
        <f ca="1"/>
        <v>0.99975438414789997</v>
      </c>
      <c r="AL129" s="128">
        <f t="shared" ca="1" si="37"/>
        <v>0.99999999999999989</v>
      </c>
      <c r="AM129" s="418">
        <f t="shared" ca="1" si="32"/>
        <v>2.4151897190728887E-6</v>
      </c>
      <c r="AN129" s="418">
        <f t="shared" ca="1" si="33"/>
        <v>1.3654132024481917E-6</v>
      </c>
    </row>
    <row r="130" spans="4:40" ht="12" customHeight="1" x14ac:dyDescent="0.25">
      <c r="D130" s="341">
        <f t="shared" si="38"/>
        <v>120</v>
      </c>
      <c r="E130" s="63">
        <f t="shared" si="34"/>
        <v>30</v>
      </c>
      <c r="F130" s="63">
        <f t="shared" si="39"/>
        <v>100</v>
      </c>
      <c r="G130" s="62">
        <f t="shared" si="35"/>
        <v>0</v>
      </c>
      <c r="H130" s="116">
        <f t="array" aca="1" ref="H130:T130" ca="1">MMULT(H129:T129, OFFSET(C.rngTPMroot, MIN(4, INT(($F129-70)/5))*13, $G130*16))</f>
        <v>3.5698194221625473E-5</v>
      </c>
      <c r="I130" s="116">
        <f ca="1"/>
        <v>0</v>
      </c>
      <c r="J130" s="116">
        <f ca="1"/>
        <v>1.4819494015580718E-6</v>
      </c>
      <c r="K130" s="116">
        <f ca="1"/>
        <v>1.7198421307688136E-7</v>
      </c>
      <c r="L130" s="116">
        <f ca="1"/>
        <v>6.5121256644742971E-8</v>
      </c>
      <c r="M130" s="116">
        <f ca="1"/>
        <v>7.5574969474994395E-9</v>
      </c>
      <c r="N130" s="116">
        <f ca="1"/>
        <v>3.5332660507759491E-7</v>
      </c>
      <c r="O130" s="116">
        <f ca="1"/>
        <v>4.1004502629784947E-8</v>
      </c>
      <c r="P130" s="116">
        <f ca="1"/>
        <v>1.4339867746001683E-4</v>
      </c>
      <c r="Q130" s="116">
        <f ca="1"/>
        <v>1.0726420871612086E-6</v>
      </c>
      <c r="R130" s="116">
        <f ca="1"/>
        <v>3.4814765364156205E-8</v>
      </c>
      <c r="S130" s="116">
        <f ca="1"/>
        <v>1.2864262061040227E-5</v>
      </c>
      <c r="T130" s="116">
        <f ca="1"/>
        <v>0.99980481046592717</v>
      </c>
      <c r="U130" s="283">
        <f t="shared" ca="1" si="36"/>
        <v>0.99999999999999833</v>
      </c>
      <c r="V130" s="418">
        <f t="shared" ca="1" si="30"/>
        <v>1.9003972632804096E-6</v>
      </c>
      <c r="W130" s="418">
        <f t="shared" ca="1" si="31"/>
        <v>1.1074568525253647E-6</v>
      </c>
      <c r="Y130" s="116">
        <f t="array" aca="1" ref="Y130:AK130" ca="1">MMULT(Y129:AK129, OFFSET(C.rngTPMroot, MIN(4, INT(($F129-70)/5))*13, $G130*16))</f>
        <v>6.6448328834704907E-5</v>
      </c>
      <c r="Z130" s="116">
        <f ca="1"/>
        <v>0</v>
      </c>
      <c r="AA130" s="116">
        <f ca="1"/>
        <v>1.6382332600783861E-6</v>
      </c>
      <c r="AB130" s="116">
        <f ca="1"/>
        <v>1.9012137511222204E-7</v>
      </c>
      <c r="AC130" s="116">
        <f ca="1"/>
        <v>7.1988833398329777E-8</v>
      </c>
      <c r="AD130" s="116">
        <f ca="1"/>
        <v>8.3544976969642502E-9</v>
      </c>
      <c r="AE130" s="116">
        <f ca="1"/>
        <v>3.9058782675044971E-7</v>
      </c>
      <c r="AF130" s="116">
        <f ca="1"/>
        <v>4.5328767601957176E-8</v>
      </c>
      <c r="AG130" s="116">
        <f ca="1"/>
        <v>1.3153579373816014E-4</v>
      </c>
      <c r="AH130" s="116">
        <f ca="1"/>
        <v>1.1486123478545744E-6</v>
      </c>
      <c r="AI130" s="116">
        <f ca="1"/>
        <v>3.7235478134547679E-8</v>
      </c>
      <c r="AJ130" s="116">
        <f ca="1"/>
        <v>1.2023291809414147E-5</v>
      </c>
      <c r="AK130" s="116">
        <f ca="1"/>
        <v>0.99978646212323097</v>
      </c>
      <c r="AL130" s="128">
        <f t="shared" ca="1" si="37"/>
        <v>0.99999999999999989</v>
      </c>
      <c r="AM130" s="418">
        <f t="shared" ca="1" si="32"/>
        <v>2.1008099202271656E-6</v>
      </c>
      <c r="AN130" s="418">
        <f t="shared" ca="1" si="33"/>
        <v>1.1858478259891222E-6</v>
      </c>
    </row>
  </sheetData>
  <mergeCells count="38">
    <mergeCell ref="Q7:Q9"/>
    <mergeCell ref="N7:N9"/>
    <mergeCell ref="AI7:AI9"/>
    <mergeCell ref="Y6:AL6"/>
    <mergeCell ref="AJ7:AJ9"/>
    <mergeCell ref="AK7:AK9"/>
    <mergeCell ref="AL7:AL9"/>
    <mergeCell ref="AD7:AD9"/>
    <mergeCell ref="AE7:AE9"/>
    <mergeCell ref="AF7:AF9"/>
    <mergeCell ref="AG7:AG9"/>
    <mergeCell ref="AH7:AH9"/>
    <mergeCell ref="Y7:Y9"/>
    <mergeCell ref="Z7:Z9"/>
    <mergeCell ref="AA7:AA9"/>
    <mergeCell ref="V7:V9"/>
    <mergeCell ref="D6:D9"/>
    <mergeCell ref="F6:F9"/>
    <mergeCell ref="H7:H9"/>
    <mergeCell ref="I7:I9"/>
    <mergeCell ref="G6:G9"/>
    <mergeCell ref="E6:E9"/>
    <mergeCell ref="H6:U6"/>
    <mergeCell ref="J7:J9"/>
    <mergeCell ref="K7:K9"/>
    <mergeCell ref="S7:S9"/>
    <mergeCell ref="T7:T9"/>
    <mergeCell ref="U7:U9"/>
    <mergeCell ref="L7:L9"/>
    <mergeCell ref="M7:M9"/>
    <mergeCell ref="O7:O9"/>
    <mergeCell ref="P7:P9"/>
    <mergeCell ref="W7:W9"/>
    <mergeCell ref="AM7:AM9"/>
    <mergeCell ref="AN7:AN9"/>
    <mergeCell ref="R7:R9"/>
    <mergeCell ref="AB7:AB9"/>
    <mergeCell ref="AC7:AC9"/>
  </mergeCells>
  <conditionalFormatting sqref="AL10:AL130">
    <cfRule type="expression" dxfId="16" priority="1">
      <formula>ROUND(AL10,10)&lt;&gt;1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9D1B4-90E8-4701-832D-8C72F305CA1E}">
  <sheetPr codeName="shtTraceQALYs9">
    <tabColor theme="9" tint="-0.249977111117893"/>
  </sheetPr>
  <dimension ref="A1:AI234"/>
  <sheetViews>
    <sheetView workbookViewId="0">
      <pane xSplit="6" ySplit="10" topLeftCell="G11" activePane="bottomRight" state="frozen"/>
      <selection activeCell="K40" sqref="K40"/>
      <selection pane="topRight" activeCell="K40" sqref="K40"/>
      <selection pane="bottomLeft" activeCell="K40" sqref="K40"/>
      <selection pane="bottomRight" activeCell="G11" sqref="G11"/>
    </sheetView>
  </sheetViews>
  <sheetFormatPr defaultColWidth="9.28515625" defaultRowHeight="12" customHeight="1" x14ac:dyDescent="0.25"/>
  <cols>
    <col min="1" max="1" width="1.7109375" style="326" customWidth="1"/>
    <col min="2" max="2" width="19.7109375" style="326" customWidth="1"/>
    <col min="3" max="3" width="1.7109375" style="340" customWidth="1"/>
    <col min="4" max="4" width="9.28515625" style="10"/>
    <col min="7" max="19" width="11.7109375" customWidth="1"/>
    <col min="20" max="20" width="12" style="78" customWidth="1"/>
    <col min="21" max="21" width="1.7109375" customWidth="1"/>
    <col min="22" max="34" width="11.7109375" customWidth="1"/>
    <col min="35" max="35" width="12" style="78" customWidth="1"/>
    <col min="36" max="36" width="1.7109375" customWidth="1"/>
  </cols>
  <sheetData>
    <row r="1" spans="1:35" s="342" customFormat="1" ht="24.95" customHeight="1" thickBot="1" x14ac:dyDescent="0.3">
      <c r="A1" s="326"/>
      <c r="B1" s="326"/>
      <c r="C1" s="326"/>
      <c r="D1" s="343" t="str">
        <f>C.zWorkbookTitle</f>
        <v>Camacho et al. (2024) Harms of hazardous prescribing of NSAIDs -- C: NSAIDs - DOAC/warfarin</v>
      </c>
    </row>
    <row r="2" spans="1:35" s="8" customFormat="1" ht="12" hidden="1" customHeight="1" thickTop="1" x14ac:dyDescent="0.25">
      <c r="A2" s="326"/>
      <c r="B2" s="326"/>
      <c r="C2" s="340"/>
      <c r="D2" s="324">
        <f>COLUMNS(G2:U2)</f>
        <v>15</v>
      </c>
      <c r="F2" s="8" t="s">
        <v>80</v>
      </c>
      <c r="G2" s="8">
        <f>MAX($F$2:F2)+1</f>
        <v>1</v>
      </c>
      <c r="H2" s="8">
        <f t="shared" ref="H2:M2" si="0">G2</f>
        <v>1</v>
      </c>
      <c r="I2" s="8">
        <f t="shared" si="0"/>
        <v>1</v>
      </c>
      <c r="J2" s="8">
        <f t="shared" si="0"/>
        <v>1</v>
      </c>
      <c r="K2" s="8">
        <f t="shared" si="0"/>
        <v>1</v>
      </c>
      <c r="L2" s="8">
        <f t="shared" si="0"/>
        <v>1</v>
      </c>
      <c r="M2" s="8">
        <f t="shared" si="0"/>
        <v>1</v>
      </c>
      <c r="N2" s="8">
        <f>J2</f>
        <v>1</v>
      </c>
      <c r="O2" s="8">
        <f>N2</f>
        <v>1</v>
      </c>
      <c r="P2" s="8">
        <f>O2</f>
        <v>1</v>
      </c>
      <c r="Q2" s="8">
        <f>M2</f>
        <v>1</v>
      </c>
      <c r="R2" s="8">
        <f>Q2</f>
        <v>1</v>
      </c>
      <c r="S2" s="8">
        <f>R2</f>
        <v>1</v>
      </c>
      <c r="T2" s="344"/>
      <c r="V2" s="8">
        <f>MAX($F$2:U2)+1</f>
        <v>2</v>
      </c>
      <c r="W2" s="8">
        <f t="shared" ref="W2:AB2" si="1">V2</f>
        <v>2</v>
      </c>
      <c r="X2" s="8">
        <f t="shared" si="1"/>
        <v>2</v>
      </c>
      <c r="Y2" s="8">
        <f t="shared" si="1"/>
        <v>2</v>
      </c>
      <c r="Z2" s="8">
        <f t="shared" si="1"/>
        <v>2</v>
      </c>
      <c r="AA2" s="8">
        <f t="shared" si="1"/>
        <v>2</v>
      </c>
      <c r="AB2" s="8">
        <f t="shared" si="1"/>
        <v>2</v>
      </c>
      <c r="AC2" s="8">
        <f>Y2</f>
        <v>2</v>
      </c>
      <c r="AD2" s="8">
        <f>AC2</f>
        <v>2</v>
      </c>
      <c r="AE2" s="8">
        <f>AD2</f>
        <v>2</v>
      </c>
      <c r="AF2" s="8">
        <f>AB2</f>
        <v>2</v>
      </c>
      <c r="AG2" s="8">
        <f>AF2</f>
        <v>2</v>
      </c>
      <c r="AH2" s="8">
        <f>AG2</f>
        <v>2</v>
      </c>
      <c r="AI2" s="344"/>
    </row>
    <row r="3" spans="1:35" ht="12" hidden="1" customHeight="1" x14ac:dyDescent="0.25">
      <c r="F3" t="s">
        <v>79</v>
      </c>
      <c r="G3">
        <v>1</v>
      </c>
      <c r="H3">
        <f t="shared" ref="H3:S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Q3">
        <f t="shared" si="2"/>
        <v>11</v>
      </c>
      <c r="R3">
        <f t="shared" si="2"/>
        <v>12</v>
      </c>
      <c r="S3">
        <f t="shared" si="2"/>
        <v>13</v>
      </c>
      <c r="V3">
        <v>1</v>
      </c>
      <c r="W3">
        <f t="shared" ref="W3:AH3" si="3">V3+1</f>
        <v>2</v>
      </c>
      <c r="X3">
        <f t="shared" si="3"/>
        <v>3</v>
      </c>
      <c r="Y3">
        <f t="shared" si="3"/>
        <v>4</v>
      </c>
      <c r="Z3">
        <f t="shared" si="3"/>
        <v>5</v>
      </c>
      <c r="AA3">
        <f t="shared" si="3"/>
        <v>6</v>
      </c>
      <c r="AB3">
        <f t="shared" si="3"/>
        <v>7</v>
      </c>
      <c r="AC3">
        <f t="shared" si="3"/>
        <v>8</v>
      </c>
      <c r="AD3">
        <f t="shared" si="3"/>
        <v>9</v>
      </c>
      <c r="AE3">
        <f t="shared" si="3"/>
        <v>10</v>
      </c>
      <c r="AF3">
        <f t="shared" si="3"/>
        <v>11</v>
      </c>
      <c r="AG3">
        <f t="shared" si="3"/>
        <v>12</v>
      </c>
      <c r="AH3">
        <f t="shared" si="3"/>
        <v>13</v>
      </c>
    </row>
    <row r="4" spans="1:35" ht="12" customHeight="1" thickTop="1" x14ac:dyDescent="0.25">
      <c r="F4" s="56" t="s">
        <v>43</v>
      </c>
      <c r="G4" s="92">
        <f t="shared" ref="G4:T4" ca="1" si="4">SUM(OFFSET(G$11, 0, 0, timeHorizon*C.cyclesPerYear))</f>
        <v>1.6335106211559113E-2</v>
      </c>
      <c r="H4" s="92">
        <f t="shared" ca="1" si="4"/>
        <v>3.7079997110908587</v>
      </c>
      <c r="I4" s="92">
        <f t="shared" ca="1" si="4"/>
        <v>6.016510850543344E-2</v>
      </c>
      <c r="J4" s="92">
        <f t="shared" ca="1" si="4"/>
        <v>5.9898355614427497E-3</v>
      </c>
      <c r="K4" s="92">
        <f t="shared" ca="1" si="4"/>
        <v>2.1347319512971074E-3</v>
      </c>
      <c r="L4" s="92">
        <f t="shared" ca="1" si="4"/>
        <v>2.1236998685556961E-4</v>
      </c>
      <c r="M4" s="92">
        <f t="shared" ca="1" si="4"/>
        <v>1.4876679675350337E-2</v>
      </c>
      <c r="N4" s="92">
        <f t="shared" ca="1" si="4"/>
        <v>1.4822206889906623E-3</v>
      </c>
      <c r="O4" s="92">
        <f t="shared" ca="1" si="4"/>
        <v>1.4387676127234463</v>
      </c>
      <c r="P4" s="92">
        <f t="shared" ca="1" si="4"/>
        <v>1.8056619769651672E-2</v>
      </c>
      <c r="Q4" s="92">
        <f t="shared" ca="1" si="4"/>
        <v>3.733662704798098E-4</v>
      </c>
      <c r="R4" s="92">
        <f t="shared" ca="1" si="4"/>
        <v>0.28815200411482755</v>
      </c>
      <c r="S4" s="92">
        <f t="shared" ca="1" si="4"/>
        <v>0</v>
      </c>
      <c r="T4" s="92">
        <f t="shared" ca="1" si="4"/>
        <v>5.5545453665501929</v>
      </c>
      <c r="V4" s="92">
        <f t="shared" ref="V4:AI4" ca="1" si="5">SUM(OFFSET(V$11, 0, 0, timeHorizon*C.cyclesPerYear))</f>
        <v>4.7277139417580356</v>
      </c>
      <c r="W4" s="92">
        <f t="shared" ca="1" si="5"/>
        <v>0</v>
      </c>
      <c r="X4" s="92">
        <f t="shared" ca="1" si="5"/>
        <v>3.5266163439504457E-2</v>
      </c>
      <c r="Y4" s="92">
        <f t="shared" ca="1" si="5"/>
        <v>3.4979573940130209E-3</v>
      </c>
      <c r="Z4" s="92">
        <f t="shared" ca="1" si="5"/>
        <v>1.4954233249481791E-3</v>
      </c>
      <c r="AA4" s="92">
        <f t="shared" ca="1" si="5"/>
        <v>1.4832372942319053E-4</v>
      </c>
      <c r="AB4" s="92">
        <f t="shared" ca="1" si="5"/>
        <v>6.3828344573362032E-3</v>
      </c>
      <c r="AC4" s="92">
        <f t="shared" ca="1" si="5"/>
        <v>6.3297139365134966E-4</v>
      </c>
      <c r="AD4" s="92">
        <f t="shared" ca="1" si="5"/>
        <v>0.75011635613943917</v>
      </c>
      <c r="AE4" s="92">
        <f t="shared" ca="1" si="5"/>
        <v>8.4438098153234876E-3</v>
      </c>
      <c r="AF4" s="92">
        <f t="shared" ca="1" si="5"/>
        <v>1.7386248309881315E-4</v>
      </c>
      <c r="AG4" s="92">
        <f t="shared" ca="1" si="5"/>
        <v>0.12630050980237717</v>
      </c>
      <c r="AH4" s="92">
        <f t="shared" ca="1" si="5"/>
        <v>0</v>
      </c>
      <c r="AI4" s="92">
        <f t="shared" ca="1" si="5"/>
        <v>5.660172153737153</v>
      </c>
    </row>
    <row r="5" spans="1:35" ht="12" customHeight="1" x14ac:dyDescent="0.25">
      <c r="F5" s="57" t="s">
        <v>42</v>
      </c>
      <c r="G5" s="92">
        <f t="array" aca="1" ref="G5" ca="1">SUM(OFFSET(G$11, 0, 0, timeHorizon*C.cyclesPerYear) / (1+DQALYs)^(OFFSET($D$11, 0, 0, timeHorizon*C.cyclesPerYear)/C.cyclesPerYear))</f>
        <v>1.1680288023274241E-2</v>
      </c>
      <c r="H5" s="92">
        <f t="array" aca="1" ref="H5" ca="1">SUM(OFFSET(H$11, 0, 0, timeHorizon*C.cyclesPerYear) / (1+DQALYs)^(OFFSET($D$11, 0, 0, timeHorizon*C.cyclesPerYear)/C.cyclesPerYear))</f>
        <v>3.3034268870304317</v>
      </c>
      <c r="I5" s="92">
        <f t="array" aca="1" ref="I5" ca="1">SUM(OFFSET(I$11, 0, 0, timeHorizon*C.cyclesPerYear) / (1+DQALYs)^(OFFSET($D$11, 0, 0, timeHorizon*C.cyclesPerYear)/C.cyclesPerYear))</f>
        <v>5.2731971170271993E-2</v>
      </c>
      <c r="J5" s="92">
        <f t="array" aca="1" ref="J5" ca="1">SUM(OFFSET(J$11, 0, 0, timeHorizon*C.cyclesPerYear) / (1+DQALYs)^(OFFSET($D$11, 0, 0, timeHorizon*C.cyclesPerYear)/C.cyclesPerYear))</f>
        <v>5.2174821815658395E-3</v>
      </c>
      <c r="K5" s="92">
        <f t="array" aca="1" ref="K5" ca="1">SUM(OFFSET(K$11, 0, 0, timeHorizon*C.cyclesPerYear) / (1+DQALYs)^(OFFSET($D$11, 0, 0, timeHorizon*C.cyclesPerYear)/C.cyclesPerYear))</f>
        <v>1.8666498427021784E-3</v>
      </c>
      <c r="L5" s="92">
        <f t="array" aca="1" ref="L5" ca="1">SUM(OFFSET(L$11, 0, 0, timeHorizon*C.cyclesPerYear) / (1+DQALYs)^(OFFSET($D$11, 0, 0, timeHorizon*C.cyclesPerYear)/C.cyclesPerYear))</f>
        <v>1.8457549388732392E-4</v>
      </c>
      <c r="M5" s="92">
        <f t="array" aca="1" ref="M5" ca="1">SUM(OFFSET(M$11, 0, 0, timeHorizon*C.cyclesPerYear) / (1+DQALYs)^(OFFSET($D$11, 0, 0, timeHorizon*C.cyclesPerYear)/C.cyclesPerYear))</f>
        <v>1.308687166142272E-2</v>
      </c>
      <c r="N5" s="92">
        <f t="array" aca="1" ref="N5" ca="1">SUM(OFFSET(N$11, 0, 0, timeHorizon*C.cyclesPerYear) / (1+DQALYs)^(OFFSET($D$11, 0, 0, timeHorizon*C.cyclesPerYear)/C.cyclesPerYear))</f>
        <v>1.2956722269085257E-3</v>
      </c>
      <c r="O5" s="92">
        <f t="array" aca="1" ref="O5" ca="1">SUM(OFFSET(O$11, 0, 0, timeHorizon*C.cyclesPerYear) / (1+DQALYs)^(OFFSET($D$11, 0, 0, timeHorizon*C.cyclesPerYear)/C.cyclesPerYear))</f>
        <v>1.1782607537046386</v>
      </c>
      <c r="P5" s="92">
        <f t="array" aca="1" ref="P5" ca="1">SUM(OFFSET(P$11, 0, 0, timeHorizon*C.cyclesPerYear) / (1+DQALYs)^(OFFSET($D$11, 0, 0, timeHorizon*C.cyclesPerYear)/C.cyclesPerYear))</f>
        <v>1.5757797639945233E-2</v>
      </c>
      <c r="Q5" s="92">
        <f t="array" aca="1" ref="Q5" ca="1">SUM(OFFSET(Q$11, 0, 0, timeHorizon*C.cyclesPerYear) / (1+DQALYs)^(OFFSET($D$11, 0, 0, timeHorizon*C.cyclesPerYear)/C.cyclesPerYear))</f>
        <v>3.2389109271382775E-4</v>
      </c>
      <c r="R5" s="92">
        <f t="array" aca="1" ref="R5" ca="1">SUM(OFFSET(R$11, 0, 0, timeHorizon*C.cyclesPerYear) / (1+DQALYs)^(OFFSET($D$11, 0, 0, timeHorizon*C.cyclesPerYear)/C.cyclesPerYear))</f>
        <v>0.23580884700717777</v>
      </c>
      <c r="S5" s="92">
        <f t="array" aca="1" ref="S5" ca="1">SUM(OFFSET(S$11, 0, 0, timeHorizon*C.cyclesPerYear) / (1+DQALYs)^(OFFSET($D$11, 0, 0, timeHorizon*C.cyclesPerYear)/C.cyclesPerYear))</f>
        <v>0</v>
      </c>
      <c r="T5" s="92">
        <f t="array" aca="1" ref="T5" ca="1">SUM(OFFSET(T$11, 0, 0, timeHorizon*C.cyclesPerYear) / (1+DQALYs)^(OFFSET($D$11, 0, 0, timeHorizon*C.cyclesPerYear)/C.cyclesPerYear))</f>
        <v>4.8196416870749408</v>
      </c>
      <c r="V5" s="92">
        <f t="array" aca="1" ref="V5" ca="1">SUM(OFFSET(V$11, 0, 0, timeHorizon*C.cyclesPerYear) / (1+DQALYs)^(OFFSET($D$11, 0, 0, timeHorizon*C.cyclesPerYear)/C.cyclesPerYear))</f>
        <v>4.1442097730180638</v>
      </c>
      <c r="W5" s="92">
        <f t="array" aca="1" ref="W5" ca="1">SUM(OFFSET(W$11, 0, 0, timeHorizon*C.cyclesPerYear) / (1+DQALYs)^(OFFSET($D$11, 0, 0, timeHorizon*C.cyclesPerYear)/C.cyclesPerYear))</f>
        <v>0</v>
      </c>
      <c r="X5" s="92">
        <f t="array" aca="1" ref="X5" ca="1">SUM(OFFSET(X$11, 0, 0, timeHorizon*C.cyclesPerYear) / (1+DQALYs)^(OFFSET($D$11, 0, 0, timeHorizon*C.cyclesPerYear)/C.cyclesPerYear))</f>
        <v>3.0527641207783465E-2</v>
      </c>
      <c r="Y5" s="92">
        <f t="array" aca="1" ref="Y5" ca="1">SUM(OFFSET(Y$11, 0, 0, timeHorizon*C.cyclesPerYear) / (1+DQALYs)^(OFFSET($D$11, 0, 0, timeHorizon*C.cyclesPerYear)/C.cyclesPerYear))</f>
        <v>3.0108255557790855E-3</v>
      </c>
      <c r="Z5" s="92">
        <f t="array" aca="1" ref="Z5" ca="1">SUM(OFFSET(Z$11, 0, 0, timeHorizon*C.cyclesPerYear) / (1+DQALYs)^(OFFSET($D$11, 0, 0, timeHorizon*C.cyclesPerYear)/C.cyclesPerYear))</f>
        <v>1.2945618434608689E-3</v>
      </c>
      <c r="AA5" s="92">
        <f t="array" aca="1" ref="AA5" ca="1">SUM(OFFSET(AA$11, 0, 0, timeHorizon*C.cyclesPerYear) / (1+DQALYs)^(OFFSET($D$11, 0, 0, timeHorizon*C.cyclesPerYear)/C.cyclesPerYear))</f>
        <v>1.2767474326280675E-4</v>
      </c>
      <c r="AB5" s="92">
        <f t="array" aca="1" ref="AB5" ca="1">SUM(OFFSET(AB$11, 0, 0, timeHorizon*C.cyclesPerYear) / (1+DQALYs)^(OFFSET($D$11, 0, 0, timeHorizon*C.cyclesPerYear)/C.cyclesPerYear))</f>
        <v>5.5278348463352386E-3</v>
      </c>
      <c r="AC5" s="92">
        <f t="array" aca="1" ref="AC5" ca="1">SUM(OFFSET(AC$11, 0, 0, timeHorizon*C.cyclesPerYear) / (1+DQALYs)^(OFFSET($D$11, 0, 0, timeHorizon*C.cyclesPerYear)/C.cyclesPerYear))</f>
        <v>5.4507801189625736E-4</v>
      </c>
      <c r="AD5" s="92">
        <f t="array" aca="1" ref="AD5" ca="1">SUM(OFFSET(AD$11, 0, 0, timeHorizon*C.cyclesPerYear) / (1+DQALYs)^(OFFSET($D$11, 0, 0, timeHorizon*C.cyclesPerYear)/C.cyclesPerYear))</f>
        <v>0.61093604134971646</v>
      </c>
      <c r="AE5" s="92">
        <f t="array" aca="1" ref="AE5" ca="1">SUM(OFFSET(AE$11, 0, 0, timeHorizon*C.cyclesPerYear) / (1+DQALYs)^(OFFSET($D$11, 0, 0, timeHorizon*C.cyclesPerYear)/C.cyclesPerYear))</f>
        <v>7.2698729276935263E-3</v>
      </c>
      <c r="AF5" s="92">
        <f t="array" aca="1" ref="AF5" ca="1">SUM(OFFSET(AF$11, 0, 0, timeHorizon*C.cyclesPerYear) / (1+DQALYs)^(OFFSET($D$11, 0, 0, timeHorizon*C.cyclesPerYear)/C.cyclesPerYear))</f>
        <v>1.4887927054415312E-4</v>
      </c>
      <c r="AG5" s="92">
        <f t="array" aca="1" ref="AG5" ca="1">SUM(OFFSET(AG$11, 0, 0, timeHorizon*C.cyclesPerYear) / (1+DQALYs)^(OFFSET($D$11, 0, 0, timeHorizon*C.cyclesPerYear)/C.cyclesPerYear))</f>
        <v>0.10276556414329588</v>
      </c>
      <c r="AH5" s="92">
        <f t="array" aca="1" ref="AH5" ca="1">SUM(OFFSET(AH$11, 0, 0, timeHorizon*C.cyclesPerYear) / (1+DQALYs)^(OFFSET($D$11, 0, 0, timeHorizon*C.cyclesPerYear)/C.cyclesPerYear))</f>
        <v>0</v>
      </c>
      <c r="AI5" s="92">
        <f t="array" aca="1" ref="AI5" ca="1">SUM(OFFSET(AI$11, 0, 0, timeHorizon*C.cyclesPerYear) / (1+DQALYs)^(OFFSET($D$11, 0, 0, timeHorizon*C.cyclesPerYear)/C.cyclesPerYear))</f>
        <v>4.9063637469178323</v>
      </c>
    </row>
    <row r="6" spans="1:35" ht="12" customHeight="1" thickBot="1" x14ac:dyDescent="0.3">
      <c r="D6" s="298"/>
      <c r="F6" s="57" t="s">
        <v>443</v>
      </c>
      <c r="G6" s="45">
        <f t="shared" ref="G6:R6" si="6">INDEX(C.rngU.ByState, G$3)</f>
        <v>0</v>
      </c>
      <c r="H6" s="45">
        <f t="shared" si="6"/>
        <v>0</v>
      </c>
      <c r="I6" s="45">
        <f t="shared" si="6"/>
        <v>-7.8690701001430718E-2</v>
      </c>
      <c r="J6" s="45">
        <f t="shared" si="6"/>
        <v>-7.8690701001430718E-2</v>
      </c>
      <c r="K6" s="45">
        <f t="shared" si="6"/>
        <v>-0.10199999999999998</v>
      </c>
      <c r="L6" s="45">
        <f t="shared" si="6"/>
        <v>-0.10199999999999998</v>
      </c>
      <c r="M6" s="45">
        <f t="shared" si="6"/>
        <v>-0.23899999999999999</v>
      </c>
      <c r="N6" s="45">
        <f t="shared" si="6"/>
        <v>-0.23899999999999999</v>
      </c>
      <c r="O6" s="45">
        <f t="shared" si="6"/>
        <v>0</v>
      </c>
      <c r="P6" s="45">
        <f t="shared" si="6"/>
        <v>-0.22</v>
      </c>
      <c r="Q6" s="45">
        <f t="shared" si="6"/>
        <v>-0.22</v>
      </c>
      <c r="R6" s="45">
        <f t="shared" si="6"/>
        <v>-0.18</v>
      </c>
      <c r="T6"/>
      <c r="V6" s="45">
        <f t="shared" ref="V6:AG6" si="7">INDEX(C.rngU.ByState, V$3)</f>
        <v>0</v>
      </c>
      <c r="W6" s="45">
        <f t="shared" si="7"/>
        <v>0</v>
      </c>
      <c r="X6" s="45">
        <f t="shared" si="7"/>
        <v>-7.8690701001430718E-2</v>
      </c>
      <c r="Y6" s="45">
        <f t="shared" si="7"/>
        <v>-7.8690701001430718E-2</v>
      </c>
      <c r="Z6" s="45">
        <f t="shared" si="7"/>
        <v>-0.10199999999999998</v>
      </c>
      <c r="AA6" s="45">
        <f t="shared" si="7"/>
        <v>-0.10199999999999998</v>
      </c>
      <c r="AB6" s="45">
        <f t="shared" si="7"/>
        <v>-0.23899999999999999</v>
      </c>
      <c r="AC6" s="45">
        <f t="shared" si="7"/>
        <v>-0.23899999999999999</v>
      </c>
      <c r="AD6" s="45">
        <f t="shared" si="7"/>
        <v>0</v>
      </c>
      <c r="AE6" s="45">
        <f t="shared" si="7"/>
        <v>-0.22</v>
      </c>
      <c r="AF6" s="45">
        <f t="shared" si="7"/>
        <v>-0.22</v>
      </c>
      <c r="AG6" s="45">
        <f t="shared" si="7"/>
        <v>-0.18</v>
      </c>
      <c r="AI6"/>
    </row>
    <row r="7" spans="1:35" ht="12" customHeight="1" thickBot="1" x14ac:dyDescent="0.3">
      <c r="D7" s="452" t="s">
        <v>31</v>
      </c>
      <c r="E7" s="452" t="s">
        <v>30</v>
      </c>
      <c r="F7" s="452" t="s">
        <v>637</v>
      </c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R7" s="438"/>
      <c r="S7" s="438"/>
      <c r="T7" s="438"/>
      <c r="V7" s="438" t="str">
        <f>INDEX(rngStrats, V2)</f>
        <v>No HPE</v>
      </c>
      <c r="W7" s="438"/>
      <c r="X7" s="438"/>
      <c r="Y7" s="438"/>
      <c r="Z7" s="438"/>
      <c r="AA7" s="438"/>
      <c r="AB7" s="438"/>
      <c r="AC7" s="438"/>
      <c r="AD7" s="438"/>
      <c r="AE7" s="438"/>
      <c r="AF7" s="438"/>
      <c r="AG7" s="438"/>
      <c r="AH7" s="438"/>
      <c r="AI7" s="438"/>
    </row>
    <row r="8" spans="1:35" ht="12" customHeight="1" thickBot="1" x14ac:dyDescent="0.3">
      <c r="D8" s="452"/>
      <c r="E8" s="452"/>
      <c r="F8" s="452"/>
      <c r="G8" s="501" t="str">
        <f t="shared" ref="G8:S8" ca="1" si="8">INDEX(C.rngStates, G$3)</f>
        <v>Well no HPE</v>
      </c>
      <c r="H8" s="501" t="str">
        <f t="shared" ca="1" si="8"/>
        <v>Well with HPE</v>
      </c>
      <c r="I8" s="501" t="str">
        <f t="shared" ca="1" si="8"/>
        <v>GI discomfort</v>
      </c>
      <c r="J8" s="501" t="str">
        <f t="shared" ca="1" si="8"/>
        <v>Unresolved GI discomfort</v>
      </c>
      <c r="K8" s="501" t="str">
        <f t="shared" ca="1" si="8"/>
        <v>Symptomatic ulcer</v>
      </c>
      <c r="L8" s="501" t="str">
        <f t="shared" ca="1" si="8"/>
        <v>Unresolved ulcer</v>
      </c>
      <c r="M8" s="501" t="str">
        <f t="shared" ca="1" si="8"/>
        <v>Serious GI event</v>
      </c>
      <c r="N8" s="501" t="str">
        <f t="shared" ca="1" si="8"/>
        <v>Unresolved serious GI event</v>
      </c>
      <c r="O8" s="501" t="str">
        <f t="shared" ca="1" si="8"/>
        <v>Post-GI event</v>
      </c>
      <c r="P8" s="501" t="str">
        <f t="shared" ca="1" si="8"/>
        <v>Stroke</v>
      </c>
      <c r="Q8" s="501" t="str">
        <f t="shared" ca="1" si="8"/>
        <v>Recurrent stroke</v>
      </c>
      <c r="R8" s="501" t="str">
        <f t="shared" ca="1" si="8"/>
        <v>Post-stroke</v>
      </c>
      <c r="S8" s="501" t="str">
        <f t="shared" ca="1" si="8"/>
        <v>Dead</v>
      </c>
      <c r="T8" s="528" t="s">
        <v>37</v>
      </c>
      <c r="V8" s="501" t="str">
        <f t="shared" ref="V8:AH8" ca="1" si="9">INDEX(C.rngStates, V$3)</f>
        <v>Well no HPE</v>
      </c>
      <c r="W8" s="501" t="str">
        <f t="shared" ca="1" si="9"/>
        <v>Well with HPE</v>
      </c>
      <c r="X8" s="501" t="str">
        <f t="shared" ca="1" si="9"/>
        <v>GI discomfort</v>
      </c>
      <c r="Y8" s="501" t="str">
        <f t="shared" ca="1" si="9"/>
        <v>Unresolved GI discomfort</v>
      </c>
      <c r="Z8" s="501" t="str">
        <f t="shared" ca="1" si="9"/>
        <v>Symptomatic ulcer</v>
      </c>
      <c r="AA8" s="501" t="str">
        <f t="shared" ca="1" si="9"/>
        <v>Unresolved ulcer</v>
      </c>
      <c r="AB8" s="501" t="str">
        <f t="shared" ca="1" si="9"/>
        <v>Serious GI event</v>
      </c>
      <c r="AC8" s="501" t="str">
        <f t="shared" ca="1" si="9"/>
        <v>Unresolved serious GI event</v>
      </c>
      <c r="AD8" s="501" t="str">
        <f t="shared" ca="1" si="9"/>
        <v>Post-GI event</v>
      </c>
      <c r="AE8" s="501" t="str">
        <f t="shared" ca="1" si="9"/>
        <v>Stroke</v>
      </c>
      <c r="AF8" s="501" t="str">
        <f t="shared" ca="1" si="9"/>
        <v>Recurrent stroke</v>
      </c>
      <c r="AG8" s="501" t="str">
        <f t="shared" ca="1" si="9"/>
        <v>Post-stroke</v>
      </c>
      <c r="AH8" s="501" t="str">
        <f t="shared" ca="1" si="9"/>
        <v>Dead</v>
      </c>
      <c r="AI8" s="528" t="s">
        <v>37</v>
      </c>
    </row>
    <row r="9" spans="1:35" ht="12" customHeight="1" thickBot="1" x14ac:dyDescent="0.3">
      <c r="D9" s="452"/>
      <c r="E9" s="452"/>
      <c r="F9" s="452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29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29"/>
    </row>
    <row r="10" spans="1:35" ht="12" customHeight="1" thickBot="1" x14ac:dyDescent="0.3">
      <c r="D10" s="452"/>
      <c r="E10" s="452"/>
      <c r="F10" s="452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7"/>
      <c r="R10" s="527"/>
      <c r="S10" s="527"/>
      <c r="T10" s="530"/>
      <c r="V10" s="527"/>
      <c r="W10" s="527"/>
      <c r="X10" s="527"/>
      <c r="Y10" s="527"/>
      <c r="Z10" s="527"/>
      <c r="AA10" s="527"/>
      <c r="AB10" s="527"/>
      <c r="AC10" s="527"/>
      <c r="AD10" s="527"/>
      <c r="AE10" s="527"/>
      <c r="AF10" s="527"/>
      <c r="AG10" s="527"/>
      <c r="AH10" s="527"/>
      <c r="AI10" s="530"/>
    </row>
    <row r="11" spans="1:35" ht="12" customHeight="1" x14ac:dyDescent="0.25">
      <c r="D11" s="341">
        <v>0</v>
      </c>
      <c r="E11" s="43">
        <f t="shared" ref="E11:E42" si="10">C.cohortAge+D11*C.cycleLength</f>
        <v>70</v>
      </c>
      <c r="F11" s="44">
        <f>INDEX(rngU.Anticoag_NoEvent, MATCH(E11, Parameters!$D$427:$D$433, 1))</f>
        <v>0.75468349707747795</v>
      </c>
      <c r="G11" s="45">
        <f t="shared" ref="G11:R20" ca="1" si="11">PRODUCT(AVERAGE(OFFSET(C.Trace.Markov.Root, $D11, (G$2-1)*C.Trace.Markov.NumCols+G$3-1, CHOOSE(swtchHalfCycle, 2, 1))), $F11+G$6, C.cycleLength)</f>
        <v>0</v>
      </c>
      <c r="H11" s="45">
        <f t="shared" ca="1" si="11"/>
        <v>0.18511217049487089</v>
      </c>
      <c r="I11" s="45">
        <f t="shared" ca="1" si="11"/>
        <v>1.2790335389421328E-3</v>
      </c>
      <c r="J11" s="45">
        <f t="shared" ca="1" si="11"/>
        <v>0</v>
      </c>
      <c r="K11" s="45">
        <f t="shared" ca="1" si="11"/>
        <v>4.3856675439305013E-5</v>
      </c>
      <c r="L11" s="45">
        <f t="shared" ca="1" si="11"/>
        <v>0</v>
      </c>
      <c r="M11" s="45">
        <f t="shared" ca="1" si="11"/>
        <v>3.323796227793222E-4</v>
      </c>
      <c r="N11" s="45">
        <f t="shared" ca="1" si="11"/>
        <v>0</v>
      </c>
      <c r="O11" s="45">
        <f t="shared" ca="1" si="11"/>
        <v>0</v>
      </c>
      <c r="P11" s="45">
        <f t="shared" ca="1" si="11"/>
        <v>3.5991704697718377E-4</v>
      </c>
      <c r="Q11" s="45">
        <f t="shared" ca="1" si="11"/>
        <v>0</v>
      </c>
      <c r="R11" s="45">
        <f t="shared" ca="1" si="11"/>
        <v>0</v>
      </c>
      <c r="S11" s="45">
        <v>0</v>
      </c>
      <c r="T11" s="22">
        <f t="shared" ref="T11:T42" ca="1" si="12">SUM(G11:S11)</f>
        <v>0.18712735737900882</v>
      </c>
      <c r="V11" s="45">
        <f t="shared" ref="V11:AG20" ca="1" si="13">PRODUCT(AVERAGE(OFFSET(C.Trace.Markov.Root, $D11, (V$2-1)*C.Trace.Markov.NumCols+V$3-1, CHOOSE(swtchHalfCycle, 2, 1))), $F11+V$6, C.cycleLength)</f>
        <v>0.18652676416408079</v>
      </c>
      <c r="W11" s="45">
        <f t="shared" ca="1" si="13"/>
        <v>0</v>
      </c>
      <c r="X11" s="45">
        <f t="shared" ca="1" si="13"/>
        <v>6.081811629053426E-4</v>
      </c>
      <c r="Y11" s="45">
        <f t="shared" ca="1" si="13"/>
        <v>0</v>
      </c>
      <c r="Z11" s="45">
        <f t="shared" ca="1" si="13"/>
        <v>2.5803755940832982E-5</v>
      </c>
      <c r="AA11" s="45">
        <f t="shared" ca="1" si="13"/>
        <v>0</v>
      </c>
      <c r="AB11" s="45">
        <f t="shared" ca="1" si="13"/>
        <v>1.1061578228452424E-4</v>
      </c>
      <c r="AC11" s="45">
        <f t="shared" ca="1" si="13"/>
        <v>0</v>
      </c>
      <c r="AD11" s="45">
        <f t="shared" ca="1" si="13"/>
        <v>0</v>
      </c>
      <c r="AE11" s="45">
        <f t="shared" ca="1" si="13"/>
        <v>1.3303702633966157E-4</v>
      </c>
      <c r="AF11" s="45">
        <f t="shared" ca="1" si="13"/>
        <v>0</v>
      </c>
      <c r="AG11" s="45">
        <f t="shared" ca="1" si="13"/>
        <v>0</v>
      </c>
      <c r="AH11" s="45">
        <v>0</v>
      </c>
      <c r="AI11" s="22">
        <f t="shared" ref="AI11:AI42" ca="1" si="14">SUM(V11:AH11)</f>
        <v>0.18740440189155114</v>
      </c>
    </row>
    <row r="12" spans="1:35" ht="12" customHeight="1" x14ac:dyDescent="0.25">
      <c r="D12" s="341">
        <f t="shared" ref="D12:D43" si="15">D11+1</f>
        <v>1</v>
      </c>
      <c r="E12" s="43">
        <f t="shared" si="10"/>
        <v>70.25</v>
      </c>
      <c r="F12" s="44">
        <f>INDEX(rngU.Anticoag_NoEvent, MATCH(E12, Parameters!$D$427:$D$433, 1))</f>
        <v>0.75468349707747795</v>
      </c>
      <c r="G12" s="45">
        <f t="shared" ca="1" si="11"/>
        <v>0</v>
      </c>
      <c r="H12" s="45">
        <f t="shared" ca="1" si="11"/>
        <v>0.17812901125106309</v>
      </c>
      <c r="I12" s="45">
        <f t="shared" ca="1" si="11"/>
        <v>2.5098169014818911E-3</v>
      </c>
      <c r="J12" s="45">
        <f t="shared" ca="1" si="11"/>
        <v>1.2911379572917435E-4</v>
      </c>
      <c r="K12" s="45">
        <f t="shared" ca="1" si="11"/>
        <v>8.605890456274694E-5</v>
      </c>
      <c r="L12" s="45">
        <f t="shared" ca="1" si="11"/>
        <v>4.4271722840938838E-6</v>
      </c>
      <c r="M12" s="45">
        <f t="shared" ca="1" si="11"/>
        <v>6.5222057871107972E-4</v>
      </c>
      <c r="N12" s="45">
        <f t="shared" ca="1" si="11"/>
        <v>3.3552517125988373E-5</v>
      </c>
      <c r="O12" s="45">
        <f t="shared" ca="1" si="11"/>
        <v>1.7163665552755486E-3</v>
      </c>
      <c r="P12" s="45">
        <f t="shared" ca="1" si="11"/>
        <v>7.0625660714254083E-4</v>
      </c>
      <c r="Q12" s="45">
        <f t="shared" ca="1" si="11"/>
        <v>7.5582579865208659E-6</v>
      </c>
      <c r="R12" s="45">
        <f t="shared" ca="1" si="11"/>
        <v>3.5690432628330388E-4</v>
      </c>
      <c r="S12" s="45">
        <v>0</v>
      </c>
      <c r="T12" s="22">
        <f t="shared" ca="1" si="12"/>
        <v>0.18433128686764599</v>
      </c>
      <c r="V12" s="45">
        <f t="shared" ca="1" si="13"/>
        <v>0.18228727652191287</v>
      </c>
      <c r="W12" s="45">
        <f t="shared" ca="1" si="13"/>
        <v>0</v>
      </c>
      <c r="X12" s="45">
        <f t="shared" ca="1" si="13"/>
        <v>1.2025392343316072E-3</v>
      </c>
      <c r="Y12" s="45">
        <f t="shared" ca="1" si="13"/>
        <v>6.139368205984533E-5</v>
      </c>
      <c r="Z12" s="45">
        <f t="shared" ca="1" si="13"/>
        <v>5.1021029266568178E-5</v>
      </c>
      <c r="AA12" s="45">
        <f t="shared" ca="1" si="13"/>
        <v>2.6047955523869263E-6</v>
      </c>
      <c r="AB12" s="45">
        <f t="shared" ca="1" si="13"/>
        <v>2.187174254098474E-4</v>
      </c>
      <c r="AC12" s="45">
        <f t="shared" ca="1" si="13"/>
        <v>1.116626193408447E-5</v>
      </c>
      <c r="AD12" s="45">
        <f t="shared" ca="1" si="13"/>
        <v>7.6294349117733229E-4</v>
      </c>
      <c r="AE12" s="45">
        <f t="shared" ca="1" si="13"/>
        <v>2.6305031058179967E-4</v>
      </c>
      <c r="AF12" s="45">
        <f t="shared" ca="1" si="13"/>
        <v>2.7937775531328948E-6</v>
      </c>
      <c r="AG12" s="45">
        <f t="shared" ca="1" si="13"/>
        <v>1.3192342695427E-4</v>
      </c>
      <c r="AH12" s="45">
        <v>0</v>
      </c>
      <c r="AI12" s="22">
        <f t="shared" ca="1" si="14"/>
        <v>0.18499542995673379</v>
      </c>
    </row>
    <row r="13" spans="1:35" ht="12" customHeight="1" x14ac:dyDescent="0.25">
      <c r="D13" s="341">
        <f t="shared" si="15"/>
        <v>2</v>
      </c>
      <c r="E13" s="43">
        <f t="shared" si="10"/>
        <v>70.5</v>
      </c>
      <c r="F13" s="44">
        <f>INDEX(rngU.Anticoag_NoEvent, MATCH(E13, Parameters!$D$427:$D$433, 1))</f>
        <v>0.75468349707747795</v>
      </c>
      <c r="G13" s="45">
        <f t="shared" ca="1" si="11"/>
        <v>0</v>
      </c>
      <c r="H13" s="45">
        <f t="shared" ca="1" si="11"/>
        <v>0.17140928424347193</v>
      </c>
      <c r="I13" s="45">
        <f t="shared" ca="1" si="11"/>
        <v>2.4262021612249185E-3</v>
      </c>
      <c r="J13" s="45">
        <f t="shared" ca="1" si="11"/>
        <v>2.533569111906011E-4</v>
      </c>
      <c r="K13" s="45">
        <f t="shared" ca="1" si="11"/>
        <v>8.3281905242488274E-5</v>
      </c>
      <c r="L13" s="45">
        <f t="shared" ca="1" si="11"/>
        <v>8.6873342145359716E-6</v>
      </c>
      <c r="M13" s="45">
        <f t="shared" ca="1" si="11"/>
        <v>6.2962882877279087E-4</v>
      </c>
      <c r="N13" s="45">
        <f t="shared" ca="1" si="11"/>
        <v>6.5839301320992305E-5</v>
      </c>
      <c r="O13" s="45">
        <f t="shared" ca="1" si="11"/>
        <v>5.2386262574525546E-3</v>
      </c>
      <c r="P13" s="45">
        <f t="shared" ca="1" si="11"/>
        <v>6.842751423866522E-4</v>
      </c>
      <c r="Q13" s="45">
        <f t="shared" ca="1" si="11"/>
        <v>1.483138874999337E-5</v>
      </c>
      <c r="R13" s="45">
        <f t="shared" ca="1" si="11"/>
        <v>1.0573021614990455E-3</v>
      </c>
      <c r="S13" s="45">
        <v>0</v>
      </c>
      <c r="T13" s="22">
        <f t="shared" ca="1" si="12"/>
        <v>0.18187131563552647</v>
      </c>
      <c r="V13" s="45">
        <f t="shared" ca="1" si="13"/>
        <v>0.17814414639470341</v>
      </c>
      <c r="W13" s="45">
        <f t="shared" ca="1" si="13"/>
        <v>0</v>
      </c>
      <c r="X13" s="45">
        <f t="shared" ca="1" si="13"/>
        <v>1.1801259320894973E-3</v>
      </c>
      <c r="Y13" s="45">
        <f t="shared" ca="1" si="13"/>
        <v>1.2139197318173956E-4</v>
      </c>
      <c r="Z13" s="45">
        <f t="shared" ca="1" si="13"/>
        <v>5.0070083370577742E-5</v>
      </c>
      <c r="AA13" s="45">
        <f t="shared" ca="1" si="13"/>
        <v>5.1503878123980505E-6</v>
      </c>
      <c r="AB13" s="45">
        <f t="shared" ca="1" si="13"/>
        <v>2.1464090164964619E-4</v>
      </c>
      <c r="AC13" s="45">
        <f t="shared" ca="1" si="13"/>
        <v>2.2078730640741703E-5</v>
      </c>
      <c r="AD13" s="45">
        <f t="shared" ca="1" si="13"/>
        <v>2.3400381585487614E-3</v>
      </c>
      <c r="AE13" s="45">
        <f t="shared" ca="1" si="13"/>
        <v>2.5897576836296233E-4</v>
      </c>
      <c r="AF13" s="45">
        <f t="shared" ca="1" si="13"/>
        <v>5.5240565222177965E-6</v>
      </c>
      <c r="AG13" s="45">
        <f t="shared" ca="1" si="13"/>
        <v>3.9279144638782034E-4</v>
      </c>
      <c r="AH13" s="45">
        <v>0</v>
      </c>
      <c r="AI13" s="22">
        <f t="shared" ca="1" si="14"/>
        <v>0.18273493383326977</v>
      </c>
    </row>
    <row r="14" spans="1:35" ht="12" customHeight="1" x14ac:dyDescent="0.25">
      <c r="D14" s="341">
        <f t="shared" si="15"/>
        <v>3</v>
      </c>
      <c r="E14" s="43">
        <f t="shared" si="10"/>
        <v>70.75</v>
      </c>
      <c r="F14" s="44">
        <f>INDEX(rngU.Anticoag_NoEvent, MATCH(E14, Parameters!$D$427:$D$433, 1))</f>
        <v>0.75468349707747795</v>
      </c>
      <c r="G14" s="45">
        <f t="shared" ca="1" si="11"/>
        <v>0</v>
      </c>
      <c r="H14" s="45">
        <f t="shared" ca="1" si="11"/>
        <v>0.16494305177188823</v>
      </c>
      <c r="I14" s="45">
        <f t="shared" ca="1" si="11"/>
        <v>2.3578017338827819E-3</v>
      </c>
      <c r="J14" s="45">
        <f t="shared" ca="1" si="11"/>
        <v>2.4491630649589097E-4</v>
      </c>
      <c r="K14" s="45">
        <f t="shared" ca="1" si="11"/>
        <v>8.112134540529307E-5</v>
      </c>
      <c r="L14" s="45">
        <f t="shared" ca="1" si="11"/>
        <v>8.4070062074436143E-6</v>
      </c>
      <c r="M14" s="45">
        <f t="shared" ca="1" si="11"/>
        <v>6.1008280374123174E-4</v>
      </c>
      <c r="N14" s="45">
        <f t="shared" ca="1" si="11"/>
        <v>6.3558746122174492E-5</v>
      </c>
      <c r="O14" s="45">
        <f t="shared" ca="1" si="11"/>
        <v>8.7536513643627824E-3</v>
      </c>
      <c r="P14" s="45">
        <f t="shared" ca="1" si="11"/>
        <v>6.6800211713334697E-4</v>
      </c>
      <c r="Q14" s="45">
        <f t="shared" ca="1" si="11"/>
        <v>1.436977799011971E-5</v>
      </c>
      <c r="R14" s="45">
        <f t="shared" ca="1" si="11"/>
        <v>1.7283398461759298E-3</v>
      </c>
      <c r="S14" s="45">
        <v>0</v>
      </c>
      <c r="T14" s="22">
        <f t="shared" ca="1" si="12"/>
        <v>0.17947330281940527</v>
      </c>
      <c r="V14" s="45">
        <f t="shared" ca="1" si="13"/>
        <v>0.17409518371339863</v>
      </c>
      <c r="W14" s="45">
        <f t="shared" ca="1" si="13"/>
        <v>0</v>
      </c>
      <c r="X14" s="45">
        <f t="shared" ca="1" si="13"/>
        <v>1.1635826851674259E-3</v>
      </c>
      <c r="Y14" s="45">
        <f t="shared" ca="1" si="13"/>
        <v>1.1912943163048558E-4</v>
      </c>
      <c r="Z14" s="45">
        <f t="shared" ca="1" si="13"/>
        <v>4.9368190691089234E-5</v>
      </c>
      <c r="AA14" s="45">
        <f t="shared" ca="1" si="13"/>
        <v>5.0543932740015401E-6</v>
      </c>
      <c r="AB14" s="45">
        <f t="shared" ca="1" si="13"/>
        <v>2.1163202154709721E-4</v>
      </c>
      <c r="AC14" s="45">
        <f t="shared" ca="1" si="13"/>
        <v>2.1667220355800251E-5</v>
      </c>
      <c r="AD14" s="45">
        <f t="shared" ca="1" si="13"/>
        <v>3.9371077415465841E-3</v>
      </c>
      <c r="AE14" s="45">
        <f t="shared" ca="1" si="13"/>
        <v>2.5699484494051938E-4</v>
      </c>
      <c r="AF14" s="45">
        <f t="shared" ca="1" si="13"/>
        <v>5.4384911356222129E-6</v>
      </c>
      <c r="AG14" s="45">
        <f t="shared" ca="1" si="13"/>
        <v>6.4682391035239409E-4</v>
      </c>
      <c r="AH14" s="45">
        <v>0</v>
      </c>
      <c r="AI14" s="22">
        <f t="shared" ca="1" si="14"/>
        <v>0.18051198264403964</v>
      </c>
    </row>
    <row r="15" spans="1:35" ht="12" customHeight="1" x14ac:dyDescent="0.25">
      <c r="D15" s="341">
        <f t="shared" si="15"/>
        <v>4</v>
      </c>
      <c r="E15" s="43">
        <f t="shared" si="10"/>
        <v>71</v>
      </c>
      <c r="F15" s="44">
        <f>INDEX(rngU.Anticoag_NoEvent, MATCH(E15, Parameters!$D$427:$D$433, 1))</f>
        <v>0.75468349707747795</v>
      </c>
      <c r="G15" s="45">
        <f t="shared" ca="1" si="11"/>
        <v>0</v>
      </c>
      <c r="H15" s="45">
        <f t="shared" ca="1" si="11"/>
        <v>0.15872075102524635</v>
      </c>
      <c r="I15" s="45">
        <f t="shared" ca="1" si="11"/>
        <v>2.2927916344878509E-3</v>
      </c>
      <c r="J15" s="45">
        <f t="shared" ca="1" si="11"/>
        <v>2.3801153149605381E-4</v>
      </c>
      <c r="K15" s="45">
        <f t="shared" ca="1" si="11"/>
        <v>7.9076656636200478E-5</v>
      </c>
      <c r="L15" s="45">
        <f t="shared" ca="1" si="11"/>
        <v>8.1889055298718592E-6</v>
      </c>
      <c r="M15" s="45">
        <f t="shared" ca="1" si="11"/>
        <v>5.9142145323257415E-4</v>
      </c>
      <c r="N15" s="45">
        <f t="shared" ca="1" si="11"/>
        <v>6.1585645803531299E-5</v>
      </c>
      <c r="O15" s="45">
        <f t="shared" ca="1" si="11"/>
        <v>1.2082265554859507E-2</v>
      </c>
      <c r="P15" s="45">
        <f t="shared" ca="1" si="11"/>
        <v>6.5250170882932422E-4</v>
      </c>
      <c r="Q15" s="45">
        <f t="shared" ca="1" si="11"/>
        <v>1.4028044459800299E-5</v>
      </c>
      <c r="R15" s="45">
        <f t="shared" ca="1" si="11"/>
        <v>2.3684596942973751E-3</v>
      </c>
      <c r="S15" s="45">
        <v>0</v>
      </c>
      <c r="T15" s="22">
        <f t="shared" ca="1" si="12"/>
        <v>0.17710908185487842</v>
      </c>
      <c r="V15" s="45">
        <f t="shared" ca="1" si="13"/>
        <v>0.17013824818609463</v>
      </c>
      <c r="W15" s="45">
        <f t="shared" ca="1" si="13"/>
        <v>0</v>
      </c>
      <c r="X15" s="45">
        <f t="shared" ca="1" si="13"/>
        <v>1.1477753147757575E-3</v>
      </c>
      <c r="Y15" s="45">
        <f t="shared" ca="1" si="13"/>
        <v>1.1745945086863609E-4</v>
      </c>
      <c r="Z15" s="45">
        <f t="shared" ca="1" si="13"/>
        <v>4.8697519594167339E-5</v>
      </c>
      <c r="AA15" s="45">
        <f t="shared" ca="1" si="13"/>
        <v>4.9835397543055407E-6</v>
      </c>
      <c r="AB15" s="45">
        <f t="shared" ca="1" si="13"/>
        <v>2.0875698241667982E-4</v>
      </c>
      <c r="AC15" s="45">
        <f t="shared" ca="1" si="13"/>
        <v>2.1363484824943577E-5</v>
      </c>
      <c r="AD15" s="45">
        <f t="shared" ca="1" si="13"/>
        <v>5.4739599779388901E-3</v>
      </c>
      <c r="AE15" s="45">
        <f t="shared" ca="1" si="13"/>
        <v>2.5513197481775388E-4</v>
      </c>
      <c r="AF15" s="45">
        <f t="shared" ca="1" si="13"/>
        <v>5.396891743750911E-6</v>
      </c>
      <c r="AG15" s="45">
        <f t="shared" ca="1" si="13"/>
        <v>8.9338688085526094E-4</v>
      </c>
      <c r="AH15" s="45">
        <v>0</v>
      </c>
      <c r="AI15" s="22">
        <f t="shared" ca="1" si="14"/>
        <v>0.17831516020368479</v>
      </c>
    </row>
    <row r="16" spans="1:35" ht="12" customHeight="1" x14ac:dyDescent="0.25">
      <c r="D16" s="341">
        <f t="shared" si="15"/>
        <v>5</v>
      </c>
      <c r="E16" s="43">
        <f t="shared" si="10"/>
        <v>71.25</v>
      </c>
      <c r="F16" s="44">
        <f>INDEX(rngU.Anticoag_NoEvent, MATCH(E16, Parameters!$D$427:$D$433, 1))</f>
        <v>0.75468349707747795</v>
      </c>
      <c r="G16" s="45">
        <f t="shared" ca="1" si="11"/>
        <v>0</v>
      </c>
      <c r="H16" s="45">
        <f t="shared" ca="1" si="11"/>
        <v>0.1527331799393313</v>
      </c>
      <c r="I16" s="45">
        <f t="shared" ca="1" si="11"/>
        <v>2.2298870561518456E-3</v>
      </c>
      <c r="J16" s="45">
        <f t="shared" ca="1" si="11"/>
        <v>2.3144899780319007E-4</v>
      </c>
      <c r="K16" s="45">
        <f t="shared" ca="1" si="11"/>
        <v>7.7094382722830442E-5</v>
      </c>
      <c r="L16" s="45">
        <f t="shared" ca="1" si="11"/>
        <v>7.9825016162726067E-6</v>
      </c>
      <c r="M16" s="45">
        <f t="shared" ca="1" si="11"/>
        <v>5.7340098537852623E-4</v>
      </c>
      <c r="N16" s="45">
        <f t="shared" ca="1" si="11"/>
        <v>5.9701850168587951E-5</v>
      </c>
      <c r="O16" s="45">
        <f t="shared" ca="1" si="11"/>
        <v>1.523544327609797E-2</v>
      </c>
      <c r="P16" s="45">
        <f t="shared" ca="1" si="11"/>
        <v>6.3747496844698348E-4</v>
      </c>
      <c r="Q16" s="45">
        <f t="shared" ca="1" si="11"/>
        <v>1.3702535885415817E-5</v>
      </c>
      <c r="R16" s="45">
        <f t="shared" ca="1" si="11"/>
        <v>2.979208895333985E-3</v>
      </c>
      <c r="S16" s="45">
        <v>0</v>
      </c>
      <c r="T16" s="22">
        <f t="shared" ca="1" si="12"/>
        <v>0.17477852538893693</v>
      </c>
      <c r="V16" s="45">
        <f t="shared" ca="1" si="13"/>
        <v>0.16627124816667357</v>
      </c>
      <c r="W16" s="45">
        <f t="shared" ca="1" si="13"/>
        <v>0</v>
      </c>
      <c r="X16" s="45">
        <f t="shared" ca="1" si="13"/>
        <v>1.1321730224145839E-3</v>
      </c>
      <c r="Y16" s="45">
        <f t="shared" ca="1" si="13"/>
        <v>1.1586375417294718E-4</v>
      </c>
      <c r="Z16" s="45">
        <f t="shared" ca="1" si="13"/>
        <v>4.8035549495846642E-5</v>
      </c>
      <c r="AA16" s="45">
        <f t="shared" ca="1" si="13"/>
        <v>4.9158379401052222E-6</v>
      </c>
      <c r="AB16" s="45">
        <f t="shared" ca="1" si="13"/>
        <v>2.0591924280843795E-4</v>
      </c>
      <c r="AC16" s="45">
        <f t="shared" ca="1" si="13"/>
        <v>2.1073260054680623E-5</v>
      </c>
      <c r="AD16" s="45">
        <f t="shared" ca="1" si="13"/>
        <v>6.9537156398609516E-3</v>
      </c>
      <c r="AE16" s="45">
        <f t="shared" ca="1" si="13"/>
        <v>2.5326706796071252E-4</v>
      </c>
      <c r="AF16" s="45">
        <f t="shared" ca="1" si="13"/>
        <v>5.3577714711728364E-6</v>
      </c>
      <c r="AG16" s="45">
        <f t="shared" ca="1" si="13"/>
        <v>1.1328013334891568E-3</v>
      </c>
      <c r="AH16" s="45">
        <v>0</v>
      </c>
      <c r="AI16" s="22">
        <f t="shared" ca="1" si="14"/>
        <v>0.17614437064634217</v>
      </c>
    </row>
    <row r="17" spans="4:35" ht="12" customHeight="1" x14ac:dyDescent="0.25">
      <c r="D17" s="341">
        <f t="shared" si="15"/>
        <v>6</v>
      </c>
      <c r="E17" s="43">
        <f t="shared" si="10"/>
        <v>71.5</v>
      </c>
      <c r="F17" s="44">
        <f>INDEX(rngU.Anticoag_NoEvent, MATCH(E17, Parameters!$D$427:$D$433, 1))</f>
        <v>0.75468349707747795</v>
      </c>
      <c r="G17" s="45">
        <f t="shared" ca="1" si="11"/>
        <v>0</v>
      </c>
      <c r="H17" s="45">
        <f t="shared" ca="1" si="11"/>
        <v>0.1469714835879882</v>
      </c>
      <c r="I17" s="45">
        <f t="shared" ca="1" si="11"/>
        <v>2.1690339863331353E-3</v>
      </c>
      <c r="J17" s="45">
        <f t="shared" ca="1" si="11"/>
        <v>2.2509900882289931E-4</v>
      </c>
      <c r="K17" s="45">
        <f t="shared" ca="1" si="11"/>
        <v>7.5173247474693658E-5</v>
      </c>
      <c r="L17" s="45">
        <f t="shared" ca="1" si="11"/>
        <v>7.7823982559324125E-6</v>
      </c>
      <c r="M17" s="45">
        <f t="shared" ca="1" si="11"/>
        <v>5.5600184621685048E-4</v>
      </c>
      <c r="N17" s="45">
        <f t="shared" ca="1" si="11"/>
        <v>5.7882749312658815E-5</v>
      </c>
      <c r="O17" s="45">
        <f t="shared" ca="1" si="11"/>
        <v>1.8220615306710288E-2</v>
      </c>
      <c r="P17" s="45">
        <f t="shared" ca="1" si="11"/>
        <v>6.2291197812997109E-4</v>
      </c>
      <c r="Q17" s="45">
        <f t="shared" ca="1" si="11"/>
        <v>1.3386974337386663E-5</v>
      </c>
      <c r="R17" s="45">
        <f t="shared" ca="1" si="11"/>
        <v>3.561700067240233E-3</v>
      </c>
      <c r="S17" s="45">
        <v>0</v>
      </c>
      <c r="T17" s="22">
        <f t="shared" ca="1" si="12"/>
        <v>0.17248107115082226</v>
      </c>
      <c r="V17" s="45">
        <f t="shared" ca="1" si="13"/>
        <v>0.16249213954915437</v>
      </c>
      <c r="W17" s="45">
        <f t="shared" ca="1" si="13"/>
        <v>0</v>
      </c>
      <c r="X17" s="45">
        <f t="shared" ca="1" si="13"/>
        <v>1.1167824428658817E-3</v>
      </c>
      <c r="Y17" s="45">
        <f t="shared" ca="1" si="13"/>
        <v>1.1428875936046276E-4</v>
      </c>
      <c r="Z17" s="45">
        <f t="shared" ca="1" si="13"/>
        <v>4.7382561894972026E-5</v>
      </c>
      <c r="AA17" s="45">
        <f t="shared" ca="1" si="13"/>
        <v>4.8490144601485586E-6</v>
      </c>
      <c r="AB17" s="45">
        <f t="shared" ca="1" si="13"/>
        <v>2.0312000945425259E-4</v>
      </c>
      <c r="AC17" s="45">
        <f t="shared" ca="1" si="13"/>
        <v>2.078680053586756E-5</v>
      </c>
      <c r="AD17" s="45">
        <f t="shared" ca="1" si="13"/>
        <v>8.3780336372304368E-3</v>
      </c>
      <c r="AE17" s="45">
        <f t="shared" ca="1" si="13"/>
        <v>2.5140359092165311E-4</v>
      </c>
      <c r="AF17" s="45">
        <f t="shared" ca="1" si="13"/>
        <v>5.3186084271749686E-6</v>
      </c>
      <c r="AG17" s="45">
        <f t="shared" ca="1" si="13"/>
        <v>1.3652202368006879E-3</v>
      </c>
      <c r="AH17" s="45">
        <v>0</v>
      </c>
      <c r="AI17" s="22">
        <f t="shared" ca="1" si="14"/>
        <v>0.17399932521110589</v>
      </c>
    </row>
    <row r="18" spans="4:35" ht="12" customHeight="1" x14ac:dyDescent="0.25">
      <c r="D18" s="341">
        <f t="shared" si="15"/>
        <v>7</v>
      </c>
      <c r="E18" s="43">
        <f t="shared" si="10"/>
        <v>71.75</v>
      </c>
      <c r="F18" s="44">
        <f>INDEX(rngU.Anticoag_NoEvent, MATCH(E18, Parameters!$D$427:$D$433, 1))</f>
        <v>0.75468349707747795</v>
      </c>
      <c r="G18" s="45">
        <f t="shared" ca="1" si="11"/>
        <v>0</v>
      </c>
      <c r="H18" s="45">
        <f t="shared" ca="1" si="11"/>
        <v>0.14142714108770921</v>
      </c>
      <c r="I18" s="45">
        <f t="shared" ca="1" si="11"/>
        <v>2.11016027305836E-3</v>
      </c>
      <c r="J18" s="45">
        <f t="shared" ca="1" si="11"/>
        <v>2.1895611218504844E-4</v>
      </c>
      <c r="K18" s="45">
        <f t="shared" ca="1" si="11"/>
        <v>7.3311166779709783E-5</v>
      </c>
      <c r="L18" s="45">
        <f t="shared" ca="1" si="11"/>
        <v>7.5884666220510986E-6</v>
      </c>
      <c r="M18" s="45">
        <f t="shared" ca="1" si="11"/>
        <v>5.3920154965230902E-4</v>
      </c>
      <c r="N18" s="45">
        <f t="shared" ca="1" si="11"/>
        <v>5.612636933419313E-5</v>
      </c>
      <c r="O18" s="45">
        <f t="shared" ca="1" si="11"/>
        <v>2.1044782138974139E-2</v>
      </c>
      <c r="P18" s="45">
        <f t="shared" ca="1" si="11"/>
        <v>6.087964185519676E-4</v>
      </c>
      <c r="Q18" s="45">
        <f t="shared" ca="1" si="11"/>
        <v>1.3081151540729407E-5</v>
      </c>
      <c r="R18" s="45">
        <f t="shared" ca="1" si="11"/>
        <v>4.1170058945319147E-3</v>
      </c>
      <c r="S18" s="45">
        <v>0</v>
      </c>
      <c r="T18" s="22">
        <f t="shared" ca="1" si="12"/>
        <v>0.17021615062893966</v>
      </c>
      <c r="V18" s="45">
        <f t="shared" ca="1" si="13"/>
        <v>0.15879892468717305</v>
      </c>
      <c r="W18" s="45">
        <f t="shared" ca="1" si="13"/>
        <v>0</v>
      </c>
      <c r="X18" s="45">
        <f t="shared" ca="1" si="13"/>
        <v>1.1016010927681814E-3</v>
      </c>
      <c r="Y18" s="45">
        <f t="shared" ca="1" si="13"/>
        <v>1.1273513618835403E-4</v>
      </c>
      <c r="Z18" s="45">
        <f t="shared" ca="1" si="13"/>
        <v>4.6738451428113707E-5</v>
      </c>
      <c r="AA18" s="45">
        <f t="shared" ca="1" si="13"/>
        <v>4.7830977307227309E-6</v>
      </c>
      <c r="AB18" s="45">
        <f t="shared" ca="1" si="13"/>
        <v>2.0035883068118731E-4</v>
      </c>
      <c r="AC18" s="45">
        <f t="shared" ca="1" si="13"/>
        <v>2.0504228083710043E-5</v>
      </c>
      <c r="AD18" s="45">
        <f t="shared" ca="1" si="13"/>
        <v>9.7484685376819681E-3</v>
      </c>
      <c r="AE18" s="45">
        <f t="shared" ca="1" si="13"/>
        <v>2.4954196087786462E-4</v>
      </c>
      <c r="AF18" s="45">
        <f t="shared" ca="1" si="13"/>
        <v>5.2794754093547205E-6</v>
      </c>
      <c r="AG18" s="45">
        <f t="shared" ca="1" si="13"/>
        <v>1.590794176434992E-3</v>
      </c>
      <c r="AH18" s="45">
        <v>0</v>
      </c>
      <c r="AI18" s="22">
        <f t="shared" ca="1" si="14"/>
        <v>0.17187972967445747</v>
      </c>
    </row>
    <row r="19" spans="4:35" ht="12" customHeight="1" x14ac:dyDescent="0.25">
      <c r="D19" s="341">
        <f t="shared" si="15"/>
        <v>8</v>
      </c>
      <c r="E19" s="43">
        <f t="shared" si="10"/>
        <v>72</v>
      </c>
      <c r="F19" s="44">
        <f>INDEX(rngU.Anticoag_NoEvent, MATCH(E19, Parameters!$D$427:$D$433, 1))</f>
        <v>0.75468349707747795</v>
      </c>
      <c r="G19" s="45">
        <f t="shared" ca="1" si="11"/>
        <v>0</v>
      </c>
      <c r="H19" s="45">
        <f t="shared" ca="1" si="11"/>
        <v>0.13609195299623084</v>
      </c>
      <c r="I19" s="45">
        <f t="shared" ca="1" si="11"/>
        <v>2.0531955193647728E-3</v>
      </c>
      <c r="J19" s="45">
        <f t="shared" ca="1" si="11"/>
        <v>2.130130244096768E-4</v>
      </c>
      <c r="K19" s="45">
        <f t="shared" ca="1" si="11"/>
        <v>7.1506094125622921E-5</v>
      </c>
      <c r="L19" s="45">
        <f t="shared" ca="1" si="11"/>
        <v>7.4004963310748083E-6</v>
      </c>
      <c r="M19" s="45">
        <f t="shared" ca="1" si="11"/>
        <v>5.2297828200407429E-4</v>
      </c>
      <c r="N19" s="45">
        <f t="shared" ca="1" si="11"/>
        <v>5.4430440343450782E-5</v>
      </c>
      <c r="O19" s="45">
        <f t="shared" ca="1" si="11"/>
        <v>2.3714675279282182E-2</v>
      </c>
      <c r="P19" s="45">
        <f t="shared" ca="1" si="11"/>
        <v>5.951123873234967E-4</v>
      </c>
      <c r="Q19" s="45">
        <f t="shared" ca="1" si="11"/>
        <v>1.278472478959133E-5</v>
      </c>
      <c r="R19" s="45">
        <f t="shared" ca="1" si="11"/>
        <v>4.6461597880046125E-3</v>
      </c>
      <c r="S19" s="45">
        <v>0</v>
      </c>
      <c r="T19" s="22">
        <f t="shared" ca="1" si="12"/>
        <v>0.1679832090322094</v>
      </c>
      <c r="V19" s="45">
        <f t="shared" ca="1" si="13"/>
        <v>0.15518965133802184</v>
      </c>
      <c r="W19" s="45">
        <f t="shared" ca="1" si="13"/>
        <v>0</v>
      </c>
      <c r="X19" s="45">
        <f t="shared" ca="1" si="13"/>
        <v>1.0866261155900981E-3</v>
      </c>
      <c r="Y19" s="45">
        <f t="shared" ca="1" si="13"/>
        <v>1.1120263397028963E-4</v>
      </c>
      <c r="Z19" s="45">
        <f t="shared" ca="1" si="13"/>
        <v>4.6103096899083432E-5</v>
      </c>
      <c r="AA19" s="45">
        <f t="shared" ca="1" si="13"/>
        <v>4.7180771157717324E-6</v>
      </c>
      <c r="AB19" s="45">
        <f t="shared" ca="1" si="13"/>
        <v>1.9763518694428916E-4</v>
      </c>
      <c r="AC19" s="45">
        <f t="shared" ca="1" si="13"/>
        <v>2.0225497103463712E-5</v>
      </c>
      <c r="AD19" s="45">
        <f t="shared" ca="1" si="13"/>
        <v>1.1066537397427237E-2</v>
      </c>
      <c r="AE19" s="45">
        <f t="shared" ca="1" si="13"/>
        <v>2.4768249841643951E-4</v>
      </c>
      <c r="AF19" s="45">
        <f t="shared" ca="1" si="13"/>
        <v>5.2403811784351614E-6</v>
      </c>
      <c r="AG19" s="45">
        <f t="shared" ca="1" si="13"/>
        <v>1.809671013645809E-3</v>
      </c>
      <c r="AH19" s="45">
        <v>0</v>
      </c>
      <c r="AI19" s="22">
        <f t="shared" ca="1" si="14"/>
        <v>0.16978529323631281</v>
      </c>
    </row>
    <row r="20" spans="4:35" ht="12" customHeight="1" x14ac:dyDescent="0.25">
      <c r="D20" s="341">
        <f t="shared" si="15"/>
        <v>9</v>
      </c>
      <c r="E20" s="43">
        <f t="shared" si="10"/>
        <v>72.25</v>
      </c>
      <c r="F20" s="44">
        <f>INDEX(rngU.Anticoag_NoEvent, MATCH(E20, Parameters!$D$427:$D$433, 1))</f>
        <v>0.75468349707747795</v>
      </c>
      <c r="G20" s="45">
        <f t="shared" ca="1" si="11"/>
        <v>0</v>
      </c>
      <c r="H20" s="45">
        <f t="shared" ca="1" si="11"/>
        <v>0.13095802918650587</v>
      </c>
      <c r="I20" s="45">
        <f t="shared" ca="1" si="11"/>
        <v>1.9980719523510783E-3</v>
      </c>
      <c r="J20" s="45">
        <f t="shared" ca="1" si="11"/>
        <v>2.0726263917877837E-4</v>
      </c>
      <c r="K20" s="45">
        <f t="shared" ca="1" si="11"/>
        <v>6.9756058862423847E-5</v>
      </c>
      <c r="L20" s="45">
        <f t="shared" ca="1" si="11"/>
        <v>7.2182807950155667E-6</v>
      </c>
      <c r="M20" s="45">
        <f t="shared" ca="1" si="11"/>
        <v>5.0731104674378797E-4</v>
      </c>
      <c r="N20" s="45">
        <f t="shared" ca="1" si="11"/>
        <v>5.2792760328487005E-5</v>
      </c>
      <c r="O20" s="45">
        <f t="shared" ca="1" si="11"/>
        <v>2.6236763444388394E-2</v>
      </c>
      <c r="P20" s="45">
        <f t="shared" ca="1" si="11"/>
        <v>5.8184458253071722E-4</v>
      </c>
      <c r="Q20" s="45">
        <f t="shared" ca="1" si="11"/>
        <v>1.249736013379344E-5</v>
      </c>
      <c r="R20" s="45">
        <f t="shared" ca="1" si="11"/>
        <v>5.1501569995272842E-3</v>
      </c>
      <c r="S20" s="45">
        <v>0</v>
      </c>
      <c r="T20" s="22">
        <f t="shared" ca="1" si="12"/>
        <v>0.16578170431134562</v>
      </c>
      <c r="V20" s="45">
        <f t="shared" ca="1" si="13"/>
        <v>0.1516624116306888</v>
      </c>
      <c r="W20" s="45">
        <f t="shared" ca="1" si="13"/>
        <v>0</v>
      </c>
      <c r="X20" s="45">
        <f t="shared" ca="1" si="13"/>
        <v>1.0718547056815253E-3</v>
      </c>
      <c r="Y20" s="45">
        <f t="shared" ca="1" si="13"/>
        <v>1.0969096434978913E-4</v>
      </c>
      <c r="Z20" s="45">
        <f t="shared" ca="1" si="13"/>
        <v>4.5476379270470955E-5</v>
      </c>
      <c r="AA20" s="45">
        <f t="shared" ca="1" si="13"/>
        <v>4.6539403809800332E-6</v>
      </c>
      <c r="AB20" s="45">
        <f t="shared" ca="1" si="13"/>
        <v>1.9494856795287447E-4</v>
      </c>
      <c r="AC20" s="45">
        <f t="shared" ca="1" si="13"/>
        <v>1.9950555148950336E-5</v>
      </c>
      <c r="AD20" s="45">
        <f t="shared" ca="1" si="13"/>
        <v>1.2333718858018809E-2</v>
      </c>
      <c r="AE20" s="45">
        <f t="shared" ca="1" si="13"/>
        <v>2.4582551814963732E-4</v>
      </c>
      <c r="AF20" s="45">
        <f t="shared" ca="1" si="13"/>
        <v>5.2013324667452352E-6</v>
      </c>
      <c r="AG20" s="45">
        <f t="shared" ca="1" si="13"/>
        <v>2.0219957826773296E-3</v>
      </c>
      <c r="AH20" s="45">
        <v>0</v>
      </c>
      <c r="AI20" s="22">
        <f t="shared" ca="1" si="14"/>
        <v>0.16771572823478595</v>
      </c>
    </row>
    <row r="21" spans="4:35" ht="12" customHeight="1" x14ac:dyDescent="0.25">
      <c r="D21" s="341">
        <f t="shared" si="15"/>
        <v>10</v>
      </c>
      <c r="E21" s="43">
        <f t="shared" si="10"/>
        <v>72.5</v>
      </c>
      <c r="F21" s="44">
        <f>INDEX(rngU.Anticoag_NoEvent, MATCH(E21, Parameters!$D$427:$D$433, 1))</f>
        <v>0.75468349707747795</v>
      </c>
      <c r="G21" s="45">
        <f t="shared" ref="G21:R30" ca="1" si="16">PRODUCT(AVERAGE(OFFSET(C.Trace.Markov.Root, $D21, (G$2-1)*C.Trace.Markov.NumCols+G$3-1, CHOOSE(swtchHalfCycle, 2, 1))), $F21+G$6, C.cycleLength)</f>
        <v>0</v>
      </c>
      <c r="H21" s="45">
        <f t="shared" ca="1" si="16"/>
        <v>0.12601777717811652</v>
      </c>
      <c r="I21" s="45">
        <f t="shared" ca="1" si="16"/>
        <v>1.9447242987156521E-3</v>
      </c>
      <c r="J21" s="45">
        <f t="shared" ca="1" si="16"/>
        <v>2.0169811506383134E-4</v>
      </c>
      <c r="K21" s="45">
        <f t="shared" ca="1" si="16"/>
        <v>6.8059162259813963E-5</v>
      </c>
      <c r="L21" s="45">
        <f t="shared" ca="1" si="16"/>
        <v>7.0416210839039866E-6</v>
      </c>
      <c r="M21" s="45">
        <f t="shared" ca="1" si="16"/>
        <v>4.9217962903654359E-4</v>
      </c>
      <c r="N21" s="45">
        <f t="shared" ca="1" si="16"/>
        <v>5.1211209765934448E-5</v>
      </c>
      <c r="O21" s="45">
        <f t="shared" ca="1" si="16"/>
        <v>2.8617262499863932E-2</v>
      </c>
      <c r="P21" s="45">
        <f t="shared" ca="1" si="16"/>
        <v>5.6897827220854806E-4</v>
      </c>
      <c r="Q21" s="45">
        <f t="shared" ca="1" si="16"/>
        <v>1.2218736233145072E-5</v>
      </c>
      <c r="R21" s="45">
        <f t="shared" ca="1" si="16"/>
        <v>5.6299560402802333E-3</v>
      </c>
      <c r="S21" s="45">
        <v>0</v>
      </c>
      <c r="T21" s="22">
        <f t="shared" ca="1" si="12"/>
        <v>0.16361110676262805</v>
      </c>
      <c r="V21" s="45">
        <f t="shared" ref="V21:AG30" ca="1" si="17">PRODUCT(AVERAGE(OFFSET(C.Trace.Markov.Root, $D21, (V$2-1)*C.Trace.Markov.NumCols+V$3-1, CHOOSE(swtchHalfCycle, 2, 1))), $F21+V$6, C.cycleLength)</f>
        <v>0.14821534105735221</v>
      </c>
      <c r="W21" s="45">
        <f t="shared" ca="1" si="17"/>
        <v>0</v>
      </c>
      <c r="X21" s="45">
        <f t="shared" ca="1" si="17"/>
        <v>1.0572840957974092E-3</v>
      </c>
      <c r="Y21" s="45">
        <f t="shared" ca="1" si="17"/>
        <v>1.0819984410665243E-4</v>
      </c>
      <c r="Z21" s="45">
        <f t="shared" ca="1" si="17"/>
        <v>4.4858181134305834E-5</v>
      </c>
      <c r="AA21" s="45">
        <f t="shared" ca="1" si="17"/>
        <v>4.5906755099529052E-6</v>
      </c>
      <c r="AB21" s="45">
        <f t="shared" ca="1" si="17"/>
        <v>1.922984704013576E-4</v>
      </c>
      <c r="AC21" s="45">
        <f t="shared" ca="1" si="17"/>
        <v>1.9679350708176607E-5</v>
      </c>
      <c r="AD21" s="45">
        <f t="shared" ca="1" si="17"/>
        <v>1.3551454030589483E-2</v>
      </c>
      <c r="AE21" s="45">
        <f t="shared" ca="1" si="17"/>
        <v>2.43971325341483E-4</v>
      </c>
      <c r="AF21" s="45">
        <f t="shared" ca="1" si="17"/>
        <v>5.1623358811423885E-6</v>
      </c>
      <c r="AG21" s="45">
        <f t="shared" ca="1" si="17"/>
        <v>2.2279107430807185E-3</v>
      </c>
      <c r="AH21" s="45">
        <v>0</v>
      </c>
      <c r="AI21" s="22">
        <f t="shared" ca="1" si="14"/>
        <v>0.1656707501099029</v>
      </c>
    </row>
    <row r="22" spans="4:35" ht="12" customHeight="1" x14ac:dyDescent="0.25">
      <c r="D22" s="341">
        <f t="shared" si="15"/>
        <v>11</v>
      </c>
      <c r="E22" s="43">
        <f t="shared" si="10"/>
        <v>72.75</v>
      </c>
      <c r="F22" s="44">
        <f>INDEX(rngU.Anticoag_NoEvent, MATCH(E22, Parameters!$D$427:$D$433, 1))</f>
        <v>0.75468349707747795</v>
      </c>
      <c r="G22" s="45">
        <f t="shared" ca="1" si="16"/>
        <v>0</v>
      </c>
      <c r="H22" s="45">
        <f t="shared" ca="1" si="16"/>
        <v>0.12126389090887274</v>
      </c>
      <c r="I22" s="45">
        <f t="shared" ca="1" si="16"/>
        <v>1.8930896906229617E-3</v>
      </c>
      <c r="J22" s="45">
        <f t="shared" ca="1" si="16"/>
        <v>1.9631286296183247E-4</v>
      </c>
      <c r="K22" s="45">
        <f t="shared" ca="1" si="16"/>
        <v>6.6413574800948445E-5</v>
      </c>
      <c r="L22" s="45">
        <f t="shared" ca="1" si="16"/>
        <v>6.8703255278045662E-6</v>
      </c>
      <c r="M22" s="45">
        <f t="shared" ca="1" si="16"/>
        <v>4.7756456628164466E-4</v>
      </c>
      <c r="N22" s="45">
        <f t="shared" ca="1" si="16"/>
        <v>4.9683748041543854E-5</v>
      </c>
      <c r="O22" s="45">
        <f t="shared" ca="1" si="16"/>
        <v>3.0862145123192963E-2</v>
      </c>
      <c r="P22" s="45">
        <f t="shared" ca="1" si="16"/>
        <v>5.564992727416883E-4</v>
      </c>
      <c r="Q22" s="45">
        <f t="shared" ca="1" si="16"/>
        <v>1.1948543716379518E-5</v>
      </c>
      <c r="R22" s="45">
        <f t="shared" ca="1" si="16"/>
        <v>6.0864800423805565E-3</v>
      </c>
      <c r="S22" s="45">
        <v>0</v>
      </c>
      <c r="T22" s="22">
        <f t="shared" ca="1" si="12"/>
        <v>0.16147089865914105</v>
      </c>
      <c r="V22" s="45">
        <f t="shared" ca="1" si="17"/>
        <v>0.14484661748779731</v>
      </c>
      <c r="W22" s="45">
        <f t="shared" ca="1" si="17"/>
        <v>0</v>
      </c>
      <c r="X22" s="45">
        <f t="shared" ca="1" si="17"/>
        <v>1.0429115562966052E-3</v>
      </c>
      <c r="Y22" s="45">
        <f t="shared" ca="1" si="17"/>
        <v>1.0672899389753028E-4</v>
      </c>
      <c r="Z22" s="45">
        <f t="shared" ca="1" si="17"/>
        <v>4.4248386678066744E-5</v>
      </c>
      <c r="AA22" s="45">
        <f t="shared" ca="1" si="17"/>
        <v>4.5282706507816627E-6</v>
      </c>
      <c r="AB22" s="45">
        <f t="shared" ca="1" si="17"/>
        <v>1.8968439782353911E-4</v>
      </c>
      <c r="AC22" s="45">
        <f t="shared" ca="1" si="17"/>
        <v>1.9411832974269544E-5</v>
      </c>
      <c r="AD22" s="45">
        <f t="shared" ca="1" si="17"/>
        <v>1.4721147404228753E-2</v>
      </c>
      <c r="AE22" s="45">
        <f t="shared" ca="1" si="17"/>
        <v>2.4212021606098575E-4</v>
      </c>
      <c r="AF22" s="45">
        <f t="shared" ca="1" si="17"/>
        <v>5.1233978321711469E-6</v>
      </c>
      <c r="AG22" s="45">
        <f t="shared" ca="1" si="17"/>
        <v>2.4275554294995341E-3</v>
      </c>
      <c r="AH22" s="45">
        <v>0</v>
      </c>
      <c r="AI22" s="22">
        <f t="shared" ca="1" si="14"/>
        <v>0.16365007737373957</v>
      </c>
    </row>
    <row r="23" spans="4:35" ht="12" customHeight="1" x14ac:dyDescent="0.25">
      <c r="D23" s="341">
        <f t="shared" si="15"/>
        <v>12</v>
      </c>
      <c r="E23" s="43">
        <f t="shared" si="10"/>
        <v>73</v>
      </c>
      <c r="F23" s="44">
        <f>INDEX(rngU.Anticoag_NoEvent, MATCH(E23, Parameters!$D$427:$D$433, 1))</f>
        <v>0.75468349707747795</v>
      </c>
      <c r="G23" s="45">
        <f t="shared" ca="1" si="16"/>
        <v>0</v>
      </c>
      <c r="H23" s="45">
        <f t="shared" ca="1" si="16"/>
        <v>0.11668933992999014</v>
      </c>
      <c r="I23" s="45">
        <f t="shared" ca="1" si="16"/>
        <v>1.8431075757629313E-3</v>
      </c>
      <c r="J23" s="45">
        <f t="shared" ca="1" si="16"/>
        <v>1.9110053659285431E-4</v>
      </c>
      <c r="K23" s="45">
        <f t="shared" ca="1" si="16"/>
        <v>6.4817533605502137E-5</v>
      </c>
      <c r="L23" s="45">
        <f t="shared" ca="1" si="16"/>
        <v>6.7042094436288684E-6</v>
      </c>
      <c r="M23" s="45">
        <f t="shared" ca="1" si="16"/>
        <v>4.6344711988142117E-4</v>
      </c>
      <c r="N23" s="45">
        <f t="shared" ca="1" si="16"/>
        <v>4.820841047638055E-5</v>
      </c>
      <c r="O23" s="45">
        <f t="shared" ca="1" si="16"/>
        <v>3.2977150096112524E-2</v>
      </c>
      <c r="P23" s="45">
        <f t="shared" ca="1" si="16"/>
        <v>5.4439392820130586E-4</v>
      </c>
      <c r="Q23" s="45">
        <f t="shared" ca="1" si="16"/>
        <v>1.1686484727575464E-5</v>
      </c>
      <c r="R23" s="45">
        <f t="shared" ca="1" si="16"/>
        <v>6.5206180693965369E-3</v>
      </c>
      <c r="S23" s="45">
        <v>0</v>
      </c>
      <c r="T23" s="22">
        <f t="shared" ca="1" si="12"/>
        <v>0.15936057389419081</v>
      </c>
      <c r="V23" s="45">
        <f t="shared" ca="1" si="17"/>
        <v>0.14155446020623336</v>
      </c>
      <c r="W23" s="45">
        <f t="shared" ca="1" si="17"/>
        <v>0</v>
      </c>
      <c r="X23" s="45">
        <f t="shared" ca="1" si="17"/>
        <v>1.0287343946441239E-3</v>
      </c>
      <c r="Y23" s="45">
        <f t="shared" ca="1" si="17"/>
        <v>1.0527813817505169E-4</v>
      </c>
      <c r="Z23" s="45">
        <f t="shared" ca="1" si="17"/>
        <v>4.3646881663562851E-5</v>
      </c>
      <c r="AA23" s="45">
        <f t="shared" ca="1" si="17"/>
        <v>4.466714112612417E-6</v>
      </c>
      <c r="AB23" s="45">
        <f t="shared" ca="1" si="17"/>
        <v>1.871058605020741E-4</v>
      </c>
      <c r="AC23" s="45">
        <f t="shared" ca="1" si="17"/>
        <v>1.914795183076736E-5</v>
      </c>
      <c r="AD23" s="45">
        <f t="shared" ca="1" si="17"/>
        <v>1.5844167730946226E-2</v>
      </c>
      <c r="AE23" s="45">
        <f t="shared" ca="1" si="17"/>
        <v>2.4027247738583139E-4</v>
      </c>
      <c r="AF23" s="45">
        <f t="shared" ca="1" si="17"/>
        <v>5.0845245372807056E-6</v>
      </c>
      <c r="AG23" s="45">
        <f t="shared" ca="1" si="17"/>
        <v>2.6210667004733434E-3</v>
      </c>
      <c r="AH23" s="45">
        <v>0</v>
      </c>
      <c r="AI23" s="22">
        <f t="shared" ca="1" si="14"/>
        <v>0.16165343158050427</v>
      </c>
    </row>
    <row r="24" spans="4:35" ht="12" customHeight="1" x14ac:dyDescent="0.25">
      <c r="D24" s="341">
        <f t="shared" si="15"/>
        <v>13</v>
      </c>
      <c r="E24" s="43">
        <f t="shared" si="10"/>
        <v>73.25</v>
      </c>
      <c r="F24" s="44">
        <f>INDEX(rngU.Anticoag_NoEvent, MATCH(E24, Parameters!$D$427:$D$433, 1))</f>
        <v>0.75468349707747795</v>
      </c>
      <c r="G24" s="45">
        <f t="shared" ca="1" si="16"/>
        <v>0</v>
      </c>
      <c r="H24" s="45">
        <f t="shared" ca="1" si="16"/>
        <v>0.11228735900886795</v>
      </c>
      <c r="I24" s="45">
        <f t="shared" ca="1" si="16"/>
        <v>1.7947196307630741E-3</v>
      </c>
      <c r="J24" s="45">
        <f t="shared" ca="1" si="16"/>
        <v>1.8605502342086382E-4</v>
      </c>
      <c r="K24" s="45">
        <f t="shared" ca="1" si="16"/>
        <v>6.3269339948244502E-5</v>
      </c>
      <c r="L24" s="45">
        <f t="shared" ca="1" si="16"/>
        <v>6.543094875003374E-6</v>
      </c>
      <c r="M24" s="45">
        <f t="shared" ca="1" si="16"/>
        <v>4.498092480677377E-4</v>
      </c>
      <c r="N24" s="45">
        <f t="shared" ca="1" si="16"/>
        <v>4.6783305476988908E-5</v>
      </c>
      <c r="O24" s="45">
        <f t="shared" ca="1" si="16"/>
        <v>3.496779124474942E-2</v>
      </c>
      <c r="P24" s="45">
        <f t="shared" ca="1" si="16"/>
        <v>5.3264909045404698E-4</v>
      </c>
      <c r="Q24" s="45">
        <f t="shared" ca="1" si="16"/>
        <v>1.1432272492227433E-5</v>
      </c>
      <c r="R24" s="45">
        <f t="shared" ca="1" si="16"/>
        <v>6.9332263779591091E-3</v>
      </c>
      <c r="S24" s="45">
        <v>0</v>
      </c>
      <c r="T24" s="22">
        <f t="shared" ca="1" si="12"/>
        <v>0.1572796376370747</v>
      </c>
      <c r="V24" s="45">
        <f t="shared" ca="1" si="17"/>
        <v>0.13833712897000294</v>
      </c>
      <c r="W24" s="45">
        <f t="shared" ca="1" si="17"/>
        <v>0</v>
      </c>
      <c r="X24" s="45">
        <f t="shared" ca="1" si="17"/>
        <v>1.0147499549068488E-3</v>
      </c>
      <c r="Y24" s="45">
        <f t="shared" ca="1" si="17"/>
        <v>1.038470051375772E-4</v>
      </c>
      <c r="Z24" s="45">
        <f t="shared" ca="1" si="17"/>
        <v>4.3053553405538364E-5</v>
      </c>
      <c r="AA24" s="45">
        <f t="shared" ca="1" si="17"/>
        <v>4.4059943635142327E-6</v>
      </c>
      <c r="AB24" s="45">
        <f t="shared" ca="1" si="17"/>
        <v>1.8456237537675427E-4</v>
      </c>
      <c r="AC24" s="45">
        <f t="shared" ca="1" si="17"/>
        <v>1.8887657842480671E-5</v>
      </c>
      <c r="AD24" s="45">
        <f t="shared" ca="1" si="17"/>
        <v>1.6921848889783514E-2</v>
      </c>
      <c r="AE24" s="45">
        <f t="shared" ca="1" si="17"/>
        <v>2.3842838759848353E-4</v>
      </c>
      <c r="AF24" s="45">
        <f t="shared" ca="1" si="17"/>
        <v>5.0457220251024643E-6</v>
      </c>
      <c r="AG24" s="45">
        <f t="shared" ca="1" si="17"/>
        <v>2.8085787864056337E-3</v>
      </c>
      <c r="AH24" s="45">
        <v>0</v>
      </c>
      <c r="AI24" s="22">
        <f t="shared" ca="1" si="14"/>
        <v>0.15968053729684842</v>
      </c>
    </row>
    <row r="25" spans="4:35" ht="12" customHeight="1" x14ac:dyDescent="0.25">
      <c r="D25" s="341">
        <f t="shared" si="15"/>
        <v>14</v>
      </c>
      <c r="E25" s="43">
        <f t="shared" si="10"/>
        <v>73.5</v>
      </c>
      <c r="F25" s="44">
        <f>INDEX(rngU.Anticoag_NoEvent, MATCH(E25, Parameters!$D$427:$D$433, 1))</f>
        <v>0.75468349707747795</v>
      </c>
      <c r="G25" s="45">
        <f t="shared" ca="1" si="16"/>
        <v>0</v>
      </c>
      <c r="H25" s="45">
        <f t="shared" ca="1" si="16"/>
        <v>0.1080514381240914</v>
      </c>
      <c r="I25" s="45">
        <f t="shared" ca="1" si="16"/>
        <v>1.7478696778563682E-3</v>
      </c>
      <c r="J25" s="45">
        <f t="shared" ca="1" si="16"/>
        <v>1.8117043591299177E-4</v>
      </c>
      <c r="K25" s="45">
        <f t="shared" ca="1" si="16"/>
        <v>6.1767356870769935E-5</v>
      </c>
      <c r="L25" s="45">
        <f t="shared" ca="1" si="16"/>
        <v>6.3868103417786288E-6</v>
      </c>
      <c r="M25" s="45">
        <f t="shared" ca="1" si="16"/>
        <v>4.3663357975164585E-4</v>
      </c>
      <c r="N25" s="45">
        <f t="shared" ca="1" si="16"/>
        <v>4.5406611792326847E-5</v>
      </c>
      <c r="O25" s="45">
        <f t="shared" ca="1" si="16"/>
        <v>3.6839366040918704E-2</v>
      </c>
      <c r="P25" s="45">
        <f t="shared" ca="1" si="16"/>
        <v>5.212521000224294E-4</v>
      </c>
      <c r="Q25" s="45">
        <f t="shared" ca="1" si="16"/>
        <v>1.1185630899534996E-5</v>
      </c>
      <c r="R25" s="45">
        <f t="shared" ca="1" si="16"/>
        <v>7.3251296322992846E-3</v>
      </c>
      <c r="S25" s="45">
        <v>0</v>
      </c>
      <c r="T25" s="22">
        <f t="shared" ca="1" si="12"/>
        <v>0.15522760600075722</v>
      </c>
      <c r="V25" s="45">
        <f t="shared" ca="1" si="17"/>
        <v>0.13519292308968534</v>
      </c>
      <c r="W25" s="45">
        <f t="shared" ca="1" si="17"/>
        <v>0</v>
      </c>
      <c r="X25" s="45">
        <f t="shared" ca="1" si="17"/>
        <v>1.0009556172559662E-3</v>
      </c>
      <c r="Y25" s="45">
        <f t="shared" ca="1" si="17"/>
        <v>1.0243532667829392E-4</v>
      </c>
      <c r="Z25" s="45">
        <f t="shared" ca="1" si="17"/>
        <v>4.2468290750561635E-5</v>
      </c>
      <c r="AA25" s="45">
        <f t="shared" ca="1" si="17"/>
        <v>4.3461000283193326E-6</v>
      </c>
      <c r="AB25" s="45">
        <f t="shared" ca="1" si="17"/>
        <v>1.8205346595400926E-4</v>
      </c>
      <c r="AC25" s="45">
        <f t="shared" ca="1" si="17"/>
        <v>1.8630902246233877E-5</v>
      </c>
      <c r="AD25" s="45">
        <f t="shared" ca="1" si="17"/>
        <v>1.7955490730583234E-2</v>
      </c>
      <c r="AE25" s="45">
        <f t="shared" ca="1" si="17"/>
        <v>2.3658821637850426E-4</v>
      </c>
      <c r="AF25" s="45">
        <f t="shared" ca="1" si="17"/>
        <v>5.0069961395681585E-6</v>
      </c>
      <c r="AG25" s="45">
        <f t="shared" ca="1" si="17"/>
        <v>2.9902233367073909E-3</v>
      </c>
      <c r="AH25" s="45">
        <v>0</v>
      </c>
      <c r="AI25" s="22">
        <f t="shared" ca="1" si="14"/>
        <v>0.15773112207240741</v>
      </c>
    </row>
    <row r="26" spans="4:35" ht="12" customHeight="1" x14ac:dyDescent="0.25">
      <c r="D26" s="341">
        <f t="shared" si="15"/>
        <v>15</v>
      </c>
      <c r="E26" s="43">
        <f t="shared" si="10"/>
        <v>73.75</v>
      </c>
      <c r="F26" s="44">
        <f>INDEX(rngU.Anticoag_NoEvent, MATCH(E26, Parameters!$D$427:$D$433, 1))</f>
        <v>0.75468349707747795</v>
      </c>
      <c r="G26" s="45">
        <f t="shared" ca="1" si="16"/>
        <v>0</v>
      </c>
      <c r="H26" s="45">
        <f t="shared" ca="1" si="16"/>
        <v>0.10397531283786188</v>
      </c>
      <c r="I26" s="45">
        <f t="shared" ca="1" si="16"/>
        <v>1.7025036046825516E-3</v>
      </c>
      <c r="J26" s="45">
        <f t="shared" ca="1" si="16"/>
        <v>1.764411031274568E-4</v>
      </c>
      <c r="K26" s="45">
        <f t="shared" ca="1" si="16"/>
        <v>6.0310006882890305E-5</v>
      </c>
      <c r="L26" s="45">
        <f t="shared" ca="1" si="16"/>
        <v>6.2351905989420777E-6</v>
      </c>
      <c r="M26" s="45">
        <f t="shared" ca="1" si="16"/>
        <v>4.2390338935767696E-4</v>
      </c>
      <c r="N26" s="45">
        <f t="shared" ca="1" si="16"/>
        <v>4.40765758739832E-5</v>
      </c>
      <c r="O26" s="45">
        <f t="shared" ca="1" si="16"/>
        <v>3.8596963877382789E-2</v>
      </c>
      <c r="P26" s="45">
        <f t="shared" ca="1" si="16"/>
        <v>5.1019076766828505E-4</v>
      </c>
      <c r="Q26" s="45">
        <f t="shared" ca="1" si="16"/>
        <v>1.0946294100471027E-5</v>
      </c>
      <c r="R26" s="45">
        <f t="shared" ca="1" si="16"/>
        <v>7.6971220734771278E-3</v>
      </c>
      <c r="S26" s="45">
        <v>0</v>
      </c>
      <c r="T26" s="22">
        <f t="shared" ca="1" si="12"/>
        <v>0.15320400572101406</v>
      </c>
      <c r="V26" s="45">
        <f t="shared" ca="1" si="17"/>
        <v>0.13212018053010766</v>
      </c>
      <c r="W26" s="45">
        <f t="shared" ca="1" si="17"/>
        <v>0</v>
      </c>
      <c r="X26" s="45">
        <f t="shared" ca="1" si="17"/>
        <v>9.8734879747616744E-4</v>
      </c>
      <c r="Y26" s="45">
        <f t="shared" ca="1" si="17"/>
        <v>1.0104283833498714E-4</v>
      </c>
      <c r="Z26" s="45">
        <f t="shared" ca="1" si="17"/>
        <v>4.1890984056201773E-5</v>
      </c>
      <c r="AA26" s="45">
        <f t="shared" ca="1" si="17"/>
        <v>4.287019886492028E-6</v>
      </c>
      <c r="AB26" s="45">
        <f t="shared" ca="1" si="17"/>
        <v>1.7957866221764092E-4</v>
      </c>
      <c r="AC26" s="45">
        <f t="shared" ca="1" si="17"/>
        <v>1.8377636941729649E-5</v>
      </c>
      <c r="AD26" s="45">
        <f t="shared" ca="1" si="17"/>
        <v>1.894635989788488E-2</v>
      </c>
      <c r="AE26" s="45">
        <f t="shared" ca="1" si="17"/>
        <v>2.347522249911825E-4</v>
      </c>
      <c r="AF26" s="45">
        <f t="shared" ca="1" si="17"/>
        <v>4.9683525439485931E-6</v>
      </c>
      <c r="AG26" s="45">
        <f t="shared" ca="1" si="17"/>
        <v>3.1661294661300232E-3</v>
      </c>
      <c r="AH26" s="45">
        <v>0</v>
      </c>
      <c r="AI26" s="22">
        <f t="shared" ca="1" si="14"/>
        <v>0.1558049164105709</v>
      </c>
    </row>
    <row r="27" spans="4:35" ht="12" customHeight="1" x14ac:dyDescent="0.25">
      <c r="D27" s="341">
        <f t="shared" si="15"/>
        <v>16</v>
      </c>
      <c r="E27" s="43">
        <f t="shared" si="10"/>
        <v>74</v>
      </c>
      <c r="F27" s="44">
        <f>INDEX(rngU.Anticoag_NoEvent, MATCH(E27, Parameters!$D$427:$D$433, 1))</f>
        <v>0.75468349707747795</v>
      </c>
      <c r="G27" s="45">
        <f t="shared" ca="1" si="16"/>
        <v>0</v>
      </c>
      <c r="H27" s="45">
        <f t="shared" ca="1" si="16"/>
        <v>0.10005295503161682</v>
      </c>
      <c r="I27" s="45">
        <f t="shared" ca="1" si="16"/>
        <v>1.6585692871047392E-3</v>
      </c>
      <c r="J27" s="45">
        <f t="shared" ca="1" si="16"/>
        <v>1.7186156261779709E-4</v>
      </c>
      <c r="K27" s="45">
        <f t="shared" ca="1" si="16"/>
        <v>5.8895769750312201E-5</v>
      </c>
      <c r="L27" s="45">
        <f t="shared" ca="1" si="16"/>
        <v>6.0880764045819893E-6</v>
      </c>
      <c r="M27" s="45">
        <f t="shared" ca="1" si="16"/>
        <v>4.1160257260564954E-4</v>
      </c>
      <c r="N27" s="45">
        <f t="shared" ca="1" si="16"/>
        <v>4.2791509335790752E-5</v>
      </c>
      <c r="O27" s="45">
        <f t="shared" ca="1" si="16"/>
        <v>4.0245474029392068E-2</v>
      </c>
      <c r="P27" s="45">
        <f t="shared" ca="1" si="16"/>
        <v>4.9945335667193587E-4</v>
      </c>
      <c r="Q27" s="45">
        <f t="shared" ca="1" si="16"/>
        <v>1.0714006121033997E-5</v>
      </c>
      <c r="R27" s="45">
        <f t="shared" ca="1" si="16"/>
        <v>8.0499686450016886E-3</v>
      </c>
      <c r="S27" s="45">
        <v>0</v>
      </c>
      <c r="T27" s="22">
        <f t="shared" ca="1" si="12"/>
        <v>0.15120837384662242</v>
      </c>
      <c r="V27" s="45">
        <f t="shared" ca="1" si="17"/>
        <v>0.12911727703178896</v>
      </c>
      <c r="W27" s="45">
        <f t="shared" ca="1" si="17"/>
        <v>0</v>
      </c>
      <c r="X27" s="45">
        <f t="shared" ca="1" si="17"/>
        <v>9.7392694648152582E-4</v>
      </c>
      <c r="Y27" s="45">
        <f t="shared" ca="1" si="17"/>
        <v>9.9669279240496432E-5</v>
      </c>
      <c r="Z27" s="45">
        <f t="shared" ca="1" si="17"/>
        <v>4.1321525170488355E-5</v>
      </c>
      <c r="AA27" s="45">
        <f t="shared" ca="1" si="17"/>
        <v>4.2287428700266787E-6</v>
      </c>
      <c r="AB27" s="45">
        <f t="shared" ca="1" si="17"/>
        <v>1.7713750054077114E-4</v>
      </c>
      <c r="AC27" s="45">
        <f t="shared" ca="1" si="17"/>
        <v>1.812781448253789E-5</v>
      </c>
      <c r="AD27" s="45">
        <f t="shared" ca="1" si="17"/>
        <v>1.9895690635408816E-2</v>
      </c>
      <c r="AE27" s="45">
        <f t="shared" ca="1" si="17"/>
        <v>2.329206664725318E-4</v>
      </c>
      <c r="AF27" s="45">
        <f t="shared" ca="1" si="17"/>
        <v>4.9297967248148366E-6</v>
      </c>
      <c r="AG27" s="45">
        <f t="shared" ca="1" si="17"/>
        <v>3.3364238003011693E-3</v>
      </c>
      <c r="AH27" s="45">
        <v>0</v>
      </c>
      <c r="AI27" s="22">
        <f t="shared" ca="1" si="14"/>
        <v>0.15390165373948214</v>
      </c>
    </row>
    <row r="28" spans="4:35" ht="12" customHeight="1" x14ac:dyDescent="0.25">
      <c r="D28" s="341">
        <f t="shared" si="15"/>
        <v>17</v>
      </c>
      <c r="E28" s="43">
        <f t="shared" si="10"/>
        <v>74.25</v>
      </c>
      <c r="F28" s="44">
        <f>INDEX(rngU.Anticoag_NoEvent, MATCH(E28, Parameters!$D$427:$D$433, 1))</f>
        <v>0.75468349707747795</v>
      </c>
      <c r="G28" s="45">
        <f t="shared" ca="1" si="16"/>
        <v>0</v>
      </c>
      <c r="H28" s="45">
        <f t="shared" ca="1" si="16"/>
        <v>9.6278563991138572E-2</v>
      </c>
      <c r="I28" s="45">
        <f t="shared" ca="1" si="16"/>
        <v>1.6160165149277531E-3</v>
      </c>
      <c r="J28" s="45">
        <f t="shared" ca="1" si="16"/>
        <v>1.6742655264148792E-4</v>
      </c>
      <c r="K28" s="45">
        <f t="shared" ca="1" si="16"/>
        <v>5.7523180365349553E-5</v>
      </c>
      <c r="L28" s="45">
        <f t="shared" ca="1" si="16"/>
        <v>5.945314296561487E-6</v>
      </c>
      <c r="M28" s="45">
        <f t="shared" ca="1" si="16"/>
        <v>3.9971562320427262E-4</v>
      </c>
      <c r="N28" s="45">
        <f t="shared" ca="1" si="16"/>
        <v>4.154978650908766E-5</v>
      </c>
      <c r="O28" s="45">
        <f t="shared" ca="1" si="16"/>
        <v>4.1789593314362633E-2</v>
      </c>
      <c r="P28" s="45">
        <f t="shared" ca="1" si="16"/>
        <v>4.8902856578082288E-4</v>
      </c>
      <c r="Q28" s="45">
        <f t="shared" ca="1" si="16"/>
        <v>1.0488520490110664E-5</v>
      </c>
      <c r="R28" s="45">
        <f t="shared" ca="1" si="16"/>
        <v>8.3844060764773527E-3</v>
      </c>
      <c r="S28" s="45">
        <v>0</v>
      </c>
      <c r="T28" s="22">
        <f t="shared" ca="1" si="12"/>
        <v>0.14924025744019398</v>
      </c>
      <c r="V28" s="45">
        <f t="shared" ca="1" si="17"/>
        <v>0.12618262525235249</v>
      </c>
      <c r="W28" s="45">
        <f t="shared" ca="1" si="17"/>
        <v>0</v>
      </c>
      <c r="X28" s="45">
        <f t="shared" ca="1" si="17"/>
        <v>9.6068754983795305E-4</v>
      </c>
      <c r="Y28" s="45">
        <f t="shared" ca="1" si="17"/>
        <v>9.8314392073844915E-5</v>
      </c>
      <c r="Z28" s="45">
        <f t="shared" ca="1" si="17"/>
        <v>4.0759807411650438E-5</v>
      </c>
      <c r="AA28" s="45">
        <f t="shared" ca="1" si="17"/>
        <v>4.1712580613742204E-6</v>
      </c>
      <c r="AB28" s="45">
        <f t="shared" ca="1" si="17"/>
        <v>1.7472952359898642E-4</v>
      </c>
      <c r="AC28" s="45">
        <f t="shared" ca="1" si="17"/>
        <v>1.7881388067207191E-5</v>
      </c>
      <c r="AD28" s="45">
        <f t="shared" ca="1" si="17"/>
        <v>2.0804685571578819E-2</v>
      </c>
      <c r="AE28" s="45">
        <f t="shared" ca="1" si="17"/>
        <v>2.3109378581072314E-4</v>
      </c>
      <c r="AF28" s="45">
        <f t="shared" ca="1" si="17"/>
        <v>4.8913339959231717E-6</v>
      </c>
      <c r="AG28" s="45">
        <f t="shared" ca="1" si="17"/>
        <v>3.5012305204767265E-3</v>
      </c>
      <c r="AH28" s="45">
        <v>0</v>
      </c>
      <c r="AI28" s="22">
        <f t="shared" ca="1" si="14"/>
        <v>0.15202107038326568</v>
      </c>
    </row>
    <row r="29" spans="4:35" ht="12" customHeight="1" x14ac:dyDescent="0.25">
      <c r="D29" s="341">
        <f t="shared" si="15"/>
        <v>18</v>
      </c>
      <c r="E29" s="43">
        <f t="shared" si="10"/>
        <v>74.5</v>
      </c>
      <c r="F29" s="44">
        <f>INDEX(rngU.Anticoag_NoEvent, MATCH(E29, Parameters!$D$427:$D$433, 1))</f>
        <v>0.75468349707747795</v>
      </c>
      <c r="G29" s="45">
        <f t="shared" ca="1" si="16"/>
        <v>0</v>
      </c>
      <c r="H29" s="45">
        <f t="shared" ca="1" si="16"/>
        <v>9.2646557827967962E-2</v>
      </c>
      <c r="I29" s="45">
        <f t="shared" ca="1" si="16"/>
        <v>1.5747969204088371E-3</v>
      </c>
      <c r="J29" s="45">
        <f t="shared" ca="1" si="16"/>
        <v>1.631310046614767E-4</v>
      </c>
      <c r="K29" s="45">
        <f t="shared" ca="1" si="16"/>
        <v>5.61908266975448E-5</v>
      </c>
      <c r="L29" s="45">
        <f t="shared" ca="1" si="16"/>
        <v>5.80675637757472E-6</v>
      </c>
      <c r="M29" s="45">
        <f t="shared" ca="1" si="16"/>
        <v>3.8822761042217342E-4</v>
      </c>
      <c r="N29" s="45">
        <f t="shared" ca="1" si="16"/>
        <v>4.0349842090021218E-5</v>
      </c>
      <c r="O29" s="45">
        <f t="shared" ca="1" si="16"/>
        <v>4.3233833461099297E-2</v>
      </c>
      <c r="P29" s="45">
        <f t="shared" ca="1" si="16"/>
        <v>4.7890551280230638E-4</v>
      </c>
      <c r="Q29" s="45">
        <f t="shared" ca="1" si="16"/>
        <v>1.0269599881397289E-5</v>
      </c>
      <c r="R29" s="45">
        <f t="shared" ca="1" si="16"/>
        <v>8.70114392685057E-3</v>
      </c>
      <c r="S29" s="45">
        <v>0</v>
      </c>
      <c r="T29" s="22">
        <f t="shared" ca="1" si="12"/>
        <v>0.14729921328925916</v>
      </c>
      <c r="V29" s="45">
        <f t="shared" ca="1" si="17"/>
        <v>0.12331467392745266</v>
      </c>
      <c r="W29" s="45">
        <f t="shared" ca="1" si="17"/>
        <v>0</v>
      </c>
      <c r="X29" s="45">
        <f t="shared" ca="1" si="17"/>
        <v>9.4762812729214942E-4</v>
      </c>
      <c r="Y29" s="45">
        <f t="shared" ca="1" si="17"/>
        <v>9.6977923012033155E-5</v>
      </c>
      <c r="Z29" s="45">
        <f t="shared" ca="1" si="17"/>
        <v>4.0205725548130804E-5</v>
      </c>
      <c r="AA29" s="45">
        <f t="shared" ca="1" si="17"/>
        <v>4.1145546913968913E-6</v>
      </c>
      <c r="AB29" s="45">
        <f t="shared" ca="1" si="17"/>
        <v>1.7235428028466321E-4</v>
      </c>
      <c r="AC29" s="45">
        <f t="shared" ca="1" si="17"/>
        <v>1.7638311530497057E-5</v>
      </c>
      <c r="AD29" s="45">
        <f t="shared" ca="1" si="17"/>
        <v>2.167451648652342E-2</v>
      </c>
      <c r="AE29" s="45">
        <f t="shared" ca="1" si="17"/>
        <v>2.2927182012401698E-4</v>
      </c>
      <c r="AF29" s="45">
        <f t="shared" ca="1" si="17"/>
        <v>4.8529695020251896E-6</v>
      </c>
      <c r="AG29" s="45">
        <f t="shared" ca="1" si="17"/>
        <v>3.6606714075221904E-3</v>
      </c>
      <c r="AH29" s="45">
        <v>0</v>
      </c>
      <c r="AI29" s="22">
        <f t="shared" ca="1" si="14"/>
        <v>0.15016290553348322</v>
      </c>
    </row>
    <row r="30" spans="4:35" ht="12" customHeight="1" x14ac:dyDescent="0.25">
      <c r="D30" s="341">
        <f t="shared" si="15"/>
        <v>19</v>
      </c>
      <c r="E30" s="43">
        <f t="shared" si="10"/>
        <v>74.75</v>
      </c>
      <c r="F30" s="44">
        <f>INDEX(rngU.Anticoag_NoEvent, MATCH(E30, Parameters!$D$427:$D$433, 1))</f>
        <v>0.75468349707747795</v>
      </c>
      <c r="G30" s="45">
        <f t="shared" ca="1" si="16"/>
        <v>0</v>
      </c>
      <c r="H30" s="45">
        <f t="shared" ca="1" si="16"/>
        <v>8.9151565224435861E-2</v>
      </c>
      <c r="I30" s="45">
        <f t="shared" ca="1" si="16"/>
        <v>1.5348639094555461E-3</v>
      </c>
      <c r="J30" s="45">
        <f t="shared" ca="1" si="16"/>
        <v>1.5897003612959877E-4</v>
      </c>
      <c r="K30" s="45">
        <f t="shared" ca="1" si="16"/>
        <v>5.4897347821190286E-5</v>
      </c>
      <c r="L30" s="45">
        <f t="shared" ca="1" si="16"/>
        <v>5.6722601082695085E-6</v>
      </c>
      <c r="M30" s="45">
        <f t="shared" ca="1" si="16"/>
        <v>3.7712415750327334E-4</v>
      </c>
      <c r="N30" s="45">
        <f t="shared" ca="1" si="16"/>
        <v>3.9190168875424464E-5</v>
      </c>
      <c r="O30" s="45">
        <f t="shared" ca="1" si="16"/>
        <v>4.4582528199541373E-2</v>
      </c>
      <c r="P30" s="45">
        <f t="shared" ca="1" si="16"/>
        <v>4.690737188163043E-4</v>
      </c>
      <c r="Q30" s="45">
        <f t="shared" ca="1" si="16"/>
        <v>1.0057015768848443E-5</v>
      </c>
      <c r="R30" s="45">
        <f t="shared" ca="1" si="16"/>
        <v>9.0008655887716706E-3</v>
      </c>
      <c r="S30" s="45">
        <v>0</v>
      </c>
      <c r="T30" s="22">
        <f t="shared" ca="1" si="12"/>
        <v>0.14538480762722733</v>
      </c>
      <c r="V30" s="45">
        <f t="shared" ca="1" si="17"/>
        <v>0.12051190705077258</v>
      </c>
      <c r="W30" s="45">
        <f t="shared" ca="1" si="17"/>
        <v>0</v>
      </c>
      <c r="X30" s="45">
        <f t="shared" ca="1" si="17"/>
        <v>9.3474623230695424E-4</v>
      </c>
      <c r="Y30" s="45">
        <f t="shared" ca="1" si="17"/>
        <v>9.5659621682488299E-5</v>
      </c>
      <c r="Z30" s="45">
        <f t="shared" ca="1" si="17"/>
        <v>3.965917577887209E-5</v>
      </c>
      <c r="AA30" s="45">
        <f t="shared" ca="1" si="17"/>
        <v>4.058622137350745E-6</v>
      </c>
      <c r="AB30" s="45">
        <f t="shared" ca="1" si="17"/>
        <v>1.7001132562245803E-4</v>
      </c>
      <c r="AC30" s="45">
        <f t="shared" ca="1" si="17"/>
        <v>1.7398539334729416E-5</v>
      </c>
      <c r="AD30" s="45">
        <f t="shared" ca="1" si="17"/>
        <v>2.2506325060985998E-2</v>
      </c>
      <c r="AE30" s="45">
        <f t="shared" ca="1" si="17"/>
        <v>2.2745499883525722E-4</v>
      </c>
      <c r="AF30" s="45">
        <f t="shared" ca="1" si="17"/>
        <v>4.8147082226043608E-6</v>
      </c>
      <c r="AG30" s="45">
        <f t="shared" ca="1" si="17"/>
        <v>3.8148658851362097E-3</v>
      </c>
      <c r="AH30" s="45">
        <v>0</v>
      </c>
      <c r="AI30" s="22">
        <f t="shared" ca="1" si="14"/>
        <v>0.14832690122081552</v>
      </c>
    </row>
    <row r="31" spans="4:35" ht="12" customHeight="1" x14ac:dyDescent="0.25">
      <c r="D31" s="341">
        <f t="shared" si="15"/>
        <v>20</v>
      </c>
      <c r="E31" s="43">
        <f t="shared" si="10"/>
        <v>75</v>
      </c>
      <c r="F31" s="44">
        <f>INDEX(rngU.Anticoag_NoEvent, MATCH(E31, Parameters!$D$427:$D$433, 1))</f>
        <v>0.72978572316876</v>
      </c>
      <c r="G31" s="45">
        <f t="shared" ref="G31:R40" ca="1" si="18">PRODUCT(AVERAGE(OFFSET(C.Trace.Markov.Root, $D31, (G$2-1)*C.Trace.Markov.NumCols+G$3-1, CHOOSE(swtchHalfCycle, 2, 1))), $F31+G$6, C.cycleLength)</f>
        <v>0</v>
      </c>
      <c r="H31" s="45">
        <f t="shared" ca="1" si="18"/>
        <v>8.25899754221638E-2</v>
      </c>
      <c r="I31" s="45">
        <f t="shared" ca="1" si="18"/>
        <v>1.4410664356617751E-3</v>
      </c>
      <c r="J31" s="45">
        <f t="shared" ca="1" si="18"/>
        <v>1.4923232239330932E-4</v>
      </c>
      <c r="K31" s="45">
        <f t="shared" ca="1" si="18"/>
        <v>5.1595184099638728E-5</v>
      </c>
      <c r="L31" s="45">
        <f t="shared" ca="1" si="18"/>
        <v>5.330290549887876E-6</v>
      </c>
      <c r="M31" s="45">
        <f t="shared" ca="1" si="18"/>
        <v>3.4870163479288187E-4</v>
      </c>
      <c r="N31" s="45">
        <f t="shared" ca="1" si="18"/>
        <v>3.6231286603670524E-5</v>
      </c>
      <c r="O31" s="45">
        <f t="shared" ca="1" si="18"/>
        <v>4.4113669089779123E-2</v>
      </c>
      <c r="P31" s="45">
        <f t="shared" ca="1" si="18"/>
        <v>4.3812519658864801E-4</v>
      </c>
      <c r="Q31" s="45">
        <f t="shared" ca="1" si="18"/>
        <v>9.3918529592529333E-6</v>
      </c>
      <c r="R31" s="45">
        <f t="shared" ca="1" si="18"/>
        <v>8.8233391370348517E-3</v>
      </c>
      <c r="S31" s="45">
        <v>0</v>
      </c>
      <c r="T31" s="22">
        <f t="shared" ca="1" si="12"/>
        <v>0.13800665785262684</v>
      </c>
      <c r="V31" s="45">
        <f t="shared" ref="V31:AG40" ca="1" si="19">PRODUCT(AVERAGE(OFFSET(C.Trace.Markov.Root, $D31, (V$2-1)*C.Trace.Markov.NumCols+V$3-1, CHOOSE(swtchHalfCycle, 2, 1))), $F31+V$6, C.cycleLength)</f>
        <v>0.11338576187136863</v>
      </c>
      <c r="W31" s="45">
        <f t="shared" ca="1" si="19"/>
        <v>0</v>
      </c>
      <c r="X31" s="45">
        <f t="shared" ca="1" si="19"/>
        <v>8.8807943023268851E-4</v>
      </c>
      <c r="Y31" s="45">
        <f t="shared" ca="1" si="19"/>
        <v>9.0883856370721952E-5</v>
      </c>
      <c r="Z31" s="45">
        <f t="shared" ca="1" si="19"/>
        <v>3.7627751546810174E-5</v>
      </c>
      <c r="AA31" s="45">
        <f t="shared" ca="1" si="19"/>
        <v>3.8507311966875378E-6</v>
      </c>
      <c r="AB31" s="45">
        <f t="shared" ca="1" si="19"/>
        <v>1.5960346714866277E-4</v>
      </c>
      <c r="AC31" s="45">
        <f t="shared" ca="1" si="19"/>
        <v>1.6333424793779658E-5</v>
      </c>
      <c r="AD31" s="45">
        <f t="shared" ca="1" si="19"/>
        <v>2.242376189845505E-2</v>
      </c>
      <c r="AE31" s="45">
        <f t="shared" ca="1" si="19"/>
        <v>2.1513635226278843E-4</v>
      </c>
      <c r="AF31" s="45">
        <f t="shared" ca="1" si="19"/>
        <v>4.5541325770680363E-6</v>
      </c>
      <c r="AG31" s="45">
        <f t="shared" ca="1" si="19"/>
        <v>3.7665884374275998E-3</v>
      </c>
      <c r="AH31" s="45">
        <v>0</v>
      </c>
      <c r="AI31" s="22">
        <f t="shared" ca="1" si="14"/>
        <v>0.14099218135338049</v>
      </c>
    </row>
    <row r="32" spans="4:35" ht="12" customHeight="1" x14ac:dyDescent="0.25">
      <c r="D32" s="341">
        <f t="shared" si="15"/>
        <v>21</v>
      </c>
      <c r="E32" s="43">
        <f t="shared" si="10"/>
        <v>75.25</v>
      </c>
      <c r="F32" s="44">
        <f>INDEX(rngU.Anticoag_NoEvent, MATCH(E32, Parameters!$D$427:$D$433, 1))</f>
        <v>0.72978572316876</v>
      </c>
      <c r="G32" s="45">
        <f t="shared" ca="1" si="18"/>
        <v>0</v>
      </c>
      <c r="H32" s="45">
        <f t="shared" ca="1" si="18"/>
        <v>7.8755062777595669E-2</v>
      </c>
      <c r="I32" s="45">
        <f t="shared" ca="1" si="18"/>
        <v>1.3986088613274518E-3</v>
      </c>
      <c r="J32" s="45">
        <f t="shared" ca="1" si="18"/>
        <v>1.4547042883651993E-4</v>
      </c>
      <c r="K32" s="45">
        <f t="shared" ca="1" si="18"/>
        <v>5.0193641809679538E-5</v>
      </c>
      <c r="L32" s="45">
        <f t="shared" ca="1" si="18"/>
        <v>5.2083466599004415E-6</v>
      </c>
      <c r="M32" s="45">
        <f t="shared" ca="1" si="18"/>
        <v>3.3730362628083563E-4</v>
      </c>
      <c r="N32" s="45">
        <f t="shared" ca="1" si="18"/>
        <v>3.5200165026410806E-5</v>
      </c>
      <c r="O32" s="45">
        <f t="shared" ca="1" si="18"/>
        <v>4.4819510583557279E-2</v>
      </c>
      <c r="P32" s="45">
        <f t="shared" ca="1" si="18"/>
        <v>4.2722865668136199E-4</v>
      </c>
      <c r="Q32" s="45">
        <f t="shared" ca="1" si="18"/>
        <v>9.2006291283616181E-6</v>
      </c>
      <c r="R32" s="45">
        <f t="shared" ca="1" si="18"/>
        <v>8.9627294756974129E-3</v>
      </c>
      <c r="S32" s="45">
        <v>0</v>
      </c>
      <c r="T32" s="22">
        <f t="shared" ca="1" si="12"/>
        <v>0.13494571719260087</v>
      </c>
      <c r="V32" s="45">
        <f t="shared" ca="1" si="19"/>
        <v>0.10982116399449078</v>
      </c>
      <c r="W32" s="45">
        <f t="shared" ca="1" si="19"/>
        <v>0</v>
      </c>
      <c r="X32" s="45">
        <f t="shared" ca="1" si="19"/>
        <v>8.7208762181343095E-4</v>
      </c>
      <c r="Y32" s="45">
        <f t="shared" ca="1" si="19"/>
        <v>8.9648396742732003E-5</v>
      </c>
      <c r="Z32" s="45">
        <f t="shared" ca="1" si="19"/>
        <v>3.695018175575404E-5</v>
      </c>
      <c r="AA32" s="45">
        <f t="shared" ca="1" si="19"/>
        <v>3.7983850141890408E-6</v>
      </c>
      <c r="AB32" s="45">
        <f t="shared" ca="1" si="19"/>
        <v>1.5672945838007555E-4</v>
      </c>
      <c r="AC32" s="45">
        <f t="shared" ca="1" si="19"/>
        <v>1.611139100554325E-5</v>
      </c>
      <c r="AD32" s="45">
        <f t="shared" ca="1" si="19"/>
        <v>2.2940644096146916E-2</v>
      </c>
      <c r="AE32" s="45">
        <f t="shared" ca="1" si="19"/>
        <v>2.1240564706032975E-4</v>
      </c>
      <c r="AF32" s="45">
        <f t="shared" ca="1" si="19"/>
        <v>4.5178633975185608E-6</v>
      </c>
      <c r="AG32" s="45">
        <f t="shared" ca="1" si="19"/>
        <v>3.8532798957416747E-3</v>
      </c>
      <c r="AH32" s="45">
        <v>0</v>
      </c>
      <c r="AI32" s="22">
        <f t="shared" ca="1" si="14"/>
        <v>0.13800733693154893</v>
      </c>
    </row>
    <row r="33" spans="4:35" ht="12" customHeight="1" x14ac:dyDescent="0.25">
      <c r="D33" s="341">
        <f t="shared" si="15"/>
        <v>22</v>
      </c>
      <c r="E33" s="43">
        <f t="shared" si="10"/>
        <v>75.5</v>
      </c>
      <c r="F33" s="44">
        <f>INDEX(rngU.Anticoag_NoEvent, MATCH(E33, Parameters!$D$427:$D$433, 1))</f>
        <v>0.72978572316876</v>
      </c>
      <c r="G33" s="45">
        <f t="shared" ca="1" si="18"/>
        <v>0</v>
      </c>
      <c r="H33" s="45">
        <f t="shared" ca="1" si="18"/>
        <v>7.5098217203713721E-2</v>
      </c>
      <c r="I33" s="45">
        <f t="shared" ca="1" si="18"/>
        <v>1.3513527335748811E-3</v>
      </c>
      <c r="J33" s="45">
        <f t="shared" ca="1" si="18"/>
        <v>1.4118449073337059E-4</v>
      </c>
      <c r="K33" s="45">
        <f t="shared" ca="1" si="18"/>
        <v>4.8612332009889329E-5</v>
      </c>
      <c r="L33" s="45">
        <f t="shared" ca="1" si="18"/>
        <v>5.0668660501884725E-6</v>
      </c>
      <c r="M33" s="45">
        <f t="shared" ca="1" si="18"/>
        <v>3.2481998502707418E-4</v>
      </c>
      <c r="N33" s="45">
        <f t="shared" ca="1" si="18"/>
        <v>3.404957741636197E-5</v>
      </c>
      <c r="O33" s="45">
        <f t="shared" ca="1" si="18"/>
        <v>4.5441082265703224E-2</v>
      </c>
      <c r="P33" s="45">
        <f t="shared" ca="1" si="18"/>
        <v>4.1465637105860903E-4</v>
      </c>
      <c r="Q33" s="45">
        <f t="shared" ca="1" si="18"/>
        <v>8.9718017903086115E-6</v>
      </c>
      <c r="R33" s="45">
        <f t="shared" ca="1" si="18"/>
        <v>9.0870916556512922E-3</v>
      </c>
      <c r="S33" s="45">
        <v>0</v>
      </c>
      <c r="T33" s="22">
        <f t="shared" ca="1" si="12"/>
        <v>0.13195510528272894</v>
      </c>
      <c r="V33" s="45">
        <f t="shared" ca="1" si="19"/>
        <v>0.1063686292004386</v>
      </c>
      <c r="W33" s="45">
        <f t="shared" ca="1" si="19"/>
        <v>0</v>
      </c>
      <c r="X33" s="45">
        <f t="shared" ca="1" si="19"/>
        <v>8.5251701258922449E-4</v>
      </c>
      <c r="Y33" s="45">
        <f t="shared" ca="1" si="19"/>
        <v>8.8034081697254896E-5</v>
      </c>
      <c r="Z33" s="45">
        <f t="shared" ca="1" si="19"/>
        <v>3.6120978875426991E-5</v>
      </c>
      <c r="AA33" s="45">
        <f t="shared" ca="1" si="19"/>
        <v>3.7299868018426811E-6</v>
      </c>
      <c r="AB33" s="45">
        <f t="shared" ca="1" si="19"/>
        <v>1.5321227626768661E-4</v>
      </c>
      <c r="AC33" s="45">
        <f t="shared" ca="1" si="19"/>
        <v>1.5821270246569148E-5</v>
      </c>
      <c r="AD33" s="45">
        <f t="shared" ca="1" si="19"/>
        <v>2.3419828248007004E-2</v>
      </c>
      <c r="AE33" s="45">
        <f t="shared" ca="1" si="19"/>
        <v>2.0871036686742725E-4</v>
      </c>
      <c r="AF33" s="45">
        <f t="shared" ca="1" si="19"/>
        <v>4.460518588266928E-6</v>
      </c>
      <c r="AG33" s="45">
        <f t="shared" ca="1" si="19"/>
        <v>3.9345429669113063E-3</v>
      </c>
      <c r="AH33" s="45">
        <v>0</v>
      </c>
      <c r="AI33" s="22">
        <f t="shared" ca="1" si="14"/>
        <v>0.13508560690729063</v>
      </c>
    </row>
    <row r="34" spans="4:35" ht="12" customHeight="1" x14ac:dyDescent="0.25">
      <c r="D34" s="341">
        <f t="shared" si="15"/>
        <v>23</v>
      </c>
      <c r="E34" s="43">
        <f t="shared" si="10"/>
        <v>75.75</v>
      </c>
      <c r="F34" s="44">
        <f>INDEX(rngU.Anticoag_NoEvent, MATCH(E34, Parameters!$D$427:$D$433, 1))</f>
        <v>0.72978572316876</v>
      </c>
      <c r="G34" s="45">
        <f t="shared" ca="1" si="18"/>
        <v>0</v>
      </c>
      <c r="H34" s="45">
        <f t="shared" ca="1" si="18"/>
        <v>7.1611170485671491E-2</v>
      </c>
      <c r="I34" s="45">
        <f t="shared" ca="1" si="18"/>
        <v>1.305960184159935E-3</v>
      </c>
      <c r="J34" s="45">
        <f t="shared" ca="1" si="18"/>
        <v>1.364141560706505E-4</v>
      </c>
      <c r="K34" s="45">
        <f t="shared" ca="1" si="18"/>
        <v>4.7090436875228246E-5</v>
      </c>
      <c r="L34" s="45">
        <f t="shared" ca="1" si="18"/>
        <v>4.9072385625124898E-6</v>
      </c>
      <c r="M34" s="45">
        <f t="shared" ca="1" si="18"/>
        <v>3.1285657089672402E-4</v>
      </c>
      <c r="N34" s="45">
        <f t="shared" ca="1" si="18"/>
        <v>3.2789399119452298E-5</v>
      </c>
      <c r="O34" s="45">
        <f t="shared" ca="1" si="18"/>
        <v>4.5974115935918887E-2</v>
      </c>
      <c r="P34" s="45">
        <f t="shared" ca="1" si="18"/>
        <v>4.0254271892463535E-4</v>
      </c>
      <c r="Q34" s="45">
        <f t="shared" ca="1" si="18"/>
        <v>8.7077837922307982E-6</v>
      </c>
      <c r="R34" s="45">
        <f t="shared" ca="1" si="18"/>
        <v>9.1952856281306752E-3</v>
      </c>
      <c r="S34" s="45">
        <v>0</v>
      </c>
      <c r="T34" s="22">
        <f t="shared" ca="1" si="12"/>
        <v>0.12903184053812242</v>
      </c>
      <c r="V34" s="45">
        <f t="shared" ca="1" si="19"/>
        <v>0.10302463447344253</v>
      </c>
      <c r="W34" s="45">
        <f t="shared" ca="1" si="19"/>
        <v>0</v>
      </c>
      <c r="X34" s="45">
        <f t="shared" ca="1" si="19"/>
        <v>8.3342393120296242E-4</v>
      </c>
      <c r="Y34" s="45">
        <f t="shared" ca="1" si="19"/>
        <v>8.6058499693549513E-5</v>
      </c>
      <c r="Z34" s="45">
        <f t="shared" ca="1" si="19"/>
        <v>3.5312008756079605E-5</v>
      </c>
      <c r="AA34" s="45">
        <f t="shared" ca="1" si="19"/>
        <v>3.6462817792229151E-6</v>
      </c>
      <c r="AB34" s="45">
        <f t="shared" ca="1" si="19"/>
        <v>1.4978091429255271E-4</v>
      </c>
      <c r="AC34" s="45">
        <f t="shared" ca="1" si="19"/>
        <v>1.5466223471816953E-5</v>
      </c>
      <c r="AD34" s="45">
        <f t="shared" ca="1" si="19"/>
        <v>2.3857558320549723E-2</v>
      </c>
      <c r="AE34" s="45">
        <f t="shared" ca="1" si="19"/>
        <v>2.0508452190324254E-4</v>
      </c>
      <c r="AF34" s="45">
        <f t="shared" ca="1" si="19"/>
        <v>4.3829177042159746E-6</v>
      </c>
      <c r="AG34" s="45">
        <f t="shared" ca="1" si="19"/>
        <v>4.0096178021134217E-3</v>
      </c>
      <c r="AH34" s="45">
        <v>0</v>
      </c>
      <c r="AI34" s="22">
        <f t="shared" ca="1" si="14"/>
        <v>0.13222496589490929</v>
      </c>
    </row>
    <row r="35" spans="4:35" ht="12" customHeight="1" x14ac:dyDescent="0.25">
      <c r="D35" s="341">
        <f t="shared" si="15"/>
        <v>24</v>
      </c>
      <c r="E35" s="43">
        <f t="shared" si="10"/>
        <v>76</v>
      </c>
      <c r="F35" s="44">
        <f>INDEX(rngU.Anticoag_NoEvent, MATCH(E35, Parameters!$D$427:$D$433, 1))</f>
        <v>0.72978572316876</v>
      </c>
      <c r="G35" s="45">
        <f t="shared" ca="1" si="18"/>
        <v>0</v>
      </c>
      <c r="H35" s="45">
        <f t="shared" ca="1" si="18"/>
        <v>6.8286038327875401E-2</v>
      </c>
      <c r="I35" s="45">
        <f t="shared" ca="1" si="18"/>
        <v>1.2622921470517351E-3</v>
      </c>
      <c r="J35" s="45">
        <f t="shared" ca="1" si="18"/>
        <v>1.3183194288049824E-4</v>
      </c>
      <c r="K35" s="45">
        <f t="shared" ca="1" si="18"/>
        <v>4.5622971731075425E-5</v>
      </c>
      <c r="L35" s="45">
        <f t="shared" ca="1" si="18"/>
        <v>4.7536087697391316E-6</v>
      </c>
      <c r="M35" s="45">
        <f t="shared" ca="1" si="18"/>
        <v>3.0137978678441431E-4</v>
      </c>
      <c r="N35" s="45">
        <f t="shared" ca="1" si="18"/>
        <v>3.1581735863391713E-5</v>
      </c>
      <c r="O35" s="45">
        <f t="shared" ca="1" si="18"/>
        <v>4.6423198982623815E-2</v>
      </c>
      <c r="P35" s="45">
        <f t="shared" ca="1" si="18"/>
        <v>3.9084352924563927E-4</v>
      </c>
      <c r="Q35" s="45">
        <f t="shared" ca="1" si="18"/>
        <v>8.4533970974173503E-6</v>
      </c>
      <c r="R35" s="45">
        <f t="shared" ca="1" si="18"/>
        <v>9.2882350158389766E-3</v>
      </c>
      <c r="S35" s="45">
        <v>0</v>
      </c>
      <c r="T35" s="22">
        <f t="shared" ca="1" si="12"/>
        <v>0.12617423144576209</v>
      </c>
      <c r="V35" s="45">
        <f t="shared" ca="1" si="19"/>
        <v>9.9785767553566232E-2</v>
      </c>
      <c r="W35" s="45">
        <f t="shared" ca="1" si="19"/>
        <v>0</v>
      </c>
      <c r="X35" s="45">
        <f t="shared" ca="1" si="19"/>
        <v>8.1476163594921939E-4</v>
      </c>
      <c r="Y35" s="45">
        <f t="shared" ca="1" si="19"/>
        <v>8.4131122392728098E-5</v>
      </c>
      <c r="Z35" s="45">
        <f t="shared" ca="1" si="19"/>
        <v>3.4521290960806423E-5</v>
      </c>
      <c r="AA35" s="45">
        <f t="shared" ca="1" si="19"/>
        <v>3.5646191804244404E-6</v>
      </c>
      <c r="AB35" s="45">
        <f t="shared" ca="1" si="19"/>
        <v>1.4642697214948451E-4</v>
      </c>
      <c r="AC35" s="45">
        <f t="shared" ca="1" si="19"/>
        <v>1.5119839928585768E-5</v>
      </c>
      <c r="AD35" s="45">
        <f t="shared" ca="1" si="19"/>
        <v>2.4255228658550818E-2</v>
      </c>
      <c r="AE35" s="45">
        <f t="shared" ca="1" si="19"/>
        <v>2.0151323645811416E-4</v>
      </c>
      <c r="AF35" s="45">
        <f t="shared" ca="1" si="19"/>
        <v>4.3067749599680963E-6</v>
      </c>
      <c r="AG35" s="45">
        <f t="shared" ca="1" si="19"/>
        <v>4.0787506795770499E-3</v>
      </c>
      <c r="AH35" s="45">
        <v>0</v>
      </c>
      <c r="AI35" s="22">
        <f t="shared" ca="1" si="14"/>
        <v>0.12942409238367344</v>
      </c>
    </row>
    <row r="36" spans="4:35" ht="12" customHeight="1" x14ac:dyDescent="0.25">
      <c r="D36" s="341">
        <f t="shared" si="15"/>
        <v>25</v>
      </c>
      <c r="E36" s="43">
        <f t="shared" si="10"/>
        <v>76.25</v>
      </c>
      <c r="F36" s="44">
        <f>INDEX(rngU.Anticoag_NoEvent, MATCH(E36, Parameters!$D$427:$D$433, 1))</f>
        <v>0.72978572316876</v>
      </c>
      <c r="G36" s="45">
        <f t="shared" ca="1" si="18"/>
        <v>0</v>
      </c>
      <c r="H36" s="45">
        <f t="shared" ca="1" si="18"/>
        <v>6.5115302527404897E-2</v>
      </c>
      <c r="I36" s="45">
        <f t="shared" ca="1" si="18"/>
        <v>1.2202716061611319E-3</v>
      </c>
      <c r="J36" s="45">
        <f t="shared" ca="1" si="18"/>
        <v>1.2742381295159476E-4</v>
      </c>
      <c r="K36" s="45">
        <f t="shared" ca="1" si="18"/>
        <v>4.4207538807405673E-5</v>
      </c>
      <c r="L36" s="45">
        <f t="shared" ca="1" si="18"/>
        <v>4.605473487048625E-6</v>
      </c>
      <c r="M36" s="45">
        <f t="shared" ca="1" si="18"/>
        <v>2.9036758658275018E-4</v>
      </c>
      <c r="N36" s="45">
        <f t="shared" ca="1" si="18"/>
        <v>3.0423196142275273E-5</v>
      </c>
      <c r="O36" s="45">
        <f t="shared" ca="1" si="18"/>
        <v>4.6793571450523458E-2</v>
      </c>
      <c r="P36" s="45">
        <f t="shared" ca="1" si="18"/>
        <v>3.7954130123504668E-4</v>
      </c>
      <c r="Q36" s="45">
        <f t="shared" ca="1" si="18"/>
        <v>8.2077141141584328E-6</v>
      </c>
      <c r="R36" s="45">
        <f t="shared" ca="1" si="18"/>
        <v>9.3668352095934125E-3</v>
      </c>
      <c r="S36" s="45">
        <v>0</v>
      </c>
      <c r="T36" s="22">
        <f t="shared" ca="1" si="12"/>
        <v>0.12338075741700318</v>
      </c>
      <c r="V36" s="45">
        <f t="shared" ca="1" si="19"/>
        <v>9.6648723454787838E-2</v>
      </c>
      <c r="W36" s="45">
        <f t="shared" ca="1" si="19"/>
        <v>0</v>
      </c>
      <c r="X36" s="45">
        <f t="shared" ca="1" si="19"/>
        <v>7.9651716898244452E-4</v>
      </c>
      <c r="Y36" s="45">
        <f t="shared" ca="1" si="19"/>
        <v>8.22472313891957E-5</v>
      </c>
      <c r="Z36" s="45">
        <f t="shared" ca="1" si="19"/>
        <v>3.3748276468228962E-5</v>
      </c>
      <c r="AA36" s="45">
        <f t="shared" ca="1" si="19"/>
        <v>3.4847990875262017E-6</v>
      </c>
      <c r="AB36" s="45">
        <f t="shared" ca="1" si="19"/>
        <v>1.4314812108611328E-4</v>
      </c>
      <c r="AC36" s="45">
        <f t="shared" ca="1" si="19"/>
        <v>1.4781271636541029E-5</v>
      </c>
      <c r="AD36" s="45">
        <f t="shared" ca="1" si="19"/>
        <v>2.4614697018127966E-2</v>
      </c>
      <c r="AE36" s="45">
        <f t="shared" ca="1" si="19"/>
        <v>1.9799524570627435E-4</v>
      </c>
      <c r="AF36" s="45">
        <f t="shared" ca="1" si="19"/>
        <v>4.2317779656204011E-6</v>
      </c>
      <c r="AG36" s="45">
        <f t="shared" ca="1" si="19"/>
        <v>4.1421868924954516E-3</v>
      </c>
      <c r="AH36" s="45">
        <v>0</v>
      </c>
      <c r="AI36" s="22">
        <f t="shared" ca="1" si="14"/>
        <v>0.1266817612577332</v>
      </c>
    </row>
    <row r="37" spans="4:35" ht="12" customHeight="1" x14ac:dyDescent="0.25">
      <c r="D37" s="341">
        <f t="shared" si="15"/>
        <v>26</v>
      </c>
      <c r="E37" s="43">
        <f t="shared" si="10"/>
        <v>76.5</v>
      </c>
      <c r="F37" s="44">
        <f>INDEX(rngU.Anticoag_NoEvent, MATCH(E37, Parameters!$D$427:$D$433, 1))</f>
        <v>0.72978572316876</v>
      </c>
      <c r="G37" s="45">
        <f t="shared" ca="1" si="18"/>
        <v>0</v>
      </c>
      <c r="H37" s="45">
        <f t="shared" ca="1" si="18"/>
        <v>6.2091793975176758E-2</v>
      </c>
      <c r="I37" s="45">
        <f t="shared" ca="1" si="18"/>
        <v>1.179830680270255E-3</v>
      </c>
      <c r="J37" s="45">
        <f t="shared" ca="1" si="18"/>
        <v>1.231819917891364E-4</v>
      </c>
      <c r="K37" s="45">
        <f t="shared" ca="1" si="18"/>
        <v>4.2842087194276404E-5</v>
      </c>
      <c r="L37" s="45">
        <f t="shared" ca="1" si="18"/>
        <v>4.4625906682554642E-6</v>
      </c>
      <c r="M37" s="45">
        <f t="shared" ca="1" si="18"/>
        <v>2.7979994686341288E-4</v>
      </c>
      <c r="N37" s="45">
        <f t="shared" ca="1" si="18"/>
        <v>2.9311554481539457E-5</v>
      </c>
      <c r="O37" s="45">
        <f t="shared" ca="1" si="18"/>
        <v>4.7090184343709027E-2</v>
      </c>
      <c r="P37" s="45">
        <f t="shared" ca="1" si="18"/>
        <v>3.6862064208920695E-4</v>
      </c>
      <c r="Q37" s="45">
        <f t="shared" ca="1" si="18"/>
        <v>7.9703673259359883E-6</v>
      </c>
      <c r="R37" s="45">
        <f t="shared" ca="1" si="18"/>
        <v>9.4319351482621289E-3</v>
      </c>
      <c r="S37" s="45">
        <v>0</v>
      </c>
      <c r="T37" s="22">
        <f t="shared" ca="1" si="12"/>
        <v>0.12064993332782993</v>
      </c>
      <c r="V37" s="45">
        <f t="shared" ca="1" si="19"/>
        <v>9.3610301092545159E-2</v>
      </c>
      <c r="W37" s="45">
        <f t="shared" ca="1" si="19"/>
        <v>0</v>
      </c>
      <c r="X37" s="45">
        <f t="shared" ca="1" si="19"/>
        <v>7.7868123705684478E-4</v>
      </c>
      <c r="Y37" s="45">
        <f t="shared" ca="1" si="19"/>
        <v>8.0405518635451832E-5</v>
      </c>
      <c r="Z37" s="45">
        <f t="shared" ca="1" si="19"/>
        <v>3.2992571525342899E-5</v>
      </c>
      <c r="AA37" s="45">
        <f t="shared" ca="1" si="19"/>
        <v>3.4067660788117584E-6</v>
      </c>
      <c r="AB37" s="45">
        <f t="shared" ca="1" si="19"/>
        <v>1.399426909429927E-4</v>
      </c>
      <c r="AC37" s="45">
        <f t="shared" ca="1" si="19"/>
        <v>1.4450283516579267E-5</v>
      </c>
      <c r="AD37" s="45">
        <f t="shared" ca="1" si="19"/>
        <v>2.4937740243556588E-2</v>
      </c>
      <c r="AE37" s="45">
        <f t="shared" ca="1" si="19"/>
        <v>1.9453007217261621E-4</v>
      </c>
      <c r="AF37" s="45">
        <f t="shared" ca="1" si="19"/>
        <v>4.1579001598317642E-6</v>
      </c>
      <c r="AG37" s="45">
        <f t="shared" ca="1" si="19"/>
        <v>4.2001622996837183E-3</v>
      </c>
      <c r="AH37" s="45">
        <v>0</v>
      </c>
      <c r="AI37" s="22">
        <f t="shared" ca="1" si="14"/>
        <v>0.12399677067587392</v>
      </c>
    </row>
    <row r="38" spans="4:35" ht="12" customHeight="1" x14ac:dyDescent="0.25">
      <c r="D38" s="341">
        <f t="shared" si="15"/>
        <v>27</v>
      </c>
      <c r="E38" s="43">
        <f t="shared" si="10"/>
        <v>76.75</v>
      </c>
      <c r="F38" s="44">
        <f>INDEX(rngU.Anticoag_NoEvent, MATCH(E38, Parameters!$D$427:$D$433, 1))</f>
        <v>0.72978572316876</v>
      </c>
      <c r="G38" s="45">
        <f t="shared" ca="1" si="18"/>
        <v>0</v>
      </c>
      <c r="H38" s="45">
        <f t="shared" ca="1" si="18"/>
        <v>5.9208676446418862E-2</v>
      </c>
      <c r="I38" s="45">
        <f t="shared" ca="1" si="18"/>
        <v>1.1409043464566751E-3</v>
      </c>
      <c r="J38" s="45">
        <f t="shared" ca="1" si="18"/>
        <v>1.1909962703043588E-4</v>
      </c>
      <c r="K38" s="45">
        <f t="shared" ca="1" si="18"/>
        <v>4.1524648770344377E-5</v>
      </c>
      <c r="L38" s="45">
        <f t="shared" ca="1" si="18"/>
        <v>4.3247532814411533E-6</v>
      </c>
      <c r="M38" s="45">
        <f t="shared" ca="1" si="18"/>
        <v>2.6965772117606512E-4</v>
      </c>
      <c r="N38" s="45">
        <f t="shared" ca="1" si="18"/>
        <v>2.8244789588735692E-5</v>
      </c>
      <c r="O38" s="45">
        <f t="shared" ca="1" si="18"/>
        <v>4.7317729090115453E-2</v>
      </c>
      <c r="P38" s="45">
        <f t="shared" ca="1" si="18"/>
        <v>3.5806677964603001E-4</v>
      </c>
      <c r="Q38" s="45">
        <f t="shared" ca="1" si="18"/>
        <v>7.7410334838733542E-6</v>
      </c>
      <c r="R38" s="45">
        <f t="shared" ca="1" si="18"/>
        <v>9.4843413640878678E-3</v>
      </c>
      <c r="S38" s="45">
        <v>0</v>
      </c>
      <c r="T38" s="22">
        <f t="shared" ca="1" si="12"/>
        <v>0.11798031060005579</v>
      </c>
      <c r="V38" s="45">
        <f t="shared" ca="1" si="19"/>
        <v>9.0667400017303182E-2</v>
      </c>
      <c r="W38" s="45">
        <f t="shared" ca="1" si="19"/>
        <v>0</v>
      </c>
      <c r="X38" s="45">
        <f t="shared" ca="1" si="19"/>
        <v>7.6124469455221555E-4</v>
      </c>
      <c r="Y38" s="45">
        <f t="shared" ca="1" si="19"/>
        <v>7.8605046012047454E-5</v>
      </c>
      <c r="Z38" s="45">
        <f t="shared" ca="1" si="19"/>
        <v>3.2253788634011127E-5</v>
      </c>
      <c r="AA38" s="45">
        <f t="shared" ca="1" si="19"/>
        <v>3.3304804063437645E-6</v>
      </c>
      <c r="AB38" s="45">
        <f t="shared" ca="1" si="19"/>
        <v>1.3680903809158652E-4</v>
      </c>
      <c r="AC38" s="45">
        <f t="shared" ca="1" si="19"/>
        <v>1.4126706972163308E-5</v>
      </c>
      <c r="AD38" s="45">
        <f t="shared" ca="1" si="19"/>
        <v>2.5226066040679368E-2</v>
      </c>
      <c r="AE38" s="45">
        <f t="shared" ca="1" si="19"/>
        <v>1.9111721131575567E-4</v>
      </c>
      <c r="AF38" s="45">
        <f t="shared" ca="1" si="19"/>
        <v>4.0851315156249444E-6</v>
      </c>
      <c r="AG38" s="45">
        <f t="shared" ca="1" si="19"/>
        <v>4.2529046550174119E-3</v>
      </c>
      <c r="AH38" s="45">
        <v>0</v>
      </c>
      <c r="AI38" s="22">
        <f t="shared" ca="1" si="14"/>
        <v>0.12136794281049973</v>
      </c>
    </row>
    <row r="39" spans="4:35" ht="12" customHeight="1" x14ac:dyDescent="0.25">
      <c r="D39" s="341">
        <f t="shared" si="15"/>
        <v>28</v>
      </c>
      <c r="E39" s="43">
        <f t="shared" si="10"/>
        <v>77</v>
      </c>
      <c r="F39" s="44">
        <f>INDEX(rngU.Anticoag_NoEvent, MATCH(E39, Parameters!$D$427:$D$433, 1))</f>
        <v>0.72978572316876</v>
      </c>
      <c r="G39" s="45">
        <f t="shared" ca="1" si="18"/>
        <v>0</v>
      </c>
      <c r="H39" s="45">
        <f t="shared" ca="1" si="18"/>
        <v>5.6459431143803342E-2</v>
      </c>
      <c r="I39" s="45">
        <f t="shared" ca="1" si="18"/>
        <v>1.1034304103948239E-3</v>
      </c>
      <c r="J39" s="45">
        <f t="shared" ca="1" si="18"/>
        <v>1.1517015484736155E-4</v>
      </c>
      <c r="K39" s="45">
        <f t="shared" ca="1" si="18"/>
        <v>4.025333872371317E-5</v>
      </c>
      <c r="L39" s="45">
        <f t="shared" ca="1" si="18"/>
        <v>4.1917626518959639E-6</v>
      </c>
      <c r="M39" s="45">
        <f t="shared" ca="1" si="18"/>
        <v>2.5992261784219819E-4</v>
      </c>
      <c r="N39" s="45">
        <f t="shared" ca="1" si="18"/>
        <v>2.7220968699161159E-5</v>
      </c>
      <c r="O39" s="45">
        <f t="shared" ca="1" si="18"/>
        <v>4.7480650939377443E-2</v>
      </c>
      <c r="P39" s="45">
        <f t="shared" ca="1" si="18"/>
        <v>3.478655676904148E-4</v>
      </c>
      <c r="Q39" s="45">
        <f t="shared" ca="1" si="18"/>
        <v>7.5194023725666372E-6</v>
      </c>
      <c r="R39" s="45">
        <f t="shared" ca="1" si="18"/>
        <v>9.5248199855347791E-3</v>
      </c>
      <c r="S39" s="45">
        <v>0</v>
      </c>
      <c r="T39" s="22">
        <f t="shared" ca="1" si="12"/>
        <v>0.1153704762919377</v>
      </c>
      <c r="V39" s="45">
        <f t="shared" ca="1" si="19"/>
        <v>8.7817017250811188E-2</v>
      </c>
      <c r="W39" s="45">
        <f t="shared" ca="1" si="19"/>
        <v>0</v>
      </c>
      <c r="X39" s="45">
        <f t="shared" ca="1" si="19"/>
        <v>7.4419859810066389E-4</v>
      </c>
      <c r="Y39" s="45">
        <f t="shared" ca="1" si="19"/>
        <v>7.6844890301800962E-5</v>
      </c>
      <c r="Z39" s="45">
        <f t="shared" ca="1" si="19"/>
        <v>3.1531548865487389E-5</v>
      </c>
      <c r="AA39" s="45">
        <f t="shared" ca="1" si="19"/>
        <v>3.2559029535910296E-6</v>
      </c>
      <c r="AB39" s="45">
        <f t="shared" ca="1" si="19"/>
        <v>1.3374555525165032E-4</v>
      </c>
      <c r="AC39" s="45">
        <f t="shared" ca="1" si="19"/>
        <v>1.3810376084955113E-5</v>
      </c>
      <c r="AD39" s="45">
        <f t="shared" ca="1" si="19"/>
        <v>2.5481315843123332E-2</v>
      </c>
      <c r="AE39" s="45">
        <f t="shared" ca="1" si="19"/>
        <v>1.8775615167513648E-4</v>
      </c>
      <c r="AF39" s="45">
        <f t="shared" ca="1" si="19"/>
        <v>4.0134614376308714E-6</v>
      </c>
      <c r="AG39" s="45">
        <f t="shared" ca="1" si="19"/>
        <v>4.3006338598825392E-3</v>
      </c>
      <c r="AH39" s="45">
        <v>0</v>
      </c>
      <c r="AI39" s="22">
        <f t="shared" ca="1" si="14"/>
        <v>0.118794123438488</v>
      </c>
    </row>
    <row r="40" spans="4:35" ht="12" customHeight="1" x14ac:dyDescent="0.25">
      <c r="D40" s="341">
        <f t="shared" si="15"/>
        <v>29</v>
      </c>
      <c r="E40" s="43">
        <f t="shared" si="10"/>
        <v>77.25</v>
      </c>
      <c r="F40" s="44">
        <f>INDEX(rngU.Anticoag_NoEvent, MATCH(E40, Parameters!$D$427:$D$433, 1))</f>
        <v>0.72978572316876</v>
      </c>
      <c r="G40" s="45">
        <f t="shared" ca="1" si="18"/>
        <v>0</v>
      </c>
      <c r="H40" s="45">
        <f t="shared" ca="1" si="18"/>
        <v>5.3837841958290757E-2</v>
      </c>
      <c r="I40" s="45">
        <f t="shared" ca="1" si="18"/>
        <v>1.067349383651592E-3</v>
      </c>
      <c r="J40" s="45">
        <f t="shared" ca="1" si="18"/>
        <v>1.1138729694837342E-4</v>
      </c>
      <c r="K40" s="45">
        <f t="shared" ca="1" si="18"/>
        <v>3.902635204952983E-5</v>
      </c>
      <c r="L40" s="45">
        <f t="shared" ca="1" si="18"/>
        <v>4.0634285146965989E-6</v>
      </c>
      <c r="M40" s="45">
        <f t="shared" ca="1" si="18"/>
        <v>2.5057716181747114E-4</v>
      </c>
      <c r="N40" s="45">
        <f t="shared" ca="1" si="18"/>
        <v>2.6238245334228219E-5</v>
      </c>
      <c r="O40" s="45">
        <f t="shared" ca="1" si="18"/>
        <v>4.7583161008382641E-2</v>
      </c>
      <c r="P40" s="45">
        <f t="shared" ca="1" si="18"/>
        <v>3.3800345897093859E-4</v>
      </c>
      <c r="Q40" s="45">
        <f t="shared" ca="1" si="18"/>
        <v>7.3051769214987173E-6</v>
      </c>
      <c r="R40" s="45">
        <f t="shared" ca="1" si="18"/>
        <v>9.5540986500742796E-3</v>
      </c>
      <c r="S40" s="45">
        <v>0</v>
      </c>
      <c r="T40" s="22">
        <f t="shared" ca="1" si="12"/>
        <v>0.11281905212095601</v>
      </c>
      <c r="V40" s="45">
        <f t="shared" ca="1" si="19"/>
        <v>8.505624422182094E-2</v>
      </c>
      <c r="W40" s="45">
        <f t="shared" ca="1" si="19"/>
        <v>0</v>
      </c>
      <c r="X40" s="45">
        <f t="shared" ca="1" si="19"/>
        <v>7.2753420467607595E-4</v>
      </c>
      <c r="Y40" s="45">
        <f t="shared" ca="1" si="19"/>
        <v>7.5124148704168006E-5</v>
      </c>
      <c r="Z40" s="45">
        <f t="shared" ca="1" si="19"/>
        <v>3.0825481779467392E-5</v>
      </c>
      <c r="AA40" s="45">
        <f t="shared" ca="1" si="19"/>
        <v>3.1829954690712836E-6</v>
      </c>
      <c r="AB40" s="45">
        <f t="shared" ca="1" si="19"/>
        <v>1.307506711478751E-4</v>
      </c>
      <c r="AC40" s="45">
        <f t="shared" ca="1" si="19"/>
        <v>1.3501128605844834E-5</v>
      </c>
      <c r="AD40" s="45">
        <f t="shared" ca="1" si="19"/>
        <v>2.5705067166017857E-2</v>
      </c>
      <c r="AE40" s="45">
        <f t="shared" ca="1" si="19"/>
        <v>1.8444637603695253E-4</v>
      </c>
      <c r="AF40" s="45">
        <f t="shared" ca="1" si="19"/>
        <v>3.9428791851778695E-6</v>
      </c>
      <c r="AG40" s="45">
        <f t="shared" ca="1" si="19"/>
        <v>4.3435622099630665E-3</v>
      </c>
      <c r="AH40" s="45">
        <v>0</v>
      </c>
      <c r="AI40" s="22">
        <f t="shared" ca="1" si="14"/>
        <v>0.11627418148340649</v>
      </c>
    </row>
    <row r="41" spans="4:35" ht="12" customHeight="1" x14ac:dyDescent="0.25">
      <c r="D41" s="341">
        <f t="shared" si="15"/>
        <v>30</v>
      </c>
      <c r="E41" s="43">
        <f t="shared" si="10"/>
        <v>77.5</v>
      </c>
      <c r="F41" s="44">
        <f>INDEX(rngU.Anticoag_NoEvent, MATCH(E41, Parameters!$D$427:$D$433, 1))</f>
        <v>0.72978572316876</v>
      </c>
      <c r="G41" s="45">
        <f t="shared" ref="G41:R50" ca="1" si="20">PRODUCT(AVERAGE(OFFSET(C.Trace.Markov.Root, $D41, (G$2-1)*C.Trace.Markov.NumCols+G$3-1, CHOOSE(swtchHalfCycle, 2, 1))), $F41+G$6, C.cycleLength)</f>
        <v>0</v>
      </c>
      <c r="H41" s="45">
        <f t="shared" ca="1" si="20"/>
        <v>5.1337981414359607E-2</v>
      </c>
      <c r="I41" s="45">
        <f t="shared" ca="1" si="20"/>
        <v>1.0326043619905826E-3</v>
      </c>
      <c r="J41" s="45">
        <f t="shared" ca="1" si="20"/>
        <v>1.0774504819195887E-4</v>
      </c>
      <c r="K41" s="45">
        <f t="shared" ca="1" si="20"/>
        <v>3.7841960011541425E-5</v>
      </c>
      <c r="L41" s="45">
        <f t="shared" ca="1" si="20"/>
        <v>3.9395686611512776E-6</v>
      </c>
      <c r="M41" s="45">
        <f t="shared" ca="1" si="20"/>
        <v>2.4160465748222535E-4</v>
      </c>
      <c r="N41" s="45">
        <f t="shared" ca="1" si="20"/>
        <v>2.529485545160593E-5</v>
      </c>
      <c r="O41" s="45">
        <f t="shared" ca="1" si="20"/>
        <v>4.7629247773197499E-2</v>
      </c>
      <c r="P41" s="45">
        <f t="shared" ca="1" si="20"/>
        <v>3.2846747847253697E-4</v>
      </c>
      <c r="Q41" s="45">
        <f t="shared" ca="1" si="20"/>
        <v>7.0980726383897164E-6</v>
      </c>
      <c r="R41" s="45">
        <f t="shared" ca="1" si="20"/>
        <v>9.5728683296373816E-3</v>
      </c>
      <c r="S41" s="45">
        <v>0</v>
      </c>
      <c r="T41" s="22">
        <f t="shared" ca="1" si="12"/>
        <v>0.11032469352009448</v>
      </c>
      <c r="V41" s="45">
        <f t="shared" ref="V41:AG50" ca="1" si="21">PRODUCT(AVERAGE(OFFSET(C.Trace.Markov.Root, $D41, (V$2-1)*C.Trace.Markov.NumCols+V$3-1, CHOOSE(swtchHalfCycle, 2, 1))), $F41+V$6, C.cycleLength)</f>
        <v>8.2382263798138955E-2</v>
      </c>
      <c r="W41" s="45">
        <f t="shared" ca="1" si="21"/>
        <v>0</v>
      </c>
      <c r="X41" s="45">
        <f t="shared" ca="1" si="21"/>
        <v>7.1124296703129971E-4</v>
      </c>
      <c r="Y41" s="45">
        <f t="shared" ca="1" si="21"/>
        <v>7.3441938642379931E-5</v>
      </c>
      <c r="Z41" s="45">
        <f t="shared" ca="1" si="21"/>
        <v>3.0135225230763112E-5</v>
      </c>
      <c r="AA41" s="45">
        <f t="shared" ca="1" si="21"/>
        <v>3.1117205581796752E-6</v>
      </c>
      <c r="AB41" s="45">
        <f t="shared" ca="1" si="21"/>
        <v>1.2782284968986901E-4</v>
      </c>
      <c r="AC41" s="45">
        <f t="shared" ca="1" si="21"/>
        <v>1.3198805920290238E-5</v>
      </c>
      <c r="AD41" s="45">
        <f t="shared" ca="1" si="21"/>
        <v>2.5898835890966393E-2</v>
      </c>
      <c r="AE41" s="45">
        <f t="shared" ca="1" si="21"/>
        <v>1.8118736199032614E-4</v>
      </c>
      <c r="AF41" s="45">
        <f t="shared" ca="1" si="21"/>
        <v>3.8733738967760069E-6</v>
      </c>
      <c r="AG41" s="45">
        <f t="shared" ca="1" si="21"/>
        <v>4.3818946355655497E-3</v>
      </c>
      <c r="AH41" s="45">
        <v>0</v>
      </c>
      <c r="AI41" s="22">
        <f t="shared" ca="1" si="14"/>
        <v>0.1138070085676308</v>
      </c>
    </row>
    <row r="42" spans="4:35" ht="12" customHeight="1" x14ac:dyDescent="0.25">
      <c r="D42" s="341">
        <f t="shared" si="15"/>
        <v>31</v>
      </c>
      <c r="E42" s="43">
        <f t="shared" si="10"/>
        <v>77.75</v>
      </c>
      <c r="F42" s="44">
        <f>INDEX(rngU.Anticoag_NoEvent, MATCH(E42, Parameters!$D$427:$D$433, 1))</f>
        <v>0.72978572316876</v>
      </c>
      <c r="G42" s="45">
        <f t="shared" ca="1" si="20"/>
        <v>0</v>
      </c>
      <c r="H42" s="45">
        <f t="shared" ca="1" si="20"/>
        <v>4.8954197267843239E-2</v>
      </c>
      <c r="I42" s="45">
        <f t="shared" ca="1" si="20"/>
        <v>9.9914090936359043E-4</v>
      </c>
      <c r="J42" s="45">
        <f t="shared" ca="1" si="20"/>
        <v>1.0423766430188853E-4</v>
      </c>
      <c r="K42" s="45">
        <f t="shared" ca="1" si="20"/>
        <v>3.6698506769499553E-5</v>
      </c>
      <c r="L42" s="45">
        <f t="shared" ca="1" si="20"/>
        <v>3.8200085816067064E-6</v>
      </c>
      <c r="M42" s="45">
        <f t="shared" ca="1" si="20"/>
        <v>2.3298915316631298E-4</v>
      </c>
      <c r="N42" s="45">
        <f t="shared" ca="1" si="20"/>
        <v>2.4389113689057459E-5</v>
      </c>
      <c r="O42" s="45">
        <f t="shared" ca="1" si="20"/>
        <v>4.7622688013958962E-2</v>
      </c>
      <c r="P42" s="45">
        <f t="shared" ca="1" si="20"/>
        <v>3.1924519794740311E-4</v>
      </c>
      <c r="Q42" s="45">
        <f t="shared" ca="1" si="20"/>
        <v>6.8978170479232837E-6</v>
      </c>
      <c r="R42" s="45">
        <f t="shared" ca="1" si="20"/>
        <v>9.5817850711415551E-3</v>
      </c>
      <c r="S42" s="45">
        <v>0</v>
      </c>
      <c r="T42" s="22">
        <f t="shared" ca="1" si="12"/>
        <v>0.10788608872381106</v>
      </c>
      <c r="V42" s="45">
        <f t="shared" ca="1" si="21"/>
        <v>7.9792347411984751E-2</v>
      </c>
      <c r="W42" s="45">
        <f t="shared" ca="1" si="21"/>
        <v>0</v>
      </c>
      <c r="X42" s="45">
        <f t="shared" ca="1" si="21"/>
        <v>6.9531652931248281E-4</v>
      </c>
      <c r="Y42" s="45">
        <f t="shared" ca="1" si="21"/>
        <v>7.1797397302844165E-5</v>
      </c>
      <c r="Z42" s="45">
        <f t="shared" ca="1" si="21"/>
        <v>2.946042518348314E-5</v>
      </c>
      <c r="AA42" s="45">
        <f t="shared" ca="1" si="21"/>
        <v>3.0420416636732488E-6</v>
      </c>
      <c r="AB42" s="45">
        <f t="shared" ca="1" si="21"/>
        <v>1.2496058918397664E-4</v>
      </c>
      <c r="AC42" s="45">
        <f t="shared" ca="1" si="21"/>
        <v>1.2903252965538833E-5</v>
      </c>
      <c r="AD42" s="45">
        <f t="shared" ca="1" si="21"/>
        <v>2.6064078473284374E-2</v>
      </c>
      <c r="AE42" s="45">
        <f t="shared" ca="1" si="21"/>
        <v>1.7797858248140764E-4</v>
      </c>
      <c r="AF42" s="45">
        <f t="shared" ca="1" si="21"/>
        <v>3.8049346017968524E-6</v>
      </c>
      <c r="AG42" s="45">
        <f t="shared" ca="1" si="21"/>
        <v>4.4158289347244499E-3</v>
      </c>
      <c r="AH42" s="45">
        <v>0</v>
      </c>
      <c r="AI42" s="22">
        <f t="shared" ca="1" si="14"/>
        <v>0.11139151857268875</v>
      </c>
    </row>
    <row r="43" spans="4:35" ht="12" customHeight="1" x14ac:dyDescent="0.25">
      <c r="D43" s="341">
        <f t="shared" si="15"/>
        <v>32</v>
      </c>
      <c r="E43" s="43">
        <f t="shared" ref="E43:E74" si="22">C.cohortAge+D43*C.cycleLength</f>
        <v>78</v>
      </c>
      <c r="F43" s="44">
        <f>INDEX(rngU.Anticoag_NoEvent, MATCH(E43, Parameters!$D$427:$D$433, 1))</f>
        <v>0.72978572316876</v>
      </c>
      <c r="G43" s="45">
        <f t="shared" ca="1" si="20"/>
        <v>0</v>
      </c>
      <c r="H43" s="45">
        <f t="shared" ca="1" si="20"/>
        <v>4.6681099726071186E-2</v>
      </c>
      <c r="I43" s="45">
        <f t="shared" ca="1" si="20"/>
        <v>9.6690694720249603E-4</v>
      </c>
      <c r="J43" s="45">
        <f t="shared" ca="1" si="20"/>
        <v>1.0085965015657699E-4</v>
      </c>
      <c r="K43" s="45">
        <f t="shared" ca="1" si="20"/>
        <v>3.559440615951181E-5</v>
      </c>
      <c r="L43" s="45">
        <f t="shared" ca="1" si="20"/>
        <v>3.7045811249968017E-6</v>
      </c>
      <c r="M43" s="45">
        <f t="shared" ca="1" si="20"/>
        <v>2.2471540730565405E-4</v>
      </c>
      <c r="N43" s="45">
        <f t="shared" ca="1" si="20"/>
        <v>2.3519409783350217E-5</v>
      </c>
      <c r="O43" s="45">
        <f t="shared" ca="1" si="20"/>
        <v>4.7567057237946735E-2</v>
      </c>
      <c r="P43" s="45">
        <f t="shared" ca="1" si="20"/>
        <v>3.1032471160880037E-4</v>
      </c>
      <c r="Q43" s="45">
        <f t="shared" ca="1" si="20"/>
        <v>6.7041491568954713E-6</v>
      </c>
      <c r="R43" s="45">
        <f t="shared" ca="1" si="20"/>
        <v>9.5814716560368284E-3</v>
      </c>
      <c r="S43" s="45">
        <v>0</v>
      </c>
      <c r="T43" s="22">
        <f t="shared" ref="T43:T74" ca="1" si="23">SUM(G43:S43)</f>
        <v>0.10550195788255302</v>
      </c>
      <c r="V43" s="45">
        <f t="shared" ca="1" si="21"/>
        <v>7.7283852275721251E-2</v>
      </c>
      <c r="W43" s="45">
        <f t="shared" ca="1" si="21"/>
        <v>0</v>
      </c>
      <c r="X43" s="45">
        <f t="shared" ca="1" si="21"/>
        <v>6.7974672277340174E-4</v>
      </c>
      <c r="Y43" s="45">
        <f t="shared" ca="1" si="21"/>
        <v>7.018968119242731E-5</v>
      </c>
      <c r="Z43" s="45">
        <f t="shared" ca="1" si="21"/>
        <v>2.8800735529449676E-5</v>
      </c>
      <c r="AA43" s="45">
        <f t="shared" ca="1" si="21"/>
        <v>2.9739230469131256E-6</v>
      </c>
      <c r="AB43" s="45">
        <f t="shared" ca="1" si="21"/>
        <v>1.22162421563069E-4</v>
      </c>
      <c r="AC43" s="45">
        <f t="shared" ca="1" si="21"/>
        <v>1.2614318151063893E-5</v>
      </c>
      <c r="AD43" s="45">
        <f t="shared" ca="1" si="21"/>
        <v>2.6202194073796186E-2</v>
      </c>
      <c r="AE43" s="45">
        <f t="shared" ca="1" si="21"/>
        <v>1.7481950634395423E-4</v>
      </c>
      <c r="AF43" s="45">
        <f t="shared" ca="1" si="21"/>
        <v>3.737550232109564E-6</v>
      </c>
      <c r="AG43" s="45">
        <f t="shared" ca="1" si="21"/>
        <v>4.445555999307107E-3</v>
      </c>
      <c r="AH43" s="45">
        <v>0</v>
      </c>
      <c r="AI43" s="22">
        <f t="shared" ref="AI43:AI74" ca="1" si="24">SUM(V43:AH43)</f>
        <v>0.10902664720765698</v>
      </c>
    </row>
    <row r="44" spans="4:35" ht="12" customHeight="1" x14ac:dyDescent="0.25">
      <c r="D44" s="341">
        <f t="shared" ref="D44:D75" si="25">D43+1</f>
        <v>33</v>
      </c>
      <c r="E44" s="43">
        <f t="shared" si="22"/>
        <v>78.25</v>
      </c>
      <c r="F44" s="44">
        <f>INDEX(rngU.Anticoag_NoEvent, MATCH(E44, Parameters!$D$427:$D$433, 1))</f>
        <v>0.72978572316876</v>
      </c>
      <c r="G44" s="45">
        <f t="shared" ca="1" si="20"/>
        <v>0</v>
      </c>
      <c r="H44" s="45">
        <f t="shared" ca="1" si="20"/>
        <v>4.4513549261419816E-2</v>
      </c>
      <c r="I44" s="45">
        <f t="shared" ca="1" si="20"/>
        <v>9.3585264876426923E-4</v>
      </c>
      <c r="J44" s="45">
        <f t="shared" ca="1" si="20"/>
        <v>9.7605748613501225E-5</v>
      </c>
      <c r="K44" s="45">
        <f t="shared" ca="1" si="20"/>
        <v>3.4528138620187674E-5</v>
      </c>
      <c r="L44" s="45">
        <f t="shared" ca="1" si="20"/>
        <v>3.5931261738308461E-6</v>
      </c>
      <c r="M44" s="45">
        <f t="shared" ca="1" si="20"/>
        <v>2.1676885615453989E-4</v>
      </c>
      <c r="N44" s="45">
        <f t="shared" ca="1" si="20"/>
        <v>2.268420515388307E-5</v>
      </c>
      <c r="O44" s="45">
        <f t="shared" ca="1" si="20"/>
        <v>4.7465739605392326E-2</v>
      </c>
      <c r="P44" s="45">
        <f t="shared" ca="1" si="20"/>
        <v>3.0169461293354195E-4</v>
      </c>
      <c r="Q44" s="45">
        <f t="shared" ca="1" si="20"/>
        <v>6.5168189437848131E-6</v>
      </c>
      <c r="R44" s="45">
        <f t="shared" ca="1" si="20"/>
        <v>9.5725191826181982E-3</v>
      </c>
      <c r="S44" s="45">
        <v>0</v>
      </c>
      <c r="T44" s="22">
        <f t="shared" ca="1" si="23"/>
        <v>0.10317105220478788</v>
      </c>
      <c r="V44" s="45">
        <f t="shared" ca="1" si="21"/>
        <v>7.4854218685116616E-2</v>
      </c>
      <c r="W44" s="45">
        <f t="shared" ca="1" si="21"/>
        <v>0</v>
      </c>
      <c r="X44" s="45">
        <f t="shared" ca="1" si="21"/>
        <v>6.64525561585675E-4</v>
      </c>
      <c r="Y44" s="45">
        <f t="shared" ca="1" si="21"/>
        <v>6.8617965705832382E-5</v>
      </c>
      <c r="Z44" s="45">
        <f t="shared" ca="1" si="21"/>
        <v>2.815581791067804E-5</v>
      </c>
      <c r="AA44" s="45">
        <f t="shared" ca="1" si="21"/>
        <v>2.9073297695343533E-6</v>
      </c>
      <c r="AB44" s="45">
        <f t="shared" ca="1" si="21"/>
        <v>1.1942691163356488E-4</v>
      </c>
      <c r="AC44" s="45">
        <f t="shared" ca="1" si="21"/>
        <v>1.233185328081454E-5</v>
      </c>
      <c r="AD44" s="45">
        <f t="shared" ca="1" si="21"/>
        <v>2.63145266177113E-2</v>
      </c>
      <c r="AE44" s="45">
        <f t="shared" ca="1" si="21"/>
        <v>1.7170959880686852E-4</v>
      </c>
      <c r="AF44" s="45">
        <f t="shared" ca="1" si="21"/>
        <v>3.6712096332230422E-6</v>
      </c>
      <c r="AG44" s="45">
        <f t="shared" ca="1" si="21"/>
        <v>4.4712600343224072E-3</v>
      </c>
      <c r="AH44" s="45">
        <v>0</v>
      </c>
      <c r="AI44" s="22">
        <f t="shared" ca="1" si="24"/>
        <v>0.10671135158547651</v>
      </c>
    </row>
    <row r="45" spans="4:35" ht="12" customHeight="1" x14ac:dyDescent="0.25">
      <c r="D45" s="341">
        <f t="shared" si="25"/>
        <v>34</v>
      </c>
      <c r="E45" s="43">
        <f t="shared" si="22"/>
        <v>78.5</v>
      </c>
      <c r="F45" s="44">
        <f>INDEX(rngU.Anticoag_NoEvent, MATCH(E45, Parameters!$D$427:$D$433, 1))</f>
        <v>0.72978572316876</v>
      </c>
      <c r="G45" s="45">
        <f t="shared" ca="1" si="20"/>
        <v>0</v>
      </c>
      <c r="H45" s="45">
        <f t="shared" ca="1" si="20"/>
        <v>4.2446644990718034E-2</v>
      </c>
      <c r="I45" s="45">
        <f t="shared" ca="1" si="20"/>
        <v>9.0593033829654236E-4</v>
      </c>
      <c r="J45" s="45">
        <f t="shared" ca="1" si="20"/>
        <v>9.4470929843711761E-5</v>
      </c>
      <c r="K45" s="45">
        <f t="shared" ca="1" si="20"/>
        <v>3.3498248257898109E-5</v>
      </c>
      <c r="L45" s="45">
        <f t="shared" ca="1" si="20"/>
        <v>3.485490333899072E-6</v>
      </c>
      <c r="M45" s="45">
        <f t="shared" ca="1" si="20"/>
        <v>2.0913558298182262E-4</v>
      </c>
      <c r="N45" s="45">
        <f t="shared" ca="1" si="20"/>
        <v>2.1882029643360505E-5</v>
      </c>
      <c r="O45" s="45">
        <f t="shared" ca="1" si="20"/>
        <v>4.732193738141241E-2</v>
      </c>
      <c r="P45" s="45">
        <f t="shared" ca="1" si="20"/>
        <v>2.9334397252202878E-4</v>
      </c>
      <c r="Q45" s="45">
        <f t="shared" ca="1" si="20"/>
        <v>6.3355868716043871E-6</v>
      </c>
      <c r="R45" s="45">
        <f t="shared" ca="1" si="20"/>
        <v>9.5554885746769354E-3</v>
      </c>
      <c r="S45" s="45">
        <v>0</v>
      </c>
      <c r="T45" s="22">
        <f t="shared" ca="1" si="23"/>
        <v>0.10089215312555824</v>
      </c>
      <c r="V45" s="45">
        <f t="shared" ca="1" si="21"/>
        <v>7.2500967407385486E-2</v>
      </c>
      <c r="W45" s="45">
        <f t="shared" ca="1" si="21"/>
        <v>0</v>
      </c>
      <c r="X45" s="45">
        <f t="shared" ca="1" si="21"/>
        <v>6.4964523874279161E-4</v>
      </c>
      <c r="Y45" s="45">
        <f t="shared" ca="1" si="21"/>
        <v>6.7081444702654912E-5</v>
      </c>
      <c r="Z45" s="45">
        <f t="shared" ca="1" si="21"/>
        <v>2.7525341545831214E-5</v>
      </c>
      <c r="AA45" s="45">
        <f t="shared" ca="1" si="21"/>
        <v>2.8422276755258599E-6</v>
      </c>
      <c r="AB45" s="45">
        <f t="shared" ca="1" si="21"/>
        <v>1.1675265633931334E-4</v>
      </c>
      <c r="AC45" s="45">
        <f t="shared" ca="1" si="21"/>
        <v>1.2055713477205294E-5</v>
      </c>
      <c r="AD45" s="45">
        <f t="shared" ca="1" si="21"/>
        <v>2.6402366783004064E-2</v>
      </c>
      <c r="AE45" s="45">
        <f t="shared" ca="1" si="21"/>
        <v>1.6864832197952643E-4</v>
      </c>
      <c r="AF45" s="45">
        <f t="shared" ca="1" si="21"/>
        <v>3.6059015749442419E-6</v>
      </c>
      <c r="AG45" s="45">
        <f t="shared" ca="1" si="21"/>
        <v>4.4931187706305446E-3</v>
      </c>
      <c r="AH45" s="45">
        <v>0</v>
      </c>
      <c r="AI45" s="22">
        <f t="shared" ca="1" si="24"/>
        <v>0.10444460980705789</v>
      </c>
    </row>
    <row r="46" spans="4:35" ht="12" customHeight="1" x14ac:dyDescent="0.25">
      <c r="D46" s="341">
        <f t="shared" si="25"/>
        <v>35</v>
      </c>
      <c r="E46" s="43">
        <f t="shared" si="22"/>
        <v>78.75</v>
      </c>
      <c r="F46" s="44">
        <f>INDEX(rngU.Anticoag_NoEvent, MATCH(E46, Parameters!$D$427:$D$433, 1))</f>
        <v>0.72978572316876</v>
      </c>
      <c r="G46" s="45">
        <f t="shared" ca="1" si="20"/>
        <v>0</v>
      </c>
      <c r="H46" s="45">
        <f t="shared" ca="1" si="20"/>
        <v>4.0475713594233867E-2</v>
      </c>
      <c r="I46" s="45">
        <f t="shared" ca="1" si="20"/>
        <v>8.7709439480183687E-4</v>
      </c>
      <c r="J46" s="45">
        <f t="shared" ca="1" si="20"/>
        <v>9.145038115296329E-5</v>
      </c>
      <c r="K46" s="45">
        <f t="shared" ca="1" si="20"/>
        <v>3.2503340044770354E-5</v>
      </c>
      <c r="L46" s="45">
        <f t="shared" ca="1" si="20"/>
        <v>3.3815266380212614E-6</v>
      </c>
      <c r="M46" s="45">
        <f t="shared" ca="1" si="20"/>
        <v>2.0180228868243197E-4</v>
      </c>
      <c r="N46" s="45">
        <f t="shared" ca="1" si="20"/>
        <v>2.1111478408259702E-5</v>
      </c>
      <c r="O46" s="45">
        <f t="shared" ca="1" si="20"/>
        <v>4.7138679936360457E-2</v>
      </c>
      <c r="P46" s="45">
        <f t="shared" ca="1" si="20"/>
        <v>2.8526231696706999E-4</v>
      </c>
      <c r="Q46" s="45">
        <f t="shared" ca="1" si="20"/>
        <v>6.1602234229626101E-6</v>
      </c>
      <c r="R46" s="45">
        <f t="shared" ca="1" si="20"/>
        <v>9.5309120198982175E-3</v>
      </c>
      <c r="S46" s="45">
        <v>0</v>
      </c>
      <c r="T46" s="22">
        <f t="shared" ca="1" si="23"/>
        <v>9.8664071500610878E-2</v>
      </c>
      <c r="V46" s="45">
        <f t="shared" ca="1" si="21"/>
        <v>7.0221697151344492E-2</v>
      </c>
      <c r="W46" s="45">
        <f t="shared" ca="1" si="21"/>
        <v>0</v>
      </c>
      <c r="X46" s="45">
        <f t="shared" ca="1" si="21"/>
        <v>6.3509812205586093E-4</v>
      </c>
      <c r="Y46" s="45">
        <f t="shared" ca="1" si="21"/>
        <v>6.557933009390958E-5</v>
      </c>
      <c r="Z46" s="45">
        <f t="shared" ca="1" si="21"/>
        <v>2.6908983060560517E-5</v>
      </c>
      <c r="AA46" s="45">
        <f t="shared" ca="1" si="21"/>
        <v>2.7785833737116696E-6</v>
      </c>
      <c r="AB46" s="45">
        <f t="shared" ca="1" si="21"/>
        <v>1.141382840419593E-4</v>
      </c>
      <c r="AC46" s="45">
        <f t="shared" ca="1" si="21"/>
        <v>1.1785757106807662E-5</v>
      </c>
      <c r="AD46" s="45">
        <f t="shared" ca="1" si="21"/>
        <v>2.6466953920642747E-2</v>
      </c>
      <c r="AE46" s="45">
        <f t="shared" ca="1" si="21"/>
        <v>1.6563513531567495E-4</v>
      </c>
      <c r="AF46" s="45">
        <f t="shared" ca="1" si="21"/>
        <v>3.5416147615700576E-6</v>
      </c>
      <c r="AG46" s="45">
        <f t="shared" ca="1" si="21"/>
        <v>4.5113036712457113E-3</v>
      </c>
      <c r="AH46" s="45">
        <v>0</v>
      </c>
      <c r="AI46" s="22">
        <f t="shared" ca="1" si="24"/>
        <v>0.10222542055304298</v>
      </c>
    </row>
    <row r="47" spans="4:35" ht="12" customHeight="1" x14ac:dyDescent="0.25">
      <c r="D47" s="341">
        <f t="shared" si="25"/>
        <v>36</v>
      </c>
      <c r="E47" s="43">
        <f t="shared" si="22"/>
        <v>79</v>
      </c>
      <c r="F47" s="44">
        <f>INDEX(rngU.Anticoag_NoEvent, MATCH(E47, Parameters!$D$427:$D$433, 1))</f>
        <v>0.72978572316876</v>
      </c>
      <c r="G47" s="45">
        <f t="shared" ca="1" si="20"/>
        <v>0</v>
      </c>
      <c r="H47" s="45">
        <f t="shared" ca="1" si="20"/>
        <v>3.8596298749187297E-2</v>
      </c>
      <c r="I47" s="45">
        <f t="shared" ca="1" si="20"/>
        <v>8.4930116018877534E-4</v>
      </c>
      <c r="J47" s="45">
        <f t="shared" ca="1" si="20"/>
        <v>8.8539497267062421E-5</v>
      </c>
      <c r="K47" s="45">
        <f t="shared" ca="1" si="20"/>
        <v>3.1542077143333676E-5</v>
      </c>
      <c r="L47" s="45">
        <f t="shared" ca="1" si="20"/>
        <v>3.2810942631944845E-6</v>
      </c>
      <c r="M47" s="45">
        <f t="shared" ca="1" si="20"/>
        <v>1.9475626373883793E-4</v>
      </c>
      <c r="N47" s="45">
        <f t="shared" ca="1" si="20"/>
        <v>2.0371208952169795E-5</v>
      </c>
      <c r="O47" s="45">
        <f t="shared" ca="1" si="20"/>
        <v>4.6918832315849875E-2</v>
      </c>
      <c r="P47" s="45">
        <f t="shared" ca="1" si="20"/>
        <v>2.7743960868496879E-4</v>
      </c>
      <c r="Q47" s="45">
        <f t="shared" ca="1" si="20"/>
        <v>5.9905086563084747E-6</v>
      </c>
      <c r="R47" s="45">
        <f t="shared" ca="1" si="20"/>
        <v>9.4992943412551406E-3</v>
      </c>
      <c r="S47" s="45">
        <v>0</v>
      </c>
      <c r="T47" s="22">
        <f t="shared" ca="1" si="23"/>
        <v>9.6485646825186969E-2</v>
      </c>
      <c r="V47" s="45">
        <f t="shared" ca="1" si="21"/>
        <v>6.8014082117100513E-2</v>
      </c>
      <c r="W47" s="45">
        <f t="shared" ca="1" si="21"/>
        <v>0</v>
      </c>
      <c r="X47" s="45">
        <f t="shared" ca="1" si="21"/>
        <v>6.2087675023902685E-4</v>
      </c>
      <c r="Y47" s="45">
        <f t="shared" ca="1" si="21"/>
        <v>6.4110851437815632E-5</v>
      </c>
      <c r="Z47" s="45">
        <f t="shared" ca="1" si="21"/>
        <v>2.6306426321645367E-5</v>
      </c>
      <c r="AA47" s="45">
        <f t="shared" ca="1" si="21"/>
        <v>2.7163642206244066E-6</v>
      </c>
      <c r="AB47" s="45">
        <f t="shared" ca="1" si="21"/>
        <v>1.115824538174238E-4</v>
      </c>
      <c r="AC47" s="45">
        <f t="shared" ca="1" si="21"/>
        <v>1.1521845707705674E-5</v>
      </c>
      <c r="AD47" s="45">
        <f t="shared" ca="1" si="21"/>
        <v>2.6509477908936648E-2</v>
      </c>
      <c r="AE47" s="45">
        <f t="shared" ca="1" si="21"/>
        <v>1.626694960566556E-4</v>
      </c>
      <c r="AF47" s="45">
        <f t="shared" ca="1" si="21"/>
        <v>3.4783378416291767E-6</v>
      </c>
      <c r="AG47" s="45">
        <f t="shared" ca="1" si="21"/>
        <v>4.525980131418101E-3</v>
      </c>
      <c r="AH47" s="45">
        <v>0</v>
      </c>
      <c r="AI47" s="22">
        <f t="shared" ca="1" si="24"/>
        <v>0.1000528026830978</v>
      </c>
    </row>
    <row r="48" spans="4:35" ht="12" customHeight="1" x14ac:dyDescent="0.25">
      <c r="D48" s="341">
        <f t="shared" si="25"/>
        <v>37</v>
      </c>
      <c r="E48" s="43">
        <f t="shared" si="22"/>
        <v>79.25</v>
      </c>
      <c r="F48" s="44">
        <f>INDEX(rngU.Anticoag_NoEvent, MATCH(E48, Parameters!$D$427:$D$433, 1))</f>
        <v>0.72978572316876</v>
      </c>
      <c r="G48" s="45">
        <f t="shared" ca="1" si="20"/>
        <v>0</v>
      </c>
      <c r="H48" s="45">
        <f t="shared" ca="1" si="20"/>
        <v>3.6804151053898525E-2</v>
      </c>
      <c r="I48" s="45">
        <f t="shared" ca="1" si="20"/>
        <v>8.2250885160840815E-4</v>
      </c>
      <c r="J48" s="45">
        <f t="shared" ca="1" si="20"/>
        <v>8.5733871060065671E-5</v>
      </c>
      <c r="K48" s="45">
        <f t="shared" ca="1" si="20"/>
        <v>3.0613178352012798E-5</v>
      </c>
      <c r="L48" s="45">
        <f t="shared" ca="1" si="20"/>
        <v>3.1840582605257982E-6</v>
      </c>
      <c r="M48" s="45">
        <f t="shared" ca="1" si="20"/>
        <v>1.8798536147010428E-4</v>
      </c>
      <c r="N48" s="45">
        <f t="shared" ca="1" si="20"/>
        <v>1.9659938295403206E-5</v>
      </c>
      <c r="O48" s="45">
        <f t="shared" ca="1" si="20"/>
        <v>4.6665103400707654E-2</v>
      </c>
      <c r="P48" s="45">
        <f t="shared" ca="1" si="20"/>
        <v>2.6986622666451193E-4</v>
      </c>
      <c r="Q48" s="45">
        <f t="shared" ca="1" si="20"/>
        <v>5.8262317823843502E-6</v>
      </c>
      <c r="R48" s="45">
        <f t="shared" ca="1" si="20"/>
        <v>9.4611143044988095E-3</v>
      </c>
      <c r="S48" s="45">
        <v>0</v>
      </c>
      <c r="T48" s="22">
        <f t="shared" ca="1" si="23"/>
        <v>9.4355746476598404E-2</v>
      </c>
      <c r="V48" s="45">
        <f t="shared" ca="1" si="21"/>
        <v>6.5875869622771185E-2</v>
      </c>
      <c r="W48" s="45">
        <f t="shared" ca="1" si="21"/>
        <v>0</v>
      </c>
      <c r="X48" s="45">
        <f t="shared" ca="1" si="21"/>
        <v>6.0697382908253799E-4</v>
      </c>
      <c r="Y48" s="45">
        <f t="shared" ca="1" si="21"/>
        <v>6.267525554463365E-5</v>
      </c>
      <c r="Z48" s="45">
        <f t="shared" ca="1" si="21"/>
        <v>2.5717362274846997E-5</v>
      </c>
      <c r="AA48" s="45">
        <f t="shared" ca="1" si="21"/>
        <v>2.6555383037623089E-6</v>
      </c>
      <c r="AB48" s="45">
        <f t="shared" ca="1" si="21"/>
        <v>1.0908385476813749E-4</v>
      </c>
      <c r="AC48" s="45">
        <f t="shared" ca="1" si="21"/>
        <v>1.1263843918478116E-5</v>
      </c>
      <c r="AD48" s="45">
        <f t="shared" ca="1" si="21"/>
        <v>2.653108094419588E-2</v>
      </c>
      <c r="AE48" s="45">
        <f t="shared" ca="1" si="21"/>
        <v>1.5975085965468471E-4</v>
      </c>
      <c r="AF48" s="45">
        <f t="shared" ca="1" si="21"/>
        <v>3.4160594171897704E-6</v>
      </c>
      <c r="AG48" s="45">
        <f t="shared" ca="1" si="21"/>
        <v>4.5373076726763321E-3</v>
      </c>
      <c r="AH48" s="45">
        <v>0</v>
      </c>
      <c r="AI48" s="22">
        <f t="shared" ca="1" si="24"/>
        <v>9.7925794842607675E-2</v>
      </c>
    </row>
    <row r="49" spans="4:35" ht="12" customHeight="1" x14ac:dyDescent="0.25">
      <c r="D49" s="341">
        <f t="shared" si="25"/>
        <v>38</v>
      </c>
      <c r="E49" s="43">
        <f t="shared" si="22"/>
        <v>79.5</v>
      </c>
      <c r="F49" s="44">
        <f>INDEX(rngU.Anticoag_NoEvent, MATCH(E49, Parameters!$D$427:$D$433, 1))</f>
        <v>0.72978572316876</v>
      </c>
      <c r="G49" s="45">
        <f t="shared" ca="1" si="20"/>
        <v>0</v>
      </c>
      <c r="H49" s="45">
        <f t="shared" ca="1" si="20"/>
        <v>3.5095218419789583E-2</v>
      </c>
      <c r="I49" s="45">
        <f t="shared" ca="1" si="20"/>
        <v>7.9667747778310895E-4</v>
      </c>
      <c r="J49" s="45">
        <f t="shared" ca="1" si="20"/>
        <v>8.3029284704949727E-5</v>
      </c>
      <c r="K49" s="45">
        <f t="shared" ca="1" si="20"/>
        <v>2.9715415665933113E-5</v>
      </c>
      <c r="L49" s="45">
        <f t="shared" ca="1" si="20"/>
        <v>3.0902892973640691E-6</v>
      </c>
      <c r="M49" s="45">
        <f t="shared" ca="1" si="20"/>
        <v>1.8147797250906729E-4</v>
      </c>
      <c r="N49" s="45">
        <f t="shared" ca="1" si="20"/>
        <v>1.8976440274584662E-5</v>
      </c>
      <c r="O49" s="45">
        <f t="shared" ca="1" si="20"/>
        <v>4.638005367617147E-2</v>
      </c>
      <c r="P49" s="45">
        <f t="shared" ca="1" si="20"/>
        <v>2.6253294809155681E-4</v>
      </c>
      <c r="Q49" s="45">
        <f t="shared" ca="1" si="20"/>
        <v>5.667190759954755E-6</v>
      </c>
      <c r="R49" s="45">
        <f t="shared" ca="1" si="20"/>
        <v>9.4168258647010974E-3</v>
      </c>
      <c r="S49" s="45">
        <v>0</v>
      </c>
      <c r="T49" s="22">
        <f t="shared" ca="1" si="23"/>
        <v>9.2273264979748651E-2</v>
      </c>
      <c r="V49" s="45">
        <f t="shared" ca="1" si="21"/>
        <v>6.3804877805816188E-2</v>
      </c>
      <c r="W49" s="45">
        <f t="shared" ca="1" si="21"/>
        <v>0</v>
      </c>
      <c r="X49" s="45">
        <f t="shared" ca="1" si="21"/>
        <v>5.9338222771151245E-4</v>
      </c>
      <c r="Y49" s="45">
        <f t="shared" ca="1" si="21"/>
        <v>6.1271806090350858E-5</v>
      </c>
      <c r="Z49" s="45">
        <f t="shared" ca="1" si="21"/>
        <v>2.5141488786393117E-5</v>
      </c>
      <c r="AA49" s="45">
        <f t="shared" ca="1" si="21"/>
        <v>2.5960744252211492E-6</v>
      </c>
      <c r="AB49" s="45">
        <f t="shared" ca="1" si="21"/>
        <v>1.0664120535067511E-4</v>
      </c>
      <c r="AC49" s="45">
        <f t="shared" ca="1" si="21"/>
        <v>1.101161940877098E-5</v>
      </c>
      <c r="AD49" s="45">
        <f t="shared" ca="1" si="21"/>
        <v>2.6532859269826695E-2</v>
      </c>
      <c r="AE49" s="45">
        <f t="shared" ca="1" si="21"/>
        <v>1.568786801768988E-4</v>
      </c>
      <c r="AF49" s="45">
        <f t="shared" ca="1" si="21"/>
        <v>3.3547680527483818E-6</v>
      </c>
      <c r="AG49" s="45">
        <f t="shared" ca="1" si="21"/>
        <v>4.5454401310062124E-3</v>
      </c>
      <c r="AH49" s="45">
        <v>0</v>
      </c>
      <c r="AI49" s="22">
        <f t="shared" ca="1" si="24"/>
        <v>9.5843455076651651E-2</v>
      </c>
    </row>
    <row r="50" spans="4:35" ht="12" customHeight="1" x14ac:dyDescent="0.25">
      <c r="D50" s="341">
        <f t="shared" si="25"/>
        <v>39</v>
      </c>
      <c r="E50" s="43">
        <f t="shared" si="22"/>
        <v>79.75</v>
      </c>
      <c r="F50" s="44">
        <f>INDEX(rngU.Anticoag_NoEvent, MATCH(E50, Parameters!$D$427:$D$433, 1))</f>
        <v>0.72978572316876</v>
      </c>
      <c r="G50" s="45">
        <f t="shared" ca="1" si="20"/>
        <v>1.6335106211559113E-2</v>
      </c>
      <c r="H50" s="45">
        <f t="shared" ca="1" si="20"/>
        <v>1.7130530697956604E-2</v>
      </c>
      <c r="I50" s="45">
        <f t="shared" ca="1" si="20"/>
        <v>7.7176875914439723E-4</v>
      </c>
      <c r="J50" s="45">
        <f t="shared" ca="1" si="20"/>
        <v>8.0421701227317011E-5</v>
      </c>
      <c r="K50" s="45">
        <f t="shared" ca="1" si="20"/>
        <v>2.8847611947757445E-5</v>
      </c>
      <c r="L50" s="45">
        <f t="shared" ca="1" si="20"/>
        <v>2.9996634110721132E-6</v>
      </c>
      <c r="M50" s="45">
        <f t="shared" ca="1" si="20"/>
        <v>1.7522300045092767E-4</v>
      </c>
      <c r="N50" s="45">
        <f t="shared" ca="1" si="20"/>
        <v>1.8319542966215001E-5</v>
      </c>
      <c r="O50" s="45">
        <f t="shared" ca="1" si="20"/>
        <v>4.6066102628739676E-2</v>
      </c>
      <c r="P50" s="45">
        <f t="shared" ca="1" si="20"/>
        <v>2.5543093080887102E-4</v>
      </c>
      <c r="Q50" s="45">
        <f t="shared" ca="1" si="20"/>
        <v>5.5131919099226969E-6</v>
      </c>
      <c r="R50" s="45">
        <f t="shared" ca="1" si="20"/>
        <v>9.3668593546699357E-3</v>
      </c>
      <c r="S50" s="45">
        <v>0</v>
      </c>
      <c r="T50" s="22">
        <f t="shared" ca="1" si="23"/>
        <v>9.0237123294791804E-2</v>
      </c>
      <c r="V50" s="45">
        <f t="shared" ca="1" si="21"/>
        <v>6.1798993396633646E-2</v>
      </c>
      <c r="W50" s="45">
        <f t="shared" ca="1" si="21"/>
        <v>0</v>
      </c>
      <c r="X50" s="45">
        <f t="shared" ca="1" si="21"/>
        <v>5.8009497492847808E-4</v>
      </c>
      <c r="Y50" s="45">
        <f t="shared" ca="1" si="21"/>
        <v>5.989978323901705E-5</v>
      </c>
      <c r="Z50" s="45">
        <f t="shared" ca="1" si="21"/>
        <v>2.4578510488011991E-5</v>
      </c>
      <c r="AA50" s="45">
        <f t="shared" ca="1" si="21"/>
        <v>2.5379420856926811E-6</v>
      </c>
      <c r="AB50" s="45">
        <f t="shared" ca="1" si="21"/>
        <v>1.0425325271844564E-4</v>
      </c>
      <c r="AC50" s="45">
        <f t="shared" ca="1" si="21"/>
        <v>1.0765042811424623E-5</v>
      </c>
      <c r="AD50" s="45">
        <f t="shared" ca="1" si="21"/>
        <v>2.6515864845915935E-2</v>
      </c>
      <c r="AE50" s="45">
        <f t="shared" ca="1" si="21"/>
        <v>1.5405241069085077E-4</v>
      </c>
      <c r="AF50" s="45">
        <f t="shared" ca="1" si="21"/>
        <v>3.2944522837148778E-6</v>
      </c>
      <c r="AG50" s="45">
        <f t="shared" ca="1" si="21"/>
        <v>4.5505258393368133E-3</v>
      </c>
      <c r="AH50" s="45">
        <v>0</v>
      </c>
      <c r="AI50" s="22">
        <f t="shared" ca="1" si="24"/>
        <v>9.3804860451132024E-2</v>
      </c>
    </row>
    <row r="51" spans="4:35" ht="12" customHeight="1" x14ac:dyDescent="0.25">
      <c r="D51" s="341">
        <f t="shared" si="25"/>
        <v>40</v>
      </c>
      <c r="E51" s="43">
        <f t="shared" si="22"/>
        <v>80</v>
      </c>
      <c r="F51" s="44">
        <f>INDEX(rngU.Anticoag_NoEvent, MATCH(E51, Parameters!$D$427:$D$433, 1))</f>
        <v>0.67669630642954848</v>
      </c>
      <c r="G51" s="45">
        <f t="shared" ref="G51:R60" ca="1" si="26">PRODUCT(AVERAGE(OFFSET(C.Trace.Markov.Root, $D51, (G$2-1)*C.Trace.Markov.NumCols+G$3-1, CHOOSE(swtchHalfCycle, 2, 1))), $F51+G$6, C.cycleLength)</f>
        <v>2.9573010478149874E-2</v>
      </c>
      <c r="H51" s="45">
        <f t="shared" ca="1" si="26"/>
        <v>0</v>
      </c>
      <c r="I51" s="45">
        <f t="shared" ca="1" si="26"/>
        <v>5.8050680448173627E-4</v>
      </c>
      <c r="J51" s="45">
        <f t="shared" ca="1" si="26"/>
        <v>7.1554803017407384E-5</v>
      </c>
      <c r="K51" s="45">
        <f t="shared" ca="1" si="26"/>
        <v>2.2793630779184775E-5</v>
      </c>
      <c r="L51" s="45">
        <f t="shared" ca="1" si="26"/>
        <v>2.6657999438267616E-6</v>
      </c>
      <c r="M51" s="45">
        <f t="shared" ca="1" si="26"/>
        <v>1.1720081777624227E-4</v>
      </c>
      <c r="N51" s="45">
        <f t="shared" ca="1" si="26"/>
        <v>1.57747610665628E-5</v>
      </c>
      <c r="O51" s="45">
        <f t="shared" ca="1" si="26"/>
        <v>4.2036688233751215E-2</v>
      </c>
      <c r="P51" s="45">
        <f t="shared" ca="1" si="26"/>
        <v>2.2167908647581879E-4</v>
      </c>
      <c r="Q51" s="45">
        <f t="shared" ca="1" si="26"/>
        <v>5.1799638355544133E-6</v>
      </c>
      <c r="R51" s="45">
        <f t="shared" ca="1" si="26"/>
        <v>8.3087462623957567E-3</v>
      </c>
      <c r="S51" s="45">
        <v>0</v>
      </c>
      <c r="T51" s="22">
        <f t="shared" ca="1" si="23"/>
        <v>8.0955800641673181E-2</v>
      </c>
      <c r="V51" s="45">
        <f t="shared" ref="V51:AG60" ca="1" si="27">PRODUCT(AVERAGE(OFFSET(C.Trace.Markov.Root, $D51, (V$2-1)*C.Trace.Markov.NumCols+V$3-1, CHOOSE(swtchHalfCycle, 2, 1))), $F51+V$6, C.cycleLength)</f>
        <v>5.5046961554538774E-2</v>
      </c>
      <c r="W51" s="45">
        <f t="shared" ca="1" si="27"/>
        <v>0</v>
      </c>
      <c r="X51" s="45">
        <f t="shared" ca="1" si="27"/>
        <v>5.2086425205690075E-4</v>
      </c>
      <c r="Y51" s="45">
        <f t="shared" ca="1" si="27"/>
        <v>5.3783702916936683E-5</v>
      </c>
      <c r="Z51" s="45">
        <f t="shared" ca="1" si="27"/>
        <v>2.1996171637537463E-5</v>
      </c>
      <c r="AA51" s="45">
        <f t="shared" ca="1" si="27"/>
        <v>2.2712934435247536E-6</v>
      </c>
      <c r="AB51" s="45">
        <f t="shared" ca="1" si="27"/>
        <v>9.0893984867441532E-5</v>
      </c>
      <c r="AC51" s="45">
        <f t="shared" ca="1" si="27"/>
        <v>9.3855837864506916E-6</v>
      </c>
      <c r="AD51" s="45">
        <f t="shared" ca="1" si="27"/>
        <v>2.4343672951000473E-2</v>
      </c>
      <c r="AE51" s="45">
        <f t="shared" ca="1" si="27"/>
        <v>1.6566808556274545E-4</v>
      </c>
      <c r="AF51" s="45">
        <f t="shared" ca="1" si="27"/>
        <v>3.1251261739195457E-6</v>
      </c>
      <c r="AG51" s="45">
        <f t="shared" ca="1" si="27"/>
        <v>4.0613528953337653E-3</v>
      </c>
      <c r="AH51" s="45">
        <v>0</v>
      </c>
      <c r="AI51" s="22">
        <f t="shared" ca="1" si="24"/>
        <v>8.4319975601318473E-2</v>
      </c>
    </row>
    <row r="52" spans="4:35" ht="12" customHeight="1" x14ac:dyDescent="0.25">
      <c r="D52" s="341">
        <f t="shared" si="25"/>
        <v>41</v>
      </c>
      <c r="E52" s="43">
        <f t="shared" si="22"/>
        <v>80.25</v>
      </c>
      <c r="F52" s="44">
        <f>INDEX(rngU.Anticoag_NoEvent, MATCH(E52, Parameters!$D$427:$D$433, 1))</f>
        <v>0.67669630642954848</v>
      </c>
      <c r="G52" s="45">
        <f t="shared" ca="1" si="26"/>
        <v>2.8166177079680624E-2</v>
      </c>
      <c r="H52" s="45">
        <f t="shared" ca="1" si="26"/>
        <v>0</v>
      </c>
      <c r="I52" s="45">
        <f t="shared" ca="1" si="26"/>
        <v>4.5547461694761364E-4</v>
      </c>
      <c r="J52" s="45">
        <f t="shared" ca="1" si="26"/>
        <v>5.8600055972919775E-5</v>
      </c>
      <c r="K52" s="45">
        <f t="shared" ca="1" si="26"/>
        <v>1.923475802256989E-5</v>
      </c>
      <c r="L52" s="45">
        <f t="shared" ca="1" si="26"/>
        <v>2.3009343373309559E-6</v>
      </c>
      <c r="M52" s="45">
        <f t="shared" ca="1" si="26"/>
        <v>7.9483095215022496E-5</v>
      </c>
      <c r="N52" s="45">
        <f t="shared" ca="1" si="26"/>
        <v>1.1830997378043389E-5</v>
      </c>
      <c r="O52" s="45">
        <f t="shared" ca="1" si="26"/>
        <v>4.0850980044923824E-2</v>
      </c>
      <c r="P52" s="45">
        <f t="shared" ca="1" si="26"/>
        <v>2.1406466462347252E-4</v>
      </c>
      <c r="Q52" s="45">
        <f t="shared" ca="1" si="26"/>
        <v>5.3909765083627059E-6</v>
      </c>
      <c r="R52" s="45">
        <f t="shared" ca="1" si="26"/>
        <v>8.0529916743384208E-3</v>
      </c>
      <c r="S52" s="45">
        <v>0</v>
      </c>
      <c r="T52" s="22">
        <f t="shared" ca="1" si="23"/>
        <v>7.7916528897948201E-2</v>
      </c>
      <c r="V52" s="45">
        <f t="shared" ca="1" si="27"/>
        <v>5.2428293290907126E-2</v>
      </c>
      <c r="W52" s="45">
        <f t="shared" ca="1" si="27"/>
        <v>0</v>
      </c>
      <c r="X52" s="45">
        <f t="shared" ca="1" si="27"/>
        <v>5.0496538166035947E-4</v>
      </c>
      <c r="Y52" s="45">
        <f t="shared" ca="1" si="27"/>
        <v>5.2579356674513661E-5</v>
      </c>
      <c r="Z52" s="45">
        <f t="shared" ca="1" si="27"/>
        <v>2.1324760073575725E-5</v>
      </c>
      <c r="AA52" s="45">
        <f t="shared" ca="1" si="27"/>
        <v>2.2204337299722369E-6</v>
      </c>
      <c r="AB52" s="45">
        <f t="shared" ca="1" si="27"/>
        <v>8.8119535134088044E-5</v>
      </c>
      <c r="AC52" s="45">
        <f t="shared" ca="1" si="27"/>
        <v>9.1754180307827455E-6</v>
      </c>
      <c r="AD52" s="45">
        <f t="shared" ca="1" si="27"/>
        <v>2.3884471634108062E-2</v>
      </c>
      <c r="AE52" s="45">
        <f t="shared" ca="1" si="27"/>
        <v>1.9105958538385558E-4</v>
      </c>
      <c r="AF52" s="45">
        <f t="shared" ca="1" si="27"/>
        <v>4.0288543752710114E-6</v>
      </c>
      <c r="AG52" s="45">
        <f t="shared" ca="1" si="27"/>
        <v>3.9867222728997139E-3</v>
      </c>
      <c r="AH52" s="45">
        <v>0</v>
      </c>
      <c r="AI52" s="22">
        <f t="shared" ca="1" si="24"/>
        <v>8.117296052297733E-2</v>
      </c>
    </row>
    <row r="53" spans="4:35" ht="12" customHeight="1" x14ac:dyDescent="0.25">
      <c r="D53" s="341">
        <f t="shared" si="25"/>
        <v>42</v>
      </c>
      <c r="E53" s="43">
        <f t="shared" si="22"/>
        <v>80.5</v>
      </c>
      <c r="F53" s="44">
        <f>INDEX(rngU.Anticoag_NoEvent, MATCH(E53, Parameters!$D$427:$D$433, 1))</f>
        <v>0.67669630642954848</v>
      </c>
      <c r="G53" s="45">
        <f t="shared" ca="1" si="26"/>
        <v>2.6826268900492348E-2</v>
      </c>
      <c r="H53" s="45">
        <f t="shared" ca="1" si="26"/>
        <v>0</v>
      </c>
      <c r="I53" s="45">
        <f t="shared" ca="1" si="26"/>
        <v>4.3898471533323298E-4</v>
      </c>
      <c r="J53" s="45">
        <f t="shared" ca="1" si="26"/>
        <v>4.597851022815029E-5</v>
      </c>
      <c r="K53" s="45">
        <f t="shared" ca="1" si="26"/>
        <v>1.8538387126000084E-5</v>
      </c>
      <c r="L53" s="45">
        <f t="shared" ca="1" si="26"/>
        <v>1.9416790432878132E-6</v>
      </c>
      <c r="M53" s="45">
        <f t="shared" ca="1" si="26"/>
        <v>7.6605506933845205E-5</v>
      </c>
      <c r="N53" s="45">
        <f t="shared" ca="1" si="26"/>
        <v>8.0235301163429678E-6</v>
      </c>
      <c r="O53" s="45">
        <f t="shared" ca="1" si="26"/>
        <v>3.9536190492819291E-2</v>
      </c>
      <c r="P53" s="45">
        <f t="shared" ca="1" si="26"/>
        <v>2.0671943490789107E-4</v>
      </c>
      <c r="Q53" s="45">
        <f t="shared" ca="1" si="26"/>
        <v>5.2058026609630766E-6</v>
      </c>
      <c r="R53" s="45">
        <f t="shared" ca="1" si="26"/>
        <v>7.8047536934839805E-3</v>
      </c>
      <c r="S53" s="45">
        <v>0</v>
      </c>
      <c r="T53" s="22">
        <f t="shared" ca="1" si="23"/>
        <v>7.4969210653145338E-2</v>
      </c>
      <c r="V53" s="45">
        <f t="shared" ca="1" si="27"/>
        <v>4.9934199086974607E-2</v>
      </c>
      <c r="W53" s="45">
        <f t="shared" ca="1" si="27"/>
        <v>0</v>
      </c>
      <c r="X53" s="45">
        <f t="shared" ca="1" si="27"/>
        <v>4.8538854369817265E-4</v>
      </c>
      <c r="Y53" s="45">
        <f t="shared" ca="1" si="27"/>
        <v>5.0974423385272903E-5</v>
      </c>
      <c r="Z53" s="45">
        <f t="shared" ca="1" si="27"/>
        <v>2.0498027414853197E-5</v>
      </c>
      <c r="AA53" s="45">
        <f t="shared" ca="1" si="27"/>
        <v>2.152657168310484E-6</v>
      </c>
      <c r="AB53" s="45">
        <f t="shared" ca="1" si="27"/>
        <v>8.4703257655915136E-5</v>
      </c>
      <c r="AC53" s="45">
        <f t="shared" ca="1" si="27"/>
        <v>8.8953473952391744E-6</v>
      </c>
      <c r="AD53" s="45">
        <f t="shared" ca="1" si="27"/>
        <v>2.3426373028919919E-2</v>
      </c>
      <c r="AE53" s="45">
        <f t="shared" ca="1" si="27"/>
        <v>1.8439646359111342E-4</v>
      </c>
      <c r="AF53" s="45">
        <f t="shared" ca="1" si="27"/>
        <v>4.6463459989683705E-6</v>
      </c>
      <c r="AG53" s="45">
        <f t="shared" ca="1" si="27"/>
        <v>3.9390595761718177E-3</v>
      </c>
      <c r="AH53" s="45">
        <v>0</v>
      </c>
      <c r="AI53" s="22">
        <f t="shared" ca="1" si="24"/>
        <v>7.8141286758374187E-2</v>
      </c>
    </row>
    <row r="54" spans="4:35" ht="12" customHeight="1" x14ac:dyDescent="0.25">
      <c r="D54" s="341">
        <f t="shared" si="25"/>
        <v>43</v>
      </c>
      <c r="E54" s="43">
        <f t="shared" si="22"/>
        <v>80.75</v>
      </c>
      <c r="F54" s="44">
        <f>INDEX(rngU.Anticoag_NoEvent, MATCH(E54, Parameters!$D$427:$D$433, 1))</f>
        <v>0.67669630642954848</v>
      </c>
      <c r="G54" s="45">
        <f t="shared" ca="1" si="26"/>
        <v>2.5550102205410232E-2</v>
      </c>
      <c r="H54" s="45">
        <f t="shared" ca="1" si="26"/>
        <v>0</v>
      </c>
      <c r="I54" s="45">
        <f t="shared" ca="1" si="26"/>
        <v>4.2209946858562532E-4</v>
      </c>
      <c r="J54" s="45">
        <f t="shared" ca="1" si="26"/>
        <v>4.4313914481588206E-5</v>
      </c>
      <c r="K54" s="45">
        <f t="shared" ca="1" si="26"/>
        <v>1.7825320748079463E-5</v>
      </c>
      <c r="L54" s="45">
        <f t="shared" ca="1" si="26"/>
        <v>1.8713829275457509E-6</v>
      </c>
      <c r="M54" s="45">
        <f t="shared" ca="1" si="26"/>
        <v>7.3658928518645359E-5</v>
      </c>
      <c r="N54" s="45">
        <f t="shared" ca="1" si="26"/>
        <v>7.7330480185585088E-6</v>
      </c>
      <c r="O54" s="45">
        <f t="shared" ca="1" si="26"/>
        <v>3.8245273017078203E-2</v>
      </c>
      <c r="P54" s="45">
        <f t="shared" ca="1" si="26"/>
        <v>1.9932070777549707E-4</v>
      </c>
      <c r="Q54" s="45">
        <f t="shared" ca="1" si="26"/>
        <v>5.0271752519695512E-6</v>
      </c>
      <c r="R54" s="45">
        <f t="shared" ca="1" si="26"/>
        <v>7.5635013576905337E-3</v>
      </c>
      <c r="S54" s="45">
        <v>0</v>
      </c>
      <c r="T54" s="22">
        <f t="shared" ca="1" si="23"/>
        <v>7.2130726526486472E-2</v>
      </c>
      <c r="V54" s="45">
        <f t="shared" ca="1" si="27"/>
        <v>4.7558752763940559E-2</v>
      </c>
      <c r="W54" s="45">
        <f t="shared" ca="1" si="27"/>
        <v>0</v>
      </c>
      <c r="X54" s="45">
        <f t="shared" ca="1" si="27"/>
        <v>4.6661107482067458E-4</v>
      </c>
      <c r="Y54" s="45">
        <f t="shared" ca="1" si="27"/>
        <v>4.8998212613064762E-5</v>
      </c>
      <c r="Z54" s="45">
        <f t="shared" ca="1" si="27"/>
        <v>1.9705052226563943E-5</v>
      </c>
      <c r="AA54" s="45">
        <f t="shared" ca="1" si="27"/>
        <v>2.0692015056003235E-6</v>
      </c>
      <c r="AB54" s="45">
        <f t="shared" ca="1" si="27"/>
        <v>8.1426474952436934E-5</v>
      </c>
      <c r="AC54" s="45">
        <f t="shared" ca="1" si="27"/>
        <v>8.5504865772532658E-6</v>
      </c>
      <c r="AD54" s="45">
        <f t="shared" ca="1" si="27"/>
        <v>2.2964361735895243E-2</v>
      </c>
      <c r="AE54" s="45">
        <f t="shared" ca="1" si="27"/>
        <v>1.7822029417188432E-4</v>
      </c>
      <c r="AF54" s="45">
        <f t="shared" ca="1" si="27"/>
        <v>4.4843066580991501E-6</v>
      </c>
      <c r="AG54" s="45">
        <f t="shared" ca="1" si="27"/>
        <v>3.8887542926169679E-3</v>
      </c>
      <c r="AH54" s="45">
        <v>0</v>
      </c>
      <c r="AI54" s="22">
        <f t="shared" ca="1" si="24"/>
        <v>7.5221933895978352E-2</v>
      </c>
    </row>
    <row r="55" spans="4:35" ht="12" customHeight="1" x14ac:dyDescent="0.25">
      <c r="D55" s="341">
        <f t="shared" si="25"/>
        <v>44</v>
      </c>
      <c r="E55" s="43">
        <f t="shared" si="22"/>
        <v>81</v>
      </c>
      <c r="F55" s="44">
        <f>INDEX(rngU.Anticoag_NoEvent, MATCH(E55, Parameters!$D$427:$D$433, 1))</f>
        <v>0.67669630642954848</v>
      </c>
      <c r="G55" s="45">
        <f t="shared" ca="1" si="26"/>
        <v>2.43346447144175E-2</v>
      </c>
      <c r="H55" s="45">
        <f t="shared" ca="1" si="26"/>
        <v>0</v>
      </c>
      <c r="I55" s="45">
        <f t="shared" ca="1" si="26"/>
        <v>4.0577148926983377E-4</v>
      </c>
      <c r="J55" s="45">
        <f t="shared" ca="1" si="26"/>
        <v>4.2609410078044213E-5</v>
      </c>
      <c r="K55" s="45">
        <f t="shared" ca="1" si="26"/>
        <v>1.7135787853268564E-5</v>
      </c>
      <c r="L55" s="45">
        <f t="shared" ca="1" si="26"/>
        <v>1.7994014635285272E-6</v>
      </c>
      <c r="M55" s="45">
        <f t="shared" ca="1" si="26"/>
        <v>7.0809596664933653E-5</v>
      </c>
      <c r="N55" s="45">
        <f t="shared" ca="1" si="26"/>
        <v>7.4356016170241403E-6</v>
      </c>
      <c r="O55" s="45">
        <f t="shared" ca="1" si="26"/>
        <v>3.6993217348489052E-2</v>
      </c>
      <c r="P55" s="45">
        <f t="shared" ca="1" si="26"/>
        <v>1.9215531975550311E-4</v>
      </c>
      <c r="Q55" s="45">
        <f t="shared" ca="1" si="26"/>
        <v>4.8472468482729179E-6</v>
      </c>
      <c r="R55" s="45">
        <f t="shared" ca="1" si="26"/>
        <v>7.3288129458441171E-3</v>
      </c>
      <c r="S55" s="45">
        <v>0</v>
      </c>
      <c r="T55" s="22">
        <f t="shared" ca="1" si="23"/>
        <v>6.939923886230108E-2</v>
      </c>
      <c r="V55" s="45">
        <f t="shared" ca="1" si="27"/>
        <v>4.529631006040561E-2</v>
      </c>
      <c r="W55" s="45">
        <f t="shared" ca="1" si="27"/>
        <v>0</v>
      </c>
      <c r="X55" s="45">
        <f t="shared" ca="1" si="27"/>
        <v>4.4856338094642785E-4</v>
      </c>
      <c r="Y55" s="45">
        <f t="shared" ca="1" si="27"/>
        <v>4.7102695250036569E-5</v>
      </c>
      <c r="Z55" s="45">
        <f t="shared" ca="1" si="27"/>
        <v>1.8942895540725004E-5</v>
      </c>
      <c r="AA55" s="45">
        <f t="shared" ca="1" si="27"/>
        <v>1.989153537066392E-6</v>
      </c>
      <c r="AB55" s="45">
        <f t="shared" ca="1" si="27"/>
        <v>7.8277042432505043E-5</v>
      </c>
      <c r="AC55" s="45">
        <f t="shared" ca="1" si="27"/>
        <v>8.2197072507191887E-6</v>
      </c>
      <c r="AD55" s="45">
        <f t="shared" ca="1" si="27"/>
        <v>2.2499084260556832E-2</v>
      </c>
      <c r="AE55" s="45">
        <f t="shared" ca="1" si="27"/>
        <v>1.7224377905459927E-4</v>
      </c>
      <c r="AF55" s="45">
        <f t="shared" ca="1" si="27"/>
        <v>4.3341094302954157E-6</v>
      </c>
      <c r="AG55" s="45">
        <f t="shared" ca="1" si="27"/>
        <v>3.8356754513859739E-3</v>
      </c>
      <c r="AH55" s="45">
        <v>0</v>
      </c>
      <c r="AI55" s="22">
        <f t="shared" ca="1" si="24"/>
        <v>7.2410742535790801E-2</v>
      </c>
    </row>
    <row r="56" spans="4:35" ht="12" customHeight="1" x14ac:dyDescent="0.25">
      <c r="D56" s="341">
        <f t="shared" si="25"/>
        <v>45</v>
      </c>
      <c r="E56" s="43">
        <f t="shared" si="22"/>
        <v>81.25</v>
      </c>
      <c r="F56" s="44">
        <f>INDEX(rngU.Anticoag_NoEvent, MATCH(E56, Parameters!$D$427:$D$433, 1))</f>
        <v>0.67669630642954848</v>
      </c>
      <c r="G56" s="45">
        <f t="shared" ca="1" si="26"/>
        <v>2.3177008397701617E-2</v>
      </c>
      <c r="H56" s="45">
        <f t="shared" ca="1" si="26"/>
        <v>0</v>
      </c>
      <c r="I56" s="45">
        <f t="shared" ca="1" si="26"/>
        <v>3.9007683293989495E-4</v>
      </c>
      <c r="J56" s="45">
        <f t="shared" ca="1" si="26"/>
        <v>4.0961159800109427E-5</v>
      </c>
      <c r="K56" s="45">
        <f t="shared" ca="1" si="26"/>
        <v>1.6473000278459557E-5</v>
      </c>
      <c r="L56" s="45">
        <f t="shared" ca="1" si="26"/>
        <v>1.7297956192573949E-6</v>
      </c>
      <c r="M56" s="45">
        <f t="shared" ca="1" si="26"/>
        <v>6.807078353018754E-5</v>
      </c>
      <c r="N56" s="45">
        <f t="shared" ca="1" si="26"/>
        <v>7.1479719030847883E-6</v>
      </c>
      <c r="O56" s="45">
        <f t="shared" ca="1" si="26"/>
        <v>3.577879102398783E-2</v>
      </c>
      <c r="P56" s="45">
        <f t="shared" ca="1" si="26"/>
        <v>1.8524276400525694E-4</v>
      </c>
      <c r="Q56" s="45">
        <f t="shared" ca="1" si="26"/>
        <v>4.6729929792986579E-6</v>
      </c>
      <c r="R56" s="45">
        <f t="shared" ca="1" si="26"/>
        <v>7.1005322137283099E-3</v>
      </c>
      <c r="S56" s="45">
        <v>0</v>
      </c>
      <c r="T56" s="22">
        <f t="shared" ca="1" si="23"/>
        <v>6.6770706936473301E-2</v>
      </c>
      <c r="V56" s="45">
        <f t="shared" ca="1" si="27"/>
        <v>4.3141495221129103E-2</v>
      </c>
      <c r="W56" s="45">
        <f t="shared" ca="1" si="27"/>
        <v>0</v>
      </c>
      <c r="X56" s="45">
        <f t="shared" ca="1" si="27"/>
        <v>4.3121367377043409E-4</v>
      </c>
      <c r="Y56" s="45">
        <f t="shared" ca="1" si="27"/>
        <v>4.5280846026137845E-5</v>
      </c>
      <c r="Z56" s="45">
        <f t="shared" ca="1" si="27"/>
        <v>1.821021493268342E-5</v>
      </c>
      <c r="AA56" s="45">
        <f t="shared" ca="1" si="27"/>
        <v>1.9122165845526828E-6</v>
      </c>
      <c r="AB56" s="45">
        <f t="shared" ca="1" si="27"/>
        <v>7.5249412843256432E-5</v>
      </c>
      <c r="AC56" s="45">
        <f t="shared" ca="1" si="27"/>
        <v>7.901783463218178E-6</v>
      </c>
      <c r="AD56" s="45">
        <f t="shared" ca="1" si="27"/>
        <v>2.2031682349083721E-2</v>
      </c>
      <c r="AE56" s="45">
        <f t="shared" ca="1" si="27"/>
        <v>1.6645601092936892E-4</v>
      </c>
      <c r="AF56" s="45">
        <f t="shared" ca="1" si="27"/>
        <v>4.188767561960565E-6</v>
      </c>
      <c r="AG56" s="45">
        <f t="shared" ca="1" si="27"/>
        <v>3.7801586294367103E-3</v>
      </c>
      <c r="AH56" s="45">
        <v>0</v>
      </c>
      <c r="AI56" s="22">
        <f t="shared" ca="1" si="24"/>
        <v>6.9703749125761147E-2</v>
      </c>
    </row>
    <row r="57" spans="4:35" ht="12" customHeight="1" x14ac:dyDescent="0.25">
      <c r="D57" s="341">
        <f t="shared" si="25"/>
        <v>46</v>
      </c>
      <c r="E57" s="43">
        <f t="shared" si="22"/>
        <v>81.5</v>
      </c>
      <c r="F57" s="44">
        <f>INDEX(rngU.Anticoag_NoEvent, MATCH(E57, Parameters!$D$427:$D$433, 1))</f>
        <v>0.67669630642954848</v>
      </c>
      <c r="G57" s="45">
        <f t="shared" ca="1" si="26"/>
        <v>2.2074442613451147E-2</v>
      </c>
      <c r="H57" s="45">
        <f t="shared" ca="1" si="26"/>
        <v>0</v>
      </c>
      <c r="I57" s="45">
        <f t="shared" ca="1" si="26"/>
        <v>3.749892911359444E-4</v>
      </c>
      <c r="J57" s="45">
        <f t="shared" ca="1" si="26"/>
        <v>3.9376841180052504E-5</v>
      </c>
      <c r="K57" s="45">
        <f t="shared" ca="1" si="26"/>
        <v>1.5835851236655162E-5</v>
      </c>
      <c r="L57" s="45">
        <f t="shared" ca="1" si="26"/>
        <v>1.6628896180148455E-6</v>
      </c>
      <c r="M57" s="45">
        <f t="shared" ca="1" si="26"/>
        <v>6.5437915578509876E-5</v>
      </c>
      <c r="N57" s="45">
        <f t="shared" ca="1" si="26"/>
        <v>6.8714986528895946E-6</v>
      </c>
      <c r="O57" s="45">
        <f t="shared" ca="1" si="26"/>
        <v>3.4601041381096757E-2</v>
      </c>
      <c r="P57" s="45">
        <f t="shared" ca="1" si="26"/>
        <v>1.7857361423947833E-4</v>
      </c>
      <c r="Q57" s="45">
        <f t="shared" ca="1" si="26"/>
        <v>4.5048876958695435E-6</v>
      </c>
      <c r="R57" s="45">
        <f t="shared" ca="1" si="26"/>
        <v>6.878534648394944E-3</v>
      </c>
      <c r="S57" s="45">
        <v>0</v>
      </c>
      <c r="T57" s="22">
        <f t="shared" ca="1" si="23"/>
        <v>6.424127143228027E-2</v>
      </c>
      <c r="V57" s="45">
        <f t="shared" ca="1" si="27"/>
        <v>4.1089188223779979E-2</v>
      </c>
      <c r="W57" s="45">
        <f t="shared" ca="1" si="27"/>
        <v>0</v>
      </c>
      <c r="X57" s="45">
        <f t="shared" ca="1" si="27"/>
        <v>4.1453502281134542E-4</v>
      </c>
      <c r="Y57" s="45">
        <f t="shared" ca="1" si="27"/>
        <v>4.352945602729936E-5</v>
      </c>
      <c r="Z57" s="45">
        <f t="shared" ca="1" si="27"/>
        <v>1.7505873124371691E-5</v>
      </c>
      <c r="AA57" s="45">
        <f t="shared" ca="1" si="27"/>
        <v>1.8382551351604721E-6</v>
      </c>
      <c r="AB57" s="45">
        <f t="shared" ca="1" si="27"/>
        <v>7.2338886651646849E-5</v>
      </c>
      <c r="AC57" s="45">
        <f t="shared" ca="1" si="27"/>
        <v>7.5961552396978139E-6</v>
      </c>
      <c r="AD57" s="45">
        <f t="shared" ca="1" si="27"/>
        <v>2.1563195732526946E-2</v>
      </c>
      <c r="AE57" s="45">
        <f t="shared" ca="1" si="27"/>
        <v>1.6085176057496631E-4</v>
      </c>
      <c r="AF57" s="45">
        <f t="shared" ca="1" si="27"/>
        <v>4.0480158000555422E-6</v>
      </c>
      <c r="AG57" s="45">
        <f t="shared" ca="1" si="27"/>
        <v>3.722505348590018E-3</v>
      </c>
      <c r="AH57" s="45">
        <v>0</v>
      </c>
      <c r="AI57" s="22">
        <f t="shared" ca="1" si="24"/>
        <v>6.7097132730261494E-2</v>
      </c>
    </row>
    <row r="58" spans="4:35" ht="12" customHeight="1" x14ac:dyDescent="0.25">
      <c r="D58" s="341">
        <f t="shared" si="25"/>
        <v>47</v>
      </c>
      <c r="E58" s="43">
        <f t="shared" si="22"/>
        <v>81.75</v>
      </c>
      <c r="F58" s="44">
        <f>INDEX(rngU.Anticoag_NoEvent, MATCH(E58, Parameters!$D$427:$D$433, 1))</f>
        <v>0.67669630642954848</v>
      </c>
      <c r="G58" s="45">
        <f t="shared" ca="1" si="26"/>
        <v>2.1024327572098118E-2</v>
      </c>
      <c r="H58" s="45">
        <f t="shared" ca="1" si="26"/>
        <v>0</v>
      </c>
      <c r="I58" s="45">
        <f t="shared" ca="1" si="26"/>
        <v>3.6048530893270111E-4</v>
      </c>
      <c r="J58" s="45">
        <f t="shared" ca="1" si="26"/>
        <v>3.7853808568928167E-5</v>
      </c>
      <c r="K58" s="45">
        <f t="shared" ca="1" si="26"/>
        <v>1.5223346000001914E-5</v>
      </c>
      <c r="L58" s="45">
        <f t="shared" ca="1" si="26"/>
        <v>1.5985717336686606E-6</v>
      </c>
      <c r="M58" s="45">
        <f t="shared" ca="1" si="26"/>
        <v>6.2906882331952534E-5</v>
      </c>
      <c r="N58" s="45">
        <f t="shared" ca="1" si="26"/>
        <v>6.6057201845814403E-6</v>
      </c>
      <c r="O58" s="45">
        <f t="shared" ca="1" si="26"/>
        <v>3.3459039919053753E-2</v>
      </c>
      <c r="P58" s="45">
        <f t="shared" ca="1" si="26"/>
        <v>1.7213954149735938E-4</v>
      </c>
      <c r="Q58" s="45">
        <f t="shared" ca="1" si="26"/>
        <v>4.3427017617354862E-6</v>
      </c>
      <c r="R58" s="45">
        <f t="shared" ca="1" si="26"/>
        <v>6.6626947542229049E-3</v>
      </c>
      <c r="S58" s="45">
        <v>0</v>
      </c>
      <c r="T58" s="22">
        <f t="shared" ca="1" si="23"/>
        <v>6.1807218126385705E-2</v>
      </c>
      <c r="V58" s="45">
        <f t="shared" ca="1" si="27"/>
        <v>3.9134512613330626E-2</v>
      </c>
      <c r="W58" s="45">
        <f t="shared" ca="1" si="27"/>
        <v>0</v>
      </c>
      <c r="X58" s="45">
        <f t="shared" ca="1" si="27"/>
        <v>3.9850147531218577E-4</v>
      </c>
      <c r="Y58" s="45">
        <f t="shared" ca="1" si="27"/>
        <v>4.1845806719126373E-5</v>
      </c>
      <c r="Z58" s="45">
        <f t="shared" ca="1" si="27"/>
        <v>1.6828774127161959E-5</v>
      </c>
      <c r="AA58" s="45">
        <f t="shared" ca="1" si="27"/>
        <v>1.7671543847946193E-6</v>
      </c>
      <c r="AB58" s="45">
        <f t="shared" ca="1" si="27"/>
        <v>6.954093494349082E-5</v>
      </c>
      <c r="AC58" s="45">
        <f t="shared" ca="1" si="27"/>
        <v>7.3023481793460586E-6</v>
      </c>
      <c r="AD58" s="45">
        <f t="shared" ca="1" si="27"/>
        <v>2.109457796913701E-2</v>
      </c>
      <c r="AE58" s="45">
        <f t="shared" ca="1" si="27"/>
        <v>1.5542579214238104E-4</v>
      </c>
      <c r="AF58" s="45">
        <f t="shared" ca="1" si="27"/>
        <v>3.911726976026744E-6</v>
      </c>
      <c r="AG58" s="45">
        <f t="shared" ca="1" si="27"/>
        <v>3.6629958968067522E-3</v>
      </c>
      <c r="AH58" s="45">
        <v>0</v>
      </c>
      <c r="AI58" s="22">
        <f t="shared" ca="1" si="24"/>
        <v>6.45872104920589E-2</v>
      </c>
    </row>
    <row r="59" spans="4:35" ht="12" customHeight="1" x14ac:dyDescent="0.25">
      <c r="D59" s="341">
        <f t="shared" si="25"/>
        <v>48</v>
      </c>
      <c r="E59" s="43">
        <f t="shared" si="22"/>
        <v>82</v>
      </c>
      <c r="F59" s="44">
        <f>INDEX(rngU.Anticoag_NoEvent, MATCH(E59, Parameters!$D$427:$D$433, 1))</f>
        <v>0.67669630642954848</v>
      </c>
      <c r="G59" s="45">
        <f t="shared" ca="1" si="26"/>
        <v>2.0024168111476448E-2</v>
      </c>
      <c r="H59" s="45">
        <f t="shared" ca="1" si="26"/>
        <v>0</v>
      </c>
      <c r="I59" s="45">
        <f t="shared" ca="1" si="26"/>
        <v>3.4654231737361342E-4</v>
      </c>
      <c r="J59" s="45">
        <f t="shared" ca="1" si="26"/>
        <v>3.638968418248088E-5</v>
      </c>
      <c r="K59" s="45">
        <f t="shared" ca="1" si="26"/>
        <v>1.4634531478246401E-5</v>
      </c>
      <c r="L59" s="45">
        <f t="shared" ca="1" si="26"/>
        <v>1.536741552050667E-6</v>
      </c>
      <c r="M59" s="45">
        <f t="shared" ca="1" si="26"/>
        <v>6.0473745370116772E-5</v>
      </c>
      <c r="N59" s="45">
        <f t="shared" ca="1" si="26"/>
        <v>6.3502215603232863E-6</v>
      </c>
      <c r="O59" s="45">
        <f t="shared" ca="1" si="26"/>
        <v>3.2351870414846814E-2</v>
      </c>
      <c r="P59" s="45">
        <f t="shared" ca="1" si="26"/>
        <v>1.6593250980757897E-4</v>
      </c>
      <c r="Q59" s="45">
        <f t="shared" ca="1" si="26"/>
        <v>4.1862326262961196E-6</v>
      </c>
      <c r="R59" s="45">
        <f t="shared" ca="1" si="26"/>
        <v>6.4528864306758011E-3</v>
      </c>
      <c r="S59" s="45">
        <v>0</v>
      </c>
      <c r="T59" s="22">
        <f t="shared" ca="1" si="23"/>
        <v>5.9464970940949768E-2</v>
      </c>
      <c r="V59" s="45">
        <f t="shared" ca="1" si="27"/>
        <v>3.727282391518718E-2</v>
      </c>
      <c r="W59" s="45">
        <f t="shared" ca="1" si="27"/>
        <v>0</v>
      </c>
      <c r="X59" s="45">
        <f t="shared" ca="1" si="27"/>
        <v>3.830880796261946E-4</v>
      </c>
      <c r="Y59" s="45">
        <f t="shared" ca="1" si="27"/>
        <v>4.0227278264952523E-5</v>
      </c>
      <c r="Z59" s="45">
        <f t="shared" ca="1" si="27"/>
        <v>1.6177864229453519E-5</v>
      </c>
      <c r="AA59" s="45">
        <f t="shared" ca="1" si="27"/>
        <v>1.6988036973791257E-6</v>
      </c>
      <c r="AB59" s="45">
        <f t="shared" ca="1" si="27"/>
        <v>6.6851203504433791E-5</v>
      </c>
      <c r="AC59" s="45">
        <f t="shared" ca="1" si="27"/>
        <v>7.0199051047057015E-6</v>
      </c>
      <c r="AD59" s="45">
        <f t="shared" ca="1" si="27"/>
        <v>2.0626702380891964E-2</v>
      </c>
      <c r="AE59" s="45">
        <f t="shared" ca="1" si="27"/>
        <v>1.5017298548844658E-4</v>
      </c>
      <c r="AF59" s="45">
        <f t="shared" ca="1" si="27"/>
        <v>3.7797737601406095E-6</v>
      </c>
      <c r="AG59" s="45">
        <f t="shared" ca="1" si="27"/>
        <v>3.6018906044550797E-3</v>
      </c>
      <c r="AH59" s="45">
        <v>0</v>
      </c>
      <c r="AI59" s="22">
        <f t="shared" ca="1" si="24"/>
        <v>6.2170432794209925E-2</v>
      </c>
    </row>
    <row r="60" spans="4:35" ht="12" customHeight="1" x14ac:dyDescent="0.25">
      <c r="D60" s="341">
        <f t="shared" si="25"/>
        <v>49</v>
      </c>
      <c r="E60" s="43">
        <f t="shared" si="22"/>
        <v>82.25</v>
      </c>
      <c r="F60" s="44">
        <f>INDEX(rngU.Anticoag_NoEvent, MATCH(E60, Parameters!$D$427:$D$433, 1))</f>
        <v>0.67669630642954848</v>
      </c>
      <c r="G60" s="45">
        <f t="shared" ca="1" si="26"/>
        <v>1.9071587768105525E-2</v>
      </c>
      <c r="H60" s="45">
        <f t="shared" ca="1" si="26"/>
        <v>0</v>
      </c>
      <c r="I60" s="45">
        <f t="shared" ca="1" si="26"/>
        <v>3.3313861828950593E-4</v>
      </c>
      <c r="J60" s="45">
        <f t="shared" ca="1" si="26"/>
        <v>3.4982189766421555E-5</v>
      </c>
      <c r="K60" s="45">
        <f t="shared" ca="1" si="26"/>
        <v>1.4068491354610263E-5</v>
      </c>
      <c r="L60" s="45">
        <f t="shared" ca="1" si="26"/>
        <v>1.477302862157366E-6</v>
      </c>
      <c r="M60" s="45">
        <f t="shared" ca="1" si="26"/>
        <v>5.8134718230305473E-5</v>
      </c>
      <c r="N60" s="45">
        <f t="shared" ca="1" si="26"/>
        <v>6.1046052108635255E-6</v>
      </c>
      <c r="O60" s="45">
        <f t="shared" ca="1" si="26"/>
        <v>3.1278629886053844E-2</v>
      </c>
      <c r="P60" s="45">
        <f t="shared" ca="1" si="26"/>
        <v>1.5994474432333669E-4</v>
      </c>
      <c r="Q60" s="45">
        <f t="shared" ca="1" si="26"/>
        <v>4.0352848641132444E-6</v>
      </c>
      <c r="R60" s="45">
        <f t="shared" ca="1" si="26"/>
        <v>6.2489832840761156E-3</v>
      </c>
      <c r="S60" s="45">
        <v>0</v>
      </c>
      <c r="T60" s="22">
        <f t="shared" ca="1" si="23"/>
        <v>5.7211086893136795E-2</v>
      </c>
      <c r="V60" s="45">
        <f t="shared" ca="1" si="27"/>
        <v>3.5499698599525065E-2</v>
      </c>
      <c r="W60" s="45">
        <f t="shared" ca="1" si="27"/>
        <v>0</v>
      </c>
      <c r="X60" s="45">
        <f t="shared" ca="1" si="27"/>
        <v>3.6827084927774044E-4</v>
      </c>
      <c r="Y60" s="45">
        <f t="shared" ca="1" si="27"/>
        <v>3.8671351886555935E-5</v>
      </c>
      <c r="Z60" s="45">
        <f t="shared" ca="1" si="27"/>
        <v>1.5552130478960074E-5</v>
      </c>
      <c r="AA60" s="45">
        <f t="shared" ca="1" si="27"/>
        <v>1.6330967045505134E-6</v>
      </c>
      <c r="AB60" s="45">
        <f t="shared" ca="1" si="27"/>
        <v>6.4265506548362685E-5</v>
      </c>
      <c r="AC60" s="45">
        <f t="shared" ca="1" si="27"/>
        <v>6.7483864736336958E-6</v>
      </c>
      <c r="AD60" s="45">
        <f t="shared" ca="1" si="27"/>
        <v>2.0160367207382662E-2</v>
      </c>
      <c r="AE60" s="45">
        <f t="shared" ca="1" si="27"/>
        <v>1.4508833663930075E-4</v>
      </c>
      <c r="AF60" s="45">
        <f t="shared" ca="1" si="27"/>
        <v>3.6520316364945837E-6</v>
      </c>
      <c r="AG60" s="45">
        <f t="shared" ca="1" si="27"/>
        <v>3.53943103346221E-3</v>
      </c>
      <c r="AH60" s="45">
        <v>0</v>
      </c>
      <c r="AI60" s="22">
        <f t="shared" ca="1" si="24"/>
        <v>5.9843378530015527E-2</v>
      </c>
    </row>
    <row r="61" spans="4:35" ht="12" customHeight="1" x14ac:dyDescent="0.25">
      <c r="D61" s="341">
        <f t="shared" si="25"/>
        <v>50</v>
      </c>
      <c r="E61" s="43">
        <f t="shared" si="22"/>
        <v>82.5</v>
      </c>
      <c r="F61" s="44">
        <f>INDEX(rngU.Anticoag_NoEvent, MATCH(E61, Parameters!$D$427:$D$433, 1))</f>
        <v>0.67669630642954848</v>
      </c>
      <c r="G61" s="45">
        <f t="shared" ref="G61:R70" ca="1" si="28">PRODUCT(AVERAGE(OFFSET(C.Trace.Markov.Root, $D61, (G$2-1)*C.Trace.Markov.NumCols+G$3-1, CHOOSE(swtchHalfCycle, 2, 1))), $F61+G$6, C.cycleLength)</f>
        <v>1.8164323130511997E-2</v>
      </c>
      <c r="H61" s="45">
        <f t="shared" ca="1" si="28"/>
        <v>0</v>
      </c>
      <c r="I61" s="45">
        <f t="shared" ca="1" si="28"/>
        <v>3.2025335271304323E-4</v>
      </c>
      <c r="J61" s="45">
        <f t="shared" ca="1" si="28"/>
        <v>3.3629134969287678E-5</v>
      </c>
      <c r="K61" s="45">
        <f t="shared" ca="1" si="28"/>
        <v>1.3524344751928526E-5</v>
      </c>
      <c r="L61" s="45">
        <f t="shared" ca="1" si="28"/>
        <v>1.4201631651341597E-6</v>
      </c>
      <c r="M61" s="45">
        <f t="shared" ca="1" si="28"/>
        <v>5.5886160895654621E-5</v>
      </c>
      <c r="N61" s="45">
        <f t="shared" ca="1" si="28"/>
        <v>5.8684889065292618E-6</v>
      </c>
      <c r="O61" s="45">
        <f t="shared" ca="1" si="28"/>
        <v>3.023842914230614E-2</v>
      </c>
      <c r="P61" s="45">
        <f t="shared" ca="1" si="28"/>
        <v>1.541687244543398E-4</v>
      </c>
      <c r="Q61" s="45">
        <f t="shared" ca="1" si="28"/>
        <v>3.8896693999920652E-6</v>
      </c>
      <c r="R61" s="45">
        <f t="shared" ca="1" si="28"/>
        <v>6.0508588771225665E-3</v>
      </c>
      <c r="S61" s="45">
        <v>0</v>
      </c>
      <c r="T61" s="22">
        <f t="shared" ca="1" si="23"/>
        <v>5.5042251189196617E-2</v>
      </c>
      <c r="V61" s="45">
        <f t="shared" ref="V61:AG70" ca="1" si="29">PRODUCT(AVERAGE(OFFSET(C.Trace.Markov.Root, $D61, (V$2-1)*C.Trace.Markov.NumCols+V$3-1, CHOOSE(swtchHalfCycle, 2, 1))), $F61+V$6, C.cycleLength)</f>
        <v>3.3810923570607949E-2</v>
      </c>
      <c r="W61" s="45">
        <f t="shared" ca="1" si="29"/>
        <v>0</v>
      </c>
      <c r="X61" s="45">
        <f t="shared" ca="1" si="29"/>
        <v>3.5402672555117119E-4</v>
      </c>
      <c r="Y61" s="45">
        <f t="shared" ca="1" si="29"/>
        <v>3.7175606236238804E-5</v>
      </c>
      <c r="Z61" s="45">
        <f t="shared" ca="1" si="29"/>
        <v>1.4950599102831558E-5</v>
      </c>
      <c r="AA61" s="45">
        <f t="shared" ca="1" si="29"/>
        <v>1.5699311524502288E-6</v>
      </c>
      <c r="AB61" s="45">
        <f t="shared" ca="1" si="29"/>
        <v>6.177982018893228E-5</v>
      </c>
      <c r="AC61" s="45">
        <f t="shared" ca="1" si="29"/>
        <v>6.4873697462069599E-6</v>
      </c>
      <c r="AD61" s="45">
        <f t="shared" ca="1" si="29"/>
        <v>1.9696300474489174E-2</v>
      </c>
      <c r="AE61" s="45">
        <f t="shared" ca="1" si="29"/>
        <v>1.4016695702066115E-4</v>
      </c>
      <c r="AF61" s="45">
        <f t="shared" ca="1" si="29"/>
        <v>3.5283789142879331E-6</v>
      </c>
      <c r="AG61" s="45">
        <f t="shared" ca="1" si="29"/>
        <v>3.4758411046698122E-3</v>
      </c>
      <c r="AH61" s="45">
        <v>0</v>
      </c>
      <c r="AI61" s="22">
        <f t="shared" ca="1" si="24"/>
        <v>5.7602750537679721E-2</v>
      </c>
    </row>
    <row r="62" spans="4:35" ht="12" customHeight="1" x14ac:dyDescent="0.25">
      <c r="D62" s="341">
        <f t="shared" si="25"/>
        <v>51</v>
      </c>
      <c r="E62" s="43">
        <f t="shared" si="22"/>
        <v>82.75</v>
      </c>
      <c r="F62" s="44">
        <f>INDEX(rngU.Anticoag_NoEvent, MATCH(E62, Parameters!$D$427:$D$433, 1))</f>
        <v>0.67669630642954848</v>
      </c>
      <c r="G62" s="45">
        <f t="shared" ca="1" si="28"/>
        <v>1.7300218461172617E-2</v>
      </c>
      <c r="H62" s="45">
        <f t="shared" ca="1" si="28"/>
        <v>0</v>
      </c>
      <c r="I62" s="45">
        <f t="shared" ca="1" si="28"/>
        <v>3.0786646847053603E-4</v>
      </c>
      <c r="J62" s="45">
        <f t="shared" ca="1" si="28"/>
        <v>3.2328414153998063E-5</v>
      </c>
      <c r="K62" s="45">
        <f t="shared" ca="1" si="28"/>
        <v>1.3001244864046926E-5</v>
      </c>
      <c r="L62" s="45">
        <f t="shared" ca="1" si="28"/>
        <v>1.3652335396268549E-6</v>
      </c>
      <c r="M62" s="45">
        <f t="shared" ca="1" si="28"/>
        <v>5.3724574139706165E-5</v>
      </c>
      <c r="N62" s="45">
        <f t="shared" ca="1" si="28"/>
        <v>5.6415052008231825E-6</v>
      </c>
      <c r="O62" s="45">
        <f t="shared" ca="1" si="28"/>
        <v>2.9230393256853657E-2</v>
      </c>
      <c r="P62" s="45">
        <f t="shared" ca="1" si="28"/>
        <v>1.4859717618770547E-4</v>
      </c>
      <c r="Q62" s="45">
        <f t="shared" ca="1" si="28"/>
        <v>3.7492033419591396E-6</v>
      </c>
      <c r="R62" s="45">
        <f t="shared" ca="1" si="28"/>
        <v>5.8583869581280406E-3</v>
      </c>
      <c r="S62" s="45">
        <v>0</v>
      </c>
      <c r="T62" s="22">
        <f t="shared" ca="1" si="23"/>
        <v>5.2955272496052717E-2</v>
      </c>
      <c r="V62" s="45">
        <f t="shared" ca="1" si="29"/>
        <v>3.220248615611588E-2</v>
      </c>
      <c r="W62" s="45">
        <f t="shared" ca="1" si="29"/>
        <v>0</v>
      </c>
      <c r="X62" s="45">
        <f t="shared" ca="1" si="29"/>
        <v>3.4033354160475492E-4</v>
      </c>
      <c r="Y62" s="45">
        <f t="shared" ca="1" si="29"/>
        <v>3.573771362030752E-5</v>
      </c>
      <c r="Z62" s="45">
        <f t="shared" ca="1" si="29"/>
        <v>1.4372333992180726E-5</v>
      </c>
      <c r="AA62" s="45">
        <f t="shared" ca="1" si="29"/>
        <v>1.5092087422416721E-6</v>
      </c>
      <c r="AB62" s="45">
        <f t="shared" ca="1" si="29"/>
        <v>5.9390276177229434E-5</v>
      </c>
      <c r="AC62" s="45">
        <f t="shared" ca="1" si="29"/>
        <v>6.2364487256966369E-6</v>
      </c>
      <c r="AD62" s="45">
        <f t="shared" ca="1" si="29"/>
        <v>1.9235164581567987E-2</v>
      </c>
      <c r="AE62" s="45">
        <f t="shared" ca="1" si="29"/>
        <v>1.3540407259982586E-4</v>
      </c>
      <c r="AF62" s="45">
        <f t="shared" ca="1" si="29"/>
        <v>3.4086967091029381E-6</v>
      </c>
      <c r="AG62" s="45">
        <f t="shared" ca="1" si="29"/>
        <v>3.4113281630348924E-3</v>
      </c>
      <c r="AH62" s="45">
        <v>0</v>
      </c>
      <c r="AI62" s="22">
        <f t="shared" ca="1" si="24"/>
        <v>5.5445371192890093E-2</v>
      </c>
    </row>
    <row r="63" spans="4:35" ht="12" customHeight="1" x14ac:dyDescent="0.25">
      <c r="D63" s="341">
        <f t="shared" si="25"/>
        <v>52</v>
      </c>
      <c r="E63" s="43">
        <f t="shared" si="22"/>
        <v>83</v>
      </c>
      <c r="F63" s="44">
        <f>INDEX(rngU.Anticoag_NoEvent, MATCH(E63, Parameters!$D$427:$D$433, 1))</f>
        <v>0.67669630642954848</v>
      </c>
      <c r="G63" s="45">
        <f t="shared" ca="1" si="28"/>
        <v>1.647722057429957E-2</v>
      </c>
      <c r="H63" s="45">
        <f t="shared" ca="1" si="28"/>
        <v>0</v>
      </c>
      <c r="I63" s="45">
        <f t="shared" ca="1" si="28"/>
        <v>2.9595868897412257E-4</v>
      </c>
      <c r="J63" s="45">
        <f t="shared" ca="1" si="28"/>
        <v>3.1078003126363266E-5</v>
      </c>
      <c r="K63" s="45">
        <f t="shared" ca="1" si="28"/>
        <v>1.2498377637911306E-5</v>
      </c>
      <c r="L63" s="45">
        <f t="shared" ca="1" si="28"/>
        <v>1.3124285036261889E-6</v>
      </c>
      <c r="M63" s="45">
        <f t="shared" ca="1" si="28"/>
        <v>5.1646594080453424E-5</v>
      </c>
      <c r="N63" s="45">
        <f t="shared" ca="1" si="28"/>
        <v>5.4233008595287002E-6</v>
      </c>
      <c r="O63" s="45">
        <f t="shared" ca="1" si="28"/>
        <v>2.8253661972426864E-2</v>
      </c>
      <c r="P63" s="45">
        <f t="shared" ca="1" si="28"/>
        <v>1.4322306459413944E-4</v>
      </c>
      <c r="Q63" s="45">
        <f t="shared" ca="1" si="28"/>
        <v>3.6137097945156766E-6</v>
      </c>
      <c r="R63" s="45">
        <f t="shared" ca="1" si="28"/>
        <v>5.6714416709236007E-3</v>
      </c>
      <c r="S63" s="45">
        <v>0</v>
      </c>
      <c r="T63" s="22">
        <f t="shared" ca="1" si="23"/>
        <v>5.0947078385220695E-2</v>
      </c>
      <c r="V63" s="45">
        <f t="shared" ca="1" si="29"/>
        <v>3.0670564572696433E-2</v>
      </c>
      <c r="W63" s="45">
        <f t="shared" ca="1" si="29"/>
        <v>0</v>
      </c>
      <c r="X63" s="45">
        <f t="shared" ca="1" si="29"/>
        <v>3.2716998797452021E-4</v>
      </c>
      <c r="Y63" s="45">
        <f t="shared" ca="1" si="29"/>
        <v>3.4355436376505242E-5</v>
      </c>
      <c r="Z63" s="45">
        <f t="shared" ca="1" si="29"/>
        <v>1.3816435245305427E-5</v>
      </c>
      <c r="AA63" s="45">
        <f t="shared" ca="1" si="29"/>
        <v>1.4508349771286544E-6</v>
      </c>
      <c r="AB63" s="45">
        <f t="shared" ca="1" si="29"/>
        <v>5.7093155881982903E-5</v>
      </c>
      <c r="AC63" s="45">
        <f t="shared" ca="1" si="29"/>
        <v>5.99523292640802E-6</v>
      </c>
      <c r="AD63" s="45">
        <f t="shared" ca="1" si="29"/>
        <v>1.8777560622174106E-2</v>
      </c>
      <c r="AE63" s="45">
        <f t="shared" ca="1" si="29"/>
        <v>1.3079502289479845E-4</v>
      </c>
      <c r="AF63" s="45">
        <f t="shared" ca="1" si="29"/>
        <v>3.2928689220393599E-6</v>
      </c>
      <c r="AG63" s="45">
        <f t="shared" ca="1" si="29"/>
        <v>3.3460839839628735E-3</v>
      </c>
      <c r="AH63" s="45">
        <v>0</v>
      </c>
      <c r="AI63" s="22">
        <f t="shared" ca="1" si="24"/>
        <v>5.3368178154032109E-2</v>
      </c>
    </row>
    <row r="64" spans="4:35" ht="12" customHeight="1" x14ac:dyDescent="0.25">
      <c r="D64" s="341">
        <f t="shared" si="25"/>
        <v>53</v>
      </c>
      <c r="E64" s="43">
        <f t="shared" si="22"/>
        <v>83.25</v>
      </c>
      <c r="F64" s="44">
        <f>INDEX(rngU.Anticoag_NoEvent, MATCH(E64, Parameters!$D$427:$D$433, 1))</f>
        <v>0.67669630642954848</v>
      </c>
      <c r="G64" s="45">
        <f t="shared" ca="1" si="28"/>
        <v>1.5693373957297342E-2</v>
      </c>
      <c r="H64" s="45">
        <f t="shared" ca="1" si="28"/>
        <v>0</v>
      </c>
      <c r="I64" s="45">
        <f t="shared" ca="1" si="28"/>
        <v>2.8451148322333221E-4</v>
      </c>
      <c r="J64" s="45">
        <f t="shared" ca="1" si="28"/>
        <v>2.987595598476948E-5</v>
      </c>
      <c r="K64" s="45">
        <f t="shared" ca="1" si="28"/>
        <v>1.2014960506729332E-5</v>
      </c>
      <c r="L64" s="45">
        <f t="shared" ca="1" si="28"/>
        <v>1.2616658814295331E-6</v>
      </c>
      <c r="M64" s="45">
        <f t="shared" ca="1" si="28"/>
        <v>4.9648986945431294E-5</v>
      </c>
      <c r="N64" s="45">
        <f t="shared" ca="1" si="28"/>
        <v>5.2135363109606005E-6</v>
      </c>
      <c r="O64" s="45">
        <f t="shared" ca="1" si="28"/>
        <v>2.7307390045852267E-2</v>
      </c>
      <c r="P64" s="45">
        <f t="shared" ca="1" si="28"/>
        <v>1.3803958653064297E-4</v>
      </c>
      <c r="Q64" s="45">
        <f t="shared" ca="1" si="28"/>
        <v>3.483017676396567E-6</v>
      </c>
      <c r="R64" s="45">
        <f t="shared" ca="1" si="28"/>
        <v>5.4898977466267089E-3</v>
      </c>
      <c r="S64" s="45">
        <v>0</v>
      </c>
      <c r="T64" s="22">
        <f t="shared" ca="1" si="23"/>
        <v>4.9014710942836007E-2</v>
      </c>
      <c r="V64" s="45">
        <f t="shared" ca="1" si="29"/>
        <v>2.9211518845084182E-2</v>
      </c>
      <c r="W64" s="45">
        <f t="shared" ca="1" si="29"/>
        <v>0</v>
      </c>
      <c r="X64" s="45">
        <f t="shared" ca="1" si="29"/>
        <v>3.1451557941226509E-4</v>
      </c>
      <c r="Y64" s="45">
        <f t="shared" ca="1" si="29"/>
        <v>3.3026623391749692E-5</v>
      </c>
      <c r="Z64" s="45">
        <f t="shared" ca="1" si="29"/>
        <v>1.3282037767252969E-5</v>
      </c>
      <c r="AA64" s="45">
        <f t="shared" ca="1" si="29"/>
        <v>1.3947190152989711E-6</v>
      </c>
      <c r="AB64" s="45">
        <f t="shared" ca="1" si="29"/>
        <v>5.4884884502594029E-5</v>
      </c>
      <c r="AC64" s="45">
        <f t="shared" ca="1" si="29"/>
        <v>5.7633469660045857E-6</v>
      </c>
      <c r="AD64" s="45">
        <f t="shared" ca="1" si="29"/>
        <v>1.8324032452873271E-2</v>
      </c>
      <c r="AE64" s="45">
        <f t="shared" ca="1" si="29"/>
        <v>1.2633525986300212E-4</v>
      </c>
      <c r="AF64" s="45">
        <f t="shared" ca="1" si="29"/>
        <v>3.18078221561751E-6</v>
      </c>
      <c r="AG64" s="45">
        <f t="shared" ca="1" si="29"/>
        <v>3.280285723866501E-3</v>
      </c>
      <c r="AH64" s="45">
        <v>0</v>
      </c>
      <c r="AI64" s="22">
        <f t="shared" ca="1" si="24"/>
        <v>5.1368220254957749E-2</v>
      </c>
    </row>
    <row r="65" spans="4:35" ht="12" customHeight="1" x14ac:dyDescent="0.25">
      <c r="D65" s="341">
        <f t="shared" si="25"/>
        <v>54</v>
      </c>
      <c r="E65" s="43">
        <f t="shared" si="22"/>
        <v>83.5</v>
      </c>
      <c r="F65" s="44">
        <f>INDEX(rngU.Anticoag_NoEvent, MATCH(E65, Parameters!$D$427:$D$433, 1))</f>
        <v>0.67669630642954848</v>
      </c>
      <c r="G65" s="45">
        <f t="shared" ca="1" si="28"/>
        <v>1.4946816124299388E-2</v>
      </c>
      <c r="H65" s="45">
        <f t="shared" ca="1" si="28"/>
        <v>0</v>
      </c>
      <c r="I65" s="45">
        <f t="shared" ca="1" si="28"/>
        <v>2.7350703696696701E-4</v>
      </c>
      <c r="J65" s="45">
        <f t="shared" ca="1" si="28"/>
        <v>2.8720402091945219E-5</v>
      </c>
      <c r="K65" s="45">
        <f t="shared" ca="1" si="28"/>
        <v>1.1550241172132681E-5</v>
      </c>
      <c r="L65" s="45">
        <f t="shared" ca="1" si="28"/>
        <v>1.2128666757581665E-6</v>
      </c>
      <c r="M65" s="45">
        <f t="shared" ca="1" si="28"/>
        <v>4.7728644039288908E-5</v>
      </c>
      <c r="N65" s="45">
        <f t="shared" ca="1" si="28"/>
        <v>5.0118851175198804E-6</v>
      </c>
      <c r="O65" s="45">
        <f t="shared" ca="1" si="28"/>
        <v>2.6390747535952788E-2</v>
      </c>
      <c r="P65" s="45">
        <f t="shared" ca="1" si="28"/>
        <v>1.3304016353549126E-4</v>
      </c>
      <c r="Q65" s="45">
        <f t="shared" ca="1" si="28"/>
        <v>3.3569615431087249E-6</v>
      </c>
      <c r="R65" s="45">
        <f t="shared" ca="1" si="28"/>
        <v>5.3136306784379228E-3</v>
      </c>
      <c r="S65" s="45">
        <v>0</v>
      </c>
      <c r="T65" s="22">
        <f t="shared" ca="1" si="23"/>
        <v>4.7155322539832317E-2</v>
      </c>
      <c r="V65" s="45">
        <f t="shared" ca="1" si="29"/>
        <v>2.7821882157211573E-2</v>
      </c>
      <c r="W65" s="45">
        <f t="shared" ca="1" si="29"/>
        <v>0</v>
      </c>
      <c r="X65" s="45">
        <f t="shared" ca="1" si="29"/>
        <v>3.0235062300621726E-4</v>
      </c>
      <c r="Y65" s="45">
        <f t="shared" ca="1" si="29"/>
        <v>3.1749206754550428E-5</v>
      </c>
      <c r="Z65" s="45">
        <f t="shared" ca="1" si="29"/>
        <v>1.2768309923551084E-5</v>
      </c>
      <c r="AA65" s="45">
        <f t="shared" ca="1" si="29"/>
        <v>1.3407735285555052E-6</v>
      </c>
      <c r="AB65" s="45">
        <f t="shared" ca="1" si="29"/>
        <v>5.2762025505997739E-5</v>
      </c>
      <c r="AC65" s="45">
        <f t="shared" ca="1" si="29"/>
        <v>5.5404299813344151E-6</v>
      </c>
      <c r="AD65" s="45">
        <f t="shared" ca="1" si="29"/>
        <v>1.7875070523921528E-2</v>
      </c>
      <c r="AE65" s="45">
        <f t="shared" ca="1" si="29"/>
        <v>1.2202034668160343E-4</v>
      </c>
      <c r="AF65" s="45">
        <f t="shared" ca="1" si="29"/>
        <v>3.0723259867530837E-6</v>
      </c>
      <c r="AG65" s="45">
        <f t="shared" ca="1" si="29"/>
        <v>3.2140968178852977E-3</v>
      </c>
      <c r="AH65" s="45">
        <v>0</v>
      </c>
      <c r="AI65" s="22">
        <f t="shared" ca="1" si="24"/>
        <v>4.944265354038696E-2</v>
      </c>
    </row>
    <row r="66" spans="4:35" ht="12" customHeight="1" x14ac:dyDescent="0.25">
      <c r="D66" s="341">
        <f t="shared" si="25"/>
        <v>55</v>
      </c>
      <c r="E66" s="43">
        <f t="shared" si="22"/>
        <v>83.75</v>
      </c>
      <c r="F66" s="44">
        <f>INDEX(rngU.Anticoag_NoEvent, MATCH(E66, Parameters!$D$427:$D$433, 1))</f>
        <v>0.67669630642954848</v>
      </c>
      <c r="G66" s="45">
        <f t="shared" ca="1" si="28"/>
        <v>1.4235773190744167E-2</v>
      </c>
      <c r="H66" s="45">
        <f t="shared" ca="1" si="28"/>
        <v>0</v>
      </c>
      <c r="I66" s="45">
        <f t="shared" ca="1" si="28"/>
        <v>2.6292822498039396E-4</v>
      </c>
      <c r="J66" s="45">
        <f t="shared" ca="1" si="28"/>
        <v>2.7609543163857878E-5</v>
      </c>
      <c r="K66" s="45">
        <f t="shared" ca="1" si="28"/>
        <v>1.1103496433443107E-5</v>
      </c>
      <c r="L66" s="45">
        <f t="shared" ca="1" si="28"/>
        <v>1.1659549448209651E-6</v>
      </c>
      <c r="M66" s="45">
        <f t="shared" ca="1" si="28"/>
        <v>4.58825769060082E-5</v>
      </c>
      <c r="N66" s="45">
        <f t="shared" ca="1" si="28"/>
        <v>4.8180334676884716E-6</v>
      </c>
      <c r="O66" s="45">
        <f t="shared" ca="1" si="28"/>
        <v>2.550292003899101E-2</v>
      </c>
      <c r="P66" s="45">
        <f t="shared" ca="1" si="28"/>
        <v>1.2821843491219519E-4</v>
      </c>
      <c r="Q66" s="45">
        <f t="shared" ca="1" si="28"/>
        <v>3.2353814141452684E-6</v>
      </c>
      <c r="R66" s="45">
        <f t="shared" ca="1" si="28"/>
        <v>5.142516880563352E-3</v>
      </c>
      <c r="S66" s="45">
        <v>0</v>
      </c>
      <c r="T66" s="22">
        <f t="shared" ca="1" si="23"/>
        <v>4.5366171756521086E-2</v>
      </c>
      <c r="V66" s="45">
        <f t="shared" ca="1" si="29"/>
        <v>2.6498352614760693E-2</v>
      </c>
      <c r="W66" s="45">
        <f t="shared" ca="1" si="29"/>
        <v>0</v>
      </c>
      <c r="X66" s="45">
        <f t="shared" ca="1" si="29"/>
        <v>2.906561875347369E-4</v>
      </c>
      <c r="Y66" s="45">
        <f t="shared" ca="1" si="29"/>
        <v>3.0521198536905227E-5</v>
      </c>
      <c r="Z66" s="45">
        <f t="shared" ca="1" si="29"/>
        <v>1.2274452246010392E-5</v>
      </c>
      <c r="AA66" s="45">
        <f t="shared" ca="1" si="29"/>
        <v>1.2889145664152517E-6</v>
      </c>
      <c r="AB66" s="45">
        <f t="shared" ca="1" si="29"/>
        <v>5.0721275278696882E-5</v>
      </c>
      <c r="AC66" s="45">
        <f t="shared" ca="1" si="29"/>
        <v>5.3261350668515083E-6</v>
      </c>
      <c r="AD66" s="45">
        <f t="shared" ca="1" si="29"/>
        <v>1.7431115484864479E-2</v>
      </c>
      <c r="AE66" s="45">
        <f t="shared" ca="1" si="29"/>
        <v>1.1784595643062244E-4</v>
      </c>
      <c r="AF66" s="45">
        <f t="shared" ca="1" si="29"/>
        <v>2.9673923370960495E-6</v>
      </c>
      <c r="AG66" s="45">
        <f t="shared" ca="1" si="29"/>
        <v>3.1476678275509772E-3</v>
      </c>
      <c r="AH66" s="45">
        <v>0</v>
      </c>
      <c r="AI66" s="22">
        <f t="shared" ca="1" si="24"/>
        <v>4.7588737439173474E-2</v>
      </c>
    </row>
    <row r="67" spans="4:35" ht="12" customHeight="1" x14ac:dyDescent="0.25">
      <c r="D67" s="341">
        <f t="shared" si="25"/>
        <v>56</v>
      </c>
      <c r="E67" s="43">
        <f t="shared" si="22"/>
        <v>84</v>
      </c>
      <c r="F67" s="44">
        <f>INDEX(rngU.Anticoag_NoEvent, MATCH(E67, Parameters!$D$427:$D$433, 1))</f>
        <v>0.67669630642954848</v>
      </c>
      <c r="G67" s="45">
        <f t="shared" ca="1" si="28"/>
        <v>1.3558555658475371E-2</v>
      </c>
      <c r="H67" s="45">
        <f t="shared" ca="1" si="28"/>
        <v>0</v>
      </c>
      <c r="I67" s="45">
        <f t="shared" ca="1" si="28"/>
        <v>2.52758584415106E-4</v>
      </c>
      <c r="J67" s="45">
        <f t="shared" ca="1" si="28"/>
        <v>2.654165047120697E-5</v>
      </c>
      <c r="K67" s="45">
        <f t="shared" ca="1" si="28"/>
        <v>1.0674031062220628E-5</v>
      </c>
      <c r="L67" s="45">
        <f t="shared" ca="1" si="28"/>
        <v>1.1208576841330587E-6</v>
      </c>
      <c r="M67" s="45">
        <f t="shared" ca="1" si="28"/>
        <v>4.4107912678240041E-5</v>
      </c>
      <c r="N67" s="45">
        <f t="shared" ca="1" si="28"/>
        <v>4.631679687672754E-6</v>
      </c>
      <c r="O67" s="45">
        <f t="shared" ca="1" si="28"/>
        <v>2.4643108875649883E-2</v>
      </c>
      <c r="P67" s="45">
        <f t="shared" ca="1" si="28"/>
        <v>1.2356825099909795E-4</v>
      </c>
      <c r="Q67" s="45">
        <f t="shared" ca="1" si="28"/>
        <v>3.118122604795544E-6</v>
      </c>
      <c r="R67" s="45">
        <f t="shared" ca="1" si="28"/>
        <v>4.9764338322973722E-3</v>
      </c>
      <c r="S67" s="45">
        <v>0</v>
      </c>
      <c r="T67" s="22">
        <f t="shared" ca="1" si="23"/>
        <v>4.3644619456025102E-2</v>
      </c>
      <c r="V67" s="45">
        <f t="shared" ca="1" si="29"/>
        <v>2.5237785399583067E-2</v>
      </c>
      <c r="W67" s="45">
        <f t="shared" ca="1" si="29"/>
        <v>0</v>
      </c>
      <c r="X67" s="45">
        <f t="shared" ca="1" si="29"/>
        <v>2.7941407400536739E-4</v>
      </c>
      <c r="Y67" s="45">
        <f t="shared" ca="1" si="29"/>
        <v>2.9340687700667456E-5</v>
      </c>
      <c r="Z67" s="45">
        <f t="shared" ca="1" si="29"/>
        <v>1.179969618858436E-5</v>
      </c>
      <c r="AA67" s="45">
        <f t="shared" ca="1" si="29"/>
        <v>1.2390614254647719E-6</v>
      </c>
      <c r="AB67" s="45">
        <f t="shared" ca="1" si="29"/>
        <v>4.8759457985647282E-5</v>
      </c>
      <c r="AC67" s="45">
        <f t="shared" ca="1" si="29"/>
        <v>5.1201287347580468E-6</v>
      </c>
      <c r="AD67" s="45">
        <f t="shared" ca="1" si="29"/>
        <v>1.6992561577420965E-2</v>
      </c>
      <c r="AE67" s="45">
        <f t="shared" ca="1" si="29"/>
        <v>1.1380787068925174E-4</v>
      </c>
      <c r="AF67" s="45">
        <f t="shared" ca="1" si="29"/>
        <v>2.8658760410054322E-6</v>
      </c>
      <c r="AG67" s="45">
        <f t="shared" ca="1" si="29"/>
        <v>3.0811372410422169E-3</v>
      </c>
      <c r="AH67" s="45">
        <v>0</v>
      </c>
      <c r="AI67" s="22">
        <f t="shared" ca="1" si="24"/>
        <v>4.5803831070817001E-2</v>
      </c>
    </row>
    <row r="68" spans="4:35" ht="12" customHeight="1" x14ac:dyDescent="0.25">
      <c r="D68" s="341">
        <f t="shared" si="25"/>
        <v>57</v>
      </c>
      <c r="E68" s="43">
        <f t="shared" si="22"/>
        <v>84.25</v>
      </c>
      <c r="F68" s="44">
        <f>INDEX(rngU.Anticoag_NoEvent, MATCH(E68, Parameters!$D$427:$D$433, 1))</f>
        <v>0.67669630642954848</v>
      </c>
      <c r="G68" s="45">
        <f t="shared" ca="1" si="28"/>
        <v>1.2913554401351392E-2</v>
      </c>
      <c r="H68" s="45">
        <f t="shared" ca="1" si="28"/>
        <v>0</v>
      </c>
      <c r="I68" s="45">
        <f t="shared" ca="1" si="28"/>
        <v>2.4298228917907989E-4</v>
      </c>
      <c r="J68" s="45">
        <f t="shared" ca="1" si="28"/>
        <v>2.5515062149158977E-5</v>
      </c>
      <c r="K68" s="45">
        <f t="shared" ca="1" si="28"/>
        <v>1.0261176720342357E-5</v>
      </c>
      <c r="L68" s="45">
        <f t="shared" ca="1" si="28"/>
        <v>1.0775047129055525E-6</v>
      </c>
      <c r="M68" s="45">
        <f t="shared" ca="1" si="28"/>
        <v>4.2401889606520538E-5</v>
      </c>
      <c r="N68" s="45">
        <f t="shared" ca="1" si="28"/>
        <v>4.4525337719359036E-6</v>
      </c>
      <c r="O68" s="45">
        <f t="shared" ca="1" si="28"/>
        <v>2.3810531233297662E-2</v>
      </c>
      <c r="P68" s="45">
        <f t="shared" ca="1" si="28"/>
        <v>1.1908366662120358E-4</v>
      </c>
      <c r="Q68" s="45">
        <f t="shared" ca="1" si="28"/>
        <v>3.005035562469574E-6</v>
      </c>
      <c r="R68" s="45">
        <f t="shared" ca="1" si="28"/>
        <v>4.8152602082406652E-3</v>
      </c>
      <c r="S68" s="45">
        <v>0</v>
      </c>
      <c r="T68" s="22">
        <f t="shared" ca="1" si="23"/>
        <v>4.1988125001213329E-2</v>
      </c>
      <c r="V68" s="45">
        <f t="shared" ca="1" si="29"/>
        <v>2.4037185297345724E-2</v>
      </c>
      <c r="W68" s="45">
        <f t="shared" ca="1" si="29"/>
        <v>0</v>
      </c>
      <c r="X68" s="45">
        <f t="shared" ca="1" si="29"/>
        <v>2.6860678733338974E-4</v>
      </c>
      <c r="Y68" s="45">
        <f t="shared" ca="1" si="29"/>
        <v>2.8205837123570216E-5</v>
      </c>
      <c r="Z68" s="45">
        <f t="shared" ca="1" si="29"/>
        <v>1.1343302931350567E-5</v>
      </c>
      <c r="AA68" s="45">
        <f t="shared" ca="1" si="29"/>
        <v>1.1911365237687687E-6</v>
      </c>
      <c r="AB68" s="45">
        <f t="shared" ca="1" si="29"/>
        <v>4.6873520627992855E-5</v>
      </c>
      <c r="AC68" s="45">
        <f t="shared" ca="1" si="29"/>
        <v>4.9220903960274881E-6</v>
      </c>
      <c r="AD68" s="45">
        <f t="shared" ca="1" si="29"/>
        <v>1.6559759827363643E-2</v>
      </c>
      <c r="AE68" s="45">
        <f t="shared" ca="1" si="29"/>
        <v>1.0990197805509582E-4</v>
      </c>
      <c r="AF68" s="45">
        <f t="shared" ca="1" si="29"/>
        <v>2.7676745114134272E-6</v>
      </c>
      <c r="AG68" s="45">
        <f t="shared" ca="1" si="29"/>
        <v>3.0146322285373615E-3</v>
      </c>
      <c r="AH68" s="45">
        <v>0</v>
      </c>
      <c r="AI68" s="22">
        <f t="shared" ca="1" si="24"/>
        <v>4.4085389680749335E-2</v>
      </c>
    </row>
    <row r="69" spans="4:35" ht="12" customHeight="1" x14ac:dyDescent="0.25">
      <c r="D69" s="341">
        <f t="shared" si="25"/>
        <v>58</v>
      </c>
      <c r="E69" s="43">
        <f t="shared" si="22"/>
        <v>84.5</v>
      </c>
      <c r="F69" s="44">
        <f>INDEX(rngU.Anticoag_NoEvent, MATCH(E69, Parameters!$D$427:$D$433, 1))</f>
        <v>0.67669630642954848</v>
      </c>
      <c r="G69" s="45">
        <f t="shared" ca="1" si="28"/>
        <v>1.22992368418255E-2</v>
      </c>
      <c r="H69" s="45">
        <f t="shared" ca="1" si="28"/>
        <v>0</v>
      </c>
      <c r="I69" s="45">
        <f t="shared" ca="1" si="28"/>
        <v>2.3358412530806013E-4</v>
      </c>
      <c r="J69" s="45">
        <f t="shared" ca="1" si="28"/>
        <v>2.4528180611137411E-5</v>
      </c>
      <c r="K69" s="45">
        <f t="shared" ca="1" si="28"/>
        <v>9.8642909199283324E-6</v>
      </c>
      <c r="L69" s="45">
        <f t="shared" ca="1" si="28"/>
        <v>1.0358285648295127E-6</v>
      </c>
      <c r="M69" s="45">
        <f t="shared" ca="1" si="28"/>
        <v>4.0761852761410102E-5</v>
      </c>
      <c r="N69" s="45">
        <f t="shared" ca="1" si="28"/>
        <v>4.2803169318885105E-6</v>
      </c>
      <c r="O69" s="45">
        <f t="shared" ca="1" si="28"/>
        <v>2.3004420267049699E-2</v>
      </c>
      <c r="P69" s="45">
        <f t="shared" ca="1" si="28"/>
        <v>1.1475893472079222E-4</v>
      </c>
      <c r="Q69" s="45">
        <f t="shared" ca="1" si="28"/>
        <v>2.8959757074541748E-6</v>
      </c>
      <c r="R69" s="45">
        <f t="shared" ca="1" si="28"/>
        <v>4.6588759955724542E-3</v>
      </c>
      <c r="S69" s="45">
        <v>0</v>
      </c>
      <c r="T69" s="22">
        <f t="shared" ca="1" si="23"/>
        <v>4.0394242609973152E-2</v>
      </c>
      <c r="V69" s="45">
        <f t="shared" ca="1" si="29"/>
        <v>2.289369958064856E-2</v>
      </c>
      <c r="W69" s="45">
        <f t="shared" ca="1" si="29"/>
        <v>0</v>
      </c>
      <c r="X69" s="45">
        <f t="shared" ca="1" si="29"/>
        <v>2.5821750911580392E-4</v>
      </c>
      <c r="Y69" s="45">
        <f t="shared" ca="1" si="29"/>
        <v>2.7114880740279097E-5</v>
      </c>
      <c r="Z69" s="45">
        <f t="shared" ca="1" si="29"/>
        <v>1.090456223075209E-5</v>
      </c>
      <c r="AA69" s="45">
        <f t="shared" ca="1" si="29"/>
        <v>1.1450652801363351E-6</v>
      </c>
      <c r="AB69" s="45">
        <f t="shared" ca="1" si="29"/>
        <v>4.5060528291959548E-5</v>
      </c>
      <c r="AC69" s="45">
        <f t="shared" ca="1" si="29"/>
        <v>4.7317118615008587E-6</v>
      </c>
      <c r="AD69" s="45">
        <f t="shared" ca="1" si="29"/>
        <v>1.6133021046490035E-2</v>
      </c>
      <c r="AE69" s="45">
        <f t="shared" ca="1" si="29"/>
        <v>1.061242725953739E-4</v>
      </c>
      <c r="AF69" s="45">
        <f t="shared" ca="1" si="29"/>
        <v>2.6726877638150316E-6</v>
      </c>
      <c r="AG69" s="45">
        <f t="shared" ca="1" si="29"/>
        <v>2.9482693550454131E-3</v>
      </c>
      <c r="AH69" s="45">
        <v>0</v>
      </c>
      <c r="AI69" s="22">
        <f t="shared" ca="1" si="24"/>
        <v>4.2430961200063622E-2</v>
      </c>
    </row>
    <row r="70" spans="4:35" ht="12" customHeight="1" x14ac:dyDescent="0.25">
      <c r="D70" s="341">
        <f t="shared" si="25"/>
        <v>59</v>
      </c>
      <c r="E70" s="43">
        <f t="shared" si="22"/>
        <v>84.75</v>
      </c>
      <c r="F70" s="44">
        <f>INDEX(rngU.Anticoag_NoEvent, MATCH(E70, Parameters!$D$427:$D$433, 1))</f>
        <v>0.67669630642954848</v>
      </c>
      <c r="G70" s="45">
        <f t="shared" ca="1" si="28"/>
        <v>1.1714143309411954E-2</v>
      </c>
      <c r="H70" s="45">
        <f t="shared" ca="1" si="28"/>
        <v>0</v>
      </c>
      <c r="I70" s="45">
        <f t="shared" ca="1" si="28"/>
        <v>2.2454946728944203E-4</v>
      </c>
      <c r="J70" s="45">
        <f t="shared" ca="1" si="28"/>
        <v>2.3579470062643306E-5</v>
      </c>
      <c r="K70" s="45">
        <f t="shared" ca="1" si="28"/>
        <v>9.4827560234957247E-6</v>
      </c>
      <c r="L70" s="45">
        <f t="shared" ca="1" si="28"/>
        <v>9.9576438308424858E-7</v>
      </c>
      <c r="M70" s="45">
        <f t="shared" ca="1" si="28"/>
        <v>3.918524990186681E-5</v>
      </c>
      <c r="N70" s="45">
        <f t="shared" ca="1" si="28"/>
        <v>4.1147611620350904E-6</v>
      </c>
      <c r="O70" s="45">
        <f t="shared" ca="1" si="28"/>
        <v>2.2224025162919169E-2</v>
      </c>
      <c r="P70" s="45">
        <f t="shared" ca="1" si="28"/>
        <v>1.1058850016334397E-4</v>
      </c>
      <c r="Q70" s="45">
        <f t="shared" ca="1" si="28"/>
        <v>2.7908032780169596E-6</v>
      </c>
      <c r="R70" s="45">
        <f t="shared" ca="1" si="28"/>
        <v>4.5071625992425621E-3</v>
      </c>
      <c r="S70" s="45">
        <v>0</v>
      </c>
      <c r="T70" s="22">
        <f t="shared" ca="1" si="23"/>
        <v>3.8860617843837611E-2</v>
      </c>
      <c r="V70" s="45">
        <f t="shared" ca="1" si="29"/>
        <v>2.1804611230702774E-2</v>
      </c>
      <c r="W70" s="45">
        <f t="shared" ca="1" si="29"/>
        <v>0</v>
      </c>
      <c r="X70" s="45">
        <f t="shared" ca="1" si="29"/>
        <v>2.4823007145836906E-4</v>
      </c>
      <c r="Y70" s="45">
        <f t="shared" ca="1" si="29"/>
        <v>2.6066120794024381E-5</v>
      </c>
      <c r="Z70" s="45">
        <f t="shared" ca="1" si="29"/>
        <v>1.0482791314309657E-5</v>
      </c>
      <c r="AA70" s="45">
        <f t="shared" ca="1" si="29"/>
        <v>1.1007759980569935E-6</v>
      </c>
      <c r="AB70" s="45">
        <f t="shared" ca="1" si="29"/>
        <v>4.3317659581514378E-5</v>
      </c>
      <c r="AC70" s="45">
        <f t="shared" ca="1" si="29"/>
        <v>4.5486968622798292E-6</v>
      </c>
      <c r="AD70" s="45">
        <f t="shared" ca="1" si="29"/>
        <v>1.571261865519074E-2</v>
      </c>
      <c r="AE70" s="45">
        <f t="shared" ca="1" si="29"/>
        <v>1.0247085223849959E-4</v>
      </c>
      <c r="AF70" s="45">
        <f t="shared" ca="1" si="29"/>
        <v>2.5808183786031077E-6</v>
      </c>
      <c r="AG70" s="45">
        <f t="shared" ca="1" si="29"/>
        <v>2.8821552529739499E-3</v>
      </c>
      <c r="AH70" s="45">
        <v>0</v>
      </c>
      <c r="AI70" s="22">
        <f t="shared" ca="1" si="24"/>
        <v>4.0838182925493127E-2</v>
      </c>
    </row>
    <row r="71" spans="4:35" ht="12" customHeight="1" x14ac:dyDescent="0.25">
      <c r="D71" s="341">
        <f t="shared" si="25"/>
        <v>60</v>
      </c>
      <c r="E71" s="43">
        <f t="shared" si="22"/>
        <v>85</v>
      </c>
      <c r="F71" s="44">
        <f>INDEX(rngU.Anticoag_NoEvent, MATCH(E71, Parameters!$D$427:$D$433, 1))</f>
        <v>0.62941959955229454</v>
      </c>
      <c r="G71" s="45">
        <f t="shared" ref="G71:R80" ca="1" si="30">PRODUCT(AVERAGE(OFFSET(C.Trace.Markov.Root, $D71, (G$2-1)*C.Trace.Markov.NumCols+G$3-1, CHOOSE(swtchHalfCycle, 2, 1))), $F71+G$6, C.cycleLength)</f>
        <v>1.0219982938384295E-2</v>
      </c>
      <c r="H71" s="45">
        <f t="shared" ca="1" si="30"/>
        <v>0</v>
      </c>
      <c r="I71" s="45">
        <f t="shared" ca="1" si="30"/>
        <v>1.9879861071505102E-4</v>
      </c>
      <c r="J71" s="45">
        <f t="shared" ca="1" si="30"/>
        <v>2.0875426454734802E-5</v>
      </c>
      <c r="K71" s="45">
        <f t="shared" ca="1" si="30"/>
        <v>8.3660631913657829E-6</v>
      </c>
      <c r="L71" s="45">
        <f t="shared" ca="1" si="30"/>
        <v>8.7850280361037759E-7</v>
      </c>
      <c r="M71" s="45">
        <f t="shared" ca="1" si="30"/>
        <v>3.3600833886722128E-5</v>
      </c>
      <c r="N71" s="45">
        <f t="shared" ca="1" si="30"/>
        <v>3.5283533124153947E-6</v>
      </c>
      <c r="O71" s="45">
        <f t="shared" ca="1" si="30"/>
        <v>1.9658150054905586E-2</v>
      </c>
      <c r="P71" s="45">
        <f t="shared" ca="1" si="30"/>
        <v>9.5535293975774157E-5</v>
      </c>
      <c r="Q71" s="45">
        <f t="shared" ca="1" si="30"/>
        <v>2.4109811465608081E-6</v>
      </c>
      <c r="R71" s="45">
        <f t="shared" ca="1" si="30"/>
        <v>3.8623516339583385E-3</v>
      </c>
      <c r="S71" s="45">
        <v>0</v>
      </c>
      <c r="T71" s="22">
        <f t="shared" ca="1" si="23"/>
        <v>3.4104478692734454E-2</v>
      </c>
      <c r="V71" s="45">
        <f t="shared" ref="V71:AG80" ca="1" si="31">PRODUCT(AVERAGE(OFFSET(C.Trace.Markov.Root, $D71, (V$2-1)*C.Trace.Markov.NumCols+V$3-1, CHOOSE(swtchHalfCycle, 2, 1))), $F71+V$6, C.cycleLength)</f>
        <v>1.9023393249495046E-2</v>
      </c>
      <c r="W71" s="45">
        <f t="shared" ca="1" si="31"/>
        <v>0</v>
      </c>
      <c r="X71" s="45">
        <f t="shared" ca="1" si="31"/>
        <v>2.1976357343129563E-4</v>
      </c>
      <c r="Y71" s="45">
        <f t="shared" ca="1" si="31"/>
        <v>2.3076913355146466E-5</v>
      </c>
      <c r="Z71" s="45">
        <f t="shared" ca="1" si="31"/>
        <v>9.2483339590429912E-6</v>
      </c>
      <c r="AA71" s="45">
        <f t="shared" ca="1" si="31"/>
        <v>9.7114821223552734E-7</v>
      </c>
      <c r="AB71" s="45">
        <f t="shared" ca="1" si="31"/>
        <v>3.714432056973306E-5</v>
      </c>
      <c r="AC71" s="45">
        <f t="shared" ca="1" si="31"/>
        <v>3.9004474401281621E-6</v>
      </c>
      <c r="AD71" s="45">
        <f t="shared" ca="1" si="31"/>
        <v>1.4005636734383795E-2</v>
      </c>
      <c r="AE71" s="45">
        <f t="shared" ca="1" si="31"/>
        <v>8.8695971119142272E-5</v>
      </c>
      <c r="AF71" s="45">
        <f t="shared" ca="1" si="31"/>
        <v>2.2340052759023729E-6</v>
      </c>
      <c r="AG71" s="45">
        <f t="shared" ca="1" si="31"/>
        <v>2.4928172509260508E-3</v>
      </c>
      <c r="AH71" s="45">
        <v>0</v>
      </c>
      <c r="AI71" s="22">
        <f t="shared" ca="1" si="24"/>
        <v>3.5906881948167525E-2</v>
      </c>
    </row>
    <row r="72" spans="4:35" ht="12" customHeight="1" x14ac:dyDescent="0.25">
      <c r="D72" s="341">
        <f t="shared" si="25"/>
        <v>61</v>
      </c>
      <c r="E72" s="43">
        <f t="shared" si="22"/>
        <v>85.25</v>
      </c>
      <c r="F72" s="44">
        <f>INDEX(rngU.Anticoag_NoEvent, MATCH(E72, Parameters!$D$427:$D$433, 1))</f>
        <v>0.62941959955229454</v>
      </c>
      <c r="G72" s="45">
        <f t="shared" ca="1" si="30"/>
        <v>9.4310831272670873E-3</v>
      </c>
      <c r="H72" s="45">
        <f t="shared" ca="1" si="30"/>
        <v>0</v>
      </c>
      <c r="I72" s="45">
        <f t="shared" ca="1" si="30"/>
        <v>1.8816200995576786E-4</v>
      </c>
      <c r="J72" s="45">
        <f t="shared" ca="1" si="30"/>
        <v>2.0067998557986226E-5</v>
      </c>
      <c r="K72" s="45">
        <f t="shared" ca="1" si="30"/>
        <v>7.9184419842888316E-6</v>
      </c>
      <c r="L72" s="45">
        <f t="shared" ca="1" si="30"/>
        <v>8.4452372909686184E-7</v>
      </c>
      <c r="M72" s="45">
        <f t="shared" ca="1" si="30"/>
        <v>3.1803041367214355E-5</v>
      </c>
      <c r="N72" s="45">
        <f t="shared" ca="1" si="30"/>
        <v>3.3918822850949792E-6</v>
      </c>
      <c r="O72" s="45">
        <f t="shared" ca="1" si="30"/>
        <v>1.8391509948853378E-2</v>
      </c>
      <c r="P72" s="45">
        <f t="shared" ca="1" si="30"/>
        <v>9.0445013813070851E-5</v>
      </c>
      <c r="Q72" s="45">
        <f t="shared" ca="1" si="30"/>
        <v>2.3233067842829817E-6</v>
      </c>
      <c r="R72" s="45">
        <f t="shared" ca="1" si="30"/>
        <v>3.5782083032729175E-3</v>
      </c>
      <c r="S72" s="45">
        <v>0</v>
      </c>
      <c r="T72" s="22">
        <f t="shared" ca="1" si="23"/>
        <v>3.174575759787019E-2</v>
      </c>
      <c r="V72" s="45">
        <f t="shared" ca="1" si="31"/>
        <v>1.7554941547391952E-2</v>
      </c>
      <c r="W72" s="45">
        <f t="shared" ca="1" si="31"/>
        <v>0</v>
      </c>
      <c r="X72" s="45">
        <f t="shared" ca="1" si="31"/>
        <v>2.0800525488161208E-4</v>
      </c>
      <c r="Y72" s="45">
        <f t="shared" ca="1" si="31"/>
        <v>2.2184335488332688E-5</v>
      </c>
      <c r="Z72" s="45">
        <f t="shared" ca="1" si="31"/>
        <v>8.753507382252365E-6</v>
      </c>
      <c r="AA72" s="45">
        <f t="shared" ca="1" si="31"/>
        <v>9.3358576242705301E-7</v>
      </c>
      <c r="AB72" s="45">
        <f t="shared" ca="1" si="31"/>
        <v>3.515693591470957E-5</v>
      </c>
      <c r="AC72" s="45">
        <f t="shared" ca="1" si="31"/>
        <v>3.7495844108247895E-6</v>
      </c>
      <c r="AD72" s="45">
        <f t="shared" ca="1" si="31"/>
        <v>1.320177478246788E-2</v>
      </c>
      <c r="AE72" s="45">
        <f t="shared" ca="1" si="31"/>
        <v>8.4168603482578577E-5</v>
      </c>
      <c r="AF72" s="45">
        <f t="shared" ca="1" si="31"/>
        <v>2.1569824393058896E-6</v>
      </c>
      <c r="AG72" s="45">
        <f t="shared" ca="1" si="31"/>
        <v>2.3291538221431461E-3</v>
      </c>
      <c r="AH72" s="45">
        <v>0</v>
      </c>
      <c r="AI72" s="22">
        <f t="shared" ca="1" si="24"/>
        <v>3.3450978941765019E-2</v>
      </c>
    </row>
    <row r="73" spans="4:35" ht="12" customHeight="1" x14ac:dyDescent="0.25">
      <c r="D73" s="341">
        <f t="shared" si="25"/>
        <v>62</v>
      </c>
      <c r="E73" s="43">
        <f t="shared" si="22"/>
        <v>85.5</v>
      </c>
      <c r="F73" s="44">
        <f>INDEX(rngU.Anticoag_NoEvent, MATCH(E73, Parameters!$D$427:$D$433, 1))</f>
        <v>0.62941959955229454</v>
      </c>
      <c r="G73" s="45">
        <f t="shared" ca="1" si="30"/>
        <v>8.7030799845428664E-3</v>
      </c>
      <c r="H73" s="45">
        <f t="shared" ca="1" si="30"/>
        <v>0</v>
      </c>
      <c r="I73" s="45">
        <f t="shared" ca="1" si="30"/>
        <v>1.7521693997948209E-4</v>
      </c>
      <c r="J73" s="45">
        <f t="shared" ca="1" si="30"/>
        <v>1.8994272298374046E-5</v>
      </c>
      <c r="K73" s="45">
        <f t="shared" ca="1" si="30"/>
        <v>7.3736732203184946E-6</v>
      </c>
      <c r="L73" s="45">
        <f t="shared" ca="1" si="30"/>
        <v>7.9933799210486668E-7</v>
      </c>
      <c r="M73" s="45">
        <f t="shared" ca="1" si="30"/>
        <v>2.9615072626584519E-5</v>
      </c>
      <c r="N73" s="45">
        <f t="shared" ca="1" si="30"/>
        <v>3.2104016522109144E-6</v>
      </c>
      <c r="O73" s="45">
        <f t="shared" ca="1" si="30"/>
        <v>1.7209619570811956E-2</v>
      </c>
      <c r="P73" s="45">
        <f t="shared" ca="1" si="30"/>
        <v>8.4058651983215572E-5</v>
      </c>
      <c r="Q73" s="45">
        <f t="shared" ca="1" si="30"/>
        <v>2.1995171151068073E-6</v>
      </c>
      <c r="R73" s="45">
        <f t="shared" ca="1" si="30"/>
        <v>3.3164130525749668E-3</v>
      </c>
      <c r="S73" s="45">
        <v>0</v>
      </c>
      <c r="T73" s="22">
        <f t="shared" ca="1" si="23"/>
        <v>2.9550580474797181E-2</v>
      </c>
      <c r="V73" s="45">
        <f t="shared" ca="1" si="31"/>
        <v>1.6199842409320341E-2</v>
      </c>
      <c r="W73" s="45">
        <f t="shared" ca="1" si="31"/>
        <v>0</v>
      </c>
      <c r="X73" s="45">
        <f t="shared" ca="1" si="31"/>
        <v>1.9369501988512905E-4</v>
      </c>
      <c r="Y73" s="45">
        <f t="shared" ca="1" si="31"/>
        <v>2.0997375887102808E-5</v>
      </c>
      <c r="Z73" s="45">
        <f t="shared" ca="1" si="31"/>
        <v>8.151288232766087E-6</v>
      </c>
      <c r="AA73" s="45">
        <f t="shared" ca="1" si="31"/>
        <v>8.8363481461222628E-7</v>
      </c>
      <c r="AB73" s="45">
        <f t="shared" ca="1" si="31"/>
        <v>3.2738227719177998E-5</v>
      </c>
      <c r="AC73" s="45">
        <f t="shared" ca="1" si="31"/>
        <v>3.5489651396552262E-6</v>
      </c>
      <c r="AD73" s="45">
        <f t="shared" ca="1" si="31"/>
        <v>1.244556628369513E-2</v>
      </c>
      <c r="AE73" s="45">
        <f t="shared" ca="1" si="31"/>
        <v>7.8447760496488161E-5</v>
      </c>
      <c r="AF73" s="45">
        <f t="shared" ca="1" si="31"/>
        <v>2.0468821454015353E-6</v>
      </c>
      <c r="AG73" s="45">
        <f t="shared" ca="1" si="31"/>
        <v>2.1772084969940257E-3</v>
      </c>
      <c r="AH73" s="45">
        <v>0</v>
      </c>
      <c r="AI73" s="22">
        <f t="shared" ca="1" si="24"/>
        <v>3.1163126344329828E-2</v>
      </c>
    </row>
    <row r="74" spans="4:35" ht="12" customHeight="1" x14ac:dyDescent="0.25">
      <c r="D74" s="341">
        <f t="shared" si="25"/>
        <v>63</v>
      </c>
      <c r="E74" s="43">
        <f t="shared" si="22"/>
        <v>85.75</v>
      </c>
      <c r="F74" s="44">
        <f>INDEX(rngU.Anticoag_NoEvent, MATCH(E74, Parameters!$D$427:$D$433, 1))</f>
        <v>0.62941959955229454</v>
      </c>
      <c r="G74" s="45">
        <f t="shared" ca="1" si="30"/>
        <v>8.031272781210172E-3</v>
      </c>
      <c r="H74" s="45">
        <f t="shared" ca="1" si="30"/>
        <v>0</v>
      </c>
      <c r="I74" s="45">
        <f t="shared" ca="1" si="30"/>
        <v>1.6318909996185216E-4</v>
      </c>
      <c r="J74" s="45">
        <f t="shared" ca="1" si="30"/>
        <v>1.7687514445878324E-5</v>
      </c>
      <c r="K74" s="45">
        <f t="shared" ca="1" si="30"/>
        <v>6.8675043427735568E-6</v>
      </c>
      <c r="L74" s="45">
        <f t="shared" ca="1" si="30"/>
        <v>7.4434556167252966E-7</v>
      </c>
      <c r="M74" s="45">
        <f t="shared" ca="1" si="30"/>
        <v>2.7582133598515874E-5</v>
      </c>
      <c r="N74" s="45">
        <f t="shared" ca="1" si="30"/>
        <v>2.9895341452703623E-6</v>
      </c>
      <c r="O74" s="45">
        <f t="shared" ca="1" si="30"/>
        <v>1.6102994026447631E-2</v>
      </c>
      <c r="P74" s="45">
        <f t="shared" ca="1" si="30"/>
        <v>7.8144513102754759E-5</v>
      </c>
      <c r="Q74" s="45">
        <f t="shared" ca="1" si="30"/>
        <v>2.0442082533373428E-6</v>
      </c>
      <c r="R74" s="45">
        <f t="shared" ca="1" si="30"/>
        <v>3.0739700444698316E-3</v>
      </c>
      <c r="S74" s="45">
        <v>0</v>
      </c>
      <c r="T74" s="22">
        <f t="shared" ca="1" si="23"/>
        <v>2.7507485705539691E-2</v>
      </c>
      <c r="V74" s="45">
        <f t="shared" ca="1" si="31"/>
        <v>1.4949345936489458E-2</v>
      </c>
      <c r="W74" s="45">
        <f t="shared" ca="1" si="31"/>
        <v>0</v>
      </c>
      <c r="X74" s="45">
        <f t="shared" ca="1" si="31"/>
        <v>1.8039874435570366E-4</v>
      </c>
      <c r="Y74" s="45">
        <f t="shared" ca="1" si="31"/>
        <v>1.9552809578309564E-5</v>
      </c>
      <c r="Z74" s="45">
        <f t="shared" ca="1" si="31"/>
        <v>7.5917396479501397E-6</v>
      </c>
      <c r="AA74" s="45">
        <f t="shared" ca="1" si="31"/>
        <v>8.2284297617828034E-7</v>
      </c>
      <c r="AB74" s="45">
        <f t="shared" ca="1" si="31"/>
        <v>3.0490898405510489E-5</v>
      </c>
      <c r="AC74" s="45">
        <f t="shared" ca="1" si="31"/>
        <v>3.3048053218097676E-6</v>
      </c>
      <c r="AD74" s="45">
        <f t="shared" ca="1" si="31"/>
        <v>1.1730079521857737E-2</v>
      </c>
      <c r="AE74" s="45">
        <f t="shared" ca="1" si="31"/>
        <v>7.3133353605542599E-5</v>
      </c>
      <c r="AF74" s="45">
        <f t="shared" ca="1" si="31"/>
        <v>1.9077579247258552E-6</v>
      </c>
      <c r="AG74" s="45">
        <f t="shared" ca="1" si="31"/>
        <v>2.0350345462363567E-3</v>
      </c>
      <c r="AH74" s="45">
        <v>0</v>
      </c>
      <c r="AI74" s="22">
        <f t="shared" ca="1" si="24"/>
        <v>2.9031662956399282E-2</v>
      </c>
    </row>
    <row r="75" spans="4:35" ht="12" customHeight="1" x14ac:dyDescent="0.25">
      <c r="D75" s="341">
        <f t="shared" si="25"/>
        <v>64</v>
      </c>
      <c r="E75" s="43">
        <f t="shared" ref="E75:E106" si="32">C.cohortAge+D75*C.cycleLength</f>
        <v>86</v>
      </c>
      <c r="F75" s="44">
        <f>INDEX(rngU.Anticoag_NoEvent, MATCH(E75, Parameters!$D$427:$D$433, 1))</f>
        <v>0.62941959955229454</v>
      </c>
      <c r="G75" s="45">
        <f t="shared" ca="1" si="30"/>
        <v>7.4113236464292158E-3</v>
      </c>
      <c r="H75" s="45">
        <f t="shared" ca="1" si="30"/>
        <v>0</v>
      </c>
      <c r="I75" s="45">
        <f t="shared" ca="1" si="30"/>
        <v>1.5198915381886582E-4</v>
      </c>
      <c r="J75" s="45">
        <f t="shared" ca="1" si="30"/>
        <v>1.6473347630218519E-5</v>
      </c>
      <c r="K75" s="45">
        <f t="shared" ca="1" si="30"/>
        <v>6.3961758116782272E-6</v>
      </c>
      <c r="L75" s="45">
        <f t="shared" ca="1" si="30"/>
        <v>6.9324964974370328E-7</v>
      </c>
      <c r="M75" s="45">
        <f t="shared" ca="1" si="30"/>
        <v>2.5689124746305483E-5</v>
      </c>
      <c r="N75" s="45">
        <f t="shared" ca="1" si="30"/>
        <v>2.7843163254022343E-6</v>
      </c>
      <c r="O75" s="45">
        <f t="shared" ca="1" si="30"/>
        <v>1.5066560559107975E-2</v>
      </c>
      <c r="P75" s="45">
        <f t="shared" ca="1" si="30"/>
        <v>7.264931270899592E-5</v>
      </c>
      <c r="Q75" s="45">
        <f t="shared" ca="1" si="30"/>
        <v>1.9003833022396818E-6</v>
      </c>
      <c r="R75" s="45">
        <f t="shared" ca="1" si="30"/>
        <v>2.8494188243196289E-3</v>
      </c>
      <c r="S75" s="45">
        <v>0</v>
      </c>
      <c r="T75" s="22">
        <f t="shared" ref="T75:T106" ca="1" si="33">SUM(G75:S75)</f>
        <v>2.560587809385027E-2</v>
      </c>
      <c r="V75" s="45">
        <f t="shared" ca="1" si="31"/>
        <v>1.3795377651344082E-2</v>
      </c>
      <c r="W75" s="45">
        <f t="shared" ca="1" si="31"/>
        <v>0</v>
      </c>
      <c r="X75" s="45">
        <f t="shared" ca="1" si="31"/>
        <v>1.6801767097814012E-4</v>
      </c>
      <c r="Y75" s="45">
        <f t="shared" ca="1" si="31"/>
        <v>1.8210598799313939E-5</v>
      </c>
      <c r="Z75" s="45">
        <f t="shared" ca="1" si="31"/>
        <v>7.0707056131494571E-6</v>
      </c>
      <c r="AA75" s="45">
        <f t="shared" ca="1" si="31"/>
        <v>7.6635857644922568E-7</v>
      </c>
      <c r="AB75" s="45">
        <f t="shared" ca="1" si="31"/>
        <v>2.8398256065594304E-5</v>
      </c>
      <c r="AC75" s="45">
        <f t="shared" ca="1" si="31"/>
        <v>3.0779455803669901E-6</v>
      </c>
      <c r="AD75" s="45">
        <f t="shared" ca="1" si="31"/>
        <v>1.1052985918279894E-2</v>
      </c>
      <c r="AE75" s="45">
        <f t="shared" ca="1" si="31"/>
        <v>6.8178628419056237E-5</v>
      </c>
      <c r="AF75" s="45">
        <f t="shared" ca="1" si="31"/>
        <v>1.778517755251891E-6</v>
      </c>
      <c r="AG75" s="45">
        <f t="shared" ca="1" si="31"/>
        <v>1.9020043539645657E-3</v>
      </c>
      <c r="AH75" s="45">
        <v>0</v>
      </c>
      <c r="AI75" s="22">
        <f t="shared" ref="AI75:AI106" ca="1" si="34">SUM(V75:AH75)</f>
        <v>2.7045866605375862E-2</v>
      </c>
    </row>
    <row r="76" spans="4:35" ht="12" customHeight="1" x14ac:dyDescent="0.25">
      <c r="D76" s="341">
        <f t="shared" ref="D76:D107" si="35">D75+1</f>
        <v>65</v>
      </c>
      <c r="E76" s="43">
        <f t="shared" si="32"/>
        <v>86.25</v>
      </c>
      <c r="F76" s="44">
        <f>INDEX(rngU.Anticoag_NoEvent, MATCH(E76, Parameters!$D$427:$D$433, 1))</f>
        <v>0.62941959955229454</v>
      </c>
      <c r="G76" s="45">
        <f t="shared" ca="1" si="30"/>
        <v>6.8392295578141487E-3</v>
      </c>
      <c r="H76" s="45">
        <f t="shared" ca="1" si="30"/>
        <v>0</v>
      </c>
      <c r="I76" s="45">
        <f t="shared" ca="1" si="30"/>
        <v>1.4155783671679738E-4</v>
      </c>
      <c r="J76" s="45">
        <f t="shared" ca="1" si="30"/>
        <v>1.5342753697803495E-5</v>
      </c>
      <c r="K76" s="45">
        <f t="shared" ca="1" si="30"/>
        <v>5.9571935786979049E-6</v>
      </c>
      <c r="L76" s="45">
        <f t="shared" ca="1" si="30"/>
        <v>6.4567074439654057E-7</v>
      </c>
      <c r="M76" s="45">
        <f t="shared" ca="1" si="30"/>
        <v>2.3926029159743682E-5</v>
      </c>
      <c r="N76" s="45">
        <f t="shared" ca="1" si="30"/>
        <v>2.5932239491538669E-6</v>
      </c>
      <c r="O76" s="45">
        <f t="shared" ca="1" si="30"/>
        <v>1.4095952617252425E-2</v>
      </c>
      <c r="P76" s="45">
        <f t="shared" ca="1" si="30"/>
        <v>6.7542392442741835E-5</v>
      </c>
      <c r="Q76" s="45">
        <f t="shared" ca="1" si="30"/>
        <v>1.7667464459062323E-6</v>
      </c>
      <c r="R76" s="45">
        <f t="shared" ca="1" si="30"/>
        <v>2.6414265780900811E-3</v>
      </c>
      <c r="S76" s="45">
        <v>0</v>
      </c>
      <c r="T76" s="22">
        <f t="shared" ca="1" si="33"/>
        <v>2.3835940599891896E-2</v>
      </c>
      <c r="V76" s="45">
        <f t="shared" ca="1" si="31"/>
        <v>1.2730486360521983E-2</v>
      </c>
      <c r="W76" s="45">
        <f t="shared" ca="1" si="31"/>
        <v>0</v>
      </c>
      <c r="X76" s="45">
        <f t="shared" ca="1" si="31"/>
        <v>1.5648628495034037E-4</v>
      </c>
      <c r="Y76" s="45">
        <f t="shared" ca="1" si="31"/>
        <v>1.6960774357414782E-5</v>
      </c>
      <c r="Z76" s="45">
        <f t="shared" ca="1" si="31"/>
        <v>6.5854290619421445E-6</v>
      </c>
      <c r="AA76" s="45">
        <f t="shared" ca="1" si="31"/>
        <v>7.1376208082265834E-7</v>
      </c>
      <c r="AB76" s="45">
        <f t="shared" ca="1" si="31"/>
        <v>2.6449227422938741E-5</v>
      </c>
      <c r="AC76" s="45">
        <f t="shared" ca="1" si="31"/>
        <v>2.8667009277571548E-6</v>
      </c>
      <c r="AD76" s="45">
        <f t="shared" ca="1" si="31"/>
        <v>1.0412484451393601E-2</v>
      </c>
      <c r="AE76" s="45">
        <f t="shared" ca="1" si="31"/>
        <v>6.3558476754757462E-5</v>
      </c>
      <c r="AF76" s="45">
        <f t="shared" ca="1" si="31"/>
        <v>1.6580246247975004E-6</v>
      </c>
      <c r="AG76" s="45">
        <f t="shared" ca="1" si="31"/>
        <v>1.7775432640017028E-3</v>
      </c>
      <c r="AH76" s="45">
        <v>0</v>
      </c>
      <c r="AI76" s="22">
        <f t="shared" ca="1" si="34"/>
        <v>2.5195792756098061E-2</v>
      </c>
    </row>
    <row r="77" spans="4:35" ht="12" customHeight="1" x14ac:dyDescent="0.25">
      <c r="D77" s="341">
        <f t="shared" si="35"/>
        <v>66</v>
      </c>
      <c r="E77" s="43">
        <f t="shared" si="32"/>
        <v>86.5</v>
      </c>
      <c r="F77" s="44">
        <f>INDEX(rngU.Anticoag_NoEvent, MATCH(E77, Parameters!$D$427:$D$433, 1))</f>
        <v>0.62941959955229454</v>
      </c>
      <c r="G77" s="45">
        <f t="shared" ca="1" si="30"/>
        <v>6.3112964938476252E-3</v>
      </c>
      <c r="H77" s="45">
        <f t="shared" ca="1" si="30"/>
        <v>0</v>
      </c>
      <c r="I77" s="45">
        <f t="shared" ca="1" si="30"/>
        <v>1.3184244001241205E-4</v>
      </c>
      <c r="J77" s="45">
        <f t="shared" ca="1" si="30"/>
        <v>1.4289750078667251E-5</v>
      </c>
      <c r="K77" s="45">
        <f t="shared" ca="1" si="30"/>
        <v>5.5483395003634377E-6</v>
      </c>
      <c r="L77" s="45">
        <f t="shared" ca="1" si="30"/>
        <v>6.0135708049947323E-7</v>
      </c>
      <c r="M77" s="45">
        <f t="shared" ca="1" si="30"/>
        <v>2.2283938052399012E-5</v>
      </c>
      <c r="N77" s="45">
        <f t="shared" ca="1" si="30"/>
        <v>2.4152458457785431E-6</v>
      </c>
      <c r="O77" s="45">
        <f t="shared" ca="1" si="30"/>
        <v>1.3187062376394589E-2</v>
      </c>
      <c r="P77" s="45">
        <f t="shared" ca="1" si="30"/>
        <v>6.279618361208223E-5</v>
      </c>
      <c r="Q77" s="45">
        <f t="shared" ca="1" si="30"/>
        <v>1.6425521088438571E-6</v>
      </c>
      <c r="R77" s="45">
        <f t="shared" ca="1" si="30"/>
        <v>2.4487598431204281E-3</v>
      </c>
      <c r="S77" s="45">
        <v>0</v>
      </c>
      <c r="T77" s="22">
        <f t="shared" ca="1" si="33"/>
        <v>2.2188538519653689E-2</v>
      </c>
      <c r="V77" s="45">
        <f t="shared" ca="1" si="31"/>
        <v>1.1747796042368308E-2</v>
      </c>
      <c r="W77" s="45">
        <f t="shared" ca="1" si="31"/>
        <v>0</v>
      </c>
      <c r="X77" s="45">
        <f t="shared" ca="1" si="31"/>
        <v>1.4574631906537401E-4</v>
      </c>
      <c r="Y77" s="45">
        <f t="shared" ca="1" si="31"/>
        <v>1.5796722771012283E-5</v>
      </c>
      <c r="Z77" s="45">
        <f t="shared" ca="1" si="31"/>
        <v>6.1334579292286972E-6</v>
      </c>
      <c r="AA77" s="45">
        <f t="shared" ca="1" si="31"/>
        <v>6.6477517344526406E-7</v>
      </c>
      <c r="AB77" s="45">
        <f t="shared" ca="1" si="31"/>
        <v>2.4633964185676615E-5</v>
      </c>
      <c r="AC77" s="45">
        <f t="shared" ca="1" si="31"/>
        <v>2.6699535568897161E-6</v>
      </c>
      <c r="AD77" s="45">
        <f t="shared" ca="1" si="31"/>
        <v>9.8068265274654266E-3</v>
      </c>
      <c r="AE77" s="45">
        <f t="shared" ca="1" si="31"/>
        <v>5.9250421437900044E-5</v>
      </c>
      <c r="AF77" s="45">
        <f t="shared" ca="1" si="31"/>
        <v>1.545667931690934E-6</v>
      </c>
      <c r="AG77" s="45">
        <f t="shared" ca="1" si="31"/>
        <v>1.6611105746596069E-3</v>
      </c>
      <c r="AH77" s="45">
        <v>0</v>
      </c>
      <c r="AI77" s="22">
        <f t="shared" ca="1" si="34"/>
        <v>2.3472174426544559E-2</v>
      </c>
    </row>
    <row r="78" spans="4:35" ht="12" customHeight="1" x14ac:dyDescent="0.25">
      <c r="D78" s="341">
        <f t="shared" si="35"/>
        <v>67</v>
      </c>
      <c r="E78" s="43">
        <f t="shared" si="32"/>
        <v>86.75</v>
      </c>
      <c r="F78" s="44">
        <f>INDEX(rngU.Anticoag_NoEvent, MATCH(E78, Parameters!$D$427:$D$433, 1))</f>
        <v>0.62941959955229454</v>
      </c>
      <c r="G78" s="45">
        <f t="shared" ca="1" si="30"/>
        <v>5.8241155815193886E-3</v>
      </c>
      <c r="H78" s="45">
        <f t="shared" ca="1" si="30"/>
        <v>0</v>
      </c>
      <c r="I78" s="45">
        <f t="shared" ca="1" si="30"/>
        <v>1.2279383041395562E-4</v>
      </c>
      <c r="J78" s="45">
        <f t="shared" ca="1" si="30"/>
        <v>1.3309016026489549E-5</v>
      </c>
      <c r="K78" s="45">
        <f t="shared" ca="1" si="30"/>
        <v>5.1675458951043344E-6</v>
      </c>
      <c r="L78" s="45">
        <f t="shared" ca="1" si="30"/>
        <v>5.6008474451618323E-7</v>
      </c>
      <c r="M78" s="45">
        <f t="shared" ca="1" si="30"/>
        <v>2.0754546941817603E-5</v>
      </c>
      <c r="N78" s="45">
        <f t="shared" ca="1" si="30"/>
        <v>2.2494827056049485E-6</v>
      </c>
      <c r="O78" s="45">
        <f t="shared" ca="1" si="30"/>
        <v>1.233603203299254E-2</v>
      </c>
      <c r="P78" s="45">
        <f t="shared" ca="1" si="30"/>
        <v>5.838506717428054E-5</v>
      </c>
      <c r="Q78" s="45">
        <f t="shared" ca="1" si="30"/>
        <v>1.5271298526597559E-6</v>
      </c>
      <c r="R78" s="45">
        <f t="shared" ca="1" si="30"/>
        <v>2.2702780089187556E-3</v>
      </c>
      <c r="S78" s="45">
        <v>0</v>
      </c>
      <c r="T78" s="22">
        <f t="shared" ca="1" si="33"/>
        <v>2.0655172327185115E-2</v>
      </c>
      <c r="V78" s="45">
        <f t="shared" ca="1" si="31"/>
        <v>1.0840961448343732E-2</v>
      </c>
      <c r="W78" s="45">
        <f t="shared" ca="1" si="31"/>
        <v>0</v>
      </c>
      <c r="X78" s="45">
        <f t="shared" ca="1" si="31"/>
        <v>1.357434585182658E-4</v>
      </c>
      <c r="Y78" s="45">
        <f t="shared" ca="1" si="31"/>
        <v>1.4712562176946279E-5</v>
      </c>
      <c r="Z78" s="45">
        <f t="shared" ca="1" si="31"/>
        <v>5.7125064792637028E-6</v>
      </c>
      <c r="AA78" s="45">
        <f t="shared" ca="1" si="31"/>
        <v>6.1915032724075191E-7</v>
      </c>
      <c r="AB78" s="45">
        <f t="shared" ca="1" si="31"/>
        <v>2.2943286094785998E-5</v>
      </c>
      <c r="AC78" s="45">
        <f t="shared" ca="1" si="31"/>
        <v>2.4867093184279244E-6</v>
      </c>
      <c r="AD78" s="45">
        <f t="shared" ca="1" si="31"/>
        <v>9.2343243871563577E-3</v>
      </c>
      <c r="AE78" s="45">
        <f t="shared" ca="1" si="31"/>
        <v>5.5233465242178547E-5</v>
      </c>
      <c r="AF78" s="45">
        <f t="shared" ca="1" si="31"/>
        <v>1.4409010572909947E-6</v>
      </c>
      <c r="AG78" s="45">
        <f t="shared" ca="1" si="31"/>
        <v>1.5521986873210081E-3</v>
      </c>
      <c r="AH78" s="45">
        <v>0</v>
      </c>
      <c r="AI78" s="22">
        <f t="shared" ca="1" si="34"/>
        <v>2.1866376562035498E-2</v>
      </c>
    </row>
    <row r="79" spans="4:35" ht="12" customHeight="1" x14ac:dyDescent="0.25">
      <c r="D79" s="341">
        <f t="shared" si="35"/>
        <v>68</v>
      </c>
      <c r="E79" s="43">
        <f t="shared" si="32"/>
        <v>87</v>
      </c>
      <c r="F79" s="44">
        <f>INDEX(rngU.Anticoag_NoEvent, MATCH(E79, Parameters!$D$427:$D$433, 1))</f>
        <v>0.62941959955229454</v>
      </c>
      <c r="G79" s="45">
        <f t="shared" ca="1" si="30"/>
        <v>5.3745410851737205E-3</v>
      </c>
      <c r="H79" s="45">
        <f t="shared" ca="1" si="30"/>
        <v>0</v>
      </c>
      <c r="I79" s="45">
        <f t="shared" ca="1" si="30"/>
        <v>1.1436624493931459E-4</v>
      </c>
      <c r="J79" s="45">
        <f t="shared" ca="1" si="30"/>
        <v>1.2395591713711616E-5</v>
      </c>
      <c r="K79" s="45">
        <f t="shared" ca="1" si="30"/>
        <v>4.8128869144510788E-6</v>
      </c>
      <c r="L79" s="45">
        <f t="shared" ca="1" si="30"/>
        <v>5.216450114931822E-7</v>
      </c>
      <c r="M79" s="45">
        <f t="shared" ca="1" si="30"/>
        <v>1.9330120993461984E-5</v>
      </c>
      <c r="N79" s="45">
        <f t="shared" ca="1" si="30"/>
        <v>2.0950962212560363E-6</v>
      </c>
      <c r="O79" s="45">
        <f t="shared" ca="1" si="30"/>
        <v>1.1539239380936105E-2</v>
      </c>
      <c r="P79" s="45">
        <f t="shared" ca="1" si="30"/>
        <v>5.4285254791989352E-5</v>
      </c>
      <c r="Q79" s="45">
        <f t="shared" ca="1" si="30"/>
        <v>1.4198566521522489E-6</v>
      </c>
      <c r="R79" s="45">
        <f t="shared" ca="1" si="30"/>
        <v>2.1049262521365191E-3</v>
      </c>
      <c r="S79" s="45">
        <v>0</v>
      </c>
      <c r="T79" s="22">
        <f t="shared" ca="1" si="33"/>
        <v>1.9227933415484177E-2</v>
      </c>
      <c r="V79" s="45">
        <f t="shared" ca="1" si="31"/>
        <v>1.0004127131643847E-2</v>
      </c>
      <c r="W79" s="45">
        <f t="shared" ca="1" si="31"/>
        <v>0</v>
      </c>
      <c r="X79" s="45">
        <f t="shared" ca="1" si="31"/>
        <v>1.2642711424079255E-4</v>
      </c>
      <c r="Y79" s="45">
        <f t="shared" ca="1" si="31"/>
        <v>1.3702809692695608E-5</v>
      </c>
      <c r="Z79" s="45">
        <f t="shared" ca="1" si="31"/>
        <v>5.3204457668798658E-6</v>
      </c>
      <c r="AA79" s="45">
        <f t="shared" ca="1" si="31"/>
        <v>5.7665680547772429E-7</v>
      </c>
      <c r="AB79" s="45">
        <f t="shared" ca="1" si="31"/>
        <v>2.1368642613259937E-5</v>
      </c>
      <c r="AC79" s="45">
        <f t="shared" ca="1" si="31"/>
        <v>2.316041498527294E-6</v>
      </c>
      <c r="AD79" s="45">
        <f t="shared" ca="1" si="31"/>
        <v>8.6933517998994334E-3</v>
      </c>
      <c r="AE79" s="45">
        <f t="shared" ca="1" si="31"/>
        <v>5.1488015769826992E-5</v>
      </c>
      <c r="AF79" s="45">
        <f t="shared" ca="1" si="31"/>
        <v>1.3432133735742954E-6</v>
      </c>
      <c r="AG79" s="45">
        <f t="shared" ca="1" si="31"/>
        <v>1.4503311732619885E-3</v>
      </c>
      <c r="AH79" s="45">
        <v>0</v>
      </c>
      <c r="AI79" s="22">
        <f t="shared" ca="1" si="34"/>
        <v>2.0370353044566299E-2</v>
      </c>
    </row>
    <row r="80" spans="4:35" ht="12" customHeight="1" x14ac:dyDescent="0.25">
      <c r="D80" s="341">
        <f t="shared" si="35"/>
        <v>69</v>
      </c>
      <c r="E80" s="43">
        <f t="shared" si="32"/>
        <v>87.25</v>
      </c>
      <c r="F80" s="44">
        <f>INDEX(rngU.Anticoag_NoEvent, MATCH(E80, Parameters!$D$427:$D$433, 1))</f>
        <v>0.62941959955229454</v>
      </c>
      <c r="G80" s="45">
        <f t="shared" ca="1" si="30"/>
        <v>4.9596700944394131E-3</v>
      </c>
      <c r="H80" s="45">
        <f t="shared" ca="1" si="30"/>
        <v>0</v>
      </c>
      <c r="I80" s="45">
        <f t="shared" ca="1" si="30"/>
        <v>1.0651706146326382E-4</v>
      </c>
      <c r="J80" s="45">
        <f t="shared" ca="1" si="30"/>
        <v>1.1544857533306209E-5</v>
      </c>
      <c r="K80" s="45">
        <f t="shared" ca="1" si="30"/>
        <v>4.4825688869504312E-6</v>
      </c>
      <c r="L80" s="45">
        <f t="shared" ca="1" si="30"/>
        <v>4.8584347401398919E-7</v>
      </c>
      <c r="M80" s="45">
        <f t="shared" ca="1" si="30"/>
        <v>1.8003456238730789E-5</v>
      </c>
      <c r="N80" s="45">
        <f t="shared" ca="1" si="30"/>
        <v>1.9513055892453745E-6</v>
      </c>
      <c r="O80" s="45">
        <f t="shared" ca="1" si="30"/>
        <v>1.0793283886350456E-2</v>
      </c>
      <c r="P80" s="45">
        <f t="shared" ca="1" si="30"/>
        <v>5.0474657579471511E-5</v>
      </c>
      <c r="Q80" s="45">
        <f t="shared" ca="1" si="30"/>
        <v>1.3201540027368413E-6</v>
      </c>
      <c r="R80" s="45">
        <f t="shared" ca="1" si="30"/>
        <v>1.9517290137858411E-3</v>
      </c>
      <c r="S80" s="45">
        <v>0</v>
      </c>
      <c r="T80" s="22">
        <f t="shared" ca="1" si="33"/>
        <v>1.7899462899343428E-2</v>
      </c>
      <c r="V80" s="45">
        <f t="shared" ca="1" si="31"/>
        <v>9.2318896384769485E-3</v>
      </c>
      <c r="W80" s="45">
        <f t="shared" ca="1" si="31"/>
        <v>0</v>
      </c>
      <c r="X80" s="45">
        <f t="shared" ca="1" si="31"/>
        <v>1.1775016925103466E-4</v>
      </c>
      <c r="Y80" s="45">
        <f t="shared" ca="1" si="31"/>
        <v>1.276235853534815E-5</v>
      </c>
      <c r="Z80" s="45">
        <f t="shared" ca="1" si="31"/>
        <v>4.9552929630890526E-6</v>
      </c>
      <c r="AA80" s="45">
        <f t="shared" ca="1" si="31"/>
        <v>5.3707969886484473E-7</v>
      </c>
      <c r="AB80" s="45">
        <f t="shared" ca="1" si="31"/>
        <v>1.9902070054244524E-5</v>
      </c>
      <c r="AC80" s="45">
        <f t="shared" ca="1" si="31"/>
        <v>2.1570869514962718E-6</v>
      </c>
      <c r="AD80" s="45">
        <f t="shared" ca="1" si="31"/>
        <v>8.1823440247517296E-3</v>
      </c>
      <c r="AE80" s="45">
        <f t="shared" ca="1" si="31"/>
        <v>4.7995792662587169E-5</v>
      </c>
      <c r="AF80" s="45">
        <f t="shared" ca="1" si="31"/>
        <v>1.2521284163069834E-6</v>
      </c>
      <c r="AG80" s="45">
        <f t="shared" ca="1" si="31"/>
        <v>1.355060943513704E-3</v>
      </c>
      <c r="AH80" s="45">
        <v>0</v>
      </c>
      <c r="AI80" s="22">
        <f t="shared" ca="1" si="34"/>
        <v>1.8976606585275353E-2</v>
      </c>
    </row>
    <row r="81" spans="4:35" ht="12" customHeight="1" x14ac:dyDescent="0.25">
      <c r="D81" s="341">
        <f t="shared" si="35"/>
        <v>70</v>
      </c>
      <c r="E81" s="43">
        <f t="shared" si="32"/>
        <v>87.5</v>
      </c>
      <c r="F81" s="44">
        <f>INDEX(rngU.Anticoag_NoEvent, MATCH(E81, Parameters!$D$427:$D$433, 1))</f>
        <v>0.62941959955229454</v>
      </c>
      <c r="G81" s="45">
        <f t="shared" ref="G81:R90" ca="1" si="36">PRODUCT(AVERAGE(OFFSET(C.Trace.Markov.Root, $D81, (G$2-1)*C.Trace.Markov.NumCols+G$3-1, CHOOSE(swtchHalfCycle, 2, 1))), $F81+G$6, C.cycleLength)</f>
        <v>4.5768237800868092E-3</v>
      </c>
      <c r="H81" s="45">
        <f t="shared" ca="1" si="36"/>
        <v>0</v>
      </c>
      <c r="I81" s="45">
        <f t="shared" ca="1" si="36"/>
        <v>9.9206583103161891E-5</v>
      </c>
      <c r="J81" s="45">
        <f t="shared" ca="1" si="36"/>
        <v>1.0752510936354713E-5</v>
      </c>
      <c r="K81" s="45">
        <f t="shared" ca="1" si="36"/>
        <v>4.1749212444455809E-6</v>
      </c>
      <c r="L81" s="45">
        <f t="shared" ca="1" si="36"/>
        <v>4.5249906745240963E-7</v>
      </c>
      <c r="M81" s="45">
        <f t="shared" ca="1" si="36"/>
        <v>1.6767843131945307E-5</v>
      </c>
      <c r="N81" s="45">
        <f t="shared" ca="1" si="36"/>
        <v>1.8173835950769255E-6</v>
      </c>
      <c r="O81" s="45">
        <f t="shared" ca="1" si="36"/>
        <v>1.00949735521603E-2</v>
      </c>
      <c r="P81" s="45">
        <f t="shared" ca="1" si="36"/>
        <v>4.6932763798566499E-5</v>
      </c>
      <c r="Q81" s="45">
        <f t="shared" ca="1" si="36"/>
        <v>1.2274847285075968E-6</v>
      </c>
      <c r="R81" s="45">
        <f t="shared" ca="1" si="36"/>
        <v>1.809783978587636E-3</v>
      </c>
      <c r="S81" s="45">
        <v>0</v>
      </c>
      <c r="T81" s="22">
        <f t="shared" ca="1" si="33"/>
        <v>1.6662913300440257E-2</v>
      </c>
      <c r="V81" s="45">
        <f t="shared" ref="V81:AG90" ca="1" si="37">PRODUCT(AVERAGE(OFFSET(C.Trace.Markov.Root, $D81, (V$2-1)*C.Trace.Markov.NumCols+V$3-1, CHOOSE(swtchHalfCycle, 2, 1))), $F81+V$6, C.cycleLength)</f>
        <v>8.5192626178685581E-3</v>
      </c>
      <c r="W81" s="45">
        <f t="shared" ca="1" si="37"/>
        <v>0</v>
      </c>
      <c r="X81" s="45">
        <f t="shared" ca="1" si="37"/>
        <v>1.0966874030075415E-4</v>
      </c>
      <c r="Y81" s="45">
        <f t="shared" ca="1" si="37"/>
        <v>1.1886452416508236E-5</v>
      </c>
      <c r="Z81" s="45">
        <f t="shared" ca="1" si="37"/>
        <v>4.6152013244634274E-6</v>
      </c>
      <c r="AA81" s="45">
        <f t="shared" ca="1" si="37"/>
        <v>5.0021884800898974E-7</v>
      </c>
      <c r="AB81" s="45">
        <f t="shared" ca="1" si="37"/>
        <v>1.8536151294807415E-5</v>
      </c>
      <c r="AC81" s="45">
        <f t="shared" ca="1" si="37"/>
        <v>2.0090417720373026E-6</v>
      </c>
      <c r="AD81" s="45">
        <f t="shared" ca="1" si="37"/>
        <v>7.6997974590450559E-3</v>
      </c>
      <c r="AE81" s="45">
        <f t="shared" ca="1" si="37"/>
        <v>4.4739740288227867E-5</v>
      </c>
      <c r="AF81" s="45">
        <f t="shared" ca="1" si="37"/>
        <v>1.1672016285238473E-6</v>
      </c>
      <c r="AG81" s="45">
        <f t="shared" ca="1" si="37"/>
        <v>1.2659685190637821E-3</v>
      </c>
      <c r="AH81" s="45">
        <v>0</v>
      </c>
      <c r="AI81" s="22">
        <f t="shared" ca="1" si="34"/>
        <v>1.7678151343850729E-2</v>
      </c>
    </row>
    <row r="82" spans="4:35" ht="12" customHeight="1" x14ac:dyDescent="0.25">
      <c r="D82" s="341">
        <f t="shared" si="35"/>
        <v>71</v>
      </c>
      <c r="E82" s="43">
        <f t="shared" si="32"/>
        <v>87.75</v>
      </c>
      <c r="F82" s="44">
        <f>INDEX(rngU.Anticoag_NoEvent, MATCH(E82, Parameters!$D$427:$D$433, 1))</f>
        <v>0.62941959955229454</v>
      </c>
      <c r="G82" s="45">
        <f t="shared" ca="1" si="36"/>
        <v>4.2235300967807142E-3</v>
      </c>
      <c r="H82" s="45">
        <f t="shared" ca="1" si="36"/>
        <v>0</v>
      </c>
      <c r="I82" s="45">
        <f t="shared" ca="1" si="36"/>
        <v>9.2397837452537265E-5</v>
      </c>
      <c r="J82" s="45">
        <f t="shared" ca="1" si="36"/>
        <v>1.0014544666565242E-5</v>
      </c>
      <c r="K82" s="45">
        <f t="shared" ca="1" si="36"/>
        <v>3.8883880732016939E-6</v>
      </c>
      <c r="L82" s="45">
        <f t="shared" ca="1" si="36"/>
        <v>4.2144315401343421E-7</v>
      </c>
      <c r="M82" s="45">
        <f t="shared" ca="1" si="36"/>
        <v>1.5617032616918609E-5</v>
      </c>
      <c r="N82" s="45">
        <f t="shared" ca="1" si="36"/>
        <v>1.6926529344550473E-6</v>
      </c>
      <c r="O82" s="45">
        <f t="shared" ca="1" si="36"/>
        <v>9.4413125239135916E-3</v>
      </c>
      <c r="P82" s="45">
        <f t="shared" ca="1" si="36"/>
        <v>4.3640525448187072E-5</v>
      </c>
      <c r="Q82" s="45">
        <f t="shared" ca="1" si="36"/>
        <v>1.1413500079458637E-6</v>
      </c>
      <c r="R82" s="45">
        <f t="shared" ca="1" si="36"/>
        <v>1.6782565165899227E-3</v>
      </c>
      <c r="S82" s="45">
        <v>0</v>
      </c>
      <c r="T82" s="22">
        <f t="shared" ca="1" si="33"/>
        <v>1.5511912911638054E-2</v>
      </c>
      <c r="V82" s="45">
        <f t="shared" ca="1" si="37"/>
        <v>7.8616446247061454E-3</v>
      </c>
      <c r="W82" s="45">
        <f t="shared" ca="1" si="37"/>
        <v>0</v>
      </c>
      <c r="X82" s="45">
        <f t="shared" ca="1" si="37"/>
        <v>1.0214195593649714E-4</v>
      </c>
      <c r="Y82" s="45">
        <f t="shared" ca="1" si="37"/>
        <v>1.1070661481464144E-5</v>
      </c>
      <c r="Z82" s="45">
        <f t="shared" ca="1" si="37"/>
        <v>4.2984508532570871E-6</v>
      </c>
      <c r="AA82" s="45">
        <f t="shared" ca="1" si="37"/>
        <v>4.6588783086066156E-7</v>
      </c>
      <c r="AB82" s="45">
        <f t="shared" ca="1" si="37"/>
        <v>1.7263978263945135E-5</v>
      </c>
      <c r="AC82" s="45">
        <f t="shared" ca="1" si="37"/>
        <v>1.8711572284979101E-6</v>
      </c>
      <c r="AD82" s="45">
        <f t="shared" ca="1" si="37"/>
        <v>7.2442690127109003E-3</v>
      </c>
      <c r="AE82" s="45">
        <f t="shared" ca="1" si="37"/>
        <v>4.1703946211104447E-5</v>
      </c>
      <c r="AF82" s="45">
        <f t="shared" ca="1" si="37"/>
        <v>1.0880182371664299E-6</v>
      </c>
      <c r="AG82" s="45">
        <f t="shared" ca="1" si="37"/>
        <v>1.1826603957813221E-3</v>
      </c>
      <c r="AH82" s="45">
        <v>0</v>
      </c>
      <c r="AI82" s="22">
        <f t="shared" ca="1" si="34"/>
        <v>1.6468478089241161E-2</v>
      </c>
    </row>
    <row r="83" spans="4:35" ht="12" customHeight="1" x14ac:dyDescent="0.25">
      <c r="D83" s="341">
        <f t="shared" si="35"/>
        <v>72</v>
      </c>
      <c r="E83" s="43">
        <f t="shared" si="32"/>
        <v>88</v>
      </c>
      <c r="F83" s="44">
        <f>INDEX(rngU.Anticoag_NoEvent, MATCH(E83, Parameters!$D$427:$D$433, 1))</f>
        <v>0.62941959955229454</v>
      </c>
      <c r="G83" s="45">
        <f t="shared" ca="1" si="36"/>
        <v>3.8975078210405061E-3</v>
      </c>
      <c r="H83" s="45">
        <f t="shared" ca="1" si="36"/>
        <v>0</v>
      </c>
      <c r="I83" s="45">
        <f t="shared" ca="1" si="36"/>
        <v>8.6056389594909818E-5</v>
      </c>
      <c r="J83" s="45">
        <f t="shared" ca="1" si="36"/>
        <v>9.3272264936315254E-6</v>
      </c>
      <c r="K83" s="45">
        <f t="shared" ca="1" si="36"/>
        <v>3.6215202449465654E-6</v>
      </c>
      <c r="L83" s="45">
        <f t="shared" ca="1" si="36"/>
        <v>3.925186698500134E-7</v>
      </c>
      <c r="M83" s="45">
        <f t="shared" ca="1" si="36"/>
        <v>1.4545204522652566E-5</v>
      </c>
      <c r="N83" s="45">
        <f t="shared" ca="1" si="36"/>
        <v>1.5764827878277466E-6</v>
      </c>
      <c r="O83" s="45">
        <f t="shared" ca="1" si="36"/>
        <v>8.8294893981709904E-3</v>
      </c>
      <c r="P83" s="45">
        <f t="shared" ca="1" si="36"/>
        <v>4.0580253074431692E-5</v>
      </c>
      <c r="Q83" s="45">
        <f t="shared" ca="1" si="36"/>
        <v>1.0612866159092752E-6</v>
      </c>
      <c r="R83" s="45">
        <f t="shared" ca="1" si="36"/>
        <v>1.5563745511891539E-3</v>
      </c>
      <c r="S83" s="45">
        <v>0</v>
      </c>
      <c r="T83" s="22">
        <f t="shared" ca="1" si="33"/>
        <v>1.444053265240481E-2</v>
      </c>
      <c r="V83" s="45">
        <f t="shared" ca="1" si="37"/>
        <v>7.2547894081276916E-3</v>
      </c>
      <c r="W83" s="45">
        <f t="shared" ca="1" si="37"/>
        <v>0</v>
      </c>
      <c r="X83" s="45">
        <f t="shared" ca="1" si="37"/>
        <v>9.5131749794171569E-5</v>
      </c>
      <c r="Y83" s="45">
        <f t="shared" ca="1" si="37"/>
        <v>1.0310859905261547E-5</v>
      </c>
      <c r="Z83" s="45">
        <f t="shared" ca="1" si="37"/>
        <v>4.0034395985996819E-6</v>
      </c>
      <c r="AA83" s="45">
        <f t="shared" ca="1" si="37"/>
        <v>4.3391301988715091E-7</v>
      </c>
      <c r="AB83" s="45">
        <f t="shared" ca="1" si="37"/>
        <v>1.6079117005344161E-5</v>
      </c>
      <c r="AC83" s="45">
        <f t="shared" ca="1" si="37"/>
        <v>1.7427359761711188E-6</v>
      </c>
      <c r="AD83" s="45">
        <f t="shared" ca="1" si="37"/>
        <v>6.8143752499346087E-3</v>
      </c>
      <c r="AE83" s="45">
        <f t="shared" ca="1" si="37"/>
        <v>3.8873565045081503E-5</v>
      </c>
      <c r="AF83" s="45">
        <f t="shared" ca="1" si="37"/>
        <v>1.0141912703822436E-6</v>
      </c>
      <c r="AG83" s="45">
        <f t="shared" ca="1" si="37"/>
        <v>1.1047674995986209E-3</v>
      </c>
      <c r="AH83" s="45">
        <v>0</v>
      </c>
      <c r="AI83" s="22">
        <f t="shared" ca="1" si="34"/>
        <v>1.5341521729275821E-2</v>
      </c>
    </row>
    <row r="84" spans="4:35" ht="12" customHeight="1" x14ac:dyDescent="0.25">
      <c r="D84" s="341">
        <f t="shared" si="35"/>
        <v>73</v>
      </c>
      <c r="E84" s="43">
        <f t="shared" si="32"/>
        <v>88.25</v>
      </c>
      <c r="F84" s="44">
        <f>INDEX(rngU.Anticoag_NoEvent, MATCH(E84, Parameters!$D$427:$D$433, 1))</f>
        <v>0.62941959955229454</v>
      </c>
      <c r="G84" s="45">
        <f t="shared" ca="1" si="36"/>
        <v>3.5966518213402963E-3</v>
      </c>
      <c r="H84" s="45">
        <f t="shared" ca="1" si="36"/>
        <v>0</v>
      </c>
      <c r="I84" s="45">
        <f t="shared" ca="1" si="36"/>
        <v>8.0150167950792661E-5</v>
      </c>
      <c r="J84" s="45">
        <f t="shared" ca="1" si="36"/>
        <v>8.687080337656517E-6</v>
      </c>
      <c r="K84" s="45">
        <f t="shared" ca="1" si="36"/>
        <v>3.3729680879713788E-6</v>
      </c>
      <c r="L84" s="45">
        <f t="shared" ca="1" si="36"/>
        <v>3.6557933072015813E-7</v>
      </c>
      <c r="M84" s="45">
        <f t="shared" ca="1" si="36"/>
        <v>1.3546938128092103E-5</v>
      </c>
      <c r="N84" s="45">
        <f t="shared" ca="1" si="36"/>
        <v>1.4682856300469474E-6</v>
      </c>
      <c r="O84" s="45">
        <f t="shared" ca="1" si="36"/>
        <v>8.2568661966804079E-3</v>
      </c>
      <c r="P84" s="45">
        <f t="shared" ca="1" si="36"/>
        <v>3.773551819987772E-5</v>
      </c>
      <c r="Q84" s="45">
        <f t="shared" ca="1" si="36"/>
        <v>9.8686436553652193E-7</v>
      </c>
      <c r="R84" s="45">
        <f t="shared" ca="1" si="36"/>
        <v>1.4434238204939171E-3</v>
      </c>
      <c r="S84" s="45">
        <v>0</v>
      </c>
      <c r="T84" s="22">
        <f t="shared" ca="1" si="33"/>
        <v>1.3443255240545316E-2</v>
      </c>
      <c r="V84" s="45">
        <f t="shared" ca="1" si="37"/>
        <v>6.6947784934057678E-3</v>
      </c>
      <c r="W84" s="45">
        <f t="shared" ca="1" si="37"/>
        <v>0</v>
      </c>
      <c r="X84" s="45">
        <f t="shared" ca="1" si="37"/>
        <v>8.8602668080170547E-5</v>
      </c>
      <c r="Y84" s="45">
        <f t="shared" ca="1" si="37"/>
        <v>9.603205026540983E-6</v>
      </c>
      <c r="Z84" s="45">
        <f t="shared" ca="1" si="37"/>
        <v>3.7286755547039373E-6</v>
      </c>
      <c r="AA84" s="45">
        <f t="shared" ca="1" si="37"/>
        <v>4.0413270395958951E-7</v>
      </c>
      <c r="AB84" s="45">
        <f t="shared" ca="1" si="37"/>
        <v>1.4975575137944311E-5</v>
      </c>
      <c r="AC84" s="45">
        <f t="shared" ca="1" si="37"/>
        <v>1.6231285305079283E-6</v>
      </c>
      <c r="AD84" s="45">
        <f t="shared" ca="1" si="37"/>
        <v>6.4087913353911121E-3</v>
      </c>
      <c r="AE84" s="45">
        <f t="shared" ca="1" si="37"/>
        <v>3.6234747337096747E-5</v>
      </c>
      <c r="AF84" s="45">
        <f t="shared" ca="1" si="37"/>
        <v>9.4535970571677678E-7</v>
      </c>
      <c r="AG84" s="45">
        <f t="shared" ca="1" si="37"/>
        <v>1.0319437276118965E-3</v>
      </c>
      <c r="AH84" s="45">
        <v>0</v>
      </c>
      <c r="AI84" s="22">
        <f t="shared" ca="1" si="34"/>
        <v>1.4291631048485418E-2</v>
      </c>
    </row>
    <row r="85" spans="4:35" ht="12" customHeight="1" x14ac:dyDescent="0.25">
      <c r="D85" s="341">
        <f t="shared" si="35"/>
        <v>74</v>
      </c>
      <c r="E85" s="43">
        <f t="shared" si="32"/>
        <v>88.5</v>
      </c>
      <c r="F85" s="44">
        <f>INDEX(rngU.Anticoag_NoEvent, MATCH(E85, Parameters!$D$427:$D$433, 1))</f>
        <v>0.62941959955229454</v>
      </c>
      <c r="G85" s="45">
        <f t="shared" ca="1" si="36"/>
        <v>3.3190194652379197E-3</v>
      </c>
      <c r="H85" s="45">
        <f t="shared" ca="1" si="36"/>
        <v>0</v>
      </c>
      <c r="I85" s="45">
        <f t="shared" ca="1" si="36"/>
        <v>7.464930207716093E-5</v>
      </c>
      <c r="J85" s="45">
        <f t="shared" ca="1" si="36"/>
        <v>8.0908686890390102E-6</v>
      </c>
      <c r="K85" s="45">
        <f t="shared" ca="1" si="36"/>
        <v>3.1414745612284057E-6</v>
      </c>
      <c r="L85" s="45">
        <f t="shared" ca="1" si="36"/>
        <v>3.4048889216114876E-7</v>
      </c>
      <c r="M85" s="45">
        <f t="shared" ca="1" si="36"/>
        <v>1.2617184747078943E-5</v>
      </c>
      <c r="N85" s="45">
        <f t="shared" ca="1" si="36"/>
        <v>1.3675142589872159E-6</v>
      </c>
      <c r="O85" s="45">
        <f t="shared" ca="1" si="36"/>
        <v>7.7209679711894861E-3</v>
      </c>
      <c r="P85" s="45">
        <f t="shared" ca="1" si="36"/>
        <v>3.5091062815368243E-5</v>
      </c>
      <c r="Q85" s="45">
        <f t="shared" ca="1" si="36"/>
        <v>9.1768373544170491E-7</v>
      </c>
      <c r="R85" s="45">
        <f t="shared" ca="1" si="36"/>
        <v>1.3387435015595375E-3</v>
      </c>
      <c r="S85" s="45">
        <v>0</v>
      </c>
      <c r="T85" s="22">
        <f t="shared" ca="1" si="33"/>
        <v>1.2514946517763409E-2</v>
      </c>
      <c r="V85" s="45">
        <f t="shared" ca="1" si="37"/>
        <v>6.1779958802877918E-3</v>
      </c>
      <c r="W85" s="45">
        <f t="shared" ca="1" si="37"/>
        <v>0</v>
      </c>
      <c r="X85" s="45">
        <f t="shared" ca="1" si="37"/>
        <v>8.2521690265449581E-5</v>
      </c>
      <c r="Y85" s="45">
        <f t="shared" ca="1" si="37"/>
        <v>8.9441179134557051E-6</v>
      </c>
      <c r="Z85" s="45">
        <f t="shared" ca="1" si="37"/>
        <v>3.4727691151153366E-6</v>
      </c>
      <c r="AA85" s="45">
        <f t="shared" ca="1" si="37"/>
        <v>3.7639627050639127E-7</v>
      </c>
      <c r="AB85" s="45">
        <f t="shared" ca="1" si="37"/>
        <v>1.3947771549748448E-5</v>
      </c>
      <c r="AC85" s="45">
        <f t="shared" ca="1" si="37"/>
        <v>1.511729982379237E-6</v>
      </c>
      <c r="AD85" s="45">
        <f t="shared" ca="1" si="37"/>
        <v>6.0262498181063596E-3</v>
      </c>
      <c r="AE85" s="45">
        <f t="shared" ca="1" si="37"/>
        <v>3.3774573152646307E-5</v>
      </c>
      <c r="AF85" s="45">
        <f t="shared" ca="1" si="37"/>
        <v>8.8118674064481399E-7</v>
      </c>
      <c r="AG85" s="45">
        <f t="shared" ca="1" si="37"/>
        <v>9.6386457090334471E-4</v>
      </c>
      <c r="AH85" s="45">
        <v>0</v>
      </c>
      <c r="AI85" s="22">
        <f t="shared" ca="1" si="34"/>
        <v>1.3313540504287442E-2</v>
      </c>
    </row>
    <row r="86" spans="4:35" ht="12" customHeight="1" x14ac:dyDescent="0.25">
      <c r="D86" s="341">
        <f t="shared" si="35"/>
        <v>75</v>
      </c>
      <c r="E86" s="43">
        <f t="shared" si="32"/>
        <v>88.75</v>
      </c>
      <c r="F86" s="44">
        <f>INDEX(rngU.Anticoag_NoEvent, MATCH(E86, Parameters!$D$427:$D$433, 1))</f>
        <v>0.62941959955229454</v>
      </c>
      <c r="G86" s="45">
        <f t="shared" ca="1" si="36"/>
        <v>3.0628180757633428E-3</v>
      </c>
      <c r="H86" s="45">
        <f t="shared" ca="1" si="36"/>
        <v>0</v>
      </c>
      <c r="I86" s="45">
        <f t="shared" ca="1" si="36"/>
        <v>6.9525971599066551E-5</v>
      </c>
      <c r="J86" s="45">
        <f t="shared" ca="1" si="36"/>
        <v>7.5355762349184576E-6</v>
      </c>
      <c r="K86" s="45">
        <f t="shared" ca="1" si="36"/>
        <v>2.9258688969039981E-6</v>
      </c>
      <c r="L86" s="45">
        <f t="shared" ca="1" si="36"/>
        <v>3.171204604394607E-7</v>
      </c>
      <c r="M86" s="45">
        <f t="shared" ca="1" si="36"/>
        <v>1.1751242194854671E-5</v>
      </c>
      <c r="N86" s="45">
        <f t="shared" ca="1" si="36"/>
        <v>1.2736590280962975E-6</v>
      </c>
      <c r="O86" s="45">
        <f t="shared" ca="1" si="36"/>
        <v>7.2194730053469942E-3</v>
      </c>
      <c r="P86" s="45">
        <f t="shared" ca="1" si="36"/>
        <v>3.2632715418645754E-5</v>
      </c>
      <c r="Q86" s="45">
        <f t="shared" ca="1" si="36"/>
        <v>8.5337366866028594E-7</v>
      </c>
      <c r="R86" s="45">
        <f t="shared" ca="1" si="36"/>
        <v>1.2417221694071803E-3</v>
      </c>
      <c r="S86" s="45">
        <v>0</v>
      </c>
      <c r="T86" s="22">
        <f t="shared" ca="1" si="33"/>
        <v>1.1650828778019102E-2</v>
      </c>
      <c r="V86" s="45">
        <f t="shared" ca="1" si="37"/>
        <v>5.7011046944192923E-3</v>
      </c>
      <c r="W86" s="45">
        <f t="shared" ca="1" si="37"/>
        <v>0</v>
      </c>
      <c r="X86" s="45">
        <f t="shared" ca="1" si="37"/>
        <v>7.6858062085726847E-5</v>
      </c>
      <c r="Y86" s="45">
        <f t="shared" ca="1" si="37"/>
        <v>8.3302652633892349E-6</v>
      </c>
      <c r="Z86" s="45">
        <f t="shared" ca="1" si="37"/>
        <v>3.2344260448416915E-6</v>
      </c>
      <c r="AA86" s="45">
        <f t="shared" ca="1" si="37"/>
        <v>3.5056344379713183E-7</v>
      </c>
      <c r="AB86" s="45">
        <f t="shared" ca="1" si="37"/>
        <v>1.299050817160647E-5</v>
      </c>
      <c r="AC86" s="45">
        <f t="shared" ca="1" si="37"/>
        <v>1.4079769387758692E-6</v>
      </c>
      <c r="AD86" s="45">
        <f t="shared" ca="1" si="37"/>
        <v>5.6655392822051766E-3</v>
      </c>
      <c r="AE86" s="45">
        <f t="shared" ca="1" si="37"/>
        <v>3.1480990055612482E-5</v>
      </c>
      <c r="AF86" s="45">
        <f t="shared" ca="1" si="37"/>
        <v>8.2135817744699781E-7</v>
      </c>
      <c r="AG86" s="45">
        <f t="shared" ca="1" si="37"/>
        <v>9.0022581503138802E-4</v>
      </c>
      <c r="AH86" s="45">
        <v>0</v>
      </c>
      <c r="AI86" s="22">
        <f t="shared" ca="1" si="34"/>
        <v>1.2402343941837056E-2</v>
      </c>
    </row>
    <row r="87" spans="4:35" ht="12" customHeight="1" x14ac:dyDescent="0.25">
      <c r="D87" s="341">
        <f t="shared" si="35"/>
        <v>76</v>
      </c>
      <c r="E87" s="43">
        <f t="shared" si="32"/>
        <v>89</v>
      </c>
      <c r="F87" s="44">
        <f>INDEX(rngU.Anticoag_NoEvent, MATCH(E87, Parameters!$D$427:$D$433, 1))</f>
        <v>0.62941959955229454</v>
      </c>
      <c r="G87" s="45">
        <f t="shared" ca="1" si="36"/>
        <v>2.8263933560721708E-3</v>
      </c>
      <c r="H87" s="45">
        <f t="shared" ca="1" si="36"/>
        <v>0</v>
      </c>
      <c r="I87" s="45">
        <f t="shared" ca="1" si="36"/>
        <v>6.4754265509377542E-5</v>
      </c>
      <c r="J87" s="45">
        <f t="shared" ca="1" si="36"/>
        <v>7.0183946093694968E-6</v>
      </c>
      <c r="K87" s="45">
        <f t="shared" ca="1" si="36"/>
        <v>2.725060679314473E-6</v>
      </c>
      <c r="L87" s="45">
        <f t="shared" ca="1" si="36"/>
        <v>2.9535585079157087E-7</v>
      </c>
      <c r="M87" s="45">
        <f t="shared" ca="1" si="36"/>
        <v>1.0944731006978639E-5</v>
      </c>
      <c r="N87" s="45">
        <f t="shared" ca="1" si="36"/>
        <v>1.1862452688812292E-6</v>
      </c>
      <c r="O87" s="45">
        <f t="shared" ca="1" si="36"/>
        <v>6.7502035816952221E-3</v>
      </c>
      <c r="P87" s="45">
        <f t="shared" ca="1" si="36"/>
        <v>3.0347313122189899E-5</v>
      </c>
      <c r="Q87" s="45">
        <f t="shared" ca="1" si="36"/>
        <v>7.9358953080670808E-7</v>
      </c>
      <c r="R87" s="45">
        <f t="shared" ca="1" si="36"/>
        <v>1.1517940649375857E-3</v>
      </c>
      <c r="S87" s="45">
        <v>0</v>
      </c>
      <c r="T87" s="22">
        <f t="shared" ca="1" si="33"/>
        <v>1.0846455958282689E-2</v>
      </c>
      <c r="V87" s="45">
        <f t="shared" ca="1" si="37"/>
        <v>5.2610256410879335E-3</v>
      </c>
      <c r="W87" s="45">
        <f t="shared" ca="1" si="37"/>
        <v>0</v>
      </c>
      <c r="X87" s="45">
        <f t="shared" ca="1" si="37"/>
        <v>7.1583140003212835E-5</v>
      </c>
      <c r="Y87" s="45">
        <f t="shared" ca="1" si="37"/>
        <v>7.75854254493142E-6</v>
      </c>
      <c r="Z87" s="45">
        <f t="shared" ca="1" si="37"/>
        <v>3.0124409348194817E-6</v>
      </c>
      <c r="AA87" s="45">
        <f t="shared" ca="1" si="37"/>
        <v>3.2650357550452418E-7</v>
      </c>
      <c r="AB87" s="45">
        <f t="shared" ca="1" si="37"/>
        <v>1.2098943688220788E-5</v>
      </c>
      <c r="AC87" s="45">
        <f t="shared" ca="1" si="37"/>
        <v>1.3113446734744708E-6</v>
      </c>
      <c r="AD87" s="45">
        <f t="shared" ca="1" si="37"/>
        <v>5.3255028903995702E-3</v>
      </c>
      <c r="AE87" s="45">
        <f t="shared" ca="1" si="37"/>
        <v>2.9342755194686359E-5</v>
      </c>
      <c r="AF87" s="45">
        <f t="shared" ca="1" si="37"/>
        <v>7.655809149516658E-7</v>
      </c>
      <c r="AG87" s="45">
        <f t="shared" ca="1" si="37"/>
        <v>8.4074231428266934E-4</v>
      </c>
      <c r="AH87" s="45">
        <v>0</v>
      </c>
      <c r="AI87" s="22">
        <f t="shared" ca="1" si="34"/>
        <v>1.1553470097299975E-2</v>
      </c>
    </row>
    <row r="88" spans="4:35" ht="12" customHeight="1" x14ac:dyDescent="0.25">
      <c r="D88" s="341">
        <f t="shared" si="35"/>
        <v>77</v>
      </c>
      <c r="E88" s="43">
        <f t="shared" si="32"/>
        <v>89.25</v>
      </c>
      <c r="F88" s="44">
        <f>INDEX(rngU.Anticoag_NoEvent, MATCH(E88, Parameters!$D$427:$D$433, 1))</f>
        <v>0.62941959955229454</v>
      </c>
      <c r="G88" s="45">
        <f t="shared" ca="1" si="36"/>
        <v>2.6082187076220463E-3</v>
      </c>
      <c r="H88" s="45">
        <f t="shared" ca="1" si="36"/>
        <v>0</v>
      </c>
      <c r="I88" s="45">
        <f t="shared" ca="1" si="36"/>
        <v>6.0310051125056964E-5</v>
      </c>
      <c r="J88" s="45">
        <f t="shared" ca="1" si="36"/>
        <v>6.5367081902210797E-6</v>
      </c>
      <c r="K88" s="45">
        <f t="shared" ca="1" si="36"/>
        <v>2.538034330179188E-6</v>
      </c>
      <c r="L88" s="45">
        <f t="shared" ca="1" si="36"/>
        <v>2.7508498970997851E-7</v>
      </c>
      <c r="M88" s="45">
        <f t="shared" ca="1" si="36"/>
        <v>1.019357229038892E-5</v>
      </c>
      <c r="N88" s="45">
        <f t="shared" ca="1" si="36"/>
        <v>1.104830890294374E-6</v>
      </c>
      <c r="O88" s="45">
        <f t="shared" ca="1" si="36"/>
        <v>6.3111172832583384E-3</v>
      </c>
      <c r="P88" s="45">
        <f t="shared" ca="1" si="36"/>
        <v>2.8222629387791588E-5</v>
      </c>
      <c r="Q88" s="45">
        <f t="shared" ca="1" si="36"/>
        <v>7.380112158279711E-7</v>
      </c>
      <c r="R88" s="45">
        <f t="shared" ca="1" si="36"/>
        <v>1.0684356478726231E-3</v>
      </c>
      <c r="S88" s="45">
        <v>0</v>
      </c>
      <c r="T88" s="22">
        <f t="shared" ca="1" si="33"/>
        <v>1.0097690561172479E-2</v>
      </c>
      <c r="V88" s="45">
        <f t="shared" ca="1" si="37"/>
        <v>4.8549171221638097E-3</v>
      </c>
      <c r="W88" s="45">
        <f t="shared" ca="1" si="37"/>
        <v>0</v>
      </c>
      <c r="X88" s="45">
        <f t="shared" ca="1" si="37"/>
        <v>6.6670246343241647E-5</v>
      </c>
      <c r="Y88" s="45">
        <f t="shared" ca="1" si="37"/>
        <v>7.2260582968542951E-6</v>
      </c>
      <c r="Z88" s="45">
        <f t="shared" ca="1" si="37"/>
        <v>2.8056911056132175E-6</v>
      </c>
      <c r="AA88" s="45">
        <f t="shared" ca="1" si="37"/>
        <v>3.040949839565408E-7</v>
      </c>
      <c r="AB88" s="45">
        <f t="shared" ca="1" si="37"/>
        <v>1.1268569053417948E-5</v>
      </c>
      <c r="AC88" s="45">
        <f t="shared" ca="1" si="37"/>
        <v>1.2213444732588814E-6</v>
      </c>
      <c r="AD88" s="45">
        <f t="shared" ca="1" si="37"/>
        <v>5.0050368430066133E-3</v>
      </c>
      <c r="AE88" s="45">
        <f t="shared" ca="1" si="37"/>
        <v>2.7349381227216267E-5</v>
      </c>
      <c r="AF88" s="45">
        <f t="shared" ca="1" si="37"/>
        <v>7.1358154014428041E-7</v>
      </c>
      <c r="AG88" s="45">
        <f t="shared" ca="1" si="37"/>
        <v>7.8514683592710533E-4</v>
      </c>
      <c r="AH88" s="45">
        <v>0</v>
      </c>
      <c r="AI88" s="22">
        <f t="shared" ca="1" si="34"/>
        <v>1.0762659768121232E-2</v>
      </c>
    </row>
    <row r="89" spans="4:35" ht="12" customHeight="1" x14ac:dyDescent="0.25">
      <c r="D89" s="341">
        <f t="shared" si="35"/>
        <v>78</v>
      </c>
      <c r="E89" s="43">
        <f t="shared" si="32"/>
        <v>89.5</v>
      </c>
      <c r="F89" s="44">
        <f>INDEX(rngU.Anticoag_NoEvent, MATCH(E89, Parameters!$D$427:$D$433, 1))</f>
        <v>0.62941959955229454</v>
      </c>
      <c r="G89" s="45">
        <f t="shared" ca="1" si="36"/>
        <v>2.4068853728992099E-3</v>
      </c>
      <c r="H89" s="45">
        <f t="shared" ca="1" si="36"/>
        <v>0</v>
      </c>
      <c r="I89" s="45">
        <f t="shared" ca="1" si="36"/>
        <v>5.61708520372336E-5</v>
      </c>
      <c r="J89" s="45">
        <f t="shared" ca="1" si="36"/>
        <v>6.0880808706682138E-6</v>
      </c>
      <c r="K89" s="45">
        <f t="shared" ca="1" si="36"/>
        <v>2.363843972380314E-6</v>
      </c>
      <c r="L89" s="45">
        <f t="shared" ca="1" si="36"/>
        <v>2.56205358251527E-7</v>
      </c>
      <c r="M89" s="45">
        <f t="shared" ca="1" si="36"/>
        <v>9.4939670945891541E-6</v>
      </c>
      <c r="N89" s="45">
        <f t="shared" ca="1" si="36"/>
        <v>1.0290041428783772E-6</v>
      </c>
      <c r="O89" s="45">
        <f t="shared" ca="1" si="36"/>
        <v>5.9002988006847763E-3</v>
      </c>
      <c r="P89" s="45">
        <f t="shared" ca="1" si="36"/>
        <v>2.6247306977954247E-5</v>
      </c>
      <c r="Q89" s="45">
        <f t="shared" ca="1" si="36"/>
        <v>6.8634138859286535E-7</v>
      </c>
      <c r="R89" s="45">
        <f t="shared" ca="1" si="36"/>
        <v>9.9116241272126523E-4</v>
      </c>
      <c r="S89" s="45">
        <v>0</v>
      </c>
      <c r="T89" s="22">
        <f t="shared" ca="1" si="33"/>
        <v>9.4006821881477982E-3</v>
      </c>
      <c r="V89" s="45">
        <f t="shared" ca="1" si="37"/>
        <v>4.4801568878507156E-3</v>
      </c>
      <c r="W89" s="45">
        <f t="shared" ca="1" si="37"/>
        <v>0</v>
      </c>
      <c r="X89" s="45">
        <f t="shared" ca="1" si="37"/>
        <v>6.2094534373164213E-5</v>
      </c>
      <c r="Y89" s="45">
        <f t="shared" ca="1" si="37"/>
        <v>6.7301195046805475E-6</v>
      </c>
      <c r="Z89" s="45">
        <f t="shared" ca="1" si="37"/>
        <v>2.6131309295160793E-6</v>
      </c>
      <c r="AA89" s="45">
        <f t="shared" ca="1" si="37"/>
        <v>2.8322433873698106E-7</v>
      </c>
      <c r="AB89" s="45">
        <f t="shared" ca="1" si="37"/>
        <v>1.0495184685855979E-5</v>
      </c>
      <c r="AC89" s="45">
        <f t="shared" ca="1" si="37"/>
        <v>1.1375211662756292E-6</v>
      </c>
      <c r="AD89" s="45">
        <f t="shared" ca="1" si="37"/>
        <v>4.7030887725300688E-3</v>
      </c>
      <c r="AE89" s="45">
        <f t="shared" ca="1" si="37"/>
        <v>2.549108582871547E-5</v>
      </c>
      <c r="AF89" s="45">
        <f t="shared" ca="1" si="37"/>
        <v>6.6510501309857173E-7</v>
      </c>
      <c r="AG89" s="45">
        <f t="shared" ca="1" si="37"/>
        <v>7.3318897086509629E-4</v>
      </c>
      <c r="AH89" s="45">
        <v>0</v>
      </c>
      <c r="AI89" s="22">
        <f t="shared" ca="1" si="34"/>
        <v>1.0025944537085923E-2</v>
      </c>
    </row>
    <row r="90" spans="4:35" ht="12" customHeight="1" x14ac:dyDescent="0.25">
      <c r="D90" s="341">
        <f t="shared" si="35"/>
        <v>79</v>
      </c>
      <c r="E90" s="43">
        <f t="shared" si="32"/>
        <v>89.75</v>
      </c>
      <c r="F90" s="44">
        <f>INDEX(rngU.Anticoag_NoEvent, MATCH(E90, Parameters!$D$427:$D$433, 1))</f>
        <v>0.62941959955229454</v>
      </c>
      <c r="G90" s="45">
        <f t="shared" ca="1" si="36"/>
        <v>2.2210933390466423E-3</v>
      </c>
      <c r="H90" s="45">
        <f t="shared" ca="1" si="36"/>
        <v>0</v>
      </c>
      <c r="I90" s="45">
        <f t="shared" ca="1" si="36"/>
        <v>5.2315734437802786E-5</v>
      </c>
      <c r="J90" s="45">
        <f t="shared" ca="1" si="36"/>
        <v>5.6702437387743723E-6</v>
      </c>
      <c r="K90" s="45">
        <f t="shared" ca="1" si="36"/>
        <v>2.2016086462330239E-6</v>
      </c>
      <c r="L90" s="45">
        <f t="shared" ca="1" si="36"/>
        <v>2.3862147355258698E-7</v>
      </c>
      <c r="M90" s="45">
        <f t="shared" ca="1" si="36"/>
        <v>8.8423771986319661E-6</v>
      </c>
      <c r="N90" s="45">
        <f t="shared" ca="1" si="36"/>
        <v>9.5838153636231257E-7</v>
      </c>
      <c r="O90" s="45">
        <f t="shared" ca="1" si="36"/>
        <v>5.5159522173045426E-3</v>
      </c>
      <c r="P90" s="45">
        <f t="shared" ca="1" si="36"/>
        <v>2.4410795744351934E-5</v>
      </c>
      <c r="Q90" s="45">
        <f t="shared" ca="1" si="36"/>
        <v>6.3830385434834801E-7</v>
      </c>
      <c r="R90" s="45">
        <f t="shared" ca="1" si="36"/>
        <v>9.195259474830365E-4</v>
      </c>
      <c r="S90" s="45">
        <v>0</v>
      </c>
      <c r="T90" s="22">
        <f t="shared" ca="1" si="33"/>
        <v>8.7518475704642801E-3</v>
      </c>
      <c r="V90" s="45">
        <f t="shared" ca="1" si="37"/>
        <v>4.134325104773429E-3</v>
      </c>
      <c r="W90" s="45">
        <f t="shared" ca="1" si="37"/>
        <v>0</v>
      </c>
      <c r="X90" s="45">
        <f t="shared" ca="1" si="37"/>
        <v>5.7832862641146169E-5</v>
      </c>
      <c r="Y90" s="45">
        <f t="shared" ca="1" si="37"/>
        <v>6.2682179808872416E-6</v>
      </c>
      <c r="Z90" s="45">
        <f t="shared" ca="1" si="37"/>
        <v>2.4337865423361094E-6</v>
      </c>
      <c r="AA90" s="45">
        <f t="shared" ca="1" si="37"/>
        <v>2.6378608752212795E-7</v>
      </c>
      <c r="AB90" s="45">
        <f t="shared" ca="1" si="37"/>
        <v>9.7748792298358268E-6</v>
      </c>
      <c r="AC90" s="45">
        <f t="shared" ca="1" si="37"/>
        <v>1.0594508200233168E-6</v>
      </c>
      <c r="AD90" s="45">
        <f t="shared" ca="1" si="37"/>
        <v>4.418656091365946E-3</v>
      </c>
      <c r="AE90" s="45">
        <f t="shared" ca="1" si="37"/>
        <v>2.3758744552561252E-5</v>
      </c>
      <c r="AF90" s="45">
        <f t="shared" ca="1" si="37"/>
        <v>6.1991343910672788E-7</v>
      </c>
      <c r="AG90" s="45">
        <f t="shared" ca="1" si="37"/>
        <v>6.84634107202937E-4</v>
      </c>
      <c r="AH90" s="45">
        <v>0</v>
      </c>
      <c r="AI90" s="22">
        <f t="shared" ca="1" si="34"/>
        <v>9.3396269446357292E-3</v>
      </c>
    </row>
    <row r="91" spans="4:35" ht="12" customHeight="1" x14ac:dyDescent="0.25">
      <c r="D91" s="341">
        <f t="shared" si="35"/>
        <v>80</v>
      </c>
      <c r="E91" s="43">
        <f t="shared" si="32"/>
        <v>90</v>
      </c>
      <c r="F91" s="44">
        <f>INDEX(rngU.Anticoag_NoEvent, MATCH(E91, Parameters!$D$427:$D$433, 1))</f>
        <v>0.62941959955229454</v>
      </c>
      <c r="G91" s="45">
        <f t="shared" ref="G91:R100" ca="1" si="38">PRODUCT(AVERAGE(OFFSET(C.Trace.Markov.Root, $D91, (G$2-1)*C.Trace.Markov.NumCols+G$3-1, CHOOSE(swtchHalfCycle, 2, 1))), $F91+G$6, C.cycleLength)</f>
        <v>1.9848482524000514E-3</v>
      </c>
      <c r="H91" s="45">
        <f t="shared" ca="1" si="38"/>
        <v>0</v>
      </c>
      <c r="I91" s="45">
        <f t="shared" ca="1" si="38"/>
        <v>4.8725201247659378E-5</v>
      </c>
      <c r="J91" s="45">
        <f t="shared" ca="1" si="38"/>
        <v>5.2810836025542269E-6</v>
      </c>
      <c r="K91" s="45">
        <f t="shared" ca="1" si="38"/>
        <v>2.0505078540725996E-6</v>
      </c>
      <c r="L91" s="45">
        <f t="shared" ca="1" si="38"/>
        <v>2.2224440592888571E-7</v>
      </c>
      <c r="M91" s="45">
        <f t="shared" ca="1" si="38"/>
        <v>8.2355072167300409E-6</v>
      </c>
      <c r="N91" s="45">
        <f t="shared" ca="1" si="38"/>
        <v>8.9260590017735996E-7</v>
      </c>
      <c r="O91" s="45">
        <f t="shared" ca="1" si="38"/>
        <v>4.9894576140084605E-3</v>
      </c>
      <c r="P91" s="45">
        <f t="shared" ca="1" si="38"/>
        <v>2.7607263360580484E-5</v>
      </c>
      <c r="Q91" s="45">
        <f t="shared" ca="1" si="38"/>
        <v>6.3876195327281478E-7</v>
      </c>
      <c r="R91" s="45">
        <f t="shared" ca="1" si="38"/>
        <v>8.1436283467964464E-4</v>
      </c>
      <c r="S91" s="45">
        <v>0</v>
      </c>
      <c r="T91" s="22">
        <f t="shared" ca="1" si="33"/>
        <v>7.8823218766291333E-3</v>
      </c>
      <c r="V91" s="45">
        <f t="shared" ref="V91:AG100" ca="1" si="39">PRODUCT(AVERAGE(OFFSET(C.Trace.Markov.Root, $D91, (V$2-1)*C.Trace.Markov.NumCols+V$3-1, CHOOSE(swtchHalfCycle, 2, 1))), $F91+V$6, C.cycleLength)</f>
        <v>3.6945804189325322E-3</v>
      </c>
      <c r="W91" s="45">
        <f t="shared" ca="1" si="39"/>
        <v>0</v>
      </c>
      <c r="X91" s="45">
        <f t="shared" ca="1" si="39"/>
        <v>5.3863677939344598E-5</v>
      </c>
      <c r="Y91" s="45">
        <f t="shared" ca="1" si="39"/>
        <v>5.8380176798633385E-6</v>
      </c>
      <c r="Z91" s="45">
        <f t="shared" ca="1" si="39"/>
        <v>2.2667509181230668E-6</v>
      </c>
      <c r="AA91" s="45">
        <f t="shared" ca="1" si="39"/>
        <v>2.4568192225474934E-7</v>
      </c>
      <c r="AB91" s="45">
        <f t="shared" ca="1" si="39"/>
        <v>9.1040097738006615E-6</v>
      </c>
      <c r="AC91" s="45">
        <f t="shared" ca="1" si="39"/>
        <v>9.8673859733358545E-7</v>
      </c>
      <c r="AD91" s="45">
        <f t="shared" ca="1" si="39"/>
        <v>4.0152238593362116E-3</v>
      </c>
      <c r="AE91" s="45">
        <f t="shared" ca="1" si="39"/>
        <v>2.6934227222123837E-5</v>
      </c>
      <c r="AF91" s="45">
        <f t="shared" ca="1" si="39"/>
        <v>6.2174832892245942E-7</v>
      </c>
      <c r="AG91" s="45">
        <f t="shared" ca="1" si="39"/>
        <v>6.0934001459392068E-4</v>
      </c>
      <c r="AH91" s="45">
        <v>0</v>
      </c>
      <c r="AI91" s="22">
        <f t="shared" ca="1" si="34"/>
        <v>8.4190051452444313E-3</v>
      </c>
    </row>
    <row r="92" spans="4:35" ht="12" customHeight="1" x14ac:dyDescent="0.25">
      <c r="D92" s="341">
        <f t="shared" si="35"/>
        <v>81</v>
      </c>
      <c r="E92" s="43">
        <f t="shared" si="32"/>
        <v>90.25</v>
      </c>
      <c r="F92" s="44">
        <f>INDEX(rngU.Anticoag_NoEvent, MATCH(E92, Parameters!$D$427:$D$433, 1))</f>
        <v>0.62941959955229454</v>
      </c>
      <c r="G92" s="45">
        <f t="shared" ca="1" si="38"/>
        <v>1.7109848562721136E-3</v>
      </c>
      <c r="H92" s="45">
        <f t="shared" ca="1" si="38"/>
        <v>0</v>
      </c>
      <c r="I92" s="45">
        <f t="shared" ca="1" si="38"/>
        <v>4.3921734004077457E-5</v>
      </c>
      <c r="J92" s="45">
        <f t="shared" ca="1" si="38"/>
        <v>4.9186323026028421E-6</v>
      </c>
      <c r="K92" s="45">
        <f t="shared" ca="1" si="38"/>
        <v>1.8483630284477212E-6</v>
      </c>
      <c r="L92" s="45">
        <f t="shared" ca="1" si="38"/>
        <v>2.0699132911773883E-7</v>
      </c>
      <c r="M92" s="45">
        <f t="shared" ca="1" si="38"/>
        <v>7.4236277757652765E-6</v>
      </c>
      <c r="N92" s="45">
        <f t="shared" ca="1" si="38"/>
        <v>8.3134457708315895E-7</v>
      </c>
      <c r="O92" s="45">
        <f t="shared" ca="1" si="38"/>
        <v>4.3531723656842162E-3</v>
      </c>
      <c r="P92" s="45">
        <f t="shared" ca="1" si="38"/>
        <v>2.9451678005075463E-5</v>
      </c>
      <c r="Q92" s="45">
        <f t="shared" ca="1" si="38"/>
        <v>7.7727104220186324E-7</v>
      </c>
      <c r="R92" s="45">
        <f t="shared" ca="1" si="38"/>
        <v>6.8640386931704774E-4</v>
      </c>
      <c r="S92" s="45">
        <v>0</v>
      </c>
      <c r="T92" s="22">
        <f t="shared" ca="1" si="33"/>
        <v>6.8399407333377491E-3</v>
      </c>
      <c r="V92" s="45">
        <f t="shared" ca="1" si="39"/>
        <v>3.1848133173049014E-3</v>
      </c>
      <c r="W92" s="45">
        <f t="shared" ca="1" si="39"/>
        <v>0</v>
      </c>
      <c r="X92" s="45">
        <f t="shared" ca="1" si="39"/>
        <v>4.8553645225771826E-5</v>
      </c>
      <c r="Y92" s="45">
        <f t="shared" ca="1" si="39"/>
        <v>5.4373428834669653E-6</v>
      </c>
      <c r="Z92" s="45">
        <f t="shared" ca="1" si="39"/>
        <v>2.0432882436597889E-6</v>
      </c>
      <c r="AA92" s="45">
        <f t="shared" ca="1" si="39"/>
        <v>2.2882028195564088E-7</v>
      </c>
      <c r="AB92" s="45">
        <f t="shared" ca="1" si="39"/>
        <v>8.2065109105034697E-6</v>
      </c>
      <c r="AC92" s="45">
        <f t="shared" ca="1" si="39"/>
        <v>9.1901675950038262E-7</v>
      </c>
      <c r="AD92" s="45">
        <f t="shared" ca="1" si="39"/>
        <v>3.5188595914385419E-3</v>
      </c>
      <c r="AE92" s="45">
        <f t="shared" ca="1" si="39"/>
        <v>2.8811606678364954E-5</v>
      </c>
      <c r="AF92" s="45">
        <f t="shared" ca="1" si="39"/>
        <v>7.5832198905070312E-7</v>
      </c>
      <c r="AG92" s="45">
        <f t="shared" ca="1" si="39"/>
        <v>5.1588194777818118E-4</v>
      </c>
      <c r="AH92" s="45">
        <v>0</v>
      </c>
      <c r="AI92" s="22">
        <f t="shared" ca="1" si="34"/>
        <v>7.3145134094938988E-3</v>
      </c>
    </row>
    <row r="93" spans="4:35" ht="12" customHeight="1" x14ac:dyDescent="0.25">
      <c r="D93" s="341">
        <f t="shared" si="35"/>
        <v>82</v>
      </c>
      <c r="E93" s="43">
        <f t="shared" si="32"/>
        <v>90.5</v>
      </c>
      <c r="F93" s="44">
        <f>INDEX(rngU.Anticoag_NoEvent, MATCH(E93, Parameters!$D$427:$D$433, 1))</f>
        <v>0.62941959955229454</v>
      </c>
      <c r="G93" s="45">
        <f t="shared" ca="1" si="38"/>
        <v>1.4749083084072804E-3</v>
      </c>
      <c r="H93" s="45">
        <f t="shared" ca="1" si="38"/>
        <v>0</v>
      </c>
      <c r="I93" s="45">
        <f t="shared" ca="1" si="38"/>
        <v>3.8189936828628057E-5</v>
      </c>
      <c r="J93" s="45">
        <f t="shared" ca="1" si="38"/>
        <v>4.4337397101907855E-6</v>
      </c>
      <c r="K93" s="45">
        <f t="shared" ca="1" si="38"/>
        <v>1.6071511950379061E-6</v>
      </c>
      <c r="L93" s="45">
        <f t="shared" ca="1" si="38"/>
        <v>1.8658554230387099E-7</v>
      </c>
      <c r="M93" s="45">
        <f t="shared" ca="1" si="38"/>
        <v>6.4548425107580062E-6</v>
      </c>
      <c r="N93" s="45">
        <f t="shared" ca="1" si="38"/>
        <v>7.4938829282173172E-7</v>
      </c>
      <c r="O93" s="45">
        <f t="shared" ca="1" si="38"/>
        <v>3.7997130659247901E-3</v>
      </c>
      <c r="P93" s="45">
        <f t="shared" ca="1" si="38"/>
        <v>2.5328994851660123E-5</v>
      </c>
      <c r="Q93" s="45">
        <f t="shared" ca="1" si="38"/>
        <v>8.2919977103870978E-7</v>
      </c>
      <c r="R93" s="45">
        <f t="shared" ca="1" si="38"/>
        <v>5.8083988392046502E-4</v>
      </c>
      <c r="S93" s="45">
        <v>0</v>
      </c>
      <c r="T93" s="22">
        <f t="shared" ca="1" si="33"/>
        <v>5.933241096954975E-3</v>
      </c>
      <c r="V93" s="45">
        <f t="shared" ca="1" si="39"/>
        <v>2.7453823481837373E-3</v>
      </c>
      <c r="W93" s="45">
        <f t="shared" ca="1" si="39"/>
        <v>0</v>
      </c>
      <c r="X93" s="45">
        <f t="shared" ca="1" si="39"/>
        <v>4.2217382487670123E-5</v>
      </c>
      <c r="Y93" s="45">
        <f t="shared" ca="1" si="39"/>
        <v>4.9013143445574107E-6</v>
      </c>
      <c r="Z93" s="45">
        <f t="shared" ca="1" si="39"/>
        <v>1.7766386213440837E-6</v>
      </c>
      <c r="AA93" s="45">
        <f t="shared" ca="1" si="39"/>
        <v>2.0626253563758127E-7</v>
      </c>
      <c r="AB93" s="45">
        <f t="shared" ca="1" si="39"/>
        <v>7.1355592023411357E-6</v>
      </c>
      <c r="AC93" s="45">
        <f t="shared" ca="1" si="39"/>
        <v>8.2841750516123373E-7</v>
      </c>
      <c r="AD93" s="45">
        <f t="shared" ca="1" si="39"/>
        <v>3.0854916078813222E-3</v>
      </c>
      <c r="AE93" s="45">
        <f t="shared" ca="1" si="39"/>
        <v>2.4872190717277093E-5</v>
      </c>
      <c r="AF93" s="45">
        <f t="shared" ca="1" si="39"/>
        <v>8.1117882848102824E-7</v>
      </c>
      <c r="AG93" s="45">
        <f t="shared" ca="1" si="39"/>
        <v>4.3898272259829119E-4</v>
      </c>
      <c r="AH93" s="45">
        <v>0</v>
      </c>
      <c r="AI93" s="22">
        <f t="shared" ca="1" si="34"/>
        <v>6.3526056229058214E-3</v>
      </c>
    </row>
    <row r="94" spans="4:35" ht="12" customHeight="1" x14ac:dyDescent="0.25">
      <c r="D94" s="341">
        <f t="shared" si="35"/>
        <v>83</v>
      </c>
      <c r="E94" s="43">
        <f t="shared" si="32"/>
        <v>90.75</v>
      </c>
      <c r="F94" s="44">
        <f>INDEX(rngU.Anticoag_NoEvent, MATCH(E94, Parameters!$D$427:$D$433, 1))</f>
        <v>0.62941959955229454</v>
      </c>
      <c r="G94" s="45">
        <f t="shared" ca="1" si="38"/>
        <v>1.2714048930558494E-3</v>
      </c>
      <c r="H94" s="45">
        <f t="shared" ca="1" si="38"/>
        <v>0</v>
      </c>
      <c r="I94" s="45">
        <f t="shared" ca="1" si="38"/>
        <v>3.3217716775438134E-5</v>
      </c>
      <c r="J94" s="45">
        <f t="shared" ca="1" si="38"/>
        <v>3.8551355789151368E-6</v>
      </c>
      <c r="K94" s="45">
        <f t="shared" ca="1" si="38"/>
        <v>1.3979047268823133E-6</v>
      </c>
      <c r="L94" s="45">
        <f t="shared" ca="1" si="38"/>
        <v>1.622360827798518E-7</v>
      </c>
      <c r="M94" s="45">
        <f t="shared" ca="1" si="38"/>
        <v>5.6144405609931992E-6</v>
      </c>
      <c r="N94" s="45">
        <f t="shared" ca="1" si="38"/>
        <v>6.5159293483992499E-7</v>
      </c>
      <c r="O94" s="45">
        <f t="shared" ca="1" si="38"/>
        <v>3.3166341667379578E-3</v>
      </c>
      <c r="P94" s="45">
        <f t="shared" ca="1" si="38"/>
        <v>2.1822673110662452E-5</v>
      </c>
      <c r="Q94" s="45">
        <f t="shared" ca="1" si="38"/>
        <v>7.1312733787249016E-7</v>
      </c>
      <c r="R94" s="45">
        <f t="shared" ca="1" si="38"/>
        <v>4.9172165308750376E-4</v>
      </c>
      <c r="S94" s="45">
        <v>0</v>
      </c>
      <c r="T94" s="22">
        <f t="shared" ca="1" si="33"/>
        <v>5.1471955399896938E-3</v>
      </c>
      <c r="V94" s="45">
        <f t="shared" ca="1" si="39"/>
        <v>2.3665827434108527E-3</v>
      </c>
      <c r="W94" s="45">
        <f t="shared" ca="1" si="39"/>
        <v>0</v>
      </c>
      <c r="X94" s="45">
        <f t="shared" ca="1" si="39"/>
        <v>3.6720800580757247E-5</v>
      </c>
      <c r="Y94" s="45">
        <f t="shared" ca="1" si="39"/>
        <v>4.2616916075881525E-6</v>
      </c>
      <c r="Z94" s="45">
        <f t="shared" ca="1" si="39"/>
        <v>1.5453253772306052E-6</v>
      </c>
      <c r="AA94" s="45">
        <f t="shared" ca="1" si="39"/>
        <v>1.7934522360571197E-7</v>
      </c>
      <c r="AB94" s="45">
        <f t="shared" ca="1" si="39"/>
        <v>6.2065298950706353E-6</v>
      </c>
      <c r="AC94" s="45">
        <f t="shared" ca="1" si="39"/>
        <v>7.2030881537828524E-7</v>
      </c>
      <c r="AD94" s="45">
        <f t="shared" ca="1" si="39"/>
        <v>2.7053030972194799E-3</v>
      </c>
      <c r="AE94" s="45">
        <f t="shared" ca="1" si="39"/>
        <v>2.1508571924697476E-5</v>
      </c>
      <c r="AF94" s="45">
        <f t="shared" ca="1" si="39"/>
        <v>7.0026620705425057E-7</v>
      </c>
      <c r="AG94" s="45">
        <f t="shared" ca="1" si="39"/>
        <v>3.73736718733156E-4</v>
      </c>
      <c r="AH94" s="45">
        <v>0</v>
      </c>
      <c r="AI94" s="22">
        <f t="shared" ca="1" si="34"/>
        <v>5.5174653989948702E-3</v>
      </c>
    </row>
    <row r="95" spans="4:35" ht="12" customHeight="1" x14ac:dyDescent="0.25">
      <c r="D95" s="341">
        <f t="shared" si="35"/>
        <v>84</v>
      </c>
      <c r="E95" s="43">
        <f t="shared" si="32"/>
        <v>91</v>
      </c>
      <c r="F95" s="44">
        <f>INDEX(rngU.Anticoag_NoEvent, MATCH(E95, Parameters!$D$427:$D$433, 1))</f>
        <v>0.62941959955229454</v>
      </c>
      <c r="G95" s="45">
        <f t="shared" ca="1" si="38"/>
        <v>1.0959802672967146E-3</v>
      </c>
      <c r="H95" s="45">
        <f t="shared" ca="1" si="38"/>
        <v>0</v>
      </c>
      <c r="I95" s="45">
        <f t="shared" ca="1" si="38"/>
        <v>2.8893861990648994E-5</v>
      </c>
      <c r="J95" s="45">
        <f t="shared" ca="1" si="38"/>
        <v>3.353208002567889E-6</v>
      </c>
      <c r="K95" s="45">
        <f t="shared" ca="1" si="38"/>
        <v>1.215943483643622E-6</v>
      </c>
      <c r="L95" s="45">
        <f t="shared" ca="1" si="38"/>
        <v>1.411134109155648E-7</v>
      </c>
      <c r="M95" s="45">
        <f t="shared" ca="1" si="38"/>
        <v>4.8836249589553475E-6</v>
      </c>
      <c r="N95" s="45">
        <f t="shared" ca="1" si="38"/>
        <v>5.6675740678795726E-7</v>
      </c>
      <c r="O95" s="45">
        <f t="shared" ca="1" si="38"/>
        <v>2.8948442130200969E-3</v>
      </c>
      <c r="P95" s="45">
        <f t="shared" ca="1" si="38"/>
        <v>1.8808083728293552E-5</v>
      </c>
      <c r="Q95" s="45">
        <f t="shared" ca="1" si="38"/>
        <v>6.1440830446725339E-7</v>
      </c>
      <c r="R95" s="45">
        <f t="shared" ca="1" si="38"/>
        <v>4.1641613023856133E-4</v>
      </c>
      <c r="S95" s="45">
        <v>0</v>
      </c>
      <c r="T95" s="22">
        <f t="shared" ca="1" si="33"/>
        <v>4.465717611841653E-3</v>
      </c>
      <c r="V95" s="45">
        <f t="shared" ca="1" si="39"/>
        <v>2.0400487695694928E-3</v>
      </c>
      <c r="W95" s="45">
        <f t="shared" ca="1" si="39"/>
        <v>0</v>
      </c>
      <c r="X95" s="45">
        <f t="shared" ca="1" si="39"/>
        <v>3.1940959438581062E-5</v>
      </c>
      <c r="Y95" s="45">
        <f t="shared" ca="1" si="39"/>
        <v>3.7068316043666629E-6</v>
      </c>
      <c r="Z95" s="45">
        <f t="shared" ca="1" si="39"/>
        <v>1.3441748113574184E-6</v>
      </c>
      <c r="AA95" s="45">
        <f t="shared" ca="1" si="39"/>
        <v>1.5599499076144917E-7</v>
      </c>
      <c r="AB95" s="45">
        <f t="shared" ca="1" si="39"/>
        <v>5.3986437250139011E-6</v>
      </c>
      <c r="AC95" s="45">
        <f t="shared" ca="1" si="39"/>
        <v>6.2652667710492234E-7</v>
      </c>
      <c r="AD95" s="45">
        <f t="shared" ca="1" si="39"/>
        <v>2.3716412597367094E-3</v>
      </c>
      <c r="AE95" s="45">
        <f t="shared" ca="1" si="39"/>
        <v>1.8604495678894536E-5</v>
      </c>
      <c r="AF95" s="45">
        <f t="shared" ca="1" si="39"/>
        <v>6.05564915936377E-7</v>
      </c>
      <c r="AG95" s="45">
        <f t="shared" ca="1" si="39"/>
        <v>3.1831033351812206E-4</v>
      </c>
      <c r="AH95" s="45">
        <v>0</v>
      </c>
      <c r="AI95" s="22">
        <f t="shared" ca="1" si="34"/>
        <v>4.7923835546663414E-3</v>
      </c>
    </row>
    <row r="96" spans="4:35" ht="12" customHeight="1" x14ac:dyDescent="0.25">
      <c r="D96" s="341">
        <f t="shared" si="35"/>
        <v>85</v>
      </c>
      <c r="E96" s="43">
        <f t="shared" si="32"/>
        <v>91.25</v>
      </c>
      <c r="F96" s="44">
        <f>INDEX(rngU.Anticoag_NoEvent, MATCH(E96, Parameters!$D$427:$D$433, 1))</f>
        <v>0.62941959955229454</v>
      </c>
      <c r="G96" s="45">
        <f t="shared" ca="1" si="38"/>
        <v>9.4476020413664812E-4</v>
      </c>
      <c r="H96" s="45">
        <f t="shared" ca="1" si="38"/>
        <v>0</v>
      </c>
      <c r="I96" s="45">
        <f t="shared" ca="1" si="38"/>
        <v>2.5132813879827705E-5</v>
      </c>
      <c r="J96" s="45">
        <f t="shared" ca="1" si="38"/>
        <v>2.9167305479519497E-6</v>
      </c>
      <c r="K96" s="45">
        <f t="shared" ca="1" si="38"/>
        <v>1.0576668938439149E-6</v>
      </c>
      <c r="L96" s="45">
        <f t="shared" ca="1" si="38"/>
        <v>1.2274508352238458E-7</v>
      </c>
      <c r="M96" s="45">
        <f t="shared" ca="1" si="38"/>
        <v>4.2479346371914013E-6</v>
      </c>
      <c r="N96" s="45">
        <f t="shared" ca="1" si="38"/>
        <v>4.9298422298602896E-7</v>
      </c>
      <c r="O96" s="45">
        <f t="shared" ca="1" si="38"/>
        <v>2.5265876503998063E-3</v>
      </c>
      <c r="P96" s="45">
        <f t="shared" ca="1" si="38"/>
        <v>1.6214377221119173E-5</v>
      </c>
      <c r="Q96" s="45">
        <f t="shared" ca="1" si="38"/>
        <v>5.2953379153779524E-7</v>
      </c>
      <c r="R96" s="45">
        <f t="shared" ca="1" si="38"/>
        <v>3.5276381598187899E-4</v>
      </c>
      <c r="S96" s="45">
        <v>0</v>
      </c>
      <c r="T96" s="22">
        <f t="shared" ca="1" si="33"/>
        <v>3.8748264567963139E-3</v>
      </c>
      <c r="V96" s="45">
        <f t="shared" ca="1" si="39"/>
        <v>1.7585689719953684E-3</v>
      </c>
      <c r="W96" s="45">
        <f t="shared" ca="1" si="39"/>
        <v>0</v>
      </c>
      <c r="X96" s="45">
        <f t="shared" ca="1" si="39"/>
        <v>2.7783277603138873E-5</v>
      </c>
      <c r="Y96" s="45">
        <f t="shared" ca="1" si="39"/>
        <v>3.2243239811816854E-6</v>
      </c>
      <c r="Z96" s="45">
        <f t="shared" ca="1" si="39"/>
        <v>1.1692066421142238E-6</v>
      </c>
      <c r="AA96" s="45">
        <f t="shared" ca="1" si="39"/>
        <v>1.3568957086257856E-7</v>
      </c>
      <c r="AB96" s="45">
        <f t="shared" ca="1" si="39"/>
        <v>4.6959145851871808E-6</v>
      </c>
      <c r="AC96" s="45">
        <f t="shared" ca="1" si="39"/>
        <v>5.4497349905503128E-7</v>
      </c>
      <c r="AD96" s="45">
        <f t="shared" ca="1" si="39"/>
        <v>2.0788613118080958E-3</v>
      </c>
      <c r="AE96" s="45">
        <f t="shared" ca="1" si="39"/>
        <v>1.6095510995006468E-5</v>
      </c>
      <c r="AF96" s="45">
        <f t="shared" ca="1" si="39"/>
        <v>5.2380185450117576E-7</v>
      </c>
      <c r="AG96" s="45">
        <f t="shared" ca="1" si="39"/>
        <v>2.712089243982088E-4</v>
      </c>
      <c r="AH96" s="45">
        <v>0</v>
      </c>
      <c r="AI96" s="22">
        <f t="shared" ca="1" si="34"/>
        <v>4.1628119069327205E-3</v>
      </c>
    </row>
    <row r="97" spans="4:35" ht="12" customHeight="1" x14ac:dyDescent="0.25">
      <c r="D97" s="341">
        <f t="shared" si="35"/>
        <v>86</v>
      </c>
      <c r="E97" s="43">
        <f t="shared" si="32"/>
        <v>91.5</v>
      </c>
      <c r="F97" s="44">
        <f>INDEX(rngU.Anticoag_NoEvent, MATCH(E97, Parameters!$D$427:$D$433, 1))</f>
        <v>0.62941959955229454</v>
      </c>
      <c r="G97" s="45">
        <f t="shared" ca="1" si="38"/>
        <v>8.1440503077841956E-4</v>
      </c>
      <c r="H97" s="45">
        <f t="shared" ca="1" si="38"/>
        <v>0</v>
      </c>
      <c r="I97" s="45">
        <f t="shared" ca="1" si="38"/>
        <v>2.1861332155925336E-5</v>
      </c>
      <c r="J97" s="45">
        <f t="shared" ca="1" si="38"/>
        <v>2.5370663853453838E-6</v>
      </c>
      <c r="K97" s="45">
        <f t="shared" ca="1" si="38"/>
        <v>9.1999277865205585E-7</v>
      </c>
      <c r="L97" s="45">
        <f t="shared" ca="1" si="38"/>
        <v>1.0676763597162552E-7</v>
      </c>
      <c r="M97" s="45">
        <f t="shared" ca="1" si="38"/>
        <v>3.6949905619138754E-6</v>
      </c>
      <c r="N97" s="45">
        <f t="shared" ca="1" si="38"/>
        <v>4.2881359113604068E-7</v>
      </c>
      <c r="O97" s="45">
        <f t="shared" ca="1" si="38"/>
        <v>2.2050853022655484E-3</v>
      </c>
      <c r="P97" s="45">
        <f t="shared" ca="1" si="38"/>
        <v>1.3982120959281687E-5</v>
      </c>
      <c r="Q97" s="45">
        <f t="shared" ca="1" si="38"/>
        <v>4.5650906128235868E-7</v>
      </c>
      <c r="R97" s="45">
        <f t="shared" ca="1" si="38"/>
        <v>2.9894466514011122E-4</v>
      </c>
      <c r="S97" s="45">
        <v>0</v>
      </c>
      <c r="T97" s="22">
        <f t="shared" ca="1" si="33"/>
        <v>3.3624225913135878E-3</v>
      </c>
      <c r="V97" s="45">
        <f t="shared" ca="1" si="39"/>
        <v>1.5159269108637357E-3</v>
      </c>
      <c r="W97" s="45">
        <f t="shared" ca="1" si="39"/>
        <v>0</v>
      </c>
      <c r="X97" s="45">
        <f t="shared" ca="1" si="39"/>
        <v>2.4166790991517259E-5</v>
      </c>
      <c r="Y97" s="45">
        <f t="shared" ca="1" si="39"/>
        <v>2.8046210829667012E-6</v>
      </c>
      <c r="Z97" s="45">
        <f t="shared" ca="1" si="39"/>
        <v>1.0170136493426494E-6</v>
      </c>
      <c r="AA97" s="45">
        <f t="shared" ca="1" si="39"/>
        <v>1.1802716892004785E-7</v>
      </c>
      <c r="AB97" s="45">
        <f t="shared" ca="1" si="39"/>
        <v>4.0846579699946864E-6</v>
      </c>
      <c r="AC97" s="45">
        <f t="shared" ca="1" si="39"/>
        <v>4.7403554172236542E-7</v>
      </c>
      <c r="AD97" s="45">
        <f t="shared" ca="1" si="39"/>
        <v>1.8219937272343457E-3</v>
      </c>
      <c r="AE97" s="45">
        <f t="shared" ca="1" si="39"/>
        <v>1.3927411580896935E-5</v>
      </c>
      <c r="AF97" s="45">
        <f t="shared" ca="1" si="39"/>
        <v>4.5316243201865754E-7</v>
      </c>
      <c r="AG97" s="45">
        <f t="shared" ca="1" si="39"/>
        <v>2.3116698988856041E-4</v>
      </c>
      <c r="AH97" s="45">
        <v>0</v>
      </c>
      <c r="AI97" s="22">
        <f t="shared" ca="1" si="34"/>
        <v>3.616133348404021E-3</v>
      </c>
    </row>
    <row r="98" spans="4:35" ht="12" customHeight="1" x14ac:dyDescent="0.25">
      <c r="D98" s="341">
        <f t="shared" si="35"/>
        <v>87</v>
      </c>
      <c r="E98" s="43">
        <f t="shared" si="32"/>
        <v>91.75</v>
      </c>
      <c r="F98" s="44">
        <f>INDEX(rngU.Anticoag_NoEvent, MATCH(E98, Parameters!$D$427:$D$433, 1))</f>
        <v>0.62941959955229454</v>
      </c>
      <c r="G98" s="45">
        <f t="shared" ca="1" si="38"/>
        <v>7.0203587243950676E-4</v>
      </c>
      <c r="H98" s="45">
        <f t="shared" ca="1" si="38"/>
        <v>0</v>
      </c>
      <c r="I98" s="45">
        <f t="shared" ca="1" si="38"/>
        <v>1.9015691851802167E-5</v>
      </c>
      <c r="J98" s="45">
        <f t="shared" ca="1" si="38"/>
        <v>2.2068221734688044E-6</v>
      </c>
      <c r="K98" s="45">
        <f t="shared" ca="1" si="38"/>
        <v>8.0023939346207907E-7</v>
      </c>
      <c r="L98" s="45">
        <f t="shared" ca="1" si="38"/>
        <v>9.2869933491690204E-8</v>
      </c>
      <c r="M98" s="45">
        <f t="shared" ca="1" si="38"/>
        <v>3.2140219735706919E-6</v>
      </c>
      <c r="N98" s="45">
        <f t="shared" ca="1" si="38"/>
        <v>3.7299589268531254E-7</v>
      </c>
      <c r="O98" s="45">
        <f t="shared" ca="1" si="38"/>
        <v>1.9244142136977938E-3</v>
      </c>
      <c r="P98" s="45">
        <f t="shared" ca="1" si="38"/>
        <v>1.2060362132604328E-5</v>
      </c>
      <c r="Q98" s="45">
        <f t="shared" ca="1" si="38"/>
        <v>3.9366081267335294E-7</v>
      </c>
      <c r="R98" s="45">
        <f t="shared" ca="1" si="38"/>
        <v>2.5342519881444461E-4</v>
      </c>
      <c r="S98" s="45">
        <v>0</v>
      </c>
      <c r="T98" s="22">
        <f t="shared" ca="1" si="33"/>
        <v>2.9180319491155034E-3</v>
      </c>
      <c r="V98" s="45">
        <f t="shared" ca="1" si="39"/>
        <v>1.3067638720324932E-3</v>
      </c>
      <c r="W98" s="45">
        <f t="shared" ca="1" si="39"/>
        <v>0</v>
      </c>
      <c r="X98" s="45">
        <f t="shared" ca="1" si="39"/>
        <v>2.1021054310134709E-5</v>
      </c>
      <c r="Y98" s="45">
        <f t="shared" ca="1" si="39"/>
        <v>2.4395498792698815E-6</v>
      </c>
      <c r="Z98" s="45">
        <f t="shared" ca="1" si="39"/>
        <v>8.8463127622050546E-7</v>
      </c>
      <c r="AA98" s="45">
        <f t="shared" ca="1" si="39"/>
        <v>1.0266383841944728E-7</v>
      </c>
      <c r="AB98" s="45">
        <f t="shared" ca="1" si="39"/>
        <v>3.5529672539362706E-6</v>
      </c>
      <c r="AC98" s="45">
        <f t="shared" ca="1" si="39"/>
        <v>4.1233140391113565E-7</v>
      </c>
      <c r="AD98" s="45">
        <f t="shared" ca="1" si="39"/>
        <v>1.5966671644942008E-3</v>
      </c>
      <c r="AE98" s="45">
        <f t="shared" ca="1" si="39"/>
        <v>1.2053483743535861E-5</v>
      </c>
      <c r="AF98" s="45">
        <f t="shared" ca="1" si="39"/>
        <v>3.9212049283071134E-7</v>
      </c>
      <c r="AG98" s="45">
        <f t="shared" ca="1" si="39"/>
        <v>1.9711353916172341E-4</v>
      </c>
      <c r="AH98" s="45">
        <v>0</v>
      </c>
      <c r="AI98" s="22">
        <f t="shared" ca="1" si="34"/>
        <v>3.141403377886676E-3</v>
      </c>
    </row>
    <row r="99" spans="4:35" ht="12" customHeight="1" x14ac:dyDescent="0.25">
      <c r="D99" s="341">
        <f t="shared" si="35"/>
        <v>88</v>
      </c>
      <c r="E99" s="43">
        <f t="shared" si="32"/>
        <v>92</v>
      </c>
      <c r="F99" s="44">
        <f>INDEX(rngU.Anticoag_NoEvent, MATCH(E99, Parameters!$D$427:$D$433, 1))</f>
        <v>0.62941959955229454</v>
      </c>
      <c r="G99" s="45">
        <f t="shared" ca="1" si="38"/>
        <v>6.0517107282702137E-4</v>
      </c>
      <c r="H99" s="45">
        <f t="shared" ca="1" si="38"/>
        <v>0</v>
      </c>
      <c r="I99" s="45">
        <f t="shared" ca="1" si="38"/>
        <v>1.6540462128844616E-5</v>
      </c>
      <c r="J99" s="45">
        <f t="shared" ca="1" si="38"/>
        <v>1.9195651080683584E-6</v>
      </c>
      <c r="K99" s="45">
        <f t="shared" ca="1" si="38"/>
        <v>6.9607403636563769E-7</v>
      </c>
      <c r="L99" s="45">
        <f t="shared" ca="1" si="38"/>
        <v>8.0781263693332918E-8</v>
      </c>
      <c r="M99" s="45">
        <f t="shared" ca="1" si="38"/>
        <v>2.7956599817367266E-6</v>
      </c>
      <c r="N99" s="45">
        <f t="shared" ca="1" si="38"/>
        <v>3.2444385853079556E-7</v>
      </c>
      <c r="O99" s="45">
        <f t="shared" ca="1" si="38"/>
        <v>1.6793999289313214E-3</v>
      </c>
      <c r="P99" s="45">
        <f t="shared" ca="1" si="38"/>
        <v>1.0405419407559683E-5</v>
      </c>
      <c r="Q99" s="45">
        <f t="shared" ca="1" si="38"/>
        <v>3.3955449048696096E-7</v>
      </c>
      <c r="R99" s="45">
        <f t="shared" ca="1" si="38"/>
        <v>2.149130754057367E-4</v>
      </c>
      <c r="S99" s="45">
        <v>0</v>
      </c>
      <c r="T99" s="22">
        <f t="shared" ca="1" si="33"/>
        <v>2.5325860374393653E-3</v>
      </c>
      <c r="V99" s="45">
        <f t="shared" ca="1" si="39"/>
        <v>1.1264605206305033E-3</v>
      </c>
      <c r="W99" s="45">
        <f t="shared" ca="1" si="39"/>
        <v>0</v>
      </c>
      <c r="X99" s="45">
        <f t="shared" ca="1" si="39"/>
        <v>1.828479107859632E-5</v>
      </c>
      <c r="Y99" s="45">
        <f t="shared" ca="1" si="39"/>
        <v>2.1219991732628102E-6</v>
      </c>
      <c r="Z99" s="45">
        <f t="shared" ca="1" si="39"/>
        <v>7.6948081807131401E-7</v>
      </c>
      <c r="AA99" s="45">
        <f t="shared" ca="1" si="39"/>
        <v>8.9300318104278187E-8</v>
      </c>
      <c r="AB99" s="45">
        <f t="shared" ca="1" si="39"/>
        <v>3.0904855193679613E-6</v>
      </c>
      <c r="AC99" s="45">
        <f t="shared" ca="1" si="39"/>
        <v>3.5865915497148481E-7</v>
      </c>
      <c r="AD99" s="45">
        <f t="shared" ca="1" si="39"/>
        <v>1.3990374458697067E-3</v>
      </c>
      <c r="AE99" s="45">
        <f t="shared" ca="1" si="39"/>
        <v>1.0433477541244427E-5</v>
      </c>
      <c r="AF99" s="45">
        <f t="shared" ca="1" si="39"/>
        <v>3.393608322974445E-7</v>
      </c>
      <c r="AG99" s="45">
        <f t="shared" ca="1" si="39"/>
        <v>1.6814190082146355E-4</v>
      </c>
      <c r="AH99" s="45">
        <v>0</v>
      </c>
      <c r="AI99" s="22">
        <f t="shared" ca="1" si="34"/>
        <v>2.7291274217575898E-3</v>
      </c>
    </row>
    <row r="100" spans="4:35" ht="12" customHeight="1" x14ac:dyDescent="0.25">
      <c r="D100" s="341">
        <f t="shared" si="35"/>
        <v>89</v>
      </c>
      <c r="E100" s="43">
        <f t="shared" si="32"/>
        <v>92.25</v>
      </c>
      <c r="F100" s="44">
        <f>INDEX(rngU.Anticoag_NoEvent, MATCH(E100, Parameters!$D$427:$D$433, 1))</f>
        <v>0.62941959955229454</v>
      </c>
      <c r="G100" s="45">
        <f t="shared" ca="1" si="38"/>
        <v>5.2167138712440309E-4</v>
      </c>
      <c r="H100" s="45">
        <f t="shared" ca="1" si="38"/>
        <v>0</v>
      </c>
      <c r="I100" s="45">
        <f t="shared" ca="1" si="38"/>
        <v>1.4387427476611515E-5</v>
      </c>
      <c r="J100" s="45">
        <f t="shared" ca="1" si="38"/>
        <v>1.669699647075798E-6</v>
      </c>
      <c r="K100" s="45">
        <f t="shared" ca="1" si="38"/>
        <v>6.0546764888136809E-7</v>
      </c>
      <c r="L100" s="45">
        <f t="shared" ca="1" si="38"/>
        <v>7.0266148781389333E-8</v>
      </c>
      <c r="M100" s="45">
        <f t="shared" ca="1" si="38"/>
        <v>2.4317552268602688E-6</v>
      </c>
      <c r="N100" s="45">
        <f t="shared" ca="1" si="38"/>
        <v>2.8221173317216175E-7</v>
      </c>
      <c r="O100" s="45">
        <f t="shared" ca="1" si="38"/>
        <v>1.4655221596415967E-3</v>
      </c>
      <c r="P100" s="45">
        <f t="shared" ca="1" si="38"/>
        <v>8.9798321171495381E-6</v>
      </c>
      <c r="Q100" s="45">
        <f t="shared" ca="1" si="38"/>
        <v>2.9296026490658111E-7</v>
      </c>
      <c r="R100" s="45">
        <f t="shared" ca="1" si="38"/>
        <v>1.8231889948454967E-4</v>
      </c>
      <c r="S100" s="45">
        <v>0</v>
      </c>
      <c r="T100" s="22">
        <f t="shared" ca="1" si="33"/>
        <v>2.1982320665139879E-3</v>
      </c>
      <c r="V100" s="45">
        <f t="shared" ca="1" si="39"/>
        <v>9.7103488372809273E-4</v>
      </c>
      <c r="W100" s="45">
        <f t="shared" ca="1" si="39"/>
        <v>0</v>
      </c>
      <c r="X100" s="45">
        <f t="shared" ca="1" si="39"/>
        <v>1.5904701060893144E-5</v>
      </c>
      <c r="Y100" s="45">
        <f t="shared" ca="1" si="39"/>
        <v>1.8457833265460015E-6</v>
      </c>
      <c r="Z100" s="45">
        <f t="shared" ca="1" si="39"/>
        <v>6.693192353639547E-7</v>
      </c>
      <c r="AA100" s="45">
        <f t="shared" ca="1" si="39"/>
        <v>7.7676297092372416E-8</v>
      </c>
      <c r="AB100" s="45">
        <f t="shared" ca="1" si="39"/>
        <v>2.6882039891669298E-6</v>
      </c>
      <c r="AC100" s="45">
        <f t="shared" ca="1" si="39"/>
        <v>3.1197330163966813E-7</v>
      </c>
      <c r="AD100" s="45">
        <f t="shared" ca="1" si="39"/>
        <v>1.2257247081327929E-3</v>
      </c>
      <c r="AE100" s="45">
        <f t="shared" ca="1" si="39"/>
        <v>9.0327030669616465E-6</v>
      </c>
      <c r="AF100" s="45">
        <f t="shared" ca="1" si="39"/>
        <v>2.9375023001563716E-7</v>
      </c>
      <c r="AG100" s="45">
        <f t="shared" ca="1" si="39"/>
        <v>1.4348425287188211E-4</v>
      </c>
      <c r="AH100" s="45">
        <v>0</v>
      </c>
      <c r="AI100" s="22">
        <f t="shared" ca="1" si="34"/>
        <v>2.3710679552404468E-3</v>
      </c>
    </row>
    <row r="101" spans="4:35" ht="12" customHeight="1" x14ac:dyDescent="0.25">
      <c r="D101" s="341">
        <f t="shared" si="35"/>
        <v>90</v>
      </c>
      <c r="E101" s="43">
        <f t="shared" si="32"/>
        <v>92.5</v>
      </c>
      <c r="F101" s="44">
        <f>INDEX(rngU.Anticoag_NoEvent, MATCH(E101, Parameters!$D$427:$D$433, 1))</f>
        <v>0.62941959955229454</v>
      </c>
      <c r="G101" s="45">
        <f t="shared" ref="G101:R110" ca="1" si="40">PRODUCT(AVERAGE(OFFSET(C.Trace.Markov.Root, $D101, (G$2-1)*C.Trace.Markov.NumCols+G$3-1, CHOOSE(swtchHalfCycle, 2, 1))), $F101+G$6, C.cycleLength)</f>
        <v>4.4969273708508217E-4</v>
      </c>
      <c r="H101" s="45">
        <f t="shared" ca="1" si="40"/>
        <v>0</v>
      </c>
      <c r="I101" s="45">
        <f t="shared" ca="1" si="40"/>
        <v>1.2514648489401813E-5</v>
      </c>
      <c r="J101" s="45">
        <f t="shared" ca="1" si="40"/>
        <v>1.4523586096263994E-6</v>
      </c>
      <c r="K101" s="45">
        <f t="shared" ca="1" si="40"/>
        <v>5.2665529051476034E-7</v>
      </c>
      <c r="L101" s="45">
        <f t="shared" ca="1" si="40"/>
        <v>6.111976266310344E-8</v>
      </c>
      <c r="M101" s="45">
        <f t="shared" ca="1" si="40"/>
        <v>2.1152191332254221E-6</v>
      </c>
      <c r="N101" s="45">
        <f t="shared" ca="1" si="40"/>
        <v>2.4547686832658877E-7</v>
      </c>
      <c r="O101" s="45">
        <f t="shared" ca="1" si="40"/>
        <v>1.2788323073408079E-3</v>
      </c>
      <c r="P101" s="45">
        <f t="shared" ca="1" si="40"/>
        <v>7.7514629213596238E-6</v>
      </c>
      <c r="Q101" s="45">
        <f t="shared" ca="1" si="40"/>
        <v>2.5282344640000656E-7</v>
      </c>
      <c r="R101" s="45">
        <f t="shared" ca="1" si="40"/>
        <v>1.5472411663873027E-4</v>
      </c>
      <c r="S101" s="45">
        <v>0</v>
      </c>
      <c r="T101" s="22">
        <f t="shared" ca="1" si="33"/>
        <v>1.9081689255861381E-3</v>
      </c>
      <c r="V101" s="45">
        <f t="shared" ref="V101:AG110" ca="1" si="41">PRODUCT(AVERAGE(OFFSET(C.Trace.Markov.Root, $D101, (V$2-1)*C.Trace.Markov.NumCols+V$3-1, CHOOSE(swtchHalfCycle, 2, 1))), $F101+V$6, C.cycleLength)</f>
        <v>8.3705440905205021E-4</v>
      </c>
      <c r="W101" s="45">
        <f t="shared" ca="1" si="41"/>
        <v>0</v>
      </c>
      <c r="X101" s="45">
        <f t="shared" ca="1" si="41"/>
        <v>1.3834421993067211E-5</v>
      </c>
      <c r="Y101" s="45">
        <f t="shared" ca="1" si="41"/>
        <v>1.6055218736548291E-6</v>
      </c>
      <c r="Z101" s="45">
        <f t="shared" ca="1" si="41"/>
        <v>5.8219545998697576E-7</v>
      </c>
      <c r="AA101" s="45">
        <f t="shared" ca="1" si="41"/>
        <v>6.7565348680273059E-8</v>
      </c>
      <c r="AB101" s="45">
        <f t="shared" ca="1" si="41"/>
        <v>2.3382865385018156E-6</v>
      </c>
      <c r="AC101" s="45">
        <f t="shared" ca="1" si="41"/>
        <v>2.7136444054681951E-7</v>
      </c>
      <c r="AD101" s="45">
        <f t="shared" ca="1" si="41"/>
        <v>1.0737579410050972E-3</v>
      </c>
      <c r="AE101" s="45">
        <f t="shared" ca="1" si="41"/>
        <v>7.8212541507278934E-6</v>
      </c>
      <c r="AF101" s="45">
        <f t="shared" ca="1" si="41"/>
        <v>2.5431200604917987E-7</v>
      </c>
      <c r="AG101" s="45">
        <f t="shared" ca="1" si="41"/>
        <v>1.2249013695214938E-4</v>
      </c>
      <c r="AH101" s="45">
        <v>0</v>
      </c>
      <c r="AI101" s="22">
        <f t="shared" ca="1" si="34"/>
        <v>2.0600774088205122E-3</v>
      </c>
    </row>
    <row r="102" spans="4:35" ht="12" customHeight="1" x14ac:dyDescent="0.25">
      <c r="D102" s="341">
        <f t="shared" si="35"/>
        <v>91</v>
      </c>
      <c r="E102" s="43">
        <f t="shared" si="32"/>
        <v>92.75</v>
      </c>
      <c r="F102" s="44">
        <f>INDEX(rngU.Anticoag_NoEvent, MATCH(E102, Parameters!$D$427:$D$433, 1))</f>
        <v>0.62941959955229454</v>
      </c>
      <c r="G102" s="45">
        <f t="shared" ca="1" si="40"/>
        <v>3.8764548483631622E-4</v>
      </c>
      <c r="H102" s="45">
        <f t="shared" ca="1" si="40"/>
        <v>0</v>
      </c>
      <c r="I102" s="45">
        <f t="shared" ca="1" si="40"/>
        <v>1.0885644919349627E-5</v>
      </c>
      <c r="J102" s="45">
        <f t="shared" ca="1" si="40"/>
        <v>1.2633083648607514E-6</v>
      </c>
      <c r="K102" s="45">
        <f t="shared" ca="1" si="40"/>
        <v>4.5810175909420466E-7</v>
      </c>
      <c r="L102" s="45">
        <f t="shared" ca="1" si="40"/>
        <v>5.3163940998335438E-8</v>
      </c>
      <c r="M102" s="45">
        <f t="shared" ca="1" si="40"/>
        <v>1.8398858290271509E-6</v>
      </c>
      <c r="N102" s="45">
        <f t="shared" ca="1" si="40"/>
        <v>2.1352369799120988E-7</v>
      </c>
      <c r="O102" s="45">
        <f t="shared" ca="1" si="40"/>
        <v>1.1158813528337897E-3</v>
      </c>
      <c r="P102" s="45">
        <f t="shared" ca="1" si="40"/>
        <v>6.6927316352764368E-6</v>
      </c>
      <c r="Q102" s="45">
        <f t="shared" ca="1" si="40"/>
        <v>2.1823922149694778E-7</v>
      </c>
      <c r="R102" s="45">
        <f t="shared" ca="1" si="40"/>
        <v>1.3135401911352113E-4</v>
      </c>
      <c r="S102" s="45">
        <v>0</v>
      </c>
      <c r="T102" s="22">
        <f t="shared" ca="1" si="33"/>
        <v>1.6565054561517218E-3</v>
      </c>
      <c r="V102" s="45">
        <f t="shared" ca="1" si="41"/>
        <v>7.2156015757480704E-4</v>
      </c>
      <c r="W102" s="45">
        <f t="shared" ca="1" si="41"/>
        <v>0</v>
      </c>
      <c r="X102" s="45">
        <f t="shared" ca="1" si="41"/>
        <v>1.2033626482478146E-5</v>
      </c>
      <c r="Y102" s="45">
        <f t="shared" ca="1" si="41"/>
        <v>1.3965347122339145E-6</v>
      </c>
      <c r="Z102" s="45">
        <f t="shared" ca="1" si="41"/>
        <v>5.0641238996386471E-7</v>
      </c>
      <c r="AA102" s="45">
        <f t="shared" ca="1" si="41"/>
        <v>5.8770519620136372E-8</v>
      </c>
      <c r="AB102" s="45">
        <f t="shared" ca="1" si="41"/>
        <v>2.0339170532341953E-6</v>
      </c>
      <c r="AC102" s="45">
        <f t="shared" ca="1" si="41"/>
        <v>2.3604154331879538E-7</v>
      </c>
      <c r="AD102" s="45">
        <f t="shared" ca="1" si="41"/>
        <v>9.4052605825819895E-4</v>
      </c>
      <c r="AE102" s="45">
        <f t="shared" ca="1" si="41"/>
        <v>6.7733417339164089E-6</v>
      </c>
      <c r="AF102" s="45">
        <f t="shared" ca="1" si="41"/>
        <v>2.2020416459467911E-7</v>
      </c>
      <c r="AG102" s="45">
        <f t="shared" ca="1" si="41"/>
        <v>1.0460832823394908E-4</v>
      </c>
      <c r="AH102" s="45">
        <v>0</v>
      </c>
      <c r="AI102" s="22">
        <f t="shared" ca="1" si="34"/>
        <v>1.7899533926663152E-3</v>
      </c>
    </row>
    <row r="103" spans="4:35" ht="12" customHeight="1" x14ac:dyDescent="0.25">
      <c r="D103" s="341">
        <f t="shared" si="35"/>
        <v>92</v>
      </c>
      <c r="E103" s="43">
        <f t="shared" si="32"/>
        <v>93</v>
      </c>
      <c r="F103" s="44">
        <f>INDEX(rngU.Anticoag_NoEvent, MATCH(E103, Parameters!$D$427:$D$433, 1))</f>
        <v>0.62941959955229454</v>
      </c>
      <c r="G103" s="45">
        <f t="shared" ca="1" si="40"/>
        <v>3.341593259611655E-4</v>
      </c>
      <c r="H103" s="45">
        <f t="shared" ca="1" si="40"/>
        <v>0</v>
      </c>
      <c r="I103" s="45">
        <f t="shared" ca="1" si="40"/>
        <v>9.4686850701810117E-6</v>
      </c>
      <c r="J103" s="45">
        <f t="shared" ca="1" si="40"/>
        <v>1.0988663640983856E-6</v>
      </c>
      <c r="K103" s="45">
        <f t="shared" ca="1" si="40"/>
        <v>3.9847168625247699E-7</v>
      </c>
      <c r="L103" s="45">
        <f t="shared" ca="1" si="40"/>
        <v>4.6243710697206795E-8</v>
      </c>
      <c r="M103" s="45">
        <f t="shared" ca="1" si="40"/>
        <v>1.6003920400875848E-6</v>
      </c>
      <c r="N103" s="45">
        <f t="shared" ca="1" si="40"/>
        <v>1.8572979977561149E-7</v>
      </c>
      <c r="O103" s="45">
        <f t="shared" ca="1" si="40"/>
        <v>9.7365681409661384E-4</v>
      </c>
      <c r="P103" s="45">
        <f t="shared" ca="1" si="40"/>
        <v>5.7799607863497818E-6</v>
      </c>
      <c r="Q103" s="45">
        <f t="shared" ca="1" si="40"/>
        <v>1.8843108153764194E-7</v>
      </c>
      <c r="R103" s="45">
        <f t="shared" ca="1" si="40"/>
        <v>1.1155504436119276E-4</v>
      </c>
      <c r="S103" s="45">
        <v>0</v>
      </c>
      <c r="T103" s="22">
        <f t="shared" ca="1" si="33"/>
        <v>1.438137964957952E-3</v>
      </c>
      <c r="V103" s="45">
        <f t="shared" ca="1" si="41"/>
        <v>6.2200145578231473E-4</v>
      </c>
      <c r="W103" s="45">
        <f t="shared" ca="1" si="41"/>
        <v>0</v>
      </c>
      <c r="X103" s="45">
        <f t="shared" ca="1" si="41"/>
        <v>1.0467236462236478E-5</v>
      </c>
      <c r="Y103" s="45">
        <f t="shared" ca="1" si="41"/>
        <v>1.2147509382943244E-6</v>
      </c>
      <c r="Z103" s="45">
        <f t="shared" ca="1" si="41"/>
        <v>4.4049383125497129E-7</v>
      </c>
      <c r="AA103" s="45">
        <f t="shared" ca="1" si="41"/>
        <v>5.1120493624112542E-8</v>
      </c>
      <c r="AB103" s="45">
        <f t="shared" ca="1" si="41"/>
        <v>1.7691666574308772E-6</v>
      </c>
      <c r="AC103" s="45">
        <f t="shared" ca="1" si="41"/>
        <v>2.0531654796054977E-7</v>
      </c>
      <c r="AD103" s="45">
        <f t="shared" ca="1" si="41"/>
        <v>8.2373474577586642E-4</v>
      </c>
      <c r="AE103" s="45">
        <f t="shared" ca="1" si="41"/>
        <v>5.866721214004359E-6</v>
      </c>
      <c r="AF103" s="45">
        <f t="shared" ca="1" si="41"/>
        <v>1.9070062540961266E-7</v>
      </c>
      <c r="AG103" s="45">
        <f t="shared" ca="1" si="41"/>
        <v>8.937153263087015E-5</v>
      </c>
      <c r="AH103" s="45">
        <v>0</v>
      </c>
      <c r="AI103" s="22">
        <f t="shared" ca="1" si="34"/>
        <v>1.5553132409592667E-3</v>
      </c>
    </row>
    <row r="104" spans="4:35" ht="12" customHeight="1" x14ac:dyDescent="0.25">
      <c r="D104" s="341">
        <f t="shared" si="35"/>
        <v>93</v>
      </c>
      <c r="E104" s="43">
        <f t="shared" si="32"/>
        <v>93.25</v>
      </c>
      <c r="F104" s="44">
        <f>INDEX(rngU.Anticoag_NoEvent, MATCH(E104, Parameters!$D$427:$D$433, 1))</f>
        <v>0.62941959955229454</v>
      </c>
      <c r="G104" s="45">
        <f t="shared" ca="1" si="40"/>
        <v>2.880530265274986E-4</v>
      </c>
      <c r="H104" s="45">
        <f t="shared" ca="1" si="40"/>
        <v>0</v>
      </c>
      <c r="I104" s="45">
        <f t="shared" ca="1" si="40"/>
        <v>8.2361676889627424E-6</v>
      </c>
      <c r="J104" s="45">
        <f t="shared" ca="1" si="40"/>
        <v>9.5582940771543375E-7</v>
      </c>
      <c r="K104" s="45">
        <f t="shared" ca="1" si="40"/>
        <v>3.4660352551110987E-7</v>
      </c>
      <c r="L104" s="45">
        <f t="shared" ca="1" si="40"/>
        <v>4.0224271167442486E-8</v>
      </c>
      <c r="M104" s="45">
        <f t="shared" ca="1" si="40"/>
        <v>1.3920726175330008E-6</v>
      </c>
      <c r="N104" s="45">
        <f t="shared" ca="1" si="40"/>
        <v>1.615537706082105E-7</v>
      </c>
      <c r="O104" s="45">
        <f t="shared" ca="1" si="40"/>
        <v>8.49527636047219E-4</v>
      </c>
      <c r="P104" s="45">
        <f t="shared" ca="1" si="40"/>
        <v>4.9928163917005519E-6</v>
      </c>
      <c r="Q104" s="45">
        <f t="shared" ca="1" si="40"/>
        <v>1.6273239710919077E-7</v>
      </c>
      <c r="R104" s="45">
        <f t="shared" ca="1" si="40"/>
        <v>9.4775680079609909E-5</v>
      </c>
      <c r="S104" s="45">
        <v>0</v>
      </c>
      <c r="T104" s="22">
        <f t="shared" ca="1" si="33"/>
        <v>1.2486443427246353E-3</v>
      </c>
      <c r="V104" s="45">
        <f t="shared" ca="1" si="41"/>
        <v>5.361795644255881E-4</v>
      </c>
      <c r="W104" s="45">
        <f t="shared" ca="1" si="41"/>
        <v>0</v>
      </c>
      <c r="X104" s="45">
        <f t="shared" ca="1" si="41"/>
        <v>9.104739898309521E-6</v>
      </c>
      <c r="Y104" s="45">
        <f t="shared" ca="1" si="41"/>
        <v>1.056629548238383E-6</v>
      </c>
      <c r="Z104" s="45">
        <f t="shared" ca="1" si="41"/>
        <v>3.8315574266958321E-7</v>
      </c>
      <c r="AA104" s="45">
        <f t="shared" ca="1" si="41"/>
        <v>4.4466254259176932E-8</v>
      </c>
      <c r="AB104" s="45">
        <f t="shared" ca="1" si="41"/>
        <v>1.5388782235677256E-6</v>
      </c>
      <c r="AC104" s="45">
        <f t="shared" ca="1" si="41"/>
        <v>1.7859095595516746E-7</v>
      </c>
      <c r="AD104" s="45">
        <f t="shared" ca="1" si="41"/>
        <v>7.213684162899204E-4</v>
      </c>
      <c r="AE104" s="45">
        <f t="shared" ca="1" si="41"/>
        <v>5.082200348771189E-6</v>
      </c>
      <c r="AF104" s="45">
        <f t="shared" ca="1" si="41"/>
        <v>1.6517510094202498E-7</v>
      </c>
      <c r="AG104" s="45">
        <f t="shared" ca="1" si="41"/>
        <v>7.6383466739943207E-5</v>
      </c>
      <c r="AH104" s="45">
        <v>0</v>
      </c>
      <c r="AI104" s="22">
        <f t="shared" ca="1" si="34"/>
        <v>1.3514852835281644E-3</v>
      </c>
    </row>
    <row r="105" spans="4:35" ht="12" customHeight="1" x14ac:dyDescent="0.25">
      <c r="D105" s="341">
        <f t="shared" si="35"/>
        <v>94</v>
      </c>
      <c r="E105" s="43">
        <f t="shared" si="32"/>
        <v>93.5</v>
      </c>
      <c r="F105" s="44">
        <f>INDEX(rngU.Anticoag_NoEvent, MATCH(E105, Parameters!$D$427:$D$433, 1))</f>
        <v>0.62941959955229454</v>
      </c>
      <c r="G105" s="45">
        <f t="shared" ca="1" si="40"/>
        <v>2.4830833571077627E-4</v>
      </c>
      <c r="H105" s="45">
        <f t="shared" ca="1" si="40"/>
        <v>0</v>
      </c>
      <c r="I105" s="45">
        <f t="shared" ca="1" si="40"/>
        <v>7.1640843156078348E-6</v>
      </c>
      <c r="J105" s="45">
        <f t="shared" ca="1" si="40"/>
        <v>8.3141124935901527E-7</v>
      </c>
      <c r="K105" s="45">
        <f t="shared" ca="1" si="40"/>
        <v>3.0148692627714606E-7</v>
      </c>
      <c r="L105" s="45">
        <f t="shared" ca="1" si="40"/>
        <v>3.4988368505853377E-8</v>
      </c>
      <c r="M105" s="45">
        <f t="shared" ca="1" si="40"/>
        <v>1.2108696643974355E-6</v>
      </c>
      <c r="N105" s="45">
        <f t="shared" ca="1" si="40"/>
        <v>1.405246806342462E-7</v>
      </c>
      <c r="O105" s="45">
        <f t="shared" ca="1" si="40"/>
        <v>7.4119601755921814E-4</v>
      </c>
      <c r="P105" s="45">
        <f t="shared" ca="1" si="40"/>
        <v>4.3138299175023093E-6</v>
      </c>
      <c r="Q105" s="45">
        <f t="shared" ca="1" si="40"/>
        <v>1.4057067336275216E-7</v>
      </c>
      <c r="R105" s="45">
        <f t="shared" ca="1" si="40"/>
        <v>8.0550399573821763E-5</v>
      </c>
      <c r="S105" s="45">
        <v>0</v>
      </c>
      <c r="T105" s="22">
        <f t="shared" ca="1" si="33"/>
        <v>1.0841925186394626E-3</v>
      </c>
      <c r="V105" s="45">
        <f t="shared" ca="1" si="41"/>
        <v>4.621991196885999E-4</v>
      </c>
      <c r="W105" s="45">
        <f t="shared" ca="1" si="41"/>
        <v>0</v>
      </c>
      <c r="X105" s="45">
        <f t="shared" ca="1" si="41"/>
        <v>7.919596439321985E-6</v>
      </c>
      <c r="Y105" s="45">
        <f t="shared" ca="1" si="41"/>
        <v>9.1909046292083529E-7</v>
      </c>
      <c r="Z105" s="45">
        <f t="shared" ca="1" si="41"/>
        <v>3.3328122376293329E-7</v>
      </c>
      <c r="AA105" s="45">
        <f t="shared" ca="1" si="41"/>
        <v>3.8678182225320719E-8</v>
      </c>
      <c r="AB105" s="45">
        <f t="shared" ca="1" si="41"/>
        <v>1.3385659157797488E-6</v>
      </c>
      <c r="AC105" s="45">
        <f t="shared" ca="1" si="41"/>
        <v>1.5534417398790928E-7</v>
      </c>
      <c r="AD105" s="45">
        <f t="shared" ca="1" si="41"/>
        <v>6.3165667647755233E-4</v>
      </c>
      <c r="AE105" s="45">
        <f t="shared" ca="1" si="41"/>
        <v>4.4032162478903686E-6</v>
      </c>
      <c r="AF105" s="45">
        <f t="shared" ca="1" si="41"/>
        <v>1.4308724157746417E-7</v>
      </c>
      <c r="AG105" s="45">
        <f t="shared" ca="1" si="41"/>
        <v>6.5307946345257342E-5</v>
      </c>
      <c r="AH105" s="45">
        <v>0</v>
      </c>
      <c r="AI105" s="22">
        <f t="shared" ca="1" si="34"/>
        <v>1.1744146023988762E-3</v>
      </c>
    </row>
    <row r="106" spans="4:35" ht="12" customHeight="1" x14ac:dyDescent="0.25">
      <c r="D106" s="341">
        <f t="shared" si="35"/>
        <v>95</v>
      </c>
      <c r="E106" s="43">
        <f t="shared" si="32"/>
        <v>93.75</v>
      </c>
      <c r="F106" s="44">
        <f>INDEX(rngU.Anticoag_NoEvent, MATCH(E106, Parameters!$D$427:$D$433, 1))</f>
        <v>0.62941959955229454</v>
      </c>
      <c r="G106" s="45">
        <f t="shared" ca="1" si="40"/>
        <v>2.1404749787473445E-4</v>
      </c>
      <c r="H106" s="45">
        <f t="shared" ca="1" si="40"/>
        <v>0</v>
      </c>
      <c r="I106" s="45">
        <f t="shared" ca="1" si="40"/>
        <v>6.231551617133466E-6</v>
      </c>
      <c r="J106" s="45">
        <f t="shared" ca="1" si="40"/>
        <v>7.2318832208028634E-7</v>
      </c>
      <c r="K106" s="45">
        <f t="shared" ca="1" si="40"/>
        <v>2.6224305301570797E-7</v>
      </c>
      <c r="L106" s="45">
        <f t="shared" ca="1" si="40"/>
        <v>3.0434011485390146E-8</v>
      </c>
      <c r="M106" s="45">
        <f t="shared" ca="1" si="40"/>
        <v>1.053253491011362E-6</v>
      </c>
      <c r="N106" s="45">
        <f t="shared" ca="1" si="40"/>
        <v>1.2223289987608185E-7</v>
      </c>
      <c r="O106" s="45">
        <f t="shared" ca="1" si="40"/>
        <v>6.4665530532183476E-4</v>
      </c>
      <c r="P106" s="45">
        <f t="shared" ca="1" si="40"/>
        <v>3.727989478941413E-6</v>
      </c>
      <c r="Q106" s="45">
        <f t="shared" ca="1" si="40"/>
        <v>1.214540909783278E-7</v>
      </c>
      <c r="R106" s="45">
        <f t="shared" ca="1" si="40"/>
        <v>6.8486143753771685E-5</v>
      </c>
      <c r="S106" s="45">
        <v>0</v>
      </c>
      <c r="T106" s="22">
        <f t="shared" ca="1" si="33"/>
        <v>9.4146129391486292E-4</v>
      </c>
      <c r="V106" s="45">
        <f t="shared" ca="1" si="41"/>
        <v>3.9842627435787752E-4</v>
      </c>
      <c r="W106" s="45">
        <f t="shared" ca="1" si="41"/>
        <v>0</v>
      </c>
      <c r="X106" s="45">
        <f t="shared" ca="1" si="41"/>
        <v>6.888720431581654E-6</v>
      </c>
      <c r="Y106" s="45">
        <f t="shared" ca="1" si="41"/>
        <v>7.9945453015237736E-7</v>
      </c>
      <c r="Z106" s="45">
        <f t="shared" ca="1" si="41"/>
        <v>2.8989875850224651E-7</v>
      </c>
      <c r="AA106" s="45">
        <f t="shared" ca="1" si="41"/>
        <v>3.3643530474491706E-8</v>
      </c>
      <c r="AB106" s="45">
        <f t="shared" ca="1" si="41"/>
        <v>1.1643278093397642E-6</v>
      </c>
      <c r="AC106" s="45">
        <f t="shared" ca="1" si="41"/>
        <v>1.3512337320174124E-7</v>
      </c>
      <c r="AD106" s="45">
        <f t="shared" ca="1" si="41"/>
        <v>5.5304477975291766E-4</v>
      </c>
      <c r="AE106" s="45">
        <f t="shared" ca="1" si="41"/>
        <v>3.8154716346358451E-6</v>
      </c>
      <c r="AF106" s="45">
        <f t="shared" ca="1" si="41"/>
        <v>1.239707260128069E-7</v>
      </c>
      <c r="AG106" s="45">
        <f t="shared" ca="1" si="41"/>
        <v>5.5859668504445114E-5</v>
      </c>
      <c r="AH106" s="45">
        <v>0</v>
      </c>
      <c r="AI106" s="22">
        <f t="shared" ca="1" si="34"/>
        <v>1.0205813334091412E-3</v>
      </c>
    </row>
    <row r="107" spans="4:35" ht="12" customHeight="1" x14ac:dyDescent="0.25">
      <c r="D107" s="341">
        <f t="shared" si="35"/>
        <v>96</v>
      </c>
      <c r="E107" s="43">
        <f t="shared" ref="E107:E131" si="42">C.cohortAge+D107*C.cycleLength</f>
        <v>94</v>
      </c>
      <c r="F107" s="44">
        <f>INDEX(rngU.Anticoag_NoEvent, MATCH(E107, Parameters!$D$427:$D$433, 1))</f>
        <v>0.62941959955229454</v>
      </c>
      <c r="G107" s="45">
        <f t="shared" ca="1" si="40"/>
        <v>1.8451386746758363E-4</v>
      </c>
      <c r="H107" s="45">
        <f t="shared" ca="1" si="40"/>
        <v>0</v>
      </c>
      <c r="I107" s="45">
        <f t="shared" ca="1" si="40"/>
        <v>5.4204045969137935E-6</v>
      </c>
      <c r="J107" s="45">
        <f t="shared" ca="1" si="40"/>
        <v>6.2905252917435644E-7</v>
      </c>
      <c r="K107" s="45">
        <f t="shared" ca="1" si="40"/>
        <v>2.2810746623148877E-7</v>
      </c>
      <c r="L107" s="45">
        <f t="shared" ca="1" si="40"/>
        <v>2.6472484847011536E-8</v>
      </c>
      <c r="M107" s="45">
        <f t="shared" ca="1" si="40"/>
        <v>9.1615385944916127E-7</v>
      </c>
      <c r="N107" s="45">
        <f t="shared" ca="1" si="40"/>
        <v>1.0632211896644667E-7</v>
      </c>
      <c r="O107" s="45">
        <f t="shared" ca="1" si="40"/>
        <v>5.6415319294735543E-4</v>
      </c>
      <c r="P107" s="45">
        <f t="shared" ca="1" si="40"/>
        <v>3.2223901187592217E-6</v>
      </c>
      <c r="Q107" s="45">
        <f t="shared" ca="1" si="40"/>
        <v>1.0495999656930307E-7</v>
      </c>
      <c r="R107" s="45">
        <f t="shared" ca="1" si="40"/>
        <v>5.8250943659010978E-5</v>
      </c>
      <c r="S107" s="45">
        <v>0</v>
      </c>
      <c r="T107" s="22">
        <f t="shared" ref="T107:T131" ca="1" si="43">SUM(G107:S107)</f>
        <v>8.175718672448609E-4</v>
      </c>
      <c r="V107" s="45">
        <f t="shared" ca="1" si="41"/>
        <v>3.4345261454770814E-4</v>
      </c>
      <c r="W107" s="45">
        <f t="shared" ca="1" si="41"/>
        <v>0</v>
      </c>
      <c r="X107" s="45">
        <f t="shared" ca="1" si="41"/>
        <v>5.9920312288732238E-6</v>
      </c>
      <c r="Y107" s="45">
        <f t="shared" ca="1" si="41"/>
        <v>6.9539133694199695E-7</v>
      </c>
      <c r="Z107" s="45">
        <f t="shared" ca="1" si="41"/>
        <v>2.5216329090571086E-7</v>
      </c>
      <c r="AA107" s="45">
        <f t="shared" ca="1" si="41"/>
        <v>2.9264227987608497E-8</v>
      </c>
      <c r="AB107" s="45">
        <f t="shared" ca="1" si="41"/>
        <v>1.0127698842624632E-6</v>
      </c>
      <c r="AC107" s="45">
        <f t="shared" ca="1" si="41"/>
        <v>1.1753466845070178E-7</v>
      </c>
      <c r="AD107" s="45">
        <f t="shared" ca="1" si="41"/>
        <v>4.8416759826615431E-4</v>
      </c>
      <c r="AE107" s="45">
        <f t="shared" ca="1" si="41"/>
        <v>3.3066219733461618E-6</v>
      </c>
      <c r="AF107" s="45">
        <f t="shared" ca="1" si="41"/>
        <v>1.0742302035556389E-7</v>
      </c>
      <c r="AG107" s="45">
        <f t="shared" ca="1" si="41"/>
        <v>4.7796422007284154E-5</v>
      </c>
      <c r="AH107" s="45">
        <v>0</v>
      </c>
      <c r="AI107" s="22">
        <f t="shared" ref="AI107:AI131" ca="1" si="44">SUM(V107:AH107)</f>
        <v>8.8692983445227015E-4</v>
      </c>
    </row>
    <row r="108" spans="4:35" ht="12" customHeight="1" x14ac:dyDescent="0.25">
      <c r="D108" s="341">
        <f t="shared" ref="D108:D131" si="45">D107+1</f>
        <v>97</v>
      </c>
      <c r="E108" s="43">
        <f t="shared" si="42"/>
        <v>94.25</v>
      </c>
      <c r="F108" s="44">
        <f>INDEX(rngU.Anticoag_NoEvent, MATCH(E108, Parameters!$D$427:$D$433, 1))</f>
        <v>0.62941959955229454</v>
      </c>
      <c r="G108" s="45">
        <f t="shared" ca="1" si="40"/>
        <v>1.5905519861656668E-4</v>
      </c>
      <c r="H108" s="45">
        <f t="shared" ca="1" si="40"/>
        <v>0</v>
      </c>
      <c r="I108" s="45">
        <f t="shared" ca="1" si="40"/>
        <v>4.7148427549669313E-6</v>
      </c>
      <c r="J108" s="45">
        <f t="shared" ca="1" si="40"/>
        <v>5.4717018013009924E-7</v>
      </c>
      <c r="K108" s="45">
        <f t="shared" ca="1" si="40"/>
        <v>1.98415231794274E-7</v>
      </c>
      <c r="L108" s="45">
        <f t="shared" ca="1" si="40"/>
        <v>2.3026621196869535E-8</v>
      </c>
      <c r="M108" s="45">
        <f t="shared" ca="1" si="40"/>
        <v>7.9690017773180052E-7</v>
      </c>
      <c r="N108" s="45">
        <f t="shared" ca="1" si="40"/>
        <v>9.2482408524836508E-8</v>
      </c>
      <c r="O108" s="45">
        <f t="shared" ca="1" si="40"/>
        <v>4.9215955898465526E-4</v>
      </c>
      <c r="P108" s="45">
        <f t="shared" ca="1" si="40"/>
        <v>2.7859345133729109E-6</v>
      </c>
      <c r="Q108" s="45">
        <f t="shared" ca="1" si="40"/>
        <v>9.0725056419945784E-8</v>
      </c>
      <c r="R108" s="45">
        <f t="shared" ca="1" si="40"/>
        <v>4.9564342486575187E-5</v>
      </c>
      <c r="S108" s="45">
        <v>0</v>
      </c>
      <c r="T108" s="22">
        <f t="shared" ca="1" si="43"/>
        <v>7.1002859703193477E-4</v>
      </c>
      <c r="V108" s="45">
        <f t="shared" ca="1" si="41"/>
        <v>2.9606405508714488E-4</v>
      </c>
      <c r="W108" s="45">
        <f t="shared" ca="1" si="41"/>
        <v>0</v>
      </c>
      <c r="X108" s="45">
        <f t="shared" ca="1" si="41"/>
        <v>5.2120620374121178E-6</v>
      </c>
      <c r="Y108" s="45">
        <f t="shared" ca="1" si="41"/>
        <v>6.04873814902029E-7</v>
      </c>
      <c r="Z108" s="45">
        <f t="shared" ca="1" si="41"/>
        <v>2.1933976402284379E-7</v>
      </c>
      <c r="AA108" s="45">
        <f t="shared" ca="1" si="41"/>
        <v>2.5454969428967665E-8</v>
      </c>
      <c r="AB108" s="45">
        <f t="shared" ca="1" si="41"/>
        <v>8.8093991248962003E-7</v>
      </c>
      <c r="AC108" s="45">
        <f t="shared" ca="1" si="41"/>
        <v>1.0223544572996478E-7</v>
      </c>
      <c r="AD108" s="45">
        <f t="shared" ca="1" si="41"/>
        <v>4.2382670112528996E-4</v>
      </c>
      <c r="AE108" s="45">
        <f t="shared" ca="1" si="41"/>
        <v>2.8660062651758677E-6</v>
      </c>
      <c r="AF108" s="45">
        <f t="shared" ca="1" si="41"/>
        <v>9.3096569327482659E-8</v>
      </c>
      <c r="AG108" s="45">
        <f t="shared" ca="1" si="41"/>
        <v>4.091250284958416E-5</v>
      </c>
      <c r="AH108" s="45">
        <v>0</v>
      </c>
      <c r="AI108" s="22">
        <f t="shared" ca="1" si="44"/>
        <v>7.7080726784050789E-4</v>
      </c>
    </row>
    <row r="109" spans="4:35" ht="12" customHeight="1" x14ac:dyDescent="0.25">
      <c r="D109" s="341">
        <f t="shared" si="45"/>
        <v>98</v>
      </c>
      <c r="E109" s="43">
        <f t="shared" si="42"/>
        <v>94.5</v>
      </c>
      <c r="F109" s="44">
        <f>INDEX(rngU.Anticoag_NoEvent, MATCH(E109, Parameters!$D$427:$D$433, 1))</f>
        <v>0.62941959955229454</v>
      </c>
      <c r="G109" s="45">
        <f t="shared" ca="1" si="40"/>
        <v>1.3710924037403345E-4</v>
      </c>
      <c r="H109" s="45">
        <f t="shared" ca="1" si="40"/>
        <v>0</v>
      </c>
      <c r="I109" s="45">
        <f t="shared" ca="1" si="40"/>
        <v>4.1011223067593649E-6</v>
      </c>
      <c r="J109" s="45">
        <f t="shared" ca="1" si="40"/>
        <v>4.7594627179476926E-7</v>
      </c>
      <c r="K109" s="45">
        <f t="shared" ca="1" si="40"/>
        <v>1.7258796854997855E-7</v>
      </c>
      <c r="L109" s="45">
        <f t="shared" ca="1" si="40"/>
        <v>2.0029297846740597E-8</v>
      </c>
      <c r="M109" s="45">
        <f t="shared" ca="1" si="40"/>
        <v>6.9316947881527219E-7</v>
      </c>
      <c r="N109" s="45">
        <f t="shared" ca="1" si="40"/>
        <v>8.0444181979235425E-8</v>
      </c>
      <c r="O109" s="45">
        <f t="shared" ca="1" si="40"/>
        <v>4.2933836089024149E-4</v>
      </c>
      <c r="P109" s="45">
        <f t="shared" ca="1" si="40"/>
        <v>2.409076739049155E-6</v>
      </c>
      <c r="Q109" s="45">
        <f t="shared" ca="1" si="40"/>
        <v>7.8436829990452637E-8</v>
      </c>
      <c r="R109" s="45">
        <f t="shared" ca="1" si="40"/>
        <v>4.2189330709276111E-5</v>
      </c>
      <c r="S109" s="45">
        <v>0</v>
      </c>
      <c r="T109" s="22">
        <f t="shared" ca="1" si="43"/>
        <v>6.1666774504833596E-4</v>
      </c>
      <c r="V109" s="45">
        <f t="shared" ca="1" si="41"/>
        <v>2.5521402662802609E-4</v>
      </c>
      <c r="W109" s="45">
        <f t="shared" ca="1" si="41"/>
        <v>0</v>
      </c>
      <c r="X109" s="45">
        <f t="shared" ca="1" si="41"/>
        <v>4.5336196765684979E-6</v>
      </c>
      <c r="Y109" s="45">
        <f t="shared" ca="1" si="41"/>
        <v>5.2613875456526141E-7</v>
      </c>
      <c r="Z109" s="45">
        <f t="shared" ca="1" si="41"/>
        <v>1.9078880160866127E-7</v>
      </c>
      <c r="AA109" s="45">
        <f t="shared" ca="1" si="41"/>
        <v>2.2141553466028403E-8</v>
      </c>
      <c r="AB109" s="45">
        <f t="shared" ca="1" si="41"/>
        <v>7.662699508313005E-7</v>
      </c>
      <c r="AC109" s="45">
        <f t="shared" ca="1" si="41"/>
        <v>8.8927688327027927E-8</v>
      </c>
      <c r="AD109" s="45">
        <f t="shared" ca="1" si="41"/>
        <v>3.7097017339062145E-4</v>
      </c>
      <c r="AE109" s="45">
        <f t="shared" ca="1" si="41"/>
        <v>2.4844153459574758E-6</v>
      </c>
      <c r="AF109" s="45">
        <f t="shared" ca="1" si="41"/>
        <v>8.0691216930654747E-8</v>
      </c>
      <c r="AG109" s="45">
        <f t="shared" ca="1" si="41"/>
        <v>3.5033146570397998E-5</v>
      </c>
      <c r="AH109" s="45">
        <v>0</v>
      </c>
      <c r="AI109" s="22">
        <f t="shared" ca="1" si="44"/>
        <v>6.6991033957730054E-4</v>
      </c>
    </row>
    <row r="110" spans="4:35" ht="12" customHeight="1" x14ac:dyDescent="0.25">
      <c r="D110" s="341">
        <f t="shared" si="45"/>
        <v>99</v>
      </c>
      <c r="E110" s="43">
        <f t="shared" si="42"/>
        <v>94.75</v>
      </c>
      <c r="F110" s="44">
        <f>INDEX(rngU.Anticoag_NoEvent, MATCH(E110, Parameters!$D$427:$D$433, 1))</f>
        <v>0.62941959955229454</v>
      </c>
      <c r="G110" s="45">
        <f t="shared" ca="1" si="40"/>
        <v>1.1819131948816697E-4</v>
      </c>
      <c r="H110" s="45">
        <f t="shared" ca="1" si="40"/>
        <v>0</v>
      </c>
      <c r="I110" s="45">
        <f t="shared" ca="1" si="40"/>
        <v>3.5672884651944704E-6</v>
      </c>
      <c r="J110" s="45">
        <f t="shared" ca="1" si="40"/>
        <v>4.1399341897886344E-7</v>
      </c>
      <c r="K110" s="45">
        <f t="shared" ca="1" si="40"/>
        <v>1.5012258191494343E-7</v>
      </c>
      <c r="L110" s="45">
        <f t="shared" ca="1" si="40"/>
        <v>1.7422129317348001E-8</v>
      </c>
      <c r="M110" s="45">
        <f t="shared" ca="1" si="40"/>
        <v>6.0294117103678763E-7</v>
      </c>
      <c r="N110" s="45">
        <f t="shared" ca="1" si="40"/>
        <v>6.9972944233718343E-8</v>
      </c>
      <c r="O110" s="45">
        <f t="shared" ca="1" si="40"/>
        <v>3.7452307500738087E-4</v>
      </c>
      <c r="P110" s="45">
        <f t="shared" ca="1" si="40"/>
        <v>2.0836028212330012E-6</v>
      </c>
      <c r="Q110" s="45">
        <f t="shared" ca="1" si="40"/>
        <v>6.7826555759912541E-8</v>
      </c>
      <c r="R110" s="45">
        <f t="shared" ca="1" si="40"/>
        <v>3.5925553699941514E-5</v>
      </c>
      <c r="S110" s="45">
        <v>0</v>
      </c>
      <c r="T110" s="22">
        <f t="shared" ca="1" si="43"/>
        <v>5.3561311828315833E-4</v>
      </c>
      <c r="V110" s="45">
        <f t="shared" ca="1" si="41"/>
        <v>2.2000036231523921E-4</v>
      </c>
      <c r="W110" s="45">
        <f t="shared" ca="1" si="41"/>
        <v>0</v>
      </c>
      <c r="X110" s="45">
        <f t="shared" ca="1" si="41"/>
        <v>3.9434886277705026E-6</v>
      </c>
      <c r="Y110" s="45">
        <f t="shared" ca="1" si="41"/>
        <v>4.5765245946432805E-7</v>
      </c>
      <c r="Z110" s="45">
        <f t="shared" ca="1" si="41"/>
        <v>1.659542535820276E-7</v>
      </c>
      <c r="AA110" s="45">
        <f t="shared" ca="1" si="41"/>
        <v>1.925943738636329E-8</v>
      </c>
      <c r="AB110" s="45">
        <f t="shared" ca="1" si="41"/>
        <v>6.6652631947121826E-7</v>
      </c>
      <c r="AC110" s="45">
        <f t="shared" ca="1" si="41"/>
        <v>7.7352171692749603E-8</v>
      </c>
      <c r="AD110" s="45">
        <f t="shared" ca="1" si="41"/>
        <v>3.2467485259651553E-4</v>
      </c>
      <c r="AE110" s="45">
        <f t="shared" ca="1" si="41"/>
        <v>2.1538924015841238E-6</v>
      </c>
      <c r="AF110" s="45">
        <f t="shared" ca="1" si="41"/>
        <v>6.994768296998151E-8</v>
      </c>
      <c r="AG110" s="45">
        <f t="shared" ca="1" si="41"/>
        <v>3.0009818918638989E-5</v>
      </c>
      <c r="AH110" s="45">
        <v>0</v>
      </c>
      <c r="AI110" s="22">
        <f t="shared" ca="1" si="44"/>
        <v>5.8223910718431494E-4</v>
      </c>
    </row>
    <row r="111" spans="4:35" ht="12" customHeight="1" x14ac:dyDescent="0.25">
      <c r="D111" s="341">
        <f t="shared" si="45"/>
        <v>100</v>
      </c>
      <c r="E111" s="43">
        <f t="shared" si="42"/>
        <v>95</v>
      </c>
      <c r="F111" s="44">
        <f>INDEX(rngU.Anticoag_NoEvent, MATCH(E111, Parameters!$D$427:$D$433, 1))</f>
        <v>0.62941959955229454</v>
      </c>
      <c r="G111" s="45">
        <f t="shared" ref="G111:R120" ca="1" si="46">PRODUCT(AVERAGE(OFFSET(C.Trace.Markov.Root, $D111, (G$2-1)*C.Trace.Markov.NumCols+G$3-1, CHOOSE(swtchHalfCycle, 2, 1))), $F111+G$6, C.cycleLength)</f>
        <v>1.0188363646568289E-4</v>
      </c>
      <c r="H111" s="45">
        <f t="shared" ca="1" si="46"/>
        <v>0</v>
      </c>
      <c r="I111" s="45">
        <f t="shared" ca="1" si="46"/>
        <v>3.1029425708508137E-6</v>
      </c>
      <c r="J111" s="45">
        <f t="shared" ca="1" si="46"/>
        <v>3.6010482929407914E-7</v>
      </c>
      <c r="K111" s="45">
        <f t="shared" ca="1" si="46"/>
        <v>1.3058146399285436E-7</v>
      </c>
      <c r="L111" s="45">
        <f t="shared" ca="1" si="46"/>
        <v>1.5154330035577892E-8</v>
      </c>
      <c r="M111" s="45">
        <f t="shared" ca="1" si="46"/>
        <v>5.2445767859333961E-7</v>
      </c>
      <c r="N111" s="45">
        <f t="shared" ca="1" si="46"/>
        <v>6.0864723890148933E-8</v>
      </c>
      <c r="O111" s="45">
        <f t="shared" ca="1" si="46"/>
        <v>3.2669523649851153E-4</v>
      </c>
      <c r="P111" s="45">
        <f t="shared" ca="1" si="46"/>
        <v>1.8024427172388656E-6</v>
      </c>
      <c r="Q111" s="45">
        <f t="shared" ca="1" si="46"/>
        <v>5.866297268373887E-8</v>
      </c>
      <c r="R111" s="45">
        <f t="shared" ca="1" si="46"/>
        <v>3.0603589740083155E-5</v>
      </c>
      <c r="S111" s="45">
        <v>0</v>
      </c>
      <c r="T111" s="22">
        <f t="shared" ca="1" si="43"/>
        <v>4.6523767399085696E-4</v>
      </c>
      <c r="V111" s="45">
        <f t="shared" ref="V111:AG120" ca="1" si="47">PRODUCT(AVERAGE(OFFSET(C.Trace.Markov.Root, $D111, (V$2-1)*C.Trace.Markov.NumCols+V$3-1, CHOOSE(swtchHalfCycle, 2, 1))), $F111+V$6, C.cycleLength)</f>
        <v>1.8964537356475184E-4</v>
      </c>
      <c r="W111" s="45">
        <f t="shared" ca="1" si="47"/>
        <v>0</v>
      </c>
      <c r="X111" s="45">
        <f t="shared" ca="1" si="47"/>
        <v>3.4301736066943163E-6</v>
      </c>
      <c r="Y111" s="45">
        <f t="shared" ca="1" si="47"/>
        <v>3.9808087094213289E-7</v>
      </c>
      <c r="Z111" s="45">
        <f t="shared" ca="1" si="47"/>
        <v>1.4435236266360429E-7</v>
      </c>
      <c r="AA111" s="45">
        <f t="shared" ca="1" si="47"/>
        <v>1.6752479856860836E-8</v>
      </c>
      <c r="AB111" s="45">
        <f t="shared" ca="1" si="47"/>
        <v>5.7976609165724004E-7</v>
      </c>
      <c r="AC111" s="45">
        <f t="shared" ca="1" si="47"/>
        <v>6.7283413952930578E-8</v>
      </c>
      <c r="AD111" s="45">
        <f t="shared" ca="1" si="47"/>
        <v>2.8413069700734421E-4</v>
      </c>
      <c r="AE111" s="45">
        <f t="shared" ca="1" si="47"/>
        <v>1.8675611702234836E-6</v>
      </c>
      <c r="AF111" s="45">
        <f t="shared" ca="1" si="47"/>
        <v>6.0641946646564135E-8</v>
      </c>
      <c r="AG111" s="45">
        <f t="shared" ca="1" si="47"/>
        <v>2.5716231238134983E-5</v>
      </c>
      <c r="AH111" s="45">
        <v>0</v>
      </c>
      <c r="AI111" s="22">
        <f t="shared" ca="1" si="44"/>
        <v>5.0605691375286814E-4</v>
      </c>
    </row>
    <row r="112" spans="4:35" ht="12" customHeight="1" x14ac:dyDescent="0.25">
      <c r="D112" s="341">
        <f t="shared" si="45"/>
        <v>101</v>
      </c>
      <c r="E112" s="43">
        <f t="shared" si="42"/>
        <v>95.25</v>
      </c>
      <c r="F112" s="44">
        <f>INDEX(rngU.Anticoag_NoEvent, MATCH(E112, Parameters!$D$427:$D$433, 1))</f>
        <v>0.62941959955229454</v>
      </c>
      <c r="G112" s="45">
        <f t="shared" ca="1" si="46"/>
        <v>8.7826038531625653E-5</v>
      </c>
      <c r="H112" s="45">
        <f t="shared" ca="1" si="46"/>
        <v>0</v>
      </c>
      <c r="I112" s="45">
        <f t="shared" ca="1" si="46"/>
        <v>2.6990395343521433E-6</v>
      </c>
      <c r="J112" s="45">
        <f t="shared" ca="1" si="46"/>
        <v>3.1323079579566583E-7</v>
      </c>
      <c r="K112" s="45">
        <f t="shared" ca="1" si="46"/>
        <v>1.1358396932033969E-7</v>
      </c>
      <c r="L112" s="45">
        <f t="shared" ca="1" si="46"/>
        <v>1.3181725071833883E-8</v>
      </c>
      <c r="M112" s="45">
        <f t="shared" ca="1" si="46"/>
        <v>4.5619020536040438E-7</v>
      </c>
      <c r="N112" s="45">
        <f t="shared" ca="1" si="46"/>
        <v>5.2942100047277201E-8</v>
      </c>
      <c r="O112" s="45">
        <f t="shared" ca="1" si="46"/>
        <v>2.8496568909653649E-4</v>
      </c>
      <c r="P112" s="45">
        <f t="shared" ca="1" si="46"/>
        <v>1.5595091709085016E-6</v>
      </c>
      <c r="Q112" s="45">
        <f t="shared" ca="1" si="46"/>
        <v>5.0747026644366159E-8</v>
      </c>
      <c r="R112" s="45">
        <f t="shared" ca="1" si="46"/>
        <v>2.6080128577139086E-5</v>
      </c>
      <c r="S112" s="45">
        <v>0</v>
      </c>
      <c r="T112" s="22">
        <f t="shared" ca="1" si="43"/>
        <v>4.0413028073280175E-4</v>
      </c>
      <c r="V112" s="45">
        <f t="shared" ca="1" si="47"/>
        <v>1.6347867492590479E-4</v>
      </c>
      <c r="W112" s="45">
        <f t="shared" ca="1" si="47"/>
        <v>0</v>
      </c>
      <c r="X112" s="45">
        <f t="shared" ca="1" si="47"/>
        <v>2.9836756442516714E-6</v>
      </c>
      <c r="Y112" s="45">
        <f t="shared" ca="1" si="47"/>
        <v>3.4626358174832227E-7</v>
      </c>
      <c r="Z112" s="45">
        <f t="shared" ca="1" si="47"/>
        <v>1.2556234116810485E-7</v>
      </c>
      <c r="AA112" s="45">
        <f t="shared" ca="1" si="47"/>
        <v>1.4571847335127253E-8</v>
      </c>
      <c r="AB112" s="45">
        <f t="shared" ca="1" si="47"/>
        <v>5.0429924703074815E-7</v>
      </c>
      <c r="AC112" s="45">
        <f t="shared" ca="1" si="47"/>
        <v>5.8525283700415412E-8</v>
      </c>
      <c r="AD112" s="45">
        <f t="shared" ca="1" si="47"/>
        <v>2.486270330290681E-4</v>
      </c>
      <c r="AE112" s="45">
        <f t="shared" ca="1" si="47"/>
        <v>1.6194779456264326E-6</v>
      </c>
      <c r="AF112" s="45">
        <f t="shared" ca="1" si="47"/>
        <v>5.2580409662336645E-8</v>
      </c>
      <c r="AG112" s="45">
        <f t="shared" ca="1" si="47"/>
        <v>2.2044967936713421E-5</v>
      </c>
      <c r="AH112" s="45">
        <v>0</v>
      </c>
      <c r="AI112" s="22">
        <f t="shared" ca="1" si="44"/>
        <v>4.3985563219220951E-4</v>
      </c>
    </row>
    <row r="113" spans="4:35" ht="12" customHeight="1" x14ac:dyDescent="0.25">
      <c r="D113" s="341">
        <f t="shared" si="45"/>
        <v>102</v>
      </c>
      <c r="E113" s="43">
        <f t="shared" si="42"/>
        <v>95.5</v>
      </c>
      <c r="F113" s="44">
        <f>INDEX(rngU.Anticoag_NoEvent, MATCH(E113, Parameters!$D$427:$D$433, 1))</f>
        <v>0.62941959955229454</v>
      </c>
      <c r="G113" s="45">
        <f t="shared" ca="1" si="46"/>
        <v>7.5708065708438623E-5</v>
      </c>
      <c r="H113" s="45">
        <f t="shared" ca="1" si="46"/>
        <v>0</v>
      </c>
      <c r="I113" s="45">
        <f t="shared" ca="1" si="46"/>
        <v>2.3477116452072679E-6</v>
      </c>
      <c r="J113" s="45">
        <f t="shared" ca="1" si="46"/>
        <v>2.7245824952450667E-7</v>
      </c>
      <c r="K113" s="45">
        <f t="shared" ca="1" si="46"/>
        <v>9.8799000195539617E-8</v>
      </c>
      <c r="L113" s="45">
        <f t="shared" ca="1" si="46"/>
        <v>1.146588964747909E-8</v>
      </c>
      <c r="M113" s="45">
        <f t="shared" ca="1" si="46"/>
        <v>3.968089551571507E-7</v>
      </c>
      <c r="N113" s="45">
        <f t="shared" ca="1" si="46"/>
        <v>4.6050746282438304E-8</v>
      </c>
      <c r="O113" s="45">
        <f t="shared" ca="1" si="46"/>
        <v>2.4855820347744433E-4</v>
      </c>
      <c r="P113" s="45">
        <f t="shared" ca="1" si="46"/>
        <v>1.349559548540285E-6</v>
      </c>
      <c r="Q113" s="45">
        <f t="shared" ca="1" si="46"/>
        <v>4.3907333471024898E-8</v>
      </c>
      <c r="R113" s="45">
        <f t="shared" ca="1" si="46"/>
        <v>2.2233907798659983E-5</v>
      </c>
      <c r="S113" s="45">
        <v>0</v>
      </c>
      <c r="T113" s="22">
        <f t="shared" ca="1" si="43"/>
        <v>3.5106693835256869E-4</v>
      </c>
      <c r="V113" s="45">
        <f t="shared" ca="1" si="47"/>
        <v>1.4092237871758402E-4</v>
      </c>
      <c r="W113" s="45">
        <f t="shared" ca="1" si="47"/>
        <v>0</v>
      </c>
      <c r="X113" s="45">
        <f t="shared" ca="1" si="47"/>
        <v>2.5952973146102243E-6</v>
      </c>
      <c r="Y113" s="45">
        <f t="shared" ca="1" si="47"/>
        <v>3.0119123222729815E-7</v>
      </c>
      <c r="Z113" s="45">
        <f t="shared" ca="1" si="47"/>
        <v>1.0921817439425003E-7</v>
      </c>
      <c r="AA113" s="45">
        <f t="shared" ca="1" si="47"/>
        <v>1.2675062830849707E-8</v>
      </c>
      <c r="AB113" s="45">
        <f t="shared" ca="1" si="47"/>
        <v>4.3865575137176724E-7</v>
      </c>
      <c r="AC113" s="45">
        <f t="shared" ca="1" si="47"/>
        <v>5.0907179510990361E-8</v>
      </c>
      <c r="AD113" s="45">
        <f t="shared" ca="1" si="47"/>
        <v>2.1754045863930119E-4</v>
      </c>
      <c r="AE113" s="45">
        <f t="shared" ca="1" si="47"/>
        <v>1.4045040477523415E-6</v>
      </c>
      <c r="AF113" s="45">
        <f t="shared" ca="1" si="47"/>
        <v>4.5595729434644061E-8</v>
      </c>
      <c r="AG113" s="45">
        <f t="shared" ca="1" si="47"/>
        <v>1.890463106380895E-5</v>
      </c>
      <c r="AH113" s="45">
        <v>0</v>
      </c>
      <c r="AI113" s="22">
        <f t="shared" ca="1" si="44"/>
        <v>3.8232551291282651E-4</v>
      </c>
    </row>
    <row r="114" spans="4:35" ht="12" customHeight="1" x14ac:dyDescent="0.25">
      <c r="D114" s="341">
        <f t="shared" si="45"/>
        <v>103</v>
      </c>
      <c r="E114" s="43">
        <f t="shared" si="42"/>
        <v>95.75</v>
      </c>
      <c r="F114" s="44">
        <f>INDEX(rngU.Anticoag_NoEvent, MATCH(E114, Parameters!$D$427:$D$433, 1))</f>
        <v>0.62941959955229454</v>
      </c>
      <c r="G114" s="45">
        <f t="shared" ca="1" si="46"/>
        <v>6.5262094353137689E-5</v>
      </c>
      <c r="H114" s="45">
        <f t="shared" ca="1" si="46"/>
        <v>0</v>
      </c>
      <c r="I114" s="45">
        <f t="shared" ca="1" si="46"/>
        <v>2.0421153150558852E-6</v>
      </c>
      <c r="J114" s="45">
        <f t="shared" ca="1" si="46"/>
        <v>2.3699297364868329E-7</v>
      </c>
      <c r="K114" s="45">
        <f t="shared" ca="1" si="46"/>
        <v>8.5938557157733305E-8</v>
      </c>
      <c r="L114" s="45">
        <f t="shared" ca="1" si="46"/>
        <v>9.9734006506538471E-9</v>
      </c>
      <c r="M114" s="45">
        <f t="shared" ca="1" si="46"/>
        <v>3.4515722837256761E-7</v>
      </c>
      <c r="N114" s="45">
        <f t="shared" ca="1" si="46"/>
        <v>4.0056424495359076E-8</v>
      </c>
      <c r="O114" s="45">
        <f t="shared" ca="1" si="46"/>
        <v>2.1679516587826714E-4</v>
      </c>
      <c r="P114" s="45">
        <f t="shared" ca="1" si="46"/>
        <v>1.1680773361849128E-6</v>
      </c>
      <c r="Q114" s="45">
        <f t="shared" ca="1" si="46"/>
        <v>3.7996288987671953E-8</v>
      </c>
      <c r="R114" s="45">
        <f t="shared" ca="1" si="46"/>
        <v>1.896228704939431E-5</v>
      </c>
      <c r="S114" s="45">
        <v>0</v>
      </c>
      <c r="T114" s="22">
        <f t="shared" ca="1" si="43"/>
        <v>3.0498585480535255E-4</v>
      </c>
      <c r="V114" s="45">
        <f t="shared" ca="1" si="47"/>
        <v>1.2147833246399349E-4</v>
      </c>
      <c r="W114" s="45">
        <f t="shared" ca="1" si="47"/>
        <v>0</v>
      </c>
      <c r="X114" s="45">
        <f t="shared" ca="1" si="47"/>
        <v>2.2574733162432519E-6</v>
      </c>
      <c r="Y114" s="45">
        <f t="shared" ca="1" si="47"/>
        <v>2.6198584879346124E-7</v>
      </c>
      <c r="Z114" s="45">
        <f t="shared" ca="1" si="47"/>
        <v>9.5001490948966939E-8</v>
      </c>
      <c r="AA114" s="45">
        <f t="shared" ca="1" si="47"/>
        <v>1.1025178487747642E-8</v>
      </c>
      <c r="AB114" s="45">
        <f t="shared" ca="1" si="47"/>
        <v>3.8155692149942379E-7</v>
      </c>
      <c r="AC114" s="45">
        <f t="shared" ca="1" si="47"/>
        <v>4.4280706763080624E-8</v>
      </c>
      <c r="AD114" s="45">
        <f t="shared" ca="1" si="47"/>
        <v>1.9032420578182064E-4</v>
      </c>
      <c r="AE114" s="45">
        <f t="shared" ca="1" si="47"/>
        <v>1.2181958994826331E-6</v>
      </c>
      <c r="AF114" s="45">
        <f t="shared" ca="1" si="47"/>
        <v>3.9543228559625105E-8</v>
      </c>
      <c r="AG114" s="45">
        <f t="shared" ca="1" si="47"/>
        <v>1.6217421890354761E-5</v>
      </c>
      <c r="AH114" s="45">
        <v>0</v>
      </c>
      <c r="AI114" s="22">
        <f t="shared" ca="1" si="44"/>
        <v>3.3232902272694708E-4</v>
      </c>
    </row>
    <row r="115" spans="4:35" ht="12" customHeight="1" x14ac:dyDescent="0.25">
      <c r="D115" s="341">
        <f t="shared" si="45"/>
        <v>104</v>
      </c>
      <c r="E115" s="43">
        <f t="shared" si="42"/>
        <v>96</v>
      </c>
      <c r="F115" s="44">
        <f>INDEX(rngU.Anticoag_NoEvent, MATCH(E115, Parameters!$D$427:$D$433, 1))</f>
        <v>0.62941959955229454</v>
      </c>
      <c r="G115" s="45">
        <f t="shared" ca="1" si="46"/>
        <v>5.6257426728617516E-5</v>
      </c>
      <c r="H115" s="45">
        <f t="shared" ca="1" si="46"/>
        <v>0</v>
      </c>
      <c r="I115" s="45">
        <f t="shared" ca="1" si="46"/>
        <v>1.7762977700004671E-6</v>
      </c>
      <c r="J115" s="45">
        <f t="shared" ca="1" si="46"/>
        <v>2.0614413275012099E-7</v>
      </c>
      <c r="K115" s="45">
        <f t="shared" ca="1" si="46"/>
        <v>7.4752128986487626E-8</v>
      </c>
      <c r="L115" s="45">
        <f t="shared" ca="1" si="46"/>
        <v>8.6751855805913794E-9</v>
      </c>
      <c r="M115" s="45">
        <f t="shared" ca="1" si="46"/>
        <v>3.0022889037534855E-7</v>
      </c>
      <c r="N115" s="45">
        <f t="shared" ca="1" si="46"/>
        <v>3.484237005653681E-8</v>
      </c>
      <c r="O115" s="45">
        <f t="shared" ca="1" si="46"/>
        <v>1.8908507605153269E-4</v>
      </c>
      <c r="P115" s="45">
        <f t="shared" ca="1" si="46"/>
        <v>1.0111704643544284E-6</v>
      </c>
      <c r="Q115" s="45">
        <f t="shared" ca="1" si="46"/>
        <v>3.288673261853265E-8</v>
      </c>
      <c r="R115" s="45">
        <f t="shared" ca="1" si="46"/>
        <v>1.617835922804635E-5</v>
      </c>
      <c r="S115" s="45">
        <v>0</v>
      </c>
      <c r="T115" s="22">
        <f t="shared" ca="1" si="43"/>
        <v>2.6496585968291907E-4</v>
      </c>
      <c r="V115" s="45">
        <f t="shared" ca="1" si="47"/>
        <v>1.0471711727068076E-4</v>
      </c>
      <c r="W115" s="45">
        <f t="shared" ca="1" si="47"/>
        <v>0</v>
      </c>
      <c r="X115" s="45">
        <f t="shared" ca="1" si="47"/>
        <v>1.9636231058620267E-6</v>
      </c>
      <c r="Y115" s="45">
        <f t="shared" ca="1" si="47"/>
        <v>2.2788374170278892E-7</v>
      </c>
      <c r="Z115" s="45">
        <f t="shared" ca="1" si="47"/>
        <v>8.2635361125408043E-8</v>
      </c>
      <c r="AA115" s="45">
        <f t="shared" ca="1" si="47"/>
        <v>9.5900558686654354E-9</v>
      </c>
      <c r="AB115" s="45">
        <f t="shared" ca="1" si="47"/>
        <v>3.3189051753873266E-7</v>
      </c>
      <c r="AC115" s="45">
        <f t="shared" ca="1" si="47"/>
        <v>3.8516787028333016E-8</v>
      </c>
      <c r="AD115" s="45">
        <f t="shared" ca="1" si="47"/>
        <v>1.6649878776814318E-4</v>
      </c>
      <c r="AE115" s="45">
        <f t="shared" ca="1" si="47"/>
        <v>1.0567102529106173E-6</v>
      </c>
      <c r="AF115" s="45">
        <f t="shared" ca="1" si="47"/>
        <v>3.4297799967703623E-8</v>
      </c>
      <c r="AG115" s="45">
        <f t="shared" ca="1" si="47"/>
        <v>1.3917091907909535E-5</v>
      </c>
      <c r="AH115" s="45">
        <v>0</v>
      </c>
      <c r="AI115" s="22">
        <f t="shared" ca="1" si="44"/>
        <v>2.8887814456873774E-4</v>
      </c>
    </row>
    <row r="116" spans="4:35" ht="12" customHeight="1" x14ac:dyDescent="0.25">
      <c r="D116" s="341">
        <f t="shared" si="45"/>
        <v>105</v>
      </c>
      <c r="E116" s="43">
        <f t="shared" si="42"/>
        <v>96.25</v>
      </c>
      <c r="F116" s="44">
        <f>INDEX(rngU.Anticoag_NoEvent, MATCH(E116, Parameters!$D$427:$D$433, 1))</f>
        <v>0.62941959955229454</v>
      </c>
      <c r="G116" s="45">
        <f t="shared" ca="1" si="46"/>
        <v>4.8495196078144344E-5</v>
      </c>
      <c r="H116" s="45">
        <f t="shared" ca="1" si="46"/>
        <v>0</v>
      </c>
      <c r="I116" s="45">
        <f t="shared" ca="1" si="46"/>
        <v>1.5450810952966608E-6</v>
      </c>
      <c r="J116" s="45">
        <f t="shared" ca="1" si="46"/>
        <v>1.7931081589910088E-7</v>
      </c>
      <c r="K116" s="45">
        <f t="shared" ca="1" si="46"/>
        <v>6.5021812941964778E-8</v>
      </c>
      <c r="L116" s="45">
        <f t="shared" ca="1" si="46"/>
        <v>7.5459562383836118E-9</v>
      </c>
      <c r="M116" s="45">
        <f t="shared" ca="1" si="46"/>
        <v>2.611487728100467E-7</v>
      </c>
      <c r="N116" s="45">
        <f t="shared" ca="1" si="46"/>
        <v>3.0307017324956339E-8</v>
      </c>
      <c r="O116" s="45">
        <f t="shared" ca="1" si="46"/>
        <v>1.6491162642677767E-4</v>
      </c>
      <c r="P116" s="45">
        <f t="shared" ca="1" si="46"/>
        <v>8.7548404007415545E-7</v>
      </c>
      <c r="Q116" s="45">
        <f t="shared" ca="1" si="46"/>
        <v>2.8469084762481244E-8</v>
      </c>
      <c r="R116" s="45">
        <f t="shared" ca="1" si="46"/>
        <v>1.3808513851343975E-5</v>
      </c>
      <c r="S116" s="45">
        <v>0</v>
      </c>
      <c r="T116" s="22">
        <f t="shared" ca="1" si="43"/>
        <v>2.302077049516137E-4</v>
      </c>
      <c r="V116" s="45">
        <f t="shared" ca="1" si="47"/>
        <v>9.0268564171571639E-5</v>
      </c>
      <c r="W116" s="45">
        <f t="shared" ca="1" si="47"/>
        <v>0</v>
      </c>
      <c r="X116" s="45">
        <f t="shared" ca="1" si="47"/>
        <v>1.7080227146568635E-6</v>
      </c>
      <c r="Y116" s="45">
        <f t="shared" ca="1" si="47"/>
        <v>1.9822062898291758E-7</v>
      </c>
      <c r="Z116" s="45">
        <f t="shared" ca="1" si="47"/>
        <v>7.1878902532117129E-8</v>
      </c>
      <c r="AA116" s="45">
        <f t="shared" ca="1" si="47"/>
        <v>8.3417399243314161E-9</v>
      </c>
      <c r="AB116" s="45">
        <f t="shared" ca="1" si="47"/>
        <v>2.8868907737084295E-7</v>
      </c>
      <c r="AC116" s="45">
        <f t="shared" ca="1" si="47"/>
        <v>3.3503143726307407E-8</v>
      </c>
      <c r="AD116" s="45">
        <f t="shared" ca="1" si="47"/>
        <v>1.4564377817131776E-4</v>
      </c>
      <c r="AE116" s="45">
        <f t="shared" ca="1" si="47"/>
        <v>9.167224554438031E-7</v>
      </c>
      <c r="AF116" s="45">
        <f t="shared" ca="1" si="47"/>
        <v>2.9751238609112171E-8</v>
      </c>
      <c r="AG116" s="45">
        <f t="shared" ca="1" si="47"/>
        <v>1.1947206213722291E-5</v>
      </c>
      <c r="AH116" s="45">
        <v>0</v>
      </c>
      <c r="AI116" s="22">
        <f t="shared" ca="1" si="44"/>
        <v>2.5111467845785796E-4</v>
      </c>
    </row>
    <row r="117" spans="4:35" ht="12" customHeight="1" x14ac:dyDescent="0.25">
      <c r="D117" s="341">
        <f t="shared" si="45"/>
        <v>106</v>
      </c>
      <c r="E117" s="43">
        <f t="shared" si="42"/>
        <v>96.5</v>
      </c>
      <c r="F117" s="44">
        <f>INDEX(rngU.Anticoag_NoEvent, MATCH(E117, Parameters!$D$427:$D$433, 1))</f>
        <v>0.62941959955229454</v>
      </c>
      <c r="G117" s="45">
        <f t="shared" ca="1" si="46"/>
        <v>4.1803974682356742E-5</v>
      </c>
      <c r="H117" s="45">
        <f t="shared" ca="1" si="46"/>
        <v>0</v>
      </c>
      <c r="I117" s="45">
        <f t="shared" ca="1" si="46"/>
        <v>1.3439613736848305E-6</v>
      </c>
      <c r="J117" s="45">
        <f t="shared" ca="1" si="46"/>
        <v>1.5597033138641378E-7</v>
      </c>
      <c r="K117" s="45">
        <f t="shared" ca="1" si="46"/>
        <v>5.6558070192543849E-8</v>
      </c>
      <c r="L117" s="45">
        <f t="shared" ca="1" si="46"/>
        <v>6.56371613294282E-9</v>
      </c>
      <c r="M117" s="45">
        <f t="shared" ca="1" si="46"/>
        <v>2.2715562601230968E-7</v>
      </c>
      <c r="N117" s="45">
        <f t="shared" ca="1" si="46"/>
        <v>2.6362021230036273E-8</v>
      </c>
      <c r="O117" s="45">
        <f t="shared" ca="1" si="46"/>
        <v>1.438241630254321E-4</v>
      </c>
      <c r="P117" s="45">
        <f t="shared" ca="1" si="46"/>
        <v>7.581254188454892E-7</v>
      </c>
      <c r="Q117" s="45">
        <f t="shared" ca="1" si="46"/>
        <v>2.4648889800181499E-8</v>
      </c>
      <c r="R117" s="45">
        <f t="shared" ca="1" si="46"/>
        <v>1.1790381256019885E-5</v>
      </c>
      <c r="S117" s="45">
        <v>0</v>
      </c>
      <c r="T117" s="22">
        <f t="shared" ca="1" si="43"/>
        <v>2.0001786441109346E-4</v>
      </c>
      <c r="V117" s="45">
        <f t="shared" ca="1" si="47"/>
        <v>7.7813579001936289E-5</v>
      </c>
      <c r="W117" s="45">
        <f t="shared" ca="1" si="47"/>
        <v>0</v>
      </c>
      <c r="X117" s="45">
        <f t="shared" ca="1" si="47"/>
        <v>1.4856932499289846E-6</v>
      </c>
      <c r="Y117" s="45">
        <f t="shared" ca="1" si="47"/>
        <v>1.7241869674769606E-7</v>
      </c>
      <c r="Z117" s="45">
        <f t="shared" ca="1" si="47"/>
        <v>6.2522587895280785E-8</v>
      </c>
      <c r="AA117" s="45">
        <f t="shared" ca="1" si="47"/>
        <v>7.2559144511916362E-9</v>
      </c>
      <c r="AB117" s="45">
        <f t="shared" ca="1" si="47"/>
        <v>2.5111107123903397E-7</v>
      </c>
      <c r="AC117" s="45">
        <f t="shared" ca="1" si="47"/>
        <v>2.9142115065826428E-8</v>
      </c>
      <c r="AD117" s="45">
        <f t="shared" ca="1" si="47"/>
        <v>1.2739058578235913E-4</v>
      </c>
      <c r="AE117" s="45">
        <f t="shared" ca="1" si="47"/>
        <v>7.9535594314671669E-7</v>
      </c>
      <c r="AF117" s="45">
        <f t="shared" ca="1" si="47"/>
        <v>2.5809940269924451E-8</v>
      </c>
      <c r="AG117" s="45">
        <f t="shared" ca="1" si="47"/>
        <v>1.0259671137864062E-5</v>
      </c>
      <c r="AH117" s="45">
        <v>0</v>
      </c>
      <c r="AI117" s="22">
        <f t="shared" ca="1" si="44"/>
        <v>2.1829314544090413E-4</v>
      </c>
    </row>
    <row r="118" spans="4:35" ht="12" customHeight="1" x14ac:dyDescent="0.25">
      <c r="D118" s="341">
        <f t="shared" si="45"/>
        <v>107</v>
      </c>
      <c r="E118" s="43">
        <f t="shared" si="42"/>
        <v>96.75</v>
      </c>
      <c r="F118" s="44">
        <f>INDEX(rngU.Anticoag_NoEvent, MATCH(E118, Parameters!$D$427:$D$433, 1))</f>
        <v>0.62941959955229454</v>
      </c>
      <c r="G118" s="45">
        <f t="shared" ca="1" si="46"/>
        <v>3.6035987903360878E-5</v>
      </c>
      <c r="H118" s="45">
        <f t="shared" ca="1" si="46"/>
        <v>0</v>
      </c>
      <c r="I118" s="45">
        <f t="shared" ca="1" si="46"/>
        <v>1.1690209526575131E-6</v>
      </c>
      <c r="J118" s="45">
        <f t="shared" ca="1" si="46"/>
        <v>1.3566802510383153E-7</v>
      </c>
      <c r="K118" s="45">
        <f t="shared" ca="1" si="46"/>
        <v>4.9196033748856237E-8</v>
      </c>
      <c r="L118" s="45">
        <f t="shared" ca="1" si="46"/>
        <v>5.7093320068183083E-9</v>
      </c>
      <c r="M118" s="45">
        <f t="shared" ca="1" si="46"/>
        <v>1.9758729046977623E-7</v>
      </c>
      <c r="N118" s="45">
        <f t="shared" ca="1" si="46"/>
        <v>2.2930536379791521E-8</v>
      </c>
      <c r="O118" s="45">
        <f t="shared" ca="1" si="46"/>
        <v>1.254293537591208E-4</v>
      </c>
      <c r="P118" s="45">
        <f t="shared" ca="1" si="46"/>
        <v>6.5659984966088324E-7</v>
      </c>
      <c r="Q118" s="45">
        <f t="shared" ca="1" si="46"/>
        <v>2.1344706526296102E-8</v>
      </c>
      <c r="R118" s="45">
        <f t="shared" ca="1" si="46"/>
        <v>1.0071097637033179E-5</v>
      </c>
      <c r="S118" s="45">
        <v>0</v>
      </c>
      <c r="T118" s="22">
        <f t="shared" ca="1" si="43"/>
        <v>1.7379449602606862E-4</v>
      </c>
      <c r="V118" s="45">
        <f t="shared" ca="1" si="47"/>
        <v>6.7077095250812373E-5</v>
      </c>
      <c r="W118" s="45">
        <f t="shared" ca="1" si="47"/>
        <v>0</v>
      </c>
      <c r="X118" s="45">
        <f t="shared" ca="1" si="47"/>
        <v>1.2923039102135041E-6</v>
      </c>
      <c r="Y118" s="45">
        <f t="shared" ca="1" si="47"/>
        <v>1.4997534384141174E-7</v>
      </c>
      <c r="Z118" s="45">
        <f t="shared" ca="1" si="47"/>
        <v>5.4384163633779017E-8</v>
      </c>
      <c r="AA118" s="45">
        <f t="shared" ca="1" si="47"/>
        <v>6.3114284310693558E-9</v>
      </c>
      <c r="AB118" s="45">
        <f t="shared" ca="1" si="47"/>
        <v>2.1842450941714707E-7</v>
      </c>
      <c r="AC118" s="45">
        <f t="shared" ca="1" si="47"/>
        <v>2.5348751670817316E-8</v>
      </c>
      <c r="AD118" s="45">
        <f t="shared" ca="1" si="47"/>
        <v>1.1141610619270023E-4</v>
      </c>
      <c r="AE118" s="45">
        <f t="shared" ca="1" si="47"/>
        <v>6.9012140356237767E-7</v>
      </c>
      <c r="AF118" s="45">
        <f t="shared" ca="1" si="47"/>
        <v>2.2392916486384245E-8</v>
      </c>
      <c r="AG118" s="45">
        <f t="shared" ca="1" si="47"/>
        <v>8.8134854608046768E-6</v>
      </c>
      <c r="AH118" s="45">
        <v>0</v>
      </c>
      <c r="AI118" s="22">
        <f t="shared" ca="1" si="44"/>
        <v>1.897659493315738E-4</v>
      </c>
    </row>
    <row r="119" spans="4:35" ht="12" customHeight="1" x14ac:dyDescent="0.25">
      <c r="D119" s="341">
        <f t="shared" si="45"/>
        <v>108</v>
      </c>
      <c r="E119" s="43">
        <f t="shared" si="42"/>
        <v>97</v>
      </c>
      <c r="F119" s="44">
        <f>INDEX(rngU.Anticoag_NoEvent, MATCH(E119, Parameters!$D$427:$D$433, 1))</f>
        <v>0.62941959955229454</v>
      </c>
      <c r="G119" s="45">
        <f t="shared" ca="1" si="46"/>
        <v>3.106385060364222E-5</v>
      </c>
      <c r="H119" s="45">
        <f t="shared" ca="1" si="46"/>
        <v>0</v>
      </c>
      <c r="I119" s="45">
        <f t="shared" ca="1" si="46"/>
        <v>1.016852131698809E-6</v>
      </c>
      <c r="J119" s="45">
        <f t="shared" ca="1" si="46"/>
        <v>1.1800842424302978E-7</v>
      </c>
      <c r="K119" s="45">
        <f t="shared" ca="1" si="46"/>
        <v>4.2792296985721204E-8</v>
      </c>
      <c r="L119" s="45">
        <f t="shared" ca="1" si="46"/>
        <v>4.966161135531231E-9</v>
      </c>
      <c r="M119" s="45">
        <f t="shared" ca="1" si="46"/>
        <v>1.7186779848046588E-7</v>
      </c>
      <c r="N119" s="45">
        <f t="shared" ca="1" si="46"/>
        <v>1.9945720173605178E-8</v>
      </c>
      <c r="O119" s="45">
        <f t="shared" ca="1" si="46"/>
        <v>1.0938391168131022E-4</v>
      </c>
      <c r="P119" s="45">
        <f t="shared" ca="1" si="46"/>
        <v>5.6875518250742092E-7</v>
      </c>
      <c r="Q119" s="45">
        <f t="shared" ca="1" si="46"/>
        <v>1.8486296261592606E-8</v>
      </c>
      <c r="R119" s="45">
        <f t="shared" ca="1" si="46"/>
        <v>8.605840438934895E-6</v>
      </c>
      <c r="S119" s="45">
        <v>0</v>
      </c>
      <c r="T119" s="22">
        <f t="shared" ca="1" si="43"/>
        <v>1.5101527673537353E-4</v>
      </c>
      <c r="V119" s="45">
        <f t="shared" ca="1" si="47"/>
        <v>5.7821999257669361E-5</v>
      </c>
      <c r="W119" s="45">
        <f t="shared" ca="1" si="47"/>
        <v>0</v>
      </c>
      <c r="X119" s="45">
        <f t="shared" ca="1" si="47"/>
        <v>1.1240876247051265E-6</v>
      </c>
      <c r="Y119" s="45">
        <f t="shared" ca="1" si="47"/>
        <v>1.3045339156729383E-7</v>
      </c>
      <c r="Z119" s="45">
        <f t="shared" ca="1" si="47"/>
        <v>4.7305099704116619E-8</v>
      </c>
      <c r="AA119" s="45">
        <f t="shared" ca="1" si="47"/>
        <v>5.4898840261228047E-9</v>
      </c>
      <c r="AB119" s="45">
        <f t="shared" ca="1" si="47"/>
        <v>1.8999268363084903E-7</v>
      </c>
      <c r="AC119" s="45">
        <f t="shared" ca="1" si="47"/>
        <v>2.2049161833907595E-8</v>
      </c>
      <c r="AD119" s="45">
        <f t="shared" ca="1" si="47"/>
        <v>9.7437144702905104E-5</v>
      </c>
      <c r="AE119" s="45">
        <f t="shared" ca="1" si="47"/>
        <v>5.9886426880143714E-7</v>
      </c>
      <c r="AF119" s="45">
        <f t="shared" ca="1" si="47"/>
        <v>1.9430081699393154E-8</v>
      </c>
      <c r="AG119" s="45">
        <f t="shared" ca="1" si="47"/>
        <v>7.5736808860756887E-6</v>
      </c>
      <c r="AH119" s="45">
        <v>0</v>
      </c>
      <c r="AI119" s="22">
        <f t="shared" ca="1" si="44"/>
        <v>1.649704970426184E-4</v>
      </c>
    </row>
    <row r="120" spans="4:35" ht="12" customHeight="1" x14ac:dyDescent="0.25">
      <c r="D120" s="341">
        <f t="shared" si="45"/>
        <v>109</v>
      </c>
      <c r="E120" s="43">
        <f t="shared" si="42"/>
        <v>97.25</v>
      </c>
      <c r="F120" s="44">
        <f>INDEX(rngU.Anticoag_NoEvent, MATCH(E120, Parameters!$D$427:$D$433, 1))</f>
        <v>0.62941959955229454</v>
      </c>
      <c r="G120" s="45">
        <f t="shared" ca="1" si="46"/>
        <v>2.67777538640867E-5</v>
      </c>
      <c r="H120" s="45">
        <f t="shared" ca="1" si="46"/>
        <v>0</v>
      </c>
      <c r="I120" s="45">
        <f t="shared" ca="1" si="46"/>
        <v>8.8449078298371503E-7</v>
      </c>
      <c r="J120" s="45">
        <f t="shared" ca="1" si="46"/>
        <v>1.0264753379924891E-7</v>
      </c>
      <c r="K120" s="45">
        <f t="shared" ca="1" si="46"/>
        <v>3.7222120194938207E-8</v>
      </c>
      <c r="L120" s="45">
        <f t="shared" ca="1" si="46"/>
        <v>4.3197271405144443E-9</v>
      </c>
      <c r="M120" s="45">
        <f t="shared" ca="1" si="46"/>
        <v>1.4949615475920694E-7</v>
      </c>
      <c r="N120" s="45">
        <f t="shared" ca="1" si="46"/>
        <v>1.7349430761435047E-8</v>
      </c>
      <c r="O120" s="45">
        <f t="shared" ca="1" si="46"/>
        <v>9.5388239950757914E-5</v>
      </c>
      <c r="P120" s="45">
        <f t="shared" ca="1" si="46"/>
        <v>4.9273434641986241E-7</v>
      </c>
      <c r="Q120" s="45">
        <f t="shared" ca="1" si="46"/>
        <v>1.6013066115654233E-8</v>
      </c>
      <c r="R120" s="45">
        <f t="shared" ca="1" si="46"/>
        <v>7.3565916170201005E-6</v>
      </c>
      <c r="S120" s="45">
        <v>0</v>
      </c>
      <c r="T120" s="22">
        <f t="shared" ca="1" si="43"/>
        <v>1.3122685859403928E-4</v>
      </c>
      <c r="V120" s="45">
        <f t="shared" ca="1" si="47"/>
        <v>4.9843893592178534E-5</v>
      </c>
      <c r="W120" s="45">
        <f t="shared" ca="1" si="47"/>
        <v>0</v>
      </c>
      <c r="X120" s="45">
        <f t="shared" ca="1" si="47"/>
        <v>9.7776767370955011E-7</v>
      </c>
      <c r="Y120" s="45">
        <f t="shared" ca="1" si="47"/>
        <v>1.134725677935775E-7</v>
      </c>
      <c r="Z120" s="45">
        <f t="shared" ca="1" si="47"/>
        <v>4.114750156103332E-8</v>
      </c>
      <c r="AA120" s="45">
        <f t="shared" ca="1" si="47"/>
        <v>4.7752782035701338E-9</v>
      </c>
      <c r="AB120" s="45">
        <f t="shared" ca="1" si="47"/>
        <v>1.6526176448593238E-7</v>
      </c>
      <c r="AC120" s="45">
        <f t="shared" ca="1" si="47"/>
        <v>1.9179072164628297E-8</v>
      </c>
      <c r="AD120" s="45">
        <f t="shared" ca="1" si="47"/>
        <v>8.5205517749121077E-5</v>
      </c>
      <c r="AE120" s="45">
        <f t="shared" ca="1" si="47"/>
        <v>5.1971938720560009E-7</v>
      </c>
      <c r="AF120" s="45">
        <f t="shared" ca="1" si="47"/>
        <v>1.6860774944226943E-8</v>
      </c>
      <c r="AG120" s="45">
        <f t="shared" ca="1" si="47"/>
        <v>6.5104227588935521E-6</v>
      </c>
      <c r="AH120" s="45">
        <v>0</v>
      </c>
      <c r="AI120" s="22">
        <f t="shared" ca="1" si="44"/>
        <v>1.4341801812026129E-4</v>
      </c>
    </row>
    <row r="121" spans="4:35" ht="12" customHeight="1" x14ac:dyDescent="0.25">
      <c r="D121" s="341">
        <f t="shared" si="45"/>
        <v>110</v>
      </c>
      <c r="E121" s="43">
        <f t="shared" si="42"/>
        <v>97.5</v>
      </c>
      <c r="F121" s="44">
        <f>INDEX(rngU.Anticoag_NoEvent, MATCH(E121, Parameters!$D$427:$D$433, 1))</f>
        <v>0.62941959955229454</v>
      </c>
      <c r="G121" s="45">
        <f t="shared" ref="G121:R131" ca="1" si="48">PRODUCT(AVERAGE(OFFSET(C.Trace.Markov.Root, $D121, (G$2-1)*C.Trace.Markov.NumCols+G$3-1, CHOOSE(swtchHalfCycle, 2, 1))), $F121+G$6, C.cycleLength)</f>
        <v>2.3083039870193575E-5</v>
      </c>
      <c r="H121" s="45">
        <f t="shared" ca="1" si="48"/>
        <v>0</v>
      </c>
      <c r="I121" s="45">
        <f t="shared" ca="1" si="48"/>
        <v>7.6935861252132294E-7</v>
      </c>
      <c r="J121" s="45">
        <f t="shared" ca="1" si="48"/>
        <v>8.9286135821699975E-8</v>
      </c>
      <c r="K121" s="45">
        <f t="shared" ca="1" si="48"/>
        <v>3.237700075480248E-8</v>
      </c>
      <c r="L121" s="45">
        <f t="shared" ca="1" si="48"/>
        <v>3.7574380007508616E-9</v>
      </c>
      <c r="M121" s="45">
        <f t="shared" ca="1" si="48"/>
        <v>1.3003657744722259E-7</v>
      </c>
      <c r="N121" s="45">
        <f t="shared" ca="1" si="48"/>
        <v>1.5091094486733828E-8</v>
      </c>
      <c r="O121" s="45">
        <f t="shared" ca="1" si="48"/>
        <v>8.3180882046116403E-5</v>
      </c>
      <c r="P121" s="45">
        <f t="shared" ca="1" si="48"/>
        <v>4.2693449270734992E-7</v>
      </c>
      <c r="Q121" s="45">
        <f t="shared" ca="1" si="48"/>
        <v>1.3872731026186273E-8</v>
      </c>
      <c r="R121" s="45">
        <f t="shared" ca="1" si="48"/>
        <v>6.2910930093503974E-6</v>
      </c>
      <c r="S121" s="45">
        <v>0</v>
      </c>
      <c r="T121" s="22">
        <f t="shared" ca="1" si="43"/>
        <v>1.1403572900842645E-4</v>
      </c>
      <c r="V121" s="45">
        <f t="shared" ref="V121:AG131" ca="1" si="49">PRODUCT(AVERAGE(OFFSET(C.Trace.Markov.Root, $D121, (V$2-1)*C.Trace.Markov.NumCols+V$3-1, CHOOSE(swtchHalfCycle, 2, 1))), $F121+V$6, C.cycleLength)</f>
        <v>4.2966582967102958E-5</v>
      </c>
      <c r="W121" s="45">
        <f t="shared" ca="1" si="49"/>
        <v>0</v>
      </c>
      <c r="X121" s="45">
        <f t="shared" ca="1" si="49"/>
        <v>8.5049386074521865E-7</v>
      </c>
      <c r="Y121" s="45">
        <f t="shared" ca="1" si="49"/>
        <v>9.8702099554276399E-8</v>
      </c>
      <c r="Z121" s="45">
        <f t="shared" ca="1" si="49"/>
        <v>3.5791424081237066E-8</v>
      </c>
      <c r="AA121" s="45">
        <f t="shared" ca="1" si="49"/>
        <v>4.1536910093156686E-9</v>
      </c>
      <c r="AB121" s="45">
        <f t="shared" ca="1" si="49"/>
        <v>1.4375001331140332E-7</v>
      </c>
      <c r="AC121" s="45">
        <f t="shared" ca="1" si="49"/>
        <v>1.6682575594794445E-8</v>
      </c>
      <c r="AD121" s="45">
        <f t="shared" ca="1" si="49"/>
        <v>7.4503751071727491E-5</v>
      </c>
      <c r="AE121" s="45">
        <f t="shared" ca="1" si="49"/>
        <v>4.5107188283936537E-7</v>
      </c>
      <c r="AF121" s="45">
        <f t="shared" ca="1" si="49"/>
        <v>1.4632483650031606E-8</v>
      </c>
      <c r="AG121" s="45">
        <f t="shared" ca="1" si="49"/>
        <v>5.5982465141863455E-6</v>
      </c>
      <c r="AH121" s="45">
        <v>0</v>
      </c>
      <c r="AI121" s="22">
        <f t="shared" ca="1" si="44"/>
        <v>1.2468385858380241E-4</v>
      </c>
    </row>
    <row r="122" spans="4:35" ht="12" customHeight="1" x14ac:dyDescent="0.25">
      <c r="D122" s="341">
        <f t="shared" si="45"/>
        <v>111</v>
      </c>
      <c r="E122" s="43">
        <f t="shared" si="42"/>
        <v>97.75</v>
      </c>
      <c r="F122" s="44">
        <f>INDEX(rngU.Anticoag_NoEvent, MATCH(E122, Parameters!$D$427:$D$433, 1))</f>
        <v>0.62941959955229454</v>
      </c>
      <c r="G122" s="45">
        <f t="shared" ca="1" si="48"/>
        <v>1.989811140819966E-5</v>
      </c>
      <c r="H122" s="45">
        <f t="shared" ca="1" si="48"/>
        <v>0</v>
      </c>
      <c r="I122" s="45">
        <f t="shared" ca="1" si="48"/>
        <v>6.6921293703479242E-7</v>
      </c>
      <c r="J122" s="45">
        <f t="shared" ca="1" si="48"/>
        <v>7.7663960885433252E-8</v>
      </c>
      <c r="K122" s="45">
        <f t="shared" ca="1" si="48"/>
        <v>2.8162559585174654E-8</v>
      </c>
      <c r="L122" s="45">
        <f t="shared" ca="1" si="48"/>
        <v>3.2683407702008827E-9</v>
      </c>
      <c r="M122" s="45">
        <f t="shared" ca="1" si="48"/>
        <v>1.131100094274908E-7</v>
      </c>
      <c r="N122" s="45">
        <f t="shared" ca="1" si="48"/>
        <v>1.3126720751770109E-8</v>
      </c>
      <c r="O122" s="45">
        <f t="shared" ca="1" si="48"/>
        <v>7.2533675445266834E-5</v>
      </c>
      <c r="P122" s="45">
        <f t="shared" ca="1" si="48"/>
        <v>3.6997185724362312E-7</v>
      </c>
      <c r="Q122" s="45">
        <f t="shared" ca="1" si="48"/>
        <v>1.2020163453520521E-8</v>
      </c>
      <c r="R122" s="45">
        <f t="shared" ca="1" si="48"/>
        <v>5.3819637142058279E-6</v>
      </c>
      <c r="S122" s="45">
        <v>0</v>
      </c>
      <c r="T122" s="22">
        <f t="shared" ca="1" si="43"/>
        <v>9.9100287116824317E-5</v>
      </c>
      <c r="V122" s="45">
        <f t="shared" ca="1" si="49"/>
        <v>3.7038182991359147E-5</v>
      </c>
      <c r="W122" s="45">
        <f t="shared" ca="1" si="49"/>
        <v>0</v>
      </c>
      <c r="X122" s="45">
        <f t="shared" ca="1" si="49"/>
        <v>7.3978699297863924E-7</v>
      </c>
      <c r="Y122" s="45">
        <f t="shared" ca="1" si="49"/>
        <v>8.585426985440697E-8</v>
      </c>
      <c r="Z122" s="45">
        <f t="shared" ca="1" si="49"/>
        <v>3.1132535127626999E-8</v>
      </c>
      <c r="AA122" s="45">
        <f t="shared" ca="1" si="49"/>
        <v>3.6130144182952254E-9</v>
      </c>
      <c r="AB122" s="45">
        <f t="shared" ca="1" si="49"/>
        <v>1.250383982726242E-7</v>
      </c>
      <c r="AC122" s="45">
        <f t="shared" ca="1" si="49"/>
        <v>1.4511042353201604E-8</v>
      </c>
      <c r="AD122" s="45">
        <f t="shared" ca="1" si="49"/>
        <v>6.5141302592036597E-5</v>
      </c>
      <c r="AE122" s="45">
        <f t="shared" ca="1" si="49"/>
        <v>3.9152335025391891E-7</v>
      </c>
      <c r="AF122" s="45">
        <f t="shared" ca="1" si="49"/>
        <v>1.2699741655057628E-8</v>
      </c>
      <c r="AG122" s="45">
        <f t="shared" ca="1" si="49"/>
        <v>4.8154091278801175E-6</v>
      </c>
      <c r="AH122" s="45">
        <v>0</v>
      </c>
      <c r="AI122" s="22">
        <f t="shared" ca="1" si="44"/>
        <v>1.0839905405618964E-4</v>
      </c>
    </row>
    <row r="123" spans="4:35" ht="12" customHeight="1" x14ac:dyDescent="0.25">
      <c r="D123" s="341">
        <f t="shared" si="45"/>
        <v>112</v>
      </c>
      <c r="E123" s="43">
        <f t="shared" si="42"/>
        <v>98</v>
      </c>
      <c r="F123" s="44">
        <f>INDEX(rngU.Anticoag_NoEvent, MATCH(E123, Parameters!$D$427:$D$433, 1))</f>
        <v>0.62941959955229454</v>
      </c>
      <c r="G123" s="45">
        <f t="shared" ca="1" si="48"/>
        <v>1.7152629802645021E-5</v>
      </c>
      <c r="H123" s="45">
        <f t="shared" ca="1" si="48"/>
        <v>0</v>
      </c>
      <c r="I123" s="45">
        <f t="shared" ca="1" si="48"/>
        <v>5.8210299827159061E-7</v>
      </c>
      <c r="J123" s="45">
        <f t="shared" ca="1" si="48"/>
        <v>6.7554618249568969E-8</v>
      </c>
      <c r="K123" s="45">
        <f t="shared" ca="1" si="48"/>
        <v>2.4496702717927572E-8</v>
      </c>
      <c r="L123" s="45">
        <f t="shared" ca="1" si="48"/>
        <v>2.8429082231091151E-9</v>
      </c>
      <c r="M123" s="45">
        <f t="shared" ca="1" si="48"/>
        <v>9.8386734593039074E-8</v>
      </c>
      <c r="N123" s="45">
        <f t="shared" ca="1" si="48"/>
        <v>1.1418045115708856E-8</v>
      </c>
      <c r="O123" s="45">
        <f t="shared" ca="1" si="48"/>
        <v>6.3247519814017486E-5</v>
      </c>
      <c r="P123" s="45">
        <f t="shared" ca="1" si="48"/>
        <v>3.2065153172547519E-7</v>
      </c>
      <c r="Q123" s="45">
        <f t="shared" ca="1" si="48"/>
        <v>1.0416404092979368E-8</v>
      </c>
      <c r="R123" s="45">
        <f t="shared" ca="1" si="48"/>
        <v>4.6059541214892415E-6</v>
      </c>
      <c r="S123" s="45">
        <v>0</v>
      </c>
      <c r="T123" s="22">
        <f t="shared" ca="1" si="43"/>
        <v>8.6123973681141142E-5</v>
      </c>
      <c r="V123" s="45">
        <f t="shared" ca="1" si="49"/>
        <v>3.1927765825635594E-5</v>
      </c>
      <c r="W123" s="45">
        <f t="shared" ca="1" si="49"/>
        <v>0</v>
      </c>
      <c r="X123" s="45">
        <f t="shared" ca="1" si="49"/>
        <v>6.434905885162252E-7</v>
      </c>
      <c r="Y123" s="45">
        <f t="shared" ca="1" si="49"/>
        <v>7.4678813171345315E-8</v>
      </c>
      <c r="Z123" s="45">
        <f t="shared" ca="1" si="49"/>
        <v>2.7080083242092364E-8</v>
      </c>
      <c r="AA123" s="45">
        <f t="shared" ca="1" si="49"/>
        <v>3.1427164797604552E-9</v>
      </c>
      <c r="AB123" s="45">
        <f t="shared" ca="1" si="49"/>
        <v>1.0876243196384549E-7</v>
      </c>
      <c r="AC123" s="45">
        <f t="shared" ca="1" si="49"/>
        <v>1.2622172696290146E-8</v>
      </c>
      <c r="AD123" s="45">
        <f t="shared" ca="1" si="49"/>
        <v>5.6951246560897402E-5</v>
      </c>
      <c r="AE123" s="45">
        <f t="shared" ca="1" si="49"/>
        <v>3.3986265065760679E-7</v>
      </c>
      <c r="AF123" s="45">
        <f t="shared" ca="1" si="49"/>
        <v>1.1023177434267425E-8</v>
      </c>
      <c r="AG123" s="45">
        <f t="shared" ca="1" si="49"/>
        <v>4.1433380441812491E-6</v>
      </c>
      <c r="AH123" s="45">
        <v>0</v>
      </c>
      <c r="AI123" s="22">
        <f t="shared" ca="1" si="44"/>
        <v>9.4243013064875677E-5</v>
      </c>
    </row>
    <row r="124" spans="4:35" ht="12" customHeight="1" x14ac:dyDescent="0.25">
      <c r="D124" s="341">
        <f t="shared" si="45"/>
        <v>113</v>
      </c>
      <c r="E124" s="43">
        <f t="shared" si="42"/>
        <v>98.25</v>
      </c>
      <c r="F124" s="44">
        <f>INDEX(rngU.Anticoag_NoEvent, MATCH(E124, Parameters!$D$427:$D$433, 1))</f>
        <v>0.62941959955229454</v>
      </c>
      <c r="G124" s="45">
        <f t="shared" ca="1" si="48"/>
        <v>1.4785961497096967E-5</v>
      </c>
      <c r="H124" s="45">
        <f t="shared" ca="1" si="48"/>
        <v>0</v>
      </c>
      <c r="I124" s="45">
        <f t="shared" ca="1" si="48"/>
        <v>5.0633196378144584E-7</v>
      </c>
      <c r="J124" s="45">
        <f t="shared" ca="1" si="48"/>
        <v>5.8761185945397185E-8</v>
      </c>
      <c r="K124" s="45">
        <f t="shared" ca="1" si="48"/>
        <v>2.1308022171621744E-8</v>
      </c>
      <c r="L124" s="45">
        <f t="shared" ca="1" si="48"/>
        <v>2.4728532712103552E-9</v>
      </c>
      <c r="M124" s="45">
        <f t="shared" ca="1" si="48"/>
        <v>8.5579955238943241E-8</v>
      </c>
      <c r="N124" s="45">
        <f t="shared" ca="1" si="48"/>
        <v>9.9317839336821806E-9</v>
      </c>
      <c r="O124" s="45">
        <f t="shared" ca="1" si="48"/>
        <v>5.5148681967380063E-5</v>
      </c>
      <c r="P124" s="45">
        <f t="shared" ca="1" si="48"/>
        <v>2.7794145000747356E-7</v>
      </c>
      <c r="Q124" s="45">
        <f t="shared" ca="1" si="48"/>
        <v>9.027810797203313E-9</v>
      </c>
      <c r="R124" s="45">
        <f t="shared" ca="1" si="48"/>
        <v>3.9433152449469547E-6</v>
      </c>
      <c r="S124" s="45">
        <v>0</v>
      </c>
      <c r="T124" s="22">
        <f t="shared" ca="1" si="43"/>
        <v>7.4849313734570957E-5</v>
      </c>
      <c r="V124" s="45">
        <f t="shared" ca="1" si="49"/>
        <v>2.7522468660367105E-5</v>
      </c>
      <c r="W124" s="45">
        <f t="shared" ca="1" si="49"/>
        <v>0</v>
      </c>
      <c r="X124" s="45">
        <f t="shared" ca="1" si="49"/>
        <v>5.5972886984904584E-7</v>
      </c>
      <c r="Y124" s="45">
        <f t="shared" ca="1" si="49"/>
        <v>6.4958040481133155E-8</v>
      </c>
      <c r="Z124" s="45">
        <f t="shared" ca="1" si="49"/>
        <v>2.355512987915636E-8</v>
      </c>
      <c r="AA124" s="45">
        <f t="shared" ca="1" si="49"/>
        <v>2.7336361632396086E-9</v>
      </c>
      <c r="AB124" s="45">
        <f t="shared" ca="1" si="49"/>
        <v>9.4605071482909496E-8</v>
      </c>
      <c r="AC124" s="45">
        <f t="shared" ca="1" si="49"/>
        <v>1.0979172942722577E-8</v>
      </c>
      <c r="AD124" s="45">
        <f t="shared" ca="1" si="49"/>
        <v>4.9787363129284783E-5</v>
      </c>
      <c r="AE124" s="45">
        <f t="shared" ca="1" si="49"/>
        <v>2.9504067760451836E-7</v>
      </c>
      <c r="AF124" s="45">
        <f t="shared" ca="1" si="49"/>
        <v>9.5686918776353264E-9</v>
      </c>
      <c r="AG124" s="45">
        <f t="shared" ca="1" si="49"/>
        <v>3.5661627520135676E-6</v>
      </c>
      <c r="AH124" s="45">
        <v>0</v>
      </c>
      <c r="AI124" s="22">
        <f t="shared" ca="1" si="44"/>
        <v>8.1937163831945824E-5</v>
      </c>
    </row>
    <row r="125" spans="4:35" ht="12" customHeight="1" x14ac:dyDescent="0.25">
      <c r="D125" s="341">
        <f t="shared" si="45"/>
        <v>114</v>
      </c>
      <c r="E125" s="43">
        <f t="shared" si="42"/>
        <v>98.5</v>
      </c>
      <c r="F125" s="44">
        <f>INDEX(rngU.Anticoag_NoEvent, MATCH(E125, Parameters!$D$427:$D$433, 1))</f>
        <v>0.62941959955229454</v>
      </c>
      <c r="G125" s="45">
        <f t="shared" ca="1" si="48"/>
        <v>1.27458389709968E-5</v>
      </c>
      <c r="H125" s="45">
        <f t="shared" ca="1" si="48"/>
        <v>0</v>
      </c>
      <c r="I125" s="45">
        <f t="shared" ca="1" si="48"/>
        <v>4.4042387396733586E-7</v>
      </c>
      <c r="J125" s="45">
        <f t="shared" ca="1" si="48"/>
        <v>5.1112374892764271E-8</v>
      </c>
      <c r="K125" s="45">
        <f t="shared" ca="1" si="48"/>
        <v>1.8534404980717956E-8</v>
      </c>
      <c r="L125" s="45">
        <f t="shared" ca="1" si="48"/>
        <v>2.1509675378293249E-9</v>
      </c>
      <c r="M125" s="45">
        <f t="shared" ca="1" si="48"/>
        <v>7.4440205470725113E-8</v>
      </c>
      <c r="N125" s="45">
        <f t="shared" ca="1" si="48"/>
        <v>8.6389860178113089E-9</v>
      </c>
      <c r="O125" s="45">
        <f t="shared" ca="1" si="48"/>
        <v>4.8085569674664678E-5</v>
      </c>
      <c r="P125" s="45">
        <f t="shared" ca="1" si="48"/>
        <v>2.4094999493662582E-7</v>
      </c>
      <c r="Q125" s="45">
        <f t="shared" ca="1" si="48"/>
        <v>7.8253261722013584E-9</v>
      </c>
      <c r="R125" s="45">
        <f t="shared" ca="1" si="48"/>
        <v>3.3772653655547624E-6</v>
      </c>
      <c r="S125" s="45">
        <v>0</v>
      </c>
      <c r="T125" s="22">
        <f t="shared" ca="1" si="43"/>
        <v>6.5052750145192247E-5</v>
      </c>
      <c r="V125" s="45">
        <f t="shared" ca="1" si="49"/>
        <v>2.3725001157227381E-5</v>
      </c>
      <c r="W125" s="45">
        <f t="shared" ca="1" si="49"/>
        <v>0</v>
      </c>
      <c r="X125" s="45">
        <f t="shared" ca="1" si="49"/>
        <v>4.8687022519613835E-7</v>
      </c>
      <c r="Y125" s="45">
        <f t="shared" ca="1" si="49"/>
        <v>5.6502598849115064E-8</v>
      </c>
      <c r="Z125" s="45">
        <f t="shared" ca="1" si="49"/>
        <v>2.0489011745779783E-8</v>
      </c>
      <c r="AA125" s="45">
        <f t="shared" ca="1" si="49"/>
        <v>2.3778049089369211E-9</v>
      </c>
      <c r="AB125" s="45">
        <f t="shared" ca="1" si="49"/>
        <v>8.2290542687217496E-8</v>
      </c>
      <c r="AC125" s="45">
        <f t="shared" ca="1" si="49"/>
        <v>9.5500387616817187E-9</v>
      </c>
      <c r="AD125" s="45">
        <f t="shared" ca="1" si="49"/>
        <v>4.3521584182304126E-5</v>
      </c>
      <c r="AE125" s="45">
        <f t="shared" ca="1" si="49"/>
        <v>2.5614854795890292E-7</v>
      </c>
      <c r="AF125" s="45">
        <f t="shared" ca="1" si="49"/>
        <v>8.3067478285825281E-9</v>
      </c>
      <c r="AG125" s="45">
        <f t="shared" ca="1" si="49"/>
        <v>3.0703164640594681E-6</v>
      </c>
      <c r="AH125" s="45">
        <v>0</v>
      </c>
      <c r="AI125" s="22">
        <f t="shared" ca="1" si="44"/>
        <v>7.1239437321527326E-5</v>
      </c>
    </row>
    <row r="126" spans="4:35" ht="12" customHeight="1" x14ac:dyDescent="0.25">
      <c r="D126" s="341">
        <f t="shared" si="45"/>
        <v>115</v>
      </c>
      <c r="E126" s="43">
        <f t="shared" si="42"/>
        <v>98.75</v>
      </c>
      <c r="F126" s="44">
        <f>INDEX(rngU.Anticoag_NoEvent, MATCH(E126, Parameters!$D$427:$D$433, 1))</f>
        <v>0.62941959955229454</v>
      </c>
      <c r="G126" s="45">
        <f t="shared" ca="1" si="48"/>
        <v>1.0987206419175172E-5</v>
      </c>
      <c r="H126" s="45">
        <f t="shared" ca="1" si="48"/>
        <v>0</v>
      </c>
      <c r="I126" s="45">
        <f t="shared" ca="1" si="48"/>
        <v>3.8309489156430725E-7</v>
      </c>
      <c r="J126" s="45">
        <f t="shared" ca="1" si="48"/>
        <v>4.4459192324778402E-8</v>
      </c>
      <c r="K126" s="45">
        <f t="shared" ca="1" si="48"/>
        <v>1.6121823284320201E-8</v>
      </c>
      <c r="L126" s="45">
        <f t="shared" ca="1" si="48"/>
        <v>1.8709809444257878E-9</v>
      </c>
      <c r="M126" s="45">
        <f t="shared" ca="1" si="48"/>
        <v>6.4750491806779773E-8</v>
      </c>
      <c r="N126" s="45">
        <f t="shared" ca="1" si="48"/>
        <v>7.5144686910511176E-9</v>
      </c>
      <c r="O126" s="45">
        <f t="shared" ca="1" si="48"/>
        <v>4.1925914953854911E-5</v>
      </c>
      <c r="P126" s="45">
        <f t="shared" ca="1" si="48"/>
        <v>2.0890671602548702E-7</v>
      </c>
      <c r="Q126" s="45">
        <f t="shared" ca="1" si="48"/>
        <v>6.7838471070747573E-9</v>
      </c>
      <c r="R126" s="45">
        <f t="shared" ca="1" si="48"/>
        <v>2.8935388264253049E-6</v>
      </c>
      <c r="S126" s="45">
        <v>0</v>
      </c>
      <c r="T126" s="22">
        <f t="shared" ca="1" si="43"/>
        <v>5.6540162611203614E-5</v>
      </c>
      <c r="V126" s="45">
        <f t="shared" ca="1" si="49"/>
        <v>2.0451496806352717E-5</v>
      </c>
      <c r="W126" s="45">
        <f t="shared" ca="1" si="49"/>
        <v>0</v>
      </c>
      <c r="X126" s="45">
        <f t="shared" ca="1" si="49"/>
        <v>4.234954260023551E-7</v>
      </c>
      <c r="Y126" s="45">
        <f t="shared" ca="1" si="49"/>
        <v>4.914778298509916E-8</v>
      </c>
      <c r="Z126" s="45">
        <f t="shared" ca="1" si="49"/>
        <v>1.7822003294924617E-8</v>
      </c>
      <c r="AA126" s="45">
        <f t="shared" ca="1" si="49"/>
        <v>2.0682914065140483E-9</v>
      </c>
      <c r="AB126" s="45">
        <f t="shared" ca="1" si="49"/>
        <v>7.1578968332369851E-8</v>
      </c>
      <c r="AC126" s="45">
        <f t="shared" ca="1" si="49"/>
        <v>8.3069317539147035E-9</v>
      </c>
      <c r="AD126" s="45">
        <f t="shared" ca="1" si="49"/>
        <v>3.8041752178211606E-5</v>
      </c>
      <c r="AE126" s="45">
        <f t="shared" ca="1" si="49"/>
        <v>2.2239874924695674E-7</v>
      </c>
      <c r="AF126" s="45">
        <f t="shared" ca="1" si="49"/>
        <v>7.2117560596315524E-9</v>
      </c>
      <c r="AG126" s="45">
        <f t="shared" ca="1" si="49"/>
        <v>2.6441972779415951E-6</v>
      </c>
      <c r="AH126" s="45">
        <v>0</v>
      </c>
      <c r="AI126" s="22">
        <f t="shared" ca="1" si="44"/>
        <v>6.1939476171587679E-5</v>
      </c>
    </row>
    <row r="127" spans="4:35" ht="12" customHeight="1" x14ac:dyDescent="0.25">
      <c r="D127" s="341">
        <f t="shared" si="45"/>
        <v>116</v>
      </c>
      <c r="E127" s="43">
        <f t="shared" si="42"/>
        <v>99</v>
      </c>
      <c r="F127" s="44">
        <f>INDEX(rngU.Anticoag_NoEvent, MATCH(E127, Parameters!$D$427:$D$433, 1))</f>
        <v>0.62941959955229454</v>
      </c>
      <c r="G127" s="45">
        <f t="shared" ca="1" si="48"/>
        <v>9.4712247010385067E-6</v>
      </c>
      <c r="H127" s="45">
        <f t="shared" ca="1" si="48"/>
        <v>0</v>
      </c>
      <c r="I127" s="45">
        <f t="shared" ca="1" si="48"/>
        <v>3.3322829350879594E-7</v>
      </c>
      <c r="J127" s="45">
        <f t="shared" ca="1" si="48"/>
        <v>3.8672039526996331E-8</v>
      </c>
      <c r="K127" s="45">
        <f t="shared" ca="1" si="48"/>
        <v>1.4023281906338326E-8</v>
      </c>
      <c r="L127" s="45">
        <f t="shared" ca="1" si="48"/>
        <v>1.6274395744424184E-9</v>
      </c>
      <c r="M127" s="45">
        <f t="shared" ca="1" si="48"/>
        <v>5.632206631762559E-8</v>
      </c>
      <c r="N127" s="45">
        <f t="shared" ca="1" si="48"/>
        <v>6.5363272486339235E-9</v>
      </c>
      <c r="O127" s="45">
        <f t="shared" ca="1" si="48"/>
        <v>3.6554314995824904E-5</v>
      </c>
      <c r="P127" s="45">
        <f t="shared" ca="1" si="48"/>
        <v>1.8114572093201633E-7</v>
      </c>
      <c r="Q127" s="45">
        <f t="shared" ca="1" si="48"/>
        <v>5.8816818881060143E-9</v>
      </c>
      <c r="R127" s="45">
        <f t="shared" ca="1" si="48"/>
        <v>2.4800042012325845E-6</v>
      </c>
      <c r="S127" s="45">
        <v>0</v>
      </c>
      <c r="T127" s="22">
        <f t="shared" ca="1" si="43"/>
        <v>4.9142980748998952E-5</v>
      </c>
      <c r="V127" s="45">
        <f t="shared" ca="1" si="49"/>
        <v>1.7629660746837907E-5</v>
      </c>
      <c r="W127" s="45">
        <f t="shared" ca="1" si="49"/>
        <v>0</v>
      </c>
      <c r="X127" s="45">
        <f t="shared" ca="1" si="49"/>
        <v>3.6836998149283987E-7</v>
      </c>
      <c r="Y127" s="45">
        <f t="shared" ca="1" si="49"/>
        <v>4.2750326915064252E-8</v>
      </c>
      <c r="Z127" s="45">
        <f t="shared" ca="1" si="49"/>
        <v>1.5502153319314012E-8</v>
      </c>
      <c r="AA127" s="45">
        <f t="shared" ca="1" si="49"/>
        <v>1.7990665786674699E-9</v>
      </c>
      <c r="AB127" s="45">
        <f t="shared" ca="1" si="49"/>
        <v>6.2261695453884349E-8</v>
      </c>
      <c r="AC127" s="45">
        <f t="shared" ca="1" si="49"/>
        <v>7.2256371818165169E-9</v>
      </c>
      <c r="AD127" s="45">
        <f t="shared" ca="1" si="49"/>
        <v>3.3249653935017023E-5</v>
      </c>
      <c r="AE127" s="45">
        <f t="shared" ca="1" si="49"/>
        <v>1.9310883931376346E-7</v>
      </c>
      <c r="AF127" s="45">
        <f t="shared" ca="1" si="49"/>
        <v>6.2615444839201255E-9</v>
      </c>
      <c r="AG127" s="45">
        <f t="shared" ca="1" si="49"/>
        <v>2.277879826471003E-6</v>
      </c>
      <c r="AH127" s="45">
        <v>0</v>
      </c>
      <c r="AI127" s="22">
        <f t="shared" ca="1" si="44"/>
        <v>5.3854473753065203E-5</v>
      </c>
    </row>
    <row r="128" spans="4:35" ht="12" customHeight="1" x14ac:dyDescent="0.25">
      <c r="D128" s="341">
        <f t="shared" si="45"/>
        <v>117</v>
      </c>
      <c r="E128" s="43">
        <f t="shared" si="42"/>
        <v>99.25</v>
      </c>
      <c r="F128" s="44">
        <f>INDEX(rngU.Anticoag_NoEvent, MATCH(E128, Parameters!$D$427:$D$433, 1))</f>
        <v>0.62941959955229454</v>
      </c>
      <c r="G128" s="45">
        <f t="shared" ca="1" si="48"/>
        <v>8.1644135838758701E-6</v>
      </c>
      <c r="H128" s="45">
        <f t="shared" ca="1" si="48"/>
        <v>0</v>
      </c>
      <c r="I128" s="45">
        <f t="shared" ca="1" si="48"/>
        <v>2.8985271805991856E-7</v>
      </c>
      <c r="J128" s="45">
        <f t="shared" ca="1" si="48"/>
        <v>3.3638187357354813E-8</v>
      </c>
      <c r="K128" s="45">
        <f t="shared" ca="1" si="48"/>
        <v>1.2197902926767374E-8</v>
      </c>
      <c r="L128" s="45">
        <f t="shared" ca="1" si="48"/>
        <v>1.4155994353401468E-9</v>
      </c>
      <c r="M128" s="45">
        <f t="shared" ca="1" si="48"/>
        <v>4.8990749966085481E-8</v>
      </c>
      <c r="N128" s="45">
        <f t="shared" ca="1" si="48"/>
        <v>5.6855082718107874E-9</v>
      </c>
      <c r="O128" s="45">
        <f t="shared" ca="1" si="48"/>
        <v>3.1870085410305129E-5</v>
      </c>
      <c r="P128" s="45">
        <f t="shared" ca="1" si="48"/>
        <v>1.5709136586018611E-7</v>
      </c>
      <c r="Q128" s="45">
        <f t="shared" ca="1" si="48"/>
        <v>5.1000825927671981E-9</v>
      </c>
      <c r="R128" s="45">
        <f t="shared" ca="1" si="48"/>
        <v>2.126341062888175E-6</v>
      </c>
      <c r="S128" s="45">
        <v>0</v>
      </c>
      <c r="T128" s="22">
        <f t="shared" ca="1" si="43"/>
        <v>4.2714812171539404E-5</v>
      </c>
      <c r="V128" s="45">
        <f t="shared" ca="1" si="49"/>
        <v>1.5197173145393148E-5</v>
      </c>
      <c r="W128" s="45">
        <f t="shared" ca="1" si="49"/>
        <v>0</v>
      </c>
      <c r="X128" s="45">
        <f t="shared" ca="1" si="49"/>
        <v>3.2042009177279884E-7</v>
      </c>
      <c r="Y128" s="45">
        <f t="shared" ca="1" si="49"/>
        <v>3.7185613273725174E-8</v>
      </c>
      <c r="Z128" s="45">
        <f t="shared" ca="1" si="49"/>
        <v>1.3484272983158763E-8</v>
      </c>
      <c r="AA128" s="45">
        <f t="shared" ca="1" si="49"/>
        <v>1.5648861394891121E-9</v>
      </c>
      <c r="AB128" s="45">
        <f t="shared" ca="1" si="49"/>
        <v>5.4157230973098304E-8</v>
      </c>
      <c r="AC128" s="45">
        <f t="shared" ca="1" si="49"/>
        <v>6.2850922855656149E-9</v>
      </c>
      <c r="AD128" s="45">
        <f t="shared" ca="1" si="49"/>
        <v>2.9059295890518102E-5</v>
      </c>
      <c r="AE128" s="45">
        <f t="shared" ca="1" si="49"/>
        <v>1.6768734995585419E-7</v>
      </c>
      <c r="AF128" s="45">
        <f t="shared" ca="1" si="49"/>
        <v>5.4368992258074009E-9</v>
      </c>
      <c r="AG128" s="45">
        <f t="shared" ca="1" si="49"/>
        <v>1.9628697993199888E-6</v>
      </c>
      <c r="AH128" s="45">
        <v>0</v>
      </c>
      <c r="AI128" s="22">
        <f t="shared" ca="1" si="44"/>
        <v>4.6825560271840742E-5</v>
      </c>
    </row>
    <row r="129" spans="4:35" ht="12" customHeight="1" x14ac:dyDescent="0.25">
      <c r="D129" s="341">
        <f t="shared" si="45"/>
        <v>118</v>
      </c>
      <c r="E129" s="43">
        <f t="shared" si="42"/>
        <v>99.5</v>
      </c>
      <c r="F129" s="44">
        <f>INDEX(rngU.Anticoag_NoEvent, MATCH(E129, Parameters!$D$427:$D$433, 1))</f>
        <v>0.62941959955229454</v>
      </c>
      <c r="G129" s="45">
        <f t="shared" ca="1" si="48"/>
        <v>7.0379123368562807E-6</v>
      </c>
      <c r="H129" s="45">
        <f t="shared" ca="1" si="48"/>
        <v>0</v>
      </c>
      <c r="I129" s="45">
        <f t="shared" ca="1" si="48"/>
        <v>2.521232434439274E-7</v>
      </c>
      <c r="J129" s="45">
        <f t="shared" ca="1" si="48"/>
        <v>2.9259580371979175E-8</v>
      </c>
      <c r="K129" s="45">
        <f t="shared" ca="1" si="48"/>
        <v>1.0610129412259027E-8</v>
      </c>
      <c r="L129" s="45">
        <f t="shared" ca="1" si="48"/>
        <v>1.2313340493897671E-9</v>
      </c>
      <c r="M129" s="45">
        <f t="shared" ca="1" si="48"/>
        <v>4.2613734529984963E-8</v>
      </c>
      <c r="N129" s="45">
        <f t="shared" ca="1" si="48"/>
        <v>4.9454384823808699E-9</v>
      </c>
      <c r="O129" s="45">
        <f t="shared" ca="1" si="48"/>
        <v>2.7785386211543055E-5</v>
      </c>
      <c r="P129" s="45">
        <f t="shared" ca="1" si="48"/>
        <v>1.3624592319035207E-7</v>
      </c>
      <c r="Q129" s="45">
        <f t="shared" ca="1" si="48"/>
        <v>4.4228422088879468E-9</v>
      </c>
      <c r="R129" s="45">
        <f t="shared" ca="1" si="48"/>
        <v>1.8237662670582373E-6</v>
      </c>
      <c r="S129" s="45">
        <v>0</v>
      </c>
      <c r="T129" s="22">
        <f t="shared" ca="1" si="43"/>
        <v>3.7128517041146735E-5</v>
      </c>
      <c r="V129" s="45">
        <f t="shared" ca="1" si="49"/>
        <v>1.3100312872015027E-5</v>
      </c>
      <c r="W129" s="45">
        <f t="shared" ca="1" si="49"/>
        <v>0</v>
      </c>
      <c r="X129" s="45">
        <f t="shared" ca="1" si="49"/>
        <v>2.7871173105804348E-7</v>
      </c>
      <c r="Y129" s="45">
        <f t="shared" ca="1" si="49"/>
        <v>3.2345245857191061E-8</v>
      </c>
      <c r="Z129" s="45">
        <f t="shared" ca="1" si="49"/>
        <v>1.1729055579511667E-8</v>
      </c>
      <c r="AA129" s="45">
        <f t="shared" ca="1" si="49"/>
        <v>1.3611884399403173E-9</v>
      </c>
      <c r="AB129" s="45">
        <f t="shared" ca="1" si="49"/>
        <v>4.7107706356084061E-8</v>
      </c>
      <c r="AC129" s="45">
        <f t="shared" ca="1" si="49"/>
        <v>5.4669759972843727E-9</v>
      </c>
      <c r="AD129" s="45">
        <f t="shared" ca="1" si="49"/>
        <v>2.5395391399431827E-5</v>
      </c>
      <c r="AE129" s="45">
        <f t="shared" ca="1" si="49"/>
        <v>1.4562159417865732E-7</v>
      </c>
      <c r="AF129" s="45">
        <f t="shared" ca="1" si="49"/>
        <v>4.7211677434990356E-9</v>
      </c>
      <c r="AG129" s="45">
        <f t="shared" ca="1" si="49"/>
        <v>1.6918948813220271E-6</v>
      </c>
      <c r="AH129" s="45">
        <v>0</v>
      </c>
      <c r="AI129" s="22">
        <f t="shared" ca="1" si="44"/>
        <v>4.0714663817979091E-5</v>
      </c>
    </row>
    <row r="130" spans="4:35" ht="12" customHeight="1" x14ac:dyDescent="0.25">
      <c r="D130" s="341">
        <f t="shared" si="45"/>
        <v>119</v>
      </c>
      <c r="E130" s="43">
        <f t="shared" si="42"/>
        <v>99.75</v>
      </c>
      <c r="F130" s="44">
        <f>INDEX(rngU.Anticoag_NoEvent, MATCH(E130, Parameters!$D$427:$D$433, 1))</f>
        <v>0.62941959955229454</v>
      </c>
      <c r="G130" s="45">
        <f t="shared" ca="1" si="48"/>
        <v>6.0668423460438595E-6</v>
      </c>
      <c r="H130" s="45">
        <f t="shared" ca="1" si="48"/>
        <v>0</v>
      </c>
      <c r="I130" s="45">
        <f t="shared" ca="1" si="48"/>
        <v>2.1930492944884321E-7</v>
      </c>
      <c r="J130" s="45">
        <f t="shared" ca="1" si="48"/>
        <v>2.5450926782983215E-8</v>
      </c>
      <c r="K130" s="45">
        <f t="shared" ca="1" si="48"/>
        <v>9.2290327952887002E-9</v>
      </c>
      <c r="L130" s="45">
        <f t="shared" ca="1" si="48"/>
        <v>1.071054073161795E-9</v>
      </c>
      <c r="M130" s="45">
        <f t="shared" ca="1" si="48"/>
        <v>3.7066800811360015E-8</v>
      </c>
      <c r="N130" s="45">
        <f t="shared" ca="1" si="48"/>
        <v>4.3017019083896508E-9</v>
      </c>
      <c r="O130" s="45">
        <f t="shared" ca="1" si="48"/>
        <v>2.4223585965978008E-5</v>
      </c>
      <c r="P130" s="45">
        <f t="shared" ca="1" si="48"/>
        <v>1.181789501988821E-7</v>
      </c>
      <c r="Q130" s="45">
        <f t="shared" ca="1" si="48"/>
        <v>3.8359474219067711E-9</v>
      </c>
      <c r="R130" s="45">
        <f t="shared" ca="1" si="48"/>
        <v>1.5648020864908676E-6</v>
      </c>
      <c r="S130" s="45">
        <v>0</v>
      </c>
      <c r="T130" s="22">
        <f t="shared" ca="1" si="43"/>
        <v>3.2273669741953554E-5</v>
      </c>
      <c r="V130" s="45">
        <f t="shared" ca="1" si="49"/>
        <v>1.1292771076751648E-5</v>
      </c>
      <c r="W130" s="45">
        <f t="shared" ca="1" si="49"/>
        <v>0</v>
      </c>
      <c r="X130" s="45">
        <f t="shared" ca="1" si="49"/>
        <v>2.4243245359423992E-7</v>
      </c>
      <c r="Y130" s="45">
        <f t="shared" ca="1" si="49"/>
        <v>2.81349381509697E-8</v>
      </c>
      <c r="Z130" s="45">
        <f t="shared" ca="1" si="49"/>
        <v>1.0202310866821914E-8</v>
      </c>
      <c r="AA130" s="45">
        <f t="shared" ca="1" si="49"/>
        <v>1.1840056105500743E-9</v>
      </c>
      <c r="AB130" s="45">
        <f t="shared" ca="1" si="49"/>
        <v>4.0975802459940424E-8</v>
      </c>
      <c r="AC130" s="45">
        <f t="shared" ca="1" si="49"/>
        <v>4.7553520611819896E-9</v>
      </c>
      <c r="AD130" s="45">
        <f t="shared" ca="1" si="49"/>
        <v>2.2192034187586329E-5</v>
      </c>
      <c r="AE130" s="45">
        <f t="shared" ca="1" si="49"/>
        <v>1.2646711802958156E-7</v>
      </c>
      <c r="AF130" s="45">
        <f t="shared" ca="1" si="49"/>
        <v>4.0999155474409843E-9</v>
      </c>
      <c r="AG130" s="45">
        <f t="shared" ca="1" si="49"/>
        <v>1.4587266360253807E-6</v>
      </c>
      <c r="AH130" s="45">
        <v>0</v>
      </c>
      <c r="AI130" s="22">
        <f t="shared" ca="1" si="44"/>
        <v>3.5401783796684086E-5</v>
      </c>
    </row>
    <row r="131" spans="4:35" ht="12" customHeight="1" x14ac:dyDescent="0.25">
      <c r="D131" s="341">
        <f t="shared" si="45"/>
        <v>120</v>
      </c>
      <c r="E131" s="43">
        <f t="shared" si="42"/>
        <v>100</v>
      </c>
      <c r="F131" s="44">
        <f>INDEX(rngU.Anticoag_NoEvent, MATCH(E131, Parameters!$D$427:$D$433, 1))</f>
        <v>0.62941959955229454</v>
      </c>
      <c r="G131" s="45">
        <f t="shared" ca="1" si="48"/>
        <v>5.6172857779288851E-6</v>
      </c>
      <c r="H131" s="45">
        <f t="shared" ca="1" si="48"/>
        <v>0</v>
      </c>
      <c r="I131" s="45">
        <f t="shared" ca="1" si="48"/>
        <v>2.0403809040704716E-7</v>
      </c>
      <c r="J131" s="45">
        <f t="shared" ca="1" si="48"/>
        <v>2.3679169058991984E-8</v>
      </c>
      <c r="K131" s="45">
        <f t="shared" ca="1" si="48"/>
        <v>8.5865567754781352E-9</v>
      </c>
      <c r="L131" s="45">
        <f t="shared" ca="1" si="48"/>
        <v>9.9649300341696075E-10</v>
      </c>
      <c r="M131" s="45">
        <f t="shared" ca="1" si="48"/>
        <v>3.4486407916391581E-8</v>
      </c>
      <c r="N131" s="45">
        <f t="shared" ca="1" si="48"/>
        <v>4.0022403741404123E-9</v>
      </c>
      <c r="O131" s="45">
        <f t="shared" ca="1" si="48"/>
        <v>2.2564484535803112E-5</v>
      </c>
      <c r="P131" s="45">
        <f t="shared" ca="1" si="48"/>
        <v>1.0979017344711987E-7</v>
      </c>
      <c r="Q131" s="45">
        <f t="shared" ca="1" si="48"/>
        <v>3.5634618234749819E-9</v>
      </c>
      <c r="R131" s="45">
        <f t="shared" ca="1" si="48"/>
        <v>1.4453628760021186E-6</v>
      </c>
      <c r="S131" s="45">
        <v>0</v>
      </c>
      <c r="T131" s="22">
        <f t="shared" ca="1" si="43"/>
        <v>3.0016275782540175E-5</v>
      </c>
      <c r="V131" s="45">
        <f t="shared" ca="1" si="49"/>
        <v>1.0455970131514786E-5</v>
      </c>
      <c r="W131" s="45">
        <f t="shared" ca="1" si="49"/>
        <v>0</v>
      </c>
      <c r="X131" s="45">
        <f t="shared" ca="1" si="49"/>
        <v>2.255555997230901E-7</v>
      </c>
      <c r="Y131" s="45">
        <f t="shared" ca="1" si="49"/>
        <v>2.6176333876632414E-8</v>
      </c>
      <c r="Z131" s="45">
        <f t="shared" ca="1" si="49"/>
        <v>9.4920804207959847E-9</v>
      </c>
      <c r="AA131" s="45">
        <f t="shared" ca="1" si="49"/>
        <v>1.101581457448363E-9</v>
      </c>
      <c r="AB131" s="45">
        <f t="shared" ca="1" si="49"/>
        <v>3.8123285727477891E-8</v>
      </c>
      <c r="AC131" s="45">
        <f t="shared" ca="1" si="49"/>
        <v>4.424309823838786E-9</v>
      </c>
      <c r="AD131" s="45">
        <f t="shared" ca="1" si="49"/>
        <v>2.0697801655366491E-5</v>
      </c>
      <c r="AE131" s="45">
        <f t="shared" ca="1" si="49"/>
        <v>1.1756610187486018E-7</v>
      </c>
      <c r="AF131" s="45">
        <f t="shared" ca="1" si="49"/>
        <v>3.8112336367461829E-9</v>
      </c>
      <c r="AG131" s="45">
        <f t="shared" ca="1" si="49"/>
        <v>1.3508757475718223E-6</v>
      </c>
      <c r="AH131" s="45">
        <v>0</v>
      </c>
      <c r="AI131" s="22">
        <f t="shared" ca="1" si="44"/>
        <v>3.293089806099399E-5</v>
      </c>
    </row>
    <row r="234" spans="10:10" ht="12" customHeight="1" x14ac:dyDescent="0.25">
      <c r="J234" t="s">
        <v>662</v>
      </c>
    </row>
  </sheetData>
  <mergeCells count="33">
    <mergeCell ref="T8:T10"/>
    <mergeCell ref="F7:F10"/>
    <mergeCell ref="AA8:AA10"/>
    <mergeCell ref="AB8:AB10"/>
    <mergeCell ref="V8:V10"/>
    <mergeCell ref="W8:W10"/>
    <mergeCell ref="X8:X10"/>
    <mergeCell ref="AF8:AF10"/>
    <mergeCell ref="V7:AI7"/>
    <mergeCell ref="AG8:AG10"/>
    <mergeCell ref="AH8:AH10"/>
    <mergeCell ref="AI8:AI10"/>
    <mergeCell ref="Y8:Y10"/>
    <mergeCell ref="Z8:Z10"/>
    <mergeCell ref="AD8:AD10"/>
    <mergeCell ref="AC8:AC10"/>
    <mergeCell ref="AE8:AE10"/>
    <mergeCell ref="D7:D10"/>
    <mergeCell ref="G7:T7"/>
    <mergeCell ref="G8:G10"/>
    <mergeCell ref="H8:H10"/>
    <mergeCell ref="I8:I10"/>
    <mergeCell ref="J8:J10"/>
    <mergeCell ref="K8:K10"/>
    <mergeCell ref="L8:L10"/>
    <mergeCell ref="M8:M10"/>
    <mergeCell ref="Q8:Q10"/>
    <mergeCell ref="E7:E10"/>
    <mergeCell ref="N8:N10"/>
    <mergeCell ref="O8:O10"/>
    <mergeCell ref="P8:P10"/>
    <mergeCell ref="R8:R10"/>
    <mergeCell ref="S8:S1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24240-B407-4D59-A8B2-E0CDFD5A4605}">
  <sheetPr codeName="shtTraceCosts9">
    <tabColor theme="9" tint="-0.249977111117893"/>
  </sheetPr>
  <dimension ref="A1:AI131"/>
  <sheetViews>
    <sheetView workbookViewId="0">
      <pane xSplit="6" ySplit="10" topLeftCell="G11" activePane="bottomRight" state="frozen"/>
      <selection activeCell="K40" sqref="K40"/>
      <selection pane="topRight" activeCell="K40" sqref="K40"/>
      <selection pane="bottomLeft" activeCell="K40" sqref="K40"/>
      <selection pane="bottomRight" activeCell="G11" sqref="G11"/>
    </sheetView>
  </sheetViews>
  <sheetFormatPr defaultColWidth="9.28515625" defaultRowHeight="12" customHeight="1" x14ac:dyDescent="0.2"/>
  <cols>
    <col min="1" max="1" width="1.7109375" style="346" customWidth="1"/>
    <col min="2" max="2" width="19.7109375" style="346" customWidth="1"/>
    <col min="3" max="3" width="1.7109375" style="345" customWidth="1"/>
    <col min="4" max="4" width="9.28515625" style="10"/>
    <col min="7" max="19" width="11.7109375" customWidth="1"/>
    <col min="20" max="20" width="11.7109375" style="49" customWidth="1"/>
    <col min="21" max="21" width="1.7109375" customWidth="1"/>
    <col min="22" max="34" width="11.7109375" customWidth="1"/>
    <col min="35" max="35" width="11.7109375" style="49" customWidth="1"/>
    <col min="36" max="36" width="1.7109375" customWidth="1"/>
  </cols>
  <sheetData>
    <row r="1" spans="1:35" s="343" customFormat="1" ht="24.95" customHeight="1" thickBot="1" x14ac:dyDescent="0.25">
      <c r="A1" s="346"/>
      <c r="B1" s="346"/>
      <c r="C1" s="346"/>
      <c r="D1" s="343" t="str">
        <f>C.zWorkbookTitle</f>
        <v>Camacho et al. (2024) Harms of hazardous prescribing of NSAIDs -- C: NSAIDs - DOAC/warfarin</v>
      </c>
      <c r="Y1" s="415"/>
      <c r="Z1" s="415"/>
      <c r="AA1" s="415"/>
      <c r="AB1" s="415"/>
      <c r="AC1" s="415"/>
      <c r="AD1" s="415"/>
      <c r="AE1" s="415"/>
      <c r="AF1" s="415"/>
      <c r="AG1" s="415"/>
      <c r="AH1" s="415"/>
    </row>
    <row r="2" spans="1:35" s="8" customFormat="1" ht="12" hidden="1" customHeight="1" thickTop="1" x14ac:dyDescent="0.2">
      <c r="A2" s="346"/>
      <c r="B2" s="346"/>
      <c r="C2" s="345"/>
      <c r="D2" s="324">
        <f>COLUMNS(G2:U2)</f>
        <v>15</v>
      </c>
      <c r="F2" s="8" t="s">
        <v>80</v>
      </c>
      <c r="G2" s="8">
        <f>MAX($F$2:F2)+1</f>
        <v>1</v>
      </c>
      <c r="H2" s="8">
        <f t="shared" ref="H2:M2" si="0">G2</f>
        <v>1</v>
      </c>
      <c r="I2" s="8">
        <f t="shared" si="0"/>
        <v>1</v>
      </c>
      <c r="J2" s="8">
        <f t="shared" si="0"/>
        <v>1</v>
      </c>
      <c r="K2" s="8">
        <f t="shared" si="0"/>
        <v>1</v>
      </c>
      <c r="L2" s="8">
        <f t="shared" si="0"/>
        <v>1</v>
      </c>
      <c r="M2" s="8">
        <f t="shared" si="0"/>
        <v>1</v>
      </c>
      <c r="N2" s="8">
        <f>J2</f>
        <v>1</v>
      </c>
      <c r="O2" s="8">
        <f>N2</f>
        <v>1</v>
      </c>
      <c r="P2" s="8">
        <f>O2</f>
        <v>1</v>
      </c>
      <c r="Q2" s="8">
        <f>M2</f>
        <v>1</v>
      </c>
      <c r="R2" s="8">
        <f>Q2</f>
        <v>1</v>
      </c>
      <c r="S2" s="8">
        <f>R2</f>
        <v>1</v>
      </c>
      <c r="V2" s="8">
        <f>MAX($F$2:U2)+1</f>
        <v>2</v>
      </c>
      <c r="W2" s="8">
        <f t="shared" ref="W2:AB2" si="1">V2</f>
        <v>2</v>
      </c>
      <c r="X2" s="8">
        <f t="shared" si="1"/>
        <v>2</v>
      </c>
      <c r="Y2" s="8">
        <f t="shared" si="1"/>
        <v>2</v>
      </c>
      <c r="Z2" s="8">
        <f t="shared" si="1"/>
        <v>2</v>
      </c>
      <c r="AA2" s="8">
        <f t="shared" si="1"/>
        <v>2</v>
      </c>
      <c r="AB2" s="8">
        <f t="shared" si="1"/>
        <v>2</v>
      </c>
      <c r="AC2" s="8">
        <f>Y2</f>
        <v>2</v>
      </c>
      <c r="AD2" s="8">
        <f>AC2</f>
        <v>2</v>
      </c>
      <c r="AE2" s="8">
        <f>AD2</f>
        <v>2</v>
      </c>
      <c r="AF2" s="8">
        <f>AB2</f>
        <v>2</v>
      </c>
      <c r="AG2" s="8">
        <f>AF2</f>
        <v>2</v>
      </c>
      <c r="AH2" s="8">
        <f>AG2</f>
        <v>2</v>
      </c>
    </row>
    <row r="3" spans="1:35" ht="12" hidden="1" customHeight="1" x14ac:dyDescent="0.2">
      <c r="F3" t="s">
        <v>79</v>
      </c>
      <c r="G3">
        <v>1</v>
      </c>
      <c r="H3">
        <f t="shared" ref="H3:S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>
        <f t="shared" si="2"/>
        <v>10</v>
      </c>
      <c r="Q3">
        <f t="shared" si="2"/>
        <v>11</v>
      </c>
      <c r="R3">
        <f t="shared" si="2"/>
        <v>12</v>
      </c>
      <c r="S3">
        <f t="shared" si="2"/>
        <v>13</v>
      </c>
      <c r="T3"/>
      <c r="V3">
        <v>1</v>
      </c>
      <c r="W3">
        <f t="shared" ref="W3:AH3" si="3">V3+1</f>
        <v>2</v>
      </c>
      <c r="X3">
        <f t="shared" si="3"/>
        <v>3</v>
      </c>
      <c r="Y3">
        <f t="shared" si="3"/>
        <v>4</v>
      </c>
      <c r="Z3">
        <f t="shared" si="3"/>
        <v>5</v>
      </c>
      <c r="AA3">
        <f t="shared" si="3"/>
        <v>6</v>
      </c>
      <c r="AB3">
        <f t="shared" si="3"/>
        <v>7</v>
      </c>
      <c r="AC3">
        <f t="shared" si="3"/>
        <v>8</v>
      </c>
      <c r="AD3">
        <f t="shared" si="3"/>
        <v>9</v>
      </c>
      <c r="AE3">
        <f t="shared" si="3"/>
        <v>10</v>
      </c>
      <c r="AF3">
        <f t="shared" si="3"/>
        <v>11</v>
      </c>
      <c r="AG3">
        <f t="shared" si="3"/>
        <v>12</v>
      </c>
      <c r="AH3">
        <f t="shared" si="3"/>
        <v>13</v>
      </c>
      <c r="AI3"/>
    </row>
    <row r="4" spans="1:35" ht="12" customHeight="1" thickTop="1" x14ac:dyDescent="0.2">
      <c r="F4" s="56" t="s">
        <v>46</v>
      </c>
      <c r="G4" s="50">
        <f t="shared" ref="G4:T4" ca="1" si="4">SUM(OFFSET(G$11, 0, 0, timeHorizon*C.cyclesPerYear))</f>
        <v>1.5009893493466184</v>
      </c>
      <c r="H4" s="50">
        <f t="shared" ca="1" si="4"/>
        <v>152.10300548127637</v>
      </c>
      <c r="I4" s="50">
        <f t="shared" ca="1" si="4"/>
        <v>14.582317796742261</v>
      </c>
      <c r="J4" s="50">
        <f t="shared" ca="1" si="4"/>
        <v>1.452690926675253</v>
      </c>
      <c r="K4" s="50">
        <f t="shared" ca="1" si="4"/>
        <v>8.3189717720055469</v>
      </c>
      <c r="L4" s="50">
        <f t="shared" ca="1" si="4"/>
        <v>0.82814078598233554</v>
      </c>
      <c r="M4" s="50">
        <f t="shared" ca="1" si="4"/>
        <v>385.05058179115662</v>
      </c>
      <c r="N4" s="50">
        <f t="shared" ca="1" si="4"/>
        <v>38.396546043942372</v>
      </c>
      <c r="O4" s="50">
        <f t="shared" ca="1" si="4"/>
        <v>130.67376928412176</v>
      </c>
      <c r="P4" s="50">
        <f t="shared" ca="1" si="4"/>
        <v>1557.2850981104557</v>
      </c>
      <c r="Q4" s="50">
        <f t="shared" ca="1" si="4"/>
        <v>32.226496903549496</v>
      </c>
      <c r="R4" s="50">
        <f t="shared" ca="1" si="4"/>
        <v>516.46350969923014</v>
      </c>
      <c r="S4" s="50">
        <f t="shared" ca="1" si="4"/>
        <v>0</v>
      </c>
      <c r="T4" s="50">
        <f t="shared" ca="1" si="4"/>
        <v>2838.8821179444853</v>
      </c>
      <c r="V4" s="50">
        <f t="shared" ref="V4:AI4" ca="1" si="5">SUM(OFFSET(V$11, 0, 0, timeHorizon*C.cyclesPerYear))</f>
        <v>425.24687412659563</v>
      </c>
      <c r="W4" s="50">
        <f t="shared" ca="1" si="5"/>
        <v>0</v>
      </c>
      <c r="X4" s="50">
        <f t="shared" ca="1" si="5"/>
        <v>8.5653060921463968</v>
      </c>
      <c r="Y4" s="50">
        <f t="shared" ca="1" si="5"/>
        <v>0.85009892453367208</v>
      </c>
      <c r="Z4" s="50">
        <f t="shared" ca="1" si="5"/>
        <v>5.8377493893755412</v>
      </c>
      <c r="AA4" s="50">
        <f t="shared" ca="1" si="5"/>
        <v>0.57939137541804342</v>
      </c>
      <c r="AB4" s="50">
        <f t="shared" ca="1" si="5"/>
        <v>165.77866804983898</v>
      </c>
      <c r="AC4" s="50">
        <f t="shared" ca="1" si="5"/>
        <v>16.45338367405353</v>
      </c>
      <c r="AD4" s="50">
        <f t="shared" ca="1" si="5"/>
        <v>68.187073460258304</v>
      </c>
      <c r="AE4" s="50">
        <f t="shared" ca="1" si="5"/>
        <v>730.32808291551066</v>
      </c>
      <c r="AF4" s="50">
        <f t="shared" ca="1" si="5"/>
        <v>15.049514766360922</v>
      </c>
      <c r="AG4" s="50">
        <f t="shared" ca="1" si="5"/>
        <v>226.64184517535023</v>
      </c>
      <c r="AH4" s="50">
        <f t="shared" ca="1" si="5"/>
        <v>0</v>
      </c>
      <c r="AI4" s="50">
        <f t="shared" ca="1" si="5"/>
        <v>1663.5179879494415</v>
      </c>
    </row>
    <row r="5" spans="1:35" ht="12" customHeight="1" x14ac:dyDescent="0.2">
      <c r="F5" s="57" t="s">
        <v>47</v>
      </c>
      <c r="G5" s="50">
        <f t="array" aca="1" ref="G5" ca="1">SUM(OFFSET(G$11, 0, 0, timeHorizon*C.cyclesPerYear) / (1+DCosts)^(OFFSET($D$11, 0, 0, timeHorizon*C.cyclesPerYear)/C.cyclesPerYear))</f>
        <v>1.0732705189164577</v>
      </c>
      <c r="H5" s="50">
        <f t="array" aca="1" ref="H5" ca="1">SUM(OFFSET(H$11, 0, 0, timeHorizon*C.cyclesPerYear) / (1+DCosts)^(OFFSET($D$11, 0, 0, timeHorizon*C.cyclesPerYear)/C.cyclesPerYear))</f>
        <v>135.35463737671785</v>
      </c>
      <c r="I5" s="50">
        <f t="array" aca="1" ref="I5" ca="1">SUM(OFFSET(I$11, 0, 0, timeHorizon*C.cyclesPerYear) / (1+DCosts)^(OFFSET($D$11, 0, 0, timeHorizon*C.cyclesPerYear)/C.cyclesPerYear))</f>
        <v>12.762655696033583</v>
      </c>
      <c r="J5" s="50">
        <f t="array" aca="1" ref="J5" ca="1">SUM(OFFSET(J$11, 0, 0, timeHorizon*C.cyclesPerYear) / (1+DCosts)^(OFFSET($D$11, 0, 0, timeHorizon*C.cyclesPerYear)/C.cyclesPerYear))</f>
        <v>1.2635997793478959</v>
      </c>
      <c r="K5" s="50">
        <f t="array" aca="1" ref="K5" ca="1">SUM(OFFSET(K$11, 0, 0, timeHorizon*C.cyclesPerYear) / (1+DCosts)^(OFFSET($D$11, 0, 0, timeHorizon*C.cyclesPerYear)/C.cyclesPerYear))</f>
        <v>7.2634515032591089</v>
      </c>
      <c r="L5" s="50">
        <f t="array" aca="1" ref="L5" ca="1">SUM(OFFSET(L$11, 0, 0, timeHorizon*C.cyclesPerYear) / (1+DCosts)^(OFFSET($D$11, 0, 0, timeHorizon*C.cyclesPerYear)/C.cyclesPerYear))</f>
        <v>0.71869598910943544</v>
      </c>
      <c r="M5" s="50">
        <f t="array" aca="1" ref="M5" ca="1">SUM(OFFSET(M$11, 0, 0, timeHorizon*C.cyclesPerYear) / (1+DCosts)^(OFFSET($D$11, 0, 0, timeHorizon*C.cyclesPerYear)/C.cyclesPerYear))</f>
        <v>338.10844109842884</v>
      </c>
      <c r="N5" s="50">
        <f t="array" aca="1" ref="N5" ca="1">SUM(OFFSET(N$11, 0, 0, timeHorizon*C.cyclesPerYear) / (1+DCosts)^(OFFSET($D$11, 0, 0, timeHorizon*C.cyclesPerYear)/C.cyclesPerYear))</f>
        <v>33.503284826136891</v>
      </c>
      <c r="O5" s="50">
        <f t="array" aca="1" ref="O5" ca="1">SUM(OFFSET(O$11, 0, 0, timeHorizon*C.cyclesPerYear) / (1+DCosts)^(OFFSET($D$11, 0, 0, timeHorizon*C.cyclesPerYear)/C.cyclesPerYear))</f>
        <v>106.89339864980204</v>
      </c>
      <c r="P5" s="50">
        <f t="array" aca="1" ref="P5" ca="1">SUM(OFFSET(P$11, 0, 0, timeHorizon*C.cyclesPerYear) / (1+DCosts)^(OFFSET($D$11, 0, 0, timeHorizon*C.cyclesPerYear)/C.cyclesPerYear))</f>
        <v>1356.5185776191129</v>
      </c>
      <c r="Q5" s="50">
        <f t="array" aca="1" ref="Q5" ca="1">SUM(OFFSET(Q$11, 0, 0, timeHorizon*C.cyclesPerYear) / (1+DCosts)^(OFFSET($D$11, 0, 0, timeHorizon*C.cyclesPerYear)/C.cyclesPerYear))</f>
        <v>27.905150396327937</v>
      </c>
      <c r="R5" s="50">
        <f t="array" aca="1" ref="R5" ca="1">SUM(OFFSET(R$11, 0, 0, timeHorizon*C.cyclesPerYear) / (1+DCosts)^(OFFSET($D$11, 0, 0, timeHorizon*C.cyclesPerYear)/C.cyclesPerYear))</f>
        <v>422.02391159474581</v>
      </c>
      <c r="S5" s="50">
        <f t="array" aca="1" ref="S5" ca="1">SUM(OFFSET(S$11, 0, 0, timeHorizon*C.cyclesPerYear) / (1+DCosts)^(OFFSET($D$11, 0, 0, timeHorizon*C.cyclesPerYear)/C.cyclesPerYear))</f>
        <v>0</v>
      </c>
      <c r="T5" s="50">
        <f t="array" aca="1" ref="T5" ca="1">SUM(OFFSET(T$11, 0, 0, timeHorizon*C.cyclesPerYear) / (1+DCosts)^(OFFSET($D$11, 0, 0, timeHorizon*C.cyclesPerYear)/C.cyclesPerYear))</f>
        <v>2443.3890750479381</v>
      </c>
      <c r="V5" s="50">
        <f t="array" aca="1" ref="V5" ca="1">SUM(OFFSET(V$11, 0, 0, timeHorizon*C.cyclesPerYear) / (1+DCosts)^(OFFSET($D$11, 0, 0, timeHorizon*C.cyclesPerYear)/C.cyclesPerYear))</f>
        <v>372.28380157605591</v>
      </c>
      <c r="W5" s="50">
        <f t="array" aca="1" ref="W5" ca="1">SUM(OFFSET(W$11, 0, 0, timeHorizon*C.cyclesPerYear) / (1+DCosts)^(OFFSET($D$11, 0, 0, timeHorizon*C.cyclesPerYear)/C.cyclesPerYear))</f>
        <v>0</v>
      </c>
      <c r="X5" s="50">
        <f t="array" aca="1" ref="X5" ca="1">SUM(OFFSET(X$11, 0, 0, timeHorizon*C.cyclesPerYear) / (1+DCosts)^(OFFSET($D$11, 0, 0, timeHorizon*C.cyclesPerYear)/C.cyclesPerYear))</f>
        <v>7.4033224266229167</v>
      </c>
      <c r="Y5" s="50">
        <f t="array" aca="1" ref="Y5" ca="1">SUM(OFFSET(Y$11, 0, 0, timeHorizon*C.cyclesPerYear) / (1+DCosts)^(OFFSET($D$11, 0, 0, timeHorizon*C.cyclesPerYear)/C.cyclesPerYear))</f>
        <v>0.73063270784951051</v>
      </c>
      <c r="Z5" s="50">
        <f t="array" aca="1" ref="Z5" ca="1">SUM(OFFSET(Z$11, 0, 0, timeHorizon*C.cyclesPerYear) / (1+DCosts)^(OFFSET($D$11, 0, 0, timeHorizon*C.cyclesPerYear)/C.cyclesPerYear))</f>
        <v>5.0457906011083278</v>
      </c>
      <c r="AA5" s="50">
        <f t="array" aca="1" ref="AA5" ca="1">SUM(OFFSET(AA$11, 0, 0, timeHorizon*C.cyclesPerYear) / (1+DCosts)^(OFFSET($D$11, 0, 0, timeHorizon*C.cyclesPerYear)/C.cyclesPerYear))</f>
        <v>0.49796826852657644</v>
      </c>
      <c r="AB5" s="50">
        <f t="array" aca="1" ref="AB5" ca="1">SUM(OFFSET(AB$11, 0, 0, timeHorizon*C.cyclesPerYear) / (1+DCosts)^(OFFSET($D$11, 0, 0, timeHorizon*C.cyclesPerYear)/C.cyclesPerYear))</f>
        <v>143.28885831113288</v>
      </c>
      <c r="AC5" s="50">
        <f t="array" aca="1" ref="AC5" ca="1">SUM(OFFSET(AC$11, 0, 0, timeHorizon*C.cyclesPerYear) / (1+DCosts)^(OFFSET($D$11, 0, 0, timeHorizon*C.cyclesPerYear)/C.cyclesPerYear))</f>
        <v>14.141154541108348</v>
      </c>
      <c r="AD5" s="50">
        <f t="array" aca="1" ref="AD5" ca="1">SUM(OFFSET(AD$11, 0, 0, timeHorizon*C.cyclesPerYear) / (1+DCosts)^(OFFSET($D$11, 0, 0, timeHorizon*C.cyclesPerYear)/C.cyclesPerYear))</f>
        <v>55.474795104413126</v>
      </c>
      <c r="AE5" s="50">
        <f t="array" aca="1" ref="AE5" ca="1">SUM(OFFSET(AE$11, 0, 0, timeHorizon*C.cyclesPerYear) / (1+DCosts)^(OFFSET($D$11, 0, 0, timeHorizon*C.cyclesPerYear)/C.cyclesPerYear))</f>
        <v>627.57344415783461</v>
      </c>
      <c r="AF5" s="50">
        <f t="array" aca="1" ref="AF5" ca="1">SUM(OFFSET(AF$11, 0, 0, timeHorizon*C.cyclesPerYear) / (1+DCosts)^(OFFSET($D$11, 0, 0, timeHorizon*C.cyclesPerYear)/C.cyclesPerYear))</f>
        <v>12.86245834347239</v>
      </c>
      <c r="AG5" s="50">
        <f t="array" aca="1" ref="AG5" ca="1">SUM(OFFSET(AG$11, 0, 0, timeHorizon*C.cyclesPerYear) / (1+DCosts)^(OFFSET($D$11, 0, 0, timeHorizon*C.cyclesPerYear)/C.cyclesPerYear))</f>
        <v>184.14627463330041</v>
      </c>
      <c r="AH5" s="50">
        <f t="array" aca="1" ref="AH5" ca="1">SUM(OFFSET(AH$11, 0, 0, timeHorizon*C.cyclesPerYear) / (1+DCosts)^(OFFSET($D$11, 0, 0, timeHorizon*C.cyclesPerYear)/C.cyclesPerYear))</f>
        <v>0</v>
      </c>
      <c r="AI5" s="50">
        <f t="array" aca="1" ref="AI5" ca="1">SUM(OFFSET(AI$11, 0, 0, timeHorizon*C.cyclesPerYear) / (1+DCosts)^(OFFSET($D$11, 0, 0, timeHorizon*C.cyclesPerYear)/C.cyclesPerYear))</f>
        <v>1423.4485006714249</v>
      </c>
    </row>
    <row r="6" spans="1:35" ht="12" customHeight="1" thickBot="1" x14ac:dyDescent="0.25">
      <c r="D6" s="298"/>
      <c r="F6" s="57"/>
      <c r="G6" s="42" cm="1">
        <f t="array" ref="G6">INDEX(C.rngC.ByState, G$3)</f>
        <v>16.764516</v>
      </c>
      <c r="H6" s="42" cm="1">
        <f t="array" ref="H6">INDEX(C.rngC.ByState, H$3)</f>
        <v>7.6635178571428577</v>
      </c>
      <c r="I6" s="42" cm="1">
        <f t="array" ref="I6">INDEX(C.rngC.ByState, I$3)</f>
        <v>40.409999999999997</v>
      </c>
      <c r="J6" s="42" cm="1">
        <f t="array" ref="J6">INDEX(C.rngC.ByState, J$3)</f>
        <v>40.409999999999997</v>
      </c>
      <c r="K6" s="42" cm="1">
        <f t="array" ref="K6">INDEX(C.rngC.ByState, K$3)</f>
        <v>626.76106962363633</v>
      </c>
      <c r="L6" s="42" cm="1">
        <f t="array" ref="L6">INDEX(C.rngC.ByState, L$3)</f>
        <v>626.76106962363633</v>
      </c>
      <c r="M6" s="42" cm="1">
        <f t="array" ref="M6">INDEX(C.rngC.ByState, M$3)</f>
        <v>3280.4365641163554</v>
      </c>
      <c r="N6" s="42" cm="1">
        <f t="array" ref="N6">INDEX(C.rngC.ByState, N$3)</f>
        <v>3280.4365641163554</v>
      </c>
      <c r="O6" s="42" cm="1">
        <f t="array" ref="O6">INDEX(C.rngC.ByState, O$3)</f>
        <v>16.764516</v>
      </c>
      <c r="P6" s="42" cm="1">
        <f t="array" ref="P6">INDEX(C.rngC.ByState, P$3)</f>
        <v>11321.105305986473</v>
      </c>
      <c r="Q6" s="42" cm="1">
        <f t="array" ref="Q6">INDEX(C.rngC.ByState, Q$3)</f>
        <v>11321.105305986473</v>
      </c>
      <c r="R6" s="42" cm="1">
        <f t="array" ref="R6">INDEX(C.rngC.ByState, R$3)</f>
        <v>250.12106515002068</v>
      </c>
      <c r="S6" s="42" cm="1">
        <f t="array" ref="S6">INDEX(C.rngC.ByState, S$3)</f>
        <v>0</v>
      </c>
      <c r="T6"/>
      <c r="V6" s="42" cm="1">
        <f t="array" ref="V6">INDEX(C.rngC.ByState, V$3)</f>
        <v>16.764516</v>
      </c>
      <c r="W6" s="42" cm="1">
        <f t="array" ref="W6">INDEX(C.rngC.ByState, W$3)</f>
        <v>7.6635178571428577</v>
      </c>
      <c r="X6" s="42" cm="1">
        <f t="array" ref="X6">INDEX(C.rngC.ByState, X$3)</f>
        <v>40.409999999999997</v>
      </c>
      <c r="Y6" s="42" cm="1">
        <f t="array" ref="Y6">INDEX(C.rngC.ByState, Y$3)</f>
        <v>40.409999999999997</v>
      </c>
      <c r="Z6" s="42" cm="1">
        <f t="array" ref="Z6">INDEX(C.rngC.ByState, Z$3)</f>
        <v>626.76106962363633</v>
      </c>
      <c r="AA6" s="42" cm="1">
        <f t="array" ref="AA6">INDEX(C.rngC.ByState, AA$3)</f>
        <v>626.76106962363633</v>
      </c>
      <c r="AB6" s="42" cm="1">
        <f t="array" ref="AB6">INDEX(C.rngC.ByState, AB$3)</f>
        <v>3280.4365641163554</v>
      </c>
      <c r="AC6" s="42" cm="1">
        <f t="array" ref="AC6">INDEX(C.rngC.ByState, AC$3)</f>
        <v>3280.4365641163554</v>
      </c>
      <c r="AD6" s="42" cm="1">
        <f t="array" ref="AD6">INDEX(C.rngC.ByState, AD$3)</f>
        <v>16.764516</v>
      </c>
      <c r="AE6" s="42" cm="1">
        <f t="array" ref="AE6">INDEX(C.rngC.ByState, AE$3)</f>
        <v>11321.105305986473</v>
      </c>
      <c r="AF6" s="42" cm="1">
        <f t="array" ref="AF6">INDEX(C.rngC.ByState, AF$3)</f>
        <v>11321.105305986473</v>
      </c>
      <c r="AG6" s="42" cm="1">
        <f t="array" ref="AG6">INDEX(C.rngC.ByState, AG$3)</f>
        <v>250.12106515002068</v>
      </c>
      <c r="AH6" s="42" cm="1">
        <f t="array" ref="AH6">INDEX(C.rngC.ByState, AH$3)</f>
        <v>0</v>
      </c>
      <c r="AI6"/>
    </row>
    <row r="7" spans="1:35" ht="14.25" thickBot="1" x14ac:dyDescent="0.25">
      <c r="D7" s="446" t="s">
        <v>31</v>
      </c>
      <c r="E7" s="446" t="s">
        <v>30</v>
      </c>
      <c r="F7" s="446"/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Q7" s="438"/>
      <c r="R7" s="438"/>
      <c r="S7" s="438"/>
      <c r="T7" s="438"/>
      <c r="V7" s="438" t="str">
        <f>INDEX(rngStrats, V2)</f>
        <v>No HPE</v>
      </c>
      <c r="W7" s="438"/>
      <c r="X7" s="438"/>
      <c r="Y7" s="438"/>
      <c r="Z7" s="438"/>
      <c r="AA7" s="438"/>
      <c r="AB7" s="438"/>
      <c r="AC7" s="438"/>
      <c r="AD7" s="438"/>
      <c r="AE7" s="438"/>
      <c r="AF7" s="438"/>
      <c r="AG7" s="438"/>
      <c r="AH7" s="438"/>
      <c r="AI7" s="438"/>
    </row>
    <row r="8" spans="1:35" ht="13.5" x14ac:dyDescent="0.2">
      <c r="D8" s="466"/>
      <c r="E8" s="466"/>
      <c r="F8" s="466"/>
      <c r="G8" s="501" t="str">
        <f t="shared" ref="G8:S8" ca="1" si="6">INDEX(C.rngStates, G$3)</f>
        <v>Well no HPE</v>
      </c>
      <c r="H8" s="501" t="str">
        <f t="shared" ca="1" si="6"/>
        <v>Well with HPE</v>
      </c>
      <c r="I8" s="501" t="str">
        <f t="shared" ca="1" si="6"/>
        <v>GI discomfort</v>
      </c>
      <c r="J8" s="501" t="str">
        <f t="shared" ca="1" si="6"/>
        <v>Unresolved GI discomfort</v>
      </c>
      <c r="K8" s="501" t="str">
        <f t="shared" ca="1" si="6"/>
        <v>Symptomatic ulcer</v>
      </c>
      <c r="L8" s="501" t="str">
        <f t="shared" ca="1" si="6"/>
        <v>Unresolved ulcer</v>
      </c>
      <c r="M8" s="501" t="str">
        <f t="shared" ca="1" si="6"/>
        <v>Serious GI event</v>
      </c>
      <c r="N8" s="501" t="str">
        <f t="shared" ca="1" si="6"/>
        <v>Unresolved serious GI event</v>
      </c>
      <c r="O8" s="501" t="str">
        <f t="shared" ca="1" si="6"/>
        <v>Post-GI event</v>
      </c>
      <c r="P8" s="501" t="str">
        <f t="shared" ca="1" si="6"/>
        <v>Stroke</v>
      </c>
      <c r="Q8" s="501" t="str">
        <f t="shared" ca="1" si="6"/>
        <v>Recurrent stroke</v>
      </c>
      <c r="R8" s="501" t="str">
        <f t="shared" ca="1" si="6"/>
        <v>Post-stroke</v>
      </c>
      <c r="S8" s="501" t="str">
        <f t="shared" ca="1" si="6"/>
        <v>Dead</v>
      </c>
      <c r="T8" s="518" t="s">
        <v>37</v>
      </c>
      <c r="V8" s="453" t="str">
        <f t="shared" ref="V8:AH8" ca="1" si="7">INDEX(C.rngStates, V$3)</f>
        <v>Well no HPE</v>
      </c>
      <c r="W8" s="501" t="str">
        <f t="shared" ca="1" si="7"/>
        <v>Well with HPE</v>
      </c>
      <c r="X8" s="501" t="str">
        <f t="shared" ca="1" si="7"/>
        <v>GI discomfort</v>
      </c>
      <c r="Y8" s="501" t="str">
        <f t="shared" ca="1" si="7"/>
        <v>Unresolved GI discomfort</v>
      </c>
      <c r="Z8" s="501" t="str">
        <f t="shared" ca="1" si="7"/>
        <v>Symptomatic ulcer</v>
      </c>
      <c r="AA8" s="501" t="str">
        <f t="shared" ca="1" si="7"/>
        <v>Unresolved ulcer</v>
      </c>
      <c r="AB8" s="501" t="str">
        <f t="shared" ca="1" si="7"/>
        <v>Serious GI event</v>
      </c>
      <c r="AC8" s="501" t="str">
        <f t="shared" ca="1" si="7"/>
        <v>Unresolved serious GI event</v>
      </c>
      <c r="AD8" s="501" t="str">
        <f t="shared" ca="1" si="7"/>
        <v>Post-GI event</v>
      </c>
      <c r="AE8" s="501" t="str">
        <f t="shared" ca="1" si="7"/>
        <v>Stroke</v>
      </c>
      <c r="AF8" s="501" t="str">
        <f t="shared" ca="1" si="7"/>
        <v>Recurrent stroke</v>
      </c>
      <c r="AG8" s="501" t="str">
        <f t="shared" ca="1" si="7"/>
        <v>Post-stroke</v>
      </c>
      <c r="AH8" s="501" t="str">
        <f t="shared" ca="1" si="7"/>
        <v>Dead</v>
      </c>
      <c r="AI8" s="518" t="s">
        <v>37</v>
      </c>
    </row>
    <row r="9" spans="1:35" ht="13.5" x14ac:dyDescent="0.2">
      <c r="D9" s="466"/>
      <c r="E9" s="466"/>
      <c r="F9" s="466"/>
      <c r="G9" s="50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19"/>
      <c r="V9" s="454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02"/>
      <c r="AI9" s="519"/>
    </row>
    <row r="10" spans="1:35" ht="14.25" thickBot="1" x14ac:dyDescent="0.25">
      <c r="D10" s="447"/>
      <c r="E10" s="447"/>
      <c r="F10" s="44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Q10" s="527"/>
      <c r="R10" s="527"/>
      <c r="S10" s="527"/>
      <c r="T10" s="520"/>
      <c r="V10" s="455"/>
      <c r="W10" s="527"/>
      <c r="X10" s="527"/>
      <c r="Y10" s="527"/>
      <c r="Z10" s="527"/>
      <c r="AA10" s="527"/>
      <c r="AB10" s="527"/>
      <c r="AC10" s="527"/>
      <c r="AD10" s="527"/>
      <c r="AE10" s="527"/>
      <c r="AF10" s="527"/>
      <c r="AG10" s="527"/>
      <c r="AH10" s="527"/>
      <c r="AI10" s="520"/>
    </row>
    <row r="11" spans="1:35" ht="12" customHeight="1" x14ac:dyDescent="0.2">
      <c r="D11" s="347">
        <v>0</v>
      </c>
      <c r="E11" s="43">
        <f t="shared" ref="E11:E42" si="8">C.cohortAge+D11*C.cycleLength</f>
        <v>70</v>
      </c>
      <c r="G11" s="42">
        <f t="shared" ref="G11:R20" ca="1" si="9">AVERAGE(OFFSET(C.Trace.Markov.Root, $D11, (G$2-1)*C.Trace.Markov.NumCols+G$3-1, 2))*G$6</f>
        <v>0</v>
      </c>
      <c r="H11" s="42">
        <f t="shared" ca="1" si="9"/>
        <v>7.5189688374292238</v>
      </c>
      <c r="I11" s="42">
        <f t="shared" ca="1" si="9"/>
        <v>0.30583607167811944</v>
      </c>
      <c r="J11" s="42">
        <f t="shared" ca="1" si="9"/>
        <v>0</v>
      </c>
      <c r="K11" s="42">
        <f t="shared" ca="1" si="9"/>
        <v>0.16845933400526902</v>
      </c>
      <c r="L11" s="42">
        <f t="shared" ca="1" si="9"/>
        <v>0</v>
      </c>
      <c r="M11" s="42">
        <f t="shared" ca="1" si="9"/>
        <v>8.4575153086093202</v>
      </c>
      <c r="N11" s="42">
        <f t="shared" ca="1" si="9"/>
        <v>0</v>
      </c>
      <c r="O11" s="42">
        <f t="shared" ca="1" si="9"/>
        <v>0</v>
      </c>
      <c r="P11" s="42">
        <f t="shared" ca="1" si="9"/>
        <v>30.482772051279092</v>
      </c>
      <c r="Q11" s="42">
        <f t="shared" ca="1" si="9"/>
        <v>0</v>
      </c>
      <c r="R11" s="42">
        <f t="shared" ca="1" si="9"/>
        <v>0</v>
      </c>
      <c r="S11" s="42">
        <f t="shared" ref="S11:S42" ca="1" si="10">AVERAGE(OFFSET(C.Trace.Markov.Root, $D11, (S$2-1)*C.Trace.Markov.NumCols+S$3-1, 2))*INDEX(C.rngC.ByState, S$3)</f>
        <v>0</v>
      </c>
      <c r="T11" s="51">
        <f t="shared" ref="T11:T42" ca="1" si="11">SUM(G11:S11)</f>
        <v>46.933551603001021</v>
      </c>
      <c r="V11" s="42">
        <f t="shared" ref="V11:AG20" ca="1" si="12">AVERAGE(OFFSET(C.Trace.Markov.Root, $D11, (V$2-1)*C.Trace.Markov.NumCols+V$3-1, 2))*V$6</f>
        <v>16.573999216182301</v>
      </c>
      <c r="W11" s="42">
        <f t="shared" ca="1" si="12"/>
        <v>0</v>
      </c>
      <c r="X11" s="42">
        <f t="shared" ca="1" si="12"/>
        <v>0.14542522308323591</v>
      </c>
      <c r="Y11" s="42">
        <f t="shared" ca="1" si="12"/>
        <v>0</v>
      </c>
      <c r="Z11" s="42">
        <f t="shared" ca="1" si="12"/>
        <v>9.9115664766770833E-2</v>
      </c>
      <c r="AA11" s="42">
        <f t="shared" ca="1" si="12"/>
        <v>0</v>
      </c>
      <c r="AB11" s="42">
        <f t="shared" ca="1" si="12"/>
        <v>2.8146571207413995</v>
      </c>
      <c r="AC11" s="42">
        <f t="shared" ca="1" si="12"/>
        <v>0</v>
      </c>
      <c r="AD11" s="42">
        <f t="shared" ca="1" si="12"/>
        <v>0</v>
      </c>
      <c r="AE11" s="42">
        <f t="shared" ca="1" si="12"/>
        <v>11.267422263966829</v>
      </c>
      <c r="AF11" s="42">
        <f t="shared" ca="1" si="12"/>
        <v>0</v>
      </c>
      <c r="AG11" s="42">
        <f t="shared" ca="1" si="12"/>
        <v>0</v>
      </c>
      <c r="AH11" s="42">
        <f t="shared" ref="AH11:AH42" ca="1" si="13">AVERAGE(OFFSET(C.Trace.Markov.Root, $D11, (AH$2-1)*C.Trace.Markov.NumCols+AH$3-1, 2))*INDEX(C.rngC.ByState, AH$3)</f>
        <v>0</v>
      </c>
      <c r="AI11" s="51">
        <f t="shared" ref="AI11:AI42" ca="1" si="14">SUM(V11:AH11)</f>
        <v>30.900619488740539</v>
      </c>
    </row>
    <row r="12" spans="1:35" ht="12" customHeight="1" x14ac:dyDescent="0.2">
      <c r="D12" s="347">
        <f t="shared" ref="D12:D43" si="15">D11+1</f>
        <v>1</v>
      </c>
      <c r="E12" s="43">
        <f t="shared" si="8"/>
        <v>70.25</v>
      </c>
      <c r="G12" s="42">
        <f t="shared" ca="1" si="9"/>
        <v>0</v>
      </c>
      <c r="H12" s="42">
        <f t="shared" ca="1" si="9"/>
        <v>7.2353237556356875</v>
      </c>
      <c r="I12" s="42">
        <f t="shared" ca="1" si="9"/>
        <v>0.60013480367014782</v>
      </c>
      <c r="J12" s="42">
        <f t="shared" ca="1" si="9"/>
        <v>3.0873041935961593E-2</v>
      </c>
      <c r="K12" s="42">
        <f t="shared" ca="1" si="9"/>
        <v>0.33056371926611072</v>
      </c>
      <c r="L12" s="42">
        <f t="shared" ca="1" si="9"/>
        <v>1.7005358637755871E-2</v>
      </c>
      <c r="M12" s="42">
        <f t="shared" ca="1" si="9"/>
        <v>16.595979870587168</v>
      </c>
      <c r="N12" s="42">
        <f t="shared" ca="1" si="9"/>
        <v>0.85375548856624095</v>
      </c>
      <c r="O12" s="42">
        <f t="shared" ca="1" si="9"/>
        <v>0.15250925554466069</v>
      </c>
      <c r="P12" s="42">
        <f t="shared" ca="1" si="9"/>
        <v>59.815614031198159</v>
      </c>
      <c r="Q12" s="42">
        <f t="shared" ca="1" si="9"/>
        <v>0.64013821307686147</v>
      </c>
      <c r="R12" s="42">
        <f t="shared" ca="1" si="9"/>
        <v>0.62134577172029248</v>
      </c>
      <c r="S12" s="42">
        <f t="shared" ca="1" si="10"/>
        <v>0</v>
      </c>
      <c r="T12" s="51">
        <f t="shared" ca="1" si="11"/>
        <v>86.893243309839036</v>
      </c>
      <c r="V12" s="42">
        <f t="shared" ca="1" si="12"/>
        <v>16.197295823652016</v>
      </c>
      <c r="W12" s="42">
        <f t="shared" ca="1" si="12"/>
        <v>0</v>
      </c>
      <c r="X12" s="42">
        <f t="shared" ca="1" si="12"/>
        <v>0.28754513800394693</v>
      </c>
      <c r="Y12" s="42">
        <f t="shared" ca="1" si="12"/>
        <v>1.4680148702408679E-2</v>
      </c>
      <c r="Z12" s="42">
        <f t="shared" ca="1" si="12"/>
        <v>0.19597857166360752</v>
      </c>
      <c r="AA12" s="42">
        <f t="shared" ca="1" si="12"/>
        <v>1.0005366790336492E-2</v>
      </c>
      <c r="AB12" s="42">
        <f t="shared" ca="1" si="12"/>
        <v>5.5653410946059978</v>
      </c>
      <c r="AC12" s="42">
        <f t="shared" ca="1" si="12"/>
        <v>0.28412942543761771</v>
      </c>
      <c r="AD12" s="42">
        <f t="shared" ca="1" si="12"/>
        <v>6.7792013019864136E-2</v>
      </c>
      <c r="AE12" s="42">
        <f t="shared" ca="1" si="12"/>
        <v>22.278752070311036</v>
      </c>
      <c r="AF12" s="42">
        <f t="shared" ca="1" si="12"/>
        <v>0.23661586754330363</v>
      </c>
      <c r="AG12" s="42">
        <f t="shared" ca="1" si="12"/>
        <v>0.22966957106544078</v>
      </c>
      <c r="AH12" s="42">
        <f t="shared" ca="1" si="13"/>
        <v>0</v>
      </c>
      <c r="AI12" s="51">
        <f t="shared" ca="1" si="14"/>
        <v>45.367805090795585</v>
      </c>
    </row>
    <row r="13" spans="1:35" ht="12" customHeight="1" x14ac:dyDescent="0.2">
      <c r="D13" s="347">
        <f t="shared" si="15"/>
        <v>2</v>
      </c>
      <c r="E13" s="43">
        <f t="shared" si="8"/>
        <v>70.5</v>
      </c>
      <c r="G13" s="42">
        <f t="shared" ca="1" si="9"/>
        <v>0</v>
      </c>
      <c r="H13" s="42">
        <f t="shared" ca="1" si="9"/>
        <v>6.9623788820974593</v>
      </c>
      <c r="I13" s="42">
        <f t="shared" ca="1" si="9"/>
        <v>0.5801412672100098</v>
      </c>
      <c r="J13" s="42">
        <f t="shared" ca="1" si="9"/>
        <v>6.0581431285314624E-2</v>
      </c>
      <c r="K13" s="42">
        <f t="shared" ca="1" si="9"/>
        <v>0.31989689485824419</v>
      </c>
      <c r="L13" s="42">
        <f t="shared" ca="1" si="9"/>
        <v>3.3369208253992262E-2</v>
      </c>
      <c r="M13" s="42">
        <f t="shared" ca="1" si="9"/>
        <v>16.021124922038744</v>
      </c>
      <c r="N13" s="42">
        <f t="shared" ca="1" si="9"/>
        <v>1.6753039616996519</v>
      </c>
      <c r="O13" s="42">
        <f t="shared" ca="1" si="9"/>
        <v>0.46548273044888017</v>
      </c>
      <c r="P13" s="42">
        <f t="shared" ca="1" si="9"/>
        <v>57.953918440131993</v>
      </c>
      <c r="Q13" s="42">
        <f t="shared" ca="1" si="9"/>
        <v>1.2561278946551624</v>
      </c>
      <c r="R13" s="42">
        <f t="shared" ca="1" si="9"/>
        <v>1.8406900087747411</v>
      </c>
      <c r="S13" s="42">
        <f t="shared" ca="1" si="10"/>
        <v>0</v>
      </c>
      <c r="T13" s="51">
        <f t="shared" ca="1" si="11"/>
        <v>87.169015641454195</v>
      </c>
      <c r="V13" s="42">
        <f t="shared" ca="1" si="12"/>
        <v>15.82915436262015</v>
      </c>
      <c r="W13" s="42">
        <f t="shared" ca="1" si="12"/>
        <v>0</v>
      </c>
      <c r="X13" s="42">
        <f t="shared" ca="1" si="12"/>
        <v>0.28218578181635962</v>
      </c>
      <c r="Y13" s="42">
        <f t="shared" ca="1" si="12"/>
        <v>2.9026638536676041E-2</v>
      </c>
      <c r="Z13" s="42">
        <f t="shared" ca="1" si="12"/>
        <v>0.19232586176918579</v>
      </c>
      <c r="AA13" s="42">
        <f t="shared" ca="1" si="12"/>
        <v>1.9783325846168591E-2</v>
      </c>
      <c r="AB13" s="42">
        <f t="shared" ca="1" si="12"/>
        <v>5.4616125271940836</v>
      </c>
      <c r="AC13" s="42">
        <f t="shared" ca="1" si="12"/>
        <v>0.56180099377726189</v>
      </c>
      <c r="AD13" s="42">
        <f t="shared" ca="1" si="12"/>
        <v>0.20792614282155861</v>
      </c>
      <c r="AE13" s="42">
        <f t="shared" ca="1" si="12"/>
        <v>21.933663270785502</v>
      </c>
      <c r="AF13" s="42">
        <f t="shared" ca="1" si="12"/>
        <v>0.46785379347653205</v>
      </c>
      <c r="AG13" s="42">
        <f t="shared" ca="1" si="12"/>
        <v>0.68382276819822152</v>
      </c>
      <c r="AH13" s="42">
        <f t="shared" ca="1" si="13"/>
        <v>0</v>
      </c>
      <c r="AI13" s="51">
        <f t="shared" ca="1" si="14"/>
        <v>45.669155466841701</v>
      </c>
    </row>
    <row r="14" spans="1:35" ht="12" customHeight="1" x14ac:dyDescent="0.2">
      <c r="D14" s="347">
        <f t="shared" si="15"/>
        <v>3</v>
      </c>
      <c r="E14" s="43">
        <f t="shared" si="8"/>
        <v>70.75</v>
      </c>
      <c r="G14" s="42">
        <f t="shared" ca="1" si="9"/>
        <v>0</v>
      </c>
      <c r="H14" s="42">
        <f t="shared" ca="1" si="9"/>
        <v>6.6997305628679138</v>
      </c>
      <c r="I14" s="42">
        <f t="shared" ca="1" si="9"/>
        <v>0.56378570079012869</v>
      </c>
      <c r="J14" s="42">
        <f t="shared" ca="1" si="9"/>
        <v>5.8563156311420582E-2</v>
      </c>
      <c r="K14" s="42">
        <f t="shared" ca="1" si="9"/>
        <v>0.31159789664174364</v>
      </c>
      <c r="L14" s="42">
        <f t="shared" ca="1" si="9"/>
        <v>3.2292431026699743E-2</v>
      </c>
      <c r="M14" s="42">
        <f t="shared" ca="1" si="9"/>
        <v>15.523769504926946</v>
      </c>
      <c r="N14" s="42">
        <f t="shared" ca="1" si="9"/>
        <v>1.6172744400796213</v>
      </c>
      <c r="O14" s="42">
        <f t="shared" ca="1" si="9"/>
        <v>0.77781336904583653</v>
      </c>
      <c r="P14" s="42">
        <f t="shared" ca="1" si="9"/>
        <v>56.575692752998435</v>
      </c>
      <c r="Q14" s="42">
        <f t="shared" ca="1" si="9"/>
        <v>1.217032287242773</v>
      </c>
      <c r="R14" s="42">
        <f t="shared" ca="1" si="9"/>
        <v>3.0089202523834802</v>
      </c>
      <c r="S14" s="42">
        <f t="shared" ca="1" si="10"/>
        <v>0</v>
      </c>
      <c r="T14" s="51">
        <f t="shared" ca="1" si="11"/>
        <v>86.386472354314989</v>
      </c>
      <c r="V14" s="42">
        <f t="shared" ca="1" si="12"/>
        <v>15.469380232580212</v>
      </c>
      <c r="W14" s="42">
        <f t="shared" ca="1" si="12"/>
        <v>0</v>
      </c>
      <c r="X14" s="42">
        <f t="shared" ca="1" si="12"/>
        <v>0.27823004375523563</v>
      </c>
      <c r="Y14" s="42">
        <f t="shared" ca="1" si="12"/>
        <v>2.8485630971998455E-2</v>
      </c>
      <c r="Z14" s="42">
        <f t="shared" ca="1" si="12"/>
        <v>0.18962979846421765</v>
      </c>
      <c r="AA14" s="42">
        <f t="shared" ca="1" si="12"/>
        <v>1.9414598033482486E-2</v>
      </c>
      <c r="AB14" s="42">
        <f t="shared" ca="1" si="12"/>
        <v>5.3850505246372267</v>
      </c>
      <c r="AC14" s="42">
        <f t="shared" ca="1" si="12"/>
        <v>0.55132997119940297</v>
      </c>
      <c r="AD14" s="42">
        <f t="shared" ca="1" si="12"/>
        <v>0.34983516126949549</v>
      </c>
      <c r="AE14" s="42">
        <f t="shared" ca="1" si="12"/>
        <v>21.765891175397101</v>
      </c>
      <c r="AF14" s="42">
        <f t="shared" ca="1" si="12"/>
        <v>0.46060692868649589</v>
      </c>
      <c r="AG14" s="42">
        <f t="shared" ca="1" si="12"/>
        <v>1.1260757355628801</v>
      </c>
      <c r="AH14" s="42">
        <f t="shared" ca="1" si="13"/>
        <v>0</v>
      </c>
      <c r="AI14" s="51">
        <f t="shared" ca="1" si="14"/>
        <v>45.623929800557747</v>
      </c>
    </row>
    <row r="15" spans="1:35" ht="12" customHeight="1" x14ac:dyDescent="0.2">
      <c r="D15" s="347">
        <f t="shared" si="15"/>
        <v>4</v>
      </c>
      <c r="E15" s="43">
        <f t="shared" si="8"/>
        <v>71</v>
      </c>
      <c r="G15" s="42">
        <f t="shared" ca="1" si="9"/>
        <v>0</v>
      </c>
      <c r="H15" s="42">
        <f t="shared" ca="1" si="9"/>
        <v>6.4469903714151373</v>
      </c>
      <c r="I15" s="42">
        <f t="shared" ca="1" si="9"/>
        <v>0.54824081254990764</v>
      </c>
      <c r="J15" s="42">
        <f t="shared" ca="1" si="9"/>
        <v>5.6912121215407341E-2</v>
      </c>
      <c r="K15" s="42">
        <f t="shared" ca="1" si="9"/>
        <v>0.30374397463696046</v>
      </c>
      <c r="L15" s="42">
        <f t="shared" ca="1" si="9"/>
        <v>3.145467726351988E-2</v>
      </c>
      <c r="M15" s="42">
        <f t="shared" ca="1" si="9"/>
        <v>15.04892493928676</v>
      </c>
      <c r="N15" s="42">
        <f t="shared" ca="1" si="9"/>
        <v>1.567068215008399</v>
      </c>
      <c r="O15" s="42">
        <f t="shared" ca="1" si="9"/>
        <v>1.073580302180088</v>
      </c>
      <c r="P15" s="42">
        <f t="shared" ca="1" si="9"/>
        <v>55.262902994909446</v>
      </c>
      <c r="Q15" s="42">
        <f t="shared" ca="1" si="9"/>
        <v>1.188089547812968</v>
      </c>
      <c r="R15" s="42">
        <f t="shared" ca="1" si="9"/>
        <v>4.1233246788201061</v>
      </c>
      <c r="S15" s="42">
        <f t="shared" ca="1" si="10"/>
        <v>0</v>
      </c>
      <c r="T15" s="51">
        <f t="shared" ca="1" si="11"/>
        <v>85.651232635098694</v>
      </c>
      <c r="V15" s="42">
        <f t="shared" ca="1" si="12"/>
        <v>15.117783256018017</v>
      </c>
      <c r="W15" s="42">
        <f t="shared" ca="1" si="12"/>
        <v>0</v>
      </c>
      <c r="X15" s="42">
        <f t="shared" ca="1" si="12"/>
        <v>0.27445026479170093</v>
      </c>
      <c r="Y15" s="42">
        <f t="shared" ca="1" si="12"/>
        <v>2.8086313565197297E-2</v>
      </c>
      <c r="Z15" s="42">
        <f t="shared" ca="1" si="12"/>
        <v>0.1870536614179793</v>
      </c>
      <c r="AA15" s="42">
        <f t="shared" ca="1" si="12"/>
        <v>1.914244022351725E-2</v>
      </c>
      <c r="AB15" s="42">
        <f t="shared" ca="1" si="12"/>
        <v>5.311894152248839</v>
      </c>
      <c r="AC15" s="42">
        <f t="shared" ca="1" si="12"/>
        <v>0.54360131478987794</v>
      </c>
      <c r="AD15" s="42">
        <f t="shared" ca="1" si="12"/>
        <v>0.4863935145734079</v>
      </c>
      <c r="AE15" s="42">
        <f t="shared" ca="1" si="12"/>
        <v>21.608117472288789</v>
      </c>
      <c r="AF15" s="42">
        <f t="shared" ca="1" si="12"/>
        <v>0.45708371468333947</v>
      </c>
      <c r="AG15" s="42">
        <f t="shared" ca="1" si="12"/>
        <v>1.5553248309160803</v>
      </c>
      <c r="AH15" s="42">
        <f t="shared" ca="1" si="13"/>
        <v>0</v>
      </c>
      <c r="AI15" s="51">
        <f t="shared" ca="1" si="14"/>
        <v>45.58893093551675</v>
      </c>
    </row>
    <row r="16" spans="1:35" ht="12" customHeight="1" x14ac:dyDescent="0.2">
      <c r="D16" s="347">
        <f t="shared" si="15"/>
        <v>5</v>
      </c>
      <c r="E16" s="43">
        <f t="shared" si="8"/>
        <v>71.25</v>
      </c>
      <c r="G16" s="42">
        <f t="shared" ca="1" si="9"/>
        <v>0</v>
      </c>
      <c r="H16" s="42">
        <f t="shared" ca="1" si="9"/>
        <v>6.2037845341839493</v>
      </c>
      <c r="I16" s="42">
        <f t="shared" ca="1" si="9"/>
        <v>0.53319938592339078</v>
      </c>
      <c r="J16" s="42">
        <f t="shared" ca="1" si="9"/>
        <v>5.5342921140684703E-2</v>
      </c>
      <c r="K16" s="42">
        <f t="shared" ca="1" si="9"/>
        <v>0.29612979640941839</v>
      </c>
      <c r="L16" s="42">
        <f t="shared" ca="1" si="9"/>
        <v>3.066185232928309E-2</v>
      </c>
      <c r="M16" s="42">
        <f t="shared" ca="1" si="9"/>
        <v>14.590387856088066</v>
      </c>
      <c r="N16" s="42">
        <f t="shared" ca="1" si="9"/>
        <v>1.5191343787292635</v>
      </c>
      <c r="O16" s="42">
        <f t="shared" ca="1" si="9"/>
        <v>1.3537586739783458</v>
      </c>
      <c r="P16" s="42">
        <f t="shared" ca="1" si="9"/>
        <v>53.990230012077149</v>
      </c>
      <c r="Q16" s="42">
        <f t="shared" ca="1" si="9"/>
        <v>1.160520962893099</v>
      </c>
      <c r="R16" s="42">
        <f t="shared" ca="1" si="9"/>
        <v>5.186596838049736</v>
      </c>
      <c r="S16" s="42">
        <f t="shared" ca="1" si="10"/>
        <v>0</v>
      </c>
      <c r="T16" s="51">
        <f t="shared" ca="1" si="11"/>
        <v>84.919747211802388</v>
      </c>
      <c r="V16" s="42">
        <f t="shared" ca="1" si="12"/>
        <v>14.774177577883362</v>
      </c>
      <c r="W16" s="42">
        <f t="shared" ca="1" si="12"/>
        <v>0</v>
      </c>
      <c r="X16" s="42">
        <f t="shared" ca="1" si="12"/>
        <v>0.270719523056139</v>
      </c>
      <c r="Y16" s="42">
        <f t="shared" ca="1" si="12"/>
        <v>2.7704758590960357E-2</v>
      </c>
      <c r="Z16" s="42">
        <f t="shared" ca="1" si="12"/>
        <v>0.1845109460667248</v>
      </c>
      <c r="AA16" s="42">
        <f t="shared" ca="1" si="12"/>
        <v>1.8882388534307067E-2</v>
      </c>
      <c r="AB16" s="42">
        <f t="shared" ca="1" si="12"/>
        <v>5.2396868791980262</v>
      </c>
      <c r="AC16" s="42">
        <f t="shared" ca="1" si="12"/>
        <v>0.53621644439105021</v>
      </c>
      <c r="AD16" s="42">
        <f t="shared" ca="1" si="12"/>
        <v>0.61787850167833303</v>
      </c>
      <c r="AE16" s="42">
        <f t="shared" ca="1" si="12"/>
        <v>21.450171270247232</v>
      </c>
      <c r="AF16" s="42">
        <f t="shared" ca="1" si="12"/>
        <v>0.45377046691806494</v>
      </c>
      <c r="AG16" s="42">
        <f t="shared" ca="1" si="12"/>
        <v>1.972128850586935</v>
      </c>
      <c r="AH16" s="42">
        <f t="shared" ca="1" si="13"/>
        <v>0</v>
      </c>
      <c r="AI16" s="51">
        <f t="shared" ca="1" si="14"/>
        <v>45.545847607151131</v>
      </c>
    </row>
    <row r="17" spans="4:35" ht="12" customHeight="1" x14ac:dyDescent="0.2">
      <c r="D17" s="347">
        <f t="shared" si="15"/>
        <v>6</v>
      </c>
      <c r="E17" s="43">
        <f t="shared" si="8"/>
        <v>71.5</v>
      </c>
      <c r="G17" s="42">
        <f t="shared" ca="1" si="9"/>
        <v>0</v>
      </c>
      <c r="H17" s="42">
        <f t="shared" ca="1" si="9"/>
        <v>5.9697533778279768</v>
      </c>
      <c r="I17" s="42">
        <f t="shared" ca="1" si="9"/>
        <v>0.51864850570307885</v>
      </c>
      <c r="J17" s="42">
        <f t="shared" ca="1" si="9"/>
        <v>5.3824543689427476E-2</v>
      </c>
      <c r="K17" s="42">
        <f t="shared" ca="1" si="9"/>
        <v>0.28875045994140325</v>
      </c>
      <c r="L17" s="42">
        <f t="shared" ca="1" si="9"/>
        <v>2.9893228659625844E-2</v>
      </c>
      <c r="M17" s="42">
        <f t="shared" ca="1" si="9"/>
        <v>14.147660697948782</v>
      </c>
      <c r="N17" s="42">
        <f t="shared" ca="1" si="9"/>
        <v>1.4728467236429599</v>
      </c>
      <c r="O17" s="42">
        <f t="shared" ca="1" si="9"/>
        <v>1.6190087527928554</v>
      </c>
      <c r="P17" s="42">
        <f t="shared" ca="1" si="9"/>
        <v>52.756833822741854</v>
      </c>
      <c r="Q17" s="42">
        <f t="shared" ca="1" si="9"/>
        <v>1.1337948302536209</v>
      </c>
      <c r="R17" s="42">
        <f t="shared" ca="1" si="9"/>
        <v>6.2006737210546596</v>
      </c>
      <c r="S17" s="42">
        <f t="shared" ca="1" si="10"/>
        <v>0</v>
      </c>
      <c r="T17" s="51">
        <f t="shared" ca="1" si="11"/>
        <v>84.191688664256233</v>
      </c>
      <c r="V17" s="42">
        <f t="shared" ca="1" si="12"/>
        <v>14.438381567346593</v>
      </c>
      <c r="W17" s="42">
        <f t="shared" ca="1" si="12"/>
        <v>0</v>
      </c>
      <c r="X17" s="42">
        <f t="shared" ca="1" si="12"/>
        <v>0.26703940502427115</v>
      </c>
      <c r="Y17" s="42">
        <f t="shared" ca="1" si="12"/>
        <v>2.7328153746991955E-2</v>
      </c>
      <c r="Z17" s="42">
        <f t="shared" ca="1" si="12"/>
        <v>0.1820027336850254</v>
      </c>
      <c r="AA17" s="42">
        <f t="shared" ca="1" si="12"/>
        <v>1.8625710643959605E-2</v>
      </c>
      <c r="AB17" s="42">
        <f t="shared" ca="1" si="12"/>
        <v>5.1684594111979463</v>
      </c>
      <c r="AC17" s="42">
        <f t="shared" ca="1" si="12"/>
        <v>0.52892738212724566</v>
      </c>
      <c r="AD17" s="42">
        <f t="shared" ca="1" si="12"/>
        <v>0.74443752647989059</v>
      </c>
      <c r="AE17" s="42">
        <f t="shared" ca="1" si="12"/>
        <v>21.292346165041693</v>
      </c>
      <c r="AF17" s="42">
        <f t="shared" ca="1" si="12"/>
        <v>0.4504535966751923</v>
      </c>
      <c r="AG17" s="42">
        <f t="shared" ca="1" si="12"/>
        <v>2.3767541022457102</v>
      </c>
      <c r="AH17" s="42">
        <f t="shared" ca="1" si="13"/>
        <v>0</v>
      </c>
      <c r="AI17" s="51">
        <f t="shared" ca="1" si="14"/>
        <v>45.494755754214523</v>
      </c>
    </row>
    <row r="18" spans="4:35" ht="12" customHeight="1" x14ac:dyDescent="0.2">
      <c r="D18" s="347">
        <f t="shared" si="15"/>
        <v>7</v>
      </c>
      <c r="E18" s="43">
        <f t="shared" si="8"/>
        <v>71.75</v>
      </c>
      <c r="G18" s="42">
        <f t="shared" ca="1" si="9"/>
        <v>0</v>
      </c>
      <c r="H18" s="42">
        <f t="shared" ca="1" si="9"/>
        <v>5.7445507972943144</v>
      </c>
      <c r="I18" s="42">
        <f t="shared" ca="1" si="9"/>
        <v>0.50457091927172271</v>
      </c>
      <c r="J18" s="42">
        <f t="shared" ca="1" si="9"/>
        <v>5.2355685118291882E-2</v>
      </c>
      <c r="K18" s="42">
        <f t="shared" ca="1" si="9"/>
        <v>0.28159795988071867</v>
      </c>
      <c r="L18" s="42">
        <f t="shared" ca="1" si="9"/>
        <v>2.9148311413643241E-2</v>
      </c>
      <c r="M18" s="42">
        <f t="shared" ca="1" si="9"/>
        <v>13.720171298341024</v>
      </c>
      <c r="N18" s="42">
        <f t="shared" ca="1" si="9"/>
        <v>1.4281550231367861</v>
      </c>
      <c r="O18" s="42">
        <f t="shared" ca="1" si="9"/>
        <v>1.8699525735044722</v>
      </c>
      <c r="P18" s="42">
        <f t="shared" ca="1" si="9"/>
        <v>51.561332279799359</v>
      </c>
      <c r="Q18" s="42">
        <f t="shared" ca="1" si="9"/>
        <v>1.10789351027758</v>
      </c>
      <c r="R18" s="42">
        <f t="shared" ca="1" si="9"/>
        <v>7.167422797459639</v>
      </c>
      <c r="S18" s="42">
        <f t="shared" ca="1" si="10"/>
        <v>0</v>
      </c>
      <c r="T18" s="51">
        <f t="shared" ca="1" si="11"/>
        <v>83.467151155497547</v>
      </c>
      <c r="V18" s="42">
        <f t="shared" ca="1" si="12"/>
        <v>14.110217721788077</v>
      </c>
      <c r="W18" s="42">
        <f t="shared" ca="1" si="12"/>
        <v>0</v>
      </c>
      <c r="X18" s="42">
        <f t="shared" ca="1" si="12"/>
        <v>0.26340931688718361</v>
      </c>
      <c r="Y18" s="42">
        <f t="shared" ca="1" si="12"/>
        <v>2.6956659182260818E-2</v>
      </c>
      <c r="Z18" s="42">
        <f t="shared" ca="1" si="12"/>
        <v>0.17952861955790828</v>
      </c>
      <c r="AA18" s="42">
        <f t="shared" ca="1" si="12"/>
        <v>1.8372515703220241E-2</v>
      </c>
      <c r="AB18" s="42">
        <f t="shared" ca="1" si="12"/>
        <v>5.0982002552733636</v>
      </c>
      <c r="AC18" s="42">
        <f t="shared" ca="1" si="12"/>
        <v>0.52173722762881491</v>
      </c>
      <c r="AD18" s="42">
        <f t="shared" ca="1" si="12"/>
        <v>0.86620872144863104</v>
      </c>
      <c r="AE18" s="42">
        <f t="shared" ca="1" si="12"/>
        <v>21.134677489036427</v>
      </c>
      <c r="AF18" s="42">
        <f t="shared" ca="1" si="12"/>
        <v>0.44713926946587595</v>
      </c>
      <c r="AG18" s="42">
        <f t="shared" ca="1" si="12"/>
        <v>2.76946274509586</v>
      </c>
      <c r="AH18" s="42">
        <f t="shared" ca="1" si="13"/>
        <v>0</v>
      </c>
      <c r="AI18" s="51">
        <f t="shared" ca="1" si="14"/>
        <v>45.435910541067628</v>
      </c>
    </row>
    <row r="19" spans="4:35" ht="12" customHeight="1" x14ac:dyDescent="0.2">
      <c r="D19" s="347">
        <f t="shared" si="15"/>
        <v>8</v>
      </c>
      <c r="E19" s="43">
        <f t="shared" si="8"/>
        <v>72</v>
      </c>
      <c r="G19" s="42">
        <f t="shared" ca="1" si="9"/>
        <v>0</v>
      </c>
      <c r="H19" s="42">
        <f t="shared" ca="1" si="9"/>
        <v>5.5278437439741177</v>
      </c>
      <c r="I19" s="42">
        <f t="shared" ca="1" si="9"/>
        <v>0.49094979366139052</v>
      </c>
      <c r="J19" s="42">
        <f t="shared" ca="1" si="9"/>
        <v>5.0934603838154985E-2</v>
      </c>
      <c r="K19" s="42">
        <f t="shared" ca="1" si="9"/>
        <v>0.27466443530110418</v>
      </c>
      <c r="L19" s="42">
        <f t="shared" ca="1" si="9"/>
        <v>2.842629248007256E-2</v>
      </c>
      <c r="M19" s="42">
        <f t="shared" ca="1" si="9"/>
        <v>13.307364600555855</v>
      </c>
      <c r="N19" s="42">
        <f t="shared" ca="1" si="9"/>
        <v>1.3850015190754352</v>
      </c>
      <c r="O19" s="42">
        <f t="shared" ca="1" si="9"/>
        <v>2.1071882700173341</v>
      </c>
      <c r="P19" s="42">
        <f t="shared" ca="1" si="9"/>
        <v>50.402378548145442</v>
      </c>
      <c r="Q19" s="42">
        <f t="shared" ca="1" si="9"/>
        <v>1.0827879778757874</v>
      </c>
      <c r="R19" s="42">
        <f t="shared" ca="1" si="9"/>
        <v>8.0886431640561636</v>
      </c>
      <c r="S19" s="42">
        <f t="shared" ca="1" si="10"/>
        <v>0</v>
      </c>
      <c r="T19" s="51">
        <f t="shared" ca="1" si="11"/>
        <v>82.746182948980859</v>
      </c>
      <c r="V19" s="42">
        <f t="shared" ca="1" si="12"/>
        <v>13.789512572969873</v>
      </c>
      <c r="W19" s="42">
        <f t="shared" ca="1" si="12"/>
        <v>0</v>
      </c>
      <c r="X19" s="42">
        <f t="shared" ca="1" si="12"/>
        <v>0.25982857560544803</v>
      </c>
      <c r="Y19" s="42">
        <f t="shared" ca="1" si="12"/>
        <v>2.6590214953911288E-2</v>
      </c>
      <c r="Z19" s="42">
        <f t="shared" ca="1" si="12"/>
        <v>0.17708813815466565</v>
      </c>
      <c r="AA19" s="42">
        <f t="shared" ca="1" si="12"/>
        <v>1.8122762857580653E-2</v>
      </c>
      <c r="AB19" s="42">
        <f t="shared" ca="1" si="12"/>
        <v>5.0288961914219286</v>
      </c>
      <c r="AC19" s="42">
        <f t="shared" ca="1" si="12"/>
        <v>0.51464482072160156</v>
      </c>
      <c r="AD19" s="42">
        <f t="shared" ca="1" si="12"/>
        <v>0.98332688594472206</v>
      </c>
      <c r="AE19" s="42">
        <f t="shared" ca="1" si="12"/>
        <v>20.977192393996944</v>
      </c>
      <c r="AF19" s="42">
        <f t="shared" ca="1" si="12"/>
        <v>0.4438282272697654</v>
      </c>
      <c r="AG19" s="42">
        <f t="shared" ca="1" si="12"/>
        <v>3.1505121953636581</v>
      </c>
      <c r="AH19" s="42">
        <f t="shared" ca="1" si="13"/>
        <v>0</v>
      </c>
      <c r="AI19" s="51">
        <f t="shared" ca="1" si="14"/>
        <v>45.369542979260103</v>
      </c>
    </row>
    <row r="20" spans="4:35" ht="12" customHeight="1" x14ac:dyDescent="0.2">
      <c r="D20" s="347">
        <f t="shared" si="15"/>
        <v>9</v>
      </c>
      <c r="E20" s="43">
        <f t="shared" si="8"/>
        <v>72.25</v>
      </c>
      <c r="G20" s="42">
        <f t="shared" ca="1" si="9"/>
        <v>0</v>
      </c>
      <c r="H20" s="42">
        <f t="shared" ca="1" si="9"/>
        <v>5.3193117331621789</v>
      </c>
      <c r="I20" s="42">
        <f t="shared" ca="1" si="9"/>
        <v>0.4777689233565372</v>
      </c>
      <c r="J20" s="42">
        <f t="shared" ca="1" si="9"/>
        <v>4.9559600621970033E-2</v>
      </c>
      <c r="K20" s="42">
        <f t="shared" ca="1" si="9"/>
        <v>0.26794231667329682</v>
      </c>
      <c r="L20" s="42">
        <f t="shared" ca="1" si="9"/>
        <v>2.7726378326925354E-2</v>
      </c>
      <c r="M20" s="42">
        <f t="shared" ca="1" si="9"/>
        <v>12.908706340613637</v>
      </c>
      <c r="N20" s="42">
        <f t="shared" ca="1" si="9"/>
        <v>1.3433301804977522</v>
      </c>
      <c r="O20" s="42">
        <f t="shared" ca="1" si="9"/>
        <v>2.3312906258317634</v>
      </c>
      <c r="P20" s="42">
        <f t="shared" ca="1" si="9"/>
        <v>49.27867664928872</v>
      </c>
      <c r="Q20" s="42">
        <f t="shared" ca="1" si="9"/>
        <v>1.0584499495110551</v>
      </c>
      <c r="R20" s="42">
        <f t="shared" ca="1" si="9"/>
        <v>8.9660674855810658</v>
      </c>
      <c r="S20" s="42">
        <f t="shared" ca="1" si="10"/>
        <v>0</v>
      </c>
      <c r="T20" s="51">
        <f t="shared" ca="1" si="11"/>
        <v>82.028830183464905</v>
      </c>
      <c r="V20" s="42">
        <f t="shared" ca="1" si="12"/>
        <v>13.476096595339984</v>
      </c>
      <c r="W20" s="42">
        <f t="shared" ca="1" si="12"/>
        <v>0</v>
      </c>
      <c r="X20" s="42">
        <f t="shared" ca="1" si="12"/>
        <v>0.25629651030611145</v>
      </c>
      <c r="Y20" s="42">
        <f t="shared" ca="1" si="12"/>
        <v>2.6228752111590977E-2</v>
      </c>
      <c r="Z20" s="42">
        <f t="shared" ca="1" si="12"/>
        <v>0.17468083223674374</v>
      </c>
      <c r="AA20" s="42">
        <f t="shared" ca="1" si="12"/>
        <v>1.7876405113404742E-2</v>
      </c>
      <c r="AB20" s="42">
        <f t="shared" ca="1" si="12"/>
        <v>4.9605342351194022</v>
      </c>
      <c r="AC20" s="42">
        <f t="shared" ca="1" si="12"/>
        <v>0.50764882689432733</v>
      </c>
      <c r="AD20" s="42">
        <f t="shared" ca="1" si="12"/>
        <v>1.0959234059601044</v>
      </c>
      <c r="AE20" s="42">
        <f t="shared" ca="1" si="12"/>
        <v>20.819917525656955</v>
      </c>
      <c r="AF20" s="42">
        <f t="shared" ca="1" si="12"/>
        <v>0.44052104027393629</v>
      </c>
      <c r="AG20" s="42">
        <f t="shared" ca="1" si="12"/>
        <v>3.5201549476470864</v>
      </c>
      <c r="AH20" s="42">
        <f t="shared" ca="1" si="13"/>
        <v>0</v>
      </c>
      <c r="AI20" s="51">
        <f t="shared" ca="1" si="14"/>
        <v>45.295879076659645</v>
      </c>
    </row>
    <row r="21" spans="4:35" ht="12" customHeight="1" x14ac:dyDescent="0.2">
      <c r="D21" s="347">
        <f t="shared" si="15"/>
        <v>10</v>
      </c>
      <c r="E21" s="43">
        <f t="shared" si="8"/>
        <v>72.5</v>
      </c>
      <c r="G21" s="42">
        <f t="shared" ref="G21:R30" ca="1" si="16">AVERAGE(OFFSET(C.Trace.Markov.Root, $D21, (G$2-1)*C.Trace.Markov.NumCols+G$3-1, 2))*G$6</f>
        <v>0</v>
      </c>
      <c r="H21" s="42">
        <f t="shared" ca="1" si="16"/>
        <v>5.1186463700970526</v>
      </c>
      <c r="I21" s="42">
        <f t="shared" ca="1" si="16"/>
        <v>0.46501270053332794</v>
      </c>
      <c r="J21" s="42">
        <f t="shared" ca="1" si="16"/>
        <v>4.8229039581732476E-2</v>
      </c>
      <c r="K21" s="42">
        <f t="shared" ca="1" si="16"/>
        <v>0.26142431072122518</v>
      </c>
      <c r="L21" s="42">
        <f t="shared" ca="1" si="16"/>
        <v>2.7047804837682973E-2</v>
      </c>
      <c r="M21" s="42">
        <f t="shared" ca="1" si="16"/>
        <v>12.523682144996966</v>
      </c>
      <c r="N21" s="42">
        <f t="shared" ca="1" si="16"/>
        <v>1.3030870753931754</v>
      </c>
      <c r="O21" s="42">
        <f t="shared" ca="1" si="16"/>
        <v>2.5428119571344805</v>
      </c>
      <c r="P21" s="42">
        <f t="shared" ca="1" si="16"/>
        <v>48.188978875911054</v>
      </c>
      <c r="Q21" s="42">
        <f t="shared" ca="1" si="16"/>
        <v>1.0348522096350641</v>
      </c>
      <c r="R21" s="42">
        <f t="shared" ca="1" si="16"/>
        <v>9.8013644637708275</v>
      </c>
      <c r="S21" s="42">
        <f t="shared" ca="1" si="10"/>
        <v>0</v>
      </c>
      <c r="T21" s="51">
        <f t="shared" ca="1" si="11"/>
        <v>81.31513695261259</v>
      </c>
      <c r="V21" s="42">
        <f t="shared" ref="V21:AG30" ca="1" si="17">AVERAGE(OFFSET(C.Trace.Markov.Root, $D21, (V$2-1)*C.Trace.Markov.NumCols+V$3-1, 2))*V$6</f>
        <v>13.169804116420719</v>
      </c>
      <c r="W21" s="42">
        <f t="shared" ca="1" si="17"/>
        <v>0</v>
      </c>
      <c r="X21" s="42">
        <f t="shared" ca="1" si="17"/>
        <v>0.25281245929944424</v>
      </c>
      <c r="Y21" s="42">
        <f t="shared" ca="1" si="17"/>
        <v>2.5872202933109049E-2</v>
      </c>
      <c r="Z21" s="42">
        <f t="shared" ca="1" si="17"/>
        <v>0.17230625082448417</v>
      </c>
      <c r="AA21" s="42">
        <f t="shared" ca="1" si="17"/>
        <v>1.7633396314119247E-2</v>
      </c>
      <c r="AB21" s="42">
        <f t="shared" ca="1" si="17"/>
        <v>4.8931015795797972</v>
      </c>
      <c r="AC21" s="42">
        <f t="shared" ca="1" si="17"/>
        <v>0.50074793540637508</v>
      </c>
      <c r="AD21" s="42">
        <f t="shared" ca="1" si="17"/>
        <v>1.2041263326883564</v>
      </c>
      <c r="AE21" s="42">
        <f t="shared" ca="1" si="17"/>
        <v>20.662878738011887</v>
      </c>
      <c r="AF21" s="42">
        <f t="shared" ca="1" si="17"/>
        <v>0.43721826803879643</v>
      </c>
      <c r="AG21" s="42">
        <f t="shared" ca="1" si="17"/>
        <v>3.8786386659952843</v>
      </c>
      <c r="AH21" s="42">
        <f t="shared" ca="1" si="13"/>
        <v>0</v>
      </c>
      <c r="AI21" s="51">
        <f t="shared" ca="1" si="14"/>
        <v>45.215139945512369</v>
      </c>
    </row>
    <row r="22" spans="4:35" ht="12" customHeight="1" x14ac:dyDescent="0.2">
      <c r="D22" s="347">
        <f t="shared" si="15"/>
        <v>11</v>
      </c>
      <c r="E22" s="43">
        <f t="shared" si="8"/>
        <v>72.75</v>
      </c>
      <c r="G22" s="42">
        <f t="shared" ca="1" si="16"/>
        <v>0</v>
      </c>
      <c r="H22" s="42">
        <f t="shared" ca="1" si="16"/>
        <v>4.9255508938808257</v>
      </c>
      <c r="I22" s="42">
        <f t="shared" ca="1" si="16"/>
        <v>0.45266609255089091</v>
      </c>
      <c r="J22" s="42">
        <f t="shared" ca="1" si="16"/>
        <v>4.6941345164247639E-2</v>
      </c>
      <c r="K22" s="42">
        <f t="shared" ca="1" si="16"/>
        <v>0.25510339002691595</v>
      </c>
      <c r="L22" s="42">
        <f t="shared" ca="1" si="16"/>
        <v>2.6389835782584255E-2</v>
      </c>
      <c r="M22" s="42">
        <f t="shared" ca="1" si="16"/>
        <v>12.151796781049999</v>
      </c>
      <c r="N22" s="42">
        <f t="shared" ca="1" si="16"/>
        <v>1.2642202796211455</v>
      </c>
      <c r="O22" s="42">
        <f t="shared" ca="1" si="16"/>
        <v>2.7422829714214556</v>
      </c>
      <c r="P22" s="42">
        <f t="shared" ca="1" si="16"/>
        <v>47.132083962566107</v>
      </c>
      <c r="Q22" s="42">
        <f t="shared" ca="1" si="16"/>
        <v>1.011968556394133</v>
      </c>
      <c r="R22" s="42">
        <f t="shared" ca="1" si="16"/>
        <v>10.596141207857418</v>
      </c>
      <c r="S22" s="42">
        <f t="shared" ca="1" si="10"/>
        <v>0</v>
      </c>
      <c r="T22" s="51">
        <f t="shared" ca="1" si="11"/>
        <v>80.605145316315728</v>
      </c>
      <c r="V22" s="42">
        <f t="shared" ca="1" si="17"/>
        <v>12.870473229233808</v>
      </c>
      <c r="W22" s="42">
        <f t="shared" ca="1" si="17"/>
        <v>0</v>
      </c>
      <c r="X22" s="42">
        <f t="shared" ca="1" si="17"/>
        <v>0.24937576988737456</v>
      </c>
      <c r="Y22" s="42">
        <f t="shared" ca="1" si="17"/>
        <v>2.5520500623287753E-2</v>
      </c>
      <c r="Z22" s="42">
        <f t="shared" ca="1" si="17"/>
        <v>0.16996394906656118</v>
      </c>
      <c r="AA22" s="42">
        <f t="shared" ca="1" si="17"/>
        <v>1.7393690934963707E-2</v>
      </c>
      <c r="AB22" s="42">
        <f t="shared" ca="1" si="17"/>
        <v>4.8265855920476897</v>
      </c>
      <c r="AC22" s="42">
        <f t="shared" ca="1" si="17"/>
        <v>0.49394085345915945</v>
      </c>
      <c r="AD22" s="42">
        <f t="shared" ca="1" si="17"/>
        <v>1.30806046323928</v>
      </c>
      <c r="AE22" s="42">
        <f t="shared" ca="1" si="17"/>
        <v>20.506101106295596</v>
      </c>
      <c r="AF22" s="42">
        <f t="shared" ca="1" si="17"/>
        <v>0.43392045349825004</v>
      </c>
      <c r="AG22" s="42">
        <f t="shared" ca="1" si="17"/>
        <v>4.2262062705815273</v>
      </c>
      <c r="AH22" s="42">
        <f t="shared" ca="1" si="13"/>
        <v>0</v>
      </c>
      <c r="AI22" s="51">
        <f t="shared" ca="1" si="14"/>
        <v>45.127541878867497</v>
      </c>
    </row>
    <row r="23" spans="4:35" ht="12" customHeight="1" x14ac:dyDescent="0.2">
      <c r="D23" s="347">
        <f t="shared" si="15"/>
        <v>12</v>
      </c>
      <c r="E23" s="43">
        <f t="shared" si="8"/>
        <v>73</v>
      </c>
      <c r="G23" s="42">
        <f t="shared" ca="1" si="16"/>
        <v>0</v>
      </c>
      <c r="H23" s="42">
        <f t="shared" ca="1" si="16"/>
        <v>4.7397397386040163</v>
      </c>
      <c r="I23" s="42">
        <f t="shared" ca="1" si="16"/>
        <v>0.44071462044516385</v>
      </c>
      <c r="J23" s="42">
        <f t="shared" ca="1" si="16"/>
        <v>4.5694999878954312E-2</v>
      </c>
      <c r="K23" s="42">
        <f t="shared" ca="1" si="16"/>
        <v>0.24897278313214674</v>
      </c>
      <c r="L23" s="42">
        <f t="shared" ca="1" si="16"/>
        <v>2.5751761769278594E-2</v>
      </c>
      <c r="M23" s="42">
        <f t="shared" ca="1" si="16"/>
        <v>11.792573438626164</v>
      </c>
      <c r="N23" s="42">
        <f t="shared" ca="1" si="16"/>
        <v>1.2266798012416407</v>
      </c>
      <c r="O23" s="42">
        <f t="shared" ca="1" si="16"/>
        <v>2.9302135931769193</v>
      </c>
      <c r="P23" s="42">
        <f t="shared" ca="1" si="16"/>
        <v>46.106835335623288</v>
      </c>
      <c r="Q23" s="42">
        <f t="shared" ca="1" si="16"/>
        <v>0.9897737632138891</v>
      </c>
      <c r="R23" s="42">
        <f t="shared" ca="1" si="16"/>
        <v>11.35194551608328</v>
      </c>
      <c r="S23" s="42">
        <f t="shared" ca="1" si="10"/>
        <v>0</v>
      </c>
      <c r="T23" s="51">
        <f t="shared" ca="1" si="11"/>
        <v>79.898895351794735</v>
      </c>
      <c r="V23" s="42">
        <f t="shared" ca="1" si="17"/>
        <v>12.577945706715958</v>
      </c>
      <c r="W23" s="42">
        <f t="shared" ca="1" si="17"/>
        <v>0</v>
      </c>
      <c r="X23" s="42">
        <f t="shared" ca="1" si="17"/>
        <v>0.2459857982444677</v>
      </c>
      <c r="Y23" s="42">
        <f t="shared" ca="1" si="17"/>
        <v>2.5173579294624573E-2</v>
      </c>
      <c r="Z23" s="42">
        <f t="shared" ca="1" si="17"/>
        <v>0.16765348815886219</v>
      </c>
      <c r="AA23" s="42">
        <f t="shared" ca="1" si="17"/>
        <v>1.7157244069810597E-2</v>
      </c>
      <c r="AB23" s="42">
        <f t="shared" ca="1" si="17"/>
        <v>4.7609738114946145</v>
      </c>
      <c r="AC23" s="42">
        <f t="shared" ca="1" si="17"/>
        <v>0.48722630582184895</v>
      </c>
      <c r="AD23" s="42">
        <f t="shared" ca="1" si="17"/>
        <v>1.4078474192731019</v>
      </c>
      <c r="AE23" s="42">
        <f t="shared" ca="1" si="17"/>
        <v>20.349608944231836</v>
      </c>
      <c r="AF23" s="42">
        <f t="shared" ca="1" si="17"/>
        <v>0.43062812323220789</v>
      </c>
      <c r="AG23" s="42">
        <f t="shared" ca="1" si="17"/>
        <v>4.5630960226669472</v>
      </c>
      <c r="AH23" s="42">
        <f t="shared" ca="1" si="13"/>
        <v>0</v>
      </c>
      <c r="AI23" s="51">
        <f t="shared" ca="1" si="14"/>
        <v>45.033296443204286</v>
      </c>
    </row>
    <row r="24" spans="4:35" ht="12" customHeight="1" x14ac:dyDescent="0.2">
      <c r="D24" s="347">
        <f t="shared" si="15"/>
        <v>13</v>
      </c>
      <c r="E24" s="43">
        <f t="shared" si="8"/>
        <v>73.25</v>
      </c>
      <c r="G24" s="42">
        <f t="shared" ca="1" si="16"/>
        <v>0</v>
      </c>
      <c r="H24" s="42">
        <f t="shared" ca="1" si="16"/>
        <v>4.5609381110265748</v>
      </c>
      <c r="I24" s="42">
        <f t="shared" ca="1" si="16"/>
        <v>0.42914433822443876</v>
      </c>
      <c r="J24" s="42">
        <f t="shared" ca="1" si="16"/>
        <v>4.4488542126956625E-2</v>
      </c>
      <c r="K24" s="42">
        <f t="shared" ca="1" si="16"/>
        <v>0.24302596500696202</v>
      </c>
      <c r="L24" s="42">
        <f t="shared" ca="1" si="16"/>
        <v>2.513289924362366E-2</v>
      </c>
      <c r="M24" s="42">
        <f t="shared" ca="1" si="16"/>
        <v>11.44555303864918</v>
      </c>
      <c r="N24" s="42">
        <f t="shared" ca="1" si="16"/>
        <v>1.190417508000118</v>
      </c>
      <c r="O24" s="42">
        <f t="shared" ca="1" si="16"/>
        <v>3.1070937582570659</v>
      </c>
      <c r="P24" s="42">
        <f t="shared" ca="1" si="16"/>
        <v>45.112119428622513</v>
      </c>
      <c r="Q24" s="42">
        <f t="shared" ca="1" si="16"/>
        <v>0.96824354204808993</v>
      </c>
      <c r="R24" s="42">
        <f t="shared" ca="1" si="16"/>
        <v>12.070268072079735</v>
      </c>
      <c r="S24" s="42">
        <f t="shared" ca="1" si="10"/>
        <v>0</v>
      </c>
      <c r="T24" s="51">
        <f t="shared" ca="1" si="11"/>
        <v>79.196425203285258</v>
      </c>
      <c r="V24" s="42">
        <f t="shared" ca="1" si="17"/>
        <v>12.292066918079628</v>
      </c>
      <c r="W24" s="42">
        <f t="shared" ca="1" si="17"/>
        <v>0</v>
      </c>
      <c r="X24" s="42">
        <f t="shared" ca="1" si="17"/>
        <v>0.24264190929734519</v>
      </c>
      <c r="Y24" s="42">
        <f t="shared" ca="1" si="17"/>
        <v>2.4831373955277507E-2</v>
      </c>
      <c r="Z24" s="42">
        <f t="shared" ca="1" si="17"/>
        <v>0.16537443526230514</v>
      </c>
      <c r="AA24" s="42">
        <f t="shared" ca="1" si="17"/>
        <v>1.6924011422976632E-2</v>
      </c>
      <c r="AB24" s="42">
        <f t="shared" ca="1" si="17"/>
        <v>4.6962539462852639</v>
      </c>
      <c r="AC24" s="42">
        <f t="shared" ca="1" si="17"/>
        <v>0.48060303459882558</v>
      </c>
      <c r="AD24" s="42">
        <f t="shared" ca="1" si="17"/>
        <v>1.5036057237818936</v>
      </c>
      <c r="AE24" s="42">
        <f t="shared" ca="1" si="17"/>
        <v>20.193425820642862</v>
      </c>
      <c r="AF24" s="42">
        <f t="shared" ca="1" si="17"/>
        <v>0.427341787828869</v>
      </c>
      <c r="AG24" s="42">
        <f t="shared" ca="1" si="17"/>
        <v>4.8895416081093535</v>
      </c>
      <c r="AH24" s="42">
        <f t="shared" ca="1" si="13"/>
        <v>0</v>
      </c>
      <c r="AI24" s="51">
        <f t="shared" ca="1" si="14"/>
        <v>44.932610569264597</v>
      </c>
    </row>
    <row r="25" spans="4:35" ht="12" customHeight="1" x14ac:dyDescent="0.2">
      <c r="D25" s="347">
        <f t="shared" si="15"/>
        <v>14</v>
      </c>
      <c r="E25" s="43">
        <f t="shared" si="8"/>
        <v>73.5</v>
      </c>
      <c r="G25" s="42">
        <f t="shared" ca="1" si="16"/>
        <v>0</v>
      </c>
      <c r="H25" s="42">
        <f t="shared" ca="1" si="16"/>
        <v>4.3888815841904156</v>
      </c>
      <c r="I25" s="42">
        <f t="shared" ca="1" si="16"/>
        <v>0.4179418129434031</v>
      </c>
      <c r="J25" s="42">
        <f t="shared" ca="1" si="16"/>
        <v>4.3320564110984373E-2</v>
      </c>
      <c r="K25" s="42">
        <f t="shared" ca="1" si="16"/>
        <v>0.23725664787601081</v>
      </c>
      <c r="L25" s="42">
        <f t="shared" ca="1" si="16"/>
        <v>2.4532589527516684E-2</v>
      </c>
      <c r="M25" s="42">
        <f t="shared" ca="1" si="16"/>
        <v>11.110293567708359</v>
      </c>
      <c r="N25" s="42">
        <f t="shared" ca="1" si="16"/>
        <v>1.1553870575292551</v>
      </c>
      <c r="O25" s="42">
        <f t="shared" ca="1" si="16"/>
        <v>3.2733941781659728</v>
      </c>
      <c r="P25" s="42">
        <f t="shared" ca="1" si="16"/>
        <v>44.146864061266619</v>
      </c>
      <c r="Q25" s="42">
        <f t="shared" ca="1" si="16"/>
        <v>0.94735450800107346</v>
      </c>
      <c r="R25" s="42">
        <f t="shared" ca="1" si="16"/>
        <v>12.752544559292723</v>
      </c>
      <c r="S25" s="42">
        <f t="shared" ca="1" si="10"/>
        <v>0</v>
      </c>
      <c r="T25" s="51">
        <f t="shared" ca="1" si="11"/>
        <v>78.497771130612335</v>
      </c>
      <c r="V25" s="42">
        <f t="shared" ca="1" si="17"/>
        <v>12.012685747074814</v>
      </c>
      <c r="W25" s="42">
        <f t="shared" ca="1" si="17"/>
        <v>0</v>
      </c>
      <c r="X25" s="42">
        <f t="shared" ca="1" si="17"/>
        <v>0.23934347660570773</v>
      </c>
      <c r="Y25" s="42">
        <f t="shared" ca="1" si="17"/>
        <v>2.4493820496892901E-2</v>
      </c>
      <c r="Z25" s="42">
        <f t="shared" ca="1" si="17"/>
        <v>0.16312636342174847</v>
      </c>
      <c r="AA25" s="42">
        <f t="shared" ca="1" si="17"/>
        <v>1.669394930092671E-2</v>
      </c>
      <c r="AB25" s="42">
        <f t="shared" ca="1" si="17"/>
        <v>4.6324138718747205</v>
      </c>
      <c r="AC25" s="42">
        <f t="shared" ca="1" si="17"/>
        <v>0.47406979899409624</v>
      </c>
      <c r="AD25" s="42">
        <f t="shared" ca="1" si="17"/>
        <v>1.5954508760634061</v>
      </c>
      <c r="AE25" s="42">
        <f t="shared" ca="1" si="17"/>
        <v>20.037574575737786</v>
      </c>
      <c r="AF25" s="42">
        <f t="shared" ca="1" si="17"/>
        <v>0.42406194223350041</v>
      </c>
      <c r="AG25" s="42">
        <f t="shared" ca="1" si="17"/>
        <v>5.2057722194369438</v>
      </c>
      <c r="AH25" s="42">
        <f t="shared" ca="1" si="13"/>
        <v>0</v>
      </c>
      <c r="AI25" s="51">
        <f t="shared" ca="1" si="14"/>
        <v>44.825686641240544</v>
      </c>
    </row>
    <row r="26" spans="4:35" ht="12" customHeight="1" x14ac:dyDescent="0.2">
      <c r="D26" s="347">
        <f t="shared" si="15"/>
        <v>15</v>
      </c>
      <c r="E26" s="43">
        <f t="shared" si="8"/>
        <v>73.75</v>
      </c>
      <c r="G26" s="42">
        <f t="shared" ca="1" si="16"/>
        <v>0</v>
      </c>
      <c r="H26" s="42">
        <f t="shared" ca="1" si="16"/>
        <v>4.2233157063624835</v>
      </c>
      <c r="I26" s="42">
        <f t="shared" ca="1" si="16"/>
        <v>0.40709410552642816</v>
      </c>
      <c r="J26" s="42">
        <f t="shared" ca="1" si="16"/>
        <v>4.2189709823939756E-2</v>
      </c>
      <c r="K26" s="42">
        <f t="shared" ca="1" si="16"/>
        <v>0.23165877238928922</v>
      </c>
      <c r="L26" s="42">
        <f t="shared" ca="1" si="16"/>
        <v>2.3950197892846522E-2</v>
      </c>
      <c r="M26" s="42">
        <f t="shared" ca="1" si="16"/>
        <v>10.786369437708409</v>
      </c>
      <c r="N26" s="42">
        <f t="shared" ca="1" si="16"/>
        <v>1.1215438301787621</v>
      </c>
      <c r="O26" s="42">
        <f t="shared" ca="1" si="16"/>
        <v>3.4295670753610072</v>
      </c>
      <c r="P26" s="42">
        <f t="shared" ca="1" si="16"/>
        <v>43.210036879651646</v>
      </c>
      <c r="Q26" s="42">
        <f t="shared" ca="1" si="16"/>
        <v>0.92708414528659988</v>
      </c>
      <c r="R26" s="42">
        <f t="shared" ca="1" si="16"/>
        <v>13.40015769652965</v>
      </c>
      <c r="S26" s="42">
        <f t="shared" ca="1" si="10"/>
        <v>0</v>
      </c>
      <c r="T26" s="51">
        <f t="shared" ca="1" si="11"/>
        <v>77.802967556711053</v>
      </c>
      <c r="V26" s="42">
        <f t="shared" ca="1" si="17"/>
        <v>11.739654512108602</v>
      </c>
      <c r="W26" s="42">
        <f t="shared" ca="1" si="17"/>
        <v>0</v>
      </c>
      <c r="X26" s="42">
        <f t="shared" ca="1" si="17"/>
        <v>0.2360898822449784</v>
      </c>
      <c r="Y26" s="42">
        <f t="shared" ca="1" si="17"/>
        <v>2.4160855682595107E-2</v>
      </c>
      <c r="Z26" s="42">
        <f t="shared" ca="1" si="17"/>
        <v>0.16090885148600589</v>
      </c>
      <c r="AA26" s="42">
        <f t="shared" ca="1" si="17"/>
        <v>1.6467014604088181E-2</v>
      </c>
      <c r="AB26" s="42">
        <f t="shared" ca="1" si="17"/>
        <v>4.5694416285370618</v>
      </c>
      <c r="AC26" s="42">
        <f t="shared" ca="1" si="17"/>
        <v>0.46762537507883639</v>
      </c>
      <c r="AD26" s="42">
        <f t="shared" ca="1" si="17"/>
        <v>1.6834954249290601</v>
      </c>
      <c r="AE26" s="42">
        <f t="shared" ca="1" si="17"/>
        <v>19.882077337088269</v>
      </c>
      <c r="AF26" s="42">
        <f t="shared" ca="1" si="17"/>
        <v>0.42078906609049382</v>
      </c>
      <c r="AG26" s="42">
        <f t="shared" ca="1" si="17"/>
        <v>5.5120126365107227</v>
      </c>
      <c r="AH26" s="42">
        <f t="shared" ca="1" si="13"/>
        <v>0</v>
      </c>
      <c r="AI26" s="51">
        <f t="shared" ca="1" si="14"/>
        <v>44.712722584360712</v>
      </c>
    </row>
    <row r="27" spans="4:35" ht="12" customHeight="1" x14ac:dyDescent="0.2">
      <c r="D27" s="347">
        <f t="shared" si="15"/>
        <v>16</v>
      </c>
      <c r="E27" s="43">
        <f t="shared" si="8"/>
        <v>74</v>
      </c>
      <c r="G27" s="42">
        <f t="shared" ca="1" si="16"/>
        <v>0</v>
      </c>
      <c r="H27" s="42">
        <f t="shared" ca="1" si="16"/>
        <v>4.063995624730028</v>
      </c>
      <c r="I27" s="42">
        <f t="shared" ca="1" si="16"/>
        <v>0.39658875231186713</v>
      </c>
      <c r="J27" s="42">
        <f t="shared" ca="1" si="16"/>
        <v>4.1094673113077941E-2</v>
      </c>
      <c r="K27" s="42">
        <f t="shared" ca="1" si="16"/>
        <v>0.22622649912431408</v>
      </c>
      <c r="L27" s="42">
        <f t="shared" ca="1" si="16"/>
        <v>2.338511267021217E-2</v>
      </c>
      <c r="M27" s="42">
        <f t="shared" ca="1" si="16"/>
        <v>10.473370869629095</v>
      </c>
      <c r="N27" s="42">
        <f t="shared" ca="1" si="16"/>
        <v>1.0888448643743509</v>
      </c>
      <c r="O27" s="42">
        <f t="shared" ca="1" si="16"/>
        <v>3.5760468906825009</v>
      </c>
      <c r="P27" s="42">
        <f t="shared" ca="1" si="16"/>
        <v>42.300643855421377</v>
      </c>
      <c r="Q27" s="42">
        <f t="shared" ca="1" si="16"/>
        <v>0.90741077447268548</v>
      </c>
      <c r="R27" s="42">
        <f t="shared" ca="1" si="16"/>
        <v>14.014439197585926</v>
      </c>
      <c r="S27" s="42">
        <f t="shared" ca="1" si="10"/>
        <v>0</v>
      </c>
      <c r="T27" s="51">
        <f t="shared" ca="1" si="11"/>
        <v>77.112047114115441</v>
      </c>
      <c r="V27" s="42">
        <f t="shared" ca="1" si="17"/>
        <v>11.472828888180315</v>
      </c>
      <c r="W27" s="42">
        <f t="shared" ca="1" si="17"/>
        <v>0</v>
      </c>
      <c r="X27" s="42">
        <f t="shared" ca="1" si="17"/>
        <v>0.23288051669054161</v>
      </c>
      <c r="Y27" s="42">
        <f t="shared" ca="1" si="17"/>
        <v>2.3832417135139786E-2</v>
      </c>
      <c r="Z27" s="42">
        <f t="shared" ca="1" si="17"/>
        <v>0.15872148402894851</v>
      </c>
      <c r="AA27" s="42">
        <f t="shared" ca="1" si="17"/>
        <v>1.6243164818776627E-2</v>
      </c>
      <c r="AB27" s="42">
        <f t="shared" ca="1" si="17"/>
        <v>4.5073254191248378</v>
      </c>
      <c r="AC27" s="42">
        <f t="shared" ca="1" si="17"/>
        <v>0.46126855556210106</v>
      </c>
      <c r="AD27" s="42">
        <f t="shared" ca="1" si="17"/>
        <v>1.7678490401870754</v>
      </c>
      <c r="AE27" s="42">
        <f t="shared" ca="1" si="17"/>
        <v>19.726955535296682</v>
      </c>
      <c r="AF27" s="42">
        <f t="shared" ca="1" si="17"/>
        <v>0.41752362407885402</v>
      </c>
      <c r="AG27" s="42">
        <f t="shared" ca="1" si="17"/>
        <v>5.8084833057991991</v>
      </c>
      <c r="AH27" s="42">
        <f t="shared" ca="1" si="13"/>
        <v>0</v>
      </c>
      <c r="AI27" s="51">
        <f t="shared" ca="1" si="14"/>
        <v>44.593911950902466</v>
      </c>
    </row>
    <row r="28" spans="4:35" ht="12" customHeight="1" x14ac:dyDescent="0.2">
      <c r="D28" s="347">
        <f t="shared" si="15"/>
        <v>17</v>
      </c>
      <c r="E28" s="43">
        <f t="shared" si="8"/>
        <v>74.25</v>
      </c>
      <c r="G28" s="42">
        <f t="shared" ca="1" si="16"/>
        <v>0</v>
      </c>
      <c r="H28" s="42">
        <f t="shared" ca="1" si="16"/>
        <v>3.9106857232915688</v>
      </c>
      <c r="I28" s="42">
        <f t="shared" ca="1" si="16"/>
        <v>0.38641374729019495</v>
      </c>
      <c r="J28" s="42">
        <f t="shared" ca="1" si="16"/>
        <v>4.0034195816970826E-2</v>
      </c>
      <c r="K28" s="42">
        <f t="shared" ca="1" si="16"/>
        <v>0.2209542004072462</v>
      </c>
      <c r="L28" s="42">
        <f t="shared" ca="1" si="16"/>
        <v>2.2836744391097962E-2</v>
      </c>
      <c r="M28" s="42">
        <f t="shared" ca="1" si="16"/>
        <v>10.170903300485852</v>
      </c>
      <c r="N28" s="42">
        <f t="shared" ca="1" si="16"/>
        <v>1.0572487944105085</v>
      </c>
      <c r="O28" s="42">
        <f t="shared" ca="1" si="16"/>
        <v>3.71325096396113</v>
      </c>
      <c r="P28" s="42">
        <f t="shared" ca="1" si="16"/>
        <v>41.417727841620582</v>
      </c>
      <c r="Q28" s="42">
        <f t="shared" ca="1" si="16"/>
        <v>0.88831352096384986</v>
      </c>
      <c r="R28" s="42">
        <f t="shared" ca="1" si="16"/>
        <v>14.596671657798389</v>
      </c>
      <c r="S28" s="42">
        <f t="shared" ca="1" si="10"/>
        <v>0</v>
      </c>
      <c r="T28" s="51">
        <f t="shared" ca="1" si="11"/>
        <v>76.425040690437385</v>
      </c>
      <c r="V28" s="42">
        <f t="shared" ca="1" si="17"/>
        <v>11.212067830590952</v>
      </c>
      <c r="W28" s="42">
        <f t="shared" ca="1" si="17"/>
        <v>0</v>
      </c>
      <c r="X28" s="42">
        <f t="shared" ca="1" si="17"/>
        <v>0.22971477870355519</v>
      </c>
      <c r="Y28" s="42">
        <f t="shared" ca="1" si="17"/>
        <v>2.3508443325228185E-2</v>
      </c>
      <c r="Z28" s="42">
        <f t="shared" ca="1" si="17"/>
        <v>0.15656385127167929</v>
      </c>
      <c r="AA28" s="42">
        <f t="shared" ca="1" si="17"/>
        <v>1.6022358009231401E-2</v>
      </c>
      <c r="AB28" s="42">
        <f t="shared" ca="1" si="17"/>
        <v>4.4460536068590057</v>
      </c>
      <c r="AC28" s="42">
        <f t="shared" ca="1" si="17"/>
        <v>0.45499814956465257</v>
      </c>
      <c r="AD28" s="42">
        <f t="shared" ca="1" si="17"/>
        <v>1.8486185824407684</v>
      </c>
      <c r="AE28" s="42">
        <f t="shared" ca="1" si="17"/>
        <v>19.572229919362371</v>
      </c>
      <c r="AF28" s="42">
        <f t="shared" ca="1" si="17"/>
        <v>0.41426606624123069</v>
      </c>
      <c r="AG28" s="42">
        <f t="shared" ca="1" si="17"/>
        <v>6.0954004182885759</v>
      </c>
      <c r="AH28" s="42">
        <f t="shared" ca="1" si="13"/>
        <v>0</v>
      </c>
      <c r="AI28" s="51">
        <f t="shared" ca="1" si="14"/>
        <v>44.469444004657255</v>
      </c>
    </row>
    <row r="29" spans="4:35" ht="12" customHeight="1" x14ac:dyDescent="0.2">
      <c r="D29" s="347">
        <f t="shared" si="15"/>
        <v>18</v>
      </c>
      <c r="E29" s="43">
        <f t="shared" si="8"/>
        <v>74.5</v>
      </c>
      <c r="G29" s="42">
        <f t="shared" ca="1" si="16"/>
        <v>0</v>
      </c>
      <c r="H29" s="42">
        <f t="shared" ca="1" si="16"/>
        <v>3.7631592744080393</v>
      </c>
      <c r="I29" s="42">
        <f t="shared" ca="1" si="16"/>
        <v>0.37655752500984974</v>
      </c>
      <c r="J29" s="42">
        <f t="shared" ca="1" si="16"/>
        <v>3.9007065972511808E-2</v>
      </c>
      <c r="K29" s="42">
        <f t="shared" ca="1" si="16"/>
        <v>0.21583645244095342</v>
      </c>
      <c r="L29" s="42">
        <f t="shared" ca="1" si="16"/>
        <v>2.2304524962245682E-2</v>
      </c>
      <c r="M29" s="42">
        <f t="shared" ca="1" si="16"/>
        <v>9.8785868126167653</v>
      </c>
      <c r="N29" s="42">
        <f t="shared" ca="1" si="16"/>
        <v>1.0267157905853228</v>
      </c>
      <c r="O29" s="42">
        <f t="shared" ca="1" si="16"/>
        <v>3.8415801888166903</v>
      </c>
      <c r="P29" s="42">
        <f t="shared" ca="1" si="16"/>
        <v>40.560367183105555</v>
      </c>
      <c r="Q29" s="42">
        <f t="shared" ca="1" si="16"/>
        <v>0.86977228467403289</v>
      </c>
      <c r="R29" s="42">
        <f t="shared" ca="1" si="16"/>
        <v>15.148090370265759</v>
      </c>
      <c r="S29" s="42">
        <f t="shared" ca="1" si="10"/>
        <v>0</v>
      </c>
      <c r="T29" s="51">
        <f t="shared" ca="1" si="11"/>
        <v>75.741977472857727</v>
      </c>
      <c r="V29" s="42">
        <f t="shared" ca="1" si="17"/>
        <v>10.957233500386597</v>
      </c>
      <c r="W29" s="42">
        <f t="shared" ca="1" si="17"/>
        <v>0</v>
      </c>
      <c r="X29" s="42">
        <f t="shared" ca="1" si="17"/>
        <v>0.2265920752183154</v>
      </c>
      <c r="Y29" s="42">
        <f t="shared" ca="1" si="17"/>
        <v>2.3188873559980346E-2</v>
      </c>
      <c r="Z29" s="42">
        <f t="shared" ca="1" si="17"/>
        <v>0.15443554900576556</v>
      </c>
      <c r="AA29" s="42">
        <f t="shared" ca="1" si="17"/>
        <v>1.5804552809759429E-2</v>
      </c>
      <c r="AB29" s="42">
        <f t="shared" ca="1" si="17"/>
        <v>4.3856147131489118</v>
      </c>
      <c r="AC29" s="42">
        <f t="shared" ca="1" si="17"/>
        <v>0.44881298239586198</v>
      </c>
      <c r="AD29" s="42">
        <f t="shared" ca="1" si="17"/>
        <v>1.9259081712411252</v>
      </c>
      <c r="AE29" s="42">
        <f t="shared" ca="1" si="17"/>
        <v>19.417920571751399</v>
      </c>
      <c r="AF29" s="42">
        <f t="shared" ca="1" si="17"/>
        <v>0.41101682830661013</v>
      </c>
      <c r="AG29" s="42">
        <f t="shared" ca="1" si="17"/>
        <v>6.3729759860512187</v>
      </c>
      <c r="AH29" s="42">
        <f t="shared" ca="1" si="13"/>
        <v>0</v>
      </c>
      <c r="AI29" s="51">
        <f t="shared" ca="1" si="14"/>
        <v>44.339503803875537</v>
      </c>
    </row>
    <row r="30" spans="4:35" ht="12" customHeight="1" x14ac:dyDescent="0.2">
      <c r="D30" s="347">
        <f t="shared" si="15"/>
        <v>19</v>
      </c>
      <c r="E30" s="43">
        <f t="shared" si="8"/>
        <v>74.75</v>
      </c>
      <c r="G30" s="42">
        <f t="shared" ca="1" si="16"/>
        <v>0</v>
      </c>
      <c r="H30" s="42">
        <f t="shared" ca="1" si="16"/>
        <v>3.621198103498795</v>
      </c>
      <c r="I30" s="42">
        <f t="shared" ca="1" si="16"/>
        <v>0.36700894412561819</v>
      </c>
      <c r="J30" s="42">
        <f t="shared" ca="1" si="16"/>
        <v>3.8012116089322388E-2</v>
      </c>
      <c r="K30" s="42">
        <f t="shared" ca="1" si="16"/>
        <v>0.21086802772845731</v>
      </c>
      <c r="L30" s="42">
        <f t="shared" ca="1" si="16"/>
        <v>2.1787906871011078E-2</v>
      </c>
      <c r="M30" s="42">
        <f t="shared" ca="1" si="16"/>
        <v>9.5960555844542963</v>
      </c>
      <c r="N30" s="42">
        <f t="shared" ca="1" si="16"/>
        <v>0.99720750158907456</v>
      </c>
      <c r="O30" s="42">
        <f t="shared" ca="1" si="16"/>
        <v>3.9614196426236781</v>
      </c>
      <c r="P30" s="42">
        <f t="shared" ca="1" si="16"/>
        <v>39.727674379451173</v>
      </c>
      <c r="Q30" s="42">
        <f t="shared" ca="1" si="16"/>
        <v>0.85176771084521752</v>
      </c>
      <c r="R30" s="42">
        <f t="shared" ca="1" si="16"/>
        <v>15.669885074373179</v>
      </c>
      <c r="S30" s="42">
        <f t="shared" ca="1" si="10"/>
        <v>0</v>
      </c>
      <c r="T30" s="51">
        <f t="shared" ca="1" si="11"/>
        <v>75.062884991649824</v>
      </c>
      <c r="V30" s="42">
        <f t="shared" ca="1" si="17"/>
        <v>10.708191191496415</v>
      </c>
      <c r="W30" s="42">
        <f t="shared" ca="1" si="17"/>
        <v>0</v>
      </c>
      <c r="X30" s="42">
        <f t="shared" ca="1" si="17"/>
        <v>0.22351182123115204</v>
      </c>
      <c r="Y30" s="42">
        <f t="shared" ca="1" si="17"/>
        <v>2.2873647971564964E-2</v>
      </c>
      <c r="Z30" s="42">
        <f t="shared" ca="1" si="17"/>
        <v>0.1523361785175151</v>
      </c>
      <c r="AA30" s="42">
        <f t="shared" ca="1" si="17"/>
        <v>1.5589708416985806E-2</v>
      </c>
      <c r="AB30" s="42">
        <f t="shared" ca="1" si="17"/>
        <v>4.3259974154419041</v>
      </c>
      <c r="AC30" s="42">
        <f t="shared" ca="1" si="17"/>
        <v>0.4427118953336443</v>
      </c>
      <c r="AD30" s="42">
        <f t="shared" ca="1" si="17"/>
        <v>1.9998192516318678</v>
      </c>
      <c r="AE30" s="42">
        <f t="shared" ca="1" si="17"/>
        <v>19.264046923175133</v>
      </c>
      <c r="AF30" s="42">
        <f t="shared" ca="1" si="17"/>
        <v>0.40777633200677976</v>
      </c>
      <c r="AG30" s="42">
        <f t="shared" ca="1" si="17"/>
        <v>6.6414179174948851</v>
      </c>
      <c r="AH30" s="42">
        <f t="shared" ca="1" si="13"/>
        <v>0</v>
      </c>
      <c r="AI30" s="51">
        <f t="shared" ca="1" si="14"/>
        <v>44.204272282717852</v>
      </c>
    </row>
    <row r="31" spans="4:35" ht="12" customHeight="1" x14ac:dyDescent="0.2">
      <c r="D31" s="347">
        <f t="shared" si="15"/>
        <v>20</v>
      </c>
      <c r="E31" s="43">
        <f t="shared" si="8"/>
        <v>75</v>
      </c>
      <c r="G31" s="42">
        <f t="shared" ref="G31:R40" ca="1" si="18">AVERAGE(OFFSET(C.Trace.Markov.Root, $D31, (G$2-1)*C.Trace.Markov.NumCols+G$3-1, 2))*G$6</f>
        <v>0</v>
      </c>
      <c r="H31" s="42">
        <f t="shared" ca="1" si="18"/>
        <v>3.4691265196065206</v>
      </c>
      <c r="I31" s="42">
        <f t="shared" ca="1" si="18"/>
        <v>0.35775727156535692</v>
      </c>
      <c r="J31" s="42">
        <f t="shared" ca="1" si="18"/>
        <v>3.7048221489021406E-2</v>
      </c>
      <c r="K31" s="42">
        <f t="shared" ca="1" si="18"/>
        <v>0.20604388778064014</v>
      </c>
      <c r="L31" s="42">
        <f t="shared" ca="1" si="18"/>
        <v>2.1286362420538284E-2</v>
      </c>
      <c r="M31" s="42">
        <f t="shared" ca="1" si="18"/>
        <v>9.3229573619718522</v>
      </c>
      <c r="N31" s="42">
        <f t="shared" ca="1" si="18"/>
        <v>0.96868699906163291</v>
      </c>
      <c r="O31" s="42">
        <f t="shared" ca="1" si="18"/>
        <v>4.0534874158029588</v>
      </c>
      <c r="P31" s="42">
        <f t="shared" ca="1" si="18"/>
        <v>38.918794798371593</v>
      </c>
      <c r="Q31" s="42">
        <f t="shared" ca="1" si="18"/>
        <v>0.83428116196847524</v>
      </c>
      <c r="R31" s="42">
        <f t="shared" ca="1" si="18"/>
        <v>16.056459017635127</v>
      </c>
      <c r="S31" s="42">
        <f t="shared" ca="1" si="10"/>
        <v>0</v>
      </c>
      <c r="T31" s="51">
        <f t="shared" ca="1" si="11"/>
        <v>74.245929017673717</v>
      </c>
      <c r="V31" s="42">
        <f t="shared" ref="V31:AG40" ca="1" si="19">AVERAGE(OFFSET(C.Trace.Markov.Root, $D31, (V$2-1)*C.Trace.Markov.NumCols+V$3-1, 2))*V$6</f>
        <v>10.418715295285018</v>
      </c>
      <c r="W31" s="42">
        <f t="shared" ca="1" si="19"/>
        <v>0</v>
      </c>
      <c r="X31" s="42">
        <f t="shared" ca="1" si="19"/>
        <v>0.22047343969083533</v>
      </c>
      <c r="Y31" s="42">
        <f t="shared" ca="1" si="19"/>
        <v>2.2562707505983808E-2</v>
      </c>
      <c r="Z31" s="42">
        <f t="shared" ca="1" si="19"/>
        <v>0.15026534651328147</v>
      </c>
      <c r="AA31" s="42">
        <f t="shared" ca="1" si="19"/>
        <v>1.5377784582209732E-2</v>
      </c>
      <c r="AB31" s="42">
        <f t="shared" ca="1" si="19"/>
        <v>4.2671905451021779</v>
      </c>
      <c r="AC31" s="42">
        <f t="shared" ca="1" si="19"/>
        <v>0.43669374540738487</v>
      </c>
      <c r="AD31" s="42">
        <f t="shared" ca="1" si="19"/>
        <v>2.060459683944293</v>
      </c>
      <c r="AE31" s="42">
        <f t="shared" ca="1" si="19"/>
        <v>19.11062776708285</v>
      </c>
      <c r="AF31" s="42">
        <f t="shared" ca="1" si="19"/>
        <v>0.40454498538667816</v>
      </c>
      <c r="AG31" s="42">
        <f t="shared" ca="1" si="19"/>
        <v>6.8543294032534146</v>
      </c>
      <c r="AH31" s="42">
        <f t="shared" ca="1" si="13"/>
        <v>0</v>
      </c>
      <c r="AI31" s="51">
        <f t="shared" ca="1" si="14"/>
        <v>43.961240703754129</v>
      </c>
    </row>
    <row r="32" spans="4:35" ht="12" customHeight="1" x14ac:dyDescent="0.2">
      <c r="D32" s="347">
        <f t="shared" si="15"/>
        <v>21</v>
      </c>
      <c r="E32" s="43">
        <f t="shared" si="8"/>
        <v>75.25</v>
      </c>
      <c r="G32" s="42">
        <f t="shared" ca="1" si="18"/>
        <v>0</v>
      </c>
      <c r="H32" s="42">
        <f t="shared" ca="1" si="18"/>
        <v>3.3080440506065907</v>
      </c>
      <c r="I32" s="42">
        <f t="shared" ca="1" si="18"/>
        <v>0.34721680960243889</v>
      </c>
      <c r="J32" s="42">
        <f t="shared" ca="1" si="18"/>
        <v>3.611429870691301E-2</v>
      </c>
      <c r="K32" s="42">
        <f t="shared" ca="1" si="18"/>
        <v>0.20044686884657659</v>
      </c>
      <c r="L32" s="42">
        <f t="shared" ca="1" si="18"/>
        <v>2.0799382993629299E-2</v>
      </c>
      <c r="M32" s="42">
        <f t="shared" ca="1" si="18"/>
        <v>9.0182179034593712</v>
      </c>
      <c r="N32" s="42">
        <f t="shared" ca="1" si="18"/>
        <v>0.94111872423690657</v>
      </c>
      <c r="O32" s="42">
        <f t="shared" ca="1" si="18"/>
        <v>4.1183453084157549</v>
      </c>
      <c r="P32" s="42">
        <f t="shared" ca="1" si="18"/>
        <v>37.950851836026757</v>
      </c>
      <c r="Q32" s="42">
        <f t="shared" ca="1" si="18"/>
        <v>0.8172946907658043</v>
      </c>
      <c r="R32" s="42">
        <f t="shared" ca="1" si="18"/>
        <v>16.310117550468291</v>
      </c>
      <c r="S32" s="42">
        <f t="shared" ca="1" si="10"/>
        <v>0</v>
      </c>
      <c r="T32" s="51">
        <f t="shared" ca="1" si="11"/>
        <v>73.068567424129043</v>
      </c>
      <c r="V32" s="42">
        <f t="shared" ca="1" si="19"/>
        <v>10.091173902005853</v>
      </c>
      <c r="W32" s="42">
        <f t="shared" ca="1" si="19"/>
        <v>0</v>
      </c>
      <c r="X32" s="42">
        <f t="shared" ca="1" si="19"/>
        <v>0.2165033342148569</v>
      </c>
      <c r="Y32" s="42">
        <f t="shared" ca="1" si="19"/>
        <v>2.225599391200862E-2</v>
      </c>
      <c r="Z32" s="42">
        <f t="shared" ca="1" si="19"/>
        <v>0.14755949098765114</v>
      </c>
      <c r="AA32" s="42">
        <f t="shared" ca="1" si="19"/>
        <v>1.5168741603864382E-2</v>
      </c>
      <c r="AB32" s="42">
        <f t="shared" ca="1" si="19"/>
        <v>4.1903504659801314</v>
      </c>
      <c r="AC32" s="42">
        <f t="shared" ca="1" si="19"/>
        <v>0.43075740518381617</v>
      </c>
      <c r="AD32" s="42">
        <f t="shared" ca="1" si="19"/>
        <v>2.1079546107329143</v>
      </c>
      <c r="AE32" s="42">
        <f t="shared" ca="1" si="19"/>
        <v>18.868058391350012</v>
      </c>
      <c r="AF32" s="42">
        <f t="shared" ca="1" si="19"/>
        <v>0.40132318310874016</v>
      </c>
      <c r="AG32" s="42">
        <f t="shared" ca="1" si="19"/>
        <v>7.0120880279623297</v>
      </c>
      <c r="AH32" s="42">
        <f t="shared" ca="1" si="13"/>
        <v>0</v>
      </c>
      <c r="AI32" s="51">
        <f t="shared" ca="1" si="14"/>
        <v>43.503193547042173</v>
      </c>
    </row>
    <row r="33" spans="4:35" ht="12" customHeight="1" x14ac:dyDescent="0.2">
      <c r="D33" s="347">
        <f t="shared" si="15"/>
        <v>22</v>
      </c>
      <c r="E33" s="43">
        <f t="shared" si="8"/>
        <v>75.5</v>
      </c>
      <c r="G33" s="42">
        <f t="shared" ca="1" si="18"/>
        <v>0</v>
      </c>
      <c r="H33" s="42">
        <f t="shared" ca="1" si="18"/>
        <v>3.1544411479103007</v>
      </c>
      <c r="I33" s="42">
        <f t="shared" ca="1" si="18"/>
        <v>0.33548506503388265</v>
      </c>
      <c r="J33" s="42">
        <f t="shared" ca="1" si="18"/>
        <v>3.5050277310025392E-2</v>
      </c>
      <c r="K33" s="42">
        <f t="shared" ca="1" si="18"/>
        <v>0.19413195351833218</v>
      </c>
      <c r="L33" s="42">
        <f t="shared" ca="1" si="18"/>
        <v>2.02343842368784E-2</v>
      </c>
      <c r="M33" s="42">
        <f t="shared" ca="1" si="18"/>
        <v>8.6844527486154615</v>
      </c>
      <c r="N33" s="42">
        <f t="shared" ca="1" si="18"/>
        <v>0.91035638142176667</v>
      </c>
      <c r="O33" s="42">
        <f t="shared" ca="1" si="18"/>
        <v>4.1754598727579397</v>
      </c>
      <c r="P33" s="42">
        <f t="shared" ca="1" si="18"/>
        <v>36.834051870838181</v>
      </c>
      <c r="Q33" s="42">
        <f t="shared" ca="1" si="18"/>
        <v>0.79696788855656264</v>
      </c>
      <c r="R33" s="42">
        <f t="shared" ca="1" si="18"/>
        <v>16.53642827192655</v>
      </c>
      <c r="S33" s="42">
        <f t="shared" ca="1" si="10"/>
        <v>0</v>
      </c>
      <c r="T33" s="51">
        <f t="shared" ca="1" si="11"/>
        <v>71.677059862125887</v>
      </c>
      <c r="V33" s="42">
        <f t="shared" ca="1" si="19"/>
        <v>9.7739296865716199</v>
      </c>
      <c r="W33" s="42">
        <f t="shared" ca="1" si="19"/>
        <v>0</v>
      </c>
      <c r="X33" s="42">
        <f t="shared" ca="1" si="19"/>
        <v>0.21164476032425858</v>
      </c>
      <c r="Y33" s="42">
        <f t="shared" ca="1" si="19"/>
        <v>2.1855226166799444E-2</v>
      </c>
      <c r="Z33" s="42">
        <f t="shared" ca="1" si="19"/>
        <v>0.1442480930693581</v>
      </c>
      <c r="AA33" s="42">
        <f t="shared" ca="1" si="19"/>
        <v>1.4895595304747126E-2</v>
      </c>
      <c r="AB33" s="42">
        <f t="shared" ca="1" si="19"/>
        <v>4.0963143743869024</v>
      </c>
      <c r="AC33" s="42">
        <f t="shared" ca="1" si="19"/>
        <v>0.42300067795383051</v>
      </c>
      <c r="AD33" s="42">
        <f t="shared" ca="1" si="19"/>
        <v>2.1519855646185237</v>
      </c>
      <c r="AE33" s="42">
        <f t="shared" ca="1" si="19"/>
        <v>18.539805525114868</v>
      </c>
      <c r="AF33" s="42">
        <f t="shared" ca="1" si="19"/>
        <v>0.39622922621835055</v>
      </c>
      <c r="AG33" s="42">
        <f t="shared" ca="1" si="19"/>
        <v>7.1599682297337477</v>
      </c>
      <c r="AH33" s="42">
        <f t="shared" ca="1" si="13"/>
        <v>0</v>
      </c>
      <c r="AI33" s="51">
        <f t="shared" ca="1" si="14"/>
        <v>42.933876959463007</v>
      </c>
    </row>
    <row r="34" spans="4:35" ht="12" customHeight="1" x14ac:dyDescent="0.2">
      <c r="D34" s="347">
        <f t="shared" si="15"/>
        <v>23</v>
      </c>
      <c r="E34" s="43">
        <f t="shared" si="8"/>
        <v>75.75</v>
      </c>
      <c r="G34" s="42">
        <f t="shared" ca="1" si="18"/>
        <v>0</v>
      </c>
      <c r="H34" s="42">
        <f t="shared" ca="1" si="18"/>
        <v>3.0079705117001239</v>
      </c>
      <c r="I34" s="42">
        <f t="shared" ca="1" si="18"/>
        <v>0.32421596998995494</v>
      </c>
      <c r="J34" s="42">
        <f t="shared" ca="1" si="18"/>
        <v>3.3866000255786274E-2</v>
      </c>
      <c r="K34" s="42">
        <f t="shared" ca="1" si="18"/>
        <v>0.188054308951071</v>
      </c>
      <c r="L34" s="42">
        <f t="shared" ca="1" si="18"/>
        <v>1.9596916443490955E-2</v>
      </c>
      <c r="M34" s="42">
        <f t="shared" ca="1" si="18"/>
        <v>8.3645964912534509</v>
      </c>
      <c r="N34" s="42">
        <f t="shared" ca="1" si="18"/>
        <v>0.87666399986023635</v>
      </c>
      <c r="O34" s="42">
        <f t="shared" ca="1" si="18"/>
        <v>4.224438915286032</v>
      </c>
      <c r="P34" s="42">
        <f t="shared" ca="1" si="18"/>
        <v>35.757992458296293</v>
      </c>
      <c r="Q34" s="42">
        <f t="shared" ca="1" si="18"/>
        <v>0.77351508928760249</v>
      </c>
      <c r="R34" s="42">
        <f t="shared" ca="1" si="18"/>
        <v>16.733316554025855</v>
      </c>
      <c r="S34" s="42">
        <f t="shared" ca="1" si="10"/>
        <v>0</v>
      </c>
      <c r="T34" s="51">
        <f t="shared" ca="1" si="11"/>
        <v>70.304227215349897</v>
      </c>
      <c r="V34" s="42">
        <f t="shared" ca="1" si="19"/>
        <v>9.4666589284579938</v>
      </c>
      <c r="W34" s="42">
        <f t="shared" ca="1" si="19"/>
        <v>0</v>
      </c>
      <c r="X34" s="42">
        <f t="shared" ca="1" si="19"/>
        <v>0.20690473687114999</v>
      </c>
      <c r="Y34" s="42">
        <f t="shared" ca="1" si="19"/>
        <v>2.1364770758284787E-2</v>
      </c>
      <c r="Z34" s="42">
        <f t="shared" ca="1" si="19"/>
        <v>0.14101749410169453</v>
      </c>
      <c r="AA34" s="42">
        <f t="shared" ca="1" si="19"/>
        <v>1.4561321697853187E-2</v>
      </c>
      <c r="AB34" s="42">
        <f t="shared" ca="1" si="19"/>
        <v>4.004572787323033</v>
      </c>
      <c r="AC34" s="42">
        <f t="shared" ca="1" si="19"/>
        <v>0.41350807564788938</v>
      </c>
      <c r="AD34" s="42">
        <f t="shared" ca="1" si="19"/>
        <v>2.1922074137002525</v>
      </c>
      <c r="AE34" s="42">
        <f t="shared" ca="1" si="19"/>
        <v>18.21772061141769</v>
      </c>
      <c r="AF34" s="42">
        <f t="shared" ca="1" si="19"/>
        <v>0.38933591602741252</v>
      </c>
      <c r="AG34" s="42">
        <f t="shared" ca="1" si="19"/>
        <v>7.2965872575141502</v>
      </c>
      <c r="AH34" s="42">
        <f t="shared" ca="1" si="13"/>
        <v>0</v>
      </c>
      <c r="AI34" s="51">
        <f t="shared" ca="1" si="14"/>
        <v>42.364439313517401</v>
      </c>
    </row>
    <row r="35" spans="4:35" ht="12" customHeight="1" x14ac:dyDescent="0.2">
      <c r="D35" s="347">
        <f t="shared" si="15"/>
        <v>24</v>
      </c>
      <c r="E35" s="43">
        <f t="shared" si="8"/>
        <v>76</v>
      </c>
      <c r="G35" s="42">
        <f t="shared" ca="1" si="18"/>
        <v>0</v>
      </c>
      <c r="H35" s="42">
        <f t="shared" ca="1" si="18"/>
        <v>2.8683009683827487</v>
      </c>
      <c r="I35" s="42">
        <f t="shared" ca="1" si="18"/>
        <v>0.31337500011942288</v>
      </c>
      <c r="J35" s="42">
        <f t="shared" ca="1" si="18"/>
        <v>3.2728425992676856E-2</v>
      </c>
      <c r="K35" s="42">
        <f t="shared" ca="1" si="18"/>
        <v>0.18219402898967163</v>
      </c>
      <c r="L35" s="42">
        <f t="shared" ca="1" si="18"/>
        <v>1.8983400272663327E-2</v>
      </c>
      <c r="M35" s="42">
        <f t="shared" ca="1" si="18"/>
        <v>8.0577508723759461</v>
      </c>
      <c r="N35" s="42">
        <f t="shared" ca="1" si="18"/>
        <v>0.84437567104135813</v>
      </c>
      <c r="O35" s="42">
        <f t="shared" ca="1" si="18"/>
        <v>4.2657039588888237</v>
      </c>
      <c r="P35" s="42">
        <f t="shared" ca="1" si="18"/>
        <v>34.71874987200065</v>
      </c>
      <c r="Q35" s="42">
        <f t="shared" ca="1" si="18"/>
        <v>0.75091784162422281</v>
      </c>
      <c r="R35" s="42">
        <f t="shared" ca="1" si="18"/>
        <v>16.902463178821026</v>
      </c>
      <c r="S35" s="42">
        <f t="shared" ca="1" si="10"/>
        <v>0</v>
      </c>
      <c r="T35" s="51">
        <f t="shared" ca="1" si="11"/>
        <v>68.955543218509206</v>
      </c>
      <c r="V35" s="42">
        <f t="shared" ca="1" si="19"/>
        <v>9.1690480841988187</v>
      </c>
      <c r="W35" s="42">
        <f t="shared" ca="1" si="19"/>
        <v>0</v>
      </c>
      <c r="X35" s="42">
        <f t="shared" ca="1" si="19"/>
        <v>0.2022716598207778</v>
      </c>
      <c r="Y35" s="42">
        <f t="shared" ca="1" si="19"/>
        <v>2.0886282586362152E-2</v>
      </c>
      <c r="Z35" s="42">
        <f t="shared" ca="1" si="19"/>
        <v>0.13785978526668405</v>
      </c>
      <c r="AA35" s="42">
        <f t="shared" ca="1" si="19"/>
        <v>1.4235204451906078E-2</v>
      </c>
      <c r="AB35" s="42">
        <f t="shared" ca="1" si="19"/>
        <v>3.914901112531723</v>
      </c>
      <c r="AC35" s="42">
        <f t="shared" ca="1" si="19"/>
        <v>0.40424709525027475</v>
      </c>
      <c r="AD35" s="42">
        <f t="shared" ca="1" si="19"/>
        <v>2.2287482806012791</v>
      </c>
      <c r="AE35" s="42">
        <f t="shared" ca="1" si="19"/>
        <v>17.900482236433614</v>
      </c>
      <c r="AF35" s="42">
        <f t="shared" ca="1" si="19"/>
        <v>0.38257213283977182</v>
      </c>
      <c r="AG35" s="42">
        <f t="shared" ca="1" si="19"/>
        <v>7.4223932813477722</v>
      </c>
      <c r="AH35" s="42">
        <f t="shared" ca="1" si="13"/>
        <v>0</v>
      </c>
      <c r="AI35" s="51">
        <f t="shared" ca="1" si="14"/>
        <v>41.797645155328986</v>
      </c>
    </row>
    <row r="36" spans="4:35" ht="12" customHeight="1" x14ac:dyDescent="0.2">
      <c r="D36" s="347">
        <f t="shared" si="15"/>
        <v>25</v>
      </c>
      <c r="E36" s="43">
        <f t="shared" si="8"/>
        <v>76.25</v>
      </c>
      <c r="G36" s="42">
        <f t="shared" ca="1" si="18"/>
        <v>0</v>
      </c>
      <c r="H36" s="42">
        <f t="shared" ca="1" si="18"/>
        <v>2.7351167217977066</v>
      </c>
      <c r="I36" s="42">
        <f t="shared" ca="1" si="18"/>
        <v>0.30294303550856222</v>
      </c>
      <c r="J36" s="42">
        <f t="shared" ca="1" si="18"/>
        <v>3.1634069412686233E-2</v>
      </c>
      <c r="K36" s="42">
        <f t="shared" ca="1" si="18"/>
        <v>0.17654153820831447</v>
      </c>
      <c r="L36" s="42">
        <f t="shared" ca="1" si="18"/>
        <v>1.839182627025077E-2</v>
      </c>
      <c r="M36" s="42">
        <f t="shared" ca="1" si="18"/>
        <v>7.7633264628012864</v>
      </c>
      <c r="N36" s="42">
        <f t="shared" ca="1" si="18"/>
        <v>0.8134007189780138</v>
      </c>
      <c r="O36" s="42">
        <f t="shared" ca="1" si="18"/>
        <v>4.299736497300799</v>
      </c>
      <c r="P36" s="42">
        <f t="shared" ca="1" si="18"/>
        <v>33.714769511743832</v>
      </c>
      <c r="Q36" s="42">
        <f t="shared" ca="1" si="18"/>
        <v>0.72909374731201426</v>
      </c>
      <c r="R36" s="42">
        <f t="shared" ca="1" si="18"/>
        <v>17.045497552791652</v>
      </c>
      <c r="S36" s="42">
        <f t="shared" ca="1" si="10"/>
        <v>0</v>
      </c>
      <c r="T36" s="51">
        <f t="shared" ca="1" si="11"/>
        <v>67.630451682125113</v>
      </c>
      <c r="V36" s="42">
        <f t="shared" ca="1" si="19"/>
        <v>8.8807934674418689</v>
      </c>
      <c r="W36" s="42">
        <f t="shared" ca="1" si="19"/>
        <v>0</v>
      </c>
      <c r="X36" s="42">
        <f t="shared" ca="1" si="19"/>
        <v>0.19774231227532599</v>
      </c>
      <c r="Y36" s="42">
        <f t="shared" ca="1" si="19"/>
        <v>2.0418590265819853E-2</v>
      </c>
      <c r="Z36" s="42">
        <f t="shared" ca="1" si="19"/>
        <v>0.13477277406319937</v>
      </c>
      <c r="AA36" s="42">
        <f t="shared" ca="1" si="19"/>
        <v>1.3916445200422367E-2</v>
      </c>
      <c r="AB36" s="42">
        <f t="shared" ca="1" si="19"/>
        <v>3.827237088019126</v>
      </c>
      <c r="AC36" s="42">
        <f t="shared" ca="1" si="19"/>
        <v>0.39519506498742962</v>
      </c>
      <c r="AD36" s="42">
        <f t="shared" ca="1" si="19"/>
        <v>2.2617788695772232</v>
      </c>
      <c r="AE36" s="42">
        <f t="shared" ca="1" si="19"/>
        <v>17.587978045304038</v>
      </c>
      <c r="AF36" s="42">
        <f t="shared" ca="1" si="19"/>
        <v>0.37591012696510623</v>
      </c>
      <c r="AG36" s="42">
        <f t="shared" ca="1" si="19"/>
        <v>7.5378326787390613</v>
      </c>
      <c r="AH36" s="42">
        <f t="shared" ca="1" si="13"/>
        <v>0</v>
      </c>
      <c r="AI36" s="51">
        <f t="shared" ca="1" si="14"/>
        <v>41.23357546283863</v>
      </c>
    </row>
    <row r="37" spans="4:35" ht="12" customHeight="1" x14ac:dyDescent="0.2">
      <c r="D37" s="347">
        <f t="shared" si="15"/>
        <v>26</v>
      </c>
      <c r="E37" s="43">
        <f t="shared" si="8"/>
        <v>76.5</v>
      </c>
      <c r="G37" s="42">
        <f t="shared" ca="1" si="18"/>
        <v>0</v>
      </c>
      <c r="H37" s="42">
        <f t="shared" ca="1" si="18"/>
        <v>2.6081166391947406</v>
      </c>
      <c r="I37" s="42">
        <f t="shared" ca="1" si="18"/>
        <v>0.29290322405486413</v>
      </c>
      <c r="J37" s="42">
        <f t="shared" ca="1" si="18"/>
        <v>3.0581000429886419E-2</v>
      </c>
      <c r="K37" s="42">
        <f t="shared" ca="1" si="18"/>
        <v>0.17108864635697069</v>
      </c>
      <c r="L37" s="42">
        <f t="shared" ca="1" si="18"/>
        <v>1.7821227831754147E-2</v>
      </c>
      <c r="M37" s="42">
        <f t="shared" ca="1" si="18"/>
        <v>7.480787912104268</v>
      </c>
      <c r="N37" s="42">
        <f t="shared" ca="1" si="18"/>
        <v>0.78367964293262216</v>
      </c>
      <c r="O37" s="42">
        <f t="shared" ca="1" si="18"/>
        <v>4.3269914650851762</v>
      </c>
      <c r="P37" s="42">
        <f t="shared" ca="1" si="18"/>
        <v>32.744684030084251</v>
      </c>
      <c r="Q37" s="42">
        <f t="shared" ca="1" si="18"/>
        <v>0.70801015974662118</v>
      </c>
      <c r="R37" s="42">
        <f t="shared" ca="1" si="18"/>
        <v>17.163964550495205</v>
      </c>
      <c r="S37" s="42">
        <f t="shared" ca="1" si="10"/>
        <v>0</v>
      </c>
      <c r="T37" s="51">
        <f t="shared" ca="1" si="11"/>
        <v>66.328628498316363</v>
      </c>
      <c r="V37" s="42">
        <f t="shared" ca="1" si="19"/>
        <v>8.6016009390629815</v>
      </c>
      <c r="W37" s="42">
        <f t="shared" ca="1" si="19"/>
        <v>0</v>
      </c>
      <c r="X37" s="42">
        <f t="shared" ca="1" si="19"/>
        <v>0.19331438710572912</v>
      </c>
      <c r="Y37" s="42">
        <f t="shared" ca="1" si="19"/>
        <v>1.9961369062493479E-2</v>
      </c>
      <c r="Z37" s="42">
        <f t="shared" ca="1" si="19"/>
        <v>0.13175488804991192</v>
      </c>
      <c r="AA37" s="42">
        <f t="shared" ca="1" si="19"/>
        <v>1.3604822618367136E-2</v>
      </c>
      <c r="AB37" s="42">
        <f t="shared" ca="1" si="19"/>
        <v>3.7415360600648326</v>
      </c>
      <c r="AC37" s="42">
        <f t="shared" ca="1" si="19"/>
        <v>0.38634569973694666</v>
      </c>
      <c r="AD37" s="42">
        <f t="shared" ca="1" si="19"/>
        <v>2.2914624501102856</v>
      </c>
      <c r="AE37" s="42">
        <f t="shared" ca="1" si="19"/>
        <v>17.28016562376963</v>
      </c>
      <c r="AF37" s="42">
        <f t="shared" ca="1" si="19"/>
        <v>0.369347538951385</v>
      </c>
      <c r="AG37" s="42">
        <f t="shared" ca="1" si="19"/>
        <v>7.6433346587821802</v>
      </c>
      <c r="AH37" s="42">
        <f t="shared" ca="1" si="13"/>
        <v>0</v>
      </c>
      <c r="AI37" s="51">
        <f t="shared" ca="1" si="14"/>
        <v>40.67242843731475</v>
      </c>
    </row>
    <row r="38" spans="4:35" ht="12" customHeight="1" x14ac:dyDescent="0.2">
      <c r="D38" s="347">
        <f t="shared" si="15"/>
        <v>27</v>
      </c>
      <c r="E38" s="43">
        <f t="shared" si="8"/>
        <v>76.75</v>
      </c>
      <c r="G38" s="42">
        <f t="shared" ca="1" si="18"/>
        <v>0</v>
      </c>
      <c r="H38" s="42">
        <f t="shared" ca="1" si="18"/>
        <v>2.4870135703654896</v>
      </c>
      <c r="I38" s="42">
        <f t="shared" ca="1" si="18"/>
        <v>0.28323942325251361</v>
      </c>
      <c r="J38" s="42">
        <f t="shared" ca="1" si="18"/>
        <v>2.9567517885664533E-2</v>
      </c>
      <c r="K38" s="42">
        <f t="shared" ca="1" si="18"/>
        <v>0.16582749379950837</v>
      </c>
      <c r="L38" s="42">
        <f t="shared" ca="1" si="18"/>
        <v>1.7270778181145315E-2</v>
      </c>
      <c r="M38" s="42">
        <f t="shared" ca="1" si="18"/>
        <v>7.2096233169201884</v>
      </c>
      <c r="N38" s="42">
        <f t="shared" ca="1" si="18"/>
        <v>0.75515840122188227</v>
      </c>
      <c r="O38" s="42">
        <f t="shared" ca="1" si="18"/>
        <v>4.3478999450443787</v>
      </c>
      <c r="P38" s="42">
        <f t="shared" ca="1" si="18"/>
        <v>31.807181211359381</v>
      </c>
      <c r="Q38" s="42">
        <f t="shared" ca="1" si="18"/>
        <v>0.68763836463176986</v>
      </c>
      <c r="R38" s="42">
        <f t="shared" ca="1" si="18"/>
        <v>17.259331876130851</v>
      </c>
      <c r="S38" s="42">
        <f t="shared" ca="1" si="10"/>
        <v>0</v>
      </c>
      <c r="T38" s="51">
        <f t="shared" ca="1" si="11"/>
        <v>65.049751898792778</v>
      </c>
      <c r="V38" s="42">
        <f t="shared" ca="1" si="19"/>
        <v>8.3311856070222774</v>
      </c>
      <c r="W38" s="42">
        <f t="shared" ca="1" si="19"/>
        <v>0</v>
      </c>
      <c r="X38" s="42">
        <f t="shared" ca="1" si="19"/>
        <v>0.18898561383225762</v>
      </c>
      <c r="Y38" s="42">
        <f t="shared" ca="1" si="19"/>
        <v>1.9514386080073613E-2</v>
      </c>
      <c r="Z38" s="42">
        <f t="shared" ca="1" si="19"/>
        <v>0.12880457976412588</v>
      </c>
      <c r="AA38" s="42">
        <f t="shared" ca="1" si="19"/>
        <v>1.3300177973492693E-2</v>
      </c>
      <c r="AB38" s="42">
        <f t="shared" ca="1" si="19"/>
        <v>3.6577540842842082</v>
      </c>
      <c r="AC38" s="42">
        <f t="shared" ca="1" si="19"/>
        <v>0.37769449186774351</v>
      </c>
      <c r="AD38" s="42">
        <f t="shared" ca="1" si="19"/>
        <v>2.3179559387364521</v>
      </c>
      <c r="AE38" s="42">
        <f t="shared" ca="1" si="19"/>
        <v>16.977000153265411</v>
      </c>
      <c r="AF38" s="42">
        <f t="shared" ca="1" si="19"/>
        <v>0.36288347809916255</v>
      </c>
      <c r="AG38" s="42">
        <f t="shared" ca="1" si="19"/>
        <v>7.7393136814352284</v>
      </c>
      <c r="AH38" s="42">
        <f t="shared" ca="1" si="13"/>
        <v>0</v>
      </c>
      <c r="AI38" s="51">
        <f t="shared" ca="1" si="14"/>
        <v>40.114392192360434</v>
      </c>
    </row>
    <row r="39" spans="4:35" ht="12" customHeight="1" x14ac:dyDescent="0.2">
      <c r="D39" s="347">
        <f t="shared" si="15"/>
        <v>28</v>
      </c>
      <c r="E39" s="43">
        <f t="shared" si="8"/>
        <v>77</v>
      </c>
      <c r="G39" s="42">
        <f t="shared" ca="1" si="18"/>
        <v>0</v>
      </c>
      <c r="H39" s="42">
        <f t="shared" ca="1" si="18"/>
        <v>2.3715336983900381</v>
      </c>
      <c r="I39" s="42">
        <f t="shared" ca="1" si="18"/>
        <v>0.2739361928194588</v>
      </c>
      <c r="J39" s="42">
        <f t="shared" ca="1" si="18"/>
        <v>2.8591992252619682E-2</v>
      </c>
      <c r="K39" s="42">
        <f t="shared" ca="1" si="18"/>
        <v>0.16075055359368176</v>
      </c>
      <c r="L39" s="42">
        <f t="shared" ca="1" si="18"/>
        <v>1.6739683916669617E-2</v>
      </c>
      <c r="M39" s="42">
        <f t="shared" ca="1" si="18"/>
        <v>6.9493436272366571</v>
      </c>
      <c r="N39" s="42">
        <f t="shared" ca="1" si="18"/>
        <v>0.72778531905818966</v>
      </c>
      <c r="O39" s="42">
        <f t="shared" ca="1" si="18"/>
        <v>4.3628703993132998</v>
      </c>
      <c r="P39" s="42">
        <f t="shared" ca="1" si="18"/>
        <v>30.901004442968585</v>
      </c>
      <c r="Q39" s="42">
        <f t="shared" ca="1" si="18"/>
        <v>0.66795080543854768</v>
      </c>
      <c r="R39" s="42">
        <f t="shared" ca="1" si="18"/>
        <v>17.332993708262482</v>
      </c>
      <c r="S39" s="42">
        <f t="shared" ca="1" si="10"/>
        <v>0</v>
      </c>
      <c r="T39" s="51">
        <f t="shared" ca="1" si="11"/>
        <v>63.793500423250237</v>
      </c>
      <c r="V39" s="42">
        <f t="shared" ca="1" si="19"/>
        <v>8.0692715356562683</v>
      </c>
      <c r="W39" s="42">
        <f t="shared" ca="1" si="19"/>
        <v>0</v>
      </c>
      <c r="X39" s="42">
        <f t="shared" ca="1" si="19"/>
        <v>0.18475377218607666</v>
      </c>
      <c r="Y39" s="42">
        <f t="shared" ca="1" si="19"/>
        <v>1.9077412121868285E-2</v>
      </c>
      <c r="Z39" s="42">
        <f t="shared" ca="1" si="19"/>
        <v>0.12592033596476201</v>
      </c>
      <c r="AA39" s="42">
        <f t="shared" ca="1" si="19"/>
        <v>1.3002355055053719E-2</v>
      </c>
      <c r="AB39" s="42">
        <f t="shared" ca="1" si="19"/>
        <v>3.5758481881078916</v>
      </c>
      <c r="AC39" s="42">
        <f t="shared" ca="1" si="19"/>
        <v>0.36923700535361109</v>
      </c>
      <c r="AD39" s="42">
        <f t="shared" ca="1" si="19"/>
        <v>2.3414101624145394</v>
      </c>
      <c r="AE39" s="42">
        <f t="shared" ca="1" si="19"/>
        <v>16.678436200594227</v>
      </c>
      <c r="AF39" s="42">
        <f t="shared" ca="1" si="19"/>
        <v>0.35651700321857388</v>
      </c>
      <c r="AG39" s="42">
        <f t="shared" ca="1" si="19"/>
        <v>7.826169916921466</v>
      </c>
      <c r="AH39" s="42">
        <f t="shared" ca="1" si="13"/>
        <v>0</v>
      </c>
      <c r="AI39" s="51">
        <f t="shared" ca="1" si="14"/>
        <v>39.559643887594341</v>
      </c>
    </row>
    <row r="40" spans="4:35" ht="12" customHeight="1" x14ac:dyDescent="0.2">
      <c r="D40" s="347">
        <f t="shared" si="15"/>
        <v>29</v>
      </c>
      <c r="E40" s="43">
        <f t="shared" si="8"/>
        <v>77.25</v>
      </c>
      <c r="G40" s="42">
        <f t="shared" ca="1" si="18"/>
        <v>0</v>
      </c>
      <c r="H40" s="42">
        <f t="shared" ca="1" si="18"/>
        <v>2.2614159205303448</v>
      </c>
      <c r="I40" s="42">
        <f t="shared" ca="1" si="18"/>
        <v>0.26497876423497618</v>
      </c>
      <c r="J40" s="42">
        <f t="shared" ca="1" si="18"/>
        <v>2.7652864890292381E-2</v>
      </c>
      <c r="K40" s="42">
        <f t="shared" ca="1" si="18"/>
        <v>0.15585061750438417</v>
      </c>
      <c r="L40" s="42">
        <f t="shared" ca="1" si="18"/>
        <v>1.6227185220813307E-2</v>
      </c>
      <c r="M40" s="42">
        <f t="shared" ca="1" si="18"/>
        <v>6.6994816267373931</v>
      </c>
      <c r="N40" s="42">
        <f t="shared" ca="1" si="18"/>
        <v>0.70151102861694992</v>
      </c>
      <c r="O40" s="42">
        <f t="shared" ca="1" si="18"/>
        <v>4.3722897761930595</v>
      </c>
      <c r="P40" s="42">
        <f t="shared" ca="1" si="18"/>
        <v>30.024950318437391</v>
      </c>
      <c r="Q40" s="42">
        <f t="shared" ca="1" si="18"/>
        <v>0.64892109330234082</v>
      </c>
      <c r="R40" s="42">
        <f t="shared" ca="1" si="18"/>
        <v>17.386274180651483</v>
      </c>
      <c r="S40" s="42">
        <f t="shared" ca="1" si="10"/>
        <v>0</v>
      </c>
      <c r="T40" s="51">
        <f t="shared" ca="1" si="11"/>
        <v>62.559553376319428</v>
      </c>
      <c r="V40" s="42">
        <f t="shared" ca="1" si="19"/>
        <v>7.8155914641091702</v>
      </c>
      <c r="W40" s="42">
        <f t="shared" ca="1" si="19"/>
        <v>0</v>
      </c>
      <c r="X40" s="42">
        <f t="shared" ca="1" si="19"/>
        <v>0.18061669163493996</v>
      </c>
      <c r="Y40" s="42">
        <f t="shared" ca="1" si="19"/>
        <v>1.865022305979324E-2</v>
      </c>
      <c r="Z40" s="42">
        <f t="shared" ca="1" si="19"/>
        <v>0.12310067730909055</v>
      </c>
      <c r="AA40" s="42">
        <f t="shared" ca="1" si="19"/>
        <v>1.2711201106852952E-2</v>
      </c>
      <c r="AB40" s="42">
        <f t="shared" ca="1" si="19"/>
        <v>3.4957763616017501</v>
      </c>
      <c r="AC40" s="42">
        <f t="shared" ca="1" si="19"/>
        <v>0.36096890226956652</v>
      </c>
      <c r="AD40" s="42">
        <f t="shared" ca="1" si="19"/>
        <v>2.3619700748030641</v>
      </c>
      <c r="AE40" s="42">
        <f t="shared" ca="1" si="19"/>
        <v>16.384427821495979</v>
      </c>
      <c r="AF40" s="42">
        <f t="shared" ca="1" si="19"/>
        <v>0.35024716021247909</v>
      </c>
      <c r="AG40" s="42">
        <f t="shared" ca="1" si="19"/>
        <v>7.9042896948261276</v>
      </c>
      <c r="AH40" s="42">
        <f t="shared" ca="1" si="13"/>
        <v>0</v>
      </c>
      <c r="AI40" s="51">
        <f t="shared" ca="1" si="14"/>
        <v>39.008350272428814</v>
      </c>
    </row>
    <row r="41" spans="4:35" ht="12" customHeight="1" x14ac:dyDescent="0.2">
      <c r="D41" s="347">
        <f t="shared" si="15"/>
        <v>30</v>
      </c>
      <c r="E41" s="43">
        <f t="shared" si="8"/>
        <v>77.5</v>
      </c>
      <c r="G41" s="42">
        <f t="shared" ref="G41:R50" ca="1" si="20">AVERAGE(OFFSET(C.Trace.Markov.Root, $D41, (G$2-1)*C.Trace.Markov.NumCols+G$3-1, 2))*G$6</f>
        <v>0</v>
      </c>
      <c r="H41" s="42">
        <f t="shared" ca="1" si="20"/>
        <v>2.156411257870738</v>
      </c>
      <c r="I41" s="42">
        <f t="shared" ca="1" si="20"/>
        <v>0.2563530105276437</v>
      </c>
      <c r="J41" s="42">
        <f t="shared" ca="1" si="20"/>
        <v>2.6748644970092241E-2</v>
      </c>
      <c r="K41" s="42">
        <f t="shared" ca="1" si="20"/>
        <v>0.1511207818729754</v>
      </c>
      <c r="L41" s="42">
        <f t="shared" ca="1" si="20"/>
        <v>1.5732554448392101E-2</v>
      </c>
      <c r="M41" s="42">
        <f t="shared" ca="1" si="20"/>
        <v>6.4595909379619023</v>
      </c>
      <c r="N41" s="42">
        <f t="shared" ca="1" si="20"/>
        <v>0.6762883661059832</v>
      </c>
      <c r="O41" s="42">
        <f t="shared" ca="1" si="20"/>
        <v>4.3765245661134333</v>
      </c>
      <c r="P41" s="42">
        <f t="shared" ca="1" si="20"/>
        <v>29.17786626322151</v>
      </c>
      <c r="Q41" s="42">
        <f t="shared" ca="1" si="20"/>
        <v>0.63052395668718575</v>
      </c>
      <c r="R41" s="42">
        <f t="shared" ca="1" si="20"/>
        <v>17.420430704162417</v>
      </c>
      <c r="S41" s="42">
        <f t="shared" ca="1" si="10"/>
        <v>0</v>
      </c>
      <c r="T41" s="51">
        <f t="shared" ca="1" si="11"/>
        <v>61.347591043942273</v>
      </c>
      <c r="V41" s="42">
        <f t="shared" ref="V41:AG50" ca="1" si="21">AVERAGE(OFFSET(C.Trace.Markov.Root, $D41, (V$2-1)*C.Trace.Markov.NumCols+V$3-1, 2))*V$6</f>
        <v>7.5698865336161028</v>
      </c>
      <c r="W41" s="42">
        <f t="shared" ca="1" si="21"/>
        <v>0</v>
      </c>
      <c r="X41" s="42">
        <f t="shared" ca="1" si="21"/>
        <v>0.17657225025043052</v>
      </c>
      <c r="Y41" s="42">
        <f t="shared" ca="1" si="21"/>
        <v>1.8232599786492366E-2</v>
      </c>
      <c r="Z41" s="42">
        <f t="shared" ca="1" si="21"/>
        <v>0.1203441575806907</v>
      </c>
      <c r="AA41" s="42">
        <f t="shared" ca="1" si="21"/>
        <v>1.2426566794608516E-2</v>
      </c>
      <c r="AB41" s="42">
        <f t="shared" ca="1" si="21"/>
        <v>3.417497535542704</v>
      </c>
      <c r="AC41" s="42">
        <f t="shared" ca="1" si="21"/>
        <v>0.35288594186516109</v>
      </c>
      <c r="AD41" s="42">
        <f t="shared" ca="1" si="21"/>
        <v>2.3797749662202019</v>
      </c>
      <c r="AE41" s="42">
        <f t="shared" ca="1" si="21"/>
        <v>16.094928610053113</v>
      </c>
      <c r="AF41" s="42">
        <f t="shared" ca="1" si="21"/>
        <v>0.34407298425141586</v>
      </c>
      <c r="AG41" s="42">
        <f t="shared" ca="1" si="21"/>
        <v>7.9740459414322924</v>
      </c>
      <c r="AH41" s="42">
        <f t="shared" ca="1" si="13"/>
        <v>0</v>
      </c>
      <c r="AI41" s="51">
        <f t="shared" ca="1" si="14"/>
        <v>38.460668087393209</v>
      </c>
    </row>
    <row r="42" spans="4:35" ht="12" customHeight="1" x14ac:dyDescent="0.2">
      <c r="D42" s="347">
        <f t="shared" si="15"/>
        <v>31</v>
      </c>
      <c r="E42" s="43">
        <f t="shared" si="8"/>
        <v>77.75</v>
      </c>
      <c r="G42" s="42">
        <f t="shared" ca="1" si="20"/>
        <v>0</v>
      </c>
      <c r="H42" s="42">
        <f t="shared" ca="1" si="20"/>
        <v>2.0562822923706672</v>
      </c>
      <c r="I42" s="42">
        <f t="shared" ca="1" si="20"/>
        <v>0.24804541747521683</v>
      </c>
      <c r="J42" s="42">
        <f t="shared" ca="1" si="20"/>
        <v>2.5877906425503479E-2</v>
      </c>
      <c r="K42" s="42">
        <f t="shared" ca="1" si="20"/>
        <v>0.14655443414891847</v>
      </c>
      <c r="L42" s="42">
        <f t="shared" ca="1" si="20"/>
        <v>1.5255094700111087E-2</v>
      </c>
      <c r="M42" s="42">
        <f t="shared" ca="1" si="20"/>
        <v>6.2292450738341234</v>
      </c>
      <c r="N42" s="42">
        <f t="shared" ca="1" si="20"/>
        <v>0.65207227134000301</v>
      </c>
      <c r="O42" s="42">
        <f t="shared" ca="1" si="20"/>
        <v>4.3759218073297559</v>
      </c>
      <c r="P42" s="42">
        <f t="shared" ca="1" si="20"/>
        <v>28.358648272278867</v>
      </c>
      <c r="Q42" s="42">
        <f t="shared" ca="1" si="20"/>
        <v>0.61273519152765232</v>
      </c>
      <c r="R42" s="42">
        <f t="shared" ca="1" si="20"/>
        <v>17.436657134123799</v>
      </c>
      <c r="S42" s="42">
        <f t="shared" ca="1" si="10"/>
        <v>0</v>
      </c>
      <c r="T42" s="51">
        <f t="shared" ca="1" si="11"/>
        <v>60.157294895554621</v>
      </c>
      <c r="V42" s="42">
        <f t="shared" ca="1" si="21"/>
        <v>7.331906023359922</v>
      </c>
      <c r="W42" s="42">
        <f t="shared" ca="1" si="21"/>
        <v>0</v>
      </c>
      <c r="X42" s="42">
        <f t="shared" ca="1" si="21"/>
        <v>0.17261837361918211</v>
      </c>
      <c r="Y42" s="42">
        <f t="shared" ca="1" si="21"/>
        <v>1.7824328100989838E-2</v>
      </c>
      <c r="Z42" s="42">
        <f t="shared" ca="1" si="21"/>
        <v>0.11764936294738501</v>
      </c>
      <c r="AA42" s="42">
        <f t="shared" ca="1" si="21"/>
        <v>1.2148306128019254E-2</v>
      </c>
      <c r="AB42" s="42">
        <f t="shared" ca="1" si="21"/>
        <v>3.3409715603457695</v>
      </c>
      <c r="AC42" s="42">
        <f t="shared" ca="1" si="21"/>
        <v>0.34498397835131406</v>
      </c>
      <c r="AD42" s="42">
        <f t="shared" ca="1" si="21"/>
        <v>2.3949586664609943</v>
      </c>
      <c r="AE42" s="42">
        <f t="shared" ca="1" si="21"/>
        <v>15.80989174791147</v>
      </c>
      <c r="AF42" s="42">
        <f t="shared" ca="1" si="21"/>
        <v>0.33799350081111573</v>
      </c>
      <c r="AG42" s="42">
        <f t="shared" ca="1" si="21"/>
        <v>8.0357986039192237</v>
      </c>
      <c r="AH42" s="42">
        <f t="shared" ca="1" si="13"/>
        <v>0</v>
      </c>
      <c r="AI42" s="51">
        <f t="shared" ca="1" si="14"/>
        <v>37.916744451955388</v>
      </c>
    </row>
    <row r="43" spans="4:35" ht="12" customHeight="1" x14ac:dyDescent="0.2">
      <c r="D43" s="347">
        <f t="shared" si="15"/>
        <v>32</v>
      </c>
      <c r="E43" s="43">
        <f t="shared" ref="E43:E74" si="22">C.cohortAge+D43*C.cycleLength</f>
        <v>78</v>
      </c>
      <c r="G43" s="42">
        <f t="shared" ca="1" si="20"/>
        <v>0</v>
      </c>
      <c r="H43" s="42">
        <f t="shared" ca="1" si="20"/>
        <v>1.9608026300568602</v>
      </c>
      <c r="I43" s="42">
        <f t="shared" ca="1" si="20"/>
        <v>0.24004305612037871</v>
      </c>
      <c r="J43" s="42">
        <f t="shared" ca="1" si="20"/>
        <v>2.503928504481685E-2</v>
      </c>
      <c r="K43" s="42">
        <f t="shared" ca="1" si="20"/>
        <v>0.14214524003220547</v>
      </c>
      <c r="L43" s="42">
        <f t="shared" ca="1" si="20"/>
        <v>1.4794138462982311E-2</v>
      </c>
      <c r="M43" s="42">
        <f t="shared" ca="1" si="20"/>
        <v>6.0080365328173011</v>
      </c>
      <c r="N43" s="42">
        <f t="shared" ca="1" si="20"/>
        <v>0.62881969199587395</v>
      </c>
      <c r="O43" s="42">
        <f t="shared" ca="1" si="20"/>
        <v>4.3708100436712396</v>
      </c>
      <c r="P43" s="42">
        <f t="shared" ca="1" si="20"/>
        <v>27.566238750943537</v>
      </c>
      <c r="Q43" s="42">
        <f t="shared" ca="1" si="20"/>
        <v>0.59553161371785668</v>
      </c>
      <c r="R43" s="42">
        <f t="shared" ca="1" si="20"/>
        <v>17.436086790322385</v>
      </c>
      <c r="S43" s="42">
        <f t="shared" ref="S43:S74" ca="1" si="23">AVERAGE(OFFSET(C.Trace.Markov.Root, $D43, (S$2-1)*C.Trace.Markov.NumCols+S$3-1, 2))*INDEX(C.rngC.ByState, S$3)</f>
        <v>0</v>
      </c>
      <c r="T43" s="51">
        <f t="shared" ref="T43:T74" ca="1" si="24">SUM(G43:S43)</f>
        <v>58.988347773185438</v>
      </c>
      <c r="V43" s="42">
        <f t="shared" ca="1" si="21"/>
        <v>7.1014070946321155</v>
      </c>
      <c r="W43" s="42">
        <f t="shared" ca="1" si="21"/>
        <v>0</v>
      </c>
      <c r="X43" s="42">
        <f t="shared" ca="1" si="21"/>
        <v>0.16875303377892409</v>
      </c>
      <c r="Y43" s="42">
        <f t="shared" ca="1" si="21"/>
        <v>1.7425198598781794E-2</v>
      </c>
      <c r="Z43" s="42">
        <f t="shared" ca="1" si="21"/>
        <v>0.11501491123609299</v>
      </c>
      <c r="AA43" s="42">
        <f t="shared" ca="1" si="21"/>
        <v>1.1876276385855904E-2</v>
      </c>
      <c r="AB43" s="42">
        <f t="shared" ca="1" si="21"/>
        <v>3.2661591854715675</v>
      </c>
      <c r="AC43" s="42">
        <f t="shared" ca="1" si="21"/>
        <v>0.3372589587730746</v>
      </c>
      <c r="AD43" s="42">
        <f t="shared" ca="1" si="21"/>
        <v>2.4076497406824857</v>
      </c>
      <c r="AE43" s="42">
        <f t="shared" ca="1" si="21"/>
        <v>15.529270051411746</v>
      </c>
      <c r="AF43" s="42">
        <f t="shared" ca="1" si="21"/>
        <v>0.3320077267061412</v>
      </c>
      <c r="AG43" s="42">
        <f t="shared" ca="1" si="21"/>
        <v>8.0898950618217178</v>
      </c>
      <c r="AH43" s="42">
        <f t="shared" ref="AH43:AH74" ca="1" si="25">AVERAGE(OFFSET(C.Trace.Markov.Root, $D43, (AH$2-1)*C.Trace.Markov.NumCols+AH$3-1, 2))*INDEX(C.rngC.ByState, AH$3)</f>
        <v>0</v>
      </c>
      <c r="AI43" s="51">
        <f t="shared" ref="AI43:AI74" ca="1" si="26">SUM(V43:AH43)</f>
        <v>37.376717239498504</v>
      </c>
    </row>
    <row r="44" spans="4:35" ht="12" customHeight="1" x14ac:dyDescent="0.2">
      <c r="D44" s="347">
        <f t="shared" ref="D44:D75" si="27">D43+1</f>
        <v>33</v>
      </c>
      <c r="E44" s="43">
        <f t="shared" si="22"/>
        <v>78.25</v>
      </c>
      <c r="G44" s="42">
        <f t="shared" ca="1" si="20"/>
        <v>0</v>
      </c>
      <c r="H44" s="42">
        <f t="shared" ca="1" si="20"/>
        <v>1.869756389141167</v>
      </c>
      <c r="I44" s="42">
        <f t="shared" ca="1" si="20"/>
        <v>0.23233355654096868</v>
      </c>
      <c r="J44" s="42">
        <f t="shared" ca="1" si="20"/>
        <v>2.4231475696694395E-2</v>
      </c>
      <c r="K44" s="42">
        <f t="shared" ca="1" si="20"/>
        <v>0.13788713119800944</v>
      </c>
      <c r="L44" s="42">
        <f t="shared" ca="1" si="20"/>
        <v>1.4349046312399293E-2</v>
      </c>
      <c r="M44" s="42">
        <f t="shared" ca="1" si="20"/>
        <v>5.7955759356636047</v>
      </c>
      <c r="N44" s="42">
        <f t="shared" ca="1" si="20"/>
        <v>0.60648949227177829</v>
      </c>
      <c r="O44" s="42">
        <f t="shared" ca="1" si="20"/>
        <v>4.3615002365971014</v>
      </c>
      <c r="P44" s="42">
        <f t="shared" ca="1" si="20"/>
        <v>26.79962445428297</v>
      </c>
      <c r="Q44" s="42">
        <f t="shared" ca="1" si="20"/>
        <v>0.57889101376981478</v>
      </c>
      <c r="R44" s="42">
        <f t="shared" ca="1" si="20"/>
        <v>17.419795336449855</v>
      </c>
      <c r="S44" s="42">
        <f t="shared" ca="1" si="23"/>
        <v>0</v>
      </c>
      <c r="T44" s="51">
        <f t="shared" ca="1" si="24"/>
        <v>57.840434067924363</v>
      </c>
      <c r="V44" s="42">
        <f t="shared" ca="1" si="21"/>
        <v>6.8781545430367217</v>
      </c>
      <c r="W44" s="42">
        <f t="shared" ca="1" si="21"/>
        <v>0</v>
      </c>
      <c r="X44" s="42">
        <f t="shared" ca="1" si="21"/>
        <v>0.16497424817833037</v>
      </c>
      <c r="Y44" s="42">
        <f t="shared" ca="1" si="21"/>
        <v>1.7035006564433984E-2</v>
      </c>
      <c r="Z44" s="42">
        <f t="shared" ca="1" si="21"/>
        <v>0.11243945122390803</v>
      </c>
      <c r="AA44" s="42">
        <f t="shared" ca="1" si="21"/>
        <v>1.161033804276018E-2</v>
      </c>
      <c r="AB44" s="42">
        <f t="shared" ca="1" si="21"/>
        <v>3.1930220392945339</v>
      </c>
      <c r="AC44" s="42">
        <f t="shared" ca="1" si="21"/>
        <v>0.32970692093088388</v>
      </c>
      <c r="AD44" s="42">
        <f t="shared" ca="1" si="21"/>
        <v>2.4179716785883616</v>
      </c>
      <c r="AE44" s="42">
        <f t="shared" ca="1" si="21"/>
        <v>15.253016016674307</v>
      </c>
      <c r="AF44" s="42">
        <f t="shared" ca="1" si="21"/>
        <v>0.32611467107964698</v>
      </c>
      <c r="AG44" s="42">
        <f t="shared" ca="1" si="21"/>
        <v>8.1366705261217014</v>
      </c>
      <c r="AH44" s="42">
        <f t="shared" ca="1" si="25"/>
        <v>0</v>
      </c>
      <c r="AI44" s="51">
        <f t="shared" ca="1" si="26"/>
        <v>36.84071543973559</v>
      </c>
    </row>
    <row r="45" spans="4:35" ht="12" customHeight="1" x14ac:dyDescent="0.2">
      <c r="D45" s="347">
        <f t="shared" si="27"/>
        <v>34</v>
      </c>
      <c r="E45" s="43">
        <f t="shared" si="22"/>
        <v>78.5</v>
      </c>
      <c r="G45" s="42">
        <f t="shared" ca="1" si="20"/>
        <v>0</v>
      </c>
      <c r="H45" s="42">
        <f t="shared" ca="1" si="20"/>
        <v>1.7829377119066987</v>
      </c>
      <c r="I45" s="42">
        <f t="shared" ca="1" si="20"/>
        <v>0.22490508281695923</v>
      </c>
      <c r="J45" s="42">
        <f t="shared" ca="1" si="20"/>
        <v>2.3453229682369087E-2</v>
      </c>
      <c r="K45" s="42">
        <f t="shared" ca="1" si="20"/>
        <v>0.13377429357688272</v>
      </c>
      <c r="L45" s="42">
        <f t="shared" ca="1" si="20"/>
        <v>1.3919205672985184E-2</v>
      </c>
      <c r="M45" s="42">
        <f t="shared" ca="1" si="20"/>
        <v>5.5914912018372309</v>
      </c>
      <c r="N45" s="42">
        <f t="shared" ca="1" si="20"/>
        <v>0.58504236574522217</v>
      </c>
      <c r="O45" s="42">
        <f t="shared" ca="1" si="20"/>
        <v>4.348286633709507</v>
      </c>
      <c r="P45" s="42">
        <f t="shared" ca="1" si="20"/>
        <v>26.057834520398369</v>
      </c>
      <c r="Q45" s="42">
        <f t="shared" ca="1" si="20"/>
        <v>0.56279211353994285</v>
      </c>
      <c r="R45" s="42">
        <f t="shared" ca="1" si="20"/>
        <v>17.388803525503075</v>
      </c>
      <c r="S45" s="42">
        <f t="shared" ca="1" si="23"/>
        <v>0</v>
      </c>
      <c r="T45" s="51">
        <f t="shared" ca="1" si="24"/>
        <v>56.713239884389239</v>
      </c>
      <c r="V45" s="42">
        <f t="shared" ca="1" si="21"/>
        <v>6.661920558484403</v>
      </c>
      <c r="W45" s="42">
        <f t="shared" ca="1" si="21"/>
        <v>0</v>
      </c>
      <c r="X45" s="42">
        <f t="shared" ca="1" si="21"/>
        <v>0.16128007866015898</v>
      </c>
      <c r="Y45" s="42">
        <f t="shared" ca="1" si="21"/>
        <v>1.6653551866582249E-2</v>
      </c>
      <c r="Z45" s="42">
        <f t="shared" ca="1" si="21"/>
        <v>0.10992166194504867</v>
      </c>
      <c r="AA45" s="42">
        <f t="shared" ca="1" si="21"/>
        <v>1.1350354697681572E-2</v>
      </c>
      <c r="AB45" s="42">
        <f t="shared" ca="1" si="21"/>
        <v>3.1215226094219339</v>
      </c>
      <c r="AC45" s="42">
        <f t="shared" ca="1" si="21"/>
        <v>0.32232399134834427</v>
      </c>
      <c r="AD45" s="42">
        <f t="shared" ca="1" si="21"/>
        <v>2.4260430771358648</v>
      </c>
      <c r="AE45" s="42">
        <f t="shared" ca="1" si="21"/>
        <v>14.98108186271101</v>
      </c>
      <c r="AF45" s="42">
        <f t="shared" ca="1" si="21"/>
        <v>0.32031333635016074</v>
      </c>
      <c r="AG45" s="42">
        <f t="shared" ca="1" si="21"/>
        <v>8.1764484263313548</v>
      </c>
      <c r="AH45" s="42">
        <f t="shared" ca="1" si="25"/>
        <v>0</v>
      </c>
      <c r="AI45" s="51">
        <f t="shared" ca="1" si="26"/>
        <v>36.308859508952544</v>
      </c>
    </row>
    <row r="46" spans="4:35" ht="12" customHeight="1" x14ac:dyDescent="0.2">
      <c r="D46" s="347">
        <f t="shared" si="27"/>
        <v>35</v>
      </c>
      <c r="E46" s="43">
        <f t="shared" si="22"/>
        <v>78.75</v>
      </c>
      <c r="G46" s="42">
        <f t="shared" ca="1" si="20"/>
        <v>0</v>
      </c>
      <c r="H46" s="42">
        <f t="shared" ca="1" si="20"/>
        <v>1.7001502992586321</v>
      </c>
      <c r="I46" s="42">
        <f t="shared" ca="1" si="20"/>
        <v>0.21774630913908838</v>
      </c>
      <c r="J46" s="42">
        <f t="shared" ca="1" si="20"/>
        <v>2.2703352208652043E-2</v>
      </c>
      <c r="K46" s="42">
        <f t="shared" ca="1" si="20"/>
        <v>0.12980115616502941</v>
      </c>
      <c r="L46" s="42">
        <f t="shared" ca="1" si="20"/>
        <v>1.3504029635521289E-2</v>
      </c>
      <c r="M46" s="42">
        <f t="shared" ca="1" si="20"/>
        <v>5.3954267637779756</v>
      </c>
      <c r="N46" s="42">
        <f t="shared" ca="1" si="20"/>
        <v>0.56444075223593515</v>
      </c>
      <c r="O46" s="42">
        <f t="shared" ca="1" si="20"/>
        <v>4.3314475957718903</v>
      </c>
      <c r="P46" s="42">
        <f t="shared" ca="1" si="20"/>
        <v>25.33993859333561</v>
      </c>
      <c r="Q46" s="42">
        <f t="shared" ca="1" si="20"/>
        <v>0.5472145249283662</v>
      </c>
      <c r="R46" s="42">
        <f t="shared" ca="1" si="20"/>
        <v>17.344079817338805</v>
      </c>
      <c r="S46" s="42">
        <f t="shared" ca="1" si="23"/>
        <v>0</v>
      </c>
      <c r="T46" s="51">
        <f t="shared" ca="1" si="24"/>
        <v>55.606453193795502</v>
      </c>
      <c r="V46" s="42">
        <f t="shared" ca="1" si="21"/>
        <v>6.452484492731787</v>
      </c>
      <c r="W46" s="42">
        <f t="shared" ca="1" si="21"/>
        <v>0</v>
      </c>
      <c r="X46" s="42">
        <f t="shared" ca="1" si="21"/>
        <v>0.15766863046716209</v>
      </c>
      <c r="Y46" s="42">
        <f t="shared" ca="1" si="21"/>
        <v>1.6280638855284191E-2</v>
      </c>
      <c r="Z46" s="42">
        <f t="shared" ca="1" si="21"/>
        <v>0.1074602520133289</v>
      </c>
      <c r="AA46" s="42">
        <f t="shared" ca="1" si="21"/>
        <v>1.109619300391659E-2</v>
      </c>
      <c r="AB46" s="42">
        <f t="shared" ca="1" si="21"/>
        <v>3.0516242234535707</v>
      </c>
      <c r="AC46" s="42">
        <f t="shared" ca="1" si="21"/>
        <v>0.31510638328549506</v>
      </c>
      <c r="AD46" s="42">
        <f t="shared" ca="1" si="21"/>
        <v>2.4319778169805217</v>
      </c>
      <c r="AE46" s="42">
        <f t="shared" ca="1" si="21"/>
        <v>14.71341957263339</v>
      </c>
      <c r="AF46" s="42">
        <f t="shared" ca="1" si="21"/>
        <v>0.3146027191169315</v>
      </c>
      <c r="AG46" s="42">
        <f t="shared" ca="1" si="21"/>
        <v>8.2095407859168112</v>
      </c>
      <c r="AH46" s="42">
        <f t="shared" ca="1" si="25"/>
        <v>0</v>
      </c>
      <c r="AI46" s="51">
        <f t="shared" ca="1" si="26"/>
        <v>35.781261708458203</v>
      </c>
    </row>
    <row r="47" spans="4:35" ht="12" customHeight="1" x14ac:dyDescent="0.2">
      <c r="D47" s="347">
        <f t="shared" si="27"/>
        <v>36</v>
      </c>
      <c r="E47" s="43">
        <f t="shared" si="22"/>
        <v>79</v>
      </c>
      <c r="G47" s="42">
        <f t="shared" ca="1" si="20"/>
        <v>0</v>
      </c>
      <c r="H47" s="42">
        <f t="shared" ca="1" si="20"/>
        <v>1.6212069668872855</v>
      </c>
      <c r="I47" s="42">
        <f t="shared" ca="1" si="20"/>
        <v>0.21084639700659982</v>
      </c>
      <c r="J47" s="42">
        <f t="shared" ca="1" si="20"/>
        <v>2.1980699976185587E-2</v>
      </c>
      <c r="K47" s="42">
        <f t="shared" ca="1" si="20"/>
        <v>0.12596238034035515</v>
      </c>
      <c r="L47" s="42">
        <f t="shared" ca="1" si="20"/>
        <v>1.3102955827384678E-2</v>
      </c>
      <c r="M47" s="42">
        <f t="shared" ca="1" si="20"/>
        <v>5.2070428172572338</v>
      </c>
      <c r="N47" s="42">
        <f t="shared" ca="1" si="20"/>
        <v>0.54464875848862859</v>
      </c>
      <c r="O47" s="42">
        <f t="shared" ca="1" si="20"/>
        <v>4.3112463841855169</v>
      </c>
      <c r="P47" s="42">
        <f t="shared" ca="1" si="20"/>
        <v>24.645045031474424</v>
      </c>
      <c r="Q47" s="42">
        <f t="shared" ca="1" si="20"/>
        <v>0.53213871046004824</v>
      </c>
      <c r="R47" s="42">
        <f t="shared" ca="1" si="20"/>
        <v>17.286542874297087</v>
      </c>
      <c r="S47" s="42">
        <f t="shared" ca="1" si="23"/>
        <v>0</v>
      </c>
      <c r="T47" s="51">
        <f t="shared" ca="1" si="24"/>
        <v>54.51976397620075</v>
      </c>
      <c r="V47" s="42">
        <f t="shared" ca="1" si="21"/>
        <v>6.2496326342288473</v>
      </c>
      <c r="W47" s="42">
        <f t="shared" ca="1" si="21"/>
        <v>0</v>
      </c>
      <c r="X47" s="42">
        <f t="shared" ca="1" si="21"/>
        <v>0.15413805127025604</v>
      </c>
      <c r="Y47" s="42">
        <f t="shared" ca="1" si="21"/>
        <v>1.5916076261669364E-2</v>
      </c>
      <c r="Z47" s="42">
        <f t="shared" ca="1" si="21"/>
        <v>0.10505395895980008</v>
      </c>
      <c r="AA47" s="42">
        <f t="shared" ca="1" si="21"/>
        <v>1.0847722600714595E-2</v>
      </c>
      <c r="AB47" s="42">
        <f t="shared" ca="1" si="21"/>
        <v>2.9832910301723392</v>
      </c>
      <c r="AC47" s="42">
        <f t="shared" ca="1" si="21"/>
        <v>0.30805039479657509</v>
      </c>
      <c r="AD47" s="42">
        <f t="shared" ca="1" si="21"/>
        <v>2.4358852328671547</v>
      </c>
      <c r="AE47" s="42">
        <f t="shared" ca="1" si="21"/>
        <v>14.449980933024323</v>
      </c>
      <c r="AF47" s="42">
        <f t="shared" ca="1" si="21"/>
        <v>0.30898181102530142</v>
      </c>
      <c r="AG47" s="42">
        <f t="shared" ca="1" si="21"/>
        <v>8.2362485864016435</v>
      </c>
      <c r="AH47" s="42">
        <f t="shared" ca="1" si="25"/>
        <v>0</v>
      </c>
      <c r="AI47" s="51">
        <f t="shared" ca="1" si="26"/>
        <v>35.258026431608627</v>
      </c>
    </row>
    <row r="48" spans="4:35" ht="12" customHeight="1" x14ac:dyDescent="0.2">
      <c r="D48" s="347">
        <f t="shared" si="27"/>
        <v>37</v>
      </c>
      <c r="E48" s="43">
        <f t="shared" si="22"/>
        <v>79.25</v>
      </c>
      <c r="G48" s="42">
        <f t="shared" ca="1" si="20"/>
        <v>0</v>
      </c>
      <c r="H48" s="42">
        <f t="shared" ca="1" si="20"/>
        <v>1.5459292220399423</v>
      </c>
      <c r="I48" s="42">
        <f t="shared" ca="1" si="20"/>
        <v>0.20419497346397356</v>
      </c>
      <c r="J48" s="42">
        <f t="shared" ca="1" si="20"/>
        <v>2.1284178877637845E-2</v>
      </c>
      <c r="K48" s="42">
        <f t="shared" ca="1" si="20"/>
        <v>0.12225284966111816</v>
      </c>
      <c r="L48" s="42">
        <f t="shared" ca="1" si="20"/>
        <v>1.2715445334042168E-2</v>
      </c>
      <c r="M48" s="42">
        <f t="shared" ca="1" si="20"/>
        <v>5.0260146061592943</v>
      </c>
      <c r="N48" s="42">
        <f t="shared" ca="1" si="20"/>
        <v>0.52563208249915316</v>
      </c>
      <c r="O48" s="42">
        <f t="shared" ca="1" si="20"/>
        <v>4.2879319107858738</v>
      </c>
      <c r="P48" s="42">
        <f t="shared" ca="1" si="20"/>
        <v>23.972299197455264</v>
      </c>
      <c r="Q48" s="42">
        <f t="shared" ca="1" si="20"/>
        <v>0.51754594566096335</v>
      </c>
      <c r="R48" s="42">
        <f t="shared" ca="1" si="20"/>
        <v>17.217063940534167</v>
      </c>
      <c r="S48" s="42">
        <f t="shared" ca="1" si="23"/>
        <v>0</v>
      </c>
      <c r="T48" s="51">
        <f t="shared" ca="1" si="24"/>
        <v>53.45286435247143</v>
      </c>
      <c r="V48" s="42">
        <f t="shared" ca="1" si="21"/>
        <v>6.0531579900445855</v>
      </c>
      <c r="W48" s="42">
        <f t="shared" ca="1" si="21"/>
        <v>0</v>
      </c>
      <c r="X48" s="42">
        <f t="shared" ca="1" si="21"/>
        <v>0.15068653021845277</v>
      </c>
      <c r="Y48" s="42">
        <f t="shared" ca="1" si="21"/>
        <v>1.5559677099836579E-2</v>
      </c>
      <c r="Z48" s="42">
        <f t="shared" ca="1" si="21"/>
        <v>0.10270154858522439</v>
      </c>
      <c r="AA48" s="42">
        <f t="shared" ca="1" si="21"/>
        <v>1.0604816046415153E-2</v>
      </c>
      <c r="AB48" s="42">
        <f t="shared" ca="1" si="21"/>
        <v>2.9164879811559623</v>
      </c>
      <c r="AC48" s="42">
        <f t="shared" ca="1" si="21"/>
        <v>0.30115240683127725</v>
      </c>
      <c r="AD48" s="42">
        <f t="shared" ca="1" si="21"/>
        <v>2.4378702781688326</v>
      </c>
      <c r="AE48" s="42">
        <f t="shared" ca="1" si="21"/>
        <v>14.190717571538151</v>
      </c>
      <c r="AF48" s="42">
        <f t="shared" ca="1" si="21"/>
        <v>0.30344959959351098</v>
      </c>
      <c r="AG48" s="42">
        <f t="shared" ca="1" si="21"/>
        <v>8.2568621204796813</v>
      </c>
      <c r="AH48" s="42">
        <f t="shared" ca="1" si="25"/>
        <v>0</v>
      </c>
      <c r="AI48" s="51">
        <f t="shared" ca="1" si="26"/>
        <v>34.739250519761924</v>
      </c>
    </row>
    <row r="49" spans="4:35" ht="12" customHeight="1" x14ac:dyDescent="0.2">
      <c r="D49" s="347">
        <f t="shared" si="27"/>
        <v>38</v>
      </c>
      <c r="E49" s="43">
        <f t="shared" si="22"/>
        <v>79.5</v>
      </c>
      <c r="G49" s="42">
        <f t="shared" ca="1" si="20"/>
        <v>0</v>
      </c>
      <c r="H49" s="42">
        <f t="shared" ca="1" si="20"/>
        <v>1.4741468599444889</v>
      </c>
      <c r="I49" s="42">
        <f t="shared" ca="1" si="20"/>
        <v>0.19778211032884688</v>
      </c>
      <c r="J49" s="42">
        <f t="shared" ca="1" si="20"/>
        <v>2.0612741800779669E-2</v>
      </c>
      <c r="K49" s="42">
        <f t="shared" ca="1" si="20"/>
        <v>0.11866766012507492</v>
      </c>
      <c r="L49" s="42">
        <f t="shared" ca="1" si="20"/>
        <v>1.2340981669261142E-2</v>
      </c>
      <c r="M49" s="42">
        <f t="shared" ca="1" si="20"/>
        <v>4.8520317400980293</v>
      </c>
      <c r="N49" s="42">
        <f t="shared" ca="1" si="20"/>
        <v>0.50735794131576484</v>
      </c>
      <c r="O49" s="42">
        <f t="shared" ca="1" si="20"/>
        <v>4.2617394517334652</v>
      </c>
      <c r="P49" s="42">
        <f t="shared" ca="1" si="20"/>
        <v>23.320881825885792</v>
      </c>
      <c r="Q49" s="42">
        <f t="shared" ca="1" si="20"/>
        <v>0.5034182831465609</v>
      </c>
      <c r="R49" s="42">
        <f t="shared" ca="1" si="20"/>
        <v>17.136469110445166</v>
      </c>
      <c r="S49" s="42">
        <f t="shared" ca="1" si="23"/>
        <v>0</v>
      </c>
      <c r="T49" s="51">
        <f t="shared" ca="1" si="24"/>
        <v>52.405448706493232</v>
      </c>
      <c r="V49" s="42">
        <f t="shared" ca="1" si="21"/>
        <v>5.8628600746484949</v>
      </c>
      <c r="W49" s="42">
        <f t="shared" ca="1" si="21"/>
        <v>0</v>
      </c>
      <c r="X49" s="42">
        <f t="shared" ca="1" si="21"/>
        <v>0.1473122970100656</v>
      </c>
      <c r="Y49" s="42">
        <f t="shared" ca="1" si="21"/>
        <v>1.5211258570947919E-2</v>
      </c>
      <c r="Z49" s="42">
        <f t="shared" ca="1" si="21"/>
        <v>0.10040181432704838</v>
      </c>
      <c r="AA49" s="42">
        <f t="shared" ca="1" si="21"/>
        <v>1.0367348753082591E-2</v>
      </c>
      <c r="AB49" s="42">
        <f t="shared" ca="1" si="21"/>
        <v>2.8511808128004903</v>
      </c>
      <c r="AC49" s="42">
        <f t="shared" ca="1" si="21"/>
        <v>0.29440888137851995</v>
      </c>
      <c r="AD49" s="42">
        <f t="shared" ca="1" si="21"/>
        <v>2.4380336837688303</v>
      </c>
      <c r="AE49" s="42">
        <f t="shared" ca="1" si="21"/>
        <v>13.935580992792154</v>
      </c>
      <c r="AF49" s="42">
        <f t="shared" ca="1" si="21"/>
        <v>0.29800506900230139</v>
      </c>
      <c r="AG49" s="42">
        <f t="shared" ca="1" si="21"/>
        <v>8.2716613344573311</v>
      </c>
      <c r="AH49" s="42">
        <f t="shared" ca="1" si="25"/>
        <v>0</v>
      </c>
      <c r="AI49" s="51">
        <f t="shared" ca="1" si="26"/>
        <v>34.225023567509268</v>
      </c>
    </row>
    <row r="50" spans="4:35" ht="12" customHeight="1" x14ac:dyDescent="0.2">
      <c r="D50" s="347">
        <f t="shared" si="27"/>
        <v>39</v>
      </c>
      <c r="E50" s="43">
        <f t="shared" si="22"/>
        <v>79.75</v>
      </c>
      <c r="G50" s="42">
        <f t="shared" ca="1" si="20"/>
        <v>1.5009893493466184</v>
      </c>
      <c r="H50" s="42">
        <f t="shared" ca="1" si="20"/>
        <v>0.71955437733750427</v>
      </c>
      <c r="I50" s="42">
        <f t="shared" ca="1" si="20"/>
        <v>0.19159830436553443</v>
      </c>
      <c r="J50" s="42">
        <f t="shared" ca="1" si="20"/>
        <v>1.9965386531618615E-2</v>
      </c>
      <c r="K50" s="42">
        <f t="shared" ca="1" si="20"/>
        <v>0.11520211086803367</v>
      </c>
      <c r="L50" s="42">
        <f t="shared" ca="1" si="20"/>
        <v>1.1979069791805675E-2</v>
      </c>
      <c r="M50" s="42">
        <f t="shared" ca="1" si="20"/>
        <v>4.6847975433527278</v>
      </c>
      <c r="N50" s="42">
        <f t="shared" ca="1" si="20"/>
        <v>0.48979500215500626</v>
      </c>
      <c r="O50" s="42">
        <f t="shared" ca="1" si="20"/>
        <v>4.2328913271906403</v>
      </c>
      <c r="P50" s="42">
        <f t="shared" ca="1" si="20"/>
        <v>22.690007465243053</v>
      </c>
      <c r="Q50" s="42">
        <f t="shared" ca="1" si="20"/>
        <v>0.48973851834360199</v>
      </c>
      <c r="R50" s="42">
        <f t="shared" ca="1" si="20"/>
        <v>17.045541491308086</v>
      </c>
      <c r="S50" s="42">
        <f t="shared" ca="1" si="23"/>
        <v>0</v>
      </c>
      <c r="T50" s="51">
        <f t="shared" ca="1" si="24"/>
        <v>52.192059945834231</v>
      </c>
      <c r="V50" s="42">
        <f t="shared" ca="1" si="21"/>
        <v>5.6785447053322606</v>
      </c>
      <c r="W50" s="42">
        <f t="shared" ca="1" si="21"/>
        <v>0</v>
      </c>
      <c r="X50" s="42">
        <f t="shared" ca="1" si="21"/>
        <v>0.14401362098471318</v>
      </c>
      <c r="Y50" s="42">
        <f t="shared" ca="1" si="21"/>
        <v>1.487064196947035E-2</v>
      </c>
      <c r="Z50" s="42">
        <f t="shared" ca="1" si="21"/>
        <v>9.8153576640551035E-2</v>
      </c>
      <c r="AA50" s="42">
        <f t="shared" ca="1" si="21"/>
        <v>1.0135198922604255E-2</v>
      </c>
      <c r="AB50" s="42">
        <f t="shared" ca="1" si="21"/>
        <v>2.7873360287463309</v>
      </c>
      <c r="AC50" s="42">
        <f t="shared" ca="1" si="21"/>
        <v>0.28781635965178465</v>
      </c>
      <c r="AD50" s="42">
        <f t="shared" ca="1" si="21"/>
        <v>2.4364721114742909</v>
      </c>
      <c r="AE50" s="42">
        <f t="shared" ca="1" si="21"/>
        <v>13.684522612610301</v>
      </c>
      <c r="AF50" s="42">
        <f t="shared" ca="1" si="21"/>
        <v>0.29264720084863555</v>
      </c>
      <c r="AG50" s="42">
        <f t="shared" ca="1" si="21"/>
        <v>8.2809161603364796</v>
      </c>
      <c r="AH50" s="42">
        <f t="shared" ca="1" si="25"/>
        <v>0</v>
      </c>
      <c r="AI50" s="51">
        <f t="shared" ca="1" si="26"/>
        <v>33.715428217517427</v>
      </c>
    </row>
    <row r="51" spans="4:35" ht="12" customHeight="1" x14ac:dyDescent="0.2">
      <c r="D51" s="347">
        <f t="shared" si="27"/>
        <v>40</v>
      </c>
      <c r="E51" s="43">
        <f t="shared" si="22"/>
        <v>80</v>
      </c>
      <c r="G51" s="42">
        <f t="shared" ref="G51:R60" ca="1" si="28">AVERAGE(OFFSET(C.Trace.Markov.Root, $D51, (G$2-1)*C.Trace.Markov.NumCols+G$3-1, 2))*G$6</f>
        <v>2.9305743366325117</v>
      </c>
      <c r="H51" s="42">
        <f t="shared" ca="1" si="28"/>
        <v>0</v>
      </c>
      <c r="I51" s="42">
        <f t="shared" ca="1" si="28"/>
        <v>0.15691010088317123</v>
      </c>
      <c r="J51" s="42">
        <f t="shared" ca="1" si="28"/>
        <v>1.934115375298771E-2</v>
      </c>
      <c r="K51" s="42">
        <f t="shared" ca="1" si="28"/>
        <v>9.9434503044048467E-2</v>
      </c>
      <c r="L51" s="42">
        <f t="shared" ca="1" si="28"/>
        <v>1.1629235166489208E-2</v>
      </c>
      <c r="M51" s="42">
        <f t="shared" ca="1" si="28"/>
        <v>3.5135763526431081</v>
      </c>
      <c r="N51" s="42">
        <f t="shared" ca="1" si="28"/>
        <v>0.47291331667913988</v>
      </c>
      <c r="O51" s="42">
        <f t="shared" ca="1" si="28"/>
        <v>4.1656780200268679</v>
      </c>
      <c r="P51" s="42">
        <f t="shared" ca="1" si="28"/>
        <v>21.980929092666301</v>
      </c>
      <c r="Q51" s="42">
        <f t="shared" ca="1" si="28"/>
        <v>0.5136272418928316</v>
      </c>
      <c r="R51" s="42">
        <f t="shared" ca="1" si="28"/>
        <v>16.736121757381753</v>
      </c>
      <c r="S51" s="42">
        <f t="shared" ca="1" si="23"/>
        <v>0</v>
      </c>
      <c r="T51" s="51">
        <f t="shared" ca="1" si="24"/>
        <v>50.600735110769207</v>
      </c>
      <c r="V51" s="42">
        <f t="shared" ref="V51:AG60" ca="1" si="29">AVERAGE(OFFSET(C.Trace.Markov.Root, $D51, (V$2-1)*C.Trace.Markov.NumCols+V$3-1, 2))*V$6</f>
        <v>5.4549472722947545</v>
      </c>
      <c r="W51" s="42">
        <f t="shared" ca="1" si="29"/>
        <v>0</v>
      </c>
      <c r="X51" s="42">
        <f t="shared" ca="1" si="29"/>
        <v>0.14078881023565529</v>
      </c>
      <c r="Y51" s="42">
        <f t="shared" ca="1" si="29"/>
        <v>1.4537652591516792E-2</v>
      </c>
      <c r="Z51" s="42">
        <f t="shared" ca="1" si="29"/>
        <v>9.5955682393849717E-2</v>
      </c>
      <c r="AA51" s="42">
        <f t="shared" ca="1" si="29"/>
        <v>9.9082474842196646E-3</v>
      </c>
      <c r="AB51" s="42">
        <f t="shared" ca="1" si="29"/>
        <v>2.7249208826978082</v>
      </c>
      <c r="AC51" s="42">
        <f t="shared" ca="1" si="29"/>
        <v>0.28137146031508714</v>
      </c>
      <c r="AD51" s="42">
        <f t="shared" ca="1" si="29"/>
        <v>2.4123666159144515</v>
      </c>
      <c r="AE51" s="42">
        <f t="shared" ca="1" si="29"/>
        <v>16.427072573982787</v>
      </c>
      <c r="AF51" s="42">
        <f t="shared" ca="1" si="29"/>
        <v>0.30987666868635466</v>
      </c>
      <c r="AG51" s="42">
        <f t="shared" ca="1" si="29"/>
        <v>8.1806922981424446</v>
      </c>
      <c r="AH51" s="42">
        <f t="shared" ca="1" si="25"/>
        <v>0</v>
      </c>
      <c r="AI51" s="51">
        <f t="shared" ca="1" si="26"/>
        <v>36.05243816473893</v>
      </c>
    </row>
    <row r="52" spans="4:35" ht="12" customHeight="1" x14ac:dyDescent="0.2">
      <c r="D52" s="347">
        <f t="shared" si="27"/>
        <v>41</v>
      </c>
      <c r="E52" s="43">
        <f t="shared" si="22"/>
        <v>80.25</v>
      </c>
      <c r="G52" s="42">
        <f t="shared" ca="1" si="28"/>
        <v>2.7911624273675537</v>
      </c>
      <c r="H52" s="42">
        <f t="shared" ca="1" si="28"/>
        <v>0</v>
      </c>
      <c r="I52" s="42">
        <f t="shared" ca="1" si="28"/>
        <v>0.12311409193347768</v>
      </c>
      <c r="J52" s="42">
        <f t="shared" ca="1" si="28"/>
        <v>1.5839505451928963E-2</v>
      </c>
      <c r="K52" s="42">
        <f t="shared" ca="1" si="28"/>
        <v>8.3909343959951893E-2</v>
      </c>
      <c r="L52" s="42">
        <f t="shared" ca="1" si="28"/>
        <v>1.003755235775884E-2</v>
      </c>
      <c r="M52" s="42">
        <f t="shared" ca="1" si="28"/>
        <v>2.3828325525472085</v>
      </c>
      <c r="N52" s="42">
        <f t="shared" ca="1" si="28"/>
        <v>0.3546827863866861</v>
      </c>
      <c r="O52" s="42">
        <f t="shared" ca="1" si="28"/>
        <v>4.0481787890480012</v>
      </c>
      <c r="P52" s="42">
        <f t="shared" ca="1" si="28"/>
        <v>21.225909440253893</v>
      </c>
      <c r="Q52" s="42">
        <f t="shared" ca="1" si="28"/>
        <v>0.53455052641366985</v>
      </c>
      <c r="R52" s="42">
        <f t="shared" ca="1" si="28"/>
        <v>16.220961011035602</v>
      </c>
      <c r="S52" s="42">
        <f t="shared" ca="1" si="23"/>
        <v>0</v>
      </c>
      <c r="T52" s="51">
        <f t="shared" ca="1" si="24"/>
        <v>47.79117802675573</v>
      </c>
      <c r="V52" s="42">
        <f t="shared" ca="1" si="29"/>
        <v>5.1954470764921306</v>
      </c>
      <c r="W52" s="42">
        <f t="shared" ca="1" si="29"/>
        <v>0</v>
      </c>
      <c r="X52" s="42">
        <f t="shared" ca="1" si="29"/>
        <v>0.13649136989802316</v>
      </c>
      <c r="Y52" s="42">
        <f t="shared" ca="1" si="29"/>
        <v>1.4212119645239657E-2</v>
      </c>
      <c r="Z52" s="42">
        <f t="shared" ca="1" si="29"/>
        <v>9.3026729308344366E-2</v>
      </c>
      <c r="AA52" s="42">
        <f t="shared" ca="1" si="29"/>
        <v>9.6863780334485554E-3</v>
      </c>
      <c r="AB52" s="42">
        <f t="shared" ca="1" si="29"/>
        <v>2.6417453455328803</v>
      </c>
      <c r="AC52" s="42">
        <f t="shared" ca="1" si="29"/>
        <v>0.27507087774867472</v>
      </c>
      <c r="AD52" s="42">
        <f t="shared" ca="1" si="29"/>
        <v>2.3668614890141302</v>
      </c>
      <c r="AE52" s="42">
        <f t="shared" ca="1" si="29"/>
        <v>18.944805599669685</v>
      </c>
      <c r="AF52" s="42">
        <f t="shared" ca="1" si="29"/>
        <v>0.39948722162011691</v>
      </c>
      <c r="AG52" s="42">
        <f t="shared" ca="1" si="29"/>
        <v>8.0303655046118259</v>
      </c>
      <c r="AH52" s="42">
        <f t="shared" ca="1" si="25"/>
        <v>0</v>
      </c>
      <c r="AI52" s="51">
        <f t="shared" ca="1" si="26"/>
        <v>38.107199711574502</v>
      </c>
    </row>
    <row r="53" spans="4:35" ht="12" customHeight="1" x14ac:dyDescent="0.2">
      <c r="D53" s="347">
        <f t="shared" si="27"/>
        <v>42</v>
      </c>
      <c r="E53" s="43">
        <f t="shared" si="22"/>
        <v>80.5</v>
      </c>
      <c r="G53" s="42">
        <f t="shared" ca="1" si="28"/>
        <v>2.6583825561307575</v>
      </c>
      <c r="H53" s="42">
        <f t="shared" ca="1" si="28"/>
        <v>0</v>
      </c>
      <c r="I53" s="42">
        <f t="shared" ca="1" si="28"/>
        <v>0.11865689676213761</v>
      </c>
      <c r="J53" s="42">
        <f t="shared" ca="1" si="28"/>
        <v>1.2427920952275354E-2</v>
      </c>
      <c r="K53" s="42">
        <f t="shared" ca="1" si="28"/>
        <v>8.0871508754777374E-2</v>
      </c>
      <c r="L53" s="42">
        <f t="shared" ca="1" si="28"/>
        <v>8.4703438697743272E-3</v>
      </c>
      <c r="M53" s="42">
        <f t="shared" ca="1" si="28"/>
        <v>2.2965650133847215</v>
      </c>
      <c r="N53" s="42">
        <f t="shared" ca="1" si="28"/>
        <v>0.24053830183441863</v>
      </c>
      <c r="O53" s="42">
        <f t="shared" ca="1" si="28"/>
        <v>3.9178880794728981</v>
      </c>
      <c r="P53" s="42">
        <f t="shared" ca="1" si="28"/>
        <v>20.497581946152852</v>
      </c>
      <c r="Q53" s="42">
        <f t="shared" ca="1" si="28"/>
        <v>0.5161893301717706</v>
      </c>
      <c r="R53" s="42">
        <f t="shared" ca="1" si="28"/>
        <v>15.720940798456791</v>
      </c>
      <c r="S53" s="42">
        <f t="shared" ca="1" si="23"/>
        <v>0</v>
      </c>
      <c r="T53" s="51">
        <f t="shared" ca="1" si="24"/>
        <v>46.06851269594317</v>
      </c>
      <c r="V53" s="42">
        <f t="shared" ca="1" si="29"/>
        <v>4.9482917024192439</v>
      </c>
      <c r="W53" s="42">
        <f t="shared" ca="1" si="29"/>
        <v>0</v>
      </c>
      <c r="X53" s="42">
        <f t="shared" ca="1" si="29"/>
        <v>0.13119978055590911</v>
      </c>
      <c r="Y53" s="42">
        <f t="shared" ca="1" si="29"/>
        <v>1.3778308633238935E-2</v>
      </c>
      <c r="Z53" s="42">
        <f t="shared" ca="1" si="29"/>
        <v>8.9420206421897075E-2</v>
      </c>
      <c r="AA53" s="42">
        <f t="shared" ca="1" si="29"/>
        <v>9.3907108450063757E-3</v>
      </c>
      <c r="AB53" s="42">
        <f t="shared" ca="1" si="29"/>
        <v>2.5393283830139652</v>
      </c>
      <c r="AC53" s="42">
        <f t="shared" ca="1" si="29"/>
        <v>0.26667460901278295</v>
      </c>
      <c r="AD53" s="42">
        <f t="shared" ca="1" si="29"/>
        <v>2.3214656367046933</v>
      </c>
      <c r="AE53" s="42">
        <f t="shared" ca="1" si="29"/>
        <v>18.284113560603377</v>
      </c>
      <c r="AF53" s="42">
        <f t="shared" ca="1" si="29"/>
        <v>0.46071554862013636</v>
      </c>
      <c r="AG53" s="42">
        <f t="shared" ca="1" si="29"/>
        <v>7.9343596006484978</v>
      </c>
      <c r="AH53" s="42">
        <f t="shared" ca="1" si="25"/>
        <v>0</v>
      </c>
      <c r="AI53" s="51">
        <f t="shared" ca="1" si="26"/>
        <v>36.998738047478746</v>
      </c>
    </row>
    <row r="54" spans="4:35" ht="12" customHeight="1" x14ac:dyDescent="0.2">
      <c r="D54" s="347">
        <f t="shared" si="27"/>
        <v>43</v>
      </c>
      <c r="E54" s="43">
        <f t="shared" si="22"/>
        <v>80.75</v>
      </c>
      <c r="G54" s="42">
        <f t="shared" ca="1" si="28"/>
        <v>2.5319192267163912</v>
      </c>
      <c r="H54" s="42">
        <f t="shared" ca="1" si="28"/>
        <v>0</v>
      </c>
      <c r="I54" s="42">
        <f t="shared" ca="1" si="28"/>
        <v>0.11409284040629569</v>
      </c>
      <c r="J54" s="42">
        <f t="shared" ca="1" si="28"/>
        <v>1.1977983269364055E-2</v>
      </c>
      <c r="K54" s="42">
        <f t="shared" ca="1" si="28"/>
        <v>7.7760841498084515E-2</v>
      </c>
      <c r="L54" s="42">
        <f t="shared" ca="1" si="28"/>
        <v>8.1636854263497718E-3</v>
      </c>
      <c r="M54" s="42">
        <f t="shared" ca="1" si="28"/>
        <v>2.2082292113204338</v>
      </c>
      <c r="N54" s="42">
        <f t="shared" ca="1" si="28"/>
        <v>0.23182990671391518</v>
      </c>
      <c r="O54" s="42">
        <f t="shared" ca="1" si="28"/>
        <v>3.7899630030620126</v>
      </c>
      <c r="P54" s="42">
        <f t="shared" ca="1" si="28"/>
        <v>19.763949833811576</v>
      </c>
      <c r="Q54" s="42">
        <f t="shared" ca="1" si="28"/>
        <v>0.49847725604915516</v>
      </c>
      <c r="R54" s="42">
        <f t="shared" ca="1" si="28"/>
        <v>15.234991614478743</v>
      </c>
      <c r="S54" s="42">
        <f t="shared" ca="1" si="23"/>
        <v>0</v>
      </c>
      <c r="T54" s="51">
        <f t="shared" ca="1" si="24"/>
        <v>44.471355402752323</v>
      </c>
      <c r="V54" s="42">
        <f t="shared" ca="1" si="29"/>
        <v>4.7128938880007523</v>
      </c>
      <c r="W54" s="42">
        <f t="shared" ca="1" si="29"/>
        <v>0</v>
      </c>
      <c r="X54" s="42">
        <f t="shared" ca="1" si="29"/>
        <v>0.12612425945408623</v>
      </c>
      <c r="Y54" s="42">
        <f t="shared" ca="1" si="29"/>
        <v>1.324414188577001E-2</v>
      </c>
      <c r="Z54" s="42">
        <f t="shared" ca="1" si="29"/>
        <v>8.5960946484870807E-2</v>
      </c>
      <c r="AA54" s="42">
        <f t="shared" ca="1" si="29"/>
        <v>9.0266454432198981E-3</v>
      </c>
      <c r="AB54" s="42">
        <f t="shared" ca="1" si="29"/>
        <v>2.4410933498619629</v>
      </c>
      <c r="AC54" s="42">
        <f t="shared" ca="1" si="29"/>
        <v>0.25633598819068432</v>
      </c>
      <c r="AD54" s="42">
        <f t="shared" ca="1" si="29"/>
        <v>2.2756820517168577</v>
      </c>
      <c r="AE54" s="42">
        <f t="shared" ca="1" si="29"/>
        <v>17.671706029398681</v>
      </c>
      <c r="AF54" s="42">
        <f t="shared" ca="1" si="29"/>
        <v>0.44464828977992438</v>
      </c>
      <c r="AG54" s="42">
        <f t="shared" ca="1" si="29"/>
        <v>7.8330307931454968</v>
      </c>
      <c r="AH54" s="42">
        <f t="shared" ca="1" si="25"/>
        <v>0</v>
      </c>
      <c r="AI54" s="51">
        <f t="shared" ca="1" si="26"/>
        <v>35.869746383362312</v>
      </c>
    </row>
    <row r="55" spans="4:35" ht="12" customHeight="1" x14ac:dyDescent="0.2">
      <c r="D55" s="347">
        <f t="shared" si="27"/>
        <v>44</v>
      </c>
      <c r="E55" s="43">
        <f t="shared" si="22"/>
        <v>81</v>
      </c>
      <c r="G55" s="42">
        <f t="shared" ca="1" si="28"/>
        <v>2.4114719515563992</v>
      </c>
      <c r="H55" s="42">
        <f t="shared" ca="1" si="28"/>
        <v>0</v>
      </c>
      <c r="I55" s="42">
        <f t="shared" ca="1" si="28"/>
        <v>0.10967941258446938</v>
      </c>
      <c r="J55" s="42">
        <f t="shared" ca="1" si="28"/>
        <v>1.1517258337544049E-2</v>
      </c>
      <c r="K55" s="42">
        <f t="shared" ca="1" si="28"/>
        <v>7.4752836262224578E-2</v>
      </c>
      <c r="L55" s="42">
        <f t="shared" ca="1" si="28"/>
        <v>7.8496748515416576E-3</v>
      </c>
      <c r="M55" s="42">
        <f t="shared" ca="1" si="28"/>
        <v>2.1228087747399687</v>
      </c>
      <c r="N55" s="42">
        <f t="shared" ca="1" si="28"/>
        <v>0.22291272795663694</v>
      </c>
      <c r="O55" s="42">
        <f t="shared" ca="1" si="28"/>
        <v>3.6658889858728037</v>
      </c>
      <c r="P55" s="42">
        <f t="shared" ca="1" si="28"/>
        <v>19.053454818278805</v>
      </c>
      <c r="Q55" s="42">
        <f t="shared" ca="1" si="28"/>
        <v>0.48063617980561996</v>
      </c>
      <c r="R55" s="42">
        <f t="shared" ca="1" si="28"/>
        <v>14.762263995694097</v>
      </c>
      <c r="S55" s="42">
        <f t="shared" ca="1" si="23"/>
        <v>0</v>
      </c>
      <c r="T55" s="51">
        <f t="shared" ca="1" si="24"/>
        <v>42.923236615940112</v>
      </c>
      <c r="V55" s="42">
        <f t="shared" ca="1" si="29"/>
        <v>4.4886943081176085</v>
      </c>
      <c r="W55" s="42">
        <f t="shared" ca="1" si="29"/>
        <v>0</v>
      </c>
      <c r="X55" s="42">
        <f t="shared" ca="1" si="29"/>
        <v>0.121245995418844</v>
      </c>
      <c r="Y55" s="42">
        <f t="shared" ca="1" si="29"/>
        <v>1.2731786443314703E-2</v>
      </c>
      <c r="Z55" s="42">
        <f t="shared" ca="1" si="29"/>
        <v>8.263612859902085E-2</v>
      </c>
      <c r="AA55" s="42">
        <f t="shared" ca="1" si="29"/>
        <v>8.6774457019427962E-3</v>
      </c>
      <c r="AB55" s="42">
        <f t="shared" ca="1" si="29"/>
        <v>2.346676162027963</v>
      </c>
      <c r="AC55" s="42">
        <f t="shared" ca="1" si="29"/>
        <v>0.24641951796713829</v>
      </c>
      <c r="AD55" s="42">
        <f t="shared" ca="1" si="29"/>
        <v>2.2295748003212865</v>
      </c>
      <c r="AE55" s="42">
        <f t="shared" ca="1" si="29"/>
        <v>17.07909552606813</v>
      </c>
      <c r="AF55" s="42">
        <f t="shared" ca="1" si="29"/>
        <v>0.42975525378471757</v>
      </c>
      <c r="AG55" s="42">
        <f t="shared" ca="1" si="29"/>
        <v>7.7261152704506797</v>
      </c>
      <c r="AH55" s="42">
        <f t="shared" ca="1" si="25"/>
        <v>0</v>
      </c>
      <c r="AI55" s="51">
        <f t="shared" ca="1" si="26"/>
        <v>34.771622194900644</v>
      </c>
    </row>
    <row r="56" spans="4:35" ht="12" customHeight="1" x14ac:dyDescent="0.2">
      <c r="D56" s="347">
        <f t="shared" si="27"/>
        <v>45</v>
      </c>
      <c r="E56" s="43">
        <f t="shared" si="22"/>
        <v>81.25</v>
      </c>
      <c r="G56" s="42">
        <f t="shared" ca="1" si="28"/>
        <v>2.2967545377365268</v>
      </c>
      <c r="H56" s="42">
        <f t="shared" ca="1" si="28"/>
        <v>0</v>
      </c>
      <c r="I56" s="42">
        <f t="shared" ca="1" si="28"/>
        <v>0.1054371709965245</v>
      </c>
      <c r="J56" s="42">
        <f t="shared" ca="1" si="28"/>
        <v>1.1071738809788713E-2</v>
      </c>
      <c r="K56" s="42">
        <f t="shared" ca="1" si="28"/>
        <v>7.1861504303601845E-2</v>
      </c>
      <c r="L56" s="42">
        <f t="shared" ca="1" si="28"/>
        <v>7.5460276353034291E-3</v>
      </c>
      <c r="M56" s="42">
        <f t="shared" ca="1" si="28"/>
        <v>2.0407015911286357</v>
      </c>
      <c r="N56" s="42">
        <f t="shared" ca="1" si="28"/>
        <v>0.21428984476870352</v>
      </c>
      <c r="O56" s="42">
        <f t="shared" ca="1" si="28"/>
        <v>3.5455438954416554</v>
      </c>
      <c r="P56" s="42">
        <f t="shared" ca="1" si="28"/>
        <v>18.368029773405038</v>
      </c>
      <c r="Q56" s="42">
        <f t="shared" ca="1" si="28"/>
        <v>0.46335777073718587</v>
      </c>
      <c r="R56" s="42">
        <f t="shared" ca="1" si="28"/>
        <v>14.302443222872377</v>
      </c>
      <c r="S56" s="42">
        <f t="shared" ca="1" si="23"/>
        <v>0</v>
      </c>
      <c r="T56" s="51">
        <f t="shared" ca="1" si="24"/>
        <v>41.427037077835337</v>
      </c>
      <c r="V56" s="42">
        <f t="shared" ca="1" si="29"/>
        <v>4.2751602456032636</v>
      </c>
      <c r="W56" s="42">
        <f t="shared" ca="1" si="29"/>
        <v>0</v>
      </c>
      <c r="X56" s="42">
        <f t="shared" ca="1" si="29"/>
        <v>0.11655639611998804</v>
      </c>
      <c r="Y56" s="42">
        <f t="shared" ca="1" si="29"/>
        <v>1.2239343386129368E-2</v>
      </c>
      <c r="Z56" s="42">
        <f t="shared" ca="1" si="29"/>
        <v>7.9439896596475795E-2</v>
      </c>
      <c r="AA56" s="42">
        <f t="shared" ca="1" si="29"/>
        <v>8.3418173980084158E-3</v>
      </c>
      <c r="AB56" s="42">
        <f t="shared" ca="1" si="29"/>
        <v>2.2559105178013499</v>
      </c>
      <c r="AC56" s="42">
        <f t="shared" ca="1" si="29"/>
        <v>0.23688844537821716</v>
      </c>
      <c r="AD56" s="42">
        <f t="shared" ca="1" si="29"/>
        <v>2.1832570252787988</v>
      </c>
      <c r="AE56" s="42">
        <f t="shared" ca="1" si="29"/>
        <v>16.505200519606348</v>
      </c>
      <c r="AF56" s="42">
        <f t="shared" ca="1" si="29"/>
        <v>0.41534365838862919</v>
      </c>
      <c r="AG56" s="42">
        <f t="shared" ca="1" si="29"/>
        <v>7.6142889777245557</v>
      </c>
      <c r="AH56" s="42">
        <f t="shared" ca="1" si="25"/>
        <v>0</v>
      </c>
      <c r="AI56" s="51">
        <f t="shared" ca="1" si="26"/>
        <v>33.702626843281763</v>
      </c>
    </row>
    <row r="57" spans="4:35" ht="12" customHeight="1" x14ac:dyDescent="0.2">
      <c r="D57" s="347">
        <f t="shared" si="27"/>
        <v>46</v>
      </c>
      <c r="E57" s="43">
        <f t="shared" si="22"/>
        <v>81.5</v>
      </c>
      <c r="G57" s="42">
        <f t="shared" ca="1" si="28"/>
        <v>2.1874944069777431</v>
      </c>
      <c r="H57" s="42">
        <f t="shared" ca="1" si="28"/>
        <v>0</v>
      </c>
      <c r="I57" s="42">
        <f t="shared" ca="1" si="28"/>
        <v>0.10135903153586737</v>
      </c>
      <c r="J57" s="42">
        <f t="shared" ca="1" si="28"/>
        <v>1.064349991132109E-2</v>
      </c>
      <c r="K57" s="42">
        <f t="shared" ca="1" si="28"/>
        <v>6.9082017395589487E-2</v>
      </c>
      <c r="L57" s="42">
        <f t="shared" ca="1" si="28"/>
        <v>7.2541581631396217E-3</v>
      </c>
      <c r="M57" s="42">
        <f t="shared" ca="1" si="28"/>
        <v>1.9617705499450495</v>
      </c>
      <c r="N57" s="42">
        <f t="shared" ca="1" si="28"/>
        <v>0.20600142244831654</v>
      </c>
      <c r="O57" s="42">
        <f t="shared" ca="1" si="28"/>
        <v>3.4288333264928221</v>
      </c>
      <c r="P57" s="42">
        <f t="shared" ca="1" si="28"/>
        <v>17.70674002144667</v>
      </c>
      <c r="Q57" s="42">
        <f t="shared" ca="1" si="28"/>
        <v>0.44668903407870542</v>
      </c>
      <c r="R57" s="42">
        <f t="shared" ca="1" si="28"/>
        <v>13.855278492367027</v>
      </c>
      <c r="S57" s="42">
        <f t="shared" ca="1" si="23"/>
        <v>0</v>
      </c>
      <c r="T57" s="51">
        <f t="shared" ca="1" si="24"/>
        <v>39.981145960762248</v>
      </c>
      <c r="V57" s="42">
        <f t="shared" ca="1" si="29"/>
        <v>4.0717843254626187</v>
      </c>
      <c r="W57" s="42">
        <f t="shared" ca="1" si="29"/>
        <v>0</v>
      </c>
      <c r="X57" s="42">
        <f t="shared" ca="1" si="29"/>
        <v>0.1120481822896226</v>
      </c>
      <c r="Y57" s="42">
        <f t="shared" ca="1" si="29"/>
        <v>1.1765945349651794E-2</v>
      </c>
      <c r="Z57" s="42">
        <f t="shared" ca="1" si="29"/>
        <v>7.6367289236941818E-2</v>
      </c>
      <c r="AA57" s="42">
        <f t="shared" ca="1" si="29"/>
        <v>8.0191693725149091E-3</v>
      </c>
      <c r="AB57" s="42">
        <f t="shared" ca="1" si="29"/>
        <v>2.1686555293582503</v>
      </c>
      <c r="AC57" s="42">
        <f t="shared" ca="1" si="29"/>
        <v>0.22772598286953702</v>
      </c>
      <c r="AD57" s="42">
        <f t="shared" ca="1" si="29"/>
        <v>2.1368317600339406</v>
      </c>
      <c r="AE57" s="42">
        <f t="shared" ca="1" si="29"/>
        <v>15.949502498579402</v>
      </c>
      <c r="AF57" s="42">
        <f t="shared" ca="1" si="29"/>
        <v>0.40138720202060985</v>
      </c>
      <c r="AG57" s="42">
        <f t="shared" ca="1" si="29"/>
        <v>7.498159263626806</v>
      </c>
      <c r="AH57" s="42">
        <f t="shared" ca="1" si="25"/>
        <v>0</v>
      </c>
      <c r="AI57" s="51">
        <f t="shared" ca="1" si="26"/>
        <v>32.662247148199896</v>
      </c>
    </row>
    <row r="58" spans="4:35" ht="12" customHeight="1" x14ac:dyDescent="0.2">
      <c r="D58" s="347">
        <f t="shared" si="27"/>
        <v>47</v>
      </c>
      <c r="E58" s="43">
        <f t="shared" si="22"/>
        <v>81.75</v>
      </c>
      <c r="G58" s="42">
        <f t="shared" ca="1" si="28"/>
        <v>2.0834319479671954</v>
      </c>
      <c r="H58" s="42">
        <f t="shared" ca="1" si="28"/>
        <v>0</v>
      </c>
      <c r="I58" s="42">
        <f t="shared" ca="1" si="28"/>
        <v>9.7438627342241374E-2</v>
      </c>
      <c r="J58" s="42">
        <f t="shared" ca="1" si="28"/>
        <v>1.0231826527279993E-2</v>
      </c>
      <c r="K58" s="42">
        <f t="shared" ca="1" si="28"/>
        <v>6.641003615624648E-2</v>
      </c>
      <c r="L58" s="42">
        <f t="shared" ca="1" si="28"/>
        <v>6.9735790430879002E-3</v>
      </c>
      <c r="M58" s="42">
        <f t="shared" ca="1" si="28"/>
        <v>1.8858924227135851</v>
      </c>
      <c r="N58" s="42">
        <f t="shared" ca="1" si="28"/>
        <v>0.19803362018372744</v>
      </c>
      <c r="O58" s="42">
        <f t="shared" ca="1" si="28"/>
        <v>3.3156652680858913</v>
      </c>
      <c r="P58" s="42">
        <f t="shared" ca="1" si="28"/>
        <v>17.068759691547573</v>
      </c>
      <c r="Q58" s="42">
        <f t="shared" ca="1" si="28"/>
        <v>0.43060723955896196</v>
      </c>
      <c r="R58" s="42">
        <f t="shared" ca="1" si="28"/>
        <v>13.420517021155359</v>
      </c>
      <c r="S58" s="42">
        <f t="shared" ca="1" si="23"/>
        <v>0</v>
      </c>
      <c r="T58" s="51">
        <f t="shared" ca="1" si="24"/>
        <v>38.583961280281144</v>
      </c>
      <c r="V58" s="42">
        <f t="shared" ca="1" si="29"/>
        <v>3.8780833093061213</v>
      </c>
      <c r="W58" s="42">
        <f t="shared" ca="1" si="29"/>
        <v>0</v>
      </c>
      <c r="X58" s="42">
        <f t="shared" ca="1" si="29"/>
        <v>0.10771433893725341</v>
      </c>
      <c r="Y58" s="42">
        <f t="shared" ca="1" si="29"/>
        <v>1.1310857518195347E-2</v>
      </c>
      <c r="Z58" s="42">
        <f t="shared" ca="1" si="29"/>
        <v>7.3413525400394267E-2</v>
      </c>
      <c r="AA58" s="42">
        <f t="shared" ca="1" si="29"/>
        <v>7.7090008062528047E-3</v>
      </c>
      <c r="AB58" s="42">
        <f t="shared" ca="1" si="29"/>
        <v>2.0847754238765357</v>
      </c>
      <c r="AC58" s="42">
        <f t="shared" ca="1" si="29"/>
        <v>0.21891790832638502</v>
      </c>
      <c r="AD58" s="42">
        <f t="shared" ca="1" si="29"/>
        <v>2.0903934986301733</v>
      </c>
      <c r="AE58" s="42">
        <f t="shared" ca="1" si="29"/>
        <v>15.411482294365358</v>
      </c>
      <c r="AF58" s="42">
        <f t="shared" ca="1" si="29"/>
        <v>0.38787327508809932</v>
      </c>
      <c r="AG58" s="42">
        <f t="shared" ca="1" si="29"/>
        <v>7.3782907059278724</v>
      </c>
      <c r="AH58" s="42">
        <f t="shared" ca="1" si="25"/>
        <v>0</v>
      </c>
      <c r="AI58" s="51">
        <f t="shared" ca="1" si="26"/>
        <v>31.649964138182639</v>
      </c>
    </row>
    <row r="59" spans="4:35" ht="12" customHeight="1" x14ac:dyDescent="0.2">
      <c r="D59" s="347">
        <f t="shared" si="27"/>
        <v>48</v>
      </c>
      <c r="E59" s="43">
        <f t="shared" si="22"/>
        <v>82</v>
      </c>
      <c r="G59" s="42">
        <f t="shared" ca="1" si="28"/>
        <v>1.9843198994997693</v>
      </c>
      <c r="H59" s="42">
        <f t="shared" ca="1" si="28"/>
        <v>0</v>
      </c>
      <c r="I59" s="42">
        <f t="shared" ca="1" si="28"/>
        <v>9.36698580612286E-2</v>
      </c>
      <c r="J59" s="42">
        <f t="shared" ca="1" si="28"/>
        <v>9.8360759462199528E-3</v>
      </c>
      <c r="K59" s="42">
        <f t="shared" ca="1" si="28"/>
        <v>6.384140284270938E-2</v>
      </c>
      <c r="L59" s="42">
        <f t="shared" ca="1" si="28"/>
        <v>6.7038522302835584E-3</v>
      </c>
      <c r="M59" s="42">
        <f t="shared" ca="1" si="28"/>
        <v>1.8129491390910284</v>
      </c>
      <c r="N59" s="42">
        <f t="shared" ca="1" si="28"/>
        <v>0.19037399850736514</v>
      </c>
      <c r="O59" s="42">
        <f t="shared" ca="1" si="28"/>
        <v>3.2059489259594005</v>
      </c>
      <c r="P59" s="42">
        <f t="shared" ca="1" si="28"/>
        <v>16.453291964672587</v>
      </c>
      <c r="Q59" s="42">
        <f t="shared" ca="1" si="28"/>
        <v>0.41509230296317851</v>
      </c>
      <c r="R59" s="42">
        <f t="shared" ca="1" si="28"/>
        <v>12.997904807747364</v>
      </c>
      <c r="S59" s="42">
        <f t="shared" ca="1" si="23"/>
        <v>0</v>
      </c>
      <c r="T59" s="51">
        <f t="shared" ca="1" si="24"/>
        <v>37.233932227521137</v>
      </c>
      <c r="V59" s="42">
        <f t="shared" ca="1" si="29"/>
        <v>3.6935969471344703</v>
      </c>
      <c r="W59" s="42">
        <f t="shared" ca="1" si="29"/>
        <v>0</v>
      </c>
      <c r="X59" s="42">
        <f t="shared" ca="1" si="29"/>
        <v>0.10354812167094538</v>
      </c>
      <c r="Y59" s="42">
        <f t="shared" ca="1" si="29"/>
        <v>1.087337175391833E-2</v>
      </c>
      <c r="Z59" s="42">
        <f t="shared" ca="1" si="29"/>
        <v>7.0574008395310708E-2</v>
      </c>
      <c r="AA59" s="42">
        <f t="shared" ca="1" si="29"/>
        <v>7.4108290625003702E-3</v>
      </c>
      <c r="AB59" s="42">
        <f t="shared" ca="1" si="29"/>
        <v>2.004139665879741</v>
      </c>
      <c r="AC59" s="42">
        <f t="shared" ca="1" si="29"/>
        <v>0.21045051597491854</v>
      </c>
      <c r="AD59" s="42">
        <f t="shared" ca="1" si="29"/>
        <v>2.0440287839975237</v>
      </c>
      <c r="AE59" s="42">
        <f t="shared" ca="1" si="29"/>
        <v>14.890632211332317</v>
      </c>
      <c r="AF59" s="42">
        <f t="shared" ca="1" si="29"/>
        <v>0.37478925201649216</v>
      </c>
      <c r="AG59" s="42">
        <f t="shared" ca="1" si="29"/>
        <v>7.2552076822656337</v>
      </c>
      <c r="AH59" s="42">
        <f t="shared" ca="1" si="25"/>
        <v>0</v>
      </c>
      <c r="AI59" s="51">
        <f t="shared" ca="1" si="26"/>
        <v>30.665251389483771</v>
      </c>
    </row>
    <row r="60" spans="4:35" ht="12" customHeight="1" x14ac:dyDescent="0.2">
      <c r="D60" s="347">
        <f t="shared" si="27"/>
        <v>49</v>
      </c>
      <c r="E60" s="43">
        <f t="shared" si="22"/>
        <v>82.25</v>
      </c>
      <c r="G60" s="42">
        <f t="shared" ca="1" si="28"/>
        <v>1.8899227629645492</v>
      </c>
      <c r="H60" s="42">
        <f t="shared" ca="1" si="28"/>
        <v>0</v>
      </c>
      <c r="I60" s="42">
        <f t="shared" ca="1" si="28"/>
        <v>9.0046858710906355E-2</v>
      </c>
      <c r="J60" s="42">
        <f t="shared" ca="1" si="28"/>
        <v>9.4556323594931126E-3</v>
      </c>
      <c r="K60" s="42">
        <f t="shared" ca="1" si="28"/>
        <v>6.1372120132025587E-2</v>
      </c>
      <c r="L60" s="42">
        <f t="shared" ca="1" si="28"/>
        <v>6.4445580156678268E-3</v>
      </c>
      <c r="M60" s="42">
        <f t="shared" ca="1" si="28"/>
        <v>1.742827184291005</v>
      </c>
      <c r="N60" s="42">
        <f t="shared" ca="1" si="28"/>
        <v>0.18301063864641304</v>
      </c>
      <c r="O60" s="42">
        <f t="shared" ca="1" si="28"/>
        <v>3.0995948179446473</v>
      </c>
      <c r="P60" s="42">
        <f t="shared" ca="1" si="28"/>
        <v>15.859565913988048</v>
      </c>
      <c r="Q60" s="42">
        <f t="shared" ca="1" si="28"/>
        <v>0.40012484658293773</v>
      </c>
      <c r="R60" s="42">
        <f t="shared" ca="1" si="28"/>
        <v>12.587187260185425</v>
      </c>
      <c r="S60" s="42">
        <f t="shared" ca="1" si="23"/>
        <v>0</v>
      </c>
      <c r="T60" s="51">
        <f t="shared" ca="1" si="24"/>
        <v>35.929552593821121</v>
      </c>
      <c r="V60" s="42">
        <f t="shared" ca="1" si="29"/>
        <v>3.5178868837456894</v>
      </c>
      <c r="W60" s="42">
        <f t="shared" ca="1" si="29"/>
        <v>0</v>
      </c>
      <c r="X60" s="42">
        <f t="shared" ca="1" si="29"/>
        <v>9.9543046983042602E-2</v>
      </c>
      <c r="Y60" s="42">
        <f t="shared" ca="1" si="29"/>
        <v>1.0452807234921934E-2</v>
      </c>
      <c r="Z60" s="42">
        <f t="shared" ca="1" si="29"/>
        <v>6.7844319337829639E-2</v>
      </c>
      <c r="AA60" s="42">
        <f t="shared" ca="1" si="29"/>
        <v>7.1241901219241104E-3</v>
      </c>
      <c r="AB60" s="42">
        <f t="shared" ca="1" si="29"/>
        <v>1.9266227692203874</v>
      </c>
      <c r="AC60" s="42">
        <f t="shared" ca="1" si="29"/>
        <v>0.20231062873233985</v>
      </c>
      <c r="AD60" s="42">
        <f t="shared" ca="1" si="29"/>
        <v>1.997816718683268</v>
      </c>
      <c r="AE60" s="42">
        <f t="shared" ca="1" si="29"/>
        <v>14.386456072793539</v>
      </c>
      <c r="AF60" s="42">
        <f t="shared" ca="1" si="29"/>
        <v>0.36212278624090272</v>
      </c>
      <c r="AG60" s="42">
        <f t="shared" ca="1" si="29"/>
        <v>7.1293967654271304</v>
      </c>
      <c r="AH60" s="42">
        <f t="shared" ca="1" si="25"/>
        <v>0</v>
      </c>
      <c r="AI60" s="51">
        <f t="shared" ca="1" si="26"/>
        <v>29.707576988520977</v>
      </c>
    </row>
    <row r="61" spans="4:35" ht="12" customHeight="1" x14ac:dyDescent="0.2">
      <c r="D61" s="347">
        <f t="shared" si="27"/>
        <v>50</v>
      </c>
      <c r="E61" s="43">
        <f t="shared" si="22"/>
        <v>82.5</v>
      </c>
      <c r="G61" s="42">
        <f t="shared" ref="G61:R70" ca="1" si="30">AVERAGE(OFFSET(C.Trace.Markov.Root, $D61, (G$2-1)*C.Trace.Markov.NumCols+G$3-1, 2))*G$6</f>
        <v>1.8000162427801987</v>
      </c>
      <c r="H61" s="42">
        <f t="shared" ca="1" si="30"/>
        <v>0</v>
      </c>
      <c r="I61" s="42">
        <f t="shared" ca="1" si="30"/>
        <v>8.6563991144325003E-2</v>
      </c>
      <c r="J61" s="42">
        <f t="shared" ca="1" si="30"/>
        <v>9.0899037184511179E-3</v>
      </c>
      <c r="K61" s="42">
        <f t="shared" ca="1" si="30"/>
        <v>5.8998345302340417E-2</v>
      </c>
      <c r="L61" s="42">
        <f t="shared" ca="1" si="30"/>
        <v>6.195292883989967E-3</v>
      </c>
      <c r="M61" s="42">
        <f t="shared" ca="1" si="30"/>
        <v>1.6754174338430612</v>
      </c>
      <c r="N61" s="42">
        <f t="shared" ca="1" si="30"/>
        <v>0.17593208169499114</v>
      </c>
      <c r="O61" s="42">
        <f t="shared" ca="1" si="30"/>
        <v>2.9965148286136527</v>
      </c>
      <c r="P61" s="42">
        <f t="shared" ca="1" si="30"/>
        <v>15.286835823853444</v>
      </c>
      <c r="Q61" s="42">
        <f t="shared" ca="1" si="30"/>
        <v>0.38568612237792582</v>
      </c>
      <c r="R61" s="42">
        <f t="shared" ca="1" si="30"/>
        <v>12.188109698641556</v>
      </c>
      <c r="S61" s="42">
        <f t="shared" ca="1" si="23"/>
        <v>0</v>
      </c>
      <c r="T61" s="51">
        <f t="shared" ca="1" si="24"/>
        <v>34.669359764853937</v>
      </c>
      <c r="V61" s="42">
        <f t="shared" ref="V61:AG70" ca="1" si="31">AVERAGE(OFFSET(C.Trace.Markov.Root, $D61, (V$2-1)*C.Trace.Markov.NumCols+V$3-1, 2))*V$6</f>
        <v>3.3505356171660834</v>
      </c>
      <c r="W61" s="42">
        <f t="shared" ca="1" si="31"/>
        <v>0</v>
      </c>
      <c r="X61" s="42">
        <f t="shared" ca="1" si="31"/>
        <v>9.5692882137991805E-2</v>
      </c>
      <c r="Y61" s="42">
        <f t="shared" ca="1" si="31"/>
        <v>1.0048509474628913E-2</v>
      </c>
      <c r="Z61" s="42">
        <f t="shared" ca="1" si="31"/>
        <v>6.5220210259719844E-2</v>
      </c>
      <c r="AA61" s="42">
        <f t="shared" ca="1" si="31"/>
        <v>6.8486379142288622E-3</v>
      </c>
      <c r="AB61" s="42">
        <f t="shared" ca="1" si="31"/>
        <v>1.8521041013621451</v>
      </c>
      <c r="AC61" s="42">
        <f t="shared" ca="1" si="31"/>
        <v>0.1944855792272947</v>
      </c>
      <c r="AD61" s="42">
        <f t="shared" ca="1" si="31"/>
        <v>1.9518294473194895</v>
      </c>
      <c r="AE61" s="42">
        <f t="shared" ca="1" si="31"/>
        <v>13.898469144684244</v>
      </c>
      <c r="AF61" s="42">
        <f t="shared" ca="1" si="31"/>
        <v>0.34986181132374</v>
      </c>
      <c r="AG61" s="42">
        <f t="shared" ca="1" si="31"/>
        <v>7.0013089941553748</v>
      </c>
      <c r="AH61" s="42">
        <f t="shared" ca="1" si="25"/>
        <v>0</v>
      </c>
      <c r="AI61" s="51">
        <f t="shared" ca="1" si="26"/>
        <v>28.776404935024942</v>
      </c>
    </row>
    <row r="62" spans="4:35" ht="12" customHeight="1" x14ac:dyDescent="0.2">
      <c r="D62" s="347">
        <f t="shared" si="27"/>
        <v>51</v>
      </c>
      <c r="E62" s="43">
        <f t="shared" si="22"/>
        <v>82.75</v>
      </c>
      <c r="G62" s="42">
        <f t="shared" ca="1" si="30"/>
        <v>1.7143867134496855</v>
      </c>
      <c r="H62" s="42">
        <f t="shared" ca="1" si="30"/>
        <v>0</v>
      </c>
      <c r="I62" s="42">
        <f t="shared" ca="1" si="30"/>
        <v>8.3215835289622841E-2</v>
      </c>
      <c r="J62" s="42">
        <f t="shared" ca="1" si="30"/>
        <v>8.7383208726132533E-3</v>
      </c>
      <c r="K62" s="42">
        <f t="shared" ca="1" si="30"/>
        <v>5.6716384262530825E-2</v>
      </c>
      <c r="L62" s="42">
        <f t="shared" ca="1" si="30"/>
        <v>5.9556689264192242E-3</v>
      </c>
      <c r="M62" s="42">
        <f t="shared" ca="1" si="30"/>
        <v>1.6106149840479831</v>
      </c>
      <c r="N62" s="42">
        <f t="shared" ca="1" si="30"/>
        <v>0.16912731193368449</v>
      </c>
      <c r="O62" s="42">
        <f t="shared" ca="1" si="30"/>
        <v>2.8966222560095094</v>
      </c>
      <c r="P62" s="42">
        <f t="shared" ca="1" si="30"/>
        <v>14.73438042838872</v>
      </c>
      <c r="Q62" s="42">
        <f t="shared" ca="1" si="30"/>
        <v>0.37175799541460541</v>
      </c>
      <c r="R62" s="42">
        <f t="shared" ca="1" si="30"/>
        <v>11.800417817166228</v>
      </c>
      <c r="S62" s="42">
        <f t="shared" ca="1" si="23"/>
        <v>0</v>
      </c>
      <c r="T62" s="51">
        <f t="shared" ca="1" si="24"/>
        <v>33.451933715761598</v>
      </c>
      <c r="V62" s="42">
        <f t="shared" ca="1" si="31"/>
        <v>3.1911455066302383</v>
      </c>
      <c r="W62" s="42">
        <f t="shared" ca="1" si="31"/>
        <v>0</v>
      </c>
      <c r="X62" s="42">
        <f t="shared" ca="1" si="31"/>
        <v>9.19916354723955E-2</v>
      </c>
      <c r="Y62" s="42">
        <f t="shared" ca="1" si="31"/>
        <v>9.6598493009960231E-3</v>
      </c>
      <c r="Z62" s="42">
        <f t="shared" ca="1" si="31"/>
        <v>6.2697597497307911E-2</v>
      </c>
      <c r="AA62" s="42">
        <f t="shared" ca="1" si="31"/>
        <v>6.5837436224322901E-3</v>
      </c>
      <c r="AB62" s="42">
        <f t="shared" ca="1" si="31"/>
        <v>1.7804676956405718</v>
      </c>
      <c r="AC62" s="42">
        <f t="shared" ca="1" si="31"/>
        <v>0.18696319004286649</v>
      </c>
      <c r="AD62" s="42">
        <f t="shared" ca="1" si="31"/>
        <v>1.9061326111961117</v>
      </c>
      <c r="AE62" s="42">
        <f t="shared" ca="1" si="31"/>
        <v>13.42619805048535</v>
      </c>
      <c r="AF62" s="42">
        <f t="shared" ca="1" si="31"/>
        <v>0.33799453909861615</v>
      </c>
      <c r="AG62" s="42">
        <f t="shared" ca="1" si="31"/>
        <v>6.8713620187596476</v>
      </c>
      <c r="AH62" s="42">
        <f t="shared" ca="1" si="25"/>
        <v>0</v>
      </c>
      <c r="AI62" s="51">
        <f t="shared" ca="1" si="26"/>
        <v>27.871196437746534</v>
      </c>
    </row>
    <row r="63" spans="4:35" ht="12" customHeight="1" x14ac:dyDescent="0.2">
      <c r="D63" s="347">
        <f t="shared" si="27"/>
        <v>52</v>
      </c>
      <c r="E63" s="43">
        <f t="shared" si="22"/>
        <v>83</v>
      </c>
      <c r="G63" s="42">
        <f t="shared" ca="1" si="30"/>
        <v>1.6328307119680321</v>
      </c>
      <c r="H63" s="42">
        <f t="shared" ca="1" si="30"/>
        <v>0</v>
      </c>
      <c r="I63" s="42">
        <f t="shared" ca="1" si="30"/>
        <v>7.9997180714600422E-2</v>
      </c>
      <c r="J63" s="42">
        <f t="shared" ca="1" si="30"/>
        <v>8.4003366853877982E-3</v>
      </c>
      <c r="K63" s="42">
        <f t="shared" ca="1" si="30"/>
        <v>5.4522685802977082E-2</v>
      </c>
      <c r="L63" s="42">
        <f t="shared" ca="1" si="30"/>
        <v>5.7253132378580042E-3</v>
      </c>
      <c r="M63" s="42">
        <f t="shared" ca="1" si="30"/>
        <v>1.5483189887129201</v>
      </c>
      <c r="N63" s="42">
        <f t="shared" ca="1" si="30"/>
        <v>0.16258573971462295</v>
      </c>
      <c r="O63" s="42">
        <f t="shared" ca="1" si="30"/>
        <v>2.7998318518657666</v>
      </c>
      <c r="P63" s="42">
        <f t="shared" ca="1" si="30"/>
        <v>14.201502168412958</v>
      </c>
      <c r="Q63" s="42">
        <f t="shared" ca="1" si="30"/>
        <v>0.35832292534906074</v>
      </c>
      <c r="R63" s="42">
        <f t="shared" ca="1" si="30"/>
        <v>11.423858106493338</v>
      </c>
      <c r="S63" s="42">
        <f t="shared" ca="1" si="23"/>
        <v>0</v>
      </c>
      <c r="T63" s="51">
        <f t="shared" ca="1" si="24"/>
        <v>32.275896008957517</v>
      </c>
      <c r="V63" s="42">
        <f t="shared" ca="1" si="31"/>
        <v>3.0393378277529228</v>
      </c>
      <c r="W63" s="42">
        <f t="shared" ca="1" si="31"/>
        <v>0</v>
      </c>
      <c r="X63" s="42">
        <f t="shared" ca="1" si="31"/>
        <v>8.8433547070752752E-2</v>
      </c>
      <c r="Y63" s="42">
        <f t="shared" ca="1" si="31"/>
        <v>9.2862218773396132E-3</v>
      </c>
      <c r="Z63" s="42">
        <f t="shared" ca="1" si="31"/>
        <v>6.0272555336458637E-2</v>
      </c>
      <c r="AA63" s="42">
        <f t="shared" ca="1" si="31"/>
        <v>6.3290950155011167E-3</v>
      </c>
      <c r="AB63" s="42">
        <f t="shared" ca="1" si="31"/>
        <v>1.7116020707951551</v>
      </c>
      <c r="AC63" s="42">
        <f t="shared" ca="1" si="31"/>
        <v>0.17973175476497891</v>
      </c>
      <c r="AD63" s="42">
        <f t="shared" ca="1" si="31"/>
        <v>1.8607857764282421</v>
      </c>
      <c r="AE63" s="42">
        <f t="shared" ca="1" si="31"/>
        <v>12.969180672971783</v>
      </c>
      <c r="AF63" s="42">
        <f t="shared" ca="1" si="31"/>
        <v>0.32650945760139205</v>
      </c>
      <c r="AG63" s="42">
        <f t="shared" ca="1" si="31"/>
        <v>6.7399421281497167</v>
      </c>
      <c r="AH63" s="42">
        <f t="shared" ca="1" si="25"/>
        <v>0</v>
      </c>
      <c r="AI63" s="51">
        <f t="shared" ca="1" si="26"/>
        <v>26.991411107764243</v>
      </c>
    </row>
    <row r="64" spans="4:35" ht="12" customHeight="1" x14ac:dyDescent="0.2">
      <c r="D64" s="347">
        <f t="shared" si="27"/>
        <v>53</v>
      </c>
      <c r="E64" s="43">
        <f t="shared" si="22"/>
        <v>83.25</v>
      </c>
      <c r="G64" s="42">
        <f t="shared" ca="1" si="30"/>
        <v>1.5551544543770042</v>
      </c>
      <c r="H64" s="42">
        <f t="shared" ca="1" si="30"/>
        <v>0</v>
      </c>
      <c r="I64" s="42">
        <f t="shared" ca="1" si="30"/>
        <v>7.6903018518189079E-2</v>
      </c>
      <c r="J64" s="42">
        <f t="shared" ca="1" si="30"/>
        <v>8.0754251825464179E-3</v>
      </c>
      <c r="K64" s="42">
        <f t="shared" ca="1" si="30"/>
        <v>5.2413836069131463E-2</v>
      </c>
      <c r="L64" s="42">
        <f t="shared" ca="1" si="30"/>
        <v>5.5038673365781308E-3</v>
      </c>
      <c r="M64" s="42">
        <f t="shared" ca="1" si="30"/>
        <v>1.4884325022134406</v>
      </c>
      <c r="N64" s="42">
        <f t="shared" ca="1" si="30"/>
        <v>0.15629718498048412</v>
      </c>
      <c r="O64" s="42">
        <f t="shared" ca="1" si="30"/>
        <v>2.7060598557565356</v>
      </c>
      <c r="P64" s="42">
        <f t="shared" ca="1" si="30"/>
        <v>13.687526467870111</v>
      </c>
      <c r="Q64" s="42">
        <f t="shared" ca="1" si="30"/>
        <v>0.34536394835661499</v>
      </c>
      <c r="R64" s="42">
        <f t="shared" ca="1" si="30"/>
        <v>11.058178240314634</v>
      </c>
      <c r="S64" s="42">
        <f t="shared" ca="1" si="23"/>
        <v>0</v>
      </c>
      <c r="T64" s="51">
        <f t="shared" ca="1" si="24"/>
        <v>31.13990880097527</v>
      </c>
      <c r="V64" s="42">
        <f t="shared" ca="1" si="31"/>
        <v>2.8947518726479124</v>
      </c>
      <c r="W64" s="42">
        <f t="shared" ca="1" si="31"/>
        <v>0</v>
      </c>
      <c r="X64" s="42">
        <f t="shared" ca="1" si="31"/>
        <v>8.5013079801823793E-2</v>
      </c>
      <c r="Y64" s="42">
        <f t="shared" ca="1" si="31"/>
        <v>8.9270457610854548E-3</v>
      </c>
      <c r="Z64" s="42">
        <f t="shared" ca="1" si="31"/>
        <v>5.7941309903341225E-2</v>
      </c>
      <c r="AA64" s="42">
        <f t="shared" ca="1" si="31"/>
        <v>6.0842958068349435E-3</v>
      </c>
      <c r="AB64" s="42">
        <f t="shared" ca="1" si="31"/>
        <v>1.6454000574811136</v>
      </c>
      <c r="AC64" s="42">
        <f t="shared" ca="1" si="31"/>
        <v>0.17278001976481067</v>
      </c>
      <c r="AD64" s="42">
        <f t="shared" ca="1" si="31"/>
        <v>1.8158428371601905</v>
      </c>
      <c r="AE64" s="42">
        <f t="shared" ca="1" si="31"/>
        <v>12.526966044021195</v>
      </c>
      <c r="AF64" s="42">
        <f t="shared" ca="1" si="31"/>
        <v>0.31539532868080966</v>
      </c>
      <c r="AG64" s="42">
        <f t="shared" ca="1" si="31"/>
        <v>6.6074061645253757</v>
      </c>
      <c r="AH64" s="42">
        <f t="shared" ca="1" si="25"/>
        <v>0</v>
      </c>
      <c r="AI64" s="51">
        <f t="shared" ca="1" si="26"/>
        <v>26.136508055554494</v>
      </c>
    </row>
    <row r="65" spans="4:35" ht="12" customHeight="1" x14ac:dyDescent="0.2">
      <c r="D65" s="347">
        <f t="shared" si="27"/>
        <v>54</v>
      </c>
      <c r="E65" s="43">
        <f t="shared" si="22"/>
        <v>83.5</v>
      </c>
      <c r="G65" s="42">
        <f t="shared" ca="1" si="30"/>
        <v>1.4811733753180332</v>
      </c>
      <c r="H65" s="42">
        <f t="shared" ca="1" si="30"/>
        <v>0</v>
      </c>
      <c r="I65" s="42">
        <f t="shared" ca="1" si="30"/>
        <v>7.3928533535551774E-2</v>
      </c>
      <c r="J65" s="42">
        <f t="shared" ca="1" si="30"/>
        <v>7.7630807336973246E-3</v>
      </c>
      <c r="K65" s="42">
        <f t="shared" ca="1" si="30"/>
        <v>5.038655324884566E-2</v>
      </c>
      <c r="L65" s="42">
        <f t="shared" ca="1" si="30"/>
        <v>5.290986606347658E-3</v>
      </c>
      <c r="M65" s="42">
        <f t="shared" ca="1" si="30"/>
        <v>1.4308623286258328</v>
      </c>
      <c r="N65" s="42">
        <f t="shared" ca="1" si="30"/>
        <v>0.15025186142217703</v>
      </c>
      <c r="O65" s="42">
        <f t="shared" ca="1" si="30"/>
        <v>2.6152240236263369</v>
      </c>
      <c r="P65" s="42">
        <f t="shared" ca="1" si="30"/>
        <v>13.191801029319722</v>
      </c>
      <c r="Q65" s="42">
        <f t="shared" ca="1" si="30"/>
        <v>0.33286465953534861</v>
      </c>
      <c r="R65" s="42">
        <f t="shared" ca="1" si="30"/>
        <v>10.703127427368806</v>
      </c>
      <c r="S65" s="42">
        <f t="shared" ca="1" si="23"/>
        <v>0</v>
      </c>
      <c r="T65" s="51">
        <f t="shared" ca="1" si="24"/>
        <v>30.042673859340699</v>
      </c>
      <c r="V65" s="42">
        <f t="shared" ca="1" si="31"/>
        <v>2.7570440928555442</v>
      </c>
      <c r="W65" s="42">
        <f t="shared" ca="1" si="31"/>
        <v>0</v>
      </c>
      <c r="X65" s="42">
        <f t="shared" ca="1" si="31"/>
        <v>8.1724910701693285E-2</v>
      </c>
      <c r="Y65" s="42">
        <f t="shared" ca="1" si="31"/>
        <v>8.5817619989222785E-3</v>
      </c>
      <c r="Z65" s="42">
        <f t="shared" ca="1" si="31"/>
        <v>5.5700233291490688E-2</v>
      </c>
      <c r="AA65" s="42">
        <f t="shared" ca="1" si="31"/>
        <v>5.8489650375612616E-3</v>
      </c>
      <c r="AB65" s="42">
        <f t="shared" ca="1" si="31"/>
        <v>1.5817586314914363</v>
      </c>
      <c r="AC65" s="42">
        <f t="shared" ca="1" si="31"/>
        <v>0.16609716668579072</v>
      </c>
      <c r="AD65" s="42">
        <f t="shared" ca="1" si="31"/>
        <v>1.7713523951714341</v>
      </c>
      <c r="AE65" s="42">
        <f t="shared" ca="1" si="31"/>
        <v>12.099114223675114</v>
      </c>
      <c r="AF65" s="42">
        <f t="shared" ca="1" si="31"/>
        <v>0.30464118531876999</v>
      </c>
      <c r="AG65" s="42">
        <f t="shared" ca="1" si="31"/>
        <v>6.4740833316326656</v>
      </c>
      <c r="AH65" s="42">
        <f t="shared" ca="1" si="25"/>
        <v>0</v>
      </c>
      <c r="AI65" s="51">
        <f t="shared" ca="1" si="26"/>
        <v>25.305946897860423</v>
      </c>
    </row>
    <row r="66" spans="4:35" ht="12" customHeight="1" x14ac:dyDescent="0.2">
      <c r="D66" s="347">
        <f t="shared" si="27"/>
        <v>55</v>
      </c>
      <c r="E66" s="43">
        <f t="shared" si="22"/>
        <v>83.75</v>
      </c>
      <c r="G66" s="42">
        <f t="shared" ca="1" si="30"/>
        <v>1.4107116894893137</v>
      </c>
      <c r="H66" s="42">
        <f t="shared" ca="1" si="30"/>
        <v>0</v>
      </c>
      <c r="I66" s="42">
        <f t="shared" ca="1" si="30"/>
        <v>7.1069096844677451E-2</v>
      </c>
      <c r="J66" s="42">
        <f t="shared" ca="1" si="30"/>
        <v>7.4628172654184772E-3</v>
      </c>
      <c r="K66" s="42">
        <f t="shared" ca="1" si="30"/>
        <v>4.843768246518327E-2</v>
      </c>
      <c r="L66" s="42">
        <f t="shared" ca="1" si="30"/>
        <v>5.0863397601358419E-3</v>
      </c>
      <c r="M66" s="42">
        <f t="shared" ca="1" si="30"/>
        <v>1.3755188766947186</v>
      </c>
      <c r="N66" s="42">
        <f t="shared" ca="1" si="30"/>
        <v>0.14444036124929549</v>
      </c>
      <c r="O66" s="42">
        <f t="shared" ca="1" si="30"/>
        <v>2.5272436511216423</v>
      </c>
      <c r="P66" s="42">
        <f t="shared" ca="1" si="30"/>
        <v>12.713695148166556</v>
      </c>
      <c r="Q66" s="42">
        <f t="shared" ca="1" si="30"/>
        <v>0.32080919577325628</v>
      </c>
      <c r="R66" s="42">
        <f t="shared" ca="1" si="30"/>
        <v>10.358456731555417</v>
      </c>
      <c r="S66" s="42">
        <f t="shared" ca="1" si="23"/>
        <v>0</v>
      </c>
      <c r="T66" s="51">
        <f t="shared" ca="1" si="24"/>
        <v>28.982931590385615</v>
      </c>
      <c r="V66" s="42">
        <f t="shared" ca="1" si="31"/>
        <v>2.6258872830425117</v>
      </c>
      <c r="W66" s="42">
        <f t="shared" ca="1" si="31"/>
        <v>0</v>
      </c>
      <c r="X66" s="42">
        <f t="shared" ca="1" si="31"/>
        <v>7.8563922690123036E-2</v>
      </c>
      <c r="Y66" s="42">
        <f t="shared" ca="1" si="31"/>
        <v>8.2498332569532692E-3</v>
      </c>
      <c r="Z66" s="42">
        <f t="shared" ca="1" si="31"/>
        <v>5.354583791602506E-2</v>
      </c>
      <c r="AA66" s="42">
        <f t="shared" ca="1" si="31"/>
        <v>5.6227364836836042E-3</v>
      </c>
      <c r="AB66" s="42">
        <f t="shared" ca="1" si="31"/>
        <v>1.5205787534296227</v>
      </c>
      <c r="AC66" s="42">
        <f t="shared" ca="1" si="31"/>
        <v>0.15967279560796838</v>
      </c>
      <c r="AD66" s="42">
        <f t="shared" ca="1" si="31"/>
        <v>1.7273581171779726</v>
      </c>
      <c r="AE66" s="42">
        <f t="shared" ca="1" si="31"/>
        <v>11.685196169560705</v>
      </c>
      <c r="AF66" s="42">
        <f t="shared" ca="1" si="31"/>
        <v>0.29423632868924054</v>
      </c>
      <c r="AG66" s="42">
        <f t="shared" ca="1" si="31"/>
        <v>6.3402769021973588</v>
      </c>
      <c r="AH66" s="42">
        <f t="shared" ca="1" si="25"/>
        <v>0</v>
      </c>
      <c r="AI66" s="51">
        <f t="shared" ca="1" si="26"/>
        <v>24.499188680052168</v>
      </c>
    </row>
    <row r="67" spans="4:35" ht="12" customHeight="1" x14ac:dyDescent="0.2">
      <c r="D67" s="347">
        <f t="shared" si="27"/>
        <v>56</v>
      </c>
      <c r="E67" s="43">
        <f t="shared" si="22"/>
        <v>84</v>
      </c>
      <c r="G67" s="42">
        <f t="shared" ca="1" si="30"/>
        <v>1.3436019739650558</v>
      </c>
      <c r="H67" s="42">
        <f t="shared" ca="1" si="30"/>
        <v>0</v>
      </c>
      <c r="I67" s="42">
        <f t="shared" ca="1" si="30"/>
        <v>6.8320258562808309E-2</v>
      </c>
      <c r="J67" s="42">
        <f t="shared" ca="1" si="30"/>
        <v>7.1741675048254865E-3</v>
      </c>
      <c r="K67" s="42">
        <f t="shared" ca="1" si="30"/>
        <v>4.6564190866770078E-2</v>
      </c>
      <c r="L67" s="42">
        <f t="shared" ca="1" si="30"/>
        <v>4.88960832456109E-3</v>
      </c>
      <c r="M67" s="42">
        <f t="shared" ca="1" si="30"/>
        <v>1.3223160204102822</v>
      </c>
      <c r="N67" s="42">
        <f t="shared" ca="1" si="30"/>
        <v>0.13885364054962465</v>
      </c>
      <c r="O67" s="42">
        <f t="shared" ca="1" si="30"/>
        <v>2.44203959211996</v>
      </c>
      <c r="P67" s="42">
        <f t="shared" ca="1" si="30"/>
        <v>12.25259904529716</v>
      </c>
      <c r="Q67" s="42">
        <f t="shared" ca="1" si="30"/>
        <v>0.30918221907111293</v>
      </c>
      <c r="R67" s="42">
        <f t="shared" ca="1" si="30"/>
        <v>10.023919362157512</v>
      </c>
      <c r="S67" s="42">
        <f t="shared" ca="1" si="23"/>
        <v>0</v>
      </c>
      <c r="T67" s="51">
        <f t="shared" ca="1" si="24"/>
        <v>27.959460078829672</v>
      </c>
      <c r="V67" s="42">
        <f t="shared" ca="1" si="31"/>
        <v>2.5009698035343186</v>
      </c>
      <c r="W67" s="42">
        <f t="shared" ca="1" si="31"/>
        <v>0</v>
      </c>
      <c r="X67" s="42">
        <f t="shared" ca="1" si="31"/>
        <v>7.5525196607302544E-2</v>
      </c>
      <c r="Y67" s="42">
        <f t="shared" ca="1" si="31"/>
        <v>7.9307429844919178E-3</v>
      </c>
      <c r="Z67" s="42">
        <f t="shared" ca="1" si="31"/>
        <v>5.1474771086232454E-2</v>
      </c>
      <c r="AA67" s="42">
        <f t="shared" ca="1" si="31"/>
        <v>5.4052580861602608E-3</v>
      </c>
      <c r="AB67" s="42">
        <f t="shared" ca="1" si="31"/>
        <v>1.4617652145836277</v>
      </c>
      <c r="AC67" s="42">
        <f t="shared" ca="1" si="31"/>
        <v>0.15349690886355818</v>
      </c>
      <c r="AD67" s="42">
        <f t="shared" ca="1" si="31"/>
        <v>1.683899071054364</v>
      </c>
      <c r="AE67" s="42">
        <f t="shared" ca="1" si="31"/>
        <v>11.284793597706646</v>
      </c>
      <c r="AF67" s="42">
        <f t="shared" ca="1" si="31"/>
        <v>0.28417032498274575</v>
      </c>
      <c r="AG67" s="42">
        <f t="shared" ca="1" si="31"/>
        <v>6.2062658298602473</v>
      </c>
      <c r="AH67" s="42">
        <f t="shared" ca="1" si="25"/>
        <v>0</v>
      </c>
      <c r="AI67" s="51">
        <f t="shared" ca="1" si="26"/>
        <v>23.715696719349694</v>
      </c>
    </row>
    <row r="68" spans="4:35" ht="12" customHeight="1" x14ac:dyDescent="0.2">
      <c r="D68" s="347">
        <f t="shared" si="27"/>
        <v>57</v>
      </c>
      <c r="E68" s="43">
        <f t="shared" si="22"/>
        <v>84.25</v>
      </c>
      <c r="G68" s="42">
        <f t="shared" ca="1" si="30"/>
        <v>1.2796847703844518</v>
      </c>
      <c r="H68" s="42">
        <f t="shared" ca="1" si="30"/>
        <v>0</v>
      </c>
      <c r="I68" s="42">
        <f t="shared" ca="1" si="30"/>
        <v>6.5677740921489633E-2</v>
      </c>
      <c r="J68" s="42">
        <f t="shared" ca="1" si="30"/>
        <v>6.8966822523970567E-3</v>
      </c>
      <c r="K68" s="42">
        <f t="shared" ca="1" si="30"/>
        <v>4.47631629080417E-2</v>
      </c>
      <c r="L68" s="42">
        <f t="shared" ca="1" si="30"/>
        <v>4.7004861442796302E-3</v>
      </c>
      <c r="M68" s="42">
        <f t="shared" ca="1" si="30"/>
        <v>1.2711709649781495</v>
      </c>
      <c r="N68" s="42">
        <f t="shared" ca="1" si="30"/>
        <v>0.1334830052149181</v>
      </c>
      <c r="O68" s="42">
        <f t="shared" ca="1" si="30"/>
        <v>2.3595342728277569</v>
      </c>
      <c r="P68" s="42">
        <f t="shared" ca="1" si="30"/>
        <v>11.807923217785897</v>
      </c>
      <c r="Q68" s="42">
        <f t="shared" ca="1" si="30"/>
        <v>0.29796890031297352</v>
      </c>
      <c r="R68" s="42">
        <f t="shared" ca="1" si="30"/>
        <v>9.6992709361368892</v>
      </c>
      <c r="S68" s="42">
        <f t="shared" ca="1" si="23"/>
        <v>0</v>
      </c>
      <c r="T68" s="51">
        <f t="shared" ca="1" si="24"/>
        <v>26.971074139867241</v>
      </c>
      <c r="V68" s="42">
        <f t="shared" ca="1" si="31"/>
        <v>2.3819948398330499</v>
      </c>
      <c r="W68" s="42">
        <f t="shared" ca="1" si="31"/>
        <v>0</v>
      </c>
      <c r="X68" s="42">
        <f t="shared" ca="1" si="31"/>
        <v>7.2604003558605523E-2</v>
      </c>
      <c r="Y68" s="42">
        <f t="shared" ca="1" si="31"/>
        <v>7.6239946102008892E-3</v>
      </c>
      <c r="Z68" s="42">
        <f t="shared" ca="1" si="31"/>
        <v>4.9483809788081617E-2</v>
      </c>
      <c r="AA68" s="42">
        <f t="shared" ca="1" si="31"/>
        <v>5.1961914030266227E-3</v>
      </c>
      <c r="AB68" s="42">
        <f t="shared" ca="1" si="31"/>
        <v>1.4052264887611527</v>
      </c>
      <c r="AC68" s="42">
        <f t="shared" ca="1" si="31"/>
        <v>0.14755989547847354</v>
      </c>
      <c r="AD68" s="42">
        <f t="shared" ca="1" si="31"/>
        <v>1.6410100421371101</v>
      </c>
      <c r="AE68" s="42">
        <f t="shared" ca="1" si="31"/>
        <v>10.897498835716032</v>
      </c>
      <c r="AF68" s="42">
        <f t="shared" ca="1" si="31"/>
        <v>0.274433002021571</v>
      </c>
      <c r="AG68" s="42">
        <f t="shared" ca="1" si="31"/>
        <v>6.0723062706671946</v>
      </c>
      <c r="AH68" s="42">
        <f t="shared" ca="1" si="25"/>
        <v>0</v>
      </c>
      <c r="AI68" s="51">
        <f t="shared" ca="1" si="26"/>
        <v>22.954937373974499</v>
      </c>
    </row>
    <row r="69" spans="4:35" ht="12" customHeight="1" x14ac:dyDescent="0.2">
      <c r="D69" s="347">
        <f t="shared" si="27"/>
        <v>58</v>
      </c>
      <c r="E69" s="43">
        <f t="shared" si="22"/>
        <v>84.5</v>
      </c>
      <c r="G69" s="42">
        <f t="shared" ca="1" si="30"/>
        <v>1.2188082060651224</v>
      </c>
      <c r="H69" s="42">
        <f t="shared" ca="1" si="30"/>
        <v>0</v>
      </c>
      <c r="I69" s="42">
        <f t="shared" ca="1" si="30"/>
        <v>6.3137431609465569E-2</v>
      </c>
      <c r="J69" s="42">
        <f t="shared" ca="1" si="30"/>
        <v>6.6299296829264E-3</v>
      </c>
      <c r="K69" s="42">
        <f t="shared" ca="1" si="30"/>
        <v>4.3031795812043687E-2</v>
      </c>
      <c r="L69" s="42">
        <f t="shared" ca="1" si="30"/>
        <v>4.5186789055436426E-3</v>
      </c>
      <c r="M69" s="42">
        <f t="shared" ca="1" si="30"/>
        <v>1.2220041179733367</v>
      </c>
      <c r="N69" s="42">
        <f t="shared" ca="1" si="30"/>
        <v>0.12832009741104353</v>
      </c>
      <c r="O69" s="42">
        <f t="shared" ca="1" si="30"/>
        <v>2.2796517017953031</v>
      </c>
      <c r="P69" s="42">
        <f t="shared" ca="1" si="30"/>
        <v>11.37909780732886</v>
      </c>
      <c r="Q69" s="42">
        <f t="shared" ca="1" si="30"/>
        <v>0.28715490347610256</v>
      </c>
      <c r="R69" s="42">
        <f t="shared" ca="1" si="30"/>
        <v>9.3842697143529445</v>
      </c>
      <c r="S69" s="42">
        <f t="shared" ca="1" si="23"/>
        <v>0</v>
      </c>
      <c r="T69" s="51">
        <f t="shared" ca="1" si="24"/>
        <v>26.016624384412694</v>
      </c>
      <c r="V69" s="42">
        <f t="shared" ca="1" si="31"/>
        <v>2.2686796973610144</v>
      </c>
      <c r="W69" s="42">
        <f t="shared" ca="1" si="31"/>
        <v>0</v>
      </c>
      <c r="X69" s="42">
        <f t="shared" ca="1" si="31"/>
        <v>6.9795797555438827E-2</v>
      </c>
      <c r="Y69" s="42">
        <f t="shared" ca="1" si="31"/>
        <v>7.3291107693229576E-3</v>
      </c>
      <c r="Z69" s="42">
        <f t="shared" ca="1" si="31"/>
        <v>4.7569855668536665E-2</v>
      </c>
      <c r="AA69" s="42">
        <f t="shared" ca="1" si="31"/>
        <v>4.9952110827085556E-3</v>
      </c>
      <c r="AB69" s="42">
        <f t="shared" ca="1" si="31"/>
        <v>1.3508745898557075</v>
      </c>
      <c r="AC69" s="42">
        <f t="shared" ca="1" si="31"/>
        <v>0.14185251621563694</v>
      </c>
      <c r="AD69" s="42">
        <f t="shared" ca="1" si="31"/>
        <v>1.5987218307087185</v>
      </c>
      <c r="AE69" s="42">
        <f t="shared" ca="1" si="31"/>
        <v>10.522914669193026</v>
      </c>
      <c r="AF69" s="42">
        <f t="shared" ca="1" si="31"/>
        <v>0.26501444568909943</v>
      </c>
      <c r="AG69" s="42">
        <f t="shared" ca="1" si="31"/>
        <v>5.9386330189086651</v>
      </c>
      <c r="AH69" s="42">
        <f t="shared" ca="1" si="25"/>
        <v>0</v>
      </c>
      <c r="AI69" s="51">
        <f t="shared" ca="1" si="26"/>
        <v>22.216380743007875</v>
      </c>
    </row>
    <row r="70" spans="4:35" ht="12" customHeight="1" x14ac:dyDescent="0.2">
      <c r="D70" s="347">
        <f t="shared" si="27"/>
        <v>59</v>
      </c>
      <c r="E70" s="43">
        <f t="shared" si="22"/>
        <v>84.75</v>
      </c>
      <c r="G70" s="42">
        <f t="shared" ca="1" si="30"/>
        <v>1.160827633140777</v>
      </c>
      <c r="H70" s="42">
        <f t="shared" ca="1" si="30"/>
        <v>0</v>
      </c>
      <c r="I70" s="42">
        <f t="shared" ca="1" si="30"/>
        <v>6.0695377373060973E-2</v>
      </c>
      <c r="J70" s="42">
        <f t="shared" ca="1" si="30"/>
        <v>6.3734946735107224E-3</v>
      </c>
      <c r="K70" s="42">
        <f t="shared" ca="1" si="30"/>
        <v>4.1367395208723227E-2</v>
      </c>
      <c r="L70" s="42">
        <f t="shared" ca="1" si="30"/>
        <v>4.3439036781873774E-3</v>
      </c>
      <c r="M70" s="42">
        <f t="shared" ca="1" si="30"/>
        <v>1.1747389654777562</v>
      </c>
      <c r="N70" s="42">
        <f t="shared" ca="1" si="30"/>
        <v>0.12335688257144098</v>
      </c>
      <c r="O70" s="42">
        <f t="shared" ca="1" si="30"/>
        <v>2.2023174761746693</v>
      </c>
      <c r="P70" s="42">
        <f t="shared" ca="1" si="30"/>
        <v>10.965571986060761</v>
      </c>
      <c r="Q70" s="42">
        <f t="shared" ca="1" si="30"/>
        <v>0.27672637027202401</v>
      </c>
      <c r="R70" s="42">
        <f t="shared" ca="1" si="30"/>
        <v>9.0786768134486788</v>
      </c>
      <c r="S70" s="42">
        <f t="shared" ca="1" si="23"/>
        <v>0</v>
      </c>
      <c r="T70" s="51">
        <f t="shared" ca="1" si="24"/>
        <v>25.094996298079586</v>
      </c>
      <c r="V70" s="42">
        <f t="shared" ca="1" si="31"/>
        <v>2.1607551297545227</v>
      </c>
      <c r="W70" s="42">
        <f t="shared" ca="1" si="31"/>
        <v>0</v>
      </c>
      <c r="X70" s="42">
        <f t="shared" ca="1" si="31"/>
        <v>6.7096208440731414E-2</v>
      </c>
      <c r="Y70" s="42">
        <f t="shared" ca="1" si="31"/>
        <v>7.0456325608013988E-3</v>
      </c>
      <c r="Z70" s="42">
        <f t="shared" ca="1" si="31"/>
        <v>4.5729930213870416E-2</v>
      </c>
      <c r="AA70" s="42">
        <f t="shared" ca="1" si="31"/>
        <v>4.8020043577071724E-3</v>
      </c>
      <c r="AB70" s="42">
        <f t="shared" ca="1" si="31"/>
        <v>1.2986249349217889</v>
      </c>
      <c r="AC70" s="42">
        <f t="shared" ca="1" si="31"/>
        <v>0.13636588919679071</v>
      </c>
      <c r="AD70" s="42">
        <f t="shared" ca="1" si="31"/>
        <v>1.5570615317036194</v>
      </c>
      <c r="AE70" s="42">
        <f t="shared" ca="1" si="31"/>
        <v>10.160654182257478</v>
      </c>
      <c r="AF70" s="42">
        <f t="shared" ca="1" si="31"/>
        <v>0.25590499619508766</v>
      </c>
      <c r="AG70" s="42">
        <f t="shared" ca="1" si="31"/>
        <v>5.8054608618582311</v>
      </c>
      <c r="AH70" s="42">
        <f t="shared" ca="1" si="25"/>
        <v>0</v>
      </c>
      <c r="AI70" s="51">
        <f t="shared" ca="1" si="26"/>
        <v>21.499501301460629</v>
      </c>
    </row>
    <row r="71" spans="4:35" ht="12" customHeight="1" x14ac:dyDescent="0.2">
      <c r="D71" s="347">
        <f t="shared" si="27"/>
        <v>60</v>
      </c>
      <c r="E71" s="43">
        <f t="shared" si="22"/>
        <v>85</v>
      </c>
      <c r="G71" s="42">
        <f t="shared" ref="G71:R80" ca="1" si="32">AVERAGE(OFFSET(C.Trace.Markov.Root, $D71, (G$2-1)*C.Trace.Markov.NumCols+G$3-1, 2))*G$6</f>
        <v>1.0888321088961295</v>
      </c>
      <c r="H71" s="42">
        <f t="shared" ca="1" si="32"/>
        <v>0</v>
      </c>
      <c r="I71" s="42">
        <f t="shared" ca="1" si="32"/>
        <v>5.834777786409015E-2</v>
      </c>
      <c r="J71" s="42">
        <f t="shared" ca="1" si="32"/>
        <v>6.1269781575329692E-3</v>
      </c>
      <c r="K71" s="42">
        <f t="shared" ca="1" si="32"/>
        <v>3.9767370941924556E-2</v>
      </c>
      <c r="L71" s="42">
        <f t="shared" ca="1" si="32"/>
        <v>4.1758884753285283E-3</v>
      </c>
      <c r="M71" s="42">
        <f t="shared" ca="1" si="32"/>
        <v>1.1293019530085251</v>
      </c>
      <c r="N71" s="42">
        <f t="shared" ca="1" si="32"/>
        <v>0.11858563689365367</v>
      </c>
      <c r="O71" s="42">
        <f t="shared" ca="1" si="32"/>
        <v>2.0943699329368251</v>
      </c>
      <c r="P71" s="42">
        <f t="shared" ca="1" si="32"/>
        <v>10.566813359407504</v>
      </c>
      <c r="Q71" s="42">
        <f t="shared" ca="1" si="32"/>
        <v>0.26666990521030559</v>
      </c>
      <c r="R71" s="42">
        <f t="shared" ca="1" si="32"/>
        <v>8.5982498816869875</v>
      </c>
      <c r="S71" s="42">
        <f t="shared" ca="1" si="23"/>
        <v>0</v>
      </c>
      <c r="T71" s="51">
        <f t="shared" ca="1" si="24"/>
        <v>23.971240793478806</v>
      </c>
      <c r="V71" s="42">
        <f t="shared" ref="V71:AG80" ca="1" si="33">AVERAGE(OFFSET(C.Trace.Markov.Root, $D71, (V$2-1)*C.Trace.Markov.NumCols+V$3-1, 2))*V$6</f>
        <v>2.0267432455697132</v>
      </c>
      <c r="W71" s="42">
        <f t="shared" ca="1" si="33"/>
        <v>0</v>
      </c>
      <c r="X71" s="42">
        <f t="shared" ca="1" si="33"/>
        <v>6.4501035088054035E-2</v>
      </c>
      <c r="Y71" s="42">
        <f t="shared" ca="1" si="33"/>
        <v>6.7731188331337728E-3</v>
      </c>
      <c r="Z71" s="42">
        <f t="shared" ca="1" si="33"/>
        <v>4.3961170114472786E-2</v>
      </c>
      <c r="AA71" s="42">
        <f t="shared" ca="1" si="33"/>
        <v>4.6162705578670464E-3</v>
      </c>
      <c r="AB71" s="42">
        <f t="shared" ca="1" si="33"/>
        <v>1.2483962125460919</v>
      </c>
      <c r="AC71" s="42">
        <f t="shared" ca="1" si="33"/>
        <v>0.13109147608043301</v>
      </c>
      <c r="AD71" s="42">
        <f t="shared" ca="1" si="33"/>
        <v>1.4921538591475465</v>
      </c>
      <c r="AE71" s="42">
        <f t="shared" ca="1" si="33"/>
        <v>9.8103405929230583</v>
      </c>
      <c r="AF71" s="42">
        <f t="shared" ca="1" si="33"/>
        <v>0.24709524419716691</v>
      </c>
      <c r="AG71" s="42">
        <f t="shared" ca="1" si="33"/>
        <v>5.5494340402340985</v>
      </c>
      <c r="AH71" s="42">
        <f t="shared" ca="1" si="25"/>
        <v>0</v>
      </c>
      <c r="AI71" s="51">
        <f t="shared" ca="1" si="26"/>
        <v>20.625106265291635</v>
      </c>
    </row>
    <row r="72" spans="4:35" ht="12" customHeight="1" x14ac:dyDescent="0.2">
      <c r="D72" s="347">
        <f t="shared" si="27"/>
        <v>61</v>
      </c>
      <c r="E72" s="43">
        <f t="shared" si="22"/>
        <v>85.25</v>
      </c>
      <c r="G72" s="42">
        <f t="shared" ca="1" si="32"/>
        <v>1.0047830992035256</v>
      </c>
      <c r="H72" s="42">
        <f t="shared" ca="1" si="32"/>
        <v>0</v>
      </c>
      <c r="I72" s="42">
        <f t="shared" ca="1" si="32"/>
        <v>5.5225914908914688E-2</v>
      </c>
      <c r="J72" s="42">
        <f t="shared" ca="1" si="32"/>
        <v>5.8899965036305528E-3</v>
      </c>
      <c r="K72" s="42">
        <f t="shared" ca="1" si="32"/>
        <v>3.7639641545656972E-2</v>
      </c>
      <c r="L72" s="42">
        <f t="shared" ca="1" si="32"/>
        <v>4.014371830099641E-3</v>
      </c>
      <c r="M72" s="42">
        <f t="shared" ca="1" si="32"/>
        <v>1.0688793274799806</v>
      </c>
      <c r="N72" s="42">
        <f t="shared" ca="1" si="32"/>
        <v>0.11399893531947261</v>
      </c>
      <c r="O72" s="42">
        <f t="shared" ca="1" si="32"/>
        <v>1.959422700030458</v>
      </c>
      <c r="P72" s="42">
        <f t="shared" ca="1" si="32"/>
        <v>10.003795879814886</v>
      </c>
      <c r="Q72" s="42">
        <f t="shared" ca="1" si="32"/>
        <v>0.2569725610766308</v>
      </c>
      <c r="R72" s="42">
        <f t="shared" ca="1" si="32"/>
        <v>7.9656986302764015</v>
      </c>
      <c r="S72" s="42">
        <f t="shared" ca="1" si="23"/>
        <v>0</v>
      </c>
      <c r="T72" s="51">
        <f t="shared" ca="1" si="24"/>
        <v>22.476321057989658</v>
      </c>
      <c r="V72" s="42">
        <f t="shared" ca="1" si="33"/>
        <v>1.8702951014531639</v>
      </c>
      <c r="W72" s="42">
        <f t="shared" ca="1" si="33"/>
        <v>0</v>
      </c>
      <c r="X72" s="42">
        <f t="shared" ca="1" si="33"/>
        <v>6.1049945785546136E-2</v>
      </c>
      <c r="Y72" s="42">
        <f t="shared" ca="1" si="33"/>
        <v>6.5111454978477286E-3</v>
      </c>
      <c r="Z72" s="42">
        <f t="shared" ca="1" si="33"/>
        <v>4.1609054001906932E-2</v>
      </c>
      <c r="AA72" s="42">
        <f t="shared" ca="1" si="33"/>
        <v>4.4377206424704406E-3</v>
      </c>
      <c r="AB72" s="42">
        <f t="shared" ca="1" si="33"/>
        <v>1.181601519894607</v>
      </c>
      <c r="AC72" s="42">
        <f t="shared" ca="1" si="33"/>
        <v>0.12602106877436892</v>
      </c>
      <c r="AD72" s="42">
        <f t="shared" ca="1" si="33"/>
        <v>1.4065107901088871</v>
      </c>
      <c r="AE72" s="42">
        <f t="shared" ca="1" si="33"/>
        <v>9.3095848320508328</v>
      </c>
      <c r="AF72" s="42">
        <f t="shared" ca="1" si="33"/>
        <v>0.23857602679743228</v>
      </c>
      <c r="AG72" s="42">
        <f t="shared" ca="1" si="33"/>
        <v>5.185091486646634</v>
      </c>
      <c r="AH72" s="42">
        <f t="shared" ca="1" si="25"/>
        <v>0</v>
      </c>
      <c r="AI72" s="51">
        <f t="shared" ca="1" si="26"/>
        <v>19.431288691653698</v>
      </c>
    </row>
    <row r="73" spans="4:35" ht="12" customHeight="1" x14ac:dyDescent="0.2">
      <c r="D73" s="347">
        <f t="shared" si="27"/>
        <v>62</v>
      </c>
      <c r="E73" s="43">
        <f t="shared" si="22"/>
        <v>85.5</v>
      </c>
      <c r="G73" s="42">
        <f t="shared" ca="1" si="32"/>
        <v>0.92722199152316975</v>
      </c>
      <c r="H73" s="42">
        <f t="shared" ca="1" si="32"/>
        <v>0</v>
      </c>
      <c r="I73" s="42">
        <f t="shared" ca="1" si="32"/>
        <v>5.1426511760700233E-2</v>
      </c>
      <c r="J73" s="42">
        <f t="shared" ca="1" si="32"/>
        <v>5.5748557636759316E-3</v>
      </c>
      <c r="K73" s="42">
        <f t="shared" ca="1" si="32"/>
        <v>3.5050129487376021E-2</v>
      </c>
      <c r="L73" s="42">
        <f t="shared" ca="1" si="32"/>
        <v>3.7995852664385603E-3</v>
      </c>
      <c r="M73" s="42">
        <f t="shared" ca="1" si="32"/>
        <v>0.99534313548412412</v>
      </c>
      <c r="N73" s="42">
        <f t="shared" ca="1" si="32"/>
        <v>0.10789949047116527</v>
      </c>
      <c r="O73" s="42">
        <f t="shared" ca="1" si="32"/>
        <v>1.8335046627337801</v>
      </c>
      <c r="P73" s="42">
        <f t="shared" ca="1" si="32"/>
        <v>9.2974234943503333</v>
      </c>
      <c r="Q73" s="42">
        <f t="shared" ca="1" si="32"/>
        <v>0.24328063345939716</v>
      </c>
      <c r="R73" s="42">
        <f t="shared" ca="1" si="32"/>
        <v>7.3828979956710663</v>
      </c>
      <c r="S73" s="42">
        <f t="shared" ca="1" si="23"/>
        <v>0</v>
      </c>
      <c r="T73" s="51">
        <f t="shared" ca="1" si="24"/>
        <v>20.883422485971227</v>
      </c>
      <c r="V73" s="42">
        <f t="shared" ca="1" si="33"/>
        <v>1.7259234854567969</v>
      </c>
      <c r="W73" s="42">
        <f t="shared" ca="1" si="33"/>
        <v>0</v>
      </c>
      <c r="X73" s="42">
        <f t="shared" ca="1" si="33"/>
        <v>5.6849864055827558E-2</v>
      </c>
      <c r="Y73" s="42">
        <f t="shared" ca="1" si="33"/>
        <v>6.1627705524841554E-3</v>
      </c>
      <c r="Z73" s="42">
        <f t="shared" ca="1" si="33"/>
        <v>3.8746456414708766E-2</v>
      </c>
      <c r="AA73" s="42">
        <f t="shared" ca="1" si="33"/>
        <v>4.2002830538202598E-3</v>
      </c>
      <c r="AB73" s="42">
        <f t="shared" ca="1" si="33"/>
        <v>1.1003103264028018</v>
      </c>
      <c r="AC73" s="42">
        <f t="shared" ca="1" si="33"/>
        <v>0.1192783868663326</v>
      </c>
      <c r="AD73" s="42">
        <f t="shared" ca="1" si="33"/>
        <v>1.3259446972447362</v>
      </c>
      <c r="AE73" s="42">
        <f t="shared" ca="1" si="33"/>
        <v>8.6768230790193073</v>
      </c>
      <c r="AF73" s="42">
        <f t="shared" ca="1" si="33"/>
        <v>0.22639823147083557</v>
      </c>
      <c r="AG73" s="42">
        <f t="shared" ca="1" si="33"/>
        <v>4.8468354194103682</v>
      </c>
      <c r="AH73" s="42">
        <f t="shared" ca="1" si="25"/>
        <v>0</v>
      </c>
      <c r="AI73" s="51">
        <f t="shared" ca="1" si="26"/>
        <v>18.127472999948019</v>
      </c>
    </row>
    <row r="74" spans="4:35" ht="12" customHeight="1" x14ac:dyDescent="0.2">
      <c r="D74" s="347">
        <f t="shared" si="27"/>
        <v>63</v>
      </c>
      <c r="E74" s="43">
        <f t="shared" si="22"/>
        <v>85.75</v>
      </c>
      <c r="G74" s="42">
        <f t="shared" ca="1" si="32"/>
        <v>0.85564797242877078</v>
      </c>
      <c r="H74" s="42">
        <f t="shared" ca="1" si="32"/>
        <v>0</v>
      </c>
      <c r="I74" s="42">
        <f t="shared" ca="1" si="32"/>
        <v>4.7896317384546312E-2</v>
      </c>
      <c r="J74" s="42">
        <f t="shared" ca="1" si="32"/>
        <v>5.191319799187407E-3</v>
      </c>
      <c r="K74" s="42">
        <f t="shared" ca="1" si="32"/>
        <v>3.2644098711352078E-2</v>
      </c>
      <c r="L74" s="42">
        <f t="shared" ca="1" si="32"/>
        <v>3.5381834182840158E-3</v>
      </c>
      <c r="M74" s="42">
        <f t="shared" ca="1" si="32"/>
        <v>0.92701739028134234</v>
      </c>
      <c r="N74" s="42">
        <f t="shared" ca="1" si="32"/>
        <v>0.10047627866085798</v>
      </c>
      <c r="O74" s="42">
        <f t="shared" ca="1" si="32"/>
        <v>1.7156053049273154</v>
      </c>
      <c r="P74" s="42">
        <f t="shared" ca="1" si="32"/>
        <v>8.6432819815049147</v>
      </c>
      <c r="Q74" s="42">
        <f t="shared" ca="1" si="32"/>
        <v>0.22610248193985397</v>
      </c>
      <c r="R74" s="42">
        <f t="shared" ca="1" si="32"/>
        <v>6.8431787356669158</v>
      </c>
      <c r="S74" s="42">
        <f t="shared" ca="1" si="23"/>
        <v>0</v>
      </c>
      <c r="T74" s="51">
        <f t="shared" ca="1" si="24"/>
        <v>19.400580064723343</v>
      </c>
      <c r="V74" s="42">
        <f t="shared" ca="1" si="33"/>
        <v>1.592696187535801</v>
      </c>
      <c r="W74" s="42">
        <f t="shared" ca="1" si="33"/>
        <v>0</v>
      </c>
      <c r="X74" s="42">
        <f t="shared" ca="1" si="33"/>
        <v>5.2947381396516335E-2</v>
      </c>
      <c r="Y74" s="42">
        <f t="shared" ca="1" si="33"/>
        <v>5.7387875387586197E-3</v>
      </c>
      <c r="Z74" s="42">
        <f t="shared" ca="1" si="33"/>
        <v>3.6086689733126717E-2</v>
      </c>
      <c r="AA74" s="42">
        <f t="shared" ca="1" si="33"/>
        <v>3.9113142122103499E-3</v>
      </c>
      <c r="AB74" s="42">
        <f t="shared" ca="1" si="33"/>
        <v>1.0247790645438239</v>
      </c>
      <c r="AC74" s="42">
        <f t="shared" ca="1" si="33"/>
        <v>0.11107233578829549</v>
      </c>
      <c r="AD74" s="42">
        <f t="shared" ca="1" si="33"/>
        <v>1.2497170788156751</v>
      </c>
      <c r="AE74" s="42">
        <f t="shared" ca="1" si="33"/>
        <v>8.0890157525791864</v>
      </c>
      <c r="AF74" s="42">
        <f t="shared" ca="1" si="33"/>
        <v>0.21101020457026703</v>
      </c>
      <c r="AG74" s="42">
        <f t="shared" ca="1" si="33"/>
        <v>4.5303320890213969</v>
      </c>
      <c r="AH74" s="42">
        <f t="shared" ca="1" si="25"/>
        <v>0</v>
      </c>
      <c r="AI74" s="51">
        <f t="shared" ca="1" si="26"/>
        <v>16.907306885735057</v>
      </c>
    </row>
    <row r="75" spans="4:35" ht="12" customHeight="1" x14ac:dyDescent="0.2">
      <c r="D75" s="347">
        <f t="shared" si="27"/>
        <v>64</v>
      </c>
      <c r="E75" s="43">
        <f t="shared" ref="E75:E106" si="34">C.cohortAge+D75*C.cycleLength</f>
        <v>86</v>
      </c>
      <c r="G75" s="42">
        <f t="shared" ca="1" si="32"/>
        <v>0.78959888722955474</v>
      </c>
      <c r="H75" s="42">
        <f t="shared" ca="1" si="32"/>
        <v>0</v>
      </c>
      <c r="I75" s="42">
        <f t="shared" ca="1" si="32"/>
        <v>4.4609111466505841E-2</v>
      </c>
      <c r="J75" s="42">
        <f t="shared" ca="1" si="32"/>
        <v>4.8349594836135093E-3</v>
      </c>
      <c r="K75" s="42">
        <f t="shared" ca="1" si="32"/>
        <v>3.0403678563566836E-2</v>
      </c>
      <c r="L75" s="42">
        <f t="shared" ca="1" si="32"/>
        <v>3.2953033399472148E-3</v>
      </c>
      <c r="M75" s="42">
        <f t="shared" ca="1" si="32"/>
        <v>0.86339460636262544</v>
      </c>
      <c r="N75" s="42">
        <f t="shared" ca="1" si="32"/>
        <v>9.357904255205983E-2</v>
      </c>
      <c r="O75" s="42">
        <f t="shared" ca="1" si="32"/>
        <v>1.6051841775362383</v>
      </c>
      <c r="P75" s="42">
        <f t="shared" ca="1" si="32"/>
        <v>8.0354777395656285</v>
      </c>
      <c r="Q75" s="42">
        <f t="shared" ca="1" si="32"/>
        <v>0.21019452424769175</v>
      </c>
      <c r="R75" s="42">
        <f t="shared" ca="1" si="32"/>
        <v>6.3432896305130138</v>
      </c>
      <c r="S75" s="42">
        <f t="shared" ref="S75:S106" ca="1" si="35">AVERAGE(OFFSET(C.Trace.Markov.Root, $D75, (S$2-1)*C.Trace.Markov.NumCols+S$3-1, 2))*INDEX(C.rngC.ByState, S$3)</f>
        <v>0</v>
      </c>
      <c r="T75" s="51">
        <f t="shared" ref="T75:T106" ca="1" si="36">SUM(G75:S75)</f>
        <v>18.023861660860447</v>
      </c>
      <c r="V75" s="42">
        <f t="shared" ca="1" si="33"/>
        <v>1.4697529567017258</v>
      </c>
      <c r="W75" s="42">
        <f t="shared" ca="1" si="33"/>
        <v>0</v>
      </c>
      <c r="X75" s="42">
        <f t="shared" ca="1" si="33"/>
        <v>4.9313512344038163E-2</v>
      </c>
      <c r="Y75" s="42">
        <f t="shared" ca="1" si="33"/>
        <v>5.3448460715726284E-3</v>
      </c>
      <c r="Z75" s="42">
        <f t="shared" ca="1" si="33"/>
        <v>3.3609998694422792E-2</v>
      </c>
      <c r="AA75" s="42">
        <f t="shared" ca="1" si="33"/>
        <v>3.6428204147004898E-3</v>
      </c>
      <c r="AB75" s="42">
        <f t="shared" ca="1" si="33"/>
        <v>0.95444673025168181</v>
      </c>
      <c r="AC75" s="42">
        <f t="shared" ca="1" si="33"/>
        <v>0.10344772891294124</v>
      </c>
      <c r="AD75" s="42">
        <f t="shared" ca="1" si="33"/>
        <v>1.1775798491599576</v>
      </c>
      <c r="AE75" s="42">
        <f t="shared" ca="1" si="33"/>
        <v>7.540991518665872</v>
      </c>
      <c r="AF75" s="42">
        <f t="shared" ca="1" si="33"/>
        <v>0.19671541682704957</v>
      </c>
      <c r="AG75" s="42">
        <f t="shared" ca="1" si="33"/>
        <v>4.2341843160156873</v>
      </c>
      <c r="AH75" s="42">
        <f t="shared" ref="AH75:AH106" ca="1" si="37">AVERAGE(OFFSET(C.Trace.Markov.Root, $D75, (AH$2-1)*C.Trace.Markov.NumCols+AH$3-1, 2))*INDEX(C.rngC.ByState, AH$3)</f>
        <v>0</v>
      </c>
      <c r="AI75" s="51">
        <f t="shared" ref="AI75:AI106" ca="1" si="38">SUM(V75:AH75)</f>
        <v>15.76902969405965</v>
      </c>
    </row>
    <row r="76" spans="4:35" ht="12" customHeight="1" x14ac:dyDescent="0.2">
      <c r="D76" s="347">
        <f t="shared" ref="D76:D107" si="39">D75+1</f>
        <v>65</v>
      </c>
      <c r="E76" s="43">
        <f t="shared" si="34"/>
        <v>86.25</v>
      </c>
      <c r="G76" s="42">
        <f t="shared" ca="1" si="32"/>
        <v>0.72864825582935877</v>
      </c>
      <c r="H76" s="42">
        <f t="shared" ca="1" si="32"/>
        <v>0</v>
      </c>
      <c r="I76" s="42">
        <f t="shared" ca="1" si="32"/>
        <v>4.1547499662921469E-2</v>
      </c>
      <c r="J76" s="42">
        <f t="shared" ca="1" si="32"/>
        <v>4.503127971382294E-3</v>
      </c>
      <c r="K76" s="42">
        <f t="shared" ca="1" si="32"/>
        <v>2.8317013797054015E-2</v>
      </c>
      <c r="L76" s="42">
        <f t="shared" ca="1" si="32"/>
        <v>3.0691410537354549E-3</v>
      </c>
      <c r="M76" s="42">
        <f t="shared" ca="1" si="32"/>
        <v>0.80413812195639311</v>
      </c>
      <c r="N76" s="42">
        <f t="shared" ca="1" si="32"/>
        <v>8.7156553323672004E-2</v>
      </c>
      <c r="O76" s="42">
        <f t="shared" ca="1" si="32"/>
        <v>1.5017760702415908</v>
      </c>
      <c r="P76" s="42">
        <f t="shared" ca="1" si="32"/>
        <v>7.4706197582988656</v>
      </c>
      <c r="Q76" s="42">
        <f t="shared" ca="1" si="32"/>
        <v>0.19541343487174237</v>
      </c>
      <c r="R76" s="42">
        <f t="shared" ca="1" si="32"/>
        <v>5.8802636100928565</v>
      </c>
      <c r="S76" s="42">
        <f t="shared" ca="1" si="35"/>
        <v>0</v>
      </c>
      <c r="T76" s="51">
        <f t="shared" ca="1" si="36"/>
        <v>16.745452587099571</v>
      </c>
      <c r="V76" s="42">
        <f t="shared" ca="1" si="33"/>
        <v>1.3562999463668324</v>
      </c>
      <c r="W76" s="42">
        <f t="shared" ca="1" si="33"/>
        <v>0</v>
      </c>
      <c r="X76" s="42">
        <f t="shared" ca="1" si="33"/>
        <v>4.5929028176895079E-2</v>
      </c>
      <c r="Y76" s="42">
        <f t="shared" ca="1" si="33"/>
        <v>4.9780201735306687E-3</v>
      </c>
      <c r="Z76" s="42">
        <f t="shared" ca="1" si="33"/>
        <v>3.1303277817488019E-2</v>
      </c>
      <c r="AA76" s="42">
        <f t="shared" ca="1" si="33"/>
        <v>3.3928074391846364E-3</v>
      </c>
      <c r="AB76" s="42">
        <f t="shared" ca="1" si="33"/>
        <v>0.8889411579780645</v>
      </c>
      <c r="AC76" s="42">
        <f t="shared" ca="1" si="33"/>
        <v>9.6347934914996311E-2</v>
      </c>
      <c r="AD76" s="42">
        <f t="shared" ca="1" si="33"/>
        <v>1.109341128298539</v>
      </c>
      <c r="AE76" s="42">
        <f t="shared" ca="1" si="33"/>
        <v>7.0299732520430576</v>
      </c>
      <c r="AF76" s="42">
        <f t="shared" ca="1" si="33"/>
        <v>0.18338810743576689</v>
      </c>
      <c r="AG76" s="42">
        <f t="shared" ca="1" si="33"/>
        <v>3.9571128182683228</v>
      </c>
      <c r="AH76" s="42">
        <f t="shared" ca="1" si="37"/>
        <v>0</v>
      </c>
      <c r="AI76" s="51">
        <f t="shared" ca="1" si="38"/>
        <v>14.707007478912679</v>
      </c>
    </row>
    <row r="77" spans="4:35" ht="12" customHeight="1" x14ac:dyDescent="0.2">
      <c r="D77" s="347">
        <f t="shared" si="39"/>
        <v>66</v>
      </c>
      <c r="E77" s="43">
        <f t="shared" si="34"/>
        <v>86.5</v>
      </c>
      <c r="G77" s="42">
        <f t="shared" ca="1" si="32"/>
        <v>0.67240251893720493</v>
      </c>
      <c r="H77" s="42">
        <f t="shared" ca="1" si="32"/>
        <v>0</v>
      </c>
      <c r="I77" s="42">
        <f t="shared" ca="1" si="32"/>
        <v>3.8696011884762307E-2</v>
      </c>
      <c r="J77" s="42">
        <f t="shared" ca="1" si="32"/>
        <v>4.1940693666040621E-3</v>
      </c>
      <c r="K77" s="42">
        <f t="shared" ca="1" si="32"/>
        <v>2.6373560655195648E-2</v>
      </c>
      <c r="L77" s="42">
        <f t="shared" ca="1" si="32"/>
        <v>2.8584998154754849E-3</v>
      </c>
      <c r="M77" s="42">
        <f t="shared" ca="1" si="32"/>
        <v>0.74894851860327305</v>
      </c>
      <c r="N77" s="42">
        <f t="shared" ca="1" si="32"/>
        <v>8.1174826191181659E-2</v>
      </c>
      <c r="O77" s="42">
        <f t="shared" ca="1" si="32"/>
        <v>1.4049433373813927</v>
      </c>
      <c r="P77" s="42">
        <f t="shared" ca="1" si="32"/>
        <v>6.9456587643957182</v>
      </c>
      <c r="Q77" s="42">
        <f t="shared" ca="1" si="32"/>
        <v>0.18167674840311387</v>
      </c>
      <c r="R77" s="42">
        <f t="shared" ca="1" si="32"/>
        <v>5.4513547772996942</v>
      </c>
      <c r="S77" s="42">
        <f t="shared" ca="1" si="35"/>
        <v>0</v>
      </c>
      <c r="T77" s="51">
        <f t="shared" ca="1" si="36"/>
        <v>15.558281632933618</v>
      </c>
      <c r="V77" s="42">
        <f t="shared" ca="1" si="33"/>
        <v>1.2516045884628171</v>
      </c>
      <c r="W77" s="42">
        <f t="shared" ca="1" si="33"/>
        <v>0</v>
      </c>
      <c r="X77" s="42">
        <f t="shared" ca="1" si="33"/>
        <v>4.2776827356829285E-2</v>
      </c>
      <c r="Y77" s="42">
        <f t="shared" ca="1" si="33"/>
        <v>4.6363687749547099E-3</v>
      </c>
      <c r="Z77" s="42">
        <f t="shared" ca="1" si="33"/>
        <v>2.9154871419098952E-2</v>
      </c>
      <c r="AA77" s="42">
        <f t="shared" ca="1" si="33"/>
        <v>3.1599523348883811E-3</v>
      </c>
      <c r="AB77" s="42">
        <f t="shared" ca="1" si="33"/>
        <v>0.8279313531031095</v>
      </c>
      <c r="AC77" s="42">
        <f t="shared" ca="1" si="33"/>
        <v>8.9735385032486056E-2</v>
      </c>
      <c r="AD77" s="42">
        <f t="shared" ca="1" si="33"/>
        <v>1.0448146218888696</v>
      </c>
      <c r="AE77" s="42">
        <f t="shared" ca="1" si="33"/>
        <v>6.5534748337016735</v>
      </c>
      <c r="AF77" s="42">
        <f t="shared" ca="1" si="33"/>
        <v>0.17096073995377245</v>
      </c>
      <c r="AG77" s="42">
        <f t="shared" ca="1" si="33"/>
        <v>3.6979139021058973</v>
      </c>
      <c r="AH77" s="42">
        <f t="shared" ca="1" si="37"/>
        <v>0</v>
      </c>
      <c r="AI77" s="51">
        <f t="shared" ca="1" si="38"/>
        <v>13.716163444134397</v>
      </c>
    </row>
    <row r="78" spans="4:35" ht="12" customHeight="1" x14ac:dyDescent="0.2">
      <c r="D78" s="347">
        <f t="shared" si="39"/>
        <v>67</v>
      </c>
      <c r="E78" s="43">
        <f t="shared" si="34"/>
        <v>86.75</v>
      </c>
      <c r="G78" s="42">
        <f t="shared" ca="1" si="32"/>
        <v>0.62049849684808822</v>
      </c>
      <c r="H78" s="42">
        <f t="shared" ca="1" si="32"/>
        <v>0</v>
      </c>
      <c r="I78" s="42">
        <f t="shared" ca="1" si="32"/>
        <v>3.6040227415592291E-2</v>
      </c>
      <c r="J78" s="42">
        <f t="shared" ca="1" si="32"/>
        <v>3.9062220199129155E-3</v>
      </c>
      <c r="K78" s="42">
        <f t="shared" ca="1" si="32"/>
        <v>2.4563490589231997E-2</v>
      </c>
      <c r="L78" s="42">
        <f t="shared" ca="1" si="32"/>
        <v>2.6623152711869437E-3</v>
      </c>
      <c r="M78" s="42">
        <f t="shared" ca="1" si="32"/>
        <v>0.69754668810358511</v>
      </c>
      <c r="N78" s="42">
        <f t="shared" ca="1" si="32"/>
        <v>7.5603635947333589E-2</v>
      </c>
      <c r="O78" s="42">
        <f t="shared" ca="1" si="32"/>
        <v>1.3142749704058658</v>
      </c>
      <c r="P78" s="42">
        <f t="shared" ca="1" si="32"/>
        <v>6.4577611281913994</v>
      </c>
      <c r="Q78" s="42">
        <f t="shared" ca="1" si="32"/>
        <v>0.16891031007584609</v>
      </c>
      <c r="R78" s="42">
        <f t="shared" ca="1" si="32"/>
        <v>5.0540239397045061</v>
      </c>
      <c r="S78" s="42">
        <f t="shared" ca="1" si="35"/>
        <v>0</v>
      </c>
      <c r="T78" s="51">
        <f t="shared" ca="1" si="36"/>
        <v>14.455791424572549</v>
      </c>
      <c r="V78" s="42">
        <f t="shared" ca="1" si="33"/>
        <v>1.1549908632360071</v>
      </c>
      <c r="W78" s="42">
        <f t="shared" ca="1" si="33"/>
        <v>0</v>
      </c>
      <c r="X78" s="42">
        <f t="shared" ca="1" si="33"/>
        <v>3.9840968383223527E-2</v>
      </c>
      <c r="Y78" s="42">
        <f t="shared" ca="1" si="33"/>
        <v>4.3181655375979112E-3</v>
      </c>
      <c r="Z78" s="42">
        <f t="shared" ca="1" si="33"/>
        <v>2.7153914448492321E-2</v>
      </c>
      <c r="AA78" s="42">
        <f t="shared" ca="1" si="33"/>
        <v>2.9430785028743429E-3</v>
      </c>
      <c r="AB78" s="42">
        <f t="shared" ca="1" si="33"/>
        <v>0.77110877315202142</v>
      </c>
      <c r="AC78" s="42">
        <f t="shared" ca="1" si="33"/>
        <v>8.3576666559304458E-2</v>
      </c>
      <c r="AD78" s="42">
        <f t="shared" ca="1" si="33"/>
        <v>0.98382051685577265</v>
      </c>
      <c r="AE78" s="42">
        <f t="shared" ca="1" si="33"/>
        <v>6.1091738363773942</v>
      </c>
      <c r="AF78" s="42">
        <f t="shared" ca="1" si="33"/>
        <v>0.15937285487003186</v>
      </c>
      <c r="AG78" s="42">
        <f t="shared" ca="1" si="33"/>
        <v>3.4554575669058605</v>
      </c>
      <c r="AH78" s="42">
        <f t="shared" ca="1" si="37"/>
        <v>0</v>
      </c>
      <c r="AI78" s="51">
        <f t="shared" ca="1" si="38"/>
        <v>12.791757204828579</v>
      </c>
    </row>
    <row r="79" spans="4:35" ht="12" customHeight="1" x14ac:dyDescent="0.2">
      <c r="D79" s="347">
        <f t="shared" si="39"/>
        <v>68</v>
      </c>
      <c r="E79" s="43">
        <f t="shared" si="34"/>
        <v>87</v>
      </c>
      <c r="G79" s="42">
        <f t="shared" ca="1" si="32"/>
        <v>0.57260104438528048</v>
      </c>
      <c r="H79" s="42">
        <f t="shared" ca="1" si="32"/>
        <v>0</v>
      </c>
      <c r="I79" s="42">
        <f t="shared" ca="1" si="32"/>
        <v>3.356671473139243E-2</v>
      </c>
      <c r="J79" s="42">
        <f t="shared" ca="1" si="32"/>
        <v>3.6381302122995389E-3</v>
      </c>
      <c r="K79" s="42">
        <f t="shared" ca="1" si="32"/>
        <v>2.2877649242004451E-2</v>
      </c>
      <c r="L79" s="42">
        <f t="shared" ca="1" si="32"/>
        <v>2.4795952645281518E-3</v>
      </c>
      <c r="M79" s="42">
        <f t="shared" ca="1" si="32"/>
        <v>0.64967266774989119</v>
      </c>
      <c r="N79" s="42">
        <f t="shared" ca="1" si="32"/>
        <v>7.0414807631907675E-2</v>
      </c>
      <c r="O79" s="42">
        <f t="shared" ca="1" si="32"/>
        <v>1.2293850612032675</v>
      </c>
      <c r="P79" s="42">
        <f t="shared" ca="1" si="32"/>
        <v>6.0042957077233936</v>
      </c>
      <c r="Q79" s="42">
        <f t="shared" ca="1" si="32"/>
        <v>0.15704520932557711</v>
      </c>
      <c r="R79" s="42">
        <f t="shared" ca="1" si="32"/>
        <v>4.6859228816109084</v>
      </c>
      <c r="S79" s="42">
        <f t="shared" ca="1" si="35"/>
        <v>0</v>
      </c>
      <c r="T79" s="51">
        <f t="shared" ca="1" si="36"/>
        <v>13.431899469080451</v>
      </c>
      <c r="V79" s="42">
        <f t="shared" ca="1" si="33"/>
        <v>1.0658349341760085</v>
      </c>
      <c r="W79" s="42">
        <f t="shared" ca="1" si="33"/>
        <v>0</v>
      </c>
      <c r="X79" s="42">
        <f t="shared" ca="1" si="33"/>
        <v>3.7106603266424239E-2</v>
      </c>
      <c r="Y79" s="42">
        <f t="shared" ca="1" si="33"/>
        <v>4.0218012248049006E-3</v>
      </c>
      <c r="Z79" s="42">
        <f t="shared" ca="1" si="33"/>
        <v>2.5290287145603406E-2</v>
      </c>
      <c r="AA79" s="42">
        <f t="shared" ca="1" si="33"/>
        <v>2.7410891556837688E-3</v>
      </c>
      <c r="AB79" s="42">
        <f t="shared" ca="1" si="33"/>
        <v>0.71818604019323529</v>
      </c>
      <c r="AC79" s="42">
        <f t="shared" ca="1" si="33"/>
        <v>7.7840633251939101E-2</v>
      </c>
      <c r="AD79" s="42">
        <f t="shared" ca="1" si="33"/>
        <v>0.92618555537010561</v>
      </c>
      <c r="AE79" s="42">
        <f t="shared" ca="1" si="33"/>
        <v>5.6949032158100232</v>
      </c>
      <c r="AF79" s="42">
        <f t="shared" ca="1" si="33"/>
        <v>0.14856797346558512</v>
      </c>
      <c r="AG79" s="42">
        <f t="shared" ca="1" si="33"/>
        <v>3.2286832015153992</v>
      </c>
      <c r="AH79" s="42">
        <f t="shared" ca="1" si="37"/>
        <v>0</v>
      </c>
      <c r="AI79" s="51">
        <f t="shared" ca="1" si="38"/>
        <v>11.929361334574814</v>
      </c>
    </row>
    <row r="80" spans="4:35" ht="12" customHeight="1" x14ac:dyDescent="0.2">
      <c r="D80" s="347">
        <f t="shared" si="39"/>
        <v>69</v>
      </c>
      <c r="E80" s="43">
        <f t="shared" si="34"/>
        <v>87.25</v>
      </c>
      <c r="G80" s="42">
        <f t="shared" ca="1" si="32"/>
        <v>0.52840088686207443</v>
      </c>
      <c r="H80" s="42">
        <f t="shared" ca="1" si="32"/>
        <v>0</v>
      </c>
      <c r="I80" s="42">
        <f t="shared" ca="1" si="32"/>
        <v>3.1262964155732986E-2</v>
      </c>
      <c r="J80" s="42">
        <f t="shared" ca="1" si="32"/>
        <v>3.3884380801405623E-3</v>
      </c>
      <c r="K80" s="42">
        <f t="shared" ca="1" si="32"/>
        <v>2.1307510548576939E-2</v>
      </c>
      <c r="L80" s="42">
        <f t="shared" ca="1" si="32"/>
        <v>2.3094156963537628E-3</v>
      </c>
      <c r="M80" s="42">
        <f t="shared" ca="1" si="32"/>
        <v>0.60508433689011598</v>
      </c>
      <c r="N80" s="42">
        <f t="shared" ca="1" si="32"/>
        <v>6.5582098952670434E-2</v>
      </c>
      <c r="O80" s="42">
        <f t="shared" ca="1" si="32"/>
        <v>1.1499113185161045</v>
      </c>
      <c r="P80" s="42">
        <f t="shared" ca="1" si="32"/>
        <v>5.5828193312256662</v>
      </c>
      <c r="Q80" s="42">
        <f t="shared" ca="1" si="32"/>
        <v>0.14601745985240119</v>
      </c>
      <c r="R80" s="42">
        <f t="shared" ca="1" si="32"/>
        <v>4.3448798432344349</v>
      </c>
      <c r="S80" s="42">
        <f t="shared" ca="1" si="35"/>
        <v>0</v>
      </c>
      <c r="T80" s="51">
        <f t="shared" ca="1" si="36"/>
        <v>12.480963604014274</v>
      </c>
      <c r="V80" s="42">
        <f t="shared" ca="1" si="33"/>
        <v>0.98356111989246886</v>
      </c>
      <c r="W80" s="42">
        <f t="shared" ca="1" si="33"/>
        <v>0</v>
      </c>
      <c r="X80" s="42">
        <f t="shared" ca="1" si="33"/>
        <v>3.4559903080842946E-2</v>
      </c>
      <c r="Y80" s="42">
        <f t="shared" ca="1" si="33"/>
        <v>3.7457769858850981E-3</v>
      </c>
      <c r="Z80" s="42">
        <f t="shared" ca="1" si="33"/>
        <v>2.3554564301217093E-2</v>
      </c>
      <c r="AA80" s="42">
        <f t="shared" ca="1" si="33"/>
        <v>2.5529627402501869E-3</v>
      </c>
      <c r="AB80" s="42">
        <f t="shared" ca="1" si="33"/>
        <v>0.66889549994330144</v>
      </c>
      <c r="AC80" s="42">
        <f t="shared" ca="1" si="33"/>
        <v>7.2498275350736704E-2</v>
      </c>
      <c r="AD80" s="42">
        <f t="shared" ca="1" si="33"/>
        <v>0.87174303067795023</v>
      </c>
      <c r="AE80" s="42">
        <f t="shared" ca="1" si="33"/>
        <v>5.308641047684274</v>
      </c>
      <c r="AF80" s="42">
        <f t="shared" ca="1" si="33"/>
        <v>0.13849339575467798</v>
      </c>
      <c r="AG80" s="42">
        <f t="shared" ca="1" si="33"/>
        <v>3.0165955100531994</v>
      </c>
      <c r="AH80" s="42">
        <f t="shared" ca="1" si="37"/>
        <v>0</v>
      </c>
      <c r="AI80" s="51">
        <f t="shared" ca="1" si="38"/>
        <v>11.124841086464805</v>
      </c>
    </row>
    <row r="81" spans="4:35" ht="12" customHeight="1" x14ac:dyDescent="0.2">
      <c r="D81" s="347">
        <f t="shared" si="39"/>
        <v>70</v>
      </c>
      <c r="E81" s="43">
        <f t="shared" si="34"/>
        <v>87.5</v>
      </c>
      <c r="G81" s="42">
        <f t="shared" ref="G81:R90" ca="1" si="40">AVERAGE(OFFSET(C.Trace.Markov.Root, $D81, (G$2-1)*C.Trace.Markov.NumCols+G$3-1, 2))*G$6</f>
        <v>0.48761262308973219</v>
      </c>
      <c r="H81" s="42">
        <f t="shared" ca="1" si="40"/>
        <v>0</v>
      </c>
      <c r="I81" s="42">
        <f t="shared" ca="1" si="40"/>
        <v>2.9117324576556729E-2</v>
      </c>
      <c r="J81" s="42">
        <f t="shared" ca="1" si="40"/>
        <v>3.1558828169825112E-3</v>
      </c>
      <c r="K81" s="42">
        <f t="shared" ca="1" si="40"/>
        <v>1.9845133605079137E-2</v>
      </c>
      <c r="L81" s="42">
        <f t="shared" ca="1" si="40"/>
        <v>2.1509158913389976E-3</v>
      </c>
      <c r="M81" s="42">
        <f t="shared" ca="1" si="40"/>
        <v>0.56355619210180519</v>
      </c>
      <c r="N81" s="42">
        <f t="shared" ca="1" si="40"/>
        <v>6.108106870815052E-2</v>
      </c>
      <c r="O81" s="42">
        <f t="shared" ca="1" si="40"/>
        <v>1.0755136684980673</v>
      </c>
      <c r="P81" s="42">
        <f t="shared" ca="1" si="40"/>
        <v>5.19106326952181</v>
      </c>
      <c r="Q81" s="42">
        <f t="shared" ca="1" si="40"/>
        <v>0.13576764657208104</v>
      </c>
      <c r="R81" s="42">
        <f t="shared" ca="1" si="40"/>
        <v>4.0288861177102229</v>
      </c>
      <c r="S81" s="42">
        <f t="shared" ca="1" si="35"/>
        <v>0</v>
      </c>
      <c r="T81" s="51">
        <f t="shared" ca="1" si="36"/>
        <v>11.597749843091826</v>
      </c>
      <c r="V81" s="42">
        <f t="shared" ref="V81:AG90" ca="1" si="41">AVERAGE(OFFSET(C.Trace.Markov.Root, $D81, (V$2-1)*C.Trace.Markov.NumCols+V$3-1, 2))*V$6</f>
        <v>0.90763817693028925</v>
      </c>
      <c r="W81" s="42">
        <f t="shared" ca="1" si="41"/>
        <v>0</v>
      </c>
      <c r="X81" s="42">
        <f t="shared" ca="1" si="41"/>
        <v>3.2187988007999359E-2</v>
      </c>
      <c r="Y81" s="42">
        <f t="shared" ca="1" si="41"/>
        <v>3.4886968409683747E-3</v>
      </c>
      <c r="Z81" s="42">
        <f t="shared" ca="1" si="41"/>
        <v>2.1937967577272878E-2</v>
      </c>
      <c r="AA81" s="42">
        <f t="shared" ca="1" si="41"/>
        <v>2.3777478158957329E-3</v>
      </c>
      <c r="AB81" s="42">
        <f t="shared" ca="1" si="41"/>
        <v>0.6229878677731111</v>
      </c>
      <c r="AC81" s="42">
        <f t="shared" ca="1" si="41"/>
        <v>6.7522574126768625E-2</v>
      </c>
      <c r="AD81" s="42">
        <f t="shared" ca="1" si="41"/>
        <v>0.82033274966802461</v>
      </c>
      <c r="AE81" s="42">
        <f t="shared" ca="1" si="41"/>
        <v>4.9485008702014364</v>
      </c>
      <c r="AF81" s="42">
        <f t="shared" ca="1" si="41"/>
        <v>0.12909995089914669</v>
      </c>
      <c r="AG81" s="42">
        <f t="shared" ca="1" si="41"/>
        <v>2.8182606610843419</v>
      </c>
      <c r="AH81" s="42">
        <f t="shared" ca="1" si="37"/>
        <v>0</v>
      </c>
      <c r="AI81" s="51">
        <f t="shared" ca="1" si="38"/>
        <v>10.374335250925256</v>
      </c>
    </row>
    <row r="82" spans="4:35" ht="12" customHeight="1" x14ac:dyDescent="0.2">
      <c r="D82" s="347">
        <f t="shared" si="39"/>
        <v>71</v>
      </c>
      <c r="E82" s="43">
        <f t="shared" si="34"/>
        <v>87.75</v>
      </c>
      <c r="G82" s="42">
        <f t="shared" ca="1" si="40"/>
        <v>0.44997288253702722</v>
      </c>
      <c r="H82" s="42">
        <f t="shared" ca="1" si="40"/>
        <v>0</v>
      </c>
      <c r="I82" s="42">
        <f t="shared" ca="1" si="40"/>
        <v>2.7118944520847128E-2</v>
      </c>
      <c r="J82" s="42">
        <f t="shared" ca="1" si="40"/>
        <v>2.9392882853306493E-3</v>
      </c>
      <c r="K82" s="42">
        <f t="shared" ca="1" si="40"/>
        <v>1.8483122507699241E-2</v>
      </c>
      <c r="L82" s="42">
        <f t="shared" ca="1" si="40"/>
        <v>2.0032942440458439E-3</v>
      </c>
      <c r="M82" s="42">
        <f t="shared" ca="1" si="40"/>
        <v>0.52487820671180696</v>
      </c>
      <c r="N82" s="42">
        <f t="shared" ca="1" si="40"/>
        <v>5.6888953145923571E-2</v>
      </c>
      <c r="O82" s="42">
        <f t="shared" ca="1" si="40"/>
        <v>1.0058729342443959</v>
      </c>
      <c r="P82" s="42">
        <f t="shared" ca="1" si="40"/>
        <v>4.8269206920994314</v>
      </c>
      <c r="Q82" s="42">
        <f t="shared" ca="1" si="40"/>
        <v>0.12624059664044682</v>
      </c>
      <c r="R82" s="42">
        <f t="shared" ca="1" si="40"/>
        <v>3.7360836771925485</v>
      </c>
      <c r="S82" s="42">
        <f t="shared" ca="1" si="35"/>
        <v>0</v>
      </c>
      <c r="T82" s="51">
        <f t="shared" ca="1" si="36"/>
        <v>10.777402592129503</v>
      </c>
      <c r="V82" s="42">
        <f t="shared" ca="1" si="41"/>
        <v>0.83757586952136209</v>
      </c>
      <c r="W82" s="42">
        <f t="shared" ca="1" si="41"/>
        <v>0</v>
      </c>
      <c r="X82" s="42">
        <f t="shared" ca="1" si="41"/>
        <v>2.9978862197024433E-2</v>
      </c>
      <c r="Y82" s="42">
        <f t="shared" ca="1" si="41"/>
        <v>3.249260619104037E-3</v>
      </c>
      <c r="Z82" s="42">
        <f t="shared" ca="1" si="41"/>
        <v>2.0432321110546211E-2</v>
      </c>
      <c r="AA82" s="42">
        <f t="shared" ca="1" si="41"/>
        <v>2.2145582412389031E-3</v>
      </c>
      <c r="AB82" s="42">
        <f t="shared" ca="1" si="41"/>
        <v>0.58023096795446505</v>
      </c>
      <c r="AC82" s="42">
        <f t="shared" ca="1" si="41"/>
        <v>6.2888365201071175E-2</v>
      </c>
      <c r="AD82" s="42">
        <f t="shared" ca="1" si="41"/>
        <v>0.77180096621256133</v>
      </c>
      <c r="AE82" s="42">
        <f t="shared" ca="1" si="41"/>
        <v>4.6127226664028225</v>
      </c>
      <c r="AF82" s="42">
        <f t="shared" ca="1" si="41"/>
        <v>0.12034176235103874</v>
      </c>
      <c r="AG82" s="42">
        <f t="shared" ca="1" si="41"/>
        <v>2.632802647666006</v>
      </c>
      <c r="AH82" s="42">
        <f t="shared" ca="1" si="37"/>
        <v>0</v>
      </c>
      <c r="AI82" s="51">
        <f t="shared" ca="1" si="38"/>
        <v>9.6742382474772413</v>
      </c>
    </row>
    <row r="83" spans="4:35" ht="12" customHeight="1" x14ac:dyDescent="0.2">
      <c r="D83" s="347">
        <f t="shared" si="39"/>
        <v>72</v>
      </c>
      <c r="E83" s="43">
        <f t="shared" si="34"/>
        <v>88</v>
      </c>
      <c r="G83" s="42">
        <f t="shared" ca="1" si="40"/>
        <v>0.41523862474212658</v>
      </c>
      <c r="H83" s="42">
        <f t="shared" ca="1" si="40"/>
        <v>0</v>
      </c>
      <c r="I83" s="42">
        <f t="shared" ca="1" si="40"/>
        <v>2.5257717273822193E-2</v>
      </c>
      <c r="J83" s="42">
        <f t="shared" ca="1" si="40"/>
        <v>2.7375590683504998E-3</v>
      </c>
      <c r="K83" s="42">
        <f t="shared" ca="1" si="40"/>
        <v>1.7214588948253944E-2</v>
      </c>
      <c r="L83" s="42">
        <f t="shared" ca="1" si="40"/>
        <v>1.8658041648150659E-3</v>
      </c>
      <c r="M83" s="42">
        <f t="shared" ca="1" si="40"/>
        <v>0.48885476859641053</v>
      </c>
      <c r="N83" s="42">
        <f t="shared" ca="1" si="40"/>
        <v>5.2984550835261289E-2</v>
      </c>
      <c r="O83" s="42">
        <f t="shared" ca="1" si="40"/>
        <v>0.94068959017327014</v>
      </c>
      <c r="P83" s="42">
        <f t="shared" ca="1" si="40"/>
        <v>4.4884350324371063</v>
      </c>
      <c r="Q83" s="42">
        <f t="shared" ca="1" si="40"/>
        <v>0.1173850743997738</v>
      </c>
      <c r="R83" s="42">
        <f t="shared" ca="1" si="40"/>
        <v>3.4647537481998012</v>
      </c>
      <c r="S83" s="42">
        <f t="shared" ca="1" si="35"/>
        <v>0</v>
      </c>
      <c r="T83" s="51">
        <f t="shared" ca="1" si="36"/>
        <v>10.015417058838992</v>
      </c>
      <c r="V83" s="42">
        <f t="shared" ca="1" si="41"/>
        <v>0.77292180412365641</v>
      </c>
      <c r="W83" s="42">
        <f t="shared" ca="1" si="41"/>
        <v>0</v>
      </c>
      <c r="X83" s="42">
        <f t="shared" ca="1" si="41"/>
        <v>2.7921353096218002E-2</v>
      </c>
      <c r="Y83" s="42">
        <f t="shared" ca="1" si="41"/>
        <v>3.0262573826649289E-3</v>
      </c>
      <c r="Z83" s="42">
        <f t="shared" ca="1" si="41"/>
        <v>1.9030010163611045E-2</v>
      </c>
      <c r="AA83" s="42">
        <f t="shared" ca="1" si="41"/>
        <v>2.0625686925472525E-3</v>
      </c>
      <c r="AB83" s="42">
        <f t="shared" ca="1" si="41"/>
        <v>0.54040855944242583</v>
      </c>
      <c r="AC83" s="42">
        <f t="shared" ca="1" si="41"/>
        <v>5.8572211276160538E-2</v>
      </c>
      <c r="AD83" s="42">
        <f t="shared" ca="1" si="41"/>
        <v>0.72600028971955322</v>
      </c>
      <c r="AE83" s="42">
        <f t="shared" ca="1" si="41"/>
        <v>4.2996644418169359</v>
      </c>
      <c r="AF83" s="42">
        <f t="shared" ca="1" si="41"/>
        <v>0.11217602855324986</v>
      </c>
      <c r="AG83" s="42">
        <f t="shared" ca="1" si="41"/>
        <v>2.4593998483199555</v>
      </c>
      <c r="AH83" s="42">
        <f t="shared" ca="1" si="37"/>
        <v>0</v>
      </c>
      <c r="AI83" s="51">
        <f t="shared" ca="1" si="38"/>
        <v>9.0211833725869788</v>
      </c>
    </row>
    <row r="84" spans="4:35" ht="12" customHeight="1" x14ac:dyDescent="0.2">
      <c r="D84" s="347">
        <f t="shared" si="39"/>
        <v>73</v>
      </c>
      <c r="E84" s="43">
        <f t="shared" si="34"/>
        <v>88.25</v>
      </c>
      <c r="G84" s="42">
        <f t="shared" ca="1" si="40"/>
        <v>0.383185569996086</v>
      </c>
      <c r="H84" s="42">
        <f t="shared" ca="1" si="40"/>
        <v>0</v>
      </c>
      <c r="I84" s="42">
        <f t="shared" ca="1" si="40"/>
        <v>2.3524229764691734E-2</v>
      </c>
      <c r="J84" s="42">
        <f t="shared" ca="1" si="40"/>
        <v>2.5496749298495602E-3</v>
      </c>
      <c r="K84" s="42">
        <f t="shared" ca="1" si="40"/>
        <v>1.6033117376888239E-2</v>
      </c>
      <c r="L84" s="42">
        <f t="shared" ca="1" si="40"/>
        <v>1.7377503039246889E-3</v>
      </c>
      <c r="M84" s="42">
        <f t="shared" ca="1" si="40"/>
        <v>0.45530369088207456</v>
      </c>
      <c r="N84" s="42">
        <f t="shared" ca="1" si="40"/>
        <v>4.9348115441908973E-2</v>
      </c>
      <c r="O84" s="42">
        <f t="shared" ca="1" si="40"/>
        <v>0.87968258733962212</v>
      </c>
      <c r="P84" s="42">
        <f t="shared" ca="1" si="40"/>
        <v>4.1737891960613691</v>
      </c>
      <c r="Q84" s="42">
        <f t="shared" ca="1" si="40"/>
        <v>0.10915349843712072</v>
      </c>
      <c r="R84" s="42">
        <f t="shared" ca="1" si="40"/>
        <v>3.2133062626062987</v>
      </c>
      <c r="S84" s="42">
        <f t="shared" ca="1" si="35"/>
        <v>0</v>
      </c>
      <c r="T84" s="51">
        <f t="shared" ca="1" si="36"/>
        <v>9.3076136931398352</v>
      </c>
      <c r="V84" s="42">
        <f t="shared" ca="1" si="41"/>
        <v>0.71325850830822124</v>
      </c>
      <c r="W84" s="42">
        <f t="shared" ca="1" si="41"/>
        <v>0</v>
      </c>
      <c r="X84" s="42">
        <f t="shared" ca="1" si="41"/>
        <v>2.6005054948385006E-2</v>
      </c>
      <c r="Y84" s="42">
        <f t="shared" ca="1" si="41"/>
        <v>2.8185593030882537E-3</v>
      </c>
      <c r="Z84" s="42">
        <f t="shared" ca="1" si="41"/>
        <v>1.7723942613657298E-2</v>
      </c>
      <c r="AA84" s="42">
        <f t="shared" ca="1" si="41"/>
        <v>1.9210104897020618E-3</v>
      </c>
      <c r="AB84" s="42">
        <f t="shared" ca="1" si="41"/>
        <v>0.50331924224622981</v>
      </c>
      <c r="AC84" s="42">
        <f t="shared" ca="1" si="41"/>
        <v>5.4552283603020911E-2</v>
      </c>
      <c r="AD84" s="42">
        <f t="shared" ca="1" si="41"/>
        <v>0.68278957286520991</v>
      </c>
      <c r="AE84" s="42">
        <f t="shared" ca="1" si="41"/>
        <v>4.0077943585276632</v>
      </c>
      <c r="AF84" s="42">
        <f t="shared" ca="1" si="41"/>
        <v>0.10456281811773885</v>
      </c>
      <c r="AG84" s="42">
        <f t="shared" ca="1" si="41"/>
        <v>2.2972817792752851</v>
      </c>
      <c r="AH84" s="42">
        <f t="shared" ca="1" si="37"/>
        <v>0</v>
      </c>
      <c r="AI84" s="51">
        <f t="shared" ca="1" si="38"/>
        <v>8.4120271302982026</v>
      </c>
    </row>
    <row r="85" spans="4:35" ht="12" customHeight="1" x14ac:dyDescent="0.2">
      <c r="D85" s="347">
        <f t="shared" si="39"/>
        <v>74</v>
      </c>
      <c r="E85" s="43">
        <f t="shared" si="34"/>
        <v>88.5</v>
      </c>
      <c r="G85" s="42">
        <f t="shared" ca="1" si="40"/>
        <v>0.35360675116485391</v>
      </c>
      <c r="H85" s="42">
        <f t="shared" ca="1" si="40"/>
        <v>0</v>
      </c>
      <c r="I85" s="42">
        <f t="shared" ca="1" si="40"/>
        <v>2.1909714960486826E-2</v>
      </c>
      <c r="J85" s="42">
        <f t="shared" ca="1" si="40"/>
        <v>2.3746856544799239E-3</v>
      </c>
      <c r="K85" s="42">
        <f t="shared" ca="1" si="40"/>
        <v>1.4932732555728499E-2</v>
      </c>
      <c r="L85" s="42">
        <f t="shared" ca="1" si="40"/>
        <v>1.6184850348909272E-3</v>
      </c>
      <c r="M85" s="42">
        <f t="shared" ca="1" si="40"/>
        <v>0.42405529054373192</v>
      </c>
      <c r="N85" s="42">
        <f t="shared" ca="1" si="40"/>
        <v>4.5961255861912902E-2</v>
      </c>
      <c r="O85" s="42">
        <f t="shared" ca="1" si="40"/>
        <v>0.82258824593681534</v>
      </c>
      <c r="P85" s="42">
        <f t="shared" ca="1" si="40"/>
        <v>3.8812955497605812</v>
      </c>
      <c r="Q85" s="42">
        <f t="shared" ca="1" si="40"/>
        <v>0.10150167913687851</v>
      </c>
      <c r="R85" s="42">
        <f t="shared" ca="1" si="40"/>
        <v>2.980270116446285</v>
      </c>
      <c r="S85" s="42">
        <f t="shared" ca="1" si="35"/>
        <v>0</v>
      </c>
      <c r="T85" s="51">
        <f t="shared" ca="1" si="36"/>
        <v>8.6501145070566441</v>
      </c>
      <c r="V85" s="42">
        <f t="shared" ca="1" si="41"/>
        <v>0.65820073513242228</v>
      </c>
      <c r="W85" s="42">
        <f t="shared" ca="1" si="41"/>
        <v>0</v>
      </c>
      <c r="X85" s="42">
        <f t="shared" ca="1" si="41"/>
        <v>2.4220276164199389E-2</v>
      </c>
      <c r="Y85" s="42">
        <f t="shared" ca="1" si="41"/>
        <v>2.6251159569347653E-3</v>
      </c>
      <c r="Z85" s="42">
        <f t="shared" ca="1" si="41"/>
        <v>1.6507513084407507E-2</v>
      </c>
      <c r="AA85" s="42">
        <f t="shared" ca="1" si="41"/>
        <v>1.7891677086341758E-3</v>
      </c>
      <c r="AB85" s="42">
        <f t="shared" ca="1" si="41"/>
        <v>0.46877543885814121</v>
      </c>
      <c r="AC85" s="42">
        <f t="shared" ca="1" si="41"/>
        <v>5.0808251583215648E-2</v>
      </c>
      <c r="AD85" s="42">
        <f t="shared" ca="1" si="41"/>
        <v>0.64203378202713524</v>
      </c>
      <c r="AE85" s="42">
        <f t="shared" ca="1" si="41"/>
        <v>3.7356833893049952</v>
      </c>
      <c r="AF85" s="42">
        <f t="shared" ca="1" si="41"/>
        <v>9.7464878535251556E-2</v>
      </c>
      <c r="AG85" s="42">
        <f t="shared" ca="1" si="41"/>
        <v>2.1457260286367172</v>
      </c>
      <c r="AH85" s="42">
        <f t="shared" ca="1" si="37"/>
        <v>0</v>
      </c>
      <c r="AI85" s="51">
        <f t="shared" ca="1" si="38"/>
        <v>7.8438345769920534</v>
      </c>
    </row>
    <row r="86" spans="4:35" ht="12" customHeight="1" x14ac:dyDescent="0.2">
      <c r="D86" s="347">
        <f t="shared" si="39"/>
        <v>75</v>
      </c>
      <c r="E86" s="43">
        <f t="shared" si="34"/>
        <v>88.75</v>
      </c>
      <c r="G86" s="42">
        <f t="shared" ca="1" si="40"/>
        <v>0.3263111772988741</v>
      </c>
      <c r="H86" s="42">
        <f t="shared" ca="1" si="40"/>
        <v>0</v>
      </c>
      <c r="I86" s="42">
        <f t="shared" ca="1" si="40"/>
        <v>2.0406007527195687E-2</v>
      </c>
      <c r="J86" s="42">
        <f t="shared" ca="1" si="40"/>
        <v>2.2117062420680717E-3</v>
      </c>
      <c r="K86" s="42">
        <f t="shared" ca="1" si="40"/>
        <v>1.3907869339393045E-2</v>
      </c>
      <c r="L86" s="42">
        <f t="shared" ca="1" si="40"/>
        <v>1.5074051791271678E-3</v>
      </c>
      <c r="M86" s="42">
        <f t="shared" ca="1" si="40"/>
        <v>0.39495153024073265</v>
      </c>
      <c r="N86" s="42">
        <f t="shared" ca="1" si="40"/>
        <v>4.280684320946191E-2</v>
      </c>
      <c r="O86" s="42">
        <f t="shared" ca="1" si="40"/>
        <v>0.76915921141189103</v>
      </c>
      <c r="P86" s="42">
        <f t="shared" ca="1" si="40"/>
        <v>3.6093866349218509</v>
      </c>
      <c r="Q86" s="42">
        <f t="shared" ca="1" si="40"/>
        <v>9.438857523014213E-2</v>
      </c>
      <c r="R86" s="42">
        <f t="shared" ca="1" si="40"/>
        <v>2.7642841740050028</v>
      </c>
      <c r="S86" s="42">
        <f t="shared" ca="1" si="35"/>
        <v>0</v>
      </c>
      <c r="T86" s="51">
        <f t="shared" ca="1" si="36"/>
        <v>8.0393211346057392</v>
      </c>
      <c r="V86" s="42">
        <f t="shared" ca="1" si="41"/>
        <v>0.60739297559370964</v>
      </c>
      <c r="W86" s="42">
        <f t="shared" ca="1" si="41"/>
        <v>0</v>
      </c>
      <c r="X86" s="42">
        <f t="shared" ca="1" si="41"/>
        <v>2.2557990307438897E-2</v>
      </c>
      <c r="Y86" s="42">
        <f t="shared" ca="1" si="41"/>
        <v>2.4449490134207594E-3</v>
      </c>
      <c r="Z86" s="42">
        <f t="shared" ca="1" si="41"/>
        <v>1.5374569539731521E-2</v>
      </c>
      <c r="AA86" s="42">
        <f t="shared" ca="1" si="41"/>
        <v>1.666373560571105E-3</v>
      </c>
      <c r="AB86" s="42">
        <f t="shared" ca="1" si="41"/>
        <v>0.43660244558887401</v>
      </c>
      <c r="AC86" s="42">
        <f t="shared" ca="1" si="41"/>
        <v>4.7321179947824997E-2</v>
      </c>
      <c r="AD86" s="42">
        <f t="shared" ca="1" si="41"/>
        <v>0.60360385353564705</v>
      </c>
      <c r="AE86" s="42">
        <f t="shared" ca="1" si="41"/>
        <v>3.4819984577780767</v>
      </c>
      <c r="AF86" s="42">
        <f t="shared" ca="1" si="41"/>
        <v>9.0847457532358594E-2</v>
      </c>
      <c r="AG86" s="42">
        <f t="shared" ca="1" si="41"/>
        <v>2.004055363455469</v>
      </c>
      <c r="AH86" s="42">
        <f t="shared" ca="1" si="37"/>
        <v>0</v>
      </c>
      <c r="AI86" s="51">
        <f t="shared" ca="1" si="38"/>
        <v>7.313865615853123</v>
      </c>
    </row>
    <row r="87" spans="4:35" ht="12" customHeight="1" x14ac:dyDescent="0.2">
      <c r="D87" s="347">
        <f t="shared" si="39"/>
        <v>76</v>
      </c>
      <c r="E87" s="43">
        <f t="shared" si="34"/>
        <v>89</v>
      </c>
      <c r="G87" s="42">
        <f t="shared" ca="1" si="40"/>
        <v>0.30112260040118971</v>
      </c>
      <c r="H87" s="42">
        <f t="shared" ca="1" si="40"/>
        <v>0</v>
      </c>
      <c r="I87" s="42">
        <f t="shared" ca="1" si="40"/>
        <v>1.9005502533964255E-2</v>
      </c>
      <c r="J87" s="42">
        <f t="shared" ca="1" si="40"/>
        <v>2.0599124317673885E-3</v>
      </c>
      <c r="K87" s="42">
        <f t="shared" ca="1" si="40"/>
        <v>1.295334452952657E-2</v>
      </c>
      <c r="L87" s="42">
        <f t="shared" ca="1" si="40"/>
        <v>1.4039489553961438E-3</v>
      </c>
      <c r="M87" s="42">
        <f t="shared" ca="1" si="40"/>
        <v>0.36784521905029688</v>
      </c>
      <c r="N87" s="42">
        <f t="shared" ca="1" si="40"/>
        <v>3.9868924188338956E-2</v>
      </c>
      <c r="O87" s="42">
        <f t="shared" ca="1" si="40"/>
        <v>0.71916347078534071</v>
      </c>
      <c r="P87" s="42">
        <f t="shared" ca="1" si="40"/>
        <v>3.3566065521606658</v>
      </c>
      <c r="Q87" s="42">
        <f t="shared" ca="1" si="40"/>
        <v>8.777606795390934E-2</v>
      </c>
      <c r="R87" s="42">
        <f t="shared" ca="1" si="40"/>
        <v>2.5640889595616225</v>
      </c>
      <c r="S87" s="42">
        <f t="shared" ca="1" si="35"/>
        <v>0</v>
      </c>
      <c r="T87" s="51">
        <f t="shared" ca="1" si="36"/>
        <v>7.4718945025520185</v>
      </c>
      <c r="V87" s="42">
        <f t="shared" ca="1" si="41"/>
        <v>0.56050716310178106</v>
      </c>
      <c r="W87" s="42">
        <f t="shared" ca="1" si="41"/>
        <v>0</v>
      </c>
      <c r="X87" s="42">
        <f t="shared" ca="1" si="41"/>
        <v>2.1009790444201072E-2</v>
      </c>
      <c r="Y87" s="42">
        <f t="shared" ca="1" si="41"/>
        <v>2.2771472865553474E-3</v>
      </c>
      <c r="Z87" s="42">
        <f t="shared" ca="1" si="41"/>
        <v>1.4319382170008103E-2</v>
      </c>
      <c r="AA87" s="42">
        <f t="shared" ca="1" si="41"/>
        <v>1.5520070197836242E-3</v>
      </c>
      <c r="AB87" s="42">
        <f t="shared" ca="1" si="41"/>
        <v>0.40663754901175792</v>
      </c>
      <c r="AC87" s="42">
        <f t="shared" ca="1" si="41"/>
        <v>4.4073432993198658E-2</v>
      </c>
      <c r="AD87" s="42">
        <f t="shared" ca="1" si="41"/>
        <v>0.56737653849771585</v>
      </c>
      <c r="AE87" s="42">
        <f t="shared" ca="1" si="41"/>
        <v>3.2454960328238553</v>
      </c>
      <c r="AF87" s="42">
        <f t="shared" ca="1" si="41"/>
        <v>8.4678136248474645E-2</v>
      </c>
      <c r="AG87" s="42">
        <f t="shared" ca="1" si="41"/>
        <v>1.8716350010062757</v>
      </c>
      <c r="AH87" s="42">
        <f t="shared" ca="1" si="37"/>
        <v>0</v>
      </c>
      <c r="AI87" s="51">
        <f t="shared" ca="1" si="38"/>
        <v>6.8195621806036071</v>
      </c>
    </row>
    <row r="88" spans="4:35" ht="12" customHeight="1" x14ac:dyDescent="0.2">
      <c r="D88" s="347">
        <f t="shared" si="39"/>
        <v>77</v>
      </c>
      <c r="E88" s="43">
        <f t="shared" si="34"/>
        <v>89.25</v>
      </c>
      <c r="G88" s="42">
        <f t="shared" ca="1" si="40"/>
        <v>0.27787837739105065</v>
      </c>
      <c r="H88" s="42">
        <f t="shared" ca="1" si="40"/>
        <v>0</v>
      </c>
      <c r="I88" s="42">
        <f t="shared" ca="1" si="40"/>
        <v>1.7701116991509863E-2</v>
      </c>
      <c r="J88" s="42">
        <f t="shared" ca="1" si="40"/>
        <v>1.9185365333970234E-3</v>
      </c>
      <c r="K88" s="42">
        <f t="shared" ca="1" si="40"/>
        <v>1.2064330661013993E-2</v>
      </c>
      <c r="L88" s="42">
        <f t="shared" ca="1" si="40"/>
        <v>1.3075931386272884E-3</v>
      </c>
      <c r="M88" s="42">
        <f t="shared" ca="1" si="40"/>
        <v>0.3425992680562247</v>
      </c>
      <c r="N88" s="42">
        <f t="shared" ca="1" si="40"/>
        <v>3.7132640408862792E-2</v>
      </c>
      <c r="O88" s="42">
        <f t="shared" ca="1" si="40"/>
        <v>0.67238342592647815</v>
      </c>
      <c r="P88" s="42">
        <f t="shared" ca="1" si="40"/>
        <v>3.1216029683034887</v>
      </c>
      <c r="Q88" s="42">
        <f t="shared" ca="1" si="40"/>
        <v>8.1628751535334221E-2</v>
      </c>
      <c r="R88" s="42">
        <f t="shared" ca="1" si="40"/>
        <v>2.3785189836524432</v>
      </c>
      <c r="S88" s="42">
        <f t="shared" ca="1" si="35"/>
        <v>0</v>
      </c>
      <c r="T88" s="51">
        <f t="shared" ca="1" si="36"/>
        <v>6.9447359925984298</v>
      </c>
      <c r="V88" s="42">
        <f t="shared" ca="1" si="41"/>
        <v>0.51724055514688139</v>
      </c>
      <c r="W88" s="42">
        <f t="shared" ca="1" si="41"/>
        <v>0</v>
      </c>
      <c r="X88" s="42">
        <f t="shared" ca="1" si="41"/>
        <v>1.9567846625223505E-2</v>
      </c>
      <c r="Y88" s="42">
        <f t="shared" ca="1" si="41"/>
        <v>2.1208621268594152E-3</v>
      </c>
      <c r="Z88" s="42">
        <f t="shared" ca="1" si="41"/>
        <v>1.333661441387754E-2</v>
      </c>
      <c r="AA88" s="42">
        <f t="shared" ca="1" si="41"/>
        <v>1.4454896827768436E-3</v>
      </c>
      <c r="AB88" s="42">
        <f t="shared" ca="1" si="41"/>
        <v>0.37872920304710156</v>
      </c>
      <c r="AC88" s="42">
        <f t="shared" ca="1" si="41"/>
        <v>4.1048585389199553E-2</v>
      </c>
      <c r="AD88" s="42">
        <f t="shared" ca="1" si="41"/>
        <v>0.53323423862146546</v>
      </c>
      <c r="AE88" s="42">
        <f t="shared" ca="1" si="41"/>
        <v>3.0250161473995281</v>
      </c>
      <c r="AF88" s="42">
        <f t="shared" ca="1" si="41"/>
        <v>7.892667345887093E-2</v>
      </c>
      <c r="AG88" s="42">
        <f t="shared" ca="1" si="41"/>
        <v>1.7478700359030968</v>
      </c>
      <c r="AH88" s="42">
        <f t="shared" ca="1" si="37"/>
        <v>0</v>
      </c>
      <c r="AI88" s="51">
        <f t="shared" ca="1" si="38"/>
        <v>6.3585362518148809</v>
      </c>
    </row>
    <row r="89" spans="4:35" ht="12" customHeight="1" x14ac:dyDescent="0.2">
      <c r="D89" s="347">
        <f t="shared" si="39"/>
        <v>78</v>
      </c>
      <c r="E89" s="43">
        <f t="shared" si="34"/>
        <v>89.5</v>
      </c>
      <c r="G89" s="42">
        <f t="shared" ca="1" si="40"/>
        <v>0.25642841991470156</v>
      </c>
      <c r="H89" s="42">
        <f t="shared" ca="1" si="40"/>
        <v>0</v>
      </c>
      <c r="I89" s="42">
        <f t="shared" ca="1" si="40"/>
        <v>1.6486254030230237E-2</v>
      </c>
      <c r="J89" s="42">
        <f t="shared" ca="1" si="40"/>
        <v>1.7868635448842773E-3</v>
      </c>
      <c r="K89" s="42">
        <f t="shared" ca="1" si="40"/>
        <v>1.123633158729871E-2</v>
      </c>
      <c r="L89" s="42">
        <f t="shared" ca="1" si="40"/>
        <v>1.2178504137301197E-3</v>
      </c>
      <c r="M89" s="42">
        <f t="shared" ca="1" si="40"/>
        <v>0.31908599702803769</v>
      </c>
      <c r="N89" s="42">
        <f t="shared" ca="1" si="40"/>
        <v>3.4584153242268753E-2</v>
      </c>
      <c r="O89" s="42">
        <f t="shared" ca="1" si="40"/>
        <v>0.62861502069029529</v>
      </c>
      <c r="P89" s="42">
        <f t="shared" ca="1" si="40"/>
        <v>2.9031197003847322</v>
      </c>
      <c r="Q89" s="42">
        <f t="shared" ca="1" si="40"/>
        <v>7.5913738810878234E-2</v>
      </c>
      <c r="R89" s="42">
        <f t="shared" ca="1" si="40"/>
        <v>2.2064956548710586</v>
      </c>
      <c r="S89" s="42">
        <f t="shared" ca="1" si="35"/>
        <v>0</v>
      </c>
      <c r="T89" s="51">
        <f t="shared" ca="1" si="36"/>
        <v>6.4549699845181152</v>
      </c>
      <c r="V89" s="42">
        <f t="shared" ca="1" si="41"/>
        <v>0.47731377848613243</v>
      </c>
      <c r="W89" s="42">
        <f t="shared" ca="1" si="41"/>
        <v>0</v>
      </c>
      <c r="X89" s="42">
        <f t="shared" ca="1" si="41"/>
        <v>1.8224866286277286E-2</v>
      </c>
      <c r="Y89" s="42">
        <f t="shared" ca="1" si="41"/>
        <v>1.9753031293601024E-3</v>
      </c>
      <c r="Z89" s="42">
        <f t="shared" ca="1" si="41"/>
        <v>1.2421295968829186E-2</v>
      </c>
      <c r="AA89" s="42">
        <f t="shared" ca="1" si="41"/>
        <v>1.3462828430412664E-3</v>
      </c>
      <c r="AB89" s="42">
        <f t="shared" ca="1" si="41"/>
        <v>0.35273626252489848</v>
      </c>
      <c r="AC89" s="42">
        <f t="shared" ca="1" si="41"/>
        <v>3.8231339108855698E-2</v>
      </c>
      <c r="AD89" s="42">
        <f t="shared" ca="1" si="41"/>
        <v>0.5010648351756638</v>
      </c>
      <c r="AE89" s="42">
        <f t="shared" ca="1" si="41"/>
        <v>2.8194768139717894</v>
      </c>
      <c r="AF89" s="42">
        <f t="shared" ca="1" si="41"/>
        <v>7.3564860119664913E-2</v>
      </c>
      <c r="AG89" s="42">
        <f t="shared" ca="1" si="41"/>
        <v>1.6322030150150275</v>
      </c>
      <c r="AH89" s="42">
        <f t="shared" ca="1" si="37"/>
        <v>0</v>
      </c>
      <c r="AI89" s="51">
        <f t="shared" ca="1" si="38"/>
        <v>5.9285586526295404</v>
      </c>
    </row>
    <row r="90" spans="4:35" ht="12" customHeight="1" x14ac:dyDescent="0.2">
      <c r="D90" s="347">
        <f t="shared" si="39"/>
        <v>79</v>
      </c>
      <c r="E90" s="43">
        <f t="shared" si="34"/>
        <v>89.75</v>
      </c>
      <c r="G90" s="42">
        <f t="shared" ca="1" si="40"/>
        <v>0.23663422522226171</v>
      </c>
      <c r="H90" s="42">
        <f t="shared" ca="1" si="40"/>
        <v>0</v>
      </c>
      <c r="I90" s="42">
        <f t="shared" ca="1" si="40"/>
        <v>1.5354769536840347E-2</v>
      </c>
      <c r="J90" s="42">
        <f t="shared" ca="1" si="40"/>
        <v>1.6642275361746619E-3</v>
      </c>
      <c r="K90" s="42">
        <f t="shared" ca="1" si="40"/>
        <v>1.0465159741329166E-2</v>
      </c>
      <c r="L90" s="42">
        <f t="shared" ca="1" si="40"/>
        <v>1.1342669110206904E-3</v>
      </c>
      <c r="M90" s="42">
        <f t="shared" ca="1" si="40"/>
        <v>0.29718648868411374</v>
      </c>
      <c r="N90" s="42">
        <f t="shared" ca="1" si="40"/>
        <v>3.2210573832483318E-2</v>
      </c>
      <c r="O90" s="42">
        <f t="shared" ca="1" si="40"/>
        <v>0.58766691897114676</v>
      </c>
      <c r="P90" s="42">
        <f t="shared" ca="1" si="40"/>
        <v>2.6999898346531013</v>
      </c>
      <c r="Q90" s="42">
        <f t="shared" ca="1" si="40"/>
        <v>7.0600480877776775E-2</v>
      </c>
      <c r="R90" s="42">
        <f t="shared" ca="1" si="40"/>
        <v>2.0470207320433258</v>
      </c>
      <c r="S90" s="42">
        <f t="shared" ca="1" si="35"/>
        <v>0</v>
      </c>
      <c r="T90" s="51">
        <f t="shared" ca="1" si="36"/>
        <v>5.9999276780095743</v>
      </c>
      <c r="V90" s="42">
        <f t="shared" ca="1" si="41"/>
        <v>0.44046902522562642</v>
      </c>
      <c r="W90" s="42">
        <f t="shared" ca="1" si="41"/>
        <v>0</v>
      </c>
      <c r="X90" s="42">
        <f t="shared" ca="1" si="41"/>
        <v>1.697405736636045E-2</v>
      </c>
      <c r="Y90" s="42">
        <f t="shared" ca="1" si="41"/>
        <v>1.8397341361541749E-3</v>
      </c>
      <c r="Z90" s="42">
        <f t="shared" ca="1" si="41"/>
        <v>1.1568797654126202E-2</v>
      </c>
      <c r="AA90" s="42">
        <f t="shared" ca="1" si="41"/>
        <v>1.253884766569508E-3</v>
      </c>
      <c r="AB90" s="42">
        <f t="shared" ca="1" si="41"/>
        <v>0.32852726934965182</v>
      </c>
      <c r="AC90" s="42">
        <f t="shared" ca="1" si="41"/>
        <v>3.5607446059295764E-2</v>
      </c>
      <c r="AD90" s="42">
        <f t="shared" ca="1" si="41"/>
        <v>0.47076151295506202</v>
      </c>
      <c r="AE90" s="42">
        <f t="shared" ca="1" si="41"/>
        <v>2.6278688104986299</v>
      </c>
      <c r="AF90" s="42">
        <f t="shared" ca="1" si="41"/>
        <v>6.8566383557581365E-2</v>
      </c>
      <c r="AG90" s="42">
        <f t="shared" ca="1" si="41"/>
        <v>1.5241116524710567</v>
      </c>
      <c r="AH90" s="42">
        <f t="shared" ca="1" si="37"/>
        <v>0</v>
      </c>
      <c r="AI90" s="51">
        <f t="shared" ca="1" si="38"/>
        <v>5.5275485740401145</v>
      </c>
    </row>
    <row r="91" spans="4:35" ht="12" customHeight="1" x14ac:dyDescent="0.2">
      <c r="D91" s="347">
        <f t="shared" si="39"/>
        <v>80</v>
      </c>
      <c r="E91" s="43">
        <f t="shared" si="34"/>
        <v>90</v>
      </c>
      <c r="G91" s="42">
        <f t="shared" ref="G91:R100" ca="1" si="42">AVERAGE(OFFSET(C.Trace.Markov.Root, $D91, (G$2-1)*C.Trace.Markov.NumCols+G$3-1, 2))*G$6</f>
        <v>0.2114647863434897</v>
      </c>
      <c r="H91" s="42">
        <f t="shared" ca="1" si="42"/>
        <v>0</v>
      </c>
      <c r="I91" s="42">
        <f t="shared" ca="1" si="42"/>
        <v>1.4300941080803408E-2</v>
      </c>
      <c r="J91" s="42">
        <f t="shared" ca="1" si="42"/>
        <v>1.5500082813214239E-3</v>
      </c>
      <c r="K91" s="42">
        <f t="shared" ca="1" si="42"/>
        <v>9.7469149571320184E-3</v>
      </c>
      <c r="L91" s="42">
        <f t="shared" ca="1" si="42"/>
        <v>1.0564199107966354E-3</v>
      </c>
      <c r="M91" s="42">
        <f t="shared" ca="1" si="42"/>
        <v>0.27678998727303078</v>
      </c>
      <c r="N91" s="42">
        <f t="shared" ca="1" si="42"/>
        <v>2.9999897911330113E-2</v>
      </c>
      <c r="O91" s="42">
        <f t="shared" ca="1" si="42"/>
        <v>0.53157443499289725</v>
      </c>
      <c r="P91" s="42">
        <f t="shared" ca="1" si="42"/>
        <v>3.0535395575297835</v>
      </c>
      <c r="Q91" s="42">
        <f t="shared" ca="1" si="42"/>
        <v>7.0651149543078773E-2</v>
      </c>
      <c r="R91" s="42">
        <f t="shared" ca="1" si="42"/>
        <v>1.8129098048378427</v>
      </c>
      <c r="S91" s="42">
        <f t="shared" ca="1" si="35"/>
        <v>0</v>
      </c>
      <c r="T91" s="51">
        <f t="shared" ca="1" si="36"/>
        <v>6.013583902661507</v>
      </c>
      <c r="V91" s="42">
        <f t="shared" ref="V91:AG100" ca="1" si="43">AVERAGE(OFFSET(C.Trace.Markov.Root, $D91, (V$2-1)*C.Trace.Markov.NumCols+V$3-1, 2))*V$6</f>
        <v>0.39361883608668979</v>
      </c>
      <c r="W91" s="42">
        <f t="shared" ca="1" si="43"/>
        <v>0</v>
      </c>
      <c r="X91" s="42">
        <f t="shared" ca="1" si="43"/>
        <v>1.58090939571633E-2</v>
      </c>
      <c r="Y91" s="42">
        <f t="shared" ca="1" si="43"/>
        <v>1.713469513323453E-3</v>
      </c>
      <c r="Z91" s="42">
        <f t="shared" ca="1" si="43"/>
        <v>1.0774807998937909E-2</v>
      </c>
      <c r="AA91" s="42">
        <f t="shared" ca="1" si="43"/>
        <v>1.1678281543597432E-3</v>
      </c>
      <c r="AB91" s="42">
        <f t="shared" ca="1" si="43"/>
        <v>0.30597978765713157</v>
      </c>
      <c r="AC91" s="42">
        <f t="shared" ca="1" si="43"/>
        <v>3.3163636022677793E-2</v>
      </c>
      <c r="AD91" s="42">
        <f t="shared" ca="1" si="43"/>
        <v>0.42778003532971354</v>
      </c>
      <c r="AE91" s="42">
        <f t="shared" ca="1" si="43"/>
        <v>2.9790974643174972</v>
      </c>
      <c r="AF91" s="42">
        <f t="shared" ca="1" si="43"/>
        <v>6.8769334084146233E-2</v>
      </c>
      <c r="AG91" s="42">
        <f t="shared" ca="1" si="43"/>
        <v>1.3564942306974421</v>
      </c>
      <c r="AH91" s="42">
        <f t="shared" ca="1" si="37"/>
        <v>0</v>
      </c>
      <c r="AI91" s="51">
        <f t="shared" ca="1" si="38"/>
        <v>5.5943685238190826</v>
      </c>
    </row>
    <row r="92" spans="4:35" ht="12" customHeight="1" x14ac:dyDescent="0.2">
      <c r="D92" s="347">
        <f t="shared" si="39"/>
        <v>81</v>
      </c>
      <c r="E92" s="43">
        <f t="shared" si="34"/>
        <v>90.25</v>
      </c>
      <c r="G92" s="42">
        <f t="shared" ca="1" si="42"/>
        <v>0.18228751071072036</v>
      </c>
      <c r="H92" s="42">
        <f t="shared" ca="1" si="42"/>
        <v>0</v>
      </c>
      <c r="I92" s="42">
        <f t="shared" ca="1" si="42"/>
        <v>1.289111412729577E-2</v>
      </c>
      <c r="J92" s="42">
        <f t="shared" ca="1" si="42"/>
        <v>1.4436281217214805E-3</v>
      </c>
      <c r="K92" s="42">
        <f t="shared" ca="1" si="42"/>
        <v>8.7860366944729883E-3</v>
      </c>
      <c r="L92" s="42">
        <f t="shared" ca="1" si="42"/>
        <v>9.8391570545181277E-4</v>
      </c>
      <c r="M92" s="42">
        <f t="shared" ca="1" si="42"/>
        <v>0.24950325262293366</v>
      </c>
      <c r="N92" s="42">
        <f t="shared" ca="1" si="42"/>
        <v>2.7940945087498382E-2</v>
      </c>
      <c r="O92" s="42">
        <f t="shared" ca="1" si="42"/>
        <v>0.46378490804659178</v>
      </c>
      <c r="P92" s="42">
        <f t="shared" ca="1" si="42"/>
        <v>3.2575435909572472</v>
      </c>
      <c r="Q92" s="42">
        <f t="shared" ca="1" si="42"/>
        <v>8.597113894580119E-2</v>
      </c>
      <c r="R92" s="42">
        <f t="shared" ca="1" si="42"/>
        <v>1.528051443129804</v>
      </c>
      <c r="S92" s="42">
        <f t="shared" ca="1" si="35"/>
        <v>0</v>
      </c>
      <c r="T92" s="51">
        <f t="shared" ca="1" si="36"/>
        <v>5.8191874841495395</v>
      </c>
      <c r="V92" s="42">
        <f t="shared" ca="1" si="43"/>
        <v>0.33930849215975267</v>
      </c>
      <c r="W92" s="42">
        <f t="shared" ca="1" si="43"/>
        <v>0</v>
      </c>
      <c r="X92" s="42">
        <f t="shared" ca="1" si="43"/>
        <v>1.4250589055603948E-2</v>
      </c>
      <c r="Y92" s="42">
        <f t="shared" ca="1" si="43"/>
        <v>1.5958706833729519E-3</v>
      </c>
      <c r="Z92" s="42">
        <f t="shared" ca="1" si="43"/>
        <v>9.7125971521172597E-3</v>
      </c>
      <c r="AA92" s="42">
        <f t="shared" ca="1" si="43"/>
        <v>1.0876777790725968E-3</v>
      </c>
      <c r="AB92" s="42">
        <f t="shared" ca="1" si="43"/>
        <v>0.27581544046975515</v>
      </c>
      <c r="AC92" s="42">
        <f t="shared" ca="1" si="43"/>
        <v>3.0887549542675759E-2</v>
      </c>
      <c r="AD92" s="42">
        <f t="shared" ca="1" si="43"/>
        <v>0.37489762291727696</v>
      </c>
      <c r="AE92" s="42">
        <f t="shared" ca="1" si="43"/>
        <v>3.1867476163536268</v>
      </c>
      <c r="AF92" s="42">
        <f t="shared" ca="1" si="43"/>
        <v>8.3875252706768141E-2</v>
      </c>
      <c r="AG92" s="42">
        <f t="shared" ca="1" si="43"/>
        <v>1.1484407213079877</v>
      </c>
      <c r="AH92" s="42">
        <f t="shared" ca="1" si="37"/>
        <v>0</v>
      </c>
      <c r="AI92" s="51">
        <f t="shared" ca="1" si="38"/>
        <v>5.4666194301280102</v>
      </c>
    </row>
    <row r="93" spans="4:35" ht="12" customHeight="1" x14ac:dyDescent="0.2">
      <c r="D93" s="347">
        <f t="shared" si="39"/>
        <v>82</v>
      </c>
      <c r="E93" s="43">
        <f t="shared" si="34"/>
        <v>90.5</v>
      </c>
      <c r="G93" s="42">
        <f t="shared" ca="1" si="42"/>
        <v>0.15713602787338971</v>
      </c>
      <c r="H93" s="42">
        <f t="shared" ca="1" si="42"/>
        <v>0</v>
      </c>
      <c r="I93" s="42">
        <f t="shared" ca="1" si="42"/>
        <v>1.1208820538058828E-2</v>
      </c>
      <c r="J93" s="42">
        <f t="shared" ca="1" si="42"/>
        <v>1.3013112052790686E-3</v>
      </c>
      <c r="K93" s="42">
        <f t="shared" ca="1" si="42"/>
        <v>7.6394567278418929E-3</v>
      </c>
      <c r="L93" s="42">
        <f t="shared" ca="1" si="42"/>
        <v>8.8691853067235252E-4</v>
      </c>
      <c r="M93" s="42">
        <f t="shared" ca="1" si="42"/>
        <v>0.21694301630537835</v>
      </c>
      <c r="N93" s="42">
        <f t="shared" ca="1" si="42"/>
        <v>2.5186448214302461E-2</v>
      </c>
      <c r="O93" s="42">
        <f t="shared" ca="1" si="42"/>
        <v>0.40481961816514889</v>
      </c>
      <c r="P93" s="42">
        <f t="shared" ca="1" si="42"/>
        <v>2.8015485172082686</v>
      </c>
      <c r="Q93" s="42">
        <f t="shared" ca="1" si="42"/>
        <v>9.1714787840097622E-2</v>
      </c>
      <c r="R93" s="42">
        <f t="shared" ca="1" si="42"/>
        <v>1.2930481055345808</v>
      </c>
      <c r="S93" s="42">
        <f t="shared" ca="1" si="35"/>
        <v>0</v>
      </c>
      <c r="T93" s="51">
        <f t="shared" ca="1" si="36"/>
        <v>5.0114330281430188</v>
      </c>
      <c r="V93" s="42">
        <f t="shared" ca="1" si="43"/>
        <v>0.29249172625054176</v>
      </c>
      <c r="W93" s="42">
        <f t="shared" ca="1" si="43"/>
        <v>0</v>
      </c>
      <c r="X93" s="42">
        <f t="shared" ca="1" si="43"/>
        <v>1.2390883651217642E-2</v>
      </c>
      <c r="Y93" s="42">
        <f t="shared" ca="1" si="43"/>
        <v>1.4385452674426705E-3</v>
      </c>
      <c r="Z93" s="42">
        <f t="shared" ca="1" si="43"/>
        <v>8.4451008160751698E-3</v>
      </c>
      <c r="AA93" s="42">
        <f t="shared" ca="1" si="43"/>
        <v>9.8045144753234215E-4</v>
      </c>
      <c r="AB93" s="42">
        <f t="shared" ca="1" si="43"/>
        <v>0.23982145711556632</v>
      </c>
      <c r="AC93" s="42">
        <f t="shared" ca="1" si="43"/>
        <v>2.7842568123129862E-2</v>
      </c>
      <c r="AD93" s="42">
        <f t="shared" ca="1" si="43"/>
        <v>0.32872680459893749</v>
      </c>
      <c r="AE93" s="42">
        <f t="shared" ca="1" si="43"/>
        <v>2.7510230639547806</v>
      </c>
      <c r="AF93" s="42">
        <f t="shared" ca="1" si="43"/>
        <v>8.972155655725976E-2</v>
      </c>
      <c r="AG93" s="42">
        <f t="shared" ca="1" si="43"/>
        <v>0.9772500021638636</v>
      </c>
      <c r="AH93" s="42">
        <f t="shared" ca="1" si="37"/>
        <v>0</v>
      </c>
      <c r="AI93" s="51">
        <f t="shared" ca="1" si="38"/>
        <v>4.7301321599463471</v>
      </c>
    </row>
    <row r="94" spans="4:35" ht="12" customHeight="1" x14ac:dyDescent="0.2">
      <c r="D94" s="347">
        <f t="shared" si="39"/>
        <v>83</v>
      </c>
      <c r="E94" s="43">
        <f t="shared" si="34"/>
        <v>90.75</v>
      </c>
      <c r="G94" s="42">
        <f t="shared" ca="1" si="42"/>
        <v>0.1354548710416647</v>
      </c>
      <c r="H94" s="42">
        <f t="shared" ca="1" si="42"/>
        <v>0</v>
      </c>
      <c r="I94" s="42">
        <f t="shared" ca="1" si="42"/>
        <v>9.7494643075933026E-3</v>
      </c>
      <c r="J94" s="42">
        <f t="shared" ca="1" si="42"/>
        <v>1.1314897704034152E-3</v>
      </c>
      <c r="K94" s="42">
        <f t="shared" ca="1" si="42"/>
        <v>6.6448214104779316E-3</v>
      </c>
      <c r="L94" s="42">
        <f t="shared" ca="1" si="42"/>
        <v>7.7117544255817254E-4</v>
      </c>
      <c r="M94" s="42">
        <f t="shared" ca="1" si="42"/>
        <v>0.18869765887225207</v>
      </c>
      <c r="N94" s="42">
        <f t="shared" ca="1" si="42"/>
        <v>2.1899610478776369E-2</v>
      </c>
      <c r="O94" s="42">
        <f t="shared" ca="1" si="42"/>
        <v>0.35335262260008832</v>
      </c>
      <c r="P94" s="42">
        <f t="shared" ca="1" si="42"/>
        <v>2.4137269501908429</v>
      </c>
      <c r="Q94" s="42">
        <f t="shared" ca="1" si="42"/>
        <v>7.8876435788229074E-2</v>
      </c>
      <c r="R94" s="42">
        <f t="shared" ca="1" si="42"/>
        <v>1.0946558071797157</v>
      </c>
      <c r="S94" s="42">
        <f t="shared" ca="1" si="35"/>
        <v>0</v>
      </c>
      <c r="T94" s="51">
        <f t="shared" ca="1" si="36"/>
        <v>4.3049609070826023</v>
      </c>
      <c r="V94" s="42">
        <f t="shared" ca="1" si="43"/>
        <v>0.25213459698716495</v>
      </c>
      <c r="W94" s="42">
        <f t="shared" ca="1" si="43"/>
        <v>0</v>
      </c>
      <c r="X94" s="42">
        <f t="shared" ca="1" si="43"/>
        <v>1.0777626199554533E-2</v>
      </c>
      <c r="Y94" s="42">
        <f t="shared" ca="1" si="43"/>
        <v>1.2508147534352199E-3</v>
      </c>
      <c r="Z94" s="42">
        <f t="shared" ca="1" si="43"/>
        <v>7.3455729530852989E-3</v>
      </c>
      <c r="AA94" s="42">
        <f t="shared" ca="1" si="43"/>
        <v>8.5250229058172089E-4</v>
      </c>
      <c r="AB94" s="42">
        <f t="shared" ca="1" si="43"/>
        <v>0.20859739242003736</v>
      </c>
      <c r="AC94" s="42">
        <f t="shared" ca="1" si="43"/>
        <v>2.4209106081066641E-2</v>
      </c>
      <c r="AD94" s="42">
        <f t="shared" ca="1" si="43"/>
        <v>0.28822170196444558</v>
      </c>
      <c r="AE94" s="42">
        <f t="shared" ca="1" si="43"/>
        <v>2.3789853539708941</v>
      </c>
      <c r="AF94" s="42">
        <f t="shared" ca="1" si="43"/>
        <v>7.7453912621223142E-2</v>
      </c>
      <c r="AG94" s="42">
        <f t="shared" ca="1" si="43"/>
        <v>0.83200133032323065</v>
      </c>
      <c r="AH94" s="42">
        <f t="shared" ca="1" si="37"/>
        <v>0</v>
      </c>
      <c r="AI94" s="51">
        <f t="shared" ca="1" si="38"/>
        <v>4.0818299105647196</v>
      </c>
    </row>
    <row r="95" spans="4:35" ht="12" customHeight="1" x14ac:dyDescent="0.2">
      <c r="D95" s="347">
        <f t="shared" si="39"/>
        <v>84</v>
      </c>
      <c r="E95" s="43">
        <f t="shared" si="34"/>
        <v>91</v>
      </c>
      <c r="G95" s="42">
        <f t="shared" ca="1" si="42"/>
        <v>0.11676521506384074</v>
      </c>
      <c r="H95" s="42">
        <f t="shared" ca="1" si="42"/>
        <v>0</v>
      </c>
      <c r="I95" s="42">
        <f t="shared" ca="1" si="42"/>
        <v>8.4804045410686885E-3</v>
      </c>
      <c r="J95" s="42">
        <f t="shared" ca="1" si="42"/>
        <v>9.8417305313244731E-4</v>
      </c>
      <c r="K95" s="42">
        <f t="shared" ca="1" si="42"/>
        <v>5.7798840927207745E-3</v>
      </c>
      <c r="L95" s="42">
        <f t="shared" ca="1" si="42"/>
        <v>6.7077061556875038E-4</v>
      </c>
      <c r="M95" s="42">
        <f t="shared" ca="1" si="42"/>
        <v>0.164135426593946</v>
      </c>
      <c r="N95" s="42">
        <f t="shared" ca="1" si="42"/>
        <v>1.9048344113287284E-2</v>
      </c>
      <c r="O95" s="42">
        <f t="shared" ca="1" si="42"/>
        <v>0.30841532205989541</v>
      </c>
      <c r="P95" s="42">
        <f t="shared" ca="1" si="42"/>
        <v>2.080294120991391</v>
      </c>
      <c r="Q95" s="42">
        <f t="shared" ca="1" si="42"/>
        <v>6.7957480524651087E-2</v>
      </c>
      <c r="R95" s="42">
        <f t="shared" ca="1" si="42"/>
        <v>0.92701293975319177</v>
      </c>
      <c r="S95" s="42">
        <f t="shared" ca="1" si="35"/>
        <v>0</v>
      </c>
      <c r="T95" s="51">
        <f t="shared" ca="1" si="36"/>
        <v>3.6995440814026939</v>
      </c>
      <c r="V95" s="42">
        <f t="shared" ca="1" si="43"/>
        <v>0.21734582312056885</v>
      </c>
      <c r="W95" s="42">
        <f t="shared" ca="1" si="43"/>
        <v>0</v>
      </c>
      <c r="X95" s="42">
        <f t="shared" ca="1" si="43"/>
        <v>9.3747335526381641E-3</v>
      </c>
      <c r="Y95" s="42">
        <f t="shared" ca="1" si="43"/>
        <v>1.0879622662010888E-3</v>
      </c>
      <c r="Z95" s="42">
        <f t="shared" ca="1" si="43"/>
        <v>6.3894208197243316E-3</v>
      </c>
      <c r="AA95" s="42">
        <f t="shared" ca="1" si="43"/>
        <v>7.4150894163637108E-4</v>
      </c>
      <c r="AB95" s="42">
        <f t="shared" ca="1" si="43"/>
        <v>0.1814448689817969</v>
      </c>
      <c r="AC95" s="42">
        <f t="shared" ca="1" si="43"/>
        <v>2.105715002347381E-2</v>
      </c>
      <c r="AD95" s="42">
        <f t="shared" ca="1" si="43"/>
        <v>0.25267352890438782</v>
      </c>
      <c r="AE95" s="42">
        <f t="shared" ca="1" si="43"/>
        <v>2.0577759831317768</v>
      </c>
      <c r="AF95" s="42">
        <f t="shared" ca="1" si="43"/>
        <v>6.6979345301722976E-2</v>
      </c>
      <c r="AG95" s="42">
        <f t="shared" ca="1" si="43"/>
        <v>0.70861279523299359</v>
      </c>
      <c r="AH95" s="42">
        <f t="shared" ca="1" si="37"/>
        <v>0</v>
      </c>
      <c r="AI95" s="51">
        <f t="shared" ca="1" si="38"/>
        <v>3.523483120276921</v>
      </c>
    </row>
    <row r="96" spans="4:35" ht="12" customHeight="1" x14ac:dyDescent="0.2">
      <c r="D96" s="347">
        <f t="shared" si="39"/>
        <v>85</v>
      </c>
      <c r="E96" s="43">
        <f t="shared" si="34"/>
        <v>91.25</v>
      </c>
      <c r="G96" s="42">
        <f t="shared" ca="1" si="42"/>
        <v>0.10065430164346947</v>
      </c>
      <c r="H96" s="42">
        <f t="shared" ca="1" si="42"/>
        <v>0</v>
      </c>
      <c r="I96" s="42">
        <f t="shared" ca="1" si="42"/>
        <v>7.3765296250568029E-3</v>
      </c>
      <c r="J96" s="42">
        <f t="shared" ca="1" si="42"/>
        <v>8.5606607354636642E-4</v>
      </c>
      <c r="K96" s="42">
        <f t="shared" ca="1" si="42"/>
        <v>5.0275297638072928E-3</v>
      </c>
      <c r="L96" s="42">
        <f t="shared" ca="1" si="42"/>
        <v>5.8345833112638751E-4</v>
      </c>
      <c r="M96" s="42">
        <f t="shared" ca="1" si="42"/>
        <v>0.14277029249349957</v>
      </c>
      <c r="N96" s="42">
        <f t="shared" ca="1" si="42"/>
        <v>1.6568875870682252E-2</v>
      </c>
      <c r="O96" s="42">
        <f t="shared" ca="1" si="42"/>
        <v>0.26918144348004708</v>
      </c>
      <c r="P96" s="42">
        <f t="shared" ca="1" si="42"/>
        <v>1.793413624477272</v>
      </c>
      <c r="Q96" s="42">
        <f t="shared" ca="1" si="42"/>
        <v>5.8569817601630943E-2</v>
      </c>
      <c r="R96" s="42">
        <f t="shared" ca="1" si="42"/>
        <v>0.7853120913077275</v>
      </c>
      <c r="S96" s="42">
        <f t="shared" ca="1" si="35"/>
        <v>0</v>
      </c>
      <c r="T96" s="51">
        <f t="shared" ca="1" si="36"/>
        <v>3.1803140306678657</v>
      </c>
      <c r="V96" s="42">
        <f t="shared" ca="1" si="43"/>
        <v>0.18735709970957437</v>
      </c>
      <c r="W96" s="42">
        <f t="shared" ca="1" si="43"/>
        <v>0</v>
      </c>
      <c r="X96" s="42">
        <f t="shared" ca="1" si="43"/>
        <v>8.1544458690805399E-3</v>
      </c>
      <c r="Y96" s="42">
        <f t="shared" ca="1" si="43"/>
        <v>9.463453428530641E-4</v>
      </c>
      <c r="Z96" s="42">
        <f t="shared" ca="1" si="43"/>
        <v>5.5577244853594887E-3</v>
      </c>
      <c r="AA96" s="42">
        <f t="shared" ca="1" si="43"/>
        <v>6.4498885246428599E-4</v>
      </c>
      <c r="AB96" s="42">
        <f t="shared" ca="1" si="43"/>
        <v>0.15782660424712563</v>
      </c>
      <c r="AC96" s="42">
        <f t="shared" ca="1" si="43"/>
        <v>1.8316201285228716E-2</v>
      </c>
      <c r="AD96" s="42">
        <f t="shared" ca="1" si="43"/>
        <v>0.22148089286305903</v>
      </c>
      <c r="AE96" s="42">
        <f t="shared" ca="1" si="43"/>
        <v>1.7802662610914581</v>
      </c>
      <c r="AF96" s="42">
        <f t="shared" ca="1" si="43"/>
        <v>5.7935828775792481E-2</v>
      </c>
      <c r="AG96" s="42">
        <f t="shared" ca="1" si="43"/>
        <v>0.60375706903969262</v>
      </c>
      <c r="AH96" s="42">
        <f t="shared" ca="1" si="37"/>
        <v>0</v>
      </c>
      <c r="AI96" s="51">
        <f t="shared" ca="1" si="38"/>
        <v>3.042243461561688</v>
      </c>
    </row>
    <row r="97" spans="4:35" ht="12" customHeight="1" x14ac:dyDescent="0.2">
      <c r="D97" s="347">
        <f t="shared" si="39"/>
        <v>86</v>
      </c>
      <c r="E97" s="43">
        <f t="shared" si="34"/>
        <v>91.5</v>
      </c>
      <c r="G97" s="42">
        <f t="shared" ca="1" si="42"/>
        <v>8.6766323633244005E-2</v>
      </c>
      <c r="H97" s="42">
        <f t="shared" ca="1" si="42"/>
        <v>0</v>
      </c>
      <c r="I97" s="42">
        <f t="shared" ca="1" si="42"/>
        <v>6.4163433932410783E-3</v>
      </c>
      <c r="J97" s="42">
        <f t="shared" ca="1" si="42"/>
        <v>7.4463390536851028E-4</v>
      </c>
      <c r="K97" s="42">
        <f t="shared" ca="1" si="42"/>
        <v>4.3731075483994138E-3</v>
      </c>
      <c r="L97" s="42">
        <f t="shared" ca="1" si="42"/>
        <v>5.0751089098370161E-4</v>
      </c>
      <c r="M97" s="42">
        <f t="shared" ca="1" si="42"/>
        <v>0.12418620537766879</v>
      </c>
      <c r="N97" s="42">
        <f t="shared" ca="1" si="42"/>
        <v>1.4412143090826461E-2</v>
      </c>
      <c r="O97" s="42">
        <f t="shared" ca="1" si="42"/>
        <v>0.23492873661697436</v>
      </c>
      <c r="P97" s="42">
        <f t="shared" ca="1" si="42"/>
        <v>1.5465118324004421</v>
      </c>
      <c r="Q97" s="42">
        <f t="shared" ca="1" si="42"/>
        <v>5.0492816284966248E-2</v>
      </c>
      <c r="R97" s="42">
        <f t="shared" ca="1" si="42"/>
        <v>0.66550153255664002</v>
      </c>
      <c r="S97" s="42">
        <f t="shared" ca="1" si="35"/>
        <v>0</v>
      </c>
      <c r="T97" s="51">
        <f t="shared" ca="1" si="36"/>
        <v>2.7348411856987545</v>
      </c>
      <c r="V97" s="42">
        <f t="shared" ca="1" si="43"/>
        <v>0.16150613021953855</v>
      </c>
      <c r="W97" s="42">
        <f t="shared" ca="1" si="43"/>
        <v>0</v>
      </c>
      <c r="X97" s="42">
        <f t="shared" ca="1" si="43"/>
        <v>7.0930000334966485E-3</v>
      </c>
      <c r="Y97" s="42">
        <f t="shared" ca="1" si="43"/>
        <v>8.2316172810907682E-4</v>
      </c>
      <c r="Z97" s="42">
        <f t="shared" ca="1" si="43"/>
        <v>4.834288018305888E-3</v>
      </c>
      <c r="AA97" s="42">
        <f t="shared" ca="1" si="43"/>
        <v>5.6103212470505904E-4</v>
      </c>
      <c r="AB97" s="42">
        <f t="shared" ca="1" si="43"/>
        <v>0.13728267097292662</v>
      </c>
      <c r="AC97" s="42">
        <f t="shared" ca="1" si="43"/>
        <v>1.5932023141665686E-2</v>
      </c>
      <c r="AD97" s="42">
        <f t="shared" ca="1" si="43"/>
        <v>0.19411434288888582</v>
      </c>
      <c r="AE97" s="42">
        <f t="shared" ca="1" si="43"/>
        <v>1.5404606259159834</v>
      </c>
      <c r="AF97" s="42">
        <f t="shared" ca="1" si="43"/>
        <v>5.0122657725328298E-2</v>
      </c>
      <c r="AG97" s="42">
        <f t="shared" ca="1" si="43"/>
        <v>0.5146169307796099</v>
      </c>
      <c r="AH97" s="42">
        <f t="shared" ca="1" si="37"/>
        <v>0</v>
      </c>
      <c r="AI97" s="51">
        <f t="shared" ca="1" si="38"/>
        <v>2.6273468635485551</v>
      </c>
    </row>
    <row r="98" spans="4:35" ht="12" customHeight="1" x14ac:dyDescent="0.2">
      <c r="D98" s="347">
        <f t="shared" si="39"/>
        <v>87</v>
      </c>
      <c r="E98" s="43">
        <f t="shared" si="34"/>
        <v>91.75</v>
      </c>
      <c r="G98" s="42">
        <f t="shared" ca="1" si="42"/>
        <v>7.4794567086614749E-2</v>
      </c>
      <c r="H98" s="42">
        <f t="shared" ca="1" si="42"/>
        <v>0</v>
      </c>
      <c r="I98" s="42">
        <f t="shared" ca="1" si="42"/>
        <v>5.5811424441556219E-3</v>
      </c>
      <c r="J98" s="42">
        <f t="shared" ca="1" si="42"/>
        <v>6.4770658859215956E-4</v>
      </c>
      <c r="K98" s="42">
        <f t="shared" ca="1" si="42"/>
        <v>3.8038700012439125E-3</v>
      </c>
      <c r="L98" s="42">
        <f t="shared" ca="1" si="42"/>
        <v>4.4144934242517752E-4</v>
      </c>
      <c r="M98" s="42">
        <f t="shared" ca="1" si="42"/>
        <v>0.10802116709371276</v>
      </c>
      <c r="N98" s="42">
        <f t="shared" ca="1" si="42"/>
        <v>1.2536146915095909E-2</v>
      </c>
      <c r="O98" s="42">
        <f t="shared" ca="1" si="42"/>
        <v>0.20502617267788875</v>
      </c>
      <c r="P98" s="42">
        <f t="shared" ca="1" si="42"/>
        <v>1.3339530387001473</v>
      </c>
      <c r="Q98" s="42">
        <f t="shared" ca="1" si="42"/>
        <v>4.3541398799555993E-2</v>
      </c>
      <c r="R98" s="42">
        <f t="shared" ca="1" si="42"/>
        <v>0.5641674793575524</v>
      </c>
      <c r="S98" s="42">
        <f t="shared" ca="1" si="35"/>
        <v>0</v>
      </c>
      <c r="T98" s="51">
        <f t="shared" ca="1" si="36"/>
        <v>2.3525141390069848</v>
      </c>
      <c r="V98" s="42">
        <f t="shared" ca="1" si="43"/>
        <v>0.13922199980104399</v>
      </c>
      <c r="W98" s="42">
        <f t="shared" ca="1" si="43"/>
        <v>0</v>
      </c>
      <c r="X98" s="42">
        <f t="shared" ca="1" si="43"/>
        <v>6.169720215574194E-3</v>
      </c>
      <c r="Y98" s="42">
        <f t="shared" ca="1" si="43"/>
        <v>7.1601262167789528E-4</v>
      </c>
      <c r="Z98" s="42">
        <f t="shared" ca="1" si="43"/>
        <v>4.2050196494566299E-3</v>
      </c>
      <c r="AA98" s="42">
        <f t="shared" ca="1" si="43"/>
        <v>4.8800383781005818E-4</v>
      </c>
      <c r="AB98" s="42">
        <f t="shared" ca="1" si="43"/>
        <v>0.11941289529814664</v>
      </c>
      <c r="AC98" s="42">
        <f t="shared" ca="1" si="43"/>
        <v>1.3858187606099854E-2</v>
      </c>
      <c r="AD98" s="42">
        <f t="shared" ca="1" si="43"/>
        <v>0.17010815834065066</v>
      </c>
      <c r="AE98" s="42">
        <f t="shared" ca="1" si="43"/>
        <v>1.3331922449612563</v>
      </c>
      <c r="AF98" s="42">
        <f t="shared" ca="1" si="43"/>
        <v>4.3371029592390385E-2</v>
      </c>
      <c r="AG98" s="42">
        <f t="shared" ca="1" si="43"/>
        <v>0.43880817320592852</v>
      </c>
      <c r="AH98" s="42">
        <f t="shared" ca="1" si="37"/>
        <v>0</v>
      </c>
      <c r="AI98" s="51">
        <f t="shared" ca="1" si="38"/>
        <v>2.2695514451300349</v>
      </c>
    </row>
    <row r="99" spans="4:35" ht="12" customHeight="1" x14ac:dyDescent="0.2">
      <c r="D99" s="347">
        <f t="shared" si="39"/>
        <v>88</v>
      </c>
      <c r="E99" s="43">
        <f t="shared" si="34"/>
        <v>92</v>
      </c>
      <c r="G99" s="42">
        <f t="shared" ca="1" si="42"/>
        <v>6.4474637525505571E-2</v>
      </c>
      <c r="H99" s="42">
        <f t="shared" ca="1" si="42"/>
        <v>0</v>
      </c>
      <c r="I99" s="42">
        <f t="shared" ca="1" si="42"/>
        <v>4.854657719145488E-3</v>
      </c>
      <c r="J99" s="42">
        <f t="shared" ca="1" si="42"/>
        <v>5.6339608269078854E-4</v>
      </c>
      <c r="K99" s="42">
        <f t="shared" ca="1" si="42"/>
        <v>3.3087288219103197E-3</v>
      </c>
      <c r="L99" s="42">
        <f t="shared" ca="1" si="42"/>
        <v>3.8398687709717734E-4</v>
      </c>
      <c r="M99" s="42">
        <f t="shared" ca="1" si="42"/>
        <v>9.3960295389295553E-2</v>
      </c>
      <c r="N99" s="42">
        <f t="shared" ca="1" si="42"/>
        <v>1.0904344943213911E-2</v>
      </c>
      <c r="O99" s="42">
        <f t="shared" ca="1" si="42"/>
        <v>0.17892246761298278</v>
      </c>
      <c r="P99" s="42">
        <f t="shared" ca="1" si="42"/>
        <v>1.1509058090502287</v>
      </c>
      <c r="Q99" s="42">
        <f t="shared" ca="1" si="42"/>
        <v>3.7556894180220721E-2</v>
      </c>
      <c r="R99" s="42">
        <f t="shared" ca="1" si="42"/>
        <v>0.4784329600996382</v>
      </c>
      <c r="S99" s="42">
        <f t="shared" ca="1" si="35"/>
        <v>0</v>
      </c>
      <c r="T99" s="51">
        <f t="shared" ca="1" si="36"/>
        <v>2.024268178301929</v>
      </c>
      <c r="V99" s="42">
        <f t="shared" ca="1" si="43"/>
        <v>0.1200125667196317</v>
      </c>
      <c r="W99" s="42">
        <f t="shared" ca="1" si="43"/>
        <v>0</v>
      </c>
      <c r="X99" s="42">
        <f t="shared" ca="1" si="43"/>
        <v>5.3666216494563379E-3</v>
      </c>
      <c r="Y99" s="42">
        <f t="shared" ca="1" si="43"/>
        <v>6.2281087349644879E-4</v>
      </c>
      <c r="Z99" s="42">
        <f t="shared" ca="1" si="43"/>
        <v>3.6576617251132589E-3</v>
      </c>
      <c r="AA99" s="42">
        <f t="shared" ca="1" si="43"/>
        <v>4.2448147880950224E-4</v>
      </c>
      <c r="AB99" s="42">
        <f t="shared" ca="1" si="43"/>
        <v>0.10386918802470456</v>
      </c>
      <c r="AC99" s="42">
        <f t="shared" ca="1" si="43"/>
        <v>1.2054298578992723E-2</v>
      </c>
      <c r="AD99" s="42">
        <f t="shared" ca="1" si="43"/>
        <v>0.14905278235736394</v>
      </c>
      <c r="AE99" s="42">
        <f t="shared" ca="1" si="43"/>
        <v>1.1540092177437236</v>
      </c>
      <c r="AF99" s="42">
        <f t="shared" ca="1" si="43"/>
        <v>3.7535474348250976E-2</v>
      </c>
      <c r="AG99" s="42">
        <f t="shared" ca="1" si="43"/>
        <v>0.37431239199811517</v>
      </c>
      <c r="AH99" s="42">
        <f t="shared" ca="1" si="37"/>
        <v>0</v>
      </c>
      <c r="AI99" s="51">
        <f t="shared" ca="1" si="38"/>
        <v>1.9609174954976583</v>
      </c>
    </row>
    <row r="100" spans="4:35" ht="12" customHeight="1" x14ac:dyDescent="0.2">
      <c r="D100" s="347">
        <f t="shared" si="39"/>
        <v>89</v>
      </c>
      <c r="E100" s="43">
        <f t="shared" si="34"/>
        <v>92.25</v>
      </c>
      <c r="G100" s="42">
        <f t="shared" ca="1" si="42"/>
        <v>5.5578620827250777E-2</v>
      </c>
      <c r="H100" s="42">
        <f t="shared" ca="1" si="42"/>
        <v>0</v>
      </c>
      <c r="I100" s="42">
        <f t="shared" ca="1" si="42"/>
        <v>4.2227378723702479E-3</v>
      </c>
      <c r="J100" s="42">
        <f t="shared" ca="1" si="42"/>
        <v>4.9006008521342492E-4</v>
      </c>
      <c r="K100" s="42">
        <f t="shared" ca="1" si="42"/>
        <v>2.878039053213214E-3</v>
      </c>
      <c r="L100" s="42">
        <f t="shared" ca="1" si="42"/>
        <v>3.3400417129694093E-4</v>
      </c>
      <c r="M100" s="42">
        <f t="shared" ca="1" si="42"/>
        <v>8.1729695643571132E-2</v>
      </c>
      <c r="N100" s="42">
        <f t="shared" ca="1" si="42"/>
        <v>9.4849509541244763E-3</v>
      </c>
      <c r="O100" s="42">
        <f t="shared" ca="1" si="42"/>
        <v>0.15613603205964249</v>
      </c>
      <c r="P100" s="42">
        <f t="shared" ca="1" si="42"/>
        <v>0.99322675455203058</v>
      </c>
      <c r="Q100" s="42">
        <f t="shared" ca="1" si="42"/>
        <v>3.240327539867538E-2</v>
      </c>
      <c r="R100" s="42">
        <f t="shared" ca="1" si="42"/>
        <v>0.40587279577021551</v>
      </c>
      <c r="S100" s="42">
        <f t="shared" ca="1" si="35"/>
        <v>0</v>
      </c>
      <c r="T100" s="51">
        <f t="shared" ca="1" si="36"/>
        <v>1.7423569663876042</v>
      </c>
      <c r="V100" s="42">
        <f t="shared" ca="1" si="43"/>
        <v>0.10345359347816264</v>
      </c>
      <c r="W100" s="42">
        <f t="shared" ca="1" si="43"/>
        <v>0</v>
      </c>
      <c r="X100" s="42">
        <f t="shared" ca="1" si="43"/>
        <v>4.6680606124854225E-3</v>
      </c>
      <c r="Y100" s="42">
        <f t="shared" ca="1" si="43"/>
        <v>5.4174098669590811E-4</v>
      </c>
      <c r="Z100" s="42">
        <f t="shared" ca="1" si="43"/>
        <v>3.181552147341405E-3</v>
      </c>
      <c r="AA100" s="42">
        <f t="shared" ca="1" si="43"/>
        <v>3.6922768203036065E-4</v>
      </c>
      <c r="AB100" s="42">
        <f t="shared" ca="1" si="43"/>
        <v>9.0348770071779716E-2</v>
      </c>
      <c r="AC100" s="42">
        <f t="shared" ca="1" si="43"/>
        <v>1.0485217718582168E-2</v>
      </c>
      <c r="AD100" s="42">
        <f t="shared" ca="1" si="43"/>
        <v>0.13058812592238178</v>
      </c>
      <c r="AE100" s="42">
        <f t="shared" ca="1" si="43"/>
        <v>0.99907461910082052</v>
      </c>
      <c r="AF100" s="42">
        <f t="shared" ca="1" si="43"/>
        <v>3.2490650582447322E-2</v>
      </c>
      <c r="AG100" s="42">
        <f t="shared" ca="1" si="43"/>
        <v>0.31942028515286491</v>
      </c>
      <c r="AH100" s="42">
        <f t="shared" ca="1" si="37"/>
        <v>0</v>
      </c>
      <c r="AI100" s="51">
        <f t="shared" ca="1" si="38"/>
        <v>1.6946218434555922</v>
      </c>
    </row>
    <row r="101" spans="4:35" ht="12" customHeight="1" x14ac:dyDescent="0.2">
      <c r="D101" s="347">
        <f t="shared" si="39"/>
        <v>90</v>
      </c>
      <c r="E101" s="43">
        <f t="shared" si="34"/>
        <v>92.5</v>
      </c>
      <c r="G101" s="42">
        <f t="shared" ref="G101:R110" ca="1" si="44">AVERAGE(OFFSET(C.Trace.Markov.Root, $D101, (G$2-1)*C.Trace.Markov.NumCols+G$3-1, 2))*G$6</f>
        <v>4.7910049774802378E-2</v>
      </c>
      <c r="H101" s="42">
        <f t="shared" ca="1" si="44"/>
        <v>0</v>
      </c>
      <c r="I101" s="42">
        <f t="shared" ca="1" si="44"/>
        <v>3.6730736069047636E-3</v>
      </c>
      <c r="J101" s="42">
        <f t="shared" ca="1" si="44"/>
        <v>4.2627006913516718E-4</v>
      </c>
      <c r="K101" s="42">
        <f t="shared" ca="1" si="44"/>
        <v>2.5034112003890323E-3</v>
      </c>
      <c r="L101" s="42">
        <f t="shared" ca="1" si="44"/>
        <v>2.9052760158619205E-4</v>
      </c>
      <c r="M101" s="42">
        <f t="shared" ca="1" si="44"/>
        <v>7.1091125483537715E-2</v>
      </c>
      <c r="N101" s="42">
        <f t="shared" ca="1" si="44"/>
        <v>8.2503162794772163E-3</v>
      </c>
      <c r="O101" s="42">
        <f t="shared" ca="1" si="44"/>
        <v>0.13624618421785042</v>
      </c>
      <c r="P101" s="42">
        <f t="shared" ca="1" si="44"/>
        <v>0.8573612802525642</v>
      </c>
      <c r="Q101" s="42">
        <f t="shared" ca="1" si="44"/>
        <v>2.7963887060089915E-2</v>
      </c>
      <c r="R101" s="42">
        <f t="shared" ca="1" si="44"/>
        <v>0.34444212843968003</v>
      </c>
      <c r="S101" s="42">
        <f t="shared" ca="1" si="35"/>
        <v>0</v>
      </c>
      <c r="T101" s="51">
        <f t="shared" ca="1" si="36"/>
        <v>1.500158253986017</v>
      </c>
      <c r="V101" s="42">
        <f t="shared" ref="V101:AG110" ca="1" si="45">AVERAGE(OFFSET(C.Trace.Markov.Root, $D101, (V$2-1)*C.Trace.Markov.NumCols+V$3-1, 2))*V$6</f>
        <v>8.9179377594248196E-2</v>
      </c>
      <c r="W101" s="42">
        <f t="shared" ca="1" si="45"/>
        <v>0</v>
      </c>
      <c r="X101" s="42">
        <f t="shared" ca="1" si="45"/>
        <v>4.0604296902586722E-3</v>
      </c>
      <c r="Y101" s="42">
        <f t="shared" ca="1" si="45"/>
        <v>4.7122378422565799E-4</v>
      </c>
      <c r="Z101" s="42">
        <f t="shared" ca="1" si="45"/>
        <v>2.7674166795561539E-3</v>
      </c>
      <c r="AA101" s="42">
        <f t="shared" ca="1" si="45"/>
        <v>3.2116614736569404E-4</v>
      </c>
      <c r="AB101" s="42">
        <f t="shared" ca="1" si="45"/>
        <v>7.8588274431698829E-2</v>
      </c>
      <c r="AC101" s="42">
        <f t="shared" ca="1" si="45"/>
        <v>9.12038057506925E-3</v>
      </c>
      <c r="AD101" s="42">
        <f t="shared" ca="1" si="45"/>
        <v>0.11439765901736218</v>
      </c>
      <c r="AE101" s="42">
        <f t="shared" ca="1" si="45"/>
        <v>0.8650806357301859</v>
      </c>
      <c r="AF101" s="42">
        <f t="shared" ca="1" si="45"/>
        <v>2.8128531259448825E-2</v>
      </c>
      <c r="AG101" s="42">
        <f t="shared" ca="1" si="45"/>
        <v>0.27268382202613345</v>
      </c>
      <c r="AH101" s="42">
        <f t="shared" ca="1" si="37"/>
        <v>0</v>
      </c>
      <c r="AI101" s="51">
        <f t="shared" ca="1" si="38"/>
        <v>1.4647989169355529</v>
      </c>
    </row>
    <row r="102" spans="4:35" ht="12" customHeight="1" x14ac:dyDescent="0.2">
      <c r="D102" s="347">
        <f t="shared" si="39"/>
        <v>91</v>
      </c>
      <c r="E102" s="43">
        <f t="shared" si="34"/>
        <v>92.75</v>
      </c>
      <c r="G102" s="42">
        <f t="shared" ca="1" si="44"/>
        <v>4.1299565107211098E-2</v>
      </c>
      <c r="H102" s="42">
        <f t="shared" ca="1" si="44"/>
        <v>0</v>
      </c>
      <c r="I102" s="42">
        <f t="shared" ca="1" si="44"/>
        <v>3.1949578992379055E-3</v>
      </c>
      <c r="J102" s="42">
        <f t="shared" ca="1" si="44"/>
        <v>3.7078345558660091E-4</v>
      </c>
      <c r="K102" s="42">
        <f t="shared" ca="1" si="44"/>
        <v>2.1775478102829555E-3</v>
      </c>
      <c r="L102" s="42">
        <f t="shared" ca="1" si="44"/>
        <v>2.5271027890362476E-4</v>
      </c>
      <c r="M102" s="42">
        <f t="shared" ca="1" si="44"/>
        <v>6.1837354008471186E-2</v>
      </c>
      <c r="N102" s="42">
        <f t="shared" ca="1" si="44"/>
        <v>7.1763912160038102E-3</v>
      </c>
      <c r="O102" s="42">
        <f t="shared" ca="1" si="44"/>
        <v>0.11888546722720508</v>
      </c>
      <c r="P102" s="42">
        <f t="shared" ca="1" si="44"/>
        <v>0.74025884164340028</v>
      </c>
      <c r="Q102" s="42">
        <f t="shared" ca="1" si="44"/>
        <v>2.4138651018810083E-2</v>
      </c>
      <c r="R102" s="42">
        <f t="shared" ca="1" si="44"/>
        <v>0.29241632723752298</v>
      </c>
      <c r="S102" s="42">
        <f t="shared" ca="1" si="35"/>
        <v>0</v>
      </c>
      <c r="T102" s="51">
        <f t="shared" ca="1" si="36"/>
        <v>1.2920085969026356</v>
      </c>
      <c r="V102" s="42">
        <f t="shared" ca="1" si="45"/>
        <v>7.68746751148498E-2</v>
      </c>
      <c r="W102" s="42">
        <f t="shared" ca="1" si="45"/>
        <v>0</v>
      </c>
      <c r="X102" s="42">
        <f t="shared" ca="1" si="45"/>
        <v>3.5318927148111547E-3</v>
      </c>
      <c r="Y102" s="42">
        <f t="shared" ca="1" si="45"/>
        <v>4.0988564696617526E-4</v>
      </c>
      <c r="Z102" s="42">
        <f t="shared" ca="1" si="45"/>
        <v>2.407188291628462E-3</v>
      </c>
      <c r="AA102" s="42">
        <f t="shared" ca="1" si="45"/>
        <v>2.7936067427696205E-4</v>
      </c>
      <c r="AB102" s="42">
        <f t="shared" ca="1" si="45"/>
        <v>6.8358615986086529E-2</v>
      </c>
      <c r="AC102" s="42">
        <f t="shared" ca="1" si="45"/>
        <v>7.9332012044617158E-3</v>
      </c>
      <c r="AD102" s="42">
        <f t="shared" ca="1" si="45"/>
        <v>0.10020319776061558</v>
      </c>
      <c r="AE102" s="42">
        <f t="shared" ca="1" si="45"/>
        <v>0.74917483312428701</v>
      </c>
      <c r="AF102" s="42">
        <f t="shared" ca="1" si="45"/>
        <v>2.4355986268553995E-2</v>
      </c>
      <c r="AG102" s="42">
        <f t="shared" ca="1" si="45"/>
        <v>0.23287588264956202</v>
      </c>
      <c r="AH102" s="42">
        <f t="shared" ca="1" si="37"/>
        <v>0</v>
      </c>
      <c r="AI102" s="51">
        <f t="shared" ca="1" si="38"/>
        <v>1.2664047194360994</v>
      </c>
    </row>
    <row r="103" spans="4:35" ht="12" customHeight="1" x14ac:dyDescent="0.2">
      <c r="D103" s="347">
        <f t="shared" si="39"/>
        <v>92</v>
      </c>
      <c r="E103" s="43">
        <f t="shared" si="34"/>
        <v>93</v>
      </c>
      <c r="G103" s="42">
        <f t="shared" ca="1" si="44"/>
        <v>3.5601175245320513E-2</v>
      </c>
      <c r="H103" s="42">
        <f t="shared" ca="1" si="44"/>
        <v>0</v>
      </c>
      <c r="I103" s="42">
        <f t="shared" ca="1" si="44"/>
        <v>2.7790774349617758E-3</v>
      </c>
      <c r="J103" s="42">
        <f t="shared" ca="1" si="44"/>
        <v>3.2251940938679183E-4</v>
      </c>
      <c r="K103" s="42">
        <f t="shared" ca="1" si="44"/>
        <v>1.8941013227596118E-3</v>
      </c>
      <c r="L103" s="42">
        <f t="shared" ca="1" si="44"/>
        <v>2.1981555182667067E-4</v>
      </c>
      <c r="M103" s="42">
        <f t="shared" ca="1" si="44"/>
        <v>5.3788125096633374E-2</v>
      </c>
      <c r="N103" s="42">
        <f t="shared" ca="1" si="44"/>
        <v>6.2422565560601839E-3</v>
      </c>
      <c r="O103" s="42">
        <f t="shared" ca="1" si="44"/>
        <v>0.10373293268936752</v>
      </c>
      <c r="P103" s="42">
        <f t="shared" ca="1" si="44"/>
        <v>0.63930055911629879</v>
      </c>
      <c r="Q103" s="42">
        <f t="shared" ca="1" si="44"/>
        <v>2.0841680460254482E-2</v>
      </c>
      <c r="R103" s="42">
        <f t="shared" ca="1" si="44"/>
        <v>0.24834045107311908</v>
      </c>
      <c r="S103" s="42">
        <f t="shared" ca="1" si="35"/>
        <v>0</v>
      </c>
      <c r="T103" s="51">
        <f t="shared" ca="1" si="36"/>
        <v>1.1130626939559889</v>
      </c>
      <c r="V103" s="42">
        <f t="shared" ca="1" si="45"/>
        <v>6.6267738500059514E-2</v>
      </c>
      <c r="W103" s="42">
        <f t="shared" ca="1" si="45"/>
        <v>0</v>
      </c>
      <c r="X103" s="42">
        <f t="shared" ca="1" si="45"/>
        <v>3.0721542054681968E-3</v>
      </c>
      <c r="Y103" s="42">
        <f t="shared" ca="1" si="45"/>
        <v>3.5653175670017978E-4</v>
      </c>
      <c r="Z103" s="42">
        <f t="shared" ca="1" si="45"/>
        <v>2.0938500205478629E-3</v>
      </c>
      <c r="AA103" s="42">
        <f t="shared" ca="1" si="45"/>
        <v>2.4299692533788898E-4</v>
      </c>
      <c r="AB103" s="42">
        <f t="shared" ca="1" si="45"/>
        <v>5.9460529109777935E-2</v>
      </c>
      <c r="AC103" s="42">
        <f t="shared" ca="1" si="45"/>
        <v>6.9005542951254576E-3</v>
      </c>
      <c r="AD103" s="42">
        <f t="shared" ca="1" si="45"/>
        <v>8.7760307020233477E-2</v>
      </c>
      <c r="AE103" s="42">
        <f t="shared" ca="1" si="45"/>
        <v>0.64889681624657747</v>
      </c>
      <c r="AF103" s="42">
        <f t="shared" ca="1" si="45"/>
        <v>2.1092706500036001E-2</v>
      </c>
      <c r="AG103" s="42">
        <f t="shared" ca="1" si="45"/>
        <v>0.19895619112287505</v>
      </c>
      <c r="AH103" s="42">
        <f t="shared" ca="1" si="37"/>
        <v>0</v>
      </c>
      <c r="AI103" s="51">
        <f t="shared" ca="1" si="38"/>
        <v>1.0951003757027391</v>
      </c>
    </row>
    <row r="104" spans="4:35" ht="12" customHeight="1" x14ac:dyDescent="0.2">
      <c r="D104" s="347">
        <f t="shared" si="39"/>
        <v>93</v>
      </c>
      <c r="E104" s="43">
        <f t="shared" si="34"/>
        <v>93.25</v>
      </c>
      <c r="G104" s="42">
        <f t="shared" ca="1" si="44"/>
        <v>3.0689032089268188E-2</v>
      </c>
      <c r="H104" s="42">
        <f t="shared" ca="1" si="44"/>
        <v>0</v>
      </c>
      <c r="I104" s="42">
        <f t="shared" ca="1" si="44"/>
        <v>2.4173311928009943E-3</v>
      </c>
      <c r="J104" s="42">
        <f t="shared" ca="1" si="44"/>
        <v>2.805377852327346E-4</v>
      </c>
      <c r="K104" s="42">
        <f t="shared" ca="1" si="44"/>
        <v>1.6475504252710432E-3</v>
      </c>
      <c r="L104" s="42">
        <f t="shared" ca="1" si="44"/>
        <v>1.9120265718709025E-4</v>
      </c>
      <c r="M104" s="42">
        <f t="shared" ca="1" si="44"/>
        <v>4.6786646159128052E-2</v>
      </c>
      <c r="N104" s="42">
        <f t="shared" ca="1" si="44"/>
        <v>5.429716098082865E-3</v>
      </c>
      <c r="O104" s="42">
        <f t="shared" ca="1" si="44"/>
        <v>9.0508269250503426E-2</v>
      </c>
      <c r="P104" s="42">
        <f t="shared" ca="1" si="44"/>
        <v>0.55223736436367254</v>
      </c>
      <c r="Q104" s="42">
        <f t="shared" ca="1" si="44"/>
        <v>1.7999241915954655E-2</v>
      </c>
      <c r="R104" s="42">
        <f t="shared" ca="1" si="44"/>
        <v>0.21098674001262613</v>
      </c>
      <c r="S104" s="42">
        <f t="shared" ca="1" si="35"/>
        <v>0</v>
      </c>
      <c r="T104" s="51">
        <f t="shared" ca="1" si="36"/>
        <v>0.95917363194972771</v>
      </c>
      <c r="V104" s="42">
        <f t="shared" ca="1" si="45"/>
        <v>5.7124315118750803E-2</v>
      </c>
      <c r="W104" s="42">
        <f t="shared" ca="1" si="45"/>
        <v>0</v>
      </c>
      <c r="X104" s="42">
        <f t="shared" ca="1" si="45"/>
        <v>2.6722588210555463E-3</v>
      </c>
      <c r="Y104" s="42">
        <f t="shared" ca="1" si="45"/>
        <v>3.1012282200309886E-4</v>
      </c>
      <c r="Z104" s="42">
        <f t="shared" ca="1" si="45"/>
        <v>1.8212982855538779E-3</v>
      </c>
      <c r="AA104" s="42">
        <f t="shared" ca="1" si="45"/>
        <v>2.1136656358842787E-4</v>
      </c>
      <c r="AB104" s="42">
        <f t="shared" ca="1" si="45"/>
        <v>5.1720686134639746E-2</v>
      </c>
      <c r="AC104" s="42">
        <f t="shared" ca="1" si="45"/>
        <v>6.0023247050879948E-3</v>
      </c>
      <c r="AD104" s="42">
        <f t="shared" ca="1" si="45"/>
        <v>7.6854247089789052E-2</v>
      </c>
      <c r="AE104" s="42">
        <f t="shared" ca="1" si="45"/>
        <v>0.56212380059456146</v>
      </c>
      <c r="AF104" s="42">
        <f t="shared" ca="1" si="45"/>
        <v>1.8269420552767285E-2</v>
      </c>
      <c r="AG104" s="42">
        <f t="shared" ca="1" si="45"/>
        <v>0.17004255337219842</v>
      </c>
      <c r="AH104" s="42">
        <f t="shared" ca="1" si="37"/>
        <v>0</v>
      </c>
      <c r="AI104" s="51">
        <f t="shared" ca="1" si="38"/>
        <v>0.94715239405999574</v>
      </c>
    </row>
    <row r="105" spans="4:35" ht="12" customHeight="1" x14ac:dyDescent="0.2">
      <c r="D105" s="347">
        <f t="shared" si="39"/>
        <v>94</v>
      </c>
      <c r="E105" s="43">
        <f t="shared" si="34"/>
        <v>93.5</v>
      </c>
      <c r="G105" s="42">
        <f t="shared" ca="1" si="44"/>
        <v>2.6454651681756675E-2</v>
      </c>
      <c r="H105" s="42">
        <f t="shared" ca="1" si="44"/>
        <v>0</v>
      </c>
      <c r="I105" s="42">
        <f t="shared" ca="1" si="44"/>
        <v>2.1026726431496684E-3</v>
      </c>
      <c r="J105" s="42">
        <f t="shared" ca="1" si="44"/>
        <v>2.4402081441524242E-4</v>
      </c>
      <c r="K105" s="42">
        <f t="shared" ca="1" si="44"/>
        <v>1.4330925020716505E-3</v>
      </c>
      <c r="L105" s="42">
        <f t="shared" ca="1" si="44"/>
        <v>1.6631423851316531E-4</v>
      </c>
      <c r="M105" s="42">
        <f t="shared" ca="1" si="44"/>
        <v>4.0696533944747267E-2</v>
      </c>
      <c r="N105" s="42">
        <f t="shared" ca="1" si="44"/>
        <v>4.7229421990287014E-3</v>
      </c>
      <c r="O105" s="42">
        <f t="shared" ca="1" si="44"/>
        <v>7.8966670274305067E-2</v>
      </c>
      <c r="P105" s="42">
        <f t="shared" ca="1" si="44"/>
        <v>0.47713712603463837</v>
      </c>
      <c r="Q105" s="42">
        <f t="shared" ca="1" si="44"/>
        <v>1.5548013801130941E-2</v>
      </c>
      <c r="R105" s="42">
        <f t="shared" ca="1" si="44"/>
        <v>0.17931885266894973</v>
      </c>
      <c r="S105" s="42">
        <f t="shared" ca="1" si="35"/>
        <v>0</v>
      </c>
      <c r="T105" s="51">
        <f t="shared" ca="1" si="36"/>
        <v>0.82679089080270651</v>
      </c>
      <c r="V105" s="42">
        <f t="shared" ca="1" si="45"/>
        <v>4.9242473813760991E-2</v>
      </c>
      <c r="W105" s="42">
        <f t="shared" ca="1" si="45"/>
        <v>0</v>
      </c>
      <c r="X105" s="42">
        <f t="shared" ca="1" si="45"/>
        <v>2.3244169169629601E-3</v>
      </c>
      <c r="Y105" s="42">
        <f t="shared" ca="1" si="45"/>
        <v>2.6975483367122242E-4</v>
      </c>
      <c r="Z105" s="42">
        <f t="shared" ca="1" si="45"/>
        <v>1.5842239952284442E-3</v>
      </c>
      <c r="AA105" s="42">
        <f t="shared" ca="1" si="45"/>
        <v>1.8385345469313602E-4</v>
      </c>
      <c r="AB105" s="42">
        <f t="shared" ca="1" si="45"/>
        <v>4.4988321064200268E-2</v>
      </c>
      <c r="AC105" s="42">
        <f t="shared" ca="1" si="45"/>
        <v>5.2210156350425002E-3</v>
      </c>
      <c r="AD105" s="42">
        <f t="shared" ca="1" si="45"/>
        <v>6.7296401108875498E-2</v>
      </c>
      <c r="AE105" s="42">
        <f t="shared" ca="1" si="45"/>
        <v>0.48702382476958417</v>
      </c>
      <c r="AF105" s="42">
        <f t="shared" ca="1" si="45"/>
        <v>1.5826362310089551E-2</v>
      </c>
      <c r="AG105" s="42">
        <f t="shared" ca="1" si="45"/>
        <v>0.14538656630826743</v>
      </c>
      <c r="AH105" s="42">
        <f t="shared" ca="1" si="37"/>
        <v>0</v>
      </c>
      <c r="AI105" s="51">
        <f t="shared" ca="1" si="38"/>
        <v>0.81934721421037615</v>
      </c>
    </row>
    <row r="106" spans="4:35" ht="12" customHeight="1" x14ac:dyDescent="0.2">
      <c r="D106" s="347">
        <f t="shared" si="39"/>
        <v>95</v>
      </c>
      <c r="E106" s="43">
        <f t="shared" si="34"/>
        <v>93.75</v>
      </c>
      <c r="G106" s="42">
        <f t="shared" ca="1" si="44"/>
        <v>2.2804518355852777E-2</v>
      </c>
      <c r="H106" s="42">
        <f t="shared" ca="1" si="44"/>
        <v>0</v>
      </c>
      <c r="I106" s="42">
        <f t="shared" ca="1" si="44"/>
        <v>1.8289724872689332E-3</v>
      </c>
      <c r="J106" s="42">
        <f t="shared" ca="1" si="44"/>
        <v>2.1225717533372051E-4</v>
      </c>
      <c r="K106" s="42">
        <f t="shared" ca="1" si="44"/>
        <v>1.2465500830762823E-3</v>
      </c>
      <c r="L106" s="42">
        <f t="shared" ca="1" si="44"/>
        <v>1.4466548916811618E-4</v>
      </c>
      <c r="M106" s="42">
        <f t="shared" ca="1" si="44"/>
        <v>3.539915790251276E-2</v>
      </c>
      <c r="N106" s="42">
        <f t="shared" ca="1" si="44"/>
        <v>4.1081674644539833E-3</v>
      </c>
      <c r="O106" s="42">
        <f t="shared" ca="1" si="44"/>
        <v>6.8894347873907191E-2</v>
      </c>
      <c r="P106" s="42">
        <f t="shared" ca="1" si="44"/>
        <v>0.41233943384104749</v>
      </c>
      <c r="Q106" s="42">
        <f t="shared" ca="1" si="44"/>
        <v>1.3433597759482784E-2</v>
      </c>
      <c r="R106" s="42">
        <f t="shared" ca="1" si="44"/>
        <v>0.15246177283567786</v>
      </c>
      <c r="S106" s="42">
        <f t="shared" ca="1" si="35"/>
        <v>0</v>
      </c>
      <c r="T106" s="51">
        <f t="shared" ca="1" si="36"/>
        <v>0.71287344126778196</v>
      </c>
      <c r="V106" s="42">
        <f t="shared" ca="1" si="45"/>
        <v>4.2448145282060451E-2</v>
      </c>
      <c r="W106" s="42">
        <f t="shared" ca="1" si="45"/>
        <v>0</v>
      </c>
      <c r="X106" s="42">
        <f t="shared" ca="1" si="45"/>
        <v>2.0218528090514198E-3</v>
      </c>
      <c r="Y106" s="42">
        <f t="shared" ca="1" si="45"/>
        <v>2.3464145534010959E-4</v>
      </c>
      <c r="Z106" s="42">
        <f t="shared" ca="1" si="45"/>
        <v>1.3780091306099947E-3</v>
      </c>
      <c r="AA106" s="42">
        <f t="shared" ca="1" si="45"/>
        <v>1.5992166513347078E-4</v>
      </c>
      <c r="AB106" s="42">
        <f t="shared" ca="1" si="45"/>
        <v>3.9132292771731685E-2</v>
      </c>
      <c r="AC106" s="42">
        <f t="shared" ca="1" si="45"/>
        <v>4.5414078045880411E-3</v>
      </c>
      <c r="AD106" s="42">
        <f t="shared" ca="1" si="45"/>
        <v>5.8921127117611799E-2</v>
      </c>
      <c r="AE106" s="42">
        <f t="shared" ca="1" si="45"/>
        <v>0.42201551869965592</v>
      </c>
      <c r="AF106" s="42">
        <f t="shared" ca="1" si="45"/>
        <v>1.3711953659134173E-2</v>
      </c>
      <c r="AG106" s="42">
        <f t="shared" ca="1" si="45"/>
        <v>0.12435309718737024</v>
      </c>
      <c r="AH106" s="42">
        <f t="shared" ca="1" si="37"/>
        <v>0</v>
      </c>
      <c r="AI106" s="51">
        <f t="shared" ca="1" si="38"/>
        <v>0.7089179675822872</v>
      </c>
    </row>
    <row r="107" spans="4:35" ht="12" customHeight="1" x14ac:dyDescent="0.2">
      <c r="D107" s="347">
        <f t="shared" si="39"/>
        <v>96</v>
      </c>
      <c r="E107" s="43">
        <f t="shared" ref="E107:E131" si="46">C.cohortAge+D107*C.cycleLength</f>
        <v>94</v>
      </c>
      <c r="G107" s="42">
        <f t="shared" ca="1" si="44"/>
        <v>1.9658019455272353E-2</v>
      </c>
      <c r="H107" s="42">
        <f t="shared" ca="1" si="44"/>
        <v>0</v>
      </c>
      <c r="I107" s="42">
        <f t="shared" ca="1" si="44"/>
        <v>1.5908992634135874E-3</v>
      </c>
      <c r="J107" s="42">
        <f t="shared" ca="1" si="44"/>
        <v>1.8462813751610687E-4</v>
      </c>
      <c r="K107" s="42">
        <f t="shared" ca="1" si="44"/>
        <v>1.084289470059482E-3</v>
      </c>
      <c r="L107" s="42">
        <f t="shared" ca="1" si="44"/>
        <v>1.2583470870170676E-4</v>
      </c>
      <c r="M107" s="42">
        <f t="shared" ca="1" si="44"/>
        <v>3.0791329352724162E-2</v>
      </c>
      <c r="N107" s="42">
        <f t="shared" ca="1" si="44"/>
        <v>3.5734165706006586E-3</v>
      </c>
      <c r="O107" s="42">
        <f t="shared" ca="1" si="44"/>
        <v>6.0104612162343335E-2</v>
      </c>
      <c r="P107" s="42">
        <f t="shared" ca="1" si="44"/>
        <v>0.35641691713182128</v>
      </c>
      <c r="Q107" s="42">
        <f t="shared" ca="1" si="44"/>
        <v>1.1609245628459795E-2</v>
      </c>
      <c r="R107" s="42">
        <f t="shared" ca="1" si="44"/>
        <v>0.12967648129720988</v>
      </c>
      <c r="S107" s="42">
        <f t="shared" ref="S107:S131" ca="1" si="47">AVERAGE(OFFSET(C.Trace.Markov.Root, $D107, (S$2-1)*C.Trace.Markov.NumCols+S$3-1, 2))*INDEX(C.rngC.ByState, S$3)</f>
        <v>0</v>
      </c>
      <c r="T107" s="51">
        <f t="shared" ref="T107:T131" ca="1" si="48">SUM(G107:S107)</f>
        <v>0.61481567317812225</v>
      </c>
      <c r="V107" s="42">
        <f t="shared" ca="1" si="45"/>
        <v>3.6591277779862048E-2</v>
      </c>
      <c r="W107" s="42">
        <f t="shared" ca="1" si="45"/>
        <v>0</v>
      </c>
      <c r="X107" s="42">
        <f t="shared" ca="1" si="45"/>
        <v>1.7586727887053397E-3</v>
      </c>
      <c r="Y107" s="42">
        <f t="shared" ca="1" si="45"/>
        <v>2.0409870627648413E-4</v>
      </c>
      <c r="Z107" s="42">
        <f t="shared" ca="1" si="45"/>
        <v>1.1986367898503471E-3</v>
      </c>
      <c r="AA107" s="42">
        <f t="shared" ca="1" si="45"/>
        <v>1.3910502264832762E-4</v>
      </c>
      <c r="AB107" s="42">
        <f t="shared" ca="1" si="45"/>
        <v>3.4038530475214691E-2</v>
      </c>
      <c r="AC107" s="42">
        <f t="shared" ca="1" si="45"/>
        <v>3.950262992730014E-3</v>
      </c>
      <c r="AD107" s="42">
        <f t="shared" ca="1" si="45"/>
        <v>5.1582985045829602E-2</v>
      </c>
      <c r="AE107" s="42">
        <f t="shared" ca="1" si="45"/>
        <v>0.36573349793977539</v>
      </c>
      <c r="AF107" s="42">
        <f t="shared" ca="1" si="45"/>
        <v>1.188167178183301E-2</v>
      </c>
      <c r="AG107" s="42">
        <f t="shared" ca="1" si="45"/>
        <v>0.10640294277090805</v>
      </c>
      <c r="AH107" s="42">
        <f t="shared" ref="AH107:AH131" ca="1" si="49">AVERAGE(OFFSET(C.Trace.Markov.Root, $D107, (AH$2-1)*C.Trace.Markov.NumCols+AH$3-1, 2))*INDEX(C.rngC.ByState, AH$3)</f>
        <v>0</v>
      </c>
      <c r="AI107" s="51">
        <f t="shared" ref="AI107:AI131" ca="1" si="50">SUM(V107:AH107)</f>
        <v>0.6134816820936333</v>
      </c>
    </row>
    <row r="108" spans="4:35" ht="12" customHeight="1" x14ac:dyDescent="0.2">
      <c r="D108" s="347">
        <f t="shared" ref="D108:D131" si="51">D107+1</f>
        <v>97</v>
      </c>
      <c r="E108" s="43">
        <f t="shared" si="46"/>
        <v>94.25</v>
      </c>
      <c r="G108" s="42">
        <f t="shared" ca="1" si="44"/>
        <v>1.6945665015752776E-2</v>
      </c>
      <c r="H108" s="42">
        <f t="shared" ca="1" si="44"/>
        <v>0</v>
      </c>
      <c r="I108" s="42">
        <f t="shared" ca="1" si="44"/>
        <v>1.3838154941899577E-3</v>
      </c>
      <c r="J108" s="42">
        <f t="shared" ca="1" si="44"/>
        <v>1.6059550924048838E-4</v>
      </c>
      <c r="K108" s="42">
        <f t="shared" ca="1" si="44"/>
        <v>9.4314995509885667E-4</v>
      </c>
      <c r="L108" s="42">
        <f t="shared" ca="1" si="44"/>
        <v>1.0945508846026318E-4</v>
      </c>
      <c r="M108" s="42">
        <f t="shared" ca="1" si="44"/>
        <v>2.6783291453400155E-2</v>
      </c>
      <c r="N108" s="42">
        <f t="shared" ca="1" si="44"/>
        <v>3.1082729945967622E-3</v>
      </c>
      <c r="O108" s="42">
        <f t="shared" ca="1" si="44"/>
        <v>5.2434444729843141E-2</v>
      </c>
      <c r="P108" s="42">
        <f t="shared" ca="1" si="44"/>
        <v>0.30814214107938293</v>
      </c>
      <c r="Q108" s="42">
        <f t="shared" ca="1" si="44"/>
        <v>1.0034770379775914E-2</v>
      </c>
      <c r="R108" s="42">
        <f t="shared" ca="1" si="44"/>
        <v>0.11033863363816275</v>
      </c>
      <c r="S108" s="42">
        <f t="shared" ca="1" si="47"/>
        <v>0</v>
      </c>
      <c r="T108" s="51">
        <f t="shared" ca="1" si="48"/>
        <v>0.53038423533790391</v>
      </c>
      <c r="V108" s="42">
        <f t="shared" ca="1" si="45"/>
        <v>3.1542523251984922E-2</v>
      </c>
      <c r="W108" s="42">
        <f t="shared" ca="1" si="45"/>
        <v>0</v>
      </c>
      <c r="X108" s="42">
        <f t="shared" ca="1" si="45"/>
        <v>1.5297503180677664E-3</v>
      </c>
      <c r="Y108" s="42">
        <f t="shared" ca="1" si="45"/>
        <v>1.775316379765643E-4</v>
      </c>
      <c r="Z108" s="42">
        <f t="shared" ca="1" si="45"/>
        <v>1.0426129421557289E-3</v>
      </c>
      <c r="AA108" s="42">
        <f t="shared" ca="1" si="45"/>
        <v>1.2099803556848935E-4</v>
      </c>
      <c r="AB108" s="42">
        <f t="shared" ca="1" si="45"/>
        <v>2.9607811729065923E-2</v>
      </c>
      <c r="AC108" s="42">
        <f t="shared" ca="1" si="45"/>
        <v>3.4360661678450176E-3</v>
      </c>
      <c r="AD108" s="42">
        <f t="shared" ca="1" si="45"/>
        <v>4.5154294637765317E-2</v>
      </c>
      <c r="AE108" s="42">
        <f t="shared" ca="1" si="45"/>
        <v>0.31699858796358055</v>
      </c>
      <c r="AF108" s="42">
        <f t="shared" ca="1" si="45"/>
        <v>1.0297074845806265E-2</v>
      </c>
      <c r="AG108" s="42">
        <f t="shared" ca="1" si="45"/>
        <v>9.1078171053379023E-2</v>
      </c>
      <c r="AH108" s="42">
        <f t="shared" ca="1" si="49"/>
        <v>0</v>
      </c>
      <c r="AI108" s="51">
        <f t="shared" ca="1" si="50"/>
        <v>0.53098542258319559</v>
      </c>
    </row>
    <row r="109" spans="4:35" ht="12" customHeight="1" x14ac:dyDescent="0.2">
      <c r="D109" s="347">
        <f t="shared" si="51"/>
        <v>98</v>
      </c>
      <c r="E109" s="43">
        <f t="shared" si="46"/>
        <v>94.5</v>
      </c>
      <c r="G109" s="42">
        <f t="shared" ca="1" si="44"/>
        <v>1.4607553089438589E-2</v>
      </c>
      <c r="H109" s="42">
        <f t="shared" ca="1" si="44"/>
        <v>0</v>
      </c>
      <c r="I109" s="42">
        <f t="shared" ca="1" si="44"/>
        <v>1.2036873521779781E-3</v>
      </c>
      <c r="J109" s="42">
        <f t="shared" ca="1" si="44"/>
        <v>1.3969115398762986E-4</v>
      </c>
      <c r="K109" s="42">
        <f t="shared" ca="1" si="44"/>
        <v>8.2038225249404816E-4</v>
      </c>
      <c r="L109" s="42">
        <f t="shared" ca="1" si="44"/>
        <v>9.5207566445310482E-5</v>
      </c>
      <c r="M109" s="42">
        <f t="shared" ca="1" si="44"/>
        <v>2.3296970808254928E-2</v>
      </c>
      <c r="N109" s="42">
        <f t="shared" ca="1" si="44"/>
        <v>2.703676108860585E-3</v>
      </c>
      <c r="O109" s="42">
        <f t="shared" ca="1" si="44"/>
        <v>4.5741504240909614E-2</v>
      </c>
      <c r="P109" s="42">
        <f t="shared" ca="1" si="44"/>
        <v>0.26645926558280841</v>
      </c>
      <c r="Q109" s="42">
        <f t="shared" ca="1" si="44"/>
        <v>8.6756140952773363E-3</v>
      </c>
      <c r="R109" s="42">
        <f t="shared" ca="1" si="44"/>
        <v>9.392060644869793E-2</v>
      </c>
      <c r="S109" s="42">
        <f t="shared" ca="1" si="47"/>
        <v>0</v>
      </c>
      <c r="T109" s="51">
        <f t="shared" ca="1" si="48"/>
        <v>0.45766415869935234</v>
      </c>
      <c r="V109" s="42">
        <f t="shared" ca="1" si="45"/>
        <v>2.7190380699128467E-2</v>
      </c>
      <c r="W109" s="42">
        <f t="shared" ca="1" si="45"/>
        <v>0</v>
      </c>
      <c r="X109" s="42">
        <f t="shared" ca="1" si="45"/>
        <v>1.3306261691528997E-3</v>
      </c>
      <c r="Y109" s="42">
        <f t="shared" ca="1" si="45"/>
        <v>1.5442274504154116E-4</v>
      </c>
      <c r="Z109" s="42">
        <f t="shared" ca="1" si="45"/>
        <v>9.068983668408388E-4</v>
      </c>
      <c r="AA109" s="42">
        <f t="shared" ca="1" si="45"/>
        <v>1.0524799416083072E-4</v>
      </c>
      <c r="AB109" s="42">
        <f t="shared" ca="1" si="45"/>
        <v>2.5753829649670993E-2</v>
      </c>
      <c r="AC109" s="42">
        <f t="shared" ca="1" si="45"/>
        <v>2.988801184006656E-3</v>
      </c>
      <c r="AD109" s="42">
        <f t="shared" ca="1" si="45"/>
        <v>3.9522985377344534E-2</v>
      </c>
      <c r="AE109" s="42">
        <f t="shared" ca="1" si="45"/>
        <v>0.27479219642782016</v>
      </c>
      <c r="AF109" s="42">
        <f t="shared" ca="1" si="45"/>
        <v>8.9249636816515834E-3</v>
      </c>
      <c r="AG109" s="42">
        <f t="shared" ca="1" si="45"/>
        <v>7.7989726700605388E-2</v>
      </c>
      <c r="AH109" s="42">
        <f t="shared" ca="1" si="49"/>
        <v>0</v>
      </c>
      <c r="AI109" s="51">
        <f t="shared" ca="1" si="50"/>
        <v>0.45966007899542388</v>
      </c>
    </row>
    <row r="110" spans="4:35" ht="12" customHeight="1" x14ac:dyDescent="0.2">
      <c r="D110" s="347">
        <f t="shared" si="51"/>
        <v>99</v>
      </c>
      <c r="E110" s="43">
        <f t="shared" si="46"/>
        <v>94.75</v>
      </c>
      <c r="G110" s="42">
        <f t="shared" ca="1" si="44"/>
        <v>1.2592046819195773E-2</v>
      </c>
      <c r="H110" s="42">
        <f t="shared" ca="1" si="44"/>
        <v>0</v>
      </c>
      <c r="I110" s="42">
        <f t="shared" ca="1" si="44"/>
        <v>1.0470060841755145E-3</v>
      </c>
      <c r="J110" s="42">
        <f t="shared" ca="1" si="44"/>
        <v>1.2150787151323444E-4</v>
      </c>
      <c r="K110" s="42">
        <f t="shared" ca="1" si="44"/>
        <v>7.1359494486395272E-4</v>
      </c>
      <c r="L110" s="42">
        <f t="shared" ca="1" si="44"/>
        <v>8.2814612239146842E-5</v>
      </c>
      <c r="M110" s="42">
        <f t="shared" ca="1" si="44"/>
        <v>2.0264456658921206E-2</v>
      </c>
      <c r="N110" s="42">
        <f t="shared" ca="1" si="44"/>
        <v>2.3517446872686372E-3</v>
      </c>
      <c r="O110" s="42">
        <f t="shared" ca="1" si="44"/>
        <v>3.9901509821406694E-2</v>
      </c>
      <c r="P110" s="42">
        <f t="shared" ca="1" si="44"/>
        <v>0.23045977262274536</v>
      </c>
      <c r="Q110" s="42">
        <f t="shared" ca="1" si="44"/>
        <v>7.5020500351229927E-3</v>
      </c>
      <c r="R110" s="42">
        <f t="shared" ca="1" si="44"/>
        <v>7.99763763439343E-2</v>
      </c>
      <c r="S110" s="42">
        <f t="shared" ca="1" si="47"/>
        <v>0</v>
      </c>
      <c r="T110" s="51">
        <f t="shared" ca="1" si="48"/>
        <v>0.39501288050138678</v>
      </c>
      <c r="V110" s="42">
        <f t="shared" ca="1" si="45"/>
        <v>2.3438733694743773E-2</v>
      </c>
      <c r="W110" s="42">
        <f t="shared" ca="1" si="45"/>
        <v>0</v>
      </c>
      <c r="X110" s="42">
        <f t="shared" ca="1" si="45"/>
        <v>1.1574215616251217E-3</v>
      </c>
      <c r="Y110" s="42">
        <f t="shared" ca="1" si="45"/>
        <v>1.3432188458325809E-4</v>
      </c>
      <c r="Z110" s="42">
        <f t="shared" ca="1" si="45"/>
        <v>7.8884945172274102E-4</v>
      </c>
      <c r="AA110" s="42">
        <f t="shared" ca="1" si="45"/>
        <v>9.1548100122734551E-5</v>
      </c>
      <c r="AB110" s="42">
        <f t="shared" ca="1" si="45"/>
        <v>2.2401511725810928E-2</v>
      </c>
      <c r="AC110" s="42">
        <f t="shared" ca="1" si="45"/>
        <v>2.5997556744147385E-3</v>
      </c>
      <c r="AD110" s="42">
        <f t="shared" ca="1" si="45"/>
        <v>3.4590703975685144E-2</v>
      </c>
      <c r="AE110" s="42">
        <f t="shared" ca="1" si="45"/>
        <v>0.23823424890027409</v>
      </c>
      <c r="AF110" s="42">
        <f t="shared" ca="1" si="45"/>
        <v>7.7366602446864155E-3</v>
      </c>
      <c r="AG110" s="42">
        <f t="shared" ca="1" si="45"/>
        <v>6.6806947274811193E-2</v>
      </c>
      <c r="AH110" s="42">
        <f t="shared" ca="1" si="49"/>
        <v>0</v>
      </c>
      <c r="AI110" s="51">
        <f t="shared" ca="1" si="50"/>
        <v>0.39798070248848011</v>
      </c>
    </row>
    <row r="111" spans="4:35" ht="12" customHeight="1" x14ac:dyDescent="0.2">
      <c r="D111" s="347">
        <f t="shared" si="51"/>
        <v>100</v>
      </c>
      <c r="E111" s="43">
        <f t="shared" si="46"/>
        <v>95</v>
      </c>
      <c r="G111" s="42">
        <f t="shared" ref="G111:R120" ca="1" si="52">AVERAGE(OFFSET(C.Trace.Markov.Root, $D111, (G$2-1)*C.Trace.Markov.NumCols+G$3-1, 2))*G$6</f>
        <v>1.0854634046235892E-2</v>
      </c>
      <c r="H111" s="42">
        <f t="shared" ca="1" si="52"/>
        <v>0</v>
      </c>
      <c r="I111" s="42">
        <f t="shared" ca="1" si="52"/>
        <v>9.1071966347159607E-4</v>
      </c>
      <c r="J111" s="42">
        <f t="shared" ca="1" si="52"/>
        <v>1.0569146591046207E-4</v>
      </c>
      <c r="K111" s="42">
        <f t="shared" ca="1" si="52"/>
        <v>6.2070790023469231E-4</v>
      </c>
      <c r="L111" s="42">
        <f t="shared" ca="1" si="52"/>
        <v>7.2034820932638784E-5</v>
      </c>
      <c r="M111" s="42">
        <f t="shared" ca="1" si="52"/>
        <v>1.7626678037291826E-2</v>
      </c>
      <c r="N111" s="42">
        <f t="shared" ca="1" si="52"/>
        <v>2.0456233851276935E-3</v>
      </c>
      <c r="O111" s="42">
        <f t="shared" ca="1" si="52"/>
        <v>3.4805954713191548E-2</v>
      </c>
      <c r="P111" s="42">
        <f t="shared" ca="1" si="52"/>
        <v>0.19936167034683658</v>
      </c>
      <c r="Q111" s="42">
        <f t="shared" ca="1" si="52"/>
        <v>6.488499251536075E-3</v>
      </c>
      <c r="R111" s="42">
        <f t="shared" ca="1" si="52"/>
        <v>6.8128781840660721E-2</v>
      </c>
      <c r="S111" s="42">
        <f t="shared" ca="1" si="47"/>
        <v>0</v>
      </c>
      <c r="T111" s="51">
        <f t="shared" ca="1" si="48"/>
        <v>0.34102099547142972</v>
      </c>
      <c r="V111" s="42">
        <f t="shared" ref="V111:AG120" ca="1" si="53">AVERAGE(OFFSET(C.Trace.Markov.Root, $D111, (V$2-1)*C.Trace.Markov.NumCols+V$3-1, 2))*V$6</f>
        <v>2.0204727667925824E-2</v>
      </c>
      <c r="W111" s="42">
        <f t="shared" ca="1" si="53"/>
        <v>0</v>
      </c>
      <c r="X111" s="42">
        <f t="shared" ca="1" si="53"/>
        <v>1.0067626072374364E-3</v>
      </c>
      <c r="Y111" s="42">
        <f t="shared" ca="1" si="53"/>
        <v>1.1683750779811957E-4</v>
      </c>
      <c r="Z111" s="42">
        <f t="shared" ca="1" si="53"/>
        <v>6.8616669765431419E-4</v>
      </c>
      <c r="AA111" s="42">
        <f t="shared" ca="1" si="53"/>
        <v>7.9631490394724676E-5</v>
      </c>
      <c r="AB111" s="42">
        <f t="shared" ca="1" si="53"/>
        <v>1.9485557465743954E-2</v>
      </c>
      <c r="AC111" s="42">
        <f t="shared" ca="1" si="53"/>
        <v>2.2613513414067822E-3</v>
      </c>
      <c r="AD111" s="42">
        <f t="shared" ca="1" si="53"/>
        <v>3.0271148972538599E-2</v>
      </c>
      <c r="AE111" s="42">
        <f t="shared" ca="1" si="53"/>
        <v>0.20656418692794742</v>
      </c>
      <c r="AF111" s="42">
        <f t="shared" ca="1" si="53"/>
        <v>6.7073864045248364E-3</v>
      </c>
      <c r="AG111" s="42">
        <f t="shared" ca="1" si="53"/>
        <v>5.7248692805869569E-2</v>
      </c>
      <c r="AH111" s="42">
        <f t="shared" ca="1" si="49"/>
        <v>0</v>
      </c>
      <c r="AI111" s="51">
        <f t="shared" ca="1" si="50"/>
        <v>0.34463244988904157</v>
      </c>
    </row>
    <row r="112" spans="4:35" ht="12" customHeight="1" x14ac:dyDescent="0.2">
      <c r="D112" s="347">
        <f t="shared" si="51"/>
        <v>101</v>
      </c>
      <c r="E112" s="43">
        <f t="shared" si="46"/>
        <v>95.25</v>
      </c>
      <c r="G112" s="42">
        <f t="shared" ca="1" si="52"/>
        <v>9.3569442656526343E-3</v>
      </c>
      <c r="H112" s="42">
        <f t="shared" ca="1" si="52"/>
        <v>0</v>
      </c>
      <c r="I112" s="42">
        <f t="shared" ca="1" si="52"/>
        <v>7.921733387890983E-4</v>
      </c>
      <c r="J112" s="42">
        <f t="shared" ca="1" si="52"/>
        <v>9.1933846154861458E-5</v>
      </c>
      <c r="K112" s="42">
        <f t="shared" ca="1" si="52"/>
        <v>5.3991175272018524E-4</v>
      </c>
      <c r="L112" s="42">
        <f t="shared" ca="1" si="52"/>
        <v>6.265821074924341E-5</v>
      </c>
      <c r="M112" s="42">
        <f t="shared" ca="1" si="52"/>
        <v>1.5332253109957623E-2</v>
      </c>
      <c r="N112" s="42">
        <f t="shared" ca="1" si="52"/>
        <v>1.7793492025026455E-3</v>
      </c>
      <c r="O112" s="42">
        <f t="shared" ca="1" si="52"/>
        <v>3.0360108631558396E-2</v>
      </c>
      <c r="P112" s="42">
        <f t="shared" ca="1" si="52"/>
        <v>0.17249166936622642</v>
      </c>
      <c r="Q112" s="42">
        <f t="shared" ca="1" si="52"/>
        <v>5.6129450884599289E-3</v>
      </c>
      <c r="R112" s="42">
        <f t="shared" ca="1" si="52"/>
        <v>5.8058790007928726E-2</v>
      </c>
      <c r="S112" s="42">
        <f t="shared" ca="1" si="47"/>
        <v>0</v>
      </c>
      <c r="T112" s="51">
        <f t="shared" ca="1" si="48"/>
        <v>0.2944787368206998</v>
      </c>
      <c r="V112" s="42">
        <f t="shared" ca="1" si="53"/>
        <v>1.7416940072432094E-2</v>
      </c>
      <c r="W112" s="42">
        <f t="shared" ca="1" si="53"/>
        <v>0</v>
      </c>
      <c r="X112" s="42">
        <f t="shared" ca="1" si="53"/>
        <v>8.7571458916695642E-4</v>
      </c>
      <c r="Y112" s="42">
        <f t="shared" ca="1" si="53"/>
        <v>1.0162903290724914E-4</v>
      </c>
      <c r="Z112" s="42">
        <f t="shared" ca="1" si="53"/>
        <v>5.9684992610644424E-4</v>
      </c>
      <c r="AA112" s="42">
        <f t="shared" ca="1" si="53"/>
        <v>6.9266038879930793E-5</v>
      </c>
      <c r="AB112" s="42">
        <f t="shared" ca="1" si="53"/>
        <v>1.694916639546858E-2</v>
      </c>
      <c r="AC112" s="42">
        <f t="shared" ca="1" si="53"/>
        <v>1.9669963372359834E-3</v>
      </c>
      <c r="AD112" s="42">
        <f t="shared" ca="1" si="53"/>
        <v>2.6488605542077905E-2</v>
      </c>
      <c r="AE112" s="42">
        <f t="shared" ca="1" si="53"/>
        <v>0.17912459865827865</v>
      </c>
      <c r="AF112" s="42">
        <f t="shared" ca="1" si="53"/>
        <v>5.8157289535738415E-3</v>
      </c>
      <c r="AG112" s="42">
        <f t="shared" ca="1" si="53"/>
        <v>4.9075837965426472E-2</v>
      </c>
      <c r="AH112" s="42">
        <f t="shared" ca="1" si="49"/>
        <v>0</v>
      </c>
      <c r="AI112" s="51">
        <f t="shared" ca="1" si="50"/>
        <v>0.29848133351155415</v>
      </c>
    </row>
    <row r="113" spans="4:35" ht="12" customHeight="1" x14ac:dyDescent="0.2">
      <c r="D113" s="347">
        <f t="shared" si="51"/>
        <v>102</v>
      </c>
      <c r="E113" s="43">
        <f t="shared" si="46"/>
        <v>95.5</v>
      </c>
      <c r="G113" s="42">
        <f t="shared" ca="1" si="52"/>
        <v>8.0659012194787549E-3</v>
      </c>
      <c r="H113" s="42">
        <f t="shared" ca="1" si="52"/>
        <v>0</v>
      </c>
      <c r="I113" s="42">
        <f t="shared" ca="1" si="52"/>
        <v>6.8905792183748035E-4</v>
      </c>
      <c r="J113" s="42">
        <f t="shared" ca="1" si="52"/>
        <v>7.9967024735808063E-5</v>
      </c>
      <c r="K113" s="42">
        <f t="shared" ca="1" si="52"/>
        <v>4.6963265751114703E-4</v>
      </c>
      <c r="L113" s="42">
        <f t="shared" ca="1" si="52"/>
        <v>5.4502132766706423E-5</v>
      </c>
      <c r="M113" s="42">
        <f t="shared" ca="1" si="52"/>
        <v>1.3336488300884781E-2</v>
      </c>
      <c r="N113" s="42">
        <f t="shared" ca="1" si="52"/>
        <v>1.547735329711811E-3</v>
      </c>
      <c r="O113" s="42">
        <f t="shared" ca="1" si="52"/>
        <v>2.6481272474469013E-2</v>
      </c>
      <c r="P113" s="42">
        <f t="shared" ca="1" si="52"/>
        <v>0.14926990092737494</v>
      </c>
      <c r="Q113" s="42">
        <f t="shared" ca="1" si="52"/>
        <v>4.8564313625835218E-3</v>
      </c>
      <c r="R113" s="42">
        <f t="shared" ca="1" si="52"/>
        <v>4.9496450146706054E-2</v>
      </c>
      <c r="S113" s="42">
        <f t="shared" ca="1" si="47"/>
        <v>0</v>
      </c>
      <c r="T113" s="51">
        <f t="shared" ca="1" si="48"/>
        <v>0.25434733949805999</v>
      </c>
      <c r="V113" s="42">
        <f t="shared" ca="1" si="53"/>
        <v>1.5013803030280196E-2</v>
      </c>
      <c r="W113" s="42">
        <f t="shared" ca="1" si="53"/>
        <v>0</v>
      </c>
      <c r="X113" s="42">
        <f t="shared" ca="1" si="53"/>
        <v>7.6172479606107391E-4</v>
      </c>
      <c r="Y113" s="42">
        <f t="shared" ca="1" si="53"/>
        <v>8.8400210893825292E-5</v>
      </c>
      <c r="Z113" s="42">
        <f t="shared" ca="1" si="53"/>
        <v>5.191593172782249E-4</v>
      </c>
      <c r="AA113" s="42">
        <f t="shared" ca="1" si="53"/>
        <v>6.0249834812007003E-5</v>
      </c>
      <c r="AB113" s="42">
        <f t="shared" ca="1" si="53"/>
        <v>1.4742931630584133E-2</v>
      </c>
      <c r="AC113" s="42">
        <f t="shared" ca="1" si="53"/>
        <v>1.7109568601103933E-3</v>
      </c>
      <c r="AD113" s="42">
        <f t="shared" ca="1" si="53"/>
        <v>2.317665673010489E-2</v>
      </c>
      <c r="AE113" s="42">
        <f t="shared" ca="1" si="53"/>
        <v>0.15534711327621784</v>
      </c>
      <c r="AF113" s="42">
        <f t="shared" ca="1" si="53"/>
        <v>5.0431787339671784E-3</v>
      </c>
      <c r="AG113" s="42">
        <f t="shared" ca="1" si="53"/>
        <v>4.2084915412309347E-2</v>
      </c>
      <c r="AH113" s="42">
        <f t="shared" ca="1" si="49"/>
        <v>0</v>
      </c>
      <c r="AI113" s="51">
        <f t="shared" ca="1" si="50"/>
        <v>0.25854908983261909</v>
      </c>
    </row>
    <row r="114" spans="4:35" ht="12" customHeight="1" x14ac:dyDescent="0.2">
      <c r="D114" s="347">
        <f t="shared" si="51"/>
        <v>103</v>
      </c>
      <c r="E114" s="43">
        <f t="shared" si="46"/>
        <v>95.75</v>
      </c>
      <c r="G114" s="42">
        <f t="shared" ca="1" si="52"/>
        <v>6.9529924124060302E-3</v>
      </c>
      <c r="H114" s="42">
        <f t="shared" ca="1" si="52"/>
        <v>0</v>
      </c>
      <c r="I114" s="42">
        <f t="shared" ca="1" si="52"/>
        <v>5.9936480615815609E-4</v>
      </c>
      <c r="J114" s="42">
        <f t="shared" ca="1" si="52"/>
        <v>6.9557897472553249E-5</v>
      </c>
      <c r="K114" s="42">
        <f t="shared" ca="1" si="52"/>
        <v>4.0850163362768496E-4</v>
      </c>
      <c r="L114" s="42">
        <f t="shared" ca="1" si="52"/>
        <v>4.7407713061062184E-5</v>
      </c>
      <c r="M114" s="42">
        <f t="shared" ca="1" si="52"/>
        <v>1.1600507696036086E-2</v>
      </c>
      <c r="N114" s="42">
        <f t="shared" ca="1" si="52"/>
        <v>1.3462701123921549E-3</v>
      </c>
      <c r="O114" s="42">
        <f t="shared" ca="1" si="52"/>
        <v>2.3097253594734295E-2</v>
      </c>
      <c r="P114" s="42">
        <f t="shared" ca="1" si="52"/>
        <v>0.12919680975650497</v>
      </c>
      <c r="Q114" s="42">
        <f t="shared" ca="1" si="52"/>
        <v>4.2026321098111927E-3</v>
      </c>
      <c r="R114" s="42">
        <f t="shared" ca="1" si="52"/>
        <v>4.2213267416015901E-2</v>
      </c>
      <c r="S114" s="42">
        <f t="shared" ca="1" si="47"/>
        <v>0</v>
      </c>
      <c r="T114" s="51">
        <f t="shared" ca="1" si="48"/>
        <v>0.2197345651482201</v>
      </c>
      <c r="V114" s="42">
        <f t="shared" ca="1" si="53"/>
        <v>1.2942243614240907E-2</v>
      </c>
      <c r="W114" s="42">
        <f t="shared" ca="1" si="53"/>
        <v>0</v>
      </c>
      <c r="X114" s="42">
        <f t="shared" ca="1" si="53"/>
        <v>6.6257279724691665E-4</v>
      </c>
      <c r="Y114" s="42">
        <f t="shared" ca="1" si="53"/>
        <v>7.6893354807427061E-5</v>
      </c>
      <c r="Z114" s="42">
        <f t="shared" ca="1" si="53"/>
        <v>4.5158151978848412E-4</v>
      </c>
      <c r="AA114" s="42">
        <f t="shared" ca="1" si="53"/>
        <v>5.2407249693700952E-5</v>
      </c>
      <c r="AB114" s="42">
        <f t="shared" ca="1" si="53"/>
        <v>1.2823877469406901E-2</v>
      </c>
      <c r="AC114" s="42">
        <f t="shared" ca="1" si="53"/>
        <v>1.4882454642860959E-3</v>
      </c>
      <c r="AD114" s="42">
        <f t="shared" ca="1" si="53"/>
        <v>2.0277050128633813E-2</v>
      </c>
      <c r="AE114" s="42">
        <f t="shared" ca="1" si="53"/>
        <v>0.13474024278705551</v>
      </c>
      <c r="AF114" s="42">
        <f t="shared" ca="1" si="53"/>
        <v>4.3737335012954308E-3</v>
      </c>
      <c r="AG114" s="42">
        <f t="shared" ca="1" si="53"/>
        <v>3.6102731979145035E-2</v>
      </c>
      <c r="AH114" s="42">
        <f t="shared" ca="1" si="49"/>
        <v>0</v>
      </c>
      <c r="AI114" s="51">
        <f t="shared" ca="1" si="50"/>
        <v>0.22399157986560025</v>
      </c>
    </row>
    <row r="115" spans="4:35" ht="12" customHeight="1" x14ac:dyDescent="0.2">
      <c r="D115" s="347">
        <f t="shared" si="51"/>
        <v>104</v>
      </c>
      <c r="E115" s="43">
        <f t="shared" si="46"/>
        <v>96</v>
      </c>
      <c r="G115" s="42">
        <f t="shared" ca="1" si="52"/>
        <v>5.9936394175305781E-3</v>
      </c>
      <c r="H115" s="42">
        <f t="shared" ca="1" si="52"/>
        <v>0</v>
      </c>
      <c r="I115" s="42">
        <f t="shared" ca="1" si="52"/>
        <v>5.2134684106531918E-4</v>
      </c>
      <c r="J115" s="42">
        <f t="shared" ca="1" si="52"/>
        <v>6.0503702829845429E-5</v>
      </c>
      <c r="K115" s="42">
        <f t="shared" ca="1" si="52"/>
        <v>3.5532789725664779E-4</v>
      </c>
      <c r="L115" s="42">
        <f t="shared" ca="1" si="52"/>
        <v>4.1236757968725311E-5</v>
      </c>
      <c r="M115" s="42">
        <f t="shared" ca="1" si="52"/>
        <v>1.0090495771429168E-2</v>
      </c>
      <c r="N115" s="42">
        <f t="shared" ca="1" si="52"/>
        <v>1.1710291680541165E-3</v>
      </c>
      <c r="O115" s="42">
        <f t="shared" ca="1" si="52"/>
        <v>2.0145033838043159E-2</v>
      </c>
      <c r="P115" s="42">
        <f t="shared" ca="1" si="52"/>
        <v>0.11184190812338034</v>
      </c>
      <c r="Q115" s="42">
        <f t="shared" ca="1" si="52"/>
        <v>3.6374825587378676E-3</v>
      </c>
      <c r="R115" s="42">
        <f t="shared" ca="1" si="52"/>
        <v>3.6015771866912204E-2</v>
      </c>
      <c r="S115" s="42">
        <f t="shared" ca="1" si="47"/>
        <v>0</v>
      </c>
      <c r="T115" s="51">
        <f t="shared" ca="1" si="48"/>
        <v>0.18987377594320795</v>
      </c>
      <c r="V115" s="42">
        <f t="shared" ca="1" si="53"/>
        <v>1.1156511740066002E-2</v>
      </c>
      <c r="W115" s="42">
        <f t="shared" ca="1" si="53"/>
        <v>0</v>
      </c>
      <c r="X115" s="42">
        <f t="shared" ca="1" si="53"/>
        <v>5.7632719050464674E-4</v>
      </c>
      <c r="Y115" s="42">
        <f t="shared" ca="1" si="53"/>
        <v>6.6884320226818104E-5</v>
      </c>
      <c r="Z115" s="42">
        <f t="shared" ca="1" si="53"/>
        <v>3.9280017179233308E-4</v>
      </c>
      <c r="AA115" s="42">
        <f t="shared" ca="1" si="53"/>
        <v>4.55855161931593E-5</v>
      </c>
      <c r="AB115" s="42">
        <f t="shared" ca="1" si="53"/>
        <v>1.1154622260419871E-2</v>
      </c>
      <c r="AC115" s="42">
        <f t="shared" ca="1" si="53"/>
        <v>1.2945239085836626E-3</v>
      </c>
      <c r="AD115" s="42">
        <f t="shared" ca="1" si="53"/>
        <v>1.7738701454515043E-2</v>
      </c>
      <c r="AE115" s="42">
        <f t="shared" ca="1" si="53"/>
        <v>0.11687889943909403</v>
      </c>
      <c r="AF115" s="42">
        <f t="shared" ca="1" si="53"/>
        <v>3.7935556150475555E-3</v>
      </c>
      <c r="AG115" s="42">
        <f t="shared" ca="1" si="53"/>
        <v>3.0981807248858285E-2</v>
      </c>
      <c r="AH115" s="42">
        <f t="shared" ca="1" si="49"/>
        <v>0</v>
      </c>
      <c r="AI115" s="51">
        <f t="shared" ca="1" si="50"/>
        <v>0.19408021886530141</v>
      </c>
    </row>
    <row r="116" spans="4:35" ht="12" customHeight="1" x14ac:dyDescent="0.2">
      <c r="D116" s="347">
        <f t="shared" si="51"/>
        <v>105</v>
      </c>
      <c r="E116" s="43">
        <f t="shared" si="46"/>
        <v>96.25</v>
      </c>
      <c r="G116" s="42">
        <f t="shared" ca="1" si="52"/>
        <v>5.1666550654188275E-3</v>
      </c>
      <c r="H116" s="42">
        <f t="shared" ca="1" si="52"/>
        <v>0</v>
      </c>
      <c r="I116" s="42">
        <f t="shared" ca="1" si="52"/>
        <v>4.5348429853765205E-4</v>
      </c>
      <c r="J116" s="42">
        <f t="shared" ca="1" si="52"/>
        <v>5.2628072284196286E-5</v>
      </c>
      <c r="K116" s="42">
        <f t="shared" ca="1" si="52"/>
        <v>3.0907566622831277E-4</v>
      </c>
      <c r="L116" s="42">
        <f t="shared" ca="1" si="52"/>
        <v>3.5869062183636385E-5</v>
      </c>
      <c r="M116" s="42">
        <f t="shared" ca="1" si="52"/>
        <v>8.7770386935755711E-3</v>
      </c>
      <c r="N116" s="42">
        <f t="shared" ca="1" si="52"/>
        <v>1.0185989422262889E-3</v>
      </c>
      <c r="O116" s="42">
        <f t="shared" ca="1" si="52"/>
        <v>1.7569606042037708E-2</v>
      </c>
      <c r="P116" s="42">
        <f t="shared" ca="1" si="52"/>
        <v>9.6834123449178161E-2</v>
      </c>
      <c r="Q116" s="42">
        <f t="shared" ca="1" si="52"/>
        <v>3.1488625059820853E-3</v>
      </c>
      <c r="R116" s="42">
        <f t="shared" ca="1" si="52"/>
        <v>3.0740094077584476E-2</v>
      </c>
      <c r="S116" s="42">
        <f t="shared" ca="1" si="47"/>
        <v>0</v>
      </c>
      <c r="T116" s="51">
        <f t="shared" ca="1" si="48"/>
        <v>0.16410603587523692</v>
      </c>
      <c r="V116" s="42">
        <f t="shared" ca="1" si="53"/>
        <v>9.6171697826235737E-3</v>
      </c>
      <c r="W116" s="42">
        <f t="shared" ca="1" si="53"/>
        <v>0</v>
      </c>
      <c r="X116" s="42">
        <f t="shared" ca="1" si="53"/>
        <v>5.0130797988556417E-4</v>
      </c>
      <c r="Y116" s="42">
        <f t="shared" ca="1" si="53"/>
        <v>5.8178139104570037E-5</v>
      </c>
      <c r="Z116" s="42">
        <f t="shared" ca="1" si="53"/>
        <v>3.4167025929749095E-4</v>
      </c>
      <c r="AA116" s="42">
        <f t="shared" ca="1" si="53"/>
        <v>3.9651752357585693E-5</v>
      </c>
      <c r="AB116" s="42">
        <f t="shared" ca="1" si="53"/>
        <v>9.7026502373785649E-3</v>
      </c>
      <c r="AC116" s="42">
        <f t="shared" ca="1" si="53"/>
        <v>1.1260186508941197E-3</v>
      </c>
      <c r="AD116" s="42">
        <f t="shared" ca="1" si="53"/>
        <v>1.5516818676699922E-2</v>
      </c>
      <c r="AE116" s="42">
        <f t="shared" ca="1" si="53"/>
        <v>0.10139535543281857</v>
      </c>
      <c r="AF116" s="42">
        <f t="shared" ca="1" si="53"/>
        <v>3.2906769059967127E-3</v>
      </c>
      <c r="AG116" s="42">
        <f t="shared" ca="1" si="53"/>
        <v>2.659650755525585E-2</v>
      </c>
      <c r="AH116" s="42">
        <f t="shared" ca="1" si="49"/>
        <v>0</v>
      </c>
      <c r="AI116" s="51">
        <f t="shared" ca="1" si="50"/>
        <v>0.16818600537231254</v>
      </c>
    </row>
    <row r="117" spans="4:35" ht="12" customHeight="1" x14ac:dyDescent="0.2">
      <c r="D117" s="347">
        <f t="shared" si="51"/>
        <v>106</v>
      </c>
      <c r="E117" s="43">
        <f t="shared" si="46"/>
        <v>96.5</v>
      </c>
      <c r="G117" s="42">
        <f t="shared" ca="1" si="52"/>
        <v>4.4537755285946569E-3</v>
      </c>
      <c r="H117" s="42">
        <f t="shared" ca="1" si="52"/>
        <v>0</v>
      </c>
      <c r="I117" s="42">
        <f t="shared" ca="1" si="52"/>
        <v>3.9445527012298679E-4</v>
      </c>
      <c r="J117" s="42">
        <f t="shared" ca="1" si="52"/>
        <v>4.5777594805062685E-5</v>
      </c>
      <c r="K117" s="42">
        <f t="shared" ca="1" si="52"/>
        <v>2.6884398380202948E-4</v>
      </c>
      <c r="L117" s="42">
        <f t="shared" ca="1" si="52"/>
        <v>3.1200067253331274E-5</v>
      </c>
      <c r="M117" s="42">
        <f t="shared" ca="1" si="52"/>
        <v>7.6345513613561254E-3</v>
      </c>
      <c r="N117" s="42">
        <f t="shared" ca="1" si="52"/>
        <v>8.8601021512434836E-4</v>
      </c>
      <c r="O117" s="42">
        <f t="shared" ca="1" si="52"/>
        <v>1.5322957746733706E-2</v>
      </c>
      <c r="P117" s="42">
        <f t="shared" ca="1" si="52"/>
        <v>8.385351078727353E-2</v>
      </c>
      <c r="Q117" s="42">
        <f t="shared" ca="1" si="52"/>
        <v>2.7263245570916311E-3</v>
      </c>
      <c r="R117" s="42">
        <f t="shared" ca="1" si="52"/>
        <v>2.6247388598257013E-2</v>
      </c>
      <c r="S117" s="42">
        <f t="shared" ca="1" si="47"/>
        <v>0</v>
      </c>
      <c r="T117" s="51">
        <f t="shared" ca="1" si="48"/>
        <v>0.14186479571041441</v>
      </c>
      <c r="V117" s="42">
        <f t="shared" ca="1" si="53"/>
        <v>8.2902216017621266E-3</v>
      </c>
      <c r="W117" s="42">
        <f t="shared" ca="1" si="53"/>
        <v>0</v>
      </c>
      <c r="X117" s="42">
        <f t="shared" ca="1" si="53"/>
        <v>4.3605385072478027E-4</v>
      </c>
      <c r="Y117" s="42">
        <f t="shared" ca="1" si="53"/>
        <v>5.0605221944284105E-5</v>
      </c>
      <c r="Z117" s="42">
        <f t="shared" ca="1" si="53"/>
        <v>2.9719581220074529E-4</v>
      </c>
      <c r="AA117" s="42">
        <f t="shared" ca="1" si="53"/>
        <v>3.4490373178295628E-5</v>
      </c>
      <c r="AB117" s="42">
        <f t="shared" ca="1" si="53"/>
        <v>8.4396781379989776E-3</v>
      </c>
      <c r="AC117" s="42">
        <f t="shared" ca="1" si="53"/>
        <v>9.7944734257449269E-4</v>
      </c>
      <c r="AD117" s="42">
        <f t="shared" ca="1" si="53"/>
        <v>1.3572132263544456E-2</v>
      </c>
      <c r="AE117" s="42">
        <f t="shared" ca="1" si="53"/>
        <v>8.7971444434536056E-2</v>
      </c>
      <c r="AF117" s="42">
        <f t="shared" ca="1" si="53"/>
        <v>2.8547441505639374E-3</v>
      </c>
      <c r="AG117" s="42">
        <f t="shared" ca="1" si="53"/>
        <v>2.2839768231273011E-2</v>
      </c>
      <c r="AH117" s="42">
        <f t="shared" ca="1" si="49"/>
        <v>0</v>
      </c>
      <c r="AI117" s="51">
        <f t="shared" ca="1" si="50"/>
        <v>0.14576578142030117</v>
      </c>
    </row>
    <row r="118" spans="4:35" ht="12" customHeight="1" x14ac:dyDescent="0.2">
      <c r="D118" s="347">
        <f t="shared" si="51"/>
        <v>107</v>
      </c>
      <c r="E118" s="43">
        <f t="shared" si="46"/>
        <v>96.75</v>
      </c>
      <c r="G118" s="42">
        <f t="shared" ca="1" si="52"/>
        <v>3.8392569676026231E-3</v>
      </c>
      <c r="H118" s="42">
        <f t="shared" ca="1" si="52"/>
        <v>0</v>
      </c>
      <c r="I118" s="42">
        <f t="shared" ca="1" si="52"/>
        <v>3.4310991721112403E-4</v>
      </c>
      <c r="J118" s="42">
        <f t="shared" ca="1" si="52"/>
        <v>3.9818828529765246E-5</v>
      </c>
      <c r="K118" s="42">
        <f t="shared" ca="1" si="52"/>
        <v>2.3384916874418421E-4</v>
      </c>
      <c r="L118" s="42">
        <f t="shared" ca="1" si="52"/>
        <v>2.7138824863296357E-5</v>
      </c>
      <c r="M118" s="42">
        <f t="shared" ca="1" si="52"/>
        <v>6.6407790285632302E-3</v>
      </c>
      <c r="N118" s="42">
        <f t="shared" ca="1" si="52"/>
        <v>7.7068026360692778E-4</v>
      </c>
      <c r="O118" s="42">
        <f t="shared" ca="1" si="52"/>
        <v>1.3363183538994551E-2</v>
      </c>
      <c r="P118" s="42">
        <f t="shared" ca="1" si="52"/>
        <v>7.26241347510896E-2</v>
      </c>
      <c r="Q118" s="42">
        <f t="shared" ca="1" si="52"/>
        <v>2.3608607948795561E-3</v>
      </c>
      <c r="R118" s="42">
        <f t="shared" ca="1" si="52"/>
        <v>2.2419971631980277E-2</v>
      </c>
      <c r="S118" s="42">
        <f t="shared" ca="1" si="47"/>
        <v>0</v>
      </c>
      <c r="T118" s="51">
        <f t="shared" ca="1" si="48"/>
        <v>0.12266278371606512</v>
      </c>
      <c r="V118" s="42">
        <f t="shared" ca="1" si="53"/>
        <v>7.1463617425681341E-3</v>
      </c>
      <c r="W118" s="42">
        <f t="shared" ca="1" si="53"/>
        <v>0</v>
      </c>
      <c r="X118" s="42">
        <f t="shared" ca="1" si="53"/>
        <v>3.7929370439168712E-4</v>
      </c>
      <c r="Y118" s="42">
        <f t="shared" ca="1" si="53"/>
        <v>4.4018054331839034E-5</v>
      </c>
      <c r="Z118" s="42">
        <f t="shared" ca="1" si="53"/>
        <v>2.5851050358104507E-4</v>
      </c>
      <c r="AA118" s="42">
        <f t="shared" ca="1" si="53"/>
        <v>3.0000839086510574E-5</v>
      </c>
      <c r="AB118" s="42">
        <f t="shared" ca="1" si="53"/>
        <v>7.3411042684624391E-3</v>
      </c>
      <c r="AC118" s="42">
        <f t="shared" ca="1" si="53"/>
        <v>8.5195489090210516E-4</v>
      </c>
      <c r="AD118" s="42">
        <f t="shared" ca="1" si="53"/>
        <v>1.1870218825431E-2</v>
      </c>
      <c r="AE118" s="42">
        <f t="shared" ca="1" si="53"/>
        <v>7.6331832596079036E-2</v>
      </c>
      <c r="AF118" s="42">
        <f t="shared" ca="1" si="53"/>
        <v>2.4767995076712085E-3</v>
      </c>
      <c r="AG118" s="42">
        <f t="shared" ca="1" si="53"/>
        <v>1.9620313607476996E-2</v>
      </c>
      <c r="AH118" s="42">
        <f t="shared" ca="1" si="49"/>
        <v>0</v>
      </c>
      <c r="AI118" s="51">
        <f t="shared" ca="1" si="50"/>
        <v>0.126350408539982</v>
      </c>
    </row>
    <row r="119" spans="4:35" ht="12" customHeight="1" x14ac:dyDescent="0.2">
      <c r="D119" s="347">
        <f t="shared" si="51"/>
        <v>108</v>
      </c>
      <c r="E119" s="43">
        <f t="shared" si="46"/>
        <v>97</v>
      </c>
      <c r="G119" s="42">
        <f t="shared" ca="1" si="52"/>
        <v>3.3095278306350365E-3</v>
      </c>
      <c r="H119" s="42">
        <f t="shared" ca="1" si="52"/>
        <v>0</v>
      </c>
      <c r="I119" s="42">
        <f t="shared" ca="1" si="52"/>
        <v>2.9844807309056668E-4</v>
      </c>
      <c r="J119" s="42">
        <f t="shared" ca="1" si="52"/>
        <v>3.4635701421943134E-5</v>
      </c>
      <c r="K119" s="42">
        <f t="shared" ca="1" si="52"/>
        <v>2.0340954983993632E-4</v>
      </c>
      <c r="L119" s="42">
        <f t="shared" ca="1" si="52"/>
        <v>2.3606225236005988E-5</v>
      </c>
      <c r="M119" s="42">
        <f t="shared" ca="1" si="52"/>
        <v>5.7763637991128424E-3</v>
      </c>
      <c r="N119" s="42">
        <f t="shared" ca="1" si="52"/>
        <v>6.7036255177925377E-4</v>
      </c>
      <c r="O119" s="42">
        <f t="shared" ca="1" si="52"/>
        <v>1.1653709791231601E-2</v>
      </c>
      <c r="P119" s="42">
        <f t="shared" ca="1" si="52"/>
        <v>6.29079538110352E-2</v>
      </c>
      <c r="Q119" s="42">
        <f t="shared" ca="1" si="52"/>
        <v>2.0447023730569814E-3</v>
      </c>
      <c r="R119" s="42">
        <f t="shared" ca="1" si="52"/>
        <v>1.9158060567378989E-2</v>
      </c>
      <c r="S119" s="42">
        <f t="shared" ca="1" si="47"/>
        <v>0</v>
      </c>
      <c r="T119" s="51">
        <f t="shared" ca="1" si="48"/>
        <v>0.10608078027381834</v>
      </c>
      <c r="V119" s="42">
        <f t="shared" ca="1" si="53"/>
        <v>6.1603282287154022E-3</v>
      </c>
      <c r="W119" s="42">
        <f t="shared" ca="1" si="53"/>
        <v>0</v>
      </c>
      <c r="X119" s="42">
        <f t="shared" ca="1" si="53"/>
        <v>3.2992189829776208E-4</v>
      </c>
      <c r="Y119" s="42">
        <f t="shared" ca="1" si="53"/>
        <v>3.8288323471716064E-5</v>
      </c>
      <c r="Z119" s="42">
        <f t="shared" ca="1" si="53"/>
        <v>2.2486077433885843E-4</v>
      </c>
      <c r="AA119" s="42">
        <f t="shared" ca="1" si="53"/>
        <v>2.6095697522376799E-5</v>
      </c>
      <c r="AB119" s="42">
        <f t="shared" ca="1" si="53"/>
        <v>6.3855292819513894E-3</v>
      </c>
      <c r="AC119" s="42">
        <f t="shared" ca="1" si="53"/>
        <v>7.4105784413500987E-4</v>
      </c>
      <c r="AD119" s="42">
        <f t="shared" ca="1" si="53"/>
        <v>1.0380906934121943E-2</v>
      </c>
      <c r="AE119" s="42">
        <f t="shared" ca="1" si="53"/>
        <v>6.6238210955288521E-2</v>
      </c>
      <c r="AF119" s="42">
        <f t="shared" ca="1" si="53"/>
        <v>2.14909106709391E-3</v>
      </c>
      <c r="AG119" s="42">
        <f t="shared" ca="1" si="53"/>
        <v>1.6860298324494219E-2</v>
      </c>
      <c r="AH119" s="42">
        <f t="shared" ca="1" si="49"/>
        <v>0</v>
      </c>
      <c r="AI119" s="51">
        <f t="shared" ca="1" si="50"/>
        <v>0.1095345893294311</v>
      </c>
    </row>
    <row r="120" spans="4:35" ht="12" customHeight="1" x14ac:dyDescent="0.2">
      <c r="D120" s="347">
        <f t="shared" si="51"/>
        <v>109</v>
      </c>
      <c r="E120" s="43">
        <f t="shared" si="46"/>
        <v>97.25</v>
      </c>
      <c r="G120" s="42">
        <f t="shared" ca="1" si="52"/>
        <v>2.8528891278114432E-3</v>
      </c>
      <c r="H120" s="42">
        <f t="shared" ca="1" si="52"/>
        <v>0</v>
      </c>
      <c r="I120" s="42">
        <f t="shared" ca="1" si="52"/>
        <v>2.5959976049501506E-4</v>
      </c>
      <c r="J120" s="42">
        <f t="shared" ca="1" si="52"/>
        <v>3.0127250280435768E-5</v>
      </c>
      <c r="K120" s="42">
        <f t="shared" ca="1" si="52"/>
        <v>1.7693218747913352E-4</v>
      </c>
      <c r="L120" s="42">
        <f t="shared" ca="1" si="52"/>
        <v>2.0533456135261718E-5</v>
      </c>
      <c r="M120" s="42">
        <f t="shared" ca="1" si="52"/>
        <v>5.0244675505970509E-3</v>
      </c>
      <c r="N120" s="42">
        <f t="shared" ca="1" si="52"/>
        <v>5.8310297025744801E-4</v>
      </c>
      <c r="O120" s="42">
        <f t="shared" ca="1" si="52"/>
        <v>1.0162617598840488E-2</v>
      </c>
      <c r="P120" s="42">
        <f t="shared" ca="1" si="52"/>
        <v>5.4499564063817361E-2</v>
      </c>
      <c r="Q120" s="42">
        <f t="shared" ca="1" si="52"/>
        <v>1.7711473311515465E-3</v>
      </c>
      <c r="R120" s="42">
        <f t="shared" ca="1" si="52"/>
        <v>1.6377020788197052E-2</v>
      </c>
      <c r="S120" s="42">
        <f t="shared" ca="1" si="47"/>
        <v>0</v>
      </c>
      <c r="T120" s="51">
        <f t="shared" ca="1" si="48"/>
        <v>9.175800208506224E-2</v>
      </c>
      <c r="V120" s="42">
        <f t="shared" ca="1" si="53"/>
        <v>5.310344655442837E-3</v>
      </c>
      <c r="W120" s="42">
        <f t="shared" ca="1" si="53"/>
        <v>0</v>
      </c>
      <c r="X120" s="42">
        <f t="shared" ca="1" si="53"/>
        <v>2.8697670885671702E-4</v>
      </c>
      <c r="Y120" s="42">
        <f t="shared" ca="1" si="53"/>
        <v>3.3304418755610067E-5</v>
      </c>
      <c r="Z120" s="42">
        <f t="shared" ca="1" si="53"/>
        <v>1.9559115446316592E-4</v>
      </c>
      <c r="AA120" s="42">
        <f t="shared" ca="1" si="53"/>
        <v>2.2698879428528303E-5</v>
      </c>
      <c r="AB120" s="42">
        <f t="shared" ca="1" si="53"/>
        <v>5.5543393363623687E-3</v>
      </c>
      <c r="AC120" s="42">
        <f t="shared" ca="1" si="53"/>
        <v>6.4459601584367348E-4</v>
      </c>
      <c r="AD120" s="42">
        <f t="shared" ca="1" si="53"/>
        <v>9.0777552310697951E-3</v>
      </c>
      <c r="AE120" s="42">
        <f t="shared" ca="1" si="53"/>
        <v>5.7484281832636874E-2</v>
      </c>
      <c r="AF120" s="42">
        <f t="shared" ca="1" si="53"/>
        <v>1.8649093389067248E-3</v>
      </c>
      <c r="AG120" s="42">
        <f t="shared" ca="1" si="53"/>
        <v>1.4493305380126498E-2</v>
      </c>
      <c r="AH120" s="42">
        <f t="shared" ca="1" si="49"/>
        <v>0</v>
      </c>
      <c r="AI120" s="51">
        <f t="shared" ca="1" si="50"/>
        <v>9.4968102951892786E-2</v>
      </c>
    </row>
    <row r="121" spans="4:35" ht="12" customHeight="1" x14ac:dyDescent="0.2">
      <c r="D121" s="347">
        <f t="shared" si="51"/>
        <v>110</v>
      </c>
      <c r="E121" s="43">
        <f t="shared" si="46"/>
        <v>97.5</v>
      </c>
      <c r="G121" s="42">
        <f t="shared" ref="G121:R131" ca="1" si="54">AVERAGE(OFFSET(C.Trace.Markov.Root, $D121, (G$2-1)*C.Trace.Markov.NumCols+G$3-1, 2))*G$6</f>
        <v>2.4592560607121462E-3</v>
      </c>
      <c r="H121" s="42">
        <f t="shared" ca="1" si="54"/>
        <v>0</v>
      </c>
      <c r="I121" s="42">
        <f t="shared" ca="1" si="54"/>
        <v>2.2580824513689679E-4</v>
      </c>
      <c r="J121" s="42">
        <f t="shared" ca="1" si="54"/>
        <v>2.6205654056279132E-5</v>
      </c>
      <c r="K121" s="42">
        <f t="shared" ca="1" si="54"/>
        <v>1.5390132366344291E-4</v>
      </c>
      <c r="L121" s="42">
        <f t="shared" ca="1" si="54"/>
        <v>1.7860662458461437E-5</v>
      </c>
      <c r="M121" s="42">
        <f t="shared" ca="1" si="54"/>
        <v>4.3704439410273983E-3</v>
      </c>
      <c r="N121" s="42">
        <f t="shared" ca="1" si="54"/>
        <v>5.0720177166910317E-4</v>
      </c>
      <c r="O121" s="42">
        <f t="shared" ca="1" si="54"/>
        <v>8.8620515087113813E-3</v>
      </c>
      <c r="P121" s="42">
        <f t="shared" ca="1" si="54"/>
        <v>4.7221680212507396E-2</v>
      </c>
      <c r="Q121" s="42">
        <f t="shared" ca="1" si="54"/>
        <v>1.5344126075138738E-3</v>
      </c>
      <c r="R121" s="42">
        <f t="shared" ca="1" si="54"/>
        <v>1.4005040154226506E-2</v>
      </c>
      <c r="S121" s="42">
        <f t="shared" ca="1" si="47"/>
        <v>0</v>
      </c>
      <c r="T121" s="51">
        <f t="shared" ca="1" si="48"/>
        <v>7.9383862141682887E-2</v>
      </c>
      <c r="V121" s="42">
        <f t="shared" ref="V121:AG131" ca="1" si="55">AVERAGE(OFFSET(C.Trace.Markov.Root, $D121, (V$2-1)*C.Trace.Markov.NumCols+V$3-1, 2))*V$6</f>
        <v>4.5776392608662562E-3</v>
      </c>
      <c r="W121" s="42">
        <f t="shared" ca="1" si="55"/>
        <v>0</v>
      </c>
      <c r="X121" s="42">
        <f t="shared" ca="1" si="55"/>
        <v>2.4962159787255187E-4</v>
      </c>
      <c r="Y121" s="42">
        <f t="shared" ca="1" si="55"/>
        <v>2.8969257676387846E-5</v>
      </c>
      <c r="Z121" s="42">
        <f t="shared" ca="1" si="55"/>
        <v>1.7013149499602606E-4</v>
      </c>
      <c r="AA121" s="42">
        <f t="shared" ca="1" si="55"/>
        <v>1.9744217485240733E-5</v>
      </c>
      <c r="AB121" s="42">
        <f t="shared" ca="1" si="55"/>
        <v>4.831343511439436E-3</v>
      </c>
      <c r="AC121" s="42">
        <f t="shared" ca="1" si="55"/>
        <v>5.6069040619430874E-4</v>
      </c>
      <c r="AD121" s="42">
        <f t="shared" ca="1" si="55"/>
        <v>7.9375941123563283E-3</v>
      </c>
      <c r="AE121" s="42">
        <f t="shared" ca="1" si="55"/>
        <v>4.9891429641162409E-2</v>
      </c>
      <c r="AF121" s="42">
        <f t="shared" ca="1" si="55"/>
        <v>1.6184460975613275E-3</v>
      </c>
      <c r="AG121" s="42">
        <f t="shared" ca="1" si="55"/>
        <v>1.2462646333142372E-2</v>
      </c>
      <c r="AH121" s="42">
        <f t="shared" ca="1" si="49"/>
        <v>0</v>
      </c>
      <c r="AI121" s="51">
        <f t="shared" ca="1" si="50"/>
        <v>8.2348255930752637E-2</v>
      </c>
    </row>
    <row r="122" spans="4:35" ht="12" customHeight="1" x14ac:dyDescent="0.2">
      <c r="D122" s="347">
        <f t="shared" si="51"/>
        <v>111</v>
      </c>
      <c r="E122" s="43">
        <f t="shared" si="46"/>
        <v>97.75</v>
      </c>
      <c r="G122" s="42">
        <f t="shared" ca="1" si="54"/>
        <v>2.1199353010921324E-3</v>
      </c>
      <c r="H122" s="42">
        <f t="shared" ca="1" si="54"/>
        <v>0</v>
      </c>
      <c r="I122" s="42">
        <f t="shared" ca="1" si="54"/>
        <v>1.9641529512421873E-4</v>
      </c>
      <c r="J122" s="42">
        <f t="shared" ca="1" si="54"/>
        <v>2.2794523168393375E-5</v>
      </c>
      <c r="K122" s="42">
        <f t="shared" ca="1" si="54"/>
        <v>1.3386833545000492E-4</v>
      </c>
      <c r="L122" s="42">
        <f t="shared" ca="1" si="54"/>
        <v>1.5535780306719795E-5</v>
      </c>
      <c r="M122" s="42">
        <f t="shared" ca="1" si="54"/>
        <v>3.801553109720726E-3</v>
      </c>
      <c r="N122" s="42">
        <f t="shared" ca="1" si="54"/>
        <v>4.4118046092390159E-4</v>
      </c>
      <c r="O122" s="42">
        <f t="shared" ca="1" si="54"/>
        <v>7.7277031945361518E-3</v>
      </c>
      <c r="P122" s="42">
        <f t="shared" ca="1" si="54"/>
        <v>4.0921249111538556E-2</v>
      </c>
      <c r="Q122" s="42">
        <f t="shared" ca="1" si="54"/>
        <v>1.3295068081868354E-3</v>
      </c>
      <c r="R122" s="42">
        <f t="shared" ca="1" si="54"/>
        <v>1.1981164133802187E-2</v>
      </c>
      <c r="S122" s="42">
        <f t="shared" ca="1" si="47"/>
        <v>0</v>
      </c>
      <c r="T122" s="51">
        <f t="shared" ca="1" si="48"/>
        <v>6.8690906053849837E-2</v>
      </c>
      <c r="V122" s="42">
        <f t="shared" ca="1" si="55"/>
        <v>3.9460303543851077E-3</v>
      </c>
      <c r="W122" s="42">
        <f t="shared" ca="1" si="55"/>
        <v>0</v>
      </c>
      <c r="X122" s="42">
        <f t="shared" ca="1" si="55"/>
        <v>2.1712891743962701E-4</v>
      </c>
      <c r="Y122" s="42">
        <f t="shared" ca="1" si="55"/>
        <v>2.5198394737923228E-5</v>
      </c>
      <c r="Z122" s="42">
        <f t="shared" ca="1" si="55"/>
        <v>1.4798586198351709E-4</v>
      </c>
      <c r="AA122" s="42">
        <f t="shared" ca="1" si="55"/>
        <v>1.7174157223573616E-5</v>
      </c>
      <c r="AB122" s="42">
        <f t="shared" ca="1" si="55"/>
        <v>4.2024584225015919E-3</v>
      </c>
      <c r="AC122" s="42">
        <f t="shared" ca="1" si="55"/>
        <v>4.8770660052385495E-4</v>
      </c>
      <c r="AD122" s="42">
        <f t="shared" ca="1" si="55"/>
        <v>6.9401233157774045E-3</v>
      </c>
      <c r="AE122" s="42">
        <f t="shared" ca="1" si="55"/>
        <v>4.3304981811561644E-2</v>
      </c>
      <c r="AF122" s="42">
        <f t="shared" ca="1" si="55"/>
        <v>1.4046724953368157E-3</v>
      </c>
      <c r="AG122" s="42">
        <f t="shared" ca="1" si="55"/>
        <v>1.0719917523831612E-2</v>
      </c>
      <c r="AH122" s="42">
        <f t="shared" ca="1" si="49"/>
        <v>0</v>
      </c>
      <c r="AI122" s="51">
        <f t="shared" ca="1" si="50"/>
        <v>7.1413377855302662E-2</v>
      </c>
    </row>
    <row r="123" spans="4:35" ht="12" customHeight="1" x14ac:dyDescent="0.2">
      <c r="D123" s="347">
        <f t="shared" si="51"/>
        <v>112</v>
      </c>
      <c r="E123" s="43">
        <f t="shared" si="46"/>
        <v>98</v>
      </c>
      <c r="G123" s="42">
        <f t="shared" ca="1" si="54"/>
        <v>1.8274330000086251E-3</v>
      </c>
      <c r="H123" s="42">
        <f t="shared" ca="1" si="54"/>
        <v>0</v>
      </c>
      <c r="I123" s="42">
        <f t="shared" ca="1" si="54"/>
        <v>1.708483591258829E-4</v>
      </c>
      <c r="J123" s="42">
        <f t="shared" ca="1" si="54"/>
        <v>1.9827411495189281E-5</v>
      </c>
      <c r="K123" s="42">
        <f t="shared" ca="1" si="54"/>
        <v>1.1644299613266981E-4</v>
      </c>
      <c r="L123" s="42">
        <f t="shared" ca="1" si="54"/>
        <v>1.3513522821451609E-5</v>
      </c>
      <c r="M123" s="42">
        <f t="shared" ca="1" si="54"/>
        <v>3.3067135149272764E-3</v>
      </c>
      <c r="N123" s="42">
        <f t="shared" ca="1" si="54"/>
        <v>3.8375299530303878E-4</v>
      </c>
      <c r="O123" s="42">
        <f t="shared" ca="1" si="54"/>
        <v>6.7383606016502397E-3</v>
      </c>
      <c r="P123" s="42">
        <f t="shared" ca="1" si="54"/>
        <v>3.5466106274927328E-2</v>
      </c>
      <c r="Q123" s="42">
        <f t="shared" ca="1" si="54"/>
        <v>1.152120785377941E-3</v>
      </c>
      <c r="R123" s="42">
        <f t="shared" ca="1" si="54"/>
        <v>1.0253635151174261E-2</v>
      </c>
      <c r="S123" s="42">
        <f t="shared" ca="1" si="47"/>
        <v>0</v>
      </c>
      <c r="T123" s="51">
        <f t="shared" ca="1" si="48"/>
        <v>5.944875461294391E-2</v>
      </c>
      <c r="V123" s="42">
        <f t="shared" ca="1" si="55"/>
        <v>3.4015689464315783E-3</v>
      </c>
      <c r="W123" s="42">
        <f t="shared" ca="1" si="55"/>
        <v>0</v>
      </c>
      <c r="X123" s="42">
        <f t="shared" ca="1" si="55"/>
        <v>1.8886573593914318E-4</v>
      </c>
      <c r="Y123" s="42">
        <f t="shared" ca="1" si="55"/>
        <v>2.1918376523874029E-5</v>
      </c>
      <c r="Z123" s="42">
        <f t="shared" ca="1" si="55"/>
        <v>1.2872287607603816E-4</v>
      </c>
      <c r="AA123" s="42">
        <f t="shared" ca="1" si="55"/>
        <v>1.493863591000804E-5</v>
      </c>
      <c r="AB123" s="42">
        <f t="shared" ca="1" si="55"/>
        <v>3.6554338872900401E-3</v>
      </c>
      <c r="AC123" s="42">
        <f t="shared" ca="1" si="55"/>
        <v>4.2422293223990856E-4</v>
      </c>
      <c r="AD123" s="42">
        <f t="shared" ca="1" si="55"/>
        <v>6.0675586516163735E-3</v>
      </c>
      <c r="AE123" s="42">
        <f t="shared" ca="1" si="55"/>
        <v>3.7590978662222142E-2</v>
      </c>
      <c r="AF123" s="42">
        <f t="shared" ca="1" si="55"/>
        <v>1.2192337902374945E-3</v>
      </c>
      <c r="AG123" s="42">
        <f t="shared" ca="1" si="55"/>
        <v>9.2237732926610319E-3</v>
      </c>
      <c r="AH123" s="42">
        <f t="shared" ca="1" si="49"/>
        <v>0</v>
      </c>
      <c r="AI123" s="51">
        <f t="shared" ca="1" si="50"/>
        <v>6.1937215787147629E-2</v>
      </c>
    </row>
    <row r="124" spans="4:35" ht="12" customHeight="1" x14ac:dyDescent="0.2">
      <c r="D124" s="347">
        <f t="shared" si="51"/>
        <v>113</v>
      </c>
      <c r="E124" s="43">
        <f t="shared" si="46"/>
        <v>98.25</v>
      </c>
      <c r="G124" s="42">
        <f t="shared" ca="1" si="54"/>
        <v>1.575289287272163E-3</v>
      </c>
      <c r="H124" s="42">
        <f t="shared" ca="1" si="54"/>
        <v>0</v>
      </c>
      <c r="I124" s="42">
        <f t="shared" ca="1" si="54"/>
        <v>1.4860941352630701E-4</v>
      </c>
      <c r="J124" s="42">
        <f t="shared" ca="1" si="54"/>
        <v>1.7246522056871464E-5</v>
      </c>
      <c r="K124" s="42">
        <f t="shared" ca="1" si="54"/>
        <v>1.0128587393556373E-4</v>
      </c>
      <c r="L124" s="42">
        <f t="shared" ca="1" si="54"/>
        <v>1.1754498032319986E-5</v>
      </c>
      <c r="M124" s="42">
        <f t="shared" ca="1" si="54"/>
        <v>2.8762860741950729E-3</v>
      </c>
      <c r="N124" s="42">
        <f t="shared" ca="1" si="54"/>
        <v>3.3380073336805322E-4</v>
      </c>
      <c r="O124" s="42">
        <f t="shared" ca="1" si="54"/>
        <v>5.8755142793689898E-3</v>
      </c>
      <c r="P124" s="42">
        <f t="shared" ca="1" si="54"/>
        <v>3.0742098598836348E-2</v>
      </c>
      <c r="Q124" s="42">
        <f t="shared" ca="1" si="54"/>
        <v>9.985335028359426E-4</v>
      </c>
      <c r="R124" s="42">
        <f t="shared" ca="1" si="54"/>
        <v>8.7784886130555188E-3</v>
      </c>
      <c r="S124" s="42">
        <f t="shared" ca="1" si="47"/>
        <v>0</v>
      </c>
      <c r="T124" s="51">
        <f t="shared" ca="1" si="48"/>
        <v>5.145890739648315E-2</v>
      </c>
      <c r="V124" s="42">
        <f t="shared" ca="1" si="55"/>
        <v>2.9322306870927873E-3</v>
      </c>
      <c r="W124" s="42">
        <f t="shared" ca="1" si="55"/>
        <v>0</v>
      </c>
      <c r="X124" s="42">
        <f t="shared" ca="1" si="55"/>
        <v>1.6428150903369343E-4</v>
      </c>
      <c r="Y124" s="42">
        <f t="shared" ca="1" si="55"/>
        <v>1.9065310883446635E-5</v>
      </c>
      <c r="Z124" s="42">
        <f t="shared" ca="1" si="55"/>
        <v>1.1196730960105243E-4</v>
      </c>
      <c r="AA124" s="42">
        <f t="shared" ca="1" si="55"/>
        <v>1.2994107364142656E-5</v>
      </c>
      <c r="AB124" s="42">
        <f t="shared" ca="1" si="55"/>
        <v>3.1796143021432374E-3</v>
      </c>
      <c r="AC124" s="42">
        <f t="shared" ca="1" si="55"/>
        <v>3.6900278988416822E-4</v>
      </c>
      <c r="AD124" s="42">
        <f t="shared" ca="1" si="55"/>
        <v>5.3043219268824691E-3</v>
      </c>
      <c r="AE124" s="42">
        <f t="shared" ca="1" si="55"/>
        <v>3.2633382323297593E-2</v>
      </c>
      <c r="AF124" s="42">
        <f t="shared" ca="1" si="55"/>
        <v>1.0583584030242341E-3</v>
      </c>
      <c r="AG124" s="42">
        <f t="shared" ca="1" si="55"/>
        <v>7.9388831899679761E-3</v>
      </c>
      <c r="AH124" s="42">
        <f t="shared" ca="1" si="49"/>
        <v>0</v>
      </c>
      <c r="AI124" s="51">
        <f t="shared" ca="1" si="50"/>
        <v>5.3724101859174797E-2</v>
      </c>
    </row>
    <row r="125" spans="4:35" ht="12" customHeight="1" x14ac:dyDescent="0.2">
      <c r="D125" s="347">
        <f t="shared" si="51"/>
        <v>114</v>
      </c>
      <c r="E125" s="43">
        <f t="shared" si="46"/>
        <v>98.5</v>
      </c>
      <c r="G125" s="42">
        <f t="shared" ca="1" si="54"/>
        <v>1.3579356061659865E-3</v>
      </c>
      <c r="H125" s="42">
        <f t="shared" ca="1" si="54"/>
        <v>0</v>
      </c>
      <c r="I125" s="42">
        <f t="shared" ca="1" si="54"/>
        <v>1.2926526132077531E-4</v>
      </c>
      <c r="J125" s="42">
        <f t="shared" ca="1" si="54"/>
        <v>1.500158117615718E-5</v>
      </c>
      <c r="K125" s="42">
        <f t="shared" ca="1" si="54"/>
        <v>8.810172015157073E-5</v>
      </c>
      <c r="L125" s="42">
        <f t="shared" ca="1" si="54"/>
        <v>1.0224441532927572E-5</v>
      </c>
      <c r="M125" s="42">
        <f t="shared" ca="1" si="54"/>
        <v>2.5018864026962588E-3</v>
      </c>
      <c r="N125" s="42">
        <f t="shared" ca="1" si="54"/>
        <v>2.9035064471369832E-4</v>
      </c>
      <c r="O125" s="42">
        <f t="shared" ca="1" si="54"/>
        <v>5.12301366372087E-3</v>
      </c>
      <c r="P125" s="42">
        <f t="shared" ca="1" si="54"/>
        <v>2.6650607534542597E-2</v>
      </c>
      <c r="Q125" s="42">
        <f t="shared" ca="1" si="54"/>
        <v>8.6553102729873554E-4</v>
      </c>
      <c r="R125" s="42">
        <f t="shared" ca="1" si="54"/>
        <v>7.5183655663289672E-3</v>
      </c>
      <c r="S125" s="42">
        <f t="shared" ca="1" si="47"/>
        <v>0</v>
      </c>
      <c r="T125" s="51">
        <f t="shared" ca="1" si="48"/>
        <v>4.4550283449648551E-2</v>
      </c>
      <c r="V125" s="42">
        <f t="shared" ca="1" si="55"/>
        <v>2.5276503101159713E-3</v>
      </c>
      <c r="W125" s="42">
        <f t="shared" ca="1" si="55"/>
        <v>0</v>
      </c>
      <c r="X125" s="42">
        <f t="shared" ca="1" si="55"/>
        <v>1.4289735550064927E-4</v>
      </c>
      <c r="Y125" s="42">
        <f t="shared" ca="1" si="55"/>
        <v>1.6583622363022687E-5</v>
      </c>
      <c r="Z125" s="42">
        <f t="shared" ca="1" si="55"/>
        <v>9.7392777425920493E-5</v>
      </c>
      <c r="AA125" s="42">
        <f t="shared" ca="1" si="55"/>
        <v>1.1302693713670915E-5</v>
      </c>
      <c r="AB125" s="42">
        <f t="shared" ca="1" si="55"/>
        <v>2.7657310792970871E-3</v>
      </c>
      <c r="AC125" s="42">
        <f t="shared" ca="1" si="55"/>
        <v>3.2097052892297677E-4</v>
      </c>
      <c r="AD125" s="42">
        <f t="shared" ca="1" si="55"/>
        <v>4.6367688256836051E-3</v>
      </c>
      <c r="AE125" s="42">
        <f t="shared" ca="1" si="55"/>
        <v>2.8331664518155227E-2</v>
      </c>
      <c r="AF125" s="42">
        <f t="shared" ca="1" si="55"/>
        <v>9.1877933563017404E-4</v>
      </c>
      <c r="AG125" s="42">
        <f t="shared" ca="1" si="55"/>
        <v>6.8350452459413971E-3</v>
      </c>
      <c r="AH125" s="42">
        <f t="shared" ca="1" si="49"/>
        <v>0</v>
      </c>
      <c r="AI125" s="51">
        <f t="shared" ca="1" si="50"/>
        <v>4.6604786292749702E-2</v>
      </c>
    </row>
    <row r="126" spans="4:35" ht="12" customHeight="1" x14ac:dyDescent="0.2">
      <c r="D126" s="347">
        <f t="shared" si="51"/>
        <v>115</v>
      </c>
      <c r="E126" s="43">
        <f t="shared" si="46"/>
        <v>98.75</v>
      </c>
      <c r="G126" s="42">
        <f t="shared" ca="1" si="54"/>
        <v>1.1705717326920403E-3</v>
      </c>
      <c r="H126" s="42">
        <f t="shared" ca="1" si="54"/>
        <v>0</v>
      </c>
      <c r="I126" s="42">
        <f t="shared" ca="1" si="54"/>
        <v>1.1243909378170308E-4</v>
      </c>
      <c r="J126" s="42">
        <f t="shared" ca="1" si="54"/>
        <v>1.3048859186955239E-5</v>
      </c>
      <c r="K126" s="42">
        <f t="shared" ca="1" si="54"/>
        <v>7.6633717931916888E-5</v>
      </c>
      <c r="L126" s="42">
        <f t="shared" ca="1" si="54"/>
        <v>8.8935490373825366E-6</v>
      </c>
      <c r="M126" s="42">
        <f t="shared" ca="1" si="54"/>
        <v>2.1762214920670315E-3</v>
      </c>
      <c r="N126" s="42">
        <f t="shared" ca="1" si="54"/>
        <v>2.5255635610813975E-4</v>
      </c>
      <c r="O126" s="42">
        <f t="shared" ca="1" si="54"/>
        <v>4.4667669869733256E-3</v>
      </c>
      <c r="P126" s="42">
        <f t="shared" ca="1" si="54"/>
        <v>2.310641633999513E-2</v>
      </c>
      <c r="Q126" s="42">
        <f t="shared" ca="1" si="54"/>
        <v>7.5033679445622519E-4</v>
      </c>
      <c r="R126" s="42">
        <f t="shared" ca="1" si="54"/>
        <v>6.4415082389767848E-3</v>
      </c>
      <c r="S126" s="42">
        <f t="shared" ca="1" si="47"/>
        <v>0</v>
      </c>
      <c r="T126" s="51">
        <f t="shared" ca="1" si="48"/>
        <v>3.8575393161206631E-2</v>
      </c>
      <c r="V126" s="42">
        <f t="shared" ca="1" si="55"/>
        <v>2.1788927175316725E-3</v>
      </c>
      <c r="W126" s="42">
        <f t="shared" ca="1" si="55"/>
        <v>0</v>
      </c>
      <c r="X126" s="42">
        <f t="shared" ca="1" si="55"/>
        <v>1.2429672900612909E-4</v>
      </c>
      <c r="Y126" s="42">
        <f t="shared" ca="1" si="55"/>
        <v>1.4424969640444095E-5</v>
      </c>
      <c r="Z126" s="42">
        <f t="shared" ca="1" si="55"/>
        <v>8.4715379234634491E-5</v>
      </c>
      <c r="AA126" s="42">
        <f t="shared" ca="1" si="55"/>
        <v>9.8314475634998649E-6</v>
      </c>
      <c r="AB126" s="42">
        <f t="shared" ca="1" si="55"/>
        <v>2.405722102153647E-3</v>
      </c>
      <c r="AC126" s="42">
        <f t="shared" ca="1" si="55"/>
        <v>2.7919051904576282E-4</v>
      </c>
      <c r="AD126" s="42">
        <f t="shared" ca="1" si="55"/>
        <v>4.0529501370042834E-3</v>
      </c>
      <c r="AE126" s="42">
        <f t="shared" ca="1" si="55"/>
        <v>2.4598721340138307E-2</v>
      </c>
      <c r="AF126" s="42">
        <f t="shared" ca="1" si="55"/>
        <v>7.9766625614850631E-4</v>
      </c>
      <c r="AG126" s="42">
        <f t="shared" ca="1" si="55"/>
        <v>5.8864316579373384E-3</v>
      </c>
      <c r="AH126" s="42">
        <f t="shared" ca="1" si="49"/>
        <v>0</v>
      </c>
      <c r="AI126" s="51">
        <f t="shared" ca="1" si="50"/>
        <v>4.0432843255404229E-2</v>
      </c>
    </row>
    <row r="127" spans="4:35" ht="12" customHeight="1" x14ac:dyDescent="0.2">
      <c r="D127" s="347">
        <f t="shared" si="51"/>
        <v>116</v>
      </c>
      <c r="E127" s="43">
        <f t="shared" si="46"/>
        <v>99</v>
      </c>
      <c r="G127" s="42">
        <f t="shared" ca="1" si="54"/>
        <v>1.0090597633317783E-3</v>
      </c>
      <c r="H127" s="42">
        <f t="shared" ca="1" si="54"/>
        <v>0</v>
      </c>
      <c r="I127" s="42">
        <f t="shared" ca="1" si="54"/>
        <v>9.7803150523772874E-5</v>
      </c>
      <c r="J127" s="42">
        <f t="shared" ca="1" si="54"/>
        <v>1.1350318615187698E-5</v>
      </c>
      <c r="K127" s="42">
        <f t="shared" ca="1" si="54"/>
        <v>6.6658479697843891E-5</v>
      </c>
      <c r="L127" s="42">
        <f t="shared" ca="1" si="54"/>
        <v>7.7358958164711087E-6</v>
      </c>
      <c r="M127" s="42">
        <f t="shared" ca="1" si="54"/>
        <v>1.8929476483946599E-3</v>
      </c>
      <c r="N127" s="42">
        <f t="shared" ca="1" si="54"/>
        <v>2.1968166481433769E-4</v>
      </c>
      <c r="O127" s="42">
        <f t="shared" ca="1" si="54"/>
        <v>3.8944792888714716E-3</v>
      </c>
      <c r="P127" s="42">
        <f t="shared" ca="1" si="54"/>
        <v>2.0035873071467387E-2</v>
      </c>
      <c r="Q127" s="42">
        <f t="shared" ca="1" si="54"/>
        <v>6.5055156230307885E-4</v>
      </c>
      <c r="R127" s="42">
        <f t="shared" ca="1" si="54"/>
        <v>5.5209100182257798E-3</v>
      </c>
      <c r="S127" s="42">
        <f t="shared" ca="1" si="47"/>
        <v>0</v>
      </c>
      <c r="T127" s="51">
        <f t="shared" ca="1" si="48"/>
        <v>3.340705086206177E-2</v>
      </c>
      <c r="V127" s="42">
        <f t="shared" ca="1" si="55"/>
        <v>1.8782556493325746E-3</v>
      </c>
      <c r="W127" s="42">
        <f t="shared" ca="1" si="55"/>
        <v>0</v>
      </c>
      <c r="X127" s="42">
        <f t="shared" ca="1" si="55"/>
        <v>1.0811730411311141E-4</v>
      </c>
      <c r="Y127" s="42">
        <f t="shared" ca="1" si="55"/>
        <v>1.2547303874435746E-5</v>
      </c>
      <c r="Z127" s="42">
        <f t="shared" ca="1" si="55"/>
        <v>7.3688169375051693E-5</v>
      </c>
      <c r="AA127" s="42">
        <f t="shared" ca="1" si="55"/>
        <v>8.5517102066508048E-6</v>
      </c>
      <c r="AB127" s="42">
        <f t="shared" ca="1" si="55"/>
        <v>2.0925746816503432E-3</v>
      </c>
      <c r="AC127" s="42">
        <f t="shared" ca="1" si="55"/>
        <v>2.4284891882939028E-4</v>
      </c>
      <c r="AD127" s="42">
        <f t="shared" ca="1" si="55"/>
        <v>3.5424022752678437E-3</v>
      </c>
      <c r="AE127" s="42">
        <f t="shared" ca="1" si="55"/>
        <v>2.1359070330571179E-2</v>
      </c>
      <c r="AF127" s="42">
        <f t="shared" ca="1" si="55"/>
        <v>6.9256679023764326E-4</v>
      </c>
      <c r="AG127" s="42">
        <f t="shared" ca="1" si="55"/>
        <v>5.0709468750205298E-3</v>
      </c>
      <c r="AH127" s="42">
        <f t="shared" ca="1" si="49"/>
        <v>0</v>
      </c>
      <c r="AI127" s="51">
        <f t="shared" ca="1" si="50"/>
        <v>3.5081570008478752E-2</v>
      </c>
    </row>
    <row r="128" spans="4:35" ht="12" customHeight="1" x14ac:dyDescent="0.2">
      <c r="D128" s="347">
        <f t="shared" si="51"/>
        <v>117</v>
      </c>
      <c r="E128" s="43">
        <f t="shared" si="46"/>
        <v>99.25</v>
      </c>
      <c r="G128" s="42">
        <f t="shared" ca="1" si="54"/>
        <v>8.6983273005709764E-4</v>
      </c>
      <c r="H128" s="42">
        <f t="shared" ca="1" si="54"/>
        <v>0</v>
      </c>
      <c r="I128" s="42">
        <f t="shared" ca="1" si="54"/>
        <v>8.5072334991838334E-5</v>
      </c>
      <c r="J128" s="42">
        <f t="shared" ca="1" si="54"/>
        <v>9.8728732389928493E-6</v>
      </c>
      <c r="K128" s="42">
        <f t="shared" ca="1" si="54"/>
        <v>5.7981695727922768E-5</v>
      </c>
      <c r="L128" s="42">
        <f t="shared" ca="1" si="54"/>
        <v>6.7289317045142116E-6</v>
      </c>
      <c r="M128" s="42">
        <f t="shared" ca="1" si="54"/>
        <v>1.6465469220963386E-3</v>
      </c>
      <c r="N128" s="42">
        <f t="shared" ca="1" si="54"/>
        <v>1.9108619794520234E-4</v>
      </c>
      <c r="O128" s="42">
        <f t="shared" ca="1" si="54"/>
        <v>3.3954237024869539E-3</v>
      </c>
      <c r="P128" s="42">
        <f t="shared" ca="1" si="54"/>
        <v>1.7375307850519814E-2</v>
      </c>
      <c r="Q128" s="42">
        <f t="shared" ca="1" si="54"/>
        <v>5.6410169093110173E-4</v>
      </c>
      <c r="R128" s="42">
        <f t="shared" ca="1" si="54"/>
        <v>4.7335958827931096E-3</v>
      </c>
      <c r="S128" s="42">
        <f t="shared" ca="1" si="47"/>
        <v>0</v>
      </c>
      <c r="T128" s="51">
        <f t="shared" ca="1" si="48"/>
        <v>2.8935550812492886E-2</v>
      </c>
      <c r="V128" s="42">
        <f t="shared" ca="1" si="55"/>
        <v>1.6190995801969542E-3</v>
      </c>
      <c r="W128" s="42">
        <f t="shared" ca="1" si="55"/>
        <v>0</v>
      </c>
      <c r="X128" s="42">
        <f t="shared" ca="1" si="55"/>
        <v>9.4043918469573055E-5</v>
      </c>
      <c r="Y128" s="42">
        <f t="shared" ca="1" si="55"/>
        <v>1.0914049626560147E-5</v>
      </c>
      <c r="Z128" s="42">
        <f t="shared" ca="1" si="55"/>
        <v>6.4096346553641609E-5</v>
      </c>
      <c r="AA128" s="42">
        <f t="shared" ca="1" si="55"/>
        <v>7.4385533753995422E-6</v>
      </c>
      <c r="AB128" s="42">
        <f t="shared" ca="1" si="55"/>
        <v>1.8201889546444246E-3</v>
      </c>
      <c r="AC128" s="42">
        <f t="shared" ca="1" si="55"/>
        <v>2.11237822753347E-4</v>
      </c>
      <c r="AD128" s="42">
        <f t="shared" ca="1" si="55"/>
        <v>3.0959635273629543E-3</v>
      </c>
      <c r="AE128" s="42">
        <f t="shared" ca="1" si="55"/>
        <v>1.854729133053681E-2</v>
      </c>
      <c r="AF128" s="42">
        <f t="shared" ca="1" si="55"/>
        <v>6.0135576060070864E-4</v>
      </c>
      <c r="AG128" s="42">
        <f t="shared" ca="1" si="55"/>
        <v>4.3696811215692905E-3</v>
      </c>
      <c r="AH128" s="42">
        <f t="shared" ca="1" si="49"/>
        <v>0</v>
      </c>
      <c r="AI128" s="51">
        <f t="shared" ca="1" si="50"/>
        <v>3.0441310965689663E-2</v>
      </c>
    </row>
    <row r="129" spans="4:35" ht="12" customHeight="1" x14ac:dyDescent="0.2">
      <c r="D129" s="347">
        <f t="shared" si="51"/>
        <v>118</v>
      </c>
      <c r="E129" s="43">
        <f t="shared" si="46"/>
        <v>99.5</v>
      </c>
      <c r="G129" s="42">
        <f t="shared" ca="1" si="54"/>
        <v>7.4981582436739296E-4</v>
      </c>
      <c r="H129" s="42">
        <f t="shared" ca="1" si="54"/>
        <v>0</v>
      </c>
      <c r="I129" s="42">
        <f t="shared" ca="1" si="54"/>
        <v>7.3998661006369125E-5</v>
      </c>
      <c r="J129" s="42">
        <f t="shared" ca="1" si="54"/>
        <v>8.5877435953906243E-6</v>
      </c>
      <c r="K129" s="42">
        <f t="shared" ca="1" si="54"/>
        <v>5.0434349158943693E-5</v>
      </c>
      <c r="L129" s="42">
        <f t="shared" ca="1" si="54"/>
        <v>5.8530418400426801E-6</v>
      </c>
      <c r="M129" s="42">
        <f t="shared" ca="1" si="54"/>
        <v>1.4322196226420343E-3</v>
      </c>
      <c r="N129" s="42">
        <f t="shared" ca="1" si="54"/>
        <v>1.662129385081478E-4</v>
      </c>
      <c r="O129" s="42">
        <f t="shared" ca="1" si="54"/>
        <v>2.9602417976238556E-3</v>
      </c>
      <c r="P129" s="42">
        <f t="shared" ca="1" si="54"/>
        <v>1.5069668825195604E-2</v>
      </c>
      <c r="Q129" s="42">
        <f t="shared" ca="1" si="54"/>
        <v>4.8919458133744496E-4</v>
      </c>
      <c r="R129" s="42">
        <f t="shared" ca="1" si="54"/>
        <v>4.0600130635664831E-3</v>
      </c>
      <c r="S129" s="42">
        <f t="shared" ca="1" si="47"/>
        <v>0</v>
      </c>
      <c r="T129" s="51">
        <f t="shared" ca="1" si="48"/>
        <v>2.506624044884171E-2</v>
      </c>
      <c r="V129" s="42">
        <f t="shared" ca="1" si="55"/>
        <v>1.3957010865509598E-3</v>
      </c>
      <c r="W129" s="42">
        <f t="shared" ca="1" si="55"/>
        <v>0</v>
      </c>
      <c r="X129" s="42">
        <f t="shared" ca="1" si="55"/>
        <v>8.180243369607989E-5</v>
      </c>
      <c r="Y129" s="42">
        <f t="shared" ca="1" si="55"/>
        <v>9.4933924007140022E-6</v>
      </c>
      <c r="Z129" s="42">
        <f t="shared" ca="1" si="55"/>
        <v>5.5753069676819374E-5</v>
      </c>
      <c r="AA129" s="42">
        <f t="shared" ca="1" si="55"/>
        <v>6.4702936584117734E-6</v>
      </c>
      <c r="AB129" s="42">
        <f t="shared" ca="1" si="55"/>
        <v>1.5832590634216419E-3</v>
      </c>
      <c r="AC129" s="42">
        <f t="shared" ca="1" si="55"/>
        <v>1.8374147176221324E-4</v>
      </c>
      <c r="AD129" s="42">
        <f t="shared" ca="1" si="55"/>
        <v>2.7056128900013071E-3</v>
      </c>
      <c r="AE129" s="42">
        <f t="shared" ca="1" si="55"/>
        <v>1.6106677885718887E-2</v>
      </c>
      <c r="AF129" s="42">
        <f t="shared" ca="1" si="55"/>
        <v>5.2219128981442103E-4</v>
      </c>
      <c r="AG129" s="42">
        <f t="shared" ca="1" si="55"/>
        <v>3.7664449904694654E-3</v>
      </c>
      <c r="AH129" s="42">
        <f t="shared" ca="1" si="49"/>
        <v>0</v>
      </c>
      <c r="AI129" s="51">
        <f t="shared" ca="1" si="50"/>
        <v>2.641714786717092E-2</v>
      </c>
    </row>
    <row r="130" spans="4:35" ht="12" customHeight="1" x14ac:dyDescent="0.2">
      <c r="D130" s="347">
        <f t="shared" si="51"/>
        <v>119</v>
      </c>
      <c r="E130" s="43">
        <f t="shared" si="46"/>
        <v>99.75</v>
      </c>
      <c r="G130" s="42">
        <f t="shared" ca="1" si="54"/>
        <v>6.463584905972065E-4</v>
      </c>
      <c r="H130" s="42">
        <f t="shared" ca="1" si="54"/>
        <v>0</v>
      </c>
      <c r="I130" s="42">
        <f t="shared" ca="1" si="54"/>
        <v>6.4366422189550477E-5</v>
      </c>
      <c r="J130" s="42">
        <f t="shared" ca="1" si="54"/>
        <v>7.4698963791918377E-6</v>
      </c>
      <c r="K130" s="42">
        <f t="shared" ca="1" si="54"/>
        <v>4.3869423671603472E-5</v>
      </c>
      <c r="L130" s="42">
        <f t="shared" ca="1" si="54"/>
        <v>5.0911645838681355E-6</v>
      </c>
      <c r="M130" s="42">
        <f t="shared" ca="1" si="54"/>
        <v>1.2457908243934475E-3</v>
      </c>
      <c r="N130" s="42">
        <f t="shared" ca="1" si="54"/>
        <v>1.4457737515629373E-4</v>
      </c>
      <c r="O130" s="42">
        <f t="shared" ca="1" si="54"/>
        <v>2.5807692978920258E-3</v>
      </c>
      <c r="P130" s="42">
        <f t="shared" ca="1" si="54"/>
        <v>1.3071346282547329E-2</v>
      </c>
      <c r="Q130" s="42">
        <f t="shared" ca="1" si="54"/>
        <v>4.2428027147818056E-4</v>
      </c>
      <c r="R130" s="42">
        <f t="shared" ca="1" si="54"/>
        <v>3.4835148712870356E-3</v>
      </c>
      <c r="S130" s="42">
        <f t="shared" ca="1" si="47"/>
        <v>0</v>
      </c>
      <c r="T130" s="51">
        <f t="shared" ca="1" si="48"/>
        <v>2.171743432017573E-2</v>
      </c>
      <c r="V130" s="42">
        <f t="shared" ca="1" si="55"/>
        <v>1.203126445602913E-3</v>
      </c>
      <c r="W130" s="42">
        <f t="shared" ca="1" si="55"/>
        <v>0</v>
      </c>
      <c r="X130" s="42">
        <f t="shared" ca="1" si="55"/>
        <v>7.1154395387794869E-5</v>
      </c>
      <c r="Y130" s="42">
        <f t="shared" ca="1" si="55"/>
        <v>8.2576589220017589E-6</v>
      </c>
      <c r="Z130" s="42">
        <f t="shared" ca="1" si="55"/>
        <v>4.8495818334776416E-5</v>
      </c>
      <c r="AA130" s="42">
        <f t="shared" ca="1" si="55"/>
        <v>5.6280701251047978E-6</v>
      </c>
      <c r="AB130" s="42">
        <f t="shared" ca="1" si="55"/>
        <v>1.3771698018003101E-3</v>
      </c>
      <c r="AC130" s="42">
        <f t="shared" ca="1" si="55"/>
        <v>1.5982425876811534E-4</v>
      </c>
      <c r="AD130" s="42">
        <f t="shared" ca="1" si="55"/>
        <v>2.3643287401597835E-3</v>
      </c>
      <c r="AE130" s="42">
        <f t="shared" ca="1" si="55"/>
        <v>1.3988070551806968E-2</v>
      </c>
      <c r="AF130" s="42">
        <f t="shared" ca="1" si="55"/>
        <v>4.5347683119212247E-4</v>
      </c>
      <c r="AG130" s="42">
        <f t="shared" ca="1" si="55"/>
        <v>3.247372925692083E-3</v>
      </c>
      <c r="AH130" s="42">
        <f t="shared" ca="1" si="49"/>
        <v>0</v>
      </c>
      <c r="AI130" s="51">
        <f t="shared" ca="1" si="50"/>
        <v>2.2926905497791975E-2</v>
      </c>
    </row>
    <row r="131" spans="4:35" ht="12" customHeight="1" x14ac:dyDescent="0.2">
      <c r="D131" s="347">
        <f t="shared" si="51"/>
        <v>120</v>
      </c>
      <c r="E131" s="43">
        <f t="shared" si="46"/>
        <v>100</v>
      </c>
      <c r="G131" s="42">
        <f t="shared" ca="1" si="54"/>
        <v>5.9846294819954776E-4</v>
      </c>
      <c r="H131" s="42">
        <f t="shared" ca="1" si="54"/>
        <v>0</v>
      </c>
      <c r="I131" s="42">
        <f t="shared" ca="1" si="54"/>
        <v>5.9885575316961673E-5</v>
      </c>
      <c r="J131" s="42">
        <f t="shared" ca="1" si="54"/>
        <v>6.9498820504367751E-6</v>
      </c>
      <c r="K131" s="42">
        <f t="shared" ca="1" si="54"/>
        <v>4.0815468469894436E-5</v>
      </c>
      <c r="L131" s="42">
        <f t="shared" ca="1" si="54"/>
        <v>4.7367448704921154E-6</v>
      </c>
      <c r="M131" s="42">
        <f t="shared" ca="1" si="54"/>
        <v>1.1590655143716418E-3</v>
      </c>
      <c r="N131" s="42">
        <f t="shared" ca="1" si="54"/>
        <v>1.345126697201518E-4</v>
      </c>
      <c r="O131" s="42">
        <f t="shared" ca="1" si="54"/>
        <v>2.4040094226572915E-3</v>
      </c>
      <c r="P131" s="42">
        <f t="shared" ca="1" si="54"/>
        <v>1.2143494024385163E-2</v>
      </c>
      <c r="Q131" s="42">
        <f t="shared" ca="1" si="54"/>
        <v>3.9414162489082293E-4</v>
      </c>
      <c r="R131" s="42">
        <f t="shared" ca="1" si="54"/>
        <v>3.2176229290763821E-3</v>
      </c>
      <c r="S131" s="42">
        <f t="shared" ca="1" si="47"/>
        <v>0</v>
      </c>
      <c r="T131" s="51">
        <f t="shared" ca="1" si="48"/>
        <v>2.0163696804008788E-2</v>
      </c>
      <c r="V131" s="42">
        <f t="shared" ca="1" si="55"/>
        <v>1.1139740719226718E-3</v>
      </c>
      <c r="W131" s="42">
        <f t="shared" ca="1" si="55"/>
        <v>0</v>
      </c>
      <c r="X131" s="42">
        <f t="shared" ca="1" si="55"/>
        <v>6.6201006039767575E-5</v>
      </c>
      <c r="Y131" s="42">
        <f t="shared" ca="1" si="55"/>
        <v>7.6828047682848918E-6</v>
      </c>
      <c r="Z131" s="42">
        <f t="shared" ca="1" si="55"/>
        <v>4.5119798221694925E-5</v>
      </c>
      <c r="AA131" s="42">
        <f t="shared" ca="1" si="55"/>
        <v>5.2362739127175195E-6</v>
      </c>
      <c r="AB131" s="42">
        <f t="shared" ca="1" si="55"/>
        <v>1.2812985883709194E-3</v>
      </c>
      <c r="AC131" s="42">
        <f t="shared" ca="1" si="55"/>
        <v>1.4869814664779317E-4</v>
      </c>
      <c r="AD131" s="42">
        <f t="shared" ca="1" si="55"/>
        <v>2.2051339186960855E-3</v>
      </c>
      <c r="AE131" s="42">
        <f t="shared" ca="1" si="55"/>
        <v>1.3003561345818003E-2</v>
      </c>
      <c r="AF131" s="42">
        <f t="shared" ca="1" si="55"/>
        <v>4.2154676907997106E-4</v>
      </c>
      <c r="AG131" s="42">
        <f t="shared" ca="1" si="55"/>
        <v>3.0072785539801859E-3</v>
      </c>
      <c r="AH131" s="42">
        <f t="shared" ca="1" si="49"/>
        <v>0</v>
      </c>
      <c r="AI131" s="51">
        <f t="shared" ca="1" si="50"/>
        <v>2.1305731277458096E-2</v>
      </c>
    </row>
  </sheetData>
  <mergeCells count="33">
    <mergeCell ref="S8:S10"/>
    <mergeCell ref="T8:T10"/>
    <mergeCell ref="AE8:AE10"/>
    <mergeCell ref="V8:V10"/>
    <mergeCell ref="W8:W10"/>
    <mergeCell ref="X8:X10"/>
    <mergeCell ref="Y8:Y10"/>
    <mergeCell ref="Z8:Z10"/>
    <mergeCell ref="AF8:AF10"/>
    <mergeCell ref="V7:AI7"/>
    <mergeCell ref="AG8:AG10"/>
    <mergeCell ref="AH8:AH10"/>
    <mergeCell ref="AI8:AI10"/>
    <mergeCell ref="AA8:AA10"/>
    <mergeCell ref="AB8:AB10"/>
    <mergeCell ref="AC8:AC10"/>
    <mergeCell ref="AD8:AD10"/>
    <mergeCell ref="R8:R10"/>
    <mergeCell ref="D7:D10"/>
    <mergeCell ref="E7:E10"/>
    <mergeCell ref="G7:T7"/>
    <mergeCell ref="F7:F10"/>
    <mergeCell ref="G8:G10"/>
    <mergeCell ref="H8:H10"/>
    <mergeCell ref="I8:I10"/>
    <mergeCell ref="J8:J10"/>
    <mergeCell ref="K8:K10"/>
    <mergeCell ref="L8:L10"/>
    <mergeCell ref="M8:M10"/>
    <mergeCell ref="Q8:Q10"/>
    <mergeCell ref="N8:N10"/>
    <mergeCell ref="O8:O10"/>
    <mergeCell ref="P8:P1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0A21-76E1-4E3E-BFFD-62A1C0ACC3AA}">
  <sheetPr codeName="Sheet14">
    <tabColor rgb="FF00B0F0"/>
  </sheetPr>
  <dimension ref="A1:AG309"/>
  <sheetViews>
    <sheetView zoomScaleNormal="100" workbookViewId="0">
      <pane xSplit="9" ySplit="6" topLeftCell="K7" activePane="bottomRight" state="frozen"/>
      <selection activeCell="J14" sqref="J14"/>
      <selection pane="topRight" activeCell="J14" sqref="J14"/>
      <selection pane="bottomLeft" activeCell="J14" sqref="J14"/>
      <selection pane="bottomRight" activeCell="K7" sqref="K7"/>
    </sheetView>
  </sheetViews>
  <sheetFormatPr defaultRowHeight="12" customHeight="1" x14ac:dyDescent="0.25"/>
  <cols>
    <col min="1" max="1" width="1.7109375" style="310" customWidth="1"/>
    <col min="2" max="2" width="19.7109375" style="310" customWidth="1"/>
    <col min="3" max="3" width="1.7109375" style="309" customWidth="1"/>
    <col min="4" max="5" width="9.140625" hidden="1" customWidth="1"/>
    <col min="10" max="10" width="2.7109375" hidden="1" customWidth="1"/>
    <col min="11" max="19" width="12" customWidth="1"/>
    <col min="20" max="20" width="9.140625" customWidth="1"/>
    <col min="21" max="21" width="12" customWidth="1"/>
    <col min="22" max="22" width="2.7109375" customWidth="1"/>
    <col min="23" max="30" width="12" customWidth="1"/>
    <col min="31" max="31" width="9.140625" customWidth="1"/>
    <col min="32" max="32" width="12" customWidth="1"/>
  </cols>
  <sheetData>
    <row r="1" spans="1:33" s="311" customFormat="1" ht="24.95" customHeight="1" thickBot="1" x14ac:dyDescent="0.3">
      <c r="A1" s="312"/>
      <c r="B1" s="310"/>
      <c r="C1" s="312"/>
      <c r="D1"/>
      <c r="F1" s="311" t="str">
        <f>D.zWorkbookTitle</f>
        <v>Camacho et al. (2024) Harms of hazardous prescribing of NSAIDs -- D: NSAIDs - HF</v>
      </c>
      <c r="G1" s="319"/>
      <c r="H1" s="318"/>
      <c r="I1" s="318"/>
      <c r="J1" s="318"/>
      <c r="K1" s="318"/>
      <c r="L1" s="318"/>
      <c r="M1" s="318"/>
      <c r="N1" s="318"/>
      <c r="O1" s="318"/>
      <c r="P1" s="318"/>
      <c r="Q1" s="318"/>
      <c r="V1"/>
      <c r="W1" s="318"/>
      <c r="X1" s="318"/>
      <c r="Y1" s="318"/>
      <c r="Z1" s="318"/>
      <c r="AA1" s="318"/>
      <c r="AB1" s="318"/>
      <c r="AC1" s="318"/>
    </row>
    <row r="2" spans="1:33" ht="12" customHeight="1" thickTop="1" thickBot="1" x14ac:dyDescent="0.3">
      <c r="A2" s="312"/>
      <c r="C2" s="314"/>
      <c r="I2" s="124" t="s">
        <v>79</v>
      </c>
      <c r="K2">
        <v>1</v>
      </c>
      <c r="L2">
        <f t="shared" ref="L2:S2" si="0">K2+1</f>
        <v>2</v>
      </c>
      <c r="M2">
        <f t="shared" si="0"/>
        <v>3</v>
      </c>
      <c r="N2">
        <f t="shared" si="0"/>
        <v>4</v>
      </c>
      <c r="O2">
        <f t="shared" si="0"/>
        <v>5</v>
      </c>
      <c r="P2">
        <f t="shared" si="0"/>
        <v>6</v>
      </c>
      <c r="Q2">
        <f t="shared" si="0"/>
        <v>7</v>
      </c>
      <c r="R2">
        <f t="shared" si="0"/>
        <v>8</v>
      </c>
      <c r="S2">
        <f t="shared" si="0"/>
        <v>9</v>
      </c>
      <c r="W2">
        <v>1</v>
      </c>
      <c r="X2">
        <f t="shared" ref="X2:AG2" si="1">W2+1</f>
        <v>2</v>
      </c>
      <c r="Y2">
        <f t="shared" si="1"/>
        <v>3</v>
      </c>
      <c r="Z2">
        <f t="shared" si="1"/>
        <v>4</v>
      </c>
      <c r="AA2">
        <f t="shared" si="1"/>
        <v>5</v>
      </c>
      <c r="AB2">
        <f t="shared" si="1"/>
        <v>6</v>
      </c>
      <c r="AC2">
        <f t="shared" si="1"/>
        <v>7</v>
      </c>
      <c r="AD2">
        <f t="shared" si="1"/>
        <v>8</v>
      </c>
      <c r="AE2">
        <f t="shared" si="1"/>
        <v>9</v>
      </c>
      <c r="AF2">
        <f t="shared" si="1"/>
        <v>10</v>
      </c>
      <c r="AG2">
        <f t="shared" si="1"/>
        <v>11</v>
      </c>
    </row>
    <row r="3" spans="1:33" ht="12" customHeight="1" thickBot="1" x14ac:dyDescent="0.3">
      <c r="A3" s="312"/>
      <c r="C3" s="314"/>
      <c r="K3" s="91" t="s">
        <v>140</v>
      </c>
      <c r="L3" s="91"/>
      <c r="M3" s="91"/>
      <c r="N3" s="91"/>
      <c r="O3" s="91"/>
      <c r="P3" s="91"/>
      <c r="Q3" s="91"/>
      <c r="R3" s="91"/>
      <c r="S3" s="91"/>
      <c r="T3" s="91"/>
      <c r="U3" s="91"/>
      <c r="W3" s="91" t="s">
        <v>141</v>
      </c>
      <c r="X3" s="91"/>
      <c r="Y3" s="91"/>
      <c r="Z3" s="91"/>
      <c r="AA3" s="91"/>
      <c r="AB3" s="91"/>
      <c r="AC3" s="91"/>
      <c r="AD3" s="91"/>
      <c r="AE3" s="91"/>
      <c r="AF3" s="91"/>
      <c r="AG3" s="23"/>
    </row>
    <row r="4" spans="1:33" ht="12" customHeight="1" thickBot="1" x14ac:dyDescent="0.3">
      <c r="A4" s="312"/>
      <c r="C4" s="314"/>
      <c r="F4" s="456" t="s">
        <v>30</v>
      </c>
      <c r="G4" s="120"/>
      <c r="H4" s="114"/>
      <c r="I4" s="122" t="s">
        <v>83</v>
      </c>
      <c r="K4" s="456" t="str">
        <f t="array" aca="1" ref="K4" ca="1">INDEX(D.rngStates, K$2)</f>
        <v>HF no HPE</v>
      </c>
      <c r="L4" s="456" t="str">
        <f t="array" aca="1" ref="L4" ca="1">INDEX(D.rngStates, L$2)</f>
        <v>PCE no HPE</v>
      </c>
      <c r="M4" s="456" t="str">
        <f t="array" aca="1" ref="M4" ca="1">INDEX(D.rngStates, M$2)</f>
        <v>SCE no HPE</v>
      </c>
      <c r="N4" s="456" t="str">
        <f t="array" aca="1" ref="N4" ca="1">INDEX(D.rngStates, N$2)</f>
        <v>HF w HPE</v>
      </c>
      <c r="O4" s="456" t="str">
        <f t="array" aca="1" ref="O4" ca="1">INDEX(D.rngStates, O$2)</f>
        <v>PCE w HPE</v>
      </c>
      <c r="P4" s="456" t="str">
        <f t="array" aca="1" ref="P4" ca="1">INDEX(D.rngStates, P$2)</f>
        <v>SCE w HPE</v>
      </c>
      <c r="Q4" s="456" t="str">
        <f t="array" aca="1" ref="Q4" ca="1">INDEX(D.rngStates, Q$2)</f>
        <v>HF post event no HPE</v>
      </c>
      <c r="R4" s="456" t="str">
        <f t="array" aca="1" ref="R4" ca="1">INDEX(D.rngStates, R$2)</f>
        <v>HF post event w HPE</v>
      </c>
      <c r="S4" s="456" t="str">
        <f t="array" aca="1" ref="S4" ca="1">INDEX(D.rngStates, S$2)</f>
        <v>Dead</v>
      </c>
      <c r="T4" s="456"/>
      <c r="U4" s="456" t="s">
        <v>35</v>
      </c>
      <c r="W4" s="456" t="str">
        <f t="array" aca="1" ref="W4" ca="1">INDEX(D.rngStates, W$2)</f>
        <v>HF no HPE</v>
      </c>
      <c r="X4" s="456" t="str">
        <f t="array" aca="1" ref="X4" ca="1">INDEX(D.rngStates, X$2)</f>
        <v>PCE no HPE</v>
      </c>
      <c r="Y4" s="456" t="str">
        <f t="array" aca="1" ref="Y4" ca="1">INDEX(D.rngStates, Y$2)</f>
        <v>SCE no HPE</v>
      </c>
      <c r="Z4" s="456" t="str">
        <f t="array" aca="1" ref="Z4" ca="1">INDEX(D.rngStates, Z$2)</f>
        <v>HF w HPE</v>
      </c>
      <c r="AA4" s="456" t="str">
        <f t="array" aca="1" ref="AA4" ca="1">INDEX(D.rngStates, AA$2)</f>
        <v>PCE w HPE</v>
      </c>
      <c r="AB4" s="456" t="str">
        <f t="array" aca="1" ref="AB4" ca="1">INDEX(D.rngStates, AB$2)</f>
        <v>SCE w HPE</v>
      </c>
      <c r="AC4" s="456" t="str">
        <f t="array" aca="1" ref="AC4" ca="1">INDEX(D.rngStates, AC$2)</f>
        <v>HF post event no HPE</v>
      </c>
      <c r="AD4" s="456" t="str">
        <f t="array" aca="1" ref="AD4" ca="1">INDEX(D.rngStates, AD$2)</f>
        <v>HF post event w HPE</v>
      </c>
      <c r="AE4" s="456" t="str">
        <f t="array" aca="1" ref="AE4" ca="1">INDEX(D.rngStates, AE$2)</f>
        <v>Dead</v>
      </c>
      <c r="AF4" s="456"/>
      <c r="AG4" s="456" t="s">
        <v>35</v>
      </c>
    </row>
    <row r="5" spans="1:33" ht="12" customHeight="1" thickBot="1" x14ac:dyDescent="0.3">
      <c r="A5" s="312"/>
      <c r="C5" s="314"/>
      <c r="F5" s="456"/>
      <c r="G5" s="115"/>
      <c r="H5" s="119"/>
      <c r="I5" s="117"/>
      <c r="K5" s="456"/>
      <c r="L5" s="456"/>
      <c r="M5" s="456"/>
      <c r="N5" s="456"/>
      <c r="O5" s="456"/>
      <c r="P5" s="456"/>
      <c r="Q5" s="456"/>
      <c r="R5" s="456"/>
      <c r="S5" s="456"/>
      <c r="T5" s="456"/>
      <c r="U5" s="456"/>
      <c r="W5" s="456"/>
      <c r="X5" s="456"/>
      <c r="Y5" s="456"/>
      <c r="Z5" s="456"/>
      <c r="AA5" s="456"/>
      <c r="AB5" s="456"/>
      <c r="AC5" s="456"/>
      <c r="AD5" s="456"/>
      <c r="AE5" s="456"/>
      <c r="AF5" s="456"/>
      <c r="AG5" s="456"/>
    </row>
    <row r="6" spans="1:33" ht="12" customHeight="1" thickBot="1" x14ac:dyDescent="0.3">
      <c r="A6" s="312"/>
      <c r="C6" s="314"/>
      <c r="F6" s="456"/>
      <c r="G6" s="121" t="s">
        <v>84</v>
      </c>
      <c r="H6" s="113"/>
      <c r="I6" s="118"/>
      <c r="K6" s="456"/>
      <c r="L6" s="456"/>
      <c r="M6" s="456"/>
      <c r="N6" s="456"/>
      <c r="O6" s="456"/>
      <c r="P6" s="456"/>
      <c r="Q6" s="456"/>
      <c r="R6" s="456"/>
      <c r="S6" s="456"/>
      <c r="T6" s="456"/>
      <c r="U6" s="456"/>
      <c r="W6" s="456"/>
      <c r="X6" s="456"/>
      <c r="Y6" s="456"/>
      <c r="Z6" s="456"/>
      <c r="AA6" s="456"/>
      <c r="AB6" s="456"/>
      <c r="AC6" s="456"/>
      <c r="AD6" s="456"/>
      <c r="AE6" s="456"/>
      <c r="AF6" s="456"/>
      <c r="AG6" s="456"/>
    </row>
    <row r="7" spans="1:33" s="8" customFormat="1" ht="12" customHeight="1" thickBot="1" x14ac:dyDescent="0.3">
      <c r="A7" s="312"/>
      <c r="B7" s="310"/>
      <c r="C7" s="314"/>
      <c r="D7" s="8">
        <v>1</v>
      </c>
      <c r="E7" s="8">
        <v>65</v>
      </c>
      <c r="F7" s="113" t="str">
        <f t="shared" ref="F7:F33" si="2">E7&amp;"-"&amp;E7+9</f>
        <v>65-74</v>
      </c>
      <c r="G7" s="121" t="str">
        <f t="array" aca="1" ref="G7" ca="1">INDEX(D.rngStates, $D7)</f>
        <v>HF no HPE</v>
      </c>
      <c r="H7" s="113"/>
      <c r="I7" s="121"/>
      <c r="J7"/>
      <c r="K7" s="307">
        <f>1-SUM(J7:J7, L7:T7)</f>
        <v>0.50751968415531279</v>
      </c>
      <c r="L7" s="306">
        <f>SUMIFS(Parameters!$M$523:$M$606, Parameters!$D$523:$D$606, MIN($E7, 95), Parameters!$E$523:$E$606, $D7, Parameters!$F$523:$F$606, L$2)</f>
        <v>0.29000688061444879</v>
      </c>
      <c r="M7" s="306">
        <f>SUMIFS(Parameters!$M$523:$M$606, Parameters!$D$523:$D$606, MIN($E7, 95), Parameters!$E$523:$E$606, $D7, Parameters!$F$523:$F$606, M$2)</f>
        <v>0.18078679832175515</v>
      </c>
      <c r="N7" s="306">
        <f>SUMIFS(Parameters!$M$523:$M$606, Parameters!$D$523:$D$606, MIN($E7, 95), Parameters!$E$523:$E$606, $D7, Parameters!$F$523:$F$606, N$2)</f>
        <v>0</v>
      </c>
      <c r="O7" s="306">
        <f>SUMIFS(Parameters!$M$523:$M$606, Parameters!$D$523:$D$606, MIN($E7, 95), Parameters!$E$523:$E$606, $D7, Parameters!$F$523:$F$606, O$2)</f>
        <v>0</v>
      </c>
      <c r="P7" s="306">
        <f>SUMIFS(Parameters!$M$523:$M$606, Parameters!$D$523:$D$606, MIN($E7, 95), Parameters!$E$523:$E$606, $D7, Parameters!$F$523:$F$606, P$2)</f>
        <v>0</v>
      </c>
      <c r="Q7" s="306">
        <f>SUMIFS(Parameters!$M$523:$M$606, Parameters!$D$523:$D$606, MIN($E7, 95), Parameters!$E$523:$E$606, $D7, Parameters!$F$523:$F$606, Q$2)</f>
        <v>0</v>
      </c>
      <c r="R7" s="306">
        <f>SUMIFS(Parameters!$M$523:$M$606, Parameters!$D$523:$D$606, MIN($E7, 95), Parameters!$E$523:$E$606, $D7, Parameters!$F$523:$F$606, R$2)</f>
        <v>0</v>
      </c>
      <c r="S7" s="306">
        <f>SUMIFS(Parameters!$M$523:$M$606, Parameters!$D$523:$D$606, MIN($E7, 95), Parameters!$E$523:$E$606, $D7, Parameters!$F$523:$F$606, S$2)</f>
        <v>2.168663690848327E-2</v>
      </c>
      <c r="T7" s="131"/>
      <c r="U7" s="132">
        <f t="shared" ref="U7:U33" si="3">SUM(K7:S7)</f>
        <v>1</v>
      </c>
      <c r="V7"/>
      <c r="W7" s="307">
        <f>1-SUM(V7:V7, X7:AF7)</f>
        <v>0.50751968415531279</v>
      </c>
      <c r="X7" s="306">
        <f>SUMIFS(Parameters!$M$523:$M$606, Parameters!$D$523:$D$606, MIN($E7, 95), Parameters!$E$523:$E$606, $D7, Parameters!$F$523:$F$606, X$2)</f>
        <v>0.29000688061444879</v>
      </c>
      <c r="Y7" s="306">
        <f>SUMIFS(Parameters!$M$523:$M$606, Parameters!$D$523:$D$606, MIN($E7, 95), Parameters!$E$523:$E$606, $D7, Parameters!$F$523:$F$606, Y$2)</f>
        <v>0.18078679832175515</v>
      </c>
      <c r="Z7" s="306">
        <f>SUMIFS(Parameters!$M$523:$M$606, Parameters!$D$523:$D$606, MIN($E7, 95), Parameters!$E$523:$E$606, $D7, Parameters!$F$523:$F$606, Z$2)</f>
        <v>0</v>
      </c>
      <c r="AA7" s="306">
        <f>SUMIFS(Parameters!$M$523:$M$606, Parameters!$D$523:$D$606, MIN($E7, 95), Parameters!$E$523:$E$606, $D7, Parameters!$F$523:$F$606, AA$2)</f>
        <v>0</v>
      </c>
      <c r="AB7" s="306">
        <f>SUMIFS(Parameters!$M$523:$M$606, Parameters!$D$523:$D$606, MIN($E7, 95), Parameters!$E$523:$E$606, $D7, Parameters!$F$523:$F$606, AB$2)</f>
        <v>0</v>
      </c>
      <c r="AC7" s="306">
        <f>SUMIFS(Parameters!$M$523:$M$606, Parameters!$D$523:$D$606, MIN($E7, 95), Parameters!$E$523:$E$606, $D7, Parameters!$F$523:$F$606, AC$2)</f>
        <v>0</v>
      </c>
      <c r="AD7" s="306">
        <f>SUMIFS(Parameters!$M$523:$M$606, Parameters!$D$523:$D$606, MIN($E7, 95), Parameters!$E$523:$E$606, $D7, Parameters!$F$523:$F$606, AD$2)</f>
        <v>0</v>
      </c>
      <c r="AE7" s="306">
        <f>SUMIFS(Parameters!$M$523:$M$606, Parameters!$D$523:$D$606, MIN($E7, 95), Parameters!$E$523:$E$606, $D7, Parameters!$F$523:$F$606, AE$2)</f>
        <v>2.168663690848327E-2</v>
      </c>
      <c r="AF7" s="131"/>
      <c r="AG7" s="132">
        <f t="shared" ref="AG7:AG33" si="4">SUM(W7:AE7)</f>
        <v>1</v>
      </c>
    </row>
    <row r="8" spans="1:33" ht="12" customHeight="1" thickBot="1" x14ac:dyDescent="0.3">
      <c r="A8" s="312"/>
      <c r="C8" s="314"/>
      <c r="D8">
        <f t="shared" ref="D8:D15" si="5">D7+1</f>
        <v>2</v>
      </c>
      <c r="E8">
        <f t="shared" ref="E8:E14" si="6">E7</f>
        <v>65</v>
      </c>
      <c r="F8" s="112" t="str">
        <f t="shared" si="2"/>
        <v>65-74</v>
      </c>
      <c r="G8" s="110" t="str">
        <f t="array" aca="1" ref="G8" ca="1">INDEX(D.rngStates, $D8)</f>
        <v>PCE no HPE</v>
      </c>
      <c r="H8" s="112"/>
      <c r="I8" s="110"/>
      <c r="K8" s="306">
        <f>SUMIFS(Parameters!$M$523:$M$606, Parameters!$D$523:$D$606, MIN($E8, 95), Parameters!$E$523:$E$606, $D8, Parameters!$F$523:$F$606, K$2)</f>
        <v>0</v>
      </c>
      <c r="L8" s="306">
        <f>SUMIFS(Parameters!$M$523:$M$606, Parameters!$D$523:$D$606, MIN($E8, 95), Parameters!$E$523:$E$606, $D8, Parameters!$F$523:$F$606, L$2)</f>
        <v>0.29000688061444879</v>
      </c>
      <c r="M8" s="306">
        <f>SUMIFS(Parameters!$M$523:$M$606, Parameters!$D$523:$D$606, MIN($E8, 95), Parameters!$E$523:$E$606, $D8, Parameters!$F$523:$F$606, M$2)</f>
        <v>0.18078679832175515</v>
      </c>
      <c r="N8" s="306">
        <f>SUMIFS(Parameters!$M$523:$M$606, Parameters!$D$523:$D$606, MIN($E8, 95), Parameters!$E$523:$E$606, $D8, Parameters!$F$523:$F$606, N$2)</f>
        <v>0</v>
      </c>
      <c r="O8" s="306">
        <f>SUMIFS(Parameters!$M$523:$M$606, Parameters!$D$523:$D$606, MIN($E8, 95), Parameters!$E$523:$E$606, $D8, Parameters!$F$523:$F$606, O$2)</f>
        <v>0</v>
      </c>
      <c r="P8" s="306">
        <f>SUMIFS(Parameters!$M$523:$M$606, Parameters!$D$523:$D$606, MIN($E8, 95), Parameters!$E$523:$E$606, $D8, Parameters!$F$523:$F$606, P$2)</f>
        <v>0</v>
      </c>
      <c r="Q8" s="307">
        <f>1-SUM(J8:P8, R8:T8)</f>
        <v>0.50751968415531279</v>
      </c>
      <c r="R8" s="306">
        <f>SUMIFS(Parameters!$M$523:$M$606, Parameters!$D$523:$D$606, MIN($E8, 95), Parameters!$E$523:$E$606, $D8, Parameters!$F$523:$F$606, R$2)</f>
        <v>0</v>
      </c>
      <c r="S8" s="306">
        <f>SUMIFS(Parameters!$M$523:$M$606, Parameters!$D$523:$D$606, MIN($E8, 95), Parameters!$E$523:$E$606, $D8, Parameters!$F$523:$F$606, S$2)</f>
        <v>2.168663690848327E-2</v>
      </c>
      <c r="T8" s="131"/>
      <c r="U8" s="132">
        <f t="shared" si="3"/>
        <v>1</v>
      </c>
      <c r="W8" s="306">
        <f>SUMIFS(Parameters!$M$523:$M$606, Parameters!$D$523:$D$606, MIN($E8, 95), Parameters!$E$523:$E$606, $D8, Parameters!$F$523:$F$606, W$2)</f>
        <v>0</v>
      </c>
      <c r="X8" s="306">
        <f>SUMIFS(Parameters!$M$523:$M$606, Parameters!$D$523:$D$606, MIN($E8, 95), Parameters!$E$523:$E$606, $D8, Parameters!$F$523:$F$606, X$2)</f>
        <v>0.29000688061444879</v>
      </c>
      <c r="Y8" s="306">
        <f>SUMIFS(Parameters!$M$523:$M$606, Parameters!$D$523:$D$606, MIN($E8, 95), Parameters!$E$523:$E$606, $D8, Parameters!$F$523:$F$606, Y$2)</f>
        <v>0.18078679832175515</v>
      </c>
      <c r="Z8" s="306">
        <f>SUMIFS(Parameters!$M$523:$M$606, Parameters!$D$523:$D$606, MIN($E8, 95), Parameters!$E$523:$E$606, $D8, Parameters!$F$523:$F$606, Z$2)</f>
        <v>0</v>
      </c>
      <c r="AA8" s="306">
        <f>SUMIFS(Parameters!$M$523:$M$606, Parameters!$D$523:$D$606, MIN($E8, 95), Parameters!$E$523:$E$606, $D8, Parameters!$F$523:$F$606, AA$2)</f>
        <v>0</v>
      </c>
      <c r="AB8" s="306">
        <f>SUMIFS(Parameters!$M$523:$M$606, Parameters!$D$523:$D$606, MIN($E8, 95), Parameters!$E$523:$E$606, $D8, Parameters!$F$523:$F$606, AB$2)</f>
        <v>0</v>
      </c>
      <c r="AC8" s="307">
        <f>1-SUM(V8:AB8, AD8:AF8)</f>
        <v>0.50751968415531279</v>
      </c>
      <c r="AD8" s="306">
        <f>SUMIFS(Parameters!$M$523:$M$606, Parameters!$D$523:$D$606, MIN($E8, 95), Parameters!$E$523:$E$606, $D8, Parameters!$F$523:$F$606, AD$2)</f>
        <v>0</v>
      </c>
      <c r="AE8" s="306">
        <f>SUMIFS(Parameters!$M$523:$M$606, Parameters!$D$523:$D$606, MIN($E8, 95), Parameters!$E$523:$E$606, $D8, Parameters!$F$523:$F$606, AE$2)</f>
        <v>2.168663690848327E-2</v>
      </c>
      <c r="AF8" s="131"/>
      <c r="AG8" s="132">
        <f t="shared" si="4"/>
        <v>1</v>
      </c>
    </row>
    <row r="9" spans="1:33" ht="12" customHeight="1" thickBot="1" x14ac:dyDescent="0.3">
      <c r="A9" s="312"/>
      <c r="C9" s="314"/>
      <c r="D9">
        <f t="shared" si="5"/>
        <v>3</v>
      </c>
      <c r="E9">
        <f t="shared" si="6"/>
        <v>65</v>
      </c>
      <c r="F9" s="112" t="str">
        <f t="shared" si="2"/>
        <v>65-74</v>
      </c>
      <c r="G9" s="110" t="str">
        <f t="array" aca="1" ref="G9" ca="1">INDEX(D.rngStates, $D9)</f>
        <v>SCE no HPE</v>
      </c>
      <c r="H9" s="112"/>
      <c r="I9" s="110"/>
      <c r="K9" s="306">
        <f>SUMIFS(Parameters!$M$523:$M$606, Parameters!$D$523:$D$606, MIN($E9, 95), Parameters!$E$523:$E$606, $D9, Parameters!$F$523:$F$606, K$2)</f>
        <v>0</v>
      </c>
      <c r="L9" s="306">
        <f>SUMIFS(Parameters!$M$523:$M$606, Parameters!$D$523:$D$606, MIN($E9, 95), Parameters!$E$523:$E$606, $D9, Parameters!$F$523:$F$606, L$2)</f>
        <v>0.29000688061444879</v>
      </c>
      <c r="M9" s="306">
        <f>SUMIFS(Parameters!$M$523:$M$606, Parameters!$D$523:$D$606, MIN($E9, 95), Parameters!$E$523:$E$606, $D9, Parameters!$F$523:$F$606, M$2)</f>
        <v>0.18078679832175515</v>
      </c>
      <c r="N9" s="306">
        <f>SUMIFS(Parameters!$M$523:$M$606, Parameters!$D$523:$D$606, MIN($E9, 95), Parameters!$E$523:$E$606, $D9, Parameters!$F$523:$F$606, N$2)</f>
        <v>0</v>
      </c>
      <c r="O9" s="306">
        <f>SUMIFS(Parameters!$M$523:$M$606, Parameters!$D$523:$D$606, MIN($E9, 95), Parameters!$E$523:$E$606, $D9, Parameters!$F$523:$F$606, O$2)</f>
        <v>0</v>
      </c>
      <c r="P9" s="306">
        <f>SUMIFS(Parameters!$M$523:$M$606, Parameters!$D$523:$D$606, MIN($E9, 95), Parameters!$E$523:$E$606, $D9, Parameters!$F$523:$F$606, P$2)</f>
        <v>0</v>
      </c>
      <c r="Q9" s="307">
        <f>1-SUM(J9:P9, R9:T9)</f>
        <v>0.39618844259948849</v>
      </c>
      <c r="R9" s="306">
        <f>SUMIFS(Parameters!$M$523:$M$606, Parameters!$D$523:$D$606, MIN($E9, 95), Parameters!$E$523:$E$606, $D9, Parameters!$F$523:$F$606, R$2)</f>
        <v>0</v>
      </c>
      <c r="S9" s="306">
        <f>SUMIFS(Parameters!$M$523:$M$606, Parameters!$D$523:$D$606, MIN($E9, 95), Parameters!$E$523:$E$606, $D9, Parameters!$F$523:$F$606, S$2)</f>
        <v>0.13301787846430757</v>
      </c>
      <c r="T9" s="131"/>
      <c r="U9" s="132">
        <f t="shared" si="3"/>
        <v>1</v>
      </c>
      <c r="W9" s="306">
        <f>SUMIFS(Parameters!$M$523:$M$606, Parameters!$D$523:$D$606, MIN($E9, 95), Parameters!$E$523:$E$606, $D9, Parameters!$F$523:$F$606, W$2)</f>
        <v>0</v>
      </c>
      <c r="X9" s="306">
        <f>SUMIFS(Parameters!$M$523:$M$606, Parameters!$D$523:$D$606, MIN($E9, 95), Parameters!$E$523:$E$606, $D9, Parameters!$F$523:$F$606, X$2)</f>
        <v>0.29000688061444879</v>
      </c>
      <c r="Y9" s="306">
        <f>SUMIFS(Parameters!$M$523:$M$606, Parameters!$D$523:$D$606, MIN($E9, 95), Parameters!$E$523:$E$606, $D9, Parameters!$F$523:$F$606, Y$2)</f>
        <v>0.18078679832175515</v>
      </c>
      <c r="Z9" s="306">
        <f>SUMIFS(Parameters!$M$523:$M$606, Parameters!$D$523:$D$606, MIN($E9, 95), Parameters!$E$523:$E$606, $D9, Parameters!$F$523:$F$606, Z$2)</f>
        <v>0</v>
      </c>
      <c r="AA9" s="306">
        <f>SUMIFS(Parameters!$M$523:$M$606, Parameters!$D$523:$D$606, MIN($E9, 95), Parameters!$E$523:$E$606, $D9, Parameters!$F$523:$F$606, AA$2)</f>
        <v>0</v>
      </c>
      <c r="AB9" s="306">
        <f>SUMIFS(Parameters!$M$523:$M$606, Parameters!$D$523:$D$606, MIN($E9, 95), Parameters!$E$523:$E$606, $D9, Parameters!$F$523:$F$606, AB$2)</f>
        <v>0</v>
      </c>
      <c r="AC9" s="307">
        <f>1-SUM(V9:AB9, AD9:AF9)</f>
        <v>0.39618844259948849</v>
      </c>
      <c r="AD9" s="306">
        <f>SUMIFS(Parameters!$M$523:$M$606, Parameters!$D$523:$D$606, MIN($E9, 95), Parameters!$E$523:$E$606, $D9, Parameters!$F$523:$F$606, AD$2)</f>
        <v>0</v>
      </c>
      <c r="AE9" s="306">
        <f>SUMIFS(Parameters!$M$523:$M$606, Parameters!$D$523:$D$606, MIN($E9, 95), Parameters!$E$523:$E$606, $D9, Parameters!$F$523:$F$606, AE$2)</f>
        <v>0.13301787846430757</v>
      </c>
      <c r="AF9" s="131"/>
      <c r="AG9" s="132">
        <f t="shared" si="4"/>
        <v>1</v>
      </c>
    </row>
    <row r="10" spans="1:33" ht="12" customHeight="1" thickBot="1" x14ac:dyDescent="0.3">
      <c r="A10" s="312"/>
      <c r="C10" s="314"/>
      <c r="D10">
        <f t="shared" si="5"/>
        <v>4</v>
      </c>
      <c r="E10">
        <f t="shared" si="6"/>
        <v>65</v>
      </c>
      <c r="F10" s="112" t="str">
        <f t="shared" si="2"/>
        <v>65-74</v>
      </c>
      <c r="G10" s="110" t="str">
        <f t="array" aca="1" ref="G10" ca="1">INDEX(D.rngStates, $D10)</f>
        <v>HF w HPE</v>
      </c>
      <c r="H10" s="112"/>
      <c r="I10" s="110"/>
      <c r="K10" s="306">
        <f>SUMIFS(Parameters!$M$523:$M$606, Parameters!$D$523:$D$606, MIN($E10, 95), Parameters!$E$523:$E$606, $D10, Parameters!$F$523:$F$606, K$2)</f>
        <v>0</v>
      </c>
      <c r="L10" s="306">
        <f>SUMIFS(Parameters!$M$523:$M$606, Parameters!$D$523:$D$606, MIN($E10, 95), Parameters!$E$523:$E$606, $D10, Parameters!$F$523:$F$606, L$2)</f>
        <v>0.33640798151276058</v>
      </c>
      <c r="M10" s="306">
        <f>SUMIFS(Parameters!$M$523:$M$606, Parameters!$D$523:$D$606, MIN($E10, 95), Parameters!$E$523:$E$606, $D10, Parameters!$F$523:$F$606, M$2)</f>
        <v>0.20971268605323595</v>
      </c>
      <c r="N10" s="307">
        <f>1-SUM(J10:M10, O10:T10)</f>
        <v>0.42748511039275194</v>
      </c>
      <c r="O10" s="306">
        <f>SUMIFS(Parameters!$M$523:$M$606, Parameters!$D$523:$D$606, MIN($E10, 95), Parameters!$E$523:$E$606, $D10, Parameters!$F$523:$F$606, O$2)</f>
        <v>0</v>
      </c>
      <c r="P10" s="306">
        <f>SUMIFS(Parameters!$M$523:$M$606, Parameters!$D$523:$D$606, MIN($E10, 95), Parameters!$E$523:$E$606, $D10, Parameters!$F$523:$F$606, P$2)</f>
        <v>0</v>
      </c>
      <c r="Q10" s="306">
        <f>SUMIFS(Parameters!$M$523:$M$606, Parameters!$D$523:$D$606, MIN($E10, 95), Parameters!$E$523:$E$606, $D10, Parameters!$F$523:$F$606, Q$2)</f>
        <v>0</v>
      </c>
      <c r="R10" s="306">
        <f>SUMIFS(Parameters!$M$523:$M$606, Parameters!$D$523:$D$606, MIN($E10, 95), Parameters!$E$523:$E$606, $D10, Parameters!$F$523:$F$606, R$2)</f>
        <v>0</v>
      </c>
      <c r="S10" s="306">
        <f>SUMIFS(Parameters!$M$523:$M$606, Parameters!$D$523:$D$606, MIN($E10, 95), Parameters!$E$523:$E$606, $D10, Parameters!$F$523:$F$606, S$2)</f>
        <v>2.6394222041251525E-2</v>
      </c>
      <c r="T10" s="131"/>
      <c r="U10" s="132">
        <f t="shared" si="3"/>
        <v>1</v>
      </c>
      <c r="W10" s="307">
        <f>1-SUM(V10:V10, X10:AF10)</f>
        <v>0.42748511039275194</v>
      </c>
      <c r="X10" s="306">
        <f>SUMIFS(Parameters!$M$523:$M$606, Parameters!$D$523:$D$606, MIN($E10, 95), Parameters!$E$523:$E$606, $D10, Parameters!$F$523:$F$606, X$2 + IF(D.swtchCorrectHPEafterExac=2, 3))</f>
        <v>0.33640798151276058</v>
      </c>
      <c r="Y10" s="306">
        <f>SUMIFS(Parameters!$M$523:$M$606, Parameters!$D$523:$D$606, MIN($E10, 95), Parameters!$E$523:$E$606, $D10, Parameters!$F$523:$F$606, Y$2 + IF(D.swtchCorrectHPEafterExac=2, 3))</f>
        <v>0.20971268605323595</v>
      </c>
      <c r="Z10" s="307">
        <v>0</v>
      </c>
      <c r="AA10" s="306">
        <v>0</v>
      </c>
      <c r="AB10" s="306">
        <v>0</v>
      </c>
      <c r="AC10" s="306">
        <f>SUMIFS(Parameters!$M$523:$M$606, Parameters!$D$523:$D$606, MIN($E10, 95), Parameters!$E$523:$E$606, $D10, Parameters!$F$523:$F$606, AC$2)</f>
        <v>0</v>
      </c>
      <c r="AD10" s="306">
        <f>SUMIFS(Parameters!$M$523:$M$606, Parameters!$D$523:$D$606, MIN($E10, 95), Parameters!$E$523:$E$606, $D10, Parameters!$F$523:$F$606, AD$2)</f>
        <v>0</v>
      </c>
      <c r="AE10" s="306">
        <f>SUMIFS(Parameters!$M$523:$M$606, Parameters!$D$523:$D$606, MIN($E10, 95), Parameters!$E$523:$E$606, $D10, Parameters!$F$523:$F$606, AE$2)</f>
        <v>2.6394222041251525E-2</v>
      </c>
      <c r="AF10" s="131"/>
      <c r="AG10" s="132">
        <f t="shared" si="4"/>
        <v>0.99999999999999989</v>
      </c>
    </row>
    <row r="11" spans="1:33" ht="12" customHeight="1" thickBot="1" x14ac:dyDescent="0.3">
      <c r="A11" s="312"/>
      <c r="C11" s="314"/>
      <c r="D11">
        <f t="shared" si="5"/>
        <v>5</v>
      </c>
      <c r="E11">
        <f t="shared" si="6"/>
        <v>65</v>
      </c>
      <c r="F11" s="112" t="str">
        <f t="shared" si="2"/>
        <v>65-74</v>
      </c>
      <c r="G11" s="110" t="str">
        <f t="array" aca="1" ref="G11" ca="1">INDEX(D.rngStates, $D11)</f>
        <v>PCE w HPE</v>
      </c>
      <c r="H11" s="112"/>
      <c r="I11" s="110"/>
      <c r="K11" s="306">
        <f>SUMIFS(Parameters!$M$523:$M$606, Parameters!$D$523:$D$606, MIN($E11, 95), Parameters!$E$523:$E$606, $D11, Parameters!$F$523:$F$606, K$2)</f>
        <v>0</v>
      </c>
      <c r="L11" s="306">
        <f>SUMIFS(Parameters!$M$523:$M$606, Parameters!$D$523:$D$606, MIN($E11, 95), Parameters!$E$523:$E$606, $D11, Parameters!$F$523:$F$606, L$2)</f>
        <v>0</v>
      </c>
      <c r="M11" s="306">
        <f>SUMIFS(Parameters!$M$523:$M$606, Parameters!$D$523:$D$606, MIN($E11, 95), Parameters!$E$523:$E$606, $D11, Parameters!$F$523:$F$606, M$2)</f>
        <v>0</v>
      </c>
      <c r="N11" s="306">
        <f>SUMIFS(Parameters!$M$523:$M$606, Parameters!$D$523:$D$606, MIN($E11, 95), Parameters!$E$523:$E$606, $D11, Parameters!$F$523:$F$606, N$2)</f>
        <v>0</v>
      </c>
      <c r="O11" s="306">
        <f>SUMIFS(Parameters!$M$523:$M$606, Parameters!$D$523:$D$606, MIN($E11, 95), Parameters!$E$523:$E$606, $D11, Parameters!$F$523:$F$606, O$2)</f>
        <v>0</v>
      </c>
      <c r="P11" s="306">
        <f>SUMIFS(Parameters!$M$523:$M$606, Parameters!$D$523:$D$606, MIN($E11, 95), Parameters!$E$523:$E$606, $D11, Parameters!$F$523:$F$606, P$2)</f>
        <v>0</v>
      </c>
      <c r="Q11" s="307">
        <v>0</v>
      </c>
      <c r="R11" s="307">
        <f>1-SUM(J11:Q11, S11:T11)</f>
        <v>0.97360577795874848</v>
      </c>
      <c r="S11" s="306">
        <f>SUMIFS(Parameters!$M$523:$M$606, Parameters!$D$523:$D$606, MIN($E11, 95), Parameters!$E$523:$E$606, $D11, Parameters!$F$523:$F$606, S$2)</f>
        <v>2.6394222041251525E-2</v>
      </c>
      <c r="T11" s="131"/>
      <c r="U11" s="132">
        <f t="shared" si="3"/>
        <v>1</v>
      </c>
      <c r="W11" s="306">
        <f>SUMIFS(Parameters!$M$523:$M$606, Parameters!$D$523:$D$606, MIN($E11, 95), Parameters!$E$523:$E$606, $D11, Parameters!$F$523:$F$606, W$2)</f>
        <v>0</v>
      </c>
      <c r="X11" s="306">
        <f>SUMIFS(Parameters!$M$523:$M$606, Parameters!$D$523:$D$606, MIN($E11, 95), Parameters!$E$523:$E$606, $D11, Parameters!$F$523:$F$606, X$2+3)</f>
        <v>0</v>
      </c>
      <c r="Y11" s="306">
        <f>SUMIFS(Parameters!$M$523:$M$606, Parameters!$D$523:$D$606, MIN($E11, 95), Parameters!$E$523:$E$606, $D11, Parameters!$F$523:$F$606, Y$2+3)</f>
        <v>0</v>
      </c>
      <c r="Z11" s="306">
        <v>0</v>
      </c>
      <c r="AA11" s="306">
        <v>0</v>
      </c>
      <c r="AB11" s="306">
        <v>0</v>
      </c>
      <c r="AC11" s="307">
        <f>1-SUM(V11:AB11, AD11:AF11)</f>
        <v>0.97360577795874848</v>
      </c>
      <c r="AD11" s="306">
        <f>SUMIFS(Parameters!$M$523:$M$606, Parameters!$D$523:$D$606, MIN($E11, 95), Parameters!$E$523:$E$606, $D11, Parameters!$F$523:$F$606, AD$2)</f>
        <v>0</v>
      </c>
      <c r="AE11" s="306">
        <f>SUMIFS(Parameters!$M$523:$M$606, Parameters!$D$523:$D$606, MIN($E11, 95), Parameters!$E$523:$E$606, $D11, Parameters!$F$523:$F$606, AE$2)</f>
        <v>2.6394222041251525E-2</v>
      </c>
      <c r="AF11" s="131"/>
      <c r="AG11" s="132">
        <f t="shared" si="4"/>
        <v>1</v>
      </c>
    </row>
    <row r="12" spans="1:33" ht="12" customHeight="1" thickBot="1" x14ac:dyDescent="0.3">
      <c r="A12" s="312"/>
      <c r="C12" s="314"/>
      <c r="D12">
        <f t="shared" si="5"/>
        <v>6</v>
      </c>
      <c r="E12">
        <f t="shared" si="6"/>
        <v>65</v>
      </c>
      <c r="F12" s="112" t="str">
        <f t="shared" si="2"/>
        <v>65-74</v>
      </c>
      <c r="G12" s="110" t="str">
        <f t="array" aca="1" ref="G12" ca="1">INDEX(D.rngStates, $D12)</f>
        <v>SCE w HPE</v>
      </c>
      <c r="H12" s="112"/>
      <c r="I12" s="110"/>
      <c r="K12" s="306">
        <f>SUMIFS(Parameters!$M$523:$M$606, Parameters!$D$523:$D$606, MIN($E12, 95), Parameters!$E$523:$E$606, $D12, Parameters!$F$523:$F$606, K$2)</f>
        <v>0</v>
      </c>
      <c r="L12" s="306">
        <f>SUMIFS(Parameters!$M$523:$M$606, Parameters!$D$523:$D$606, MIN($E12, 95), Parameters!$E$523:$E$606, $D12, Parameters!$F$523:$F$606, L$2)</f>
        <v>0</v>
      </c>
      <c r="M12" s="306">
        <f>SUMIFS(Parameters!$M$523:$M$606, Parameters!$D$523:$D$606, MIN($E12, 95), Parameters!$E$523:$E$606, $D12, Parameters!$F$523:$F$606, M$2)</f>
        <v>0</v>
      </c>
      <c r="N12" s="306">
        <f>SUMIFS(Parameters!$M$523:$M$606, Parameters!$D$523:$D$606, MIN($E12, 95), Parameters!$E$523:$E$606, $D12, Parameters!$F$523:$F$606, N$2)</f>
        <v>0</v>
      </c>
      <c r="O12" s="306">
        <f>SUMIFS(Parameters!$M$523:$M$606, Parameters!$D$523:$D$606, MIN($E12, 95), Parameters!$E$523:$E$606, $D12, Parameters!$F$523:$F$606, O$2)</f>
        <v>0</v>
      </c>
      <c r="P12" s="306">
        <f>SUMIFS(Parameters!$M$523:$M$606, Parameters!$D$523:$D$606, MIN($E12, 95), Parameters!$E$523:$E$606, $D12, Parameters!$F$523:$F$606, P$2)</f>
        <v>0</v>
      </c>
      <c r="Q12" s="307">
        <v>0</v>
      </c>
      <c r="R12" s="307">
        <f>1-SUM(J12:Q12, S12:T12)</f>
        <v>0.86698212153569243</v>
      </c>
      <c r="S12" s="306">
        <f>SUMIFS(Parameters!$M$523:$M$606, Parameters!$D$523:$D$606, MIN($E12, 95), Parameters!$E$523:$E$606, $D12, Parameters!$F$523:$F$606, S$2)</f>
        <v>0.13301787846430757</v>
      </c>
      <c r="T12" s="131"/>
      <c r="U12" s="132">
        <f t="shared" si="3"/>
        <v>1</v>
      </c>
      <c r="W12" s="306">
        <f>SUMIFS(Parameters!$M$523:$M$606, Parameters!$D$523:$D$606, MIN($E12, 95), Parameters!$E$523:$E$606, $D12, Parameters!$F$523:$F$606, W$2)</f>
        <v>0</v>
      </c>
      <c r="X12" s="306">
        <f>SUMIFS(Parameters!$M$523:$M$606, Parameters!$D$523:$D$606, MIN($E12, 95), Parameters!$E$523:$E$606, $D12, Parameters!$F$523:$F$606, X$2+3)</f>
        <v>0</v>
      </c>
      <c r="Y12" s="306">
        <f>SUMIFS(Parameters!$M$523:$M$606, Parameters!$D$523:$D$606, MIN($E12, 95), Parameters!$E$523:$E$606, $D12, Parameters!$F$523:$F$606, Y$2+3)</f>
        <v>0</v>
      </c>
      <c r="Z12" s="306">
        <v>0</v>
      </c>
      <c r="AA12" s="306">
        <v>0</v>
      </c>
      <c r="AB12" s="306">
        <v>0</v>
      </c>
      <c r="AC12" s="307">
        <f>1-SUM(V12:AB12, AD12:AF12)</f>
        <v>0.86698212153569243</v>
      </c>
      <c r="AD12" s="306">
        <f>SUMIFS(Parameters!$M$523:$M$606, Parameters!$D$523:$D$606, MIN($E12, 95), Parameters!$E$523:$E$606, $D12, Parameters!$F$523:$F$606, AD$2)</f>
        <v>0</v>
      </c>
      <c r="AE12" s="306">
        <f>SUMIFS(Parameters!$M$523:$M$606, Parameters!$D$523:$D$606, MIN($E12, 95), Parameters!$E$523:$E$606, $D12, Parameters!$F$523:$F$606, AE$2)</f>
        <v>0.13301787846430757</v>
      </c>
      <c r="AF12" s="131"/>
      <c r="AG12" s="132">
        <f t="shared" si="4"/>
        <v>1</v>
      </c>
    </row>
    <row r="13" spans="1:33" ht="12" customHeight="1" thickBot="1" x14ac:dyDescent="0.3">
      <c r="A13" s="312"/>
      <c r="C13" s="314"/>
      <c r="D13">
        <f t="shared" si="5"/>
        <v>7</v>
      </c>
      <c r="E13">
        <f t="shared" si="6"/>
        <v>65</v>
      </c>
      <c r="F13" s="112" t="str">
        <f t="shared" si="2"/>
        <v>65-74</v>
      </c>
      <c r="G13" s="110" t="str">
        <f t="array" aca="1" ref="G13" ca="1">INDEX(D.rngStates, $D13)</f>
        <v>HF post event no HPE</v>
      </c>
      <c r="H13" s="112"/>
      <c r="I13" s="110"/>
      <c r="K13" s="306">
        <f>SUMIFS(Parameters!$M$523:$M$606, Parameters!$D$523:$D$606, MIN($E13, 95), Parameters!$E$523:$E$606, 1, Parameters!$F$523:$F$606, K$2)</f>
        <v>0</v>
      </c>
      <c r="L13" s="306">
        <f>SUMIFS(Parameters!$M$523:$M$606, Parameters!$D$523:$D$606, MIN($E13, 95), Parameters!$E$523:$E$606, 1, Parameters!$F$523:$F$606, L$2)</f>
        <v>0.29000688061444879</v>
      </c>
      <c r="M13" s="306">
        <f>SUMIFS(Parameters!$M$523:$M$606, Parameters!$D$523:$D$606, MIN($E13, 95), Parameters!$E$523:$E$606, 1, Parameters!$F$523:$F$606, M$2)</f>
        <v>0.18078679832175515</v>
      </c>
      <c r="N13" s="306">
        <f>SUMIFS(Parameters!$M$523:$M$606, Parameters!$D$523:$D$606, MIN($E13, 95), Parameters!$E$523:$E$606, 1, Parameters!$F$523:$F$606, N$2)</f>
        <v>0</v>
      </c>
      <c r="O13" s="306">
        <f>SUMIFS(Parameters!$M$523:$M$606, Parameters!$D$523:$D$606, MIN($E13, 95), Parameters!$E$523:$E$606, 1, Parameters!$F$523:$F$606, O$2)</f>
        <v>0</v>
      </c>
      <c r="P13" s="306">
        <f>SUMIFS(Parameters!$M$523:$M$606, Parameters!$D$523:$D$606, MIN($E13, 95), Parameters!$E$523:$E$606, 1, Parameters!$F$523:$F$606, P$2)</f>
        <v>0</v>
      </c>
      <c r="Q13" s="307">
        <f>1-SUM(J13:P13, R13:T13)</f>
        <v>0.50751968415531279</v>
      </c>
      <c r="R13" s="307">
        <v>0</v>
      </c>
      <c r="S13" s="306">
        <f>SUMIFS(Parameters!$M$523:$M$606, Parameters!$D$523:$D$606, MIN($E13, 95), Parameters!$E$523:$E$606, 1, Parameters!$F$523:$F$606, S$2)</f>
        <v>2.168663690848327E-2</v>
      </c>
      <c r="T13" s="131"/>
      <c r="U13" s="132">
        <f t="shared" si="3"/>
        <v>1</v>
      </c>
      <c r="W13" s="306">
        <f>SUMIFS(Parameters!$M$523:$M$606, Parameters!$D$523:$D$606, MIN($E13, 95), Parameters!$E$523:$E$606, 1, Parameters!$F$523:$F$606, W$2)</f>
        <v>0</v>
      </c>
      <c r="X13" s="306">
        <f>SUMIFS(Parameters!$M$523:$M$606, Parameters!$D$523:$D$606, MIN($E13, 95), Parameters!$E$523:$E$606, 1, Parameters!$F$523:$F$606, X$2)</f>
        <v>0.29000688061444879</v>
      </c>
      <c r="Y13" s="306">
        <f>SUMIFS(Parameters!$M$523:$M$606, Parameters!$D$523:$D$606, MIN($E13, 95), Parameters!$E$523:$E$606, 1, Parameters!$F$523:$F$606, Y$2)</f>
        <v>0.18078679832175515</v>
      </c>
      <c r="Z13" s="306">
        <v>0</v>
      </c>
      <c r="AA13" s="306">
        <v>0</v>
      </c>
      <c r="AB13" s="306">
        <v>0</v>
      </c>
      <c r="AC13" s="307">
        <f>1-SUM(V13:AB13, AD13:AF13)</f>
        <v>0.50751968415531279</v>
      </c>
      <c r="AD13" s="307">
        <v>0</v>
      </c>
      <c r="AE13" s="306">
        <f>SUMIFS(Parameters!$M$523:$M$606, Parameters!$D$523:$D$606, MIN($E13, 95), Parameters!$E$523:$E$606, 1, Parameters!$F$523:$F$606, AE$2)</f>
        <v>2.168663690848327E-2</v>
      </c>
      <c r="AF13" s="131"/>
      <c r="AG13" s="132">
        <f t="shared" si="4"/>
        <v>1</v>
      </c>
    </row>
    <row r="14" spans="1:33" ht="12" customHeight="1" thickBot="1" x14ac:dyDescent="0.3">
      <c r="A14" s="312"/>
      <c r="C14" s="314"/>
      <c r="D14">
        <f t="shared" si="5"/>
        <v>8</v>
      </c>
      <c r="E14">
        <f t="shared" si="6"/>
        <v>65</v>
      </c>
      <c r="F14" s="112" t="str">
        <f t="shared" si="2"/>
        <v>65-74</v>
      </c>
      <c r="G14" s="110" t="str">
        <f t="array" aca="1" ref="G14" ca="1">INDEX(D.rngStates, $D14)</f>
        <v>HF post event w HPE</v>
      </c>
      <c r="H14" s="112"/>
      <c r="I14" s="110"/>
      <c r="K14" s="306">
        <f>SUMIFS(Parameters!$M$523:$M$606, Parameters!$D$523:$D$606, MIN($E14, 95), Parameters!$E$523:$E$606, 4, Parameters!$F$523:$F$606, K$2)</f>
        <v>0</v>
      </c>
      <c r="L14" s="306">
        <f>SUMIFS(Parameters!$M$523:$M$606, Parameters!$D$523:$D$606, MIN($E14, 95), Parameters!$E$523:$E$606, 4, Parameters!$F$523:$F$606, L$2)</f>
        <v>0.33640798151276058</v>
      </c>
      <c r="M14" s="306">
        <f>SUMIFS(Parameters!$M$523:$M$606, Parameters!$D$523:$D$606, MIN($E14, 95), Parameters!$E$523:$E$606, 4, Parameters!$F$523:$F$606, M$2)</f>
        <v>0.20971268605323595</v>
      </c>
      <c r="N14" s="306">
        <f>SUMIFS(Parameters!$M$523:$M$606, Parameters!$D$523:$D$606, MIN($E14, 95), Parameters!$E$523:$E$606, 4, Parameters!$F$523:$F$606, N$2)</f>
        <v>0</v>
      </c>
      <c r="O14" s="306">
        <f>SUMIFS(Parameters!$M$523:$M$606, Parameters!$D$523:$D$606, MIN($E14, 95), Parameters!$E$523:$E$606, 4, Parameters!$F$523:$F$606, O$2)</f>
        <v>0</v>
      </c>
      <c r="P14" s="306">
        <f>SUMIFS(Parameters!$M$523:$M$606, Parameters!$D$523:$D$606, MIN($E14, 95), Parameters!$E$523:$E$606, 4, Parameters!$F$523:$F$606, P$2)</f>
        <v>0</v>
      </c>
      <c r="Q14" s="307">
        <v>0</v>
      </c>
      <c r="R14" s="307">
        <f>1-SUM(J14:Q14, S14:T14)</f>
        <v>0.42748511039275194</v>
      </c>
      <c r="S14" s="306">
        <f>SUMIFS(Parameters!$M$523:$M$606, Parameters!$D$523:$D$606, MIN($E14, 95), Parameters!$E$523:$E$606, 4, Parameters!$F$523:$F$606, S$2)</f>
        <v>2.6394222041251525E-2</v>
      </c>
      <c r="T14" s="131"/>
      <c r="U14" s="132">
        <f t="shared" si="3"/>
        <v>1</v>
      </c>
      <c r="W14" s="306">
        <f>SUMIFS(Parameters!$M$523:$M$606, Parameters!$D$523:$D$606, MIN($E14, 95), Parameters!$E$523:$E$606, 4, Parameters!$F$523:$F$606, W$2)</f>
        <v>0</v>
      </c>
      <c r="X14" s="306">
        <f>SUMIFS(Parameters!$M$523:$M$606, Parameters!$D$523:$D$606, MIN($E14, 95), Parameters!$E$523:$E$606, 4, Parameters!$F$523:$F$606, X$2+3)</f>
        <v>0</v>
      </c>
      <c r="Y14" s="306">
        <f>SUMIFS(Parameters!$M$523:$M$606, Parameters!$D$523:$D$606, MIN($E14, 95), Parameters!$E$523:$E$606, 4, Parameters!$F$523:$F$606, Y$2+3)</f>
        <v>0</v>
      </c>
      <c r="Z14" s="306">
        <v>0</v>
      </c>
      <c r="AA14" s="306">
        <v>0</v>
      </c>
      <c r="AB14" s="306">
        <v>0</v>
      </c>
      <c r="AC14" s="307">
        <f>1-SUM(V14:AB14, AD14:AE14)</f>
        <v>0.97360577795874848</v>
      </c>
      <c r="AD14" s="307">
        <v>0</v>
      </c>
      <c r="AE14" s="306">
        <f>SUMIFS(Parameters!$M$523:$M$606, Parameters!$D$523:$D$606, MIN($E14, 95), Parameters!$E$523:$E$606, 4, Parameters!$F$523:$F$606, AE$2)</f>
        <v>2.6394222041251525E-2</v>
      </c>
      <c r="AF14" s="131"/>
      <c r="AG14" s="132">
        <f t="shared" si="4"/>
        <v>1</v>
      </c>
    </row>
    <row r="15" spans="1:33" s="188" customFormat="1" ht="12" customHeight="1" thickBot="1" x14ac:dyDescent="0.3">
      <c r="A15" s="312"/>
      <c r="B15" s="310"/>
      <c r="C15" s="314"/>
      <c r="D15" s="188">
        <f t="shared" si="5"/>
        <v>9</v>
      </c>
      <c r="E15" s="188">
        <f>E13</f>
        <v>65</v>
      </c>
      <c r="F15" s="112" t="str">
        <f t="shared" si="2"/>
        <v>65-74</v>
      </c>
      <c r="G15" s="110" t="str">
        <f t="array" aca="1" ref="G15" ca="1">INDEX(D.rngStates, $D15)</f>
        <v>Dead</v>
      </c>
      <c r="H15" s="112"/>
      <c r="I15" s="110"/>
      <c r="K15" s="305">
        <f>IFERROR(vbratetoprob(SUMIFS(Parameters!$M$523:$M$546, Parameters!$D$523:$D$546, $E15, Parameters!$E$523:$E$546, $D15-6, Parameters!$F$523:$F$546, K$2-IF(K$2&lt;10, 6)) * INDEX(rngHPE.FX.IRRs_GlaucomaChronic, MATCH(K$2,#REF!, 0)), D.cycleLength), 0)</f>
        <v>0</v>
      </c>
      <c r="L15" s="305">
        <f>IFERROR(vbratetoprob(SUMIFS(Parameters!$M$523:$M$546, Parameters!$D$523:$D$546, $E15, Parameters!$E$523:$E$546, $D15-6, Parameters!$F$523:$F$546, L$2-IF(L$2&lt;10, 6)) * INDEX(rngHPE.FX.IRRs_GlaucomaChronic, MATCH(L$2,#REF!, 0)), D.cycleLength), 0)</f>
        <v>0</v>
      </c>
      <c r="M15" s="305">
        <f>IFERROR(vbratetoprob(SUMIFS(Parameters!$M$523:$M$546, Parameters!$D$523:$D$546, $E15, Parameters!$E$523:$E$546, $D15-6, Parameters!$F$523:$F$546, M$2-IF(M$2&lt;10, 6)) * INDEX(rngHPE.FX.IRRs_GlaucomaChronic, MATCH(M$2,#REF!, 0)), D.cycleLength), 0)</f>
        <v>0</v>
      </c>
      <c r="N15" s="305">
        <v>0</v>
      </c>
      <c r="O15" s="305">
        <v>0</v>
      </c>
      <c r="P15" s="305">
        <v>0</v>
      </c>
      <c r="Q15" s="304">
        <v>0</v>
      </c>
      <c r="R15" s="304">
        <v>0</v>
      </c>
      <c r="S15" s="280">
        <v>1</v>
      </c>
      <c r="T15" s="191"/>
      <c r="U15" s="132">
        <f t="shared" si="3"/>
        <v>1</v>
      </c>
      <c r="V15"/>
      <c r="W15" s="305">
        <f>IFERROR(vbratetoprob(SUMIFS(Parameters!$M$523:$M$546, Parameters!$D$523:$D$546, $E15, Parameters!$E$523:$E$546, $D15-6, Parameters!$F$523:$F$546, W$2-IF(W$2&lt;10, 6)) * INDEX(rngHPE.FX.IRRs_GlaucomaChronic, MATCH(W$2,#REF!, 0)), D.cycleLength), 0)</f>
        <v>0</v>
      </c>
      <c r="X15" s="305">
        <f>IFERROR(vbratetoprob(SUMIFS(Parameters!$M$523:$M$546, Parameters!$D$523:$D$546, $E15, Parameters!$E$523:$E$546, $D15-6, Parameters!$F$523:$F$546, X$2-IF(X$2&lt;10, 6)) * INDEX(rngHPE.FX.IRRs_GlaucomaChronic, MATCH(X$2,#REF!, 0)), D.cycleLength), 0)</f>
        <v>0</v>
      </c>
      <c r="Y15" s="305">
        <f>IFERROR(vbratetoprob(SUMIFS(Parameters!$M$523:$M$546, Parameters!$D$523:$D$546, $E15, Parameters!$E$523:$E$546, $D15-6, Parameters!$F$523:$F$546, Y$2-IF(Y$2&lt;10, 6)) * INDEX(rngHPE.FX.IRRs_GlaucomaChronic, MATCH(Y$2,#REF!, 0)), D.cycleLength), 0)</f>
        <v>0</v>
      </c>
      <c r="Z15" s="305">
        <v>0</v>
      </c>
      <c r="AA15" s="305">
        <v>0</v>
      </c>
      <c r="AB15" s="305">
        <v>0</v>
      </c>
      <c r="AC15" s="304">
        <v>0</v>
      </c>
      <c r="AD15" s="304">
        <v>0</v>
      </c>
      <c r="AE15" s="280">
        <v>1</v>
      </c>
      <c r="AF15" s="191"/>
      <c r="AG15" s="132">
        <f t="shared" si="4"/>
        <v>1</v>
      </c>
    </row>
    <row r="16" spans="1:33" s="8" customFormat="1" ht="12" customHeight="1" thickBot="1" x14ac:dyDescent="0.3">
      <c r="A16" s="312"/>
      <c r="B16" s="310"/>
      <c r="C16" s="314"/>
      <c r="D16" s="8">
        <v>1</v>
      </c>
      <c r="E16" s="8">
        <f>E7+10</f>
        <v>75</v>
      </c>
      <c r="F16" s="113" t="str">
        <f t="shared" si="2"/>
        <v>75-84</v>
      </c>
      <c r="G16" s="121" t="str">
        <f t="array" aca="1" ref="G16" ca="1">INDEX(D.rngStates, $D16)</f>
        <v>HF no HPE</v>
      </c>
      <c r="H16" s="113"/>
      <c r="I16" s="121"/>
      <c r="J16"/>
      <c r="K16" s="307">
        <f>1-SUM(J16:J16, L16:T16)</f>
        <v>0.45504070751674508</v>
      </c>
      <c r="L16" s="306">
        <f>SUMIFS(Parameters!$M$523:$M$606, Parameters!$D$523:$D$606, MIN($E16, 95), Parameters!$E$523:$E$606, $D16, Parameters!$F$523:$F$606, L$2)</f>
        <v>0.29000688061444879</v>
      </c>
      <c r="M16" s="306">
        <f>SUMIFS(Parameters!$M$523:$M$606, Parameters!$D$523:$D$606, MIN($E16, 95), Parameters!$E$523:$E$606, $D16, Parameters!$F$523:$F$606, M$2)</f>
        <v>0.22040346350791662</v>
      </c>
      <c r="N16" s="306">
        <f>SUMIFS(Parameters!$M$523:$M$606, Parameters!$D$523:$D$606, MIN($E16, 95), Parameters!$E$523:$E$606, $D16, Parameters!$F$523:$F$606, N$2)</f>
        <v>0</v>
      </c>
      <c r="O16" s="306">
        <f>SUMIFS(Parameters!$M$523:$M$606, Parameters!$D$523:$D$606, MIN($E16, 95), Parameters!$E$523:$E$606, $D16, Parameters!$F$523:$F$606, O$2)</f>
        <v>0</v>
      </c>
      <c r="P16" s="306">
        <f>SUMIFS(Parameters!$M$523:$M$606, Parameters!$D$523:$D$606, MIN($E16, 95), Parameters!$E$523:$E$606, $D16, Parameters!$F$523:$F$606, P$2)</f>
        <v>0</v>
      </c>
      <c r="Q16" s="306">
        <f>SUMIFS(Parameters!$M$523:$M$606, Parameters!$D$523:$D$606, MIN($E16, 95), Parameters!$E$523:$E$606, $D16, Parameters!$F$523:$F$606, Q$2)</f>
        <v>0</v>
      </c>
      <c r="R16" s="306">
        <f>SUMIFS(Parameters!$M$523:$M$606, Parameters!$D$523:$D$606, MIN($E16, 95), Parameters!$E$523:$E$606, $D16, Parameters!$F$523:$F$606, R$2)</f>
        <v>0</v>
      </c>
      <c r="S16" s="306">
        <f>SUMIFS(Parameters!$M$523:$M$606, Parameters!$D$523:$D$606, MIN($E16, 95), Parameters!$E$523:$E$606, $D16, Parameters!$F$523:$F$606, S$2)</f>
        <v>3.4548948360889509E-2</v>
      </c>
      <c r="T16" s="131"/>
      <c r="U16" s="132">
        <f t="shared" si="3"/>
        <v>1</v>
      </c>
      <c r="V16"/>
      <c r="W16" s="307">
        <f>1-SUM(V16:V16, X16:AF16)</f>
        <v>0.45504070751674508</v>
      </c>
      <c r="X16" s="306">
        <f>SUMIFS(Parameters!$M$523:$M$606, Parameters!$D$523:$D$606, MIN($E16, 95), Parameters!$E$523:$E$606, $D16, Parameters!$F$523:$F$606, X$2)</f>
        <v>0.29000688061444879</v>
      </c>
      <c r="Y16" s="306">
        <f>SUMIFS(Parameters!$M$523:$M$606, Parameters!$D$523:$D$606, MIN($E16, 95), Parameters!$E$523:$E$606, $D16, Parameters!$F$523:$F$606, Y$2)</f>
        <v>0.22040346350791662</v>
      </c>
      <c r="Z16" s="306">
        <f>SUMIFS(Parameters!$M$523:$M$606, Parameters!$D$523:$D$606, MIN($E16, 95), Parameters!$E$523:$E$606, $D16, Parameters!$F$523:$F$606, Z$2)</f>
        <v>0</v>
      </c>
      <c r="AA16" s="306">
        <f>SUMIFS(Parameters!$M$523:$M$606, Parameters!$D$523:$D$606, MIN($E16, 95), Parameters!$E$523:$E$606, $D16, Parameters!$F$523:$F$606, AA$2)</f>
        <v>0</v>
      </c>
      <c r="AB16" s="306">
        <f>SUMIFS(Parameters!$M$523:$M$606, Parameters!$D$523:$D$606, MIN($E16, 95), Parameters!$E$523:$E$606, $D16, Parameters!$F$523:$F$606, AB$2)</f>
        <v>0</v>
      </c>
      <c r="AC16" s="306">
        <f>SUMIFS(Parameters!$M$523:$M$606, Parameters!$D$523:$D$606, MIN($E16, 95), Parameters!$E$523:$E$606, $D16, Parameters!$F$523:$F$606, AC$2)</f>
        <v>0</v>
      </c>
      <c r="AD16" s="306">
        <f>SUMIFS(Parameters!$M$523:$M$606, Parameters!$D$523:$D$606, MIN($E16, 95), Parameters!$E$523:$E$606, $D16, Parameters!$F$523:$F$606, AD$2)</f>
        <v>0</v>
      </c>
      <c r="AE16" s="306">
        <f>SUMIFS(Parameters!$M$523:$M$606, Parameters!$D$523:$D$606, MIN($E16, 95), Parameters!$E$523:$E$606, $D16, Parameters!$F$523:$F$606, AE$2)</f>
        <v>3.4548948360889509E-2</v>
      </c>
      <c r="AF16" s="131"/>
      <c r="AG16" s="132">
        <f t="shared" si="4"/>
        <v>1</v>
      </c>
    </row>
    <row r="17" spans="1:33" ht="12" customHeight="1" thickBot="1" x14ac:dyDescent="0.3">
      <c r="A17" s="312"/>
      <c r="C17" s="314"/>
      <c r="D17">
        <f t="shared" ref="D17:D24" si="7">D16+1</f>
        <v>2</v>
      </c>
      <c r="E17">
        <f t="shared" ref="E17:E23" si="8">E16</f>
        <v>75</v>
      </c>
      <c r="F17" s="112" t="str">
        <f t="shared" si="2"/>
        <v>75-84</v>
      </c>
      <c r="G17" s="110" t="str">
        <f t="array" aca="1" ref="G17" ca="1">INDEX(D.rngStates, $D17)</f>
        <v>PCE no HPE</v>
      </c>
      <c r="H17" s="112"/>
      <c r="I17" s="110"/>
      <c r="K17" s="306">
        <f>SUMIFS(Parameters!$M$523:$M$606, Parameters!$D$523:$D$606, MIN($E17, 95), Parameters!$E$523:$E$606, $D17, Parameters!$F$523:$F$606, K$2)</f>
        <v>0</v>
      </c>
      <c r="L17" s="306">
        <f>SUMIFS(Parameters!$M$523:$M$606, Parameters!$D$523:$D$606, MIN($E17, 95), Parameters!$E$523:$E$606, $D17, Parameters!$F$523:$F$606, L$2)</f>
        <v>0.29000688061444879</v>
      </c>
      <c r="M17" s="306">
        <f>SUMIFS(Parameters!$M$523:$M$606, Parameters!$D$523:$D$606, MIN($E17, 95), Parameters!$E$523:$E$606, $D17, Parameters!$F$523:$F$606, M$2)</f>
        <v>0.22040346350791662</v>
      </c>
      <c r="N17" s="306">
        <f>SUMIFS(Parameters!$M$523:$M$606, Parameters!$D$523:$D$606, MIN($E17, 95), Parameters!$E$523:$E$606, $D17, Parameters!$F$523:$F$606, N$2)</f>
        <v>0</v>
      </c>
      <c r="O17" s="306">
        <f>SUMIFS(Parameters!$M$523:$M$606, Parameters!$D$523:$D$606, MIN($E17, 95), Parameters!$E$523:$E$606, $D17, Parameters!$F$523:$F$606, O$2)</f>
        <v>0</v>
      </c>
      <c r="P17" s="306">
        <f>SUMIFS(Parameters!$M$523:$M$606, Parameters!$D$523:$D$606, MIN($E17, 95), Parameters!$E$523:$E$606, $D17, Parameters!$F$523:$F$606, P$2)</f>
        <v>0</v>
      </c>
      <c r="Q17" s="307">
        <f>1-SUM(J17:P17, R17:T17)</f>
        <v>0.45504070751674508</v>
      </c>
      <c r="R17" s="306">
        <f>SUMIFS(Parameters!$M$523:$M$606, Parameters!$D$523:$D$606, MIN($E17, 95), Parameters!$E$523:$E$606, $D17, Parameters!$F$523:$F$606, R$2)</f>
        <v>0</v>
      </c>
      <c r="S17" s="306">
        <f>SUMIFS(Parameters!$M$523:$M$606, Parameters!$D$523:$D$606, MIN($E17, 95), Parameters!$E$523:$E$606, $D17, Parameters!$F$523:$F$606, S$2)</f>
        <v>3.4548948360889509E-2</v>
      </c>
      <c r="T17" s="131"/>
      <c r="U17" s="132">
        <f t="shared" si="3"/>
        <v>1</v>
      </c>
      <c r="W17" s="306">
        <f>SUMIFS(Parameters!$M$523:$M$606, Parameters!$D$523:$D$606, MIN($E17, 95), Parameters!$E$523:$E$606, $D17, Parameters!$F$523:$F$606, W$2)</f>
        <v>0</v>
      </c>
      <c r="X17" s="306">
        <f>SUMIFS(Parameters!$M$523:$M$606, Parameters!$D$523:$D$606, MIN($E17, 95), Parameters!$E$523:$E$606, $D17, Parameters!$F$523:$F$606, X$2)</f>
        <v>0.29000688061444879</v>
      </c>
      <c r="Y17" s="306">
        <f>SUMIFS(Parameters!$M$523:$M$606, Parameters!$D$523:$D$606, MIN($E17, 95), Parameters!$E$523:$E$606, $D17, Parameters!$F$523:$F$606, Y$2)</f>
        <v>0.22040346350791662</v>
      </c>
      <c r="Z17" s="306">
        <f>SUMIFS(Parameters!$M$523:$M$606, Parameters!$D$523:$D$606, MIN($E17, 95), Parameters!$E$523:$E$606, $D17, Parameters!$F$523:$F$606, Z$2)</f>
        <v>0</v>
      </c>
      <c r="AA17" s="306">
        <f>SUMIFS(Parameters!$M$523:$M$606, Parameters!$D$523:$D$606, MIN($E17, 95), Parameters!$E$523:$E$606, $D17, Parameters!$F$523:$F$606, AA$2)</f>
        <v>0</v>
      </c>
      <c r="AB17" s="306">
        <f>SUMIFS(Parameters!$M$523:$M$606, Parameters!$D$523:$D$606, MIN($E17, 95), Parameters!$E$523:$E$606, $D17, Parameters!$F$523:$F$606, AB$2)</f>
        <v>0</v>
      </c>
      <c r="AC17" s="307">
        <f>1-SUM(V17:AB17, AD17:AF17)</f>
        <v>0.45504070751674508</v>
      </c>
      <c r="AD17" s="306">
        <f>SUMIFS(Parameters!$M$523:$M$606, Parameters!$D$523:$D$606, MIN($E17, 95), Parameters!$E$523:$E$606, $D17, Parameters!$F$523:$F$606, AD$2)</f>
        <v>0</v>
      </c>
      <c r="AE17" s="306">
        <f>SUMIFS(Parameters!$M$523:$M$606, Parameters!$D$523:$D$606, MIN($E17, 95), Parameters!$E$523:$E$606, $D17, Parameters!$F$523:$F$606, AE$2)</f>
        <v>3.4548948360889509E-2</v>
      </c>
      <c r="AF17" s="131"/>
      <c r="AG17" s="132">
        <f t="shared" si="4"/>
        <v>1</v>
      </c>
    </row>
    <row r="18" spans="1:33" ht="12" customHeight="1" thickBot="1" x14ac:dyDescent="0.3">
      <c r="A18" s="312"/>
      <c r="C18" s="314"/>
      <c r="D18">
        <f t="shared" si="7"/>
        <v>3</v>
      </c>
      <c r="E18">
        <f t="shared" si="8"/>
        <v>75</v>
      </c>
      <c r="F18" s="112" t="str">
        <f t="shared" si="2"/>
        <v>75-84</v>
      </c>
      <c r="G18" s="110" t="str">
        <f t="array" aca="1" ref="G18" ca="1">INDEX(D.rngStates, $D18)</f>
        <v>SCE no HPE</v>
      </c>
      <c r="H18" s="112"/>
      <c r="I18" s="110"/>
      <c r="K18" s="306">
        <f>SUMIFS(Parameters!$M$523:$M$606, Parameters!$D$523:$D$606, MIN($E18, 95), Parameters!$E$523:$E$606, $D18, Parameters!$F$523:$F$606, K$2)</f>
        <v>0</v>
      </c>
      <c r="L18" s="306">
        <f>SUMIFS(Parameters!$M$523:$M$606, Parameters!$D$523:$D$606, MIN($E18, 95), Parameters!$E$523:$E$606, $D18, Parameters!$F$523:$F$606, L$2)</f>
        <v>0.29000688061444879</v>
      </c>
      <c r="M18" s="306">
        <f>SUMIFS(Parameters!$M$523:$M$606, Parameters!$D$523:$D$606, MIN($E18, 95), Parameters!$E$523:$E$606, $D18, Parameters!$F$523:$F$606, M$2)</f>
        <v>0.22040346350791662</v>
      </c>
      <c r="N18" s="306">
        <f>SUMIFS(Parameters!$M$523:$M$606, Parameters!$D$523:$D$606, MIN($E18, 95), Parameters!$E$523:$E$606, $D18, Parameters!$F$523:$F$606, N$2)</f>
        <v>0</v>
      </c>
      <c r="O18" s="306">
        <f>SUMIFS(Parameters!$M$523:$M$606, Parameters!$D$523:$D$606, MIN($E18, 95), Parameters!$E$523:$E$606, $D18, Parameters!$F$523:$F$606, O$2)</f>
        <v>0</v>
      </c>
      <c r="P18" s="306">
        <f>SUMIFS(Parameters!$M$523:$M$606, Parameters!$D$523:$D$606, MIN($E18, 95), Parameters!$E$523:$E$606, $D18, Parameters!$F$523:$F$606, P$2)</f>
        <v>0</v>
      </c>
      <c r="Q18" s="307">
        <f>1-SUM(J18:P18, R18:T18)</f>
        <v>0.3189857719062601</v>
      </c>
      <c r="R18" s="306">
        <f>SUMIFS(Parameters!$M$523:$M$606, Parameters!$D$523:$D$606, MIN($E18, 95), Parameters!$E$523:$E$606, $D18, Parameters!$F$523:$F$606, R$2)</f>
        <v>0</v>
      </c>
      <c r="S18" s="306">
        <f>SUMIFS(Parameters!$M$523:$M$606, Parameters!$D$523:$D$606, MIN($E18, 95), Parameters!$E$523:$E$606, $D18, Parameters!$F$523:$F$606, S$2)</f>
        <v>0.17060388397137449</v>
      </c>
      <c r="T18" s="131"/>
      <c r="U18" s="132">
        <f t="shared" si="3"/>
        <v>1</v>
      </c>
      <c r="W18" s="306">
        <f>SUMIFS(Parameters!$M$523:$M$606, Parameters!$D$523:$D$606, MIN($E18, 95), Parameters!$E$523:$E$606, $D18, Parameters!$F$523:$F$606, W$2)</f>
        <v>0</v>
      </c>
      <c r="X18" s="306">
        <f>SUMIFS(Parameters!$M$523:$M$606, Parameters!$D$523:$D$606, MIN($E18, 95), Parameters!$E$523:$E$606, $D18, Parameters!$F$523:$F$606, X$2)</f>
        <v>0.29000688061444879</v>
      </c>
      <c r="Y18" s="306">
        <f>SUMIFS(Parameters!$M$523:$M$606, Parameters!$D$523:$D$606, MIN($E18, 95), Parameters!$E$523:$E$606, $D18, Parameters!$F$523:$F$606, Y$2)</f>
        <v>0.22040346350791662</v>
      </c>
      <c r="Z18" s="306">
        <f>SUMIFS(Parameters!$M$523:$M$606, Parameters!$D$523:$D$606, MIN($E18, 95), Parameters!$E$523:$E$606, $D18, Parameters!$F$523:$F$606, Z$2)</f>
        <v>0</v>
      </c>
      <c r="AA18" s="306">
        <f>SUMIFS(Parameters!$M$523:$M$606, Parameters!$D$523:$D$606, MIN($E18, 95), Parameters!$E$523:$E$606, $D18, Parameters!$F$523:$F$606, AA$2)</f>
        <v>0</v>
      </c>
      <c r="AB18" s="306">
        <f>SUMIFS(Parameters!$M$523:$M$606, Parameters!$D$523:$D$606, MIN($E18, 95), Parameters!$E$523:$E$606, $D18, Parameters!$F$523:$F$606, AB$2)</f>
        <v>0</v>
      </c>
      <c r="AC18" s="307">
        <f>1-SUM(V18:AB18, AD18:AF18)</f>
        <v>0.3189857719062601</v>
      </c>
      <c r="AD18" s="306">
        <f>SUMIFS(Parameters!$M$523:$M$606, Parameters!$D$523:$D$606, MIN($E18, 95), Parameters!$E$523:$E$606, $D18, Parameters!$F$523:$F$606, AD$2)</f>
        <v>0</v>
      </c>
      <c r="AE18" s="306">
        <f>SUMIFS(Parameters!$M$523:$M$606, Parameters!$D$523:$D$606, MIN($E18, 95), Parameters!$E$523:$E$606, $D18, Parameters!$F$523:$F$606, AE$2)</f>
        <v>0.17060388397137449</v>
      </c>
      <c r="AF18" s="131"/>
      <c r="AG18" s="132">
        <f t="shared" si="4"/>
        <v>1</v>
      </c>
    </row>
    <row r="19" spans="1:33" ht="12" customHeight="1" thickBot="1" x14ac:dyDescent="0.3">
      <c r="A19" s="312"/>
      <c r="C19" s="314"/>
      <c r="D19">
        <f t="shared" si="7"/>
        <v>4</v>
      </c>
      <c r="E19">
        <f t="shared" si="8"/>
        <v>75</v>
      </c>
      <c r="F19" s="112" t="str">
        <f t="shared" si="2"/>
        <v>75-84</v>
      </c>
      <c r="G19" s="110" t="str">
        <f t="array" aca="1" ref="G19" ca="1">INDEX(D.rngStates, $D19)</f>
        <v>HF w HPE</v>
      </c>
      <c r="H19" s="112"/>
      <c r="I19" s="110"/>
      <c r="K19" s="306">
        <f>SUMIFS(Parameters!$M$523:$M$606, Parameters!$D$523:$D$606, MIN($E19, 95), Parameters!$E$523:$E$606, $D19, Parameters!$F$523:$F$606, K$2)</f>
        <v>0</v>
      </c>
      <c r="L19" s="306">
        <f>SUMIFS(Parameters!$M$523:$M$606, Parameters!$D$523:$D$606, MIN($E19, 95), Parameters!$E$523:$E$606, $D19, Parameters!$F$523:$F$606, L$2)</f>
        <v>0.33640798151276058</v>
      </c>
      <c r="M19" s="306">
        <f>SUMIFS(Parameters!$M$523:$M$606, Parameters!$D$523:$D$606, MIN($E19, 95), Parameters!$E$523:$E$606, $D19, Parameters!$F$523:$F$606, M$2)</f>
        <v>0.25566801766918323</v>
      </c>
      <c r="N19" s="307">
        <f>1-SUM(J19:M19, O19:T19)</f>
        <v>0.36593593039696659</v>
      </c>
      <c r="O19" s="306">
        <f>SUMIFS(Parameters!$M$523:$M$606, Parameters!$D$523:$D$606, MIN($E19, 95), Parameters!$E$523:$E$606, $D19, Parameters!$F$523:$F$606, O$2)</f>
        <v>0</v>
      </c>
      <c r="P19" s="306">
        <f>SUMIFS(Parameters!$M$523:$M$606, Parameters!$D$523:$D$606, MIN($E19, 95), Parameters!$E$523:$E$606, $D19, Parameters!$F$523:$F$606, P$2)</f>
        <v>0</v>
      </c>
      <c r="Q19" s="306">
        <f>SUMIFS(Parameters!$M$523:$M$606, Parameters!$D$523:$D$606, MIN($E19, 95), Parameters!$E$523:$E$606, $D19, Parameters!$F$523:$F$606, Q$2)</f>
        <v>0</v>
      </c>
      <c r="R19" s="306">
        <f>SUMIFS(Parameters!$M$523:$M$606, Parameters!$D$523:$D$606, MIN($E19, 95), Parameters!$E$523:$E$606, $D19, Parameters!$F$523:$F$606, R$2)</f>
        <v>0</v>
      </c>
      <c r="S19" s="306">
        <f>SUMIFS(Parameters!$M$523:$M$606, Parameters!$D$523:$D$606, MIN($E19, 95), Parameters!$E$523:$E$606, $D19, Parameters!$F$523:$F$606, S$2)</f>
        <v>4.1988070421089652E-2</v>
      </c>
      <c r="T19" s="131"/>
      <c r="U19" s="132">
        <f t="shared" si="3"/>
        <v>1</v>
      </c>
      <c r="W19" s="307">
        <f>1-SUM(V19:V19, X19:AF19)</f>
        <v>0.36593593039696659</v>
      </c>
      <c r="X19" s="306">
        <f>SUMIFS(Parameters!$M$523:$M$606, Parameters!$D$523:$D$606, MIN($E19, 95), Parameters!$E$523:$E$606, $D19, Parameters!$F$523:$F$606, X$2 + IF(D.swtchCorrectHPEafterExac=2, 3))</f>
        <v>0.33640798151276058</v>
      </c>
      <c r="Y19" s="306">
        <f>SUMIFS(Parameters!$M$523:$M$606, Parameters!$D$523:$D$606, MIN($E19, 95), Parameters!$E$523:$E$606, $D19, Parameters!$F$523:$F$606, Y$2 + IF(D.swtchCorrectHPEafterExac=2, 3))</f>
        <v>0.25566801766918323</v>
      </c>
      <c r="Z19" s="307">
        <v>0</v>
      </c>
      <c r="AA19" s="306">
        <v>0</v>
      </c>
      <c r="AB19" s="306">
        <v>0</v>
      </c>
      <c r="AC19" s="306">
        <f>SUMIFS(Parameters!$M$523:$M$606, Parameters!$D$523:$D$606, MIN($E19, 95), Parameters!$E$523:$E$606, $D19, Parameters!$F$523:$F$606, AC$2)</f>
        <v>0</v>
      </c>
      <c r="AD19" s="306">
        <f>SUMIFS(Parameters!$M$523:$M$606, Parameters!$D$523:$D$606, MIN($E19, 95), Parameters!$E$523:$E$606, $D19, Parameters!$F$523:$F$606, AD$2)</f>
        <v>0</v>
      </c>
      <c r="AE19" s="306">
        <f>SUMIFS(Parameters!$M$523:$M$606, Parameters!$D$523:$D$606, MIN($E19, 95), Parameters!$E$523:$E$606, $D19, Parameters!$F$523:$F$606, AE$2)</f>
        <v>4.1988070421089652E-2</v>
      </c>
      <c r="AF19" s="131"/>
      <c r="AG19" s="132">
        <f t="shared" si="4"/>
        <v>1</v>
      </c>
    </row>
    <row r="20" spans="1:33" ht="12" customHeight="1" thickBot="1" x14ac:dyDescent="0.3">
      <c r="A20" s="312"/>
      <c r="C20" s="314"/>
      <c r="D20">
        <f t="shared" si="7"/>
        <v>5</v>
      </c>
      <c r="E20">
        <f t="shared" si="8"/>
        <v>75</v>
      </c>
      <c r="F20" s="112" t="str">
        <f t="shared" si="2"/>
        <v>75-84</v>
      </c>
      <c r="G20" s="110" t="str">
        <f t="array" aca="1" ref="G20" ca="1">INDEX(D.rngStates, $D20)</f>
        <v>PCE w HPE</v>
      </c>
      <c r="H20" s="112"/>
      <c r="I20" s="110"/>
      <c r="K20" s="306">
        <f>SUMIFS(Parameters!$M$523:$M$606, Parameters!$D$523:$D$606, MIN($E20, 95), Parameters!$E$523:$E$606, $D20, Parameters!$F$523:$F$606, K$2)</f>
        <v>0</v>
      </c>
      <c r="L20" s="306">
        <f>SUMIFS(Parameters!$M$523:$M$606, Parameters!$D$523:$D$606, MIN($E20, 95), Parameters!$E$523:$E$606, $D20, Parameters!$F$523:$F$606, L$2)</f>
        <v>0</v>
      </c>
      <c r="M20" s="306">
        <f>SUMIFS(Parameters!$M$523:$M$606, Parameters!$D$523:$D$606, MIN($E20, 95), Parameters!$E$523:$E$606, $D20, Parameters!$F$523:$F$606, M$2)</f>
        <v>0</v>
      </c>
      <c r="N20" s="306">
        <f>SUMIFS(Parameters!$M$523:$M$606, Parameters!$D$523:$D$606, MIN($E20, 95), Parameters!$E$523:$E$606, $D20, Parameters!$F$523:$F$606, N$2)</f>
        <v>0</v>
      </c>
      <c r="O20" s="306">
        <f>SUMIFS(Parameters!$M$523:$M$606, Parameters!$D$523:$D$606, MIN($E20, 95), Parameters!$E$523:$E$606, $D20, Parameters!$F$523:$F$606, O$2)</f>
        <v>0</v>
      </c>
      <c r="P20" s="306">
        <f>SUMIFS(Parameters!$M$523:$M$606, Parameters!$D$523:$D$606, MIN($E20, 95), Parameters!$E$523:$E$606, $D20, Parameters!$F$523:$F$606, P$2)</f>
        <v>0</v>
      </c>
      <c r="Q20" s="307">
        <v>0</v>
      </c>
      <c r="R20" s="307">
        <f>1-SUM(J20:Q20, S20:T20)</f>
        <v>0.95801192957891035</v>
      </c>
      <c r="S20" s="306">
        <f>SUMIFS(Parameters!$M$523:$M$606, Parameters!$D$523:$D$606, MIN($E20, 95), Parameters!$E$523:$E$606, $D20, Parameters!$F$523:$F$606, S$2)</f>
        <v>4.1988070421089652E-2</v>
      </c>
      <c r="T20" s="131"/>
      <c r="U20" s="132">
        <f t="shared" si="3"/>
        <v>1</v>
      </c>
      <c r="W20" s="306">
        <f>SUMIFS(Parameters!$M$523:$M$606, Parameters!$D$523:$D$606, MIN($E20, 95), Parameters!$E$523:$E$606, $D20, Parameters!$F$523:$F$606, W$2)</f>
        <v>0</v>
      </c>
      <c r="X20" s="306">
        <f>SUMIFS(Parameters!$M$523:$M$606, Parameters!$D$523:$D$606, MIN($E20, 95), Parameters!$E$523:$E$606, $D20, Parameters!$F$523:$F$606, X$2+3)</f>
        <v>0</v>
      </c>
      <c r="Y20" s="306">
        <f>SUMIFS(Parameters!$M$523:$M$606, Parameters!$D$523:$D$606, MIN($E20, 95), Parameters!$E$523:$E$606, $D20, Parameters!$F$523:$F$606, Y$2+3)</f>
        <v>0</v>
      </c>
      <c r="Z20" s="306">
        <v>0</v>
      </c>
      <c r="AA20" s="306">
        <v>0</v>
      </c>
      <c r="AB20" s="306">
        <v>0</v>
      </c>
      <c r="AC20" s="307">
        <f>1-SUM(V20:AB20, AD20:AF20)</f>
        <v>0.95801192957891035</v>
      </c>
      <c r="AD20" s="306">
        <f>SUMIFS(Parameters!$M$523:$M$606, Parameters!$D$523:$D$606, MIN($E20, 95), Parameters!$E$523:$E$606, $D20, Parameters!$F$523:$F$606, AD$2)</f>
        <v>0</v>
      </c>
      <c r="AE20" s="306">
        <f>SUMIFS(Parameters!$M$523:$M$606, Parameters!$D$523:$D$606, MIN($E20, 95), Parameters!$E$523:$E$606, $D20, Parameters!$F$523:$F$606, AE$2)</f>
        <v>4.1988070421089652E-2</v>
      </c>
      <c r="AF20" s="131"/>
      <c r="AG20" s="132">
        <f t="shared" si="4"/>
        <v>1</v>
      </c>
    </row>
    <row r="21" spans="1:33" ht="12" customHeight="1" thickBot="1" x14ac:dyDescent="0.3">
      <c r="A21" s="312"/>
      <c r="C21" s="314"/>
      <c r="D21">
        <f t="shared" si="7"/>
        <v>6</v>
      </c>
      <c r="E21">
        <f t="shared" si="8"/>
        <v>75</v>
      </c>
      <c r="F21" s="112" t="str">
        <f t="shared" si="2"/>
        <v>75-84</v>
      </c>
      <c r="G21" s="110" t="str">
        <f t="array" aca="1" ref="G21" ca="1">INDEX(D.rngStates, $D21)</f>
        <v>SCE w HPE</v>
      </c>
      <c r="H21" s="112"/>
      <c r="I21" s="110"/>
      <c r="K21" s="306">
        <f>SUMIFS(Parameters!$M$523:$M$606, Parameters!$D$523:$D$606, MIN($E21, 95), Parameters!$E$523:$E$606, $D21, Parameters!$F$523:$F$606, K$2)</f>
        <v>0</v>
      </c>
      <c r="L21" s="306">
        <f>SUMIFS(Parameters!$M$523:$M$606, Parameters!$D$523:$D$606, MIN($E21, 95), Parameters!$E$523:$E$606, $D21, Parameters!$F$523:$F$606, L$2)</f>
        <v>0</v>
      </c>
      <c r="M21" s="306">
        <f>SUMIFS(Parameters!$M$523:$M$606, Parameters!$D$523:$D$606, MIN($E21, 95), Parameters!$E$523:$E$606, $D21, Parameters!$F$523:$F$606, M$2)</f>
        <v>0</v>
      </c>
      <c r="N21" s="306">
        <f>SUMIFS(Parameters!$M$523:$M$606, Parameters!$D$523:$D$606, MIN($E21, 95), Parameters!$E$523:$E$606, $D21, Parameters!$F$523:$F$606, N$2)</f>
        <v>0</v>
      </c>
      <c r="O21" s="306">
        <f>SUMIFS(Parameters!$M$523:$M$606, Parameters!$D$523:$D$606, MIN($E21, 95), Parameters!$E$523:$E$606, $D21, Parameters!$F$523:$F$606, O$2)</f>
        <v>0</v>
      </c>
      <c r="P21" s="306">
        <f>SUMIFS(Parameters!$M$523:$M$606, Parameters!$D$523:$D$606, MIN($E21, 95), Parameters!$E$523:$E$606, $D21, Parameters!$F$523:$F$606, P$2)</f>
        <v>0</v>
      </c>
      <c r="Q21" s="307">
        <v>0</v>
      </c>
      <c r="R21" s="307">
        <f>1-SUM(J21:Q21, S21:T21)</f>
        <v>0.82939611602862551</v>
      </c>
      <c r="S21" s="306">
        <f>SUMIFS(Parameters!$M$523:$M$606, Parameters!$D$523:$D$606, MIN($E21, 95), Parameters!$E$523:$E$606, $D21, Parameters!$F$523:$F$606, S$2)</f>
        <v>0.17060388397137449</v>
      </c>
      <c r="T21" s="131"/>
      <c r="U21" s="132">
        <f t="shared" si="3"/>
        <v>1</v>
      </c>
      <c r="W21" s="306">
        <f>SUMIFS(Parameters!$M$523:$M$606, Parameters!$D$523:$D$606, MIN($E21, 95), Parameters!$E$523:$E$606, $D21, Parameters!$F$523:$F$606, W$2)</f>
        <v>0</v>
      </c>
      <c r="X21" s="306">
        <f>SUMIFS(Parameters!$M$523:$M$606, Parameters!$D$523:$D$606, MIN($E21, 95), Parameters!$E$523:$E$606, $D21, Parameters!$F$523:$F$606, X$2+3)</f>
        <v>0</v>
      </c>
      <c r="Y21" s="306">
        <f>SUMIFS(Parameters!$M$523:$M$606, Parameters!$D$523:$D$606, MIN($E21, 95), Parameters!$E$523:$E$606, $D21, Parameters!$F$523:$F$606, Y$2+3)</f>
        <v>0</v>
      </c>
      <c r="Z21" s="306">
        <v>0</v>
      </c>
      <c r="AA21" s="306">
        <v>0</v>
      </c>
      <c r="AB21" s="306">
        <v>0</v>
      </c>
      <c r="AC21" s="307">
        <f>1-SUM(V21:AB21, AD21:AF21)</f>
        <v>0.82939611602862551</v>
      </c>
      <c r="AD21" s="306">
        <f>SUMIFS(Parameters!$M$523:$M$606, Parameters!$D$523:$D$606, MIN($E21, 95), Parameters!$E$523:$E$606, $D21, Parameters!$F$523:$F$606, AD$2)</f>
        <v>0</v>
      </c>
      <c r="AE21" s="306">
        <f>SUMIFS(Parameters!$M$523:$M$606, Parameters!$D$523:$D$606, MIN($E21, 95), Parameters!$E$523:$E$606, $D21, Parameters!$F$523:$F$606, AE$2)</f>
        <v>0.17060388397137449</v>
      </c>
      <c r="AF21" s="131"/>
      <c r="AG21" s="132">
        <f t="shared" si="4"/>
        <v>1</v>
      </c>
    </row>
    <row r="22" spans="1:33" ht="12" customHeight="1" thickBot="1" x14ac:dyDescent="0.3">
      <c r="A22" s="312"/>
      <c r="C22" s="314"/>
      <c r="D22">
        <f t="shared" si="7"/>
        <v>7</v>
      </c>
      <c r="E22">
        <f t="shared" si="8"/>
        <v>75</v>
      </c>
      <c r="F22" s="112" t="str">
        <f t="shared" si="2"/>
        <v>75-84</v>
      </c>
      <c r="G22" s="110" t="str">
        <f t="array" aca="1" ref="G22" ca="1">INDEX(D.rngStates, $D22)</f>
        <v>HF post event no HPE</v>
      </c>
      <c r="H22" s="112"/>
      <c r="I22" s="110"/>
      <c r="K22" s="306">
        <f>SUMIFS(Parameters!$M$523:$M$606, Parameters!$D$523:$D$606, MIN($E22, 95), Parameters!$E$523:$E$606, 1, Parameters!$F$523:$F$606, K$2)</f>
        <v>0</v>
      </c>
      <c r="L22" s="306">
        <f>SUMIFS(Parameters!$M$523:$M$606, Parameters!$D$523:$D$606, MIN($E22, 95), Parameters!$E$523:$E$606, 1, Parameters!$F$523:$F$606, L$2)</f>
        <v>0.29000688061444879</v>
      </c>
      <c r="M22" s="306">
        <f>SUMIFS(Parameters!$M$523:$M$606, Parameters!$D$523:$D$606, MIN($E22, 95), Parameters!$E$523:$E$606, 1, Parameters!$F$523:$F$606, M$2)</f>
        <v>0.22040346350791662</v>
      </c>
      <c r="N22" s="306">
        <f>SUMIFS(Parameters!$M$523:$M$606, Parameters!$D$523:$D$606, MIN($E22, 95), Parameters!$E$523:$E$606, 1, Parameters!$F$523:$F$606, N$2)</f>
        <v>0</v>
      </c>
      <c r="O22" s="306">
        <f>SUMIFS(Parameters!$M$523:$M$606, Parameters!$D$523:$D$606, MIN($E22, 95), Parameters!$E$523:$E$606, 1, Parameters!$F$523:$F$606, O$2)</f>
        <v>0</v>
      </c>
      <c r="P22" s="306">
        <f>SUMIFS(Parameters!$M$523:$M$606, Parameters!$D$523:$D$606, MIN($E22, 95), Parameters!$E$523:$E$606, 1, Parameters!$F$523:$F$606, P$2)</f>
        <v>0</v>
      </c>
      <c r="Q22" s="307">
        <f>1-SUM(J22:P22, R22:T22)</f>
        <v>0.45504070751674508</v>
      </c>
      <c r="R22" s="307">
        <v>0</v>
      </c>
      <c r="S22" s="306">
        <f>SUMIFS(Parameters!$M$523:$M$606, Parameters!$D$523:$D$606, MIN($E22, 95), Parameters!$E$523:$E$606, 1, Parameters!$F$523:$F$606, S$2)</f>
        <v>3.4548948360889509E-2</v>
      </c>
      <c r="T22" s="131"/>
      <c r="U22" s="132">
        <f t="shared" si="3"/>
        <v>1</v>
      </c>
      <c r="W22" s="306">
        <f>SUMIFS(Parameters!$M$523:$M$606, Parameters!$D$523:$D$606, MIN($E22, 95), Parameters!$E$523:$E$606, 1, Parameters!$F$523:$F$606, W$2)</f>
        <v>0</v>
      </c>
      <c r="X22" s="306">
        <f>SUMIFS(Parameters!$M$523:$M$606, Parameters!$D$523:$D$606, MIN($E22, 95), Parameters!$E$523:$E$606, 1, Parameters!$F$523:$F$606, X$2)</f>
        <v>0.29000688061444879</v>
      </c>
      <c r="Y22" s="306">
        <f>SUMIFS(Parameters!$M$523:$M$606, Parameters!$D$523:$D$606, MIN($E22, 95), Parameters!$E$523:$E$606, 1, Parameters!$F$523:$F$606, Y$2)</f>
        <v>0.22040346350791662</v>
      </c>
      <c r="Z22" s="306">
        <v>0</v>
      </c>
      <c r="AA22" s="306">
        <v>0</v>
      </c>
      <c r="AB22" s="306">
        <v>0</v>
      </c>
      <c r="AC22" s="307">
        <f>1-SUM(V22:AB22, AD22:AF22)</f>
        <v>0.45504070751674508</v>
      </c>
      <c r="AD22" s="307">
        <v>0</v>
      </c>
      <c r="AE22" s="306">
        <f>SUMIFS(Parameters!$M$523:$M$606, Parameters!$D$523:$D$606, MIN($E22, 95), Parameters!$E$523:$E$606, 1, Parameters!$F$523:$F$606, AE$2)</f>
        <v>3.4548948360889509E-2</v>
      </c>
      <c r="AF22" s="131"/>
      <c r="AG22" s="132">
        <f t="shared" si="4"/>
        <v>1</v>
      </c>
    </row>
    <row r="23" spans="1:33" s="188" customFormat="1" ht="12" customHeight="1" thickBot="1" x14ac:dyDescent="0.3">
      <c r="A23" s="312"/>
      <c r="B23" s="310"/>
      <c r="C23" s="314"/>
      <c r="D23">
        <f t="shared" si="7"/>
        <v>8</v>
      </c>
      <c r="E23">
        <f t="shared" si="8"/>
        <v>75</v>
      </c>
      <c r="F23" s="112" t="str">
        <f t="shared" si="2"/>
        <v>75-84</v>
      </c>
      <c r="G23" s="110" t="str">
        <f t="array" aca="1" ref="G23" ca="1">INDEX(D.rngStates, $D23)</f>
        <v>HF post event w HPE</v>
      </c>
      <c r="H23" s="112"/>
      <c r="I23" s="110"/>
      <c r="J23"/>
      <c r="K23" s="306">
        <f>SUMIFS(Parameters!$M$523:$M$606, Parameters!$D$523:$D$606, MIN($E23, 95), Parameters!$E$523:$E$606, 4, Parameters!$F$523:$F$606, K$2)</f>
        <v>0</v>
      </c>
      <c r="L23" s="306">
        <f>SUMIFS(Parameters!$M$523:$M$606, Parameters!$D$523:$D$606, MIN($E23, 95), Parameters!$E$523:$E$606, 4, Parameters!$F$523:$F$606, L$2)</f>
        <v>0.33640798151276058</v>
      </c>
      <c r="M23" s="306">
        <f>SUMIFS(Parameters!$M$523:$M$606, Parameters!$D$523:$D$606, MIN($E23, 95), Parameters!$E$523:$E$606, 4, Parameters!$F$523:$F$606, M$2)</f>
        <v>0.25566801766918323</v>
      </c>
      <c r="N23" s="306">
        <f>SUMIFS(Parameters!$M$523:$M$606, Parameters!$D$523:$D$606, MIN($E23, 95), Parameters!$E$523:$E$606, 4, Parameters!$F$523:$F$606, N$2)</f>
        <v>0</v>
      </c>
      <c r="O23" s="306">
        <f>SUMIFS(Parameters!$M$523:$M$606, Parameters!$D$523:$D$606, MIN($E23, 95), Parameters!$E$523:$E$606, 4, Parameters!$F$523:$F$606, O$2)</f>
        <v>0</v>
      </c>
      <c r="P23" s="306">
        <f>SUMIFS(Parameters!$M$523:$M$606, Parameters!$D$523:$D$606, MIN($E23, 95), Parameters!$E$523:$E$606, 4, Parameters!$F$523:$F$606, P$2)</f>
        <v>0</v>
      </c>
      <c r="Q23" s="307">
        <v>0</v>
      </c>
      <c r="R23" s="307">
        <f>1-SUM(J23:Q23, S23:T23)</f>
        <v>0.36593593039696659</v>
      </c>
      <c r="S23" s="306">
        <f>SUMIFS(Parameters!$M$523:$M$606, Parameters!$D$523:$D$606, MIN($E23, 95), Parameters!$E$523:$E$606, 4, Parameters!$F$523:$F$606, S$2)</f>
        <v>4.1988070421089652E-2</v>
      </c>
      <c r="T23" s="131"/>
      <c r="U23" s="132">
        <f t="shared" si="3"/>
        <v>1</v>
      </c>
      <c r="V23"/>
      <c r="W23" s="306">
        <f>SUMIFS(Parameters!$M$523:$M$606, Parameters!$D$523:$D$606, MIN($E23, 95), Parameters!$E$523:$E$606, 4, Parameters!$F$523:$F$606, W$2)</f>
        <v>0</v>
      </c>
      <c r="X23" s="306">
        <f>SUMIFS(Parameters!$M$523:$M$606, Parameters!$D$523:$D$606, MIN($E23, 95), Parameters!$E$523:$E$606, 4, Parameters!$F$523:$F$606, X$2+3)</f>
        <v>0</v>
      </c>
      <c r="Y23" s="306">
        <f>SUMIFS(Parameters!$M$523:$M$606, Parameters!$D$523:$D$606, MIN($E23, 95), Parameters!$E$523:$E$606, 4, Parameters!$F$523:$F$606, Y$2+3)</f>
        <v>0</v>
      </c>
      <c r="Z23" s="306">
        <v>0</v>
      </c>
      <c r="AA23" s="306">
        <v>0</v>
      </c>
      <c r="AB23" s="306">
        <v>0</v>
      </c>
      <c r="AC23" s="307">
        <f>1-SUM(V23:AB23, AD23:AE23)</f>
        <v>0.95801192957891035</v>
      </c>
      <c r="AD23" s="307">
        <v>0</v>
      </c>
      <c r="AE23" s="306">
        <f>SUMIFS(Parameters!$M$523:$M$606, Parameters!$D$523:$D$606, MIN($E23, 95), Parameters!$E$523:$E$606, 4, Parameters!$F$523:$F$606, AE$2)</f>
        <v>4.1988070421089652E-2</v>
      </c>
      <c r="AF23" s="131"/>
      <c r="AG23" s="132">
        <f t="shared" si="4"/>
        <v>1</v>
      </c>
    </row>
    <row r="24" spans="1:33" s="8" customFormat="1" ht="12" customHeight="1" thickBot="1" x14ac:dyDescent="0.3">
      <c r="A24" s="312"/>
      <c r="B24" s="310"/>
      <c r="C24" s="314"/>
      <c r="D24" s="188">
        <f t="shared" si="7"/>
        <v>9</v>
      </c>
      <c r="E24" s="188">
        <f>E22</f>
        <v>75</v>
      </c>
      <c r="F24" s="112" t="str">
        <f t="shared" si="2"/>
        <v>75-84</v>
      </c>
      <c r="G24" s="110" t="str">
        <f t="array" aca="1" ref="G24" ca="1">INDEX(D.rngStates, $D24)</f>
        <v>Dead</v>
      </c>
      <c r="H24" s="112"/>
      <c r="I24" s="110"/>
      <c r="J24" s="188"/>
      <c r="K24" s="305">
        <f>IFERROR(vbratetoprob(SUMIFS(Parameters!$M$523:$M$546, Parameters!$D$523:$D$546, $E24, Parameters!$E$523:$E$546, $D24-6, Parameters!$F$523:$F$546, K$2-IF(K$2&lt;10, 6)) * INDEX(rngHPE.FX.IRRs_GlaucomaChronic, MATCH(K$2,#REF!, 0)), D.cycleLength), 0)</f>
        <v>0</v>
      </c>
      <c r="L24" s="305">
        <f>IFERROR(vbratetoprob(SUMIFS(Parameters!$M$523:$M$546, Parameters!$D$523:$D$546, $E24, Parameters!$E$523:$E$546, $D24-6, Parameters!$F$523:$F$546, L$2-IF(L$2&lt;10, 6)) * INDEX(rngHPE.FX.IRRs_GlaucomaChronic, MATCH(L$2,#REF!, 0)), D.cycleLength), 0)</f>
        <v>0</v>
      </c>
      <c r="M24" s="305">
        <f>IFERROR(vbratetoprob(SUMIFS(Parameters!$M$523:$M$546, Parameters!$D$523:$D$546, $E24, Parameters!$E$523:$E$546, $D24-6, Parameters!$F$523:$F$546, M$2-IF(M$2&lt;10, 6)) * INDEX(rngHPE.FX.IRRs_GlaucomaChronic, MATCH(M$2,#REF!, 0)), D.cycleLength), 0)</f>
        <v>0</v>
      </c>
      <c r="N24" s="305">
        <v>0</v>
      </c>
      <c r="O24" s="305">
        <v>0</v>
      </c>
      <c r="P24" s="305">
        <v>0</v>
      </c>
      <c r="Q24" s="304">
        <v>0</v>
      </c>
      <c r="R24" s="304">
        <v>0</v>
      </c>
      <c r="S24" s="280">
        <v>1</v>
      </c>
      <c r="T24" s="191"/>
      <c r="U24" s="132">
        <f t="shared" si="3"/>
        <v>1</v>
      </c>
      <c r="V24"/>
      <c r="W24" s="305">
        <f>IFERROR(vbratetoprob(SUMIFS(Parameters!$M$523:$M$546, Parameters!$D$523:$D$546, $E24, Parameters!$E$523:$E$546, $D24-6, Parameters!$F$523:$F$546, W$2-IF(W$2&lt;10, 6)) * INDEX(rngHPE.FX.IRRs_GlaucomaChronic, MATCH(W$2,#REF!, 0)), D.cycleLength), 0)</f>
        <v>0</v>
      </c>
      <c r="X24" s="305">
        <f>IFERROR(vbratetoprob(SUMIFS(Parameters!$M$523:$M$546, Parameters!$D$523:$D$546, $E24, Parameters!$E$523:$E$546, $D24-6, Parameters!$F$523:$F$546, X$2-IF(X$2&lt;10, 6)) * INDEX(rngHPE.FX.IRRs_GlaucomaChronic, MATCH(X$2,#REF!, 0)), D.cycleLength), 0)</f>
        <v>0</v>
      </c>
      <c r="Y24" s="305">
        <f>IFERROR(vbratetoprob(SUMIFS(Parameters!$M$523:$M$546, Parameters!$D$523:$D$546, $E24, Parameters!$E$523:$E$546, $D24-6, Parameters!$F$523:$F$546, Y$2-IF(Y$2&lt;10, 6)) * INDEX(rngHPE.FX.IRRs_GlaucomaChronic, MATCH(Y$2,#REF!, 0)), D.cycleLength), 0)</f>
        <v>0</v>
      </c>
      <c r="Z24" s="305">
        <v>0</v>
      </c>
      <c r="AA24" s="305">
        <v>0</v>
      </c>
      <c r="AB24" s="305">
        <v>0</v>
      </c>
      <c r="AC24" s="304">
        <v>0</v>
      </c>
      <c r="AD24" s="304">
        <v>0</v>
      </c>
      <c r="AE24" s="280">
        <v>1</v>
      </c>
      <c r="AF24" s="191"/>
      <c r="AG24" s="132">
        <f t="shared" si="4"/>
        <v>1</v>
      </c>
    </row>
    <row r="25" spans="1:33" ht="12" customHeight="1" thickBot="1" x14ac:dyDescent="0.3">
      <c r="A25" s="312"/>
      <c r="C25" s="314"/>
      <c r="D25" s="8">
        <v>1</v>
      </c>
      <c r="E25" s="8">
        <f>E16+10</f>
        <v>85</v>
      </c>
      <c r="F25" s="113" t="str">
        <f t="shared" si="2"/>
        <v>85-94</v>
      </c>
      <c r="G25" s="121" t="str">
        <f t="array" aca="1" ref="G25" ca="1">INDEX(D.rngStates, $D25)</f>
        <v>HF no HPE</v>
      </c>
      <c r="H25" s="113"/>
      <c r="I25" s="121"/>
      <c r="K25" s="307">
        <f>1-SUM(J25:J25, L25:T25)</f>
        <v>0.42875539915669059</v>
      </c>
      <c r="L25" s="306">
        <f>SUMIFS(Parameters!$M$523:$M$606, Parameters!$D$523:$D$606, MIN($E25, 95), Parameters!$E$523:$E$606, $D25, Parameters!$F$523:$F$606, L$2)</f>
        <v>0.29000688061444879</v>
      </c>
      <c r="M25" s="306">
        <f>SUMIFS(Parameters!$M$523:$M$606, Parameters!$D$523:$D$606, MIN($E25, 95), Parameters!$E$523:$E$606, $D25, Parameters!$F$523:$F$606, M$2)</f>
        <v>0.22040346350791662</v>
      </c>
      <c r="N25" s="306">
        <f>SUMIFS(Parameters!$M$523:$M$606, Parameters!$D$523:$D$606, MIN($E25, 95), Parameters!$E$523:$E$606, $D25, Parameters!$F$523:$F$606, N$2)</f>
        <v>0</v>
      </c>
      <c r="O25" s="306">
        <f>SUMIFS(Parameters!$M$523:$M$606, Parameters!$D$523:$D$606, MIN($E25, 95), Parameters!$E$523:$E$606, $D25, Parameters!$F$523:$F$606, O$2)</f>
        <v>0</v>
      </c>
      <c r="P25" s="306">
        <f>SUMIFS(Parameters!$M$523:$M$606, Parameters!$D$523:$D$606, MIN($E25, 95), Parameters!$E$523:$E$606, $D25, Parameters!$F$523:$F$606, P$2)</f>
        <v>0</v>
      </c>
      <c r="Q25" s="306">
        <f>SUMIFS(Parameters!$M$523:$M$606, Parameters!$D$523:$D$606, MIN($E25, 95), Parameters!$E$523:$E$606, $D25, Parameters!$F$523:$F$606, Q$2)</f>
        <v>0</v>
      </c>
      <c r="R25" s="306">
        <f>SUMIFS(Parameters!$M$523:$M$606, Parameters!$D$523:$D$606, MIN($E25, 95), Parameters!$E$523:$E$606, $D25, Parameters!$F$523:$F$606, R$2)</f>
        <v>0</v>
      </c>
      <c r="S25" s="306">
        <f>SUMIFS(Parameters!$M$523:$M$606, Parameters!$D$523:$D$606, MIN($E25, 95), Parameters!$E$523:$E$606, $D25, Parameters!$F$523:$F$606, S$2)</f>
        <v>6.0834256720944002E-2</v>
      </c>
      <c r="T25" s="131"/>
      <c r="U25" s="132">
        <f t="shared" si="3"/>
        <v>1</v>
      </c>
      <c r="W25" s="307">
        <f>1-SUM(V25:V25, X25:AF25)</f>
        <v>0.42875539915669059</v>
      </c>
      <c r="X25" s="306">
        <f>SUMIFS(Parameters!$M$523:$M$606, Parameters!$D$523:$D$606, MIN($E25, 95), Parameters!$E$523:$E$606, $D25, Parameters!$F$523:$F$606, X$2)</f>
        <v>0.29000688061444879</v>
      </c>
      <c r="Y25" s="306">
        <f>SUMIFS(Parameters!$M$523:$M$606, Parameters!$D$523:$D$606, MIN($E25, 95), Parameters!$E$523:$E$606, $D25, Parameters!$F$523:$F$606, Y$2)</f>
        <v>0.22040346350791662</v>
      </c>
      <c r="Z25" s="306">
        <f>SUMIFS(Parameters!$M$523:$M$606, Parameters!$D$523:$D$606, MIN($E25, 95), Parameters!$E$523:$E$606, $D25, Parameters!$F$523:$F$606, Z$2)</f>
        <v>0</v>
      </c>
      <c r="AA25" s="306">
        <f>SUMIFS(Parameters!$M$523:$M$606, Parameters!$D$523:$D$606, MIN($E25, 95), Parameters!$E$523:$E$606, $D25, Parameters!$F$523:$F$606, AA$2)</f>
        <v>0</v>
      </c>
      <c r="AB25" s="306">
        <f>SUMIFS(Parameters!$M$523:$M$606, Parameters!$D$523:$D$606, MIN($E25, 95), Parameters!$E$523:$E$606, $D25, Parameters!$F$523:$F$606, AB$2)</f>
        <v>0</v>
      </c>
      <c r="AC25" s="306">
        <f>SUMIFS(Parameters!$M$523:$M$606, Parameters!$D$523:$D$606, MIN($E25, 95), Parameters!$E$523:$E$606, $D25, Parameters!$F$523:$F$606, AC$2)</f>
        <v>0</v>
      </c>
      <c r="AD25" s="306">
        <f>SUMIFS(Parameters!$M$523:$M$606, Parameters!$D$523:$D$606, MIN($E25, 95), Parameters!$E$523:$E$606, $D25, Parameters!$F$523:$F$606, AD$2)</f>
        <v>0</v>
      </c>
      <c r="AE25" s="306">
        <f>SUMIFS(Parameters!$M$523:$M$606, Parameters!$D$523:$D$606, MIN($E25, 95), Parameters!$E$523:$E$606, $D25, Parameters!$F$523:$F$606, AE$2)</f>
        <v>6.0834256720944002E-2</v>
      </c>
      <c r="AF25" s="131"/>
      <c r="AG25" s="132">
        <f t="shared" si="4"/>
        <v>1</v>
      </c>
    </row>
    <row r="26" spans="1:33" ht="12" customHeight="1" thickBot="1" x14ac:dyDescent="0.3">
      <c r="A26" s="312"/>
      <c r="C26" s="314"/>
      <c r="D26">
        <f t="shared" ref="D26:D33" si="9">D25+1</f>
        <v>2</v>
      </c>
      <c r="E26">
        <f t="shared" ref="E26:E32" si="10">E25</f>
        <v>85</v>
      </c>
      <c r="F26" s="112" t="str">
        <f t="shared" si="2"/>
        <v>85-94</v>
      </c>
      <c r="G26" s="110" t="str">
        <f t="array" aca="1" ref="G26" ca="1">INDEX(D.rngStates, $D26)</f>
        <v>PCE no HPE</v>
      </c>
      <c r="H26" s="112"/>
      <c r="I26" s="110"/>
      <c r="K26" s="306">
        <f>SUMIFS(Parameters!$M$523:$M$606, Parameters!$D$523:$D$606, MIN($E26, 95), Parameters!$E$523:$E$606, $D26, Parameters!$F$523:$F$606, K$2)</f>
        <v>0</v>
      </c>
      <c r="L26" s="306">
        <f>SUMIFS(Parameters!$M$523:$M$606, Parameters!$D$523:$D$606, MIN($E26, 95), Parameters!$E$523:$E$606, $D26, Parameters!$F$523:$F$606, L$2)</f>
        <v>0.29000688061444879</v>
      </c>
      <c r="M26" s="306">
        <f>SUMIFS(Parameters!$M$523:$M$606, Parameters!$D$523:$D$606, MIN($E26, 95), Parameters!$E$523:$E$606, $D26, Parameters!$F$523:$F$606, M$2)</f>
        <v>0.22040346350791662</v>
      </c>
      <c r="N26" s="306">
        <f>SUMIFS(Parameters!$M$523:$M$606, Parameters!$D$523:$D$606, MIN($E26, 95), Parameters!$E$523:$E$606, $D26, Parameters!$F$523:$F$606, N$2)</f>
        <v>0</v>
      </c>
      <c r="O26" s="306">
        <f>SUMIFS(Parameters!$M$523:$M$606, Parameters!$D$523:$D$606, MIN($E26, 95), Parameters!$E$523:$E$606, $D26, Parameters!$F$523:$F$606, O$2)</f>
        <v>0</v>
      </c>
      <c r="P26" s="306">
        <f>SUMIFS(Parameters!$M$523:$M$606, Parameters!$D$523:$D$606, MIN($E26, 95), Parameters!$E$523:$E$606, $D26, Parameters!$F$523:$F$606, P$2)</f>
        <v>0</v>
      </c>
      <c r="Q26" s="307">
        <f>1-SUM(J26:P26, R26:T26)</f>
        <v>0.42875539915669059</v>
      </c>
      <c r="R26" s="306">
        <f>SUMIFS(Parameters!$M$523:$M$606, Parameters!$D$523:$D$606, MIN($E26, 95), Parameters!$E$523:$E$606, $D26, Parameters!$F$523:$F$606, R$2)</f>
        <v>0</v>
      </c>
      <c r="S26" s="306">
        <f>SUMIFS(Parameters!$M$523:$M$606, Parameters!$D$523:$D$606, MIN($E26, 95), Parameters!$E$523:$E$606, $D26, Parameters!$F$523:$F$606, S$2)</f>
        <v>6.0834256720944002E-2</v>
      </c>
      <c r="T26" s="131"/>
      <c r="U26" s="132">
        <f t="shared" si="3"/>
        <v>1</v>
      </c>
      <c r="W26" s="306">
        <f>SUMIFS(Parameters!$M$523:$M$606, Parameters!$D$523:$D$606, MIN($E26, 95), Parameters!$E$523:$E$606, $D26, Parameters!$F$523:$F$606, W$2)</f>
        <v>0</v>
      </c>
      <c r="X26" s="306">
        <f>SUMIFS(Parameters!$M$523:$M$606, Parameters!$D$523:$D$606, MIN($E26, 95), Parameters!$E$523:$E$606, $D26, Parameters!$F$523:$F$606, X$2)</f>
        <v>0.29000688061444879</v>
      </c>
      <c r="Y26" s="306">
        <f>SUMIFS(Parameters!$M$523:$M$606, Parameters!$D$523:$D$606, MIN($E26, 95), Parameters!$E$523:$E$606, $D26, Parameters!$F$523:$F$606, Y$2)</f>
        <v>0.22040346350791662</v>
      </c>
      <c r="Z26" s="306">
        <f>SUMIFS(Parameters!$M$523:$M$606, Parameters!$D$523:$D$606, MIN($E26, 95), Parameters!$E$523:$E$606, $D26, Parameters!$F$523:$F$606, Z$2)</f>
        <v>0</v>
      </c>
      <c r="AA26" s="306">
        <f>SUMIFS(Parameters!$M$523:$M$606, Parameters!$D$523:$D$606, MIN($E26, 95), Parameters!$E$523:$E$606, $D26, Parameters!$F$523:$F$606, AA$2)</f>
        <v>0</v>
      </c>
      <c r="AB26" s="306">
        <f>SUMIFS(Parameters!$M$523:$M$606, Parameters!$D$523:$D$606, MIN($E26, 95), Parameters!$E$523:$E$606, $D26, Parameters!$F$523:$F$606, AB$2)</f>
        <v>0</v>
      </c>
      <c r="AC26" s="307">
        <f>1-SUM(V26:AB26, AD26:AF26)</f>
        <v>0.42875539915669059</v>
      </c>
      <c r="AD26" s="306">
        <f>SUMIFS(Parameters!$M$523:$M$606, Parameters!$D$523:$D$606, MIN($E26, 95), Parameters!$E$523:$E$606, $D26, Parameters!$F$523:$F$606, AD$2)</f>
        <v>0</v>
      </c>
      <c r="AE26" s="306">
        <f>SUMIFS(Parameters!$M$523:$M$606, Parameters!$D$523:$D$606, MIN($E26, 95), Parameters!$E$523:$E$606, $D26, Parameters!$F$523:$F$606, AE$2)</f>
        <v>6.0834256720944002E-2</v>
      </c>
      <c r="AF26" s="131"/>
      <c r="AG26" s="132">
        <f t="shared" si="4"/>
        <v>1</v>
      </c>
    </row>
    <row r="27" spans="1:33" ht="12" customHeight="1" thickBot="1" x14ac:dyDescent="0.3">
      <c r="A27" s="312"/>
      <c r="C27" s="314"/>
      <c r="D27">
        <f t="shared" si="9"/>
        <v>3</v>
      </c>
      <c r="E27">
        <f t="shared" si="10"/>
        <v>85</v>
      </c>
      <c r="F27" s="112" t="str">
        <f t="shared" si="2"/>
        <v>85-94</v>
      </c>
      <c r="G27" s="110" t="str">
        <f t="array" aca="1" ref="G27" ca="1">INDEX(D.rngStates, $D27)</f>
        <v>SCE no HPE</v>
      </c>
      <c r="H27" s="112"/>
      <c r="I27" s="110"/>
      <c r="K27" s="306">
        <f>SUMIFS(Parameters!$M$523:$M$606, Parameters!$D$523:$D$606, MIN($E27, 95), Parameters!$E$523:$E$606, $D27, Parameters!$F$523:$F$606, K$2)</f>
        <v>0</v>
      </c>
      <c r="L27" s="306">
        <f>SUMIFS(Parameters!$M$523:$M$606, Parameters!$D$523:$D$606, MIN($E27, 95), Parameters!$E$523:$E$606, $D27, Parameters!$F$523:$F$606, L$2)</f>
        <v>0.29000688061444879</v>
      </c>
      <c r="M27" s="306">
        <f>SUMIFS(Parameters!$M$523:$M$606, Parameters!$D$523:$D$606, MIN($E27, 95), Parameters!$E$523:$E$606, $D27, Parameters!$F$523:$F$606, M$2)</f>
        <v>0.22040346350791662</v>
      </c>
      <c r="N27" s="306">
        <f>SUMIFS(Parameters!$M$523:$M$606, Parameters!$D$523:$D$606, MIN($E27, 95), Parameters!$E$523:$E$606, $D27, Parameters!$F$523:$F$606, N$2)</f>
        <v>0</v>
      </c>
      <c r="O27" s="306">
        <f>SUMIFS(Parameters!$M$523:$M$606, Parameters!$D$523:$D$606, MIN($E27, 95), Parameters!$E$523:$E$606, $D27, Parameters!$F$523:$F$606, O$2)</f>
        <v>0</v>
      </c>
      <c r="P27" s="306">
        <f>SUMIFS(Parameters!$M$523:$M$606, Parameters!$D$523:$D$606, MIN($E27, 95), Parameters!$E$523:$E$606, $D27, Parameters!$F$523:$F$606, P$2)</f>
        <v>0</v>
      </c>
      <c r="Q27" s="307">
        <f>1-SUM(J27:P27, R27:T27)</f>
        <v>0.23072259589628241</v>
      </c>
      <c r="R27" s="306">
        <f>SUMIFS(Parameters!$M$523:$M$606, Parameters!$D$523:$D$606, MIN($E27, 95), Parameters!$E$523:$E$606, $D27, Parameters!$F$523:$F$606, R$2)</f>
        <v>0</v>
      </c>
      <c r="S27" s="306">
        <f>SUMIFS(Parameters!$M$523:$M$606, Parameters!$D$523:$D$606, MIN($E27, 95), Parameters!$E$523:$E$606, $D27, Parameters!$F$523:$F$606, S$2)</f>
        <v>0.25886705998135218</v>
      </c>
      <c r="T27" s="131"/>
      <c r="U27" s="132">
        <f t="shared" si="3"/>
        <v>1</v>
      </c>
      <c r="W27" s="306">
        <f>SUMIFS(Parameters!$M$523:$M$606, Parameters!$D$523:$D$606, MIN($E27, 95), Parameters!$E$523:$E$606, $D27, Parameters!$F$523:$F$606, W$2)</f>
        <v>0</v>
      </c>
      <c r="X27" s="306">
        <f>SUMIFS(Parameters!$M$523:$M$606, Parameters!$D$523:$D$606, MIN($E27, 95), Parameters!$E$523:$E$606, $D27, Parameters!$F$523:$F$606, X$2)</f>
        <v>0.29000688061444879</v>
      </c>
      <c r="Y27" s="306">
        <f>SUMIFS(Parameters!$M$523:$M$606, Parameters!$D$523:$D$606, MIN($E27, 95), Parameters!$E$523:$E$606, $D27, Parameters!$F$523:$F$606, Y$2)</f>
        <v>0.22040346350791662</v>
      </c>
      <c r="Z27" s="306">
        <f>SUMIFS(Parameters!$M$523:$M$606, Parameters!$D$523:$D$606, MIN($E27, 95), Parameters!$E$523:$E$606, $D27, Parameters!$F$523:$F$606, Z$2)</f>
        <v>0</v>
      </c>
      <c r="AA27" s="306">
        <f>SUMIFS(Parameters!$M$523:$M$606, Parameters!$D$523:$D$606, MIN($E27, 95), Parameters!$E$523:$E$606, $D27, Parameters!$F$523:$F$606, AA$2)</f>
        <v>0</v>
      </c>
      <c r="AB27" s="306">
        <f>SUMIFS(Parameters!$M$523:$M$606, Parameters!$D$523:$D$606, MIN($E27, 95), Parameters!$E$523:$E$606, $D27, Parameters!$F$523:$F$606, AB$2)</f>
        <v>0</v>
      </c>
      <c r="AC27" s="307">
        <f>1-SUM(V27:AB27, AD27:AF27)</f>
        <v>0.23072259589628241</v>
      </c>
      <c r="AD27" s="306">
        <f>SUMIFS(Parameters!$M$523:$M$606, Parameters!$D$523:$D$606, MIN($E27, 95), Parameters!$E$523:$E$606, $D27, Parameters!$F$523:$F$606, AD$2)</f>
        <v>0</v>
      </c>
      <c r="AE27" s="306">
        <f>SUMIFS(Parameters!$M$523:$M$606, Parameters!$D$523:$D$606, MIN($E27, 95), Parameters!$E$523:$E$606, $D27, Parameters!$F$523:$F$606, AE$2)</f>
        <v>0.25886705998135218</v>
      </c>
      <c r="AF27" s="131"/>
      <c r="AG27" s="132">
        <f t="shared" si="4"/>
        <v>1</v>
      </c>
    </row>
    <row r="28" spans="1:33" ht="12" customHeight="1" thickBot="1" x14ac:dyDescent="0.3">
      <c r="A28" s="312"/>
      <c r="C28" s="314"/>
      <c r="D28">
        <f t="shared" si="9"/>
        <v>4</v>
      </c>
      <c r="E28">
        <f t="shared" si="10"/>
        <v>85</v>
      </c>
      <c r="F28" s="112" t="str">
        <f t="shared" si="2"/>
        <v>85-94</v>
      </c>
      <c r="G28" s="110" t="str">
        <f t="array" aca="1" ref="G28" ca="1">INDEX(D.rngStates, $D28)</f>
        <v>HF w HPE</v>
      </c>
      <c r="H28" s="112"/>
      <c r="I28" s="110"/>
      <c r="K28" s="306">
        <f>SUMIFS(Parameters!$M$523:$M$606, Parameters!$D$523:$D$606, MIN($E28, 95), Parameters!$E$523:$E$606, $D28, Parameters!$F$523:$F$606, K$2)</f>
        <v>0</v>
      </c>
      <c r="L28" s="306">
        <f>SUMIFS(Parameters!$M$523:$M$606, Parameters!$D$523:$D$606, MIN($E28, 95), Parameters!$E$523:$E$606, $D28, Parameters!$F$523:$F$606, L$2)</f>
        <v>0.33640798151276058</v>
      </c>
      <c r="M28" s="306">
        <f>SUMIFS(Parameters!$M$523:$M$606, Parameters!$D$523:$D$606, MIN($E28, 95), Parameters!$E$523:$E$606, $D28, Parameters!$F$523:$F$606, M$2)</f>
        <v>0.25566801766918323</v>
      </c>
      <c r="N28" s="307">
        <f>1-SUM(J28:M28, O28:T28)</f>
        <v>0.33421093146625214</v>
      </c>
      <c r="O28" s="306">
        <f>SUMIFS(Parameters!$M$523:$M$606, Parameters!$D$523:$D$606, MIN($E28, 95), Parameters!$E$523:$E$606, $D28, Parameters!$F$523:$F$606, O$2)</f>
        <v>0</v>
      </c>
      <c r="P28" s="306">
        <f>SUMIFS(Parameters!$M$523:$M$606, Parameters!$D$523:$D$606, MIN($E28, 95), Parameters!$E$523:$E$606, $D28, Parameters!$F$523:$F$606, P$2)</f>
        <v>0</v>
      </c>
      <c r="Q28" s="306">
        <f>SUMIFS(Parameters!$M$523:$M$606, Parameters!$D$523:$D$606, MIN($E28, 95), Parameters!$E$523:$E$606, $D28, Parameters!$F$523:$F$606, Q$2)</f>
        <v>0</v>
      </c>
      <c r="R28" s="306">
        <f>SUMIFS(Parameters!$M$523:$M$606, Parameters!$D$523:$D$606, MIN($E28, 95), Parameters!$E$523:$E$606, $D28, Parameters!$F$523:$F$606, R$2)</f>
        <v>0</v>
      </c>
      <c r="S28" s="306">
        <f>SUMIFS(Parameters!$M$523:$M$606, Parameters!$D$523:$D$606, MIN($E28, 95), Parameters!$E$523:$E$606, $D28, Parameters!$F$523:$F$606, S$2)</f>
        <v>7.3713069351804106E-2</v>
      </c>
      <c r="T28" s="131"/>
      <c r="U28" s="132">
        <f t="shared" si="3"/>
        <v>1</v>
      </c>
      <c r="W28" s="307">
        <f>1-SUM(V28:V28, X28:AF28)</f>
        <v>0.33421093146625214</v>
      </c>
      <c r="X28" s="306">
        <f>SUMIFS(Parameters!$M$523:$M$606, Parameters!$D$523:$D$606, MIN($E28, 95), Parameters!$E$523:$E$606, $D28, Parameters!$F$523:$F$606, X$2 + IF(D.swtchCorrectHPEafterExac=2, 3))</f>
        <v>0.33640798151276058</v>
      </c>
      <c r="Y28" s="306">
        <f>SUMIFS(Parameters!$M$523:$M$606, Parameters!$D$523:$D$606, MIN($E28, 95), Parameters!$E$523:$E$606, $D28, Parameters!$F$523:$F$606, Y$2 + IF(D.swtchCorrectHPEafterExac=2, 3))</f>
        <v>0.25566801766918323</v>
      </c>
      <c r="Z28" s="307">
        <v>0</v>
      </c>
      <c r="AA28" s="306">
        <v>0</v>
      </c>
      <c r="AB28" s="306">
        <v>0</v>
      </c>
      <c r="AC28" s="306">
        <f>SUMIFS(Parameters!$M$523:$M$606, Parameters!$D$523:$D$606, MIN($E28, 95), Parameters!$E$523:$E$606, $D28, Parameters!$F$523:$F$606, AC$2)</f>
        <v>0</v>
      </c>
      <c r="AD28" s="306">
        <f>SUMIFS(Parameters!$M$523:$M$606, Parameters!$D$523:$D$606, MIN($E28, 95), Parameters!$E$523:$E$606, $D28, Parameters!$F$523:$F$606, AD$2)</f>
        <v>0</v>
      </c>
      <c r="AE28" s="306">
        <f>SUMIFS(Parameters!$M$523:$M$606, Parameters!$D$523:$D$606, MIN($E28, 95), Parameters!$E$523:$E$606, $D28, Parameters!$F$523:$F$606, AE$2)</f>
        <v>7.3713069351804106E-2</v>
      </c>
      <c r="AF28" s="131"/>
      <c r="AG28" s="132">
        <f t="shared" si="4"/>
        <v>1</v>
      </c>
    </row>
    <row r="29" spans="1:33" ht="12" customHeight="1" thickBot="1" x14ac:dyDescent="0.3">
      <c r="A29" s="312"/>
      <c r="C29" s="314"/>
      <c r="D29">
        <f t="shared" si="9"/>
        <v>5</v>
      </c>
      <c r="E29">
        <f t="shared" si="10"/>
        <v>85</v>
      </c>
      <c r="F29" s="112" t="str">
        <f t="shared" si="2"/>
        <v>85-94</v>
      </c>
      <c r="G29" s="110" t="str">
        <f t="array" aca="1" ref="G29" ca="1">INDEX(D.rngStates, $D29)</f>
        <v>PCE w HPE</v>
      </c>
      <c r="H29" s="112"/>
      <c r="I29" s="110"/>
      <c r="K29" s="306">
        <f>SUMIFS(Parameters!$M$523:$M$606, Parameters!$D$523:$D$606, MIN($E29, 95), Parameters!$E$523:$E$606, $D29, Parameters!$F$523:$F$606, K$2)</f>
        <v>0</v>
      </c>
      <c r="L29" s="306">
        <f>SUMIFS(Parameters!$M$523:$M$606, Parameters!$D$523:$D$606, MIN($E29, 95), Parameters!$E$523:$E$606, $D29, Parameters!$F$523:$F$606, L$2)</f>
        <v>0</v>
      </c>
      <c r="M29" s="306">
        <f>SUMIFS(Parameters!$M$523:$M$606, Parameters!$D$523:$D$606, MIN($E29, 95), Parameters!$E$523:$E$606, $D29, Parameters!$F$523:$F$606, M$2)</f>
        <v>0</v>
      </c>
      <c r="N29" s="306">
        <f>SUMIFS(Parameters!$M$523:$M$606, Parameters!$D$523:$D$606, MIN($E29, 95), Parameters!$E$523:$E$606, $D29, Parameters!$F$523:$F$606, N$2)</f>
        <v>0</v>
      </c>
      <c r="O29" s="306">
        <f>SUMIFS(Parameters!$M$523:$M$606, Parameters!$D$523:$D$606, MIN($E29, 95), Parameters!$E$523:$E$606, $D29, Parameters!$F$523:$F$606, O$2)</f>
        <v>0</v>
      </c>
      <c r="P29" s="306">
        <f>SUMIFS(Parameters!$M$523:$M$606, Parameters!$D$523:$D$606, MIN($E29, 95), Parameters!$E$523:$E$606, $D29, Parameters!$F$523:$F$606, P$2)</f>
        <v>0</v>
      </c>
      <c r="Q29" s="307">
        <v>0</v>
      </c>
      <c r="R29" s="307">
        <f>1-SUM(J29:Q29, S29:T29)</f>
        <v>0.92628693064819589</v>
      </c>
      <c r="S29" s="306">
        <f>SUMIFS(Parameters!$M$523:$M$606, Parameters!$D$523:$D$606, MIN($E29, 95), Parameters!$E$523:$E$606, $D29, Parameters!$F$523:$F$606, S$2)</f>
        <v>7.3713069351804106E-2</v>
      </c>
      <c r="T29" s="131"/>
      <c r="U29" s="132">
        <f t="shared" si="3"/>
        <v>1</v>
      </c>
      <c r="W29" s="306">
        <f>SUMIFS(Parameters!$M$523:$M$606, Parameters!$D$523:$D$606, MIN($E29, 95), Parameters!$E$523:$E$606, $D29, Parameters!$F$523:$F$606, W$2)</f>
        <v>0</v>
      </c>
      <c r="X29" s="306">
        <f>SUMIFS(Parameters!$M$523:$M$606, Parameters!$D$523:$D$606, MIN($E29, 95), Parameters!$E$523:$E$606, $D29, Parameters!$F$523:$F$606, X$2+3)</f>
        <v>0</v>
      </c>
      <c r="Y29" s="306">
        <f>SUMIFS(Parameters!$M$523:$M$606, Parameters!$D$523:$D$606, MIN($E29, 95), Parameters!$E$523:$E$606, $D29, Parameters!$F$523:$F$606, Y$2+3)</f>
        <v>0</v>
      </c>
      <c r="Z29" s="306">
        <v>0</v>
      </c>
      <c r="AA29" s="306">
        <v>0</v>
      </c>
      <c r="AB29" s="306">
        <v>0</v>
      </c>
      <c r="AC29" s="307">
        <f>1-SUM(V29:AB29, AD29:AF29)</f>
        <v>0.92628693064819589</v>
      </c>
      <c r="AD29" s="306">
        <f>SUMIFS(Parameters!$M$523:$M$606, Parameters!$D$523:$D$606, MIN($E29, 95), Parameters!$E$523:$E$606, $D29, Parameters!$F$523:$F$606, AD$2)</f>
        <v>0</v>
      </c>
      <c r="AE29" s="306">
        <f>SUMIFS(Parameters!$M$523:$M$606, Parameters!$D$523:$D$606, MIN($E29, 95), Parameters!$E$523:$E$606, $D29, Parameters!$F$523:$F$606, AE$2)</f>
        <v>7.3713069351804106E-2</v>
      </c>
      <c r="AF29" s="131"/>
      <c r="AG29" s="132">
        <f t="shared" si="4"/>
        <v>1</v>
      </c>
    </row>
    <row r="30" spans="1:33" ht="12" customHeight="1" thickBot="1" x14ac:dyDescent="0.3">
      <c r="A30" s="312"/>
      <c r="C30" s="314"/>
      <c r="D30">
        <f t="shared" si="9"/>
        <v>6</v>
      </c>
      <c r="E30">
        <f t="shared" si="10"/>
        <v>85</v>
      </c>
      <c r="F30" s="112" t="str">
        <f t="shared" si="2"/>
        <v>85-94</v>
      </c>
      <c r="G30" s="110" t="str">
        <f t="array" aca="1" ref="G30" ca="1">INDEX(D.rngStates, $D30)</f>
        <v>SCE w HPE</v>
      </c>
      <c r="H30" s="112"/>
      <c r="I30" s="110"/>
      <c r="K30" s="306">
        <f>SUMIFS(Parameters!$M$523:$M$606, Parameters!$D$523:$D$606, MIN($E30, 95), Parameters!$E$523:$E$606, $D30, Parameters!$F$523:$F$606, K$2)</f>
        <v>0</v>
      </c>
      <c r="L30" s="306">
        <f>SUMIFS(Parameters!$M$523:$M$606, Parameters!$D$523:$D$606, MIN($E30, 95), Parameters!$E$523:$E$606, $D30, Parameters!$F$523:$F$606, L$2)</f>
        <v>0</v>
      </c>
      <c r="M30" s="306">
        <f>SUMIFS(Parameters!$M$523:$M$606, Parameters!$D$523:$D$606, MIN($E30, 95), Parameters!$E$523:$E$606, $D30, Parameters!$F$523:$F$606, M$2)</f>
        <v>0</v>
      </c>
      <c r="N30" s="306">
        <f>SUMIFS(Parameters!$M$523:$M$606, Parameters!$D$523:$D$606, MIN($E30, 95), Parameters!$E$523:$E$606, $D30, Parameters!$F$523:$F$606, N$2)</f>
        <v>0</v>
      </c>
      <c r="O30" s="306">
        <f>SUMIFS(Parameters!$M$523:$M$606, Parameters!$D$523:$D$606, MIN($E30, 95), Parameters!$E$523:$E$606, $D30, Parameters!$F$523:$F$606, O$2)</f>
        <v>0</v>
      </c>
      <c r="P30" s="306">
        <f>SUMIFS(Parameters!$M$523:$M$606, Parameters!$D$523:$D$606, MIN($E30, 95), Parameters!$E$523:$E$606, $D30, Parameters!$F$523:$F$606, P$2)</f>
        <v>0</v>
      </c>
      <c r="Q30" s="307">
        <v>0</v>
      </c>
      <c r="R30" s="307">
        <f>1-SUM(J30:Q30, S30:T30)</f>
        <v>0.74113294001864782</v>
      </c>
      <c r="S30" s="306">
        <f>SUMIFS(Parameters!$M$523:$M$606, Parameters!$D$523:$D$606, MIN($E30, 95), Parameters!$E$523:$E$606, $D30, Parameters!$F$523:$F$606, S$2)</f>
        <v>0.25886705998135218</v>
      </c>
      <c r="T30" s="131"/>
      <c r="U30" s="132">
        <f t="shared" si="3"/>
        <v>1</v>
      </c>
      <c r="W30" s="306">
        <f>SUMIFS(Parameters!$M$523:$M$606, Parameters!$D$523:$D$606, MIN($E30, 95), Parameters!$E$523:$E$606, $D30, Parameters!$F$523:$F$606, W$2)</f>
        <v>0</v>
      </c>
      <c r="X30" s="306">
        <f>SUMIFS(Parameters!$M$523:$M$606, Parameters!$D$523:$D$606, MIN($E30, 95), Parameters!$E$523:$E$606, $D30, Parameters!$F$523:$F$606, X$2+3)</f>
        <v>0</v>
      </c>
      <c r="Y30" s="306">
        <f>SUMIFS(Parameters!$M$523:$M$606, Parameters!$D$523:$D$606, MIN($E30, 95), Parameters!$E$523:$E$606, $D30, Parameters!$F$523:$F$606, Y$2+3)</f>
        <v>0</v>
      </c>
      <c r="Z30" s="306">
        <v>0</v>
      </c>
      <c r="AA30" s="306">
        <v>0</v>
      </c>
      <c r="AB30" s="306">
        <v>0</v>
      </c>
      <c r="AC30" s="307">
        <f>1-SUM(V30:AB30, AD30:AF30)</f>
        <v>0.74113294001864782</v>
      </c>
      <c r="AD30" s="306">
        <f>SUMIFS(Parameters!$M$523:$M$606, Parameters!$D$523:$D$606, MIN($E30, 95), Parameters!$E$523:$E$606, $D30, Parameters!$F$523:$F$606, AD$2)</f>
        <v>0</v>
      </c>
      <c r="AE30" s="306">
        <f>SUMIFS(Parameters!$M$523:$M$606, Parameters!$D$523:$D$606, MIN($E30, 95), Parameters!$E$523:$E$606, $D30, Parameters!$F$523:$F$606, AE$2)</f>
        <v>0.25886705998135218</v>
      </c>
      <c r="AF30" s="131"/>
      <c r="AG30" s="132">
        <f t="shared" si="4"/>
        <v>1</v>
      </c>
    </row>
    <row r="31" spans="1:33" s="188" customFormat="1" ht="12" customHeight="1" thickBot="1" x14ac:dyDescent="0.3">
      <c r="A31" s="312"/>
      <c r="B31" s="310"/>
      <c r="C31" s="314"/>
      <c r="D31">
        <f t="shared" si="9"/>
        <v>7</v>
      </c>
      <c r="E31">
        <f t="shared" si="10"/>
        <v>85</v>
      </c>
      <c r="F31" s="112" t="str">
        <f t="shared" si="2"/>
        <v>85-94</v>
      </c>
      <c r="G31" s="110" t="str">
        <f t="array" aca="1" ref="G31" ca="1">INDEX(D.rngStates, $D31)</f>
        <v>HF post event no HPE</v>
      </c>
      <c r="H31" s="112"/>
      <c r="I31" s="110"/>
      <c r="J31"/>
      <c r="K31" s="306">
        <f>SUMIFS(Parameters!$M$523:$M$606, Parameters!$D$523:$D$606, MIN($E31, 95), Parameters!$E$523:$E$606, 1, Parameters!$F$523:$F$606, K$2)</f>
        <v>0</v>
      </c>
      <c r="L31" s="306">
        <f>SUMIFS(Parameters!$M$523:$M$606, Parameters!$D$523:$D$606, MIN($E31, 95), Parameters!$E$523:$E$606, 1, Parameters!$F$523:$F$606, L$2)</f>
        <v>0.29000688061444879</v>
      </c>
      <c r="M31" s="306">
        <f>SUMIFS(Parameters!$M$523:$M$606, Parameters!$D$523:$D$606, MIN($E31, 95), Parameters!$E$523:$E$606, 1, Parameters!$F$523:$F$606, M$2)</f>
        <v>0.22040346350791662</v>
      </c>
      <c r="N31" s="306">
        <f>SUMIFS(Parameters!$M$523:$M$606, Parameters!$D$523:$D$606, MIN($E31, 95), Parameters!$E$523:$E$606, 1, Parameters!$F$523:$F$606, N$2)</f>
        <v>0</v>
      </c>
      <c r="O31" s="306">
        <f>SUMIFS(Parameters!$M$523:$M$606, Parameters!$D$523:$D$606, MIN($E31, 95), Parameters!$E$523:$E$606, 1, Parameters!$F$523:$F$606, O$2)</f>
        <v>0</v>
      </c>
      <c r="P31" s="306">
        <f>SUMIFS(Parameters!$M$523:$M$606, Parameters!$D$523:$D$606, MIN($E31, 95), Parameters!$E$523:$E$606, 1, Parameters!$F$523:$F$606, P$2)</f>
        <v>0</v>
      </c>
      <c r="Q31" s="307">
        <f>1-SUM(J31:P31, R31:T31)</f>
        <v>0.42875539915669059</v>
      </c>
      <c r="R31" s="307">
        <v>0</v>
      </c>
      <c r="S31" s="306">
        <f>SUMIFS(Parameters!$M$523:$M$606, Parameters!$D$523:$D$606, MIN($E31, 95), Parameters!$E$523:$E$606, 1, Parameters!$F$523:$F$606, S$2)</f>
        <v>6.0834256720944002E-2</v>
      </c>
      <c r="T31" s="131"/>
      <c r="U31" s="132">
        <f t="shared" si="3"/>
        <v>1</v>
      </c>
      <c r="V31"/>
      <c r="W31" s="306">
        <f>SUMIFS(Parameters!$M$523:$M$606, Parameters!$D$523:$D$606, MIN($E31, 95), Parameters!$E$523:$E$606, 1, Parameters!$F$523:$F$606, W$2)</f>
        <v>0</v>
      </c>
      <c r="X31" s="306">
        <f>SUMIFS(Parameters!$M$523:$M$606, Parameters!$D$523:$D$606, MIN($E31, 95), Parameters!$E$523:$E$606, 1, Parameters!$F$523:$F$606, X$2)</f>
        <v>0.29000688061444879</v>
      </c>
      <c r="Y31" s="306">
        <f>SUMIFS(Parameters!$M$523:$M$606, Parameters!$D$523:$D$606, MIN($E31, 95), Parameters!$E$523:$E$606, 1, Parameters!$F$523:$F$606, Y$2)</f>
        <v>0.22040346350791662</v>
      </c>
      <c r="Z31" s="306">
        <v>0</v>
      </c>
      <c r="AA31" s="306">
        <v>0</v>
      </c>
      <c r="AB31" s="306">
        <v>0</v>
      </c>
      <c r="AC31" s="307">
        <f>1-SUM(V31:AB31, AD31:AF31)</f>
        <v>0.42875539915669059</v>
      </c>
      <c r="AD31" s="307">
        <v>0</v>
      </c>
      <c r="AE31" s="306">
        <f>SUMIFS(Parameters!$M$523:$M$606, Parameters!$D$523:$D$606, MIN($E31, 95), Parameters!$E$523:$E$606, 1, Parameters!$F$523:$F$606, AE$2)</f>
        <v>6.0834256720944002E-2</v>
      </c>
      <c r="AF31" s="131"/>
      <c r="AG31" s="132">
        <f t="shared" si="4"/>
        <v>1</v>
      </c>
    </row>
    <row r="32" spans="1:33" s="8" customFormat="1" ht="12" customHeight="1" thickBot="1" x14ac:dyDescent="0.3">
      <c r="A32" s="312"/>
      <c r="B32" s="310"/>
      <c r="C32" s="314"/>
      <c r="D32">
        <f t="shared" si="9"/>
        <v>8</v>
      </c>
      <c r="E32">
        <f t="shared" si="10"/>
        <v>85</v>
      </c>
      <c r="F32" s="112" t="str">
        <f t="shared" si="2"/>
        <v>85-94</v>
      </c>
      <c r="G32" s="110" t="str">
        <f t="array" aca="1" ref="G32" ca="1">INDEX(D.rngStates, $D32)</f>
        <v>HF post event w HPE</v>
      </c>
      <c r="H32" s="112"/>
      <c r="I32" s="110"/>
      <c r="J32"/>
      <c r="K32" s="306">
        <f>SUMIFS(Parameters!$M$523:$M$606, Parameters!$D$523:$D$606, MIN($E32, 95), Parameters!$E$523:$E$606, 4, Parameters!$F$523:$F$606, K$2)</f>
        <v>0</v>
      </c>
      <c r="L32" s="306">
        <f>SUMIFS(Parameters!$M$523:$M$606, Parameters!$D$523:$D$606, MIN($E32, 95), Parameters!$E$523:$E$606, 4, Parameters!$F$523:$F$606, L$2)</f>
        <v>0.33640798151276058</v>
      </c>
      <c r="M32" s="306">
        <f>SUMIFS(Parameters!$M$523:$M$606, Parameters!$D$523:$D$606, MIN($E32, 95), Parameters!$E$523:$E$606, 4, Parameters!$F$523:$F$606, M$2)</f>
        <v>0.25566801766918323</v>
      </c>
      <c r="N32" s="306">
        <f>SUMIFS(Parameters!$M$523:$M$606, Parameters!$D$523:$D$606, MIN($E32, 95), Parameters!$E$523:$E$606, 4, Parameters!$F$523:$F$606, N$2)</f>
        <v>0</v>
      </c>
      <c r="O32" s="306">
        <f>SUMIFS(Parameters!$M$523:$M$606, Parameters!$D$523:$D$606, MIN($E32, 95), Parameters!$E$523:$E$606, 4, Parameters!$F$523:$F$606, O$2)</f>
        <v>0</v>
      </c>
      <c r="P32" s="306">
        <f>SUMIFS(Parameters!$M$523:$M$606, Parameters!$D$523:$D$606, MIN($E32, 95), Parameters!$E$523:$E$606, 4, Parameters!$F$523:$F$606, P$2)</f>
        <v>0</v>
      </c>
      <c r="Q32" s="307">
        <v>0</v>
      </c>
      <c r="R32" s="307">
        <f>1-SUM(J32:Q32, S32:T32)</f>
        <v>0.33421093146625214</v>
      </c>
      <c r="S32" s="306">
        <f>SUMIFS(Parameters!$M$523:$M$606, Parameters!$D$523:$D$606, MIN($E32, 95), Parameters!$E$523:$E$606, 4, Parameters!$F$523:$F$606, S$2)</f>
        <v>7.3713069351804106E-2</v>
      </c>
      <c r="T32" s="131"/>
      <c r="U32" s="132">
        <f t="shared" si="3"/>
        <v>1</v>
      </c>
      <c r="V32"/>
      <c r="W32" s="306">
        <f>SUMIFS(Parameters!$M$523:$M$606, Parameters!$D$523:$D$606, MIN($E32, 95), Parameters!$E$523:$E$606, 4, Parameters!$F$523:$F$606, W$2)</f>
        <v>0</v>
      </c>
      <c r="X32" s="306">
        <f>SUMIFS(Parameters!$M$523:$M$606, Parameters!$D$523:$D$606, MIN($E32, 95), Parameters!$E$523:$E$606, 4, Parameters!$F$523:$F$606, X$2+3)</f>
        <v>0</v>
      </c>
      <c r="Y32" s="306">
        <f>SUMIFS(Parameters!$M$523:$M$606, Parameters!$D$523:$D$606, MIN($E32, 95), Parameters!$E$523:$E$606, 4, Parameters!$F$523:$F$606, Y$2+3)</f>
        <v>0</v>
      </c>
      <c r="Z32" s="306">
        <v>0</v>
      </c>
      <c r="AA32" s="306">
        <v>0</v>
      </c>
      <c r="AB32" s="306">
        <v>0</v>
      </c>
      <c r="AC32" s="307">
        <f>1-SUM(V32:AB32, AD32:AE32)</f>
        <v>0.92628693064819589</v>
      </c>
      <c r="AD32" s="307">
        <v>0</v>
      </c>
      <c r="AE32" s="306">
        <f>SUMIFS(Parameters!$M$523:$M$606, Parameters!$D$523:$D$606, MIN($E32, 95), Parameters!$E$523:$E$606, 4, Parameters!$F$523:$F$606, AE$2)</f>
        <v>7.3713069351804106E-2</v>
      </c>
      <c r="AF32" s="131"/>
      <c r="AG32" s="132">
        <f t="shared" si="4"/>
        <v>1</v>
      </c>
    </row>
    <row r="33" spans="1:33" ht="12" customHeight="1" thickBot="1" x14ac:dyDescent="0.3">
      <c r="A33" s="312"/>
      <c r="C33" s="314"/>
      <c r="D33" s="188">
        <f t="shared" si="9"/>
        <v>9</v>
      </c>
      <c r="E33" s="188">
        <f>E31</f>
        <v>85</v>
      </c>
      <c r="F33" s="112" t="str">
        <f t="shared" si="2"/>
        <v>85-94</v>
      </c>
      <c r="G33" s="110" t="str">
        <f t="array" aca="1" ref="G33" ca="1">INDEX(D.rngStates, $D33)</f>
        <v>Dead</v>
      </c>
      <c r="H33" s="112"/>
      <c r="I33" s="110"/>
      <c r="J33" s="188"/>
      <c r="K33" s="305">
        <f>IFERROR(vbratetoprob(SUMIFS(Parameters!$M$523:$M$546, Parameters!$D$523:$D$546, $E33, Parameters!$E$523:$E$546, $D33-6, Parameters!$F$523:$F$546, K$2-IF(K$2&lt;10, 6)) * INDEX(rngHPE.FX.IRRs_GlaucomaChronic, MATCH(K$2,#REF!, 0)), D.cycleLength), 0)</f>
        <v>0</v>
      </c>
      <c r="L33" s="305">
        <f>IFERROR(vbratetoprob(SUMIFS(Parameters!$M$523:$M$546, Parameters!$D$523:$D$546, $E33, Parameters!$E$523:$E$546, $D33-6, Parameters!$F$523:$F$546, L$2-IF(L$2&lt;10, 6)) * INDEX(rngHPE.FX.IRRs_GlaucomaChronic, MATCH(L$2,#REF!, 0)), D.cycleLength), 0)</f>
        <v>0</v>
      </c>
      <c r="M33" s="305">
        <f>IFERROR(vbratetoprob(SUMIFS(Parameters!$M$523:$M$546, Parameters!$D$523:$D$546, $E33, Parameters!$E$523:$E$546, $D33-6, Parameters!$F$523:$F$546, M$2-IF(M$2&lt;10, 6)) * INDEX(rngHPE.FX.IRRs_GlaucomaChronic, MATCH(M$2,#REF!, 0)), D.cycleLength), 0)</f>
        <v>0</v>
      </c>
      <c r="N33" s="305">
        <v>0</v>
      </c>
      <c r="O33" s="305">
        <v>0</v>
      </c>
      <c r="P33" s="305">
        <v>0</v>
      </c>
      <c r="Q33" s="304">
        <v>0</v>
      </c>
      <c r="R33" s="304">
        <v>0</v>
      </c>
      <c r="S33" s="280">
        <v>1</v>
      </c>
      <c r="T33" s="191"/>
      <c r="U33" s="132">
        <f t="shared" si="3"/>
        <v>1</v>
      </c>
      <c r="W33" s="305">
        <f>IFERROR(vbratetoprob(SUMIFS(Parameters!$M$523:$M$546, Parameters!$D$523:$D$546, $E33, Parameters!$E$523:$E$546, $D33-6, Parameters!$F$523:$F$546, W$2-IF(W$2&lt;10, 6)) * INDEX(rngHPE.FX.IRRs_GlaucomaChronic, MATCH(W$2,#REF!, 0)), D.cycleLength), 0)</f>
        <v>0</v>
      </c>
      <c r="X33" s="305">
        <f>IFERROR(vbratetoprob(SUMIFS(Parameters!$M$523:$M$546, Parameters!$D$523:$D$546, $E33, Parameters!$E$523:$E$546, $D33-6, Parameters!$F$523:$F$546, X$2-IF(X$2&lt;10, 6)) * INDEX(rngHPE.FX.IRRs_GlaucomaChronic, MATCH(X$2,#REF!, 0)), D.cycleLength), 0)</f>
        <v>0</v>
      </c>
      <c r="Y33" s="305">
        <f>IFERROR(vbratetoprob(SUMIFS(Parameters!$M$523:$M$546, Parameters!$D$523:$D$546, $E33, Parameters!$E$523:$E$546, $D33-6, Parameters!$F$523:$F$546, Y$2-IF(Y$2&lt;10, 6)) * INDEX(rngHPE.FX.IRRs_GlaucomaChronic, MATCH(Y$2,#REF!, 0)), D.cycleLength), 0)</f>
        <v>0</v>
      </c>
      <c r="Z33" s="305">
        <v>0</v>
      </c>
      <c r="AA33" s="305">
        <v>0</v>
      </c>
      <c r="AB33" s="305">
        <v>0</v>
      </c>
      <c r="AC33" s="304">
        <v>0</v>
      </c>
      <c r="AD33" s="304">
        <v>0</v>
      </c>
      <c r="AE33" s="280">
        <v>1</v>
      </c>
      <c r="AF33" s="191"/>
      <c r="AG33" s="132">
        <f t="shared" si="4"/>
        <v>1</v>
      </c>
    </row>
    <row r="34" spans="1:33" ht="12" customHeight="1" x14ac:dyDescent="0.25">
      <c r="A34" s="312"/>
      <c r="C34" s="314"/>
    </row>
    <row r="35" spans="1:33" ht="12" customHeight="1" x14ac:dyDescent="0.25">
      <c r="A35" s="312"/>
      <c r="C35" s="314"/>
    </row>
    <row r="36" spans="1:33" ht="12" customHeight="1" x14ac:dyDescent="0.25">
      <c r="A36" s="312"/>
      <c r="C36" s="314"/>
    </row>
    <row r="37" spans="1:33" ht="12" customHeight="1" x14ac:dyDescent="0.25">
      <c r="A37" s="312"/>
      <c r="C37" s="314"/>
    </row>
    <row r="38" spans="1:33" ht="12" customHeight="1" x14ac:dyDescent="0.25">
      <c r="A38" s="312"/>
      <c r="C38" s="314"/>
    </row>
    <row r="39" spans="1:33" ht="12" customHeight="1" x14ac:dyDescent="0.25">
      <c r="A39" s="312"/>
      <c r="C39" s="314"/>
    </row>
    <row r="40" spans="1:33" ht="12" customHeight="1" x14ac:dyDescent="0.25">
      <c r="A40" s="312"/>
      <c r="C40" s="314"/>
    </row>
    <row r="41" spans="1:33" ht="12" customHeight="1" x14ac:dyDescent="0.25">
      <c r="A41" s="312"/>
      <c r="C41" s="314"/>
    </row>
    <row r="42" spans="1:33" ht="12" customHeight="1" x14ac:dyDescent="0.25">
      <c r="A42" s="312"/>
      <c r="C42" s="314"/>
    </row>
    <row r="43" spans="1:33" ht="12" customHeight="1" x14ac:dyDescent="0.25">
      <c r="A43" s="312"/>
      <c r="C43" s="314"/>
    </row>
    <row r="44" spans="1:33" ht="12" customHeight="1" x14ac:dyDescent="0.25">
      <c r="A44" s="312"/>
      <c r="C44" s="314"/>
    </row>
    <row r="45" spans="1:33" ht="12" customHeight="1" x14ac:dyDescent="0.25">
      <c r="A45" s="312"/>
      <c r="C45" s="314"/>
    </row>
    <row r="46" spans="1:33" ht="12" customHeight="1" x14ac:dyDescent="0.25">
      <c r="A46" s="312"/>
      <c r="C46" s="314"/>
    </row>
    <row r="47" spans="1:33" ht="12" customHeight="1" x14ac:dyDescent="0.25">
      <c r="A47" s="312"/>
      <c r="C47" s="314"/>
    </row>
    <row r="48" spans="1:33" ht="12" customHeight="1" x14ac:dyDescent="0.25">
      <c r="A48" s="312"/>
      <c r="C48" s="314"/>
    </row>
    <row r="49" spans="1:3" ht="12" customHeight="1" x14ac:dyDescent="0.25">
      <c r="A49" s="312"/>
      <c r="C49" s="314"/>
    </row>
    <row r="50" spans="1:3" ht="12" customHeight="1" x14ac:dyDescent="0.25">
      <c r="A50" s="312"/>
      <c r="C50" s="314"/>
    </row>
    <row r="51" spans="1:3" ht="12" customHeight="1" x14ac:dyDescent="0.25">
      <c r="A51" s="312"/>
      <c r="C51" s="314"/>
    </row>
    <row r="52" spans="1:3" ht="12" customHeight="1" x14ac:dyDescent="0.25">
      <c r="A52" s="312"/>
      <c r="C52" s="314"/>
    </row>
    <row r="53" spans="1:3" ht="12" customHeight="1" x14ac:dyDescent="0.25">
      <c r="A53" s="312"/>
      <c r="C53" s="314"/>
    </row>
    <row r="54" spans="1:3" ht="12" customHeight="1" x14ac:dyDescent="0.25">
      <c r="A54" s="312"/>
      <c r="C54" s="314"/>
    </row>
    <row r="55" spans="1:3" ht="12" customHeight="1" x14ac:dyDescent="0.25">
      <c r="A55" s="312"/>
      <c r="C55" s="314"/>
    </row>
    <row r="56" spans="1:3" ht="12" customHeight="1" x14ac:dyDescent="0.25">
      <c r="A56" s="312"/>
      <c r="C56" s="314"/>
    </row>
    <row r="57" spans="1:3" ht="12" customHeight="1" x14ac:dyDescent="0.25">
      <c r="A57" s="312"/>
      <c r="C57" s="314"/>
    </row>
    <row r="58" spans="1:3" ht="12" customHeight="1" x14ac:dyDescent="0.25">
      <c r="A58" s="312"/>
      <c r="C58" s="314"/>
    </row>
    <row r="59" spans="1:3" ht="12" customHeight="1" x14ac:dyDescent="0.25">
      <c r="A59" s="312"/>
      <c r="C59" s="314"/>
    </row>
    <row r="60" spans="1:3" ht="12" customHeight="1" x14ac:dyDescent="0.25">
      <c r="A60" s="312"/>
      <c r="C60" s="314"/>
    </row>
    <row r="61" spans="1:3" ht="12" customHeight="1" x14ac:dyDescent="0.25">
      <c r="A61" s="312"/>
      <c r="C61" s="314"/>
    </row>
    <row r="62" spans="1:3" ht="12" customHeight="1" x14ac:dyDescent="0.25">
      <c r="A62" s="312"/>
      <c r="C62" s="314"/>
    </row>
    <row r="63" spans="1:3" ht="12" customHeight="1" x14ac:dyDescent="0.25">
      <c r="A63" s="312"/>
      <c r="C63" s="314"/>
    </row>
    <row r="64" spans="1:3" ht="12" customHeight="1" x14ac:dyDescent="0.25">
      <c r="A64" s="312"/>
      <c r="C64" s="314"/>
    </row>
    <row r="65" spans="1:3" ht="12" customHeight="1" x14ac:dyDescent="0.25">
      <c r="A65" s="312"/>
      <c r="C65" s="314"/>
    </row>
    <row r="66" spans="1:3" ht="12" customHeight="1" x14ac:dyDescent="0.25">
      <c r="A66" s="312"/>
      <c r="C66" s="314"/>
    </row>
    <row r="67" spans="1:3" ht="12" customHeight="1" x14ac:dyDescent="0.25">
      <c r="A67" s="312"/>
      <c r="C67" s="314"/>
    </row>
    <row r="68" spans="1:3" ht="12" customHeight="1" x14ac:dyDescent="0.25">
      <c r="A68" s="312"/>
      <c r="C68" s="314"/>
    </row>
    <row r="69" spans="1:3" ht="12" customHeight="1" x14ac:dyDescent="0.25">
      <c r="A69" s="312"/>
      <c r="C69" s="314"/>
    </row>
    <row r="70" spans="1:3" ht="12" customHeight="1" x14ac:dyDescent="0.25">
      <c r="A70" s="312"/>
      <c r="C70" s="314"/>
    </row>
    <row r="71" spans="1:3" ht="12" customHeight="1" x14ac:dyDescent="0.25">
      <c r="A71" s="312"/>
      <c r="C71" s="314"/>
    </row>
    <row r="72" spans="1:3" ht="12" customHeight="1" x14ac:dyDescent="0.25">
      <c r="A72" s="312"/>
      <c r="C72" s="314"/>
    </row>
    <row r="73" spans="1:3" ht="12" customHeight="1" x14ac:dyDescent="0.25">
      <c r="A73" s="312"/>
      <c r="C73" s="314"/>
    </row>
    <row r="74" spans="1:3" ht="12" customHeight="1" x14ac:dyDescent="0.25">
      <c r="A74" s="312"/>
      <c r="C74" s="314"/>
    </row>
    <row r="75" spans="1:3" ht="12" customHeight="1" x14ac:dyDescent="0.25">
      <c r="A75" s="312"/>
      <c r="C75" s="314"/>
    </row>
    <row r="76" spans="1:3" ht="12" customHeight="1" x14ac:dyDescent="0.25">
      <c r="A76" s="312"/>
      <c r="C76" s="314"/>
    </row>
    <row r="77" spans="1:3" ht="12" customHeight="1" x14ac:dyDescent="0.25">
      <c r="A77" s="312"/>
      <c r="C77" s="314"/>
    </row>
    <row r="78" spans="1:3" ht="12" customHeight="1" x14ac:dyDescent="0.25">
      <c r="A78" s="312"/>
      <c r="C78" s="314"/>
    </row>
    <row r="79" spans="1:3" ht="12" customHeight="1" x14ac:dyDescent="0.25">
      <c r="A79" s="312"/>
      <c r="C79" s="314"/>
    </row>
    <row r="80" spans="1:3" ht="12" customHeight="1" x14ac:dyDescent="0.25">
      <c r="A80" s="312"/>
      <c r="C80" s="314"/>
    </row>
    <row r="81" spans="1:3" ht="12" customHeight="1" x14ac:dyDescent="0.25">
      <c r="A81" s="312"/>
      <c r="C81" s="314"/>
    </row>
    <row r="82" spans="1:3" ht="12" customHeight="1" x14ac:dyDescent="0.25">
      <c r="A82" s="312"/>
      <c r="C82" s="314"/>
    </row>
    <row r="83" spans="1:3" ht="12" customHeight="1" x14ac:dyDescent="0.25">
      <c r="A83" s="312"/>
      <c r="C83" s="314"/>
    </row>
    <row r="84" spans="1:3" ht="12" customHeight="1" x14ac:dyDescent="0.25">
      <c r="A84" s="312"/>
      <c r="C84" s="314"/>
    </row>
    <row r="85" spans="1:3" ht="12" customHeight="1" x14ac:dyDescent="0.25">
      <c r="A85" s="312"/>
      <c r="C85" s="314"/>
    </row>
    <row r="86" spans="1:3" ht="12" customHeight="1" x14ac:dyDescent="0.25">
      <c r="A86" s="312"/>
      <c r="C86" s="314"/>
    </row>
    <row r="87" spans="1:3" ht="12" customHeight="1" x14ac:dyDescent="0.25">
      <c r="A87" s="312"/>
      <c r="C87" s="314"/>
    </row>
    <row r="88" spans="1:3" ht="12" customHeight="1" x14ac:dyDescent="0.25">
      <c r="A88" s="312"/>
      <c r="C88" s="314"/>
    </row>
    <row r="89" spans="1:3" ht="12" customHeight="1" x14ac:dyDescent="0.25">
      <c r="A89" s="312"/>
      <c r="C89" s="314"/>
    </row>
    <row r="90" spans="1:3" ht="12" customHeight="1" x14ac:dyDescent="0.25">
      <c r="A90" s="312"/>
      <c r="C90" s="314"/>
    </row>
    <row r="91" spans="1:3" ht="12" customHeight="1" x14ac:dyDescent="0.25">
      <c r="A91" s="312"/>
      <c r="C91" s="314"/>
    </row>
    <row r="92" spans="1:3" ht="12" customHeight="1" x14ac:dyDescent="0.25">
      <c r="A92" s="312"/>
      <c r="C92" s="314"/>
    </row>
    <row r="93" spans="1:3" ht="12" customHeight="1" x14ac:dyDescent="0.25">
      <c r="A93" s="312"/>
      <c r="C93" s="314"/>
    </row>
    <row r="94" spans="1:3" ht="12" customHeight="1" x14ac:dyDescent="0.25">
      <c r="A94" s="312"/>
      <c r="C94" s="314"/>
    </row>
    <row r="95" spans="1:3" ht="12" customHeight="1" x14ac:dyDescent="0.25">
      <c r="A95" s="312"/>
      <c r="C95" s="314"/>
    </row>
    <row r="96" spans="1:3" ht="12" customHeight="1" x14ac:dyDescent="0.25">
      <c r="A96" s="312"/>
      <c r="C96" s="314"/>
    </row>
    <row r="97" spans="1:3" ht="12" customHeight="1" x14ac:dyDescent="0.25">
      <c r="A97" s="312"/>
      <c r="C97" s="314"/>
    </row>
    <row r="98" spans="1:3" ht="12" customHeight="1" x14ac:dyDescent="0.25">
      <c r="A98" s="312"/>
      <c r="C98" s="314"/>
    </row>
    <row r="99" spans="1:3" ht="12" customHeight="1" x14ac:dyDescent="0.25">
      <c r="A99" s="312"/>
      <c r="C99" s="314"/>
    </row>
    <row r="100" spans="1:3" ht="12" customHeight="1" x14ac:dyDescent="0.25">
      <c r="A100" s="312"/>
      <c r="C100" s="314"/>
    </row>
    <row r="101" spans="1:3" ht="12" customHeight="1" x14ac:dyDescent="0.25">
      <c r="A101" s="312"/>
      <c r="C101" s="314"/>
    </row>
    <row r="102" spans="1:3" ht="12" customHeight="1" x14ac:dyDescent="0.25">
      <c r="A102" s="312"/>
      <c r="C102" s="314"/>
    </row>
    <row r="103" spans="1:3" ht="12" customHeight="1" x14ac:dyDescent="0.25">
      <c r="A103" s="312"/>
      <c r="C103" s="314"/>
    </row>
    <row r="104" spans="1:3" ht="12" customHeight="1" x14ac:dyDescent="0.25">
      <c r="A104" s="312"/>
      <c r="C104" s="314"/>
    </row>
    <row r="105" spans="1:3" ht="12" customHeight="1" x14ac:dyDescent="0.25">
      <c r="A105" s="312"/>
      <c r="C105" s="314"/>
    </row>
    <row r="106" spans="1:3" ht="12" customHeight="1" x14ac:dyDescent="0.25">
      <c r="A106" s="312"/>
      <c r="C106" s="314"/>
    </row>
    <row r="107" spans="1:3" ht="12" customHeight="1" x14ac:dyDescent="0.25">
      <c r="A107" s="312"/>
      <c r="C107" s="314"/>
    </row>
    <row r="108" spans="1:3" ht="12" customHeight="1" x14ac:dyDescent="0.25">
      <c r="A108" s="312"/>
      <c r="C108" s="314"/>
    </row>
    <row r="109" spans="1:3" ht="12" customHeight="1" x14ac:dyDescent="0.25">
      <c r="A109" s="312"/>
      <c r="C109" s="314"/>
    </row>
    <row r="110" spans="1:3" ht="12" customHeight="1" x14ac:dyDescent="0.25">
      <c r="A110" s="312"/>
      <c r="C110" s="314"/>
    </row>
    <row r="111" spans="1:3" ht="12" customHeight="1" x14ac:dyDescent="0.25">
      <c r="A111" s="312"/>
      <c r="C111" s="314"/>
    </row>
    <row r="112" spans="1:3" ht="12" customHeight="1" x14ac:dyDescent="0.25">
      <c r="A112" s="312"/>
      <c r="C112" s="314"/>
    </row>
    <row r="113" spans="1:3" ht="12" customHeight="1" x14ac:dyDescent="0.25">
      <c r="A113" s="312"/>
      <c r="C113" s="314"/>
    </row>
    <row r="114" spans="1:3" ht="12" customHeight="1" x14ac:dyDescent="0.25">
      <c r="A114" s="312"/>
      <c r="C114" s="314"/>
    </row>
    <row r="115" spans="1:3" ht="12" customHeight="1" x14ac:dyDescent="0.25">
      <c r="A115" s="312"/>
      <c r="C115" s="314"/>
    </row>
    <row r="116" spans="1:3" ht="12" customHeight="1" x14ac:dyDescent="0.25">
      <c r="A116" s="312"/>
      <c r="C116" s="314"/>
    </row>
    <row r="117" spans="1:3" ht="12" customHeight="1" x14ac:dyDescent="0.25">
      <c r="A117" s="312"/>
      <c r="C117" s="314"/>
    </row>
    <row r="118" spans="1:3" ht="12" customHeight="1" x14ac:dyDescent="0.25">
      <c r="A118" s="312"/>
      <c r="C118" s="314"/>
    </row>
    <row r="119" spans="1:3" ht="12" customHeight="1" x14ac:dyDescent="0.25">
      <c r="A119" s="312"/>
      <c r="C119" s="314"/>
    </row>
    <row r="120" spans="1:3" ht="12" customHeight="1" x14ac:dyDescent="0.25">
      <c r="A120" s="312"/>
      <c r="C120" s="314"/>
    </row>
    <row r="121" spans="1:3" ht="12" customHeight="1" x14ac:dyDescent="0.25">
      <c r="A121" s="312"/>
      <c r="C121" s="314"/>
    </row>
    <row r="122" spans="1:3" ht="12" customHeight="1" x14ac:dyDescent="0.25">
      <c r="A122" s="312"/>
      <c r="C122" s="314"/>
    </row>
    <row r="123" spans="1:3" ht="12" customHeight="1" x14ac:dyDescent="0.25">
      <c r="A123" s="312"/>
      <c r="C123" s="314"/>
    </row>
    <row r="124" spans="1:3" ht="12" customHeight="1" x14ac:dyDescent="0.25">
      <c r="A124" s="312"/>
      <c r="C124" s="314"/>
    </row>
    <row r="125" spans="1:3" ht="12" customHeight="1" x14ac:dyDescent="0.25">
      <c r="A125" s="312"/>
      <c r="C125" s="314"/>
    </row>
    <row r="126" spans="1:3" ht="12" customHeight="1" x14ac:dyDescent="0.25">
      <c r="A126" s="312"/>
      <c r="C126" s="314"/>
    </row>
    <row r="127" spans="1:3" ht="12" customHeight="1" x14ac:dyDescent="0.25">
      <c r="A127" s="312"/>
      <c r="C127" s="314"/>
    </row>
    <row r="128" spans="1:3" ht="12" customHeight="1" x14ac:dyDescent="0.25">
      <c r="A128" s="312"/>
      <c r="C128" s="314"/>
    </row>
    <row r="129" spans="1:3" ht="12" customHeight="1" x14ac:dyDescent="0.25">
      <c r="A129" s="312"/>
      <c r="C129" s="314"/>
    </row>
    <row r="130" spans="1:3" ht="12" customHeight="1" x14ac:dyDescent="0.25">
      <c r="A130" s="312"/>
      <c r="C130" s="314"/>
    </row>
    <row r="131" spans="1:3" ht="12" customHeight="1" x14ac:dyDescent="0.25">
      <c r="A131" s="312"/>
      <c r="C131" s="314"/>
    </row>
    <row r="132" spans="1:3" ht="12" customHeight="1" x14ac:dyDescent="0.25">
      <c r="A132" s="312"/>
      <c r="C132" s="314"/>
    </row>
    <row r="133" spans="1:3" ht="12" customHeight="1" x14ac:dyDescent="0.25">
      <c r="A133" s="312"/>
      <c r="C133" s="314"/>
    </row>
    <row r="134" spans="1:3" ht="12" customHeight="1" x14ac:dyDescent="0.25">
      <c r="A134" s="312"/>
      <c r="C134" s="314"/>
    </row>
    <row r="135" spans="1:3" ht="12" customHeight="1" x14ac:dyDescent="0.25">
      <c r="A135" s="312"/>
      <c r="C135" s="314"/>
    </row>
    <row r="136" spans="1:3" ht="12" customHeight="1" x14ac:dyDescent="0.25">
      <c r="A136" s="312"/>
      <c r="C136" s="314"/>
    </row>
    <row r="137" spans="1:3" ht="12" customHeight="1" x14ac:dyDescent="0.25">
      <c r="A137" s="312"/>
      <c r="C137" s="314"/>
    </row>
    <row r="138" spans="1:3" ht="12" customHeight="1" x14ac:dyDescent="0.25">
      <c r="A138" s="312"/>
      <c r="C138" s="314"/>
    </row>
    <row r="139" spans="1:3" ht="12" customHeight="1" x14ac:dyDescent="0.25">
      <c r="A139" s="312"/>
      <c r="C139" s="314"/>
    </row>
    <row r="140" spans="1:3" ht="12" customHeight="1" x14ac:dyDescent="0.25">
      <c r="A140" s="312"/>
      <c r="C140" s="314"/>
    </row>
    <row r="141" spans="1:3" ht="12" customHeight="1" x14ac:dyDescent="0.25">
      <c r="A141" s="312"/>
      <c r="C141" s="314"/>
    </row>
    <row r="142" spans="1:3" ht="12" customHeight="1" x14ac:dyDescent="0.25">
      <c r="A142" s="312"/>
      <c r="C142" s="314"/>
    </row>
    <row r="143" spans="1:3" ht="12" customHeight="1" x14ac:dyDescent="0.25">
      <c r="A143" s="312"/>
      <c r="C143" s="314"/>
    </row>
    <row r="144" spans="1:3" ht="12" customHeight="1" x14ac:dyDescent="0.25">
      <c r="A144" s="312"/>
      <c r="C144" s="314"/>
    </row>
    <row r="145" spans="1:3" ht="12" customHeight="1" x14ac:dyDescent="0.25">
      <c r="A145" s="312"/>
      <c r="C145" s="314"/>
    </row>
    <row r="146" spans="1:3" ht="12" customHeight="1" x14ac:dyDescent="0.25">
      <c r="A146" s="312"/>
      <c r="C146" s="314"/>
    </row>
    <row r="147" spans="1:3" ht="12" customHeight="1" x14ac:dyDescent="0.25">
      <c r="A147" s="312"/>
      <c r="C147" s="314"/>
    </row>
    <row r="148" spans="1:3" ht="12" customHeight="1" x14ac:dyDescent="0.25">
      <c r="A148" s="312"/>
      <c r="C148" s="314"/>
    </row>
    <row r="149" spans="1:3" ht="12" customHeight="1" x14ac:dyDescent="0.25">
      <c r="A149" s="312"/>
      <c r="C149" s="314"/>
    </row>
    <row r="150" spans="1:3" ht="12" customHeight="1" x14ac:dyDescent="0.25">
      <c r="A150" s="312"/>
      <c r="C150" s="314"/>
    </row>
    <row r="151" spans="1:3" ht="12" customHeight="1" x14ac:dyDescent="0.25">
      <c r="A151" s="312"/>
      <c r="C151" s="314"/>
    </row>
    <row r="152" spans="1:3" ht="12" customHeight="1" x14ac:dyDescent="0.25">
      <c r="A152" s="312"/>
      <c r="C152" s="314"/>
    </row>
    <row r="153" spans="1:3" ht="12" customHeight="1" x14ac:dyDescent="0.25">
      <c r="A153" s="312"/>
      <c r="C153" s="314"/>
    </row>
    <row r="154" spans="1:3" ht="12" customHeight="1" x14ac:dyDescent="0.25">
      <c r="A154" s="312"/>
      <c r="C154" s="314"/>
    </row>
    <row r="155" spans="1:3" ht="12" customHeight="1" x14ac:dyDescent="0.25">
      <c r="A155" s="312"/>
      <c r="C155" s="314"/>
    </row>
    <row r="156" spans="1:3" ht="12" customHeight="1" x14ac:dyDescent="0.25">
      <c r="A156" s="312"/>
      <c r="C156" s="314"/>
    </row>
    <row r="157" spans="1:3" ht="12" customHeight="1" x14ac:dyDescent="0.25">
      <c r="A157" s="312"/>
      <c r="C157" s="314"/>
    </row>
    <row r="158" spans="1:3" ht="12" customHeight="1" x14ac:dyDescent="0.25">
      <c r="A158" s="312"/>
      <c r="C158" s="314"/>
    </row>
    <row r="159" spans="1:3" ht="12" customHeight="1" x14ac:dyDescent="0.25">
      <c r="A159" s="312"/>
      <c r="C159" s="314"/>
    </row>
    <row r="160" spans="1:3" ht="12" customHeight="1" x14ac:dyDescent="0.25">
      <c r="A160" s="312"/>
      <c r="C160" s="314"/>
    </row>
    <row r="161" spans="1:3" ht="12" customHeight="1" x14ac:dyDescent="0.25">
      <c r="A161" s="312"/>
      <c r="C161" s="314"/>
    </row>
    <row r="162" spans="1:3" ht="12" customHeight="1" x14ac:dyDescent="0.25">
      <c r="A162" s="312"/>
      <c r="C162" s="314"/>
    </row>
    <row r="163" spans="1:3" ht="12" customHeight="1" x14ac:dyDescent="0.25">
      <c r="A163" s="312"/>
      <c r="C163" s="314"/>
    </row>
    <row r="164" spans="1:3" ht="12" customHeight="1" x14ac:dyDescent="0.25">
      <c r="A164" s="312"/>
      <c r="C164" s="314"/>
    </row>
    <row r="165" spans="1:3" ht="12" customHeight="1" x14ac:dyDescent="0.25">
      <c r="A165" s="312"/>
      <c r="C165" s="314"/>
    </row>
    <row r="166" spans="1:3" ht="12" customHeight="1" x14ac:dyDescent="0.25">
      <c r="A166" s="312"/>
      <c r="C166" s="314"/>
    </row>
    <row r="167" spans="1:3" ht="12" customHeight="1" x14ac:dyDescent="0.25">
      <c r="A167" s="312"/>
      <c r="C167" s="314"/>
    </row>
    <row r="168" spans="1:3" ht="12" customHeight="1" x14ac:dyDescent="0.25">
      <c r="A168" s="312"/>
      <c r="C168" s="314"/>
    </row>
    <row r="169" spans="1:3" ht="12" customHeight="1" x14ac:dyDescent="0.25">
      <c r="A169" s="312"/>
      <c r="C169" s="314"/>
    </row>
    <row r="170" spans="1:3" ht="12" customHeight="1" x14ac:dyDescent="0.25">
      <c r="A170" s="312"/>
      <c r="C170" s="314"/>
    </row>
    <row r="171" spans="1:3" ht="12" customHeight="1" x14ac:dyDescent="0.25">
      <c r="A171" s="312"/>
      <c r="C171" s="314"/>
    </row>
    <row r="172" spans="1:3" ht="12" customHeight="1" x14ac:dyDescent="0.25">
      <c r="A172" s="312"/>
      <c r="C172" s="314"/>
    </row>
    <row r="173" spans="1:3" ht="12" customHeight="1" x14ac:dyDescent="0.25">
      <c r="A173" s="312"/>
      <c r="C173" s="314"/>
    </row>
    <row r="174" spans="1:3" ht="12" customHeight="1" x14ac:dyDescent="0.25">
      <c r="A174" s="312"/>
      <c r="C174" s="314"/>
    </row>
    <row r="175" spans="1:3" ht="12" customHeight="1" x14ac:dyDescent="0.25">
      <c r="A175" s="312"/>
      <c r="C175" s="314"/>
    </row>
    <row r="176" spans="1:3" ht="12" customHeight="1" x14ac:dyDescent="0.25">
      <c r="A176" s="312"/>
      <c r="C176" s="314"/>
    </row>
    <row r="177" spans="1:3" ht="12" customHeight="1" x14ac:dyDescent="0.25">
      <c r="A177" s="312"/>
      <c r="C177" s="314"/>
    </row>
    <row r="178" spans="1:3" ht="12" customHeight="1" x14ac:dyDescent="0.25">
      <c r="A178" s="312"/>
      <c r="C178" s="314"/>
    </row>
    <row r="179" spans="1:3" ht="12" customHeight="1" x14ac:dyDescent="0.25">
      <c r="A179" s="312"/>
      <c r="C179" s="314"/>
    </row>
    <row r="180" spans="1:3" ht="12" customHeight="1" x14ac:dyDescent="0.25">
      <c r="A180" s="312"/>
      <c r="C180" s="314"/>
    </row>
    <row r="181" spans="1:3" ht="12" customHeight="1" x14ac:dyDescent="0.25">
      <c r="A181" s="312"/>
      <c r="C181" s="314"/>
    </row>
    <row r="182" spans="1:3" ht="12" customHeight="1" x14ac:dyDescent="0.25">
      <c r="A182" s="312"/>
      <c r="C182" s="314"/>
    </row>
    <row r="183" spans="1:3" ht="12" customHeight="1" x14ac:dyDescent="0.25">
      <c r="A183" s="312"/>
      <c r="C183" s="314"/>
    </row>
    <row r="184" spans="1:3" ht="12" customHeight="1" x14ac:dyDescent="0.25">
      <c r="A184" s="312"/>
      <c r="C184" s="314"/>
    </row>
    <row r="185" spans="1:3" ht="12" customHeight="1" x14ac:dyDescent="0.25">
      <c r="A185" s="312"/>
      <c r="C185" s="314"/>
    </row>
    <row r="186" spans="1:3" ht="12" customHeight="1" x14ac:dyDescent="0.25">
      <c r="A186" s="312"/>
      <c r="C186" s="314"/>
    </row>
    <row r="187" spans="1:3" ht="12" customHeight="1" x14ac:dyDescent="0.25">
      <c r="A187" s="312"/>
      <c r="C187" s="314"/>
    </row>
    <row r="188" spans="1:3" ht="12" customHeight="1" x14ac:dyDescent="0.25">
      <c r="A188" s="312"/>
      <c r="C188" s="314"/>
    </row>
    <row r="189" spans="1:3" ht="12" customHeight="1" x14ac:dyDescent="0.25">
      <c r="A189" s="312"/>
      <c r="C189" s="314"/>
    </row>
    <row r="190" spans="1:3" ht="12" customHeight="1" x14ac:dyDescent="0.25">
      <c r="A190" s="312"/>
      <c r="C190" s="314"/>
    </row>
    <row r="191" spans="1:3" ht="12" customHeight="1" x14ac:dyDescent="0.25">
      <c r="A191" s="312"/>
      <c r="C191" s="314"/>
    </row>
    <row r="192" spans="1:3" ht="12" customHeight="1" x14ac:dyDescent="0.25">
      <c r="A192" s="312"/>
      <c r="C192" s="314"/>
    </row>
    <row r="193" spans="1:3" ht="12" customHeight="1" x14ac:dyDescent="0.25">
      <c r="A193" s="312"/>
      <c r="C193" s="314"/>
    </row>
    <row r="194" spans="1:3" ht="12" customHeight="1" x14ac:dyDescent="0.25">
      <c r="A194" s="312"/>
      <c r="C194" s="314"/>
    </row>
    <row r="195" spans="1:3" ht="12" customHeight="1" x14ac:dyDescent="0.25">
      <c r="A195" s="312"/>
      <c r="C195" s="314"/>
    </row>
    <row r="196" spans="1:3" ht="12" customHeight="1" x14ac:dyDescent="0.25">
      <c r="A196" s="312"/>
      <c r="C196" s="314"/>
    </row>
    <row r="197" spans="1:3" ht="12" customHeight="1" x14ac:dyDescent="0.25">
      <c r="A197" s="312"/>
      <c r="C197" s="314"/>
    </row>
    <row r="198" spans="1:3" ht="12" customHeight="1" x14ac:dyDescent="0.25">
      <c r="A198" s="312"/>
      <c r="C198" s="314"/>
    </row>
    <row r="199" spans="1:3" ht="12" customHeight="1" x14ac:dyDescent="0.25">
      <c r="A199" s="312"/>
      <c r="C199" s="314"/>
    </row>
    <row r="200" spans="1:3" ht="12" customHeight="1" x14ac:dyDescent="0.25">
      <c r="A200" s="312"/>
      <c r="C200" s="314"/>
    </row>
    <row r="201" spans="1:3" ht="12" customHeight="1" x14ac:dyDescent="0.25">
      <c r="A201" s="312"/>
      <c r="C201" s="314"/>
    </row>
    <row r="202" spans="1:3" ht="12" customHeight="1" x14ac:dyDescent="0.25">
      <c r="A202" s="312"/>
      <c r="C202" s="314"/>
    </row>
    <row r="203" spans="1:3" ht="12" customHeight="1" x14ac:dyDescent="0.25">
      <c r="A203" s="312"/>
      <c r="C203" s="314"/>
    </row>
    <row r="204" spans="1:3" ht="12" customHeight="1" x14ac:dyDescent="0.25">
      <c r="A204" s="312"/>
      <c r="C204" s="314"/>
    </row>
    <row r="205" spans="1:3" ht="12" customHeight="1" x14ac:dyDescent="0.25">
      <c r="A205" s="312"/>
      <c r="C205" s="314"/>
    </row>
    <row r="206" spans="1:3" ht="12" customHeight="1" x14ac:dyDescent="0.25">
      <c r="A206" s="312"/>
      <c r="C206" s="314"/>
    </row>
    <row r="207" spans="1:3" ht="12" customHeight="1" x14ac:dyDescent="0.25">
      <c r="A207" s="312"/>
      <c r="C207" s="314"/>
    </row>
    <row r="208" spans="1:3" ht="12" customHeight="1" x14ac:dyDescent="0.25">
      <c r="A208" s="312"/>
      <c r="C208" s="314"/>
    </row>
    <row r="209" spans="1:3" ht="12" customHeight="1" x14ac:dyDescent="0.25">
      <c r="A209" s="312"/>
      <c r="C209" s="314"/>
    </row>
    <row r="210" spans="1:3" ht="12" customHeight="1" x14ac:dyDescent="0.25">
      <c r="A210" s="312"/>
      <c r="C210" s="314"/>
    </row>
    <row r="211" spans="1:3" ht="12" customHeight="1" x14ac:dyDescent="0.25">
      <c r="A211" s="312"/>
      <c r="C211" s="314"/>
    </row>
    <row r="212" spans="1:3" ht="12" customHeight="1" x14ac:dyDescent="0.25">
      <c r="A212" s="312"/>
      <c r="C212" s="314"/>
    </row>
    <row r="213" spans="1:3" ht="12" customHeight="1" x14ac:dyDescent="0.25">
      <c r="A213" s="312"/>
      <c r="C213" s="314"/>
    </row>
    <row r="214" spans="1:3" ht="12" customHeight="1" x14ac:dyDescent="0.25">
      <c r="A214" s="312"/>
      <c r="C214" s="314"/>
    </row>
    <row r="215" spans="1:3" ht="12" customHeight="1" x14ac:dyDescent="0.25">
      <c r="A215" s="312"/>
      <c r="C215" s="314"/>
    </row>
    <row r="216" spans="1:3" ht="12" customHeight="1" x14ac:dyDescent="0.25">
      <c r="A216" s="312"/>
      <c r="C216" s="314"/>
    </row>
    <row r="217" spans="1:3" ht="12" customHeight="1" x14ac:dyDescent="0.25">
      <c r="A217" s="312"/>
      <c r="C217" s="314"/>
    </row>
    <row r="218" spans="1:3" ht="12" customHeight="1" x14ac:dyDescent="0.25">
      <c r="A218" s="312"/>
      <c r="C218" s="314"/>
    </row>
    <row r="219" spans="1:3" ht="12" customHeight="1" x14ac:dyDescent="0.25">
      <c r="A219" s="312"/>
      <c r="C219" s="314"/>
    </row>
    <row r="220" spans="1:3" ht="12" customHeight="1" x14ac:dyDescent="0.25">
      <c r="A220" s="312"/>
      <c r="C220" s="314"/>
    </row>
    <row r="221" spans="1:3" ht="12" customHeight="1" x14ac:dyDescent="0.25">
      <c r="A221" s="312"/>
      <c r="C221" s="314"/>
    </row>
    <row r="222" spans="1:3" ht="12" customHeight="1" x14ac:dyDescent="0.25">
      <c r="A222" s="312"/>
      <c r="C222" s="314"/>
    </row>
    <row r="223" spans="1:3" ht="12" customHeight="1" x14ac:dyDescent="0.25">
      <c r="A223" s="312"/>
      <c r="C223" s="314"/>
    </row>
    <row r="224" spans="1:3" ht="12" customHeight="1" x14ac:dyDescent="0.25">
      <c r="A224" s="312"/>
      <c r="C224" s="314"/>
    </row>
    <row r="225" spans="1:3" ht="12" customHeight="1" x14ac:dyDescent="0.25">
      <c r="A225" s="312"/>
      <c r="C225" s="314"/>
    </row>
    <row r="226" spans="1:3" ht="12" customHeight="1" x14ac:dyDescent="0.25">
      <c r="A226" s="312"/>
      <c r="C226" s="314"/>
    </row>
    <row r="227" spans="1:3" ht="12" customHeight="1" x14ac:dyDescent="0.25">
      <c r="A227" s="312"/>
      <c r="C227" s="314"/>
    </row>
    <row r="228" spans="1:3" ht="12" customHeight="1" x14ac:dyDescent="0.25">
      <c r="A228" s="312"/>
      <c r="C228" s="314"/>
    </row>
    <row r="229" spans="1:3" ht="12" customHeight="1" x14ac:dyDescent="0.25">
      <c r="A229" s="312"/>
      <c r="C229" s="314"/>
    </row>
    <row r="230" spans="1:3" ht="12" customHeight="1" x14ac:dyDescent="0.25">
      <c r="A230" s="312"/>
      <c r="C230" s="314"/>
    </row>
    <row r="231" spans="1:3" ht="12" customHeight="1" x14ac:dyDescent="0.25">
      <c r="A231" s="312"/>
      <c r="C231" s="314"/>
    </row>
    <row r="232" spans="1:3" ht="12" customHeight="1" x14ac:dyDescent="0.25">
      <c r="A232" s="312"/>
      <c r="C232" s="314"/>
    </row>
    <row r="233" spans="1:3" ht="12" customHeight="1" x14ac:dyDescent="0.25">
      <c r="A233" s="312"/>
      <c r="C233" s="314"/>
    </row>
    <row r="234" spans="1:3" ht="12" customHeight="1" x14ac:dyDescent="0.25">
      <c r="A234" s="312"/>
      <c r="C234" s="314"/>
    </row>
    <row r="235" spans="1:3" ht="12" customHeight="1" x14ac:dyDescent="0.25">
      <c r="A235" s="312"/>
      <c r="C235" s="314"/>
    </row>
    <row r="236" spans="1:3" ht="12" customHeight="1" x14ac:dyDescent="0.25">
      <c r="A236" s="312"/>
      <c r="C236" s="314"/>
    </row>
    <row r="237" spans="1:3" ht="12" customHeight="1" x14ac:dyDescent="0.25">
      <c r="A237" s="312"/>
      <c r="C237" s="314"/>
    </row>
    <row r="238" spans="1:3" ht="12" customHeight="1" x14ac:dyDescent="0.25">
      <c r="A238" s="312"/>
      <c r="C238" s="314"/>
    </row>
    <row r="239" spans="1:3" ht="12" customHeight="1" x14ac:dyDescent="0.25">
      <c r="A239" s="312"/>
      <c r="C239" s="314"/>
    </row>
    <row r="240" spans="1:3" ht="12" customHeight="1" x14ac:dyDescent="0.25">
      <c r="A240" s="312"/>
      <c r="C240" s="314"/>
    </row>
    <row r="241" spans="1:3" ht="12" customHeight="1" x14ac:dyDescent="0.25">
      <c r="A241" s="312"/>
      <c r="C241" s="314"/>
    </row>
    <row r="242" spans="1:3" ht="12" customHeight="1" x14ac:dyDescent="0.25">
      <c r="A242" s="312"/>
      <c r="C242" s="314"/>
    </row>
    <row r="243" spans="1:3" ht="12" customHeight="1" x14ac:dyDescent="0.25">
      <c r="A243" s="312"/>
      <c r="C243" s="314"/>
    </row>
    <row r="244" spans="1:3" ht="12" customHeight="1" x14ac:dyDescent="0.25">
      <c r="A244" s="312"/>
      <c r="C244" s="314"/>
    </row>
    <row r="245" spans="1:3" ht="12" customHeight="1" x14ac:dyDescent="0.25">
      <c r="A245" s="312"/>
      <c r="C245" s="314"/>
    </row>
    <row r="246" spans="1:3" ht="12" customHeight="1" x14ac:dyDescent="0.25">
      <c r="A246" s="312"/>
      <c r="C246" s="314"/>
    </row>
    <row r="247" spans="1:3" ht="12" customHeight="1" x14ac:dyDescent="0.25">
      <c r="A247" s="312"/>
      <c r="C247" s="314"/>
    </row>
    <row r="248" spans="1:3" ht="12" customHeight="1" x14ac:dyDescent="0.25">
      <c r="A248" s="312"/>
      <c r="C248" s="314"/>
    </row>
    <row r="249" spans="1:3" ht="12" customHeight="1" x14ac:dyDescent="0.25">
      <c r="A249" s="312"/>
      <c r="C249" s="314"/>
    </row>
    <row r="250" spans="1:3" ht="12" customHeight="1" x14ac:dyDescent="0.25">
      <c r="A250" s="312"/>
      <c r="C250" s="314"/>
    </row>
    <row r="251" spans="1:3" ht="12" customHeight="1" x14ac:dyDescent="0.25">
      <c r="A251" s="312"/>
      <c r="C251" s="314"/>
    </row>
    <row r="252" spans="1:3" ht="12" customHeight="1" x14ac:dyDescent="0.25">
      <c r="A252" s="312"/>
      <c r="C252" s="314"/>
    </row>
    <row r="253" spans="1:3" ht="12" customHeight="1" x14ac:dyDescent="0.25">
      <c r="A253" s="312"/>
      <c r="C253" s="314"/>
    </row>
    <row r="254" spans="1:3" ht="12" customHeight="1" x14ac:dyDescent="0.25">
      <c r="A254" s="312"/>
      <c r="C254" s="314"/>
    </row>
    <row r="255" spans="1:3" ht="12" customHeight="1" x14ac:dyDescent="0.25">
      <c r="A255" s="312"/>
      <c r="C255" s="314"/>
    </row>
    <row r="256" spans="1:3" ht="12" customHeight="1" x14ac:dyDescent="0.25">
      <c r="A256" s="312"/>
      <c r="C256" s="314"/>
    </row>
    <row r="257" spans="1:3" ht="12" customHeight="1" x14ac:dyDescent="0.25">
      <c r="A257" s="312"/>
      <c r="C257" s="314"/>
    </row>
    <row r="258" spans="1:3" ht="12" customHeight="1" x14ac:dyDescent="0.25">
      <c r="A258" s="312"/>
      <c r="C258" s="314"/>
    </row>
    <row r="259" spans="1:3" ht="12" customHeight="1" x14ac:dyDescent="0.25">
      <c r="A259" s="312"/>
      <c r="C259" s="314"/>
    </row>
    <row r="260" spans="1:3" ht="12" customHeight="1" x14ac:dyDescent="0.25">
      <c r="A260" s="312"/>
      <c r="C260" s="314"/>
    </row>
    <row r="261" spans="1:3" ht="12" customHeight="1" x14ac:dyDescent="0.25">
      <c r="A261" s="312"/>
      <c r="C261" s="314"/>
    </row>
    <row r="262" spans="1:3" ht="12" customHeight="1" x14ac:dyDescent="0.25">
      <c r="A262" s="312"/>
      <c r="C262" s="314"/>
    </row>
    <row r="263" spans="1:3" ht="12" customHeight="1" x14ac:dyDescent="0.25">
      <c r="A263" s="312"/>
      <c r="C263" s="314"/>
    </row>
    <row r="264" spans="1:3" ht="12" customHeight="1" x14ac:dyDescent="0.25">
      <c r="A264" s="312"/>
      <c r="C264" s="314"/>
    </row>
    <row r="265" spans="1:3" ht="12" customHeight="1" x14ac:dyDescent="0.25">
      <c r="A265" s="312"/>
      <c r="C265" s="314"/>
    </row>
    <row r="266" spans="1:3" ht="12" customHeight="1" x14ac:dyDescent="0.25">
      <c r="A266" s="312"/>
      <c r="C266" s="314"/>
    </row>
    <row r="267" spans="1:3" ht="12" customHeight="1" x14ac:dyDescent="0.25">
      <c r="A267" s="312"/>
      <c r="C267" s="314"/>
    </row>
    <row r="268" spans="1:3" ht="12" customHeight="1" x14ac:dyDescent="0.25">
      <c r="A268" s="312"/>
      <c r="C268" s="314"/>
    </row>
    <row r="269" spans="1:3" ht="12" customHeight="1" x14ac:dyDescent="0.25">
      <c r="A269" s="312"/>
      <c r="C269" s="314"/>
    </row>
    <row r="270" spans="1:3" ht="12" customHeight="1" x14ac:dyDescent="0.25">
      <c r="A270" s="312"/>
      <c r="C270" s="314"/>
    </row>
    <row r="271" spans="1:3" ht="12" customHeight="1" x14ac:dyDescent="0.25">
      <c r="A271" s="312"/>
      <c r="C271" s="314"/>
    </row>
    <row r="289" spans="1:3" ht="12" customHeight="1" x14ac:dyDescent="0.25">
      <c r="A289" s="312"/>
      <c r="C289" s="314"/>
    </row>
    <row r="290" spans="1:3" ht="12" customHeight="1" x14ac:dyDescent="0.25">
      <c r="A290" s="312"/>
      <c r="C290" s="314"/>
    </row>
    <row r="291" spans="1:3" ht="12" customHeight="1" x14ac:dyDescent="0.25">
      <c r="A291" s="312"/>
      <c r="C291" s="314"/>
    </row>
    <row r="292" spans="1:3" ht="12" customHeight="1" x14ac:dyDescent="0.25">
      <c r="A292" s="312"/>
      <c r="C292" s="314"/>
    </row>
    <row r="293" spans="1:3" ht="12" customHeight="1" x14ac:dyDescent="0.25">
      <c r="A293" s="312"/>
      <c r="C293" s="314"/>
    </row>
    <row r="294" spans="1:3" ht="12" customHeight="1" x14ac:dyDescent="0.25">
      <c r="A294" s="312"/>
      <c r="C294" s="314"/>
    </row>
    <row r="295" spans="1:3" ht="12" customHeight="1" x14ac:dyDescent="0.25">
      <c r="A295" s="312"/>
      <c r="C295" s="314"/>
    </row>
    <row r="296" spans="1:3" ht="12" customHeight="1" x14ac:dyDescent="0.25">
      <c r="A296" s="312"/>
      <c r="C296" s="314"/>
    </row>
    <row r="297" spans="1:3" ht="12" customHeight="1" x14ac:dyDescent="0.25">
      <c r="A297" s="312"/>
      <c r="C297" s="314"/>
    </row>
    <row r="298" spans="1:3" ht="12" customHeight="1" x14ac:dyDescent="0.25">
      <c r="A298" s="312"/>
      <c r="C298" s="314"/>
    </row>
    <row r="299" spans="1:3" ht="12" customHeight="1" x14ac:dyDescent="0.25">
      <c r="A299" s="312"/>
      <c r="C299" s="314"/>
    </row>
    <row r="300" spans="1:3" ht="12" customHeight="1" x14ac:dyDescent="0.25">
      <c r="A300" s="312"/>
      <c r="C300" s="314"/>
    </row>
    <row r="301" spans="1:3" ht="12" customHeight="1" x14ac:dyDescent="0.25">
      <c r="A301" s="312"/>
      <c r="C301" s="314"/>
    </row>
    <row r="302" spans="1:3" ht="12" customHeight="1" x14ac:dyDescent="0.25">
      <c r="A302" s="312"/>
      <c r="C302" s="314"/>
    </row>
    <row r="303" spans="1:3" ht="12" customHeight="1" x14ac:dyDescent="0.25">
      <c r="A303" s="312"/>
      <c r="C303" s="314"/>
    </row>
    <row r="304" spans="1:3" ht="12" customHeight="1" x14ac:dyDescent="0.25">
      <c r="A304" s="312"/>
      <c r="C304" s="314"/>
    </row>
    <row r="305" spans="1:3" ht="12" customHeight="1" x14ac:dyDescent="0.25">
      <c r="A305" s="312"/>
      <c r="C305" s="314"/>
    </row>
    <row r="306" spans="1:3" ht="12" customHeight="1" x14ac:dyDescent="0.25">
      <c r="A306" s="312"/>
      <c r="C306" s="314"/>
    </row>
    <row r="307" spans="1:3" ht="12" customHeight="1" x14ac:dyDescent="0.25">
      <c r="A307" s="312"/>
      <c r="C307" s="314"/>
    </row>
    <row r="308" spans="1:3" ht="12" customHeight="1" x14ac:dyDescent="0.25">
      <c r="A308" s="312"/>
      <c r="C308" s="314"/>
    </row>
    <row r="309" spans="1:3" ht="12" customHeight="1" x14ac:dyDescent="0.25">
      <c r="A309" s="312"/>
      <c r="C309" s="314"/>
    </row>
  </sheetData>
  <mergeCells count="23">
    <mergeCell ref="AG4:AG6"/>
    <mergeCell ref="AF4:AF6"/>
    <mergeCell ref="X4:X6"/>
    <mergeCell ref="Y4:Y6"/>
    <mergeCell ref="Z4:Z6"/>
    <mergeCell ref="AA4:AA6"/>
    <mergeCell ref="AB4:AB6"/>
    <mergeCell ref="AC4:AC6"/>
    <mergeCell ref="AD4:AD6"/>
    <mergeCell ref="AE4:AE6"/>
    <mergeCell ref="F4:F6"/>
    <mergeCell ref="L4:L6"/>
    <mergeCell ref="K4:K6"/>
    <mergeCell ref="W4:W6"/>
    <mergeCell ref="M4:M6"/>
    <mergeCell ref="N4:N6"/>
    <mergeCell ref="O4:O6"/>
    <mergeCell ref="P4:P6"/>
    <mergeCell ref="Q4:Q6"/>
    <mergeCell ref="R4:R6"/>
    <mergeCell ref="T4:T6"/>
    <mergeCell ref="U4:U6"/>
    <mergeCell ref="S4:S6"/>
  </mergeCells>
  <conditionalFormatting sqref="K7:S15">
    <cfRule type="top10" dxfId="15" priority="6" percent="1" bottom="1" rank="10"/>
  </conditionalFormatting>
  <conditionalFormatting sqref="W7:AE15">
    <cfRule type="top10" dxfId="14" priority="5" percent="1" bottom="1" rank="10"/>
  </conditionalFormatting>
  <conditionalFormatting sqref="K16:S33">
    <cfRule type="top10" dxfId="13" priority="4" percent="1" bottom="1" rank="10"/>
  </conditionalFormatting>
  <conditionalFormatting sqref="W16:AE33">
    <cfRule type="top10" dxfId="12" priority="1" percent="1" bottom="1" rank="10"/>
  </conditionalFormatting>
  <pageMargins left="0.7" right="0.7" top="0.75" bottom="0.75" header="0.3" footer="0.3"/>
  <pageSetup paperSize="9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5BD3-0ADD-402E-B4EE-4E58AC7F8F10}">
  <sheetPr codeName="shtTraceMarkov8">
    <tabColor rgb="FF00B0F0"/>
  </sheetPr>
  <dimension ref="A1:AN130"/>
  <sheetViews>
    <sheetView workbookViewId="0">
      <pane xSplit="8" ySplit="9" topLeftCell="I10" activePane="bottomRight" state="frozen"/>
      <selection activeCell="J14" sqref="J14"/>
      <selection pane="topRight" activeCell="J14" sqref="J14"/>
      <selection pane="bottomLeft" activeCell="J14" sqref="J14"/>
      <selection pane="bottomRight" activeCell="I10" sqref="I10"/>
    </sheetView>
  </sheetViews>
  <sheetFormatPr defaultColWidth="9.28515625" defaultRowHeight="12" customHeight="1" x14ac:dyDescent="0.25"/>
  <cols>
    <col min="1" max="1" width="1.7109375" style="310" customWidth="1"/>
    <col min="2" max="2" width="19.7109375" style="310" customWidth="1"/>
    <col min="3" max="3" width="1.7109375" style="309" customWidth="1"/>
    <col min="7" max="7" width="9.140625" hidden="1" customWidth="1"/>
    <col min="8" max="8" width="6.85546875" customWidth="1"/>
    <col min="9" max="17" width="11" customWidth="1"/>
    <col min="18" max="23" width="10" customWidth="1"/>
    <col min="24" max="24" width="1.7109375" customWidth="1"/>
    <col min="25" max="33" width="11" customWidth="1"/>
    <col min="34" max="39" width="10" customWidth="1"/>
    <col min="40" max="40" width="1.7109375" customWidth="1"/>
  </cols>
  <sheetData>
    <row r="1" spans="1:39" s="311" customFormat="1" ht="24.95" customHeight="1" thickBot="1" x14ac:dyDescent="0.3">
      <c r="A1" s="312"/>
      <c r="B1" s="310"/>
      <c r="C1" s="312"/>
      <c r="D1" s="311" t="str">
        <f>D.zWorkbookTitle</f>
        <v>Camacho et al. (2024) Harms of hazardous prescribing of NSAIDs -- D: NSAIDs - HF</v>
      </c>
    </row>
    <row r="2" spans="1:39" ht="12" hidden="1" customHeight="1" thickTop="1" x14ac:dyDescent="0.25">
      <c r="D2">
        <f>COLUMNS(I2:X2)</f>
        <v>16</v>
      </c>
      <c r="H2" s="57" t="s">
        <v>90</v>
      </c>
      <c r="I2">
        <f>MAX(H2:$H$2)+1</f>
        <v>1</v>
      </c>
      <c r="J2">
        <f t="shared" ref="J2:Q2" si="0">I2</f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>P2</f>
        <v>1</v>
      </c>
      <c r="Y2">
        <f>MAX($H2:X$2)+1</f>
        <v>2</v>
      </c>
      <c r="Z2">
        <f t="shared" ref="Z2:AG2" si="1">Y2</f>
        <v>2</v>
      </c>
      <c r="AA2">
        <f t="shared" si="1"/>
        <v>2</v>
      </c>
      <c r="AB2">
        <f t="shared" si="1"/>
        <v>2</v>
      </c>
      <c r="AC2">
        <f t="shared" si="1"/>
        <v>2</v>
      </c>
      <c r="AD2">
        <f t="shared" si="1"/>
        <v>2</v>
      </c>
      <c r="AE2">
        <f t="shared" si="1"/>
        <v>2</v>
      </c>
      <c r="AF2">
        <f t="shared" si="1"/>
        <v>2</v>
      </c>
      <c r="AG2">
        <f t="shared" si="1"/>
        <v>2</v>
      </c>
      <c r="AH2">
        <f>AF2</f>
        <v>2</v>
      </c>
    </row>
    <row r="3" spans="1:39" ht="12" hidden="1" customHeight="1" x14ac:dyDescent="0.25">
      <c r="H3" s="57" t="s">
        <v>91</v>
      </c>
      <c r="I3">
        <v>1</v>
      </c>
      <c r="J3">
        <f t="shared" ref="J3:Q3" si="2">I3+1</f>
        <v>2</v>
      </c>
      <c r="K3">
        <f t="shared" si="2"/>
        <v>3</v>
      </c>
      <c r="L3">
        <f t="shared" si="2"/>
        <v>4</v>
      </c>
      <c r="M3">
        <f t="shared" si="2"/>
        <v>5</v>
      </c>
      <c r="N3">
        <f t="shared" si="2"/>
        <v>6</v>
      </c>
      <c r="O3">
        <f t="shared" si="2"/>
        <v>7</v>
      </c>
      <c r="P3">
        <f t="shared" si="2"/>
        <v>8</v>
      </c>
      <c r="Q3">
        <f t="shared" si="2"/>
        <v>9</v>
      </c>
      <c r="Y3">
        <v>1</v>
      </c>
      <c r="Z3">
        <f t="shared" ref="Z3:AG3" si="3">Y3+1</f>
        <v>2</v>
      </c>
      <c r="AA3">
        <f t="shared" si="3"/>
        <v>3</v>
      </c>
      <c r="AB3">
        <f t="shared" si="3"/>
        <v>4</v>
      </c>
      <c r="AC3">
        <f t="shared" si="3"/>
        <v>5</v>
      </c>
      <c r="AD3">
        <f t="shared" si="3"/>
        <v>6</v>
      </c>
      <c r="AE3">
        <f t="shared" si="3"/>
        <v>7</v>
      </c>
      <c r="AF3">
        <f t="shared" si="3"/>
        <v>8</v>
      </c>
      <c r="AG3">
        <f t="shared" si="3"/>
        <v>9</v>
      </c>
    </row>
    <row r="4" spans="1:39" ht="12" customHeight="1" thickTop="1" x14ac:dyDescent="0.25">
      <c r="H4" s="57" t="s">
        <v>406</v>
      </c>
      <c r="I4" s="46">
        <f t="shared" ref="I4:P4" ca="1" si="4">SUM(OFFSET(I10, 0, 0, timeHorizon*D.cyclesPerYear))</f>
        <v>0</v>
      </c>
      <c r="J4" s="46">
        <f t="shared" ca="1" si="4"/>
        <v>5.6747192139116178</v>
      </c>
      <c r="K4" s="46">
        <f t="shared" ca="1" si="4"/>
        <v>3.5375516466519135</v>
      </c>
      <c r="L4" s="46">
        <f t="shared" ca="1" si="4"/>
        <v>1.7466794631070817</v>
      </c>
      <c r="M4" s="46">
        <f t="shared" ca="1" si="4"/>
        <v>0</v>
      </c>
      <c r="N4" s="46">
        <f t="shared" ca="1" si="4"/>
        <v>0</v>
      </c>
      <c r="O4" s="46">
        <f t="shared" ca="1" si="4"/>
        <v>8.5126162612925214</v>
      </c>
      <c r="P4" s="46">
        <f t="shared" ca="1" si="4"/>
        <v>0</v>
      </c>
      <c r="Q4" s="46">
        <f ca="1">OFFSET(Q10, timeHorizon*AB.cyclesPerYear, 0)</f>
        <v>0.82433545372929407</v>
      </c>
      <c r="S4" s="46">
        <f ca="1">SUM(OFFSET(S10, 0, 0, timeHorizon*D.cyclesPerYear)) / D.cyclesPerYear</f>
        <v>4.8678916462407837</v>
      </c>
      <c r="T4" s="46">
        <f ca="1">SUM(OFFSET(T10, 0, 0, timeHorizon*D.cyclesPerYear))</f>
        <v>5.6747192139116178</v>
      </c>
      <c r="U4" s="46">
        <f ca="1">SUM(OFFSET(U10, 0, 0, timeHorizon*D.cyclesPerYear))</f>
        <v>3.5375516466519135</v>
      </c>
      <c r="V4" s="46">
        <f ca="1">SUM(OFFSET(V10, 0, 0, timeHorizon*D.cyclesPerYear))</f>
        <v>9.2592957243996032</v>
      </c>
      <c r="W4" s="46">
        <f ca="1">SUM(OFFSET(W10, 0, 0, timeHorizon*D.cyclesPerYear))</f>
        <v>0.95389775441585356</v>
      </c>
      <c r="Y4" s="46">
        <f t="shared" ref="Y4:AF4" ca="1" si="5">SUM(OFFSET(Y10, 0, 0, timeHorizon*D.cyclesPerYear))</f>
        <v>2.0305380089825085</v>
      </c>
      <c r="Z4" s="46">
        <f t="shared" ca="1" si="5"/>
        <v>5.6704375512079297</v>
      </c>
      <c r="AA4" s="46">
        <f t="shared" ca="1" si="5"/>
        <v>3.5348825096643592</v>
      </c>
      <c r="AB4" s="46">
        <f t="shared" ca="1" si="5"/>
        <v>0</v>
      </c>
      <c r="AC4" s="46">
        <f t="shared" ca="1" si="5"/>
        <v>0</v>
      </c>
      <c r="AD4" s="46">
        <f t="shared" ca="1" si="5"/>
        <v>0</v>
      </c>
      <c r="AE4" s="46">
        <f t="shared" ca="1" si="5"/>
        <v>8.5032521603252906</v>
      </c>
      <c r="AF4" s="46">
        <f t="shared" ca="1" si="5"/>
        <v>0</v>
      </c>
      <c r="AG4" s="46">
        <f ca="1">OFFSET(AG10, timeHorizon*AB.cyclesPerYear, 0)</f>
        <v>0.82161777501334488</v>
      </c>
      <c r="AI4" s="46">
        <f ca="1">SUM(OFFSET(AI10, 0, 0, timeHorizon*D.cyclesPerYear)) / D.cyclesPerYear</f>
        <v>4.9347775575450186</v>
      </c>
      <c r="AJ4" s="46">
        <f ca="1">SUM(OFFSET(AJ10, 0, 0, timeHorizon*D.cyclesPerYear))</f>
        <v>5.6704375512079297</v>
      </c>
      <c r="AK4" s="46">
        <f ca="1">SUM(OFFSET(AK10, 0, 0, timeHorizon*D.cyclesPerYear))</f>
        <v>3.5348825096643592</v>
      </c>
      <c r="AL4" s="46">
        <f ca="1">SUM(OFFSET(AL10, 0, 0, timeHorizon*D.cyclesPerYear))</f>
        <v>8.5032521603252906</v>
      </c>
      <c r="AM4" s="46">
        <f ca="1">SUM(OFFSET(AM10, 0, 0, timeHorizon*D.cyclesPerYear))</f>
        <v>0.95596445946713648</v>
      </c>
    </row>
    <row r="5" spans="1:39" ht="12" customHeight="1" thickBot="1" x14ac:dyDescent="0.3">
      <c r="H5" s="57" t="s">
        <v>64</v>
      </c>
      <c r="S5" s="46">
        <f t="array" aca="1" ref="S5" ca="1">SUM(OFFSET(S10, 0, 0, timeHorizon*D.cyclesPerYear) / D.cyclesPerYear / (1+DQALYs)^(OFFSET($E$10, 0, 0, timeHorizon*D.cyclesPerYear)))</f>
        <v>4.3354953857664018</v>
      </c>
      <c r="AI5" s="46">
        <f t="array" aca="1" ref="AI5" ca="1">SUM(OFFSET(AI10, 0, 0, timeHorizon*D.cyclesPerYear) / D.cyclesPerYear / (1+DQALYs)^(OFFSET($E$10, 0, 0, timeHorizon*D.cyclesPerYear)))</f>
        <v>4.3942127056234837</v>
      </c>
    </row>
    <row r="6" spans="1:39" ht="12" customHeight="1" thickBot="1" x14ac:dyDescent="0.3">
      <c r="D6" s="452" t="s">
        <v>31</v>
      </c>
      <c r="E6" s="452" t="s">
        <v>92</v>
      </c>
      <c r="F6" s="452" t="s">
        <v>30</v>
      </c>
      <c r="G6" s="452" t="s">
        <v>458</v>
      </c>
      <c r="H6" s="501" t="s">
        <v>139</v>
      </c>
      <c r="I6" s="126" t="str">
        <f>INDEX(rngStrats, I2)</f>
        <v>HPE</v>
      </c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Y6" s="126" t="str">
        <f>INDEX(rngStrats, Y2)</f>
        <v>No HPE</v>
      </c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</row>
    <row r="7" spans="1:39" ht="12" customHeight="1" thickBot="1" x14ac:dyDescent="0.3">
      <c r="D7" s="452"/>
      <c r="E7" s="452"/>
      <c r="F7" s="452"/>
      <c r="G7" s="452"/>
      <c r="H7" s="466"/>
      <c r="I7" s="501" t="str">
        <f t="shared" ref="I7:Q7" ca="1" si="6">INDEX(D.rngStates, I$3)</f>
        <v>HF no HPE</v>
      </c>
      <c r="J7" s="501" t="str">
        <f t="shared" ca="1" si="6"/>
        <v>PCE no HPE</v>
      </c>
      <c r="K7" s="501" t="str">
        <f t="shared" ca="1" si="6"/>
        <v>SCE no HPE</v>
      </c>
      <c r="L7" s="501" t="str">
        <f t="shared" ca="1" si="6"/>
        <v>HF w HPE</v>
      </c>
      <c r="M7" s="501" t="str">
        <f t="shared" ca="1" si="6"/>
        <v>PCE w HPE</v>
      </c>
      <c r="N7" s="501" t="str">
        <f t="shared" ca="1" si="6"/>
        <v>SCE w HPE</v>
      </c>
      <c r="O7" s="501" t="str">
        <f t="shared" ca="1" si="6"/>
        <v>HF post event no HPE</v>
      </c>
      <c r="P7" s="501" t="str">
        <f t="shared" ca="1" si="6"/>
        <v>HF post event w HPE</v>
      </c>
      <c r="Q7" s="501" t="str">
        <f t="shared" ca="1" si="6"/>
        <v>Dead</v>
      </c>
      <c r="R7" s="452" t="s">
        <v>35</v>
      </c>
      <c r="S7" s="452" t="s">
        <v>309</v>
      </c>
      <c r="T7" s="452" t="s">
        <v>560</v>
      </c>
      <c r="U7" s="452" t="s">
        <v>559</v>
      </c>
      <c r="V7" s="456" t="s">
        <v>762</v>
      </c>
      <c r="W7" s="514" t="s">
        <v>761</v>
      </c>
      <c r="Y7" s="501" t="str">
        <f t="shared" ref="Y7:AG7" ca="1" si="7">INDEX(D.rngStates, Y$3)</f>
        <v>HF no HPE</v>
      </c>
      <c r="Z7" s="501" t="str">
        <f t="shared" ca="1" si="7"/>
        <v>PCE no HPE</v>
      </c>
      <c r="AA7" s="501" t="str">
        <f t="shared" ca="1" si="7"/>
        <v>SCE no HPE</v>
      </c>
      <c r="AB7" s="501" t="str">
        <f t="shared" ca="1" si="7"/>
        <v>HF w HPE</v>
      </c>
      <c r="AC7" s="501" t="str">
        <f t="shared" ca="1" si="7"/>
        <v>PCE w HPE</v>
      </c>
      <c r="AD7" s="501" t="str">
        <f t="shared" ca="1" si="7"/>
        <v>SCE w HPE</v>
      </c>
      <c r="AE7" s="501" t="str">
        <f t="shared" ca="1" si="7"/>
        <v>HF post event no HPE</v>
      </c>
      <c r="AF7" s="501" t="str">
        <f t="shared" ca="1" si="7"/>
        <v>HF post event w HPE</v>
      </c>
      <c r="AG7" s="501" t="str">
        <f t="shared" ca="1" si="7"/>
        <v>Dead</v>
      </c>
      <c r="AH7" s="452" t="s">
        <v>35</v>
      </c>
      <c r="AI7" s="452" t="s">
        <v>309</v>
      </c>
      <c r="AJ7" s="452" t="s">
        <v>560</v>
      </c>
      <c r="AK7" s="452" t="s">
        <v>559</v>
      </c>
      <c r="AL7" s="456" t="s">
        <v>762</v>
      </c>
      <c r="AM7" s="514" t="s">
        <v>761</v>
      </c>
    </row>
    <row r="8" spans="1:39" ht="12" customHeight="1" thickBot="1" x14ac:dyDescent="0.3">
      <c r="D8" s="452"/>
      <c r="E8" s="452"/>
      <c r="F8" s="452"/>
      <c r="G8" s="452"/>
      <c r="H8" s="466"/>
      <c r="I8" s="502"/>
      <c r="J8" s="502"/>
      <c r="K8" s="502"/>
      <c r="L8" s="502"/>
      <c r="M8" s="502"/>
      <c r="N8" s="502"/>
      <c r="O8" s="502"/>
      <c r="P8" s="502"/>
      <c r="Q8" s="502"/>
      <c r="R8" s="452"/>
      <c r="S8" s="452"/>
      <c r="T8" s="452"/>
      <c r="U8" s="452"/>
      <c r="V8" s="452"/>
      <c r="W8" s="519"/>
      <c r="Y8" s="502"/>
      <c r="Z8" s="502"/>
      <c r="AA8" s="502"/>
      <c r="AB8" s="502"/>
      <c r="AC8" s="502"/>
      <c r="AD8" s="502"/>
      <c r="AE8" s="502"/>
      <c r="AF8" s="502"/>
      <c r="AG8" s="502"/>
      <c r="AH8" s="452"/>
      <c r="AI8" s="452"/>
      <c r="AJ8" s="452"/>
      <c r="AK8" s="452"/>
      <c r="AL8" s="452"/>
      <c r="AM8" s="519"/>
    </row>
    <row r="9" spans="1:39" ht="12" customHeight="1" thickBot="1" x14ac:dyDescent="0.3">
      <c r="D9" s="452"/>
      <c r="E9" s="452"/>
      <c r="F9" s="452"/>
      <c r="G9" s="452"/>
      <c r="H9" s="447"/>
      <c r="I9" s="527"/>
      <c r="J9" s="527"/>
      <c r="K9" s="527"/>
      <c r="L9" s="527"/>
      <c r="M9" s="527"/>
      <c r="N9" s="527"/>
      <c r="O9" s="527"/>
      <c r="P9" s="527"/>
      <c r="Q9" s="527"/>
      <c r="R9" s="452"/>
      <c r="S9" s="452"/>
      <c r="T9" s="452"/>
      <c r="U9" s="452"/>
      <c r="V9" s="452"/>
      <c r="W9" s="520"/>
      <c r="Y9" s="527"/>
      <c r="Z9" s="527"/>
      <c r="AA9" s="527"/>
      <c r="AB9" s="527"/>
      <c r="AC9" s="527"/>
      <c r="AD9" s="527"/>
      <c r="AE9" s="527"/>
      <c r="AF9" s="527"/>
      <c r="AG9" s="527"/>
      <c r="AH9" s="452"/>
      <c r="AI9" s="452"/>
      <c r="AJ9" s="452"/>
      <c r="AK9" s="452"/>
      <c r="AL9" s="452"/>
      <c r="AM9" s="520"/>
    </row>
    <row r="10" spans="1:39" ht="12" customHeight="1" x14ac:dyDescent="0.25">
      <c r="D10" s="62">
        <v>0</v>
      </c>
      <c r="E10" s="63">
        <f t="shared" ref="E10:E41" si="8">D10*D.cycleLength</f>
        <v>0</v>
      </c>
      <c r="F10" s="63">
        <f t="shared" ref="F10:F41" si="9">D.cohortAge+E10</f>
        <v>65</v>
      </c>
      <c r="G10" s="301">
        <f>MATCH(F10, Parameters!$D$523:$D$524, 1)</f>
        <v>1</v>
      </c>
      <c r="H10" s="62">
        <f t="shared" ref="H10:H41" si="10">IF(AND(E10&lt;=D.maxDurHPE, E11&gt;D.maxDurHPE), 1, 0)</f>
        <v>0</v>
      </c>
      <c r="I10" s="285">
        <f>CHOOSE(I2, 0, 1)</f>
        <v>0</v>
      </c>
      <c r="J10" s="285">
        <v>0</v>
      </c>
      <c r="K10" s="285">
        <v>0</v>
      </c>
      <c r="L10" s="285">
        <f>CHOOSE(L2, 1, 0)</f>
        <v>1</v>
      </c>
      <c r="M10" s="285">
        <v>0</v>
      </c>
      <c r="N10" s="285">
        <v>0</v>
      </c>
      <c r="O10" s="285">
        <v>0</v>
      </c>
      <c r="P10" s="285">
        <v>0</v>
      </c>
      <c r="Q10" s="285">
        <v>0</v>
      </c>
      <c r="R10" s="283">
        <f>IF($E10&gt;timeHorizon, "", SUM(I10:P10))</f>
        <v>1</v>
      </c>
      <c r="S10" s="418">
        <f t="shared" ref="S10:S41" si="11">1-Q10</f>
        <v>1</v>
      </c>
      <c r="T10" s="418">
        <f t="shared" ref="T10:T41" si="12">J10+M10</f>
        <v>0</v>
      </c>
      <c r="U10" s="418">
        <f t="shared" ref="U10:V41" si="13">K10+N10</f>
        <v>0</v>
      </c>
      <c r="V10" s="418">
        <f>T10+U10</f>
        <v>0</v>
      </c>
      <c r="W10" s="418">
        <v>0</v>
      </c>
      <c r="Y10" s="285">
        <f>CHOOSE(Y2, 0, 1)</f>
        <v>1</v>
      </c>
      <c r="Z10" s="285">
        <v>0</v>
      </c>
      <c r="AA10" s="285">
        <v>0</v>
      </c>
      <c r="AB10" s="285">
        <f>CHOOSE(AB2, 1, 0)</f>
        <v>0</v>
      </c>
      <c r="AC10" s="285">
        <v>0</v>
      </c>
      <c r="AD10" s="285">
        <v>0</v>
      </c>
      <c r="AE10" s="285">
        <v>0</v>
      </c>
      <c r="AF10" s="285">
        <v>0</v>
      </c>
      <c r="AG10" s="285">
        <v>0</v>
      </c>
      <c r="AH10" s="283">
        <f>IF($E10&gt;timeHorizon, "", SUM(Y10:AF10))</f>
        <v>1</v>
      </c>
      <c r="AI10" s="320">
        <f t="shared" ref="AI10:AI41" si="14">1-AG10</f>
        <v>1</v>
      </c>
      <c r="AJ10" s="320">
        <f t="shared" ref="AJ10:AJ41" si="15">Z10+AC10</f>
        <v>0</v>
      </c>
      <c r="AK10" s="320">
        <f t="shared" ref="AK10:AK41" si="16">AA10+AD10</f>
        <v>0</v>
      </c>
      <c r="AL10" s="418">
        <f>AJ10+AK10</f>
        <v>0</v>
      </c>
      <c r="AM10" s="418">
        <v>0</v>
      </c>
    </row>
    <row r="11" spans="1:39" ht="12" customHeight="1" x14ac:dyDescent="0.25">
      <c r="B11" s="321"/>
      <c r="D11" s="62">
        <f t="shared" ref="D11:D42" si="17">D10+1</f>
        <v>1</v>
      </c>
      <c r="E11" s="63">
        <f t="shared" si="8"/>
        <v>0.25</v>
      </c>
      <c r="F11" s="63">
        <f t="shared" si="9"/>
        <v>65.25</v>
      </c>
      <c r="G11" s="301">
        <f>MATCH(F11, Parameters!$D$523:$D$524, 1)</f>
        <v>1</v>
      </c>
      <c r="H11" s="62">
        <f t="shared" si="10"/>
        <v>0</v>
      </c>
      <c r="I11" s="285">
        <f t="array" aca="1" ref="I11:Q11" ca="1">IF($E11&gt;timeHorizon, 0, MMULT(I10:Q10*(1-$H11), OFFSET(D.rngTPM.Q_I.Root, ($G10-1)*9, 0)) + MMULT(I10:Q10*$H11, OFFSET(D.rngTPM.Q_I.Root, ($G10-1)*9, 12)))</f>
        <v>0</v>
      </c>
      <c r="J11" s="285">
        <f ca="1"/>
        <v>0.33640798151276058</v>
      </c>
      <c r="K11" s="285">
        <f ca="1"/>
        <v>0.20971268605323595</v>
      </c>
      <c r="L11" s="285">
        <f ca="1"/>
        <v>0.42748511039275194</v>
      </c>
      <c r="M11" s="285">
        <f ca="1"/>
        <v>0</v>
      </c>
      <c r="N11" s="285">
        <f ca="1"/>
        <v>0</v>
      </c>
      <c r="O11" s="285">
        <f ca="1"/>
        <v>0</v>
      </c>
      <c r="P11" s="285">
        <f ca="1"/>
        <v>0</v>
      </c>
      <c r="Q11" s="285">
        <f ca="1"/>
        <v>2.6394222041251525E-2</v>
      </c>
      <c r="R11" s="283">
        <f t="shared" ref="R11:R42" ca="1" si="18">IF($E11&gt;timeHorizon, "", SUM(I11:Q11))</f>
        <v>1</v>
      </c>
      <c r="S11" s="418">
        <f t="shared" ca="1" si="11"/>
        <v>0.97360577795874848</v>
      </c>
      <c r="T11" s="418">
        <f t="shared" ca="1" si="12"/>
        <v>0.33640798151276058</v>
      </c>
      <c r="U11" s="418">
        <f t="shared" ca="1" si="13"/>
        <v>0.20971268605323595</v>
      </c>
      <c r="V11" s="418">
        <f t="shared" ca="1" si="13"/>
        <v>0.42748511039275194</v>
      </c>
      <c r="W11" s="418">
        <f ca="1">PRODUCT(I10*(1-$H11), SUM(OFFSET(D.TPMs!$L$7:$M$7, ($G10-1)*9, 0), OFFSET(D.TPMs!$O$7:$P$7, ($G10-1)*9, 0)))
+PRODUCT(I10*$H11,     SUM(OFFSET(D.TPMs!$L$7:$M$7, ($G10-1)*9, 12), OFFSET(D.TPMs!$O$7:$P$7, ($G10-1)*9, 12)))
+PRODUCT(L10*(1-$H11), SUM(OFFSET(D.TPMs!$L$10:$M$10, ($G10-1)*9, 0), OFFSET(D.TPMs!$O$10:$P$10, ($G10-1)*9, 0)))
+PRODUCT(L10*$H11,     SUM(OFFSET(D.TPMs!$L$10:$M$10, ($G10-1)*9, 12), OFFSET(D.TPMs!$O$10:$P$10, ($G10-1)*9, 12)))</f>
        <v>0.54612066756599653</v>
      </c>
      <c r="Y11" s="285">
        <f t="array" aca="1" ref="Y11:AG11" ca="1">IF($E11&gt;timeHorizon, 0, MMULT(Y10:AG10*(1-$H11), OFFSET(D.rngTPM.Q_I.Root, ($G10-1)*9, 0)) + MMULT(Y10:AG10*$H11, OFFSET(D.rngTPM.Q_I.Root, ($G10-1)*9, 12)))</f>
        <v>0.50751968415531279</v>
      </c>
      <c r="Z11" s="285">
        <f ca="1"/>
        <v>0.29000688061444879</v>
      </c>
      <c r="AA11" s="285">
        <f ca="1"/>
        <v>0.18078679832175515</v>
      </c>
      <c r="AB11" s="285">
        <f ca="1"/>
        <v>0</v>
      </c>
      <c r="AC11" s="285">
        <f ca="1"/>
        <v>0</v>
      </c>
      <c r="AD11" s="285">
        <f ca="1"/>
        <v>0</v>
      </c>
      <c r="AE11" s="285">
        <f ca="1"/>
        <v>0</v>
      </c>
      <c r="AF11" s="285">
        <f ca="1"/>
        <v>0</v>
      </c>
      <c r="AG11" s="285">
        <f ca="1"/>
        <v>2.168663690848327E-2</v>
      </c>
      <c r="AH11" s="283">
        <f t="shared" ref="AH11:AH42" ca="1" si="19">IF($E11&gt;timeHorizon, "", SUM(Y11:AG11))</f>
        <v>1</v>
      </c>
      <c r="AI11" s="320">
        <f t="shared" ca="1" si="14"/>
        <v>0.97831336309151673</v>
      </c>
      <c r="AJ11" s="320">
        <f t="shared" ca="1" si="15"/>
        <v>0.29000688061444879</v>
      </c>
      <c r="AK11" s="320">
        <f t="shared" ca="1" si="16"/>
        <v>0.18078679832175515</v>
      </c>
      <c r="AL11" s="418">
        <f t="shared" ref="AL11:AL74" ca="1" si="20">AB11+AE11</f>
        <v>0</v>
      </c>
      <c r="AM11" s="418">
        <f ca="1">PRODUCT(Y10*(1-$H11), SUM(OFFSET(D.TPMs!$L$7:$M$7, ($G10-1)*9, 0), OFFSET(D.TPMs!$O$7:$P$7, ($G10-1)*9, 0)))
+PRODUCT(Y10*$H11,     SUM(OFFSET(D.TPMs!$L$7:$M$7, ($G10-1)*9, 12), OFFSET(D.TPMs!$O$7:$P$7, ($G10-1)*9, 12)))
+PRODUCT(AB10*(1-$H11), SUM(OFFSET(D.TPMs!$L$10:$M$10, ($G10-1)*9, 0), OFFSET(D.TPMs!$O$10:$P$10, ($G10-1)*9, 0)))
+PRODUCT(AB10*$H11,     SUM(OFFSET(D.TPMs!$L$10:$M$10, ($G10-1)*9, 12), OFFSET(D.TPMs!$O$10:$P$10, ($G10-1)*9, 12)))</f>
        <v>0.47079367893620394</v>
      </c>
    </row>
    <row r="12" spans="1:39" ht="12" customHeight="1" x14ac:dyDescent="0.25">
      <c r="B12" s="321"/>
      <c r="D12" s="62">
        <f t="shared" si="17"/>
        <v>2</v>
      </c>
      <c r="E12" s="63">
        <f t="shared" si="8"/>
        <v>0.5</v>
      </c>
      <c r="F12" s="63">
        <f t="shared" si="9"/>
        <v>65.5</v>
      </c>
      <c r="G12" s="301">
        <f>MATCH(F12, Parameters!$D$523:$D$524, 1)</f>
        <v>1</v>
      </c>
      <c r="H12" s="62">
        <f t="shared" si="10"/>
        <v>0</v>
      </c>
      <c r="I12" s="285">
        <f t="array" aca="1" ref="I12:Q12" ca="1">IF($E12&gt;timeHorizon, 0, MMULT(I11:Q11*(1-$H12), OFFSET(D.rngTPM.Q_I.Root, ($G11-1)*9, 0)) + MMULT(I11:Q11*$H12, OFFSET(D.rngTPM.Q_I.Root, ($G11-1)*9, 12)))</f>
        <v>0</v>
      </c>
      <c r="J12" s="285">
        <f ca="1"/>
        <v>0.30218815435388036</v>
      </c>
      <c r="K12" s="285">
        <f ca="1"/>
        <v>0.1883804577348242</v>
      </c>
      <c r="L12" s="285">
        <f ca="1"/>
        <v>0.18274351960750332</v>
      </c>
      <c r="M12" s="285">
        <f ca="1"/>
        <v>0</v>
      </c>
      <c r="N12" s="285">
        <f ca="1"/>
        <v>0</v>
      </c>
      <c r="O12" s="285">
        <f ca="1"/>
        <v>0.25381941500546956</v>
      </c>
      <c r="P12" s="285">
        <f ca="1"/>
        <v>0</v>
      </c>
      <c r="Q12" s="285">
        <f ca="1"/>
        <v>7.2868453298322561E-2</v>
      </c>
      <c r="R12" s="283">
        <f t="shared" ca="1" si="18"/>
        <v>1</v>
      </c>
      <c r="S12" s="418">
        <f t="shared" ca="1" si="11"/>
        <v>0.92713154670167741</v>
      </c>
      <c r="T12" s="418">
        <f t="shared" ca="1" si="12"/>
        <v>0.30218815435388036</v>
      </c>
      <c r="U12" s="418">
        <f t="shared" ca="1" si="13"/>
        <v>0.1883804577348242</v>
      </c>
      <c r="V12" s="418">
        <f t="shared" ca="1" si="13"/>
        <v>0.43656293461297291</v>
      </c>
      <c r="W12" s="418">
        <f ca="1">PRODUCT(I11*(1-$H12), SUM(OFFSET(D.TPMs!$L$7:$M$7, ($G11-1)*9, 0), OFFSET(D.TPMs!$O$7:$P$7, ($G11-1)*9, 0)))
+PRODUCT(I11*$H12,     SUM(OFFSET(D.TPMs!$L$7:$M$7, ($G11-1)*9, 12), OFFSET(D.TPMs!$O$7:$P$7, ($G11-1)*9, 12)))
+PRODUCT(L11*(1-$H12), SUM(OFFSET(D.TPMs!$L$10:$M$10, ($G11-1)*9, 0), OFFSET(D.TPMs!$O$10:$P$10, ($G11-1)*9, 0)))
+PRODUCT(L11*$H12,     SUM(OFFSET(D.TPMs!$L$10:$M$10, ($G11-1)*9, 12), OFFSET(D.TPMs!$O$10:$P$10, ($G11-1)*9, 12)))</f>
        <v>0.23345845386221342</v>
      </c>
      <c r="Y12" s="285">
        <f t="array" aca="1" ref="Y12:AG12" ca="1">IF($E12&gt;timeHorizon, 0, MMULT(Y11:AG11*(1-$H12), OFFSET(D.rngTPM.Q_I.Root, ($G11-1)*9, 0)) + MMULT(Y11:AG11*$H12, OFFSET(D.rngTPM.Q_I.Root, ($G11-1)*9, 12)))</f>
        <v>0.25757622980510847</v>
      </c>
      <c r="Z12" s="285">
        <f ca="1"/>
        <v>0.28371760669360141</v>
      </c>
      <c r="AA12" s="285">
        <f ca="1"/>
        <v>0.17686614066870404</v>
      </c>
      <c r="AB12" s="285">
        <f ca="1"/>
        <v>0</v>
      </c>
      <c r="AC12" s="285">
        <f ca="1"/>
        <v>0</v>
      </c>
      <c r="AD12" s="285">
        <f ca="1"/>
        <v>0</v>
      </c>
      <c r="AE12" s="285">
        <f ca="1"/>
        <v>0.21880984052195657</v>
      </c>
      <c r="AF12" s="285">
        <f ca="1"/>
        <v>0</v>
      </c>
      <c r="AG12" s="285">
        <f ca="1"/>
        <v>6.3030182310629568E-2</v>
      </c>
      <c r="AH12" s="283">
        <f t="shared" ca="1" si="19"/>
        <v>1</v>
      </c>
      <c r="AI12" s="320">
        <f t="shared" ca="1" si="14"/>
        <v>0.93696981768937038</v>
      </c>
      <c r="AJ12" s="320">
        <f t="shared" ca="1" si="15"/>
        <v>0.28371760669360141</v>
      </c>
      <c r="AK12" s="320">
        <f t="shared" ca="1" si="16"/>
        <v>0.17686614066870404</v>
      </c>
      <c r="AL12" s="418">
        <f t="shared" ca="1" si="20"/>
        <v>0.21880984052195657</v>
      </c>
      <c r="AM12" s="418">
        <f ca="1">PRODUCT(Y11*(1-$H12), SUM(OFFSET(D.TPMs!$L$7:$M$7, ($G11-1)*9, 0), OFFSET(D.TPMs!$O$7:$P$7, ($G11-1)*9, 0)))
+PRODUCT(Y11*$H12,     SUM(OFFSET(D.TPMs!$L$7:$M$7, ($G11-1)*9, 12), OFFSET(D.TPMs!$O$7:$P$7, ($G11-1)*9, 12)))
+PRODUCT(AB11*(1-$H12), SUM(OFFSET(D.TPMs!$L$10:$M$10, ($G11-1)*9, 0), OFFSET(D.TPMs!$O$10:$P$10, ($G11-1)*9, 0)))
+PRODUCT(AB11*$H12,     SUM(OFFSET(D.TPMs!$L$10:$M$10, ($G11-1)*9, 12), OFFSET(D.TPMs!$O$10:$P$10, ($G11-1)*9, 12)))</f>
        <v>0.23893705923601996</v>
      </c>
    </row>
    <row r="13" spans="1:39" ht="12" customHeight="1" x14ac:dyDescent="0.25">
      <c r="B13" s="321"/>
      <c r="D13" s="62">
        <f t="shared" si="17"/>
        <v>3</v>
      </c>
      <c r="E13" s="63">
        <f t="shared" si="8"/>
        <v>0.75</v>
      </c>
      <c r="F13" s="63">
        <f t="shared" si="9"/>
        <v>65.75</v>
      </c>
      <c r="G13" s="301">
        <f>MATCH(F13, Parameters!$D$523:$D$524, 1)</f>
        <v>1</v>
      </c>
      <c r="H13" s="62">
        <f t="shared" si="10"/>
        <v>0</v>
      </c>
      <c r="I13" s="285">
        <f t="array" aca="1" ref="I13:Q13" ca="1">IF($E13&gt;timeHorizon, 0, MMULT(I12:Q12*(1-$H13), OFFSET(D.rngTPM.Q_I.Root, ($G12-1)*9, 0)) + MMULT(I12:Q12*$H13, OFFSET(D.rngTPM.Q_I.Root, ($G12-1)*9, 12)))</f>
        <v>0</v>
      </c>
      <c r="J13" s="285">
        <f ca="1"/>
        <v>0.27735402827002298</v>
      </c>
      <c r="K13" s="285">
        <f ca="1"/>
        <v>0.17289916248311538</v>
      </c>
      <c r="L13" s="285">
        <f ca="1"/>
        <v>7.8120133652973586E-2</v>
      </c>
      <c r="M13" s="285">
        <f ca="1"/>
        <v>0</v>
      </c>
      <c r="N13" s="285">
        <f ca="1"/>
        <v>0</v>
      </c>
      <c r="O13" s="285">
        <f ca="1"/>
        <v>0.3568189461553592</v>
      </c>
      <c r="P13" s="285">
        <f ca="1"/>
        <v>0</v>
      </c>
      <c r="Q13" s="285">
        <f ca="1"/>
        <v>0.11480772943852882</v>
      </c>
      <c r="R13" s="283">
        <f t="shared" ca="1" si="18"/>
        <v>1</v>
      </c>
      <c r="S13" s="418">
        <f t="shared" ca="1" si="11"/>
        <v>0.88519227056147121</v>
      </c>
      <c r="T13" s="418">
        <f t="shared" ca="1" si="12"/>
        <v>0.27735402827002298</v>
      </c>
      <c r="U13" s="418">
        <f t="shared" ca="1" si="13"/>
        <v>0.17289916248311538</v>
      </c>
      <c r="V13" s="418">
        <f t="shared" ca="1" si="13"/>
        <v>0.4349390798083328</v>
      </c>
      <c r="W13" s="418">
        <f ca="1">PRODUCT(I12*(1-$H13), SUM(OFFSET(D.TPMs!$L$7:$M$7, ($G12-1)*9, 0), OFFSET(D.TPMs!$O$7:$P$7, ($G12-1)*9, 0)))
+PRODUCT(I12*$H13,     SUM(OFFSET(D.TPMs!$L$7:$M$7, ($G12-1)*9, 12), OFFSET(D.TPMs!$O$7:$P$7, ($G12-1)*9, 12)))
+PRODUCT(L12*(1-$H13), SUM(OFFSET(D.TPMs!$L$10:$M$10, ($G12-1)*9, 0), OFFSET(D.TPMs!$O$10:$P$10, ($G12-1)*9, 0)))
+PRODUCT(L12*$H13,     SUM(OFFSET(D.TPMs!$L$10:$M$10, ($G12-1)*9, 12), OFFSET(D.TPMs!$O$10:$P$10, ($G12-1)*9, 12)))</f>
        <v>9.9800012921409484E-2</v>
      </c>
      <c r="Y13" s="285">
        <f t="array" aca="1" ref="Y13:AG13" ca="1">IF($E13&gt;timeHorizon, 0, MMULT(Y12:AG12*(1-$H13), OFFSET(D.rngTPM.Q_I.Root, ($G12-1)*9, 0)) + MMULT(Y12:AG12*$H13, OFFSET(D.rngTPM.Q_I.Root, ($G12-1)*9, 12)))</f>
        <v>0.13072500679660493</v>
      </c>
      <c r="Z13" s="285">
        <f ca="1"/>
        <v>0.27172769405798314</v>
      </c>
      <c r="AA13" s="285">
        <f ca="1"/>
        <v>0.16939177346417994</v>
      </c>
      <c r="AB13" s="285">
        <f ca="1"/>
        <v>0</v>
      </c>
      <c r="AC13" s="285">
        <f ca="1"/>
        <v>0</v>
      </c>
      <c r="AD13" s="285">
        <f ca="1"/>
        <v>0</v>
      </c>
      <c r="AE13" s="285">
        <f ca="1"/>
        <v>0.32511489211033151</v>
      </c>
      <c r="AF13" s="285">
        <f ca="1"/>
        <v>0</v>
      </c>
      <c r="AG13" s="285">
        <f ca="1"/>
        <v>0.1030406335709006</v>
      </c>
      <c r="AH13" s="283">
        <f t="shared" ca="1" si="19"/>
        <v>1.0000000000000002</v>
      </c>
      <c r="AI13" s="320">
        <f t="shared" ca="1" si="14"/>
        <v>0.89695936642909935</v>
      </c>
      <c r="AJ13" s="320">
        <f t="shared" ca="1" si="15"/>
        <v>0.27172769405798314</v>
      </c>
      <c r="AK13" s="320">
        <f t="shared" ca="1" si="16"/>
        <v>0.16939177346417994</v>
      </c>
      <c r="AL13" s="418">
        <f t="shared" ca="1" si="20"/>
        <v>0.32511489211033151</v>
      </c>
      <c r="AM13" s="418">
        <f ca="1">PRODUCT(Y12*(1-$H13), SUM(OFFSET(D.TPMs!$L$7:$M$7, ($G12-1)*9, 0), OFFSET(D.TPMs!$O$7:$P$7, ($G12-1)*9, 0)))
+PRODUCT(Y12*$H13,     SUM(OFFSET(D.TPMs!$L$7:$M$7, ($G12-1)*9, 12), OFFSET(D.TPMs!$O$7:$P$7, ($G12-1)*9, 12)))
+PRODUCT(AB12*(1-$H13), SUM(OFFSET(D.TPMs!$L$10:$M$10, ($G12-1)*9, 0), OFFSET(D.TPMs!$O$10:$P$10, ($G12-1)*9, 0)))
+PRODUCT(AB12*$H13,     SUM(OFFSET(D.TPMs!$L$10:$M$10, ($G12-1)*9, 12), OFFSET(D.TPMs!$O$10:$P$10, ($G12-1)*9, 12)))</f>
        <v>0.12126526083646412</v>
      </c>
    </row>
    <row r="14" spans="1:39" ht="12" customHeight="1" x14ac:dyDescent="0.25">
      <c r="B14" s="321"/>
      <c r="D14" s="62">
        <f t="shared" si="17"/>
        <v>4</v>
      </c>
      <c r="E14" s="63">
        <f t="shared" si="8"/>
        <v>1</v>
      </c>
      <c r="F14" s="63">
        <f t="shared" si="9"/>
        <v>66</v>
      </c>
      <c r="G14" s="301">
        <f>MATCH(F14, Parameters!$D$523:$D$524, 1)</f>
        <v>1</v>
      </c>
      <c r="H14" s="62">
        <f t="shared" si="10"/>
        <v>0</v>
      </c>
      <c r="I14" s="285">
        <f t="array" aca="1" ref="I14:Q14" ca="1">IF($E14&gt;timeHorizon, 0, MMULT(I13:Q13*(1-$H14), OFFSET(D.rngTPM.Q_I.Root, ($G13-1)*9, 0)) + MMULT(I13:Q13*$H14, OFFSET(D.rngTPM.Q_I.Root, ($G13-1)*9, 12)))</f>
        <v>0</v>
      </c>
      <c r="J14" s="285">
        <f ca="1"/>
        <v>0.26033670933337461</v>
      </c>
      <c r="K14" s="285">
        <f ca="1"/>
        <v>0.16229077070958739</v>
      </c>
      <c r="L14" s="285">
        <f ca="1"/>
        <v>3.3395193958537947E-2</v>
      </c>
      <c r="M14" s="285">
        <f ca="1"/>
        <v>0</v>
      </c>
      <c r="N14" s="285">
        <f ca="1"/>
        <v>0</v>
      </c>
      <c r="O14" s="285">
        <f ca="1"/>
        <v>0.39035591759114663</v>
      </c>
      <c r="P14" s="285">
        <f ca="1"/>
        <v>0</v>
      </c>
      <c r="Q14" s="285">
        <f ca="1"/>
        <v>0.15362140840735339</v>
      </c>
      <c r="R14" s="283">
        <f t="shared" ca="1" si="18"/>
        <v>1</v>
      </c>
      <c r="S14" s="418">
        <f t="shared" ca="1" si="11"/>
        <v>0.84637859159264661</v>
      </c>
      <c r="T14" s="418">
        <f t="shared" ca="1" si="12"/>
        <v>0.26033670933337461</v>
      </c>
      <c r="U14" s="418">
        <f t="shared" ca="1" si="13"/>
        <v>0.16229077070958739</v>
      </c>
      <c r="V14" s="418">
        <f t="shared" ca="1" si="13"/>
        <v>0.42375111154968459</v>
      </c>
      <c r="W14" s="418">
        <f ca="1">PRODUCT(I13*(1-$H14), SUM(OFFSET(D.TPMs!$L$7:$M$7, ($G13-1)*9, 0), OFFSET(D.TPMs!$O$7:$P$7, ($G13-1)*9, 0)))
+PRODUCT(I13*$H14,     SUM(OFFSET(D.TPMs!$L$7:$M$7, ($G13-1)*9, 12), OFFSET(D.TPMs!$O$7:$P$7, ($G13-1)*9, 12)))
+PRODUCT(L13*(1-$H14), SUM(OFFSET(D.TPMs!$L$10:$M$10, ($G13-1)*9, 0), OFFSET(D.TPMs!$O$10:$P$10, ($G13-1)*9, 0)))
+PRODUCT(L13*$H14,     SUM(OFFSET(D.TPMs!$L$10:$M$10, ($G13-1)*9, 12), OFFSET(D.TPMs!$O$10:$P$10, ($G13-1)*9, 12)))</f>
        <v>4.2663019540906809E-2</v>
      </c>
      <c r="Y14" s="285">
        <f t="array" aca="1" ref="Y14:AG14" ca="1">IF($E14&gt;timeHorizon, 0, MMULT(Y13:AG13*(1-$H14), OFFSET(D.rngTPM.Q_I.Root, ($G13-1)*9, 0)) + MMULT(Y13:AG13*$H14, OFFSET(D.rngTPM.Q_I.Root, ($G13-1)*9, 12)))</f>
        <v>6.6345514160614044E-2</v>
      </c>
      <c r="Z14" s="285">
        <f ca="1"/>
        <v>0.2601243878960155</v>
      </c>
      <c r="AA14" s="285">
        <f ca="1"/>
        <v>0.16215841208142689</v>
      </c>
      <c r="AB14" s="285">
        <f ca="1"/>
        <v>0</v>
      </c>
      <c r="AC14" s="285">
        <f ca="1"/>
        <v>0</v>
      </c>
      <c r="AD14" s="285">
        <f ca="1"/>
        <v>0</v>
      </c>
      <c r="AE14" s="285">
        <f ca="1"/>
        <v>0.37002042374052191</v>
      </c>
      <c r="AF14" s="285">
        <f ca="1"/>
        <v>0</v>
      </c>
      <c r="AG14" s="285">
        <f ca="1"/>
        <v>0.14135126212142177</v>
      </c>
      <c r="AH14" s="283">
        <f t="shared" ca="1" si="19"/>
        <v>1</v>
      </c>
      <c r="AI14" s="320">
        <f t="shared" ca="1" si="14"/>
        <v>0.85864873787857821</v>
      </c>
      <c r="AJ14" s="320">
        <f t="shared" ca="1" si="15"/>
        <v>0.2601243878960155</v>
      </c>
      <c r="AK14" s="320">
        <f t="shared" ca="1" si="16"/>
        <v>0.16215841208142689</v>
      </c>
      <c r="AL14" s="418">
        <f t="shared" ca="1" si="20"/>
        <v>0.37002042374052191</v>
      </c>
      <c r="AM14" s="418">
        <f ca="1">PRODUCT(Y13*(1-$H14), SUM(OFFSET(D.TPMs!$L$7:$M$7, ($G13-1)*9, 0), OFFSET(D.TPMs!$O$7:$P$7, ($G13-1)*9, 0)))
+PRODUCT(Y13*$H14,     SUM(OFFSET(D.TPMs!$L$7:$M$7, ($G13-1)*9, 12), OFFSET(D.TPMs!$O$7:$P$7, ($G13-1)*9, 12)))
+PRODUCT(AB13*(1-$H14), SUM(OFFSET(D.TPMs!$L$10:$M$10, ($G13-1)*9, 0), OFFSET(D.TPMs!$O$10:$P$10, ($G13-1)*9, 0)))
+PRODUCT(AB13*$H14,     SUM(OFFSET(D.TPMs!$L$10:$M$10, ($G13-1)*9, 12), OFFSET(D.TPMs!$O$10:$P$10, ($G13-1)*9, 12)))</f>
        <v>6.1544506878733897E-2</v>
      </c>
    </row>
    <row r="15" spans="1:39" ht="12" customHeight="1" x14ac:dyDescent="0.25">
      <c r="B15" s="321"/>
      <c r="D15" s="62">
        <f t="shared" si="17"/>
        <v>5</v>
      </c>
      <c r="E15" s="63">
        <f t="shared" si="8"/>
        <v>1.25</v>
      </c>
      <c r="F15" s="63">
        <f t="shared" si="9"/>
        <v>66.25</v>
      </c>
      <c r="G15" s="301">
        <f>MATCH(F15, Parameters!$D$523:$D$524, 1)</f>
        <v>1</v>
      </c>
      <c r="H15" s="62">
        <f t="shared" si="10"/>
        <v>0</v>
      </c>
      <c r="I15" s="285">
        <f t="array" aca="1" ref="I15:Q15" ca="1">IF($E15&gt;timeHorizon, 0, MMULT(I14:Q14*(1-$H15), OFFSET(D.rngTPM.Q_I.Root, ($G14-1)*9, 0)) + MMULT(I14:Q14*$H15, OFFSET(D.rngTPM.Q_I.Root, ($G14-1)*9, 12)))</f>
        <v>0</v>
      </c>
      <c r="J15" s="285">
        <f ca="1"/>
        <v>0.24700518893102277</v>
      </c>
      <c r="K15" s="285">
        <f ca="1"/>
        <v>0.15398006137332665</v>
      </c>
      <c r="L15" s="285">
        <f ca="1"/>
        <v>1.4275948175952957E-2</v>
      </c>
      <c r="M15" s="285">
        <f ca="1"/>
        <v>0</v>
      </c>
      <c r="N15" s="285">
        <f ca="1"/>
        <v>0</v>
      </c>
      <c r="O15" s="285">
        <f ca="1"/>
        <v>0.39453704419462587</v>
      </c>
      <c r="P15" s="285">
        <f ca="1"/>
        <v>0</v>
      </c>
      <c r="Q15" s="285">
        <f ca="1"/>
        <v>0.19020175732507166</v>
      </c>
      <c r="R15" s="283">
        <f t="shared" ca="1" si="18"/>
        <v>0.99999999999999978</v>
      </c>
      <c r="S15" s="418">
        <f t="shared" ca="1" si="11"/>
        <v>0.80979824267492839</v>
      </c>
      <c r="T15" s="418">
        <f t="shared" ca="1" si="12"/>
        <v>0.24700518893102277</v>
      </c>
      <c r="U15" s="418">
        <f t="shared" ca="1" si="13"/>
        <v>0.15398006137332665</v>
      </c>
      <c r="V15" s="418">
        <f t="shared" ca="1" si="13"/>
        <v>0.40881299237057883</v>
      </c>
      <c r="W15" s="418">
        <f ca="1">PRODUCT(I14*(1-$H15), SUM(OFFSET(D.TPMs!$L$7:$M$7, ($G14-1)*9, 0), OFFSET(D.TPMs!$O$7:$P$7, ($G14-1)*9, 0)))
+PRODUCT(I14*$H15,     SUM(OFFSET(D.TPMs!$L$7:$M$7, ($G14-1)*9, 12), OFFSET(D.TPMs!$O$7:$P$7, ($G14-1)*9, 12)))
+PRODUCT(L14*(1-$H15), SUM(OFFSET(D.TPMs!$L$10:$M$10, ($G14-1)*9, 0), OFFSET(D.TPMs!$O$10:$P$10, ($G14-1)*9, 0)))
+PRODUCT(L14*$H15,     SUM(OFFSET(D.TPMs!$L$10:$M$10, ($G14-1)*9, 12), OFFSET(D.TPMs!$O$10:$P$10, ($G14-1)*9, 12)))</f>
        <v>1.8237805618132676E-2</v>
      </c>
      <c r="Y15" s="285">
        <f t="array" aca="1" ref="Y15:AG15" ca="1">IF($E15&gt;timeHorizon, 0, MMULT(Y14:AG14*(1-$H15), OFFSET(D.rngTPM.Q_I.Root, ($G14-1)*9, 0)) + MMULT(Y14:AG14*$H15, OFFSET(D.rngTPM.Q_I.Root, ($G14-1)*9, 12)))</f>
        <v>3.3671654391916675E-2</v>
      </c>
      <c r="Z15" s="285">
        <f ca="1"/>
        <v>0.24901404201570002</v>
      </c>
      <c r="AA15" s="285">
        <f ca="1"/>
        <v>0.15523235620408415</v>
      </c>
      <c r="AB15" s="285">
        <f ca="1"/>
        <v>0</v>
      </c>
      <c r="AC15" s="285">
        <f ca="1"/>
        <v>0</v>
      </c>
      <c r="AD15" s="285">
        <f ca="1"/>
        <v>0</v>
      </c>
      <c r="AE15" s="285">
        <f ca="1"/>
        <v>0.38405618451083112</v>
      </c>
      <c r="AF15" s="285">
        <f ca="1"/>
        <v>0</v>
      </c>
      <c r="AG15" s="285">
        <f ca="1"/>
        <v>0.17802576287746816</v>
      </c>
      <c r="AH15" s="283">
        <f t="shared" ca="1" si="19"/>
        <v>1.0000000000000002</v>
      </c>
      <c r="AI15" s="320">
        <f t="shared" ca="1" si="14"/>
        <v>0.82197423712253181</v>
      </c>
      <c r="AJ15" s="320">
        <f t="shared" ca="1" si="15"/>
        <v>0.24901404201570002</v>
      </c>
      <c r="AK15" s="320">
        <f t="shared" ca="1" si="16"/>
        <v>0.15523235620408415</v>
      </c>
      <c r="AL15" s="418">
        <f t="shared" ca="1" si="20"/>
        <v>0.38405618451083112</v>
      </c>
      <c r="AM15" s="418">
        <f ca="1">PRODUCT(Y14*(1-$H15), SUM(OFFSET(D.TPMs!$L$7:$M$7, ($G14-1)*9, 0), OFFSET(D.TPMs!$O$7:$P$7, ($G14-1)*9, 0)))
+PRODUCT(Y14*$H15,     SUM(OFFSET(D.TPMs!$L$7:$M$7, ($G14-1)*9, 12), OFFSET(D.TPMs!$O$7:$P$7, ($G14-1)*9, 12)))
+PRODUCT(AB14*(1-$H15), SUM(OFFSET(D.TPMs!$L$10:$M$10, ($G14-1)*9, 0), OFFSET(D.TPMs!$O$10:$P$10, ($G14-1)*9, 0)))
+PRODUCT(AB14*$H15,     SUM(OFFSET(D.TPMs!$L$10:$M$10, ($G14-1)*9, 12), OFFSET(D.TPMs!$O$10:$P$10, ($G14-1)*9, 12)))</f>
        <v>3.1235048692589501E-2</v>
      </c>
    </row>
    <row r="16" spans="1:39" ht="12" customHeight="1" x14ac:dyDescent="0.25">
      <c r="B16" s="321"/>
      <c r="D16" s="62">
        <f t="shared" si="17"/>
        <v>6</v>
      </c>
      <c r="E16" s="63">
        <f t="shared" si="8"/>
        <v>1.5</v>
      </c>
      <c r="F16" s="63">
        <f t="shared" si="9"/>
        <v>66.5</v>
      </c>
      <c r="G16" s="301">
        <f>MATCH(F16, Parameters!$D$523:$D$524, 1)</f>
        <v>1</v>
      </c>
      <c r="H16" s="62">
        <f t="shared" si="10"/>
        <v>0</v>
      </c>
      <c r="I16" s="285">
        <f t="array" aca="1" ref="I16:Q16" ca="1">IF($E16&gt;timeHorizon, 0, MMULT(I15:Q15*(1-$H16), OFFSET(D.rngTPM.Q_I.Root, ($G15-1)*9, 0)) + MMULT(I15:Q15*$H16, OFFSET(D.rngTPM.Q_I.Root, ($G15-1)*9, 12)))</f>
        <v>0</v>
      </c>
      <c r="J16" s="285">
        <f ca="1"/>
        <v>0.23550948199694982</v>
      </c>
      <c r="K16" s="285">
        <f ca="1"/>
        <v>0.14681377605398205</v>
      </c>
      <c r="L16" s="285">
        <f ca="1"/>
        <v>6.1027552819584554E-3</v>
      </c>
      <c r="M16" s="285">
        <f ca="1"/>
        <v>0</v>
      </c>
      <c r="N16" s="285">
        <f ca="1"/>
        <v>0</v>
      </c>
      <c r="O16" s="285">
        <f ca="1"/>
        <v>0.38660043223509521</v>
      </c>
      <c r="P16" s="285">
        <f ca="1"/>
        <v>0</v>
      </c>
      <c r="Q16" s="285">
        <f ca="1"/>
        <v>0.22497355443201442</v>
      </c>
      <c r="R16" s="283">
        <f t="shared" ca="1" si="18"/>
        <v>1</v>
      </c>
      <c r="S16" s="418">
        <f t="shared" ca="1" si="11"/>
        <v>0.77502644556798561</v>
      </c>
      <c r="T16" s="418">
        <f t="shared" ca="1" si="12"/>
        <v>0.23550948199694982</v>
      </c>
      <c r="U16" s="418">
        <f t="shared" ca="1" si="13"/>
        <v>0.14681377605398205</v>
      </c>
      <c r="V16" s="418">
        <f t="shared" ca="1" si="13"/>
        <v>0.39270318751705369</v>
      </c>
      <c r="W16" s="418">
        <f ca="1">PRODUCT(I15*(1-$H16), SUM(OFFSET(D.TPMs!$L$7:$M$7, ($G15-1)*9, 0), OFFSET(D.TPMs!$O$7:$P$7, ($G15-1)*9, 0)))
+PRODUCT(I15*$H16,     SUM(OFFSET(D.TPMs!$L$7:$M$7, ($G15-1)*9, 12), OFFSET(D.TPMs!$O$7:$P$7, ($G15-1)*9, 12)))
+PRODUCT(L15*(1-$H16), SUM(OFFSET(D.TPMs!$L$10:$M$10, ($G15-1)*9, 0), OFFSET(D.TPMs!$O$10:$P$10, ($G15-1)*9, 0)))
+PRODUCT(L15*$H16,     SUM(OFFSET(D.TPMs!$L$10:$M$10, ($G15-1)*9, 12), OFFSET(D.TPMs!$O$10:$P$10, ($G15-1)*9, 12)))</f>
        <v>7.7963903479889999E-3</v>
      </c>
      <c r="Y16" s="285">
        <f t="array" aca="1" ref="Y16:AG16" ca="1">IF($E16&gt;timeHorizon, 0, MMULT(Y15:AG15*(1-$H16), OFFSET(D.rngTPM.Q_I.Root, ($G15-1)*9, 0)) + MMULT(Y15:AG15*$H16, OFFSET(D.rngTPM.Q_I.Root, ($G15-1)*9, 12)))</f>
        <v>1.7089027401972403E-2</v>
      </c>
      <c r="Z16" s="285">
        <f ca="1"/>
        <v>0.23837818445334674</v>
      </c>
      <c r="AA16" s="285">
        <f ca="1"/>
        <v>0.14860209063234975</v>
      </c>
      <c r="AB16" s="285">
        <f ca="1"/>
        <v>0</v>
      </c>
      <c r="AC16" s="285">
        <f ca="1"/>
        <v>0</v>
      </c>
      <c r="AD16" s="285">
        <f ca="1"/>
        <v>0</v>
      </c>
      <c r="AE16" s="285">
        <f ca="1"/>
        <v>0.38279686686042258</v>
      </c>
      <c r="AF16" s="285">
        <f ca="1"/>
        <v>0</v>
      </c>
      <c r="AG16" s="285">
        <f ca="1"/>
        <v>0.21313383065190869</v>
      </c>
      <c r="AH16" s="283">
        <f t="shared" ca="1" si="19"/>
        <v>1</v>
      </c>
      <c r="AI16" s="320">
        <f t="shared" ca="1" si="14"/>
        <v>0.78686616934809128</v>
      </c>
      <c r="AJ16" s="320">
        <f t="shared" ca="1" si="15"/>
        <v>0.23837818445334674</v>
      </c>
      <c r="AK16" s="320">
        <f t="shared" ca="1" si="16"/>
        <v>0.14860209063234975</v>
      </c>
      <c r="AL16" s="418">
        <f t="shared" ca="1" si="20"/>
        <v>0.38279686686042258</v>
      </c>
      <c r="AM16" s="418">
        <f ca="1">PRODUCT(Y15*(1-$H16), SUM(OFFSET(D.TPMs!$L$7:$M$7, ($G15-1)*9, 0), OFFSET(D.TPMs!$O$7:$P$7, ($G15-1)*9, 0)))
+PRODUCT(Y15*$H16,     SUM(OFFSET(D.TPMs!$L$7:$M$7, ($G15-1)*9, 12), OFFSET(D.TPMs!$O$7:$P$7, ($G15-1)*9, 12)))
+PRODUCT(AB15*(1-$H16), SUM(OFFSET(D.TPMs!$L$10:$M$10, ($G15-1)*9, 0), OFFSET(D.TPMs!$O$10:$P$10, ($G15-1)*9, 0)))
+PRODUCT(AB15*$H16,     SUM(OFFSET(D.TPMs!$L$10:$M$10, ($G15-1)*9, 12), OFFSET(D.TPMs!$O$10:$P$10, ($G15-1)*9, 12)))</f>
        <v>1.585240204703884E-2</v>
      </c>
    </row>
    <row r="17" spans="2:40" ht="12" customHeight="1" x14ac:dyDescent="0.25">
      <c r="B17" s="321"/>
      <c r="D17" s="62">
        <f t="shared" si="17"/>
        <v>7</v>
      </c>
      <c r="E17" s="63">
        <f t="shared" si="8"/>
        <v>1.75</v>
      </c>
      <c r="F17" s="63">
        <f t="shared" si="9"/>
        <v>66.75</v>
      </c>
      <c r="G17" s="301">
        <f>MATCH(F17, Parameters!$D$523:$D$524, 1)</f>
        <v>1</v>
      </c>
      <c r="H17" s="62">
        <f t="shared" si="10"/>
        <v>0</v>
      </c>
      <c r="I17" s="285">
        <f t="array" aca="1" ref="I17:Q17" ca="1">IF($E17&gt;timeHorizon, 0, MMULT(I16:Q16*(1-$H17), OFFSET(D.rngTPM.Q_I.Root, ($G16-1)*9, 0)) + MMULT(I16:Q16*$H17, OFFSET(D.rngTPM.Q_I.Root, ($G16-1)*9, 12)))</f>
        <v>0</v>
      </c>
      <c r="J17" s="285">
        <f ca="1"/>
        <v>0.22504617643647123</v>
      </c>
      <c r="K17" s="285">
        <f ca="1"/>
        <v>0.14029107732306478</v>
      </c>
      <c r="L17" s="285">
        <f ca="1"/>
        <v>2.6088370154079602E-3</v>
      </c>
      <c r="M17" s="285">
        <f ca="1"/>
        <v>0</v>
      </c>
      <c r="N17" s="285">
        <f ca="1"/>
        <v>0</v>
      </c>
      <c r="O17" s="285">
        <f ca="1"/>
        <v>0.37389894846791344</v>
      </c>
      <c r="P17" s="285">
        <f ca="1"/>
        <v>0</v>
      </c>
      <c r="Q17" s="285">
        <f ca="1"/>
        <v>0.2581549607571425</v>
      </c>
      <c r="R17" s="283">
        <f t="shared" ca="1" si="18"/>
        <v>1</v>
      </c>
      <c r="S17" s="418">
        <f t="shared" ca="1" si="11"/>
        <v>0.7418450392428575</v>
      </c>
      <c r="T17" s="418">
        <f t="shared" ca="1" si="12"/>
        <v>0.22504617643647123</v>
      </c>
      <c r="U17" s="418">
        <f t="shared" ca="1" si="13"/>
        <v>0.14029107732306478</v>
      </c>
      <c r="V17" s="418">
        <f t="shared" ca="1" si="13"/>
        <v>0.37650778548332142</v>
      </c>
      <c r="W17" s="418">
        <f ca="1">PRODUCT(I16*(1-$H17), SUM(OFFSET(D.TPMs!$L$7:$M$7, ($G16-1)*9, 0), OFFSET(D.TPMs!$O$7:$P$7, ($G16-1)*9, 0)))
+PRODUCT(I16*$H17,     SUM(OFFSET(D.TPMs!$L$7:$M$7, ($G16-1)*9, 12), OFFSET(D.TPMs!$O$7:$P$7, ($G16-1)*9, 12)))
+PRODUCT(L16*(1-$H17), SUM(OFFSET(D.TPMs!$L$10:$M$10, ($G16-1)*9, 0), OFFSET(D.TPMs!$O$10:$P$10, ($G16-1)*9, 0)))
+PRODUCT(L16*$H17,     SUM(OFFSET(D.TPMs!$L$10:$M$10, ($G16-1)*9, 12), OFFSET(D.TPMs!$O$10:$P$10, ($G16-1)*9, 12)))</f>
        <v>3.332840788575063E-3</v>
      </c>
      <c r="Y17" s="285">
        <f t="array" aca="1" ref="Y17:AG17" ca="1">IF($E17&gt;timeHorizon, 0, MMULT(Y16:AG16*(1-$H17), OFFSET(D.rngTPM.Q_I.Root, ($G16-1)*9, 0)) + MMULT(Y16:AG16*$H17, OFFSET(D.rngTPM.Q_I.Root, ($G16-1)*9, 12)))</f>
        <v>8.67301778957052E-3</v>
      </c>
      <c r="Z17" s="285">
        <f ca="1"/>
        <v>0.22819660323368063</v>
      </c>
      <c r="AA17" s="285">
        <f ca="1"/>
        <v>0.14225501546414543</v>
      </c>
      <c r="AB17" s="285">
        <f ca="1"/>
        <v>0</v>
      </c>
      <c r="AC17" s="285">
        <f ca="1"/>
        <v>0</v>
      </c>
      <c r="AD17" s="285">
        <f ca="1"/>
        <v>0</v>
      </c>
      <c r="AE17" s="285">
        <f ca="1"/>
        <v>0.3741329967025831</v>
      </c>
      <c r="AF17" s="285">
        <f ca="1"/>
        <v>0</v>
      </c>
      <c r="AG17" s="285">
        <f ca="1"/>
        <v>0.24674236681002049</v>
      </c>
      <c r="AH17" s="283">
        <f t="shared" ca="1" si="19"/>
        <v>1</v>
      </c>
      <c r="AI17" s="320">
        <f t="shared" ca="1" si="14"/>
        <v>0.75325763318997951</v>
      </c>
      <c r="AJ17" s="320">
        <f t="shared" ca="1" si="15"/>
        <v>0.22819660323368063</v>
      </c>
      <c r="AK17" s="320">
        <f t="shared" ca="1" si="16"/>
        <v>0.14225501546414543</v>
      </c>
      <c r="AL17" s="418">
        <f t="shared" ca="1" si="20"/>
        <v>0.3741329967025831</v>
      </c>
      <c r="AM17" s="418">
        <f ca="1">PRODUCT(Y16*(1-$H17), SUM(OFFSET(D.TPMs!$L$7:$M$7, ($G16-1)*9, 0), OFFSET(D.TPMs!$O$7:$P$7, ($G16-1)*9, 0)))
+PRODUCT(Y16*$H17,     SUM(OFFSET(D.TPMs!$L$7:$M$7, ($G16-1)*9, 12), OFFSET(D.TPMs!$O$7:$P$7, ($G16-1)*9, 12)))
+PRODUCT(AB16*(1-$H17), SUM(OFFSET(D.TPMs!$L$10:$M$10, ($G16-1)*9, 0), OFFSET(D.TPMs!$O$10:$P$10, ($G16-1)*9, 0)))
+PRODUCT(AB16*$H17,     SUM(OFFSET(D.TPMs!$L$10:$M$10, ($G16-1)*9, 12), OFFSET(D.TPMs!$O$10:$P$10, ($G16-1)*9, 12)))</f>
        <v>8.0454060800161861E-3</v>
      </c>
    </row>
    <row r="18" spans="2:40" ht="12" customHeight="1" x14ac:dyDescent="0.25">
      <c r="B18" s="321"/>
      <c r="D18" s="62">
        <f t="shared" si="17"/>
        <v>8</v>
      </c>
      <c r="E18" s="63">
        <f t="shared" si="8"/>
        <v>2</v>
      </c>
      <c r="F18" s="63">
        <f t="shared" si="9"/>
        <v>67</v>
      </c>
      <c r="G18" s="301">
        <f>MATCH(F18, Parameters!$D$523:$D$524, 1)</f>
        <v>1</v>
      </c>
      <c r="H18" s="62">
        <f t="shared" si="10"/>
        <v>0</v>
      </c>
      <c r="I18" s="285">
        <f t="array" aca="1" ref="I18:Q18" ca="1">IF($E18&gt;timeHorizon, 0, MMULT(I17:Q17*(1-$H18), OFFSET(D.rngTPM.Q_I.Root, ($G17-1)*9, 0)) + MMULT(I17:Q17*$H18, OFFSET(D.rngTPM.Q_I.Root, ($G17-1)*9, 12)))</f>
        <v>0</v>
      </c>
      <c r="J18" s="285">
        <f ca="1"/>
        <v>0.21526121863970366</v>
      </c>
      <c r="K18" s="285">
        <f ca="1"/>
        <v>0.13419125242221042</v>
      </c>
      <c r="L18" s="285">
        <f ca="1"/>
        <v>1.1152389795283694E-3</v>
      </c>
      <c r="M18" s="285">
        <f ca="1"/>
        <v>0</v>
      </c>
      <c r="N18" s="285">
        <f ca="1"/>
        <v>0</v>
      </c>
      <c r="O18" s="285">
        <f ca="1"/>
        <v>0.35955814405306713</v>
      </c>
      <c r="P18" s="285">
        <f ca="1"/>
        <v>0</v>
      </c>
      <c r="Q18" s="285">
        <f ca="1"/>
        <v>0.28987414590549038</v>
      </c>
      <c r="R18" s="283">
        <f t="shared" ca="1" si="18"/>
        <v>1</v>
      </c>
      <c r="S18" s="418">
        <f t="shared" ca="1" si="11"/>
        <v>0.71012585409450968</v>
      </c>
      <c r="T18" s="418">
        <f t="shared" ca="1" si="12"/>
        <v>0.21526121863970366</v>
      </c>
      <c r="U18" s="418">
        <f t="shared" ca="1" si="13"/>
        <v>0.13419125242221042</v>
      </c>
      <c r="V18" s="418">
        <f t="shared" ca="1" si="13"/>
        <v>0.3606733830325955</v>
      </c>
      <c r="W18" s="418">
        <f ca="1">PRODUCT(I17*(1-$H18), SUM(OFFSET(D.TPMs!$L$7:$M$7, ($G17-1)*9, 0), OFFSET(D.TPMs!$O$7:$P$7, ($G17-1)*9, 0)))
+PRODUCT(I17*$H18,     SUM(OFFSET(D.TPMs!$L$7:$M$7, ($G17-1)*9, 12), OFFSET(D.TPMs!$O$7:$P$7, ($G17-1)*9, 12)))
+PRODUCT(L17*(1-$H18), SUM(OFFSET(D.TPMs!$L$10:$M$10, ($G17-1)*9, 0), OFFSET(D.TPMs!$O$10:$P$10, ($G17-1)*9, 0)))
+PRODUCT(L17*$H18,     SUM(OFFSET(D.TPMs!$L$10:$M$10, ($G17-1)*9, 12), OFFSET(D.TPMs!$O$10:$P$10, ($G17-1)*9, 12)))</f>
        <v>1.4247398124254771E-3</v>
      </c>
      <c r="Y18" s="285">
        <f t="array" aca="1" ref="Y18:AG18" ca="1">IF($E18&gt;timeHorizon, 0, MMULT(Y17:AG17*(1-$H18), OFFSET(D.rngTPM.Q_I.Root, ($G17-1)*9, 0)) + MMULT(Y17:AG17*$H18, OFFSET(D.rngTPM.Q_I.Root, ($G17-1)*9, 12)))</f>
        <v>4.4017272492362395E-3</v>
      </c>
      <c r="Z18" s="285">
        <f ca="1"/>
        <v>0.21844989650044871</v>
      </c>
      <c r="AA18" s="285">
        <f ca="1"/>
        <v>0.13617903581583948</v>
      </c>
      <c r="AB18" s="285">
        <f ca="1"/>
        <v>0</v>
      </c>
      <c r="AC18" s="285">
        <f ca="1"/>
        <v>0</v>
      </c>
      <c r="AD18" s="285">
        <f ca="1"/>
        <v>0</v>
      </c>
      <c r="AE18" s="285">
        <f ca="1"/>
        <v>0.36205392134575443</v>
      </c>
      <c r="AF18" s="285">
        <f ca="1"/>
        <v>0</v>
      </c>
      <c r="AG18" s="285">
        <f ca="1"/>
        <v>0.27891541908872136</v>
      </c>
      <c r="AH18" s="283">
        <f t="shared" ca="1" si="19"/>
        <v>1.0000000000000002</v>
      </c>
      <c r="AI18" s="320">
        <f t="shared" ca="1" si="14"/>
        <v>0.72108458091127869</v>
      </c>
      <c r="AJ18" s="320">
        <f t="shared" ca="1" si="15"/>
        <v>0.21844989650044871</v>
      </c>
      <c r="AK18" s="320">
        <f t="shared" ca="1" si="16"/>
        <v>0.13617903581583948</v>
      </c>
      <c r="AL18" s="418">
        <f t="shared" ca="1" si="20"/>
        <v>0.36205392134575443</v>
      </c>
      <c r="AM18" s="418">
        <f ca="1">PRODUCT(Y17*(1-$H18), SUM(OFFSET(D.TPMs!$L$7:$M$7, ($G17-1)*9, 0), OFFSET(D.TPMs!$O$7:$P$7, ($G17-1)*9, 0)))
+PRODUCT(Y17*$H18,     SUM(OFFSET(D.TPMs!$L$7:$M$7, ($G17-1)*9, 12), OFFSET(D.TPMs!$O$7:$P$7, ($G17-1)*9, 12)))
+PRODUCT(AB17*(1-$H18), SUM(OFFSET(D.TPMs!$L$10:$M$10, ($G17-1)*9, 0), OFFSET(D.TPMs!$O$10:$P$10, ($G17-1)*9, 0)))
+PRODUCT(AB17*$H18,     SUM(OFFSET(D.TPMs!$L$10:$M$10, ($G17-1)*9, 12), OFFSET(D.TPMs!$O$10:$P$10, ($G17-1)*9, 12)))</f>
        <v>4.0832019526310485E-3</v>
      </c>
    </row>
    <row r="19" spans="2:40" ht="12" customHeight="1" x14ac:dyDescent="0.25">
      <c r="B19" s="321"/>
      <c r="D19" s="62">
        <f t="shared" si="17"/>
        <v>9</v>
      </c>
      <c r="E19" s="63">
        <f t="shared" si="8"/>
        <v>2.25</v>
      </c>
      <c r="F19" s="63">
        <f t="shared" si="9"/>
        <v>67.25</v>
      </c>
      <c r="G19" s="301">
        <f>MATCH(F19, Parameters!$D$523:$D$524, 1)</f>
        <v>1</v>
      </c>
      <c r="H19" s="62">
        <f t="shared" si="10"/>
        <v>0</v>
      </c>
      <c r="I19" s="285">
        <f t="array" aca="1" ref="I19:Q19" ca="1">IF($E19&gt;timeHorizon, 0, MMULT(I18:Q18*(1-$H19), OFFSET(D.rngTPM.Q_I.Root, ($G18-1)*9, 0)) + MMULT(I18:Q18*$H19, OFFSET(D.rngTPM.Q_I.Root, ($G18-1)*9, 12)))</f>
        <v>0</v>
      </c>
      <c r="J19" s="285">
        <f ca="1"/>
        <v>0.20599313210603476</v>
      </c>
      <c r="K19" s="285">
        <f ca="1"/>
        <v>0.12841363884476381</v>
      </c>
      <c r="L19" s="285">
        <f ca="1"/>
        <v>4.7674805827798501E-4</v>
      </c>
      <c r="M19" s="285">
        <f ca="1"/>
        <v>0</v>
      </c>
      <c r="N19" s="285">
        <f ca="1"/>
        <v>0</v>
      </c>
      <c r="O19" s="285">
        <f ca="1"/>
        <v>0.34489716470782361</v>
      </c>
      <c r="P19" s="285">
        <f ca="1"/>
        <v>0</v>
      </c>
      <c r="Q19" s="285">
        <f ca="1"/>
        <v>0.3202193162830998</v>
      </c>
      <c r="R19" s="283">
        <f t="shared" ca="1" si="18"/>
        <v>1</v>
      </c>
      <c r="S19" s="418">
        <f t="shared" ca="1" si="11"/>
        <v>0.67978068371690026</v>
      </c>
      <c r="T19" s="418">
        <f t="shared" ca="1" si="12"/>
        <v>0.20599313210603476</v>
      </c>
      <c r="U19" s="418">
        <f t="shared" ca="1" si="13"/>
        <v>0.12841363884476381</v>
      </c>
      <c r="V19" s="418">
        <f t="shared" ca="1" si="13"/>
        <v>0.34537391276610158</v>
      </c>
      <c r="W19" s="418">
        <f ca="1">PRODUCT(I18*(1-$H19), SUM(OFFSET(D.TPMs!$L$7:$M$7, ($G18-1)*9, 0), OFFSET(D.TPMs!$O$7:$P$7, ($G18-1)*9, 0)))
+PRODUCT(I18*$H19,     SUM(OFFSET(D.TPMs!$L$7:$M$7, ($G18-1)*9, 12), OFFSET(D.TPMs!$O$7:$P$7, ($G18-1)*9, 12)))
+PRODUCT(L18*(1-$H19), SUM(OFFSET(D.TPMs!$L$10:$M$10, ($G18-1)*9, 0), OFFSET(D.TPMs!$O$10:$P$10, ($G18-1)*9, 0)))
+PRODUCT(L18*$H19,     SUM(OFFSET(D.TPMs!$L$10:$M$10, ($G18-1)*9, 12), OFFSET(D.TPMs!$O$10:$P$10, ($G18-1)*9, 12)))</f>
        <v>6.0905505599565381E-4</v>
      </c>
      <c r="Y19" s="285">
        <f t="array" aca="1" ref="Y19:AG19" ca="1">IF($E19&gt;timeHorizon, 0, MMULT(Y18:AG18*(1-$H19), OFFSET(D.rngTPM.Q_I.Root, ($G18-1)*9, 0)) + MMULT(Y18:AG18*$H19, OFFSET(D.rngTPM.Q_I.Root, ($G18-1)*9, 12)))</f>
        <v>2.2339632232702099E-3</v>
      </c>
      <c r="Z19" s="285">
        <f ca="1"/>
        <v>0.20911948996925708</v>
      </c>
      <c r="AA19" s="285">
        <f ca="1"/>
        <v>0.13036257270213469</v>
      </c>
      <c r="AB19" s="285">
        <f ca="1"/>
        <v>0</v>
      </c>
      <c r="AC19" s="285">
        <f ca="1"/>
        <v>0</v>
      </c>
      <c r="AD19" s="285">
        <f ca="1"/>
        <v>0</v>
      </c>
      <c r="AE19" s="285">
        <f ca="1"/>
        <v>0.34856967439883568</v>
      </c>
      <c r="AF19" s="285">
        <f ca="1"/>
        <v>0</v>
      </c>
      <c r="AG19" s="285">
        <f ca="1"/>
        <v>0.30971429970650255</v>
      </c>
      <c r="AH19" s="283">
        <f t="shared" ca="1" si="19"/>
        <v>1.0000000000000002</v>
      </c>
      <c r="AI19" s="320">
        <f t="shared" ca="1" si="14"/>
        <v>0.69028570029349745</v>
      </c>
      <c r="AJ19" s="320">
        <f t="shared" ca="1" si="15"/>
        <v>0.20911948996925708</v>
      </c>
      <c r="AK19" s="320">
        <f t="shared" ca="1" si="16"/>
        <v>0.13036257270213469</v>
      </c>
      <c r="AL19" s="418">
        <f t="shared" ca="1" si="20"/>
        <v>0.34856967439883568</v>
      </c>
      <c r="AM19" s="418">
        <f ca="1">PRODUCT(Y18*(1-$H19), SUM(OFFSET(D.TPMs!$L$7:$M$7, ($G18-1)*9, 0), OFFSET(D.TPMs!$O$7:$P$7, ($G18-1)*9, 0)))
+PRODUCT(Y18*$H19,     SUM(OFFSET(D.TPMs!$L$7:$M$7, ($G18-1)*9, 12), OFFSET(D.TPMs!$O$7:$P$7, ($G18-1)*9, 12)))
+PRODUCT(AB18*(1-$H19), SUM(OFFSET(D.TPMs!$L$10:$M$10, ($G18-1)*9, 0), OFFSET(D.TPMs!$O$10:$P$10, ($G18-1)*9, 0)))
+PRODUCT(AB18*$H19,     SUM(OFFSET(D.TPMs!$L$10:$M$10, ($G18-1)*9, 12), OFFSET(D.TPMs!$O$10:$P$10, ($G18-1)*9, 12)))</f>
        <v>2.0723053653416662E-3</v>
      </c>
    </row>
    <row r="20" spans="2:40" ht="12" customHeight="1" x14ac:dyDescent="0.25">
      <c r="B20" s="321"/>
      <c r="D20" s="62">
        <f t="shared" si="17"/>
        <v>10</v>
      </c>
      <c r="E20" s="63">
        <f t="shared" si="8"/>
        <v>2.5</v>
      </c>
      <c r="F20" s="63">
        <f t="shared" si="9"/>
        <v>67.5</v>
      </c>
      <c r="G20" s="301">
        <f>MATCH(F20, Parameters!$D$523:$D$524, 1)</f>
        <v>1</v>
      </c>
      <c r="H20" s="62">
        <f t="shared" si="10"/>
        <v>0</v>
      </c>
      <c r="I20" s="285">
        <f t="array" aca="1" ref="I20:Q20" ca="1">IF($E20&gt;timeHorizon, 0, MMULT(I19:Q19*(1-$H20), OFFSET(D.rngTPM.Q_I.Root, ($G19-1)*9, 0)) + MMULT(I19:Q19*$H20, OFFSET(D.rngTPM.Q_I.Root, ($G19-1)*9, 12)))</f>
        <v>0</v>
      </c>
      <c r="J20" s="285">
        <f ca="1"/>
        <v>0.19716319722145065</v>
      </c>
      <c r="K20" s="285">
        <f ca="1"/>
        <v>0.122909163730962</v>
      </c>
      <c r="L20" s="285">
        <f ca="1"/>
        <v>2.0380269632249456E-4</v>
      </c>
      <c r="M20" s="285">
        <f ca="1"/>
        <v>0</v>
      </c>
      <c r="N20" s="285">
        <f ca="1"/>
        <v>0</v>
      </c>
      <c r="O20" s="285">
        <f ca="1"/>
        <v>0.33046366902563606</v>
      </c>
      <c r="P20" s="285">
        <f ca="1"/>
        <v>0</v>
      </c>
      <c r="Q20" s="285">
        <f ca="1"/>
        <v>0.3492601673256287</v>
      </c>
      <c r="R20" s="283">
        <f t="shared" ca="1" si="18"/>
        <v>0.99999999999999989</v>
      </c>
      <c r="S20" s="418">
        <f t="shared" ca="1" si="11"/>
        <v>0.6507398326743713</v>
      </c>
      <c r="T20" s="418">
        <f t="shared" ca="1" si="12"/>
        <v>0.19716319722145065</v>
      </c>
      <c r="U20" s="418">
        <f t="shared" ca="1" si="13"/>
        <v>0.122909163730962</v>
      </c>
      <c r="V20" s="418">
        <f t="shared" ca="1" si="13"/>
        <v>0.33066747172195854</v>
      </c>
      <c r="W20" s="418">
        <f ca="1">PRODUCT(I19*(1-$H20), SUM(OFFSET(D.TPMs!$L$7:$M$7, ($G19-1)*9, 0), OFFSET(D.TPMs!$O$7:$P$7, ($G19-1)*9, 0)))
+PRODUCT(I19*$H20,     SUM(OFFSET(D.TPMs!$L$7:$M$7, ($G19-1)*9, 12), OFFSET(D.TPMs!$O$7:$P$7, ($G19-1)*9, 12)))
+PRODUCT(L19*(1-$H20), SUM(OFFSET(D.TPMs!$L$10:$M$10, ($G19-1)*9, 0), OFFSET(D.TPMs!$O$10:$P$10, ($G19-1)*9, 0)))
+PRODUCT(L19*$H20,     SUM(OFFSET(D.TPMs!$L$10:$M$10, ($G19-1)*9, 12), OFFSET(D.TPMs!$O$10:$P$10, ($G19-1)*9, 12)))</f>
        <v>2.6036196784756579E-4</v>
      </c>
      <c r="Y20" s="285">
        <f t="array" aca="1" ref="Y20:AG20" ca="1">IF($E20&gt;timeHorizon, 0, MMULT(Y19:AG19*(1-$H20), OFFSET(D.rngTPM.Q_I.Root, ($G19-1)*9, 0)) + MMULT(Y19:AG19*$H20, OFFSET(D.rngTPM.Q_I.Root, ($G19-1)*9, 12)))</f>
        <v>1.1337803094886815E-3</v>
      </c>
      <c r="Z20" s="285">
        <f ca="1"/>
        <v>0.20018760267487756</v>
      </c>
      <c r="AA20" s="285">
        <f ca="1"/>
        <v>0.12479454168335208</v>
      </c>
      <c r="AB20" s="285">
        <f ca="1"/>
        <v>0</v>
      </c>
      <c r="AC20" s="285">
        <f ca="1"/>
        <v>0</v>
      </c>
      <c r="AD20" s="285">
        <f ca="1"/>
        <v>0</v>
      </c>
      <c r="AE20" s="285">
        <f ca="1"/>
        <v>0.33468637320905614</v>
      </c>
      <c r="AF20" s="285">
        <f ca="1"/>
        <v>0</v>
      </c>
      <c r="AG20" s="285">
        <f ca="1"/>
        <v>0.33919770212322581</v>
      </c>
      <c r="AH20" s="283">
        <f t="shared" ca="1" si="19"/>
        <v>1.0000000000000002</v>
      </c>
      <c r="AI20" s="320">
        <f t="shared" ca="1" si="14"/>
        <v>0.66080229787677425</v>
      </c>
      <c r="AJ20" s="320">
        <f t="shared" ca="1" si="15"/>
        <v>0.20018760267487756</v>
      </c>
      <c r="AK20" s="320">
        <f t="shared" ca="1" si="16"/>
        <v>0.12479454168335208</v>
      </c>
      <c r="AL20" s="418">
        <f t="shared" ca="1" si="20"/>
        <v>0.33468637320905614</v>
      </c>
      <c r="AM20" s="418">
        <f ca="1">PRODUCT(Y19*(1-$H20), SUM(OFFSET(D.TPMs!$L$7:$M$7, ($G19-1)*9, 0), OFFSET(D.TPMs!$O$7:$P$7, ($G19-1)*9, 0)))
+PRODUCT(Y19*$H20,     SUM(OFFSET(D.TPMs!$L$7:$M$7, ($G19-1)*9, 12), OFFSET(D.TPMs!$O$7:$P$7, ($G19-1)*9, 12)))
+PRODUCT(AB19*(1-$H20), SUM(OFFSET(D.TPMs!$L$10:$M$10, ($G19-1)*9, 0), OFFSET(D.TPMs!$O$10:$P$10, ($G19-1)*9, 0)))
+PRODUCT(AB19*$H20,     SUM(OFFSET(D.TPMs!$L$10:$M$10, ($G19-1)*9, 12), OFFSET(D.TPMs!$O$10:$P$10, ($G19-1)*9, 12)))</f>
        <v>1.0517357644915625E-3</v>
      </c>
    </row>
    <row r="21" spans="2:40" ht="12" customHeight="1" x14ac:dyDescent="0.25">
      <c r="B21" s="321"/>
      <c r="D21" s="62">
        <f t="shared" si="17"/>
        <v>11</v>
      </c>
      <c r="E21" s="63">
        <f t="shared" si="8"/>
        <v>2.75</v>
      </c>
      <c r="F21" s="63">
        <f t="shared" si="9"/>
        <v>67.75</v>
      </c>
      <c r="G21" s="301">
        <f>MATCH(F21, Parameters!$D$523:$D$524, 1)</f>
        <v>1</v>
      </c>
      <c r="H21" s="62">
        <f t="shared" si="10"/>
        <v>0</v>
      </c>
      <c r="I21" s="285">
        <f t="array" aca="1" ref="I21:Q21" ca="1">IF($E21&gt;timeHorizon, 0, MMULT(I20:Q20*(1-$H21), OFFSET(D.rngTPM.Q_I.Root, ($G20-1)*9, 0)) + MMULT(I20:Q20*$H21, OFFSET(D.rngTPM.Q_I.Root, ($G20-1)*9, 12)))</f>
        <v>0</v>
      </c>
      <c r="J21" s="285">
        <f ca="1"/>
        <v>0.18872848563493816</v>
      </c>
      <c r="K21" s="285">
        <f ca="1"/>
        <v>0.11765106606354744</v>
      </c>
      <c r="L21" s="285">
        <f ca="1"/>
        <v>8.7122618135762083E-5</v>
      </c>
      <c r="M21" s="285">
        <f ca="1"/>
        <v>0</v>
      </c>
      <c r="N21" s="285">
        <f ca="1"/>
        <v>0</v>
      </c>
      <c r="O21" s="285">
        <f ca="1"/>
        <v>0.31647621066935427</v>
      </c>
      <c r="P21" s="285">
        <f ca="1"/>
        <v>0</v>
      </c>
      <c r="Q21" s="285">
        <f ca="1"/>
        <v>0.37705711501402428</v>
      </c>
      <c r="R21" s="283">
        <f t="shared" ca="1" si="18"/>
        <v>1</v>
      </c>
      <c r="S21" s="418">
        <f t="shared" ca="1" si="11"/>
        <v>0.62294288498597572</v>
      </c>
      <c r="T21" s="418">
        <f t="shared" ca="1" si="12"/>
        <v>0.18872848563493816</v>
      </c>
      <c r="U21" s="418">
        <f t="shared" ca="1" si="13"/>
        <v>0.11765106606354744</v>
      </c>
      <c r="V21" s="418">
        <f t="shared" ca="1" si="13"/>
        <v>0.31656333328749003</v>
      </c>
      <c r="W21" s="418">
        <f ca="1">PRODUCT(I20*(1-$H21), SUM(OFFSET(D.TPMs!$L$7:$M$7, ($G20-1)*9, 0), OFFSET(D.TPMs!$O$7:$P$7, ($G20-1)*9, 0)))
+PRODUCT(I20*$H21,     SUM(OFFSET(D.TPMs!$L$7:$M$7, ($G20-1)*9, 12), OFFSET(D.TPMs!$O$7:$P$7, ($G20-1)*9, 12)))
+PRODUCT(L20*(1-$H21), SUM(OFFSET(D.TPMs!$L$10:$M$10, ($G20-1)*9, 0), OFFSET(D.TPMs!$O$10:$P$10, ($G20-1)*9, 0)))
+PRODUCT(L20*$H21,     SUM(OFFSET(D.TPMs!$L$10:$M$10, ($G20-1)*9, 12), OFFSET(D.TPMs!$O$10:$P$10, ($G20-1)*9, 12)))</f>
        <v>1.1130086456739079E-4</v>
      </c>
      <c r="Y21" s="285">
        <f t="array" aca="1" ref="Y21:AG21" ca="1">IF($E21&gt;timeHorizon, 0, MMULT(Y20:AG20*(1-$H21), OFFSET(D.rngTPM.Q_I.Root, ($G20-1)*9, 0)) + MMULT(Y20:AG20*$H21, OFFSET(D.rngTPM.Q_I.Root, ($G20-1)*9, 12)))</f>
        <v>5.7541582457320834E-4</v>
      </c>
      <c r="Z21" s="285">
        <f ca="1"/>
        <v>0.19163721311010315</v>
      </c>
      <c r="AA21" s="285">
        <f ca="1"/>
        <v>0.1194643317568008</v>
      </c>
      <c r="AB21" s="285">
        <f ca="1"/>
        <v>0</v>
      </c>
      <c r="AC21" s="285">
        <f ca="1"/>
        <v>0</v>
      </c>
      <c r="AD21" s="285">
        <f ca="1"/>
        <v>0</v>
      </c>
      <c r="AE21" s="285">
        <f ca="1"/>
        <v>0.3209012264179546</v>
      </c>
      <c r="AF21" s="285">
        <f ca="1"/>
        <v>0</v>
      </c>
      <c r="AG21" s="285">
        <f ca="1"/>
        <v>0.36742181289056847</v>
      </c>
      <c r="AH21" s="283">
        <f t="shared" ca="1" si="19"/>
        <v>1.0000000000000002</v>
      </c>
      <c r="AI21" s="320">
        <f t="shared" ca="1" si="14"/>
        <v>0.63257818710943159</v>
      </c>
      <c r="AJ21" s="320">
        <f t="shared" ca="1" si="15"/>
        <v>0.19163721311010315</v>
      </c>
      <c r="AK21" s="320">
        <f t="shared" ca="1" si="16"/>
        <v>0.1194643317568008</v>
      </c>
      <c r="AL21" s="418">
        <f t="shared" ca="1" si="20"/>
        <v>0.3209012264179546</v>
      </c>
      <c r="AM21" s="418">
        <f ca="1">PRODUCT(Y20*(1-$H21), SUM(OFFSET(D.TPMs!$L$7:$M$7, ($G20-1)*9, 0), OFFSET(D.TPMs!$O$7:$P$7, ($G20-1)*9, 0)))
+PRODUCT(Y20*$H21,     SUM(OFFSET(D.TPMs!$L$7:$M$7, ($G20-1)*9, 12), OFFSET(D.TPMs!$O$7:$P$7, ($G20-1)*9, 12)))
+PRODUCT(AB20*(1-$H21), SUM(OFFSET(D.TPMs!$L$10:$M$10, ($G20-1)*9, 0), OFFSET(D.TPMs!$O$10:$P$10, ($G20-1)*9, 0)))
+PRODUCT(AB20*$H21,     SUM(OFFSET(D.TPMs!$L$10:$M$10, ($G20-1)*9, 12), OFFSET(D.TPMs!$O$10:$P$10, ($G20-1)*9, 12)))</f>
        <v>5.3377660300960418E-4</v>
      </c>
    </row>
    <row r="22" spans="2:40" ht="12" customHeight="1" x14ac:dyDescent="0.25">
      <c r="B22" s="321"/>
      <c r="D22" s="62">
        <f t="shared" si="17"/>
        <v>12</v>
      </c>
      <c r="E22" s="63">
        <f t="shared" si="8"/>
        <v>3</v>
      </c>
      <c r="F22" s="63">
        <f t="shared" si="9"/>
        <v>68</v>
      </c>
      <c r="G22" s="301">
        <f>MATCH(F22, Parameters!$D$523:$D$524, 1)</f>
        <v>1</v>
      </c>
      <c r="H22" s="62">
        <f t="shared" si="10"/>
        <v>0</v>
      </c>
      <c r="I22" s="285">
        <f t="array" aca="1" ref="I22:Q22" ca="1">IF($E22&gt;timeHorizon, 0, MMULT(I21:Q21*(1-$H22), OFFSET(D.rngTPM.Q_I.Root, ($G21-1)*9, 0)) + MMULT(I21:Q21*$H22, OFFSET(D.rngTPM.Q_I.Root, ($G21-1)*9, 12)))</f>
        <v>0</v>
      </c>
      <c r="J22" s="285">
        <f ca="1"/>
        <v>0.18066176546114276</v>
      </c>
      <c r="K22" s="285">
        <f ca="1"/>
        <v>0.11262236981300296</v>
      </c>
      <c r="L22" s="285">
        <f ca="1"/>
        <v>3.7243622031471825E-5</v>
      </c>
      <c r="M22" s="285">
        <f ca="1"/>
        <v>0</v>
      </c>
      <c r="N22" s="285">
        <f ca="1"/>
        <v>0</v>
      </c>
      <c r="O22" s="285">
        <f ca="1"/>
        <v>0.30301332053602159</v>
      </c>
      <c r="P22" s="285">
        <f ca="1"/>
        <v>0</v>
      </c>
      <c r="Q22" s="285">
        <f ca="1"/>
        <v>0.40366530056780109</v>
      </c>
      <c r="R22" s="283">
        <f t="shared" ca="1" si="18"/>
        <v>0.99999999999999978</v>
      </c>
      <c r="S22" s="418">
        <f t="shared" ca="1" si="11"/>
        <v>0.59633469943219897</v>
      </c>
      <c r="T22" s="418">
        <f t="shared" ca="1" si="12"/>
        <v>0.18066176546114276</v>
      </c>
      <c r="U22" s="418">
        <f t="shared" ca="1" si="13"/>
        <v>0.11262236981300296</v>
      </c>
      <c r="V22" s="418">
        <f t="shared" ca="1" si="13"/>
        <v>0.30305056415805304</v>
      </c>
      <c r="W22" s="418">
        <f ca="1">PRODUCT(I21*(1-$H22), SUM(OFFSET(D.TPMs!$L$7:$M$7, ($G21-1)*9, 0), OFFSET(D.TPMs!$O$7:$P$7, ($G21-1)*9, 0)))
+PRODUCT(I21*$H22,     SUM(OFFSET(D.TPMs!$L$7:$M$7, ($G21-1)*9, 12), OFFSET(D.TPMs!$O$7:$P$7, ($G21-1)*9, 12)))
+PRODUCT(L21*(1-$H22), SUM(OFFSET(D.TPMs!$L$10:$M$10, ($G21-1)*9, 0), OFFSET(D.TPMs!$O$10:$P$10, ($G21-1)*9, 0)))
+PRODUCT(L21*$H22,     SUM(OFFSET(D.TPMs!$L$10:$M$10, ($G21-1)*9, 12), OFFSET(D.TPMs!$O$10:$P$10, ($G21-1)*9, 12)))</f>
        <v>4.7579462376399782E-5</v>
      </c>
      <c r="Y22" s="285">
        <f t="array" aca="1" ref="Y22:AG22" ca="1">IF($E22&gt;timeHorizon, 0, MMULT(Y21:AG21*(1-$H22), OFFSET(D.rngTPM.Q_I.Root, ($G21-1)*9, 0)) + MMULT(Y21:AG21*$H22, OFFSET(D.rngTPM.Q_I.Root, ($G21-1)*9, 12)))</f>
        <v>2.9203485754536359E-4</v>
      </c>
      <c r="Z22" s="285">
        <f ca="1"/>
        <v>0.18345202678834943</v>
      </c>
      <c r="AA22" s="285">
        <f ca="1"/>
        <v>0.11436178513569434</v>
      </c>
      <c r="AB22" s="285">
        <f ca="1"/>
        <v>0</v>
      </c>
      <c r="AC22" s="285">
        <f ca="1"/>
        <v>0</v>
      </c>
      <c r="AD22" s="285">
        <f ca="1"/>
        <v>0</v>
      </c>
      <c r="AE22" s="285">
        <f ca="1"/>
        <v>0.30745373449165225</v>
      </c>
      <c r="AF22" s="285">
        <f ca="1"/>
        <v>0</v>
      </c>
      <c r="AG22" s="285">
        <f ca="1"/>
        <v>0.39444041872675883</v>
      </c>
      <c r="AH22" s="283">
        <f t="shared" ca="1" si="19"/>
        <v>1.0000000000000002</v>
      </c>
      <c r="AI22" s="320">
        <f t="shared" ca="1" si="14"/>
        <v>0.60555958127324117</v>
      </c>
      <c r="AJ22" s="320">
        <f t="shared" ca="1" si="15"/>
        <v>0.18345202678834943</v>
      </c>
      <c r="AK22" s="320">
        <f t="shared" ca="1" si="16"/>
        <v>0.11436178513569434</v>
      </c>
      <c r="AL22" s="418">
        <f t="shared" ca="1" si="20"/>
        <v>0.30745373449165225</v>
      </c>
      <c r="AM22" s="418">
        <f ca="1">PRODUCT(Y21*(1-$H22), SUM(OFFSET(D.TPMs!$L$7:$M$7, ($G21-1)*9, 0), OFFSET(D.TPMs!$O$7:$P$7, ($G21-1)*9, 0)))
+PRODUCT(Y21*$H22,     SUM(OFFSET(D.TPMs!$L$7:$M$7, ($G21-1)*9, 12), OFFSET(D.TPMs!$O$7:$P$7, ($G21-1)*9, 12)))
+PRODUCT(AB21*(1-$H22), SUM(OFFSET(D.TPMs!$L$10:$M$10, ($G21-1)*9, 0), OFFSET(D.TPMs!$O$10:$P$10, ($G21-1)*9, 0)))
+PRODUCT(AB21*$H22,     SUM(OFFSET(D.TPMs!$L$10:$M$10, ($G21-1)*9, 12), OFFSET(D.TPMs!$O$10:$P$10, ($G21-1)*9, 12)))</f>
        <v>2.7090213296893009E-4</v>
      </c>
    </row>
    <row r="23" spans="2:40" ht="12" customHeight="1" x14ac:dyDescent="0.25">
      <c r="B23" s="321"/>
      <c r="D23" s="62">
        <f t="shared" si="17"/>
        <v>13</v>
      </c>
      <c r="E23" s="63">
        <f t="shared" si="8"/>
        <v>3.25</v>
      </c>
      <c r="F23" s="63">
        <f t="shared" si="9"/>
        <v>68.25</v>
      </c>
      <c r="G23" s="301">
        <f>MATCH(F23, Parameters!$D$523:$D$524, 1)</f>
        <v>1</v>
      </c>
      <c r="H23" s="62">
        <f t="shared" si="10"/>
        <v>0</v>
      </c>
      <c r="I23" s="285">
        <f t="array" aca="1" ref="I23:Q23" ca="1">IF($E23&gt;timeHorizon, 0, MMULT(I22:Q22*(1-$H23), OFFSET(D.rngTPM.Q_I.Root, ($G22-1)*9, 0)) + MMULT(I22:Q22*$H23, OFFSET(D.rngTPM.Q_I.Root, ($G22-1)*9, 12)))</f>
        <v>0</v>
      </c>
      <c r="J23" s="285">
        <f ca="1"/>
        <v>0.17294289412955058</v>
      </c>
      <c r="K23" s="285">
        <f ca="1"/>
        <v>0.10781051834334299</v>
      </c>
      <c r="L23" s="285">
        <f ca="1"/>
        <v>1.592109387554966E-5</v>
      </c>
      <c r="M23" s="285">
        <f ca="1"/>
        <v>0</v>
      </c>
      <c r="N23" s="285">
        <f ca="1"/>
        <v>0</v>
      </c>
      <c r="O23" s="285">
        <f ca="1"/>
        <v>0.29009430817715187</v>
      </c>
      <c r="P23" s="285">
        <f ca="1"/>
        <v>0</v>
      </c>
      <c r="Q23" s="285">
        <f ca="1"/>
        <v>0.42913635825607888</v>
      </c>
      <c r="R23" s="283">
        <f t="shared" ca="1" si="18"/>
        <v>0.99999999999999989</v>
      </c>
      <c r="S23" s="418">
        <f t="shared" ca="1" si="11"/>
        <v>0.57086364174392112</v>
      </c>
      <c r="T23" s="418">
        <f t="shared" ca="1" si="12"/>
        <v>0.17294289412955058</v>
      </c>
      <c r="U23" s="418">
        <f t="shared" ca="1" si="13"/>
        <v>0.10781051834334299</v>
      </c>
      <c r="V23" s="418">
        <f t="shared" ca="1" si="13"/>
        <v>0.29011022927102742</v>
      </c>
      <c r="W23" s="418">
        <f ca="1">PRODUCT(I22*(1-$H23), SUM(OFFSET(D.TPMs!$L$7:$M$7, ($G22-1)*9, 0), OFFSET(D.TPMs!$O$7:$P$7, ($G22-1)*9, 0)))
+PRODUCT(I22*$H23,     SUM(OFFSET(D.TPMs!$L$7:$M$7, ($G22-1)*9, 12), OFFSET(D.TPMs!$O$7:$P$7, ($G22-1)*9, 12)))
+PRODUCT(L22*(1-$H23), SUM(OFFSET(D.TPMs!$L$10:$M$10, ($G22-1)*9, 0), OFFSET(D.TPMs!$O$10:$P$10, ($G22-1)*9, 0)))
+PRODUCT(L22*$H23,     SUM(OFFSET(D.TPMs!$L$10:$M$10, ($G22-1)*9, 12), OFFSET(D.TPMs!$O$10:$P$10, ($G22-1)*9, 12)))</f>
        <v>2.0339511726403049E-5</v>
      </c>
      <c r="Y23" s="285">
        <f t="array" aca="1" ref="Y23:AG23" ca="1">IF($E23&gt;timeHorizon, 0, MMULT(Y22:AG22*(1-$H23), OFFSET(D.rngTPM.Q_I.Root, ($G22-1)*9, 0)) + MMULT(Y22:AG22*$H23, OFFSET(D.rngTPM.Q_I.Root, ($G22-1)*9, 12)))</f>
        <v>1.4821343866376469E-4</v>
      </c>
      <c r="Z23" s="285">
        <f ca="1"/>
        <v>0.17561644519124453</v>
      </c>
      <c r="AA23" s="285">
        <f ca="1"/>
        <v>0.10947717789145199</v>
      </c>
      <c r="AB23" s="285">
        <f ca="1"/>
        <v>0</v>
      </c>
      <c r="AC23" s="285">
        <f ca="1"/>
        <v>0</v>
      </c>
      <c r="AD23" s="285">
        <f ca="1"/>
        <v>0</v>
      </c>
      <c r="AE23" s="285">
        <f ca="1"/>
        <v>0.2944531544606579</v>
      </c>
      <c r="AF23" s="285">
        <f ca="1"/>
        <v>0</v>
      </c>
      <c r="AG23" s="285">
        <f ca="1"/>
        <v>0.42030500901798207</v>
      </c>
      <c r="AH23" s="283">
        <f t="shared" ca="1" si="19"/>
        <v>1.0000000000000002</v>
      </c>
      <c r="AI23" s="320">
        <f t="shared" ca="1" si="14"/>
        <v>0.57969499098201793</v>
      </c>
      <c r="AJ23" s="320">
        <f t="shared" ca="1" si="15"/>
        <v>0.17561644519124453</v>
      </c>
      <c r="AK23" s="320">
        <f t="shared" ca="1" si="16"/>
        <v>0.10947717789145199</v>
      </c>
      <c r="AL23" s="418">
        <f t="shared" ca="1" si="20"/>
        <v>0.2944531544606579</v>
      </c>
      <c r="AM23" s="418">
        <f ca="1">PRODUCT(Y22*(1-$H23), SUM(OFFSET(D.TPMs!$L$7:$M$7, ($G22-1)*9, 0), OFFSET(D.TPMs!$O$7:$P$7, ($G22-1)*9, 0)))
+PRODUCT(Y22*$H23,     SUM(OFFSET(D.TPMs!$L$7:$M$7, ($G22-1)*9, 12), OFFSET(D.TPMs!$O$7:$P$7, ($G22-1)*9, 12)))
+PRODUCT(AB22*(1-$H23), SUM(OFFSET(D.TPMs!$L$10:$M$10, ($G22-1)*9, 0), OFFSET(D.TPMs!$O$10:$P$10, ($G22-1)*9, 0)))
+PRODUCT(AB22*$H23,     SUM(OFFSET(D.TPMs!$L$10:$M$10, ($G22-1)*9, 12), OFFSET(D.TPMs!$O$10:$P$10, ($G22-1)*9, 12)))</f>
        <v>1.3748816496139197E-4</v>
      </c>
    </row>
    <row r="24" spans="2:40" ht="12" customHeight="1" x14ac:dyDescent="0.25">
      <c r="B24" s="321"/>
      <c r="D24" s="62">
        <f t="shared" si="17"/>
        <v>14</v>
      </c>
      <c r="E24" s="63">
        <f t="shared" si="8"/>
        <v>3.5</v>
      </c>
      <c r="F24" s="63">
        <f t="shared" si="9"/>
        <v>68.5</v>
      </c>
      <c r="G24" s="301">
        <f>MATCH(F24, Parameters!$D$523:$D$524, 1)</f>
        <v>1</v>
      </c>
      <c r="H24" s="62">
        <f t="shared" si="10"/>
        <v>0</v>
      </c>
      <c r="I24" s="285">
        <f t="array" aca="1" ref="I24:Q24" ca="1">IF($E24&gt;timeHorizon, 0, MMULT(I23:Q23*(1-$H24), OFFSET(D.rngTPM.Q_I.Root, ($G23-1)*9, 0)) + MMULT(I23:Q23*$H24, OFFSET(D.rngTPM.Q_I.Root, ($G23-1)*9, 12)))</f>
        <v>0</v>
      </c>
      <c r="J24" s="285">
        <f ca="1"/>
        <v>0.1655551227546421</v>
      </c>
      <c r="K24" s="285">
        <f ca="1"/>
        <v>0.10320507060095493</v>
      </c>
      <c r="L24" s="285">
        <f ca="1"/>
        <v>6.8060305729627132E-6</v>
      </c>
      <c r="M24" s="285">
        <f ca="1"/>
        <v>0</v>
      </c>
      <c r="N24" s="285">
        <f ca="1"/>
        <v>0</v>
      </c>
      <c r="O24" s="285">
        <f ca="1"/>
        <v>0.27771377602514991</v>
      </c>
      <c r="P24" s="285">
        <f ca="1"/>
        <v>0</v>
      </c>
      <c r="Q24" s="285">
        <f ca="1"/>
        <v>0.45351922458867994</v>
      </c>
      <c r="R24" s="283">
        <f t="shared" ca="1" si="18"/>
        <v>0.99999999999999978</v>
      </c>
      <c r="S24" s="418">
        <f t="shared" ca="1" si="11"/>
        <v>0.54648077541132012</v>
      </c>
      <c r="T24" s="418">
        <f t="shared" ca="1" si="12"/>
        <v>0.1655551227546421</v>
      </c>
      <c r="U24" s="418">
        <f t="shared" ca="1" si="13"/>
        <v>0.10320507060095493</v>
      </c>
      <c r="V24" s="418">
        <f t="shared" ca="1" si="13"/>
        <v>0.27772058205572286</v>
      </c>
      <c r="W24" s="418">
        <f ca="1">PRODUCT(I23*(1-$H24), SUM(OFFSET(D.TPMs!$L$7:$M$7, ($G23-1)*9, 0), OFFSET(D.TPMs!$O$7:$P$7, ($G23-1)*9, 0)))
+PRODUCT(I23*$H24,     SUM(OFFSET(D.TPMs!$L$7:$M$7, ($G23-1)*9, 12), OFFSET(D.TPMs!$O$7:$P$7, ($G23-1)*9, 12)))
+PRODUCT(L23*(1-$H24), SUM(OFFSET(D.TPMs!$L$10:$M$10, ($G23-1)*9, 0), OFFSET(D.TPMs!$O$10:$P$10, ($G23-1)*9, 0)))
+PRODUCT(L23*$H24,     SUM(OFFSET(D.TPMs!$L$10:$M$10, ($G23-1)*9, 12), OFFSET(D.TPMs!$O$10:$P$10, ($G23-1)*9, 12)))</f>
        <v>8.6948384156960784E-6</v>
      </c>
      <c r="Y24" s="285">
        <f t="array" aca="1" ref="Y24:AG24" ca="1">IF($E24&gt;timeHorizon, 0, MMULT(Y23:AG23*(1-$H24), OFFSET(D.rngTPM.Q_I.Root, ($G23-1)*9, 0)) + MMULT(Y23:AG23*$H24, OFFSET(D.rngTPM.Q_I.Root, ($G23-1)*9, 12)))</f>
        <v>7.5221237578206677E-5</v>
      </c>
      <c r="Z24" s="285">
        <f ca="1"/>
        <v>0.16811553604251611</v>
      </c>
      <c r="AA24" s="285">
        <f ca="1"/>
        <v>0.10480120142279778</v>
      </c>
      <c r="AB24" s="285">
        <f ca="1"/>
        <v>0</v>
      </c>
      <c r="AC24" s="285">
        <f ca="1"/>
        <v>0</v>
      </c>
      <c r="AD24" s="285">
        <f ca="1"/>
        <v>0</v>
      </c>
      <c r="AE24" s="285">
        <f ca="1"/>
        <v>0.28194316735534936</v>
      </c>
      <c r="AF24" s="285">
        <f ca="1"/>
        <v>0</v>
      </c>
      <c r="AG24" s="285">
        <f ca="1"/>
        <v>0.44506487394175875</v>
      </c>
      <c r="AH24" s="283">
        <f t="shared" ca="1" si="19"/>
        <v>1</v>
      </c>
      <c r="AI24" s="320">
        <f t="shared" ca="1" si="14"/>
        <v>0.55493512605824125</v>
      </c>
      <c r="AJ24" s="320">
        <f t="shared" ca="1" si="15"/>
        <v>0.16811553604251611</v>
      </c>
      <c r="AK24" s="320">
        <f t="shared" ca="1" si="16"/>
        <v>0.10480120142279778</v>
      </c>
      <c r="AL24" s="418">
        <f t="shared" ca="1" si="20"/>
        <v>0.28194316735534936</v>
      </c>
      <c r="AM24" s="418">
        <f ca="1">PRODUCT(Y23*(1-$H24), SUM(OFFSET(D.TPMs!$L$7:$M$7, ($G23-1)*9, 0), OFFSET(D.TPMs!$O$7:$P$7, ($G23-1)*9, 0)))
+PRODUCT(Y23*$H24,     SUM(OFFSET(D.TPMs!$L$7:$M$7, ($G23-1)*9, 12), OFFSET(D.TPMs!$O$7:$P$7, ($G23-1)*9, 12)))
+PRODUCT(AB23*(1-$H24), SUM(OFFSET(D.TPMs!$L$10:$M$10, ($G23-1)*9, 0), OFFSET(D.TPMs!$O$10:$P$10, ($G23-1)*9, 0)))
+PRODUCT(AB23*$H24,     SUM(OFFSET(D.TPMs!$L$10:$M$10, ($G23-1)*9, 12), OFFSET(D.TPMs!$O$10:$P$10, ($G23-1)*9, 12)))</f>
        <v>6.9777950056299195E-5</v>
      </c>
    </row>
    <row r="25" spans="2:40" ht="12" customHeight="1" x14ac:dyDescent="0.25">
      <c r="B25" s="321"/>
      <c r="D25" s="62">
        <f t="shared" si="17"/>
        <v>15</v>
      </c>
      <c r="E25" s="63">
        <f t="shared" si="8"/>
        <v>3.75</v>
      </c>
      <c r="F25" s="63">
        <f t="shared" si="9"/>
        <v>68.75</v>
      </c>
      <c r="G25" s="301">
        <f>MATCH(F25, Parameters!$D$523:$D$524, 1)</f>
        <v>1</v>
      </c>
      <c r="H25" s="62">
        <f t="shared" si="10"/>
        <v>0</v>
      </c>
      <c r="I25" s="285">
        <f t="array" aca="1" ref="I25:Q25" ca="1">IF($E25&gt;timeHorizon, 0, MMULT(I24:Q24*(1-$H25), OFFSET(D.rngTPM.Q_I.Root, ($G24-1)*9, 0)) + MMULT(I24:Q24*$H25, OFFSET(D.rngTPM.Q_I.Root, ($G24-1)*9, 12)))</f>
        <v>0</v>
      </c>
      <c r="J25" s="285">
        <f ca="1"/>
        <v>0.15848350080011336</v>
      </c>
      <c r="K25" s="285">
        <f ca="1"/>
        <v>9.8796706601478906E-2</v>
      </c>
      <c r="L25" s="285">
        <f ca="1"/>
        <v>2.9094767308194103E-6</v>
      </c>
      <c r="M25" s="285">
        <f ca="1"/>
        <v>0</v>
      </c>
      <c r="N25" s="285">
        <f ca="1"/>
        <v>0</v>
      </c>
      <c r="O25" s="285">
        <f ca="1"/>
        <v>0.26585634769435595</v>
      </c>
      <c r="P25" s="285">
        <f ca="1"/>
        <v>0</v>
      </c>
      <c r="Q25" s="285">
        <f ca="1"/>
        <v>0.47686053542732076</v>
      </c>
      <c r="R25" s="283">
        <f t="shared" ca="1" si="18"/>
        <v>0.99999999999999978</v>
      </c>
      <c r="S25" s="418">
        <f t="shared" ca="1" si="11"/>
        <v>0.52313946457267924</v>
      </c>
      <c r="T25" s="418">
        <f t="shared" ca="1" si="12"/>
        <v>0.15848350080011336</v>
      </c>
      <c r="U25" s="418">
        <f t="shared" ca="1" si="13"/>
        <v>9.8796706601478906E-2</v>
      </c>
      <c r="V25" s="418">
        <f t="shared" ca="1" si="13"/>
        <v>0.26585925717108677</v>
      </c>
      <c r="W25" s="418">
        <f ca="1">PRODUCT(I24*(1-$H25), SUM(OFFSET(D.TPMs!$L$7:$M$7, ($G24-1)*9, 0), OFFSET(D.TPMs!$O$7:$P$7, ($G24-1)*9, 0)))
+PRODUCT(I24*$H25,     SUM(OFFSET(D.TPMs!$L$7:$M$7, ($G24-1)*9, 12), OFFSET(D.TPMs!$O$7:$P$7, ($G24-1)*9, 12)))
+PRODUCT(L24*(1-$H25), SUM(OFFSET(D.TPMs!$L$10:$M$10, ($G24-1)*9, 0), OFFSET(D.TPMs!$O$10:$P$10, ($G24-1)*9, 0)))
+PRODUCT(L24*$H25,     SUM(OFFSET(D.TPMs!$L$10:$M$10, ($G24-1)*9, 12), OFFSET(D.TPMs!$O$10:$P$10, ($G24-1)*9, 12)))</f>
        <v>3.7169139599809788E-6</v>
      </c>
      <c r="Y25" s="285">
        <f t="array" aca="1" ref="Y25:AG25" ca="1">IF($E25&gt;timeHorizon, 0, MMULT(Y24:AG24*(1-$H25), OFFSET(D.rngTPM.Q_I.Root, ($G24-1)*9, 0)) + MMULT(Y24:AG24*$H25, OFFSET(D.rngTPM.Q_I.Root, ($G24-1)*9, 12)))</f>
        <v>3.8176258737463199E-5</v>
      </c>
      <c r="Z25" s="285">
        <f ca="1"/>
        <v>0.1609350048515365</v>
      </c>
      <c r="AA25" s="285">
        <f ca="1"/>
        <v>0.10032494471634906</v>
      </c>
      <c r="AB25" s="285">
        <f ca="1"/>
        <v>0</v>
      </c>
      <c r="AC25" s="285">
        <f ca="1"/>
        <v>0</v>
      </c>
      <c r="AD25" s="285">
        <f ca="1"/>
        <v>0</v>
      </c>
      <c r="AE25" s="285">
        <f ca="1"/>
        <v>0.26993467577408781</v>
      </c>
      <c r="AF25" s="285">
        <f ca="1"/>
        <v>0</v>
      </c>
      <c r="AG25" s="285">
        <f ca="1"/>
        <v>0.46876719839928932</v>
      </c>
      <c r="AH25" s="283">
        <f t="shared" ca="1" si="19"/>
        <v>1.0000000000000002</v>
      </c>
      <c r="AI25" s="320">
        <f t="shared" ca="1" si="14"/>
        <v>0.53123280160071062</v>
      </c>
      <c r="AJ25" s="320">
        <f t="shared" ca="1" si="15"/>
        <v>0.1609350048515365</v>
      </c>
      <c r="AK25" s="320">
        <f t="shared" ca="1" si="16"/>
        <v>0.10032494471634906</v>
      </c>
      <c r="AL25" s="418">
        <f t="shared" ca="1" si="20"/>
        <v>0.26993467577408781</v>
      </c>
      <c r="AM25" s="418">
        <f ca="1">PRODUCT(Y24*(1-$H25), SUM(OFFSET(D.TPMs!$L$7:$M$7, ($G24-1)*9, 0), OFFSET(D.TPMs!$O$7:$P$7, ($G24-1)*9, 0)))
+PRODUCT(Y24*$H25,     SUM(OFFSET(D.TPMs!$L$7:$M$7, ($G24-1)*9, 12), OFFSET(D.TPMs!$O$7:$P$7, ($G24-1)*9, 12)))
+PRODUCT(AB24*(1-$H25), SUM(OFFSET(D.TPMs!$L$10:$M$10, ($G24-1)*9, 0), OFFSET(D.TPMs!$O$10:$P$10, ($G24-1)*9, 0)))
+PRODUCT(AB24*$H25,     SUM(OFFSET(D.TPMs!$L$10:$M$10, ($G24-1)*9, 12), OFFSET(D.TPMs!$O$10:$P$10, ($G24-1)*9, 12)))</f>
        <v>3.5413683173578155E-5</v>
      </c>
    </row>
    <row r="26" spans="2:40" ht="12" customHeight="1" x14ac:dyDescent="0.25">
      <c r="B26" s="321"/>
      <c r="D26" s="62">
        <f t="shared" si="17"/>
        <v>16</v>
      </c>
      <c r="E26" s="63">
        <f t="shared" si="8"/>
        <v>4</v>
      </c>
      <c r="F26" s="63">
        <f t="shared" si="9"/>
        <v>69</v>
      </c>
      <c r="G26" s="301">
        <f>MATCH(F26, Parameters!$D$523:$D$524, 1)</f>
        <v>1</v>
      </c>
      <c r="H26" s="62">
        <f t="shared" si="10"/>
        <v>0</v>
      </c>
      <c r="I26" s="285">
        <f t="array" aca="1" ref="I26:Q26" ca="1">IF($E26&gt;timeHorizon, 0, MMULT(I25:Q25*(1-$H26), OFFSET(D.rngTPM.Q_I.Root, ($G25-1)*9, 0)) + MMULT(I25:Q25*$H26, OFFSET(D.rngTPM.Q_I.Root, ($G25-1)*9, 12)))</f>
        <v>0</v>
      </c>
      <c r="J26" s="285">
        <f ca="1"/>
        <v>0.15171417924995895</v>
      </c>
      <c r="K26" s="285">
        <f ca="1"/>
        <v>9.4576793035049178E-2</v>
      </c>
      <c r="L26" s="285">
        <f ca="1"/>
        <v>1.2437579814594787E-6</v>
      </c>
      <c r="M26" s="285">
        <f ca="1"/>
        <v>0</v>
      </c>
      <c r="N26" s="285">
        <f ca="1"/>
        <v>0</v>
      </c>
      <c r="O26" s="285">
        <f ca="1"/>
        <v>0.25450293920482486</v>
      </c>
      <c r="P26" s="285">
        <f ca="1"/>
        <v>0</v>
      </c>
      <c r="Q26" s="285">
        <f ca="1"/>
        <v>0.49920484475218535</v>
      </c>
      <c r="R26" s="283">
        <f t="shared" ca="1" si="18"/>
        <v>0.99999999999999978</v>
      </c>
      <c r="S26" s="418">
        <f t="shared" ca="1" si="11"/>
        <v>0.50079515524781471</v>
      </c>
      <c r="T26" s="418">
        <f t="shared" ca="1" si="12"/>
        <v>0.15171417924995895</v>
      </c>
      <c r="U26" s="418">
        <f t="shared" ca="1" si="13"/>
        <v>9.4576793035049178E-2</v>
      </c>
      <c r="V26" s="418">
        <f t="shared" ca="1" si="13"/>
        <v>0.2545041829628063</v>
      </c>
      <c r="W26" s="418">
        <f ca="1">PRODUCT(I25*(1-$H26), SUM(OFFSET(D.TPMs!$L$7:$M$7, ($G25-1)*9, 0), OFFSET(D.TPMs!$O$7:$P$7, ($G25-1)*9, 0)))
+PRODUCT(I25*$H26,     SUM(OFFSET(D.TPMs!$L$7:$M$7, ($G25-1)*9, 12), OFFSET(D.TPMs!$O$7:$P$7, ($G25-1)*9, 12)))
+PRODUCT(L25*(1-$H26), SUM(OFFSET(D.TPMs!$L$10:$M$10, ($G25-1)*9, 0), OFFSET(D.TPMs!$O$10:$P$10, ($G25-1)*9, 0)))
+PRODUCT(L25*$H26,     SUM(OFFSET(D.TPMs!$L$10:$M$10, ($G25-1)*9, 12), OFFSET(D.TPMs!$O$10:$P$10, ($G25-1)*9, 12)))</f>
        <v>1.5889253745028295E-6</v>
      </c>
      <c r="Y26" s="285">
        <f t="array" aca="1" ref="Y26:AG26" ca="1">IF($E26&gt;timeHorizon, 0, MMULT(Y25:AG25*(1-$H26), OFFSET(D.rngTPM.Q_I.Root, ($G25-1)*9, 0)) + MMULT(Y25:AG25*$H26, OFFSET(D.rngTPM.Q_I.Root, ($G25-1)*9, 12)))</f>
        <v>1.9375202776668822E-5</v>
      </c>
      <c r="Z26" s="285">
        <f ca="1"/>
        <v>0.1540611676722965</v>
      </c>
      <c r="AA26" s="285">
        <f ca="1"/>
        <v>9.6039877364888671E-2</v>
      </c>
      <c r="AB26" s="285">
        <f ca="1"/>
        <v>0</v>
      </c>
      <c r="AC26" s="285">
        <f ca="1"/>
        <v>0</v>
      </c>
      <c r="AD26" s="285">
        <f ca="1"/>
        <v>0</v>
      </c>
      <c r="AE26" s="285">
        <f ca="1"/>
        <v>0.25842242782426744</v>
      </c>
      <c r="AF26" s="285">
        <f ca="1"/>
        <v>0</v>
      </c>
      <c r="AG26" s="285">
        <f ca="1"/>
        <v>0.49145715193577083</v>
      </c>
      <c r="AH26" s="283">
        <f t="shared" ca="1" si="19"/>
        <v>1.0000000000000002</v>
      </c>
      <c r="AI26" s="320">
        <f t="shared" ca="1" si="14"/>
        <v>0.50854284806422911</v>
      </c>
      <c r="AJ26" s="320">
        <f t="shared" ca="1" si="15"/>
        <v>0.1540611676722965</v>
      </c>
      <c r="AK26" s="320">
        <f t="shared" ca="1" si="16"/>
        <v>9.6039877364888671E-2</v>
      </c>
      <c r="AL26" s="418">
        <f t="shared" ca="1" si="20"/>
        <v>0.25842242782426744</v>
      </c>
      <c r="AM26" s="418">
        <f ca="1">PRODUCT(Y25*(1-$H26), SUM(OFFSET(D.TPMs!$L$7:$M$7, ($G25-1)*9, 0), OFFSET(D.TPMs!$O$7:$P$7, ($G25-1)*9, 0)))
+PRODUCT(Y25*$H26,     SUM(OFFSET(D.TPMs!$L$7:$M$7, ($G25-1)*9, 12), OFFSET(D.TPMs!$O$7:$P$7, ($G25-1)*9, 12)))
+PRODUCT(AB25*(1-$H26), SUM(OFFSET(D.TPMs!$L$10:$M$10, ($G25-1)*9, 0), OFFSET(D.TPMs!$O$10:$P$10, ($G25-1)*9, 0)))
+PRODUCT(AB25*$H26,     SUM(OFFSET(D.TPMs!$L$10:$M$10, ($G25-1)*9, 12), OFFSET(D.TPMs!$O$10:$P$10, ($G25-1)*9, 12)))</f>
        <v>1.7973141299030699E-5</v>
      </c>
    </row>
    <row r="27" spans="2:40" ht="12" customHeight="1" x14ac:dyDescent="0.25">
      <c r="B27" s="321"/>
      <c r="D27" s="62">
        <f t="shared" si="17"/>
        <v>17</v>
      </c>
      <c r="E27" s="63">
        <f t="shared" si="8"/>
        <v>4.25</v>
      </c>
      <c r="F27" s="63">
        <f t="shared" si="9"/>
        <v>69.25</v>
      </c>
      <c r="G27" s="301">
        <f>MATCH(F27, Parameters!$D$523:$D$524, 1)</f>
        <v>1</v>
      </c>
      <c r="H27" s="62">
        <f t="shared" si="10"/>
        <v>0</v>
      </c>
      <c r="I27" s="285">
        <f t="array" aca="1" ref="I27:Q27" ca="1">IF($E27&gt;timeHorizon, 0, MMULT(I26:Q26*(1-$H27), OFFSET(D.rngTPM.Q_I.Root, ($G26-1)*9, 0)) + MMULT(I26:Q26*$H27, OFFSET(D.rngTPM.Q_I.Root, ($G26-1)*9, 12)))</f>
        <v>0</v>
      </c>
      <c r="J27" s="285">
        <f ca="1"/>
        <v>0.14523409851198688</v>
      </c>
      <c r="K27" s="285">
        <f ca="1"/>
        <v>9.0537188709102434E-2</v>
      </c>
      <c r="L27" s="285">
        <f ca="1"/>
        <v>5.3168801800607161E-7</v>
      </c>
      <c r="M27" s="285">
        <f ca="1"/>
        <v>0</v>
      </c>
      <c r="N27" s="285">
        <f ca="1"/>
        <v>0</v>
      </c>
      <c r="O27" s="285">
        <f ca="1"/>
        <v>0.24363341599526345</v>
      </c>
      <c r="P27" s="285">
        <f ca="1"/>
        <v>0</v>
      </c>
      <c r="Q27" s="285">
        <f ca="1"/>
        <v>0.52059476509562908</v>
      </c>
      <c r="R27" s="283">
        <f t="shared" ca="1" si="18"/>
        <v>0.99999999999999978</v>
      </c>
      <c r="S27" s="418">
        <f t="shared" ca="1" si="11"/>
        <v>0.47940523490437092</v>
      </c>
      <c r="T27" s="418">
        <f t="shared" ca="1" si="12"/>
        <v>0.14523409851198688</v>
      </c>
      <c r="U27" s="418">
        <f t="shared" ca="1" si="13"/>
        <v>9.0537188709102434E-2</v>
      </c>
      <c r="V27" s="418">
        <f t="shared" ca="1" si="13"/>
        <v>0.24363394768328145</v>
      </c>
      <c r="W27" s="418">
        <f ca="1">PRODUCT(I26*(1-$H27), SUM(OFFSET(D.TPMs!$L$7:$M$7, ($G26-1)*9, 0), OFFSET(D.TPMs!$O$7:$P$7, ($G26-1)*9, 0)))
+PRODUCT(I26*$H27,     SUM(OFFSET(D.TPMs!$L$7:$M$7, ($G26-1)*9, 12), OFFSET(D.TPMs!$O$7:$P$7, ($G26-1)*9, 12)))
+PRODUCT(L26*(1-$H27), SUM(OFFSET(D.TPMs!$L$10:$M$10, ($G26-1)*9, 0), OFFSET(D.TPMs!$O$10:$P$10, ($G26-1)*9, 0)))
+PRODUCT(L26*$H27,     SUM(OFFSET(D.TPMs!$L$10:$M$10, ($G26-1)*9, 12), OFFSET(D.TPMs!$O$10:$P$10, ($G26-1)*9, 12)))</f>
        <v>6.792419391251869E-7</v>
      </c>
      <c r="Y27" s="285">
        <f t="array" aca="1" ref="Y27:AG27" ca="1">IF($E27&gt;timeHorizon, 0, MMULT(Y26:AG26*(1-$H27), OFFSET(D.rngTPM.Q_I.Root, ($G26-1)*9, 0)) + MMULT(Y26:AG26*$H27, OFFSET(D.rngTPM.Q_I.Root, ($G26-1)*9, 12)))</f>
        <v>9.8332967936601005E-6</v>
      </c>
      <c r="Z27" s="285">
        <f ca="1"/>
        <v>0.14748092502589472</v>
      </c>
      <c r="AA27" s="285">
        <f ca="1"/>
        <v>9.1937833310958783E-2</v>
      </c>
      <c r="AB27" s="285">
        <f ca="1"/>
        <v>0</v>
      </c>
      <c r="AC27" s="285">
        <f ca="1"/>
        <v>0</v>
      </c>
      <c r="AD27" s="285">
        <f ca="1"/>
        <v>0</v>
      </c>
      <c r="AE27" s="285">
        <f ca="1"/>
        <v>0.24739343354630505</v>
      </c>
      <c r="AF27" s="285">
        <f ca="1"/>
        <v>0</v>
      </c>
      <c r="AG27" s="285">
        <f ca="1"/>
        <v>0.5131779748200479</v>
      </c>
      <c r="AH27" s="283">
        <f t="shared" ca="1" si="19"/>
        <v>1</v>
      </c>
      <c r="AI27" s="320">
        <f t="shared" ca="1" si="14"/>
        <v>0.4868220251799521</v>
      </c>
      <c r="AJ27" s="320">
        <f t="shared" ca="1" si="15"/>
        <v>0.14748092502589472</v>
      </c>
      <c r="AK27" s="320">
        <f t="shared" ca="1" si="16"/>
        <v>9.1937833310958783E-2</v>
      </c>
      <c r="AL27" s="418">
        <f t="shared" ca="1" si="20"/>
        <v>0.24739343354630505</v>
      </c>
      <c r="AM27" s="418">
        <f ca="1">PRODUCT(Y26*(1-$H27), SUM(OFFSET(D.TPMs!$L$7:$M$7, ($G26-1)*9, 0), OFFSET(D.TPMs!$O$7:$P$7, ($G26-1)*9, 0)))
+PRODUCT(Y26*$H27,     SUM(OFFSET(D.TPMs!$L$7:$M$7, ($G26-1)*9, 12), OFFSET(D.TPMs!$O$7:$P$7, ($G26-1)*9, 12)))
+PRODUCT(AB26*(1-$H27), SUM(OFFSET(D.TPMs!$L$10:$M$10, ($G26-1)*9, 0), OFFSET(D.TPMs!$O$10:$P$10, ($G26-1)*9, 0)))
+PRODUCT(AB26*$H27,     SUM(OFFSET(D.TPMs!$L$10:$M$10, ($G26-1)*9, 12), OFFSET(D.TPMs!$O$10:$P$10, ($G26-1)*9, 12)))</f>
        <v>9.121722995362868E-6</v>
      </c>
    </row>
    <row r="28" spans="2:40" ht="12" customHeight="1" x14ac:dyDescent="0.25">
      <c r="B28" s="321"/>
      <c r="D28" s="62">
        <f t="shared" si="17"/>
        <v>18</v>
      </c>
      <c r="E28" s="63">
        <f t="shared" si="8"/>
        <v>4.5</v>
      </c>
      <c r="F28" s="63">
        <f t="shared" si="9"/>
        <v>69.5</v>
      </c>
      <c r="G28" s="301">
        <f>MATCH(F28, Parameters!$D$523:$D$524, 1)</f>
        <v>1</v>
      </c>
      <c r="H28" s="62">
        <f t="shared" si="10"/>
        <v>0</v>
      </c>
      <c r="I28" s="285">
        <f t="array" aca="1" ref="I28:Q28" ca="1">IF($E28&gt;timeHorizon, 0, MMULT(I27:Q27*(1-$H28), OFFSET(D.rngTPM.Q_I.Root, ($G27-1)*9, 0)) + MMULT(I27:Q27*$H28, OFFSET(D.rngTPM.Q_I.Root, ($G27-1)*9, 12)))</f>
        <v>0</v>
      </c>
      <c r="J28" s="285">
        <f ca="1"/>
        <v>0.13903084139576299</v>
      </c>
      <c r="K28" s="285">
        <f ca="1"/>
        <v>8.6670152896598046E-2</v>
      </c>
      <c r="L28" s="285">
        <f ca="1"/>
        <v>2.27288711071829E-7</v>
      </c>
      <c r="M28" s="285">
        <f ca="1"/>
        <v>0</v>
      </c>
      <c r="N28" s="285">
        <f ca="1"/>
        <v>0</v>
      </c>
      <c r="O28" s="285">
        <f ca="1"/>
        <v>0.23322770593297648</v>
      </c>
      <c r="P28" s="285">
        <f ca="1"/>
        <v>0</v>
      </c>
      <c r="Q28" s="285">
        <f ca="1"/>
        <v>0.54107107248595121</v>
      </c>
      <c r="R28" s="283">
        <f t="shared" ca="1" si="18"/>
        <v>0.99999999999999978</v>
      </c>
      <c r="S28" s="418">
        <f t="shared" ca="1" si="11"/>
        <v>0.45892892751404879</v>
      </c>
      <c r="T28" s="418">
        <f t="shared" ca="1" si="12"/>
        <v>0.13903084139576299</v>
      </c>
      <c r="U28" s="418">
        <f t="shared" ca="1" si="13"/>
        <v>8.6670152896598046E-2</v>
      </c>
      <c r="V28" s="418">
        <f t="shared" ca="1" si="13"/>
        <v>0.23322793322168756</v>
      </c>
      <c r="W28" s="418">
        <f ca="1">PRODUCT(I27*(1-$H28), SUM(OFFSET(D.TPMs!$L$7:$M$7, ($G27-1)*9, 0), OFFSET(D.TPMs!$O$7:$P$7, ($G27-1)*9, 0)))
+PRODUCT(I27*$H28,     SUM(OFFSET(D.TPMs!$L$7:$M$7, ($G27-1)*9, 12), OFFSET(D.TPMs!$O$7:$P$7, ($G27-1)*9, 12)))
+PRODUCT(L27*(1-$H28), SUM(OFFSET(D.TPMs!$L$10:$M$10, ($G27-1)*9, 0), OFFSET(D.TPMs!$O$10:$P$10, ($G27-1)*9, 0)))
+PRODUCT(L27*$H28,     SUM(OFFSET(D.TPMs!$L$10:$M$10, ($G27-1)*9, 12), OFFSET(D.TPMs!$O$10:$P$10, ($G27-1)*9, 12)))</f>
        <v>2.9036581533031742E-7</v>
      </c>
      <c r="Y28" s="285">
        <f t="array" aca="1" ref="Y28:AG28" ca="1">IF($E28&gt;timeHorizon, 0, MMULT(Y27:AG27*(1-$H28), OFFSET(D.rngTPM.Q_I.Root, ($G27-1)*9, 0)) + MMULT(Y27:AG27*$H28, OFFSET(D.rngTPM.Q_I.Root, ($G27-1)*9, 12)))</f>
        <v>4.9905916829238243E-6</v>
      </c>
      <c r="Z28" s="285">
        <f ca="1"/>
        <v>0.1411817369368466</v>
      </c>
      <c r="AA28" s="285">
        <f ca="1"/>
        <v>8.8010995284796417E-2</v>
      </c>
      <c r="AB28" s="285">
        <f ca="1"/>
        <v>0</v>
      </c>
      <c r="AC28" s="285">
        <f ca="1"/>
        <v>0</v>
      </c>
      <c r="AD28" s="285">
        <f ca="1"/>
        <v>0</v>
      </c>
      <c r="AE28" s="285">
        <f ca="1"/>
        <v>0.23683121673903471</v>
      </c>
      <c r="AF28" s="285">
        <f ca="1"/>
        <v>0</v>
      </c>
      <c r="AG28" s="285">
        <f ca="1"/>
        <v>0.53397106044763953</v>
      </c>
      <c r="AH28" s="283">
        <f t="shared" ca="1" si="19"/>
        <v>1.0000000000000002</v>
      </c>
      <c r="AI28" s="320">
        <f t="shared" ca="1" si="14"/>
        <v>0.46602893955236047</v>
      </c>
      <c r="AJ28" s="320">
        <f t="shared" ca="1" si="15"/>
        <v>0.1411817369368466</v>
      </c>
      <c r="AK28" s="320">
        <f t="shared" ca="1" si="16"/>
        <v>8.8010995284796417E-2</v>
      </c>
      <c r="AL28" s="418">
        <f t="shared" ca="1" si="20"/>
        <v>0.23683121673903471</v>
      </c>
      <c r="AM28" s="418">
        <f ca="1">PRODUCT(Y27*(1-$H28), SUM(OFFSET(D.TPMs!$L$7:$M$7, ($G27-1)*9, 0), OFFSET(D.TPMs!$O$7:$P$7, ($G27-1)*9, 0)))
+PRODUCT(Y27*$H28,     SUM(OFFSET(D.TPMs!$L$7:$M$7, ($G27-1)*9, 12), OFFSET(D.TPMs!$O$7:$P$7, ($G27-1)*9, 12)))
+PRODUCT(AB27*(1-$H28), SUM(OFFSET(D.TPMs!$L$10:$M$10, ($G27-1)*9, 0), OFFSET(D.TPMs!$O$10:$P$10, ($G27-1)*9, 0)))
+PRODUCT(AB27*$H28,     SUM(OFFSET(D.TPMs!$L$10:$M$10, ($G27-1)*9, 12), OFFSET(D.TPMs!$O$10:$P$10, ($G27-1)*9, 12)))</f>
        <v>4.6294539735588174E-6</v>
      </c>
    </row>
    <row r="29" spans="2:40" ht="12" customHeight="1" x14ac:dyDescent="0.25">
      <c r="B29" s="321"/>
      <c r="D29" s="62">
        <f t="shared" si="17"/>
        <v>19</v>
      </c>
      <c r="E29" s="63">
        <f t="shared" si="8"/>
        <v>4.75</v>
      </c>
      <c r="F29" s="63">
        <f t="shared" si="9"/>
        <v>69.75</v>
      </c>
      <c r="G29" s="301">
        <f>MATCH(F29, Parameters!$D$523:$D$524, 1)</f>
        <v>1</v>
      </c>
      <c r="H29" s="62">
        <f t="shared" si="10"/>
        <v>0</v>
      </c>
      <c r="I29" s="285">
        <f t="array" aca="1" ref="I29:Q29" ca="1">IF($E29&gt;timeHorizon, 0, MMULT(I28:Q28*(1-$H29), OFFSET(D.rngTPM.Q_I.Root, ($G28-1)*9, 0)) + MMULT(I28:Q28*$H29, OFFSET(D.rngTPM.Q_I.Root, ($G28-1)*9, 12)))</f>
        <v>0</v>
      </c>
      <c r="J29" s="285">
        <f ca="1"/>
        <v>0.13309255723853014</v>
      </c>
      <c r="K29" s="285">
        <f ca="1"/>
        <v>8.2968298037029431E-2</v>
      </c>
      <c r="L29" s="285">
        <f ca="1"/>
        <v>9.7162539743567122E-8</v>
      </c>
      <c r="M29" s="285">
        <f ca="1"/>
        <v>0</v>
      </c>
      <c r="N29" s="285">
        <f ca="1"/>
        <v>0</v>
      </c>
      <c r="O29" s="285">
        <f ca="1"/>
        <v>0.22326625326036015</v>
      </c>
      <c r="P29" s="285">
        <f ca="1"/>
        <v>0</v>
      </c>
      <c r="Q29" s="285">
        <f ca="1"/>
        <v>0.56067279430154038</v>
      </c>
      <c r="R29" s="283">
        <f t="shared" ca="1" si="18"/>
        <v>0.99999999999999978</v>
      </c>
      <c r="S29" s="418">
        <f t="shared" ca="1" si="11"/>
        <v>0.43932720569845962</v>
      </c>
      <c r="T29" s="418">
        <f t="shared" ca="1" si="12"/>
        <v>0.13309255723853014</v>
      </c>
      <c r="U29" s="418">
        <f t="shared" ca="1" si="13"/>
        <v>8.2968298037029431E-2</v>
      </c>
      <c r="V29" s="418">
        <f t="shared" ca="1" si="13"/>
        <v>0.22326635042289988</v>
      </c>
      <c r="W29" s="418">
        <f ca="1">PRODUCT(I28*(1-$H29), SUM(OFFSET(D.TPMs!$L$7:$M$7, ($G28-1)*9, 0), OFFSET(D.TPMs!$O$7:$P$7, ($G28-1)*9, 0)))
+PRODUCT(I28*$H29,     SUM(OFFSET(D.TPMs!$L$7:$M$7, ($G28-1)*9, 12), OFFSET(D.TPMs!$O$7:$P$7, ($G28-1)*9, 12)))
+PRODUCT(L28*(1-$H29), SUM(OFFSET(D.TPMs!$L$10:$M$10, ($G28-1)*9, 0), OFFSET(D.TPMs!$O$10:$P$10, ($G28-1)*9, 0)))
+PRODUCT(L28*$H29,     SUM(OFFSET(D.TPMs!$L$10:$M$10, ($G28-1)*9, 12), OFFSET(D.TPMs!$O$10:$P$10, ($G28-1)*9, 12)))</f>
        <v>1.2412706262076217E-7</v>
      </c>
      <c r="Y29" s="285">
        <f t="array" aca="1" ref="Y29:AG29" ca="1">IF($E29&gt;timeHorizon, 0, MMULT(Y28:AG28*(1-$H29), OFFSET(D.rngTPM.Q_I.Root, ($G28-1)*9, 0)) + MMULT(Y28:AG28*$H29, OFFSET(D.rngTPM.Q_I.Root, ($G28-1)*9, 12)))</f>
        <v>2.5328235146656303E-6</v>
      </c>
      <c r="Z29" s="285">
        <f ca="1"/>
        <v>0.13515159903563961</v>
      </c>
      <c r="AA29" s="285">
        <f ca="1"/>
        <v>8.4251879906954041E-2</v>
      </c>
      <c r="AB29" s="285">
        <f ca="1"/>
        <v>0</v>
      </c>
      <c r="AC29" s="285">
        <f ca="1"/>
        <v>0</v>
      </c>
      <c r="AD29" s="285">
        <f ca="1"/>
        <v>0</v>
      </c>
      <c r="AE29" s="285">
        <f ca="1"/>
        <v>0.22671795400971456</v>
      </c>
      <c r="AF29" s="285">
        <f ca="1"/>
        <v>0</v>
      </c>
      <c r="AG29" s="285">
        <f ca="1"/>
        <v>0.5538760342241773</v>
      </c>
      <c r="AH29" s="283">
        <f t="shared" ca="1" si="19"/>
        <v>1.0000000000000002</v>
      </c>
      <c r="AI29" s="320">
        <f t="shared" ca="1" si="14"/>
        <v>0.4461239657758227</v>
      </c>
      <c r="AJ29" s="320">
        <f t="shared" ca="1" si="15"/>
        <v>0.13515159903563961</v>
      </c>
      <c r="AK29" s="320">
        <f t="shared" ca="1" si="16"/>
        <v>8.4251879906954041E-2</v>
      </c>
      <c r="AL29" s="418">
        <f t="shared" ca="1" si="20"/>
        <v>0.22671795400971456</v>
      </c>
      <c r="AM29" s="418">
        <f ca="1">PRODUCT(Y28*(1-$H29), SUM(OFFSET(D.TPMs!$L$7:$M$7, ($G28-1)*9, 0), OFFSET(D.TPMs!$O$7:$P$7, ($G28-1)*9, 0)))
+PRODUCT(Y28*$H29,     SUM(OFFSET(D.TPMs!$L$7:$M$7, ($G28-1)*9, 12), OFFSET(D.TPMs!$O$7:$P$7, ($G28-1)*9, 12)))
+PRODUCT(AB28*(1-$H29), SUM(OFFSET(D.TPMs!$L$10:$M$10, ($G28-1)*9, 0), OFFSET(D.TPMs!$O$10:$P$10, ($G28-1)*9, 0)))
+PRODUCT(AB28*$H29,     SUM(OFFSET(D.TPMs!$L$10:$M$10, ($G28-1)*9, 12), OFFSET(D.TPMs!$O$10:$P$10, ($G28-1)*9, 12)))</f>
        <v>2.3495390184721285E-6</v>
      </c>
    </row>
    <row r="30" spans="2:40" ht="12" customHeight="1" x14ac:dyDescent="0.25">
      <c r="B30" s="321"/>
      <c r="D30" s="62">
        <f t="shared" si="17"/>
        <v>20</v>
      </c>
      <c r="E30" s="63">
        <f t="shared" si="8"/>
        <v>5</v>
      </c>
      <c r="F30" s="63">
        <f t="shared" si="9"/>
        <v>70</v>
      </c>
      <c r="G30" s="301">
        <f>MATCH(F30, Parameters!$D$523:$D$524, 1)</f>
        <v>1</v>
      </c>
      <c r="H30" s="62">
        <f t="shared" si="10"/>
        <v>0</v>
      </c>
      <c r="I30" s="285">
        <f t="array" aca="1" ref="I30:Q30" ca="1">IF($E30&gt;timeHorizon, 0, MMULT(I29:Q29*(1-$H30), OFFSET(D.rngTPM.Q_I.Root, ($G29-1)*9, 0)) + MMULT(I29:Q29*$H30, OFFSET(D.rngTPM.Q_I.Root, ($G29-1)*9, 12)))</f>
        <v>0</v>
      </c>
      <c r="J30" s="285">
        <f ca="1"/>
        <v>0.12740791700212131</v>
      </c>
      <c r="K30" s="285">
        <f ca="1"/>
        <v>7.942456174438034E-2</v>
      </c>
      <c r="L30" s="285">
        <f ca="1"/>
        <v>4.1535539028318936E-8</v>
      </c>
      <c r="M30" s="285">
        <f ca="1"/>
        <v>0</v>
      </c>
      <c r="N30" s="285">
        <f ca="1"/>
        <v>0</v>
      </c>
      <c r="O30" s="285">
        <f ca="1"/>
        <v>0.21373019173478064</v>
      </c>
      <c r="P30" s="285">
        <f ca="1"/>
        <v>0</v>
      </c>
      <c r="Q30" s="285">
        <f ca="1"/>
        <v>0.57943728798317851</v>
      </c>
      <c r="R30" s="283">
        <f t="shared" ca="1" si="18"/>
        <v>0.99999999999999978</v>
      </c>
      <c r="S30" s="418">
        <f t="shared" ca="1" si="11"/>
        <v>0.42056271201682149</v>
      </c>
      <c r="T30" s="418">
        <f t="shared" ca="1" si="12"/>
        <v>0.12740791700212131</v>
      </c>
      <c r="U30" s="418">
        <f t="shared" ca="1" si="13"/>
        <v>7.942456174438034E-2</v>
      </c>
      <c r="V30" s="418">
        <f t="shared" ca="1" si="13"/>
        <v>0.21373023327031967</v>
      </c>
      <c r="W30" s="418">
        <f ca="1">PRODUCT(I29*(1-$H30), SUM(OFFSET(D.TPMs!$L$7:$M$7, ($G29-1)*9, 0), OFFSET(D.TPMs!$O$7:$P$7, ($G29-1)*9, 0)))
+PRODUCT(I29*$H30,     SUM(OFFSET(D.TPMs!$L$7:$M$7, ($G29-1)*9, 12), OFFSET(D.TPMs!$O$7:$P$7, ($G29-1)*9, 12)))
+PRODUCT(L29*(1-$H30), SUM(OFFSET(D.TPMs!$L$10:$M$10, ($G29-1)*9, 0), OFFSET(D.TPMs!$O$10:$P$10, ($G29-1)*9, 0)))
+PRODUCT(L29*$H30,     SUM(OFFSET(D.TPMs!$L$10:$M$10, ($G29-1)*9, 12), OFFSET(D.TPMs!$O$10:$P$10, ($G29-1)*9, 12)))</f>
        <v>5.3062471067164548E-8</v>
      </c>
      <c r="X30" s="308"/>
      <c r="Y30" s="285">
        <f t="array" aca="1" ref="Y30:AG30" ca="1">IF($E30&gt;timeHorizon, 0, MMULT(Y29:AG29*(1-$H30), OFFSET(D.rngTPM.Q_I.Root, ($G29-1)*9, 0)) + MMULT(Y29:AG29*$H30, OFFSET(D.rngTPM.Q_I.Root, ($G29-1)*9, 12)))</f>
        <v>1.28545779018425E-6</v>
      </c>
      <c r="Z30" s="285">
        <f ca="1"/>
        <v>0.1293790196819935</v>
      </c>
      <c r="AA30" s="285">
        <f ca="1"/>
        <v>8.065332342721529E-2</v>
      </c>
      <c r="AB30" s="285">
        <f ca="1"/>
        <v>0</v>
      </c>
      <c r="AC30" s="285">
        <f ca="1"/>
        <v>0</v>
      </c>
      <c r="AD30" s="285">
        <f ca="1"/>
        <v>0</v>
      </c>
      <c r="AE30" s="285">
        <f ca="1"/>
        <v>0.2170355423534176</v>
      </c>
      <c r="AF30" s="285">
        <f ca="1"/>
        <v>0</v>
      </c>
      <c r="AG30" s="285">
        <f ca="1"/>
        <v>0.57293082907958359</v>
      </c>
      <c r="AH30" s="283">
        <f t="shared" ca="1" si="19"/>
        <v>1.0000000000000002</v>
      </c>
      <c r="AI30" s="320">
        <f t="shared" ca="1" si="14"/>
        <v>0.42706917092041641</v>
      </c>
      <c r="AJ30" s="320">
        <f t="shared" ca="1" si="15"/>
        <v>0.1293790196819935</v>
      </c>
      <c r="AK30" s="320">
        <f t="shared" ca="1" si="16"/>
        <v>8.065332342721529E-2</v>
      </c>
      <c r="AL30" s="418">
        <f t="shared" ca="1" si="20"/>
        <v>0.2170355423534176</v>
      </c>
      <c r="AM30" s="418">
        <f ca="1">PRODUCT(Y29*(1-$H30), SUM(OFFSET(D.TPMs!$L$7:$M$7, ($G29-1)*9, 0), OFFSET(D.TPMs!$O$7:$P$7, ($G29-1)*9, 0)))
+PRODUCT(Y29*$H30,     SUM(OFFSET(D.TPMs!$L$7:$M$7, ($G29-1)*9, 12), OFFSET(D.TPMs!$O$7:$P$7, ($G29-1)*9, 12)))
+PRODUCT(AB29*(1-$H30), SUM(OFFSET(D.TPMs!$L$10:$M$10, ($G29-1)*9, 0), OFFSET(D.TPMs!$O$10:$P$10, ($G29-1)*9, 0)))
+PRODUCT(AB29*$H30,     SUM(OFFSET(D.TPMs!$L$10:$M$10, ($G29-1)*9, 12), OFFSET(D.TPMs!$O$10:$P$10, ($G29-1)*9, 12)))</f>
        <v>1.1924373005655584E-6</v>
      </c>
      <c r="AN30" s="308"/>
    </row>
    <row r="31" spans="2:40" ht="12" customHeight="1" x14ac:dyDescent="0.25">
      <c r="B31" s="321"/>
      <c r="D31" s="62">
        <f t="shared" si="17"/>
        <v>21</v>
      </c>
      <c r="E31" s="63">
        <f t="shared" si="8"/>
        <v>5.25</v>
      </c>
      <c r="F31" s="63">
        <f t="shared" si="9"/>
        <v>70.25</v>
      </c>
      <c r="G31" s="301">
        <f>MATCH(F31, Parameters!$D$523:$D$524, 1)</f>
        <v>1</v>
      </c>
      <c r="H31" s="62">
        <f t="shared" si="10"/>
        <v>0</v>
      </c>
      <c r="I31" s="285">
        <f t="array" aca="1" ref="I31:Q31" ca="1">IF($E31&gt;timeHorizon, 0, MMULT(I30:Q30*(1-$H31), OFFSET(D.rngTPM.Q_I.Root, ($G30-1)*9, 0)) + MMULT(I30:Q30*$H31, OFFSET(D.rngTPM.Q_I.Root, ($G30-1)*9, 12)))</f>
        <v>0</v>
      </c>
      <c r="J31" s="285">
        <f ca="1"/>
        <v>0.12196608214204585</v>
      </c>
      <c r="K31" s="285">
        <f ca="1"/>
        <v>7.6032187400487811E-2</v>
      </c>
      <c r="L31" s="285">
        <f ca="1"/>
        <v>1.7755824486743377E-8</v>
      </c>
      <c r="M31" s="285">
        <f ca="1"/>
        <v>0</v>
      </c>
      <c r="N31" s="285">
        <f ca="1"/>
        <v>0</v>
      </c>
      <c r="O31" s="285">
        <f ca="1"/>
        <v>0.20460139862114618</v>
      </c>
      <c r="P31" s="285">
        <f ca="1"/>
        <v>0</v>
      </c>
      <c r="Q31" s="285">
        <f ca="1"/>
        <v>0.59740031408049554</v>
      </c>
      <c r="R31" s="283">
        <f t="shared" ca="1" si="18"/>
        <v>0.99999999999999989</v>
      </c>
      <c r="S31" s="418">
        <f t="shared" ca="1" si="11"/>
        <v>0.40259968591950446</v>
      </c>
      <c r="T31" s="418">
        <f t="shared" ca="1" si="12"/>
        <v>0.12196608214204585</v>
      </c>
      <c r="U31" s="418">
        <f t="shared" ca="1" si="13"/>
        <v>7.6032187400487811E-2</v>
      </c>
      <c r="V31" s="418">
        <f t="shared" ca="1" si="13"/>
        <v>0.20460141637697066</v>
      </c>
      <c r="W31" s="418">
        <f ca="1">PRODUCT(I30*(1-$H31), SUM(OFFSET(D.TPMs!$L$7:$M$7, ($G30-1)*9, 0), OFFSET(D.TPMs!$O$7:$P$7, ($G30-1)*9, 0)))
+PRODUCT(I30*$H31,     SUM(OFFSET(D.TPMs!$L$7:$M$7, ($G30-1)*9, 12), OFFSET(D.TPMs!$O$7:$P$7, ($G30-1)*9, 12)))
+PRODUCT(L30*(1-$H31), SUM(OFFSET(D.TPMs!$L$10:$M$10, ($G30-1)*9, 0), OFFSET(D.TPMs!$O$10:$P$10, ($G30-1)*9, 0)))
+PRODUCT(L30*$H31,     SUM(OFFSET(D.TPMs!$L$10:$M$10, ($G30-1)*9, 12), OFFSET(D.TPMs!$O$10:$P$10, ($G30-1)*9, 12)))</f>
        <v>2.268341630185904E-8</v>
      </c>
      <c r="Y31" s="285">
        <f t="array" aca="1" ref="Y31:AG31" ca="1">IF($E31&gt;timeHorizon, 0, MMULT(Y30:AG30*(1-$H31), OFFSET(D.rngTPM.Q_I.Root, ($G30-1)*9, 0)) + MMULT(Y30:AG30*$H31, OFFSET(D.rngTPM.Q_I.Root, ($G30-1)*9, 12)))</f>
        <v>6.5239513166929686E-7</v>
      </c>
      <c r="Z31" s="285">
        <f ca="1"/>
        <v>0.12385299806522887</v>
      </c>
      <c r="AA31" s="285">
        <f ca="1"/>
        <v>7.7208468072628517E-2</v>
      </c>
      <c r="AB31" s="285">
        <f ca="1"/>
        <v>0</v>
      </c>
      <c r="AC31" s="285">
        <f ca="1"/>
        <v>0</v>
      </c>
      <c r="AD31" s="285">
        <f ca="1"/>
        <v>0</v>
      </c>
      <c r="AE31" s="285">
        <f ca="1"/>
        <v>0.2077661237101141</v>
      </c>
      <c r="AF31" s="285">
        <f ca="1"/>
        <v>0</v>
      </c>
      <c r="AG31" s="285">
        <f ca="1"/>
        <v>0.59117175775689701</v>
      </c>
      <c r="AH31" s="283">
        <f t="shared" ca="1" si="19"/>
        <v>1.0000000000000002</v>
      </c>
      <c r="AI31" s="320">
        <f t="shared" ca="1" si="14"/>
        <v>0.40882824224310299</v>
      </c>
      <c r="AJ31" s="320">
        <f t="shared" ca="1" si="15"/>
        <v>0.12385299806522887</v>
      </c>
      <c r="AK31" s="320">
        <f t="shared" ca="1" si="16"/>
        <v>7.7208468072628517E-2</v>
      </c>
      <c r="AL31" s="418">
        <f t="shared" ca="1" si="20"/>
        <v>0.2077661237101141</v>
      </c>
      <c r="AM31" s="418">
        <f ca="1">PRODUCT(Y30*(1-$H31), SUM(OFFSET(D.TPMs!$L$7:$M$7, ($G30-1)*9, 0), OFFSET(D.TPMs!$O$7:$P$7, ($G30-1)*9, 0)))
+PRODUCT(Y30*$H31,     SUM(OFFSET(D.TPMs!$L$7:$M$7, ($G30-1)*9, 12), OFFSET(D.TPMs!$O$7:$P$7, ($G30-1)*9, 12)))
+PRODUCT(AB30*(1-$H31), SUM(OFFSET(D.TPMs!$L$10:$M$10, ($G30-1)*9, 0), OFFSET(D.TPMs!$O$10:$P$10, ($G30-1)*9, 0)))
+PRODUCT(AB30*$H31,     SUM(OFFSET(D.TPMs!$L$10:$M$10, ($G30-1)*9, 12), OFFSET(D.TPMs!$O$10:$P$10, ($G30-1)*9, 12)))</f>
        <v>6.05185402158046E-7</v>
      </c>
    </row>
    <row r="32" spans="2:40" ht="12" customHeight="1" x14ac:dyDescent="0.25">
      <c r="B32" s="321"/>
      <c r="D32" s="62">
        <f t="shared" si="17"/>
        <v>22</v>
      </c>
      <c r="E32" s="63">
        <f t="shared" si="8"/>
        <v>5.5</v>
      </c>
      <c r="F32" s="63">
        <f t="shared" si="9"/>
        <v>70.5</v>
      </c>
      <c r="G32" s="301">
        <f>MATCH(F32, Parameters!$D$523:$D$524, 1)</f>
        <v>1</v>
      </c>
      <c r="H32" s="62">
        <f t="shared" si="10"/>
        <v>0</v>
      </c>
      <c r="I32" s="285">
        <f t="array" aca="1" ref="I32:Q32" ca="1">IF($E32&gt;timeHorizon, 0, MMULT(I31:Q31*(1-$H32), OFFSET(D.rngTPM.Q_I.Root, ($G31-1)*9, 0)) + MMULT(I31:Q31*$H32, OFFSET(D.rngTPM.Q_I.Root, ($G31-1)*9, 12)))</f>
        <v>0</v>
      </c>
      <c r="J32" s="285">
        <f ca="1"/>
        <v>0.11675667987376206</v>
      </c>
      <c r="K32" s="285">
        <f ca="1"/>
        <v>7.2784708736334386E-2</v>
      </c>
      <c r="L32" s="285">
        <f ca="1"/>
        <v>7.5903505908298209E-9</v>
      </c>
      <c r="M32" s="285">
        <f ca="1"/>
        <v>0</v>
      </c>
      <c r="N32" s="285">
        <f ca="1"/>
        <v>0</v>
      </c>
      <c r="O32" s="285">
        <f ca="1"/>
        <v>0.19586249860596311</v>
      </c>
      <c r="P32" s="285">
        <f ca="1"/>
        <v>0</v>
      </c>
      <c r="Q32" s="285">
        <f ca="1"/>
        <v>0.61459610519358976</v>
      </c>
      <c r="R32" s="283">
        <f t="shared" ca="1" si="18"/>
        <v>0.99999999999999989</v>
      </c>
      <c r="S32" s="418">
        <f t="shared" ca="1" si="11"/>
        <v>0.38540389480641024</v>
      </c>
      <c r="T32" s="418">
        <f t="shared" ca="1" si="12"/>
        <v>0.11675667987376206</v>
      </c>
      <c r="U32" s="418">
        <f t="shared" ca="1" si="13"/>
        <v>7.2784708736334386E-2</v>
      </c>
      <c r="V32" s="418">
        <f t="shared" ca="1" si="13"/>
        <v>0.19586250619631371</v>
      </c>
      <c r="W32" s="418">
        <f ca="1">PRODUCT(I31*(1-$H32), SUM(OFFSET(D.TPMs!$L$7:$M$7, ($G31-1)*9, 0), OFFSET(D.TPMs!$O$7:$P$7, ($G31-1)*9, 0)))
+PRODUCT(I31*$H32,     SUM(OFFSET(D.TPMs!$L$7:$M$7, ($G31-1)*9, 12), OFFSET(D.TPMs!$O$7:$P$7, ($G31-1)*9, 12)))
+PRODUCT(L31*(1-$H32), SUM(OFFSET(D.TPMs!$L$10:$M$10, ($G31-1)*9, 0), OFFSET(D.TPMs!$O$10:$P$10, ($G31-1)*9, 0)))
+PRODUCT(L31*$H32,     SUM(OFFSET(D.TPMs!$L$10:$M$10, ($G31-1)*9, 12), OFFSET(D.TPMs!$O$10:$P$10, ($G31-1)*9, 12)))</f>
        <v>9.6968227218849611E-9</v>
      </c>
      <c r="Y32" s="285">
        <f t="array" aca="1" ref="Y32:AG32" ca="1">IF($E32&gt;timeHorizon, 0, MMULT(Y31:AG31*(1-$H32), OFFSET(D.rngTPM.Q_I.Root, ($G31-1)*9, 0)) + MMULT(Y31:AG31*$H32, OFFSET(D.rngTPM.Q_I.Root, ($G31-1)*9, 12)))</f>
        <v>3.3110337116926523E-7</v>
      </c>
      <c r="Z32" s="285">
        <f ca="1"/>
        <v>0.11856300324001057</v>
      </c>
      <c r="AA32" s="285">
        <f ca="1"/>
        <v>7.3910748978641555E-2</v>
      </c>
      <c r="AB32" s="285">
        <f ca="1"/>
        <v>0</v>
      </c>
      <c r="AC32" s="285">
        <f ca="1"/>
        <v>0</v>
      </c>
      <c r="AD32" s="285">
        <f ca="1"/>
        <v>0</v>
      </c>
      <c r="AE32" s="285">
        <f ca="1"/>
        <v>0.19889233466447132</v>
      </c>
      <c r="AF32" s="285">
        <f ca="1"/>
        <v>0</v>
      </c>
      <c r="AG32" s="285">
        <f ca="1"/>
        <v>0.60863358201350559</v>
      </c>
      <c r="AH32" s="283">
        <f t="shared" ca="1" si="19"/>
        <v>1.0000000000000002</v>
      </c>
      <c r="AI32" s="320">
        <f t="shared" ca="1" si="14"/>
        <v>0.39136641798649441</v>
      </c>
      <c r="AJ32" s="320">
        <f t="shared" ca="1" si="15"/>
        <v>0.11856300324001057</v>
      </c>
      <c r="AK32" s="320">
        <f t="shared" ca="1" si="16"/>
        <v>7.3910748978641555E-2</v>
      </c>
      <c r="AL32" s="418">
        <f t="shared" ca="1" si="20"/>
        <v>0.19889233466447132</v>
      </c>
      <c r="AM32" s="418">
        <f ca="1">PRODUCT(Y31*(1-$H32), SUM(OFFSET(D.TPMs!$L$7:$M$7, ($G31-1)*9, 0), OFFSET(D.TPMs!$O$7:$P$7, ($G31-1)*9, 0)))
+PRODUCT(Y31*$H32,     SUM(OFFSET(D.TPMs!$L$7:$M$7, ($G31-1)*9, 12), OFFSET(D.TPMs!$O$7:$P$7, ($G31-1)*9, 12)))
+PRODUCT(AB31*(1-$H32), SUM(OFFSET(D.TPMs!$L$10:$M$10, ($G31-1)*9, 0), OFFSET(D.TPMs!$O$10:$P$10, ($G31-1)*9, 0)))
+PRODUCT(AB31*$H32,     SUM(OFFSET(D.TPMs!$L$10:$M$10, ($G31-1)*9, 12), OFFSET(D.TPMs!$O$10:$P$10, ($G31-1)*9, 12)))</f>
        <v>3.0714350415865746E-7</v>
      </c>
    </row>
    <row r="33" spans="2:39" ht="12" customHeight="1" x14ac:dyDescent="0.25">
      <c r="B33" s="321"/>
      <c r="D33" s="62">
        <f t="shared" si="17"/>
        <v>23</v>
      </c>
      <c r="E33" s="63">
        <f t="shared" si="8"/>
        <v>5.75</v>
      </c>
      <c r="F33" s="63">
        <f t="shared" si="9"/>
        <v>70.75</v>
      </c>
      <c r="G33" s="301">
        <f>MATCH(F33, Parameters!$D$523:$D$524, 1)</f>
        <v>1</v>
      </c>
      <c r="H33" s="62">
        <f t="shared" si="10"/>
        <v>0</v>
      </c>
      <c r="I33" s="285">
        <f t="array" aca="1" ref="I33:Q33" ca="1">IF($E33&gt;timeHorizon, 0, MMULT(I32:Q32*(1-$H33), OFFSET(D.rngTPM.Q_I.Root, ($G32-1)*9, 0)) + MMULT(I32:Q32*$H33, OFFSET(D.rngTPM.Q_I.Root, ($G32-1)*9, 12)))</f>
        <v>0</v>
      </c>
      <c r="J33" s="285">
        <f ca="1"/>
        <v>0.1117697816616668</v>
      </c>
      <c r="K33" s="285">
        <f ca="1"/>
        <v>6.9675936422343029E-2</v>
      </c>
      <c r="L33" s="285">
        <f ca="1"/>
        <v>3.2447618602405758E-9</v>
      </c>
      <c r="M33" s="285">
        <f ca="1"/>
        <v>0</v>
      </c>
      <c r="N33" s="285">
        <f ca="1"/>
        <v>0</v>
      </c>
      <c r="O33" s="285">
        <f ca="1"/>
        <v>0.18749684712222919</v>
      </c>
      <c r="P33" s="285">
        <f ca="1"/>
        <v>0</v>
      </c>
      <c r="Q33" s="285">
        <f ca="1"/>
        <v>0.63105743154899907</v>
      </c>
      <c r="R33" s="283">
        <f t="shared" ca="1" si="18"/>
        <v>1</v>
      </c>
      <c r="S33" s="418">
        <f t="shared" ca="1" si="11"/>
        <v>0.36894256845100093</v>
      </c>
      <c r="T33" s="418">
        <f t="shared" ca="1" si="12"/>
        <v>0.1117697816616668</v>
      </c>
      <c r="U33" s="418">
        <f t="shared" ca="1" si="13"/>
        <v>6.9675936422343029E-2</v>
      </c>
      <c r="V33" s="418">
        <f t="shared" ca="1" si="13"/>
        <v>0.18749685036699104</v>
      </c>
      <c r="W33" s="418">
        <f ca="1">PRODUCT(I32*(1-$H33), SUM(OFFSET(D.TPMs!$L$7:$M$7, ($G32-1)*9, 0), OFFSET(D.TPMs!$O$7:$P$7, ($G32-1)*9, 0)))
+PRODUCT(I32*$H33,     SUM(OFFSET(D.TPMs!$L$7:$M$7, ($G32-1)*9, 12), OFFSET(D.TPMs!$O$7:$P$7, ($G32-1)*9, 12)))
+PRODUCT(L32*(1-$H33), SUM(OFFSET(D.TPMs!$L$10:$M$10, ($G32-1)*9, 0), OFFSET(D.TPMs!$O$10:$P$10, ($G32-1)*9, 0)))
+PRODUCT(L32*$H33,     SUM(OFFSET(D.TPMs!$L$10:$M$10, ($G32-1)*9, 12), OFFSET(D.TPMs!$O$10:$P$10, ($G32-1)*9, 12)))</f>
        <v>4.1452473317239377E-9</v>
      </c>
      <c r="Y33" s="285">
        <f t="array" aca="1" ref="Y33:AG33" ca="1">IF($E33&gt;timeHorizon, 0, MMULT(Y32:AG32*(1-$H33), OFFSET(D.rngTPM.Q_I.Root, ($G32-1)*9, 0)) + MMULT(Y32:AG32*$H33, OFFSET(D.rngTPM.Q_I.Root, ($G32-1)*9, 12)))</f>
        <v>1.6804147835858478E-7</v>
      </c>
      <c r="Z33" s="285">
        <f ca="1"/>
        <v>0.11349895405751381</v>
      </c>
      <c r="AA33" s="285">
        <f ca="1"/>
        <v>7.0753881678432134E-2</v>
      </c>
      <c r="AB33" s="285">
        <f ca="1"/>
        <v>0</v>
      </c>
      <c r="AC33" s="285">
        <f ca="1"/>
        <v>0</v>
      </c>
      <c r="AD33" s="285">
        <f ca="1"/>
        <v>0</v>
      </c>
      <c r="AE33" s="285">
        <f ca="1"/>
        <v>0.19039741735591048</v>
      </c>
      <c r="AF33" s="285">
        <f ca="1"/>
        <v>0</v>
      </c>
      <c r="AG33" s="285">
        <f ca="1"/>
        <v>0.62534957886666542</v>
      </c>
      <c r="AH33" s="283">
        <f t="shared" ca="1" si="19"/>
        <v>1.0000000000000002</v>
      </c>
      <c r="AI33" s="320">
        <f t="shared" ca="1" si="14"/>
        <v>0.37465042113333458</v>
      </c>
      <c r="AJ33" s="320">
        <f t="shared" ca="1" si="15"/>
        <v>0.11349895405751381</v>
      </c>
      <c r="AK33" s="320">
        <f t="shared" ca="1" si="16"/>
        <v>7.0753881678432134E-2</v>
      </c>
      <c r="AL33" s="418">
        <f t="shared" ca="1" si="20"/>
        <v>0.19039741735591048</v>
      </c>
      <c r="AM33" s="418">
        <f ca="1">PRODUCT(Y32*(1-$H33), SUM(OFFSET(D.TPMs!$L$7:$M$7, ($G32-1)*9, 0), OFFSET(D.TPMs!$O$7:$P$7, ($G32-1)*9, 0)))
+PRODUCT(Y32*$H33,     SUM(OFFSET(D.TPMs!$L$7:$M$7, ($G32-1)*9, 12), OFFSET(D.TPMs!$O$7:$P$7, ($G32-1)*9, 12)))
+PRODUCT(AB32*(1-$H33), SUM(OFFSET(D.TPMs!$L$10:$M$10, ($G32-1)*9, 0), OFFSET(D.TPMs!$O$10:$P$10, ($G32-1)*9, 0)))
+PRODUCT(AB32*$H33,     SUM(OFFSET(D.TPMs!$L$10:$M$10, ($G32-1)*9, 12), OFFSET(D.TPMs!$O$10:$P$10, ($G32-1)*9, 12)))</f>
        <v>1.5588137422095783E-7</v>
      </c>
    </row>
    <row r="34" spans="2:39" ht="12" customHeight="1" x14ac:dyDescent="0.25">
      <c r="B34" s="321"/>
      <c r="D34" s="62">
        <f t="shared" si="17"/>
        <v>24</v>
      </c>
      <c r="E34" s="63">
        <f t="shared" si="8"/>
        <v>6</v>
      </c>
      <c r="F34" s="63">
        <f t="shared" si="9"/>
        <v>71</v>
      </c>
      <c r="G34" s="301">
        <f>MATCH(F34, Parameters!$D$523:$D$524, 1)</f>
        <v>1</v>
      </c>
      <c r="H34" s="62">
        <f t="shared" si="10"/>
        <v>0</v>
      </c>
      <c r="I34" s="285">
        <f t="array" aca="1" ref="I34:Q34" ca="1">IF($E34&gt;timeHorizon, 0, MMULT(I33:Q33*(1-$H34), OFFSET(D.rngTPM.Q_I.Root, ($G33-1)*9, 0)) + MMULT(I33:Q33*$H34, OFFSET(D.rngTPM.Q_I.Root, ($G33-1)*9, 12)))</f>
        <v>0</v>
      </c>
      <c r="J34" s="285">
        <f ca="1"/>
        <v>0.10699588355291804</v>
      </c>
      <c r="K34" s="285">
        <f ca="1"/>
        <v>6.6699945808719061E-2</v>
      </c>
      <c r="L34" s="285">
        <f ca="1"/>
        <v>1.3870873820231338E-9</v>
      </c>
      <c r="M34" s="285">
        <f ca="1"/>
        <v>0</v>
      </c>
      <c r="N34" s="285">
        <f ca="1"/>
        <v>0</v>
      </c>
      <c r="O34" s="285">
        <f ca="1"/>
        <v>0.17948850565645719</v>
      </c>
      <c r="P34" s="285">
        <f ca="1"/>
        <v>0</v>
      </c>
      <c r="Q34" s="285">
        <f ca="1"/>
        <v>0.64681566359481824</v>
      </c>
      <c r="R34" s="283">
        <f t="shared" ca="1" si="18"/>
        <v>0.99999999999999989</v>
      </c>
      <c r="S34" s="418">
        <f t="shared" ca="1" si="11"/>
        <v>0.35318433640518176</v>
      </c>
      <c r="T34" s="418">
        <f t="shared" ca="1" si="12"/>
        <v>0.10699588355291804</v>
      </c>
      <c r="U34" s="418">
        <f t="shared" ca="1" si="13"/>
        <v>6.6699945808719061E-2</v>
      </c>
      <c r="V34" s="418">
        <f t="shared" ca="1" si="13"/>
        <v>0.17948850704354458</v>
      </c>
      <c r="W34" s="418">
        <f ca="1">PRODUCT(I33*(1-$H34), SUM(OFFSET(D.TPMs!$L$7:$M$7, ($G33-1)*9, 0), OFFSET(D.TPMs!$O$7:$P$7, ($G33-1)*9, 0)))
+PRODUCT(I33*$H34,     SUM(OFFSET(D.TPMs!$L$7:$M$7, ($G33-1)*9, 12), OFFSET(D.TPMs!$O$7:$P$7, ($G33-1)*9, 12)))
+PRODUCT(L33*(1-$H34), SUM(OFFSET(D.TPMs!$L$10:$M$10, ($G33-1)*9, 0), OFFSET(D.TPMs!$O$10:$P$10, ($G33-1)*9, 0)))
+PRODUCT(L33*$H34,     SUM(OFFSET(D.TPMs!$L$10:$M$10, ($G33-1)*9, 12), OFFSET(D.TPMs!$O$10:$P$10, ($G33-1)*9, 12)))</f>
        <v>1.772031513207268E-9</v>
      </c>
      <c r="Y34" s="285">
        <f t="array" aca="1" ref="Y34:AG34" ca="1">IF($E34&gt;timeHorizon, 0, MMULT(Y33:AG33*(1-$H34), OFFSET(D.rngTPM.Q_I.Root, ($G33-1)*9, 0)) + MMULT(Y33:AG33*$H34, OFFSET(D.rngTPM.Q_I.Root, ($G33-1)*9, 12)))</f>
        <v>8.5284358021540775E-8</v>
      </c>
      <c r="Z34" s="285">
        <f ca="1"/>
        <v>0.10865119995376799</v>
      </c>
      <c r="AA34" s="285">
        <f ca="1"/>
        <v>6.773185012659283E-2</v>
      </c>
      <c r="AB34" s="285">
        <f ca="1"/>
        <v>0</v>
      </c>
      <c r="AC34" s="285">
        <f ca="1"/>
        <v>0</v>
      </c>
      <c r="AD34" s="285">
        <f ca="1"/>
        <v>0</v>
      </c>
      <c r="AE34" s="285">
        <f ca="1"/>
        <v>0.18226526062573323</v>
      </c>
      <c r="AF34" s="285">
        <f ca="1"/>
        <v>0</v>
      </c>
      <c r="AG34" s="285">
        <f ca="1"/>
        <v>0.64135160400954816</v>
      </c>
      <c r="AH34" s="283">
        <f t="shared" ca="1" si="19"/>
        <v>1.0000000000000002</v>
      </c>
      <c r="AI34" s="320">
        <f t="shared" ca="1" si="14"/>
        <v>0.35864839599045184</v>
      </c>
      <c r="AJ34" s="320">
        <f t="shared" ca="1" si="15"/>
        <v>0.10865119995376799</v>
      </c>
      <c r="AK34" s="320">
        <f t="shared" ca="1" si="16"/>
        <v>6.773185012659283E-2</v>
      </c>
      <c r="AL34" s="418">
        <f t="shared" ca="1" si="20"/>
        <v>0.18226526062573323</v>
      </c>
      <c r="AM34" s="418">
        <f ca="1">PRODUCT(Y33*(1-$H34), SUM(OFFSET(D.TPMs!$L$7:$M$7, ($G33-1)*9, 0), OFFSET(D.TPMs!$O$7:$P$7, ($G33-1)*9, 0)))
+PRODUCT(Y33*$H34,     SUM(OFFSET(D.TPMs!$L$7:$M$7, ($G33-1)*9, 12), OFFSET(D.TPMs!$O$7:$P$7, ($G33-1)*9, 12)))
+PRODUCT(AB33*(1-$H34), SUM(OFFSET(D.TPMs!$L$10:$M$10, ($G33-1)*9, 0), OFFSET(D.TPMs!$O$10:$P$10, ($G33-1)*9, 0)))
+PRODUCT(AB33*$H34,     SUM(OFFSET(D.TPMs!$L$10:$M$10, ($G33-1)*9, 12), OFFSET(D.TPMs!$O$10:$P$10, ($G33-1)*9, 12)))</f>
        <v>7.9112865810316625E-8</v>
      </c>
    </row>
    <row r="35" spans="2:39" ht="12" customHeight="1" x14ac:dyDescent="0.25">
      <c r="B35" s="321"/>
      <c r="D35" s="62">
        <f t="shared" si="17"/>
        <v>25</v>
      </c>
      <c r="E35" s="63">
        <f t="shared" si="8"/>
        <v>6.25</v>
      </c>
      <c r="F35" s="63">
        <f t="shared" si="9"/>
        <v>71.25</v>
      </c>
      <c r="G35" s="301">
        <f>MATCH(F35, Parameters!$D$523:$D$524, 1)</f>
        <v>1</v>
      </c>
      <c r="H35" s="62">
        <f t="shared" si="10"/>
        <v>0</v>
      </c>
      <c r="I35" s="285">
        <f t="array" aca="1" ref="I35:Q35" ca="1">IF($E35&gt;timeHorizon, 0, MMULT(I34:Q34*(1-$H35), OFFSET(D.rngTPM.Q_I.Root, ($G34-1)*9, 0)) + MMULT(I34:Q34*$H35, OFFSET(D.rngTPM.Q_I.Root, ($G34-1)*9, 12)))</f>
        <v>0</v>
      </c>
      <c r="J35" s="285">
        <f ca="1"/>
        <v>0.10242588774711323</v>
      </c>
      <c r="K35" s="285">
        <f ca="1"/>
        <v>6.3851065436209248E-2</v>
      </c>
      <c r="L35" s="285">
        <f ca="1"/>
        <v>5.9295920262855266E-10</v>
      </c>
      <c r="M35" s="285">
        <f ca="1"/>
        <v>0</v>
      </c>
      <c r="N35" s="285">
        <f ca="1"/>
        <v>0</v>
      </c>
      <c r="O35" s="285">
        <f ca="1"/>
        <v>0.17182221437839651</v>
      </c>
      <c r="P35" s="285">
        <f ca="1"/>
        <v>0</v>
      </c>
      <c r="Q35" s="285">
        <f ca="1"/>
        <v>0.66190083184532178</v>
      </c>
      <c r="R35" s="283">
        <f t="shared" ca="1" si="18"/>
        <v>1</v>
      </c>
      <c r="S35" s="418">
        <f t="shared" ca="1" si="11"/>
        <v>0.33809916815467822</v>
      </c>
      <c r="T35" s="418">
        <f t="shared" ca="1" si="12"/>
        <v>0.10242588774711323</v>
      </c>
      <c r="U35" s="418">
        <f t="shared" ca="1" si="13"/>
        <v>6.3851065436209248E-2</v>
      </c>
      <c r="V35" s="418">
        <f t="shared" ca="1" si="13"/>
        <v>0.17182221497135572</v>
      </c>
      <c r="W35" s="418">
        <f ca="1">PRODUCT(I34*(1-$H35), SUM(OFFSET(D.TPMs!$L$7:$M$7, ($G34-1)*9, 0), OFFSET(D.TPMs!$O$7:$P$7, ($G34-1)*9, 0)))
+PRODUCT(I34*$H35,     SUM(OFFSET(D.TPMs!$L$7:$M$7, ($G34-1)*9, 12), OFFSET(D.TPMs!$O$7:$P$7, ($G34-1)*9, 12)))
+PRODUCT(L34*(1-$H35), SUM(OFFSET(D.TPMs!$L$10:$M$10, ($G34-1)*9, 0), OFFSET(D.TPMs!$O$10:$P$10, ($G34-1)*9, 0)))
+PRODUCT(L34*$H35,     SUM(OFFSET(D.TPMs!$L$10:$M$10, ($G34-1)*9, 12), OFFSET(D.TPMs!$O$10:$P$10, ($G34-1)*9, 12)))</f>
        <v>7.5751708704284425E-10</v>
      </c>
      <c r="Y35" s="285">
        <f t="array" aca="1" ref="Y35:AG35" ca="1">IF($E35&gt;timeHorizon, 0, MMULT(Y34:AG34*(1-$H35), OFFSET(D.rngTPM.Q_I.Root, ($G34-1)*9, 0)) + MMULT(Y34:AG34*$H35, OFFSET(D.rngTPM.Q_I.Root, ($G34-1)*9, 12)))</f>
        <v>4.3283490446480988E-8</v>
      </c>
      <c r="Z35" s="285">
        <f ca="1"/>
        <v>0.10401050255856659</v>
      </c>
      <c r="AA35" s="285">
        <f ca="1"/>
        <v>6.4838895234346827E-2</v>
      </c>
      <c r="AB35" s="285">
        <f ca="1"/>
        <v>0</v>
      </c>
      <c r="AC35" s="285">
        <f ca="1"/>
        <v>0</v>
      </c>
      <c r="AD35" s="285">
        <f ca="1"/>
        <v>0</v>
      </c>
      <c r="AE35" s="285">
        <f ca="1"/>
        <v>0.17448040640492674</v>
      </c>
      <c r="AF35" s="285">
        <f ca="1"/>
        <v>0</v>
      </c>
      <c r="AG35" s="285">
        <f ca="1"/>
        <v>0.65667015251866956</v>
      </c>
      <c r="AH35" s="283">
        <f t="shared" ca="1" si="19"/>
        <v>1.0000000000000002</v>
      </c>
      <c r="AI35" s="320">
        <f t="shared" ca="1" si="14"/>
        <v>0.34332984748133044</v>
      </c>
      <c r="AJ35" s="320">
        <f t="shared" ca="1" si="15"/>
        <v>0.10401050255856659</v>
      </c>
      <c r="AK35" s="320">
        <f t="shared" ca="1" si="16"/>
        <v>6.4838895234346827E-2</v>
      </c>
      <c r="AL35" s="418">
        <f t="shared" ca="1" si="20"/>
        <v>0.17448040640492674</v>
      </c>
      <c r="AM35" s="418">
        <f ca="1">PRODUCT(Y34*(1-$H35), SUM(OFFSET(D.TPMs!$L$7:$M$7, ($G34-1)*9, 0), OFFSET(D.TPMs!$O$7:$P$7, ($G34-1)*9, 0)))
+PRODUCT(Y34*$H35,     SUM(OFFSET(D.TPMs!$L$7:$M$7, ($G34-1)*9, 12), OFFSET(D.TPMs!$O$7:$P$7, ($G34-1)*9, 12)))
+PRODUCT(AB34*(1-$H35), SUM(OFFSET(D.TPMs!$L$10:$M$10, ($G34-1)*9, 0), OFFSET(D.TPMs!$O$10:$P$10, ($G34-1)*9, 0)))
+PRODUCT(AB34*$H35,     SUM(OFFSET(D.TPMs!$L$10:$M$10, ($G34-1)*9, 12), OFFSET(D.TPMs!$O$10:$P$10, ($G34-1)*9, 12)))</f>
        <v>4.0151336668673538E-8</v>
      </c>
    </row>
    <row r="36" spans="2:39" ht="12" customHeight="1" x14ac:dyDescent="0.25">
      <c r="B36" s="321"/>
      <c r="D36" s="62">
        <f t="shared" si="17"/>
        <v>26</v>
      </c>
      <c r="E36" s="63">
        <f t="shared" si="8"/>
        <v>6.5</v>
      </c>
      <c r="F36" s="63">
        <f t="shared" si="9"/>
        <v>71.5</v>
      </c>
      <c r="G36" s="301">
        <f>MATCH(F36, Parameters!$D$523:$D$524, 1)</f>
        <v>1</v>
      </c>
      <c r="H36" s="62">
        <f t="shared" si="10"/>
        <v>0</v>
      </c>
      <c r="I36" s="285">
        <f t="array" aca="1" ref="I36:Q36" ca="1">IF($E36&gt;timeHorizon, 0, MMULT(I35:Q35*(1-$H36), OFFSET(D.rngTPM.Q_I.Root, ($G35-1)*9, 0)) + MMULT(I35:Q35*$H36, OFFSET(D.rngTPM.Q_I.Root, ($G35-1)*9, 12)))</f>
        <v>0</v>
      </c>
      <c r="J36" s="285">
        <f ca="1"/>
        <v>9.8051085122392162E-2</v>
      </c>
      <c r="K36" s="285">
        <f ca="1"/>
        <v>6.1123866143084862E-2</v>
      </c>
      <c r="L36" s="285">
        <f ca="1"/>
        <v>2.5348123019406498E-10</v>
      </c>
      <c r="M36" s="285">
        <f ca="1"/>
        <v>0</v>
      </c>
      <c r="N36" s="285">
        <f ca="1"/>
        <v>0</v>
      </c>
      <c r="O36" s="285">
        <f ca="1"/>
        <v>0.16448336434442246</v>
      </c>
      <c r="P36" s="285">
        <f ca="1"/>
        <v>0</v>
      </c>
      <c r="Q36" s="285">
        <f ca="1"/>
        <v>0.67634168413661933</v>
      </c>
      <c r="R36" s="283">
        <f t="shared" ca="1" si="18"/>
        <v>1</v>
      </c>
      <c r="S36" s="418">
        <f t="shared" ca="1" si="11"/>
        <v>0.32365831586338067</v>
      </c>
      <c r="T36" s="418">
        <f t="shared" ca="1" si="12"/>
        <v>9.8051085122392162E-2</v>
      </c>
      <c r="U36" s="418">
        <f t="shared" ca="1" si="13"/>
        <v>6.1123866143084862E-2</v>
      </c>
      <c r="V36" s="418">
        <f t="shared" ca="1" si="13"/>
        <v>0.16448336459790369</v>
      </c>
      <c r="W36" s="418">
        <f ca="1">PRODUCT(I35*(1-$H36), SUM(OFFSET(D.TPMs!$L$7:$M$7, ($G35-1)*9, 0), OFFSET(D.TPMs!$O$7:$P$7, ($G35-1)*9, 0)))
+PRODUCT(I35*$H36,     SUM(OFFSET(D.TPMs!$L$7:$M$7, ($G35-1)*9, 12), OFFSET(D.TPMs!$O$7:$P$7, ($G35-1)*9, 12)))
+PRODUCT(L35*(1-$H36), SUM(OFFSET(D.TPMs!$L$10:$M$10, ($G35-1)*9, 0), OFFSET(D.TPMs!$O$10:$P$10, ($G35-1)*9, 0)))
+PRODUCT(L35*$H36,     SUM(OFFSET(D.TPMs!$L$10:$M$10, ($G35-1)*9, 12), OFFSET(D.TPMs!$O$10:$P$10, ($G35-1)*9, 12)))</f>
        <v>3.238272755789062E-10</v>
      </c>
      <c r="Y36" s="285">
        <f t="array" aca="1" ref="Y36:AG36" ca="1">IF($E36&gt;timeHorizon, 0, MMULT(Y35:AG35*(1-$H36), OFFSET(D.rngTPM.Q_I.Root, ($G35-1)*9, 0)) + MMULT(Y35:AG35*$H36, OFFSET(D.rngTPM.Q_I.Root, ($G35-1)*9, 12)))</f>
        <v>2.1967223400537531E-8</v>
      </c>
      <c r="Z36" s="285">
        <f ca="1"/>
        <v>9.9568018089895155E-2</v>
      </c>
      <c r="AA36" s="285">
        <f ca="1"/>
        <v>6.2069503894446272E-2</v>
      </c>
      <c r="AB36" s="285">
        <f ca="1"/>
        <v>0</v>
      </c>
      <c r="AC36" s="285">
        <f ca="1"/>
        <v>0</v>
      </c>
      <c r="AD36" s="285">
        <f ca="1"/>
        <v>0</v>
      </c>
      <c r="AE36" s="285">
        <f ca="1"/>
        <v>0.16702803908004538</v>
      </c>
      <c r="AF36" s="285">
        <f ca="1"/>
        <v>0</v>
      </c>
      <c r="AG36" s="285">
        <f ca="1"/>
        <v>0.67133441696838991</v>
      </c>
      <c r="AH36" s="283">
        <f t="shared" ca="1" si="19"/>
        <v>1</v>
      </c>
      <c r="AI36" s="320">
        <f t="shared" ca="1" si="14"/>
        <v>0.32866558303161009</v>
      </c>
      <c r="AJ36" s="320">
        <f t="shared" ca="1" si="15"/>
        <v>9.9568018089895155E-2</v>
      </c>
      <c r="AK36" s="320">
        <f t="shared" ca="1" si="16"/>
        <v>6.2069503894446272E-2</v>
      </c>
      <c r="AL36" s="418">
        <f t="shared" ca="1" si="20"/>
        <v>0.16702803908004538</v>
      </c>
      <c r="AM36" s="418">
        <f ca="1">PRODUCT(Y35*(1-$H36), SUM(OFFSET(D.TPMs!$L$7:$M$7, ($G35-1)*9, 0), OFFSET(D.TPMs!$O$7:$P$7, ($G35-1)*9, 0)))
+PRODUCT(Y35*$H36,     SUM(OFFSET(D.TPMs!$L$7:$M$7, ($G35-1)*9, 12), OFFSET(D.TPMs!$O$7:$P$7, ($G35-1)*9, 12)))
+PRODUCT(AB35*(1-$H36), SUM(OFFSET(D.TPMs!$L$10:$M$10, ($G35-1)*9, 0), OFFSET(D.TPMs!$O$10:$P$10, ($G35-1)*9, 0)))
+PRODUCT(AB35*$H36,     SUM(OFFSET(D.TPMs!$L$10:$M$10, ($G35-1)*9, 12), OFFSET(D.TPMs!$O$10:$P$10, ($G35-1)*9, 12)))</f>
        <v>2.037759370449882E-8</v>
      </c>
    </row>
    <row r="37" spans="2:39" ht="12" customHeight="1" x14ac:dyDescent="0.25">
      <c r="B37" s="321"/>
      <c r="D37" s="62">
        <f t="shared" si="17"/>
        <v>27</v>
      </c>
      <c r="E37" s="63">
        <f t="shared" si="8"/>
        <v>6.75</v>
      </c>
      <c r="F37" s="63">
        <f t="shared" si="9"/>
        <v>71.75</v>
      </c>
      <c r="G37" s="301">
        <f>MATCH(F37, Parameters!$D$523:$D$524, 1)</f>
        <v>1</v>
      </c>
      <c r="H37" s="62">
        <f t="shared" si="10"/>
        <v>0</v>
      </c>
      <c r="I37" s="285">
        <f t="array" aca="1" ref="I37:Q37" ca="1">IF($E37&gt;timeHorizon, 0, MMULT(I36:Q36*(1-$H37), OFFSET(D.rngTPM.Q_I.Root, ($G36-1)*9, 0)) + MMULT(I36:Q36*$H37, OFFSET(D.rngTPM.Q_I.Root, ($G36-1)*9, 12)))</f>
        <v>0</v>
      </c>
      <c r="J37" s="285">
        <f ca="1"/>
        <v>9.3863138580226824E-2</v>
      </c>
      <c r="K37" s="285">
        <f ca="1"/>
        <v>5.8513150682484111E-2</v>
      </c>
      <c r="L37" s="285">
        <f ca="1"/>
        <v>1.0835945167200043E-10</v>
      </c>
      <c r="M37" s="285">
        <f ca="1"/>
        <v>0</v>
      </c>
      <c r="N37" s="285">
        <f ca="1"/>
        <v>0</v>
      </c>
      <c r="O37" s="285">
        <f ca="1"/>
        <v>0.15745797020617508</v>
      </c>
      <c r="P37" s="285">
        <f ca="1"/>
        <v>0</v>
      </c>
      <c r="Q37" s="285">
        <f ca="1"/>
        <v>0.69016574042275458</v>
      </c>
      <c r="R37" s="283">
        <f t="shared" ca="1" si="18"/>
        <v>1</v>
      </c>
      <c r="S37" s="418">
        <f t="shared" ca="1" si="11"/>
        <v>0.30983425957724542</v>
      </c>
      <c r="T37" s="418">
        <f t="shared" ca="1" si="12"/>
        <v>9.3863138580226824E-2</v>
      </c>
      <c r="U37" s="418">
        <f t="shared" ca="1" si="13"/>
        <v>5.8513150682484111E-2</v>
      </c>
      <c r="V37" s="418">
        <f t="shared" ca="1" si="13"/>
        <v>0.15745797031453454</v>
      </c>
      <c r="W37" s="418">
        <f ca="1">PRODUCT(I36*(1-$H37), SUM(OFFSET(D.TPMs!$L$7:$M$7, ($G36-1)*9, 0), OFFSET(D.TPMs!$O$7:$P$7, ($G36-1)*9, 0)))
+PRODUCT(I36*$H37,     SUM(OFFSET(D.TPMs!$L$7:$M$7, ($G36-1)*9, 12), OFFSET(D.TPMs!$O$7:$P$7, ($G36-1)*9, 12)))
+PRODUCT(L36*(1-$H37), SUM(OFFSET(D.TPMs!$L$10:$M$10, ($G36-1)*9, 0), OFFSET(D.TPMs!$O$10:$P$10, ($G36-1)*9, 0)))
+PRODUCT(L36*$H37,     SUM(OFFSET(D.TPMs!$L$10:$M$10, ($G36-1)*9, 12), OFFSET(D.TPMs!$O$10:$P$10, ($G36-1)*9, 12)))</f>
        <v>1.3843133864903281E-10</v>
      </c>
      <c r="Y37" s="285">
        <f t="array" aca="1" ref="Y37:AG37" ca="1">IF($E37&gt;timeHorizon, 0, MMULT(Y36:AG36*(1-$H37), OFFSET(D.rngTPM.Q_I.Root, ($G36-1)*9, 0)) + MMULT(Y36:AG36*$H37, OFFSET(D.rngTPM.Q_I.Root, ($G36-1)*9, 12)))</f>
        <v>1.1148798282010004E-8</v>
      </c>
      <c r="Z37" s="285">
        <f ca="1"/>
        <v>9.5315280500326394E-2</v>
      </c>
      <c r="AA37" s="285">
        <f ca="1"/>
        <v>5.9418398474837784E-2</v>
      </c>
      <c r="AB37" s="285">
        <f ca="1"/>
        <v>0</v>
      </c>
      <c r="AC37" s="285">
        <f ca="1"/>
        <v>0</v>
      </c>
      <c r="AD37" s="285">
        <f ca="1"/>
        <v>0</v>
      </c>
      <c r="AE37" s="285">
        <f ca="1"/>
        <v>0.15989396681280349</v>
      </c>
      <c r="AF37" s="285">
        <f ca="1"/>
        <v>0</v>
      </c>
      <c r="AG37" s="285">
        <f ca="1"/>
        <v>0.68537234306323414</v>
      </c>
      <c r="AH37" s="283">
        <f t="shared" ca="1" si="19"/>
        <v>1</v>
      </c>
      <c r="AI37" s="320">
        <f t="shared" ca="1" si="14"/>
        <v>0.31462765693676586</v>
      </c>
      <c r="AJ37" s="320">
        <f t="shared" ca="1" si="15"/>
        <v>9.5315280500326394E-2</v>
      </c>
      <c r="AK37" s="320">
        <f t="shared" ca="1" si="16"/>
        <v>5.9418398474837784E-2</v>
      </c>
      <c r="AL37" s="418">
        <f t="shared" ca="1" si="20"/>
        <v>0.15989396681280349</v>
      </c>
      <c r="AM37" s="418">
        <f ca="1">PRODUCT(Y36*(1-$H37), SUM(OFFSET(D.TPMs!$L$7:$M$7, ($G36-1)*9, 0), OFFSET(D.TPMs!$O$7:$P$7, ($G36-1)*9, 0)))
+PRODUCT(Y36*$H37,     SUM(OFFSET(D.TPMs!$L$7:$M$7, ($G36-1)*9, 12), OFFSET(D.TPMs!$O$7:$P$7, ($G36-1)*9, 12)))
+PRODUCT(AB36*(1-$H37), SUM(OFFSET(D.TPMs!$L$10:$M$10, ($G36-1)*9, 0), OFFSET(D.TPMs!$O$10:$P$10, ($G36-1)*9, 0)))
+PRODUCT(AB36*$H37,     SUM(OFFSET(D.TPMs!$L$10:$M$10, ($G36-1)*9, 12), OFFSET(D.TPMs!$O$10:$P$10, ($G36-1)*9, 12)))</f>
        <v>1.0342029920752533E-8</v>
      </c>
    </row>
    <row r="38" spans="2:39" ht="12" customHeight="1" x14ac:dyDescent="0.25">
      <c r="B38" s="321"/>
      <c r="D38" s="62">
        <f t="shared" si="17"/>
        <v>28</v>
      </c>
      <c r="E38" s="63">
        <f t="shared" si="8"/>
        <v>7</v>
      </c>
      <c r="F38" s="63">
        <f t="shared" si="9"/>
        <v>72</v>
      </c>
      <c r="G38" s="301">
        <f>MATCH(F38, Parameters!$D$523:$D$524, 1)</f>
        <v>1</v>
      </c>
      <c r="H38" s="62">
        <f t="shared" si="10"/>
        <v>0</v>
      </c>
      <c r="I38" s="285">
        <f t="array" aca="1" ref="I38:Q38" ca="1">IF($E38&gt;timeHorizon, 0, MMULT(I37:Q37*(1-$H38), OFFSET(D.rngTPM.Q_I.Root, ($G37-1)*9, 0)) + MMULT(I37:Q37*$H38, OFFSET(D.rngTPM.Q_I.Root, ($G37-1)*9, 12)))</f>
        <v>0</v>
      </c>
      <c r="J38" s="285">
        <f ca="1"/>
        <v>8.9854067132512372E-2</v>
      </c>
      <c r="K38" s="285">
        <f ca="1"/>
        <v>5.6013943802496205E-2</v>
      </c>
      <c r="L38" s="285">
        <f ca="1"/>
        <v>4.6322052160103176E-11</v>
      </c>
      <c r="M38" s="285">
        <f ca="1"/>
        <v>0</v>
      </c>
      <c r="N38" s="285">
        <f ca="1"/>
        <v>0</v>
      </c>
      <c r="O38" s="285">
        <f ca="1"/>
        <v>0.15073264379332027</v>
      </c>
      <c r="P38" s="285">
        <f ca="1"/>
        <v>0</v>
      </c>
      <c r="Q38" s="285">
        <f ca="1"/>
        <v>0.70339934522534919</v>
      </c>
      <c r="R38" s="283">
        <f t="shared" ca="1" si="18"/>
        <v>1</v>
      </c>
      <c r="S38" s="418">
        <f t="shared" ca="1" si="11"/>
        <v>0.29660065477465081</v>
      </c>
      <c r="T38" s="418">
        <f t="shared" ca="1" si="12"/>
        <v>8.9854067132512372E-2</v>
      </c>
      <c r="U38" s="418">
        <f t="shared" ca="1" si="13"/>
        <v>5.6013943802496205E-2</v>
      </c>
      <c r="V38" s="418">
        <f t="shared" ca="1" si="13"/>
        <v>0.15073264383964233</v>
      </c>
      <c r="W38" s="418">
        <f ca="1">PRODUCT(I37*(1-$H38), SUM(OFFSET(D.TPMs!$L$7:$M$7, ($G37-1)*9, 0), OFFSET(D.TPMs!$O$7:$P$7, ($G37-1)*9, 0)))
+PRODUCT(I37*$H38,     SUM(OFFSET(D.TPMs!$L$7:$M$7, ($G37-1)*9, 12), OFFSET(D.TPMs!$O$7:$P$7, ($G37-1)*9, 12)))
+PRODUCT(L37*(1-$H38), SUM(OFFSET(D.TPMs!$L$10:$M$10, ($G37-1)*9, 0), OFFSET(D.TPMs!$O$10:$P$10, ($G37-1)*9, 0)))
+PRODUCT(L37*$H38,     SUM(OFFSET(D.TPMs!$L$10:$M$10, ($G37-1)*9, 12), OFFSET(D.TPMs!$O$10:$P$10, ($G37-1)*9, 12)))</f>
        <v>5.917733608419822E-11</v>
      </c>
      <c r="Y38" s="285">
        <f t="array" aca="1" ref="Y38:AG38" ca="1">IF($E38&gt;timeHorizon, 0, MMULT(Y37:AG37*(1-$H38), OFFSET(D.rngTPM.Q_I.Root, ($G37-1)*9, 0)) + MMULT(Y37:AG37*$H38, OFFSET(D.rngTPM.Q_I.Root, ($G37-1)*9, 12)))</f>
        <v>5.6582345827970111E-9</v>
      </c>
      <c r="Z38" s="285">
        <f ca="1"/>
        <v>9.1244185343264422E-2</v>
      </c>
      <c r="AA38" s="285">
        <f ca="1"/>
        <v>5.6880526761073469E-2</v>
      </c>
      <c r="AB38" s="285">
        <f ca="1"/>
        <v>0</v>
      </c>
      <c r="AC38" s="285">
        <f ca="1"/>
        <v>0</v>
      </c>
      <c r="AD38" s="285">
        <f ca="1"/>
        <v>0</v>
      </c>
      <c r="AE38" s="285">
        <f ca="1"/>
        <v>0.15306459934337657</v>
      </c>
      <c r="AF38" s="285">
        <f ca="1"/>
        <v>0</v>
      </c>
      <c r="AG38" s="285">
        <f ca="1"/>
        <v>0.69881068289405102</v>
      </c>
      <c r="AH38" s="283">
        <f t="shared" ca="1" si="19"/>
        <v>1</v>
      </c>
      <c r="AI38" s="320">
        <f t="shared" ca="1" si="14"/>
        <v>0.30118931710594898</v>
      </c>
      <c r="AJ38" s="320">
        <f t="shared" ca="1" si="15"/>
        <v>9.1244185343264422E-2</v>
      </c>
      <c r="AK38" s="320">
        <f t="shared" ca="1" si="16"/>
        <v>5.6880526761073469E-2</v>
      </c>
      <c r="AL38" s="418">
        <f t="shared" ca="1" si="20"/>
        <v>0.15306459934337657</v>
      </c>
      <c r="AM38" s="418">
        <f ca="1">PRODUCT(Y37*(1-$H38), SUM(OFFSET(D.TPMs!$L$7:$M$7, ($G37-1)*9, 0), OFFSET(D.TPMs!$O$7:$P$7, ($G37-1)*9, 0)))
+PRODUCT(Y37*$H38,     SUM(OFFSET(D.TPMs!$L$7:$M$7, ($G37-1)*9, 12), OFFSET(D.TPMs!$O$7:$P$7, ($G37-1)*9, 12)))
+PRODUCT(AB37*(1-$H38), SUM(OFFSET(D.TPMs!$L$10:$M$10, ($G37-1)*9, 0), OFFSET(D.TPMs!$O$10:$P$10, ($G37-1)*9, 0)))
+PRODUCT(AB37*$H38,     SUM(OFFSET(D.TPMs!$L$10:$M$10, ($G37-1)*9, 12), OFFSET(D.TPMs!$O$10:$P$10, ($G37-1)*9, 12)))</f>
        <v>5.2487837589051197E-9</v>
      </c>
    </row>
    <row r="39" spans="2:39" ht="12" customHeight="1" x14ac:dyDescent="0.25">
      <c r="B39" s="321"/>
      <c r="D39" s="62">
        <f t="shared" si="17"/>
        <v>29</v>
      </c>
      <c r="E39" s="63">
        <f t="shared" si="8"/>
        <v>7.25</v>
      </c>
      <c r="F39" s="63">
        <f t="shared" si="9"/>
        <v>72.25</v>
      </c>
      <c r="G39" s="301">
        <f>MATCH(F39, Parameters!$D$523:$D$524, 1)</f>
        <v>1</v>
      </c>
      <c r="H39" s="62">
        <f t="shared" si="10"/>
        <v>0</v>
      </c>
      <c r="I39" s="285">
        <f t="array" aca="1" ref="I39:Q39" ca="1">IF($E39&gt;timeHorizon, 0, MMULT(I38:Q38*(1-$H39), OFFSET(D.rngTPM.Q_I.Root, ($G38-1)*9, 0)) + MMULT(I38:Q38*$H39, OFFSET(D.rngTPM.Q_I.Root, ($G38-1)*9, 12)))</f>
        <v>0</v>
      </c>
      <c r="J39" s="285">
        <f ca="1"/>
        <v>8.6016230681548927E-2</v>
      </c>
      <c r="K39" s="285">
        <f ca="1"/>
        <v>5.3621482758185249E-2</v>
      </c>
      <c r="L39" s="285">
        <f ca="1"/>
        <v>1.9801987581280521E-11</v>
      </c>
      <c r="M39" s="285">
        <f ca="1"/>
        <v>0</v>
      </c>
      <c r="N39" s="285">
        <f ca="1"/>
        <v>0</v>
      </c>
      <c r="O39" s="285">
        <f ca="1"/>
        <v>0.14429456870001037</v>
      </c>
      <c r="P39" s="285">
        <f ca="1"/>
        <v>0</v>
      </c>
      <c r="Q39" s="285">
        <f ca="1"/>
        <v>0.71606771784045353</v>
      </c>
      <c r="R39" s="283">
        <f t="shared" ca="1" si="18"/>
        <v>1</v>
      </c>
      <c r="S39" s="418">
        <f t="shared" ca="1" si="11"/>
        <v>0.28393228215954647</v>
      </c>
      <c r="T39" s="418">
        <f t="shared" ca="1" si="12"/>
        <v>8.6016230681548927E-2</v>
      </c>
      <c r="U39" s="418">
        <f t="shared" ca="1" si="13"/>
        <v>5.3621482758185249E-2</v>
      </c>
      <c r="V39" s="418">
        <f t="shared" ca="1" si="13"/>
        <v>0.14429456871981236</v>
      </c>
      <c r="W39" s="418">
        <f ca="1">PRODUCT(I38*(1-$H39), SUM(OFFSET(D.TPMs!$L$7:$M$7, ($G38-1)*9, 0), OFFSET(D.TPMs!$O$7:$P$7, ($G38-1)*9, 0)))
+PRODUCT(I38*$H39,     SUM(OFFSET(D.TPMs!$L$7:$M$7, ($G38-1)*9, 12), OFFSET(D.TPMs!$O$7:$P$7, ($G38-1)*9, 12)))
+PRODUCT(L38*(1-$H39), SUM(OFFSET(D.TPMs!$L$10:$M$10, ($G38-1)*9, 0), OFFSET(D.TPMs!$O$10:$P$10, ($G38-1)*9, 0)))
+PRODUCT(L38*$H39,     SUM(OFFSET(D.TPMs!$L$10:$M$10, ($G38-1)*9, 12), OFFSET(D.TPMs!$O$10:$P$10, ($G38-1)*9, 12)))</f>
        <v>2.5297430048702458E-11</v>
      </c>
      <c r="Y39" s="285">
        <f t="array" aca="1" ref="Y39:AG39" ca="1">IF($E39&gt;timeHorizon, 0, MMULT(Y38:AG38*(1-$H39), OFFSET(D.rngTPM.Q_I.Root, ($G38-1)*9, 0)) + MMULT(Y38:AG38*$H39, OFFSET(D.rngTPM.Q_I.Root, ($G38-1)*9, 12)))</f>
        <v>2.871665428337807E-9</v>
      </c>
      <c r="Z39" s="285">
        <f ca="1"/>
        <v>8.7346974328292332E-2</v>
      </c>
      <c r="AA39" s="285">
        <f ca="1"/>
        <v>5.4451052328300373E-2</v>
      </c>
      <c r="AB39" s="285">
        <f ca="1"/>
        <v>0</v>
      </c>
      <c r="AC39" s="285">
        <f ca="1"/>
        <v>0</v>
      </c>
      <c r="AD39" s="285">
        <f ca="1"/>
        <v>0</v>
      </c>
      <c r="AE39" s="285">
        <f ca="1"/>
        <v>0.14652692455224059</v>
      </c>
      <c r="AF39" s="285">
        <f ca="1"/>
        <v>0</v>
      </c>
      <c r="AG39" s="285">
        <f ca="1"/>
        <v>0.71167504591950137</v>
      </c>
      <c r="AH39" s="283">
        <f t="shared" ca="1" si="19"/>
        <v>1</v>
      </c>
      <c r="AI39" s="320">
        <f t="shared" ca="1" si="14"/>
        <v>0.28832495408049863</v>
      </c>
      <c r="AJ39" s="320">
        <f t="shared" ca="1" si="15"/>
        <v>8.7346974328292332E-2</v>
      </c>
      <c r="AK39" s="320">
        <f t="shared" ca="1" si="16"/>
        <v>5.4451052328300373E-2</v>
      </c>
      <c r="AL39" s="418">
        <f t="shared" ca="1" si="20"/>
        <v>0.14652692455224059</v>
      </c>
      <c r="AM39" s="418">
        <f ca="1">PRODUCT(Y38*(1-$H39), SUM(OFFSET(D.TPMs!$L$7:$M$7, ($G38-1)*9, 0), OFFSET(D.TPMs!$O$7:$P$7, ($G38-1)*9, 0)))
+PRODUCT(Y38*$H39,     SUM(OFFSET(D.TPMs!$L$7:$M$7, ($G38-1)*9, 12), OFFSET(D.TPMs!$O$7:$P$7, ($G38-1)*9, 12)))
+PRODUCT(AB38*(1-$H39), SUM(OFFSET(D.TPMs!$L$10:$M$10, ($G38-1)*9, 0), OFFSET(D.TPMs!$O$10:$P$10, ($G38-1)*9, 0)))
+PRODUCT(AB38*$H39,     SUM(OFFSET(D.TPMs!$L$10:$M$10, ($G38-1)*9, 12), OFFSET(D.TPMs!$O$10:$P$10, ($G38-1)*9, 12)))</f>
        <v>2.6638610755190619E-9</v>
      </c>
    </row>
    <row r="40" spans="2:39" ht="12" customHeight="1" x14ac:dyDescent="0.25">
      <c r="B40" s="321"/>
      <c r="D40" s="62">
        <f t="shared" si="17"/>
        <v>30</v>
      </c>
      <c r="E40" s="63">
        <f t="shared" si="8"/>
        <v>7.5</v>
      </c>
      <c r="F40" s="63">
        <f t="shared" si="9"/>
        <v>72.5</v>
      </c>
      <c r="G40" s="301">
        <f>MATCH(F40, Parameters!$D$523:$D$524, 1)</f>
        <v>1</v>
      </c>
      <c r="H40" s="62">
        <f t="shared" si="10"/>
        <v>0</v>
      </c>
      <c r="I40" s="285">
        <f t="array" aca="1" ref="I40:Q40" ca="1">IF($E40&gt;timeHorizon, 0, MMULT(I39:Q39*(1-$H40), OFFSET(D.rngTPM.Q_I.Root, ($G39-1)*9, 0)) + MMULT(I39:Q39*$H40, OFFSET(D.rngTPM.Q_I.Root, ($G39-1)*9, 12)))</f>
        <v>0</v>
      </c>
      <c r="J40" s="285">
        <f ca="1"/>
        <v>8.2342315455750437E-2</v>
      </c>
      <c r="K40" s="285">
        <f ca="1"/>
        <v>5.1331208232386405E-2</v>
      </c>
      <c r="L40" s="285">
        <f ca="1"/>
        <v>8.4650548471796059E-12</v>
      </c>
      <c r="M40" s="285">
        <f ca="1"/>
        <v>0</v>
      </c>
      <c r="N40" s="285">
        <f ca="1"/>
        <v>0</v>
      </c>
      <c r="O40" s="285">
        <f ca="1"/>
        <v>0.13813147590352731</v>
      </c>
      <c r="P40" s="285">
        <f ca="1"/>
        <v>0</v>
      </c>
      <c r="Q40" s="285">
        <f ca="1"/>
        <v>0.72819500039987084</v>
      </c>
      <c r="R40" s="283">
        <f t="shared" ca="1" si="18"/>
        <v>1</v>
      </c>
      <c r="S40" s="418">
        <f t="shared" ca="1" si="11"/>
        <v>0.27180499960012916</v>
      </c>
      <c r="T40" s="418">
        <f t="shared" ca="1" si="12"/>
        <v>8.2342315455750437E-2</v>
      </c>
      <c r="U40" s="418">
        <f t="shared" ca="1" si="13"/>
        <v>5.1331208232386405E-2</v>
      </c>
      <c r="V40" s="418">
        <f t="shared" ca="1" si="13"/>
        <v>0.13813147591199237</v>
      </c>
      <c r="W40" s="418">
        <f ca="1">PRODUCT(I39*(1-$H40), SUM(OFFSET(D.TPMs!$L$7:$M$7, ($G39-1)*9, 0), OFFSET(D.TPMs!$O$7:$P$7, ($G39-1)*9, 0)))
+PRODUCT(I39*$H40,     SUM(OFFSET(D.TPMs!$L$7:$M$7, ($G39-1)*9, 12), OFFSET(D.TPMs!$O$7:$P$7, ($G39-1)*9, 12)))
+PRODUCT(L39*(1-$H40), SUM(OFFSET(D.TPMs!$L$10:$M$10, ($G39-1)*9, 0), OFFSET(D.TPMs!$O$10:$P$10, ($G39-1)*9, 0)))
+PRODUCT(L39*$H40,     SUM(OFFSET(D.TPMs!$L$10:$M$10, ($G39-1)*9, 12), OFFSET(D.TPMs!$O$10:$P$10, ($G39-1)*9, 12)))</f>
        <v>1.0814274677022491E-11</v>
      </c>
      <c r="Y40" s="285">
        <f t="array" aca="1" ref="Y40:AG40" ca="1">IF($E40&gt;timeHorizon, 0, MMULT(Y39:AG39*(1-$H40), OFFSET(D.rngTPM.Q_I.Root, ($G39-1)*9, 0)) + MMULT(Y39:AG39*$H40, OFFSET(D.rngTPM.Q_I.Root, ($G39-1)*9, 12)))</f>
        <v>1.4574267311897348E-9</v>
      </c>
      <c r="Z40" s="285">
        <f ca="1"/>
        <v>8.3616220536189625E-2</v>
      </c>
      <c r="AA40" s="285">
        <f ca="1"/>
        <v>5.2125345324480432E-2</v>
      </c>
      <c r="AB40" s="285">
        <f ca="1"/>
        <v>0</v>
      </c>
      <c r="AC40" s="285">
        <f ca="1"/>
        <v>0</v>
      </c>
      <c r="AD40" s="285">
        <f ca="1"/>
        <v>0</v>
      </c>
      <c r="AE40" s="285">
        <f ca="1"/>
        <v>0.14026848491187222</v>
      </c>
      <c r="AF40" s="285">
        <f ca="1"/>
        <v>0</v>
      </c>
      <c r="AG40" s="285">
        <f ca="1"/>
        <v>0.72398994777003112</v>
      </c>
      <c r="AH40" s="283">
        <f t="shared" ca="1" si="19"/>
        <v>1</v>
      </c>
      <c r="AI40" s="320">
        <f t="shared" ca="1" si="14"/>
        <v>0.27601005222996888</v>
      </c>
      <c r="AJ40" s="320">
        <f t="shared" ca="1" si="15"/>
        <v>8.3616220536189625E-2</v>
      </c>
      <c r="AK40" s="320">
        <f t="shared" ca="1" si="16"/>
        <v>5.2125345324480432E-2</v>
      </c>
      <c r="AL40" s="418">
        <f t="shared" ca="1" si="20"/>
        <v>0.14026848491187222</v>
      </c>
      <c r="AM40" s="418">
        <f ca="1">PRODUCT(Y39*(1-$H40), SUM(OFFSET(D.TPMs!$L$7:$M$7, ($G39-1)*9, 0), OFFSET(D.TPMs!$O$7:$P$7, ($G39-1)*9, 0)))
+PRODUCT(Y39*$H40,     SUM(OFFSET(D.TPMs!$L$7:$M$7, ($G39-1)*9, 12), OFFSET(D.TPMs!$O$7:$P$7, ($G39-1)*9, 12)))
+PRODUCT(AB39*(1-$H40), SUM(OFFSET(D.TPMs!$L$10:$M$10, ($G39-1)*9, 0), OFFSET(D.TPMs!$O$10:$P$10, ($G39-1)*9, 0)))
+PRODUCT(AB39*$H40,     SUM(OFFSET(D.TPMs!$L$10:$M$10, ($G39-1)*9, 12), OFFSET(D.TPMs!$O$10:$P$10, ($G39-1)*9, 12)))</f>
        <v>1.351961931681066E-9</v>
      </c>
    </row>
    <row r="41" spans="2:39" ht="12" customHeight="1" x14ac:dyDescent="0.25">
      <c r="B41" s="321"/>
      <c r="D41" s="62">
        <f t="shared" si="17"/>
        <v>31</v>
      </c>
      <c r="E41" s="63">
        <f t="shared" si="8"/>
        <v>7.75</v>
      </c>
      <c r="F41" s="63">
        <f t="shared" si="9"/>
        <v>72.75</v>
      </c>
      <c r="G41" s="301">
        <f>MATCH(F41, Parameters!$D$523:$D$524, 1)</f>
        <v>1</v>
      </c>
      <c r="H41" s="62">
        <f t="shared" si="10"/>
        <v>0</v>
      </c>
      <c r="I41" s="285">
        <f t="array" aca="1" ref="I41:Q41" ca="1">IF($E41&gt;timeHorizon, 0, MMULT(I40:Q40*(1-$H41), OFFSET(D.rngTPM.Q_I.Root, ($G40-1)*9, 0)) + MMULT(I40:Q40*$H41, OFFSET(D.rngTPM.Q_I.Root, ($G40-1)*9, 12)))</f>
        <v>0</v>
      </c>
      <c r="J41" s="285">
        <f ca="1"/>
        <v>7.8825320069837765E-2</v>
      </c>
      <c r="K41" s="285">
        <f ca="1"/>
        <v>4.9138755645798157E-2</v>
      </c>
      <c r="L41" s="285">
        <f ca="1"/>
        <v>3.6186849058272738E-12</v>
      </c>
      <c r="M41" s="285">
        <f ca="1"/>
        <v>0</v>
      </c>
      <c r="N41" s="285">
        <f ca="1"/>
        <v>0</v>
      </c>
      <c r="O41" s="285">
        <f ca="1"/>
        <v>0.1322316204015242</v>
      </c>
      <c r="P41" s="285">
        <f ca="1"/>
        <v>0</v>
      </c>
      <c r="Q41" s="285">
        <f ca="1"/>
        <v>0.73980430387922125</v>
      </c>
      <c r="R41" s="283">
        <f t="shared" ca="1" si="18"/>
        <v>1</v>
      </c>
      <c r="S41" s="418">
        <f t="shared" ca="1" si="11"/>
        <v>0.26019569612077875</v>
      </c>
      <c r="T41" s="418">
        <f t="shared" ca="1" si="12"/>
        <v>7.8825320069837765E-2</v>
      </c>
      <c r="U41" s="418">
        <f t="shared" ca="1" si="13"/>
        <v>4.9138755645798157E-2</v>
      </c>
      <c r="V41" s="418">
        <f t="shared" ca="1" si="13"/>
        <v>0.13223162040514289</v>
      </c>
      <c r="W41" s="418">
        <f ca="1">PRODUCT(I40*(1-$H41), SUM(OFFSET(D.TPMs!$L$7:$M$7, ($G40-1)*9, 0), OFFSET(D.TPMs!$O$7:$P$7, ($G40-1)*9, 0)))
+PRODUCT(I40*$H41,     SUM(OFFSET(D.TPMs!$L$7:$M$7, ($G40-1)*9, 12), OFFSET(D.TPMs!$O$7:$P$7, ($G40-1)*9, 12)))
+PRODUCT(L40*(1-$H41), SUM(OFFSET(D.TPMs!$L$10:$M$10, ($G40-1)*9, 0), OFFSET(D.TPMs!$O$10:$P$10, ($G40-1)*9, 0)))
+PRODUCT(L40*$H41,     SUM(OFFSET(D.TPMs!$L$10:$M$10, ($G40-1)*9, 12), OFFSET(D.TPMs!$O$10:$P$10, ($G40-1)*9, 12)))</f>
        <v>4.6229414041245011E-12</v>
      </c>
      <c r="Y41" s="285">
        <f t="array" aca="1" ref="Y41:AG41" ca="1">IF($E41&gt;timeHorizon, 0, MMULT(Y40:AG40*(1-$H41), OFFSET(D.rngTPM.Q_I.Root, ($G40-1)*9, 0)) + MMULT(Y40:AG40*$H41, OFFSET(D.rngTPM.Q_I.Root, ($G40-1)*9, 12)))</f>
        <v>7.3967275429292421E-10</v>
      </c>
      <c r="Z41" s="285">
        <f ca="1"/>
        <v>8.0044814265444394E-2</v>
      </c>
      <c r="AA41" s="285">
        <f ca="1"/>
        <v>4.9898973647276509E-2</v>
      </c>
      <c r="AB41" s="285">
        <f ca="1"/>
        <v>0</v>
      </c>
      <c r="AC41" s="285">
        <f ca="1"/>
        <v>0</v>
      </c>
      <c r="AD41" s="285">
        <f ca="1"/>
        <v>0</v>
      </c>
      <c r="AE41" s="285">
        <f ca="1"/>
        <v>0.134277354380272</v>
      </c>
      <c r="AF41" s="285">
        <f ca="1"/>
        <v>0</v>
      </c>
      <c r="AG41" s="285">
        <f ca="1"/>
        <v>0.73577885696733447</v>
      </c>
      <c r="AH41" s="283">
        <f t="shared" ca="1" si="19"/>
        <v>1</v>
      </c>
      <c r="AI41" s="320">
        <f t="shared" ca="1" si="14"/>
        <v>0.26422114303266553</v>
      </c>
      <c r="AJ41" s="320">
        <f t="shared" ca="1" si="15"/>
        <v>8.0044814265444394E-2</v>
      </c>
      <c r="AK41" s="320">
        <f t="shared" ca="1" si="16"/>
        <v>4.9898973647276509E-2</v>
      </c>
      <c r="AL41" s="418">
        <f t="shared" ca="1" si="20"/>
        <v>0.134277354380272</v>
      </c>
      <c r="AM41" s="418">
        <f ca="1">PRODUCT(Y40*(1-$H41), SUM(OFFSET(D.TPMs!$L$7:$M$7, ($G40-1)*9, 0), OFFSET(D.TPMs!$O$7:$P$7, ($G40-1)*9, 0)))
+PRODUCT(Y40*$H41,     SUM(OFFSET(D.TPMs!$L$7:$M$7, ($G40-1)*9, 12), OFFSET(D.TPMs!$O$7:$P$7, ($G40-1)*9, 12)))
+PRODUCT(AB40*(1-$H41), SUM(OFFSET(D.TPMs!$L$10:$M$10, ($G40-1)*9, 0), OFFSET(D.TPMs!$O$10:$P$10, ($G40-1)*9, 0)))
+PRODUCT(AB40*$H41,     SUM(OFFSET(D.TPMs!$L$10:$M$10, ($G40-1)*9, 12), OFFSET(D.TPMs!$O$10:$P$10, ($G40-1)*9, 12)))</f>
        <v>6.8614729255678123E-10</v>
      </c>
    </row>
    <row r="42" spans="2:39" ht="12" customHeight="1" x14ac:dyDescent="0.25">
      <c r="B42" s="321"/>
      <c r="D42" s="62">
        <f t="shared" si="17"/>
        <v>32</v>
      </c>
      <c r="E42" s="63">
        <f t="shared" ref="E42:E73" si="21">D42*D.cycleLength</f>
        <v>8</v>
      </c>
      <c r="F42" s="63">
        <f t="shared" ref="F42:F73" si="22">D.cohortAge+E42</f>
        <v>73</v>
      </c>
      <c r="G42" s="301">
        <f>MATCH(F42, Parameters!$D$523:$D$524, 1)</f>
        <v>1</v>
      </c>
      <c r="H42" s="62">
        <f t="shared" ref="H42:H73" si="23">IF(AND(E42&lt;=D.maxDurHPE, E43&gt;D.maxDurHPE), 1, 0)</f>
        <v>0</v>
      </c>
      <c r="I42" s="285">
        <f t="array" aca="1" ref="I42:Q42" ca="1">IF($E42&gt;timeHorizon, 0, MMULT(I41:Q41*(1-$H42), OFFSET(D.rngTPM.Q_I.Root, ($G41-1)*9, 0)) + MMULT(I41:Q41*$H42, OFFSET(D.rngTPM.Q_I.Root, ($G41-1)*9, 12)))</f>
        <v>0</v>
      </c>
      <c r="J42" s="285">
        <f ca="1"/>
        <v>7.5458542181460003E-2</v>
      </c>
      <c r="K42" s="285">
        <f ca="1"/>
        <v>4.7039946838880603E-2</v>
      </c>
      <c r="L42" s="285">
        <f ca="1"/>
        <v>1.5469339164441573E-12</v>
      </c>
      <c r="M42" s="285">
        <f ca="1"/>
        <v>0</v>
      </c>
      <c r="N42" s="285">
        <f ca="1"/>
        <v>0</v>
      </c>
      <c r="O42" s="285">
        <f ca="1"/>
        <v>0.12658375883739786</v>
      </c>
      <c r="P42" s="285">
        <f ca="1"/>
        <v>0</v>
      </c>
      <c r="Q42" s="285">
        <f ca="1"/>
        <v>0.75091775214071466</v>
      </c>
      <c r="R42" s="283">
        <f t="shared" ca="1" si="18"/>
        <v>1</v>
      </c>
      <c r="S42" s="418">
        <f t="shared" ref="S42:S73" ca="1" si="24">1-Q42</f>
        <v>0.24908224785928534</v>
      </c>
      <c r="T42" s="418">
        <f t="shared" ref="T42:T73" ca="1" si="25">J42+M42</f>
        <v>7.5458542181460003E-2</v>
      </c>
      <c r="U42" s="418">
        <f t="shared" ref="U42:V73" ca="1" si="26">K42+N42</f>
        <v>4.7039946838880603E-2</v>
      </c>
      <c r="V42" s="418">
        <f t="shared" ca="1" si="26"/>
        <v>0.12658375883894479</v>
      </c>
      <c r="W42" s="418">
        <f ca="1">PRODUCT(I41*(1-$H42), SUM(OFFSET(D.TPMs!$L$7:$M$7, ($G41-1)*9, 0), OFFSET(D.TPMs!$O$7:$P$7, ($G41-1)*9, 0)))
+PRODUCT(I41*$H42,     SUM(OFFSET(D.TPMs!$L$7:$M$7, ($G41-1)*9, 12), OFFSET(D.TPMs!$O$7:$P$7, ($G41-1)*9, 12)))
+PRODUCT(L41*(1-$H42), SUM(OFFSET(D.TPMs!$L$10:$M$10, ($G41-1)*9, 0), OFFSET(D.TPMs!$O$10:$P$10, ($G41-1)*9, 0)))
+PRODUCT(L41*$H42,     SUM(OFFSET(D.TPMs!$L$10:$M$10, ($G41-1)*9, 12), OFFSET(D.TPMs!$O$10:$P$10, ($G41-1)*9, 12)))</f>
        <v>1.976238616481386E-12</v>
      </c>
      <c r="Y42" s="285">
        <f t="array" aca="1" ref="Y42:AG42" ca="1">IF($E42&gt;timeHorizon, 0, MMULT(Y41:AG41*(1-$H42), OFFSET(D.rngTPM.Q_I.Root, ($G41-1)*9, 0)) + MMULT(Y41:AG41*$H42, OFFSET(D.rngTPM.Q_I.Root, ($G41-1)*9, 12)))</f>
        <v>3.7539848263703516E-10</v>
      </c>
      <c r="Z42" s="285">
        <f ca="1"/>
        <v>7.6625949483287464E-2</v>
      </c>
      <c r="AA42" s="285">
        <f ca="1"/>
        <v>4.7767694497790142E-2</v>
      </c>
      <c r="AB42" s="285">
        <f ca="1"/>
        <v>0</v>
      </c>
      <c r="AC42" s="285">
        <f ca="1"/>
        <v>0</v>
      </c>
      <c r="AD42" s="285">
        <f ca="1"/>
        <v>0</v>
      </c>
      <c r="AE42" s="285">
        <f ca="1"/>
        <v>0.12854211599518306</v>
      </c>
      <c r="AF42" s="285">
        <f ca="1"/>
        <v>0</v>
      </c>
      <c r="AG42" s="285">
        <f ca="1"/>
        <v>0.74706423964834101</v>
      </c>
      <c r="AH42" s="283">
        <f t="shared" ca="1" si="19"/>
        <v>1.0000000000000002</v>
      </c>
      <c r="AI42" s="320">
        <f t="shared" ref="AI42:AI73" ca="1" si="27">1-AG42</f>
        <v>0.25293576035165899</v>
      </c>
      <c r="AJ42" s="320">
        <f t="shared" ref="AJ42:AJ73" ca="1" si="28">Z42+AC42</f>
        <v>7.6625949483287464E-2</v>
      </c>
      <c r="AK42" s="320">
        <f t="shared" ref="AK42:AK73" ca="1" si="29">AA42+AD42</f>
        <v>4.7767694497790142E-2</v>
      </c>
      <c r="AL42" s="418">
        <f t="shared" ca="1" si="20"/>
        <v>0.12854211599518306</v>
      </c>
      <c r="AM42" s="418">
        <f ca="1">PRODUCT(Y41*(1-$H42), SUM(OFFSET(D.TPMs!$L$7:$M$7, ($G41-1)*9, 0), OFFSET(D.TPMs!$O$7:$P$7, ($G41-1)*9, 0)))
+PRODUCT(Y41*$H42,     SUM(OFFSET(D.TPMs!$L$7:$M$7, ($G41-1)*9, 12), OFFSET(D.TPMs!$O$7:$P$7, ($G41-1)*9, 12)))
+PRODUCT(AB41*(1-$H42), SUM(OFFSET(D.TPMs!$L$10:$M$10, ($G41-1)*9, 0), OFFSET(D.TPMs!$O$10:$P$10, ($G41-1)*9, 0)))
+PRODUCT(AB41*$H42,     SUM(OFFSET(D.TPMs!$L$10:$M$10, ($G41-1)*9, 12), OFFSET(D.TPMs!$O$10:$P$10, ($G41-1)*9, 12)))</f>
        <v>3.4823325720244062E-10</v>
      </c>
    </row>
    <row r="43" spans="2:39" ht="12" customHeight="1" x14ac:dyDescent="0.25">
      <c r="B43" s="321"/>
      <c r="D43" s="62">
        <f t="shared" ref="D43:D74" si="30">D42+1</f>
        <v>33</v>
      </c>
      <c r="E43" s="63">
        <f t="shared" si="21"/>
        <v>8.25</v>
      </c>
      <c r="F43" s="63">
        <f t="shared" si="22"/>
        <v>73.25</v>
      </c>
      <c r="G43" s="301">
        <f>MATCH(F43, Parameters!$D$523:$D$524, 1)</f>
        <v>1</v>
      </c>
      <c r="H43" s="62">
        <f t="shared" si="23"/>
        <v>0</v>
      </c>
      <c r="I43" s="285">
        <f t="array" aca="1" ref="I43:Q43" ca="1">IF($E43&gt;timeHorizon, 0, MMULT(I42:Q42*(1-$H43), OFFSET(D.rngTPM.Q_I.Root, ($G42-1)*9, 0)) + MMULT(I42:Q42*$H43, OFFSET(D.rngTPM.Q_I.Root, ($G42-1)*9, 12)))</f>
        <v>0</v>
      </c>
      <c r="J43" s="285">
        <f ca="1"/>
        <v>7.2235565718178102E-2</v>
      </c>
      <c r="K43" s="285">
        <f ca="1"/>
        <v>4.5030782109310802E-2</v>
      </c>
      <c r="L43" s="285">
        <f ca="1"/>
        <v>6.6129121604142273E-13</v>
      </c>
      <c r="M43" s="285">
        <f ca="1"/>
        <v>0</v>
      </c>
      <c r="N43" s="285">
        <f ca="1"/>
        <v>0</v>
      </c>
      <c r="O43" s="285">
        <f ca="1"/>
        <v>0.12117712807716222</v>
      </c>
      <c r="P43" s="285">
        <f ca="1"/>
        <v>0</v>
      </c>
      <c r="Q43" s="285">
        <f ca="1"/>
        <v>0.76155652409468766</v>
      </c>
      <c r="R43" s="283">
        <f t="shared" ref="R43:R74" ca="1" si="31">IF($E43&gt;timeHorizon, "", SUM(I43:Q43))</f>
        <v>1</v>
      </c>
      <c r="S43" s="418">
        <f t="shared" ca="1" si="24"/>
        <v>0.23844347590531234</v>
      </c>
      <c r="T43" s="418">
        <f t="shared" ca="1" si="25"/>
        <v>7.2235565718178102E-2</v>
      </c>
      <c r="U43" s="418">
        <f t="shared" ca="1" si="26"/>
        <v>4.5030782109310802E-2</v>
      </c>
      <c r="V43" s="418">
        <f t="shared" ca="1" si="26"/>
        <v>0.12117712807782351</v>
      </c>
      <c r="W43" s="418">
        <f ca="1">PRODUCT(I42*(1-$H43), SUM(OFFSET(D.TPMs!$L$7:$M$7, ($G42-1)*9, 0), OFFSET(D.TPMs!$O$7:$P$7, ($G42-1)*9, 0)))
+PRODUCT(I42*$H43,     SUM(OFFSET(D.TPMs!$L$7:$M$7, ($G42-1)*9, 12), OFFSET(D.TPMs!$O$7:$P$7, ($G42-1)*9, 12)))
+PRODUCT(L42*(1-$H43), SUM(OFFSET(D.TPMs!$L$10:$M$10, ($G42-1)*9, 0), OFFSET(D.TPMs!$O$10:$P$10, ($G42-1)*9, 0)))
+PRODUCT(L42*$H43,     SUM(OFFSET(D.TPMs!$L$10:$M$10, ($G42-1)*9, 12), OFFSET(D.TPMs!$O$10:$P$10, ($G42-1)*9, 12)))</f>
        <v>8.4481258312896468E-13</v>
      </c>
      <c r="Y43" s="285">
        <f t="array" aca="1" ref="Y43:AG43" ca="1">IF($E43&gt;timeHorizon, 0, MMULT(Y42:AG42*(1-$H43), OFFSET(D.rngTPM.Q_I.Root, ($G42-1)*9, 0)) + MMULT(Y42:AG42*$H43, OFFSET(D.rngTPM.Q_I.Root, ($G42-1)*9, 12)))</f>
        <v>1.9052211934033175E-10</v>
      </c>
      <c r="Z43" s="285">
        <f ca="1"/>
        <v>7.3353110855428449E-2</v>
      </c>
      <c r="AA43" s="285">
        <f ca="1"/>
        <v>4.5727446295055194E-2</v>
      </c>
      <c r="AB43" s="285">
        <f ca="1"/>
        <v>0</v>
      </c>
      <c r="AC43" s="285">
        <f ca="1"/>
        <v>0</v>
      </c>
      <c r="AD43" s="285">
        <f ca="1"/>
        <v>0</v>
      </c>
      <c r="AE43" s="285">
        <f ca="1"/>
        <v>0.12305184028003752</v>
      </c>
      <c r="AF43" s="285">
        <f ca="1"/>
        <v>0</v>
      </c>
      <c r="AG43" s="285">
        <f ca="1"/>
        <v>0.75786760237895689</v>
      </c>
      <c r="AH43" s="283">
        <f t="shared" ref="AH43:AH74" ca="1" si="32">IF($E43&gt;timeHorizon, "", SUM(Y43:AG43))</f>
        <v>1.0000000000000002</v>
      </c>
      <c r="AI43" s="320">
        <f t="shared" ca="1" si="27"/>
        <v>0.24213239762104311</v>
      </c>
      <c r="AJ43" s="320">
        <f t="shared" ca="1" si="28"/>
        <v>7.3353110855428449E-2</v>
      </c>
      <c r="AK43" s="320">
        <f t="shared" ca="1" si="29"/>
        <v>4.5727446295055194E-2</v>
      </c>
      <c r="AL43" s="418">
        <f t="shared" ca="1" si="20"/>
        <v>0.12305184028003752</v>
      </c>
      <c r="AM43" s="418">
        <f ca="1">PRODUCT(Y42*(1-$H43), SUM(OFFSET(D.TPMs!$L$7:$M$7, ($G42-1)*9, 0), OFFSET(D.TPMs!$O$7:$P$7, ($G42-1)*9, 0)))
+PRODUCT(Y42*$H43,     SUM(OFFSET(D.TPMs!$L$7:$M$7, ($G42-1)*9, 12), OFFSET(D.TPMs!$O$7:$P$7, ($G42-1)*9, 12)))
+PRODUCT(AB42*(1-$H43), SUM(OFFSET(D.TPMs!$L$10:$M$10, ($G42-1)*9, 0), OFFSET(D.TPMs!$O$10:$P$10, ($G42-1)*9, 0)))
+PRODUCT(AB42*$H43,     SUM(OFFSET(D.TPMs!$L$10:$M$10, ($G42-1)*9, 12), OFFSET(D.TPMs!$O$10:$P$10, ($G42-1)*9, 12)))</f>
        <v>1.7673523270775847E-10</v>
      </c>
    </row>
    <row r="44" spans="2:39" ht="12" customHeight="1" x14ac:dyDescent="0.25">
      <c r="B44" s="321"/>
      <c r="D44" s="62">
        <f t="shared" si="30"/>
        <v>34</v>
      </c>
      <c r="E44" s="63">
        <f t="shared" si="21"/>
        <v>8.5</v>
      </c>
      <c r="F44" s="63">
        <f t="shared" si="22"/>
        <v>73.5</v>
      </c>
      <c r="G44" s="301">
        <f>MATCH(F44, Parameters!$D$523:$D$524, 1)</f>
        <v>1</v>
      </c>
      <c r="H44" s="62">
        <f t="shared" si="23"/>
        <v>0</v>
      </c>
      <c r="I44" s="285">
        <f t="array" aca="1" ref="I44:Q44" ca="1">IF($E44&gt;timeHorizon, 0, MMULT(I43:Q43*(1-$H44), OFFSET(D.rngTPM.Q_I.Root, ($G43-1)*9, 0)) + MMULT(I43:Q43*$H44, OFFSET(D.rngTPM.Q_I.Root, ($G43-1)*9, 12)))</f>
        <v>0</v>
      </c>
      <c r="J44" s="285">
        <f ca="1"/>
        <v>6.9150248650196811E-2</v>
      </c>
      <c r="K44" s="285">
        <f ca="1"/>
        <v>4.3107432589651121E-2</v>
      </c>
      <c r="L44" s="285">
        <f ca="1"/>
        <v>2.8269214849122479E-13</v>
      </c>
      <c r="M44" s="285">
        <f ca="1"/>
        <v>0</v>
      </c>
      <c r="N44" s="285">
        <f ca="1"/>
        <v>0</v>
      </c>
      <c r="O44" s="285">
        <f ca="1"/>
        <v>0.11600142469956411</v>
      </c>
      <c r="P44" s="285">
        <f ca="1"/>
        <v>0</v>
      </c>
      <c r="Q44" s="285">
        <f ca="1"/>
        <v>0.77174089406030533</v>
      </c>
      <c r="R44" s="283">
        <f t="shared" ca="1" si="31"/>
        <v>1</v>
      </c>
      <c r="S44" s="418">
        <f t="shared" ca="1" si="24"/>
        <v>0.22825910593969467</v>
      </c>
      <c r="T44" s="418">
        <f t="shared" ca="1" si="25"/>
        <v>6.9150248650196811E-2</v>
      </c>
      <c r="U44" s="418">
        <f t="shared" ca="1" si="26"/>
        <v>4.3107432589651121E-2</v>
      </c>
      <c r="V44" s="418">
        <f t="shared" ca="1" si="26"/>
        <v>0.1160014246998468</v>
      </c>
      <c r="W44" s="418">
        <f ca="1">PRODUCT(I43*(1-$H44), SUM(OFFSET(D.TPMs!$L$7:$M$7, ($G43-1)*9, 0), OFFSET(D.TPMs!$O$7:$P$7, ($G43-1)*9, 0)))
+PRODUCT(I43*$H44,     SUM(OFFSET(D.TPMs!$L$7:$M$7, ($G43-1)*9, 12), OFFSET(D.TPMs!$O$7:$P$7, ($G43-1)*9, 12)))
+PRODUCT(L43*(1-$H44), SUM(OFFSET(D.TPMs!$L$10:$M$10, ($G43-1)*9, 0), OFFSET(D.TPMs!$O$10:$P$10, ($G43-1)*9, 0)))
+PRODUCT(L43*$H44,     SUM(OFFSET(D.TPMs!$L$10:$M$10, ($G43-1)*9, 12), OFFSET(D.TPMs!$O$10:$P$10, ($G43-1)*9, 12)))</f>
        <v>3.6114480036007142E-13</v>
      </c>
      <c r="Y44" s="285">
        <f t="array" aca="1" ref="Y44:AG44" ca="1">IF($E44&gt;timeHorizon, 0, MMULT(Y43:AG43*(1-$H44), OFFSET(D.rngTPM.Q_I.Root, ($G43-1)*9, 0)) + MMULT(Y43:AG43*$H44, OFFSET(D.rngTPM.Q_I.Root, ($G43-1)*9, 12)))</f>
        <v>9.6693725832205983E-11</v>
      </c>
      <c r="Z44" s="285">
        <f ca="1"/>
        <v>7.0220061329776151E-2</v>
      </c>
      <c r="AA44" s="285">
        <f ca="1"/>
        <v>4.3774340935878578E-2</v>
      </c>
      <c r="AB44" s="285">
        <f ca="1"/>
        <v>0</v>
      </c>
      <c r="AC44" s="285">
        <f ca="1"/>
        <v>0</v>
      </c>
      <c r="AD44" s="285">
        <f ca="1"/>
        <v>0</v>
      </c>
      <c r="AE44" s="285">
        <f ca="1"/>
        <v>0.117796064498501</v>
      </c>
      <c r="AF44" s="285">
        <f ca="1"/>
        <v>0</v>
      </c>
      <c r="AG44" s="285">
        <f ca="1"/>
        <v>0.76820953313915075</v>
      </c>
      <c r="AH44" s="283">
        <f t="shared" ca="1" si="32"/>
        <v>1.0000000000000002</v>
      </c>
      <c r="AI44" s="320">
        <f t="shared" ca="1" si="27"/>
        <v>0.23179046686084925</v>
      </c>
      <c r="AJ44" s="320">
        <f t="shared" ca="1" si="28"/>
        <v>7.0220061329776151E-2</v>
      </c>
      <c r="AK44" s="320">
        <f t="shared" ca="1" si="29"/>
        <v>4.3774340935878578E-2</v>
      </c>
      <c r="AL44" s="418">
        <f t="shared" ca="1" si="20"/>
        <v>0.117796064498501</v>
      </c>
      <c r="AM44" s="418">
        <f ca="1">PRODUCT(Y43*(1-$H44), SUM(OFFSET(D.TPMs!$L$7:$M$7, ($G43-1)*9, 0), OFFSET(D.TPMs!$O$7:$P$7, ($G43-1)*9, 0)))
+PRODUCT(Y43*$H44,     SUM(OFFSET(D.TPMs!$L$7:$M$7, ($G43-1)*9, 12), OFFSET(D.TPMs!$O$7:$P$7, ($G43-1)*9, 12)))
+PRODUCT(AB43*(1-$H44), SUM(OFFSET(D.TPMs!$L$10:$M$10, ($G43-1)*9, 0), OFFSET(D.TPMs!$O$10:$P$10, ($G43-1)*9, 0)))
+PRODUCT(AB43*$H44,     SUM(OFFSET(D.TPMs!$L$10:$M$10, ($G43-1)*9, 12), OFFSET(D.TPMs!$O$10:$P$10, ($G43-1)*9, 12)))</f>
        <v>8.969660948295727E-11</v>
      </c>
    </row>
    <row r="45" spans="2:39" ht="12" customHeight="1" x14ac:dyDescent="0.25">
      <c r="B45" s="321"/>
      <c r="D45" s="62">
        <f t="shared" si="30"/>
        <v>35</v>
      </c>
      <c r="E45" s="63">
        <f t="shared" si="21"/>
        <v>8.75</v>
      </c>
      <c r="F45" s="63">
        <f t="shared" si="22"/>
        <v>73.75</v>
      </c>
      <c r="G45" s="301">
        <f>MATCH(F45, Parameters!$D$523:$D$524, 1)</f>
        <v>1</v>
      </c>
      <c r="H45" s="62">
        <f t="shared" si="23"/>
        <v>0</v>
      </c>
      <c r="I45" s="285">
        <f t="array" aca="1" ref="I45:Q45" ca="1">IF($E45&gt;timeHorizon, 0, MMULT(I44:Q44*(1-$H45), OFFSET(D.rngTPM.Q_I.Root, ($G44-1)*9, 0)) + MMULT(I44:Q44*$H45, OFFSET(D.rngTPM.Q_I.Root, ($G44-1)*9, 12)))</f>
        <v>0</v>
      </c>
      <c r="J45" s="285">
        <f ca="1"/>
        <v>6.6196711285426979E-2</v>
      </c>
      <c r="K45" s="285">
        <f ca="1"/>
        <v>4.1266232950631906E-2</v>
      </c>
      <c r="L45" s="285">
        <f ca="1"/>
        <v>1.2084668430493546E-13</v>
      </c>
      <c r="M45" s="285">
        <f ca="1"/>
        <v>0</v>
      </c>
      <c r="N45" s="285">
        <f ca="1"/>
        <v>0</v>
      </c>
      <c r="O45" s="285">
        <f ca="1"/>
        <v>0.11104678536145463</v>
      </c>
      <c r="P45" s="285">
        <f ca="1"/>
        <v>0</v>
      </c>
      <c r="Q45" s="285">
        <f ca="1"/>
        <v>0.78149027040236574</v>
      </c>
      <c r="R45" s="283">
        <f t="shared" ca="1" si="31"/>
        <v>1</v>
      </c>
      <c r="S45" s="418">
        <f t="shared" ca="1" si="24"/>
        <v>0.21850972959763426</v>
      </c>
      <c r="T45" s="418">
        <f t="shared" ca="1" si="25"/>
        <v>6.6196711285426979E-2</v>
      </c>
      <c r="U45" s="418">
        <f t="shared" ca="1" si="26"/>
        <v>4.1266232950631906E-2</v>
      </c>
      <c r="V45" s="418">
        <f t="shared" ca="1" si="26"/>
        <v>0.11104678536157547</v>
      </c>
      <c r="W45" s="418">
        <f ca="1">PRODUCT(I44*(1-$H45), SUM(OFFSET(D.TPMs!$L$7:$M$7, ($G44-1)*9, 0), OFFSET(D.TPMs!$O$7:$P$7, ($G44-1)*9, 0)))
+PRODUCT(I44*$H45,     SUM(OFFSET(D.TPMs!$L$7:$M$7, ($G44-1)*9, 12), OFFSET(D.TPMs!$O$7:$P$7, ($G44-1)*9, 12)))
+PRODUCT(L44*(1-$H45), SUM(OFFSET(D.TPMs!$L$10:$M$10, ($G44-1)*9, 0), OFFSET(D.TPMs!$O$10:$P$10, ($G44-1)*9, 0)))
+PRODUCT(L44*$H45,     SUM(OFFSET(D.TPMs!$L$10:$M$10, ($G44-1)*9, 12), OFFSET(D.TPMs!$O$10:$P$10, ($G44-1)*9, 12)))</f>
        <v>1.5438402484969349E-13</v>
      </c>
      <c r="Y45" s="285">
        <f t="array" aca="1" ref="Y45:AG45" ca="1">IF($E45&gt;timeHorizon, 0, MMULT(Y44:AG44*(1-$H45), OFFSET(D.rngTPM.Q_I.Root, ($G44-1)*9, 0)) + MMULT(Y44:AG44*$H45, OFFSET(D.rngTPM.Q_I.Root, ($G44-1)*9, 12)))</f>
        <v>4.9073969194161587E-11</v>
      </c>
      <c r="Z45" s="285">
        <f ca="1"/>
        <v>6.7220830250481714E-2</v>
      </c>
      <c r="AA45" s="285">
        <f ca="1"/>
        <v>4.1904656385277864E-2</v>
      </c>
      <c r="AB45" s="285">
        <f ca="1"/>
        <v>0</v>
      </c>
      <c r="AC45" s="285">
        <f ca="1"/>
        <v>0</v>
      </c>
      <c r="AD45" s="285">
        <f ca="1"/>
        <v>0</v>
      </c>
      <c r="AE45" s="285">
        <f ca="1"/>
        <v>0.11276477275767754</v>
      </c>
      <c r="AF45" s="285">
        <f ca="1"/>
        <v>0</v>
      </c>
      <c r="AG45" s="285">
        <f ca="1"/>
        <v>0.77810974055748916</v>
      </c>
      <c r="AH45" s="283">
        <f t="shared" ca="1" si="32"/>
        <v>1.0000000000000002</v>
      </c>
      <c r="AI45" s="320">
        <f t="shared" ca="1" si="27"/>
        <v>0.22189025944251084</v>
      </c>
      <c r="AJ45" s="320">
        <f t="shared" ca="1" si="28"/>
        <v>6.7220830250481714E-2</v>
      </c>
      <c r="AK45" s="320">
        <f t="shared" ca="1" si="29"/>
        <v>4.1904656385277864E-2</v>
      </c>
      <c r="AL45" s="418">
        <f t="shared" ca="1" si="20"/>
        <v>0.11276477275767754</v>
      </c>
      <c r="AM45" s="418">
        <f ca="1">PRODUCT(Y44*(1-$H45), SUM(OFFSET(D.TPMs!$L$7:$M$7, ($G44-1)*9, 0), OFFSET(D.TPMs!$O$7:$P$7, ($G44-1)*9, 0)))
+PRODUCT(Y44*$H45,     SUM(OFFSET(D.TPMs!$L$7:$M$7, ($G44-1)*9, 12), OFFSET(D.TPMs!$O$7:$P$7, ($G44-1)*9, 12)))
+PRODUCT(AB44*(1-$H45), SUM(OFFSET(D.TPMs!$L$10:$M$10, ($G44-1)*9, 0), OFFSET(D.TPMs!$O$10:$P$10, ($G44-1)*9, 0)))
+PRODUCT(AB44*$H45,     SUM(OFFSET(D.TPMs!$L$10:$M$10, ($G44-1)*9, 12), OFFSET(D.TPMs!$O$10:$P$10, ($G44-1)*9, 12)))</f>
        <v>4.552279491459291E-11</v>
      </c>
    </row>
    <row r="46" spans="2:39" ht="12" customHeight="1" x14ac:dyDescent="0.25">
      <c r="B46" s="321"/>
      <c r="D46" s="62">
        <f t="shared" si="30"/>
        <v>36</v>
      </c>
      <c r="E46" s="63">
        <f t="shared" si="21"/>
        <v>9</v>
      </c>
      <c r="F46" s="63">
        <f t="shared" si="22"/>
        <v>74</v>
      </c>
      <c r="G46" s="301">
        <f>MATCH(F46, Parameters!$D$523:$D$524, 1)</f>
        <v>1</v>
      </c>
      <c r="H46" s="62">
        <f t="shared" si="23"/>
        <v>0</v>
      </c>
      <c r="I46" s="285">
        <f t="array" aca="1" ref="I46:Q46" ca="1">IF($E46&gt;timeHorizon, 0, MMULT(I45:Q45*(1-$H46), OFFSET(D.rngTPM.Q_I.Root, ($G45-1)*9, 0)) + MMULT(I45:Q45*$H46, OFFSET(D.rngTPM.Q_I.Root, ($G45-1)*9, 12)))</f>
        <v>0</v>
      </c>
      <c r="J46" s="285">
        <f ca="1"/>
        <v>6.3369325064522239E-2</v>
      </c>
      <c r="K46" s="285">
        <f ca="1"/>
        <v>3.9503674416112272E-2</v>
      </c>
      <c r="L46" s="285">
        <f ca="1"/>
        <v>5.1660158180693381E-14</v>
      </c>
      <c r="M46" s="285">
        <f ca="1"/>
        <v>0</v>
      </c>
      <c r="N46" s="285">
        <f ca="1"/>
        <v>0</v>
      </c>
      <c r="O46" s="285">
        <f ca="1"/>
        <v>0.10630376800146715</v>
      </c>
      <c r="P46" s="285">
        <f ca="1"/>
        <v>0</v>
      </c>
      <c r="Q46" s="285">
        <f ca="1"/>
        <v>0.79082323251784681</v>
      </c>
      <c r="R46" s="283">
        <f t="shared" ca="1" si="31"/>
        <v>1.0000000000000002</v>
      </c>
      <c r="S46" s="418">
        <f t="shared" ca="1" si="24"/>
        <v>0.20917676748215319</v>
      </c>
      <c r="T46" s="418">
        <f t="shared" ca="1" si="25"/>
        <v>6.3369325064522239E-2</v>
      </c>
      <c r="U46" s="418">
        <f t="shared" ca="1" si="26"/>
        <v>3.9503674416112272E-2</v>
      </c>
      <c r="V46" s="418">
        <f t="shared" ca="1" si="26"/>
        <v>0.10630376800151882</v>
      </c>
      <c r="W46" s="418">
        <f ca="1">PRODUCT(I45*(1-$H46), SUM(OFFSET(D.TPMs!$L$7:$M$7, ($G45-1)*9, 0), OFFSET(D.TPMs!$O$7:$P$7, ($G45-1)*9, 0)))
+PRODUCT(I45*$H46,     SUM(OFFSET(D.TPMs!$L$7:$M$7, ($G45-1)*9, 12), OFFSET(D.TPMs!$O$7:$P$7, ($G45-1)*9, 12)))
+PRODUCT(L45*(1-$H46), SUM(OFFSET(D.TPMs!$L$10:$M$10, ($G45-1)*9, 0), OFFSET(D.TPMs!$O$10:$P$10, ($G45-1)*9, 0)))
+PRODUCT(L45*$H46,     SUM(OFFSET(D.TPMs!$L$10:$M$10, ($G45-1)*9, 12), OFFSET(D.TPMs!$O$10:$P$10, ($G45-1)*9, 12)))</f>
        <v>6.5996871905748595E-14</v>
      </c>
      <c r="Y46" s="285">
        <f t="array" aca="1" ref="Y46:AG46" ca="1">IF($E46&gt;timeHorizon, 0, MMULT(Y45:AG45*(1-$H46), OFFSET(D.rngTPM.Q_I.Root, ($G45-1)*9, 0)) + MMULT(Y45:AG45*$H46, OFFSET(D.rngTPM.Q_I.Root, ($G45-1)*9, 12)))</f>
        <v>2.4906005345668437E-11</v>
      </c>
      <c r="Z46" s="285">
        <f ca="1"/>
        <v>6.4349701979653395E-2</v>
      </c>
      <c r="AA46" s="285">
        <f ca="1"/>
        <v>4.0114829583395184E-2</v>
      </c>
      <c r="AB46" s="285">
        <f ca="1"/>
        <v>0</v>
      </c>
      <c r="AC46" s="285">
        <f ca="1"/>
        <v>0</v>
      </c>
      <c r="AD46" s="285">
        <f ca="1"/>
        <v>0</v>
      </c>
      <c r="AE46" s="285">
        <f ca="1"/>
        <v>0.10794837694215445</v>
      </c>
      <c r="AF46" s="285">
        <f ca="1"/>
        <v>0</v>
      </c>
      <c r="AG46" s="285">
        <f ca="1"/>
        <v>0.78758709146989125</v>
      </c>
      <c r="AH46" s="283">
        <f t="shared" ca="1" si="32"/>
        <v>1.0000000000000002</v>
      </c>
      <c r="AI46" s="320">
        <f t="shared" ca="1" si="27"/>
        <v>0.21241290853010875</v>
      </c>
      <c r="AJ46" s="320">
        <f t="shared" ca="1" si="28"/>
        <v>6.4349701979653395E-2</v>
      </c>
      <c r="AK46" s="320">
        <f t="shared" ca="1" si="29"/>
        <v>4.0114829583395184E-2</v>
      </c>
      <c r="AL46" s="418">
        <f t="shared" ca="1" si="20"/>
        <v>0.10794837694215445</v>
      </c>
      <c r="AM46" s="418">
        <f ca="1">PRODUCT(Y45*(1-$H46), SUM(OFFSET(D.TPMs!$L$7:$M$7, ($G45-1)*9, 0), OFFSET(D.TPMs!$O$7:$P$7, ($G45-1)*9, 0)))
+PRODUCT(Y45*$H46,     SUM(OFFSET(D.TPMs!$L$7:$M$7, ($G45-1)*9, 12), OFFSET(D.TPMs!$O$7:$P$7, ($G45-1)*9, 12)))
+PRODUCT(AB45*(1-$H46), SUM(OFFSET(D.TPMs!$L$10:$M$10, ($G45-1)*9, 0), OFFSET(D.TPMs!$O$10:$P$10, ($G45-1)*9, 0)))
+PRODUCT(AB45*$H46,     SUM(OFFSET(D.TPMs!$L$10:$M$10, ($G45-1)*9, 12), OFFSET(D.TPMs!$O$10:$P$10, ($G45-1)*9, 12)))</f>
        <v>2.3103714496921274E-11</v>
      </c>
    </row>
    <row r="47" spans="2:39" ht="12" customHeight="1" x14ac:dyDescent="0.25">
      <c r="B47" s="321"/>
      <c r="D47" s="62">
        <f t="shared" si="30"/>
        <v>37</v>
      </c>
      <c r="E47" s="63">
        <f t="shared" si="21"/>
        <v>9.25</v>
      </c>
      <c r="F47" s="63">
        <f t="shared" si="22"/>
        <v>74.25</v>
      </c>
      <c r="G47" s="301">
        <f>MATCH(F47, Parameters!$D$523:$D$524, 1)</f>
        <v>1</v>
      </c>
      <c r="H47" s="62">
        <f t="shared" si="23"/>
        <v>0</v>
      </c>
      <c r="I47" s="285">
        <f t="array" aca="1" ref="I47:Q47" ca="1">IF($E47&gt;timeHorizon, 0, MMULT(I46:Q46*(1-$H47), OFFSET(D.rngTPM.Q_I.Root, ($G46-1)*9, 0)) + MMULT(I46:Q46*$H47, OFFSET(D.rngTPM.Q_I.Root, ($G46-1)*9, 12)))</f>
        <v>0</v>
      </c>
      <c r="J47" s="285">
        <f ca="1"/>
        <v>6.0662701834515553E-2</v>
      </c>
      <c r="K47" s="285">
        <f ca="1"/>
        <v>3.7816398076394218E-2</v>
      </c>
      <c r="L47" s="285">
        <f ca="1"/>
        <v>2.2083948422780736E-14</v>
      </c>
      <c r="M47" s="285">
        <f ca="1"/>
        <v>0</v>
      </c>
      <c r="N47" s="285">
        <f ca="1"/>
        <v>0</v>
      </c>
      <c r="O47" s="285">
        <f ca="1"/>
        <v>0.1017633338463827</v>
      </c>
      <c r="P47" s="285">
        <f ca="1"/>
        <v>0</v>
      </c>
      <c r="Q47" s="285">
        <f ca="1"/>
        <v>0.79975756624268557</v>
      </c>
      <c r="R47" s="283">
        <f t="shared" ca="1" si="31"/>
        <v>1</v>
      </c>
      <c r="S47" s="418">
        <f t="shared" ca="1" si="24"/>
        <v>0.20024243375731443</v>
      </c>
      <c r="T47" s="418">
        <f t="shared" ca="1" si="25"/>
        <v>6.0662701834515553E-2</v>
      </c>
      <c r="U47" s="418">
        <f t="shared" ca="1" si="26"/>
        <v>3.7816398076394218E-2</v>
      </c>
      <c r="V47" s="418">
        <f t="shared" ca="1" si="26"/>
        <v>0.10176333384640478</v>
      </c>
      <c r="W47" s="418">
        <f ca="1">PRODUCT(I46*(1-$H47), SUM(OFFSET(D.TPMs!$L$7:$M$7, ($G46-1)*9, 0), OFFSET(D.TPMs!$O$7:$P$7, ($G46-1)*9, 0)))
+PRODUCT(I46*$H47,     SUM(OFFSET(D.TPMs!$L$7:$M$7, ($G46-1)*9, 12), OFFSET(D.TPMs!$O$7:$P$7, ($G46-1)*9, 12)))
+PRODUCT(L46*(1-$H47), SUM(OFFSET(D.TPMs!$L$10:$M$10, ($G46-1)*9, 0), OFFSET(D.TPMs!$O$10:$P$10, ($G46-1)*9, 0)))
+PRODUCT(L46*$H47,     SUM(OFFSET(D.TPMs!$L$10:$M$10, ($G46-1)*9, 12), OFFSET(D.TPMs!$O$10:$P$10, ($G46-1)*9, 12)))</f>
        <v>2.8212680072205247E-14</v>
      </c>
      <c r="Y47" s="285">
        <f t="array" aca="1" ref="Y47:AG47" ca="1">IF($E47&gt;timeHorizon, 0, MMULT(Y46:AG46*(1-$H47), OFFSET(D.rngTPM.Q_I.Root, ($G46-1)*9, 0)) + MMULT(Y46:AG46*$H47, OFFSET(D.rngTPM.Q_I.Root, ($G46-1)*9, 12)))</f>
        <v>1.2640287966604177E-11</v>
      </c>
      <c r="Z47" s="285">
        <f ca="1"/>
        <v>6.1601205005059161E-2</v>
      </c>
      <c r="AA47" s="285">
        <f ca="1"/>
        <v>3.8401449655370248E-2</v>
      </c>
      <c r="AB47" s="285">
        <f ca="1"/>
        <v>0</v>
      </c>
      <c r="AC47" s="285">
        <f ca="1"/>
        <v>0</v>
      </c>
      <c r="AD47" s="285">
        <f ca="1"/>
        <v>0</v>
      </c>
      <c r="AE47" s="285">
        <f ca="1"/>
        <v>0.1033376984527523</v>
      </c>
      <c r="AF47" s="285">
        <f ca="1"/>
        <v>0</v>
      </c>
      <c r="AG47" s="285">
        <f ca="1"/>
        <v>0.79665964687417834</v>
      </c>
      <c r="AH47" s="283">
        <f t="shared" ca="1" si="32"/>
        <v>1.0000000000000004</v>
      </c>
      <c r="AI47" s="320">
        <f t="shared" ca="1" si="27"/>
        <v>0.20334035312582166</v>
      </c>
      <c r="AJ47" s="320">
        <f t="shared" ca="1" si="28"/>
        <v>6.1601205005059161E-2</v>
      </c>
      <c r="AK47" s="320">
        <f t="shared" ca="1" si="29"/>
        <v>3.8401449655370248E-2</v>
      </c>
      <c r="AL47" s="418">
        <f t="shared" ca="1" si="20"/>
        <v>0.1033376984527523</v>
      </c>
      <c r="AM47" s="418">
        <f ca="1">PRODUCT(Y46*(1-$H47), SUM(OFFSET(D.TPMs!$L$7:$M$7, ($G46-1)*9, 0), OFFSET(D.TPMs!$O$7:$P$7, ($G46-1)*9, 0)))
+PRODUCT(Y46*$H47,     SUM(OFFSET(D.TPMs!$L$7:$M$7, ($G46-1)*9, 12), OFFSET(D.TPMs!$O$7:$P$7, ($G46-1)*9, 12)))
+PRODUCT(AB46*(1-$H47), SUM(OFFSET(D.TPMs!$L$10:$M$10, ($G46-1)*9, 0), OFFSET(D.TPMs!$O$10:$P$10, ($G46-1)*9, 0)))
+PRODUCT(AB46*$H47,     SUM(OFFSET(D.TPMs!$L$10:$M$10, ($G46-1)*9, 12), OFFSET(D.TPMs!$O$10:$P$10, ($G46-1)*9, 12)))</f>
        <v>1.1725589884292005E-11</v>
      </c>
    </row>
    <row r="48" spans="2:39" ht="12" customHeight="1" x14ac:dyDescent="0.25">
      <c r="B48" s="321"/>
      <c r="D48" s="62">
        <f t="shared" si="30"/>
        <v>38</v>
      </c>
      <c r="E48" s="63">
        <f t="shared" si="21"/>
        <v>9.5</v>
      </c>
      <c r="F48" s="63">
        <f t="shared" si="22"/>
        <v>74.5</v>
      </c>
      <c r="G48" s="301">
        <f>MATCH(F48, Parameters!$D$523:$D$524, 1)</f>
        <v>1</v>
      </c>
      <c r="H48" s="62">
        <f t="shared" si="23"/>
        <v>0</v>
      </c>
      <c r="I48" s="285">
        <f t="array" aca="1" ref="I48:Q48" ca="1">IF($E48&gt;timeHorizon, 0, MMULT(I47:Q47*(1-$H48), OFFSET(D.rngTPM.Q_I.Root, ($G47-1)*9, 0)) + MMULT(I47:Q47*$H48, OFFSET(D.rngTPM.Q_I.Root, ($G47-1)*9, 12)))</f>
        <v>0</v>
      </c>
      <c r="J48" s="285">
        <f ca="1"/>
        <v>5.8071683580605216E-2</v>
      </c>
      <c r="K48" s="285">
        <f ca="1"/>
        <v>3.6201188487141683E-2</v>
      </c>
      <c r="L48" s="285">
        <f ca="1"/>
        <v>9.4405591294202636E-15</v>
      </c>
      <c r="M48" s="285">
        <f ca="1"/>
        <v>0</v>
      </c>
      <c r="N48" s="285">
        <f ca="1"/>
        <v>0</v>
      </c>
      <c r="O48" s="285">
        <f ca="1"/>
        <v>9.7416830185977965E-2</v>
      </c>
      <c r="P48" s="285">
        <f ca="1"/>
        <v>0</v>
      </c>
      <c r="Q48" s="285">
        <f ca="1"/>
        <v>0.80831029774626584</v>
      </c>
      <c r="R48" s="283">
        <f t="shared" ca="1" si="31"/>
        <v>1.0000000000000002</v>
      </c>
      <c r="S48" s="418">
        <f t="shared" ca="1" si="24"/>
        <v>0.19168970225373416</v>
      </c>
      <c r="T48" s="418">
        <f t="shared" ca="1" si="25"/>
        <v>5.8071683580605216E-2</v>
      </c>
      <c r="U48" s="418">
        <f t="shared" ca="1" si="26"/>
        <v>3.6201188487141683E-2</v>
      </c>
      <c r="V48" s="418">
        <f t="shared" ca="1" si="26"/>
        <v>9.7416830185987402E-2</v>
      </c>
      <c r="W48" s="418">
        <f ca="1">PRODUCT(I47*(1-$H48), SUM(OFFSET(D.TPMs!$L$7:$M$7, ($G47-1)*9, 0), OFFSET(D.TPMs!$O$7:$P$7, ($G47-1)*9, 0)))
+PRODUCT(I47*$H48,     SUM(OFFSET(D.TPMs!$L$7:$M$7, ($G47-1)*9, 12), OFFSET(D.TPMs!$O$7:$P$7, ($G47-1)*9, 12)))
+PRODUCT(L47*(1-$H48), SUM(OFFSET(D.TPMs!$L$10:$M$10, ($G47-1)*9, 0), OFFSET(D.TPMs!$O$10:$P$10, ($G47-1)*9, 0)))
+PRODUCT(L47*$H48,     SUM(OFFSET(D.TPMs!$L$10:$M$10, ($G47-1)*9, 12), OFFSET(D.TPMs!$O$10:$P$10, ($G47-1)*9, 12)))</f>
        <v>1.2060500655142052E-14</v>
      </c>
      <c r="Y48" s="285">
        <f t="array" aca="1" ref="Y48:AG48" ca="1">IF($E48&gt;timeHorizon, 0, MMULT(Y47:AG47*(1-$H48), OFFSET(D.rngTPM.Q_I.Root, ($G47-1)*9, 0)) + MMULT(Y47:AG47*$H48, OFFSET(D.rngTPM.Q_I.Root, ($G47-1)*9, 12)))</f>
        <v>6.4151949564431528E-12</v>
      </c>
      <c r="Z48" s="285">
        <f ca="1"/>
        <v>5.8970101513060119E-2</v>
      </c>
      <c r="AA48" s="285">
        <f ca="1"/>
        <v>3.6761251411232453E-2</v>
      </c>
      <c r="AB48" s="285">
        <f ca="1"/>
        <v>0</v>
      </c>
      <c r="AC48" s="285">
        <f ca="1"/>
        <v>0</v>
      </c>
      <c r="AD48" s="285">
        <f ca="1"/>
        <v>0</v>
      </c>
      <c r="AE48" s="285">
        <f ca="1"/>
        <v>9.8923950720355897E-2</v>
      </c>
      <c r="AF48" s="285">
        <f ca="1"/>
        <v>0</v>
      </c>
      <c r="AG48" s="285">
        <f ca="1"/>
        <v>0.80534469634893668</v>
      </c>
      <c r="AH48" s="283">
        <f t="shared" ca="1" si="32"/>
        <v>1.0000000000000004</v>
      </c>
      <c r="AI48" s="320">
        <f t="shared" ca="1" si="27"/>
        <v>0.19465530365106332</v>
      </c>
      <c r="AJ48" s="320">
        <f t="shared" ca="1" si="28"/>
        <v>5.8970101513060119E-2</v>
      </c>
      <c r="AK48" s="320">
        <f t="shared" ca="1" si="29"/>
        <v>3.6761251411232453E-2</v>
      </c>
      <c r="AL48" s="418">
        <f t="shared" ca="1" si="20"/>
        <v>9.8923950720355897E-2</v>
      </c>
      <c r="AM48" s="418">
        <f ca="1">PRODUCT(Y47*(1-$H48), SUM(OFFSET(D.TPMs!$L$7:$M$7, ($G47-1)*9, 0), OFFSET(D.TPMs!$O$7:$P$7, ($G47-1)*9, 0)))
+PRODUCT(Y47*$H48,     SUM(OFFSET(D.TPMs!$L$7:$M$7, ($G47-1)*9, 12), OFFSET(D.TPMs!$O$7:$P$7, ($G47-1)*9, 12)))
+PRODUCT(AB47*(1-$H48), SUM(OFFSET(D.TPMs!$L$10:$M$10, ($G47-1)*9, 0), OFFSET(D.TPMs!$O$10:$P$10, ($G47-1)*9, 0)))
+PRODUCT(AB47*$H48,     SUM(OFFSET(D.TPMs!$L$10:$M$10, ($G47-1)*9, 12), OFFSET(D.TPMs!$O$10:$P$10, ($G47-1)*9, 12)))</f>
        <v>5.9509676746106087E-12</v>
      </c>
    </row>
    <row r="49" spans="2:39" ht="12" customHeight="1" x14ac:dyDescent="0.25">
      <c r="B49" s="321"/>
      <c r="D49" s="62">
        <f t="shared" si="30"/>
        <v>39</v>
      </c>
      <c r="E49" s="63">
        <f t="shared" si="21"/>
        <v>9.75</v>
      </c>
      <c r="F49" s="63">
        <f t="shared" si="22"/>
        <v>74.75</v>
      </c>
      <c r="G49" s="301">
        <f>MATCH(F49, Parameters!$D$523:$D$524, 1)</f>
        <v>1</v>
      </c>
      <c r="H49" s="62">
        <f t="shared" si="23"/>
        <v>0</v>
      </c>
      <c r="I49" s="285">
        <f t="array" aca="1" ref="I49:Q49" ca="1">IF($E49&gt;timeHorizon, 0, MMULT(I48:Q48*(1-$H49), OFFSET(D.rngTPM.Q_I.Root, ($G48-1)*9, 0)) + MMULT(I48:Q48*$H49, OFFSET(D.rngTPM.Q_I.Root, ($G48-1)*9, 12)))</f>
        <v>0</v>
      </c>
      <c r="J49" s="285">
        <f ca="1"/>
        <v>5.5591332596518397E-2</v>
      </c>
      <c r="K49" s="285">
        <f ca="1"/>
        <v>3.4654967541703427E-2</v>
      </c>
      <c r="L49" s="285">
        <f ca="1"/>
        <v>4.0356984616095239E-15</v>
      </c>
      <c r="M49" s="285">
        <f ca="1"/>
        <v>0</v>
      </c>
      <c r="N49" s="285">
        <f ca="1"/>
        <v>0</v>
      </c>
      <c r="O49" s="285">
        <f ca="1"/>
        <v>9.325597388356649E-2</v>
      </c>
      <c r="P49" s="285">
        <f ca="1"/>
        <v>0</v>
      </c>
      <c r="Q49" s="285">
        <f ca="1"/>
        <v>0.8164977259782078</v>
      </c>
      <c r="R49" s="283">
        <f t="shared" ca="1" si="31"/>
        <v>1.0000000000000002</v>
      </c>
      <c r="S49" s="418">
        <f t="shared" ca="1" si="24"/>
        <v>0.1835022740217922</v>
      </c>
      <c r="T49" s="418">
        <f t="shared" ca="1" si="25"/>
        <v>5.5591332596518397E-2</v>
      </c>
      <c r="U49" s="418">
        <f t="shared" ca="1" si="26"/>
        <v>3.4654967541703427E-2</v>
      </c>
      <c r="V49" s="418">
        <f t="shared" ca="1" si="26"/>
        <v>9.3255973883570528E-2</v>
      </c>
      <c r="W49" s="418">
        <f ca="1">PRODUCT(I48*(1-$H49), SUM(OFFSET(D.TPMs!$L$7:$M$7, ($G48-1)*9, 0), OFFSET(D.TPMs!$O$7:$P$7, ($G48-1)*9, 0)))
+PRODUCT(I48*$H49,     SUM(OFFSET(D.TPMs!$L$7:$M$7, ($G48-1)*9, 12), OFFSET(D.TPMs!$O$7:$P$7, ($G48-1)*9, 12)))
+PRODUCT(L48*(1-$H49), SUM(OFFSET(D.TPMs!$L$10:$M$10, ($G48-1)*9, 0), OFFSET(D.TPMs!$O$10:$P$10, ($G48-1)*9, 0)))
+PRODUCT(L48*$H49,     SUM(OFFSET(D.TPMs!$L$10:$M$10, ($G48-1)*9, 12), OFFSET(D.TPMs!$O$10:$P$10, ($G48-1)*9, 12)))</f>
        <v>5.1556844539552572E-15</v>
      </c>
      <c r="Y49" s="285">
        <f t="array" aca="1" ref="Y49:AG49" ca="1">IF($E49&gt;timeHorizon, 0, MMULT(Y48:AG48*(1-$H49), OFFSET(D.rngTPM.Q_I.Root, ($G48-1)*9, 0)) + MMULT(Y48:AG48*$H49, OFFSET(D.rngTPM.Q_I.Root, ($G48-1)*9, 12)))</f>
        <v>3.2558377180887847E-12</v>
      </c>
      <c r="Z49" s="285">
        <f ca="1"/>
        <v>5.64513774069033E-2</v>
      </c>
      <c r="AA49" s="285">
        <f ca="1"/>
        <v>3.5191109123424852E-2</v>
      </c>
      <c r="AB49" s="285">
        <f ca="1"/>
        <v>0</v>
      </c>
      <c r="AC49" s="285">
        <f ca="1"/>
        <v>0</v>
      </c>
      <c r="AD49" s="285">
        <f ca="1"/>
        <v>0</v>
      </c>
      <c r="AE49" s="285">
        <f ca="1"/>
        <v>9.4698722464130192E-2</v>
      </c>
      <c r="AF49" s="285">
        <f ca="1"/>
        <v>0</v>
      </c>
      <c r="AG49" s="285">
        <f ca="1"/>
        <v>0.81365879100228622</v>
      </c>
      <c r="AH49" s="283">
        <f t="shared" ca="1" si="32"/>
        <v>1.0000000000000004</v>
      </c>
      <c r="AI49" s="320">
        <f t="shared" ca="1" si="27"/>
        <v>0.18634120899771378</v>
      </c>
      <c r="AJ49" s="320">
        <f t="shared" ca="1" si="28"/>
        <v>5.64513774069033E-2</v>
      </c>
      <c r="AK49" s="320">
        <f t="shared" ca="1" si="29"/>
        <v>3.5191109123424852E-2</v>
      </c>
      <c r="AL49" s="418">
        <f t="shared" ca="1" si="20"/>
        <v>9.4698722464130192E-2</v>
      </c>
      <c r="AM49" s="418">
        <f ca="1">PRODUCT(Y48*(1-$H49), SUM(OFFSET(D.TPMs!$L$7:$M$7, ($G48-1)*9, 0), OFFSET(D.TPMs!$O$7:$P$7, ($G48-1)*9, 0)))
+PRODUCT(Y48*$H49,     SUM(OFFSET(D.TPMs!$L$7:$M$7, ($G48-1)*9, 12), OFFSET(D.TPMs!$O$7:$P$7, ($G48-1)*9, 12)))
+PRODUCT(AB48*(1-$H49), SUM(OFFSET(D.TPMs!$L$10:$M$10, ($G48-1)*9, 0), OFFSET(D.TPMs!$O$10:$P$10, ($G48-1)*9, 0)))
+PRODUCT(AB48*$H49,     SUM(OFFSET(D.TPMs!$L$10:$M$10, ($G48-1)*9, 12), OFFSET(D.TPMs!$O$10:$P$10, ($G48-1)*9, 12)))</f>
        <v>3.0202332346368526E-12</v>
      </c>
    </row>
    <row r="50" spans="2:39" ht="12" customHeight="1" x14ac:dyDescent="0.25">
      <c r="B50" s="321"/>
      <c r="D50" s="62">
        <f t="shared" si="30"/>
        <v>40</v>
      </c>
      <c r="E50" s="63">
        <f t="shared" si="21"/>
        <v>10</v>
      </c>
      <c r="F50" s="63">
        <f t="shared" si="22"/>
        <v>75</v>
      </c>
      <c r="G50" s="301">
        <f>MATCH(F50, Parameters!$D$523:$D$524, 1)</f>
        <v>2</v>
      </c>
      <c r="H50" s="62">
        <f t="shared" si="23"/>
        <v>1</v>
      </c>
      <c r="I50" s="285">
        <f t="array" aca="1" ref="I50:Q50" ca="1">IF($E50&gt;timeHorizon, 0, MMULT(I49:Q49*(1-$H50), OFFSET(D.rngTPM.Q_I.Root, ($G49-1)*9, 0)) + MMULT(I49:Q49*$H50, OFFSET(D.rngTPM.Q_I.Root, ($G49-1)*9, 12)))</f>
        <v>1.7252010023730065E-15</v>
      </c>
      <c r="J50" s="285">
        <f ca="1"/>
        <v>5.3216922074717982E-2</v>
      </c>
      <c r="K50" s="285">
        <f ca="1"/>
        <v>3.3174788605161341E-2</v>
      </c>
      <c r="L50" s="285">
        <f ca="1"/>
        <v>0</v>
      </c>
      <c r="M50" s="285">
        <f ca="1"/>
        <v>0</v>
      </c>
      <c r="N50" s="285">
        <f ca="1"/>
        <v>0</v>
      </c>
      <c r="O50" s="285">
        <f ca="1"/>
        <v>8.9272835590825023E-2</v>
      </c>
      <c r="P50" s="285">
        <f ca="1"/>
        <v>0</v>
      </c>
      <c r="Q50" s="285">
        <f ca="1"/>
        <v>0.82433545372929407</v>
      </c>
      <c r="R50" s="283">
        <f t="shared" ca="1" si="31"/>
        <v>1.0000000000000002</v>
      </c>
      <c r="S50" s="418">
        <f t="shared" ca="1" si="24"/>
        <v>0.17566454627070593</v>
      </c>
      <c r="T50" s="418">
        <f t="shared" ca="1" si="25"/>
        <v>5.3216922074717982E-2</v>
      </c>
      <c r="U50" s="418">
        <f t="shared" ca="1" si="26"/>
        <v>3.3174788605161341E-2</v>
      </c>
      <c r="V50" s="418">
        <f t="shared" ca="1" si="26"/>
        <v>8.9272835590825023E-2</v>
      </c>
      <c r="W50" s="418">
        <f ca="1">PRODUCT(I49*(1-$H50), SUM(OFFSET(D.TPMs!$L$7:$M$7, ($G49-1)*9, 0), OFFSET(D.TPMs!$O$7:$P$7, ($G49-1)*9, 0)))
+PRODUCT(I49*$H50,     SUM(OFFSET(D.TPMs!$L$7:$M$7, ($G49-1)*9, 12), OFFSET(D.TPMs!$O$7:$P$7, ($G49-1)*9, 12)))
+PRODUCT(L49*(1-$H50), SUM(OFFSET(D.TPMs!$L$10:$M$10, ($G49-1)*9, 0), OFFSET(D.TPMs!$O$10:$P$10, ($G49-1)*9, 0)))
+PRODUCT(L49*$H50,     SUM(OFFSET(D.TPMs!$L$10:$M$10, ($G49-1)*9, 12), OFFSET(D.TPMs!$O$10:$P$10, ($G49-1)*9, 12)))</f>
        <v>2.2039783379492585E-15</v>
      </c>
      <c r="Y50" s="285">
        <f t="array" aca="1" ref="Y50:AG50" ca="1">IF($E50&gt;timeHorizon, 0, MMULT(Y49:AG49*(1-$H50), OFFSET(D.rngTPM.Q_I.Root, ($G49-1)*9, 0)) + MMULT(Y49:AG49*$H50, OFFSET(D.rngTPM.Q_I.Root, ($G49-1)*9, 12)))</f>
        <v>1.6524017303453743E-12</v>
      </c>
      <c r="Z50" s="285">
        <f ca="1"/>
        <v>5.4040232751352148E-2</v>
      </c>
      <c r="AA50" s="285">
        <f ca="1"/>
        <v>3.3688030570101779E-2</v>
      </c>
      <c r="AB50" s="285">
        <f ca="1"/>
        <v>0</v>
      </c>
      <c r="AC50" s="285">
        <f ca="1"/>
        <v>0</v>
      </c>
      <c r="AD50" s="285">
        <f ca="1"/>
        <v>0</v>
      </c>
      <c r="AE50" s="285">
        <f ca="1"/>
        <v>9.0653961663549248E-2</v>
      </c>
      <c r="AF50" s="285">
        <f ca="1"/>
        <v>0</v>
      </c>
      <c r="AG50" s="285">
        <f ca="1"/>
        <v>0.82161777501334488</v>
      </c>
      <c r="AH50" s="283">
        <f t="shared" ca="1" si="32"/>
        <v>1.0000000000000004</v>
      </c>
      <c r="AI50" s="320">
        <f t="shared" ca="1" si="27"/>
        <v>0.17838222498665512</v>
      </c>
      <c r="AJ50" s="320">
        <f t="shared" ca="1" si="28"/>
        <v>5.4040232751352148E-2</v>
      </c>
      <c r="AK50" s="320">
        <f t="shared" ca="1" si="29"/>
        <v>3.3688030570101779E-2</v>
      </c>
      <c r="AL50" s="418">
        <f t="shared" ca="1" si="20"/>
        <v>9.0653961663549248E-2</v>
      </c>
      <c r="AM50" s="418">
        <f ca="1">PRODUCT(Y49*(1-$H50), SUM(OFFSET(D.TPMs!$L$7:$M$7, ($G49-1)*9, 0), OFFSET(D.TPMs!$O$7:$P$7, ($G49-1)*9, 0)))
+PRODUCT(Y49*$H50,     SUM(OFFSET(D.TPMs!$L$7:$M$7, ($G49-1)*9, 12), OFFSET(D.TPMs!$O$7:$P$7, ($G49-1)*9, 12)))
+PRODUCT(AB49*(1-$H50), SUM(OFFSET(D.TPMs!$L$10:$M$10, ($G49-1)*9, 0), OFFSET(D.TPMs!$O$10:$P$10, ($G49-1)*9, 0)))
+PRODUCT(AB49*$H50,     SUM(OFFSET(D.TPMs!$L$10:$M$10, ($G49-1)*9, 12), OFFSET(D.TPMs!$O$10:$P$10, ($G49-1)*9, 12)))</f>
        <v>1.5328278173182741E-12</v>
      </c>
    </row>
    <row r="51" spans="2:39" ht="12" customHeight="1" x14ac:dyDescent="0.25">
      <c r="B51" s="321"/>
      <c r="D51" s="62">
        <f t="shared" si="30"/>
        <v>41</v>
      </c>
      <c r="E51" s="63">
        <f t="shared" si="21"/>
        <v>10.25</v>
      </c>
      <c r="F51" s="63">
        <f t="shared" si="22"/>
        <v>75.25</v>
      </c>
      <c r="G51" s="301">
        <f>MATCH(F51, Parameters!$D$523:$D$524, 1)</f>
        <v>2</v>
      </c>
      <c r="H51" s="62">
        <f t="shared" si="23"/>
        <v>0</v>
      </c>
      <c r="I51" s="285">
        <f t="array" aca="1" ref="I51:Q51" ca="1">IF($E51&gt;timeHorizon, 0, MMULT(I50:Q50*(1-$H51), OFFSET(D.rngTPM.Q_I.Root, ($G50-1)*9, 0)) + MMULT(I50:Q50*$H51, OFFSET(D.rngTPM.Q_I.Root, ($G50-1)*9, 12)))</f>
        <v>0</v>
      </c>
      <c r="J51" s="285">
        <f ca="1"/>
        <v>0</v>
      </c>
      <c r="K51" s="285">
        <f ca="1"/>
        <v>0</v>
      </c>
      <c r="L51" s="285">
        <f ca="1"/>
        <v>0</v>
      </c>
      <c r="M51" s="285">
        <f ca="1"/>
        <v>0</v>
      </c>
      <c r="N51" s="285">
        <f ca="1"/>
        <v>0</v>
      </c>
      <c r="O51" s="285">
        <f ca="1"/>
        <v>0</v>
      </c>
      <c r="P51" s="285">
        <f ca="1"/>
        <v>0</v>
      </c>
      <c r="Q51" s="285">
        <f ca="1"/>
        <v>0</v>
      </c>
      <c r="R51" s="283" t="str">
        <f t="shared" si="31"/>
        <v/>
      </c>
      <c r="S51" s="418">
        <f t="shared" ca="1" si="24"/>
        <v>1</v>
      </c>
      <c r="T51" s="418">
        <f t="shared" ca="1" si="25"/>
        <v>0</v>
      </c>
      <c r="U51" s="418">
        <f t="shared" ca="1" si="26"/>
        <v>0</v>
      </c>
      <c r="V51" s="418">
        <f t="shared" ca="1" si="26"/>
        <v>0</v>
      </c>
      <c r="W51" s="418">
        <f ca="1">PRODUCT(I50*(1-$H51), SUM(OFFSET(D.TPMs!$L$7:$M$7, ($G50-1)*9, 0), OFFSET(D.TPMs!$O$7:$P$7, ($G50-1)*9, 0)))
+PRODUCT(I50*$H51,     SUM(OFFSET(D.TPMs!$L$7:$M$7, ($G50-1)*9, 12), OFFSET(D.TPMs!$O$7:$P$7, ($G50-1)*9, 12)))
+PRODUCT(L50*(1-$H51), SUM(OFFSET(D.TPMs!$L$10:$M$10, ($G50-1)*9, 0), OFFSET(D.TPMs!$O$10:$P$10, ($G50-1)*9, 0)))
+PRODUCT(L50*$H51,     SUM(OFFSET(D.TPMs!$L$10:$M$10, ($G50-1)*9, 12), OFFSET(D.TPMs!$O$10:$P$10, ($G50-1)*9, 12)))</f>
        <v>8.8056043730145601E-16</v>
      </c>
      <c r="Y51" s="285">
        <f t="array" aca="1" ref="Y51:AG51" ca="1">IF($E51&gt;timeHorizon, 0, MMULT(Y50:AG50*(1-$H51), OFFSET(D.rngTPM.Q_I.Root, ($G50-1)*9, 0)) + MMULT(Y50:AG50*$H51, OFFSET(D.rngTPM.Q_I.Root, ($G50-1)*9, 12)))</f>
        <v>0</v>
      </c>
      <c r="Z51" s="285">
        <f ca="1"/>
        <v>0</v>
      </c>
      <c r="AA51" s="285">
        <f ca="1"/>
        <v>0</v>
      </c>
      <c r="AB51" s="285">
        <f ca="1"/>
        <v>0</v>
      </c>
      <c r="AC51" s="285">
        <f ca="1"/>
        <v>0</v>
      </c>
      <c r="AD51" s="285">
        <f ca="1"/>
        <v>0</v>
      </c>
      <c r="AE51" s="285">
        <f ca="1"/>
        <v>0</v>
      </c>
      <c r="AF51" s="285">
        <f ca="1"/>
        <v>0</v>
      </c>
      <c r="AG51" s="285">
        <f ca="1"/>
        <v>0</v>
      </c>
      <c r="AH51" s="283" t="str">
        <f t="shared" si="32"/>
        <v/>
      </c>
      <c r="AI51" s="320">
        <f t="shared" ca="1" si="27"/>
        <v>1</v>
      </c>
      <c r="AJ51" s="320">
        <f t="shared" ca="1" si="28"/>
        <v>0</v>
      </c>
      <c r="AK51" s="320">
        <f t="shared" ca="1" si="29"/>
        <v>0</v>
      </c>
      <c r="AL51" s="418">
        <f t="shared" ca="1" si="20"/>
        <v>0</v>
      </c>
      <c r="AM51" s="418">
        <f ca="1">PRODUCT(Y50*(1-$H51), SUM(OFFSET(D.TPMs!$L$7:$M$7, ($G50-1)*9, 0), OFFSET(D.TPMs!$O$7:$P$7, ($G50-1)*9, 0)))
+PRODUCT(Y50*$H51,     SUM(OFFSET(D.TPMs!$L$7:$M$7, ($G50-1)*9, 12), OFFSET(D.TPMs!$O$7:$P$7, ($G50-1)*9, 12)))
+PRODUCT(AB50*(1-$H51), SUM(OFFSET(D.TPMs!$L$10:$M$10, ($G50-1)*9, 0), OFFSET(D.TPMs!$O$10:$P$10, ($G50-1)*9, 0)))
+PRODUCT(AB50*$H51,     SUM(OFFSET(D.TPMs!$L$10:$M$10, ($G50-1)*9, 12), OFFSET(D.TPMs!$O$10:$P$10, ($G50-1)*9, 12)))</f>
        <v>8.4340293581397458E-13</v>
      </c>
    </row>
    <row r="52" spans="2:39" ht="12" customHeight="1" x14ac:dyDescent="0.25">
      <c r="D52" s="62">
        <f t="shared" si="30"/>
        <v>42</v>
      </c>
      <c r="E52" s="63">
        <f t="shared" si="21"/>
        <v>10.5</v>
      </c>
      <c r="F52" s="63">
        <f t="shared" si="22"/>
        <v>75.5</v>
      </c>
      <c r="G52" s="301">
        <f>MATCH(F52, Parameters!$D$523:$D$524, 1)</f>
        <v>2</v>
      </c>
      <c r="H52" s="62">
        <f t="shared" si="23"/>
        <v>0</v>
      </c>
      <c r="I52" s="285">
        <f t="array" aca="1" ref="I52:Q52" ca="1">IF($E52&gt;timeHorizon, 0, MMULT(I51:Q51*(1-$H52), OFFSET(D.rngTPM.Q_I.Root, ($G51-1)*9, 0)) + MMULT(I51:Q51*$H52, OFFSET(D.rngTPM.Q_I.Root, ($G51-1)*9, 12)))</f>
        <v>0</v>
      </c>
      <c r="J52" s="285">
        <f ca="1"/>
        <v>0</v>
      </c>
      <c r="K52" s="285">
        <f ca="1"/>
        <v>0</v>
      </c>
      <c r="L52" s="285">
        <f ca="1"/>
        <v>0</v>
      </c>
      <c r="M52" s="285">
        <f ca="1"/>
        <v>0</v>
      </c>
      <c r="N52" s="285">
        <f ca="1"/>
        <v>0</v>
      </c>
      <c r="O52" s="285">
        <f ca="1"/>
        <v>0</v>
      </c>
      <c r="P52" s="285">
        <f ca="1"/>
        <v>0</v>
      </c>
      <c r="Q52" s="285">
        <f ca="1"/>
        <v>0</v>
      </c>
      <c r="R52" s="283" t="str">
        <f t="shared" si="31"/>
        <v/>
      </c>
      <c r="S52" s="418">
        <f t="shared" ca="1" si="24"/>
        <v>1</v>
      </c>
      <c r="T52" s="418">
        <f t="shared" ca="1" si="25"/>
        <v>0</v>
      </c>
      <c r="U52" s="418">
        <f t="shared" ca="1" si="26"/>
        <v>0</v>
      </c>
      <c r="V52" s="418">
        <f t="shared" ca="1" si="26"/>
        <v>0</v>
      </c>
      <c r="W52" s="418">
        <f ca="1">PRODUCT(I51*(1-$H52), SUM(OFFSET(D.TPMs!$L$7:$M$7, ($G51-1)*9, 0), OFFSET(D.TPMs!$O$7:$P$7, ($G51-1)*9, 0)))
+PRODUCT(I51*$H52,     SUM(OFFSET(D.TPMs!$L$7:$M$7, ($G51-1)*9, 12), OFFSET(D.TPMs!$O$7:$P$7, ($G51-1)*9, 12)))
+PRODUCT(L51*(1-$H52), SUM(OFFSET(D.TPMs!$L$10:$M$10, ($G51-1)*9, 0), OFFSET(D.TPMs!$O$10:$P$10, ($G51-1)*9, 0)))
+PRODUCT(L51*$H52,     SUM(OFFSET(D.TPMs!$L$10:$M$10, ($G51-1)*9, 12), OFFSET(D.TPMs!$O$10:$P$10, ($G51-1)*9, 12)))</f>
        <v>0</v>
      </c>
      <c r="Y52" s="285">
        <f t="array" aca="1" ref="Y52:AG52" ca="1">IF($E52&gt;timeHorizon, 0, MMULT(Y51:AG51*(1-$H52), OFFSET(D.rngTPM.Q_I.Root, ($G51-1)*9, 0)) + MMULT(Y51:AG51*$H52, OFFSET(D.rngTPM.Q_I.Root, ($G51-1)*9, 12)))</f>
        <v>0</v>
      </c>
      <c r="Z52" s="285">
        <f ca="1"/>
        <v>0</v>
      </c>
      <c r="AA52" s="285">
        <f ca="1"/>
        <v>0</v>
      </c>
      <c r="AB52" s="285">
        <f ca="1"/>
        <v>0</v>
      </c>
      <c r="AC52" s="285">
        <f ca="1"/>
        <v>0</v>
      </c>
      <c r="AD52" s="285">
        <f ca="1"/>
        <v>0</v>
      </c>
      <c r="AE52" s="285">
        <f ca="1"/>
        <v>0</v>
      </c>
      <c r="AF52" s="285">
        <f ca="1"/>
        <v>0</v>
      </c>
      <c r="AG52" s="285">
        <f ca="1"/>
        <v>0</v>
      </c>
      <c r="AH52" s="283" t="str">
        <f t="shared" si="32"/>
        <v/>
      </c>
      <c r="AI52" s="320">
        <f t="shared" ca="1" si="27"/>
        <v>1</v>
      </c>
      <c r="AJ52" s="320">
        <f t="shared" ca="1" si="28"/>
        <v>0</v>
      </c>
      <c r="AK52" s="320">
        <f t="shared" ca="1" si="29"/>
        <v>0</v>
      </c>
      <c r="AL52" s="418">
        <f t="shared" ca="1" si="20"/>
        <v>0</v>
      </c>
      <c r="AM52" s="418">
        <f ca="1">PRODUCT(Y51*(1-$H52), SUM(OFFSET(D.TPMs!$L$7:$M$7, ($G51-1)*9, 0), OFFSET(D.TPMs!$O$7:$P$7, ($G51-1)*9, 0)))
+PRODUCT(Y51*$H52,     SUM(OFFSET(D.TPMs!$L$7:$M$7, ($G51-1)*9, 12), OFFSET(D.TPMs!$O$7:$P$7, ($G51-1)*9, 12)))
+PRODUCT(AB51*(1-$H52), SUM(OFFSET(D.TPMs!$L$10:$M$10, ($G51-1)*9, 0), OFFSET(D.TPMs!$O$10:$P$10, ($G51-1)*9, 0)))
+PRODUCT(AB51*$H52,     SUM(OFFSET(D.TPMs!$L$10:$M$10, ($G51-1)*9, 12), OFFSET(D.TPMs!$O$10:$P$10, ($G51-1)*9, 12)))</f>
        <v>0</v>
      </c>
    </row>
    <row r="53" spans="2:39" ht="12" customHeight="1" x14ac:dyDescent="0.25">
      <c r="D53" s="62">
        <f t="shared" si="30"/>
        <v>43</v>
      </c>
      <c r="E53" s="63">
        <f t="shared" si="21"/>
        <v>10.75</v>
      </c>
      <c r="F53" s="63">
        <f t="shared" si="22"/>
        <v>75.75</v>
      </c>
      <c r="G53" s="301">
        <f>MATCH(F53, Parameters!$D$523:$D$524, 1)</f>
        <v>2</v>
      </c>
      <c r="H53" s="62">
        <f t="shared" si="23"/>
        <v>0</v>
      </c>
      <c r="I53" s="285">
        <f t="array" aca="1" ref="I53:Q53" ca="1">IF($E53&gt;timeHorizon, 0, MMULT(I52:Q52*(1-$H53), OFFSET(D.rngTPM.Q_I.Root, ($G52-1)*9, 0)) + MMULT(I52:Q52*$H53, OFFSET(D.rngTPM.Q_I.Root, ($G52-1)*9, 12)))</f>
        <v>0</v>
      </c>
      <c r="J53" s="285">
        <f ca="1"/>
        <v>0</v>
      </c>
      <c r="K53" s="285">
        <f ca="1"/>
        <v>0</v>
      </c>
      <c r="L53" s="285">
        <f ca="1"/>
        <v>0</v>
      </c>
      <c r="M53" s="285">
        <f ca="1"/>
        <v>0</v>
      </c>
      <c r="N53" s="285">
        <f ca="1"/>
        <v>0</v>
      </c>
      <c r="O53" s="285">
        <f ca="1"/>
        <v>0</v>
      </c>
      <c r="P53" s="285">
        <f ca="1"/>
        <v>0</v>
      </c>
      <c r="Q53" s="285">
        <f ca="1"/>
        <v>0</v>
      </c>
      <c r="R53" s="283" t="str">
        <f t="shared" si="31"/>
        <v/>
      </c>
      <c r="S53" s="418">
        <f t="shared" ca="1" si="24"/>
        <v>1</v>
      </c>
      <c r="T53" s="418">
        <f t="shared" ca="1" si="25"/>
        <v>0</v>
      </c>
      <c r="U53" s="418">
        <f t="shared" ca="1" si="26"/>
        <v>0</v>
      </c>
      <c r="V53" s="418">
        <f t="shared" ca="1" si="26"/>
        <v>0</v>
      </c>
      <c r="W53" s="418">
        <f ca="1">PRODUCT(I52*(1-$H53), SUM(OFFSET(D.TPMs!$L$7:$M$7, ($G52-1)*9, 0), OFFSET(D.TPMs!$O$7:$P$7, ($G52-1)*9, 0)))
+PRODUCT(I52*$H53,     SUM(OFFSET(D.TPMs!$L$7:$M$7, ($G52-1)*9, 12), OFFSET(D.TPMs!$O$7:$P$7, ($G52-1)*9, 12)))
+PRODUCT(L52*(1-$H53), SUM(OFFSET(D.TPMs!$L$10:$M$10, ($G52-1)*9, 0), OFFSET(D.TPMs!$O$10:$P$10, ($G52-1)*9, 0)))
+PRODUCT(L52*$H53,     SUM(OFFSET(D.TPMs!$L$10:$M$10, ($G52-1)*9, 12), OFFSET(D.TPMs!$O$10:$P$10, ($G52-1)*9, 12)))</f>
        <v>0</v>
      </c>
      <c r="Y53" s="285">
        <f t="array" aca="1" ref="Y53:AG53" ca="1">IF($E53&gt;timeHorizon, 0, MMULT(Y52:AG52*(1-$H53), OFFSET(D.rngTPM.Q_I.Root, ($G52-1)*9, 0)) + MMULT(Y52:AG52*$H53, OFFSET(D.rngTPM.Q_I.Root, ($G52-1)*9, 12)))</f>
        <v>0</v>
      </c>
      <c r="Z53" s="285">
        <f ca="1"/>
        <v>0</v>
      </c>
      <c r="AA53" s="285">
        <f ca="1"/>
        <v>0</v>
      </c>
      <c r="AB53" s="285">
        <f ca="1"/>
        <v>0</v>
      </c>
      <c r="AC53" s="285">
        <f ca="1"/>
        <v>0</v>
      </c>
      <c r="AD53" s="285">
        <f ca="1"/>
        <v>0</v>
      </c>
      <c r="AE53" s="285">
        <f ca="1"/>
        <v>0</v>
      </c>
      <c r="AF53" s="285">
        <f ca="1"/>
        <v>0</v>
      </c>
      <c r="AG53" s="285">
        <f ca="1"/>
        <v>0</v>
      </c>
      <c r="AH53" s="283" t="str">
        <f t="shared" si="32"/>
        <v/>
      </c>
      <c r="AI53" s="320">
        <f t="shared" ca="1" si="27"/>
        <v>1</v>
      </c>
      <c r="AJ53" s="320">
        <f t="shared" ca="1" si="28"/>
        <v>0</v>
      </c>
      <c r="AK53" s="320">
        <f t="shared" ca="1" si="29"/>
        <v>0</v>
      </c>
      <c r="AL53" s="418">
        <f t="shared" ca="1" si="20"/>
        <v>0</v>
      </c>
      <c r="AM53" s="418">
        <f ca="1">PRODUCT(Y52*(1-$H53), SUM(OFFSET(D.TPMs!$L$7:$M$7, ($G52-1)*9, 0), OFFSET(D.TPMs!$O$7:$P$7, ($G52-1)*9, 0)))
+PRODUCT(Y52*$H53,     SUM(OFFSET(D.TPMs!$L$7:$M$7, ($G52-1)*9, 12), OFFSET(D.TPMs!$O$7:$P$7, ($G52-1)*9, 12)))
+PRODUCT(AB52*(1-$H53), SUM(OFFSET(D.TPMs!$L$10:$M$10, ($G52-1)*9, 0), OFFSET(D.TPMs!$O$10:$P$10, ($G52-1)*9, 0)))
+PRODUCT(AB52*$H53,     SUM(OFFSET(D.TPMs!$L$10:$M$10, ($G52-1)*9, 12), OFFSET(D.TPMs!$O$10:$P$10, ($G52-1)*9, 12)))</f>
        <v>0</v>
      </c>
    </row>
    <row r="54" spans="2:39" ht="12" customHeight="1" x14ac:dyDescent="0.25">
      <c r="D54" s="62">
        <f t="shared" si="30"/>
        <v>44</v>
      </c>
      <c r="E54" s="63">
        <f t="shared" si="21"/>
        <v>11</v>
      </c>
      <c r="F54" s="63">
        <f t="shared" si="22"/>
        <v>76</v>
      </c>
      <c r="G54" s="301">
        <f>MATCH(F54, Parameters!$D$523:$D$524, 1)</f>
        <v>2</v>
      </c>
      <c r="H54" s="62">
        <f t="shared" si="23"/>
        <v>0</v>
      </c>
      <c r="I54" s="285">
        <f t="array" aca="1" ref="I54:Q54" ca="1">IF($E54&gt;timeHorizon, 0, MMULT(I53:Q53*(1-$H54), OFFSET(D.rngTPM.Q_I.Root, ($G53-1)*9, 0)) + MMULT(I53:Q53*$H54, OFFSET(D.rngTPM.Q_I.Root, ($G53-1)*9, 12)))</f>
        <v>0</v>
      </c>
      <c r="J54" s="285">
        <f ca="1"/>
        <v>0</v>
      </c>
      <c r="K54" s="285">
        <f ca="1"/>
        <v>0</v>
      </c>
      <c r="L54" s="285">
        <f ca="1"/>
        <v>0</v>
      </c>
      <c r="M54" s="285">
        <f ca="1"/>
        <v>0</v>
      </c>
      <c r="N54" s="285">
        <f ca="1"/>
        <v>0</v>
      </c>
      <c r="O54" s="285">
        <f ca="1"/>
        <v>0</v>
      </c>
      <c r="P54" s="285">
        <f ca="1"/>
        <v>0</v>
      </c>
      <c r="Q54" s="285">
        <f ca="1"/>
        <v>0</v>
      </c>
      <c r="R54" s="283" t="str">
        <f t="shared" si="31"/>
        <v/>
      </c>
      <c r="S54" s="418">
        <f t="shared" ca="1" si="24"/>
        <v>1</v>
      </c>
      <c r="T54" s="418">
        <f t="shared" ca="1" si="25"/>
        <v>0</v>
      </c>
      <c r="U54" s="418">
        <f t="shared" ca="1" si="26"/>
        <v>0</v>
      </c>
      <c r="V54" s="418">
        <f t="shared" ca="1" si="26"/>
        <v>0</v>
      </c>
      <c r="W54" s="418">
        <f ca="1">PRODUCT(I53*(1-$H54), SUM(OFFSET(D.TPMs!$L$7:$M$7, ($G53-1)*9, 0), OFFSET(D.TPMs!$O$7:$P$7, ($G53-1)*9, 0)))
+PRODUCT(I53*$H54,     SUM(OFFSET(D.TPMs!$L$7:$M$7, ($G53-1)*9, 12), OFFSET(D.TPMs!$O$7:$P$7, ($G53-1)*9, 12)))
+PRODUCT(L53*(1-$H54), SUM(OFFSET(D.TPMs!$L$10:$M$10, ($G53-1)*9, 0), OFFSET(D.TPMs!$O$10:$P$10, ($G53-1)*9, 0)))
+PRODUCT(L53*$H54,     SUM(OFFSET(D.TPMs!$L$10:$M$10, ($G53-1)*9, 12), OFFSET(D.TPMs!$O$10:$P$10, ($G53-1)*9, 12)))</f>
        <v>0</v>
      </c>
      <c r="Y54" s="285">
        <f t="array" aca="1" ref="Y54:AG54" ca="1">IF($E54&gt;timeHorizon, 0, MMULT(Y53:AG53*(1-$H54), OFFSET(D.rngTPM.Q_I.Root, ($G53-1)*9, 0)) + MMULT(Y53:AG53*$H54, OFFSET(D.rngTPM.Q_I.Root, ($G53-1)*9, 12)))</f>
        <v>0</v>
      </c>
      <c r="Z54" s="285">
        <f ca="1"/>
        <v>0</v>
      </c>
      <c r="AA54" s="285">
        <f ca="1"/>
        <v>0</v>
      </c>
      <c r="AB54" s="285">
        <f ca="1"/>
        <v>0</v>
      </c>
      <c r="AC54" s="285">
        <f ca="1"/>
        <v>0</v>
      </c>
      <c r="AD54" s="285">
        <f ca="1"/>
        <v>0</v>
      </c>
      <c r="AE54" s="285">
        <f ca="1"/>
        <v>0</v>
      </c>
      <c r="AF54" s="285">
        <f ca="1"/>
        <v>0</v>
      </c>
      <c r="AG54" s="285">
        <f ca="1"/>
        <v>0</v>
      </c>
      <c r="AH54" s="283" t="str">
        <f t="shared" si="32"/>
        <v/>
      </c>
      <c r="AI54" s="320">
        <f t="shared" ca="1" si="27"/>
        <v>1</v>
      </c>
      <c r="AJ54" s="320">
        <f t="shared" ca="1" si="28"/>
        <v>0</v>
      </c>
      <c r="AK54" s="320">
        <f t="shared" ca="1" si="29"/>
        <v>0</v>
      </c>
      <c r="AL54" s="418">
        <f t="shared" ca="1" si="20"/>
        <v>0</v>
      </c>
      <c r="AM54" s="418">
        <f ca="1">PRODUCT(Y53*(1-$H54), SUM(OFFSET(D.TPMs!$L$7:$M$7, ($G53-1)*9, 0), OFFSET(D.TPMs!$O$7:$P$7, ($G53-1)*9, 0)))
+PRODUCT(Y53*$H54,     SUM(OFFSET(D.TPMs!$L$7:$M$7, ($G53-1)*9, 12), OFFSET(D.TPMs!$O$7:$P$7, ($G53-1)*9, 12)))
+PRODUCT(AB53*(1-$H54), SUM(OFFSET(D.TPMs!$L$10:$M$10, ($G53-1)*9, 0), OFFSET(D.TPMs!$O$10:$P$10, ($G53-1)*9, 0)))
+PRODUCT(AB53*$H54,     SUM(OFFSET(D.TPMs!$L$10:$M$10, ($G53-1)*9, 12), OFFSET(D.TPMs!$O$10:$P$10, ($G53-1)*9, 12)))</f>
        <v>0</v>
      </c>
    </row>
    <row r="55" spans="2:39" ht="12" customHeight="1" x14ac:dyDescent="0.25">
      <c r="D55" s="62">
        <f t="shared" si="30"/>
        <v>45</v>
      </c>
      <c r="E55" s="63">
        <f t="shared" si="21"/>
        <v>11.25</v>
      </c>
      <c r="F55" s="63">
        <f t="shared" si="22"/>
        <v>76.25</v>
      </c>
      <c r="G55" s="301">
        <f>MATCH(F55, Parameters!$D$523:$D$524, 1)</f>
        <v>2</v>
      </c>
      <c r="H55" s="62">
        <f t="shared" si="23"/>
        <v>0</v>
      </c>
      <c r="I55" s="285">
        <f t="array" aca="1" ref="I55:Q55" ca="1">IF($E55&gt;timeHorizon, 0, MMULT(I54:Q54*(1-$H55), OFFSET(D.rngTPM.Q_I.Root, ($G54-1)*9, 0)) + MMULT(I54:Q54*$H55, OFFSET(D.rngTPM.Q_I.Root, ($G54-1)*9, 12)))</f>
        <v>0</v>
      </c>
      <c r="J55" s="285">
        <f ca="1"/>
        <v>0</v>
      </c>
      <c r="K55" s="285">
        <f ca="1"/>
        <v>0</v>
      </c>
      <c r="L55" s="285">
        <f ca="1"/>
        <v>0</v>
      </c>
      <c r="M55" s="285">
        <f ca="1"/>
        <v>0</v>
      </c>
      <c r="N55" s="285">
        <f ca="1"/>
        <v>0</v>
      </c>
      <c r="O55" s="285">
        <f ca="1"/>
        <v>0</v>
      </c>
      <c r="P55" s="285">
        <f ca="1"/>
        <v>0</v>
      </c>
      <c r="Q55" s="285">
        <f ca="1"/>
        <v>0</v>
      </c>
      <c r="R55" s="283" t="str">
        <f t="shared" si="31"/>
        <v/>
      </c>
      <c r="S55" s="418">
        <f t="shared" ca="1" si="24"/>
        <v>1</v>
      </c>
      <c r="T55" s="418">
        <f t="shared" ca="1" si="25"/>
        <v>0</v>
      </c>
      <c r="U55" s="418">
        <f t="shared" ca="1" si="26"/>
        <v>0</v>
      </c>
      <c r="V55" s="418">
        <f t="shared" ca="1" si="26"/>
        <v>0</v>
      </c>
      <c r="W55" s="418">
        <f ca="1">PRODUCT(I54*(1-$H55), SUM(OFFSET(D.TPMs!$L$7:$M$7, ($G54-1)*9, 0), OFFSET(D.TPMs!$O$7:$P$7, ($G54-1)*9, 0)))
+PRODUCT(I54*$H55,     SUM(OFFSET(D.TPMs!$L$7:$M$7, ($G54-1)*9, 12), OFFSET(D.TPMs!$O$7:$P$7, ($G54-1)*9, 12)))
+PRODUCT(L54*(1-$H55), SUM(OFFSET(D.TPMs!$L$10:$M$10, ($G54-1)*9, 0), OFFSET(D.TPMs!$O$10:$P$10, ($G54-1)*9, 0)))
+PRODUCT(L54*$H55,     SUM(OFFSET(D.TPMs!$L$10:$M$10, ($G54-1)*9, 12), OFFSET(D.TPMs!$O$10:$P$10, ($G54-1)*9, 12)))</f>
        <v>0</v>
      </c>
      <c r="Y55" s="285">
        <f t="array" aca="1" ref="Y55:AG55" ca="1">IF($E55&gt;timeHorizon, 0, MMULT(Y54:AG54*(1-$H55), OFFSET(D.rngTPM.Q_I.Root, ($G54-1)*9, 0)) + MMULT(Y54:AG54*$H55, OFFSET(D.rngTPM.Q_I.Root, ($G54-1)*9, 12)))</f>
        <v>0</v>
      </c>
      <c r="Z55" s="285">
        <f ca="1"/>
        <v>0</v>
      </c>
      <c r="AA55" s="285">
        <f ca="1"/>
        <v>0</v>
      </c>
      <c r="AB55" s="285">
        <f ca="1"/>
        <v>0</v>
      </c>
      <c r="AC55" s="285">
        <f ca="1"/>
        <v>0</v>
      </c>
      <c r="AD55" s="285">
        <f ca="1"/>
        <v>0</v>
      </c>
      <c r="AE55" s="285">
        <f ca="1"/>
        <v>0</v>
      </c>
      <c r="AF55" s="285">
        <f ca="1"/>
        <v>0</v>
      </c>
      <c r="AG55" s="285">
        <f ca="1"/>
        <v>0</v>
      </c>
      <c r="AH55" s="283" t="str">
        <f t="shared" si="32"/>
        <v/>
      </c>
      <c r="AI55" s="320">
        <f t="shared" ca="1" si="27"/>
        <v>1</v>
      </c>
      <c r="AJ55" s="320">
        <f t="shared" ca="1" si="28"/>
        <v>0</v>
      </c>
      <c r="AK55" s="320">
        <f t="shared" ca="1" si="29"/>
        <v>0</v>
      </c>
      <c r="AL55" s="418">
        <f t="shared" ca="1" si="20"/>
        <v>0</v>
      </c>
      <c r="AM55" s="418">
        <f ca="1">PRODUCT(Y54*(1-$H55), SUM(OFFSET(D.TPMs!$L$7:$M$7, ($G54-1)*9, 0), OFFSET(D.TPMs!$O$7:$P$7, ($G54-1)*9, 0)))
+PRODUCT(Y54*$H55,     SUM(OFFSET(D.TPMs!$L$7:$M$7, ($G54-1)*9, 12), OFFSET(D.TPMs!$O$7:$P$7, ($G54-1)*9, 12)))
+PRODUCT(AB54*(1-$H55), SUM(OFFSET(D.TPMs!$L$10:$M$10, ($G54-1)*9, 0), OFFSET(D.TPMs!$O$10:$P$10, ($G54-1)*9, 0)))
+PRODUCT(AB54*$H55,     SUM(OFFSET(D.TPMs!$L$10:$M$10, ($G54-1)*9, 12), OFFSET(D.TPMs!$O$10:$P$10, ($G54-1)*9, 12)))</f>
        <v>0</v>
      </c>
    </row>
    <row r="56" spans="2:39" ht="12" customHeight="1" x14ac:dyDescent="0.25">
      <c r="D56" s="62">
        <f t="shared" si="30"/>
        <v>46</v>
      </c>
      <c r="E56" s="63">
        <f t="shared" si="21"/>
        <v>11.5</v>
      </c>
      <c r="F56" s="63">
        <f t="shared" si="22"/>
        <v>76.5</v>
      </c>
      <c r="G56" s="301">
        <f>MATCH(F56, Parameters!$D$523:$D$524, 1)</f>
        <v>2</v>
      </c>
      <c r="H56" s="62">
        <f t="shared" si="23"/>
        <v>0</v>
      </c>
      <c r="I56" s="285">
        <f t="array" aca="1" ref="I56:Q56" ca="1">IF($E56&gt;timeHorizon, 0, MMULT(I55:Q55*(1-$H56), OFFSET(D.rngTPM.Q_I.Root, ($G55-1)*9, 0)) + MMULT(I55:Q55*$H56, OFFSET(D.rngTPM.Q_I.Root, ($G55-1)*9, 12)))</f>
        <v>0</v>
      </c>
      <c r="J56" s="285">
        <f ca="1"/>
        <v>0</v>
      </c>
      <c r="K56" s="285">
        <f ca="1"/>
        <v>0</v>
      </c>
      <c r="L56" s="285">
        <f ca="1"/>
        <v>0</v>
      </c>
      <c r="M56" s="285">
        <f ca="1"/>
        <v>0</v>
      </c>
      <c r="N56" s="285">
        <f ca="1"/>
        <v>0</v>
      </c>
      <c r="O56" s="285">
        <f ca="1"/>
        <v>0</v>
      </c>
      <c r="P56" s="285">
        <f ca="1"/>
        <v>0</v>
      </c>
      <c r="Q56" s="285">
        <f ca="1"/>
        <v>0</v>
      </c>
      <c r="R56" s="283" t="str">
        <f t="shared" si="31"/>
        <v/>
      </c>
      <c r="S56" s="418">
        <f t="shared" ca="1" si="24"/>
        <v>1</v>
      </c>
      <c r="T56" s="418">
        <f t="shared" ca="1" si="25"/>
        <v>0</v>
      </c>
      <c r="U56" s="418">
        <f t="shared" ca="1" si="26"/>
        <v>0</v>
      </c>
      <c r="V56" s="418">
        <f t="shared" ca="1" si="26"/>
        <v>0</v>
      </c>
      <c r="W56" s="418">
        <f ca="1">PRODUCT(I55*(1-$H56), SUM(OFFSET(D.TPMs!$L$7:$M$7, ($G55-1)*9, 0), OFFSET(D.TPMs!$O$7:$P$7, ($G55-1)*9, 0)))
+PRODUCT(I55*$H56,     SUM(OFFSET(D.TPMs!$L$7:$M$7, ($G55-1)*9, 12), OFFSET(D.TPMs!$O$7:$P$7, ($G55-1)*9, 12)))
+PRODUCT(L55*(1-$H56), SUM(OFFSET(D.TPMs!$L$10:$M$10, ($G55-1)*9, 0), OFFSET(D.TPMs!$O$10:$P$10, ($G55-1)*9, 0)))
+PRODUCT(L55*$H56,     SUM(OFFSET(D.TPMs!$L$10:$M$10, ($G55-1)*9, 12), OFFSET(D.TPMs!$O$10:$P$10, ($G55-1)*9, 12)))</f>
        <v>0</v>
      </c>
      <c r="Y56" s="285">
        <f t="array" aca="1" ref="Y56:AG56" ca="1">IF($E56&gt;timeHorizon, 0, MMULT(Y55:AG55*(1-$H56), OFFSET(D.rngTPM.Q_I.Root, ($G55-1)*9, 0)) + MMULT(Y55:AG55*$H56, OFFSET(D.rngTPM.Q_I.Root, ($G55-1)*9, 12)))</f>
        <v>0</v>
      </c>
      <c r="Z56" s="285">
        <f ca="1"/>
        <v>0</v>
      </c>
      <c r="AA56" s="285">
        <f ca="1"/>
        <v>0</v>
      </c>
      <c r="AB56" s="285">
        <f ca="1"/>
        <v>0</v>
      </c>
      <c r="AC56" s="285">
        <f ca="1"/>
        <v>0</v>
      </c>
      <c r="AD56" s="285">
        <f ca="1"/>
        <v>0</v>
      </c>
      <c r="AE56" s="285">
        <f ca="1"/>
        <v>0</v>
      </c>
      <c r="AF56" s="285">
        <f ca="1"/>
        <v>0</v>
      </c>
      <c r="AG56" s="285">
        <f ca="1"/>
        <v>0</v>
      </c>
      <c r="AH56" s="283" t="str">
        <f t="shared" si="32"/>
        <v/>
      </c>
      <c r="AI56" s="320">
        <f t="shared" ca="1" si="27"/>
        <v>1</v>
      </c>
      <c r="AJ56" s="320">
        <f t="shared" ca="1" si="28"/>
        <v>0</v>
      </c>
      <c r="AK56" s="320">
        <f t="shared" ca="1" si="29"/>
        <v>0</v>
      </c>
      <c r="AL56" s="418">
        <f t="shared" ca="1" si="20"/>
        <v>0</v>
      </c>
      <c r="AM56" s="418">
        <f ca="1">PRODUCT(Y55*(1-$H56), SUM(OFFSET(D.TPMs!$L$7:$M$7, ($G55-1)*9, 0), OFFSET(D.TPMs!$O$7:$P$7, ($G55-1)*9, 0)))
+PRODUCT(Y55*$H56,     SUM(OFFSET(D.TPMs!$L$7:$M$7, ($G55-1)*9, 12), OFFSET(D.TPMs!$O$7:$P$7, ($G55-1)*9, 12)))
+PRODUCT(AB55*(1-$H56), SUM(OFFSET(D.TPMs!$L$10:$M$10, ($G55-1)*9, 0), OFFSET(D.TPMs!$O$10:$P$10, ($G55-1)*9, 0)))
+PRODUCT(AB55*$H56,     SUM(OFFSET(D.TPMs!$L$10:$M$10, ($G55-1)*9, 12), OFFSET(D.TPMs!$O$10:$P$10, ($G55-1)*9, 12)))</f>
        <v>0</v>
      </c>
    </row>
    <row r="57" spans="2:39" ht="12" customHeight="1" x14ac:dyDescent="0.25">
      <c r="D57" s="62">
        <f t="shared" si="30"/>
        <v>47</v>
      </c>
      <c r="E57" s="63">
        <f t="shared" si="21"/>
        <v>11.75</v>
      </c>
      <c r="F57" s="63">
        <f t="shared" si="22"/>
        <v>76.75</v>
      </c>
      <c r="G57" s="301">
        <f>MATCH(F57, Parameters!$D$523:$D$524, 1)</f>
        <v>2</v>
      </c>
      <c r="H57" s="62">
        <f t="shared" si="23"/>
        <v>0</v>
      </c>
      <c r="I57" s="285">
        <f t="array" aca="1" ref="I57:Q57" ca="1">IF($E57&gt;timeHorizon, 0, MMULT(I56:Q56*(1-$H57), OFFSET(D.rngTPM.Q_I.Root, ($G56-1)*9, 0)) + MMULT(I56:Q56*$H57, OFFSET(D.rngTPM.Q_I.Root, ($G56-1)*9, 12)))</f>
        <v>0</v>
      </c>
      <c r="J57" s="285">
        <f ca="1"/>
        <v>0</v>
      </c>
      <c r="K57" s="285">
        <f ca="1"/>
        <v>0</v>
      </c>
      <c r="L57" s="285">
        <f ca="1"/>
        <v>0</v>
      </c>
      <c r="M57" s="285">
        <f ca="1"/>
        <v>0</v>
      </c>
      <c r="N57" s="285">
        <f ca="1"/>
        <v>0</v>
      </c>
      <c r="O57" s="285">
        <f ca="1"/>
        <v>0</v>
      </c>
      <c r="P57" s="285">
        <f ca="1"/>
        <v>0</v>
      </c>
      <c r="Q57" s="285">
        <f ca="1"/>
        <v>0</v>
      </c>
      <c r="R57" s="283" t="str">
        <f t="shared" si="31"/>
        <v/>
      </c>
      <c r="S57" s="418">
        <f t="shared" ca="1" si="24"/>
        <v>1</v>
      </c>
      <c r="T57" s="418">
        <f t="shared" ca="1" si="25"/>
        <v>0</v>
      </c>
      <c r="U57" s="418">
        <f t="shared" ca="1" si="26"/>
        <v>0</v>
      </c>
      <c r="V57" s="418">
        <f t="shared" ca="1" si="26"/>
        <v>0</v>
      </c>
      <c r="W57" s="418">
        <f ca="1">PRODUCT(I56*(1-$H57), SUM(OFFSET(D.TPMs!$L$7:$M$7, ($G56-1)*9, 0), OFFSET(D.TPMs!$O$7:$P$7, ($G56-1)*9, 0)))
+PRODUCT(I56*$H57,     SUM(OFFSET(D.TPMs!$L$7:$M$7, ($G56-1)*9, 12), OFFSET(D.TPMs!$O$7:$P$7, ($G56-1)*9, 12)))
+PRODUCT(L56*(1-$H57), SUM(OFFSET(D.TPMs!$L$10:$M$10, ($G56-1)*9, 0), OFFSET(D.TPMs!$O$10:$P$10, ($G56-1)*9, 0)))
+PRODUCT(L56*$H57,     SUM(OFFSET(D.TPMs!$L$10:$M$10, ($G56-1)*9, 12), OFFSET(D.TPMs!$O$10:$P$10, ($G56-1)*9, 12)))</f>
        <v>0</v>
      </c>
      <c r="Y57" s="285">
        <f t="array" aca="1" ref="Y57:AG57" ca="1">IF($E57&gt;timeHorizon, 0, MMULT(Y56:AG56*(1-$H57), OFFSET(D.rngTPM.Q_I.Root, ($G56-1)*9, 0)) + MMULT(Y56:AG56*$H57, OFFSET(D.rngTPM.Q_I.Root, ($G56-1)*9, 12)))</f>
        <v>0</v>
      </c>
      <c r="Z57" s="285">
        <f ca="1"/>
        <v>0</v>
      </c>
      <c r="AA57" s="285">
        <f ca="1"/>
        <v>0</v>
      </c>
      <c r="AB57" s="285">
        <f ca="1"/>
        <v>0</v>
      </c>
      <c r="AC57" s="285">
        <f ca="1"/>
        <v>0</v>
      </c>
      <c r="AD57" s="285">
        <f ca="1"/>
        <v>0</v>
      </c>
      <c r="AE57" s="285">
        <f ca="1"/>
        <v>0</v>
      </c>
      <c r="AF57" s="285">
        <f ca="1"/>
        <v>0</v>
      </c>
      <c r="AG57" s="285">
        <f ca="1"/>
        <v>0</v>
      </c>
      <c r="AH57" s="283" t="str">
        <f t="shared" si="32"/>
        <v/>
      </c>
      <c r="AI57" s="320">
        <f t="shared" ca="1" si="27"/>
        <v>1</v>
      </c>
      <c r="AJ57" s="320">
        <f t="shared" ca="1" si="28"/>
        <v>0</v>
      </c>
      <c r="AK57" s="320">
        <f t="shared" ca="1" si="29"/>
        <v>0</v>
      </c>
      <c r="AL57" s="418">
        <f t="shared" ca="1" si="20"/>
        <v>0</v>
      </c>
      <c r="AM57" s="418">
        <f ca="1">PRODUCT(Y56*(1-$H57), SUM(OFFSET(D.TPMs!$L$7:$M$7, ($G56-1)*9, 0), OFFSET(D.TPMs!$O$7:$P$7, ($G56-1)*9, 0)))
+PRODUCT(Y56*$H57,     SUM(OFFSET(D.TPMs!$L$7:$M$7, ($G56-1)*9, 12), OFFSET(D.TPMs!$O$7:$P$7, ($G56-1)*9, 12)))
+PRODUCT(AB56*(1-$H57), SUM(OFFSET(D.TPMs!$L$10:$M$10, ($G56-1)*9, 0), OFFSET(D.TPMs!$O$10:$P$10, ($G56-1)*9, 0)))
+PRODUCT(AB56*$H57,     SUM(OFFSET(D.TPMs!$L$10:$M$10, ($G56-1)*9, 12), OFFSET(D.TPMs!$O$10:$P$10, ($G56-1)*9, 12)))</f>
        <v>0</v>
      </c>
    </row>
    <row r="58" spans="2:39" ht="12" customHeight="1" x14ac:dyDescent="0.25">
      <c r="D58" s="62">
        <f t="shared" si="30"/>
        <v>48</v>
      </c>
      <c r="E58" s="63">
        <f t="shared" si="21"/>
        <v>12</v>
      </c>
      <c r="F58" s="63">
        <f t="shared" si="22"/>
        <v>77</v>
      </c>
      <c r="G58" s="301">
        <f>MATCH(F58, Parameters!$D$523:$D$524, 1)</f>
        <v>2</v>
      </c>
      <c r="H58" s="62">
        <f t="shared" si="23"/>
        <v>0</v>
      </c>
      <c r="I58" s="285">
        <f t="array" aca="1" ref="I58:Q58" ca="1">IF($E58&gt;timeHorizon, 0, MMULT(I57:Q57*(1-$H58), OFFSET(D.rngTPM.Q_I.Root, ($G57-1)*9, 0)) + MMULT(I57:Q57*$H58, OFFSET(D.rngTPM.Q_I.Root, ($G57-1)*9, 12)))</f>
        <v>0</v>
      </c>
      <c r="J58" s="285">
        <f ca="1"/>
        <v>0</v>
      </c>
      <c r="K58" s="285">
        <f ca="1"/>
        <v>0</v>
      </c>
      <c r="L58" s="285">
        <f ca="1"/>
        <v>0</v>
      </c>
      <c r="M58" s="285">
        <f ca="1"/>
        <v>0</v>
      </c>
      <c r="N58" s="285">
        <f ca="1"/>
        <v>0</v>
      </c>
      <c r="O58" s="285">
        <f ca="1"/>
        <v>0</v>
      </c>
      <c r="P58" s="285">
        <f ca="1"/>
        <v>0</v>
      </c>
      <c r="Q58" s="285">
        <f ca="1"/>
        <v>0</v>
      </c>
      <c r="R58" s="283" t="str">
        <f t="shared" si="31"/>
        <v/>
      </c>
      <c r="S58" s="418">
        <f t="shared" ca="1" si="24"/>
        <v>1</v>
      </c>
      <c r="T58" s="418">
        <f t="shared" ca="1" si="25"/>
        <v>0</v>
      </c>
      <c r="U58" s="418">
        <f t="shared" ca="1" si="26"/>
        <v>0</v>
      </c>
      <c r="V58" s="418">
        <f t="shared" ca="1" si="26"/>
        <v>0</v>
      </c>
      <c r="W58" s="418">
        <f ca="1">PRODUCT(I57*(1-$H58), SUM(OFFSET(D.TPMs!$L$7:$M$7, ($G57-1)*9, 0), OFFSET(D.TPMs!$O$7:$P$7, ($G57-1)*9, 0)))
+PRODUCT(I57*$H58,     SUM(OFFSET(D.TPMs!$L$7:$M$7, ($G57-1)*9, 12), OFFSET(D.TPMs!$O$7:$P$7, ($G57-1)*9, 12)))
+PRODUCT(L57*(1-$H58), SUM(OFFSET(D.TPMs!$L$10:$M$10, ($G57-1)*9, 0), OFFSET(D.TPMs!$O$10:$P$10, ($G57-1)*9, 0)))
+PRODUCT(L57*$H58,     SUM(OFFSET(D.TPMs!$L$10:$M$10, ($G57-1)*9, 12), OFFSET(D.TPMs!$O$10:$P$10, ($G57-1)*9, 12)))</f>
        <v>0</v>
      </c>
      <c r="Y58" s="285">
        <f t="array" aca="1" ref="Y58:AG58" ca="1">IF($E58&gt;timeHorizon, 0, MMULT(Y57:AG57*(1-$H58), OFFSET(D.rngTPM.Q_I.Root, ($G57-1)*9, 0)) + MMULT(Y57:AG57*$H58, OFFSET(D.rngTPM.Q_I.Root, ($G57-1)*9, 12)))</f>
        <v>0</v>
      </c>
      <c r="Z58" s="285">
        <f ca="1"/>
        <v>0</v>
      </c>
      <c r="AA58" s="285">
        <f ca="1"/>
        <v>0</v>
      </c>
      <c r="AB58" s="285">
        <f ca="1"/>
        <v>0</v>
      </c>
      <c r="AC58" s="285">
        <f ca="1"/>
        <v>0</v>
      </c>
      <c r="AD58" s="285">
        <f ca="1"/>
        <v>0</v>
      </c>
      <c r="AE58" s="285">
        <f ca="1"/>
        <v>0</v>
      </c>
      <c r="AF58" s="285">
        <f ca="1"/>
        <v>0</v>
      </c>
      <c r="AG58" s="285">
        <f ca="1"/>
        <v>0</v>
      </c>
      <c r="AH58" s="283" t="str">
        <f t="shared" si="32"/>
        <v/>
      </c>
      <c r="AI58" s="320">
        <f t="shared" ca="1" si="27"/>
        <v>1</v>
      </c>
      <c r="AJ58" s="320">
        <f t="shared" ca="1" si="28"/>
        <v>0</v>
      </c>
      <c r="AK58" s="320">
        <f t="shared" ca="1" si="29"/>
        <v>0</v>
      </c>
      <c r="AL58" s="418">
        <f t="shared" ca="1" si="20"/>
        <v>0</v>
      </c>
      <c r="AM58" s="418">
        <f ca="1">PRODUCT(Y57*(1-$H58), SUM(OFFSET(D.TPMs!$L$7:$M$7, ($G57-1)*9, 0), OFFSET(D.TPMs!$O$7:$P$7, ($G57-1)*9, 0)))
+PRODUCT(Y57*$H58,     SUM(OFFSET(D.TPMs!$L$7:$M$7, ($G57-1)*9, 12), OFFSET(D.TPMs!$O$7:$P$7, ($G57-1)*9, 12)))
+PRODUCT(AB57*(1-$H58), SUM(OFFSET(D.TPMs!$L$10:$M$10, ($G57-1)*9, 0), OFFSET(D.TPMs!$O$10:$P$10, ($G57-1)*9, 0)))
+PRODUCT(AB57*$H58,     SUM(OFFSET(D.TPMs!$L$10:$M$10, ($G57-1)*9, 12), OFFSET(D.TPMs!$O$10:$P$10, ($G57-1)*9, 12)))</f>
        <v>0</v>
      </c>
    </row>
    <row r="59" spans="2:39" ht="12" customHeight="1" x14ac:dyDescent="0.25">
      <c r="D59" s="62">
        <f t="shared" si="30"/>
        <v>49</v>
      </c>
      <c r="E59" s="63">
        <f t="shared" si="21"/>
        <v>12.25</v>
      </c>
      <c r="F59" s="63">
        <f t="shared" si="22"/>
        <v>77.25</v>
      </c>
      <c r="G59" s="301">
        <f>MATCH(F59, Parameters!$D$523:$D$524, 1)</f>
        <v>2</v>
      </c>
      <c r="H59" s="62">
        <f t="shared" si="23"/>
        <v>0</v>
      </c>
      <c r="I59" s="285">
        <f t="array" aca="1" ref="I59:Q59" ca="1">IF($E59&gt;timeHorizon, 0, MMULT(I58:Q58*(1-$H59), OFFSET(D.rngTPM.Q_I.Root, ($G58-1)*9, 0)) + MMULT(I58:Q58*$H59, OFFSET(D.rngTPM.Q_I.Root, ($G58-1)*9, 12)))</f>
        <v>0</v>
      </c>
      <c r="J59" s="285">
        <f ca="1"/>
        <v>0</v>
      </c>
      <c r="K59" s="285">
        <f ca="1"/>
        <v>0</v>
      </c>
      <c r="L59" s="285">
        <f ca="1"/>
        <v>0</v>
      </c>
      <c r="M59" s="285">
        <f ca="1"/>
        <v>0</v>
      </c>
      <c r="N59" s="285">
        <f ca="1"/>
        <v>0</v>
      </c>
      <c r="O59" s="285">
        <f ca="1"/>
        <v>0</v>
      </c>
      <c r="P59" s="285">
        <f ca="1"/>
        <v>0</v>
      </c>
      <c r="Q59" s="285">
        <f ca="1"/>
        <v>0</v>
      </c>
      <c r="R59" s="283" t="str">
        <f t="shared" si="31"/>
        <v/>
      </c>
      <c r="S59" s="418">
        <f t="shared" ca="1" si="24"/>
        <v>1</v>
      </c>
      <c r="T59" s="418">
        <f t="shared" ca="1" si="25"/>
        <v>0</v>
      </c>
      <c r="U59" s="418">
        <f t="shared" ca="1" si="26"/>
        <v>0</v>
      </c>
      <c r="V59" s="418">
        <f t="shared" ca="1" si="26"/>
        <v>0</v>
      </c>
      <c r="W59" s="418">
        <f ca="1">PRODUCT(I58*(1-$H59), SUM(OFFSET(D.TPMs!$L$7:$M$7, ($G58-1)*9, 0), OFFSET(D.TPMs!$O$7:$P$7, ($G58-1)*9, 0)))
+PRODUCT(I58*$H59,     SUM(OFFSET(D.TPMs!$L$7:$M$7, ($G58-1)*9, 12), OFFSET(D.TPMs!$O$7:$P$7, ($G58-1)*9, 12)))
+PRODUCT(L58*(1-$H59), SUM(OFFSET(D.TPMs!$L$10:$M$10, ($G58-1)*9, 0), OFFSET(D.TPMs!$O$10:$P$10, ($G58-1)*9, 0)))
+PRODUCT(L58*$H59,     SUM(OFFSET(D.TPMs!$L$10:$M$10, ($G58-1)*9, 12), OFFSET(D.TPMs!$O$10:$P$10, ($G58-1)*9, 12)))</f>
        <v>0</v>
      </c>
      <c r="Y59" s="285">
        <f t="array" aca="1" ref="Y59:AG59" ca="1">IF($E59&gt;timeHorizon, 0, MMULT(Y58:AG58*(1-$H59), OFFSET(D.rngTPM.Q_I.Root, ($G58-1)*9, 0)) + MMULT(Y58:AG58*$H59, OFFSET(D.rngTPM.Q_I.Root, ($G58-1)*9, 12)))</f>
        <v>0</v>
      </c>
      <c r="Z59" s="285">
        <f ca="1"/>
        <v>0</v>
      </c>
      <c r="AA59" s="285">
        <f ca="1"/>
        <v>0</v>
      </c>
      <c r="AB59" s="285">
        <f ca="1"/>
        <v>0</v>
      </c>
      <c r="AC59" s="285">
        <f ca="1"/>
        <v>0</v>
      </c>
      <c r="AD59" s="285">
        <f ca="1"/>
        <v>0</v>
      </c>
      <c r="AE59" s="285">
        <f ca="1"/>
        <v>0</v>
      </c>
      <c r="AF59" s="285">
        <f ca="1"/>
        <v>0</v>
      </c>
      <c r="AG59" s="285">
        <f ca="1"/>
        <v>0</v>
      </c>
      <c r="AH59" s="283" t="str">
        <f t="shared" si="32"/>
        <v/>
      </c>
      <c r="AI59" s="320">
        <f t="shared" ca="1" si="27"/>
        <v>1</v>
      </c>
      <c r="AJ59" s="320">
        <f t="shared" ca="1" si="28"/>
        <v>0</v>
      </c>
      <c r="AK59" s="320">
        <f t="shared" ca="1" si="29"/>
        <v>0</v>
      </c>
      <c r="AL59" s="418">
        <f t="shared" ca="1" si="20"/>
        <v>0</v>
      </c>
      <c r="AM59" s="418">
        <f ca="1">PRODUCT(Y58*(1-$H59), SUM(OFFSET(D.TPMs!$L$7:$M$7, ($G58-1)*9, 0), OFFSET(D.TPMs!$O$7:$P$7, ($G58-1)*9, 0)))
+PRODUCT(Y58*$H59,     SUM(OFFSET(D.TPMs!$L$7:$M$7, ($G58-1)*9, 12), OFFSET(D.TPMs!$O$7:$P$7, ($G58-1)*9, 12)))
+PRODUCT(AB58*(1-$H59), SUM(OFFSET(D.TPMs!$L$10:$M$10, ($G58-1)*9, 0), OFFSET(D.TPMs!$O$10:$P$10, ($G58-1)*9, 0)))
+PRODUCT(AB58*$H59,     SUM(OFFSET(D.TPMs!$L$10:$M$10, ($G58-1)*9, 12), OFFSET(D.TPMs!$O$10:$P$10, ($G58-1)*9, 12)))</f>
        <v>0</v>
      </c>
    </row>
    <row r="60" spans="2:39" ht="12" customHeight="1" x14ac:dyDescent="0.25">
      <c r="D60" s="62">
        <f t="shared" si="30"/>
        <v>50</v>
      </c>
      <c r="E60" s="63">
        <f t="shared" si="21"/>
        <v>12.5</v>
      </c>
      <c r="F60" s="63">
        <f t="shared" si="22"/>
        <v>77.5</v>
      </c>
      <c r="G60" s="301">
        <f>MATCH(F60, Parameters!$D$523:$D$524, 1)</f>
        <v>2</v>
      </c>
      <c r="H60" s="62">
        <f t="shared" si="23"/>
        <v>0</v>
      </c>
      <c r="I60" s="285">
        <f t="array" aca="1" ref="I60:Q60" ca="1">IF($E60&gt;timeHorizon, 0, MMULT(I59:Q59*(1-$H60), OFFSET(D.rngTPM.Q_I.Root, ($G59-1)*9, 0)) + MMULT(I59:Q59*$H60, OFFSET(D.rngTPM.Q_I.Root, ($G59-1)*9, 12)))</f>
        <v>0</v>
      </c>
      <c r="J60" s="285">
        <f ca="1"/>
        <v>0</v>
      </c>
      <c r="K60" s="285">
        <f ca="1"/>
        <v>0</v>
      </c>
      <c r="L60" s="285">
        <f ca="1"/>
        <v>0</v>
      </c>
      <c r="M60" s="285">
        <f ca="1"/>
        <v>0</v>
      </c>
      <c r="N60" s="285">
        <f ca="1"/>
        <v>0</v>
      </c>
      <c r="O60" s="285">
        <f ca="1"/>
        <v>0</v>
      </c>
      <c r="P60" s="285">
        <f ca="1"/>
        <v>0</v>
      </c>
      <c r="Q60" s="285">
        <f ca="1"/>
        <v>0</v>
      </c>
      <c r="R60" s="283" t="str">
        <f t="shared" si="31"/>
        <v/>
      </c>
      <c r="S60" s="418">
        <f t="shared" ca="1" si="24"/>
        <v>1</v>
      </c>
      <c r="T60" s="418">
        <f t="shared" ca="1" si="25"/>
        <v>0</v>
      </c>
      <c r="U60" s="418">
        <f t="shared" ca="1" si="26"/>
        <v>0</v>
      </c>
      <c r="V60" s="418">
        <f t="shared" ca="1" si="26"/>
        <v>0</v>
      </c>
      <c r="W60" s="418">
        <f ca="1">PRODUCT(I59*(1-$H60), SUM(OFFSET(D.TPMs!$L$7:$M$7, ($G59-1)*9, 0), OFFSET(D.TPMs!$O$7:$P$7, ($G59-1)*9, 0)))
+PRODUCT(I59*$H60,     SUM(OFFSET(D.TPMs!$L$7:$M$7, ($G59-1)*9, 12), OFFSET(D.TPMs!$O$7:$P$7, ($G59-1)*9, 12)))
+PRODUCT(L59*(1-$H60), SUM(OFFSET(D.TPMs!$L$10:$M$10, ($G59-1)*9, 0), OFFSET(D.TPMs!$O$10:$P$10, ($G59-1)*9, 0)))
+PRODUCT(L59*$H60,     SUM(OFFSET(D.TPMs!$L$10:$M$10, ($G59-1)*9, 12), OFFSET(D.TPMs!$O$10:$P$10, ($G59-1)*9, 12)))</f>
        <v>0</v>
      </c>
      <c r="Y60" s="285">
        <f t="array" aca="1" ref="Y60:AG60" ca="1">IF($E60&gt;timeHorizon, 0, MMULT(Y59:AG59*(1-$H60), OFFSET(D.rngTPM.Q_I.Root, ($G59-1)*9, 0)) + MMULT(Y59:AG59*$H60, OFFSET(D.rngTPM.Q_I.Root, ($G59-1)*9, 12)))</f>
        <v>0</v>
      </c>
      <c r="Z60" s="285">
        <f ca="1"/>
        <v>0</v>
      </c>
      <c r="AA60" s="285">
        <f ca="1"/>
        <v>0</v>
      </c>
      <c r="AB60" s="285">
        <f ca="1"/>
        <v>0</v>
      </c>
      <c r="AC60" s="285">
        <f ca="1"/>
        <v>0</v>
      </c>
      <c r="AD60" s="285">
        <f ca="1"/>
        <v>0</v>
      </c>
      <c r="AE60" s="285">
        <f ca="1"/>
        <v>0</v>
      </c>
      <c r="AF60" s="285">
        <f ca="1"/>
        <v>0</v>
      </c>
      <c r="AG60" s="285">
        <f ca="1"/>
        <v>0</v>
      </c>
      <c r="AH60" s="283" t="str">
        <f t="shared" si="32"/>
        <v/>
      </c>
      <c r="AI60" s="320">
        <f t="shared" ca="1" si="27"/>
        <v>1</v>
      </c>
      <c r="AJ60" s="320">
        <f t="shared" ca="1" si="28"/>
        <v>0</v>
      </c>
      <c r="AK60" s="320">
        <f t="shared" ca="1" si="29"/>
        <v>0</v>
      </c>
      <c r="AL60" s="418">
        <f t="shared" ca="1" si="20"/>
        <v>0</v>
      </c>
      <c r="AM60" s="418">
        <f ca="1">PRODUCT(Y59*(1-$H60), SUM(OFFSET(D.TPMs!$L$7:$M$7, ($G59-1)*9, 0), OFFSET(D.TPMs!$O$7:$P$7, ($G59-1)*9, 0)))
+PRODUCT(Y59*$H60,     SUM(OFFSET(D.TPMs!$L$7:$M$7, ($G59-1)*9, 12), OFFSET(D.TPMs!$O$7:$P$7, ($G59-1)*9, 12)))
+PRODUCT(AB59*(1-$H60), SUM(OFFSET(D.TPMs!$L$10:$M$10, ($G59-1)*9, 0), OFFSET(D.TPMs!$O$10:$P$10, ($G59-1)*9, 0)))
+PRODUCT(AB59*$H60,     SUM(OFFSET(D.TPMs!$L$10:$M$10, ($G59-1)*9, 12), OFFSET(D.TPMs!$O$10:$P$10, ($G59-1)*9, 12)))</f>
        <v>0</v>
      </c>
    </row>
    <row r="61" spans="2:39" ht="12" customHeight="1" x14ac:dyDescent="0.25">
      <c r="D61" s="62">
        <f t="shared" si="30"/>
        <v>51</v>
      </c>
      <c r="E61" s="63">
        <f t="shared" si="21"/>
        <v>12.75</v>
      </c>
      <c r="F61" s="63">
        <f t="shared" si="22"/>
        <v>77.75</v>
      </c>
      <c r="G61" s="301">
        <f>MATCH(F61, Parameters!$D$523:$D$524, 1)</f>
        <v>2</v>
      </c>
      <c r="H61" s="62">
        <f t="shared" si="23"/>
        <v>0</v>
      </c>
      <c r="I61" s="285">
        <f t="array" aca="1" ref="I61:Q61" ca="1">IF($E61&gt;timeHorizon, 0, MMULT(I60:Q60*(1-$H61), OFFSET(D.rngTPM.Q_I.Root, ($G60-1)*9, 0)) + MMULT(I60:Q60*$H61, OFFSET(D.rngTPM.Q_I.Root, ($G60-1)*9, 12)))</f>
        <v>0</v>
      </c>
      <c r="J61" s="285">
        <f ca="1"/>
        <v>0</v>
      </c>
      <c r="K61" s="285">
        <f ca="1"/>
        <v>0</v>
      </c>
      <c r="L61" s="285">
        <f ca="1"/>
        <v>0</v>
      </c>
      <c r="M61" s="285">
        <f ca="1"/>
        <v>0</v>
      </c>
      <c r="N61" s="285">
        <f ca="1"/>
        <v>0</v>
      </c>
      <c r="O61" s="285">
        <f ca="1"/>
        <v>0</v>
      </c>
      <c r="P61" s="285">
        <f ca="1"/>
        <v>0</v>
      </c>
      <c r="Q61" s="285">
        <f ca="1"/>
        <v>0</v>
      </c>
      <c r="R61" s="283" t="str">
        <f t="shared" si="31"/>
        <v/>
      </c>
      <c r="S61" s="418">
        <f t="shared" ca="1" si="24"/>
        <v>1</v>
      </c>
      <c r="T61" s="418">
        <f t="shared" ca="1" si="25"/>
        <v>0</v>
      </c>
      <c r="U61" s="418">
        <f t="shared" ca="1" si="26"/>
        <v>0</v>
      </c>
      <c r="V61" s="418">
        <f t="shared" ca="1" si="26"/>
        <v>0</v>
      </c>
      <c r="W61" s="418">
        <f ca="1">PRODUCT(I60*(1-$H61), SUM(OFFSET(D.TPMs!$L$7:$M$7, ($G60-1)*9, 0), OFFSET(D.TPMs!$O$7:$P$7, ($G60-1)*9, 0)))
+PRODUCT(I60*$H61,     SUM(OFFSET(D.TPMs!$L$7:$M$7, ($G60-1)*9, 12), OFFSET(D.TPMs!$O$7:$P$7, ($G60-1)*9, 12)))
+PRODUCT(L60*(1-$H61), SUM(OFFSET(D.TPMs!$L$10:$M$10, ($G60-1)*9, 0), OFFSET(D.TPMs!$O$10:$P$10, ($G60-1)*9, 0)))
+PRODUCT(L60*$H61,     SUM(OFFSET(D.TPMs!$L$10:$M$10, ($G60-1)*9, 12), OFFSET(D.TPMs!$O$10:$P$10, ($G60-1)*9, 12)))</f>
        <v>0</v>
      </c>
      <c r="Y61" s="285">
        <f t="array" aca="1" ref="Y61:AG61" ca="1">IF($E61&gt;timeHorizon, 0, MMULT(Y60:AG60*(1-$H61), OFFSET(D.rngTPM.Q_I.Root, ($G60-1)*9, 0)) + MMULT(Y60:AG60*$H61, OFFSET(D.rngTPM.Q_I.Root, ($G60-1)*9, 12)))</f>
        <v>0</v>
      </c>
      <c r="Z61" s="285">
        <f ca="1"/>
        <v>0</v>
      </c>
      <c r="AA61" s="285">
        <f ca="1"/>
        <v>0</v>
      </c>
      <c r="AB61" s="285">
        <f ca="1"/>
        <v>0</v>
      </c>
      <c r="AC61" s="285">
        <f ca="1"/>
        <v>0</v>
      </c>
      <c r="AD61" s="285">
        <f ca="1"/>
        <v>0</v>
      </c>
      <c r="AE61" s="285">
        <f ca="1"/>
        <v>0</v>
      </c>
      <c r="AF61" s="285">
        <f ca="1"/>
        <v>0</v>
      </c>
      <c r="AG61" s="285">
        <f ca="1"/>
        <v>0</v>
      </c>
      <c r="AH61" s="283" t="str">
        <f t="shared" si="32"/>
        <v/>
      </c>
      <c r="AI61" s="320">
        <f t="shared" ca="1" si="27"/>
        <v>1</v>
      </c>
      <c r="AJ61" s="320">
        <f t="shared" ca="1" si="28"/>
        <v>0</v>
      </c>
      <c r="AK61" s="320">
        <f t="shared" ca="1" si="29"/>
        <v>0</v>
      </c>
      <c r="AL61" s="418">
        <f t="shared" ca="1" si="20"/>
        <v>0</v>
      </c>
      <c r="AM61" s="418">
        <f ca="1">PRODUCT(Y60*(1-$H61), SUM(OFFSET(D.TPMs!$L$7:$M$7, ($G60-1)*9, 0), OFFSET(D.TPMs!$O$7:$P$7, ($G60-1)*9, 0)))
+PRODUCT(Y60*$H61,     SUM(OFFSET(D.TPMs!$L$7:$M$7, ($G60-1)*9, 12), OFFSET(D.TPMs!$O$7:$P$7, ($G60-1)*9, 12)))
+PRODUCT(AB60*(1-$H61), SUM(OFFSET(D.TPMs!$L$10:$M$10, ($G60-1)*9, 0), OFFSET(D.TPMs!$O$10:$P$10, ($G60-1)*9, 0)))
+PRODUCT(AB60*$H61,     SUM(OFFSET(D.TPMs!$L$10:$M$10, ($G60-1)*9, 12), OFFSET(D.TPMs!$O$10:$P$10, ($G60-1)*9, 12)))</f>
        <v>0</v>
      </c>
    </row>
    <row r="62" spans="2:39" ht="12" customHeight="1" x14ac:dyDescent="0.25">
      <c r="D62" s="62">
        <f t="shared" si="30"/>
        <v>52</v>
      </c>
      <c r="E62" s="63">
        <f t="shared" si="21"/>
        <v>13</v>
      </c>
      <c r="F62" s="63">
        <f t="shared" si="22"/>
        <v>78</v>
      </c>
      <c r="G62" s="301">
        <f>MATCH(F62, Parameters!$D$523:$D$524, 1)</f>
        <v>2</v>
      </c>
      <c r="H62" s="62">
        <f t="shared" si="23"/>
        <v>0</v>
      </c>
      <c r="I62" s="285">
        <f t="array" aca="1" ref="I62:Q62" ca="1">IF($E62&gt;timeHorizon, 0, MMULT(I61:Q61*(1-$H62), OFFSET(D.rngTPM.Q_I.Root, ($G61-1)*9, 0)) + MMULT(I61:Q61*$H62, OFFSET(D.rngTPM.Q_I.Root, ($G61-1)*9, 12)))</f>
        <v>0</v>
      </c>
      <c r="J62" s="285">
        <f ca="1"/>
        <v>0</v>
      </c>
      <c r="K62" s="285">
        <f ca="1"/>
        <v>0</v>
      </c>
      <c r="L62" s="285">
        <f ca="1"/>
        <v>0</v>
      </c>
      <c r="M62" s="285">
        <f ca="1"/>
        <v>0</v>
      </c>
      <c r="N62" s="285">
        <f ca="1"/>
        <v>0</v>
      </c>
      <c r="O62" s="285">
        <f ca="1"/>
        <v>0</v>
      </c>
      <c r="P62" s="285">
        <f ca="1"/>
        <v>0</v>
      </c>
      <c r="Q62" s="285">
        <f ca="1"/>
        <v>0</v>
      </c>
      <c r="R62" s="283" t="str">
        <f t="shared" si="31"/>
        <v/>
      </c>
      <c r="S62" s="418">
        <f t="shared" ca="1" si="24"/>
        <v>1</v>
      </c>
      <c r="T62" s="418">
        <f t="shared" ca="1" si="25"/>
        <v>0</v>
      </c>
      <c r="U62" s="418">
        <f t="shared" ca="1" si="26"/>
        <v>0</v>
      </c>
      <c r="V62" s="418">
        <f t="shared" ca="1" si="26"/>
        <v>0</v>
      </c>
      <c r="W62" s="418">
        <f ca="1">PRODUCT(I61*(1-$H62), SUM(OFFSET(D.TPMs!$L$7:$M$7, ($G61-1)*9, 0), OFFSET(D.TPMs!$O$7:$P$7, ($G61-1)*9, 0)))
+PRODUCT(I61*$H62,     SUM(OFFSET(D.TPMs!$L$7:$M$7, ($G61-1)*9, 12), OFFSET(D.TPMs!$O$7:$P$7, ($G61-1)*9, 12)))
+PRODUCT(L61*(1-$H62), SUM(OFFSET(D.TPMs!$L$10:$M$10, ($G61-1)*9, 0), OFFSET(D.TPMs!$O$10:$P$10, ($G61-1)*9, 0)))
+PRODUCT(L61*$H62,     SUM(OFFSET(D.TPMs!$L$10:$M$10, ($G61-1)*9, 12), OFFSET(D.TPMs!$O$10:$P$10, ($G61-1)*9, 12)))</f>
        <v>0</v>
      </c>
      <c r="Y62" s="285">
        <f t="array" aca="1" ref="Y62:AG62" ca="1">IF($E62&gt;timeHorizon, 0, MMULT(Y61:AG61*(1-$H62), OFFSET(D.rngTPM.Q_I.Root, ($G61-1)*9, 0)) + MMULT(Y61:AG61*$H62, OFFSET(D.rngTPM.Q_I.Root, ($G61-1)*9, 12)))</f>
        <v>0</v>
      </c>
      <c r="Z62" s="285">
        <f ca="1"/>
        <v>0</v>
      </c>
      <c r="AA62" s="285">
        <f ca="1"/>
        <v>0</v>
      </c>
      <c r="AB62" s="285">
        <f ca="1"/>
        <v>0</v>
      </c>
      <c r="AC62" s="285">
        <f ca="1"/>
        <v>0</v>
      </c>
      <c r="AD62" s="285">
        <f ca="1"/>
        <v>0</v>
      </c>
      <c r="AE62" s="285">
        <f ca="1"/>
        <v>0</v>
      </c>
      <c r="AF62" s="285">
        <f ca="1"/>
        <v>0</v>
      </c>
      <c r="AG62" s="285">
        <f ca="1"/>
        <v>0</v>
      </c>
      <c r="AH62" s="283" t="str">
        <f t="shared" si="32"/>
        <v/>
      </c>
      <c r="AI62" s="320">
        <f t="shared" ca="1" si="27"/>
        <v>1</v>
      </c>
      <c r="AJ62" s="320">
        <f t="shared" ca="1" si="28"/>
        <v>0</v>
      </c>
      <c r="AK62" s="320">
        <f t="shared" ca="1" si="29"/>
        <v>0</v>
      </c>
      <c r="AL62" s="418">
        <f t="shared" ca="1" si="20"/>
        <v>0</v>
      </c>
      <c r="AM62" s="418">
        <f ca="1">PRODUCT(Y61*(1-$H62), SUM(OFFSET(D.TPMs!$L$7:$M$7, ($G61-1)*9, 0), OFFSET(D.TPMs!$O$7:$P$7, ($G61-1)*9, 0)))
+PRODUCT(Y61*$H62,     SUM(OFFSET(D.TPMs!$L$7:$M$7, ($G61-1)*9, 12), OFFSET(D.TPMs!$O$7:$P$7, ($G61-1)*9, 12)))
+PRODUCT(AB61*(1-$H62), SUM(OFFSET(D.TPMs!$L$10:$M$10, ($G61-1)*9, 0), OFFSET(D.TPMs!$O$10:$P$10, ($G61-1)*9, 0)))
+PRODUCT(AB61*$H62,     SUM(OFFSET(D.TPMs!$L$10:$M$10, ($G61-1)*9, 12), OFFSET(D.TPMs!$O$10:$P$10, ($G61-1)*9, 12)))</f>
        <v>0</v>
      </c>
    </row>
    <row r="63" spans="2:39" ht="12" customHeight="1" x14ac:dyDescent="0.25">
      <c r="D63" s="62">
        <f t="shared" si="30"/>
        <v>53</v>
      </c>
      <c r="E63" s="63">
        <f t="shared" si="21"/>
        <v>13.25</v>
      </c>
      <c r="F63" s="63">
        <f t="shared" si="22"/>
        <v>78.25</v>
      </c>
      <c r="G63" s="301">
        <f>MATCH(F63, Parameters!$D$523:$D$524, 1)</f>
        <v>2</v>
      </c>
      <c r="H63" s="62">
        <f t="shared" si="23"/>
        <v>0</v>
      </c>
      <c r="I63" s="285">
        <f t="array" aca="1" ref="I63:Q63" ca="1">IF($E63&gt;timeHorizon, 0, MMULT(I62:Q62*(1-$H63), OFFSET(D.rngTPM.Q_I.Root, ($G62-1)*9, 0)) + MMULT(I62:Q62*$H63, OFFSET(D.rngTPM.Q_I.Root, ($G62-1)*9, 12)))</f>
        <v>0</v>
      </c>
      <c r="J63" s="285">
        <f ca="1"/>
        <v>0</v>
      </c>
      <c r="K63" s="285">
        <f ca="1"/>
        <v>0</v>
      </c>
      <c r="L63" s="285">
        <f ca="1"/>
        <v>0</v>
      </c>
      <c r="M63" s="285">
        <f ca="1"/>
        <v>0</v>
      </c>
      <c r="N63" s="285">
        <f ca="1"/>
        <v>0</v>
      </c>
      <c r="O63" s="285">
        <f ca="1"/>
        <v>0</v>
      </c>
      <c r="P63" s="285">
        <f ca="1"/>
        <v>0</v>
      </c>
      <c r="Q63" s="285">
        <f ca="1"/>
        <v>0</v>
      </c>
      <c r="R63" s="283" t="str">
        <f t="shared" si="31"/>
        <v/>
      </c>
      <c r="S63" s="418">
        <f t="shared" ca="1" si="24"/>
        <v>1</v>
      </c>
      <c r="T63" s="418">
        <f t="shared" ca="1" si="25"/>
        <v>0</v>
      </c>
      <c r="U63" s="418">
        <f t="shared" ca="1" si="26"/>
        <v>0</v>
      </c>
      <c r="V63" s="418">
        <f t="shared" ca="1" si="26"/>
        <v>0</v>
      </c>
      <c r="W63" s="418">
        <f ca="1">PRODUCT(I62*(1-$H63), SUM(OFFSET(D.TPMs!$L$7:$M$7, ($G62-1)*9, 0), OFFSET(D.TPMs!$O$7:$P$7, ($G62-1)*9, 0)))
+PRODUCT(I62*$H63,     SUM(OFFSET(D.TPMs!$L$7:$M$7, ($G62-1)*9, 12), OFFSET(D.TPMs!$O$7:$P$7, ($G62-1)*9, 12)))
+PRODUCT(L62*(1-$H63), SUM(OFFSET(D.TPMs!$L$10:$M$10, ($G62-1)*9, 0), OFFSET(D.TPMs!$O$10:$P$10, ($G62-1)*9, 0)))
+PRODUCT(L62*$H63,     SUM(OFFSET(D.TPMs!$L$10:$M$10, ($G62-1)*9, 12), OFFSET(D.TPMs!$O$10:$P$10, ($G62-1)*9, 12)))</f>
        <v>0</v>
      </c>
      <c r="Y63" s="285">
        <f t="array" aca="1" ref="Y63:AG63" ca="1">IF($E63&gt;timeHorizon, 0, MMULT(Y62:AG62*(1-$H63), OFFSET(D.rngTPM.Q_I.Root, ($G62-1)*9, 0)) + MMULT(Y62:AG62*$H63, OFFSET(D.rngTPM.Q_I.Root, ($G62-1)*9, 12)))</f>
        <v>0</v>
      </c>
      <c r="Z63" s="285">
        <f ca="1"/>
        <v>0</v>
      </c>
      <c r="AA63" s="285">
        <f ca="1"/>
        <v>0</v>
      </c>
      <c r="AB63" s="285">
        <f ca="1"/>
        <v>0</v>
      </c>
      <c r="AC63" s="285">
        <f ca="1"/>
        <v>0</v>
      </c>
      <c r="AD63" s="285">
        <f ca="1"/>
        <v>0</v>
      </c>
      <c r="AE63" s="285">
        <f ca="1"/>
        <v>0</v>
      </c>
      <c r="AF63" s="285">
        <f ca="1"/>
        <v>0</v>
      </c>
      <c r="AG63" s="285">
        <f ca="1"/>
        <v>0</v>
      </c>
      <c r="AH63" s="283" t="str">
        <f t="shared" si="32"/>
        <v/>
      </c>
      <c r="AI63" s="320">
        <f t="shared" ca="1" si="27"/>
        <v>1</v>
      </c>
      <c r="AJ63" s="320">
        <f t="shared" ca="1" si="28"/>
        <v>0</v>
      </c>
      <c r="AK63" s="320">
        <f t="shared" ca="1" si="29"/>
        <v>0</v>
      </c>
      <c r="AL63" s="418">
        <f t="shared" ca="1" si="20"/>
        <v>0</v>
      </c>
      <c r="AM63" s="418">
        <f ca="1">PRODUCT(Y62*(1-$H63), SUM(OFFSET(D.TPMs!$L$7:$M$7, ($G62-1)*9, 0), OFFSET(D.TPMs!$O$7:$P$7, ($G62-1)*9, 0)))
+PRODUCT(Y62*$H63,     SUM(OFFSET(D.TPMs!$L$7:$M$7, ($G62-1)*9, 12), OFFSET(D.TPMs!$O$7:$P$7, ($G62-1)*9, 12)))
+PRODUCT(AB62*(1-$H63), SUM(OFFSET(D.TPMs!$L$10:$M$10, ($G62-1)*9, 0), OFFSET(D.TPMs!$O$10:$P$10, ($G62-1)*9, 0)))
+PRODUCT(AB62*$H63,     SUM(OFFSET(D.TPMs!$L$10:$M$10, ($G62-1)*9, 12), OFFSET(D.TPMs!$O$10:$P$10, ($G62-1)*9, 12)))</f>
        <v>0</v>
      </c>
    </row>
    <row r="64" spans="2:39" ht="12" customHeight="1" x14ac:dyDescent="0.25">
      <c r="D64" s="62">
        <f t="shared" si="30"/>
        <v>54</v>
      </c>
      <c r="E64" s="63">
        <f t="shared" si="21"/>
        <v>13.5</v>
      </c>
      <c r="F64" s="63">
        <f t="shared" si="22"/>
        <v>78.5</v>
      </c>
      <c r="G64" s="301">
        <f>MATCH(F64, Parameters!$D$523:$D$524, 1)</f>
        <v>2</v>
      </c>
      <c r="H64" s="62">
        <f t="shared" si="23"/>
        <v>0</v>
      </c>
      <c r="I64" s="285">
        <f t="array" aca="1" ref="I64:Q64" ca="1">IF($E64&gt;timeHorizon, 0, MMULT(I63:Q63*(1-$H64), OFFSET(D.rngTPM.Q_I.Root, ($G63-1)*9, 0)) + MMULT(I63:Q63*$H64, OFFSET(D.rngTPM.Q_I.Root, ($G63-1)*9, 12)))</f>
        <v>0</v>
      </c>
      <c r="J64" s="285">
        <f ca="1"/>
        <v>0</v>
      </c>
      <c r="K64" s="285">
        <f ca="1"/>
        <v>0</v>
      </c>
      <c r="L64" s="285">
        <f ca="1"/>
        <v>0</v>
      </c>
      <c r="M64" s="285">
        <f ca="1"/>
        <v>0</v>
      </c>
      <c r="N64" s="285">
        <f ca="1"/>
        <v>0</v>
      </c>
      <c r="O64" s="285">
        <f ca="1"/>
        <v>0</v>
      </c>
      <c r="P64" s="285">
        <f ca="1"/>
        <v>0</v>
      </c>
      <c r="Q64" s="285">
        <f ca="1"/>
        <v>0</v>
      </c>
      <c r="R64" s="283" t="str">
        <f t="shared" si="31"/>
        <v/>
      </c>
      <c r="S64" s="418">
        <f t="shared" ca="1" si="24"/>
        <v>1</v>
      </c>
      <c r="T64" s="418">
        <f t="shared" ca="1" si="25"/>
        <v>0</v>
      </c>
      <c r="U64" s="418">
        <f t="shared" ca="1" si="26"/>
        <v>0</v>
      </c>
      <c r="V64" s="418">
        <f t="shared" ca="1" si="26"/>
        <v>0</v>
      </c>
      <c r="W64" s="418">
        <f ca="1">PRODUCT(I63*(1-$H64), SUM(OFFSET(D.TPMs!$L$7:$M$7, ($G63-1)*9, 0), OFFSET(D.TPMs!$O$7:$P$7, ($G63-1)*9, 0)))
+PRODUCT(I63*$H64,     SUM(OFFSET(D.TPMs!$L$7:$M$7, ($G63-1)*9, 12), OFFSET(D.TPMs!$O$7:$P$7, ($G63-1)*9, 12)))
+PRODUCT(L63*(1-$H64), SUM(OFFSET(D.TPMs!$L$10:$M$10, ($G63-1)*9, 0), OFFSET(D.TPMs!$O$10:$P$10, ($G63-1)*9, 0)))
+PRODUCT(L63*$H64,     SUM(OFFSET(D.TPMs!$L$10:$M$10, ($G63-1)*9, 12), OFFSET(D.TPMs!$O$10:$P$10, ($G63-1)*9, 12)))</f>
        <v>0</v>
      </c>
      <c r="Y64" s="285">
        <f t="array" aca="1" ref="Y64:AG64" ca="1">IF($E64&gt;timeHorizon, 0, MMULT(Y63:AG63*(1-$H64), OFFSET(D.rngTPM.Q_I.Root, ($G63-1)*9, 0)) + MMULT(Y63:AG63*$H64, OFFSET(D.rngTPM.Q_I.Root, ($G63-1)*9, 12)))</f>
        <v>0</v>
      </c>
      <c r="Z64" s="285">
        <f ca="1"/>
        <v>0</v>
      </c>
      <c r="AA64" s="285">
        <f ca="1"/>
        <v>0</v>
      </c>
      <c r="AB64" s="285">
        <f ca="1"/>
        <v>0</v>
      </c>
      <c r="AC64" s="285">
        <f ca="1"/>
        <v>0</v>
      </c>
      <c r="AD64" s="285">
        <f ca="1"/>
        <v>0</v>
      </c>
      <c r="AE64" s="285">
        <f ca="1"/>
        <v>0</v>
      </c>
      <c r="AF64" s="285">
        <f ca="1"/>
        <v>0</v>
      </c>
      <c r="AG64" s="285">
        <f ca="1"/>
        <v>0</v>
      </c>
      <c r="AH64" s="283" t="str">
        <f t="shared" si="32"/>
        <v/>
      </c>
      <c r="AI64" s="320">
        <f t="shared" ca="1" si="27"/>
        <v>1</v>
      </c>
      <c r="AJ64" s="320">
        <f t="shared" ca="1" si="28"/>
        <v>0</v>
      </c>
      <c r="AK64" s="320">
        <f t="shared" ca="1" si="29"/>
        <v>0</v>
      </c>
      <c r="AL64" s="418">
        <f t="shared" ca="1" si="20"/>
        <v>0</v>
      </c>
      <c r="AM64" s="418">
        <f ca="1">PRODUCT(Y63*(1-$H64), SUM(OFFSET(D.TPMs!$L$7:$M$7, ($G63-1)*9, 0), OFFSET(D.TPMs!$O$7:$P$7, ($G63-1)*9, 0)))
+PRODUCT(Y63*$H64,     SUM(OFFSET(D.TPMs!$L$7:$M$7, ($G63-1)*9, 12), OFFSET(D.TPMs!$O$7:$P$7, ($G63-1)*9, 12)))
+PRODUCT(AB63*(1-$H64), SUM(OFFSET(D.TPMs!$L$10:$M$10, ($G63-1)*9, 0), OFFSET(D.TPMs!$O$10:$P$10, ($G63-1)*9, 0)))
+PRODUCT(AB63*$H64,     SUM(OFFSET(D.TPMs!$L$10:$M$10, ($G63-1)*9, 12), OFFSET(D.TPMs!$O$10:$P$10, ($G63-1)*9, 12)))</f>
        <v>0</v>
      </c>
    </row>
    <row r="65" spans="4:39" ht="12" customHeight="1" x14ac:dyDescent="0.25">
      <c r="D65" s="62">
        <f t="shared" si="30"/>
        <v>55</v>
      </c>
      <c r="E65" s="63">
        <f t="shared" si="21"/>
        <v>13.75</v>
      </c>
      <c r="F65" s="63">
        <f t="shared" si="22"/>
        <v>78.75</v>
      </c>
      <c r="G65" s="301">
        <f>MATCH(F65, Parameters!$D$523:$D$524, 1)</f>
        <v>2</v>
      </c>
      <c r="H65" s="62">
        <f t="shared" si="23"/>
        <v>0</v>
      </c>
      <c r="I65" s="285">
        <f t="array" aca="1" ref="I65:Q65" ca="1">IF($E65&gt;timeHorizon, 0, MMULT(I64:Q64*(1-$H65), OFFSET(D.rngTPM.Q_I.Root, ($G64-1)*9, 0)) + MMULT(I64:Q64*$H65, OFFSET(D.rngTPM.Q_I.Root, ($G64-1)*9, 12)))</f>
        <v>0</v>
      </c>
      <c r="J65" s="285">
        <f ca="1"/>
        <v>0</v>
      </c>
      <c r="K65" s="285">
        <f ca="1"/>
        <v>0</v>
      </c>
      <c r="L65" s="285">
        <f ca="1"/>
        <v>0</v>
      </c>
      <c r="M65" s="285">
        <f ca="1"/>
        <v>0</v>
      </c>
      <c r="N65" s="285">
        <f ca="1"/>
        <v>0</v>
      </c>
      <c r="O65" s="285">
        <f ca="1"/>
        <v>0</v>
      </c>
      <c r="P65" s="285">
        <f ca="1"/>
        <v>0</v>
      </c>
      <c r="Q65" s="285">
        <f ca="1"/>
        <v>0</v>
      </c>
      <c r="R65" s="283" t="str">
        <f t="shared" si="31"/>
        <v/>
      </c>
      <c r="S65" s="418">
        <f t="shared" ca="1" si="24"/>
        <v>1</v>
      </c>
      <c r="T65" s="418">
        <f t="shared" ca="1" si="25"/>
        <v>0</v>
      </c>
      <c r="U65" s="418">
        <f t="shared" ca="1" si="26"/>
        <v>0</v>
      </c>
      <c r="V65" s="418">
        <f t="shared" ca="1" si="26"/>
        <v>0</v>
      </c>
      <c r="W65" s="418">
        <f ca="1">PRODUCT(I64*(1-$H65), SUM(OFFSET(D.TPMs!$L$7:$M$7, ($G64-1)*9, 0), OFFSET(D.TPMs!$O$7:$P$7, ($G64-1)*9, 0)))
+PRODUCT(I64*$H65,     SUM(OFFSET(D.TPMs!$L$7:$M$7, ($G64-1)*9, 12), OFFSET(D.TPMs!$O$7:$P$7, ($G64-1)*9, 12)))
+PRODUCT(L64*(1-$H65), SUM(OFFSET(D.TPMs!$L$10:$M$10, ($G64-1)*9, 0), OFFSET(D.TPMs!$O$10:$P$10, ($G64-1)*9, 0)))
+PRODUCT(L64*$H65,     SUM(OFFSET(D.TPMs!$L$10:$M$10, ($G64-1)*9, 12), OFFSET(D.TPMs!$O$10:$P$10, ($G64-1)*9, 12)))</f>
        <v>0</v>
      </c>
      <c r="Y65" s="285">
        <f t="array" aca="1" ref="Y65:AG65" ca="1">IF($E65&gt;timeHorizon, 0, MMULT(Y64:AG64*(1-$H65), OFFSET(D.rngTPM.Q_I.Root, ($G64-1)*9, 0)) + MMULT(Y64:AG64*$H65, OFFSET(D.rngTPM.Q_I.Root, ($G64-1)*9, 12)))</f>
        <v>0</v>
      </c>
      <c r="Z65" s="285">
        <f ca="1"/>
        <v>0</v>
      </c>
      <c r="AA65" s="285">
        <f ca="1"/>
        <v>0</v>
      </c>
      <c r="AB65" s="285">
        <f ca="1"/>
        <v>0</v>
      </c>
      <c r="AC65" s="285">
        <f ca="1"/>
        <v>0</v>
      </c>
      <c r="AD65" s="285">
        <f ca="1"/>
        <v>0</v>
      </c>
      <c r="AE65" s="285">
        <f ca="1"/>
        <v>0</v>
      </c>
      <c r="AF65" s="285">
        <f ca="1"/>
        <v>0</v>
      </c>
      <c r="AG65" s="285">
        <f ca="1"/>
        <v>0</v>
      </c>
      <c r="AH65" s="283" t="str">
        <f t="shared" si="32"/>
        <v/>
      </c>
      <c r="AI65" s="320">
        <f t="shared" ca="1" si="27"/>
        <v>1</v>
      </c>
      <c r="AJ65" s="320">
        <f t="shared" ca="1" si="28"/>
        <v>0</v>
      </c>
      <c r="AK65" s="320">
        <f t="shared" ca="1" si="29"/>
        <v>0</v>
      </c>
      <c r="AL65" s="418">
        <f t="shared" ca="1" si="20"/>
        <v>0</v>
      </c>
      <c r="AM65" s="418">
        <f ca="1">PRODUCT(Y64*(1-$H65), SUM(OFFSET(D.TPMs!$L$7:$M$7, ($G64-1)*9, 0), OFFSET(D.TPMs!$O$7:$P$7, ($G64-1)*9, 0)))
+PRODUCT(Y64*$H65,     SUM(OFFSET(D.TPMs!$L$7:$M$7, ($G64-1)*9, 12), OFFSET(D.TPMs!$O$7:$P$7, ($G64-1)*9, 12)))
+PRODUCT(AB64*(1-$H65), SUM(OFFSET(D.TPMs!$L$10:$M$10, ($G64-1)*9, 0), OFFSET(D.TPMs!$O$10:$P$10, ($G64-1)*9, 0)))
+PRODUCT(AB64*$H65,     SUM(OFFSET(D.TPMs!$L$10:$M$10, ($G64-1)*9, 12), OFFSET(D.TPMs!$O$10:$P$10, ($G64-1)*9, 12)))</f>
        <v>0</v>
      </c>
    </row>
    <row r="66" spans="4:39" ht="12" customHeight="1" x14ac:dyDescent="0.25">
      <c r="D66" s="62">
        <f t="shared" si="30"/>
        <v>56</v>
      </c>
      <c r="E66" s="63">
        <f t="shared" si="21"/>
        <v>14</v>
      </c>
      <c r="F66" s="63">
        <f t="shared" si="22"/>
        <v>79</v>
      </c>
      <c r="G66" s="301">
        <f>MATCH(F66, Parameters!$D$523:$D$524, 1)</f>
        <v>2</v>
      </c>
      <c r="H66" s="62">
        <f t="shared" si="23"/>
        <v>0</v>
      </c>
      <c r="I66" s="285">
        <f t="array" aca="1" ref="I66:Q66" ca="1">IF($E66&gt;timeHorizon, 0, MMULT(I65:Q65*(1-$H66), OFFSET(D.rngTPM.Q_I.Root, ($G65-1)*9, 0)) + MMULT(I65:Q65*$H66, OFFSET(D.rngTPM.Q_I.Root, ($G65-1)*9, 12)))</f>
        <v>0</v>
      </c>
      <c r="J66" s="285">
        <f ca="1"/>
        <v>0</v>
      </c>
      <c r="K66" s="285">
        <f ca="1"/>
        <v>0</v>
      </c>
      <c r="L66" s="285">
        <f ca="1"/>
        <v>0</v>
      </c>
      <c r="M66" s="285">
        <f ca="1"/>
        <v>0</v>
      </c>
      <c r="N66" s="285">
        <f ca="1"/>
        <v>0</v>
      </c>
      <c r="O66" s="285">
        <f ca="1"/>
        <v>0</v>
      </c>
      <c r="P66" s="285">
        <f ca="1"/>
        <v>0</v>
      </c>
      <c r="Q66" s="285">
        <f ca="1"/>
        <v>0</v>
      </c>
      <c r="R66" s="283" t="str">
        <f t="shared" si="31"/>
        <v/>
      </c>
      <c r="S66" s="418">
        <f t="shared" ca="1" si="24"/>
        <v>1</v>
      </c>
      <c r="T66" s="418">
        <f t="shared" ca="1" si="25"/>
        <v>0</v>
      </c>
      <c r="U66" s="418">
        <f t="shared" ca="1" si="26"/>
        <v>0</v>
      </c>
      <c r="V66" s="418">
        <f t="shared" ca="1" si="26"/>
        <v>0</v>
      </c>
      <c r="W66" s="418">
        <f ca="1">PRODUCT(I65*(1-$H66), SUM(OFFSET(D.TPMs!$L$7:$M$7, ($G65-1)*9, 0), OFFSET(D.TPMs!$O$7:$P$7, ($G65-1)*9, 0)))
+PRODUCT(I65*$H66,     SUM(OFFSET(D.TPMs!$L$7:$M$7, ($G65-1)*9, 12), OFFSET(D.TPMs!$O$7:$P$7, ($G65-1)*9, 12)))
+PRODUCT(L65*(1-$H66), SUM(OFFSET(D.TPMs!$L$10:$M$10, ($G65-1)*9, 0), OFFSET(D.TPMs!$O$10:$P$10, ($G65-1)*9, 0)))
+PRODUCT(L65*$H66,     SUM(OFFSET(D.TPMs!$L$10:$M$10, ($G65-1)*9, 12), OFFSET(D.TPMs!$O$10:$P$10, ($G65-1)*9, 12)))</f>
        <v>0</v>
      </c>
      <c r="Y66" s="285">
        <f t="array" aca="1" ref="Y66:AG66" ca="1">IF($E66&gt;timeHorizon, 0, MMULT(Y65:AG65*(1-$H66), OFFSET(D.rngTPM.Q_I.Root, ($G65-1)*9, 0)) + MMULT(Y65:AG65*$H66, OFFSET(D.rngTPM.Q_I.Root, ($G65-1)*9, 12)))</f>
        <v>0</v>
      </c>
      <c r="Z66" s="285">
        <f ca="1"/>
        <v>0</v>
      </c>
      <c r="AA66" s="285">
        <f ca="1"/>
        <v>0</v>
      </c>
      <c r="AB66" s="285">
        <f ca="1"/>
        <v>0</v>
      </c>
      <c r="AC66" s="285">
        <f ca="1"/>
        <v>0</v>
      </c>
      <c r="AD66" s="285">
        <f ca="1"/>
        <v>0</v>
      </c>
      <c r="AE66" s="285">
        <f ca="1"/>
        <v>0</v>
      </c>
      <c r="AF66" s="285">
        <f ca="1"/>
        <v>0</v>
      </c>
      <c r="AG66" s="285">
        <f ca="1"/>
        <v>0</v>
      </c>
      <c r="AH66" s="283" t="str">
        <f t="shared" si="32"/>
        <v/>
      </c>
      <c r="AI66" s="320">
        <f t="shared" ca="1" si="27"/>
        <v>1</v>
      </c>
      <c r="AJ66" s="320">
        <f t="shared" ca="1" si="28"/>
        <v>0</v>
      </c>
      <c r="AK66" s="320">
        <f t="shared" ca="1" si="29"/>
        <v>0</v>
      </c>
      <c r="AL66" s="418">
        <f t="shared" ca="1" si="20"/>
        <v>0</v>
      </c>
      <c r="AM66" s="418">
        <f ca="1">PRODUCT(Y65*(1-$H66), SUM(OFFSET(D.TPMs!$L$7:$M$7, ($G65-1)*9, 0), OFFSET(D.TPMs!$O$7:$P$7, ($G65-1)*9, 0)))
+PRODUCT(Y65*$H66,     SUM(OFFSET(D.TPMs!$L$7:$M$7, ($G65-1)*9, 12), OFFSET(D.TPMs!$O$7:$P$7, ($G65-1)*9, 12)))
+PRODUCT(AB65*(1-$H66), SUM(OFFSET(D.TPMs!$L$10:$M$10, ($G65-1)*9, 0), OFFSET(D.TPMs!$O$10:$P$10, ($G65-1)*9, 0)))
+PRODUCT(AB65*$H66,     SUM(OFFSET(D.TPMs!$L$10:$M$10, ($G65-1)*9, 12), OFFSET(D.TPMs!$O$10:$P$10, ($G65-1)*9, 12)))</f>
        <v>0</v>
      </c>
    </row>
    <row r="67" spans="4:39" ht="12" customHeight="1" x14ac:dyDescent="0.25">
      <c r="D67" s="62">
        <f t="shared" si="30"/>
        <v>57</v>
      </c>
      <c r="E67" s="63">
        <f t="shared" si="21"/>
        <v>14.25</v>
      </c>
      <c r="F67" s="63">
        <f t="shared" si="22"/>
        <v>79.25</v>
      </c>
      <c r="G67" s="301">
        <f>MATCH(F67, Parameters!$D$523:$D$524, 1)</f>
        <v>2</v>
      </c>
      <c r="H67" s="62">
        <f t="shared" si="23"/>
        <v>0</v>
      </c>
      <c r="I67" s="285">
        <f t="array" aca="1" ref="I67:Q67" ca="1">IF($E67&gt;timeHorizon, 0, MMULT(I66:Q66*(1-$H67), OFFSET(D.rngTPM.Q_I.Root, ($G66-1)*9, 0)) + MMULT(I66:Q66*$H67, OFFSET(D.rngTPM.Q_I.Root, ($G66-1)*9, 12)))</f>
        <v>0</v>
      </c>
      <c r="J67" s="285">
        <f ca="1"/>
        <v>0</v>
      </c>
      <c r="K67" s="285">
        <f ca="1"/>
        <v>0</v>
      </c>
      <c r="L67" s="285">
        <f ca="1"/>
        <v>0</v>
      </c>
      <c r="M67" s="285">
        <f ca="1"/>
        <v>0</v>
      </c>
      <c r="N67" s="285">
        <f ca="1"/>
        <v>0</v>
      </c>
      <c r="O67" s="285">
        <f ca="1"/>
        <v>0</v>
      </c>
      <c r="P67" s="285">
        <f ca="1"/>
        <v>0</v>
      </c>
      <c r="Q67" s="285">
        <f ca="1"/>
        <v>0</v>
      </c>
      <c r="R67" s="283" t="str">
        <f t="shared" si="31"/>
        <v/>
      </c>
      <c r="S67" s="418">
        <f t="shared" ca="1" si="24"/>
        <v>1</v>
      </c>
      <c r="T67" s="418">
        <f t="shared" ca="1" si="25"/>
        <v>0</v>
      </c>
      <c r="U67" s="418">
        <f t="shared" ca="1" si="26"/>
        <v>0</v>
      </c>
      <c r="V67" s="418">
        <f t="shared" ca="1" si="26"/>
        <v>0</v>
      </c>
      <c r="W67" s="418">
        <f ca="1">PRODUCT(I66*(1-$H67), SUM(OFFSET(D.TPMs!$L$7:$M$7, ($G66-1)*9, 0), OFFSET(D.TPMs!$O$7:$P$7, ($G66-1)*9, 0)))
+PRODUCT(I66*$H67,     SUM(OFFSET(D.TPMs!$L$7:$M$7, ($G66-1)*9, 12), OFFSET(D.TPMs!$O$7:$P$7, ($G66-1)*9, 12)))
+PRODUCT(L66*(1-$H67), SUM(OFFSET(D.TPMs!$L$10:$M$10, ($G66-1)*9, 0), OFFSET(D.TPMs!$O$10:$P$10, ($G66-1)*9, 0)))
+PRODUCT(L66*$H67,     SUM(OFFSET(D.TPMs!$L$10:$M$10, ($G66-1)*9, 12), OFFSET(D.TPMs!$O$10:$P$10, ($G66-1)*9, 12)))</f>
        <v>0</v>
      </c>
      <c r="Y67" s="285">
        <f t="array" aca="1" ref="Y67:AG67" ca="1">IF($E67&gt;timeHorizon, 0, MMULT(Y66:AG66*(1-$H67), OFFSET(D.rngTPM.Q_I.Root, ($G66-1)*9, 0)) + MMULT(Y66:AG66*$H67, OFFSET(D.rngTPM.Q_I.Root, ($G66-1)*9, 12)))</f>
        <v>0</v>
      </c>
      <c r="Z67" s="285">
        <f ca="1"/>
        <v>0</v>
      </c>
      <c r="AA67" s="285">
        <f ca="1"/>
        <v>0</v>
      </c>
      <c r="AB67" s="285">
        <f ca="1"/>
        <v>0</v>
      </c>
      <c r="AC67" s="285">
        <f ca="1"/>
        <v>0</v>
      </c>
      <c r="AD67" s="285">
        <f ca="1"/>
        <v>0</v>
      </c>
      <c r="AE67" s="285">
        <f ca="1"/>
        <v>0</v>
      </c>
      <c r="AF67" s="285">
        <f ca="1"/>
        <v>0</v>
      </c>
      <c r="AG67" s="285">
        <f ca="1"/>
        <v>0</v>
      </c>
      <c r="AH67" s="283" t="str">
        <f t="shared" si="32"/>
        <v/>
      </c>
      <c r="AI67" s="320">
        <f t="shared" ca="1" si="27"/>
        <v>1</v>
      </c>
      <c r="AJ67" s="320">
        <f t="shared" ca="1" si="28"/>
        <v>0</v>
      </c>
      <c r="AK67" s="320">
        <f t="shared" ca="1" si="29"/>
        <v>0</v>
      </c>
      <c r="AL67" s="418">
        <f t="shared" ca="1" si="20"/>
        <v>0</v>
      </c>
      <c r="AM67" s="418">
        <f ca="1">PRODUCT(Y66*(1-$H67), SUM(OFFSET(D.TPMs!$L$7:$M$7, ($G66-1)*9, 0), OFFSET(D.TPMs!$O$7:$P$7, ($G66-1)*9, 0)))
+PRODUCT(Y66*$H67,     SUM(OFFSET(D.TPMs!$L$7:$M$7, ($G66-1)*9, 12), OFFSET(D.TPMs!$O$7:$P$7, ($G66-1)*9, 12)))
+PRODUCT(AB66*(1-$H67), SUM(OFFSET(D.TPMs!$L$10:$M$10, ($G66-1)*9, 0), OFFSET(D.TPMs!$O$10:$P$10, ($G66-1)*9, 0)))
+PRODUCT(AB66*$H67,     SUM(OFFSET(D.TPMs!$L$10:$M$10, ($G66-1)*9, 12), OFFSET(D.TPMs!$O$10:$P$10, ($G66-1)*9, 12)))</f>
        <v>0</v>
      </c>
    </row>
    <row r="68" spans="4:39" ht="12" customHeight="1" x14ac:dyDescent="0.25">
      <c r="D68" s="62">
        <f t="shared" si="30"/>
        <v>58</v>
      </c>
      <c r="E68" s="63">
        <f t="shared" si="21"/>
        <v>14.5</v>
      </c>
      <c r="F68" s="63">
        <f t="shared" si="22"/>
        <v>79.5</v>
      </c>
      <c r="G68" s="301">
        <f>MATCH(F68, Parameters!$D$523:$D$524, 1)</f>
        <v>2</v>
      </c>
      <c r="H68" s="62">
        <f t="shared" si="23"/>
        <v>0</v>
      </c>
      <c r="I68" s="285">
        <f t="array" aca="1" ref="I68:Q68" ca="1">IF($E68&gt;timeHorizon, 0, MMULT(I67:Q67*(1-$H68), OFFSET(D.rngTPM.Q_I.Root, ($G67-1)*9, 0)) + MMULT(I67:Q67*$H68, OFFSET(D.rngTPM.Q_I.Root, ($G67-1)*9, 12)))</f>
        <v>0</v>
      </c>
      <c r="J68" s="285">
        <f ca="1"/>
        <v>0</v>
      </c>
      <c r="K68" s="285">
        <f ca="1"/>
        <v>0</v>
      </c>
      <c r="L68" s="285">
        <f ca="1"/>
        <v>0</v>
      </c>
      <c r="M68" s="285">
        <f ca="1"/>
        <v>0</v>
      </c>
      <c r="N68" s="285">
        <f ca="1"/>
        <v>0</v>
      </c>
      <c r="O68" s="285">
        <f ca="1"/>
        <v>0</v>
      </c>
      <c r="P68" s="285">
        <f ca="1"/>
        <v>0</v>
      </c>
      <c r="Q68" s="285">
        <f ca="1"/>
        <v>0</v>
      </c>
      <c r="R68" s="283" t="str">
        <f t="shared" si="31"/>
        <v/>
      </c>
      <c r="S68" s="418">
        <f t="shared" ca="1" si="24"/>
        <v>1</v>
      </c>
      <c r="T68" s="418">
        <f t="shared" ca="1" si="25"/>
        <v>0</v>
      </c>
      <c r="U68" s="418">
        <f t="shared" ca="1" si="26"/>
        <v>0</v>
      </c>
      <c r="V68" s="418">
        <f t="shared" ca="1" si="26"/>
        <v>0</v>
      </c>
      <c r="W68" s="418">
        <f ca="1">PRODUCT(I67*(1-$H68), SUM(OFFSET(D.TPMs!$L$7:$M$7, ($G67-1)*9, 0), OFFSET(D.TPMs!$O$7:$P$7, ($G67-1)*9, 0)))
+PRODUCT(I67*$H68,     SUM(OFFSET(D.TPMs!$L$7:$M$7, ($G67-1)*9, 12), OFFSET(D.TPMs!$O$7:$P$7, ($G67-1)*9, 12)))
+PRODUCT(L67*(1-$H68), SUM(OFFSET(D.TPMs!$L$10:$M$10, ($G67-1)*9, 0), OFFSET(D.TPMs!$O$10:$P$10, ($G67-1)*9, 0)))
+PRODUCT(L67*$H68,     SUM(OFFSET(D.TPMs!$L$10:$M$10, ($G67-1)*9, 12), OFFSET(D.TPMs!$O$10:$P$10, ($G67-1)*9, 12)))</f>
        <v>0</v>
      </c>
      <c r="Y68" s="285">
        <f t="array" aca="1" ref="Y68:AG68" ca="1">IF($E68&gt;timeHorizon, 0, MMULT(Y67:AG67*(1-$H68), OFFSET(D.rngTPM.Q_I.Root, ($G67-1)*9, 0)) + MMULT(Y67:AG67*$H68, OFFSET(D.rngTPM.Q_I.Root, ($G67-1)*9, 12)))</f>
        <v>0</v>
      </c>
      <c r="Z68" s="285">
        <f ca="1"/>
        <v>0</v>
      </c>
      <c r="AA68" s="285">
        <f ca="1"/>
        <v>0</v>
      </c>
      <c r="AB68" s="285">
        <f ca="1"/>
        <v>0</v>
      </c>
      <c r="AC68" s="285">
        <f ca="1"/>
        <v>0</v>
      </c>
      <c r="AD68" s="285">
        <f ca="1"/>
        <v>0</v>
      </c>
      <c r="AE68" s="285">
        <f ca="1"/>
        <v>0</v>
      </c>
      <c r="AF68" s="285">
        <f ca="1"/>
        <v>0</v>
      </c>
      <c r="AG68" s="285">
        <f ca="1"/>
        <v>0</v>
      </c>
      <c r="AH68" s="283" t="str">
        <f t="shared" si="32"/>
        <v/>
      </c>
      <c r="AI68" s="320">
        <f t="shared" ca="1" si="27"/>
        <v>1</v>
      </c>
      <c r="AJ68" s="320">
        <f t="shared" ca="1" si="28"/>
        <v>0</v>
      </c>
      <c r="AK68" s="320">
        <f t="shared" ca="1" si="29"/>
        <v>0</v>
      </c>
      <c r="AL68" s="418">
        <f t="shared" ca="1" si="20"/>
        <v>0</v>
      </c>
      <c r="AM68" s="418">
        <f ca="1">PRODUCT(Y67*(1-$H68), SUM(OFFSET(D.TPMs!$L$7:$M$7, ($G67-1)*9, 0), OFFSET(D.TPMs!$O$7:$P$7, ($G67-1)*9, 0)))
+PRODUCT(Y67*$H68,     SUM(OFFSET(D.TPMs!$L$7:$M$7, ($G67-1)*9, 12), OFFSET(D.TPMs!$O$7:$P$7, ($G67-1)*9, 12)))
+PRODUCT(AB67*(1-$H68), SUM(OFFSET(D.TPMs!$L$10:$M$10, ($G67-1)*9, 0), OFFSET(D.TPMs!$O$10:$P$10, ($G67-1)*9, 0)))
+PRODUCT(AB67*$H68,     SUM(OFFSET(D.TPMs!$L$10:$M$10, ($G67-1)*9, 12), OFFSET(D.TPMs!$O$10:$P$10, ($G67-1)*9, 12)))</f>
        <v>0</v>
      </c>
    </row>
    <row r="69" spans="4:39" ht="12" customHeight="1" x14ac:dyDescent="0.25">
      <c r="D69" s="62">
        <f t="shared" si="30"/>
        <v>59</v>
      </c>
      <c r="E69" s="63">
        <f t="shared" si="21"/>
        <v>14.75</v>
      </c>
      <c r="F69" s="63">
        <f t="shared" si="22"/>
        <v>79.75</v>
      </c>
      <c r="G69" s="301">
        <f>MATCH(F69, Parameters!$D$523:$D$524, 1)</f>
        <v>2</v>
      </c>
      <c r="H69" s="62">
        <f t="shared" si="23"/>
        <v>0</v>
      </c>
      <c r="I69" s="285">
        <f t="array" aca="1" ref="I69:Q69" ca="1">IF($E69&gt;timeHorizon, 0, MMULT(I68:Q68*(1-$H69), OFFSET(D.rngTPM.Q_I.Root, ($G68-1)*9, 0)) + MMULT(I68:Q68*$H69, OFFSET(D.rngTPM.Q_I.Root, ($G68-1)*9, 12)))</f>
        <v>0</v>
      </c>
      <c r="J69" s="285">
        <f ca="1"/>
        <v>0</v>
      </c>
      <c r="K69" s="285">
        <f ca="1"/>
        <v>0</v>
      </c>
      <c r="L69" s="285">
        <f ca="1"/>
        <v>0</v>
      </c>
      <c r="M69" s="285">
        <f ca="1"/>
        <v>0</v>
      </c>
      <c r="N69" s="285">
        <f ca="1"/>
        <v>0</v>
      </c>
      <c r="O69" s="285">
        <f ca="1"/>
        <v>0</v>
      </c>
      <c r="P69" s="285">
        <f ca="1"/>
        <v>0</v>
      </c>
      <c r="Q69" s="285">
        <f ca="1"/>
        <v>0</v>
      </c>
      <c r="R69" s="283" t="str">
        <f t="shared" si="31"/>
        <v/>
      </c>
      <c r="S69" s="418">
        <f t="shared" ca="1" si="24"/>
        <v>1</v>
      </c>
      <c r="T69" s="418">
        <f t="shared" ca="1" si="25"/>
        <v>0</v>
      </c>
      <c r="U69" s="418">
        <f t="shared" ca="1" si="26"/>
        <v>0</v>
      </c>
      <c r="V69" s="418">
        <f t="shared" ca="1" si="26"/>
        <v>0</v>
      </c>
      <c r="W69" s="418">
        <f ca="1">PRODUCT(I68*(1-$H69), SUM(OFFSET(D.TPMs!$L$7:$M$7, ($G68-1)*9, 0), OFFSET(D.TPMs!$O$7:$P$7, ($G68-1)*9, 0)))
+PRODUCT(I68*$H69,     SUM(OFFSET(D.TPMs!$L$7:$M$7, ($G68-1)*9, 12), OFFSET(D.TPMs!$O$7:$P$7, ($G68-1)*9, 12)))
+PRODUCT(L68*(1-$H69), SUM(OFFSET(D.TPMs!$L$10:$M$10, ($G68-1)*9, 0), OFFSET(D.TPMs!$O$10:$P$10, ($G68-1)*9, 0)))
+PRODUCT(L68*$H69,     SUM(OFFSET(D.TPMs!$L$10:$M$10, ($G68-1)*9, 12), OFFSET(D.TPMs!$O$10:$P$10, ($G68-1)*9, 12)))</f>
        <v>0</v>
      </c>
      <c r="Y69" s="285">
        <f t="array" aca="1" ref="Y69:AG69" ca="1">IF($E69&gt;timeHorizon, 0, MMULT(Y68:AG68*(1-$H69), OFFSET(D.rngTPM.Q_I.Root, ($G68-1)*9, 0)) + MMULT(Y68:AG68*$H69, OFFSET(D.rngTPM.Q_I.Root, ($G68-1)*9, 12)))</f>
        <v>0</v>
      </c>
      <c r="Z69" s="285">
        <f ca="1"/>
        <v>0</v>
      </c>
      <c r="AA69" s="285">
        <f ca="1"/>
        <v>0</v>
      </c>
      <c r="AB69" s="285">
        <f ca="1"/>
        <v>0</v>
      </c>
      <c r="AC69" s="285">
        <f ca="1"/>
        <v>0</v>
      </c>
      <c r="AD69" s="285">
        <f ca="1"/>
        <v>0</v>
      </c>
      <c r="AE69" s="285">
        <f ca="1"/>
        <v>0</v>
      </c>
      <c r="AF69" s="285">
        <f ca="1"/>
        <v>0</v>
      </c>
      <c r="AG69" s="285">
        <f ca="1"/>
        <v>0</v>
      </c>
      <c r="AH69" s="283" t="str">
        <f t="shared" si="32"/>
        <v/>
      </c>
      <c r="AI69" s="320">
        <f t="shared" ca="1" si="27"/>
        <v>1</v>
      </c>
      <c r="AJ69" s="320">
        <f t="shared" ca="1" si="28"/>
        <v>0</v>
      </c>
      <c r="AK69" s="320">
        <f t="shared" ca="1" si="29"/>
        <v>0</v>
      </c>
      <c r="AL69" s="418">
        <f t="shared" ca="1" si="20"/>
        <v>0</v>
      </c>
      <c r="AM69" s="418">
        <f ca="1">PRODUCT(Y68*(1-$H69), SUM(OFFSET(D.TPMs!$L$7:$M$7, ($G68-1)*9, 0), OFFSET(D.TPMs!$O$7:$P$7, ($G68-1)*9, 0)))
+PRODUCT(Y68*$H69,     SUM(OFFSET(D.TPMs!$L$7:$M$7, ($G68-1)*9, 12), OFFSET(D.TPMs!$O$7:$P$7, ($G68-1)*9, 12)))
+PRODUCT(AB68*(1-$H69), SUM(OFFSET(D.TPMs!$L$10:$M$10, ($G68-1)*9, 0), OFFSET(D.TPMs!$O$10:$P$10, ($G68-1)*9, 0)))
+PRODUCT(AB68*$H69,     SUM(OFFSET(D.TPMs!$L$10:$M$10, ($G68-1)*9, 12), OFFSET(D.TPMs!$O$10:$P$10, ($G68-1)*9, 12)))</f>
        <v>0</v>
      </c>
    </row>
    <row r="70" spans="4:39" ht="12" customHeight="1" x14ac:dyDescent="0.25">
      <c r="D70" s="62">
        <f t="shared" si="30"/>
        <v>60</v>
      </c>
      <c r="E70" s="63">
        <f t="shared" si="21"/>
        <v>15</v>
      </c>
      <c r="F70" s="63">
        <f t="shared" si="22"/>
        <v>80</v>
      </c>
      <c r="G70" s="301">
        <f>MATCH(F70, Parameters!$D$523:$D$524, 1)</f>
        <v>2</v>
      </c>
      <c r="H70" s="62">
        <f t="shared" si="23"/>
        <v>0</v>
      </c>
      <c r="I70" s="285">
        <f t="array" aca="1" ref="I70:Q70" ca="1">IF($E70&gt;timeHorizon, 0, MMULT(I69:Q69*(1-$H70), OFFSET(D.rngTPM.Q_I.Root, ($G69-1)*9, 0)) + MMULT(I69:Q69*$H70, OFFSET(D.rngTPM.Q_I.Root, ($G69-1)*9, 12)))</f>
        <v>0</v>
      </c>
      <c r="J70" s="285">
        <f ca="1"/>
        <v>0</v>
      </c>
      <c r="K70" s="285">
        <f ca="1"/>
        <v>0</v>
      </c>
      <c r="L70" s="285">
        <f ca="1"/>
        <v>0</v>
      </c>
      <c r="M70" s="285">
        <f ca="1"/>
        <v>0</v>
      </c>
      <c r="N70" s="285">
        <f ca="1"/>
        <v>0</v>
      </c>
      <c r="O70" s="285">
        <f ca="1"/>
        <v>0</v>
      </c>
      <c r="P70" s="285">
        <f ca="1"/>
        <v>0</v>
      </c>
      <c r="Q70" s="285">
        <f ca="1"/>
        <v>0</v>
      </c>
      <c r="R70" s="283" t="str">
        <f t="shared" si="31"/>
        <v/>
      </c>
      <c r="S70" s="418">
        <f t="shared" ca="1" si="24"/>
        <v>1</v>
      </c>
      <c r="T70" s="418">
        <f t="shared" ca="1" si="25"/>
        <v>0</v>
      </c>
      <c r="U70" s="418">
        <f t="shared" ca="1" si="26"/>
        <v>0</v>
      </c>
      <c r="V70" s="418">
        <f t="shared" ca="1" si="26"/>
        <v>0</v>
      </c>
      <c r="W70" s="418">
        <f ca="1">PRODUCT(I69*(1-$H70), SUM(OFFSET(D.TPMs!$L$7:$M$7, ($G69-1)*9, 0), OFFSET(D.TPMs!$O$7:$P$7, ($G69-1)*9, 0)))
+PRODUCT(I69*$H70,     SUM(OFFSET(D.TPMs!$L$7:$M$7, ($G69-1)*9, 12), OFFSET(D.TPMs!$O$7:$P$7, ($G69-1)*9, 12)))
+PRODUCT(L69*(1-$H70), SUM(OFFSET(D.TPMs!$L$10:$M$10, ($G69-1)*9, 0), OFFSET(D.TPMs!$O$10:$P$10, ($G69-1)*9, 0)))
+PRODUCT(L69*$H70,     SUM(OFFSET(D.TPMs!$L$10:$M$10, ($G69-1)*9, 12), OFFSET(D.TPMs!$O$10:$P$10, ($G69-1)*9, 12)))</f>
        <v>0</v>
      </c>
      <c r="Y70" s="285">
        <f t="array" aca="1" ref="Y70:AG70" ca="1">IF($E70&gt;timeHorizon, 0, MMULT(Y69:AG69*(1-$H70), OFFSET(D.rngTPM.Q_I.Root, ($G69-1)*9, 0)) + MMULT(Y69:AG69*$H70, OFFSET(D.rngTPM.Q_I.Root, ($G69-1)*9, 12)))</f>
        <v>0</v>
      </c>
      <c r="Z70" s="285">
        <f ca="1"/>
        <v>0</v>
      </c>
      <c r="AA70" s="285">
        <f ca="1"/>
        <v>0</v>
      </c>
      <c r="AB70" s="285">
        <f ca="1"/>
        <v>0</v>
      </c>
      <c r="AC70" s="285">
        <f ca="1"/>
        <v>0</v>
      </c>
      <c r="AD70" s="285">
        <f ca="1"/>
        <v>0</v>
      </c>
      <c r="AE70" s="285">
        <f ca="1"/>
        <v>0</v>
      </c>
      <c r="AF70" s="285">
        <f ca="1"/>
        <v>0</v>
      </c>
      <c r="AG70" s="285">
        <f ca="1"/>
        <v>0</v>
      </c>
      <c r="AH70" s="283" t="str">
        <f t="shared" si="32"/>
        <v/>
      </c>
      <c r="AI70" s="320">
        <f t="shared" ca="1" si="27"/>
        <v>1</v>
      </c>
      <c r="AJ70" s="320">
        <f t="shared" ca="1" si="28"/>
        <v>0</v>
      </c>
      <c r="AK70" s="320">
        <f t="shared" ca="1" si="29"/>
        <v>0</v>
      </c>
      <c r="AL70" s="418">
        <f t="shared" ca="1" si="20"/>
        <v>0</v>
      </c>
      <c r="AM70" s="418">
        <f ca="1">PRODUCT(Y69*(1-$H70), SUM(OFFSET(D.TPMs!$L$7:$M$7, ($G69-1)*9, 0), OFFSET(D.TPMs!$O$7:$P$7, ($G69-1)*9, 0)))
+PRODUCT(Y69*$H70,     SUM(OFFSET(D.TPMs!$L$7:$M$7, ($G69-1)*9, 12), OFFSET(D.TPMs!$O$7:$P$7, ($G69-1)*9, 12)))
+PRODUCT(AB69*(1-$H70), SUM(OFFSET(D.TPMs!$L$10:$M$10, ($G69-1)*9, 0), OFFSET(D.TPMs!$O$10:$P$10, ($G69-1)*9, 0)))
+PRODUCT(AB69*$H70,     SUM(OFFSET(D.TPMs!$L$10:$M$10, ($G69-1)*9, 12), OFFSET(D.TPMs!$O$10:$P$10, ($G69-1)*9, 12)))</f>
        <v>0</v>
      </c>
    </row>
    <row r="71" spans="4:39" ht="12" customHeight="1" x14ac:dyDescent="0.25">
      <c r="D71" s="62">
        <f t="shared" si="30"/>
        <v>61</v>
      </c>
      <c r="E71" s="63">
        <f t="shared" si="21"/>
        <v>15.25</v>
      </c>
      <c r="F71" s="63">
        <f t="shared" si="22"/>
        <v>80.25</v>
      </c>
      <c r="G71" s="301">
        <f>MATCH(F71, Parameters!$D$523:$D$524, 1)</f>
        <v>2</v>
      </c>
      <c r="H71" s="62">
        <f t="shared" si="23"/>
        <v>0</v>
      </c>
      <c r="I71" s="285">
        <f t="array" aca="1" ref="I71:Q71" ca="1">IF($E71&gt;timeHorizon, 0, MMULT(I70:Q70*(1-$H71), OFFSET(D.rngTPM.Q_I.Root, ($G70-1)*9, 0)) + MMULT(I70:Q70*$H71, OFFSET(D.rngTPM.Q_I.Root, ($G70-1)*9, 12)))</f>
        <v>0</v>
      </c>
      <c r="J71" s="285">
        <f ca="1"/>
        <v>0</v>
      </c>
      <c r="K71" s="285">
        <f ca="1"/>
        <v>0</v>
      </c>
      <c r="L71" s="285">
        <f ca="1"/>
        <v>0</v>
      </c>
      <c r="M71" s="285">
        <f ca="1"/>
        <v>0</v>
      </c>
      <c r="N71" s="285">
        <f ca="1"/>
        <v>0</v>
      </c>
      <c r="O71" s="285">
        <f ca="1"/>
        <v>0</v>
      </c>
      <c r="P71" s="285">
        <f ca="1"/>
        <v>0</v>
      </c>
      <c r="Q71" s="285">
        <f ca="1"/>
        <v>0</v>
      </c>
      <c r="R71" s="283" t="str">
        <f t="shared" si="31"/>
        <v/>
      </c>
      <c r="S71" s="418">
        <f t="shared" ca="1" si="24"/>
        <v>1</v>
      </c>
      <c r="T71" s="418">
        <f t="shared" ca="1" si="25"/>
        <v>0</v>
      </c>
      <c r="U71" s="418">
        <f t="shared" ca="1" si="26"/>
        <v>0</v>
      </c>
      <c r="V71" s="418">
        <f t="shared" ca="1" si="26"/>
        <v>0</v>
      </c>
      <c r="W71" s="418">
        <f ca="1">PRODUCT(I70*(1-$H71), SUM(OFFSET(D.TPMs!$L$7:$M$7, ($G70-1)*9, 0), OFFSET(D.TPMs!$O$7:$P$7, ($G70-1)*9, 0)))
+PRODUCT(I70*$H71,     SUM(OFFSET(D.TPMs!$L$7:$M$7, ($G70-1)*9, 12), OFFSET(D.TPMs!$O$7:$P$7, ($G70-1)*9, 12)))
+PRODUCT(L70*(1-$H71), SUM(OFFSET(D.TPMs!$L$10:$M$10, ($G70-1)*9, 0), OFFSET(D.TPMs!$O$10:$P$10, ($G70-1)*9, 0)))
+PRODUCT(L70*$H71,     SUM(OFFSET(D.TPMs!$L$10:$M$10, ($G70-1)*9, 12), OFFSET(D.TPMs!$O$10:$P$10, ($G70-1)*9, 12)))</f>
        <v>0</v>
      </c>
      <c r="Y71" s="285">
        <f t="array" aca="1" ref="Y71:AG71" ca="1">IF($E71&gt;timeHorizon, 0, MMULT(Y70:AG70*(1-$H71), OFFSET(D.rngTPM.Q_I.Root, ($G70-1)*9, 0)) + MMULT(Y70:AG70*$H71, OFFSET(D.rngTPM.Q_I.Root, ($G70-1)*9, 12)))</f>
        <v>0</v>
      </c>
      <c r="Z71" s="285">
        <f ca="1"/>
        <v>0</v>
      </c>
      <c r="AA71" s="285">
        <f ca="1"/>
        <v>0</v>
      </c>
      <c r="AB71" s="285">
        <f ca="1"/>
        <v>0</v>
      </c>
      <c r="AC71" s="285">
        <f ca="1"/>
        <v>0</v>
      </c>
      <c r="AD71" s="285">
        <f ca="1"/>
        <v>0</v>
      </c>
      <c r="AE71" s="285">
        <f ca="1"/>
        <v>0</v>
      </c>
      <c r="AF71" s="285">
        <f ca="1"/>
        <v>0</v>
      </c>
      <c r="AG71" s="285">
        <f ca="1"/>
        <v>0</v>
      </c>
      <c r="AH71" s="283" t="str">
        <f t="shared" si="32"/>
        <v/>
      </c>
      <c r="AI71" s="320">
        <f t="shared" ca="1" si="27"/>
        <v>1</v>
      </c>
      <c r="AJ71" s="320">
        <f t="shared" ca="1" si="28"/>
        <v>0</v>
      </c>
      <c r="AK71" s="320">
        <f t="shared" ca="1" si="29"/>
        <v>0</v>
      </c>
      <c r="AL71" s="418">
        <f t="shared" ca="1" si="20"/>
        <v>0</v>
      </c>
      <c r="AM71" s="418">
        <f ca="1">PRODUCT(Y70*(1-$H71), SUM(OFFSET(D.TPMs!$L$7:$M$7, ($G70-1)*9, 0), OFFSET(D.TPMs!$O$7:$P$7, ($G70-1)*9, 0)))
+PRODUCT(Y70*$H71,     SUM(OFFSET(D.TPMs!$L$7:$M$7, ($G70-1)*9, 12), OFFSET(D.TPMs!$O$7:$P$7, ($G70-1)*9, 12)))
+PRODUCT(AB70*(1-$H71), SUM(OFFSET(D.TPMs!$L$10:$M$10, ($G70-1)*9, 0), OFFSET(D.TPMs!$O$10:$P$10, ($G70-1)*9, 0)))
+PRODUCT(AB70*$H71,     SUM(OFFSET(D.TPMs!$L$10:$M$10, ($G70-1)*9, 12), OFFSET(D.TPMs!$O$10:$P$10, ($G70-1)*9, 12)))</f>
        <v>0</v>
      </c>
    </row>
    <row r="72" spans="4:39" ht="12" customHeight="1" x14ac:dyDescent="0.25">
      <c r="D72" s="62">
        <f t="shared" si="30"/>
        <v>62</v>
      </c>
      <c r="E72" s="63">
        <f t="shared" si="21"/>
        <v>15.5</v>
      </c>
      <c r="F72" s="63">
        <f t="shared" si="22"/>
        <v>80.5</v>
      </c>
      <c r="G72" s="301">
        <f>MATCH(F72, Parameters!$D$523:$D$524, 1)</f>
        <v>2</v>
      </c>
      <c r="H72" s="62">
        <f t="shared" si="23"/>
        <v>0</v>
      </c>
      <c r="I72" s="285">
        <f t="array" aca="1" ref="I72:Q72" ca="1">IF($E72&gt;timeHorizon, 0, MMULT(I71:Q71*(1-$H72), OFFSET(D.rngTPM.Q_I.Root, ($G71-1)*9, 0)) + MMULT(I71:Q71*$H72, OFFSET(D.rngTPM.Q_I.Root, ($G71-1)*9, 12)))</f>
        <v>0</v>
      </c>
      <c r="J72" s="285">
        <f ca="1"/>
        <v>0</v>
      </c>
      <c r="K72" s="285">
        <f ca="1"/>
        <v>0</v>
      </c>
      <c r="L72" s="285">
        <f ca="1"/>
        <v>0</v>
      </c>
      <c r="M72" s="285">
        <f ca="1"/>
        <v>0</v>
      </c>
      <c r="N72" s="285">
        <f ca="1"/>
        <v>0</v>
      </c>
      <c r="O72" s="285">
        <f ca="1"/>
        <v>0</v>
      </c>
      <c r="P72" s="285">
        <f ca="1"/>
        <v>0</v>
      </c>
      <c r="Q72" s="285">
        <f ca="1"/>
        <v>0</v>
      </c>
      <c r="R72" s="283" t="str">
        <f t="shared" si="31"/>
        <v/>
      </c>
      <c r="S72" s="418">
        <f t="shared" ca="1" si="24"/>
        <v>1</v>
      </c>
      <c r="T72" s="418">
        <f t="shared" ca="1" si="25"/>
        <v>0</v>
      </c>
      <c r="U72" s="418">
        <f t="shared" ca="1" si="26"/>
        <v>0</v>
      </c>
      <c r="V72" s="418">
        <f t="shared" ca="1" si="26"/>
        <v>0</v>
      </c>
      <c r="W72" s="418">
        <f ca="1">PRODUCT(I71*(1-$H72), SUM(OFFSET(D.TPMs!$L$7:$M$7, ($G71-1)*9, 0), OFFSET(D.TPMs!$O$7:$P$7, ($G71-1)*9, 0)))
+PRODUCT(I71*$H72,     SUM(OFFSET(D.TPMs!$L$7:$M$7, ($G71-1)*9, 12), OFFSET(D.TPMs!$O$7:$P$7, ($G71-1)*9, 12)))
+PRODUCT(L71*(1-$H72), SUM(OFFSET(D.TPMs!$L$10:$M$10, ($G71-1)*9, 0), OFFSET(D.TPMs!$O$10:$P$10, ($G71-1)*9, 0)))
+PRODUCT(L71*$H72,     SUM(OFFSET(D.TPMs!$L$10:$M$10, ($G71-1)*9, 12), OFFSET(D.TPMs!$O$10:$P$10, ($G71-1)*9, 12)))</f>
        <v>0</v>
      </c>
      <c r="Y72" s="285">
        <f t="array" aca="1" ref="Y72:AG72" ca="1">IF($E72&gt;timeHorizon, 0, MMULT(Y71:AG71*(1-$H72), OFFSET(D.rngTPM.Q_I.Root, ($G71-1)*9, 0)) + MMULT(Y71:AG71*$H72, OFFSET(D.rngTPM.Q_I.Root, ($G71-1)*9, 12)))</f>
        <v>0</v>
      </c>
      <c r="Z72" s="285">
        <f ca="1"/>
        <v>0</v>
      </c>
      <c r="AA72" s="285">
        <f ca="1"/>
        <v>0</v>
      </c>
      <c r="AB72" s="285">
        <f ca="1"/>
        <v>0</v>
      </c>
      <c r="AC72" s="285">
        <f ca="1"/>
        <v>0</v>
      </c>
      <c r="AD72" s="285">
        <f ca="1"/>
        <v>0</v>
      </c>
      <c r="AE72" s="285">
        <f ca="1"/>
        <v>0</v>
      </c>
      <c r="AF72" s="285">
        <f ca="1"/>
        <v>0</v>
      </c>
      <c r="AG72" s="285">
        <f ca="1"/>
        <v>0</v>
      </c>
      <c r="AH72" s="283" t="str">
        <f t="shared" si="32"/>
        <v/>
      </c>
      <c r="AI72" s="320">
        <f t="shared" ca="1" si="27"/>
        <v>1</v>
      </c>
      <c r="AJ72" s="320">
        <f t="shared" ca="1" si="28"/>
        <v>0</v>
      </c>
      <c r="AK72" s="320">
        <f t="shared" ca="1" si="29"/>
        <v>0</v>
      </c>
      <c r="AL72" s="418">
        <f t="shared" ca="1" si="20"/>
        <v>0</v>
      </c>
      <c r="AM72" s="418">
        <f ca="1">PRODUCT(Y71*(1-$H72), SUM(OFFSET(D.TPMs!$L$7:$M$7, ($G71-1)*9, 0), OFFSET(D.TPMs!$O$7:$P$7, ($G71-1)*9, 0)))
+PRODUCT(Y71*$H72,     SUM(OFFSET(D.TPMs!$L$7:$M$7, ($G71-1)*9, 12), OFFSET(D.TPMs!$O$7:$P$7, ($G71-1)*9, 12)))
+PRODUCT(AB71*(1-$H72), SUM(OFFSET(D.TPMs!$L$10:$M$10, ($G71-1)*9, 0), OFFSET(D.TPMs!$O$10:$P$10, ($G71-1)*9, 0)))
+PRODUCT(AB71*$H72,     SUM(OFFSET(D.TPMs!$L$10:$M$10, ($G71-1)*9, 12), OFFSET(D.TPMs!$O$10:$P$10, ($G71-1)*9, 12)))</f>
        <v>0</v>
      </c>
    </row>
    <row r="73" spans="4:39" ht="12" customHeight="1" x14ac:dyDescent="0.25">
      <c r="D73" s="62">
        <f t="shared" si="30"/>
        <v>63</v>
      </c>
      <c r="E73" s="63">
        <f t="shared" si="21"/>
        <v>15.75</v>
      </c>
      <c r="F73" s="63">
        <f t="shared" si="22"/>
        <v>80.75</v>
      </c>
      <c r="G73" s="301">
        <f>MATCH(F73, Parameters!$D$523:$D$524, 1)</f>
        <v>2</v>
      </c>
      <c r="H73" s="62">
        <f t="shared" si="23"/>
        <v>0</v>
      </c>
      <c r="I73" s="285">
        <f t="array" aca="1" ref="I73:Q73" ca="1">IF($E73&gt;timeHorizon, 0, MMULT(I72:Q72*(1-$H73), OFFSET(D.rngTPM.Q_I.Root, ($G72-1)*9, 0)) + MMULT(I72:Q72*$H73, OFFSET(D.rngTPM.Q_I.Root, ($G72-1)*9, 12)))</f>
        <v>0</v>
      </c>
      <c r="J73" s="285">
        <f ca="1"/>
        <v>0</v>
      </c>
      <c r="K73" s="285">
        <f ca="1"/>
        <v>0</v>
      </c>
      <c r="L73" s="285">
        <f ca="1"/>
        <v>0</v>
      </c>
      <c r="M73" s="285">
        <f ca="1"/>
        <v>0</v>
      </c>
      <c r="N73" s="285">
        <f ca="1"/>
        <v>0</v>
      </c>
      <c r="O73" s="285">
        <f ca="1"/>
        <v>0</v>
      </c>
      <c r="P73" s="285">
        <f ca="1"/>
        <v>0</v>
      </c>
      <c r="Q73" s="285">
        <f ca="1"/>
        <v>0</v>
      </c>
      <c r="R73" s="283" t="str">
        <f t="shared" si="31"/>
        <v/>
      </c>
      <c r="S73" s="418">
        <f t="shared" ca="1" si="24"/>
        <v>1</v>
      </c>
      <c r="T73" s="418">
        <f t="shared" ca="1" si="25"/>
        <v>0</v>
      </c>
      <c r="U73" s="418">
        <f t="shared" ca="1" si="26"/>
        <v>0</v>
      </c>
      <c r="V73" s="418">
        <f t="shared" ca="1" si="26"/>
        <v>0</v>
      </c>
      <c r="W73" s="418">
        <f ca="1">PRODUCT(I72*(1-$H73), SUM(OFFSET(D.TPMs!$L$7:$M$7, ($G72-1)*9, 0), OFFSET(D.TPMs!$O$7:$P$7, ($G72-1)*9, 0)))
+PRODUCT(I72*$H73,     SUM(OFFSET(D.TPMs!$L$7:$M$7, ($G72-1)*9, 12), OFFSET(D.TPMs!$O$7:$P$7, ($G72-1)*9, 12)))
+PRODUCT(L72*(1-$H73), SUM(OFFSET(D.TPMs!$L$10:$M$10, ($G72-1)*9, 0), OFFSET(D.TPMs!$O$10:$P$10, ($G72-1)*9, 0)))
+PRODUCT(L72*$H73,     SUM(OFFSET(D.TPMs!$L$10:$M$10, ($G72-1)*9, 12), OFFSET(D.TPMs!$O$10:$P$10, ($G72-1)*9, 12)))</f>
        <v>0</v>
      </c>
      <c r="Y73" s="285">
        <f t="array" aca="1" ref="Y73:AG73" ca="1">IF($E73&gt;timeHorizon, 0, MMULT(Y72:AG72*(1-$H73), OFFSET(D.rngTPM.Q_I.Root, ($G72-1)*9, 0)) + MMULT(Y72:AG72*$H73, OFFSET(D.rngTPM.Q_I.Root, ($G72-1)*9, 12)))</f>
        <v>0</v>
      </c>
      <c r="Z73" s="285">
        <f ca="1"/>
        <v>0</v>
      </c>
      <c r="AA73" s="285">
        <f ca="1"/>
        <v>0</v>
      </c>
      <c r="AB73" s="285">
        <f ca="1"/>
        <v>0</v>
      </c>
      <c r="AC73" s="285">
        <f ca="1"/>
        <v>0</v>
      </c>
      <c r="AD73" s="285">
        <f ca="1"/>
        <v>0</v>
      </c>
      <c r="AE73" s="285">
        <f ca="1"/>
        <v>0</v>
      </c>
      <c r="AF73" s="285">
        <f ca="1"/>
        <v>0</v>
      </c>
      <c r="AG73" s="285">
        <f ca="1"/>
        <v>0</v>
      </c>
      <c r="AH73" s="283" t="str">
        <f t="shared" si="32"/>
        <v/>
      </c>
      <c r="AI73" s="320">
        <f t="shared" ca="1" si="27"/>
        <v>1</v>
      </c>
      <c r="AJ73" s="320">
        <f t="shared" ca="1" si="28"/>
        <v>0</v>
      </c>
      <c r="AK73" s="320">
        <f t="shared" ca="1" si="29"/>
        <v>0</v>
      </c>
      <c r="AL73" s="418">
        <f t="shared" ca="1" si="20"/>
        <v>0</v>
      </c>
      <c r="AM73" s="418">
        <f ca="1">PRODUCT(Y72*(1-$H73), SUM(OFFSET(D.TPMs!$L$7:$M$7, ($G72-1)*9, 0), OFFSET(D.TPMs!$O$7:$P$7, ($G72-1)*9, 0)))
+PRODUCT(Y72*$H73,     SUM(OFFSET(D.TPMs!$L$7:$M$7, ($G72-1)*9, 12), OFFSET(D.TPMs!$O$7:$P$7, ($G72-1)*9, 12)))
+PRODUCT(AB72*(1-$H73), SUM(OFFSET(D.TPMs!$L$10:$M$10, ($G72-1)*9, 0), OFFSET(D.TPMs!$O$10:$P$10, ($G72-1)*9, 0)))
+PRODUCT(AB72*$H73,     SUM(OFFSET(D.TPMs!$L$10:$M$10, ($G72-1)*9, 12), OFFSET(D.TPMs!$O$10:$P$10, ($G72-1)*9, 12)))</f>
        <v>0</v>
      </c>
    </row>
    <row r="74" spans="4:39" ht="12" customHeight="1" x14ac:dyDescent="0.25">
      <c r="D74" s="62">
        <f t="shared" si="30"/>
        <v>64</v>
      </c>
      <c r="E74" s="63">
        <f t="shared" ref="E74:E105" si="33">D74*D.cycleLength</f>
        <v>16</v>
      </c>
      <c r="F74" s="63">
        <f t="shared" ref="F74:F105" si="34">D.cohortAge+E74</f>
        <v>81</v>
      </c>
      <c r="G74" s="301">
        <f>MATCH(F74, Parameters!$D$523:$D$524, 1)</f>
        <v>2</v>
      </c>
      <c r="H74" s="62">
        <f t="shared" ref="H74:H105" si="35">IF(AND(E74&lt;=D.maxDurHPE, E75&gt;D.maxDurHPE), 1, 0)</f>
        <v>0</v>
      </c>
      <c r="I74" s="285">
        <f t="array" aca="1" ref="I74:Q74" ca="1">IF($E74&gt;timeHorizon, 0, MMULT(I73:Q73*(1-$H74), OFFSET(D.rngTPM.Q_I.Root, ($G73-1)*9, 0)) + MMULT(I73:Q73*$H74, OFFSET(D.rngTPM.Q_I.Root, ($G73-1)*9, 12)))</f>
        <v>0</v>
      </c>
      <c r="J74" s="285">
        <f ca="1"/>
        <v>0</v>
      </c>
      <c r="K74" s="285">
        <f ca="1"/>
        <v>0</v>
      </c>
      <c r="L74" s="285">
        <f ca="1"/>
        <v>0</v>
      </c>
      <c r="M74" s="285">
        <f ca="1"/>
        <v>0</v>
      </c>
      <c r="N74" s="285">
        <f ca="1"/>
        <v>0</v>
      </c>
      <c r="O74" s="285">
        <f ca="1"/>
        <v>0</v>
      </c>
      <c r="P74" s="285">
        <f ca="1"/>
        <v>0</v>
      </c>
      <c r="Q74" s="285">
        <f ca="1"/>
        <v>0</v>
      </c>
      <c r="R74" s="283" t="str">
        <f t="shared" si="31"/>
        <v/>
      </c>
      <c r="S74" s="418">
        <f t="shared" ref="S74:S105" ca="1" si="36">1-Q74</f>
        <v>1</v>
      </c>
      <c r="T74" s="418">
        <f t="shared" ref="T74:T105" ca="1" si="37">J74+M74</f>
        <v>0</v>
      </c>
      <c r="U74" s="418">
        <f t="shared" ref="U74:V105" ca="1" si="38">K74+N74</f>
        <v>0</v>
      </c>
      <c r="V74" s="418">
        <f t="shared" ca="1" si="38"/>
        <v>0</v>
      </c>
      <c r="W74" s="418">
        <f ca="1">PRODUCT(I73*(1-$H74), SUM(OFFSET(D.TPMs!$L$7:$M$7, ($G73-1)*9, 0), OFFSET(D.TPMs!$O$7:$P$7, ($G73-1)*9, 0)))
+PRODUCT(I73*$H74,     SUM(OFFSET(D.TPMs!$L$7:$M$7, ($G73-1)*9, 12), OFFSET(D.TPMs!$O$7:$P$7, ($G73-1)*9, 12)))
+PRODUCT(L73*(1-$H74), SUM(OFFSET(D.TPMs!$L$10:$M$10, ($G73-1)*9, 0), OFFSET(D.TPMs!$O$10:$P$10, ($G73-1)*9, 0)))
+PRODUCT(L73*$H74,     SUM(OFFSET(D.TPMs!$L$10:$M$10, ($G73-1)*9, 12), OFFSET(D.TPMs!$O$10:$P$10, ($G73-1)*9, 12)))</f>
        <v>0</v>
      </c>
      <c r="Y74" s="285">
        <f t="array" aca="1" ref="Y74:AG74" ca="1">IF($E74&gt;timeHorizon, 0, MMULT(Y73:AG73*(1-$H74), OFFSET(D.rngTPM.Q_I.Root, ($G73-1)*9, 0)) + MMULT(Y73:AG73*$H74, OFFSET(D.rngTPM.Q_I.Root, ($G73-1)*9, 12)))</f>
        <v>0</v>
      </c>
      <c r="Z74" s="285">
        <f ca="1"/>
        <v>0</v>
      </c>
      <c r="AA74" s="285">
        <f ca="1"/>
        <v>0</v>
      </c>
      <c r="AB74" s="285">
        <f ca="1"/>
        <v>0</v>
      </c>
      <c r="AC74" s="285">
        <f ca="1"/>
        <v>0</v>
      </c>
      <c r="AD74" s="285">
        <f ca="1"/>
        <v>0</v>
      </c>
      <c r="AE74" s="285">
        <f ca="1"/>
        <v>0</v>
      </c>
      <c r="AF74" s="285">
        <f ca="1"/>
        <v>0</v>
      </c>
      <c r="AG74" s="285">
        <f ca="1"/>
        <v>0</v>
      </c>
      <c r="AH74" s="283" t="str">
        <f t="shared" si="32"/>
        <v/>
      </c>
      <c r="AI74" s="320">
        <f t="shared" ref="AI74:AI105" ca="1" si="39">1-AG74</f>
        <v>1</v>
      </c>
      <c r="AJ74" s="320">
        <f t="shared" ref="AJ74:AJ105" ca="1" si="40">Z74+AC74</f>
        <v>0</v>
      </c>
      <c r="AK74" s="320">
        <f t="shared" ref="AK74:AK105" ca="1" si="41">AA74+AD74</f>
        <v>0</v>
      </c>
      <c r="AL74" s="418">
        <f t="shared" ca="1" si="20"/>
        <v>0</v>
      </c>
      <c r="AM74" s="418">
        <f ca="1">PRODUCT(Y73*(1-$H74), SUM(OFFSET(D.TPMs!$L$7:$M$7, ($G73-1)*9, 0), OFFSET(D.TPMs!$O$7:$P$7, ($G73-1)*9, 0)))
+PRODUCT(Y73*$H74,     SUM(OFFSET(D.TPMs!$L$7:$M$7, ($G73-1)*9, 12), OFFSET(D.TPMs!$O$7:$P$7, ($G73-1)*9, 12)))
+PRODUCT(AB73*(1-$H74), SUM(OFFSET(D.TPMs!$L$10:$M$10, ($G73-1)*9, 0), OFFSET(D.TPMs!$O$10:$P$10, ($G73-1)*9, 0)))
+PRODUCT(AB73*$H74,     SUM(OFFSET(D.TPMs!$L$10:$M$10, ($G73-1)*9, 12), OFFSET(D.TPMs!$O$10:$P$10, ($G73-1)*9, 12)))</f>
        <v>0</v>
      </c>
    </row>
    <row r="75" spans="4:39" ht="12" customHeight="1" x14ac:dyDescent="0.25">
      <c r="D75" s="62">
        <f t="shared" ref="D75:D106" si="42">D74+1</f>
        <v>65</v>
      </c>
      <c r="E75" s="63">
        <f t="shared" si="33"/>
        <v>16.25</v>
      </c>
      <c r="F75" s="63">
        <f t="shared" si="34"/>
        <v>81.25</v>
      </c>
      <c r="G75" s="301">
        <f>MATCH(F75, Parameters!$D$523:$D$524, 1)</f>
        <v>2</v>
      </c>
      <c r="H75" s="62">
        <f t="shared" si="35"/>
        <v>0</v>
      </c>
      <c r="I75" s="285">
        <f t="array" aca="1" ref="I75:Q75" ca="1">IF($E75&gt;timeHorizon, 0, MMULT(I74:Q74*(1-$H75), OFFSET(D.rngTPM.Q_I.Root, ($G74-1)*9, 0)) + MMULT(I74:Q74*$H75, OFFSET(D.rngTPM.Q_I.Root, ($G74-1)*9, 12)))</f>
        <v>0</v>
      </c>
      <c r="J75" s="285">
        <f ca="1"/>
        <v>0</v>
      </c>
      <c r="K75" s="285">
        <f ca="1"/>
        <v>0</v>
      </c>
      <c r="L75" s="285">
        <f ca="1"/>
        <v>0</v>
      </c>
      <c r="M75" s="285">
        <f ca="1"/>
        <v>0</v>
      </c>
      <c r="N75" s="285">
        <f ca="1"/>
        <v>0</v>
      </c>
      <c r="O75" s="285">
        <f ca="1"/>
        <v>0</v>
      </c>
      <c r="P75" s="285">
        <f ca="1"/>
        <v>0</v>
      </c>
      <c r="Q75" s="285">
        <f ca="1"/>
        <v>0</v>
      </c>
      <c r="R75" s="283" t="str">
        <f t="shared" ref="R75:R106" si="43">IF($E75&gt;timeHorizon, "", SUM(I75:Q75))</f>
        <v/>
      </c>
      <c r="S75" s="418">
        <f t="shared" ca="1" si="36"/>
        <v>1</v>
      </c>
      <c r="T75" s="418">
        <f t="shared" ca="1" si="37"/>
        <v>0</v>
      </c>
      <c r="U75" s="418">
        <f t="shared" ca="1" si="38"/>
        <v>0</v>
      </c>
      <c r="V75" s="418">
        <f t="shared" ca="1" si="38"/>
        <v>0</v>
      </c>
      <c r="W75" s="418">
        <f ca="1">PRODUCT(I74*(1-$H75), SUM(OFFSET(D.TPMs!$L$7:$M$7, ($G74-1)*9, 0), OFFSET(D.TPMs!$O$7:$P$7, ($G74-1)*9, 0)))
+PRODUCT(I74*$H75,     SUM(OFFSET(D.TPMs!$L$7:$M$7, ($G74-1)*9, 12), OFFSET(D.TPMs!$O$7:$P$7, ($G74-1)*9, 12)))
+PRODUCT(L74*(1-$H75), SUM(OFFSET(D.TPMs!$L$10:$M$10, ($G74-1)*9, 0), OFFSET(D.TPMs!$O$10:$P$10, ($G74-1)*9, 0)))
+PRODUCT(L74*$H75,     SUM(OFFSET(D.TPMs!$L$10:$M$10, ($G74-1)*9, 12), OFFSET(D.TPMs!$O$10:$P$10, ($G74-1)*9, 12)))</f>
        <v>0</v>
      </c>
      <c r="Y75" s="285">
        <f t="array" aca="1" ref="Y75:AG75" ca="1">IF($E75&gt;timeHorizon, 0, MMULT(Y74:AG74*(1-$H75), OFFSET(D.rngTPM.Q_I.Root, ($G74-1)*9, 0)) + MMULT(Y74:AG74*$H75, OFFSET(D.rngTPM.Q_I.Root, ($G74-1)*9, 12)))</f>
        <v>0</v>
      </c>
      <c r="Z75" s="285">
        <f ca="1"/>
        <v>0</v>
      </c>
      <c r="AA75" s="285">
        <f ca="1"/>
        <v>0</v>
      </c>
      <c r="AB75" s="285">
        <f ca="1"/>
        <v>0</v>
      </c>
      <c r="AC75" s="285">
        <f ca="1"/>
        <v>0</v>
      </c>
      <c r="AD75" s="285">
        <f ca="1"/>
        <v>0</v>
      </c>
      <c r="AE75" s="285">
        <f ca="1"/>
        <v>0</v>
      </c>
      <c r="AF75" s="285">
        <f ca="1"/>
        <v>0</v>
      </c>
      <c r="AG75" s="285">
        <f ca="1"/>
        <v>0</v>
      </c>
      <c r="AH75" s="283" t="str">
        <f t="shared" ref="AH75:AH106" si="44">IF($E75&gt;timeHorizon, "", SUM(Y75:AG75))</f>
        <v/>
      </c>
      <c r="AI75" s="320">
        <f t="shared" ca="1" si="39"/>
        <v>1</v>
      </c>
      <c r="AJ75" s="320">
        <f t="shared" ca="1" si="40"/>
        <v>0</v>
      </c>
      <c r="AK75" s="320">
        <f t="shared" ca="1" si="41"/>
        <v>0</v>
      </c>
      <c r="AL75" s="418">
        <f t="shared" ref="AL75:AL130" ca="1" si="45">AB75+AE75</f>
        <v>0</v>
      </c>
      <c r="AM75" s="418">
        <f ca="1">PRODUCT(Y74*(1-$H75), SUM(OFFSET(D.TPMs!$L$7:$M$7, ($G74-1)*9, 0), OFFSET(D.TPMs!$O$7:$P$7, ($G74-1)*9, 0)))
+PRODUCT(Y74*$H75,     SUM(OFFSET(D.TPMs!$L$7:$M$7, ($G74-1)*9, 12), OFFSET(D.TPMs!$O$7:$P$7, ($G74-1)*9, 12)))
+PRODUCT(AB74*(1-$H75), SUM(OFFSET(D.TPMs!$L$10:$M$10, ($G74-1)*9, 0), OFFSET(D.TPMs!$O$10:$P$10, ($G74-1)*9, 0)))
+PRODUCT(AB74*$H75,     SUM(OFFSET(D.TPMs!$L$10:$M$10, ($G74-1)*9, 12), OFFSET(D.TPMs!$O$10:$P$10, ($G74-1)*9, 12)))</f>
        <v>0</v>
      </c>
    </row>
    <row r="76" spans="4:39" ht="12" customHeight="1" x14ac:dyDescent="0.25">
      <c r="D76" s="62">
        <f t="shared" si="42"/>
        <v>66</v>
      </c>
      <c r="E76" s="63">
        <f t="shared" si="33"/>
        <v>16.5</v>
      </c>
      <c r="F76" s="63">
        <f t="shared" si="34"/>
        <v>81.5</v>
      </c>
      <c r="G76" s="301">
        <f>MATCH(F76, Parameters!$D$523:$D$524, 1)</f>
        <v>2</v>
      </c>
      <c r="H76" s="62">
        <f t="shared" si="35"/>
        <v>0</v>
      </c>
      <c r="I76" s="285">
        <f t="array" aca="1" ref="I76:Q76" ca="1">IF($E76&gt;timeHorizon, 0, MMULT(I75:Q75*(1-$H76), OFFSET(D.rngTPM.Q_I.Root, ($G75-1)*9, 0)) + MMULT(I75:Q75*$H76, OFFSET(D.rngTPM.Q_I.Root, ($G75-1)*9, 12)))</f>
        <v>0</v>
      </c>
      <c r="J76" s="285">
        <f ca="1"/>
        <v>0</v>
      </c>
      <c r="K76" s="285">
        <f ca="1"/>
        <v>0</v>
      </c>
      <c r="L76" s="285">
        <f ca="1"/>
        <v>0</v>
      </c>
      <c r="M76" s="285">
        <f ca="1"/>
        <v>0</v>
      </c>
      <c r="N76" s="285">
        <f ca="1"/>
        <v>0</v>
      </c>
      <c r="O76" s="285">
        <f ca="1"/>
        <v>0</v>
      </c>
      <c r="P76" s="285">
        <f ca="1"/>
        <v>0</v>
      </c>
      <c r="Q76" s="285">
        <f ca="1"/>
        <v>0</v>
      </c>
      <c r="R76" s="283" t="str">
        <f t="shared" si="43"/>
        <v/>
      </c>
      <c r="S76" s="418">
        <f t="shared" ca="1" si="36"/>
        <v>1</v>
      </c>
      <c r="T76" s="418">
        <f t="shared" ca="1" si="37"/>
        <v>0</v>
      </c>
      <c r="U76" s="418">
        <f t="shared" ca="1" si="38"/>
        <v>0</v>
      </c>
      <c r="V76" s="418">
        <f t="shared" ca="1" si="38"/>
        <v>0</v>
      </c>
      <c r="W76" s="418">
        <f ca="1">PRODUCT(I75*(1-$H76), SUM(OFFSET(D.TPMs!$L$7:$M$7, ($G75-1)*9, 0), OFFSET(D.TPMs!$O$7:$P$7, ($G75-1)*9, 0)))
+PRODUCT(I75*$H76,     SUM(OFFSET(D.TPMs!$L$7:$M$7, ($G75-1)*9, 12), OFFSET(D.TPMs!$O$7:$P$7, ($G75-1)*9, 12)))
+PRODUCT(L75*(1-$H76), SUM(OFFSET(D.TPMs!$L$10:$M$10, ($G75-1)*9, 0), OFFSET(D.TPMs!$O$10:$P$10, ($G75-1)*9, 0)))
+PRODUCT(L75*$H76,     SUM(OFFSET(D.TPMs!$L$10:$M$10, ($G75-1)*9, 12), OFFSET(D.TPMs!$O$10:$P$10, ($G75-1)*9, 12)))</f>
        <v>0</v>
      </c>
      <c r="Y76" s="285">
        <f t="array" aca="1" ref="Y76:AG76" ca="1">IF($E76&gt;timeHorizon, 0, MMULT(Y75:AG75*(1-$H76), OFFSET(D.rngTPM.Q_I.Root, ($G75-1)*9, 0)) + MMULT(Y75:AG75*$H76, OFFSET(D.rngTPM.Q_I.Root, ($G75-1)*9, 12)))</f>
        <v>0</v>
      </c>
      <c r="Z76" s="285">
        <f ca="1"/>
        <v>0</v>
      </c>
      <c r="AA76" s="285">
        <f ca="1"/>
        <v>0</v>
      </c>
      <c r="AB76" s="285">
        <f ca="1"/>
        <v>0</v>
      </c>
      <c r="AC76" s="285">
        <f ca="1"/>
        <v>0</v>
      </c>
      <c r="AD76" s="285">
        <f ca="1"/>
        <v>0</v>
      </c>
      <c r="AE76" s="285">
        <f ca="1"/>
        <v>0</v>
      </c>
      <c r="AF76" s="285">
        <f ca="1"/>
        <v>0</v>
      </c>
      <c r="AG76" s="285">
        <f ca="1"/>
        <v>0</v>
      </c>
      <c r="AH76" s="283" t="str">
        <f t="shared" si="44"/>
        <v/>
      </c>
      <c r="AI76" s="320">
        <f t="shared" ca="1" si="39"/>
        <v>1</v>
      </c>
      <c r="AJ76" s="320">
        <f t="shared" ca="1" si="40"/>
        <v>0</v>
      </c>
      <c r="AK76" s="320">
        <f t="shared" ca="1" si="41"/>
        <v>0</v>
      </c>
      <c r="AL76" s="418">
        <f t="shared" ca="1" si="45"/>
        <v>0</v>
      </c>
      <c r="AM76" s="418">
        <f ca="1">PRODUCT(Y75*(1-$H76), SUM(OFFSET(D.TPMs!$L$7:$M$7, ($G75-1)*9, 0), OFFSET(D.TPMs!$O$7:$P$7, ($G75-1)*9, 0)))
+PRODUCT(Y75*$H76,     SUM(OFFSET(D.TPMs!$L$7:$M$7, ($G75-1)*9, 12), OFFSET(D.TPMs!$O$7:$P$7, ($G75-1)*9, 12)))
+PRODUCT(AB75*(1-$H76), SUM(OFFSET(D.TPMs!$L$10:$M$10, ($G75-1)*9, 0), OFFSET(D.TPMs!$O$10:$P$10, ($G75-1)*9, 0)))
+PRODUCT(AB75*$H76,     SUM(OFFSET(D.TPMs!$L$10:$M$10, ($G75-1)*9, 12), OFFSET(D.TPMs!$O$10:$P$10, ($G75-1)*9, 12)))</f>
        <v>0</v>
      </c>
    </row>
    <row r="77" spans="4:39" ht="12" customHeight="1" x14ac:dyDescent="0.25">
      <c r="D77" s="62">
        <f t="shared" si="42"/>
        <v>67</v>
      </c>
      <c r="E77" s="63">
        <f t="shared" si="33"/>
        <v>16.75</v>
      </c>
      <c r="F77" s="63">
        <f t="shared" si="34"/>
        <v>81.75</v>
      </c>
      <c r="G77" s="301">
        <f>MATCH(F77, Parameters!$D$523:$D$524, 1)</f>
        <v>2</v>
      </c>
      <c r="H77" s="62">
        <f t="shared" si="35"/>
        <v>0</v>
      </c>
      <c r="I77" s="285">
        <f t="array" aca="1" ref="I77:Q77" ca="1">IF($E77&gt;timeHorizon, 0, MMULT(I76:Q76*(1-$H77), OFFSET(D.rngTPM.Q_I.Root, ($G76-1)*9, 0)) + MMULT(I76:Q76*$H77, OFFSET(D.rngTPM.Q_I.Root, ($G76-1)*9, 12)))</f>
        <v>0</v>
      </c>
      <c r="J77" s="285">
        <f ca="1"/>
        <v>0</v>
      </c>
      <c r="K77" s="285">
        <f ca="1"/>
        <v>0</v>
      </c>
      <c r="L77" s="285">
        <f ca="1"/>
        <v>0</v>
      </c>
      <c r="M77" s="285">
        <f ca="1"/>
        <v>0</v>
      </c>
      <c r="N77" s="285">
        <f ca="1"/>
        <v>0</v>
      </c>
      <c r="O77" s="285">
        <f ca="1"/>
        <v>0</v>
      </c>
      <c r="P77" s="285">
        <f ca="1"/>
        <v>0</v>
      </c>
      <c r="Q77" s="285">
        <f ca="1"/>
        <v>0</v>
      </c>
      <c r="R77" s="283" t="str">
        <f t="shared" si="43"/>
        <v/>
      </c>
      <c r="S77" s="418">
        <f t="shared" ca="1" si="36"/>
        <v>1</v>
      </c>
      <c r="T77" s="418">
        <f t="shared" ca="1" si="37"/>
        <v>0</v>
      </c>
      <c r="U77" s="418">
        <f t="shared" ca="1" si="38"/>
        <v>0</v>
      </c>
      <c r="V77" s="418">
        <f t="shared" ca="1" si="38"/>
        <v>0</v>
      </c>
      <c r="W77" s="418">
        <f ca="1">PRODUCT(I76*(1-$H77), SUM(OFFSET(D.TPMs!$L$7:$M$7, ($G76-1)*9, 0), OFFSET(D.TPMs!$O$7:$P$7, ($G76-1)*9, 0)))
+PRODUCT(I76*$H77,     SUM(OFFSET(D.TPMs!$L$7:$M$7, ($G76-1)*9, 12), OFFSET(D.TPMs!$O$7:$P$7, ($G76-1)*9, 12)))
+PRODUCT(L76*(1-$H77), SUM(OFFSET(D.TPMs!$L$10:$M$10, ($G76-1)*9, 0), OFFSET(D.TPMs!$O$10:$P$10, ($G76-1)*9, 0)))
+PRODUCT(L76*$H77,     SUM(OFFSET(D.TPMs!$L$10:$M$10, ($G76-1)*9, 12), OFFSET(D.TPMs!$O$10:$P$10, ($G76-1)*9, 12)))</f>
        <v>0</v>
      </c>
      <c r="Y77" s="285">
        <f t="array" aca="1" ref="Y77:AG77" ca="1">IF($E77&gt;timeHorizon, 0, MMULT(Y76:AG76*(1-$H77), OFFSET(D.rngTPM.Q_I.Root, ($G76-1)*9, 0)) + MMULT(Y76:AG76*$H77, OFFSET(D.rngTPM.Q_I.Root, ($G76-1)*9, 12)))</f>
        <v>0</v>
      </c>
      <c r="Z77" s="285">
        <f ca="1"/>
        <v>0</v>
      </c>
      <c r="AA77" s="285">
        <f ca="1"/>
        <v>0</v>
      </c>
      <c r="AB77" s="285">
        <f ca="1"/>
        <v>0</v>
      </c>
      <c r="AC77" s="285">
        <f ca="1"/>
        <v>0</v>
      </c>
      <c r="AD77" s="285">
        <f ca="1"/>
        <v>0</v>
      </c>
      <c r="AE77" s="285">
        <f ca="1"/>
        <v>0</v>
      </c>
      <c r="AF77" s="285">
        <f ca="1"/>
        <v>0</v>
      </c>
      <c r="AG77" s="285">
        <f ca="1"/>
        <v>0</v>
      </c>
      <c r="AH77" s="283" t="str">
        <f t="shared" si="44"/>
        <v/>
      </c>
      <c r="AI77" s="320">
        <f t="shared" ca="1" si="39"/>
        <v>1</v>
      </c>
      <c r="AJ77" s="320">
        <f t="shared" ca="1" si="40"/>
        <v>0</v>
      </c>
      <c r="AK77" s="320">
        <f t="shared" ca="1" si="41"/>
        <v>0</v>
      </c>
      <c r="AL77" s="418">
        <f t="shared" ca="1" si="45"/>
        <v>0</v>
      </c>
      <c r="AM77" s="418">
        <f ca="1">PRODUCT(Y76*(1-$H77), SUM(OFFSET(D.TPMs!$L$7:$M$7, ($G76-1)*9, 0), OFFSET(D.TPMs!$O$7:$P$7, ($G76-1)*9, 0)))
+PRODUCT(Y76*$H77,     SUM(OFFSET(D.TPMs!$L$7:$M$7, ($G76-1)*9, 12), OFFSET(D.TPMs!$O$7:$P$7, ($G76-1)*9, 12)))
+PRODUCT(AB76*(1-$H77), SUM(OFFSET(D.TPMs!$L$10:$M$10, ($G76-1)*9, 0), OFFSET(D.TPMs!$O$10:$P$10, ($G76-1)*9, 0)))
+PRODUCT(AB76*$H77,     SUM(OFFSET(D.TPMs!$L$10:$M$10, ($G76-1)*9, 12), OFFSET(D.TPMs!$O$10:$P$10, ($G76-1)*9, 12)))</f>
        <v>0</v>
      </c>
    </row>
    <row r="78" spans="4:39" ht="12" customHeight="1" x14ac:dyDescent="0.25">
      <c r="D78" s="62">
        <f t="shared" si="42"/>
        <v>68</v>
      </c>
      <c r="E78" s="63">
        <f t="shared" si="33"/>
        <v>17</v>
      </c>
      <c r="F78" s="63">
        <f t="shared" si="34"/>
        <v>82</v>
      </c>
      <c r="G78" s="301">
        <f>MATCH(F78, Parameters!$D$523:$D$524, 1)</f>
        <v>2</v>
      </c>
      <c r="H78" s="62">
        <f t="shared" si="35"/>
        <v>0</v>
      </c>
      <c r="I78" s="285">
        <f t="array" aca="1" ref="I78:Q78" ca="1">IF($E78&gt;timeHorizon, 0, MMULT(I77:Q77*(1-$H78), OFFSET(D.rngTPM.Q_I.Root, ($G77-1)*9, 0)) + MMULT(I77:Q77*$H78, OFFSET(D.rngTPM.Q_I.Root, ($G77-1)*9, 12)))</f>
        <v>0</v>
      </c>
      <c r="J78" s="285">
        <f ca="1"/>
        <v>0</v>
      </c>
      <c r="K78" s="285">
        <f ca="1"/>
        <v>0</v>
      </c>
      <c r="L78" s="285">
        <f ca="1"/>
        <v>0</v>
      </c>
      <c r="M78" s="285">
        <f ca="1"/>
        <v>0</v>
      </c>
      <c r="N78" s="285">
        <f ca="1"/>
        <v>0</v>
      </c>
      <c r="O78" s="285">
        <f ca="1"/>
        <v>0</v>
      </c>
      <c r="P78" s="285">
        <f ca="1"/>
        <v>0</v>
      </c>
      <c r="Q78" s="285">
        <f ca="1"/>
        <v>0</v>
      </c>
      <c r="R78" s="283" t="str">
        <f t="shared" si="43"/>
        <v/>
      </c>
      <c r="S78" s="418">
        <f t="shared" ca="1" si="36"/>
        <v>1</v>
      </c>
      <c r="T78" s="418">
        <f t="shared" ca="1" si="37"/>
        <v>0</v>
      </c>
      <c r="U78" s="418">
        <f t="shared" ca="1" si="38"/>
        <v>0</v>
      </c>
      <c r="V78" s="418">
        <f t="shared" ca="1" si="38"/>
        <v>0</v>
      </c>
      <c r="W78" s="418">
        <f ca="1">PRODUCT(I77*(1-$H78), SUM(OFFSET(D.TPMs!$L$7:$M$7, ($G77-1)*9, 0), OFFSET(D.TPMs!$O$7:$P$7, ($G77-1)*9, 0)))
+PRODUCT(I77*$H78,     SUM(OFFSET(D.TPMs!$L$7:$M$7, ($G77-1)*9, 12), OFFSET(D.TPMs!$O$7:$P$7, ($G77-1)*9, 12)))
+PRODUCT(L77*(1-$H78), SUM(OFFSET(D.TPMs!$L$10:$M$10, ($G77-1)*9, 0), OFFSET(D.TPMs!$O$10:$P$10, ($G77-1)*9, 0)))
+PRODUCT(L77*$H78,     SUM(OFFSET(D.TPMs!$L$10:$M$10, ($G77-1)*9, 12), OFFSET(D.TPMs!$O$10:$P$10, ($G77-1)*9, 12)))</f>
        <v>0</v>
      </c>
      <c r="Y78" s="285">
        <f t="array" aca="1" ref="Y78:AG78" ca="1">IF($E78&gt;timeHorizon, 0, MMULT(Y77:AG77*(1-$H78), OFFSET(D.rngTPM.Q_I.Root, ($G77-1)*9, 0)) + MMULT(Y77:AG77*$H78, OFFSET(D.rngTPM.Q_I.Root, ($G77-1)*9, 12)))</f>
        <v>0</v>
      </c>
      <c r="Z78" s="285">
        <f ca="1"/>
        <v>0</v>
      </c>
      <c r="AA78" s="285">
        <f ca="1"/>
        <v>0</v>
      </c>
      <c r="AB78" s="285">
        <f ca="1"/>
        <v>0</v>
      </c>
      <c r="AC78" s="285">
        <f ca="1"/>
        <v>0</v>
      </c>
      <c r="AD78" s="285">
        <f ca="1"/>
        <v>0</v>
      </c>
      <c r="AE78" s="285">
        <f ca="1"/>
        <v>0</v>
      </c>
      <c r="AF78" s="285">
        <f ca="1"/>
        <v>0</v>
      </c>
      <c r="AG78" s="285">
        <f ca="1"/>
        <v>0</v>
      </c>
      <c r="AH78" s="283" t="str">
        <f t="shared" si="44"/>
        <v/>
      </c>
      <c r="AI78" s="320">
        <f t="shared" ca="1" si="39"/>
        <v>1</v>
      </c>
      <c r="AJ78" s="320">
        <f t="shared" ca="1" si="40"/>
        <v>0</v>
      </c>
      <c r="AK78" s="320">
        <f t="shared" ca="1" si="41"/>
        <v>0</v>
      </c>
      <c r="AL78" s="418">
        <f t="shared" ca="1" si="45"/>
        <v>0</v>
      </c>
      <c r="AM78" s="418">
        <f ca="1">PRODUCT(Y77*(1-$H78), SUM(OFFSET(D.TPMs!$L$7:$M$7, ($G77-1)*9, 0), OFFSET(D.TPMs!$O$7:$P$7, ($G77-1)*9, 0)))
+PRODUCT(Y77*$H78,     SUM(OFFSET(D.TPMs!$L$7:$M$7, ($G77-1)*9, 12), OFFSET(D.TPMs!$O$7:$P$7, ($G77-1)*9, 12)))
+PRODUCT(AB77*(1-$H78), SUM(OFFSET(D.TPMs!$L$10:$M$10, ($G77-1)*9, 0), OFFSET(D.TPMs!$O$10:$P$10, ($G77-1)*9, 0)))
+PRODUCT(AB77*$H78,     SUM(OFFSET(D.TPMs!$L$10:$M$10, ($G77-1)*9, 12), OFFSET(D.TPMs!$O$10:$P$10, ($G77-1)*9, 12)))</f>
        <v>0</v>
      </c>
    </row>
    <row r="79" spans="4:39" ht="12" customHeight="1" x14ac:dyDescent="0.25">
      <c r="D79" s="62">
        <f t="shared" si="42"/>
        <v>69</v>
      </c>
      <c r="E79" s="63">
        <f t="shared" si="33"/>
        <v>17.25</v>
      </c>
      <c r="F79" s="63">
        <f t="shared" si="34"/>
        <v>82.25</v>
      </c>
      <c r="G79" s="301">
        <f>MATCH(F79, Parameters!$D$523:$D$524, 1)</f>
        <v>2</v>
      </c>
      <c r="H79" s="62">
        <f t="shared" si="35"/>
        <v>0</v>
      </c>
      <c r="I79" s="285">
        <f t="array" aca="1" ref="I79:Q79" ca="1">IF($E79&gt;timeHorizon, 0, MMULT(I78:Q78*(1-$H79), OFFSET(D.rngTPM.Q_I.Root, ($G78-1)*9, 0)) + MMULT(I78:Q78*$H79, OFFSET(D.rngTPM.Q_I.Root, ($G78-1)*9, 12)))</f>
        <v>0</v>
      </c>
      <c r="J79" s="285">
        <f ca="1"/>
        <v>0</v>
      </c>
      <c r="K79" s="285">
        <f ca="1"/>
        <v>0</v>
      </c>
      <c r="L79" s="285">
        <f ca="1"/>
        <v>0</v>
      </c>
      <c r="M79" s="285">
        <f ca="1"/>
        <v>0</v>
      </c>
      <c r="N79" s="285">
        <f ca="1"/>
        <v>0</v>
      </c>
      <c r="O79" s="285">
        <f ca="1"/>
        <v>0</v>
      </c>
      <c r="P79" s="285">
        <f ca="1"/>
        <v>0</v>
      </c>
      <c r="Q79" s="285">
        <f ca="1"/>
        <v>0</v>
      </c>
      <c r="R79" s="283" t="str">
        <f t="shared" si="43"/>
        <v/>
      </c>
      <c r="S79" s="418">
        <f t="shared" ca="1" si="36"/>
        <v>1</v>
      </c>
      <c r="T79" s="418">
        <f t="shared" ca="1" si="37"/>
        <v>0</v>
      </c>
      <c r="U79" s="418">
        <f t="shared" ca="1" si="38"/>
        <v>0</v>
      </c>
      <c r="V79" s="418">
        <f t="shared" ca="1" si="38"/>
        <v>0</v>
      </c>
      <c r="W79" s="418">
        <f ca="1">PRODUCT(I78*(1-$H79), SUM(OFFSET(D.TPMs!$L$7:$M$7, ($G78-1)*9, 0), OFFSET(D.TPMs!$O$7:$P$7, ($G78-1)*9, 0)))
+PRODUCT(I78*$H79,     SUM(OFFSET(D.TPMs!$L$7:$M$7, ($G78-1)*9, 12), OFFSET(D.TPMs!$O$7:$P$7, ($G78-1)*9, 12)))
+PRODUCT(L78*(1-$H79), SUM(OFFSET(D.TPMs!$L$10:$M$10, ($G78-1)*9, 0), OFFSET(D.TPMs!$O$10:$P$10, ($G78-1)*9, 0)))
+PRODUCT(L78*$H79,     SUM(OFFSET(D.TPMs!$L$10:$M$10, ($G78-1)*9, 12), OFFSET(D.TPMs!$O$10:$P$10, ($G78-1)*9, 12)))</f>
        <v>0</v>
      </c>
      <c r="Y79" s="285">
        <f t="array" aca="1" ref="Y79:AG79" ca="1">IF($E79&gt;timeHorizon, 0, MMULT(Y78:AG78*(1-$H79), OFFSET(D.rngTPM.Q_I.Root, ($G78-1)*9, 0)) + MMULT(Y78:AG78*$H79, OFFSET(D.rngTPM.Q_I.Root, ($G78-1)*9, 12)))</f>
        <v>0</v>
      </c>
      <c r="Z79" s="285">
        <f ca="1"/>
        <v>0</v>
      </c>
      <c r="AA79" s="285">
        <f ca="1"/>
        <v>0</v>
      </c>
      <c r="AB79" s="285">
        <f ca="1"/>
        <v>0</v>
      </c>
      <c r="AC79" s="285">
        <f ca="1"/>
        <v>0</v>
      </c>
      <c r="AD79" s="285">
        <f ca="1"/>
        <v>0</v>
      </c>
      <c r="AE79" s="285">
        <f ca="1"/>
        <v>0</v>
      </c>
      <c r="AF79" s="285">
        <f ca="1"/>
        <v>0</v>
      </c>
      <c r="AG79" s="285">
        <f ca="1"/>
        <v>0</v>
      </c>
      <c r="AH79" s="283" t="str">
        <f t="shared" si="44"/>
        <v/>
      </c>
      <c r="AI79" s="320">
        <f t="shared" ca="1" si="39"/>
        <v>1</v>
      </c>
      <c r="AJ79" s="320">
        <f t="shared" ca="1" si="40"/>
        <v>0</v>
      </c>
      <c r="AK79" s="320">
        <f t="shared" ca="1" si="41"/>
        <v>0</v>
      </c>
      <c r="AL79" s="418">
        <f t="shared" ca="1" si="45"/>
        <v>0</v>
      </c>
      <c r="AM79" s="418">
        <f ca="1">PRODUCT(Y78*(1-$H79), SUM(OFFSET(D.TPMs!$L$7:$M$7, ($G78-1)*9, 0), OFFSET(D.TPMs!$O$7:$P$7, ($G78-1)*9, 0)))
+PRODUCT(Y78*$H79,     SUM(OFFSET(D.TPMs!$L$7:$M$7, ($G78-1)*9, 12), OFFSET(D.TPMs!$O$7:$P$7, ($G78-1)*9, 12)))
+PRODUCT(AB78*(1-$H79), SUM(OFFSET(D.TPMs!$L$10:$M$10, ($G78-1)*9, 0), OFFSET(D.TPMs!$O$10:$P$10, ($G78-1)*9, 0)))
+PRODUCT(AB78*$H79,     SUM(OFFSET(D.TPMs!$L$10:$M$10, ($G78-1)*9, 12), OFFSET(D.TPMs!$O$10:$P$10, ($G78-1)*9, 12)))</f>
        <v>0</v>
      </c>
    </row>
    <row r="80" spans="4:39" ht="12" customHeight="1" x14ac:dyDescent="0.25">
      <c r="D80" s="62">
        <f t="shared" si="42"/>
        <v>70</v>
      </c>
      <c r="E80" s="63">
        <f t="shared" si="33"/>
        <v>17.5</v>
      </c>
      <c r="F80" s="63">
        <f t="shared" si="34"/>
        <v>82.5</v>
      </c>
      <c r="G80" s="301">
        <f>MATCH(F80, Parameters!$D$523:$D$524, 1)</f>
        <v>2</v>
      </c>
      <c r="H80" s="62">
        <f t="shared" si="35"/>
        <v>0</v>
      </c>
      <c r="I80" s="285">
        <f t="array" aca="1" ref="I80:Q80" ca="1">IF($E80&gt;timeHorizon, 0, MMULT(I79:Q79*(1-$H80), OFFSET(D.rngTPM.Q_I.Root, ($G79-1)*9, 0)) + MMULT(I79:Q79*$H80, OFFSET(D.rngTPM.Q_I.Root, ($G79-1)*9, 12)))</f>
        <v>0</v>
      </c>
      <c r="J80" s="285">
        <f ca="1"/>
        <v>0</v>
      </c>
      <c r="K80" s="285">
        <f ca="1"/>
        <v>0</v>
      </c>
      <c r="L80" s="285">
        <f ca="1"/>
        <v>0</v>
      </c>
      <c r="M80" s="285">
        <f ca="1"/>
        <v>0</v>
      </c>
      <c r="N80" s="285">
        <f ca="1"/>
        <v>0</v>
      </c>
      <c r="O80" s="285">
        <f ca="1"/>
        <v>0</v>
      </c>
      <c r="P80" s="285">
        <f ca="1"/>
        <v>0</v>
      </c>
      <c r="Q80" s="285">
        <f ca="1"/>
        <v>0</v>
      </c>
      <c r="R80" s="283" t="str">
        <f t="shared" si="43"/>
        <v/>
      </c>
      <c r="S80" s="418">
        <f t="shared" ca="1" si="36"/>
        <v>1</v>
      </c>
      <c r="T80" s="418">
        <f t="shared" ca="1" si="37"/>
        <v>0</v>
      </c>
      <c r="U80" s="418">
        <f t="shared" ca="1" si="38"/>
        <v>0</v>
      </c>
      <c r="V80" s="418">
        <f t="shared" ca="1" si="38"/>
        <v>0</v>
      </c>
      <c r="W80" s="418">
        <f ca="1">PRODUCT(I79*(1-$H80), SUM(OFFSET(D.TPMs!$L$7:$M$7, ($G79-1)*9, 0), OFFSET(D.TPMs!$O$7:$P$7, ($G79-1)*9, 0)))
+PRODUCT(I79*$H80,     SUM(OFFSET(D.TPMs!$L$7:$M$7, ($G79-1)*9, 12), OFFSET(D.TPMs!$O$7:$P$7, ($G79-1)*9, 12)))
+PRODUCT(L79*(1-$H80), SUM(OFFSET(D.TPMs!$L$10:$M$10, ($G79-1)*9, 0), OFFSET(D.TPMs!$O$10:$P$10, ($G79-1)*9, 0)))
+PRODUCT(L79*$H80,     SUM(OFFSET(D.TPMs!$L$10:$M$10, ($G79-1)*9, 12), OFFSET(D.TPMs!$O$10:$P$10, ($G79-1)*9, 12)))</f>
        <v>0</v>
      </c>
      <c r="Y80" s="285">
        <f t="array" aca="1" ref="Y80:AG80" ca="1">IF($E80&gt;timeHorizon, 0, MMULT(Y79:AG79*(1-$H80), OFFSET(D.rngTPM.Q_I.Root, ($G79-1)*9, 0)) + MMULT(Y79:AG79*$H80, OFFSET(D.rngTPM.Q_I.Root, ($G79-1)*9, 12)))</f>
        <v>0</v>
      </c>
      <c r="Z80" s="285">
        <f ca="1"/>
        <v>0</v>
      </c>
      <c r="AA80" s="285">
        <f ca="1"/>
        <v>0</v>
      </c>
      <c r="AB80" s="285">
        <f ca="1"/>
        <v>0</v>
      </c>
      <c r="AC80" s="285">
        <f ca="1"/>
        <v>0</v>
      </c>
      <c r="AD80" s="285">
        <f ca="1"/>
        <v>0</v>
      </c>
      <c r="AE80" s="285">
        <f ca="1"/>
        <v>0</v>
      </c>
      <c r="AF80" s="285">
        <f ca="1"/>
        <v>0</v>
      </c>
      <c r="AG80" s="285">
        <f ca="1"/>
        <v>0</v>
      </c>
      <c r="AH80" s="283" t="str">
        <f t="shared" si="44"/>
        <v/>
      </c>
      <c r="AI80" s="320">
        <f t="shared" ca="1" si="39"/>
        <v>1</v>
      </c>
      <c r="AJ80" s="320">
        <f t="shared" ca="1" si="40"/>
        <v>0</v>
      </c>
      <c r="AK80" s="320">
        <f t="shared" ca="1" si="41"/>
        <v>0</v>
      </c>
      <c r="AL80" s="418">
        <f t="shared" ca="1" si="45"/>
        <v>0</v>
      </c>
      <c r="AM80" s="418">
        <f ca="1">PRODUCT(Y79*(1-$H80), SUM(OFFSET(D.TPMs!$L$7:$M$7, ($G79-1)*9, 0), OFFSET(D.TPMs!$O$7:$P$7, ($G79-1)*9, 0)))
+PRODUCT(Y79*$H80,     SUM(OFFSET(D.TPMs!$L$7:$M$7, ($G79-1)*9, 12), OFFSET(D.TPMs!$O$7:$P$7, ($G79-1)*9, 12)))
+PRODUCT(AB79*(1-$H80), SUM(OFFSET(D.TPMs!$L$10:$M$10, ($G79-1)*9, 0), OFFSET(D.TPMs!$O$10:$P$10, ($G79-1)*9, 0)))
+PRODUCT(AB79*$H80,     SUM(OFFSET(D.TPMs!$L$10:$M$10, ($G79-1)*9, 12), OFFSET(D.TPMs!$O$10:$P$10, ($G79-1)*9, 12)))</f>
        <v>0</v>
      </c>
    </row>
    <row r="81" spans="4:39" ht="12" customHeight="1" x14ac:dyDescent="0.25">
      <c r="D81" s="62">
        <f t="shared" si="42"/>
        <v>71</v>
      </c>
      <c r="E81" s="63">
        <f t="shared" si="33"/>
        <v>17.75</v>
      </c>
      <c r="F81" s="63">
        <f t="shared" si="34"/>
        <v>82.75</v>
      </c>
      <c r="G81" s="301">
        <f>MATCH(F81, Parameters!$D$523:$D$524, 1)</f>
        <v>2</v>
      </c>
      <c r="H81" s="62">
        <f t="shared" si="35"/>
        <v>0</v>
      </c>
      <c r="I81" s="285">
        <f t="array" aca="1" ref="I81:Q81" ca="1">IF($E81&gt;timeHorizon, 0, MMULT(I80:Q80*(1-$H81), OFFSET(D.rngTPM.Q_I.Root, ($G80-1)*9, 0)) + MMULT(I80:Q80*$H81, OFFSET(D.rngTPM.Q_I.Root, ($G80-1)*9, 12)))</f>
        <v>0</v>
      </c>
      <c r="J81" s="285">
        <f ca="1"/>
        <v>0</v>
      </c>
      <c r="K81" s="285">
        <f ca="1"/>
        <v>0</v>
      </c>
      <c r="L81" s="285">
        <f ca="1"/>
        <v>0</v>
      </c>
      <c r="M81" s="285">
        <f ca="1"/>
        <v>0</v>
      </c>
      <c r="N81" s="285">
        <f ca="1"/>
        <v>0</v>
      </c>
      <c r="O81" s="285">
        <f ca="1"/>
        <v>0</v>
      </c>
      <c r="P81" s="285">
        <f ca="1"/>
        <v>0</v>
      </c>
      <c r="Q81" s="285">
        <f ca="1"/>
        <v>0</v>
      </c>
      <c r="R81" s="283" t="str">
        <f t="shared" si="43"/>
        <v/>
      </c>
      <c r="S81" s="418">
        <f t="shared" ca="1" si="36"/>
        <v>1</v>
      </c>
      <c r="T81" s="418">
        <f t="shared" ca="1" si="37"/>
        <v>0</v>
      </c>
      <c r="U81" s="418">
        <f t="shared" ca="1" si="38"/>
        <v>0</v>
      </c>
      <c r="V81" s="418">
        <f t="shared" ca="1" si="38"/>
        <v>0</v>
      </c>
      <c r="W81" s="418">
        <f ca="1">PRODUCT(I80*(1-$H81), SUM(OFFSET(D.TPMs!$L$7:$M$7, ($G80-1)*9, 0), OFFSET(D.TPMs!$O$7:$P$7, ($G80-1)*9, 0)))
+PRODUCT(I80*$H81,     SUM(OFFSET(D.TPMs!$L$7:$M$7, ($G80-1)*9, 12), OFFSET(D.TPMs!$O$7:$P$7, ($G80-1)*9, 12)))
+PRODUCT(L80*(1-$H81), SUM(OFFSET(D.TPMs!$L$10:$M$10, ($G80-1)*9, 0), OFFSET(D.TPMs!$O$10:$P$10, ($G80-1)*9, 0)))
+PRODUCT(L80*$H81,     SUM(OFFSET(D.TPMs!$L$10:$M$10, ($G80-1)*9, 12), OFFSET(D.TPMs!$O$10:$P$10, ($G80-1)*9, 12)))</f>
        <v>0</v>
      </c>
      <c r="Y81" s="285">
        <f t="array" aca="1" ref="Y81:AG81" ca="1">IF($E81&gt;timeHorizon, 0, MMULT(Y80:AG80*(1-$H81), OFFSET(D.rngTPM.Q_I.Root, ($G80-1)*9, 0)) + MMULT(Y80:AG80*$H81, OFFSET(D.rngTPM.Q_I.Root, ($G80-1)*9, 12)))</f>
        <v>0</v>
      </c>
      <c r="Z81" s="285">
        <f ca="1"/>
        <v>0</v>
      </c>
      <c r="AA81" s="285">
        <f ca="1"/>
        <v>0</v>
      </c>
      <c r="AB81" s="285">
        <f ca="1"/>
        <v>0</v>
      </c>
      <c r="AC81" s="285">
        <f ca="1"/>
        <v>0</v>
      </c>
      <c r="AD81" s="285">
        <f ca="1"/>
        <v>0</v>
      </c>
      <c r="AE81" s="285">
        <f ca="1"/>
        <v>0</v>
      </c>
      <c r="AF81" s="285">
        <f ca="1"/>
        <v>0</v>
      </c>
      <c r="AG81" s="285">
        <f ca="1"/>
        <v>0</v>
      </c>
      <c r="AH81" s="283" t="str">
        <f t="shared" si="44"/>
        <v/>
      </c>
      <c r="AI81" s="320">
        <f t="shared" ca="1" si="39"/>
        <v>1</v>
      </c>
      <c r="AJ81" s="320">
        <f t="shared" ca="1" si="40"/>
        <v>0</v>
      </c>
      <c r="AK81" s="320">
        <f t="shared" ca="1" si="41"/>
        <v>0</v>
      </c>
      <c r="AL81" s="418">
        <f t="shared" ca="1" si="45"/>
        <v>0</v>
      </c>
      <c r="AM81" s="418">
        <f ca="1">PRODUCT(Y80*(1-$H81), SUM(OFFSET(D.TPMs!$L$7:$M$7, ($G80-1)*9, 0), OFFSET(D.TPMs!$O$7:$P$7, ($G80-1)*9, 0)))
+PRODUCT(Y80*$H81,     SUM(OFFSET(D.TPMs!$L$7:$M$7, ($G80-1)*9, 12), OFFSET(D.TPMs!$O$7:$P$7, ($G80-1)*9, 12)))
+PRODUCT(AB80*(1-$H81), SUM(OFFSET(D.TPMs!$L$10:$M$10, ($G80-1)*9, 0), OFFSET(D.TPMs!$O$10:$P$10, ($G80-1)*9, 0)))
+PRODUCT(AB80*$H81,     SUM(OFFSET(D.TPMs!$L$10:$M$10, ($G80-1)*9, 12), OFFSET(D.TPMs!$O$10:$P$10, ($G80-1)*9, 12)))</f>
        <v>0</v>
      </c>
    </row>
    <row r="82" spans="4:39" ht="12" customHeight="1" x14ac:dyDescent="0.25">
      <c r="D82" s="62">
        <f t="shared" si="42"/>
        <v>72</v>
      </c>
      <c r="E82" s="63">
        <f t="shared" si="33"/>
        <v>18</v>
      </c>
      <c r="F82" s="63">
        <f t="shared" si="34"/>
        <v>83</v>
      </c>
      <c r="G82" s="301">
        <f>MATCH(F82, Parameters!$D$523:$D$524, 1)</f>
        <v>2</v>
      </c>
      <c r="H82" s="62">
        <f t="shared" si="35"/>
        <v>0</v>
      </c>
      <c r="I82" s="285">
        <f t="array" aca="1" ref="I82:Q82" ca="1">IF($E82&gt;timeHorizon, 0, MMULT(I81:Q81*(1-$H82), OFFSET(D.rngTPM.Q_I.Root, ($G81-1)*9, 0)) + MMULT(I81:Q81*$H82, OFFSET(D.rngTPM.Q_I.Root, ($G81-1)*9, 12)))</f>
        <v>0</v>
      </c>
      <c r="J82" s="285">
        <f ca="1"/>
        <v>0</v>
      </c>
      <c r="K82" s="285">
        <f ca="1"/>
        <v>0</v>
      </c>
      <c r="L82" s="285">
        <f ca="1"/>
        <v>0</v>
      </c>
      <c r="M82" s="285">
        <f ca="1"/>
        <v>0</v>
      </c>
      <c r="N82" s="285">
        <f ca="1"/>
        <v>0</v>
      </c>
      <c r="O82" s="285">
        <f ca="1"/>
        <v>0</v>
      </c>
      <c r="P82" s="285">
        <f ca="1"/>
        <v>0</v>
      </c>
      <c r="Q82" s="285">
        <f ca="1"/>
        <v>0</v>
      </c>
      <c r="R82" s="283" t="str">
        <f t="shared" si="43"/>
        <v/>
      </c>
      <c r="S82" s="418">
        <f t="shared" ca="1" si="36"/>
        <v>1</v>
      </c>
      <c r="T82" s="418">
        <f t="shared" ca="1" si="37"/>
        <v>0</v>
      </c>
      <c r="U82" s="418">
        <f t="shared" ca="1" si="38"/>
        <v>0</v>
      </c>
      <c r="V82" s="418">
        <f t="shared" ca="1" si="38"/>
        <v>0</v>
      </c>
      <c r="W82" s="418">
        <f ca="1">PRODUCT(I81*(1-$H82), SUM(OFFSET(D.TPMs!$L$7:$M$7, ($G81-1)*9, 0), OFFSET(D.TPMs!$O$7:$P$7, ($G81-1)*9, 0)))
+PRODUCT(I81*$H82,     SUM(OFFSET(D.TPMs!$L$7:$M$7, ($G81-1)*9, 12), OFFSET(D.TPMs!$O$7:$P$7, ($G81-1)*9, 12)))
+PRODUCT(L81*(1-$H82), SUM(OFFSET(D.TPMs!$L$10:$M$10, ($G81-1)*9, 0), OFFSET(D.TPMs!$O$10:$P$10, ($G81-1)*9, 0)))
+PRODUCT(L81*$H82,     SUM(OFFSET(D.TPMs!$L$10:$M$10, ($G81-1)*9, 12), OFFSET(D.TPMs!$O$10:$P$10, ($G81-1)*9, 12)))</f>
        <v>0</v>
      </c>
      <c r="Y82" s="285">
        <f t="array" aca="1" ref="Y82:AG82" ca="1">IF($E82&gt;timeHorizon, 0, MMULT(Y81:AG81*(1-$H82), OFFSET(D.rngTPM.Q_I.Root, ($G81-1)*9, 0)) + MMULT(Y81:AG81*$H82, OFFSET(D.rngTPM.Q_I.Root, ($G81-1)*9, 12)))</f>
        <v>0</v>
      </c>
      <c r="Z82" s="285">
        <f ca="1"/>
        <v>0</v>
      </c>
      <c r="AA82" s="285">
        <f ca="1"/>
        <v>0</v>
      </c>
      <c r="AB82" s="285">
        <f ca="1"/>
        <v>0</v>
      </c>
      <c r="AC82" s="285">
        <f ca="1"/>
        <v>0</v>
      </c>
      <c r="AD82" s="285">
        <f ca="1"/>
        <v>0</v>
      </c>
      <c r="AE82" s="285">
        <f ca="1"/>
        <v>0</v>
      </c>
      <c r="AF82" s="285">
        <f ca="1"/>
        <v>0</v>
      </c>
      <c r="AG82" s="285">
        <f ca="1"/>
        <v>0</v>
      </c>
      <c r="AH82" s="283" t="str">
        <f t="shared" si="44"/>
        <v/>
      </c>
      <c r="AI82" s="320">
        <f t="shared" ca="1" si="39"/>
        <v>1</v>
      </c>
      <c r="AJ82" s="320">
        <f t="shared" ca="1" si="40"/>
        <v>0</v>
      </c>
      <c r="AK82" s="320">
        <f t="shared" ca="1" si="41"/>
        <v>0</v>
      </c>
      <c r="AL82" s="418">
        <f t="shared" ca="1" si="45"/>
        <v>0</v>
      </c>
      <c r="AM82" s="418">
        <f ca="1">PRODUCT(Y81*(1-$H82), SUM(OFFSET(D.TPMs!$L$7:$M$7, ($G81-1)*9, 0), OFFSET(D.TPMs!$O$7:$P$7, ($G81-1)*9, 0)))
+PRODUCT(Y81*$H82,     SUM(OFFSET(D.TPMs!$L$7:$M$7, ($G81-1)*9, 12), OFFSET(D.TPMs!$O$7:$P$7, ($G81-1)*9, 12)))
+PRODUCT(AB81*(1-$H82), SUM(OFFSET(D.TPMs!$L$10:$M$10, ($G81-1)*9, 0), OFFSET(D.TPMs!$O$10:$P$10, ($G81-1)*9, 0)))
+PRODUCT(AB81*$H82,     SUM(OFFSET(D.TPMs!$L$10:$M$10, ($G81-1)*9, 12), OFFSET(D.TPMs!$O$10:$P$10, ($G81-1)*9, 12)))</f>
        <v>0</v>
      </c>
    </row>
    <row r="83" spans="4:39" ht="12" customHeight="1" x14ac:dyDescent="0.25">
      <c r="D83" s="62">
        <f t="shared" si="42"/>
        <v>73</v>
      </c>
      <c r="E83" s="63">
        <f t="shared" si="33"/>
        <v>18.25</v>
      </c>
      <c r="F83" s="63">
        <f t="shared" si="34"/>
        <v>83.25</v>
      </c>
      <c r="G83" s="301">
        <f>MATCH(F83, Parameters!$D$523:$D$524, 1)</f>
        <v>2</v>
      </c>
      <c r="H83" s="62">
        <f t="shared" si="35"/>
        <v>0</v>
      </c>
      <c r="I83" s="285">
        <f t="array" aca="1" ref="I83:Q83" ca="1">IF($E83&gt;timeHorizon, 0, MMULT(I82:Q82*(1-$H83), OFFSET(D.rngTPM.Q_I.Root, ($G82-1)*9, 0)) + MMULT(I82:Q82*$H83, OFFSET(D.rngTPM.Q_I.Root, ($G82-1)*9, 12)))</f>
        <v>0</v>
      </c>
      <c r="J83" s="285">
        <f ca="1"/>
        <v>0</v>
      </c>
      <c r="K83" s="285">
        <f ca="1"/>
        <v>0</v>
      </c>
      <c r="L83" s="285">
        <f ca="1"/>
        <v>0</v>
      </c>
      <c r="M83" s="285">
        <f ca="1"/>
        <v>0</v>
      </c>
      <c r="N83" s="285">
        <f ca="1"/>
        <v>0</v>
      </c>
      <c r="O83" s="285">
        <f ca="1"/>
        <v>0</v>
      </c>
      <c r="P83" s="285">
        <f ca="1"/>
        <v>0</v>
      </c>
      <c r="Q83" s="285">
        <f ca="1"/>
        <v>0</v>
      </c>
      <c r="R83" s="283" t="str">
        <f t="shared" si="43"/>
        <v/>
      </c>
      <c r="S83" s="418">
        <f t="shared" ca="1" si="36"/>
        <v>1</v>
      </c>
      <c r="T83" s="418">
        <f t="shared" ca="1" si="37"/>
        <v>0</v>
      </c>
      <c r="U83" s="418">
        <f t="shared" ca="1" si="38"/>
        <v>0</v>
      </c>
      <c r="V83" s="418">
        <f t="shared" ca="1" si="38"/>
        <v>0</v>
      </c>
      <c r="W83" s="418">
        <f ca="1">PRODUCT(I82*(1-$H83), SUM(OFFSET(D.TPMs!$L$7:$M$7, ($G82-1)*9, 0), OFFSET(D.TPMs!$O$7:$P$7, ($G82-1)*9, 0)))
+PRODUCT(I82*$H83,     SUM(OFFSET(D.TPMs!$L$7:$M$7, ($G82-1)*9, 12), OFFSET(D.TPMs!$O$7:$P$7, ($G82-1)*9, 12)))
+PRODUCT(L82*(1-$H83), SUM(OFFSET(D.TPMs!$L$10:$M$10, ($G82-1)*9, 0), OFFSET(D.TPMs!$O$10:$P$10, ($G82-1)*9, 0)))
+PRODUCT(L82*$H83,     SUM(OFFSET(D.TPMs!$L$10:$M$10, ($G82-1)*9, 12), OFFSET(D.TPMs!$O$10:$P$10, ($G82-1)*9, 12)))</f>
        <v>0</v>
      </c>
      <c r="Y83" s="285">
        <f t="array" aca="1" ref="Y83:AG83" ca="1">IF($E83&gt;timeHorizon, 0, MMULT(Y82:AG82*(1-$H83), OFFSET(D.rngTPM.Q_I.Root, ($G82-1)*9, 0)) + MMULT(Y82:AG82*$H83, OFFSET(D.rngTPM.Q_I.Root, ($G82-1)*9, 12)))</f>
        <v>0</v>
      </c>
      <c r="Z83" s="285">
        <f ca="1"/>
        <v>0</v>
      </c>
      <c r="AA83" s="285">
        <f ca="1"/>
        <v>0</v>
      </c>
      <c r="AB83" s="285">
        <f ca="1"/>
        <v>0</v>
      </c>
      <c r="AC83" s="285">
        <f ca="1"/>
        <v>0</v>
      </c>
      <c r="AD83" s="285">
        <f ca="1"/>
        <v>0</v>
      </c>
      <c r="AE83" s="285">
        <f ca="1"/>
        <v>0</v>
      </c>
      <c r="AF83" s="285">
        <f ca="1"/>
        <v>0</v>
      </c>
      <c r="AG83" s="285">
        <f ca="1"/>
        <v>0</v>
      </c>
      <c r="AH83" s="283" t="str">
        <f t="shared" si="44"/>
        <v/>
      </c>
      <c r="AI83" s="320">
        <f t="shared" ca="1" si="39"/>
        <v>1</v>
      </c>
      <c r="AJ83" s="320">
        <f t="shared" ca="1" si="40"/>
        <v>0</v>
      </c>
      <c r="AK83" s="320">
        <f t="shared" ca="1" si="41"/>
        <v>0</v>
      </c>
      <c r="AL83" s="418">
        <f t="shared" ca="1" si="45"/>
        <v>0</v>
      </c>
      <c r="AM83" s="418">
        <f ca="1">PRODUCT(Y82*(1-$H83), SUM(OFFSET(D.TPMs!$L$7:$M$7, ($G82-1)*9, 0), OFFSET(D.TPMs!$O$7:$P$7, ($G82-1)*9, 0)))
+PRODUCT(Y82*$H83,     SUM(OFFSET(D.TPMs!$L$7:$M$7, ($G82-1)*9, 12), OFFSET(D.TPMs!$O$7:$P$7, ($G82-1)*9, 12)))
+PRODUCT(AB82*(1-$H83), SUM(OFFSET(D.TPMs!$L$10:$M$10, ($G82-1)*9, 0), OFFSET(D.TPMs!$O$10:$P$10, ($G82-1)*9, 0)))
+PRODUCT(AB82*$H83,     SUM(OFFSET(D.TPMs!$L$10:$M$10, ($G82-1)*9, 12), OFFSET(D.TPMs!$O$10:$P$10, ($G82-1)*9, 12)))</f>
        <v>0</v>
      </c>
    </row>
    <row r="84" spans="4:39" ht="12" customHeight="1" x14ac:dyDescent="0.25">
      <c r="D84" s="62">
        <f t="shared" si="42"/>
        <v>74</v>
      </c>
      <c r="E84" s="63">
        <f t="shared" si="33"/>
        <v>18.5</v>
      </c>
      <c r="F84" s="63">
        <f t="shared" si="34"/>
        <v>83.5</v>
      </c>
      <c r="G84" s="301">
        <f>MATCH(F84, Parameters!$D$523:$D$524, 1)</f>
        <v>2</v>
      </c>
      <c r="H84" s="62">
        <f t="shared" si="35"/>
        <v>0</v>
      </c>
      <c r="I84" s="285">
        <f t="array" aca="1" ref="I84:Q84" ca="1">IF($E84&gt;timeHorizon, 0, MMULT(I83:Q83*(1-$H84), OFFSET(D.rngTPM.Q_I.Root, ($G83-1)*9, 0)) + MMULT(I83:Q83*$H84, OFFSET(D.rngTPM.Q_I.Root, ($G83-1)*9, 12)))</f>
        <v>0</v>
      </c>
      <c r="J84" s="285">
        <f ca="1"/>
        <v>0</v>
      </c>
      <c r="K84" s="285">
        <f ca="1"/>
        <v>0</v>
      </c>
      <c r="L84" s="285">
        <f ca="1"/>
        <v>0</v>
      </c>
      <c r="M84" s="285">
        <f ca="1"/>
        <v>0</v>
      </c>
      <c r="N84" s="285">
        <f ca="1"/>
        <v>0</v>
      </c>
      <c r="O84" s="285">
        <f ca="1"/>
        <v>0</v>
      </c>
      <c r="P84" s="285">
        <f ca="1"/>
        <v>0</v>
      </c>
      <c r="Q84" s="285">
        <f ca="1"/>
        <v>0</v>
      </c>
      <c r="R84" s="283" t="str">
        <f t="shared" si="43"/>
        <v/>
      </c>
      <c r="S84" s="418">
        <f t="shared" ca="1" si="36"/>
        <v>1</v>
      </c>
      <c r="T84" s="418">
        <f t="shared" ca="1" si="37"/>
        <v>0</v>
      </c>
      <c r="U84" s="418">
        <f t="shared" ca="1" si="38"/>
        <v>0</v>
      </c>
      <c r="V84" s="418">
        <f t="shared" ca="1" si="38"/>
        <v>0</v>
      </c>
      <c r="W84" s="418">
        <f ca="1">PRODUCT(I83*(1-$H84), SUM(OFFSET(D.TPMs!$L$7:$M$7, ($G83-1)*9, 0), OFFSET(D.TPMs!$O$7:$P$7, ($G83-1)*9, 0)))
+PRODUCT(I83*$H84,     SUM(OFFSET(D.TPMs!$L$7:$M$7, ($G83-1)*9, 12), OFFSET(D.TPMs!$O$7:$P$7, ($G83-1)*9, 12)))
+PRODUCT(L83*(1-$H84), SUM(OFFSET(D.TPMs!$L$10:$M$10, ($G83-1)*9, 0), OFFSET(D.TPMs!$O$10:$P$10, ($G83-1)*9, 0)))
+PRODUCT(L83*$H84,     SUM(OFFSET(D.TPMs!$L$10:$M$10, ($G83-1)*9, 12), OFFSET(D.TPMs!$O$10:$P$10, ($G83-1)*9, 12)))</f>
        <v>0</v>
      </c>
      <c r="Y84" s="285">
        <f t="array" aca="1" ref="Y84:AG84" ca="1">IF($E84&gt;timeHorizon, 0, MMULT(Y83:AG83*(1-$H84), OFFSET(D.rngTPM.Q_I.Root, ($G83-1)*9, 0)) + MMULT(Y83:AG83*$H84, OFFSET(D.rngTPM.Q_I.Root, ($G83-1)*9, 12)))</f>
        <v>0</v>
      </c>
      <c r="Z84" s="285">
        <f ca="1"/>
        <v>0</v>
      </c>
      <c r="AA84" s="285">
        <f ca="1"/>
        <v>0</v>
      </c>
      <c r="AB84" s="285">
        <f ca="1"/>
        <v>0</v>
      </c>
      <c r="AC84" s="285">
        <f ca="1"/>
        <v>0</v>
      </c>
      <c r="AD84" s="285">
        <f ca="1"/>
        <v>0</v>
      </c>
      <c r="AE84" s="285">
        <f ca="1"/>
        <v>0</v>
      </c>
      <c r="AF84" s="285">
        <f ca="1"/>
        <v>0</v>
      </c>
      <c r="AG84" s="285">
        <f ca="1"/>
        <v>0</v>
      </c>
      <c r="AH84" s="283" t="str">
        <f t="shared" si="44"/>
        <v/>
      </c>
      <c r="AI84" s="320">
        <f t="shared" ca="1" si="39"/>
        <v>1</v>
      </c>
      <c r="AJ84" s="320">
        <f t="shared" ca="1" si="40"/>
        <v>0</v>
      </c>
      <c r="AK84" s="320">
        <f t="shared" ca="1" si="41"/>
        <v>0</v>
      </c>
      <c r="AL84" s="418">
        <f t="shared" ca="1" si="45"/>
        <v>0</v>
      </c>
      <c r="AM84" s="418">
        <f ca="1">PRODUCT(Y83*(1-$H84), SUM(OFFSET(D.TPMs!$L$7:$M$7, ($G83-1)*9, 0), OFFSET(D.TPMs!$O$7:$P$7, ($G83-1)*9, 0)))
+PRODUCT(Y83*$H84,     SUM(OFFSET(D.TPMs!$L$7:$M$7, ($G83-1)*9, 12), OFFSET(D.TPMs!$O$7:$P$7, ($G83-1)*9, 12)))
+PRODUCT(AB83*(1-$H84), SUM(OFFSET(D.TPMs!$L$10:$M$10, ($G83-1)*9, 0), OFFSET(D.TPMs!$O$10:$P$10, ($G83-1)*9, 0)))
+PRODUCT(AB83*$H84,     SUM(OFFSET(D.TPMs!$L$10:$M$10, ($G83-1)*9, 12), OFFSET(D.TPMs!$O$10:$P$10, ($G83-1)*9, 12)))</f>
        <v>0</v>
      </c>
    </row>
    <row r="85" spans="4:39" ht="12" customHeight="1" x14ac:dyDescent="0.25">
      <c r="D85" s="62">
        <f t="shared" si="42"/>
        <v>75</v>
      </c>
      <c r="E85" s="63">
        <f t="shared" si="33"/>
        <v>18.75</v>
      </c>
      <c r="F85" s="63">
        <f t="shared" si="34"/>
        <v>83.75</v>
      </c>
      <c r="G85" s="301">
        <f>MATCH(F85, Parameters!$D$523:$D$524, 1)</f>
        <v>2</v>
      </c>
      <c r="H85" s="62">
        <f t="shared" si="35"/>
        <v>0</v>
      </c>
      <c r="I85" s="285">
        <f t="array" aca="1" ref="I85:Q85" ca="1">IF($E85&gt;timeHorizon, 0, MMULT(I84:Q84*(1-$H85), OFFSET(D.rngTPM.Q_I.Root, ($G84-1)*9, 0)) + MMULT(I84:Q84*$H85, OFFSET(D.rngTPM.Q_I.Root, ($G84-1)*9, 12)))</f>
        <v>0</v>
      </c>
      <c r="J85" s="285">
        <f ca="1"/>
        <v>0</v>
      </c>
      <c r="K85" s="285">
        <f ca="1"/>
        <v>0</v>
      </c>
      <c r="L85" s="285">
        <f ca="1"/>
        <v>0</v>
      </c>
      <c r="M85" s="285">
        <f ca="1"/>
        <v>0</v>
      </c>
      <c r="N85" s="285">
        <f ca="1"/>
        <v>0</v>
      </c>
      <c r="O85" s="285">
        <f ca="1"/>
        <v>0</v>
      </c>
      <c r="P85" s="285">
        <f ca="1"/>
        <v>0</v>
      </c>
      <c r="Q85" s="285">
        <f ca="1"/>
        <v>0</v>
      </c>
      <c r="R85" s="283" t="str">
        <f t="shared" si="43"/>
        <v/>
      </c>
      <c r="S85" s="418">
        <f t="shared" ca="1" si="36"/>
        <v>1</v>
      </c>
      <c r="T85" s="418">
        <f t="shared" ca="1" si="37"/>
        <v>0</v>
      </c>
      <c r="U85" s="418">
        <f t="shared" ca="1" si="38"/>
        <v>0</v>
      </c>
      <c r="V85" s="418">
        <f t="shared" ca="1" si="38"/>
        <v>0</v>
      </c>
      <c r="W85" s="418">
        <f ca="1">PRODUCT(I84*(1-$H85), SUM(OFFSET(D.TPMs!$L$7:$M$7, ($G84-1)*9, 0), OFFSET(D.TPMs!$O$7:$P$7, ($G84-1)*9, 0)))
+PRODUCT(I84*$H85,     SUM(OFFSET(D.TPMs!$L$7:$M$7, ($G84-1)*9, 12), OFFSET(D.TPMs!$O$7:$P$7, ($G84-1)*9, 12)))
+PRODUCT(L84*(1-$H85), SUM(OFFSET(D.TPMs!$L$10:$M$10, ($G84-1)*9, 0), OFFSET(D.TPMs!$O$10:$P$10, ($G84-1)*9, 0)))
+PRODUCT(L84*$H85,     SUM(OFFSET(D.TPMs!$L$10:$M$10, ($G84-1)*9, 12), OFFSET(D.TPMs!$O$10:$P$10, ($G84-1)*9, 12)))</f>
        <v>0</v>
      </c>
      <c r="Y85" s="285">
        <f t="array" aca="1" ref="Y85:AG85" ca="1">IF($E85&gt;timeHorizon, 0, MMULT(Y84:AG84*(1-$H85), OFFSET(D.rngTPM.Q_I.Root, ($G84-1)*9, 0)) + MMULT(Y84:AG84*$H85, OFFSET(D.rngTPM.Q_I.Root, ($G84-1)*9, 12)))</f>
        <v>0</v>
      </c>
      <c r="Z85" s="285">
        <f ca="1"/>
        <v>0</v>
      </c>
      <c r="AA85" s="285">
        <f ca="1"/>
        <v>0</v>
      </c>
      <c r="AB85" s="285">
        <f ca="1"/>
        <v>0</v>
      </c>
      <c r="AC85" s="285">
        <f ca="1"/>
        <v>0</v>
      </c>
      <c r="AD85" s="285">
        <f ca="1"/>
        <v>0</v>
      </c>
      <c r="AE85" s="285">
        <f ca="1"/>
        <v>0</v>
      </c>
      <c r="AF85" s="285">
        <f ca="1"/>
        <v>0</v>
      </c>
      <c r="AG85" s="285">
        <f ca="1"/>
        <v>0</v>
      </c>
      <c r="AH85" s="283" t="str">
        <f t="shared" si="44"/>
        <v/>
      </c>
      <c r="AI85" s="320">
        <f t="shared" ca="1" si="39"/>
        <v>1</v>
      </c>
      <c r="AJ85" s="320">
        <f t="shared" ca="1" si="40"/>
        <v>0</v>
      </c>
      <c r="AK85" s="320">
        <f t="shared" ca="1" si="41"/>
        <v>0</v>
      </c>
      <c r="AL85" s="418">
        <f t="shared" ca="1" si="45"/>
        <v>0</v>
      </c>
      <c r="AM85" s="418">
        <f ca="1">PRODUCT(Y84*(1-$H85), SUM(OFFSET(D.TPMs!$L$7:$M$7, ($G84-1)*9, 0), OFFSET(D.TPMs!$O$7:$P$7, ($G84-1)*9, 0)))
+PRODUCT(Y84*$H85,     SUM(OFFSET(D.TPMs!$L$7:$M$7, ($G84-1)*9, 12), OFFSET(D.TPMs!$O$7:$P$7, ($G84-1)*9, 12)))
+PRODUCT(AB84*(1-$H85), SUM(OFFSET(D.TPMs!$L$10:$M$10, ($G84-1)*9, 0), OFFSET(D.TPMs!$O$10:$P$10, ($G84-1)*9, 0)))
+PRODUCT(AB84*$H85,     SUM(OFFSET(D.TPMs!$L$10:$M$10, ($G84-1)*9, 12), OFFSET(D.TPMs!$O$10:$P$10, ($G84-1)*9, 12)))</f>
        <v>0</v>
      </c>
    </row>
    <row r="86" spans="4:39" ht="12" customHeight="1" x14ac:dyDescent="0.25">
      <c r="D86" s="62">
        <f t="shared" si="42"/>
        <v>76</v>
      </c>
      <c r="E86" s="63">
        <f t="shared" si="33"/>
        <v>19</v>
      </c>
      <c r="F86" s="63">
        <f t="shared" si="34"/>
        <v>84</v>
      </c>
      <c r="G86" s="301">
        <f>MATCH(F86, Parameters!$D$523:$D$524, 1)</f>
        <v>2</v>
      </c>
      <c r="H86" s="62">
        <f t="shared" si="35"/>
        <v>0</v>
      </c>
      <c r="I86" s="285">
        <f t="array" aca="1" ref="I86:Q86" ca="1">IF($E86&gt;timeHorizon, 0, MMULT(I85:Q85*(1-$H86), OFFSET(D.rngTPM.Q_I.Root, ($G85-1)*9, 0)) + MMULT(I85:Q85*$H86, OFFSET(D.rngTPM.Q_I.Root, ($G85-1)*9, 12)))</f>
        <v>0</v>
      </c>
      <c r="J86" s="285">
        <f ca="1"/>
        <v>0</v>
      </c>
      <c r="K86" s="285">
        <f ca="1"/>
        <v>0</v>
      </c>
      <c r="L86" s="285">
        <f ca="1"/>
        <v>0</v>
      </c>
      <c r="M86" s="285">
        <f ca="1"/>
        <v>0</v>
      </c>
      <c r="N86" s="285">
        <f ca="1"/>
        <v>0</v>
      </c>
      <c r="O86" s="285">
        <f ca="1"/>
        <v>0</v>
      </c>
      <c r="P86" s="285">
        <f ca="1"/>
        <v>0</v>
      </c>
      <c r="Q86" s="285">
        <f ca="1"/>
        <v>0</v>
      </c>
      <c r="R86" s="283" t="str">
        <f t="shared" si="43"/>
        <v/>
      </c>
      <c r="S86" s="418">
        <f t="shared" ca="1" si="36"/>
        <v>1</v>
      </c>
      <c r="T86" s="418">
        <f t="shared" ca="1" si="37"/>
        <v>0</v>
      </c>
      <c r="U86" s="418">
        <f t="shared" ca="1" si="38"/>
        <v>0</v>
      </c>
      <c r="V86" s="418">
        <f t="shared" ca="1" si="38"/>
        <v>0</v>
      </c>
      <c r="W86" s="418">
        <f ca="1">PRODUCT(I85*(1-$H86), SUM(OFFSET(D.TPMs!$L$7:$M$7, ($G85-1)*9, 0), OFFSET(D.TPMs!$O$7:$P$7, ($G85-1)*9, 0)))
+PRODUCT(I85*$H86,     SUM(OFFSET(D.TPMs!$L$7:$M$7, ($G85-1)*9, 12), OFFSET(D.TPMs!$O$7:$P$7, ($G85-1)*9, 12)))
+PRODUCT(L85*(1-$H86), SUM(OFFSET(D.TPMs!$L$10:$M$10, ($G85-1)*9, 0), OFFSET(D.TPMs!$O$10:$P$10, ($G85-1)*9, 0)))
+PRODUCT(L85*$H86,     SUM(OFFSET(D.TPMs!$L$10:$M$10, ($G85-1)*9, 12), OFFSET(D.TPMs!$O$10:$P$10, ($G85-1)*9, 12)))</f>
        <v>0</v>
      </c>
      <c r="Y86" s="285">
        <f t="array" aca="1" ref="Y86:AG86" ca="1">IF($E86&gt;timeHorizon, 0, MMULT(Y85:AG85*(1-$H86), OFFSET(D.rngTPM.Q_I.Root, ($G85-1)*9, 0)) + MMULT(Y85:AG85*$H86, OFFSET(D.rngTPM.Q_I.Root, ($G85-1)*9, 12)))</f>
        <v>0</v>
      </c>
      <c r="Z86" s="285">
        <f ca="1"/>
        <v>0</v>
      </c>
      <c r="AA86" s="285">
        <f ca="1"/>
        <v>0</v>
      </c>
      <c r="AB86" s="285">
        <f ca="1"/>
        <v>0</v>
      </c>
      <c r="AC86" s="285">
        <f ca="1"/>
        <v>0</v>
      </c>
      <c r="AD86" s="285">
        <f ca="1"/>
        <v>0</v>
      </c>
      <c r="AE86" s="285">
        <f ca="1"/>
        <v>0</v>
      </c>
      <c r="AF86" s="285">
        <f ca="1"/>
        <v>0</v>
      </c>
      <c r="AG86" s="285">
        <f ca="1"/>
        <v>0</v>
      </c>
      <c r="AH86" s="283" t="str">
        <f t="shared" si="44"/>
        <v/>
      </c>
      <c r="AI86" s="320">
        <f t="shared" ca="1" si="39"/>
        <v>1</v>
      </c>
      <c r="AJ86" s="320">
        <f t="shared" ca="1" si="40"/>
        <v>0</v>
      </c>
      <c r="AK86" s="320">
        <f t="shared" ca="1" si="41"/>
        <v>0</v>
      </c>
      <c r="AL86" s="418">
        <f t="shared" ca="1" si="45"/>
        <v>0</v>
      </c>
      <c r="AM86" s="418">
        <f ca="1">PRODUCT(Y85*(1-$H86), SUM(OFFSET(D.TPMs!$L$7:$M$7, ($G85-1)*9, 0), OFFSET(D.TPMs!$O$7:$P$7, ($G85-1)*9, 0)))
+PRODUCT(Y85*$H86,     SUM(OFFSET(D.TPMs!$L$7:$M$7, ($G85-1)*9, 12), OFFSET(D.TPMs!$O$7:$P$7, ($G85-1)*9, 12)))
+PRODUCT(AB85*(1-$H86), SUM(OFFSET(D.TPMs!$L$10:$M$10, ($G85-1)*9, 0), OFFSET(D.TPMs!$O$10:$P$10, ($G85-1)*9, 0)))
+PRODUCT(AB85*$H86,     SUM(OFFSET(D.TPMs!$L$10:$M$10, ($G85-1)*9, 12), OFFSET(D.TPMs!$O$10:$P$10, ($G85-1)*9, 12)))</f>
        <v>0</v>
      </c>
    </row>
    <row r="87" spans="4:39" ht="12" customHeight="1" x14ac:dyDescent="0.25">
      <c r="D87" s="62">
        <f t="shared" si="42"/>
        <v>77</v>
      </c>
      <c r="E87" s="63">
        <f t="shared" si="33"/>
        <v>19.25</v>
      </c>
      <c r="F87" s="63">
        <f t="shared" si="34"/>
        <v>84.25</v>
      </c>
      <c r="G87" s="301">
        <f>MATCH(F87, Parameters!$D$523:$D$524, 1)</f>
        <v>2</v>
      </c>
      <c r="H87" s="62">
        <f t="shared" si="35"/>
        <v>0</v>
      </c>
      <c r="I87" s="285">
        <f t="array" aca="1" ref="I87:Q87" ca="1">IF($E87&gt;timeHorizon, 0, MMULT(I86:Q86*(1-$H87), OFFSET(D.rngTPM.Q_I.Root, ($G86-1)*9, 0)) + MMULT(I86:Q86*$H87, OFFSET(D.rngTPM.Q_I.Root, ($G86-1)*9, 12)))</f>
        <v>0</v>
      </c>
      <c r="J87" s="285">
        <f ca="1"/>
        <v>0</v>
      </c>
      <c r="K87" s="285">
        <f ca="1"/>
        <v>0</v>
      </c>
      <c r="L87" s="285">
        <f ca="1"/>
        <v>0</v>
      </c>
      <c r="M87" s="285">
        <f ca="1"/>
        <v>0</v>
      </c>
      <c r="N87" s="285">
        <f ca="1"/>
        <v>0</v>
      </c>
      <c r="O87" s="285">
        <f ca="1"/>
        <v>0</v>
      </c>
      <c r="P87" s="285">
        <f ca="1"/>
        <v>0</v>
      </c>
      <c r="Q87" s="285">
        <f ca="1"/>
        <v>0</v>
      </c>
      <c r="R87" s="283" t="str">
        <f t="shared" si="43"/>
        <v/>
      </c>
      <c r="S87" s="418">
        <f t="shared" ca="1" si="36"/>
        <v>1</v>
      </c>
      <c r="T87" s="418">
        <f t="shared" ca="1" si="37"/>
        <v>0</v>
      </c>
      <c r="U87" s="418">
        <f t="shared" ca="1" si="38"/>
        <v>0</v>
      </c>
      <c r="V87" s="418">
        <f t="shared" ca="1" si="38"/>
        <v>0</v>
      </c>
      <c r="W87" s="418">
        <f ca="1">PRODUCT(I86*(1-$H87), SUM(OFFSET(D.TPMs!$L$7:$M$7, ($G86-1)*9, 0), OFFSET(D.TPMs!$O$7:$P$7, ($G86-1)*9, 0)))
+PRODUCT(I86*$H87,     SUM(OFFSET(D.TPMs!$L$7:$M$7, ($G86-1)*9, 12), OFFSET(D.TPMs!$O$7:$P$7, ($G86-1)*9, 12)))
+PRODUCT(L86*(1-$H87), SUM(OFFSET(D.TPMs!$L$10:$M$10, ($G86-1)*9, 0), OFFSET(D.TPMs!$O$10:$P$10, ($G86-1)*9, 0)))
+PRODUCT(L86*$H87,     SUM(OFFSET(D.TPMs!$L$10:$M$10, ($G86-1)*9, 12), OFFSET(D.TPMs!$O$10:$P$10, ($G86-1)*9, 12)))</f>
        <v>0</v>
      </c>
      <c r="Y87" s="285">
        <f t="array" aca="1" ref="Y87:AG87" ca="1">IF($E87&gt;timeHorizon, 0, MMULT(Y86:AG86*(1-$H87), OFFSET(D.rngTPM.Q_I.Root, ($G86-1)*9, 0)) + MMULT(Y86:AG86*$H87, OFFSET(D.rngTPM.Q_I.Root, ($G86-1)*9, 12)))</f>
        <v>0</v>
      </c>
      <c r="Z87" s="285">
        <f ca="1"/>
        <v>0</v>
      </c>
      <c r="AA87" s="285">
        <f ca="1"/>
        <v>0</v>
      </c>
      <c r="AB87" s="285">
        <f ca="1"/>
        <v>0</v>
      </c>
      <c r="AC87" s="285">
        <f ca="1"/>
        <v>0</v>
      </c>
      <c r="AD87" s="285">
        <f ca="1"/>
        <v>0</v>
      </c>
      <c r="AE87" s="285">
        <f ca="1"/>
        <v>0</v>
      </c>
      <c r="AF87" s="285">
        <f ca="1"/>
        <v>0</v>
      </c>
      <c r="AG87" s="285">
        <f ca="1"/>
        <v>0</v>
      </c>
      <c r="AH87" s="283" t="str">
        <f t="shared" si="44"/>
        <v/>
      </c>
      <c r="AI87" s="320">
        <f t="shared" ca="1" si="39"/>
        <v>1</v>
      </c>
      <c r="AJ87" s="320">
        <f t="shared" ca="1" si="40"/>
        <v>0</v>
      </c>
      <c r="AK87" s="320">
        <f t="shared" ca="1" si="41"/>
        <v>0</v>
      </c>
      <c r="AL87" s="418">
        <f t="shared" ca="1" si="45"/>
        <v>0</v>
      </c>
      <c r="AM87" s="418">
        <f ca="1">PRODUCT(Y86*(1-$H87), SUM(OFFSET(D.TPMs!$L$7:$M$7, ($G86-1)*9, 0), OFFSET(D.TPMs!$O$7:$P$7, ($G86-1)*9, 0)))
+PRODUCT(Y86*$H87,     SUM(OFFSET(D.TPMs!$L$7:$M$7, ($G86-1)*9, 12), OFFSET(D.TPMs!$O$7:$P$7, ($G86-1)*9, 12)))
+PRODUCT(AB86*(1-$H87), SUM(OFFSET(D.TPMs!$L$10:$M$10, ($G86-1)*9, 0), OFFSET(D.TPMs!$O$10:$P$10, ($G86-1)*9, 0)))
+PRODUCT(AB86*$H87,     SUM(OFFSET(D.TPMs!$L$10:$M$10, ($G86-1)*9, 12), OFFSET(D.TPMs!$O$10:$P$10, ($G86-1)*9, 12)))</f>
        <v>0</v>
      </c>
    </row>
    <row r="88" spans="4:39" ht="12" customHeight="1" x14ac:dyDescent="0.25">
      <c r="D88" s="62">
        <f t="shared" si="42"/>
        <v>78</v>
      </c>
      <c r="E88" s="63">
        <f t="shared" si="33"/>
        <v>19.5</v>
      </c>
      <c r="F88" s="63">
        <f t="shared" si="34"/>
        <v>84.5</v>
      </c>
      <c r="G88" s="301">
        <f>MATCH(F88, Parameters!$D$523:$D$524, 1)</f>
        <v>2</v>
      </c>
      <c r="H88" s="62">
        <f t="shared" si="35"/>
        <v>0</v>
      </c>
      <c r="I88" s="285">
        <f t="array" aca="1" ref="I88:Q88" ca="1">IF($E88&gt;timeHorizon, 0, MMULT(I87:Q87*(1-$H88), OFFSET(D.rngTPM.Q_I.Root, ($G87-1)*9, 0)) + MMULT(I87:Q87*$H88, OFFSET(D.rngTPM.Q_I.Root, ($G87-1)*9, 12)))</f>
        <v>0</v>
      </c>
      <c r="J88" s="285">
        <f ca="1"/>
        <v>0</v>
      </c>
      <c r="K88" s="285">
        <f ca="1"/>
        <v>0</v>
      </c>
      <c r="L88" s="285">
        <f ca="1"/>
        <v>0</v>
      </c>
      <c r="M88" s="285">
        <f ca="1"/>
        <v>0</v>
      </c>
      <c r="N88" s="285">
        <f ca="1"/>
        <v>0</v>
      </c>
      <c r="O88" s="285">
        <f ca="1"/>
        <v>0</v>
      </c>
      <c r="P88" s="285">
        <f ca="1"/>
        <v>0</v>
      </c>
      <c r="Q88" s="285">
        <f ca="1"/>
        <v>0</v>
      </c>
      <c r="R88" s="283" t="str">
        <f t="shared" si="43"/>
        <v/>
      </c>
      <c r="S88" s="418">
        <f t="shared" ca="1" si="36"/>
        <v>1</v>
      </c>
      <c r="T88" s="418">
        <f t="shared" ca="1" si="37"/>
        <v>0</v>
      </c>
      <c r="U88" s="418">
        <f t="shared" ca="1" si="38"/>
        <v>0</v>
      </c>
      <c r="V88" s="418">
        <f t="shared" ca="1" si="38"/>
        <v>0</v>
      </c>
      <c r="W88" s="418">
        <f ca="1">PRODUCT(I87*(1-$H88), SUM(OFFSET(D.TPMs!$L$7:$M$7, ($G87-1)*9, 0), OFFSET(D.TPMs!$O$7:$P$7, ($G87-1)*9, 0)))
+PRODUCT(I87*$H88,     SUM(OFFSET(D.TPMs!$L$7:$M$7, ($G87-1)*9, 12), OFFSET(D.TPMs!$O$7:$P$7, ($G87-1)*9, 12)))
+PRODUCT(L87*(1-$H88), SUM(OFFSET(D.TPMs!$L$10:$M$10, ($G87-1)*9, 0), OFFSET(D.TPMs!$O$10:$P$10, ($G87-1)*9, 0)))
+PRODUCT(L87*$H88,     SUM(OFFSET(D.TPMs!$L$10:$M$10, ($G87-1)*9, 12), OFFSET(D.TPMs!$O$10:$P$10, ($G87-1)*9, 12)))</f>
        <v>0</v>
      </c>
      <c r="Y88" s="285">
        <f t="array" aca="1" ref="Y88:AG88" ca="1">IF($E88&gt;timeHorizon, 0, MMULT(Y87:AG87*(1-$H88), OFFSET(D.rngTPM.Q_I.Root, ($G87-1)*9, 0)) + MMULT(Y87:AG87*$H88, OFFSET(D.rngTPM.Q_I.Root, ($G87-1)*9, 12)))</f>
        <v>0</v>
      </c>
      <c r="Z88" s="285">
        <f ca="1"/>
        <v>0</v>
      </c>
      <c r="AA88" s="285">
        <f ca="1"/>
        <v>0</v>
      </c>
      <c r="AB88" s="285">
        <f ca="1"/>
        <v>0</v>
      </c>
      <c r="AC88" s="285">
        <f ca="1"/>
        <v>0</v>
      </c>
      <c r="AD88" s="285">
        <f ca="1"/>
        <v>0</v>
      </c>
      <c r="AE88" s="285">
        <f ca="1"/>
        <v>0</v>
      </c>
      <c r="AF88" s="285">
        <f ca="1"/>
        <v>0</v>
      </c>
      <c r="AG88" s="285">
        <f ca="1"/>
        <v>0</v>
      </c>
      <c r="AH88" s="283" t="str">
        <f t="shared" si="44"/>
        <v/>
      </c>
      <c r="AI88" s="320">
        <f t="shared" ca="1" si="39"/>
        <v>1</v>
      </c>
      <c r="AJ88" s="320">
        <f t="shared" ca="1" si="40"/>
        <v>0</v>
      </c>
      <c r="AK88" s="320">
        <f t="shared" ca="1" si="41"/>
        <v>0</v>
      </c>
      <c r="AL88" s="418">
        <f t="shared" ca="1" si="45"/>
        <v>0</v>
      </c>
      <c r="AM88" s="418">
        <f ca="1">PRODUCT(Y87*(1-$H88), SUM(OFFSET(D.TPMs!$L$7:$M$7, ($G87-1)*9, 0), OFFSET(D.TPMs!$O$7:$P$7, ($G87-1)*9, 0)))
+PRODUCT(Y87*$H88,     SUM(OFFSET(D.TPMs!$L$7:$M$7, ($G87-1)*9, 12), OFFSET(D.TPMs!$O$7:$P$7, ($G87-1)*9, 12)))
+PRODUCT(AB87*(1-$H88), SUM(OFFSET(D.TPMs!$L$10:$M$10, ($G87-1)*9, 0), OFFSET(D.TPMs!$O$10:$P$10, ($G87-1)*9, 0)))
+PRODUCT(AB87*$H88,     SUM(OFFSET(D.TPMs!$L$10:$M$10, ($G87-1)*9, 12), OFFSET(D.TPMs!$O$10:$P$10, ($G87-1)*9, 12)))</f>
        <v>0</v>
      </c>
    </row>
    <row r="89" spans="4:39" ht="12" customHeight="1" x14ac:dyDescent="0.25">
      <c r="D89" s="62">
        <f t="shared" si="42"/>
        <v>79</v>
      </c>
      <c r="E89" s="63">
        <f t="shared" si="33"/>
        <v>19.75</v>
      </c>
      <c r="F89" s="63">
        <f t="shared" si="34"/>
        <v>84.75</v>
      </c>
      <c r="G89" s="301">
        <f>MATCH(F89, Parameters!$D$523:$D$524, 1)</f>
        <v>2</v>
      </c>
      <c r="H89" s="62">
        <f t="shared" si="35"/>
        <v>0</v>
      </c>
      <c r="I89" s="285">
        <f t="array" aca="1" ref="I89:Q89" ca="1">IF($E89&gt;timeHorizon, 0, MMULT(I88:Q88*(1-$H89), OFFSET(D.rngTPM.Q_I.Root, ($G88-1)*9, 0)) + MMULT(I88:Q88*$H89, OFFSET(D.rngTPM.Q_I.Root, ($G88-1)*9, 12)))</f>
        <v>0</v>
      </c>
      <c r="J89" s="285">
        <f ca="1"/>
        <v>0</v>
      </c>
      <c r="K89" s="285">
        <f ca="1"/>
        <v>0</v>
      </c>
      <c r="L89" s="285">
        <f ca="1"/>
        <v>0</v>
      </c>
      <c r="M89" s="285">
        <f ca="1"/>
        <v>0</v>
      </c>
      <c r="N89" s="285">
        <f ca="1"/>
        <v>0</v>
      </c>
      <c r="O89" s="285">
        <f ca="1"/>
        <v>0</v>
      </c>
      <c r="P89" s="285">
        <f ca="1"/>
        <v>0</v>
      </c>
      <c r="Q89" s="285">
        <f ca="1"/>
        <v>0</v>
      </c>
      <c r="R89" s="283" t="str">
        <f t="shared" si="43"/>
        <v/>
      </c>
      <c r="S89" s="418">
        <f t="shared" ca="1" si="36"/>
        <v>1</v>
      </c>
      <c r="T89" s="418">
        <f t="shared" ca="1" si="37"/>
        <v>0</v>
      </c>
      <c r="U89" s="418">
        <f t="shared" ca="1" si="38"/>
        <v>0</v>
      </c>
      <c r="V89" s="418">
        <f t="shared" ca="1" si="38"/>
        <v>0</v>
      </c>
      <c r="W89" s="418">
        <f ca="1">PRODUCT(I88*(1-$H89), SUM(OFFSET(D.TPMs!$L$7:$M$7, ($G88-1)*9, 0), OFFSET(D.TPMs!$O$7:$P$7, ($G88-1)*9, 0)))
+PRODUCT(I88*$H89,     SUM(OFFSET(D.TPMs!$L$7:$M$7, ($G88-1)*9, 12), OFFSET(D.TPMs!$O$7:$P$7, ($G88-1)*9, 12)))
+PRODUCT(L88*(1-$H89), SUM(OFFSET(D.TPMs!$L$10:$M$10, ($G88-1)*9, 0), OFFSET(D.TPMs!$O$10:$P$10, ($G88-1)*9, 0)))
+PRODUCT(L88*$H89,     SUM(OFFSET(D.TPMs!$L$10:$M$10, ($G88-1)*9, 12), OFFSET(D.TPMs!$O$10:$P$10, ($G88-1)*9, 12)))</f>
        <v>0</v>
      </c>
      <c r="Y89" s="285">
        <f t="array" aca="1" ref="Y89:AG89" ca="1">IF($E89&gt;timeHorizon, 0, MMULT(Y88:AG88*(1-$H89), OFFSET(D.rngTPM.Q_I.Root, ($G88-1)*9, 0)) + MMULT(Y88:AG88*$H89, OFFSET(D.rngTPM.Q_I.Root, ($G88-1)*9, 12)))</f>
        <v>0</v>
      </c>
      <c r="Z89" s="285">
        <f ca="1"/>
        <v>0</v>
      </c>
      <c r="AA89" s="285">
        <f ca="1"/>
        <v>0</v>
      </c>
      <c r="AB89" s="285">
        <f ca="1"/>
        <v>0</v>
      </c>
      <c r="AC89" s="285">
        <f ca="1"/>
        <v>0</v>
      </c>
      <c r="AD89" s="285">
        <f ca="1"/>
        <v>0</v>
      </c>
      <c r="AE89" s="285">
        <f ca="1"/>
        <v>0</v>
      </c>
      <c r="AF89" s="285">
        <f ca="1"/>
        <v>0</v>
      </c>
      <c r="AG89" s="285">
        <f ca="1"/>
        <v>0</v>
      </c>
      <c r="AH89" s="283" t="str">
        <f t="shared" si="44"/>
        <v/>
      </c>
      <c r="AI89" s="320">
        <f t="shared" ca="1" si="39"/>
        <v>1</v>
      </c>
      <c r="AJ89" s="320">
        <f t="shared" ca="1" si="40"/>
        <v>0</v>
      </c>
      <c r="AK89" s="320">
        <f t="shared" ca="1" si="41"/>
        <v>0</v>
      </c>
      <c r="AL89" s="418">
        <f t="shared" ca="1" si="45"/>
        <v>0</v>
      </c>
      <c r="AM89" s="418">
        <f ca="1">PRODUCT(Y88*(1-$H89), SUM(OFFSET(D.TPMs!$L$7:$M$7, ($G88-1)*9, 0), OFFSET(D.TPMs!$O$7:$P$7, ($G88-1)*9, 0)))
+PRODUCT(Y88*$H89,     SUM(OFFSET(D.TPMs!$L$7:$M$7, ($G88-1)*9, 12), OFFSET(D.TPMs!$O$7:$P$7, ($G88-1)*9, 12)))
+PRODUCT(AB88*(1-$H89), SUM(OFFSET(D.TPMs!$L$10:$M$10, ($G88-1)*9, 0), OFFSET(D.TPMs!$O$10:$P$10, ($G88-1)*9, 0)))
+PRODUCT(AB88*$H89,     SUM(OFFSET(D.TPMs!$L$10:$M$10, ($G88-1)*9, 12), OFFSET(D.TPMs!$O$10:$P$10, ($G88-1)*9, 12)))</f>
        <v>0</v>
      </c>
    </row>
    <row r="90" spans="4:39" ht="12" customHeight="1" x14ac:dyDescent="0.25">
      <c r="D90" s="62">
        <f t="shared" si="42"/>
        <v>80</v>
      </c>
      <c r="E90" s="63">
        <f t="shared" si="33"/>
        <v>20</v>
      </c>
      <c r="F90" s="63">
        <f t="shared" si="34"/>
        <v>85</v>
      </c>
      <c r="G90" s="301">
        <f>MATCH(F90, Parameters!$D$523:$D$524, 1)</f>
        <v>2</v>
      </c>
      <c r="H90" s="62">
        <f t="shared" si="35"/>
        <v>0</v>
      </c>
      <c r="I90" s="285">
        <f t="array" aca="1" ref="I90:Q90" ca="1">IF($E90&gt;timeHorizon, 0, MMULT(I89:Q89*(1-$H90), OFFSET(D.rngTPM.Q_I.Root, ($G89-1)*9, 0)) + MMULT(I89:Q89*$H90, OFFSET(D.rngTPM.Q_I.Root, ($G89-1)*9, 12)))</f>
        <v>0</v>
      </c>
      <c r="J90" s="285">
        <f ca="1"/>
        <v>0</v>
      </c>
      <c r="K90" s="285">
        <f ca="1"/>
        <v>0</v>
      </c>
      <c r="L90" s="285">
        <f ca="1"/>
        <v>0</v>
      </c>
      <c r="M90" s="285">
        <f ca="1"/>
        <v>0</v>
      </c>
      <c r="N90" s="285">
        <f ca="1"/>
        <v>0</v>
      </c>
      <c r="O90" s="285">
        <f ca="1"/>
        <v>0</v>
      </c>
      <c r="P90" s="285">
        <f ca="1"/>
        <v>0</v>
      </c>
      <c r="Q90" s="285">
        <f ca="1"/>
        <v>0</v>
      </c>
      <c r="R90" s="283" t="str">
        <f t="shared" si="43"/>
        <v/>
      </c>
      <c r="S90" s="418">
        <f t="shared" ca="1" si="36"/>
        <v>1</v>
      </c>
      <c r="T90" s="418">
        <f t="shared" ca="1" si="37"/>
        <v>0</v>
      </c>
      <c r="U90" s="418">
        <f t="shared" ca="1" si="38"/>
        <v>0</v>
      </c>
      <c r="V90" s="418">
        <f t="shared" ca="1" si="38"/>
        <v>0</v>
      </c>
      <c r="W90" s="418">
        <f ca="1">PRODUCT(I89*(1-$H90), SUM(OFFSET(D.TPMs!$L$7:$M$7, ($G89-1)*9, 0), OFFSET(D.TPMs!$O$7:$P$7, ($G89-1)*9, 0)))
+PRODUCT(I89*$H90,     SUM(OFFSET(D.TPMs!$L$7:$M$7, ($G89-1)*9, 12), OFFSET(D.TPMs!$O$7:$P$7, ($G89-1)*9, 12)))
+PRODUCT(L89*(1-$H90), SUM(OFFSET(D.TPMs!$L$10:$M$10, ($G89-1)*9, 0), OFFSET(D.TPMs!$O$10:$P$10, ($G89-1)*9, 0)))
+PRODUCT(L89*$H90,     SUM(OFFSET(D.TPMs!$L$10:$M$10, ($G89-1)*9, 12), OFFSET(D.TPMs!$O$10:$P$10, ($G89-1)*9, 12)))</f>
        <v>0</v>
      </c>
      <c r="Y90" s="285">
        <f t="array" aca="1" ref="Y90:AG90" ca="1">IF($E90&gt;timeHorizon, 0, MMULT(Y89:AG89*(1-$H90), OFFSET(D.rngTPM.Q_I.Root, ($G89-1)*9, 0)) + MMULT(Y89:AG89*$H90, OFFSET(D.rngTPM.Q_I.Root, ($G89-1)*9, 12)))</f>
        <v>0</v>
      </c>
      <c r="Z90" s="285">
        <f ca="1"/>
        <v>0</v>
      </c>
      <c r="AA90" s="285">
        <f ca="1"/>
        <v>0</v>
      </c>
      <c r="AB90" s="285">
        <f ca="1"/>
        <v>0</v>
      </c>
      <c r="AC90" s="285">
        <f ca="1"/>
        <v>0</v>
      </c>
      <c r="AD90" s="285">
        <f ca="1"/>
        <v>0</v>
      </c>
      <c r="AE90" s="285">
        <f ca="1"/>
        <v>0</v>
      </c>
      <c r="AF90" s="285">
        <f ca="1"/>
        <v>0</v>
      </c>
      <c r="AG90" s="285">
        <f ca="1"/>
        <v>0</v>
      </c>
      <c r="AH90" s="283" t="str">
        <f t="shared" si="44"/>
        <v/>
      </c>
      <c r="AI90" s="320">
        <f t="shared" ca="1" si="39"/>
        <v>1</v>
      </c>
      <c r="AJ90" s="320">
        <f t="shared" ca="1" si="40"/>
        <v>0</v>
      </c>
      <c r="AK90" s="320">
        <f t="shared" ca="1" si="41"/>
        <v>0</v>
      </c>
      <c r="AL90" s="418">
        <f t="shared" ca="1" si="45"/>
        <v>0</v>
      </c>
      <c r="AM90" s="418">
        <f ca="1">PRODUCT(Y89*(1-$H90), SUM(OFFSET(D.TPMs!$L$7:$M$7, ($G89-1)*9, 0), OFFSET(D.TPMs!$O$7:$P$7, ($G89-1)*9, 0)))
+PRODUCT(Y89*$H90,     SUM(OFFSET(D.TPMs!$L$7:$M$7, ($G89-1)*9, 12), OFFSET(D.TPMs!$O$7:$P$7, ($G89-1)*9, 12)))
+PRODUCT(AB89*(1-$H90), SUM(OFFSET(D.TPMs!$L$10:$M$10, ($G89-1)*9, 0), OFFSET(D.TPMs!$O$10:$P$10, ($G89-1)*9, 0)))
+PRODUCT(AB89*$H90,     SUM(OFFSET(D.TPMs!$L$10:$M$10, ($G89-1)*9, 12), OFFSET(D.TPMs!$O$10:$P$10, ($G89-1)*9, 12)))</f>
        <v>0</v>
      </c>
    </row>
    <row r="91" spans="4:39" ht="12" customHeight="1" x14ac:dyDescent="0.25">
      <c r="D91" s="62">
        <f t="shared" si="42"/>
        <v>81</v>
      </c>
      <c r="E91" s="63">
        <f t="shared" si="33"/>
        <v>20.25</v>
      </c>
      <c r="F91" s="63">
        <f t="shared" si="34"/>
        <v>85.25</v>
      </c>
      <c r="G91" s="301">
        <f>MATCH(F91, Parameters!$D$523:$D$524, 1)</f>
        <v>2</v>
      </c>
      <c r="H91" s="62">
        <f t="shared" si="35"/>
        <v>0</v>
      </c>
      <c r="I91" s="285">
        <f t="array" aca="1" ref="I91:Q91" ca="1">IF($E91&gt;timeHorizon, 0, MMULT(I90:Q90*(1-$H91), OFFSET(D.rngTPM.Q_I.Root, ($G90-1)*9, 0)) + MMULT(I90:Q90*$H91, OFFSET(D.rngTPM.Q_I.Root, ($G90-1)*9, 12)))</f>
        <v>0</v>
      </c>
      <c r="J91" s="285">
        <f ca="1"/>
        <v>0</v>
      </c>
      <c r="K91" s="285">
        <f ca="1"/>
        <v>0</v>
      </c>
      <c r="L91" s="285">
        <f ca="1"/>
        <v>0</v>
      </c>
      <c r="M91" s="285">
        <f ca="1"/>
        <v>0</v>
      </c>
      <c r="N91" s="285">
        <f ca="1"/>
        <v>0</v>
      </c>
      <c r="O91" s="285">
        <f ca="1"/>
        <v>0</v>
      </c>
      <c r="P91" s="285">
        <f ca="1"/>
        <v>0</v>
      </c>
      <c r="Q91" s="285">
        <f ca="1"/>
        <v>0</v>
      </c>
      <c r="R91" s="283" t="str">
        <f t="shared" si="43"/>
        <v/>
      </c>
      <c r="S91" s="418">
        <f t="shared" ca="1" si="36"/>
        <v>1</v>
      </c>
      <c r="T91" s="418">
        <f t="shared" ca="1" si="37"/>
        <v>0</v>
      </c>
      <c r="U91" s="418">
        <f t="shared" ca="1" si="38"/>
        <v>0</v>
      </c>
      <c r="V91" s="418">
        <f t="shared" ca="1" si="38"/>
        <v>0</v>
      </c>
      <c r="W91" s="418">
        <f ca="1">PRODUCT(I90*(1-$H91), SUM(OFFSET(D.TPMs!$L$7:$M$7, ($G90-1)*9, 0), OFFSET(D.TPMs!$O$7:$P$7, ($G90-1)*9, 0)))
+PRODUCT(I90*$H91,     SUM(OFFSET(D.TPMs!$L$7:$M$7, ($G90-1)*9, 12), OFFSET(D.TPMs!$O$7:$P$7, ($G90-1)*9, 12)))
+PRODUCT(L90*(1-$H91), SUM(OFFSET(D.TPMs!$L$10:$M$10, ($G90-1)*9, 0), OFFSET(D.TPMs!$O$10:$P$10, ($G90-1)*9, 0)))
+PRODUCT(L90*$H91,     SUM(OFFSET(D.TPMs!$L$10:$M$10, ($G90-1)*9, 12), OFFSET(D.TPMs!$O$10:$P$10, ($G90-1)*9, 12)))</f>
        <v>0</v>
      </c>
      <c r="Y91" s="285">
        <f t="array" aca="1" ref="Y91:AG91" ca="1">IF($E91&gt;timeHorizon, 0, MMULT(Y90:AG90*(1-$H91), OFFSET(D.rngTPM.Q_I.Root, ($G90-1)*9, 0)) + MMULT(Y90:AG90*$H91, OFFSET(D.rngTPM.Q_I.Root, ($G90-1)*9, 12)))</f>
        <v>0</v>
      </c>
      <c r="Z91" s="285">
        <f ca="1"/>
        <v>0</v>
      </c>
      <c r="AA91" s="285">
        <f ca="1"/>
        <v>0</v>
      </c>
      <c r="AB91" s="285">
        <f ca="1"/>
        <v>0</v>
      </c>
      <c r="AC91" s="285">
        <f ca="1"/>
        <v>0</v>
      </c>
      <c r="AD91" s="285">
        <f ca="1"/>
        <v>0</v>
      </c>
      <c r="AE91" s="285">
        <f ca="1"/>
        <v>0</v>
      </c>
      <c r="AF91" s="285">
        <f ca="1"/>
        <v>0</v>
      </c>
      <c r="AG91" s="285">
        <f ca="1"/>
        <v>0</v>
      </c>
      <c r="AH91" s="283" t="str">
        <f t="shared" si="44"/>
        <v/>
      </c>
      <c r="AI91" s="320">
        <f t="shared" ca="1" si="39"/>
        <v>1</v>
      </c>
      <c r="AJ91" s="320">
        <f t="shared" ca="1" si="40"/>
        <v>0</v>
      </c>
      <c r="AK91" s="320">
        <f t="shared" ca="1" si="41"/>
        <v>0</v>
      </c>
      <c r="AL91" s="418">
        <f t="shared" ca="1" si="45"/>
        <v>0</v>
      </c>
      <c r="AM91" s="418">
        <f ca="1">PRODUCT(Y90*(1-$H91), SUM(OFFSET(D.TPMs!$L$7:$M$7, ($G90-1)*9, 0), OFFSET(D.TPMs!$O$7:$P$7, ($G90-1)*9, 0)))
+PRODUCT(Y90*$H91,     SUM(OFFSET(D.TPMs!$L$7:$M$7, ($G90-1)*9, 12), OFFSET(D.TPMs!$O$7:$P$7, ($G90-1)*9, 12)))
+PRODUCT(AB90*(1-$H91), SUM(OFFSET(D.TPMs!$L$10:$M$10, ($G90-1)*9, 0), OFFSET(D.TPMs!$O$10:$P$10, ($G90-1)*9, 0)))
+PRODUCT(AB90*$H91,     SUM(OFFSET(D.TPMs!$L$10:$M$10, ($G90-1)*9, 12), OFFSET(D.TPMs!$O$10:$P$10, ($G90-1)*9, 12)))</f>
        <v>0</v>
      </c>
    </row>
    <row r="92" spans="4:39" ht="12" customHeight="1" x14ac:dyDescent="0.25">
      <c r="D92" s="62">
        <f t="shared" si="42"/>
        <v>82</v>
      </c>
      <c r="E92" s="63">
        <f t="shared" si="33"/>
        <v>20.5</v>
      </c>
      <c r="F92" s="63">
        <f t="shared" si="34"/>
        <v>85.5</v>
      </c>
      <c r="G92" s="301">
        <f>MATCH(F92, Parameters!$D$523:$D$524, 1)</f>
        <v>2</v>
      </c>
      <c r="H92" s="62">
        <f t="shared" si="35"/>
        <v>0</v>
      </c>
      <c r="I92" s="285">
        <f t="array" aca="1" ref="I92:Q92" ca="1">IF($E92&gt;timeHorizon, 0, MMULT(I91:Q91*(1-$H92), OFFSET(D.rngTPM.Q_I.Root, ($G91-1)*9, 0)) + MMULT(I91:Q91*$H92, OFFSET(D.rngTPM.Q_I.Root, ($G91-1)*9, 12)))</f>
        <v>0</v>
      </c>
      <c r="J92" s="285">
        <f ca="1"/>
        <v>0</v>
      </c>
      <c r="K92" s="285">
        <f ca="1"/>
        <v>0</v>
      </c>
      <c r="L92" s="285">
        <f ca="1"/>
        <v>0</v>
      </c>
      <c r="M92" s="285">
        <f ca="1"/>
        <v>0</v>
      </c>
      <c r="N92" s="285">
        <f ca="1"/>
        <v>0</v>
      </c>
      <c r="O92" s="285">
        <f ca="1"/>
        <v>0</v>
      </c>
      <c r="P92" s="285">
        <f ca="1"/>
        <v>0</v>
      </c>
      <c r="Q92" s="285">
        <f ca="1"/>
        <v>0</v>
      </c>
      <c r="R92" s="283" t="str">
        <f t="shared" si="43"/>
        <v/>
      </c>
      <c r="S92" s="418">
        <f t="shared" ca="1" si="36"/>
        <v>1</v>
      </c>
      <c r="T92" s="418">
        <f t="shared" ca="1" si="37"/>
        <v>0</v>
      </c>
      <c r="U92" s="418">
        <f t="shared" ca="1" si="38"/>
        <v>0</v>
      </c>
      <c r="V92" s="418">
        <f t="shared" ca="1" si="38"/>
        <v>0</v>
      </c>
      <c r="W92" s="418">
        <f ca="1">PRODUCT(I91*(1-$H92), SUM(OFFSET(D.TPMs!$L$7:$M$7, ($G91-1)*9, 0), OFFSET(D.TPMs!$O$7:$P$7, ($G91-1)*9, 0)))
+PRODUCT(I91*$H92,     SUM(OFFSET(D.TPMs!$L$7:$M$7, ($G91-1)*9, 12), OFFSET(D.TPMs!$O$7:$P$7, ($G91-1)*9, 12)))
+PRODUCT(L91*(1-$H92), SUM(OFFSET(D.TPMs!$L$10:$M$10, ($G91-1)*9, 0), OFFSET(D.TPMs!$O$10:$P$10, ($G91-1)*9, 0)))
+PRODUCT(L91*$H92,     SUM(OFFSET(D.TPMs!$L$10:$M$10, ($G91-1)*9, 12), OFFSET(D.TPMs!$O$10:$P$10, ($G91-1)*9, 12)))</f>
        <v>0</v>
      </c>
      <c r="Y92" s="285">
        <f t="array" aca="1" ref="Y92:AG92" ca="1">IF($E92&gt;timeHorizon, 0, MMULT(Y91:AG91*(1-$H92), OFFSET(D.rngTPM.Q_I.Root, ($G91-1)*9, 0)) + MMULT(Y91:AG91*$H92, OFFSET(D.rngTPM.Q_I.Root, ($G91-1)*9, 12)))</f>
        <v>0</v>
      </c>
      <c r="Z92" s="285">
        <f ca="1"/>
        <v>0</v>
      </c>
      <c r="AA92" s="285">
        <f ca="1"/>
        <v>0</v>
      </c>
      <c r="AB92" s="285">
        <f ca="1"/>
        <v>0</v>
      </c>
      <c r="AC92" s="285">
        <f ca="1"/>
        <v>0</v>
      </c>
      <c r="AD92" s="285">
        <f ca="1"/>
        <v>0</v>
      </c>
      <c r="AE92" s="285">
        <f ca="1"/>
        <v>0</v>
      </c>
      <c r="AF92" s="285">
        <f ca="1"/>
        <v>0</v>
      </c>
      <c r="AG92" s="285">
        <f ca="1"/>
        <v>0</v>
      </c>
      <c r="AH92" s="283" t="str">
        <f t="shared" si="44"/>
        <v/>
      </c>
      <c r="AI92" s="320">
        <f t="shared" ca="1" si="39"/>
        <v>1</v>
      </c>
      <c r="AJ92" s="320">
        <f t="shared" ca="1" si="40"/>
        <v>0</v>
      </c>
      <c r="AK92" s="320">
        <f t="shared" ca="1" si="41"/>
        <v>0</v>
      </c>
      <c r="AL92" s="418">
        <f t="shared" ca="1" si="45"/>
        <v>0</v>
      </c>
      <c r="AM92" s="418">
        <f ca="1">PRODUCT(Y91*(1-$H92), SUM(OFFSET(D.TPMs!$L$7:$M$7, ($G91-1)*9, 0), OFFSET(D.TPMs!$O$7:$P$7, ($G91-1)*9, 0)))
+PRODUCT(Y91*$H92,     SUM(OFFSET(D.TPMs!$L$7:$M$7, ($G91-1)*9, 12), OFFSET(D.TPMs!$O$7:$P$7, ($G91-1)*9, 12)))
+PRODUCT(AB91*(1-$H92), SUM(OFFSET(D.TPMs!$L$10:$M$10, ($G91-1)*9, 0), OFFSET(D.TPMs!$O$10:$P$10, ($G91-1)*9, 0)))
+PRODUCT(AB91*$H92,     SUM(OFFSET(D.TPMs!$L$10:$M$10, ($G91-1)*9, 12), OFFSET(D.TPMs!$O$10:$P$10, ($G91-1)*9, 12)))</f>
        <v>0</v>
      </c>
    </row>
    <row r="93" spans="4:39" ht="12" customHeight="1" x14ac:dyDescent="0.25">
      <c r="D93" s="62">
        <f t="shared" si="42"/>
        <v>83</v>
      </c>
      <c r="E93" s="63">
        <f t="shared" si="33"/>
        <v>20.75</v>
      </c>
      <c r="F93" s="63">
        <f t="shared" si="34"/>
        <v>85.75</v>
      </c>
      <c r="G93" s="301">
        <f>MATCH(F93, Parameters!$D$523:$D$524, 1)</f>
        <v>2</v>
      </c>
      <c r="H93" s="62">
        <f t="shared" si="35"/>
        <v>0</v>
      </c>
      <c r="I93" s="285">
        <f t="array" aca="1" ref="I93:Q93" ca="1">IF($E93&gt;timeHorizon, 0, MMULT(I92:Q92*(1-$H93), OFFSET(D.rngTPM.Q_I.Root, ($G92-1)*9, 0)) + MMULT(I92:Q92*$H93, OFFSET(D.rngTPM.Q_I.Root, ($G92-1)*9, 12)))</f>
        <v>0</v>
      </c>
      <c r="J93" s="285">
        <f ca="1"/>
        <v>0</v>
      </c>
      <c r="K93" s="285">
        <f ca="1"/>
        <v>0</v>
      </c>
      <c r="L93" s="285">
        <f ca="1"/>
        <v>0</v>
      </c>
      <c r="M93" s="285">
        <f ca="1"/>
        <v>0</v>
      </c>
      <c r="N93" s="285">
        <f ca="1"/>
        <v>0</v>
      </c>
      <c r="O93" s="285">
        <f ca="1"/>
        <v>0</v>
      </c>
      <c r="P93" s="285">
        <f ca="1"/>
        <v>0</v>
      </c>
      <c r="Q93" s="285">
        <f ca="1"/>
        <v>0</v>
      </c>
      <c r="R93" s="283" t="str">
        <f t="shared" si="43"/>
        <v/>
      </c>
      <c r="S93" s="418">
        <f t="shared" ca="1" si="36"/>
        <v>1</v>
      </c>
      <c r="T93" s="418">
        <f t="shared" ca="1" si="37"/>
        <v>0</v>
      </c>
      <c r="U93" s="418">
        <f t="shared" ca="1" si="38"/>
        <v>0</v>
      </c>
      <c r="V93" s="418">
        <f t="shared" ca="1" si="38"/>
        <v>0</v>
      </c>
      <c r="W93" s="418">
        <f ca="1">PRODUCT(I92*(1-$H93), SUM(OFFSET(D.TPMs!$L$7:$M$7, ($G92-1)*9, 0), OFFSET(D.TPMs!$O$7:$P$7, ($G92-1)*9, 0)))
+PRODUCT(I92*$H93,     SUM(OFFSET(D.TPMs!$L$7:$M$7, ($G92-1)*9, 12), OFFSET(D.TPMs!$O$7:$P$7, ($G92-1)*9, 12)))
+PRODUCT(L92*(1-$H93), SUM(OFFSET(D.TPMs!$L$10:$M$10, ($G92-1)*9, 0), OFFSET(D.TPMs!$O$10:$P$10, ($G92-1)*9, 0)))
+PRODUCT(L92*$H93,     SUM(OFFSET(D.TPMs!$L$10:$M$10, ($G92-1)*9, 12), OFFSET(D.TPMs!$O$10:$P$10, ($G92-1)*9, 12)))</f>
        <v>0</v>
      </c>
      <c r="Y93" s="285">
        <f t="array" aca="1" ref="Y93:AG93" ca="1">IF($E93&gt;timeHorizon, 0, MMULT(Y92:AG92*(1-$H93), OFFSET(D.rngTPM.Q_I.Root, ($G92-1)*9, 0)) + MMULT(Y92:AG92*$H93, OFFSET(D.rngTPM.Q_I.Root, ($G92-1)*9, 12)))</f>
        <v>0</v>
      </c>
      <c r="Z93" s="285">
        <f ca="1"/>
        <v>0</v>
      </c>
      <c r="AA93" s="285">
        <f ca="1"/>
        <v>0</v>
      </c>
      <c r="AB93" s="285">
        <f ca="1"/>
        <v>0</v>
      </c>
      <c r="AC93" s="285">
        <f ca="1"/>
        <v>0</v>
      </c>
      <c r="AD93" s="285">
        <f ca="1"/>
        <v>0</v>
      </c>
      <c r="AE93" s="285">
        <f ca="1"/>
        <v>0</v>
      </c>
      <c r="AF93" s="285">
        <f ca="1"/>
        <v>0</v>
      </c>
      <c r="AG93" s="285">
        <f ca="1"/>
        <v>0</v>
      </c>
      <c r="AH93" s="283" t="str">
        <f t="shared" si="44"/>
        <v/>
      </c>
      <c r="AI93" s="320">
        <f t="shared" ca="1" si="39"/>
        <v>1</v>
      </c>
      <c r="AJ93" s="320">
        <f t="shared" ca="1" si="40"/>
        <v>0</v>
      </c>
      <c r="AK93" s="320">
        <f t="shared" ca="1" si="41"/>
        <v>0</v>
      </c>
      <c r="AL93" s="418">
        <f t="shared" ca="1" si="45"/>
        <v>0</v>
      </c>
      <c r="AM93" s="418">
        <f ca="1">PRODUCT(Y92*(1-$H93), SUM(OFFSET(D.TPMs!$L$7:$M$7, ($G92-1)*9, 0), OFFSET(D.TPMs!$O$7:$P$7, ($G92-1)*9, 0)))
+PRODUCT(Y92*$H93,     SUM(OFFSET(D.TPMs!$L$7:$M$7, ($G92-1)*9, 12), OFFSET(D.TPMs!$O$7:$P$7, ($G92-1)*9, 12)))
+PRODUCT(AB92*(1-$H93), SUM(OFFSET(D.TPMs!$L$10:$M$10, ($G92-1)*9, 0), OFFSET(D.TPMs!$O$10:$P$10, ($G92-1)*9, 0)))
+PRODUCT(AB92*$H93,     SUM(OFFSET(D.TPMs!$L$10:$M$10, ($G92-1)*9, 12), OFFSET(D.TPMs!$O$10:$P$10, ($G92-1)*9, 12)))</f>
        <v>0</v>
      </c>
    </row>
    <row r="94" spans="4:39" ht="12" customHeight="1" x14ac:dyDescent="0.25">
      <c r="D94" s="62">
        <f t="shared" si="42"/>
        <v>84</v>
      </c>
      <c r="E94" s="63">
        <f t="shared" si="33"/>
        <v>21</v>
      </c>
      <c r="F94" s="63">
        <f t="shared" si="34"/>
        <v>86</v>
      </c>
      <c r="G94" s="301">
        <f>MATCH(F94, Parameters!$D$523:$D$524, 1)</f>
        <v>2</v>
      </c>
      <c r="H94" s="62">
        <f t="shared" si="35"/>
        <v>0</v>
      </c>
      <c r="I94" s="285">
        <f t="array" aca="1" ref="I94:Q94" ca="1">IF($E94&gt;timeHorizon, 0, MMULT(I93:Q93*(1-$H94), OFFSET(D.rngTPM.Q_I.Root, ($G93-1)*9, 0)) + MMULT(I93:Q93*$H94, OFFSET(D.rngTPM.Q_I.Root, ($G93-1)*9, 12)))</f>
        <v>0</v>
      </c>
      <c r="J94" s="285">
        <f ca="1"/>
        <v>0</v>
      </c>
      <c r="K94" s="285">
        <f ca="1"/>
        <v>0</v>
      </c>
      <c r="L94" s="285">
        <f ca="1"/>
        <v>0</v>
      </c>
      <c r="M94" s="285">
        <f ca="1"/>
        <v>0</v>
      </c>
      <c r="N94" s="285">
        <f ca="1"/>
        <v>0</v>
      </c>
      <c r="O94" s="285">
        <f ca="1"/>
        <v>0</v>
      </c>
      <c r="P94" s="285">
        <f ca="1"/>
        <v>0</v>
      </c>
      <c r="Q94" s="285">
        <f ca="1"/>
        <v>0</v>
      </c>
      <c r="R94" s="283" t="str">
        <f t="shared" si="43"/>
        <v/>
      </c>
      <c r="S94" s="418">
        <f t="shared" ca="1" si="36"/>
        <v>1</v>
      </c>
      <c r="T94" s="418">
        <f t="shared" ca="1" si="37"/>
        <v>0</v>
      </c>
      <c r="U94" s="418">
        <f t="shared" ca="1" si="38"/>
        <v>0</v>
      </c>
      <c r="V94" s="418">
        <f t="shared" ca="1" si="38"/>
        <v>0</v>
      </c>
      <c r="W94" s="418">
        <f ca="1">PRODUCT(I93*(1-$H94), SUM(OFFSET(D.TPMs!$L$7:$M$7, ($G93-1)*9, 0), OFFSET(D.TPMs!$O$7:$P$7, ($G93-1)*9, 0)))
+PRODUCT(I93*$H94,     SUM(OFFSET(D.TPMs!$L$7:$M$7, ($G93-1)*9, 12), OFFSET(D.TPMs!$O$7:$P$7, ($G93-1)*9, 12)))
+PRODUCT(L93*(1-$H94), SUM(OFFSET(D.TPMs!$L$10:$M$10, ($G93-1)*9, 0), OFFSET(D.TPMs!$O$10:$P$10, ($G93-1)*9, 0)))
+PRODUCT(L93*$H94,     SUM(OFFSET(D.TPMs!$L$10:$M$10, ($G93-1)*9, 12), OFFSET(D.TPMs!$O$10:$P$10, ($G93-1)*9, 12)))</f>
        <v>0</v>
      </c>
      <c r="Y94" s="285">
        <f t="array" aca="1" ref="Y94:AG94" ca="1">IF($E94&gt;timeHorizon, 0, MMULT(Y93:AG93*(1-$H94), OFFSET(D.rngTPM.Q_I.Root, ($G93-1)*9, 0)) + MMULT(Y93:AG93*$H94, OFFSET(D.rngTPM.Q_I.Root, ($G93-1)*9, 12)))</f>
        <v>0</v>
      </c>
      <c r="Z94" s="285">
        <f ca="1"/>
        <v>0</v>
      </c>
      <c r="AA94" s="285">
        <f ca="1"/>
        <v>0</v>
      </c>
      <c r="AB94" s="285">
        <f ca="1"/>
        <v>0</v>
      </c>
      <c r="AC94" s="285">
        <f ca="1"/>
        <v>0</v>
      </c>
      <c r="AD94" s="285">
        <f ca="1"/>
        <v>0</v>
      </c>
      <c r="AE94" s="285">
        <f ca="1"/>
        <v>0</v>
      </c>
      <c r="AF94" s="285">
        <f ca="1"/>
        <v>0</v>
      </c>
      <c r="AG94" s="285">
        <f ca="1"/>
        <v>0</v>
      </c>
      <c r="AH94" s="283" t="str">
        <f t="shared" si="44"/>
        <v/>
      </c>
      <c r="AI94" s="320">
        <f t="shared" ca="1" si="39"/>
        <v>1</v>
      </c>
      <c r="AJ94" s="320">
        <f t="shared" ca="1" si="40"/>
        <v>0</v>
      </c>
      <c r="AK94" s="320">
        <f t="shared" ca="1" si="41"/>
        <v>0</v>
      </c>
      <c r="AL94" s="418">
        <f t="shared" ca="1" si="45"/>
        <v>0</v>
      </c>
      <c r="AM94" s="418">
        <f ca="1">PRODUCT(Y93*(1-$H94), SUM(OFFSET(D.TPMs!$L$7:$M$7, ($G93-1)*9, 0), OFFSET(D.TPMs!$O$7:$P$7, ($G93-1)*9, 0)))
+PRODUCT(Y93*$H94,     SUM(OFFSET(D.TPMs!$L$7:$M$7, ($G93-1)*9, 12), OFFSET(D.TPMs!$O$7:$P$7, ($G93-1)*9, 12)))
+PRODUCT(AB93*(1-$H94), SUM(OFFSET(D.TPMs!$L$10:$M$10, ($G93-1)*9, 0), OFFSET(D.TPMs!$O$10:$P$10, ($G93-1)*9, 0)))
+PRODUCT(AB93*$H94,     SUM(OFFSET(D.TPMs!$L$10:$M$10, ($G93-1)*9, 12), OFFSET(D.TPMs!$O$10:$P$10, ($G93-1)*9, 12)))</f>
        <v>0</v>
      </c>
    </row>
    <row r="95" spans="4:39" ht="12" customHeight="1" x14ac:dyDescent="0.25">
      <c r="D95" s="62">
        <f t="shared" si="42"/>
        <v>85</v>
      </c>
      <c r="E95" s="63">
        <f t="shared" si="33"/>
        <v>21.25</v>
      </c>
      <c r="F95" s="63">
        <f t="shared" si="34"/>
        <v>86.25</v>
      </c>
      <c r="G95" s="301">
        <f>MATCH(F95, Parameters!$D$523:$D$524, 1)</f>
        <v>2</v>
      </c>
      <c r="H95" s="62">
        <f t="shared" si="35"/>
        <v>0</v>
      </c>
      <c r="I95" s="285">
        <f t="array" aca="1" ref="I95:Q95" ca="1">IF($E95&gt;timeHorizon, 0, MMULT(I94:Q94*(1-$H95), OFFSET(D.rngTPM.Q_I.Root, ($G94-1)*9, 0)) + MMULT(I94:Q94*$H95, OFFSET(D.rngTPM.Q_I.Root, ($G94-1)*9, 12)))</f>
        <v>0</v>
      </c>
      <c r="J95" s="285">
        <f ca="1"/>
        <v>0</v>
      </c>
      <c r="K95" s="285">
        <f ca="1"/>
        <v>0</v>
      </c>
      <c r="L95" s="285">
        <f ca="1"/>
        <v>0</v>
      </c>
      <c r="M95" s="285">
        <f ca="1"/>
        <v>0</v>
      </c>
      <c r="N95" s="285">
        <f ca="1"/>
        <v>0</v>
      </c>
      <c r="O95" s="285">
        <f ca="1"/>
        <v>0</v>
      </c>
      <c r="P95" s="285">
        <f ca="1"/>
        <v>0</v>
      </c>
      <c r="Q95" s="285">
        <f ca="1"/>
        <v>0</v>
      </c>
      <c r="R95" s="283" t="str">
        <f t="shared" si="43"/>
        <v/>
      </c>
      <c r="S95" s="418">
        <f t="shared" ca="1" si="36"/>
        <v>1</v>
      </c>
      <c r="T95" s="418">
        <f t="shared" ca="1" si="37"/>
        <v>0</v>
      </c>
      <c r="U95" s="418">
        <f t="shared" ca="1" si="38"/>
        <v>0</v>
      </c>
      <c r="V95" s="418">
        <f t="shared" ca="1" si="38"/>
        <v>0</v>
      </c>
      <c r="W95" s="418">
        <f ca="1">PRODUCT(I94*(1-$H95), SUM(OFFSET(D.TPMs!$L$7:$M$7, ($G94-1)*9, 0), OFFSET(D.TPMs!$O$7:$P$7, ($G94-1)*9, 0)))
+PRODUCT(I94*$H95,     SUM(OFFSET(D.TPMs!$L$7:$M$7, ($G94-1)*9, 12), OFFSET(D.TPMs!$O$7:$P$7, ($G94-1)*9, 12)))
+PRODUCT(L94*(1-$H95), SUM(OFFSET(D.TPMs!$L$10:$M$10, ($G94-1)*9, 0), OFFSET(D.TPMs!$O$10:$P$10, ($G94-1)*9, 0)))
+PRODUCT(L94*$H95,     SUM(OFFSET(D.TPMs!$L$10:$M$10, ($G94-1)*9, 12), OFFSET(D.TPMs!$O$10:$P$10, ($G94-1)*9, 12)))</f>
        <v>0</v>
      </c>
      <c r="Y95" s="285">
        <f t="array" aca="1" ref="Y95:AG95" ca="1">IF($E95&gt;timeHorizon, 0, MMULT(Y94:AG94*(1-$H95), OFFSET(D.rngTPM.Q_I.Root, ($G94-1)*9, 0)) + MMULT(Y94:AG94*$H95, OFFSET(D.rngTPM.Q_I.Root, ($G94-1)*9, 12)))</f>
        <v>0</v>
      </c>
      <c r="Z95" s="285">
        <f ca="1"/>
        <v>0</v>
      </c>
      <c r="AA95" s="285">
        <f ca="1"/>
        <v>0</v>
      </c>
      <c r="AB95" s="285">
        <f ca="1"/>
        <v>0</v>
      </c>
      <c r="AC95" s="285">
        <f ca="1"/>
        <v>0</v>
      </c>
      <c r="AD95" s="285">
        <f ca="1"/>
        <v>0</v>
      </c>
      <c r="AE95" s="285">
        <f ca="1"/>
        <v>0</v>
      </c>
      <c r="AF95" s="285">
        <f ca="1"/>
        <v>0</v>
      </c>
      <c r="AG95" s="285">
        <f ca="1"/>
        <v>0</v>
      </c>
      <c r="AH95" s="283" t="str">
        <f t="shared" si="44"/>
        <v/>
      </c>
      <c r="AI95" s="320">
        <f t="shared" ca="1" si="39"/>
        <v>1</v>
      </c>
      <c r="AJ95" s="320">
        <f t="shared" ca="1" si="40"/>
        <v>0</v>
      </c>
      <c r="AK95" s="320">
        <f t="shared" ca="1" si="41"/>
        <v>0</v>
      </c>
      <c r="AL95" s="418">
        <f t="shared" ca="1" si="45"/>
        <v>0</v>
      </c>
      <c r="AM95" s="418">
        <f ca="1">PRODUCT(Y94*(1-$H95), SUM(OFFSET(D.TPMs!$L$7:$M$7, ($G94-1)*9, 0), OFFSET(D.TPMs!$O$7:$P$7, ($G94-1)*9, 0)))
+PRODUCT(Y94*$H95,     SUM(OFFSET(D.TPMs!$L$7:$M$7, ($G94-1)*9, 12), OFFSET(D.TPMs!$O$7:$P$7, ($G94-1)*9, 12)))
+PRODUCT(AB94*(1-$H95), SUM(OFFSET(D.TPMs!$L$10:$M$10, ($G94-1)*9, 0), OFFSET(D.TPMs!$O$10:$P$10, ($G94-1)*9, 0)))
+PRODUCT(AB94*$H95,     SUM(OFFSET(D.TPMs!$L$10:$M$10, ($G94-1)*9, 12), OFFSET(D.TPMs!$O$10:$P$10, ($G94-1)*9, 12)))</f>
        <v>0</v>
      </c>
    </row>
    <row r="96" spans="4:39" ht="12" customHeight="1" x14ac:dyDescent="0.25">
      <c r="D96" s="62">
        <f t="shared" si="42"/>
        <v>86</v>
      </c>
      <c r="E96" s="63">
        <f t="shared" si="33"/>
        <v>21.5</v>
      </c>
      <c r="F96" s="63">
        <f t="shared" si="34"/>
        <v>86.5</v>
      </c>
      <c r="G96" s="301">
        <f>MATCH(F96, Parameters!$D$523:$D$524, 1)</f>
        <v>2</v>
      </c>
      <c r="H96" s="62">
        <f t="shared" si="35"/>
        <v>0</v>
      </c>
      <c r="I96" s="285">
        <f t="array" aca="1" ref="I96:Q96" ca="1">IF($E96&gt;timeHorizon, 0, MMULT(I95:Q95*(1-$H96), OFFSET(D.rngTPM.Q_I.Root, ($G95-1)*9, 0)) + MMULT(I95:Q95*$H96, OFFSET(D.rngTPM.Q_I.Root, ($G95-1)*9, 12)))</f>
        <v>0</v>
      </c>
      <c r="J96" s="285">
        <f ca="1"/>
        <v>0</v>
      </c>
      <c r="K96" s="285">
        <f ca="1"/>
        <v>0</v>
      </c>
      <c r="L96" s="285">
        <f ca="1"/>
        <v>0</v>
      </c>
      <c r="M96" s="285">
        <f ca="1"/>
        <v>0</v>
      </c>
      <c r="N96" s="285">
        <f ca="1"/>
        <v>0</v>
      </c>
      <c r="O96" s="285">
        <f ca="1"/>
        <v>0</v>
      </c>
      <c r="P96" s="285">
        <f ca="1"/>
        <v>0</v>
      </c>
      <c r="Q96" s="285">
        <f ca="1"/>
        <v>0</v>
      </c>
      <c r="R96" s="283" t="str">
        <f t="shared" si="43"/>
        <v/>
      </c>
      <c r="S96" s="418">
        <f t="shared" ca="1" si="36"/>
        <v>1</v>
      </c>
      <c r="T96" s="418">
        <f t="shared" ca="1" si="37"/>
        <v>0</v>
      </c>
      <c r="U96" s="418">
        <f t="shared" ca="1" si="38"/>
        <v>0</v>
      </c>
      <c r="V96" s="418">
        <f t="shared" ca="1" si="38"/>
        <v>0</v>
      </c>
      <c r="W96" s="418">
        <f ca="1">PRODUCT(I95*(1-$H96), SUM(OFFSET(D.TPMs!$L$7:$M$7, ($G95-1)*9, 0), OFFSET(D.TPMs!$O$7:$P$7, ($G95-1)*9, 0)))
+PRODUCT(I95*$H96,     SUM(OFFSET(D.TPMs!$L$7:$M$7, ($G95-1)*9, 12), OFFSET(D.TPMs!$O$7:$P$7, ($G95-1)*9, 12)))
+PRODUCT(L95*(1-$H96), SUM(OFFSET(D.TPMs!$L$10:$M$10, ($G95-1)*9, 0), OFFSET(D.TPMs!$O$10:$P$10, ($G95-1)*9, 0)))
+PRODUCT(L95*$H96,     SUM(OFFSET(D.TPMs!$L$10:$M$10, ($G95-1)*9, 12), OFFSET(D.TPMs!$O$10:$P$10, ($G95-1)*9, 12)))</f>
        <v>0</v>
      </c>
      <c r="Y96" s="285">
        <f t="array" aca="1" ref="Y96:AG96" ca="1">IF($E96&gt;timeHorizon, 0, MMULT(Y95:AG95*(1-$H96), OFFSET(D.rngTPM.Q_I.Root, ($G95-1)*9, 0)) + MMULT(Y95:AG95*$H96, OFFSET(D.rngTPM.Q_I.Root, ($G95-1)*9, 12)))</f>
        <v>0</v>
      </c>
      <c r="Z96" s="285">
        <f ca="1"/>
        <v>0</v>
      </c>
      <c r="AA96" s="285">
        <f ca="1"/>
        <v>0</v>
      </c>
      <c r="AB96" s="285">
        <f ca="1"/>
        <v>0</v>
      </c>
      <c r="AC96" s="285">
        <f ca="1"/>
        <v>0</v>
      </c>
      <c r="AD96" s="285">
        <f ca="1"/>
        <v>0</v>
      </c>
      <c r="AE96" s="285">
        <f ca="1"/>
        <v>0</v>
      </c>
      <c r="AF96" s="285">
        <f ca="1"/>
        <v>0</v>
      </c>
      <c r="AG96" s="285">
        <f ca="1"/>
        <v>0</v>
      </c>
      <c r="AH96" s="283" t="str">
        <f t="shared" si="44"/>
        <v/>
      </c>
      <c r="AI96" s="320">
        <f t="shared" ca="1" si="39"/>
        <v>1</v>
      </c>
      <c r="AJ96" s="320">
        <f t="shared" ca="1" si="40"/>
        <v>0</v>
      </c>
      <c r="AK96" s="320">
        <f t="shared" ca="1" si="41"/>
        <v>0</v>
      </c>
      <c r="AL96" s="418">
        <f t="shared" ca="1" si="45"/>
        <v>0</v>
      </c>
      <c r="AM96" s="418">
        <f ca="1">PRODUCT(Y95*(1-$H96), SUM(OFFSET(D.TPMs!$L$7:$M$7, ($G95-1)*9, 0), OFFSET(D.TPMs!$O$7:$P$7, ($G95-1)*9, 0)))
+PRODUCT(Y95*$H96,     SUM(OFFSET(D.TPMs!$L$7:$M$7, ($G95-1)*9, 12), OFFSET(D.TPMs!$O$7:$P$7, ($G95-1)*9, 12)))
+PRODUCT(AB95*(1-$H96), SUM(OFFSET(D.TPMs!$L$10:$M$10, ($G95-1)*9, 0), OFFSET(D.TPMs!$O$10:$P$10, ($G95-1)*9, 0)))
+PRODUCT(AB95*$H96,     SUM(OFFSET(D.TPMs!$L$10:$M$10, ($G95-1)*9, 12), OFFSET(D.TPMs!$O$10:$P$10, ($G95-1)*9, 12)))</f>
        <v>0</v>
      </c>
    </row>
    <row r="97" spans="4:39" ht="12" customHeight="1" x14ac:dyDescent="0.25">
      <c r="D97" s="62">
        <f t="shared" si="42"/>
        <v>87</v>
      </c>
      <c r="E97" s="63">
        <f t="shared" si="33"/>
        <v>21.75</v>
      </c>
      <c r="F97" s="63">
        <f t="shared" si="34"/>
        <v>86.75</v>
      </c>
      <c r="G97" s="301">
        <f>MATCH(F97, Parameters!$D$523:$D$524, 1)</f>
        <v>2</v>
      </c>
      <c r="H97" s="62">
        <f t="shared" si="35"/>
        <v>0</v>
      </c>
      <c r="I97" s="285">
        <f t="array" aca="1" ref="I97:Q97" ca="1">IF($E97&gt;timeHorizon, 0, MMULT(I96:Q96*(1-$H97), OFFSET(D.rngTPM.Q_I.Root, ($G96-1)*9, 0)) + MMULT(I96:Q96*$H97, OFFSET(D.rngTPM.Q_I.Root, ($G96-1)*9, 12)))</f>
        <v>0</v>
      </c>
      <c r="J97" s="285">
        <f ca="1"/>
        <v>0</v>
      </c>
      <c r="K97" s="285">
        <f ca="1"/>
        <v>0</v>
      </c>
      <c r="L97" s="285">
        <f ca="1"/>
        <v>0</v>
      </c>
      <c r="M97" s="285">
        <f ca="1"/>
        <v>0</v>
      </c>
      <c r="N97" s="285">
        <f ca="1"/>
        <v>0</v>
      </c>
      <c r="O97" s="285">
        <f ca="1"/>
        <v>0</v>
      </c>
      <c r="P97" s="285">
        <f ca="1"/>
        <v>0</v>
      </c>
      <c r="Q97" s="285">
        <f ca="1"/>
        <v>0</v>
      </c>
      <c r="R97" s="283" t="str">
        <f t="shared" si="43"/>
        <v/>
      </c>
      <c r="S97" s="418">
        <f t="shared" ca="1" si="36"/>
        <v>1</v>
      </c>
      <c r="T97" s="418">
        <f t="shared" ca="1" si="37"/>
        <v>0</v>
      </c>
      <c r="U97" s="418">
        <f t="shared" ca="1" si="38"/>
        <v>0</v>
      </c>
      <c r="V97" s="418">
        <f t="shared" ca="1" si="38"/>
        <v>0</v>
      </c>
      <c r="W97" s="418">
        <f ca="1">PRODUCT(I96*(1-$H97), SUM(OFFSET(D.TPMs!$L$7:$M$7, ($G96-1)*9, 0), OFFSET(D.TPMs!$O$7:$P$7, ($G96-1)*9, 0)))
+PRODUCT(I96*$H97,     SUM(OFFSET(D.TPMs!$L$7:$M$7, ($G96-1)*9, 12), OFFSET(D.TPMs!$O$7:$P$7, ($G96-1)*9, 12)))
+PRODUCT(L96*(1-$H97), SUM(OFFSET(D.TPMs!$L$10:$M$10, ($G96-1)*9, 0), OFFSET(D.TPMs!$O$10:$P$10, ($G96-1)*9, 0)))
+PRODUCT(L96*$H97,     SUM(OFFSET(D.TPMs!$L$10:$M$10, ($G96-1)*9, 12), OFFSET(D.TPMs!$O$10:$P$10, ($G96-1)*9, 12)))</f>
        <v>0</v>
      </c>
      <c r="Y97" s="285">
        <f t="array" aca="1" ref="Y97:AG97" ca="1">IF($E97&gt;timeHorizon, 0, MMULT(Y96:AG96*(1-$H97), OFFSET(D.rngTPM.Q_I.Root, ($G96-1)*9, 0)) + MMULT(Y96:AG96*$H97, OFFSET(D.rngTPM.Q_I.Root, ($G96-1)*9, 12)))</f>
        <v>0</v>
      </c>
      <c r="Z97" s="285">
        <f ca="1"/>
        <v>0</v>
      </c>
      <c r="AA97" s="285">
        <f ca="1"/>
        <v>0</v>
      </c>
      <c r="AB97" s="285">
        <f ca="1"/>
        <v>0</v>
      </c>
      <c r="AC97" s="285">
        <f ca="1"/>
        <v>0</v>
      </c>
      <c r="AD97" s="285">
        <f ca="1"/>
        <v>0</v>
      </c>
      <c r="AE97" s="285">
        <f ca="1"/>
        <v>0</v>
      </c>
      <c r="AF97" s="285">
        <f ca="1"/>
        <v>0</v>
      </c>
      <c r="AG97" s="285">
        <f ca="1"/>
        <v>0</v>
      </c>
      <c r="AH97" s="283" t="str">
        <f t="shared" si="44"/>
        <v/>
      </c>
      <c r="AI97" s="320">
        <f t="shared" ca="1" si="39"/>
        <v>1</v>
      </c>
      <c r="AJ97" s="320">
        <f t="shared" ca="1" si="40"/>
        <v>0</v>
      </c>
      <c r="AK97" s="320">
        <f t="shared" ca="1" si="41"/>
        <v>0</v>
      </c>
      <c r="AL97" s="418">
        <f t="shared" ca="1" si="45"/>
        <v>0</v>
      </c>
      <c r="AM97" s="418">
        <f ca="1">PRODUCT(Y96*(1-$H97), SUM(OFFSET(D.TPMs!$L$7:$M$7, ($G96-1)*9, 0), OFFSET(D.TPMs!$O$7:$P$7, ($G96-1)*9, 0)))
+PRODUCT(Y96*$H97,     SUM(OFFSET(D.TPMs!$L$7:$M$7, ($G96-1)*9, 12), OFFSET(D.TPMs!$O$7:$P$7, ($G96-1)*9, 12)))
+PRODUCT(AB96*(1-$H97), SUM(OFFSET(D.TPMs!$L$10:$M$10, ($G96-1)*9, 0), OFFSET(D.TPMs!$O$10:$P$10, ($G96-1)*9, 0)))
+PRODUCT(AB96*$H97,     SUM(OFFSET(D.TPMs!$L$10:$M$10, ($G96-1)*9, 12), OFFSET(D.TPMs!$O$10:$P$10, ($G96-1)*9, 12)))</f>
        <v>0</v>
      </c>
    </row>
    <row r="98" spans="4:39" ht="12" customHeight="1" x14ac:dyDescent="0.25">
      <c r="D98" s="62">
        <f t="shared" si="42"/>
        <v>88</v>
      </c>
      <c r="E98" s="63">
        <f t="shared" si="33"/>
        <v>22</v>
      </c>
      <c r="F98" s="63">
        <f t="shared" si="34"/>
        <v>87</v>
      </c>
      <c r="G98" s="301">
        <f>MATCH(F98, Parameters!$D$523:$D$524, 1)</f>
        <v>2</v>
      </c>
      <c r="H98" s="62">
        <f t="shared" si="35"/>
        <v>0</v>
      </c>
      <c r="I98" s="285">
        <f t="array" aca="1" ref="I98:Q98" ca="1">IF($E98&gt;timeHorizon, 0, MMULT(I97:Q97*(1-$H98), OFFSET(D.rngTPM.Q_I.Root, ($G97-1)*9, 0)) + MMULT(I97:Q97*$H98, OFFSET(D.rngTPM.Q_I.Root, ($G97-1)*9, 12)))</f>
        <v>0</v>
      </c>
      <c r="J98" s="285">
        <f ca="1"/>
        <v>0</v>
      </c>
      <c r="K98" s="285">
        <f ca="1"/>
        <v>0</v>
      </c>
      <c r="L98" s="285">
        <f ca="1"/>
        <v>0</v>
      </c>
      <c r="M98" s="285">
        <f ca="1"/>
        <v>0</v>
      </c>
      <c r="N98" s="285">
        <f ca="1"/>
        <v>0</v>
      </c>
      <c r="O98" s="285">
        <f ca="1"/>
        <v>0</v>
      </c>
      <c r="P98" s="285">
        <f ca="1"/>
        <v>0</v>
      </c>
      <c r="Q98" s="285">
        <f ca="1"/>
        <v>0</v>
      </c>
      <c r="R98" s="283" t="str">
        <f t="shared" si="43"/>
        <v/>
      </c>
      <c r="S98" s="418">
        <f t="shared" ca="1" si="36"/>
        <v>1</v>
      </c>
      <c r="T98" s="418">
        <f t="shared" ca="1" si="37"/>
        <v>0</v>
      </c>
      <c r="U98" s="418">
        <f t="shared" ca="1" si="38"/>
        <v>0</v>
      </c>
      <c r="V98" s="418">
        <f t="shared" ca="1" si="38"/>
        <v>0</v>
      </c>
      <c r="W98" s="418">
        <f ca="1">PRODUCT(I97*(1-$H98), SUM(OFFSET(D.TPMs!$L$7:$M$7, ($G97-1)*9, 0), OFFSET(D.TPMs!$O$7:$P$7, ($G97-1)*9, 0)))
+PRODUCT(I97*$H98,     SUM(OFFSET(D.TPMs!$L$7:$M$7, ($G97-1)*9, 12), OFFSET(D.TPMs!$O$7:$P$7, ($G97-1)*9, 12)))
+PRODUCT(L97*(1-$H98), SUM(OFFSET(D.TPMs!$L$10:$M$10, ($G97-1)*9, 0), OFFSET(D.TPMs!$O$10:$P$10, ($G97-1)*9, 0)))
+PRODUCT(L97*$H98,     SUM(OFFSET(D.TPMs!$L$10:$M$10, ($G97-1)*9, 12), OFFSET(D.TPMs!$O$10:$P$10, ($G97-1)*9, 12)))</f>
        <v>0</v>
      </c>
      <c r="Y98" s="285">
        <f t="array" aca="1" ref="Y98:AG98" ca="1">IF($E98&gt;timeHorizon, 0, MMULT(Y97:AG97*(1-$H98), OFFSET(D.rngTPM.Q_I.Root, ($G97-1)*9, 0)) + MMULT(Y97:AG97*$H98, OFFSET(D.rngTPM.Q_I.Root, ($G97-1)*9, 12)))</f>
        <v>0</v>
      </c>
      <c r="Z98" s="285">
        <f ca="1"/>
        <v>0</v>
      </c>
      <c r="AA98" s="285">
        <f ca="1"/>
        <v>0</v>
      </c>
      <c r="AB98" s="285">
        <f ca="1"/>
        <v>0</v>
      </c>
      <c r="AC98" s="285">
        <f ca="1"/>
        <v>0</v>
      </c>
      <c r="AD98" s="285">
        <f ca="1"/>
        <v>0</v>
      </c>
      <c r="AE98" s="285">
        <f ca="1"/>
        <v>0</v>
      </c>
      <c r="AF98" s="285">
        <f ca="1"/>
        <v>0</v>
      </c>
      <c r="AG98" s="285">
        <f ca="1"/>
        <v>0</v>
      </c>
      <c r="AH98" s="283" t="str">
        <f t="shared" si="44"/>
        <v/>
      </c>
      <c r="AI98" s="320">
        <f t="shared" ca="1" si="39"/>
        <v>1</v>
      </c>
      <c r="AJ98" s="320">
        <f t="shared" ca="1" si="40"/>
        <v>0</v>
      </c>
      <c r="AK98" s="320">
        <f t="shared" ca="1" si="41"/>
        <v>0</v>
      </c>
      <c r="AL98" s="418">
        <f t="shared" ca="1" si="45"/>
        <v>0</v>
      </c>
      <c r="AM98" s="418">
        <f ca="1">PRODUCT(Y97*(1-$H98), SUM(OFFSET(D.TPMs!$L$7:$M$7, ($G97-1)*9, 0), OFFSET(D.TPMs!$O$7:$P$7, ($G97-1)*9, 0)))
+PRODUCT(Y97*$H98,     SUM(OFFSET(D.TPMs!$L$7:$M$7, ($G97-1)*9, 12), OFFSET(D.TPMs!$O$7:$P$7, ($G97-1)*9, 12)))
+PRODUCT(AB97*(1-$H98), SUM(OFFSET(D.TPMs!$L$10:$M$10, ($G97-1)*9, 0), OFFSET(D.TPMs!$O$10:$P$10, ($G97-1)*9, 0)))
+PRODUCT(AB97*$H98,     SUM(OFFSET(D.TPMs!$L$10:$M$10, ($G97-1)*9, 12), OFFSET(D.TPMs!$O$10:$P$10, ($G97-1)*9, 12)))</f>
        <v>0</v>
      </c>
    </row>
    <row r="99" spans="4:39" ht="12" customHeight="1" x14ac:dyDescent="0.25">
      <c r="D99" s="62">
        <f t="shared" si="42"/>
        <v>89</v>
      </c>
      <c r="E99" s="63">
        <f t="shared" si="33"/>
        <v>22.25</v>
      </c>
      <c r="F99" s="63">
        <f t="shared" si="34"/>
        <v>87.25</v>
      </c>
      <c r="G99" s="301">
        <f>MATCH(F99, Parameters!$D$523:$D$524, 1)</f>
        <v>2</v>
      </c>
      <c r="H99" s="62">
        <f t="shared" si="35"/>
        <v>0</v>
      </c>
      <c r="I99" s="285">
        <f t="array" aca="1" ref="I99:Q99" ca="1">IF($E99&gt;timeHorizon, 0, MMULT(I98:Q98*(1-$H99), OFFSET(D.rngTPM.Q_I.Root, ($G98-1)*9, 0)) + MMULT(I98:Q98*$H99, OFFSET(D.rngTPM.Q_I.Root, ($G98-1)*9, 12)))</f>
        <v>0</v>
      </c>
      <c r="J99" s="285">
        <f ca="1"/>
        <v>0</v>
      </c>
      <c r="K99" s="285">
        <f ca="1"/>
        <v>0</v>
      </c>
      <c r="L99" s="285">
        <f ca="1"/>
        <v>0</v>
      </c>
      <c r="M99" s="285">
        <f ca="1"/>
        <v>0</v>
      </c>
      <c r="N99" s="285">
        <f ca="1"/>
        <v>0</v>
      </c>
      <c r="O99" s="285">
        <f ca="1"/>
        <v>0</v>
      </c>
      <c r="P99" s="285">
        <f ca="1"/>
        <v>0</v>
      </c>
      <c r="Q99" s="285">
        <f ca="1"/>
        <v>0</v>
      </c>
      <c r="R99" s="283" t="str">
        <f t="shared" si="43"/>
        <v/>
      </c>
      <c r="S99" s="418">
        <f t="shared" ca="1" si="36"/>
        <v>1</v>
      </c>
      <c r="T99" s="418">
        <f t="shared" ca="1" si="37"/>
        <v>0</v>
      </c>
      <c r="U99" s="418">
        <f t="shared" ca="1" si="38"/>
        <v>0</v>
      </c>
      <c r="V99" s="418">
        <f t="shared" ca="1" si="38"/>
        <v>0</v>
      </c>
      <c r="W99" s="418">
        <f ca="1">PRODUCT(I98*(1-$H99), SUM(OFFSET(D.TPMs!$L$7:$M$7, ($G98-1)*9, 0), OFFSET(D.TPMs!$O$7:$P$7, ($G98-1)*9, 0)))
+PRODUCT(I98*$H99,     SUM(OFFSET(D.TPMs!$L$7:$M$7, ($G98-1)*9, 12), OFFSET(D.TPMs!$O$7:$P$7, ($G98-1)*9, 12)))
+PRODUCT(L98*(1-$H99), SUM(OFFSET(D.TPMs!$L$10:$M$10, ($G98-1)*9, 0), OFFSET(D.TPMs!$O$10:$P$10, ($G98-1)*9, 0)))
+PRODUCT(L98*$H99,     SUM(OFFSET(D.TPMs!$L$10:$M$10, ($G98-1)*9, 12), OFFSET(D.TPMs!$O$10:$P$10, ($G98-1)*9, 12)))</f>
        <v>0</v>
      </c>
      <c r="Y99" s="285">
        <f t="array" aca="1" ref="Y99:AG99" ca="1">IF($E99&gt;timeHorizon, 0, MMULT(Y98:AG98*(1-$H99), OFFSET(D.rngTPM.Q_I.Root, ($G98-1)*9, 0)) + MMULT(Y98:AG98*$H99, OFFSET(D.rngTPM.Q_I.Root, ($G98-1)*9, 12)))</f>
        <v>0</v>
      </c>
      <c r="Z99" s="285">
        <f ca="1"/>
        <v>0</v>
      </c>
      <c r="AA99" s="285">
        <f ca="1"/>
        <v>0</v>
      </c>
      <c r="AB99" s="285">
        <f ca="1"/>
        <v>0</v>
      </c>
      <c r="AC99" s="285">
        <f ca="1"/>
        <v>0</v>
      </c>
      <c r="AD99" s="285">
        <f ca="1"/>
        <v>0</v>
      </c>
      <c r="AE99" s="285">
        <f ca="1"/>
        <v>0</v>
      </c>
      <c r="AF99" s="285">
        <f ca="1"/>
        <v>0</v>
      </c>
      <c r="AG99" s="285">
        <f ca="1"/>
        <v>0</v>
      </c>
      <c r="AH99" s="283" t="str">
        <f t="shared" si="44"/>
        <v/>
      </c>
      <c r="AI99" s="320">
        <f t="shared" ca="1" si="39"/>
        <v>1</v>
      </c>
      <c r="AJ99" s="320">
        <f t="shared" ca="1" si="40"/>
        <v>0</v>
      </c>
      <c r="AK99" s="320">
        <f t="shared" ca="1" si="41"/>
        <v>0</v>
      </c>
      <c r="AL99" s="418">
        <f t="shared" ca="1" si="45"/>
        <v>0</v>
      </c>
      <c r="AM99" s="418">
        <f ca="1">PRODUCT(Y98*(1-$H99), SUM(OFFSET(D.TPMs!$L$7:$M$7, ($G98-1)*9, 0), OFFSET(D.TPMs!$O$7:$P$7, ($G98-1)*9, 0)))
+PRODUCT(Y98*$H99,     SUM(OFFSET(D.TPMs!$L$7:$M$7, ($G98-1)*9, 12), OFFSET(D.TPMs!$O$7:$P$7, ($G98-1)*9, 12)))
+PRODUCT(AB98*(1-$H99), SUM(OFFSET(D.TPMs!$L$10:$M$10, ($G98-1)*9, 0), OFFSET(D.TPMs!$O$10:$P$10, ($G98-1)*9, 0)))
+PRODUCT(AB98*$H99,     SUM(OFFSET(D.TPMs!$L$10:$M$10, ($G98-1)*9, 12), OFFSET(D.TPMs!$O$10:$P$10, ($G98-1)*9, 12)))</f>
        <v>0</v>
      </c>
    </row>
    <row r="100" spans="4:39" ht="12" customHeight="1" x14ac:dyDescent="0.25">
      <c r="D100" s="62">
        <f t="shared" si="42"/>
        <v>90</v>
      </c>
      <c r="E100" s="63">
        <f t="shared" si="33"/>
        <v>22.5</v>
      </c>
      <c r="F100" s="63">
        <f t="shared" si="34"/>
        <v>87.5</v>
      </c>
      <c r="G100" s="301">
        <f>MATCH(F100, Parameters!$D$523:$D$524, 1)</f>
        <v>2</v>
      </c>
      <c r="H100" s="62">
        <f t="shared" si="35"/>
        <v>0</v>
      </c>
      <c r="I100" s="285">
        <f t="array" aca="1" ref="I100:Q100" ca="1">IF($E100&gt;timeHorizon, 0, MMULT(I99:Q99*(1-$H100), OFFSET(D.rngTPM.Q_I.Root, ($G99-1)*9, 0)) + MMULT(I99:Q99*$H100, OFFSET(D.rngTPM.Q_I.Root, ($G99-1)*9, 12)))</f>
        <v>0</v>
      </c>
      <c r="J100" s="285">
        <f ca="1"/>
        <v>0</v>
      </c>
      <c r="K100" s="285">
        <f ca="1"/>
        <v>0</v>
      </c>
      <c r="L100" s="285">
        <f ca="1"/>
        <v>0</v>
      </c>
      <c r="M100" s="285">
        <f ca="1"/>
        <v>0</v>
      </c>
      <c r="N100" s="285">
        <f ca="1"/>
        <v>0</v>
      </c>
      <c r="O100" s="285">
        <f ca="1"/>
        <v>0</v>
      </c>
      <c r="P100" s="285">
        <f ca="1"/>
        <v>0</v>
      </c>
      <c r="Q100" s="285">
        <f ca="1"/>
        <v>0</v>
      </c>
      <c r="R100" s="283" t="str">
        <f t="shared" si="43"/>
        <v/>
      </c>
      <c r="S100" s="418">
        <f t="shared" ca="1" si="36"/>
        <v>1</v>
      </c>
      <c r="T100" s="418">
        <f t="shared" ca="1" si="37"/>
        <v>0</v>
      </c>
      <c r="U100" s="418">
        <f t="shared" ca="1" si="38"/>
        <v>0</v>
      </c>
      <c r="V100" s="418">
        <f t="shared" ca="1" si="38"/>
        <v>0</v>
      </c>
      <c r="W100" s="418">
        <f ca="1">PRODUCT(I99*(1-$H100), SUM(OFFSET(D.TPMs!$L$7:$M$7, ($G99-1)*9, 0), OFFSET(D.TPMs!$O$7:$P$7, ($G99-1)*9, 0)))
+PRODUCT(I99*$H100,     SUM(OFFSET(D.TPMs!$L$7:$M$7, ($G99-1)*9, 12), OFFSET(D.TPMs!$O$7:$P$7, ($G99-1)*9, 12)))
+PRODUCT(L99*(1-$H100), SUM(OFFSET(D.TPMs!$L$10:$M$10, ($G99-1)*9, 0), OFFSET(D.TPMs!$O$10:$P$10, ($G99-1)*9, 0)))
+PRODUCT(L99*$H100,     SUM(OFFSET(D.TPMs!$L$10:$M$10, ($G99-1)*9, 12), OFFSET(D.TPMs!$O$10:$P$10, ($G99-1)*9, 12)))</f>
        <v>0</v>
      </c>
      <c r="Y100" s="285">
        <f t="array" aca="1" ref="Y100:AG100" ca="1">IF($E100&gt;timeHorizon, 0, MMULT(Y99:AG99*(1-$H100), OFFSET(D.rngTPM.Q_I.Root, ($G99-1)*9, 0)) + MMULT(Y99:AG99*$H100, OFFSET(D.rngTPM.Q_I.Root, ($G99-1)*9, 12)))</f>
        <v>0</v>
      </c>
      <c r="Z100" s="285">
        <f ca="1"/>
        <v>0</v>
      </c>
      <c r="AA100" s="285">
        <f ca="1"/>
        <v>0</v>
      </c>
      <c r="AB100" s="285">
        <f ca="1"/>
        <v>0</v>
      </c>
      <c r="AC100" s="285">
        <f ca="1"/>
        <v>0</v>
      </c>
      <c r="AD100" s="285">
        <f ca="1"/>
        <v>0</v>
      </c>
      <c r="AE100" s="285">
        <f ca="1"/>
        <v>0</v>
      </c>
      <c r="AF100" s="285">
        <f ca="1"/>
        <v>0</v>
      </c>
      <c r="AG100" s="285">
        <f ca="1"/>
        <v>0</v>
      </c>
      <c r="AH100" s="283" t="str">
        <f t="shared" si="44"/>
        <v/>
      </c>
      <c r="AI100" s="320">
        <f t="shared" ca="1" si="39"/>
        <v>1</v>
      </c>
      <c r="AJ100" s="320">
        <f t="shared" ca="1" si="40"/>
        <v>0</v>
      </c>
      <c r="AK100" s="320">
        <f t="shared" ca="1" si="41"/>
        <v>0</v>
      </c>
      <c r="AL100" s="418">
        <f t="shared" ca="1" si="45"/>
        <v>0</v>
      </c>
      <c r="AM100" s="418">
        <f ca="1">PRODUCT(Y99*(1-$H100), SUM(OFFSET(D.TPMs!$L$7:$M$7, ($G99-1)*9, 0), OFFSET(D.TPMs!$O$7:$P$7, ($G99-1)*9, 0)))
+PRODUCT(Y99*$H100,     SUM(OFFSET(D.TPMs!$L$7:$M$7, ($G99-1)*9, 12), OFFSET(D.TPMs!$O$7:$P$7, ($G99-1)*9, 12)))
+PRODUCT(AB99*(1-$H100), SUM(OFFSET(D.TPMs!$L$10:$M$10, ($G99-1)*9, 0), OFFSET(D.TPMs!$O$10:$P$10, ($G99-1)*9, 0)))
+PRODUCT(AB99*$H100,     SUM(OFFSET(D.TPMs!$L$10:$M$10, ($G99-1)*9, 12), OFFSET(D.TPMs!$O$10:$P$10, ($G99-1)*9, 12)))</f>
        <v>0</v>
      </c>
    </row>
    <row r="101" spans="4:39" ht="12" customHeight="1" x14ac:dyDescent="0.25">
      <c r="D101" s="62">
        <f t="shared" si="42"/>
        <v>91</v>
      </c>
      <c r="E101" s="63">
        <f t="shared" si="33"/>
        <v>22.75</v>
      </c>
      <c r="F101" s="63">
        <f t="shared" si="34"/>
        <v>87.75</v>
      </c>
      <c r="G101" s="301">
        <f>MATCH(F101, Parameters!$D$523:$D$524, 1)</f>
        <v>2</v>
      </c>
      <c r="H101" s="62">
        <f t="shared" si="35"/>
        <v>0</v>
      </c>
      <c r="I101" s="285">
        <f t="array" aca="1" ref="I101:Q101" ca="1">IF($E101&gt;timeHorizon, 0, MMULT(I100:Q100*(1-$H101), OFFSET(D.rngTPM.Q_I.Root, ($G100-1)*9, 0)) + MMULT(I100:Q100*$H101, OFFSET(D.rngTPM.Q_I.Root, ($G100-1)*9, 12)))</f>
        <v>0</v>
      </c>
      <c r="J101" s="285">
        <f ca="1"/>
        <v>0</v>
      </c>
      <c r="K101" s="285">
        <f ca="1"/>
        <v>0</v>
      </c>
      <c r="L101" s="285">
        <f ca="1"/>
        <v>0</v>
      </c>
      <c r="M101" s="285">
        <f ca="1"/>
        <v>0</v>
      </c>
      <c r="N101" s="285">
        <f ca="1"/>
        <v>0</v>
      </c>
      <c r="O101" s="285">
        <f ca="1"/>
        <v>0</v>
      </c>
      <c r="P101" s="285">
        <f ca="1"/>
        <v>0</v>
      </c>
      <c r="Q101" s="285">
        <f ca="1"/>
        <v>0</v>
      </c>
      <c r="R101" s="283" t="str">
        <f t="shared" si="43"/>
        <v/>
      </c>
      <c r="S101" s="418">
        <f t="shared" ca="1" si="36"/>
        <v>1</v>
      </c>
      <c r="T101" s="418">
        <f t="shared" ca="1" si="37"/>
        <v>0</v>
      </c>
      <c r="U101" s="418">
        <f t="shared" ca="1" si="38"/>
        <v>0</v>
      </c>
      <c r="V101" s="418">
        <f t="shared" ca="1" si="38"/>
        <v>0</v>
      </c>
      <c r="W101" s="418">
        <f ca="1">PRODUCT(I100*(1-$H101), SUM(OFFSET(D.TPMs!$L$7:$M$7, ($G100-1)*9, 0), OFFSET(D.TPMs!$O$7:$P$7, ($G100-1)*9, 0)))
+PRODUCT(I100*$H101,     SUM(OFFSET(D.TPMs!$L$7:$M$7, ($G100-1)*9, 12), OFFSET(D.TPMs!$O$7:$P$7, ($G100-1)*9, 12)))
+PRODUCT(L100*(1-$H101), SUM(OFFSET(D.TPMs!$L$10:$M$10, ($G100-1)*9, 0), OFFSET(D.TPMs!$O$10:$P$10, ($G100-1)*9, 0)))
+PRODUCT(L100*$H101,     SUM(OFFSET(D.TPMs!$L$10:$M$10, ($G100-1)*9, 12), OFFSET(D.TPMs!$O$10:$P$10, ($G100-1)*9, 12)))</f>
        <v>0</v>
      </c>
      <c r="Y101" s="285">
        <f t="array" aca="1" ref="Y101:AG101" ca="1">IF($E101&gt;timeHorizon, 0, MMULT(Y100:AG100*(1-$H101), OFFSET(D.rngTPM.Q_I.Root, ($G100-1)*9, 0)) + MMULT(Y100:AG100*$H101, OFFSET(D.rngTPM.Q_I.Root, ($G100-1)*9, 12)))</f>
        <v>0</v>
      </c>
      <c r="Z101" s="285">
        <f ca="1"/>
        <v>0</v>
      </c>
      <c r="AA101" s="285">
        <f ca="1"/>
        <v>0</v>
      </c>
      <c r="AB101" s="285">
        <f ca="1"/>
        <v>0</v>
      </c>
      <c r="AC101" s="285">
        <f ca="1"/>
        <v>0</v>
      </c>
      <c r="AD101" s="285">
        <f ca="1"/>
        <v>0</v>
      </c>
      <c r="AE101" s="285">
        <f ca="1"/>
        <v>0</v>
      </c>
      <c r="AF101" s="285">
        <f ca="1"/>
        <v>0</v>
      </c>
      <c r="AG101" s="285">
        <f ca="1"/>
        <v>0</v>
      </c>
      <c r="AH101" s="283" t="str">
        <f t="shared" si="44"/>
        <v/>
      </c>
      <c r="AI101" s="320">
        <f t="shared" ca="1" si="39"/>
        <v>1</v>
      </c>
      <c r="AJ101" s="320">
        <f t="shared" ca="1" si="40"/>
        <v>0</v>
      </c>
      <c r="AK101" s="320">
        <f t="shared" ca="1" si="41"/>
        <v>0</v>
      </c>
      <c r="AL101" s="418">
        <f t="shared" ca="1" si="45"/>
        <v>0</v>
      </c>
      <c r="AM101" s="418">
        <f ca="1">PRODUCT(Y100*(1-$H101), SUM(OFFSET(D.TPMs!$L$7:$M$7, ($G100-1)*9, 0), OFFSET(D.TPMs!$O$7:$P$7, ($G100-1)*9, 0)))
+PRODUCT(Y100*$H101,     SUM(OFFSET(D.TPMs!$L$7:$M$7, ($G100-1)*9, 12), OFFSET(D.TPMs!$O$7:$P$7, ($G100-1)*9, 12)))
+PRODUCT(AB100*(1-$H101), SUM(OFFSET(D.TPMs!$L$10:$M$10, ($G100-1)*9, 0), OFFSET(D.TPMs!$O$10:$P$10, ($G100-1)*9, 0)))
+PRODUCT(AB100*$H101,     SUM(OFFSET(D.TPMs!$L$10:$M$10, ($G100-1)*9, 12), OFFSET(D.TPMs!$O$10:$P$10, ($G100-1)*9, 12)))</f>
        <v>0</v>
      </c>
    </row>
    <row r="102" spans="4:39" ht="12" customHeight="1" x14ac:dyDescent="0.25">
      <c r="D102" s="62">
        <f t="shared" si="42"/>
        <v>92</v>
      </c>
      <c r="E102" s="63">
        <f t="shared" si="33"/>
        <v>23</v>
      </c>
      <c r="F102" s="63">
        <f t="shared" si="34"/>
        <v>88</v>
      </c>
      <c r="G102" s="301">
        <f>MATCH(F102, Parameters!$D$523:$D$524, 1)</f>
        <v>2</v>
      </c>
      <c r="H102" s="62">
        <f t="shared" si="35"/>
        <v>0</v>
      </c>
      <c r="I102" s="285">
        <f t="array" aca="1" ref="I102:Q102" ca="1">IF($E102&gt;timeHorizon, 0, MMULT(I101:Q101*(1-$H102), OFFSET(D.rngTPM.Q_I.Root, ($G101-1)*9, 0)) + MMULT(I101:Q101*$H102, OFFSET(D.rngTPM.Q_I.Root, ($G101-1)*9, 12)))</f>
        <v>0</v>
      </c>
      <c r="J102" s="285">
        <f ca="1"/>
        <v>0</v>
      </c>
      <c r="K102" s="285">
        <f ca="1"/>
        <v>0</v>
      </c>
      <c r="L102" s="285">
        <f ca="1"/>
        <v>0</v>
      </c>
      <c r="M102" s="285">
        <f ca="1"/>
        <v>0</v>
      </c>
      <c r="N102" s="285">
        <f ca="1"/>
        <v>0</v>
      </c>
      <c r="O102" s="285">
        <f ca="1"/>
        <v>0</v>
      </c>
      <c r="P102" s="285">
        <f ca="1"/>
        <v>0</v>
      </c>
      <c r="Q102" s="285">
        <f ca="1"/>
        <v>0</v>
      </c>
      <c r="R102" s="283" t="str">
        <f t="shared" si="43"/>
        <v/>
      </c>
      <c r="S102" s="418">
        <f t="shared" ca="1" si="36"/>
        <v>1</v>
      </c>
      <c r="T102" s="418">
        <f t="shared" ca="1" si="37"/>
        <v>0</v>
      </c>
      <c r="U102" s="418">
        <f t="shared" ca="1" si="38"/>
        <v>0</v>
      </c>
      <c r="V102" s="418">
        <f t="shared" ca="1" si="38"/>
        <v>0</v>
      </c>
      <c r="W102" s="418">
        <f ca="1">PRODUCT(I101*(1-$H102), SUM(OFFSET(D.TPMs!$L$7:$M$7, ($G101-1)*9, 0), OFFSET(D.TPMs!$O$7:$P$7, ($G101-1)*9, 0)))
+PRODUCT(I101*$H102,     SUM(OFFSET(D.TPMs!$L$7:$M$7, ($G101-1)*9, 12), OFFSET(D.TPMs!$O$7:$P$7, ($G101-1)*9, 12)))
+PRODUCT(L101*(1-$H102), SUM(OFFSET(D.TPMs!$L$10:$M$10, ($G101-1)*9, 0), OFFSET(D.TPMs!$O$10:$P$10, ($G101-1)*9, 0)))
+PRODUCT(L101*$H102,     SUM(OFFSET(D.TPMs!$L$10:$M$10, ($G101-1)*9, 12), OFFSET(D.TPMs!$O$10:$P$10, ($G101-1)*9, 12)))</f>
        <v>0</v>
      </c>
      <c r="Y102" s="285">
        <f t="array" aca="1" ref="Y102:AG102" ca="1">IF($E102&gt;timeHorizon, 0, MMULT(Y101:AG101*(1-$H102), OFFSET(D.rngTPM.Q_I.Root, ($G101-1)*9, 0)) + MMULT(Y101:AG101*$H102, OFFSET(D.rngTPM.Q_I.Root, ($G101-1)*9, 12)))</f>
        <v>0</v>
      </c>
      <c r="Z102" s="285">
        <f ca="1"/>
        <v>0</v>
      </c>
      <c r="AA102" s="285">
        <f ca="1"/>
        <v>0</v>
      </c>
      <c r="AB102" s="285">
        <f ca="1"/>
        <v>0</v>
      </c>
      <c r="AC102" s="285">
        <f ca="1"/>
        <v>0</v>
      </c>
      <c r="AD102" s="285">
        <f ca="1"/>
        <v>0</v>
      </c>
      <c r="AE102" s="285">
        <f ca="1"/>
        <v>0</v>
      </c>
      <c r="AF102" s="285">
        <f ca="1"/>
        <v>0</v>
      </c>
      <c r="AG102" s="285">
        <f ca="1"/>
        <v>0</v>
      </c>
      <c r="AH102" s="283" t="str">
        <f t="shared" si="44"/>
        <v/>
      </c>
      <c r="AI102" s="320">
        <f t="shared" ca="1" si="39"/>
        <v>1</v>
      </c>
      <c r="AJ102" s="320">
        <f t="shared" ca="1" si="40"/>
        <v>0</v>
      </c>
      <c r="AK102" s="320">
        <f t="shared" ca="1" si="41"/>
        <v>0</v>
      </c>
      <c r="AL102" s="418">
        <f t="shared" ca="1" si="45"/>
        <v>0</v>
      </c>
      <c r="AM102" s="418">
        <f ca="1">PRODUCT(Y101*(1-$H102), SUM(OFFSET(D.TPMs!$L$7:$M$7, ($G101-1)*9, 0), OFFSET(D.TPMs!$O$7:$P$7, ($G101-1)*9, 0)))
+PRODUCT(Y101*$H102,     SUM(OFFSET(D.TPMs!$L$7:$M$7, ($G101-1)*9, 12), OFFSET(D.TPMs!$O$7:$P$7, ($G101-1)*9, 12)))
+PRODUCT(AB101*(1-$H102), SUM(OFFSET(D.TPMs!$L$10:$M$10, ($G101-1)*9, 0), OFFSET(D.TPMs!$O$10:$P$10, ($G101-1)*9, 0)))
+PRODUCT(AB101*$H102,     SUM(OFFSET(D.TPMs!$L$10:$M$10, ($G101-1)*9, 12), OFFSET(D.TPMs!$O$10:$P$10, ($G101-1)*9, 12)))</f>
        <v>0</v>
      </c>
    </row>
    <row r="103" spans="4:39" ht="12" customHeight="1" x14ac:dyDescent="0.25">
      <c r="D103" s="62">
        <f t="shared" si="42"/>
        <v>93</v>
      </c>
      <c r="E103" s="63">
        <f t="shared" si="33"/>
        <v>23.25</v>
      </c>
      <c r="F103" s="63">
        <f t="shared" si="34"/>
        <v>88.25</v>
      </c>
      <c r="G103" s="301">
        <f>MATCH(F103, Parameters!$D$523:$D$524, 1)</f>
        <v>2</v>
      </c>
      <c r="H103" s="62">
        <f t="shared" si="35"/>
        <v>0</v>
      </c>
      <c r="I103" s="285">
        <f t="array" aca="1" ref="I103:Q103" ca="1">IF($E103&gt;timeHorizon, 0, MMULT(I102:Q102*(1-$H103), OFFSET(D.rngTPM.Q_I.Root, ($G102-1)*9, 0)) + MMULT(I102:Q102*$H103, OFFSET(D.rngTPM.Q_I.Root, ($G102-1)*9, 12)))</f>
        <v>0</v>
      </c>
      <c r="J103" s="285">
        <f ca="1"/>
        <v>0</v>
      </c>
      <c r="K103" s="285">
        <f ca="1"/>
        <v>0</v>
      </c>
      <c r="L103" s="285">
        <f ca="1"/>
        <v>0</v>
      </c>
      <c r="M103" s="285">
        <f ca="1"/>
        <v>0</v>
      </c>
      <c r="N103" s="285">
        <f ca="1"/>
        <v>0</v>
      </c>
      <c r="O103" s="285">
        <f ca="1"/>
        <v>0</v>
      </c>
      <c r="P103" s="285">
        <f ca="1"/>
        <v>0</v>
      </c>
      <c r="Q103" s="285">
        <f ca="1"/>
        <v>0</v>
      </c>
      <c r="R103" s="283" t="str">
        <f t="shared" si="43"/>
        <v/>
      </c>
      <c r="S103" s="418">
        <f t="shared" ca="1" si="36"/>
        <v>1</v>
      </c>
      <c r="T103" s="418">
        <f t="shared" ca="1" si="37"/>
        <v>0</v>
      </c>
      <c r="U103" s="418">
        <f t="shared" ca="1" si="38"/>
        <v>0</v>
      </c>
      <c r="V103" s="418">
        <f t="shared" ca="1" si="38"/>
        <v>0</v>
      </c>
      <c r="W103" s="418">
        <f ca="1">PRODUCT(I102*(1-$H103), SUM(OFFSET(D.TPMs!$L$7:$M$7, ($G102-1)*9, 0), OFFSET(D.TPMs!$O$7:$P$7, ($G102-1)*9, 0)))
+PRODUCT(I102*$H103,     SUM(OFFSET(D.TPMs!$L$7:$M$7, ($G102-1)*9, 12), OFFSET(D.TPMs!$O$7:$P$7, ($G102-1)*9, 12)))
+PRODUCT(L102*(1-$H103), SUM(OFFSET(D.TPMs!$L$10:$M$10, ($G102-1)*9, 0), OFFSET(D.TPMs!$O$10:$P$10, ($G102-1)*9, 0)))
+PRODUCT(L102*$H103,     SUM(OFFSET(D.TPMs!$L$10:$M$10, ($G102-1)*9, 12), OFFSET(D.TPMs!$O$10:$P$10, ($G102-1)*9, 12)))</f>
        <v>0</v>
      </c>
      <c r="Y103" s="285">
        <f t="array" aca="1" ref="Y103:AG103" ca="1">IF($E103&gt;timeHorizon, 0, MMULT(Y102:AG102*(1-$H103), OFFSET(D.rngTPM.Q_I.Root, ($G102-1)*9, 0)) + MMULT(Y102:AG102*$H103, OFFSET(D.rngTPM.Q_I.Root, ($G102-1)*9, 12)))</f>
        <v>0</v>
      </c>
      <c r="Z103" s="285">
        <f ca="1"/>
        <v>0</v>
      </c>
      <c r="AA103" s="285">
        <f ca="1"/>
        <v>0</v>
      </c>
      <c r="AB103" s="285">
        <f ca="1"/>
        <v>0</v>
      </c>
      <c r="AC103" s="285">
        <f ca="1"/>
        <v>0</v>
      </c>
      <c r="AD103" s="285">
        <f ca="1"/>
        <v>0</v>
      </c>
      <c r="AE103" s="285">
        <f ca="1"/>
        <v>0</v>
      </c>
      <c r="AF103" s="285">
        <f ca="1"/>
        <v>0</v>
      </c>
      <c r="AG103" s="285">
        <f ca="1"/>
        <v>0</v>
      </c>
      <c r="AH103" s="283" t="str">
        <f t="shared" si="44"/>
        <v/>
      </c>
      <c r="AI103" s="320">
        <f t="shared" ca="1" si="39"/>
        <v>1</v>
      </c>
      <c r="AJ103" s="320">
        <f t="shared" ca="1" si="40"/>
        <v>0</v>
      </c>
      <c r="AK103" s="320">
        <f t="shared" ca="1" si="41"/>
        <v>0</v>
      </c>
      <c r="AL103" s="418">
        <f t="shared" ca="1" si="45"/>
        <v>0</v>
      </c>
      <c r="AM103" s="418">
        <f ca="1">PRODUCT(Y102*(1-$H103), SUM(OFFSET(D.TPMs!$L$7:$M$7, ($G102-1)*9, 0), OFFSET(D.TPMs!$O$7:$P$7, ($G102-1)*9, 0)))
+PRODUCT(Y102*$H103,     SUM(OFFSET(D.TPMs!$L$7:$M$7, ($G102-1)*9, 12), OFFSET(D.TPMs!$O$7:$P$7, ($G102-1)*9, 12)))
+PRODUCT(AB102*(1-$H103), SUM(OFFSET(D.TPMs!$L$10:$M$10, ($G102-1)*9, 0), OFFSET(D.TPMs!$O$10:$P$10, ($G102-1)*9, 0)))
+PRODUCT(AB102*$H103,     SUM(OFFSET(D.TPMs!$L$10:$M$10, ($G102-1)*9, 12), OFFSET(D.TPMs!$O$10:$P$10, ($G102-1)*9, 12)))</f>
        <v>0</v>
      </c>
    </row>
    <row r="104" spans="4:39" ht="12" customHeight="1" x14ac:dyDescent="0.25">
      <c r="D104" s="62">
        <f t="shared" si="42"/>
        <v>94</v>
      </c>
      <c r="E104" s="63">
        <f t="shared" si="33"/>
        <v>23.5</v>
      </c>
      <c r="F104" s="63">
        <f t="shared" si="34"/>
        <v>88.5</v>
      </c>
      <c r="G104" s="301">
        <f>MATCH(F104, Parameters!$D$523:$D$524, 1)</f>
        <v>2</v>
      </c>
      <c r="H104" s="62">
        <f t="shared" si="35"/>
        <v>0</v>
      </c>
      <c r="I104" s="285">
        <f t="array" aca="1" ref="I104:Q104" ca="1">IF($E104&gt;timeHorizon, 0, MMULT(I103:Q103*(1-$H104), OFFSET(D.rngTPM.Q_I.Root, ($G103-1)*9, 0)) + MMULT(I103:Q103*$H104, OFFSET(D.rngTPM.Q_I.Root, ($G103-1)*9, 12)))</f>
        <v>0</v>
      </c>
      <c r="J104" s="285">
        <f ca="1"/>
        <v>0</v>
      </c>
      <c r="K104" s="285">
        <f ca="1"/>
        <v>0</v>
      </c>
      <c r="L104" s="285">
        <f ca="1"/>
        <v>0</v>
      </c>
      <c r="M104" s="285">
        <f ca="1"/>
        <v>0</v>
      </c>
      <c r="N104" s="285">
        <f ca="1"/>
        <v>0</v>
      </c>
      <c r="O104" s="285">
        <f ca="1"/>
        <v>0</v>
      </c>
      <c r="P104" s="285">
        <f ca="1"/>
        <v>0</v>
      </c>
      <c r="Q104" s="285">
        <f ca="1"/>
        <v>0</v>
      </c>
      <c r="R104" s="283" t="str">
        <f t="shared" si="43"/>
        <v/>
      </c>
      <c r="S104" s="418">
        <f t="shared" ca="1" si="36"/>
        <v>1</v>
      </c>
      <c r="T104" s="418">
        <f t="shared" ca="1" si="37"/>
        <v>0</v>
      </c>
      <c r="U104" s="418">
        <f t="shared" ca="1" si="38"/>
        <v>0</v>
      </c>
      <c r="V104" s="418">
        <f t="shared" ca="1" si="38"/>
        <v>0</v>
      </c>
      <c r="W104" s="418">
        <f ca="1">PRODUCT(I103*(1-$H104), SUM(OFFSET(D.TPMs!$L$7:$M$7, ($G103-1)*9, 0), OFFSET(D.TPMs!$O$7:$P$7, ($G103-1)*9, 0)))
+PRODUCT(I103*$H104,     SUM(OFFSET(D.TPMs!$L$7:$M$7, ($G103-1)*9, 12), OFFSET(D.TPMs!$O$7:$P$7, ($G103-1)*9, 12)))
+PRODUCT(L103*(1-$H104), SUM(OFFSET(D.TPMs!$L$10:$M$10, ($G103-1)*9, 0), OFFSET(D.TPMs!$O$10:$P$10, ($G103-1)*9, 0)))
+PRODUCT(L103*$H104,     SUM(OFFSET(D.TPMs!$L$10:$M$10, ($G103-1)*9, 12), OFFSET(D.TPMs!$O$10:$P$10, ($G103-1)*9, 12)))</f>
        <v>0</v>
      </c>
      <c r="Y104" s="285">
        <f t="array" aca="1" ref="Y104:AG104" ca="1">IF($E104&gt;timeHorizon, 0, MMULT(Y103:AG103*(1-$H104), OFFSET(D.rngTPM.Q_I.Root, ($G103-1)*9, 0)) + MMULT(Y103:AG103*$H104, OFFSET(D.rngTPM.Q_I.Root, ($G103-1)*9, 12)))</f>
        <v>0</v>
      </c>
      <c r="Z104" s="285">
        <f ca="1"/>
        <v>0</v>
      </c>
      <c r="AA104" s="285">
        <f ca="1"/>
        <v>0</v>
      </c>
      <c r="AB104" s="285">
        <f ca="1"/>
        <v>0</v>
      </c>
      <c r="AC104" s="285">
        <f ca="1"/>
        <v>0</v>
      </c>
      <c r="AD104" s="285">
        <f ca="1"/>
        <v>0</v>
      </c>
      <c r="AE104" s="285">
        <f ca="1"/>
        <v>0</v>
      </c>
      <c r="AF104" s="285">
        <f ca="1"/>
        <v>0</v>
      </c>
      <c r="AG104" s="285">
        <f ca="1"/>
        <v>0</v>
      </c>
      <c r="AH104" s="283" t="str">
        <f t="shared" si="44"/>
        <v/>
      </c>
      <c r="AI104" s="320">
        <f t="shared" ca="1" si="39"/>
        <v>1</v>
      </c>
      <c r="AJ104" s="320">
        <f t="shared" ca="1" si="40"/>
        <v>0</v>
      </c>
      <c r="AK104" s="320">
        <f t="shared" ca="1" si="41"/>
        <v>0</v>
      </c>
      <c r="AL104" s="418">
        <f t="shared" ca="1" si="45"/>
        <v>0</v>
      </c>
      <c r="AM104" s="418">
        <f ca="1">PRODUCT(Y103*(1-$H104), SUM(OFFSET(D.TPMs!$L$7:$M$7, ($G103-1)*9, 0), OFFSET(D.TPMs!$O$7:$P$7, ($G103-1)*9, 0)))
+PRODUCT(Y103*$H104,     SUM(OFFSET(D.TPMs!$L$7:$M$7, ($G103-1)*9, 12), OFFSET(D.TPMs!$O$7:$P$7, ($G103-1)*9, 12)))
+PRODUCT(AB103*(1-$H104), SUM(OFFSET(D.TPMs!$L$10:$M$10, ($G103-1)*9, 0), OFFSET(D.TPMs!$O$10:$P$10, ($G103-1)*9, 0)))
+PRODUCT(AB103*$H104,     SUM(OFFSET(D.TPMs!$L$10:$M$10, ($G103-1)*9, 12), OFFSET(D.TPMs!$O$10:$P$10, ($G103-1)*9, 12)))</f>
        <v>0</v>
      </c>
    </row>
    <row r="105" spans="4:39" ht="12" customHeight="1" x14ac:dyDescent="0.25">
      <c r="D105" s="62">
        <f t="shared" si="42"/>
        <v>95</v>
      </c>
      <c r="E105" s="63">
        <f t="shared" si="33"/>
        <v>23.75</v>
      </c>
      <c r="F105" s="63">
        <f t="shared" si="34"/>
        <v>88.75</v>
      </c>
      <c r="G105" s="301">
        <f>MATCH(F105, Parameters!$D$523:$D$524, 1)</f>
        <v>2</v>
      </c>
      <c r="H105" s="62">
        <f t="shared" si="35"/>
        <v>0</v>
      </c>
      <c r="I105" s="285">
        <f t="array" aca="1" ref="I105:Q105" ca="1">IF($E105&gt;timeHorizon, 0, MMULT(I104:Q104*(1-$H105), OFFSET(D.rngTPM.Q_I.Root, ($G104-1)*9, 0)) + MMULT(I104:Q104*$H105, OFFSET(D.rngTPM.Q_I.Root, ($G104-1)*9, 12)))</f>
        <v>0</v>
      </c>
      <c r="J105" s="285">
        <f ca="1"/>
        <v>0</v>
      </c>
      <c r="K105" s="285">
        <f ca="1"/>
        <v>0</v>
      </c>
      <c r="L105" s="285">
        <f ca="1"/>
        <v>0</v>
      </c>
      <c r="M105" s="285">
        <f ca="1"/>
        <v>0</v>
      </c>
      <c r="N105" s="285">
        <f ca="1"/>
        <v>0</v>
      </c>
      <c r="O105" s="285">
        <f ca="1"/>
        <v>0</v>
      </c>
      <c r="P105" s="285">
        <f ca="1"/>
        <v>0</v>
      </c>
      <c r="Q105" s="285">
        <f ca="1"/>
        <v>0</v>
      </c>
      <c r="R105" s="283" t="str">
        <f t="shared" si="43"/>
        <v/>
      </c>
      <c r="S105" s="418">
        <f t="shared" ca="1" si="36"/>
        <v>1</v>
      </c>
      <c r="T105" s="418">
        <f t="shared" ca="1" si="37"/>
        <v>0</v>
      </c>
      <c r="U105" s="418">
        <f t="shared" ca="1" si="38"/>
        <v>0</v>
      </c>
      <c r="V105" s="418">
        <f t="shared" ca="1" si="38"/>
        <v>0</v>
      </c>
      <c r="W105" s="418">
        <f ca="1">PRODUCT(I104*(1-$H105), SUM(OFFSET(D.TPMs!$L$7:$M$7, ($G104-1)*9, 0), OFFSET(D.TPMs!$O$7:$P$7, ($G104-1)*9, 0)))
+PRODUCT(I104*$H105,     SUM(OFFSET(D.TPMs!$L$7:$M$7, ($G104-1)*9, 12), OFFSET(D.TPMs!$O$7:$P$7, ($G104-1)*9, 12)))
+PRODUCT(L104*(1-$H105), SUM(OFFSET(D.TPMs!$L$10:$M$10, ($G104-1)*9, 0), OFFSET(D.TPMs!$O$10:$P$10, ($G104-1)*9, 0)))
+PRODUCT(L104*$H105,     SUM(OFFSET(D.TPMs!$L$10:$M$10, ($G104-1)*9, 12), OFFSET(D.TPMs!$O$10:$P$10, ($G104-1)*9, 12)))</f>
        <v>0</v>
      </c>
      <c r="Y105" s="285">
        <f t="array" aca="1" ref="Y105:AG105" ca="1">IF($E105&gt;timeHorizon, 0, MMULT(Y104:AG104*(1-$H105), OFFSET(D.rngTPM.Q_I.Root, ($G104-1)*9, 0)) + MMULT(Y104:AG104*$H105, OFFSET(D.rngTPM.Q_I.Root, ($G104-1)*9, 12)))</f>
        <v>0</v>
      </c>
      <c r="Z105" s="285">
        <f ca="1"/>
        <v>0</v>
      </c>
      <c r="AA105" s="285">
        <f ca="1"/>
        <v>0</v>
      </c>
      <c r="AB105" s="285">
        <f ca="1"/>
        <v>0</v>
      </c>
      <c r="AC105" s="285">
        <f ca="1"/>
        <v>0</v>
      </c>
      <c r="AD105" s="285">
        <f ca="1"/>
        <v>0</v>
      </c>
      <c r="AE105" s="285">
        <f ca="1"/>
        <v>0</v>
      </c>
      <c r="AF105" s="285">
        <f ca="1"/>
        <v>0</v>
      </c>
      <c r="AG105" s="285">
        <f ca="1"/>
        <v>0</v>
      </c>
      <c r="AH105" s="283" t="str">
        <f t="shared" si="44"/>
        <v/>
      </c>
      <c r="AI105" s="320">
        <f t="shared" ca="1" si="39"/>
        <v>1</v>
      </c>
      <c r="AJ105" s="320">
        <f t="shared" ca="1" si="40"/>
        <v>0</v>
      </c>
      <c r="AK105" s="320">
        <f t="shared" ca="1" si="41"/>
        <v>0</v>
      </c>
      <c r="AL105" s="418">
        <f t="shared" ca="1" si="45"/>
        <v>0</v>
      </c>
      <c r="AM105" s="418">
        <f ca="1">PRODUCT(Y104*(1-$H105), SUM(OFFSET(D.TPMs!$L$7:$M$7, ($G104-1)*9, 0), OFFSET(D.TPMs!$O$7:$P$7, ($G104-1)*9, 0)))
+PRODUCT(Y104*$H105,     SUM(OFFSET(D.TPMs!$L$7:$M$7, ($G104-1)*9, 12), OFFSET(D.TPMs!$O$7:$P$7, ($G104-1)*9, 12)))
+PRODUCT(AB104*(1-$H105), SUM(OFFSET(D.TPMs!$L$10:$M$10, ($G104-1)*9, 0), OFFSET(D.TPMs!$O$10:$P$10, ($G104-1)*9, 0)))
+PRODUCT(AB104*$H105,     SUM(OFFSET(D.TPMs!$L$10:$M$10, ($G104-1)*9, 12), OFFSET(D.TPMs!$O$10:$P$10, ($G104-1)*9, 12)))</f>
        <v>0</v>
      </c>
    </row>
    <row r="106" spans="4:39" ht="12" customHeight="1" x14ac:dyDescent="0.25">
      <c r="D106" s="62">
        <f t="shared" si="42"/>
        <v>96</v>
      </c>
      <c r="E106" s="63">
        <f t="shared" ref="E106:E130" si="46">D106*D.cycleLength</f>
        <v>24</v>
      </c>
      <c r="F106" s="63">
        <f t="shared" ref="F106:F130" si="47">D.cohortAge+E106</f>
        <v>89</v>
      </c>
      <c r="G106" s="301">
        <f>MATCH(F106, Parameters!$D$523:$D$524, 1)</f>
        <v>2</v>
      </c>
      <c r="H106" s="62">
        <f t="shared" ref="H106:H130" si="48">IF(AND(E106&lt;=D.maxDurHPE, E107&gt;D.maxDurHPE), 1, 0)</f>
        <v>0</v>
      </c>
      <c r="I106" s="285">
        <f t="array" aca="1" ref="I106:Q106" ca="1">IF($E106&gt;timeHorizon, 0, MMULT(I105:Q105*(1-$H106), OFFSET(D.rngTPM.Q_I.Root, ($G105-1)*9, 0)) + MMULT(I105:Q105*$H106, OFFSET(D.rngTPM.Q_I.Root, ($G105-1)*9, 12)))</f>
        <v>0</v>
      </c>
      <c r="J106" s="285">
        <f ca="1"/>
        <v>0</v>
      </c>
      <c r="K106" s="285">
        <f ca="1"/>
        <v>0</v>
      </c>
      <c r="L106" s="285">
        <f ca="1"/>
        <v>0</v>
      </c>
      <c r="M106" s="285">
        <f ca="1"/>
        <v>0</v>
      </c>
      <c r="N106" s="285">
        <f ca="1"/>
        <v>0</v>
      </c>
      <c r="O106" s="285">
        <f ca="1"/>
        <v>0</v>
      </c>
      <c r="P106" s="285">
        <f ca="1"/>
        <v>0</v>
      </c>
      <c r="Q106" s="285">
        <f ca="1"/>
        <v>0</v>
      </c>
      <c r="R106" s="283" t="str">
        <f t="shared" si="43"/>
        <v/>
      </c>
      <c r="S106" s="418">
        <f t="shared" ref="S106:S130" ca="1" si="49">1-Q106</f>
        <v>1</v>
      </c>
      <c r="T106" s="418">
        <f t="shared" ref="T106:T130" ca="1" si="50">J106+M106</f>
        <v>0</v>
      </c>
      <c r="U106" s="418">
        <f t="shared" ref="U106:V130" ca="1" si="51">K106+N106</f>
        <v>0</v>
      </c>
      <c r="V106" s="418">
        <f t="shared" ca="1" si="51"/>
        <v>0</v>
      </c>
      <c r="W106" s="418">
        <f ca="1">PRODUCT(I105*(1-$H106), SUM(OFFSET(D.TPMs!$L$7:$M$7, ($G105-1)*9, 0), OFFSET(D.TPMs!$O$7:$P$7, ($G105-1)*9, 0)))
+PRODUCT(I105*$H106,     SUM(OFFSET(D.TPMs!$L$7:$M$7, ($G105-1)*9, 12), OFFSET(D.TPMs!$O$7:$P$7, ($G105-1)*9, 12)))
+PRODUCT(L105*(1-$H106), SUM(OFFSET(D.TPMs!$L$10:$M$10, ($G105-1)*9, 0), OFFSET(D.TPMs!$O$10:$P$10, ($G105-1)*9, 0)))
+PRODUCT(L105*$H106,     SUM(OFFSET(D.TPMs!$L$10:$M$10, ($G105-1)*9, 12), OFFSET(D.TPMs!$O$10:$P$10, ($G105-1)*9, 12)))</f>
        <v>0</v>
      </c>
      <c r="Y106" s="285">
        <f t="array" aca="1" ref="Y106:AG106" ca="1">IF($E106&gt;timeHorizon, 0, MMULT(Y105:AG105*(1-$H106), OFFSET(D.rngTPM.Q_I.Root, ($G105-1)*9, 0)) + MMULT(Y105:AG105*$H106, OFFSET(D.rngTPM.Q_I.Root, ($G105-1)*9, 12)))</f>
        <v>0</v>
      </c>
      <c r="Z106" s="285">
        <f ca="1"/>
        <v>0</v>
      </c>
      <c r="AA106" s="285">
        <f ca="1"/>
        <v>0</v>
      </c>
      <c r="AB106" s="285">
        <f ca="1"/>
        <v>0</v>
      </c>
      <c r="AC106" s="285">
        <f ca="1"/>
        <v>0</v>
      </c>
      <c r="AD106" s="285">
        <f ca="1"/>
        <v>0</v>
      </c>
      <c r="AE106" s="285">
        <f ca="1"/>
        <v>0</v>
      </c>
      <c r="AF106" s="285">
        <f ca="1"/>
        <v>0</v>
      </c>
      <c r="AG106" s="285">
        <f ca="1"/>
        <v>0</v>
      </c>
      <c r="AH106" s="283" t="str">
        <f t="shared" si="44"/>
        <v/>
      </c>
      <c r="AI106" s="320">
        <f t="shared" ref="AI106:AI130" ca="1" si="52">1-AG106</f>
        <v>1</v>
      </c>
      <c r="AJ106" s="320">
        <f t="shared" ref="AJ106:AJ130" ca="1" si="53">Z106+AC106</f>
        <v>0</v>
      </c>
      <c r="AK106" s="320">
        <f t="shared" ref="AK106:AK130" ca="1" si="54">AA106+AD106</f>
        <v>0</v>
      </c>
      <c r="AL106" s="418">
        <f t="shared" ca="1" si="45"/>
        <v>0</v>
      </c>
      <c r="AM106" s="418">
        <f ca="1">PRODUCT(Y105*(1-$H106), SUM(OFFSET(D.TPMs!$L$7:$M$7, ($G105-1)*9, 0), OFFSET(D.TPMs!$O$7:$P$7, ($G105-1)*9, 0)))
+PRODUCT(Y105*$H106,     SUM(OFFSET(D.TPMs!$L$7:$M$7, ($G105-1)*9, 12), OFFSET(D.TPMs!$O$7:$P$7, ($G105-1)*9, 12)))
+PRODUCT(AB105*(1-$H106), SUM(OFFSET(D.TPMs!$L$10:$M$10, ($G105-1)*9, 0), OFFSET(D.TPMs!$O$10:$P$10, ($G105-1)*9, 0)))
+PRODUCT(AB105*$H106,     SUM(OFFSET(D.TPMs!$L$10:$M$10, ($G105-1)*9, 12), OFFSET(D.TPMs!$O$10:$P$10, ($G105-1)*9, 12)))</f>
        <v>0</v>
      </c>
    </row>
    <row r="107" spans="4:39" ht="12" customHeight="1" x14ac:dyDescent="0.25">
      <c r="D107" s="62">
        <f t="shared" ref="D107:D130" si="55">D106+1</f>
        <v>97</v>
      </c>
      <c r="E107" s="63">
        <f t="shared" si="46"/>
        <v>24.25</v>
      </c>
      <c r="F107" s="63">
        <f t="shared" si="47"/>
        <v>89.25</v>
      </c>
      <c r="G107" s="301">
        <f>MATCH(F107, Parameters!$D$523:$D$524, 1)</f>
        <v>2</v>
      </c>
      <c r="H107" s="62">
        <f t="shared" si="48"/>
        <v>0</v>
      </c>
      <c r="I107" s="285">
        <f t="array" aca="1" ref="I107:Q107" ca="1">IF($E107&gt;timeHorizon, 0, MMULT(I106:Q106*(1-$H107), OFFSET(D.rngTPM.Q_I.Root, ($G106-1)*9, 0)) + MMULT(I106:Q106*$H107, OFFSET(D.rngTPM.Q_I.Root, ($G106-1)*9, 12)))</f>
        <v>0</v>
      </c>
      <c r="J107" s="285">
        <f ca="1"/>
        <v>0</v>
      </c>
      <c r="K107" s="285">
        <f ca="1"/>
        <v>0</v>
      </c>
      <c r="L107" s="285">
        <f ca="1"/>
        <v>0</v>
      </c>
      <c r="M107" s="285">
        <f ca="1"/>
        <v>0</v>
      </c>
      <c r="N107" s="285">
        <f ca="1"/>
        <v>0</v>
      </c>
      <c r="O107" s="285">
        <f ca="1"/>
        <v>0</v>
      </c>
      <c r="P107" s="285">
        <f ca="1"/>
        <v>0</v>
      </c>
      <c r="Q107" s="285">
        <f ca="1"/>
        <v>0</v>
      </c>
      <c r="R107" s="283" t="str">
        <f t="shared" ref="R107:R130" si="56">IF($E107&gt;timeHorizon, "", SUM(I107:Q107))</f>
        <v/>
      </c>
      <c r="S107" s="418">
        <f t="shared" ca="1" si="49"/>
        <v>1</v>
      </c>
      <c r="T107" s="418">
        <f t="shared" ca="1" si="50"/>
        <v>0</v>
      </c>
      <c r="U107" s="418">
        <f t="shared" ca="1" si="51"/>
        <v>0</v>
      </c>
      <c r="V107" s="418">
        <f t="shared" ca="1" si="51"/>
        <v>0</v>
      </c>
      <c r="W107" s="418">
        <f ca="1">PRODUCT(I106*(1-$H107), SUM(OFFSET(D.TPMs!$L$7:$M$7, ($G106-1)*9, 0), OFFSET(D.TPMs!$O$7:$P$7, ($G106-1)*9, 0)))
+PRODUCT(I106*$H107,     SUM(OFFSET(D.TPMs!$L$7:$M$7, ($G106-1)*9, 12), OFFSET(D.TPMs!$O$7:$P$7, ($G106-1)*9, 12)))
+PRODUCT(L106*(1-$H107), SUM(OFFSET(D.TPMs!$L$10:$M$10, ($G106-1)*9, 0), OFFSET(D.TPMs!$O$10:$P$10, ($G106-1)*9, 0)))
+PRODUCT(L106*$H107,     SUM(OFFSET(D.TPMs!$L$10:$M$10, ($G106-1)*9, 12), OFFSET(D.TPMs!$O$10:$P$10, ($G106-1)*9, 12)))</f>
        <v>0</v>
      </c>
      <c r="Y107" s="285">
        <f t="array" aca="1" ref="Y107:AG107" ca="1">IF($E107&gt;timeHorizon, 0, MMULT(Y106:AG106*(1-$H107), OFFSET(D.rngTPM.Q_I.Root, ($G106-1)*9, 0)) + MMULT(Y106:AG106*$H107, OFFSET(D.rngTPM.Q_I.Root, ($G106-1)*9, 12)))</f>
        <v>0</v>
      </c>
      <c r="Z107" s="285">
        <f ca="1"/>
        <v>0</v>
      </c>
      <c r="AA107" s="285">
        <f ca="1"/>
        <v>0</v>
      </c>
      <c r="AB107" s="285">
        <f ca="1"/>
        <v>0</v>
      </c>
      <c r="AC107" s="285">
        <f ca="1"/>
        <v>0</v>
      </c>
      <c r="AD107" s="285">
        <f ca="1"/>
        <v>0</v>
      </c>
      <c r="AE107" s="285">
        <f ca="1"/>
        <v>0</v>
      </c>
      <c r="AF107" s="285">
        <f ca="1"/>
        <v>0</v>
      </c>
      <c r="AG107" s="285">
        <f ca="1"/>
        <v>0</v>
      </c>
      <c r="AH107" s="283" t="str">
        <f t="shared" ref="AH107:AH130" si="57">IF($E107&gt;timeHorizon, "", SUM(Y107:AG107))</f>
        <v/>
      </c>
      <c r="AI107" s="320">
        <f t="shared" ca="1" si="52"/>
        <v>1</v>
      </c>
      <c r="AJ107" s="320">
        <f t="shared" ca="1" si="53"/>
        <v>0</v>
      </c>
      <c r="AK107" s="320">
        <f t="shared" ca="1" si="54"/>
        <v>0</v>
      </c>
      <c r="AL107" s="418">
        <f t="shared" ca="1" si="45"/>
        <v>0</v>
      </c>
      <c r="AM107" s="418">
        <f ca="1">PRODUCT(Y106*(1-$H107), SUM(OFFSET(D.TPMs!$L$7:$M$7, ($G106-1)*9, 0), OFFSET(D.TPMs!$O$7:$P$7, ($G106-1)*9, 0)))
+PRODUCT(Y106*$H107,     SUM(OFFSET(D.TPMs!$L$7:$M$7, ($G106-1)*9, 12), OFFSET(D.TPMs!$O$7:$P$7, ($G106-1)*9, 12)))
+PRODUCT(AB106*(1-$H107), SUM(OFFSET(D.TPMs!$L$10:$M$10, ($G106-1)*9, 0), OFFSET(D.TPMs!$O$10:$P$10, ($G106-1)*9, 0)))
+PRODUCT(AB106*$H107,     SUM(OFFSET(D.TPMs!$L$10:$M$10, ($G106-1)*9, 12), OFFSET(D.TPMs!$O$10:$P$10, ($G106-1)*9, 12)))</f>
        <v>0</v>
      </c>
    </row>
    <row r="108" spans="4:39" ht="12" customHeight="1" x14ac:dyDescent="0.25">
      <c r="D108" s="62">
        <f t="shared" si="55"/>
        <v>98</v>
      </c>
      <c r="E108" s="63">
        <f t="shared" si="46"/>
        <v>24.5</v>
      </c>
      <c r="F108" s="63">
        <f t="shared" si="47"/>
        <v>89.5</v>
      </c>
      <c r="G108" s="301">
        <f>MATCH(F108, Parameters!$D$523:$D$524, 1)</f>
        <v>2</v>
      </c>
      <c r="H108" s="62">
        <f t="shared" si="48"/>
        <v>0</v>
      </c>
      <c r="I108" s="285">
        <f t="array" aca="1" ref="I108:Q108" ca="1">IF($E108&gt;timeHorizon, 0, MMULT(I107:Q107*(1-$H108), OFFSET(D.rngTPM.Q_I.Root, ($G107-1)*9, 0)) + MMULT(I107:Q107*$H108, OFFSET(D.rngTPM.Q_I.Root, ($G107-1)*9, 12)))</f>
        <v>0</v>
      </c>
      <c r="J108" s="285">
        <f ca="1"/>
        <v>0</v>
      </c>
      <c r="K108" s="285">
        <f ca="1"/>
        <v>0</v>
      </c>
      <c r="L108" s="285">
        <f ca="1"/>
        <v>0</v>
      </c>
      <c r="M108" s="285">
        <f ca="1"/>
        <v>0</v>
      </c>
      <c r="N108" s="285">
        <f ca="1"/>
        <v>0</v>
      </c>
      <c r="O108" s="285">
        <f ca="1"/>
        <v>0</v>
      </c>
      <c r="P108" s="285">
        <f ca="1"/>
        <v>0</v>
      </c>
      <c r="Q108" s="285">
        <f ca="1"/>
        <v>0</v>
      </c>
      <c r="R108" s="283" t="str">
        <f t="shared" si="56"/>
        <v/>
      </c>
      <c r="S108" s="418">
        <f t="shared" ca="1" si="49"/>
        <v>1</v>
      </c>
      <c r="T108" s="418">
        <f t="shared" ca="1" si="50"/>
        <v>0</v>
      </c>
      <c r="U108" s="418">
        <f t="shared" ca="1" si="51"/>
        <v>0</v>
      </c>
      <c r="V108" s="418">
        <f t="shared" ca="1" si="51"/>
        <v>0</v>
      </c>
      <c r="W108" s="418">
        <f ca="1">PRODUCT(I107*(1-$H108), SUM(OFFSET(D.TPMs!$L$7:$M$7, ($G107-1)*9, 0), OFFSET(D.TPMs!$O$7:$P$7, ($G107-1)*9, 0)))
+PRODUCT(I107*$H108,     SUM(OFFSET(D.TPMs!$L$7:$M$7, ($G107-1)*9, 12), OFFSET(D.TPMs!$O$7:$P$7, ($G107-1)*9, 12)))
+PRODUCT(L107*(1-$H108), SUM(OFFSET(D.TPMs!$L$10:$M$10, ($G107-1)*9, 0), OFFSET(D.TPMs!$O$10:$P$10, ($G107-1)*9, 0)))
+PRODUCT(L107*$H108,     SUM(OFFSET(D.TPMs!$L$10:$M$10, ($G107-1)*9, 12), OFFSET(D.TPMs!$O$10:$P$10, ($G107-1)*9, 12)))</f>
        <v>0</v>
      </c>
      <c r="Y108" s="285">
        <f t="array" aca="1" ref="Y108:AG108" ca="1">IF($E108&gt;timeHorizon, 0, MMULT(Y107:AG107*(1-$H108), OFFSET(D.rngTPM.Q_I.Root, ($G107-1)*9, 0)) + MMULT(Y107:AG107*$H108, OFFSET(D.rngTPM.Q_I.Root, ($G107-1)*9, 12)))</f>
        <v>0</v>
      </c>
      <c r="Z108" s="285">
        <f ca="1"/>
        <v>0</v>
      </c>
      <c r="AA108" s="285">
        <f ca="1"/>
        <v>0</v>
      </c>
      <c r="AB108" s="285">
        <f ca="1"/>
        <v>0</v>
      </c>
      <c r="AC108" s="285">
        <f ca="1"/>
        <v>0</v>
      </c>
      <c r="AD108" s="285">
        <f ca="1"/>
        <v>0</v>
      </c>
      <c r="AE108" s="285">
        <f ca="1"/>
        <v>0</v>
      </c>
      <c r="AF108" s="285">
        <f ca="1"/>
        <v>0</v>
      </c>
      <c r="AG108" s="285">
        <f ca="1"/>
        <v>0</v>
      </c>
      <c r="AH108" s="283" t="str">
        <f t="shared" si="57"/>
        <v/>
      </c>
      <c r="AI108" s="320">
        <f t="shared" ca="1" si="52"/>
        <v>1</v>
      </c>
      <c r="AJ108" s="320">
        <f t="shared" ca="1" si="53"/>
        <v>0</v>
      </c>
      <c r="AK108" s="320">
        <f t="shared" ca="1" si="54"/>
        <v>0</v>
      </c>
      <c r="AL108" s="418">
        <f t="shared" ca="1" si="45"/>
        <v>0</v>
      </c>
      <c r="AM108" s="418">
        <f ca="1">PRODUCT(Y107*(1-$H108), SUM(OFFSET(D.TPMs!$L$7:$M$7, ($G107-1)*9, 0), OFFSET(D.TPMs!$O$7:$P$7, ($G107-1)*9, 0)))
+PRODUCT(Y107*$H108,     SUM(OFFSET(D.TPMs!$L$7:$M$7, ($G107-1)*9, 12), OFFSET(D.TPMs!$O$7:$P$7, ($G107-1)*9, 12)))
+PRODUCT(AB107*(1-$H108), SUM(OFFSET(D.TPMs!$L$10:$M$10, ($G107-1)*9, 0), OFFSET(D.TPMs!$O$10:$P$10, ($G107-1)*9, 0)))
+PRODUCT(AB107*$H108,     SUM(OFFSET(D.TPMs!$L$10:$M$10, ($G107-1)*9, 12), OFFSET(D.TPMs!$O$10:$P$10, ($G107-1)*9, 12)))</f>
        <v>0</v>
      </c>
    </row>
    <row r="109" spans="4:39" ht="12" customHeight="1" x14ac:dyDescent="0.25">
      <c r="D109" s="62">
        <f t="shared" si="55"/>
        <v>99</v>
      </c>
      <c r="E109" s="63">
        <f t="shared" si="46"/>
        <v>24.75</v>
      </c>
      <c r="F109" s="63">
        <f t="shared" si="47"/>
        <v>89.75</v>
      </c>
      <c r="G109" s="301">
        <f>MATCH(F109, Parameters!$D$523:$D$524, 1)</f>
        <v>2</v>
      </c>
      <c r="H109" s="62">
        <f t="shared" si="48"/>
        <v>0</v>
      </c>
      <c r="I109" s="285">
        <f t="array" aca="1" ref="I109:Q109" ca="1">IF($E109&gt;timeHorizon, 0, MMULT(I108:Q108*(1-$H109), OFFSET(D.rngTPM.Q_I.Root, ($G108-1)*9, 0)) + MMULT(I108:Q108*$H109, OFFSET(D.rngTPM.Q_I.Root, ($G108-1)*9, 12)))</f>
        <v>0</v>
      </c>
      <c r="J109" s="285">
        <f ca="1"/>
        <v>0</v>
      </c>
      <c r="K109" s="285">
        <f ca="1"/>
        <v>0</v>
      </c>
      <c r="L109" s="285">
        <f ca="1"/>
        <v>0</v>
      </c>
      <c r="M109" s="285">
        <f ca="1"/>
        <v>0</v>
      </c>
      <c r="N109" s="285">
        <f ca="1"/>
        <v>0</v>
      </c>
      <c r="O109" s="285">
        <f ca="1"/>
        <v>0</v>
      </c>
      <c r="P109" s="285">
        <f ca="1"/>
        <v>0</v>
      </c>
      <c r="Q109" s="285">
        <f ca="1"/>
        <v>0</v>
      </c>
      <c r="R109" s="283" t="str">
        <f t="shared" si="56"/>
        <v/>
      </c>
      <c r="S109" s="418">
        <f t="shared" ca="1" si="49"/>
        <v>1</v>
      </c>
      <c r="T109" s="418">
        <f t="shared" ca="1" si="50"/>
        <v>0</v>
      </c>
      <c r="U109" s="418">
        <f t="shared" ca="1" si="51"/>
        <v>0</v>
      </c>
      <c r="V109" s="418">
        <f t="shared" ca="1" si="51"/>
        <v>0</v>
      </c>
      <c r="W109" s="418">
        <f ca="1">PRODUCT(I108*(1-$H109), SUM(OFFSET(D.TPMs!$L$7:$M$7, ($G108-1)*9, 0), OFFSET(D.TPMs!$O$7:$P$7, ($G108-1)*9, 0)))
+PRODUCT(I108*$H109,     SUM(OFFSET(D.TPMs!$L$7:$M$7, ($G108-1)*9, 12), OFFSET(D.TPMs!$O$7:$P$7, ($G108-1)*9, 12)))
+PRODUCT(L108*(1-$H109), SUM(OFFSET(D.TPMs!$L$10:$M$10, ($G108-1)*9, 0), OFFSET(D.TPMs!$O$10:$P$10, ($G108-1)*9, 0)))
+PRODUCT(L108*$H109,     SUM(OFFSET(D.TPMs!$L$10:$M$10, ($G108-1)*9, 12), OFFSET(D.TPMs!$O$10:$P$10, ($G108-1)*9, 12)))</f>
        <v>0</v>
      </c>
      <c r="Y109" s="285">
        <f t="array" aca="1" ref="Y109:AG109" ca="1">IF($E109&gt;timeHorizon, 0, MMULT(Y108:AG108*(1-$H109), OFFSET(D.rngTPM.Q_I.Root, ($G108-1)*9, 0)) + MMULT(Y108:AG108*$H109, OFFSET(D.rngTPM.Q_I.Root, ($G108-1)*9, 12)))</f>
        <v>0</v>
      </c>
      <c r="Z109" s="285">
        <f ca="1"/>
        <v>0</v>
      </c>
      <c r="AA109" s="285">
        <f ca="1"/>
        <v>0</v>
      </c>
      <c r="AB109" s="285">
        <f ca="1"/>
        <v>0</v>
      </c>
      <c r="AC109" s="285">
        <f ca="1"/>
        <v>0</v>
      </c>
      <c r="AD109" s="285">
        <f ca="1"/>
        <v>0</v>
      </c>
      <c r="AE109" s="285">
        <f ca="1"/>
        <v>0</v>
      </c>
      <c r="AF109" s="285">
        <f ca="1"/>
        <v>0</v>
      </c>
      <c r="AG109" s="285">
        <f ca="1"/>
        <v>0</v>
      </c>
      <c r="AH109" s="283" t="str">
        <f t="shared" si="57"/>
        <v/>
      </c>
      <c r="AI109" s="320">
        <f t="shared" ca="1" si="52"/>
        <v>1</v>
      </c>
      <c r="AJ109" s="320">
        <f t="shared" ca="1" si="53"/>
        <v>0</v>
      </c>
      <c r="AK109" s="320">
        <f t="shared" ca="1" si="54"/>
        <v>0</v>
      </c>
      <c r="AL109" s="418">
        <f t="shared" ca="1" si="45"/>
        <v>0</v>
      </c>
      <c r="AM109" s="418">
        <f ca="1">PRODUCT(Y108*(1-$H109), SUM(OFFSET(D.TPMs!$L$7:$M$7, ($G108-1)*9, 0), OFFSET(D.TPMs!$O$7:$P$7, ($G108-1)*9, 0)))
+PRODUCT(Y108*$H109,     SUM(OFFSET(D.TPMs!$L$7:$M$7, ($G108-1)*9, 12), OFFSET(D.TPMs!$O$7:$P$7, ($G108-1)*9, 12)))
+PRODUCT(AB108*(1-$H109), SUM(OFFSET(D.TPMs!$L$10:$M$10, ($G108-1)*9, 0), OFFSET(D.TPMs!$O$10:$P$10, ($G108-1)*9, 0)))
+PRODUCT(AB108*$H109,     SUM(OFFSET(D.TPMs!$L$10:$M$10, ($G108-1)*9, 12), OFFSET(D.TPMs!$O$10:$P$10, ($G108-1)*9, 12)))</f>
        <v>0</v>
      </c>
    </row>
    <row r="110" spans="4:39" ht="12" customHeight="1" x14ac:dyDescent="0.25">
      <c r="D110" s="62">
        <f t="shared" si="55"/>
        <v>100</v>
      </c>
      <c r="E110" s="63">
        <f t="shared" si="46"/>
        <v>25</v>
      </c>
      <c r="F110" s="63">
        <f t="shared" si="47"/>
        <v>90</v>
      </c>
      <c r="G110" s="301">
        <f>MATCH(F110, Parameters!$D$523:$D$524, 1)</f>
        <v>2</v>
      </c>
      <c r="H110" s="62">
        <f t="shared" si="48"/>
        <v>0</v>
      </c>
      <c r="I110" s="285">
        <f t="array" aca="1" ref="I110:Q110" ca="1">IF($E110&gt;timeHorizon, 0, MMULT(I109:Q109*(1-$H110), OFFSET(D.rngTPM.Q_I.Root, ($G109-1)*9, 0)) + MMULT(I109:Q109*$H110, OFFSET(D.rngTPM.Q_I.Root, ($G109-1)*9, 12)))</f>
        <v>0</v>
      </c>
      <c r="J110" s="285">
        <f ca="1"/>
        <v>0</v>
      </c>
      <c r="K110" s="285">
        <f ca="1"/>
        <v>0</v>
      </c>
      <c r="L110" s="285">
        <f ca="1"/>
        <v>0</v>
      </c>
      <c r="M110" s="285">
        <f ca="1"/>
        <v>0</v>
      </c>
      <c r="N110" s="285">
        <f ca="1"/>
        <v>0</v>
      </c>
      <c r="O110" s="285">
        <f ca="1"/>
        <v>0</v>
      </c>
      <c r="P110" s="285">
        <f ca="1"/>
        <v>0</v>
      </c>
      <c r="Q110" s="285">
        <f ca="1"/>
        <v>0</v>
      </c>
      <c r="R110" s="283" t="str">
        <f t="shared" si="56"/>
        <v/>
      </c>
      <c r="S110" s="418">
        <f t="shared" ca="1" si="49"/>
        <v>1</v>
      </c>
      <c r="T110" s="418">
        <f t="shared" ca="1" si="50"/>
        <v>0</v>
      </c>
      <c r="U110" s="418">
        <f t="shared" ca="1" si="51"/>
        <v>0</v>
      </c>
      <c r="V110" s="418">
        <f t="shared" ca="1" si="51"/>
        <v>0</v>
      </c>
      <c r="W110" s="418">
        <f ca="1">PRODUCT(I109*(1-$H110), SUM(OFFSET(D.TPMs!$L$7:$M$7, ($G109-1)*9, 0), OFFSET(D.TPMs!$O$7:$P$7, ($G109-1)*9, 0)))
+PRODUCT(I109*$H110,     SUM(OFFSET(D.TPMs!$L$7:$M$7, ($G109-1)*9, 12), OFFSET(D.TPMs!$O$7:$P$7, ($G109-1)*9, 12)))
+PRODUCT(L109*(1-$H110), SUM(OFFSET(D.TPMs!$L$10:$M$10, ($G109-1)*9, 0), OFFSET(D.TPMs!$O$10:$P$10, ($G109-1)*9, 0)))
+PRODUCT(L109*$H110,     SUM(OFFSET(D.TPMs!$L$10:$M$10, ($G109-1)*9, 12), OFFSET(D.TPMs!$O$10:$P$10, ($G109-1)*9, 12)))</f>
        <v>0</v>
      </c>
      <c r="Y110" s="285">
        <f t="array" aca="1" ref="Y110:AG110" ca="1">IF($E110&gt;timeHorizon, 0, MMULT(Y109:AG109*(1-$H110), OFFSET(D.rngTPM.Q_I.Root, ($G109-1)*9, 0)) + MMULT(Y109:AG109*$H110, OFFSET(D.rngTPM.Q_I.Root, ($G109-1)*9, 12)))</f>
        <v>0</v>
      </c>
      <c r="Z110" s="285">
        <f ca="1"/>
        <v>0</v>
      </c>
      <c r="AA110" s="285">
        <f ca="1"/>
        <v>0</v>
      </c>
      <c r="AB110" s="285">
        <f ca="1"/>
        <v>0</v>
      </c>
      <c r="AC110" s="285">
        <f ca="1"/>
        <v>0</v>
      </c>
      <c r="AD110" s="285">
        <f ca="1"/>
        <v>0</v>
      </c>
      <c r="AE110" s="285">
        <f ca="1"/>
        <v>0</v>
      </c>
      <c r="AF110" s="285">
        <f ca="1"/>
        <v>0</v>
      </c>
      <c r="AG110" s="285">
        <f ca="1"/>
        <v>0</v>
      </c>
      <c r="AH110" s="283" t="str">
        <f t="shared" si="57"/>
        <v/>
      </c>
      <c r="AI110" s="320">
        <f t="shared" ca="1" si="52"/>
        <v>1</v>
      </c>
      <c r="AJ110" s="320">
        <f t="shared" ca="1" si="53"/>
        <v>0</v>
      </c>
      <c r="AK110" s="320">
        <f t="shared" ca="1" si="54"/>
        <v>0</v>
      </c>
      <c r="AL110" s="418">
        <f t="shared" ca="1" si="45"/>
        <v>0</v>
      </c>
      <c r="AM110" s="418">
        <f ca="1">PRODUCT(Y109*(1-$H110), SUM(OFFSET(D.TPMs!$L$7:$M$7, ($G109-1)*9, 0), OFFSET(D.TPMs!$O$7:$P$7, ($G109-1)*9, 0)))
+PRODUCT(Y109*$H110,     SUM(OFFSET(D.TPMs!$L$7:$M$7, ($G109-1)*9, 12), OFFSET(D.TPMs!$O$7:$P$7, ($G109-1)*9, 12)))
+PRODUCT(AB109*(1-$H110), SUM(OFFSET(D.TPMs!$L$10:$M$10, ($G109-1)*9, 0), OFFSET(D.TPMs!$O$10:$P$10, ($G109-1)*9, 0)))
+PRODUCT(AB109*$H110,     SUM(OFFSET(D.TPMs!$L$10:$M$10, ($G109-1)*9, 12), OFFSET(D.TPMs!$O$10:$P$10, ($G109-1)*9, 12)))</f>
        <v>0</v>
      </c>
    </row>
    <row r="111" spans="4:39" ht="12" customHeight="1" x14ac:dyDescent="0.25">
      <c r="D111" s="62">
        <f t="shared" si="55"/>
        <v>101</v>
      </c>
      <c r="E111" s="63">
        <f t="shared" si="46"/>
        <v>25.25</v>
      </c>
      <c r="F111" s="63">
        <f t="shared" si="47"/>
        <v>90.25</v>
      </c>
      <c r="G111" s="301">
        <f>MATCH(F111, Parameters!$D$523:$D$524, 1)</f>
        <v>2</v>
      </c>
      <c r="H111" s="62">
        <f t="shared" si="48"/>
        <v>0</v>
      </c>
      <c r="I111" s="285">
        <f t="array" aca="1" ref="I111:Q111" ca="1">IF($E111&gt;timeHorizon, 0, MMULT(I110:Q110*(1-$H111), OFFSET(D.rngTPM.Q_I.Root, ($G110-1)*9, 0)) + MMULT(I110:Q110*$H111, OFFSET(D.rngTPM.Q_I.Root, ($G110-1)*9, 12)))</f>
        <v>0</v>
      </c>
      <c r="J111" s="285">
        <f ca="1"/>
        <v>0</v>
      </c>
      <c r="K111" s="285">
        <f ca="1"/>
        <v>0</v>
      </c>
      <c r="L111" s="285">
        <f ca="1"/>
        <v>0</v>
      </c>
      <c r="M111" s="285">
        <f ca="1"/>
        <v>0</v>
      </c>
      <c r="N111" s="285">
        <f ca="1"/>
        <v>0</v>
      </c>
      <c r="O111" s="285">
        <f ca="1"/>
        <v>0</v>
      </c>
      <c r="P111" s="285">
        <f ca="1"/>
        <v>0</v>
      </c>
      <c r="Q111" s="285">
        <f ca="1"/>
        <v>0</v>
      </c>
      <c r="R111" s="283" t="str">
        <f t="shared" si="56"/>
        <v/>
      </c>
      <c r="S111" s="418">
        <f t="shared" ca="1" si="49"/>
        <v>1</v>
      </c>
      <c r="T111" s="418">
        <f t="shared" ca="1" si="50"/>
        <v>0</v>
      </c>
      <c r="U111" s="418">
        <f t="shared" ca="1" si="51"/>
        <v>0</v>
      </c>
      <c r="V111" s="418">
        <f t="shared" ca="1" si="51"/>
        <v>0</v>
      </c>
      <c r="W111" s="418">
        <f ca="1">PRODUCT(I110*(1-$H111), SUM(OFFSET(D.TPMs!$L$7:$M$7, ($G110-1)*9, 0), OFFSET(D.TPMs!$O$7:$P$7, ($G110-1)*9, 0)))
+PRODUCT(I110*$H111,     SUM(OFFSET(D.TPMs!$L$7:$M$7, ($G110-1)*9, 12), OFFSET(D.TPMs!$O$7:$P$7, ($G110-1)*9, 12)))
+PRODUCT(L110*(1-$H111), SUM(OFFSET(D.TPMs!$L$10:$M$10, ($G110-1)*9, 0), OFFSET(D.TPMs!$O$10:$P$10, ($G110-1)*9, 0)))
+PRODUCT(L110*$H111,     SUM(OFFSET(D.TPMs!$L$10:$M$10, ($G110-1)*9, 12), OFFSET(D.TPMs!$O$10:$P$10, ($G110-1)*9, 12)))</f>
        <v>0</v>
      </c>
      <c r="Y111" s="285">
        <f t="array" aca="1" ref="Y111:AG111" ca="1">IF($E111&gt;timeHorizon, 0, MMULT(Y110:AG110*(1-$H111), OFFSET(D.rngTPM.Q_I.Root, ($G110-1)*9, 0)) + MMULT(Y110:AG110*$H111, OFFSET(D.rngTPM.Q_I.Root, ($G110-1)*9, 12)))</f>
        <v>0</v>
      </c>
      <c r="Z111" s="285">
        <f ca="1"/>
        <v>0</v>
      </c>
      <c r="AA111" s="285">
        <f ca="1"/>
        <v>0</v>
      </c>
      <c r="AB111" s="285">
        <f ca="1"/>
        <v>0</v>
      </c>
      <c r="AC111" s="285">
        <f ca="1"/>
        <v>0</v>
      </c>
      <c r="AD111" s="285">
        <f ca="1"/>
        <v>0</v>
      </c>
      <c r="AE111" s="285">
        <f ca="1"/>
        <v>0</v>
      </c>
      <c r="AF111" s="285">
        <f ca="1"/>
        <v>0</v>
      </c>
      <c r="AG111" s="285">
        <f ca="1"/>
        <v>0</v>
      </c>
      <c r="AH111" s="283" t="str">
        <f t="shared" si="57"/>
        <v/>
      </c>
      <c r="AI111" s="320">
        <f t="shared" ca="1" si="52"/>
        <v>1</v>
      </c>
      <c r="AJ111" s="320">
        <f t="shared" ca="1" si="53"/>
        <v>0</v>
      </c>
      <c r="AK111" s="320">
        <f t="shared" ca="1" si="54"/>
        <v>0</v>
      </c>
      <c r="AL111" s="418">
        <f t="shared" ca="1" si="45"/>
        <v>0</v>
      </c>
      <c r="AM111" s="418">
        <f ca="1">PRODUCT(Y110*(1-$H111), SUM(OFFSET(D.TPMs!$L$7:$M$7, ($G110-1)*9, 0), OFFSET(D.TPMs!$O$7:$P$7, ($G110-1)*9, 0)))
+PRODUCT(Y110*$H111,     SUM(OFFSET(D.TPMs!$L$7:$M$7, ($G110-1)*9, 12), OFFSET(D.TPMs!$O$7:$P$7, ($G110-1)*9, 12)))
+PRODUCT(AB110*(1-$H111), SUM(OFFSET(D.TPMs!$L$10:$M$10, ($G110-1)*9, 0), OFFSET(D.TPMs!$O$10:$P$10, ($G110-1)*9, 0)))
+PRODUCT(AB110*$H111,     SUM(OFFSET(D.TPMs!$L$10:$M$10, ($G110-1)*9, 12), OFFSET(D.TPMs!$O$10:$P$10, ($G110-1)*9, 12)))</f>
        <v>0</v>
      </c>
    </row>
    <row r="112" spans="4:39" ht="12" customHeight="1" x14ac:dyDescent="0.25">
      <c r="D112" s="62">
        <f t="shared" si="55"/>
        <v>102</v>
      </c>
      <c r="E112" s="63">
        <f t="shared" si="46"/>
        <v>25.5</v>
      </c>
      <c r="F112" s="63">
        <f t="shared" si="47"/>
        <v>90.5</v>
      </c>
      <c r="G112" s="301">
        <f>MATCH(F112, Parameters!$D$523:$D$524, 1)</f>
        <v>2</v>
      </c>
      <c r="H112" s="62">
        <f t="shared" si="48"/>
        <v>0</v>
      </c>
      <c r="I112" s="285">
        <f t="array" aca="1" ref="I112:Q112" ca="1">IF($E112&gt;timeHorizon, 0, MMULT(I111:Q111*(1-$H112), OFFSET(D.rngTPM.Q_I.Root, ($G111-1)*9, 0)) + MMULT(I111:Q111*$H112, OFFSET(D.rngTPM.Q_I.Root, ($G111-1)*9, 12)))</f>
        <v>0</v>
      </c>
      <c r="J112" s="285">
        <f ca="1"/>
        <v>0</v>
      </c>
      <c r="K112" s="285">
        <f ca="1"/>
        <v>0</v>
      </c>
      <c r="L112" s="285">
        <f ca="1"/>
        <v>0</v>
      </c>
      <c r="M112" s="285">
        <f ca="1"/>
        <v>0</v>
      </c>
      <c r="N112" s="285">
        <f ca="1"/>
        <v>0</v>
      </c>
      <c r="O112" s="285">
        <f ca="1"/>
        <v>0</v>
      </c>
      <c r="P112" s="285">
        <f ca="1"/>
        <v>0</v>
      </c>
      <c r="Q112" s="285">
        <f ca="1"/>
        <v>0</v>
      </c>
      <c r="R112" s="283" t="str">
        <f t="shared" si="56"/>
        <v/>
      </c>
      <c r="S112" s="418">
        <f t="shared" ca="1" si="49"/>
        <v>1</v>
      </c>
      <c r="T112" s="418">
        <f t="shared" ca="1" si="50"/>
        <v>0</v>
      </c>
      <c r="U112" s="418">
        <f t="shared" ca="1" si="51"/>
        <v>0</v>
      </c>
      <c r="V112" s="418">
        <f t="shared" ca="1" si="51"/>
        <v>0</v>
      </c>
      <c r="W112" s="418">
        <f ca="1">PRODUCT(I111*(1-$H112), SUM(OFFSET(D.TPMs!$L$7:$M$7, ($G111-1)*9, 0), OFFSET(D.TPMs!$O$7:$P$7, ($G111-1)*9, 0)))
+PRODUCT(I111*$H112,     SUM(OFFSET(D.TPMs!$L$7:$M$7, ($G111-1)*9, 12), OFFSET(D.TPMs!$O$7:$P$7, ($G111-1)*9, 12)))
+PRODUCT(L111*(1-$H112), SUM(OFFSET(D.TPMs!$L$10:$M$10, ($G111-1)*9, 0), OFFSET(D.TPMs!$O$10:$P$10, ($G111-1)*9, 0)))
+PRODUCT(L111*$H112,     SUM(OFFSET(D.TPMs!$L$10:$M$10, ($G111-1)*9, 12), OFFSET(D.TPMs!$O$10:$P$10, ($G111-1)*9, 12)))</f>
        <v>0</v>
      </c>
      <c r="Y112" s="285">
        <f t="array" aca="1" ref="Y112:AG112" ca="1">IF($E112&gt;timeHorizon, 0, MMULT(Y111:AG111*(1-$H112), OFFSET(D.rngTPM.Q_I.Root, ($G111-1)*9, 0)) + MMULT(Y111:AG111*$H112, OFFSET(D.rngTPM.Q_I.Root, ($G111-1)*9, 12)))</f>
        <v>0</v>
      </c>
      <c r="Z112" s="285">
        <f ca="1"/>
        <v>0</v>
      </c>
      <c r="AA112" s="285">
        <f ca="1"/>
        <v>0</v>
      </c>
      <c r="AB112" s="285">
        <f ca="1"/>
        <v>0</v>
      </c>
      <c r="AC112" s="285">
        <f ca="1"/>
        <v>0</v>
      </c>
      <c r="AD112" s="285">
        <f ca="1"/>
        <v>0</v>
      </c>
      <c r="AE112" s="285">
        <f ca="1"/>
        <v>0</v>
      </c>
      <c r="AF112" s="285">
        <f ca="1"/>
        <v>0</v>
      </c>
      <c r="AG112" s="285">
        <f ca="1"/>
        <v>0</v>
      </c>
      <c r="AH112" s="283" t="str">
        <f t="shared" si="57"/>
        <v/>
      </c>
      <c r="AI112" s="320">
        <f t="shared" ca="1" si="52"/>
        <v>1</v>
      </c>
      <c r="AJ112" s="320">
        <f t="shared" ca="1" si="53"/>
        <v>0</v>
      </c>
      <c r="AK112" s="320">
        <f t="shared" ca="1" si="54"/>
        <v>0</v>
      </c>
      <c r="AL112" s="418">
        <f t="shared" ca="1" si="45"/>
        <v>0</v>
      </c>
      <c r="AM112" s="418">
        <f ca="1">PRODUCT(Y111*(1-$H112), SUM(OFFSET(D.TPMs!$L$7:$M$7, ($G111-1)*9, 0), OFFSET(D.TPMs!$O$7:$P$7, ($G111-1)*9, 0)))
+PRODUCT(Y111*$H112,     SUM(OFFSET(D.TPMs!$L$7:$M$7, ($G111-1)*9, 12), OFFSET(D.TPMs!$O$7:$P$7, ($G111-1)*9, 12)))
+PRODUCT(AB111*(1-$H112), SUM(OFFSET(D.TPMs!$L$10:$M$10, ($G111-1)*9, 0), OFFSET(D.TPMs!$O$10:$P$10, ($G111-1)*9, 0)))
+PRODUCT(AB111*$H112,     SUM(OFFSET(D.TPMs!$L$10:$M$10, ($G111-1)*9, 12), OFFSET(D.TPMs!$O$10:$P$10, ($G111-1)*9, 12)))</f>
        <v>0</v>
      </c>
    </row>
    <row r="113" spans="4:39" ht="12" customHeight="1" x14ac:dyDescent="0.25">
      <c r="D113" s="62">
        <f t="shared" si="55"/>
        <v>103</v>
      </c>
      <c r="E113" s="63">
        <f t="shared" si="46"/>
        <v>25.75</v>
      </c>
      <c r="F113" s="63">
        <f t="shared" si="47"/>
        <v>90.75</v>
      </c>
      <c r="G113" s="301">
        <f>MATCH(F113, Parameters!$D$523:$D$524, 1)</f>
        <v>2</v>
      </c>
      <c r="H113" s="62">
        <f t="shared" si="48"/>
        <v>0</v>
      </c>
      <c r="I113" s="285">
        <f t="array" aca="1" ref="I113:Q113" ca="1">IF($E113&gt;timeHorizon, 0, MMULT(I112:Q112*(1-$H113), OFFSET(D.rngTPM.Q_I.Root, ($G112-1)*9, 0)) + MMULT(I112:Q112*$H113, OFFSET(D.rngTPM.Q_I.Root, ($G112-1)*9, 12)))</f>
        <v>0</v>
      </c>
      <c r="J113" s="285">
        <f ca="1"/>
        <v>0</v>
      </c>
      <c r="K113" s="285">
        <f ca="1"/>
        <v>0</v>
      </c>
      <c r="L113" s="285">
        <f ca="1"/>
        <v>0</v>
      </c>
      <c r="M113" s="285">
        <f ca="1"/>
        <v>0</v>
      </c>
      <c r="N113" s="285">
        <f ca="1"/>
        <v>0</v>
      </c>
      <c r="O113" s="285">
        <f ca="1"/>
        <v>0</v>
      </c>
      <c r="P113" s="285">
        <f ca="1"/>
        <v>0</v>
      </c>
      <c r="Q113" s="285">
        <f ca="1"/>
        <v>0</v>
      </c>
      <c r="R113" s="283" t="str">
        <f t="shared" si="56"/>
        <v/>
      </c>
      <c r="S113" s="418">
        <f t="shared" ca="1" si="49"/>
        <v>1</v>
      </c>
      <c r="T113" s="418">
        <f t="shared" ca="1" si="50"/>
        <v>0</v>
      </c>
      <c r="U113" s="418">
        <f t="shared" ca="1" si="51"/>
        <v>0</v>
      </c>
      <c r="V113" s="418">
        <f t="shared" ca="1" si="51"/>
        <v>0</v>
      </c>
      <c r="W113" s="418">
        <f ca="1">PRODUCT(I112*(1-$H113), SUM(OFFSET(D.TPMs!$L$7:$M$7, ($G112-1)*9, 0), OFFSET(D.TPMs!$O$7:$P$7, ($G112-1)*9, 0)))
+PRODUCT(I112*$H113,     SUM(OFFSET(D.TPMs!$L$7:$M$7, ($G112-1)*9, 12), OFFSET(D.TPMs!$O$7:$P$7, ($G112-1)*9, 12)))
+PRODUCT(L112*(1-$H113), SUM(OFFSET(D.TPMs!$L$10:$M$10, ($G112-1)*9, 0), OFFSET(D.TPMs!$O$10:$P$10, ($G112-1)*9, 0)))
+PRODUCT(L112*$H113,     SUM(OFFSET(D.TPMs!$L$10:$M$10, ($G112-1)*9, 12), OFFSET(D.TPMs!$O$10:$P$10, ($G112-1)*9, 12)))</f>
        <v>0</v>
      </c>
      <c r="Y113" s="285">
        <f t="array" aca="1" ref="Y113:AG113" ca="1">IF($E113&gt;timeHorizon, 0, MMULT(Y112:AG112*(1-$H113), OFFSET(D.rngTPM.Q_I.Root, ($G112-1)*9, 0)) + MMULT(Y112:AG112*$H113, OFFSET(D.rngTPM.Q_I.Root, ($G112-1)*9, 12)))</f>
        <v>0</v>
      </c>
      <c r="Z113" s="285">
        <f ca="1"/>
        <v>0</v>
      </c>
      <c r="AA113" s="285">
        <f ca="1"/>
        <v>0</v>
      </c>
      <c r="AB113" s="285">
        <f ca="1"/>
        <v>0</v>
      </c>
      <c r="AC113" s="285">
        <f ca="1"/>
        <v>0</v>
      </c>
      <c r="AD113" s="285">
        <f ca="1"/>
        <v>0</v>
      </c>
      <c r="AE113" s="285">
        <f ca="1"/>
        <v>0</v>
      </c>
      <c r="AF113" s="285">
        <f ca="1"/>
        <v>0</v>
      </c>
      <c r="AG113" s="285">
        <f ca="1"/>
        <v>0</v>
      </c>
      <c r="AH113" s="283" t="str">
        <f t="shared" si="57"/>
        <v/>
      </c>
      <c r="AI113" s="320">
        <f t="shared" ca="1" si="52"/>
        <v>1</v>
      </c>
      <c r="AJ113" s="320">
        <f t="shared" ca="1" si="53"/>
        <v>0</v>
      </c>
      <c r="AK113" s="320">
        <f t="shared" ca="1" si="54"/>
        <v>0</v>
      </c>
      <c r="AL113" s="418">
        <f t="shared" ca="1" si="45"/>
        <v>0</v>
      </c>
      <c r="AM113" s="418">
        <f ca="1">PRODUCT(Y112*(1-$H113), SUM(OFFSET(D.TPMs!$L$7:$M$7, ($G112-1)*9, 0), OFFSET(D.TPMs!$O$7:$P$7, ($G112-1)*9, 0)))
+PRODUCT(Y112*$H113,     SUM(OFFSET(D.TPMs!$L$7:$M$7, ($G112-1)*9, 12), OFFSET(D.TPMs!$O$7:$P$7, ($G112-1)*9, 12)))
+PRODUCT(AB112*(1-$H113), SUM(OFFSET(D.TPMs!$L$10:$M$10, ($G112-1)*9, 0), OFFSET(D.TPMs!$O$10:$P$10, ($G112-1)*9, 0)))
+PRODUCT(AB112*$H113,     SUM(OFFSET(D.TPMs!$L$10:$M$10, ($G112-1)*9, 12), OFFSET(D.TPMs!$O$10:$P$10, ($G112-1)*9, 12)))</f>
        <v>0</v>
      </c>
    </row>
    <row r="114" spans="4:39" ht="12" customHeight="1" x14ac:dyDescent="0.25">
      <c r="D114" s="62">
        <f t="shared" si="55"/>
        <v>104</v>
      </c>
      <c r="E114" s="63">
        <f t="shared" si="46"/>
        <v>26</v>
      </c>
      <c r="F114" s="63">
        <f t="shared" si="47"/>
        <v>91</v>
      </c>
      <c r="G114" s="301">
        <f>MATCH(F114, Parameters!$D$523:$D$524, 1)</f>
        <v>2</v>
      </c>
      <c r="H114" s="62">
        <f t="shared" si="48"/>
        <v>0</v>
      </c>
      <c r="I114" s="285">
        <f t="array" aca="1" ref="I114:Q114" ca="1">IF($E114&gt;timeHorizon, 0, MMULT(I113:Q113*(1-$H114), OFFSET(D.rngTPM.Q_I.Root, ($G113-1)*9, 0)) + MMULT(I113:Q113*$H114, OFFSET(D.rngTPM.Q_I.Root, ($G113-1)*9, 12)))</f>
        <v>0</v>
      </c>
      <c r="J114" s="285">
        <f ca="1"/>
        <v>0</v>
      </c>
      <c r="K114" s="285">
        <f ca="1"/>
        <v>0</v>
      </c>
      <c r="L114" s="285">
        <f ca="1"/>
        <v>0</v>
      </c>
      <c r="M114" s="285">
        <f ca="1"/>
        <v>0</v>
      </c>
      <c r="N114" s="285">
        <f ca="1"/>
        <v>0</v>
      </c>
      <c r="O114" s="285">
        <f ca="1"/>
        <v>0</v>
      </c>
      <c r="P114" s="285">
        <f ca="1"/>
        <v>0</v>
      </c>
      <c r="Q114" s="285">
        <f ca="1"/>
        <v>0</v>
      </c>
      <c r="R114" s="283" t="str">
        <f t="shared" si="56"/>
        <v/>
      </c>
      <c r="S114" s="418">
        <f t="shared" ca="1" si="49"/>
        <v>1</v>
      </c>
      <c r="T114" s="418">
        <f t="shared" ca="1" si="50"/>
        <v>0</v>
      </c>
      <c r="U114" s="418">
        <f t="shared" ca="1" si="51"/>
        <v>0</v>
      </c>
      <c r="V114" s="418">
        <f t="shared" ca="1" si="51"/>
        <v>0</v>
      </c>
      <c r="W114" s="418">
        <f ca="1">PRODUCT(I113*(1-$H114), SUM(OFFSET(D.TPMs!$L$7:$M$7, ($G113-1)*9, 0), OFFSET(D.TPMs!$O$7:$P$7, ($G113-1)*9, 0)))
+PRODUCT(I113*$H114,     SUM(OFFSET(D.TPMs!$L$7:$M$7, ($G113-1)*9, 12), OFFSET(D.TPMs!$O$7:$P$7, ($G113-1)*9, 12)))
+PRODUCT(L113*(1-$H114), SUM(OFFSET(D.TPMs!$L$10:$M$10, ($G113-1)*9, 0), OFFSET(D.TPMs!$O$10:$P$10, ($G113-1)*9, 0)))
+PRODUCT(L113*$H114,     SUM(OFFSET(D.TPMs!$L$10:$M$10, ($G113-1)*9, 12), OFFSET(D.TPMs!$O$10:$P$10, ($G113-1)*9, 12)))</f>
        <v>0</v>
      </c>
      <c r="Y114" s="285">
        <f t="array" aca="1" ref="Y114:AG114" ca="1">IF($E114&gt;timeHorizon, 0, MMULT(Y113:AG113*(1-$H114), OFFSET(D.rngTPM.Q_I.Root, ($G113-1)*9, 0)) + MMULT(Y113:AG113*$H114, OFFSET(D.rngTPM.Q_I.Root, ($G113-1)*9, 12)))</f>
        <v>0</v>
      </c>
      <c r="Z114" s="285">
        <f ca="1"/>
        <v>0</v>
      </c>
      <c r="AA114" s="285">
        <f ca="1"/>
        <v>0</v>
      </c>
      <c r="AB114" s="285">
        <f ca="1"/>
        <v>0</v>
      </c>
      <c r="AC114" s="285">
        <f ca="1"/>
        <v>0</v>
      </c>
      <c r="AD114" s="285">
        <f ca="1"/>
        <v>0</v>
      </c>
      <c r="AE114" s="285">
        <f ca="1"/>
        <v>0</v>
      </c>
      <c r="AF114" s="285">
        <f ca="1"/>
        <v>0</v>
      </c>
      <c r="AG114" s="285">
        <f ca="1"/>
        <v>0</v>
      </c>
      <c r="AH114" s="283" t="str">
        <f t="shared" si="57"/>
        <v/>
      </c>
      <c r="AI114" s="320">
        <f t="shared" ca="1" si="52"/>
        <v>1</v>
      </c>
      <c r="AJ114" s="320">
        <f t="shared" ca="1" si="53"/>
        <v>0</v>
      </c>
      <c r="AK114" s="320">
        <f t="shared" ca="1" si="54"/>
        <v>0</v>
      </c>
      <c r="AL114" s="418">
        <f t="shared" ca="1" si="45"/>
        <v>0</v>
      </c>
      <c r="AM114" s="418">
        <f ca="1">PRODUCT(Y113*(1-$H114), SUM(OFFSET(D.TPMs!$L$7:$M$7, ($G113-1)*9, 0), OFFSET(D.TPMs!$O$7:$P$7, ($G113-1)*9, 0)))
+PRODUCT(Y113*$H114,     SUM(OFFSET(D.TPMs!$L$7:$M$7, ($G113-1)*9, 12), OFFSET(D.TPMs!$O$7:$P$7, ($G113-1)*9, 12)))
+PRODUCT(AB113*(1-$H114), SUM(OFFSET(D.TPMs!$L$10:$M$10, ($G113-1)*9, 0), OFFSET(D.TPMs!$O$10:$P$10, ($G113-1)*9, 0)))
+PRODUCT(AB113*$H114,     SUM(OFFSET(D.TPMs!$L$10:$M$10, ($G113-1)*9, 12), OFFSET(D.TPMs!$O$10:$P$10, ($G113-1)*9, 12)))</f>
        <v>0</v>
      </c>
    </row>
    <row r="115" spans="4:39" ht="12" customHeight="1" x14ac:dyDescent="0.25">
      <c r="D115" s="62">
        <f t="shared" si="55"/>
        <v>105</v>
      </c>
      <c r="E115" s="63">
        <f t="shared" si="46"/>
        <v>26.25</v>
      </c>
      <c r="F115" s="63">
        <f t="shared" si="47"/>
        <v>91.25</v>
      </c>
      <c r="G115" s="301">
        <f>MATCH(F115, Parameters!$D$523:$D$524, 1)</f>
        <v>2</v>
      </c>
      <c r="H115" s="62">
        <f t="shared" si="48"/>
        <v>0</v>
      </c>
      <c r="I115" s="285">
        <f t="array" aca="1" ref="I115:Q115" ca="1">IF($E115&gt;timeHorizon, 0, MMULT(I114:Q114*(1-$H115), OFFSET(D.rngTPM.Q_I.Root, ($G114-1)*9, 0)) + MMULT(I114:Q114*$H115, OFFSET(D.rngTPM.Q_I.Root, ($G114-1)*9, 12)))</f>
        <v>0</v>
      </c>
      <c r="J115" s="285">
        <f ca="1"/>
        <v>0</v>
      </c>
      <c r="K115" s="285">
        <f ca="1"/>
        <v>0</v>
      </c>
      <c r="L115" s="285">
        <f ca="1"/>
        <v>0</v>
      </c>
      <c r="M115" s="285">
        <f ca="1"/>
        <v>0</v>
      </c>
      <c r="N115" s="285">
        <f ca="1"/>
        <v>0</v>
      </c>
      <c r="O115" s="285">
        <f ca="1"/>
        <v>0</v>
      </c>
      <c r="P115" s="285">
        <f ca="1"/>
        <v>0</v>
      </c>
      <c r="Q115" s="285">
        <f ca="1"/>
        <v>0</v>
      </c>
      <c r="R115" s="283" t="str">
        <f t="shared" si="56"/>
        <v/>
      </c>
      <c r="S115" s="418">
        <f t="shared" ca="1" si="49"/>
        <v>1</v>
      </c>
      <c r="T115" s="418">
        <f t="shared" ca="1" si="50"/>
        <v>0</v>
      </c>
      <c r="U115" s="418">
        <f t="shared" ca="1" si="51"/>
        <v>0</v>
      </c>
      <c r="V115" s="418">
        <f t="shared" ca="1" si="51"/>
        <v>0</v>
      </c>
      <c r="W115" s="418">
        <f ca="1">PRODUCT(I114*(1-$H115), SUM(OFFSET(D.TPMs!$L$7:$M$7, ($G114-1)*9, 0), OFFSET(D.TPMs!$O$7:$P$7, ($G114-1)*9, 0)))
+PRODUCT(I114*$H115,     SUM(OFFSET(D.TPMs!$L$7:$M$7, ($G114-1)*9, 12), OFFSET(D.TPMs!$O$7:$P$7, ($G114-1)*9, 12)))
+PRODUCT(L114*(1-$H115), SUM(OFFSET(D.TPMs!$L$10:$M$10, ($G114-1)*9, 0), OFFSET(D.TPMs!$O$10:$P$10, ($G114-1)*9, 0)))
+PRODUCT(L114*$H115,     SUM(OFFSET(D.TPMs!$L$10:$M$10, ($G114-1)*9, 12), OFFSET(D.TPMs!$O$10:$P$10, ($G114-1)*9, 12)))</f>
        <v>0</v>
      </c>
      <c r="Y115" s="285">
        <f t="array" aca="1" ref="Y115:AG115" ca="1">IF($E115&gt;timeHorizon, 0, MMULT(Y114:AG114*(1-$H115), OFFSET(D.rngTPM.Q_I.Root, ($G114-1)*9, 0)) + MMULT(Y114:AG114*$H115, OFFSET(D.rngTPM.Q_I.Root, ($G114-1)*9, 12)))</f>
        <v>0</v>
      </c>
      <c r="Z115" s="285">
        <f ca="1"/>
        <v>0</v>
      </c>
      <c r="AA115" s="285">
        <f ca="1"/>
        <v>0</v>
      </c>
      <c r="AB115" s="285">
        <f ca="1"/>
        <v>0</v>
      </c>
      <c r="AC115" s="285">
        <f ca="1"/>
        <v>0</v>
      </c>
      <c r="AD115" s="285">
        <f ca="1"/>
        <v>0</v>
      </c>
      <c r="AE115" s="285">
        <f ca="1"/>
        <v>0</v>
      </c>
      <c r="AF115" s="285">
        <f ca="1"/>
        <v>0</v>
      </c>
      <c r="AG115" s="285">
        <f ca="1"/>
        <v>0</v>
      </c>
      <c r="AH115" s="283" t="str">
        <f t="shared" si="57"/>
        <v/>
      </c>
      <c r="AI115" s="320">
        <f t="shared" ca="1" si="52"/>
        <v>1</v>
      </c>
      <c r="AJ115" s="320">
        <f t="shared" ca="1" si="53"/>
        <v>0</v>
      </c>
      <c r="AK115" s="320">
        <f t="shared" ca="1" si="54"/>
        <v>0</v>
      </c>
      <c r="AL115" s="418">
        <f t="shared" ca="1" si="45"/>
        <v>0</v>
      </c>
      <c r="AM115" s="418">
        <f ca="1">PRODUCT(Y114*(1-$H115), SUM(OFFSET(D.TPMs!$L$7:$M$7, ($G114-1)*9, 0), OFFSET(D.TPMs!$O$7:$P$7, ($G114-1)*9, 0)))
+PRODUCT(Y114*$H115,     SUM(OFFSET(D.TPMs!$L$7:$M$7, ($G114-1)*9, 12), OFFSET(D.TPMs!$O$7:$P$7, ($G114-1)*9, 12)))
+PRODUCT(AB114*(1-$H115), SUM(OFFSET(D.TPMs!$L$10:$M$10, ($G114-1)*9, 0), OFFSET(D.TPMs!$O$10:$P$10, ($G114-1)*9, 0)))
+PRODUCT(AB114*$H115,     SUM(OFFSET(D.TPMs!$L$10:$M$10, ($G114-1)*9, 12), OFFSET(D.TPMs!$O$10:$P$10, ($G114-1)*9, 12)))</f>
        <v>0</v>
      </c>
    </row>
    <row r="116" spans="4:39" ht="12" customHeight="1" x14ac:dyDescent="0.25">
      <c r="D116" s="62">
        <f t="shared" si="55"/>
        <v>106</v>
      </c>
      <c r="E116" s="63">
        <f t="shared" si="46"/>
        <v>26.5</v>
      </c>
      <c r="F116" s="63">
        <f t="shared" si="47"/>
        <v>91.5</v>
      </c>
      <c r="G116" s="301">
        <f>MATCH(F116, Parameters!$D$523:$D$524, 1)</f>
        <v>2</v>
      </c>
      <c r="H116" s="62">
        <f t="shared" si="48"/>
        <v>0</v>
      </c>
      <c r="I116" s="285">
        <f t="array" aca="1" ref="I116:Q116" ca="1">IF($E116&gt;timeHorizon, 0, MMULT(I115:Q115*(1-$H116), OFFSET(D.rngTPM.Q_I.Root, ($G115-1)*9, 0)) + MMULT(I115:Q115*$H116, OFFSET(D.rngTPM.Q_I.Root, ($G115-1)*9, 12)))</f>
        <v>0</v>
      </c>
      <c r="J116" s="285">
        <f ca="1"/>
        <v>0</v>
      </c>
      <c r="K116" s="285">
        <f ca="1"/>
        <v>0</v>
      </c>
      <c r="L116" s="285">
        <f ca="1"/>
        <v>0</v>
      </c>
      <c r="M116" s="285">
        <f ca="1"/>
        <v>0</v>
      </c>
      <c r="N116" s="285">
        <f ca="1"/>
        <v>0</v>
      </c>
      <c r="O116" s="285">
        <f ca="1"/>
        <v>0</v>
      </c>
      <c r="P116" s="285">
        <f ca="1"/>
        <v>0</v>
      </c>
      <c r="Q116" s="285">
        <f ca="1"/>
        <v>0</v>
      </c>
      <c r="R116" s="283" t="str">
        <f t="shared" si="56"/>
        <v/>
      </c>
      <c r="S116" s="418">
        <f t="shared" ca="1" si="49"/>
        <v>1</v>
      </c>
      <c r="T116" s="418">
        <f t="shared" ca="1" si="50"/>
        <v>0</v>
      </c>
      <c r="U116" s="418">
        <f t="shared" ca="1" si="51"/>
        <v>0</v>
      </c>
      <c r="V116" s="418">
        <f t="shared" ca="1" si="51"/>
        <v>0</v>
      </c>
      <c r="W116" s="418">
        <f ca="1">PRODUCT(I115*(1-$H116), SUM(OFFSET(D.TPMs!$L$7:$M$7, ($G115-1)*9, 0), OFFSET(D.TPMs!$O$7:$P$7, ($G115-1)*9, 0)))
+PRODUCT(I115*$H116,     SUM(OFFSET(D.TPMs!$L$7:$M$7, ($G115-1)*9, 12), OFFSET(D.TPMs!$O$7:$P$7, ($G115-1)*9, 12)))
+PRODUCT(L115*(1-$H116), SUM(OFFSET(D.TPMs!$L$10:$M$10, ($G115-1)*9, 0), OFFSET(D.TPMs!$O$10:$P$10, ($G115-1)*9, 0)))
+PRODUCT(L115*$H116,     SUM(OFFSET(D.TPMs!$L$10:$M$10, ($G115-1)*9, 12), OFFSET(D.TPMs!$O$10:$P$10, ($G115-1)*9, 12)))</f>
        <v>0</v>
      </c>
      <c r="Y116" s="285">
        <f t="array" aca="1" ref="Y116:AG116" ca="1">IF($E116&gt;timeHorizon, 0, MMULT(Y115:AG115*(1-$H116), OFFSET(D.rngTPM.Q_I.Root, ($G115-1)*9, 0)) + MMULT(Y115:AG115*$H116, OFFSET(D.rngTPM.Q_I.Root, ($G115-1)*9, 12)))</f>
        <v>0</v>
      </c>
      <c r="Z116" s="285">
        <f ca="1"/>
        <v>0</v>
      </c>
      <c r="AA116" s="285">
        <f ca="1"/>
        <v>0</v>
      </c>
      <c r="AB116" s="285">
        <f ca="1"/>
        <v>0</v>
      </c>
      <c r="AC116" s="285">
        <f ca="1"/>
        <v>0</v>
      </c>
      <c r="AD116" s="285">
        <f ca="1"/>
        <v>0</v>
      </c>
      <c r="AE116" s="285">
        <f ca="1"/>
        <v>0</v>
      </c>
      <c r="AF116" s="285">
        <f ca="1"/>
        <v>0</v>
      </c>
      <c r="AG116" s="285">
        <f ca="1"/>
        <v>0</v>
      </c>
      <c r="AH116" s="283" t="str">
        <f t="shared" si="57"/>
        <v/>
      </c>
      <c r="AI116" s="320">
        <f t="shared" ca="1" si="52"/>
        <v>1</v>
      </c>
      <c r="AJ116" s="320">
        <f t="shared" ca="1" si="53"/>
        <v>0</v>
      </c>
      <c r="AK116" s="320">
        <f t="shared" ca="1" si="54"/>
        <v>0</v>
      </c>
      <c r="AL116" s="418">
        <f t="shared" ca="1" si="45"/>
        <v>0</v>
      </c>
      <c r="AM116" s="418">
        <f ca="1">PRODUCT(Y115*(1-$H116), SUM(OFFSET(D.TPMs!$L$7:$M$7, ($G115-1)*9, 0), OFFSET(D.TPMs!$O$7:$P$7, ($G115-1)*9, 0)))
+PRODUCT(Y115*$H116,     SUM(OFFSET(D.TPMs!$L$7:$M$7, ($G115-1)*9, 12), OFFSET(D.TPMs!$O$7:$P$7, ($G115-1)*9, 12)))
+PRODUCT(AB115*(1-$H116), SUM(OFFSET(D.TPMs!$L$10:$M$10, ($G115-1)*9, 0), OFFSET(D.TPMs!$O$10:$P$10, ($G115-1)*9, 0)))
+PRODUCT(AB115*$H116,     SUM(OFFSET(D.TPMs!$L$10:$M$10, ($G115-1)*9, 12), OFFSET(D.TPMs!$O$10:$P$10, ($G115-1)*9, 12)))</f>
        <v>0</v>
      </c>
    </row>
    <row r="117" spans="4:39" ht="12" customHeight="1" x14ac:dyDescent="0.25">
      <c r="D117" s="62">
        <f t="shared" si="55"/>
        <v>107</v>
      </c>
      <c r="E117" s="63">
        <f t="shared" si="46"/>
        <v>26.75</v>
      </c>
      <c r="F117" s="63">
        <f t="shared" si="47"/>
        <v>91.75</v>
      </c>
      <c r="G117" s="301">
        <f>MATCH(F117, Parameters!$D$523:$D$524, 1)</f>
        <v>2</v>
      </c>
      <c r="H117" s="62">
        <f t="shared" si="48"/>
        <v>0</v>
      </c>
      <c r="I117" s="285">
        <f t="array" aca="1" ref="I117:Q117" ca="1">IF($E117&gt;timeHorizon, 0, MMULT(I116:Q116*(1-$H117), OFFSET(D.rngTPM.Q_I.Root, ($G116-1)*9, 0)) + MMULT(I116:Q116*$H117, OFFSET(D.rngTPM.Q_I.Root, ($G116-1)*9, 12)))</f>
        <v>0</v>
      </c>
      <c r="J117" s="285">
        <f ca="1"/>
        <v>0</v>
      </c>
      <c r="K117" s="285">
        <f ca="1"/>
        <v>0</v>
      </c>
      <c r="L117" s="285">
        <f ca="1"/>
        <v>0</v>
      </c>
      <c r="M117" s="285">
        <f ca="1"/>
        <v>0</v>
      </c>
      <c r="N117" s="285">
        <f ca="1"/>
        <v>0</v>
      </c>
      <c r="O117" s="285">
        <f ca="1"/>
        <v>0</v>
      </c>
      <c r="P117" s="285">
        <f ca="1"/>
        <v>0</v>
      </c>
      <c r="Q117" s="285">
        <f ca="1"/>
        <v>0</v>
      </c>
      <c r="R117" s="283" t="str">
        <f t="shared" si="56"/>
        <v/>
      </c>
      <c r="S117" s="418">
        <f t="shared" ca="1" si="49"/>
        <v>1</v>
      </c>
      <c r="T117" s="418">
        <f t="shared" ca="1" si="50"/>
        <v>0</v>
      </c>
      <c r="U117" s="418">
        <f t="shared" ca="1" si="51"/>
        <v>0</v>
      </c>
      <c r="V117" s="418">
        <f t="shared" ca="1" si="51"/>
        <v>0</v>
      </c>
      <c r="W117" s="418">
        <f ca="1">PRODUCT(I116*(1-$H117), SUM(OFFSET(D.TPMs!$L$7:$M$7, ($G116-1)*9, 0), OFFSET(D.TPMs!$O$7:$P$7, ($G116-1)*9, 0)))
+PRODUCT(I116*$H117,     SUM(OFFSET(D.TPMs!$L$7:$M$7, ($G116-1)*9, 12), OFFSET(D.TPMs!$O$7:$P$7, ($G116-1)*9, 12)))
+PRODUCT(L116*(1-$H117), SUM(OFFSET(D.TPMs!$L$10:$M$10, ($G116-1)*9, 0), OFFSET(D.TPMs!$O$10:$P$10, ($G116-1)*9, 0)))
+PRODUCT(L116*$H117,     SUM(OFFSET(D.TPMs!$L$10:$M$10, ($G116-1)*9, 12), OFFSET(D.TPMs!$O$10:$P$10, ($G116-1)*9, 12)))</f>
        <v>0</v>
      </c>
      <c r="Y117" s="285">
        <f t="array" aca="1" ref="Y117:AG117" ca="1">IF($E117&gt;timeHorizon, 0, MMULT(Y116:AG116*(1-$H117), OFFSET(D.rngTPM.Q_I.Root, ($G116-1)*9, 0)) + MMULT(Y116:AG116*$H117, OFFSET(D.rngTPM.Q_I.Root, ($G116-1)*9, 12)))</f>
        <v>0</v>
      </c>
      <c r="Z117" s="285">
        <f ca="1"/>
        <v>0</v>
      </c>
      <c r="AA117" s="285">
        <f ca="1"/>
        <v>0</v>
      </c>
      <c r="AB117" s="285">
        <f ca="1"/>
        <v>0</v>
      </c>
      <c r="AC117" s="285">
        <f ca="1"/>
        <v>0</v>
      </c>
      <c r="AD117" s="285">
        <f ca="1"/>
        <v>0</v>
      </c>
      <c r="AE117" s="285">
        <f ca="1"/>
        <v>0</v>
      </c>
      <c r="AF117" s="285">
        <f ca="1"/>
        <v>0</v>
      </c>
      <c r="AG117" s="285">
        <f ca="1"/>
        <v>0</v>
      </c>
      <c r="AH117" s="283" t="str">
        <f t="shared" si="57"/>
        <v/>
      </c>
      <c r="AI117" s="320">
        <f t="shared" ca="1" si="52"/>
        <v>1</v>
      </c>
      <c r="AJ117" s="320">
        <f t="shared" ca="1" si="53"/>
        <v>0</v>
      </c>
      <c r="AK117" s="320">
        <f t="shared" ca="1" si="54"/>
        <v>0</v>
      </c>
      <c r="AL117" s="418">
        <f t="shared" ca="1" si="45"/>
        <v>0</v>
      </c>
      <c r="AM117" s="418">
        <f ca="1">PRODUCT(Y116*(1-$H117), SUM(OFFSET(D.TPMs!$L$7:$M$7, ($G116-1)*9, 0), OFFSET(D.TPMs!$O$7:$P$7, ($G116-1)*9, 0)))
+PRODUCT(Y116*$H117,     SUM(OFFSET(D.TPMs!$L$7:$M$7, ($G116-1)*9, 12), OFFSET(D.TPMs!$O$7:$P$7, ($G116-1)*9, 12)))
+PRODUCT(AB116*(1-$H117), SUM(OFFSET(D.TPMs!$L$10:$M$10, ($G116-1)*9, 0), OFFSET(D.TPMs!$O$10:$P$10, ($G116-1)*9, 0)))
+PRODUCT(AB116*$H117,     SUM(OFFSET(D.TPMs!$L$10:$M$10, ($G116-1)*9, 12), OFFSET(D.TPMs!$O$10:$P$10, ($G116-1)*9, 12)))</f>
        <v>0</v>
      </c>
    </row>
    <row r="118" spans="4:39" ht="12" customHeight="1" x14ac:dyDescent="0.25">
      <c r="D118" s="62">
        <f t="shared" si="55"/>
        <v>108</v>
      </c>
      <c r="E118" s="63">
        <f t="shared" si="46"/>
        <v>27</v>
      </c>
      <c r="F118" s="63">
        <f t="shared" si="47"/>
        <v>92</v>
      </c>
      <c r="G118" s="301">
        <f>MATCH(F118, Parameters!$D$523:$D$524, 1)</f>
        <v>2</v>
      </c>
      <c r="H118" s="62">
        <f t="shared" si="48"/>
        <v>0</v>
      </c>
      <c r="I118" s="285">
        <f t="array" aca="1" ref="I118:Q118" ca="1">IF($E118&gt;timeHorizon, 0, MMULT(I117:Q117*(1-$H118), OFFSET(D.rngTPM.Q_I.Root, ($G117-1)*9, 0)) + MMULT(I117:Q117*$H118, OFFSET(D.rngTPM.Q_I.Root, ($G117-1)*9, 12)))</f>
        <v>0</v>
      </c>
      <c r="J118" s="285">
        <f ca="1"/>
        <v>0</v>
      </c>
      <c r="K118" s="285">
        <f ca="1"/>
        <v>0</v>
      </c>
      <c r="L118" s="285">
        <f ca="1"/>
        <v>0</v>
      </c>
      <c r="M118" s="285">
        <f ca="1"/>
        <v>0</v>
      </c>
      <c r="N118" s="285">
        <f ca="1"/>
        <v>0</v>
      </c>
      <c r="O118" s="285">
        <f ca="1"/>
        <v>0</v>
      </c>
      <c r="P118" s="285">
        <f ca="1"/>
        <v>0</v>
      </c>
      <c r="Q118" s="285">
        <f ca="1"/>
        <v>0</v>
      </c>
      <c r="R118" s="283" t="str">
        <f t="shared" si="56"/>
        <v/>
      </c>
      <c r="S118" s="418">
        <f t="shared" ca="1" si="49"/>
        <v>1</v>
      </c>
      <c r="T118" s="418">
        <f t="shared" ca="1" si="50"/>
        <v>0</v>
      </c>
      <c r="U118" s="418">
        <f t="shared" ca="1" si="51"/>
        <v>0</v>
      </c>
      <c r="V118" s="418">
        <f t="shared" ca="1" si="51"/>
        <v>0</v>
      </c>
      <c r="W118" s="418">
        <f ca="1">PRODUCT(I117*(1-$H118), SUM(OFFSET(D.TPMs!$L$7:$M$7, ($G117-1)*9, 0), OFFSET(D.TPMs!$O$7:$P$7, ($G117-1)*9, 0)))
+PRODUCT(I117*$H118,     SUM(OFFSET(D.TPMs!$L$7:$M$7, ($G117-1)*9, 12), OFFSET(D.TPMs!$O$7:$P$7, ($G117-1)*9, 12)))
+PRODUCT(L117*(1-$H118), SUM(OFFSET(D.TPMs!$L$10:$M$10, ($G117-1)*9, 0), OFFSET(D.TPMs!$O$10:$P$10, ($G117-1)*9, 0)))
+PRODUCT(L117*$H118,     SUM(OFFSET(D.TPMs!$L$10:$M$10, ($G117-1)*9, 12), OFFSET(D.TPMs!$O$10:$P$10, ($G117-1)*9, 12)))</f>
        <v>0</v>
      </c>
      <c r="Y118" s="285">
        <f t="array" aca="1" ref="Y118:AG118" ca="1">IF($E118&gt;timeHorizon, 0, MMULT(Y117:AG117*(1-$H118), OFFSET(D.rngTPM.Q_I.Root, ($G117-1)*9, 0)) + MMULT(Y117:AG117*$H118, OFFSET(D.rngTPM.Q_I.Root, ($G117-1)*9, 12)))</f>
        <v>0</v>
      </c>
      <c r="Z118" s="285">
        <f ca="1"/>
        <v>0</v>
      </c>
      <c r="AA118" s="285">
        <f ca="1"/>
        <v>0</v>
      </c>
      <c r="AB118" s="285">
        <f ca="1"/>
        <v>0</v>
      </c>
      <c r="AC118" s="285">
        <f ca="1"/>
        <v>0</v>
      </c>
      <c r="AD118" s="285">
        <f ca="1"/>
        <v>0</v>
      </c>
      <c r="AE118" s="285">
        <f ca="1"/>
        <v>0</v>
      </c>
      <c r="AF118" s="285">
        <f ca="1"/>
        <v>0</v>
      </c>
      <c r="AG118" s="285">
        <f ca="1"/>
        <v>0</v>
      </c>
      <c r="AH118" s="283" t="str">
        <f t="shared" si="57"/>
        <v/>
      </c>
      <c r="AI118" s="320">
        <f t="shared" ca="1" si="52"/>
        <v>1</v>
      </c>
      <c r="AJ118" s="320">
        <f t="shared" ca="1" si="53"/>
        <v>0</v>
      </c>
      <c r="AK118" s="320">
        <f t="shared" ca="1" si="54"/>
        <v>0</v>
      </c>
      <c r="AL118" s="418">
        <f t="shared" ca="1" si="45"/>
        <v>0</v>
      </c>
      <c r="AM118" s="418">
        <f ca="1">PRODUCT(Y117*(1-$H118), SUM(OFFSET(D.TPMs!$L$7:$M$7, ($G117-1)*9, 0), OFFSET(D.TPMs!$O$7:$P$7, ($G117-1)*9, 0)))
+PRODUCT(Y117*$H118,     SUM(OFFSET(D.TPMs!$L$7:$M$7, ($G117-1)*9, 12), OFFSET(D.TPMs!$O$7:$P$7, ($G117-1)*9, 12)))
+PRODUCT(AB117*(1-$H118), SUM(OFFSET(D.TPMs!$L$10:$M$10, ($G117-1)*9, 0), OFFSET(D.TPMs!$O$10:$P$10, ($G117-1)*9, 0)))
+PRODUCT(AB117*$H118,     SUM(OFFSET(D.TPMs!$L$10:$M$10, ($G117-1)*9, 12), OFFSET(D.TPMs!$O$10:$P$10, ($G117-1)*9, 12)))</f>
        <v>0</v>
      </c>
    </row>
    <row r="119" spans="4:39" ht="12" customHeight="1" x14ac:dyDescent="0.25">
      <c r="D119" s="62">
        <f t="shared" si="55"/>
        <v>109</v>
      </c>
      <c r="E119" s="63">
        <f t="shared" si="46"/>
        <v>27.25</v>
      </c>
      <c r="F119" s="63">
        <f t="shared" si="47"/>
        <v>92.25</v>
      </c>
      <c r="G119" s="301">
        <f>MATCH(F119, Parameters!$D$523:$D$524, 1)</f>
        <v>2</v>
      </c>
      <c r="H119" s="62">
        <f t="shared" si="48"/>
        <v>0</v>
      </c>
      <c r="I119" s="285">
        <f t="array" aca="1" ref="I119:Q119" ca="1">IF($E119&gt;timeHorizon, 0, MMULT(I118:Q118*(1-$H119), OFFSET(D.rngTPM.Q_I.Root, ($G118-1)*9, 0)) + MMULT(I118:Q118*$H119, OFFSET(D.rngTPM.Q_I.Root, ($G118-1)*9, 12)))</f>
        <v>0</v>
      </c>
      <c r="J119" s="285">
        <f ca="1"/>
        <v>0</v>
      </c>
      <c r="K119" s="285">
        <f ca="1"/>
        <v>0</v>
      </c>
      <c r="L119" s="285">
        <f ca="1"/>
        <v>0</v>
      </c>
      <c r="M119" s="285">
        <f ca="1"/>
        <v>0</v>
      </c>
      <c r="N119" s="285">
        <f ca="1"/>
        <v>0</v>
      </c>
      <c r="O119" s="285">
        <f ca="1"/>
        <v>0</v>
      </c>
      <c r="P119" s="285">
        <f ca="1"/>
        <v>0</v>
      </c>
      <c r="Q119" s="285">
        <f ca="1"/>
        <v>0</v>
      </c>
      <c r="R119" s="283" t="str">
        <f t="shared" si="56"/>
        <v/>
      </c>
      <c r="S119" s="418">
        <f t="shared" ca="1" si="49"/>
        <v>1</v>
      </c>
      <c r="T119" s="418">
        <f t="shared" ca="1" si="50"/>
        <v>0</v>
      </c>
      <c r="U119" s="418">
        <f t="shared" ca="1" si="51"/>
        <v>0</v>
      </c>
      <c r="V119" s="418">
        <f t="shared" ca="1" si="51"/>
        <v>0</v>
      </c>
      <c r="W119" s="418">
        <f ca="1">PRODUCT(I118*(1-$H119), SUM(OFFSET(D.TPMs!$L$7:$M$7, ($G118-1)*9, 0), OFFSET(D.TPMs!$O$7:$P$7, ($G118-1)*9, 0)))
+PRODUCT(I118*$H119,     SUM(OFFSET(D.TPMs!$L$7:$M$7, ($G118-1)*9, 12), OFFSET(D.TPMs!$O$7:$P$7, ($G118-1)*9, 12)))
+PRODUCT(L118*(1-$H119), SUM(OFFSET(D.TPMs!$L$10:$M$10, ($G118-1)*9, 0), OFFSET(D.TPMs!$O$10:$P$10, ($G118-1)*9, 0)))
+PRODUCT(L118*$H119,     SUM(OFFSET(D.TPMs!$L$10:$M$10, ($G118-1)*9, 12), OFFSET(D.TPMs!$O$10:$P$10, ($G118-1)*9, 12)))</f>
        <v>0</v>
      </c>
      <c r="Y119" s="285">
        <f t="array" aca="1" ref="Y119:AG119" ca="1">IF($E119&gt;timeHorizon, 0, MMULT(Y118:AG118*(1-$H119), OFFSET(D.rngTPM.Q_I.Root, ($G118-1)*9, 0)) + MMULT(Y118:AG118*$H119, OFFSET(D.rngTPM.Q_I.Root, ($G118-1)*9, 12)))</f>
        <v>0</v>
      </c>
      <c r="Z119" s="285">
        <f ca="1"/>
        <v>0</v>
      </c>
      <c r="AA119" s="285">
        <f ca="1"/>
        <v>0</v>
      </c>
      <c r="AB119" s="285">
        <f ca="1"/>
        <v>0</v>
      </c>
      <c r="AC119" s="285">
        <f ca="1"/>
        <v>0</v>
      </c>
      <c r="AD119" s="285">
        <f ca="1"/>
        <v>0</v>
      </c>
      <c r="AE119" s="285">
        <f ca="1"/>
        <v>0</v>
      </c>
      <c r="AF119" s="285">
        <f ca="1"/>
        <v>0</v>
      </c>
      <c r="AG119" s="285">
        <f ca="1"/>
        <v>0</v>
      </c>
      <c r="AH119" s="283" t="str">
        <f t="shared" si="57"/>
        <v/>
      </c>
      <c r="AI119" s="320">
        <f t="shared" ca="1" si="52"/>
        <v>1</v>
      </c>
      <c r="AJ119" s="320">
        <f t="shared" ca="1" si="53"/>
        <v>0</v>
      </c>
      <c r="AK119" s="320">
        <f t="shared" ca="1" si="54"/>
        <v>0</v>
      </c>
      <c r="AL119" s="418">
        <f t="shared" ca="1" si="45"/>
        <v>0</v>
      </c>
      <c r="AM119" s="418">
        <f ca="1">PRODUCT(Y118*(1-$H119), SUM(OFFSET(D.TPMs!$L$7:$M$7, ($G118-1)*9, 0), OFFSET(D.TPMs!$O$7:$P$7, ($G118-1)*9, 0)))
+PRODUCT(Y118*$H119,     SUM(OFFSET(D.TPMs!$L$7:$M$7, ($G118-1)*9, 12), OFFSET(D.TPMs!$O$7:$P$7, ($G118-1)*9, 12)))
+PRODUCT(AB118*(1-$H119), SUM(OFFSET(D.TPMs!$L$10:$M$10, ($G118-1)*9, 0), OFFSET(D.TPMs!$O$10:$P$10, ($G118-1)*9, 0)))
+PRODUCT(AB118*$H119,     SUM(OFFSET(D.TPMs!$L$10:$M$10, ($G118-1)*9, 12), OFFSET(D.TPMs!$O$10:$P$10, ($G118-1)*9, 12)))</f>
        <v>0</v>
      </c>
    </row>
    <row r="120" spans="4:39" ht="12" customHeight="1" x14ac:dyDescent="0.25">
      <c r="D120" s="62">
        <f t="shared" si="55"/>
        <v>110</v>
      </c>
      <c r="E120" s="63">
        <f t="shared" si="46"/>
        <v>27.5</v>
      </c>
      <c r="F120" s="63">
        <f t="shared" si="47"/>
        <v>92.5</v>
      </c>
      <c r="G120" s="301">
        <f>MATCH(F120, Parameters!$D$523:$D$524, 1)</f>
        <v>2</v>
      </c>
      <c r="H120" s="62">
        <f t="shared" si="48"/>
        <v>0</v>
      </c>
      <c r="I120" s="285">
        <f t="array" aca="1" ref="I120:Q120" ca="1">IF($E120&gt;timeHorizon, 0, MMULT(I119:Q119*(1-$H120), OFFSET(D.rngTPM.Q_I.Root, ($G119-1)*9, 0)) + MMULT(I119:Q119*$H120, OFFSET(D.rngTPM.Q_I.Root, ($G119-1)*9, 12)))</f>
        <v>0</v>
      </c>
      <c r="J120" s="285">
        <f ca="1"/>
        <v>0</v>
      </c>
      <c r="K120" s="285">
        <f ca="1"/>
        <v>0</v>
      </c>
      <c r="L120" s="285">
        <f ca="1"/>
        <v>0</v>
      </c>
      <c r="M120" s="285">
        <f ca="1"/>
        <v>0</v>
      </c>
      <c r="N120" s="285">
        <f ca="1"/>
        <v>0</v>
      </c>
      <c r="O120" s="285">
        <f ca="1"/>
        <v>0</v>
      </c>
      <c r="P120" s="285">
        <f ca="1"/>
        <v>0</v>
      </c>
      <c r="Q120" s="285">
        <f ca="1"/>
        <v>0</v>
      </c>
      <c r="R120" s="283" t="str">
        <f t="shared" si="56"/>
        <v/>
      </c>
      <c r="S120" s="418">
        <f t="shared" ca="1" si="49"/>
        <v>1</v>
      </c>
      <c r="T120" s="418">
        <f t="shared" ca="1" si="50"/>
        <v>0</v>
      </c>
      <c r="U120" s="418">
        <f t="shared" ca="1" si="51"/>
        <v>0</v>
      </c>
      <c r="V120" s="418">
        <f t="shared" ca="1" si="51"/>
        <v>0</v>
      </c>
      <c r="W120" s="418">
        <f ca="1">PRODUCT(I119*(1-$H120), SUM(OFFSET(D.TPMs!$L$7:$M$7, ($G119-1)*9, 0), OFFSET(D.TPMs!$O$7:$P$7, ($G119-1)*9, 0)))
+PRODUCT(I119*$H120,     SUM(OFFSET(D.TPMs!$L$7:$M$7, ($G119-1)*9, 12), OFFSET(D.TPMs!$O$7:$P$7, ($G119-1)*9, 12)))
+PRODUCT(L119*(1-$H120), SUM(OFFSET(D.TPMs!$L$10:$M$10, ($G119-1)*9, 0), OFFSET(D.TPMs!$O$10:$P$10, ($G119-1)*9, 0)))
+PRODUCT(L119*$H120,     SUM(OFFSET(D.TPMs!$L$10:$M$10, ($G119-1)*9, 12), OFFSET(D.TPMs!$O$10:$P$10, ($G119-1)*9, 12)))</f>
        <v>0</v>
      </c>
      <c r="Y120" s="285">
        <f t="array" aca="1" ref="Y120:AG120" ca="1">IF($E120&gt;timeHorizon, 0, MMULT(Y119:AG119*(1-$H120), OFFSET(D.rngTPM.Q_I.Root, ($G119-1)*9, 0)) + MMULT(Y119:AG119*$H120, OFFSET(D.rngTPM.Q_I.Root, ($G119-1)*9, 12)))</f>
        <v>0</v>
      </c>
      <c r="Z120" s="285">
        <f ca="1"/>
        <v>0</v>
      </c>
      <c r="AA120" s="285">
        <f ca="1"/>
        <v>0</v>
      </c>
      <c r="AB120" s="285">
        <f ca="1"/>
        <v>0</v>
      </c>
      <c r="AC120" s="285">
        <f ca="1"/>
        <v>0</v>
      </c>
      <c r="AD120" s="285">
        <f ca="1"/>
        <v>0</v>
      </c>
      <c r="AE120" s="285">
        <f ca="1"/>
        <v>0</v>
      </c>
      <c r="AF120" s="285">
        <f ca="1"/>
        <v>0</v>
      </c>
      <c r="AG120" s="285">
        <f ca="1"/>
        <v>0</v>
      </c>
      <c r="AH120" s="283" t="str">
        <f t="shared" si="57"/>
        <v/>
      </c>
      <c r="AI120" s="320">
        <f t="shared" ca="1" si="52"/>
        <v>1</v>
      </c>
      <c r="AJ120" s="320">
        <f t="shared" ca="1" si="53"/>
        <v>0</v>
      </c>
      <c r="AK120" s="320">
        <f t="shared" ca="1" si="54"/>
        <v>0</v>
      </c>
      <c r="AL120" s="418">
        <f t="shared" ca="1" si="45"/>
        <v>0</v>
      </c>
      <c r="AM120" s="418">
        <f ca="1">PRODUCT(Y119*(1-$H120), SUM(OFFSET(D.TPMs!$L$7:$M$7, ($G119-1)*9, 0), OFFSET(D.TPMs!$O$7:$P$7, ($G119-1)*9, 0)))
+PRODUCT(Y119*$H120,     SUM(OFFSET(D.TPMs!$L$7:$M$7, ($G119-1)*9, 12), OFFSET(D.TPMs!$O$7:$P$7, ($G119-1)*9, 12)))
+PRODUCT(AB119*(1-$H120), SUM(OFFSET(D.TPMs!$L$10:$M$10, ($G119-1)*9, 0), OFFSET(D.TPMs!$O$10:$P$10, ($G119-1)*9, 0)))
+PRODUCT(AB119*$H120,     SUM(OFFSET(D.TPMs!$L$10:$M$10, ($G119-1)*9, 12), OFFSET(D.TPMs!$O$10:$P$10, ($G119-1)*9, 12)))</f>
        <v>0</v>
      </c>
    </row>
    <row r="121" spans="4:39" ht="12" customHeight="1" x14ac:dyDescent="0.25">
      <c r="D121" s="62">
        <f t="shared" si="55"/>
        <v>111</v>
      </c>
      <c r="E121" s="63">
        <f t="shared" si="46"/>
        <v>27.75</v>
      </c>
      <c r="F121" s="63">
        <f t="shared" si="47"/>
        <v>92.75</v>
      </c>
      <c r="G121" s="301">
        <f>MATCH(F121, Parameters!$D$523:$D$524, 1)</f>
        <v>2</v>
      </c>
      <c r="H121" s="62">
        <f t="shared" si="48"/>
        <v>0</v>
      </c>
      <c r="I121" s="285">
        <f t="array" aca="1" ref="I121:Q121" ca="1">IF($E121&gt;timeHorizon, 0, MMULT(I120:Q120*(1-$H121), OFFSET(D.rngTPM.Q_I.Root, ($G120-1)*9, 0)) + MMULT(I120:Q120*$H121, OFFSET(D.rngTPM.Q_I.Root, ($G120-1)*9, 12)))</f>
        <v>0</v>
      </c>
      <c r="J121" s="285">
        <f ca="1"/>
        <v>0</v>
      </c>
      <c r="K121" s="285">
        <f ca="1"/>
        <v>0</v>
      </c>
      <c r="L121" s="285">
        <f ca="1"/>
        <v>0</v>
      </c>
      <c r="M121" s="285">
        <f ca="1"/>
        <v>0</v>
      </c>
      <c r="N121" s="285">
        <f ca="1"/>
        <v>0</v>
      </c>
      <c r="O121" s="285">
        <f ca="1"/>
        <v>0</v>
      </c>
      <c r="P121" s="285">
        <f ca="1"/>
        <v>0</v>
      </c>
      <c r="Q121" s="285">
        <f ca="1"/>
        <v>0</v>
      </c>
      <c r="R121" s="283" t="str">
        <f t="shared" si="56"/>
        <v/>
      </c>
      <c r="S121" s="418">
        <f t="shared" ca="1" si="49"/>
        <v>1</v>
      </c>
      <c r="T121" s="418">
        <f t="shared" ca="1" si="50"/>
        <v>0</v>
      </c>
      <c r="U121" s="418">
        <f t="shared" ca="1" si="51"/>
        <v>0</v>
      </c>
      <c r="V121" s="418">
        <f t="shared" ca="1" si="51"/>
        <v>0</v>
      </c>
      <c r="W121" s="418">
        <f ca="1">PRODUCT(I120*(1-$H121), SUM(OFFSET(D.TPMs!$L$7:$M$7, ($G120-1)*9, 0), OFFSET(D.TPMs!$O$7:$P$7, ($G120-1)*9, 0)))
+PRODUCT(I120*$H121,     SUM(OFFSET(D.TPMs!$L$7:$M$7, ($G120-1)*9, 12), OFFSET(D.TPMs!$O$7:$P$7, ($G120-1)*9, 12)))
+PRODUCT(L120*(1-$H121), SUM(OFFSET(D.TPMs!$L$10:$M$10, ($G120-1)*9, 0), OFFSET(D.TPMs!$O$10:$P$10, ($G120-1)*9, 0)))
+PRODUCT(L120*$H121,     SUM(OFFSET(D.TPMs!$L$10:$M$10, ($G120-1)*9, 12), OFFSET(D.TPMs!$O$10:$P$10, ($G120-1)*9, 12)))</f>
        <v>0</v>
      </c>
      <c r="Y121" s="285">
        <f t="array" aca="1" ref="Y121:AG121" ca="1">IF($E121&gt;timeHorizon, 0, MMULT(Y120:AG120*(1-$H121), OFFSET(D.rngTPM.Q_I.Root, ($G120-1)*9, 0)) + MMULT(Y120:AG120*$H121, OFFSET(D.rngTPM.Q_I.Root, ($G120-1)*9, 12)))</f>
        <v>0</v>
      </c>
      <c r="Z121" s="285">
        <f ca="1"/>
        <v>0</v>
      </c>
      <c r="AA121" s="285">
        <f ca="1"/>
        <v>0</v>
      </c>
      <c r="AB121" s="285">
        <f ca="1"/>
        <v>0</v>
      </c>
      <c r="AC121" s="285">
        <f ca="1"/>
        <v>0</v>
      </c>
      <c r="AD121" s="285">
        <f ca="1"/>
        <v>0</v>
      </c>
      <c r="AE121" s="285">
        <f ca="1"/>
        <v>0</v>
      </c>
      <c r="AF121" s="285">
        <f ca="1"/>
        <v>0</v>
      </c>
      <c r="AG121" s="285">
        <f ca="1"/>
        <v>0</v>
      </c>
      <c r="AH121" s="283" t="str">
        <f t="shared" si="57"/>
        <v/>
      </c>
      <c r="AI121" s="320">
        <f t="shared" ca="1" si="52"/>
        <v>1</v>
      </c>
      <c r="AJ121" s="320">
        <f t="shared" ca="1" si="53"/>
        <v>0</v>
      </c>
      <c r="AK121" s="320">
        <f t="shared" ca="1" si="54"/>
        <v>0</v>
      </c>
      <c r="AL121" s="418">
        <f t="shared" ca="1" si="45"/>
        <v>0</v>
      </c>
      <c r="AM121" s="418">
        <f ca="1">PRODUCT(Y120*(1-$H121), SUM(OFFSET(D.TPMs!$L$7:$M$7, ($G120-1)*9, 0), OFFSET(D.TPMs!$O$7:$P$7, ($G120-1)*9, 0)))
+PRODUCT(Y120*$H121,     SUM(OFFSET(D.TPMs!$L$7:$M$7, ($G120-1)*9, 12), OFFSET(D.TPMs!$O$7:$P$7, ($G120-1)*9, 12)))
+PRODUCT(AB120*(1-$H121), SUM(OFFSET(D.TPMs!$L$10:$M$10, ($G120-1)*9, 0), OFFSET(D.TPMs!$O$10:$P$10, ($G120-1)*9, 0)))
+PRODUCT(AB120*$H121,     SUM(OFFSET(D.TPMs!$L$10:$M$10, ($G120-1)*9, 12), OFFSET(D.TPMs!$O$10:$P$10, ($G120-1)*9, 12)))</f>
        <v>0</v>
      </c>
    </row>
    <row r="122" spans="4:39" ht="12" customHeight="1" x14ac:dyDescent="0.25">
      <c r="D122" s="62">
        <f t="shared" si="55"/>
        <v>112</v>
      </c>
      <c r="E122" s="63">
        <f t="shared" si="46"/>
        <v>28</v>
      </c>
      <c r="F122" s="63">
        <f t="shared" si="47"/>
        <v>93</v>
      </c>
      <c r="G122" s="301">
        <f>MATCH(F122, Parameters!$D$523:$D$524, 1)</f>
        <v>2</v>
      </c>
      <c r="H122" s="62">
        <f t="shared" si="48"/>
        <v>0</v>
      </c>
      <c r="I122" s="285">
        <f t="array" aca="1" ref="I122:Q122" ca="1">IF($E122&gt;timeHorizon, 0, MMULT(I121:Q121*(1-$H122), OFFSET(D.rngTPM.Q_I.Root, ($G121-1)*9, 0)) + MMULT(I121:Q121*$H122, OFFSET(D.rngTPM.Q_I.Root, ($G121-1)*9, 12)))</f>
        <v>0</v>
      </c>
      <c r="J122" s="285">
        <f ca="1"/>
        <v>0</v>
      </c>
      <c r="K122" s="285">
        <f ca="1"/>
        <v>0</v>
      </c>
      <c r="L122" s="285">
        <f ca="1"/>
        <v>0</v>
      </c>
      <c r="M122" s="285">
        <f ca="1"/>
        <v>0</v>
      </c>
      <c r="N122" s="285">
        <f ca="1"/>
        <v>0</v>
      </c>
      <c r="O122" s="285">
        <f ca="1"/>
        <v>0</v>
      </c>
      <c r="P122" s="285">
        <f ca="1"/>
        <v>0</v>
      </c>
      <c r="Q122" s="285">
        <f ca="1"/>
        <v>0</v>
      </c>
      <c r="R122" s="283" t="str">
        <f t="shared" si="56"/>
        <v/>
      </c>
      <c r="S122" s="418">
        <f t="shared" ca="1" si="49"/>
        <v>1</v>
      </c>
      <c r="T122" s="418">
        <f t="shared" ca="1" si="50"/>
        <v>0</v>
      </c>
      <c r="U122" s="418">
        <f t="shared" ca="1" si="51"/>
        <v>0</v>
      </c>
      <c r="V122" s="418">
        <f t="shared" ca="1" si="51"/>
        <v>0</v>
      </c>
      <c r="W122" s="418">
        <f ca="1">PRODUCT(I121*(1-$H122), SUM(OFFSET(D.TPMs!$L$7:$M$7, ($G121-1)*9, 0), OFFSET(D.TPMs!$O$7:$P$7, ($G121-1)*9, 0)))
+PRODUCT(I121*$H122,     SUM(OFFSET(D.TPMs!$L$7:$M$7, ($G121-1)*9, 12), OFFSET(D.TPMs!$O$7:$P$7, ($G121-1)*9, 12)))
+PRODUCT(L121*(1-$H122), SUM(OFFSET(D.TPMs!$L$10:$M$10, ($G121-1)*9, 0), OFFSET(D.TPMs!$O$10:$P$10, ($G121-1)*9, 0)))
+PRODUCT(L121*$H122,     SUM(OFFSET(D.TPMs!$L$10:$M$10, ($G121-1)*9, 12), OFFSET(D.TPMs!$O$10:$P$10, ($G121-1)*9, 12)))</f>
        <v>0</v>
      </c>
      <c r="Y122" s="285">
        <f t="array" aca="1" ref="Y122:AG122" ca="1">IF($E122&gt;timeHorizon, 0, MMULT(Y121:AG121*(1-$H122), OFFSET(D.rngTPM.Q_I.Root, ($G121-1)*9, 0)) + MMULT(Y121:AG121*$H122, OFFSET(D.rngTPM.Q_I.Root, ($G121-1)*9, 12)))</f>
        <v>0</v>
      </c>
      <c r="Z122" s="285">
        <f ca="1"/>
        <v>0</v>
      </c>
      <c r="AA122" s="285">
        <f ca="1"/>
        <v>0</v>
      </c>
      <c r="AB122" s="285">
        <f ca="1"/>
        <v>0</v>
      </c>
      <c r="AC122" s="285">
        <f ca="1"/>
        <v>0</v>
      </c>
      <c r="AD122" s="285">
        <f ca="1"/>
        <v>0</v>
      </c>
      <c r="AE122" s="285">
        <f ca="1"/>
        <v>0</v>
      </c>
      <c r="AF122" s="285">
        <f ca="1"/>
        <v>0</v>
      </c>
      <c r="AG122" s="285">
        <f ca="1"/>
        <v>0</v>
      </c>
      <c r="AH122" s="283" t="str">
        <f t="shared" si="57"/>
        <v/>
      </c>
      <c r="AI122" s="320">
        <f t="shared" ca="1" si="52"/>
        <v>1</v>
      </c>
      <c r="AJ122" s="320">
        <f t="shared" ca="1" si="53"/>
        <v>0</v>
      </c>
      <c r="AK122" s="320">
        <f t="shared" ca="1" si="54"/>
        <v>0</v>
      </c>
      <c r="AL122" s="418">
        <f t="shared" ca="1" si="45"/>
        <v>0</v>
      </c>
      <c r="AM122" s="418">
        <f ca="1">PRODUCT(Y121*(1-$H122), SUM(OFFSET(D.TPMs!$L$7:$M$7, ($G121-1)*9, 0), OFFSET(D.TPMs!$O$7:$P$7, ($G121-1)*9, 0)))
+PRODUCT(Y121*$H122,     SUM(OFFSET(D.TPMs!$L$7:$M$7, ($G121-1)*9, 12), OFFSET(D.TPMs!$O$7:$P$7, ($G121-1)*9, 12)))
+PRODUCT(AB121*(1-$H122), SUM(OFFSET(D.TPMs!$L$10:$M$10, ($G121-1)*9, 0), OFFSET(D.TPMs!$O$10:$P$10, ($G121-1)*9, 0)))
+PRODUCT(AB121*$H122,     SUM(OFFSET(D.TPMs!$L$10:$M$10, ($G121-1)*9, 12), OFFSET(D.TPMs!$O$10:$P$10, ($G121-1)*9, 12)))</f>
        <v>0</v>
      </c>
    </row>
    <row r="123" spans="4:39" ht="12" customHeight="1" x14ac:dyDescent="0.25">
      <c r="D123" s="62">
        <f t="shared" si="55"/>
        <v>113</v>
      </c>
      <c r="E123" s="63">
        <f t="shared" si="46"/>
        <v>28.25</v>
      </c>
      <c r="F123" s="63">
        <f t="shared" si="47"/>
        <v>93.25</v>
      </c>
      <c r="G123" s="301">
        <f>MATCH(F123, Parameters!$D$523:$D$524, 1)</f>
        <v>2</v>
      </c>
      <c r="H123" s="62">
        <f t="shared" si="48"/>
        <v>0</v>
      </c>
      <c r="I123" s="285">
        <f t="array" aca="1" ref="I123:Q123" ca="1">IF($E123&gt;timeHorizon, 0, MMULT(I122:Q122*(1-$H123), OFFSET(D.rngTPM.Q_I.Root, ($G122-1)*9, 0)) + MMULT(I122:Q122*$H123, OFFSET(D.rngTPM.Q_I.Root, ($G122-1)*9, 12)))</f>
        <v>0</v>
      </c>
      <c r="J123" s="285">
        <f ca="1"/>
        <v>0</v>
      </c>
      <c r="K123" s="285">
        <f ca="1"/>
        <v>0</v>
      </c>
      <c r="L123" s="285">
        <f ca="1"/>
        <v>0</v>
      </c>
      <c r="M123" s="285">
        <f ca="1"/>
        <v>0</v>
      </c>
      <c r="N123" s="285">
        <f ca="1"/>
        <v>0</v>
      </c>
      <c r="O123" s="285">
        <f ca="1"/>
        <v>0</v>
      </c>
      <c r="P123" s="285">
        <f ca="1"/>
        <v>0</v>
      </c>
      <c r="Q123" s="285">
        <f ca="1"/>
        <v>0</v>
      </c>
      <c r="R123" s="283" t="str">
        <f t="shared" si="56"/>
        <v/>
      </c>
      <c r="S123" s="418">
        <f t="shared" ca="1" si="49"/>
        <v>1</v>
      </c>
      <c r="T123" s="418">
        <f t="shared" ca="1" si="50"/>
        <v>0</v>
      </c>
      <c r="U123" s="418">
        <f t="shared" ca="1" si="51"/>
        <v>0</v>
      </c>
      <c r="V123" s="418">
        <f t="shared" ca="1" si="51"/>
        <v>0</v>
      </c>
      <c r="W123" s="418">
        <f ca="1">PRODUCT(I122*(1-$H123), SUM(OFFSET(D.TPMs!$L$7:$M$7, ($G122-1)*9, 0), OFFSET(D.TPMs!$O$7:$P$7, ($G122-1)*9, 0)))
+PRODUCT(I122*$H123,     SUM(OFFSET(D.TPMs!$L$7:$M$7, ($G122-1)*9, 12), OFFSET(D.TPMs!$O$7:$P$7, ($G122-1)*9, 12)))
+PRODUCT(L122*(1-$H123), SUM(OFFSET(D.TPMs!$L$10:$M$10, ($G122-1)*9, 0), OFFSET(D.TPMs!$O$10:$P$10, ($G122-1)*9, 0)))
+PRODUCT(L122*$H123,     SUM(OFFSET(D.TPMs!$L$10:$M$10, ($G122-1)*9, 12), OFFSET(D.TPMs!$O$10:$P$10, ($G122-1)*9, 12)))</f>
        <v>0</v>
      </c>
      <c r="Y123" s="285">
        <f t="array" aca="1" ref="Y123:AG123" ca="1">IF($E123&gt;timeHorizon, 0, MMULT(Y122:AG122*(1-$H123), OFFSET(D.rngTPM.Q_I.Root, ($G122-1)*9, 0)) + MMULT(Y122:AG122*$H123, OFFSET(D.rngTPM.Q_I.Root, ($G122-1)*9, 12)))</f>
        <v>0</v>
      </c>
      <c r="Z123" s="285">
        <f ca="1"/>
        <v>0</v>
      </c>
      <c r="AA123" s="285">
        <f ca="1"/>
        <v>0</v>
      </c>
      <c r="AB123" s="285">
        <f ca="1"/>
        <v>0</v>
      </c>
      <c r="AC123" s="285">
        <f ca="1"/>
        <v>0</v>
      </c>
      <c r="AD123" s="285">
        <f ca="1"/>
        <v>0</v>
      </c>
      <c r="AE123" s="285">
        <f ca="1"/>
        <v>0</v>
      </c>
      <c r="AF123" s="285">
        <f ca="1"/>
        <v>0</v>
      </c>
      <c r="AG123" s="285">
        <f ca="1"/>
        <v>0</v>
      </c>
      <c r="AH123" s="283" t="str">
        <f t="shared" si="57"/>
        <v/>
      </c>
      <c r="AI123" s="320">
        <f t="shared" ca="1" si="52"/>
        <v>1</v>
      </c>
      <c r="AJ123" s="320">
        <f t="shared" ca="1" si="53"/>
        <v>0</v>
      </c>
      <c r="AK123" s="320">
        <f t="shared" ca="1" si="54"/>
        <v>0</v>
      </c>
      <c r="AL123" s="418">
        <f t="shared" ca="1" si="45"/>
        <v>0</v>
      </c>
      <c r="AM123" s="418">
        <f ca="1">PRODUCT(Y122*(1-$H123), SUM(OFFSET(D.TPMs!$L$7:$M$7, ($G122-1)*9, 0), OFFSET(D.TPMs!$O$7:$P$7, ($G122-1)*9, 0)))
+PRODUCT(Y122*$H123,     SUM(OFFSET(D.TPMs!$L$7:$M$7, ($G122-1)*9, 12), OFFSET(D.TPMs!$O$7:$P$7, ($G122-1)*9, 12)))
+PRODUCT(AB122*(1-$H123), SUM(OFFSET(D.TPMs!$L$10:$M$10, ($G122-1)*9, 0), OFFSET(D.TPMs!$O$10:$P$10, ($G122-1)*9, 0)))
+PRODUCT(AB122*$H123,     SUM(OFFSET(D.TPMs!$L$10:$M$10, ($G122-1)*9, 12), OFFSET(D.TPMs!$O$10:$P$10, ($G122-1)*9, 12)))</f>
        <v>0</v>
      </c>
    </row>
    <row r="124" spans="4:39" ht="12" customHeight="1" x14ac:dyDescent="0.25">
      <c r="D124" s="62">
        <f t="shared" si="55"/>
        <v>114</v>
      </c>
      <c r="E124" s="63">
        <f t="shared" si="46"/>
        <v>28.5</v>
      </c>
      <c r="F124" s="63">
        <f t="shared" si="47"/>
        <v>93.5</v>
      </c>
      <c r="G124" s="301">
        <f>MATCH(F124, Parameters!$D$523:$D$524, 1)</f>
        <v>2</v>
      </c>
      <c r="H124" s="62">
        <f t="shared" si="48"/>
        <v>0</v>
      </c>
      <c r="I124" s="285">
        <f t="array" aca="1" ref="I124:Q124" ca="1">IF($E124&gt;timeHorizon, 0, MMULT(I123:Q123*(1-$H124), OFFSET(D.rngTPM.Q_I.Root, ($G123-1)*9, 0)) + MMULT(I123:Q123*$H124, OFFSET(D.rngTPM.Q_I.Root, ($G123-1)*9, 12)))</f>
        <v>0</v>
      </c>
      <c r="J124" s="285">
        <f ca="1"/>
        <v>0</v>
      </c>
      <c r="K124" s="285">
        <f ca="1"/>
        <v>0</v>
      </c>
      <c r="L124" s="285">
        <f ca="1"/>
        <v>0</v>
      </c>
      <c r="M124" s="285">
        <f ca="1"/>
        <v>0</v>
      </c>
      <c r="N124" s="285">
        <f ca="1"/>
        <v>0</v>
      </c>
      <c r="O124" s="285">
        <f ca="1"/>
        <v>0</v>
      </c>
      <c r="P124" s="285">
        <f ca="1"/>
        <v>0</v>
      </c>
      <c r="Q124" s="285">
        <f ca="1"/>
        <v>0</v>
      </c>
      <c r="R124" s="283" t="str">
        <f t="shared" si="56"/>
        <v/>
      </c>
      <c r="S124" s="418">
        <f t="shared" ca="1" si="49"/>
        <v>1</v>
      </c>
      <c r="T124" s="418">
        <f t="shared" ca="1" si="50"/>
        <v>0</v>
      </c>
      <c r="U124" s="418">
        <f t="shared" ca="1" si="51"/>
        <v>0</v>
      </c>
      <c r="V124" s="418">
        <f t="shared" ca="1" si="51"/>
        <v>0</v>
      </c>
      <c r="W124" s="418">
        <f ca="1">PRODUCT(I123*(1-$H124), SUM(OFFSET(D.TPMs!$L$7:$M$7, ($G123-1)*9, 0), OFFSET(D.TPMs!$O$7:$P$7, ($G123-1)*9, 0)))
+PRODUCT(I123*$H124,     SUM(OFFSET(D.TPMs!$L$7:$M$7, ($G123-1)*9, 12), OFFSET(D.TPMs!$O$7:$P$7, ($G123-1)*9, 12)))
+PRODUCT(L123*(1-$H124), SUM(OFFSET(D.TPMs!$L$10:$M$10, ($G123-1)*9, 0), OFFSET(D.TPMs!$O$10:$P$10, ($G123-1)*9, 0)))
+PRODUCT(L123*$H124,     SUM(OFFSET(D.TPMs!$L$10:$M$10, ($G123-1)*9, 12), OFFSET(D.TPMs!$O$10:$P$10, ($G123-1)*9, 12)))</f>
        <v>0</v>
      </c>
      <c r="Y124" s="285">
        <f t="array" aca="1" ref="Y124:AG124" ca="1">IF($E124&gt;timeHorizon, 0, MMULT(Y123:AG123*(1-$H124), OFFSET(D.rngTPM.Q_I.Root, ($G123-1)*9, 0)) + MMULT(Y123:AG123*$H124, OFFSET(D.rngTPM.Q_I.Root, ($G123-1)*9, 12)))</f>
        <v>0</v>
      </c>
      <c r="Z124" s="285">
        <f ca="1"/>
        <v>0</v>
      </c>
      <c r="AA124" s="285">
        <f ca="1"/>
        <v>0</v>
      </c>
      <c r="AB124" s="285">
        <f ca="1"/>
        <v>0</v>
      </c>
      <c r="AC124" s="285">
        <f ca="1"/>
        <v>0</v>
      </c>
      <c r="AD124" s="285">
        <f ca="1"/>
        <v>0</v>
      </c>
      <c r="AE124" s="285">
        <f ca="1"/>
        <v>0</v>
      </c>
      <c r="AF124" s="285">
        <f ca="1"/>
        <v>0</v>
      </c>
      <c r="AG124" s="285">
        <f ca="1"/>
        <v>0</v>
      </c>
      <c r="AH124" s="283" t="str">
        <f t="shared" si="57"/>
        <v/>
      </c>
      <c r="AI124" s="320">
        <f t="shared" ca="1" si="52"/>
        <v>1</v>
      </c>
      <c r="AJ124" s="320">
        <f t="shared" ca="1" si="53"/>
        <v>0</v>
      </c>
      <c r="AK124" s="320">
        <f t="shared" ca="1" si="54"/>
        <v>0</v>
      </c>
      <c r="AL124" s="418">
        <f t="shared" ca="1" si="45"/>
        <v>0</v>
      </c>
      <c r="AM124" s="418">
        <f ca="1">PRODUCT(Y123*(1-$H124), SUM(OFFSET(D.TPMs!$L$7:$M$7, ($G123-1)*9, 0), OFFSET(D.TPMs!$O$7:$P$7, ($G123-1)*9, 0)))
+PRODUCT(Y123*$H124,     SUM(OFFSET(D.TPMs!$L$7:$M$7, ($G123-1)*9, 12), OFFSET(D.TPMs!$O$7:$P$7, ($G123-1)*9, 12)))
+PRODUCT(AB123*(1-$H124), SUM(OFFSET(D.TPMs!$L$10:$M$10, ($G123-1)*9, 0), OFFSET(D.TPMs!$O$10:$P$10, ($G123-1)*9, 0)))
+PRODUCT(AB123*$H124,     SUM(OFFSET(D.TPMs!$L$10:$M$10, ($G123-1)*9, 12), OFFSET(D.TPMs!$O$10:$P$10, ($G123-1)*9, 12)))</f>
        <v>0</v>
      </c>
    </row>
    <row r="125" spans="4:39" ht="12" customHeight="1" x14ac:dyDescent="0.25">
      <c r="D125" s="62">
        <f t="shared" si="55"/>
        <v>115</v>
      </c>
      <c r="E125" s="63">
        <f t="shared" si="46"/>
        <v>28.75</v>
      </c>
      <c r="F125" s="63">
        <f t="shared" si="47"/>
        <v>93.75</v>
      </c>
      <c r="G125" s="301">
        <f>MATCH(F125, Parameters!$D$523:$D$524, 1)</f>
        <v>2</v>
      </c>
      <c r="H125" s="62">
        <f t="shared" si="48"/>
        <v>0</v>
      </c>
      <c r="I125" s="285">
        <f t="array" aca="1" ref="I125:Q125" ca="1">IF($E125&gt;timeHorizon, 0, MMULT(I124:Q124*(1-$H125), OFFSET(D.rngTPM.Q_I.Root, ($G124-1)*9, 0)) + MMULT(I124:Q124*$H125, OFFSET(D.rngTPM.Q_I.Root, ($G124-1)*9, 12)))</f>
        <v>0</v>
      </c>
      <c r="J125" s="285">
        <f ca="1"/>
        <v>0</v>
      </c>
      <c r="K125" s="285">
        <f ca="1"/>
        <v>0</v>
      </c>
      <c r="L125" s="285">
        <f ca="1"/>
        <v>0</v>
      </c>
      <c r="M125" s="285">
        <f ca="1"/>
        <v>0</v>
      </c>
      <c r="N125" s="285">
        <f ca="1"/>
        <v>0</v>
      </c>
      <c r="O125" s="285">
        <f ca="1"/>
        <v>0</v>
      </c>
      <c r="P125" s="285">
        <f ca="1"/>
        <v>0</v>
      </c>
      <c r="Q125" s="285">
        <f ca="1"/>
        <v>0</v>
      </c>
      <c r="R125" s="283" t="str">
        <f t="shared" si="56"/>
        <v/>
      </c>
      <c r="S125" s="418">
        <f t="shared" ca="1" si="49"/>
        <v>1</v>
      </c>
      <c r="T125" s="418">
        <f t="shared" ca="1" si="50"/>
        <v>0</v>
      </c>
      <c r="U125" s="418">
        <f t="shared" ca="1" si="51"/>
        <v>0</v>
      </c>
      <c r="V125" s="418">
        <f t="shared" ca="1" si="51"/>
        <v>0</v>
      </c>
      <c r="W125" s="418">
        <f ca="1">PRODUCT(I124*(1-$H125), SUM(OFFSET(D.TPMs!$L$7:$M$7, ($G124-1)*9, 0), OFFSET(D.TPMs!$O$7:$P$7, ($G124-1)*9, 0)))
+PRODUCT(I124*$H125,     SUM(OFFSET(D.TPMs!$L$7:$M$7, ($G124-1)*9, 12), OFFSET(D.TPMs!$O$7:$P$7, ($G124-1)*9, 12)))
+PRODUCT(L124*(1-$H125), SUM(OFFSET(D.TPMs!$L$10:$M$10, ($G124-1)*9, 0), OFFSET(D.TPMs!$O$10:$P$10, ($G124-1)*9, 0)))
+PRODUCT(L124*$H125,     SUM(OFFSET(D.TPMs!$L$10:$M$10, ($G124-1)*9, 12), OFFSET(D.TPMs!$O$10:$P$10, ($G124-1)*9, 12)))</f>
        <v>0</v>
      </c>
      <c r="Y125" s="285">
        <f t="array" aca="1" ref="Y125:AG125" ca="1">IF($E125&gt;timeHorizon, 0, MMULT(Y124:AG124*(1-$H125), OFFSET(D.rngTPM.Q_I.Root, ($G124-1)*9, 0)) + MMULT(Y124:AG124*$H125, OFFSET(D.rngTPM.Q_I.Root, ($G124-1)*9, 12)))</f>
        <v>0</v>
      </c>
      <c r="Z125" s="285">
        <f ca="1"/>
        <v>0</v>
      </c>
      <c r="AA125" s="285">
        <f ca="1"/>
        <v>0</v>
      </c>
      <c r="AB125" s="285">
        <f ca="1"/>
        <v>0</v>
      </c>
      <c r="AC125" s="285">
        <f ca="1"/>
        <v>0</v>
      </c>
      <c r="AD125" s="285">
        <f ca="1"/>
        <v>0</v>
      </c>
      <c r="AE125" s="285">
        <f ca="1"/>
        <v>0</v>
      </c>
      <c r="AF125" s="285">
        <f ca="1"/>
        <v>0</v>
      </c>
      <c r="AG125" s="285">
        <f ca="1"/>
        <v>0</v>
      </c>
      <c r="AH125" s="283" t="str">
        <f t="shared" si="57"/>
        <v/>
      </c>
      <c r="AI125" s="320">
        <f t="shared" ca="1" si="52"/>
        <v>1</v>
      </c>
      <c r="AJ125" s="320">
        <f t="shared" ca="1" si="53"/>
        <v>0</v>
      </c>
      <c r="AK125" s="320">
        <f t="shared" ca="1" si="54"/>
        <v>0</v>
      </c>
      <c r="AL125" s="418">
        <f t="shared" ca="1" si="45"/>
        <v>0</v>
      </c>
      <c r="AM125" s="418">
        <f ca="1">PRODUCT(Y124*(1-$H125), SUM(OFFSET(D.TPMs!$L$7:$M$7, ($G124-1)*9, 0), OFFSET(D.TPMs!$O$7:$P$7, ($G124-1)*9, 0)))
+PRODUCT(Y124*$H125,     SUM(OFFSET(D.TPMs!$L$7:$M$7, ($G124-1)*9, 12), OFFSET(D.TPMs!$O$7:$P$7, ($G124-1)*9, 12)))
+PRODUCT(AB124*(1-$H125), SUM(OFFSET(D.TPMs!$L$10:$M$10, ($G124-1)*9, 0), OFFSET(D.TPMs!$O$10:$P$10, ($G124-1)*9, 0)))
+PRODUCT(AB124*$H125,     SUM(OFFSET(D.TPMs!$L$10:$M$10, ($G124-1)*9, 12), OFFSET(D.TPMs!$O$10:$P$10, ($G124-1)*9, 12)))</f>
        <v>0</v>
      </c>
    </row>
    <row r="126" spans="4:39" ht="12" customHeight="1" x14ac:dyDescent="0.25">
      <c r="D126" s="62">
        <f t="shared" si="55"/>
        <v>116</v>
      </c>
      <c r="E126" s="63">
        <f t="shared" si="46"/>
        <v>29</v>
      </c>
      <c r="F126" s="63">
        <f t="shared" si="47"/>
        <v>94</v>
      </c>
      <c r="G126" s="301">
        <f>MATCH(F126, Parameters!$D$523:$D$524, 1)</f>
        <v>2</v>
      </c>
      <c r="H126" s="62">
        <f t="shared" si="48"/>
        <v>0</v>
      </c>
      <c r="I126" s="285">
        <f t="array" aca="1" ref="I126:Q126" ca="1">IF($E126&gt;timeHorizon, 0, MMULT(I125:Q125*(1-$H126), OFFSET(D.rngTPM.Q_I.Root, ($G125-1)*9, 0)) + MMULT(I125:Q125*$H126, OFFSET(D.rngTPM.Q_I.Root, ($G125-1)*9, 12)))</f>
        <v>0</v>
      </c>
      <c r="J126" s="285">
        <f ca="1"/>
        <v>0</v>
      </c>
      <c r="K126" s="285">
        <f ca="1"/>
        <v>0</v>
      </c>
      <c r="L126" s="285">
        <f ca="1"/>
        <v>0</v>
      </c>
      <c r="M126" s="285">
        <f ca="1"/>
        <v>0</v>
      </c>
      <c r="N126" s="285">
        <f ca="1"/>
        <v>0</v>
      </c>
      <c r="O126" s="285">
        <f ca="1"/>
        <v>0</v>
      </c>
      <c r="P126" s="285">
        <f ca="1"/>
        <v>0</v>
      </c>
      <c r="Q126" s="285">
        <f ca="1"/>
        <v>0</v>
      </c>
      <c r="R126" s="283" t="str">
        <f t="shared" si="56"/>
        <v/>
      </c>
      <c r="S126" s="418">
        <f t="shared" ca="1" si="49"/>
        <v>1</v>
      </c>
      <c r="T126" s="418">
        <f t="shared" ca="1" si="50"/>
        <v>0</v>
      </c>
      <c r="U126" s="418">
        <f t="shared" ca="1" si="51"/>
        <v>0</v>
      </c>
      <c r="V126" s="418">
        <f t="shared" ca="1" si="51"/>
        <v>0</v>
      </c>
      <c r="W126" s="418">
        <f ca="1">PRODUCT(I125*(1-$H126), SUM(OFFSET(D.TPMs!$L$7:$M$7, ($G125-1)*9, 0), OFFSET(D.TPMs!$O$7:$P$7, ($G125-1)*9, 0)))
+PRODUCT(I125*$H126,     SUM(OFFSET(D.TPMs!$L$7:$M$7, ($G125-1)*9, 12), OFFSET(D.TPMs!$O$7:$P$7, ($G125-1)*9, 12)))
+PRODUCT(L125*(1-$H126), SUM(OFFSET(D.TPMs!$L$10:$M$10, ($G125-1)*9, 0), OFFSET(D.TPMs!$O$10:$P$10, ($G125-1)*9, 0)))
+PRODUCT(L125*$H126,     SUM(OFFSET(D.TPMs!$L$10:$M$10, ($G125-1)*9, 12), OFFSET(D.TPMs!$O$10:$P$10, ($G125-1)*9, 12)))</f>
        <v>0</v>
      </c>
      <c r="Y126" s="285">
        <f t="array" aca="1" ref="Y126:AG126" ca="1">IF($E126&gt;timeHorizon, 0, MMULT(Y125:AG125*(1-$H126), OFFSET(D.rngTPM.Q_I.Root, ($G125-1)*9, 0)) + MMULT(Y125:AG125*$H126, OFFSET(D.rngTPM.Q_I.Root, ($G125-1)*9, 12)))</f>
        <v>0</v>
      </c>
      <c r="Z126" s="285">
        <f ca="1"/>
        <v>0</v>
      </c>
      <c r="AA126" s="285">
        <f ca="1"/>
        <v>0</v>
      </c>
      <c r="AB126" s="285">
        <f ca="1"/>
        <v>0</v>
      </c>
      <c r="AC126" s="285">
        <f ca="1"/>
        <v>0</v>
      </c>
      <c r="AD126" s="285">
        <f ca="1"/>
        <v>0</v>
      </c>
      <c r="AE126" s="285">
        <f ca="1"/>
        <v>0</v>
      </c>
      <c r="AF126" s="285">
        <f ca="1"/>
        <v>0</v>
      </c>
      <c r="AG126" s="285">
        <f ca="1"/>
        <v>0</v>
      </c>
      <c r="AH126" s="283" t="str">
        <f t="shared" si="57"/>
        <v/>
      </c>
      <c r="AI126" s="320">
        <f t="shared" ca="1" si="52"/>
        <v>1</v>
      </c>
      <c r="AJ126" s="320">
        <f t="shared" ca="1" si="53"/>
        <v>0</v>
      </c>
      <c r="AK126" s="320">
        <f t="shared" ca="1" si="54"/>
        <v>0</v>
      </c>
      <c r="AL126" s="418">
        <f t="shared" ca="1" si="45"/>
        <v>0</v>
      </c>
      <c r="AM126" s="418">
        <f ca="1">PRODUCT(Y125*(1-$H126), SUM(OFFSET(D.TPMs!$L$7:$M$7, ($G125-1)*9, 0), OFFSET(D.TPMs!$O$7:$P$7, ($G125-1)*9, 0)))
+PRODUCT(Y125*$H126,     SUM(OFFSET(D.TPMs!$L$7:$M$7, ($G125-1)*9, 12), OFFSET(D.TPMs!$O$7:$P$7, ($G125-1)*9, 12)))
+PRODUCT(AB125*(1-$H126), SUM(OFFSET(D.TPMs!$L$10:$M$10, ($G125-1)*9, 0), OFFSET(D.TPMs!$O$10:$P$10, ($G125-1)*9, 0)))
+PRODUCT(AB125*$H126,     SUM(OFFSET(D.TPMs!$L$10:$M$10, ($G125-1)*9, 12), OFFSET(D.TPMs!$O$10:$P$10, ($G125-1)*9, 12)))</f>
        <v>0</v>
      </c>
    </row>
    <row r="127" spans="4:39" ht="12" customHeight="1" x14ac:dyDescent="0.25">
      <c r="D127" s="62">
        <f t="shared" si="55"/>
        <v>117</v>
      </c>
      <c r="E127" s="63">
        <f t="shared" si="46"/>
        <v>29.25</v>
      </c>
      <c r="F127" s="63">
        <f t="shared" si="47"/>
        <v>94.25</v>
      </c>
      <c r="G127" s="301">
        <f>MATCH(F127, Parameters!$D$523:$D$524, 1)</f>
        <v>2</v>
      </c>
      <c r="H127" s="62">
        <f t="shared" si="48"/>
        <v>0</v>
      </c>
      <c r="I127" s="285">
        <f t="array" aca="1" ref="I127:Q127" ca="1">IF($E127&gt;timeHorizon, 0, MMULT(I126:Q126*(1-$H127), OFFSET(D.rngTPM.Q_I.Root, ($G126-1)*9, 0)) + MMULT(I126:Q126*$H127, OFFSET(D.rngTPM.Q_I.Root, ($G126-1)*9, 12)))</f>
        <v>0</v>
      </c>
      <c r="J127" s="285">
        <f ca="1"/>
        <v>0</v>
      </c>
      <c r="K127" s="285">
        <f ca="1"/>
        <v>0</v>
      </c>
      <c r="L127" s="285">
        <f ca="1"/>
        <v>0</v>
      </c>
      <c r="M127" s="285">
        <f ca="1"/>
        <v>0</v>
      </c>
      <c r="N127" s="285">
        <f ca="1"/>
        <v>0</v>
      </c>
      <c r="O127" s="285">
        <f ca="1"/>
        <v>0</v>
      </c>
      <c r="P127" s="285">
        <f ca="1"/>
        <v>0</v>
      </c>
      <c r="Q127" s="285">
        <f ca="1"/>
        <v>0</v>
      </c>
      <c r="R127" s="283" t="str">
        <f t="shared" si="56"/>
        <v/>
      </c>
      <c r="S127" s="418">
        <f t="shared" ca="1" si="49"/>
        <v>1</v>
      </c>
      <c r="T127" s="418">
        <f t="shared" ca="1" si="50"/>
        <v>0</v>
      </c>
      <c r="U127" s="418">
        <f t="shared" ca="1" si="51"/>
        <v>0</v>
      </c>
      <c r="V127" s="418">
        <f t="shared" ca="1" si="51"/>
        <v>0</v>
      </c>
      <c r="W127" s="418">
        <f ca="1">PRODUCT(I126*(1-$H127), SUM(OFFSET(D.TPMs!$L$7:$M$7, ($G126-1)*9, 0), OFFSET(D.TPMs!$O$7:$P$7, ($G126-1)*9, 0)))
+PRODUCT(I126*$H127,     SUM(OFFSET(D.TPMs!$L$7:$M$7, ($G126-1)*9, 12), OFFSET(D.TPMs!$O$7:$P$7, ($G126-1)*9, 12)))
+PRODUCT(L126*(1-$H127), SUM(OFFSET(D.TPMs!$L$10:$M$10, ($G126-1)*9, 0), OFFSET(D.TPMs!$O$10:$P$10, ($G126-1)*9, 0)))
+PRODUCT(L126*$H127,     SUM(OFFSET(D.TPMs!$L$10:$M$10, ($G126-1)*9, 12), OFFSET(D.TPMs!$O$10:$P$10, ($G126-1)*9, 12)))</f>
        <v>0</v>
      </c>
      <c r="Y127" s="285">
        <f t="array" aca="1" ref="Y127:AG127" ca="1">IF($E127&gt;timeHorizon, 0, MMULT(Y126:AG126*(1-$H127), OFFSET(D.rngTPM.Q_I.Root, ($G126-1)*9, 0)) + MMULT(Y126:AG126*$H127, OFFSET(D.rngTPM.Q_I.Root, ($G126-1)*9, 12)))</f>
        <v>0</v>
      </c>
      <c r="Z127" s="285">
        <f ca="1"/>
        <v>0</v>
      </c>
      <c r="AA127" s="285">
        <f ca="1"/>
        <v>0</v>
      </c>
      <c r="AB127" s="285">
        <f ca="1"/>
        <v>0</v>
      </c>
      <c r="AC127" s="285">
        <f ca="1"/>
        <v>0</v>
      </c>
      <c r="AD127" s="285">
        <f ca="1"/>
        <v>0</v>
      </c>
      <c r="AE127" s="285">
        <f ca="1"/>
        <v>0</v>
      </c>
      <c r="AF127" s="285">
        <f ca="1"/>
        <v>0</v>
      </c>
      <c r="AG127" s="285">
        <f ca="1"/>
        <v>0</v>
      </c>
      <c r="AH127" s="283" t="str">
        <f t="shared" si="57"/>
        <v/>
      </c>
      <c r="AI127" s="320">
        <f t="shared" ca="1" si="52"/>
        <v>1</v>
      </c>
      <c r="AJ127" s="320">
        <f t="shared" ca="1" si="53"/>
        <v>0</v>
      </c>
      <c r="AK127" s="320">
        <f t="shared" ca="1" si="54"/>
        <v>0</v>
      </c>
      <c r="AL127" s="418">
        <f t="shared" ca="1" si="45"/>
        <v>0</v>
      </c>
      <c r="AM127" s="418">
        <f ca="1">PRODUCT(Y126*(1-$H127), SUM(OFFSET(D.TPMs!$L$7:$M$7, ($G126-1)*9, 0), OFFSET(D.TPMs!$O$7:$P$7, ($G126-1)*9, 0)))
+PRODUCT(Y126*$H127,     SUM(OFFSET(D.TPMs!$L$7:$M$7, ($G126-1)*9, 12), OFFSET(D.TPMs!$O$7:$P$7, ($G126-1)*9, 12)))
+PRODUCT(AB126*(1-$H127), SUM(OFFSET(D.TPMs!$L$10:$M$10, ($G126-1)*9, 0), OFFSET(D.TPMs!$O$10:$P$10, ($G126-1)*9, 0)))
+PRODUCT(AB126*$H127,     SUM(OFFSET(D.TPMs!$L$10:$M$10, ($G126-1)*9, 12), OFFSET(D.TPMs!$O$10:$P$10, ($G126-1)*9, 12)))</f>
        <v>0</v>
      </c>
    </row>
    <row r="128" spans="4:39" ht="12" customHeight="1" x14ac:dyDescent="0.25">
      <c r="D128" s="62">
        <f t="shared" si="55"/>
        <v>118</v>
      </c>
      <c r="E128" s="63">
        <f t="shared" si="46"/>
        <v>29.5</v>
      </c>
      <c r="F128" s="63">
        <f t="shared" si="47"/>
        <v>94.5</v>
      </c>
      <c r="G128" s="301">
        <f>MATCH(F128, Parameters!$D$523:$D$524, 1)</f>
        <v>2</v>
      </c>
      <c r="H128" s="62">
        <f t="shared" si="48"/>
        <v>0</v>
      </c>
      <c r="I128" s="285">
        <f t="array" aca="1" ref="I128:Q128" ca="1">IF($E128&gt;timeHorizon, 0, MMULT(I127:Q127*(1-$H128), OFFSET(D.rngTPM.Q_I.Root, ($G127-1)*9, 0)) + MMULT(I127:Q127*$H128, OFFSET(D.rngTPM.Q_I.Root, ($G127-1)*9, 12)))</f>
        <v>0</v>
      </c>
      <c r="J128" s="285">
        <f ca="1"/>
        <v>0</v>
      </c>
      <c r="K128" s="285">
        <f ca="1"/>
        <v>0</v>
      </c>
      <c r="L128" s="285">
        <f ca="1"/>
        <v>0</v>
      </c>
      <c r="M128" s="285">
        <f ca="1"/>
        <v>0</v>
      </c>
      <c r="N128" s="285">
        <f ca="1"/>
        <v>0</v>
      </c>
      <c r="O128" s="285">
        <f ca="1"/>
        <v>0</v>
      </c>
      <c r="P128" s="285">
        <f ca="1"/>
        <v>0</v>
      </c>
      <c r="Q128" s="285">
        <f ca="1"/>
        <v>0</v>
      </c>
      <c r="R128" s="283" t="str">
        <f t="shared" si="56"/>
        <v/>
      </c>
      <c r="S128" s="418">
        <f t="shared" ca="1" si="49"/>
        <v>1</v>
      </c>
      <c r="T128" s="418">
        <f t="shared" ca="1" si="50"/>
        <v>0</v>
      </c>
      <c r="U128" s="418">
        <f t="shared" ca="1" si="51"/>
        <v>0</v>
      </c>
      <c r="V128" s="418">
        <f t="shared" ca="1" si="51"/>
        <v>0</v>
      </c>
      <c r="W128" s="418">
        <f ca="1">PRODUCT(I127*(1-$H128), SUM(OFFSET(D.TPMs!$L$7:$M$7, ($G127-1)*9, 0), OFFSET(D.TPMs!$O$7:$P$7, ($G127-1)*9, 0)))
+PRODUCT(I127*$H128,     SUM(OFFSET(D.TPMs!$L$7:$M$7, ($G127-1)*9, 12), OFFSET(D.TPMs!$O$7:$P$7, ($G127-1)*9, 12)))
+PRODUCT(L127*(1-$H128), SUM(OFFSET(D.TPMs!$L$10:$M$10, ($G127-1)*9, 0), OFFSET(D.TPMs!$O$10:$P$10, ($G127-1)*9, 0)))
+PRODUCT(L127*$H128,     SUM(OFFSET(D.TPMs!$L$10:$M$10, ($G127-1)*9, 12), OFFSET(D.TPMs!$O$10:$P$10, ($G127-1)*9, 12)))</f>
        <v>0</v>
      </c>
      <c r="Y128" s="285">
        <f t="array" aca="1" ref="Y128:AG128" ca="1">IF($E128&gt;timeHorizon, 0, MMULT(Y127:AG127*(1-$H128), OFFSET(D.rngTPM.Q_I.Root, ($G127-1)*9, 0)) + MMULT(Y127:AG127*$H128, OFFSET(D.rngTPM.Q_I.Root, ($G127-1)*9, 12)))</f>
        <v>0</v>
      </c>
      <c r="Z128" s="285">
        <f ca="1"/>
        <v>0</v>
      </c>
      <c r="AA128" s="285">
        <f ca="1"/>
        <v>0</v>
      </c>
      <c r="AB128" s="285">
        <f ca="1"/>
        <v>0</v>
      </c>
      <c r="AC128" s="285">
        <f ca="1"/>
        <v>0</v>
      </c>
      <c r="AD128" s="285">
        <f ca="1"/>
        <v>0</v>
      </c>
      <c r="AE128" s="285">
        <f ca="1"/>
        <v>0</v>
      </c>
      <c r="AF128" s="285">
        <f ca="1"/>
        <v>0</v>
      </c>
      <c r="AG128" s="285">
        <f ca="1"/>
        <v>0</v>
      </c>
      <c r="AH128" s="283" t="str">
        <f t="shared" si="57"/>
        <v/>
      </c>
      <c r="AI128" s="320">
        <f t="shared" ca="1" si="52"/>
        <v>1</v>
      </c>
      <c r="AJ128" s="320">
        <f t="shared" ca="1" si="53"/>
        <v>0</v>
      </c>
      <c r="AK128" s="320">
        <f t="shared" ca="1" si="54"/>
        <v>0</v>
      </c>
      <c r="AL128" s="418">
        <f t="shared" ca="1" si="45"/>
        <v>0</v>
      </c>
      <c r="AM128" s="418">
        <f ca="1">PRODUCT(Y127*(1-$H128), SUM(OFFSET(D.TPMs!$L$7:$M$7, ($G127-1)*9, 0), OFFSET(D.TPMs!$O$7:$P$7, ($G127-1)*9, 0)))
+PRODUCT(Y127*$H128,     SUM(OFFSET(D.TPMs!$L$7:$M$7, ($G127-1)*9, 12), OFFSET(D.TPMs!$O$7:$P$7, ($G127-1)*9, 12)))
+PRODUCT(AB127*(1-$H128), SUM(OFFSET(D.TPMs!$L$10:$M$10, ($G127-1)*9, 0), OFFSET(D.TPMs!$O$10:$P$10, ($G127-1)*9, 0)))
+PRODUCT(AB127*$H128,     SUM(OFFSET(D.TPMs!$L$10:$M$10, ($G127-1)*9, 12), OFFSET(D.TPMs!$O$10:$P$10, ($G127-1)*9, 12)))</f>
        <v>0</v>
      </c>
    </row>
    <row r="129" spans="4:39" ht="12" customHeight="1" x14ac:dyDescent="0.25">
      <c r="D129" s="62">
        <f t="shared" si="55"/>
        <v>119</v>
      </c>
      <c r="E129" s="63">
        <f t="shared" si="46"/>
        <v>29.75</v>
      </c>
      <c r="F129" s="63">
        <f t="shared" si="47"/>
        <v>94.75</v>
      </c>
      <c r="G129" s="301">
        <f>MATCH(F129, Parameters!$D$523:$D$524, 1)</f>
        <v>2</v>
      </c>
      <c r="H129" s="62">
        <f t="shared" si="48"/>
        <v>0</v>
      </c>
      <c r="I129" s="285">
        <f t="array" aca="1" ref="I129:Q129" ca="1">IF($E129&gt;timeHorizon, 0, MMULT(I128:Q128*(1-$H129), OFFSET(D.rngTPM.Q_I.Root, ($G128-1)*9, 0)) + MMULT(I128:Q128*$H129, OFFSET(D.rngTPM.Q_I.Root, ($G128-1)*9, 12)))</f>
        <v>0</v>
      </c>
      <c r="J129" s="285">
        <f ca="1"/>
        <v>0</v>
      </c>
      <c r="K129" s="285">
        <f ca="1"/>
        <v>0</v>
      </c>
      <c r="L129" s="285">
        <f ca="1"/>
        <v>0</v>
      </c>
      <c r="M129" s="285">
        <f ca="1"/>
        <v>0</v>
      </c>
      <c r="N129" s="285">
        <f ca="1"/>
        <v>0</v>
      </c>
      <c r="O129" s="285">
        <f ca="1"/>
        <v>0</v>
      </c>
      <c r="P129" s="285">
        <f ca="1"/>
        <v>0</v>
      </c>
      <c r="Q129" s="285">
        <f ca="1"/>
        <v>0</v>
      </c>
      <c r="R129" s="283" t="str">
        <f t="shared" si="56"/>
        <v/>
      </c>
      <c r="S129" s="418">
        <f t="shared" ca="1" si="49"/>
        <v>1</v>
      </c>
      <c r="T129" s="418">
        <f t="shared" ca="1" si="50"/>
        <v>0</v>
      </c>
      <c r="U129" s="418">
        <f t="shared" ca="1" si="51"/>
        <v>0</v>
      </c>
      <c r="V129" s="418">
        <f t="shared" ca="1" si="51"/>
        <v>0</v>
      </c>
      <c r="W129" s="418">
        <f ca="1">PRODUCT(I128*(1-$H129), SUM(OFFSET(D.TPMs!$L$7:$M$7, ($G128-1)*9, 0), OFFSET(D.TPMs!$O$7:$P$7, ($G128-1)*9, 0)))
+PRODUCT(I128*$H129,     SUM(OFFSET(D.TPMs!$L$7:$M$7, ($G128-1)*9, 12), OFFSET(D.TPMs!$O$7:$P$7, ($G128-1)*9, 12)))
+PRODUCT(L128*(1-$H129), SUM(OFFSET(D.TPMs!$L$10:$M$10, ($G128-1)*9, 0), OFFSET(D.TPMs!$O$10:$P$10, ($G128-1)*9, 0)))
+PRODUCT(L128*$H129,     SUM(OFFSET(D.TPMs!$L$10:$M$10, ($G128-1)*9, 12), OFFSET(D.TPMs!$O$10:$P$10, ($G128-1)*9, 12)))</f>
        <v>0</v>
      </c>
      <c r="Y129" s="285">
        <f t="array" aca="1" ref="Y129:AG129" ca="1">IF($E129&gt;timeHorizon, 0, MMULT(Y128:AG128*(1-$H129), OFFSET(D.rngTPM.Q_I.Root, ($G128-1)*9, 0)) + MMULT(Y128:AG128*$H129, OFFSET(D.rngTPM.Q_I.Root, ($G128-1)*9, 12)))</f>
        <v>0</v>
      </c>
      <c r="Z129" s="285">
        <f ca="1"/>
        <v>0</v>
      </c>
      <c r="AA129" s="285">
        <f ca="1"/>
        <v>0</v>
      </c>
      <c r="AB129" s="285">
        <f ca="1"/>
        <v>0</v>
      </c>
      <c r="AC129" s="285">
        <f ca="1"/>
        <v>0</v>
      </c>
      <c r="AD129" s="285">
        <f ca="1"/>
        <v>0</v>
      </c>
      <c r="AE129" s="285">
        <f ca="1"/>
        <v>0</v>
      </c>
      <c r="AF129" s="285">
        <f ca="1"/>
        <v>0</v>
      </c>
      <c r="AG129" s="285">
        <f ca="1"/>
        <v>0</v>
      </c>
      <c r="AH129" s="283" t="str">
        <f t="shared" si="57"/>
        <v/>
      </c>
      <c r="AI129" s="320">
        <f t="shared" ca="1" si="52"/>
        <v>1</v>
      </c>
      <c r="AJ129" s="320">
        <f t="shared" ca="1" si="53"/>
        <v>0</v>
      </c>
      <c r="AK129" s="320">
        <f t="shared" ca="1" si="54"/>
        <v>0</v>
      </c>
      <c r="AL129" s="418">
        <f t="shared" ca="1" si="45"/>
        <v>0</v>
      </c>
      <c r="AM129" s="418">
        <f ca="1">PRODUCT(Y128*(1-$H129), SUM(OFFSET(D.TPMs!$L$7:$M$7, ($G128-1)*9, 0), OFFSET(D.TPMs!$O$7:$P$7, ($G128-1)*9, 0)))
+PRODUCT(Y128*$H129,     SUM(OFFSET(D.TPMs!$L$7:$M$7, ($G128-1)*9, 12), OFFSET(D.TPMs!$O$7:$P$7, ($G128-1)*9, 12)))
+PRODUCT(AB128*(1-$H129), SUM(OFFSET(D.TPMs!$L$10:$M$10, ($G128-1)*9, 0), OFFSET(D.TPMs!$O$10:$P$10, ($G128-1)*9, 0)))
+PRODUCT(AB128*$H129,     SUM(OFFSET(D.TPMs!$L$10:$M$10, ($G128-1)*9, 12), OFFSET(D.TPMs!$O$10:$P$10, ($G128-1)*9, 12)))</f>
        <v>0</v>
      </c>
    </row>
    <row r="130" spans="4:39" ht="12" customHeight="1" x14ac:dyDescent="0.25">
      <c r="D130" s="62">
        <f t="shared" si="55"/>
        <v>120</v>
      </c>
      <c r="E130" s="63">
        <f t="shared" si="46"/>
        <v>30</v>
      </c>
      <c r="F130" s="63">
        <f t="shared" si="47"/>
        <v>95</v>
      </c>
      <c r="G130" s="301">
        <f>MATCH(F130, Parameters!$D$523:$D$524, 1)</f>
        <v>2</v>
      </c>
      <c r="H130" s="62">
        <f t="shared" si="48"/>
        <v>0</v>
      </c>
      <c r="I130" s="285">
        <f t="array" aca="1" ref="I130:Q130" ca="1">IF($E130&gt;timeHorizon, 0, MMULT(I129:Q129*(1-$H130), OFFSET(D.rngTPM.Q_I.Root, ($G129-1)*9, 0)) + MMULT(I129:Q129*$H130, OFFSET(D.rngTPM.Q_I.Root, ($G129-1)*9, 12)))</f>
        <v>0</v>
      </c>
      <c r="J130" s="285">
        <f ca="1"/>
        <v>0</v>
      </c>
      <c r="K130" s="285">
        <f ca="1"/>
        <v>0</v>
      </c>
      <c r="L130" s="285">
        <f ca="1"/>
        <v>0</v>
      </c>
      <c r="M130" s="285">
        <f ca="1"/>
        <v>0</v>
      </c>
      <c r="N130" s="285">
        <f ca="1"/>
        <v>0</v>
      </c>
      <c r="O130" s="285">
        <f ca="1"/>
        <v>0</v>
      </c>
      <c r="P130" s="285">
        <f ca="1"/>
        <v>0</v>
      </c>
      <c r="Q130" s="285">
        <f ca="1"/>
        <v>0</v>
      </c>
      <c r="R130" s="283" t="str">
        <f t="shared" si="56"/>
        <v/>
      </c>
      <c r="S130" s="418">
        <f t="shared" ca="1" si="49"/>
        <v>1</v>
      </c>
      <c r="T130" s="418">
        <f t="shared" ca="1" si="50"/>
        <v>0</v>
      </c>
      <c r="U130" s="418">
        <f t="shared" ca="1" si="51"/>
        <v>0</v>
      </c>
      <c r="V130" s="418">
        <f t="shared" ca="1" si="51"/>
        <v>0</v>
      </c>
      <c r="W130" s="418">
        <f ca="1">PRODUCT(I129*(1-$H130), SUM(OFFSET(D.TPMs!$L$7:$M$7, ($G129-1)*9, 0), OFFSET(D.TPMs!$O$7:$P$7, ($G129-1)*9, 0)))
+PRODUCT(I129*$H130,     SUM(OFFSET(D.TPMs!$L$7:$M$7, ($G129-1)*9, 12), OFFSET(D.TPMs!$O$7:$P$7, ($G129-1)*9, 12)))
+PRODUCT(L129*(1-$H130), SUM(OFFSET(D.TPMs!$L$10:$M$10, ($G129-1)*9, 0), OFFSET(D.TPMs!$O$10:$P$10, ($G129-1)*9, 0)))
+PRODUCT(L129*$H130,     SUM(OFFSET(D.TPMs!$L$10:$M$10, ($G129-1)*9, 12), OFFSET(D.TPMs!$O$10:$P$10, ($G129-1)*9, 12)))</f>
        <v>0</v>
      </c>
      <c r="Y130" s="285">
        <f t="array" aca="1" ref="Y130:AG130" ca="1">IF($E130&gt;timeHorizon, 0, MMULT(Y129:AG129*(1-$H130), OFFSET(D.rngTPM.Q_I.Root, ($G129-1)*9, 0)) + MMULT(Y129:AG129*$H130, OFFSET(D.rngTPM.Q_I.Root, ($G129-1)*9, 12)))</f>
        <v>0</v>
      </c>
      <c r="Z130" s="285">
        <f ca="1"/>
        <v>0</v>
      </c>
      <c r="AA130" s="285">
        <f ca="1"/>
        <v>0</v>
      </c>
      <c r="AB130" s="285">
        <f ca="1"/>
        <v>0</v>
      </c>
      <c r="AC130" s="285">
        <f ca="1"/>
        <v>0</v>
      </c>
      <c r="AD130" s="285">
        <f ca="1"/>
        <v>0</v>
      </c>
      <c r="AE130" s="285">
        <f ca="1"/>
        <v>0</v>
      </c>
      <c r="AF130" s="285">
        <f ca="1"/>
        <v>0</v>
      </c>
      <c r="AG130" s="285">
        <f ca="1"/>
        <v>0</v>
      </c>
      <c r="AH130" s="283" t="str">
        <f t="shared" si="57"/>
        <v/>
      </c>
      <c r="AI130" s="320">
        <f t="shared" ca="1" si="52"/>
        <v>1</v>
      </c>
      <c r="AJ130" s="320">
        <f t="shared" ca="1" si="53"/>
        <v>0</v>
      </c>
      <c r="AK130" s="320">
        <f t="shared" ca="1" si="54"/>
        <v>0</v>
      </c>
      <c r="AL130" s="418">
        <f t="shared" ca="1" si="45"/>
        <v>0</v>
      </c>
      <c r="AM130" s="418">
        <f ca="1">PRODUCT(Y129*(1-$H130), SUM(OFFSET(D.TPMs!$L$7:$M$7, ($G129-1)*9, 0), OFFSET(D.TPMs!$O$7:$P$7, ($G129-1)*9, 0)))
+PRODUCT(Y129*$H130,     SUM(OFFSET(D.TPMs!$L$7:$M$7, ($G129-1)*9, 12), OFFSET(D.TPMs!$O$7:$P$7, ($G129-1)*9, 12)))
+PRODUCT(AB129*(1-$H130), SUM(OFFSET(D.TPMs!$L$10:$M$10, ($G129-1)*9, 0), OFFSET(D.TPMs!$O$10:$P$10, ($G129-1)*9, 0)))
+PRODUCT(AB129*$H130,     SUM(OFFSET(D.TPMs!$L$10:$M$10, ($G129-1)*9, 12), OFFSET(D.TPMs!$O$10:$P$10, ($G129-1)*9, 12)))</f>
        <v>0</v>
      </c>
    </row>
  </sheetData>
  <mergeCells count="35">
    <mergeCell ref="D6:D9"/>
    <mergeCell ref="F6:F9"/>
    <mergeCell ref="I7:I9"/>
    <mergeCell ref="J7:J9"/>
    <mergeCell ref="K7:K9"/>
    <mergeCell ref="E6:E9"/>
    <mergeCell ref="H6:H9"/>
    <mergeCell ref="G6:G9"/>
    <mergeCell ref="L7:L9"/>
    <mergeCell ref="M7:M9"/>
    <mergeCell ref="AG7:AG9"/>
    <mergeCell ref="R7:R9"/>
    <mergeCell ref="Q7:Q9"/>
    <mergeCell ref="S7:S9"/>
    <mergeCell ref="AA7:AA9"/>
    <mergeCell ref="AB7:AB9"/>
    <mergeCell ref="AC7:AC9"/>
    <mergeCell ref="T7:T9"/>
    <mergeCell ref="U7:U9"/>
    <mergeCell ref="AL7:AL9"/>
    <mergeCell ref="AM7:AM9"/>
    <mergeCell ref="AK7:AK9"/>
    <mergeCell ref="N7:N9"/>
    <mergeCell ref="O7:O9"/>
    <mergeCell ref="P7:P9"/>
    <mergeCell ref="AH7:AH9"/>
    <mergeCell ref="AD7:AD9"/>
    <mergeCell ref="AE7:AE9"/>
    <mergeCell ref="AF7:AF9"/>
    <mergeCell ref="Y7:Y9"/>
    <mergeCell ref="Z7:Z9"/>
    <mergeCell ref="AI7:AI9"/>
    <mergeCell ref="AJ7:AJ9"/>
    <mergeCell ref="W7:W9"/>
    <mergeCell ref="V7:V9"/>
  </mergeCells>
  <conditionalFormatting sqref="R10:R130">
    <cfRule type="expression" dxfId="11" priority="2">
      <formula>ROUND(R10,10)&lt;&gt;1</formula>
    </cfRule>
  </conditionalFormatting>
  <conditionalFormatting sqref="AH10:AH130">
    <cfRule type="expression" dxfId="10" priority="1">
      <formula>ROUND(AH10,10)&lt;&gt;1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EFEA9-429E-473B-BD91-753DFA92A6CE}">
  <sheetPr codeName="shtTraceQALYs8">
    <tabColor rgb="FF00B0F0"/>
  </sheetPr>
  <dimension ref="A1:AA131"/>
  <sheetViews>
    <sheetView workbookViewId="0">
      <pane xSplit="6" ySplit="10" topLeftCell="G11" activePane="bottomRight" state="frozen"/>
      <selection activeCell="J14" sqref="J14"/>
      <selection pane="topRight" activeCell="J14" sqref="J14"/>
      <selection pane="bottomLeft" activeCell="J14" sqref="J14"/>
      <selection pane="bottomRight" activeCell="G11" sqref="G11"/>
    </sheetView>
  </sheetViews>
  <sheetFormatPr defaultColWidth="9.28515625" defaultRowHeight="12" customHeight="1" x14ac:dyDescent="0.25"/>
  <cols>
    <col min="1" max="1" width="1.7109375" style="310" customWidth="1"/>
    <col min="2" max="2" width="19.7109375" style="310" customWidth="1"/>
    <col min="3" max="3" width="1.7109375" style="309" customWidth="1"/>
    <col min="17" max="17" width="1.7109375" customWidth="1"/>
    <col min="28" max="28" width="1.7109375" customWidth="1"/>
  </cols>
  <sheetData>
    <row r="1" spans="1:27" s="311" customFormat="1" ht="24.95" customHeight="1" thickBot="1" x14ac:dyDescent="0.3">
      <c r="A1" s="312"/>
      <c r="B1" s="310"/>
      <c r="C1" s="312"/>
      <c r="D1" s="311" t="str">
        <f>D.zWorkbookTitle</f>
        <v>Camacho et al. (2024) Harms of hazardous prescribing of NSAIDs -- D: NSAIDs - HF</v>
      </c>
    </row>
    <row r="2" spans="1:27" ht="12" hidden="1" customHeight="1" thickTop="1" x14ac:dyDescent="0.25">
      <c r="D2">
        <f>COLUMNS(G2:Q2)</f>
        <v>11</v>
      </c>
      <c r="F2" t="s">
        <v>80</v>
      </c>
      <c r="G2">
        <f>MAX(F$2:$F2)+1</f>
        <v>1</v>
      </c>
      <c r="H2">
        <f t="shared" ref="H2:O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R2">
        <f>MAX($F$2:Q2)+1</f>
        <v>2</v>
      </c>
      <c r="S2">
        <f t="shared" ref="S2:Z2" si="1">R2</f>
        <v>2</v>
      </c>
      <c r="T2">
        <f t="shared" si="1"/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</row>
    <row r="3" spans="1:27" ht="12" hidden="1" customHeight="1" x14ac:dyDescent="0.25">
      <c r="F3" t="s">
        <v>79</v>
      </c>
      <c r="G3">
        <v>1</v>
      </c>
      <c r="H3">
        <f t="shared" ref="H3:O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R3">
        <v>1</v>
      </c>
      <c r="S3">
        <f t="shared" ref="S3:Z3" si="3">R3+1</f>
        <v>2</v>
      </c>
      <c r="T3">
        <f t="shared" si="3"/>
        <v>3</v>
      </c>
      <c r="U3">
        <f t="shared" si="3"/>
        <v>4</v>
      </c>
      <c r="V3">
        <f t="shared" si="3"/>
        <v>5</v>
      </c>
      <c r="W3">
        <f t="shared" si="3"/>
        <v>6</v>
      </c>
      <c r="X3">
        <f t="shared" si="3"/>
        <v>7</v>
      </c>
      <c r="Y3">
        <f t="shared" si="3"/>
        <v>8</v>
      </c>
      <c r="Z3">
        <f t="shared" si="3"/>
        <v>9</v>
      </c>
    </row>
    <row r="4" spans="1:27" ht="12" customHeight="1" thickTop="1" x14ac:dyDescent="0.25">
      <c r="G4" s="45">
        <f t="shared" ref="G4:O4" si="4">INDEX(D.rngU.ByState, G$3)</f>
        <v>0.76666666666666672</v>
      </c>
      <c r="H4" s="45">
        <f t="shared" si="4"/>
        <v>0.68166666666666675</v>
      </c>
      <c r="I4" s="45">
        <f t="shared" si="4"/>
        <v>0.60166666666666679</v>
      </c>
      <c r="J4" s="45">
        <f t="shared" si="4"/>
        <v>0.76666666666666672</v>
      </c>
      <c r="K4" s="45">
        <f t="shared" si="4"/>
        <v>0.68166666666666675</v>
      </c>
      <c r="L4" s="45">
        <f t="shared" si="4"/>
        <v>0.60166666666666679</v>
      </c>
      <c r="M4" s="45">
        <f t="shared" si="4"/>
        <v>0.76666666666666672</v>
      </c>
      <c r="N4" s="45">
        <f t="shared" si="4"/>
        <v>0.76666666666666672</v>
      </c>
      <c r="O4" s="45">
        <f t="shared" si="4"/>
        <v>0</v>
      </c>
      <c r="R4" s="45">
        <f t="shared" ref="R4:Z4" si="5">INDEX(D.rngU.ByState, R$3)</f>
        <v>0.76666666666666672</v>
      </c>
      <c r="S4" s="45">
        <f t="shared" si="5"/>
        <v>0.68166666666666675</v>
      </c>
      <c r="T4" s="45">
        <f t="shared" si="5"/>
        <v>0.60166666666666679</v>
      </c>
      <c r="U4" s="45">
        <f t="shared" si="5"/>
        <v>0.76666666666666672</v>
      </c>
      <c r="V4" s="45">
        <f t="shared" si="5"/>
        <v>0.68166666666666675</v>
      </c>
      <c r="W4" s="45">
        <f t="shared" si="5"/>
        <v>0.60166666666666679</v>
      </c>
      <c r="X4" s="45">
        <f t="shared" si="5"/>
        <v>0.76666666666666672</v>
      </c>
      <c r="Y4" s="45">
        <f t="shared" si="5"/>
        <v>0.76666666666666672</v>
      </c>
      <c r="Z4" s="45">
        <f t="shared" si="5"/>
        <v>0</v>
      </c>
    </row>
    <row r="5" spans="1:27" ht="12" customHeight="1" x14ac:dyDescent="0.25">
      <c r="F5" s="56" t="s">
        <v>43</v>
      </c>
      <c r="G5" s="46">
        <f t="shared" ref="G5:O5" ca="1" si="6">SUM(OFFSET(G$11, 0, 0, (101-D.cohortAge)*D.cyclesPerYear))</f>
        <v>3.3066352545482627E-16</v>
      </c>
      <c r="H5" s="46">
        <f t="shared" ca="1" si="6"/>
        <v>0.97613578317433802</v>
      </c>
      <c r="I5" s="46">
        <f t="shared" ca="1" si="6"/>
        <v>0.53709676796991868</v>
      </c>
      <c r="J5" s="46">
        <f t="shared" ca="1" si="6"/>
        <v>0.23894689709552405</v>
      </c>
      <c r="K5" s="46">
        <f t="shared" ca="1" si="6"/>
        <v>0</v>
      </c>
      <c r="L5" s="46">
        <f t="shared" ca="1" si="6"/>
        <v>0</v>
      </c>
      <c r="M5" s="46">
        <f t="shared" ca="1" si="6"/>
        <v>1.6486954102359745</v>
      </c>
      <c r="N5" s="46">
        <f t="shared" ca="1" si="6"/>
        <v>0</v>
      </c>
      <c r="O5" s="46">
        <f t="shared" ca="1" si="6"/>
        <v>0</v>
      </c>
      <c r="P5" s="46">
        <f ca="1">SUM(OFFSET(P$11, 0, 0, timeHorizon*D.cyclesPerYear))</f>
        <v>3.3852899992701708</v>
      </c>
      <c r="R5" s="46">
        <f t="shared" ref="R5:Z5" ca="1" si="7">SUM(OFFSET(R$11, 0, 0, (101-D.cohortAge)*D.cyclesPerYear))</f>
        <v>0.29335311838863082</v>
      </c>
      <c r="S5" s="46">
        <f t="shared" ca="1" si="7"/>
        <v>0.97554642234972777</v>
      </c>
      <c r="T5" s="46">
        <f t="shared" ca="1" si="7"/>
        <v>0.53677248542693357</v>
      </c>
      <c r="U5" s="46">
        <f t="shared" ca="1" si="7"/>
        <v>0</v>
      </c>
      <c r="V5" s="46">
        <f t="shared" ca="1" si="7"/>
        <v>0</v>
      </c>
      <c r="W5" s="46">
        <f t="shared" ca="1" si="7"/>
        <v>0</v>
      </c>
      <c r="X5" s="46">
        <f t="shared" ca="1" si="7"/>
        <v>1.6471653400478612</v>
      </c>
      <c r="Y5" s="46">
        <f t="shared" ca="1" si="7"/>
        <v>0</v>
      </c>
      <c r="Z5" s="46">
        <f t="shared" ca="1" si="7"/>
        <v>0</v>
      </c>
      <c r="AA5" s="46">
        <f ca="1">SUM(OFFSET(AA$11, 0, 0, timeHorizon*D.cyclesPerYear))</f>
        <v>3.4370113960887569</v>
      </c>
    </row>
    <row r="6" spans="1:27" ht="12" customHeight="1" thickBot="1" x14ac:dyDescent="0.3">
      <c r="F6" s="57" t="s">
        <v>42</v>
      </c>
      <c r="G6" s="46">
        <f t="array" aca="1" ref="G6" ca="1">SUM(OFFSET(G$11, 0, 0, (101-D.cohortAge)*D.cyclesPerYear) / (1+DQALYs)^OFFSET($E$11, 0, 0, (101-D.cohortAge)*D.cyclesPerYear))</f>
        <v>2.3542596158305362E-16</v>
      </c>
      <c r="H6" s="46">
        <f t="array" aca="1" ref="H6" ca="1">SUM(OFFSET(H$11, 0, 0, (101-D.cohortAge)*D.cyclesPerYear) / (1+DQALYs)^OFFSET($E$11, 0, 0, (101-D.cohortAge)*D.cyclesPerYear))</f>
        <v>0.86707112655894769</v>
      </c>
      <c r="I6" s="46">
        <f t="array" aca="1" ref="I6" ca="1">SUM(OFFSET(I$11, 0, 0, (101-D.cohortAge)*D.cyclesPerYear) / (1+DQALYs)^OFFSET($E$11, 0, 0, (101-D.cohortAge)*D.cyclesPerYear))</f>
        <v>0.47708639279713083</v>
      </c>
      <c r="J6" s="46">
        <f t="array" aca="1" ref="J6" ca="1">SUM(OFFSET(J$11, 0, 0, (101-D.cohortAge)*D.cyclesPerYear) / (1+DQALYs)^OFFSET($E$11, 0, 0, (101-D.cohortAge)*D.cyclesPerYear))</f>
        <v>0.23742873639356402</v>
      </c>
      <c r="K6" s="46">
        <f t="array" aca="1" ref="K6" ca="1">SUM(OFFSET(K$11, 0, 0, (101-D.cohortAge)*D.cyclesPerYear) / (1+DQALYs)^OFFSET($E$11, 0, 0, (101-D.cohortAge)*D.cyclesPerYear))</f>
        <v>0</v>
      </c>
      <c r="L6" s="46">
        <f t="array" aca="1" ref="L6" ca="1">SUM(OFFSET(L$11, 0, 0, (101-D.cohortAge)*D.cyclesPerYear) / (1+DQALYs)^OFFSET($E$11, 0, 0, (101-D.cohortAge)*D.cyclesPerYear))</f>
        <v>0</v>
      </c>
      <c r="M6" s="46">
        <f t="array" aca="1" ref="M6" ca="1">SUM(OFFSET(M$11, 0, 0, (101-D.cohortAge)*D.cyclesPerYear) / (1+DQALYs)^OFFSET($E$11, 0, 0, (101-D.cohortAge)*D.cyclesPerYear))</f>
        <v>1.4450048438979006</v>
      </c>
      <c r="N6" s="46">
        <f t="array" aca="1" ref="N6" ca="1">SUM(OFFSET(N$11, 0, 0, (101-D.cohortAge)*D.cyclesPerYear) / (1+DQALYs)^OFFSET($E$11, 0, 0, (101-D.cohortAge)*D.cyclesPerYear))</f>
        <v>0</v>
      </c>
      <c r="O6" s="46">
        <f t="array" aca="1" ref="O6" ca="1">SUM(OFFSET(O$11, 0, 0, (101-D.cohortAge)*D.cyclesPerYear) / (1+DQALYs)^OFFSET($E$11, 0, 0, (101-D.cohortAge)*D.cyclesPerYear))</f>
        <v>0</v>
      </c>
      <c r="P6" s="46">
        <f t="array" aca="1" ref="P6" ca="1">SUM(OFFSET(P$11, 0, 0, timeHorizon*D.cyclesPerYear) / (1+DQALYs)^(OFFSET($E$11, 0, 0, timeHorizon*D.cyclesPerYear)+D.cycleLength/2))</f>
        <v>3.0026031694311963</v>
      </c>
      <c r="R6" s="46">
        <f t="array" aca="1" ref="R6" ca="1">SUM(OFFSET(R$11, 0, 0, (101-D.cohortAge)*D.cyclesPerYear) / (1+DQALYs)^OFFSET($E$11, 0, 0, (101-D.cohortAge)*D.cyclesPerYear))</f>
        <v>0.29078692637535325</v>
      </c>
      <c r="S6" s="46">
        <f t="array" aca="1" ref="S6" ca="1">SUM(OFFSET(S$11, 0, 0, (101-D.cohortAge)*D.cyclesPerYear) / (1+DQALYs)^OFFSET($E$11, 0, 0, (101-D.cohortAge)*D.cyclesPerYear))</f>
        <v>0.86496374968080891</v>
      </c>
      <c r="T6" s="46">
        <f t="array" aca="1" ref="T6" ca="1">SUM(OFFSET(T$11, 0, 0, (101-D.cohortAge)*D.cyclesPerYear) / (1+DQALYs)^OFFSET($E$11, 0, 0, (101-D.cohortAge)*D.cyclesPerYear))</f>
        <v>0.4759268560506526</v>
      </c>
      <c r="U6" s="46">
        <f t="array" aca="1" ref="U6" ca="1">SUM(OFFSET(U$11, 0, 0, (101-D.cohortAge)*D.cyclesPerYear) / (1+DQALYs)^OFFSET($E$11, 0, 0, (101-D.cohortAge)*D.cyclesPerYear))</f>
        <v>0</v>
      </c>
      <c r="V6" s="46">
        <f t="array" aca="1" ref="V6" ca="1">SUM(OFFSET(V$11, 0, 0, (101-D.cohortAge)*D.cyclesPerYear) / (1+DQALYs)^OFFSET($E$11, 0, 0, (101-D.cohortAge)*D.cyclesPerYear))</f>
        <v>0</v>
      </c>
      <c r="W6" s="46">
        <f t="array" aca="1" ref="W6" ca="1">SUM(OFFSET(W$11, 0, 0, (101-D.cohortAge)*D.cyclesPerYear) / (1+DQALYs)^OFFSET($E$11, 0, 0, (101-D.cohortAge)*D.cyclesPerYear))</f>
        <v>0</v>
      </c>
      <c r="X6" s="46">
        <f t="array" aca="1" ref="X6" ca="1">SUM(OFFSET(X$11, 0, 0, (101-D.cohortAge)*D.cyclesPerYear) / (1+DQALYs)^OFFSET($E$11, 0, 0, (101-D.cohortAge)*D.cyclesPerYear))</f>
        <v>1.4410762234215155</v>
      </c>
      <c r="Y6" s="46">
        <f t="array" aca="1" ref="Y6" ca="1">SUM(OFFSET(Y$11, 0, 0, (101-D.cohortAge)*D.cyclesPerYear) / (1+DQALYs)^OFFSET($E$11, 0, 0, (101-D.cohortAge)*D.cyclesPerYear))</f>
        <v>0</v>
      </c>
      <c r="Z6" s="46">
        <f t="array" aca="1" ref="Z6" ca="1">SUM(OFFSET(Z$11, 0, 0, (101-D.cohortAge)*D.cyclesPerYear) / (1+DQALYs)^OFFSET($E$11, 0, 0, (101-D.cohortAge)*D.cyclesPerYear))</f>
        <v>0</v>
      </c>
      <c r="AA6" s="46">
        <f t="array" aca="1" ref="AA6" ca="1">SUM(OFFSET(AA$11, 0, 0, timeHorizon*D.cyclesPerYear) / (1+DQALYs)^(OFFSET($E$11, 0, 0, timeHorizon*D.cyclesPerYear)+D.cycleLength/2))</f>
        <v>3.0483975492336235</v>
      </c>
    </row>
    <row r="7" spans="1:27" ht="12" customHeight="1" thickBot="1" x14ac:dyDescent="0.3">
      <c r="D7" s="452" t="s">
        <v>31</v>
      </c>
      <c r="E7" s="452" t="s">
        <v>92</v>
      </c>
      <c r="F7" s="452" t="s">
        <v>30</v>
      </c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R7" s="438" t="str">
        <f>INDEX(rngStrats, R2)</f>
        <v>No HPE</v>
      </c>
      <c r="S7" s="438"/>
      <c r="T7" s="438"/>
      <c r="U7" s="438"/>
      <c r="V7" s="438"/>
      <c r="W7" s="438"/>
      <c r="X7" s="438"/>
      <c r="Y7" s="438"/>
      <c r="Z7" s="438"/>
      <c r="AA7" s="438"/>
    </row>
    <row r="8" spans="1:27" ht="12" customHeight="1" thickBot="1" x14ac:dyDescent="0.3">
      <c r="D8" s="452"/>
      <c r="E8" s="452"/>
      <c r="F8" s="452"/>
      <c r="G8" s="501" t="str">
        <f t="shared" ref="G8:O8" ca="1" si="8">INDEX(D.rngStates, G$3)</f>
        <v>HF no HPE</v>
      </c>
      <c r="H8" s="501" t="str">
        <f t="shared" ca="1" si="8"/>
        <v>PCE no HPE</v>
      </c>
      <c r="I8" s="501" t="str">
        <f t="shared" ca="1" si="8"/>
        <v>SCE no HPE</v>
      </c>
      <c r="J8" s="501" t="str">
        <f t="shared" ca="1" si="8"/>
        <v>HF w HPE</v>
      </c>
      <c r="K8" s="501" t="str">
        <f t="shared" ca="1" si="8"/>
        <v>PCE w HPE</v>
      </c>
      <c r="L8" s="501" t="str">
        <f t="shared" ca="1" si="8"/>
        <v>SCE w HPE</v>
      </c>
      <c r="M8" s="501" t="str">
        <f t="shared" ca="1" si="8"/>
        <v>HF post event no HPE</v>
      </c>
      <c r="N8" s="501" t="str">
        <f t="shared" ca="1" si="8"/>
        <v>HF post event w HPE</v>
      </c>
      <c r="O8" s="501" t="str">
        <f t="shared" ca="1" si="8"/>
        <v>Dead</v>
      </c>
      <c r="P8" s="518" t="s">
        <v>37</v>
      </c>
      <c r="R8" s="501" t="str">
        <f t="shared" ref="R8:Z8" ca="1" si="9">INDEX(D.rngStates, R$3)</f>
        <v>HF no HPE</v>
      </c>
      <c r="S8" s="501" t="str">
        <f t="shared" ca="1" si="9"/>
        <v>PCE no HPE</v>
      </c>
      <c r="T8" s="501" t="str">
        <f t="shared" ca="1" si="9"/>
        <v>SCE no HPE</v>
      </c>
      <c r="U8" s="501" t="str">
        <f t="shared" ca="1" si="9"/>
        <v>HF w HPE</v>
      </c>
      <c r="V8" s="501" t="str">
        <f t="shared" ca="1" si="9"/>
        <v>PCE w HPE</v>
      </c>
      <c r="W8" s="501" t="str">
        <f t="shared" ca="1" si="9"/>
        <v>SCE w HPE</v>
      </c>
      <c r="X8" s="501" t="str">
        <f t="shared" ca="1" si="9"/>
        <v>HF post event no HPE</v>
      </c>
      <c r="Y8" s="501" t="str">
        <f t="shared" ca="1" si="9"/>
        <v>HF post event w HPE</v>
      </c>
      <c r="Z8" s="501" t="str">
        <f t="shared" ca="1" si="9"/>
        <v>Dead</v>
      </c>
      <c r="AA8" s="518" t="s">
        <v>37</v>
      </c>
    </row>
    <row r="9" spans="1:27" ht="12" customHeight="1" thickBot="1" x14ac:dyDescent="0.3">
      <c r="D9" s="452"/>
      <c r="E9" s="452"/>
      <c r="F9" s="452"/>
      <c r="G9" s="502"/>
      <c r="H9" s="502"/>
      <c r="I9" s="502"/>
      <c r="J9" s="502"/>
      <c r="K9" s="502"/>
      <c r="L9" s="502"/>
      <c r="M9" s="502"/>
      <c r="N9" s="502"/>
      <c r="O9" s="502"/>
      <c r="P9" s="519"/>
      <c r="R9" s="502"/>
      <c r="S9" s="502"/>
      <c r="T9" s="502"/>
      <c r="U9" s="502"/>
      <c r="V9" s="502"/>
      <c r="W9" s="502"/>
      <c r="X9" s="502"/>
      <c r="Y9" s="502"/>
      <c r="Z9" s="502"/>
      <c r="AA9" s="519"/>
    </row>
    <row r="10" spans="1:27" ht="12" customHeight="1" thickBot="1" x14ac:dyDescent="0.3">
      <c r="D10" s="452"/>
      <c r="E10" s="452"/>
      <c r="F10" s="452"/>
      <c r="G10" s="527"/>
      <c r="H10" s="527"/>
      <c r="I10" s="527"/>
      <c r="J10" s="527"/>
      <c r="K10" s="527"/>
      <c r="L10" s="527"/>
      <c r="M10" s="527"/>
      <c r="N10" s="527"/>
      <c r="O10" s="527"/>
      <c r="P10" s="520"/>
      <c r="R10" s="527"/>
      <c r="S10" s="527"/>
      <c r="T10" s="527"/>
      <c r="U10" s="527"/>
      <c r="V10" s="527"/>
      <c r="W10" s="527"/>
      <c r="X10" s="527"/>
      <c r="Y10" s="527"/>
      <c r="Z10" s="527"/>
      <c r="AA10" s="520"/>
    </row>
    <row r="11" spans="1:27" ht="12" customHeight="1" x14ac:dyDescent="0.25">
      <c r="D11" s="43">
        <v>0</v>
      </c>
      <c r="E11" s="63">
        <f t="shared" ref="E11:E42" si="10">D11*D.cycleLength</f>
        <v>0</v>
      </c>
      <c r="F11" s="43">
        <f t="shared" ref="F11:F42" si="11">D.cohortAge+E11</f>
        <v>65</v>
      </c>
      <c r="G11" s="45">
        <f t="shared" ref="G11:M20" ca="1" si="12">AVERAGE(OFFSET(D.Trace.Markov.Root, $D11, (G$2-1)*D.Trace.Markov.NumCols+G$3-1, CHOOSE(swtchHalfCycle, 2, 1)))*G$4*D.cycleLength</f>
        <v>0</v>
      </c>
      <c r="H11" s="45">
        <f t="shared" ca="1" si="12"/>
        <v>2.8664763424733144E-2</v>
      </c>
      <c r="I11" s="45">
        <f t="shared" ca="1" si="12"/>
        <v>1.5772141596920457E-2</v>
      </c>
      <c r="J11" s="45">
        <f t="shared" ca="1" si="12"/>
        <v>0.13680065641263875</v>
      </c>
      <c r="K11" s="45">
        <f t="shared" ca="1" si="12"/>
        <v>0</v>
      </c>
      <c r="L11" s="45">
        <f t="shared" ca="1" si="12"/>
        <v>0</v>
      </c>
      <c r="M11" s="45">
        <f t="shared" ca="1" si="12"/>
        <v>0</v>
      </c>
      <c r="N11" s="45">
        <f t="shared" ref="N11:O30" ca="1" si="13">AVERAGE(OFFSET(D.Trace.Markov.Root, $D11, (N$2-1)*D.Trace.Markov.NumCols+N$3-1, 2))*N$4*D.cycleLength</f>
        <v>0</v>
      </c>
      <c r="O11" s="45">
        <f t="shared" ca="1" si="13"/>
        <v>0</v>
      </c>
      <c r="P11" s="302">
        <f t="shared" ref="P11:P42" ca="1" si="14">SUM(G11:O11)</f>
        <v>0.18123756143429234</v>
      </c>
      <c r="R11" s="45">
        <f t="shared" ref="R11:X20" ca="1" si="15">AVERAGE(OFFSET(D.Trace.Markov.Root, $D11, (R$2-1)*D.Trace.Markov.NumCols+R$3-1, CHOOSE(swtchHalfCycle, 2, 1)))*R$4*D.cycleLength</f>
        <v>0.14447063639821747</v>
      </c>
      <c r="S11" s="45">
        <f t="shared" ca="1" si="15"/>
        <v>2.4711002952356162E-2</v>
      </c>
      <c r="T11" s="45">
        <f t="shared" ca="1" si="15"/>
        <v>1.3596673790448672E-2</v>
      </c>
      <c r="U11" s="45">
        <f t="shared" ca="1" si="15"/>
        <v>0</v>
      </c>
      <c r="V11" s="45">
        <f t="shared" ca="1" si="15"/>
        <v>0</v>
      </c>
      <c r="W11" s="45">
        <f t="shared" ca="1" si="15"/>
        <v>0</v>
      </c>
      <c r="X11" s="45">
        <f t="shared" ca="1" si="15"/>
        <v>0</v>
      </c>
      <c r="Y11" s="45">
        <f t="shared" ref="Y11:Z30" ca="1" si="16">AVERAGE(OFFSET(D.Trace.Markov.Root, $D11, (Y$2-1)*D.Trace.Markov.NumCols+Y$3-1, 2))*Y$4*D.cycleLength</f>
        <v>0</v>
      </c>
      <c r="Z11" s="45">
        <f t="shared" ca="1" si="16"/>
        <v>0</v>
      </c>
      <c r="AA11" s="302">
        <f t="shared" ref="AA11:AA42" ca="1" si="17">SUM(R11:Z11)</f>
        <v>0.1827783131410223</v>
      </c>
    </row>
    <row r="12" spans="1:27" ht="12" customHeight="1" x14ac:dyDescent="0.25">
      <c r="D12" s="43">
        <f t="shared" ref="D12:D43" si="18">D11+1</f>
        <v>1</v>
      </c>
      <c r="E12" s="63">
        <f t="shared" si="10"/>
        <v>0.25</v>
      </c>
      <c r="F12" s="43">
        <f t="shared" si="11"/>
        <v>65.25</v>
      </c>
      <c r="G12" s="45">
        <f t="shared" ca="1" si="12"/>
        <v>0</v>
      </c>
      <c r="H12" s="45">
        <f t="shared" ca="1" si="12"/>
        <v>5.4413712410303378E-2</v>
      </c>
      <c r="I12" s="45">
        <f t="shared" ca="1" si="12"/>
        <v>2.9939921855727032E-2</v>
      </c>
      <c r="J12" s="45">
        <f t="shared" ca="1" si="12"/>
        <v>5.8480243708357804E-2</v>
      </c>
      <c r="K12" s="45">
        <f t="shared" ca="1" si="12"/>
        <v>0</v>
      </c>
      <c r="L12" s="45">
        <f t="shared" ca="1" si="12"/>
        <v>0</v>
      </c>
      <c r="M12" s="45">
        <f t="shared" ca="1" si="12"/>
        <v>2.4324360604690835E-2</v>
      </c>
      <c r="N12" s="45">
        <f t="shared" ca="1" si="13"/>
        <v>0</v>
      </c>
      <c r="O12" s="45">
        <f t="shared" ca="1" si="13"/>
        <v>0</v>
      </c>
      <c r="P12" s="302">
        <f t="shared" ca="1" si="14"/>
        <v>0.16715823857907905</v>
      </c>
      <c r="R12" s="45">
        <f t="shared" ca="1" si="15"/>
        <v>7.3321691754540369E-2</v>
      </c>
      <c r="S12" s="45">
        <f t="shared" ca="1" si="15"/>
        <v>4.8886107356040119E-2</v>
      </c>
      <c r="T12" s="45">
        <f t="shared" ca="1" si="15"/>
        <v>2.6898481453240791E-2</v>
      </c>
      <c r="U12" s="45">
        <f t="shared" ca="1" si="15"/>
        <v>0</v>
      </c>
      <c r="V12" s="45">
        <f t="shared" ca="1" si="15"/>
        <v>0</v>
      </c>
      <c r="W12" s="45">
        <f t="shared" ca="1" si="15"/>
        <v>0</v>
      </c>
      <c r="X12" s="45">
        <f t="shared" ca="1" si="15"/>
        <v>2.0969276383354173E-2</v>
      </c>
      <c r="Y12" s="45">
        <f t="shared" ca="1" si="16"/>
        <v>0</v>
      </c>
      <c r="Z12" s="45">
        <f t="shared" ca="1" si="16"/>
        <v>0</v>
      </c>
      <c r="AA12" s="302">
        <f t="shared" ca="1" si="17"/>
        <v>0.17007555694717544</v>
      </c>
    </row>
    <row r="13" spans="1:27" ht="12" customHeight="1" x14ac:dyDescent="0.25">
      <c r="D13" s="43">
        <f t="shared" si="18"/>
        <v>2</v>
      </c>
      <c r="E13" s="63">
        <f t="shared" si="10"/>
        <v>0.5</v>
      </c>
      <c r="F13" s="43">
        <f t="shared" si="11"/>
        <v>65.5</v>
      </c>
      <c r="G13" s="45">
        <f t="shared" ca="1" si="12"/>
        <v>0</v>
      </c>
      <c r="H13" s="45">
        <f t="shared" ca="1" si="12"/>
        <v>4.9381823477745106E-2</v>
      </c>
      <c r="I13" s="45">
        <f t="shared" ca="1" si="12"/>
        <v>2.7171238103890879E-2</v>
      </c>
      <c r="J13" s="45">
        <f t="shared" ca="1" si="12"/>
        <v>2.499943343746237E-2</v>
      </c>
      <c r="K13" s="45">
        <f t="shared" ca="1" si="12"/>
        <v>0</v>
      </c>
      <c r="L13" s="45">
        <f t="shared" ca="1" si="12"/>
        <v>0</v>
      </c>
      <c r="M13" s="45">
        <f t="shared" ca="1" si="12"/>
        <v>5.85195096112461E-2</v>
      </c>
      <c r="N13" s="45">
        <f t="shared" ca="1" si="13"/>
        <v>0</v>
      </c>
      <c r="O13" s="45">
        <f t="shared" ca="1" si="13"/>
        <v>0</v>
      </c>
      <c r="P13" s="302">
        <f t="shared" ca="1" si="14"/>
        <v>0.16007200463034446</v>
      </c>
      <c r="R13" s="45">
        <f t="shared" ca="1" si="15"/>
        <v>3.7212201840997536E-2</v>
      </c>
      <c r="S13" s="45">
        <f t="shared" ca="1" si="15"/>
        <v>4.7328568334874602E-2</v>
      </c>
      <c r="T13" s="45">
        <f t="shared" ca="1" si="15"/>
        <v>2.6041480625410656E-2</v>
      </c>
      <c r="U13" s="45">
        <f t="shared" ca="1" si="15"/>
        <v>0</v>
      </c>
      <c r="V13" s="45">
        <f t="shared" ca="1" si="15"/>
        <v>0</v>
      </c>
      <c r="W13" s="45">
        <f t="shared" ca="1" si="15"/>
        <v>0</v>
      </c>
      <c r="X13" s="45">
        <f t="shared" ca="1" si="15"/>
        <v>5.2126120210594269E-2</v>
      </c>
      <c r="Y13" s="45">
        <f t="shared" ca="1" si="16"/>
        <v>0</v>
      </c>
      <c r="Z13" s="45">
        <f t="shared" ca="1" si="16"/>
        <v>0</v>
      </c>
      <c r="AA13" s="302">
        <f t="shared" ca="1" si="17"/>
        <v>0.16270837101187707</v>
      </c>
    </row>
    <row r="14" spans="1:27" ht="12" customHeight="1" x14ac:dyDescent="0.25">
      <c r="D14" s="43">
        <f t="shared" si="18"/>
        <v>3</v>
      </c>
      <c r="E14" s="63">
        <f t="shared" si="10"/>
        <v>0.75</v>
      </c>
      <c r="F14" s="43">
        <f t="shared" si="11"/>
        <v>65.75</v>
      </c>
      <c r="G14" s="45">
        <f t="shared" ca="1" si="12"/>
        <v>0</v>
      </c>
      <c r="H14" s="45">
        <f t="shared" ca="1" si="12"/>
        <v>4.5815731599956173E-2</v>
      </c>
      <c r="I14" s="45">
        <f t="shared" ca="1" si="12"/>
        <v>2.5209076225534525E-2</v>
      </c>
      <c r="J14" s="45">
        <f t="shared" ca="1" si="12"/>
        <v>1.0686885562769855E-2</v>
      </c>
      <c r="K14" s="45">
        <f t="shared" ca="1" si="12"/>
        <v>0</v>
      </c>
      <c r="L14" s="45">
        <f t="shared" ca="1" si="12"/>
        <v>0</v>
      </c>
      <c r="M14" s="45">
        <f t="shared" ca="1" si="12"/>
        <v>7.1604257775706823E-2</v>
      </c>
      <c r="N14" s="45">
        <f t="shared" ca="1" si="13"/>
        <v>0</v>
      </c>
      <c r="O14" s="45">
        <f t="shared" ca="1" si="13"/>
        <v>0</v>
      </c>
      <c r="P14" s="302">
        <f t="shared" ca="1" si="14"/>
        <v>0.15331595116396737</v>
      </c>
      <c r="R14" s="45">
        <f t="shared" ca="1" si="15"/>
        <v>1.888592492506682E-2</v>
      </c>
      <c r="S14" s="45">
        <f t="shared" ca="1" si="15"/>
        <v>4.5318229483163643E-2</v>
      </c>
      <c r="T14" s="45">
        <f t="shared" ca="1" si="15"/>
        <v>2.4935336871242518E-2</v>
      </c>
      <c r="U14" s="45">
        <f t="shared" ca="1" si="15"/>
        <v>0</v>
      </c>
      <c r="V14" s="45">
        <f t="shared" ca="1" si="15"/>
        <v>0</v>
      </c>
      <c r="W14" s="45">
        <f t="shared" ca="1" si="15"/>
        <v>0</v>
      </c>
      <c r="X14" s="45">
        <f t="shared" ca="1" si="15"/>
        <v>6.6617134435706785E-2</v>
      </c>
      <c r="Y14" s="45">
        <f t="shared" ca="1" si="16"/>
        <v>0</v>
      </c>
      <c r="Z14" s="45">
        <f t="shared" ca="1" si="16"/>
        <v>0</v>
      </c>
      <c r="AA14" s="302">
        <f t="shared" ca="1" si="17"/>
        <v>0.15575662571517979</v>
      </c>
    </row>
    <row r="15" spans="1:27" ht="12" customHeight="1" x14ac:dyDescent="0.25">
      <c r="D15" s="43">
        <f t="shared" si="18"/>
        <v>4</v>
      </c>
      <c r="E15" s="63">
        <f t="shared" si="10"/>
        <v>1</v>
      </c>
      <c r="F15" s="43">
        <f t="shared" si="11"/>
        <v>66</v>
      </c>
      <c r="G15" s="45">
        <f t="shared" ca="1" si="12"/>
        <v>0</v>
      </c>
      <c r="H15" s="45">
        <f t="shared" ca="1" si="12"/>
        <v>4.3229757581278866E-2</v>
      </c>
      <c r="I15" s="45">
        <f t="shared" ca="1" si="12"/>
        <v>2.37862021629025E-2</v>
      </c>
      <c r="J15" s="45">
        <f t="shared" ca="1" si="12"/>
        <v>4.5684844545553788E-3</v>
      </c>
      <c r="K15" s="45">
        <f t="shared" ca="1" si="12"/>
        <v>0</v>
      </c>
      <c r="L15" s="45">
        <f t="shared" ca="1" si="12"/>
        <v>0</v>
      </c>
      <c r="M15" s="45">
        <f t="shared" ca="1" si="12"/>
        <v>7.5218908837803203E-2</v>
      </c>
      <c r="N15" s="45">
        <f t="shared" ca="1" si="13"/>
        <v>0</v>
      </c>
      <c r="O15" s="45">
        <f t="shared" ca="1" si="13"/>
        <v>0</v>
      </c>
      <c r="P15" s="302">
        <f t="shared" ca="1" si="14"/>
        <v>0.14680335303653996</v>
      </c>
      <c r="R15" s="45">
        <f t="shared" ca="1" si="15"/>
        <v>9.584978652950861E-3</v>
      </c>
      <c r="S15" s="45">
        <f t="shared" ca="1" si="15"/>
        <v>4.3382837048727432E-2</v>
      </c>
      <c r="T15" s="45">
        <f t="shared" ca="1" si="15"/>
        <v>2.3870430698139482E-2</v>
      </c>
      <c r="U15" s="45">
        <f t="shared" ca="1" si="15"/>
        <v>0</v>
      </c>
      <c r="V15" s="45">
        <f t="shared" ca="1" si="15"/>
        <v>0</v>
      </c>
      <c r="W15" s="45">
        <f t="shared" ca="1" si="15"/>
        <v>0</v>
      </c>
      <c r="X15" s="45">
        <f t="shared" ca="1" si="15"/>
        <v>7.2265674957421339E-2</v>
      </c>
      <c r="Y15" s="45">
        <f t="shared" ca="1" si="16"/>
        <v>0</v>
      </c>
      <c r="Z15" s="45">
        <f t="shared" ca="1" si="16"/>
        <v>0</v>
      </c>
      <c r="AA15" s="302">
        <f t="shared" ca="1" si="17"/>
        <v>0.1491039213572391</v>
      </c>
    </row>
    <row r="16" spans="1:27" ht="12" customHeight="1" x14ac:dyDescent="0.25">
      <c r="D16" s="43">
        <f t="shared" si="18"/>
        <v>5</v>
      </c>
      <c r="E16" s="63">
        <f t="shared" si="10"/>
        <v>1.25</v>
      </c>
      <c r="F16" s="43">
        <f t="shared" si="11"/>
        <v>66.25</v>
      </c>
      <c r="G16" s="45">
        <f t="shared" ca="1" si="12"/>
        <v>0</v>
      </c>
      <c r="H16" s="45">
        <f t="shared" ca="1" si="12"/>
        <v>4.1114270918654341E-2</v>
      </c>
      <c r="I16" s="45">
        <f t="shared" ca="1" si="12"/>
        <v>2.2622203189845511E-2</v>
      </c>
      <c r="J16" s="45">
        <f t="shared" ca="1" si="12"/>
        <v>1.9529590813831771E-3</v>
      </c>
      <c r="K16" s="45">
        <f t="shared" ca="1" si="12"/>
        <v>0</v>
      </c>
      <c r="L16" s="45">
        <f t="shared" ca="1" si="12"/>
        <v>0</v>
      </c>
      <c r="M16" s="45">
        <f t="shared" ca="1" si="12"/>
        <v>7.4859008157848281E-2</v>
      </c>
      <c r="N16" s="45">
        <f t="shared" ca="1" si="13"/>
        <v>0</v>
      </c>
      <c r="O16" s="45">
        <f t="shared" ca="1" si="13"/>
        <v>0</v>
      </c>
      <c r="P16" s="302">
        <f t="shared" ca="1" si="14"/>
        <v>0.14054844134773131</v>
      </c>
      <c r="R16" s="45">
        <f t="shared" ca="1" si="15"/>
        <v>4.8645653385810377E-3</v>
      </c>
      <c r="S16" s="45">
        <f t="shared" ca="1" si="15"/>
        <v>4.1529879297050036E-2</v>
      </c>
      <c r="T16" s="45">
        <f t="shared" ca="1" si="15"/>
        <v>2.2850882355823471E-2</v>
      </c>
      <c r="U16" s="45">
        <f t="shared" ca="1" si="15"/>
        <v>0</v>
      </c>
      <c r="V16" s="45">
        <f t="shared" ca="1" si="15"/>
        <v>0</v>
      </c>
      <c r="W16" s="45">
        <f t="shared" ca="1" si="15"/>
        <v>0</v>
      </c>
      <c r="X16" s="45">
        <f t="shared" ca="1" si="15"/>
        <v>7.3490084089745153E-2</v>
      </c>
      <c r="Y16" s="45">
        <f t="shared" ca="1" si="16"/>
        <v>0</v>
      </c>
      <c r="Z16" s="45">
        <f t="shared" ca="1" si="16"/>
        <v>0</v>
      </c>
      <c r="AA16" s="302">
        <f t="shared" ca="1" si="17"/>
        <v>0.14273541108119969</v>
      </c>
    </row>
    <row r="17" spans="4:27" ht="12" customHeight="1" x14ac:dyDescent="0.25">
      <c r="D17" s="43">
        <f t="shared" si="18"/>
        <v>6</v>
      </c>
      <c r="E17" s="63">
        <f t="shared" si="10"/>
        <v>1.5</v>
      </c>
      <c r="F17" s="43">
        <f t="shared" si="11"/>
        <v>66.5</v>
      </c>
      <c r="G17" s="45">
        <f t="shared" ca="1" si="12"/>
        <v>0</v>
      </c>
      <c r="H17" s="45">
        <f t="shared" ca="1" si="12"/>
        <v>3.9243180062347754E-2</v>
      </c>
      <c r="I17" s="45">
        <f t="shared" ca="1" si="12"/>
        <v>2.1592677514398737E-2</v>
      </c>
      <c r="J17" s="45">
        <f t="shared" ca="1" si="12"/>
        <v>8.3486092849761483E-4</v>
      </c>
      <c r="K17" s="45">
        <f t="shared" ca="1" si="12"/>
        <v>0</v>
      </c>
      <c r="L17" s="45">
        <f t="shared" ca="1" si="12"/>
        <v>0</v>
      </c>
      <c r="M17" s="45">
        <f t="shared" ca="1" si="12"/>
        <v>7.2881190650705002E-2</v>
      </c>
      <c r="N17" s="45">
        <f t="shared" ca="1" si="13"/>
        <v>0</v>
      </c>
      <c r="O17" s="45">
        <f t="shared" ca="1" si="13"/>
        <v>0</v>
      </c>
      <c r="P17" s="302">
        <f t="shared" ca="1" si="14"/>
        <v>0.13455190915594911</v>
      </c>
      <c r="R17" s="45">
        <f t="shared" ca="1" si="15"/>
        <v>2.4688626641895303E-3</v>
      </c>
      <c r="S17" s="45">
        <f t="shared" ca="1" si="15"/>
        <v>3.9756060034165465E-2</v>
      </c>
      <c r="T17" s="45">
        <f t="shared" ca="1" si="15"/>
        <v>2.1874878187673912E-2</v>
      </c>
      <c r="U17" s="45">
        <f t="shared" ca="1" si="15"/>
        <v>0</v>
      </c>
      <c r="V17" s="45">
        <f t="shared" ca="1" si="15"/>
        <v>0</v>
      </c>
      <c r="W17" s="45">
        <f t="shared" ca="1" si="15"/>
        <v>0</v>
      </c>
      <c r="X17" s="45">
        <f t="shared" ca="1" si="15"/>
        <v>7.2539111924788055E-2</v>
      </c>
      <c r="Y17" s="45">
        <f t="shared" ca="1" si="16"/>
        <v>0</v>
      </c>
      <c r="Z17" s="45">
        <f t="shared" ca="1" si="16"/>
        <v>0</v>
      </c>
      <c r="AA17" s="302">
        <f t="shared" ca="1" si="17"/>
        <v>0.13663891281081697</v>
      </c>
    </row>
    <row r="18" spans="4:27" ht="12" customHeight="1" x14ac:dyDescent="0.25">
      <c r="D18" s="43">
        <f t="shared" si="18"/>
        <v>7</v>
      </c>
      <c r="E18" s="63">
        <f t="shared" si="10"/>
        <v>1.75</v>
      </c>
      <c r="F18" s="43">
        <f t="shared" si="11"/>
        <v>66.75</v>
      </c>
      <c r="G18" s="45">
        <f t="shared" ca="1" si="12"/>
        <v>0</v>
      </c>
      <c r="H18" s="45">
        <f t="shared" ca="1" si="12"/>
        <v>3.7517859288782408E-2</v>
      </c>
      <c r="I18" s="45">
        <f t="shared" ca="1" si="12"/>
        <v>2.0643358549592577E-2</v>
      </c>
      <c r="J18" s="45">
        <f t="shared" ca="1" si="12"/>
        <v>3.5689061618139828E-4</v>
      </c>
      <c r="K18" s="45">
        <f t="shared" ca="1" si="12"/>
        <v>0</v>
      </c>
      <c r="L18" s="45">
        <f t="shared" ca="1" si="12"/>
        <v>0</v>
      </c>
      <c r="M18" s="45">
        <f t="shared" ca="1" si="12"/>
        <v>7.0289638033260646E-2</v>
      </c>
      <c r="N18" s="45">
        <f t="shared" ca="1" si="13"/>
        <v>0</v>
      </c>
      <c r="O18" s="45">
        <f t="shared" ca="1" si="13"/>
        <v>0</v>
      </c>
      <c r="P18" s="302">
        <f t="shared" ca="1" si="14"/>
        <v>0.12880774648781701</v>
      </c>
      <c r="R18" s="45">
        <f t="shared" ca="1" si="15"/>
        <v>1.2529963995523146E-3</v>
      </c>
      <c r="S18" s="45">
        <f t="shared" ca="1" si="15"/>
        <v>3.8058003831512276E-2</v>
      </c>
      <c r="T18" s="45">
        <f t="shared" ca="1" si="15"/>
        <v>2.0940560940015535E-2</v>
      </c>
      <c r="U18" s="45">
        <f t="shared" ca="1" si="15"/>
        <v>0</v>
      </c>
      <c r="V18" s="45">
        <f t="shared" ca="1" si="15"/>
        <v>0</v>
      </c>
      <c r="W18" s="45">
        <f t="shared" ca="1" si="15"/>
        <v>0</v>
      </c>
      <c r="X18" s="45">
        <f t="shared" ca="1" si="15"/>
        <v>7.0551246312965693E-2</v>
      </c>
      <c r="Y18" s="45">
        <f t="shared" ca="1" si="16"/>
        <v>0</v>
      </c>
      <c r="Z18" s="45">
        <f t="shared" ca="1" si="16"/>
        <v>0</v>
      </c>
      <c r="AA18" s="302">
        <f t="shared" ca="1" si="17"/>
        <v>0.13080280748404582</v>
      </c>
    </row>
    <row r="19" spans="4:27" ht="12" customHeight="1" x14ac:dyDescent="0.25">
      <c r="D19" s="43">
        <f t="shared" si="18"/>
        <v>8</v>
      </c>
      <c r="E19" s="63">
        <f t="shared" si="10"/>
        <v>2</v>
      </c>
      <c r="F19" s="43">
        <f t="shared" si="11"/>
        <v>67</v>
      </c>
      <c r="G19" s="45">
        <f t="shared" ca="1" si="12"/>
        <v>0</v>
      </c>
      <c r="H19" s="45">
        <f t="shared" ca="1" si="12"/>
        <v>3.5894381136459798E-2</v>
      </c>
      <c r="I19" s="45">
        <f t="shared" ca="1" si="12"/>
        <v>1.9750076197370358E-2</v>
      </c>
      <c r="J19" s="45">
        <f t="shared" ca="1" si="12"/>
        <v>1.5256542445644231E-4</v>
      </c>
      <c r="K19" s="45">
        <f t="shared" ca="1" si="12"/>
        <v>0</v>
      </c>
      <c r="L19" s="45">
        <f t="shared" ca="1" si="12"/>
        <v>0</v>
      </c>
      <c r="M19" s="45">
        <f t="shared" ca="1" si="12"/>
        <v>6.7510300422918695E-2</v>
      </c>
      <c r="N19" s="45">
        <f t="shared" ca="1" si="13"/>
        <v>0</v>
      </c>
      <c r="O19" s="45">
        <f t="shared" ca="1" si="13"/>
        <v>0</v>
      </c>
      <c r="P19" s="302">
        <f t="shared" ca="1" si="14"/>
        <v>0.1233073231812053</v>
      </c>
      <c r="R19" s="45">
        <f t="shared" ca="1" si="15"/>
        <v>6.3592033694853483E-4</v>
      </c>
      <c r="S19" s="45">
        <f t="shared" ca="1" si="15"/>
        <v>3.643247480543952E-2</v>
      </c>
      <c r="T19" s="45">
        <f t="shared" ca="1" si="15"/>
        <v>2.0046150140622644E-2</v>
      </c>
      <c r="U19" s="45">
        <f t="shared" ca="1" si="15"/>
        <v>0</v>
      </c>
      <c r="V19" s="45">
        <f t="shared" ca="1" si="15"/>
        <v>0</v>
      </c>
      <c r="W19" s="45">
        <f t="shared" ca="1" si="15"/>
        <v>0</v>
      </c>
      <c r="X19" s="45">
        <f t="shared" ca="1" si="15"/>
        <v>6.810142792552322E-2</v>
      </c>
      <c r="Y19" s="45">
        <f t="shared" ca="1" si="16"/>
        <v>0</v>
      </c>
      <c r="Z19" s="45">
        <f t="shared" ca="1" si="16"/>
        <v>0</v>
      </c>
      <c r="AA19" s="302">
        <f t="shared" ca="1" si="17"/>
        <v>0.12521597320853392</v>
      </c>
    </row>
    <row r="20" spans="4:27" ht="12" customHeight="1" x14ac:dyDescent="0.25">
      <c r="D20" s="43">
        <f t="shared" si="18"/>
        <v>9</v>
      </c>
      <c r="E20" s="63">
        <f t="shared" si="10"/>
        <v>2.25</v>
      </c>
      <c r="F20" s="43">
        <f t="shared" si="11"/>
        <v>67.25</v>
      </c>
      <c r="G20" s="45">
        <f t="shared" ca="1" si="12"/>
        <v>0</v>
      </c>
      <c r="H20" s="45">
        <f t="shared" ca="1" si="12"/>
        <v>3.4352278894779494E-2</v>
      </c>
      <c r="I20" s="45">
        <f t="shared" ca="1" si="12"/>
        <v>1.8901569110382717E-2</v>
      </c>
      <c r="J20" s="45">
        <f t="shared" ca="1" si="12"/>
        <v>6.5219447315879297E-5</v>
      </c>
      <c r="K20" s="45">
        <f t="shared" ca="1" si="12"/>
        <v>0</v>
      </c>
      <c r="L20" s="45">
        <f t="shared" ca="1" si="12"/>
        <v>0</v>
      </c>
      <c r="M20" s="45">
        <f t="shared" ca="1" si="12"/>
        <v>6.4722079899456553E-2</v>
      </c>
      <c r="N20" s="45">
        <f t="shared" ca="1" si="13"/>
        <v>0</v>
      </c>
      <c r="O20" s="45">
        <f t="shared" ca="1" si="13"/>
        <v>0</v>
      </c>
      <c r="P20" s="302">
        <f t="shared" ca="1" si="14"/>
        <v>0.11804114735193463</v>
      </c>
      <c r="R20" s="45">
        <f t="shared" ca="1" si="15"/>
        <v>3.2274208855606043E-4</v>
      </c>
      <c r="S20" s="45">
        <f t="shared" ca="1" si="15"/>
        <v>3.4876375185718983E-2</v>
      </c>
      <c r="T20" s="45">
        <f t="shared" ca="1" si="15"/>
        <v>1.9189941311075154E-2</v>
      </c>
      <c r="U20" s="45">
        <f t="shared" ca="1" si="15"/>
        <v>0</v>
      </c>
      <c r="V20" s="45">
        <f t="shared" ca="1" si="15"/>
        <v>0</v>
      </c>
      <c r="W20" s="45">
        <f t="shared" ca="1" si="15"/>
        <v>0</v>
      </c>
      <c r="X20" s="45">
        <f t="shared" ca="1" si="15"/>
        <v>6.5478704562422968E-2</v>
      </c>
      <c r="Y20" s="45">
        <f t="shared" ca="1" si="16"/>
        <v>0</v>
      </c>
      <c r="Z20" s="45">
        <f t="shared" ca="1" si="16"/>
        <v>0</v>
      </c>
      <c r="AA20" s="302">
        <f t="shared" ca="1" si="17"/>
        <v>0.11986776314777317</v>
      </c>
    </row>
    <row r="21" spans="4:27" ht="12" customHeight="1" x14ac:dyDescent="0.25">
      <c r="D21" s="43">
        <f t="shared" si="18"/>
        <v>10</v>
      </c>
      <c r="E21" s="63">
        <f t="shared" si="10"/>
        <v>2.5</v>
      </c>
      <c r="F21" s="43">
        <f t="shared" si="11"/>
        <v>67.5</v>
      </c>
      <c r="G21" s="45">
        <f t="shared" ref="G21:M30" ca="1" si="19">AVERAGE(OFFSET(D.Trace.Markov.Root, $D21, (G$2-1)*D.Trace.Markov.NumCols+G$3-1, CHOOSE(swtchHalfCycle, 2, 1)))*G$4*D.cycleLength</f>
        <v>0</v>
      </c>
      <c r="H21" s="45">
        <f t="shared" ca="1" si="19"/>
        <v>3.2881187143388134E-2</v>
      </c>
      <c r="I21" s="45">
        <f t="shared" ca="1" si="19"/>
        <v>1.8092133949128734E-2</v>
      </c>
      <c r="J21" s="45">
        <f t="shared" ca="1" si="19"/>
        <v>2.7880342635582932E-5</v>
      </c>
      <c r="K21" s="45">
        <f t="shared" ca="1" si="19"/>
        <v>0</v>
      </c>
      <c r="L21" s="45">
        <f t="shared" ca="1" si="19"/>
        <v>0</v>
      </c>
      <c r="M21" s="45">
        <f t="shared" ca="1" si="19"/>
        <v>6.1998405137436575E-2</v>
      </c>
      <c r="N21" s="45">
        <f t="shared" ca="1" si="13"/>
        <v>0</v>
      </c>
      <c r="O21" s="45">
        <f t="shared" ca="1" si="13"/>
        <v>0</v>
      </c>
      <c r="P21" s="302">
        <f t="shared" ca="1" si="14"/>
        <v>0.11299960657258903</v>
      </c>
      <c r="R21" s="45">
        <f t="shared" ref="R21:X30" ca="1" si="20">AVERAGE(OFFSET(D.Trace.Markov.Root, $D21, (R$2-1)*D.Trace.Markov.NumCols+R$3-1, CHOOSE(swtchHalfCycle, 2, 1)))*R$4*D.cycleLength</f>
        <v>1.6379796284759777E-4</v>
      </c>
      <c r="S21" s="45">
        <f t="shared" ca="1" si="20"/>
        <v>3.3386739511678573E-2</v>
      </c>
      <c r="T21" s="45">
        <f t="shared" ca="1" si="20"/>
        <v>1.83703027733115E-2</v>
      </c>
      <c r="U21" s="45">
        <f t="shared" ca="1" si="20"/>
        <v>0</v>
      </c>
      <c r="V21" s="45">
        <f t="shared" ca="1" si="20"/>
        <v>0</v>
      </c>
      <c r="W21" s="45">
        <f t="shared" ca="1" si="20"/>
        <v>0</v>
      </c>
      <c r="X21" s="45">
        <f t="shared" ca="1" si="20"/>
        <v>6.2827144964255205E-2</v>
      </c>
      <c r="Y21" s="45">
        <f t="shared" ca="1" si="16"/>
        <v>0</v>
      </c>
      <c r="Z21" s="45">
        <f t="shared" ca="1" si="16"/>
        <v>0</v>
      </c>
      <c r="AA21" s="302">
        <f t="shared" ca="1" si="17"/>
        <v>0.11474798521209288</v>
      </c>
    </row>
    <row r="22" spans="4:27" ht="12" customHeight="1" x14ac:dyDescent="0.25">
      <c r="D22" s="43">
        <f t="shared" si="18"/>
        <v>11</v>
      </c>
      <c r="E22" s="63">
        <f t="shared" si="10"/>
        <v>2.75</v>
      </c>
      <c r="F22" s="43">
        <f t="shared" si="11"/>
        <v>67.75</v>
      </c>
      <c r="G22" s="45">
        <f t="shared" ca="1" si="19"/>
        <v>0</v>
      </c>
      <c r="H22" s="45">
        <f t="shared" ca="1" si="19"/>
        <v>3.1475127645478565E-2</v>
      </c>
      <c r="I22" s="45">
        <f t="shared" ca="1" si="19"/>
        <v>1.7318481323215566E-2</v>
      </c>
      <c r="J22" s="45">
        <f t="shared" ca="1" si="19"/>
        <v>1.1918431349359917E-5</v>
      </c>
      <c r="K22" s="45">
        <f t="shared" ca="1" si="19"/>
        <v>0</v>
      </c>
      <c r="L22" s="45">
        <f t="shared" ca="1" si="19"/>
        <v>0</v>
      </c>
      <c r="M22" s="45">
        <f t="shared" ca="1" si="19"/>
        <v>5.936774674051519E-2</v>
      </c>
      <c r="N22" s="45">
        <f t="shared" ca="1" si="13"/>
        <v>0</v>
      </c>
      <c r="O22" s="45">
        <f t="shared" ca="1" si="13"/>
        <v>0</v>
      </c>
      <c r="P22" s="302">
        <f t="shared" ca="1" si="14"/>
        <v>0.10817327414055868</v>
      </c>
      <c r="R22" s="45">
        <f t="shared" ca="1" si="20"/>
        <v>8.3130690369696494E-5</v>
      </c>
      <c r="S22" s="45">
        <f t="shared" ca="1" si="20"/>
        <v>3.1960728983013983E-2</v>
      </c>
      <c r="T22" s="45">
        <f t="shared" ca="1" si="20"/>
        <v>1.7585672541289742E-2</v>
      </c>
      <c r="U22" s="45">
        <f t="shared" ca="1" si="20"/>
        <v>0</v>
      </c>
      <c r="V22" s="45">
        <f t="shared" ca="1" si="20"/>
        <v>0</v>
      </c>
      <c r="W22" s="45">
        <f t="shared" ca="1" si="20"/>
        <v>0</v>
      </c>
      <c r="X22" s="45">
        <f t="shared" ca="1" si="20"/>
        <v>6.0217350420503996E-2</v>
      </c>
      <c r="Y22" s="45">
        <f t="shared" ca="1" si="16"/>
        <v>0</v>
      </c>
      <c r="Z22" s="45">
        <f t="shared" ca="1" si="16"/>
        <v>0</v>
      </c>
      <c r="AA22" s="302">
        <f t="shared" ca="1" si="17"/>
        <v>0.10984688263517742</v>
      </c>
    </row>
    <row r="23" spans="4:27" ht="12" customHeight="1" x14ac:dyDescent="0.25">
      <c r="D23" s="43">
        <f t="shared" si="18"/>
        <v>12</v>
      </c>
      <c r="E23" s="63">
        <f t="shared" si="10"/>
        <v>3</v>
      </c>
      <c r="F23" s="43">
        <f t="shared" si="11"/>
        <v>68</v>
      </c>
      <c r="G23" s="45">
        <f t="shared" ca="1" si="19"/>
        <v>0</v>
      </c>
      <c r="H23" s="45">
        <f t="shared" ca="1" si="19"/>
        <v>3.0130063702623663E-2</v>
      </c>
      <c r="I23" s="45">
        <f t="shared" ca="1" si="19"/>
        <v>1.6578390130091852E-2</v>
      </c>
      <c r="J23" s="45">
        <f t="shared" ca="1" si="19"/>
        <v>5.0949519410895589E-6</v>
      </c>
      <c r="K23" s="45">
        <f t="shared" ca="1" si="19"/>
        <v>0</v>
      </c>
      <c r="L23" s="45">
        <f t="shared" ca="1" si="19"/>
        <v>0</v>
      </c>
      <c r="M23" s="45">
        <f t="shared" ca="1" si="19"/>
        <v>5.683948108501246E-2</v>
      </c>
      <c r="N23" s="45">
        <f t="shared" ca="1" si="13"/>
        <v>0</v>
      </c>
      <c r="O23" s="45">
        <f t="shared" ca="1" si="13"/>
        <v>0</v>
      </c>
      <c r="P23" s="302">
        <f t="shared" ca="1" si="14"/>
        <v>0.10355302986966908</v>
      </c>
      <c r="R23" s="45">
        <f t="shared" ca="1" si="20"/>
        <v>4.219046172004146E-5</v>
      </c>
      <c r="S23" s="45">
        <f t="shared" ca="1" si="20"/>
        <v>3.0595626049927906E-2</v>
      </c>
      <c r="T23" s="45">
        <f t="shared" ca="1" si="20"/>
        <v>1.6834555344333303E-2</v>
      </c>
      <c r="U23" s="45">
        <f t="shared" ca="1" si="20"/>
        <v>0</v>
      </c>
      <c r="V23" s="45">
        <f t="shared" ca="1" si="20"/>
        <v>0</v>
      </c>
      <c r="W23" s="45">
        <f t="shared" ca="1" si="20"/>
        <v>0</v>
      </c>
      <c r="X23" s="45">
        <f t="shared" ca="1" si="20"/>
        <v>5.7682743524596396E-2</v>
      </c>
      <c r="Y23" s="45">
        <f t="shared" ca="1" si="16"/>
        <v>0</v>
      </c>
      <c r="Z23" s="45">
        <f t="shared" ca="1" si="16"/>
        <v>0</v>
      </c>
      <c r="AA23" s="302">
        <f t="shared" ca="1" si="17"/>
        <v>0.10515511538057765</v>
      </c>
    </row>
    <row r="24" spans="4:27" ht="12" customHeight="1" x14ac:dyDescent="0.25">
      <c r="D24" s="43">
        <f t="shared" si="18"/>
        <v>13</v>
      </c>
      <c r="E24" s="63">
        <f t="shared" si="10"/>
        <v>3.25</v>
      </c>
      <c r="F24" s="43">
        <f t="shared" si="11"/>
        <v>68.25</v>
      </c>
      <c r="G24" s="45">
        <f t="shared" ca="1" si="19"/>
        <v>0</v>
      </c>
      <c r="H24" s="45">
        <f t="shared" ca="1" si="19"/>
        <v>2.8842851855340589E-2</v>
      </c>
      <c r="I24" s="45">
        <f t="shared" ca="1" si="19"/>
        <v>1.587013075185241E-2</v>
      </c>
      <c r="J24" s="45">
        <f t="shared" ca="1" si="19"/>
        <v>2.1780160929824359E-6</v>
      </c>
      <c r="K24" s="45">
        <f t="shared" ca="1" si="19"/>
        <v>0</v>
      </c>
      <c r="L24" s="45">
        <f t="shared" ca="1" si="19"/>
        <v>0</v>
      </c>
      <c r="M24" s="45">
        <f t="shared" ca="1" si="19"/>
        <v>5.4414941402720587E-2</v>
      </c>
      <c r="N24" s="45">
        <f t="shared" ca="1" si="13"/>
        <v>0</v>
      </c>
      <c r="O24" s="45">
        <f t="shared" ca="1" si="13"/>
        <v>0</v>
      </c>
      <c r="P24" s="302">
        <f t="shared" ca="1" si="14"/>
        <v>9.913010202600657E-2</v>
      </c>
      <c r="R24" s="45">
        <f t="shared" ca="1" si="20"/>
        <v>2.141248980652226E-5</v>
      </c>
      <c r="S24" s="45">
        <f t="shared" ca="1" si="20"/>
        <v>2.9288829234293358E-2</v>
      </c>
      <c r="T24" s="45">
        <f t="shared" ca="1" si="20"/>
        <v>1.6115519777592537E-2</v>
      </c>
      <c r="U24" s="45">
        <f t="shared" ca="1" si="20"/>
        <v>0</v>
      </c>
      <c r="V24" s="45">
        <f t="shared" ca="1" si="20"/>
        <v>0</v>
      </c>
      <c r="W24" s="45">
        <f t="shared" ca="1" si="20"/>
        <v>0</v>
      </c>
      <c r="X24" s="45">
        <f t="shared" ca="1" si="20"/>
        <v>5.5237980840700703E-2</v>
      </c>
      <c r="Y24" s="45">
        <f t="shared" ca="1" si="16"/>
        <v>0</v>
      </c>
      <c r="Z24" s="45">
        <f t="shared" ca="1" si="16"/>
        <v>0</v>
      </c>
      <c r="AA24" s="302">
        <f t="shared" ca="1" si="17"/>
        <v>0.10066374234239311</v>
      </c>
    </row>
    <row r="25" spans="4:27" ht="12" customHeight="1" x14ac:dyDescent="0.25">
      <c r="D25" s="43">
        <f t="shared" si="18"/>
        <v>14</v>
      </c>
      <c r="E25" s="63">
        <f t="shared" si="10"/>
        <v>3.5</v>
      </c>
      <c r="F25" s="43">
        <f t="shared" si="11"/>
        <v>68.5</v>
      </c>
      <c r="G25" s="45">
        <f t="shared" ca="1" si="19"/>
        <v>0</v>
      </c>
      <c r="H25" s="45">
        <f t="shared" ca="1" si="19"/>
        <v>2.7610791048728121E-2</v>
      </c>
      <c r="I25" s="45">
        <f t="shared" ca="1" si="19"/>
        <v>1.5192216993766381E-2</v>
      </c>
      <c r="J25" s="45">
        <f t="shared" ca="1" si="19"/>
        <v>9.3106944994578693E-7</v>
      </c>
      <c r="K25" s="45">
        <f t="shared" ca="1" si="19"/>
        <v>0</v>
      </c>
      <c r="L25" s="45">
        <f t="shared" ca="1" si="19"/>
        <v>0</v>
      </c>
      <c r="M25" s="45">
        <f t="shared" ca="1" si="19"/>
        <v>5.2092136856452649E-2</v>
      </c>
      <c r="N25" s="45">
        <f t="shared" ca="1" si="13"/>
        <v>0</v>
      </c>
      <c r="O25" s="45">
        <f t="shared" ca="1" si="13"/>
        <v>0</v>
      </c>
      <c r="P25" s="302">
        <f t="shared" ca="1" si="14"/>
        <v>9.4896075968397109E-2</v>
      </c>
      <c r="R25" s="45">
        <f t="shared" ca="1" si="20"/>
        <v>1.0867260063585031E-5</v>
      </c>
      <c r="S25" s="45">
        <f t="shared" ca="1" si="20"/>
        <v>2.803784817201407E-2</v>
      </c>
      <c r="T25" s="45">
        <f t="shared" ca="1" si="20"/>
        <v>1.5427195574215005E-2</v>
      </c>
      <c r="U25" s="45">
        <f t="shared" ca="1" si="20"/>
        <v>0</v>
      </c>
      <c r="V25" s="45">
        <f t="shared" ca="1" si="20"/>
        <v>0</v>
      </c>
      <c r="W25" s="45">
        <f t="shared" ca="1" si="20"/>
        <v>0</v>
      </c>
      <c r="X25" s="45">
        <f t="shared" ca="1" si="20"/>
        <v>5.2888293299904396E-2</v>
      </c>
      <c r="Y25" s="45">
        <f t="shared" ca="1" si="16"/>
        <v>0</v>
      </c>
      <c r="Z25" s="45">
        <f t="shared" ca="1" si="16"/>
        <v>0</v>
      </c>
      <c r="AA25" s="302">
        <f t="shared" ca="1" si="17"/>
        <v>9.6364204306197049E-2</v>
      </c>
    </row>
    <row r="26" spans="4:27" ht="12" customHeight="1" x14ac:dyDescent="0.25">
      <c r="D26" s="43">
        <f t="shared" si="18"/>
        <v>15</v>
      </c>
      <c r="E26" s="63">
        <f t="shared" si="10"/>
        <v>3.75</v>
      </c>
      <c r="F26" s="43">
        <f t="shared" si="11"/>
        <v>68.75</v>
      </c>
      <c r="G26" s="45">
        <f t="shared" ca="1" si="19"/>
        <v>0</v>
      </c>
      <c r="H26" s="45">
        <f t="shared" ca="1" si="19"/>
        <v>2.6431427320933249E-2</v>
      </c>
      <c r="I26" s="45">
        <f t="shared" ca="1" si="19"/>
        <v>1.454329861849722E-2</v>
      </c>
      <c r="J26" s="45">
        <f t="shared" ca="1" si="19"/>
        <v>3.9801832659339357E-7</v>
      </c>
      <c r="K26" s="45">
        <f t="shared" ca="1" si="19"/>
        <v>0</v>
      </c>
      <c r="L26" s="45">
        <f t="shared" ca="1" si="19"/>
        <v>0</v>
      </c>
      <c r="M26" s="45">
        <f t="shared" ca="1" si="19"/>
        <v>4.9867764994504835E-2</v>
      </c>
      <c r="N26" s="45">
        <f t="shared" ca="1" si="13"/>
        <v>0</v>
      </c>
      <c r="O26" s="45">
        <f t="shared" ca="1" si="13"/>
        <v>0</v>
      </c>
      <c r="P26" s="302">
        <f t="shared" ca="1" si="14"/>
        <v>9.0842888952261891E-2</v>
      </c>
      <c r="R26" s="45">
        <f t="shared" ca="1" si="20"/>
        <v>5.5153483951043196E-6</v>
      </c>
      <c r="S26" s="45">
        <f t="shared" ca="1" si="20"/>
        <v>2.6840298867134939E-2</v>
      </c>
      <c r="T26" s="45">
        <f t="shared" ca="1" si="20"/>
        <v>1.4768270994026424E-2</v>
      </c>
      <c r="U26" s="45">
        <f t="shared" ca="1" si="20"/>
        <v>0</v>
      </c>
      <c r="V26" s="45">
        <f t="shared" ca="1" si="20"/>
        <v>0</v>
      </c>
      <c r="W26" s="45">
        <f t="shared" ca="1" si="20"/>
        <v>0</v>
      </c>
      <c r="X26" s="45">
        <f t="shared" ca="1" si="20"/>
        <v>5.063422242817571E-2</v>
      </c>
      <c r="Y26" s="45">
        <f t="shared" ca="1" si="16"/>
        <v>0</v>
      </c>
      <c r="Z26" s="45">
        <f t="shared" ca="1" si="16"/>
        <v>0</v>
      </c>
      <c r="AA26" s="302">
        <f t="shared" ca="1" si="17"/>
        <v>9.2248307637732174E-2</v>
      </c>
    </row>
    <row r="27" spans="4:27" ht="12" customHeight="1" x14ac:dyDescent="0.25">
      <c r="D27" s="43">
        <f t="shared" si="18"/>
        <v>16</v>
      </c>
      <c r="E27" s="63">
        <f t="shared" si="10"/>
        <v>4</v>
      </c>
      <c r="F27" s="43">
        <f t="shared" si="11"/>
        <v>69</v>
      </c>
      <c r="G27" s="45">
        <f t="shared" ca="1" si="19"/>
        <v>0</v>
      </c>
      <c r="H27" s="45">
        <f t="shared" ca="1" si="19"/>
        <v>2.5302467834299135E-2</v>
      </c>
      <c r="I27" s="45">
        <f t="shared" ca="1" si="19"/>
        <v>1.3922114043674738E-2</v>
      </c>
      <c r="J27" s="45">
        <f t="shared" ca="1" si="19"/>
        <v>1.7014690828211526E-7</v>
      </c>
      <c r="K27" s="45">
        <f t="shared" ca="1" si="19"/>
        <v>0</v>
      </c>
      <c r="L27" s="45">
        <f t="shared" ca="1" si="19"/>
        <v>0</v>
      </c>
      <c r="M27" s="45">
        <f t="shared" ca="1" si="19"/>
        <v>4.7738067373341797E-2</v>
      </c>
      <c r="N27" s="45">
        <f t="shared" ca="1" si="13"/>
        <v>0</v>
      </c>
      <c r="O27" s="45">
        <f t="shared" ca="1" si="13"/>
        <v>0</v>
      </c>
      <c r="P27" s="302">
        <f t="shared" ca="1" si="14"/>
        <v>8.6962819398223951E-2</v>
      </c>
      <c r="R27" s="45">
        <f t="shared" ca="1" si="20"/>
        <v>2.799147875489855E-6</v>
      </c>
      <c r="S27" s="45">
        <f t="shared" ca="1" si="20"/>
        <v>2.569389914865838E-2</v>
      </c>
      <c r="T27" s="45">
        <f t="shared" ca="1" si="20"/>
        <v>1.4137490323746031E-2</v>
      </c>
      <c r="U27" s="45">
        <f t="shared" ca="1" si="20"/>
        <v>0</v>
      </c>
      <c r="V27" s="45">
        <f t="shared" ca="1" si="20"/>
        <v>0</v>
      </c>
      <c r="W27" s="45">
        <f t="shared" ca="1" si="20"/>
        <v>0</v>
      </c>
      <c r="X27" s="45">
        <f t="shared" ca="1" si="20"/>
        <v>4.8474020048013204E-2</v>
      </c>
      <c r="Y27" s="45">
        <f t="shared" ca="1" si="16"/>
        <v>0</v>
      </c>
      <c r="Z27" s="45">
        <f t="shared" ca="1" si="16"/>
        <v>0</v>
      </c>
      <c r="AA27" s="302">
        <f t="shared" ca="1" si="17"/>
        <v>8.8308208668293114E-2</v>
      </c>
    </row>
    <row r="28" spans="4:27" ht="12" customHeight="1" x14ac:dyDescent="0.25">
      <c r="D28" s="43">
        <f t="shared" si="18"/>
        <v>17</v>
      </c>
      <c r="E28" s="63">
        <f t="shared" si="10"/>
        <v>4.25</v>
      </c>
      <c r="F28" s="43">
        <f t="shared" si="11"/>
        <v>69.25</v>
      </c>
      <c r="G28" s="45">
        <f t="shared" ca="1" si="19"/>
        <v>0</v>
      </c>
      <c r="H28" s="45">
        <f t="shared" ca="1" si="19"/>
        <v>2.4221741754639523E-2</v>
      </c>
      <c r="I28" s="45">
        <f t="shared" ca="1" si="19"/>
        <v>1.3327468816595392E-2</v>
      </c>
      <c r="J28" s="45">
        <f t="shared" ca="1" si="19"/>
        <v>7.2735269869965483E-8</v>
      </c>
      <c r="K28" s="45">
        <f t="shared" ca="1" si="19"/>
        <v>0</v>
      </c>
      <c r="L28" s="45">
        <f t="shared" ca="1" si="19"/>
        <v>0</v>
      </c>
      <c r="M28" s="45">
        <f t="shared" ca="1" si="19"/>
        <v>4.569919085145633E-2</v>
      </c>
      <c r="N28" s="45">
        <f t="shared" ca="1" si="13"/>
        <v>0</v>
      </c>
      <c r="O28" s="45">
        <f t="shared" ca="1" si="13"/>
        <v>0</v>
      </c>
      <c r="P28" s="302">
        <f t="shared" ca="1" si="14"/>
        <v>8.3248474157961105E-2</v>
      </c>
      <c r="R28" s="45">
        <f t="shared" ca="1" si="20"/>
        <v>1.4206226456726262E-6</v>
      </c>
      <c r="S28" s="45">
        <f t="shared" ca="1" si="20"/>
        <v>2.4596464321408586E-2</v>
      </c>
      <c r="T28" s="45">
        <f t="shared" ca="1" si="20"/>
        <v>1.3533651483972425E-2</v>
      </c>
      <c r="U28" s="45">
        <f t="shared" ca="1" si="20"/>
        <v>0</v>
      </c>
      <c r="V28" s="45">
        <f t="shared" ca="1" si="20"/>
        <v>0</v>
      </c>
      <c r="W28" s="45">
        <f t="shared" ca="1" si="20"/>
        <v>0</v>
      </c>
      <c r="X28" s="45">
        <f t="shared" ca="1" si="20"/>
        <v>4.6404862319011732E-2</v>
      </c>
      <c r="Y28" s="45">
        <f t="shared" ca="1" si="16"/>
        <v>0</v>
      </c>
      <c r="Z28" s="45">
        <f t="shared" ca="1" si="16"/>
        <v>0</v>
      </c>
      <c r="AA28" s="302">
        <f t="shared" ca="1" si="17"/>
        <v>8.4536398747038416E-2</v>
      </c>
    </row>
    <row r="29" spans="4:27" ht="12" customHeight="1" x14ac:dyDescent="0.25">
      <c r="D29" s="43">
        <f t="shared" si="18"/>
        <v>18</v>
      </c>
      <c r="E29" s="63">
        <f t="shared" si="10"/>
        <v>4.5</v>
      </c>
      <c r="F29" s="43">
        <f t="shared" si="11"/>
        <v>69.5</v>
      </c>
      <c r="G29" s="45">
        <f t="shared" ca="1" si="19"/>
        <v>0</v>
      </c>
      <c r="H29" s="45">
        <f t="shared" ca="1" si="19"/>
        <v>2.3187181258630396E-2</v>
      </c>
      <c r="I29" s="45">
        <f t="shared" ca="1" si="19"/>
        <v>1.2758225163966569E-2</v>
      </c>
      <c r="J29" s="45">
        <f t="shared" ca="1" si="19"/>
        <v>3.1093244869808794E-8</v>
      </c>
      <c r="K29" s="45">
        <f t="shared" ca="1" si="19"/>
        <v>0</v>
      </c>
      <c r="L29" s="45">
        <f t="shared" ca="1" si="19"/>
        <v>0</v>
      </c>
      <c r="M29" s="45">
        <f t="shared" ca="1" si="19"/>
        <v>4.3747337756028098E-2</v>
      </c>
      <c r="N29" s="45">
        <f t="shared" ca="1" si="13"/>
        <v>0</v>
      </c>
      <c r="O29" s="45">
        <f t="shared" ca="1" si="13"/>
        <v>0</v>
      </c>
      <c r="P29" s="302">
        <f t="shared" ca="1" si="14"/>
        <v>7.9692775271869937E-2</v>
      </c>
      <c r="R29" s="45">
        <f t="shared" ca="1" si="20"/>
        <v>7.2099395643565621E-7</v>
      </c>
      <c r="S29" s="45">
        <f t="shared" ca="1" si="20"/>
        <v>2.3545903002655598E-2</v>
      </c>
      <c r="T29" s="45">
        <f t="shared" ca="1" si="20"/>
        <v>1.2955603738379569E-2</v>
      </c>
      <c r="U29" s="45">
        <f t="shared" ca="1" si="20"/>
        <v>0</v>
      </c>
      <c r="V29" s="45">
        <f t="shared" ca="1" si="20"/>
        <v>0</v>
      </c>
      <c r="W29" s="45">
        <f t="shared" ca="1" si="20"/>
        <v>0</v>
      </c>
      <c r="X29" s="45">
        <f t="shared" ca="1" si="20"/>
        <v>4.4423462196755137E-2</v>
      </c>
      <c r="Y29" s="45">
        <f t="shared" ca="1" si="16"/>
        <v>0</v>
      </c>
      <c r="Z29" s="45">
        <f t="shared" ca="1" si="16"/>
        <v>0</v>
      </c>
      <c r="AA29" s="302">
        <f t="shared" ca="1" si="17"/>
        <v>8.0925689931746744E-2</v>
      </c>
    </row>
    <row r="30" spans="4:27" ht="12" customHeight="1" x14ac:dyDescent="0.25">
      <c r="D30" s="43">
        <f t="shared" si="18"/>
        <v>19</v>
      </c>
      <c r="E30" s="63">
        <f t="shared" si="10"/>
        <v>4.75</v>
      </c>
      <c r="F30" s="43">
        <f t="shared" si="11"/>
        <v>69.75</v>
      </c>
      <c r="G30" s="45">
        <f t="shared" ca="1" si="19"/>
        <v>0</v>
      </c>
      <c r="H30" s="45">
        <f t="shared" ca="1" si="19"/>
        <v>2.2196811242588849E-2</v>
      </c>
      <c r="I30" s="45">
        <f t="shared" ca="1" si="19"/>
        <v>1.2213296329393528E-2</v>
      </c>
      <c r="J30" s="45">
        <f t="shared" ca="1" si="19"/>
        <v>1.329189921563908E-8</v>
      </c>
      <c r="K30" s="45">
        <f t="shared" ca="1" si="19"/>
        <v>0</v>
      </c>
      <c r="L30" s="45">
        <f t="shared" ca="1" si="19"/>
        <v>0</v>
      </c>
      <c r="M30" s="45">
        <f t="shared" ca="1" si="19"/>
        <v>4.1878825978700997E-2</v>
      </c>
      <c r="N30" s="45">
        <f t="shared" ca="1" si="13"/>
        <v>0</v>
      </c>
      <c r="O30" s="45">
        <f t="shared" ca="1" si="13"/>
        <v>0</v>
      </c>
      <c r="P30" s="302">
        <f t="shared" ca="1" si="14"/>
        <v>7.6288946842582583E-2</v>
      </c>
      <c r="R30" s="45">
        <f t="shared" ca="1" si="20"/>
        <v>3.6591862504811356E-7</v>
      </c>
      <c r="S30" s="45">
        <f t="shared" ca="1" si="20"/>
        <v>2.2540213136564992E-2</v>
      </c>
      <c r="T30" s="45">
        <f t="shared" ca="1" si="20"/>
        <v>1.240224550075732E-2</v>
      </c>
      <c r="U30" s="45">
        <f t="shared" ca="1" si="20"/>
        <v>0</v>
      </c>
      <c r="V30" s="45">
        <f t="shared" ca="1" si="20"/>
        <v>0</v>
      </c>
      <c r="W30" s="45">
        <f t="shared" ca="1" si="20"/>
        <v>0</v>
      </c>
      <c r="X30" s="45">
        <f t="shared" ca="1" si="20"/>
        <v>4.252637673480017E-2</v>
      </c>
      <c r="Y30" s="45">
        <f t="shared" ca="1" si="16"/>
        <v>0</v>
      </c>
      <c r="Z30" s="45">
        <f t="shared" ca="1" si="16"/>
        <v>0</v>
      </c>
      <c r="AA30" s="302">
        <f t="shared" ca="1" si="17"/>
        <v>7.7469201290747525E-2</v>
      </c>
    </row>
    <row r="31" spans="4:27" ht="12" customHeight="1" x14ac:dyDescent="0.25">
      <c r="D31" s="43">
        <f t="shared" si="18"/>
        <v>20</v>
      </c>
      <c r="E31" s="63">
        <f t="shared" si="10"/>
        <v>5</v>
      </c>
      <c r="F31" s="43">
        <f t="shared" si="11"/>
        <v>70</v>
      </c>
      <c r="G31" s="45">
        <f t="shared" ref="G31:M40" ca="1" si="21">AVERAGE(OFFSET(D.Trace.Markov.Root, $D31, (G$2-1)*D.Trace.Markov.NumCols+G$3-1, CHOOSE(swtchHalfCycle, 2, 1)))*G$4*D.cycleLength</f>
        <v>0</v>
      </c>
      <c r="H31" s="45">
        <f t="shared" ca="1" si="21"/>
        <v>2.124874284374258E-2</v>
      </c>
      <c r="I31" s="45">
        <f t="shared" ca="1" si="21"/>
        <v>1.1691643008603628E-2</v>
      </c>
      <c r="J31" s="45">
        <f t="shared" ca="1" si="21"/>
        <v>5.6820890035268056E-9</v>
      </c>
      <c r="K31" s="45">
        <f t="shared" ca="1" si="21"/>
        <v>0</v>
      </c>
      <c r="L31" s="45">
        <f t="shared" ca="1" si="21"/>
        <v>0</v>
      </c>
      <c r="M31" s="45">
        <f t="shared" ca="1" si="21"/>
        <v>4.0090110742442987E-2</v>
      </c>
      <c r="N31" s="45">
        <f t="shared" ref="N31:O50" ca="1" si="22">AVERAGE(OFFSET(D.Trace.Markov.Root, $D31, (N$2-1)*D.Trace.Markov.NumCols+N$3-1, 2))*N$4*D.cycleLength</f>
        <v>0</v>
      </c>
      <c r="O31" s="45">
        <f t="shared" ca="1" si="22"/>
        <v>0</v>
      </c>
      <c r="P31" s="302">
        <f t="shared" ca="1" si="14"/>
        <v>7.3030502276878198E-2</v>
      </c>
      <c r="R31" s="45">
        <f t="shared" ref="R31:X40" ca="1" si="23">AVERAGE(OFFSET(D.Trace.Markov.Root, $D31, (R$2-1)*D.Trace.Markov.NumCols+R$3-1, CHOOSE(swtchHalfCycle, 2, 1)))*R$4*D.cycleLength</f>
        <v>1.8571090501096493E-7</v>
      </c>
      <c r="S31" s="45">
        <f t="shared" ca="1" si="23"/>
        <v>2.157747817887791E-2</v>
      </c>
      <c r="T31" s="45">
        <f t="shared" ca="1" si="23"/>
        <v>1.1872522235717423E-2</v>
      </c>
      <c r="U31" s="45">
        <f t="shared" ca="1" si="23"/>
        <v>0</v>
      </c>
      <c r="V31" s="45">
        <f t="shared" ca="1" si="23"/>
        <v>0</v>
      </c>
      <c r="W31" s="45">
        <f t="shared" ca="1" si="23"/>
        <v>0</v>
      </c>
      <c r="X31" s="45">
        <f t="shared" ca="1" si="23"/>
        <v>4.0710159664421791E-2</v>
      </c>
      <c r="Y31" s="45">
        <f t="shared" ref="Y31:Z50" ca="1" si="24">AVERAGE(OFFSET(D.Trace.Markov.Root, $D31, (Y$2-1)*D.Trace.Markov.NumCols+Y$3-1, 2))*Y$4*D.cycleLength</f>
        <v>0</v>
      </c>
      <c r="Z31" s="45">
        <f t="shared" ca="1" si="24"/>
        <v>0</v>
      </c>
      <c r="AA31" s="302">
        <f t="shared" ca="1" si="17"/>
        <v>7.4160345789922144E-2</v>
      </c>
    </row>
    <row r="32" spans="4:27" ht="12" customHeight="1" x14ac:dyDescent="0.25">
      <c r="D32" s="43">
        <f t="shared" si="18"/>
        <v>21</v>
      </c>
      <c r="E32" s="63">
        <f t="shared" si="10"/>
        <v>5.25</v>
      </c>
      <c r="F32" s="43">
        <f t="shared" si="11"/>
        <v>70.25</v>
      </c>
      <c r="G32" s="45">
        <f t="shared" ca="1" si="21"/>
        <v>0</v>
      </c>
      <c r="H32" s="45">
        <f t="shared" ca="1" si="21"/>
        <v>2.0341168680096968E-2</v>
      </c>
      <c r="I32" s="45">
        <f t="shared" ca="1" si="21"/>
        <v>1.1192270730290171E-2</v>
      </c>
      <c r="J32" s="45">
        <f t="shared" ca="1" si="21"/>
        <v>2.4290084449340982E-9</v>
      </c>
      <c r="K32" s="45">
        <f t="shared" ca="1" si="21"/>
        <v>0</v>
      </c>
      <c r="L32" s="45">
        <f t="shared" ca="1" si="21"/>
        <v>0</v>
      </c>
      <c r="M32" s="45">
        <f t="shared" ca="1" si="21"/>
        <v>3.8377790150931311E-2</v>
      </c>
      <c r="N32" s="45">
        <f t="shared" ca="1" si="22"/>
        <v>0</v>
      </c>
      <c r="O32" s="45">
        <f t="shared" ca="1" si="22"/>
        <v>0</v>
      </c>
      <c r="P32" s="302">
        <f t="shared" ca="1" si="14"/>
        <v>6.9911231990326894E-2</v>
      </c>
      <c r="R32" s="45">
        <f t="shared" ca="1" si="23"/>
        <v>9.4251939855362199E-8</v>
      </c>
      <c r="S32" s="45">
        <f t="shared" ca="1" si="23"/>
        <v>2.0655863444550612E-2</v>
      </c>
      <c r="T32" s="45">
        <f t="shared" ca="1" si="23"/>
        <v>1.1365424449064273E-2</v>
      </c>
      <c r="U32" s="45">
        <f t="shared" ca="1" si="23"/>
        <v>0</v>
      </c>
      <c r="V32" s="45">
        <f t="shared" ca="1" si="23"/>
        <v>0</v>
      </c>
      <c r="W32" s="45">
        <f t="shared" ca="1" si="23"/>
        <v>0</v>
      </c>
      <c r="X32" s="45">
        <f t="shared" ca="1" si="23"/>
        <v>3.8971435594231107E-2</v>
      </c>
      <c r="Y32" s="45">
        <f t="shared" ca="1" si="24"/>
        <v>0</v>
      </c>
      <c r="Z32" s="45">
        <f t="shared" ca="1" si="24"/>
        <v>0</v>
      </c>
      <c r="AA32" s="302">
        <f t="shared" ca="1" si="17"/>
        <v>7.0992817739785857E-2</v>
      </c>
    </row>
    <row r="33" spans="4:27" ht="12" customHeight="1" x14ac:dyDescent="0.25">
      <c r="D33" s="43">
        <f t="shared" si="18"/>
        <v>22</v>
      </c>
      <c r="E33" s="63">
        <f t="shared" si="10"/>
        <v>5.5</v>
      </c>
      <c r="F33" s="43">
        <f t="shared" si="11"/>
        <v>70.5</v>
      </c>
      <c r="G33" s="45">
        <f t="shared" ca="1" si="21"/>
        <v>0</v>
      </c>
      <c r="H33" s="45">
        <f t="shared" ca="1" si="21"/>
        <v>1.9472358909998006E-2</v>
      </c>
      <c r="I33" s="45">
        <f t="shared" ca="1" si="21"/>
        <v>1.0714227687975532E-2</v>
      </c>
      <c r="J33" s="45">
        <f t="shared" ca="1" si="21"/>
        <v>1.0383649432275798E-9</v>
      </c>
      <c r="K33" s="45">
        <f t="shared" ca="1" si="21"/>
        <v>0</v>
      </c>
      <c r="L33" s="45">
        <f t="shared" ca="1" si="21"/>
        <v>0</v>
      </c>
      <c r="M33" s="45">
        <f t="shared" ca="1" si="21"/>
        <v>3.6738603965618434E-2</v>
      </c>
      <c r="N33" s="45">
        <f t="shared" ca="1" si="22"/>
        <v>0</v>
      </c>
      <c r="O33" s="45">
        <f t="shared" ca="1" si="22"/>
        <v>0</v>
      </c>
      <c r="P33" s="302">
        <f t="shared" ca="1" si="14"/>
        <v>6.6925191601956924E-2</v>
      </c>
      <c r="R33" s="45">
        <f t="shared" ca="1" si="23"/>
        <v>4.7834714746418965E-8</v>
      </c>
      <c r="S33" s="45">
        <f t="shared" ca="1" si="23"/>
        <v>1.9773612611393227E-2</v>
      </c>
      <c r="T33" s="45">
        <f t="shared" ca="1" si="23"/>
        <v>1.0879985764000753E-2</v>
      </c>
      <c r="U33" s="45">
        <f t="shared" ca="1" si="23"/>
        <v>0</v>
      </c>
      <c r="V33" s="45">
        <f t="shared" ca="1" si="23"/>
        <v>0</v>
      </c>
      <c r="W33" s="45">
        <f t="shared" ca="1" si="23"/>
        <v>0</v>
      </c>
      <c r="X33" s="45">
        <f t="shared" ca="1" si="23"/>
        <v>3.7306934568619922E-2</v>
      </c>
      <c r="Y33" s="45">
        <f t="shared" ca="1" si="24"/>
        <v>0</v>
      </c>
      <c r="Z33" s="45">
        <f t="shared" ca="1" si="24"/>
        <v>0</v>
      </c>
      <c r="AA33" s="302">
        <f t="shared" ca="1" si="17"/>
        <v>6.7960580778728644E-2</v>
      </c>
    </row>
    <row r="34" spans="4:27" ht="12" customHeight="1" x14ac:dyDescent="0.25">
      <c r="D34" s="43">
        <f t="shared" si="18"/>
        <v>23</v>
      </c>
      <c r="E34" s="63">
        <f t="shared" si="10"/>
        <v>5.75</v>
      </c>
      <c r="F34" s="43">
        <f t="shared" si="11"/>
        <v>70.75</v>
      </c>
      <c r="G34" s="45">
        <f t="shared" ca="1" si="21"/>
        <v>0</v>
      </c>
      <c r="H34" s="45">
        <f t="shared" ca="1" si="21"/>
        <v>1.8640657723492753E-2</v>
      </c>
      <c r="I34" s="45">
        <f t="shared" ca="1" si="21"/>
        <v>1.025660280946113E-2</v>
      </c>
      <c r="J34" s="45">
        <f t="shared" ca="1" si="21"/>
        <v>4.438855523836055E-10</v>
      </c>
      <c r="K34" s="45">
        <f t="shared" ca="1" si="21"/>
        <v>0</v>
      </c>
      <c r="L34" s="45">
        <f t="shared" ca="1" si="21"/>
        <v>0</v>
      </c>
      <c r="M34" s="45">
        <f t="shared" ca="1" si="21"/>
        <v>3.5169429641290779E-2</v>
      </c>
      <c r="N34" s="45">
        <f t="shared" ca="1" si="22"/>
        <v>0</v>
      </c>
      <c r="O34" s="45">
        <f t="shared" ca="1" si="22"/>
        <v>0</v>
      </c>
      <c r="P34" s="302">
        <f t="shared" ca="1" si="14"/>
        <v>6.4066690618130223E-2</v>
      </c>
      <c r="R34" s="45">
        <f t="shared" ca="1" si="23"/>
        <v>2.4277059319762033E-8</v>
      </c>
      <c r="S34" s="45">
        <f t="shared" ca="1" si="23"/>
        <v>1.8929044373044639E-2</v>
      </c>
      <c r="T34" s="45">
        <f t="shared" ca="1" si="23"/>
        <v>1.0415281079502922E-2</v>
      </c>
      <c r="U34" s="45">
        <f t="shared" ca="1" si="23"/>
        <v>0</v>
      </c>
      <c r="V34" s="45">
        <f t="shared" ca="1" si="23"/>
        <v>0</v>
      </c>
      <c r="W34" s="45">
        <f t="shared" ca="1" si="23"/>
        <v>0</v>
      </c>
      <c r="X34" s="45">
        <f t="shared" ca="1" si="23"/>
        <v>3.5713506639907522E-2</v>
      </c>
      <c r="Y34" s="45">
        <f t="shared" ca="1" si="24"/>
        <v>0</v>
      </c>
      <c r="Z34" s="45">
        <f t="shared" ca="1" si="24"/>
        <v>0</v>
      </c>
      <c r="AA34" s="302">
        <f t="shared" ca="1" si="17"/>
        <v>6.5057856369514402E-2</v>
      </c>
    </row>
    <row r="35" spans="4:27" ht="12" customHeight="1" x14ac:dyDescent="0.25">
      <c r="D35" s="43">
        <f t="shared" si="18"/>
        <v>24</v>
      </c>
      <c r="E35" s="63">
        <f t="shared" si="10"/>
        <v>6</v>
      </c>
      <c r="F35" s="43">
        <f t="shared" si="11"/>
        <v>71</v>
      </c>
      <c r="G35" s="45">
        <f t="shared" ca="1" si="21"/>
        <v>0</v>
      </c>
      <c r="H35" s="45">
        <f t="shared" ca="1" si="21"/>
        <v>1.7844480096190166E-2</v>
      </c>
      <c r="I35" s="45">
        <f t="shared" ca="1" si="21"/>
        <v>9.818523970712317E-3</v>
      </c>
      <c r="J35" s="45">
        <f t="shared" ca="1" si="21"/>
        <v>1.8975446436245329E-10</v>
      </c>
      <c r="K35" s="45">
        <f t="shared" ca="1" si="21"/>
        <v>0</v>
      </c>
      <c r="L35" s="45">
        <f t="shared" ca="1" si="21"/>
        <v>0</v>
      </c>
      <c r="M35" s="45">
        <f t="shared" ca="1" si="21"/>
        <v>3.3667277336673483E-2</v>
      </c>
      <c r="N35" s="45">
        <f t="shared" ca="1" si="22"/>
        <v>0</v>
      </c>
      <c r="O35" s="45">
        <f t="shared" ca="1" si="22"/>
        <v>0</v>
      </c>
      <c r="P35" s="302">
        <f t="shared" ca="1" si="14"/>
        <v>6.1330281593330427E-2</v>
      </c>
      <c r="R35" s="45">
        <f t="shared" ca="1" si="23"/>
        <v>1.2321085478185422E-8</v>
      </c>
      <c r="S35" s="45">
        <f t="shared" ca="1" si="23"/>
        <v>1.8120549234905178E-2</v>
      </c>
      <c r="T35" s="45">
        <f t="shared" ca="1" si="23"/>
        <v>9.9704248073540051E-3</v>
      </c>
      <c r="U35" s="45">
        <f t="shared" ca="1" si="23"/>
        <v>0</v>
      </c>
      <c r="V35" s="45">
        <f t="shared" ca="1" si="23"/>
        <v>0</v>
      </c>
      <c r="W35" s="45">
        <f t="shared" ca="1" si="23"/>
        <v>0</v>
      </c>
      <c r="X35" s="45">
        <f t="shared" ca="1" si="23"/>
        <v>3.418812642377158E-2</v>
      </c>
      <c r="Y35" s="45">
        <f t="shared" ca="1" si="24"/>
        <v>0</v>
      </c>
      <c r="Z35" s="45">
        <f t="shared" ca="1" si="24"/>
        <v>0</v>
      </c>
      <c r="AA35" s="302">
        <f t="shared" ca="1" si="17"/>
        <v>6.2279112787116245E-2</v>
      </c>
    </row>
    <row r="36" spans="4:27" ht="12" customHeight="1" x14ac:dyDescent="0.25">
      <c r="D36" s="43">
        <f t="shared" si="18"/>
        <v>25</v>
      </c>
      <c r="E36" s="63">
        <f t="shared" si="10"/>
        <v>6.25</v>
      </c>
      <c r="F36" s="43">
        <f t="shared" si="11"/>
        <v>71.25</v>
      </c>
      <c r="G36" s="45">
        <f t="shared" ca="1" si="21"/>
        <v>0</v>
      </c>
      <c r="H36" s="45">
        <f t="shared" ca="1" si="21"/>
        <v>1.7082308729922439E-2</v>
      </c>
      <c r="I36" s="45">
        <f t="shared" ca="1" si="21"/>
        <v>9.3991563125260802E-3</v>
      </c>
      <c r="J36" s="45">
        <f t="shared" ca="1" si="21"/>
        <v>8.1117208145500867E-11</v>
      </c>
      <c r="K36" s="45">
        <f t="shared" ca="1" si="21"/>
        <v>0</v>
      </c>
      <c r="L36" s="45">
        <f t="shared" ca="1" si="21"/>
        <v>0</v>
      </c>
      <c r="M36" s="45">
        <f t="shared" ca="1" si="21"/>
        <v>3.2229284627603487E-2</v>
      </c>
      <c r="N36" s="45">
        <f t="shared" ca="1" si="22"/>
        <v>0</v>
      </c>
      <c r="O36" s="45">
        <f t="shared" ca="1" si="22"/>
        <v>0</v>
      </c>
      <c r="P36" s="302">
        <f t="shared" ca="1" si="14"/>
        <v>5.8710749751169217E-2</v>
      </c>
      <c r="R36" s="45">
        <f t="shared" ca="1" si="23"/>
        <v>6.2531934103392748E-9</v>
      </c>
      <c r="S36" s="45">
        <f t="shared" ca="1" si="23"/>
        <v>1.7346586446921015E-2</v>
      </c>
      <c r="T36" s="45">
        <f t="shared" ca="1" si="23"/>
        <v>9.5445691844779825E-3</v>
      </c>
      <c r="U36" s="45">
        <f t="shared" ca="1" si="23"/>
        <v>0</v>
      </c>
      <c r="V36" s="45">
        <f t="shared" ca="1" si="23"/>
        <v>0</v>
      </c>
      <c r="W36" s="45">
        <f t="shared" ca="1" si="23"/>
        <v>0</v>
      </c>
      <c r="X36" s="45">
        <f t="shared" ca="1" si="23"/>
        <v>3.2727892692309829E-2</v>
      </c>
      <c r="Y36" s="45">
        <f t="shared" ca="1" si="24"/>
        <v>0</v>
      </c>
      <c r="Z36" s="45">
        <f t="shared" ca="1" si="24"/>
        <v>0</v>
      </c>
      <c r="AA36" s="302">
        <f t="shared" ca="1" si="17"/>
        <v>5.9619054576902239E-2</v>
      </c>
    </row>
    <row r="37" spans="4:27" ht="12" customHeight="1" x14ac:dyDescent="0.25">
      <c r="D37" s="43">
        <f t="shared" si="18"/>
        <v>26</v>
      </c>
      <c r="E37" s="63">
        <f t="shared" si="10"/>
        <v>6.5</v>
      </c>
      <c r="F37" s="43">
        <f t="shared" si="11"/>
        <v>71.5</v>
      </c>
      <c r="G37" s="45">
        <f t="shared" ca="1" si="21"/>
        <v>0</v>
      </c>
      <c r="H37" s="45">
        <f t="shared" ca="1" si="21"/>
        <v>1.6352691144660661E-2</v>
      </c>
      <c r="I37" s="45">
        <f t="shared" ca="1" si="21"/>
        <v>8.9977006404230019E-3</v>
      </c>
      <c r="J37" s="45">
        <f t="shared" ca="1" si="21"/>
        <v>3.4676398678831274E-11</v>
      </c>
      <c r="K37" s="45">
        <f t="shared" ca="1" si="21"/>
        <v>0</v>
      </c>
      <c r="L37" s="45">
        <f t="shared" ca="1" si="21"/>
        <v>0</v>
      </c>
      <c r="M37" s="45">
        <f t="shared" ca="1" si="21"/>
        <v>3.0852711227765599E-2</v>
      </c>
      <c r="N37" s="45">
        <f t="shared" ca="1" si="22"/>
        <v>0</v>
      </c>
      <c r="O37" s="45">
        <f t="shared" ca="1" si="22"/>
        <v>0</v>
      </c>
      <c r="P37" s="302">
        <f t="shared" ca="1" si="14"/>
        <v>5.6203103047525661E-2</v>
      </c>
      <c r="R37" s="45">
        <f t="shared" ca="1" si="23"/>
        <v>3.1736187445774722E-9</v>
      </c>
      <c r="S37" s="45">
        <f t="shared" ca="1" si="23"/>
        <v>1.660568106737513E-2</v>
      </c>
      <c r="T37" s="45">
        <f t="shared" ca="1" si="23"/>
        <v>9.1369026573565743E-3</v>
      </c>
      <c r="U37" s="45">
        <f t="shared" ca="1" si="23"/>
        <v>0</v>
      </c>
      <c r="V37" s="45">
        <f t="shared" ca="1" si="23"/>
        <v>0</v>
      </c>
      <c r="W37" s="45">
        <f t="shared" ca="1" si="23"/>
        <v>0</v>
      </c>
      <c r="X37" s="45">
        <f t="shared" ca="1" si="23"/>
        <v>3.1330025564731349E-2</v>
      </c>
      <c r="Y37" s="45">
        <f t="shared" ca="1" si="24"/>
        <v>0</v>
      </c>
      <c r="Z37" s="45">
        <f t="shared" ca="1" si="24"/>
        <v>0</v>
      </c>
      <c r="AA37" s="302">
        <f t="shared" ca="1" si="17"/>
        <v>5.7072612463081804E-2</v>
      </c>
    </row>
    <row r="38" spans="4:27" ht="12" customHeight="1" x14ac:dyDescent="0.25">
      <c r="D38" s="43">
        <f t="shared" si="18"/>
        <v>27</v>
      </c>
      <c r="E38" s="63">
        <f t="shared" si="10"/>
        <v>6.75</v>
      </c>
      <c r="F38" s="43">
        <f t="shared" si="11"/>
        <v>71.75</v>
      </c>
      <c r="G38" s="45">
        <f t="shared" ca="1" si="21"/>
        <v>0</v>
      </c>
      <c r="H38" s="45">
        <f t="shared" ca="1" si="21"/>
        <v>1.5654236903439655E-2</v>
      </c>
      <c r="I38" s="45">
        <f t="shared" ca="1" si="21"/>
        <v>8.6133918977245628E-3</v>
      </c>
      <c r="J38" s="45">
        <f t="shared" ca="1" si="21"/>
        <v>1.4823644117243262E-11</v>
      </c>
      <c r="K38" s="45">
        <f t="shared" ca="1" si="21"/>
        <v>0</v>
      </c>
      <c r="L38" s="45">
        <f t="shared" ca="1" si="21"/>
        <v>0</v>
      </c>
      <c r="M38" s="45">
        <f t="shared" ca="1" si="21"/>
        <v>2.9534933841618302E-2</v>
      </c>
      <c r="N38" s="45">
        <f t="shared" ca="1" si="22"/>
        <v>0</v>
      </c>
      <c r="O38" s="45">
        <f t="shared" ca="1" si="22"/>
        <v>0</v>
      </c>
      <c r="P38" s="302">
        <f t="shared" ca="1" si="14"/>
        <v>5.3802562657606162E-2</v>
      </c>
      <c r="R38" s="45">
        <f t="shared" ca="1" si="23"/>
        <v>1.6106739828773392E-9</v>
      </c>
      <c r="S38" s="45">
        <f t="shared" ca="1" si="23"/>
        <v>1.5896421152089304E-2</v>
      </c>
      <c r="T38" s="45">
        <f t="shared" ca="1" si="23"/>
        <v>8.7466483354508278E-3</v>
      </c>
      <c r="U38" s="45">
        <f t="shared" ca="1" si="23"/>
        <v>0</v>
      </c>
      <c r="V38" s="45">
        <f t="shared" ca="1" si="23"/>
        <v>0</v>
      </c>
      <c r="W38" s="45">
        <f t="shared" ca="1" si="23"/>
        <v>0</v>
      </c>
      <c r="X38" s="45">
        <f t="shared" ca="1" si="23"/>
        <v>2.9991862589967257E-2</v>
      </c>
      <c r="Y38" s="45">
        <f t="shared" ca="1" si="24"/>
        <v>0</v>
      </c>
      <c r="Z38" s="45">
        <f t="shared" ca="1" si="24"/>
        <v>0</v>
      </c>
      <c r="AA38" s="302">
        <f t="shared" ca="1" si="17"/>
        <v>5.463493368818137E-2</v>
      </c>
    </row>
    <row r="39" spans="4:27" ht="12" customHeight="1" x14ac:dyDescent="0.25">
      <c r="D39" s="43">
        <f t="shared" si="18"/>
        <v>28</v>
      </c>
      <c r="E39" s="63">
        <f t="shared" si="10"/>
        <v>7</v>
      </c>
      <c r="F39" s="43">
        <f t="shared" si="11"/>
        <v>72</v>
      </c>
      <c r="G39" s="45">
        <f t="shared" ca="1" si="21"/>
        <v>0</v>
      </c>
      <c r="H39" s="45">
        <f t="shared" ca="1" si="21"/>
        <v>1.4985614959573141E-2</v>
      </c>
      <c r="I39" s="45">
        <f t="shared" ca="1" si="21"/>
        <v>8.2454977059179188E-3</v>
      </c>
      <c r="J39" s="45">
        <f t="shared" ca="1" si="21"/>
        <v>6.3368871418826041E-12</v>
      </c>
      <c r="K39" s="45">
        <f t="shared" ca="1" si="21"/>
        <v>0</v>
      </c>
      <c r="L39" s="45">
        <f t="shared" ca="1" si="21"/>
        <v>0</v>
      </c>
      <c r="M39" s="45">
        <f t="shared" ca="1" si="21"/>
        <v>2.8273441197277521E-2</v>
      </c>
      <c r="N39" s="45">
        <f t="shared" ca="1" si="22"/>
        <v>0</v>
      </c>
      <c r="O39" s="45">
        <f t="shared" ca="1" si="22"/>
        <v>0</v>
      </c>
      <c r="P39" s="302">
        <f t="shared" ca="1" si="14"/>
        <v>5.1504553869105463E-2</v>
      </c>
      <c r="R39" s="45">
        <f t="shared" ca="1" si="23"/>
        <v>8.1744875106708679E-10</v>
      </c>
      <c r="S39" s="45">
        <f t="shared" ca="1" si="23"/>
        <v>1.5217455063680567E-2</v>
      </c>
      <c r="T39" s="45">
        <f t="shared" ca="1" si="23"/>
        <v>8.3730625106799919E-3</v>
      </c>
      <c r="U39" s="45">
        <f t="shared" ca="1" si="23"/>
        <v>0</v>
      </c>
      <c r="V39" s="45">
        <f t="shared" ca="1" si="23"/>
        <v>0</v>
      </c>
      <c r="W39" s="45">
        <f t="shared" ca="1" si="23"/>
        <v>0</v>
      </c>
      <c r="X39" s="45">
        <f t="shared" ca="1" si="23"/>
        <v>2.8710854373329979E-2</v>
      </c>
      <c r="Y39" s="45">
        <f t="shared" ca="1" si="24"/>
        <v>0</v>
      </c>
      <c r="Z39" s="45">
        <f t="shared" ca="1" si="24"/>
        <v>0</v>
      </c>
      <c r="AA39" s="302">
        <f t="shared" ca="1" si="17"/>
        <v>5.2301372765139291E-2</v>
      </c>
    </row>
    <row r="40" spans="4:27" ht="12" customHeight="1" x14ac:dyDescent="0.25">
      <c r="D40" s="43">
        <f t="shared" si="18"/>
        <v>29</v>
      </c>
      <c r="E40" s="63">
        <f t="shared" si="10"/>
        <v>7.25</v>
      </c>
      <c r="F40" s="43">
        <f t="shared" si="11"/>
        <v>72.25</v>
      </c>
      <c r="G40" s="45">
        <f t="shared" ca="1" si="21"/>
        <v>0</v>
      </c>
      <c r="H40" s="45">
        <f t="shared" ca="1" si="21"/>
        <v>1.4345551118782385E-2</v>
      </c>
      <c r="I40" s="45">
        <f t="shared" ca="1" si="21"/>
        <v>7.8933169682492456E-3</v>
      </c>
      <c r="J40" s="45">
        <f t="shared" ca="1" si="21"/>
        <v>2.7089248993940956E-12</v>
      </c>
      <c r="K40" s="45">
        <f t="shared" ca="1" si="21"/>
        <v>0</v>
      </c>
      <c r="L40" s="45">
        <f t="shared" ca="1" si="21"/>
        <v>0</v>
      </c>
      <c r="M40" s="45">
        <f t="shared" ca="1" si="21"/>
        <v>2.7065829274505699E-2</v>
      </c>
      <c r="N40" s="45">
        <f t="shared" ca="1" si="22"/>
        <v>0</v>
      </c>
      <c r="O40" s="45">
        <f t="shared" ca="1" si="22"/>
        <v>0</v>
      </c>
      <c r="P40" s="302">
        <f t="shared" ca="1" si="14"/>
        <v>4.9304697364246253E-2</v>
      </c>
      <c r="R40" s="45">
        <f t="shared" ca="1" si="23"/>
        <v>4.1487133195472272E-10</v>
      </c>
      <c r="S40" s="45">
        <f t="shared" ca="1" si="23"/>
        <v>1.4567488895744404E-2</v>
      </c>
      <c r="T40" s="45">
        <f t="shared" ca="1" si="23"/>
        <v>8.015433240136224E-3</v>
      </c>
      <c r="U40" s="45">
        <f t="shared" ca="1" si="23"/>
        <v>0</v>
      </c>
      <c r="V40" s="45">
        <f t="shared" ca="1" si="23"/>
        <v>0</v>
      </c>
      <c r="W40" s="45">
        <f t="shared" ca="1" si="23"/>
        <v>0</v>
      </c>
      <c r="X40" s="45">
        <f t="shared" ca="1" si="23"/>
        <v>2.7484560073644144E-2</v>
      </c>
      <c r="Y40" s="45">
        <f t="shared" ca="1" si="24"/>
        <v>0</v>
      </c>
      <c r="Z40" s="45">
        <f t="shared" ca="1" si="24"/>
        <v>0</v>
      </c>
      <c r="AA40" s="302">
        <f t="shared" ca="1" si="17"/>
        <v>5.0067482624396101E-2</v>
      </c>
    </row>
    <row r="41" spans="4:27" ht="12" customHeight="1" x14ac:dyDescent="0.25">
      <c r="D41" s="43">
        <f t="shared" si="18"/>
        <v>30</v>
      </c>
      <c r="E41" s="63">
        <f t="shared" si="10"/>
        <v>7.5</v>
      </c>
      <c r="F41" s="43">
        <f t="shared" si="11"/>
        <v>72.5</v>
      </c>
      <c r="G41" s="45">
        <f t="shared" ref="G41:M50" ca="1" si="25">AVERAGE(OFFSET(D.Trace.Markov.Root, $D41, (G$2-1)*D.Trace.Markov.NumCols+G$3-1, CHOOSE(swtchHalfCycle, 2, 1)))*G$4*D.cycleLength</f>
        <v>0</v>
      </c>
      <c r="H41" s="45">
        <f t="shared" ca="1" si="25"/>
        <v>1.3732825610409498E-2</v>
      </c>
      <c r="I41" s="45">
        <f t="shared" ca="1" si="25"/>
        <v>7.5561785333384656E-3</v>
      </c>
      <c r="J41" s="45">
        <f t="shared" ca="1" si="25"/>
        <v>1.1580250596631593E-12</v>
      </c>
      <c r="K41" s="45">
        <f t="shared" ca="1" si="25"/>
        <v>0</v>
      </c>
      <c r="L41" s="45">
        <f t="shared" ca="1" si="25"/>
        <v>0</v>
      </c>
      <c r="M41" s="45">
        <f t="shared" ca="1" si="25"/>
        <v>2.5909796729234106E-2</v>
      </c>
      <c r="N41" s="45">
        <f t="shared" ca="1" si="22"/>
        <v>0</v>
      </c>
      <c r="O41" s="45">
        <f t="shared" ca="1" si="22"/>
        <v>0</v>
      </c>
      <c r="P41" s="302">
        <f t="shared" ca="1" si="14"/>
        <v>4.7198800874140093E-2</v>
      </c>
      <c r="R41" s="45">
        <f t="shared" ref="R41:X50" ca="1" si="26">AVERAGE(OFFSET(D.Trace.Markov.Root, $D41, (R$2-1)*D.Trace.Markov.NumCols+R$3-1, CHOOSE(swtchHalfCycle, 2, 1)))*R$4*D.cycleLength</f>
        <v>2.1055536735875484E-10</v>
      </c>
      <c r="S41" s="45">
        <f t="shared" ca="1" si="26"/>
        <v>1.39452840070559E-2</v>
      </c>
      <c r="T41" s="45">
        <f t="shared" ca="1" si="26"/>
        <v>7.673078989334222E-3</v>
      </c>
      <c r="U41" s="45">
        <f t="shared" ca="1" si="26"/>
        <v>0</v>
      </c>
      <c r="V41" s="45">
        <f t="shared" ca="1" si="26"/>
        <v>0</v>
      </c>
      <c r="W41" s="45">
        <f t="shared" ca="1" si="26"/>
        <v>0</v>
      </c>
      <c r="X41" s="45">
        <f t="shared" ca="1" si="26"/>
        <v>2.631064293216382E-2</v>
      </c>
      <c r="Y41" s="45">
        <f t="shared" ca="1" si="24"/>
        <v>0</v>
      </c>
      <c r="Z41" s="45">
        <f t="shared" ca="1" si="24"/>
        <v>0</v>
      </c>
      <c r="AA41" s="302">
        <f t="shared" ca="1" si="17"/>
        <v>4.7929006139109311E-2</v>
      </c>
    </row>
    <row r="42" spans="4:27" ht="12" customHeight="1" x14ac:dyDescent="0.25">
      <c r="D42" s="43">
        <f t="shared" si="18"/>
        <v>31</v>
      </c>
      <c r="E42" s="63">
        <f t="shared" si="10"/>
        <v>7.75</v>
      </c>
      <c r="F42" s="43">
        <f t="shared" si="11"/>
        <v>72.75</v>
      </c>
      <c r="G42" s="45">
        <f t="shared" ca="1" si="25"/>
        <v>0</v>
      </c>
      <c r="H42" s="45">
        <f t="shared" ca="1" si="25"/>
        <v>1.3146270762662664E-2</v>
      </c>
      <c r="I42" s="45">
        <f t="shared" ca="1" si="25"/>
        <v>7.2334399160352168E-3</v>
      </c>
      <c r="J42" s="45">
        <f t="shared" ca="1" si="25"/>
        <v>4.9503847046767881E-13</v>
      </c>
      <c r="K42" s="45">
        <f t="shared" ca="1" si="25"/>
        <v>0</v>
      </c>
      <c r="L42" s="45">
        <f t="shared" ca="1" si="25"/>
        <v>0</v>
      </c>
      <c r="M42" s="45">
        <f t="shared" ca="1" si="25"/>
        <v>2.4803140510396698E-2</v>
      </c>
      <c r="N42" s="45">
        <f t="shared" ca="1" si="22"/>
        <v>0</v>
      </c>
      <c r="O42" s="45">
        <f t="shared" ca="1" si="22"/>
        <v>0</v>
      </c>
      <c r="P42" s="302">
        <f t="shared" ca="1" si="14"/>
        <v>4.5182851189589618E-2</v>
      </c>
      <c r="R42" s="45">
        <f t="shared" ca="1" si="26"/>
        <v>1.0686099353912111E-10</v>
      </c>
      <c r="S42" s="45">
        <f t="shared" ca="1" si="26"/>
        <v>1.3349654661089861E-2</v>
      </c>
      <c r="T42" s="45">
        <f t="shared" ca="1" si="26"/>
        <v>7.3453473334102225E-3</v>
      </c>
      <c r="U42" s="45">
        <f t="shared" ca="1" si="26"/>
        <v>0</v>
      </c>
      <c r="V42" s="45">
        <f t="shared" ca="1" si="26"/>
        <v>0</v>
      </c>
      <c r="W42" s="45">
        <f t="shared" ca="1" si="26"/>
        <v>0</v>
      </c>
      <c r="X42" s="45">
        <f t="shared" ca="1" si="26"/>
        <v>2.5186865910981113E-2</v>
      </c>
      <c r="Y42" s="45">
        <f t="shared" ca="1" si="24"/>
        <v>0</v>
      </c>
      <c r="Z42" s="45">
        <f t="shared" ca="1" si="24"/>
        <v>0</v>
      </c>
      <c r="AA42" s="302">
        <f t="shared" ca="1" si="17"/>
        <v>4.5881868012342189E-2</v>
      </c>
    </row>
    <row r="43" spans="4:27" ht="12" customHeight="1" x14ac:dyDescent="0.25">
      <c r="D43" s="43">
        <f t="shared" si="18"/>
        <v>32</v>
      </c>
      <c r="E43" s="63">
        <f t="shared" ref="E43:E74" si="27">D43*D.cycleLength</f>
        <v>8</v>
      </c>
      <c r="F43" s="43">
        <f t="shared" ref="F43:F74" si="28">D.cohortAge+E43</f>
        <v>73</v>
      </c>
      <c r="G43" s="45">
        <f t="shared" ca="1" si="25"/>
        <v>0</v>
      </c>
      <c r="H43" s="45">
        <f t="shared" ca="1" si="25"/>
        <v>1.2584768777281666E-2</v>
      </c>
      <c r="I43" s="45">
        <f t="shared" ca="1" si="25"/>
        <v>6.924486072978563E-3</v>
      </c>
      <c r="J43" s="45">
        <f t="shared" ca="1" si="25"/>
        <v>2.1162157519653477E-13</v>
      </c>
      <c r="K43" s="45">
        <f t="shared" ca="1" si="25"/>
        <v>0</v>
      </c>
      <c r="L43" s="45">
        <f t="shared" ca="1" si="25"/>
        <v>0</v>
      </c>
      <c r="M43" s="45">
        <f t="shared" ca="1" si="25"/>
        <v>2.3743751662645342E-2</v>
      </c>
      <c r="N43" s="45">
        <f t="shared" ca="1" si="22"/>
        <v>0</v>
      </c>
      <c r="O43" s="45">
        <f t="shared" ca="1" si="22"/>
        <v>0</v>
      </c>
      <c r="P43" s="302">
        <f t="shared" ref="P43:P74" ca="1" si="29">SUM(G43:O43)</f>
        <v>4.3253006513117191E-2</v>
      </c>
      <c r="R43" s="45">
        <f t="shared" ca="1" si="26"/>
        <v>5.4234057689497665E-11</v>
      </c>
      <c r="S43" s="45">
        <f t="shared" ca="1" si="26"/>
        <v>1.2779465766361421E-2</v>
      </c>
      <c r="T43" s="45">
        <f t="shared" ca="1" si="26"/>
        <v>7.0316137137952442E-3</v>
      </c>
      <c r="U43" s="45">
        <f t="shared" ca="1" si="26"/>
        <v>0</v>
      </c>
      <c r="V43" s="45">
        <f t="shared" ca="1" si="26"/>
        <v>0</v>
      </c>
      <c r="W43" s="45">
        <f t="shared" ca="1" si="26"/>
        <v>0</v>
      </c>
      <c r="X43" s="45">
        <f t="shared" ca="1" si="26"/>
        <v>2.4111087476375307E-2</v>
      </c>
      <c r="Y43" s="45">
        <f t="shared" ca="1" si="24"/>
        <v>0</v>
      </c>
      <c r="Z43" s="45">
        <f t="shared" ca="1" si="24"/>
        <v>0</v>
      </c>
      <c r="AA43" s="302">
        <f t="shared" ref="AA43:AA74" ca="1" si="30">SUM(R43:Z43)</f>
        <v>4.3922167010766025E-2</v>
      </c>
    </row>
    <row r="44" spans="4:27" ht="12" customHeight="1" x14ac:dyDescent="0.25">
      <c r="D44" s="43">
        <f t="shared" ref="D44:D75" si="31">D43+1</f>
        <v>33</v>
      </c>
      <c r="E44" s="63">
        <f t="shared" si="27"/>
        <v>8.25</v>
      </c>
      <c r="F44" s="43">
        <f t="shared" si="28"/>
        <v>73.25</v>
      </c>
      <c r="G44" s="45">
        <f t="shared" ca="1" si="25"/>
        <v>0</v>
      </c>
      <c r="H44" s="45">
        <f t="shared" ca="1" si="25"/>
        <v>1.204724959930528E-2</v>
      </c>
      <c r="I44" s="45">
        <f t="shared" ca="1" si="25"/>
        <v>6.6287282304844297E-3</v>
      </c>
      <c r="J44" s="45">
        <f t="shared" ca="1" si="25"/>
        <v>9.0465072434378718E-14</v>
      </c>
      <c r="K44" s="45">
        <f t="shared" ca="1" si="25"/>
        <v>0</v>
      </c>
      <c r="L44" s="45">
        <f t="shared" ca="1" si="25"/>
        <v>0</v>
      </c>
      <c r="M44" s="45">
        <f t="shared" ca="1" si="25"/>
        <v>2.2729611307769609E-2</v>
      </c>
      <c r="N44" s="45">
        <f t="shared" ca="1" si="22"/>
        <v>0</v>
      </c>
      <c r="O44" s="45">
        <f t="shared" ca="1" si="22"/>
        <v>0</v>
      </c>
      <c r="P44" s="302">
        <f t="shared" ca="1" si="29"/>
        <v>4.1405589137649787E-2</v>
      </c>
      <c r="R44" s="45">
        <f t="shared" ca="1" si="26"/>
        <v>2.7524851829034868E-11</v>
      </c>
      <c r="S44" s="45">
        <f t="shared" ca="1" si="26"/>
        <v>1.2233630713280976E-2</v>
      </c>
      <c r="T44" s="45">
        <f t="shared" ca="1" si="26"/>
        <v>6.7312802479931452E-3</v>
      </c>
      <c r="U44" s="45">
        <f t="shared" ca="1" si="26"/>
        <v>0</v>
      </c>
      <c r="V44" s="45">
        <f t="shared" ca="1" si="26"/>
        <v>0</v>
      </c>
      <c r="W44" s="45">
        <f t="shared" ca="1" si="26"/>
        <v>0</v>
      </c>
      <c r="X44" s="45">
        <f t="shared" ca="1" si="26"/>
        <v>2.3081257541276608E-2</v>
      </c>
      <c r="Y44" s="45">
        <f t="shared" ca="1" si="24"/>
        <v>0</v>
      </c>
      <c r="Z44" s="45">
        <f t="shared" ca="1" si="24"/>
        <v>0</v>
      </c>
      <c r="AA44" s="302">
        <f t="shared" ca="1" si="30"/>
        <v>4.2046168530075582E-2</v>
      </c>
    </row>
    <row r="45" spans="4:27" ht="12" customHeight="1" x14ac:dyDescent="0.25">
      <c r="D45" s="43">
        <f t="shared" si="31"/>
        <v>34</v>
      </c>
      <c r="E45" s="63">
        <f t="shared" si="27"/>
        <v>8.5</v>
      </c>
      <c r="F45" s="43">
        <f t="shared" si="28"/>
        <v>73.5</v>
      </c>
      <c r="G45" s="45">
        <f t="shared" ca="1" si="25"/>
        <v>0</v>
      </c>
      <c r="H45" s="45">
        <f t="shared" ca="1" si="25"/>
        <v>1.1532688877847945E-2</v>
      </c>
      <c r="I45" s="45">
        <f t="shared" ca="1" si="25"/>
        <v>6.3456027625087875E-3</v>
      </c>
      <c r="J45" s="45">
        <f t="shared" ca="1" si="25"/>
        <v>3.8672471476298694E-14</v>
      </c>
      <c r="K45" s="45">
        <f t="shared" ca="1" si="25"/>
        <v>0</v>
      </c>
      <c r="L45" s="45">
        <f t="shared" ca="1" si="25"/>
        <v>0</v>
      </c>
      <c r="M45" s="45">
        <f t="shared" ca="1" si="25"/>
        <v>2.1758786797514296E-2</v>
      </c>
      <c r="N45" s="45">
        <f t="shared" ca="1" si="22"/>
        <v>0</v>
      </c>
      <c r="O45" s="45">
        <f t="shared" ca="1" si="22"/>
        <v>0</v>
      </c>
      <c r="P45" s="302">
        <f t="shared" ca="1" si="29"/>
        <v>3.9637078437909701E-2</v>
      </c>
      <c r="R45" s="45">
        <f t="shared" ca="1" si="26"/>
        <v>1.396940410669356E-11</v>
      </c>
      <c r="S45" s="45">
        <f t="shared" ca="1" si="26"/>
        <v>1.171110930340114E-2</v>
      </c>
      <c r="T45" s="45">
        <f t="shared" ca="1" si="26"/>
        <v>6.4437745901953086E-3</v>
      </c>
      <c r="U45" s="45">
        <f t="shared" ca="1" si="26"/>
        <v>0</v>
      </c>
      <c r="V45" s="45">
        <f t="shared" ca="1" si="26"/>
        <v>0</v>
      </c>
      <c r="W45" s="45">
        <f t="shared" ca="1" si="26"/>
        <v>0</v>
      </c>
      <c r="X45" s="45">
        <f t="shared" ca="1" si="26"/>
        <v>2.209541357038378E-2</v>
      </c>
      <c r="Y45" s="45">
        <f t="shared" ca="1" si="24"/>
        <v>0</v>
      </c>
      <c r="Z45" s="45">
        <f t="shared" ca="1" si="24"/>
        <v>0</v>
      </c>
      <c r="AA45" s="302">
        <f t="shared" ca="1" si="30"/>
        <v>4.0250297477949629E-2</v>
      </c>
    </row>
    <row r="46" spans="4:27" ht="12" customHeight="1" x14ac:dyDescent="0.25">
      <c r="D46" s="43">
        <f t="shared" si="31"/>
        <v>35</v>
      </c>
      <c r="E46" s="63">
        <f t="shared" si="27"/>
        <v>8.75</v>
      </c>
      <c r="F46" s="43">
        <f t="shared" si="28"/>
        <v>73.75</v>
      </c>
      <c r="G46" s="45">
        <f t="shared" ca="1" si="25"/>
        <v>0</v>
      </c>
      <c r="H46" s="45">
        <f t="shared" ca="1" si="25"/>
        <v>1.1040106013985258E-2</v>
      </c>
      <c r="I46" s="45">
        <f t="shared" ca="1" si="25"/>
        <v>6.0745701165405529E-3</v>
      </c>
      <c r="J46" s="45">
        <f t="shared" ca="1" si="25"/>
        <v>1.65319057382061E-14</v>
      </c>
      <c r="K46" s="45">
        <f t="shared" ca="1" si="25"/>
        <v>0</v>
      </c>
      <c r="L46" s="45">
        <f t="shared" ca="1" si="25"/>
        <v>0</v>
      </c>
      <c r="M46" s="45">
        <f t="shared" ca="1" si="25"/>
        <v>2.0829428030613339E-2</v>
      </c>
      <c r="N46" s="45">
        <f t="shared" ca="1" si="22"/>
        <v>0</v>
      </c>
      <c r="O46" s="45">
        <f t="shared" ca="1" si="22"/>
        <v>0</v>
      </c>
      <c r="P46" s="302">
        <f t="shared" ca="1" si="29"/>
        <v>3.7944104161155678E-2</v>
      </c>
      <c r="R46" s="45">
        <f t="shared" ca="1" si="26"/>
        <v>7.0897475600670445E-12</v>
      </c>
      <c r="S46" s="45">
        <f t="shared" ca="1" si="26"/>
        <v>1.121090576710943E-2</v>
      </c>
      <c r="T46" s="45">
        <f t="shared" ca="1" si="26"/>
        <v>6.1685488405606205E-3</v>
      </c>
      <c r="U46" s="45">
        <f t="shared" ca="1" si="26"/>
        <v>0</v>
      </c>
      <c r="V46" s="45">
        <f t="shared" ca="1" si="26"/>
        <v>0</v>
      </c>
      <c r="W46" s="45">
        <f t="shared" ca="1" si="26"/>
        <v>0</v>
      </c>
      <c r="X46" s="45">
        <f t="shared" ca="1" si="26"/>
        <v>2.11516768462339E-2</v>
      </c>
      <c r="Y46" s="45">
        <f t="shared" ca="1" si="24"/>
        <v>0</v>
      </c>
      <c r="Z46" s="45">
        <f t="shared" ca="1" si="24"/>
        <v>0</v>
      </c>
      <c r="AA46" s="302">
        <f t="shared" ca="1" si="30"/>
        <v>3.8531131460993698E-2</v>
      </c>
    </row>
    <row r="47" spans="4:27" ht="12" customHeight="1" x14ac:dyDescent="0.25">
      <c r="D47" s="43">
        <f t="shared" si="31"/>
        <v>36</v>
      </c>
      <c r="E47" s="63">
        <f t="shared" si="27"/>
        <v>9</v>
      </c>
      <c r="F47" s="43">
        <f t="shared" si="28"/>
        <v>74</v>
      </c>
      <c r="G47" s="45">
        <f t="shared" ca="1" si="25"/>
        <v>0</v>
      </c>
      <c r="H47" s="45">
        <f t="shared" ca="1" si="25"/>
        <v>1.0568562292022179E-2</v>
      </c>
      <c r="I47" s="45">
        <f t="shared" ca="1" si="25"/>
        <v>5.8151137853739276E-3</v>
      </c>
      <c r="J47" s="45">
        <f t="shared" ca="1" si="25"/>
        <v>7.0671435494996027E-15</v>
      </c>
      <c r="K47" s="45">
        <f t="shared" ca="1" si="25"/>
        <v>0</v>
      </c>
      <c r="L47" s="45">
        <f t="shared" ca="1" si="25"/>
        <v>0</v>
      </c>
      <c r="M47" s="45">
        <f t="shared" ca="1" si="25"/>
        <v>1.9939763927085612E-2</v>
      </c>
      <c r="N47" s="45">
        <f t="shared" ca="1" si="22"/>
        <v>0</v>
      </c>
      <c r="O47" s="45">
        <f t="shared" ca="1" si="22"/>
        <v>0</v>
      </c>
      <c r="P47" s="302">
        <f t="shared" ca="1" si="29"/>
        <v>3.6323440004488783E-2</v>
      </c>
      <c r="R47" s="45">
        <f t="shared" ca="1" si="26"/>
        <v>3.5981864424261255E-12</v>
      </c>
      <c r="S47" s="45">
        <f t="shared" ca="1" si="26"/>
        <v>1.0732066865989051E-2</v>
      </c>
      <c r="T47" s="45">
        <f t="shared" ca="1" si="26"/>
        <v>5.9050785010821517E-3</v>
      </c>
      <c r="U47" s="45">
        <f t="shared" ca="1" si="26"/>
        <v>0</v>
      </c>
      <c r="V47" s="45">
        <f t="shared" ca="1" si="26"/>
        <v>0</v>
      </c>
      <c r="W47" s="45">
        <f t="shared" ca="1" si="26"/>
        <v>0</v>
      </c>
      <c r="X47" s="45">
        <f t="shared" ca="1" si="26"/>
        <v>2.0248248892011898E-2</v>
      </c>
      <c r="Y47" s="45">
        <f t="shared" ca="1" si="24"/>
        <v>0</v>
      </c>
      <c r="Z47" s="45">
        <f t="shared" ca="1" si="24"/>
        <v>0</v>
      </c>
      <c r="AA47" s="302">
        <f t="shared" ca="1" si="30"/>
        <v>3.6885394262681288E-2</v>
      </c>
    </row>
    <row r="48" spans="4:27" ht="12" customHeight="1" x14ac:dyDescent="0.25">
      <c r="D48" s="43">
        <f t="shared" si="31"/>
        <v>37</v>
      </c>
      <c r="E48" s="63">
        <f t="shared" si="27"/>
        <v>9.25</v>
      </c>
      <c r="F48" s="43">
        <f t="shared" si="28"/>
        <v>74.25</v>
      </c>
      <c r="G48" s="45">
        <f t="shared" ca="1" si="25"/>
        <v>0</v>
      </c>
      <c r="H48" s="45">
        <f t="shared" ca="1" si="25"/>
        <v>1.0117159090580084E-2</v>
      </c>
      <c r="I48" s="45">
        <f t="shared" ca="1" si="25"/>
        <v>5.5667393227992641E-3</v>
      </c>
      <c r="J48" s="45">
        <f t="shared" ca="1" si="25"/>
        <v>3.0210986404192622E-15</v>
      </c>
      <c r="K48" s="45">
        <f t="shared" ca="1" si="25"/>
        <v>0</v>
      </c>
      <c r="L48" s="45">
        <f t="shared" ca="1" si="25"/>
        <v>0</v>
      </c>
      <c r="M48" s="45">
        <f t="shared" ca="1" si="25"/>
        <v>1.9088099053101232E-2</v>
      </c>
      <c r="N48" s="45">
        <f t="shared" ca="1" si="22"/>
        <v>0</v>
      </c>
      <c r="O48" s="45">
        <f t="shared" ca="1" si="22"/>
        <v>0</v>
      </c>
      <c r="P48" s="302">
        <f t="shared" ca="1" si="29"/>
        <v>3.4771997466483601E-2</v>
      </c>
      <c r="R48" s="45">
        <f t="shared" ca="1" si="26"/>
        <v>1.8261504467920358E-12</v>
      </c>
      <c r="S48" s="45">
        <f t="shared" ca="1" si="26"/>
        <v>1.0273680076231416E-2</v>
      </c>
      <c r="T48" s="45">
        <f t="shared" ca="1" si="26"/>
        <v>5.6528614760507452E-3</v>
      </c>
      <c r="U48" s="45">
        <f t="shared" ca="1" si="26"/>
        <v>0</v>
      </c>
      <c r="V48" s="45">
        <f t="shared" ca="1" si="26"/>
        <v>0</v>
      </c>
      <c r="W48" s="45">
        <f t="shared" ca="1" si="26"/>
        <v>0</v>
      </c>
      <c r="X48" s="45">
        <f t="shared" ca="1" si="26"/>
        <v>1.9383408045756202E-2</v>
      </c>
      <c r="Y48" s="45">
        <f t="shared" ca="1" si="24"/>
        <v>0</v>
      </c>
      <c r="Z48" s="45">
        <f t="shared" ca="1" si="24"/>
        <v>0</v>
      </c>
      <c r="AA48" s="302">
        <f t="shared" ca="1" si="30"/>
        <v>3.5309949599864512E-2</v>
      </c>
    </row>
    <row r="49" spans="4:27" ht="12" customHeight="1" x14ac:dyDescent="0.25">
      <c r="D49" s="43">
        <f t="shared" si="31"/>
        <v>38</v>
      </c>
      <c r="E49" s="63">
        <f t="shared" si="27"/>
        <v>9.5</v>
      </c>
      <c r="F49" s="43">
        <f t="shared" si="28"/>
        <v>74.5</v>
      </c>
      <c r="G49" s="45">
        <f t="shared" ca="1" si="25"/>
        <v>0</v>
      </c>
      <c r="H49" s="45">
        <f t="shared" ca="1" si="25"/>
        <v>9.6850361700924099E-3</v>
      </c>
      <c r="I49" s="45">
        <f t="shared" ca="1" si="25"/>
        <v>5.3289734013360606E-3</v>
      </c>
      <c r="J49" s="45">
        <f t="shared" ca="1" si="25"/>
        <v>1.2914746858070215E-15</v>
      </c>
      <c r="K49" s="45">
        <f t="shared" ca="1" si="25"/>
        <v>0</v>
      </c>
      <c r="L49" s="45">
        <f t="shared" ca="1" si="25"/>
        <v>0</v>
      </c>
      <c r="M49" s="45">
        <f t="shared" ca="1" si="25"/>
        <v>1.827281038999801E-2</v>
      </c>
      <c r="N49" s="45">
        <f t="shared" ca="1" si="22"/>
        <v>0</v>
      </c>
      <c r="O49" s="45">
        <f t="shared" ca="1" si="22"/>
        <v>0</v>
      </c>
      <c r="P49" s="302">
        <f t="shared" ca="1" si="29"/>
        <v>3.3286819961427773E-2</v>
      </c>
      <c r="R49" s="45">
        <f t="shared" ca="1" si="26"/>
        <v>9.2680729797597752E-13</v>
      </c>
      <c r="S49" s="45">
        <f t="shared" ca="1" si="26"/>
        <v>9.8348718496385507E-3</v>
      </c>
      <c r="T49" s="45">
        <f t="shared" ca="1" si="26"/>
        <v>5.4114171152106864E-3</v>
      </c>
      <c r="U49" s="45">
        <f t="shared" ca="1" si="26"/>
        <v>0</v>
      </c>
      <c r="V49" s="45">
        <f t="shared" ca="1" si="26"/>
        <v>0</v>
      </c>
      <c r="W49" s="45">
        <f t="shared" ca="1" si="26"/>
        <v>0</v>
      </c>
      <c r="X49" s="45">
        <f t="shared" ca="1" si="26"/>
        <v>1.8555506180179919E-2</v>
      </c>
      <c r="Y49" s="45">
        <f t="shared" ca="1" si="24"/>
        <v>0</v>
      </c>
      <c r="Z49" s="45">
        <f t="shared" ca="1" si="24"/>
        <v>0</v>
      </c>
      <c r="AA49" s="302">
        <f t="shared" ca="1" si="30"/>
        <v>3.3801795145955965E-2</v>
      </c>
    </row>
    <row r="50" spans="4:27" ht="12" customHeight="1" x14ac:dyDescent="0.25">
      <c r="D50" s="43">
        <f t="shared" si="31"/>
        <v>39</v>
      </c>
      <c r="E50" s="63">
        <f t="shared" si="27"/>
        <v>9.75</v>
      </c>
      <c r="F50" s="43">
        <f t="shared" si="28"/>
        <v>74.75</v>
      </c>
      <c r="G50" s="45">
        <f t="shared" ca="1" si="25"/>
        <v>1.6533176272741314E-16</v>
      </c>
      <c r="H50" s="45">
        <f t="shared" ca="1" si="25"/>
        <v>9.2713700334449336E-3</v>
      </c>
      <c r="I50" s="45">
        <f t="shared" ca="1" si="25"/>
        <v>5.1013629102121217E-3</v>
      </c>
      <c r="J50" s="45">
        <f t="shared" ca="1" si="25"/>
        <v>3.8675443590424607E-16</v>
      </c>
      <c r="K50" s="45">
        <f t="shared" ca="1" si="25"/>
        <v>0</v>
      </c>
      <c r="L50" s="45">
        <f t="shared" ca="1" si="25"/>
        <v>0</v>
      </c>
      <c r="M50" s="45">
        <f t="shared" ca="1" si="25"/>
        <v>1.7492344241295855E-2</v>
      </c>
      <c r="N50" s="45">
        <f t="shared" ca="1" si="22"/>
        <v>0</v>
      </c>
      <c r="O50" s="45">
        <f t="shared" ca="1" si="22"/>
        <v>0</v>
      </c>
      <c r="P50" s="302">
        <f t="shared" ca="1" si="29"/>
        <v>3.1865077184953461E-2</v>
      </c>
      <c r="R50" s="45">
        <f t="shared" ca="1" si="26"/>
        <v>4.7037294714160694E-13</v>
      </c>
      <c r="S50" s="45">
        <f t="shared" ca="1" si="26"/>
        <v>9.4148059489013516E-3</v>
      </c>
      <c r="T50" s="45">
        <f t="shared" ca="1" si="26"/>
        <v>5.180285297783983E-3</v>
      </c>
      <c r="U50" s="45">
        <f t="shared" ca="1" si="26"/>
        <v>0</v>
      </c>
      <c r="V50" s="45">
        <f t="shared" ca="1" si="26"/>
        <v>0</v>
      </c>
      <c r="W50" s="45">
        <f t="shared" ca="1" si="26"/>
        <v>0</v>
      </c>
      <c r="X50" s="45">
        <f t="shared" ca="1" si="26"/>
        <v>1.7762965562235947E-2</v>
      </c>
      <c r="Y50" s="45">
        <f t="shared" ca="1" si="24"/>
        <v>0</v>
      </c>
      <c r="Z50" s="45">
        <f t="shared" ca="1" si="24"/>
        <v>0</v>
      </c>
      <c r="AA50" s="302">
        <f t="shared" ca="1" si="30"/>
        <v>3.2358056809391654E-2</v>
      </c>
    </row>
    <row r="51" spans="4:27" ht="12" customHeight="1" x14ac:dyDescent="0.25">
      <c r="D51" s="43">
        <f t="shared" si="31"/>
        <v>40</v>
      </c>
      <c r="E51" s="63">
        <f t="shared" si="27"/>
        <v>10</v>
      </c>
      <c r="F51" s="43">
        <f t="shared" si="28"/>
        <v>75</v>
      </c>
      <c r="G51" s="45">
        <f t="shared" ref="G51:M60" ca="1" si="32">AVERAGE(OFFSET(D.Trace.Markov.Root, $D51, (G$2-1)*D.Trace.Markov.NumCols+G$3-1, CHOOSE(swtchHalfCycle, 2, 1)))*G$4*D.cycleLength</f>
        <v>1.6533176272741314E-16</v>
      </c>
      <c r="H51" s="45">
        <f t="shared" ca="1" si="32"/>
        <v>4.5345252351165957E-3</v>
      </c>
      <c r="I51" s="45">
        <f t="shared" ca="1" si="32"/>
        <v>2.495020559679843E-3</v>
      </c>
      <c r="J51" s="45">
        <f t="shared" ca="1" si="32"/>
        <v>0</v>
      </c>
      <c r="K51" s="45">
        <f t="shared" ca="1" si="32"/>
        <v>0</v>
      </c>
      <c r="L51" s="45">
        <f t="shared" ca="1" si="32"/>
        <v>0</v>
      </c>
      <c r="M51" s="45">
        <f t="shared" ca="1" si="32"/>
        <v>8.555313410787399E-3</v>
      </c>
      <c r="N51" s="45">
        <f t="shared" ref="N51:O70" ca="1" si="33">AVERAGE(OFFSET(D.Trace.Markov.Root, $D51, (N$2-1)*D.Trace.Markov.NumCols+N$3-1, 2))*N$4*D.cycleLength</f>
        <v>0</v>
      </c>
      <c r="O51" s="45">
        <f t="shared" ca="1" si="33"/>
        <v>0</v>
      </c>
      <c r="P51" s="302">
        <f t="shared" ca="1" si="29"/>
        <v>1.5584859205584004E-2</v>
      </c>
      <c r="R51" s="45">
        <f t="shared" ref="R51:X60" ca="1" si="34">AVERAGE(OFFSET(D.Trace.Markov.Root, $D51, (R$2-1)*D.Trace.Markov.NumCols+R$3-1, CHOOSE(swtchHalfCycle, 2, 1)))*R$4*D.cycleLength</f>
        <v>1.5835516582476506E-13</v>
      </c>
      <c r="S51" s="45">
        <f t="shared" ca="1" si="34"/>
        <v>4.6046781656881317E-3</v>
      </c>
      <c r="T51" s="45">
        <f t="shared" ca="1" si="34"/>
        <v>2.5336206324597385E-3</v>
      </c>
      <c r="U51" s="45">
        <f t="shared" ca="1" si="34"/>
        <v>0</v>
      </c>
      <c r="V51" s="45">
        <f t="shared" ca="1" si="34"/>
        <v>0</v>
      </c>
      <c r="W51" s="45">
        <f t="shared" ca="1" si="34"/>
        <v>0</v>
      </c>
      <c r="X51" s="45">
        <f t="shared" ca="1" si="34"/>
        <v>8.6876713260901368E-3</v>
      </c>
      <c r="Y51" s="45">
        <f t="shared" ref="Y51:Z70" ca="1" si="35">AVERAGE(OFFSET(D.Trace.Markov.Root, $D51, (Y$2-1)*D.Trace.Markov.NumCols+Y$3-1, 2))*Y$4*D.cycleLength</f>
        <v>0</v>
      </c>
      <c r="Z51" s="45">
        <f t="shared" ca="1" si="35"/>
        <v>0</v>
      </c>
      <c r="AA51" s="302">
        <f t="shared" ca="1" si="30"/>
        <v>1.5825970124396363E-2</v>
      </c>
    </row>
    <row r="52" spans="4:27" ht="12" customHeight="1" x14ac:dyDescent="0.25">
      <c r="D52" s="43">
        <f t="shared" si="31"/>
        <v>41</v>
      </c>
      <c r="E52" s="63">
        <f t="shared" si="27"/>
        <v>10.25</v>
      </c>
      <c r="F52" s="43">
        <f t="shared" si="28"/>
        <v>75.25</v>
      </c>
      <c r="G52" s="45">
        <f t="shared" ca="1" si="32"/>
        <v>0</v>
      </c>
      <c r="H52" s="45">
        <f t="shared" ca="1" si="32"/>
        <v>0</v>
      </c>
      <c r="I52" s="45">
        <f t="shared" ca="1" si="32"/>
        <v>0</v>
      </c>
      <c r="J52" s="45">
        <f t="shared" ca="1" si="32"/>
        <v>0</v>
      </c>
      <c r="K52" s="45">
        <f t="shared" ca="1" si="32"/>
        <v>0</v>
      </c>
      <c r="L52" s="45">
        <f t="shared" ca="1" si="32"/>
        <v>0</v>
      </c>
      <c r="M52" s="45">
        <f t="shared" ca="1" si="32"/>
        <v>0</v>
      </c>
      <c r="N52" s="45">
        <f t="shared" ca="1" si="33"/>
        <v>0</v>
      </c>
      <c r="O52" s="45">
        <f t="shared" ca="1" si="33"/>
        <v>0</v>
      </c>
      <c r="P52" s="302">
        <f t="shared" ca="1" si="29"/>
        <v>0</v>
      </c>
      <c r="R52" s="45">
        <f t="shared" ca="1" si="34"/>
        <v>0</v>
      </c>
      <c r="S52" s="45">
        <f t="shared" ca="1" si="34"/>
        <v>0</v>
      </c>
      <c r="T52" s="45">
        <f t="shared" ca="1" si="34"/>
        <v>0</v>
      </c>
      <c r="U52" s="45">
        <f t="shared" ca="1" si="34"/>
        <v>0</v>
      </c>
      <c r="V52" s="45">
        <f t="shared" ca="1" si="34"/>
        <v>0</v>
      </c>
      <c r="W52" s="45">
        <f t="shared" ca="1" si="34"/>
        <v>0</v>
      </c>
      <c r="X52" s="45">
        <f t="shared" ca="1" si="34"/>
        <v>0</v>
      </c>
      <c r="Y52" s="45">
        <f t="shared" ca="1" si="35"/>
        <v>0</v>
      </c>
      <c r="Z52" s="45">
        <f t="shared" ca="1" si="35"/>
        <v>0</v>
      </c>
      <c r="AA52" s="302">
        <f t="shared" ca="1" si="30"/>
        <v>0</v>
      </c>
    </row>
    <row r="53" spans="4:27" ht="12" customHeight="1" x14ac:dyDescent="0.25">
      <c r="D53" s="43">
        <f t="shared" si="31"/>
        <v>42</v>
      </c>
      <c r="E53" s="63">
        <f t="shared" si="27"/>
        <v>10.5</v>
      </c>
      <c r="F53" s="43">
        <f t="shared" si="28"/>
        <v>75.5</v>
      </c>
      <c r="G53" s="45">
        <f t="shared" ca="1" si="32"/>
        <v>0</v>
      </c>
      <c r="H53" s="45">
        <f t="shared" ca="1" si="32"/>
        <v>0</v>
      </c>
      <c r="I53" s="45">
        <f t="shared" ca="1" si="32"/>
        <v>0</v>
      </c>
      <c r="J53" s="45">
        <f t="shared" ca="1" si="32"/>
        <v>0</v>
      </c>
      <c r="K53" s="45">
        <f t="shared" ca="1" si="32"/>
        <v>0</v>
      </c>
      <c r="L53" s="45">
        <f t="shared" ca="1" si="32"/>
        <v>0</v>
      </c>
      <c r="M53" s="45">
        <f t="shared" ca="1" si="32"/>
        <v>0</v>
      </c>
      <c r="N53" s="45">
        <f t="shared" ca="1" si="33"/>
        <v>0</v>
      </c>
      <c r="O53" s="45">
        <f t="shared" ca="1" si="33"/>
        <v>0</v>
      </c>
      <c r="P53" s="302">
        <f t="shared" ca="1" si="29"/>
        <v>0</v>
      </c>
      <c r="R53" s="45">
        <f t="shared" ca="1" si="34"/>
        <v>0</v>
      </c>
      <c r="S53" s="45">
        <f t="shared" ca="1" si="34"/>
        <v>0</v>
      </c>
      <c r="T53" s="45">
        <f t="shared" ca="1" si="34"/>
        <v>0</v>
      </c>
      <c r="U53" s="45">
        <f t="shared" ca="1" si="34"/>
        <v>0</v>
      </c>
      <c r="V53" s="45">
        <f t="shared" ca="1" si="34"/>
        <v>0</v>
      </c>
      <c r="W53" s="45">
        <f t="shared" ca="1" si="34"/>
        <v>0</v>
      </c>
      <c r="X53" s="45">
        <f t="shared" ca="1" si="34"/>
        <v>0</v>
      </c>
      <c r="Y53" s="45">
        <f t="shared" ca="1" si="35"/>
        <v>0</v>
      </c>
      <c r="Z53" s="45">
        <f t="shared" ca="1" si="35"/>
        <v>0</v>
      </c>
      <c r="AA53" s="302">
        <f t="shared" ca="1" si="30"/>
        <v>0</v>
      </c>
    </row>
    <row r="54" spans="4:27" ht="12" customHeight="1" x14ac:dyDescent="0.25">
      <c r="D54" s="43">
        <f t="shared" si="31"/>
        <v>43</v>
      </c>
      <c r="E54" s="63">
        <f t="shared" si="27"/>
        <v>10.75</v>
      </c>
      <c r="F54" s="43">
        <f t="shared" si="28"/>
        <v>75.75</v>
      </c>
      <c r="G54" s="45">
        <f t="shared" ca="1" si="32"/>
        <v>0</v>
      </c>
      <c r="H54" s="45">
        <f t="shared" ca="1" si="32"/>
        <v>0</v>
      </c>
      <c r="I54" s="45">
        <f t="shared" ca="1" si="32"/>
        <v>0</v>
      </c>
      <c r="J54" s="45">
        <f t="shared" ca="1" si="32"/>
        <v>0</v>
      </c>
      <c r="K54" s="45">
        <f t="shared" ca="1" si="32"/>
        <v>0</v>
      </c>
      <c r="L54" s="45">
        <f t="shared" ca="1" si="32"/>
        <v>0</v>
      </c>
      <c r="M54" s="45">
        <f t="shared" ca="1" si="32"/>
        <v>0</v>
      </c>
      <c r="N54" s="45">
        <f t="shared" ca="1" si="33"/>
        <v>0</v>
      </c>
      <c r="O54" s="45">
        <f t="shared" ca="1" si="33"/>
        <v>0</v>
      </c>
      <c r="P54" s="302">
        <f t="shared" ca="1" si="29"/>
        <v>0</v>
      </c>
      <c r="R54" s="45">
        <f t="shared" ca="1" si="34"/>
        <v>0</v>
      </c>
      <c r="S54" s="45">
        <f t="shared" ca="1" si="34"/>
        <v>0</v>
      </c>
      <c r="T54" s="45">
        <f t="shared" ca="1" si="34"/>
        <v>0</v>
      </c>
      <c r="U54" s="45">
        <f t="shared" ca="1" si="34"/>
        <v>0</v>
      </c>
      <c r="V54" s="45">
        <f t="shared" ca="1" si="34"/>
        <v>0</v>
      </c>
      <c r="W54" s="45">
        <f t="shared" ca="1" si="34"/>
        <v>0</v>
      </c>
      <c r="X54" s="45">
        <f t="shared" ca="1" si="34"/>
        <v>0</v>
      </c>
      <c r="Y54" s="45">
        <f t="shared" ca="1" si="35"/>
        <v>0</v>
      </c>
      <c r="Z54" s="45">
        <f t="shared" ca="1" si="35"/>
        <v>0</v>
      </c>
      <c r="AA54" s="302">
        <f t="shared" ca="1" si="30"/>
        <v>0</v>
      </c>
    </row>
    <row r="55" spans="4:27" ht="12" customHeight="1" x14ac:dyDescent="0.25">
      <c r="D55" s="43">
        <f t="shared" si="31"/>
        <v>44</v>
      </c>
      <c r="E55" s="63">
        <f t="shared" si="27"/>
        <v>11</v>
      </c>
      <c r="F55" s="43">
        <f t="shared" si="28"/>
        <v>76</v>
      </c>
      <c r="G55" s="45">
        <f t="shared" ca="1" si="32"/>
        <v>0</v>
      </c>
      <c r="H55" s="45">
        <f t="shared" ca="1" si="32"/>
        <v>0</v>
      </c>
      <c r="I55" s="45">
        <f t="shared" ca="1" si="32"/>
        <v>0</v>
      </c>
      <c r="J55" s="45">
        <f t="shared" ca="1" si="32"/>
        <v>0</v>
      </c>
      <c r="K55" s="45">
        <f t="shared" ca="1" si="32"/>
        <v>0</v>
      </c>
      <c r="L55" s="45">
        <f t="shared" ca="1" si="32"/>
        <v>0</v>
      </c>
      <c r="M55" s="45">
        <f t="shared" ca="1" si="32"/>
        <v>0</v>
      </c>
      <c r="N55" s="45">
        <f t="shared" ca="1" si="33"/>
        <v>0</v>
      </c>
      <c r="O55" s="45">
        <f t="shared" ca="1" si="33"/>
        <v>0</v>
      </c>
      <c r="P55" s="302">
        <f t="shared" ca="1" si="29"/>
        <v>0</v>
      </c>
      <c r="R55" s="45">
        <f t="shared" ca="1" si="34"/>
        <v>0</v>
      </c>
      <c r="S55" s="45">
        <f t="shared" ca="1" si="34"/>
        <v>0</v>
      </c>
      <c r="T55" s="45">
        <f t="shared" ca="1" si="34"/>
        <v>0</v>
      </c>
      <c r="U55" s="45">
        <f t="shared" ca="1" si="34"/>
        <v>0</v>
      </c>
      <c r="V55" s="45">
        <f t="shared" ca="1" si="34"/>
        <v>0</v>
      </c>
      <c r="W55" s="45">
        <f t="shared" ca="1" si="34"/>
        <v>0</v>
      </c>
      <c r="X55" s="45">
        <f t="shared" ca="1" si="34"/>
        <v>0</v>
      </c>
      <c r="Y55" s="45">
        <f t="shared" ca="1" si="35"/>
        <v>0</v>
      </c>
      <c r="Z55" s="45">
        <f t="shared" ca="1" si="35"/>
        <v>0</v>
      </c>
      <c r="AA55" s="302">
        <f t="shared" ca="1" si="30"/>
        <v>0</v>
      </c>
    </row>
    <row r="56" spans="4:27" ht="12" customHeight="1" x14ac:dyDescent="0.25">
      <c r="D56" s="43">
        <f t="shared" si="31"/>
        <v>45</v>
      </c>
      <c r="E56" s="63">
        <f t="shared" si="27"/>
        <v>11.25</v>
      </c>
      <c r="F56" s="43">
        <f t="shared" si="28"/>
        <v>76.25</v>
      </c>
      <c r="G56" s="45">
        <f t="shared" ca="1" si="32"/>
        <v>0</v>
      </c>
      <c r="H56" s="45">
        <f t="shared" ca="1" si="32"/>
        <v>0</v>
      </c>
      <c r="I56" s="45">
        <f t="shared" ca="1" si="32"/>
        <v>0</v>
      </c>
      <c r="J56" s="45">
        <f t="shared" ca="1" si="32"/>
        <v>0</v>
      </c>
      <c r="K56" s="45">
        <f t="shared" ca="1" si="32"/>
        <v>0</v>
      </c>
      <c r="L56" s="45">
        <f t="shared" ca="1" si="32"/>
        <v>0</v>
      </c>
      <c r="M56" s="45">
        <f t="shared" ca="1" si="32"/>
        <v>0</v>
      </c>
      <c r="N56" s="45">
        <f t="shared" ca="1" si="33"/>
        <v>0</v>
      </c>
      <c r="O56" s="45">
        <f t="shared" ca="1" si="33"/>
        <v>0</v>
      </c>
      <c r="P56" s="302">
        <f t="shared" ca="1" si="29"/>
        <v>0</v>
      </c>
      <c r="R56" s="45">
        <f t="shared" ca="1" si="34"/>
        <v>0</v>
      </c>
      <c r="S56" s="45">
        <f t="shared" ca="1" si="34"/>
        <v>0</v>
      </c>
      <c r="T56" s="45">
        <f t="shared" ca="1" si="34"/>
        <v>0</v>
      </c>
      <c r="U56" s="45">
        <f t="shared" ca="1" si="34"/>
        <v>0</v>
      </c>
      <c r="V56" s="45">
        <f t="shared" ca="1" si="34"/>
        <v>0</v>
      </c>
      <c r="W56" s="45">
        <f t="shared" ca="1" si="34"/>
        <v>0</v>
      </c>
      <c r="X56" s="45">
        <f t="shared" ca="1" si="34"/>
        <v>0</v>
      </c>
      <c r="Y56" s="45">
        <f t="shared" ca="1" si="35"/>
        <v>0</v>
      </c>
      <c r="Z56" s="45">
        <f t="shared" ca="1" si="35"/>
        <v>0</v>
      </c>
      <c r="AA56" s="302">
        <f t="shared" ca="1" si="30"/>
        <v>0</v>
      </c>
    </row>
    <row r="57" spans="4:27" ht="12" customHeight="1" x14ac:dyDescent="0.25">
      <c r="D57" s="43">
        <f t="shared" si="31"/>
        <v>46</v>
      </c>
      <c r="E57" s="63">
        <f t="shared" si="27"/>
        <v>11.5</v>
      </c>
      <c r="F57" s="43">
        <f t="shared" si="28"/>
        <v>76.5</v>
      </c>
      <c r="G57" s="45">
        <f t="shared" ca="1" si="32"/>
        <v>0</v>
      </c>
      <c r="H57" s="45">
        <f t="shared" ca="1" si="32"/>
        <v>0</v>
      </c>
      <c r="I57" s="45">
        <f t="shared" ca="1" si="32"/>
        <v>0</v>
      </c>
      <c r="J57" s="45">
        <f t="shared" ca="1" si="32"/>
        <v>0</v>
      </c>
      <c r="K57" s="45">
        <f t="shared" ca="1" si="32"/>
        <v>0</v>
      </c>
      <c r="L57" s="45">
        <f t="shared" ca="1" si="32"/>
        <v>0</v>
      </c>
      <c r="M57" s="45">
        <f t="shared" ca="1" si="32"/>
        <v>0</v>
      </c>
      <c r="N57" s="45">
        <f t="shared" ca="1" si="33"/>
        <v>0</v>
      </c>
      <c r="O57" s="45">
        <f t="shared" ca="1" si="33"/>
        <v>0</v>
      </c>
      <c r="P57" s="302">
        <f t="shared" ca="1" si="29"/>
        <v>0</v>
      </c>
      <c r="R57" s="45">
        <f t="shared" ca="1" si="34"/>
        <v>0</v>
      </c>
      <c r="S57" s="45">
        <f t="shared" ca="1" si="34"/>
        <v>0</v>
      </c>
      <c r="T57" s="45">
        <f t="shared" ca="1" si="34"/>
        <v>0</v>
      </c>
      <c r="U57" s="45">
        <f t="shared" ca="1" si="34"/>
        <v>0</v>
      </c>
      <c r="V57" s="45">
        <f t="shared" ca="1" si="34"/>
        <v>0</v>
      </c>
      <c r="W57" s="45">
        <f t="shared" ca="1" si="34"/>
        <v>0</v>
      </c>
      <c r="X57" s="45">
        <f t="shared" ca="1" si="34"/>
        <v>0</v>
      </c>
      <c r="Y57" s="45">
        <f t="shared" ca="1" si="35"/>
        <v>0</v>
      </c>
      <c r="Z57" s="45">
        <f t="shared" ca="1" si="35"/>
        <v>0</v>
      </c>
      <c r="AA57" s="302">
        <f t="shared" ca="1" si="30"/>
        <v>0</v>
      </c>
    </row>
    <row r="58" spans="4:27" ht="12" customHeight="1" x14ac:dyDescent="0.25">
      <c r="D58" s="43">
        <f t="shared" si="31"/>
        <v>47</v>
      </c>
      <c r="E58" s="63">
        <f t="shared" si="27"/>
        <v>11.75</v>
      </c>
      <c r="F58" s="43">
        <f t="shared" si="28"/>
        <v>76.75</v>
      </c>
      <c r="G58" s="45">
        <f t="shared" ca="1" si="32"/>
        <v>0</v>
      </c>
      <c r="H58" s="45">
        <f t="shared" ca="1" si="32"/>
        <v>0</v>
      </c>
      <c r="I58" s="45">
        <f t="shared" ca="1" si="32"/>
        <v>0</v>
      </c>
      <c r="J58" s="45">
        <f t="shared" ca="1" si="32"/>
        <v>0</v>
      </c>
      <c r="K58" s="45">
        <f t="shared" ca="1" si="32"/>
        <v>0</v>
      </c>
      <c r="L58" s="45">
        <f t="shared" ca="1" si="32"/>
        <v>0</v>
      </c>
      <c r="M58" s="45">
        <f t="shared" ca="1" si="32"/>
        <v>0</v>
      </c>
      <c r="N58" s="45">
        <f t="shared" ca="1" si="33"/>
        <v>0</v>
      </c>
      <c r="O58" s="45">
        <f t="shared" ca="1" si="33"/>
        <v>0</v>
      </c>
      <c r="P58" s="302">
        <f t="shared" ca="1" si="29"/>
        <v>0</v>
      </c>
      <c r="R58" s="45">
        <f t="shared" ca="1" si="34"/>
        <v>0</v>
      </c>
      <c r="S58" s="45">
        <f t="shared" ca="1" si="34"/>
        <v>0</v>
      </c>
      <c r="T58" s="45">
        <f t="shared" ca="1" si="34"/>
        <v>0</v>
      </c>
      <c r="U58" s="45">
        <f t="shared" ca="1" si="34"/>
        <v>0</v>
      </c>
      <c r="V58" s="45">
        <f t="shared" ca="1" si="34"/>
        <v>0</v>
      </c>
      <c r="W58" s="45">
        <f t="shared" ca="1" si="34"/>
        <v>0</v>
      </c>
      <c r="X58" s="45">
        <f t="shared" ca="1" si="34"/>
        <v>0</v>
      </c>
      <c r="Y58" s="45">
        <f t="shared" ca="1" si="35"/>
        <v>0</v>
      </c>
      <c r="Z58" s="45">
        <f t="shared" ca="1" si="35"/>
        <v>0</v>
      </c>
      <c r="AA58" s="302">
        <f t="shared" ca="1" si="30"/>
        <v>0</v>
      </c>
    </row>
    <row r="59" spans="4:27" ht="12" customHeight="1" x14ac:dyDescent="0.25">
      <c r="D59" s="43">
        <f t="shared" si="31"/>
        <v>48</v>
      </c>
      <c r="E59" s="63">
        <f t="shared" si="27"/>
        <v>12</v>
      </c>
      <c r="F59" s="43">
        <f t="shared" si="28"/>
        <v>77</v>
      </c>
      <c r="G59" s="45">
        <f t="shared" ca="1" si="32"/>
        <v>0</v>
      </c>
      <c r="H59" s="45">
        <f t="shared" ca="1" si="32"/>
        <v>0</v>
      </c>
      <c r="I59" s="45">
        <f t="shared" ca="1" si="32"/>
        <v>0</v>
      </c>
      <c r="J59" s="45">
        <f t="shared" ca="1" si="32"/>
        <v>0</v>
      </c>
      <c r="K59" s="45">
        <f t="shared" ca="1" si="32"/>
        <v>0</v>
      </c>
      <c r="L59" s="45">
        <f t="shared" ca="1" si="32"/>
        <v>0</v>
      </c>
      <c r="M59" s="45">
        <f t="shared" ca="1" si="32"/>
        <v>0</v>
      </c>
      <c r="N59" s="45">
        <f t="shared" ca="1" si="33"/>
        <v>0</v>
      </c>
      <c r="O59" s="45">
        <f t="shared" ca="1" si="33"/>
        <v>0</v>
      </c>
      <c r="P59" s="302">
        <f t="shared" ca="1" si="29"/>
        <v>0</v>
      </c>
      <c r="R59" s="45">
        <f t="shared" ca="1" si="34"/>
        <v>0</v>
      </c>
      <c r="S59" s="45">
        <f t="shared" ca="1" si="34"/>
        <v>0</v>
      </c>
      <c r="T59" s="45">
        <f t="shared" ca="1" si="34"/>
        <v>0</v>
      </c>
      <c r="U59" s="45">
        <f t="shared" ca="1" si="34"/>
        <v>0</v>
      </c>
      <c r="V59" s="45">
        <f t="shared" ca="1" si="34"/>
        <v>0</v>
      </c>
      <c r="W59" s="45">
        <f t="shared" ca="1" si="34"/>
        <v>0</v>
      </c>
      <c r="X59" s="45">
        <f t="shared" ca="1" si="34"/>
        <v>0</v>
      </c>
      <c r="Y59" s="45">
        <f t="shared" ca="1" si="35"/>
        <v>0</v>
      </c>
      <c r="Z59" s="45">
        <f t="shared" ca="1" si="35"/>
        <v>0</v>
      </c>
      <c r="AA59" s="302">
        <f t="shared" ca="1" si="30"/>
        <v>0</v>
      </c>
    </row>
    <row r="60" spans="4:27" ht="12" customHeight="1" x14ac:dyDescent="0.25">
      <c r="D60" s="43">
        <f t="shared" si="31"/>
        <v>49</v>
      </c>
      <c r="E60" s="63">
        <f t="shared" si="27"/>
        <v>12.25</v>
      </c>
      <c r="F60" s="43">
        <f t="shared" si="28"/>
        <v>77.25</v>
      </c>
      <c r="G60" s="45">
        <f t="shared" ca="1" si="32"/>
        <v>0</v>
      </c>
      <c r="H60" s="45">
        <f t="shared" ca="1" si="32"/>
        <v>0</v>
      </c>
      <c r="I60" s="45">
        <f t="shared" ca="1" si="32"/>
        <v>0</v>
      </c>
      <c r="J60" s="45">
        <f t="shared" ca="1" si="32"/>
        <v>0</v>
      </c>
      <c r="K60" s="45">
        <f t="shared" ca="1" si="32"/>
        <v>0</v>
      </c>
      <c r="L60" s="45">
        <f t="shared" ca="1" si="32"/>
        <v>0</v>
      </c>
      <c r="M60" s="45">
        <f t="shared" ca="1" si="32"/>
        <v>0</v>
      </c>
      <c r="N60" s="45">
        <f t="shared" ca="1" si="33"/>
        <v>0</v>
      </c>
      <c r="O60" s="45">
        <f t="shared" ca="1" si="33"/>
        <v>0</v>
      </c>
      <c r="P60" s="302">
        <f t="shared" ca="1" si="29"/>
        <v>0</v>
      </c>
      <c r="R60" s="45">
        <f t="shared" ca="1" si="34"/>
        <v>0</v>
      </c>
      <c r="S60" s="45">
        <f t="shared" ca="1" si="34"/>
        <v>0</v>
      </c>
      <c r="T60" s="45">
        <f t="shared" ca="1" si="34"/>
        <v>0</v>
      </c>
      <c r="U60" s="45">
        <f t="shared" ca="1" si="34"/>
        <v>0</v>
      </c>
      <c r="V60" s="45">
        <f t="shared" ca="1" si="34"/>
        <v>0</v>
      </c>
      <c r="W60" s="45">
        <f t="shared" ca="1" si="34"/>
        <v>0</v>
      </c>
      <c r="X60" s="45">
        <f t="shared" ca="1" si="34"/>
        <v>0</v>
      </c>
      <c r="Y60" s="45">
        <f t="shared" ca="1" si="35"/>
        <v>0</v>
      </c>
      <c r="Z60" s="45">
        <f t="shared" ca="1" si="35"/>
        <v>0</v>
      </c>
      <c r="AA60" s="302">
        <f t="shared" ca="1" si="30"/>
        <v>0</v>
      </c>
    </row>
    <row r="61" spans="4:27" ht="12" customHeight="1" x14ac:dyDescent="0.25">
      <c r="D61" s="43">
        <f t="shared" si="31"/>
        <v>50</v>
      </c>
      <c r="E61" s="63">
        <f t="shared" si="27"/>
        <v>12.5</v>
      </c>
      <c r="F61" s="43">
        <f t="shared" si="28"/>
        <v>77.5</v>
      </c>
      <c r="G61" s="45">
        <f t="shared" ref="G61:M70" ca="1" si="36">AVERAGE(OFFSET(D.Trace.Markov.Root, $D61, (G$2-1)*D.Trace.Markov.NumCols+G$3-1, CHOOSE(swtchHalfCycle, 2, 1)))*G$4*D.cycleLength</f>
        <v>0</v>
      </c>
      <c r="H61" s="45">
        <f t="shared" ca="1" si="36"/>
        <v>0</v>
      </c>
      <c r="I61" s="45">
        <f t="shared" ca="1" si="36"/>
        <v>0</v>
      </c>
      <c r="J61" s="45">
        <f t="shared" ca="1" si="36"/>
        <v>0</v>
      </c>
      <c r="K61" s="45">
        <f t="shared" ca="1" si="36"/>
        <v>0</v>
      </c>
      <c r="L61" s="45">
        <f t="shared" ca="1" si="36"/>
        <v>0</v>
      </c>
      <c r="M61" s="45">
        <f t="shared" ca="1" si="36"/>
        <v>0</v>
      </c>
      <c r="N61" s="45">
        <f t="shared" ca="1" si="33"/>
        <v>0</v>
      </c>
      <c r="O61" s="45">
        <f t="shared" ca="1" si="33"/>
        <v>0</v>
      </c>
      <c r="P61" s="302">
        <f t="shared" ca="1" si="29"/>
        <v>0</v>
      </c>
      <c r="R61" s="45">
        <f t="shared" ref="R61:X70" ca="1" si="37">AVERAGE(OFFSET(D.Trace.Markov.Root, $D61, (R$2-1)*D.Trace.Markov.NumCols+R$3-1, CHOOSE(swtchHalfCycle, 2, 1)))*R$4*D.cycleLength</f>
        <v>0</v>
      </c>
      <c r="S61" s="45">
        <f t="shared" ca="1" si="37"/>
        <v>0</v>
      </c>
      <c r="T61" s="45">
        <f t="shared" ca="1" si="37"/>
        <v>0</v>
      </c>
      <c r="U61" s="45">
        <f t="shared" ca="1" si="37"/>
        <v>0</v>
      </c>
      <c r="V61" s="45">
        <f t="shared" ca="1" si="37"/>
        <v>0</v>
      </c>
      <c r="W61" s="45">
        <f t="shared" ca="1" si="37"/>
        <v>0</v>
      </c>
      <c r="X61" s="45">
        <f t="shared" ca="1" si="37"/>
        <v>0</v>
      </c>
      <c r="Y61" s="45">
        <f t="shared" ca="1" si="35"/>
        <v>0</v>
      </c>
      <c r="Z61" s="45">
        <f t="shared" ca="1" si="35"/>
        <v>0</v>
      </c>
      <c r="AA61" s="302">
        <f t="shared" ca="1" si="30"/>
        <v>0</v>
      </c>
    </row>
    <row r="62" spans="4:27" ht="12" customHeight="1" x14ac:dyDescent="0.25">
      <c r="D62" s="43">
        <f t="shared" si="31"/>
        <v>51</v>
      </c>
      <c r="E62" s="63">
        <f t="shared" si="27"/>
        <v>12.75</v>
      </c>
      <c r="F62" s="43">
        <f t="shared" si="28"/>
        <v>77.75</v>
      </c>
      <c r="G62" s="45">
        <f t="shared" ca="1" si="36"/>
        <v>0</v>
      </c>
      <c r="H62" s="45">
        <f t="shared" ca="1" si="36"/>
        <v>0</v>
      </c>
      <c r="I62" s="45">
        <f t="shared" ca="1" si="36"/>
        <v>0</v>
      </c>
      <c r="J62" s="45">
        <f t="shared" ca="1" si="36"/>
        <v>0</v>
      </c>
      <c r="K62" s="45">
        <f t="shared" ca="1" si="36"/>
        <v>0</v>
      </c>
      <c r="L62" s="45">
        <f t="shared" ca="1" si="36"/>
        <v>0</v>
      </c>
      <c r="M62" s="45">
        <f t="shared" ca="1" si="36"/>
        <v>0</v>
      </c>
      <c r="N62" s="45">
        <f t="shared" ca="1" si="33"/>
        <v>0</v>
      </c>
      <c r="O62" s="45">
        <f t="shared" ca="1" si="33"/>
        <v>0</v>
      </c>
      <c r="P62" s="302">
        <f t="shared" ca="1" si="29"/>
        <v>0</v>
      </c>
      <c r="R62" s="45">
        <f t="shared" ca="1" si="37"/>
        <v>0</v>
      </c>
      <c r="S62" s="45">
        <f t="shared" ca="1" si="37"/>
        <v>0</v>
      </c>
      <c r="T62" s="45">
        <f t="shared" ca="1" si="37"/>
        <v>0</v>
      </c>
      <c r="U62" s="45">
        <f t="shared" ca="1" si="37"/>
        <v>0</v>
      </c>
      <c r="V62" s="45">
        <f t="shared" ca="1" si="37"/>
        <v>0</v>
      </c>
      <c r="W62" s="45">
        <f t="shared" ca="1" si="37"/>
        <v>0</v>
      </c>
      <c r="X62" s="45">
        <f t="shared" ca="1" si="37"/>
        <v>0</v>
      </c>
      <c r="Y62" s="45">
        <f t="shared" ca="1" si="35"/>
        <v>0</v>
      </c>
      <c r="Z62" s="45">
        <f t="shared" ca="1" si="35"/>
        <v>0</v>
      </c>
      <c r="AA62" s="302">
        <f t="shared" ca="1" si="30"/>
        <v>0</v>
      </c>
    </row>
    <row r="63" spans="4:27" ht="12" customHeight="1" x14ac:dyDescent="0.25">
      <c r="D63" s="43">
        <f t="shared" si="31"/>
        <v>52</v>
      </c>
      <c r="E63" s="63">
        <f t="shared" si="27"/>
        <v>13</v>
      </c>
      <c r="F63" s="43">
        <f t="shared" si="28"/>
        <v>78</v>
      </c>
      <c r="G63" s="45">
        <f t="shared" ca="1" si="36"/>
        <v>0</v>
      </c>
      <c r="H63" s="45">
        <f t="shared" ca="1" si="36"/>
        <v>0</v>
      </c>
      <c r="I63" s="45">
        <f t="shared" ca="1" si="36"/>
        <v>0</v>
      </c>
      <c r="J63" s="45">
        <f t="shared" ca="1" si="36"/>
        <v>0</v>
      </c>
      <c r="K63" s="45">
        <f t="shared" ca="1" si="36"/>
        <v>0</v>
      </c>
      <c r="L63" s="45">
        <f t="shared" ca="1" si="36"/>
        <v>0</v>
      </c>
      <c r="M63" s="45">
        <f t="shared" ca="1" si="36"/>
        <v>0</v>
      </c>
      <c r="N63" s="45">
        <f t="shared" ca="1" si="33"/>
        <v>0</v>
      </c>
      <c r="O63" s="45">
        <f t="shared" ca="1" si="33"/>
        <v>0</v>
      </c>
      <c r="P63" s="302">
        <f t="shared" ca="1" si="29"/>
        <v>0</v>
      </c>
      <c r="R63" s="45">
        <f t="shared" ca="1" si="37"/>
        <v>0</v>
      </c>
      <c r="S63" s="45">
        <f t="shared" ca="1" si="37"/>
        <v>0</v>
      </c>
      <c r="T63" s="45">
        <f t="shared" ca="1" si="37"/>
        <v>0</v>
      </c>
      <c r="U63" s="45">
        <f t="shared" ca="1" si="37"/>
        <v>0</v>
      </c>
      <c r="V63" s="45">
        <f t="shared" ca="1" si="37"/>
        <v>0</v>
      </c>
      <c r="W63" s="45">
        <f t="shared" ca="1" si="37"/>
        <v>0</v>
      </c>
      <c r="X63" s="45">
        <f t="shared" ca="1" si="37"/>
        <v>0</v>
      </c>
      <c r="Y63" s="45">
        <f t="shared" ca="1" si="35"/>
        <v>0</v>
      </c>
      <c r="Z63" s="45">
        <f t="shared" ca="1" si="35"/>
        <v>0</v>
      </c>
      <c r="AA63" s="302">
        <f t="shared" ca="1" si="30"/>
        <v>0</v>
      </c>
    </row>
    <row r="64" spans="4:27" ht="12" customHeight="1" x14ac:dyDescent="0.25">
      <c r="D64" s="43">
        <f t="shared" si="31"/>
        <v>53</v>
      </c>
      <c r="E64" s="63">
        <f t="shared" si="27"/>
        <v>13.25</v>
      </c>
      <c r="F64" s="43">
        <f t="shared" si="28"/>
        <v>78.25</v>
      </c>
      <c r="G64" s="45">
        <f t="shared" ca="1" si="36"/>
        <v>0</v>
      </c>
      <c r="H64" s="45">
        <f t="shared" ca="1" si="36"/>
        <v>0</v>
      </c>
      <c r="I64" s="45">
        <f t="shared" ca="1" si="36"/>
        <v>0</v>
      </c>
      <c r="J64" s="45">
        <f t="shared" ca="1" si="36"/>
        <v>0</v>
      </c>
      <c r="K64" s="45">
        <f t="shared" ca="1" si="36"/>
        <v>0</v>
      </c>
      <c r="L64" s="45">
        <f t="shared" ca="1" si="36"/>
        <v>0</v>
      </c>
      <c r="M64" s="45">
        <f t="shared" ca="1" si="36"/>
        <v>0</v>
      </c>
      <c r="N64" s="45">
        <f t="shared" ca="1" si="33"/>
        <v>0</v>
      </c>
      <c r="O64" s="45">
        <f t="shared" ca="1" si="33"/>
        <v>0</v>
      </c>
      <c r="P64" s="302">
        <f t="shared" ca="1" si="29"/>
        <v>0</v>
      </c>
      <c r="R64" s="45">
        <f t="shared" ca="1" si="37"/>
        <v>0</v>
      </c>
      <c r="S64" s="45">
        <f t="shared" ca="1" si="37"/>
        <v>0</v>
      </c>
      <c r="T64" s="45">
        <f t="shared" ca="1" si="37"/>
        <v>0</v>
      </c>
      <c r="U64" s="45">
        <f t="shared" ca="1" si="37"/>
        <v>0</v>
      </c>
      <c r="V64" s="45">
        <f t="shared" ca="1" si="37"/>
        <v>0</v>
      </c>
      <c r="W64" s="45">
        <f t="shared" ca="1" si="37"/>
        <v>0</v>
      </c>
      <c r="X64" s="45">
        <f t="shared" ca="1" si="37"/>
        <v>0</v>
      </c>
      <c r="Y64" s="45">
        <f t="shared" ca="1" si="35"/>
        <v>0</v>
      </c>
      <c r="Z64" s="45">
        <f t="shared" ca="1" si="35"/>
        <v>0</v>
      </c>
      <c r="AA64" s="302">
        <f t="shared" ca="1" si="30"/>
        <v>0</v>
      </c>
    </row>
    <row r="65" spans="4:27" ht="12" customHeight="1" x14ac:dyDescent="0.25">
      <c r="D65" s="43">
        <f t="shared" si="31"/>
        <v>54</v>
      </c>
      <c r="E65" s="63">
        <f t="shared" si="27"/>
        <v>13.5</v>
      </c>
      <c r="F65" s="43">
        <f t="shared" si="28"/>
        <v>78.5</v>
      </c>
      <c r="G65" s="45">
        <f t="shared" ca="1" si="36"/>
        <v>0</v>
      </c>
      <c r="H65" s="45">
        <f t="shared" ca="1" si="36"/>
        <v>0</v>
      </c>
      <c r="I65" s="45">
        <f t="shared" ca="1" si="36"/>
        <v>0</v>
      </c>
      <c r="J65" s="45">
        <f t="shared" ca="1" si="36"/>
        <v>0</v>
      </c>
      <c r="K65" s="45">
        <f t="shared" ca="1" si="36"/>
        <v>0</v>
      </c>
      <c r="L65" s="45">
        <f t="shared" ca="1" si="36"/>
        <v>0</v>
      </c>
      <c r="M65" s="45">
        <f t="shared" ca="1" si="36"/>
        <v>0</v>
      </c>
      <c r="N65" s="45">
        <f t="shared" ca="1" si="33"/>
        <v>0</v>
      </c>
      <c r="O65" s="45">
        <f t="shared" ca="1" si="33"/>
        <v>0</v>
      </c>
      <c r="P65" s="302">
        <f t="shared" ca="1" si="29"/>
        <v>0</v>
      </c>
      <c r="R65" s="45">
        <f t="shared" ca="1" si="37"/>
        <v>0</v>
      </c>
      <c r="S65" s="45">
        <f t="shared" ca="1" si="37"/>
        <v>0</v>
      </c>
      <c r="T65" s="45">
        <f t="shared" ca="1" si="37"/>
        <v>0</v>
      </c>
      <c r="U65" s="45">
        <f t="shared" ca="1" si="37"/>
        <v>0</v>
      </c>
      <c r="V65" s="45">
        <f t="shared" ca="1" si="37"/>
        <v>0</v>
      </c>
      <c r="W65" s="45">
        <f t="shared" ca="1" si="37"/>
        <v>0</v>
      </c>
      <c r="X65" s="45">
        <f t="shared" ca="1" si="37"/>
        <v>0</v>
      </c>
      <c r="Y65" s="45">
        <f t="shared" ca="1" si="35"/>
        <v>0</v>
      </c>
      <c r="Z65" s="45">
        <f t="shared" ca="1" si="35"/>
        <v>0</v>
      </c>
      <c r="AA65" s="302">
        <f t="shared" ca="1" si="30"/>
        <v>0</v>
      </c>
    </row>
    <row r="66" spans="4:27" ht="12" customHeight="1" x14ac:dyDescent="0.25">
      <c r="D66" s="43">
        <f t="shared" si="31"/>
        <v>55</v>
      </c>
      <c r="E66" s="63">
        <f t="shared" si="27"/>
        <v>13.75</v>
      </c>
      <c r="F66" s="43">
        <f t="shared" si="28"/>
        <v>78.75</v>
      </c>
      <c r="G66" s="45">
        <f t="shared" ca="1" si="36"/>
        <v>0</v>
      </c>
      <c r="H66" s="45">
        <f t="shared" ca="1" si="36"/>
        <v>0</v>
      </c>
      <c r="I66" s="45">
        <f t="shared" ca="1" si="36"/>
        <v>0</v>
      </c>
      <c r="J66" s="45">
        <f t="shared" ca="1" si="36"/>
        <v>0</v>
      </c>
      <c r="K66" s="45">
        <f t="shared" ca="1" si="36"/>
        <v>0</v>
      </c>
      <c r="L66" s="45">
        <f t="shared" ca="1" si="36"/>
        <v>0</v>
      </c>
      <c r="M66" s="45">
        <f t="shared" ca="1" si="36"/>
        <v>0</v>
      </c>
      <c r="N66" s="45">
        <f t="shared" ca="1" si="33"/>
        <v>0</v>
      </c>
      <c r="O66" s="45">
        <f t="shared" ca="1" si="33"/>
        <v>0</v>
      </c>
      <c r="P66" s="302">
        <f t="shared" ca="1" si="29"/>
        <v>0</v>
      </c>
      <c r="R66" s="45">
        <f t="shared" ca="1" si="37"/>
        <v>0</v>
      </c>
      <c r="S66" s="45">
        <f t="shared" ca="1" si="37"/>
        <v>0</v>
      </c>
      <c r="T66" s="45">
        <f t="shared" ca="1" si="37"/>
        <v>0</v>
      </c>
      <c r="U66" s="45">
        <f t="shared" ca="1" si="37"/>
        <v>0</v>
      </c>
      <c r="V66" s="45">
        <f t="shared" ca="1" si="37"/>
        <v>0</v>
      </c>
      <c r="W66" s="45">
        <f t="shared" ca="1" si="37"/>
        <v>0</v>
      </c>
      <c r="X66" s="45">
        <f t="shared" ca="1" si="37"/>
        <v>0</v>
      </c>
      <c r="Y66" s="45">
        <f t="shared" ca="1" si="35"/>
        <v>0</v>
      </c>
      <c r="Z66" s="45">
        <f t="shared" ca="1" si="35"/>
        <v>0</v>
      </c>
      <c r="AA66" s="302">
        <f t="shared" ca="1" si="30"/>
        <v>0</v>
      </c>
    </row>
    <row r="67" spans="4:27" ht="12" customHeight="1" x14ac:dyDescent="0.25">
      <c r="D67" s="43">
        <f t="shared" si="31"/>
        <v>56</v>
      </c>
      <c r="E67" s="63">
        <f t="shared" si="27"/>
        <v>14</v>
      </c>
      <c r="F67" s="43">
        <f t="shared" si="28"/>
        <v>79</v>
      </c>
      <c r="G67" s="45">
        <f t="shared" ca="1" si="36"/>
        <v>0</v>
      </c>
      <c r="H67" s="45">
        <f t="shared" ca="1" si="36"/>
        <v>0</v>
      </c>
      <c r="I67" s="45">
        <f t="shared" ca="1" si="36"/>
        <v>0</v>
      </c>
      <c r="J67" s="45">
        <f t="shared" ca="1" si="36"/>
        <v>0</v>
      </c>
      <c r="K67" s="45">
        <f t="shared" ca="1" si="36"/>
        <v>0</v>
      </c>
      <c r="L67" s="45">
        <f t="shared" ca="1" si="36"/>
        <v>0</v>
      </c>
      <c r="M67" s="45">
        <f t="shared" ca="1" si="36"/>
        <v>0</v>
      </c>
      <c r="N67" s="45">
        <f t="shared" ca="1" si="33"/>
        <v>0</v>
      </c>
      <c r="O67" s="45">
        <f t="shared" ca="1" si="33"/>
        <v>0</v>
      </c>
      <c r="P67" s="302">
        <f t="shared" ca="1" si="29"/>
        <v>0</v>
      </c>
      <c r="R67" s="45">
        <f t="shared" ca="1" si="37"/>
        <v>0</v>
      </c>
      <c r="S67" s="45">
        <f t="shared" ca="1" si="37"/>
        <v>0</v>
      </c>
      <c r="T67" s="45">
        <f t="shared" ca="1" si="37"/>
        <v>0</v>
      </c>
      <c r="U67" s="45">
        <f t="shared" ca="1" si="37"/>
        <v>0</v>
      </c>
      <c r="V67" s="45">
        <f t="shared" ca="1" si="37"/>
        <v>0</v>
      </c>
      <c r="W67" s="45">
        <f t="shared" ca="1" si="37"/>
        <v>0</v>
      </c>
      <c r="X67" s="45">
        <f t="shared" ca="1" si="37"/>
        <v>0</v>
      </c>
      <c r="Y67" s="45">
        <f t="shared" ca="1" si="35"/>
        <v>0</v>
      </c>
      <c r="Z67" s="45">
        <f t="shared" ca="1" si="35"/>
        <v>0</v>
      </c>
      <c r="AA67" s="302">
        <f t="shared" ca="1" si="30"/>
        <v>0</v>
      </c>
    </row>
    <row r="68" spans="4:27" ht="12" customHeight="1" x14ac:dyDescent="0.25">
      <c r="D68" s="43">
        <f t="shared" si="31"/>
        <v>57</v>
      </c>
      <c r="E68" s="63">
        <f t="shared" si="27"/>
        <v>14.25</v>
      </c>
      <c r="F68" s="43">
        <f t="shared" si="28"/>
        <v>79.25</v>
      </c>
      <c r="G68" s="45">
        <f t="shared" ca="1" si="36"/>
        <v>0</v>
      </c>
      <c r="H68" s="45">
        <f t="shared" ca="1" si="36"/>
        <v>0</v>
      </c>
      <c r="I68" s="45">
        <f t="shared" ca="1" si="36"/>
        <v>0</v>
      </c>
      <c r="J68" s="45">
        <f t="shared" ca="1" si="36"/>
        <v>0</v>
      </c>
      <c r="K68" s="45">
        <f t="shared" ca="1" si="36"/>
        <v>0</v>
      </c>
      <c r="L68" s="45">
        <f t="shared" ca="1" si="36"/>
        <v>0</v>
      </c>
      <c r="M68" s="45">
        <f t="shared" ca="1" si="36"/>
        <v>0</v>
      </c>
      <c r="N68" s="45">
        <f t="shared" ca="1" si="33"/>
        <v>0</v>
      </c>
      <c r="O68" s="45">
        <f t="shared" ca="1" si="33"/>
        <v>0</v>
      </c>
      <c r="P68" s="302">
        <f t="shared" ca="1" si="29"/>
        <v>0</v>
      </c>
      <c r="R68" s="45">
        <f t="shared" ca="1" si="37"/>
        <v>0</v>
      </c>
      <c r="S68" s="45">
        <f t="shared" ca="1" si="37"/>
        <v>0</v>
      </c>
      <c r="T68" s="45">
        <f t="shared" ca="1" si="37"/>
        <v>0</v>
      </c>
      <c r="U68" s="45">
        <f t="shared" ca="1" si="37"/>
        <v>0</v>
      </c>
      <c r="V68" s="45">
        <f t="shared" ca="1" si="37"/>
        <v>0</v>
      </c>
      <c r="W68" s="45">
        <f t="shared" ca="1" si="37"/>
        <v>0</v>
      </c>
      <c r="X68" s="45">
        <f t="shared" ca="1" si="37"/>
        <v>0</v>
      </c>
      <c r="Y68" s="45">
        <f t="shared" ca="1" si="35"/>
        <v>0</v>
      </c>
      <c r="Z68" s="45">
        <f t="shared" ca="1" si="35"/>
        <v>0</v>
      </c>
      <c r="AA68" s="302">
        <f t="shared" ca="1" si="30"/>
        <v>0</v>
      </c>
    </row>
    <row r="69" spans="4:27" ht="12" customHeight="1" x14ac:dyDescent="0.25">
      <c r="D69" s="43">
        <f t="shared" si="31"/>
        <v>58</v>
      </c>
      <c r="E69" s="63">
        <f t="shared" si="27"/>
        <v>14.5</v>
      </c>
      <c r="F69" s="43">
        <f t="shared" si="28"/>
        <v>79.5</v>
      </c>
      <c r="G69" s="45">
        <f t="shared" ca="1" si="36"/>
        <v>0</v>
      </c>
      <c r="H69" s="45">
        <f t="shared" ca="1" si="36"/>
        <v>0</v>
      </c>
      <c r="I69" s="45">
        <f t="shared" ca="1" si="36"/>
        <v>0</v>
      </c>
      <c r="J69" s="45">
        <f t="shared" ca="1" si="36"/>
        <v>0</v>
      </c>
      <c r="K69" s="45">
        <f t="shared" ca="1" si="36"/>
        <v>0</v>
      </c>
      <c r="L69" s="45">
        <f t="shared" ca="1" si="36"/>
        <v>0</v>
      </c>
      <c r="M69" s="45">
        <f t="shared" ca="1" si="36"/>
        <v>0</v>
      </c>
      <c r="N69" s="45">
        <f t="shared" ca="1" si="33"/>
        <v>0</v>
      </c>
      <c r="O69" s="45">
        <f t="shared" ca="1" si="33"/>
        <v>0</v>
      </c>
      <c r="P69" s="302">
        <f t="shared" ca="1" si="29"/>
        <v>0</v>
      </c>
      <c r="R69" s="45">
        <f t="shared" ca="1" si="37"/>
        <v>0</v>
      </c>
      <c r="S69" s="45">
        <f t="shared" ca="1" si="37"/>
        <v>0</v>
      </c>
      <c r="T69" s="45">
        <f t="shared" ca="1" si="37"/>
        <v>0</v>
      </c>
      <c r="U69" s="45">
        <f t="shared" ca="1" si="37"/>
        <v>0</v>
      </c>
      <c r="V69" s="45">
        <f t="shared" ca="1" si="37"/>
        <v>0</v>
      </c>
      <c r="W69" s="45">
        <f t="shared" ca="1" si="37"/>
        <v>0</v>
      </c>
      <c r="X69" s="45">
        <f t="shared" ca="1" si="37"/>
        <v>0</v>
      </c>
      <c r="Y69" s="45">
        <f t="shared" ca="1" si="35"/>
        <v>0</v>
      </c>
      <c r="Z69" s="45">
        <f t="shared" ca="1" si="35"/>
        <v>0</v>
      </c>
      <c r="AA69" s="302">
        <f t="shared" ca="1" si="30"/>
        <v>0</v>
      </c>
    </row>
    <row r="70" spans="4:27" ht="12" customHeight="1" x14ac:dyDescent="0.25">
      <c r="D70" s="43">
        <f t="shared" si="31"/>
        <v>59</v>
      </c>
      <c r="E70" s="63">
        <f t="shared" si="27"/>
        <v>14.75</v>
      </c>
      <c r="F70" s="43">
        <f t="shared" si="28"/>
        <v>79.75</v>
      </c>
      <c r="G70" s="45">
        <f t="shared" ca="1" si="36"/>
        <v>0</v>
      </c>
      <c r="H70" s="45">
        <f t="shared" ca="1" si="36"/>
        <v>0</v>
      </c>
      <c r="I70" s="45">
        <f t="shared" ca="1" si="36"/>
        <v>0</v>
      </c>
      <c r="J70" s="45">
        <f t="shared" ca="1" si="36"/>
        <v>0</v>
      </c>
      <c r="K70" s="45">
        <f t="shared" ca="1" si="36"/>
        <v>0</v>
      </c>
      <c r="L70" s="45">
        <f t="shared" ca="1" si="36"/>
        <v>0</v>
      </c>
      <c r="M70" s="45">
        <f t="shared" ca="1" si="36"/>
        <v>0</v>
      </c>
      <c r="N70" s="45">
        <f t="shared" ca="1" si="33"/>
        <v>0</v>
      </c>
      <c r="O70" s="45">
        <f t="shared" ca="1" si="33"/>
        <v>0</v>
      </c>
      <c r="P70" s="302">
        <f t="shared" ca="1" si="29"/>
        <v>0</v>
      </c>
      <c r="R70" s="45">
        <f t="shared" ca="1" si="37"/>
        <v>0</v>
      </c>
      <c r="S70" s="45">
        <f t="shared" ca="1" si="37"/>
        <v>0</v>
      </c>
      <c r="T70" s="45">
        <f t="shared" ca="1" si="37"/>
        <v>0</v>
      </c>
      <c r="U70" s="45">
        <f t="shared" ca="1" si="37"/>
        <v>0</v>
      </c>
      <c r="V70" s="45">
        <f t="shared" ca="1" si="37"/>
        <v>0</v>
      </c>
      <c r="W70" s="45">
        <f t="shared" ca="1" si="37"/>
        <v>0</v>
      </c>
      <c r="X70" s="45">
        <f t="shared" ca="1" si="37"/>
        <v>0</v>
      </c>
      <c r="Y70" s="45">
        <f t="shared" ca="1" si="35"/>
        <v>0</v>
      </c>
      <c r="Z70" s="45">
        <f t="shared" ca="1" si="35"/>
        <v>0</v>
      </c>
      <c r="AA70" s="302">
        <f t="shared" ca="1" si="30"/>
        <v>0</v>
      </c>
    </row>
    <row r="71" spans="4:27" ht="12" customHeight="1" x14ac:dyDescent="0.25">
      <c r="D71" s="43">
        <f t="shared" si="31"/>
        <v>60</v>
      </c>
      <c r="E71" s="63">
        <f t="shared" si="27"/>
        <v>15</v>
      </c>
      <c r="F71" s="43">
        <f t="shared" si="28"/>
        <v>80</v>
      </c>
      <c r="G71" s="45">
        <f t="shared" ref="G71:M80" ca="1" si="38">AVERAGE(OFFSET(D.Trace.Markov.Root, $D71, (G$2-1)*D.Trace.Markov.NumCols+G$3-1, CHOOSE(swtchHalfCycle, 2, 1)))*G$4*D.cycleLength</f>
        <v>0</v>
      </c>
      <c r="H71" s="45">
        <f t="shared" ca="1" si="38"/>
        <v>0</v>
      </c>
      <c r="I71" s="45">
        <f t="shared" ca="1" si="38"/>
        <v>0</v>
      </c>
      <c r="J71" s="45">
        <f t="shared" ca="1" si="38"/>
        <v>0</v>
      </c>
      <c r="K71" s="45">
        <f t="shared" ca="1" si="38"/>
        <v>0</v>
      </c>
      <c r="L71" s="45">
        <f t="shared" ca="1" si="38"/>
        <v>0</v>
      </c>
      <c r="M71" s="45">
        <f t="shared" ca="1" si="38"/>
        <v>0</v>
      </c>
      <c r="N71" s="45">
        <f t="shared" ref="N71:O90" ca="1" si="39">AVERAGE(OFFSET(D.Trace.Markov.Root, $D71, (N$2-1)*D.Trace.Markov.NumCols+N$3-1, 2))*N$4*D.cycleLength</f>
        <v>0</v>
      </c>
      <c r="O71" s="45">
        <f t="shared" ca="1" si="39"/>
        <v>0</v>
      </c>
      <c r="P71" s="302">
        <f t="shared" ca="1" si="29"/>
        <v>0</v>
      </c>
      <c r="R71" s="45">
        <f t="shared" ref="R71:X80" ca="1" si="40">AVERAGE(OFFSET(D.Trace.Markov.Root, $D71, (R$2-1)*D.Trace.Markov.NumCols+R$3-1, CHOOSE(swtchHalfCycle, 2, 1)))*R$4*D.cycleLength</f>
        <v>0</v>
      </c>
      <c r="S71" s="45">
        <f t="shared" ca="1" si="40"/>
        <v>0</v>
      </c>
      <c r="T71" s="45">
        <f t="shared" ca="1" si="40"/>
        <v>0</v>
      </c>
      <c r="U71" s="45">
        <f t="shared" ca="1" si="40"/>
        <v>0</v>
      </c>
      <c r="V71" s="45">
        <f t="shared" ca="1" si="40"/>
        <v>0</v>
      </c>
      <c r="W71" s="45">
        <f t="shared" ca="1" si="40"/>
        <v>0</v>
      </c>
      <c r="X71" s="45">
        <f t="shared" ca="1" si="40"/>
        <v>0</v>
      </c>
      <c r="Y71" s="45">
        <f t="shared" ref="Y71:Z90" ca="1" si="41">AVERAGE(OFFSET(D.Trace.Markov.Root, $D71, (Y$2-1)*D.Trace.Markov.NumCols+Y$3-1, 2))*Y$4*D.cycleLength</f>
        <v>0</v>
      </c>
      <c r="Z71" s="45">
        <f t="shared" ca="1" si="41"/>
        <v>0</v>
      </c>
      <c r="AA71" s="302">
        <f t="shared" ca="1" si="30"/>
        <v>0</v>
      </c>
    </row>
    <row r="72" spans="4:27" ht="12" customHeight="1" x14ac:dyDescent="0.25">
      <c r="D72" s="43">
        <f t="shared" si="31"/>
        <v>61</v>
      </c>
      <c r="E72" s="63">
        <f t="shared" si="27"/>
        <v>15.25</v>
      </c>
      <c r="F72" s="43">
        <f t="shared" si="28"/>
        <v>80.25</v>
      </c>
      <c r="G72" s="45">
        <f t="shared" ca="1" si="38"/>
        <v>0</v>
      </c>
      <c r="H72" s="45">
        <f t="shared" ca="1" si="38"/>
        <v>0</v>
      </c>
      <c r="I72" s="45">
        <f t="shared" ca="1" si="38"/>
        <v>0</v>
      </c>
      <c r="J72" s="45">
        <f t="shared" ca="1" si="38"/>
        <v>0</v>
      </c>
      <c r="K72" s="45">
        <f t="shared" ca="1" si="38"/>
        <v>0</v>
      </c>
      <c r="L72" s="45">
        <f t="shared" ca="1" si="38"/>
        <v>0</v>
      </c>
      <c r="M72" s="45">
        <f t="shared" ca="1" si="38"/>
        <v>0</v>
      </c>
      <c r="N72" s="45">
        <f t="shared" ca="1" si="39"/>
        <v>0</v>
      </c>
      <c r="O72" s="45">
        <f t="shared" ca="1" si="39"/>
        <v>0</v>
      </c>
      <c r="P72" s="302">
        <f t="shared" ca="1" si="29"/>
        <v>0</v>
      </c>
      <c r="R72" s="45">
        <f t="shared" ca="1" si="40"/>
        <v>0</v>
      </c>
      <c r="S72" s="45">
        <f t="shared" ca="1" si="40"/>
        <v>0</v>
      </c>
      <c r="T72" s="45">
        <f t="shared" ca="1" si="40"/>
        <v>0</v>
      </c>
      <c r="U72" s="45">
        <f t="shared" ca="1" si="40"/>
        <v>0</v>
      </c>
      <c r="V72" s="45">
        <f t="shared" ca="1" si="40"/>
        <v>0</v>
      </c>
      <c r="W72" s="45">
        <f t="shared" ca="1" si="40"/>
        <v>0</v>
      </c>
      <c r="X72" s="45">
        <f t="shared" ca="1" si="40"/>
        <v>0</v>
      </c>
      <c r="Y72" s="45">
        <f t="shared" ca="1" si="41"/>
        <v>0</v>
      </c>
      <c r="Z72" s="45">
        <f t="shared" ca="1" si="41"/>
        <v>0</v>
      </c>
      <c r="AA72" s="302">
        <f t="shared" ca="1" si="30"/>
        <v>0</v>
      </c>
    </row>
    <row r="73" spans="4:27" ht="12" customHeight="1" x14ac:dyDescent="0.25">
      <c r="D73" s="43">
        <f t="shared" si="31"/>
        <v>62</v>
      </c>
      <c r="E73" s="63">
        <f t="shared" si="27"/>
        <v>15.5</v>
      </c>
      <c r="F73" s="43">
        <f t="shared" si="28"/>
        <v>80.5</v>
      </c>
      <c r="G73" s="45">
        <f t="shared" ca="1" si="38"/>
        <v>0</v>
      </c>
      <c r="H73" s="45">
        <f t="shared" ca="1" si="38"/>
        <v>0</v>
      </c>
      <c r="I73" s="45">
        <f t="shared" ca="1" si="38"/>
        <v>0</v>
      </c>
      <c r="J73" s="45">
        <f t="shared" ca="1" si="38"/>
        <v>0</v>
      </c>
      <c r="K73" s="45">
        <f t="shared" ca="1" si="38"/>
        <v>0</v>
      </c>
      <c r="L73" s="45">
        <f t="shared" ca="1" si="38"/>
        <v>0</v>
      </c>
      <c r="M73" s="45">
        <f t="shared" ca="1" si="38"/>
        <v>0</v>
      </c>
      <c r="N73" s="45">
        <f t="shared" ca="1" si="39"/>
        <v>0</v>
      </c>
      <c r="O73" s="45">
        <f t="shared" ca="1" si="39"/>
        <v>0</v>
      </c>
      <c r="P73" s="302">
        <f t="shared" ca="1" si="29"/>
        <v>0</v>
      </c>
      <c r="R73" s="45">
        <f t="shared" ca="1" si="40"/>
        <v>0</v>
      </c>
      <c r="S73" s="45">
        <f t="shared" ca="1" si="40"/>
        <v>0</v>
      </c>
      <c r="T73" s="45">
        <f t="shared" ca="1" si="40"/>
        <v>0</v>
      </c>
      <c r="U73" s="45">
        <f t="shared" ca="1" si="40"/>
        <v>0</v>
      </c>
      <c r="V73" s="45">
        <f t="shared" ca="1" si="40"/>
        <v>0</v>
      </c>
      <c r="W73" s="45">
        <f t="shared" ca="1" si="40"/>
        <v>0</v>
      </c>
      <c r="X73" s="45">
        <f t="shared" ca="1" si="40"/>
        <v>0</v>
      </c>
      <c r="Y73" s="45">
        <f t="shared" ca="1" si="41"/>
        <v>0</v>
      </c>
      <c r="Z73" s="45">
        <f t="shared" ca="1" si="41"/>
        <v>0</v>
      </c>
      <c r="AA73" s="302">
        <f t="shared" ca="1" si="30"/>
        <v>0</v>
      </c>
    </row>
    <row r="74" spans="4:27" ht="12" customHeight="1" x14ac:dyDescent="0.25">
      <c r="D74" s="43">
        <f t="shared" si="31"/>
        <v>63</v>
      </c>
      <c r="E74" s="63">
        <f t="shared" si="27"/>
        <v>15.75</v>
      </c>
      <c r="F74" s="43">
        <f t="shared" si="28"/>
        <v>80.75</v>
      </c>
      <c r="G74" s="45">
        <f t="shared" ca="1" si="38"/>
        <v>0</v>
      </c>
      <c r="H74" s="45">
        <f t="shared" ca="1" si="38"/>
        <v>0</v>
      </c>
      <c r="I74" s="45">
        <f t="shared" ca="1" si="38"/>
        <v>0</v>
      </c>
      <c r="J74" s="45">
        <f t="shared" ca="1" si="38"/>
        <v>0</v>
      </c>
      <c r="K74" s="45">
        <f t="shared" ca="1" si="38"/>
        <v>0</v>
      </c>
      <c r="L74" s="45">
        <f t="shared" ca="1" si="38"/>
        <v>0</v>
      </c>
      <c r="M74" s="45">
        <f t="shared" ca="1" si="38"/>
        <v>0</v>
      </c>
      <c r="N74" s="45">
        <f t="shared" ca="1" si="39"/>
        <v>0</v>
      </c>
      <c r="O74" s="45">
        <f t="shared" ca="1" si="39"/>
        <v>0</v>
      </c>
      <c r="P74" s="302">
        <f t="shared" ca="1" si="29"/>
        <v>0</v>
      </c>
      <c r="R74" s="45">
        <f t="shared" ca="1" si="40"/>
        <v>0</v>
      </c>
      <c r="S74" s="45">
        <f t="shared" ca="1" si="40"/>
        <v>0</v>
      </c>
      <c r="T74" s="45">
        <f t="shared" ca="1" si="40"/>
        <v>0</v>
      </c>
      <c r="U74" s="45">
        <f t="shared" ca="1" si="40"/>
        <v>0</v>
      </c>
      <c r="V74" s="45">
        <f t="shared" ca="1" si="40"/>
        <v>0</v>
      </c>
      <c r="W74" s="45">
        <f t="shared" ca="1" si="40"/>
        <v>0</v>
      </c>
      <c r="X74" s="45">
        <f t="shared" ca="1" si="40"/>
        <v>0</v>
      </c>
      <c r="Y74" s="45">
        <f t="shared" ca="1" si="41"/>
        <v>0</v>
      </c>
      <c r="Z74" s="45">
        <f t="shared" ca="1" si="41"/>
        <v>0</v>
      </c>
      <c r="AA74" s="302">
        <f t="shared" ca="1" si="30"/>
        <v>0</v>
      </c>
    </row>
    <row r="75" spans="4:27" ht="12" customHeight="1" x14ac:dyDescent="0.25">
      <c r="D75" s="43">
        <f t="shared" si="31"/>
        <v>64</v>
      </c>
      <c r="E75" s="63">
        <f t="shared" ref="E75:E106" si="42">D75*D.cycleLength</f>
        <v>16</v>
      </c>
      <c r="F75" s="43">
        <f t="shared" ref="F75:F106" si="43">D.cohortAge+E75</f>
        <v>81</v>
      </c>
      <c r="G75" s="45">
        <f t="shared" ca="1" si="38"/>
        <v>0</v>
      </c>
      <c r="H75" s="45">
        <f t="shared" ca="1" si="38"/>
        <v>0</v>
      </c>
      <c r="I75" s="45">
        <f t="shared" ca="1" si="38"/>
        <v>0</v>
      </c>
      <c r="J75" s="45">
        <f t="shared" ca="1" si="38"/>
        <v>0</v>
      </c>
      <c r="K75" s="45">
        <f t="shared" ca="1" si="38"/>
        <v>0</v>
      </c>
      <c r="L75" s="45">
        <f t="shared" ca="1" si="38"/>
        <v>0</v>
      </c>
      <c r="M75" s="45">
        <f t="shared" ca="1" si="38"/>
        <v>0</v>
      </c>
      <c r="N75" s="45">
        <f t="shared" ca="1" si="39"/>
        <v>0</v>
      </c>
      <c r="O75" s="45">
        <f t="shared" ca="1" si="39"/>
        <v>0</v>
      </c>
      <c r="P75" s="302">
        <f t="shared" ref="P75:P106" ca="1" si="44">SUM(G75:O75)</f>
        <v>0</v>
      </c>
      <c r="R75" s="45">
        <f t="shared" ca="1" si="40"/>
        <v>0</v>
      </c>
      <c r="S75" s="45">
        <f t="shared" ca="1" si="40"/>
        <v>0</v>
      </c>
      <c r="T75" s="45">
        <f t="shared" ca="1" si="40"/>
        <v>0</v>
      </c>
      <c r="U75" s="45">
        <f t="shared" ca="1" si="40"/>
        <v>0</v>
      </c>
      <c r="V75" s="45">
        <f t="shared" ca="1" si="40"/>
        <v>0</v>
      </c>
      <c r="W75" s="45">
        <f t="shared" ca="1" si="40"/>
        <v>0</v>
      </c>
      <c r="X75" s="45">
        <f t="shared" ca="1" si="40"/>
        <v>0</v>
      </c>
      <c r="Y75" s="45">
        <f t="shared" ca="1" si="41"/>
        <v>0</v>
      </c>
      <c r="Z75" s="45">
        <f t="shared" ca="1" si="41"/>
        <v>0</v>
      </c>
      <c r="AA75" s="302">
        <f t="shared" ref="AA75:AA106" ca="1" si="45">SUM(R75:Z75)</f>
        <v>0</v>
      </c>
    </row>
    <row r="76" spans="4:27" ht="12" customHeight="1" x14ac:dyDescent="0.25">
      <c r="D76" s="43">
        <f t="shared" ref="D76:D107" si="46">D75+1</f>
        <v>65</v>
      </c>
      <c r="E76" s="63">
        <f t="shared" si="42"/>
        <v>16.25</v>
      </c>
      <c r="F76" s="43">
        <f t="shared" si="43"/>
        <v>81.25</v>
      </c>
      <c r="G76" s="45">
        <f t="shared" ca="1" si="38"/>
        <v>0</v>
      </c>
      <c r="H76" s="45">
        <f t="shared" ca="1" si="38"/>
        <v>0</v>
      </c>
      <c r="I76" s="45">
        <f t="shared" ca="1" si="38"/>
        <v>0</v>
      </c>
      <c r="J76" s="45">
        <f t="shared" ca="1" si="38"/>
        <v>0</v>
      </c>
      <c r="K76" s="45">
        <f t="shared" ca="1" si="38"/>
        <v>0</v>
      </c>
      <c r="L76" s="45">
        <f t="shared" ca="1" si="38"/>
        <v>0</v>
      </c>
      <c r="M76" s="45">
        <f t="shared" ca="1" si="38"/>
        <v>0</v>
      </c>
      <c r="N76" s="45">
        <f t="shared" ca="1" si="39"/>
        <v>0</v>
      </c>
      <c r="O76" s="45">
        <f t="shared" ca="1" si="39"/>
        <v>0</v>
      </c>
      <c r="P76" s="302">
        <f t="shared" ca="1" si="44"/>
        <v>0</v>
      </c>
      <c r="R76" s="45">
        <f t="shared" ca="1" si="40"/>
        <v>0</v>
      </c>
      <c r="S76" s="45">
        <f t="shared" ca="1" si="40"/>
        <v>0</v>
      </c>
      <c r="T76" s="45">
        <f t="shared" ca="1" si="40"/>
        <v>0</v>
      </c>
      <c r="U76" s="45">
        <f t="shared" ca="1" si="40"/>
        <v>0</v>
      </c>
      <c r="V76" s="45">
        <f t="shared" ca="1" si="40"/>
        <v>0</v>
      </c>
      <c r="W76" s="45">
        <f t="shared" ca="1" si="40"/>
        <v>0</v>
      </c>
      <c r="X76" s="45">
        <f t="shared" ca="1" si="40"/>
        <v>0</v>
      </c>
      <c r="Y76" s="45">
        <f t="shared" ca="1" si="41"/>
        <v>0</v>
      </c>
      <c r="Z76" s="45">
        <f t="shared" ca="1" si="41"/>
        <v>0</v>
      </c>
      <c r="AA76" s="302">
        <f t="shared" ca="1" si="45"/>
        <v>0</v>
      </c>
    </row>
    <row r="77" spans="4:27" ht="12" customHeight="1" x14ac:dyDescent="0.25">
      <c r="D77" s="43">
        <f t="shared" si="46"/>
        <v>66</v>
      </c>
      <c r="E77" s="63">
        <f t="shared" si="42"/>
        <v>16.5</v>
      </c>
      <c r="F77" s="43">
        <f t="shared" si="43"/>
        <v>81.5</v>
      </c>
      <c r="G77" s="45">
        <f t="shared" ca="1" si="38"/>
        <v>0</v>
      </c>
      <c r="H77" s="45">
        <f t="shared" ca="1" si="38"/>
        <v>0</v>
      </c>
      <c r="I77" s="45">
        <f t="shared" ca="1" si="38"/>
        <v>0</v>
      </c>
      <c r="J77" s="45">
        <f t="shared" ca="1" si="38"/>
        <v>0</v>
      </c>
      <c r="K77" s="45">
        <f t="shared" ca="1" si="38"/>
        <v>0</v>
      </c>
      <c r="L77" s="45">
        <f t="shared" ca="1" si="38"/>
        <v>0</v>
      </c>
      <c r="M77" s="45">
        <f t="shared" ca="1" si="38"/>
        <v>0</v>
      </c>
      <c r="N77" s="45">
        <f t="shared" ca="1" si="39"/>
        <v>0</v>
      </c>
      <c r="O77" s="45">
        <f t="shared" ca="1" si="39"/>
        <v>0</v>
      </c>
      <c r="P77" s="302">
        <f t="shared" ca="1" si="44"/>
        <v>0</v>
      </c>
      <c r="R77" s="45">
        <f t="shared" ca="1" si="40"/>
        <v>0</v>
      </c>
      <c r="S77" s="45">
        <f t="shared" ca="1" si="40"/>
        <v>0</v>
      </c>
      <c r="T77" s="45">
        <f t="shared" ca="1" si="40"/>
        <v>0</v>
      </c>
      <c r="U77" s="45">
        <f t="shared" ca="1" si="40"/>
        <v>0</v>
      </c>
      <c r="V77" s="45">
        <f t="shared" ca="1" si="40"/>
        <v>0</v>
      </c>
      <c r="W77" s="45">
        <f t="shared" ca="1" si="40"/>
        <v>0</v>
      </c>
      <c r="X77" s="45">
        <f t="shared" ca="1" si="40"/>
        <v>0</v>
      </c>
      <c r="Y77" s="45">
        <f t="shared" ca="1" si="41"/>
        <v>0</v>
      </c>
      <c r="Z77" s="45">
        <f t="shared" ca="1" si="41"/>
        <v>0</v>
      </c>
      <c r="AA77" s="302">
        <f t="shared" ca="1" si="45"/>
        <v>0</v>
      </c>
    </row>
    <row r="78" spans="4:27" ht="12" customHeight="1" x14ac:dyDescent="0.25">
      <c r="D78" s="43">
        <f t="shared" si="46"/>
        <v>67</v>
      </c>
      <c r="E78" s="63">
        <f t="shared" si="42"/>
        <v>16.75</v>
      </c>
      <c r="F78" s="43">
        <f t="shared" si="43"/>
        <v>81.75</v>
      </c>
      <c r="G78" s="45">
        <f t="shared" ca="1" si="38"/>
        <v>0</v>
      </c>
      <c r="H78" s="45">
        <f t="shared" ca="1" si="38"/>
        <v>0</v>
      </c>
      <c r="I78" s="45">
        <f t="shared" ca="1" si="38"/>
        <v>0</v>
      </c>
      <c r="J78" s="45">
        <f t="shared" ca="1" si="38"/>
        <v>0</v>
      </c>
      <c r="K78" s="45">
        <f t="shared" ca="1" si="38"/>
        <v>0</v>
      </c>
      <c r="L78" s="45">
        <f t="shared" ca="1" si="38"/>
        <v>0</v>
      </c>
      <c r="M78" s="45">
        <f t="shared" ca="1" si="38"/>
        <v>0</v>
      </c>
      <c r="N78" s="45">
        <f t="shared" ca="1" si="39"/>
        <v>0</v>
      </c>
      <c r="O78" s="45">
        <f t="shared" ca="1" si="39"/>
        <v>0</v>
      </c>
      <c r="P78" s="302">
        <f t="shared" ca="1" si="44"/>
        <v>0</v>
      </c>
      <c r="R78" s="45">
        <f t="shared" ca="1" si="40"/>
        <v>0</v>
      </c>
      <c r="S78" s="45">
        <f t="shared" ca="1" si="40"/>
        <v>0</v>
      </c>
      <c r="T78" s="45">
        <f t="shared" ca="1" si="40"/>
        <v>0</v>
      </c>
      <c r="U78" s="45">
        <f t="shared" ca="1" si="40"/>
        <v>0</v>
      </c>
      <c r="V78" s="45">
        <f t="shared" ca="1" si="40"/>
        <v>0</v>
      </c>
      <c r="W78" s="45">
        <f t="shared" ca="1" si="40"/>
        <v>0</v>
      </c>
      <c r="X78" s="45">
        <f t="shared" ca="1" si="40"/>
        <v>0</v>
      </c>
      <c r="Y78" s="45">
        <f t="shared" ca="1" si="41"/>
        <v>0</v>
      </c>
      <c r="Z78" s="45">
        <f t="shared" ca="1" si="41"/>
        <v>0</v>
      </c>
      <c r="AA78" s="302">
        <f t="shared" ca="1" si="45"/>
        <v>0</v>
      </c>
    </row>
    <row r="79" spans="4:27" ht="12" customHeight="1" x14ac:dyDescent="0.25">
      <c r="D79" s="43">
        <f t="shared" si="46"/>
        <v>68</v>
      </c>
      <c r="E79" s="63">
        <f t="shared" si="42"/>
        <v>17</v>
      </c>
      <c r="F79" s="43">
        <f t="shared" si="43"/>
        <v>82</v>
      </c>
      <c r="G79" s="45">
        <f t="shared" ca="1" si="38"/>
        <v>0</v>
      </c>
      <c r="H79" s="45">
        <f t="shared" ca="1" si="38"/>
        <v>0</v>
      </c>
      <c r="I79" s="45">
        <f t="shared" ca="1" si="38"/>
        <v>0</v>
      </c>
      <c r="J79" s="45">
        <f t="shared" ca="1" si="38"/>
        <v>0</v>
      </c>
      <c r="K79" s="45">
        <f t="shared" ca="1" si="38"/>
        <v>0</v>
      </c>
      <c r="L79" s="45">
        <f t="shared" ca="1" si="38"/>
        <v>0</v>
      </c>
      <c r="M79" s="45">
        <f t="shared" ca="1" si="38"/>
        <v>0</v>
      </c>
      <c r="N79" s="45">
        <f t="shared" ca="1" si="39"/>
        <v>0</v>
      </c>
      <c r="O79" s="45">
        <f t="shared" ca="1" si="39"/>
        <v>0</v>
      </c>
      <c r="P79" s="302">
        <f t="shared" ca="1" si="44"/>
        <v>0</v>
      </c>
      <c r="R79" s="45">
        <f t="shared" ca="1" si="40"/>
        <v>0</v>
      </c>
      <c r="S79" s="45">
        <f t="shared" ca="1" si="40"/>
        <v>0</v>
      </c>
      <c r="T79" s="45">
        <f t="shared" ca="1" si="40"/>
        <v>0</v>
      </c>
      <c r="U79" s="45">
        <f t="shared" ca="1" si="40"/>
        <v>0</v>
      </c>
      <c r="V79" s="45">
        <f t="shared" ca="1" si="40"/>
        <v>0</v>
      </c>
      <c r="W79" s="45">
        <f t="shared" ca="1" si="40"/>
        <v>0</v>
      </c>
      <c r="X79" s="45">
        <f t="shared" ca="1" si="40"/>
        <v>0</v>
      </c>
      <c r="Y79" s="45">
        <f t="shared" ca="1" si="41"/>
        <v>0</v>
      </c>
      <c r="Z79" s="45">
        <f t="shared" ca="1" si="41"/>
        <v>0</v>
      </c>
      <c r="AA79" s="302">
        <f t="shared" ca="1" si="45"/>
        <v>0</v>
      </c>
    </row>
    <row r="80" spans="4:27" ht="12" customHeight="1" x14ac:dyDescent="0.25">
      <c r="D80" s="43">
        <f t="shared" si="46"/>
        <v>69</v>
      </c>
      <c r="E80" s="63">
        <f t="shared" si="42"/>
        <v>17.25</v>
      </c>
      <c r="F80" s="43">
        <f t="shared" si="43"/>
        <v>82.25</v>
      </c>
      <c r="G80" s="45">
        <f t="shared" ca="1" si="38"/>
        <v>0</v>
      </c>
      <c r="H80" s="45">
        <f t="shared" ca="1" si="38"/>
        <v>0</v>
      </c>
      <c r="I80" s="45">
        <f t="shared" ca="1" si="38"/>
        <v>0</v>
      </c>
      <c r="J80" s="45">
        <f t="shared" ca="1" si="38"/>
        <v>0</v>
      </c>
      <c r="K80" s="45">
        <f t="shared" ca="1" si="38"/>
        <v>0</v>
      </c>
      <c r="L80" s="45">
        <f t="shared" ca="1" si="38"/>
        <v>0</v>
      </c>
      <c r="M80" s="45">
        <f t="shared" ca="1" si="38"/>
        <v>0</v>
      </c>
      <c r="N80" s="45">
        <f t="shared" ca="1" si="39"/>
        <v>0</v>
      </c>
      <c r="O80" s="45">
        <f t="shared" ca="1" si="39"/>
        <v>0</v>
      </c>
      <c r="P80" s="302">
        <f t="shared" ca="1" si="44"/>
        <v>0</v>
      </c>
      <c r="R80" s="45">
        <f t="shared" ca="1" si="40"/>
        <v>0</v>
      </c>
      <c r="S80" s="45">
        <f t="shared" ca="1" si="40"/>
        <v>0</v>
      </c>
      <c r="T80" s="45">
        <f t="shared" ca="1" si="40"/>
        <v>0</v>
      </c>
      <c r="U80" s="45">
        <f t="shared" ca="1" si="40"/>
        <v>0</v>
      </c>
      <c r="V80" s="45">
        <f t="shared" ca="1" si="40"/>
        <v>0</v>
      </c>
      <c r="W80" s="45">
        <f t="shared" ca="1" si="40"/>
        <v>0</v>
      </c>
      <c r="X80" s="45">
        <f t="shared" ca="1" si="40"/>
        <v>0</v>
      </c>
      <c r="Y80" s="45">
        <f t="shared" ca="1" si="41"/>
        <v>0</v>
      </c>
      <c r="Z80" s="45">
        <f t="shared" ca="1" si="41"/>
        <v>0</v>
      </c>
      <c r="AA80" s="302">
        <f t="shared" ca="1" si="45"/>
        <v>0</v>
      </c>
    </row>
    <row r="81" spans="4:27" ht="12" customHeight="1" x14ac:dyDescent="0.25">
      <c r="D81" s="43">
        <f t="shared" si="46"/>
        <v>70</v>
      </c>
      <c r="E81" s="63">
        <f t="shared" si="42"/>
        <v>17.5</v>
      </c>
      <c r="F81" s="43">
        <f t="shared" si="43"/>
        <v>82.5</v>
      </c>
      <c r="G81" s="45">
        <f t="shared" ref="G81:M90" ca="1" si="47">AVERAGE(OFFSET(D.Trace.Markov.Root, $D81, (G$2-1)*D.Trace.Markov.NumCols+G$3-1, CHOOSE(swtchHalfCycle, 2, 1)))*G$4*D.cycleLength</f>
        <v>0</v>
      </c>
      <c r="H81" s="45">
        <f t="shared" ca="1" si="47"/>
        <v>0</v>
      </c>
      <c r="I81" s="45">
        <f t="shared" ca="1" si="47"/>
        <v>0</v>
      </c>
      <c r="J81" s="45">
        <f t="shared" ca="1" si="47"/>
        <v>0</v>
      </c>
      <c r="K81" s="45">
        <f t="shared" ca="1" si="47"/>
        <v>0</v>
      </c>
      <c r="L81" s="45">
        <f t="shared" ca="1" si="47"/>
        <v>0</v>
      </c>
      <c r="M81" s="45">
        <f t="shared" ca="1" si="47"/>
        <v>0</v>
      </c>
      <c r="N81" s="45">
        <f t="shared" ca="1" si="39"/>
        <v>0</v>
      </c>
      <c r="O81" s="45">
        <f t="shared" ca="1" si="39"/>
        <v>0</v>
      </c>
      <c r="P81" s="302">
        <f t="shared" ca="1" si="44"/>
        <v>0</v>
      </c>
      <c r="R81" s="45">
        <f t="shared" ref="R81:X90" ca="1" si="48">AVERAGE(OFFSET(D.Trace.Markov.Root, $D81, (R$2-1)*D.Trace.Markov.NumCols+R$3-1, CHOOSE(swtchHalfCycle, 2, 1)))*R$4*D.cycleLength</f>
        <v>0</v>
      </c>
      <c r="S81" s="45">
        <f t="shared" ca="1" si="48"/>
        <v>0</v>
      </c>
      <c r="T81" s="45">
        <f t="shared" ca="1" si="48"/>
        <v>0</v>
      </c>
      <c r="U81" s="45">
        <f t="shared" ca="1" si="48"/>
        <v>0</v>
      </c>
      <c r="V81" s="45">
        <f t="shared" ca="1" si="48"/>
        <v>0</v>
      </c>
      <c r="W81" s="45">
        <f t="shared" ca="1" si="48"/>
        <v>0</v>
      </c>
      <c r="X81" s="45">
        <f t="shared" ca="1" si="48"/>
        <v>0</v>
      </c>
      <c r="Y81" s="45">
        <f t="shared" ca="1" si="41"/>
        <v>0</v>
      </c>
      <c r="Z81" s="45">
        <f t="shared" ca="1" si="41"/>
        <v>0</v>
      </c>
      <c r="AA81" s="302">
        <f t="shared" ca="1" si="45"/>
        <v>0</v>
      </c>
    </row>
    <row r="82" spans="4:27" ht="12" customHeight="1" x14ac:dyDescent="0.25">
      <c r="D82" s="43">
        <f t="shared" si="46"/>
        <v>71</v>
      </c>
      <c r="E82" s="63">
        <f t="shared" si="42"/>
        <v>17.75</v>
      </c>
      <c r="F82" s="43">
        <f t="shared" si="43"/>
        <v>82.75</v>
      </c>
      <c r="G82" s="45">
        <f t="shared" ca="1" si="47"/>
        <v>0</v>
      </c>
      <c r="H82" s="45">
        <f t="shared" ca="1" si="47"/>
        <v>0</v>
      </c>
      <c r="I82" s="45">
        <f t="shared" ca="1" si="47"/>
        <v>0</v>
      </c>
      <c r="J82" s="45">
        <f t="shared" ca="1" si="47"/>
        <v>0</v>
      </c>
      <c r="K82" s="45">
        <f t="shared" ca="1" si="47"/>
        <v>0</v>
      </c>
      <c r="L82" s="45">
        <f t="shared" ca="1" si="47"/>
        <v>0</v>
      </c>
      <c r="M82" s="45">
        <f t="shared" ca="1" si="47"/>
        <v>0</v>
      </c>
      <c r="N82" s="45">
        <f t="shared" ca="1" si="39"/>
        <v>0</v>
      </c>
      <c r="O82" s="45">
        <f t="shared" ca="1" si="39"/>
        <v>0</v>
      </c>
      <c r="P82" s="302">
        <f t="shared" ca="1" si="44"/>
        <v>0</v>
      </c>
      <c r="R82" s="45">
        <f t="shared" ca="1" si="48"/>
        <v>0</v>
      </c>
      <c r="S82" s="45">
        <f t="shared" ca="1" si="48"/>
        <v>0</v>
      </c>
      <c r="T82" s="45">
        <f t="shared" ca="1" si="48"/>
        <v>0</v>
      </c>
      <c r="U82" s="45">
        <f t="shared" ca="1" si="48"/>
        <v>0</v>
      </c>
      <c r="V82" s="45">
        <f t="shared" ca="1" si="48"/>
        <v>0</v>
      </c>
      <c r="W82" s="45">
        <f t="shared" ca="1" si="48"/>
        <v>0</v>
      </c>
      <c r="X82" s="45">
        <f t="shared" ca="1" si="48"/>
        <v>0</v>
      </c>
      <c r="Y82" s="45">
        <f t="shared" ca="1" si="41"/>
        <v>0</v>
      </c>
      <c r="Z82" s="45">
        <f t="shared" ca="1" si="41"/>
        <v>0</v>
      </c>
      <c r="AA82" s="302">
        <f t="shared" ca="1" si="45"/>
        <v>0</v>
      </c>
    </row>
    <row r="83" spans="4:27" ht="12" customHeight="1" x14ac:dyDescent="0.25">
      <c r="D83" s="43">
        <f t="shared" si="46"/>
        <v>72</v>
      </c>
      <c r="E83" s="63">
        <f t="shared" si="42"/>
        <v>18</v>
      </c>
      <c r="F83" s="43">
        <f t="shared" si="43"/>
        <v>83</v>
      </c>
      <c r="G83" s="45">
        <f t="shared" ca="1" si="47"/>
        <v>0</v>
      </c>
      <c r="H83" s="45">
        <f t="shared" ca="1" si="47"/>
        <v>0</v>
      </c>
      <c r="I83" s="45">
        <f t="shared" ca="1" si="47"/>
        <v>0</v>
      </c>
      <c r="J83" s="45">
        <f t="shared" ca="1" si="47"/>
        <v>0</v>
      </c>
      <c r="K83" s="45">
        <f t="shared" ca="1" si="47"/>
        <v>0</v>
      </c>
      <c r="L83" s="45">
        <f t="shared" ca="1" si="47"/>
        <v>0</v>
      </c>
      <c r="M83" s="45">
        <f t="shared" ca="1" si="47"/>
        <v>0</v>
      </c>
      <c r="N83" s="45">
        <f t="shared" ca="1" si="39"/>
        <v>0</v>
      </c>
      <c r="O83" s="45">
        <f t="shared" ca="1" si="39"/>
        <v>0</v>
      </c>
      <c r="P83" s="302">
        <f t="shared" ca="1" si="44"/>
        <v>0</v>
      </c>
      <c r="R83" s="45">
        <f t="shared" ca="1" si="48"/>
        <v>0</v>
      </c>
      <c r="S83" s="45">
        <f t="shared" ca="1" si="48"/>
        <v>0</v>
      </c>
      <c r="T83" s="45">
        <f t="shared" ca="1" si="48"/>
        <v>0</v>
      </c>
      <c r="U83" s="45">
        <f t="shared" ca="1" si="48"/>
        <v>0</v>
      </c>
      <c r="V83" s="45">
        <f t="shared" ca="1" si="48"/>
        <v>0</v>
      </c>
      <c r="W83" s="45">
        <f t="shared" ca="1" si="48"/>
        <v>0</v>
      </c>
      <c r="X83" s="45">
        <f t="shared" ca="1" si="48"/>
        <v>0</v>
      </c>
      <c r="Y83" s="45">
        <f t="shared" ca="1" si="41"/>
        <v>0</v>
      </c>
      <c r="Z83" s="45">
        <f t="shared" ca="1" si="41"/>
        <v>0</v>
      </c>
      <c r="AA83" s="302">
        <f t="shared" ca="1" si="45"/>
        <v>0</v>
      </c>
    </row>
    <row r="84" spans="4:27" ht="12" customHeight="1" x14ac:dyDescent="0.25">
      <c r="D84" s="43">
        <f t="shared" si="46"/>
        <v>73</v>
      </c>
      <c r="E84" s="63">
        <f t="shared" si="42"/>
        <v>18.25</v>
      </c>
      <c r="F84" s="43">
        <f t="shared" si="43"/>
        <v>83.25</v>
      </c>
      <c r="G84" s="45">
        <f t="shared" ca="1" si="47"/>
        <v>0</v>
      </c>
      <c r="H84" s="45">
        <f t="shared" ca="1" si="47"/>
        <v>0</v>
      </c>
      <c r="I84" s="45">
        <f t="shared" ca="1" si="47"/>
        <v>0</v>
      </c>
      <c r="J84" s="45">
        <f t="shared" ca="1" si="47"/>
        <v>0</v>
      </c>
      <c r="K84" s="45">
        <f t="shared" ca="1" si="47"/>
        <v>0</v>
      </c>
      <c r="L84" s="45">
        <f t="shared" ca="1" si="47"/>
        <v>0</v>
      </c>
      <c r="M84" s="45">
        <f t="shared" ca="1" si="47"/>
        <v>0</v>
      </c>
      <c r="N84" s="45">
        <f t="shared" ca="1" si="39"/>
        <v>0</v>
      </c>
      <c r="O84" s="45">
        <f t="shared" ca="1" si="39"/>
        <v>0</v>
      </c>
      <c r="P84" s="302">
        <f t="shared" ca="1" si="44"/>
        <v>0</v>
      </c>
      <c r="R84" s="45">
        <f t="shared" ca="1" si="48"/>
        <v>0</v>
      </c>
      <c r="S84" s="45">
        <f t="shared" ca="1" si="48"/>
        <v>0</v>
      </c>
      <c r="T84" s="45">
        <f t="shared" ca="1" si="48"/>
        <v>0</v>
      </c>
      <c r="U84" s="45">
        <f t="shared" ca="1" si="48"/>
        <v>0</v>
      </c>
      <c r="V84" s="45">
        <f t="shared" ca="1" si="48"/>
        <v>0</v>
      </c>
      <c r="W84" s="45">
        <f t="shared" ca="1" si="48"/>
        <v>0</v>
      </c>
      <c r="X84" s="45">
        <f t="shared" ca="1" si="48"/>
        <v>0</v>
      </c>
      <c r="Y84" s="45">
        <f t="shared" ca="1" si="41"/>
        <v>0</v>
      </c>
      <c r="Z84" s="45">
        <f t="shared" ca="1" si="41"/>
        <v>0</v>
      </c>
      <c r="AA84" s="302">
        <f t="shared" ca="1" si="45"/>
        <v>0</v>
      </c>
    </row>
    <row r="85" spans="4:27" ht="12" customHeight="1" x14ac:dyDescent="0.25">
      <c r="D85" s="43">
        <f t="shared" si="46"/>
        <v>74</v>
      </c>
      <c r="E85" s="63">
        <f t="shared" si="42"/>
        <v>18.5</v>
      </c>
      <c r="F85" s="43">
        <f t="shared" si="43"/>
        <v>83.5</v>
      </c>
      <c r="G85" s="45">
        <f t="shared" ca="1" si="47"/>
        <v>0</v>
      </c>
      <c r="H85" s="45">
        <f t="shared" ca="1" si="47"/>
        <v>0</v>
      </c>
      <c r="I85" s="45">
        <f t="shared" ca="1" si="47"/>
        <v>0</v>
      </c>
      <c r="J85" s="45">
        <f t="shared" ca="1" si="47"/>
        <v>0</v>
      </c>
      <c r="K85" s="45">
        <f t="shared" ca="1" si="47"/>
        <v>0</v>
      </c>
      <c r="L85" s="45">
        <f t="shared" ca="1" si="47"/>
        <v>0</v>
      </c>
      <c r="M85" s="45">
        <f t="shared" ca="1" si="47"/>
        <v>0</v>
      </c>
      <c r="N85" s="45">
        <f t="shared" ca="1" si="39"/>
        <v>0</v>
      </c>
      <c r="O85" s="45">
        <f t="shared" ca="1" si="39"/>
        <v>0</v>
      </c>
      <c r="P85" s="302">
        <f t="shared" ca="1" si="44"/>
        <v>0</v>
      </c>
      <c r="R85" s="45">
        <f t="shared" ca="1" si="48"/>
        <v>0</v>
      </c>
      <c r="S85" s="45">
        <f t="shared" ca="1" si="48"/>
        <v>0</v>
      </c>
      <c r="T85" s="45">
        <f t="shared" ca="1" si="48"/>
        <v>0</v>
      </c>
      <c r="U85" s="45">
        <f t="shared" ca="1" si="48"/>
        <v>0</v>
      </c>
      <c r="V85" s="45">
        <f t="shared" ca="1" si="48"/>
        <v>0</v>
      </c>
      <c r="W85" s="45">
        <f t="shared" ca="1" si="48"/>
        <v>0</v>
      </c>
      <c r="X85" s="45">
        <f t="shared" ca="1" si="48"/>
        <v>0</v>
      </c>
      <c r="Y85" s="45">
        <f t="shared" ca="1" si="41"/>
        <v>0</v>
      </c>
      <c r="Z85" s="45">
        <f t="shared" ca="1" si="41"/>
        <v>0</v>
      </c>
      <c r="AA85" s="302">
        <f t="shared" ca="1" si="45"/>
        <v>0</v>
      </c>
    </row>
    <row r="86" spans="4:27" ht="12" customHeight="1" x14ac:dyDescent="0.25">
      <c r="D86" s="43">
        <f t="shared" si="46"/>
        <v>75</v>
      </c>
      <c r="E86" s="63">
        <f t="shared" si="42"/>
        <v>18.75</v>
      </c>
      <c r="F86" s="43">
        <f t="shared" si="43"/>
        <v>83.75</v>
      </c>
      <c r="G86" s="45">
        <f t="shared" ca="1" si="47"/>
        <v>0</v>
      </c>
      <c r="H86" s="45">
        <f t="shared" ca="1" si="47"/>
        <v>0</v>
      </c>
      <c r="I86" s="45">
        <f t="shared" ca="1" si="47"/>
        <v>0</v>
      </c>
      <c r="J86" s="45">
        <f t="shared" ca="1" si="47"/>
        <v>0</v>
      </c>
      <c r="K86" s="45">
        <f t="shared" ca="1" si="47"/>
        <v>0</v>
      </c>
      <c r="L86" s="45">
        <f t="shared" ca="1" si="47"/>
        <v>0</v>
      </c>
      <c r="M86" s="45">
        <f t="shared" ca="1" si="47"/>
        <v>0</v>
      </c>
      <c r="N86" s="45">
        <f t="shared" ca="1" si="39"/>
        <v>0</v>
      </c>
      <c r="O86" s="45">
        <f t="shared" ca="1" si="39"/>
        <v>0</v>
      </c>
      <c r="P86" s="302">
        <f t="shared" ca="1" si="44"/>
        <v>0</v>
      </c>
      <c r="R86" s="45">
        <f t="shared" ca="1" si="48"/>
        <v>0</v>
      </c>
      <c r="S86" s="45">
        <f t="shared" ca="1" si="48"/>
        <v>0</v>
      </c>
      <c r="T86" s="45">
        <f t="shared" ca="1" si="48"/>
        <v>0</v>
      </c>
      <c r="U86" s="45">
        <f t="shared" ca="1" si="48"/>
        <v>0</v>
      </c>
      <c r="V86" s="45">
        <f t="shared" ca="1" si="48"/>
        <v>0</v>
      </c>
      <c r="W86" s="45">
        <f t="shared" ca="1" si="48"/>
        <v>0</v>
      </c>
      <c r="X86" s="45">
        <f t="shared" ca="1" si="48"/>
        <v>0</v>
      </c>
      <c r="Y86" s="45">
        <f t="shared" ca="1" si="41"/>
        <v>0</v>
      </c>
      <c r="Z86" s="45">
        <f t="shared" ca="1" si="41"/>
        <v>0</v>
      </c>
      <c r="AA86" s="302">
        <f t="shared" ca="1" si="45"/>
        <v>0</v>
      </c>
    </row>
    <row r="87" spans="4:27" ht="12" customHeight="1" x14ac:dyDescent="0.25">
      <c r="D87" s="43">
        <f t="shared" si="46"/>
        <v>76</v>
      </c>
      <c r="E87" s="63">
        <f t="shared" si="42"/>
        <v>19</v>
      </c>
      <c r="F87" s="43">
        <f t="shared" si="43"/>
        <v>84</v>
      </c>
      <c r="G87" s="45">
        <f t="shared" ca="1" si="47"/>
        <v>0</v>
      </c>
      <c r="H87" s="45">
        <f t="shared" ca="1" si="47"/>
        <v>0</v>
      </c>
      <c r="I87" s="45">
        <f t="shared" ca="1" si="47"/>
        <v>0</v>
      </c>
      <c r="J87" s="45">
        <f t="shared" ca="1" si="47"/>
        <v>0</v>
      </c>
      <c r="K87" s="45">
        <f t="shared" ca="1" si="47"/>
        <v>0</v>
      </c>
      <c r="L87" s="45">
        <f t="shared" ca="1" si="47"/>
        <v>0</v>
      </c>
      <c r="M87" s="45">
        <f t="shared" ca="1" si="47"/>
        <v>0</v>
      </c>
      <c r="N87" s="45">
        <f t="shared" ca="1" si="39"/>
        <v>0</v>
      </c>
      <c r="O87" s="45">
        <f t="shared" ca="1" si="39"/>
        <v>0</v>
      </c>
      <c r="P87" s="302">
        <f t="shared" ca="1" si="44"/>
        <v>0</v>
      </c>
      <c r="R87" s="45">
        <f t="shared" ca="1" si="48"/>
        <v>0</v>
      </c>
      <c r="S87" s="45">
        <f t="shared" ca="1" si="48"/>
        <v>0</v>
      </c>
      <c r="T87" s="45">
        <f t="shared" ca="1" si="48"/>
        <v>0</v>
      </c>
      <c r="U87" s="45">
        <f t="shared" ca="1" si="48"/>
        <v>0</v>
      </c>
      <c r="V87" s="45">
        <f t="shared" ca="1" si="48"/>
        <v>0</v>
      </c>
      <c r="W87" s="45">
        <f t="shared" ca="1" si="48"/>
        <v>0</v>
      </c>
      <c r="X87" s="45">
        <f t="shared" ca="1" si="48"/>
        <v>0</v>
      </c>
      <c r="Y87" s="45">
        <f t="shared" ca="1" si="41"/>
        <v>0</v>
      </c>
      <c r="Z87" s="45">
        <f t="shared" ca="1" si="41"/>
        <v>0</v>
      </c>
      <c r="AA87" s="302">
        <f t="shared" ca="1" si="45"/>
        <v>0</v>
      </c>
    </row>
    <row r="88" spans="4:27" ht="12" customHeight="1" x14ac:dyDescent="0.25">
      <c r="D88" s="43">
        <f t="shared" si="46"/>
        <v>77</v>
      </c>
      <c r="E88" s="63">
        <f t="shared" si="42"/>
        <v>19.25</v>
      </c>
      <c r="F88" s="43">
        <f t="shared" si="43"/>
        <v>84.25</v>
      </c>
      <c r="G88" s="45">
        <f t="shared" ca="1" si="47"/>
        <v>0</v>
      </c>
      <c r="H88" s="45">
        <f t="shared" ca="1" si="47"/>
        <v>0</v>
      </c>
      <c r="I88" s="45">
        <f t="shared" ca="1" si="47"/>
        <v>0</v>
      </c>
      <c r="J88" s="45">
        <f t="shared" ca="1" si="47"/>
        <v>0</v>
      </c>
      <c r="K88" s="45">
        <f t="shared" ca="1" si="47"/>
        <v>0</v>
      </c>
      <c r="L88" s="45">
        <f t="shared" ca="1" si="47"/>
        <v>0</v>
      </c>
      <c r="M88" s="45">
        <f t="shared" ca="1" si="47"/>
        <v>0</v>
      </c>
      <c r="N88" s="45">
        <f t="shared" ca="1" si="39"/>
        <v>0</v>
      </c>
      <c r="O88" s="45">
        <f t="shared" ca="1" si="39"/>
        <v>0</v>
      </c>
      <c r="P88" s="302">
        <f t="shared" ca="1" si="44"/>
        <v>0</v>
      </c>
      <c r="R88" s="45">
        <f t="shared" ca="1" si="48"/>
        <v>0</v>
      </c>
      <c r="S88" s="45">
        <f t="shared" ca="1" si="48"/>
        <v>0</v>
      </c>
      <c r="T88" s="45">
        <f t="shared" ca="1" si="48"/>
        <v>0</v>
      </c>
      <c r="U88" s="45">
        <f t="shared" ca="1" si="48"/>
        <v>0</v>
      </c>
      <c r="V88" s="45">
        <f t="shared" ca="1" si="48"/>
        <v>0</v>
      </c>
      <c r="W88" s="45">
        <f t="shared" ca="1" si="48"/>
        <v>0</v>
      </c>
      <c r="X88" s="45">
        <f t="shared" ca="1" si="48"/>
        <v>0</v>
      </c>
      <c r="Y88" s="45">
        <f t="shared" ca="1" si="41"/>
        <v>0</v>
      </c>
      <c r="Z88" s="45">
        <f t="shared" ca="1" si="41"/>
        <v>0</v>
      </c>
      <c r="AA88" s="302">
        <f t="shared" ca="1" si="45"/>
        <v>0</v>
      </c>
    </row>
    <row r="89" spans="4:27" ht="12" customHeight="1" x14ac:dyDescent="0.25">
      <c r="D89" s="43">
        <f t="shared" si="46"/>
        <v>78</v>
      </c>
      <c r="E89" s="63">
        <f t="shared" si="42"/>
        <v>19.5</v>
      </c>
      <c r="F89" s="43">
        <f t="shared" si="43"/>
        <v>84.5</v>
      </c>
      <c r="G89" s="45">
        <f t="shared" ca="1" si="47"/>
        <v>0</v>
      </c>
      <c r="H89" s="45">
        <f t="shared" ca="1" si="47"/>
        <v>0</v>
      </c>
      <c r="I89" s="45">
        <f t="shared" ca="1" si="47"/>
        <v>0</v>
      </c>
      <c r="J89" s="45">
        <f t="shared" ca="1" si="47"/>
        <v>0</v>
      </c>
      <c r="K89" s="45">
        <f t="shared" ca="1" si="47"/>
        <v>0</v>
      </c>
      <c r="L89" s="45">
        <f t="shared" ca="1" si="47"/>
        <v>0</v>
      </c>
      <c r="M89" s="45">
        <f t="shared" ca="1" si="47"/>
        <v>0</v>
      </c>
      <c r="N89" s="45">
        <f t="shared" ca="1" si="39"/>
        <v>0</v>
      </c>
      <c r="O89" s="45">
        <f t="shared" ca="1" si="39"/>
        <v>0</v>
      </c>
      <c r="P89" s="302">
        <f t="shared" ca="1" si="44"/>
        <v>0</v>
      </c>
      <c r="R89" s="45">
        <f t="shared" ca="1" si="48"/>
        <v>0</v>
      </c>
      <c r="S89" s="45">
        <f t="shared" ca="1" si="48"/>
        <v>0</v>
      </c>
      <c r="T89" s="45">
        <f t="shared" ca="1" si="48"/>
        <v>0</v>
      </c>
      <c r="U89" s="45">
        <f t="shared" ca="1" si="48"/>
        <v>0</v>
      </c>
      <c r="V89" s="45">
        <f t="shared" ca="1" si="48"/>
        <v>0</v>
      </c>
      <c r="W89" s="45">
        <f t="shared" ca="1" si="48"/>
        <v>0</v>
      </c>
      <c r="X89" s="45">
        <f t="shared" ca="1" si="48"/>
        <v>0</v>
      </c>
      <c r="Y89" s="45">
        <f t="shared" ca="1" si="41"/>
        <v>0</v>
      </c>
      <c r="Z89" s="45">
        <f t="shared" ca="1" si="41"/>
        <v>0</v>
      </c>
      <c r="AA89" s="302">
        <f t="shared" ca="1" si="45"/>
        <v>0</v>
      </c>
    </row>
    <row r="90" spans="4:27" ht="12" customHeight="1" x14ac:dyDescent="0.25">
      <c r="D90" s="43">
        <f t="shared" si="46"/>
        <v>79</v>
      </c>
      <c r="E90" s="63">
        <f t="shared" si="42"/>
        <v>19.75</v>
      </c>
      <c r="F90" s="43">
        <f t="shared" si="43"/>
        <v>84.75</v>
      </c>
      <c r="G90" s="45">
        <f t="shared" ca="1" si="47"/>
        <v>0</v>
      </c>
      <c r="H90" s="45">
        <f t="shared" ca="1" si="47"/>
        <v>0</v>
      </c>
      <c r="I90" s="45">
        <f t="shared" ca="1" si="47"/>
        <v>0</v>
      </c>
      <c r="J90" s="45">
        <f t="shared" ca="1" si="47"/>
        <v>0</v>
      </c>
      <c r="K90" s="45">
        <f t="shared" ca="1" si="47"/>
        <v>0</v>
      </c>
      <c r="L90" s="45">
        <f t="shared" ca="1" si="47"/>
        <v>0</v>
      </c>
      <c r="M90" s="45">
        <f t="shared" ca="1" si="47"/>
        <v>0</v>
      </c>
      <c r="N90" s="45">
        <f t="shared" ca="1" si="39"/>
        <v>0</v>
      </c>
      <c r="O90" s="45">
        <f t="shared" ca="1" si="39"/>
        <v>0</v>
      </c>
      <c r="P90" s="302">
        <f t="shared" ca="1" si="44"/>
        <v>0</v>
      </c>
      <c r="R90" s="45">
        <f t="shared" ca="1" si="48"/>
        <v>0</v>
      </c>
      <c r="S90" s="45">
        <f t="shared" ca="1" si="48"/>
        <v>0</v>
      </c>
      <c r="T90" s="45">
        <f t="shared" ca="1" si="48"/>
        <v>0</v>
      </c>
      <c r="U90" s="45">
        <f t="shared" ca="1" si="48"/>
        <v>0</v>
      </c>
      <c r="V90" s="45">
        <f t="shared" ca="1" si="48"/>
        <v>0</v>
      </c>
      <c r="W90" s="45">
        <f t="shared" ca="1" si="48"/>
        <v>0</v>
      </c>
      <c r="X90" s="45">
        <f t="shared" ca="1" si="48"/>
        <v>0</v>
      </c>
      <c r="Y90" s="45">
        <f t="shared" ca="1" si="41"/>
        <v>0</v>
      </c>
      <c r="Z90" s="45">
        <f t="shared" ca="1" si="41"/>
        <v>0</v>
      </c>
      <c r="AA90" s="302">
        <f t="shared" ca="1" si="45"/>
        <v>0</v>
      </c>
    </row>
    <row r="91" spans="4:27" ht="12" customHeight="1" x14ac:dyDescent="0.25">
      <c r="D91" s="43">
        <f t="shared" si="46"/>
        <v>80</v>
      </c>
      <c r="E91" s="63">
        <f t="shared" si="42"/>
        <v>20</v>
      </c>
      <c r="F91" s="43">
        <f t="shared" si="43"/>
        <v>85</v>
      </c>
      <c r="G91" s="45">
        <f t="shared" ref="G91:M100" ca="1" si="49">AVERAGE(OFFSET(D.Trace.Markov.Root, $D91, (G$2-1)*D.Trace.Markov.NumCols+G$3-1, CHOOSE(swtchHalfCycle, 2, 1)))*G$4*D.cycleLength</f>
        <v>0</v>
      </c>
      <c r="H91" s="45">
        <f t="shared" ca="1" si="49"/>
        <v>0</v>
      </c>
      <c r="I91" s="45">
        <f t="shared" ca="1" si="49"/>
        <v>0</v>
      </c>
      <c r="J91" s="45">
        <f t="shared" ca="1" si="49"/>
        <v>0</v>
      </c>
      <c r="K91" s="45">
        <f t="shared" ca="1" si="49"/>
        <v>0</v>
      </c>
      <c r="L91" s="45">
        <f t="shared" ca="1" si="49"/>
        <v>0</v>
      </c>
      <c r="M91" s="45">
        <f t="shared" ca="1" si="49"/>
        <v>0</v>
      </c>
      <c r="N91" s="45">
        <f t="shared" ref="N91:O110" ca="1" si="50">AVERAGE(OFFSET(D.Trace.Markov.Root, $D91, (N$2-1)*D.Trace.Markov.NumCols+N$3-1, 2))*N$4*D.cycleLength</f>
        <v>0</v>
      </c>
      <c r="O91" s="45">
        <f t="shared" ca="1" si="50"/>
        <v>0</v>
      </c>
      <c r="P91" s="302">
        <f t="shared" ca="1" si="44"/>
        <v>0</v>
      </c>
      <c r="R91" s="45">
        <f t="shared" ref="R91:X100" ca="1" si="51">AVERAGE(OFFSET(D.Trace.Markov.Root, $D91, (R$2-1)*D.Trace.Markov.NumCols+R$3-1, CHOOSE(swtchHalfCycle, 2, 1)))*R$4*D.cycleLength</f>
        <v>0</v>
      </c>
      <c r="S91" s="45">
        <f t="shared" ca="1" si="51"/>
        <v>0</v>
      </c>
      <c r="T91" s="45">
        <f t="shared" ca="1" si="51"/>
        <v>0</v>
      </c>
      <c r="U91" s="45">
        <f t="shared" ca="1" si="51"/>
        <v>0</v>
      </c>
      <c r="V91" s="45">
        <f t="shared" ca="1" si="51"/>
        <v>0</v>
      </c>
      <c r="W91" s="45">
        <f t="shared" ca="1" si="51"/>
        <v>0</v>
      </c>
      <c r="X91" s="45">
        <f t="shared" ca="1" si="51"/>
        <v>0</v>
      </c>
      <c r="Y91" s="45">
        <f t="shared" ref="Y91:Z110" ca="1" si="52">AVERAGE(OFFSET(D.Trace.Markov.Root, $D91, (Y$2-1)*D.Trace.Markov.NumCols+Y$3-1, 2))*Y$4*D.cycleLength</f>
        <v>0</v>
      </c>
      <c r="Z91" s="45">
        <f t="shared" ca="1" si="52"/>
        <v>0</v>
      </c>
      <c r="AA91" s="302">
        <f t="shared" ca="1" si="45"/>
        <v>0</v>
      </c>
    </row>
    <row r="92" spans="4:27" ht="12" customHeight="1" x14ac:dyDescent="0.25">
      <c r="D92" s="43">
        <f t="shared" si="46"/>
        <v>81</v>
      </c>
      <c r="E92" s="63">
        <f t="shared" si="42"/>
        <v>20.25</v>
      </c>
      <c r="F92" s="43">
        <f t="shared" si="43"/>
        <v>85.25</v>
      </c>
      <c r="G92" s="45">
        <f t="shared" ca="1" si="49"/>
        <v>0</v>
      </c>
      <c r="H92" s="45">
        <f t="shared" ca="1" si="49"/>
        <v>0</v>
      </c>
      <c r="I92" s="45">
        <f t="shared" ca="1" si="49"/>
        <v>0</v>
      </c>
      <c r="J92" s="45">
        <f t="shared" ca="1" si="49"/>
        <v>0</v>
      </c>
      <c r="K92" s="45">
        <f t="shared" ca="1" si="49"/>
        <v>0</v>
      </c>
      <c r="L92" s="45">
        <f t="shared" ca="1" si="49"/>
        <v>0</v>
      </c>
      <c r="M92" s="45">
        <f t="shared" ca="1" si="49"/>
        <v>0</v>
      </c>
      <c r="N92" s="45">
        <f t="shared" ca="1" si="50"/>
        <v>0</v>
      </c>
      <c r="O92" s="45">
        <f t="shared" ca="1" si="50"/>
        <v>0</v>
      </c>
      <c r="P92" s="302">
        <f t="shared" ca="1" si="44"/>
        <v>0</v>
      </c>
      <c r="R92" s="45">
        <f t="shared" ca="1" si="51"/>
        <v>0</v>
      </c>
      <c r="S92" s="45">
        <f t="shared" ca="1" si="51"/>
        <v>0</v>
      </c>
      <c r="T92" s="45">
        <f t="shared" ca="1" si="51"/>
        <v>0</v>
      </c>
      <c r="U92" s="45">
        <f t="shared" ca="1" si="51"/>
        <v>0</v>
      </c>
      <c r="V92" s="45">
        <f t="shared" ca="1" si="51"/>
        <v>0</v>
      </c>
      <c r="W92" s="45">
        <f t="shared" ca="1" si="51"/>
        <v>0</v>
      </c>
      <c r="X92" s="45">
        <f t="shared" ca="1" si="51"/>
        <v>0</v>
      </c>
      <c r="Y92" s="45">
        <f t="shared" ca="1" si="52"/>
        <v>0</v>
      </c>
      <c r="Z92" s="45">
        <f t="shared" ca="1" si="52"/>
        <v>0</v>
      </c>
      <c r="AA92" s="302">
        <f t="shared" ca="1" si="45"/>
        <v>0</v>
      </c>
    </row>
    <row r="93" spans="4:27" ht="12" customHeight="1" x14ac:dyDescent="0.25">
      <c r="D93" s="43">
        <f t="shared" si="46"/>
        <v>82</v>
      </c>
      <c r="E93" s="63">
        <f t="shared" si="42"/>
        <v>20.5</v>
      </c>
      <c r="F93" s="43">
        <f t="shared" si="43"/>
        <v>85.5</v>
      </c>
      <c r="G93" s="45">
        <f t="shared" ca="1" si="49"/>
        <v>0</v>
      </c>
      <c r="H93" s="45">
        <f t="shared" ca="1" si="49"/>
        <v>0</v>
      </c>
      <c r="I93" s="45">
        <f t="shared" ca="1" si="49"/>
        <v>0</v>
      </c>
      <c r="J93" s="45">
        <f t="shared" ca="1" si="49"/>
        <v>0</v>
      </c>
      <c r="K93" s="45">
        <f t="shared" ca="1" si="49"/>
        <v>0</v>
      </c>
      <c r="L93" s="45">
        <f t="shared" ca="1" si="49"/>
        <v>0</v>
      </c>
      <c r="M93" s="45">
        <f t="shared" ca="1" si="49"/>
        <v>0</v>
      </c>
      <c r="N93" s="45">
        <f t="shared" ca="1" si="50"/>
        <v>0</v>
      </c>
      <c r="O93" s="45">
        <f t="shared" ca="1" si="50"/>
        <v>0</v>
      </c>
      <c r="P93" s="302">
        <f t="shared" ca="1" si="44"/>
        <v>0</v>
      </c>
      <c r="R93" s="45">
        <f t="shared" ca="1" si="51"/>
        <v>0</v>
      </c>
      <c r="S93" s="45">
        <f t="shared" ca="1" si="51"/>
        <v>0</v>
      </c>
      <c r="T93" s="45">
        <f t="shared" ca="1" si="51"/>
        <v>0</v>
      </c>
      <c r="U93" s="45">
        <f t="shared" ca="1" si="51"/>
        <v>0</v>
      </c>
      <c r="V93" s="45">
        <f t="shared" ca="1" si="51"/>
        <v>0</v>
      </c>
      <c r="W93" s="45">
        <f t="shared" ca="1" si="51"/>
        <v>0</v>
      </c>
      <c r="X93" s="45">
        <f t="shared" ca="1" si="51"/>
        <v>0</v>
      </c>
      <c r="Y93" s="45">
        <f t="shared" ca="1" si="52"/>
        <v>0</v>
      </c>
      <c r="Z93" s="45">
        <f t="shared" ca="1" si="52"/>
        <v>0</v>
      </c>
      <c r="AA93" s="302">
        <f t="shared" ca="1" si="45"/>
        <v>0</v>
      </c>
    </row>
    <row r="94" spans="4:27" ht="12" customHeight="1" x14ac:dyDescent="0.25">
      <c r="D94" s="43">
        <f t="shared" si="46"/>
        <v>83</v>
      </c>
      <c r="E94" s="63">
        <f t="shared" si="42"/>
        <v>20.75</v>
      </c>
      <c r="F94" s="43">
        <f t="shared" si="43"/>
        <v>85.75</v>
      </c>
      <c r="G94" s="45">
        <f t="shared" ca="1" si="49"/>
        <v>0</v>
      </c>
      <c r="H94" s="45">
        <f t="shared" ca="1" si="49"/>
        <v>0</v>
      </c>
      <c r="I94" s="45">
        <f t="shared" ca="1" si="49"/>
        <v>0</v>
      </c>
      <c r="J94" s="45">
        <f t="shared" ca="1" si="49"/>
        <v>0</v>
      </c>
      <c r="K94" s="45">
        <f t="shared" ca="1" si="49"/>
        <v>0</v>
      </c>
      <c r="L94" s="45">
        <f t="shared" ca="1" si="49"/>
        <v>0</v>
      </c>
      <c r="M94" s="45">
        <f t="shared" ca="1" si="49"/>
        <v>0</v>
      </c>
      <c r="N94" s="45">
        <f t="shared" ca="1" si="50"/>
        <v>0</v>
      </c>
      <c r="O94" s="45">
        <f t="shared" ca="1" si="50"/>
        <v>0</v>
      </c>
      <c r="P94" s="302">
        <f t="shared" ca="1" si="44"/>
        <v>0</v>
      </c>
      <c r="R94" s="45">
        <f t="shared" ca="1" si="51"/>
        <v>0</v>
      </c>
      <c r="S94" s="45">
        <f t="shared" ca="1" si="51"/>
        <v>0</v>
      </c>
      <c r="T94" s="45">
        <f t="shared" ca="1" si="51"/>
        <v>0</v>
      </c>
      <c r="U94" s="45">
        <f t="shared" ca="1" si="51"/>
        <v>0</v>
      </c>
      <c r="V94" s="45">
        <f t="shared" ca="1" si="51"/>
        <v>0</v>
      </c>
      <c r="W94" s="45">
        <f t="shared" ca="1" si="51"/>
        <v>0</v>
      </c>
      <c r="X94" s="45">
        <f t="shared" ca="1" si="51"/>
        <v>0</v>
      </c>
      <c r="Y94" s="45">
        <f t="shared" ca="1" si="52"/>
        <v>0</v>
      </c>
      <c r="Z94" s="45">
        <f t="shared" ca="1" si="52"/>
        <v>0</v>
      </c>
      <c r="AA94" s="302">
        <f t="shared" ca="1" si="45"/>
        <v>0</v>
      </c>
    </row>
    <row r="95" spans="4:27" ht="12" customHeight="1" x14ac:dyDescent="0.25">
      <c r="D95" s="43">
        <f t="shared" si="46"/>
        <v>84</v>
      </c>
      <c r="E95" s="63">
        <f t="shared" si="42"/>
        <v>21</v>
      </c>
      <c r="F95" s="43">
        <f t="shared" si="43"/>
        <v>86</v>
      </c>
      <c r="G95" s="45">
        <f t="shared" ca="1" si="49"/>
        <v>0</v>
      </c>
      <c r="H95" s="45">
        <f t="shared" ca="1" si="49"/>
        <v>0</v>
      </c>
      <c r="I95" s="45">
        <f t="shared" ca="1" si="49"/>
        <v>0</v>
      </c>
      <c r="J95" s="45">
        <f t="shared" ca="1" si="49"/>
        <v>0</v>
      </c>
      <c r="K95" s="45">
        <f t="shared" ca="1" si="49"/>
        <v>0</v>
      </c>
      <c r="L95" s="45">
        <f t="shared" ca="1" si="49"/>
        <v>0</v>
      </c>
      <c r="M95" s="45">
        <f t="shared" ca="1" si="49"/>
        <v>0</v>
      </c>
      <c r="N95" s="45">
        <f t="shared" ca="1" si="50"/>
        <v>0</v>
      </c>
      <c r="O95" s="45">
        <f t="shared" ca="1" si="50"/>
        <v>0</v>
      </c>
      <c r="P95" s="302">
        <f t="shared" ca="1" si="44"/>
        <v>0</v>
      </c>
      <c r="R95" s="45">
        <f t="shared" ca="1" si="51"/>
        <v>0</v>
      </c>
      <c r="S95" s="45">
        <f t="shared" ca="1" si="51"/>
        <v>0</v>
      </c>
      <c r="T95" s="45">
        <f t="shared" ca="1" si="51"/>
        <v>0</v>
      </c>
      <c r="U95" s="45">
        <f t="shared" ca="1" si="51"/>
        <v>0</v>
      </c>
      <c r="V95" s="45">
        <f t="shared" ca="1" si="51"/>
        <v>0</v>
      </c>
      <c r="W95" s="45">
        <f t="shared" ca="1" si="51"/>
        <v>0</v>
      </c>
      <c r="X95" s="45">
        <f t="shared" ca="1" si="51"/>
        <v>0</v>
      </c>
      <c r="Y95" s="45">
        <f t="shared" ca="1" si="52"/>
        <v>0</v>
      </c>
      <c r="Z95" s="45">
        <f t="shared" ca="1" si="52"/>
        <v>0</v>
      </c>
      <c r="AA95" s="302">
        <f t="shared" ca="1" si="45"/>
        <v>0</v>
      </c>
    </row>
    <row r="96" spans="4:27" ht="12" customHeight="1" x14ac:dyDescent="0.25">
      <c r="D96" s="43">
        <f t="shared" si="46"/>
        <v>85</v>
      </c>
      <c r="E96" s="63">
        <f t="shared" si="42"/>
        <v>21.25</v>
      </c>
      <c r="F96" s="43">
        <f t="shared" si="43"/>
        <v>86.25</v>
      </c>
      <c r="G96" s="45">
        <f t="shared" ca="1" si="49"/>
        <v>0</v>
      </c>
      <c r="H96" s="45">
        <f t="shared" ca="1" si="49"/>
        <v>0</v>
      </c>
      <c r="I96" s="45">
        <f t="shared" ca="1" si="49"/>
        <v>0</v>
      </c>
      <c r="J96" s="45">
        <f t="shared" ca="1" si="49"/>
        <v>0</v>
      </c>
      <c r="K96" s="45">
        <f t="shared" ca="1" si="49"/>
        <v>0</v>
      </c>
      <c r="L96" s="45">
        <f t="shared" ca="1" si="49"/>
        <v>0</v>
      </c>
      <c r="M96" s="45">
        <f t="shared" ca="1" si="49"/>
        <v>0</v>
      </c>
      <c r="N96" s="45">
        <f t="shared" ca="1" si="50"/>
        <v>0</v>
      </c>
      <c r="O96" s="45">
        <f t="shared" ca="1" si="50"/>
        <v>0</v>
      </c>
      <c r="P96" s="302">
        <f t="shared" ca="1" si="44"/>
        <v>0</v>
      </c>
      <c r="R96" s="45">
        <f t="shared" ca="1" si="51"/>
        <v>0</v>
      </c>
      <c r="S96" s="45">
        <f t="shared" ca="1" si="51"/>
        <v>0</v>
      </c>
      <c r="T96" s="45">
        <f t="shared" ca="1" si="51"/>
        <v>0</v>
      </c>
      <c r="U96" s="45">
        <f t="shared" ca="1" si="51"/>
        <v>0</v>
      </c>
      <c r="V96" s="45">
        <f t="shared" ca="1" si="51"/>
        <v>0</v>
      </c>
      <c r="W96" s="45">
        <f t="shared" ca="1" si="51"/>
        <v>0</v>
      </c>
      <c r="X96" s="45">
        <f t="shared" ca="1" si="51"/>
        <v>0</v>
      </c>
      <c r="Y96" s="45">
        <f t="shared" ca="1" si="52"/>
        <v>0</v>
      </c>
      <c r="Z96" s="45">
        <f t="shared" ca="1" si="52"/>
        <v>0</v>
      </c>
      <c r="AA96" s="302">
        <f t="shared" ca="1" si="45"/>
        <v>0</v>
      </c>
    </row>
    <row r="97" spans="4:27" ht="12" customHeight="1" x14ac:dyDescent="0.25">
      <c r="D97" s="43">
        <f t="shared" si="46"/>
        <v>86</v>
      </c>
      <c r="E97" s="63">
        <f t="shared" si="42"/>
        <v>21.5</v>
      </c>
      <c r="F97" s="43">
        <f t="shared" si="43"/>
        <v>86.5</v>
      </c>
      <c r="G97" s="45">
        <f t="shared" ca="1" si="49"/>
        <v>0</v>
      </c>
      <c r="H97" s="45">
        <f t="shared" ca="1" si="49"/>
        <v>0</v>
      </c>
      <c r="I97" s="45">
        <f t="shared" ca="1" si="49"/>
        <v>0</v>
      </c>
      <c r="J97" s="45">
        <f t="shared" ca="1" si="49"/>
        <v>0</v>
      </c>
      <c r="K97" s="45">
        <f t="shared" ca="1" si="49"/>
        <v>0</v>
      </c>
      <c r="L97" s="45">
        <f t="shared" ca="1" si="49"/>
        <v>0</v>
      </c>
      <c r="M97" s="45">
        <f t="shared" ca="1" si="49"/>
        <v>0</v>
      </c>
      <c r="N97" s="45">
        <f t="shared" ca="1" si="50"/>
        <v>0</v>
      </c>
      <c r="O97" s="45">
        <f t="shared" ca="1" si="50"/>
        <v>0</v>
      </c>
      <c r="P97" s="302">
        <f t="shared" ca="1" si="44"/>
        <v>0</v>
      </c>
      <c r="R97" s="45">
        <f t="shared" ca="1" si="51"/>
        <v>0</v>
      </c>
      <c r="S97" s="45">
        <f t="shared" ca="1" si="51"/>
        <v>0</v>
      </c>
      <c r="T97" s="45">
        <f t="shared" ca="1" si="51"/>
        <v>0</v>
      </c>
      <c r="U97" s="45">
        <f t="shared" ca="1" si="51"/>
        <v>0</v>
      </c>
      <c r="V97" s="45">
        <f t="shared" ca="1" si="51"/>
        <v>0</v>
      </c>
      <c r="W97" s="45">
        <f t="shared" ca="1" si="51"/>
        <v>0</v>
      </c>
      <c r="X97" s="45">
        <f t="shared" ca="1" si="51"/>
        <v>0</v>
      </c>
      <c r="Y97" s="45">
        <f t="shared" ca="1" si="52"/>
        <v>0</v>
      </c>
      <c r="Z97" s="45">
        <f t="shared" ca="1" si="52"/>
        <v>0</v>
      </c>
      <c r="AA97" s="302">
        <f t="shared" ca="1" si="45"/>
        <v>0</v>
      </c>
    </row>
    <row r="98" spans="4:27" ht="12" customHeight="1" x14ac:dyDescent="0.25">
      <c r="D98" s="43">
        <f t="shared" si="46"/>
        <v>87</v>
      </c>
      <c r="E98" s="63">
        <f t="shared" si="42"/>
        <v>21.75</v>
      </c>
      <c r="F98" s="43">
        <f t="shared" si="43"/>
        <v>86.75</v>
      </c>
      <c r="G98" s="45">
        <f t="shared" ca="1" si="49"/>
        <v>0</v>
      </c>
      <c r="H98" s="45">
        <f t="shared" ca="1" si="49"/>
        <v>0</v>
      </c>
      <c r="I98" s="45">
        <f t="shared" ca="1" si="49"/>
        <v>0</v>
      </c>
      <c r="J98" s="45">
        <f t="shared" ca="1" si="49"/>
        <v>0</v>
      </c>
      <c r="K98" s="45">
        <f t="shared" ca="1" si="49"/>
        <v>0</v>
      </c>
      <c r="L98" s="45">
        <f t="shared" ca="1" si="49"/>
        <v>0</v>
      </c>
      <c r="M98" s="45">
        <f t="shared" ca="1" si="49"/>
        <v>0</v>
      </c>
      <c r="N98" s="45">
        <f t="shared" ca="1" si="50"/>
        <v>0</v>
      </c>
      <c r="O98" s="45">
        <f t="shared" ca="1" si="50"/>
        <v>0</v>
      </c>
      <c r="P98" s="302">
        <f t="shared" ca="1" si="44"/>
        <v>0</v>
      </c>
      <c r="R98" s="45">
        <f t="shared" ca="1" si="51"/>
        <v>0</v>
      </c>
      <c r="S98" s="45">
        <f t="shared" ca="1" si="51"/>
        <v>0</v>
      </c>
      <c r="T98" s="45">
        <f t="shared" ca="1" si="51"/>
        <v>0</v>
      </c>
      <c r="U98" s="45">
        <f t="shared" ca="1" si="51"/>
        <v>0</v>
      </c>
      <c r="V98" s="45">
        <f t="shared" ca="1" si="51"/>
        <v>0</v>
      </c>
      <c r="W98" s="45">
        <f t="shared" ca="1" si="51"/>
        <v>0</v>
      </c>
      <c r="X98" s="45">
        <f t="shared" ca="1" si="51"/>
        <v>0</v>
      </c>
      <c r="Y98" s="45">
        <f t="shared" ca="1" si="52"/>
        <v>0</v>
      </c>
      <c r="Z98" s="45">
        <f t="shared" ca="1" si="52"/>
        <v>0</v>
      </c>
      <c r="AA98" s="302">
        <f t="shared" ca="1" si="45"/>
        <v>0</v>
      </c>
    </row>
    <row r="99" spans="4:27" ht="12" customHeight="1" x14ac:dyDescent="0.25">
      <c r="D99" s="43">
        <f t="shared" si="46"/>
        <v>88</v>
      </c>
      <c r="E99" s="63">
        <f t="shared" si="42"/>
        <v>22</v>
      </c>
      <c r="F99" s="43">
        <f t="shared" si="43"/>
        <v>87</v>
      </c>
      <c r="G99" s="45">
        <f t="shared" ca="1" si="49"/>
        <v>0</v>
      </c>
      <c r="H99" s="45">
        <f t="shared" ca="1" si="49"/>
        <v>0</v>
      </c>
      <c r="I99" s="45">
        <f t="shared" ca="1" si="49"/>
        <v>0</v>
      </c>
      <c r="J99" s="45">
        <f t="shared" ca="1" si="49"/>
        <v>0</v>
      </c>
      <c r="K99" s="45">
        <f t="shared" ca="1" si="49"/>
        <v>0</v>
      </c>
      <c r="L99" s="45">
        <f t="shared" ca="1" si="49"/>
        <v>0</v>
      </c>
      <c r="M99" s="45">
        <f t="shared" ca="1" si="49"/>
        <v>0</v>
      </c>
      <c r="N99" s="45">
        <f t="shared" ca="1" si="50"/>
        <v>0</v>
      </c>
      <c r="O99" s="45">
        <f t="shared" ca="1" si="50"/>
        <v>0</v>
      </c>
      <c r="P99" s="302">
        <f t="shared" ca="1" si="44"/>
        <v>0</v>
      </c>
      <c r="R99" s="45">
        <f t="shared" ca="1" si="51"/>
        <v>0</v>
      </c>
      <c r="S99" s="45">
        <f t="shared" ca="1" si="51"/>
        <v>0</v>
      </c>
      <c r="T99" s="45">
        <f t="shared" ca="1" si="51"/>
        <v>0</v>
      </c>
      <c r="U99" s="45">
        <f t="shared" ca="1" si="51"/>
        <v>0</v>
      </c>
      <c r="V99" s="45">
        <f t="shared" ca="1" si="51"/>
        <v>0</v>
      </c>
      <c r="W99" s="45">
        <f t="shared" ca="1" si="51"/>
        <v>0</v>
      </c>
      <c r="X99" s="45">
        <f t="shared" ca="1" si="51"/>
        <v>0</v>
      </c>
      <c r="Y99" s="45">
        <f t="shared" ca="1" si="52"/>
        <v>0</v>
      </c>
      <c r="Z99" s="45">
        <f t="shared" ca="1" si="52"/>
        <v>0</v>
      </c>
      <c r="AA99" s="302">
        <f t="shared" ca="1" si="45"/>
        <v>0</v>
      </c>
    </row>
    <row r="100" spans="4:27" ht="12" customHeight="1" x14ac:dyDescent="0.25">
      <c r="D100" s="43">
        <f t="shared" si="46"/>
        <v>89</v>
      </c>
      <c r="E100" s="63">
        <f t="shared" si="42"/>
        <v>22.25</v>
      </c>
      <c r="F100" s="43">
        <f t="shared" si="43"/>
        <v>87.25</v>
      </c>
      <c r="G100" s="45">
        <f t="shared" ca="1" si="49"/>
        <v>0</v>
      </c>
      <c r="H100" s="45">
        <f t="shared" ca="1" si="49"/>
        <v>0</v>
      </c>
      <c r="I100" s="45">
        <f t="shared" ca="1" si="49"/>
        <v>0</v>
      </c>
      <c r="J100" s="45">
        <f t="shared" ca="1" si="49"/>
        <v>0</v>
      </c>
      <c r="K100" s="45">
        <f t="shared" ca="1" si="49"/>
        <v>0</v>
      </c>
      <c r="L100" s="45">
        <f t="shared" ca="1" si="49"/>
        <v>0</v>
      </c>
      <c r="M100" s="45">
        <f t="shared" ca="1" si="49"/>
        <v>0</v>
      </c>
      <c r="N100" s="45">
        <f t="shared" ca="1" si="50"/>
        <v>0</v>
      </c>
      <c r="O100" s="45">
        <f t="shared" ca="1" si="50"/>
        <v>0</v>
      </c>
      <c r="P100" s="302">
        <f t="shared" ca="1" si="44"/>
        <v>0</v>
      </c>
      <c r="R100" s="45">
        <f t="shared" ca="1" si="51"/>
        <v>0</v>
      </c>
      <c r="S100" s="45">
        <f t="shared" ca="1" si="51"/>
        <v>0</v>
      </c>
      <c r="T100" s="45">
        <f t="shared" ca="1" si="51"/>
        <v>0</v>
      </c>
      <c r="U100" s="45">
        <f t="shared" ca="1" si="51"/>
        <v>0</v>
      </c>
      <c r="V100" s="45">
        <f t="shared" ca="1" si="51"/>
        <v>0</v>
      </c>
      <c r="W100" s="45">
        <f t="shared" ca="1" si="51"/>
        <v>0</v>
      </c>
      <c r="X100" s="45">
        <f t="shared" ca="1" si="51"/>
        <v>0</v>
      </c>
      <c r="Y100" s="45">
        <f t="shared" ca="1" si="52"/>
        <v>0</v>
      </c>
      <c r="Z100" s="45">
        <f t="shared" ca="1" si="52"/>
        <v>0</v>
      </c>
      <c r="AA100" s="302">
        <f t="shared" ca="1" si="45"/>
        <v>0</v>
      </c>
    </row>
    <row r="101" spans="4:27" ht="12" customHeight="1" x14ac:dyDescent="0.25">
      <c r="D101" s="43">
        <f t="shared" si="46"/>
        <v>90</v>
      </c>
      <c r="E101" s="63">
        <f t="shared" si="42"/>
        <v>22.5</v>
      </c>
      <c r="F101" s="43">
        <f t="shared" si="43"/>
        <v>87.5</v>
      </c>
      <c r="G101" s="45">
        <f t="shared" ref="G101:M110" ca="1" si="53">AVERAGE(OFFSET(D.Trace.Markov.Root, $D101, (G$2-1)*D.Trace.Markov.NumCols+G$3-1, CHOOSE(swtchHalfCycle, 2, 1)))*G$4*D.cycleLength</f>
        <v>0</v>
      </c>
      <c r="H101" s="45">
        <f t="shared" ca="1" si="53"/>
        <v>0</v>
      </c>
      <c r="I101" s="45">
        <f t="shared" ca="1" si="53"/>
        <v>0</v>
      </c>
      <c r="J101" s="45">
        <f t="shared" ca="1" si="53"/>
        <v>0</v>
      </c>
      <c r="K101" s="45">
        <f t="shared" ca="1" si="53"/>
        <v>0</v>
      </c>
      <c r="L101" s="45">
        <f t="shared" ca="1" si="53"/>
        <v>0</v>
      </c>
      <c r="M101" s="45">
        <f t="shared" ca="1" si="53"/>
        <v>0</v>
      </c>
      <c r="N101" s="45">
        <f t="shared" ca="1" si="50"/>
        <v>0</v>
      </c>
      <c r="O101" s="45">
        <f t="shared" ca="1" si="50"/>
        <v>0</v>
      </c>
      <c r="P101" s="302">
        <f t="shared" ca="1" si="44"/>
        <v>0</v>
      </c>
      <c r="R101" s="45">
        <f t="shared" ref="R101:X110" ca="1" si="54">AVERAGE(OFFSET(D.Trace.Markov.Root, $D101, (R$2-1)*D.Trace.Markov.NumCols+R$3-1, CHOOSE(swtchHalfCycle, 2, 1)))*R$4*D.cycleLength</f>
        <v>0</v>
      </c>
      <c r="S101" s="45">
        <f t="shared" ca="1" si="54"/>
        <v>0</v>
      </c>
      <c r="T101" s="45">
        <f t="shared" ca="1" si="54"/>
        <v>0</v>
      </c>
      <c r="U101" s="45">
        <f t="shared" ca="1" si="54"/>
        <v>0</v>
      </c>
      <c r="V101" s="45">
        <f t="shared" ca="1" si="54"/>
        <v>0</v>
      </c>
      <c r="W101" s="45">
        <f t="shared" ca="1" si="54"/>
        <v>0</v>
      </c>
      <c r="X101" s="45">
        <f t="shared" ca="1" si="54"/>
        <v>0</v>
      </c>
      <c r="Y101" s="45">
        <f t="shared" ca="1" si="52"/>
        <v>0</v>
      </c>
      <c r="Z101" s="45">
        <f t="shared" ca="1" si="52"/>
        <v>0</v>
      </c>
      <c r="AA101" s="302">
        <f t="shared" ca="1" si="45"/>
        <v>0</v>
      </c>
    </row>
    <row r="102" spans="4:27" ht="12" customHeight="1" x14ac:dyDescent="0.25">
      <c r="D102" s="43">
        <f t="shared" si="46"/>
        <v>91</v>
      </c>
      <c r="E102" s="63">
        <f t="shared" si="42"/>
        <v>22.75</v>
      </c>
      <c r="F102" s="43">
        <f t="shared" si="43"/>
        <v>87.75</v>
      </c>
      <c r="G102" s="45">
        <f t="shared" ca="1" si="53"/>
        <v>0</v>
      </c>
      <c r="H102" s="45">
        <f t="shared" ca="1" si="53"/>
        <v>0</v>
      </c>
      <c r="I102" s="45">
        <f t="shared" ca="1" si="53"/>
        <v>0</v>
      </c>
      <c r="J102" s="45">
        <f t="shared" ca="1" si="53"/>
        <v>0</v>
      </c>
      <c r="K102" s="45">
        <f t="shared" ca="1" si="53"/>
        <v>0</v>
      </c>
      <c r="L102" s="45">
        <f t="shared" ca="1" si="53"/>
        <v>0</v>
      </c>
      <c r="M102" s="45">
        <f t="shared" ca="1" si="53"/>
        <v>0</v>
      </c>
      <c r="N102" s="45">
        <f t="shared" ca="1" si="50"/>
        <v>0</v>
      </c>
      <c r="O102" s="45">
        <f t="shared" ca="1" si="50"/>
        <v>0</v>
      </c>
      <c r="P102" s="302">
        <f t="shared" ca="1" si="44"/>
        <v>0</v>
      </c>
      <c r="R102" s="45">
        <f t="shared" ca="1" si="54"/>
        <v>0</v>
      </c>
      <c r="S102" s="45">
        <f t="shared" ca="1" si="54"/>
        <v>0</v>
      </c>
      <c r="T102" s="45">
        <f t="shared" ca="1" si="54"/>
        <v>0</v>
      </c>
      <c r="U102" s="45">
        <f t="shared" ca="1" si="54"/>
        <v>0</v>
      </c>
      <c r="V102" s="45">
        <f t="shared" ca="1" si="54"/>
        <v>0</v>
      </c>
      <c r="W102" s="45">
        <f t="shared" ca="1" si="54"/>
        <v>0</v>
      </c>
      <c r="X102" s="45">
        <f t="shared" ca="1" si="54"/>
        <v>0</v>
      </c>
      <c r="Y102" s="45">
        <f t="shared" ca="1" si="52"/>
        <v>0</v>
      </c>
      <c r="Z102" s="45">
        <f t="shared" ca="1" si="52"/>
        <v>0</v>
      </c>
      <c r="AA102" s="302">
        <f t="shared" ca="1" si="45"/>
        <v>0</v>
      </c>
    </row>
    <row r="103" spans="4:27" ht="12" customHeight="1" x14ac:dyDescent="0.25">
      <c r="D103" s="43">
        <f t="shared" si="46"/>
        <v>92</v>
      </c>
      <c r="E103" s="63">
        <f t="shared" si="42"/>
        <v>23</v>
      </c>
      <c r="F103" s="43">
        <f t="shared" si="43"/>
        <v>88</v>
      </c>
      <c r="G103" s="45">
        <f t="shared" ca="1" si="53"/>
        <v>0</v>
      </c>
      <c r="H103" s="45">
        <f t="shared" ca="1" si="53"/>
        <v>0</v>
      </c>
      <c r="I103" s="45">
        <f t="shared" ca="1" si="53"/>
        <v>0</v>
      </c>
      <c r="J103" s="45">
        <f t="shared" ca="1" si="53"/>
        <v>0</v>
      </c>
      <c r="K103" s="45">
        <f t="shared" ca="1" si="53"/>
        <v>0</v>
      </c>
      <c r="L103" s="45">
        <f t="shared" ca="1" si="53"/>
        <v>0</v>
      </c>
      <c r="M103" s="45">
        <f t="shared" ca="1" si="53"/>
        <v>0</v>
      </c>
      <c r="N103" s="45">
        <f t="shared" ca="1" si="50"/>
        <v>0</v>
      </c>
      <c r="O103" s="45">
        <f t="shared" ca="1" si="50"/>
        <v>0</v>
      </c>
      <c r="P103" s="302">
        <f t="shared" ca="1" si="44"/>
        <v>0</v>
      </c>
      <c r="R103" s="45">
        <f t="shared" ca="1" si="54"/>
        <v>0</v>
      </c>
      <c r="S103" s="45">
        <f t="shared" ca="1" si="54"/>
        <v>0</v>
      </c>
      <c r="T103" s="45">
        <f t="shared" ca="1" si="54"/>
        <v>0</v>
      </c>
      <c r="U103" s="45">
        <f t="shared" ca="1" si="54"/>
        <v>0</v>
      </c>
      <c r="V103" s="45">
        <f t="shared" ca="1" si="54"/>
        <v>0</v>
      </c>
      <c r="W103" s="45">
        <f t="shared" ca="1" si="54"/>
        <v>0</v>
      </c>
      <c r="X103" s="45">
        <f t="shared" ca="1" si="54"/>
        <v>0</v>
      </c>
      <c r="Y103" s="45">
        <f t="shared" ca="1" si="52"/>
        <v>0</v>
      </c>
      <c r="Z103" s="45">
        <f t="shared" ca="1" si="52"/>
        <v>0</v>
      </c>
      <c r="AA103" s="302">
        <f t="shared" ca="1" si="45"/>
        <v>0</v>
      </c>
    </row>
    <row r="104" spans="4:27" ht="12" customHeight="1" x14ac:dyDescent="0.25">
      <c r="D104" s="43">
        <f t="shared" si="46"/>
        <v>93</v>
      </c>
      <c r="E104" s="63">
        <f t="shared" si="42"/>
        <v>23.25</v>
      </c>
      <c r="F104" s="43">
        <f t="shared" si="43"/>
        <v>88.25</v>
      </c>
      <c r="G104" s="45">
        <f t="shared" ca="1" si="53"/>
        <v>0</v>
      </c>
      <c r="H104" s="45">
        <f t="shared" ca="1" si="53"/>
        <v>0</v>
      </c>
      <c r="I104" s="45">
        <f t="shared" ca="1" si="53"/>
        <v>0</v>
      </c>
      <c r="J104" s="45">
        <f t="shared" ca="1" si="53"/>
        <v>0</v>
      </c>
      <c r="K104" s="45">
        <f t="shared" ca="1" si="53"/>
        <v>0</v>
      </c>
      <c r="L104" s="45">
        <f t="shared" ca="1" si="53"/>
        <v>0</v>
      </c>
      <c r="M104" s="45">
        <f t="shared" ca="1" si="53"/>
        <v>0</v>
      </c>
      <c r="N104" s="45">
        <f t="shared" ca="1" si="50"/>
        <v>0</v>
      </c>
      <c r="O104" s="45">
        <f t="shared" ca="1" si="50"/>
        <v>0</v>
      </c>
      <c r="P104" s="302">
        <f t="shared" ca="1" si="44"/>
        <v>0</v>
      </c>
      <c r="R104" s="45">
        <f t="shared" ca="1" si="54"/>
        <v>0</v>
      </c>
      <c r="S104" s="45">
        <f t="shared" ca="1" si="54"/>
        <v>0</v>
      </c>
      <c r="T104" s="45">
        <f t="shared" ca="1" si="54"/>
        <v>0</v>
      </c>
      <c r="U104" s="45">
        <f t="shared" ca="1" si="54"/>
        <v>0</v>
      </c>
      <c r="V104" s="45">
        <f t="shared" ca="1" si="54"/>
        <v>0</v>
      </c>
      <c r="W104" s="45">
        <f t="shared" ca="1" si="54"/>
        <v>0</v>
      </c>
      <c r="X104" s="45">
        <f t="shared" ca="1" si="54"/>
        <v>0</v>
      </c>
      <c r="Y104" s="45">
        <f t="shared" ca="1" si="52"/>
        <v>0</v>
      </c>
      <c r="Z104" s="45">
        <f t="shared" ca="1" si="52"/>
        <v>0</v>
      </c>
      <c r="AA104" s="302">
        <f t="shared" ca="1" si="45"/>
        <v>0</v>
      </c>
    </row>
    <row r="105" spans="4:27" ht="12" customHeight="1" x14ac:dyDescent="0.25">
      <c r="D105" s="43">
        <f t="shared" si="46"/>
        <v>94</v>
      </c>
      <c r="E105" s="63">
        <f t="shared" si="42"/>
        <v>23.5</v>
      </c>
      <c r="F105" s="43">
        <f t="shared" si="43"/>
        <v>88.5</v>
      </c>
      <c r="G105" s="45">
        <f t="shared" ca="1" si="53"/>
        <v>0</v>
      </c>
      <c r="H105" s="45">
        <f t="shared" ca="1" si="53"/>
        <v>0</v>
      </c>
      <c r="I105" s="45">
        <f t="shared" ca="1" si="53"/>
        <v>0</v>
      </c>
      <c r="J105" s="45">
        <f t="shared" ca="1" si="53"/>
        <v>0</v>
      </c>
      <c r="K105" s="45">
        <f t="shared" ca="1" si="53"/>
        <v>0</v>
      </c>
      <c r="L105" s="45">
        <f t="shared" ca="1" si="53"/>
        <v>0</v>
      </c>
      <c r="M105" s="45">
        <f t="shared" ca="1" si="53"/>
        <v>0</v>
      </c>
      <c r="N105" s="45">
        <f t="shared" ca="1" si="50"/>
        <v>0</v>
      </c>
      <c r="O105" s="45">
        <f t="shared" ca="1" si="50"/>
        <v>0</v>
      </c>
      <c r="P105" s="302">
        <f t="shared" ca="1" si="44"/>
        <v>0</v>
      </c>
      <c r="R105" s="45">
        <f t="shared" ca="1" si="54"/>
        <v>0</v>
      </c>
      <c r="S105" s="45">
        <f t="shared" ca="1" si="54"/>
        <v>0</v>
      </c>
      <c r="T105" s="45">
        <f t="shared" ca="1" si="54"/>
        <v>0</v>
      </c>
      <c r="U105" s="45">
        <f t="shared" ca="1" si="54"/>
        <v>0</v>
      </c>
      <c r="V105" s="45">
        <f t="shared" ca="1" si="54"/>
        <v>0</v>
      </c>
      <c r="W105" s="45">
        <f t="shared" ca="1" si="54"/>
        <v>0</v>
      </c>
      <c r="X105" s="45">
        <f t="shared" ca="1" si="54"/>
        <v>0</v>
      </c>
      <c r="Y105" s="45">
        <f t="shared" ca="1" si="52"/>
        <v>0</v>
      </c>
      <c r="Z105" s="45">
        <f t="shared" ca="1" si="52"/>
        <v>0</v>
      </c>
      <c r="AA105" s="302">
        <f t="shared" ca="1" si="45"/>
        <v>0</v>
      </c>
    </row>
    <row r="106" spans="4:27" ht="12" customHeight="1" x14ac:dyDescent="0.25">
      <c r="D106" s="43">
        <f t="shared" si="46"/>
        <v>95</v>
      </c>
      <c r="E106" s="63">
        <f t="shared" si="42"/>
        <v>23.75</v>
      </c>
      <c r="F106" s="43">
        <f t="shared" si="43"/>
        <v>88.75</v>
      </c>
      <c r="G106" s="45">
        <f t="shared" ca="1" si="53"/>
        <v>0</v>
      </c>
      <c r="H106" s="45">
        <f t="shared" ca="1" si="53"/>
        <v>0</v>
      </c>
      <c r="I106" s="45">
        <f t="shared" ca="1" si="53"/>
        <v>0</v>
      </c>
      <c r="J106" s="45">
        <f t="shared" ca="1" si="53"/>
        <v>0</v>
      </c>
      <c r="K106" s="45">
        <f t="shared" ca="1" si="53"/>
        <v>0</v>
      </c>
      <c r="L106" s="45">
        <f t="shared" ca="1" si="53"/>
        <v>0</v>
      </c>
      <c r="M106" s="45">
        <f t="shared" ca="1" si="53"/>
        <v>0</v>
      </c>
      <c r="N106" s="45">
        <f t="shared" ca="1" si="50"/>
        <v>0</v>
      </c>
      <c r="O106" s="45">
        <f t="shared" ca="1" si="50"/>
        <v>0</v>
      </c>
      <c r="P106" s="302">
        <f t="shared" ca="1" si="44"/>
        <v>0</v>
      </c>
      <c r="R106" s="45">
        <f t="shared" ca="1" si="54"/>
        <v>0</v>
      </c>
      <c r="S106" s="45">
        <f t="shared" ca="1" si="54"/>
        <v>0</v>
      </c>
      <c r="T106" s="45">
        <f t="shared" ca="1" si="54"/>
        <v>0</v>
      </c>
      <c r="U106" s="45">
        <f t="shared" ca="1" si="54"/>
        <v>0</v>
      </c>
      <c r="V106" s="45">
        <f t="shared" ca="1" si="54"/>
        <v>0</v>
      </c>
      <c r="W106" s="45">
        <f t="shared" ca="1" si="54"/>
        <v>0</v>
      </c>
      <c r="X106" s="45">
        <f t="shared" ca="1" si="54"/>
        <v>0</v>
      </c>
      <c r="Y106" s="45">
        <f t="shared" ca="1" si="52"/>
        <v>0</v>
      </c>
      <c r="Z106" s="45">
        <f t="shared" ca="1" si="52"/>
        <v>0</v>
      </c>
      <c r="AA106" s="302">
        <f t="shared" ca="1" si="45"/>
        <v>0</v>
      </c>
    </row>
    <row r="107" spans="4:27" ht="12" customHeight="1" x14ac:dyDescent="0.25">
      <c r="D107" s="43">
        <f t="shared" si="46"/>
        <v>96</v>
      </c>
      <c r="E107" s="63">
        <f t="shared" ref="E107:E131" si="55">D107*D.cycleLength</f>
        <v>24</v>
      </c>
      <c r="F107" s="43">
        <f t="shared" ref="F107:F131" si="56">D.cohortAge+E107</f>
        <v>89</v>
      </c>
      <c r="G107" s="45">
        <f t="shared" ca="1" si="53"/>
        <v>0</v>
      </c>
      <c r="H107" s="45">
        <f t="shared" ca="1" si="53"/>
        <v>0</v>
      </c>
      <c r="I107" s="45">
        <f t="shared" ca="1" si="53"/>
        <v>0</v>
      </c>
      <c r="J107" s="45">
        <f t="shared" ca="1" si="53"/>
        <v>0</v>
      </c>
      <c r="K107" s="45">
        <f t="shared" ca="1" si="53"/>
        <v>0</v>
      </c>
      <c r="L107" s="45">
        <f t="shared" ca="1" si="53"/>
        <v>0</v>
      </c>
      <c r="M107" s="45">
        <f t="shared" ca="1" si="53"/>
        <v>0</v>
      </c>
      <c r="N107" s="45">
        <f t="shared" ca="1" si="50"/>
        <v>0</v>
      </c>
      <c r="O107" s="45">
        <f t="shared" ca="1" si="50"/>
        <v>0</v>
      </c>
      <c r="P107" s="302">
        <f t="shared" ref="P107:P131" ca="1" si="57">SUM(G107:O107)</f>
        <v>0</v>
      </c>
      <c r="R107" s="45">
        <f t="shared" ca="1" si="54"/>
        <v>0</v>
      </c>
      <c r="S107" s="45">
        <f t="shared" ca="1" si="54"/>
        <v>0</v>
      </c>
      <c r="T107" s="45">
        <f t="shared" ca="1" si="54"/>
        <v>0</v>
      </c>
      <c r="U107" s="45">
        <f t="shared" ca="1" si="54"/>
        <v>0</v>
      </c>
      <c r="V107" s="45">
        <f t="shared" ca="1" si="54"/>
        <v>0</v>
      </c>
      <c r="W107" s="45">
        <f t="shared" ca="1" si="54"/>
        <v>0</v>
      </c>
      <c r="X107" s="45">
        <f t="shared" ca="1" si="54"/>
        <v>0</v>
      </c>
      <c r="Y107" s="45">
        <f t="shared" ca="1" si="52"/>
        <v>0</v>
      </c>
      <c r="Z107" s="45">
        <f t="shared" ca="1" si="52"/>
        <v>0</v>
      </c>
      <c r="AA107" s="302">
        <f t="shared" ref="AA107:AA131" ca="1" si="58">SUM(R107:Z107)</f>
        <v>0</v>
      </c>
    </row>
    <row r="108" spans="4:27" ht="12" customHeight="1" x14ac:dyDescent="0.25">
      <c r="D108" s="43">
        <f t="shared" ref="D108:D131" si="59">D107+1</f>
        <v>97</v>
      </c>
      <c r="E108" s="63">
        <f t="shared" si="55"/>
        <v>24.25</v>
      </c>
      <c r="F108" s="43">
        <f t="shared" si="56"/>
        <v>89.25</v>
      </c>
      <c r="G108" s="45">
        <f t="shared" ca="1" si="53"/>
        <v>0</v>
      </c>
      <c r="H108" s="45">
        <f t="shared" ca="1" si="53"/>
        <v>0</v>
      </c>
      <c r="I108" s="45">
        <f t="shared" ca="1" si="53"/>
        <v>0</v>
      </c>
      <c r="J108" s="45">
        <f t="shared" ca="1" si="53"/>
        <v>0</v>
      </c>
      <c r="K108" s="45">
        <f t="shared" ca="1" si="53"/>
        <v>0</v>
      </c>
      <c r="L108" s="45">
        <f t="shared" ca="1" si="53"/>
        <v>0</v>
      </c>
      <c r="M108" s="45">
        <f t="shared" ca="1" si="53"/>
        <v>0</v>
      </c>
      <c r="N108" s="45">
        <f t="shared" ca="1" si="50"/>
        <v>0</v>
      </c>
      <c r="O108" s="45">
        <f t="shared" ca="1" si="50"/>
        <v>0</v>
      </c>
      <c r="P108" s="302">
        <f t="shared" ca="1" si="57"/>
        <v>0</v>
      </c>
      <c r="R108" s="45">
        <f t="shared" ca="1" si="54"/>
        <v>0</v>
      </c>
      <c r="S108" s="45">
        <f t="shared" ca="1" si="54"/>
        <v>0</v>
      </c>
      <c r="T108" s="45">
        <f t="shared" ca="1" si="54"/>
        <v>0</v>
      </c>
      <c r="U108" s="45">
        <f t="shared" ca="1" si="54"/>
        <v>0</v>
      </c>
      <c r="V108" s="45">
        <f t="shared" ca="1" si="54"/>
        <v>0</v>
      </c>
      <c r="W108" s="45">
        <f t="shared" ca="1" si="54"/>
        <v>0</v>
      </c>
      <c r="X108" s="45">
        <f t="shared" ca="1" si="54"/>
        <v>0</v>
      </c>
      <c r="Y108" s="45">
        <f t="shared" ca="1" si="52"/>
        <v>0</v>
      </c>
      <c r="Z108" s="45">
        <f t="shared" ca="1" si="52"/>
        <v>0</v>
      </c>
      <c r="AA108" s="302">
        <f t="shared" ca="1" si="58"/>
        <v>0</v>
      </c>
    </row>
    <row r="109" spans="4:27" ht="12" customHeight="1" x14ac:dyDescent="0.25">
      <c r="D109" s="43">
        <f t="shared" si="59"/>
        <v>98</v>
      </c>
      <c r="E109" s="63">
        <f t="shared" si="55"/>
        <v>24.5</v>
      </c>
      <c r="F109" s="43">
        <f t="shared" si="56"/>
        <v>89.5</v>
      </c>
      <c r="G109" s="45">
        <f t="shared" ca="1" si="53"/>
        <v>0</v>
      </c>
      <c r="H109" s="45">
        <f t="shared" ca="1" si="53"/>
        <v>0</v>
      </c>
      <c r="I109" s="45">
        <f t="shared" ca="1" si="53"/>
        <v>0</v>
      </c>
      <c r="J109" s="45">
        <f t="shared" ca="1" si="53"/>
        <v>0</v>
      </c>
      <c r="K109" s="45">
        <f t="shared" ca="1" si="53"/>
        <v>0</v>
      </c>
      <c r="L109" s="45">
        <f t="shared" ca="1" si="53"/>
        <v>0</v>
      </c>
      <c r="M109" s="45">
        <f t="shared" ca="1" si="53"/>
        <v>0</v>
      </c>
      <c r="N109" s="45">
        <f t="shared" ca="1" si="50"/>
        <v>0</v>
      </c>
      <c r="O109" s="45">
        <f t="shared" ca="1" si="50"/>
        <v>0</v>
      </c>
      <c r="P109" s="302">
        <f t="shared" ca="1" si="57"/>
        <v>0</v>
      </c>
      <c r="R109" s="45">
        <f t="shared" ca="1" si="54"/>
        <v>0</v>
      </c>
      <c r="S109" s="45">
        <f t="shared" ca="1" si="54"/>
        <v>0</v>
      </c>
      <c r="T109" s="45">
        <f t="shared" ca="1" si="54"/>
        <v>0</v>
      </c>
      <c r="U109" s="45">
        <f t="shared" ca="1" si="54"/>
        <v>0</v>
      </c>
      <c r="V109" s="45">
        <f t="shared" ca="1" si="54"/>
        <v>0</v>
      </c>
      <c r="W109" s="45">
        <f t="shared" ca="1" si="54"/>
        <v>0</v>
      </c>
      <c r="X109" s="45">
        <f t="shared" ca="1" si="54"/>
        <v>0</v>
      </c>
      <c r="Y109" s="45">
        <f t="shared" ca="1" si="52"/>
        <v>0</v>
      </c>
      <c r="Z109" s="45">
        <f t="shared" ca="1" si="52"/>
        <v>0</v>
      </c>
      <c r="AA109" s="302">
        <f t="shared" ca="1" si="58"/>
        <v>0</v>
      </c>
    </row>
    <row r="110" spans="4:27" ht="12" customHeight="1" x14ac:dyDescent="0.25">
      <c r="D110" s="43">
        <f t="shared" si="59"/>
        <v>99</v>
      </c>
      <c r="E110" s="63">
        <f t="shared" si="55"/>
        <v>24.75</v>
      </c>
      <c r="F110" s="43">
        <f t="shared" si="56"/>
        <v>89.75</v>
      </c>
      <c r="G110" s="45">
        <f t="shared" ca="1" si="53"/>
        <v>0</v>
      </c>
      <c r="H110" s="45">
        <f t="shared" ca="1" si="53"/>
        <v>0</v>
      </c>
      <c r="I110" s="45">
        <f t="shared" ca="1" si="53"/>
        <v>0</v>
      </c>
      <c r="J110" s="45">
        <f t="shared" ca="1" si="53"/>
        <v>0</v>
      </c>
      <c r="K110" s="45">
        <f t="shared" ca="1" si="53"/>
        <v>0</v>
      </c>
      <c r="L110" s="45">
        <f t="shared" ca="1" si="53"/>
        <v>0</v>
      </c>
      <c r="M110" s="45">
        <f t="shared" ca="1" si="53"/>
        <v>0</v>
      </c>
      <c r="N110" s="45">
        <f t="shared" ca="1" si="50"/>
        <v>0</v>
      </c>
      <c r="O110" s="45">
        <f t="shared" ca="1" si="50"/>
        <v>0</v>
      </c>
      <c r="P110" s="302">
        <f t="shared" ca="1" si="57"/>
        <v>0</v>
      </c>
      <c r="R110" s="45">
        <f t="shared" ca="1" si="54"/>
        <v>0</v>
      </c>
      <c r="S110" s="45">
        <f t="shared" ca="1" si="54"/>
        <v>0</v>
      </c>
      <c r="T110" s="45">
        <f t="shared" ca="1" si="54"/>
        <v>0</v>
      </c>
      <c r="U110" s="45">
        <f t="shared" ca="1" si="54"/>
        <v>0</v>
      </c>
      <c r="V110" s="45">
        <f t="shared" ca="1" si="54"/>
        <v>0</v>
      </c>
      <c r="W110" s="45">
        <f t="shared" ca="1" si="54"/>
        <v>0</v>
      </c>
      <c r="X110" s="45">
        <f t="shared" ca="1" si="54"/>
        <v>0</v>
      </c>
      <c r="Y110" s="45">
        <f t="shared" ca="1" si="52"/>
        <v>0</v>
      </c>
      <c r="Z110" s="45">
        <f t="shared" ca="1" si="52"/>
        <v>0</v>
      </c>
      <c r="AA110" s="302">
        <f t="shared" ca="1" si="58"/>
        <v>0</v>
      </c>
    </row>
    <row r="111" spans="4:27" ht="12" customHeight="1" x14ac:dyDescent="0.25">
      <c r="D111" s="43">
        <f t="shared" si="59"/>
        <v>100</v>
      </c>
      <c r="E111" s="63">
        <f t="shared" si="55"/>
        <v>25</v>
      </c>
      <c r="F111" s="43">
        <f t="shared" si="56"/>
        <v>90</v>
      </c>
      <c r="G111" s="45">
        <f t="shared" ref="G111:M120" ca="1" si="60">AVERAGE(OFFSET(D.Trace.Markov.Root, $D111, (G$2-1)*D.Trace.Markov.NumCols+G$3-1, CHOOSE(swtchHalfCycle, 2, 1)))*G$4*D.cycleLength</f>
        <v>0</v>
      </c>
      <c r="H111" s="45">
        <f t="shared" ca="1" si="60"/>
        <v>0</v>
      </c>
      <c r="I111" s="45">
        <f t="shared" ca="1" si="60"/>
        <v>0</v>
      </c>
      <c r="J111" s="45">
        <f t="shared" ca="1" si="60"/>
        <v>0</v>
      </c>
      <c r="K111" s="45">
        <f t="shared" ca="1" si="60"/>
        <v>0</v>
      </c>
      <c r="L111" s="45">
        <f t="shared" ca="1" si="60"/>
        <v>0</v>
      </c>
      <c r="M111" s="45">
        <f t="shared" ca="1" si="60"/>
        <v>0</v>
      </c>
      <c r="N111" s="45">
        <f t="shared" ref="N111:O131" ca="1" si="61">AVERAGE(OFFSET(D.Trace.Markov.Root, $D111, (N$2-1)*D.Trace.Markov.NumCols+N$3-1, 2))*N$4*D.cycleLength</f>
        <v>0</v>
      </c>
      <c r="O111" s="45">
        <f t="shared" ca="1" si="61"/>
        <v>0</v>
      </c>
      <c r="P111" s="302">
        <f t="shared" ca="1" si="57"/>
        <v>0</v>
      </c>
      <c r="R111" s="45">
        <f t="shared" ref="R111:X120" ca="1" si="62">AVERAGE(OFFSET(D.Trace.Markov.Root, $D111, (R$2-1)*D.Trace.Markov.NumCols+R$3-1, CHOOSE(swtchHalfCycle, 2, 1)))*R$4*D.cycleLength</f>
        <v>0</v>
      </c>
      <c r="S111" s="45">
        <f t="shared" ca="1" si="62"/>
        <v>0</v>
      </c>
      <c r="T111" s="45">
        <f t="shared" ca="1" si="62"/>
        <v>0</v>
      </c>
      <c r="U111" s="45">
        <f t="shared" ca="1" si="62"/>
        <v>0</v>
      </c>
      <c r="V111" s="45">
        <f t="shared" ca="1" si="62"/>
        <v>0</v>
      </c>
      <c r="W111" s="45">
        <f t="shared" ca="1" si="62"/>
        <v>0</v>
      </c>
      <c r="X111" s="45">
        <f t="shared" ca="1" si="62"/>
        <v>0</v>
      </c>
      <c r="Y111" s="45">
        <f t="shared" ref="Y111:Z131" ca="1" si="63">AVERAGE(OFFSET(D.Trace.Markov.Root, $D111, (Y$2-1)*D.Trace.Markov.NumCols+Y$3-1, 2))*Y$4*D.cycleLength</f>
        <v>0</v>
      </c>
      <c r="Z111" s="45">
        <f t="shared" ca="1" si="63"/>
        <v>0</v>
      </c>
      <c r="AA111" s="302">
        <f t="shared" ca="1" si="58"/>
        <v>0</v>
      </c>
    </row>
    <row r="112" spans="4:27" ht="12" customHeight="1" x14ac:dyDescent="0.25">
      <c r="D112" s="43">
        <f t="shared" si="59"/>
        <v>101</v>
      </c>
      <c r="E112" s="63">
        <f t="shared" si="55"/>
        <v>25.25</v>
      </c>
      <c r="F112" s="43">
        <f t="shared" si="56"/>
        <v>90.25</v>
      </c>
      <c r="G112" s="45">
        <f t="shared" ca="1" si="60"/>
        <v>0</v>
      </c>
      <c r="H112" s="45">
        <f t="shared" ca="1" si="60"/>
        <v>0</v>
      </c>
      <c r="I112" s="45">
        <f t="shared" ca="1" si="60"/>
        <v>0</v>
      </c>
      <c r="J112" s="45">
        <f t="shared" ca="1" si="60"/>
        <v>0</v>
      </c>
      <c r="K112" s="45">
        <f t="shared" ca="1" si="60"/>
        <v>0</v>
      </c>
      <c r="L112" s="45">
        <f t="shared" ca="1" si="60"/>
        <v>0</v>
      </c>
      <c r="M112" s="45">
        <f t="shared" ca="1" si="60"/>
        <v>0</v>
      </c>
      <c r="N112" s="45">
        <f t="shared" ca="1" si="61"/>
        <v>0</v>
      </c>
      <c r="O112" s="45">
        <f t="shared" ca="1" si="61"/>
        <v>0</v>
      </c>
      <c r="P112" s="302">
        <f t="shared" ca="1" si="57"/>
        <v>0</v>
      </c>
      <c r="R112" s="45">
        <f t="shared" ca="1" si="62"/>
        <v>0</v>
      </c>
      <c r="S112" s="45">
        <f t="shared" ca="1" si="62"/>
        <v>0</v>
      </c>
      <c r="T112" s="45">
        <f t="shared" ca="1" si="62"/>
        <v>0</v>
      </c>
      <c r="U112" s="45">
        <f t="shared" ca="1" si="62"/>
        <v>0</v>
      </c>
      <c r="V112" s="45">
        <f t="shared" ca="1" si="62"/>
        <v>0</v>
      </c>
      <c r="W112" s="45">
        <f t="shared" ca="1" si="62"/>
        <v>0</v>
      </c>
      <c r="X112" s="45">
        <f t="shared" ca="1" si="62"/>
        <v>0</v>
      </c>
      <c r="Y112" s="45">
        <f t="shared" ca="1" si="63"/>
        <v>0</v>
      </c>
      <c r="Z112" s="45">
        <f t="shared" ca="1" si="63"/>
        <v>0</v>
      </c>
      <c r="AA112" s="302">
        <f t="shared" ca="1" si="58"/>
        <v>0</v>
      </c>
    </row>
    <row r="113" spans="4:27" ht="12" customHeight="1" x14ac:dyDescent="0.25">
      <c r="D113" s="43">
        <f t="shared" si="59"/>
        <v>102</v>
      </c>
      <c r="E113" s="63">
        <f t="shared" si="55"/>
        <v>25.5</v>
      </c>
      <c r="F113" s="43">
        <f t="shared" si="56"/>
        <v>90.5</v>
      </c>
      <c r="G113" s="45">
        <f t="shared" ca="1" si="60"/>
        <v>0</v>
      </c>
      <c r="H113" s="45">
        <f t="shared" ca="1" si="60"/>
        <v>0</v>
      </c>
      <c r="I113" s="45">
        <f t="shared" ca="1" si="60"/>
        <v>0</v>
      </c>
      <c r="J113" s="45">
        <f t="shared" ca="1" si="60"/>
        <v>0</v>
      </c>
      <c r="K113" s="45">
        <f t="shared" ca="1" si="60"/>
        <v>0</v>
      </c>
      <c r="L113" s="45">
        <f t="shared" ca="1" si="60"/>
        <v>0</v>
      </c>
      <c r="M113" s="45">
        <f t="shared" ca="1" si="60"/>
        <v>0</v>
      </c>
      <c r="N113" s="45">
        <f t="shared" ca="1" si="61"/>
        <v>0</v>
      </c>
      <c r="O113" s="45">
        <f t="shared" ca="1" si="61"/>
        <v>0</v>
      </c>
      <c r="P113" s="302">
        <f t="shared" ca="1" si="57"/>
        <v>0</v>
      </c>
      <c r="R113" s="45">
        <f t="shared" ca="1" si="62"/>
        <v>0</v>
      </c>
      <c r="S113" s="45">
        <f t="shared" ca="1" si="62"/>
        <v>0</v>
      </c>
      <c r="T113" s="45">
        <f t="shared" ca="1" si="62"/>
        <v>0</v>
      </c>
      <c r="U113" s="45">
        <f t="shared" ca="1" si="62"/>
        <v>0</v>
      </c>
      <c r="V113" s="45">
        <f t="shared" ca="1" si="62"/>
        <v>0</v>
      </c>
      <c r="W113" s="45">
        <f t="shared" ca="1" si="62"/>
        <v>0</v>
      </c>
      <c r="X113" s="45">
        <f t="shared" ca="1" si="62"/>
        <v>0</v>
      </c>
      <c r="Y113" s="45">
        <f t="shared" ca="1" si="63"/>
        <v>0</v>
      </c>
      <c r="Z113" s="45">
        <f t="shared" ca="1" si="63"/>
        <v>0</v>
      </c>
      <c r="AA113" s="302">
        <f t="shared" ca="1" si="58"/>
        <v>0</v>
      </c>
    </row>
    <row r="114" spans="4:27" ht="12" customHeight="1" x14ac:dyDescent="0.25">
      <c r="D114" s="43">
        <f t="shared" si="59"/>
        <v>103</v>
      </c>
      <c r="E114" s="63">
        <f t="shared" si="55"/>
        <v>25.75</v>
      </c>
      <c r="F114" s="43">
        <f t="shared" si="56"/>
        <v>90.75</v>
      </c>
      <c r="G114" s="45">
        <f t="shared" ca="1" si="60"/>
        <v>0</v>
      </c>
      <c r="H114" s="45">
        <f t="shared" ca="1" si="60"/>
        <v>0</v>
      </c>
      <c r="I114" s="45">
        <f t="shared" ca="1" si="60"/>
        <v>0</v>
      </c>
      <c r="J114" s="45">
        <f t="shared" ca="1" si="60"/>
        <v>0</v>
      </c>
      <c r="K114" s="45">
        <f t="shared" ca="1" si="60"/>
        <v>0</v>
      </c>
      <c r="L114" s="45">
        <f t="shared" ca="1" si="60"/>
        <v>0</v>
      </c>
      <c r="M114" s="45">
        <f t="shared" ca="1" si="60"/>
        <v>0</v>
      </c>
      <c r="N114" s="45">
        <f t="shared" ca="1" si="61"/>
        <v>0</v>
      </c>
      <c r="O114" s="45">
        <f t="shared" ca="1" si="61"/>
        <v>0</v>
      </c>
      <c r="P114" s="302">
        <f t="shared" ca="1" si="57"/>
        <v>0</v>
      </c>
      <c r="R114" s="45">
        <f t="shared" ca="1" si="62"/>
        <v>0</v>
      </c>
      <c r="S114" s="45">
        <f t="shared" ca="1" si="62"/>
        <v>0</v>
      </c>
      <c r="T114" s="45">
        <f t="shared" ca="1" si="62"/>
        <v>0</v>
      </c>
      <c r="U114" s="45">
        <f t="shared" ca="1" si="62"/>
        <v>0</v>
      </c>
      <c r="V114" s="45">
        <f t="shared" ca="1" si="62"/>
        <v>0</v>
      </c>
      <c r="W114" s="45">
        <f t="shared" ca="1" si="62"/>
        <v>0</v>
      </c>
      <c r="X114" s="45">
        <f t="shared" ca="1" si="62"/>
        <v>0</v>
      </c>
      <c r="Y114" s="45">
        <f t="shared" ca="1" si="63"/>
        <v>0</v>
      </c>
      <c r="Z114" s="45">
        <f t="shared" ca="1" si="63"/>
        <v>0</v>
      </c>
      <c r="AA114" s="302">
        <f t="shared" ca="1" si="58"/>
        <v>0</v>
      </c>
    </row>
    <row r="115" spans="4:27" ht="12" customHeight="1" x14ac:dyDescent="0.25">
      <c r="D115" s="43">
        <f t="shared" si="59"/>
        <v>104</v>
      </c>
      <c r="E115" s="63">
        <f t="shared" si="55"/>
        <v>26</v>
      </c>
      <c r="F115" s="43">
        <f t="shared" si="56"/>
        <v>91</v>
      </c>
      <c r="G115" s="45">
        <f t="shared" ca="1" si="60"/>
        <v>0</v>
      </c>
      <c r="H115" s="45">
        <f t="shared" ca="1" si="60"/>
        <v>0</v>
      </c>
      <c r="I115" s="45">
        <f t="shared" ca="1" si="60"/>
        <v>0</v>
      </c>
      <c r="J115" s="45">
        <f t="shared" ca="1" si="60"/>
        <v>0</v>
      </c>
      <c r="K115" s="45">
        <f t="shared" ca="1" si="60"/>
        <v>0</v>
      </c>
      <c r="L115" s="45">
        <f t="shared" ca="1" si="60"/>
        <v>0</v>
      </c>
      <c r="M115" s="45">
        <f t="shared" ca="1" si="60"/>
        <v>0</v>
      </c>
      <c r="N115" s="45">
        <f t="shared" ca="1" si="61"/>
        <v>0</v>
      </c>
      <c r="O115" s="45">
        <f t="shared" ca="1" si="61"/>
        <v>0</v>
      </c>
      <c r="P115" s="302">
        <f t="shared" ca="1" si="57"/>
        <v>0</v>
      </c>
      <c r="R115" s="45">
        <f t="shared" ca="1" si="62"/>
        <v>0</v>
      </c>
      <c r="S115" s="45">
        <f t="shared" ca="1" si="62"/>
        <v>0</v>
      </c>
      <c r="T115" s="45">
        <f t="shared" ca="1" si="62"/>
        <v>0</v>
      </c>
      <c r="U115" s="45">
        <f t="shared" ca="1" si="62"/>
        <v>0</v>
      </c>
      <c r="V115" s="45">
        <f t="shared" ca="1" si="62"/>
        <v>0</v>
      </c>
      <c r="W115" s="45">
        <f t="shared" ca="1" si="62"/>
        <v>0</v>
      </c>
      <c r="X115" s="45">
        <f t="shared" ca="1" si="62"/>
        <v>0</v>
      </c>
      <c r="Y115" s="45">
        <f t="shared" ca="1" si="63"/>
        <v>0</v>
      </c>
      <c r="Z115" s="45">
        <f t="shared" ca="1" si="63"/>
        <v>0</v>
      </c>
      <c r="AA115" s="302">
        <f t="shared" ca="1" si="58"/>
        <v>0</v>
      </c>
    </row>
    <row r="116" spans="4:27" ht="12" customHeight="1" x14ac:dyDescent="0.25">
      <c r="D116" s="43">
        <f t="shared" si="59"/>
        <v>105</v>
      </c>
      <c r="E116" s="63">
        <f t="shared" si="55"/>
        <v>26.25</v>
      </c>
      <c r="F116" s="43">
        <f t="shared" si="56"/>
        <v>91.25</v>
      </c>
      <c r="G116" s="45">
        <f t="shared" ca="1" si="60"/>
        <v>0</v>
      </c>
      <c r="H116" s="45">
        <f t="shared" ca="1" si="60"/>
        <v>0</v>
      </c>
      <c r="I116" s="45">
        <f t="shared" ca="1" si="60"/>
        <v>0</v>
      </c>
      <c r="J116" s="45">
        <f t="shared" ca="1" si="60"/>
        <v>0</v>
      </c>
      <c r="K116" s="45">
        <f t="shared" ca="1" si="60"/>
        <v>0</v>
      </c>
      <c r="L116" s="45">
        <f t="shared" ca="1" si="60"/>
        <v>0</v>
      </c>
      <c r="M116" s="45">
        <f t="shared" ca="1" si="60"/>
        <v>0</v>
      </c>
      <c r="N116" s="45">
        <f t="shared" ca="1" si="61"/>
        <v>0</v>
      </c>
      <c r="O116" s="45">
        <f t="shared" ca="1" si="61"/>
        <v>0</v>
      </c>
      <c r="P116" s="302">
        <f t="shared" ca="1" si="57"/>
        <v>0</v>
      </c>
      <c r="R116" s="45">
        <f t="shared" ca="1" si="62"/>
        <v>0</v>
      </c>
      <c r="S116" s="45">
        <f t="shared" ca="1" si="62"/>
        <v>0</v>
      </c>
      <c r="T116" s="45">
        <f t="shared" ca="1" si="62"/>
        <v>0</v>
      </c>
      <c r="U116" s="45">
        <f t="shared" ca="1" si="62"/>
        <v>0</v>
      </c>
      <c r="V116" s="45">
        <f t="shared" ca="1" si="62"/>
        <v>0</v>
      </c>
      <c r="W116" s="45">
        <f t="shared" ca="1" si="62"/>
        <v>0</v>
      </c>
      <c r="X116" s="45">
        <f t="shared" ca="1" si="62"/>
        <v>0</v>
      </c>
      <c r="Y116" s="45">
        <f t="shared" ca="1" si="63"/>
        <v>0</v>
      </c>
      <c r="Z116" s="45">
        <f t="shared" ca="1" si="63"/>
        <v>0</v>
      </c>
      <c r="AA116" s="302">
        <f t="shared" ca="1" si="58"/>
        <v>0</v>
      </c>
    </row>
    <row r="117" spans="4:27" ht="12" customHeight="1" x14ac:dyDescent="0.25">
      <c r="D117" s="43">
        <f t="shared" si="59"/>
        <v>106</v>
      </c>
      <c r="E117" s="63">
        <f t="shared" si="55"/>
        <v>26.5</v>
      </c>
      <c r="F117" s="43">
        <f t="shared" si="56"/>
        <v>91.5</v>
      </c>
      <c r="G117" s="45">
        <f t="shared" ca="1" si="60"/>
        <v>0</v>
      </c>
      <c r="H117" s="45">
        <f t="shared" ca="1" si="60"/>
        <v>0</v>
      </c>
      <c r="I117" s="45">
        <f t="shared" ca="1" si="60"/>
        <v>0</v>
      </c>
      <c r="J117" s="45">
        <f t="shared" ca="1" si="60"/>
        <v>0</v>
      </c>
      <c r="K117" s="45">
        <f t="shared" ca="1" si="60"/>
        <v>0</v>
      </c>
      <c r="L117" s="45">
        <f t="shared" ca="1" si="60"/>
        <v>0</v>
      </c>
      <c r="M117" s="45">
        <f t="shared" ca="1" si="60"/>
        <v>0</v>
      </c>
      <c r="N117" s="45">
        <f t="shared" ca="1" si="61"/>
        <v>0</v>
      </c>
      <c r="O117" s="45">
        <f t="shared" ca="1" si="61"/>
        <v>0</v>
      </c>
      <c r="P117" s="302">
        <f t="shared" ca="1" si="57"/>
        <v>0</v>
      </c>
      <c r="R117" s="45">
        <f t="shared" ca="1" si="62"/>
        <v>0</v>
      </c>
      <c r="S117" s="45">
        <f t="shared" ca="1" si="62"/>
        <v>0</v>
      </c>
      <c r="T117" s="45">
        <f t="shared" ca="1" si="62"/>
        <v>0</v>
      </c>
      <c r="U117" s="45">
        <f t="shared" ca="1" si="62"/>
        <v>0</v>
      </c>
      <c r="V117" s="45">
        <f t="shared" ca="1" si="62"/>
        <v>0</v>
      </c>
      <c r="W117" s="45">
        <f t="shared" ca="1" si="62"/>
        <v>0</v>
      </c>
      <c r="X117" s="45">
        <f t="shared" ca="1" si="62"/>
        <v>0</v>
      </c>
      <c r="Y117" s="45">
        <f t="shared" ca="1" si="63"/>
        <v>0</v>
      </c>
      <c r="Z117" s="45">
        <f t="shared" ca="1" si="63"/>
        <v>0</v>
      </c>
      <c r="AA117" s="302">
        <f t="shared" ca="1" si="58"/>
        <v>0</v>
      </c>
    </row>
    <row r="118" spans="4:27" ht="12" customHeight="1" x14ac:dyDescent="0.25">
      <c r="D118" s="43">
        <f t="shared" si="59"/>
        <v>107</v>
      </c>
      <c r="E118" s="63">
        <f t="shared" si="55"/>
        <v>26.75</v>
      </c>
      <c r="F118" s="43">
        <f t="shared" si="56"/>
        <v>91.75</v>
      </c>
      <c r="G118" s="45">
        <f t="shared" ca="1" si="60"/>
        <v>0</v>
      </c>
      <c r="H118" s="45">
        <f t="shared" ca="1" si="60"/>
        <v>0</v>
      </c>
      <c r="I118" s="45">
        <f t="shared" ca="1" si="60"/>
        <v>0</v>
      </c>
      <c r="J118" s="45">
        <f t="shared" ca="1" si="60"/>
        <v>0</v>
      </c>
      <c r="K118" s="45">
        <f t="shared" ca="1" si="60"/>
        <v>0</v>
      </c>
      <c r="L118" s="45">
        <f t="shared" ca="1" si="60"/>
        <v>0</v>
      </c>
      <c r="M118" s="45">
        <f t="shared" ca="1" si="60"/>
        <v>0</v>
      </c>
      <c r="N118" s="45">
        <f t="shared" ca="1" si="61"/>
        <v>0</v>
      </c>
      <c r="O118" s="45">
        <f t="shared" ca="1" si="61"/>
        <v>0</v>
      </c>
      <c r="P118" s="302">
        <f t="shared" ca="1" si="57"/>
        <v>0</v>
      </c>
      <c r="R118" s="45">
        <f t="shared" ca="1" si="62"/>
        <v>0</v>
      </c>
      <c r="S118" s="45">
        <f t="shared" ca="1" si="62"/>
        <v>0</v>
      </c>
      <c r="T118" s="45">
        <f t="shared" ca="1" si="62"/>
        <v>0</v>
      </c>
      <c r="U118" s="45">
        <f t="shared" ca="1" si="62"/>
        <v>0</v>
      </c>
      <c r="V118" s="45">
        <f t="shared" ca="1" si="62"/>
        <v>0</v>
      </c>
      <c r="W118" s="45">
        <f t="shared" ca="1" si="62"/>
        <v>0</v>
      </c>
      <c r="X118" s="45">
        <f t="shared" ca="1" si="62"/>
        <v>0</v>
      </c>
      <c r="Y118" s="45">
        <f t="shared" ca="1" si="63"/>
        <v>0</v>
      </c>
      <c r="Z118" s="45">
        <f t="shared" ca="1" si="63"/>
        <v>0</v>
      </c>
      <c r="AA118" s="302">
        <f t="shared" ca="1" si="58"/>
        <v>0</v>
      </c>
    </row>
    <row r="119" spans="4:27" ht="12" customHeight="1" x14ac:dyDescent="0.25">
      <c r="D119" s="43">
        <f t="shared" si="59"/>
        <v>108</v>
      </c>
      <c r="E119" s="63">
        <f t="shared" si="55"/>
        <v>27</v>
      </c>
      <c r="F119" s="43">
        <f t="shared" si="56"/>
        <v>92</v>
      </c>
      <c r="G119" s="45">
        <f t="shared" ca="1" si="60"/>
        <v>0</v>
      </c>
      <c r="H119" s="45">
        <f t="shared" ca="1" si="60"/>
        <v>0</v>
      </c>
      <c r="I119" s="45">
        <f t="shared" ca="1" si="60"/>
        <v>0</v>
      </c>
      <c r="J119" s="45">
        <f t="shared" ca="1" si="60"/>
        <v>0</v>
      </c>
      <c r="K119" s="45">
        <f t="shared" ca="1" si="60"/>
        <v>0</v>
      </c>
      <c r="L119" s="45">
        <f t="shared" ca="1" si="60"/>
        <v>0</v>
      </c>
      <c r="M119" s="45">
        <f t="shared" ca="1" si="60"/>
        <v>0</v>
      </c>
      <c r="N119" s="45">
        <f t="shared" ca="1" si="61"/>
        <v>0</v>
      </c>
      <c r="O119" s="45">
        <f t="shared" ca="1" si="61"/>
        <v>0</v>
      </c>
      <c r="P119" s="302">
        <f t="shared" ca="1" si="57"/>
        <v>0</v>
      </c>
      <c r="R119" s="45">
        <f t="shared" ca="1" si="62"/>
        <v>0</v>
      </c>
      <c r="S119" s="45">
        <f t="shared" ca="1" si="62"/>
        <v>0</v>
      </c>
      <c r="T119" s="45">
        <f t="shared" ca="1" si="62"/>
        <v>0</v>
      </c>
      <c r="U119" s="45">
        <f t="shared" ca="1" si="62"/>
        <v>0</v>
      </c>
      <c r="V119" s="45">
        <f t="shared" ca="1" si="62"/>
        <v>0</v>
      </c>
      <c r="W119" s="45">
        <f t="shared" ca="1" si="62"/>
        <v>0</v>
      </c>
      <c r="X119" s="45">
        <f t="shared" ca="1" si="62"/>
        <v>0</v>
      </c>
      <c r="Y119" s="45">
        <f t="shared" ca="1" si="63"/>
        <v>0</v>
      </c>
      <c r="Z119" s="45">
        <f t="shared" ca="1" si="63"/>
        <v>0</v>
      </c>
      <c r="AA119" s="302">
        <f t="shared" ca="1" si="58"/>
        <v>0</v>
      </c>
    </row>
    <row r="120" spans="4:27" ht="12" customHeight="1" x14ac:dyDescent="0.25">
      <c r="D120" s="43">
        <f t="shared" si="59"/>
        <v>109</v>
      </c>
      <c r="E120" s="63">
        <f t="shared" si="55"/>
        <v>27.25</v>
      </c>
      <c r="F120" s="43">
        <f t="shared" si="56"/>
        <v>92.25</v>
      </c>
      <c r="G120" s="45">
        <f t="shared" ca="1" si="60"/>
        <v>0</v>
      </c>
      <c r="H120" s="45">
        <f t="shared" ca="1" si="60"/>
        <v>0</v>
      </c>
      <c r="I120" s="45">
        <f t="shared" ca="1" si="60"/>
        <v>0</v>
      </c>
      <c r="J120" s="45">
        <f t="shared" ca="1" si="60"/>
        <v>0</v>
      </c>
      <c r="K120" s="45">
        <f t="shared" ca="1" si="60"/>
        <v>0</v>
      </c>
      <c r="L120" s="45">
        <f t="shared" ca="1" si="60"/>
        <v>0</v>
      </c>
      <c r="M120" s="45">
        <f t="shared" ca="1" si="60"/>
        <v>0</v>
      </c>
      <c r="N120" s="45">
        <f t="shared" ca="1" si="61"/>
        <v>0</v>
      </c>
      <c r="O120" s="45">
        <f t="shared" ca="1" si="61"/>
        <v>0</v>
      </c>
      <c r="P120" s="302">
        <f t="shared" ca="1" si="57"/>
        <v>0</v>
      </c>
      <c r="R120" s="45">
        <f t="shared" ca="1" si="62"/>
        <v>0</v>
      </c>
      <c r="S120" s="45">
        <f t="shared" ca="1" si="62"/>
        <v>0</v>
      </c>
      <c r="T120" s="45">
        <f t="shared" ca="1" si="62"/>
        <v>0</v>
      </c>
      <c r="U120" s="45">
        <f t="shared" ca="1" si="62"/>
        <v>0</v>
      </c>
      <c r="V120" s="45">
        <f t="shared" ca="1" si="62"/>
        <v>0</v>
      </c>
      <c r="W120" s="45">
        <f t="shared" ca="1" si="62"/>
        <v>0</v>
      </c>
      <c r="X120" s="45">
        <f t="shared" ca="1" si="62"/>
        <v>0</v>
      </c>
      <c r="Y120" s="45">
        <f t="shared" ca="1" si="63"/>
        <v>0</v>
      </c>
      <c r="Z120" s="45">
        <f t="shared" ca="1" si="63"/>
        <v>0</v>
      </c>
      <c r="AA120" s="302">
        <f t="shared" ca="1" si="58"/>
        <v>0</v>
      </c>
    </row>
    <row r="121" spans="4:27" ht="12" customHeight="1" x14ac:dyDescent="0.25">
      <c r="D121" s="43">
        <f t="shared" si="59"/>
        <v>110</v>
      </c>
      <c r="E121" s="63">
        <f t="shared" si="55"/>
        <v>27.5</v>
      </c>
      <c r="F121" s="43">
        <f t="shared" si="56"/>
        <v>92.5</v>
      </c>
      <c r="G121" s="45">
        <f t="shared" ref="G121:M131" ca="1" si="64">AVERAGE(OFFSET(D.Trace.Markov.Root, $D121, (G$2-1)*D.Trace.Markov.NumCols+G$3-1, CHOOSE(swtchHalfCycle, 2, 1)))*G$4*D.cycleLength</f>
        <v>0</v>
      </c>
      <c r="H121" s="45">
        <f t="shared" ca="1" si="64"/>
        <v>0</v>
      </c>
      <c r="I121" s="45">
        <f t="shared" ca="1" si="64"/>
        <v>0</v>
      </c>
      <c r="J121" s="45">
        <f t="shared" ca="1" si="64"/>
        <v>0</v>
      </c>
      <c r="K121" s="45">
        <f t="shared" ca="1" si="64"/>
        <v>0</v>
      </c>
      <c r="L121" s="45">
        <f t="shared" ca="1" si="64"/>
        <v>0</v>
      </c>
      <c r="M121" s="45">
        <f t="shared" ca="1" si="64"/>
        <v>0</v>
      </c>
      <c r="N121" s="45">
        <f t="shared" ca="1" si="61"/>
        <v>0</v>
      </c>
      <c r="O121" s="45">
        <f t="shared" ca="1" si="61"/>
        <v>0</v>
      </c>
      <c r="P121" s="302">
        <f t="shared" ca="1" si="57"/>
        <v>0</v>
      </c>
      <c r="R121" s="45">
        <f t="shared" ref="R121:X131" ca="1" si="65">AVERAGE(OFFSET(D.Trace.Markov.Root, $D121, (R$2-1)*D.Trace.Markov.NumCols+R$3-1, CHOOSE(swtchHalfCycle, 2, 1)))*R$4*D.cycleLength</f>
        <v>0</v>
      </c>
      <c r="S121" s="45">
        <f t="shared" ca="1" si="65"/>
        <v>0</v>
      </c>
      <c r="T121" s="45">
        <f t="shared" ca="1" si="65"/>
        <v>0</v>
      </c>
      <c r="U121" s="45">
        <f t="shared" ca="1" si="65"/>
        <v>0</v>
      </c>
      <c r="V121" s="45">
        <f t="shared" ca="1" si="65"/>
        <v>0</v>
      </c>
      <c r="W121" s="45">
        <f t="shared" ca="1" si="65"/>
        <v>0</v>
      </c>
      <c r="X121" s="45">
        <f t="shared" ca="1" si="65"/>
        <v>0</v>
      </c>
      <c r="Y121" s="45">
        <f t="shared" ca="1" si="63"/>
        <v>0</v>
      </c>
      <c r="Z121" s="45">
        <f t="shared" ca="1" si="63"/>
        <v>0</v>
      </c>
      <c r="AA121" s="302">
        <f t="shared" ca="1" si="58"/>
        <v>0</v>
      </c>
    </row>
    <row r="122" spans="4:27" ht="12" customHeight="1" x14ac:dyDescent="0.25">
      <c r="D122" s="43">
        <f t="shared" si="59"/>
        <v>111</v>
      </c>
      <c r="E122" s="63">
        <f t="shared" si="55"/>
        <v>27.75</v>
      </c>
      <c r="F122" s="43">
        <f t="shared" si="56"/>
        <v>92.75</v>
      </c>
      <c r="G122" s="45">
        <f t="shared" ca="1" si="64"/>
        <v>0</v>
      </c>
      <c r="H122" s="45">
        <f t="shared" ca="1" si="64"/>
        <v>0</v>
      </c>
      <c r="I122" s="45">
        <f t="shared" ca="1" si="64"/>
        <v>0</v>
      </c>
      <c r="J122" s="45">
        <f t="shared" ca="1" si="64"/>
        <v>0</v>
      </c>
      <c r="K122" s="45">
        <f t="shared" ca="1" si="64"/>
        <v>0</v>
      </c>
      <c r="L122" s="45">
        <f t="shared" ca="1" si="64"/>
        <v>0</v>
      </c>
      <c r="M122" s="45">
        <f t="shared" ca="1" si="64"/>
        <v>0</v>
      </c>
      <c r="N122" s="45">
        <f t="shared" ca="1" si="61"/>
        <v>0</v>
      </c>
      <c r="O122" s="45">
        <f t="shared" ca="1" si="61"/>
        <v>0</v>
      </c>
      <c r="P122" s="302">
        <f t="shared" ca="1" si="57"/>
        <v>0</v>
      </c>
      <c r="R122" s="45">
        <f t="shared" ca="1" si="65"/>
        <v>0</v>
      </c>
      <c r="S122" s="45">
        <f t="shared" ca="1" si="65"/>
        <v>0</v>
      </c>
      <c r="T122" s="45">
        <f t="shared" ca="1" si="65"/>
        <v>0</v>
      </c>
      <c r="U122" s="45">
        <f t="shared" ca="1" si="65"/>
        <v>0</v>
      </c>
      <c r="V122" s="45">
        <f t="shared" ca="1" si="65"/>
        <v>0</v>
      </c>
      <c r="W122" s="45">
        <f t="shared" ca="1" si="65"/>
        <v>0</v>
      </c>
      <c r="X122" s="45">
        <f t="shared" ca="1" si="65"/>
        <v>0</v>
      </c>
      <c r="Y122" s="45">
        <f t="shared" ca="1" si="63"/>
        <v>0</v>
      </c>
      <c r="Z122" s="45">
        <f t="shared" ca="1" si="63"/>
        <v>0</v>
      </c>
      <c r="AA122" s="302">
        <f t="shared" ca="1" si="58"/>
        <v>0</v>
      </c>
    </row>
    <row r="123" spans="4:27" ht="12" customHeight="1" x14ac:dyDescent="0.25">
      <c r="D123" s="43">
        <f t="shared" si="59"/>
        <v>112</v>
      </c>
      <c r="E123" s="63">
        <f t="shared" si="55"/>
        <v>28</v>
      </c>
      <c r="F123" s="43">
        <f t="shared" si="56"/>
        <v>93</v>
      </c>
      <c r="G123" s="45">
        <f t="shared" ca="1" si="64"/>
        <v>0</v>
      </c>
      <c r="H123" s="45">
        <f t="shared" ca="1" si="64"/>
        <v>0</v>
      </c>
      <c r="I123" s="45">
        <f t="shared" ca="1" si="64"/>
        <v>0</v>
      </c>
      <c r="J123" s="45">
        <f t="shared" ca="1" si="64"/>
        <v>0</v>
      </c>
      <c r="K123" s="45">
        <f t="shared" ca="1" si="64"/>
        <v>0</v>
      </c>
      <c r="L123" s="45">
        <f t="shared" ca="1" si="64"/>
        <v>0</v>
      </c>
      <c r="M123" s="45">
        <f t="shared" ca="1" si="64"/>
        <v>0</v>
      </c>
      <c r="N123" s="45">
        <f t="shared" ca="1" si="61"/>
        <v>0</v>
      </c>
      <c r="O123" s="45">
        <f t="shared" ca="1" si="61"/>
        <v>0</v>
      </c>
      <c r="P123" s="302">
        <f t="shared" ca="1" si="57"/>
        <v>0</v>
      </c>
      <c r="R123" s="45">
        <f t="shared" ca="1" si="65"/>
        <v>0</v>
      </c>
      <c r="S123" s="45">
        <f t="shared" ca="1" si="65"/>
        <v>0</v>
      </c>
      <c r="T123" s="45">
        <f t="shared" ca="1" si="65"/>
        <v>0</v>
      </c>
      <c r="U123" s="45">
        <f t="shared" ca="1" si="65"/>
        <v>0</v>
      </c>
      <c r="V123" s="45">
        <f t="shared" ca="1" si="65"/>
        <v>0</v>
      </c>
      <c r="W123" s="45">
        <f t="shared" ca="1" si="65"/>
        <v>0</v>
      </c>
      <c r="X123" s="45">
        <f t="shared" ca="1" si="65"/>
        <v>0</v>
      </c>
      <c r="Y123" s="45">
        <f t="shared" ca="1" si="63"/>
        <v>0</v>
      </c>
      <c r="Z123" s="45">
        <f t="shared" ca="1" si="63"/>
        <v>0</v>
      </c>
      <c r="AA123" s="302">
        <f t="shared" ca="1" si="58"/>
        <v>0</v>
      </c>
    </row>
    <row r="124" spans="4:27" ht="12" customHeight="1" x14ac:dyDescent="0.25">
      <c r="D124" s="43">
        <f t="shared" si="59"/>
        <v>113</v>
      </c>
      <c r="E124" s="63">
        <f t="shared" si="55"/>
        <v>28.25</v>
      </c>
      <c r="F124" s="43">
        <f t="shared" si="56"/>
        <v>93.25</v>
      </c>
      <c r="G124" s="45">
        <f t="shared" ca="1" si="64"/>
        <v>0</v>
      </c>
      <c r="H124" s="45">
        <f t="shared" ca="1" si="64"/>
        <v>0</v>
      </c>
      <c r="I124" s="45">
        <f t="shared" ca="1" si="64"/>
        <v>0</v>
      </c>
      <c r="J124" s="45">
        <f t="shared" ca="1" si="64"/>
        <v>0</v>
      </c>
      <c r="K124" s="45">
        <f t="shared" ca="1" si="64"/>
        <v>0</v>
      </c>
      <c r="L124" s="45">
        <f t="shared" ca="1" si="64"/>
        <v>0</v>
      </c>
      <c r="M124" s="45">
        <f t="shared" ca="1" si="64"/>
        <v>0</v>
      </c>
      <c r="N124" s="45">
        <f t="shared" ca="1" si="61"/>
        <v>0</v>
      </c>
      <c r="O124" s="45">
        <f t="shared" ca="1" si="61"/>
        <v>0</v>
      </c>
      <c r="P124" s="302">
        <f t="shared" ca="1" si="57"/>
        <v>0</v>
      </c>
      <c r="R124" s="45">
        <f t="shared" ca="1" si="65"/>
        <v>0</v>
      </c>
      <c r="S124" s="45">
        <f t="shared" ca="1" si="65"/>
        <v>0</v>
      </c>
      <c r="T124" s="45">
        <f t="shared" ca="1" si="65"/>
        <v>0</v>
      </c>
      <c r="U124" s="45">
        <f t="shared" ca="1" si="65"/>
        <v>0</v>
      </c>
      <c r="V124" s="45">
        <f t="shared" ca="1" si="65"/>
        <v>0</v>
      </c>
      <c r="W124" s="45">
        <f t="shared" ca="1" si="65"/>
        <v>0</v>
      </c>
      <c r="X124" s="45">
        <f t="shared" ca="1" si="65"/>
        <v>0</v>
      </c>
      <c r="Y124" s="45">
        <f t="shared" ca="1" si="63"/>
        <v>0</v>
      </c>
      <c r="Z124" s="45">
        <f t="shared" ca="1" si="63"/>
        <v>0</v>
      </c>
      <c r="AA124" s="302">
        <f t="shared" ca="1" si="58"/>
        <v>0</v>
      </c>
    </row>
    <row r="125" spans="4:27" ht="12" customHeight="1" x14ac:dyDescent="0.25">
      <c r="D125" s="43">
        <f t="shared" si="59"/>
        <v>114</v>
      </c>
      <c r="E125" s="63">
        <f t="shared" si="55"/>
        <v>28.5</v>
      </c>
      <c r="F125" s="43">
        <f t="shared" si="56"/>
        <v>93.5</v>
      </c>
      <c r="G125" s="45">
        <f t="shared" ca="1" si="64"/>
        <v>0</v>
      </c>
      <c r="H125" s="45">
        <f t="shared" ca="1" si="64"/>
        <v>0</v>
      </c>
      <c r="I125" s="45">
        <f t="shared" ca="1" si="64"/>
        <v>0</v>
      </c>
      <c r="J125" s="45">
        <f t="shared" ca="1" si="64"/>
        <v>0</v>
      </c>
      <c r="K125" s="45">
        <f t="shared" ca="1" si="64"/>
        <v>0</v>
      </c>
      <c r="L125" s="45">
        <f t="shared" ca="1" si="64"/>
        <v>0</v>
      </c>
      <c r="M125" s="45">
        <f t="shared" ca="1" si="64"/>
        <v>0</v>
      </c>
      <c r="N125" s="45">
        <f t="shared" ca="1" si="61"/>
        <v>0</v>
      </c>
      <c r="O125" s="45">
        <f t="shared" ca="1" si="61"/>
        <v>0</v>
      </c>
      <c r="P125" s="302">
        <f t="shared" ca="1" si="57"/>
        <v>0</v>
      </c>
      <c r="R125" s="45">
        <f t="shared" ca="1" si="65"/>
        <v>0</v>
      </c>
      <c r="S125" s="45">
        <f t="shared" ca="1" si="65"/>
        <v>0</v>
      </c>
      <c r="T125" s="45">
        <f t="shared" ca="1" si="65"/>
        <v>0</v>
      </c>
      <c r="U125" s="45">
        <f t="shared" ca="1" si="65"/>
        <v>0</v>
      </c>
      <c r="V125" s="45">
        <f t="shared" ca="1" si="65"/>
        <v>0</v>
      </c>
      <c r="W125" s="45">
        <f t="shared" ca="1" si="65"/>
        <v>0</v>
      </c>
      <c r="X125" s="45">
        <f t="shared" ca="1" si="65"/>
        <v>0</v>
      </c>
      <c r="Y125" s="45">
        <f t="shared" ca="1" si="63"/>
        <v>0</v>
      </c>
      <c r="Z125" s="45">
        <f t="shared" ca="1" si="63"/>
        <v>0</v>
      </c>
      <c r="AA125" s="302">
        <f t="shared" ca="1" si="58"/>
        <v>0</v>
      </c>
    </row>
    <row r="126" spans="4:27" ht="12" customHeight="1" x14ac:dyDescent="0.25">
      <c r="D126" s="43">
        <f t="shared" si="59"/>
        <v>115</v>
      </c>
      <c r="E126" s="63">
        <f t="shared" si="55"/>
        <v>28.75</v>
      </c>
      <c r="F126" s="43">
        <f t="shared" si="56"/>
        <v>93.75</v>
      </c>
      <c r="G126" s="45">
        <f t="shared" ca="1" si="64"/>
        <v>0</v>
      </c>
      <c r="H126" s="45">
        <f t="shared" ca="1" si="64"/>
        <v>0</v>
      </c>
      <c r="I126" s="45">
        <f t="shared" ca="1" si="64"/>
        <v>0</v>
      </c>
      <c r="J126" s="45">
        <f t="shared" ca="1" si="64"/>
        <v>0</v>
      </c>
      <c r="K126" s="45">
        <f t="shared" ca="1" si="64"/>
        <v>0</v>
      </c>
      <c r="L126" s="45">
        <f t="shared" ca="1" si="64"/>
        <v>0</v>
      </c>
      <c r="M126" s="45">
        <f t="shared" ca="1" si="64"/>
        <v>0</v>
      </c>
      <c r="N126" s="45">
        <f t="shared" ca="1" si="61"/>
        <v>0</v>
      </c>
      <c r="O126" s="45">
        <f t="shared" ca="1" si="61"/>
        <v>0</v>
      </c>
      <c r="P126" s="302">
        <f t="shared" ca="1" si="57"/>
        <v>0</v>
      </c>
      <c r="R126" s="45">
        <f t="shared" ca="1" si="65"/>
        <v>0</v>
      </c>
      <c r="S126" s="45">
        <f t="shared" ca="1" si="65"/>
        <v>0</v>
      </c>
      <c r="T126" s="45">
        <f t="shared" ca="1" si="65"/>
        <v>0</v>
      </c>
      <c r="U126" s="45">
        <f t="shared" ca="1" si="65"/>
        <v>0</v>
      </c>
      <c r="V126" s="45">
        <f t="shared" ca="1" si="65"/>
        <v>0</v>
      </c>
      <c r="W126" s="45">
        <f t="shared" ca="1" si="65"/>
        <v>0</v>
      </c>
      <c r="X126" s="45">
        <f t="shared" ca="1" si="65"/>
        <v>0</v>
      </c>
      <c r="Y126" s="45">
        <f t="shared" ca="1" si="63"/>
        <v>0</v>
      </c>
      <c r="Z126" s="45">
        <f t="shared" ca="1" si="63"/>
        <v>0</v>
      </c>
      <c r="AA126" s="302">
        <f t="shared" ca="1" si="58"/>
        <v>0</v>
      </c>
    </row>
    <row r="127" spans="4:27" ht="12" customHeight="1" x14ac:dyDescent="0.25">
      <c r="D127" s="43">
        <f t="shared" si="59"/>
        <v>116</v>
      </c>
      <c r="E127" s="63">
        <f t="shared" si="55"/>
        <v>29</v>
      </c>
      <c r="F127" s="43">
        <f t="shared" si="56"/>
        <v>94</v>
      </c>
      <c r="G127" s="45">
        <f t="shared" ca="1" si="64"/>
        <v>0</v>
      </c>
      <c r="H127" s="45">
        <f t="shared" ca="1" si="64"/>
        <v>0</v>
      </c>
      <c r="I127" s="45">
        <f t="shared" ca="1" si="64"/>
        <v>0</v>
      </c>
      <c r="J127" s="45">
        <f t="shared" ca="1" si="64"/>
        <v>0</v>
      </c>
      <c r="K127" s="45">
        <f t="shared" ca="1" si="64"/>
        <v>0</v>
      </c>
      <c r="L127" s="45">
        <f t="shared" ca="1" si="64"/>
        <v>0</v>
      </c>
      <c r="M127" s="45">
        <f t="shared" ca="1" si="64"/>
        <v>0</v>
      </c>
      <c r="N127" s="45">
        <f t="shared" ca="1" si="61"/>
        <v>0</v>
      </c>
      <c r="O127" s="45">
        <f t="shared" ca="1" si="61"/>
        <v>0</v>
      </c>
      <c r="P127" s="302">
        <f t="shared" ca="1" si="57"/>
        <v>0</v>
      </c>
      <c r="R127" s="45">
        <f t="shared" ca="1" si="65"/>
        <v>0</v>
      </c>
      <c r="S127" s="45">
        <f t="shared" ca="1" si="65"/>
        <v>0</v>
      </c>
      <c r="T127" s="45">
        <f t="shared" ca="1" si="65"/>
        <v>0</v>
      </c>
      <c r="U127" s="45">
        <f t="shared" ca="1" si="65"/>
        <v>0</v>
      </c>
      <c r="V127" s="45">
        <f t="shared" ca="1" si="65"/>
        <v>0</v>
      </c>
      <c r="W127" s="45">
        <f t="shared" ca="1" si="65"/>
        <v>0</v>
      </c>
      <c r="X127" s="45">
        <f t="shared" ca="1" si="65"/>
        <v>0</v>
      </c>
      <c r="Y127" s="45">
        <f t="shared" ca="1" si="63"/>
        <v>0</v>
      </c>
      <c r="Z127" s="45">
        <f t="shared" ca="1" si="63"/>
        <v>0</v>
      </c>
      <c r="AA127" s="302">
        <f t="shared" ca="1" si="58"/>
        <v>0</v>
      </c>
    </row>
    <row r="128" spans="4:27" ht="12" customHeight="1" x14ac:dyDescent="0.25">
      <c r="D128" s="43">
        <f t="shared" si="59"/>
        <v>117</v>
      </c>
      <c r="E128" s="63">
        <f t="shared" si="55"/>
        <v>29.25</v>
      </c>
      <c r="F128" s="43">
        <f t="shared" si="56"/>
        <v>94.25</v>
      </c>
      <c r="G128" s="45">
        <f t="shared" ca="1" si="64"/>
        <v>0</v>
      </c>
      <c r="H128" s="45">
        <f t="shared" ca="1" si="64"/>
        <v>0</v>
      </c>
      <c r="I128" s="45">
        <f t="shared" ca="1" si="64"/>
        <v>0</v>
      </c>
      <c r="J128" s="45">
        <f t="shared" ca="1" si="64"/>
        <v>0</v>
      </c>
      <c r="K128" s="45">
        <f t="shared" ca="1" si="64"/>
        <v>0</v>
      </c>
      <c r="L128" s="45">
        <f t="shared" ca="1" si="64"/>
        <v>0</v>
      </c>
      <c r="M128" s="45">
        <f t="shared" ca="1" si="64"/>
        <v>0</v>
      </c>
      <c r="N128" s="45">
        <f t="shared" ca="1" si="61"/>
        <v>0</v>
      </c>
      <c r="O128" s="45">
        <f t="shared" ca="1" si="61"/>
        <v>0</v>
      </c>
      <c r="P128" s="302">
        <f t="shared" ca="1" si="57"/>
        <v>0</v>
      </c>
      <c r="R128" s="45">
        <f t="shared" ca="1" si="65"/>
        <v>0</v>
      </c>
      <c r="S128" s="45">
        <f t="shared" ca="1" si="65"/>
        <v>0</v>
      </c>
      <c r="T128" s="45">
        <f t="shared" ca="1" si="65"/>
        <v>0</v>
      </c>
      <c r="U128" s="45">
        <f t="shared" ca="1" si="65"/>
        <v>0</v>
      </c>
      <c r="V128" s="45">
        <f t="shared" ca="1" si="65"/>
        <v>0</v>
      </c>
      <c r="W128" s="45">
        <f t="shared" ca="1" si="65"/>
        <v>0</v>
      </c>
      <c r="X128" s="45">
        <f t="shared" ca="1" si="65"/>
        <v>0</v>
      </c>
      <c r="Y128" s="45">
        <f t="shared" ca="1" si="63"/>
        <v>0</v>
      </c>
      <c r="Z128" s="45">
        <f t="shared" ca="1" si="63"/>
        <v>0</v>
      </c>
      <c r="AA128" s="302">
        <f t="shared" ca="1" si="58"/>
        <v>0</v>
      </c>
    </row>
    <row r="129" spans="4:27" ht="12" customHeight="1" x14ac:dyDescent="0.25">
      <c r="D129" s="43">
        <f t="shared" si="59"/>
        <v>118</v>
      </c>
      <c r="E129" s="63">
        <f t="shared" si="55"/>
        <v>29.5</v>
      </c>
      <c r="F129" s="43">
        <f t="shared" si="56"/>
        <v>94.5</v>
      </c>
      <c r="G129" s="45">
        <f t="shared" ca="1" si="64"/>
        <v>0</v>
      </c>
      <c r="H129" s="45">
        <f t="shared" ca="1" si="64"/>
        <v>0</v>
      </c>
      <c r="I129" s="45">
        <f t="shared" ca="1" si="64"/>
        <v>0</v>
      </c>
      <c r="J129" s="45">
        <f t="shared" ca="1" si="64"/>
        <v>0</v>
      </c>
      <c r="K129" s="45">
        <f t="shared" ca="1" si="64"/>
        <v>0</v>
      </c>
      <c r="L129" s="45">
        <f t="shared" ca="1" si="64"/>
        <v>0</v>
      </c>
      <c r="M129" s="45">
        <f t="shared" ca="1" si="64"/>
        <v>0</v>
      </c>
      <c r="N129" s="45">
        <f t="shared" ca="1" si="61"/>
        <v>0</v>
      </c>
      <c r="O129" s="45">
        <f t="shared" ca="1" si="61"/>
        <v>0</v>
      </c>
      <c r="P129" s="302">
        <f t="shared" ca="1" si="57"/>
        <v>0</v>
      </c>
      <c r="R129" s="45">
        <f t="shared" ca="1" si="65"/>
        <v>0</v>
      </c>
      <c r="S129" s="45">
        <f t="shared" ca="1" si="65"/>
        <v>0</v>
      </c>
      <c r="T129" s="45">
        <f t="shared" ca="1" si="65"/>
        <v>0</v>
      </c>
      <c r="U129" s="45">
        <f t="shared" ca="1" si="65"/>
        <v>0</v>
      </c>
      <c r="V129" s="45">
        <f t="shared" ca="1" si="65"/>
        <v>0</v>
      </c>
      <c r="W129" s="45">
        <f t="shared" ca="1" si="65"/>
        <v>0</v>
      </c>
      <c r="X129" s="45">
        <f t="shared" ca="1" si="65"/>
        <v>0</v>
      </c>
      <c r="Y129" s="45">
        <f t="shared" ca="1" si="63"/>
        <v>0</v>
      </c>
      <c r="Z129" s="45">
        <f t="shared" ca="1" si="63"/>
        <v>0</v>
      </c>
      <c r="AA129" s="302">
        <f t="shared" ca="1" si="58"/>
        <v>0</v>
      </c>
    </row>
    <row r="130" spans="4:27" ht="12" customHeight="1" x14ac:dyDescent="0.25">
      <c r="D130" s="43">
        <f t="shared" si="59"/>
        <v>119</v>
      </c>
      <c r="E130" s="63">
        <f t="shared" si="55"/>
        <v>29.75</v>
      </c>
      <c r="F130" s="43">
        <f t="shared" si="56"/>
        <v>94.75</v>
      </c>
      <c r="G130" s="45">
        <f t="shared" ca="1" si="64"/>
        <v>0</v>
      </c>
      <c r="H130" s="45">
        <f t="shared" ca="1" si="64"/>
        <v>0</v>
      </c>
      <c r="I130" s="45">
        <f t="shared" ca="1" si="64"/>
        <v>0</v>
      </c>
      <c r="J130" s="45">
        <f t="shared" ca="1" si="64"/>
        <v>0</v>
      </c>
      <c r="K130" s="45">
        <f t="shared" ca="1" si="64"/>
        <v>0</v>
      </c>
      <c r="L130" s="45">
        <f t="shared" ca="1" si="64"/>
        <v>0</v>
      </c>
      <c r="M130" s="45">
        <f t="shared" ca="1" si="64"/>
        <v>0</v>
      </c>
      <c r="N130" s="45">
        <f t="shared" ca="1" si="61"/>
        <v>0</v>
      </c>
      <c r="O130" s="45">
        <f t="shared" ca="1" si="61"/>
        <v>0</v>
      </c>
      <c r="P130" s="302">
        <f t="shared" ca="1" si="57"/>
        <v>0</v>
      </c>
      <c r="R130" s="45">
        <f t="shared" ca="1" si="65"/>
        <v>0</v>
      </c>
      <c r="S130" s="45">
        <f t="shared" ca="1" si="65"/>
        <v>0</v>
      </c>
      <c r="T130" s="45">
        <f t="shared" ca="1" si="65"/>
        <v>0</v>
      </c>
      <c r="U130" s="45">
        <f t="shared" ca="1" si="65"/>
        <v>0</v>
      </c>
      <c r="V130" s="45">
        <f t="shared" ca="1" si="65"/>
        <v>0</v>
      </c>
      <c r="W130" s="45">
        <f t="shared" ca="1" si="65"/>
        <v>0</v>
      </c>
      <c r="X130" s="45">
        <f t="shared" ca="1" si="65"/>
        <v>0</v>
      </c>
      <c r="Y130" s="45">
        <f t="shared" ca="1" si="63"/>
        <v>0</v>
      </c>
      <c r="Z130" s="45">
        <f t="shared" ca="1" si="63"/>
        <v>0</v>
      </c>
      <c r="AA130" s="302">
        <f t="shared" ca="1" si="58"/>
        <v>0</v>
      </c>
    </row>
    <row r="131" spans="4:27" ht="12" customHeight="1" x14ac:dyDescent="0.25">
      <c r="D131" s="43">
        <f t="shared" si="59"/>
        <v>120</v>
      </c>
      <c r="E131" s="63">
        <f t="shared" si="55"/>
        <v>30</v>
      </c>
      <c r="F131" s="43">
        <f t="shared" si="56"/>
        <v>95</v>
      </c>
      <c r="G131" s="45">
        <f t="shared" ca="1" si="64"/>
        <v>0</v>
      </c>
      <c r="H131" s="45">
        <f t="shared" ca="1" si="64"/>
        <v>0</v>
      </c>
      <c r="I131" s="45">
        <f t="shared" ca="1" si="64"/>
        <v>0</v>
      </c>
      <c r="J131" s="45">
        <f t="shared" ca="1" si="64"/>
        <v>0</v>
      </c>
      <c r="K131" s="45">
        <f t="shared" ca="1" si="64"/>
        <v>0</v>
      </c>
      <c r="L131" s="45">
        <f t="shared" ca="1" si="64"/>
        <v>0</v>
      </c>
      <c r="M131" s="45">
        <f t="shared" ca="1" si="64"/>
        <v>0</v>
      </c>
      <c r="N131" s="45">
        <f t="shared" ca="1" si="61"/>
        <v>0</v>
      </c>
      <c r="O131" s="45">
        <f t="shared" ca="1" si="61"/>
        <v>0</v>
      </c>
      <c r="P131" s="302">
        <f t="shared" ca="1" si="57"/>
        <v>0</v>
      </c>
      <c r="R131" s="45">
        <f t="shared" ca="1" si="65"/>
        <v>0</v>
      </c>
      <c r="S131" s="45">
        <f t="shared" ca="1" si="65"/>
        <v>0</v>
      </c>
      <c r="T131" s="45">
        <f t="shared" ca="1" si="65"/>
        <v>0</v>
      </c>
      <c r="U131" s="45">
        <f t="shared" ca="1" si="65"/>
        <v>0</v>
      </c>
      <c r="V131" s="45">
        <f t="shared" ca="1" si="65"/>
        <v>0</v>
      </c>
      <c r="W131" s="45">
        <f t="shared" ca="1" si="65"/>
        <v>0</v>
      </c>
      <c r="X131" s="45">
        <f t="shared" ca="1" si="65"/>
        <v>0</v>
      </c>
      <c r="Y131" s="45">
        <f t="shared" ca="1" si="63"/>
        <v>0</v>
      </c>
      <c r="Z131" s="45">
        <f t="shared" ca="1" si="63"/>
        <v>0</v>
      </c>
      <c r="AA131" s="302">
        <f t="shared" ca="1" si="58"/>
        <v>0</v>
      </c>
    </row>
  </sheetData>
  <mergeCells count="25">
    <mergeCell ref="F7:F10"/>
    <mergeCell ref="D7:D10"/>
    <mergeCell ref="G7:P7"/>
    <mergeCell ref="G8:G10"/>
    <mergeCell ref="H8:H10"/>
    <mergeCell ref="I8:I10"/>
    <mergeCell ref="J8:J10"/>
    <mergeCell ref="K8:K10"/>
    <mergeCell ref="L8:L10"/>
    <mergeCell ref="M8:M10"/>
    <mergeCell ref="O8:O10"/>
    <mergeCell ref="E7:E10"/>
    <mergeCell ref="N8:N10"/>
    <mergeCell ref="R7:AA7"/>
    <mergeCell ref="AA8:AA10"/>
    <mergeCell ref="R8:R10"/>
    <mergeCell ref="P8:P10"/>
    <mergeCell ref="S8:S10"/>
    <mergeCell ref="Y8:Y10"/>
    <mergeCell ref="Z8:Z10"/>
    <mergeCell ref="T8:T10"/>
    <mergeCell ref="U8:U10"/>
    <mergeCell ref="V8:V10"/>
    <mergeCell ref="W8:W10"/>
    <mergeCell ref="X8:X10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5BBF-4F79-4F67-8697-E66B0982AB5E}">
  <sheetPr codeName="shtTraceCosts8">
    <tabColor rgb="FF00B0F0"/>
  </sheetPr>
  <dimension ref="A1:AA131"/>
  <sheetViews>
    <sheetView workbookViewId="0">
      <pane xSplit="6" ySplit="10" topLeftCell="G11" activePane="bottomRight" state="frozen"/>
      <selection activeCell="J14" sqref="J14"/>
      <selection pane="topRight" activeCell="J14" sqref="J14"/>
      <selection pane="bottomLeft" activeCell="J14" sqref="J14"/>
      <selection pane="bottomRight" activeCell="G11" sqref="G11"/>
    </sheetView>
  </sheetViews>
  <sheetFormatPr defaultColWidth="9.28515625" defaultRowHeight="12" customHeight="1" x14ac:dyDescent="0.25"/>
  <cols>
    <col min="1" max="1" width="1.7109375" style="310" customWidth="1"/>
    <col min="2" max="2" width="19.7109375" style="310" customWidth="1"/>
    <col min="3" max="3" width="1.7109375" style="309" customWidth="1"/>
    <col min="7" max="8" width="9.140625" customWidth="1"/>
    <col min="9" max="9" width="10" customWidth="1"/>
    <col min="10" max="11" width="9.140625" customWidth="1"/>
    <col min="12" max="12" width="10" customWidth="1"/>
    <col min="13" max="15" width="9.140625" customWidth="1"/>
    <col min="16" max="16" width="10.85546875" style="49" customWidth="1"/>
    <col min="17" max="17" width="1.7109375" customWidth="1"/>
    <col min="18" max="19" width="9.140625" customWidth="1"/>
    <col min="20" max="20" width="10" customWidth="1"/>
    <col min="21" max="22" width="9.140625" customWidth="1"/>
    <col min="23" max="23" width="10" customWidth="1"/>
    <col min="24" max="26" width="9.140625" customWidth="1"/>
    <col min="27" max="27" width="10.85546875" style="49" customWidth="1"/>
    <col min="28" max="28" width="1.7109375" customWidth="1"/>
  </cols>
  <sheetData>
    <row r="1" spans="1:27" s="311" customFormat="1" ht="24.95" customHeight="1" thickBot="1" x14ac:dyDescent="0.3">
      <c r="A1" s="312"/>
      <c r="B1" s="310"/>
      <c r="C1" s="312"/>
      <c r="D1" s="311" t="str">
        <f>D.zWorkbookTitle</f>
        <v>Camacho et al. (2024) Harms of hazardous prescribing of NSAIDs -- D: NSAIDs - HF</v>
      </c>
      <c r="P1" s="322"/>
      <c r="AA1" s="322"/>
    </row>
    <row r="2" spans="1:27" ht="12" hidden="1" customHeight="1" thickTop="1" x14ac:dyDescent="0.25">
      <c r="D2">
        <f>COLUMNS(G2:Q2)</f>
        <v>11</v>
      </c>
      <c r="F2" t="s">
        <v>80</v>
      </c>
      <c r="G2">
        <f>MAX($F$2:F2)+1</f>
        <v>1</v>
      </c>
      <c r="H2">
        <f t="shared" ref="H2:O2" si="0">G2</f>
        <v>1</v>
      </c>
      <c r="I2">
        <f t="shared" si="0"/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/>
      <c r="R2">
        <f>MAX($F$2:Q2)+1</f>
        <v>2</v>
      </c>
      <c r="S2">
        <f t="shared" ref="S2:Z2" si="1">R2</f>
        <v>2</v>
      </c>
      <c r="T2">
        <f t="shared" si="1"/>
        <v>2</v>
      </c>
      <c r="U2">
        <f t="shared" si="1"/>
        <v>2</v>
      </c>
      <c r="V2">
        <f t="shared" si="1"/>
        <v>2</v>
      </c>
      <c r="W2">
        <f t="shared" si="1"/>
        <v>2</v>
      </c>
      <c r="X2">
        <f t="shared" si="1"/>
        <v>2</v>
      </c>
      <c r="Y2">
        <f t="shared" si="1"/>
        <v>2</v>
      </c>
      <c r="Z2">
        <f t="shared" si="1"/>
        <v>2</v>
      </c>
      <c r="AA2"/>
    </row>
    <row r="3" spans="1:27" ht="12" hidden="1" customHeight="1" x14ac:dyDescent="0.25">
      <c r="F3" t="s">
        <v>79</v>
      </c>
      <c r="G3">
        <v>1</v>
      </c>
      <c r="H3">
        <f t="shared" ref="H3:O3" si="2">G3+1</f>
        <v>2</v>
      </c>
      <c r="I3">
        <f t="shared" si="2"/>
        <v>3</v>
      </c>
      <c r="J3">
        <f t="shared" si="2"/>
        <v>4</v>
      </c>
      <c r="K3">
        <f t="shared" si="2"/>
        <v>5</v>
      </c>
      <c r="L3">
        <f t="shared" si="2"/>
        <v>6</v>
      </c>
      <c r="M3">
        <f t="shared" si="2"/>
        <v>7</v>
      </c>
      <c r="N3">
        <f t="shared" si="2"/>
        <v>8</v>
      </c>
      <c r="O3">
        <f t="shared" si="2"/>
        <v>9</v>
      </c>
      <c r="P3"/>
      <c r="R3">
        <v>1</v>
      </c>
      <c r="S3">
        <f t="shared" ref="S3:Z3" si="3">R3+1</f>
        <v>2</v>
      </c>
      <c r="T3">
        <f t="shared" si="3"/>
        <v>3</v>
      </c>
      <c r="U3">
        <f t="shared" si="3"/>
        <v>4</v>
      </c>
      <c r="V3">
        <f t="shared" si="3"/>
        <v>5</v>
      </c>
      <c r="W3">
        <f t="shared" si="3"/>
        <v>6</v>
      </c>
      <c r="X3">
        <f t="shared" si="3"/>
        <v>7</v>
      </c>
      <c r="Y3">
        <f t="shared" si="3"/>
        <v>8</v>
      </c>
      <c r="Z3">
        <f t="shared" si="3"/>
        <v>9</v>
      </c>
      <c r="AA3"/>
    </row>
    <row r="4" spans="1:27" ht="12" customHeight="1" thickTop="1" x14ac:dyDescent="0.25">
      <c r="G4" s="42">
        <f t="shared" ref="G4:O4" si="4">INDEX(D.rngC.ByState, G$3)</f>
        <v>16.764516</v>
      </c>
      <c r="H4" s="42">
        <f t="shared" si="4"/>
        <v>98.257312428571424</v>
      </c>
      <c r="I4" s="42">
        <f t="shared" si="4"/>
        <v>3802.943215672351</v>
      </c>
      <c r="J4" s="42">
        <f t="shared" si="4"/>
        <v>7.6635178571428577</v>
      </c>
      <c r="K4" s="42">
        <f t="shared" si="4"/>
        <v>89.156314285714288</v>
      </c>
      <c r="L4" s="42">
        <f t="shared" si="4"/>
        <v>3793.8422175294936</v>
      </c>
      <c r="M4" s="42">
        <f t="shared" si="4"/>
        <v>16.764516</v>
      </c>
      <c r="N4" s="42">
        <f t="shared" si="4"/>
        <v>7.6635178571428577</v>
      </c>
      <c r="O4" s="42">
        <f t="shared" si="4"/>
        <v>0</v>
      </c>
      <c r="P4"/>
      <c r="R4" s="42">
        <f t="shared" ref="R4:Z4" si="5">INDEX(D.rngC.ByState, R$3)</f>
        <v>16.764516</v>
      </c>
      <c r="S4" s="42">
        <f t="shared" si="5"/>
        <v>98.257312428571424</v>
      </c>
      <c r="T4" s="42">
        <f t="shared" si="5"/>
        <v>3802.943215672351</v>
      </c>
      <c r="U4" s="42">
        <f t="shared" si="5"/>
        <v>7.6635178571428577</v>
      </c>
      <c r="V4" s="42">
        <f t="shared" si="5"/>
        <v>89.156314285714288</v>
      </c>
      <c r="W4" s="42">
        <f t="shared" si="5"/>
        <v>3793.8422175294936</v>
      </c>
      <c r="X4" s="42">
        <f t="shared" si="5"/>
        <v>16.764516</v>
      </c>
      <c r="Y4" s="42">
        <f t="shared" si="5"/>
        <v>7.6635178571428577</v>
      </c>
      <c r="Z4" s="42">
        <f t="shared" si="5"/>
        <v>0</v>
      </c>
      <c r="AA4"/>
    </row>
    <row r="5" spans="1:27" ht="12" customHeight="1" x14ac:dyDescent="0.25">
      <c r="F5" s="56" t="s">
        <v>46</v>
      </c>
      <c r="G5" s="50">
        <f t="shared" ref="G5:P5" ca="1" si="6">SUM(OFFSET(G$11, 0, 0, timeHorizon*D.cyclesPerYear))</f>
        <v>1.4461079903749153E-14</v>
      </c>
      <c r="H5" s="50">
        <f t="shared" ca="1" si="6"/>
        <v>560.1971346151222</v>
      </c>
      <c r="I5" s="50">
        <f t="shared" ca="1" si="6"/>
        <v>13516.188953354133</v>
      </c>
      <c r="J5" s="50">
        <f t="shared" ca="1" si="6"/>
        <v>9.5539503276543911</v>
      </c>
      <c r="K5" s="50">
        <f t="shared" ca="1" si="6"/>
        <v>0</v>
      </c>
      <c r="L5" s="50">
        <f t="shared" ca="1" si="6"/>
        <v>0</v>
      </c>
      <c r="M5" s="50">
        <f t="shared" ca="1" si="6"/>
        <v>143.45819945461255</v>
      </c>
      <c r="N5" s="50">
        <f t="shared" ca="1" si="6"/>
        <v>0</v>
      </c>
      <c r="O5" s="50">
        <f t="shared" ca="1" si="6"/>
        <v>0</v>
      </c>
      <c r="P5" s="50">
        <f t="shared" ca="1" si="6"/>
        <v>14229.398237751526</v>
      </c>
      <c r="R5" s="50">
        <f t="shared" ref="R5:AA5" ca="1" si="7">SUM(OFFSET(R$11, 0, 0, timeHorizon*D.cyclesPerYear))</f>
        <v>25.658728940209233</v>
      </c>
      <c r="S5" s="50">
        <f t="shared" ca="1" si="7"/>
        <v>559.81687809232221</v>
      </c>
      <c r="T5" s="50">
        <f t="shared" ca="1" si="7"/>
        <v>13507.014291979896</v>
      </c>
      <c r="U5" s="50">
        <f t="shared" ca="1" si="7"/>
        <v>0</v>
      </c>
      <c r="V5" s="50">
        <f t="shared" ca="1" si="7"/>
        <v>0</v>
      </c>
      <c r="W5" s="50">
        <f t="shared" ca="1" si="7"/>
        <v>0</v>
      </c>
      <c r="X5" s="50">
        <f t="shared" ca="1" si="7"/>
        <v>143.31279178919391</v>
      </c>
      <c r="Y5" s="50">
        <f t="shared" ca="1" si="7"/>
        <v>0</v>
      </c>
      <c r="Z5" s="50">
        <f t="shared" ca="1" si="7"/>
        <v>0</v>
      </c>
      <c r="AA5" s="50">
        <f t="shared" ca="1" si="7"/>
        <v>14235.802690801625</v>
      </c>
    </row>
    <row r="6" spans="1:27" ht="12" customHeight="1" thickBot="1" x14ac:dyDescent="0.3">
      <c r="F6" s="57" t="s">
        <v>47</v>
      </c>
      <c r="G6" s="50">
        <f t="array" aca="1" ref="G6" ca="1">SUM(OFFSET(G$11, 0, 0, timeHorizon*D.cyclesPerYear) / (1+DQALYs)^(OFFSET($E$11, 0, 0, timeHorizon*D.cyclesPerYear)+D.cycleLength/2))</f>
        <v>1.0295910805673927E-14</v>
      </c>
      <c r="H6" s="50">
        <f t="array" aca="1" ref="H6" ca="1">SUM(OFFSET(H$11, 0, 0, timeHorizon*D.cyclesPerYear) / (1+DQALYs)^(OFFSET($E$11, 0, 0, timeHorizon*D.cyclesPerYear)+D.cycleLength/2))</f>
        <v>495.93742705263725</v>
      </c>
      <c r="I6" s="50">
        <f t="array" aca="1" ref="I6" ca="1">SUM(OFFSET(I$11, 0, 0, timeHorizon*D.cyclesPerYear) / (1+DQALYs)^(OFFSET($E$11, 0, 0, timeHorizon*D.cyclesPerYear)+D.cycleLength/2))</f>
        <v>11965.759121008501</v>
      </c>
      <c r="J6" s="50">
        <f t="array" aca="1" ref="J6" ca="1">SUM(OFFSET(J$11, 0, 0, timeHorizon*D.cyclesPerYear) / (1+DQALYs)^(OFFSET($E$11, 0, 0, timeHorizon*D.cyclesPerYear)+D.cycleLength/2))</f>
        <v>9.4525138244378457</v>
      </c>
      <c r="K6" s="50">
        <f t="array" aca="1" ref="K6" ca="1">SUM(OFFSET(K$11, 0, 0, timeHorizon*D.cyclesPerYear) / (1+DQALYs)^(OFFSET($E$11, 0, 0, timeHorizon*D.cyclesPerYear)+D.cycleLength/2))</f>
        <v>0</v>
      </c>
      <c r="L6" s="50">
        <f t="array" aca="1" ref="L6" ca="1">SUM(OFFSET(L$11, 0, 0, timeHorizon*D.cyclesPerYear) / (1+DQALYs)^(OFFSET($E$11, 0, 0, timeHorizon*D.cyclesPerYear)+D.cycleLength/2))</f>
        <v>0</v>
      </c>
      <c r="M6" s="50">
        <f t="array" aca="1" ref="M6" ca="1">SUM(OFFSET(M$11, 0, 0, timeHorizon*D.cyclesPerYear) / (1+DQALYs)^(OFFSET($E$11, 0, 0, timeHorizon*D.cyclesPerYear)+D.cycleLength/2))</f>
        <v>125.31974929281958</v>
      </c>
      <c r="N6" s="50">
        <f t="array" aca="1" ref="N6" ca="1">SUM(OFFSET(N$11, 0, 0, timeHorizon*D.cyclesPerYear) / (1+DQALYs)^(OFFSET($E$11, 0, 0, timeHorizon*D.cyclesPerYear)+D.cycleLength/2))</f>
        <v>0</v>
      </c>
      <c r="O6" s="50">
        <f t="array" aca="1" ref="O6" ca="1">SUM(OFFSET(O$11, 0, 0, timeHorizon*D.cyclesPerYear) / (1+DQALYs)^(OFFSET($E$11, 0, 0, timeHorizon*D.cyclesPerYear)+D.cycleLength/2))</f>
        <v>0</v>
      </c>
      <c r="P6" s="50">
        <f t="array" aca="1" ref="P6" ca="1">SUM(OFFSET(P$11, 0, 0, timeHorizon*D.cyclesPerYear) / (1+DQALYs)^(OFFSET($E$11, 0, 0, timeHorizon*D.cyclesPerYear)+D.cycleLength/2))</f>
        <v>12596.4688111784</v>
      </c>
      <c r="R6" s="50">
        <f t="array" aca="1" ref="R6" ca="1">SUM(OFFSET(R$11, 0, 0, timeHorizon*D.cyclesPerYear) / (1+DQALYs)^(OFFSET($E$11, 0, 0, timeHorizon*D.cyclesPerYear)+D.cycleLength/2))</f>
        <v>25.325134639034893</v>
      </c>
      <c r="S6" s="50">
        <f t="array" aca="1" ref="S6" ca="1">SUM(OFFSET(S$11, 0, 0, timeHorizon*D.cyclesPerYear) / (1+DQALYs)^(OFFSET($E$11, 0, 0, timeHorizon*D.cyclesPerYear)+D.cycleLength/2))</f>
        <v>494.69903691505681</v>
      </c>
      <c r="T6" s="50">
        <f t="array" aca="1" ref="T6" ca="1">SUM(OFFSET(T$11, 0, 0, timeHorizon*D.cyclesPerYear) / (1+DQALYs)^(OFFSET($E$11, 0, 0, timeHorizon*D.cyclesPerYear)+D.cycleLength/2))</f>
        <v>11935.879790924089</v>
      </c>
      <c r="U6" s="50">
        <f t="array" aca="1" ref="U6" ca="1">SUM(OFFSET(U$11, 0, 0, timeHorizon*D.cyclesPerYear) / (1+DQALYs)^(OFFSET($E$11, 0, 0, timeHorizon*D.cyclesPerYear)+D.cycleLength/2))</f>
        <v>0</v>
      </c>
      <c r="V6" s="50">
        <f t="array" aca="1" ref="V6" ca="1">SUM(OFFSET(V$11, 0, 0, timeHorizon*D.cyclesPerYear) / (1+DQALYs)^(OFFSET($E$11, 0, 0, timeHorizon*D.cyclesPerYear)+D.cycleLength/2))</f>
        <v>0</v>
      </c>
      <c r="W6" s="50">
        <f t="array" aca="1" ref="W6" ca="1">SUM(OFFSET(W$11, 0, 0, timeHorizon*D.cyclesPerYear) / (1+DQALYs)^(OFFSET($E$11, 0, 0, timeHorizon*D.cyclesPerYear)+D.cycleLength/2))</f>
        <v>0</v>
      </c>
      <c r="X6" s="50">
        <f t="array" aca="1" ref="X6" ca="1">SUM(OFFSET(X$11, 0, 0, timeHorizon*D.cyclesPerYear) / (1+DQALYs)^(OFFSET($E$11, 0, 0, timeHorizon*D.cyclesPerYear)+D.cycleLength/2))</f>
        <v>124.96942705893815</v>
      </c>
      <c r="Y6" s="50">
        <f t="array" aca="1" ref="Y6" ca="1">SUM(OFFSET(Y$11, 0, 0, timeHorizon*D.cyclesPerYear) / (1+DQALYs)^(OFFSET($E$11, 0, 0, timeHorizon*D.cyclesPerYear)+D.cycleLength/2))</f>
        <v>0</v>
      </c>
      <c r="Z6" s="50">
        <f t="array" aca="1" ref="Z6" ca="1">SUM(OFFSET(Z$11, 0, 0, timeHorizon*D.cyclesPerYear) / (1+DQALYs)^(OFFSET($E$11, 0, 0, timeHorizon*D.cyclesPerYear)+D.cycleLength/2))</f>
        <v>0</v>
      </c>
      <c r="AA6" s="50">
        <f t="array" aca="1" ref="AA6" ca="1">SUM(OFFSET(AA$11, 0, 0, timeHorizon*D.cyclesPerYear) / (1+DQALYs)^(OFFSET($E$11, 0, 0, timeHorizon*D.cyclesPerYear)+D.cycleLength/2))</f>
        <v>12580.873389537121</v>
      </c>
    </row>
    <row r="7" spans="1:27" ht="12" customHeight="1" thickBot="1" x14ac:dyDescent="0.3">
      <c r="D7" s="531" t="s">
        <v>31</v>
      </c>
      <c r="E7" s="446" t="s">
        <v>92</v>
      </c>
      <c r="F7" s="446" t="s">
        <v>30</v>
      </c>
      <c r="G7" s="438" t="str">
        <f>INDEX(rngStrats, G2)</f>
        <v>HPE</v>
      </c>
      <c r="H7" s="438"/>
      <c r="I7" s="438"/>
      <c r="J7" s="438"/>
      <c r="K7" s="438"/>
      <c r="L7" s="438"/>
      <c r="M7" s="438"/>
      <c r="N7" s="438"/>
      <c r="O7" s="438"/>
      <c r="P7" s="438"/>
      <c r="R7" s="438" t="str">
        <f>INDEX(rngStrats, R2)</f>
        <v>No HPE</v>
      </c>
      <c r="S7" s="438"/>
      <c r="T7" s="438"/>
      <c r="U7" s="438"/>
      <c r="V7" s="438"/>
      <c r="W7" s="438"/>
      <c r="X7" s="438"/>
      <c r="Y7" s="438"/>
      <c r="Z7" s="438"/>
      <c r="AA7" s="438"/>
    </row>
    <row r="8" spans="1:27" ht="12" customHeight="1" x14ac:dyDescent="0.25">
      <c r="D8" s="532"/>
      <c r="E8" s="466"/>
      <c r="F8" s="466"/>
      <c r="G8" s="501" t="str">
        <f t="shared" ref="G8:O8" ca="1" si="8">INDEX(D.rngStates, G$3)</f>
        <v>HF no HPE</v>
      </c>
      <c r="H8" s="501" t="str">
        <f t="shared" ca="1" si="8"/>
        <v>PCE no HPE</v>
      </c>
      <c r="I8" s="501" t="str">
        <f t="shared" ca="1" si="8"/>
        <v>SCE no HPE</v>
      </c>
      <c r="J8" s="501" t="str">
        <f t="shared" ca="1" si="8"/>
        <v>HF w HPE</v>
      </c>
      <c r="K8" s="501" t="str">
        <f t="shared" ca="1" si="8"/>
        <v>PCE w HPE</v>
      </c>
      <c r="L8" s="501" t="str">
        <f t="shared" ca="1" si="8"/>
        <v>SCE w HPE</v>
      </c>
      <c r="M8" s="501" t="str">
        <f t="shared" ca="1" si="8"/>
        <v>HF post event no HPE</v>
      </c>
      <c r="N8" s="501" t="str">
        <f t="shared" ca="1" si="8"/>
        <v>HF post event w HPE</v>
      </c>
      <c r="O8" s="501" t="str">
        <f t="shared" ca="1" si="8"/>
        <v>Dead</v>
      </c>
      <c r="P8" s="501" t="s">
        <v>37</v>
      </c>
      <c r="R8" s="501" t="str">
        <f t="shared" ref="R8:Z8" ca="1" si="9">INDEX(D.rngStates, R$3)</f>
        <v>HF no HPE</v>
      </c>
      <c r="S8" s="501" t="str">
        <f t="shared" ca="1" si="9"/>
        <v>PCE no HPE</v>
      </c>
      <c r="T8" s="501" t="str">
        <f t="shared" ca="1" si="9"/>
        <v>SCE no HPE</v>
      </c>
      <c r="U8" s="501" t="str">
        <f t="shared" ca="1" si="9"/>
        <v>HF w HPE</v>
      </c>
      <c r="V8" s="501" t="str">
        <f t="shared" ca="1" si="9"/>
        <v>PCE w HPE</v>
      </c>
      <c r="W8" s="501" t="str">
        <f t="shared" ca="1" si="9"/>
        <v>SCE w HPE</v>
      </c>
      <c r="X8" s="501" t="str">
        <f t="shared" ca="1" si="9"/>
        <v>HF post event no HPE</v>
      </c>
      <c r="Y8" s="501" t="str">
        <f t="shared" ca="1" si="9"/>
        <v>HF post event w HPE</v>
      </c>
      <c r="Z8" s="501" t="str">
        <f t="shared" ca="1" si="9"/>
        <v>Dead</v>
      </c>
      <c r="AA8" s="501" t="s">
        <v>37</v>
      </c>
    </row>
    <row r="9" spans="1:27" ht="12" customHeight="1" x14ac:dyDescent="0.25">
      <c r="D9" s="532"/>
      <c r="E9" s="466"/>
      <c r="F9" s="466"/>
      <c r="G9" s="502"/>
      <c r="H9" s="502"/>
      <c r="I9" s="502"/>
      <c r="J9" s="502"/>
      <c r="K9" s="502"/>
      <c r="L9" s="502"/>
      <c r="M9" s="502"/>
      <c r="N9" s="502"/>
      <c r="O9" s="502"/>
      <c r="P9" s="502"/>
      <c r="R9" s="502"/>
      <c r="S9" s="502"/>
      <c r="T9" s="502"/>
      <c r="U9" s="502"/>
      <c r="V9" s="502"/>
      <c r="W9" s="502"/>
      <c r="X9" s="502"/>
      <c r="Y9" s="502"/>
      <c r="Z9" s="502"/>
      <c r="AA9" s="502"/>
    </row>
    <row r="10" spans="1:27" ht="12" customHeight="1" thickBot="1" x14ac:dyDescent="0.3">
      <c r="D10" s="533"/>
      <c r="E10" s="447"/>
      <c r="F10" s="447"/>
      <c r="G10" s="527"/>
      <c r="H10" s="527"/>
      <c r="I10" s="527"/>
      <c r="J10" s="527"/>
      <c r="K10" s="527"/>
      <c r="L10" s="527"/>
      <c r="M10" s="527"/>
      <c r="N10" s="527"/>
      <c r="O10" s="527"/>
      <c r="P10" s="527"/>
      <c r="R10" s="527"/>
      <c r="S10" s="527"/>
      <c r="T10" s="527"/>
      <c r="U10" s="527"/>
      <c r="V10" s="527"/>
      <c r="W10" s="527"/>
      <c r="X10" s="527"/>
      <c r="Y10" s="527"/>
      <c r="Z10" s="527"/>
      <c r="AA10" s="527"/>
    </row>
    <row r="11" spans="1:27" ht="12" customHeight="1" x14ac:dyDescent="0.25">
      <c r="D11" s="43">
        <v>0</v>
      </c>
      <c r="E11" s="63">
        <f t="shared" ref="E11:E42" si="10">D11*D.cycleLength</f>
        <v>0</v>
      </c>
      <c r="F11" s="43">
        <f t="shared" ref="F11:F42" si="11">D.cohortAge+D11*D.cycleLength</f>
        <v>65</v>
      </c>
      <c r="G11" s="42">
        <f t="shared" ref="G11:N20" ca="1" si="12">AVERAGE(OFFSET(D.Trace.Markov.Root, $D11, (G$2-1)*D.Trace.Markov.NumCols+G$3-1, CHOOSE(swtchHalfCycle, 2, 1)))*G$4</f>
        <v>0</v>
      </c>
      <c r="H11" s="42">
        <f t="shared" ca="1" si="12"/>
        <v>16.527272071482198</v>
      </c>
      <c r="I11" s="42">
        <f t="shared" ca="1" si="12"/>
        <v>398.76271833328968</v>
      </c>
      <c r="J11" s="42">
        <f t="shared" ca="1" si="12"/>
        <v>5.4697788171501989</v>
      </c>
      <c r="K11" s="42">
        <f t="shared" ca="1" si="12"/>
        <v>0</v>
      </c>
      <c r="L11" s="42">
        <f t="shared" ca="1" si="12"/>
        <v>0</v>
      </c>
      <c r="M11" s="42">
        <f t="shared" ca="1" si="12"/>
        <v>0</v>
      </c>
      <c r="N11" s="42">
        <f t="shared" ca="1" si="12"/>
        <v>0</v>
      </c>
      <c r="O11" s="42">
        <f t="shared" ref="O11:O42" ca="1" si="13">(OFFSET(D.Trace.Markov.Root, $D11+1, (O$2-1)*D.Trace.Markov.NumCols+O$3-1)-OFFSET(D.Trace.Markov.Root, $D11, (O$2-1)*D.Trace.Markov.NumCols+O$3-1))*O$4</f>
        <v>0</v>
      </c>
      <c r="P11" s="51">
        <f t="shared" ref="P11:P42" ca="1" si="14">SUM(G11:O11)</f>
        <v>420.75976922192206</v>
      </c>
      <c r="R11" s="42">
        <f t="shared" ref="R11:Y20" ca="1" si="15">AVERAGE(OFFSET(D.Trace.Markov.Root, $D11, (R$2-1)*D.Trace.Markov.NumCols+R$3-1, CHOOSE(swtchHalfCycle, 2, 1)))*R$4</f>
        <v>12.636418932668343</v>
      </c>
      <c r="S11" s="42">
        <f t="shared" ca="1" si="15"/>
        <v>14.247648337484653</v>
      </c>
      <c r="T11" s="42">
        <f t="shared" ca="1" si="15"/>
        <v>343.76096408042218</v>
      </c>
      <c r="U11" s="42">
        <f t="shared" ca="1" si="15"/>
        <v>0</v>
      </c>
      <c r="V11" s="42">
        <f t="shared" ca="1" si="15"/>
        <v>0</v>
      </c>
      <c r="W11" s="42">
        <f t="shared" ca="1" si="15"/>
        <v>0</v>
      </c>
      <c r="X11" s="42">
        <f t="shared" ca="1" si="15"/>
        <v>0</v>
      </c>
      <c r="Y11" s="42">
        <f t="shared" ca="1" si="15"/>
        <v>0</v>
      </c>
      <c r="Z11" s="42">
        <f t="shared" ref="Z11:Z42" ca="1" si="16">(OFFSET(D.Trace.Markov.Root, $D11+1, (Z$2-1)*D.Trace.Markov.NumCols+Z$3-1)-OFFSET(D.Trace.Markov.Root, $D11, (Z$2-1)*D.Trace.Markov.NumCols+Z$3-1))*Z$4</f>
        <v>0</v>
      </c>
      <c r="AA11" s="51">
        <f t="shared" ref="AA11:AA42" ca="1" si="17">SUM(R11:Z11)</f>
        <v>370.64503135057521</v>
      </c>
    </row>
    <row r="12" spans="1:27" ht="12" customHeight="1" x14ac:dyDescent="0.25">
      <c r="D12" s="43">
        <f t="shared" ref="D12:D43" si="18">D11+1</f>
        <v>1</v>
      </c>
      <c r="E12" s="63">
        <f t="shared" si="10"/>
        <v>0.25</v>
      </c>
      <c r="F12" s="43">
        <f t="shared" si="11"/>
        <v>65.25</v>
      </c>
      <c r="G12" s="42">
        <f t="shared" ca="1" si="12"/>
        <v>0</v>
      </c>
      <c r="H12" s="42">
        <f t="shared" ca="1" si="12"/>
        <v>31.373370018763495</v>
      </c>
      <c r="I12" s="42">
        <f t="shared" ca="1" si="12"/>
        <v>756.96281018724051</v>
      </c>
      <c r="J12" s="42">
        <f t="shared" ca="1" si="12"/>
        <v>2.3382490014733892</v>
      </c>
      <c r="K12" s="42">
        <f t="shared" ca="1" si="12"/>
        <v>0</v>
      </c>
      <c r="L12" s="42">
        <f t="shared" ca="1" si="12"/>
        <v>0</v>
      </c>
      <c r="M12" s="42">
        <f t="shared" ca="1" si="12"/>
        <v>2.1275798219849174</v>
      </c>
      <c r="N12" s="42">
        <f t="shared" ca="1" si="12"/>
        <v>0</v>
      </c>
      <c r="O12" s="42">
        <f t="shared" ca="1" si="13"/>
        <v>0</v>
      </c>
      <c r="P12" s="51">
        <f t="shared" ca="1" si="14"/>
        <v>792.80200902946228</v>
      </c>
      <c r="R12" s="42">
        <f t="shared" ca="1" si="15"/>
        <v>6.4132313455620524</v>
      </c>
      <c r="S12" s="42">
        <f t="shared" ca="1" si="15"/>
        <v>28.186313098674528</v>
      </c>
      <c r="T12" s="42">
        <f t="shared" ca="1" si="15"/>
        <v>680.06690894952203</v>
      </c>
      <c r="U12" s="42">
        <f t="shared" ca="1" si="15"/>
        <v>0</v>
      </c>
      <c r="V12" s="42">
        <f t="shared" ca="1" si="15"/>
        <v>0</v>
      </c>
      <c r="W12" s="42">
        <f t="shared" ca="1" si="15"/>
        <v>0</v>
      </c>
      <c r="X12" s="42">
        <f t="shared" ca="1" si="15"/>
        <v>1.8341205361938946</v>
      </c>
      <c r="Y12" s="42">
        <f t="shared" ca="1" si="15"/>
        <v>0</v>
      </c>
      <c r="Z12" s="42">
        <f t="shared" ca="1" si="16"/>
        <v>0</v>
      </c>
      <c r="AA12" s="51">
        <f t="shared" ca="1" si="17"/>
        <v>716.50057392995257</v>
      </c>
    </row>
    <row r="13" spans="1:27" ht="12" customHeight="1" x14ac:dyDescent="0.25">
      <c r="D13" s="43">
        <f t="shared" si="18"/>
        <v>2</v>
      </c>
      <c r="E13" s="63">
        <f t="shared" si="10"/>
        <v>0.5</v>
      </c>
      <c r="F13" s="43">
        <f t="shared" si="11"/>
        <v>65.5</v>
      </c>
      <c r="G13" s="42">
        <f t="shared" ca="1" si="12"/>
        <v>0</v>
      </c>
      <c r="H13" s="42">
        <f t="shared" ca="1" si="12"/>
        <v>28.472128651806532</v>
      </c>
      <c r="I13" s="42">
        <f t="shared" ca="1" si="12"/>
        <v>686.9629403342484</v>
      </c>
      <c r="J13" s="42">
        <f t="shared" ca="1" si="12"/>
        <v>0.99956663252059363</v>
      </c>
      <c r="K13" s="42">
        <f t="shared" ca="1" si="12"/>
        <v>0</v>
      </c>
      <c r="L13" s="42">
        <f t="shared" ca="1" si="12"/>
        <v>0</v>
      </c>
      <c r="M13" s="42">
        <f t="shared" ca="1" si="12"/>
        <v>5.1185282879472469</v>
      </c>
      <c r="N13" s="42">
        <f t="shared" ca="1" si="12"/>
        <v>0</v>
      </c>
      <c r="O13" s="42">
        <f t="shared" ca="1" si="13"/>
        <v>0</v>
      </c>
      <c r="P13" s="51">
        <f t="shared" ca="1" si="14"/>
        <v>721.55316390652274</v>
      </c>
      <c r="R13" s="42">
        <f t="shared" ca="1" si="15"/>
        <v>3.2548411469146048</v>
      </c>
      <c r="S13" s="42">
        <f t="shared" ca="1" si="15"/>
        <v>27.288281226465127</v>
      </c>
      <c r="T13" s="42">
        <f t="shared" ca="1" si="15"/>
        <v>658.3995927122553</v>
      </c>
      <c r="U13" s="42">
        <f t="shared" ca="1" si="15"/>
        <v>0</v>
      </c>
      <c r="V13" s="42">
        <f t="shared" ca="1" si="15"/>
        <v>0</v>
      </c>
      <c r="W13" s="42">
        <f t="shared" ca="1" si="15"/>
        <v>0</v>
      </c>
      <c r="X13" s="42">
        <f t="shared" ca="1" si="15"/>
        <v>4.5593174415048576</v>
      </c>
      <c r="Y13" s="42">
        <f t="shared" ca="1" si="15"/>
        <v>0</v>
      </c>
      <c r="Z13" s="42">
        <f t="shared" ca="1" si="16"/>
        <v>0</v>
      </c>
      <c r="AA13" s="51">
        <f t="shared" ca="1" si="17"/>
        <v>693.50203252713982</v>
      </c>
    </row>
    <row r="14" spans="1:27" ht="12" customHeight="1" x14ac:dyDescent="0.25">
      <c r="D14" s="43">
        <f t="shared" si="18"/>
        <v>3</v>
      </c>
      <c r="E14" s="63">
        <f t="shared" si="10"/>
        <v>0.75</v>
      </c>
      <c r="F14" s="43">
        <f t="shared" si="11"/>
        <v>65.75</v>
      </c>
      <c r="G14" s="42">
        <f t="shared" ca="1" si="12"/>
        <v>0</v>
      </c>
      <c r="H14" s="42">
        <f t="shared" ca="1" si="12"/>
        <v>26.416023397323027</v>
      </c>
      <c r="I14" s="42">
        <f t="shared" ca="1" si="12"/>
        <v>637.35414119842869</v>
      </c>
      <c r="J14" s="42">
        <f t="shared" ca="1" si="12"/>
        <v>0.42729985224797729</v>
      </c>
      <c r="K14" s="42">
        <f t="shared" ca="1" si="12"/>
        <v>0</v>
      </c>
      <c r="L14" s="42">
        <f t="shared" ca="1" si="12"/>
        <v>0</v>
      </c>
      <c r="M14" s="42">
        <f t="shared" ca="1" si="12"/>
        <v>6.2630124790380588</v>
      </c>
      <c r="N14" s="42">
        <f t="shared" ca="1" si="12"/>
        <v>0</v>
      </c>
      <c r="O14" s="42">
        <f t="shared" ca="1" si="13"/>
        <v>0</v>
      </c>
      <c r="P14" s="51">
        <f t="shared" ca="1" si="14"/>
        <v>670.46047692703769</v>
      </c>
      <c r="R14" s="42">
        <f t="shared" ca="1" si="15"/>
        <v>1.6518959508578164</v>
      </c>
      <c r="S14" s="42">
        <f t="shared" ca="1" si="15"/>
        <v>26.129178091170111</v>
      </c>
      <c r="T14" s="42">
        <f t="shared" ca="1" si="15"/>
        <v>630.43326438778729</v>
      </c>
      <c r="U14" s="42">
        <f t="shared" ca="1" si="15"/>
        <v>0</v>
      </c>
      <c r="V14" s="42">
        <f t="shared" ca="1" si="15"/>
        <v>0</v>
      </c>
      <c r="W14" s="42">
        <f t="shared" ca="1" si="15"/>
        <v>0</v>
      </c>
      <c r="X14" s="42">
        <f t="shared" ca="1" si="15"/>
        <v>5.8268035623733434</v>
      </c>
      <c r="Y14" s="42">
        <f t="shared" ca="1" si="15"/>
        <v>0</v>
      </c>
      <c r="Z14" s="42">
        <f t="shared" ca="1" si="16"/>
        <v>0</v>
      </c>
      <c r="AA14" s="51">
        <f t="shared" ca="1" si="17"/>
        <v>664.04114199218861</v>
      </c>
    </row>
    <row r="15" spans="1:27" ht="12" customHeight="1" x14ac:dyDescent="0.25">
      <c r="D15" s="43">
        <f t="shared" si="18"/>
        <v>4</v>
      </c>
      <c r="E15" s="63">
        <f t="shared" si="10"/>
        <v>1</v>
      </c>
      <c r="F15" s="43">
        <f t="shared" si="11"/>
        <v>66</v>
      </c>
      <c r="G15" s="42">
        <f t="shared" ca="1" si="12"/>
        <v>0</v>
      </c>
      <c r="H15" s="42">
        <f t="shared" ca="1" si="12"/>
        <v>24.925025702934693</v>
      </c>
      <c r="I15" s="42">
        <f t="shared" ca="1" si="12"/>
        <v>601.38000759238366</v>
      </c>
      <c r="J15" s="42">
        <f t="shared" ca="1" si="12"/>
        <v>0.18266432450903317</v>
      </c>
      <c r="K15" s="42">
        <f t="shared" ca="1" si="12"/>
        <v>0</v>
      </c>
      <c r="L15" s="42">
        <f t="shared" ca="1" si="12"/>
        <v>0</v>
      </c>
      <c r="M15" s="42">
        <f t="shared" ca="1" si="12"/>
        <v>6.579175308072486</v>
      </c>
      <c r="N15" s="42">
        <f t="shared" ca="1" si="12"/>
        <v>0</v>
      </c>
      <c r="O15" s="42">
        <f t="shared" ca="1" si="13"/>
        <v>0</v>
      </c>
      <c r="P15" s="51">
        <f t="shared" ca="1" si="14"/>
        <v>633.06687292789991</v>
      </c>
      <c r="R15" s="42">
        <f t="shared" ca="1" si="15"/>
        <v>0.83836971123679904</v>
      </c>
      <c r="S15" s="42">
        <f t="shared" ca="1" si="15"/>
        <v>25.013286888613873</v>
      </c>
      <c r="T15" s="42">
        <f t="shared" ca="1" si="15"/>
        <v>603.50953448420967</v>
      </c>
      <c r="U15" s="42">
        <f t="shared" ca="1" si="15"/>
        <v>0</v>
      </c>
      <c r="V15" s="42">
        <f t="shared" ca="1" si="15"/>
        <v>0</v>
      </c>
      <c r="W15" s="42">
        <f t="shared" ca="1" si="15"/>
        <v>0</v>
      </c>
      <c r="X15" s="42">
        <f t="shared" ca="1" si="15"/>
        <v>6.3208646821277705</v>
      </c>
      <c r="Y15" s="42">
        <f t="shared" ca="1" si="15"/>
        <v>0</v>
      </c>
      <c r="Z15" s="42">
        <f t="shared" ca="1" si="16"/>
        <v>0</v>
      </c>
      <c r="AA15" s="51">
        <f t="shared" ca="1" si="17"/>
        <v>635.68205576618811</v>
      </c>
    </row>
    <row r="16" spans="1:27" ht="12" customHeight="1" x14ac:dyDescent="0.25">
      <c r="D16" s="43">
        <f t="shared" si="18"/>
        <v>5</v>
      </c>
      <c r="E16" s="63">
        <f t="shared" si="10"/>
        <v>1.25</v>
      </c>
      <c r="F16" s="43">
        <f t="shared" si="11"/>
        <v>66.25</v>
      </c>
      <c r="G16" s="42">
        <f t="shared" ca="1" si="12"/>
        <v>0</v>
      </c>
      <c r="H16" s="42">
        <f t="shared" ca="1" si="12"/>
        <v>23.705297386369569</v>
      </c>
      <c r="I16" s="42">
        <f t="shared" ca="1" si="12"/>
        <v>571.95094168011781</v>
      </c>
      <c r="J16" s="42">
        <f t="shared" ca="1" si="12"/>
        <v>7.8086278927561509E-2</v>
      </c>
      <c r="K16" s="42">
        <f t="shared" ca="1" si="12"/>
        <v>0</v>
      </c>
      <c r="L16" s="42">
        <f t="shared" ca="1" si="12"/>
        <v>0</v>
      </c>
      <c r="M16" s="42">
        <f t="shared" ca="1" si="12"/>
        <v>6.5476958609028415</v>
      </c>
      <c r="N16" s="42">
        <f t="shared" ca="1" si="12"/>
        <v>0</v>
      </c>
      <c r="O16" s="42">
        <f t="shared" ca="1" si="13"/>
        <v>0</v>
      </c>
      <c r="P16" s="51">
        <f t="shared" ca="1" si="14"/>
        <v>602.28202120631784</v>
      </c>
      <c r="R16" s="42">
        <f t="shared" ca="1" si="15"/>
        <v>0.42548913105228109</v>
      </c>
      <c r="S16" s="42">
        <f t="shared" ca="1" si="15"/>
        <v>23.944925135713085</v>
      </c>
      <c r="T16" s="42">
        <f t="shared" ca="1" si="15"/>
        <v>577.73257414208899</v>
      </c>
      <c r="U16" s="42">
        <f t="shared" ca="1" si="15"/>
        <v>0</v>
      </c>
      <c r="V16" s="42">
        <f t="shared" ca="1" si="15"/>
        <v>0</v>
      </c>
      <c r="W16" s="42">
        <f t="shared" ca="1" si="15"/>
        <v>0</v>
      </c>
      <c r="X16" s="42">
        <f t="shared" ca="1" si="15"/>
        <v>6.4279601246811024</v>
      </c>
      <c r="Y16" s="42">
        <f t="shared" ca="1" si="15"/>
        <v>0</v>
      </c>
      <c r="Z16" s="42">
        <f t="shared" ca="1" si="16"/>
        <v>0</v>
      </c>
      <c r="AA16" s="51">
        <f t="shared" ca="1" si="17"/>
        <v>608.53094853353548</v>
      </c>
    </row>
    <row r="17" spans="4:27" ht="12" customHeight="1" x14ac:dyDescent="0.25">
      <c r="D17" s="43">
        <f t="shared" si="18"/>
        <v>6</v>
      </c>
      <c r="E17" s="63">
        <f t="shared" si="10"/>
        <v>1.5</v>
      </c>
      <c r="F17" s="43">
        <f t="shared" si="11"/>
        <v>66.5</v>
      </c>
      <c r="G17" s="42">
        <f t="shared" ca="1" si="12"/>
        <v>0</v>
      </c>
      <c r="H17" s="42">
        <f t="shared" ca="1" si="12"/>
        <v>22.62648061071954</v>
      </c>
      <c r="I17" s="42">
        <f t="shared" ca="1" si="12"/>
        <v>545.92172716842265</v>
      </c>
      <c r="J17" s="42">
        <f t="shared" ca="1" si="12"/>
        <v>3.3380721567507848E-2</v>
      </c>
      <c r="K17" s="42">
        <f t="shared" ca="1" si="12"/>
        <v>0</v>
      </c>
      <c r="L17" s="42">
        <f t="shared" ca="1" si="12"/>
        <v>0</v>
      </c>
      <c r="M17" s="42">
        <f t="shared" ca="1" si="12"/>
        <v>6.3747020178928402</v>
      </c>
      <c r="N17" s="42">
        <f t="shared" ca="1" si="12"/>
        <v>0</v>
      </c>
      <c r="O17" s="42">
        <f t="shared" ca="1" si="13"/>
        <v>0</v>
      </c>
      <c r="P17" s="51">
        <f t="shared" ca="1" si="14"/>
        <v>574.95629051860249</v>
      </c>
      <c r="R17" s="42">
        <f t="shared" ca="1" si="15"/>
        <v>0.21594410940317221</v>
      </c>
      <c r="S17" s="42">
        <f t="shared" ca="1" si="15"/>
        <v>22.922192342529314</v>
      </c>
      <c r="T17" s="42">
        <f t="shared" ca="1" si="15"/>
        <v>553.05652917987982</v>
      </c>
      <c r="U17" s="42">
        <f t="shared" ca="1" si="15"/>
        <v>0</v>
      </c>
      <c r="V17" s="42">
        <f t="shared" ca="1" si="15"/>
        <v>0</v>
      </c>
      <c r="W17" s="42">
        <f t="shared" ca="1" si="15"/>
        <v>0</v>
      </c>
      <c r="X17" s="42">
        <f t="shared" ca="1" si="15"/>
        <v>6.3447814042899138</v>
      </c>
      <c r="Y17" s="42">
        <f t="shared" ca="1" si="15"/>
        <v>0</v>
      </c>
      <c r="Z17" s="42">
        <f t="shared" ca="1" si="16"/>
        <v>0</v>
      </c>
      <c r="AA17" s="51">
        <f t="shared" ca="1" si="17"/>
        <v>582.53944703610227</v>
      </c>
    </row>
    <row r="18" spans="4:27" ht="12" customHeight="1" x14ac:dyDescent="0.25">
      <c r="D18" s="43">
        <f t="shared" si="18"/>
        <v>7</v>
      </c>
      <c r="E18" s="63">
        <f t="shared" si="10"/>
        <v>1.75</v>
      </c>
      <c r="F18" s="43">
        <f t="shared" si="11"/>
        <v>66.75</v>
      </c>
      <c r="G18" s="42">
        <f t="shared" ca="1" si="12"/>
        <v>0</v>
      </c>
      <c r="H18" s="42">
        <f t="shared" ca="1" si="12"/>
        <v>21.631710641305073</v>
      </c>
      <c r="I18" s="42">
        <f t="shared" ca="1" si="12"/>
        <v>521.92035686336772</v>
      </c>
      <c r="J18" s="42">
        <f t="shared" ca="1" si="12"/>
        <v>1.4269761444275809E-2</v>
      </c>
      <c r="K18" s="42">
        <f t="shared" ca="1" si="12"/>
        <v>0</v>
      </c>
      <c r="L18" s="42">
        <f t="shared" ca="1" si="12"/>
        <v>0</v>
      </c>
      <c r="M18" s="42">
        <f t="shared" ca="1" si="12"/>
        <v>6.14802658144073</v>
      </c>
      <c r="N18" s="42">
        <f t="shared" ca="1" si="12"/>
        <v>0</v>
      </c>
      <c r="O18" s="42">
        <f t="shared" ca="1" si="13"/>
        <v>0</v>
      </c>
      <c r="P18" s="51">
        <f t="shared" ca="1" si="14"/>
        <v>549.71436384755782</v>
      </c>
      <c r="R18" s="42">
        <f t="shared" ca="1" si="15"/>
        <v>0.10959588619949827</v>
      </c>
      <c r="S18" s="42">
        <f t="shared" ca="1" si="15"/>
        <v>21.943142334752096</v>
      </c>
      <c r="T18" s="42">
        <f t="shared" ca="1" si="15"/>
        <v>529.434443163693</v>
      </c>
      <c r="U18" s="42">
        <f t="shared" ca="1" si="15"/>
        <v>0</v>
      </c>
      <c r="V18" s="42">
        <f t="shared" ca="1" si="15"/>
        <v>0</v>
      </c>
      <c r="W18" s="42">
        <f t="shared" ca="1" si="15"/>
        <v>0</v>
      </c>
      <c r="X18" s="42">
        <f t="shared" ca="1" si="15"/>
        <v>6.1709086833060223</v>
      </c>
      <c r="Y18" s="42">
        <f t="shared" ca="1" si="15"/>
        <v>0</v>
      </c>
      <c r="Z18" s="42">
        <f t="shared" ca="1" si="16"/>
        <v>0</v>
      </c>
      <c r="AA18" s="51">
        <f t="shared" ca="1" si="17"/>
        <v>557.65809006795064</v>
      </c>
    </row>
    <row r="19" spans="4:27" ht="12" customHeight="1" x14ac:dyDescent="0.25">
      <c r="D19" s="43">
        <f t="shared" si="18"/>
        <v>8</v>
      </c>
      <c r="E19" s="63">
        <f t="shared" si="10"/>
        <v>2</v>
      </c>
      <c r="F19" s="43">
        <f t="shared" si="11"/>
        <v>67</v>
      </c>
      <c r="G19" s="42">
        <f t="shared" ca="1" si="12"/>
        <v>0</v>
      </c>
      <c r="H19" s="42">
        <f t="shared" ca="1" si="12"/>
        <v>20.695660176559514</v>
      </c>
      <c r="I19" s="42">
        <f t="shared" ca="1" si="12"/>
        <v>499.33574482305755</v>
      </c>
      <c r="J19" s="42">
        <f t="shared" ca="1" si="12"/>
        <v>6.1001105462844792E-3</v>
      </c>
      <c r="K19" s="42">
        <f t="shared" ca="1" si="12"/>
        <v>0</v>
      </c>
      <c r="L19" s="42">
        <f t="shared" ca="1" si="12"/>
        <v>0</v>
      </c>
      <c r="M19" s="42">
        <f t="shared" ca="1" si="12"/>
        <v>5.9049261475034465</v>
      </c>
      <c r="N19" s="42">
        <f t="shared" ca="1" si="12"/>
        <v>0</v>
      </c>
      <c r="O19" s="42">
        <f t="shared" ca="1" si="13"/>
        <v>0</v>
      </c>
      <c r="P19" s="51">
        <f t="shared" ca="1" si="14"/>
        <v>525.94243125766684</v>
      </c>
      <c r="R19" s="42">
        <f t="shared" ca="1" si="15"/>
        <v>5.5622069548690964E-2</v>
      </c>
      <c r="S19" s="42">
        <f t="shared" ca="1" si="15"/>
        <v>21.005909395623238</v>
      </c>
      <c r="T19" s="42">
        <f t="shared" ca="1" si="15"/>
        <v>506.82130090391274</v>
      </c>
      <c r="U19" s="42">
        <f t="shared" ca="1" si="15"/>
        <v>0</v>
      </c>
      <c r="V19" s="42">
        <f t="shared" ca="1" si="15"/>
        <v>0</v>
      </c>
      <c r="W19" s="42">
        <f t="shared" ca="1" si="15"/>
        <v>0</v>
      </c>
      <c r="X19" s="42">
        <f t="shared" ca="1" si="15"/>
        <v>5.9566303204188564</v>
      </c>
      <c r="Y19" s="42">
        <f t="shared" ca="1" si="15"/>
        <v>0</v>
      </c>
      <c r="Z19" s="42">
        <f t="shared" ca="1" si="16"/>
        <v>0</v>
      </c>
      <c r="AA19" s="51">
        <f t="shared" ca="1" si="17"/>
        <v>533.83946268950353</v>
      </c>
    </row>
    <row r="20" spans="4:27" ht="12" customHeight="1" x14ac:dyDescent="0.25">
      <c r="D20" s="43">
        <f t="shared" si="18"/>
        <v>9</v>
      </c>
      <c r="E20" s="63">
        <f t="shared" si="10"/>
        <v>2.25</v>
      </c>
      <c r="F20" s="43">
        <f t="shared" si="11"/>
        <v>67.25</v>
      </c>
      <c r="G20" s="42">
        <f t="shared" ca="1" si="12"/>
        <v>0</v>
      </c>
      <c r="H20" s="42">
        <f t="shared" ca="1" si="12"/>
        <v>19.806528704143382</v>
      </c>
      <c r="I20" s="42">
        <f t="shared" ca="1" si="12"/>
        <v>477.88317349955906</v>
      </c>
      <c r="J20" s="42">
        <f t="shared" ca="1" si="12"/>
        <v>2.6077064302864111E-3</v>
      </c>
      <c r="K20" s="42">
        <f t="shared" ca="1" si="12"/>
        <v>0</v>
      </c>
      <c r="L20" s="42">
        <f t="shared" ca="1" si="12"/>
        <v>0</v>
      </c>
      <c r="M20" s="42">
        <f t="shared" ca="1" si="12"/>
        <v>5.6610487514489627</v>
      </c>
      <c r="N20" s="42">
        <f t="shared" ca="1" si="12"/>
        <v>0</v>
      </c>
      <c r="O20" s="42">
        <f t="shared" ca="1" si="13"/>
        <v>0</v>
      </c>
      <c r="P20" s="51">
        <f t="shared" ca="1" si="14"/>
        <v>503.35335866158169</v>
      </c>
      <c r="R20" s="42">
        <f t="shared" ca="1" si="15"/>
        <v>2.8229295169416479E-2</v>
      </c>
      <c r="S20" s="42">
        <f t="shared" ca="1" si="15"/>
        <v>20.108707440582485</v>
      </c>
      <c r="T20" s="42">
        <f t="shared" ca="1" si="15"/>
        <v>485.1740085414105</v>
      </c>
      <c r="U20" s="42">
        <f t="shared" ca="1" si="15"/>
        <v>0</v>
      </c>
      <c r="V20" s="42">
        <f t="shared" ca="1" si="15"/>
        <v>0</v>
      </c>
      <c r="W20" s="42">
        <f t="shared" ca="1" si="15"/>
        <v>0</v>
      </c>
      <c r="X20" s="42">
        <f t="shared" ca="1" si="15"/>
        <v>5.7272284711096324</v>
      </c>
      <c r="Y20" s="42">
        <f t="shared" ca="1" si="15"/>
        <v>0</v>
      </c>
      <c r="Z20" s="42">
        <f t="shared" ca="1" si="16"/>
        <v>0</v>
      </c>
      <c r="AA20" s="51">
        <f t="shared" ca="1" si="17"/>
        <v>511.03817374827207</v>
      </c>
    </row>
    <row r="21" spans="4:27" ht="12" customHeight="1" x14ac:dyDescent="0.25">
      <c r="D21" s="43">
        <f t="shared" si="18"/>
        <v>10</v>
      </c>
      <c r="E21" s="63">
        <f t="shared" si="10"/>
        <v>2.5</v>
      </c>
      <c r="F21" s="43">
        <f t="shared" si="11"/>
        <v>67.5</v>
      </c>
      <c r="G21" s="42">
        <f t="shared" ref="G21:N30" ca="1" si="19">AVERAGE(OFFSET(D.Trace.Markov.Root, $D21, (G$2-1)*D.Trace.Markov.NumCols+G$3-1, CHOOSE(swtchHalfCycle, 2, 1)))*G$4</f>
        <v>0</v>
      </c>
      <c r="H21" s="42">
        <f t="shared" ca="1" si="19"/>
        <v>18.958339823003698</v>
      </c>
      <c r="I21" s="42">
        <f t="shared" ca="1" si="19"/>
        <v>457.41844692880574</v>
      </c>
      <c r="J21" s="42">
        <f t="shared" ca="1" si="19"/>
        <v>1.1147556712228755E-3</v>
      </c>
      <c r="K21" s="42">
        <f t="shared" ca="1" si="19"/>
        <v>0</v>
      </c>
      <c r="L21" s="42">
        <f t="shared" ca="1" si="19"/>
        <v>0</v>
      </c>
      <c r="M21" s="42">
        <f t="shared" ca="1" si="19"/>
        <v>5.4228169820923702</v>
      </c>
      <c r="N21" s="42">
        <f t="shared" ca="1" si="19"/>
        <v>0</v>
      </c>
      <c r="O21" s="42">
        <f t="shared" ca="1" si="13"/>
        <v>0</v>
      </c>
      <c r="P21" s="51">
        <f t="shared" ca="1" si="14"/>
        <v>481.800718489573</v>
      </c>
      <c r="R21" s="42">
        <f t="shared" ref="R21:Y30" ca="1" si="20">AVERAGE(OFFSET(D.Trace.Markov.Root, $D21, (R$2-1)*D.Trace.Markov.NumCols+R$3-1, CHOOSE(swtchHalfCycle, 2, 1)))*R$4</f>
        <v>1.4326922968309348E-2</v>
      </c>
      <c r="S21" s="42">
        <f t="shared" ca="1" si="20"/>
        <v>19.249826670926147</v>
      </c>
      <c r="T21" s="42">
        <f t="shared" ca="1" si="20"/>
        <v>464.4513128085004</v>
      </c>
      <c r="U21" s="42">
        <f t="shared" ca="1" si="20"/>
        <v>0</v>
      </c>
      <c r="V21" s="42">
        <f t="shared" ca="1" si="20"/>
        <v>0</v>
      </c>
      <c r="W21" s="42">
        <f t="shared" ca="1" si="20"/>
        <v>0</v>
      </c>
      <c r="X21" s="42">
        <f t="shared" ca="1" si="20"/>
        <v>5.495304401674308</v>
      </c>
      <c r="Y21" s="42">
        <f t="shared" ca="1" si="20"/>
        <v>0</v>
      </c>
      <c r="Z21" s="42">
        <f t="shared" ca="1" si="16"/>
        <v>0</v>
      </c>
      <c r="AA21" s="51">
        <f t="shared" ca="1" si="17"/>
        <v>489.21077080406917</v>
      </c>
    </row>
    <row r="22" spans="4:27" ht="12" customHeight="1" x14ac:dyDescent="0.25">
      <c r="D22" s="43">
        <f t="shared" si="18"/>
        <v>11</v>
      </c>
      <c r="E22" s="63">
        <f t="shared" si="10"/>
        <v>2.75</v>
      </c>
      <c r="F22" s="43">
        <f t="shared" si="11"/>
        <v>67.75</v>
      </c>
      <c r="G22" s="42">
        <f t="shared" ca="1" si="19"/>
        <v>0</v>
      </c>
      <c r="H22" s="42">
        <f t="shared" ca="1" si="19"/>
        <v>18.147646655008035</v>
      </c>
      <c r="I22" s="42">
        <f t="shared" ca="1" si="19"/>
        <v>437.85840035814476</v>
      </c>
      <c r="J22" s="42">
        <f t="shared" ca="1" si="19"/>
        <v>4.7654145117365722E-4</v>
      </c>
      <c r="K22" s="42">
        <f t="shared" ca="1" si="19"/>
        <v>0</v>
      </c>
      <c r="L22" s="42">
        <f t="shared" ca="1" si="19"/>
        <v>0</v>
      </c>
      <c r="M22" s="42">
        <f t="shared" ca="1" si="19"/>
        <v>5.1927210788625118</v>
      </c>
      <c r="N22" s="42">
        <f t="shared" ca="1" si="19"/>
        <v>0</v>
      </c>
      <c r="O22" s="42">
        <f t="shared" ca="1" si="13"/>
        <v>0</v>
      </c>
      <c r="P22" s="51">
        <f t="shared" ca="1" si="14"/>
        <v>461.19924463346649</v>
      </c>
      <c r="R22" s="42">
        <f t="shared" ca="1" si="20"/>
        <v>7.2711954197938571E-3</v>
      </c>
      <c r="S22" s="42">
        <f t="shared" ca="1" si="20"/>
        <v>18.427630316648816</v>
      </c>
      <c r="T22" s="42">
        <f t="shared" ca="1" si="20"/>
        <v>444.61372244166222</v>
      </c>
      <c r="U22" s="42">
        <f t="shared" ca="1" si="20"/>
        <v>0</v>
      </c>
      <c r="V22" s="42">
        <f t="shared" ca="1" si="20"/>
        <v>0</v>
      </c>
      <c r="W22" s="42">
        <f t="shared" ca="1" si="20"/>
        <v>0</v>
      </c>
      <c r="X22" s="42">
        <f t="shared" ca="1" si="20"/>
        <v>5.2670333979242399</v>
      </c>
      <c r="Y22" s="42">
        <f t="shared" ca="1" si="20"/>
        <v>0</v>
      </c>
      <c r="Z22" s="42">
        <f t="shared" ca="1" si="16"/>
        <v>0</v>
      </c>
      <c r="AA22" s="51">
        <f t="shared" ca="1" si="17"/>
        <v>468.31565735165509</v>
      </c>
    </row>
    <row r="23" spans="4:27" ht="12" customHeight="1" x14ac:dyDescent="0.25">
      <c r="D23" s="43">
        <f t="shared" si="18"/>
        <v>12</v>
      </c>
      <c r="E23" s="63">
        <f t="shared" si="10"/>
        <v>3</v>
      </c>
      <c r="F23" s="43">
        <f t="shared" si="11"/>
        <v>68</v>
      </c>
      <c r="G23" s="42">
        <f t="shared" ca="1" si="19"/>
        <v>0</v>
      </c>
      <c r="H23" s="42">
        <f t="shared" ca="1" si="19"/>
        <v>17.372121756800698</v>
      </c>
      <c r="I23" s="42">
        <f t="shared" ca="1" si="19"/>
        <v>419.14687826261894</v>
      </c>
      <c r="J23" s="42">
        <f t="shared" ca="1" si="19"/>
        <v>2.0371437486169303E-4</v>
      </c>
      <c r="K23" s="42">
        <f t="shared" ca="1" si="19"/>
        <v>0</v>
      </c>
      <c r="L23" s="42">
        <f t="shared" ca="1" si="19"/>
        <v>0</v>
      </c>
      <c r="M23" s="42">
        <f t="shared" ca="1" si="19"/>
        <v>4.9715811656420277</v>
      </c>
      <c r="N23" s="42">
        <f t="shared" ca="1" si="19"/>
        <v>0</v>
      </c>
      <c r="O23" s="42">
        <f t="shared" ca="1" si="13"/>
        <v>0</v>
      </c>
      <c r="P23" s="51">
        <f t="shared" ca="1" si="14"/>
        <v>441.49078489943651</v>
      </c>
      <c r="R23" s="42">
        <f t="shared" ca="1" si="20"/>
        <v>3.6902748028853349E-3</v>
      </c>
      <c r="S23" s="42">
        <f t="shared" ca="1" si="20"/>
        <v>17.640551517274353</v>
      </c>
      <c r="T23" s="42">
        <f t="shared" ca="1" si="20"/>
        <v>425.62343292361021</v>
      </c>
      <c r="U23" s="42">
        <f t="shared" ca="1" si="20"/>
        <v>0</v>
      </c>
      <c r="V23" s="42">
        <f t="shared" ca="1" si="20"/>
        <v>0</v>
      </c>
      <c r="W23" s="42">
        <f t="shared" ca="1" si="20"/>
        <v>0</v>
      </c>
      <c r="X23" s="42">
        <f t="shared" ca="1" si="20"/>
        <v>5.0453388351756132</v>
      </c>
      <c r="Y23" s="42">
        <f t="shared" ca="1" si="20"/>
        <v>0</v>
      </c>
      <c r="Z23" s="42">
        <f t="shared" ca="1" si="16"/>
        <v>0</v>
      </c>
      <c r="AA23" s="51">
        <f t="shared" ca="1" si="17"/>
        <v>448.31301355086305</v>
      </c>
    </row>
    <row r="24" spans="4:27" ht="12" customHeight="1" x14ac:dyDescent="0.25">
      <c r="D24" s="43">
        <f t="shared" si="18"/>
        <v>13</v>
      </c>
      <c r="E24" s="63">
        <f t="shared" si="10"/>
        <v>3.25</v>
      </c>
      <c r="F24" s="43">
        <f t="shared" si="11"/>
        <v>68.25</v>
      </c>
      <c r="G24" s="42">
        <f t="shared" ca="1" si="19"/>
        <v>0</v>
      </c>
      <c r="H24" s="42">
        <f t="shared" ca="1" si="19"/>
        <v>16.629952700720981</v>
      </c>
      <c r="I24" s="42">
        <f t="shared" ca="1" si="19"/>
        <v>401.24015118841169</v>
      </c>
      <c r="J24" s="42">
        <f t="shared" ca="1" si="19"/>
        <v>8.7084862026341295E-5</v>
      </c>
      <c r="K24" s="42">
        <f t="shared" ca="1" si="19"/>
        <v>0</v>
      </c>
      <c r="L24" s="42">
        <f t="shared" ca="1" si="19"/>
        <v>0</v>
      </c>
      <c r="M24" s="42">
        <f t="shared" ca="1" si="19"/>
        <v>4.7595138562694181</v>
      </c>
      <c r="N24" s="42">
        <f t="shared" ca="1" si="19"/>
        <v>0</v>
      </c>
      <c r="O24" s="42">
        <f t="shared" ca="1" si="13"/>
        <v>0</v>
      </c>
      <c r="P24" s="51">
        <f t="shared" ca="1" si="14"/>
        <v>422.62970483026407</v>
      </c>
      <c r="R24" s="42">
        <f t="shared" ca="1" si="20"/>
        <v>1.8728871024066747E-3</v>
      </c>
      <c r="S24" s="42">
        <f t="shared" ca="1" si="20"/>
        <v>16.887090335888736</v>
      </c>
      <c r="T24" s="42">
        <f t="shared" ca="1" si="20"/>
        <v>407.44425443919636</v>
      </c>
      <c r="U24" s="42">
        <f t="shared" ca="1" si="20"/>
        <v>0</v>
      </c>
      <c r="V24" s="42">
        <f t="shared" ca="1" si="20"/>
        <v>0</v>
      </c>
      <c r="W24" s="42">
        <f t="shared" ca="1" si="20"/>
        <v>0</v>
      </c>
      <c r="X24" s="42">
        <f t="shared" ca="1" si="20"/>
        <v>4.831502679712802</v>
      </c>
      <c r="Y24" s="42">
        <f t="shared" ca="1" si="20"/>
        <v>0</v>
      </c>
      <c r="Z24" s="42">
        <f t="shared" ca="1" si="16"/>
        <v>0</v>
      </c>
      <c r="AA24" s="51">
        <f t="shared" ca="1" si="17"/>
        <v>429.16472034190031</v>
      </c>
    </row>
    <row r="25" spans="4:27" ht="12" customHeight="1" x14ac:dyDescent="0.25">
      <c r="D25" s="43">
        <f t="shared" si="18"/>
        <v>14</v>
      </c>
      <c r="E25" s="63">
        <f t="shared" si="10"/>
        <v>3.5</v>
      </c>
      <c r="F25" s="43">
        <f t="shared" si="11"/>
        <v>68.5</v>
      </c>
      <c r="G25" s="42">
        <f t="shared" ca="1" si="19"/>
        <v>0</v>
      </c>
      <c r="H25" s="42">
        <f t="shared" ca="1" si="19"/>
        <v>15.919582136771924</v>
      </c>
      <c r="I25" s="42">
        <f t="shared" ca="1" si="19"/>
        <v>384.10064408287678</v>
      </c>
      <c r="J25" s="42">
        <f t="shared" ca="1" si="19"/>
        <v>3.7227481856868081E-5</v>
      </c>
      <c r="K25" s="42">
        <f t="shared" ca="1" si="19"/>
        <v>0</v>
      </c>
      <c r="L25" s="42">
        <f t="shared" ca="1" si="19"/>
        <v>0</v>
      </c>
      <c r="M25" s="42">
        <f t="shared" ca="1" si="19"/>
        <v>4.5563450181088179</v>
      </c>
      <c r="N25" s="42">
        <f t="shared" ca="1" si="19"/>
        <v>0</v>
      </c>
      <c r="O25" s="42">
        <f t="shared" ca="1" si="13"/>
        <v>0</v>
      </c>
      <c r="P25" s="51">
        <f t="shared" ca="1" si="14"/>
        <v>404.57660846523936</v>
      </c>
      <c r="R25" s="42">
        <f t="shared" ca="1" si="20"/>
        <v>9.5052707067199435E-4</v>
      </c>
      <c r="S25" s="42">
        <f t="shared" ca="1" si="20"/>
        <v>16.165810900708674</v>
      </c>
      <c r="T25" s="42">
        <f t="shared" ca="1" si="20"/>
        <v>390.04154290844184</v>
      </c>
      <c r="U25" s="42">
        <f t="shared" ca="1" si="20"/>
        <v>0</v>
      </c>
      <c r="V25" s="42">
        <f t="shared" ca="1" si="20"/>
        <v>0</v>
      </c>
      <c r="W25" s="42">
        <f t="shared" ca="1" si="20"/>
        <v>0</v>
      </c>
      <c r="X25" s="42">
        <f t="shared" ca="1" si="20"/>
        <v>4.6259824655944692</v>
      </c>
      <c r="Y25" s="42">
        <f t="shared" ca="1" si="20"/>
        <v>0</v>
      </c>
      <c r="Z25" s="42">
        <f t="shared" ca="1" si="16"/>
        <v>0</v>
      </c>
      <c r="AA25" s="51">
        <f t="shared" ca="1" si="17"/>
        <v>410.83428680181567</v>
      </c>
    </row>
    <row r="26" spans="4:27" ht="12" customHeight="1" x14ac:dyDescent="0.25">
      <c r="D26" s="43">
        <f t="shared" si="18"/>
        <v>15</v>
      </c>
      <c r="E26" s="63">
        <f t="shared" si="10"/>
        <v>3.75</v>
      </c>
      <c r="F26" s="43">
        <f t="shared" si="11"/>
        <v>68.75</v>
      </c>
      <c r="G26" s="42">
        <f t="shared" ca="1" si="19"/>
        <v>0</v>
      </c>
      <c r="H26" s="42">
        <f t="shared" ca="1" si="19"/>
        <v>15.239595181648996</v>
      </c>
      <c r="I26" s="42">
        <f t="shared" ca="1" si="19"/>
        <v>367.69421926677717</v>
      </c>
      <c r="J26" s="42">
        <f t="shared" ca="1" si="19"/>
        <v>1.5914194191227423E-5</v>
      </c>
      <c r="K26" s="42">
        <f t="shared" ca="1" si="19"/>
        <v>0</v>
      </c>
      <c r="L26" s="42">
        <f t="shared" ca="1" si="19"/>
        <v>0</v>
      </c>
      <c r="M26" s="42">
        <f t="shared" ca="1" si="19"/>
        <v>4.3617857954849546</v>
      </c>
      <c r="N26" s="42">
        <f t="shared" ca="1" si="19"/>
        <v>0</v>
      </c>
      <c r="O26" s="42">
        <f t="shared" ca="1" si="13"/>
        <v>0</v>
      </c>
      <c r="P26" s="51">
        <f t="shared" ca="1" si="14"/>
        <v>387.2956161581053</v>
      </c>
      <c r="R26" s="42">
        <f t="shared" ca="1" si="20"/>
        <v>4.8241119868852529E-4</v>
      </c>
      <c r="S26" s="42">
        <f t="shared" ca="1" si="20"/>
        <v>15.475338668739223</v>
      </c>
      <c r="T26" s="42">
        <f t="shared" ca="1" si="20"/>
        <v>373.38213396527567</v>
      </c>
      <c r="U26" s="42">
        <f t="shared" ca="1" si="20"/>
        <v>0</v>
      </c>
      <c r="V26" s="42">
        <f t="shared" ca="1" si="20"/>
        <v>0</v>
      </c>
      <c r="W26" s="42">
        <f t="shared" ca="1" si="20"/>
        <v>0</v>
      </c>
      <c r="X26" s="42">
        <f t="shared" ca="1" si="20"/>
        <v>4.4288255584941414</v>
      </c>
      <c r="Y26" s="42">
        <f t="shared" ca="1" si="20"/>
        <v>0</v>
      </c>
      <c r="Z26" s="42">
        <f t="shared" ca="1" si="16"/>
        <v>0</v>
      </c>
      <c r="AA26" s="51">
        <f t="shared" ca="1" si="17"/>
        <v>393.28678060370777</v>
      </c>
    </row>
    <row r="27" spans="4:27" ht="12" customHeight="1" x14ac:dyDescent="0.25">
      <c r="D27" s="43">
        <f t="shared" si="18"/>
        <v>16</v>
      </c>
      <c r="E27" s="63">
        <f t="shared" si="10"/>
        <v>4</v>
      </c>
      <c r="F27" s="43">
        <f t="shared" si="11"/>
        <v>69</v>
      </c>
      <c r="G27" s="42">
        <f t="shared" ca="1" si="19"/>
        <v>0</v>
      </c>
      <c r="H27" s="42">
        <f t="shared" ca="1" si="19"/>
        <v>14.588669851590859</v>
      </c>
      <c r="I27" s="42">
        <f t="shared" ca="1" si="19"/>
        <v>351.98898050000838</v>
      </c>
      <c r="J27" s="42">
        <f t="shared" ca="1" si="19"/>
        <v>6.8030810606485465E-6</v>
      </c>
      <c r="K27" s="42">
        <f t="shared" ca="1" si="19"/>
        <v>0</v>
      </c>
      <c r="L27" s="42">
        <f t="shared" ca="1" si="19"/>
        <v>0</v>
      </c>
      <c r="M27" s="42">
        <f t="shared" ca="1" si="19"/>
        <v>4.1755074484667816</v>
      </c>
      <c r="N27" s="42">
        <f t="shared" ca="1" si="19"/>
        <v>0</v>
      </c>
      <c r="O27" s="42">
        <f t="shared" ca="1" si="13"/>
        <v>0</v>
      </c>
      <c r="P27" s="51">
        <f t="shared" ca="1" si="14"/>
        <v>370.75316460314707</v>
      </c>
      <c r="R27" s="42">
        <f t="shared" ca="1" si="20"/>
        <v>2.4483317919138614E-4</v>
      </c>
      <c r="S27" s="42">
        <f t="shared" ca="1" si="20"/>
        <v>14.81435780630571</v>
      </c>
      <c r="T27" s="42">
        <f t="shared" ca="1" si="20"/>
        <v>357.43427975616709</v>
      </c>
      <c r="U27" s="42">
        <f t="shared" ca="1" si="20"/>
        <v>0</v>
      </c>
      <c r="V27" s="42">
        <f t="shared" ca="1" si="20"/>
        <v>0</v>
      </c>
      <c r="W27" s="42">
        <f t="shared" ca="1" si="20"/>
        <v>0</v>
      </c>
      <c r="X27" s="42">
        <f t="shared" ca="1" si="20"/>
        <v>4.2398790505003729</v>
      </c>
      <c r="Y27" s="42">
        <f t="shared" ca="1" si="20"/>
        <v>0</v>
      </c>
      <c r="Z27" s="42">
        <f t="shared" ca="1" si="16"/>
        <v>0</v>
      </c>
      <c r="AA27" s="51">
        <f t="shared" ca="1" si="17"/>
        <v>376.48876144615235</v>
      </c>
    </row>
    <row r="28" spans="4:27" ht="12" customHeight="1" x14ac:dyDescent="0.25">
      <c r="D28" s="43">
        <f t="shared" si="18"/>
        <v>17</v>
      </c>
      <c r="E28" s="63">
        <f t="shared" si="10"/>
        <v>4.25</v>
      </c>
      <c r="F28" s="43">
        <f t="shared" si="11"/>
        <v>69.25</v>
      </c>
      <c r="G28" s="42">
        <f t="shared" ca="1" si="19"/>
        <v>0</v>
      </c>
      <c r="H28" s="42">
        <f t="shared" ca="1" si="19"/>
        <v>13.96555450650243</v>
      </c>
      <c r="I28" s="42">
        <f t="shared" ca="1" si="19"/>
        <v>336.95472876336567</v>
      </c>
      <c r="J28" s="42">
        <f t="shared" ca="1" si="19"/>
        <v>2.908215858222184E-6</v>
      </c>
      <c r="K28" s="42">
        <f t="shared" ca="1" si="19"/>
        <v>0</v>
      </c>
      <c r="L28" s="42">
        <f t="shared" ca="1" si="19"/>
        <v>0</v>
      </c>
      <c r="M28" s="42">
        <f t="shared" ca="1" si="19"/>
        <v>3.9971729541719645</v>
      </c>
      <c r="N28" s="42">
        <f t="shared" ca="1" si="19"/>
        <v>0</v>
      </c>
      <c r="O28" s="42">
        <f t="shared" ca="1" si="13"/>
        <v>0</v>
      </c>
      <c r="P28" s="51">
        <f t="shared" ca="1" si="14"/>
        <v>354.91745913225589</v>
      </c>
      <c r="R28" s="42">
        <f t="shared" ca="1" si="20"/>
        <v>1.242576577739534E-4</v>
      </c>
      <c r="S28" s="42">
        <f t="shared" ca="1" si="20"/>
        <v>14.181608681468088</v>
      </c>
      <c r="T28" s="42">
        <f t="shared" ca="1" si="20"/>
        <v>342.16758843820702</v>
      </c>
      <c r="U28" s="42">
        <f t="shared" ca="1" si="20"/>
        <v>0</v>
      </c>
      <c r="V28" s="42">
        <f t="shared" ca="1" si="20"/>
        <v>0</v>
      </c>
      <c r="W28" s="42">
        <f t="shared" ca="1" si="20"/>
        <v>0</v>
      </c>
      <c r="X28" s="42">
        <f t="shared" ca="1" si="20"/>
        <v>4.0588959486514922</v>
      </c>
      <c r="Y28" s="42">
        <f t="shared" ca="1" si="20"/>
        <v>0</v>
      </c>
      <c r="Z28" s="42">
        <f t="shared" ca="1" si="16"/>
        <v>0</v>
      </c>
      <c r="AA28" s="51">
        <f t="shared" ca="1" si="17"/>
        <v>360.40821732598437</v>
      </c>
    </row>
    <row r="29" spans="4:27" ht="12" customHeight="1" x14ac:dyDescent="0.25">
      <c r="D29" s="43">
        <f t="shared" si="18"/>
        <v>18</v>
      </c>
      <c r="E29" s="63">
        <f t="shared" si="10"/>
        <v>4.5</v>
      </c>
      <c r="F29" s="43">
        <f t="shared" si="11"/>
        <v>69.5</v>
      </c>
      <c r="G29" s="42">
        <f t="shared" ca="1" si="19"/>
        <v>0</v>
      </c>
      <c r="H29" s="42">
        <f t="shared" ca="1" si="19"/>
        <v>13.369056899367214</v>
      </c>
      <c r="I29" s="42">
        <f t="shared" ca="1" si="19"/>
        <v>322.56269804760279</v>
      </c>
      <c r="J29" s="42">
        <f t="shared" ca="1" si="19"/>
        <v>1.2432189771980621E-6</v>
      </c>
      <c r="K29" s="42">
        <f t="shared" ca="1" si="19"/>
        <v>0</v>
      </c>
      <c r="L29" s="42">
        <f t="shared" ca="1" si="19"/>
        <v>0</v>
      </c>
      <c r="M29" s="42">
        <f t="shared" ca="1" si="19"/>
        <v>3.8264501414000196</v>
      </c>
      <c r="N29" s="42">
        <f t="shared" ca="1" si="19"/>
        <v>0</v>
      </c>
      <c r="O29" s="42">
        <f t="shared" ca="1" si="13"/>
        <v>0</v>
      </c>
      <c r="P29" s="51">
        <f t="shared" ca="1" si="14"/>
        <v>339.75820633158901</v>
      </c>
      <c r="R29" s="42">
        <f t="shared" ca="1" si="20"/>
        <v>6.3063207227315795E-5</v>
      </c>
      <c r="S29" s="42">
        <f t="shared" ca="1" si="20"/>
        <v>13.575885463538986</v>
      </c>
      <c r="T29" s="42">
        <f t="shared" ca="1" si="20"/>
        <v>327.5529662613402</v>
      </c>
      <c r="U29" s="42">
        <f t="shared" ca="1" si="20"/>
        <v>0</v>
      </c>
      <c r="V29" s="42">
        <f t="shared" ca="1" si="20"/>
        <v>0</v>
      </c>
      <c r="W29" s="42">
        <f t="shared" ca="1" si="20"/>
        <v>0</v>
      </c>
      <c r="X29" s="42">
        <f t="shared" ca="1" si="20"/>
        <v>3.8855887449020692</v>
      </c>
      <c r="Y29" s="42">
        <f t="shared" ca="1" si="20"/>
        <v>0</v>
      </c>
      <c r="Z29" s="42">
        <f t="shared" ca="1" si="16"/>
        <v>0</v>
      </c>
      <c r="AA29" s="51">
        <f t="shared" ca="1" si="17"/>
        <v>345.0145035329885</v>
      </c>
    </row>
    <row r="30" spans="4:27" ht="12" customHeight="1" x14ac:dyDescent="0.25">
      <c r="D30" s="43">
        <f t="shared" si="18"/>
        <v>19</v>
      </c>
      <c r="E30" s="63">
        <f t="shared" si="10"/>
        <v>4.75</v>
      </c>
      <c r="F30" s="43">
        <f t="shared" si="11"/>
        <v>69.75</v>
      </c>
      <c r="G30" s="42">
        <f t="shared" ca="1" si="19"/>
        <v>0</v>
      </c>
      <c r="H30" s="42">
        <f t="shared" ca="1" si="19"/>
        <v>12.798038242627358</v>
      </c>
      <c r="I30" s="42">
        <f t="shared" ca="1" si="19"/>
        <v>308.78541218967183</v>
      </c>
      <c r="J30" s="42">
        <f t="shared" ca="1" si="19"/>
        <v>5.3145760170987772E-7</v>
      </c>
      <c r="K30" s="42">
        <f t="shared" ca="1" si="19"/>
        <v>0</v>
      </c>
      <c r="L30" s="42">
        <f t="shared" ca="1" si="19"/>
        <v>0</v>
      </c>
      <c r="M30" s="42">
        <f t="shared" ca="1" si="19"/>
        <v>3.6630169470320788</v>
      </c>
      <c r="N30" s="42">
        <f t="shared" ca="1" si="19"/>
        <v>0</v>
      </c>
      <c r="O30" s="42">
        <f t="shared" ca="1" si="13"/>
        <v>0</v>
      </c>
      <c r="P30" s="51">
        <f t="shared" ca="1" si="14"/>
        <v>325.24646791078885</v>
      </c>
      <c r="R30" s="42">
        <f t="shared" ca="1" si="20"/>
        <v>3.2005819013828345E-5</v>
      </c>
      <c r="S30" s="42">
        <f t="shared" ca="1" si="20"/>
        <v>12.99603382513089</v>
      </c>
      <c r="T30" s="42">
        <f t="shared" ca="1" si="20"/>
        <v>313.56256212437438</v>
      </c>
      <c r="U30" s="42">
        <f t="shared" ca="1" si="20"/>
        <v>0</v>
      </c>
      <c r="V30" s="42">
        <f t="shared" ca="1" si="20"/>
        <v>0</v>
      </c>
      <c r="W30" s="42">
        <f t="shared" ca="1" si="20"/>
        <v>0</v>
      </c>
      <c r="X30" s="42">
        <f t="shared" ca="1" si="20"/>
        <v>3.7196562949178356</v>
      </c>
      <c r="Y30" s="42">
        <f t="shared" ca="1" si="20"/>
        <v>0</v>
      </c>
      <c r="Z30" s="42">
        <f t="shared" ca="1" si="16"/>
        <v>0</v>
      </c>
      <c r="AA30" s="51">
        <f t="shared" ca="1" si="17"/>
        <v>330.27828425024217</v>
      </c>
    </row>
    <row r="31" spans="4:27" ht="12" customHeight="1" x14ac:dyDescent="0.25">
      <c r="D31" s="43">
        <f t="shared" si="18"/>
        <v>20</v>
      </c>
      <c r="E31" s="63">
        <f t="shared" si="10"/>
        <v>5</v>
      </c>
      <c r="F31" s="43">
        <f t="shared" si="11"/>
        <v>70</v>
      </c>
      <c r="G31" s="42">
        <f t="shared" ref="G31:N40" ca="1" si="21">AVERAGE(OFFSET(D.Trace.Markov.Root, $D31, (G$2-1)*D.Trace.Markov.NumCols+G$3-1, CHOOSE(swtchHalfCycle, 2, 1)))*G$4</f>
        <v>0</v>
      </c>
      <c r="H31" s="42">
        <f t="shared" ca="1" si="21"/>
        <v>12.251409472735368</v>
      </c>
      <c r="I31" s="42">
        <f t="shared" ca="1" si="21"/>
        <v>295.59659474547743</v>
      </c>
      <c r="J31" s="42">
        <f t="shared" ca="1" si="21"/>
        <v>2.2719021153601429E-7</v>
      </c>
      <c r="K31" s="42">
        <f t="shared" ca="1" si="21"/>
        <v>0</v>
      </c>
      <c r="L31" s="42">
        <f t="shared" ca="1" si="21"/>
        <v>0</v>
      </c>
      <c r="M31" s="42">
        <f t="shared" ca="1" si="21"/>
        <v>3.5065633199136905</v>
      </c>
      <c r="N31" s="42">
        <f t="shared" ca="1" si="21"/>
        <v>0</v>
      </c>
      <c r="O31" s="42">
        <f t="shared" ca="1" si="13"/>
        <v>0</v>
      </c>
      <c r="P31" s="51">
        <f t="shared" ca="1" si="14"/>
        <v>311.35456776531669</v>
      </c>
      <c r="R31" s="42">
        <f t="shared" ref="R31:Y40" ca="1" si="22">AVERAGE(OFFSET(D.Trace.Markov.Root, $D31, (R$2-1)*D.Trace.Markov.NumCols+R$3-1, CHOOSE(swtchHalfCycle, 2, 1)))*R$4</f>
        <v>1.6243583157030271E-5</v>
      </c>
      <c r="S31" s="42">
        <f t="shared" ca="1" si="22"/>
        <v>12.440948742353186</v>
      </c>
      <c r="T31" s="42">
        <f t="shared" ca="1" si="22"/>
        <v>300.1697144991071</v>
      </c>
      <c r="U31" s="42">
        <f t="shared" ca="1" si="22"/>
        <v>0</v>
      </c>
      <c r="V31" s="42">
        <f t="shared" ca="1" si="22"/>
        <v>0</v>
      </c>
      <c r="W31" s="42">
        <f t="shared" ca="1" si="22"/>
        <v>0</v>
      </c>
      <c r="X31" s="42">
        <f t="shared" ca="1" si="22"/>
        <v>3.5607971637743674</v>
      </c>
      <c r="Y31" s="42">
        <f t="shared" ca="1" si="22"/>
        <v>0</v>
      </c>
      <c r="Z31" s="42">
        <f t="shared" ca="1" si="16"/>
        <v>0</v>
      </c>
      <c r="AA31" s="51">
        <f t="shared" ca="1" si="17"/>
        <v>316.17147664881782</v>
      </c>
    </row>
    <row r="32" spans="4:27" ht="12" customHeight="1" x14ac:dyDescent="0.25">
      <c r="D32" s="43">
        <f t="shared" si="18"/>
        <v>21</v>
      </c>
      <c r="E32" s="63">
        <f t="shared" si="10"/>
        <v>5.25</v>
      </c>
      <c r="F32" s="43">
        <f t="shared" si="11"/>
        <v>70.25</v>
      </c>
      <c r="G32" s="42">
        <f t="shared" ca="1" si="21"/>
        <v>0</v>
      </c>
      <c r="H32" s="42">
        <f t="shared" ca="1" si="21"/>
        <v>11.72812850559937</v>
      </c>
      <c r="I32" s="42">
        <f t="shared" ca="1" si="21"/>
        <v>282.97110277047244</v>
      </c>
      <c r="J32" s="42">
        <f t="shared" ca="1" si="21"/>
        <v>9.7120432658625719E-8</v>
      </c>
      <c r="K32" s="42">
        <f t="shared" ca="1" si="21"/>
        <v>0</v>
      </c>
      <c r="L32" s="42">
        <f t="shared" ca="1" si="21"/>
        <v>0</v>
      </c>
      <c r="M32" s="42">
        <f t="shared" ca="1" si="21"/>
        <v>3.356791706243115</v>
      </c>
      <c r="N32" s="42">
        <f t="shared" ca="1" si="21"/>
        <v>0</v>
      </c>
      <c r="O32" s="42">
        <f t="shared" ca="1" si="13"/>
        <v>0</v>
      </c>
      <c r="P32" s="51">
        <f t="shared" ca="1" si="14"/>
        <v>298.05602307943536</v>
      </c>
      <c r="R32" s="42">
        <f t="shared" ca="1" si="22"/>
        <v>8.2439381934065596E-6</v>
      </c>
      <c r="S32" s="42">
        <f t="shared" ca="1" si="22"/>
        <v>11.909572388966945</v>
      </c>
      <c r="T32" s="42">
        <f t="shared" ca="1" si="22"/>
        <v>287.3489006214225</v>
      </c>
      <c r="U32" s="42">
        <f t="shared" ca="1" si="22"/>
        <v>0</v>
      </c>
      <c r="V32" s="42">
        <f t="shared" ca="1" si="22"/>
        <v>0</v>
      </c>
      <c r="W32" s="42">
        <f t="shared" ca="1" si="22"/>
        <v>0</v>
      </c>
      <c r="X32" s="42">
        <f t="shared" ca="1" si="22"/>
        <v>3.4087161159780357</v>
      </c>
      <c r="Y32" s="42">
        <f t="shared" ca="1" si="22"/>
        <v>0</v>
      </c>
      <c r="Z32" s="42">
        <f t="shared" ca="1" si="16"/>
        <v>0</v>
      </c>
      <c r="AA32" s="51">
        <f t="shared" ca="1" si="17"/>
        <v>302.6671973703057</v>
      </c>
    </row>
    <row r="33" spans="4:27" ht="12" customHeight="1" x14ac:dyDescent="0.25">
      <c r="D33" s="43">
        <f t="shared" si="18"/>
        <v>22</v>
      </c>
      <c r="E33" s="63">
        <f t="shared" si="10"/>
        <v>5.5</v>
      </c>
      <c r="F33" s="43">
        <f t="shared" si="11"/>
        <v>70.5</v>
      </c>
      <c r="G33" s="42">
        <f t="shared" ca="1" si="21"/>
        <v>0</v>
      </c>
      <c r="H33" s="42">
        <f t="shared" ca="1" si="21"/>
        <v>11.227197964641272</v>
      </c>
      <c r="I33" s="42">
        <f t="shared" ca="1" si="21"/>
        <v>270.8848720032492</v>
      </c>
      <c r="J33" s="42">
        <f t="shared" ca="1" si="21"/>
        <v>4.151753887646445E-8</v>
      </c>
      <c r="K33" s="42">
        <f t="shared" ca="1" si="21"/>
        <v>0</v>
      </c>
      <c r="L33" s="42">
        <f t="shared" ca="1" si="21"/>
        <v>0</v>
      </c>
      <c r="M33" s="42">
        <f t="shared" ca="1" si="21"/>
        <v>3.2134169426049057</v>
      </c>
      <c r="N33" s="42">
        <f t="shared" ca="1" si="21"/>
        <v>0</v>
      </c>
      <c r="O33" s="42">
        <f t="shared" ca="1" si="13"/>
        <v>0</v>
      </c>
      <c r="P33" s="51">
        <f t="shared" ca="1" si="14"/>
        <v>285.32548695201291</v>
      </c>
      <c r="R33" s="42">
        <f t="shared" ca="1" si="22"/>
        <v>4.1839609081136178E-6</v>
      </c>
      <c r="S33" s="42">
        <f t="shared" ca="1" si="22"/>
        <v>11.400892120484327</v>
      </c>
      <c r="T33" s="42">
        <f t="shared" ca="1" si="22"/>
        <v>275.07568785253238</v>
      </c>
      <c r="U33" s="42">
        <f t="shared" ca="1" si="22"/>
        <v>0</v>
      </c>
      <c r="V33" s="42">
        <f t="shared" ca="1" si="22"/>
        <v>0</v>
      </c>
      <c r="W33" s="42">
        <f t="shared" ca="1" si="22"/>
        <v>0</v>
      </c>
      <c r="X33" s="42">
        <f t="shared" ca="1" si="22"/>
        <v>3.2631271381908618</v>
      </c>
      <c r="Y33" s="42">
        <f t="shared" ca="1" si="22"/>
        <v>0</v>
      </c>
      <c r="Z33" s="42">
        <f t="shared" ca="1" si="16"/>
        <v>0</v>
      </c>
      <c r="AA33" s="51">
        <f t="shared" ca="1" si="17"/>
        <v>289.73971129516843</v>
      </c>
    </row>
    <row r="34" spans="4:27" ht="12" customHeight="1" x14ac:dyDescent="0.25">
      <c r="D34" s="43">
        <f t="shared" si="18"/>
        <v>23</v>
      </c>
      <c r="E34" s="63">
        <f t="shared" si="10"/>
        <v>5.75</v>
      </c>
      <c r="F34" s="43">
        <f t="shared" si="11"/>
        <v>70.75</v>
      </c>
      <c r="G34" s="42">
        <f t="shared" ca="1" si="21"/>
        <v>0</v>
      </c>
      <c r="H34" s="42">
        <f t="shared" ca="1" si="21"/>
        <v>10.747663157816861</v>
      </c>
      <c r="I34" s="42">
        <f t="shared" ca="1" si="21"/>
        <v>259.31486805597456</v>
      </c>
      <c r="J34" s="42">
        <f t="shared" ca="1" si="21"/>
        <v>1.7748129689840777E-8</v>
      </c>
      <c r="K34" s="42">
        <f t="shared" ca="1" si="21"/>
        <v>0</v>
      </c>
      <c r="L34" s="42">
        <f t="shared" ca="1" si="21"/>
        <v>0</v>
      </c>
      <c r="M34" s="42">
        <f t="shared" ca="1" si="21"/>
        <v>3.0761659092119662</v>
      </c>
      <c r="N34" s="42">
        <f t="shared" ca="1" si="21"/>
        <v>0</v>
      </c>
      <c r="O34" s="42">
        <f t="shared" ca="1" si="13"/>
        <v>0</v>
      </c>
      <c r="P34" s="51">
        <f t="shared" ca="1" si="14"/>
        <v>273.1386971407515</v>
      </c>
      <c r="R34" s="42">
        <f t="shared" ca="1" si="22"/>
        <v>2.1234425186039986E-6</v>
      </c>
      <c r="S34" s="42">
        <f t="shared" ca="1" si="22"/>
        <v>10.913938544370888</v>
      </c>
      <c r="T34" s="42">
        <f t="shared" ca="1" si="22"/>
        <v>263.32668711767019</v>
      </c>
      <c r="U34" s="42">
        <f t="shared" ca="1" si="22"/>
        <v>0</v>
      </c>
      <c r="V34" s="42">
        <f t="shared" ca="1" si="22"/>
        <v>0</v>
      </c>
      <c r="W34" s="42">
        <f t="shared" ca="1" si="22"/>
        <v>0</v>
      </c>
      <c r="X34" s="42">
        <f t="shared" ca="1" si="22"/>
        <v>3.123754713813057</v>
      </c>
      <c r="Y34" s="42">
        <f t="shared" ca="1" si="22"/>
        <v>0</v>
      </c>
      <c r="Z34" s="42">
        <f t="shared" ca="1" si="16"/>
        <v>0</v>
      </c>
      <c r="AA34" s="51">
        <f t="shared" ca="1" si="17"/>
        <v>277.36438249929665</v>
      </c>
    </row>
    <row r="35" spans="4:27" ht="12" customHeight="1" x14ac:dyDescent="0.25">
      <c r="D35" s="43">
        <f t="shared" si="18"/>
        <v>24</v>
      </c>
      <c r="E35" s="63">
        <f t="shared" si="10"/>
        <v>6</v>
      </c>
      <c r="F35" s="43">
        <f t="shared" si="11"/>
        <v>71</v>
      </c>
      <c r="G35" s="42">
        <f t="shared" ca="1" si="21"/>
        <v>0</v>
      </c>
      <c r="H35" s="42">
        <f t="shared" ca="1" si="21"/>
        <v>10.288610205986002</v>
      </c>
      <c r="I35" s="42">
        <f t="shared" ca="1" si="21"/>
        <v>248.23904125653243</v>
      </c>
      <c r="J35" s="42">
        <f t="shared" ca="1" si="21"/>
        <v>7.5870611797264617E-9</v>
      </c>
      <c r="K35" s="42">
        <f t="shared" ca="1" si="21"/>
        <v>0</v>
      </c>
      <c r="L35" s="42">
        <f t="shared" ca="1" si="21"/>
        <v>0</v>
      </c>
      <c r="M35" s="42">
        <f t="shared" ca="1" si="21"/>
        <v>2.9447770934979127</v>
      </c>
      <c r="N35" s="42">
        <f t="shared" ca="1" si="21"/>
        <v>0</v>
      </c>
      <c r="O35" s="42">
        <f t="shared" ca="1" si="13"/>
        <v>0</v>
      </c>
      <c r="P35" s="51">
        <f t="shared" ca="1" si="14"/>
        <v>261.47242856360339</v>
      </c>
      <c r="R35" s="42">
        <f t="shared" ca="1" si="22"/>
        <v>1.0776888763638633E-6</v>
      </c>
      <c r="S35" s="42">
        <f t="shared" ca="1" si="22"/>
        <v>10.447783672673186</v>
      </c>
      <c r="T35" s="42">
        <f t="shared" ca="1" si="22"/>
        <v>252.07950833350614</v>
      </c>
      <c r="U35" s="42">
        <f t="shared" ca="1" si="22"/>
        <v>0</v>
      </c>
      <c r="V35" s="42">
        <f t="shared" ca="1" si="22"/>
        <v>0</v>
      </c>
      <c r="W35" s="42">
        <f t="shared" ca="1" si="22"/>
        <v>0</v>
      </c>
      <c r="X35" s="42">
        <f t="shared" ca="1" si="22"/>
        <v>2.9903342214330859</v>
      </c>
      <c r="Y35" s="42">
        <f t="shared" ca="1" si="22"/>
        <v>0</v>
      </c>
      <c r="Z35" s="42">
        <f t="shared" ca="1" si="16"/>
        <v>0</v>
      </c>
      <c r="AA35" s="51">
        <f t="shared" ca="1" si="17"/>
        <v>265.51762730530129</v>
      </c>
    </row>
    <row r="36" spans="4:27" ht="12" customHeight="1" x14ac:dyDescent="0.25">
      <c r="D36" s="43">
        <f t="shared" si="18"/>
        <v>25</v>
      </c>
      <c r="E36" s="63">
        <f t="shared" si="10"/>
        <v>6.25</v>
      </c>
      <c r="F36" s="43">
        <f t="shared" si="11"/>
        <v>71.25</v>
      </c>
      <c r="G36" s="42">
        <f t="shared" ca="1" si="21"/>
        <v>0</v>
      </c>
      <c r="H36" s="42">
        <f t="shared" ca="1" si="21"/>
        <v>9.8491642789866134</v>
      </c>
      <c r="I36" s="42">
        <f t="shared" ca="1" si="21"/>
        <v>237.6362840892964</v>
      </c>
      <c r="J36" s="42">
        <f t="shared" ca="1" si="21"/>
        <v>3.2433556859719297E-9</v>
      </c>
      <c r="K36" s="42">
        <f t="shared" ca="1" si="21"/>
        <v>0</v>
      </c>
      <c r="L36" s="42">
        <f t="shared" ca="1" si="21"/>
        <v>0</v>
      </c>
      <c r="M36" s="42">
        <f t="shared" ca="1" si="21"/>
        <v>2.8190001276939793</v>
      </c>
      <c r="N36" s="42">
        <f t="shared" ca="1" si="21"/>
        <v>0</v>
      </c>
      <c r="O36" s="42">
        <f t="shared" ca="1" si="13"/>
        <v>0</v>
      </c>
      <c r="P36" s="51">
        <f t="shared" ca="1" si="14"/>
        <v>250.30444849922034</v>
      </c>
      <c r="R36" s="42">
        <f t="shared" ca="1" si="22"/>
        <v>5.4694831814988179E-7</v>
      </c>
      <c r="S36" s="42">
        <f t="shared" ca="1" si="22"/>
        <v>10.001539153551143</v>
      </c>
      <c r="T36" s="42">
        <f t="shared" ca="1" si="22"/>
        <v>241.31271773934131</v>
      </c>
      <c r="U36" s="42">
        <f t="shared" ca="1" si="22"/>
        <v>0</v>
      </c>
      <c r="V36" s="42">
        <f t="shared" ca="1" si="22"/>
        <v>0</v>
      </c>
      <c r="W36" s="42">
        <f t="shared" ca="1" si="22"/>
        <v>0</v>
      </c>
      <c r="X36" s="42">
        <f t="shared" ca="1" si="22"/>
        <v>2.8626118992339715</v>
      </c>
      <c r="Y36" s="42">
        <f t="shared" ca="1" si="22"/>
        <v>0</v>
      </c>
      <c r="Z36" s="42">
        <f t="shared" ca="1" si="16"/>
        <v>0</v>
      </c>
      <c r="AA36" s="51">
        <f t="shared" ca="1" si="17"/>
        <v>254.17686933907473</v>
      </c>
    </row>
    <row r="37" spans="4:27" ht="12" customHeight="1" x14ac:dyDescent="0.25">
      <c r="D37" s="43">
        <f t="shared" si="18"/>
        <v>26</v>
      </c>
      <c r="E37" s="63">
        <f t="shared" si="10"/>
        <v>6.5</v>
      </c>
      <c r="F37" s="43">
        <f t="shared" si="11"/>
        <v>71.5</v>
      </c>
      <c r="G37" s="42">
        <f t="shared" ca="1" si="21"/>
        <v>0</v>
      </c>
      <c r="H37" s="42">
        <f t="shared" ca="1" si="21"/>
        <v>9.4284879189174902</v>
      </c>
      <c r="I37" s="42">
        <f t="shared" ca="1" si="21"/>
        <v>227.48639074003822</v>
      </c>
      <c r="J37" s="42">
        <f t="shared" ca="1" si="21"/>
        <v>1.3864862634606701E-9</v>
      </c>
      <c r="K37" s="42">
        <f t="shared" ca="1" si="21"/>
        <v>0</v>
      </c>
      <c r="L37" s="42">
        <f t="shared" ca="1" si="21"/>
        <v>0</v>
      </c>
      <c r="M37" s="42">
        <f t="shared" ca="1" si="21"/>
        <v>2.6985953270674226</v>
      </c>
      <c r="N37" s="42">
        <f t="shared" ca="1" si="21"/>
        <v>0</v>
      </c>
      <c r="O37" s="42">
        <f t="shared" ca="1" si="13"/>
        <v>0</v>
      </c>
      <c r="P37" s="51">
        <f t="shared" ca="1" si="14"/>
        <v>239.61347398740961</v>
      </c>
      <c r="R37" s="42">
        <f t="shared" ca="1" si="22"/>
        <v>2.7758703767670752E-7</v>
      </c>
      <c r="S37" s="42">
        <f t="shared" ca="1" si="22"/>
        <v>9.5743545783449857</v>
      </c>
      <c r="T37" s="42">
        <f t="shared" ca="1" si="22"/>
        <v>231.00579705076686</v>
      </c>
      <c r="U37" s="42">
        <f t="shared" ca="1" si="22"/>
        <v>0</v>
      </c>
      <c r="V37" s="42">
        <f t="shared" ca="1" si="22"/>
        <v>0</v>
      </c>
      <c r="W37" s="42">
        <f t="shared" ca="1" si="22"/>
        <v>0</v>
      </c>
      <c r="X37" s="42">
        <f t="shared" ca="1" si="22"/>
        <v>2.7403445992713795</v>
      </c>
      <c r="Y37" s="42">
        <f t="shared" ca="1" si="22"/>
        <v>0</v>
      </c>
      <c r="Z37" s="42">
        <f t="shared" ca="1" si="16"/>
        <v>0</v>
      </c>
      <c r="AA37" s="51">
        <f t="shared" ca="1" si="17"/>
        <v>243.32049650597025</v>
      </c>
    </row>
    <row r="38" spans="4:27" ht="12" customHeight="1" x14ac:dyDescent="0.25">
      <c r="D38" s="43">
        <f t="shared" si="18"/>
        <v>27</v>
      </c>
      <c r="E38" s="63">
        <f t="shared" si="10"/>
        <v>6.75</v>
      </c>
      <c r="F38" s="43">
        <f t="shared" si="11"/>
        <v>71.75</v>
      </c>
      <c r="G38" s="42">
        <f t="shared" ca="1" si="21"/>
        <v>0</v>
      </c>
      <c r="H38" s="42">
        <f t="shared" ca="1" si="21"/>
        <v>9.0257794401103713</v>
      </c>
      <c r="I38" s="42">
        <f t="shared" ca="1" si="21"/>
        <v>217.7700184911611</v>
      </c>
      <c r="J38" s="42">
        <f t="shared" ca="1" si="21"/>
        <v>5.9270223339351864E-10</v>
      </c>
      <c r="K38" s="42">
        <f t="shared" ca="1" si="21"/>
        <v>0</v>
      </c>
      <c r="L38" s="42">
        <f t="shared" ca="1" si="21"/>
        <v>0</v>
      </c>
      <c r="M38" s="42">
        <f t="shared" ca="1" si="21"/>
        <v>2.5833332397221818</v>
      </c>
      <c r="N38" s="42">
        <f t="shared" ca="1" si="21"/>
        <v>0</v>
      </c>
      <c r="O38" s="42">
        <f t="shared" ca="1" si="13"/>
        <v>0</v>
      </c>
      <c r="P38" s="51">
        <f t="shared" ca="1" si="14"/>
        <v>229.37913117158635</v>
      </c>
      <c r="R38" s="42">
        <f t="shared" ca="1" si="22"/>
        <v>1.4088088568729154E-7</v>
      </c>
      <c r="S38" s="42">
        <f t="shared" ca="1" si="22"/>
        <v>9.1654158609505512</v>
      </c>
      <c r="T38" s="42">
        <f t="shared" ca="1" si="22"/>
        <v>221.13910435794736</v>
      </c>
      <c r="U38" s="42">
        <f t="shared" ca="1" si="22"/>
        <v>0</v>
      </c>
      <c r="V38" s="42">
        <f t="shared" ca="1" si="22"/>
        <v>0</v>
      </c>
      <c r="W38" s="42">
        <f t="shared" ca="1" si="22"/>
        <v>0</v>
      </c>
      <c r="X38" s="42">
        <f t="shared" ca="1" si="22"/>
        <v>2.6232994448311695</v>
      </c>
      <c r="Y38" s="42">
        <f t="shared" ca="1" si="22"/>
        <v>0</v>
      </c>
      <c r="Z38" s="42">
        <f t="shared" ca="1" si="16"/>
        <v>0</v>
      </c>
      <c r="AA38" s="51">
        <f t="shared" ca="1" si="17"/>
        <v>232.92781980460995</v>
      </c>
    </row>
    <row r="39" spans="4:27" ht="12" customHeight="1" x14ac:dyDescent="0.25">
      <c r="D39" s="43">
        <f t="shared" si="18"/>
        <v>28</v>
      </c>
      <c r="E39" s="63">
        <f t="shared" si="10"/>
        <v>7</v>
      </c>
      <c r="F39" s="43">
        <f t="shared" si="11"/>
        <v>72</v>
      </c>
      <c r="G39" s="42">
        <f t="shared" ca="1" si="21"/>
        <v>0</v>
      </c>
      <c r="H39" s="42">
        <f t="shared" ca="1" si="21"/>
        <v>8.6402713996110609</v>
      </c>
      <c r="I39" s="42">
        <f t="shared" ca="1" si="21"/>
        <v>208.46865081814391</v>
      </c>
      <c r="J39" s="42">
        <f t="shared" ca="1" si="21"/>
        <v>2.5337137967225896E-10</v>
      </c>
      <c r="K39" s="42">
        <f t="shared" ca="1" si="21"/>
        <v>0</v>
      </c>
      <c r="L39" s="42">
        <f t="shared" ca="1" si="21"/>
        <v>0</v>
      </c>
      <c r="M39" s="42">
        <f t="shared" ca="1" si="21"/>
        <v>2.4729942121399207</v>
      </c>
      <c r="N39" s="42">
        <f t="shared" ca="1" si="21"/>
        <v>0</v>
      </c>
      <c r="O39" s="42">
        <f t="shared" ca="1" si="13"/>
        <v>0</v>
      </c>
      <c r="P39" s="51">
        <f t="shared" ca="1" si="14"/>
        <v>219.58191643014828</v>
      </c>
      <c r="R39" s="42">
        <f t="shared" ca="1" si="22"/>
        <v>7.1499822607534912E-8</v>
      </c>
      <c r="S39" s="42">
        <f t="shared" ca="1" si="22"/>
        <v>8.773943686414519</v>
      </c>
      <c r="T39" s="42">
        <f t="shared" ca="1" si="22"/>
        <v>211.69383669401202</v>
      </c>
      <c r="U39" s="42">
        <f t="shared" ca="1" si="22"/>
        <v>0</v>
      </c>
      <c r="V39" s="42">
        <f t="shared" ca="1" si="22"/>
        <v>0</v>
      </c>
      <c r="W39" s="42">
        <f t="shared" ca="1" si="22"/>
        <v>0</v>
      </c>
      <c r="X39" s="42">
        <f t="shared" ca="1" si="22"/>
        <v>2.5112534479062281</v>
      </c>
      <c r="Y39" s="42">
        <f t="shared" ca="1" si="22"/>
        <v>0</v>
      </c>
      <c r="Z39" s="42">
        <f t="shared" ca="1" si="16"/>
        <v>0</v>
      </c>
      <c r="AA39" s="51">
        <f t="shared" ca="1" si="17"/>
        <v>222.97903389983259</v>
      </c>
    </row>
    <row r="40" spans="4:27" ht="12" customHeight="1" x14ac:dyDescent="0.25">
      <c r="D40" s="43">
        <f t="shared" si="18"/>
        <v>29</v>
      </c>
      <c r="E40" s="63">
        <f t="shared" si="10"/>
        <v>7.25</v>
      </c>
      <c r="F40" s="43">
        <f t="shared" si="11"/>
        <v>72.25</v>
      </c>
      <c r="G40" s="42">
        <f t="shared" ca="1" si="21"/>
        <v>0</v>
      </c>
      <c r="H40" s="42">
        <f t="shared" ca="1" si="21"/>
        <v>8.2712291339163411</v>
      </c>
      <c r="I40" s="42">
        <f t="shared" ca="1" si="21"/>
        <v>199.56456208457558</v>
      </c>
      <c r="J40" s="42">
        <f t="shared" ca="1" si="21"/>
        <v>1.0831249220955949E-10</v>
      </c>
      <c r="K40" s="42">
        <f t="shared" ca="1" si="21"/>
        <v>0</v>
      </c>
      <c r="L40" s="42">
        <f t="shared" ca="1" si="21"/>
        <v>0</v>
      </c>
      <c r="M40" s="42">
        <f t="shared" ca="1" si="21"/>
        <v>2.3673679717863609</v>
      </c>
      <c r="N40" s="42">
        <f t="shared" ca="1" si="21"/>
        <v>0</v>
      </c>
      <c r="O40" s="42">
        <f t="shared" ca="1" si="13"/>
        <v>0</v>
      </c>
      <c r="P40" s="51">
        <f t="shared" ca="1" si="14"/>
        <v>210.2031591903866</v>
      </c>
      <c r="R40" s="42">
        <f t="shared" ca="1" si="22"/>
        <v>3.628756738693701E-8</v>
      </c>
      <c r="S40" s="42">
        <f t="shared" ca="1" si="22"/>
        <v>8.3991920257930719</v>
      </c>
      <c r="T40" s="42">
        <f t="shared" ca="1" si="22"/>
        <v>202.65199420222072</v>
      </c>
      <c r="U40" s="42">
        <f t="shared" ca="1" si="22"/>
        <v>0</v>
      </c>
      <c r="V40" s="42">
        <f t="shared" ca="1" si="22"/>
        <v>0</v>
      </c>
      <c r="W40" s="42">
        <f t="shared" ca="1" si="22"/>
        <v>0</v>
      </c>
      <c r="X40" s="42">
        <f t="shared" ca="1" si="22"/>
        <v>2.4039931153438352</v>
      </c>
      <c r="Y40" s="42">
        <f t="shared" ca="1" si="22"/>
        <v>0</v>
      </c>
      <c r="Z40" s="42">
        <f t="shared" ca="1" si="16"/>
        <v>0</v>
      </c>
      <c r="AA40" s="51">
        <f t="shared" ca="1" si="17"/>
        <v>213.45517937964519</v>
      </c>
    </row>
    <row r="41" spans="4:27" ht="12" customHeight="1" x14ac:dyDescent="0.25">
      <c r="D41" s="43">
        <f t="shared" si="18"/>
        <v>30</v>
      </c>
      <c r="E41" s="63">
        <f t="shared" si="10"/>
        <v>7.5</v>
      </c>
      <c r="F41" s="43">
        <f t="shared" si="11"/>
        <v>72.5</v>
      </c>
      <c r="G41" s="42">
        <f t="shared" ref="G41:N50" ca="1" si="23">AVERAGE(OFFSET(D.Trace.Markov.Root, $D41, (G$2-1)*D.Trace.Markov.NumCols+G$3-1, CHOOSE(swtchHalfCycle, 2, 1)))*G$4</f>
        <v>0</v>
      </c>
      <c r="H41" s="42">
        <f t="shared" ca="1" si="23"/>
        <v>7.9179493586059237</v>
      </c>
      <c r="I41" s="42">
        <f t="shared" ca="1" si="23"/>
        <v>191.04078375469408</v>
      </c>
      <c r="J41" s="42">
        <f t="shared" ca="1" si="23"/>
        <v>4.6301977689117624E-11</v>
      </c>
      <c r="K41" s="42">
        <f t="shared" ca="1" si="23"/>
        <v>0</v>
      </c>
      <c r="L41" s="42">
        <f t="shared" ca="1" si="23"/>
        <v>0</v>
      </c>
      <c r="M41" s="42">
        <f t="shared" ca="1" si="23"/>
        <v>2.2662532269077884</v>
      </c>
      <c r="N41" s="42">
        <f t="shared" ca="1" si="23"/>
        <v>0</v>
      </c>
      <c r="O41" s="42">
        <f t="shared" ca="1" si="13"/>
        <v>0</v>
      </c>
      <c r="P41" s="51">
        <f t="shared" ca="1" si="14"/>
        <v>201.22498634025411</v>
      </c>
      <c r="R41" s="42">
        <f t="shared" ref="R41:Y50" ca="1" si="24">AVERAGE(OFFSET(D.Trace.Markov.Root, $D41, (R$2-1)*D.Trace.Markov.NumCols+R$3-1, CHOOSE(swtchHalfCycle, 2, 1)))*R$4</f>
        <v>1.8416654738982901E-8</v>
      </c>
      <c r="S41" s="42">
        <f t="shared" ca="1" si="24"/>
        <v>8.0404467144437266</v>
      </c>
      <c r="T41" s="42">
        <f t="shared" ca="1" si="24"/>
        <v>193.99634583361748</v>
      </c>
      <c r="U41" s="42">
        <f t="shared" ca="1" si="24"/>
        <v>0</v>
      </c>
      <c r="V41" s="42">
        <f t="shared" ca="1" si="24"/>
        <v>0</v>
      </c>
      <c r="W41" s="42">
        <f t="shared" ca="1" si="24"/>
        <v>0</v>
      </c>
      <c r="X41" s="42">
        <f t="shared" ca="1" si="24"/>
        <v>2.3013140577732902</v>
      </c>
      <c r="Y41" s="42">
        <f t="shared" ca="1" si="24"/>
        <v>0</v>
      </c>
      <c r="Z41" s="42">
        <f t="shared" ca="1" si="16"/>
        <v>0</v>
      </c>
      <c r="AA41" s="51">
        <f t="shared" ca="1" si="17"/>
        <v>204.33810662425114</v>
      </c>
    </row>
    <row r="42" spans="4:27" ht="12" customHeight="1" x14ac:dyDescent="0.25">
      <c r="D42" s="43">
        <f t="shared" si="18"/>
        <v>31</v>
      </c>
      <c r="E42" s="63">
        <f t="shared" si="10"/>
        <v>7.75</v>
      </c>
      <c r="F42" s="43">
        <f t="shared" si="11"/>
        <v>72.75</v>
      </c>
      <c r="G42" s="42">
        <f t="shared" ca="1" si="23"/>
        <v>0</v>
      </c>
      <c r="H42" s="42">
        <f t="shared" ca="1" si="23"/>
        <v>7.57975882795622</v>
      </c>
      <c r="I42" s="42">
        <f t="shared" ca="1" si="23"/>
        <v>182.88107205313929</v>
      </c>
      <c r="J42" s="42">
        <f t="shared" ca="1" si="23"/>
        <v>1.9793406043835185E-11</v>
      </c>
      <c r="K42" s="42">
        <f t="shared" ca="1" si="23"/>
        <v>0</v>
      </c>
      <c r="L42" s="42">
        <f t="shared" ca="1" si="23"/>
        <v>0</v>
      </c>
      <c r="M42" s="42">
        <f t="shared" ca="1" si="23"/>
        <v>2.1694572831484886</v>
      </c>
      <c r="N42" s="42">
        <f t="shared" ca="1" si="23"/>
        <v>0</v>
      </c>
      <c r="O42" s="42">
        <f t="shared" ca="1" si="13"/>
        <v>0</v>
      </c>
      <c r="P42" s="51">
        <f t="shared" ca="1" si="14"/>
        <v>192.63028816426379</v>
      </c>
      <c r="R42" s="42">
        <f t="shared" ca="1" si="24"/>
        <v>9.3468147963260473E-9</v>
      </c>
      <c r="S42" s="42">
        <f t="shared" ca="1" si="24"/>
        <v>7.6970240910410235</v>
      </c>
      <c r="T42" s="42">
        <f t="shared" ca="1" si="24"/>
        <v>185.71039650980208</v>
      </c>
      <c r="U42" s="42">
        <f t="shared" ca="1" si="24"/>
        <v>0</v>
      </c>
      <c r="V42" s="42">
        <f t="shared" ca="1" si="24"/>
        <v>0</v>
      </c>
      <c r="W42" s="42">
        <f t="shared" ca="1" si="24"/>
        <v>0</v>
      </c>
      <c r="X42" s="42">
        <f t="shared" ca="1" si="24"/>
        <v>2.2030206081104211</v>
      </c>
      <c r="Y42" s="42">
        <f t="shared" ca="1" si="24"/>
        <v>0</v>
      </c>
      <c r="Z42" s="42">
        <f t="shared" ca="1" si="16"/>
        <v>0</v>
      </c>
      <c r="AA42" s="51">
        <f t="shared" ca="1" si="17"/>
        <v>195.61044121830034</v>
      </c>
    </row>
    <row r="43" spans="4:27" ht="12" customHeight="1" x14ac:dyDescent="0.25">
      <c r="D43" s="43">
        <f t="shared" si="18"/>
        <v>32</v>
      </c>
      <c r="E43" s="63">
        <f t="shared" ref="E43:E74" si="25">D43*D.cycleLength</f>
        <v>8</v>
      </c>
      <c r="F43" s="43">
        <f t="shared" ref="F43:F74" si="26">D.cohortAge+D43*D.cycleLength</f>
        <v>73</v>
      </c>
      <c r="G43" s="42">
        <f t="shared" ca="1" si="23"/>
        <v>0</v>
      </c>
      <c r="H43" s="42">
        <f t="shared" ca="1" si="23"/>
        <v>7.2560130518769403</v>
      </c>
      <c r="I43" s="42">
        <f t="shared" ca="1" si="23"/>
        <v>175.06987700776622</v>
      </c>
      <c r="J43" s="42">
        <f t="shared" ca="1" si="23"/>
        <v>8.4613863676974481E-12</v>
      </c>
      <c r="K43" s="42">
        <f t="shared" ca="1" si="23"/>
        <v>0</v>
      </c>
      <c r="L43" s="42">
        <f t="shared" ca="1" si="23"/>
        <v>0</v>
      </c>
      <c r="M43" s="42">
        <f t="shared" ca="1" si="23"/>
        <v>2.0767956764266664</v>
      </c>
      <c r="N43" s="42">
        <f t="shared" ca="1" si="23"/>
        <v>0</v>
      </c>
      <c r="O43" s="42">
        <f t="shared" ref="O43:O74" ca="1" si="27">(OFFSET(D.Trace.Markov.Root, $D43+1, (O$2-1)*D.Trace.Markov.NumCols+O$3-1)-OFFSET(D.Trace.Markov.Root, $D43, (O$2-1)*D.Trace.Markov.NumCols+O$3-1))*O$4</f>
        <v>0</v>
      </c>
      <c r="P43" s="51">
        <f t="shared" ref="P43:P74" ca="1" si="28">SUM(G43:O43)</f>
        <v>184.4026857360783</v>
      </c>
      <c r="R43" s="42">
        <f t="shared" ca="1" si="24"/>
        <v>4.7436924932895996E-9</v>
      </c>
      <c r="S43" s="42">
        <f t="shared" ca="1" si="24"/>
        <v>7.3682696947223878</v>
      </c>
      <c r="T43" s="42">
        <f t="shared" ca="1" si="24"/>
        <v>177.77835568824122</v>
      </c>
      <c r="U43" s="42">
        <f t="shared" ca="1" si="24"/>
        <v>0</v>
      </c>
      <c r="V43" s="42">
        <f t="shared" ca="1" si="24"/>
        <v>0</v>
      </c>
      <c r="W43" s="42">
        <f t="shared" ca="1" si="24"/>
        <v>0</v>
      </c>
      <c r="X43" s="42">
        <f t="shared" ca="1" si="24"/>
        <v>2.108925452739618</v>
      </c>
      <c r="Y43" s="42">
        <f t="shared" ca="1" si="24"/>
        <v>0</v>
      </c>
      <c r="Z43" s="42">
        <f t="shared" ref="Z43:Z74" ca="1" si="29">(OFFSET(D.Trace.Markov.Root, $D43+1, (Z$2-1)*D.Trace.Markov.NumCols+Z$3-1)-OFFSET(D.Trace.Markov.Root, $D43, (Z$2-1)*D.Trace.Markov.NumCols+Z$3-1))*Z$4</f>
        <v>0</v>
      </c>
      <c r="AA43" s="51">
        <f t="shared" ref="AA43:AA74" ca="1" si="30">SUM(R43:Z43)</f>
        <v>187.25555084044692</v>
      </c>
    </row>
    <row r="44" spans="4:27" ht="12" customHeight="1" x14ac:dyDescent="0.25">
      <c r="D44" s="43">
        <f t="shared" ref="D44:D75" si="31">D43+1</f>
        <v>33</v>
      </c>
      <c r="E44" s="63">
        <f t="shared" si="25"/>
        <v>8.25</v>
      </c>
      <c r="F44" s="43">
        <f t="shared" si="26"/>
        <v>73.25</v>
      </c>
      <c r="G44" s="42">
        <f t="shared" ca="1" si="23"/>
        <v>0</v>
      </c>
      <c r="H44" s="42">
        <f t="shared" ca="1" si="23"/>
        <v>6.9460950676807078</v>
      </c>
      <c r="I44" s="42">
        <f t="shared" ca="1" si="23"/>
        <v>167.59231281544515</v>
      </c>
      <c r="J44" s="42">
        <f t="shared" ca="1" si="23"/>
        <v>3.6171166854708698E-12</v>
      </c>
      <c r="K44" s="42">
        <f t="shared" ca="1" si="23"/>
        <v>0</v>
      </c>
      <c r="L44" s="42">
        <f t="shared" ca="1" si="23"/>
        <v>0</v>
      </c>
      <c r="M44" s="42">
        <f t="shared" ca="1" si="23"/>
        <v>1.9880918214411365</v>
      </c>
      <c r="N44" s="42">
        <f t="shared" ca="1" si="23"/>
        <v>0</v>
      </c>
      <c r="O44" s="42">
        <f t="shared" ca="1" si="27"/>
        <v>0</v>
      </c>
      <c r="P44" s="51">
        <f t="shared" ca="1" si="28"/>
        <v>176.52649970457063</v>
      </c>
      <c r="R44" s="42">
        <f t="shared" ca="1" si="24"/>
        <v>2.4075173159242661E-9</v>
      </c>
      <c r="S44" s="42">
        <f t="shared" ca="1" si="24"/>
        <v>7.0535570178813645</v>
      </c>
      <c r="T44" s="42">
        <f t="shared" ca="1" si="24"/>
        <v>170.18510727021493</v>
      </c>
      <c r="U44" s="42">
        <f t="shared" ca="1" si="24"/>
        <v>0</v>
      </c>
      <c r="V44" s="42">
        <f t="shared" ca="1" si="24"/>
        <v>0</v>
      </c>
      <c r="W44" s="42">
        <f t="shared" ca="1" si="24"/>
        <v>0</v>
      </c>
      <c r="X44" s="42">
        <f t="shared" ca="1" si="24"/>
        <v>2.0188492766131425</v>
      </c>
      <c r="Y44" s="42">
        <f t="shared" ca="1" si="24"/>
        <v>0</v>
      </c>
      <c r="Z44" s="42">
        <f t="shared" ca="1" si="29"/>
        <v>0</v>
      </c>
      <c r="AA44" s="51">
        <f t="shared" ca="1" si="30"/>
        <v>179.25751356711694</v>
      </c>
    </row>
    <row r="45" spans="4:27" ht="12" customHeight="1" x14ac:dyDescent="0.25">
      <c r="D45" s="43">
        <f t="shared" si="31"/>
        <v>34</v>
      </c>
      <c r="E45" s="63">
        <f t="shared" si="25"/>
        <v>8.5</v>
      </c>
      <c r="F45" s="43">
        <f t="shared" si="26"/>
        <v>73.5</v>
      </c>
      <c r="G45" s="42">
        <f t="shared" ca="1" si="23"/>
        <v>0</v>
      </c>
      <c r="H45" s="42">
        <f t="shared" ca="1" si="23"/>
        <v>6.6494142643259631</v>
      </c>
      <c r="I45" s="42">
        <f t="shared" ca="1" si="23"/>
        <v>160.43412947391369</v>
      </c>
      <c r="J45" s="42">
        <f t="shared" ca="1" si="23"/>
        <v>1.5462635255919799E-12</v>
      </c>
      <c r="K45" s="42">
        <f t="shared" ca="1" si="23"/>
        <v>0</v>
      </c>
      <c r="L45" s="42">
        <f t="shared" ca="1" si="23"/>
        <v>0</v>
      </c>
      <c r="M45" s="42">
        <f t="shared" ca="1" si="23"/>
        <v>1.9031766751696546</v>
      </c>
      <c r="N45" s="42">
        <f t="shared" ca="1" si="23"/>
        <v>0</v>
      </c>
      <c r="O45" s="42">
        <f t="shared" ca="1" si="27"/>
        <v>0</v>
      </c>
      <c r="P45" s="51">
        <f t="shared" ca="1" si="28"/>
        <v>168.98672041341084</v>
      </c>
      <c r="R45" s="42">
        <f t="shared" ca="1" si="24"/>
        <v>1.2218624277763299E-9</v>
      </c>
      <c r="S45" s="42">
        <f t="shared" ca="1" si="24"/>
        <v>6.7522863122314041</v>
      </c>
      <c r="T45" s="42">
        <f t="shared" ca="1" si="24"/>
        <v>162.91618079405072</v>
      </c>
      <c r="U45" s="42">
        <f t="shared" ca="1" si="24"/>
        <v>0</v>
      </c>
      <c r="V45" s="42">
        <f t="shared" ca="1" si="24"/>
        <v>0</v>
      </c>
      <c r="W45" s="42">
        <f t="shared" ca="1" si="24"/>
        <v>0</v>
      </c>
      <c r="X45" s="42">
        <f t="shared" ca="1" si="24"/>
        <v>1.9326204225773007</v>
      </c>
      <c r="Y45" s="42">
        <f t="shared" ca="1" si="24"/>
        <v>0</v>
      </c>
      <c r="Z45" s="42">
        <f t="shared" ca="1" si="29"/>
        <v>0</v>
      </c>
      <c r="AA45" s="51">
        <f t="shared" ca="1" si="30"/>
        <v>171.60108753008126</v>
      </c>
    </row>
    <row r="46" spans="4:27" ht="12" customHeight="1" x14ac:dyDescent="0.25">
      <c r="D46" s="43">
        <f t="shared" si="31"/>
        <v>35</v>
      </c>
      <c r="E46" s="63">
        <f t="shared" si="25"/>
        <v>8.75</v>
      </c>
      <c r="F46" s="43">
        <f t="shared" si="26"/>
        <v>73.75</v>
      </c>
      <c r="G46" s="42">
        <f t="shared" ca="1" si="23"/>
        <v>0</v>
      </c>
      <c r="H46" s="42">
        <f t="shared" ca="1" si="23"/>
        <v>6.3654052568843014</v>
      </c>
      <c r="I46" s="42">
        <f t="shared" ca="1" si="23"/>
        <v>153.58168562542201</v>
      </c>
      <c r="J46" s="42">
        <f t="shared" ca="1" si="23"/>
        <v>6.6100463393397345E-13</v>
      </c>
      <c r="K46" s="42">
        <f t="shared" ca="1" si="23"/>
        <v>0</v>
      </c>
      <c r="L46" s="42">
        <f t="shared" ca="1" si="23"/>
        <v>0</v>
      </c>
      <c r="M46" s="42">
        <f t="shared" ca="1" si="23"/>
        <v>1.8218884147307781</v>
      </c>
      <c r="N46" s="42">
        <f t="shared" ca="1" si="23"/>
        <v>0</v>
      </c>
      <c r="O46" s="42">
        <f t="shared" ca="1" si="27"/>
        <v>0</v>
      </c>
      <c r="P46" s="51">
        <f t="shared" ca="1" si="28"/>
        <v>161.76897929703776</v>
      </c>
      <c r="R46" s="42">
        <f t="shared" ca="1" si="24"/>
        <v>6.2011923342628654E-10</v>
      </c>
      <c r="S46" s="42">
        <f t="shared" ca="1" si="24"/>
        <v>6.463883445864905</v>
      </c>
      <c r="T46" s="42">
        <f t="shared" ca="1" si="24"/>
        <v>155.95772385874938</v>
      </c>
      <c r="U46" s="42">
        <f t="shared" ca="1" si="24"/>
        <v>0</v>
      </c>
      <c r="V46" s="42">
        <f t="shared" ca="1" si="24"/>
        <v>0</v>
      </c>
      <c r="W46" s="42">
        <f t="shared" ca="1" si="24"/>
        <v>0</v>
      </c>
      <c r="X46" s="42">
        <f t="shared" ca="1" si="24"/>
        <v>1.8500745647766144</v>
      </c>
      <c r="Y46" s="42">
        <f t="shared" ca="1" si="24"/>
        <v>0</v>
      </c>
      <c r="Z46" s="42">
        <f t="shared" ca="1" si="29"/>
        <v>0</v>
      </c>
      <c r="AA46" s="51">
        <f t="shared" ca="1" si="30"/>
        <v>164.27168187001101</v>
      </c>
    </row>
    <row r="47" spans="4:27" ht="12" customHeight="1" x14ac:dyDescent="0.25">
      <c r="D47" s="43">
        <f t="shared" si="31"/>
        <v>36</v>
      </c>
      <c r="E47" s="63">
        <f t="shared" si="25"/>
        <v>9</v>
      </c>
      <c r="F47" s="43">
        <f t="shared" si="26"/>
        <v>74</v>
      </c>
      <c r="G47" s="42">
        <f t="shared" ca="1" si="23"/>
        <v>0</v>
      </c>
      <c r="H47" s="42">
        <f t="shared" ca="1" si="23"/>
        <v>6.0935268090838655</v>
      </c>
      <c r="I47" s="42">
        <f t="shared" ca="1" si="23"/>
        <v>147.02192256033598</v>
      </c>
      <c r="J47" s="42">
        <f t="shared" ca="1" si="23"/>
        <v>2.8256963890738523E-13</v>
      </c>
      <c r="K47" s="42">
        <f t="shared" ca="1" si="23"/>
        <v>0</v>
      </c>
      <c r="L47" s="42">
        <f t="shared" ca="1" si="23"/>
        <v>0</v>
      </c>
      <c r="M47" s="42">
        <f t="shared" ca="1" si="23"/>
        <v>1.7440721290009542</v>
      </c>
      <c r="N47" s="42">
        <f t="shared" ca="1" si="23"/>
        <v>0</v>
      </c>
      <c r="O47" s="42">
        <f t="shared" ca="1" si="27"/>
        <v>0</v>
      </c>
      <c r="P47" s="51">
        <f t="shared" ca="1" si="28"/>
        <v>154.85952149842109</v>
      </c>
      <c r="R47" s="42">
        <f t="shared" ca="1" si="24"/>
        <v>3.1472271748714363E-10</v>
      </c>
      <c r="S47" s="42">
        <f t="shared" ca="1" si="24"/>
        <v>6.1877988091294203</v>
      </c>
      <c r="T47" s="42">
        <f t="shared" ca="1" si="24"/>
        <v>149.29647572544943</v>
      </c>
      <c r="U47" s="42">
        <f t="shared" ca="1" si="24"/>
        <v>0</v>
      </c>
      <c r="V47" s="42">
        <f t="shared" ca="1" si="24"/>
        <v>0</v>
      </c>
      <c r="W47" s="42">
        <f t="shared" ca="1" si="24"/>
        <v>0</v>
      </c>
      <c r="X47" s="42">
        <f t="shared" ca="1" si="24"/>
        <v>1.7710543957675602</v>
      </c>
      <c r="Y47" s="42">
        <f t="shared" ca="1" si="24"/>
        <v>0</v>
      </c>
      <c r="Z47" s="42">
        <f t="shared" ca="1" si="29"/>
        <v>0</v>
      </c>
      <c r="AA47" s="51">
        <f t="shared" ca="1" si="30"/>
        <v>157.25532893066111</v>
      </c>
    </row>
    <row r="48" spans="4:27" ht="12" customHeight="1" x14ac:dyDescent="0.25">
      <c r="D48" s="43">
        <f t="shared" si="31"/>
        <v>37</v>
      </c>
      <c r="E48" s="63">
        <f t="shared" si="25"/>
        <v>9.25</v>
      </c>
      <c r="F48" s="43">
        <f t="shared" si="26"/>
        <v>74.25</v>
      </c>
      <c r="G48" s="42">
        <f t="shared" ca="1" si="23"/>
        <v>0</v>
      </c>
      <c r="H48" s="42">
        <f t="shared" ca="1" si="23"/>
        <v>5.8332608018739682</v>
      </c>
      <c r="I48" s="42">
        <f t="shared" ca="1" si="23"/>
        <v>140.74233933111992</v>
      </c>
      <c r="J48" s="42">
        <f t="shared" ca="1" si="23"/>
        <v>1.2079431328196361E-13</v>
      </c>
      <c r="K48" s="42">
        <f t="shared" ca="1" si="23"/>
        <v>0</v>
      </c>
      <c r="L48" s="42">
        <f t="shared" ca="1" si="23"/>
        <v>0</v>
      </c>
      <c r="M48" s="42">
        <f t="shared" ca="1" si="23"/>
        <v>1.6695795234015676</v>
      </c>
      <c r="N48" s="42">
        <f t="shared" ca="1" si="23"/>
        <v>0</v>
      </c>
      <c r="O48" s="42">
        <f t="shared" ca="1" si="27"/>
        <v>0</v>
      </c>
      <c r="P48" s="51">
        <f t="shared" ca="1" si="28"/>
        <v>148.24517965639558</v>
      </c>
      <c r="R48" s="42">
        <f t="shared" ca="1" si="24"/>
        <v>1.5972797417557687E-10</v>
      </c>
      <c r="S48" s="42">
        <f t="shared" ca="1" si="24"/>
        <v>5.9235062672359486</v>
      </c>
      <c r="T48" s="42">
        <f t="shared" ca="1" si="24"/>
        <v>142.91974204642284</v>
      </c>
      <c r="U48" s="42">
        <f t="shared" ca="1" si="24"/>
        <v>0</v>
      </c>
      <c r="V48" s="42">
        <f t="shared" ca="1" si="24"/>
        <v>0</v>
      </c>
      <c r="W48" s="42">
        <f t="shared" ca="1" si="24"/>
        <v>0</v>
      </c>
      <c r="X48" s="42">
        <f t="shared" ca="1" si="24"/>
        <v>1.6954093268744794</v>
      </c>
      <c r="Y48" s="42">
        <f t="shared" ca="1" si="24"/>
        <v>0</v>
      </c>
      <c r="Z48" s="42">
        <f t="shared" ca="1" si="29"/>
        <v>0</v>
      </c>
      <c r="AA48" s="51">
        <f t="shared" ca="1" si="30"/>
        <v>150.538657640693</v>
      </c>
    </row>
    <row r="49" spans="4:27" ht="12" customHeight="1" x14ac:dyDescent="0.25">
      <c r="D49" s="43">
        <f t="shared" si="31"/>
        <v>38</v>
      </c>
      <c r="E49" s="63">
        <f t="shared" si="25"/>
        <v>9.5</v>
      </c>
      <c r="F49" s="43">
        <f t="shared" si="26"/>
        <v>74.5</v>
      </c>
      <c r="G49" s="42">
        <f t="shared" ca="1" si="23"/>
        <v>0</v>
      </c>
      <c r="H49" s="42">
        <f t="shared" ca="1" si="23"/>
        <v>5.5841112460447011</v>
      </c>
      <c r="I49" s="42">
        <f t="shared" ca="1" si="23"/>
        <v>134.73096892925903</v>
      </c>
      <c r="J49" s="42">
        <f t="shared" ca="1" si="23"/>
        <v>5.1637770348156887E-14</v>
      </c>
      <c r="K49" s="42">
        <f t="shared" ca="1" si="23"/>
        <v>0</v>
      </c>
      <c r="L49" s="42">
        <f t="shared" ca="1" si="23"/>
        <v>0</v>
      </c>
      <c r="M49" s="42">
        <f t="shared" ca="1" si="23"/>
        <v>1.5982686372943715</v>
      </c>
      <c r="N49" s="42">
        <f t="shared" ca="1" si="23"/>
        <v>0</v>
      </c>
      <c r="O49" s="42">
        <f t="shared" ca="1" si="27"/>
        <v>0</v>
      </c>
      <c r="P49" s="51">
        <f t="shared" ca="1" si="28"/>
        <v>141.91334881259817</v>
      </c>
      <c r="R49" s="42">
        <f t="shared" ca="1" si="24"/>
        <v>8.1065091004356735E-11</v>
      </c>
      <c r="S49" s="42">
        <f t="shared" ca="1" si="24"/>
        <v>5.6705021576033081</v>
      </c>
      <c r="T49" s="42">
        <f t="shared" ca="1" si="24"/>
        <v>136.81537067344303</v>
      </c>
      <c r="U49" s="42">
        <f t="shared" ca="1" si="24"/>
        <v>0</v>
      </c>
      <c r="V49" s="42">
        <f t="shared" ca="1" si="24"/>
        <v>0</v>
      </c>
      <c r="W49" s="42">
        <f t="shared" ca="1" si="24"/>
        <v>0</v>
      </c>
      <c r="X49" s="42">
        <f t="shared" ca="1" si="24"/>
        <v>1.6229952012820441</v>
      </c>
      <c r="Y49" s="42">
        <f t="shared" ca="1" si="24"/>
        <v>0</v>
      </c>
      <c r="Z49" s="42">
        <f t="shared" ca="1" si="29"/>
        <v>0</v>
      </c>
      <c r="AA49" s="51">
        <f t="shared" ca="1" si="30"/>
        <v>144.10886803240945</v>
      </c>
    </row>
    <row r="50" spans="4:27" ht="12" customHeight="1" x14ac:dyDescent="0.25">
      <c r="D50" s="43">
        <f t="shared" si="31"/>
        <v>39</v>
      </c>
      <c r="E50" s="63">
        <f t="shared" si="25"/>
        <v>9.75</v>
      </c>
      <c r="F50" s="43">
        <f t="shared" si="26"/>
        <v>74.75</v>
      </c>
      <c r="G50" s="42">
        <f t="shared" ca="1" si="23"/>
        <v>1.4461079903749153E-14</v>
      </c>
      <c r="H50" s="42">
        <f t="shared" ca="1" si="23"/>
        <v>5.3456033370196199</v>
      </c>
      <c r="I50" s="42">
        <f t="shared" ca="1" si="23"/>
        <v>128.97635547971464</v>
      </c>
      <c r="J50" s="42">
        <f t="shared" ca="1" si="23"/>
        <v>1.5463823613294273E-14</v>
      </c>
      <c r="K50" s="42">
        <f t="shared" ca="1" si="23"/>
        <v>0</v>
      </c>
      <c r="L50" s="42">
        <f t="shared" ca="1" si="23"/>
        <v>0</v>
      </c>
      <c r="M50" s="42">
        <f t="shared" ca="1" si="23"/>
        <v>1.5300035734471942</v>
      </c>
      <c r="N50" s="42">
        <f t="shared" ca="1" si="23"/>
        <v>0</v>
      </c>
      <c r="O50" s="42">
        <f t="shared" ca="1" si="27"/>
        <v>0</v>
      </c>
      <c r="P50" s="51">
        <f t="shared" ca="1" si="28"/>
        <v>135.85196239018151</v>
      </c>
      <c r="R50" s="42">
        <f t="shared" ca="1" si="24"/>
        <v>4.1142129382552817E-11</v>
      </c>
      <c r="S50" s="42">
        <f t="shared" ca="1" si="24"/>
        <v>5.4283043300278111</v>
      </c>
      <c r="T50" s="42">
        <f t="shared" ca="1" si="24"/>
        <v>130.97172849942262</v>
      </c>
      <c r="U50" s="42">
        <f t="shared" ca="1" si="24"/>
        <v>0</v>
      </c>
      <c r="V50" s="42">
        <f t="shared" ca="1" si="24"/>
        <v>0</v>
      </c>
      <c r="W50" s="42">
        <f t="shared" ca="1" si="24"/>
        <v>0</v>
      </c>
      <c r="X50" s="42">
        <f t="shared" ca="1" si="24"/>
        <v>1.5536740193507141</v>
      </c>
      <c r="Y50" s="42">
        <f t="shared" ca="1" si="24"/>
        <v>0</v>
      </c>
      <c r="Z50" s="42">
        <f t="shared" ca="1" si="29"/>
        <v>0</v>
      </c>
      <c r="AA50" s="51">
        <f t="shared" ca="1" si="30"/>
        <v>137.9537068488423</v>
      </c>
    </row>
    <row r="51" spans="4:27" ht="12" customHeight="1" x14ac:dyDescent="0.25">
      <c r="D51" s="43">
        <f t="shared" si="31"/>
        <v>40</v>
      </c>
      <c r="E51" s="63">
        <f t="shared" si="25"/>
        <v>10</v>
      </c>
      <c r="F51" s="43">
        <f t="shared" si="26"/>
        <v>75</v>
      </c>
      <c r="G51" s="42">
        <f t="shared" ref="G51:N60" ca="1" si="32">AVERAGE(OFFSET(D.Trace.Markov.Root, $D51, (G$2-1)*D.Trace.Markov.NumCols+G$3-1, CHOOSE(swtchHalfCycle, 2, 1)))*G$4</f>
        <v>1.4461079903749153E-14</v>
      </c>
      <c r="H51" s="42">
        <f t="shared" ca="1" si="32"/>
        <v>2.614475869391252</v>
      </c>
      <c r="I51" s="42">
        <f t="shared" ca="1" si="32"/>
        <v>63.080918628681367</v>
      </c>
      <c r="J51" s="42">
        <f t="shared" ca="1" si="32"/>
        <v>0</v>
      </c>
      <c r="K51" s="42">
        <f t="shared" ca="1" si="32"/>
        <v>0</v>
      </c>
      <c r="L51" s="42">
        <f t="shared" ca="1" si="32"/>
        <v>0</v>
      </c>
      <c r="M51" s="42">
        <f t="shared" ca="1" si="32"/>
        <v>0.74830794031387782</v>
      </c>
      <c r="N51" s="42">
        <f t="shared" ca="1" si="32"/>
        <v>0</v>
      </c>
      <c r="O51" s="42">
        <f t="shared" ca="1" si="27"/>
        <v>0</v>
      </c>
      <c r="P51" s="51">
        <f t="shared" ca="1" si="28"/>
        <v>66.443702438386509</v>
      </c>
      <c r="R51" s="42">
        <f t="shared" ref="R51:Y60" ca="1" si="33">AVERAGE(OFFSET(D.Trace.Markov.Root, $D51, (R$2-1)*D.Trace.Markov.NumCols+R$3-1, CHOOSE(swtchHalfCycle, 2, 1)))*R$4</f>
        <v>1.3850857623401356E-11</v>
      </c>
      <c r="S51" s="42">
        <f t="shared" ca="1" si="33"/>
        <v>2.6549240165811629</v>
      </c>
      <c r="T51" s="42">
        <f t="shared" ca="1" si="33"/>
        <v>64.056833652965665</v>
      </c>
      <c r="U51" s="42">
        <f t="shared" ca="1" si="33"/>
        <v>0</v>
      </c>
      <c r="V51" s="42">
        <f t="shared" ca="1" si="33"/>
        <v>0</v>
      </c>
      <c r="W51" s="42">
        <f t="shared" ca="1" si="33"/>
        <v>0</v>
      </c>
      <c r="X51" s="42">
        <f t="shared" ca="1" si="33"/>
        <v>0.75988489538597903</v>
      </c>
      <c r="Y51" s="42">
        <f t="shared" ca="1" si="33"/>
        <v>0</v>
      </c>
      <c r="Z51" s="42">
        <f t="shared" ca="1" si="29"/>
        <v>0</v>
      </c>
      <c r="AA51" s="51">
        <f t="shared" ca="1" si="30"/>
        <v>67.471642564946663</v>
      </c>
    </row>
    <row r="52" spans="4:27" ht="12" customHeight="1" x14ac:dyDescent="0.25">
      <c r="D52" s="43">
        <f t="shared" si="31"/>
        <v>41</v>
      </c>
      <c r="E52" s="63">
        <f t="shared" si="25"/>
        <v>10.25</v>
      </c>
      <c r="F52" s="43">
        <f t="shared" si="26"/>
        <v>75.25</v>
      </c>
      <c r="G52" s="42">
        <f t="shared" ca="1" si="32"/>
        <v>0</v>
      </c>
      <c r="H52" s="42">
        <f t="shared" ca="1" si="32"/>
        <v>0</v>
      </c>
      <c r="I52" s="42">
        <f t="shared" ca="1" si="32"/>
        <v>0</v>
      </c>
      <c r="J52" s="42">
        <f t="shared" ca="1" si="32"/>
        <v>0</v>
      </c>
      <c r="K52" s="42">
        <f t="shared" ca="1" si="32"/>
        <v>0</v>
      </c>
      <c r="L52" s="42">
        <f t="shared" ca="1" si="32"/>
        <v>0</v>
      </c>
      <c r="M52" s="42">
        <f t="shared" ca="1" si="32"/>
        <v>0</v>
      </c>
      <c r="N52" s="42">
        <f t="shared" ca="1" si="32"/>
        <v>0</v>
      </c>
      <c r="O52" s="42">
        <f t="shared" ca="1" si="27"/>
        <v>0</v>
      </c>
      <c r="P52" s="51">
        <f t="shared" ca="1" si="28"/>
        <v>0</v>
      </c>
      <c r="R52" s="42">
        <f t="shared" ca="1" si="33"/>
        <v>0</v>
      </c>
      <c r="S52" s="42">
        <f t="shared" ca="1" si="33"/>
        <v>0</v>
      </c>
      <c r="T52" s="42">
        <f t="shared" ca="1" si="33"/>
        <v>0</v>
      </c>
      <c r="U52" s="42">
        <f t="shared" ca="1" si="33"/>
        <v>0</v>
      </c>
      <c r="V52" s="42">
        <f t="shared" ca="1" si="33"/>
        <v>0</v>
      </c>
      <c r="W52" s="42">
        <f t="shared" ca="1" si="33"/>
        <v>0</v>
      </c>
      <c r="X52" s="42">
        <f t="shared" ca="1" si="33"/>
        <v>0</v>
      </c>
      <c r="Y52" s="42">
        <f t="shared" ca="1" si="33"/>
        <v>0</v>
      </c>
      <c r="Z52" s="42">
        <f t="shared" ca="1" si="29"/>
        <v>0</v>
      </c>
      <c r="AA52" s="51">
        <f t="shared" ca="1" si="30"/>
        <v>0</v>
      </c>
    </row>
    <row r="53" spans="4:27" ht="12" customHeight="1" x14ac:dyDescent="0.25">
      <c r="D53" s="43">
        <f t="shared" si="31"/>
        <v>42</v>
      </c>
      <c r="E53" s="63">
        <f t="shared" si="25"/>
        <v>10.5</v>
      </c>
      <c r="F53" s="43">
        <f t="shared" si="26"/>
        <v>75.5</v>
      </c>
      <c r="G53" s="42">
        <f t="shared" ca="1" si="32"/>
        <v>0</v>
      </c>
      <c r="H53" s="42">
        <f t="shared" ca="1" si="32"/>
        <v>0</v>
      </c>
      <c r="I53" s="42">
        <f t="shared" ca="1" si="32"/>
        <v>0</v>
      </c>
      <c r="J53" s="42">
        <f t="shared" ca="1" si="32"/>
        <v>0</v>
      </c>
      <c r="K53" s="42">
        <f t="shared" ca="1" si="32"/>
        <v>0</v>
      </c>
      <c r="L53" s="42">
        <f t="shared" ca="1" si="32"/>
        <v>0</v>
      </c>
      <c r="M53" s="42">
        <f t="shared" ca="1" si="32"/>
        <v>0</v>
      </c>
      <c r="N53" s="42">
        <f t="shared" ca="1" si="32"/>
        <v>0</v>
      </c>
      <c r="O53" s="42">
        <f t="shared" ca="1" si="27"/>
        <v>0</v>
      </c>
      <c r="P53" s="51">
        <f t="shared" ca="1" si="28"/>
        <v>0</v>
      </c>
      <c r="R53" s="42">
        <f t="shared" ca="1" si="33"/>
        <v>0</v>
      </c>
      <c r="S53" s="42">
        <f t="shared" ca="1" si="33"/>
        <v>0</v>
      </c>
      <c r="T53" s="42">
        <f t="shared" ca="1" si="33"/>
        <v>0</v>
      </c>
      <c r="U53" s="42">
        <f t="shared" ca="1" si="33"/>
        <v>0</v>
      </c>
      <c r="V53" s="42">
        <f t="shared" ca="1" si="33"/>
        <v>0</v>
      </c>
      <c r="W53" s="42">
        <f t="shared" ca="1" si="33"/>
        <v>0</v>
      </c>
      <c r="X53" s="42">
        <f t="shared" ca="1" si="33"/>
        <v>0</v>
      </c>
      <c r="Y53" s="42">
        <f t="shared" ca="1" si="33"/>
        <v>0</v>
      </c>
      <c r="Z53" s="42">
        <f t="shared" ca="1" si="29"/>
        <v>0</v>
      </c>
      <c r="AA53" s="51">
        <f t="shared" ca="1" si="30"/>
        <v>0</v>
      </c>
    </row>
    <row r="54" spans="4:27" ht="12" customHeight="1" x14ac:dyDescent="0.25">
      <c r="D54" s="43">
        <f t="shared" si="31"/>
        <v>43</v>
      </c>
      <c r="E54" s="63">
        <f t="shared" si="25"/>
        <v>10.75</v>
      </c>
      <c r="F54" s="43">
        <f t="shared" si="26"/>
        <v>75.75</v>
      </c>
      <c r="G54" s="42">
        <f t="shared" ca="1" si="32"/>
        <v>0</v>
      </c>
      <c r="H54" s="42">
        <f t="shared" ca="1" si="32"/>
        <v>0</v>
      </c>
      <c r="I54" s="42">
        <f t="shared" ca="1" si="32"/>
        <v>0</v>
      </c>
      <c r="J54" s="42">
        <f t="shared" ca="1" si="32"/>
        <v>0</v>
      </c>
      <c r="K54" s="42">
        <f t="shared" ca="1" si="32"/>
        <v>0</v>
      </c>
      <c r="L54" s="42">
        <f t="shared" ca="1" si="32"/>
        <v>0</v>
      </c>
      <c r="M54" s="42">
        <f t="shared" ca="1" si="32"/>
        <v>0</v>
      </c>
      <c r="N54" s="42">
        <f t="shared" ca="1" si="32"/>
        <v>0</v>
      </c>
      <c r="O54" s="42">
        <f t="shared" ca="1" si="27"/>
        <v>0</v>
      </c>
      <c r="P54" s="51">
        <f t="shared" ca="1" si="28"/>
        <v>0</v>
      </c>
      <c r="R54" s="42">
        <f t="shared" ca="1" si="33"/>
        <v>0</v>
      </c>
      <c r="S54" s="42">
        <f t="shared" ca="1" si="33"/>
        <v>0</v>
      </c>
      <c r="T54" s="42">
        <f t="shared" ca="1" si="33"/>
        <v>0</v>
      </c>
      <c r="U54" s="42">
        <f t="shared" ca="1" si="33"/>
        <v>0</v>
      </c>
      <c r="V54" s="42">
        <f t="shared" ca="1" si="33"/>
        <v>0</v>
      </c>
      <c r="W54" s="42">
        <f t="shared" ca="1" si="33"/>
        <v>0</v>
      </c>
      <c r="X54" s="42">
        <f t="shared" ca="1" si="33"/>
        <v>0</v>
      </c>
      <c r="Y54" s="42">
        <f t="shared" ca="1" si="33"/>
        <v>0</v>
      </c>
      <c r="Z54" s="42">
        <f t="shared" ca="1" si="29"/>
        <v>0</v>
      </c>
      <c r="AA54" s="51">
        <f t="shared" ca="1" si="30"/>
        <v>0</v>
      </c>
    </row>
    <row r="55" spans="4:27" ht="12" customHeight="1" x14ac:dyDescent="0.25">
      <c r="D55" s="43">
        <f t="shared" si="31"/>
        <v>44</v>
      </c>
      <c r="E55" s="63">
        <f t="shared" si="25"/>
        <v>11</v>
      </c>
      <c r="F55" s="43">
        <f t="shared" si="26"/>
        <v>76</v>
      </c>
      <c r="G55" s="42">
        <f t="shared" ca="1" si="32"/>
        <v>0</v>
      </c>
      <c r="H55" s="42">
        <f t="shared" ca="1" si="32"/>
        <v>0</v>
      </c>
      <c r="I55" s="42">
        <f t="shared" ca="1" si="32"/>
        <v>0</v>
      </c>
      <c r="J55" s="42">
        <f t="shared" ca="1" si="32"/>
        <v>0</v>
      </c>
      <c r="K55" s="42">
        <f t="shared" ca="1" si="32"/>
        <v>0</v>
      </c>
      <c r="L55" s="42">
        <f t="shared" ca="1" si="32"/>
        <v>0</v>
      </c>
      <c r="M55" s="42">
        <f t="shared" ca="1" si="32"/>
        <v>0</v>
      </c>
      <c r="N55" s="42">
        <f t="shared" ca="1" si="32"/>
        <v>0</v>
      </c>
      <c r="O55" s="42">
        <f t="shared" ca="1" si="27"/>
        <v>0</v>
      </c>
      <c r="P55" s="51">
        <f t="shared" ca="1" si="28"/>
        <v>0</v>
      </c>
      <c r="R55" s="42">
        <f t="shared" ca="1" si="33"/>
        <v>0</v>
      </c>
      <c r="S55" s="42">
        <f t="shared" ca="1" si="33"/>
        <v>0</v>
      </c>
      <c r="T55" s="42">
        <f t="shared" ca="1" si="33"/>
        <v>0</v>
      </c>
      <c r="U55" s="42">
        <f t="shared" ca="1" si="33"/>
        <v>0</v>
      </c>
      <c r="V55" s="42">
        <f t="shared" ca="1" si="33"/>
        <v>0</v>
      </c>
      <c r="W55" s="42">
        <f t="shared" ca="1" si="33"/>
        <v>0</v>
      </c>
      <c r="X55" s="42">
        <f t="shared" ca="1" si="33"/>
        <v>0</v>
      </c>
      <c r="Y55" s="42">
        <f t="shared" ca="1" si="33"/>
        <v>0</v>
      </c>
      <c r="Z55" s="42">
        <f t="shared" ca="1" si="29"/>
        <v>0</v>
      </c>
      <c r="AA55" s="51">
        <f t="shared" ca="1" si="30"/>
        <v>0</v>
      </c>
    </row>
    <row r="56" spans="4:27" ht="12" customHeight="1" x14ac:dyDescent="0.25">
      <c r="D56" s="43">
        <f t="shared" si="31"/>
        <v>45</v>
      </c>
      <c r="E56" s="63">
        <f t="shared" si="25"/>
        <v>11.25</v>
      </c>
      <c r="F56" s="43">
        <f t="shared" si="26"/>
        <v>76.25</v>
      </c>
      <c r="G56" s="42">
        <f t="shared" ca="1" si="32"/>
        <v>0</v>
      </c>
      <c r="H56" s="42">
        <f t="shared" ca="1" si="32"/>
        <v>0</v>
      </c>
      <c r="I56" s="42">
        <f t="shared" ca="1" si="32"/>
        <v>0</v>
      </c>
      <c r="J56" s="42">
        <f t="shared" ca="1" si="32"/>
        <v>0</v>
      </c>
      <c r="K56" s="42">
        <f t="shared" ca="1" si="32"/>
        <v>0</v>
      </c>
      <c r="L56" s="42">
        <f t="shared" ca="1" si="32"/>
        <v>0</v>
      </c>
      <c r="M56" s="42">
        <f t="shared" ca="1" si="32"/>
        <v>0</v>
      </c>
      <c r="N56" s="42">
        <f t="shared" ca="1" si="32"/>
        <v>0</v>
      </c>
      <c r="O56" s="42">
        <f t="shared" ca="1" si="27"/>
        <v>0</v>
      </c>
      <c r="P56" s="51">
        <f t="shared" ca="1" si="28"/>
        <v>0</v>
      </c>
      <c r="R56" s="42">
        <f t="shared" ca="1" si="33"/>
        <v>0</v>
      </c>
      <c r="S56" s="42">
        <f t="shared" ca="1" si="33"/>
        <v>0</v>
      </c>
      <c r="T56" s="42">
        <f t="shared" ca="1" si="33"/>
        <v>0</v>
      </c>
      <c r="U56" s="42">
        <f t="shared" ca="1" si="33"/>
        <v>0</v>
      </c>
      <c r="V56" s="42">
        <f t="shared" ca="1" si="33"/>
        <v>0</v>
      </c>
      <c r="W56" s="42">
        <f t="shared" ca="1" si="33"/>
        <v>0</v>
      </c>
      <c r="X56" s="42">
        <f t="shared" ca="1" si="33"/>
        <v>0</v>
      </c>
      <c r="Y56" s="42">
        <f t="shared" ca="1" si="33"/>
        <v>0</v>
      </c>
      <c r="Z56" s="42">
        <f t="shared" ca="1" si="29"/>
        <v>0</v>
      </c>
      <c r="AA56" s="51">
        <f t="shared" ca="1" si="30"/>
        <v>0</v>
      </c>
    </row>
    <row r="57" spans="4:27" ht="12" customHeight="1" x14ac:dyDescent="0.25">
      <c r="D57" s="43">
        <f t="shared" si="31"/>
        <v>46</v>
      </c>
      <c r="E57" s="63">
        <f t="shared" si="25"/>
        <v>11.5</v>
      </c>
      <c r="F57" s="43">
        <f t="shared" si="26"/>
        <v>76.5</v>
      </c>
      <c r="G57" s="42">
        <f t="shared" ca="1" si="32"/>
        <v>0</v>
      </c>
      <c r="H57" s="42">
        <f t="shared" ca="1" si="32"/>
        <v>0</v>
      </c>
      <c r="I57" s="42">
        <f t="shared" ca="1" si="32"/>
        <v>0</v>
      </c>
      <c r="J57" s="42">
        <f t="shared" ca="1" si="32"/>
        <v>0</v>
      </c>
      <c r="K57" s="42">
        <f t="shared" ca="1" si="32"/>
        <v>0</v>
      </c>
      <c r="L57" s="42">
        <f t="shared" ca="1" si="32"/>
        <v>0</v>
      </c>
      <c r="M57" s="42">
        <f t="shared" ca="1" si="32"/>
        <v>0</v>
      </c>
      <c r="N57" s="42">
        <f t="shared" ca="1" si="32"/>
        <v>0</v>
      </c>
      <c r="O57" s="42">
        <f t="shared" ca="1" si="27"/>
        <v>0</v>
      </c>
      <c r="P57" s="51">
        <f t="shared" ca="1" si="28"/>
        <v>0</v>
      </c>
      <c r="R57" s="42">
        <f t="shared" ca="1" si="33"/>
        <v>0</v>
      </c>
      <c r="S57" s="42">
        <f t="shared" ca="1" si="33"/>
        <v>0</v>
      </c>
      <c r="T57" s="42">
        <f t="shared" ca="1" si="33"/>
        <v>0</v>
      </c>
      <c r="U57" s="42">
        <f t="shared" ca="1" si="33"/>
        <v>0</v>
      </c>
      <c r="V57" s="42">
        <f t="shared" ca="1" si="33"/>
        <v>0</v>
      </c>
      <c r="W57" s="42">
        <f t="shared" ca="1" si="33"/>
        <v>0</v>
      </c>
      <c r="X57" s="42">
        <f t="shared" ca="1" si="33"/>
        <v>0</v>
      </c>
      <c r="Y57" s="42">
        <f t="shared" ca="1" si="33"/>
        <v>0</v>
      </c>
      <c r="Z57" s="42">
        <f t="shared" ca="1" si="29"/>
        <v>0</v>
      </c>
      <c r="AA57" s="51">
        <f t="shared" ca="1" si="30"/>
        <v>0</v>
      </c>
    </row>
    <row r="58" spans="4:27" ht="12" customHeight="1" x14ac:dyDescent="0.25">
      <c r="D58" s="43">
        <f t="shared" si="31"/>
        <v>47</v>
      </c>
      <c r="E58" s="63">
        <f t="shared" si="25"/>
        <v>11.75</v>
      </c>
      <c r="F58" s="43">
        <f t="shared" si="26"/>
        <v>76.75</v>
      </c>
      <c r="G58" s="42">
        <f t="shared" ca="1" si="32"/>
        <v>0</v>
      </c>
      <c r="H58" s="42">
        <f t="shared" ca="1" si="32"/>
        <v>0</v>
      </c>
      <c r="I58" s="42">
        <f t="shared" ca="1" si="32"/>
        <v>0</v>
      </c>
      <c r="J58" s="42">
        <f t="shared" ca="1" si="32"/>
        <v>0</v>
      </c>
      <c r="K58" s="42">
        <f t="shared" ca="1" si="32"/>
        <v>0</v>
      </c>
      <c r="L58" s="42">
        <f t="shared" ca="1" si="32"/>
        <v>0</v>
      </c>
      <c r="M58" s="42">
        <f t="shared" ca="1" si="32"/>
        <v>0</v>
      </c>
      <c r="N58" s="42">
        <f t="shared" ca="1" si="32"/>
        <v>0</v>
      </c>
      <c r="O58" s="42">
        <f t="shared" ca="1" si="27"/>
        <v>0</v>
      </c>
      <c r="P58" s="51">
        <f t="shared" ca="1" si="28"/>
        <v>0</v>
      </c>
      <c r="R58" s="42">
        <f t="shared" ca="1" si="33"/>
        <v>0</v>
      </c>
      <c r="S58" s="42">
        <f t="shared" ca="1" si="33"/>
        <v>0</v>
      </c>
      <c r="T58" s="42">
        <f t="shared" ca="1" si="33"/>
        <v>0</v>
      </c>
      <c r="U58" s="42">
        <f t="shared" ca="1" si="33"/>
        <v>0</v>
      </c>
      <c r="V58" s="42">
        <f t="shared" ca="1" si="33"/>
        <v>0</v>
      </c>
      <c r="W58" s="42">
        <f t="shared" ca="1" si="33"/>
        <v>0</v>
      </c>
      <c r="X58" s="42">
        <f t="shared" ca="1" si="33"/>
        <v>0</v>
      </c>
      <c r="Y58" s="42">
        <f t="shared" ca="1" si="33"/>
        <v>0</v>
      </c>
      <c r="Z58" s="42">
        <f t="shared" ca="1" si="29"/>
        <v>0</v>
      </c>
      <c r="AA58" s="51">
        <f t="shared" ca="1" si="30"/>
        <v>0</v>
      </c>
    </row>
    <row r="59" spans="4:27" ht="12" customHeight="1" x14ac:dyDescent="0.25">
      <c r="D59" s="43">
        <f t="shared" si="31"/>
        <v>48</v>
      </c>
      <c r="E59" s="63">
        <f t="shared" si="25"/>
        <v>12</v>
      </c>
      <c r="F59" s="43">
        <f t="shared" si="26"/>
        <v>77</v>
      </c>
      <c r="G59" s="42">
        <f t="shared" ca="1" si="32"/>
        <v>0</v>
      </c>
      <c r="H59" s="42">
        <f t="shared" ca="1" si="32"/>
        <v>0</v>
      </c>
      <c r="I59" s="42">
        <f t="shared" ca="1" si="32"/>
        <v>0</v>
      </c>
      <c r="J59" s="42">
        <f t="shared" ca="1" si="32"/>
        <v>0</v>
      </c>
      <c r="K59" s="42">
        <f t="shared" ca="1" si="32"/>
        <v>0</v>
      </c>
      <c r="L59" s="42">
        <f t="shared" ca="1" si="32"/>
        <v>0</v>
      </c>
      <c r="M59" s="42">
        <f t="shared" ca="1" si="32"/>
        <v>0</v>
      </c>
      <c r="N59" s="42">
        <f t="shared" ca="1" si="32"/>
        <v>0</v>
      </c>
      <c r="O59" s="42">
        <f t="shared" ca="1" si="27"/>
        <v>0</v>
      </c>
      <c r="P59" s="51">
        <f t="shared" ca="1" si="28"/>
        <v>0</v>
      </c>
      <c r="R59" s="42">
        <f t="shared" ca="1" si="33"/>
        <v>0</v>
      </c>
      <c r="S59" s="42">
        <f t="shared" ca="1" si="33"/>
        <v>0</v>
      </c>
      <c r="T59" s="42">
        <f t="shared" ca="1" si="33"/>
        <v>0</v>
      </c>
      <c r="U59" s="42">
        <f t="shared" ca="1" si="33"/>
        <v>0</v>
      </c>
      <c r="V59" s="42">
        <f t="shared" ca="1" si="33"/>
        <v>0</v>
      </c>
      <c r="W59" s="42">
        <f t="shared" ca="1" si="33"/>
        <v>0</v>
      </c>
      <c r="X59" s="42">
        <f t="shared" ca="1" si="33"/>
        <v>0</v>
      </c>
      <c r="Y59" s="42">
        <f t="shared" ca="1" si="33"/>
        <v>0</v>
      </c>
      <c r="Z59" s="42">
        <f t="shared" ca="1" si="29"/>
        <v>0</v>
      </c>
      <c r="AA59" s="51">
        <f t="shared" ca="1" si="30"/>
        <v>0</v>
      </c>
    </row>
    <row r="60" spans="4:27" ht="12" customHeight="1" x14ac:dyDescent="0.25">
      <c r="D60" s="43">
        <f t="shared" si="31"/>
        <v>49</v>
      </c>
      <c r="E60" s="63">
        <f t="shared" si="25"/>
        <v>12.25</v>
      </c>
      <c r="F60" s="43">
        <f t="shared" si="26"/>
        <v>77.25</v>
      </c>
      <c r="G60" s="42">
        <f t="shared" ca="1" si="32"/>
        <v>0</v>
      </c>
      <c r="H60" s="42">
        <f t="shared" ca="1" si="32"/>
        <v>0</v>
      </c>
      <c r="I60" s="42">
        <f t="shared" ca="1" si="32"/>
        <v>0</v>
      </c>
      <c r="J60" s="42">
        <f t="shared" ca="1" si="32"/>
        <v>0</v>
      </c>
      <c r="K60" s="42">
        <f t="shared" ca="1" si="32"/>
        <v>0</v>
      </c>
      <c r="L60" s="42">
        <f t="shared" ca="1" si="32"/>
        <v>0</v>
      </c>
      <c r="M60" s="42">
        <f t="shared" ca="1" si="32"/>
        <v>0</v>
      </c>
      <c r="N60" s="42">
        <f t="shared" ca="1" si="32"/>
        <v>0</v>
      </c>
      <c r="O60" s="42">
        <f t="shared" ca="1" si="27"/>
        <v>0</v>
      </c>
      <c r="P60" s="51">
        <f t="shared" ca="1" si="28"/>
        <v>0</v>
      </c>
      <c r="R60" s="42">
        <f t="shared" ca="1" si="33"/>
        <v>0</v>
      </c>
      <c r="S60" s="42">
        <f t="shared" ca="1" si="33"/>
        <v>0</v>
      </c>
      <c r="T60" s="42">
        <f t="shared" ca="1" si="33"/>
        <v>0</v>
      </c>
      <c r="U60" s="42">
        <f t="shared" ca="1" si="33"/>
        <v>0</v>
      </c>
      <c r="V60" s="42">
        <f t="shared" ca="1" si="33"/>
        <v>0</v>
      </c>
      <c r="W60" s="42">
        <f t="shared" ca="1" si="33"/>
        <v>0</v>
      </c>
      <c r="X60" s="42">
        <f t="shared" ca="1" si="33"/>
        <v>0</v>
      </c>
      <c r="Y60" s="42">
        <f t="shared" ca="1" si="33"/>
        <v>0</v>
      </c>
      <c r="Z60" s="42">
        <f t="shared" ca="1" si="29"/>
        <v>0</v>
      </c>
      <c r="AA60" s="51">
        <f t="shared" ca="1" si="30"/>
        <v>0</v>
      </c>
    </row>
    <row r="61" spans="4:27" ht="12" customHeight="1" x14ac:dyDescent="0.25">
      <c r="D61" s="43">
        <f t="shared" si="31"/>
        <v>50</v>
      </c>
      <c r="E61" s="63">
        <f t="shared" si="25"/>
        <v>12.5</v>
      </c>
      <c r="F61" s="43">
        <f t="shared" si="26"/>
        <v>77.5</v>
      </c>
      <c r="G61" s="42">
        <f t="shared" ref="G61:N70" ca="1" si="34">AVERAGE(OFFSET(D.Trace.Markov.Root, $D61, (G$2-1)*D.Trace.Markov.NumCols+G$3-1, CHOOSE(swtchHalfCycle, 2, 1)))*G$4</f>
        <v>0</v>
      </c>
      <c r="H61" s="42">
        <f t="shared" ca="1" si="34"/>
        <v>0</v>
      </c>
      <c r="I61" s="42">
        <f t="shared" ca="1" si="34"/>
        <v>0</v>
      </c>
      <c r="J61" s="42">
        <f t="shared" ca="1" si="34"/>
        <v>0</v>
      </c>
      <c r="K61" s="42">
        <f t="shared" ca="1" si="34"/>
        <v>0</v>
      </c>
      <c r="L61" s="42">
        <f t="shared" ca="1" si="34"/>
        <v>0</v>
      </c>
      <c r="M61" s="42">
        <f t="shared" ca="1" si="34"/>
        <v>0</v>
      </c>
      <c r="N61" s="42">
        <f t="shared" ca="1" si="34"/>
        <v>0</v>
      </c>
      <c r="O61" s="42">
        <f t="shared" ca="1" si="27"/>
        <v>0</v>
      </c>
      <c r="P61" s="51">
        <f t="shared" ca="1" si="28"/>
        <v>0</v>
      </c>
      <c r="R61" s="42">
        <f t="shared" ref="R61:Y70" ca="1" si="35">AVERAGE(OFFSET(D.Trace.Markov.Root, $D61, (R$2-1)*D.Trace.Markov.NumCols+R$3-1, CHOOSE(swtchHalfCycle, 2, 1)))*R$4</f>
        <v>0</v>
      </c>
      <c r="S61" s="42">
        <f t="shared" ca="1" si="35"/>
        <v>0</v>
      </c>
      <c r="T61" s="42">
        <f t="shared" ca="1" si="35"/>
        <v>0</v>
      </c>
      <c r="U61" s="42">
        <f t="shared" ca="1" si="35"/>
        <v>0</v>
      </c>
      <c r="V61" s="42">
        <f t="shared" ca="1" si="35"/>
        <v>0</v>
      </c>
      <c r="W61" s="42">
        <f t="shared" ca="1" si="35"/>
        <v>0</v>
      </c>
      <c r="X61" s="42">
        <f t="shared" ca="1" si="35"/>
        <v>0</v>
      </c>
      <c r="Y61" s="42">
        <f t="shared" ca="1" si="35"/>
        <v>0</v>
      </c>
      <c r="Z61" s="42">
        <f t="shared" ca="1" si="29"/>
        <v>0</v>
      </c>
      <c r="AA61" s="51">
        <f t="shared" ca="1" si="30"/>
        <v>0</v>
      </c>
    </row>
    <row r="62" spans="4:27" ht="12" customHeight="1" x14ac:dyDescent="0.25">
      <c r="D62" s="43">
        <f t="shared" si="31"/>
        <v>51</v>
      </c>
      <c r="E62" s="63">
        <f t="shared" si="25"/>
        <v>12.75</v>
      </c>
      <c r="F62" s="43">
        <f t="shared" si="26"/>
        <v>77.75</v>
      </c>
      <c r="G62" s="42">
        <f t="shared" ca="1" si="34"/>
        <v>0</v>
      </c>
      <c r="H62" s="42">
        <f t="shared" ca="1" si="34"/>
        <v>0</v>
      </c>
      <c r="I62" s="42">
        <f t="shared" ca="1" si="34"/>
        <v>0</v>
      </c>
      <c r="J62" s="42">
        <f t="shared" ca="1" si="34"/>
        <v>0</v>
      </c>
      <c r="K62" s="42">
        <f t="shared" ca="1" si="34"/>
        <v>0</v>
      </c>
      <c r="L62" s="42">
        <f t="shared" ca="1" si="34"/>
        <v>0</v>
      </c>
      <c r="M62" s="42">
        <f t="shared" ca="1" si="34"/>
        <v>0</v>
      </c>
      <c r="N62" s="42">
        <f t="shared" ca="1" si="34"/>
        <v>0</v>
      </c>
      <c r="O62" s="42">
        <f t="shared" ca="1" si="27"/>
        <v>0</v>
      </c>
      <c r="P62" s="51">
        <f t="shared" ca="1" si="28"/>
        <v>0</v>
      </c>
      <c r="R62" s="42">
        <f t="shared" ca="1" si="35"/>
        <v>0</v>
      </c>
      <c r="S62" s="42">
        <f t="shared" ca="1" si="35"/>
        <v>0</v>
      </c>
      <c r="T62" s="42">
        <f t="shared" ca="1" si="35"/>
        <v>0</v>
      </c>
      <c r="U62" s="42">
        <f t="shared" ca="1" si="35"/>
        <v>0</v>
      </c>
      <c r="V62" s="42">
        <f t="shared" ca="1" si="35"/>
        <v>0</v>
      </c>
      <c r="W62" s="42">
        <f t="shared" ca="1" si="35"/>
        <v>0</v>
      </c>
      <c r="X62" s="42">
        <f t="shared" ca="1" si="35"/>
        <v>0</v>
      </c>
      <c r="Y62" s="42">
        <f t="shared" ca="1" si="35"/>
        <v>0</v>
      </c>
      <c r="Z62" s="42">
        <f t="shared" ca="1" si="29"/>
        <v>0</v>
      </c>
      <c r="AA62" s="51">
        <f t="shared" ca="1" si="30"/>
        <v>0</v>
      </c>
    </row>
    <row r="63" spans="4:27" ht="12" customHeight="1" x14ac:dyDescent="0.25">
      <c r="D63" s="43">
        <f t="shared" si="31"/>
        <v>52</v>
      </c>
      <c r="E63" s="63">
        <f t="shared" si="25"/>
        <v>13</v>
      </c>
      <c r="F63" s="43">
        <f t="shared" si="26"/>
        <v>78</v>
      </c>
      <c r="G63" s="42">
        <f t="shared" ca="1" si="34"/>
        <v>0</v>
      </c>
      <c r="H63" s="42">
        <f t="shared" ca="1" si="34"/>
        <v>0</v>
      </c>
      <c r="I63" s="42">
        <f t="shared" ca="1" si="34"/>
        <v>0</v>
      </c>
      <c r="J63" s="42">
        <f t="shared" ca="1" si="34"/>
        <v>0</v>
      </c>
      <c r="K63" s="42">
        <f t="shared" ca="1" si="34"/>
        <v>0</v>
      </c>
      <c r="L63" s="42">
        <f t="shared" ca="1" si="34"/>
        <v>0</v>
      </c>
      <c r="M63" s="42">
        <f t="shared" ca="1" si="34"/>
        <v>0</v>
      </c>
      <c r="N63" s="42">
        <f t="shared" ca="1" si="34"/>
        <v>0</v>
      </c>
      <c r="O63" s="42">
        <f t="shared" ca="1" si="27"/>
        <v>0</v>
      </c>
      <c r="P63" s="51">
        <f t="shared" ca="1" si="28"/>
        <v>0</v>
      </c>
      <c r="R63" s="42">
        <f t="shared" ca="1" si="35"/>
        <v>0</v>
      </c>
      <c r="S63" s="42">
        <f t="shared" ca="1" si="35"/>
        <v>0</v>
      </c>
      <c r="T63" s="42">
        <f t="shared" ca="1" si="35"/>
        <v>0</v>
      </c>
      <c r="U63" s="42">
        <f t="shared" ca="1" si="35"/>
        <v>0</v>
      </c>
      <c r="V63" s="42">
        <f t="shared" ca="1" si="35"/>
        <v>0</v>
      </c>
      <c r="W63" s="42">
        <f t="shared" ca="1" si="35"/>
        <v>0</v>
      </c>
      <c r="X63" s="42">
        <f t="shared" ca="1" si="35"/>
        <v>0</v>
      </c>
      <c r="Y63" s="42">
        <f t="shared" ca="1" si="35"/>
        <v>0</v>
      </c>
      <c r="Z63" s="42">
        <f t="shared" ca="1" si="29"/>
        <v>0</v>
      </c>
      <c r="AA63" s="51">
        <f t="shared" ca="1" si="30"/>
        <v>0</v>
      </c>
    </row>
    <row r="64" spans="4:27" ht="12" customHeight="1" x14ac:dyDescent="0.25">
      <c r="D64" s="43">
        <f t="shared" si="31"/>
        <v>53</v>
      </c>
      <c r="E64" s="63">
        <f t="shared" si="25"/>
        <v>13.25</v>
      </c>
      <c r="F64" s="43">
        <f t="shared" si="26"/>
        <v>78.25</v>
      </c>
      <c r="G64" s="42">
        <f t="shared" ca="1" si="34"/>
        <v>0</v>
      </c>
      <c r="H64" s="42">
        <f t="shared" ca="1" si="34"/>
        <v>0</v>
      </c>
      <c r="I64" s="42">
        <f t="shared" ca="1" si="34"/>
        <v>0</v>
      </c>
      <c r="J64" s="42">
        <f t="shared" ca="1" si="34"/>
        <v>0</v>
      </c>
      <c r="K64" s="42">
        <f t="shared" ca="1" si="34"/>
        <v>0</v>
      </c>
      <c r="L64" s="42">
        <f t="shared" ca="1" si="34"/>
        <v>0</v>
      </c>
      <c r="M64" s="42">
        <f t="shared" ca="1" si="34"/>
        <v>0</v>
      </c>
      <c r="N64" s="42">
        <f t="shared" ca="1" si="34"/>
        <v>0</v>
      </c>
      <c r="O64" s="42">
        <f t="shared" ca="1" si="27"/>
        <v>0</v>
      </c>
      <c r="P64" s="51">
        <f t="shared" ca="1" si="28"/>
        <v>0</v>
      </c>
      <c r="R64" s="42">
        <f t="shared" ca="1" si="35"/>
        <v>0</v>
      </c>
      <c r="S64" s="42">
        <f t="shared" ca="1" si="35"/>
        <v>0</v>
      </c>
      <c r="T64" s="42">
        <f t="shared" ca="1" si="35"/>
        <v>0</v>
      </c>
      <c r="U64" s="42">
        <f t="shared" ca="1" si="35"/>
        <v>0</v>
      </c>
      <c r="V64" s="42">
        <f t="shared" ca="1" si="35"/>
        <v>0</v>
      </c>
      <c r="W64" s="42">
        <f t="shared" ca="1" si="35"/>
        <v>0</v>
      </c>
      <c r="X64" s="42">
        <f t="shared" ca="1" si="35"/>
        <v>0</v>
      </c>
      <c r="Y64" s="42">
        <f t="shared" ca="1" si="35"/>
        <v>0</v>
      </c>
      <c r="Z64" s="42">
        <f t="shared" ca="1" si="29"/>
        <v>0</v>
      </c>
      <c r="AA64" s="51">
        <f t="shared" ca="1" si="30"/>
        <v>0</v>
      </c>
    </row>
    <row r="65" spans="4:27" ht="12" customHeight="1" x14ac:dyDescent="0.25">
      <c r="D65" s="43">
        <f t="shared" si="31"/>
        <v>54</v>
      </c>
      <c r="E65" s="63">
        <f t="shared" si="25"/>
        <v>13.5</v>
      </c>
      <c r="F65" s="43">
        <f t="shared" si="26"/>
        <v>78.5</v>
      </c>
      <c r="G65" s="42">
        <f t="shared" ca="1" si="34"/>
        <v>0</v>
      </c>
      <c r="H65" s="42">
        <f t="shared" ca="1" si="34"/>
        <v>0</v>
      </c>
      <c r="I65" s="42">
        <f t="shared" ca="1" si="34"/>
        <v>0</v>
      </c>
      <c r="J65" s="42">
        <f t="shared" ca="1" si="34"/>
        <v>0</v>
      </c>
      <c r="K65" s="42">
        <f t="shared" ca="1" si="34"/>
        <v>0</v>
      </c>
      <c r="L65" s="42">
        <f t="shared" ca="1" si="34"/>
        <v>0</v>
      </c>
      <c r="M65" s="42">
        <f t="shared" ca="1" si="34"/>
        <v>0</v>
      </c>
      <c r="N65" s="42">
        <f t="shared" ca="1" si="34"/>
        <v>0</v>
      </c>
      <c r="O65" s="42">
        <f t="shared" ca="1" si="27"/>
        <v>0</v>
      </c>
      <c r="P65" s="51">
        <f t="shared" ca="1" si="28"/>
        <v>0</v>
      </c>
      <c r="R65" s="42">
        <f t="shared" ca="1" si="35"/>
        <v>0</v>
      </c>
      <c r="S65" s="42">
        <f t="shared" ca="1" si="35"/>
        <v>0</v>
      </c>
      <c r="T65" s="42">
        <f t="shared" ca="1" si="35"/>
        <v>0</v>
      </c>
      <c r="U65" s="42">
        <f t="shared" ca="1" si="35"/>
        <v>0</v>
      </c>
      <c r="V65" s="42">
        <f t="shared" ca="1" si="35"/>
        <v>0</v>
      </c>
      <c r="W65" s="42">
        <f t="shared" ca="1" si="35"/>
        <v>0</v>
      </c>
      <c r="X65" s="42">
        <f t="shared" ca="1" si="35"/>
        <v>0</v>
      </c>
      <c r="Y65" s="42">
        <f t="shared" ca="1" si="35"/>
        <v>0</v>
      </c>
      <c r="Z65" s="42">
        <f t="shared" ca="1" si="29"/>
        <v>0</v>
      </c>
      <c r="AA65" s="51">
        <f t="shared" ca="1" si="30"/>
        <v>0</v>
      </c>
    </row>
    <row r="66" spans="4:27" ht="12" customHeight="1" x14ac:dyDescent="0.25">
      <c r="D66" s="43">
        <f t="shared" si="31"/>
        <v>55</v>
      </c>
      <c r="E66" s="63">
        <f t="shared" si="25"/>
        <v>13.75</v>
      </c>
      <c r="F66" s="43">
        <f t="shared" si="26"/>
        <v>78.75</v>
      </c>
      <c r="G66" s="42">
        <f t="shared" ca="1" si="34"/>
        <v>0</v>
      </c>
      <c r="H66" s="42">
        <f t="shared" ca="1" si="34"/>
        <v>0</v>
      </c>
      <c r="I66" s="42">
        <f t="shared" ca="1" si="34"/>
        <v>0</v>
      </c>
      <c r="J66" s="42">
        <f t="shared" ca="1" si="34"/>
        <v>0</v>
      </c>
      <c r="K66" s="42">
        <f t="shared" ca="1" si="34"/>
        <v>0</v>
      </c>
      <c r="L66" s="42">
        <f t="shared" ca="1" si="34"/>
        <v>0</v>
      </c>
      <c r="M66" s="42">
        <f t="shared" ca="1" si="34"/>
        <v>0</v>
      </c>
      <c r="N66" s="42">
        <f t="shared" ca="1" si="34"/>
        <v>0</v>
      </c>
      <c r="O66" s="42">
        <f t="shared" ca="1" si="27"/>
        <v>0</v>
      </c>
      <c r="P66" s="51">
        <f t="shared" ca="1" si="28"/>
        <v>0</v>
      </c>
      <c r="R66" s="42">
        <f t="shared" ca="1" si="35"/>
        <v>0</v>
      </c>
      <c r="S66" s="42">
        <f t="shared" ca="1" si="35"/>
        <v>0</v>
      </c>
      <c r="T66" s="42">
        <f t="shared" ca="1" si="35"/>
        <v>0</v>
      </c>
      <c r="U66" s="42">
        <f t="shared" ca="1" si="35"/>
        <v>0</v>
      </c>
      <c r="V66" s="42">
        <f t="shared" ca="1" si="35"/>
        <v>0</v>
      </c>
      <c r="W66" s="42">
        <f t="shared" ca="1" si="35"/>
        <v>0</v>
      </c>
      <c r="X66" s="42">
        <f t="shared" ca="1" si="35"/>
        <v>0</v>
      </c>
      <c r="Y66" s="42">
        <f t="shared" ca="1" si="35"/>
        <v>0</v>
      </c>
      <c r="Z66" s="42">
        <f t="shared" ca="1" si="29"/>
        <v>0</v>
      </c>
      <c r="AA66" s="51">
        <f t="shared" ca="1" si="30"/>
        <v>0</v>
      </c>
    </row>
    <row r="67" spans="4:27" ht="12" customHeight="1" x14ac:dyDescent="0.25">
      <c r="D67" s="43">
        <f t="shared" si="31"/>
        <v>56</v>
      </c>
      <c r="E67" s="63">
        <f t="shared" si="25"/>
        <v>14</v>
      </c>
      <c r="F67" s="43">
        <f t="shared" si="26"/>
        <v>79</v>
      </c>
      <c r="G67" s="42">
        <f t="shared" ca="1" si="34"/>
        <v>0</v>
      </c>
      <c r="H67" s="42">
        <f t="shared" ca="1" si="34"/>
        <v>0</v>
      </c>
      <c r="I67" s="42">
        <f t="shared" ca="1" si="34"/>
        <v>0</v>
      </c>
      <c r="J67" s="42">
        <f t="shared" ca="1" si="34"/>
        <v>0</v>
      </c>
      <c r="K67" s="42">
        <f t="shared" ca="1" si="34"/>
        <v>0</v>
      </c>
      <c r="L67" s="42">
        <f t="shared" ca="1" si="34"/>
        <v>0</v>
      </c>
      <c r="M67" s="42">
        <f t="shared" ca="1" si="34"/>
        <v>0</v>
      </c>
      <c r="N67" s="42">
        <f t="shared" ca="1" si="34"/>
        <v>0</v>
      </c>
      <c r="O67" s="42">
        <f t="shared" ca="1" si="27"/>
        <v>0</v>
      </c>
      <c r="P67" s="51">
        <f t="shared" ca="1" si="28"/>
        <v>0</v>
      </c>
      <c r="R67" s="42">
        <f t="shared" ca="1" si="35"/>
        <v>0</v>
      </c>
      <c r="S67" s="42">
        <f t="shared" ca="1" si="35"/>
        <v>0</v>
      </c>
      <c r="T67" s="42">
        <f t="shared" ca="1" si="35"/>
        <v>0</v>
      </c>
      <c r="U67" s="42">
        <f t="shared" ca="1" si="35"/>
        <v>0</v>
      </c>
      <c r="V67" s="42">
        <f t="shared" ca="1" si="35"/>
        <v>0</v>
      </c>
      <c r="W67" s="42">
        <f t="shared" ca="1" si="35"/>
        <v>0</v>
      </c>
      <c r="X67" s="42">
        <f t="shared" ca="1" si="35"/>
        <v>0</v>
      </c>
      <c r="Y67" s="42">
        <f t="shared" ca="1" si="35"/>
        <v>0</v>
      </c>
      <c r="Z67" s="42">
        <f t="shared" ca="1" si="29"/>
        <v>0</v>
      </c>
      <c r="AA67" s="51">
        <f t="shared" ca="1" si="30"/>
        <v>0</v>
      </c>
    </row>
    <row r="68" spans="4:27" ht="12" customHeight="1" x14ac:dyDescent="0.25">
      <c r="D68" s="43">
        <f t="shared" si="31"/>
        <v>57</v>
      </c>
      <c r="E68" s="63">
        <f t="shared" si="25"/>
        <v>14.25</v>
      </c>
      <c r="F68" s="43">
        <f t="shared" si="26"/>
        <v>79.25</v>
      </c>
      <c r="G68" s="42">
        <f t="shared" ca="1" si="34"/>
        <v>0</v>
      </c>
      <c r="H68" s="42">
        <f t="shared" ca="1" si="34"/>
        <v>0</v>
      </c>
      <c r="I68" s="42">
        <f t="shared" ca="1" si="34"/>
        <v>0</v>
      </c>
      <c r="J68" s="42">
        <f t="shared" ca="1" si="34"/>
        <v>0</v>
      </c>
      <c r="K68" s="42">
        <f t="shared" ca="1" si="34"/>
        <v>0</v>
      </c>
      <c r="L68" s="42">
        <f t="shared" ca="1" si="34"/>
        <v>0</v>
      </c>
      <c r="M68" s="42">
        <f t="shared" ca="1" si="34"/>
        <v>0</v>
      </c>
      <c r="N68" s="42">
        <f t="shared" ca="1" si="34"/>
        <v>0</v>
      </c>
      <c r="O68" s="42">
        <f t="shared" ca="1" si="27"/>
        <v>0</v>
      </c>
      <c r="P68" s="51">
        <f t="shared" ca="1" si="28"/>
        <v>0</v>
      </c>
      <c r="R68" s="42">
        <f t="shared" ca="1" si="35"/>
        <v>0</v>
      </c>
      <c r="S68" s="42">
        <f t="shared" ca="1" si="35"/>
        <v>0</v>
      </c>
      <c r="T68" s="42">
        <f t="shared" ca="1" si="35"/>
        <v>0</v>
      </c>
      <c r="U68" s="42">
        <f t="shared" ca="1" si="35"/>
        <v>0</v>
      </c>
      <c r="V68" s="42">
        <f t="shared" ca="1" si="35"/>
        <v>0</v>
      </c>
      <c r="W68" s="42">
        <f t="shared" ca="1" si="35"/>
        <v>0</v>
      </c>
      <c r="X68" s="42">
        <f t="shared" ca="1" si="35"/>
        <v>0</v>
      </c>
      <c r="Y68" s="42">
        <f t="shared" ca="1" si="35"/>
        <v>0</v>
      </c>
      <c r="Z68" s="42">
        <f t="shared" ca="1" si="29"/>
        <v>0</v>
      </c>
      <c r="AA68" s="51">
        <f t="shared" ca="1" si="30"/>
        <v>0</v>
      </c>
    </row>
    <row r="69" spans="4:27" ht="12" customHeight="1" x14ac:dyDescent="0.25">
      <c r="D69" s="43">
        <f t="shared" si="31"/>
        <v>58</v>
      </c>
      <c r="E69" s="63">
        <f t="shared" si="25"/>
        <v>14.5</v>
      </c>
      <c r="F69" s="43">
        <f t="shared" si="26"/>
        <v>79.5</v>
      </c>
      <c r="G69" s="42">
        <f t="shared" ca="1" si="34"/>
        <v>0</v>
      </c>
      <c r="H69" s="42">
        <f t="shared" ca="1" si="34"/>
        <v>0</v>
      </c>
      <c r="I69" s="42">
        <f t="shared" ca="1" si="34"/>
        <v>0</v>
      </c>
      <c r="J69" s="42">
        <f t="shared" ca="1" si="34"/>
        <v>0</v>
      </c>
      <c r="K69" s="42">
        <f t="shared" ca="1" si="34"/>
        <v>0</v>
      </c>
      <c r="L69" s="42">
        <f t="shared" ca="1" si="34"/>
        <v>0</v>
      </c>
      <c r="M69" s="42">
        <f t="shared" ca="1" si="34"/>
        <v>0</v>
      </c>
      <c r="N69" s="42">
        <f t="shared" ca="1" si="34"/>
        <v>0</v>
      </c>
      <c r="O69" s="42">
        <f t="shared" ca="1" si="27"/>
        <v>0</v>
      </c>
      <c r="P69" s="51">
        <f t="shared" ca="1" si="28"/>
        <v>0</v>
      </c>
      <c r="R69" s="42">
        <f t="shared" ca="1" si="35"/>
        <v>0</v>
      </c>
      <c r="S69" s="42">
        <f t="shared" ca="1" si="35"/>
        <v>0</v>
      </c>
      <c r="T69" s="42">
        <f t="shared" ca="1" si="35"/>
        <v>0</v>
      </c>
      <c r="U69" s="42">
        <f t="shared" ca="1" si="35"/>
        <v>0</v>
      </c>
      <c r="V69" s="42">
        <f t="shared" ca="1" si="35"/>
        <v>0</v>
      </c>
      <c r="W69" s="42">
        <f t="shared" ca="1" si="35"/>
        <v>0</v>
      </c>
      <c r="X69" s="42">
        <f t="shared" ca="1" si="35"/>
        <v>0</v>
      </c>
      <c r="Y69" s="42">
        <f t="shared" ca="1" si="35"/>
        <v>0</v>
      </c>
      <c r="Z69" s="42">
        <f t="shared" ca="1" si="29"/>
        <v>0</v>
      </c>
      <c r="AA69" s="51">
        <f t="shared" ca="1" si="30"/>
        <v>0</v>
      </c>
    </row>
    <row r="70" spans="4:27" ht="12" customHeight="1" x14ac:dyDescent="0.25">
      <c r="D70" s="43">
        <f t="shared" si="31"/>
        <v>59</v>
      </c>
      <c r="E70" s="63">
        <f t="shared" si="25"/>
        <v>14.75</v>
      </c>
      <c r="F70" s="43">
        <f t="shared" si="26"/>
        <v>79.75</v>
      </c>
      <c r="G70" s="42">
        <f t="shared" ca="1" si="34"/>
        <v>0</v>
      </c>
      <c r="H70" s="42">
        <f t="shared" ca="1" si="34"/>
        <v>0</v>
      </c>
      <c r="I70" s="42">
        <f t="shared" ca="1" si="34"/>
        <v>0</v>
      </c>
      <c r="J70" s="42">
        <f t="shared" ca="1" si="34"/>
        <v>0</v>
      </c>
      <c r="K70" s="42">
        <f t="shared" ca="1" si="34"/>
        <v>0</v>
      </c>
      <c r="L70" s="42">
        <f t="shared" ca="1" si="34"/>
        <v>0</v>
      </c>
      <c r="M70" s="42">
        <f t="shared" ca="1" si="34"/>
        <v>0</v>
      </c>
      <c r="N70" s="42">
        <f t="shared" ca="1" si="34"/>
        <v>0</v>
      </c>
      <c r="O70" s="42">
        <f t="shared" ca="1" si="27"/>
        <v>0</v>
      </c>
      <c r="P70" s="51">
        <f t="shared" ca="1" si="28"/>
        <v>0</v>
      </c>
      <c r="R70" s="42">
        <f t="shared" ca="1" si="35"/>
        <v>0</v>
      </c>
      <c r="S70" s="42">
        <f t="shared" ca="1" si="35"/>
        <v>0</v>
      </c>
      <c r="T70" s="42">
        <f t="shared" ca="1" si="35"/>
        <v>0</v>
      </c>
      <c r="U70" s="42">
        <f t="shared" ca="1" si="35"/>
        <v>0</v>
      </c>
      <c r="V70" s="42">
        <f t="shared" ca="1" si="35"/>
        <v>0</v>
      </c>
      <c r="W70" s="42">
        <f t="shared" ca="1" si="35"/>
        <v>0</v>
      </c>
      <c r="X70" s="42">
        <f t="shared" ca="1" si="35"/>
        <v>0</v>
      </c>
      <c r="Y70" s="42">
        <f t="shared" ca="1" si="35"/>
        <v>0</v>
      </c>
      <c r="Z70" s="42">
        <f t="shared" ca="1" si="29"/>
        <v>0</v>
      </c>
      <c r="AA70" s="51">
        <f t="shared" ca="1" si="30"/>
        <v>0</v>
      </c>
    </row>
    <row r="71" spans="4:27" ht="12" customHeight="1" x14ac:dyDescent="0.25">
      <c r="D71" s="43">
        <f t="shared" si="31"/>
        <v>60</v>
      </c>
      <c r="E71" s="63">
        <f t="shared" si="25"/>
        <v>15</v>
      </c>
      <c r="F71" s="43">
        <f t="shared" si="26"/>
        <v>80</v>
      </c>
      <c r="G71" s="42">
        <f t="shared" ref="G71:N80" ca="1" si="36">AVERAGE(OFFSET(D.Trace.Markov.Root, $D71, (G$2-1)*D.Trace.Markov.NumCols+G$3-1, CHOOSE(swtchHalfCycle, 2, 1)))*G$4</f>
        <v>0</v>
      </c>
      <c r="H71" s="42">
        <f t="shared" ca="1" si="36"/>
        <v>0</v>
      </c>
      <c r="I71" s="42">
        <f t="shared" ca="1" si="36"/>
        <v>0</v>
      </c>
      <c r="J71" s="42">
        <f t="shared" ca="1" si="36"/>
        <v>0</v>
      </c>
      <c r="K71" s="42">
        <f t="shared" ca="1" si="36"/>
        <v>0</v>
      </c>
      <c r="L71" s="42">
        <f t="shared" ca="1" si="36"/>
        <v>0</v>
      </c>
      <c r="M71" s="42">
        <f t="shared" ca="1" si="36"/>
        <v>0</v>
      </c>
      <c r="N71" s="42">
        <f t="shared" ca="1" si="36"/>
        <v>0</v>
      </c>
      <c r="O71" s="42">
        <f t="shared" ca="1" si="27"/>
        <v>0</v>
      </c>
      <c r="P71" s="51">
        <f t="shared" ca="1" si="28"/>
        <v>0</v>
      </c>
      <c r="R71" s="42">
        <f t="shared" ref="R71:Y80" ca="1" si="37">AVERAGE(OFFSET(D.Trace.Markov.Root, $D71, (R$2-1)*D.Trace.Markov.NumCols+R$3-1, CHOOSE(swtchHalfCycle, 2, 1)))*R$4</f>
        <v>0</v>
      </c>
      <c r="S71" s="42">
        <f t="shared" ca="1" si="37"/>
        <v>0</v>
      </c>
      <c r="T71" s="42">
        <f t="shared" ca="1" si="37"/>
        <v>0</v>
      </c>
      <c r="U71" s="42">
        <f t="shared" ca="1" si="37"/>
        <v>0</v>
      </c>
      <c r="V71" s="42">
        <f t="shared" ca="1" si="37"/>
        <v>0</v>
      </c>
      <c r="W71" s="42">
        <f t="shared" ca="1" si="37"/>
        <v>0</v>
      </c>
      <c r="X71" s="42">
        <f t="shared" ca="1" si="37"/>
        <v>0</v>
      </c>
      <c r="Y71" s="42">
        <f t="shared" ca="1" si="37"/>
        <v>0</v>
      </c>
      <c r="Z71" s="42">
        <f t="shared" ca="1" si="29"/>
        <v>0</v>
      </c>
      <c r="AA71" s="51">
        <f t="shared" ca="1" si="30"/>
        <v>0</v>
      </c>
    </row>
    <row r="72" spans="4:27" ht="12" customHeight="1" x14ac:dyDescent="0.25">
      <c r="D72" s="43">
        <f t="shared" si="31"/>
        <v>61</v>
      </c>
      <c r="E72" s="63">
        <f t="shared" si="25"/>
        <v>15.25</v>
      </c>
      <c r="F72" s="43">
        <f t="shared" si="26"/>
        <v>80.25</v>
      </c>
      <c r="G72" s="42">
        <f t="shared" ca="1" si="36"/>
        <v>0</v>
      </c>
      <c r="H72" s="42">
        <f t="shared" ca="1" si="36"/>
        <v>0</v>
      </c>
      <c r="I72" s="42">
        <f t="shared" ca="1" si="36"/>
        <v>0</v>
      </c>
      <c r="J72" s="42">
        <f t="shared" ca="1" si="36"/>
        <v>0</v>
      </c>
      <c r="K72" s="42">
        <f t="shared" ca="1" si="36"/>
        <v>0</v>
      </c>
      <c r="L72" s="42">
        <f t="shared" ca="1" si="36"/>
        <v>0</v>
      </c>
      <c r="M72" s="42">
        <f t="shared" ca="1" si="36"/>
        <v>0</v>
      </c>
      <c r="N72" s="42">
        <f t="shared" ca="1" si="36"/>
        <v>0</v>
      </c>
      <c r="O72" s="42">
        <f t="shared" ca="1" si="27"/>
        <v>0</v>
      </c>
      <c r="P72" s="51">
        <f t="shared" ca="1" si="28"/>
        <v>0</v>
      </c>
      <c r="R72" s="42">
        <f t="shared" ca="1" si="37"/>
        <v>0</v>
      </c>
      <c r="S72" s="42">
        <f t="shared" ca="1" si="37"/>
        <v>0</v>
      </c>
      <c r="T72" s="42">
        <f t="shared" ca="1" si="37"/>
        <v>0</v>
      </c>
      <c r="U72" s="42">
        <f t="shared" ca="1" si="37"/>
        <v>0</v>
      </c>
      <c r="V72" s="42">
        <f t="shared" ca="1" si="37"/>
        <v>0</v>
      </c>
      <c r="W72" s="42">
        <f t="shared" ca="1" si="37"/>
        <v>0</v>
      </c>
      <c r="X72" s="42">
        <f t="shared" ca="1" si="37"/>
        <v>0</v>
      </c>
      <c r="Y72" s="42">
        <f t="shared" ca="1" si="37"/>
        <v>0</v>
      </c>
      <c r="Z72" s="42">
        <f t="shared" ca="1" si="29"/>
        <v>0</v>
      </c>
      <c r="AA72" s="51">
        <f t="shared" ca="1" si="30"/>
        <v>0</v>
      </c>
    </row>
    <row r="73" spans="4:27" ht="12" customHeight="1" x14ac:dyDescent="0.25">
      <c r="D73" s="43">
        <f t="shared" si="31"/>
        <v>62</v>
      </c>
      <c r="E73" s="63">
        <f t="shared" si="25"/>
        <v>15.5</v>
      </c>
      <c r="F73" s="43">
        <f t="shared" si="26"/>
        <v>80.5</v>
      </c>
      <c r="G73" s="42">
        <f t="shared" ca="1" si="36"/>
        <v>0</v>
      </c>
      <c r="H73" s="42">
        <f t="shared" ca="1" si="36"/>
        <v>0</v>
      </c>
      <c r="I73" s="42">
        <f t="shared" ca="1" si="36"/>
        <v>0</v>
      </c>
      <c r="J73" s="42">
        <f t="shared" ca="1" si="36"/>
        <v>0</v>
      </c>
      <c r="K73" s="42">
        <f t="shared" ca="1" si="36"/>
        <v>0</v>
      </c>
      <c r="L73" s="42">
        <f t="shared" ca="1" si="36"/>
        <v>0</v>
      </c>
      <c r="M73" s="42">
        <f t="shared" ca="1" si="36"/>
        <v>0</v>
      </c>
      <c r="N73" s="42">
        <f t="shared" ca="1" si="36"/>
        <v>0</v>
      </c>
      <c r="O73" s="42">
        <f t="shared" ca="1" si="27"/>
        <v>0</v>
      </c>
      <c r="P73" s="51">
        <f t="shared" ca="1" si="28"/>
        <v>0</v>
      </c>
      <c r="R73" s="42">
        <f t="shared" ca="1" si="37"/>
        <v>0</v>
      </c>
      <c r="S73" s="42">
        <f t="shared" ca="1" si="37"/>
        <v>0</v>
      </c>
      <c r="T73" s="42">
        <f t="shared" ca="1" si="37"/>
        <v>0</v>
      </c>
      <c r="U73" s="42">
        <f t="shared" ca="1" si="37"/>
        <v>0</v>
      </c>
      <c r="V73" s="42">
        <f t="shared" ca="1" si="37"/>
        <v>0</v>
      </c>
      <c r="W73" s="42">
        <f t="shared" ca="1" si="37"/>
        <v>0</v>
      </c>
      <c r="X73" s="42">
        <f t="shared" ca="1" si="37"/>
        <v>0</v>
      </c>
      <c r="Y73" s="42">
        <f t="shared" ca="1" si="37"/>
        <v>0</v>
      </c>
      <c r="Z73" s="42">
        <f t="shared" ca="1" si="29"/>
        <v>0</v>
      </c>
      <c r="AA73" s="51">
        <f t="shared" ca="1" si="30"/>
        <v>0</v>
      </c>
    </row>
    <row r="74" spans="4:27" ht="12" customHeight="1" x14ac:dyDescent="0.25">
      <c r="D74" s="43">
        <f t="shared" si="31"/>
        <v>63</v>
      </c>
      <c r="E74" s="63">
        <f t="shared" si="25"/>
        <v>15.75</v>
      </c>
      <c r="F74" s="43">
        <f t="shared" si="26"/>
        <v>80.75</v>
      </c>
      <c r="G74" s="42">
        <f t="shared" ca="1" si="36"/>
        <v>0</v>
      </c>
      <c r="H74" s="42">
        <f t="shared" ca="1" si="36"/>
        <v>0</v>
      </c>
      <c r="I74" s="42">
        <f t="shared" ca="1" si="36"/>
        <v>0</v>
      </c>
      <c r="J74" s="42">
        <f t="shared" ca="1" si="36"/>
        <v>0</v>
      </c>
      <c r="K74" s="42">
        <f t="shared" ca="1" si="36"/>
        <v>0</v>
      </c>
      <c r="L74" s="42">
        <f t="shared" ca="1" si="36"/>
        <v>0</v>
      </c>
      <c r="M74" s="42">
        <f t="shared" ca="1" si="36"/>
        <v>0</v>
      </c>
      <c r="N74" s="42">
        <f t="shared" ca="1" si="36"/>
        <v>0</v>
      </c>
      <c r="O74" s="42">
        <f t="shared" ca="1" si="27"/>
        <v>0</v>
      </c>
      <c r="P74" s="51">
        <f t="shared" ca="1" si="28"/>
        <v>0</v>
      </c>
      <c r="R74" s="42">
        <f t="shared" ca="1" si="37"/>
        <v>0</v>
      </c>
      <c r="S74" s="42">
        <f t="shared" ca="1" si="37"/>
        <v>0</v>
      </c>
      <c r="T74" s="42">
        <f t="shared" ca="1" si="37"/>
        <v>0</v>
      </c>
      <c r="U74" s="42">
        <f t="shared" ca="1" si="37"/>
        <v>0</v>
      </c>
      <c r="V74" s="42">
        <f t="shared" ca="1" si="37"/>
        <v>0</v>
      </c>
      <c r="W74" s="42">
        <f t="shared" ca="1" si="37"/>
        <v>0</v>
      </c>
      <c r="X74" s="42">
        <f t="shared" ca="1" si="37"/>
        <v>0</v>
      </c>
      <c r="Y74" s="42">
        <f t="shared" ca="1" si="37"/>
        <v>0</v>
      </c>
      <c r="Z74" s="42">
        <f t="shared" ca="1" si="29"/>
        <v>0</v>
      </c>
      <c r="AA74" s="51">
        <f t="shared" ca="1" si="30"/>
        <v>0</v>
      </c>
    </row>
    <row r="75" spans="4:27" ht="12" customHeight="1" x14ac:dyDescent="0.25">
      <c r="D75" s="43">
        <f t="shared" si="31"/>
        <v>64</v>
      </c>
      <c r="E75" s="63">
        <f t="shared" ref="E75:E106" si="38">D75*D.cycleLength</f>
        <v>16</v>
      </c>
      <c r="F75" s="43">
        <f t="shared" ref="F75:F106" si="39">D.cohortAge+D75*D.cycleLength</f>
        <v>81</v>
      </c>
      <c r="G75" s="42">
        <f t="shared" ca="1" si="36"/>
        <v>0</v>
      </c>
      <c r="H75" s="42">
        <f t="shared" ca="1" si="36"/>
        <v>0</v>
      </c>
      <c r="I75" s="42">
        <f t="shared" ca="1" si="36"/>
        <v>0</v>
      </c>
      <c r="J75" s="42">
        <f t="shared" ca="1" si="36"/>
        <v>0</v>
      </c>
      <c r="K75" s="42">
        <f t="shared" ca="1" si="36"/>
        <v>0</v>
      </c>
      <c r="L75" s="42">
        <f t="shared" ca="1" si="36"/>
        <v>0</v>
      </c>
      <c r="M75" s="42">
        <f t="shared" ca="1" si="36"/>
        <v>0</v>
      </c>
      <c r="N75" s="42">
        <f t="shared" ca="1" si="36"/>
        <v>0</v>
      </c>
      <c r="O75" s="42">
        <f t="shared" ref="O75:O106" ca="1" si="40">(OFFSET(D.Trace.Markov.Root, $D75+1, (O$2-1)*D.Trace.Markov.NumCols+O$3-1)-OFFSET(D.Trace.Markov.Root, $D75, (O$2-1)*D.Trace.Markov.NumCols+O$3-1))*O$4</f>
        <v>0</v>
      </c>
      <c r="P75" s="51">
        <f t="shared" ref="P75:P106" ca="1" si="41">SUM(G75:O75)</f>
        <v>0</v>
      </c>
      <c r="R75" s="42">
        <f t="shared" ca="1" si="37"/>
        <v>0</v>
      </c>
      <c r="S75" s="42">
        <f t="shared" ca="1" si="37"/>
        <v>0</v>
      </c>
      <c r="T75" s="42">
        <f t="shared" ca="1" si="37"/>
        <v>0</v>
      </c>
      <c r="U75" s="42">
        <f t="shared" ca="1" si="37"/>
        <v>0</v>
      </c>
      <c r="V75" s="42">
        <f t="shared" ca="1" si="37"/>
        <v>0</v>
      </c>
      <c r="W75" s="42">
        <f t="shared" ca="1" si="37"/>
        <v>0</v>
      </c>
      <c r="X75" s="42">
        <f t="shared" ca="1" si="37"/>
        <v>0</v>
      </c>
      <c r="Y75" s="42">
        <f t="shared" ca="1" si="37"/>
        <v>0</v>
      </c>
      <c r="Z75" s="42">
        <f t="shared" ref="Z75:Z106" ca="1" si="42">(OFFSET(D.Trace.Markov.Root, $D75+1, (Z$2-1)*D.Trace.Markov.NumCols+Z$3-1)-OFFSET(D.Trace.Markov.Root, $D75, (Z$2-1)*D.Trace.Markov.NumCols+Z$3-1))*Z$4</f>
        <v>0</v>
      </c>
      <c r="AA75" s="51">
        <f t="shared" ref="AA75:AA106" ca="1" si="43">SUM(R75:Z75)</f>
        <v>0</v>
      </c>
    </row>
    <row r="76" spans="4:27" ht="12" customHeight="1" x14ac:dyDescent="0.25">
      <c r="D76" s="43">
        <f t="shared" ref="D76:D107" si="44">D75+1</f>
        <v>65</v>
      </c>
      <c r="E76" s="63">
        <f t="shared" si="38"/>
        <v>16.25</v>
      </c>
      <c r="F76" s="43">
        <f t="shared" si="39"/>
        <v>81.25</v>
      </c>
      <c r="G76" s="42">
        <f t="shared" ca="1" si="36"/>
        <v>0</v>
      </c>
      <c r="H76" s="42">
        <f t="shared" ca="1" si="36"/>
        <v>0</v>
      </c>
      <c r="I76" s="42">
        <f t="shared" ca="1" si="36"/>
        <v>0</v>
      </c>
      <c r="J76" s="42">
        <f t="shared" ca="1" si="36"/>
        <v>0</v>
      </c>
      <c r="K76" s="42">
        <f t="shared" ca="1" si="36"/>
        <v>0</v>
      </c>
      <c r="L76" s="42">
        <f t="shared" ca="1" si="36"/>
        <v>0</v>
      </c>
      <c r="M76" s="42">
        <f t="shared" ca="1" si="36"/>
        <v>0</v>
      </c>
      <c r="N76" s="42">
        <f t="shared" ca="1" si="36"/>
        <v>0</v>
      </c>
      <c r="O76" s="42">
        <f t="shared" ca="1" si="40"/>
        <v>0</v>
      </c>
      <c r="P76" s="51">
        <f t="shared" ca="1" si="41"/>
        <v>0</v>
      </c>
      <c r="R76" s="42">
        <f t="shared" ca="1" si="37"/>
        <v>0</v>
      </c>
      <c r="S76" s="42">
        <f t="shared" ca="1" si="37"/>
        <v>0</v>
      </c>
      <c r="T76" s="42">
        <f t="shared" ca="1" si="37"/>
        <v>0</v>
      </c>
      <c r="U76" s="42">
        <f t="shared" ca="1" si="37"/>
        <v>0</v>
      </c>
      <c r="V76" s="42">
        <f t="shared" ca="1" si="37"/>
        <v>0</v>
      </c>
      <c r="W76" s="42">
        <f t="shared" ca="1" si="37"/>
        <v>0</v>
      </c>
      <c r="X76" s="42">
        <f t="shared" ca="1" si="37"/>
        <v>0</v>
      </c>
      <c r="Y76" s="42">
        <f t="shared" ca="1" si="37"/>
        <v>0</v>
      </c>
      <c r="Z76" s="42">
        <f t="shared" ca="1" si="42"/>
        <v>0</v>
      </c>
      <c r="AA76" s="51">
        <f t="shared" ca="1" si="43"/>
        <v>0</v>
      </c>
    </row>
    <row r="77" spans="4:27" ht="12" customHeight="1" x14ac:dyDescent="0.25">
      <c r="D77" s="43">
        <f t="shared" si="44"/>
        <v>66</v>
      </c>
      <c r="E77" s="63">
        <f t="shared" si="38"/>
        <v>16.5</v>
      </c>
      <c r="F77" s="43">
        <f t="shared" si="39"/>
        <v>81.5</v>
      </c>
      <c r="G77" s="42">
        <f t="shared" ca="1" si="36"/>
        <v>0</v>
      </c>
      <c r="H77" s="42">
        <f t="shared" ca="1" si="36"/>
        <v>0</v>
      </c>
      <c r="I77" s="42">
        <f t="shared" ca="1" si="36"/>
        <v>0</v>
      </c>
      <c r="J77" s="42">
        <f t="shared" ca="1" si="36"/>
        <v>0</v>
      </c>
      <c r="K77" s="42">
        <f t="shared" ca="1" si="36"/>
        <v>0</v>
      </c>
      <c r="L77" s="42">
        <f t="shared" ca="1" si="36"/>
        <v>0</v>
      </c>
      <c r="M77" s="42">
        <f t="shared" ca="1" si="36"/>
        <v>0</v>
      </c>
      <c r="N77" s="42">
        <f t="shared" ca="1" si="36"/>
        <v>0</v>
      </c>
      <c r="O77" s="42">
        <f t="shared" ca="1" si="40"/>
        <v>0</v>
      </c>
      <c r="P77" s="51">
        <f t="shared" ca="1" si="41"/>
        <v>0</v>
      </c>
      <c r="R77" s="42">
        <f t="shared" ca="1" si="37"/>
        <v>0</v>
      </c>
      <c r="S77" s="42">
        <f t="shared" ca="1" si="37"/>
        <v>0</v>
      </c>
      <c r="T77" s="42">
        <f t="shared" ca="1" si="37"/>
        <v>0</v>
      </c>
      <c r="U77" s="42">
        <f t="shared" ca="1" si="37"/>
        <v>0</v>
      </c>
      <c r="V77" s="42">
        <f t="shared" ca="1" si="37"/>
        <v>0</v>
      </c>
      <c r="W77" s="42">
        <f t="shared" ca="1" si="37"/>
        <v>0</v>
      </c>
      <c r="X77" s="42">
        <f t="shared" ca="1" si="37"/>
        <v>0</v>
      </c>
      <c r="Y77" s="42">
        <f t="shared" ca="1" si="37"/>
        <v>0</v>
      </c>
      <c r="Z77" s="42">
        <f t="shared" ca="1" si="42"/>
        <v>0</v>
      </c>
      <c r="AA77" s="51">
        <f t="shared" ca="1" si="43"/>
        <v>0</v>
      </c>
    </row>
    <row r="78" spans="4:27" ht="12" customHeight="1" x14ac:dyDescent="0.25">
      <c r="D78" s="43">
        <f t="shared" si="44"/>
        <v>67</v>
      </c>
      <c r="E78" s="63">
        <f t="shared" si="38"/>
        <v>16.75</v>
      </c>
      <c r="F78" s="43">
        <f t="shared" si="39"/>
        <v>81.75</v>
      </c>
      <c r="G78" s="42">
        <f t="shared" ca="1" si="36"/>
        <v>0</v>
      </c>
      <c r="H78" s="42">
        <f t="shared" ca="1" si="36"/>
        <v>0</v>
      </c>
      <c r="I78" s="42">
        <f t="shared" ca="1" si="36"/>
        <v>0</v>
      </c>
      <c r="J78" s="42">
        <f t="shared" ca="1" si="36"/>
        <v>0</v>
      </c>
      <c r="K78" s="42">
        <f t="shared" ca="1" si="36"/>
        <v>0</v>
      </c>
      <c r="L78" s="42">
        <f t="shared" ca="1" si="36"/>
        <v>0</v>
      </c>
      <c r="M78" s="42">
        <f t="shared" ca="1" si="36"/>
        <v>0</v>
      </c>
      <c r="N78" s="42">
        <f t="shared" ca="1" si="36"/>
        <v>0</v>
      </c>
      <c r="O78" s="42">
        <f t="shared" ca="1" si="40"/>
        <v>0</v>
      </c>
      <c r="P78" s="51">
        <f t="shared" ca="1" si="41"/>
        <v>0</v>
      </c>
      <c r="R78" s="42">
        <f t="shared" ca="1" si="37"/>
        <v>0</v>
      </c>
      <c r="S78" s="42">
        <f t="shared" ca="1" si="37"/>
        <v>0</v>
      </c>
      <c r="T78" s="42">
        <f t="shared" ca="1" si="37"/>
        <v>0</v>
      </c>
      <c r="U78" s="42">
        <f t="shared" ca="1" si="37"/>
        <v>0</v>
      </c>
      <c r="V78" s="42">
        <f t="shared" ca="1" si="37"/>
        <v>0</v>
      </c>
      <c r="W78" s="42">
        <f t="shared" ca="1" si="37"/>
        <v>0</v>
      </c>
      <c r="X78" s="42">
        <f t="shared" ca="1" si="37"/>
        <v>0</v>
      </c>
      <c r="Y78" s="42">
        <f t="shared" ca="1" si="37"/>
        <v>0</v>
      </c>
      <c r="Z78" s="42">
        <f t="shared" ca="1" si="42"/>
        <v>0</v>
      </c>
      <c r="AA78" s="51">
        <f t="shared" ca="1" si="43"/>
        <v>0</v>
      </c>
    </row>
    <row r="79" spans="4:27" ht="12" customHeight="1" x14ac:dyDescent="0.25">
      <c r="D79" s="43">
        <f t="shared" si="44"/>
        <v>68</v>
      </c>
      <c r="E79" s="63">
        <f t="shared" si="38"/>
        <v>17</v>
      </c>
      <c r="F79" s="43">
        <f t="shared" si="39"/>
        <v>82</v>
      </c>
      <c r="G79" s="42">
        <f t="shared" ca="1" si="36"/>
        <v>0</v>
      </c>
      <c r="H79" s="42">
        <f t="shared" ca="1" si="36"/>
        <v>0</v>
      </c>
      <c r="I79" s="42">
        <f t="shared" ca="1" si="36"/>
        <v>0</v>
      </c>
      <c r="J79" s="42">
        <f t="shared" ca="1" si="36"/>
        <v>0</v>
      </c>
      <c r="K79" s="42">
        <f t="shared" ca="1" si="36"/>
        <v>0</v>
      </c>
      <c r="L79" s="42">
        <f t="shared" ca="1" si="36"/>
        <v>0</v>
      </c>
      <c r="M79" s="42">
        <f t="shared" ca="1" si="36"/>
        <v>0</v>
      </c>
      <c r="N79" s="42">
        <f t="shared" ca="1" si="36"/>
        <v>0</v>
      </c>
      <c r="O79" s="42">
        <f t="shared" ca="1" si="40"/>
        <v>0</v>
      </c>
      <c r="P79" s="51">
        <f t="shared" ca="1" si="41"/>
        <v>0</v>
      </c>
      <c r="R79" s="42">
        <f t="shared" ca="1" si="37"/>
        <v>0</v>
      </c>
      <c r="S79" s="42">
        <f t="shared" ca="1" si="37"/>
        <v>0</v>
      </c>
      <c r="T79" s="42">
        <f t="shared" ca="1" si="37"/>
        <v>0</v>
      </c>
      <c r="U79" s="42">
        <f t="shared" ca="1" si="37"/>
        <v>0</v>
      </c>
      <c r="V79" s="42">
        <f t="shared" ca="1" si="37"/>
        <v>0</v>
      </c>
      <c r="W79" s="42">
        <f t="shared" ca="1" si="37"/>
        <v>0</v>
      </c>
      <c r="X79" s="42">
        <f t="shared" ca="1" si="37"/>
        <v>0</v>
      </c>
      <c r="Y79" s="42">
        <f t="shared" ca="1" si="37"/>
        <v>0</v>
      </c>
      <c r="Z79" s="42">
        <f t="shared" ca="1" si="42"/>
        <v>0</v>
      </c>
      <c r="AA79" s="51">
        <f t="shared" ca="1" si="43"/>
        <v>0</v>
      </c>
    </row>
    <row r="80" spans="4:27" ht="12" customHeight="1" x14ac:dyDescent="0.25">
      <c r="D80" s="43">
        <f t="shared" si="44"/>
        <v>69</v>
      </c>
      <c r="E80" s="63">
        <f t="shared" si="38"/>
        <v>17.25</v>
      </c>
      <c r="F80" s="43">
        <f t="shared" si="39"/>
        <v>82.25</v>
      </c>
      <c r="G80" s="42">
        <f t="shared" ca="1" si="36"/>
        <v>0</v>
      </c>
      <c r="H80" s="42">
        <f t="shared" ca="1" si="36"/>
        <v>0</v>
      </c>
      <c r="I80" s="42">
        <f t="shared" ca="1" si="36"/>
        <v>0</v>
      </c>
      <c r="J80" s="42">
        <f t="shared" ca="1" si="36"/>
        <v>0</v>
      </c>
      <c r="K80" s="42">
        <f t="shared" ca="1" si="36"/>
        <v>0</v>
      </c>
      <c r="L80" s="42">
        <f t="shared" ca="1" si="36"/>
        <v>0</v>
      </c>
      <c r="M80" s="42">
        <f t="shared" ca="1" si="36"/>
        <v>0</v>
      </c>
      <c r="N80" s="42">
        <f t="shared" ca="1" si="36"/>
        <v>0</v>
      </c>
      <c r="O80" s="42">
        <f t="shared" ca="1" si="40"/>
        <v>0</v>
      </c>
      <c r="P80" s="51">
        <f t="shared" ca="1" si="41"/>
        <v>0</v>
      </c>
      <c r="R80" s="42">
        <f t="shared" ca="1" si="37"/>
        <v>0</v>
      </c>
      <c r="S80" s="42">
        <f t="shared" ca="1" si="37"/>
        <v>0</v>
      </c>
      <c r="T80" s="42">
        <f t="shared" ca="1" si="37"/>
        <v>0</v>
      </c>
      <c r="U80" s="42">
        <f t="shared" ca="1" si="37"/>
        <v>0</v>
      </c>
      <c r="V80" s="42">
        <f t="shared" ca="1" si="37"/>
        <v>0</v>
      </c>
      <c r="W80" s="42">
        <f t="shared" ca="1" si="37"/>
        <v>0</v>
      </c>
      <c r="X80" s="42">
        <f t="shared" ca="1" si="37"/>
        <v>0</v>
      </c>
      <c r="Y80" s="42">
        <f t="shared" ca="1" si="37"/>
        <v>0</v>
      </c>
      <c r="Z80" s="42">
        <f t="shared" ca="1" si="42"/>
        <v>0</v>
      </c>
      <c r="AA80" s="51">
        <f t="shared" ca="1" si="43"/>
        <v>0</v>
      </c>
    </row>
    <row r="81" spans="4:27" ht="12" customHeight="1" x14ac:dyDescent="0.25">
      <c r="D81" s="43">
        <f t="shared" si="44"/>
        <v>70</v>
      </c>
      <c r="E81" s="63">
        <f t="shared" si="38"/>
        <v>17.5</v>
      </c>
      <c r="F81" s="43">
        <f t="shared" si="39"/>
        <v>82.5</v>
      </c>
      <c r="G81" s="42">
        <f t="shared" ref="G81:N90" ca="1" si="45">AVERAGE(OFFSET(D.Trace.Markov.Root, $D81, (G$2-1)*D.Trace.Markov.NumCols+G$3-1, CHOOSE(swtchHalfCycle, 2, 1)))*G$4</f>
        <v>0</v>
      </c>
      <c r="H81" s="42">
        <f t="shared" ca="1" si="45"/>
        <v>0</v>
      </c>
      <c r="I81" s="42">
        <f t="shared" ca="1" si="45"/>
        <v>0</v>
      </c>
      <c r="J81" s="42">
        <f t="shared" ca="1" si="45"/>
        <v>0</v>
      </c>
      <c r="K81" s="42">
        <f t="shared" ca="1" si="45"/>
        <v>0</v>
      </c>
      <c r="L81" s="42">
        <f t="shared" ca="1" si="45"/>
        <v>0</v>
      </c>
      <c r="M81" s="42">
        <f t="shared" ca="1" si="45"/>
        <v>0</v>
      </c>
      <c r="N81" s="42">
        <f t="shared" ca="1" si="45"/>
        <v>0</v>
      </c>
      <c r="O81" s="42">
        <f t="shared" ca="1" si="40"/>
        <v>0</v>
      </c>
      <c r="P81" s="51">
        <f t="shared" ca="1" si="41"/>
        <v>0</v>
      </c>
      <c r="R81" s="42">
        <f t="shared" ref="R81:Y90" ca="1" si="46">AVERAGE(OFFSET(D.Trace.Markov.Root, $D81, (R$2-1)*D.Trace.Markov.NumCols+R$3-1, CHOOSE(swtchHalfCycle, 2, 1)))*R$4</f>
        <v>0</v>
      </c>
      <c r="S81" s="42">
        <f t="shared" ca="1" si="46"/>
        <v>0</v>
      </c>
      <c r="T81" s="42">
        <f t="shared" ca="1" si="46"/>
        <v>0</v>
      </c>
      <c r="U81" s="42">
        <f t="shared" ca="1" si="46"/>
        <v>0</v>
      </c>
      <c r="V81" s="42">
        <f t="shared" ca="1" si="46"/>
        <v>0</v>
      </c>
      <c r="W81" s="42">
        <f t="shared" ca="1" si="46"/>
        <v>0</v>
      </c>
      <c r="X81" s="42">
        <f t="shared" ca="1" si="46"/>
        <v>0</v>
      </c>
      <c r="Y81" s="42">
        <f t="shared" ca="1" si="46"/>
        <v>0</v>
      </c>
      <c r="Z81" s="42">
        <f t="shared" ca="1" si="42"/>
        <v>0</v>
      </c>
      <c r="AA81" s="51">
        <f t="shared" ca="1" si="43"/>
        <v>0</v>
      </c>
    </row>
    <row r="82" spans="4:27" ht="12" customHeight="1" x14ac:dyDescent="0.25">
      <c r="D82" s="43">
        <f t="shared" si="44"/>
        <v>71</v>
      </c>
      <c r="E82" s="63">
        <f t="shared" si="38"/>
        <v>17.75</v>
      </c>
      <c r="F82" s="43">
        <f t="shared" si="39"/>
        <v>82.75</v>
      </c>
      <c r="G82" s="42">
        <f t="shared" ca="1" si="45"/>
        <v>0</v>
      </c>
      <c r="H82" s="42">
        <f t="shared" ca="1" si="45"/>
        <v>0</v>
      </c>
      <c r="I82" s="42">
        <f t="shared" ca="1" si="45"/>
        <v>0</v>
      </c>
      <c r="J82" s="42">
        <f t="shared" ca="1" si="45"/>
        <v>0</v>
      </c>
      <c r="K82" s="42">
        <f t="shared" ca="1" si="45"/>
        <v>0</v>
      </c>
      <c r="L82" s="42">
        <f t="shared" ca="1" si="45"/>
        <v>0</v>
      </c>
      <c r="M82" s="42">
        <f t="shared" ca="1" si="45"/>
        <v>0</v>
      </c>
      <c r="N82" s="42">
        <f t="shared" ca="1" si="45"/>
        <v>0</v>
      </c>
      <c r="O82" s="42">
        <f t="shared" ca="1" si="40"/>
        <v>0</v>
      </c>
      <c r="P82" s="51">
        <f t="shared" ca="1" si="41"/>
        <v>0</v>
      </c>
      <c r="R82" s="42">
        <f t="shared" ca="1" si="46"/>
        <v>0</v>
      </c>
      <c r="S82" s="42">
        <f t="shared" ca="1" si="46"/>
        <v>0</v>
      </c>
      <c r="T82" s="42">
        <f t="shared" ca="1" si="46"/>
        <v>0</v>
      </c>
      <c r="U82" s="42">
        <f t="shared" ca="1" si="46"/>
        <v>0</v>
      </c>
      <c r="V82" s="42">
        <f t="shared" ca="1" si="46"/>
        <v>0</v>
      </c>
      <c r="W82" s="42">
        <f t="shared" ca="1" si="46"/>
        <v>0</v>
      </c>
      <c r="X82" s="42">
        <f t="shared" ca="1" si="46"/>
        <v>0</v>
      </c>
      <c r="Y82" s="42">
        <f t="shared" ca="1" si="46"/>
        <v>0</v>
      </c>
      <c r="Z82" s="42">
        <f t="shared" ca="1" si="42"/>
        <v>0</v>
      </c>
      <c r="AA82" s="51">
        <f t="shared" ca="1" si="43"/>
        <v>0</v>
      </c>
    </row>
    <row r="83" spans="4:27" ht="12" customHeight="1" x14ac:dyDescent="0.25">
      <c r="D83" s="43">
        <f t="shared" si="44"/>
        <v>72</v>
      </c>
      <c r="E83" s="63">
        <f t="shared" si="38"/>
        <v>18</v>
      </c>
      <c r="F83" s="43">
        <f t="shared" si="39"/>
        <v>83</v>
      </c>
      <c r="G83" s="42">
        <f t="shared" ca="1" si="45"/>
        <v>0</v>
      </c>
      <c r="H83" s="42">
        <f t="shared" ca="1" si="45"/>
        <v>0</v>
      </c>
      <c r="I83" s="42">
        <f t="shared" ca="1" si="45"/>
        <v>0</v>
      </c>
      <c r="J83" s="42">
        <f t="shared" ca="1" si="45"/>
        <v>0</v>
      </c>
      <c r="K83" s="42">
        <f t="shared" ca="1" si="45"/>
        <v>0</v>
      </c>
      <c r="L83" s="42">
        <f t="shared" ca="1" si="45"/>
        <v>0</v>
      </c>
      <c r="M83" s="42">
        <f t="shared" ca="1" si="45"/>
        <v>0</v>
      </c>
      <c r="N83" s="42">
        <f t="shared" ca="1" si="45"/>
        <v>0</v>
      </c>
      <c r="O83" s="42">
        <f t="shared" ca="1" si="40"/>
        <v>0</v>
      </c>
      <c r="P83" s="51">
        <f t="shared" ca="1" si="41"/>
        <v>0</v>
      </c>
      <c r="R83" s="42">
        <f t="shared" ca="1" si="46"/>
        <v>0</v>
      </c>
      <c r="S83" s="42">
        <f t="shared" ca="1" si="46"/>
        <v>0</v>
      </c>
      <c r="T83" s="42">
        <f t="shared" ca="1" si="46"/>
        <v>0</v>
      </c>
      <c r="U83" s="42">
        <f t="shared" ca="1" si="46"/>
        <v>0</v>
      </c>
      <c r="V83" s="42">
        <f t="shared" ca="1" si="46"/>
        <v>0</v>
      </c>
      <c r="W83" s="42">
        <f t="shared" ca="1" si="46"/>
        <v>0</v>
      </c>
      <c r="X83" s="42">
        <f t="shared" ca="1" si="46"/>
        <v>0</v>
      </c>
      <c r="Y83" s="42">
        <f t="shared" ca="1" si="46"/>
        <v>0</v>
      </c>
      <c r="Z83" s="42">
        <f t="shared" ca="1" si="42"/>
        <v>0</v>
      </c>
      <c r="AA83" s="51">
        <f t="shared" ca="1" si="43"/>
        <v>0</v>
      </c>
    </row>
    <row r="84" spans="4:27" ht="12" customHeight="1" x14ac:dyDescent="0.25">
      <c r="D84" s="43">
        <f t="shared" si="44"/>
        <v>73</v>
      </c>
      <c r="E84" s="63">
        <f t="shared" si="38"/>
        <v>18.25</v>
      </c>
      <c r="F84" s="43">
        <f t="shared" si="39"/>
        <v>83.25</v>
      </c>
      <c r="G84" s="42">
        <f t="shared" ca="1" si="45"/>
        <v>0</v>
      </c>
      <c r="H84" s="42">
        <f t="shared" ca="1" si="45"/>
        <v>0</v>
      </c>
      <c r="I84" s="42">
        <f t="shared" ca="1" si="45"/>
        <v>0</v>
      </c>
      <c r="J84" s="42">
        <f t="shared" ca="1" si="45"/>
        <v>0</v>
      </c>
      <c r="K84" s="42">
        <f t="shared" ca="1" si="45"/>
        <v>0</v>
      </c>
      <c r="L84" s="42">
        <f t="shared" ca="1" si="45"/>
        <v>0</v>
      </c>
      <c r="M84" s="42">
        <f t="shared" ca="1" si="45"/>
        <v>0</v>
      </c>
      <c r="N84" s="42">
        <f t="shared" ca="1" si="45"/>
        <v>0</v>
      </c>
      <c r="O84" s="42">
        <f t="shared" ca="1" si="40"/>
        <v>0</v>
      </c>
      <c r="P84" s="51">
        <f t="shared" ca="1" si="41"/>
        <v>0</v>
      </c>
      <c r="R84" s="42">
        <f t="shared" ca="1" si="46"/>
        <v>0</v>
      </c>
      <c r="S84" s="42">
        <f t="shared" ca="1" si="46"/>
        <v>0</v>
      </c>
      <c r="T84" s="42">
        <f t="shared" ca="1" si="46"/>
        <v>0</v>
      </c>
      <c r="U84" s="42">
        <f t="shared" ca="1" si="46"/>
        <v>0</v>
      </c>
      <c r="V84" s="42">
        <f t="shared" ca="1" si="46"/>
        <v>0</v>
      </c>
      <c r="W84" s="42">
        <f t="shared" ca="1" si="46"/>
        <v>0</v>
      </c>
      <c r="X84" s="42">
        <f t="shared" ca="1" si="46"/>
        <v>0</v>
      </c>
      <c r="Y84" s="42">
        <f t="shared" ca="1" si="46"/>
        <v>0</v>
      </c>
      <c r="Z84" s="42">
        <f t="shared" ca="1" si="42"/>
        <v>0</v>
      </c>
      <c r="AA84" s="51">
        <f t="shared" ca="1" si="43"/>
        <v>0</v>
      </c>
    </row>
    <row r="85" spans="4:27" ht="12" customHeight="1" x14ac:dyDescent="0.25">
      <c r="D85" s="43">
        <f t="shared" si="44"/>
        <v>74</v>
      </c>
      <c r="E85" s="63">
        <f t="shared" si="38"/>
        <v>18.5</v>
      </c>
      <c r="F85" s="43">
        <f t="shared" si="39"/>
        <v>83.5</v>
      </c>
      <c r="G85" s="42">
        <f t="shared" ca="1" si="45"/>
        <v>0</v>
      </c>
      <c r="H85" s="42">
        <f t="shared" ca="1" si="45"/>
        <v>0</v>
      </c>
      <c r="I85" s="42">
        <f t="shared" ca="1" si="45"/>
        <v>0</v>
      </c>
      <c r="J85" s="42">
        <f t="shared" ca="1" si="45"/>
        <v>0</v>
      </c>
      <c r="K85" s="42">
        <f t="shared" ca="1" si="45"/>
        <v>0</v>
      </c>
      <c r="L85" s="42">
        <f t="shared" ca="1" si="45"/>
        <v>0</v>
      </c>
      <c r="M85" s="42">
        <f t="shared" ca="1" si="45"/>
        <v>0</v>
      </c>
      <c r="N85" s="42">
        <f t="shared" ca="1" si="45"/>
        <v>0</v>
      </c>
      <c r="O85" s="42">
        <f t="shared" ca="1" si="40"/>
        <v>0</v>
      </c>
      <c r="P85" s="51">
        <f t="shared" ca="1" si="41"/>
        <v>0</v>
      </c>
      <c r="R85" s="42">
        <f t="shared" ca="1" si="46"/>
        <v>0</v>
      </c>
      <c r="S85" s="42">
        <f t="shared" ca="1" si="46"/>
        <v>0</v>
      </c>
      <c r="T85" s="42">
        <f t="shared" ca="1" si="46"/>
        <v>0</v>
      </c>
      <c r="U85" s="42">
        <f t="shared" ca="1" si="46"/>
        <v>0</v>
      </c>
      <c r="V85" s="42">
        <f t="shared" ca="1" si="46"/>
        <v>0</v>
      </c>
      <c r="W85" s="42">
        <f t="shared" ca="1" si="46"/>
        <v>0</v>
      </c>
      <c r="X85" s="42">
        <f t="shared" ca="1" si="46"/>
        <v>0</v>
      </c>
      <c r="Y85" s="42">
        <f t="shared" ca="1" si="46"/>
        <v>0</v>
      </c>
      <c r="Z85" s="42">
        <f t="shared" ca="1" si="42"/>
        <v>0</v>
      </c>
      <c r="AA85" s="51">
        <f t="shared" ca="1" si="43"/>
        <v>0</v>
      </c>
    </row>
    <row r="86" spans="4:27" ht="12" customHeight="1" x14ac:dyDescent="0.25">
      <c r="D86" s="43">
        <f t="shared" si="44"/>
        <v>75</v>
      </c>
      <c r="E86" s="63">
        <f t="shared" si="38"/>
        <v>18.75</v>
      </c>
      <c r="F86" s="43">
        <f t="shared" si="39"/>
        <v>83.75</v>
      </c>
      <c r="G86" s="42">
        <f t="shared" ca="1" si="45"/>
        <v>0</v>
      </c>
      <c r="H86" s="42">
        <f t="shared" ca="1" si="45"/>
        <v>0</v>
      </c>
      <c r="I86" s="42">
        <f t="shared" ca="1" si="45"/>
        <v>0</v>
      </c>
      <c r="J86" s="42">
        <f t="shared" ca="1" si="45"/>
        <v>0</v>
      </c>
      <c r="K86" s="42">
        <f t="shared" ca="1" si="45"/>
        <v>0</v>
      </c>
      <c r="L86" s="42">
        <f t="shared" ca="1" si="45"/>
        <v>0</v>
      </c>
      <c r="M86" s="42">
        <f t="shared" ca="1" si="45"/>
        <v>0</v>
      </c>
      <c r="N86" s="42">
        <f t="shared" ca="1" si="45"/>
        <v>0</v>
      </c>
      <c r="O86" s="42">
        <f t="shared" ca="1" si="40"/>
        <v>0</v>
      </c>
      <c r="P86" s="51">
        <f t="shared" ca="1" si="41"/>
        <v>0</v>
      </c>
      <c r="R86" s="42">
        <f t="shared" ca="1" si="46"/>
        <v>0</v>
      </c>
      <c r="S86" s="42">
        <f t="shared" ca="1" si="46"/>
        <v>0</v>
      </c>
      <c r="T86" s="42">
        <f t="shared" ca="1" si="46"/>
        <v>0</v>
      </c>
      <c r="U86" s="42">
        <f t="shared" ca="1" si="46"/>
        <v>0</v>
      </c>
      <c r="V86" s="42">
        <f t="shared" ca="1" si="46"/>
        <v>0</v>
      </c>
      <c r="W86" s="42">
        <f t="shared" ca="1" si="46"/>
        <v>0</v>
      </c>
      <c r="X86" s="42">
        <f t="shared" ca="1" si="46"/>
        <v>0</v>
      </c>
      <c r="Y86" s="42">
        <f t="shared" ca="1" si="46"/>
        <v>0</v>
      </c>
      <c r="Z86" s="42">
        <f t="shared" ca="1" si="42"/>
        <v>0</v>
      </c>
      <c r="AA86" s="51">
        <f t="shared" ca="1" si="43"/>
        <v>0</v>
      </c>
    </row>
    <row r="87" spans="4:27" ht="12" customHeight="1" x14ac:dyDescent="0.25">
      <c r="D87" s="43">
        <f t="shared" si="44"/>
        <v>76</v>
      </c>
      <c r="E87" s="63">
        <f t="shared" si="38"/>
        <v>19</v>
      </c>
      <c r="F87" s="43">
        <f t="shared" si="39"/>
        <v>84</v>
      </c>
      <c r="G87" s="42">
        <f t="shared" ca="1" si="45"/>
        <v>0</v>
      </c>
      <c r="H87" s="42">
        <f t="shared" ca="1" si="45"/>
        <v>0</v>
      </c>
      <c r="I87" s="42">
        <f t="shared" ca="1" si="45"/>
        <v>0</v>
      </c>
      <c r="J87" s="42">
        <f t="shared" ca="1" si="45"/>
        <v>0</v>
      </c>
      <c r="K87" s="42">
        <f t="shared" ca="1" si="45"/>
        <v>0</v>
      </c>
      <c r="L87" s="42">
        <f t="shared" ca="1" si="45"/>
        <v>0</v>
      </c>
      <c r="M87" s="42">
        <f t="shared" ca="1" si="45"/>
        <v>0</v>
      </c>
      <c r="N87" s="42">
        <f t="shared" ca="1" si="45"/>
        <v>0</v>
      </c>
      <c r="O87" s="42">
        <f t="shared" ca="1" si="40"/>
        <v>0</v>
      </c>
      <c r="P87" s="51">
        <f t="shared" ca="1" si="41"/>
        <v>0</v>
      </c>
      <c r="R87" s="42">
        <f t="shared" ca="1" si="46"/>
        <v>0</v>
      </c>
      <c r="S87" s="42">
        <f t="shared" ca="1" si="46"/>
        <v>0</v>
      </c>
      <c r="T87" s="42">
        <f t="shared" ca="1" si="46"/>
        <v>0</v>
      </c>
      <c r="U87" s="42">
        <f t="shared" ca="1" si="46"/>
        <v>0</v>
      </c>
      <c r="V87" s="42">
        <f t="shared" ca="1" si="46"/>
        <v>0</v>
      </c>
      <c r="W87" s="42">
        <f t="shared" ca="1" si="46"/>
        <v>0</v>
      </c>
      <c r="X87" s="42">
        <f t="shared" ca="1" si="46"/>
        <v>0</v>
      </c>
      <c r="Y87" s="42">
        <f t="shared" ca="1" si="46"/>
        <v>0</v>
      </c>
      <c r="Z87" s="42">
        <f t="shared" ca="1" si="42"/>
        <v>0</v>
      </c>
      <c r="AA87" s="51">
        <f t="shared" ca="1" si="43"/>
        <v>0</v>
      </c>
    </row>
    <row r="88" spans="4:27" ht="12" customHeight="1" x14ac:dyDescent="0.25">
      <c r="D88" s="43">
        <f t="shared" si="44"/>
        <v>77</v>
      </c>
      <c r="E88" s="63">
        <f t="shared" si="38"/>
        <v>19.25</v>
      </c>
      <c r="F88" s="43">
        <f t="shared" si="39"/>
        <v>84.25</v>
      </c>
      <c r="G88" s="42">
        <f t="shared" ca="1" si="45"/>
        <v>0</v>
      </c>
      <c r="H88" s="42">
        <f t="shared" ca="1" si="45"/>
        <v>0</v>
      </c>
      <c r="I88" s="42">
        <f t="shared" ca="1" si="45"/>
        <v>0</v>
      </c>
      <c r="J88" s="42">
        <f t="shared" ca="1" si="45"/>
        <v>0</v>
      </c>
      <c r="K88" s="42">
        <f t="shared" ca="1" si="45"/>
        <v>0</v>
      </c>
      <c r="L88" s="42">
        <f t="shared" ca="1" si="45"/>
        <v>0</v>
      </c>
      <c r="M88" s="42">
        <f t="shared" ca="1" si="45"/>
        <v>0</v>
      </c>
      <c r="N88" s="42">
        <f t="shared" ca="1" si="45"/>
        <v>0</v>
      </c>
      <c r="O88" s="42">
        <f t="shared" ca="1" si="40"/>
        <v>0</v>
      </c>
      <c r="P88" s="51">
        <f t="shared" ca="1" si="41"/>
        <v>0</v>
      </c>
      <c r="R88" s="42">
        <f t="shared" ca="1" si="46"/>
        <v>0</v>
      </c>
      <c r="S88" s="42">
        <f t="shared" ca="1" si="46"/>
        <v>0</v>
      </c>
      <c r="T88" s="42">
        <f t="shared" ca="1" si="46"/>
        <v>0</v>
      </c>
      <c r="U88" s="42">
        <f t="shared" ca="1" si="46"/>
        <v>0</v>
      </c>
      <c r="V88" s="42">
        <f t="shared" ca="1" si="46"/>
        <v>0</v>
      </c>
      <c r="W88" s="42">
        <f t="shared" ca="1" si="46"/>
        <v>0</v>
      </c>
      <c r="X88" s="42">
        <f t="shared" ca="1" si="46"/>
        <v>0</v>
      </c>
      <c r="Y88" s="42">
        <f t="shared" ca="1" si="46"/>
        <v>0</v>
      </c>
      <c r="Z88" s="42">
        <f t="shared" ca="1" si="42"/>
        <v>0</v>
      </c>
      <c r="AA88" s="51">
        <f t="shared" ca="1" si="43"/>
        <v>0</v>
      </c>
    </row>
    <row r="89" spans="4:27" ht="12" customHeight="1" x14ac:dyDescent="0.25">
      <c r="D89" s="43">
        <f t="shared" si="44"/>
        <v>78</v>
      </c>
      <c r="E89" s="63">
        <f t="shared" si="38"/>
        <v>19.5</v>
      </c>
      <c r="F89" s="43">
        <f t="shared" si="39"/>
        <v>84.5</v>
      </c>
      <c r="G89" s="42">
        <f t="shared" ca="1" si="45"/>
        <v>0</v>
      </c>
      <c r="H89" s="42">
        <f t="shared" ca="1" si="45"/>
        <v>0</v>
      </c>
      <c r="I89" s="42">
        <f t="shared" ca="1" si="45"/>
        <v>0</v>
      </c>
      <c r="J89" s="42">
        <f t="shared" ca="1" si="45"/>
        <v>0</v>
      </c>
      <c r="K89" s="42">
        <f t="shared" ca="1" si="45"/>
        <v>0</v>
      </c>
      <c r="L89" s="42">
        <f t="shared" ca="1" si="45"/>
        <v>0</v>
      </c>
      <c r="M89" s="42">
        <f t="shared" ca="1" si="45"/>
        <v>0</v>
      </c>
      <c r="N89" s="42">
        <f t="shared" ca="1" si="45"/>
        <v>0</v>
      </c>
      <c r="O89" s="42">
        <f t="shared" ca="1" si="40"/>
        <v>0</v>
      </c>
      <c r="P89" s="51">
        <f t="shared" ca="1" si="41"/>
        <v>0</v>
      </c>
      <c r="R89" s="42">
        <f t="shared" ca="1" si="46"/>
        <v>0</v>
      </c>
      <c r="S89" s="42">
        <f t="shared" ca="1" si="46"/>
        <v>0</v>
      </c>
      <c r="T89" s="42">
        <f t="shared" ca="1" si="46"/>
        <v>0</v>
      </c>
      <c r="U89" s="42">
        <f t="shared" ca="1" si="46"/>
        <v>0</v>
      </c>
      <c r="V89" s="42">
        <f t="shared" ca="1" si="46"/>
        <v>0</v>
      </c>
      <c r="W89" s="42">
        <f t="shared" ca="1" si="46"/>
        <v>0</v>
      </c>
      <c r="X89" s="42">
        <f t="shared" ca="1" si="46"/>
        <v>0</v>
      </c>
      <c r="Y89" s="42">
        <f t="shared" ca="1" si="46"/>
        <v>0</v>
      </c>
      <c r="Z89" s="42">
        <f t="shared" ca="1" si="42"/>
        <v>0</v>
      </c>
      <c r="AA89" s="51">
        <f t="shared" ca="1" si="43"/>
        <v>0</v>
      </c>
    </row>
    <row r="90" spans="4:27" ht="12" customHeight="1" x14ac:dyDescent="0.25">
      <c r="D90" s="43">
        <f t="shared" si="44"/>
        <v>79</v>
      </c>
      <c r="E90" s="63">
        <f t="shared" si="38"/>
        <v>19.75</v>
      </c>
      <c r="F90" s="43">
        <f t="shared" si="39"/>
        <v>84.75</v>
      </c>
      <c r="G90" s="42">
        <f t="shared" ca="1" si="45"/>
        <v>0</v>
      </c>
      <c r="H90" s="42">
        <f t="shared" ca="1" si="45"/>
        <v>0</v>
      </c>
      <c r="I90" s="42">
        <f t="shared" ca="1" si="45"/>
        <v>0</v>
      </c>
      <c r="J90" s="42">
        <f t="shared" ca="1" si="45"/>
        <v>0</v>
      </c>
      <c r="K90" s="42">
        <f t="shared" ca="1" si="45"/>
        <v>0</v>
      </c>
      <c r="L90" s="42">
        <f t="shared" ca="1" si="45"/>
        <v>0</v>
      </c>
      <c r="M90" s="42">
        <f t="shared" ca="1" si="45"/>
        <v>0</v>
      </c>
      <c r="N90" s="42">
        <f t="shared" ca="1" si="45"/>
        <v>0</v>
      </c>
      <c r="O90" s="42">
        <f t="shared" ca="1" si="40"/>
        <v>0</v>
      </c>
      <c r="P90" s="51">
        <f t="shared" ca="1" si="41"/>
        <v>0</v>
      </c>
      <c r="R90" s="42">
        <f t="shared" ca="1" si="46"/>
        <v>0</v>
      </c>
      <c r="S90" s="42">
        <f t="shared" ca="1" si="46"/>
        <v>0</v>
      </c>
      <c r="T90" s="42">
        <f t="shared" ca="1" si="46"/>
        <v>0</v>
      </c>
      <c r="U90" s="42">
        <f t="shared" ca="1" si="46"/>
        <v>0</v>
      </c>
      <c r="V90" s="42">
        <f t="shared" ca="1" si="46"/>
        <v>0</v>
      </c>
      <c r="W90" s="42">
        <f t="shared" ca="1" si="46"/>
        <v>0</v>
      </c>
      <c r="X90" s="42">
        <f t="shared" ca="1" si="46"/>
        <v>0</v>
      </c>
      <c r="Y90" s="42">
        <f t="shared" ca="1" si="46"/>
        <v>0</v>
      </c>
      <c r="Z90" s="42">
        <f t="shared" ca="1" si="42"/>
        <v>0</v>
      </c>
      <c r="AA90" s="51">
        <f t="shared" ca="1" si="43"/>
        <v>0</v>
      </c>
    </row>
    <row r="91" spans="4:27" ht="12" customHeight="1" x14ac:dyDescent="0.25">
      <c r="D91" s="43">
        <f t="shared" si="44"/>
        <v>80</v>
      </c>
      <c r="E91" s="63">
        <f t="shared" si="38"/>
        <v>20</v>
      </c>
      <c r="F91" s="43">
        <f t="shared" si="39"/>
        <v>85</v>
      </c>
      <c r="G91" s="42">
        <f t="shared" ref="G91:N100" ca="1" si="47">AVERAGE(OFFSET(D.Trace.Markov.Root, $D91, (G$2-1)*D.Trace.Markov.NumCols+G$3-1, CHOOSE(swtchHalfCycle, 2, 1)))*G$4</f>
        <v>0</v>
      </c>
      <c r="H91" s="42">
        <f t="shared" ca="1" si="47"/>
        <v>0</v>
      </c>
      <c r="I91" s="42">
        <f t="shared" ca="1" si="47"/>
        <v>0</v>
      </c>
      <c r="J91" s="42">
        <f t="shared" ca="1" si="47"/>
        <v>0</v>
      </c>
      <c r="K91" s="42">
        <f t="shared" ca="1" si="47"/>
        <v>0</v>
      </c>
      <c r="L91" s="42">
        <f t="shared" ca="1" si="47"/>
        <v>0</v>
      </c>
      <c r="M91" s="42">
        <f t="shared" ca="1" si="47"/>
        <v>0</v>
      </c>
      <c r="N91" s="42">
        <f t="shared" ca="1" si="47"/>
        <v>0</v>
      </c>
      <c r="O91" s="42">
        <f t="shared" ca="1" si="40"/>
        <v>0</v>
      </c>
      <c r="P91" s="51">
        <f t="shared" ca="1" si="41"/>
        <v>0</v>
      </c>
      <c r="R91" s="42">
        <f t="shared" ref="R91:Y100" ca="1" si="48">AVERAGE(OFFSET(D.Trace.Markov.Root, $D91, (R$2-1)*D.Trace.Markov.NumCols+R$3-1, CHOOSE(swtchHalfCycle, 2, 1)))*R$4</f>
        <v>0</v>
      </c>
      <c r="S91" s="42">
        <f t="shared" ca="1" si="48"/>
        <v>0</v>
      </c>
      <c r="T91" s="42">
        <f t="shared" ca="1" si="48"/>
        <v>0</v>
      </c>
      <c r="U91" s="42">
        <f t="shared" ca="1" si="48"/>
        <v>0</v>
      </c>
      <c r="V91" s="42">
        <f t="shared" ca="1" si="48"/>
        <v>0</v>
      </c>
      <c r="W91" s="42">
        <f t="shared" ca="1" si="48"/>
        <v>0</v>
      </c>
      <c r="X91" s="42">
        <f t="shared" ca="1" si="48"/>
        <v>0</v>
      </c>
      <c r="Y91" s="42">
        <f t="shared" ca="1" si="48"/>
        <v>0</v>
      </c>
      <c r="Z91" s="42">
        <f t="shared" ca="1" si="42"/>
        <v>0</v>
      </c>
      <c r="AA91" s="51">
        <f t="shared" ca="1" si="43"/>
        <v>0</v>
      </c>
    </row>
    <row r="92" spans="4:27" ht="12" customHeight="1" x14ac:dyDescent="0.25">
      <c r="D92" s="43">
        <f t="shared" si="44"/>
        <v>81</v>
      </c>
      <c r="E92" s="63">
        <f t="shared" si="38"/>
        <v>20.25</v>
      </c>
      <c r="F92" s="43">
        <f t="shared" si="39"/>
        <v>85.25</v>
      </c>
      <c r="G92" s="42">
        <f t="shared" ca="1" si="47"/>
        <v>0</v>
      </c>
      <c r="H92" s="42">
        <f t="shared" ca="1" si="47"/>
        <v>0</v>
      </c>
      <c r="I92" s="42">
        <f t="shared" ca="1" si="47"/>
        <v>0</v>
      </c>
      <c r="J92" s="42">
        <f t="shared" ca="1" si="47"/>
        <v>0</v>
      </c>
      <c r="K92" s="42">
        <f t="shared" ca="1" si="47"/>
        <v>0</v>
      </c>
      <c r="L92" s="42">
        <f t="shared" ca="1" si="47"/>
        <v>0</v>
      </c>
      <c r="M92" s="42">
        <f t="shared" ca="1" si="47"/>
        <v>0</v>
      </c>
      <c r="N92" s="42">
        <f t="shared" ca="1" si="47"/>
        <v>0</v>
      </c>
      <c r="O92" s="42">
        <f t="shared" ca="1" si="40"/>
        <v>0</v>
      </c>
      <c r="P92" s="51">
        <f t="shared" ca="1" si="41"/>
        <v>0</v>
      </c>
      <c r="R92" s="42">
        <f t="shared" ca="1" si="48"/>
        <v>0</v>
      </c>
      <c r="S92" s="42">
        <f t="shared" ca="1" si="48"/>
        <v>0</v>
      </c>
      <c r="T92" s="42">
        <f t="shared" ca="1" si="48"/>
        <v>0</v>
      </c>
      <c r="U92" s="42">
        <f t="shared" ca="1" si="48"/>
        <v>0</v>
      </c>
      <c r="V92" s="42">
        <f t="shared" ca="1" si="48"/>
        <v>0</v>
      </c>
      <c r="W92" s="42">
        <f t="shared" ca="1" si="48"/>
        <v>0</v>
      </c>
      <c r="X92" s="42">
        <f t="shared" ca="1" si="48"/>
        <v>0</v>
      </c>
      <c r="Y92" s="42">
        <f t="shared" ca="1" si="48"/>
        <v>0</v>
      </c>
      <c r="Z92" s="42">
        <f t="shared" ca="1" si="42"/>
        <v>0</v>
      </c>
      <c r="AA92" s="51">
        <f t="shared" ca="1" si="43"/>
        <v>0</v>
      </c>
    </row>
    <row r="93" spans="4:27" ht="12" customHeight="1" x14ac:dyDescent="0.25">
      <c r="D93" s="43">
        <f t="shared" si="44"/>
        <v>82</v>
      </c>
      <c r="E93" s="63">
        <f t="shared" si="38"/>
        <v>20.5</v>
      </c>
      <c r="F93" s="43">
        <f t="shared" si="39"/>
        <v>85.5</v>
      </c>
      <c r="G93" s="42">
        <f t="shared" ca="1" si="47"/>
        <v>0</v>
      </c>
      <c r="H93" s="42">
        <f t="shared" ca="1" si="47"/>
        <v>0</v>
      </c>
      <c r="I93" s="42">
        <f t="shared" ca="1" si="47"/>
        <v>0</v>
      </c>
      <c r="J93" s="42">
        <f t="shared" ca="1" si="47"/>
        <v>0</v>
      </c>
      <c r="K93" s="42">
        <f t="shared" ca="1" si="47"/>
        <v>0</v>
      </c>
      <c r="L93" s="42">
        <f t="shared" ca="1" si="47"/>
        <v>0</v>
      </c>
      <c r="M93" s="42">
        <f t="shared" ca="1" si="47"/>
        <v>0</v>
      </c>
      <c r="N93" s="42">
        <f t="shared" ca="1" si="47"/>
        <v>0</v>
      </c>
      <c r="O93" s="42">
        <f t="shared" ca="1" si="40"/>
        <v>0</v>
      </c>
      <c r="P93" s="51">
        <f t="shared" ca="1" si="41"/>
        <v>0</v>
      </c>
      <c r="R93" s="42">
        <f t="shared" ca="1" si="48"/>
        <v>0</v>
      </c>
      <c r="S93" s="42">
        <f t="shared" ca="1" si="48"/>
        <v>0</v>
      </c>
      <c r="T93" s="42">
        <f t="shared" ca="1" si="48"/>
        <v>0</v>
      </c>
      <c r="U93" s="42">
        <f t="shared" ca="1" si="48"/>
        <v>0</v>
      </c>
      <c r="V93" s="42">
        <f t="shared" ca="1" si="48"/>
        <v>0</v>
      </c>
      <c r="W93" s="42">
        <f t="shared" ca="1" si="48"/>
        <v>0</v>
      </c>
      <c r="X93" s="42">
        <f t="shared" ca="1" si="48"/>
        <v>0</v>
      </c>
      <c r="Y93" s="42">
        <f t="shared" ca="1" si="48"/>
        <v>0</v>
      </c>
      <c r="Z93" s="42">
        <f t="shared" ca="1" si="42"/>
        <v>0</v>
      </c>
      <c r="AA93" s="51">
        <f t="shared" ca="1" si="43"/>
        <v>0</v>
      </c>
    </row>
    <row r="94" spans="4:27" ht="12" customHeight="1" x14ac:dyDescent="0.25">
      <c r="D94" s="43">
        <f t="shared" si="44"/>
        <v>83</v>
      </c>
      <c r="E94" s="63">
        <f t="shared" si="38"/>
        <v>20.75</v>
      </c>
      <c r="F94" s="43">
        <f t="shared" si="39"/>
        <v>85.75</v>
      </c>
      <c r="G94" s="42">
        <f t="shared" ca="1" si="47"/>
        <v>0</v>
      </c>
      <c r="H94" s="42">
        <f t="shared" ca="1" si="47"/>
        <v>0</v>
      </c>
      <c r="I94" s="42">
        <f t="shared" ca="1" si="47"/>
        <v>0</v>
      </c>
      <c r="J94" s="42">
        <f t="shared" ca="1" si="47"/>
        <v>0</v>
      </c>
      <c r="K94" s="42">
        <f t="shared" ca="1" si="47"/>
        <v>0</v>
      </c>
      <c r="L94" s="42">
        <f t="shared" ca="1" si="47"/>
        <v>0</v>
      </c>
      <c r="M94" s="42">
        <f t="shared" ca="1" si="47"/>
        <v>0</v>
      </c>
      <c r="N94" s="42">
        <f t="shared" ca="1" si="47"/>
        <v>0</v>
      </c>
      <c r="O94" s="42">
        <f t="shared" ca="1" si="40"/>
        <v>0</v>
      </c>
      <c r="P94" s="51">
        <f t="shared" ca="1" si="41"/>
        <v>0</v>
      </c>
      <c r="R94" s="42">
        <f t="shared" ca="1" si="48"/>
        <v>0</v>
      </c>
      <c r="S94" s="42">
        <f t="shared" ca="1" si="48"/>
        <v>0</v>
      </c>
      <c r="T94" s="42">
        <f t="shared" ca="1" si="48"/>
        <v>0</v>
      </c>
      <c r="U94" s="42">
        <f t="shared" ca="1" si="48"/>
        <v>0</v>
      </c>
      <c r="V94" s="42">
        <f t="shared" ca="1" si="48"/>
        <v>0</v>
      </c>
      <c r="W94" s="42">
        <f t="shared" ca="1" si="48"/>
        <v>0</v>
      </c>
      <c r="X94" s="42">
        <f t="shared" ca="1" si="48"/>
        <v>0</v>
      </c>
      <c r="Y94" s="42">
        <f t="shared" ca="1" si="48"/>
        <v>0</v>
      </c>
      <c r="Z94" s="42">
        <f t="shared" ca="1" si="42"/>
        <v>0</v>
      </c>
      <c r="AA94" s="51">
        <f t="shared" ca="1" si="43"/>
        <v>0</v>
      </c>
    </row>
    <row r="95" spans="4:27" ht="12" customHeight="1" x14ac:dyDescent="0.25">
      <c r="D95" s="43">
        <f t="shared" si="44"/>
        <v>84</v>
      </c>
      <c r="E95" s="63">
        <f t="shared" si="38"/>
        <v>21</v>
      </c>
      <c r="F95" s="43">
        <f t="shared" si="39"/>
        <v>86</v>
      </c>
      <c r="G95" s="42">
        <f t="shared" ca="1" si="47"/>
        <v>0</v>
      </c>
      <c r="H95" s="42">
        <f t="shared" ca="1" si="47"/>
        <v>0</v>
      </c>
      <c r="I95" s="42">
        <f t="shared" ca="1" si="47"/>
        <v>0</v>
      </c>
      <c r="J95" s="42">
        <f t="shared" ca="1" si="47"/>
        <v>0</v>
      </c>
      <c r="K95" s="42">
        <f t="shared" ca="1" si="47"/>
        <v>0</v>
      </c>
      <c r="L95" s="42">
        <f t="shared" ca="1" si="47"/>
        <v>0</v>
      </c>
      <c r="M95" s="42">
        <f t="shared" ca="1" si="47"/>
        <v>0</v>
      </c>
      <c r="N95" s="42">
        <f t="shared" ca="1" si="47"/>
        <v>0</v>
      </c>
      <c r="O95" s="42">
        <f t="shared" ca="1" si="40"/>
        <v>0</v>
      </c>
      <c r="P95" s="51">
        <f t="shared" ca="1" si="41"/>
        <v>0</v>
      </c>
      <c r="R95" s="42">
        <f t="shared" ca="1" si="48"/>
        <v>0</v>
      </c>
      <c r="S95" s="42">
        <f t="shared" ca="1" si="48"/>
        <v>0</v>
      </c>
      <c r="T95" s="42">
        <f t="shared" ca="1" si="48"/>
        <v>0</v>
      </c>
      <c r="U95" s="42">
        <f t="shared" ca="1" si="48"/>
        <v>0</v>
      </c>
      <c r="V95" s="42">
        <f t="shared" ca="1" si="48"/>
        <v>0</v>
      </c>
      <c r="W95" s="42">
        <f t="shared" ca="1" si="48"/>
        <v>0</v>
      </c>
      <c r="X95" s="42">
        <f t="shared" ca="1" si="48"/>
        <v>0</v>
      </c>
      <c r="Y95" s="42">
        <f t="shared" ca="1" si="48"/>
        <v>0</v>
      </c>
      <c r="Z95" s="42">
        <f t="shared" ca="1" si="42"/>
        <v>0</v>
      </c>
      <c r="AA95" s="51">
        <f t="shared" ca="1" si="43"/>
        <v>0</v>
      </c>
    </row>
    <row r="96" spans="4:27" ht="12" customHeight="1" x14ac:dyDescent="0.25">
      <c r="D96" s="43">
        <f t="shared" si="44"/>
        <v>85</v>
      </c>
      <c r="E96" s="63">
        <f t="shared" si="38"/>
        <v>21.25</v>
      </c>
      <c r="F96" s="43">
        <f t="shared" si="39"/>
        <v>86.25</v>
      </c>
      <c r="G96" s="42">
        <f t="shared" ca="1" si="47"/>
        <v>0</v>
      </c>
      <c r="H96" s="42">
        <f t="shared" ca="1" si="47"/>
        <v>0</v>
      </c>
      <c r="I96" s="42">
        <f t="shared" ca="1" si="47"/>
        <v>0</v>
      </c>
      <c r="J96" s="42">
        <f t="shared" ca="1" si="47"/>
        <v>0</v>
      </c>
      <c r="K96" s="42">
        <f t="shared" ca="1" si="47"/>
        <v>0</v>
      </c>
      <c r="L96" s="42">
        <f t="shared" ca="1" si="47"/>
        <v>0</v>
      </c>
      <c r="M96" s="42">
        <f t="shared" ca="1" si="47"/>
        <v>0</v>
      </c>
      <c r="N96" s="42">
        <f t="shared" ca="1" si="47"/>
        <v>0</v>
      </c>
      <c r="O96" s="42">
        <f t="shared" ca="1" si="40"/>
        <v>0</v>
      </c>
      <c r="P96" s="51">
        <f t="shared" ca="1" si="41"/>
        <v>0</v>
      </c>
      <c r="R96" s="42">
        <f t="shared" ca="1" si="48"/>
        <v>0</v>
      </c>
      <c r="S96" s="42">
        <f t="shared" ca="1" si="48"/>
        <v>0</v>
      </c>
      <c r="T96" s="42">
        <f t="shared" ca="1" si="48"/>
        <v>0</v>
      </c>
      <c r="U96" s="42">
        <f t="shared" ca="1" si="48"/>
        <v>0</v>
      </c>
      <c r="V96" s="42">
        <f t="shared" ca="1" si="48"/>
        <v>0</v>
      </c>
      <c r="W96" s="42">
        <f t="shared" ca="1" si="48"/>
        <v>0</v>
      </c>
      <c r="X96" s="42">
        <f t="shared" ca="1" si="48"/>
        <v>0</v>
      </c>
      <c r="Y96" s="42">
        <f t="shared" ca="1" si="48"/>
        <v>0</v>
      </c>
      <c r="Z96" s="42">
        <f t="shared" ca="1" si="42"/>
        <v>0</v>
      </c>
      <c r="AA96" s="51">
        <f t="shared" ca="1" si="43"/>
        <v>0</v>
      </c>
    </row>
    <row r="97" spans="4:27" ht="12" customHeight="1" x14ac:dyDescent="0.25">
      <c r="D97" s="43">
        <f t="shared" si="44"/>
        <v>86</v>
      </c>
      <c r="E97" s="63">
        <f t="shared" si="38"/>
        <v>21.5</v>
      </c>
      <c r="F97" s="43">
        <f t="shared" si="39"/>
        <v>86.5</v>
      </c>
      <c r="G97" s="42">
        <f t="shared" ca="1" si="47"/>
        <v>0</v>
      </c>
      <c r="H97" s="42">
        <f t="shared" ca="1" si="47"/>
        <v>0</v>
      </c>
      <c r="I97" s="42">
        <f t="shared" ca="1" si="47"/>
        <v>0</v>
      </c>
      <c r="J97" s="42">
        <f t="shared" ca="1" si="47"/>
        <v>0</v>
      </c>
      <c r="K97" s="42">
        <f t="shared" ca="1" si="47"/>
        <v>0</v>
      </c>
      <c r="L97" s="42">
        <f t="shared" ca="1" si="47"/>
        <v>0</v>
      </c>
      <c r="M97" s="42">
        <f t="shared" ca="1" si="47"/>
        <v>0</v>
      </c>
      <c r="N97" s="42">
        <f t="shared" ca="1" si="47"/>
        <v>0</v>
      </c>
      <c r="O97" s="42">
        <f t="shared" ca="1" si="40"/>
        <v>0</v>
      </c>
      <c r="P97" s="51">
        <f t="shared" ca="1" si="41"/>
        <v>0</v>
      </c>
      <c r="R97" s="42">
        <f t="shared" ca="1" si="48"/>
        <v>0</v>
      </c>
      <c r="S97" s="42">
        <f t="shared" ca="1" si="48"/>
        <v>0</v>
      </c>
      <c r="T97" s="42">
        <f t="shared" ca="1" si="48"/>
        <v>0</v>
      </c>
      <c r="U97" s="42">
        <f t="shared" ca="1" si="48"/>
        <v>0</v>
      </c>
      <c r="V97" s="42">
        <f t="shared" ca="1" si="48"/>
        <v>0</v>
      </c>
      <c r="W97" s="42">
        <f t="shared" ca="1" si="48"/>
        <v>0</v>
      </c>
      <c r="X97" s="42">
        <f t="shared" ca="1" si="48"/>
        <v>0</v>
      </c>
      <c r="Y97" s="42">
        <f t="shared" ca="1" si="48"/>
        <v>0</v>
      </c>
      <c r="Z97" s="42">
        <f t="shared" ca="1" si="42"/>
        <v>0</v>
      </c>
      <c r="AA97" s="51">
        <f t="shared" ca="1" si="43"/>
        <v>0</v>
      </c>
    </row>
    <row r="98" spans="4:27" ht="12" customHeight="1" x14ac:dyDescent="0.25">
      <c r="D98" s="43">
        <f t="shared" si="44"/>
        <v>87</v>
      </c>
      <c r="E98" s="63">
        <f t="shared" si="38"/>
        <v>21.75</v>
      </c>
      <c r="F98" s="43">
        <f t="shared" si="39"/>
        <v>86.75</v>
      </c>
      <c r="G98" s="42">
        <f t="shared" ca="1" si="47"/>
        <v>0</v>
      </c>
      <c r="H98" s="42">
        <f t="shared" ca="1" si="47"/>
        <v>0</v>
      </c>
      <c r="I98" s="42">
        <f t="shared" ca="1" si="47"/>
        <v>0</v>
      </c>
      <c r="J98" s="42">
        <f t="shared" ca="1" si="47"/>
        <v>0</v>
      </c>
      <c r="K98" s="42">
        <f t="shared" ca="1" si="47"/>
        <v>0</v>
      </c>
      <c r="L98" s="42">
        <f t="shared" ca="1" si="47"/>
        <v>0</v>
      </c>
      <c r="M98" s="42">
        <f t="shared" ca="1" si="47"/>
        <v>0</v>
      </c>
      <c r="N98" s="42">
        <f t="shared" ca="1" si="47"/>
        <v>0</v>
      </c>
      <c r="O98" s="42">
        <f t="shared" ca="1" si="40"/>
        <v>0</v>
      </c>
      <c r="P98" s="51">
        <f t="shared" ca="1" si="41"/>
        <v>0</v>
      </c>
      <c r="R98" s="42">
        <f t="shared" ca="1" si="48"/>
        <v>0</v>
      </c>
      <c r="S98" s="42">
        <f t="shared" ca="1" si="48"/>
        <v>0</v>
      </c>
      <c r="T98" s="42">
        <f t="shared" ca="1" si="48"/>
        <v>0</v>
      </c>
      <c r="U98" s="42">
        <f t="shared" ca="1" si="48"/>
        <v>0</v>
      </c>
      <c r="V98" s="42">
        <f t="shared" ca="1" si="48"/>
        <v>0</v>
      </c>
      <c r="W98" s="42">
        <f t="shared" ca="1" si="48"/>
        <v>0</v>
      </c>
      <c r="X98" s="42">
        <f t="shared" ca="1" si="48"/>
        <v>0</v>
      </c>
      <c r="Y98" s="42">
        <f t="shared" ca="1" si="48"/>
        <v>0</v>
      </c>
      <c r="Z98" s="42">
        <f t="shared" ca="1" si="42"/>
        <v>0</v>
      </c>
      <c r="AA98" s="51">
        <f t="shared" ca="1" si="43"/>
        <v>0</v>
      </c>
    </row>
    <row r="99" spans="4:27" ht="12" customHeight="1" x14ac:dyDescent="0.25">
      <c r="D99" s="43">
        <f t="shared" si="44"/>
        <v>88</v>
      </c>
      <c r="E99" s="63">
        <f t="shared" si="38"/>
        <v>22</v>
      </c>
      <c r="F99" s="43">
        <f t="shared" si="39"/>
        <v>87</v>
      </c>
      <c r="G99" s="42">
        <f t="shared" ca="1" si="47"/>
        <v>0</v>
      </c>
      <c r="H99" s="42">
        <f t="shared" ca="1" si="47"/>
        <v>0</v>
      </c>
      <c r="I99" s="42">
        <f t="shared" ca="1" si="47"/>
        <v>0</v>
      </c>
      <c r="J99" s="42">
        <f t="shared" ca="1" si="47"/>
        <v>0</v>
      </c>
      <c r="K99" s="42">
        <f t="shared" ca="1" si="47"/>
        <v>0</v>
      </c>
      <c r="L99" s="42">
        <f t="shared" ca="1" si="47"/>
        <v>0</v>
      </c>
      <c r="M99" s="42">
        <f t="shared" ca="1" si="47"/>
        <v>0</v>
      </c>
      <c r="N99" s="42">
        <f t="shared" ca="1" si="47"/>
        <v>0</v>
      </c>
      <c r="O99" s="42">
        <f t="shared" ca="1" si="40"/>
        <v>0</v>
      </c>
      <c r="P99" s="51">
        <f t="shared" ca="1" si="41"/>
        <v>0</v>
      </c>
      <c r="R99" s="42">
        <f t="shared" ca="1" si="48"/>
        <v>0</v>
      </c>
      <c r="S99" s="42">
        <f t="shared" ca="1" si="48"/>
        <v>0</v>
      </c>
      <c r="T99" s="42">
        <f t="shared" ca="1" si="48"/>
        <v>0</v>
      </c>
      <c r="U99" s="42">
        <f t="shared" ca="1" si="48"/>
        <v>0</v>
      </c>
      <c r="V99" s="42">
        <f t="shared" ca="1" si="48"/>
        <v>0</v>
      </c>
      <c r="W99" s="42">
        <f t="shared" ca="1" si="48"/>
        <v>0</v>
      </c>
      <c r="X99" s="42">
        <f t="shared" ca="1" si="48"/>
        <v>0</v>
      </c>
      <c r="Y99" s="42">
        <f t="shared" ca="1" si="48"/>
        <v>0</v>
      </c>
      <c r="Z99" s="42">
        <f t="shared" ca="1" si="42"/>
        <v>0</v>
      </c>
      <c r="AA99" s="51">
        <f t="shared" ca="1" si="43"/>
        <v>0</v>
      </c>
    </row>
    <row r="100" spans="4:27" ht="12" customHeight="1" x14ac:dyDescent="0.25">
      <c r="D100" s="43">
        <f t="shared" si="44"/>
        <v>89</v>
      </c>
      <c r="E100" s="63">
        <f t="shared" si="38"/>
        <v>22.25</v>
      </c>
      <c r="F100" s="43">
        <f t="shared" si="39"/>
        <v>87.25</v>
      </c>
      <c r="G100" s="42">
        <f t="shared" ca="1" si="47"/>
        <v>0</v>
      </c>
      <c r="H100" s="42">
        <f t="shared" ca="1" si="47"/>
        <v>0</v>
      </c>
      <c r="I100" s="42">
        <f t="shared" ca="1" si="47"/>
        <v>0</v>
      </c>
      <c r="J100" s="42">
        <f t="shared" ca="1" si="47"/>
        <v>0</v>
      </c>
      <c r="K100" s="42">
        <f t="shared" ca="1" si="47"/>
        <v>0</v>
      </c>
      <c r="L100" s="42">
        <f t="shared" ca="1" si="47"/>
        <v>0</v>
      </c>
      <c r="M100" s="42">
        <f t="shared" ca="1" si="47"/>
        <v>0</v>
      </c>
      <c r="N100" s="42">
        <f t="shared" ca="1" si="47"/>
        <v>0</v>
      </c>
      <c r="O100" s="42">
        <f t="shared" ca="1" si="40"/>
        <v>0</v>
      </c>
      <c r="P100" s="51">
        <f t="shared" ca="1" si="41"/>
        <v>0</v>
      </c>
      <c r="R100" s="42">
        <f t="shared" ca="1" si="48"/>
        <v>0</v>
      </c>
      <c r="S100" s="42">
        <f t="shared" ca="1" si="48"/>
        <v>0</v>
      </c>
      <c r="T100" s="42">
        <f t="shared" ca="1" si="48"/>
        <v>0</v>
      </c>
      <c r="U100" s="42">
        <f t="shared" ca="1" si="48"/>
        <v>0</v>
      </c>
      <c r="V100" s="42">
        <f t="shared" ca="1" si="48"/>
        <v>0</v>
      </c>
      <c r="W100" s="42">
        <f t="shared" ca="1" si="48"/>
        <v>0</v>
      </c>
      <c r="X100" s="42">
        <f t="shared" ca="1" si="48"/>
        <v>0</v>
      </c>
      <c r="Y100" s="42">
        <f t="shared" ca="1" si="48"/>
        <v>0</v>
      </c>
      <c r="Z100" s="42">
        <f t="shared" ca="1" si="42"/>
        <v>0</v>
      </c>
      <c r="AA100" s="51">
        <f t="shared" ca="1" si="43"/>
        <v>0</v>
      </c>
    </row>
    <row r="101" spans="4:27" ht="12" customHeight="1" x14ac:dyDescent="0.25">
      <c r="D101" s="43">
        <f t="shared" si="44"/>
        <v>90</v>
      </c>
      <c r="E101" s="63">
        <f t="shared" si="38"/>
        <v>22.5</v>
      </c>
      <c r="F101" s="43">
        <f t="shared" si="39"/>
        <v>87.5</v>
      </c>
      <c r="G101" s="42">
        <f t="shared" ref="G101:N110" ca="1" si="49">AVERAGE(OFFSET(D.Trace.Markov.Root, $D101, (G$2-1)*D.Trace.Markov.NumCols+G$3-1, CHOOSE(swtchHalfCycle, 2, 1)))*G$4</f>
        <v>0</v>
      </c>
      <c r="H101" s="42">
        <f t="shared" ca="1" si="49"/>
        <v>0</v>
      </c>
      <c r="I101" s="42">
        <f t="shared" ca="1" si="49"/>
        <v>0</v>
      </c>
      <c r="J101" s="42">
        <f t="shared" ca="1" si="49"/>
        <v>0</v>
      </c>
      <c r="K101" s="42">
        <f t="shared" ca="1" si="49"/>
        <v>0</v>
      </c>
      <c r="L101" s="42">
        <f t="shared" ca="1" si="49"/>
        <v>0</v>
      </c>
      <c r="M101" s="42">
        <f t="shared" ca="1" si="49"/>
        <v>0</v>
      </c>
      <c r="N101" s="42">
        <f t="shared" ca="1" si="49"/>
        <v>0</v>
      </c>
      <c r="O101" s="42">
        <f t="shared" ca="1" si="40"/>
        <v>0</v>
      </c>
      <c r="P101" s="51">
        <f t="shared" ca="1" si="41"/>
        <v>0</v>
      </c>
      <c r="R101" s="42">
        <f t="shared" ref="R101:Y110" ca="1" si="50">AVERAGE(OFFSET(D.Trace.Markov.Root, $D101, (R$2-1)*D.Trace.Markov.NumCols+R$3-1, CHOOSE(swtchHalfCycle, 2, 1)))*R$4</f>
        <v>0</v>
      </c>
      <c r="S101" s="42">
        <f t="shared" ca="1" si="50"/>
        <v>0</v>
      </c>
      <c r="T101" s="42">
        <f t="shared" ca="1" si="50"/>
        <v>0</v>
      </c>
      <c r="U101" s="42">
        <f t="shared" ca="1" si="50"/>
        <v>0</v>
      </c>
      <c r="V101" s="42">
        <f t="shared" ca="1" si="50"/>
        <v>0</v>
      </c>
      <c r="W101" s="42">
        <f t="shared" ca="1" si="50"/>
        <v>0</v>
      </c>
      <c r="X101" s="42">
        <f t="shared" ca="1" si="50"/>
        <v>0</v>
      </c>
      <c r="Y101" s="42">
        <f t="shared" ca="1" si="50"/>
        <v>0</v>
      </c>
      <c r="Z101" s="42">
        <f t="shared" ca="1" si="42"/>
        <v>0</v>
      </c>
      <c r="AA101" s="51">
        <f t="shared" ca="1" si="43"/>
        <v>0</v>
      </c>
    </row>
    <row r="102" spans="4:27" ht="12" customHeight="1" x14ac:dyDescent="0.25">
      <c r="D102" s="43">
        <f t="shared" si="44"/>
        <v>91</v>
      </c>
      <c r="E102" s="63">
        <f t="shared" si="38"/>
        <v>22.75</v>
      </c>
      <c r="F102" s="43">
        <f t="shared" si="39"/>
        <v>87.75</v>
      </c>
      <c r="G102" s="42">
        <f t="shared" ca="1" si="49"/>
        <v>0</v>
      </c>
      <c r="H102" s="42">
        <f t="shared" ca="1" si="49"/>
        <v>0</v>
      </c>
      <c r="I102" s="42">
        <f t="shared" ca="1" si="49"/>
        <v>0</v>
      </c>
      <c r="J102" s="42">
        <f t="shared" ca="1" si="49"/>
        <v>0</v>
      </c>
      <c r="K102" s="42">
        <f t="shared" ca="1" si="49"/>
        <v>0</v>
      </c>
      <c r="L102" s="42">
        <f t="shared" ca="1" si="49"/>
        <v>0</v>
      </c>
      <c r="M102" s="42">
        <f t="shared" ca="1" si="49"/>
        <v>0</v>
      </c>
      <c r="N102" s="42">
        <f t="shared" ca="1" si="49"/>
        <v>0</v>
      </c>
      <c r="O102" s="42">
        <f t="shared" ca="1" si="40"/>
        <v>0</v>
      </c>
      <c r="P102" s="51">
        <f t="shared" ca="1" si="41"/>
        <v>0</v>
      </c>
      <c r="R102" s="42">
        <f t="shared" ca="1" si="50"/>
        <v>0</v>
      </c>
      <c r="S102" s="42">
        <f t="shared" ca="1" si="50"/>
        <v>0</v>
      </c>
      <c r="T102" s="42">
        <f t="shared" ca="1" si="50"/>
        <v>0</v>
      </c>
      <c r="U102" s="42">
        <f t="shared" ca="1" si="50"/>
        <v>0</v>
      </c>
      <c r="V102" s="42">
        <f t="shared" ca="1" si="50"/>
        <v>0</v>
      </c>
      <c r="W102" s="42">
        <f t="shared" ca="1" si="50"/>
        <v>0</v>
      </c>
      <c r="X102" s="42">
        <f t="shared" ca="1" si="50"/>
        <v>0</v>
      </c>
      <c r="Y102" s="42">
        <f t="shared" ca="1" si="50"/>
        <v>0</v>
      </c>
      <c r="Z102" s="42">
        <f t="shared" ca="1" si="42"/>
        <v>0</v>
      </c>
      <c r="AA102" s="51">
        <f t="shared" ca="1" si="43"/>
        <v>0</v>
      </c>
    </row>
    <row r="103" spans="4:27" ht="12" customHeight="1" x14ac:dyDescent="0.25">
      <c r="D103" s="43">
        <f t="shared" si="44"/>
        <v>92</v>
      </c>
      <c r="E103" s="63">
        <f t="shared" si="38"/>
        <v>23</v>
      </c>
      <c r="F103" s="43">
        <f t="shared" si="39"/>
        <v>88</v>
      </c>
      <c r="G103" s="42">
        <f t="shared" ca="1" si="49"/>
        <v>0</v>
      </c>
      <c r="H103" s="42">
        <f t="shared" ca="1" si="49"/>
        <v>0</v>
      </c>
      <c r="I103" s="42">
        <f t="shared" ca="1" si="49"/>
        <v>0</v>
      </c>
      <c r="J103" s="42">
        <f t="shared" ca="1" si="49"/>
        <v>0</v>
      </c>
      <c r="K103" s="42">
        <f t="shared" ca="1" si="49"/>
        <v>0</v>
      </c>
      <c r="L103" s="42">
        <f t="shared" ca="1" si="49"/>
        <v>0</v>
      </c>
      <c r="M103" s="42">
        <f t="shared" ca="1" si="49"/>
        <v>0</v>
      </c>
      <c r="N103" s="42">
        <f t="shared" ca="1" si="49"/>
        <v>0</v>
      </c>
      <c r="O103" s="42">
        <f t="shared" ca="1" si="40"/>
        <v>0</v>
      </c>
      <c r="P103" s="51">
        <f t="shared" ca="1" si="41"/>
        <v>0</v>
      </c>
      <c r="R103" s="42">
        <f t="shared" ca="1" si="50"/>
        <v>0</v>
      </c>
      <c r="S103" s="42">
        <f t="shared" ca="1" si="50"/>
        <v>0</v>
      </c>
      <c r="T103" s="42">
        <f t="shared" ca="1" si="50"/>
        <v>0</v>
      </c>
      <c r="U103" s="42">
        <f t="shared" ca="1" si="50"/>
        <v>0</v>
      </c>
      <c r="V103" s="42">
        <f t="shared" ca="1" si="50"/>
        <v>0</v>
      </c>
      <c r="W103" s="42">
        <f t="shared" ca="1" si="50"/>
        <v>0</v>
      </c>
      <c r="X103" s="42">
        <f t="shared" ca="1" si="50"/>
        <v>0</v>
      </c>
      <c r="Y103" s="42">
        <f t="shared" ca="1" si="50"/>
        <v>0</v>
      </c>
      <c r="Z103" s="42">
        <f t="shared" ca="1" si="42"/>
        <v>0</v>
      </c>
      <c r="AA103" s="51">
        <f t="shared" ca="1" si="43"/>
        <v>0</v>
      </c>
    </row>
    <row r="104" spans="4:27" ht="12" customHeight="1" x14ac:dyDescent="0.25">
      <c r="D104" s="43">
        <f t="shared" si="44"/>
        <v>93</v>
      </c>
      <c r="E104" s="63">
        <f t="shared" si="38"/>
        <v>23.25</v>
      </c>
      <c r="F104" s="43">
        <f t="shared" si="39"/>
        <v>88.25</v>
      </c>
      <c r="G104" s="42">
        <f t="shared" ca="1" si="49"/>
        <v>0</v>
      </c>
      <c r="H104" s="42">
        <f t="shared" ca="1" si="49"/>
        <v>0</v>
      </c>
      <c r="I104" s="42">
        <f t="shared" ca="1" si="49"/>
        <v>0</v>
      </c>
      <c r="J104" s="42">
        <f t="shared" ca="1" si="49"/>
        <v>0</v>
      </c>
      <c r="K104" s="42">
        <f t="shared" ca="1" si="49"/>
        <v>0</v>
      </c>
      <c r="L104" s="42">
        <f t="shared" ca="1" si="49"/>
        <v>0</v>
      </c>
      <c r="M104" s="42">
        <f t="shared" ca="1" si="49"/>
        <v>0</v>
      </c>
      <c r="N104" s="42">
        <f t="shared" ca="1" si="49"/>
        <v>0</v>
      </c>
      <c r="O104" s="42">
        <f t="shared" ca="1" si="40"/>
        <v>0</v>
      </c>
      <c r="P104" s="51">
        <f t="shared" ca="1" si="41"/>
        <v>0</v>
      </c>
      <c r="R104" s="42">
        <f t="shared" ca="1" si="50"/>
        <v>0</v>
      </c>
      <c r="S104" s="42">
        <f t="shared" ca="1" si="50"/>
        <v>0</v>
      </c>
      <c r="T104" s="42">
        <f t="shared" ca="1" si="50"/>
        <v>0</v>
      </c>
      <c r="U104" s="42">
        <f t="shared" ca="1" si="50"/>
        <v>0</v>
      </c>
      <c r="V104" s="42">
        <f t="shared" ca="1" si="50"/>
        <v>0</v>
      </c>
      <c r="W104" s="42">
        <f t="shared" ca="1" si="50"/>
        <v>0</v>
      </c>
      <c r="X104" s="42">
        <f t="shared" ca="1" si="50"/>
        <v>0</v>
      </c>
      <c r="Y104" s="42">
        <f t="shared" ca="1" si="50"/>
        <v>0</v>
      </c>
      <c r="Z104" s="42">
        <f t="shared" ca="1" si="42"/>
        <v>0</v>
      </c>
      <c r="AA104" s="51">
        <f t="shared" ca="1" si="43"/>
        <v>0</v>
      </c>
    </row>
    <row r="105" spans="4:27" ht="12" customHeight="1" x14ac:dyDescent="0.25">
      <c r="D105" s="43">
        <f t="shared" si="44"/>
        <v>94</v>
      </c>
      <c r="E105" s="63">
        <f t="shared" si="38"/>
        <v>23.5</v>
      </c>
      <c r="F105" s="43">
        <f t="shared" si="39"/>
        <v>88.5</v>
      </c>
      <c r="G105" s="42">
        <f t="shared" ca="1" si="49"/>
        <v>0</v>
      </c>
      <c r="H105" s="42">
        <f t="shared" ca="1" si="49"/>
        <v>0</v>
      </c>
      <c r="I105" s="42">
        <f t="shared" ca="1" si="49"/>
        <v>0</v>
      </c>
      <c r="J105" s="42">
        <f t="shared" ca="1" si="49"/>
        <v>0</v>
      </c>
      <c r="K105" s="42">
        <f t="shared" ca="1" si="49"/>
        <v>0</v>
      </c>
      <c r="L105" s="42">
        <f t="shared" ca="1" si="49"/>
        <v>0</v>
      </c>
      <c r="M105" s="42">
        <f t="shared" ca="1" si="49"/>
        <v>0</v>
      </c>
      <c r="N105" s="42">
        <f t="shared" ca="1" si="49"/>
        <v>0</v>
      </c>
      <c r="O105" s="42">
        <f t="shared" ca="1" si="40"/>
        <v>0</v>
      </c>
      <c r="P105" s="51">
        <f t="shared" ca="1" si="41"/>
        <v>0</v>
      </c>
      <c r="R105" s="42">
        <f t="shared" ca="1" si="50"/>
        <v>0</v>
      </c>
      <c r="S105" s="42">
        <f t="shared" ca="1" si="50"/>
        <v>0</v>
      </c>
      <c r="T105" s="42">
        <f t="shared" ca="1" si="50"/>
        <v>0</v>
      </c>
      <c r="U105" s="42">
        <f t="shared" ca="1" si="50"/>
        <v>0</v>
      </c>
      <c r="V105" s="42">
        <f t="shared" ca="1" si="50"/>
        <v>0</v>
      </c>
      <c r="W105" s="42">
        <f t="shared" ca="1" si="50"/>
        <v>0</v>
      </c>
      <c r="X105" s="42">
        <f t="shared" ca="1" si="50"/>
        <v>0</v>
      </c>
      <c r="Y105" s="42">
        <f t="shared" ca="1" si="50"/>
        <v>0</v>
      </c>
      <c r="Z105" s="42">
        <f t="shared" ca="1" si="42"/>
        <v>0</v>
      </c>
      <c r="AA105" s="51">
        <f t="shared" ca="1" si="43"/>
        <v>0</v>
      </c>
    </row>
    <row r="106" spans="4:27" ht="12" customHeight="1" x14ac:dyDescent="0.25">
      <c r="D106" s="43">
        <f t="shared" si="44"/>
        <v>95</v>
      </c>
      <c r="E106" s="63">
        <f t="shared" si="38"/>
        <v>23.75</v>
      </c>
      <c r="F106" s="43">
        <f t="shared" si="39"/>
        <v>88.75</v>
      </c>
      <c r="G106" s="42">
        <f t="shared" ca="1" si="49"/>
        <v>0</v>
      </c>
      <c r="H106" s="42">
        <f t="shared" ca="1" si="49"/>
        <v>0</v>
      </c>
      <c r="I106" s="42">
        <f t="shared" ca="1" si="49"/>
        <v>0</v>
      </c>
      <c r="J106" s="42">
        <f t="shared" ca="1" si="49"/>
        <v>0</v>
      </c>
      <c r="K106" s="42">
        <f t="shared" ca="1" si="49"/>
        <v>0</v>
      </c>
      <c r="L106" s="42">
        <f t="shared" ca="1" si="49"/>
        <v>0</v>
      </c>
      <c r="M106" s="42">
        <f t="shared" ca="1" si="49"/>
        <v>0</v>
      </c>
      <c r="N106" s="42">
        <f t="shared" ca="1" si="49"/>
        <v>0</v>
      </c>
      <c r="O106" s="42">
        <f t="shared" ca="1" si="40"/>
        <v>0</v>
      </c>
      <c r="P106" s="51">
        <f t="shared" ca="1" si="41"/>
        <v>0</v>
      </c>
      <c r="R106" s="42">
        <f t="shared" ca="1" si="50"/>
        <v>0</v>
      </c>
      <c r="S106" s="42">
        <f t="shared" ca="1" si="50"/>
        <v>0</v>
      </c>
      <c r="T106" s="42">
        <f t="shared" ca="1" si="50"/>
        <v>0</v>
      </c>
      <c r="U106" s="42">
        <f t="shared" ca="1" si="50"/>
        <v>0</v>
      </c>
      <c r="V106" s="42">
        <f t="shared" ca="1" si="50"/>
        <v>0</v>
      </c>
      <c r="W106" s="42">
        <f t="shared" ca="1" si="50"/>
        <v>0</v>
      </c>
      <c r="X106" s="42">
        <f t="shared" ca="1" si="50"/>
        <v>0</v>
      </c>
      <c r="Y106" s="42">
        <f t="shared" ca="1" si="50"/>
        <v>0</v>
      </c>
      <c r="Z106" s="42">
        <f t="shared" ca="1" si="42"/>
        <v>0</v>
      </c>
      <c r="AA106" s="51">
        <f t="shared" ca="1" si="43"/>
        <v>0</v>
      </c>
    </row>
    <row r="107" spans="4:27" ht="12" customHeight="1" x14ac:dyDescent="0.25">
      <c r="D107" s="43">
        <f t="shared" si="44"/>
        <v>96</v>
      </c>
      <c r="E107" s="63">
        <f t="shared" ref="E107:E131" si="51">D107*D.cycleLength</f>
        <v>24</v>
      </c>
      <c r="F107" s="43">
        <f t="shared" ref="F107:F131" si="52">D.cohortAge+D107*D.cycleLength</f>
        <v>89</v>
      </c>
      <c r="G107" s="42">
        <f t="shared" ca="1" si="49"/>
        <v>0</v>
      </c>
      <c r="H107" s="42">
        <f t="shared" ca="1" si="49"/>
        <v>0</v>
      </c>
      <c r="I107" s="42">
        <f t="shared" ca="1" si="49"/>
        <v>0</v>
      </c>
      <c r="J107" s="42">
        <f t="shared" ca="1" si="49"/>
        <v>0</v>
      </c>
      <c r="K107" s="42">
        <f t="shared" ca="1" si="49"/>
        <v>0</v>
      </c>
      <c r="L107" s="42">
        <f t="shared" ca="1" si="49"/>
        <v>0</v>
      </c>
      <c r="M107" s="42">
        <f t="shared" ca="1" si="49"/>
        <v>0</v>
      </c>
      <c r="N107" s="42">
        <f t="shared" ca="1" si="49"/>
        <v>0</v>
      </c>
      <c r="O107" s="42">
        <f t="shared" ref="O107:O131" ca="1" si="53">(OFFSET(D.Trace.Markov.Root, $D107+1, (O$2-1)*D.Trace.Markov.NumCols+O$3-1)-OFFSET(D.Trace.Markov.Root, $D107, (O$2-1)*D.Trace.Markov.NumCols+O$3-1))*O$4</f>
        <v>0</v>
      </c>
      <c r="P107" s="51">
        <f t="shared" ref="P107:P131" ca="1" si="54">SUM(G107:O107)</f>
        <v>0</v>
      </c>
      <c r="R107" s="42">
        <f t="shared" ca="1" si="50"/>
        <v>0</v>
      </c>
      <c r="S107" s="42">
        <f t="shared" ca="1" si="50"/>
        <v>0</v>
      </c>
      <c r="T107" s="42">
        <f t="shared" ca="1" si="50"/>
        <v>0</v>
      </c>
      <c r="U107" s="42">
        <f t="shared" ca="1" si="50"/>
        <v>0</v>
      </c>
      <c r="V107" s="42">
        <f t="shared" ca="1" si="50"/>
        <v>0</v>
      </c>
      <c r="W107" s="42">
        <f t="shared" ca="1" si="50"/>
        <v>0</v>
      </c>
      <c r="X107" s="42">
        <f t="shared" ca="1" si="50"/>
        <v>0</v>
      </c>
      <c r="Y107" s="42">
        <f t="shared" ca="1" si="50"/>
        <v>0</v>
      </c>
      <c r="Z107" s="42">
        <f t="shared" ref="Z107:Z131" ca="1" si="55">(OFFSET(D.Trace.Markov.Root, $D107+1, (Z$2-1)*D.Trace.Markov.NumCols+Z$3-1)-OFFSET(D.Trace.Markov.Root, $D107, (Z$2-1)*D.Trace.Markov.NumCols+Z$3-1))*Z$4</f>
        <v>0</v>
      </c>
      <c r="AA107" s="51">
        <f t="shared" ref="AA107:AA131" ca="1" si="56">SUM(R107:Z107)</f>
        <v>0</v>
      </c>
    </row>
    <row r="108" spans="4:27" ht="12" customHeight="1" x14ac:dyDescent="0.25">
      <c r="D108" s="43">
        <f t="shared" ref="D108:D131" si="57">D107+1</f>
        <v>97</v>
      </c>
      <c r="E108" s="63">
        <f t="shared" si="51"/>
        <v>24.25</v>
      </c>
      <c r="F108" s="43">
        <f t="shared" si="52"/>
        <v>89.25</v>
      </c>
      <c r="G108" s="42">
        <f t="shared" ca="1" si="49"/>
        <v>0</v>
      </c>
      <c r="H108" s="42">
        <f t="shared" ca="1" si="49"/>
        <v>0</v>
      </c>
      <c r="I108" s="42">
        <f t="shared" ca="1" si="49"/>
        <v>0</v>
      </c>
      <c r="J108" s="42">
        <f t="shared" ca="1" si="49"/>
        <v>0</v>
      </c>
      <c r="K108" s="42">
        <f t="shared" ca="1" si="49"/>
        <v>0</v>
      </c>
      <c r="L108" s="42">
        <f t="shared" ca="1" si="49"/>
        <v>0</v>
      </c>
      <c r="M108" s="42">
        <f t="shared" ca="1" si="49"/>
        <v>0</v>
      </c>
      <c r="N108" s="42">
        <f t="shared" ca="1" si="49"/>
        <v>0</v>
      </c>
      <c r="O108" s="42">
        <f t="shared" ca="1" si="53"/>
        <v>0</v>
      </c>
      <c r="P108" s="51">
        <f t="shared" ca="1" si="54"/>
        <v>0</v>
      </c>
      <c r="R108" s="42">
        <f t="shared" ca="1" si="50"/>
        <v>0</v>
      </c>
      <c r="S108" s="42">
        <f t="shared" ca="1" si="50"/>
        <v>0</v>
      </c>
      <c r="T108" s="42">
        <f t="shared" ca="1" si="50"/>
        <v>0</v>
      </c>
      <c r="U108" s="42">
        <f t="shared" ca="1" si="50"/>
        <v>0</v>
      </c>
      <c r="V108" s="42">
        <f t="shared" ca="1" si="50"/>
        <v>0</v>
      </c>
      <c r="W108" s="42">
        <f t="shared" ca="1" si="50"/>
        <v>0</v>
      </c>
      <c r="X108" s="42">
        <f t="shared" ca="1" si="50"/>
        <v>0</v>
      </c>
      <c r="Y108" s="42">
        <f t="shared" ca="1" si="50"/>
        <v>0</v>
      </c>
      <c r="Z108" s="42">
        <f t="shared" ca="1" si="55"/>
        <v>0</v>
      </c>
      <c r="AA108" s="51">
        <f t="shared" ca="1" si="56"/>
        <v>0</v>
      </c>
    </row>
    <row r="109" spans="4:27" ht="12" customHeight="1" x14ac:dyDescent="0.25">
      <c r="D109" s="43">
        <f t="shared" si="57"/>
        <v>98</v>
      </c>
      <c r="E109" s="63">
        <f t="shared" si="51"/>
        <v>24.5</v>
      </c>
      <c r="F109" s="43">
        <f t="shared" si="52"/>
        <v>89.5</v>
      </c>
      <c r="G109" s="42">
        <f t="shared" ca="1" si="49"/>
        <v>0</v>
      </c>
      <c r="H109" s="42">
        <f t="shared" ca="1" si="49"/>
        <v>0</v>
      </c>
      <c r="I109" s="42">
        <f t="shared" ca="1" si="49"/>
        <v>0</v>
      </c>
      <c r="J109" s="42">
        <f t="shared" ca="1" si="49"/>
        <v>0</v>
      </c>
      <c r="K109" s="42">
        <f t="shared" ca="1" si="49"/>
        <v>0</v>
      </c>
      <c r="L109" s="42">
        <f t="shared" ca="1" si="49"/>
        <v>0</v>
      </c>
      <c r="M109" s="42">
        <f t="shared" ca="1" si="49"/>
        <v>0</v>
      </c>
      <c r="N109" s="42">
        <f t="shared" ca="1" si="49"/>
        <v>0</v>
      </c>
      <c r="O109" s="42">
        <f t="shared" ca="1" si="53"/>
        <v>0</v>
      </c>
      <c r="P109" s="51">
        <f t="shared" ca="1" si="54"/>
        <v>0</v>
      </c>
      <c r="R109" s="42">
        <f t="shared" ca="1" si="50"/>
        <v>0</v>
      </c>
      <c r="S109" s="42">
        <f t="shared" ca="1" si="50"/>
        <v>0</v>
      </c>
      <c r="T109" s="42">
        <f t="shared" ca="1" si="50"/>
        <v>0</v>
      </c>
      <c r="U109" s="42">
        <f t="shared" ca="1" si="50"/>
        <v>0</v>
      </c>
      <c r="V109" s="42">
        <f t="shared" ca="1" si="50"/>
        <v>0</v>
      </c>
      <c r="W109" s="42">
        <f t="shared" ca="1" si="50"/>
        <v>0</v>
      </c>
      <c r="X109" s="42">
        <f t="shared" ca="1" si="50"/>
        <v>0</v>
      </c>
      <c r="Y109" s="42">
        <f t="shared" ca="1" si="50"/>
        <v>0</v>
      </c>
      <c r="Z109" s="42">
        <f t="shared" ca="1" si="55"/>
        <v>0</v>
      </c>
      <c r="AA109" s="51">
        <f t="shared" ca="1" si="56"/>
        <v>0</v>
      </c>
    </row>
    <row r="110" spans="4:27" ht="12" customHeight="1" x14ac:dyDescent="0.25">
      <c r="D110" s="43">
        <f t="shared" si="57"/>
        <v>99</v>
      </c>
      <c r="E110" s="63">
        <f t="shared" si="51"/>
        <v>24.75</v>
      </c>
      <c r="F110" s="43">
        <f t="shared" si="52"/>
        <v>89.75</v>
      </c>
      <c r="G110" s="42">
        <f t="shared" ca="1" si="49"/>
        <v>0</v>
      </c>
      <c r="H110" s="42">
        <f t="shared" ca="1" si="49"/>
        <v>0</v>
      </c>
      <c r="I110" s="42">
        <f t="shared" ca="1" si="49"/>
        <v>0</v>
      </c>
      <c r="J110" s="42">
        <f t="shared" ca="1" si="49"/>
        <v>0</v>
      </c>
      <c r="K110" s="42">
        <f t="shared" ca="1" si="49"/>
        <v>0</v>
      </c>
      <c r="L110" s="42">
        <f t="shared" ca="1" si="49"/>
        <v>0</v>
      </c>
      <c r="M110" s="42">
        <f t="shared" ca="1" si="49"/>
        <v>0</v>
      </c>
      <c r="N110" s="42">
        <f t="shared" ca="1" si="49"/>
        <v>0</v>
      </c>
      <c r="O110" s="42">
        <f t="shared" ca="1" si="53"/>
        <v>0</v>
      </c>
      <c r="P110" s="51">
        <f t="shared" ca="1" si="54"/>
        <v>0</v>
      </c>
      <c r="R110" s="42">
        <f t="shared" ca="1" si="50"/>
        <v>0</v>
      </c>
      <c r="S110" s="42">
        <f t="shared" ca="1" si="50"/>
        <v>0</v>
      </c>
      <c r="T110" s="42">
        <f t="shared" ca="1" si="50"/>
        <v>0</v>
      </c>
      <c r="U110" s="42">
        <f t="shared" ca="1" si="50"/>
        <v>0</v>
      </c>
      <c r="V110" s="42">
        <f t="shared" ca="1" si="50"/>
        <v>0</v>
      </c>
      <c r="W110" s="42">
        <f t="shared" ca="1" si="50"/>
        <v>0</v>
      </c>
      <c r="X110" s="42">
        <f t="shared" ca="1" si="50"/>
        <v>0</v>
      </c>
      <c r="Y110" s="42">
        <f t="shared" ca="1" si="50"/>
        <v>0</v>
      </c>
      <c r="Z110" s="42">
        <f t="shared" ca="1" si="55"/>
        <v>0</v>
      </c>
      <c r="AA110" s="51">
        <f t="shared" ca="1" si="56"/>
        <v>0</v>
      </c>
    </row>
    <row r="111" spans="4:27" ht="12" customHeight="1" x14ac:dyDescent="0.25">
      <c r="D111" s="43">
        <f t="shared" si="57"/>
        <v>100</v>
      </c>
      <c r="E111" s="63">
        <f t="shared" si="51"/>
        <v>25</v>
      </c>
      <c r="F111" s="43">
        <f t="shared" si="52"/>
        <v>90</v>
      </c>
      <c r="G111" s="42">
        <f t="shared" ref="G111:N120" ca="1" si="58">AVERAGE(OFFSET(D.Trace.Markov.Root, $D111, (G$2-1)*D.Trace.Markov.NumCols+G$3-1, CHOOSE(swtchHalfCycle, 2, 1)))*G$4</f>
        <v>0</v>
      </c>
      <c r="H111" s="42">
        <f t="shared" ca="1" si="58"/>
        <v>0</v>
      </c>
      <c r="I111" s="42">
        <f t="shared" ca="1" si="58"/>
        <v>0</v>
      </c>
      <c r="J111" s="42">
        <f t="shared" ca="1" si="58"/>
        <v>0</v>
      </c>
      <c r="K111" s="42">
        <f t="shared" ca="1" si="58"/>
        <v>0</v>
      </c>
      <c r="L111" s="42">
        <f t="shared" ca="1" si="58"/>
        <v>0</v>
      </c>
      <c r="M111" s="42">
        <f t="shared" ca="1" si="58"/>
        <v>0</v>
      </c>
      <c r="N111" s="42">
        <f t="shared" ca="1" si="58"/>
        <v>0</v>
      </c>
      <c r="O111" s="42">
        <f t="shared" ca="1" si="53"/>
        <v>0</v>
      </c>
      <c r="P111" s="51">
        <f t="shared" ca="1" si="54"/>
        <v>0</v>
      </c>
      <c r="R111" s="42">
        <f t="shared" ref="R111:Y120" ca="1" si="59">AVERAGE(OFFSET(D.Trace.Markov.Root, $D111, (R$2-1)*D.Trace.Markov.NumCols+R$3-1, CHOOSE(swtchHalfCycle, 2, 1)))*R$4</f>
        <v>0</v>
      </c>
      <c r="S111" s="42">
        <f t="shared" ca="1" si="59"/>
        <v>0</v>
      </c>
      <c r="T111" s="42">
        <f t="shared" ca="1" si="59"/>
        <v>0</v>
      </c>
      <c r="U111" s="42">
        <f t="shared" ca="1" si="59"/>
        <v>0</v>
      </c>
      <c r="V111" s="42">
        <f t="shared" ca="1" si="59"/>
        <v>0</v>
      </c>
      <c r="W111" s="42">
        <f t="shared" ca="1" si="59"/>
        <v>0</v>
      </c>
      <c r="X111" s="42">
        <f t="shared" ca="1" si="59"/>
        <v>0</v>
      </c>
      <c r="Y111" s="42">
        <f t="shared" ca="1" si="59"/>
        <v>0</v>
      </c>
      <c r="Z111" s="42">
        <f t="shared" ca="1" si="55"/>
        <v>0</v>
      </c>
      <c r="AA111" s="51">
        <f t="shared" ca="1" si="56"/>
        <v>0</v>
      </c>
    </row>
    <row r="112" spans="4:27" ht="12" customHeight="1" x14ac:dyDescent="0.25">
      <c r="D112" s="43">
        <f t="shared" si="57"/>
        <v>101</v>
      </c>
      <c r="E112" s="63">
        <f t="shared" si="51"/>
        <v>25.25</v>
      </c>
      <c r="F112" s="43">
        <f t="shared" si="52"/>
        <v>90.25</v>
      </c>
      <c r="G112" s="42">
        <f t="shared" ca="1" si="58"/>
        <v>0</v>
      </c>
      <c r="H112" s="42">
        <f t="shared" ca="1" si="58"/>
        <v>0</v>
      </c>
      <c r="I112" s="42">
        <f t="shared" ca="1" si="58"/>
        <v>0</v>
      </c>
      <c r="J112" s="42">
        <f t="shared" ca="1" si="58"/>
        <v>0</v>
      </c>
      <c r="K112" s="42">
        <f t="shared" ca="1" si="58"/>
        <v>0</v>
      </c>
      <c r="L112" s="42">
        <f t="shared" ca="1" si="58"/>
        <v>0</v>
      </c>
      <c r="M112" s="42">
        <f t="shared" ca="1" si="58"/>
        <v>0</v>
      </c>
      <c r="N112" s="42">
        <f t="shared" ca="1" si="58"/>
        <v>0</v>
      </c>
      <c r="O112" s="42">
        <f t="shared" ca="1" si="53"/>
        <v>0</v>
      </c>
      <c r="P112" s="51">
        <f t="shared" ca="1" si="54"/>
        <v>0</v>
      </c>
      <c r="R112" s="42">
        <f t="shared" ca="1" si="59"/>
        <v>0</v>
      </c>
      <c r="S112" s="42">
        <f t="shared" ca="1" si="59"/>
        <v>0</v>
      </c>
      <c r="T112" s="42">
        <f t="shared" ca="1" si="59"/>
        <v>0</v>
      </c>
      <c r="U112" s="42">
        <f t="shared" ca="1" si="59"/>
        <v>0</v>
      </c>
      <c r="V112" s="42">
        <f t="shared" ca="1" si="59"/>
        <v>0</v>
      </c>
      <c r="W112" s="42">
        <f t="shared" ca="1" si="59"/>
        <v>0</v>
      </c>
      <c r="X112" s="42">
        <f t="shared" ca="1" si="59"/>
        <v>0</v>
      </c>
      <c r="Y112" s="42">
        <f t="shared" ca="1" si="59"/>
        <v>0</v>
      </c>
      <c r="Z112" s="42">
        <f t="shared" ca="1" si="55"/>
        <v>0</v>
      </c>
      <c r="AA112" s="51">
        <f t="shared" ca="1" si="56"/>
        <v>0</v>
      </c>
    </row>
    <row r="113" spans="4:27" ht="12" customHeight="1" x14ac:dyDescent="0.25">
      <c r="D113" s="43">
        <f t="shared" si="57"/>
        <v>102</v>
      </c>
      <c r="E113" s="63">
        <f t="shared" si="51"/>
        <v>25.5</v>
      </c>
      <c r="F113" s="43">
        <f t="shared" si="52"/>
        <v>90.5</v>
      </c>
      <c r="G113" s="42">
        <f t="shared" ca="1" si="58"/>
        <v>0</v>
      </c>
      <c r="H113" s="42">
        <f t="shared" ca="1" si="58"/>
        <v>0</v>
      </c>
      <c r="I113" s="42">
        <f t="shared" ca="1" si="58"/>
        <v>0</v>
      </c>
      <c r="J113" s="42">
        <f t="shared" ca="1" si="58"/>
        <v>0</v>
      </c>
      <c r="K113" s="42">
        <f t="shared" ca="1" si="58"/>
        <v>0</v>
      </c>
      <c r="L113" s="42">
        <f t="shared" ca="1" si="58"/>
        <v>0</v>
      </c>
      <c r="M113" s="42">
        <f t="shared" ca="1" si="58"/>
        <v>0</v>
      </c>
      <c r="N113" s="42">
        <f t="shared" ca="1" si="58"/>
        <v>0</v>
      </c>
      <c r="O113" s="42">
        <f t="shared" ca="1" si="53"/>
        <v>0</v>
      </c>
      <c r="P113" s="51">
        <f t="shared" ca="1" si="54"/>
        <v>0</v>
      </c>
      <c r="R113" s="42">
        <f t="shared" ca="1" si="59"/>
        <v>0</v>
      </c>
      <c r="S113" s="42">
        <f t="shared" ca="1" si="59"/>
        <v>0</v>
      </c>
      <c r="T113" s="42">
        <f t="shared" ca="1" si="59"/>
        <v>0</v>
      </c>
      <c r="U113" s="42">
        <f t="shared" ca="1" si="59"/>
        <v>0</v>
      </c>
      <c r="V113" s="42">
        <f t="shared" ca="1" si="59"/>
        <v>0</v>
      </c>
      <c r="W113" s="42">
        <f t="shared" ca="1" si="59"/>
        <v>0</v>
      </c>
      <c r="X113" s="42">
        <f t="shared" ca="1" si="59"/>
        <v>0</v>
      </c>
      <c r="Y113" s="42">
        <f t="shared" ca="1" si="59"/>
        <v>0</v>
      </c>
      <c r="Z113" s="42">
        <f t="shared" ca="1" si="55"/>
        <v>0</v>
      </c>
      <c r="AA113" s="51">
        <f t="shared" ca="1" si="56"/>
        <v>0</v>
      </c>
    </row>
    <row r="114" spans="4:27" ht="12" customHeight="1" x14ac:dyDescent="0.25">
      <c r="D114" s="43">
        <f t="shared" si="57"/>
        <v>103</v>
      </c>
      <c r="E114" s="63">
        <f t="shared" si="51"/>
        <v>25.75</v>
      </c>
      <c r="F114" s="43">
        <f t="shared" si="52"/>
        <v>90.75</v>
      </c>
      <c r="G114" s="42">
        <f t="shared" ca="1" si="58"/>
        <v>0</v>
      </c>
      <c r="H114" s="42">
        <f t="shared" ca="1" si="58"/>
        <v>0</v>
      </c>
      <c r="I114" s="42">
        <f t="shared" ca="1" si="58"/>
        <v>0</v>
      </c>
      <c r="J114" s="42">
        <f t="shared" ca="1" si="58"/>
        <v>0</v>
      </c>
      <c r="K114" s="42">
        <f t="shared" ca="1" si="58"/>
        <v>0</v>
      </c>
      <c r="L114" s="42">
        <f t="shared" ca="1" si="58"/>
        <v>0</v>
      </c>
      <c r="M114" s="42">
        <f t="shared" ca="1" si="58"/>
        <v>0</v>
      </c>
      <c r="N114" s="42">
        <f t="shared" ca="1" si="58"/>
        <v>0</v>
      </c>
      <c r="O114" s="42">
        <f t="shared" ca="1" si="53"/>
        <v>0</v>
      </c>
      <c r="P114" s="51">
        <f t="shared" ca="1" si="54"/>
        <v>0</v>
      </c>
      <c r="R114" s="42">
        <f t="shared" ca="1" si="59"/>
        <v>0</v>
      </c>
      <c r="S114" s="42">
        <f t="shared" ca="1" si="59"/>
        <v>0</v>
      </c>
      <c r="T114" s="42">
        <f t="shared" ca="1" si="59"/>
        <v>0</v>
      </c>
      <c r="U114" s="42">
        <f t="shared" ca="1" si="59"/>
        <v>0</v>
      </c>
      <c r="V114" s="42">
        <f t="shared" ca="1" si="59"/>
        <v>0</v>
      </c>
      <c r="W114" s="42">
        <f t="shared" ca="1" si="59"/>
        <v>0</v>
      </c>
      <c r="X114" s="42">
        <f t="shared" ca="1" si="59"/>
        <v>0</v>
      </c>
      <c r="Y114" s="42">
        <f t="shared" ca="1" si="59"/>
        <v>0</v>
      </c>
      <c r="Z114" s="42">
        <f t="shared" ca="1" si="55"/>
        <v>0</v>
      </c>
      <c r="AA114" s="51">
        <f t="shared" ca="1" si="56"/>
        <v>0</v>
      </c>
    </row>
    <row r="115" spans="4:27" ht="12" customHeight="1" x14ac:dyDescent="0.25">
      <c r="D115" s="43">
        <f t="shared" si="57"/>
        <v>104</v>
      </c>
      <c r="E115" s="63">
        <f t="shared" si="51"/>
        <v>26</v>
      </c>
      <c r="F115" s="43">
        <f t="shared" si="52"/>
        <v>91</v>
      </c>
      <c r="G115" s="42">
        <f t="shared" ca="1" si="58"/>
        <v>0</v>
      </c>
      <c r="H115" s="42">
        <f t="shared" ca="1" si="58"/>
        <v>0</v>
      </c>
      <c r="I115" s="42">
        <f t="shared" ca="1" si="58"/>
        <v>0</v>
      </c>
      <c r="J115" s="42">
        <f t="shared" ca="1" si="58"/>
        <v>0</v>
      </c>
      <c r="K115" s="42">
        <f t="shared" ca="1" si="58"/>
        <v>0</v>
      </c>
      <c r="L115" s="42">
        <f t="shared" ca="1" si="58"/>
        <v>0</v>
      </c>
      <c r="M115" s="42">
        <f t="shared" ca="1" si="58"/>
        <v>0</v>
      </c>
      <c r="N115" s="42">
        <f t="shared" ca="1" si="58"/>
        <v>0</v>
      </c>
      <c r="O115" s="42">
        <f t="shared" ca="1" si="53"/>
        <v>0</v>
      </c>
      <c r="P115" s="51">
        <f t="shared" ca="1" si="54"/>
        <v>0</v>
      </c>
      <c r="R115" s="42">
        <f t="shared" ca="1" si="59"/>
        <v>0</v>
      </c>
      <c r="S115" s="42">
        <f t="shared" ca="1" si="59"/>
        <v>0</v>
      </c>
      <c r="T115" s="42">
        <f t="shared" ca="1" si="59"/>
        <v>0</v>
      </c>
      <c r="U115" s="42">
        <f t="shared" ca="1" si="59"/>
        <v>0</v>
      </c>
      <c r="V115" s="42">
        <f t="shared" ca="1" si="59"/>
        <v>0</v>
      </c>
      <c r="W115" s="42">
        <f t="shared" ca="1" si="59"/>
        <v>0</v>
      </c>
      <c r="X115" s="42">
        <f t="shared" ca="1" si="59"/>
        <v>0</v>
      </c>
      <c r="Y115" s="42">
        <f t="shared" ca="1" si="59"/>
        <v>0</v>
      </c>
      <c r="Z115" s="42">
        <f t="shared" ca="1" si="55"/>
        <v>0</v>
      </c>
      <c r="AA115" s="51">
        <f t="shared" ca="1" si="56"/>
        <v>0</v>
      </c>
    </row>
    <row r="116" spans="4:27" ht="12" customHeight="1" x14ac:dyDescent="0.25">
      <c r="D116" s="43">
        <f t="shared" si="57"/>
        <v>105</v>
      </c>
      <c r="E116" s="63">
        <f t="shared" si="51"/>
        <v>26.25</v>
      </c>
      <c r="F116" s="43">
        <f t="shared" si="52"/>
        <v>91.25</v>
      </c>
      <c r="G116" s="42">
        <f t="shared" ca="1" si="58"/>
        <v>0</v>
      </c>
      <c r="H116" s="42">
        <f t="shared" ca="1" si="58"/>
        <v>0</v>
      </c>
      <c r="I116" s="42">
        <f t="shared" ca="1" si="58"/>
        <v>0</v>
      </c>
      <c r="J116" s="42">
        <f t="shared" ca="1" si="58"/>
        <v>0</v>
      </c>
      <c r="K116" s="42">
        <f t="shared" ca="1" si="58"/>
        <v>0</v>
      </c>
      <c r="L116" s="42">
        <f t="shared" ca="1" si="58"/>
        <v>0</v>
      </c>
      <c r="M116" s="42">
        <f t="shared" ca="1" si="58"/>
        <v>0</v>
      </c>
      <c r="N116" s="42">
        <f t="shared" ca="1" si="58"/>
        <v>0</v>
      </c>
      <c r="O116" s="42">
        <f t="shared" ca="1" si="53"/>
        <v>0</v>
      </c>
      <c r="P116" s="51">
        <f t="shared" ca="1" si="54"/>
        <v>0</v>
      </c>
      <c r="R116" s="42">
        <f t="shared" ca="1" si="59"/>
        <v>0</v>
      </c>
      <c r="S116" s="42">
        <f t="shared" ca="1" si="59"/>
        <v>0</v>
      </c>
      <c r="T116" s="42">
        <f t="shared" ca="1" si="59"/>
        <v>0</v>
      </c>
      <c r="U116" s="42">
        <f t="shared" ca="1" si="59"/>
        <v>0</v>
      </c>
      <c r="V116" s="42">
        <f t="shared" ca="1" si="59"/>
        <v>0</v>
      </c>
      <c r="W116" s="42">
        <f t="shared" ca="1" si="59"/>
        <v>0</v>
      </c>
      <c r="X116" s="42">
        <f t="shared" ca="1" si="59"/>
        <v>0</v>
      </c>
      <c r="Y116" s="42">
        <f t="shared" ca="1" si="59"/>
        <v>0</v>
      </c>
      <c r="Z116" s="42">
        <f t="shared" ca="1" si="55"/>
        <v>0</v>
      </c>
      <c r="AA116" s="51">
        <f t="shared" ca="1" si="56"/>
        <v>0</v>
      </c>
    </row>
    <row r="117" spans="4:27" ht="12" customHeight="1" x14ac:dyDescent="0.25">
      <c r="D117" s="43">
        <f t="shared" si="57"/>
        <v>106</v>
      </c>
      <c r="E117" s="63">
        <f t="shared" si="51"/>
        <v>26.5</v>
      </c>
      <c r="F117" s="43">
        <f t="shared" si="52"/>
        <v>91.5</v>
      </c>
      <c r="G117" s="42">
        <f t="shared" ca="1" si="58"/>
        <v>0</v>
      </c>
      <c r="H117" s="42">
        <f t="shared" ca="1" si="58"/>
        <v>0</v>
      </c>
      <c r="I117" s="42">
        <f t="shared" ca="1" si="58"/>
        <v>0</v>
      </c>
      <c r="J117" s="42">
        <f t="shared" ca="1" si="58"/>
        <v>0</v>
      </c>
      <c r="K117" s="42">
        <f t="shared" ca="1" si="58"/>
        <v>0</v>
      </c>
      <c r="L117" s="42">
        <f t="shared" ca="1" si="58"/>
        <v>0</v>
      </c>
      <c r="M117" s="42">
        <f t="shared" ca="1" si="58"/>
        <v>0</v>
      </c>
      <c r="N117" s="42">
        <f t="shared" ca="1" si="58"/>
        <v>0</v>
      </c>
      <c r="O117" s="42">
        <f t="shared" ca="1" si="53"/>
        <v>0</v>
      </c>
      <c r="P117" s="51">
        <f t="shared" ca="1" si="54"/>
        <v>0</v>
      </c>
      <c r="R117" s="42">
        <f t="shared" ca="1" si="59"/>
        <v>0</v>
      </c>
      <c r="S117" s="42">
        <f t="shared" ca="1" si="59"/>
        <v>0</v>
      </c>
      <c r="T117" s="42">
        <f t="shared" ca="1" si="59"/>
        <v>0</v>
      </c>
      <c r="U117" s="42">
        <f t="shared" ca="1" si="59"/>
        <v>0</v>
      </c>
      <c r="V117" s="42">
        <f t="shared" ca="1" si="59"/>
        <v>0</v>
      </c>
      <c r="W117" s="42">
        <f t="shared" ca="1" si="59"/>
        <v>0</v>
      </c>
      <c r="X117" s="42">
        <f t="shared" ca="1" si="59"/>
        <v>0</v>
      </c>
      <c r="Y117" s="42">
        <f t="shared" ca="1" si="59"/>
        <v>0</v>
      </c>
      <c r="Z117" s="42">
        <f t="shared" ca="1" si="55"/>
        <v>0</v>
      </c>
      <c r="AA117" s="51">
        <f t="shared" ca="1" si="56"/>
        <v>0</v>
      </c>
    </row>
    <row r="118" spans="4:27" ht="12" customHeight="1" x14ac:dyDescent="0.25">
      <c r="D118" s="43">
        <f t="shared" si="57"/>
        <v>107</v>
      </c>
      <c r="E118" s="63">
        <f t="shared" si="51"/>
        <v>26.75</v>
      </c>
      <c r="F118" s="43">
        <f t="shared" si="52"/>
        <v>91.75</v>
      </c>
      <c r="G118" s="42">
        <f t="shared" ca="1" si="58"/>
        <v>0</v>
      </c>
      <c r="H118" s="42">
        <f t="shared" ca="1" si="58"/>
        <v>0</v>
      </c>
      <c r="I118" s="42">
        <f t="shared" ca="1" si="58"/>
        <v>0</v>
      </c>
      <c r="J118" s="42">
        <f t="shared" ca="1" si="58"/>
        <v>0</v>
      </c>
      <c r="K118" s="42">
        <f t="shared" ca="1" si="58"/>
        <v>0</v>
      </c>
      <c r="L118" s="42">
        <f t="shared" ca="1" si="58"/>
        <v>0</v>
      </c>
      <c r="M118" s="42">
        <f t="shared" ca="1" si="58"/>
        <v>0</v>
      </c>
      <c r="N118" s="42">
        <f t="shared" ca="1" si="58"/>
        <v>0</v>
      </c>
      <c r="O118" s="42">
        <f t="shared" ca="1" si="53"/>
        <v>0</v>
      </c>
      <c r="P118" s="51">
        <f t="shared" ca="1" si="54"/>
        <v>0</v>
      </c>
      <c r="R118" s="42">
        <f t="shared" ca="1" si="59"/>
        <v>0</v>
      </c>
      <c r="S118" s="42">
        <f t="shared" ca="1" si="59"/>
        <v>0</v>
      </c>
      <c r="T118" s="42">
        <f t="shared" ca="1" si="59"/>
        <v>0</v>
      </c>
      <c r="U118" s="42">
        <f t="shared" ca="1" si="59"/>
        <v>0</v>
      </c>
      <c r="V118" s="42">
        <f t="shared" ca="1" si="59"/>
        <v>0</v>
      </c>
      <c r="W118" s="42">
        <f t="shared" ca="1" si="59"/>
        <v>0</v>
      </c>
      <c r="X118" s="42">
        <f t="shared" ca="1" si="59"/>
        <v>0</v>
      </c>
      <c r="Y118" s="42">
        <f t="shared" ca="1" si="59"/>
        <v>0</v>
      </c>
      <c r="Z118" s="42">
        <f t="shared" ca="1" si="55"/>
        <v>0</v>
      </c>
      <c r="AA118" s="51">
        <f t="shared" ca="1" si="56"/>
        <v>0</v>
      </c>
    </row>
    <row r="119" spans="4:27" ht="12" customHeight="1" x14ac:dyDescent="0.25">
      <c r="D119" s="43">
        <f t="shared" si="57"/>
        <v>108</v>
      </c>
      <c r="E119" s="63">
        <f t="shared" si="51"/>
        <v>27</v>
      </c>
      <c r="F119" s="43">
        <f t="shared" si="52"/>
        <v>92</v>
      </c>
      <c r="G119" s="42">
        <f t="shared" ca="1" si="58"/>
        <v>0</v>
      </c>
      <c r="H119" s="42">
        <f t="shared" ca="1" si="58"/>
        <v>0</v>
      </c>
      <c r="I119" s="42">
        <f t="shared" ca="1" si="58"/>
        <v>0</v>
      </c>
      <c r="J119" s="42">
        <f t="shared" ca="1" si="58"/>
        <v>0</v>
      </c>
      <c r="K119" s="42">
        <f t="shared" ca="1" si="58"/>
        <v>0</v>
      </c>
      <c r="L119" s="42">
        <f t="shared" ca="1" si="58"/>
        <v>0</v>
      </c>
      <c r="M119" s="42">
        <f t="shared" ca="1" si="58"/>
        <v>0</v>
      </c>
      <c r="N119" s="42">
        <f t="shared" ca="1" si="58"/>
        <v>0</v>
      </c>
      <c r="O119" s="42">
        <f t="shared" ca="1" si="53"/>
        <v>0</v>
      </c>
      <c r="P119" s="51">
        <f t="shared" ca="1" si="54"/>
        <v>0</v>
      </c>
      <c r="R119" s="42">
        <f t="shared" ca="1" si="59"/>
        <v>0</v>
      </c>
      <c r="S119" s="42">
        <f t="shared" ca="1" si="59"/>
        <v>0</v>
      </c>
      <c r="T119" s="42">
        <f t="shared" ca="1" si="59"/>
        <v>0</v>
      </c>
      <c r="U119" s="42">
        <f t="shared" ca="1" si="59"/>
        <v>0</v>
      </c>
      <c r="V119" s="42">
        <f t="shared" ca="1" si="59"/>
        <v>0</v>
      </c>
      <c r="W119" s="42">
        <f t="shared" ca="1" si="59"/>
        <v>0</v>
      </c>
      <c r="X119" s="42">
        <f t="shared" ca="1" si="59"/>
        <v>0</v>
      </c>
      <c r="Y119" s="42">
        <f t="shared" ca="1" si="59"/>
        <v>0</v>
      </c>
      <c r="Z119" s="42">
        <f t="shared" ca="1" si="55"/>
        <v>0</v>
      </c>
      <c r="AA119" s="51">
        <f t="shared" ca="1" si="56"/>
        <v>0</v>
      </c>
    </row>
    <row r="120" spans="4:27" ht="12" customHeight="1" x14ac:dyDescent="0.25">
      <c r="D120" s="43">
        <f t="shared" si="57"/>
        <v>109</v>
      </c>
      <c r="E120" s="63">
        <f t="shared" si="51"/>
        <v>27.25</v>
      </c>
      <c r="F120" s="43">
        <f t="shared" si="52"/>
        <v>92.25</v>
      </c>
      <c r="G120" s="42">
        <f t="shared" ca="1" si="58"/>
        <v>0</v>
      </c>
      <c r="H120" s="42">
        <f t="shared" ca="1" si="58"/>
        <v>0</v>
      </c>
      <c r="I120" s="42">
        <f t="shared" ca="1" si="58"/>
        <v>0</v>
      </c>
      <c r="J120" s="42">
        <f t="shared" ca="1" si="58"/>
        <v>0</v>
      </c>
      <c r="K120" s="42">
        <f t="shared" ca="1" si="58"/>
        <v>0</v>
      </c>
      <c r="L120" s="42">
        <f t="shared" ca="1" si="58"/>
        <v>0</v>
      </c>
      <c r="M120" s="42">
        <f t="shared" ca="1" si="58"/>
        <v>0</v>
      </c>
      <c r="N120" s="42">
        <f t="shared" ca="1" si="58"/>
        <v>0</v>
      </c>
      <c r="O120" s="42">
        <f t="shared" ca="1" si="53"/>
        <v>0</v>
      </c>
      <c r="P120" s="51">
        <f t="shared" ca="1" si="54"/>
        <v>0</v>
      </c>
      <c r="R120" s="42">
        <f t="shared" ca="1" si="59"/>
        <v>0</v>
      </c>
      <c r="S120" s="42">
        <f t="shared" ca="1" si="59"/>
        <v>0</v>
      </c>
      <c r="T120" s="42">
        <f t="shared" ca="1" si="59"/>
        <v>0</v>
      </c>
      <c r="U120" s="42">
        <f t="shared" ca="1" si="59"/>
        <v>0</v>
      </c>
      <c r="V120" s="42">
        <f t="shared" ca="1" si="59"/>
        <v>0</v>
      </c>
      <c r="W120" s="42">
        <f t="shared" ca="1" si="59"/>
        <v>0</v>
      </c>
      <c r="X120" s="42">
        <f t="shared" ca="1" si="59"/>
        <v>0</v>
      </c>
      <c r="Y120" s="42">
        <f t="shared" ca="1" si="59"/>
        <v>0</v>
      </c>
      <c r="Z120" s="42">
        <f t="shared" ca="1" si="55"/>
        <v>0</v>
      </c>
      <c r="AA120" s="51">
        <f t="shared" ca="1" si="56"/>
        <v>0</v>
      </c>
    </row>
    <row r="121" spans="4:27" ht="12" customHeight="1" x14ac:dyDescent="0.25">
      <c r="D121" s="43">
        <f t="shared" si="57"/>
        <v>110</v>
      </c>
      <c r="E121" s="63">
        <f t="shared" si="51"/>
        <v>27.5</v>
      </c>
      <c r="F121" s="43">
        <f t="shared" si="52"/>
        <v>92.5</v>
      </c>
      <c r="G121" s="42">
        <f t="shared" ref="G121:N131" ca="1" si="60">AVERAGE(OFFSET(D.Trace.Markov.Root, $D121, (G$2-1)*D.Trace.Markov.NumCols+G$3-1, CHOOSE(swtchHalfCycle, 2, 1)))*G$4</f>
        <v>0</v>
      </c>
      <c r="H121" s="42">
        <f t="shared" ca="1" si="60"/>
        <v>0</v>
      </c>
      <c r="I121" s="42">
        <f t="shared" ca="1" si="60"/>
        <v>0</v>
      </c>
      <c r="J121" s="42">
        <f t="shared" ca="1" si="60"/>
        <v>0</v>
      </c>
      <c r="K121" s="42">
        <f t="shared" ca="1" si="60"/>
        <v>0</v>
      </c>
      <c r="L121" s="42">
        <f t="shared" ca="1" si="60"/>
        <v>0</v>
      </c>
      <c r="M121" s="42">
        <f t="shared" ca="1" si="60"/>
        <v>0</v>
      </c>
      <c r="N121" s="42">
        <f t="shared" ca="1" si="60"/>
        <v>0</v>
      </c>
      <c r="O121" s="42">
        <f t="shared" ca="1" si="53"/>
        <v>0</v>
      </c>
      <c r="P121" s="51">
        <f t="shared" ca="1" si="54"/>
        <v>0</v>
      </c>
      <c r="R121" s="42">
        <f t="shared" ref="R121:Y131" ca="1" si="61">AVERAGE(OFFSET(D.Trace.Markov.Root, $D121, (R$2-1)*D.Trace.Markov.NumCols+R$3-1, CHOOSE(swtchHalfCycle, 2, 1)))*R$4</f>
        <v>0</v>
      </c>
      <c r="S121" s="42">
        <f t="shared" ca="1" si="61"/>
        <v>0</v>
      </c>
      <c r="T121" s="42">
        <f t="shared" ca="1" si="61"/>
        <v>0</v>
      </c>
      <c r="U121" s="42">
        <f t="shared" ca="1" si="61"/>
        <v>0</v>
      </c>
      <c r="V121" s="42">
        <f t="shared" ca="1" si="61"/>
        <v>0</v>
      </c>
      <c r="W121" s="42">
        <f t="shared" ca="1" si="61"/>
        <v>0</v>
      </c>
      <c r="X121" s="42">
        <f t="shared" ca="1" si="61"/>
        <v>0</v>
      </c>
      <c r="Y121" s="42">
        <f t="shared" ca="1" si="61"/>
        <v>0</v>
      </c>
      <c r="Z121" s="42">
        <f t="shared" ca="1" si="55"/>
        <v>0</v>
      </c>
      <c r="AA121" s="51">
        <f t="shared" ca="1" si="56"/>
        <v>0</v>
      </c>
    </row>
    <row r="122" spans="4:27" ht="12" customHeight="1" x14ac:dyDescent="0.25">
      <c r="D122" s="43">
        <f t="shared" si="57"/>
        <v>111</v>
      </c>
      <c r="E122" s="63">
        <f t="shared" si="51"/>
        <v>27.75</v>
      </c>
      <c r="F122" s="43">
        <f t="shared" si="52"/>
        <v>92.75</v>
      </c>
      <c r="G122" s="42">
        <f t="shared" ca="1" si="60"/>
        <v>0</v>
      </c>
      <c r="H122" s="42">
        <f t="shared" ca="1" si="60"/>
        <v>0</v>
      </c>
      <c r="I122" s="42">
        <f t="shared" ca="1" si="60"/>
        <v>0</v>
      </c>
      <c r="J122" s="42">
        <f t="shared" ca="1" si="60"/>
        <v>0</v>
      </c>
      <c r="K122" s="42">
        <f t="shared" ca="1" si="60"/>
        <v>0</v>
      </c>
      <c r="L122" s="42">
        <f t="shared" ca="1" si="60"/>
        <v>0</v>
      </c>
      <c r="M122" s="42">
        <f t="shared" ca="1" si="60"/>
        <v>0</v>
      </c>
      <c r="N122" s="42">
        <f t="shared" ca="1" si="60"/>
        <v>0</v>
      </c>
      <c r="O122" s="42">
        <f t="shared" ca="1" si="53"/>
        <v>0</v>
      </c>
      <c r="P122" s="51">
        <f t="shared" ca="1" si="54"/>
        <v>0</v>
      </c>
      <c r="R122" s="42">
        <f t="shared" ca="1" si="61"/>
        <v>0</v>
      </c>
      <c r="S122" s="42">
        <f t="shared" ca="1" si="61"/>
        <v>0</v>
      </c>
      <c r="T122" s="42">
        <f t="shared" ca="1" si="61"/>
        <v>0</v>
      </c>
      <c r="U122" s="42">
        <f t="shared" ca="1" si="61"/>
        <v>0</v>
      </c>
      <c r="V122" s="42">
        <f t="shared" ca="1" si="61"/>
        <v>0</v>
      </c>
      <c r="W122" s="42">
        <f t="shared" ca="1" si="61"/>
        <v>0</v>
      </c>
      <c r="X122" s="42">
        <f t="shared" ca="1" si="61"/>
        <v>0</v>
      </c>
      <c r="Y122" s="42">
        <f t="shared" ca="1" si="61"/>
        <v>0</v>
      </c>
      <c r="Z122" s="42">
        <f t="shared" ca="1" si="55"/>
        <v>0</v>
      </c>
      <c r="AA122" s="51">
        <f t="shared" ca="1" si="56"/>
        <v>0</v>
      </c>
    </row>
    <row r="123" spans="4:27" ht="12" customHeight="1" x14ac:dyDescent="0.25">
      <c r="D123" s="43">
        <f t="shared" si="57"/>
        <v>112</v>
      </c>
      <c r="E123" s="63">
        <f t="shared" si="51"/>
        <v>28</v>
      </c>
      <c r="F123" s="43">
        <f t="shared" si="52"/>
        <v>93</v>
      </c>
      <c r="G123" s="42">
        <f t="shared" ca="1" si="60"/>
        <v>0</v>
      </c>
      <c r="H123" s="42">
        <f t="shared" ca="1" si="60"/>
        <v>0</v>
      </c>
      <c r="I123" s="42">
        <f t="shared" ca="1" si="60"/>
        <v>0</v>
      </c>
      <c r="J123" s="42">
        <f t="shared" ca="1" si="60"/>
        <v>0</v>
      </c>
      <c r="K123" s="42">
        <f t="shared" ca="1" si="60"/>
        <v>0</v>
      </c>
      <c r="L123" s="42">
        <f t="shared" ca="1" si="60"/>
        <v>0</v>
      </c>
      <c r="M123" s="42">
        <f t="shared" ca="1" si="60"/>
        <v>0</v>
      </c>
      <c r="N123" s="42">
        <f t="shared" ca="1" si="60"/>
        <v>0</v>
      </c>
      <c r="O123" s="42">
        <f t="shared" ca="1" si="53"/>
        <v>0</v>
      </c>
      <c r="P123" s="51">
        <f t="shared" ca="1" si="54"/>
        <v>0</v>
      </c>
      <c r="R123" s="42">
        <f t="shared" ca="1" si="61"/>
        <v>0</v>
      </c>
      <c r="S123" s="42">
        <f t="shared" ca="1" si="61"/>
        <v>0</v>
      </c>
      <c r="T123" s="42">
        <f t="shared" ca="1" si="61"/>
        <v>0</v>
      </c>
      <c r="U123" s="42">
        <f t="shared" ca="1" si="61"/>
        <v>0</v>
      </c>
      <c r="V123" s="42">
        <f t="shared" ca="1" si="61"/>
        <v>0</v>
      </c>
      <c r="W123" s="42">
        <f t="shared" ca="1" si="61"/>
        <v>0</v>
      </c>
      <c r="X123" s="42">
        <f t="shared" ca="1" si="61"/>
        <v>0</v>
      </c>
      <c r="Y123" s="42">
        <f t="shared" ca="1" si="61"/>
        <v>0</v>
      </c>
      <c r="Z123" s="42">
        <f t="shared" ca="1" si="55"/>
        <v>0</v>
      </c>
      <c r="AA123" s="51">
        <f t="shared" ca="1" si="56"/>
        <v>0</v>
      </c>
    </row>
    <row r="124" spans="4:27" ht="12" customHeight="1" x14ac:dyDescent="0.25">
      <c r="D124" s="43">
        <f t="shared" si="57"/>
        <v>113</v>
      </c>
      <c r="E124" s="63">
        <f t="shared" si="51"/>
        <v>28.25</v>
      </c>
      <c r="F124" s="43">
        <f t="shared" si="52"/>
        <v>93.25</v>
      </c>
      <c r="G124" s="42">
        <f t="shared" ca="1" si="60"/>
        <v>0</v>
      </c>
      <c r="H124" s="42">
        <f t="shared" ca="1" si="60"/>
        <v>0</v>
      </c>
      <c r="I124" s="42">
        <f t="shared" ca="1" si="60"/>
        <v>0</v>
      </c>
      <c r="J124" s="42">
        <f t="shared" ca="1" si="60"/>
        <v>0</v>
      </c>
      <c r="K124" s="42">
        <f t="shared" ca="1" si="60"/>
        <v>0</v>
      </c>
      <c r="L124" s="42">
        <f t="shared" ca="1" si="60"/>
        <v>0</v>
      </c>
      <c r="M124" s="42">
        <f t="shared" ca="1" si="60"/>
        <v>0</v>
      </c>
      <c r="N124" s="42">
        <f t="shared" ca="1" si="60"/>
        <v>0</v>
      </c>
      <c r="O124" s="42">
        <f t="shared" ca="1" si="53"/>
        <v>0</v>
      </c>
      <c r="P124" s="51">
        <f t="shared" ca="1" si="54"/>
        <v>0</v>
      </c>
      <c r="R124" s="42">
        <f t="shared" ca="1" si="61"/>
        <v>0</v>
      </c>
      <c r="S124" s="42">
        <f t="shared" ca="1" si="61"/>
        <v>0</v>
      </c>
      <c r="T124" s="42">
        <f t="shared" ca="1" si="61"/>
        <v>0</v>
      </c>
      <c r="U124" s="42">
        <f t="shared" ca="1" si="61"/>
        <v>0</v>
      </c>
      <c r="V124" s="42">
        <f t="shared" ca="1" si="61"/>
        <v>0</v>
      </c>
      <c r="W124" s="42">
        <f t="shared" ca="1" si="61"/>
        <v>0</v>
      </c>
      <c r="X124" s="42">
        <f t="shared" ca="1" si="61"/>
        <v>0</v>
      </c>
      <c r="Y124" s="42">
        <f t="shared" ca="1" si="61"/>
        <v>0</v>
      </c>
      <c r="Z124" s="42">
        <f t="shared" ca="1" si="55"/>
        <v>0</v>
      </c>
      <c r="AA124" s="51">
        <f t="shared" ca="1" si="56"/>
        <v>0</v>
      </c>
    </row>
    <row r="125" spans="4:27" ht="12" customHeight="1" x14ac:dyDescent="0.25">
      <c r="D125" s="43">
        <f t="shared" si="57"/>
        <v>114</v>
      </c>
      <c r="E125" s="63">
        <f t="shared" si="51"/>
        <v>28.5</v>
      </c>
      <c r="F125" s="43">
        <f t="shared" si="52"/>
        <v>93.5</v>
      </c>
      <c r="G125" s="42">
        <f t="shared" ca="1" si="60"/>
        <v>0</v>
      </c>
      <c r="H125" s="42">
        <f t="shared" ca="1" si="60"/>
        <v>0</v>
      </c>
      <c r="I125" s="42">
        <f t="shared" ca="1" si="60"/>
        <v>0</v>
      </c>
      <c r="J125" s="42">
        <f t="shared" ca="1" si="60"/>
        <v>0</v>
      </c>
      <c r="K125" s="42">
        <f t="shared" ca="1" si="60"/>
        <v>0</v>
      </c>
      <c r="L125" s="42">
        <f t="shared" ca="1" si="60"/>
        <v>0</v>
      </c>
      <c r="M125" s="42">
        <f t="shared" ca="1" si="60"/>
        <v>0</v>
      </c>
      <c r="N125" s="42">
        <f t="shared" ca="1" si="60"/>
        <v>0</v>
      </c>
      <c r="O125" s="42">
        <f t="shared" ca="1" si="53"/>
        <v>0</v>
      </c>
      <c r="P125" s="51">
        <f t="shared" ca="1" si="54"/>
        <v>0</v>
      </c>
      <c r="R125" s="42">
        <f t="shared" ca="1" si="61"/>
        <v>0</v>
      </c>
      <c r="S125" s="42">
        <f t="shared" ca="1" si="61"/>
        <v>0</v>
      </c>
      <c r="T125" s="42">
        <f t="shared" ca="1" si="61"/>
        <v>0</v>
      </c>
      <c r="U125" s="42">
        <f t="shared" ca="1" si="61"/>
        <v>0</v>
      </c>
      <c r="V125" s="42">
        <f t="shared" ca="1" si="61"/>
        <v>0</v>
      </c>
      <c r="W125" s="42">
        <f t="shared" ca="1" si="61"/>
        <v>0</v>
      </c>
      <c r="X125" s="42">
        <f t="shared" ca="1" si="61"/>
        <v>0</v>
      </c>
      <c r="Y125" s="42">
        <f t="shared" ca="1" si="61"/>
        <v>0</v>
      </c>
      <c r="Z125" s="42">
        <f t="shared" ca="1" si="55"/>
        <v>0</v>
      </c>
      <c r="AA125" s="51">
        <f t="shared" ca="1" si="56"/>
        <v>0</v>
      </c>
    </row>
    <row r="126" spans="4:27" ht="12" customHeight="1" x14ac:dyDescent="0.25">
      <c r="D126" s="43">
        <f t="shared" si="57"/>
        <v>115</v>
      </c>
      <c r="E126" s="63">
        <f t="shared" si="51"/>
        <v>28.75</v>
      </c>
      <c r="F126" s="43">
        <f t="shared" si="52"/>
        <v>93.75</v>
      </c>
      <c r="G126" s="42">
        <f t="shared" ca="1" si="60"/>
        <v>0</v>
      </c>
      <c r="H126" s="42">
        <f t="shared" ca="1" si="60"/>
        <v>0</v>
      </c>
      <c r="I126" s="42">
        <f t="shared" ca="1" si="60"/>
        <v>0</v>
      </c>
      <c r="J126" s="42">
        <f t="shared" ca="1" si="60"/>
        <v>0</v>
      </c>
      <c r="K126" s="42">
        <f t="shared" ca="1" si="60"/>
        <v>0</v>
      </c>
      <c r="L126" s="42">
        <f t="shared" ca="1" si="60"/>
        <v>0</v>
      </c>
      <c r="M126" s="42">
        <f t="shared" ca="1" si="60"/>
        <v>0</v>
      </c>
      <c r="N126" s="42">
        <f t="shared" ca="1" si="60"/>
        <v>0</v>
      </c>
      <c r="O126" s="42">
        <f t="shared" ca="1" si="53"/>
        <v>0</v>
      </c>
      <c r="P126" s="51">
        <f t="shared" ca="1" si="54"/>
        <v>0</v>
      </c>
      <c r="R126" s="42">
        <f t="shared" ca="1" si="61"/>
        <v>0</v>
      </c>
      <c r="S126" s="42">
        <f t="shared" ca="1" si="61"/>
        <v>0</v>
      </c>
      <c r="T126" s="42">
        <f t="shared" ca="1" si="61"/>
        <v>0</v>
      </c>
      <c r="U126" s="42">
        <f t="shared" ca="1" si="61"/>
        <v>0</v>
      </c>
      <c r="V126" s="42">
        <f t="shared" ca="1" si="61"/>
        <v>0</v>
      </c>
      <c r="W126" s="42">
        <f t="shared" ca="1" si="61"/>
        <v>0</v>
      </c>
      <c r="X126" s="42">
        <f t="shared" ca="1" si="61"/>
        <v>0</v>
      </c>
      <c r="Y126" s="42">
        <f t="shared" ca="1" si="61"/>
        <v>0</v>
      </c>
      <c r="Z126" s="42">
        <f t="shared" ca="1" si="55"/>
        <v>0</v>
      </c>
      <c r="AA126" s="51">
        <f t="shared" ca="1" si="56"/>
        <v>0</v>
      </c>
    </row>
    <row r="127" spans="4:27" ht="12" customHeight="1" x14ac:dyDescent="0.25">
      <c r="D127" s="43">
        <f t="shared" si="57"/>
        <v>116</v>
      </c>
      <c r="E127" s="63">
        <f t="shared" si="51"/>
        <v>29</v>
      </c>
      <c r="F127" s="43">
        <f t="shared" si="52"/>
        <v>94</v>
      </c>
      <c r="G127" s="42">
        <f t="shared" ca="1" si="60"/>
        <v>0</v>
      </c>
      <c r="H127" s="42">
        <f t="shared" ca="1" si="60"/>
        <v>0</v>
      </c>
      <c r="I127" s="42">
        <f t="shared" ca="1" si="60"/>
        <v>0</v>
      </c>
      <c r="J127" s="42">
        <f t="shared" ca="1" si="60"/>
        <v>0</v>
      </c>
      <c r="K127" s="42">
        <f t="shared" ca="1" si="60"/>
        <v>0</v>
      </c>
      <c r="L127" s="42">
        <f t="shared" ca="1" si="60"/>
        <v>0</v>
      </c>
      <c r="M127" s="42">
        <f t="shared" ca="1" si="60"/>
        <v>0</v>
      </c>
      <c r="N127" s="42">
        <f t="shared" ca="1" si="60"/>
        <v>0</v>
      </c>
      <c r="O127" s="42">
        <f t="shared" ca="1" si="53"/>
        <v>0</v>
      </c>
      <c r="P127" s="51">
        <f t="shared" ca="1" si="54"/>
        <v>0</v>
      </c>
      <c r="R127" s="42">
        <f t="shared" ca="1" si="61"/>
        <v>0</v>
      </c>
      <c r="S127" s="42">
        <f t="shared" ca="1" si="61"/>
        <v>0</v>
      </c>
      <c r="T127" s="42">
        <f t="shared" ca="1" si="61"/>
        <v>0</v>
      </c>
      <c r="U127" s="42">
        <f t="shared" ca="1" si="61"/>
        <v>0</v>
      </c>
      <c r="V127" s="42">
        <f t="shared" ca="1" si="61"/>
        <v>0</v>
      </c>
      <c r="W127" s="42">
        <f t="shared" ca="1" si="61"/>
        <v>0</v>
      </c>
      <c r="X127" s="42">
        <f t="shared" ca="1" si="61"/>
        <v>0</v>
      </c>
      <c r="Y127" s="42">
        <f t="shared" ca="1" si="61"/>
        <v>0</v>
      </c>
      <c r="Z127" s="42">
        <f t="shared" ca="1" si="55"/>
        <v>0</v>
      </c>
      <c r="AA127" s="51">
        <f t="shared" ca="1" si="56"/>
        <v>0</v>
      </c>
    </row>
    <row r="128" spans="4:27" ht="12" customHeight="1" x14ac:dyDescent="0.25">
      <c r="D128" s="43">
        <f t="shared" si="57"/>
        <v>117</v>
      </c>
      <c r="E128" s="63">
        <f t="shared" si="51"/>
        <v>29.25</v>
      </c>
      <c r="F128" s="43">
        <f t="shared" si="52"/>
        <v>94.25</v>
      </c>
      <c r="G128" s="42">
        <f t="shared" ca="1" si="60"/>
        <v>0</v>
      </c>
      <c r="H128" s="42">
        <f t="shared" ca="1" si="60"/>
        <v>0</v>
      </c>
      <c r="I128" s="42">
        <f t="shared" ca="1" si="60"/>
        <v>0</v>
      </c>
      <c r="J128" s="42">
        <f t="shared" ca="1" si="60"/>
        <v>0</v>
      </c>
      <c r="K128" s="42">
        <f t="shared" ca="1" si="60"/>
        <v>0</v>
      </c>
      <c r="L128" s="42">
        <f t="shared" ca="1" si="60"/>
        <v>0</v>
      </c>
      <c r="M128" s="42">
        <f t="shared" ca="1" si="60"/>
        <v>0</v>
      </c>
      <c r="N128" s="42">
        <f t="shared" ca="1" si="60"/>
        <v>0</v>
      </c>
      <c r="O128" s="42">
        <f t="shared" ca="1" si="53"/>
        <v>0</v>
      </c>
      <c r="P128" s="51">
        <f t="shared" ca="1" si="54"/>
        <v>0</v>
      </c>
      <c r="R128" s="42">
        <f t="shared" ca="1" si="61"/>
        <v>0</v>
      </c>
      <c r="S128" s="42">
        <f t="shared" ca="1" si="61"/>
        <v>0</v>
      </c>
      <c r="T128" s="42">
        <f t="shared" ca="1" si="61"/>
        <v>0</v>
      </c>
      <c r="U128" s="42">
        <f t="shared" ca="1" si="61"/>
        <v>0</v>
      </c>
      <c r="V128" s="42">
        <f t="shared" ca="1" si="61"/>
        <v>0</v>
      </c>
      <c r="W128" s="42">
        <f t="shared" ca="1" si="61"/>
        <v>0</v>
      </c>
      <c r="X128" s="42">
        <f t="shared" ca="1" si="61"/>
        <v>0</v>
      </c>
      <c r="Y128" s="42">
        <f t="shared" ca="1" si="61"/>
        <v>0</v>
      </c>
      <c r="Z128" s="42">
        <f t="shared" ca="1" si="55"/>
        <v>0</v>
      </c>
      <c r="AA128" s="51">
        <f t="shared" ca="1" si="56"/>
        <v>0</v>
      </c>
    </row>
    <row r="129" spans="4:27" ht="12" customHeight="1" x14ac:dyDescent="0.25">
      <c r="D129" s="43">
        <f t="shared" si="57"/>
        <v>118</v>
      </c>
      <c r="E129" s="63">
        <f t="shared" si="51"/>
        <v>29.5</v>
      </c>
      <c r="F129" s="43">
        <f t="shared" si="52"/>
        <v>94.5</v>
      </c>
      <c r="G129" s="42">
        <f t="shared" ca="1" si="60"/>
        <v>0</v>
      </c>
      <c r="H129" s="42">
        <f t="shared" ca="1" si="60"/>
        <v>0</v>
      </c>
      <c r="I129" s="42">
        <f t="shared" ca="1" si="60"/>
        <v>0</v>
      </c>
      <c r="J129" s="42">
        <f t="shared" ca="1" si="60"/>
        <v>0</v>
      </c>
      <c r="K129" s="42">
        <f t="shared" ca="1" si="60"/>
        <v>0</v>
      </c>
      <c r="L129" s="42">
        <f t="shared" ca="1" si="60"/>
        <v>0</v>
      </c>
      <c r="M129" s="42">
        <f t="shared" ca="1" si="60"/>
        <v>0</v>
      </c>
      <c r="N129" s="42">
        <f t="shared" ca="1" si="60"/>
        <v>0</v>
      </c>
      <c r="O129" s="42">
        <f t="shared" ca="1" si="53"/>
        <v>0</v>
      </c>
      <c r="P129" s="51">
        <f t="shared" ca="1" si="54"/>
        <v>0</v>
      </c>
      <c r="R129" s="42">
        <f t="shared" ca="1" si="61"/>
        <v>0</v>
      </c>
      <c r="S129" s="42">
        <f t="shared" ca="1" si="61"/>
        <v>0</v>
      </c>
      <c r="T129" s="42">
        <f t="shared" ca="1" si="61"/>
        <v>0</v>
      </c>
      <c r="U129" s="42">
        <f t="shared" ca="1" si="61"/>
        <v>0</v>
      </c>
      <c r="V129" s="42">
        <f t="shared" ca="1" si="61"/>
        <v>0</v>
      </c>
      <c r="W129" s="42">
        <f t="shared" ca="1" si="61"/>
        <v>0</v>
      </c>
      <c r="X129" s="42">
        <f t="shared" ca="1" si="61"/>
        <v>0</v>
      </c>
      <c r="Y129" s="42">
        <f t="shared" ca="1" si="61"/>
        <v>0</v>
      </c>
      <c r="Z129" s="42">
        <f t="shared" ca="1" si="55"/>
        <v>0</v>
      </c>
      <c r="AA129" s="51">
        <f t="shared" ca="1" si="56"/>
        <v>0</v>
      </c>
    </row>
    <row r="130" spans="4:27" ht="12" customHeight="1" x14ac:dyDescent="0.25">
      <c r="D130" s="43">
        <f t="shared" si="57"/>
        <v>119</v>
      </c>
      <c r="E130" s="63">
        <f t="shared" si="51"/>
        <v>29.75</v>
      </c>
      <c r="F130" s="43">
        <f t="shared" si="52"/>
        <v>94.75</v>
      </c>
      <c r="G130" s="42">
        <f t="shared" ca="1" si="60"/>
        <v>0</v>
      </c>
      <c r="H130" s="42">
        <f t="shared" ca="1" si="60"/>
        <v>0</v>
      </c>
      <c r="I130" s="42">
        <f t="shared" ca="1" si="60"/>
        <v>0</v>
      </c>
      <c r="J130" s="42">
        <f t="shared" ca="1" si="60"/>
        <v>0</v>
      </c>
      <c r="K130" s="42">
        <f t="shared" ca="1" si="60"/>
        <v>0</v>
      </c>
      <c r="L130" s="42">
        <f t="shared" ca="1" si="60"/>
        <v>0</v>
      </c>
      <c r="M130" s="42">
        <f t="shared" ca="1" si="60"/>
        <v>0</v>
      </c>
      <c r="N130" s="42">
        <f t="shared" ca="1" si="60"/>
        <v>0</v>
      </c>
      <c r="O130" s="42">
        <f t="shared" ca="1" si="53"/>
        <v>0</v>
      </c>
      <c r="P130" s="51">
        <f t="shared" ca="1" si="54"/>
        <v>0</v>
      </c>
      <c r="R130" s="42">
        <f t="shared" ca="1" si="61"/>
        <v>0</v>
      </c>
      <c r="S130" s="42">
        <f t="shared" ca="1" si="61"/>
        <v>0</v>
      </c>
      <c r="T130" s="42">
        <f t="shared" ca="1" si="61"/>
        <v>0</v>
      </c>
      <c r="U130" s="42">
        <f t="shared" ca="1" si="61"/>
        <v>0</v>
      </c>
      <c r="V130" s="42">
        <f t="shared" ca="1" si="61"/>
        <v>0</v>
      </c>
      <c r="W130" s="42">
        <f t="shared" ca="1" si="61"/>
        <v>0</v>
      </c>
      <c r="X130" s="42">
        <f t="shared" ca="1" si="61"/>
        <v>0</v>
      </c>
      <c r="Y130" s="42">
        <f t="shared" ca="1" si="61"/>
        <v>0</v>
      </c>
      <c r="Z130" s="42">
        <f t="shared" ca="1" si="55"/>
        <v>0</v>
      </c>
      <c r="AA130" s="51">
        <f t="shared" ca="1" si="56"/>
        <v>0</v>
      </c>
    </row>
    <row r="131" spans="4:27" ht="12" customHeight="1" x14ac:dyDescent="0.25">
      <c r="D131" s="43">
        <f t="shared" si="57"/>
        <v>120</v>
      </c>
      <c r="E131" s="63">
        <f t="shared" si="51"/>
        <v>30</v>
      </c>
      <c r="F131" s="43">
        <f t="shared" si="52"/>
        <v>95</v>
      </c>
      <c r="G131" s="42">
        <f t="shared" ca="1" si="60"/>
        <v>0</v>
      </c>
      <c r="H131" s="42">
        <f t="shared" ca="1" si="60"/>
        <v>0</v>
      </c>
      <c r="I131" s="42">
        <f t="shared" ca="1" si="60"/>
        <v>0</v>
      </c>
      <c r="J131" s="42">
        <f t="shared" ca="1" si="60"/>
        <v>0</v>
      </c>
      <c r="K131" s="42">
        <f t="shared" ca="1" si="60"/>
        <v>0</v>
      </c>
      <c r="L131" s="42">
        <f t="shared" ca="1" si="60"/>
        <v>0</v>
      </c>
      <c r="M131" s="42">
        <f t="shared" ca="1" si="60"/>
        <v>0</v>
      </c>
      <c r="N131" s="42">
        <f t="shared" ca="1" si="60"/>
        <v>0</v>
      </c>
      <c r="O131" s="42">
        <f t="shared" ca="1" si="53"/>
        <v>0</v>
      </c>
      <c r="P131" s="51">
        <f t="shared" ca="1" si="54"/>
        <v>0</v>
      </c>
      <c r="R131" s="42">
        <f t="shared" ca="1" si="61"/>
        <v>0</v>
      </c>
      <c r="S131" s="42">
        <f t="shared" ca="1" si="61"/>
        <v>0</v>
      </c>
      <c r="T131" s="42">
        <f t="shared" ca="1" si="61"/>
        <v>0</v>
      </c>
      <c r="U131" s="42">
        <f t="shared" ca="1" si="61"/>
        <v>0</v>
      </c>
      <c r="V131" s="42">
        <f t="shared" ca="1" si="61"/>
        <v>0</v>
      </c>
      <c r="W131" s="42">
        <f t="shared" ca="1" si="61"/>
        <v>0</v>
      </c>
      <c r="X131" s="42">
        <f t="shared" ca="1" si="61"/>
        <v>0</v>
      </c>
      <c r="Y131" s="42">
        <f t="shared" ca="1" si="61"/>
        <v>0</v>
      </c>
      <c r="Z131" s="42">
        <f t="shared" ca="1" si="55"/>
        <v>0</v>
      </c>
      <c r="AA131" s="51">
        <f t="shared" ca="1" si="56"/>
        <v>0</v>
      </c>
    </row>
  </sheetData>
  <mergeCells count="25">
    <mergeCell ref="E7:E10"/>
    <mergeCell ref="D7:D10"/>
    <mergeCell ref="F7:F10"/>
    <mergeCell ref="G7:P7"/>
    <mergeCell ref="G8:G10"/>
    <mergeCell ref="H8:H10"/>
    <mergeCell ref="P8:P10"/>
    <mergeCell ref="I8:I10"/>
    <mergeCell ref="J8:J10"/>
    <mergeCell ref="K8:K10"/>
    <mergeCell ref="L8:L10"/>
    <mergeCell ref="M8:M10"/>
    <mergeCell ref="O8:O10"/>
    <mergeCell ref="N8:N10"/>
    <mergeCell ref="R7:AA7"/>
    <mergeCell ref="R8:R10"/>
    <mergeCell ref="Z8:Z10"/>
    <mergeCell ref="AA8:AA10"/>
    <mergeCell ref="X8:X10"/>
    <mergeCell ref="Y8:Y10"/>
    <mergeCell ref="S8:S10"/>
    <mergeCell ref="T8:T10"/>
    <mergeCell ref="U8:U10"/>
    <mergeCell ref="V8:V10"/>
    <mergeCell ref="W8:W10"/>
  </mergeCells>
  <pageMargins left="0.7" right="0.7" top="0.75" bottom="0.75" header="0.3" footer="0.3"/>
  <pageSetup paperSize="9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tTPMs">
    <tabColor rgb="FF663300"/>
  </sheetPr>
  <dimension ref="A1:AN56"/>
  <sheetViews>
    <sheetView workbookViewId="0">
      <pane xSplit="11" ySplit="7" topLeftCell="L8" activePane="bottomRight" state="frozen"/>
      <selection activeCell="H12" sqref="H12"/>
      <selection pane="topRight" activeCell="H12" sqref="H12"/>
      <selection pane="bottomLeft" activeCell="H12" sqref="H12"/>
      <selection pane="bottomRight" activeCell="L8" sqref="L8"/>
    </sheetView>
  </sheetViews>
  <sheetFormatPr defaultRowHeight="12" customHeight="1" x14ac:dyDescent="0.25"/>
  <cols>
    <col min="1" max="1" width="1.7109375" style="374" customWidth="1"/>
    <col min="2" max="2" width="19.7109375" style="374" customWidth="1"/>
    <col min="3" max="3" width="1.7109375" style="377" customWidth="1"/>
    <col min="4" max="6" width="9.140625" hidden="1" customWidth="1"/>
    <col min="7" max="7" width="9.140625" customWidth="1"/>
    <col min="8" max="10" width="10.5703125" customWidth="1"/>
    <col min="11" max="11" width="9.140625" hidden="1" customWidth="1"/>
    <col min="12" max="23" width="8.85546875" customWidth="1"/>
    <col min="24" max="24" width="8.85546875" hidden="1" customWidth="1"/>
    <col min="25" max="25" width="8.85546875" customWidth="1"/>
    <col min="26" max="26" width="2.7109375" customWidth="1"/>
    <col min="39" max="39" width="0" hidden="1" customWidth="1"/>
  </cols>
  <sheetData>
    <row r="1" spans="1:40" s="375" customFormat="1" ht="24.95" customHeight="1" thickBot="1" x14ac:dyDescent="0.3">
      <c r="A1" s="373"/>
      <c r="B1" s="374"/>
      <c r="C1" s="373"/>
      <c r="G1" s="375" t="str" cm="1">
        <f t="array" ref="G1">K.zWorkbookTitle</f>
        <v>Camacho et al. (2024) Harms of hazardous prescribing of NSAIDs -- E: NSAIDs - CKD</v>
      </c>
    </row>
    <row r="2" spans="1:40" ht="12" hidden="1" customHeight="1" thickTop="1" thickBot="1" x14ac:dyDescent="0.3">
      <c r="A2" s="373"/>
      <c r="C2" s="376"/>
      <c r="J2" s="124" t="s">
        <v>79</v>
      </c>
      <c r="L2">
        <v>1</v>
      </c>
      <c r="M2">
        <f t="shared" ref="M2:W2" si="0">L2+1</f>
        <v>2</v>
      </c>
      <c r="N2">
        <f t="shared" si="0"/>
        <v>3</v>
      </c>
      <c r="O2">
        <f t="shared" si="0"/>
        <v>4</v>
      </c>
      <c r="P2">
        <f t="shared" si="0"/>
        <v>5</v>
      </c>
      <c r="Q2">
        <f t="shared" si="0"/>
        <v>6</v>
      </c>
      <c r="R2">
        <f t="shared" si="0"/>
        <v>7</v>
      </c>
      <c r="S2">
        <f t="shared" si="0"/>
        <v>8</v>
      </c>
      <c r="T2">
        <f t="shared" si="0"/>
        <v>9</v>
      </c>
      <c r="U2">
        <f t="shared" si="0"/>
        <v>10</v>
      </c>
      <c r="V2">
        <f t="shared" si="0"/>
        <v>11</v>
      </c>
      <c r="W2">
        <f t="shared" si="0"/>
        <v>12</v>
      </c>
      <c r="AA2">
        <v>1</v>
      </c>
      <c r="AB2">
        <f t="shared" ref="AB2:AL2" si="1">AA2+1</f>
        <v>2</v>
      </c>
      <c r="AC2">
        <f t="shared" si="1"/>
        <v>3</v>
      </c>
      <c r="AD2">
        <f t="shared" si="1"/>
        <v>4</v>
      </c>
      <c r="AE2">
        <f t="shared" si="1"/>
        <v>5</v>
      </c>
      <c r="AF2">
        <f t="shared" si="1"/>
        <v>6</v>
      </c>
      <c r="AG2">
        <f t="shared" si="1"/>
        <v>7</v>
      </c>
      <c r="AH2">
        <f t="shared" si="1"/>
        <v>8</v>
      </c>
      <c r="AI2">
        <f t="shared" si="1"/>
        <v>9</v>
      </c>
      <c r="AJ2">
        <f t="shared" si="1"/>
        <v>10</v>
      </c>
      <c r="AK2">
        <f t="shared" si="1"/>
        <v>11</v>
      </c>
      <c r="AL2">
        <f t="shared" si="1"/>
        <v>12</v>
      </c>
    </row>
    <row r="3" spans="1:40" ht="12" customHeight="1" thickTop="1" thickBot="1" x14ac:dyDescent="0.3">
      <c r="A3" s="373"/>
      <c r="C3" s="376"/>
      <c r="L3" s="91" t="s">
        <v>140</v>
      </c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AA3" s="91" t="s">
        <v>141</v>
      </c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</row>
    <row r="4" spans="1:40" ht="12" customHeight="1" thickBot="1" x14ac:dyDescent="0.3">
      <c r="A4" s="373"/>
      <c r="C4" s="376"/>
      <c r="E4" s="534"/>
      <c r="G4" s="456" t="s">
        <v>30</v>
      </c>
      <c r="H4" s="120"/>
      <c r="I4" s="114"/>
      <c r="J4" s="122" t="s">
        <v>83</v>
      </c>
      <c r="L4" s="456" t="str" cm="1">
        <f t="array" aca="1" ref="L4" ca="1">INDEX(K.rngStates, L$2)</f>
        <v>No event no NSAID</v>
      </c>
      <c r="M4" s="456" t="str" cm="1">
        <f t="array" aca="1" ref="M4" ca="1">INDEX(K.rngStates, M$2)</f>
        <v>No event + NSAID</v>
      </c>
      <c r="N4" s="456" t="str" cm="1">
        <f t="array" aca="1" ref="N4" ca="1">INDEX(K.rngStates, N$2)</f>
        <v>Primary care AKI</v>
      </c>
      <c r="O4" s="456" t="str" cm="1">
        <f t="array" aca="1" ref="O4" ca="1">INDEX(K.rngStates, O$2)</f>
        <v>Secondary care AKI (no RRT)</v>
      </c>
      <c r="P4" s="456" t="str" cm="1">
        <f t="array" aca="1" ref="P4" ca="1">INDEX(K.rngStates, P$2)</f>
        <v>Secondary care AKI (with RRT)</v>
      </c>
      <c r="Q4" s="456" t="str" cm="1">
        <f t="array" aca="1" ref="Q4" ca="1">INDEX(K.rngStates, Q$2)</f>
        <v>Post-event CKD stage 3b-4</v>
      </c>
      <c r="R4" s="456" t="str" cm="1">
        <f t="array" aca="1" ref="R4" ca="1">INDEX(K.rngStates, R$2)</f>
        <v>ESRD</v>
      </c>
      <c r="S4" s="456" t="str" cm="1">
        <f t="array" aca="1" ref="S4" ca="1">INDEX(K.rngStates, S$2)</f>
        <v>ESRD+RRT</v>
      </c>
      <c r="T4" s="456" t="str" cm="1">
        <f t="array" aca="1" ref="T4" ca="1">INDEX(K.rngStates, T$2)</f>
        <v>Transplant</v>
      </c>
      <c r="U4" s="456" t="str" cm="1">
        <f t="array" aca="1" ref="U4" ca="1">INDEX(K.rngStates, U$2)</f>
        <v>Post-transplant</v>
      </c>
      <c r="V4" s="456" t="str" cm="1">
        <f t="array" aca="1" ref="V4" ca="1">INDEX(K.rngStates, V$2)</f>
        <v>Dead (AKI)</v>
      </c>
      <c r="W4" s="456" t="str" cm="1">
        <f t="array" aca="1" ref="W4" ca="1">INDEX(K.rngStates, W$2)</f>
        <v>Dead (other)</v>
      </c>
      <c r="X4" s="456"/>
      <c r="Y4" s="456" t="s">
        <v>35</v>
      </c>
      <c r="AA4" s="456" t="str" cm="1">
        <f t="array" aca="1" ref="AA4" ca="1">INDEX(K.rngStates, AA$2)</f>
        <v>No event no NSAID</v>
      </c>
      <c r="AB4" s="456" t="str" cm="1">
        <f t="array" aca="1" ref="AB4" ca="1">INDEX(K.rngStates, AB$2)</f>
        <v>No event + NSAID</v>
      </c>
      <c r="AC4" s="456" t="str" cm="1">
        <f t="array" aca="1" ref="AC4" ca="1">INDEX(K.rngStates, AC$2)</f>
        <v>Primary care AKI</v>
      </c>
      <c r="AD4" s="456" t="str" cm="1">
        <f t="array" aca="1" ref="AD4" ca="1">INDEX(K.rngStates, AD$2)</f>
        <v>Secondary care AKI (no RRT)</v>
      </c>
      <c r="AE4" s="456" t="str" cm="1">
        <f t="array" aca="1" ref="AE4" ca="1">INDEX(K.rngStates, AE$2)</f>
        <v>Secondary care AKI (with RRT)</v>
      </c>
      <c r="AF4" s="456" t="str" cm="1">
        <f t="array" aca="1" ref="AF4" ca="1">INDEX(K.rngStates, AF$2)</f>
        <v>Post-event CKD stage 3b-4</v>
      </c>
      <c r="AG4" s="456" t="str" cm="1">
        <f t="array" aca="1" ref="AG4" ca="1">INDEX(K.rngStates, AG$2)</f>
        <v>ESRD</v>
      </c>
      <c r="AH4" s="456" t="str" cm="1">
        <f t="array" aca="1" ref="AH4" ca="1">INDEX(K.rngStates, AH$2)</f>
        <v>ESRD+RRT</v>
      </c>
      <c r="AI4" s="456" t="str" cm="1">
        <f t="array" aca="1" ref="AI4" ca="1">INDEX(K.rngStates, AI$2)</f>
        <v>Transplant</v>
      </c>
      <c r="AJ4" s="456" t="str" cm="1">
        <f t="array" aca="1" ref="AJ4" ca="1">INDEX(K.rngStates, AJ$2)</f>
        <v>Post-transplant</v>
      </c>
      <c r="AK4" s="456" t="str" cm="1">
        <f t="array" aca="1" ref="AK4" ca="1">INDEX(K.rngStates, AK$2)</f>
        <v>Dead (AKI)</v>
      </c>
      <c r="AL4" s="456" t="str" cm="1">
        <f t="array" aca="1" ref="AL4" ca="1">INDEX(K.rngStates, AL$2)</f>
        <v>Dead (other)</v>
      </c>
      <c r="AM4" s="456"/>
      <c r="AN4" s="456" t="s">
        <v>35</v>
      </c>
    </row>
    <row r="5" spans="1:40" ht="12" customHeight="1" thickBot="1" x14ac:dyDescent="0.3">
      <c r="A5" s="373"/>
      <c r="C5" s="376"/>
      <c r="E5" s="534"/>
      <c r="G5" s="456"/>
      <c r="H5" s="115"/>
      <c r="I5" s="119"/>
      <c r="J5" s="117"/>
      <c r="L5" s="456"/>
      <c r="M5" s="456"/>
      <c r="N5" s="456"/>
      <c r="O5" s="456"/>
      <c r="P5" s="456"/>
      <c r="Q5" s="456"/>
      <c r="R5" s="456"/>
      <c r="S5" s="456"/>
      <c r="T5" s="456"/>
      <c r="U5" s="456"/>
      <c r="V5" s="456"/>
      <c r="W5" s="456"/>
      <c r="X5" s="456"/>
      <c r="Y5" s="456"/>
      <c r="AA5" s="456"/>
      <c r="AB5" s="456"/>
      <c r="AC5" s="456"/>
      <c r="AD5" s="456"/>
      <c r="AE5" s="456"/>
      <c r="AF5" s="456"/>
      <c r="AG5" s="456"/>
      <c r="AH5" s="456"/>
      <c r="AI5" s="456"/>
      <c r="AJ5" s="456"/>
      <c r="AK5" s="456"/>
      <c r="AL5" s="456"/>
      <c r="AM5" s="456"/>
      <c r="AN5" s="456"/>
    </row>
    <row r="6" spans="1:40" ht="12" customHeight="1" thickBot="1" x14ac:dyDescent="0.3">
      <c r="A6" s="373"/>
      <c r="C6" s="376"/>
      <c r="E6" s="534"/>
      <c r="G6" s="456"/>
      <c r="H6" s="121" t="s">
        <v>84</v>
      </c>
      <c r="I6" s="113"/>
      <c r="J6" s="118"/>
      <c r="L6" s="456"/>
      <c r="M6" s="456"/>
      <c r="N6" s="456"/>
      <c r="O6" s="456"/>
      <c r="P6" s="456"/>
      <c r="Q6" s="456"/>
      <c r="R6" s="456"/>
      <c r="S6" s="456"/>
      <c r="T6" s="456"/>
      <c r="U6" s="456"/>
      <c r="V6" s="456"/>
      <c r="W6" s="456"/>
      <c r="X6" s="456"/>
      <c r="Y6" s="456"/>
      <c r="AA6" s="456"/>
      <c r="AB6" s="456"/>
      <c r="AC6" s="456"/>
      <c r="AD6" s="456"/>
      <c r="AE6" s="456"/>
      <c r="AF6" s="456"/>
      <c r="AG6" s="456"/>
      <c r="AH6" s="456"/>
      <c r="AI6" s="456"/>
      <c r="AJ6" s="456"/>
      <c r="AK6" s="456"/>
      <c r="AL6" s="456"/>
      <c r="AM6" s="456"/>
      <c r="AN6" s="456"/>
    </row>
    <row r="7" spans="1:40" ht="12" hidden="1" customHeight="1" thickBot="1" x14ac:dyDescent="0.3">
      <c r="A7" s="373"/>
      <c r="C7" s="376"/>
    </row>
    <row r="8" spans="1:40" ht="12" customHeight="1" thickBot="1" x14ac:dyDescent="0.3">
      <c r="A8" s="373"/>
      <c r="C8" s="376"/>
      <c r="D8">
        <v>1</v>
      </c>
      <c r="E8">
        <v>70</v>
      </c>
      <c r="F8" t="s">
        <v>274</v>
      </c>
      <c r="G8" s="112" t="str">
        <f>E8&amp;"-"&amp;E8+4</f>
        <v>70-74</v>
      </c>
      <c r="H8" s="110" t="str" cm="1">
        <f t="array" aca="1" ref="H8" ca="1">INDEX(K.rngStates, $D8)</f>
        <v>No event no NSAID</v>
      </c>
      <c r="I8" s="112"/>
      <c r="J8" s="110"/>
      <c r="L8" s="130">
        <f>1-SUM(K8:K8, M8:X8)</f>
        <v>0.9531536679855882</v>
      </c>
      <c r="M8" s="123">
        <v>0</v>
      </c>
      <c r="N8" s="123">
        <f>INDEX(E.rngP.AKI.Primary_noNSAIDs, MATCH($E8, Parameters!$D$833:$D$836, 1))</f>
        <v>1.6260382266071995E-2</v>
      </c>
      <c r="O8" s="123">
        <f>INDEX(E.rngP.AKI.Secondary.noRRT_noNSAIDs, MATCH($E8, Parameters!$D$833:$D$836, 1))</f>
        <v>6.6997177482441637E-3</v>
      </c>
      <c r="P8" s="123">
        <f>INDEX(E.rngP.AKI.Secondary.wRRT_noNSAIDs, MATCH($E8, Parameters!$D$833:$D$836, 1))</f>
        <v>5.715675197967145E-4</v>
      </c>
      <c r="Q8" s="123">
        <v>0</v>
      </c>
      <c r="R8" s="123">
        <f>E.pCKD5.from3B_4</f>
        <v>6.7082846410596586E-3</v>
      </c>
      <c r="S8" s="123">
        <f>E.pCKD5D.from3B_4</f>
        <v>9.1998312635980239E-3</v>
      </c>
      <c r="T8" s="123">
        <v>0</v>
      </c>
      <c r="U8" s="123">
        <v>0</v>
      </c>
      <c r="V8" s="123">
        <v>0</v>
      </c>
      <c r="W8" s="123">
        <f>SUMIFS(Parameters!$M$891:$M$913, Parameters!$D$891:$D$913, $E8, Parameters!$E$891:$E$913, $F8)</f>
        <v>7.4065485756412697E-3</v>
      </c>
      <c r="X8" s="131"/>
      <c r="Y8" s="132">
        <f>SUM(L8:W8)</f>
        <v>1</v>
      </c>
      <c r="Z8" s="131"/>
      <c r="AA8" s="130">
        <f>1-SUM(Z8:Z8, AB8:AM8)</f>
        <v>0.9531536679855882</v>
      </c>
      <c r="AB8" s="123">
        <v>0</v>
      </c>
      <c r="AC8" s="123">
        <f>INDEX(E.rngP.AKI.Primary_noNSAIDs, MATCH($E8, Parameters!$D$833:$D$836, 1))</f>
        <v>1.6260382266071995E-2</v>
      </c>
      <c r="AD8" s="123">
        <f>INDEX(E.rngP.AKI.Secondary.noRRT_noNSAIDs, MATCH($E8, Parameters!$D$833:$D$836, 1))</f>
        <v>6.6997177482441637E-3</v>
      </c>
      <c r="AE8" s="123">
        <f>INDEX(E.rngP.AKI.Secondary.wRRT_noNSAIDs, MATCH($E8, Parameters!$D$833:$D$836, 1))</f>
        <v>5.715675197967145E-4</v>
      </c>
      <c r="AF8" s="123">
        <v>0</v>
      </c>
      <c r="AG8" s="123">
        <f>E.pCKD5.from3B_4</f>
        <v>6.7082846410596586E-3</v>
      </c>
      <c r="AH8" s="123">
        <f>E.pCKD5D.from3B_4</f>
        <v>9.1998312635980239E-3</v>
      </c>
      <c r="AI8" s="123">
        <v>0</v>
      </c>
      <c r="AJ8" s="123">
        <v>0</v>
      </c>
      <c r="AK8" s="123">
        <v>0</v>
      </c>
      <c r="AL8" s="123">
        <f>SUMIFS(Parameters!$M$891:$M$913, Parameters!$D$891:$D$913, $E8, Parameters!$E$891:$E$913, $F8)</f>
        <v>7.4065485756412697E-3</v>
      </c>
      <c r="AM8" s="131"/>
      <c r="AN8" s="132">
        <f>SUM(AA8:AL8)</f>
        <v>1</v>
      </c>
    </row>
    <row r="9" spans="1:40" ht="12" customHeight="1" thickBot="1" x14ac:dyDescent="0.3">
      <c r="A9" s="373"/>
      <c r="C9" s="376"/>
      <c r="D9">
        <f>D8+1</f>
        <v>2</v>
      </c>
      <c r="E9">
        <v>70</v>
      </c>
      <c r="F9" t="s">
        <v>274</v>
      </c>
      <c r="G9" s="112" t="str">
        <f t="shared" ref="G9:G18" si="2">E9&amp;"-"&amp;E9+4</f>
        <v>70-74</v>
      </c>
      <c r="H9" s="110" t="str" cm="1">
        <f t="array" aca="1" ref="H9" ca="1">INDEX(K.rngStates, $D9)</f>
        <v>No event + NSAID</v>
      </c>
      <c r="I9" s="112"/>
      <c r="J9" s="110"/>
      <c r="L9" s="123">
        <v>0</v>
      </c>
      <c r="M9" s="130">
        <f>1-SUM(K9:L9, N9:X9)</f>
        <v>0.93864371192941909</v>
      </c>
      <c r="N9" s="123">
        <f>INDEX(E.rngP.AKI.Primary_wNSAIDs, MATCH($E9, Parameters!$D$833:$D$836, 1))</f>
        <v>2.6235663881752816E-2</v>
      </c>
      <c r="O9" s="123">
        <f>INDEX(E.rngP.AKI.Secondary.noRRT_wNSAIDs, MATCH($E9, Parameters!$D$833:$D$836, 1))</f>
        <v>1.0874640007878062E-2</v>
      </c>
      <c r="P9" s="123">
        <f>INDEX(E.rngP.AKI.Secondary.wRRT_wNSAIDs, MATCH($E9, Parameters!$D$833:$D$836, 1))</f>
        <v>9.3131970065103806E-4</v>
      </c>
      <c r="Q9" s="123">
        <v>0</v>
      </c>
      <c r="R9" s="123">
        <f>E.pCKD5.from3B_4</f>
        <v>6.7082846410596586E-3</v>
      </c>
      <c r="S9" s="123">
        <f>E.pCKD5D.from3B_4</f>
        <v>9.1998312635980239E-3</v>
      </c>
      <c r="T9" s="123">
        <v>0</v>
      </c>
      <c r="U9" s="123">
        <v>0</v>
      </c>
      <c r="V9" s="123">
        <v>0</v>
      </c>
      <c r="W9" s="123">
        <f>SUMIFS(Parameters!$M$891:$M$913, Parameters!$D$891:$D$913, $E9, Parameters!$E$891:$E$913, $F9)</f>
        <v>7.4065485756412697E-3</v>
      </c>
      <c r="X9" s="131"/>
      <c r="Y9" s="132">
        <f t="shared" ref="Y9:Y16" si="3">SUM(L9:W9)</f>
        <v>1</v>
      </c>
      <c r="Z9" s="131"/>
      <c r="AA9" s="130">
        <f>1-SUM(Z9:Z9, AB9:AM9)</f>
        <v>0.93864371192941909</v>
      </c>
      <c r="AB9" s="123">
        <v>0</v>
      </c>
      <c r="AC9" s="123">
        <f>INDEX(E.rngP.AKI.Primary_wNSAIDs, MATCH($E9, Parameters!$D$833:$D$836, 1))</f>
        <v>2.6235663881752816E-2</v>
      </c>
      <c r="AD9" s="123">
        <f>INDEX(E.rngP.AKI.Secondary.noRRT_wNSAIDs, MATCH($E9, Parameters!$D$833:$D$836, 1))</f>
        <v>1.0874640007878062E-2</v>
      </c>
      <c r="AE9" s="123">
        <f>INDEX(E.rngP.AKI.Secondary.wRRT_wNSAIDs, MATCH($E9, Parameters!$D$833:$D$836, 1))</f>
        <v>9.3131970065103806E-4</v>
      </c>
      <c r="AF9" s="123">
        <v>0</v>
      </c>
      <c r="AG9" s="123">
        <f>E.pCKD5.from3B_4</f>
        <v>6.7082846410596586E-3</v>
      </c>
      <c r="AH9" s="123">
        <f>E.pCKD5D.from3B_4</f>
        <v>9.1998312635980239E-3</v>
      </c>
      <c r="AI9" s="123">
        <v>0</v>
      </c>
      <c r="AJ9" s="123">
        <v>0</v>
      </c>
      <c r="AK9" s="123">
        <v>0</v>
      </c>
      <c r="AL9" s="123">
        <f>SUMIFS(Parameters!$M$891:$M$913, Parameters!$D$891:$D$913, $E9, Parameters!$E$891:$E$913, $F9)</f>
        <v>7.4065485756412697E-3</v>
      </c>
      <c r="AM9" s="131"/>
      <c r="AN9" s="132">
        <f t="shared" ref="AN9:AN16" si="4">SUM(AA9:AL9)</f>
        <v>1</v>
      </c>
    </row>
    <row r="10" spans="1:40" ht="12" customHeight="1" thickBot="1" x14ac:dyDescent="0.3">
      <c r="A10" s="373"/>
      <c r="C10" s="376"/>
      <c r="D10">
        <f t="shared" ref="D10:D19" si="5">D9+1</f>
        <v>3</v>
      </c>
      <c r="E10">
        <v>70</v>
      </c>
      <c r="F10" t="s">
        <v>274</v>
      </c>
      <c r="G10" s="112" t="str">
        <f t="shared" si="2"/>
        <v>70-74</v>
      </c>
      <c r="H10" s="110" t="str" cm="1">
        <f t="array" aca="1" ref="H10" ca="1">INDEX(K.rngStates, $D10)</f>
        <v>Primary care AKI</v>
      </c>
      <c r="I10" s="112"/>
      <c r="J10" s="110"/>
      <c r="L10" s="123">
        <v>0</v>
      </c>
      <c r="M10" s="130">
        <v>0</v>
      </c>
      <c r="N10" s="130">
        <v>0</v>
      </c>
      <c r="O10" s="130">
        <v>0</v>
      </c>
      <c r="P10" s="130">
        <v>0</v>
      </c>
      <c r="Q10" s="130">
        <f>1-SUM(K10:P10, R10:X10)</f>
        <v>0.81193414570910039</v>
      </c>
      <c r="R10" s="123">
        <f>E.pCKD5.postPrimaryAKI</f>
        <v>9.2105263157894732E-2</v>
      </c>
      <c r="S10" s="123">
        <v>0</v>
      </c>
      <c r="T10" s="123">
        <v>0</v>
      </c>
      <c r="U10" s="123">
        <v>0</v>
      </c>
      <c r="V10" s="123">
        <f>INDEX(E.rngP.AKI_PC.death, MATCH($E10, Parameters!$D$864:$D$867, 1))</f>
        <v>9.5960591133004911E-2</v>
      </c>
      <c r="W10" s="123">
        <v>0</v>
      </c>
      <c r="X10" s="131"/>
      <c r="Y10" s="132">
        <f t="shared" si="3"/>
        <v>1</v>
      </c>
      <c r="Z10" s="131"/>
      <c r="AA10" s="123">
        <v>0</v>
      </c>
      <c r="AB10" s="130">
        <v>0</v>
      </c>
      <c r="AC10" s="130">
        <v>0</v>
      </c>
      <c r="AD10" s="130">
        <v>0</v>
      </c>
      <c r="AE10" s="130">
        <v>0</v>
      </c>
      <c r="AF10" s="130">
        <f>1-SUM(Z10:AE10, AG10:AM10)</f>
        <v>0.81193414570910039</v>
      </c>
      <c r="AG10" s="123">
        <f>E.pCKD5.postPrimaryAKI</f>
        <v>9.2105263157894732E-2</v>
      </c>
      <c r="AH10" s="123">
        <v>0</v>
      </c>
      <c r="AI10" s="123">
        <v>0</v>
      </c>
      <c r="AJ10" s="123">
        <v>0</v>
      </c>
      <c r="AK10" s="123">
        <f>INDEX(E.rngP.AKI_PC.death, MATCH($E10, Parameters!$D$864:$D$867, 1))</f>
        <v>9.5960591133004911E-2</v>
      </c>
      <c r="AL10" s="123">
        <v>0</v>
      </c>
      <c r="AM10" s="131"/>
      <c r="AN10" s="132">
        <f t="shared" si="4"/>
        <v>1</v>
      </c>
    </row>
    <row r="11" spans="1:40" ht="12" customHeight="1" thickBot="1" x14ac:dyDescent="0.3">
      <c r="A11" s="373"/>
      <c r="C11" s="376"/>
      <c r="D11">
        <f t="shared" si="5"/>
        <v>4</v>
      </c>
      <c r="E11">
        <v>70</v>
      </c>
      <c r="G11" s="112" t="str">
        <f t="shared" si="2"/>
        <v>70-74</v>
      </c>
      <c r="H11" s="110" t="str" cm="1">
        <f t="array" aca="1" ref="H11" ca="1">INDEX(K.rngStates, $D11)</f>
        <v>Secondary care AKI (no RRT)</v>
      </c>
      <c r="I11" s="112"/>
      <c r="J11" s="110"/>
      <c r="L11" s="123">
        <v>0</v>
      </c>
      <c r="M11" s="130">
        <v>0</v>
      </c>
      <c r="N11" s="130">
        <v>0</v>
      </c>
      <c r="O11" s="130">
        <v>0</v>
      </c>
      <c r="P11" s="130">
        <v>0</v>
      </c>
      <c r="Q11" s="130">
        <f>1-SUM(K11:P11, R11:X11)</f>
        <v>0.55147947371479122</v>
      </c>
      <c r="R11" s="123">
        <f>E.pCKD5.postSecondaryAKInoRRT</f>
        <v>0.18421052631578946</v>
      </c>
      <c r="S11" s="123">
        <v>0</v>
      </c>
      <c r="T11" s="123">
        <v>0</v>
      </c>
      <c r="U11" s="123">
        <v>0</v>
      </c>
      <c r="V11" s="123">
        <f>INDEX(E.rngP.AKI_SCnoRRT.death, MATCH($E11, Parameters!$D$864:$D$867, 1))</f>
        <v>0.26430999996941928</v>
      </c>
      <c r="W11" s="123">
        <v>0</v>
      </c>
      <c r="X11" s="131"/>
      <c r="Y11" s="132">
        <f t="shared" si="3"/>
        <v>1</v>
      </c>
      <c r="Z11" s="131"/>
      <c r="AA11" s="123">
        <v>0</v>
      </c>
      <c r="AB11" s="130">
        <v>0</v>
      </c>
      <c r="AC11" s="130">
        <v>0</v>
      </c>
      <c r="AD11" s="130">
        <v>0</v>
      </c>
      <c r="AE11" s="130">
        <v>0</v>
      </c>
      <c r="AF11" s="130">
        <f>1-SUM(Z11:AE11, AG11:AM11)</f>
        <v>0.55147947371479122</v>
      </c>
      <c r="AG11" s="123">
        <f>E.pCKD5.postSecondaryAKInoRRT</f>
        <v>0.18421052631578946</v>
      </c>
      <c r="AH11" s="123">
        <v>0</v>
      </c>
      <c r="AI11" s="123">
        <v>0</v>
      </c>
      <c r="AJ11" s="123">
        <v>0</v>
      </c>
      <c r="AK11" s="123">
        <f>INDEX(E.rngP.AKI_SCnoRRT.death, MATCH($E11, Parameters!$D$864:$D$867, 1))</f>
        <v>0.26430999996941928</v>
      </c>
      <c r="AL11" s="123">
        <v>0</v>
      </c>
      <c r="AM11" s="131"/>
      <c r="AN11" s="132">
        <f t="shared" si="4"/>
        <v>1</v>
      </c>
    </row>
    <row r="12" spans="1:40" ht="12" customHeight="1" thickBot="1" x14ac:dyDescent="0.3">
      <c r="A12" s="373"/>
      <c r="C12" s="376"/>
      <c r="D12">
        <f t="shared" si="5"/>
        <v>5</v>
      </c>
      <c r="E12">
        <v>70</v>
      </c>
      <c r="G12" s="112" t="str">
        <f t="shared" si="2"/>
        <v>70-74</v>
      </c>
      <c r="H12" s="110" t="str" cm="1">
        <f t="array" aca="1" ref="H12" ca="1">INDEX(K.rngStates, $D12)</f>
        <v>Secondary care AKI (with RRT)</v>
      </c>
      <c r="I12" s="112"/>
      <c r="J12" s="110"/>
      <c r="L12" s="123">
        <v>0</v>
      </c>
      <c r="M12" s="130">
        <v>0</v>
      </c>
      <c r="N12" s="130">
        <v>0</v>
      </c>
      <c r="O12" s="130">
        <v>0</v>
      </c>
      <c r="P12" s="130">
        <v>0</v>
      </c>
      <c r="Q12" s="130">
        <f>1-SUM(K12:P12, R12:X12)</f>
        <v>0.41493096503687676</v>
      </c>
      <c r="R12" s="123">
        <f>E.pCKD5.postSecondaryAKI</f>
        <v>0.17109099278809267</v>
      </c>
      <c r="S12" s="123">
        <f>E.pCKD5D.postSecondaryAKI</f>
        <v>1.3119533527696793E-2</v>
      </c>
      <c r="T12" s="123">
        <v>0</v>
      </c>
      <c r="U12" s="123">
        <v>0</v>
      </c>
      <c r="V12" s="123">
        <f>INDEX(E.rngP.AKI_SCwRRT.death, MATCH($E12, Parameters!$D$864:$D$867, 1))</f>
        <v>0.40085850864733374</v>
      </c>
      <c r="W12" s="123">
        <v>0</v>
      </c>
      <c r="X12" s="131"/>
      <c r="Y12" s="132">
        <f t="shared" si="3"/>
        <v>1</v>
      </c>
      <c r="Z12" s="131"/>
      <c r="AA12" s="123">
        <v>0</v>
      </c>
      <c r="AB12" s="130">
        <v>0</v>
      </c>
      <c r="AC12" s="130">
        <v>0</v>
      </c>
      <c r="AD12" s="130">
        <v>0</v>
      </c>
      <c r="AE12" s="130">
        <v>0</v>
      </c>
      <c r="AF12" s="130">
        <f>1-SUM(Z12:AE12, AG12:AM12)</f>
        <v>0.41493096503687676</v>
      </c>
      <c r="AG12" s="123">
        <f>E.pCKD5.postSecondaryAKI</f>
        <v>0.17109099278809267</v>
      </c>
      <c r="AH12" s="123">
        <f>E.pCKD5D.postSecondaryAKI</f>
        <v>1.3119533527696793E-2</v>
      </c>
      <c r="AI12" s="123">
        <v>0</v>
      </c>
      <c r="AJ12" s="123">
        <v>0</v>
      </c>
      <c r="AK12" s="123">
        <f>INDEX(E.rngP.AKI_SCwRRT.death, MATCH($E12, Parameters!$D$864:$D$867, 1))</f>
        <v>0.40085850864733374</v>
      </c>
      <c r="AL12" s="123">
        <v>0</v>
      </c>
      <c r="AM12" s="131"/>
      <c r="AN12" s="132">
        <f t="shared" si="4"/>
        <v>1</v>
      </c>
    </row>
    <row r="13" spans="1:40" ht="12" customHeight="1" thickBot="1" x14ac:dyDescent="0.3">
      <c r="A13" s="373"/>
      <c r="C13" s="376"/>
      <c r="D13">
        <f t="shared" si="5"/>
        <v>6</v>
      </c>
      <c r="E13">
        <v>70</v>
      </c>
      <c r="F13" t="s">
        <v>274</v>
      </c>
      <c r="G13" s="112" t="str">
        <f t="shared" si="2"/>
        <v>70-74</v>
      </c>
      <c r="H13" s="110" t="str" cm="1">
        <f t="array" aca="1" ref="H13" ca="1">INDEX(K.rngStates, $D13)</f>
        <v>Post-event CKD stage 3b-4</v>
      </c>
      <c r="I13" s="112"/>
      <c r="J13" s="110"/>
      <c r="L13" s="123">
        <v>0</v>
      </c>
      <c r="M13" s="130">
        <v>0</v>
      </c>
      <c r="N13" s="123">
        <f>INDEX(E.rngP.AKI.Primary_noNSAIDs, MATCH($E13, Parameters!$D$833:$D$836, 1))</f>
        <v>1.6260382266071995E-2</v>
      </c>
      <c r="O13" s="123">
        <f>INDEX(E.rngP.AKI.Secondary.noRRT_noNSAIDs, MATCH($E13, Parameters!$D$833:$D$836, 1))</f>
        <v>6.6997177482441637E-3</v>
      </c>
      <c r="P13" s="123">
        <f>INDEX(E.rngP.AKI.Secondary.wRRT_noNSAIDs, MATCH($E13, Parameters!$D$833:$D$836, 1))</f>
        <v>5.715675197967145E-4</v>
      </c>
      <c r="Q13" s="130">
        <f>1-SUM(K13:P13, R13:X13)</f>
        <v>0.9531536679855882</v>
      </c>
      <c r="R13" s="123">
        <f>E.pCKD5.from3B_4</f>
        <v>6.7082846410596586E-3</v>
      </c>
      <c r="S13" s="123">
        <f>E.pCKD5D.from3B_4</f>
        <v>9.1998312635980239E-3</v>
      </c>
      <c r="T13" s="123">
        <f>E.pTx.from3B_4</f>
        <v>0</v>
      </c>
      <c r="U13" s="123">
        <v>0</v>
      </c>
      <c r="V13" s="123">
        <v>0</v>
      </c>
      <c r="W13" s="123">
        <f>SUMIFS(Parameters!$M$891:$M$913, Parameters!$D$891:$D$913, $E13, Parameters!$E$891:$E$913, $F13)</f>
        <v>7.4065485756412697E-3</v>
      </c>
      <c r="X13" s="131"/>
      <c r="Y13" s="132">
        <f t="shared" si="3"/>
        <v>1</v>
      </c>
      <c r="Z13" s="131"/>
      <c r="AA13" s="123">
        <v>0</v>
      </c>
      <c r="AB13" s="130">
        <v>0</v>
      </c>
      <c r="AC13" s="123">
        <f>INDEX(E.rngP.AKI.Primary_noNSAIDs, MATCH($E13, Parameters!$D$833:$D$836, 1))</f>
        <v>1.6260382266071995E-2</v>
      </c>
      <c r="AD13" s="123">
        <f>INDEX(E.rngP.AKI.Secondary.noRRT_noNSAIDs, MATCH($E13, Parameters!$D$833:$D$836, 1))</f>
        <v>6.6997177482441637E-3</v>
      </c>
      <c r="AE13" s="123">
        <f>INDEX(E.rngP.AKI.Secondary.wRRT_noNSAIDs, MATCH($E13, Parameters!$D$833:$D$836, 1))</f>
        <v>5.715675197967145E-4</v>
      </c>
      <c r="AF13" s="130">
        <f>1-SUM(Z13:AE13, AG13:AM13)</f>
        <v>0.9531536679855882</v>
      </c>
      <c r="AG13" s="123">
        <f>E.pCKD5.from3B_4</f>
        <v>6.7082846410596586E-3</v>
      </c>
      <c r="AH13" s="123">
        <f>E.pCKD5D.from3B_4</f>
        <v>9.1998312635980239E-3</v>
      </c>
      <c r="AI13" s="123">
        <f>E.pTx.from3B_4</f>
        <v>0</v>
      </c>
      <c r="AJ13" s="123">
        <v>0</v>
      </c>
      <c r="AK13" s="123">
        <v>0</v>
      </c>
      <c r="AL13" s="123">
        <f>SUMIFS(Parameters!$M$891:$M$913, Parameters!$D$891:$D$913, $E13, Parameters!$E$891:$E$913, $F13)</f>
        <v>7.4065485756412697E-3</v>
      </c>
      <c r="AM13" s="131"/>
      <c r="AN13" s="132">
        <f t="shared" si="4"/>
        <v>1</v>
      </c>
    </row>
    <row r="14" spans="1:40" ht="12" customHeight="1" thickBot="1" x14ac:dyDescent="0.3">
      <c r="D14">
        <f t="shared" si="5"/>
        <v>7</v>
      </c>
      <c r="E14">
        <v>70</v>
      </c>
      <c r="F14" s="201">
        <v>5</v>
      </c>
      <c r="G14" s="112" t="str">
        <f t="shared" si="2"/>
        <v>70-74</v>
      </c>
      <c r="H14" s="110" t="str" cm="1">
        <f t="array" aca="1" ref="H14" ca="1">INDEX(K.rngStates, $D14)</f>
        <v>ESRD</v>
      </c>
      <c r="I14" s="112"/>
      <c r="J14" s="110"/>
      <c r="L14" s="123">
        <v>0</v>
      </c>
      <c r="M14" s="130">
        <v>0</v>
      </c>
      <c r="N14" s="123">
        <v>0</v>
      </c>
      <c r="O14" s="123">
        <v>0</v>
      </c>
      <c r="P14" s="123">
        <v>0</v>
      </c>
      <c r="Q14" s="123">
        <v>0</v>
      </c>
      <c r="R14" s="130">
        <f>1-SUM(K14:Q14, S14:X14)</f>
        <v>0.93525409121729186</v>
      </c>
      <c r="S14" s="123">
        <f>E.pCKD5D.from5</f>
        <v>3.6592192793112654E-2</v>
      </c>
      <c r="T14" s="123">
        <f>E.pTx.from5</f>
        <v>1.3265655592658132E-2</v>
      </c>
      <c r="U14" s="123">
        <v>0</v>
      </c>
      <c r="V14" s="123">
        <v>0</v>
      </c>
      <c r="W14" s="123">
        <f>SUMIFS(Parameters!$M$891:$M$913, Parameters!$D$891:$D$913, $E14, Parameters!$E$891:$E$913, $F14)</f>
        <v>1.4888060396937353E-2</v>
      </c>
      <c r="X14" s="131"/>
      <c r="Y14" s="132">
        <f t="shared" si="3"/>
        <v>1</v>
      </c>
      <c r="Z14" s="131"/>
      <c r="AA14" s="123">
        <v>0</v>
      </c>
      <c r="AB14" s="130">
        <v>0</v>
      </c>
      <c r="AC14" s="123">
        <v>0</v>
      </c>
      <c r="AD14" s="123">
        <v>0</v>
      </c>
      <c r="AE14" s="123">
        <v>0</v>
      </c>
      <c r="AF14" s="123">
        <v>0</v>
      </c>
      <c r="AG14" s="130">
        <f>1-SUM(Z14:AF14, AH14:AM14)</f>
        <v>0.93525409121729186</v>
      </c>
      <c r="AH14" s="123">
        <f>E.pCKD5D.from5</f>
        <v>3.6592192793112654E-2</v>
      </c>
      <c r="AI14" s="123">
        <f>E.pTx.from5</f>
        <v>1.3265655592658132E-2</v>
      </c>
      <c r="AJ14" s="123">
        <v>0</v>
      </c>
      <c r="AK14" s="123">
        <v>0</v>
      </c>
      <c r="AL14" s="123">
        <f>SUMIFS(Parameters!$M$891:$M$913, Parameters!$D$891:$D$913, $E14, Parameters!$E$891:$E$913, $F14)</f>
        <v>1.4888060396937353E-2</v>
      </c>
      <c r="AM14" s="131"/>
      <c r="AN14" s="132">
        <f t="shared" si="4"/>
        <v>1</v>
      </c>
    </row>
    <row r="15" spans="1:40" ht="12" customHeight="1" thickBot="1" x14ac:dyDescent="0.3">
      <c r="D15">
        <f t="shared" si="5"/>
        <v>8</v>
      </c>
      <c r="E15">
        <v>70</v>
      </c>
      <c r="F15" t="s">
        <v>112</v>
      </c>
      <c r="G15" s="112" t="str">
        <f t="shared" si="2"/>
        <v>70-74</v>
      </c>
      <c r="H15" s="110" t="str" cm="1">
        <f t="array" aca="1" ref="H15" ca="1">INDEX(K.rngStates, $D15)</f>
        <v>ESRD+RRT</v>
      </c>
      <c r="I15" s="112"/>
      <c r="J15" s="110"/>
      <c r="L15" s="123">
        <v>0</v>
      </c>
      <c r="M15" s="130">
        <v>0</v>
      </c>
      <c r="N15" s="123">
        <v>0</v>
      </c>
      <c r="O15" s="123">
        <v>0</v>
      </c>
      <c r="P15" s="123">
        <v>0</v>
      </c>
      <c r="Q15" s="123">
        <v>0</v>
      </c>
      <c r="R15" s="123">
        <v>0</v>
      </c>
      <c r="S15" s="130">
        <f>1-SUM(K15:R15, T15:X15)</f>
        <v>0.96548060814212844</v>
      </c>
      <c r="T15" s="123">
        <f>E.pTx.from5D</f>
        <v>1.6189466449663015E-2</v>
      </c>
      <c r="U15" s="123">
        <v>0</v>
      </c>
      <c r="V15" s="123">
        <v>0</v>
      </c>
      <c r="W15" s="123">
        <f>SUMIFS(Parameters!$M$891:$M$913, Parameters!$D$891:$D$913, $E15, Parameters!$E$891:$E$913, $F15)</f>
        <v>1.8329925408208547E-2</v>
      </c>
      <c r="X15" s="131"/>
      <c r="Y15" s="132">
        <f t="shared" si="3"/>
        <v>1</v>
      </c>
      <c r="Z15" s="131"/>
      <c r="AA15" s="123">
        <v>0</v>
      </c>
      <c r="AB15" s="130">
        <v>0</v>
      </c>
      <c r="AC15" s="123">
        <v>0</v>
      </c>
      <c r="AD15" s="123">
        <v>0</v>
      </c>
      <c r="AE15" s="123">
        <v>0</v>
      </c>
      <c r="AF15" s="123">
        <v>0</v>
      </c>
      <c r="AG15" s="123">
        <v>0</v>
      </c>
      <c r="AH15" s="130">
        <f>1-SUM(Z15:AG15, AI15:AM15)</f>
        <v>0.96548060814212844</v>
      </c>
      <c r="AI15" s="123">
        <f>E.pTx.from5D</f>
        <v>1.6189466449663015E-2</v>
      </c>
      <c r="AJ15" s="123">
        <v>0</v>
      </c>
      <c r="AK15" s="123">
        <v>0</v>
      </c>
      <c r="AL15" s="123">
        <f>SUMIFS(Parameters!$M$891:$M$913, Parameters!$D$891:$D$913, $E15, Parameters!$E$891:$E$913, $F15)</f>
        <v>1.8329925408208547E-2</v>
      </c>
      <c r="AM15" s="131"/>
      <c r="AN15" s="132">
        <f t="shared" si="4"/>
        <v>1</v>
      </c>
    </row>
    <row r="16" spans="1:40" ht="12" customHeight="1" thickBot="1" x14ac:dyDescent="0.3">
      <c r="D16">
        <f t="shared" si="5"/>
        <v>9</v>
      </c>
      <c r="E16">
        <v>70</v>
      </c>
      <c r="F16" t="s">
        <v>275</v>
      </c>
      <c r="G16" s="112" t="str">
        <f t="shared" si="2"/>
        <v>70-74</v>
      </c>
      <c r="H16" s="110" t="str" cm="1">
        <f t="array" aca="1" ref="H16" ca="1">INDEX(K.rngStates, $D16)</f>
        <v>Transplant</v>
      </c>
      <c r="I16" s="112"/>
      <c r="J16" s="110"/>
      <c r="L16" s="123">
        <v>0</v>
      </c>
      <c r="M16" s="130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f>E.pTxGraftFailure</f>
        <v>3.5185265221873152E-3</v>
      </c>
      <c r="T16" s="123">
        <v>0</v>
      </c>
      <c r="U16" s="130">
        <f>1-SUM(K16:T16, V16:X16)</f>
        <v>0.9917925011942923</v>
      </c>
      <c r="V16" s="123">
        <v>0</v>
      </c>
      <c r="W16" s="123">
        <f>SUMIFS(Parameters!$M$891:$M$913, Parameters!$D$891:$D$913, $E16, Parameters!$E$891:$E$913, $F16)</f>
        <v>4.6889722835203873E-3</v>
      </c>
      <c r="X16" s="131"/>
      <c r="Y16" s="132">
        <f t="shared" si="3"/>
        <v>1</v>
      </c>
      <c r="Z16" s="131"/>
      <c r="AA16" s="123">
        <v>0</v>
      </c>
      <c r="AB16" s="130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f>E.pTxGraftFailure</f>
        <v>3.5185265221873152E-3</v>
      </c>
      <c r="AI16" s="123">
        <v>0</v>
      </c>
      <c r="AJ16" s="130">
        <f>1-SUM(Z16:AI16, AK16:AM16)</f>
        <v>0.9917925011942923</v>
      </c>
      <c r="AK16" s="123">
        <v>0</v>
      </c>
      <c r="AL16" s="123">
        <f>SUMIFS(Parameters!$M$891:$M$913, Parameters!$D$891:$D$913, $E16, Parameters!$E$891:$E$913, $F16)</f>
        <v>4.6889722835203873E-3</v>
      </c>
      <c r="AM16" s="131"/>
      <c r="AN16" s="132">
        <f t="shared" si="4"/>
        <v>1</v>
      </c>
    </row>
    <row r="17" spans="1:40" ht="12" customHeight="1" thickBot="1" x14ac:dyDescent="0.3">
      <c r="D17">
        <f t="shared" si="5"/>
        <v>10</v>
      </c>
      <c r="E17">
        <v>70</v>
      </c>
      <c r="F17" t="s">
        <v>275</v>
      </c>
      <c r="G17" s="112" t="str">
        <f t="shared" si="2"/>
        <v>70-74</v>
      </c>
      <c r="H17" s="110" t="str" cm="1">
        <f t="array" aca="1" ref="H17" ca="1">INDEX(K.rngStates, $D17)</f>
        <v>Post-transplant</v>
      </c>
      <c r="I17" s="112"/>
      <c r="J17" s="110"/>
      <c r="L17" s="123">
        <v>0</v>
      </c>
      <c r="M17" s="130">
        <v>0</v>
      </c>
      <c r="N17" s="123">
        <v>0</v>
      </c>
      <c r="O17" s="123">
        <v>0</v>
      </c>
      <c r="P17" s="123">
        <v>0</v>
      </c>
      <c r="Q17" s="123">
        <v>0</v>
      </c>
      <c r="R17" s="123">
        <v>0</v>
      </c>
      <c r="S17" s="123">
        <f>E.pTxGraftFailure</f>
        <v>3.5185265221873152E-3</v>
      </c>
      <c r="T17" s="123">
        <v>0</v>
      </c>
      <c r="U17" s="130">
        <f>1-SUM(K17:T17, V17:X17)</f>
        <v>0.9917925011942923</v>
      </c>
      <c r="V17" s="130">
        <v>0</v>
      </c>
      <c r="W17" s="123">
        <f>SUMIFS(Parameters!$M$891:$M$913, Parameters!$D$891:$D$913, $E17, Parameters!$E$891:$E$913, $F17)</f>
        <v>4.6889722835203873E-3</v>
      </c>
      <c r="X17" s="131"/>
      <c r="Y17" s="132">
        <f>SUM(L17:W17)</f>
        <v>1</v>
      </c>
      <c r="Z17" s="131"/>
      <c r="AA17" s="123">
        <v>0</v>
      </c>
      <c r="AB17" s="130">
        <v>0</v>
      </c>
      <c r="AC17" s="123">
        <v>0</v>
      </c>
      <c r="AD17" s="123">
        <v>0</v>
      </c>
      <c r="AE17" s="123">
        <v>0</v>
      </c>
      <c r="AF17" s="123">
        <v>0</v>
      </c>
      <c r="AG17" s="123">
        <v>0</v>
      </c>
      <c r="AH17" s="123">
        <f>E.pTxGraftFailure</f>
        <v>3.5185265221873152E-3</v>
      </c>
      <c r="AI17" s="123">
        <v>0</v>
      </c>
      <c r="AJ17" s="130">
        <f>1-SUM(Z17:AI17, AK17:AM17)</f>
        <v>0.9917925011942923</v>
      </c>
      <c r="AK17" s="130">
        <v>0</v>
      </c>
      <c r="AL17" s="123">
        <f>SUMIFS(Parameters!$M$891:$M$913, Parameters!$D$891:$D$913, $E17, Parameters!$E$891:$E$913, $F17)</f>
        <v>4.6889722835203873E-3</v>
      </c>
      <c r="AM17" s="131"/>
      <c r="AN17" s="132">
        <f>SUM(AA17:AL17)</f>
        <v>1</v>
      </c>
    </row>
    <row r="18" spans="1:40" ht="12" customHeight="1" thickBot="1" x14ac:dyDescent="0.3">
      <c r="D18">
        <f t="shared" si="5"/>
        <v>11</v>
      </c>
      <c r="E18">
        <v>70</v>
      </c>
      <c r="G18" s="112" t="str">
        <f t="shared" si="2"/>
        <v>70-74</v>
      </c>
      <c r="H18" s="110" t="str" cm="1">
        <f t="array" aca="1" ref="H18" ca="1">INDEX(K.rngStates, $D18)</f>
        <v>Dead (AKI)</v>
      </c>
      <c r="I18" s="112"/>
      <c r="J18" s="110"/>
      <c r="L18" s="123">
        <v>0</v>
      </c>
      <c r="M18" s="123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T18" s="130">
        <v>0</v>
      </c>
      <c r="U18" s="130">
        <v>0</v>
      </c>
      <c r="V18" s="130">
        <v>1</v>
      </c>
      <c r="W18" s="130">
        <v>0</v>
      </c>
      <c r="X18" s="131"/>
      <c r="Y18" s="132">
        <f>SUM(L18:W18)</f>
        <v>1</v>
      </c>
      <c r="Z18" s="131"/>
      <c r="AA18" s="123">
        <v>0</v>
      </c>
      <c r="AB18" s="123">
        <v>0</v>
      </c>
      <c r="AC18" s="130">
        <v>0</v>
      </c>
      <c r="AD18" s="130">
        <v>0</v>
      </c>
      <c r="AE18" s="130">
        <v>0</v>
      </c>
      <c r="AF18" s="130">
        <v>0</v>
      </c>
      <c r="AG18" s="130">
        <v>0</v>
      </c>
      <c r="AH18" s="130">
        <v>0</v>
      </c>
      <c r="AI18" s="130">
        <v>0</v>
      </c>
      <c r="AJ18" s="130">
        <v>0</v>
      </c>
      <c r="AK18" s="130">
        <v>1</v>
      </c>
      <c r="AL18" s="130">
        <v>0</v>
      </c>
      <c r="AM18" s="131"/>
      <c r="AN18" s="132">
        <f>SUM(AA18:AL18)</f>
        <v>1</v>
      </c>
    </row>
    <row r="19" spans="1:40" s="188" customFormat="1" ht="12" customHeight="1" thickBot="1" x14ac:dyDescent="0.3">
      <c r="A19" s="374"/>
      <c r="B19" s="374"/>
      <c r="C19" s="377"/>
      <c r="D19" s="188">
        <f t="shared" si="5"/>
        <v>12</v>
      </c>
      <c r="E19" s="188">
        <v>70</v>
      </c>
      <c r="F19" s="200"/>
      <c r="G19" s="112" t="str">
        <f>E19&amp;"-"&amp;E19+4</f>
        <v>70-74</v>
      </c>
      <c r="H19" s="110" t="str" cm="1">
        <f t="array" aca="1" ref="H19" ca="1">INDEX(K.rngStates, $D19)</f>
        <v>Dead (other)</v>
      </c>
      <c r="I19" s="112"/>
      <c r="J19" s="110"/>
      <c r="L19" s="189">
        <v>0</v>
      </c>
      <c r="M19" s="189">
        <v>0</v>
      </c>
      <c r="N19" s="190">
        <v>0</v>
      </c>
      <c r="O19" s="190">
        <v>0</v>
      </c>
      <c r="P19" s="190">
        <v>0</v>
      </c>
      <c r="Q19" s="190">
        <v>0</v>
      </c>
      <c r="R19" s="190">
        <v>0</v>
      </c>
      <c r="S19" s="190">
        <v>0</v>
      </c>
      <c r="T19" s="190">
        <v>0</v>
      </c>
      <c r="U19" s="190">
        <v>0</v>
      </c>
      <c r="V19" s="190">
        <v>0</v>
      </c>
      <c r="W19" s="190">
        <v>1</v>
      </c>
      <c r="X19" s="191"/>
      <c r="Y19" s="192">
        <f>SUM(L19:W19)</f>
        <v>1</v>
      </c>
      <c r="Z19" s="191"/>
      <c r="AA19" s="189">
        <v>0</v>
      </c>
      <c r="AB19" s="189">
        <v>0</v>
      </c>
      <c r="AC19" s="190">
        <v>0</v>
      </c>
      <c r="AD19" s="190">
        <v>0</v>
      </c>
      <c r="AE19" s="190">
        <v>0</v>
      </c>
      <c r="AF19" s="190">
        <v>0</v>
      </c>
      <c r="AG19" s="190">
        <v>0</v>
      </c>
      <c r="AH19" s="190">
        <v>0</v>
      </c>
      <c r="AI19" s="190">
        <v>0</v>
      </c>
      <c r="AJ19" s="190">
        <v>0</v>
      </c>
      <c r="AK19" s="190">
        <v>0</v>
      </c>
      <c r="AL19" s="190">
        <v>1</v>
      </c>
      <c r="AM19" s="191"/>
      <c r="AN19" s="192">
        <f>SUM(AA19:AL19)</f>
        <v>1</v>
      </c>
    </row>
    <row r="20" spans="1:40" s="8" customFormat="1" ht="12" customHeight="1" thickBot="1" x14ac:dyDescent="0.3">
      <c r="A20" s="374"/>
      <c r="B20" s="374"/>
      <c r="C20" s="377"/>
      <c r="D20" s="8">
        <v>1</v>
      </c>
      <c r="E20" s="8">
        <f>E8+5</f>
        <v>75</v>
      </c>
      <c r="F20" t="s">
        <v>274</v>
      </c>
      <c r="G20" s="113" t="str">
        <f>E20&amp;"-"&amp;E20+4</f>
        <v>75-79</v>
      </c>
      <c r="H20" s="121" t="str" cm="1">
        <f t="array" aca="1" ref="H20" ca="1">INDEX(K.rngStates, $D20)</f>
        <v>No event no NSAID</v>
      </c>
      <c r="I20" s="113"/>
      <c r="J20" s="121"/>
      <c r="L20" s="130">
        <f>1-SUM(K20:K20, M20:X20)</f>
        <v>0.93727764550237824</v>
      </c>
      <c r="M20" s="123">
        <v>0</v>
      </c>
      <c r="N20" s="123">
        <f>INDEX(E.rngP.AKI.Primary_noNSAIDs, MATCH($E20, Parameters!$D$833:$D$836, 1))</f>
        <v>2.3309285274898645E-2</v>
      </c>
      <c r="O20" s="123">
        <f>INDEX(E.rngP.AKI.Secondary.noRRT_noNSAIDs, MATCH($E20, Parameters!$D$833:$D$836, 1))</f>
        <v>9.6040566389986592E-3</v>
      </c>
      <c r="P20" s="123">
        <f>INDEX(E.rngP.AKI.Secondary.wRRT_noNSAIDs, MATCH($E20, Parameters!$D$833:$D$836, 1))</f>
        <v>8.193429991253387E-4</v>
      </c>
      <c r="Q20" s="123">
        <v>0</v>
      </c>
      <c r="R20" s="123">
        <f>E.pCKD5.from3B_4</f>
        <v>6.7082846410596586E-3</v>
      </c>
      <c r="S20" s="123">
        <f>E.pCKD5D.from3B_4</f>
        <v>9.1998312635980239E-3</v>
      </c>
      <c r="T20" s="123">
        <v>0</v>
      </c>
      <c r="U20" s="123">
        <v>0</v>
      </c>
      <c r="V20" s="123">
        <v>0</v>
      </c>
      <c r="W20" s="123">
        <f>SUMIFS(Parameters!$M$891:$M$913, Parameters!$D$891:$D$913, $E20, Parameters!$E$891:$E$913, $F20)</f>
        <v>1.308155367994146E-2</v>
      </c>
      <c r="X20" s="131"/>
      <c r="Y20" s="132">
        <f>SUM(L20:W20)</f>
        <v>1</v>
      </c>
      <c r="Z20" s="131"/>
      <c r="AA20" s="130">
        <f>1-SUM(Z20:Z20, AB20:AM20)</f>
        <v>0.93727764550237824</v>
      </c>
      <c r="AB20" s="123">
        <v>0</v>
      </c>
      <c r="AC20" s="123">
        <f>INDEX(E.rngP.AKI.Primary_noNSAIDs, MATCH($E20, Parameters!$D$833:$D$836, 1))</f>
        <v>2.3309285274898645E-2</v>
      </c>
      <c r="AD20" s="123">
        <f>INDEX(E.rngP.AKI.Secondary.noRRT_noNSAIDs, MATCH($E20, Parameters!$D$833:$D$836, 1))</f>
        <v>9.6040566389986592E-3</v>
      </c>
      <c r="AE20" s="123">
        <f>INDEX(E.rngP.AKI.Secondary.wRRT_noNSAIDs, MATCH($E20, Parameters!$D$833:$D$836, 1))</f>
        <v>8.193429991253387E-4</v>
      </c>
      <c r="AF20" s="123">
        <v>0</v>
      </c>
      <c r="AG20" s="123">
        <f>E.pCKD5.from3B_4</f>
        <v>6.7082846410596586E-3</v>
      </c>
      <c r="AH20" s="123">
        <f>E.pCKD5D.from3B_4</f>
        <v>9.1998312635980239E-3</v>
      </c>
      <c r="AI20" s="123">
        <v>0</v>
      </c>
      <c r="AJ20" s="123">
        <v>0</v>
      </c>
      <c r="AK20" s="123">
        <v>0</v>
      </c>
      <c r="AL20" s="123">
        <f>SUMIFS(Parameters!$M$891:$M$913, Parameters!$D$891:$D$913, $E20, Parameters!$E$891:$E$913, $F20)</f>
        <v>1.308155367994146E-2</v>
      </c>
      <c r="AM20" s="131"/>
      <c r="AN20" s="132">
        <f>SUM(AA20:AL20)</f>
        <v>1</v>
      </c>
    </row>
    <row r="21" spans="1:40" ht="12" customHeight="1" thickBot="1" x14ac:dyDescent="0.3">
      <c r="D21">
        <f>D20+1</f>
        <v>2</v>
      </c>
      <c r="E21">
        <f t="shared" ref="E21:E55" si="6">E9+5</f>
        <v>75</v>
      </c>
      <c r="F21" t="s">
        <v>274</v>
      </c>
      <c r="G21" s="112" t="str">
        <f t="shared" ref="G21:G31" si="7">E21&amp;"-"&amp;E21+4</f>
        <v>75-79</v>
      </c>
      <c r="H21" s="110" t="str" cm="1">
        <f t="array" aca="1" ref="H21" ca="1">INDEX(K.rngStates, $D21)</f>
        <v>No event + NSAID</v>
      </c>
      <c r="I21" s="112"/>
      <c r="J21" s="110"/>
      <c r="L21" s="123">
        <v>0</v>
      </c>
      <c r="M21" s="130">
        <f>1-SUM(K21:L21, N21:X21)</f>
        <v>0.90987809191496372</v>
      </c>
      <c r="N21" s="123">
        <f>INDEX(E.rngP.AKI.Primary_wNSAIDs, MATCH($E21, Parameters!$D$833:$D$836, 1))</f>
        <v>4.2086063083824655E-2</v>
      </c>
      <c r="O21" s="123">
        <f>INDEX(E.rngP.AKI.Secondary.noRRT_wNSAIDs, MATCH($E21, Parameters!$D$833:$D$836, 1))</f>
        <v>1.753885172693145E-2</v>
      </c>
      <c r="P21" s="123">
        <f>INDEX(E.rngP.AKI.Secondary.wRRT_wNSAIDs, MATCH($E21, Parameters!$D$833:$D$836, 1))</f>
        <v>1.5073236896810294E-3</v>
      </c>
      <c r="Q21" s="123">
        <v>0</v>
      </c>
      <c r="R21" s="123">
        <f>E.pCKD5.from3B_4</f>
        <v>6.7082846410596586E-3</v>
      </c>
      <c r="S21" s="123">
        <f>E.pCKD5D.from3B_4</f>
        <v>9.1998312635980239E-3</v>
      </c>
      <c r="T21" s="123">
        <v>0</v>
      </c>
      <c r="U21" s="123">
        <v>0</v>
      </c>
      <c r="V21" s="123">
        <v>0</v>
      </c>
      <c r="W21" s="123">
        <f>SUMIFS(Parameters!$M$891:$M$913, Parameters!$D$891:$D$913, $E21, Parameters!$E$891:$E$913, $F21)</f>
        <v>1.308155367994146E-2</v>
      </c>
      <c r="X21" s="131"/>
      <c r="Y21" s="132">
        <f t="shared" ref="Y21:Y28" si="8">SUM(L21:W21)</f>
        <v>1</v>
      </c>
      <c r="Z21" s="131"/>
      <c r="AA21" s="130">
        <f>1-SUM(Z21:Z21, AB21:AM21)</f>
        <v>0.90987809191496372</v>
      </c>
      <c r="AB21" s="123">
        <v>0</v>
      </c>
      <c r="AC21" s="123">
        <f>INDEX(E.rngP.AKI.Primary_wNSAIDs, MATCH($E21, Parameters!$D$833:$D$836, 1))</f>
        <v>4.2086063083824655E-2</v>
      </c>
      <c r="AD21" s="123">
        <f>INDEX(E.rngP.AKI.Secondary.noRRT_wNSAIDs, MATCH($E21, Parameters!$D$833:$D$836, 1))</f>
        <v>1.753885172693145E-2</v>
      </c>
      <c r="AE21" s="123">
        <f>INDEX(E.rngP.AKI.Secondary.wRRT_wNSAIDs, MATCH($E21, Parameters!$D$833:$D$836, 1))</f>
        <v>1.5073236896810294E-3</v>
      </c>
      <c r="AF21" s="123">
        <v>0</v>
      </c>
      <c r="AG21" s="123">
        <f>E.pCKD5.from3B_4</f>
        <v>6.7082846410596586E-3</v>
      </c>
      <c r="AH21" s="123">
        <f>E.pCKD5D.from3B_4</f>
        <v>9.1998312635980239E-3</v>
      </c>
      <c r="AI21" s="123">
        <v>0</v>
      </c>
      <c r="AJ21" s="123">
        <v>0</v>
      </c>
      <c r="AK21" s="123">
        <v>0</v>
      </c>
      <c r="AL21" s="123">
        <f>SUMIFS(Parameters!$M$891:$M$913, Parameters!$D$891:$D$913, $E21, Parameters!$E$891:$E$913, $F21)</f>
        <v>1.308155367994146E-2</v>
      </c>
      <c r="AM21" s="131"/>
      <c r="AN21" s="132">
        <f t="shared" ref="AN21:AN28" si="9">SUM(AA21:AL21)</f>
        <v>1</v>
      </c>
    </row>
    <row r="22" spans="1:40" ht="12" customHeight="1" thickBot="1" x14ac:dyDescent="0.3">
      <c r="D22">
        <f t="shared" ref="D22:D31" si="10">D21+1</f>
        <v>3</v>
      </c>
      <c r="E22">
        <f t="shared" si="6"/>
        <v>75</v>
      </c>
      <c r="F22" t="s">
        <v>274</v>
      </c>
      <c r="G22" s="112" t="str">
        <f t="shared" si="7"/>
        <v>75-79</v>
      </c>
      <c r="H22" s="110" t="str" cm="1">
        <f t="array" aca="1" ref="H22" ca="1">INDEX(K.rngStates, $D22)</f>
        <v>Primary care AKI</v>
      </c>
      <c r="I22" s="112"/>
      <c r="J22" s="110"/>
      <c r="L22" s="123">
        <v>0</v>
      </c>
      <c r="M22" s="130">
        <v>0</v>
      </c>
      <c r="N22" s="130">
        <v>0</v>
      </c>
      <c r="O22" s="130">
        <v>0</v>
      </c>
      <c r="P22" s="130">
        <v>0</v>
      </c>
      <c r="Q22" s="130">
        <f>1-SUM(K22:P22, R22:X22)</f>
        <v>0.77727127727603562</v>
      </c>
      <c r="R22" s="123">
        <f>E.pCKD5.postPrimaryAKI</f>
        <v>9.2105263157894732E-2</v>
      </c>
      <c r="S22" s="123">
        <v>0</v>
      </c>
      <c r="T22" s="123">
        <v>0</v>
      </c>
      <c r="U22" s="123">
        <v>0</v>
      </c>
      <c r="V22" s="123">
        <f>INDEX(E.rngP.AKI_PC.death, MATCH($E22, Parameters!$D$864:$D$867, 1))</f>
        <v>0.13062345956606966</v>
      </c>
      <c r="W22" s="123">
        <v>0</v>
      </c>
      <c r="X22" s="131"/>
      <c r="Y22" s="132">
        <f t="shared" si="8"/>
        <v>1</v>
      </c>
      <c r="Z22" s="131"/>
      <c r="AA22" s="123">
        <v>0</v>
      </c>
      <c r="AB22" s="130">
        <v>0</v>
      </c>
      <c r="AC22" s="130">
        <v>0</v>
      </c>
      <c r="AD22" s="130">
        <v>0</v>
      </c>
      <c r="AE22" s="130">
        <v>0</v>
      </c>
      <c r="AF22" s="130">
        <f>1-SUM(Z22:AE22, AG22:AM22)</f>
        <v>0.77727127727603562</v>
      </c>
      <c r="AG22" s="123">
        <f>E.pCKD5.postPrimaryAKI</f>
        <v>9.2105263157894732E-2</v>
      </c>
      <c r="AH22" s="123">
        <v>0</v>
      </c>
      <c r="AI22" s="123">
        <v>0</v>
      </c>
      <c r="AJ22" s="123">
        <v>0</v>
      </c>
      <c r="AK22" s="123">
        <f>INDEX(E.rngP.AKI_PC.death, MATCH($E22, Parameters!$D$864:$D$867, 1))</f>
        <v>0.13062345956606966</v>
      </c>
      <c r="AL22" s="123">
        <v>0</v>
      </c>
      <c r="AM22" s="131"/>
      <c r="AN22" s="132">
        <f t="shared" si="9"/>
        <v>1</v>
      </c>
    </row>
    <row r="23" spans="1:40" ht="12" customHeight="1" thickBot="1" x14ac:dyDescent="0.3">
      <c r="D23">
        <f t="shared" si="10"/>
        <v>4</v>
      </c>
      <c r="E23">
        <f t="shared" si="6"/>
        <v>75</v>
      </c>
      <c r="G23" s="112" t="str">
        <f t="shared" si="7"/>
        <v>75-79</v>
      </c>
      <c r="H23" s="110" t="str" cm="1">
        <f t="array" aca="1" ref="H23" ca="1">INDEX(K.rngStates, $D23)</f>
        <v>Secondary care AKI (no RRT)</v>
      </c>
      <c r="I23" s="112"/>
      <c r="J23" s="110"/>
      <c r="L23" s="123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f>1-SUM(K23:P23, R23:X23)</f>
        <v>0.47868138433362861</v>
      </c>
      <c r="R23" s="123">
        <f>E.pCKD5.postSecondaryAKInoRRT</f>
        <v>0.18421052631578946</v>
      </c>
      <c r="S23" s="123">
        <v>0</v>
      </c>
      <c r="T23" s="123">
        <v>0</v>
      </c>
      <c r="U23" s="123">
        <v>0</v>
      </c>
      <c r="V23" s="123">
        <f>INDEX(E.rngP.AKI_SCnoRRT.death, MATCH($E23, Parameters!$D$864:$D$867, 1))</f>
        <v>0.3371080893505819</v>
      </c>
      <c r="W23" s="123">
        <v>0</v>
      </c>
      <c r="X23" s="131"/>
      <c r="Y23" s="132">
        <f t="shared" si="8"/>
        <v>1</v>
      </c>
      <c r="Z23" s="131"/>
      <c r="AA23" s="123">
        <v>0</v>
      </c>
      <c r="AB23" s="130">
        <v>0</v>
      </c>
      <c r="AC23" s="130">
        <v>0</v>
      </c>
      <c r="AD23" s="130">
        <v>0</v>
      </c>
      <c r="AE23" s="130">
        <v>0</v>
      </c>
      <c r="AF23" s="130">
        <f>1-SUM(Z23:AE23, AG23:AM23)</f>
        <v>0.47868138433362861</v>
      </c>
      <c r="AG23" s="123">
        <f>E.pCKD5.postSecondaryAKInoRRT</f>
        <v>0.18421052631578946</v>
      </c>
      <c r="AH23" s="123">
        <v>0</v>
      </c>
      <c r="AI23" s="123">
        <v>0</v>
      </c>
      <c r="AJ23" s="123">
        <v>0</v>
      </c>
      <c r="AK23" s="123">
        <f>INDEX(E.rngP.AKI_SCnoRRT.death, MATCH($E23, Parameters!$D$864:$D$867, 1))</f>
        <v>0.3371080893505819</v>
      </c>
      <c r="AL23" s="123">
        <v>0</v>
      </c>
      <c r="AM23" s="131"/>
      <c r="AN23" s="132">
        <f t="shared" si="9"/>
        <v>1</v>
      </c>
    </row>
    <row r="24" spans="1:40" ht="12" customHeight="1" thickBot="1" x14ac:dyDescent="0.3">
      <c r="D24">
        <f t="shared" si="10"/>
        <v>5</v>
      </c>
      <c r="E24">
        <f t="shared" si="6"/>
        <v>75</v>
      </c>
      <c r="G24" s="112" t="str">
        <f t="shared" si="7"/>
        <v>75-79</v>
      </c>
      <c r="H24" s="110" t="str" cm="1">
        <f t="array" aca="1" ref="H24" ca="1">INDEX(K.rngStates, $D24)</f>
        <v>Secondary care AKI (with RRT)</v>
      </c>
      <c r="I24" s="112"/>
      <c r="J24" s="110"/>
      <c r="L24" s="123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f>1-SUM(K24:P24, R24:X24)</f>
        <v>0.32938897202390705</v>
      </c>
      <c r="R24" s="123">
        <f>E.pCKD5.postSecondaryAKI</f>
        <v>0.17109099278809267</v>
      </c>
      <c r="S24" s="123">
        <f>E.pCKD5D.postSecondaryAKI</f>
        <v>1.3119533527696793E-2</v>
      </c>
      <c r="T24" s="123">
        <v>0</v>
      </c>
      <c r="U24" s="123">
        <v>0</v>
      </c>
      <c r="V24" s="123">
        <f>INDEX(E.rngP.AKI_SCwRRT.death, MATCH($E24, Parameters!$D$864:$D$867, 1))</f>
        <v>0.48640050166030346</v>
      </c>
      <c r="W24" s="123">
        <v>0</v>
      </c>
      <c r="X24" s="131"/>
      <c r="Y24" s="132">
        <f t="shared" si="8"/>
        <v>1</v>
      </c>
      <c r="Z24" s="131"/>
      <c r="AA24" s="123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f>1-SUM(Z24:AE24, AG24:AM24)</f>
        <v>0.32938897202390705</v>
      </c>
      <c r="AG24" s="123">
        <f>E.pCKD5.postSecondaryAKI</f>
        <v>0.17109099278809267</v>
      </c>
      <c r="AH24" s="123">
        <f>E.pCKD5D.postSecondaryAKI</f>
        <v>1.3119533527696793E-2</v>
      </c>
      <c r="AI24" s="123">
        <v>0</v>
      </c>
      <c r="AJ24" s="123">
        <v>0</v>
      </c>
      <c r="AK24" s="123">
        <f>INDEX(E.rngP.AKI_SCwRRT.death, MATCH($E24, Parameters!$D$864:$D$867, 1))</f>
        <v>0.48640050166030346</v>
      </c>
      <c r="AL24" s="123">
        <v>0</v>
      </c>
      <c r="AM24" s="131"/>
      <c r="AN24" s="132">
        <f t="shared" si="9"/>
        <v>1</v>
      </c>
    </row>
    <row r="25" spans="1:40" ht="12" customHeight="1" thickBot="1" x14ac:dyDescent="0.3">
      <c r="D25">
        <f t="shared" si="10"/>
        <v>6</v>
      </c>
      <c r="E25">
        <f t="shared" si="6"/>
        <v>75</v>
      </c>
      <c r="F25" t="s">
        <v>274</v>
      </c>
      <c r="G25" s="112" t="str">
        <f t="shared" si="7"/>
        <v>75-79</v>
      </c>
      <c r="H25" s="110" t="str" cm="1">
        <f t="array" aca="1" ref="H25" ca="1">INDEX(K.rngStates, $D25)</f>
        <v>Post-event CKD stage 3b-4</v>
      </c>
      <c r="I25" s="112"/>
      <c r="J25" s="110"/>
      <c r="L25" s="123">
        <v>0</v>
      </c>
      <c r="M25" s="130">
        <v>0</v>
      </c>
      <c r="N25" s="123">
        <f>INDEX(E.rngP.AKI.Primary_noNSAIDs, MATCH($E25, Parameters!$D$833:$D$836, 1))</f>
        <v>2.3309285274898645E-2</v>
      </c>
      <c r="O25" s="123">
        <f>INDEX(E.rngP.AKI.Secondary.noRRT_noNSAIDs, MATCH($E25, Parameters!$D$833:$D$836, 1))</f>
        <v>9.6040566389986592E-3</v>
      </c>
      <c r="P25" s="123">
        <f>INDEX(E.rngP.AKI.Secondary.wRRT_noNSAIDs, MATCH($E25, Parameters!$D$833:$D$836, 1))</f>
        <v>8.193429991253387E-4</v>
      </c>
      <c r="Q25" s="130">
        <f>1-SUM(K25:P25, R25:X25)</f>
        <v>0.93727764550237824</v>
      </c>
      <c r="R25" s="123">
        <f>E.pCKD5.from3B_4</f>
        <v>6.7082846410596586E-3</v>
      </c>
      <c r="S25" s="123">
        <f>E.pCKD5D.from3B_4</f>
        <v>9.1998312635980239E-3</v>
      </c>
      <c r="T25" s="123">
        <f>E.pTx.from3B_4</f>
        <v>0</v>
      </c>
      <c r="U25" s="123">
        <v>0</v>
      </c>
      <c r="V25" s="123">
        <v>0</v>
      </c>
      <c r="W25" s="123">
        <f>SUMIFS(Parameters!$M$891:$M$913, Parameters!$D$891:$D$913, $E25, Parameters!$E$891:$E$913, $F25)</f>
        <v>1.308155367994146E-2</v>
      </c>
      <c r="X25" s="131"/>
      <c r="Y25" s="132">
        <f t="shared" si="8"/>
        <v>1</v>
      </c>
      <c r="Z25" s="131"/>
      <c r="AA25" s="123">
        <v>0</v>
      </c>
      <c r="AB25" s="130">
        <v>0</v>
      </c>
      <c r="AC25" s="123">
        <f>INDEX(E.rngP.AKI.Primary_noNSAIDs, MATCH($E25, Parameters!$D$833:$D$836, 1))</f>
        <v>2.3309285274898645E-2</v>
      </c>
      <c r="AD25" s="123">
        <f>INDEX(E.rngP.AKI.Secondary.noRRT_noNSAIDs, MATCH($E25, Parameters!$D$833:$D$836, 1))</f>
        <v>9.6040566389986592E-3</v>
      </c>
      <c r="AE25" s="123">
        <f>INDEX(E.rngP.AKI.Secondary.wRRT_noNSAIDs, MATCH($E25, Parameters!$D$833:$D$836, 1))</f>
        <v>8.193429991253387E-4</v>
      </c>
      <c r="AF25" s="130">
        <f>1-SUM(Z25:AE25, AG25:AM25)</f>
        <v>0.93727764550237824</v>
      </c>
      <c r="AG25" s="123">
        <f>E.pCKD5.from3B_4</f>
        <v>6.7082846410596586E-3</v>
      </c>
      <c r="AH25" s="123">
        <f>E.pCKD5D.from3B_4</f>
        <v>9.1998312635980239E-3</v>
      </c>
      <c r="AI25" s="123">
        <f>E.pTx.from3B_4</f>
        <v>0</v>
      </c>
      <c r="AJ25" s="123">
        <v>0</v>
      </c>
      <c r="AK25" s="123">
        <v>0</v>
      </c>
      <c r="AL25" s="123">
        <f>SUMIFS(Parameters!$M$891:$M$913, Parameters!$D$891:$D$913, $E25, Parameters!$E$891:$E$913, $F25)</f>
        <v>1.308155367994146E-2</v>
      </c>
      <c r="AM25" s="131"/>
      <c r="AN25" s="132">
        <f t="shared" si="9"/>
        <v>1</v>
      </c>
    </row>
    <row r="26" spans="1:40" ht="12" customHeight="1" thickBot="1" x14ac:dyDescent="0.3">
      <c r="D26">
        <f t="shared" si="10"/>
        <v>7</v>
      </c>
      <c r="E26">
        <f t="shared" si="6"/>
        <v>75</v>
      </c>
      <c r="F26" s="201">
        <v>5</v>
      </c>
      <c r="G26" s="112" t="str">
        <f t="shared" si="7"/>
        <v>75-79</v>
      </c>
      <c r="H26" s="110" t="str" cm="1">
        <f t="array" aca="1" ref="H26" ca="1">INDEX(K.rngStates, $D26)</f>
        <v>ESRD</v>
      </c>
      <c r="I26" s="112"/>
      <c r="J26" s="110"/>
      <c r="L26" s="123">
        <v>0</v>
      </c>
      <c r="M26" s="130">
        <v>0</v>
      </c>
      <c r="N26" s="123">
        <v>0</v>
      </c>
      <c r="O26" s="123">
        <v>0</v>
      </c>
      <c r="P26" s="123">
        <v>0</v>
      </c>
      <c r="Q26" s="123">
        <v>0</v>
      </c>
      <c r="R26" s="130">
        <f>1-SUM(K26:Q26, S26:X26)</f>
        <v>0.92392285722175183</v>
      </c>
      <c r="S26" s="123">
        <f>E.pCKD5D.from5</f>
        <v>3.6592192793112654E-2</v>
      </c>
      <c r="T26" s="123">
        <f>E.pTx.from5</f>
        <v>1.3265655592658132E-2</v>
      </c>
      <c r="U26" s="123">
        <v>0</v>
      </c>
      <c r="V26" s="123">
        <v>0</v>
      </c>
      <c r="W26" s="123">
        <f>SUMIFS(Parameters!$M$891:$M$913, Parameters!$D$891:$D$913, $E26, Parameters!$E$891:$E$913, $F26)</f>
        <v>2.6219294392477388E-2</v>
      </c>
      <c r="X26" s="131"/>
      <c r="Y26" s="132">
        <f t="shared" si="8"/>
        <v>1</v>
      </c>
      <c r="Z26" s="131"/>
      <c r="AA26" s="123">
        <v>0</v>
      </c>
      <c r="AB26" s="130">
        <v>0</v>
      </c>
      <c r="AC26" s="123">
        <v>0</v>
      </c>
      <c r="AD26" s="123">
        <v>0</v>
      </c>
      <c r="AE26" s="123">
        <v>0</v>
      </c>
      <c r="AF26" s="123">
        <v>0</v>
      </c>
      <c r="AG26" s="130">
        <f>1-SUM(Z26:AF26, AH26:AM26)</f>
        <v>0.92392285722175183</v>
      </c>
      <c r="AH26" s="123">
        <f>E.pCKD5D.from5</f>
        <v>3.6592192793112654E-2</v>
      </c>
      <c r="AI26" s="123">
        <f>E.pTx.from5</f>
        <v>1.3265655592658132E-2</v>
      </c>
      <c r="AJ26" s="123">
        <v>0</v>
      </c>
      <c r="AK26" s="123">
        <v>0</v>
      </c>
      <c r="AL26" s="123">
        <f>SUMIFS(Parameters!$M$891:$M$913, Parameters!$D$891:$D$913, $E26, Parameters!$E$891:$E$913, $F26)</f>
        <v>2.6219294392477388E-2</v>
      </c>
      <c r="AM26" s="131"/>
      <c r="AN26" s="132">
        <f t="shared" si="9"/>
        <v>1</v>
      </c>
    </row>
    <row r="27" spans="1:40" ht="12" customHeight="1" thickBot="1" x14ac:dyDescent="0.3">
      <c r="D27">
        <f t="shared" si="10"/>
        <v>8</v>
      </c>
      <c r="E27">
        <f t="shared" si="6"/>
        <v>75</v>
      </c>
      <c r="F27" t="s">
        <v>112</v>
      </c>
      <c r="G27" s="112" t="str">
        <f t="shared" si="7"/>
        <v>75-79</v>
      </c>
      <c r="H27" s="110" t="str" cm="1">
        <f t="array" aca="1" ref="H27" ca="1">INDEX(K.rngStates, $D27)</f>
        <v>ESRD+RRT</v>
      </c>
      <c r="I27" s="112"/>
      <c r="J27" s="110"/>
      <c r="L27" s="123">
        <v>0</v>
      </c>
      <c r="M27" s="130">
        <v>0</v>
      </c>
      <c r="N27" s="123">
        <v>0</v>
      </c>
      <c r="O27" s="123">
        <v>0</v>
      </c>
      <c r="P27" s="123">
        <v>0</v>
      </c>
      <c r="Q27" s="123">
        <v>0</v>
      </c>
      <c r="R27" s="123">
        <v>0</v>
      </c>
      <c r="S27" s="130">
        <f>1-SUM(K27:R27, T27:X27)</f>
        <v>0.95157299099539394</v>
      </c>
      <c r="T27" s="123">
        <f>E.pTx.from5D</f>
        <v>1.6189466449663015E-2</v>
      </c>
      <c r="U27" s="123">
        <v>0</v>
      </c>
      <c r="V27" s="123">
        <v>0</v>
      </c>
      <c r="W27" s="123">
        <f>SUMIFS(Parameters!$M$891:$M$913, Parameters!$D$891:$D$913, $E27, Parameters!$E$891:$E$913, $F27)</f>
        <v>3.2237542554943044E-2</v>
      </c>
      <c r="X27" s="131"/>
      <c r="Y27" s="132">
        <f t="shared" si="8"/>
        <v>1</v>
      </c>
      <c r="Z27" s="131"/>
      <c r="AA27" s="123">
        <v>0</v>
      </c>
      <c r="AB27" s="130">
        <v>0</v>
      </c>
      <c r="AC27" s="123">
        <v>0</v>
      </c>
      <c r="AD27" s="123">
        <v>0</v>
      </c>
      <c r="AE27" s="123">
        <v>0</v>
      </c>
      <c r="AF27" s="123">
        <v>0</v>
      </c>
      <c r="AG27" s="123">
        <v>0</v>
      </c>
      <c r="AH27" s="130">
        <f>1-SUM(Z27:AG27, AI27:AM27)</f>
        <v>0.95157299099539394</v>
      </c>
      <c r="AI27" s="123">
        <f>E.pTx.from5D</f>
        <v>1.6189466449663015E-2</v>
      </c>
      <c r="AJ27" s="123">
        <v>0</v>
      </c>
      <c r="AK27" s="123">
        <v>0</v>
      </c>
      <c r="AL27" s="123">
        <f>SUMIFS(Parameters!$M$891:$M$913, Parameters!$D$891:$D$913, $E27, Parameters!$E$891:$E$913, $F27)</f>
        <v>3.2237542554943044E-2</v>
      </c>
      <c r="AM27" s="131"/>
      <c r="AN27" s="132">
        <f t="shared" si="9"/>
        <v>1</v>
      </c>
    </row>
    <row r="28" spans="1:40" ht="12" customHeight="1" thickBot="1" x14ac:dyDescent="0.3">
      <c r="D28">
        <f t="shared" si="10"/>
        <v>9</v>
      </c>
      <c r="E28">
        <f t="shared" si="6"/>
        <v>75</v>
      </c>
      <c r="F28" t="s">
        <v>275</v>
      </c>
      <c r="G28" s="112" t="str">
        <f t="shared" si="7"/>
        <v>75-79</v>
      </c>
      <c r="H28" s="110" t="str" cm="1">
        <f t="array" aca="1" ref="H28" ca="1">INDEX(K.rngStates, $D28)</f>
        <v>Transplant</v>
      </c>
      <c r="I28" s="112"/>
      <c r="J28" s="110"/>
      <c r="L28" s="123">
        <v>0</v>
      </c>
      <c r="M28" s="130">
        <v>0</v>
      </c>
      <c r="N28" s="123">
        <v>0</v>
      </c>
      <c r="O28" s="123">
        <v>0</v>
      </c>
      <c r="P28" s="123">
        <v>0</v>
      </c>
      <c r="Q28" s="123">
        <v>0</v>
      </c>
      <c r="R28" s="123">
        <v>0</v>
      </c>
      <c r="S28" s="123">
        <f>E.pTxGraftFailure</f>
        <v>3.5185265221873152E-3</v>
      </c>
      <c r="T28" s="123">
        <v>0</v>
      </c>
      <c r="U28" s="130">
        <f>1-SUM(K28:T28, V28:X28)</f>
        <v>0.98819103032856148</v>
      </c>
      <c r="V28" s="123">
        <v>0</v>
      </c>
      <c r="W28" s="123">
        <f>SUMIFS(Parameters!$M$891:$M$913, Parameters!$D$891:$D$913, $E28, Parameters!$E$891:$E$913, $F28)</f>
        <v>8.2904431492512032E-3</v>
      </c>
      <c r="X28" s="131"/>
      <c r="Y28" s="132">
        <f t="shared" si="8"/>
        <v>1</v>
      </c>
      <c r="Z28" s="131"/>
      <c r="AA28" s="123">
        <v>0</v>
      </c>
      <c r="AB28" s="130">
        <v>0</v>
      </c>
      <c r="AC28" s="123">
        <v>0</v>
      </c>
      <c r="AD28" s="123">
        <v>0</v>
      </c>
      <c r="AE28" s="123">
        <v>0</v>
      </c>
      <c r="AF28" s="123">
        <v>0</v>
      </c>
      <c r="AG28" s="123">
        <v>0</v>
      </c>
      <c r="AH28" s="123">
        <f>E.pTxGraftFailure</f>
        <v>3.5185265221873152E-3</v>
      </c>
      <c r="AI28" s="123">
        <v>0</v>
      </c>
      <c r="AJ28" s="130">
        <f>1-SUM(Z28:AI28, AK28:AM28)</f>
        <v>0.98819103032856148</v>
      </c>
      <c r="AK28" s="123">
        <v>0</v>
      </c>
      <c r="AL28" s="123">
        <f>SUMIFS(Parameters!$M$891:$M$913, Parameters!$D$891:$D$913, $E28, Parameters!$E$891:$E$913, $F28)</f>
        <v>8.2904431492512032E-3</v>
      </c>
      <c r="AM28" s="131"/>
      <c r="AN28" s="132">
        <f t="shared" si="9"/>
        <v>1</v>
      </c>
    </row>
    <row r="29" spans="1:40" ht="12" customHeight="1" thickBot="1" x14ac:dyDescent="0.3">
      <c r="D29">
        <f t="shared" si="10"/>
        <v>10</v>
      </c>
      <c r="E29">
        <f t="shared" si="6"/>
        <v>75</v>
      </c>
      <c r="F29" t="s">
        <v>275</v>
      </c>
      <c r="G29" s="112" t="str">
        <f t="shared" si="7"/>
        <v>75-79</v>
      </c>
      <c r="H29" s="110" t="str" cm="1">
        <f t="array" aca="1" ref="H29" ca="1">INDEX(K.rngStates, $D29)</f>
        <v>Post-transplant</v>
      </c>
      <c r="I29" s="112"/>
      <c r="J29" s="110"/>
      <c r="L29" s="123">
        <v>0</v>
      </c>
      <c r="M29" s="130">
        <v>0</v>
      </c>
      <c r="N29" s="123">
        <v>0</v>
      </c>
      <c r="O29" s="123">
        <v>0</v>
      </c>
      <c r="P29" s="123">
        <v>0</v>
      </c>
      <c r="Q29" s="123">
        <v>0</v>
      </c>
      <c r="R29" s="123">
        <v>0</v>
      </c>
      <c r="S29" s="123">
        <f>E.pTxGraftFailure</f>
        <v>3.5185265221873152E-3</v>
      </c>
      <c r="T29" s="123">
        <v>0</v>
      </c>
      <c r="U29" s="130">
        <f>1-SUM(K29:T29, V29:X29)</f>
        <v>0.98819103032856148</v>
      </c>
      <c r="V29" s="130">
        <v>0</v>
      </c>
      <c r="W29" s="123">
        <f>SUMIFS(Parameters!$M$891:$M$913, Parameters!$D$891:$D$913, $E29, Parameters!$E$891:$E$913, $F29)</f>
        <v>8.2904431492512032E-3</v>
      </c>
      <c r="X29" s="131"/>
      <c r="Y29" s="132">
        <f>SUM(L29:W29)</f>
        <v>1</v>
      </c>
      <c r="Z29" s="131"/>
      <c r="AA29" s="123">
        <v>0</v>
      </c>
      <c r="AB29" s="130">
        <v>0</v>
      </c>
      <c r="AC29" s="123">
        <v>0</v>
      </c>
      <c r="AD29" s="123">
        <v>0</v>
      </c>
      <c r="AE29" s="123">
        <v>0</v>
      </c>
      <c r="AF29" s="123">
        <v>0</v>
      </c>
      <c r="AG29" s="123">
        <v>0</v>
      </c>
      <c r="AH29" s="123">
        <f>E.pTxGraftFailure</f>
        <v>3.5185265221873152E-3</v>
      </c>
      <c r="AI29" s="123">
        <v>0</v>
      </c>
      <c r="AJ29" s="130">
        <f>1-SUM(Z29:AI29, AK29:AM29)</f>
        <v>0.98819103032856148</v>
      </c>
      <c r="AK29" s="130">
        <v>0</v>
      </c>
      <c r="AL29" s="123">
        <f>SUMIFS(Parameters!$M$891:$M$913, Parameters!$D$891:$D$913, $E29, Parameters!$E$891:$E$913, $F29)</f>
        <v>8.2904431492512032E-3</v>
      </c>
      <c r="AM29" s="131"/>
      <c r="AN29" s="132">
        <f>SUM(AA29:AL29)</f>
        <v>1</v>
      </c>
    </row>
    <row r="30" spans="1:40" ht="12" customHeight="1" thickBot="1" x14ac:dyDescent="0.3">
      <c r="D30">
        <f t="shared" si="10"/>
        <v>11</v>
      </c>
      <c r="E30">
        <f t="shared" si="6"/>
        <v>75</v>
      </c>
      <c r="G30" s="112" t="str">
        <f t="shared" si="7"/>
        <v>75-79</v>
      </c>
      <c r="H30" s="110" t="str" cm="1">
        <f t="array" aca="1" ref="H30" ca="1">INDEX(K.rngStates, $D30)</f>
        <v>Dead (AKI)</v>
      </c>
      <c r="I30" s="112"/>
      <c r="J30" s="110"/>
      <c r="L30" s="123">
        <v>0</v>
      </c>
      <c r="M30" s="123">
        <v>0</v>
      </c>
      <c r="N30" s="130">
        <v>0</v>
      </c>
      <c r="O30" s="130">
        <v>0</v>
      </c>
      <c r="P30" s="130">
        <v>0</v>
      </c>
      <c r="Q30" s="130">
        <v>0</v>
      </c>
      <c r="R30" s="130">
        <v>0</v>
      </c>
      <c r="S30" s="130">
        <v>0</v>
      </c>
      <c r="T30" s="130">
        <v>0</v>
      </c>
      <c r="U30" s="130">
        <v>0</v>
      </c>
      <c r="V30" s="130">
        <v>1</v>
      </c>
      <c r="W30" s="130">
        <v>0</v>
      </c>
      <c r="X30" s="131"/>
      <c r="Y30" s="132">
        <f>SUM(L30:W30)</f>
        <v>1</v>
      </c>
      <c r="Z30" s="131"/>
      <c r="AA30" s="123">
        <v>0</v>
      </c>
      <c r="AB30" s="123">
        <v>0</v>
      </c>
      <c r="AC30" s="130">
        <v>0</v>
      </c>
      <c r="AD30" s="130">
        <v>0</v>
      </c>
      <c r="AE30" s="130">
        <v>0</v>
      </c>
      <c r="AF30" s="130">
        <v>0</v>
      </c>
      <c r="AG30" s="130">
        <v>0</v>
      </c>
      <c r="AH30" s="130">
        <v>0</v>
      </c>
      <c r="AI30" s="130">
        <v>0</v>
      </c>
      <c r="AJ30" s="130">
        <v>0</v>
      </c>
      <c r="AK30" s="130">
        <v>1</v>
      </c>
      <c r="AL30" s="130">
        <v>0</v>
      </c>
      <c r="AM30" s="131"/>
      <c r="AN30" s="132">
        <f>SUM(AA30:AL30)</f>
        <v>1</v>
      </c>
    </row>
    <row r="31" spans="1:40" s="188" customFormat="1" ht="12" customHeight="1" thickBot="1" x14ac:dyDescent="0.3">
      <c r="A31" s="374"/>
      <c r="B31" s="374"/>
      <c r="C31" s="377"/>
      <c r="D31" s="188">
        <f t="shared" si="10"/>
        <v>12</v>
      </c>
      <c r="E31" s="188">
        <f t="shared" si="6"/>
        <v>75</v>
      </c>
      <c r="F31" s="200"/>
      <c r="G31" s="112" t="str">
        <f t="shared" si="7"/>
        <v>75-79</v>
      </c>
      <c r="H31" s="110" t="str" cm="1">
        <f t="array" aca="1" ref="H31" ca="1">INDEX(K.rngStates, $D31)</f>
        <v>Dead (other)</v>
      </c>
      <c r="I31" s="112"/>
      <c r="J31" s="110"/>
      <c r="L31" s="189">
        <v>0</v>
      </c>
      <c r="M31" s="189">
        <v>0</v>
      </c>
      <c r="N31" s="190">
        <v>0</v>
      </c>
      <c r="O31" s="190">
        <v>0</v>
      </c>
      <c r="P31" s="190">
        <v>0</v>
      </c>
      <c r="Q31" s="190">
        <v>0</v>
      </c>
      <c r="R31" s="190">
        <v>0</v>
      </c>
      <c r="S31" s="190">
        <v>0</v>
      </c>
      <c r="T31" s="190">
        <v>0</v>
      </c>
      <c r="U31" s="190">
        <v>0</v>
      </c>
      <c r="V31" s="190">
        <v>0</v>
      </c>
      <c r="W31" s="190">
        <v>1</v>
      </c>
      <c r="X31" s="191"/>
      <c r="Y31" s="192">
        <f>SUM(L31:W31)</f>
        <v>1</v>
      </c>
      <c r="Z31" s="191"/>
      <c r="AA31" s="189">
        <v>0</v>
      </c>
      <c r="AB31" s="189">
        <v>0</v>
      </c>
      <c r="AC31" s="190">
        <v>0</v>
      </c>
      <c r="AD31" s="190">
        <v>0</v>
      </c>
      <c r="AE31" s="190">
        <v>0</v>
      </c>
      <c r="AF31" s="190">
        <v>0</v>
      </c>
      <c r="AG31" s="190">
        <v>0</v>
      </c>
      <c r="AH31" s="190">
        <v>0</v>
      </c>
      <c r="AI31" s="190">
        <v>0</v>
      </c>
      <c r="AJ31" s="190">
        <v>0</v>
      </c>
      <c r="AK31" s="190">
        <v>0</v>
      </c>
      <c r="AL31" s="190">
        <v>1</v>
      </c>
      <c r="AM31" s="191"/>
      <c r="AN31" s="192">
        <f>SUM(AA31:AL31)</f>
        <v>1</v>
      </c>
    </row>
    <row r="32" spans="1:40" s="8" customFormat="1" ht="12" customHeight="1" thickBot="1" x14ac:dyDescent="0.3">
      <c r="A32" s="374"/>
      <c r="B32" s="374"/>
      <c r="C32" s="377"/>
      <c r="D32" s="8">
        <v>1</v>
      </c>
      <c r="E32" s="8">
        <f t="shared" si="6"/>
        <v>80</v>
      </c>
      <c r="F32" t="s">
        <v>274</v>
      </c>
      <c r="G32" s="113" t="str">
        <f>E32&amp;"-"&amp;E32+4</f>
        <v>80-84</v>
      </c>
      <c r="H32" s="121" t="str" cm="1">
        <f t="array" aca="1" ref="H32" ca="1">INDEX(K.rngStates, $D32)</f>
        <v>No event no NSAID</v>
      </c>
      <c r="I32" s="113"/>
      <c r="J32" s="121"/>
      <c r="L32" s="130">
        <f>1-SUM(K32:K32, M32:X32)</f>
        <v>0.92722152891212006</v>
      </c>
      <c r="M32" s="123">
        <v>0</v>
      </c>
      <c r="N32" s="123">
        <f>INDEX(E.rngP.AKI.Primary_noNSAIDs, MATCH($E32, Parameters!$D$833:$D$836, 1))</f>
        <v>2.3309285274898645E-2</v>
      </c>
      <c r="O32" s="123">
        <f>INDEX(E.rngP.AKI.Secondary.noRRT_noNSAIDs, MATCH($E32, Parameters!$D$833:$D$836, 1))</f>
        <v>9.6040566389986592E-3</v>
      </c>
      <c r="P32" s="123">
        <f>INDEX(E.rngP.AKI.Secondary.wRRT_noNSAIDs, MATCH($E32, Parameters!$D$833:$D$836, 1))</f>
        <v>8.193429991253387E-4</v>
      </c>
      <c r="Q32" s="123">
        <v>0</v>
      </c>
      <c r="R32" s="123">
        <f>E.pCKD5.from3B_4</f>
        <v>6.7082846410596586E-3</v>
      </c>
      <c r="S32" s="123">
        <f>E.pCKD5D.from3B_4</f>
        <v>9.1998312635980239E-3</v>
      </c>
      <c r="T32" s="123">
        <v>0</v>
      </c>
      <c r="U32" s="123">
        <v>0</v>
      </c>
      <c r="V32" s="123">
        <v>0</v>
      </c>
      <c r="W32" s="123">
        <f>SUMIFS(Parameters!$M$891:$M$913, Parameters!$D$891:$D$913, $E32, Parameters!$E$891:$E$913, $F32)</f>
        <v>2.313767027019964E-2</v>
      </c>
      <c r="X32" s="131"/>
      <c r="Y32" s="132">
        <f>SUM(L32:W32)</f>
        <v>1</v>
      </c>
      <c r="Z32" s="131"/>
      <c r="AA32" s="130">
        <f>1-SUM(Z32:Z32, AB32:AM32)</f>
        <v>0.92722152891212006</v>
      </c>
      <c r="AB32" s="123">
        <v>0</v>
      </c>
      <c r="AC32" s="123">
        <f>INDEX(E.rngP.AKI.Primary_noNSAIDs, MATCH($E32, Parameters!$D$833:$D$836, 1))</f>
        <v>2.3309285274898645E-2</v>
      </c>
      <c r="AD32" s="123">
        <f>INDEX(E.rngP.AKI.Secondary.noRRT_noNSAIDs, MATCH($E32, Parameters!$D$833:$D$836, 1))</f>
        <v>9.6040566389986592E-3</v>
      </c>
      <c r="AE32" s="123">
        <f>INDEX(E.rngP.AKI.Secondary.wRRT_noNSAIDs, MATCH($E32, Parameters!$D$833:$D$836, 1))</f>
        <v>8.193429991253387E-4</v>
      </c>
      <c r="AF32" s="123">
        <v>0</v>
      </c>
      <c r="AG32" s="123">
        <f>E.pCKD5.from3B_4</f>
        <v>6.7082846410596586E-3</v>
      </c>
      <c r="AH32" s="123">
        <f>E.pCKD5D.from3B_4</f>
        <v>9.1998312635980239E-3</v>
      </c>
      <c r="AI32" s="123">
        <v>0</v>
      </c>
      <c r="AJ32" s="123">
        <v>0</v>
      </c>
      <c r="AK32" s="123">
        <v>0</v>
      </c>
      <c r="AL32" s="123">
        <f>SUMIFS(Parameters!$M$891:$M$913, Parameters!$D$891:$D$913, $E32, Parameters!$E$891:$E$913, $F32)</f>
        <v>2.313767027019964E-2</v>
      </c>
      <c r="AM32" s="131"/>
      <c r="AN32" s="132">
        <f>SUM(AA32:AL32)</f>
        <v>1</v>
      </c>
    </row>
    <row r="33" spans="1:40" ht="12" customHeight="1" thickBot="1" x14ac:dyDescent="0.3">
      <c r="D33">
        <f>D32+1</f>
        <v>2</v>
      </c>
      <c r="E33">
        <f t="shared" si="6"/>
        <v>80</v>
      </c>
      <c r="F33" t="s">
        <v>274</v>
      </c>
      <c r="G33" s="112" t="str">
        <f t="shared" ref="G33:G43" si="11">E33&amp;"-"&amp;E33+4</f>
        <v>80-84</v>
      </c>
      <c r="H33" s="110" t="str" cm="1">
        <f t="array" aca="1" ref="H33" ca="1">INDEX(K.rngStates, $D33)</f>
        <v>No event + NSAID</v>
      </c>
      <c r="I33" s="112"/>
      <c r="J33" s="110"/>
      <c r="L33" s="123">
        <v>0</v>
      </c>
      <c r="M33" s="130">
        <f>1-SUM(K33:L33, N33:X33)</f>
        <v>0.89094818727085645</v>
      </c>
      <c r="N33" s="123">
        <f>INDEX(E.rngP.AKI.Primary_wNSAIDs, MATCH($E33, Parameters!$D$833:$D$836, 1))</f>
        <v>4.813681851709925E-2</v>
      </c>
      <c r="O33" s="123">
        <f>INDEX(E.rngP.AKI.Secondary.noRRT_wNSAIDs, MATCH($E33, Parameters!$D$833:$D$836, 1))</f>
        <v>2.0134610578728E-2</v>
      </c>
      <c r="P33" s="123">
        <f>INDEX(E.rngP.AKI.Secondary.wRRT_wNSAIDs, MATCH($E33, Parameters!$D$833:$D$836, 1))</f>
        <v>1.7345974584589208E-3</v>
      </c>
      <c r="Q33" s="123">
        <v>0</v>
      </c>
      <c r="R33" s="123">
        <f>E.pCKD5.from3B_4</f>
        <v>6.7082846410596586E-3</v>
      </c>
      <c r="S33" s="123">
        <f>E.pCKD5D.from3B_4</f>
        <v>9.1998312635980239E-3</v>
      </c>
      <c r="T33" s="123">
        <v>0</v>
      </c>
      <c r="U33" s="123">
        <v>0</v>
      </c>
      <c r="V33" s="123">
        <v>0</v>
      </c>
      <c r="W33" s="123">
        <f>SUMIFS(Parameters!$M$891:$M$913, Parameters!$D$891:$D$913, $E33, Parameters!$E$891:$E$913, $F33)</f>
        <v>2.313767027019964E-2</v>
      </c>
      <c r="X33" s="131"/>
      <c r="Y33" s="132">
        <f t="shared" ref="Y33:Y40" si="12">SUM(L33:W33)</f>
        <v>1</v>
      </c>
      <c r="Z33" s="131"/>
      <c r="AA33" s="130">
        <f>1-SUM(Z33:Z33, AB33:AM33)</f>
        <v>0.89094818727085645</v>
      </c>
      <c r="AB33" s="123">
        <v>0</v>
      </c>
      <c r="AC33" s="123">
        <f>INDEX(E.rngP.AKI.Primary_wNSAIDs, MATCH($E33, Parameters!$D$833:$D$836, 1))</f>
        <v>4.813681851709925E-2</v>
      </c>
      <c r="AD33" s="123">
        <f>INDEX(E.rngP.AKI.Secondary.noRRT_wNSAIDs, MATCH($E33, Parameters!$D$833:$D$836, 1))</f>
        <v>2.0134610578728E-2</v>
      </c>
      <c r="AE33" s="123">
        <f>INDEX(E.rngP.AKI.Secondary.wRRT_wNSAIDs, MATCH($E33, Parameters!$D$833:$D$836, 1))</f>
        <v>1.7345974584589208E-3</v>
      </c>
      <c r="AF33" s="123">
        <v>0</v>
      </c>
      <c r="AG33" s="123">
        <f>E.pCKD5.from3B_4</f>
        <v>6.7082846410596586E-3</v>
      </c>
      <c r="AH33" s="123">
        <f>E.pCKD5D.from3B_4</f>
        <v>9.1998312635980239E-3</v>
      </c>
      <c r="AI33" s="123">
        <v>0</v>
      </c>
      <c r="AJ33" s="123">
        <v>0</v>
      </c>
      <c r="AK33" s="123">
        <v>0</v>
      </c>
      <c r="AL33" s="123">
        <f>SUMIFS(Parameters!$M$891:$M$913, Parameters!$D$891:$D$913, $E33, Parameters!$E$891:$E$913, $F33)</f>
        <v>2.313767027019964E-2</v>
      </c>
      <c r="AM33" s="131"/>
      <c r="AN33" s="132">
        <f t="shared" ref="AN33:AN40" si="13">SUM(AA33:AL33)</f>
        <v>1</v>
      </c>
    </row>
    <row r="34" spans="1:40" ht="12" customHeight="1" thickBot="1" x14ac:dyDescent="0.3">
      <c r="D34">
        <f t="shared" ref="D34:D43" si="14">D33+1</f>
        <v>3</v>
      </c>
      <c r="E34">
        <f t="shared" si="6"/>
        <v>80</v>
      </c>
      <c r="F34" t="s">
        <v>274</v>
      </c>
      <c r="G34" s="112" t="str">
        <f t="shared" si="11"/>
        <v>80-84</v>
      </c>
      <c r="H34" s="110" t="str" cm="1">
        <f t="array" aca="1" ref="H34" ca="1">INDEX(K.rngStates, $D34)</f>
        <v>Primary care AKI</v>
      </c>
      <c r="I34" s="112"/>
      <c r="J34" s="110"/>
      <c r="L34" s="123">
        <v>0</v>
      </c>
      <c r="M34" s="130">
        <v>0</v>
      </c>
      <c r="N34" s="130">
        <v>0</v>
      </c>
      <c r="O34" s="130">
        <v>0</v>
      </c>
      <c r="P34" s="130">
        <v>0</v>
      </c>
      <c r="Q34" s="130">
        <f>1-SUM(K34:P34, R34:X34)</f>
        <v>0.77727127727603562</v>
      </c>
      <c r="R34" s="123">
        <f>E.pCKD5.postPrimaryAKI</f>
        <v>9.2105263157894732E-2</v>
      </c>
      <c r="S34" s="123">
        <v>0</v>
      </c>
      <c r="T34" s="123">
        <v>0</v>
      </c>
      <c r="U34" s="123">
        <v>0</v>
      </c>
      <c r="V34" s="123">
        <f>INDEX(E.rngP.AKI_PC.death, MATCH($E34, Parameters!$D$864:$D$867, 1))</f>
        <v>0.13062345956606966</v>
      </c>
      <c r="W34" s="123">
        <v>0</v>
      </c>
      <c r="X34" s="131"/>
      <c r="Y34" s="132">
        <f t="shared" si="12"/>
        <v>1</v>
      </c>
      <c r="Z34" s="131"/>
      <c r="AA34" s="123">
        <v>0</v>
      </c>
      <c r="AB34" s="130">
        <v>0</v>
      </c>
      <c r="AC34" s="130">
        <v>0</v>
      </c>
      <c r="AD34" s="130">
        <v>0</v>
      </c>
      <c r="AE34" s="130">
        <v>0</v>
      </c>
      <c r="AF34" s="130">
        <f>1-SUM(Z34:AE34, AG34:AM34)</f>
        <v>0.77727127727603562</v>
      </c>
      <c r="AG34" s="123">
        <f>E.pCKD5.postPrimaryAKI</f>
        <v>9.2105263157894732E-2</v>
      </c>
      <c r="AH34" s="123">
        <v>0</v>
      </c>
      <c r="AI34" s="123">
        <v>0</v>
      </c>
      <c r="AJ34" s="123">
        <v>0</v>
      </c>
      <c r="AK34" s="123">
        <f>INDEX(E.rngP.AKI_PC.death, MATCH($E34, Parameters!$D$864:$D$867, 1))</f>
        <v>0.13062345956606966</v>
      </c>
      <c r="AL34" s="123">
        <v>0</v>
      </c>
      <c r="AM34" s="131"/>
      <c r="AN34" s="132">
        <f t="shared" si="13"/>
        <v>1</v>
      </c>
    </row>
    <row r="35" spans="1:40" ht="12" customHeight="1" thickBot="1" x14ac:dyDescent="0.3">
      <c r="D35">
        <f t="shared" si="14"/>
        <v>4</v>
      </c>
      <c r="E35">
        <f t="shared" si="6"/>
        <v>80</v>
      </c>
      <c r="G35" s="112" t="str">
        <f t="shared" si="11"/>
        <v>80-84</v>
      </c>
      <c r="H35" s="110" t="str" cm="1">
        <f t="array" aca="1" ref="H35" ca="1">INDEX(K.rngStates, $D35)</f>
        <v>Secondary care AKI (no RRT)</v>
      </c>
      <c r="I35" s="112"/>
      <c r="J35" s="110"/>
      <c r="L35" s="123">
        <v>0</v>
      </c>
      <c r="M35" s="130">
        <v>0</v>
      </c>
      <c r="N35" s="130">
        <v>0</v>
      </c>
      <c r="O35" s="130">
        <v>0</v>
      </c>
      <c r="P35" s="130">
        <v>0</v>
      </c>
      <c r="Q35" s="130">
        <f>1-SUM(K35:P35, R35:X35)</f>
        <v>0.47868138433362861</v>
      </c>
      <c r="R35" s="123">
        <f>E.pCKD5.postSecondaryAKInoRRT</f>
        <v>0.18421052631578946</v>
      </c>
      <c r="S35" s="123">
        <v>0</v>
      </c>
      <c r="T35" s="123">
        <v>0</v>
      </c>
      <c r="U35" s="123">
        <v>0</v>
      </c>
      <c r="V35" s="123">
        <f>INDEX(E.rngP.AKI_SCnoRRT.death, MATCH($E35, Parameters!$D$864:$D$867, 1))</f>
        <v>0.3371080893505819</v>
      </c>
      <c r="W35" s="123">
        <v>0</v>
      </c>
      <c r="X35" s="131"/>
      <c r="Y35" s="132">
        <f t="shared" si="12"/>
        <v>1</v>
      </c>
      <c r="Z35" s="131"/>
      <c r="AA35" s="123">
        <v>0</v>
      </c>
      <c r="AB35" s="130">
        <v>0</v>
      </c>
      <c r="AC35" s="130">
        <v>0</v>
      </c>
      <c r="AD35" s="130">
        <v>0</v>
      </c>
      <c r="AE35" s="130">
        <v>0</v>
      </c>
      <c r="AF35" s="130">
        <f>1-SUM(Z35:AE35, AG35:AM35)</f>
        <v>0.47868138433362861</v>
      </c>
      <c r="AG35" s="123">
        <f>E.pCKD5.postSecondaryAKInoRRT</f>
        <v>0.18421052631578946</v>
      </c>
      <c r="AH35" s="123">
        <v>0</v>
      </c>
      <c r="AI35" s="123">
        <v>0</v>
      </c>
      <c r="AJ35" s="123">
        <v>0</v>
      </c>
      <c r="AK35" s="123">
        <f>INDEX(E.rngP.AKI_SCnoRRT.death, MATCH($E35, Parameters!$D$864:$D$867, 1))</f>
        <v>0.3371080893505819</v>
      </c>
      <c r="AL35" s="123">
        <v>0</v>
      </c>
      <c r="AM35" s="131"/>
      <c r="AN35" s="132">
        <f t="shared" si="13"/>
        <v>1</v>
      </c>
    </row>
    <row r="36" spans="1:40" ht="12" customHeight="1" thickBot="1" x14ac:dyDescent="0.3">
      <c r="D36">
        <f t="shared" si="14"/>
        <v>5</v>
      </c>
      <c r="E36">
        <f t="shared" si="6"/>
        <v>80</v>
      </c>
      <c r="G36" s="112" t="str">
        <f t="shared" si="11"/>
        <v>80-84</v>
      </c>
      <c r="H36" s="110" t="str" cm="1">
        <f t="array" aca="1" ref="H36" ca="1">INDEX(K.rngStates, $D36)</f>
        <v>Secondary care AKI (with RRT)</v>
      </c>
      <c r="I36" s="112"/>
      <c r="J36" s="110"/>
      <c r="L36" s="123">
        <v>0</v>
      </c>
      <c r="M36" s="130">
        <v>0</v>
      </c>
      <c r="N36" s="130">
        <v>0</v>
      </c>
      <c r="O36" s="130">
        <v>0</v>
      </c>
      <c r="P36" s="130">
        <v>0</v>
      </c>
      <c r="Q36" s="130">
        <f>1-SUM(K36:P36, R36:X36)</f>
        <v>0.32938897202390705</v>
      </c>
      <c r="R36" s="123">
        <f>E.pCKD5.postSecondaryAKI</f>
        <v>0.17109099278809267</v>
      </c>
      <c r="S36" s="123">
        <f>E.pCKD5D.postSecondaryAKI</f>
        <v>1.3119533527696793E-2</v>
      </c>
      <c r="T36" s="123">
        <v>0</v>
      </c>
      <c r="U36" s="123">
        <v>0</v>
      </c>
      <c r="V36" s="123">
        <f>INDEX(E.rngP.AKI_SCwRRT.death, MATCH($E36, Parameters!$D$864:$D$867, 1))</f>
        <v>0.48640050166030346</v>
      </c>
      <c r="W36" s="123">
        <v>0</v>
      </c>
      <c r="X36" s="131"/>
      <c r="Y36" s="132">
        <f t="shared" si="12"/>
        <v>1</v>
      </c>
      <c r="Z36" s="131"/>
      <c r="AA36" s="123">
        <v>0</v>
      </c>
      <c r="AB36" s="130">
        <v>0</v>
      </c>
      <c r="AC36" s="130">
        <v>0</v>
      </c>
      <c r="AD36" s="130">
        <v>0</v>
      </c>
      <c r="AE36" s="130">
        <v>0</v>
      </c>
      <c r="AF36" s="130">
        <f>1-SUM(Z36:AE36, AG36:AM36)</f>
        <v>0.32938897202390705</v>
      </c>
      <c r="AG36" s="123">
        <f>E.pCKD5.postSecondaryAKI</f>
        <v>0.17109099278809267</v>
      </c>
      <c r="AH36" s="123">
        <f>E.pCKD5D.postSecondaryAKI</f>
        <v>1.3119533527696793E-2</v>
      </c>
      <c r="AI36" s="123">
        <v>0</v>
      </c>
      <c r="AJ36" s="123">
        <v>0</v>
      </c>
      <c r="AK36" s="123">
        <f>INDEX(E.rngP.AKI_SCwRRT.death, MATCH($E36, Parameters!$D$864:$D$867, 1))</f>
        <v>0.48640050166030346</v>
      </c>
      <c r="AL36" s="123">
        <v>0</v>
      </c>
      <c r="AM36" s="131"/>
      <c r="AN36" s="132">
        <f t="shared" si="13"/>
        <v>1</v>
      </c>
    </row>
    <row r="37" spans="1:40" ht="12" customHeight="1" thickBot="1" x14ac:dyDescent="0.3">
      <c r="D37">
        <f t="shared" si="14"/>
        <v>6</v>
      </c>
      <c r="E37">
        <f t="shared" si="6"/>
        <v>80</v>
      </c>
      <c r="F37" t="s">
        <v>274</v>
      </c>
      <c r="G37" s="112" t="str">
        <f t="shared" si="11"/>
        <v>80-84</v>
      </c>
      <c r="H37" s="110" t="str" cm="1">
        <f t="array" aca="1" ref="H37" ca="1">INDEX(K.rngStates, $D37)</f>
        <v>Post-event CKD stage 3b-4</v>
      </c>
      <c r="I37" s="112"/>
      <c r="J37" s="110"/>
      <c r="L37" s="123">
        <v>0</v>
      </c>
      <c r="M37" s="130">
        <v>0</v>
      </c>
      <c r="N37" s="123">
        <f>INDEX(E.rngP.AKI.Primary_noNSAIDs, MATCH($E37, Parameters!$D$833:$D$836, 1))</f>
        <v>2.3309285274898645E-2</v>
      </c>
      <c r="O37" s="123">
        <f>INDEX(E.rngP.AKI.Secondary.noRRT_noNSAIDs, MATCH($E37, Parameters!$D$833:$D$836, 1))</f>
        <v>9.6040566389986592E-3</v>
      </c>
      <c r="P37" s="123">
        <f>INDEX(E.rngP.AKI.Secondary.wRRT_noNSAIDs, MATCH($E37, Parameters!$D$833:$D$836, 1))</f>
        <v>8.193429991253387E-4</v>
      </c>
      <c r="Q37" s="130">
        <f>1-SUM(K37:P37, R37:X37)</f>
        <v>0.92722152891212006</v>
      </c>
      <c r="R37" s="123">
        <f>E.pCKD5.from3B_4</f>
        <v>6.7082846410596586E-3</v>
      </c>
      <c r="S37" s="123">
        <f>E.pCKD5D.from3B_4</f>
        <v>9.1998312635980239E-3</v>
      </c>
      <c r="T37" s="123">
        <f>E.pTx.from3B_4</f>
        <v>0</v>
      </c>
      <c r="U37" s="123">
        <v>0</v>
      </c>
      <c r="V37" s="123">
        <v>0</v>
      </c>
      <c r="W37" s="123">
        <f>SUMIFS(Parameters!$M$891:$M$913, Parameters!$D$891:$D$913, $E37, Parameters!$E$891:$E$913, $F37)</f>
        <v>2.313767027019964E-2</v>
      </c>
      <c r="X37" s="131"/>
      <c r="Y37" s="132">
        <f t="shared" si="12"/>
        <v>1</v>
      </c>
      <c r="Z37" s="131"/>
      <c r="AA37" s="123">
        <v>0</v>
      </c>
      <c r="AB37" s="130">
        <v>0</v>
      </c>
      <c r="AC37" s="123">
        <f>INDEX(E.rngP.AKI.Primary_noNSAIDs, MATCH($E37, Parameters!$D$833:$D$836, 1))</f>
        <v>2.3309285274898645E-2</v>
      </c>
      <c r="AD37" s="123">
        <f>INDEX(E.rngP.AKI.Secondary.noRRT_noNSAIDs, MATCH($E37, Parameters!$D$833:$D$836, 1))</f>
        <v>9.6040566389986592E-3</v>
      </c>
      <c r="AE37" s="123">
        <f>INDEX(E.rngP.AKI.Secondary.wRRT_noNSAIDs, MATCH($E37, Parameters!$D$833:$D$836, 1))</f>
        <v>8.193429991253387E-4</v>
      </c>
      <c r="AF37" s="130">
        <f>1-SUM(Z37:AE37, AG37:AM37)</f>
        <v>0.92722152891212006</v>
      </c>
      <c r="AG37" s="123">
        <f>E.pCKD5.from3B_4</f>
        <v>6.7082846410596586E-3</v>
      </c>
      <c r="AH37" s="123">
        <f>E.pCKD5D.from3B_4</f>
        <v>9.1998312635980239E-3</v>
      </c>
      <c r="AI37" s="123">
        <f>E.pTx.from3B_4</f>
        <v>0</v>
      </c>
      <c r="AJ37" s="123">
        <v>0</v>
      </c>
      <c r="AK37" s="123">
        <v>0</v>
      </c>
      <c r="AL37" s="123">
        <f>SUMIFS(Parameters!$M$891:$M$913, Parameters!$D$891:$D$913, $E37, Parameters!$E$891:$E$913, $F37)</f>
        <v>2.313767027019964E-2</v>
      </c>
      <c r="AM37" s="131"/>
      <c r="AN37" s="132">
        <f t="shared" si="13"/>
        <v>1</v>
      </c>
    </row>
    <row r="38" spans="1:40" ht="12" customHeight="1" thickBot="1" x14ac:dyDescent="0.3">
      <c r="D38">
        <f t="shared" si="14"/>
        <v>7</v>
      </c>
      <c r="E38">
        <f t="shared" si="6"/>
        <v>80</v>
      </c>
      <c r="F38" s="201">
        <v>5</v>
      </c>
      <c r="G38" s="112" t="str">
        <f t="shared" si="11"/>
        <v>80-84</v>
      </c>
      <c r="H38" s="110" t="str" cm="1">
        <f t="array" aca="1" ref="H38" ca="1">INDEX(K.rngStates, $D38)</f>
        <v>ESRD</v>
      </c>
      <c r="I38" s="112"/>
      <c r="J38" s="110"/>
      <c r="L38" s="123">
        <v>0</v>
      </c>
      <c r="M38" s="130">
        <v>0</v>
      </c>
      <c r="N38" s="123">
        <v>0</v>
      </c>
      <c r="O38" s="123">
        <v>0</v>
      </c>
      <c r="P38" s="123">
        <v>0</v>
      </c>
      <c r="Q38" s="123">
        <v>0</v>
      </c>
      <c r="R38" s="130">
        <f>1-SUM(K38:Q38, S38:X38)</f>
        <v>0.90400627828256797</v>
      </c>
      <c r="S38" s="123">
        <f>E.pCKD5D.from5</f>
        <v>3.6592192793112654E-2</v>
      </c>
      <c r="T38" s="123">
        <f>E.pTx.from5</f>
        <v>1.3265655592658132E-2</v>
      </c>
      <c r="U38" s="123">
        <v>0</v>
      </c>
      <c r="V38" s="123">
        <v>0</v>
      </c>
      <c r="W38" s="123">
        <f>SUMIFS(Parameters!$M$891:$M$913, Parameters!$D$891:$D$913, $E38, Parameters!$E$891:$E$913, $F38)</f>
        <v>4.6135873331661248E-2</v>
      </c>
      <c r="X38" s="131"/>
      <c r="Y38" s="132">
        <f t="shared" si="12"/>
        <v>1</v>
      </c>
      <c r="Z38" s="131"/>
      <c r="AA38" s="123">
        <v>0</v>
      </c>
      <c r="AB38" s="130">
        <v>0</v>
      </c>
      <c r="AC38" s="123">
        <v>0</v>
      </c>
      <c r="AD38" s="123">
        <v>0</v>
      </c>
      <c r="AE38" s="123">
        <v>0</v>
      </c>
      <c r="AF38" s="123">
        <v>0</v>
      </c>
      <c r="AG38" s="130">
        <f>1-SUM(Z38:AF38, AH38:AM38)</f>
        <v>0.90400627828256797</v>
      </c>
      <c r="AH38" s="123">
        <f>E.pCKD5D.from5</f>
        <v>3.6592192793112654E-2</v>
      </c>
      <c r="AI38" s="123">
        <f>E.pTx.from5</f>
        <v>1.3265655592658132E-2</v>
      </c>
      <c r="AJ38" s="123">
        <v>0</v>
      </c>
      <c r="AK38" s="123">
        <v>0</v>
      </c>
      <c r="AL38" s="123">
        <f>SUMIFS(Parameters!$M$891:$M$913, Parameters!$D$891:$D$913, $E38, Parameters!$E$891:$E$913, $F38)</f>
        <v>4.6135873331661248E-2</v>
      </c>
      <c r="AM38" s="131"/>
      <c r="AN38" s="132">
        <f t="shared" si="13"/>
        <v>1</v>
      </c>
    </row>
    <row r="39" spans="1:40" ht="12" customHeight="1" thickBot="1" x14ac:dyDescent="0.3">
      <c r="D39">
        <f t="shared" si="14"/>
        <v>8</v>
      </c>
      <c r="E39">
        <f t="shared" si="6"/>
        <v>80</v>
      </c>
      <c r="F39" t="s">
        <v>112</v>
      </c>
      <c r="G39" s="112" t="str">
        <f t="shared" si="11"/>
        <v>80-84</v>
      </c>
      <c r="H39" s="110" t="str" cm="1">
        <f t="array" aca="1" ref="H39" ca="1">INDEX(K.rngStates, $D39)</f>
        <v>ESRD+RRT</v>
      </c>
      <c r="I39" s="112"/>
      <c r="J39" s="110"/>
      <c r="L39" s="123">
        <v>0</v>
      </c>
      <c r="M39" s="130">
        <v>0</v>
      </c>
      <c r="N39" s="123">
        <v>0</v>
      </c>
      <c r="O39" s="123">
        <v>0</v>
      </c>
      <c r="P39" s="123">
        <v>0</v>
      </c>
      <c r="Q39" s="123">
        <v>0</v>
      </c>
      <c r="R39" s="123">
        <v>0</v>
      </c>
      <c r="S39" s="130">
        <f>1-SUM(K39:R39, T39:X39)</f>
        <v>0.92721957984030878</v>
      </c>
      <c r="T39" s="123">
        <f>E.pTx.from5D</f>
        <v>1.6189466449663015E-2</v>
      </c>
      <c r="U39" s="123">
        <v>0</v>
      </c>
      <c r="V39" s="123">
        <v>0</v>
      </c>
      <c r="W39" s="123">
        <f>SUMIFS(Parameters!$M$891:$M$913, Parameters!$D$891:$D$913, $E39, Parameters!$E$891:$E$913, $F39)</f>
        <v>5.6590953710028202E-2</v>
      </c>
      <c r="X39" s="131"/>
      <c r="Y39" s="132">
        <f t="shared" si="12"/>
        <v>1</v>
      </c>
      <c r="Z39" s="131"/>
      <c r="AA39" s="123">
        <v>0</v>
      </c>
      <c r="AB39" s="130">
        <v>0</v>
      </c>
      <c r="AC39" s="123">
        <v>0</v>
      </c>
      <c r="AD39" s="123">
        <v>0</v>
      </c>
      <c r="AE39" s="123">
        <v>0</v>
      </c>
      <c r="AF39" s="123">
        <v>0</v>
      </c>
      <c r="AG39" s="123">
        <v>0</v>
      </c>
      <c r="AH39" s="130">
        <f>1-SUM(Z39:AG39, AI39:AM39)</f>
        <v>0.92721957984030878</v>
      </c>
      <c r="AI39" s="123">
        <f>E.pTx.from5D</f>
        <v>1.6189466449663015E-2</v>
      </c>
      <c r="AJ39" s="123">
        <v>0</v>
      </c>
      <c r="AK39" s="123">
        <v>0</v>
      </c>
      <c r="AL39" s="123">
        <f>SUMIFS(Parameters!$M$891:$M$913, Parameters!$D$891:$D$913, $E39, Parameters!$E$891:$E$913, $F39)</f>
        <v>5.6590953710028202E-2</v>
      </c>
      <c r="AM39" s="131"/>
      <c r="AN39" s="132">
        <f t="shared" si="13"/>
        <v>1</v>
      </c>
    </row>
    <row r="40" spans="1:40" ht="12" customHeight="1" thickBot="1" x14ac:dyDescent="0.3">
      <c r="D40">
        <f t="shared" si="14"/>
        <v>9</v>
      </c>
      <c r="E40">
        <f t="shared" si="6"/>
        <v>80</v>
      </c>
      <c r="F40" t="s">
        <v>275</v>
      </c>
      <c r="G40" s="112" t="str">
        <f t="shared" si="11"/>
        <v>80-84</v>
      </c>
      <c r="H40" s="110" t="str" cm="1">
        <f t="array" aca="1" ref="H40" ca="1">INDEX(K.rngStates, $D40)</f>
        <v>Transplant</v>
      </c>
      <c r="I40" s="112"/>
      <c r="J40" s="110"/>
      <c r="L40" s="123">
        <v>0</v>
      </c>
      <c r="M40" s="130">
        <v>0</v>
      </c>
      <c r="N40" s="123">
        <v>0</v>
      </c>
      <c r="O40" s="123">
        <v>0</v>
      </c>
      <c r="P40" s="123">
        <v>0</v>
      </c>
      <c r="Q40" s="123">
        <v>0</v>
      </c>
      <c r="R40" s="123">
        <v>0</v>
      </c>
      <c r="S40" s="123">
        <f>E.pTxGraftFailure</f>
        <v>3.5185265221873152E-3</v>
      </c>
      <c r="T40" s="123">
        <v>0</v>
      </c>
      <c r="U40" s="130">
        <f>1-SUM(K40:T40, V40:X40)</f>
        <v>0.98179045517234831</v>
      </c>
      <c r="V40" s="123">
        <v>0</v>
      </c>
      <c r="W40" s="123">
        <f>SUMIFS(Parameters!$M$891:$M$913, Parameters!$D$891:$D$913, $E40, Parameters!$E$891:$E$913, $F40)</f>
        <v>1.4691018305464376E-2</v>
      </c>
      <c r="X40" s="131"/>
      <c r="Y40" s="132">
        <f t="shared" si="12"/>
        <v>1</v>
      </c>
      <c r="Z40" s="131"/>
      <c r="AA40" s="123">
        <v>0</v>
      </c>
      <c r="AB40" s="130">
        <v>0</v>
      </c>
      <c r="AC40" s="123">
        <v>0</v>
      </c>
      <c r="AD40" s="123">
        <v>0</v>
      </c>
      <c r="AE40" s="123">
        <v>0</v>
      </c>
      <c r="AF40" s="123">
        <v>0</v>
      </c>
      <c r="AG40" s="123">
        <v>0</v>
      </c>
      <c r="AH40" s="123">
        <f>E.pTxGraftFailure</f>
        <v>3.5185265221873152E-3</v>
      </c>
      <c r="AI40" s="123">
        <v>0</v>
      </c>
      <c r="AJ40" s="130">
        <f>1-SUM(Z40:AI40, AK40:AM40)</f>
        <v>0.98179045517234831</v>
      </c>
      <c r="AK40" s="123">
        <v>0</v>
      </c>
      <c r="AL40" s="123">
        <f>SUMIFS(Parameters!$M$891:$M$913, Parameters!$D$891:$D$913, $E40, Parameters!$E$891:$E$913, $F40)</f>
        <v>1.4691018305464376E-2</v>
      </c>
      <c r="AM40" s="131"/>
      <c r="AN40" s="132">
        <f t="shared" si="13"/>
        <v>1</v>
      </c>
    </row>
    <row r="41" spans="1:40" ht="12" customHeight="1" thickBot="1" x14ac:dyDescent="0.3">
      <c r="D41">
        <f t="shared" si="14"/>
        <v>10</v>
      </c>
      <c r="E41">
        <f t="shared" si="6"/>
        <v>80</v>
      </c>
      <c r="F41" t="s">
        <v>275</v>
      </c>
      <c r="G41" s="112" t="str">
        <f t="shared" si="11"/>
        <v>80-84</v>
      </c>
      <c r="H41" s="110" t="str" cm="1">
        <f t="array" aca="1" ref="H41" ca="1">INDEX(K.rngStates, $D41)</f>
        <v>Post-transplant</v>
      </c>
      <c r="I41" s="112"/>
      <c r="J41" s="110"/>
      <c r="L41" s="123">
        <v>0</v>
      </c>
      <c r="M41" s="130">
        <v>0</v>
      </c>
      <c r="N41" s="123">
        <v>0</v>
      </c>
      <c r="O41" s="123">
        <v>0</v>
      </c>
      <c r="P41" s="123">
        <v>0</v>
      </c>
      <c r="Q41" s="123">
        <v>0</v>
      </c>
      <c r="R41" s="123">
        <v>0</v>
      </c>
      <c r="S41" s="123">
        <f>E.pTxGraftFailure</f>
        <v>3.5185265221873152E-3</v>
      </c>
      <c r="T41" s="123">
        <v>0</v>
      </c>
      <c r="U41" s="130">
        <f>1-SUM(K41:T41, V41:X41)</f>
        <v>0.98179045517234831</v>
      </c>
      <c r="V41" s="130">
        <v>0</v>
      </c>
      <c r="W41" s="123">
        <f>SUMIFS(Parameters!$M$891:$M$913, Parameters!$D$891:$D$913, $E41, Parameters!$E$891:$E$913, $F41)</f>
        <v>1.4691018305464376E-2</v>
      </c>
      <c r="X41" s="131"/>
      <c r="Y41" s="132">
        <f>SUM(L41:W41)</f>
        <v>1</v>
      </c>
      <c r="Z41" s="131"/>
      <c r="AA41" s="123">
        <v>0</v>
      </c>
      <c r="AB41" s="130">
        <v>0</v>
      </c>
      <c r="AC41" s="123">
        <v>0</v>
      </c>
      <c r="AD41" s="123">
        <v>0</v>
      </c>
      <c r="AE41" s="123">
        <v>0</v>
      </c>
      <c r="AF41" s="123">
        <v>0</v>
      </c>
      <c r="AG41" s="123">
        <v>0</v>
      </c>
      <c r="AH41" s="123">
        <f>E.pTxGraftFailure</f>
        <v>3.5185265221873152E-3</v>
      </c>
      <c r="AI41" s="123">
        <v>0</v>
      </c>
      <c r="AJ41" s="130">
        <f>1-SUM(Z41:AI41, AK41:AM41)</f>
        <v>0.98179045517234831</v>
      </c>
      <c r="AK41" s="130">
        <v>0</v>
      </c>
      <c r="AL41" s="123">
        <f>SUMIFS(Parameters!$M$891:$M$913, Parameters!$D$891:$D$913, $E41, Parameters!$E$891:$E$913, $F41)</f>
        <v>1.4691018305464376E-2</v>
      </c>
      <c r="AM41" s="131"/>
      <c r="AN41" s="132">
        <f>SUM(AA41:AL41)</f>
        <v>1</v>
      </c>
    </row>
    <row r="42" spans="1:40" ht="12" customHeight="1" thickBot="1" x14ac:dyDescent="0.3">
      <c r="D42">
        <f t="shared" si="14"/>
        <v>11</v>
      </c>
      <c r="E42">
        <f t="shared" si="6"/>
        <v>80</v>
      </c>
      <c r="G42" s="112" t="str">
        <f t="shared" si="11"/>
        <v>80-84</v>
      </c>
      <c r="H42" s="110" t="str" cm="1">
        <f t="array" aca="1" ref="H42" ca="1">INDEX(K.rngStates, $D42)</f>
        <v>Dead (AKI)</v>
      </c>
      <c r="I42" s="112"/>
      <c r="J42" s="110"/>
      <c r="L42" s="123">
        <v>0</v>
      </c>
      <c r="M42" s="123">
        <v>0</v>
      </c>
      <c r="N42" s="130">
        <v>0</v>
      </c>
      <c r="O42" s="130">
        <v>0</v>
      </c>
      <c r="P42" s="130">
        <v>0</v>
      </c>
      <c r="Q42" s="130">
        <v>0</v>
      </c>
      <c r="R42" s="130">
        <v>0</v>
      </c>
      <c r="S42" s="130">
        <v>0</v>
      </c>
      <c r="T42" s="130">
        <v>0</v>
      </c>
      <c r="U42" s="130">
        <v>0</v>
      </c>
      <c r="V42" s="130">
        <v>1</v>
      </c>
      <c r="W42" s="130">
        <v>0</v>
      </c>
      <c r="X42" s="131"/>
      <c r="Y42" s="132">
        <f>SUM(L42:W42)</f>
        <v>1</v>
      </c>
      <c r="Z42" s="131"/>
      <c r="AA42" s="123">
        <v>0</v>
      </c>
      <c r="AB42" s="123">
        <v>0</v>
      </c>
      <c r="AC42" s="130">
        <v>0</v>
      </c>
      <c r="AD42" s="130">
        <v>0</v>
      </c>
      <c r="AE42" s="130">
        <v>0</v>
      </c>
      <c r="AF42" s="130">
        <v>0</v>
      </c>
      <c r="AG42" s="130">
        <v>0</v>
      </c>
      <c r="AH42" s="130">
        <v>0</v>
      </c>
      <c r="AI42" s="130">
        <v>0</v>
      </c>
      <c r="AJ42" s="130">
        <v>0</v>
      </c>
      <c r="AK42" s="130">
        <v>1</v>
      </c>
      <c r="AL42" s="130">
        <v>0</v>
      </c>
      <c r="AM42" s="131"/>
      <c r="AN42" s="132">
        <f>SUM(AA42:AL42)</f>
        <v>1</v>
      </c>
    </row>
    <row r="43" spans="1:40" s="188" customFormat="1" ht="12" customHeight="1" thickBot="1" x14ac:dyDescent="0.3">
      <c r="A43" s="374"/>
      <c r="B43" s="374"/>
      <c r="C43" s="377"/>
      <c r="D43" s="188">
        <f t="shared" si="14"/>
        <v>12</v>
      </c>
      <c r="E43" s="188">
        <f t="shared" si="6"/>
        <v>80</v>
      </c>
      <c r="F43" s="200"/>
      <c r="G43" s="112" t="str">
        <f t="shared" si="11"/>
        <v>80-84</v>
      </c>
      <c r="H43" s="110" t="str" cm="1">
        <f t="array" aca="1" ref="H43" ca="1">INDEX(K.rngStates, $D43)</f>
        <v>Dead (other)</v>
      </c>
      <c r="I43" s="112"/>
      <c r="J43" s="110"/>
      <c r="L43" s="189">
        <v>0</v>
      </c>
      <c r="M43" s="189">
        <v>0</v>
      </c>
      <c r="N43" s="190">
        <v>0</v>
      </c>
      <c r="O43" s="190">
        <v>0</v>
      </c>
      <c r="P43" s="190">
        <v>0</v>
      </c>
      <c r="Q43" s="190">
        <v>0</v>
      </c>
      <c r="R43" s="190">
        <v>0</v>
      </c>
      <c r="S43" s="190">
        <v>0</v>
      </c>
      <c r="T43" s="190">
        <v>0</v>
      </c>
      <c r="U43" s="190">
        <v>0</v>
      </c>
      <c r="V43" s="190">
        <v>0</v>
      </c>
      <c r="W43" s="190">
        <v>1</v>
      </c>
      <c r="X43" s="191"/>
      <c r="Y43" s="192">
        <f>SUM(L43:W43)</f>
        <v>1</v>
      </c>
      <c r="Z43" s="191"/>
      <c r="AA43" s="189">
        <v>0</v>
      </c>
      <c r="AB43" s="189">
        <v>0</v>
      </c>
      <c r="AC43" s="190">
        <v>0</v>
      </c>
      <c r="AD43" s="190">
        <v>0</v>
      </c>
      <c r="AE43" s="190">
        <v>0</v>
      </c>
      <c r="AF43" s="190">
        <v>0</v>
      </c>
      <c r="AG43" s="190">
        <v>0</v>
      </c>
      <c r="AH43" s="190">
        <v>0</v>
      </c>
      <c r="AI43" s="190">
        <v>0</v>
      </c>
      <c r="AJ43" s="190">
        <v>0</v>
      </c>
      <c r="AK43" s="190">
        <v>0</v>
      </c>
      <c r="AL43" s="190">
        <v>1</v>
      </c>
      <c r="AM43" s="191"/>
      <c r="AN43" s="192">
        <f>SUM(AA43:AL43)</f>
        <v>1</v>
      </c>
    </row>
    <row r="44" spans="1:40" s="8" customFormat="1" ht="12" customHeight="1" thickBot="1" x14ac:dyDescent="0.3">
      <c r="A44" s="374"/>
      <c r="B44" s="374"/>
      <c r="C44" s="377"/>
      <c r="D44" s="8">
        <v>1</v>
      </c>
      <c r="E44" s="8">
        <f t="shared" si="6"/>
        <v>85</v>
      </c>
      <c r="F44" t="s">
        <v>274</v>
      </c>
      <c r="G44" s="113" t="str">
        <f>E44&amp;"-"&amp;E44+4</f>
        <v>85-89</v>
      </c>
      <c r="H44" s="121" t="str" cm="1">
        <f t="array" aca="1" ref="H44" ca="1">INDEX(K.rngStates, $D44)</f>
        <v>No event no NSAID</v>
      </c>
      <c r="I44" s="113"/>
      <c r="J44" s="121"/>
      <c r="L44" s="130">
        <f>1-SUM(K44:K44, M44:X44)</f>
        <v>0.89881778729878503</v>
      </c>
      <c r="M44" s="123">
        <v>0</v>
      </c>
      <c r="N44" s="123">
        <f>INDEX(E.rngP.AKI.Primary_noNSAIDs, MATCH($E44, Parameters!$D$833:$D$836, 1))</f>
        <v>2.9145812553447222E-2</v>
      </c>
      <c r="O44" s="123">
        <f>INDEX(E.rngP.AKI.Secondary.noRRT_noNSAIDs, MATCH($E44, Parameters!$D$833:$D$836, 1))</f>
        <v>1.2008863903449843E-2</v>
      </c>
      <c r="P44" s="123">
        <f>INDEX(E.rngP.AKI.Secondary.wRRT_noNSAIDs, MATCH($E44, Parameters!$D$833:$D$836, 1))</f>
        <v>1.0245023469339402E-3</v>
      </c>
      <c r="Q44" s="123">
        <v>0</v>
      </c>
      <c r="R44" s="123">
        <f>E.pCKD5.from3B_4</f>
        <v>6.7082846410596586E-3</v>
      </c>
      <c r="S44" s="123">
        <f>E.pCKD5D.from3B_4</f>
        <v>9.1998312635980239E-3</v>
      </c>
      <c r="T44" s="123">
        <v>0</v>
      </c>
      <c r="U44" s="123">
        <v>0</v>
      </c>
      <c r="V44" s="123">
        <v>0</v>
      </c>
      <c r="W44" s="123">
        <f>SUMIFS(Parameters!$M$891:$M$913, Parameters!$D$891:$D$913, $E44, Parameters!$E$891:$E$913, $F44)</f>
        <v>4.3094917992726245E-2</v>
      </c>
      <c r="X44" s="131"/>
      <c r="Y44" s="132">
        <f>SUM(L44:W44)</f>
        <v>0.99999999999999989</v>
      </c>
      <c r="Z44" s="131"/>
      <c r="AA44" s="130">
        <f>1-SUM(Z44:Z44, AB44:AM44)</f>
        <v>0.89881778729878503</v>
      </c>
      <c r="AB44" s="123">
        <v>0</v>
      </c>
      <c r="AC44" s="123">
        <f>INDEX(E.rngP.AKI.Primary_noNSAIDs, MATCH($E44, Parameters!$D$833:$D$836, 1))</f>
        <v>2.9145812553447222E-2</v>
      </c>
      <c r="AD44" s="123">
        <f>INDEX(E.rngP.AKI.Secondary.noRRT_noNSAIDs, MATCH($E44, Parameters!$D$833:$D$836, 1))</f>
        <v>1.2008863903449843E-2</v>
      </c>
      <c r="AE44" s="123">
        <f>INDEX(E.rngP.AKI.Secondary.wRRT_noNSAIDs, MATCH($E44, Parameters!$D$833:$D$836, 1))</f>
        <v>1.0245023469339402E-3</v>
      </c>
      <c r="AF44" s="123">
        <v>0</v>
      </c>
      <c r="AG44" s="123">
        <f>E.pCKD5.from3B_4</f>
        <v>6.7082846410596586E-3</v>
      </c>
      <c r="AH44" s="123">
        <f>E.pCKD5D.from3B_4</f>
        <v>9.1998312635980239E-3</v>
      </c>
      <c r="AI44" s="123">
        <v>0</v>
      </c>
      <c r="AJ44" s="123">
        <v>0</v>
      </c>
      <c r="AK44" s="123">
        <v>0</v>
      </c>
      <c r="AL44" s="123">
        <f>SUMIFS(Parameters!$M$891:$M$913, Parameters!$D$891:$D$913, $E44, Parameters!$E$891:$E$913, $F44)</f>
        <v>4.3094917992726245E-2</v>
      </c>
      <c r="AM44" s="131"/>
      <c r="AN44" s="132">
        <f>SUM(AA44:AL44)</f>
        <v>0.99999999999999989</v>
      </c>
    </row>
    <row r="45" spans="1:40" ht="12" customHeight="1" thickBot="1" x14ac:dyDescent="0.3">
      <c r="D45">
        <f>D44+1</f>
        <v>2</v>
      </c>
      <c r="E45">
        <f t="shared" si="6"/>
        <v>85</v>
      </c>
      <c r="F45" t="s">
        <v>274</v>
      </c>
      <c r="G45" s="112" t="str">
        <f t="shared" ref="G45:G55" si="15">E45&amp;"-"&amp;E45+4</f>
        <v>85-89</v>
      </c>
      <c r="H45" s="110" t="str" cm="1">
        <f t="array" aca="1" ref="H45" ca="1">INDEX(K.rngStates, $D45)</f>
        <v>No event + NSAID</v>
      </c>
      <c r="I45" s="112"/>
      <c r="J45" s="110"/>
      <c r="L45" s="123">
        <v>0</v>
      </c>
      <c r="M45" s="130">
        <f>1-SUM(K45:L45, N45:X45)</f>
        <v>0.8640946389256986</v>
      </c>
      <c r="N45" s="123">
        <f>INDEX(E.rngP.AKI.Primary_wNSAIDs, MATCH($E45, Parameters!$D$833:$D$836, 1))</f>
        <v>5.2888780541090044E-2</v>
      </c>
      <c r="O45" s="123">
        <f>INDEX(E.rngP.AKI.Secondary.noRRT_wNSAIDs, MATCH($E45, Parameters!$D$833:$D$836, 1))</f>
        <v>2.2109529546512893E-2</v>
      </c>
      <c r="P45" s="123">
        <f>INDEX(E.rngP.AKI.Secondary.wRRT_wNSAIDs, MATCH($E45, Parameters!$D$833:$D$836, 1))</f>
        <v>1.9040170893145371E-3</v>
      </c>
      <c r="Q45" s="123">
        <v>0</v>
      </c>
      <c r="R45" s="123">
        <f>E.pCKD5.from3B_4</f>
        <v>6.7082846410596586E-3</v>
      </c>
      <c r="S45" s="123">
        <f>E.pCKD5D.from3B_4</f>
        <v>9.1998312635980239E-3</v>
      </c>
      <c r="T45" s="123">
        <v>0</v>
      </c>
      <c r="U45" s="123">
        <v>0</v>
      </c>
      <c r="V45" s="123">
        <v>0</v>
      </c>
      <c r="W45" s="123">
        <f>SUMIFS(Parameters!$M$891:$M$913, Parameters!$D$891:$D$913, $E45, Parameters!$E$891:$E$913, $F45)</f>
        <v>4.3094917992726245E-2</v>
      </c>
      <c r="X45" s="131"/>
      <c r="Y45" s="132">
        <f t="shared" ref="Y45:Y52" si="16">SUM(L45:W45)</f>
        <v>1</v>
      </c>
      <c r="Z45" s="131"/>
      <c r="AA45" s="130">
        <f>1-SUM(Z45:Z45, AB45:AM45)</f>
        <v>0.8640946389256986</v>
      </c>
      <c r="AB45" s="123">
        <v>0</v>
      </c>
      <c r="AC45" s="123">
        <f>INDEX(E.rngP.AKI.Primary_wNSAIDs, MATCH($E45, Parameters!$D$833:$D$836, 1))</f>
        <v>5.2888780541090044E-2</v>
      </c>
      <c r="AD45" s="123">
        <f>INDEX(E.rngP.AKI.Secondary.noRRT_wNSAIDs, MATCH($E45, Parameters!$D$833:$D$836, 1))</f>
        <v>2.2109529546512893E-2</v>
      </c>
      <c r="AE45" s="123">
        <f>INDEX(E.rngP.AKI.Secondary.wRRT_wNSAIDs, MATCH($E45, Parameters!$D$833:$D$836, 1))</f>
        <v>1.9040170893145371E-3</v>
      </c>
      <c r="AF45" s="123">
        <v>0</v>
      </c>
      <c r="AG45" s="123">
        <f>E.pCKD5.from3B_4</f>
        <v>6.7082846410596586E-3</v>
      </c>
      <c r="AH45" s="123">
        <f>E.pCKD5D.from3B_4</f>
        <v>9.1998312635980239E-3</v>
      </c>
      <c r="AI45" s="123">
        <v>0</v>
      </c>
      <c r="AJ45" s="123">
        <v>0</v>
      </c>
      <c r="AK45" s="123">
        <v>0</v>
      </c>
      <c r="AL45" s="123">
        <f>SUMIFS(Parameters!$M$891:$M$913, Parameters!$D$891:$D$913, $E45, Parameters!$E$891:$E$913, $F45)</f>
        <v>4.3094917992726245E-2</v>
      </c>
      <c r="AM45" s="131"/>
      <c r="AN45" s="132">
        <f t="shared" ref="AN45:AN52" si="17">SUM(AA45:AL45)</f>
        <v>1</v>
      </c>
    </row>
    <row r="46" spans="1:40" ht="12" customHeight="1" thickBot="1" x14ac:dyDescent="0.3">
      <c r="D46">
        <f t="shared" ref="D46:D55" si="18">D45+1</f>
        <v>3</v>
      </c>
      <c r="E46">
        <f t="shared" si="6"/>
        <v>85</v>
      </c>
      <c r="F46" t="s">
        <v>274</v>
      </c>
      <c r="G46" s="112" t="str">
        <f t="shared" si="15"/>
        <v>85-89</v>
      </c>
      <c r="H46" s="110" t="str" cm="1">
        <f t="array" aca="1" ref="H46" ca="1">INDEX(K.rngStates, $D46)</f>
        <v>Primary care AKI</v>
      </c>
      <c r="I46" s="112"/>
      <c r="J46" s="110"/>
      <c r="L46" s="123">
        <v>0</v>
      </c>
      <c r="M46" s="130">
        <v>0</v>
      </c>
      <c r="N46" s="130">
        <v>0</v>
      </c>
      <c r="O46" s="130">
        <v>0</v>
      </c>
      <c r="P46" s="130">
        <v>0</v>
      </c>
      <c r="Q46" s="130">
        <f>1-SUM(K46:P46, R46:X46)</f>
        <v>0.72822546499555019</v>
      </c>
      <c r="R46" s="123">
        <f>E.pCKD5.postPrimaryAKI</f>
        <v>9.2105263157894732E-2</v>
      </c>
      <c r="S46" s="123">
        <v>0</v>
      </c>
      <c r="T46" s="123">
        <v>0</v>
      </c>
      <c r="U46" s="123">
        <v>0</v>
      </c>
      <c r="V46" s="123">
        <f>INDEX(E.rngP.AKI_PC.death, MATCH($E46, Parameters!$D$864:$D$867, 1))</f>
        <v>0.17966927184655504</v>
      </c>
      <c r="W46" s="123">
        <v>0</v>
      </c>
      <c r="X46" s="131"/>
      <c r="Y46" s="132">
        <f t="shared" si="16"/>
        <v>0.99999999999999989</v>
      </c>
      <c r="Z46" s="131"/>
      <c r="AA46" s="123">
        <v>0</v>
      </c>
      <c r="AB46" s="130">
        <v>0</v>
      </c>
      <c r="AC46" s="130">
        <v>0</v>
      </c>
      <c r="AD46" s="130">
        <v>0</v>
      </c>
      <c r="AE46" s="130">
        <v>0</v>
      </c>
      <c r="AF46" s="130">
        <f>1-SUM(Z46:AE46, AG46:AM46)</f>
        <v>0.72822546499555019</v>
      </c>
      <c r="AG46" s="123">
        <f>E.pCKD5.postPrimaryAKI</f>
        <v>9.2105263157894732E-2</v>
      </c>
      <c r="AH46" s="123">
        <v>0</v>
      </c>
      <c r="AI46" s="123">
        <v>0</v>
      </c>
      <c r="AJ46" s="123">
        <v>0</v>
      </c>
      <c r="AK46" s="123">
        <f>INDEX(E.rngP.AKI_PC.death, MATCH($E46, Parameters!$D$864:$D$867, 1))</f>
        <v>0.17966927184655504</v>
      </c>
      <c r="AL46" s="123">
        <v>0</v>
      </c>
      <c r="AM46" s="131"/>
      <c r="AN46" s="132">
        <f t="shared" si="17"/>
        <v>0.99999999999999989</v>
      </c>
    </row>
    <row r="47" spans="1:40" ht="12" customHeight="1" thickBot="1" x14ac:dyDescent="0.3">
      <c r="D47">
        <f t="shared" si="18"/>
        <v>4</v>
      </c>
      <c r="E47">
        <f t="shared" si="6"/>
        <v>85</v>
      </c>
      <c r="G47" s="112" t="str">
        <f t="shared" si="15"/>
        <v>85-89</v>
      </c>
      <c r="H47" s="110" t="str" cm="1">
        <f t="array" aca="1" ref="H47" ca="1">INDEX(K.rngStates, $D47)</f>
        <v>Secondary care AKI (no RRT)</v>
      </c>
      <c r="I47" s="112"/>
      <c r="J47" s="110"/>
      <c r="L47" s="123">
        <v>0</v>
      </c>
      <c r="M47" s="130">
        <v>0</v>
      </c>
      <c r="N47" s="130">
        <v>0</v>
      </c>
      <c r="O47" s="130">
        <v>0</v>
      </c>
      <c r="P47" s="130">
        <v>0</v>
      </c>
      <c r="Q47" s="130">
        <f>1-SUM(K47:P47, R47:X47)</f>
        <v>0.3900707932330284</v>
      </c>
      <c r="R47" s="123">
        <f>E.pCKD5.postSecondaryAKInoRRT</f>
        <v>0.18421052631578946</v>
      </c>
      <c r="S47" s="123">
        <v>0</v>
      </c>
      <c r="T47" s="123">
        <v>0</v>
      </c>
      <c r="U47" s="123">
        <v>0</v>
      </c>
      <c r="V47" s="123">
        <f>INDEX(E.rngP.AKI_SCnoRRT.death, MATCH($E47, Parameters!$D$864:$D$867, 1))</f>
        <v>0.42571868045118211</v>
      </c>
      <c r="W47" s="123">
        <v>0</v>
      </c>
      <c r="X47" s="131"/>
      <c r="Y47" s="132">
        <f t="shared" si="16"/>
        <v>1</v>
      </c>
      <c r="Z47" s="131"/>
      <c r="AA47" s="123">
        <v>0</v>
      </c>
      <c r="AB47" s="130">
        <v>0</v>
      </c>
      <c r="AC47" s="130">
        <v>0</v>
      </c>
      <c r="AD47" s="130">
        <v>0</v>
      </c>
      <c r="AE47" s="130">
        <v>0</v>
      </c>
      <c r="AF47" s="130">
        <f>1-SUM(Z47:AE47, AG47:AM47)</f>
        <v>0.3900707932330284</v>
      </c>
      <c r="AG47" s="123">
        <f>E.pCKD5.postSecondaryAKInoRRT</f>
        <v>0.18421052631578946</v>
      </c>
      <c r="AH47" s="123">
        <v>0</v>
      </c>
      <c r="AI47" s="123">
        <v>0</v>
      </c>
      <c r="AJ47" s="123">
        <v>0</v>
      </c>
      <c r="AK47" s="123">
        <f>INDEX(E.rngP.AKI_SCnoRRT.death, MATCH($E47, Parameters!$D$864:$D$867, 1))</f>
        <v>0.42571868045118211</v>
      </c>
      <c r="AL47" s="123">
        <v>0</v>
      </c>
      <c r="AM47" s="131"/>
      <c r="AN47" s="132">
        <f t="shared" si="17"/>
        <v>1</v>
      </c>
    </row>
    <row r="48" spans="1:40" ht="12" customHeight="1" thickBot="1" x14ac:dyDescent="0.3">
      <c r="D48">
        <f t="shared" si="18"/>
        <v>5</v>
      </c>
      <c r="E48">
        <f t="shared" si="6"/>
        <v>85</v>
      </c>
      <c r="G48" s="112" t="str">
        <f t="shared" si="15"/>
        <v>85-89</v>
      </c>
      <c r="H48" s="110" t="str" cm="1">
        <f t="array" aca="1" ref="H48" ca="1">INDEX(K.rngStates, $D48)</f>
        <v>Secondary care AKI (with RRT)</v>
      </c>
      <c r="I48" s="112"/>
      <c r="J48" s="110"/>
      <c r="L48" s="123">
        <v>0</v>
      </c>
      <c r="M48" s="130">
        <v>0</v>
      </c>
      <c r="N48" s="130">
        <v>0</v>
      </c>
      <c r="O48" s="130">
        <v>0</v>
      </c>
      <c r="P48" s="130">
        <v>0</v>
      </c>
      <c r="Q48" s="130">
        <f>1-SUM(K48:P48, R48:X48)</f>
        <v>0.2358667223973665</v>
      </c>
      <c r="R48" s="123">
        <f>E.pCKD5.postSecondaryAKI</f>
        <v>0.17109099278809267</v>
      </c>
      <c r="S48" s="123">
        <f>E.pCKD5D.postSecondaryAKI</f>
        <v>1.3119533527696793E-2</v>
      </c>
      <c r="T48" s="123">
        <v>0</v>
      </c>
      <c r="U48" s="123">
        <v>0</v>
      </c>
      <c r="V48" s="123">
        <f>INDEX(E.rngP.AKI_SCwRRT.death, MATCH($E48, Parameters!$D$864:$D$867, 1))</f>
        <v>0.57992275128684401</v>
      </c>
      <c r="W48" s="123">
        <v>0</v>
      </c>
      <c r="X48" s="131"/>
      <c r="Y48" s="132">
        <f t="shared" si="16"/>
        <v>1</v>
      </c>
      <c r="Z48" s="131"/>
      <c r="AA48" s="123">
        <v>0</v>
      </c>
      <c r="AB48" s="130">
        <v>0</v>
      </c>
      <c r="AC48" s="130">
        <v>0</v>
      </c>
      <c r="AD48" s="130">
        <v>0</v>
      </c>
      <c r="AE48" s="130">
        <v>0</v>
      </c>
      <c r="AF48" s="130">
        <f>1-SUM(Z48:AE48, AG48:AM48)</f>
        <v>0.2358667223973665</v>
      </c>
      <c r="AG48" s="123">
        <f>E.pCKD5.postSecondaryAKI</f>
        <v>0.17109099278809267</v>
      </c>
      <c r="AH48" s="123">
        <f>E.pCKD5D.postSecondaryAKI</f>
        <v>1.3119533527696793E-2</v>
      </c>
      <c r="AI48" s="123">
        <v>0</v>
      </c>
      <c r="AJ48" s="123">
        <v>0</v>
      </c>
      <c r="AK48" s="123">
        <f>INDEX(E.rngP.AKI_SCwRRT.death, MATCH($E48, Parameters!$D$864:$D$867, 1))</f>
        <v>0.57992275128684401</v>
      </c>
      <c r="AL48" s="123">
        <v>0</v>
      </c>
      <c r="AM48" s="131"/>
      <c r="AN48" s="132">
        <f t="shared" si="17"/>
        <v>1</v>
      </c>
    </row>
    <row r="49" spans="1:40" ht="12" customHeight="1" thickBot="1" x14ac:dyDescent="0.3">
      <c r="D49">
        <f t="shared" si="18"/>
        <v>6</v>
      </c>
      <c r="E49">
        <f t="shared" si="6"/>
        <v>85</v>
      </c>
      <c r="F49" t="s">
        <v>274</v>
      </c>
      <c r="G49" s="112" t="str">
        <f t="shared" si="15"/>
        <v>85-89</v>
      </c>
      <c r="H49" s="110" t="str" cm="1">
        <f t="array" aca="1" ref="H49" ca="1">INDEX(K.rngStates, $D49)</f>
        <v>Post-event CKD stage 3b-4</v>
      </c>
      <c r="I49" s="112"/>
      <c r="J49" s="110"/>
      <c r="L49" s="123">
        <v>0</v>
      </c>
      <c r="M49" s="130">
        <v>0</v>
      </c>
      <c r="N49" s="123">
        <f>INDEX(E.rngP.AKI.Primary_noNSAIDs, MATCH($E49, Parameters!$D$833:$D$836, 1))</f>
        <v>2.9145812553447222E-2</v>
      </c>
      <c r="O49" s="123">
        <f>INDEX(E.rngP.AKI.Secondary.noRRT_noNSAIDs, MATCH($E49, Parameters!$D$833:$D$836, 1))</f>
        <v>1.2008863903449843E-2</v>
      </c>
      <c r="P49" s="123">
        <f>INDEX(E.rngP.AKI.Secondary.wRRT_noNSAIDs, MATCH($E49, Parameters!$D$833:$D$836, 1))</f>
        <v>1.0245023469339402E-3</v>
      </c>
      <c r="Q49" s="130">
        <f>1-SUM(K49:P49, R49:X49)</f>
        <v>0.89881778729878503</v>
      </c>
      <c r="R49" s="123">
        <f>E.pCKD5.from3B_4</f>
        <v>6.7082846410596586E-3</v>
      </c>
      <c r="S49" s="123">
        <f>E.pCKD5D.from3B_4</f>
        <v>9.1998312635980239E-3</v>
      </c>
      <c r="T49" s="123">
        <f>E.pTx.from3B_4</f>
        <v>0</v>
      </c>
      <c r="U49" s="123">
        <v>0</v>
      </c>
      <c r="V49" s="123">
        <v>0</v>
      </c>
      <c r="W49" s="123">
        <f>SUMIFS(Parameters!$M$891:$M$913, Parameters!$D$891:$D$913, $E49, Parameters!$E$891:$E$913, $F49)</f>
        <v>4.3094917992726245E-2</v>
      </c>
      <c r="X49" s="131"/>
      <c r="Y49" s="132">
        <f t="shared" si="16"/>
        <v>1</v>
      </c>
      <c r="Z49" s="131"/>
      <c r="AA49" s="123">
        <v>0</v>
      </c>
      <c r="AB49" s="130">
        <v>0</v>
      </c>
      <c r="AC49" s="123">
        <f>INDEX(E.rngP.AKI.Primary_noNSAIDs, MATCH($E49, Parameters!$D$833:$D$836, 1))</f>
        <v>2.9145812553447222E-2</v>
      </c>
      <c r="AD49" s="123">
        <f>INDEX(E.rngP.AKI.Secondary.noRRT_noNSAIDs, MATCH($E49, Parameters!$D$833:$D$836, 1))</f>
        <v>1.2008863903449843E-2</v>
      </c>
      <c r="AE49" s="123">
        <f>INDEX(E.rngP.AKI.Secondary.wRRT_noNSAIDs, MATCH($E49, Parameters!$D$833:$D$836, 1))</f>
        <v>1.0245023469339402E-3</v>
      </c>
      <c r="AF49" s="130">
        <f>1-SUM(Z49:AE49, AG49:AM49)</f>
        <v>0.89881778729878503</v>
      </c>
      <c r="AG49" s="123">
        <f>E.pCKD5.from3B_4</f>
        <v>6.7082846410596586E-3</v>
      </c>
      <c r="AH49" s="123">
        <f>E.pCKD5D.from3B_4</f>
        <v>9.1998312635980239E-3</v>
      </c>
      <c r="AI49" s="123">
        <f>E.pTx.from3B_4</f>
        <v>0</v>
      </c>
      <c r="AJ49" s="123">
        <v>0</v>
      </c>
      <c r="AK49" s="123">
        <v>0</v>
      </c>
      <c r="AL49" s="123">
        <f>SUMIFS(Parameters!$M$891:$M$913, Parameters!$D$891:$D$913, $E49, Parameters!$E$891:$E$913, $F49)</f>
        <v>4.3094917992726245E-2</v>
      </c>
      <c r="AM49" s="131"/>
      <c r="AN49" s="132">
        <f t="shared" si="17"/>
        <v>1</v>
      </c>
    </row>
    <row r="50" spans="1:40" ht="12" customHeight="1" thickBot="1" x14ac:dyDescent="0.3">
      <c r="D50">
        <f t="shared" si="18"/>
        <v>7</v>
      </c>
      <c r="E50">
        <f t="shared" si="6"/>
        <v>85</v>
      </c>
      <c r="F50" s="201">
        <v>5</v>
      </c>
      <c r="G50" s="112" t="str">
        <f t="shared" si="15"/>
        <v>85-89</v>
      </c>
      <c r="H50" s="110" t="str" cm="1">
        <f t="array" aca="1" ref="H50" ca="1">INDEX(K.rngStates, $D50)</f>
        <v>ESRD</v>
      </c>
      <c r="I50" s="112"/>
      <c r="J50" s="110"/>
      <c r="L50" s="123">
        <v>0</v>
      </c>
      <c r="M50" s="130">
        <v>0</v>
      </c>
      <c r="N50" s="123">
        <v>0</v>
      </c>
      <c r="O50" s="123">
        <v>0</v>
      </c>
      <c r="P50" s="123">
        <v>0</v>
      </c>
      <c r="Q50" s="123">
        <v>0</v>
      </c>
      <c r="R50" s="130">
        <f>1-SUM(K50:Q50, S50:X50)</f>
        <v>0.86509478784977134</v>
      </c>
      <c r="S50" s="123">
        <f>E.pCKD5D.from5</f>
        <v>3.6592192793112654E-2</v>
      </c>
      <c r="T50" s="123">
        <f>E.pTx.from5</f>
        <v>1.3265655592658132E-2</v>
      </c>
      <c r="U50" s="123">
        <v>0</v>
      </c>
      <c r="V50" s="123">
        <v>0</v>
      </c>
      <c r="W50" s="123">
        <f>SUMIFS(Parameters!$M$891:$M$913, Parameters!$D$891:$D$913, $E50, Parameters!$E$891:$E$913, $F50)</f>
        <v>8.5047363764457873E-2</v>
      </c>
      <c r="X50" s="131"/>
      <c r="Y50" s="132">
        <f t="shared" si="16"/>
        <v>1</v>
      </c>
      <c r="Z50" s="131"/>
      <c r="AA50" s="123">
        <v>0</v>
      </c>
      <c r="AB50" s="130">
        <v>0</v>
      </c>
      <c r="AC50" s="123">
        <v>0</v>
      </c>
      <c r="AD50" s="123">
        <v>0</v>
      </c>
      <c r="AE50" s="123">
        <v>0</v>
      </c>
      <c r="AF50" s="123">
        <v>0</v>
      </c>
      <c r="AG50" s="130">
        <f>1-SUM(Z50:AF50, AH50:AM50)</f>
        <v>0.86509478784977134</v>
      </c>
      <c r="AH50" s="123">
        <f>E.pCKD5D.from5</f>
        <v>3.6592192793112654E-2</v>
      </c>
      <c r="AI50" s="123">
        <f>E.pTx.from5</f>
        <v>1.3265655592658132E-2</v>
      </c>
      <c r="AJ50" s="123">
        <v>0</v>
      </c>
      <c r="AK50" s="123">
        <v>0</v>
      </c>
      <c r="AL50" s="123">
        <f>SUMIFS(Parameters!$M$891:$M$913, Parameters!$D$891:$D$913, $E50, Parameters!$E$891:$E$913, $F50)</f>
        <v>8.5047363764457873E-2</v>
      </c>
      <c r="AM50" s="131"/>
      <c r="AN50" s="132">
        <f t="shared" si="17"/>
        <v>1</v>
      </c>
    </row>
    <row r="51" spans="1:40" ht="12" customHeight="1" thickBot="1" x14ac:dyDescent="0.3">
      <c r="D51">
        <f t="shared" si="18"/>
        <v>8</v>
      </c>
      <c r="E51">
        <f t="shared" si="6"/>
        <v>85</v>
      </c>
      <c r="F51" t="s">
        <v>112</v>
      </c>
      <c r="G51" s="112" t="str">
        <f t="shared" si="15"/>
        <v>85-89</v>
      </c>
      <c r="H51" s="110" t="str" cm="1">
        <f t="array" aca="1" ref="H51" ca="1">INDEX(K.rngStates, $D51)</f>
        <v>ESRD+RRT</v>
      </c>
      <c r="I51" s="112"/>
      <c r="J51" s="110"/>
      <c r="L51" s="123">
        <v>0</v>
      </c>
      <c r="M51" s="130">
        <v>0</v>
      </c>
      <c r="N51" s="123">
        <v>0</v>
      </c>
      <c r="O51" s="123">
        <v>0</v>
      </c>
      <c r="P51" s="123">
        <v>0</v>
      </c>
      <c r="Q51" s="123">
        <v>0</v>
      </c>
      <c r="R51" s="123">
        <v>0</v>
      </c>
      <c r="S51" s="130">
        <f>1-SUM(K51:R51, T51:X51)</f>
        <v>0.8799830530781958</v>
      </c>
      <c r="T51" s="123">
        <f>E.pTx.from5D</f>
        <v>1.6189466449663015E-2</v>
      </c>
      <c r="U51" s="123">
        <v>0</v>
      </c>
      <c r="V51" s="123">
        <v>0</v>
      </c>
      <c r="W51" s="123">
        <f>SUMIFS(Parameters!$M$891:$M$913, Parameters!$D$891:$D$913, $E51, Parameters!$E$891:$E$913, $F51)</f>
        <v>0.10382748047214119</v>
      </c>
      <c r="X51" s="131"/>
      <c r="Y51" s="132">
        <f t="shared" si="16"/>
        <v>1</v>
      </c>
      <c r="Z51" s="131"/>
      <c r="AA51" s="123">
        <v>0</v>
      </c>
      <c r="AB51" s="130">
        <v>0</v>
      </c>
      <c r="AC51" s="123">
        <v>0</v>
      </c>
      <c r="AD51" s="123">
        <v>0</v>
      </c>
      <c r="AE51" s="123">
        <v>0</v>
      </c>
      <c r="AF51" s="123">
        <v>0</v>
      </c>
      <c r="AG51" s="123">
        <v>0</v>
      </c>
      <c r="AH51" s="130">
        <f>1-SUM(Z51:AG51, AI51:AM51)</f>
        <v>0.8799830530781958</v>
      </c>
      <c r="AI51" s="123">
        <f>E.pTx.from5D</f>
        <v>1.6189466449663015E-2</v>
      </c>
      <c r="AJ51" s="123">
        <v>0</v>
      </c>
      <c r="AK51" s="123">
        <v>0</v>
      </c>
      <c r="AL51" s="123">
        <f>SUMIFS(Parameters!$M$891:$M$913, Parameters!$D$891:$D$913, $E51, Parameters!$E$891:$E$913, $F51)</f>
        <v>0.10382748047214119</v>
      </c>
      <c r="AM51" s="131"/>
      <c r="AN51" s="132">
        <f t="shared" si="17"/>
        <v>1</v>
      </c>
    </row>
    <row r="52" spans="1:40" ht="12" customHeight="1" thickBot="1" x14ac:dyDescent="0.3">
      <c r="D52">
        <f t="shared" si="18"/>
        <v>9</v>
      </c>
      <c r="E52">
        <f t="shared" si="6"/>
        <v>85</v>
      </c>
      <c r="F52" t="s">
        <v>275</v>
      </c>
      <c r="G52" s="112" t="str">
        <f t="shared" si="15"/>
        <v>85-89</v>
      </c>
      <c r="H52" s="110" t="str" cm="1">
        <f t="array" aca="1" ref="H52" ca="1">INDEX(K.rngStates, $D52)</f>
        <v>Transplant</v>
      </c>
      <c r="I52" s="112"/>
      <c r="J52" s="110"/>
      <c r="L52" s="123">
        <v>0</v>
      </c>
      <c r="M52" s="130">
        <v>0</v>
      </c>
      <c r="N52" s="123">
        <v>0</v>
      </c>
      <c r="O52" s="123">
        <v>0</v>
      </c>
      <c r="P52" s="123">
        <v>0</v>
      </c>
      <c r="Q52" s="123">
        <v>0</v>
      </c>
      <c r="R52" s="123">
        <v>0</v>
      </c>
      <c r="S52" s="123">
        <f>E.pTxGraftFailure</f>
        <v>3.5185265221873152E-3</v>
      </c>
      <c r="T52" s="123">
        <v>0</v>
      </c>
      <c r="U52" s="130">
        <f>1-SUM(K52:T52, V52:X52)</f>
        <v>0.96901570947399585</v>
      </c>
      <c r="V52" s="123">
        <v>0</v>
      </c>
      <c r="W52" s="123">
        <f>SUMIFS(Parameters!$M$891:$M$913, Parameters!$D$891:$D$913, $E52, Parameters!$E$891:$E$913, $F52)</f>
        <v>2.7465764003816839E-2</v>
      </c>
      <c r="X52" s="131"/>
      <c r="Y52" s="132">
        <f t="shared" si="16"/>
        <v>1</v>
      </c>
      <c r="Z52" s="131"/>
      <c r="AA52" s="123">
        <v>0</v>
      </c>
      <c r="AB52" s="130">
        <v>0</v>
      </c>
      <c r="AC52" s="123">
        <v>0</v>
      </c>
      <c r="AD52" s="123">
        <v>0</v>
      </c>
      <c r="AE52" s="123">
        <v>0</v>
      </c>
      <c r="AF52" s="123">
        <v>0</v>
      </c>
      <c r="AG52" s="123">
        <v>0</v>
      </c>
      <c r="AH52" s="123">
        <f>E.pTxGraftFailure</f>
        <v>3.5185265221873152E-3</v>
      </c>
      <c r="AI52" s="123">
        <v>0</v>
      </c>
      <c r="AJ52" s="130">
        <f>1-SUM(Z52:AI52, AK52:AM52)</f>
        <v>0.96901570947399585</v>
      </c>
      <c r="AK52" s="123">
        <v>0</v>
      </c>
      <c r="AL52" s="123">
        <f>SUMIFS(Parameters!$M$891:$M$913, Parameters!$D$891:$D$913, $E52, Parameters!$E$891:$E$913, $F52)</f>
        <v>2.7465764003816839E-2</v>
      </c>
      <c r="AM52" s="131"/>
      <c r="AN52" s="132">
        <f t="shared" si="17"/>
        <v>1</v>
      </c>
    </row>
    <row r="53" spans="1:40" ht="12" customHeight="1" thickBot="1" x14ac:dyDescent="0.3">
      <c r="D53">
        <f t="shared" si="18"/>
        <v>10</v>
      </c>
      <c r="E53">
        <f t="shared" si="6"/>
        <v>85</v>
      </c>
      <c r="F53" t="s">
        <v>275</v>
      </c>
      <c r="G53" s="112" t="str">
        <f t="shared" si="15"/>
        <v>85-89</v>
      </c>
      <c r="H53" s="110" t="str" cm="1">
        <f t="array" aca="1" ref="H53" ca="1">INDEX(K.rngStates, $D53)</f>
        <v>Post-transplant</v>
      </c>
      <c r="I53" s="112"/>
      <c r="J53" s="110"/>
      <c r="L53" s="123">
        <v>0</v>
      </c>
      <c r="M53" s="130">
        <v>0</v>
      </c>
      <c r="N53" s="123">
        <v>0</v>
      </c>
      <c r="O53" s="123">
        <v>0</v>
      </c>
      <c r="P53" s="123">
        <v>0</v>
      </c>
      <c r="Q53" s="123">
        <v>0</v>
      </c>
      <c r="R53" s="123">
        <v>0</v>
      </c>
      <c r="S53" s="123">
        <f>E.pTxGraftFailure</f>
        <v>3.5185265221873152E-3</v>
      </c>
      <c r="T53" s="123">
        <v>0</v>
      </c>
      <c r="U53" s="130">
        <f>1-SUM(K53:T53, V53:X53)</f>
        <v>0.96901570947399585</v>
      </c>
      <c r="V53" s="130">
        <v>0</v>
      </c>
      <c r="W53" s="123">
        <f>SUMIFS(Parameters!$M$891:$M$913, Parameters!$D$891:$D$913, $E53, Parameters!$E$891:$E$913, $F53)</f>
        <v>2.7465764003816839E-2</v>
      </c>
      <c r="X53" s="131"/>
      <c r="Y53" s="132">
        <f>SUM(L53:W53)</f>
        <v>1</v>
      </c>
      <c r="Z53" s="131"/>
      <c r="AA53" s="123">
        <v>0</v>
      </c>
      <c r="AB53" s="130">
        <v>0</v>
      </c>
      <c r="AC53" s="123">
        <v>0</v>
      </c>
      <c r="AD53" s="123">
        <v>0</v>
      </c>
      <c r="AE53" s="123">
        <v>0</v>
      </c>
      <c r="AF53" s="123">
        <v>0</v>
      </c>
      <c r="AG53" s="123">
        <v>0</v>
      </c>
      <c r="AH53" s="123">
        <f>E.pTxGraftFailure</f>
        <v>3.5185265221873152E-3</v>
      </c>
      <c r="AI53" s="123">
        <v>0</v>
      </c>
      <c r="AJ53" s="130">
        <f>1-SUM(Z53:AI53, AK53:AM53)</f>
        <v>0.96901570947399585</v>
      </c>
      <c r="AK53" s="130">
        <v>0</v>
      </c>
      <c r="AL53" s="123">
        <f>SUMIFS(Parameters!$M$891:$M$913, Parameters!$D$891:$D$913, $E53, Parameters!$E$891:$E$913, $F53)</f>
        <v>2.7465764003816839E-2</v>
      </c>
      <c r="AM53" s="131"/>
      <c r="AN53" s="132">
        <f>SUM(AA53:AL53)</f>
        <v>1</v>
      </c>
    </row>
    <row r="54" spans="1:40" ht="12" customHeight="1" thickBot="1" x14ac:dyDescent="0.3">
      <c r="D54">
        <f t="shared" si="18"/>
        <v>11</v>
      </c>
      <c r="E54">
        <f t="shared" si="6"/>
        <v>85</v>
      </c>
      <c r="G54" s="112" t="str">
        <f t="shared" si="15"/>
        <v>85-89</v>
      </c>
      <c r="H54" s="110" t="str" cm="1">
        <f t="array" aca="1" ref="H54" ca="1">INDEX(K.rngStates, $D54)</f>
        <v>Dead (AKI)</v>
      </c>
      <c r="I54" s="112"/>
      <c r="J54" s="110"/>
      <c r="L54" s="123">
        <v>0</v>
      </c>
      <c r="M54" s="123">
        <v>0</v>
      </c>
      <c r="N54" s="130">
        <v>0</v>
      </c>
      <c r="O54" s="130">
        <v>0</v>
      </c>
      <c r="P54" s="130">
        <v>0</v>
      </c>
      <c r="Q54" s="130">
        <v>0</v>
      </c>
      <c r="R54" s="130">
        <v>0</v>
      </c>
      <c r="S54" s="130">
        <v>0</v>
      </c>
      <c r="T54" s="130">
        <v>0</v>
      </c>
      <c r="U54" s="130">
        <v>0</v>
      </c>
      <c r="V54" s="130">
        <v>1</v>
      </c>
      <c r="W54" s="130">
        <v>0</v>
      </c>
      <c r="X54" s="131"/>
      <c r="Y54" s="132">
        <f>SUM(L54:W54)</f>
        <v>1</v>
      </c>
      <c r="Z54" s="131"/>
      <c r="AA54" s="123">
        <v>0</v>
      </c>
      <c r="AB54" s="123">
        <v>0</v>
      </c>
      <c r="AC54" s="130">
        <v>0</v>
      </c>
      <c r="AD54" s="130">
        <v>0</v>
      </c>
      <c r="AE54" s="130">
        <v>0</v>
      </c>
      <c r="AF54" s="130">
        <v>0</v>
      </c>
      <c r="AG54" s="130">
        <v>0</v>
      </c>
      <c r="AH54" s="130">
        <v>0</v>
      </c>
      <c r="AI54" s="130">
        <v>0</v>
      </c>
      <c r="AJ54" s="130">
        <v>0</v>
      </c>
      <c r="AK54" s="130">
        <v>1</v>
      </c>
      <c r="AL54" s="130">
        <v>0</v>
      </c>
      <c r="AM54" s="131"/>
      <c r="AN54" s="132">
        <f>SUM(AA54:AL54)</f>
        <v>1</v>
      </c>
    </row>
    <row r="55" spans="1:40" s="188" customFormat="1" ht="12" customHeight="1" thickBot="1" x14ac:dyDescent="0.3">
      <c r="A55" s="374"/>
      <c r="B55" s="374"/>
      <c r="C55" s="377"/>
      <c r="D55" s="188">
        <f t="shared" si="18"/>
        <v>12</v>
      </c>
      <c r="E55" s="188">
        <f t="shared" si="6"/>
        <v>85</v>
      </c>
      <c r="F55" s="200"/>
      <c r="G55" s="112" t="str">
        <f t="shared" si="15"/>
        <v>85-89</v>
      </c>
      <c r="H55" s="110" t="str" cm="1">
        <f t="array" aca="1" ref="H55" ca="1">INDEX(K.rngStates, $D55)</f>
        <v>Dead (other)</v>
      </c>
      <c r="I55" s="112"/>
      <c r="J55" s="110"/>
      <c r="L55" s="189">
        <v>0</v>
      </c>
      <c r="M55" s="189">
        <v>0</v>
      </c>
      <c r="N55" s="190">
        <v>0</v>
      </c>
      <c r="O55" s="190">
        <v>0</v>
      </c>
      <c r="P55" s="190">
        <v>0</v>
      </c>
      <c r="Q55" s="190">
        <v>0</v>
      </c>
      <c r="R55" s="190">
        <v>0</v>
      </c>
      <c r="S55" s="190">
        <v>0</v>
      </c>
      <c r="T55" s="190">
        <v>0</v>
      </c>
      <c r="U55" s="190">
        <v>0</v>
      </c>
      <c r="V55" s="190">
        <v>0</v>
      </c>
      <c r="W55" s="190">
        <v>1</v>
      </c>
      <c r="X55" s="191"/>
      <c r="Y55" s="192">
        <f>SUM(L55:W55)</f>
        <v>1</v>
      </c>
      <c r="Z55" s="191"/>
      <c r="AA55" s="189">
        <v>0</v>
      </c>
      <c r="AB55" s="189">
        <v>0</v>
      </c>
      <c r="AC55" s="190">
        <v>0</v>
      </c>
      <c r="AD55" s="190">
        <v>0</v>
      </c>
      <c r="AE55" s="190">
        <v>0</v>
      </c>
      <c r="AF55" s="190">
        <v>0</v>
      </c>
      <c r="AG55" s="190">
        <v>0</v>
      </c>
      <c r="AH55" s="190">
        <v>0</v>
      </c>
      <c r="AI55" s="190">
        <v>0</v>
      </c>
      <c r="AJ55" s="190">
        <v>0</v>
      </c>
      <c r="AK55" s="190">
        <v>0</v>
      </c>
      <c r="AL55" s="190">
        <v>1</v>
      </c>
      <c r="AM55" s="191"/>
      <c r="AN55" s="192">
        <f>SUM(AA55:AL55)</f>
        <v>1</v>
      </c>
    </row>
    <row r="56" spans="1:40" s="8" customFormat="1" ht="12" customHeight="1" x14ac:dyDescent="0.25">
      <c r="A56" s="374"/>
      <c r="B56" s="374"/>
      <c r="C56" s="377"/>
    </row>
  </sheetData>
  <mergeCells count="30">
    <mergeCell ref="AN4:AN6"/>
    <mergeCell ref="G4:G6"/>
    <mergeCell ref="AG4:AG6"/>
    <mergeCell ref="AH4:AH6"/>
    <mergeCell ref="AI4:AI6"/>
    <mergeCell ref="AK4:AK6"/>
    <mergeCell ref="AL4:AL6"/>
    <mergeCell ref="AB4:AB6"/>
    <mergeCell ref="AC4:AC6"/>
    <mergeCell ref="AD4:AD6"/>
    <mergeCell ref="AE4:AE6"/>
    <mergeCell ref="AF4:AF6"/>
    <mergeCell ref="X4:X6"/>
    <mergeCell ref="Y4:Y6"/>
    <mergeCell ref="AA4:AA6"/>
    <mergeCell ref="R4:R6"/>
    <mergeCell ref="S4:S6"/>
    <mergeCell ref="AJ4:AJ6"/>
    <mergeCell ref="AM4:AM6"/>
    <mergeCell ref="E4:E6"/>
    <mergeCell ref="L4:L6"/>
    <mergeCell ref="W4:W6"/>
    <mergeCell ref="M4:M6"/>
    <mergeCell ref="N4:N6"/>
    <mergeCell ref="O4:O6"/>
    <mergeCell ref="P4:P6"/>
    <mergeCell ref="Q4:Q6"/>
    <mergeCell ref="U4:U6"/>
    <mergeCell ref="V4:V6"/>
    <mergeCell ref="T4:T6"/>
  </mergeCells>
  <conditionalFormatting sqref="U8:U55">
    <cfRule type="top10" dxfId="9" priority="56" percent="1" bottom="1" rank="10"/>
  </conditionalFormatting>
  <conditionalFormatting sqref="AK19:AL19 AA8:AI9 AK8:AK18 AA10:AF10 AH10:AI10 AA11:AI19">
    <cfRule type="top10" dxfId="8" priority="34" percent="1" bottom="1" rank="10"/>
  </conditionalFormatting>
  <conditionalFormatting sqref="AJ8:AJ55">
    <cfRule type="top10" dxfId="7" priority="33" percent="1" bottom="1" rank="10"/>
  </conditionalFormatting>
  <conditionalFormatting sqref="AL8:AL18">
    <cfRule type="top10" dxfId="6" priority="24" percent="1" bottom="1" rank="10"/>
  </conditionalFormatting>
  <conditionalFormatting sqref="V32:W55 L32:T55">
    <cfRule type="top10" dxfId="5" priority="7" percent="1" bottom="1" rank="10"/>
  </conditionalFormatting>
  <conditionalFormatting sqref="AK55:AL55 AK44:AK54 AA46:AF46 AH46:AI46 AA47:AI55 AK43:AL43 AK32:AK42 AA34:AF34 AH34:AI34 AA35:AI45 AK31:AL31 AA20:AI21 AK20:AK30 AA22:AF22 AH22:AI22 AA23:AI33">
    <cfRule type="top10" dxfId="4" priority="6" percent="1" bottom="1" rank="10"/>
  </conditionalFormatting>
  <conditionalFormatting sqref="AL44:AL54 AL32:AL42 AL20:AL30">
    <cfRule type="top10" dxfId="3" priority="5" percent="1" bottom="1" rank="10"/>
  </conditionalFormatting>
  <conditionalFormatting sqref="V8:W31 L8:T31">
    <cfRule type="top10" dxfId="2" priority="1" percent="1" bottom="1" rank="10"/>
  </conditionalFormatting>
  <pageMargins left="0.7" right="0.7" top="0.75" bottom="0.75" header="0.3" footer="0.3"/>
  <pageSetup paperSize="9" orientation="portrait" horizontalDpi="4294967293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tTraceMarkov">
    <tabColor rgb="FF663300"/>
  </sheetPr>
  <dimension ref="A1:AT131"/>
  <sheetViews>
    <sheetView zoomScaleNormal="100" workbookViewId="0">
      <pane xSplit="7" ySplit="10" topLeftCell="H11" activePane="bottomRight" state="frozen"/>
      <selection activeCell="H12" sqref="H12"/>
      <selection pane="topRight" activeCell="H12" sqref="H12"/>
      <selection pane="bottomLeft" activeCell="H12" sqref="H12"/>
      <selection pane="bottomRight" activeCell="H11" sqref="H11"/>
    </sheetView>
  </sheetViews>
  <sheetFormatPr defaultColWidth="9.28515625" defaultRowHeight="12" customHeight="1" x14ac:dyDescent="0.25"/>
  <cols>
    <col min="1" max="1" width="1.7109375" style="374" customWidth="1"/>
    <col min="2" max="2" width="19.7109375" style="374" customWidth="1"/>
    <col min="3" max="3" width="1.7109375" style="377" customWidth="1"/>
    <col min="7" max="7" width="6" customWidth="1"/>
    <col min="8" max="26" width="9.5703125" customWidth="1"/>
    <col min="27" max="27" width="2.7109375" customWidth="1"/>
    <col min="28" max="46" width="9.5703125" customWidth="1"/>
  </cols>
  <sheetData>
    <row r="1" spans="1:46" s="375" customFormat="1" ht="24.95" customHeight="1" thickBot="1" x14ac:dyDescent="0.3">
      <c r="A1" s="373"/>
      <c r="B1" s="374"/>
      <c r="C1" s="373"/>
      <c r="D1" s="375" t="str" cm="1">
        <f t="array" ref="D1">K.zWorkbookTitle</f>
        <v>Camacho et al. (2024) Harms of hazardous prescribing of NSAIDs -- E: NSAIDs - CKD</v>
      </c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B1" s="417"/>
      <c r="AC1" s="417"/>
      <c r="AD1" s="417"/>
      <c r="AE1" s="417"/>
      <c r="AF1" s="417"/>
      <c r="AG1" s="417"/>
      <c r="AH1" s="417"/>
      <c r="AI1" s="417"/>
      <c r="AJ1" s="417"/>
      <c r="AK1" s="417"/>
      <c r="AL1" s="417"/>
      <c r="AM1" s="417"/>
      <c r="AN1" s="417"/>
      <c r="AO1" s="417"/>
      <c r="AP1" s="417"/>
      <c r="AQ1" s="417"/>
      <c r="AR1" s="417"/>
      <c r="AS1" s="417"/>
      <c r="AT1" s="417"/>
    </row>
    <row r="2" spans="1:46" ht="12" hidden="1" customHeight="1" thickTop="1" x14ac:dyDescent="0.25">
      <c r="D2">
        <f>COLUMNS(H2:AA2)</f>
        <v>20</v>
      </c>
      <c r="G2" s="81" t="s">
        <v>90</v>
      </c>
      <c r="H2">
        <f>MAX(F$2:$G2)+1</f>
        <v>1</v>
      </c>
      <c r="I2">
        <f t="shared" ref="I2:Z2" si="0">H2</f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1</v>
      </c>
      <c r="S2">
        <f t="shared" si="0"/>
        <v>1</v>
      </c>
      <c r="T2">
        <f t="shared" si="0"/>
        <v>1</v>
      </c>
      <c r="U2">
        <f t="shared" si="0"/>
        <v>1</v>
      </c>
      <c r="V2">
        <f t="shared" si="0"/>
        <v>1</v>
      </c>
      <c r="X2">
        <f>V2</f>
        <v>1</v>
      </c>
      <c r="Y2">
        <f t="shared" si="0"/>
        <v>1</v>
      </c>
      <c r="Z2">
        <f t="shared" si="0"/>
        <v>1</v>
      </c>
      <c r="AB2">
        <f>MAX($G$2:Z2)+1</f>
        <v>2</v>
      </c>
      <c r="AC2">
        <f t="shared" ref="AC2" si="1">AB2</f>
        <v>2</v>
      </c>
      <c r="AD2">
        <f t="shared" ref="AD2" si="2">AC2</f>
        <v>2</v>
      </c>
      <c r="AE2">
        <f t="shared" ref="AE2" si="3">AD2</f>
        <v>2</v>
      </c>
      <c r="AF2">
        <f t="shared" ref="AF2" si="4">AE2</f>
        <v>2</v>
      </c>
      <c r="AG2">
        <f t="shared" ref="AG2" si="5">AF2</f>
        <v>2</v>
      </c>
      <c r="AH2">
        <f t="shared" ref="AH2" si="6">AG2</f>
        <v>2</v>
      </c>
      <c r="AI2">
        <f t="shared" ref="AI2" si="7">AH2</f>
        <v>2</v>
      </c>
      <c r="AJ2">
        <f t="shared" ref="AJ2" si="8">AI2</f>
        <v>2</v>
      </c>
      <c r="AK2">
        <f t="shared" ref="AK2" si="9">AJ2</f>
        <v>2</v>
      </c>
      <c r="AL2">
        <f t="shared" ref="AL2" si="10">AK2</f>
        <v>2</v>
      </c>
      <c r="AM2">
        <f t="shared" ref="AM2" si="11">AL2</f>
        <v>2</v>
      </c>
      <c r="AN2">
        <f t="shared" ref="AN2" si="12">AM2</f>
        <v>2</v>
      </c>
      <c r="AO2">
        <f t="shared" ref="AO2" si="13">AN2</f>
        <v>2</v>
      </c>
      <c r="AP2">
        <f t="shared" ref="AP2" si="14">AO2</f>
        <v>2</v>
      </c>
      <c r="AR2">
        <f>AP2</f>
        <v>2</v>
      </c>
      <c r="AS2">
        <f t="shared" ref="AS2" si="15">AR2</f>
        <v>2</v>
      </c>
      <c r="AT2">
        <f t="shared" ref="AT2" si="16">AS2</f>
        <v>2</v>
      </c>
    </row>
    <row r="3" spans="1:46" ht="12" hidden="1" customHeight="1" x14ac:dyDescent="0.25">
      <c r="G3" s="81" t="s">
        <v>91</v>
      </c>
      <c r="H3">
        <v>1</v>
      </c>
      <c r="I3">
        <f t="shared" ref="I3:S3" si="17">H3+1</f>
        <v>2</v>
      </c>
      <c r="J3">
        <f t="shared" si="17"/>
        <v>3</v>
      </c>
      <c r="K3">
        <f t="shared" si="17"/>
        <v>4</v>
      </c>
      <c r="L3">
        <f t="shared" si="17"/>
        <v>5</v>
      </c>
      <c r="M3">
        <f t="shared" si="17"/>
        <v>6</v>
      </c>
      <c r="N3">
        <f t="shared" si="17"/>
        <v>7</v>
      </c>
      <c r="O3">
        <f t="shared" si="17"/>
        <v>8</v>
      </c>
      <c r="P3">
        <f t="shared" si="17"/>
        <v>9</v>
      </c>
      <c r="Q3">
        <f t="shared" si="17"/>
        <v>10</v>
      </c>
      <c r="R3">
        <f t="shared" si="17"/>
        <v>11</v>
      </c>
      <c r="S3">
        <f t="shared" si="17"/>
        <v>12</v>
      </c>
      <c r="AB3">
        <v>1</v>
      </c>
      <c r="AC3">
        <f t="shared" ref="AC3" si="18">AB3+1</f>
        <v>2</v>
      </c>
      <c r="AD3">
        <f t="shared" ref="AD3" si="19">AC3+1</f>
        <v>3</v>
      </c>
      <c r="AE3">
        <f t="shared" ref="AE3" si="20">AD3+1</f>
        <v>4</v>
      </c>
      <c r="AF3">
        <f t="shared" ref="AF3" si="21">AE3+1</f>
        <v>5</v>
      </c>
      <c r="AG3">
        <f t="shared" ref="AG3" si="22">AF3+1</f>
        <v>6</v>
      </c>
      <c r="AH3">
        <f t="shared" ref="AH3" si="23">AG3+1</f>
        <v>7</v>
      </c>
      <c r="AI3">
        <f t="shared" ref="AI3" si="24">AH3+1</f>
        <v>8</v>
      </c>
      <c r="AJ3">
        <f t="shared" ref="AJ3" si="25">AI3+1</f>
        <v>9</v>
      </c>
      <c r="AK3">
        <f t="shared" ref="AK3" si="26">AJ3+1</f>
        <v>10</v>
      </c>
      <c r="AL3">
        <f t="shared" ref="AL3" si="27">AK3+1</f>
        <v>11</v>
      </c>
      <c r="AM3">
        <f t="shared" ref="AM3" si="28">AL3+1</f>
        <v>12</v>
      </c>
    </row>
    <row r="4" spans="1:46" ht="12" customHeight="1" thickTop="1" x14ac:dyDescent="0.25">
      <c r="G4" s="61" t="s">
        <v>57</v>
      </c>
      <c r="H4" s="125">
        <f t="shared" ref="H4:S4" ca="1" si="29">SUM(OFFSET(H$11, 0, 0, timeHorizon*E.cyclesPerYear)) / E.cyclesPerYear</f>
        <v>0</v>
      </c>
      <c r="I4" s="125">
        <f ca="1">SUM(OFFSET(I$11, 0, 0, timeHorizon*E.cyclesPerYear)) / E.cyclesPerYear</f>
        <v>3.5897596843992758</v>
      </c>
      <c r="J4" s="125">
        <f t="shared" ca="1" si="29"/>
        <v>0.13952467789393322</v>
      </c>
      <c r="K4" s="125">
        <f t="shared" ca="1" si="29"/>
        <v>5.7806906263687639E-2</v>
      </c>
      <c r="L4" s="125">
        <f t="shared" ca="1" si="29"/>
        <v>4.949310969858762E-3</v>
      </c>
      <c r="M4" s="125">
        <f t="shared" ca="1" si="29"/>
        <v>1.7739113544619058</v>
      </c>
      <c r="N4" s="125">
        <f t="shared" ca="1" si="29"/>
        <v>0.64998833814725854</v>
      </c>
      <c r="O4" s="125">
        <f t="shared" ca="1" si="29"/>
        <v>1.0045229503926207</v>
      </c>
      <c r="P4" s="125">
        <f t="shared" ca="1" si="29"/>
        <v>2.4189472567588358E-2</v>
      </c>
      <c r="Q4" s="125">
        <f t="shared" ca="1" si="29"/>
        <v>0.33631298114683716</v>
      </c>
      <c r="R4" s="125">
        <f t="shared" ca="1" si="29"/>
        <v>0.73990212929618293</v>
      </c>
      <c r="S4" s="125">
        <f t="shared" ca="1" si="29"/>
        <v>1.6791321944608473</v>
      </c>
      <c r="U4" s="46">
        <f ca="1">SUM(OFFSET(U$11, 0, 0, timeHorizon*E.cyclesPerYear)) / E.cyclesPerYear</f>
        <v>7.5809656762429656</v>
      </c>
      <c r="V4" s="46">
        <f ca="1">OFFSET(V10, timeHorizon*E.cyclesPerYear, 0)</f>
        <v>0.50095061659724427</v>
      </c>
      <c r="W4" s="125">
        <f ca="1">SUM(OFFSET(W$11, 0, 0, timeHorizon*E.cyclesPerYear))</f>
        <v>0.60466949571945305</v>
      </c>
      <c r="X4" s="125">
        <f ca="1">SUM(OFFSET(X$11, 0, 0, timeHorizon*E.cyclesPerYear))</f>
        <v>0.80912358050991828</v>
      </c>
      <c r="Y4" s="125">
        <f ca="1">SUM(OFFSET(Y$11, 0, 0, timeHorizon*E.cyclesPerYear))</f>
        <v>0.43423016627507621</v>
      </c>
      <c r="Z4" s="125">
        <f ca="1">SUM(OFFSET(Z$11, 0, 0, timeHorizon*E.cyclesPerYear))</f>
        <v>0.28857015580038869</v>
      </c>
      <c r="AB4" s="125">
        <f t="shared" ref="AB4:AM4" ca="1" si="30">SUM(OFFSET(AB$11, 0, 0, timeHorizon*E.cyclesPerYear)) / E.cyclesPerYear</f>
        <v>4.4012119297073271</v>
      </c>
      <c r="AC4" s="125">
        <f ca="1">SUM(OFFSET(AC$11, 0, 0, timeHorizon*E.cyclesPerYear)) / E.cyclesPerYear</f>
        <v>0</v>
      </c>
      <c r="AD4" s="125">
        <f t="shared" ca="1" si="30"/>
        <v>0.10401240613694263</v>
      </c>
      <c r="AE4" s="125">
        <f t="shared" ca="1" si="30"/>
        <v>4.2855927494845632E-2</v>
      </c>
      <c r="AF4" s="125">
        <f t="shared" ca="1" si="30"/>
        <v>3.6561325577090615E-3</v>
      </c>
      <c r="AG4" s="125">
        <f t="shared" ca="1" si="30"/>
        <v>1.2630164760507669</v>
      </c>
      <c r="AH4" s="125">
        <f t="shared" ca="1" si="30"/>
        <v>0.59525088700231521</v>
      </c>
      <c r="AI4" s="125">
        <f t="shared" ca="1" si="30"/>
        <v>1.0098116934194676</v>
      </c>
      <c r="AJ4" s="125">
        <f t="shared" ca="1" si="30"/>
        <v>2.3548296960832195E-2</v>
      </c>
      <c r="AK4" s="125">
        <f t="shared" ca="1" si="30"/>
        <v>0.32469822253132541</v>
      </c>
      <c r="AL4" s="125">
        <f t="shared" ca="1" si="30"/>
        <v>0.52305578005569142</v>
      </c>
      <c r="AM4" s="125">
        <f t="shared" ca="1" si="30"/>
        <v>1.708882248082781</v>
      </c>
      <c r="AO4" s="46">
        <f ca="1">SUM(OFFSET(AO$11, 0, 0, timeHorizon*E.cyclesPerYear)) / E.cyclesPerYear</f>
        <v>7.7680619718615329</v>
      </c>
      <c r="AP4" s="46">
        <f ca="1">OFFSET(AP10, timeHorizon*E.cyclesPerYear, 0)</f>
        <v>0.47531419729617164</v>
      </c>
      <c r="AQ4" s="125">
        <f ca="1">SUM(OFFSET(AQ$11, 0, 0, timeHorizon*E.cyclesPerYear))</f>
        <v>0.45574144669035166</v>
      </c>
      <c r="AR4" s="125">
        <f ca="1">SUM(OFFSET(AR$11, 0, 0, timeHorizon*E.cyclesPerYear))</f>
        <v>0.60209786475798932</v>
      </c>
      <c r="AS4" s="125">
        <f ca="1">SUM(OFFSET(AS$11, 0, 0, timeHorizon*E.cyclesPerYear))</f>
        <v>0.42790496441659637</v>
      </c>
      <c r="AT4" s="125">
        <f ca="1">SUM(OFFSET(AT$11, 0, 0, timeHorizon*E.cyclesPerYear))</f>
        <v>0.29136075337219725</v>
      </c>
    </row>
    <row r="5" spans="1:46" ht="12" customHeight="1" thickBot="1" x14ac:dyDescent="0.3">
      <c r="G5" s="61" t="s">
        <v>64</v>
      </c>
      <c r="H5" s="46">
        <f t="array" aca="1" ref="H5" ca="1">SUM((OFFSET(H$11, 0, 0, timeHorizon*E.cyclesPerYear)) / E.cyclesPerYear / (1+DQALYs)^OFFSET($E$11, 0, 0, timeHorizon*E.cyclesPerYear))</f>
        <v>0</v>
      </c>
      <c r="I5" s="46">
        <f t="array" aca="1" ref="I5" ca="1">SUM((OFFSET(I$11, 0, 0, timeHorizon*E.cyclesPerYear)) / E.cyclesPerYear / (1+DQALYs)^OFFSET($E$11, 0, 0, timeHorizon*E.cyclesPerYear))</f>
        <v>3.2764276694852255</v>
      </c>
      <c r="J5" s="46">
        <f t="array" aca="1" ref="J5" ca="1">SUM((OFFSET(J$11, 0, 0, timeHorizon*E.cyclesPerYear)) / E.cyclesPerYear / (1+DQALYs)^OFFSET($E$11, 0, 0, timeHorizon*E.cyclesPerYear))</f>
        <v>0.12191525835060397</v>
      </c>
      <c r="K5" s="46">
        <f t="array" aca="1" ref="K5" ca="1">SUM((OFFSET(K$11, 0, 0, timeHorizon*E.cyclesPerYear)) / E.cyclesPerYear / (1+DQALYs)^OFFSET($E$11, 0, 0, timeHorizon*E.cyclesPerYear))</f>
        <v>5.0511294661620139E-2</v>
      </c>
      <c r="L5" s="46">
        <f t="array" aca="1" ref="L5" ca="1">SUM((OFFSET(L$11, 0, 0, timeHorizon*E.cyclesPerYear)) / E.cyclesPerYear / (1+DQALYs)^OFFSET($E$11, 0, 0, timeHorizon*E.cyclesPerYear))</f>
        <v>4.3246812399173199E-3</v>
      </c>
      <c r="M5" s="46">
        <f t="array" aca="1" ref="M5" ca="1">SUM((OFFSET(M$11, 0, 0, timeHorizon*E.cyclesPerYear)) / E.cyclesPerYear / (1+DQALYs)^OFFSET($E$11, 0, 0, timeHorizon*E.cyclesPerYear))</f>
        <v>1.4676861531780132</v>
      </c>
      <c r="N5" s="46">
        <f t="array" aca="1" ref="N5" ca="1">SUM((OFFSET(N$11, 0, 0, timeHorizon*E.cyclesPerYear)) / E.cyclesPerYear / (1+DQALYs)^OFFSET($E$11, 0, 0, timeHorizon*E.cyclesPerYear))</f>
        <v>0.54207443154947788</v>
      </c>
      <c r="O5" s="46">
        <f t="array" aca="1" ref="O5" ca="1">SUM((OFFSET(O$11, 0, 0, timeHorizon*E.cyclesPerYear)) / E.cyclesPerYear / (1+DQALYs)^OFFSET($E$11, 0, 0, timeHorizon*E.cyclesPerYear))</f>
        <v>0.82304497340765936</v>
      </c>
      <c r="P5" s="46">
        <f t="array" aca="1" ref="P5" ca="1">SUM((OFFSET(P$11, 0, 0, timeHorizon*E.cyclesPerYear)) / E.cyclesPerYear / (1+DQALYs)^OFFSET($E$11, 0, 0, timeHorizon*E.cyclesPerYear))</f>
        <v>1.9846723709621244E-2</v>
      </c>
      <c r="Q5" s="46">
        <f t="array" aca="1" ref="Q5" ca="1">SUM((OFFSET(Q$11, 0, 0, timeHorizon*E.cyclesPerYear)) / E.cyclesPerYear / (1+DQALYs)^OFFSET($E$11, 0, 0, timeHorizon*E.cyclesPerYear))</f>
        <v>0.26392965421360381</v>
      </c>
      <c r="R5" s="46">
        <f t="array" aca="1" ref="R5" ca="1">SUM((OFFSET(R$11, 0, 0, timeHorizon*E.cyclesPerYear)) / E.cyclesPerYear / (1+DQALYs)^OFFSET($E$11, 0, 0, timeHorizon*E.cyclesPerYear))</f>
        <v>0.59407412477647459</v>
      </c>
      <c r="S5" s="46">
        <f t="array" aca="1" ref="S5" ca="1">SUM((OFFSET(S$11, 0, 0, timeHorizon*E.cyclesPerYear)) / E.cyclesPerYear / (1+DQALYs)^OFFSET($E$11, 0, 0, timeHorizon*E.cyclesPerYear))</f>
        <v>1.3339138026989288</v>
      </c>
      <c r="U5" s="46">
        <f t="array" aca="1" ref="U5" ca="1">SUM(OFFSET(U$11, 0, 0, timeHorizon*E.cyclesPerYear) / E.cyclesPerYear / (1+DQALYs)^OFFSET($E$11, 0, 0, timeHorizon*E.cyclesPerYear))</f>
        <v>6.5697608397957437</v>
      </c>
      <c r="V5" s="61"/>
      <c r="W5" s="61"/>
      <c r="X5" s="61"/>
      <c r="Y5" s="61"/>
      <c r="Z5" s="61"/>
      <c r="AB5" s="46">
        <f t="array" aca="1" ref="AB5" ca="1">SUM((OFFSET(AB$11, 0, 0, timeHorizon*E.cyclesPerYear)) / E.cyclesPerYear / (1+DQALYs)^OFFSET($E$11, 0, 0, timeHorizon*E.cyclesPerYear))</f>
        <v>3.9559491473146617</v>
      </c>
      <c r="AC5" s="46">
        <f t="array" aca="1" ref="AC5" ca="1">SUM((OFFSET(AC$11, 0, 0, timeHorizon*E.cyclesPerYear)) / E.cyclesPerYear / (1+DQALYs)^OFFSET($E$11, 0, 0, timeHorizon*E.cyclesPerYear))</f>
        <v>0</v>
      </c>
      <c r="AD5" s="46">
        <f t="array" aca="1" ref="AD5" ca="1">SUM((OFFSET(AD$11, 0, 0, timeHorizon*E.cyclesPerYear)) / E.cyclesPerYear / (1+DQALYs)^OFFSET($E$11, 0, 0, timeHorizon*E.cyclesPerYear))</f>
        <v>8.9913263076873376E-2</v>
      </c>
      <c r="AE5" s="46">
        <f t="array" aca="1" ref="AE5" ca="1">SUM((OFFSET(AE$11, 0, 0, timeHorizon*E.cyclesPerYear)) / E.cyclesPerYear / (1+DQALYs)^OFFSET($E$11, 0, 0, timeHorizon*E.cyclesPerYear))</f>
        <v>3.7046698815660445E-2</v>
      </c>
      <c r="AF5" s="46">
        <f t="array" aca="1" ref="AF5" ca="1">SUM((OFFSET(AF$11, 0, 0, timeHorizon*E.cyclesPerYear)) / E.cyclesPerYear / (1+DQALYs)^OFFSET($E$11, 0, 0, timeHorizon*E.cyclesPerYear))</f>
        <v>3.1605346007706524E-3</v>
      </c>
      <c r="AG5" s="46">
        <f t="array" aca="1" ref="AG5" ca="1">SUM((OFFSET(AG$11, 0, 0, timeHorizon*E.cyclesPerYear)) / E.cyclesPerYear / (1+DQALYs)^OFFSET($E$11, 0, 0, timeHorizon*E.cyclesPerYear))</f>
        <v>1.0395531310260226</v>
      </c>
      <c r="AH5" s="46">
        <f t="array" aca="1" ref="AH5" ca="1">SUM((OFFSET(AH$11, 0, 0, timeHorizon*E.cyclesPerYear)) / E.cyclesPerYear / (1+DQALYs)^OFFSET($E$11, 0, 0, timeHorizon*E.cyclesPerYear))</f>
        <v>0.49534295221615254</v>
      </c>
      <c r="AI5" s="46">
        <f t="array" aca="1" ref="AI5" ca="1">SUM((OFFSET(AI$11, 0, 0, timeHorizon*E.cyclesPerYear)) / E.cyclesPerYear / (1+DQALYs)^OFFSET($E$11, 0, 0, timeHorizon*E.cyclesPerYear))</f>
        <v>0.82719657196187757</v>
      </c>
      <c r="AJ5" s="46">
        <f t="array" aca="1" ref="AJ5" ca="1">SUM((OFFSET(AJ$11, 0, 0, timeHorizon*E.cyclesPerYear)) / E.cyclesPerYear / (1+DQALYs)^OFFSET($E$11, 0, 0, timeHorizon*E.cyclesPerYear))</f>
        <v>1.9298270777243613E-2</v>
      </c>
      <c r="AK5" s="46">
        <f t="array" aca="1" ref="AK5" ca="1">SUM((OFFSET(AK$11, 0, 0, timeHorizon*E.cyclesPerYear)) / E.cyclesPerYear / (1+DQALYs)^OFFSET($E$11, 0, 0, timeHorizon*E.cyclesPerYear))</f>
        <v>0.25470368322798148</v>
      </c>
      <c r="AL5" s="46">
        <f t="array" aca="1" ref="AL5" ca="1">SUM((OFFSET(AL$11, 0, 0, timeHorizon*E.cyclesPerYear)) / E.cyclesPerYear / (1+DQALYs)^OFFSET($E$11, 0, 0, timeHorizon*E.cyclesPerYear))</f>
        <v>0.41840946395236173</v>
      </c>
      <c r="AM5" s="46">
        <f t="array" aca="1" ref="AM5" ca="1">SUM((OFFSET(AM$11, 0, 0, timeHorizon*E.cyclesPerYear)) / E.cyclesPerYear / (1+DQALYs)^OFFSET($E$11, 0, 0, timeHorizon*E.cyclesPerYear))</f>
        <v>1.3571750503015461</v>
      </c>
      <c r="AO5" s="46">
        <f t="array" aca="1" ref="AO5" ca="1">SUM(OFFSET(AO$11, 0, 0, timeHorizon*E.cyclesPerYear) / E.cyclesPerYear / (1+DQALYs)^OFFSET($E$11, 0, 0, timeHorizon*E.cyclesPerYear))</f>
        <v>6.7221642530172439</v>
      </c>
      <c r="AP5" s="61"/>
      <c r="AQ5" s="61"/>
      <c r="AR5" s="61"/>
      <c r="AS5" s="61"/>
      <c r="AT5" s="61"/>
    </row>
    <row r="6" spans="1:46" ht="12" customHeight="1" thickBot="1" x14ac:dyDescent="0.3">
      <c r="D6" s="452" t="s">
        <v>31</v>
      </c>
      <c r="E6" s="446" t="s">
        <v>92</v>
      </c>
      <c r="F6" s="452" t="s">
        <v>30</v>
      </c>
      <c r="G6" s="456" t="s">
        <v>139</v>
      </c>
      <c r="H6" s="126" t="str">
        <f>INDEX(rngStrats, H2)</f>
        <v>HPE</v>
      </c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B6" s="126" t="str">
        <f>INDEX(rngStrats, AB2)</f>
        <v>No HPE</v>
      </c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26"/>
      <c r="AN6" s="126"/>
      <c r="AO6" s="126"/>
      <c r="AP6" s="126"/>
      <c r="AQ6" s="126"/>
      <c r="AR6" s="126"/>
      <c r="AS6" s="126"/>
      <c r="AT6" s="126"/>
    </row>
    <row r="7" spans="1:46" ht="12" customHeight="1" thickBot="1" x14ac:dyDescent="0.3">
      <c r="D7" s="452"/>
      <c r="E7" s="466"/>
      <c r="F7" s="452"/>
      <c r="G7" s="456"/>
      <c r="H7" s="108" t="s">
        <v>85</v>
      </c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B7" s="108" t="s">
        <v>85</v>
      </c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</row>
    <row r="8" spans="1:46" ht="12" customHeight="1" thickBot="1" x14ac:dyDescent="0.3">
      <c r="D8" s="452"/>
      <c r="E8" s="466"/>
      <c r="F8" s="452"/>
      <c r="G8" s="456"/>
      <c r="H8" s="501" t="str">
        <f t="shared" ref="H8:S8" ca="1" si="31">INDEX(K.rngStates, H$3)</f>
        <v>No event no NSAID</v>
      </c>
      <c r="I8" s="501" t="str">
        <f t="shared" ca="1" si="31"/>
        <v>No event + NSAID</v>
      </c>
      <c r="J8" s="501" t="str">
        <f t="shared" ca="1" si="31"/>
        <v>Primary care AKI</v>
      </c>
      <c r="K8" s="501" t="str">
        <f t="shared" ca="1" si="31"/>
        <v>Secondary care AKI (no RRT)</v>
      </c>
      <c r="L8" s="501" t="str">
        <f t="shared" ca="1" si="31"/>
        <v>Secondary care AKI (with RRT)</v>
      </c>
      <c r="M8" s="501" t="str">
        <f t="shared" ca="1" si="31"/>
        <v>Post-event CKD stage 3b-4</v>
      </c>
      <c r="N8" s="501" t="str">
        <f t="shared" ca="1" si="31"/>
        <v>ESRD</v>
      </c>
      <c r="O8" s="501" t="str">
        <f t="shared" ca="1" si="31"/>
        <v>ESRD+RRT</v>
      </c>
      <c r="P8" s="501" t="str">
        <f t="shared" ca="1" si="31"/>
        <v>Transplant</v>
      </c>
      <c r="Q8" s="501" t="str">
        <f t="shared" ca="1" si="31"/>
        <v>Post-transplant</v>
      </c>
      <c r="R8" s="501" t="str">
        <f t="shared" ca="1" si="31"/>
        <v>Dead (AKI)</v>
      </c>
      <c r="S8" s="501" t="str">
        <f t="shared" ca="1" si="31"/>
        <v>Dead (other)</v>
      </c>
      <c r="T8" s="452" t="s">
        <v>35</v>
      </c>
      <c r="U8" s="501" t="s">
        <v>309</v>
      </c>
      <c r="V8" s="501" t="s">
        <v>34</v>
      </c>
      <c r="W8" s="501" t="s">
        <v>759</v>
      </c>
      <c r="X8" s="501" t="s">
        <v>143</v>
      </c>
      <c r="Y8" s="501" t="s">
        <v>102</v>
      </c>
      <c r="Z8" s="501" t="s">
        <v>760</v>
      </c>
      <c r="AB8" s="501" t="str">
        <f t="shared" ref="AB8:AM8" ca="1" si="32">INDEX(K.rngStates, AB$3)</f>
        <v>No event no NSAID</v>
      </c>
      <c r="AC8" s="501" t="str">
        <f t="shared" ca="1" si="32"/>
        <v>No event + NSAID</v>
      </c>
      <c r="AD8" s="501" t="str">
        <f t="shared" ca="1" si="32"/>
        <v>Primary care AKI</v>
      </c>
      <c r="AE8" s="501" t="str">
        <f t="shared" ca="1" si="32"/>
        <v>Secondary care AKI (no RRT)</v>
      </c>
      <c r="AF8" s="501" t="str">
        <f t="shared" ca="1" si="32"/>
        <v>Secondary care AKI (with RRT)</v>
      </c>
      <c r="AG8" s="501" t="str">
        <f t="shared" ca="1" si="32"/>
        <v>Post-event CKD stage 3b-4</v>
      </c>
      <c r="AH8" s="501" t="str">
        <f t="shared" ca="1" si="32"/>
        <v>ESRD</v>
      </c>
      <c r="AI8" s="501" t="str">
        <f t="shared" ca="1" si="32"/>
        <v>ESRD+RRT</v>
      </c>
      <c r="AJ8" s="501" t="str">
        <f t="shared" ca="1" si="32"/>
        <v>Transplant</v>
      </c>
      <c r="AK8" s="501" t="str">
        <f t="shared" ca="1" si="32"/>
        <v>Post-transplant</v>
      </c>
      <c r="AL8" s="501" t="str">
        <f t="shared" ca="1" si="32"/>
        <v>Dead (AKI)</v>
      </c>
      <c r="AM8" s="501" t="str">
        <f t="shared" ca="1" si="32"/>
        <v>Dead (other)</v>
      </c>
      <c r="AN8" s="452" t="s">
        <v>35</v>
      </c>
      <c r="AO8" s="501" t="s">
        <v>309</v>
      </c>
      <c r="AP8" s="501" t="s">
        <v>34</v>
      </c>
      <c r="AQ8" s="501" t="s">
        <v>759</v>
      </c>
      <c r="AR8" s="501" t="s">
        <v>143</v>
      </c>
      <c r="AS8" s="501" t="s">
        <v>102</v>
      </c>
      <c r="AT8" s="501" t="s">
        <v>760</v>
      </c>
    </row>
    <row r="9" spans="1:46" ht="12" customHeight="1" thickBot="1" x14ac:dyDescent="0.3">
      <c r="D9" s="452"/>
      <c r="E9" s="466"/>
      <c r="F9" s="452"/>
      <c r="G9" s="456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452"/>
      <c r="U9" s="502"/>
      <c r="V9" s="502"/>
      <c r="W9" s="502"/>
      <c r="X9" s="502"/>
      <c r="Y9" s="502"/>
      <c r="Z9" s="502"/>
      <c r="AB9" s="502"/>
      <c r="AC9" s="502"/>
      <c r="AD9" s="502"/>
      <c r="AE9" s="502"/>
      <c r="AF9" s="502"/>
      <c r="AG9" s="502"/>
      <c r="AH9" s="502"/>
      <c r="AI9" s="502"/>
      <c r="AJ9" s="502"/>
      <c r="AK9" s="502"/>
      <c r="AL9" s="502"/>
      <c r="AM9" s="502"/>
      <c r="AN9" s="452"/>
      <c r="AO9" s="502"/>
      <c r="AP9" s="502"/>
      <c r="AQ9" s="502"/>
      <c r="AR9" s="502"/>
      <c r="AS9" s="502"/>
      <c r="AT9" s="502"/>
    </row>
    <row r="10" spans="1:46" ht="12" customHeight="1" thickBot="1" x14ac:dyDescent="0.3">
      <c r="D10" s="452"/>
      <c r="E10" s="447"/>
      <c r="F10" s="452"/>
      <c r="G10" s="456"/>
      <c r="H10" s="527"/>
      <c r="I10" s="527"/>
      <c r="J10" s="527"/>
      <c r="K10" s="527"/>
      <c r="L10" s="527"/>
      <c r="M10" s="527"/>
      <c r="N10" s="527"/>
      <c r="O10" s="527"/>
      <c r="P10" s="527"/>
      <c r="Q10" s="527"/>
      <c r="R10" s="527"/>
      <c r="S10" s="527"/>
      <c r="T10" s="452"/>
      <c r="U10" s="527"/>
      <c r="V10" s="527"/>
      <c r="W10" s="527"/>
      <c r="X10" s="527"/>
      <c r="Y10" s="527"/>
      <c r="Z10" s="527"/>
      <c r="AB10" s="527"/>
      <c r="AC10" s="527"/>
      <c r="AD10" s="527"/>
      <c r="AE10" s="527"/>
      <c r="AF10" s="527"/>
      <c r="AG10" s="527"/>
      <c r="AH10" s="527"/>
      <c r="AI10" s="527"/>
      <c r="AJ10" s="527"/>
      <c r="AK10" s="527"/>
      <c r="AL10" s="527"/>
      <c r="AM10" s="527"/>
      <c r="AN10" s="452"/>
      <c r="AO10" s="527"/>
      <c r="AP10" s="527"/>
      <c r="AQ10" s="527"/>
      <c r="AR10" s="527"/>
      <c r="AS10" s="527"/>
      <c r="AT10" s="527"/>
    </row>
    <row r="11" spans="1:46" ht="12" customHeight="1" x14ac:dyDescent="0.25">
      <c r="D11" s="62">
        <v>0</v>
      </c>
      <c r="E11" s="62">
        <f t="shared" ref="E11:E42" si="33">D11*E.cycleLength</f>
        <v>0</v>
      </c>
      <c r="F11" s="63">
        <f t="shared" ref="F11:F42" si="34">E.cohortAge+E11</f>
        <v>70</v>
      </c>
      <c r="G11" s="62">
        <f>IF(AND(E10&lt;E.maxDurHPE, E11&gt;=E.maxDurHPE), 1, 0)</f>
        <v>0</v>
      </c>
      <c r="H11" s="164">
        <f>CHOOSE(H$2, 0, 1)</f>
        <v>0</v>
      </c>
      <c r="I11" s="116">
        <f>1-H11</f>
        <v>1</v>
      </c>
      <c r="J11" s="116">
        <v>0</v>
      </c>
      <c r="K11" s="116">
        <v>0</v>
      </c>
      <c r="L11" s="116">
        <v>0</v>
      </c>
      <c r="M11" s="116">
        <v>0</v>
      </c>
      <c r="N11" s="116">
        <v>0</v>
      </c>
      <c r="O11" s="116">
        <v>0</v>
      </c>
      <c r="P11" s="116">
        <v>0</v>
      </c>
      <c r="Q11" s="116">
        <v>0</v>
      </c>
      <c r="R11" s="116">
        <v>0</v>
      </c>
      <c r="S11" s="116">
        <v>0</v>
      </c>
      <c r="T11" s="128">
        <f t="shared" ref="T11:T42" si="35">SUM(H11:S11)</f>
        <v>1</v>
      </c>
      <c r="U11" s="141">
        <f t="shared" ref="U11:U42" si="36">SUM(H11:Q11)</f>
        <v>1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B11" s="164">
        <f>CHOOSE(AB$2, 0, 1)</f>
        <v>1</v>
      </c>
      <c r="AC11" s="116">
        <f>1-AB11</f>
        <v>0</v>
      </c>
      <c r="AD11" s="116">
        <v>0</v>
      </c>
      <c r="AE11" s="116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128">
        <f t="shared" ref="AN11:AN42" si="37">SUM(AB11:AM11)</f>
        <v>1</v>
      </c>
      <c r="AO11" s="141">
        <f t="shared" ref="AO11:AO42" si="38">SUM(AB11:AK11)</f>
        <v>1</v>
      </c>
      <c r="AP11" s="141">
        <v>0</v>
      </c>
      <c r="AQ11" s="141">
        <v>0</v>
      </c>
      <c r="AR11" s="141">
        <v>0</v>
      </c>
      <c r="AS11" s="141">
        <v>0</v>
      </c>
      <c r="AT11" s="141">
        <v>0</v>
      </c>
    </row>
    <row r="12" spans="1:46" ht="12" customHeight="1" x14ac:dyDescent="0.25">
      <c r="D12" s="62">
        <f>D11+1</f>
        <v>1</v>
      </c>
      <c r="E12" s="62">
        <f t="shared" si="33"/>
        <v>0.25</v>
      </c>
      <c r="F12" s="63">
        <f t="shared" si="34"/>
        <v>70.25</v>
      </c>
      <c r="G12" s="62">
        <f>IF(AND(E11&lt;E.maxDurHPE, E12&gt;=E.maxDurHPE), 1, 0)</f>
        <v>0</v>
      </c>
      <c r="H12" s="164">
        <f t="array" aca="1" ref="H12:S12" ca="1">MMULT(H11:S11, OFFSET(E.rngTPM_Root, INT(($F11-70)/5)*12, $G12*15))</f>
        <v>0</v>
      </c>
      <c r="I12" s="164">
        <f ca="1"/>
        <v>0.93864371192941909</v>
      </c>
      <c r="J12" s="164">
        <f ca="1"/>
        <v>2.6235663881752816E-2</v>
      </c>
      <c r="K12" s="164">
        <f ca="1"/>
        <v>1.0874640007878062E-2</v>
      </c>
      <c r="L12" s="164">
        <f ca="1"/>
        <v>9.3131970065103806E-4</v>
      </c>
      <c r="M12" s="164">
        <f ca="1"/>
        <v>0</v>
      </c>
      <c r="N12" s="164">
        <f ca="1"/>
        <v>6.7082846410596586E-3</v>
      </c>
      <c r="O12" s="164">
        <f ca="1"/>
        <v>9.1998312635980239E-3</v>
      </c>
      <c r="P12" s="164">
        <f ca="1"/>
        <v>0</v>
      </c>
      <c r="Q12" s="164">
        <f ca="1"/>
        <v>0</v>
      </c>
      <c r="R12" s="164">
        <f ca="1"/>
        <v>0</v>
      </c>
      <c r="S12" s="164">
        <f ca="1"/>
        <v>7.4065485756412697E-3</v>
      </c>
      <c r="T12" s="128">
        <f t="shared" ca="1" si="35"/>
        <v>1</v>
      </c>
      <c r="U12" s="141">
        <f t="shared" ca="1" si="36"/>
        <v>0.99259345142435873</v>
      </c>
      <c r="V12" s="141">
        <f t="shared" ref="V12:V75" ca="1" si="39">1-U12</f>
        <v>7.4065485756412697E-3</v>
      </c>
      <c r="W12" s="141" cm="1">
        <f t="array" aca="1" ref="W12" ca="1">SUMPRODUCT(H11:I11, TRANSPOSE(OFFSET(E.TPMs!$N$8:$N$9, INT(($F11-70)/5)*12, $G12*15)))
+SUMPRODUCT(H11:I11, TRANSPOSE(OFFSET(E.TPMs!$O$8:$O$9, INT(($F11-70)/5)*12, $G12*15)))
+SUMPRODUCT(H11:I11, TRANSPOSE(OFFSET(E.TPMs!$P$8:$P$9, INT(($F11-70)/5)*12, $G12*15)))</f>
        <v>3.8041623590281917E-2</v>
      </c>
      <c r="X12" s="141">
        <f t="shared" ref="X12:X42" ca="1" si="40">SUM(J12:L12)</f>
        <v>3.8041623590281917E-2</v>
      </c>
      <c r="Y12" s="141" cm="1">
        <f t="array" aca="1" ref="Y12" ca="1">SUMPRODUCT(H11:M11, TRANSPOSE(OFFSET(E.TPMs!$R$8:$R$13, INT(($F11-70)/5)*12, $G12*15)))
+SUMPRODUCT(H11:M11, TRANSPOSE(OFFSET(E.TPMs!$S$8:$S$13, INT(($F11-70)/5)*12, $G12*15)))</f>
        <v>1.5908115904657683E-2</v>
      </c>
      <c r="Z12" s="141" cm="1">
        <f t="array" aca="1" ref="Z12" ca="1">SUMPRODUCT(H11:N11, TRANSPOSE(OFFSET(E.TPMs!$S$8:$S$14, INT(($F11-70)/5)*12, $G12*15)))</f>
        <v>9.1998312635980239E-3</v>
      </c>
      <c r="AB12" s="164">
        <f t="array" aca="1" ref="AB12:AM12" ca="1">MMULT(AB11:AM11, OFFSET(E.rngTPM_Root, INT(($F11-70)/5)*12, $G12*15))</f>
        <v>0.9531536679855882</v>
      </c>
      <c r="AC12" s="164">
        <f ca="1"/>
        <v>0</v>
      </c>
      <c r="AD12" s="164">
        <f ca="1"/>
        <v>1.6260382266071995E-2</v>
      </c>
      <c r="AE12" s="164">
        <f ca="1"/>
        <v>6.6997177482441637E-3</v>
      </c>
      <c r="AF12" s="164">
        <f ca="1"/>
        <v>5.715675197967145E-4</v>
      </c>
      <c r="AG12" s="164">
        <f ca="1"/>
        <v>0</v>
      </c>
      <c r="AH12" s="164">
        <f ca="1"/>
        <v>6.7082846410596586E-3</v>
      </c>
      <c r="AI12" s="164">
        <f ca="1"/>
        <v>9.1998312635980239E-3</v>
      </c>
      <c r="AJ12" s="164">
        <f ca="1"/>
        <v>0</v>
      </c>
      <c r="AK12" s="164">
        <f ca="1"/>
        <v>0</v>
      </c>
      <c r="AL12" s="164">
        <f ca="1"/>
        <v>0</v>
      </c>
      <c r="AM12" s="164">
        <f ca="1"/>
        <v>7.4065485756412697E-3</v>
      </c>
      <c r="AN12" s="128">
        <f t="shared" ca="1" si="37"/>
        <v>1</v>
      </c>
      <c r="AO12" s="141">
        <f t="shared" ca="1" si="38"/>
        <v>0.99259345142435873</v>
      </c>
      <c r="AP12" s="141">
        <f t="shared" ref="AP12:AP75" ca="1" si="41">1-AO12</f>
        <v>7.4065485756412697E-3</v>
      </c>
      <c r="AQ12" s="141" cm="1">
        <f t="array" aca="1" ref="AQ12" ca="1">SUMPRODUCT(AB11:AC11, TRANSPOSE(OFFSET(E.TPMs!$N$8:$N$9, INT(($F11-70)/5)*12, $G12*15)))
+SUMPRODUCT(AB11:AC11, TRANSPOSE(OFFSET(E.TPMs!$O$8:$O$9, INT(($F11-70)/5)*12, $G12*15)))
+SUMPRODUCT(AB11:AC11, TRANSPOSE(OFFSET(E.TPMs!$P$8:$P$9, INT(($F11-70)/5)*12, $G12*15)))</f>
        <v>2.3531667534112871E-2</v>
      </c>
      <c r="AR12" s="141">
        <f t="shared" ref="AR12:AR75" ca="1" si="42">SUM(AD12:AF12)</f>
        <v>2.3531667534112871E-2</v>
      </c>
      <c r="AS12" s="141" cm="1">
        <f t="array" aca="1" ref="AS12" ca="1">SUMPRODUCT(AB11:AG11, TRANSPOSE(OFFSET(E.TPMs!$R$8:$R$13, INT(($F11-70)/5)*12, $G12*15)))
+SUMPRODUCT(AB11:AG11, TRANSPOSE(OFFSET(E.TPMs!$S$8:$S$13, INT(($F11-70)/5)*12, $G12*15)))</f>
        <v>1.5908115904657683E-2</v>
      </c>
      <c r="AT12" s="141" cm="1">
        <f t="array" aca="1" ref="AT12" ca="1">SUMPRODUCT(AB11:AH11, TRANSPOSE(OFFSET(E.TPMs!$S$8:$S$14, INT(($F11-70)/5)*12, $G12*15)))</f>
        <v>9.1998312635980239E-3</v>
      </c>
    </row>
    <row r="13" spans="1:46" ht="12" customHeight="1" x14ac:dyDescent="0.25">
      <c r="D13" s="62">
        <f t="shared" ref="D13:D76" si="43">D12+1</f>
        <v>2</v>
      </c>
      <c r="E13" s="62">
        <f t="shared" si="33"/>
        <v>0.5</v>
      </c>
      <c r="F13" s="63">
        <f t="shared" si="34"/>
        <v>70.5</v>
      </c>
      <c r="G13" s="62">
        <f>IF(AND(E12&lt;E.maxDurHPE, E13&gt;=E.maxDurHPE), 1, 0)</f>
        <v>0</v>
      </c>
      <c r="H13" s="164">
        <f t="array" aca="1" ref="H13:S13" ca="1">MMULT(H12:S12, OFFSET(E.rngTPM_Root, INT(($F12-70)/5)*12, $G13*15))</f>
        <v>0</v>
      </c>
      <c r="I13" s="164">
        <f ca="1"/>
        <v>0.88105201794463828</v>
      </c>
      <c r="J13" s="164">
        <f ca="1"/>
        <v>2.4625940930901057E-2</v>
      </c>
      <c r="K13" s="164">
        <f ca="1"/>
        <v>1.0207412462890832E-2</v>
      </c>
      <c r="L13" s="164">
        <f ca="1"/>
        <v>8.7417738081208582E-4</v>
      </c>
      <c r="M13" s="164">
        <f ca="1"/>
        <v>2.7685205471473472E-2</v>
      </c>
      <c r="N13" s="164">
        <f ca="1"/>
        <v>1.7149646149248889E-2</v>
      </c>
      <c r="O13" s="164">
        <f ca="1"/>
        <v>1.7775311774505982E-2</v>
      </c>
      <c r="P13" s="164">
        <f ca="1"/>
        <v>2.3793015325039682E-4</v>
      </c>
      <c r="Q13" s="164">
        <f ca="1"/>
        <v>0</v>
      </c>
      <c r="R13" s="164">
        <f ca="1"/>
        <v>5.7651933412863794E-3</v>
      </c>
      <c r="S13" s="164">
        <f ca="1"/>
        <v>1.4627164390992544E-2</v>
      </c>
      <c r="T13" s="128">
        <f t="shared" ca="1" si="35"/>
        <v>0.99999999999999978</v>
      </c>
      <c r="U13" s="141">
        <f t="shared" ca="1" si="36"/>
        <v>0.9796076422677209</v>
      </c>
      <c r="V13" s="141">
        <f t="shared" ca="1" si="39"/>
        <v>2.0392357732279098E-2</v>
      </c>
      <c r="W13" s="141" cm="1">
        <f t="array" aca="1" ref="W13" ca="1">SUMPRODUCT(H12:I12, TRANSPOSE(OFFSET(E.TPMs!$N$8:$N$9, INT(($F12-70)/5)*12, $G13*15)))
+SUMPRODUCT(H12:I12, TRANSPOSE(OFFSET(E.TPMs!$O$8:$O$9, INT(($F12-70)/5)*12, $G13*15)))
+SUMPRODUCT(H12:I12, TRANSPOSE(OFFSET(E.TPMs!$P$8:$P$9, INT(($F12-70)/5)*12, $G13*15)))</f>
        <v>3.5707530774603972E-2</v>
      </c>
      <c r="X13" s="141">
        <f t="shared" ca="1" si="40"/>
        <v>3.5707530774603972E-2</v>
      </c>
      <c r="Y13" s="141" cm="1">
        <f t="array" aca="1" ref="Y13" ca="1">SUMPRODUCT(H12:M12, TRANSPOSE(OFFSET(E.TPMs!$R$8:$R$13, INT(($F12-70)/5)*12, $G13*15)))
+SUMPRODUCT(H12:M12, TRANSPOSE(OFFSET(E.TPMs!$S$8:$S$13, INT(($F12-70)/5)*12, $G13*15)))</f>
        <v>1.9523277740073383E-2</v>
      </c>
      <c r="Z13" s="141" cm="1">
        <f t="array" aca="1" ref="Z13" ca="1">SUMPRODUCT(H12:N12, TRANSPOSE(OFFSET(E.TPMs!$S$8:$S$14, INT(($F12-70)/5)*12, $G13*15)))</f>
        <v>8.8930530913223955E-3</v>
      </c>
      <c r="AB13" s="164">
        <f t="array" aca="1" ref="AB13:AM13" ca="1">MMULT(AB12:AM12, OFFSET(E.rngTPM_Root, INT(($F12-70)/5)*12, $G13*15))</f>
        <v>0.90850191479438092</v>
      </c>
      <c r="AC13" s="164">
        <f ca="1"/>
        <v>0</v>
      </c>
      <c r="AD13" s="164">
        <f ca="1"/>
        <v>1.5498642999754333E-2</v>
      </c>
      <c r="AE13" s="164">
        <f ca="1"/>
        <v>6.3858605462070702E-3</v>
      </c>
      <c r="AF13" s="164">
        <f ca="1"/>
        <v>5.4479167799566372E-4</v>
      </c>
      <c r="AG13" s="164">
        <f ca="1"/>
        <v>1.7134277464518892E-2</v>
      </c>
      <c r="AH13" s="164">
        <f ca="1"/>
        <v>1.5497592141761832E-2</v>
      </c>
      <c r="AI13" s="164">
        <f ca="1"/>
        <v>1.7904081141066577E-2</v>
      </c>
      <c r="AJ13" s="164">
        <f ca="1"/>
        <v>2.3793015325039682E-4</v>
      </c>
      <c r="AK13" s="164">
        <f ca="1"/>
        <v>0</v>
      </c>
      <c r="AL13" s="164">
        <f ca="1"/>
        <v>3.5602759957113973E-3</v>
      </c>
      <c r="AM13" s="164">
        <f ca="1"/>
        <v>1.473463308535298E-2</v>
      </c>
      <c r="AN13" s="128">
        <f t="shared" ca="1" si="37"/>
        <v>1</v>
      </c>
      <c r="AO13" s="141">
        <f t="shared" ca="1" si="38"/>
        <v>0.98170509091893565</v>
      </c>
      <c r="AP13" s="141">
        <f t="shared" ca="1" si="41"/>
        <v>1.8294909081064348E-2</v>
      </c>
      <c r="AQ13" s="141" cm="1">
        <f t="array" aca="1" ref="AQ13" ca="1">SUMPRODUCT(AB12:AC12, TRANSPOSE(OFFSET(E.TPMs!$N$8:$N$9, INT(($F12-70)/5)*12, $G13*15)))
+SUMPRODUCT(AB12:AC12, TRANSPOSE(OFFSET(E.TPMs!$O$8:$O$9, INT(($F12-70)/5)*12, $G13*15)))
+SUMPRODUCT(AB12:AC12, TRANSPOSE(OFFSET(E.TPMs!$P$8:$P$9, INT(($F12-70)/5)*12, $G13*15)))</f>
        <v>2.2429295223957067E-2</v>
      </c>
      <c r="AR13" s="141">
        <f t="shared" ca="1" si="42"/>
        <v>2.2429295223957067E-2</v>
      </c>
      <c r="AS13" s="141" cm="1">
        <f t="array" aca="1" ref="AS13" ca="1">SUMPRODUCT(AB12:AG12, TRANSPOSE(OFFSET(E.TPMs!$R$8:$R$13, INT(($F12-70)/5)*12, $G13*15)))
+SUMPRODUCT(AB12:AG12, TRANSPOSE(OFFSET(E.TPMs!$S$8:$S$13, INT(($F12-70)/5)*12, $G13*15)))</f>
        <v>1.7999993099146926E-2</v>
      </c>
      <c r="AT13" s="141" cm="1">
        <f t="array" aca="1" ref="AT13" ca="1">SUMPRODUCT(AB12:AH12, TRANSPOSE(OFFSET(E.TPMs!$S$8:$S$14, INT(($F12-70)/5)*12, $G13*15)))</f>
        <v>9.0218224578829925E-3</v>
      </c>
    </row>
    <row r="14" spans="1:46" ht="12" customHeight="1" x14ac:dyDescent="0.25">
      <c r="D14" s="62">
        <f t="shared" si="43"/>
        <v>3</v>
      </c>
      <c r="E14" s="62">
        <f t="shared" si="33"/>
        <v>0.75</v>
      </c>
      <c r="F14" s="63">
        <f t="shared" si="34"/>
        <v>70.75</v>
      </c>
      <c r="G14" s="62">
        <f>IF(AND(E13&lt;E.maxDurHPE, E14&gt;=E.maxDurHPE), 1, 0)</f>
        <v>0</v>
      </c>
      <c r="H14" s="164">
        <f t="array" aca="1" ref="H14:S14" ca="1">MMULT(H13:S13, OFFSET(E.rngTPM_Root, INT(($F13-70)/5)*12, $G14*15))</f>
        <v>0</v>
      </c>
      <c r="I14" s="164">
        <f ca="1"/>
        <v>0.82699393652646047</v>
      </c>
      <c r="J14" s="164">
        <f ca="1"/>
        <v>2.3565156629216485E-2</v>
      </c>
      <c r="K14" s="164">
        <f ca="1"/>
        <v>9.7666065858234806E-3</v>
      </c>
      <c r="L14" s="164">
        <f ca="1"/>
        <v>8.3636506583658601E-4</v>
      </c>
      <c r="M14" s="164">
        <f ca="1"/>
        <v>5.2374799173342139E-2</v>
      </c>
      <c r="N14" s="164">
        <f ca="1"/>
        <v>2.6433400150634317E-2</v>
      </c>
      <c r="O14" s="164">
        <f ca="1"/>
        <v>2.6161797061583114E-2</v>
      </c>
      <c r="P14" s="164">
        <f ca="1"/>
        <v>5.152741129575561E-4</v>
      </c>
      <c r="Q14" s="164">
        <f ca="1"/>
        <v>2.3597734180175233E-4</v>
      </c>
      <c r="R14" s="164">
        <f ca="1"/>
        <v>1.1176655819142196E-2</v>
      </c>
      <c r="S14" s="164">
        <f ca="1"/>
        <v>2.1940031533201822E-2</v>
      </c>
      <c r="T14" s="128">
        <f t="shared" ca="1" si="35"/>
        <v>0.99999999999999989</v>
      </c>
      <c r="U14" s="141">
        <f t="shared" ca="1" si="36"/>
        <v>0.96688331264765592</v>
      </c>
      <c r="V14" s="141">
        <f t="shared" ca="1" si="39"/>
        <v>3.3116687352344076E-2</v>
      </c>
      <c r="W14" s="141" cm="1">
        <f t="array" aca="1" ref="W14" ca="1">SUMPRODUCT(H13:I13, TRANSPOSE(OFFSET(E.TPMs!$N$8:$N$9, INT(($F13-70)/5)*12, $G14*15)))
+SUMPRODUCT(H13:I13, TRANSPOSE(OFFSET(E.TPMs!$O$8:$O$9, INT(($F13-70)/5)*12, $G14*15)))
+SUMPRODUCT(H13:I13, TRANSPOSE(OFFSET(E.TPMs!$P$8:$P$9, INT(($F13-70)/5)*12, $G14*15)))</f>
        <v>3.3516649230108234E-2</v>
      </c>
      <c r="X14" s="141">
        <f t="shared" ca="1" si="40"/>
        <v>3.416812828087655E-2</v>
      </c>
      <c r="Y14" s="141" cm="1">
        <f t="array" aca="1" ref="Y14" ca="1">SUMPRODUCT(H13:M13, TRANSPOSE(OFFSET(E.TPMs!$R$8:$R$13, INT(($F13-70)/5)*12, $G14*15)))
+SUMPRODUCT(H13:M13, TRANSPOSE(OFFSET(E.TPMs!$S$8:$S$13, INT(($F13-70)/5)*12, $G14*15)))</f>
        <v>1.8765821344455945E-2</v>
      </c>
      <c r="Z14" s="141" cm="1">
        <f t="array" aca="1" ref="Z14" ca="1">SUMPRODUCT(H13:N13, TRANSPOSE(OFFSET(E.TPMs!$S$8:$S$14, INT(($F13-70)/5)*12, $G14*15)))</f>
        <v>8.9992410760625034E-3</v>
      </c>
      <c r="AB14" s="164">
        <f t="array" aca="1" ref="AB14:AM14" ca="1">MMULT(AB13:AM13, OFFSET(E.rngTPM_Root, INT(($F13-70)/5)*12, $G14*15))</f>
        <v>0.86594193245819451</v>
      </c>
      <c r="AC14" s="164">
        <f ca="1"/>
        <v>0</v>
      </c>
      <c r="AD14" s="164">
        <f ca="1"/>
        <v>1.5051198325441021E-2</v>
      </c>
      <c r="AE14" s="164">
        <f ca="1"/>
        <v>6.2015012256940978E-3</v>
      </c>
      <c r="AF14" s="164">
        <f ca="1"/>
        <v>5.2906358264349408E-4</v>
      </c>
      <c r="AG14" s="164">
        <f ca="1"/>
        <v>3.2663198827177969E-2</v>
      </c>
      <c r="AH14" s="164">
        <f ca="1"/>
        <v>2.3400675779668673E-2</v>
      </c>
      <c r="AI14" s="164">
        <f ca="1"/>
        <v>2.6376815384284318E-2</v>
      </c>
      <c r="AJ14" s="164">
        <f ca="1"/>
        <v>4.9544324081343921E-4</v>
      </c>
      <c r="AK14" s="164">
        <f ca="1"/>
        <v>2.3597734180175233E-4</v>
      </c>
      <c r="AL14" s="164">
        <f ca="1"/>
        <v>6.9537661200647586E-3</v>
      </c>
      <c r="AM14" s="164">
        <f ca="1"/>
        <v>2.2150427714216065E-2</v>
      </c>
      <c r="AN14" s="128">
        <f t="shared" ca="1" si="37"/>
        <v>0.99999999999999989</v>
      </c>
      <c r="AO14" s="141">
        <f t="shared" ca="1" si="38"/>
        <v>0.97089580616571913</v>
      </c>
      <c r="AP14" s="141">
        <f t="shared" ca="1" si="41"/>
        <v>2.9104193834280867E-2</v>
      </c>
      <c r="AQ14" s="141" cm="1">
        <f t="array" aca="1" ref="AQ14" ca="1">SUMPRODUCT(AB13:AC13, TRANSPOSE(OFFSET(E.TPMs!$N$8:$N$9, INT(($F13-70)/5)*12, $G14*15)))
+SUMPRODUCT(AB13:AC13, TRANSPOSE(OFFSET(E.TPMs!$O$8:$O$9, INT(($F13-70)/5)*12, $G14*15)))
+SUMPRODUCT(AB13:AC13, TRANSPOSE(OFFSET(E.TPMs!$P$8:$P$9, INT(($F13-70)/5)*12, $G14*15)))</f>
        <v>2.1378565013046309E-2</v>
      </c>
      <c r="AR14" s="141">
        <f t="shared" ca="1" si="42"/>
        <v>2.1781763133778616E-2</v>
      </c>
      <c r="AS14" s="141" cm="1">
        <f t="array" aca="1" ref="AS14" ca="1">SUMPRODUCT(AB13:AG13, TRANSPOSE(OFFSET(E.TPMs!$R$8:$R$13, INT(($F13-70)/5)*12, $G14*15)))
+SUMPRODUCT(AB13:AG13, TRANSPOSE(OFFSET(E.TPMs!$S$8:$S$13, INT(($F13-70)/5)*12, $G14*15)))</f>
        <v>1.7429333518015299E-2</v>
      </c>
      <c r="AT14" s="141" cm="1">
        <f t="array" aca="1" ref="AT14" ca="1">SUMPRODUCT(AB13:AH13, TRANSPOSE(OFFSET(E.TPMs!$S$8:$S$14, INT(($F13-70)/5)*12, $G14*15)))</f>
        <v>9.0899350724267091E-3</v>
      </c>
    </row>
    <row r="15" spans="1:46" ht="12" customHeight="1" x14ac:dyDescent="0.25">
      <c r="D15" s="62">
        <f t="shared" si="43"/>
        <v>4</v>
      </c>
      <c r="E15" s="62">
        <f t="shared" si="33"/>
        <v>1</v>
      </c>
      <c r="F15" s="63">
        <f t="shared" si="34"/>
        <v>71</v>
      </c>
      <c r="G15" s="62">
        <f>IF(AND(E14&lt;E.maxDurHPE, E15&gt;=E.maxDurHPE), 1, 0)</f>
        <v>0</v>
      </c>
      <c r="H15" s="164">
        <f t="array" aca="1" ref="H15:S15" ca="1">MMULT(H14:S14, OFFSET(E.rngTPM_Root, INT(($F14-70)/5)*12, $G15*15))</f>
        <v>0</v>
      </c>
      <c r="I15" s="164">
        <f ca="1"/>
        <v>0.77625265832431922</v>
      </c>
      <c r="J15" s="164">
        <f ca="1"/>
        <v>2.2548369206623134E-2</v>
      </c>
      <c r="K15" s="164">
        <f ca="1"/>
        <v>9.3441577200055817E-3</v>
      </c>
      <c r="L15" s="164">
        <f ca="1"/>
        <v>8.0013147946940498E-4</v>
      </c>
      <c r="M15" s="164">
        <f ca="1"/>
        <v>7.4787704082143691E-2</v>
      </c>
      <c r="N15" s="164">
        <f ca="1"/>
        <v>3.4733682640819608E-2</v>
      </c>
      <c r="O15" s="164">
        <f ca="1"/>
        <v>3.4329623816210471E-2</v>
      </c>
      <c r="P15" s="164">
        <f ca="1"/>
        <v>7.7420191833262476E-4</v>
      </c>
      <c r="Q15" s="164">
        <f ca="1"/>
        <v>7.4508555934158513E-4</v>
      </c>
      <c r="R15" s="164">
        <f ca="1"/>
        <v>1.6354658018799977E-2</v>
      </c>
      <c r="S15" s="164">
        <f ca="1"/>
        <v>2.9329727233934545E-2</v>
      </c>
      <c r="T15" s="128">
        <f t="shared" ca="1" si="35"/>
        <v>1</v>
      </c>
      <c r="U15" s="141">
        <f t="shared" ca="1" si="36"/>
        <v>0.95431561474726545</v>
      </c>
      <c r="V15" s="141">
        <f t="shared" ca="1" si="39"/>
        <v>4.568438525273455E-2</v>
      </c>
      <c r="W15" s="141" cm="1">
        <f t="array" aca="1" ref="W15" ca="1">SUMPRODUCT(H14:I14, TRANSPOSE(OFFSET(E.TPMs!$N$8:$N$9, INT(($F14-70)/5)*12, $G15*15)))
+SUMPRODUCT(H14:I14, TRANSPOSE(OFFSET(E.TPMs!$O$8:$O$9, INT(($F14-70)/5)*12, $G15*15)))
+SUMPRODUCT(H14:I14, TRANSPOSE(OFFSET(E.TPMs!$P$8:$P$9, INT(($F14-70)/5)*12, $G15*15)))</f>
        <v>3.1460192044785104E-2</v>
      </c>
      <c r="X15" s="141">
        <f t="shared" ca="1" si="40"/>
        <v>3.269265840609812E-2</v>
      </c>
      <c r="Y15" s="141" cm="1">
        <f t="array" aca="1" ref="Y15" ca="1">SUMPRODUCT(H14:M14, TRANSPOSE(OFFSET(E.TPMs!$R$8:$R$13, INT(($F14-70)/5)*12, $G15*15)))
+SUMPRODUCT(H14:M14, TRANSPOSE(OFFSET(E.TPMs!$S$8:$S$13, INT(($F14-70)/5)*12, $G15*15)))</f>
        <v>1.8112753711599434E-2</v>
      </c>
      <c r="Z15" s="141" cm="1">
        <f t="array" aca="1" ref="Z15" ca="1">SUMPRODUCT(H14:N14, TRANSPOSE(OFFSET(E.TPMs!$S$8:$S$14, INT(($F14-70)/5)*12, $G15*15)))</f>
        <v>9.0682727809338545E-3</v>
      </c>
      <c r="AB15" s="164">
        <f t="array" aca="1" ref="AB15:AM15" ca="1">MMULT(AB14:AM14, OFFSET(E.rngTPM_Root, INT(($F14-70)/5)*12, $G15*15))</f>
        <v>0.82537572918505653</v>
      </c>
      <c r="AC15" s="164">
        <f ca="1"/>
        <v>0</v>
      </c>
      <c r="AD15" s="164">
        <f ca="1"/>
        <v>1.4611662940953967E-2</v>
      </c>
      <c r="AE15" s="164">
        <f ca="1"/>
        <v>6.0204007467358871E-3</v>
      </c>
      <c r="AF15" s="164">
        <f ca="1"/>
        <v>5.1361350616538131E-4</v>
      </c>
      <c r="AG15" s="164">
        <f ca="1"/>
        <v>4.6993155119631987E-2</v>
      </c>
      <c r="AH15" s="164">
        <f ca="1"/>
        <v>3.053287116170561E-2</v>
      </c>
      <c r="AI15" s="164">
        <f ca="1"/>
        <v>3.4599115968248585E-2</v>
      </c>
      <c r="AJ15" s="164">
        <f ca="1"/>
        <v>7.3745187324136764E-4</v>
      </c>
      <c r="AK15" s="164">
        <f ca="1"/>
        <v>7.2541744905690723E-4</v>
      </c>
      <c r="AL15" s="164">
        <f ca="1"/>
        <v>1.0249286436125819E-2</v>
      </c>
      <c r="AM15" s="164">
        <f ca="1"/>
        <v>2.9641295613078031E-2</v>
      </c>
      <c r="AN15" s="128">
        <f t="shared" ca="1" si="37"/>
        <v>1</v>
      </c>
      <c r="AO15" s="141">
        <f t="shared" ca="1" si="38"/>
        <v>0.9601094179507963</v>
      </c>
      <c r="AP15" s="141">
        <f t="shared" ca="1" si="41"/>
        <v>3.9890582049203704E-2</v>
      </c>
      <c r="AQ15" s="141" cm="1">
        <f t="array" aca="1" ref="AQ15" ca="1">SUMPRODUCT(AB14:AC14, TRANSPOSE(OFFSET(E.TPMs!$N$8:$N$9, INT(($F14-70)/5)*12, $G15*15)))
+SUMPRODUCT(AB14:AC14, TRANSPOSE(OFFSET(E.TPMs!$O$8:$O$9, INT(($F14-70)/5)*12, $G15*15)))
+SUMPRODUCT(AB14:AC14, TRANSPOSE(OFFSET(E.TPMs!$P$8:$P$9, INT(($F14-70)/5)*12, $G15*15)))</f>
        <v>2.0377057658453455E-2</v>
      </c>
      <c r="AR15" s="141">
        <f t="shared" ca="1" si="42"/>
        <v>2.1145677193855236E-2</v>
      </c>
      <c r="AS15" s="141" cm="1">
        <f t="array" aca="1" ref="AS15" ca="1">SUMPRODUCT(AB14:AG14, TRANSPOSE(OFFSET(E.TPMs!$R$8:$R$13, INT(($F14-70)/5)*12, $G15*15)))
+SUMPRODUCT(AB14:AG14, TRANSPOSE(OFFSET(E.TPMs!$S$8:$S$13, INT(($F14-70)/5)*12, $G15*15)))</f>
        <v>1.6921250049360646E-2</v>
      </c>
      <c r="AT15" s="141" cm="1">
        <f t="array" aca="1" ref="AT15" ca="1">SUMPRODUCT(AB14:AH14, TRANSPOSE(OFFSET(E.TPMs!$S$8:$S$14, INT(($F14-70)/5)*12, $G15*15)))</f>
        <v>9.1302386874583096E-3</v>
      </c>
    </row>
    <row r="16" spans="1:46" ht="12" customHeight="1" x14ac:dyDescent="0.25">
      <c r="D16" s="62">
        <f t="shared" si="43"/>
        <v>5</v>
      </c>
      <c r="E16" s="62">
        <f t="shared" si="33"/>
        <v>1.25</v>
      </c>
      <c r="F16" s="63">
        <f t="shared" si="34"/>
        <v>71.25</v>
      </c>
      <c r="G16" s="62">
        <f>IF(AND(E15&lt;E.maxDurHPE, E16&gt;=E.maxDurHPE), 1, 0)</f>
        <v>0</v>
      </c>
      <c r="H16" s="164">
        <f t="array" aca="1" ref="H16:S16" ca="1">MMULT(H15:S15, OFFSET(E.rngTPM_Root, INT(($F15-70)/5)*12, $G16*15))</f>
        <v>0</v>
      </c>
      <c r="I16" s="164">
        <f ca="1"/>
        <v>0.72862467660461805</v>
      </c>
      <c r="J16" s="164">
        <f ca="1"/>
        <v>2.158158048829148E-2</v>
      </c>
      <c r="K16" s="164">
        <f ca="1"/>
        <v>8.9425247228249113E-3</v>
      </c>
      <c r="L16" s="164">
        <f ca="1"/>
        <v>7.6568561591369906E-4</v>
      </c>
      <c r="M16" s="164">
        <f ca="1"/>
        <v>9.5077075863698263E-2</v>
      </c>
      <c r="N16" s="164">
        <f ca="1"/>
        <v>4.2128850765243482E-2</v>
      </c>
      <c r="O16" s="164">
        <f ca="1"/>
        <v>4.2260838428680295E-2</v>
      </c>
      <c r="P16" s="164">
        <f ca="1"/>
        <v>1.0165433643798932E-3</v>
      </c>
      <c r="Q16" s="164">
        <f ca="1"/>
        <v>1.506817927515672E-3</v>
      </c>
      <c r="R16" s="164">
        <f ca="1"/>
        <v>2.1308906695223593E-2</v>
      </c>
      <c r="S16" s="164">
        <f ca="1"/>
        <v>3.6786499523610454E-2</v>
      </c>
      <c r="T16" s="128">
        <f t="shared" ca="1" si="35"/>
        <v>0.99999999999999989</v>
      </c>
      <c r="U16" s="141">
        <f t="shared" ca="1" si="36"/>
        <v>0.94190459378116587</v>
      </c>
      <c r="V16" s="141">
        <f t="shared" ca="1" si="39"/>
        <v>5.8095406218834134E-2</v>
      </c>
      <c r="W16" s="141" cm="1">
        <f t="array" aca="1" ref="W16" ca="1">SUMPRODUCT(H15:I15, TRANSPOSE(OFFSET(E.TPMs!$N$8:$N$9, INT(($F15-70)/5)*12, $G16*15)))
+SUMPRODUCT(H15:I15, TRANSPOSE(OFFSET(E.TPMs!$O$8:$O$9, INT(($F15-70)/5)*12, $G16*15)))
+SUMPRODUCT(H15:I15, TRANSPOSE(OFFSET(E.TPMs!$P$8:$P$9, INT(($F15-70)/5)*12, $G16*15)))</f>
        <v>2.9529911438929472E-2</v>
      </c>
      <c r="X16" s="141">
        <f t="shared" ca="1" si="40"/>
        <v>3.1289790827030088E-2</v>
      </c>
      <c r="Y16" s="141" cm="1">
        <f t="array" aca="1" ref="Y16" ca="1">SUMPRODUCT(H15:M15, TRANSPOSE(OFFSET(E.TPMs!$R$8:$R$13, INT(($F15-70)/5)*12, $G16*15)))
+SUMPRODUCT(H15:M15, TRANSPOSE(OFFSET(E.TPMs!$S$8:$S$13, INT(($F15-70)/5)*12, $G16*15)))</f>
        <v>1.7483957056796152E-2</v>
      </c>
      <c r="Z16" s="141" cm="1">
        <f t="array" aca="1" ref="Z16" ca="1">SUMPRODUCT(H15:N15, TRANSPOSE(OFFSET(E.TPMs!$S$8:$S$14, INT(($F15-70)/5)*12, $G16*15)))</f>
        <v>9.1109066960298954E-3</v>
      </c>
      <c r="AB16" s="164">
        <f t="array" aca="1" ref="AB16:AM16" ca="1">MMULT(AB15:AM15, OFFSET(E.rngTPM_Root, INT(($F15-70)/5)*12, $G16*15))</f>
        <v>0.78670990373901617</v>
      </c>
      <c r="AC16" s="164">
        <f ca="1"/>
        <v>0</v>
      </c>
      <c r="AD16" s="164">
        <f ca="1"/>
        <v>1.4185051535820968E-2</v>
      </c>
      <c r="AE16" s="164">
        <f ca="1"/>
        <v>5.8446252971920817E-3</v>
      </c>
      <c r="AF16" s="164">
        <f ca="1"/>
        <v>4.9861771954985777E-4</v>
      </c>
      <c r="AG16" s="164">
        <f ca="1"/>
        <v>6.0188647822976948E-2</v>
      </c>
      <c r="AH16" s="164">
        <f ca="1"/>
        <v>3.6950798353733549E-2</v>
      </c>
      <c r="AI16" s="164">
        <f ca="1"/>
        <v>4.2559572283620881E-2</v>
      </c>
      <c r="AJ16" s="164">
        <f ca="1"/>
        <v>9.6517978024215066E-4</v>
      </c>
      <c r="AK16" s="164">
        <f ca="1"/>
        <v>1.4508628240826054E-3</v>
      </c>
      <c r="AL16" s="164">
        <f ca="1"/>
        <v>1.3448568714664221E-2</v>
      </c>
      <c r="AM16" s="164">
        <f ca="1"/>
        <v>3.7198171929100687E-2</v>
      </c>
      <c r="AN16" s="128">
        <f t="shared" ca="1" si="37"/>
        <v>1</v>
      </c>
      <c r="AO16" s="141">
        <f t="shared" ca="1" si="38"/>
        <v>0.94935325935623516</v>
      </c>
      <c r="AP16" s="141">
        <f t="shared" ca="1" si="41"/>
        <v>5.0646740643764843E-2</v>
      </c>
      <c r="AQ16" s="141" cm="1">
        <f t="array" aca="1" ref="AQ16" ca="1">SUMPRODUCT(AB15:AC15, TRANSPOSE(OFFSET(E.TPMs!$N$8:$N$9, INT(($F15-70)/5)*12, $G16*15)))
+SUMPRODUCT(AB15:AC15, TRANSPOSE(OFFSET(E.TPMs!$O$8:$O$9, INT(($F15-70)/5)*12, $G16*15)))
+SUMPRODUCT(AB15:AC15, TRANSPOSE(OFFSET(E.TPMs!$P$8:$P$9, INT(($F15-70)/5)*12, $G16*15)))</f>
        <v>1.9422467249908731E-2</v>
      </c>
      <c r="AR16" s="141">
        <f t="shared" ca="1" si="42"/>
        <v>2.0528294552562908E-2</v>
      </c>
      <c r="AS16" s="141" cm="1">
        <f t="array" aca="1" ref="AS16" ca="1">SUMPRODUCT(AB15:AG15, TRANSPOSE(OFFSET(E.TPMs!$R$8:$R$13, INT(($F15-70)/5)*12, $G16*15)))
+SUMPRODUCT(AB15:AG15, TRANSPOSE(OFFSET(E.TPMs!$S$8:$S$13, INT(($F15-70)/5)*12, $G16*15)))</f>
        <v>1.642719058796873E-2</v>
      </c>
      <c r="AT16" s="141" cm="1">
        <f t="array" aca="1" ref="AT16" ca="1">SUMPRODUCT(AB15:AH15, TRANSPOSE(OFFSET(E.TPMs!$S$8:$S$14, INT(($F15-70)/5)*12, $G16*15)))</f>
        <v>9.1496496129072173E-3</v>
      </c>
    </row>
    <row r="17" spans="4:46" ht="12" customHeight="1" x14ac:dyDescent="0.25">
      <c r="D17" s="62">
        <f t="shared" si="43"/>
        <v>6</v>
      </c>
      <c r="E17" s="62">
        <f t="shared" si="33"/>
        <v>1.5</v>
      </c>
      <c r="F17" s="63">
        <f t="shared" si="34"/>
        <v>71.5</v>
      </c>
      <c r="G17" s="62">
        <f>IF(AND(E16&lt;E.maxDurHPE, E17&gt;=E.maxDurHPE), 1, 0)</f>
        <v>0</v>
      </c>
      <c r="H17" s="164">
        <f t="array" aca="1" ref="H17:S17" ca="1">MMULT(H16:S16, OFFSET(E.rngTPM_Root, INT(($F16-70)/5)*12, $G17*15))</f>
        <v>0</v>
      </c>
      <c r="I17" s="164">
        <f ca="1"/>
        <v>0.68391897105153121</v>
      </c>
      <c r="J17" s="164">
        <f ca="1"/>
        <v>2.0661941709633667E-2</v>
      </c>
      <c r="K17" s="164">
        <f ca="1"/>
        <v>8.5605206315469713E-3</v>
      </c>
      <c r="L17" s="164">
        <f ca="1"/>
        <v>7.3292548414331034E-4</v>
      </c>
      <c r="M17" s="164">
        <f ca="1"/>
        <v>0.11339521121699209</v>
      </c>
      <c r="N17" s="164">
        <f ca="1"/>
        <v>4.8692892099584981E-2</v>
      </c>
      <c r="O17" s="164">
        <f ca="1"/>
        <v>4.9940448102051296E-2</v>
      </c>
      <c r="P17" s="164">
        <f ca="1"/>
        <v>1.2430472506419611E-3</v>
      </c>
      <c r="Q17" s="164">
        <f ca="1"/>
        <v>2.5026508071059632E-3</v>
      </c>
      <c r="R17" s="164">
        <f ca="1"/>
        <v>2.6050418219768834E-2</v>
      </c>
      <c r="S17" s="164">
        <f ca="1"/>
        <v>4.4300973426999457E-2</v>
      </c>
      <c r="T17" s="128">
        <f t="shared" ca="1" si="35"/>
        <v>0.99999999999999978</v>
      </c>
      <c r="U17" s="141">
        <f t="shared" ca="1" si="36"/>
        <v>0.92964860835323149</v>
      </c>
      <c r="V17" s="141">
        <f t="shared" ca="1" si="39"/>
        <v>7.0351391646768513E-2</v>
      </c>
      <c r="W17" s="141" cm="1">
        <f t="array" aca="1" ref="W17" ca="1">SUMPRODUCT(H16:I16, TRANSPOSE(OFFSET(E.TPMs!$N$8:$N$9, INT(($F16-70)/5)*12, $G17*15)))
+SUMPRODUCT(H16:I16, TRANSPOSE(OFFSET(E.TPMs!$O$8:$O$9, INT(($F16-70)/5)*12, $G17*15)))
+SUMPRODUCT(H16:I16, TRANSPOSE(OFFSET(E.TPMs!$P$8:$P$9, INT(($F16-70)/5)*12, $G17*15)))</f>
        <v>2.7718065685983773E-2</v>
      </c>
      <c r="X17" s="141">
        <f t="shared" ca="1" si="40"/>
        <v>2.9955387825323948E-2</v>
      </c>
      <c r="Y17" s="141" cm="1">
        <f t="array" aca="1" ref="Y17" ca="1">SUMPRODUCT(H16:M16, TRANSPOSE(OFFSET(E.TPMs!$R$8:$R$13, INT(($F16-70)/5)*12, $G17*15)))
+SUMPRODUCT(H16:M16, TRANSPOSE(OFFSET(E.TPMs!$S$8:$S$13, INT(($F16-70)/5)*12, $G17*15)))</f>
        <v>1.6879674635456428E-2</v>
      </c>
      <c r="Z17" s="141" cm="1">
        <f t="array" aca="1" ref="Z17" ca="1">SUMPRODUCT(H16:N16, TRANSPOSE(OFFSET(E.TPMs!$S$8:$S$14, INT(($F16-70)/5)*12, $G17*15)))</f>
        <v>9.1295496017022131E-3</v>
      </c>
      <c r="AB17" s="164">
        <f t="array" aca="1" ref="AB17:AM17" ca="1">MMULT(AB16:AM16, OFFSET(E.rngTPM_Root, INT(($F16-70)/5)*12, $G17*15))</f>
        <v>0.74985543038943225</v>
      </c>
      <c r="AC17" s="164">
        <f ca="1"/>
        <v>0</v>
      </c>
      <c r="AD17" s="164">
        <f ca="1"/>
        <v>1.3770894188980693E-2</v>
      </c>
      <c r="AE17" s="164">
        <f ca="1"/>
        <v>5.6739812568621607E-3</v>
      </c>
      <c r="AF17" s="164">
        <f ca="1"/>
        <v>4.8405970463571838E-4</v>
      </c>
      <c r="AG17" s="164">
        <f ca="1"/>
        <v>7.2316440958652584E-2</v>
      </c>
      <c r="AH17" s="164">
        <f ca="1"/>
        <v>4.27080902874424E-2</v>
      </c>
      <c r="AI17" s="164">
        <f ca="1"/>
        <v>5.024891878150551E-2</v>
      </c>
      <c r="AJ17" s="164">
        <f ca="1"/>
        <v>1.1791933324320765E-3</v>
      </c>
      <c r="AK17" s="164">
        <f ca="1"/>
        <v>2.3962129375352218E-3</v>
      </c>
      <c r="AL17" s="164">
        <f ca="1"/>
        <v>1.6554442712859736E-2</v>
      </c>
      <c r="AM17" s="164">
        <f ca="1"/>
        <v>4.4812335449661775E-2</v>
      </c>
      <c r="AN17" s="128">
        <f t="shared" ca="1" si="37"/>
        <v>1</v>
      </c>
      <c r="AO17" s="141">
        <f t="shared" ca="1" si="38"/>
        <v>0.93863322183747855</v>
      </c>
      <c r="AP17" s="141">
        <f t="shared" ca="1" si="41"/>
        <v>6.1366778162521451E-2</v>
      </c>
      <c r="AQ17" s="141" cm="1">
        <f t="array" aca="1" ref="AQ17" ca="1">SUMPRODUCT(AB16:AC16, TRANSPOSE(OFFSET(E.TPMs!$N$8:$N$9, INT(($F16-70)/5)*12, $G17*15)))
+SUMPRODUCT(AB16:AC16, TRANSPOSE(OFFSET(E.TPMs!$O$8:$O$9, INT(($F16-70)/5)*12, $G17*15)))
+SUMPRODUCT(AB16:AC16, TRANSPOSE(OFFSET(E.TPMs!$P$8:$P$9, INT(($F16-70)/5)*12, $G17*15)))</f>
        <v>1.8512595900580471E-2</v>
      </c>
      <c r="AR17" s="141">
        <f t="shared" ca="1" si="42"/>
        <v>1.9928935150478572E-2</v>
      </c>
      <c r="AS17" s="141" cm="1">
        <f t="array" aca="1" ref="AS17" ca="1">SUMPRODUCT(AB16:AG16, TRANSPOSE(OFFSET(E.TPMs!$R$8:$R$13, INT(($F16-70)/5)*12, $G17*15)))
+SUMPRODUCT(AB16:AG16, TRANSPOSE(OFFSET(E.TPMs!$S$8:$S$13, INT(($F16-70)/5)*12, $G17*15)))</f>
        <v>1.5947570357012976E-2</v>
      </c>
      <c r="AT17" s="141" cm="1">
        <f t="array" aca="1" ref="AT17" ca="1">SUMPRODUCT(AB16:AH16, TRANSPOSE(OFFSET(E.TPMs!$S$8:$S$14, INT(($F16-70)/5)*12, $G17*15)))</f>
        <v>9.1499761408642931E-3</v>
      </c>
    </row>
    <row r="18" spans="4:46" ht="12" customHeight="1" x14ac:dyDescent="0.25">
      <c r="D18" s="62">
        <f t="shared" si="43"/>
        <v>7</v>
      </c>
      <c r="E18" s="62">
        <f t="shared" si="33"/>
        <v>1.75</v>
      </c>
      <c r="F18" s="63">
        <f t="shared" si="34"/>
        <v>71.75</v>
      </c>
      <c r="G18" s="62">
        <f>IF(AND(E17&lt;E.maxDurHPE, E18&gt;=E.maxDurHPE), 1, 0)</f>
        <v>0</v>
      </c>
      <c r="H18" s="164">
        <f t="array" aca="1" ref="H18:S18" ca="1">MMULT(H17:S17, OFFSET(E.rngTPM_Root, INT(($F17-70)/5)*12, $G18*15))</f>
        <v>0</v>
      </c>
      <c r="I18" s="164">
        <f ca="1"/>
        <v>0.64195624164675813</v>
      </c>
      <c r="J18" s="164">
        <f ca="1"/>
        <v>1.9786917728392472E-2</v>
      </c>
      <c r="K18" s="164">
        <f ca="1"/>
        <v>8.1970885139001567E-3</v>
      </c>
      <c r="L18" s="164">
        <f ca="1"/>
        <v>7.0176023102139879E-4</v>
      </c>
      <c r="M18" s="164">
        <f ca="1"/>
        <v>0.12988426238522499</v>
      </c>
      <c r="N18" s="164">
        <f ca="1"/>
        <v>5.4494245570665081E-2</v>
      </c>
      <c r="O18" s="164">
        <f ca="1"/>
        <v>5.7356264819187999E-2</v>
      </c>
      <c r="P18" s="164">
        <f ca="1"/>
        <v>1.4544523454328548E-3</v>
      </c>
      <c r="Q18" s="164">
        <f ca="1"/>
        <v>3.7149552454124168E-3</v>
      </c>
      <c r="R18" s="164">
        <f ca="1"/>
        <v>3.0589580984566676E-2</v>
      </c>
      <c r="S18" s="164">
        <f ca="1"/>
        <v>5.186423052943747E-2</v>
      </c>
      <c r="T18" s="128">
        <f t="shared" ca="1" si="35"/>
        <v>0.99999999999999956</v>
      </c>
      <c r="U18" s="141">
        <f t="shared" ca="1" si="36"/>
        <v>0.91754618848599545</v>
      </c>
      <c r="V18" s="141">
        <f t="shared" ca="1" si="39"/>
        <v>8.2453811514004549E-2</v>
      </c>
      <c r="W18" s="141" cm="1">
        <f t="array" aca="1" ref="W18" ca="1">SUMPRODUCT(H17:I17, TRANSPOSE(OFFSET(E.TPMs!$N$8:$N$9, INT(($F17-70)/5)*12, $G18*15)))
+SUMPRODUCT(H17:I17, TRANSPOSE(OFFSET(E.TPMs!$O$8:$O$9, INT(($F17-70)/5)*12, $G18*15)))
+SUMPRODUCT(H17:I17, TRANSPOSE(OFFSET(E.TPMs!$P$8:$P$9, INT(($F17-70)/5)*12, $G18*15)))</f>
        <v>2.6017388062995264E-2</v>
      </c>
      <c r="X18" s="141">
        <f t="shared" ca="1" si="40"/>
        <v>2.8685766473314028E-2</v>
      </c>
      <c r="Y18" s="141" cm="1">
        <f t="array" aca="1" ref="Y18" ca="1">SUMPRODUCT(H17:M17, TRANSPOSE(OFFSET(E.TPMs!$R$8:$R$13, INT(($F17-70)/5)*12, $G18*15)))
+SUMPRODUCT(H17:M17, TRANSPOSE(OFFSET(E.TPMs!$S$8:$S$13, INT(($F17-70)/5)*12, $G18*15)))</f>
        <v>1.6298790602732656E-2</v>
      </c>
      <c r="Z18" s="141" cm="1">
        <f t="array" aca="1" ref="Z18" ca="1">SUMPRODUCT(H17:N17, TRANSPOSE(OFFSET(E.TPMs!$S$8:$S$14, INT(($F17-70)/5)*12, $G18*15)))</f>
        <v>9.1265512767688215E-3</v>
      </c>
      <c r="AB18" s="164">
        <f t="array" aca="1" ref="AB18:AM18" ca="1">MMULT(AB17:AM17, OFFSET(E.rngTPM_Root, INT(($F17-70)/5)*12, $G18*15))</f>
        <v>0.71472745393459924</v>
      </c>
      <c r="AC18" s="164">
        <f ca="1"/>
        <v>0</v>
      </c>
      <c r="AD18" s="164">
        <f ca="1"/>
        <v>1.3368828916531624E-2</v>
      </c>
      <c r="AE18" s="164">
        <f ca="1"/>
        <v>5.5083194785778807E-3</v>
      </c>
      <c r="AF18" s="164">
        <f ca="1"/>
        <v>4.6992673735304826E-4</v>
      </c>
      <c r="AG18" s="164">
        <f ca="1"/>
        <v>8.3439675722165291E-2</v>
      </c>
      <c r="AH18" s="164">
        <f ca="1"/>
        <v>4.7854676268546559E-2</v>
      </c>
      <c r="AI18" s="164">
        <f ca="1"/>
        <v>5.765991262266796E-2</v>
      </c>
      <c r="AJ18" s="164">
        <f ca="1"/>
        <v>1.3800540015183839E-3</v>
      </c>
      <c r="AK18" s="164">
        <f ca="1"/>
        <v>3.5460611272766216E-3</v>
      </c>
      <c r="AL18" s="164">
        <f ca="1"/>
        <v>1.9569635296788651E-2</v>
      </c>
      <c r="AM18" s="164">
        <f ca="1"/>
        <v>5.2475455893974871E-2</v>
      </c>
      <c r="AN18" s="128">
        <f t="shared" ca="1" si="37"/>
        <v>1.0000000000000002</v>
      </c>
      <c r="AO18" s="141">
        <f t="shared" ca="1" si="38"/>
        <v>0.92795490880923659</v>
      </c>
      <c r="AP18" s="141">
        <f t="shared" ca="1" si="41"/>
        <v>7.2045091190763411E-2</v>
      </c>
      <c r="AQ18" s="141" cm="1">
        <f t="array" aca="1" ref="AQ18" ca="1">SUMPRODUCT(AB17:AC17, TRANSPOSE(OFFSET(E.TPMs!$N$8:$N$9, INT(($F17-70)/5)*12, $G18*15)))
+SUMPRODUCT(AB17:AC17, TRANSPOSE(OFFSET(E.TPMs!$O$8:$O$9, INT(($F17-70)/5)*12, $G18*15)))
+SUMPRODUCT(AB17:AC17, TRANSPOSE(OFFSET(E.TPMs!$P$8:$P$9, INT(($F17-70)/5)*12, $G18*15)))</f>
        <v>1.7645348686573237E-2</v>
      </c>
      <c r="AR18" s="141">
        <f t="shared" ca="1" si="42"/>
        <v>1.9347075132462553E-2</v>
      </c>
      <c r="AS18" s="141" cm="1">
        <f t="array" aca="1" ref="AS18" ca="1">SUMPRODUCT(AB17:AG17, TRANSPOSE(OFFSET(E.TPMs!$R$8:$R$13, INT(($F17-70)/5)*12, $G18*15)))
+SUMPRODUCT(AB17:AG17, TRANSPOSE(OFFSET(E.TPMs!$S$8:$S$13, INT(($F17-70)/5)*12, $G18*15)))</f>
        <v>1.5481953222741944E-2</v>
      </c>
      <c r="AT18" s="141" cm="1">
        <f t="array" aca="1" ref="AT18" ca="1">SUMPRODUCT(AB17:AH17, TRANSPOSE(OFFSET(E.TPMs!$S$8:$S$14, INT(($F17-70)/5)*12, $G18*15)))</f>
        <v>9.132975797227133E-3</v>
      </c>
    </row>
    <row r="19" spans="4:46" ht="12" customHeight="1" x14ac:dyDescent="0.25">
      <c r="D19" s="62">
        <f t="shared" si="43"/>
        <v>8</v>
      </c>
      <c r="E19" s="62">
        <f t="shared" si="33"/>
        <v>2</v>
      </c>
      <c r="F19" s="63">
        <f t="shared" si="34"/>
        <v>72</v>
      </c>
      <c r="G19" s="62">
        <f>IF(AND(E18&lt;E.maxDurHPE, E19&gt;=E.maxDurHPE), 1, 0)</f>
        <v>0</v>
      </c>
      <c r="H19" s="164">
        <f t="array" aca="1" ref="H19:S19" ca="1">MMULT(H18:S18, OFFSET(E.rngTPM_Root, INT(($F18-70)/5)*12, $G19*15))</f>
        <v>0</v>
      </c>
      <c r="I19" s="164">
        <f ca="1"/>
        <v>0.60256818955557223</v>
      </c>
      <c r="J19" s="164">
        <f ca="1"/>
        <v>1.8954115939368188E-2</v>
      </c>
      <c r="K19" s="164">
        <f ca="1"/>
        <v>7.8512309266387664E-3</v>
      </c>
      <c r="L19" s="164">
        <f ca="1"/>
        <v>6.7210412051367302E-4</v>
      </c>
      <c r="M19" s="164">
        <f ca="1"/>
        <v>0.14467704335761977</v>
      </c>
      <c r="N19" s="164">
        <f ca="1"/>
        <v>5.9596226024794308E-2</v>
      </c>
      <c r="O19" s="164">
        <f ca="1"/>
        <v>6.4498623242523978E-2</v>
      </c>
      <c r="P19" s="164">
        <f ca="1"/>
        <v>1.65146921849041E-3</v>
      </c>
      <c r="Q19" s="164">
        <f ca="1"/>
        <v>5.1269796842171927E-3</v>
      </c>
      <c r="R19" s="164">
        <f ca="1"/>
        <v>3.4936224330976873E-2</v>
      </c>
      <c r="S19" s="164">
        <f ca="1"/>
        <v>5.9467793599284259E-2</v>
      </c>
      <c r="T19" s="128">
        <f t="shared" ca="1" si="35"/>
        <v>0.99999999999999956</v>
      </c>
      <c r="U19" s="141">
        <f t="shared" ca="1" si="36"/>
        <v>0.90559598206973846</v>
      </c>
      <c r="V19" s="141">
        <f t="shared" ca="1" si="39"/>
        <v>9.4404017930261541E-2</v>
      </c>
      <c r="W19" s="141" cm="1">
        <f t="array" aca="1" ref="W19" ca="1">SUMPRODUCT(H18:I18, TRANSPOSE(OFFSET(E.TPMs!$N$8:$N$9, INT(($F18-70)/5)*12, $G19*15)))
+SUMPRODUCT(H18:I18, TRANSPOSE(OFFSET(E.TPMs!$O$8:$O$9, INT(($F18-70)/5)*12, $G19*15)))
+SUMPRODUCT(H18:I18, TRANSPOSE(OFFSET(E.TPMs!$P$8:$P$9, INT(($F18-70)/5)*12, $G19*15)))</f>
        <v>2.4421057706158034E-2</v>
      </c>
      <c r="X19" s="141">
        <f t="shared" ca="1" si="40"/>
        <v>2.7477450986520626E-2</v>
      </c>
      <c r="Y19" s="141" cm="1">
        <f t="array" aca="1" ref="Y19" ca="1">SUMPRODUCT(H18:M18, TRANSPOSE(OFFSET(E.TPMs!$R$8:$R$13, INT(($F18-70)/5)*12, $G19*15)))
+SUMPRODUCT(H18:M18, TRANSPOSE(OFFSET(E.TPMs!$S$8:$S$13, INT(($F18-70)/5)*12, $G19*15)))</f>
        <v>1.5740269073413995E-2</v>
      </c>
      <c r="Z19" s="141" cm="1">
        <f t="array" aca="1" ref="Z19" ca="1">SUMPRODUCT(H18:N18, TRANSPOSE(OFFSET(E.TPMs!$S$8:$S$14, INT(($F18-70)/5)*12, $G19*15)))</f>
        <v>9.1040731064209873E-3</v>
      </c>
      <c r="AB19" s="164">
        <f t="array" aca="1" ref="AB19:AM19" ca="1">MMULT(AB18:AM18, OFFSET(E.rngTPM_Root, INT(($F18-70)/5)*12, $G19*15))</f>
        <v>0.68124509432776381</v>
      </c>
      <c r="AC19" s="164">
        <f ca="1"/>
        <v>0</v>
      </c>
      <c r="AD19" s="164">
        <f ca="1"/>
        <v>1.2978502640432439E-2</v>
      </c>
      <c r="AE19" s="164">
        <f ca="1"/>
        <v>5.3474944846265259E-3</v>
      </c>
      <c r="AF19" s="164">
        <f ca="1"/>
        <v>4.5620640668117953E-4</v>
      </c>
      <c r="AG19" s="164">
        <f ca="1"/>
        <v>9.3618153937310697E-2</v>
      </c>
      <c r="AH19" s="164">
        <f ca="1"/>
        <v>5.2437044228678134E-2</v>
      </c>
      <c r="AI19" s="164">
        <f ca="1"/>
        <v>6.4787135843736979E-2</v>
      </c>
      <c r="AJ19" s="164">
        <f ca="1"/>
        <v>1.568306874771873E-3</v>
      </c>
      <c r="AK19" s="164">
        <f ca="1"/>
        <v>4.8856840447586416E-3</v>
      </c>
      <c r="AL19" s="164">
        <f ca="1"/>
        <v>2.2496794074698356E-2</v>
      </c>
      <c r="AM19" s="164">
        <f ca="1"/>
        <v>6.0179583136541544E-2</v>
      </c>
      <c r="AN19" s="128">
        <f t="shared" ca="1" si="37"/>
        <v>1.0000000000000002</v>
      </c>
      <c r="AO19" s="141">
        <f t="shared" ca="1" si="38"/>
        <v>0.91732362278876023</v>
      </c>
      <c r="AP19" s="141">
        <f t="shared" ca="1" si="41"/>
        <v>8.2676377211239771E-2</v>
      </c>
      <c r="AQ19" s="141" cm="1">
        <f t="array" aca="1" ref="AQ19" ca="1">SUMPRODUCT(AB18:AC18, TRANSPOSE(OFFSET(E.TPMs!$N$8:$N$9, INT(($F18-70)/5)*12, $G19*15)))
+SUMPRODUCT(AB18:AC18, TRANSPOSE(OFFSET(E.TPMs!$O$8:$O$9, INT(($F18-70)/5)*12, $G19*15)))
+SUMPRODUCT(AB18:AC18, TRANSPOSE(OFFSET(E.TPMs!$P$8:$P$9, INT(($F18-70)/5)*12, $G19*15)))</f>
        <v>1.6818728823491964E-2</v>
      </c>
      <c r="AR19" s="141">
        <f t="shared" ca="1" si="42"/>
        <v>1.8782203531740146E-2</v>
      </c>
      <c r="AS19" s="141" cm="1">
        <f t="array" aca="1" ref="AS19" ca="1">SUMPRODUCT(AB18:AG18, TRANSPOSE(OFFSET(E.TPMs!$R$8:$R$13, INT(($F18-70)/5)*12, $G19*15)))
+SUMPRODUCT(AB18:AG18, TRANSPOSE(OFFSET(E.TPMs!$S$8:$S$13, INT(($F18-70)/5)*12, $G19*15)))</f>
        <v>1.5029930597219777E-2</v>
      </c>
      <c r="AT19" s="141" cm="1">
        <f t="array" aca="1" ref="AT19" ca="1">SUMPRODUCT(AB18:AH18, TRANSPOSE(OFFSET(E.TPMs!$S$8:$S$14, INT(($F18-70)/5)*12, $G19*15)))</f>
        <v>9.1002756726495122E-3</v>
      </c>
    </row>
    <row r="20" spans="4:46" ht="12" customHeight="1" x14ac:dyDescent="0.25">
      <c r="D20" s="62">
        <f t="shared" si="43"/>
        <v>9</v>
      </c>
      <c r="E20" s="62">
        <f t="shared" si="33"/>
        <v>2.25</v>
      </c>
      <c r="F20" s="63">
        <f t="shared" si="34"/>
        <v>72.25</v>
      </c>
      <c r="G20" s="62">
        <f>IF(AND(E19&lt;E.maxDurHPE, E20&gt;=E.maxDurHPE), 1, 0)</f>
        <v>0</v>
      </c>
      <c r="H20" s="164">
        <f t="array" aca="1" ref="H20:S20" ca="1">MMULT(H19:S19, OFFSET(E.rngTPM_Root, INT(($F19-70)/5)*12, $G20*15))</f>
        <v>0</v>
      </c>
      <c r="I20" s="164">
        <f ca="1"/>
        <v>0.56559684213503214</v>
      </c>
      <c r="J20" s="164">
        <f ca="1"/>
        <v>1.816128051713628E-2</v>
      </c>
      <c r="K20" s="164">
        <f ca="1"/>
        <v>7.5220074967622137E-3</v>
      </c>
      <c r="L20" s="164">
        <f ca="1"/>
        <v>6.4387632476216989E-4</v>
      </c>
      <c r="M20" s="164">
        <f ca="1"/>
        <v>0.15789761799329347</v>
      </c>
      <c r="N20" s="164">
        <f ca="1"/>
        <v>6.4057392108835265E-2</v>
      </c>
      <c r="O20" s="164">
        <f ca="1"/>
        <v>7.1360124485079293E-2</v>
      </c>
      <c r="P20" s="164">
        <f ca="1"/>
        <v>1.8347813061014278E-3</v>
      </c>
      <c r="Q20" s="164">
        <f ca="1"/>
        <v>6.7228147914340794E-3</v>
      </c>
      <c r="R20" s="164">
        <f ca="1"/>
        <v>3.9099650002306786E-2</v>
      </c>
      <c r="S20" s="164">
        <f ca="1"/>
        <v>6.7103612839256518E-2</v>
      </c>
      <c r="T20" s="128">
        <f t="shared" ca="1" si="35"/>
        <v>0.99999999999999967</v>
      </c>
      <c r="U20" s="141">
        <f t="shared" ca="1" si="36"/>
        <v>0.89379673715843644</v>
      </c>
      <c r="V20" s="141">
        <f t="shared" ca="1" si="39"/>
        <v>0.10620326284156356</v>
      </c>
      <c r="W20" s="141" cm="1">
        <f t="array" aca="1" ref="W20" ca="1">SUMPRODUCT(H19:I19, TRANSPOSE(OFFSET(E.TPMs!$N$8:$N$9, INT(($F19-70)/5)*12, $G20*15)))
+SUMPRODUCT(H19:I19, TRANSPOSE(OFFSET(E.TPMs!$O$8:$O$9, INT(($F19-70)/5)*12, $G20*15)))
+SUMPRODUCT(H19:I19, TRANSPOSE(OFFSET(E.TPMs!$P$8:$P$9, INT(($F19-70)/5)*12, $G20*15)))</f>
        <v>2.2922672254550719E-2</v>
      </c>
      <c r="X20" s="141">
        <f t="shared" ca="1" si="40"/>
        <v>2.6327164338660662E-2</v>
      </c>
      <c r="Y20" s="141" cm="1">
        <f t="array" aca="1" ref="Y20" ca="1">SUMPRODUCT(H19:M19, TRANSPOSE(OFFSET(E.TPMs!$R$8:$R$13, INT(($F19-70)/5)*12, $G20*15)))
+SUMPRODUCT(H19:M19, TRANSPOSE(OFFSET(E.TPMs!$S$8:$S$13, INT(($F19-70)/5)*12, $G20*15)))</f>
        <v>1.5203125645908505E-2</v>
      </c>
      <c r="Z20" s="141" cm="1">
        <f t="array" aca="1" ref="Z20" ca="1">SUMPRODUCT(H19:N19, TRANSPOSE(OFFSET(E.TPMs!$S$8:$S$14, INT(($F19-70)/5)*12, $G20*15)))</f>
        <v>9.0641043403137441E-3</v>
      </c>
      <c r="AB20" s="164">
        <f t="array" aca="1" ref="AB20:AM20" ca="1">MMULT(AB19:AM19, OFFSET(E.rngTPM_Root, INT(($F19-70)/5)*12, $G20*15))</f>
        <v>0.64933126045569611</v>
      </c>
      <c r="AC20" s="164">
        <f ca="1"/>
        <v>0</v>
      </c>
      <c r="AD20" s="164">
        <f ca="1"/>
        <v>1.2599572620720359E-2</v>
      </c>
      <c r="AE20" s="164">
        <f ca="1"/>
        <v>5.191365056863643E-3</v>
      </c>
      <c r="AF20" s="164">
        <f ca="1"/>
        <v>4.4288666499249448E-4</v>
      </c>
      <c r="AG20" s="164">
        <f ca="1"/>
        <v>0.10290850387798477</v>
      </c>
      <c r="AH20" s="164">
        <f ca="1"/>
        <v>5.6498469355083167E-2</v>
      </c>
      <c r="AI20" s="164">
        <f ca="1"/>
        <v>7.1626814635989106E-2</v>
      </c>
      <c r="AJ20" s="164">
        <f ca="1"/>
        <v>1.744480931146566E-3</v>
      </c>
      <c r="AK20" s="164">
        <f ca="1"/>
        <v>6.4010197967664193E-3</v>
      </c>
      <c r="AL20" s="164">
        <f ca="1"/>
        <v>2.5338489346981199E-2</v>
      </c>
      <c r="AM20" s="164">
        <f ca="1"/>
        <v>6.7917137257776372E-2</v>
      </c>
      <c r="AN20" s="128">
        <f t="shared" ca="1" si="37"/>
        <v>1.0000000000000002</v>
      </c>
      <c r="AO20" s="141">
        <f t="shared" ca="1" si="38"/>
        <v>0.90674437339524261</v>
      </c>
      <c r="AP20" s="141">
        <f t="shared" ca="1" si="41"/>
        <v>9.3255626604757391E-2</v>
      </c>
      <c r="AQ20" s="141" cm="1">
        <f t="array" aca="1" ref="AQ20" ca="1">SUMPRODUCT(AB19:AC19, TRANSPOSE(OFFSET(E.TPMs!$N$8:$N$9, INT(($F19-70)/5)*12, $G20*15)))
+SUMPRODUCT(AB19:AC19, TRANSPOSE(OFFSET(E.TPMs!$O$8:$O$9, INT(($F19-70)/5)*12, $G20*15)))
+SUMPRODUCT(AB19:AC19, TRANSPOSE(OFFSET(E.TPMs!$P$8:$P$9, INT(($F19-70)/5)*12, $G20*15)))</f>
        <v>1.6030833068966299E-2</v>
      </c>
      <c r="AR20" s="141">
        <f t="shared" ca="1" si="42"/>
        <v>1.8233824342576498E-2</v>
      </c>
      <c r="AS20" s="141" cm="1">
        <f t="array" aca="1" ref="AS20" ca="1">SUMPRODUCT(AB19:AG19, TRANSPOSE(OFFSET(E.TPMs!$R$8:$R$13, INT(($F19-70)/5)*12, $G20*15)))
+SUMPRODUCT(AB19:AG19, TRANSPOSE(OFFSET(E.TPMs!$S$8:$S$13, INT(($F19-70)/5)*12, $G20*15)))</f>
        <v>1.4591105560520016E-2</v>
      </c>
      <c r="AT20" s="141" cm="1">
        <f t="array" aca="1" ref="AT20" ca="1">SUMPRODUCT(AB19:AH19, TRANSPOSE(OFFSET(E.TPMs!$S$8:$S$14, INT(($F19-70)/5)*12, $G20*15)))</f>
        <v>9.0533827835669184E-3</v>
      </c>
    </row>
    <row r="21" spans="4:46" ht="12" customHeight="1" x14ac:dyDescent="0.25">
      <c r="D21" s="62">
        <f t="shared" si="43"/>
        <v>10</v>
      </c>
      <c r="E21" s="62">
        <f t="shared" si="33"/>
        <v>2.5</v>
      </c>
      <c r="F21" s="63">
        <f t="shared" si="34"/>
        <v>72.5</v>
      </c>
      <c r="G21" s="62">
        <f>IF(AND(E20&lt;E.maxDurHPE, E21&gt;=E.maxDurHPE), 1, 0)</f>
        <v>0</v>
      </c>
      <c r="H21" s="164">
        <f t="array" aca="1" ref="H21:S21" ca="1">MMULT(H20:S20, OFFSET(E.rngTPM_Root, INT(($F20-70)/5)*12, $G21*15))</f>
        <v>0</v>
      </c>
      <c r="I21" s="164">
        <f ca="1"/>
        <v>0.53089391935718422</v>
      </c>
      <c r="J21" s="164">
        <f ca="1"/>
        <v>1.7406284270308672E-2</v>
      </c>
      <c r="K21" s="164">
        <f ca="1"/>
        <v>7.2085315214862585E-3</v>
      </c>
      <c r="L21" s="164">
        <f ca="1"/>
        <v>6.1700063160460632E-4</v>
      </c>
      <c r="M21" s="164">
        <f ca="1"/>
        <v>0.16966185449855037</v>
      </c>
      <c r="N21" s="164">
        <f ca="1"/>
        <v>6.7931888738150425E-2</v>
      </c>
      <c r="O21" s="164">
        <f ca="1"/>
        <v>7.7935401266017154E-2</v>
      </c>
      <c r="P21" s="164">
        <f ca="1"/>
        <v>2.0050456430746326E-3</v>
      </c>
      <c r="Q21" s="164">
        <f ca="1"/>
        <v>8.487359637785255E-3</v>
      </c>
      <c r="R21" s="164">
        <f ca="1"/>
        <v>4.3088662321000192E-2</v>
      </c>
      <c r="S21" s="164">
        <f ca="1"/>
        <v>7.4764052114837845E-2</v>
      </c>
      <c r="T21" s="128">
        <f t="shared" ca="1" si="35"/>
        <v>0.99999999999999967</v>
      </c>
      <c r="U21" s="141">
        <f t="shared" ca="1" si="36"/>
        <v>0.88214728556416167</v>
      </c>
      <c r="V21" s="141">
        <f t="shared" ca="1" si="39"/>
        <v>0.11785271443583833</v>
      </c>
      <c r="W21" s="141" cm="1">
        <f t="array" aca="1" ref="W21" ca="1">SUMPRODUCT(H20:I20, TRANSPOSE(OFFSET(E.TPMs!$N$8:$N$9, INT(($F20-70)/5)*12, $G21*15)))
+SUMPRODUCT(H20:I20, TRANSPOSE(OFFSET(E.TPMs!$O$8:$O$9, INT(($F20-70)/5)*12, $G21*15)))
+SUMPRODUCT(H20:I20, TRANSPOSE(OFFSET(E.TPMs!$P$8:$P$9, INT(($F20-70)/5)*12, $G21*15)))</f>
        <v>2.1516222172352998E-2</v>
      </c>
      <c r="X21" s="141">
        <f t="shared" ca="1" si="40"/>
        <v>2.5231816423399535E-2</v>
      </c>
      <c r="Y21" s="141" cm="1">
        <f t="array" aca="1" ref="Y21" ca="1">SUMPRODUCT(H20:M20, TRANSPOSE(OFFSET(E.TPMs!$R$8:$R$13, INT(($F20-70)/5)*12, $G21*15)))
+SUMPRODUCT(H20:M20, TRANSPOSE(OFFSET(E.TPMs!$S$8:$S$13, INT(($F20-70)/5)*12, $G21*15)))</f>
        <v>1.4686425006010922E-2</v>
      </c>
      <c r="Z21" s="141" cm="1">
        <f t="array" aca="1" ref="Z21" ca="1">SUMPRODUCT(H20:N20, TRANSPOSE(OFFSET(E.TPMs!$S$8:$S$14, INT(($F20-70)/5)*12, $G21*15)))</f>
        <v>9.0084747522294652E-3</v>
      </c>
      <c r="AB21" s="164">
        <f t="array" aca="1" ref="AB21:AM21" ca="1">MMULT(AB20:AM20, OFFSET(E.rngTPM_Root, INT(($F20-70)/5)*12, $G21*15))</f>
        <v>0.61891247264105209</v>
      </c>
      <c r="AC21" s="164">
        <f ca="1"/>
        <v>0</v>
      </c>
      <c r="AD21" s="164">
        <f ca="1"/>
        <v>1.2231706123805561E-2</v>
      </c>
      <c r="AE21" s="164">
        <f ca="1"/>
        <v>5.0397941000413695E-3</v>
      </c>
      <c r="AF21" s="164">
        <f ca="1"/>
        <v>4.29955816392667E-4</v>
      </c>
      <c r="AG21" s="164">
        <f ca="1"/>
        <v>0.11136433983104248</v>
      </c>
      <c r="AH21" s="164">
        <f ca="1"/>
        <v>6.0079228029867163E-2</v>
      </c>
      <c r="AI21" s="164">
        <f ca="1"/>
        <v>7.8176652965631824E-2</v>
      </c>
      <c r="AJ21" s="164">
        <f ca="1"/>
        <v>1.9090891484224604E-3</v>
      </c>
      <c r="AK21" s="164">
        <f ca="1"/>
        <v>8.0786465404167479E-3</v>
      </c>
      <c r="AL21" s="164">
        <f ca="1"/>
        <v>2.8097216369738304E-2</v>
      </c>
      <c r="AM21" s="164">
        <f ca="1"/>
        <v>7.568089843358955E-2</v>
      </c>
      <c r="AN21" s="128">
        <f t="shared" ca="1" si="37"/>
        <v>1.0000000000000002</v>
      </c>
      <c r="AO21" s="141">
        <f t="shared" ca="1" si="38"/>
        <v>0.89622188519667245</v>
      </c>
      <c r="AP21" s="141">
        <f t="shared" ca="1" si="41"/>
        <v>0.10377811480332755</v>
      </c>
      <c r="AQ21" s="141" cm="1">
        <f t="array" aca="1" ref="AQ21" ca="1">SUMPRODUCT(AB20:AC20, TRANSPOSE(OFFSET(E.TPMs!$N$8:$N$9, INT(($F20-70)/5)*12, $G21*15)))
+SUMPRODUCT(AB20:AC20, TRANSPOSE(OFFSET(E.TPMs!$O$8:$O$9, INT(($F20-70)/5)*12, $G21*15)))
+SUMPRODUCT(AB20:AC20, TRANSPOSE(OFFSET(E.TPMs!$P$8:$P$9, INT(($F20-70)/5)*12, $G21*15)))</f>
        <v>1.5279847340549895E-2</v>
      </c>
      <c r="AR21" s="141">
        <f t="shared" ca="1" si="42"/>
        <v>1.7701456040239597E-2</v>
      </c>
      <c r="AS21" s="141" cm="1">
        <f t="array" aca="1" ref="AS21" ca="1">SUMPRODUCT(AB20:AG20, TRANSPOSE(OFFSET(E.TPMs!$R$8:$R$13, INT(($F20-70)/5)*12, $G21*15)))
+SUMPRODUCT(AB20:AG20, TRANSPOSE(OFFSET(E.TPMs!$S$8:$S$13, INT(($F20-70)/5)*12, $G21*15)))</f>
        <v>1.416509278609979E-2</v>
      </c>
      <c r="AT21" s="141" cm="1">
        <f t="array" aca="1" ref="AT21" ca="1">SUMPRODUCT(AB20:AH20, TRANSPOSE(OFFSET(E.TPMs!$S$8:$S$14, INT(($F20-70)/5)*12, $G21*15)))</f>
        <v>8.9936922512459157E-3</v>
      </c>
    </row>
    <row r="22" spans="4:46" ht="12" customHeight="1" x14ac:dyDescent="0.25">
      <c r="D22" s="62">
        <f t="shared" si="43"/>
        <v>11</v>
      </c>
      <c r="E22" s="62">
        <f t="shared" si="33"/>
        <v>2.75</v>
      </c>
      <c r="F22" s="63">
        <f t="shared" si="34"/>
        <v>72.75</v>
      </c>
      <c r="G22" s="62">
        <f>IF(AND(E21&lt;E.maxDurHPE, E22&gt;=E.maxDurHPE), 1, 0)</f>
        <v>0</v>
      </c>
      <c r="H22" s="164">
        <f t="array" aca="1" ref="H22:S22" ca="1">MMULT(H21:S21, OFFSET(E.rngTPM_Root, INT(($F21-70)/5)*12, $G22*15))</f>
        <v>0</v>
      </c>
      <c r="I22" s="164">
        <f ca="1"/>
        <v>0.49832023910618506</v>
      </c>
      <c r="J22" s="164">
        <f ca="1"/>
        <v>1.6687121035238586E-2</v>
      </c>
      <c r="K22" s="164">
        <f ca="1"/>
        <v>6.9099667931647821E-3</v>
      </c>
      <c r="L22" s="164">
        <f ca="1"/>
        <v>5.9140517143303664E-4</v>
      </c>
      <c r="M22" s="164">
        <f ca="1"/>
        <v>0.18007794531873905</v>
      </c>
      <c r="N22" s="164">
        <f ca="1"/>
        <v>7.1269765433902094E-2</v>
      </c>
      <c r="O22" s="164">
        <f ca="1"/>
        <v>8.4220902856569024E-2</v>
      </c>
      <c r="P22" s="164">
        <f ca="1"/>
        <v>2.1628936037962842E-3</v>
      </c>
      <c r="Q22" s="164">
        <f ca="1"/>
        <v>1.0406288877048229E-2</v>
      </c>
      <c r="R22" s="164">
        <f ca="1"/>
        <v>4.691159656825121E-2</v>
      </c>
      <c r="S22" s="164">
        <f ca="1"/>
        <v>8.244187523567223E-2</v>
      </c>
      <c r="T22" s="128">
        <f t="shared" ca="1" si="35"/>
        <v>0.99999999999999967</v>
      </c>
      <c r="U22" s="141">
        <f t="shared" ca="1" si="36"/>
        <v>0.87064652819607624</v>
      </c>
      <c r="V22" s="141">
        <f t="shared" ca="1" si="39"/>
        <v>0.12935347180392376</v>
      </c>
      <c r="W22" s="141" cm="1">
        <f t="array" aca="1" ref="W22" ca="1">SUMPRODUCT(H21:I21, TRANSPOSE(OFFSET(E.TPMs!$N$8:$N$9, INT(($F21-70)/5)*12, $G22*15)))
+SUMPRODUCT(H21:I21, TRANSPOSE(OFFSET(E.TPMs!$O$8:$O$9, INT(($F21-70)/5)*12, $G22*15)))
+SUMPRODUCT(H21:I21, TRANSPOSE(OFFSET(E.TPMs!$P$8:$P$9, INT(($F21-70)/5)*12, $G22*15)))</f>
        <v>2.0196066646555485E-2</v>
      </c>
      <c r="X22" s="141">
        <f t="shared" ca="1" si="40"/>
        <v>2.4188492999836407E-2</v>
      </c>
      <c r="Y22" s="141" cm="1">
        <f t="array" aca="1" ref="Y22" ca="1">SUMPRODUCT(H21:M21, TRANSPOSE(OFFSET(E.TPMs!$R$8:$R$13, INT(($F21-70)/5)*12, $G22*15)))
+SUMPRODUCT(H21:M21, TRANSPOSE(OFFSET(E.TPMs!$S$8:$S$13, INT(($F21-70)/5)*12, $G22*15)))</f>
        <v>1.4189278238114087E-2</v>
      </c>
      <c r="Z22" s="141" cm="1">
        <f t="array" aca="1" ref="Z22" ca="1">SUMPRODUCT(H21:N21, TRANSPOSE(OFFSET(E.TPMs!$S$8:$S$14, INT(($F21-70)/5)*12, $G22*15)))</f>
        <v>8.9388664401917201E-3</v>
      </c>
      <c r="AB22" s="164">
        <f t="array" aca="1" ref="AB22:AM22" ca="1">MMULT(AB21:AM21, OFFSET(E.rngTPM_Root, INT(($F21-70)/5)*12, $G22*15))</f>
        <v>0.58991869345984882</v>
      </c>
      <c r="AC22" s="164">
        <f ca="1"/>
        <v>0</v>
      </c>
      <c r="AD22" s="164">
        <f ca="1"/>
        <v>1.1874580130844829E-2</v>
      </c>
      <c r="AE22" s="164">
        <f ca="1"/>
        <v>4.8926485216504671E-3</v>
      </c>
      <c r="AF22" s="164">
        <f ca="1"/>
        <v>4.1740250646972547E-4</v>
      </c>
      <c r="AG22" s="164">
        <f ca="1"/>
        <v>0.11903641383468927</v>
      </c>
      <c r="AH22" s="164">
        <f ca="1"/>
        <v>6.3216797739515024E-2</v>
      </c>
      <c r="AI22" s="164">
        <f ca="1"/>
        <v>8.4435679525832474E-2</v>
      </c>
      <c r="AJ22" s="164">
        <f ca="1"/>
        <v>2.0626286476510356E-3</v>
      </c>
      <c r="AK22" s="164">
        <f ca="1"/>
        <v>9.9057613601013367E-3</v>
      </c>
      <c r="AL22" s="164">
        <f ca="1"/>
        <v>3.0775397545715108E-2</v>
      </c>
      <c r="AM22" s="164">
        <f ca="1"/>
        <v>8.3463996727682149E-2</v>
      </c>
      <c r="AN22" s="128">
        <f t="shared" ca="1" si="37"/>
        <v>1.0000000000000004</v>
      </c>
      <c r="AO22" s="141">
        <f t="shared" ca="1" si="38"/>
        <v>0.88576060572660309</v>
      </c>
      <c r="AP22" s="141">
        <f t="shared" ca="1" si="41"/>
        <v>0.11423939427339691</v>
      </c>
      <c r="AQ22" s="141" cm="1">
        <f t="array" aca="1" ref="AQ22" ca="1">SUMPRODUCT(AB21:AC21, TRANSPOSE(OFFSET(E.TPMs!$N$8:$N$9, INT(($F21-70)/5)*12, $G22*15)))
+SUMPRODUCT(AB21:AC21, TRANSPOSE(OFFSET(E.TPMs!$O$8:$O$9, INT(($F21-70)/5)*12, $G22*15)))
+SUMPRODUCT(AB21:AC21, TRANSPOSE(OFFSET(E.TPMs!$P$8:$P$9, INT(($F21-70)/5)*12, $G22*15)))</f>
        <v>1.4564042538904967E-2</v>
      </c>
      <c r="AR22" s="141">
        <f t="shared" ca="1" si="42"/>
        <v>1.7184631158965021E-2</v>
      </c>
      <c r="AS22" s="141" cm="1">
        <f t="array" aca="1" ref="AS22" ca="1">SUMPRODUCT(AB21:AG21, TRANSPOSE(OFFSET(E.TPMs!$R$8:$R$13, INT(($F21-70)/5)*12, $G22*15)))
+SUMPRODUCT(AB21:AG21, TRANSPOSE(OFFSET(E.TPMs!$S$8:$S$13, INT(($F21-70)/5)*12, $G22*15)))</f>
        <v>1.3751518197615246E-2</v>
      </c>
      <c r="AT22" s="141" cm="1">
        <f t="array" aca="1" ref="AT22" ca="1">SUMPRODUCT(AB21:AH21, TRANSPOSE(OFFSET(E.TPMs!$S$8:$S$14, INT(($F21-70)/5)*12, $G22*15)))</f>
        <v>8.9224949651403561E-3</v>
      </c>
    </row>
    <row r="23" spans="4:46" ht="12" customHeight="1" x14ac:dyDescent="0.25">
      <c r="D23" s="62">
        <f t="shared" si="43"/>
        <v>12</v>
      </c>
      <c r="E23" s="62">
        <f t="shared" si="33"/>
        <v>3</v>
      </c>
      <c r="F23" s="63">
        <f t="shared" si="34"/>
        <v>73</v>
      </c>
      <c r="G23" s="62">
        <f>IF(AND(E22&lt;E.maxDurHPE, E23&gt;=E.maxDurHPE), 1, 0)</f>
        <v>0</v>
      </c>
      <c r="H23" s="164">
        <f t="array" aca="1" ref="H23:S23" ca="1">MMULT(H22:S22, OFFSET(E.rngTPM_Root, INT(($F22-70)/5)*12, $G23*15))</f>
        <v>0</v>
      </c>
      <c r="I23" s="164">
        <f ca="1"/>
        <v>0.46774515896418523</v>
      </c>
      <c r="J23" s="164">
        <f ca="1"/>
        <v>1.6001898527236075E-2</v>
      </c>
      <c r="K23" s="164">
        <f ca="1"/>
        <v>6.6255246152387808E-3</v>
      </c>
      <c r="L23" s="164">
        <f ca="1"/>
        <v>5.6702216048864595E-4</v>
      </c>
      <c r="M23" s="164">
        <f ca="1"/>
        <v>0.18924689463494682</v>
      </c>
      <c r="N23" s="164">
        <f ca="1"/>
        <v>7.4117272215266428E-2</v>
      </c>
      <c r="O23" s="164">
        <f ca="1"/>
        <v>9.0214698293453341E-2</v>
      </c>
      <c r="P23" s="164">
        <f ca="1"/>
        <v>2.3089316435724286E-3</v>
      </c>
      <c r="Q23" s="164">
        <f ca="1"/>
        <v>1.2466020930644261E-2</v>
      </c>
      <c r="R23" s="164">
        <f ca="1"/>
        <v>5.0576345685017746E-2</v>
      </c>
      <c r="S23" s="164">
        <f ca="1"/>
        <v>9.013023232994985E-2</v>
      </c>
      <c r="T23" s="128">
        <f t="shared" ca="1" si="35"/>
        <v>0.99999999999999967</v>
      </c>
      <c r="U23" s="141">
        <f t="shared" ca="1" si="36"/>
        <v>0.859293421985032</v>
      </c>
      <c r="V23" s="141">
        <f t="shared" ca="1" si="39"/>
        <v>0.140706578014968</v>
      </c>
      <c r="W23" s="141" cm="1">
        <f t="array" aca="1" ref="W23" ca="1">SUMPRODUCT(H22:I22, TRANSPOSE(OFFSET(E.TPMs!$N$8:$N$9, INT(($F22-70)/5)*12, $G23*15)))
+SUMPRODUCT(H22:I22, TRANSPOSE(OFFSET(E.TPMs!$O$8:$O$9, INT(($F22-70)/5)*12, $G23*15)))
+SUMPRODUCT(H22:I22, TRANSPOSE(OFFSET(E.TPMs!$P$8:$P$9, INT(($F22-70)/5)*12, $G23*15)))</f>
        <v>1.8956910963496772E-2</v>
      </c>
      <c r="X23" s="141">
        <f t="shared" ca="1" si="40"/>
        <v>2.3194445302963503E-2</v>
      </c>
      <c r="Y23" s="141" cm="1">
        <f t="array" aca="1" ref="Y23" ca="1">SUMPRODUCT(H22:M22, TRANSPOSE(OFFSET(E.TPMs!$R$8:$R$13, INT(($F22-70)/5)*12, $G23*15)))
+SUMPRODUCT(H22:M22, TRANSPOSE(OFFSET(E.TPMs!$S$8:$S$13, INT(($F22-70)/5)*12, $G23*15)))</f>
        <v>1.3710840299328394E-2</v>
      </c>
      <c r="Z23" s="141" cm="1">
        <f t="array" aca="1" ref="Z23" ca="1">SUMPRODUCT(H22:N22, TRANSPOSE(OFFSET(E.TPMs!$S$8:$S$14, INT(($F22-70)/5)*12, $G23*15)))</f>
        <v>8.8568247832928864E-3</v>
      </c>
      <c r="AB23" s="164">
        <f t="array" aca="1" ref="AB23:AM23" ca="1">MMULT(AB22:AM22, OFFSET(E.rngTPM_Root, INT(($F22-70)/5)*12, $G23*15))</f>
        <v>0.5622831664845207</v>
      </c>
      <c r="AC23" s="164">
        <f ca="1"/>
        <v>0</v>
      </c>
      <c r="AD23" s="164">
        <f ca="1"/>
        <v>1.1527881054093275E-2</v>
      </c>
      <c r="AE23" s="164">
        <f ca="1"/>
        <v>4.7497991150495626E-3</v>
      </c>
      <c r="AF23" s="164">
        <f ca="1"/>
        <v>4.0521571232355274E-4</v>
      </c>
      <c r="AG23" s="164">
        <f ca="1"/>
        <v>0.12597276000118579</v>
      </c>
      <c r="AH23" s="164">
        <f ca="1"/>
        <v>6.5946043873318747E-2</v>
      </c>
      <c r="AI23" s="164">
        <f ca="1"/>
        <v>9.040410705256624E-2</v>
      </c>
      <c r="AJ23" s="164">
        <f ca="1"/>
        <v>2.2055808673210986E-3</v>
      </c>
      <c r="AK23" s="164">
        <f ca="1"/>
        <v>1.1870159461057499E-2</v>
      </c>
      <c r="AL23" s="164">
        <f ca="1"/>
        <v>3.3375384551384141E-2</v>
      </c>
      <c r="AM23" s="164">
        <f ca="1"/>
        <v>9.1259901827179607E-2</v>
      </c>
      <c r="AN23" s="128">
        <f t="shared" ca="1" si="37"/>
        <v>1.0000000000000002</v>
      </c>
      <c r="AO23" s="141">
        <f t="shared" ca="1" si="38"/>
        <v>0.87536471362143642</v>
      </c>
      <c r="AP23" s="141">
        <f t="shared" ca="1" si="41"/>
        <v>0.12463528637856358</v>
      </c>
      <c r="AQ23" s="141" cm="1">
        <f t="array" aca="1" ref="AQ23" ca="1">SUMPRODUCT(AB22:AC22, TRANSPOSE(OFFSET(E.TPMs!$N$8:$N$9, INT(($F22-70)/5)*12, $G23*15)))
+SUMPRODUCT(AB22:AC22, TRANSPOSE(OFFSET(E.TPMs!$O$8:$O$9, INT(($F22-70)/5)*12, $G23*15)))
+SUMPRODUCT(AB22:AC22, TRANSPOSE(OFFSET(E.TPMs!$P$8:$P$9, INT(($F22-70)/5)*12, $G23*15)))</f>
        <v>1.3881770566655408E-2</v>
      </c>
      <c r="AR23" s="141">
        <f t="shared" ca="1" si="42"/>
        <v>1.6682895881466389E-2</v>
      </c>
      <c r="AS23" s="141" cm="1">
        <f t="array" aca="1" ref="AS23" ca="1">SUMPRODUCT(AB22:AG22, TRANSPOSE(OFFSET(E.TPMs!$R$8:$R$13, INT(($F22-70)/5)*12, $G23*15)))
+SUMPRODUCT(AB22:AG22, TRANSPOSE(OFFSET(E.TPMs!$S$8:$S$13, INT(($F22-70)/5)*12, $G23*15)))</f>
        <v>1.3350018640535227E-2</v>
      </c>
      <c r="AT23" s="141" cm="1">
        <f t="array" aca="1" ref="AT23" ca="1">SUMPRODUCT(AB22:AH22, TRANSPOSE(OFFSET(E.TPMs!$S$8:$S$14, INT(($F22-70)/5)*12, $G23*15)))</f>
        <v>8.8409847374014989E-3</v>
      </c>
    </row>
    <row r="24" spans="4:46" ht="12" customHeight="1" x14ac:dyDescent="0.25">
      <c r="D24" s="62">
        <f t="shared" si="43"/>
        <v>13</v>
      </c>
      <c r="E24" s="62">
        <f t="shared" si="33"/>
        <v>3.25</v>
      </c>
      <c r="F24" s="63">
        <f t="shared" si="34"/>
        <v>73.25</v>
      </c>
      <c r="G24" s="62">
        <f>IF(AND(E23&lt;E.maxDurHPE, E24&gt;=E.maxDurHPE), 1, 0)</f>
        <v>0</v>
      </c>
      <c r="H24" s="164">
        <f t="array" aca="1" ref="H24:S24" ca="1">MMULT(H23:S23, OFFSET(E.rngTPM_Root, INT(($F23-70)/5)*12, $G24*15))</f>
        <v>0</v>
      </c>
      <c r="I24" s="164">
        <f ca="1"/>
        <v>0.43904605224715904</v>
      </c>
      <c r="J24" s="164">
        <f ca="1"/>
        <v>1.5348831622332689E-2</v>
      </c>
      <c r="K24" s="164">
        <f ca="1"/>
        <v>6.3544609979490595E-3</v>
      </c>
      <c r="L24" s="164">
        <f ca="1"/>
        <v>5.4378765962322388E-4</v>
      </c>
      <c r="M24" s="164">
        <f ca="1"/>
        <v>0.19726297546676194</v>
      </c>
      <c r="N24" s="164">
        <f ca="1"/>
        <v>7.6517134607390153E-2</v>
      </c>
      <c r="O24" s="164">
        <f ca="1"/>
        <v>9.5916296449301289E-2</v>
      </c>
      <c r="P24" s="164">
        <f ca="1"/>
        <v>2.4437420379633482E-3</v>
      </c>
      <c r="Q24" s="164">
        <f ca="1"/>
        <v>1.4653687168609418E-2</v>
      </c>
      <c r="R24" s="164">
        <f ca="1"/>
        <v>5.4090385395416295E-2</v>
      </c>
      <c r="S24" s="164">
        <f ca="1"/>
        <v>9.7822646347493131E-2</v>
      </c>
      <c r="T24" s="128">
        <f t="shared" ca="1" si="35"/>
        <v>0.99999999999999967</v>
      </c>
      <c r="U24" s="141">
        <f t="shared" ca="1" si="36"/>
        <v>0.84808696825709018</v>
      </c>
      <c r="V24" s="141">
        <f t="shared" ca="1" si="39"/>
        <v>0.15191303174290982</v>
      </c>
      <c r="W24" s="141" cm="1">
        <f t="array" aca="1" ref="W24" ca="1">SUMPRODUCT(H23:I23, TRANSPOSE(OFFSET(E.TPMs!$N$8:$N$9, INT(($F23-70)/5)*12, $G24*15)))
+SUMPRODUCT(H23:I23, TRANSPOSE(OFFSET(E.TPMs!$O$8:$O$9, INT(($F23-70)/5)*12, $G24*15)))
+SUMPRODUCT(H23:I23, TRANSPOSE(OFFSET(E.TPMs!$P$8:$P$9, INT(($F23-70)/5)*12, $G24*15)))</f>
        <v>1.7793785273492114E-2</v>
      </c>
      <c r="X24" s="141">
        <f t="shared" ca="1" si="40"/>
        <v>2.2247080279904973E-2</v>
      </c>
      <c r="Y24" s="141" cm="1">
        <f t="array" aca="1" ref="Y24" ca="1">SUMPRODUCT(H23:M23, TRANSPOSE(OFFSET(E.TPMs!$R$8:$R$13, INT(($F23-70)/5)*12, $G24*15)))
+SUMPRODUCT(H23:M23, TRANSPOSE(OFFSET(E.TPMs!$S$8:$S$13, INT(($F23-70)/5)*12, $G24*15)))</f>
        <v>1.3250307639078755E-2</v>
      </c>
      <c r="Z24" s="141" cm="1">
        <f t="array" aca="1" ref="Z24" ca="1">SUMPRODUCT(H23:N23, TRANSPOSE(OFFSET(E.TPMs!$S$8:$S$14, INT(($F23-70)/5)*12, $G24*15)))</f>
        <v>8.7637686150828821E-3</v>
      </c>
      <c r="AB24" s="164">
        <f t="array" aca="1" ref="AB24:AM24" ca="1">MMULT(AB23:AM23, OFFSET(E.rngTPM_Root, INT(($F23-70)/5)*12, $G24*15))</f>
        <v>0.53594226258127209</v>
      </c>
      <c r="AC24" s="164">
        <f ca="1"/>
        <v>0</v>
      </c>
      <c r="AD24" s="164">
        <f ca="1"/>
        <v>1.1191304461547131E-2</v>
      </c>
      <c r="AE24" s="164">
        <f ca="1"/>
        <v>4.6111204460105183E-3</v>
      </c>
      <c r="AF24" s="164">
        <f ca="1"/>
        <v>3.9338473288682511E-4</v>
      </c>
      <c r="AG24" s="164">
        <f ca="1"/>
        <v>0.13221883177967081</v>
      </c>
      <c r="AH24" s="164">
        <f ca="1"/>
        <v>6.8299394264411228E-2</v>
      </c>
      <c r="AI24" s="164">
        <f ca="1"/>
        <v>9.6083203103641712E-2</v>
      </c>
      <c r="AJ24" s="164">
        <f ca="1"/>
        <v>2.3384117637610343E-3</v>
      </c>
      <c r="AK24" s="164">
        <f ca="1"/>
        <v>1.3960213706443979E-2</v>
      </c>
      <c r="AL24" s="164">
        <f ca="1"/>
        <v>3.5899460401921886E-2</v>
      </c>
      <c r="AM24" s="164">
        <f ca="1"/>
        <v>9.9062412758433069E-2</v>
      </c>
      <c r="AN24" s="128">
        <f t="shared" ca="1" si="37"/>
        <v>1.0000000000000004</v>
      </c>
      <c r="AO24" s="141">
        <f t="shared" ca="1" si="38"/>
        <v>0.86503812683964543</v>
      </c>
      <c r="AP24" s="141">
        <f t="shared" ca="1" si="41"/>
        <v>0.13496187316035457</v>
      </c>
      <c r="AQ24" s="141" cm="1">
        <f t="array" aca="1" ref="AQ24" ca="1">SUMPRODUCT(AB23:AC23, TRANSPOSE(OFFSET(E.TPMs!$N$8:$N$9, INT(($F23-70)/5)*12, $G24*15)))
+SUMPRODUCT(AB23:AC23, TRANSPOSE(OFFSET(E.TPMs!$O$8:$O$9, INT(($F23-70)/5)*12, $G24*15)))
+SUMPRODUCT(AB23:AC23, TRANSPOSE(OFFSET(E.TPMs!$P$8:$P$9, INT(($F23-70)/5)*12, $G24*15)))</f>
        <v>1.3231460533741978E-2</v>
      </c>
      <c r="AR24" s="141">
        <f t="shared" ca="1" si="42"/>
        <v>1.6195809640444474E-2</v>
      </c>
      <c r="AS24" s="141" cm="1">
        <f t="array" aca="1" ref="AS24" ca="1">SUMPRODUCT(AB23:AG23, TRANSPOSE(OFFSET(E.TPMs!$R$8:$R$13, INT(($F23-70)/5)*12, $G24*15)))
+SUMPRODUCT(AB23:AG23, TRANSPOSE(OFFSET(E.TPMs!$S$8:$S$13, INT(($F23-70)/5)*12, $G24*15)))</f>
        <v>1.2960241563258444E-2</v>
      </c>
      <c r="AT24" s="141" cm="1">
        <f t="array" aca="1" ref="AT24" ca="1">SUMPRODUCT(AB23:AH23, TRANSPOSE(OFFSET(E.TPMs!$S$8:$S$14, INT(($F23-70)/5)*12, $G24*15)))</f>
        <v>8.7502649823191486E-3</v>
      </c>
    </row>
    <row r="25" spans="4:46" ht="12" customHeight="1" x14ac:dyDescent="0.25">
      <c r="D25" s="62">
        <f t="shared" si="43"/>
        <v>14</v>
      </c>
      <c r="E25" s="62">
        <f t="shared" si="33"/>
        <v>3.5</v>
      </c>
      <c r="F25" s="63">
        <f t="shared" si="34"/>
        <v>73.5</v>
      </c>
      <c r="G25" s="62">
        <f>IF(AND(E24&lt;E.maxDurHPE, E25&gt;=E.maxDurHPE), 1, 0)</f>
        <v>0</v>
      </c>
      <c r="H25" s="164">
        <f t="array" aca="1" ref="H25:S25" ca="1">MMULT(H24:S24, OFFSET(E.rngTPM_Root, INT(($F24-70)/5)*12, $G25*15))</f>
        <v>0</v>
      </c>
      <c r="I25" s="164">
        <f ca="1"/>
        <v>0.41210781618923104</v>
      </c>
      <c r="J25" s="164">
        <f ca="1"/>
        <v>1.4726236043399281E-2</v>
      </c>
      <c r="K25" s="164">
        <f ca="1"/>
        <v>6.096074022873996E-3</v>
      </c>
      <c r="L25" s="164">
        <f ca="1"/>
        <v>5.2164134758610138E-4</v>
      </c>
      <c r="M25" s="164">
        <f ca="1"/>
        <v>0.20421415826007949</v>
      </c>
      <c r="N25" s="164">
        <f ca="1"/>
        <v>7.8508809218544154E-2</v>
      </c>
      <c r="O25" s="164">
        <f ca="1"/>
        <v>0.10132648165317136</v>
      </c>
      <c r="P25" s="164">
        <f ca="1"/>
        <v>2.5678836179805951E-3</v>
      </c>
      <c r="Q25" s="164">
        <f ca="1"/>
        <v>1.6957102076779147E-2</v>
      </c>
      <c r="R25" s="164">
        <f ca="1"/>
        <v>5.7460797847527278E-2</v>
      </c>
      <c r="S25" s="164">
        <f ca="1"/>
        <v>0.10551299972282714</v>
      </c>
      <c r="T25" s="128">
        <f t="shared" ca="1" si="35"/>
        <v>0.99999999999999944</v>
      </c>
      <c r="U25" s="141">
        <f t="shared" ca="1" si="36"/>
        <v>0.83702620242964509</v>
      </c>
      <c r="V25" s="141">
        <f t="shared" ca="1" si="39"/>
        <v>0.16297379757035491</v>
      </c>
      <c r="W25" s="141" cm="1">
        <f t="array" aca="1" ref="W25" ca="1">SUMPRODUCT(H24:I24, TRANSPOSE(OFFSET(E.TPMs!$N$8:$N$9, INT(($F24-70)/5)*12, $G25*15)))
+SUMPRODUCT(H24:I24, TRANSPOSE(OFFSET(E.TPMs!$O$8:$O$9, INT(($F24-70)/5)*12, $G25*15)))
+SUMPRODUCT(H24:I24, TRANSPOSE(OFFSET(E.TPMs!$P$8:$P$9, INT(($F24-70)/5)*12, $G25*15)))</f>
        <v>1.6702024658385672E-2</v>
      </c>
      <c r="X25" s="141">
        <f t="shared" ca="1" si="40"/>
        <v>2.1343951413859377E-2</v>
      </c>
      <c r="Y25" s="141" cm="1">
        <f t="array" aca="1" ref="Y25" ca="1">SUMPRODUCT(H24:M24, TRANSPOSE(OFFSET(E.TPMs!$R$8:$R$13, INT(($F24-70)/5)*12, $G25*15)))
+SUMPRODUCT(H24:M24, TRANSPOSE(OFFSET(E.TPMs!$S$8:$S$13, INT(($F24-70)/5)*12, $G25*15)))</f>
        <v>1.2806915955662839E-2</v>
      </c>
      <c r="Z25" s="141" cm="1">
        <f t="array" aca="1" ref="Z25" ca="1">SUMPRODUCT(H24:N24, TRANSPOSE(OFFSET(E.TPMs!$S$8:$S$14, INT(($F24-70)/5)*12, $G25*15)))</f>
        <v>8.6609996684347389E-3</v>
      </c>
      <c r="AB25" s="164">
        <f t="array" aca="1" ref="AB25:AM25" ca="1">MMULT(AB24:AM24, OFFSET(E.rngTPM_Root, INT(($F24-70)/5)*12, $G25*15))</f>
        <v>0.51083533340783471</v>
      </c>
      <c r="AC25" s="164">
        <f ca="1"/>
        <v>0</v>
      </c>
      <c r="AD25" s="164">
        <f ca="1"/>
        <v>1.0864554809625932E-2</v>
      </c>
      <c r="AE25" s="164">
        <f ca="1"/>
        <v>4.4764907425762527E-3</v>
      </c>
      <c r="AF25" s="164">
        <f ca="1"/>
        <v>3.8189917952854264E-4</v>
      </c>
      <c r="AG25" s="164">
        <f ca="1"/>
        <v>0.13781763249856832</v>
      </c>
      <c r="AH25" s="164">
        <f ca="1"/>
        <v>7.0307002271781868E-2</v>
      </c>
      <c r="AI25" s="164">
        <f ca="1"/>
        <v>0.10147517146252996</v>
      </c>
      <c r="AJ25" s="164">
        <f ca="1"/>
        <v>2.4615720345214144E-3</v>
      </c>
      <c r="AK25" s="164">
        <f ca="1"/>
        <v>1.616485452112363E-2</v>
      </c>
      <c r="AL25" s="164">
        <f ca="1"/>
        <v>3.8349841455895053E-2</v>
      </c>
      <c r="AM25" s="164">
        <f ca="1"/>
        <v>0.10686564761601459</v>
      </c>
      <c r="AN25" s="128">
        <f t="shared" ca="1" si="37"/>
        <v>1.0000000000000002</v>
      </c>
      <c r="AO25" s="141">
        <f t="shared" ca="1" si="38"/>
        <v>0.8547845109280906</v>
      </c>
      <c r="AP25" s="141">
        <f t="shared" ca="1" si="41"/>
        <v>0.1452154890719094</v>
      </c>
      <c r="AQ25" s="141" cm="1">
        <f t="array" aca="1" ref="AQ25" ca="1">SUMPRODUCT(AB24:AC24, TRANSPOSE(OFFSET(E.TPMs!$N$8:$N$9, INT(($F24-70)/5)*12, $G25*15)))
+SUMPRODUCT(AB24:AC24, TRANSPOSE(OFFSET(E.TPMs!$O$8:$O$9, INT(($F24-70)/5)*12, $G25*15)))
+SUMPRODUCT(AB24:AC24, TRANSPOSE(OFFSET(E.TPMs!$P$8:$P$9, INT(($F24-70)/5)*12, $G25*15)))</f>
        <v>1.2611615140542718E-2</v>
      </c>
      <c r="AR25" s="141">
        <f t="shared" ca="1" si="42"/>
        <v>1.5722944731730727E-2</v>
      </c>
      <c r="AS25" s="141" cm="1">
        <f t="array" aca="1" ref="AS25" ca="1">SUMPRODUCT(AB24:AG24, TRANSPOSE(OFFSET(E.TPMs!$R$8:$R$13, INT(($F24-70)/5)*12, $G25*15)))
+SUMPRODUCT(AB24:AG24, TRANSPOSE(OFFSET(E.TPMs!$S$8:$S$13, INT(($F24-70)/5)*12, $G25*15)))</f>
        <v>1.2581844707542492E-2</v>
      </c>
      <c r="AT25" s="141" cm="1">
        <f t="array" aca="1" ref="AT25" ca="1">SUMPRODUCT(AB24:AH24, TRANSPOSE(OFFSET(E.TPMs!$S$8:$S$14, INT(($F24-70)/5)*12, $G25*15)))</f>
        <v>8.6513549517902126E-3</v>
      </c>
    </row>
    <row r="26" spans="4:46" ht="12" customHeight="1" x14ac:dyDescent="0.25">
      <c r="D26" s="62">
        <f t="shared" si="43"/>
        <v>15</v>
      </c>
      <c r="E26" s="62">
        <f t="shared" si="33"/>
        <v>3.75</v>
      </c>
      <c r="F26" s="63">
        <f t="shared" si="34"/>
        <v>73.75</v>
      </c>
      <c r="G26" s="62">
        <f>IF(AND(E25&lt;E.maxDurHPE, E26&gt;=E.maxDurHPE), 1, 0)</f>
        <v>0</v>
      </c>
      <c r="H26" s="164">
        <f t="array" aca="1" ref="H26:S26" ca="1">MMULT(H25:S25, OFFSET(E.rngTPM_Root, INT(($F25-70)/5)*12, $G26*15))</f>
        <v>0</v>
      </c>
      <c r="I26" s="164">
        <f ca="1"/>
        <v>0.38682241030298659</v>
      </c>
      <c r="J26" s="164">
        <f ca="1"/>
        <v>1.4132522426036853E-2</v>
      </c>
      <c r="K26" s="164">
        <f ca="1"/>
        <v>5.8497013660284676E-3</v>
      </c>
      <c r="L26" s="164">
        <f ca="1"/>
        <v>5.0052630795339504E-4</v>
      </c>
      <c r="M26" s="164">
        <f ca="1"/>
        <v>0.21018251272321012</v>
      </c>
      <c r="N26" s="164">
        <f ca="1"/>
        <v>8.0128721239741157E-2</v>
      </c>
      <c r="O26" s="164">
        <f ca="1"/>
        <v>0.10644716365043143</v>
      </c>
      <c r="P26" s="164">
        <f ca="1"/>
        <v>2.6818924992693233E-3</v>
      </c>
      <c r="Q26" s="164">
        <f ca="1"/>
        <v>1.9364734397988543E-2</v>
      </c>
      <c r="R26" s="164">
        <f ca="1"/>
        <v>6.069429386085759E-2</v>
      </c>
      <c r="S26" s="164">
        <f ca="1"/>
        <v>0.11319552122549612</v>
      </c>
      <c r="T26" s="128">
        <f t="shared" ca="1" si="35"/>
        <v>0.99999999999999956</v>
      </c>
      <c r="U26" s="141">
        <f t="shared" ca="1" si="36"/>
        <v>0.82611018491364585</v>
      </c>
      <c r="V26" s="141">
        <f t="shared" ca="1" si="39"/>
        <v>0.17388981508635415</v>
      </c>
      <c r="W26" s="141" cm="1">
        <f t="array" aca="1" ref="W26" ca="1">SUMPRODUCT(H25:I25, TRANSPOSE(OFFSET(E.TPMs!$N$8:$N$9, INT(($F25-70)/5)*12, $G26*15)))
+SUMPRODUCT(H25:I25, TRANSPOSE(OFFSET(E.TPMs!$O$8:$O$9, INT(($F25-70)/5)*12, $G26*15)))
+SUMPRODUCT(H25:I25, TRANSPOSE(OFFSET(E.TPMs!$P$8:$P$9, INT(($F25-70)/5)*12, $G26*15)))</f>
        <v>1.5677250422083816E-2</v>
      </c>
      <c r="X26" s="141">
        <f t="shared" ca="1" si="40"/>
        <v>2.0482750100018716E-2</v>
      </c>
      <c r="Y26" s="141" cm="1">
        <f t="array" aca="1" ref="Y26" ca="1">SUMPRODUCT(H25:M25, TRANSPOSE(OFFSET(E.TPMs!$R$8:$R$13, INT(($F25-70)/5)*12, $G26*15)))
+SUMPRODUCT(H25:M25, TRANSPOSE(OFFSET(E.TPMs!$S$8:$S$13, INT(($F25-70)/5)*12, $G26*15)))</f>
        <v>1.2379938081630213E-2</v>
      </c>
      <c r="Z26" s="141" cm="1">
        <f t="array" aca="1" ref="Z26" ca="1">SUMPRODUCT(H25:N25, TRANSPOSE(OFFSET(E.TPMs!$S$8:$S$14, INT(($F25-70)/5)*12, $G26*15)))</f>
        <v>8.5497113430129858E-3</v>
      </c>
      <c r="AB26" s="164">
        <f t="array" aca="1" ref="AB26:AM26" ca="1">MMULT(AB25:AM25, OFFSET(E.rngTPM_Root, INT(($F25-70)/5)*12, $G26*15))</f>
        <v>0.48690457177431856</v>
      </c>
      <c r="AC26" s="164">
        <f ca="1"/>
        <v>0</v>
      </c>
      <c r="AD26" s="164">
        <f ca="1"/>
        <v>1.0547345183659478E-2</v>
      </c>
      <c r="AE26" s="164">
        <f ca="1"/>
        <v>4.345791788134345E-3</v>
      </c>
      <c r="AF26" s="164">
        <f ca="1"/>
        <v>3.7074896693190559E-4</v>
      </c>
      <c r="AG26" s="164">
        <f ca="1"/>
        <v>0.1428098395108772</v>
      </c>
      <c r="AH26" s="164">
        <f ca="1"/>
        <v>7.1996899149817342E-2</v>
      </c>
      <c r="AI26" s="164">
        <f ca="1"/>
        <v>0.10658304338671598</v>
      </c>
      <c r="AJ26" s="164">
        <f ca="1"/>
        <v>2.575497361756122E-3</v>
      </c>
      <c r="AK26" s="164">
        <f ca="1"/>
        <v>1.8473550181934986E-2</v>
      </c>
      <c r="AL26" s="164">
        <f ca="1"/>
        <v>4.0728679361416574E-2</v>
      </c>
      <c r="AM26" s="164">
        <f ca="1"/>
        <v>0.11466403333443784</v>
      </c>
      <c r="AN26" s="128">
        <f t="shared" ca="1" si="37"/>
        <v>1.0000000000000002</v>
      </c>
      <c r="AO26" s="141">
        <f t="shared" ca="1" si="38"/>
        <v>0.84460728730414592</v>
      </c>
      <c r="AP26" s="141">
        <f t="shared" ca="1" si="41"/>
        <v>0.15539271269585408</v>
      </c>
      <c r="AQ26" s="141" cm="1">
        <f t="array" aca="1" ref="AQ26" ca="1">SUMPRODUCT(AB25:AC25, TRANSPOSE(OFFSET(E.TPMs!$N$8:$N$9, INT(($F25-70)/5)*12, $G26*15)))
+SUMPRODUCT(AB25:AC25, TRANSPOSE(OFFSET(E.TPMs!$O$8:$O$9, INT(($F25-70)/5)*12, $G26*15)))
+SUMPRODUCT(AB25:AC25, TRANSPOSE(OFFSET(E.TPMs!$P$8:$P$9, INT(($F25-70)/5)*12, $G26*15)))</f>
        <v>1.2020807230430869E-2</v>
      </c>
      <c r="AR26" s="141">
        <f t="shared" ca="1" si="42"/>
        <v>1.5263885938725729E-2</v>
      </c>
      <c r="AS26" s="141" cm="1">
        <f t="array" aca="1" ref="AS26" ca="1">SUMPRODUCT(AB25:AG25, TRANSPOSE(OFFSET(E.TPMs!$R$8:$R$13, INT(($F25-70)/5)*12, $G26*15)))
+SUMPRODUCT(AB25:AG25, TRANSPOSE(OFFSET(E.TPMs!$S$8:$S$13, INT(($F25-70)/5)*12, $G26*15)))</f>
        <v>1.2214495807971248E-2</v>
      </c>
      <c r="AT26" s="141" cm="1">
        <f t="array" aca="1" ref="AT26" ca="1">SUMPRODUCT(AB25:AH25, TRANSPOSE(OFFSET(E.TPMs!$S$8:$S$14, INT(($F25-70)/5)*12, $G26*15)))</f>
        <v>8.5451955558961869E-3</v>
      </c>
    </row>
    <row r="27" spans="4:46" ht="12" customHeight="1" x14ac:dyDescent="0.25">
      <c r="D27" s="62">
        <f t="shared" si="43"/>
        <v>16</v>
      </c>
      <c r="E27" s="62">
        <f t="shared" si="33"/>
        <v>4</v>
      </c>
      <c r="F27" s="63">
        <f t="shared" si="34"/>
        <v>74</v>
      </c>
      <c r="G27" s="62">
        <f>IF(AND(E26&lt;E.maxDurHPE, E27&gt;=E.maxDurHPE), 1, 0)</f>
        <v>0</v>
      </c>
      <c r="H27" s="164">
        <f t="array" aca="1" ref="H27:S27" ca="1">MMULT(H26:S26, OFFSET(E.rngTPM_Root, INT(($F26-70)/5)*12, $G27*15))</f>
        <v>0</v>
      </c>
      <c r="I27" s="164">
        <f ca="1"/>
        <v>0.36308842306428007</v>
      </c>
      <c r="J27" s="164">
        <f ca="1"/>
        <v>1.356619074116157E-2</v>
      </c>
      <c r="K27" s="164">
        <f ca="1"/>
        <v>5.6147179698869268E-3</v>
      </c>
      <c r="L27" s="164">
        <f ca="1"/>
        <v>4.8038882887033711E-4</v>
      </c>
      <c r="M27" s="164">
        <f ca="1"/>
        <v>0.21524458456596576</v>
      </c>
      <c r="N27" s="164">
        <f ca="1"/>
        <v>8.141048512675704E-2</v>
      </c>
      <c r="O27" s="164">
        <f ca="1"/>
        <v>0.11128124078061319</v>
      </c>
      <c r="P27" s="164">
        <f ca="1"/>
        <v>2.7862828036269646E-3</v>
      </c>
      <c r="Q27" s="164">
        <f ca="1"/>
        <v>2.1865679233328737E-2</v>
      </c>
      <c r="R27" s="164">
        <f ca="1"/>
        <v>6.3797233864281586E-2</v>
      </c>
      <c r="S27" s="164">
        <f ca="1"/>
        <v>0.12086477302122738</v>
      </c>
      <c r="T27" s="128">
        <f t="shared" ca="1" si="35"/>
        <v>0.99999999999999956</v>
      </c>
      <c r="U27" s="141">
        <f t="shared" ca="1" si="36"/>
        <v>0.81533799311449062</v>
      </c>
      <c r="V27" s="141">
        <f t="shared" ca="1" si="39"/>
        <v>0.18466200688550938</v>
      </c>
      <c r="W27" s="141" cm="1">
        <f t="array" aca="1" ref="W27" ca="1">SUMPRODUCT(H26:I26, TRANSPOSE(OFFSET(E.TPMs!$N$8:$N$9, INT(($F26-70)/5)*12, $G27*15)))
+SUMPRODUCT(H26:I26, TRANSPOSE(OFFSET(E.TPMs!$O$8:$O$9, INT(($F26-70)/5)*12, $G27*15)))
+SUMPRODUCT(H26:I26, TRANSPOSE(OFFSET(E.TPMs!$P$8:$P$9, INT(($F26-70)/5)*12, $G27*15)))</f>
        <v>1.4715352529031804E-2</v>
      </c>
      <c r="X27" s="141">
        <f t="shared" ca="1" si="40"/>
        <v>1.9661297539918837E-2</v>
      </c>
      <c r="Y27" s="141" cm="1">
        <f t="array" aca="1" ref="Y27" ca="1">SUMPRODUCT(H26:M26, TRANSPOSE(OFFSET(E.TPMs!$R$8:$R$13, INT(($F26-70)/5)*12, $G27*15)))
+SUMPRODUCT(H26:M26, TRANSPOSE(OFFSET(E.TPMs!$S$8:$S$13, INT(($F26-70)/5)*12, $G27*15)))</f>
        <v>1.1968681990336238E-2</v>
      </c>
      <c r="Z27" s="141" cm="1">
        <f t="array" aca="1" ref="Z27" ca="1">SUMPRODUCT(H26:N26, TRANSPOSE(OFFSET(E.TPMs!$S$8:$S$14, INT(($F26-70)/5)*12, $G27*15)))</f>
        <v>8.4309968429272138E-3</v>
      </c>
      <c r="AB27" s="164">
        <f t="array" aca="1" ref="AB27:AM27" ca="1">MMULT(AB26:AM26, OFFSET(E.rngTPM_Root, INT(($F26-70)/5)*12, $G27*15))</f>
        <v>0.46409487854564385</v>
      </c>
      <c r="AC27" s="164">
        <f ca="1"/>
        <v>0</v>
      </c>
      <c r="AD27" s="164">
        <f ca="1"/>
        <v>1.0239397045951764E-2</v>
      </c>
      <c r="AE27" s="164">
        <f ca="1"/>
        <v>4.218908817612551E-3</v>
      </c>
      <c r="AF27" s="164">
        <f ca="1"/>
        <v>3.5992430423852756E-4</v>
      </c>
      <c r="AG27" s="164">
        <f ca="1"/>
        <v>0.1472339222502492</v>
      </c>
      <c r="AH27" s="164">
        <f ca="1"/>
        <v>7.3395136403440558E-2</v>
      </c>
      <c r="AI27" s="164">
        <f ca="1"/>
        <v>0.11141057797447286</v>
      </c>
      <c r="AJ27" s="164">
        <f ca="1"/>
        <v>2.6806086728730339E-3</v>
      </c>
      <c r="AK27" s="164">
        <f ca="1"/>
        <v>2.0876287511114981E-2</v>
      </c>
      <c r="AL27" s="164">
        <f ca="1"/>
        <v>4.3038062945480147E-2</v>
      </c>
      <c r="AM27" s="164">
        <f ca="1"/>
        <v>0.12245229552892291</v>
      </c>
      <c r="AN27" s="128">
        <f t="shared" ca="1" si="37"/>
        <v>1.0000000000000004</v>
      </c>
      <c r="AO27" s="141">
        <f t="shared" ca="1" si="38"/>
        <v>0.83450964152559737</v>
      </c>
      <c r="AP27" s="141">
        <f t="shared" ca="1" si="41"/>
        <v>0.16549035847440263</v>
      </c>
      <c r="AQ27" s="141" cm="1">
        <f t="array" aca="1" ref="AQ27" ca="1">SUMPRODUCT(AB26:AC26, TRANSPOSE(OFFSET(E.TPMs!$N$8:$N$9, INT(($F26-70)/5)*12, $G27*15)))
+SUMPRODUCT(AB26:AC26, TRANSPOSE(OFFSET(E.TPMs!$O$8:$O$9, INT(($F26-70)/5)*12, $G27*15)))
+SUMPRODUCT(AB26:AC26, TRANSPOSE(OFFSET(E.TPMs!$P$8:$P$9, INT(($F26-70)/5)*12, $G27*15)))</f>
        <v>1.1457676503832863E-2</v>
      </c>
      <c r="AR27" s="141">
        <f t="shared" ca="1" si="42"/>
        <v>1.4818230167802843E-2</v>
      </c>
      <c r="AS27" s="141" cm="1">
        <f t="array" aca="1" ref="AS27" ca="1">SUMPRODUCT(AB26:AG26, TRANSPOSE(OFFSET(E.TPMs!$R$8:$R$13, INT(($F26-70)/5)*12, $G27*15)))
+SUMPRODUCT(AB26:AG26, TRANSPOSE(OFFSET(E.TPMs!$S$8:$S$13, INT(($F26-70)/5)*12, $G27*15)))</f>
        <v>1.1857872300196907E-2</v>
      </c>
      <c r="AT27" s="141" cm="1">
        <f t="array" aca="1" ref="AT27" ca="1">SUMPRODUCT(AB26:AH26, TRANSPOSE(OFFSET(E.TPMs!$S$8:$S$14, INT(($F26-70)/5)*12, $G27*15)))</f>
        <v>8.4326547957781946E-3</v>
      </c>
    </row>
    <row r="28" spans="4:46" ht="12" customHeight="1" x14ac:dyDescent="0.25">
      <c r="D28" s="62">
        <f t="shared" si="43"/>
        <v>17</v>
      </c>
      <c r="E28" s="62">
        <f t="shared" si="33"/>
        <v>4.25</v>
      </c>
      <c r="F28" s="63">
        <f t="shared" si="34"/>
        <v>74.25</v>
      </c>
      <c r="G28" s="62">
        <f>IF(AND(E27&lt;E.maxDurHPE, E28&gt;=E.maxDurHPE), 1, 0)</f>
        <v>0</v>
      </c>
      <c r="H28" s="164">
        <f t="array" aca="1" ref="H28:S28" ca="1">MMULT(H27:S27, OFFSET(E.rngTPM_Root, INT(($F27-70)/5)*12, $G28*15))</f>
        <v>0</v>
      </c>
      <c r="I28" s="164">
        <f ca="1"/>
        <v>0.34081066518365516</v>
      </c>
      <c r="J28" s="164">
        <f ca="1"/>
        <v>1.3025825052614582E-2</v>
      </c>
      <c r="K28" s="164">
        <f ca="1"/>
        <v>5.3905338552822186E-3</v>
      </c>
      <c r="L28" s="164">
        <f ca="1"/>
        <v>4.6117821482812601E-4</v>
      </c>
      <c r="M28" s="164">
        <f ca="1"/>
        <v>0.21947174869448244</v>
      </c>
      <c r="N28" s="164">
        <f ca="1"/>
        <v>8.2385109637556034E-2</v>
      </c>
      <c r="O28" s="164">
        <f ca="1"/>
        <v>0.11583247533478126</v>
      </c>
      <c r="P28" s="164">
        <f ca="1"/>
        <v>2.8815473714173851E-3</v>
      </c>
      <c r="Q28" s="164">
        <f ca="1"/>
        <v>2.4449631087979037E-2</v>
      </c>
      <c r="R28" s="164">
        <f ca="1"/>
        <v>6.6775647603187466E-2</v>
      </c>
      <c r="S28" s="164">
        <f ca="1"/>
        <v>0.12851563796421586</v>
      </c>
      <c r="T28" s="128">
        <f t="shared" ca="1" si="35"/>
        <v>0.99999999999999956</v>
      </c>
      <c r="U28" s="141">
        <f t="shared" ca="1" si="36"/>
        <v>0.80470871443259628</v>
      </c>
      <c r="V28" s="141">
        <f t="shared" ca="1" si="39"/>
        <v>0.19529128556740372</v>
      </c>
      <c r="W28" s="141" cm="1">
        <f t="array" aca="1" ref="W28" ca="1">SUMPRODUCT(H27:I27, TRANSPOSE(OFFSET(E.TPMs!$N$8:$N$9, INT(($F27-70)/5)*12, $G28*15)))
+SUMPRODUCT(H27:I27, TRANSPOSE(OFFSET(E.TPMs!$O$8:$O$9, INT(($F27-70)/5)*12, $G28*15)))
+SUMPRODUCT(H27:I27, TRANSPOSE(OFFSET(E.TPMs!$P$8:$P$9, INT(($F27-70)/5)*12, $G28*15)))</f>
        <v>1.3812473120200378E-2</v>
      </c>
      <c r="X28" s="141">
        <f t="shared" ca="1" si="40"/>
        <v>1.8877537122724927E-2</v>
      </c>
      <c r="Y28" s="141" cm="1">
        <f t="array" aca="1" ref="Y28" ca="1">SUMPRODUCT(H27:M27, TRANSPOSE(OFFSET(E.TPMs!$R$8:$R$13, INT(($F27-70)/5)*12, $G28*15)))
+SUMPRODUCT(H27:M27, TRANSPOSE(OFFSET(E.TPMs!$S$8:$S$13, INT(($F27-70)/5)*12, $G28*15)))</f>
        <v>1.1572488916486131E-2</v>
      </c>
      <c r="Z28" s="141" cm="1">
        <f t="array" aca="1" ref="Z28" ca="1">SUMPRODUCT(H27:N27, TRANSPOSE(OFFSET(E.TPMs!$S$8:$S$14, INT(($F27-70)/5)*12, $G28*15)))</f>
        <v>8.3058567288532299E-3</v>
      </c>
      <c r="AB28" s="164">
        <f t="array" aca="1" ref="AB28:AM28" ca="1">MMULT(AB27:AM27, OFFSET(E.rngTPM_Root, INT(($F27-70)/5)*12, $G28*15))</f>
        <v>0.44235373577910653</v>
      </c>
      <c r="AC28" s="164">
        <f ca="1"/>
        <v>0</v>
      </c>
      <c r="AD28" s="164">
        <f ca="1"/>
        <v>9.9404399912005996E-3</v>
      </c>
      <c r="AE28" s="164">
        <f ca="1"/>
        <v>4.0957304167050651E-3</v>
      </c>
      <c r="AF28" s="164">
        <f ca="1"/>
        <v>3.4941568645120832E-4</v>
      </c>
      <c r="AG28" s="164">
        <f ca="1"/>
        <v>0.15112625449109665</v>
      </c>
      <c r="AH28" s="164">
        <f ca="1"/>
        <v>7.4525918781592509E-2</v>
      </c>
      <c r="AI28" s="164">
        <f ca="1"/>
        <v>0.1159621709744922</v>
      </c>
      <c r="AJ28" s="164">
        <f ca="1"/>
        <v>2.7773124159595013E-3</v>
      </c>
      <c r="AK28" s="164">
        <f ca="1"/>
        <v>2.3363552986691755E-2</v>
      </c>
      <c r="AL28" s="164">
        <f ca="1"/>
        <v>4.5280020048132363E-2</v>
      </c>
      <c r="AM28" s="164">
        <f ca="1"/>
        <v>0.13022544842857206</v>
      </c>
      <c r="AN28" s="128">
        <f t="shared" ca="1" si="37"/>
        <v>1.0000000000000004</v>
      </c>
      <c r="AO28" s="141">
        <f t="shared" ca="1" si="38"/>
        <v>0.8244945315232961</v>
      </c>
      <c r="AP28" s="141">
        <f t="shared" ca="1" si="41"/>
        <v>0.1755054684767039</v>
      </c>
      <c r="AQ28" s="141" cm="1">
        <f t="array" aca="1" ref="AQ28" ca="1">SUMPRODUCT(AB27:AC27, TRANSPOSE(OFFSET(E.TPMs!$N$8:$N$9, INT(($F27-70)/5)*12, $G28*15)))
+SUMPRODUCT(AB27:AC27, TRANSPOSE(OFFSET(E.TPMs!$O$8:$O$9, INT(($F27-70)/5)*12, $G28*15)))
+SUMPRODUCT(AB27:AC27, TRANSPOSE(OFFSET(E.TPMs!$P$8:$P$9, INT(($F27-70)/5)*12, $G28*15)))</f>
        <v>1.0920926386220584E-2</v>
      </c>
      <c r="AR28" s="141">
        <f t="shared" ca="1" si="42"/>
        <v>1.4385586094356874E-2</v>
      </c>
      <c r="AS28" s="141" cm="1">
        <f t="array" aca="1" ref="AS28" ca="1">SUMPRODUCT(AB27:AG27, TRANSPOSE(OFFSET(E.TPMs!$R$8:$R$13, INT(($F27-70)/5)*12, $G28*15)))
+SUMPRODUCT(AB27:AG27, TRANSPOSE(OFFSET(E.TPMs!$S$8:$S$13, INT(($F27-70)/5)*12, $G28*15)))</f>
        <v>1.1511661037700368E-2</v>
      </c>
      <c r="AT28" s="141" cm="1">
        <f t="array" aca="1" ref="AT28" ca="1">SUMPRODUCT(AB27:AH27, TRANSPOSE(OFFSET(E.TPMs!$S$8:$S$14, INT(($F27-70)/5)*12, $G28*15)))</f>
        <v>8.3145328342283352E-3</v>
      </c>
    </row>
    <row r="29" spans="4:46" ht="12" customHeight="1" x14ac:dyDescent="0.25">
      <c r="D29" s="62">
        <f t="shared" si="43"/>
        <v>18</v>
      </c>
      <c r="E29" s="62">
        <f t="shared" si="33"/>
        <v>4.5</v>
      </c>
      <c r="F29" s="63">
        <f t="shared" si="34"/>
        <v>74.5</v>
      </c>
      <c r="G29" s="62">
        <f>IF(AND(E28&lt;E.maxDurHPE, E29&gt;=E.maxDurHPE), 1, 0)</f>
        <v>0</v>
      </c>
      <c r="H29" s="164">
        <f t="array" aca="1" ref="H29:S29" ca="1">MMULT(H28:S28, OFFSET(E.rngTPM_Root, INT(($F28-70)/5)*12, $G29*15))</f>
        <v>0</v>
      </c>
      <c r="I29" s="164">
        <f ca="1"/>
        <v>0.31989978783312051</v>
      </c>
      <c r="J29" s="164">
        <f ca="1"/>
        <v>1.2510088589450546E-2</v>
      </c>
      <c r="K29" s="164">
        <f ca="1"/>
        <v>5.1765920646843185E-3</v>
      </c>
      <c r="L29" s="164">
        <f ca="1"/>
        <v>4.4284660974427601E-4</v>
      </c>
      <c r="M29" s="164">
        <f ca="1"/>
        <v>0.22293054031889339</v>
      </c>
      <c r="N29" s="164">
        <f ca="1"/>
        <v>8.3081188317135526E-2</v>
      </c>
      <c r="O29" s="164">
        <f ca="1"/>
        <v>0.12010538013095583</v>
      </c>
      <c r="P29" s="164">
        <f ca="1"/>
        <v>2.9681584636290581E-3</v>
      </c>
      <c r="Q29" s="164">
        <f ca="1"/>
        <v>2.7106857844832341E-2</v>
      </c>
      <c r="R29" s="164">
        <f ca="1"/>
        <v>6.96352526897729E-2</v>
      </c>
      <c r="S29" s="164">
        <f ca="1"/>
        <v>0.13614330713778083</v>
      </c>
      <c r="T29" s="128">
        <f t="shared" ca="1" si="35"/>
        <v>0.99999999999999956</v>
      </c>
      <c r="U29" s="141">
        <f t="shared" ca="1" si="36"/>
        <v>0.79422144017244578</v>
      </c>
      <c r="V29" s="141">
        <f t="shared" ca="1" si="39"/>
        <v>0.20577855982755422</v>
      </c>
      <c r="W29" s="141" cm="1">
        <f t="array" aca="1" ref="W29" ca="1">SUMPRODUCT(H28:I28, TRANSPOSE(OFFSET(E.TPMs!$N$8:$N$9, INT(($F28-70)/5)*12, $G29*15)))
+SUMPRODUCT(H28:I28, TRANSPOSE(OFFSET(E.TPMs!$O$8:$O$9, INT(($F28-70)/5)*12, $G29*15)))
+SUMPRODUCT(H28:I28, TRANSPOSE(OFFSET(E.TPMs!$P$8:$P$9, INT(($F28-70)/5)*12, $G29*15)))</f>
        <v>1.2964991040470209E-2</v>
      </c>
      <c r="X29" s="141">
        <f t="shared" ca="1" si="40"/>
        <v>1.812952726387914E-2</v>
      </c>
      <c r="Y29" s="141" cm="1">
        <f t="array" aca="1" ref="Y29" ca="1">SUMPRODUCT(H28:M28, TRANSPOSE(OFFSET(E.TPMs!$R$8:$R$13, INT(($F28-70)/5)*12, $G29*15)))
+SUMPRODUCT(H28:M28, TRANSPOSE(OFFSET(E.TPMs!$S$8:$S$13, INT(($F28-70)/5)*12, $G29*15)))</f>
        <v>1.1190731583918046E-2</v>
      </c>
      <c r="Z29" s="141" cm="1">
        <f t="array" aca="1" ref="Z29" ca="1">SUMPRODUCT(H28:N28, TRANSPOSE(OFFSET(E.TPMs!$S$8:$S$14, INT(($F28-70)/5)*12, $G29*15)))</f>
        <v>8.1752059258311128E-3</v>
      </c>
      <c r="AB29" s="164">
        <f t="array" aca="1" ref="AB29:AM29" ca="1">MMULT(AB28:AM28, OFFSET(E.rngTPM_Root, INT(($F28-70)/5)*12, $G29*15))</f>
        <v>0.4216310858049831</v>
      </c>
      <c r="AC29" s="164">
        <f ca="1"/>
        <v>0</v>
      </c>
      <c r="AD29" s="164">
        <f ca="1"/>
        <v>9.650211509058192E-3</v>
      </c>
      <c r="AE29" s="164">
        <f ca="1"/>
        <v>3.9761484240410537E-3</v>
      </c>
      <c r="AF29" s="164">
        <f ca="1"/>
        <v>3.3921388608771827E-4</v>
      </c>
      <c r="AG29" s="164">
        <f ca="1"/>
        <v>0.15452122109200067</v>
      </c>
      <c r="AH29" s="164">
        <f ca="1"/>
        <v>7.5411728519412136E-2</v>
      </c>
      <c r="AI29" s="164">
        <f ca="1"/>
        <v>0.12024277140992741</v>
      </c>
      <c r="AJ29" s="164">
        <f ca="1"/>
        <v>2.8660008477046461E-3</v>
      </c>
      <c r="AK29" s="164">
        <f ca="1"/>
        <v>2.5926314281078833E-2</v>
      </c>
      <c r="AL29" s="164">
        <f ca="1"/>
        <v>4.7456519303093019E-2</v>
      </c>
      <c r="AM29" s="164">
        <f ca="1"/>
        <v>0.13797878492261367</v>
      </c>
      <c r="AN29" s="128">
        <f t="shared" ca="1" si="37"/>
        <v>1.0000000000000004</v>
      </c>
      <c r="AO29" s="141">
        <f t="shared" ca="1" si="38"/>
        <v>0.81456469577429369</v>
      </c>
      <c r="AP29" s="141">
        <f t="shared" ca="1" si="41"/>
        <v>0.18543530422570631</v>
      </c>
      <c r="AQ29" s="141" cm="1">
        <f t="array" aca="1" ref="AQ29" ca="1">SUMPRODUCT(AB28:AC28, TRANSPOSE(OFFSET(E.TPMs!$N$8:$N$9, INT(($F28-70)/5)*12, $G29*15)))
+SUMPRODUCT(AB28:AC28, TRANSPOSE(OFFSET(E.TPMs!$O$8:$O$9, INT(($F28-70)/5)*12, $G29*15)))
+SUMPRODUCT(AB28:AC28, TRANSPOSE(OFFSET(E.TPMs!$P$8:$P$9, INT(($F28-70)/5)*12, $G29*15)))</f>
        <v>1.0409321042826745E-2</v>
      </c>
      <c r="AR29" s="141">
        <f t="shared" ca="1" si="42"/>
        <v>1.3965573819186963E-2</v>
      </c>
      <c r="AS29" s="141" cm="1">
        <f t="array" aca="1" ref="AS29" ca="1">SUMPRODUCT(AB28:AG28, TRANSPOSE(OFFSET(E.TPMs!$R$8:$R$13, INT(($F28-70)/5)*12, $G29*15)))
+SUMPRODUCT(AB28:AG28, TRANSPOSE(OFFSET(E.TPMs!$S$8:$S$13, INT(($F28-70)/5)*12, $G29*15)))</f>
        <v>1.1175558016821296E-2</v>
      </c>
      <c r="AT29" s="141" cm="1">
        <f t="array" aca="1" ref="AT29" ca="1">SUMPRODUCT(AB28:AH28, TRANSPOSE(OFFSET(E.TPMs!$S$8:$S$14, INT(($F28-70)/5)*12, $G29*15)))</f>
        <v>8.1915667277610536E-3</v>
      </c>
    </row>
    <row r="30" spans="4:46" ht="12" customHeight="1" x14ac:dyDescent="0.25">
      <c r="D30" s="62">
        <f t="shared" si="43"/>
        <v>19</v>
      </c>
      <c r="E30" s="62">
        <f t="shared" si="33"/>
        <v>4.75</v>
      </c>
      <c r="F30" s="63">
        <f t="shared" si="34"/>
        <v>74.75</v>
      </c>
      <c r="G30" s="62">
        <f>IF(AND(E29&lt;E.maxDurHPE, E30&gt;=E.maxDurHPE), 1, 0)</f>
        <v>0</v>
      </c>
      <c r="H30" s="164">
        <f t="array" aca="1" ref="H30:S30" ca="1">MMULT(H29:S29, OFFSET(E.rngTPM_Root, INT(($F29-70)/5)*12, $G30*15))</f>
        <v>0</v>
      </c>
      <c r="I30" s="164">
        <f ca="1"/>
        <v>0.30027192429711386</v>
      </c>
      <c r="J30" s="164">
        <f ca="1"/>
        <v>1.201771911380097E-2</v>
      </c>
      <c r="K30" s="164">
        <f ca="1"/>
        <v>4.9723667288819069E-3</v>
      </c>
      <c r="L30" s="164">
        <f ca="1"/>
        <v>4.2534883066008377E-4</v>
      </c>
      <c r="M30" s="164">
        <f ca="1"/>
        <v>0.22568296534119578</v>
      </c>
      <c r="N30" s="164">
        <f ca="1"/>
        <v>8.3525076446370347E-2</v>
      </c>
      <c r="O30" s="164">
        <f ca="1"/>
        <v>0.12410511541760105</v>
      </c>
      <c r="P30" s="164">
        <f ca="1"/>
        <v>3.0465684524980247E-3</v>
      </c>
      <c r="Q30" s="164">
        <f ca="1"/>
        <v>2.982817564802806E-2</v>
      </c>
      <c r="R30" s="164">
        <f ca="1"/>
        <v>7.2381472065942865E-2</v>
      </c>
      <c r="S30" s="164">
        <f ca="1"/>
        <v>0.1437432676579066</v>
      </c>
      <c r="T30" s="128">
        <f t="shared" ca="1" si="35"/>
        <v>0.99999999999999944</v>
      </c>
      <c r="U30" s="141">
        <f t="shared" ca="1" si="36"/>
        <v>0.78387526027615007</v>
      </c>
      <c r="V30" s="141">
        <f t="shared" ca="1" si="39"/>
        <v>0.21612473972384993</v>
      </c>
      <c r="W30" s="141" cm="1">
        <f t="array" aca="1" ref="W30" ca="1">SUMPRODUCT(H29:I29, TRANSPOSE(OFFSET(E.TPMs!$N$8:$N$9, INT(($F29-70)/5)*12, $G30*15)))
+SUMPRODUCT(H29:I29, TRANSPOSE(OFFSET(E.TPMs!$O$8:$O$9, INT(($F29-70)/5)*12, $G30*15)))
+SUMPRODUCT(H29:I29, TRANSPOSE(OFFSET(E.TPMs!$P$8:$P$9, INT(($F29-70)/5)*12, $G30*15)))</f>
        <v>1.2169507315358617E-2</v>
      </c>
      <c r="X30" s="141">
        <f t="shared" ca="1" si="40"/>
        <v>1.7415434673342962E-2</v>
      </c>
      <c r="Y30" s="141" cm="1">
        <f t="array" aca="1" ref="Y30" ca="1">SUMPRODUCT(H29:M29, TRANSPOSE(OFFSET(E.TPMs!$R$8:$R$13, INT(($F29-70)/5)*12, $G30*15)))
+SUMPRODUCT(H29:M29, TRANSPOSE(OFFSET(E.TPMs!$S$8:$S$13, INT(($F29-70)/5)*12, $G30*15)))</f>
        <v>1.0822812534281315E-2</v>
      </c>
      <c r="Z30" s="141" cm="1">
        <f t="array" aca="1" ref="Z30" ca="1">SUMPRODUCT(H29:N29, TRANSPOSE(OFFSET(E.TPMs!$S$8:$S$14, INT(($F29-70)/5)*12, $G30*15)))</f>
        <v>8.0398802250877619E-3</v>
      </c>
      <c r="AB30" s="164">
        <f t="array" aca="1" ref="AB30:AM30" ca="1">MMULT(AB29:AM29, OFFSET(E.rngTPM_Root, INT(($F29-70)/5)*12, $G30*15))</f>
        <v>0.4018792159717659</v>
      </c>
      <c r="AC30" s="164">
        <f ca="1"/>
        <v>0</v>
      </c>
      <c r="AD30" s="164">
        <f ca="1"/>
        <v>9.3684567536241846E-3</v>
      </c>
      <c r="AE30" s="164">
        <f ca="1"/>
        <v>3.8600578362095409E-3</v>
      </c>
      <c r="AF30" s="164">
        <f ca="1"/>
        <v>3.2930994507826452E-4</v>
      </c>
      <c r="AG30" s="164">
        <f ca="1"/>
        <v>0.15745131948838209</v>
      </c>
      <c r="AH30" s="164">
        <f ca="1"/>
        <v>7.607344139982776E-2</v>
      </c>
      <c r="AI30" s="164">
        <f ca="1"/>
        <v>0.12425780543234824</v>
      </c>
      <c r="AJ30" s="164">
        <f ca="1"/>
        <v>2.9470523317410751E-3</v>
      </c>
      <c r="AK30" s="164">
        <f ca="1"/>
        <v>2.8556002236750429E-2</v>
      </c>
      <c r="AL30" s="164">
        <f ca="1"/>
        <v>4.9569471866387056E-2</v>
      </c>
      <c r="AM30" s="164">
        <f ca="1"/>
        <v>0.14570786673788591</v>
      </c>
      <c r="AN30" s="128">
        <f t="shared" ca="1" si="37"/>
        <v>1.0000000000000004</v>
      </c>
      <c r="AO30" s="141">
        <f t="shared" ca="1" si="38"/>
        <v>0.80472266139572746</v>
      </c>
      <c r="AP30" s="141">
        <f t="shared" ca="1" si="41"/>
        <v>0.19527733860427254</v>
      </c>
      <c r="AQ30" s="141" cm="1">
        <f t="array" aca="1" ref="AQ30" ca="1">SUMPRODUCT(AB29:AC29, TRANSPOSE(OFFSET(E.TPMs!$N$8:$N$9, INT(($F29-70)/5)*12, $G30*15)))
+SUMPRODUCT(AB29:AC29, TRANSPOSE(OFFSET(E.TPMs!$O$8:$O$9, INT(($F29-70)/5)*12, $G30*15)))
+SUMPRODUCT(AB29:AC29, TRANSPOSE(OFFSET(E.TPMs!$P$8:$P$9, INT(($F29-70)/5)*12, $G30*15)))</f>
        <v>9.9216825332098801E-3</v>
      </c>
      <c r="AR30" s="141">
        <f t="shared" ca="1" si="42"/>
        <v>1.3557824534911989E-2</v>
      </c>
      <c r="AS30" s="141" cm="1">
        <f t="array" aca="1" ref="AS30" ca="1">SUMPRODUCT(AB29:AG29, TRANSPOSE(OFFSET(E.TPMs!$R$8:$R$13, INT(($F29-70)/5)*12, $G30*15)))
+SUMPRODUCT(AB29:AG29, TRANSPOSE(OFFSET(E.TPMs!$S$8:$S$13, INT(($F29-70)/5)*12, $G30*15)))</f>
        <v>1.0849268109816412E-2</v>
      </c>
      <c r="AT30" s="141" cm="1">
        <f t="array" aca="1" ref="AT30" ca="1">SUMPRODUCT(AB29:AH29, TRANSPOSE(OFFSET(E.TPMs!$S$8:$S$14, INT(($F29-70)/5)*12, $G30*15)))</f>
        <v>8.0644348423807837E-3</v>
      </c>
    </row>
    <row r="31" spans="4:46" ht="12" customHeight="1" x14ac:dyDescent="0.25">
      <c r="D31" s="62">
        <f t="shared" si="43"/>
        <v>20</v>
      </c>
      <c r="E31" s="62">
        <f t="shared" si="33"/>
        <v>5</v>
      </c>
      <c r="F31" s="63">
        <f t="shared" si="34"/>
        <v>75</v>
      </c>
      <c r="G31" s="62">
        <f>IF(AND(E30&lt;E.maxDurHPE, E31&gt;=E.maxDurHPE), 1, 0)</f>
        <v>0</v>
      </c>
      <c r="H31" s="164">
        <f t="array" aca="1" ref="H31:S31" ca="1">MMULT(H30:S30, OFFSET(E.rngTPM_Root, INT(($F30-70)/5)*12, $G31*15))</f>
        <v>0</v>
      </c>
      <c r="I31" s="164">
        <f ca="1"/>
        <v>0.28184835361043248</v>
      </c>
      <c r="J31" s="164">
        <f ca="1"/>
        <v>1.1547524566374727E-2</v>
      </c>
      <c r="K31" s="164">
        <f ca="1"/>
        <v>4.7773612495767091E-3</v>
      </c>
      <c r="L31" s="164">
        <f ca="1"/>
        <v>4.0864221141073437E-4</v>
      </c>
      <c r="M31" s="164">
        <f ca="1"/>
        <v>0.22778679130640486</v>
      </c>
      <c r="N31" s="164">
        <f ca="1"/>
        <v>8.374105540117148E-2</v>
      </c>
      <c r="O31" s="164">
        <f ca="1"/>
        <v>0.12783739528152899</v>
      </c>
      <c r="P31" s="164">
        <f ca="1"/>
        <v>3.1172104997727991E-3</v>
      </c>
      <c r="Q31" s="164">
        <f ca="1"/>
        <v>3.2604924677583066E-2</v>
      </c>
      <c r="R31" s="164">
        <f ca="1"/>
        <v>7.5019450444045621E-2</v>
      </c>
      <c r="S31" s="164">
        <f ca="1"/>
        <v>0.15131129075169808</v>
      </c>
      <c r="T31" s="128">
        <f t="shared" ca="1" si="35"/>
        <v>0.99999999999999933</v>
      </c>
      <c r="U31" s="141">
        <f t="shared" ca="1" si="36"/>
        <v>0.77366925880425574</v>
      </c>
      <c r="V31" s="141">
        <f t="shared" ca="1" si="39"/>
        <v>0.22633074119574426</v>
      </c>
      <c r="W31" s="141" cm="1">
        <f t="array" aca="1" ref="W31" ca="1">SUMPRODUCT(H30:I30, TRANSPOSE(OFFSET(E.TPMs!$N$8:$N$9, INT(($F30-70)/5)*12, $G31*15)))
+SUMPRODUCT(H30:I30, TRANSPOSE(OFFSET(E.TPMs!$O$8:$O$9, INT(($F30-70)/5)*12, $G31*15)))
+SUMPRODUCT(H30:I30, TRANSPOSE(OFFSET(E.TPMs!$P$8:$P$9, INT(($F30-70)/5)*12, $G31*15)))</f>
        <v>1.1422831518840432E-2</v>
      </c>
      <c r="X31" s="141">
        <f t="shared" ca="1" si="40"/>
        <v>1.6733528027362169E-2</v>
      </c>
      <c r="Y31" s="141" cm="1">
        <f t="array" aca="1" ref="Y31" ca="1">SUMPRODUCT(H30:M30, TRANSPOSE(OFFSET(E.TPMs!$R$8:$R$13, INT(($F30-70)/5)*12, $G31*15)))
+SUMPRODUCT(H30:M30, TRANSPOSE(OFFSET(E.TPMs!$S$8:$S$13, INT(($F30-70)/5)*12, $G31*15)))</f>
        <v>1.0468162550648126E-2</v>
      </c>
      <c r="Z31" s="141" cm="1">
        <f t="array" aca="1" ref="Z31" ca="1">SUMPRODUCT(H30:N30, TRANSPOSE(OFFSET(E.TPMs!$S$8:$S$14, INT(($F30-70)/5)*12, $G31*15)))</f>
        <v>7.9006423155666382E-3</v>
      </c>
      <c r="AB31" s="164">
        <f t="array" aca="1" ref="AB31:AM31" ca="1">MMULT(AB30:AM30, OFFSET(E.rngTPM_Root, INT(($F30-70)/5)*12, $G31*15))</f>
        <v>0.38305264879066103</v>
      </c>
      <c r="AC31" s="164">
        <f ca="1"/>
        <v>0</v>
      </c>
      <c r="AD31" s="164">
        <f ca="1"/>
        <v>9.0949283196687433E-3</v>
      </c>
      <c r="AE31" s="164">
        <f ca="1"/>
        <v>3.7473567155572652E-3</v>
      </c>
      <c r="AF31" s="164">
        <f ca="1"/>
        <v>3.1969516689952506E-4</v>
      </c>
      <c r="AG31" s="164">
        <f ca="1"/>
        <v>0.15994725618771768</v>
      </c>
      <c r="AH31" s="164">
        <f ca="1"/>
        <v>7.6530435168202696E-2</v>
      </c>
      <c r="AI31" s="164">
        <f ca="1"/>
        <v>0.12801310686207382</v>
      </c>
      <c r="AJ31" s="164">
        <f ca="1"/>
        <v>3.0208316455141325E-3</v>
      </c>
      <c r="AK31" s="164">
        <f ca="1"/>
        <v>3.1244493285744468E-2</v>
      </c>
      <c r="AL31" s="164">
        <f ca="1"/>
        <v>5.1620733094506134E-2</v>
      </c>
      <c r="AM31" s="164">
        <f ca="1"/>
        <v>0.15340851476345496</v>
      </c>
      <c r="AN31" s="128">
        <f t="shared" ca="1" si="37"/>
        <v>1.0000000000000004</v>
      </c>
      <c r="AO31" s="141">
        <f t="shared" ca="1" si="38"/>
        <v>0.79497075214203927</v>
      </c>
      <c r="AP31" s="141">
        <f t="shared" ca="1" si="41"/>
        <v>0.20502924785796073</v>
      </c>
      <c r="AQ31" s="141" cm="1">
        <f t="array" aca="1" ref="AQ31" ca="1">SUMPRODUCT(AB30:AC30, TRANSPOSE(OFFSET(E.TPMs!$N$8:$N$9, INT(($F30-70)/5)*12, $G31*15)))
+SUMPRODUCT(AB30:AC30, TRANSPOSE(OFFSET(E.TPMs!$O$8:$O$9, INT(($F30-70)/5)*12, $G31*15)))
+SUMPRODUCT(AB30:AC30, TRANSPOSE(OFFSET(E.TPMs!$P$8:$P$9, INT(($F30-70)/5)*12, $G31*15)))</f>
        <v>9.4568880991175389E-3</v>
      </c>
      <c r="AR31" s="141">
        <f t="shared" ca="1" si="42"/>
        <v>1.3161980202125534E-2</v>
      </c>
      <c r="AS31" s="141" cm="1">
        <f t="array" aca="1" ref="AS31" ca="1">SUMPRODUCT(AB30:AG30, TRANSPOSE(OFFSET(E.TPMs!$R$8:$R$13, INT(($F30-70)/5)*12, $G31*15)))
+SUMPRODUCT(AB30:AG30, TRANSPOSE(OFFSET(E.TPMs!$S$8:$S$13, INT(($F30-70)/5)*12, $G31*15)))</f>
        <v>1.0532504805711627E-2</v>
      </c>
      <c r="AT31" s="141" cm="1">
        <f t="array" aca="1" ref="AT31" ca="1">SUMPRODUCT(AB30:AH30, TRANSPOSE(OFFSET(E.TPMs!$S$8:$S$14, INT(($F30-70)/5)*12, $G31*15)))</f>
        <v>7.9337609738148063E-3</v>
      </c>
    </row>
    <row r="32" spans="4:46" ht="12" customHeight="1" x14ac:dyDescent="0.25">
      <c r="D32" s="62">
        <f t="shared" si="43"/>
        <v>21</v>
      </c>
      <c r="E32" s="62">
        <f t="shared" si="33"/>
        <v>5.25</v>
      </c>
      <c r="F32" s="63">
        <f t="shared" si="34"/>
        <v>75.25</v>
      </c>
      <c r="G32" s="62">
        <f>IF(AND(E31&lt;E.maxDurHPE, E32&gt;=E.maxDurHPE), 1, 0)</f>
        <v>0</v>
      </c>
      <c r="H32" s="164">
        <f t="array" aca="1" ref="H32:S32" ca="1">MMULT(H31:S31, OFFSET(E.rngTPM_Root, INT(($F31-70)/5)*12, $G32*15))</f>
        <v>0</v>
      </c>
      <c r="I32" s="164">
        <f ca="1"/>
        <v>0.25644764219243427</v>
      </c>
      <c r="J32" s="164">
        <f ca="1"/>
        <v>1.7171434890535575E-2</v>
      </c>
      <c r="K32" s="164">
        <f ca="1"/>
        <v>7.1309737287755994E-3</v>
      </c>
      <c r="L32" s="164">
        <f ca="1"/>
        <v>6.1147221304472797E-4</v>
      </c>
      <c r="M32" s="164">
        <f ca="1"/>
        <v>0.22489646273564259</v>
      </c>
      <c r="N32" s="164">
        <f ca="1"/>
        <v>8.2802595809043963E-2</v>
      </c>
      <c r="O32" s="164">
        <f ca="1"/>
        <v>0.12953048924752175</v>
      </c>
      <c r="P32" s="164">
        <f ca="1"/>
        <v>3.1804992218402673E-3</v>
      </c>
      <c r="Q32" s="164">
        <f ca="1"/>
        <v>3.5300293566447441E-2</v>
      </c>
      <c r="R32" s="164">
        <f ca="1"/>
        <v>7.8337078951941738E-2</v>
      </c>
      <c r="S32" s="164">
        <f ca="1"/>
        <v>0.16459105744277161</v>
      </c>
      <c r="T32" s="128">
        <f t="shared" ca="1" si="35"/>
        <v>0.99999999999999956</v>
      </c>
      <c r="U32" s="141">
        <f t="shared" ca="1" si="36"/>
        <v>0.75707186360528622</v>
      </c>
      <c r="V32" s="141">
        <f t="shared" ca="1" si="39"/>
        <v>0.24292813639471378</v>
      </c>
      <c r="W32" s="141" cm="1">
        <f t="array" aca="1" ref="W32" ca="1">SUMPRODUCT(H31:I31, TRANSPOSE(OFFSET(E.TPMs!$N$8:$N$9, INT(($F31-70)/5)*12, $G32*15)))
+SUMPRODUCT(H31:I31, TRANSPOSE(OFFSET(E.TPMs!$O$8:$O$9, INT(($F31-70)/5)*12, $G32*15)))
+SUMPRODUCT(H31:I31, TRANSPOSE(OFFSET(E.TPMs!$P$8:$P$9, INT(($F31-70)/5)*12, $G32*15)))</f>
        <v>1.7230020773868499E-2</v>
      </c>
      <c r="X32" s="141">
        <f t="shared" ca="1" si="40"/>
        <v>2.4913880832355906E-2</v>
      </c>
      <c r="Y32" s="141" cm="1">
        <f t="array" aca="1" ref="Y32" ca="1">SUMPRODUCT(H31:M31, TRANSPOSE(OFFSET(E.TPMs!$R$8:$R$13, INT(($F31-70)/5)*12, $G32*15)))
+SUMPRODUCT(H31:M31, TRANSPOSE(OFFSET(E.TPMs!$S$8:$S$13, INT(($F31-70)/5)*12, $G32*15)))</f>
        <v>1.0126239170456264E-2</v>
      </c>
      <c r="Z32" s="141" cm="1">
        <f t="array" aca="1" ref="Z32" ca="1">SUMPRODUCT(H31:N31, TRANSPOSE(OFFSET(E.TPMs!$S$8:$S$14, INT(($F31-70)/5)*12, $G32*15)))</f>
        <v>7.7581873783660604E-3</v>
      </c>
      <c r="AB32" s="164">
        <f t="array" aca="1" ref="AB32:AM32" ca="1">MMULT(AB31:AM31, OFFSET(E.rngTPM_Root, INT(($F31-70)/5)*12, $G32*15))</f>
        <v>0.3590266847619602</v>
      </c>
      <c r="AC32" s="164">
        <f ca="1"/>
        <v>0</v>
      </c>
      <c r="AD32" s="164">
        <f ca="1"/>
        <v>1.2656939689383886E-2</v>
      </c>
      <c r="AE32" s="164">
        <f ca="1"/>
        <v>5.215001842383239E-3</v>
      </c>
      <c r="AF32" s="164">
        <f ca="1"/>
        <v>4.4490317066975873E-4</v>
      </c>
      <c r="AG32" s="164">
        <f ca="1"/>
        <v>0.15888330819853355</v>
      </c>
      <c r="AH32" s="164">
        <f ca="1"/>
        <v>7.593350653033866E-2</v>
      </c>
      <c r="AI32" s="164">
        <f ca="1"/>
        <v>0.12973449662954586</v>
      </c>
      <c r="AJ32" s="164">
        <f ca="1"/>
        <v>3.0876902939582992E-3</v>
      </c>
      <c r="AK32" s="164">
        <f ca="1"/>
        <v>3.3860686748363379E-2</v>
      </c>
      <c r="AL32" s="164">
        <f ca="1"/>
        <v>5.4227508248181573E-2</v>
      </c>
      <c r="AM32" s="164">
        <f ca="1"/>
        <v>0.16692927388668205</v>
      </c>
      <c r="AN32" s="128">
        <f t="shared" ca="1" si="37"/>
        <v>1.0000000000000004</v>
      </c>
      <c r="AO32" s="141">
        <f t="shared" ca="1" si="38"/>
        <v>0.77884321786513677</v>
      </c>
      <c r="AP32" s="141">
        <f t="shared" ca="1" si="41"/>
        <v>0.22115678213486323</v>
      </c>
      <c r="AQ32" s="141" cm="1">
        <f t="array" aca="1" ref="AQ32" ca="1">SUMPRODUCT(AB31:AC31, TRANSPOSE(OFFSET(E.TPMs!$N$8:$N$9, INT(($F31-70)/5)*12, $G32*15)))
+SUMPRODUCT(AB31:AC31, TRANSPOSE(OFFSET(E.TPMs!$O$8:$O$9, INT(($F31-70)/5)*12, $G32*15)))
+SUMPRODUCT(AB31:AC31, TRANSPOSE(OFFSET(E.TPMs!$P$8:$P$9, INT(($F31-70)/5)*12, $G32*15)))</f>
        <v>1.2921394306754092E-2</v>
      </c>
      <c r="AR32" s="141">
        <f t="shared" ca="1" si="42"/>
        <v>1.8316844702436885E-2</v>
      </c>
      <c r="AS32" s="141" cm="1">
        <f t="array" aca="1" ref="AS32" ca="1">SUMPRODUCT(AB31:AG31, TRANSPOSE(OFFSET(E.TPMs!$R$8:$R$13, INT(($F31-70)/5)*12, $G32*15)))
+SUMPRODUCT(AB31:AG31, TRANSPOSE(OFFSET(E.TPMs!$S$8:$S$13, INT(($F31-70)/5)*12, $G32*15)))</f>
        <v>1.0224989958720423E-2</v>
      </c>
      <c r="AT32" s="141" cm="1">
        <f t="array" aca="1" ref="AT32" ca="1">SUMPRODUCT(AB31:AH31, TRANSPOSE(OFFSET(E.TPMs!$S$8:$S$14, INT(($F31-70)/5)*12, $G32*15)))</f>
        <v>7.8001181916273078E-3</v>
      </c>
    </row>
    <row r="33" spans="4:46" ht="12" customHeight="1" x14ac:dyDescent="0.25">
      <c r="D33" s="62">
        <f t="shared" si="43"/>
        <v>22</v>
      </c>
      <c r="E33" s="62">
        <f t="shared" si="33"/>
        <v>5.5</v>
      </c>
      <c r="F33" s="63">
        <f t="shared" si="34"/>
        <v>75.5</v>
      </c>
      <c r="G33" s="62">
        <f>IF(AND(E32&lt;E.maxDurHPE, E33&gt;=E.maxDurHPE), 1, 0)</f>
        <v>0</v>
      </c>
      <c r="H33" s="164">
        <f t="array" aca="1" ref="H33:S33" ca="1">MMULT(H32:S32, OFFSET(E.rngTPM_Root, INT(($F32-70)/5)*12, $G33*15))</f>
        <v>0</v>
      </c>
      <c r="I33" s="164">
        <f ca="1"/>
        <v>0.23333609135414343</v>
      </c>
      <c r="J33" s="164">
        <f ca="1"/>
        <v>1.6035047454229588E-2</v>
      </c>
      <c r="K33" s="164">
        <f ca="1"/>
        <v>6.6577155381578376E-3</v>
      </c>
      <c r="L33" s="164">
        <f ca="1"/>
        <v>5.7081694851000191E-4</v>
      </c>
      <c r="M33" s="164">
        <f ca="1"/>
        <v>0.22775216678451835</v>
      </c>
      <c r="N33" s="164">
        <f ca="1"/>
        <v>8.2732001512528783E-2</v>
      </c>
      <c r="O33" s="164">
        <f ca="1"/>
        <v>0.1308593460932623</v>
      </c>
      <c r="P33" s="164">
        <f ca="1"/>
        <v>3.1954602280620439E-3</v>
      </c>
      <c r="Q33" s="164">
        <f ca="1"/>
        <v>3.8026374273317905E-2</v>
      </c>
      <c r="R33" s="164">
        <f ca="1"/>
        <v>8.3281400503150041E-2</v>
      </c>
      <c r="S33" s="164">
        <f ca="1"/>
        <v>0.17755357931011925</v>
      </c>
      <c r="T33" s="128">
        <f t="shared" ca="1" si="35"/>
        <v>0.99999999999999967</v>
      </c>
      <c r="U33" s="141">
        <f t="shared" ca="1" si="36"/>
        <v>0.73916502018673036</v>
      </c>
      <c r="V33" s="141">
        <f t="shared" ca="1" si="39"/>
        <v>0.26083497981326964</v>
      </c>
      <c r="W33" s="141" cm="1">
        <f t="array" aca="1" ref="W33" ca="1">SUMPRODUCT(H32:I32, TRANSPOSE(OFFSET(E.TPMs!$N$8:$N$9, INT(($F32-70)/5)*12, $G33*15)))
+SUMPRODUCT(H32:I32, TRANSPOSE(OFFSET(E.TPMs!$O$8:$O$9, INT(($F32-70)/5)*12, $G33*15)))
+SUMPRODUCT(H32:I32, TRANSPOSE(OFFSET(E.TPMs!$P$8:$P$9, INT(($F32-70)/5)*12, $G33*15)))</f>
        <v>1.5677218425382656E-2</v>
      </c>
      <c r="X33" s="141">
        <f t="shared" ca="1" si="40"/>
        <v>2.3263579940897429E-2</v>
      </c>
      <c r="Y33" s="141" cm="1">
        <f t="array" aca="1" ref="Y33" ca="1">SUMPRODUCT(H32:M32, TRANSPOSE(OFFSET(E.TPMs!$R$8:$R$13, INT(($F32-70)/5)*12, $G33*15)))
+SUMPRODUCT(H32:M32, TRANSPOSE(OFFSET(E.TPMs!$S$8:$S$13, INT(($F32-70)/5)*12, $G33*15)))</f>
        <v>1.066509738252526E-2</v>
      </c>
      <c r="Z33" s="141" cm="1">
        <f t="array" aca="1" ref="Z33" ca="1">SUMPRODUCT(H32:N32, TRANSPOSE(OFFSET(E.TPMs!$S$8:$S$14, INT(($F32-70)/5)*12, $G33*15)))</f>
        <v>7.4662353248809432E-3</v>
      </c>
      <c r="AB33" s="164">
        <f t="array" aca="1" ref="AB33:AM33" ca="1">MMULT(AB32:AM32, OFFSET(E.rngTPM_Root, INT(($F32-70)/5)*12, $G33*15))</f>
        <v>0.33650768576621465</v>
      </c>
      <c r="AC33" s="164">
        <f ca="1"/>
        <v>0</v>
      </c>
      <c r="AD33" s="164">
        <f ca="1"/>
        <v>1.2072111772636899E-2</v>
      </c>
      <c r="AE33" s="164">
        <f ca="1"/>
        <v>4.9740369062959786E-3</v>
      </c>
      <c r="AF33" s="164">
        <f ca="1"/>
        <v>4.2434592690923395E-4</v>
      </c>
      <c r="AG33" s="164">
        <f ca="1"/>
        <v>0.16139851919597492</v>
      </c>
      <c r="AH33" s="164">
        <f ca="1"/>
        <v>7.5833537883757227E-2</v>
      </c>
      <c r="AI33" s="164">
        <f ca="1"/>
        <v>0.1311309418150812</v>
      </c>
      <c r="AJ33" s="164">
        <f ca="1"/>
        <v>3.1076400261222823E-3</v>
      </c>
      <c r="AK33" s="164">
        <f ca="1"/>
        <v>3.6512054778420032E-2</v>
      </c>
      <c r="AL33" s="164">
        <f ca="1"/>
        <v>5.78552219303776E-2</v>
      </c>
      <c r="AM33" s="164">
        <f ca="1"/>
        <v>0.18018390399821047</v>
      </c>
      <c r="AN33" s="128">
        <f t="shared" ca="1" si="37"/>
        <v>1.0000000000000004</v>
      </c>
      <c r="AO33" s="141">
        <f t="shared" ca="1" si="38"/>
        <v>0.76196087407141244</v>
      </c>
      <c r="AP33" s="141">
        <f t="shared" ca="1" si="41"/>
        <v>0.23803912592858756</v>
      </c>
      <c r="AQ33" s="141" cm="1">
        <f t="array" aca="1" ref="AQ33" ca="1">SUMPRODUCT(AB32:AC32, TRANSPOSE(OFFSET(E.TPMs!$N$8:$N$9, INT(($F32-70)/5)*12, $G33*15)))
+SUMPRODUCT(AB32:AC32, TRANSPOSE(OFFSET(E.TPMs!$O$8:$O$9, INT(($F32-70)/5)*12, $G33*15)))
+SUMPRODUCT(AB32:AC32, TRANSPOSE(OFFSET(E.TPMs!$P$8:$P$9, INT(($F32-70)/5)*12, $G33*15)))</f>
        <v>1.2110934032442311E-2</v>
      </c>
      <c r="AR33" s="141">
        <f t="shared" ca="1" si="42"/>
        <v>1.7470494605842112E-2</v>
      </c>
      <c r="AS33" s="141" cm="1">
        <f t="array" aca="1" ref="AS33" ca="1">SUMPRODUCT(AB32:AG32, TRANSPOSE(OFFSET(E.TPMs!$R$8:$R$13, INT(($F32-70)/5)*12, $G33*15)))
+SUMPRODUCT(AB32:AG32, TRANSPOSE(OFFSET(E.TPMs!$S$8:$S$13, INT(($F32-70)/5)*12, $G33*15)))</f>
        <v>1.0447357038412153E-2</v>
      </c>
      <c r="AT33" s="141" cm="1">
        <f t="array" aca="1" ref="AT33" ca="1">SUMPRODUCT(AB32:AH32, TRANSPOSE(OFFSET(E.TPMs!$S$8:$S$14, INT(($F32-70)/5)*12, $G33*15)))</f>
        <v>7.5490949774471936E-3</v>
      </c>
    </row>
    <row r="34" spans="4:46" ht="12" customHeight="1" x14ac:dyDescent="0.25">
      <c r="D34" s="62">
        <f t="shared" si="43"/>
        <v>23</v>
      </c>
      <c r="E34" s="62">
        <f t="shared" si="33"/>
        <v>5.75</v>
      </c>
      <c r="F34" s="63">
        <f t="shared" si="34"/>
        <v>75.75</v>
      </c>
      <c r="G34" s="62">
        <f>IF(AND(E33&lt;E.maxDurHPE, E34&gt;=E.maxDurHPE), 1, 0)</f>
        <v>0</v>
      </c>
      <c r="H34" s="164">
        <f t="array" aca="1" ref="H34:S34" ca="1">MMULT(H33:S33, OFFSET(E.rngTPM_Root, INT(($F33-70)/5)*12, $G34*15))</f>
        <v>0</v>
      </c>
      <c r="I34" s="164">
        <f ca="1"/>
        <v>0.21230739757620368</v>
      </c>
      <c r="J34" s="164">
        <f ca="1"/>
        <v>1.5128937688020188E-2</v>
      </c>
      <c r="K34" s="164">
        <f ca="1"/>
        <v>6.279791818255236E-3</v>
      </c>
      <c r="L34" s="164">
        <f ca="1"/>
        <v>5.3832016154619884E-4</v>
      </c>
      <c r="M34" s="164">
        <f ca="1"/>
        <v>0.22930554175597762</v>
      </c>
      <c r="N34" s="164">
        <f ca="1"/>
        <v>8.233209368866129E-2</v>
      </c>
      <c r="O34" s="164">
        <f ca="1"/>
        <v>0.13194402785375606</v>
      </c>
      <c r="P34" s="164">
        <f ca="1"/>
        <v>3.2160372317581896E-3</v>
      </c>
      <c r="Q34" s="164">
        <f ca="1"/>
        <v>4.0735047107952095E-2</v>
      </c>
      <c r="R34" s="164">
        <f ca="1"/>
        <v>8.7897969290547148E-2</v>
      </c>
      <c r="S34" s="164">
        <f ca="1"/>
        <v>0.19031483582732184</v>
      </c>
      <c r="T34" s="128">
        <f t="shared" ca="1" si="35"/>
        <v>0.99999999999999956</v>
      </c>
      <c r="U34" s="141">
        <f t="shared" ca="1" si="36"/>
        <v>0.7217871948821305</v>
      </c>
      <c r="V34" s="141">
        <f t="shared" ca="1" si="39"/>
        <v>0.2782128051178695</v>
      </c>
      <c r="W34" s="141" cm="1">
        <f t="array" aca="1" ref="W34" ca="1">SUMPRODUCT(H33:I33, TRANSPOSE(OFFSET(E.TPMs!$N$8:$N$9, INT(($F33-70)/5)*12, $G34*15)))
+SUMPRODUCT(H33:I33, TRANSPOSE(OFFSET(E.TPMs!$O$8:$O$9, INT(($F33-70)/5)*12, $G34*15)))
+SUMPRODUCT(H33:I33, TRANSPOSE(OFFSET(E.TPMs!$P$8:$P$9, INT(($F33-70)/5)*12, $G34*15)))</f>
        <v>1.4264357587421284E-2</v>
      </c>
      <c r="X34" s="141">
        <f t="shared" ca="1" si="40"/>
        <v>2.1947049667821624E-2</v>
      </c>
      <c r="Y34" s="141" cm="1">
        <f t="array" aca="1" ref="Y34" ca="1">SUMPRODUCT(H33:M33, TRANSPOSE(OFFSET(E.TPMs!$R$8:$R$13, INT(($F33-70)/5)*12, $G34*15)))
+SUMPRODUCT(H33:M33, TRANSPOSE(OFFSET(E.TPMs!$S$8:$S$13, INT(($F33-70)/5)*12, $G34*15)))</f>
        <v>1.0143529492127563E-2</v>
      </c>
      <c r="Z34" s="141" cm="1">
        <f t="array" aca="1" ref="Z34" ca="1">SUMPRODUCT(H33:N33, TRANSPOSE(OFFSET(E.TPMs!$S$8:$S$14, INT(($F33-70)/5)*12, $G34*15)))</f>
        <v>7.2767683741027118E-3</v>
      </c>
      <c r="AB34" s="164">
        <f t="array" aca="1" ref="AB34:AM34" ca="1">MMULT(AB33:AM33, OFFSET(E.rngTPM_Root, INT(($F33-70)/5)*12, $G34*15))</f>
        <v>0.31540113140841181</v>
      </c>
      <c r="AC34" s="164">
        <f ca="1"/>
        <v>0</v>
      </c>
      <c r="AD34" s="164">
        <f ca="1"/>
        <v>1.1605837771605832E-2</v>
      </c>
      <c r="AE34" s="164">
        <f ca="1"/>
        <v>4.7819193933657436E-3</v>
      </c>
      <c r="AF34" s="164">
        <f ca="1"/>
        <v>4.07955963256836E-4</v>
      </c>
      <c r="AG34" s="164">
        <f ca="1"/>
        <v>0.1631792835371898</v>
      </c>
      <c r="AH34" s="164">
        <f ca="1"/>
        <v>7.5505212296264751E-2</v>
      </c>
      <c r="AI34" s="164">
        <f ca="1"/>
        <v>0.13228120119178283</v>
      </c>
      <c r="AJ34" s="164">
        <f ca="1"/>
        <v>3.1289215789666864E-3</v>
      </c>
      <c r="AK34" s="164">
        <f ca="1"/>
        <v>3.9151827030203826E-2</v>
      </c>
      <c r="AL34" s="164">
        <f ca="1"/>
        <v>6.1315313083954583E-2</v>
      </c>
      <c r="AM34" s="164">
        <f ca="1"/>
        <v>0.1932413967449978</v>
      </c>
      <c r="AN34" s="128">
        <f t="shared" ca="1" si="37"/>
        <v>1.0000000000000004</v>
      </c>
      <c r="AO34" s="141">
        <f t="shared" ca="1" si="38"/>
        <v>0.74544329017104816</v>
      </c>
      <c r="AP34" s="141">
        <f t="shared" ca="1" si="41"/>
        <v>0.25455670982895184</v>
      </c>
      <c r="AQ34" s="141" cm="1">
        <f t="array" aca="1" ref="AQ34" ca="1">SUMPRODUCT(AB33:AC33, TRANSPOSE(OFFSET(E.TPMs!$N$8:$N$9, INT(($F33-70)/5)*12, $G34*15)))
+SUMPRODUCT(AB33:AC33, TRANSPOSE(OFFSET(E.TPMs!$O$8:$O$9, INT(($F33-70)/5)*12, $G34*15)))
+SUMPRODUCT(AB33:AC33, TRANSPOSE(OFFSET(E.TPMs!$P$8:$P$9, INT(($F33-70)/5)*12, $G34*15)))</f>
        <v>1.1351307734762152E-2</v>
      </c>
      <c r="AR34" s="141">
        <f t="shared" ca="1" si="42"/>
        <v>1.6795713128228411E-2</v>
      </c>
      <c r="AS34" s="141" cm="1">
        <f t="array" aca="1" ref="AS34" ca="1">SUMPRODUCT(AB33:AG33, TRANSPOSE(OFFSET(E.TPMs!$R$8:$R$13, INT(($F33-70)/5)*12, $G34*15)))
+SUMPRODUCT(AB33:AG33, TRANSPOSE(OFFSET(E.TPMs!$S$8:$S$13, INT(($F33-70)/5)*12, $G34*15)))</f>
        <v>1.0027093592835851E-2</v>
      </c>
      <c r="AT34" s="141" cm="1">
        <f t="array" aca="1" ref="AT34" ca="1">SUMPRODUCT(AB33:AH33, TRANSPOSE(OFFSET(E.TPMs!$S$8:$S$14, INT(($F33-70)/5)*12, $G34*15)))</f>
        <v>7.3611357297922808E-3</v>
      </c>
    </row>
    <row r="35" spans="4:46" ht="12" customHeight="1" x14ac:dyDescent="0.25">
      <c r="D35" s="62">
        <f t="shared" si="43"/>
        <v>24</v>
      </c>
      <c r="E35" s="62">
        <f t="shared" si="33"/>
        <v>6</v>
      </c>
      <c r="F35" s="63">
        <f t="shared" si="34"/>
        <v>76</v>
      </c>
      <c r="G35" s="62">
        <f>IF(AND(E34&lt;E.maxDurHPE, E35&gt;=E.maxDurHPE), 1, 0)</f>
        <v>0</v>
      </c>
      <c r="H35" s="164">
        <f t="array" aca="1" ref="H35:S35" ca="1">MMULT(H34:S34, OFFSET(E.rngTPM_Root, INT(($F34-70)/5)*12, $G35*15))</f>
        <v>0</v>
      </c>
      <c r="I35" s="164">
        <f ca="1"/>
        <v>0.1931738498060678</v>
      </c>
      <c r="J35" s="164">
        <f ca="1"/>
        <v>1.4280130815460014E-2</v>
      </c>
      <c r="K35" s="164">
        <f ca="1"/>
        <v>5.9258913772804031E-3</v>
      </c>
      <c r="L35" s="164">
        <f ca="1"/>
        <v>5.0789586015954381E-4</v>
      </c>
      <c r="M35" s="164">
        <f ca="1"/>
        <v>0.22986558316380784</v>
      </c>
      <c r="N35" s="164">
        <f ca="1"/>
        <v>8.1673328814017843E-2</v>
      </c>
      <c r="O35" s="164">
        <f ca="1"/>
        <v>0.13279155516510815</v>
      </c>
      <c r="P35" s="164">
        <f ca="1"/>
        <v>3.228292611268029E-3</v>
      </c>
      <c r="Q35" s="164">
        <f ca="1"/>
        <v>4.343206731771581E-2</v>
      </c>
      <c r="R35" s="164">
        <f ca="1"/>
        <v>9.2252971288917213E-2</v>
      </c>
      <c r="S35" s="164">
        <f ca="1"/>
        <v>0.20286843378019689</v>
      </c>
      <c r="T35" s="128">
        <f t="shared" ca="1" si="35"/>
        <v>0.99999999999999956</v>
      </c>
      <c r="U35" s="141">
        <f t="shared" ca="1" si="36"/>
        <v>0.70487859493088545</v>
      </c>
      <c r="V35" s="141">
        <f t="shared" ca="1" si="39"/>
        <v>0.29512140506911455</v>
      </c>
      <c r="W35" s="141" cm="1">
        <f t="array" aca="1" ref="W35" ca="1">SUMPRODUCT(H34:I34, TRANSPOSE(OFFSET(E.TPMs!$N$8:$N$9, INT(($F34-70)/5)*12, $G35*15)))
+SUMPRODUCT(H34:I34, TRANSPOSE(OFFSET(E.TPMs!$O$8:$O$9, INT(($F34-70)/5)*12, $G35*15)))
+SUMPRODUCT(H34:I34, TRANSPOSE(OFFSET(E.TPMs!$P$8:$P$9, INT(($F34-70)/5)*12, $G35*15)))</f>
        <v>1.2978826464035613E-2</v>
      </c>
      <c r="X35" s="141">
        <f t="shared" ca="1" si="40"/>
        <v>2.071391805289996E-2</v>
      </c>
      <c r="Y35" s="141" cm="1">
        <f t="array" aca="1" ref="Y35" ca="1">SUMPRODUCT(H34:M34, TRANSPOSE(OFFSET(E.TPMs!$R$8:$R$13, INT(($F34-70)/5)*12, $G35*15)))
+SUMPRODUCT(H34:M34, TRANSPOSE(OFFSET(E.TPMs!$S$8:$S$13, INT(($F34-70)/5)*12, $G35*15)))</f>
        <v>9.6746526072266047E-3</v>
      </c>
      <c r="Z35" s="141" cm="1">
        <f t="array" aca="1" ref="Z35" ca="1">SUMPRODUCT(H34:N34, TRANSPOSE(OFFSET(E.TPMs!$S$8:$S$14, INT(($F34-70)/5)*12, $G35*15)))</f>
        <v>7.0825388804017664E-3</v>
      </c>
      <c r="AB35" s="164">
        <f t="array" aca="1" ref="AB35:AM35" ca="1">MMULT(AB34:AM34, OFFSET(E.rngTPM_Root, INT(($F34-70)/5)*12, $G35*15))</f>
        <v>0.29561842983526243</v>
      </c>
      <c r="AC35" s="164">
        <f ca="1"/>
        <v>0</v>
      </c>
      <c r="AD35" s="164">
        <f ca="1"/>
        <v>1.1155367418946394E-2</v>
      </c>
      <c r="AE35" s="164">
        <f ca="1"/>
        <v>4.5963134114530377E-3</v>
      </c>
      <c r="AF35" s="164">
        <f ca="1"/>
        <v>3.9212151250417825E-4</v>
      </c>
      <c r="AG35" s="164">
        <f ca="1"/>
        <v>0.16438857100745313</v>
      </c>
      <c r="AH35" s="164">
        <f ca="1"/>
        <v>7.4991081348132024E-2</v>
      </c>
      <c r="AI35" s="164">
        <f ca="1"/>
        <v>0.13319509674661742</v>
      </c>
      <c r="AJ35" s="164">
        <f ca="1"/>
        <v>3.1431882103882753E-3</v>
      </c>
      <c r="AK35" s="164">
        <f ca="1"/>
        <v>4.1781456531159104E-2</v>
      </c>
      <c r="AL35" s="164">
        <f ca="1"/>
        <v>6.4641761460153754E-2</v>
      </c>
      <c r="AM35" s="164">
        <f ca="1"/>
        <v>0.20609661251793079</v>
      </c>
      <c r="AN35" s="128">
        <f t="shared" ca="1" si="37"/>
        <v>1.0000000000000007</v>
      </c>
      <c r="AO35" s="141">
        <f t="shared" ca="1" si="38"/>
        <v>0.72926162602191602</v>
      </c>
      <c r="AP35" s="141">
        <f t="shared" ca="1" si="41"/>
        <v>0.27073837397808398</v>
      </c>
      <c r="AQ35" s="141" cm="1">
        <f t="array" aca="1" ref="AQ35" ca="1">SUMPRODUCT(AB34:AC34, TRANSPOSE(OFFSET(E.TPMs!$N$8:$N$9, INT(($F34-70)/5)*12, $G35*15)))
+SUMPRODUCT(AB34:AC34, TRANSPOSE(OFFSET(E.TPMs!$O$8:$O$9, INT(($F34-70)/5)*12, $G35*15)))
+SUMPRODUCT(AB34:AC34, TRANSPOSE(OFFSET(E.TPMs!$P$8:$P$9, INT(($F34-70)/5)*12, $G35*15)))</f>
        <v>1.0639326987010804E-2</v>
      </c>
      <c r="AR35" s="141">
        <f t="shared" ca="1" si="42"/>
        <v>1.6143802342903611E-2</v>
      </c>
      <c r="AS35" s="141" cm="1">
        <f t="array" aca="1" ref="AS35" ca="1">SUMPRODUCT(AB34:AG34, TRANSPOSE(OFFSET(E.TPMs!$R$8:$R$13, INT(($F34-70)/5)*12, $G35*15)))
+SUMPRODUCT(AB34:AG34, TRANSPOSE(OFFSET(E.TPMs!$S$8:$S$13, INT(($F34-70)/5)*12, $G35*15)))</f>
        <v>9.6383011237321792E-3</v>
      </c>
      <c r="AT35" s="141" cm="1">
        <f t="array" aca="1" ref="AT35" ca="1">SUMPRODUCT(AB34:AH34, TRANSPOSE(OFFSET(E.TPMs!$S$8:$S$14, INT(($F34-70)/5)*12, $G35*15)))</f>
        <v>7.1711125407298536E-3</v>
      </c>
    </row>
    <row r="36" spans="4:46" ht="12" customHeight="1" x14ac:dyDescent="0.25">
      <c r="D36" s="62">
        <f t="shared" si="43"/>
        <v>25</v>
      </c>
      <c r="E36" s="62">
        <f t="shared" si="33"/>
        <v>6.25</v>
      </c>
      <c r="F36" s="63">
        <f t="shared" si="34"/>
        <v>76.25</v>
      </c>
      <c r="G36" s="62">
        <f>IF(AND(E35&lt;E.maxDurHPE, E36&gt;=E.maxDurHPE), 1, 0)</f>
        <v>0</v>
      </c>
      <c r="H36" s="164">
        <f t="array" aca="1" ref="H36:S36" ca="1">MMULT(H35:S35, OFFSET(E.rngTPM_Root, INT(($F35-70)/5)*12, $G36*15))</f>
        <v>0</v>
      </c>
      <c r="I36" s="164">
        <f ca="1"/>
        <v>0.17576465386941276</v>
      </c>
      <c r="J36" s="164">
        <f ca="1"/>
        <v>1.3487929281929574E-2</v>
      </c>
      <c r="K36" s="164">
        <f ca="1"/>
        <v>5.595689589330816E-3</v>
      </c>
      <c r="L36" s="164">
        <f ca="1"/>
        <v>4.7951427634470038E-4</v>
      </c>
      <c r="M36" s="164">
        <f ca="1"/>
        <v>0.22955131727156686</v>
      </c>
      <c r="N36" s="164">
        <f ca="1"/>
        <v>8.0791507430547194E-2</v>
      </c>
      <c r="O36" s="164">
        <f ca="1"/>
        <v>0.13341219399329157</v>
      </c>
      <c r="P36" s="164">
        <f ca="1"/>
        <v>3.2332746782967759E-3</v>
      </c>
      <c r="Q36" s="164">
        <f ca="1"/>
        <v>4.6109349153724062E-2</v>
      </c>
      <c r="R36" s="164">
        <f ca="1"/>
        <v>9.6362998100155514E-2</v>
      </c>
      <c r="S36" s="164">
        <f ca="1"/>
        <v>0.21521157235539973</v>
      </c>
      <c r="T36" s="128">
        <f t="shared" ca="1" si="35"/>
        <v>0.99999999999999956</v>
      </c>
      <c r="U36" s="141">
        <f t="shared" ca="1" si="36"/>
        <v>0.6884254295444443</v>
      </c>
      <c r="V36" s="141">
        <f t="shared" ca="1" si="39"/>
        <v>0.3115745704555557</v>
      </c>
      <c r="W36" s="141" cm="1">
        <f t="array" aca="1" ref="W36" ca="1">SUMPRODUCT(H35:I35, TRANSPOSE(OFFSET(E.TPMs!$N$8:$N$9, INT(($F35-70)/5)*12, $G36*15)))
+SUMPRODUCT(H35:I35, TRANSPOSE(OFFSET(E.TPMs!$O$8:$O$9, INT(($F35-70)/5)*12, $G36*15)))
+SUMPRODUCT(H35:I35, TRANSPOSE(OFFSET(E.TPMs!$P$8:$P$9, INT(($F35-70)/5)*12, $G36*15)))</f>
        <v>1.1809149858392159E-2</v>
      </c>
      <c r="X36" s="141">
        <f t="shared" ca="1" si="40"/>
        <v>1.9563133147605091E-2</v>
      </c>
      <c r="Y36" s="141" cm="1">
        <f t="array" aca="1" ref="Y36" ca="1">SUMPRODUCT(H35:M35, TRANSPOSE(OFFSET(E.TPMs!$R$8:$R$13, INT(($F35-70)/5)*12, $G36*15)))
+SUMPRODUCT(H35:M35, TRANSPOSE(OFFSET(E.TPMs!$S$8:$S$13, INT(($F35-70)/5)*12, $G36*15)))</f>
        <v>9.230206871825174E-3</v>
      </c>
      <c r="Z36" s="141" cm="1">
        <f t="array" aca="1" ref="Z36" ca="1">SUMPRODUCT(H35:N35, TRANSPOSE(OFFSET(E.TPMs!$S$8:$S$14, INT(($F35-70)/5)*12, $G36*15)))</f>
        <v>6.8871609519548082E-3</v>
      </c>
      <c r="AB36" s="164">
        <f t="array" aca="1" ref="AB36:AM36" ca="1">MMULT(AB35:AM35, OFFSET(E.rngTPM_Root, INT(($F35-70)/5)*12, $G36*15))</f>
        <v>0.27707654588310476</v>
      </c>
      <c r="AC36" s="164">
        <f ca="1"/>
        <v>0</v>
      </c>
      <c r="AD36" s="164">
        <f ca="1"/>
        <v>1.0722434411093398E-2</v>
      </c>
      <c r="AE36" s="164">
        <f ca="1"/>
        <v>4.4179332904293444E-3</v>
      </c>
      <c r="AF36" s="164">
        <f ca="1"/>
        <v>3.7690351568912274E-4</v>
      </c>
      <c r="AG36" s="164">
        <f ca="1"/>
        <v>0.16507780963211191</v>
      </c>
      <c r="AH36" s="164">
        <f ca="1"/>
        <v>7.4313077867097121E-2</v>
      </c>
      <c r="AI36" s="164">
        <f ca="1"/>
        <v>0.13388414449673444</v>
      </c>
      <c r="AJ36" s="164">
        <f ca="1"/>
        <v>3.1511634077243103E-3</v>
      </c>
      <c r="AK36" s="164">
        <f ca="1"/>
        <v>4.4394130974294295E-2</v>
      </c>
      <c r="AL36" s="164">
        <f ca="1"/>
        <v>6.7839096677732372E-2</v>
      </c>
      <c r="AM36" s="164">
        <f ca="1"/>
        <v>0.2187467598439895</v>
      </c>
      <c r="AN36" s="128">
        <f t="shared" ca="1" si="37"/>
        <v>1.0000000000000004</v>
      </c>
      <c r="AO36" s="141">
        <f t="shared" ca="1" si="38"/>
        <v>0.7134141434782787</v>
      </c>
      <c r="AP36" s="141">
        <f t="shared" ca="1" si="41"/>
        <v>0.2865858565217213</v>
      </c>
      <c r="AQ36" s="141" cm="1">
        <f t="array" aca="1" ref="AQ36" ca="1">SUMPRODUCT(AB35:AC35, TRANSPOSE(OFFSET(E.TPMs!$N$8:$N$9, INT(($F35-70)/5)*12, $G36*15)))
+SUMPRODUCT(AB35:AC35, TRANSPOSE(OFFSET(E.TPMs!$O$8:$O$9, INT(($F35-70)/5)*12, $G36*15)))
+SUMPRODUCT(AB35:AC35, TRANSPOSE(OFFSET(E.TPMs!$P$8:$P$9, INT(($F35-70)/5)*12, $G36*15)))</f>
        <v>9.9720033481154012E-3</v>
      </c>
      <c r="AR36" s="141">
        <f t="shared" ca="1" si="42"/>
        <v>1.5517271217211866E-2</v>
      </c>
      <c r="AS36" s="141" cm="1">
        <f t="array" aca="1" ref="AS36" ca="1">SUMPRODUCT(AB35:AG35, TRANSPOSE(OFFSET(E.TPMs!$R$8:$R$13, INT(($F35-70)/5)*12, $G36*15)))
+SUMPRODUCT(AB35:AG35, TRANSPOSE(OFFSET(E.TPMs!$S$8:$S$13, INT(($F35-70)/5)*12, $G36*15)))</f>
        <v>9.2642349609391682E-3</v>
      </c>
      <c r="AT36" s="141" cm="1">
        <f t="array" aca="1" ref="AT36" ca="1">SUMPRODUCT(AB35:AH35, TRANSPOSE(OFFSET(E.TPMs!$S$8:$S$14, INT(($F35-70)/5)*12, $G36*15)))</f>
        <v>6.9812193456118485E-3</v>
      </c>
    </row>
    <row r="37" spans="4:46" ht="12" customHeight="1" x14ac:dyDescent="0.25">
      <c r="D37" s="62">
        <f t="shared" si="43"/>
        <v>26</v>
      </c>
      <c r="E37" s="62">
        <f t="shared" si="33"/>
        <v>6.5</v>
      </c>
      <c r="F37" s="63">
        <f t="shared" si="34"/>
        <v>76.5</v>
      </c>
      <c r="G37" s="62">
        <f>IF(AND(E36&lt;E.maxDurHPE, E37&gt;=E.maxDurHPE), 1, 0)</f>
        <v>0</v>
      </c>
      <c r="H37" s="164">
        <f t="array" aca="1" ref="H37:S37" ca="1">MMULT(H36:S36, OFFSET(E.rngTPM_Root, INT(($F36-70)/5)*12, $G37*15))</f>
        <v>0</v>
      </c>
      <c r="I37" s="164">
        <f ca="1"/>
        <v>0.15992440788879533</v>
      </c>
      <c r="J37" s="164">
        <f ca="1"/>
        <v>1.2747919450166432E-2</v>
      </c>
      <c r="K37" s="164">
        <f ca="1"/>
        <v>5.2873340556839378E-3</v>
      </c>
      <c r="L37" s="164">
        <f ca="1"/>
        <v>4.5301549133240995E-4</v>
      </c>
      <c r="M37" s="164">
        <f ca="1"/>
        <v>0.22847359734851594</v>
      </c>
      <c r="N37" s="164">
        <f ca="1"/>
        <v>7.9719230062378257E-2</v>
      </c>
      <c r="O37" s="164">
        <f ca="1"/>
        <v>0.13381652176659012</v>
      </c>
      <c r="P37" s="164">
        <f ca="1"/>
        <v>3.231624551015647E-3</v>
      </c>
      <c r="Q37" s="164">
        <f ca="1"/>
        <v>4.8759938283679298E-2</v>
      </c>
      <c r="R37" s="164">
        <f ca="1"/>
        <v>0.10024442629596925</v>
      </c>
      <c r="S37" s="164">
        <f ca="1"/>
        <v>0.22734198480587292</v>
      </c>
      <c r="T37" s="128">
        <f t="shared" ca="1" si="35"/>
        <v>0.99999999999999956</v>
      </c>
      <c r="U37" s="141">
        <f t="shared" ca="1" si="36"/>
        <v>0.67241358889815739</v>
      </c>
      <c r="V37" s="141">
        <f t="shared" ca="1" si="39"/>
        <v>0.32758641110184261</v>
      </c>
      <c r="W37" s="141" cm="1">
        <f t="array" aca="1" ref="W37" ca="1">SUMPRODUCT(H36:I36, TRANSPOSE(OFFSET(E.TPMs!$N$8:$N$9, INT(($F36-70)/5)*12, $G37*15)))
+SUMPRODUCT(H36:I36, TRANSPOSE(OFFSET(E.TPMs!$O$8:$O$9, INT(($F36-70)/5)*12, $G37*15)))
+SUMPRODUCT(H36:I36, TRANSPOSE(OFFSET(E.TPMs!$P$8:$P$9, INT(($F36-70)/5)*12, $G37*15)))</f>
        <v>1.0744886740291722E-2</v>
      </c>
      <c r="X37" s="141">
        <f t="shared" ca="1" si="40"/>
        <v>1.8488268997182779E-2</v>
      </c>
      <c r="Y37" s="141" cm="1">
        <f t="array" aca="1" ref="Y37" ca="1">SUMPRODUCT(H36:M36, TRANSPOSE(OFFSET(E.TPMs!$R$8:$R$13, INT(($F36-70)/5)*12, $G37*15)))
+SUMPRODUCT(H36:M36, TRANSPOSE(OFFSET(E.TPMs!$S$8:$S$13, INT(($F36-70)/5)*12, $G37*15)))</f>
        <v>8.809239224458594E-3</v>
      </c>
      <c r="Z37" s="141" cm="1">
        <f t="array" aca="1" ref="Z37" ca="1">SUMPRODUCT(H36:N36, TRANSPOSE(OFFSET(E.TPMs!$S$8:$S$14, INT(($F36-70)/5)*12, $G37*15)))</f>
        <v>6.6914679625086695E-3</v>
      </c>
      <c r="AB37" s="164">
        <f t="array" aca="1" ref="AB37:AM37" ca="1">MMULT(AB36:AM36, OFFSET(E.rngTPM_Root, INT(($F36-70)/5)*12, $G37*15))</f>
        <v>0.25969765254924809</v>
      </c>
      <c r="AC37" s="164">
        <f ca="1"/>
        <v>0</v>
      </c>
      <c r="AD37" s="164">
        <f ca="1"/>
        <v>1.030630200824314E-2</v>
      </c>
      <c r="AE37" s="164">
        <f ca="1"/>
        <v>4.2464754735480901E-3</v>
      </c>
      <c r="AF37" s="164">
        <f ca="1"/>
        <v>3.6227607572416888E-4</v>
      </c>
      <c r="AG37" s="164">
        <f ca="1"/>
        <v>0.16529691131183613</v>
      </c>
      <c r="AH37" s="164">
        <f ca="1"/>
        <v>7.3491555760460903E-2</v>
      </c>
      <c r="AI37" s="164">
        <f ca="1"/>
        <v>0.13435979393878358</v>
      </c>
      <c r="AJ37" s="164">
        <f ca="1"/>
        <v>3.1533245624870134E-3</v>
      </c>
      <c r="AK37" s="164">
        <f ca="1"/>
        <v>4.6983833442641731E-2</v>
      </c>
      <c r="AL37" s="164">
        <f ca="1"/>
        <v>7.0912345265003354E-2</v>
      </c>
      <c r="AM37" s="164">
        <f ca="1"/>
        <v>0.23118952961202441</v>
      </c>
      <c r="AN37" s="128">
        <f t="shared" ca="1" si="37"/>
        <v>1.0000000000000004</v>
      </c>
      <c r="AO37" s="141">
        <f t="shared" ca="1" si="38"/>
        <v>0.69789812512297278</v>
      </c>
      <c r="AP37" s="141">
        <f t="shared" ca="1" si="41"/>
        <v>0.30210187487702722</v>
      </c>
      <c r="AQ37" s="141" cm="1">
        <f t="array" aca="1" ref="AQ37" ca="1">SUMPRODUCT(AB36:AC36, TRANSPOSE(OFFSET(E.TPMs!$N$8:$N$9, INT(($F36-70)/5)*12, $G37*15)))
+SUMPRODUCT(AB36:AC36, TRANSPOSE(OFFSET(E.TPMs!$O$8:$O$9, INT(($F36-70)/5)*12, $G37*15)))
+SUMPRODUCT(AB36:AC36, TRANSPOSE(OFFSET(E.TPMs!$P$8:$P$9, INT(($F36-70)/5)*12, $G37*15)))</f>
        <v>9.3465358190634347E-3</v>
      </c>
      <c r="AR37" s="141">
        <f t="shared" ca="1" si="42"/>
        <v>1.4915053557515399E-2</v>
      </c>
      <c r="AS37" s="141" cm="1">
        <f t="array" aca="1" ref="AS37" ca="1">SUMPRODUCT(AB36:AG36, TRANSPOSE(OFFSET(E.TPMs!$R$8:$R$13, INT(($F36-70)/5)*12, $G37*15)))
+SUMPRODUCT(AB36:AG36, TRANSPOSE(OFFSET(E.TPMs!$S$8:$S$13, INT(($F36-70)/5)*12, $G37*15)))</f>
        <v>8.9046947900657102E-3</v>
      </c>
      <c r="AT37" s="141" cm="1">
        <f t="array" aca="1" ref="AT37" ca="1">SUMPRODUCT(AB36:AH36, TRANSPOSE(OFFSET(E.TPMs!$S$8:$S$14, INT(($F36-70)/5)*12, $G37*15)))</f>
        <v>6.7919687338781265E-3</v>
      </c>
    </row>
    <row r="38" spans="4:46" ht="12" customHeight="1" x14ac:dyDescent="0.25">
      <c r="D38" s="62">
        <f t="shared" si="43"/>
        <v>27</v>
      </c>
      <c r="E38" s="62">
        <f t="shared" si="33"/>
        <v>6.75</v>
      </c>
      <c r="F38" s="63">
        <f t="shared" si="34"/>
        <v>76.75</v>
      </c>
      <c r="G38" s="62">
        <f>IF(AND(E37&lt;E.maxDurHPE, E38&gt;=E.maxDurHPE), 1, 0)</f>
        <v>0</v>
      </c>
      <c r="H38" s="164">
        <f t="array" aca="1" ref="H38:S38" ca="1">MMULT(H37:S37, OFFSET(E.rngTPM_Root, INT(($F37-70)/5)*12, $G38*15))</f>
        <v>0</v>
      </c>
      <c r="I38" s="164">
        <f ca="1"/>
        <v>0.14551171510048747</v>
      </c>
      <c r="J38" s="164">
        <f ca="1"/>
        <v>1.2056144977430031E-2</v>
      </c>
      <c r="K38" s="164">
        <f ca="1"/>
        <v>4.9991638469298084E-3</v>
      </c>
      <c r="L38" s="164">
        <f ca="1"/>
        <v>4.2825609104148101E-4</v>
      </c>
      <c r="M38" s="164">
        <f ca="1"/>
        <v>0.22673195370812832</v>
      </c>
      <c r="N38" s="164">
        <f ca="1"/>
        <v>7.8485543122940968E-2</v>
      </c>
      <c r="O38" s="164">
        <f ca="1"/>
        <v>0.13401536245378773</v>
      </c>
      <c r="P38" s="164">
        <f ca="1"/>
        <v>3.2239459396701999E-3</v>
      </c>
      <c r="Q38" s="164">
        <f ca="1"/>
        <v>5.1377596046009347E-2</v>
      </c>
      <c r="R38" s="164">
        <f ca="1"/>
        <v>0.10391235368033343</v>
      </c>
      <c r="S38" s="164">
        <f ca="1"/>
        <v>0.23925796503324079</v>
      </c>
      <c r="T38" s="128">
        <f t="shared" ca="1" si="35"/>
        <v>0.99999999999999967</v>
      </c>
      <c r="U38" s="141">
        <f t="shared" ca="1" si="36"/>
        <v>0.65682968128642538</v>
      </c>
      <c r="V38" s="141">
        <f t="shared" ca="1" si="39"/>
        <v>0.34317031871357462</v>
      </c>
      <c r="W38" s="141" cm="1">
        <f t="array" aca="1" ref="W38" ca="1">SUMPRODUCT(H37:I37, TRANSPOSE(OFFSET(E.TPMs!$N$8:$N$9, INT(($F37-70)/5)*12, $G38*15)))
+SUMPRODUCT(H37:I37, TRANSPOSE(OFFSET(E.TPMs!$O$8:$O$9, INT(($F37-70)/5)*12, $G38*15)))
+SUMPRODUCT(H37:I37, TRANSPOSE(OFFSET(E.TPMs!$P$8:$P$9, INT(($F37-70)/5)*12, $G38*15)))</f>
        <v>9.7765370450990253E-3</v>
      </c>
      <c r="X38" s="141">
        <f t="shared" ca="1" si="40"/>
        <v>1.7483564915401321E-2</v>
      </c>
      <c r="Y38" s="141" cm="1">
        <f t="array" aca="1" ref="Y38" ca="1">SUMPRODUCT(H37:M37, TRANSPOSE(OFFSET(E.TPMs!$R$8:$R$13, INT(($F37-70)/5)*12, $G38*15)))
+SUMPRODUCT(H37:M37, TRANSPOSE(OFFSET(E.TPMs!$S$8:$S$13, INT(($F37-70)/5)*12, $G38*15)))</f>
        <v>8.4102637714186992E-3</v>
      </c>
      <c r="Z38" s="141" cm="1">
        <f t="array" aca="1" ref="Z38" ca="1">SUMPRODUCT(H37:N37, TRANSPOSE(OFFSET(E.TPMs!$S$8:$S$14, INT(($F37-70)/5)*12, $G38*15)))</f>
        <v>6.4962408989894744E-3</v>
      </c>
      <c r="AB38" s="164">
        <f t="array" aca="1" ref="AB38:AM38" ca="1">MMULT(AB37:AM37, OFFSET(E.rngTPM_Root, INT(($F37-70)/5)*12, $G38*15))</f>
        <v>0.24340880432385395</v>
      </c>
      <c r="AC38" s="164">
        <f ca="1"/>
        <v>0</v>
      </c>
      <c r="AD38" s="164">
        <f ca="1"/>
        <v>9.9063195293191426E-3</v>
      </c>
      <c r="AE38" s="164">
        <f ca="1"/>
        <v>4.0816718625883855E-3</v>
      </c>
      <c r="AF38" s="164">
        <f ca="1"/>
        <v>3.4821632056590606E-4</v>
      </c>
      <c r="AG38" s="164">
        <f ca="1"/>
        <v>0.16509193087150137</v>
      </c>
      <c r="AH38" s="164">
        <f ca="1"/>
        <v>7.2545004999242269E-2</v>
      </c>
      <c r="AI38" s="164">
        <f ca="1"/>
        <v>0.13463340825368397</v>
      </c>
      <c r="AJ38" s="164">
        <f ca="1"/>
        <v>3.1501270438424782E-3</v>
      </c>
      <c r="AK38" s="164">
        <f ca="1"/>
        <v>4.9545089826834053E-2</v>
      </c>
      <c r="AL38" s="164">
        <f ca="1"/>
        <v>7.3866322586986471E-2</v>
      </c>
      <c r="AM38" s="164">
        <f ca="1"/>
        <v>0.24342310438158263</v>
      </c>
      <c r="AN38" s="128">
        <f t="shared" ca="1" si="37"/>
        <v>1.0000000000000007</v>
      </c>
      <c r="AO38" s="141">
        <f t="shared" ca="1" si="38"/>
        <v>0.68271057303143157</v>
      </c>
      <c r="AP38" s="141">
        <f t="shared" ca="1" si="41"/>
        <v>0.31728942696856843</v>
      </c>
      <c r="AQ38" s="141" cm="1">
        <f t="array" aca="1" ref="AQ38" ca="1">SUMPRODUCT(AB37:AC37, TRANSPOSE(OFFSET(E.TPMs!$N$8:$N$9, INT(($F37-70)/5)*12, $G38*15)))
+SUMPRODUCT(AB37:AC37, TRANSPOSE(OFFSET(E.TPMs!$O$8:$O$9, INT(($F37-70)/5)*12, $G38*15)))
+SUMPRODUCT(AB37:AC37, TRANSPOSE(OFFSET(E.TPMs!$P$8:$P$9, INT(($F37-70)/5)*12, $G38*15)))</f>
        <v>8.7602990860954182E-3</v>
      </c>
      <c r="AR38" s="141">
        <f t="shared" ca="1" si="42"/>
        <v>1.4336207712473435E-2</v>
      </c>
      <c r="AS38" s="141" cm="1">
        <f t="array" aca="1" ref="AS38" ca="1">SUMPRODUCT(AB37:AG37, TRANSPOSE(OFFSET(E.TPMs!$R$8:$R$13, INT(($F37-70)/5)*12, $G38*15)))
+SUMPRODUCT(AB37:AG37, TRANSPOSE(OFFSET(E.TPMs!$S$8:$S$13, INT(($F37-70)/5)*12, $G38*15)))</f>
        <v>8.5591079879556962E-3</v>
      </c>
      <c r="AT38" s="141" cm="1">
        <f t="array" aca="1" ref="AT38" ca="1">SUMPRODUCT(AB37:AH37, TRANSPOSE(OFFSET(E.TPMs!$S$8:$S$14, INT(($F37-70)/5)*12, $G38*15)))</f>
        <v>6.6038483456427287E-3</v>
      </c>
    </row>
    <row r="39" spans="4:46" ht="12" customHeight="1" x14ac:dyDescent="0.25">
      <c r="D39" s="62">
        <f t="shared" si="43"/>
        <v>28</v>
      </c>
      <c r="E39" s="62">
        <f t="shared" si="33"/>
        <v>7</v>
      </c>
      <c r="F39" s="63">
        <f t="shared" si="34"/>
        <v>77</v>
      </c>
      <c r="G39" s="62">
        <f>IF(AND(E38&lt;E.maxDurHPE, E39&gt;=E.maxDurHPE), 1, 0)</f>
        <v>0</v>
      </c>
      <c r="H39" s="164">
        <f t="array" aca="1" ref="H39:S39" ca="1">MMULT(H38:S38, OFFSET(E.rngTPM_Root, INT(($F38-70)/5)*12, $G39*15))</f>
        <v>0</v>
      </c>
      <c r="I39" s="164">
        <f ca="1"/>
        <v>0.13239792168690534</v>
      </c>
      <c r="J39" s="164">
        <f ca="1"/>
        <v>1.1408975011072513E-2</v>
      </c>
      <c r="K39" s="164">
        <f ca="1"/>
        <v>4.7296549209626289E-3</v>
      </c>
      <c r="L39" s="164">
        <f ca="1"/>
        <v>4.0510449424584682E-4</v>
      </c>
      <c r="M39" s="164">
        <f ca="1"/>
        <v>0.22441575644169096</v>
      </c>
      <c r="N39" s="164">
        <f ca="1"/>
        <v>7.7116307507930734E-2</v>
      </c>
      <c r="O39" s="164">
        <f ca="1"/>
        <v>0.13401967185066516</v>
      </c>
      <c r="P39" s="164">
        <f ca="1"/>
        <v>3.2107993982566779E-3</v>
      </c>
      <c r="Q39" s="164">
        <f ca="1"/>
        <v>5.3956754032356877E-2</v>
      </c>
      <c r="R39" s="164">
        <f ca="1"/>
        <v>0.1073807315966261</v>
      </c>
      <c r="S39" s="164">
        <f ca="1"/>
        <v>0.25095832305928673</v>
      </c>
      <c r="T39" s="128">
        <f t="shared" ca="1" si="35"/>
        <v>0.99999999999999956</v>
      </c>
      <c r="U39" s="141">
        <f t="shared" ca="1" si="36"/>
        <v>0.64166094534408669</v>
      </c>
      <c r="V39" s="141">
        <f t="shared" ca="1" si="39"/>
        <v>0.35833905465591331</v>
      </c>
      <c r="W39" s="141" cm="1">
        <f t="array" aca="1" ref="W39" ca="1">SUMPRODUCT(H38:I38, TRANSPOSE(OFFSET(E.TPMs!$N$8:$N$9, INT(($F38-70)/5)*12, $G39*15)))
+SUMPRODUCT(H38:I38, TRANSPOSE(OFFSET(E.TPMs!$O$8:$O$9, INT(($F38-70)/5)*12, $G39*15)))
+SUMPRODUCT(H38:I38, TRANSPOSE(OFFSET(E.TPMs!$P$8:$P$9, INT(($F38-70)/5)*12, $G39*15)))</f>
        <v>8.8954568721306589E-3</v>
      </c>
      <c r="X39" s="141">
        <f t="shared" ca="1" si="40"/>
        <v>1.6543734426280987E-2</v>
      </c>
      <c r="Y39" s="141" cm="1">
        <f t="array" aca="1" ref="Y39" ca="1">SUMPRODUCT(H38:M38, TRANSPOSE(OFFSET(E.TPMs!$R$8:$R$13, INT(($F38-70)/5)*12, $G39*15)))
+SUMPRODUCT(H38:M38, TRANSPOSE(OFFSET(E.TPMs!$S$8:$S$13, INT(($F38-70)/5)*12, $G39*15)))</f>
        <v>8.0319177173088924E-3</v>
      </c>
      <c r="Z39" s="141" cm="1">
        <f t="array" aca="1" ref="Z39" ca="1">SUMPRODUCT(H38:N38, TRANSPOSE(OFFSET(E.TPMs!$S$8:$S$14, INT(($F38-70)/5)*12, $G39*15)))</f>
        <v>6.3021555875536041E-3</v>
      </c>
      <c r="AB39" s="164">
        <f t="array" aca="1" ref="AB39:AM39" ca="1">MMULT(AB38:AM38, OFFSET(E.rngTPM_Root, INT(($F38-70)/5)*12, $G39*15))</f>
        <v>0.22814163101121093</v>
      </c>
      <c r="AC39" s="164">
        <f ca="1"/>
        <v>0</v>
      </c>
      <c r="AD39" s="164">
        <f ca="1"/>
        <v>9.5218601716743657E-3</v>
      </c>
      <c r="AE39" s="164">
        <f ca="1"/>
        <v>3.9232641978887853E-3</v>
      </c>
      <c r="AF39" s="164">
        <f ca="1"/>
        <v>3.347022175198682E-4</v>
      </c>
      <c r="AG39" s="164">
        <f ca="1"/>
        <v>0.16450539284579319</v>
      </c>
      <c r="AH39" s="164">
        <f ca="1"/>
        <v>7.1490215269059285E-2</v>
      </c>
      <c r="AI39" s="164">
        <f ca="1"/>
        <v>0.13471621157766905</v>
      </c>
      <c r="AJ39" s="164">
        <f ca="1"/>
        <v>3.1420000972144108E-3</v>
      </c>
      <c r="AK39" s="164">
        <f ca="1"/>
        <v>5.2072940652820837E-2</v>
      </c>
      <c r="AL39" s="164">
        <f ca="1"/>
        <v>7.6705657511435821E-2</v>
      </c>
      <c r="AM39" s="164">
        <f ca="1"/>
        <v>0.25544612444771408</v>
      </c>
      <c r="AN39" s="128">
        <f t="shared" ca="1" si="37"/>
        <v>1.0000000000000004</v>
      </c>
      <c r="AO39" s="141">
        <f t="shared" ca="1" si="38"/>
        <v>0.66784821804085071</v>
      </c>
      <c r="AP39" s="141">
        <f t="shared" ca="1" si="41"/>
        <v>0.33215178195914929</v>
      </c>
      <c r="AQ39" s="141" cm="1">
        <f t="array" aca="1" ref="AQ39" ca="1">SUMPRODUCT(AB38:AC38, TRANSPOSE(OFFSET(E.TPMs!$N$8:$N$9, INT(($F38-70)/5)*12, $G39*15)))
+SUMPRODUCT(AB38:AC38, TRANSPOSE(OFFSET(E.TPMs!$O$8:$O$9, INT(($F38-70)/5)*12, $G39*15)))
+SUMPRODUCT(AB38:AC38, TRANSPOSE(OFFSET(E.TPMs!$P$8:$P$9, INT(($F38-70)/5)*12, $G39*15)))</f>
        <v>8.2108325013121475E-3</v>
      </c>
      <c r="AR39" s="141">
        <f t="shared" ca="1" si="42"/>
        <v>1.3779826587083018E-2</v>
      </c>
      <c r="AS39" s="141" cm="1">
        <f t="array" aca="1" ref="AS39" ca="1">SUMPRODUCT(AB38:AG38, TRANSPOSE(OFFSET(E.TPMs!$R$8:$R$13, INT(($F38-70)/5)*12, $G39*15)))
+SUMPRODUCT(AB38:AG38, TRANSPOSE(OFFSET(E.TPMs!$S$8:$S$13, INT(($F38-70)/5)*12, $G39*15)))</f>
        <v>8.2269332435386689E-3</v>
      </c>
      <c r="AT39" s="141" cm="1">
        <f t="array" aca="1" ref="AT39" ca="1">SUMPRODUCT(AB38:AH38, TRANSPOSE(OFFSET(E.TPMs!$S$8:$S$14, INT(($F38-70)/5)*12, $G39*15)))</f>
        <v>6.4172870796551582E-3</v>
      </c>
    </row>
    <row r="40" spans="4:46" ht="12" customHeight="1" x14ac:dyDescent="0.25">
      <c r="D40" s="62">
        <f t="shared" si="43"/>
        <v>29</v>
      </c>
      <c r="E40" s="62">
        <f t="shared" si="33"/>
        <v>7.25</v>
      </c>
      <c r="F40" s="63">
        <f t="shared" si="34"/>
        <v>77.25</v>
      </c>
      <c r="G40" s="62">
        <f>IF(AND(E39&lt;E.maxDurHPE, E40&gt;=E.maxDurHPE), 1, 0)</f>
        <v>0</v>
      </c>
      <c r="H40" s="164">
        <f t="array" aca="1" ref="H40:S40" ca="1">MMULT(H39:S39, OFFSET(E.rngTPM_Root, INT(($F39-70)/5)*12, $G40*15))</f>
        <v>0</v>
      </c>
      <c r="I40" s="164">
        <f ca="1"/>
        <v>0.12046596835798823</v>
      </c>
      <c r="J40" s="164">
        <f ca="1"/>
        <v>1.0803078171363922E-2</v>
      </c>
      <c r="K40" s="164">
        <f ca="1"/>
        <v>4.4774091529702423E-3</v>
      </c>
      <c r="L40" s="164">
        <f ca="1"/>
        <v>3.8344000275712274E-4</v>
      </c>
      <c r="M40" s="164">
        <f ca="1"/>
        <v>0.2216051751084786</v>
      </c>
      <c r="N40" s="164">
        <f ca="1"/>
        <v>7.5634515485971374E-2</v>
      </c>
      <c r="O40" s="164">
        <f ca="1"/>
        <v>0.13384044075325732</v>
      </c>
      <c r="P40" s="164">
        <f ca="1"/>
        <v>3.1927053569989162E-3</v>
      </c>
      <c r="Q40" s="164">
        <f ca="1"/>
        <v>5.6492463525961094E-2</v>
      </c>
      <c r="R40" s="164">
        <f ca="1"/>
        <v>0.11066245934559454</v>
      </c>
      <c r="S40" s="164">
        <f ca="1"/>
        <v>0.26244234473865818</v>
      </c>
      <c r="T40" s="128">
        <f t="shared" ca="1" si="35"/>
        <v>0.99999999999999933</v>
      </c>
      <c r="U40" s="141">
        <f t="shared" ca="1" si="36"/>
        <v>0.62689519591574672</v>
      </c>
      <c r="V40" s="141">
        <f t="shared" ca="1" si="39"/>
        <v>0.37310480408425328</v>
      </c>
      <c r="W40" s="141" cm="1">
        <f t="array" aca="1" ref="W40" ca="1">SUMPRODUCT(H39:I39, TRANSPOSE(OFFSET(E.TPMs!$N$8:$N$9, INT(($F39-70)/5)*12, $G40*15)))
+SUMPRODUCT(H39:I39, TRANSPOSE(OFFSET(E.TPMs!$O$8:$O$9, INT(($F39-70)/5)*12, $G40*15)))
+SUMPRODUCT(H39:I39, TRANSPOSE(OFFSET(E.TPMs!$P$8:$P$9, INT(($F39-70)/5)*12, $G40*15)))</f>
        <v>8.0937813255260935E-3</v>
      </c>
      <c r="X40" s="141">
        <f t="shared" ca="1" si="40"/>
        <v>1.5663927327091286E-2</v>
      </c>
      <c r="Y40" s="141" cm="1">
        <f t="array" aca="1" ref="Y40" ca="1">SUMPRODUCT(H39:M39, TRANSPOSE(OFFSET(E.TPMs!$R$8:$R$13, INT(($F39-70)/5)*12, $G40*15)))
+SUMPRODUCT(H39:M39, TRANSPOSE(OFFSET(E.TPMs!$S$8:$S$13, INT(($F39-70)/5)*12, $G40*15)))</f>
        <v>7.6729367281741165E-3</v>
      </c>
      <c r="Z40" s="141" cm="1">
        <f t="array" aca="1" ref="Z40" ca="1">SUMPRODUCT(H39:N39, TRANSPOSE(OFFSET(E.TPMs!$S$8:$S$14, INT(($F39-70)/5)*12, $G40*15)))</f>
        <v>6.1097952051445033E-3</v>
      </c>
      <c r="AB40" s="164">
        <f t="array" aca="1" ref="AB40:AM40" ca="1">MMULT(AB39:AM39, OFFSET(E.rngTPM_Root, INT(($F39-70)/5)*12, $G40*15))</f>
        <v>0.21383205075526016</v>
      </c>
      <c r="AC40" s="164">
        <f ca="1"/>
        <v>0</v>
      </c>
      <c r="AD40" s="164">
        <f ca="1"/>
        <v>9.1523214914228431E-3</v>
      </c>
      <c r="AE40" s="164">
        <f ca="1"/>
        <v>3.7710042562569251E-3</v>
      </c>
      <c r="AF40" s="164">
        <f ca="1"/>
        <v>3.2171259012463615E-4</v>
      </c>
      <c r="AG40" s="164">
        <f ca="1"/>
        <v>0.16357653645334491</v>
      </c>
      <c r="AH40" s="164">
        <f ca="1"/>
        <v>7.0342416488602663E-2</v>
      </c>
      <c r="AI40" s="164">
        <f ca="1"/>
        <v>0.13461924486253035</v>
      </c>
      <c r="AJ40" s="164">
        <f ca="1"/>
        <v>3.1293481615667076E-3</v>
      </c>
      <c r="AK40" s="164">
        <f ca="1"/>
        <v>5.4562909189307812E-2</v>
      </c>
      <c r="AL40" s="164">
        <f ca="1"/>
        <v>7.943479925284061E-2</v>
      </c>
      <c r="AM40" s="164">
        <f ca="1"/>
        <v>0.26725765649874306</v>
      </c>
      <c r="AN40" s="128">
        <f t="shared" ca="1" si="37"/>
        <v>1.0000000000000007</v>
      </c>
      <c r="AO40" s="141">
        <f t="shared" ca="1" si="38"/>
        <v>0.65330754424841708</v>
      </c>
      <c r="AP40" s="141">
        <f t="shared" ca="1" si="41"/>
        <v>0.34669245575158292</v>
      </c>
      <c r="AQ40" s="141" cm="1">
        <f t="array" aca="1" ref="AQ40" ca="1">SUMPRODUCT(AB39:AC39, TRANSPOSE(OFFSET(E.TPMs!$N$8:$N$9, INT(($F39-70)/5)*12, $G40*15)))
+SUMPRODUCT(AB39:AC39, TRANSPOSE(OFFSET(E.TPMs!$O$8:$O$9, INT(($F39-70)/5)*12, $G40*15)))
+SUMPRODUCT(AB39:AC39, TRANSPOSE(OFFSET(E.TPMs!$P$8:$P$9, INT(($F39-70)/5)*12, $G40*15)))</f>
        <v>7.695829754444254E-3</v>
      </c>
      <c r="AR40" s="141">
        <f t="shared" ca="1" si="42"/>
        <v>1.3245038337804405E-2</v>
      </c>
      <c r="AS40" s="141" cm="1">
        <f t="array" aca="1" ref="AS40" ca="1">SUMPRODUCT(AB39:AG39, TRANSPOSE(OFFSET(E.TPMs!$R$8:$R$13, INT(($F39-70)/5)*12, $G40*15)))
+SUMPRODUCT(AB39:AG39, TRANSPOSE(OFFSET(E.TPMs!$S$8:$S$13, INT(($F39-70)/5)*12, $G40*15)))</f>
        <v>7.9076500364182387E-3</v>
      </c>
      <c r="AT40" s="141" cm="1">
        <f t="array" aca="1" ref="AT40" ca="1">SUMPRODUCT(AB39:AH39, TRANSPOSE(OFFSET(E.TPMs!$S$8:$S$14, INT(($F39-70)/5)*12, $G40*15)))</f>
        <v>6.2326612425494757E-3</v>
      </c>
    </row>
    <row r="41" spans="4:46" ht="12" customHeight="1" x14ac:dyDescent="0.25">
      <c r="D41" s="62">
        <f t="shared" si="43"/>
        <v>30</v>
      </c>
      <c r="E41" s="62">
        <f t="shared" si="33"/>
        <v>7.5</v>
      </c>
      <c r="F41" s="63">
        <f t="shared" si="34"/>
        <v>77.5</v>
      </c>
      <c r="G41" s="62">
        <f>IF(AND(E40&lt;E.maxDurHPE, E41&gt;=E.maxDurHPE), 1, 0)</f>
        <v>0</v>
      </c>
      <c r="H41" s="164">
        <f t="array" aca="1" ref="H41:S41" ca="1">MMULT(H40:S40, OFFSET(E.rngTPM_Root, INT(($F40-70)/5)*12, $G41*15))</f>
        <v>0</v>
      </c>
      <c r="I41" s="164">
        <f ca="1"/>
        <v>0.10960934543025472</v>
      </c>
      <c r="J41" s="164">
        <f ca="1"/>
        <v>1.0235396588765714E-2</v>
      </c>
      <c r="K41" s="164">
        <f ca="1"/>
        <v>4.241143410409016E-3</v>
      </c>
      <c r="L41" s="164">
        <f ca="1"/>
        <v>3.6315185670143769E-4</v>
      </c>
      <c r="M41" s="164">
        <f ca="1"/>
        <v>0.21837205244549882</v>
      </c>
      <c r="N41" s="164">
        <f ca="1"/>
        <v>7.4060577635482266E-2</v>
      </c>
      <c r="O41" s="164">
        <f ca="1"/>
        <v>0.13348861249990068</v>
      </c>
      <c r="P41" s="164">
        <f ca="1"/>
        <v>3.1701467585374342E-3</v>
      </c>
      <c r="Q41" s="164">
        <f ca="1"/>
        <v>5.8980348533786447E-2</v>
      </c>
      <c r="R41" s="164">
        <f ca="1"/>
        <v>0.11376947104479709</v>
      </c>
      <c r="S41" s="164">
        <f ca="1"/>
        <v>0.27370975379586593</v>
      </c>
      <c r="T41" s="128">
        <f t="shared" ca="1" si="35"/>
        <v>0.99999999999999956</v>
      </c>
      <c r="U41" s="141">
        <f t="shared" ca="1" si="36"/>
        <v>0.61252077515933656</v>
      </c>
      <c r="V41" s="141">
        <f t="shared" ca="1" si="39"/>
        <v>0.38747922484066344</v>
      </c>
      <c r="W41" s="141" cm="1">
        <f t="array" aca="1" ref="W41" ca="1">SUMPRODUCT(H40:I40, TRANSPOSE(OFFSET(E.TPMs!$N$8:$N$9, INT(($F40-70)/5)*12, $G41*15)))
+SUMPRODUCT(H40:I40, TRANSPOSE(OFFSET(E.TPMs!$O$8:$O$9, INT(($F40-70)/5)*12, $G41*15)))
+SUMPRODUCT(H40:I40, TRANSPOSE(OFFSET(E.TPMs!$P$8:$P$9, INT(($F40-70)/5)*12, $G41*15)))</f>
        <v>7.3643543088466497E-3</v>
      </c>
      <c r="X41" s="141">
        <f t="shared" ca="1" si="40"/>
        <v>1.4839691855876167E-2</v>
      </c>
      <c r="Y41" s="141" cm="1">
        <f t="array" aca="1" ref="Y41" ca="1">SUMPRODUCT(H40:M40, TRANSPOSE(OFFSET(E.TPMs!$R$8:$R$13, INT(($F40-70)/5)*12, $G41*15)))
+SUMPRODUCT(H40:M40, TRANSPOSE(OFFSET(E.TPMs!$S$8:$S$13, INT(($F40-70)/5)*12, $G41*15)))</f>
        <v>7.3321473371103221E-3</v>
      </c>
      <c r="Z41" s="141" cm="1">
        <f t="array" aca="1" ref="Z41" ca="1">SUMPRODUCT(H40:N40, TRANSPOSE(OFFSET(E.TPMs!$S$8:$S$14, INT(($F40-70)/5)*12, $G41*15)))</f>
        <v>5.9196601264858879E-3</v>
      </c>
      <c r="AB41" s="164">
        <f t="array" aca="1" ref="AB41:AM41" ca="1">MMULT(AB40:AM40, OFFSET(E.rngTPM_Root, INT(($F40-70)/5)*12, $G41*15))</f>
        <v>0.20042000106483529</v>
      </c>
      <c r="AC41" s="164">
        <f ca="1"/>
        <v>0</v>
      </c>
      <c r="AD41" s="164">
        <f ca="1"/>
        <v>8.7971244244418392E-3</v>
      </c>
      <c r="AE41" s="164">
        <f ca="1"/>
        <v>3.6246534475959076E-3</v>
      </c>
      <c r="AF41" s="164">
        <f ca="1"/>
        <v>3.0922708373915539E-4</v>
      </c>
      <c r="AG41" s="164">
        <f ca="1"/>
        <v>0.16234154567916559</v>
      </c>
      <c r="AH41" s="164">
        <f ca="1"/>
        <v>6.9115408439701931E-2</v>
      </c>
      <c r="AI41" s="164">
        <f ca="1"/>
        <v>0.13435332852154211</v>
      </c>
      <c r="AJ41" s="164">
        <f ca="1"/>
        <v>3.1125520188740245E-3</v>
      </c>
      <c r="AK41" s="164">
        <f ca="1"/>
        <v>5.7010971233541222E-2</v>
      </c>
      <c r="AL41" s="164">
        <f ca="1"/>
        <v>8.2058024354097897E-2</v>
      </c>
      <c r="AM41" s="164">
        <f ca="1"/>
        <v>0.27885716373246572</v>
      </c>
      <c r="AN41" s="128">
        <f t="shared" ca="1" si="37"/>
        <v>1.0000000000000009</v>
      </c>
      <c r="AO41" s="141">
        <f t="shared" ca="1" si="38"/>
        <v>0.63908481191343713</v>
      </c>
      <c r="AP41" s="141">
        <f t="shared" ca="1" si="41"/>
        <v>0.36091518808656287</v>
      </c>
      <c r="AQ41" s="141" cm="1">
        <f t="array" aca="1" ref="AQ41" ca="1">SUMPRODUCT(AB40:AC40, TRANSPOSE(OFFSET(E.TPMs!$N$8:$N$9, INT(($F40-70)/5)*12, $G41*15)))
+SUMPRODUCT(AB40:AC40, TRANSPOSE(OFFSET(E.TPMs!$O$8:$O$9, INT(($F40-70)/5)*12, $G41*15)))
+SUMPRODUCT(AB40:AC40, TRANSPOSE(OFFSET(E.TPMs!$P$8:$P$9, INT(($F40-70)/5)*12, $G41*15)))</f>
        <v>7.2131291924326562E-3</v>
      </c>
      <c r="AR41" s="141">
        <f t="shared" ca="1" si="42"/>
        <v>1.2731004955776901E-2</v>
      </c>
      <c r="AS41" s="141" cm="1">
        <f t="array" aca="1" ref="AS41" ca="1">SUMPRODUCT(AB40:AG40, TRANSPOSE(OFFSET(E.TPMs!$R$8:$R$13, INT(($F40-70)/5)*12, $G41*15)))
+SUMPRODUCT(AB40:AG40, TRANSPOSE(OFFSET(E.TPMs!$S$8:$S$13, INT(($F40-70)/5)*12, $G41*15)))</f>
        <v>7.6007580525341983E-3</v>
      </c>
      <c r="AT41" s="141" cm="1">
        <f t="array" aca="1" ref="AT41" ca="1">SUMPRODUCT(AB40:AH40, TRANSPOSE(OFFSET(E.TPMs!$S$8:$S$14, INT(($F40-70)/5)*12, $G41*15)))</f>
        <v>6.0502993045488847E-3</v>
      </c>
    </row>
    <row r="42" spans="4:46" ht="12" customHeight="1" x14ac:dyDescent="0.25">
      <c r="D42" s="62">
        <f t="shared" si="43"/>
        <v>31</v>
      </c>
      <c r="E42" s="62">
        <f t="shared" si="33"/>
        <v>7.75</v>
      </c>
      <c r="F42" s="63">
        <f t="shared" si="34"/>
        <v>77.75</v>
      </c>
      <c r="G42" s="62">
        <f>IF(AND(E41&lt;E.maxDurHPE, E42&gt;=E.maxDurHPE), 1, 0)</f>
        <v>0</v>
      </c>
      <c r="H42" s="164">
        <f t="array" aca="1" ref="H42:S42" ca="1">MMULT(H41:S41, OFFSET(E.rngTPM_Root, INT(($F41-70)/5)*12, $G42*15))</f>
        <v>0</v>
      </c>
      <c r="I42" s="164">
        <f ca="1"/>
        <v>9.9731142076128307E-2</v>
      </c>
      <c r="J42" s="164">
        <f ca="1"/>
        <v>9.7031222928716868E-3</v>
      </c>
      <c r="K42" s="164">
        <f ca="1"/>
        <v>4.0196796174482054E-3</v>
      </c>
      <c r="L42" s="164">
        <f ca="1"/>
        <v>3.4413837535330477E-4</v>
      </c>
      <c r="M42" s="164">
        <f ca="1"/>
        <v>0.21478069755523518</v>
      </c>
      <c r="N42" s="164">
        <f ca="1"/>
        <v>7.2412582238233103E-2</v>
      </c>
      <c r="O42" s="164">
        <f ca="1"/>
        <v>0.13297501326263117</v>
      </c>
      <c r="P42" s="164">
        <f ca="1"/>
        <v>3.1435715293848363E-3</v>
      </c>
      <c r="Q42" s="164">
        <f ca="1"/>
        <v>6.1416561978351943E-2</v>
      </c>
      <c r="R42" s="164">
        <f ca="1"/>
        <v>0.11671281495427566</v>
      </c>
      <c r="S42" s="164">
        <f ca="1"/>
        <v>0.28476067612008615</v>
      </c>
      <c r="T42" s="128">
        <f t="shared" ca="1" si="35"/>
        <v>0.99999999999999956</v>
      </c>
      <c r="U42" s="141">
        <f t="shared" ca="1" si="36"/>
        <v>0.59852650892563775</v>
      </c>
      <c r="V42" s="141">
        <f t="shared" ca="1" si="39"/>
        <v>0.40147349107436225</v>
      </c>
      <c r="W42" s="141" cm="1">
        <f t="array" aca="1" ref="W42" ca="1">SUMPRODUCT(H41:I41, TRANSPOSE(OFFSET(E.TPMs!$N$8:$N$9, INT(($F41-70)/5)*12, $G42*15)))
+SUMPRODUCT(H41:I41, TRANSPOSE(OFFSET(E.TPMs!$O$8:$O$9, INT(($F41-70)/5)*12, $G42*15)))
+SUMPRODUCT(H41:I41, TRANSPOSE(OFFSET(E.TPMs!$P$8:$P$9, INT(($F41-70)/5)*12, $G42*15)))</f>
        <v>6.7006646467191299E-3</v>
      </c>
      <c r="X42" s="141">
        <f t="shared" ca="1" si="40"/>
        <v>1.4066940285673197E-2</v>
      </c>
      <c r="Y42" s="141" cm="1">
        <f t="array" aca="1" ref="Y42" ca="1">SUMPRODUCT(H41:M41, TRANSPOSE(OFFSET(E.TPMs!$R$8:$R$13, INT(($F41-70)/5)*12, $G42*15)))
+SUMPRODUCT(H41:M41, TRANSPOSE(OFFSET(E.TPMs!$S$8:$S$13, INT(($F41-70)/5)*12, $G42*15)))</f>
        <v>7.0084596427805335E-3</v>
      </c>
      <c r="Z42" s="141" cm="1">
        <f t="array" aca="1" ref="Z42" ca="1">SUMPRODUCT(H41:N41, TRANSPOSE(OFFSET(E.TPMs!$S$8:$S$14, INT(($F41-70)/5)*12, $G42*15)))</f>
        <v>5.7321768362224336E-3</v>
      </c>
      <c r="AB42" s="164">
        <f t="array" aca="1" ref="AB42:AM42" ca="1">MMULT(AB41:AM41, OFFSET(E.rngTPM_Root, INT(($F41-70)/5)*12, $G42*15))</f>
        <v>0.18784918670963296</v>
      </c>
      <c r="AC42" s="164">
        <f ca="1"/>
        <v>0</v>
      </c>
      <c r="AD42" s="164">
        <f ca="1"/>
        <v>8.4557123798193953E-3</v>
      </c>
      <c r="AE42" s="164">
        <f ca="1"/>
        <v>3.4839824413801443E-3</v>
      </c>
      <c r="AF42" s="164">
        <f ca="1"/>
        <v>2.9722613367657642E-4</v>
      </c>
      <c r="AG42" s="164">
        <f ca="1"/>
        <v>0.1608337639603869</v>
      </c>
      <c r="AH42" s="164">
        <f ca="1"/>
        <v>6.7821680104241444E-2</v>
      </c>
      <c r="AI42" s="164">
        <f ca="1"/>
        <v>0.13392903116726129</v>
      </c>
      <c r="AJ42" s="164">
        <f ca="1"/>
        <v>3.0919699090070419E-3</v>
      </c>
      <c r="AK42" s="164">
        <f ca="1"/>
        <v>5.9413526389787447E-2</v>
      </c>
      <c r="AL42" s="164">
        <f ca="1"/>
        <v>8.4579443387586398E-2</v>
      </c>
      <c r="AM42" s="164">
        <f ca="1"/>
        <v>0.29024447741722109</v>
      </c>
      <c r="AN42" s="128">
        <f t="shared" ca="1" si="37"/>
        <v>1.0000000000000007</v>
      </c>
      <c r="AO42" s="141">
        <f t="shared" ca="1" si="38"/>
        <v>0.62517607919519325</v>
      </c>
      <c r="AP42" s="141">
        <f t="shared" ca="1" si="41"/>
        <v>0.37482392080480675</v>
      </c>
      <c r="AQ42" s="141" cm="1">
        <f t="array" aca="1" ref="AQ42" ca="1">SUMPRODUCT(AB41:AC41, TRANSPOSE(OFFSET(E.TPMs!$N$8:$N$9, INT(($F41-70)/5)*12, $G42*15)))
+SUMPRODUCT(AB41:AC41, TRANSPOSE(OFFSET(E.TPMs!$O$8:$O$9, INT(($F41-70)/5)*12, $G42*15)))
+SUMPRODUCT(AB41:AC41, TRANSPOSE(OFFSET(E.TPMs!$P$8:$P$9, INT(($F41-70)/5)*12, $G42*15)))</f>
        <v>6.7607047461877515E-3</v>
      </c>
      <c r="AR42" s="141">
        <f t="shared" ca="1" si="42"/>
        <v>1.2236920954876116E-2</v>
      </c>
      <c r="AS42" s="141" cm="1">
        <f t="array" aca="1" ref="AS42" ca="1">SUMPRODUCT(AB41:AG41, TRANSPOSE(OFFSET(E.TPMs!$R$8:$R$13, INT(($F41-70)/5)*12, $G42*15)))
+SUMPRODUCT(AB41:AG41, TRANSPOSE(OFFSET(E.TPMs!$S$8:$S$13, INT(($F41-70)/5)*12, $G42*15)))</f>
        <v>7.3057763946430898E-3</v>
      </c>
      <c r="AT42" s="141" cm="1">
        <f t="array" aca="1" ref="AT42" ca="1">SUMPRODUCT(AB41:AH41, TRANSPOSE(OFFSET(E.TPMs!$S$8:$S$14, INT(($F41-70)/5)*12, $G42*15)))</f>
        <v>5.8704862846597206E-3</v>
      </c>
    </row>
    <row r="43" spans="4:46" ht="12" customHeight="1" x14ac:dyDescent="0.25">
      <c r="D43" s="62">
        <f t="shared" si="43"/>
        <v>32</v>
      </c>
      <c r="E43" s="62">
        <f t="shared" ref="E43:E74" si="44">D43*E.cycleLength</f>
        <v>8</v>
      </c>
      <c r="F43" s="63">
        <f t="shared" ref="F43:F74" si="45">E.cohortAge+E43</f>
        <v>78</v>
      </c>
      <c r="G43" s="62">
        <f>IF(AND(E42&lt;E.maxDurHPE, E43&gt;=E.maxDurHPE), 1, 0)</f>
        <v>0</v>
      </c>
      <c r="H43" s="164">
        <f t="array" aca="1" ref="H43:S43" ca="1">MMULT(H42:S42, OFFSET(E.rngTPM_Root, INT(($F42-70)/5)*12, $G43*15))</f>
        <v>0</v>
      </c>
      <c r="I43" s="164">
        <f ca="1"/>
        <v>9.074318125672777E-2</v>
      </c>
      <c r="J43" s="164">
        <f ca="1"/>
        <v>9.2036756876945174E-3</v>
      </c>
      <c r="K43" s="164">
        <f ca="1"/>
        <v>3.8119356977148683E-3</v>
      </c>
      <c r="L43" s="164">
        <f ca="1"/>
        <v>3.2630617393943138E-4</v>
      </c>
      <c r="M43" s="164">
        <f ca="1"/>
        <v>0.21088860595162456</v>
      </c>
      <c r="N43" s="164">
        <f ca="1"/>
        <v>7.0706529730068746E-2</v>
      </c>
      <c r="O43" s="164">
        <f ca="1"/>
        <v>0.13231029359987156</v>
      </c>
      <c r="P43" s="164">
        <f ca="1"/>
        <v>3.1133948924062958E-3</v>
      </c>
      <c r="Q43" s="164">
        <f ca="1"/>
        <v>6.3797744849159899E-2</v>
      </c>
      <c r="R43" s="164">
        <f ca="1"/>
        <v>0.11950272595081506</v>
      </c>
      <c r="S43" s="164">
        <f ca="1"/>
        <v>0.29559560620997682</v>
      </c>
      <c r="T43" s="128">
        <f t="shared" ref="T43:T74" ca="1" si="46">SUM(H43:S43)</f>
        <v>0.99999999999999944</v>
      </c>
      <c r="U43" s="141">
        <f t="shared" ref="U43:U74" ca="1" si="47">SUM(H43:Q43)</f>
        <v>0.58490166783920761</v>
      </c>
      <c r="V43" s="141">
        <f t="shared" ca="1" si="39"/>
        <v>0.41509833216079239</v>
      </c>
      <c r="W43" s="141" cm="1">
        <f t="array" aca="1" ref="W43" ca="1">SUMPRODUCT(H42:I42, TRANSPOSE(OFFSET(E.TPMs!$N$8:$N$9, INT(($F42-70)/5)*12, $G43*15)))
+SUMPRODUCT(H42:I42, TRANSPOSE(OFFSET(E.TPMs!$O$8:$O$9, INT(($F42-70)/5)*12, $G43*15)))
+SUMPRODUCT(H42:I42, TRANSPOSE(OFFSET(E.TPMs!$P$8:$P$9, INT(($F42-70)/5)*12, $G43*15)))</f>
        <v>6.0967879633188563E-3</v>
      </c>
      <c r="X43" s="141">
        <f t="shared" ref="X43:X74" ca="1" si="48">SUM(J43:L43)</f>
        <v>1.3341917559348816E-2</v>
      </c>
      <c r="Y43" s="141" cm="1">
        <f t="array" aca="1" ref="Y43" ca="1">SUMPRODUCT(H42:M42, TRANSPOSE(OFFSET(E.TPMs!$R$8:$R$13, INT(($F42-70)/5)*12, $G43*15)))
+SUMPRODUCT(H42:M42, TRANSPOSE(OFFSET(E.TPMs!$S$8:$S$13, INT(($F42-70)/5)*12, $G43*15)))</f>
        <v>6.7008606396812996E-3</v>
      </c>
      <c r="Z43" s="141" cm="1">
        <f t="array" aca="1" ref="Z43" ca="1">SUMPRODUCT(H42:N42, TRANSPOSE(OFFSET(E.TPMs!$S$8:$S$14, INT(($F42-70)/5)*12, $G43*15)))</f>
        <v>5.5477059598745115E-3</v>
      </c>
      <c r="AB43" s="164">
        <f t="array" aca="1" ref="AB43:AM43" ca="1">MMULT(AB42:AM42, OFFSET(E.rngTPM_Root, INT(($F42-70)/5)*12, $G43*15))</f>
        <v>0.17606684342874143</v>
      </c>
      <c r="AC43" s="164">
        <f ca="1"/>
        <v>0</v>
      </c>
      <c r="AD43" s="164">
        <f ca="1"/>
        <v>8.1275503676609042E-3</v>
      </c>
      <c r="AE43" s="164">
        <f ca="1"/>
        <v>3.3487708072880464E-3</v>
      </c>
      <c r="AF43" s="164">
        <f ca="1"/>
        <v>2.8569093454584659E-4</v>
      </c>
      <c r="AG43" s="164">
        <f ca="1"/>
        <v>0.15908389451248198</v>
      </c>
      <c r="AH43" s="164">
        <f ca="1"/>
        <v>6.6472519513495087E-2</v>
      </c>
      <c r="AI43" s="164">
        <f ca="1"/>
        <v>0.13335664378826692</v>
      </c>
      <c r="AJ43" s="164">
        <f ca="1"/>
        <v>3.0679386066965503E-3</v>
      </c>
      <c r="AK43" s="164">
        <f ca="1"/>
        <v>6.1767370788703813E-2</v>
      </c>
      <c r="AL43" s="164">
        <f ca="1"/>
        <v>8.7003007396405527E-2</v>
      </c>
      <c r="AM43" s="164">
        <f ca="1"/>
        <v>0.30141976985571461</v>
      </c>
      <c r="AN43" s="128">
        <f t="shared" ref="AN43:AN106" ca="1" si="49">SUM(AB43:AM43)</f>
        <v>1.0000000000000009</v>
      </c>
      <c r="AO43" s="141">
        <f t="shared" ref="AO43:AO106" ca="1" si="50">SUM(AB43:AK43)</f>
        <v>0.61157722274788062</v>
      </c>
      <c r="AP43" s="141">
        <f t="shared" ca="1" si="41"/>
        <v>0.38842277725211938</v>
      </c>
      <c r="AQ43" s="141" cm="1">
        <f t="array" aca="1" ref="AQ43" ca="1">SUMPRODUCT(AB42:AC42, TRANSPOSE(OFFSET(E.TPMs!$N$8:$N$9, INT(($F42-70)/5)*12, $G43*15)))
+SUMPRODUCT(AB42:AC42, TRANSPOSE(OFFSET(E.TPMs!$O$8:$O$9, INT(($F42-70)/5)*12, $G43*15)))
+SUMPRODUCT(AB42:AC42, TRANSPOSE(OFFSET(E.TPMs!$P$8:$P$9, INT(($F42-70)/5)*12, $G43*15)))</f>
        <v>6.3366574264436095E-3</v>
      </c>
      <c r="AR43" s="141">
        <f t="shared" ca="1" si="42"/>
        <v>1.1762012109494797E-2</v>
      </c>
      <c r="AS43" s="141" cm="1">
        <f t="array" aca="1" ref="AS43" ca="1">SUMPRODUCT(AB42:AG42, TRANSPOSE(OFFSET(E.TPMs!$R$8:$R$13, INT(($F42-70)/5)*12, $G43*15)))
+SUMPRODUCT(AB42:AG42, TRANSPOSE(OFFSET(E.TPMs!$S$8:$S$13, INT(($F42-70)/5)*12, $G43*15)))</f>
        <v>7.022242828888422E-3</v>
      </c>
      <c r="AT43" s="141" cm="1">
        <f t="array" aca="1" ref="AT43" ca="1">SUMPRODUCT(AB42:AH42, TRANSPOSE(OFFSET(E.TPMs!$S$8:$S$14, INT(($F42-70)/5)*12, $G43*15)))</f>
        <v>5.6934677728109496E-3</v>
      </c>
    </row>
    <row r="44" spans="4:46" ht="12" customHeight="1" x14ac:dyDescent="0.25">
      <c r="D44" s="62">
        <f t="shared" si="43"/>
        <v>33</v>
      </c>
      <c r="E44" s="62">
        <f t="shared" si="44"/>
        <v>8.25</v>
      </c>
      <c r="F44" s="63">
        <f t="shared" si="45"/>
        <v>78.25</v>
      </c>
      <c r="G44" s="62">
        <f>IF(AND(E43&lt;E.maxDurHPE, E44&gt;=E.maxDurHPE), 1, 0)</f>
        <v>0</v>
      </c>
      <c r="H44" s="164">
        <f t="array" aca="1" ref="H44:S44" ca="1">MMULT(H43:S43, OFFSET(E.rngTPM_Root, INT(($F43-70)/5)*12, $G44*15))</f>
        <v>0</v>
      </c>
      <c r="I44" s="164">
        <f ca="1"/>
        <v>8.2565232616165163E-2</v>
      </c>
      <c r="J44" s="164">
        <f ca="1"/>
        <v>8.7346859281496846E-3</v>
      </c>
      <c r="K44" s="164">
        <f ca="1"/>
        <v>3.6169173173706852E-3</v>
      </c>
      <c r="L44" s="164">
        <f ca="1"/>
        <v>3.095694496670512E-4</v>
      </c>
      <c r="M44" s="164">
        <f ca="1"/>
        <v>0.2067471131189981</v>
      </c>
      <c r="N44" s="164">
        <f ca="1"/>
        <v>6.8956544557470231E-2</v>
      </c>
      <c r="O44" s="164">
        <f ca="1"/>
        <v>0.13150487993857726</v>
      </c>
      <c r="P44" s="164">
        <f ca="1"/>
        <v>3.0800015307313189E-3</v>
      </c>
      <c r="Q44" s="164">
        <f ca="1"/>
        <v>6.6120988121676647E-2</v>
      </c>
      <c r="R44" s="164">
        <f ca="1"/>
        <v>0.12214869175634877</v>
      </c>
      <c r="S44" s="164">
        <f ca="1"/>
        <v>0.30621537566484464</v>
      </c>
      <c r="T44" s="128">
        <f t="shared" ca="1" si="46"/>
        <v>0.99999999999999956</v>
      </c>
      <c r="U44" s="141">
        <f t="shared" ca="1" si="47"/>
        <v>0.57163593257880618</v>
      </c>
      <c r="V44" s="141">
        <f t="shared" ca="1" si="39"/>
        <v>0.42836406742119382</v>
      </c>
      <c r="W44" s="141" cm="1">
        <f t="array" aca="1" ref="W44" ca="1">SUMPRODUCT(H43:I43, TRANSPOSE(OFFSET(E.TPMs!$N$8:$N$9, INT(($F43-70)/5)*12, $G44*15)))
+SUMPRODUCT(H43:I43, TRANSPOSE(OFFSET(E.TPMs!$O$8:$O$9, INT(($F43-70)/5)*12, $G44*15)))
+SUMPRODUCT(H43:I43, TRANSPOSE(OFFSET(E.TPMs!$P$8:$P$9, INT(($F43-70)/5)*12, $G44*15)))</f>
        <v>5.5473337988746789E-3</v>
      </c>
      <c r="X44" s="141">
        <f t="shared" ca="1" si="48"/>
        <v>1.2661172695187422E-2</v>
      </c>
      <c r="Y44" s="141" cm="1">
        <f t="array" aca="1" ref="Y44" ca="1">SUMPRODUCT(H43:M43, TRANSPOSE(OFFSET(E.TPMs!$R$8:$R$13, INT(($F43-70)/5)*12, $G44*15)))
+SUMPRODUCT(H43:M43, TRANSPOSE(OFFSET(E.TPMs!$S$8:$S$13, INT(($F43-70)/5)*12, $G44*15)))</f>
        <v>6.4084081158740092E-3</v>
      </c>
      <c r="Z44" s="141" cm="1">
        <f t="array" aca="1" ref="Z44" ca="1">SUMPRODUCT(H43:N43, TRANSPOSE(OFFSET(E.TPMs!$S$8:$S$14, INT(($F43-70)/5)*12, $G44*15)))</f>
        <v>5.366549498458266E-3</v>
      </c>
      <c r="AB44" s="164">
        <f t="array" aca="1" ref="AB44:AM44" ca="1">MMULT(AB43:AM43, OFFSET(E.rngTPM_Root, INT(($F43-70)/5)*12, $G44*15))</f>
        <v>0.16502351645992663</v>
      </c>
      <c r="AC44" s="164">
        <f ca="1"/>
        <v>0</v>
      </c>
      <c r="AD44" s="164">
        <f ca="1"/>
        <v>7.8121241607647732E-3</v>
      </c>
      <c r="AE44" s="164">
        <f ca="1"/>
        <v>3.2188066697897066E-3</v>
      </c>
      <c r="AF44" s="164">
        <f ca="1"/>
        <v>2.7460341078383241E-4</v>
      </c>
      <c r="AG44" s="164">
        <f ca="1"/>
        <v>0.1571201872305002</v>
      </c>
      <c r="AH44" s="164">
        <f ca="1"/>
        <v>6.5078114847393898E-2</v>
      </c>
      <c r="AI44" s="164">
        <f ca="1"/>
        <v>0.13264615877259611</v>
      </c>
      <c r="AJ44" s="164">
        <f ca="1"/>
        <v>3.0407744606920821E-3</v>
      </c>
      <c r="AK44" s="164">
        <f ca="1"/>
        <v>6.4069671193111744E-2</v>
      </c>
      <c r="AL44" s="164">
        <f ca="1"/>
        <v>8.9332514085627659E-2</v>
      </c>
      <c r="AM44" s="164">
        <f ca="1"/>
        <v>0.31238352870881408</v>
      </c>
      <c r="AN44" s="128">
        <f t="shared" ca="1" si="49"/>
        <v>1.0000000000000007</v>
      </c>
      <c r="AO44" s="141">
        <f t="shared" ca="1" si="50"/>
        <v>0.59828395720555894</v>
      </c>
      <c r="AP44" s="141">
        <f t="shared" ca="1" si="41"/>
        <v>0.40171604279444106</v>
      </c>
      <c r="AQ44" s="141" cm="1">
        <f t="array" aca="1" ref="AQ44" ca="1">SUMPRODUCT(AB43:AC43, TRANSPOSE(OFFSET(E.TPMs!$N$8:$N$9, INT(($F43-70)/5)*12, $G44*15)))
+SUMPRODUCT(AB43:AC43, TRANSPOSE(OFFSET(E.TPMs!$O$8:$O$9, INT(($F43-70)/5)*12, $G44*15)))
+SUMPRODUCT(AB43:AC43, TRANSPOSE(OFFSET(E.TPMs!$P$8:$P$9, INT(($F43-70)/5)*12, $G44*15)))</f>
        <v>5.9392073530122264E-3</v>
      </c>
      <c r="AR44" s="141">
        <f t="shared" ca="1" si="42"/>
        <v>1.1305534241338313E-2</v>
      </c>
      <c r="AS44" s="141" cm="1">
        <f t="array" aca="1" ref="AS44" ca="1">SUMPRODUCT(AB43:AG43, TRANSPOSE(OFFSET(E.TPMs!$R$8:$R$13, INT(($F43-70)/5)*12, $G44*15)))
+SUMPRODUCT(AB43:AG43, TRANSPOSE(OFFSET(E.TPMs!$S$8:$S$13, INT(($F43-70)/5)*12, $G44*15)))</f>
        <v>6.7497130604808097E-3</v>
      </c>
      <c r="AT44" s="141" cm="1">
        <f t="array" aca="1" ref="AT44" ca="1">SUMPRODUCT(AB43:AH43, TRANSPOSE(OFFSET(E.TPMs!$S$8:$S$14, INT(($F43-70)/5)*12, $G44*15)))</f>
        <v>5.5194536182057042E-3</v>
      </c>
    </row>
    <row r="45" spans="4:46" ht="12" customHeight="1" x14ac:dyDescent="0.25">
      <c r="D45" s="62">
        <f t="shared" si="43"/>
        <v>34</v>
      </c>
      <c r="E45" s="62">
        <f t="shared" si="44"/>
        <v>8.5</v>
      </c>
      <c r="F45" s="63">
        <f t="shared" si="45"/>
        <v>78.5</v>
      </c>
      <c r="G45" s="62">
        <f>IF(AND(E44&lt;E.maxDurHPE, E45&gt;=E.maxDurHPE), 1, 0)</f>
        <v>0</v>
      </c>
      <c r="H45" s="164">
        <f t="array" aca="1" ref="H45:S45" ca="1">MMULT(H44:S44, OFFSET(E.rngTPM_Root, INT(($F44-70)/5)*12, $G45*15))</f>
        <v>0</v>
      </c>
      <c r="I45" s="164">
        <f ca="1"/>
        <v>7.5124296311311484E-2</v>
      </c>
      <c r="J45" s="164">
        <f ca="1"/>
        <v>8.2939730278670503E-3</v>
      </c>
      <c r="K45" s="164">
        <f ca="1"/>
        <v>3.4337103569988458E-3</v>
      </c>
      <c r="L45" s="164">
        <f ca="1"/>
        <v>2.9384933078979611E-4</v>
      </c>
      <c r="M45" s="164">
        <f ca="1"/>
        <v>0.20240198763786144</v>
      </c>
      <c r="N45" s="164">
        <f ca="1"/>
        <v>6.7175066570208802E-2</v>
      </c>
      <c r="O45" s="164">
        <f ca="1"/>
        <v>0.13056893479390286</v>
      </c>
      <c r="P45" s="164">
        <f ca="1"/>
        <v>3.043747612691744E-3</v>
      </c>
      <c r="Q45" s="164">
        <f ca="1"/>
        <v>6.8383797264369148E-2</v>
      </c>
      <c r="R45" s="164">
        <f ca="1"/>
        <v>0.12465951347232136</v>
      </c>
      <c r="S45" s="164">
        <f ca="1"/>
        <v>0.31662112362167705</v>
      </c>
      <c r="T45" s="128">
        <f t="shared" ca="1" si="46"/>
        <v>0.99999999999999967</v>
      </c>
      <c r="U45" s="141">
        <f t="shared" ca="1" si="47"/>
        <v>0.55871936290600122</v>
      </c>
      <c r="V45" s="141">
        <f t="shared" ca="1" si="39"/>
        <v>0.44128063709399878</v>
      </c>
      <c r="W45" s="141" cm="1">
        <f t="array" aca="1" ref="W45" ca="1">SUMPRODUCT(H44:I44, TRANSPOSE(OFFSET(E.TPMs!$N$8:$N$9, INT(($F44-70)/5)*12, $G45*15)))
+SUMPRODUCT(H44:I44, TRANSPOSE(OFFSET(E.TPMs!$O$8:$O$9, INT(($F44-70)/5)*12, $G45*15)))
+SUMPRODUCT(H44:I44, TRANSPOSE(OFFSET(E.TPMs!$P$8:$P$9, INT(($F44-70)/5)*12, $G45*15)))</f>
        <v>5.0473974921354794E-3</v>
      </c>
      <c r="X45" s="141">
        <f t="shared" ca="1" si="48"/>
        <v>1.2021532715655691E-2</v>
      </c>
      <c r="Y45" s="141" cm="1">
        <f t="array" aca="1" ref="Y45" ca="1">SUMPRODUCT(H44:M44, TRANSPOSE(OFFSET(E.TPMs!$R$8:$R$13, INT(($F44-70)/5)*12, $G45*15)))
+SUMPRODUCT(H44:M44, TRANSPOSE(OFFSET(E.TPMs!$S$8:$S$13, INT(($F44-70)/5)*12, $G45*15)))</f>
        <v>6.130225068545163E-3</v>
      </c>
      <c r="Z45" s="141" cm="1">
        <f t="array" aca="1" ref="Z45" ca="1">SUMPRODUCT(H44:N44, TRANSPOSE(OFFSET(E.TPMs!$S$8:$S$14, INT(($F44-70)/5)*12, $G45*15)))</f>
        <v>5.1889573428071066E-3</v>
      </c>
      <c r="AB45" s="164">
        <f t="array" aca="1" ref="AB45:AM45" ca="1">MMULT(AB44:AM44, OFFSET(E.rngTPM_Root, INT(($F44-70)/5)*12, $G45*15))</f>
        <v>0.15467285296008298</v>
      </c>
      <c r="AC45" s="164">
        <f ca="1"/>
        <v>0</v>
      </c>
      <c r="AD45" s="164">
        <f ca="1"/>
        <v>7.5089394888325778E-3</v>
      </c>
      <c r="AE45" s="164">
        <f ca="1"/>
        <v>3.0938863761396608E-3</v>
      </c>
      <c r="AF45" s="164">
        <f ca="1"/>
        <v>2.6394618833105879E-4</v>
      </c>
      <c r="AG45" s="164">
        <f ca="1"/>
        <v>0.15496861304076229</v>
      </c>
      <c r="AH45" s="164">
        <f ca="1"/>
        <v>6.364764746466417E-2</v>
      </c>
      <c r="AI45" s="164">
        <f ca="1"/>
        <v>0.13180725324058312</v>
      </c>
      <c r="AJ45" s="164">
        <f ca="1"/>
        <v>3.0107743953105971E-3</v>
      </c>
      <c r="AK45" s="164">
        <f ca="1"/>
        <v>6.6317940436441333E-2</v>
      </c>
      <c r="AL45" s="164">
        <f ca="1"/>
        <v>9.1571613773271041E-2</v>
      </c>
      <c r="AM45" s="164">
        <f ca="1"/>
        <v>0.3231365326355819</v>
      </c>
      <c r="AN45" s="128">
        <f t="shared" ca="1" si="49"/>
        <v>1.0000000000000009</v>
      </c>
      <c r="AO45" s="141">
        <f t="shared" ca="1" si="50"/>
        <v>0.58529185359114788</v>
      </c>
      <c r="AP45" s="141">
        <f t="shared" ca="1" si="41"/>
        <v>0.41470814640885212</v>
      </c>
      <c r="AQ45" s="141" cm="1">
        <f t="array" aca="1" ref="AQ45" ca="1">SUMPRODUCT(AB44:AC44, TRANSPOSE(OFFSET(E.TPMs!$N$8:$N$9, INT(($F44-70)/5)*12, $G45*15)))
+SUMPRODUCT(AB44:AC44, TRANSPOSE(OFFSET(E.TPMs!$O$8:$O$9, INT(($F44-70)/5)*12, $G45*15)))
+SUMPRODUCT(AB44:AC44, TRANSPOSE(OFFSET(E.TPMs!$P$8:$P$9, INT(($F44-70)/5)*12, $G45*15)))</f>
        <v>5.5666862839817109E-3</v>
      </c>
      <c r="AR45" s="141">
        <f t="shared" ca="1" si="42"/>
        <v>1.0866772053303298E-2</v>
      </c>
      <c r="AS45" s="141" cm="1">
        <f t="array" aca="1" ref="AS45" ca="1">SUMPRODUCT(AB44:AG44, TRANSPOSE(OFFSET(E.TPMs!$R$8:$R$13, INT(($F44-70)/5)*12, $G45*15)))
+SUMPRODUCT(AB44:AG44, TRANSPOSE(OFFSET(E.TPMs!$S$8:$S$13, INT(($F44-70)/5)*12, $G45*15)))</f>
        <v>6.4877600374917341E-3</v>
      </c>
      <c r="AT45" s="141" cm="1">
        <f t="array" aca="1" ref="AT45" ca="1">SUMPRODUCT(AB44:AH44, TRANSPOSE(OFFSET(E.TPMs!$S$8:$S$14, INT(($F44-70)/5)*12, $G45*15)))</f>
        <v>5.3486213103452092E-3</v>
      </c>
    </row>
    <row r="46" spans="4:46" ht="12" customHeight="1" x14ac:dyDescent="0.25">
      <c r="D46" s="62">
        <f t="shared" si="43"/>
        <v>35</v>
      </c>
      <c r="E46" s="62">
        <f t="shared" si="44"/>
        <v>8.75</v>
      </c>
      <c r="F46" s="63">
        <f t="shared" si="45"/>
        <v>78.75</v>
      </c>
      <c r="G46" s="62">
        <f>IF(AND(E45&lt;E.maxDurHPE, E46&gt;=E.maxDurHPE), 1, 0)</f>
        <v>0</v>
      </c>
      <c r="H46" s="164">
        <f t="array" aca="1" ref="H46:S46" ca="1">MMULT(H45:S45, OFFSET(E.rngTPM_Root, INT(($F45-70)/5)*12, $G46*15))</f>
        <v>0</v>
      </c>
      <c r="I46" s="164">
        <f ca="1"/>
        <v>6.8353951384190439E-2</v>
      </c>
      <c r="J46" s="164">
        <f ca="1"/>
        <v>7.8795315437432123E-3</v>
      </c>
      <c r="K46" s="164">
        <f ca="1"/>
        <v>3.2614740472140828E-3</v>
      </c>
      <c r="L46" s="164">
        <f ca="1"/>
        <v>2.7907328308079206E-4</v>
      </c>
      <c r="M46" s="164">
        <f ca="1"/>
        <v>0.19789396938336715</v>
      </c>
      <c r="N46" s="164">
        <f ca="1"/>
        <v>6.5373023881885151E-2</v>
      </c>
      <c r="O46" s="164">
        <f ca="1"/>
        <v>0.12951232466050178</v>
      </c>
      <c r="P46" s="164">
        <f ca="1"/>
        <v>3.0049626867484011E-3</v>
      </c>
      <c r="Q46" s="164">
        <f ca="1"/>
        <v>7.0584059165902366E-2</v>
      </c>
      <c r="R46" s="164">
        <f ca="1"/>
        <v>0.12704336092250892</v>
      </c>
      <c r="S46" s="164">
        <f ca="1"/>
        <v>0.32681426904085731</v>
      </c>
      <c r="T46" s="128">
        <f t="shared" ca="1" si="46"/>
        <v>0.99999999999999956</v>
      </c>
      <c r="U46" s="141">
        <f t="shared" ca="1" si="47"/>
        <v>0.54614237003663335</v>
      </c>
      <c r="V46" s="141">
        <f t="shared" ca="1" si="39"/>
        <v>0.45385762996336665</v>
      </c>
      <c r="W46" s="141" cm="1">
        <f t="array" aca="1" ref="W46" ca="1">SUMPRODUCT(H45:I45, TRANSPOSE(OFFSET(E.TPMs!$N$8:$N$9, INT(($F45-70)/5)*12, $G46*15)))
+SUMPRODUCT(H45:I45, TRANSPOSE(OFFSET(E.TPMs!$O$8:$O$9, INT(($F45-70)/5)*12, $G46*15)))
+SUMPRODUCT(H45:I45, TRANSPOSE(OFFSET(E.TPMs!$P$8:$P$9, INT(($F45-70)/5)*12, $G46*15)))</f>
        <v>4.5925163992806039E-3</v>
      </c>
      <c r="X46" s="141">
        <f t="shared" ca="1" si="48"/>
        <v>1.1420078874038089E-2</v>
      </c>
      <c r="Y46" s="141" cm="1">
        <f t="array" aca="1" ref="Y46" ca="1">SUMPRODUCT(H45:M45, TRANSPOSE(OFFSET(E.TPMs!$R$8:$R$13, INT(($F45-70)/5)*12, $G46*15)))
+SUMPRODUCT(H45:M45, TRANSPOSE(OFFSET(E.TPMs!$S$8:$S$13, INT(($F45-70)/5)*12, $G46*15)))</f>
        <v>5.8654945919696232E-3</v>
      </c>
      <c r="Z46" s="141" cm="1">
        <f t="array" aca="1" ref="Z46" ca="1">SUMPRODUCT(H45:N45, TRANSPOSE(OFFSET(E.TPMs!$S$8:$S$14, INT(($F45-70)/5)*12, $G46*15)))</f>
        <v>5.0151331365204284E-3</v>
      </c>
      <c r="AB46" s="164">
        <f t="array" aca="1" ref="AB46:AM46" ca="1">MMULT(AB45:AM45, OFFSET(E.rngTPM_Root, INT(($F45-70)/5)*12, $G46*15))</f>
        <v>0.14497140744556214</v>
      </c>
      <c r="AC46" s="164">
        <f ca="1"/>
        <v>0</v>
      </c>
      <c r="AD46" s="164">
        <f ca="1"/>
        <v>7.2175212639515318E-3</v>
      </c>
      <c r="AE46" s="164">
        <f ca="1"/>
        <v>2.9738141772546957E-3</v>
      </c>
      <c r="AF46" s="164">
        <f ca="1"/>
        <v>2.5370256740669917E-4</v>
      </c>
      <c r="AG46" s="164">
        <f ca="1"/>
        <v>0.15265302652223367</v>
      </c>
      <c r="AH46" s="164">
        <f ca="1"/>
        <v>6.2189377492373736E-2</v>
      </c>
      <c r="AI46" s="164">
        <f ca="1"/>
        <v>0.13084927620005696</v>
      </c>
      <c r="AJ46" s="164">
        <f ca="1"/>
        <v>2.9782168747098125E-3</v>
      </c>
      <c r="AK46" s="164">
        <f ca="1"/>
        <v>6.8510014140943959E-2</v>
      </c>
      <c r="AL46" s="164">
        <f ca="1"/>
        <v>9.3723815110318409E-2</v>
      </c>
      <c r="AM46" s="164">
        <f ca="1"/>
        <v>0.3336798282051891</v>
      </c>
      <c r="AN46" s="128">
        <f t="shared" ca="1" si="49"/>
        <v>1.0000000000000007</v>
      </c>
      <c r="AO46" s="141">
        <f t="shared" ca="1" si="50"/>
        <v>0.57259635668449316</v>
      </c>
      <c r="AP46" s="141">
        <f t="shared" ca="1" si="41"/>
        <v>0.42740364331550684</v>
      </c>
      <c r="AQ46" s="141" cm="1">
        <f t="array" aca="1" ref="AQ46" ca="1">SUMPRODUCT(AB45:AC45, TRANSPOSE(OFFSET(E.TPMs!$N$8:$N$9, INT(($F45-70)/5)*12, $G46*15)))
+SUMPRODUCT(AB45:AC45, TRANSPOSE(OFFSET(E.TPMs!$O$8:$O$9, INT(($F45-70)/5)*12, $G46*15)))
+SUMPRODUCT(AB45:AC45, TRANSPOSE(OFFSET(E.TPMs!$P$8:$P$9, INT(($F45-70)/5)*12, $G46*15)))</f>
        <v>5.2175306135007612E-3</v>
      </c>
      <c r="AR46" s="141">
        <f t="shared" ca="1" si="42"/>
        <v>1.0445038008612927E-2</v>
      </c>
      <c r="AS46" s="141" cm="1">
        <f t="array" aca="1" ref="AS46" ca="1">SUMPRODUCT(AB45:AG45, TRANSPOSE(OFFSET(E.TPMs!$R$8:$R$13, INT(($F45-70)/5)*12, $G46*15)))
+SUMPRODUCT(AB45:AG45, TRANSPOSE(OFFSET(E.TPMs!$S$8:$S$13, INT(($F45-70)/5)*12, $G46*15)))</f>
        <v>6.2359732816666489E-3</v>
      </c>
      <c r="AT46" s="141" cm="1">
        <f t="array" aca="1" ref="AT46" ca="1">SUMPRODUCT(AB45:AH45, TRANSPOSE(OFFSET(E.TPMs!$S$8:$S$14, INT(($F45-70)/5)*12, $G46*15)))</f>
        <v>5.1811190771432775E-3</v>
      </c>
    </row>
    <row r="47" spans="4:46" ht="12" customHeight="1" x14ac:dyDescent="0.25">
      <c r="D47" s="62">
        <f t="shared" si="43"/>
        <v>36</v>
      </c>
      <c r="E47" s="62">
        <f t="shared" si="44"/>
        <v>9</v>
      </c>
      <c r="F47" s="63">
        <f t="shared" si="45"/>
        <v>79</v>
      </c>
      <c r="G47" s="62">
        <f>IF(AND(E46&lt;E.maxDurHPE, E47&gt;=E.maxDurHPE), 1, 0)</f>
        <v>0</v>
      </c>
      <c r="H47" s="164">
        <f t="array" aca="1" ref="H47:S47" ca="1">MMULT(H46:S46, OFFSET(E.rngTPM_Root, INT(($F46-70)/5)*12, $G47*15))</f>
        <v>0</v>
      </c>
      <c r="I47" s="164">
        <f ca="1"/>
        <v>6.219376286029539E-2</v>
      </c>
      <c r="J47" s="164">
        <f ca="1"/>
        <v>7.4895156965226854E-3</v>
      </c>
      <c r="K47" s="164">
        <f ca="1"/>
        <v>3.0994347087513214E-3</v>
      </c>
      <c r="L47" s="164">
        <f ca="1"/>
        <v>2.6517456858808164E-4</v>
      </c>
      <c r="M47" s="164">
        <f ca="1"/>
        <v>0.19325925780382616</v>
      </c>
      <c r="N47" s="164">
        <f ca="1"/>
        <v>6.3559988950039142E-2</v>
      </c>
      <c r="O47" s="164">
        <f ca="1"/>
        <v>0.1283445946230847</v>
      </c>
      <c r="P47" s="164">
        <f ca="1"/>
        <v>2.9639514547767608E-3</v>
      </c>
      <c r="Q47" s="164">
        <f ca="1"/>
        <v>7.272001132544198E-2</v>
      </c>
      <c r="R47" s="164">
        <f ca="1"/>
        <v>0.12930782326192597</v>
      </c>
      <c r="S47" s="164">
        <f ca="1"/>
        <v>0.33679648474674745</v>
      </c>
      <c r="T47" s="128">
        <f t="shared" ca="1" si="46"/>
        <v>0.99999999999999956</v>
      </c>
      <c r="U47" s="141">
        <f t="shared" ca="1" si="47"/>
        <v>0.53389569199132614</v>
      </c>
      <c r="V47" s="141">
        <f t="shared" ca="1" si="39"/>
        <v>0.46610430800867386</v>
      </c>
      <c r="W47" s="141" cm="1">
        <f t="array" aca="1" ref="W47" ca="1">SUMPRODUCT(H46:I46, TRANSPOSE(OFFSET(E.TPMs!$N$8:$N$9, INT(($F46-70)/5)*12, $G47*15)))
+SUMPRODUCT(H46:I46, TRANSPOSE(OFFSET(E.TPMs!$O$8:$O$9, INT(($F46-70)/5)*12, $G47*15)))
+SUMPRODUCT(H46:I46, TRANSPOSE(OFFSET(E.TPMs!$P$8:$P$9, INT(($F46-70)/5)*12, $G47*15)))</f>
        <v>4.1786300584656152E-3</v>
      </c>
      <c r="X47" s="141">
        <f t="shared" ca="1" si="48"/>
        <v>1.0854124973862088E-2</v>
      </c>
      <c r="Y47" s="141" cm="1">
        <f t="array" aca="1" ref="Y47" ca="1">SUMPRODUCT(H46:M46, TRANSPOSE(OFFSET(E.TPMs!$R$8:$R$13, INT(($F46-70)/5)*12, $G47*15)))
+SUMPRODUCT(H46:M46, TRANSPOSE(OFFSET(E.TPMs!$S$8:$S$13, INT(($F46-70)/5)*12, $G47*15)))</f>
        <v>5.6134551965014044E-3</v>
      </c>
      <c r="Z47" s="141" cm="1">
        <f t="array" aca="1" ref="Z47" ca="1">SUMPRODUCT(H46:N46, TRANSPOSE(OFFSET(E.TPMs!$S$8:$S$14, INT(($F46-70)/5)*12, $G47*15)))</f>
        <v>4.8452395499941087E-3</v>
      </c>
      <c r="AB47" s="164">
        <f t="array" aca="1" ref="AB47:AM47" ca="1">MMULT(AB46:AM46, OFFSET(E.rngTPM_Root, INT(($F46-70)/5)*12, $G47*15))</f>
        <v>0.13587845943574242</v>
      </c>
      <c r="AC47" s="164">
        <f ca="1"/>
        <v>0</v>
      </c>
      <c r="AD47" s="164">
        <f ca="1"/>
        <v>6.9374128361355866E-3</v>
      </c>
      <c r="AE47" s="164">
        <f ca="1"/>
        <v>2.8584019209766274E-3</v>
      </c>
      <c r="AF47" s="164">
        <f ca="1"/>
        <v>2.4385649634015515E-4</v>
      </c>
      <c r="AG47" s="164">
        <f ca="1"/>
        <v>0.15019531756416701</v>
      </c>
      <c r="AH47" s="164">
        <f ca="1"/>
        <v>6.0710722555038184E-2</v>
      </c>
      <c r="AI47" s="164">
        <f ca="1"/>
        <v>0.12978123908277478</v>
      </c>
      <c r="AJ47" s="164">
        <f ca="1"/>
        <v>2.9433628303391465E-3</v>
      </c>
      <c r="AK47" s="164">
        <f ca="1"/>
        <v>7.0644028663725128E-2</v>
      </c>
      <c r="AL47" s="164">
        <f ca="1"/>
        <v>9.579249057874456E-2</v>
      </c>
      <c r="AM47" s="164">
        <f ca="1"/>
        <v>0.34401470803601714</v>
      </c>
      <c r="AN47" s="128">
        <f t="shared" ca="1" si="49"/>
        <v>1.0000000000000009</v>
      </c>
      <c r="AO47" s="141">
        <f t="shared" ca="1" si="50"/>
        <v>0.56019280138523908</v>
      </c>
      <c r="AP47" s="141">
        <f t="shared" ca="1" si="41"/>
        <v>0.43980719861476092</v>
      </c>
      <c r="AQ47" s="141" cm="1">
        <f t="array" aca="1" ref="AQ47" ca="1">SUMPRODUCT(AB46:AC46, TRANSPOSE(OFFSET(E.TPMs!$N$8:$N$9, INT(($F46-70)/5)*12, $G47*15)))
+SUMPRODUCT(AB46:AC46, TRANSPOSE(OFFSET(E.TPMs!$O$8:$O$9, INT(($F46-70)/5)*12, $G47*15)))
+SUMPRODUCT(AB46:AC46, TRANSPOSE(OFFSET(E.TPMs!$P$8:$P$9, INT(($F46-70)/5)*12, $G47*15)))</f>
        <v>4.8902748087585723E-3</v>
      </c>
      <c r="AR47" s="141">
        <f t="shared" ca="1" si="42"/>
        <v>1.0039671253452368E-2</v>
      </c>
      <c r="AS47" s="141" cm="1">
        <f t="array" aca="1" ref="AS47" ca="1">SUMPRODUCT(AB46:AG46, TRANSPOSE(OFFSET(E.TPMs!$R$8:$R$13, INT(($F46-70)/5)*12, $G47*15)))
+SUMPRODUCT(AB46:AG46, TRANSPOSE(OFFSET(E.TPMs!$S$8:$S$13, INT(($F46-70)/5)*12, $G47*15)))</f>
        <v>5.9939582452088894E-3</v>
      </c>
      <c r="AT47" s="141" cm="1">
        <f t="array" aca="1" ref="AT47" ca="1">SUMPRODUCT(AB46:AH46, TRANSPOSE(OFFSET(E.TPMs!$S$8:$S$14, INT(($F46-70)/5)*12, $G47*15)))</f>
        <v>5.0170687226513497E-3</v>
      </c>
    </row>
    <row r="48" spans="4:46" ht="12" customHeight="1" x14ac:dyDescent="0.25">
      <c r="D48" s="62">
        <f t="shared" si="43"/>
        <v>37</v>
      </c>
      <c r="E48" s="62">
        <f t="shared" si="44"/>
        <v>9.25</v>
      </c>
      <c r="F48" s="63">
        <f t="shared" si="45"/>
        <v>79.25</v>
      </c>
      <c r="G48" s="62">
        <f>IF(AND(E47&lt;E.maxDurHPE, E48&gt;=E.maxDurHPE), 1, 0)</f>
        <v>0</v>
      </c>
      <c r="H48" s="164">
        <f t="array" aca="1" ref="H48:S48" ca="1">MMULT(H47:S47, OFFSET(E.rngTPM_Root, INT(($F47-70)/5)*12, $G48*15))</f>
        <v>0</v>
      </c>
      <c r="I48" s="164">
        <f ca="1"/>
        <v>5.6588742280337306E-2</v>
      </c>
      <c r="J48" s="164">
        <f ca="1"/>
        <v>7.1222257993233881E-3</v>
      </c>
      <c r="K48" s="164">
        <f ca="1"/>
        <v>2.946880043105447E-3</v>
      </c>
      <c r="L48" s="164">
        <f ca="1"/>
        <v>2.520917520074514E-4</v>
      </c>
      <c r="M48" s="164">
        <f ca="1"/>
        <v>0.1885299548331133</v>
      </c>
      <c r="N48" s="164">
        <f ca="1"/>
        <v>6.1744319464072363E-2</v>
      </c>
      <c r="O48" s="164">
        <f ca="1"/>
        <v>0.12707494883604403</v>
      </c>
      <c r="P48" s="164">
        <f ca="1"/>
        <v>2.9209954315304056E-3</v>
      </c>
      <c r="Q48" s="164">
        <f ca="1"/>
        <v>7.4790213159132854E-2</v>
      </c>
      <c r="R48" s="164">
        <f ca="1"/>
        <v>0.13145995526860299</v>
      </c>
      <c r="S48" s="164">
        <f ca="1"/>
        <v>0.34656967313273007</v>
      </c>
      <c r="T48" s="128">
        <f t="shared" ca="1" si="46"/>
        <v>0.99999999999999956</v>
      </c>
      <c r="U48" s="141">
        <f t="shared" ca="1" si="47"/>
        <v>0.52197037159866655</v>
      </c>
      <c r="V48" s="141">
        <f t="shared" ca="1" si="39"/>
        <v>0.47802962840133345</v>
      </c>
      <c r="W48" s="141" cm="1">
        <f t="array" aca="1" ref="W48" ca="1">SUMPRODUCT(H47:I47, TRANSPOSE(OFFSET(E.TPMs!$N$8:$N$9, INT(($F47-70)/5)*12, $G48*15)))
+SUMPRODUCT(H47:I47, TRANSPOSE(OFFSET(E.TPMs!$O$8:$O$9, INT(($F47-70)/5)*12, $G48*15)))
+SUMPRODUCT(H47:I47, TRANSPOSE(OFFSET(E.TPMs!$P$8:$P$9, INT(($F47-70)/5)*12, $G48*15)))</f>
        <v>3.8020439444152072E-3</v>
      </c>
      <c r="X48" s="141">
        <f t="shared" ca="1" si="48"/>
        <v>1.0321197594436286E-2</v>
      </c>
      <c r="Y48" s="141" cm="1">
        <f t="array" aca="1" ref="Y48" ca="1">SUMPRODUCT(H47:M47, TRANSPOSE(OFFSET(E.TPMs!$R$8:$R$13, INT(($F47-70)/5)*12, $G48*15)))
+SUMPRODUCT(H47:M47, TRANSPOSE(OFFSET(E.TPMs!$S$8:$S$13, INT(($F47-70)/5)*12, $G48*15)))</f>
        <v>5.3733965208988448E-3</v>
      </c>
      <c r="Z48" s="141" cm="1">
        <f t="array" aca="1" ref="Z48" ca="1">SUMPRODUCT(H47:N47, TRANSPOSE(OFFSET(E.TPMs!$S$8:$S$14, INT(($F47-70)/5)*12, $G48*15)))</f>
        <v>4.6794030221175634E-3</v>
      </c>
      <c r="AB48" s="164">
        <f t="array" aca="1" ref="AB48:AM48" ca="1">MMULT(AB47:AM47, OFFSET(E.rngTPM_Root, INT(($F47-70)/5)*12, $G48*15))</f>
        <v>0.12735584253442306</v>
      </c>
      <c r="AC48" s="164">
        <f ca="1"/>
        <v>0</v>
      </c>
      <c r="AD48" s="164">
        <f ca="1"/>
        <v>6.668175277758627E-3</v>
      </c>
      <c r="AE48" s="164">
        <f ca="1"/>
        <v>2.7474687572394021E-3</v>
      </c>
      <c r="AF48" s="164">
        <f ca="1"/>
        <v>2.3439254641821912E-4</v>
      </c>
      <c r="AG48" s="164">
        <f ca="1"/>
        <v>0.14761555277732455</v>
      </c>
      <c r="AH48" s="164">
        <f ca="1"/>
        <v>5.9218330178755413E-2</v>
      </c>
      <c r="AI48" s="164">
        <f ca="1"/>
        <v>0.12861180926291693</v>
      </c>
      <c r="AJ48" s="164">
        <f ca="1"/>
        <v>2.9064565521228353E-3</v>
      </c>
      <c r="AK48" s="164">
        <f ca="1"/>
        <v>7.2718400219710599E-2</v>
      </c>
      <c r="AL48" s="164">
        <f ca="1"/>
        <v>9.7780881776168088E-2</v>
      </c>
      <c r="AM48" s="164">
        <f ca="1"/>
        <v>0.35414269011716304</v>
      </c>
      <c r="AN48" s="128">
        <f t="shared" ca="1" si="49"/>
        <v>1.0000000000000009</v>
      </c>
      <c r="AO48" s="141">
        <f t="shared" ca="1" si="50"/>
        <v>0.54807642810666968</v>
      </c>
      <c r="AP48" s="141">
        <f t="shared" ca="1" si="41"/>
        <v>0.45192357189333032</v>
      </c>
      <c r="AQ48" s="141" cm="1">
        <f t="array" aca="1" ref="AQ48" ca="1">SUMPRODUCT(AB47:AC47, TRANSPOSE(OFFSET(E.TPMs!$N$8:$N$9, INT(($F47-70)/5)*12, $G48*15)))
+SUMPRODUCT(AB47:AC47, TRANSPOSE(OFFSET(E.TPMs!$O$8:$O$9, INT(($F47-70)/5)*12, $G48*15)))
+SUMPRODUCT(AB47:AC47, TRANSPOSE(OFFSET(E.TPMs!$P$8:$P$9, INT(($F47-70)/5)*12, $G48*15)))</f>
        <v>4.5835452586128278E-3</v>
      </c>
      <c r="AR48" s="141">
        <f t="shared" ca="1" si="42"/>
        <v>9.6500365814162492E-3</v>
      </c>
      <c r="AS48" s="141" cm="1">
        <f t="array" aca="1" ref="AS48" ca="1">SUMPRODUCT(AB47:AG47, TRANSPOSE(OFFSET(E.TPMs!$R$8:$R$13, INT(($F47-70)/5)*12, $G48*15)))
+SUMPRODUCT(AB47:AG47, TRANSPOSE(OFFSET(E.TPMs!$S$8:$S$13, INT(($F47-70)/5)*12, $G48*15)))</f>
        <v>5.7613356925264921E-3</v>
      </c>
      <c r="AT48" s="141" cm="1">
        <f t="array" aca="1" ref="AT48" ca="1">SUMPRODUCT(AB47:AH47, TRANSPOSE(OFFSET(E.TPMs!$S$8:$S$14, INT(($F47-70)/5)*12, $G48*15)))</f>
        <v>4.856568225162148E-3</v>
      </c>
    </row>
    <row r="49" spans="4:46" ht="12" customHeight="1" x14ac:dyDescent="0.25">
      <c r="D49" s="62">
        <f t="shared" si="43"/>
        <v>38</v>
      </c>
      <c r="E49" s="62">
        <f t="shared" si="44"/>
        <v>9.5</v>
      </c>
      <c r="F49" s="63">
        <f t="shared" si="45"/>
        <v>79.5</v>
      </c>
      <c r="G49" s="62">
        <f>IF(AND(E48&lt;E.maxDurHPE, E49&gt;=E.maxDurHPE), 1, 0)</f>
        <v>0</v>
      </c>
      <c r="H49" s="164">
        <f t="array" aca="1" ref="H49:S49" ca="1">MMULT(H48:S48, OFFSET(E.rngTPM_Root, INT(($F48-70)/5)*12, $G49*15))</f>
        <v>0</v>
      </c>
      <c r="I49" s="164">
        <f ca="1"/>
        <v>5.1488856849900941E-2</v>
      </c>
      <c r="J49" s="164">
        <f ca="1"/>
        <v>6.776095877513366E-3</v>
      </c>
      <c r="K49" s="164">
        <f ca="1"/>
        <v>2.8031539246334519E-3</v>
      </c>
      <c r="L49" s="164">
        <f ca="1"/>
        <v>2.397682504263346E-4</v>
      </c>
      <c r="M49" s="164">
        <f ca="1"/>
        <v>0.18373446657828685</v>
      </c>
      <c r="N49" s="164">
        <f ca="1"/>
        <v>5.9933285480912299E-2</v>
      </c>
      <c r="O49" s="164">
        <f ca="1"/>
        <v>0.12571223611389667</v>
      </c>
      <c r="P49" s="164">
        <f ca="1"/>
        <v>2.8763544975872208E-3</v>
      </c>
      <c r="Q49" s="164">
        <f ca="1"/>
        <v>7.6793519285285286E-2</v>
      </c>
      <c r="R49" s="164">
        <f ca="1"/>
        <v>0.13350631969783883</v>
      </c>
      <c r="S49" s="164">
        <f ca="1"/>
        <v>0.35613594344371835</v>
      </c>
      <c r="T49" s="128">
        <f t="shared" ca="1" si="46"/>
        <v>0.99999999999999956</v>
      </c>
      <c r="U49" s="141">
        <f t="shared" ca="1" si="47"/>
        <v>0.51035773685844243</v>
      </c>
      <c r="V49" s="141">
        <f t="shared" ca="1" si="39"/>
        <v>0.48964226314155757</v>
      </c>
      <c r="W49" s="141" cm="1">
        <f t="array" aca="1" ref="W49" ca="1">SUMPRODUCT(H48:I48, TRANSPOSE(OFFSET(E.TPMs!$N$8:$N$9, INT(($F48-70)/5)*12, $G49*15)))
+SUMPRODUCT(H48:I48, TRANSPOSE(OFFSET(E.TPMs!$O$8:$O$9, INT(($F48-70)/5)*12, $G49*15)))
+SUMPRODUCT(H48:I48, TRANSPOSE(OFFSET(E.TPMs!$P$8:$P$9, INT(($F48-70)/5)*12, $G49*15)))</f>
        <v>3.459396489521351E-3</v>
      </c>
      <c r="X49" s="141">
        <f t="shared" ca="1" si="48"/>
        <v>9.8190180525731512E-3</v>
      </c>
      <c r="Y49" s="141" cm="1">
        <f t="array" aca="1" ref="Y49" ca="1">SUMPRODUCT(H48:M48, TRANSPOSE(OFFSET(E.TPMs!$R$8:$R$13, INT(($F48-70)/5)*12, $G49*15)))
+SUMPRODUCT(H48:M48, TRANSPOSE(OFFSET(E.TPMs!$S$8:$S$13, INT(($F48-70)/5)*12, $G49*15)))</f>
        <v>5.1446554036431932E-3</v>
      </c>
      <c r="Z49" s="141" cm="1">
        <f t="array" aca="1" ref="Z49" ca="1">SUMPRODUCT(H48:N48, TRANSPOSE(OFFSET(E.TPMs!$S$8:$S$14, INT(($F48-70)/5)*12, $G49*15)))</f>
        <v>4.5177180208981291E-3</v>
      </c>
      <c r="AB49" s="164">
        <f t="array" aca="1" ref="AB49:AM49" ca="1">MMULT(AB48:AM48, OFFSET(E.rngTPM_Root, INT(($F48-70)/5)*12, $G49*15))</f>
        <v>0.11936778423163567</v>
      </c>
      <c r="AC49" s="164">
        <f ca="1"/>
        <v>0</v>
      </c>
      <c r="AD49" s="164">
        <f ca="1"/>
        <v>6.409386695758453E-3</v>
      </c>
      <c r="AE49" s="164">
        <f ca="1"/>
        <v>2.6408408546785144E-3</v>
      </c>
      <c r="AF49" s="164">
        <f ca="1"/>
        <v>2.2529588770840638E-4</v>
      </c>
      <c r="AG49" s="164">
        <f ca="1"/>
        <v>0.14493210732995027</v>
      </c>
      <c r="AH49" s="164">
        <f ca="1"/>
        <v>5.7718144364574342E-2</v>
      </c>
      <c r="AI49" s="164">
        <f ca="1"/>
        <v>0.12734930619677406</v>
      </c>
      <c r="AJ49" s="164">
        <f ca="1"/>
        <v>2.8677265440161352E-3</v>
      </c>
      <c r="AK49" s="164">
        <f ca="1"/>
        <v>7.473180513180798E-2</v>
      </c>
      <c r="AL49" s="164">
        <f ca="1"/>
        <v>9.9692104495408509E-2</v>
      </c>
      <c r="AM49" s="164">
        <f ca="1"/>
        <v>0.36406549826768841</v>
      </c>
      <c r="AN49" s="128">
        <f t="shared" ca="1" si="49"/>
        <v>1.0000000000000009</v>
      </c>
      <c r="AO49" s="141">
        <f t="shared" ca="1" si="50"/>
        <v>0.53624239723690381</v>
      </c>
      <c r="AP49" s="141">
        <f t="shared" ca="1" si="41"/>
        <v>0.46375760276309619</v>
      </c>
      <c r="AQ49" s="141" cm="1">
        <f t="array" aca="1" ref="AQ49" ca="1">SUMPRODUCT(AB48:AC48, TRANSPOSE(OFFSET(E.TPMs!$N$8:$N$9, INT(($F48-70)/5)*12, $G49*15)))
+SUMPRODUCT(AB48:AC48, TRANSPOSE(OFFSET(E.TPMs!$O$8:$O$9, INT(($F48-70)/5)*12, $G49*15)))
+SUMPRODUCT(AB48:AC48, TRANSPOSE(OFFSET(E.TPMs!$P$8:$P$9, INT(($F48-70)/5)*12, $G49*15)))</f>
        <v>4.2960545080462202E-3</v>
      </c>
      <c r="AR49" s="141">
        <f t="shared" ca="1" si="42"/>
        <v>9.2755234381453749E-3</v>
      </c>
      <c r="AS49" s="141" cm="1">
        <f t="array" aca="1" ref="AS49" ca="1">SUMPRODUCT(AB48:AG48, TRANSPOSE(OFFSET(E.TPMs!$R$8:$R$13, INT(($F48-70)/5)*12, $G49*15)))
+SUMPRODUCT(AB48:AG48, TRANSPOSE(OFFSET(E.TPMs!$S$8:$S$13, INT(($F48-70)/5)*12, $G49*15)))</f>
        <v>5.5377411059731093E-3</v>
      </c>
      <c r="AT49" s="141" cm="1">
        <f t="array" aca="1" ref="AT49" ca="1">SUMPRODUCT(AB48:AH48, TRANSPOSE(OFFSET(E.TPMs!$S$8:$S$14, INT(($F48-70)/5)*12, $G49*15)))</f>
        <v>4.6996941148427819E-3</v>
      </c>
    </row>
    <row r="50" spans="4:46" ht="12" customHeight="1" x14ac:dyDescent="0.25">
      <c r="D50" s="62">
        <f t="shared" si="43"/>
        <v>39</v>
      </c>
      <c r="E50" s="62">
        <f t="shared" si="44"/>
        <v>9.75</v>
      </c>
      <c r="F50" s="63">
        <f t="shared" si="45"/>
        <v>79.75</v>
      </c>
      <c r="G50" s="62">
        <f>IF(AND(E49&lt;E.maxDurHPE, E50&gt;=E.maxDurHPE), 1, 0)</f>
        <v>0</v>
      </c>
      <c r="H50" s="164">
        <f t="array" aca="1" ref="H50:S50" ca="1">MMULT(H49:S49, OFFSET(E.rngTPM_Root, INT(($F49-70)/5)*12, $G50*15))</f>
        <v>0</v>
      </c>
      <c r="I50" s="164">
        <f ca="1"/>
        <v>4.6848582825470581E-2</v>
      </c>
      <c r="J50" s="164">
        <f ca="1"/>
        <v>6.4496823738035671E-3</v>
      </c>
      <c r="K50" s="164">
        <f ca="1"/>
        <v>2.6676516494336844E-3</v>
      </c>
      <c r="L50" s="164">
        <f ca="1"/>
        <v>2.2815192257339887E-4</v>
      </c>
      <c r="M50" s="164">
        <f ca="1"/>
        <v>0.17889786754846748</v>
      </c>
      <c r="N50" s="164">
        <f ca="1"/>
        <v>5.8133184113770643E-2</v>
      </c>
      <c r="O50" s="164">
        <f ca="1"/>
        <v>0.12426493995698881</v>
      </c>
      <c r="P50" s="164">
        <f ca="1"/>
        <v>2.830268352604286E-3</v>
      </c>
      <c r="Q50" s="164">
        <f ca="1"/>
        <v>7.8729054659643236E-2</v>
      </c>
      <c r="R50" s="164">
        <f ca="1"/>
        <v>0.13545302604468937</v>
      </c>
      <c r="S50" s="164">
        <f ca="1"/>
        <v>0.36549759055255454</v>
      </c>
      <c r="T50" s="128">
        <f t="shared" ca="1" si="46"/>
        <v>0.99999999999999956</v>
      </c>
      <c r="U50" s="141">
        <f t="shared" ca="1" si="47"/>
        <v>0.49904938340275573</v>
      </c>
      <c r="V50" s="141">
        <f t="shared" ca="1" si="39"/>
        <v>0.50095061659724427</v>
      </c>
      <c r="W50" s="141" cm="1">
        <f t="array" aca="1" ref="W50" ca="1">SUMPRODUCT(H49:I49, TRANSPOSE(OFFSET(E.TPMs!$N$8:$N$9, INT(($F49-70)/5)*12, $G50*15)))
+SUMPRODUCT(H49:I49, TRANSPOSE(OFFSET(E.TPMs!$O$8:$O$9, INT(($F49-70)/5)*12, $G50*15)))
+SUMPRODUCT(H49:I49, TRANSPOSE(OFFSET(E.TPMs!$P$8:$P$9, INT(($F49-70)/5)*12, $G50*15)))</f>
        <v>3.1476290770630108E-3</v>
      </c>
      <c r="X50" s="141">
        <f t="shared" ca="1" si="48"/>
        <v>9.3454859458106509E-3</v>
      </c>
      <c r="Y50" s="141" cm="1">
        <f t="array" aca="1" ref="Y50" ca="1">SUMPRODUCT(H49:M49, TRANSPOSE(OFFSET(E.TPMs!$R$8:$R$13, INT(($F49-70)/5)*12, $G50*15)))
+SUMPRODUCT(H49:M49, TRANSPOSE(OFFSET(E.TPMs!$S$8:$S$13, INT(($F49-70)/5)*12, $G50*15)))</f>
        <v>4.9266122819616367E-3</v>
      </c>
      <c r="Z50" s="141" cm="1">
        <f t="array" aca="1" ref="Z50" ca="1">SUMPRODUCT(H49:N49, TRANSPOSE(OFFSET(E.TPMs!$S$8:$S$14, INT(($F49-70)/5)*12, $G50*15)))</f>
        <v>4.3602508694446191E-3</v>
      </c>
      <c r="AB50" s="164">
        <f t="array" aca="1" ref="AB50:AM50" ca="1">MMULT(AB49:AM49, OFFSET(E.rngTPM_Root, INT(($F49-70)/5)*12, $G50*15))</f>
        <v>0.1118807557534634</v>
      </c>
      <c r="AC50" s="164">
        <f ca="1"/>
        <v>0</v>
      </c>
      <c r="AD50" s="164">
        <f ca="1"/>
        <v>6.1606415705337831E-3</v>
      </c>
      <c r="AE50" s="164">
        <f ca="1"/>
        <v>2.5383511282386752E-3</v>
      </c>
      <c r="AF50" s="164">
        <f ca="1"/>
        <v>2.1655226582057162E-4</v>
      </c>
      <c r="AG50" s="164">
        <f ca="1"/>
        <v>0.14216178783645778</v>
      </c>
      <c r="AH50" s="164">
        <f ca="1"/>
        <v>5.6215466787200616E-2</v>
      </c>
      <c r="AI50" s="164">
        <f ca="1"/>
        <v>0.12600169985771875</v>
      </c>
      <c r="AJ50" s="164">
        <f ca="1"/>
        <v>2.8273863446483011E-3</v>
      </c>
      <c r="AK50" s="164">
        <f ca="1"/>
        <v>7.6683161159746466E-2</v>
      </c>
      <c r="AL50" s="164">
        <f ca="1"/>
        <v>0.10152915360690823</v>
      </c>
      <c r="AM50" s="164">
        <f ca="1"/>
        <v>0.37378504368926418</v>
      </c>
      <c r="AN50" s="128">
        <f t="shared" ca="1" si="49"/>
        <v>1.0000000000000009</v>
      </c>
      <c r="AO50" s="141">
        <f t="shared" ca="1" si="50"/>
        <v>0.52468580270382836</v>
      </c>
      <c r="AP50" s="141">
        <f t="shared" ca="1" si="41"/>
        <v>0.47531419729617164</v>
      </c>
      <c r="AQ50" s="141" cm="1">
        <f t="array" aca="1" ref="AQ50" ca="1">SUMPRODUCT(AB49:AC49, TRANSPOSE(OFFSET(E.TPMs!$N$8:$N$9, INT(($F49-70)/5)*12, $G50*15)))
+SUMPRODUCT(AB49:AC49, TRANSPOSE(OFFSET(E.TPMs!$O$8:$O$9, INT(($F49-70)/5)*12, $G50*15)))
+SUMPRODUCT(AB49:AC49, TRANSPOSE(OFFSET(E.TPMs!$P$8:$P$9, INT(($F49-70)/5)*12, $G50*15)))</f>
        <v>4.0265958542514387E-3</v>
      </c>
      <c r="AR50" s="141">
        <f t="shared" ca="1" si="42"/>
        <v>8.9155449645930314E-3</v>
      </c>
      <c r="AS50" s="141" cm="1">
        <f t="array" aca="1" ref="AS50" ca="1">SUMPRODUCT(AB49:AG49, TRANSPOSE(OFFSET(E.TPMs!$R$8:$R$13, INT(($F49-70)/5)*12, $G50*15)))
+SUMPRODUCT(AB49:AG49, TRANSPOSE(OFFSET(E.TPMs!$S$8:$S$13, INT(($F49-70)/5)*12, $G50*15)))</f>
        <v>5.3228241146518248E-3</v>
      </c>
      <c r="AT50" s="141" cm="1">
        <f t="array" aca="1" ref="AT50" ca="1">SUMPRODUCT(AB49:AH49, TRANSPOSE(OFFSET(E.TPMs!$S$8:$S$14, INT(($F49-70)/5)*12, $G50*15)))</f>
        <v>4.5465036485555013E-3</v>
      </c>
    </row>
    <row r="51" spans="4:46" ht="12" customHeight="1" x14ac:dyDescent="0.25">
      <c r="D51" s="62">
        <f t="shared" si="43"/>
        <v>40</v>
      </c>
      <c r="E51" s="62">
        <f t="shared" si="44"/>
        <v>10</v>
      </c>
      <c r="F51" s="63">
        <f t="shared" si="45"/>
        <v>80</v>
      </c>
      <c r="G51" s="62">
        <f>IF(AND(E50&lt;E.maxDurHPE, E51&gt;=E.maxDurHPE), 1, 0)</f>
        <v>1</v>
      </c>
      <c r="H51" s="164">
        <f t="array" aca="1" ref="H51:S51" ca="1">MMULT(H50:S50, OFFSET(E.rngTPM_Root, INT(($F50-70)/5)*12, $G51*15))</f>
        <v>4.2626499150159314E-2</v>
      </c>
      <c r="I51" s="164">
        <f ca="1"/>
        <v>0</v>
      </c>
      <c r="J51" s="164">
        <f ca="1"/>
        <v>6.1416538419388003E-3</v>
      </c>
      <c r="K51" s="164">
        <f ca="1"/>
        <v>2.5398156003243579E-3</v>
      </c>
      <c r="L51" s="164">
        <f ca="1"/>
        <v>2.1719469405510455E-4</v>
      </c>
      <c r="M51" s="164">
        <f ca="1"/>
        <v>0.17404223084964748</v>
      </c>
      <c r="N51" s="164">
        <f ca="1"/>
        <v>5.6349442957243319E-2</v>
      </c>
      <c r="O51" s="164">
        <f ca="1"/>
        <v>0.12274117241124777</v>
      </c>
      <c r="P51" s="164">
        <f ca="1"/>
        <v>2.7829578752609258E-3</v>
      </c>
      <c r="Q51" s="164">
        <f ca="1"/>
        <v>8.0596191440372833E-2</v>
      </c>
      <c r="R51" s="164">
        <f ca="1"/>
        <v>0.13730576602964586</v>
      </c>
      <c r="S51" s="164">
        <f ca="1"/>
        <v>0.37465707515010382</v>
      </c>
      <c r="T51" s="128">
        <f t="shared" ca="1" si="46"/>
        <v>0.99999999999999967</v>
      </c>
      <c r="U51" s="141">
        <f t="shared" ca="1" si="47"/>
        <v>0.48803715882024995</v>
      </c>
      <c r="V51" s="141">
        <f t="shared" ca="1" si="39"/>
        <v>0.51196284117975011</v>
      </c>
      <c r="W51" s="141" cm="1">
        <f t="array" aca="1" ref="W51" ca="1">SUMPRODUCT(H50:I50, TRANSPOSE(OFFSET(E.TPMs!$N$8:$N$9, INT(($F50-70)/5)*12, $G51*15)))
+SUMPRODUCT(H50:I50, TRANSPOSE(OFFSET(E.TPMs!$O$8:$O$9, INT(($F50-70)/5)*12, $G51*15)))
+SUMPRODUCT(H50:I50, TRANSPOSE(OFFSET(E.TPMs!$P$8:$P$9, INT(($F50-70)/5)*12, $G51*15)))</f>
        <v>2.8639587386941508E-3</v>
      </c>
      <c r="X51" s="141">
        <f t="shared" ca="1" si="48"/>
        <v>8.8986641363182611E-3</v>
      </c>
      <c r="Y51" s="141" cm="1">
        <f t="array" aca="1" ref="Y51" ca="1">SUMPRODUCT(H50:M50, TRANSPOSE(OFFSET(E.TPMs!$R$8:$R$13, INT(($F50-70)/5)*12, $G51*15)))
+SUMPRODUCT(H50:M50, TRANSPOSE(OFFSET(E.TPMs!$S$8:$S$13, INT(($F50-70)/5)*12, $G51*15)))</f>
        <v>4.7186878900442406E-3</v>
      </c>
      <c r="Z51" s="141" cm="1">
        <f t="array" aca="1" ref="Z51" ca="1">SUMPRODUCT(H50:N50, TRANSPOSE(OFFSET(E.TPMs!$S$8:$S$14, INT(($F50-70)/5)*12, $G51*15)))</f>
        <v>4.2070431793626538E-3</v>
      </c>
      <c r="AB51" s="164">
        <f t="array" aca="1" ref="AB51:AM51" ca="1">MMULT(AB50:AM50, OFFSET(E.rngTPM_Root, INT(($F50-70)/5)*12, $G51*15))</f>
        <v>0.10486333132963284</v>
      </c>
      <c r="AC51" s="164">
        <f ca="1"/>
        <v>0</v>
      </c>
      <c r="AD51" s="164">
        <f ca="1"/>
        <v>5.9215501204983468E-3</v>
      </c>
      <c r="AE51" s="164">
        <f ca="1"/>
        <v>2.4398389773528885E-3</v>
      </c>
      <c r="AF51" s="164">
        <f ca="1"/>
        <v>2.0814797957039561E-4</v>
      </c>
      <c r="AG51" s="164">
        <f ca="1"/>
        <v>0.1393199468863506</v>
      </c>
      <c r="AH51" s="164">
        <f ca="1"/>
        <v>5.4715013039957239E-2</v>
      </c>
      <c r="AI51" s="164">
        <f ca="1"/>
        <v>0.1245766111724477</v>
      </c>
      <c r="AJ51" s="164">
        <f ca="1"/>
        <v>2.7856353138265622E-3</v>
      </c>
      <c r="AK51" s="164">
        <f ca="1"/>
        <v>7.8571609860355898E-2</v>
      </c>
      <c r="AL51" s="164">
        <f ca="1"/>
        <v>0.10329490775167013</v>
      </c>
      <c r="AM51" s="164">
        <f ca="1"/>
        <v>0.38330340756833814</v>
      </c>
      <c r="AN51" s="128">
        <f t="shared" ca="1" si="49"/>
        <v>1.0000000000000009</v>
      </c>
      <c r="AO51" s="141">
        <f t="shared" ca="1" si="50"/>
        <v>0.51340168467999259</v>
      </c>
      <c r="AP51" s="141">
        <f t="shared" ca="1" si="41"/>
        <v>0.48659831532000741</v>
      </c>
      <c r="AQ51" s="141" cm="1">
        <f t="array" aca="1" ref="AQ51" ca="1">SUMPRODUCT(AB50:AC50, TRANSPOSE(OFFSET(E.TPMs!$N$8:$N$9, INT(($F50-70)/5)*12, $G51*15)))
+SUMPRODUCT(AB50:AC50, TRANSPOSE(OFFSET(E.TPMs!$O$8:$O$9, INT(($F50-70)/5)*12, $G51*15)))
+SUMPRODUCT(AB50:AC50, TRANSPOSE(OFFSET(E.TPMs!$P$8:$P$9, INT(($F50-70)/5)*12, $G51*15)))</f>
        <v>3.774038281662426E-3</v>
      </c>
      <c r="AR51" s="141">
        <f t="shared" ca="1" si="42"/>
        <v>8.5695370774216302E-3</v>
      </c>
      <c r="AS51" s="141" cm="1">
        <f t="array" aca="1" ref="AS51" ca="1">SUMPRODUCT(AB50:AG50, TRANSPOSE(OFFSET(E.TPMs!$R$8:$R$13, INT(($F50-70)/5)*12, $G51*15)))
+SUMPRODUCT(AB50:AG50, TRANSPOSE(OFFSET(E.TPMs!$S$8:$S$13, INT(($F50-70)/5)*12, $G51*15)))</f>
        <v>5.1162479453868061E-3</v>
      </c>
      <c r="AT51" s="141" cm="1">
        <f t="array" aca="1" ref="AT51" ca="1">SUMPRODUCT(AB50:AH50, TRANSPOSE(OFFSET(E.TPMs!$S$8:$S$14, INT(($F50-70)/5)*12, $G51*15)))</f>
        <v>4.3970367981465194E-3</v>
      </c>
    </row>
    <row r="52" spans="4:46" ht="12" customHeight="1" x14ac:dyDescent="0.25">
      <c r="D52" s="62">
        <f t="shared" si="43"/>
        <v>41</v>
      </c>
      <c r="E52" s="62">
        <f t="shared" si="44"/>
        <v>10.25</v>
      </c>
      <c r="F52" s="63">
        <f t="shared" si="45"/>
        <v>80.25</v>
      </c>
      <c r="G52" s="62">
        <f>IF(AND(E51&lt;E.maxDurHPE, E52&gt;=E.maxDurHPE), 1, 0)</f>
        <v>0</v>
      </c>
      <c r="H52" s="164">
        <f t="array" aca="1" ref="H52:S52" ca="1">MMULT(H51:S51, OFFSET(E.rngTPM_Root, INT(($F51-70)/5)*12, $G52*15))</f>
        <v>3.9524207714181907E-2</v>
      </c>
      <c r="I52" s="164">
        <f ca="1"/>
        <v>0</v>
      </c>
      <c r="J52" s="164">
        <f ca="1"/>
        <v>5.0503932377154873E-3</v>
      </c>
      <c r="K52" s="164">
        <f ca="1"/>
        <v>2.0808987548180525E-3</v>
      </c>
      <c r="L52" s="164">
        <f ca="1"/>
        <v>1.7752600705471996E-4</v>
      </c>
      <c r="M52" s="164">
        <f ca="1"/>
        <v>0.1674367384945166</v>
      </c>
      <c r="N52" s="164">
        <f ca="1"/>
        <v>5.3464425192380469E-2</v>
      </c>
      <c r="O52" s="164">
        <f ca="1"/>
        <v>0.11815950499017149</v>
      </c>
      <c r="P52" s="164">
        <f ca="1"/>
        <v>2.7346263958531246E-3</v>
      </c>
      <c r="Q52" s="164">
        <f ca="1"/>
        <v>8.1860852958479252E-2</v>
      </c>
      <c r="R52" s="164">
        <f ca="1"/>
        <v>0.13906984609441167</v>
      </c>
      <c r="S52" s="164">
        <f ca="1"/>
        <v>0.39044098016041684</v>
      </c>
      <c r="T52" s="128">
        <f t="shared" ca="1" si="46"/>
        <v>0.99999999999999956</v>
      </c>
      <c r="U52" s="141">
        <f t="shared" ca="1" si="47"/>
        <v>0.47048917374517107</v>
      </c>
      <c r="V52" s="141">
        <f t="shared" ca="1" si="39"/>
        <v>0.52951082625482893</v>
      </c>
      <c r="W52" s="141" cm="1">
        <f t="array" aca="1" ref="W52" ca="1">SUMPRODUCT(H51:I51, TRANSPOSE(OFFSET(E.TPMs!$N$8:$N$9, INT(($F51-70)/5)*12, $G52*15)))
+SUMPRODUCT(H51:I51, TRANSPOSE(OFFSET(E.TPMs!$O$8:$O$9, INT(($F51-70)/5)*12, $G52*15)))
+SUMPRODUCT(H51:I51, TRANSPOSE(OFFSET(E.TPMs!$P$8:$P$9, INT(($F51-70)/5)*12, $G52*15)))</f>
        <v>1.4379062647775517E-3</v>
      </c>
      <c r="X52" s="141">
        <f t="shared" ca="1" si="48"/>
        <v>7.308817999588259E-3</v>
      </c>
      <c r="Y52" s="141" cm="1">
        <f t="array" aca="1" ref="Y52" ca="1">SUMPRODUCT(H51:M51, TRANSPOSE(OFFSET(E.TPMs!$R$8:$R$13, INT(($F51-70)/5)*12, $G52*15)))
+SUMPRODUCT(H51:M51, TRANSPOSE(OFFSET(E.TPMs!$S$8:$S$13, INT(($F51-70)/5)*12, $G52*15)))</f>
        <v>4.5203402304740663E-3</v>
      </c>
      <c r="Z52" s="141" cm="1">
        <f t="array" aca="1" ref="Z52" ca="1">SUMPRODUCT(H51:N51, TRANSPOSE(OFFSET(E.TPMs!$S$8:$S$14, INT(($F51-70)/5)*12, $G52*15)))</f>
        <v>4.0581149296429475E-3</v>
      </c>
      <c r="AB52" s="164">
        <f t="array" aca="1" ref="AB52:AM52" ca="1">MMULT(AB51:AM51, OFFSET(E.rngTPM_Root, INT(($F51-70)/5)*12, $G52*15))</f>
        <v>9.7231538402280382E-2</v>
      </c>
      <c r="AC52" s="164">
        <f ca="1"/>
        <v>0</v>
      </c>
      <c r="AD52" s="164">
        <f ca="1"/>
        <v>5.691737691296302E-3</v>
      </c>
      <c r="AE52" s="164">
        <f ca="1"/>
        <v>2.3451500342826725E-3</v>
      </c>
      <c r="AF52" s="164">
        <f ca="1"/>
        <v>2.0006985950974087E-4</v>
      </c>
      <c r="AG52" s="164">
        <f ca="1"/>
        <v>0.13501957213378113</v>
      </c>
      <c r="AH52" s="164">
        <f ca="1"/>
        <v>5.2131228438060451E-2</v>
      </c>
      <c r="AI52" s="164">
        <f ca="1"/>
        <v>0.12004744876137566</v>
      </c>
      <c r="AJ52" s="164">
        <f ca="1"/>
        <v>2.7426593857249278E-3</v>
      </c>
      <c r="AK52" s="164">
        <f ca="1"/>
        <v>7.9875766771128939E-2</v>
      </c>
      <c r="AL52" s="164">
        <f ca="1"/>
        <v>0.10499213385206463</v>
      </c>
      <c r="AM52" s="164">
        <f ca="1"/>
        <v>0.39972269467049587</v>
      </c>
      <c r="AN52" s="128">
        <f t="shared" ca="1" si="49"/>
        <v>1.0000000000000007</v>
      </c>
      <c r="AO52" s="141">
        <f t="shared" ca="1" si="50"/>
        <v>0.49528517147744022</v>
      </c>
      <c r="AP52" s="141">
        <f t="shared" ca="1" si="41"/>
        <v>0.50471482852255978</v>
      </c>
      <c r="AQ52" s="141" cm="1">
        <f t="array" aca="1" ref="AQ52" ca="1">SUMPRODUCT(AB51:AC51, TRANSPOSE(OFFSET(E.TPMs!$N$8:$N$9, INT(($F51-70)/5)*12, $G52*15)))
+SUMPRODUCT(AB51:AC51, TRANSPOSE(OFFSET(E.TPMs!$O$8:$O$9, INT(($F51-70)/5)*12, $G52*15)))
+SUMPRODUCT(AB51:AC51, TRANSPOSE(OFFSET(E.TPMs!$P$8:$P$9, INT(($F51-70)/5)*12, $G52*15)))</f>
        <v>3.5373217146724002E-3</v>
      </c>
      <c r="AR52" s="141">
        <f t="shared" ca="1" si="42"/>
        <v>8.2369575850887149E-3</v>
      </c>
      <c r="AS52" s="141" cm="1">
        <f t="array" aca="1" ref="AS52" ca="1">SUMPRODUCT(AB51:AG51, TRANSPOSE(OFFSET(E.TPMs!$R$8:$R$13, INT(($F51-70)/5)*12, $G52*15)))
+SUMPRODUCT(AB51:AG51, TRANSPOSE(OFFSET(E.TPMs!$S$8:$S$13, INT(($F51-70)/5)*12, $G52*15)))</f>
        <v>4.9176888950024852E-3</v>
      </c>
      <c r="AT52" s="141" cm="1">
        <f t="array" aca="1" ref="AT52" ca="1">SUMPRODUCT(AB51:AH51, TRANSPOSE(OFFSET(E.TPMs!$S$8:$S$14, INT(($F51-70)/5)*12, $G52*15)))</f>
        <v>4.2513180672117436E-3</v>
      </c>
    </row>
    <row r="53" spans="4:46" ht="12" customHeight="1" x14ac:dyDescent="0.25">
      <c r="D53" s="62">
        <f t="shared" si="43"/>
        <v>42</v>
      </c>
      <c r="E53" s="62">
        <f t="shared" si="44"/>
        <v>10.5</v>
      </c>
      <c r="F53" s="63">
        <f t="shared" si="45"/>
        <v>80.5</v>
      </c>
      <c r="G53" s="62">
        <f>IF(AND(E52&lt;E.maxDurHPE, E53&gt;=E.maxDurHPE), 1, 0)</f>
        <v>0</v>
      </c>
      <c r="H53" s="164">
        <f t="array" aca="1" ref="H53:S53" ca="1">MMULT(H52:S52, OFFSET(E.rngTPM_Root, INT(($F52-70)/5)*12, $G53*15))</f>
        <v>3.6647696305783961E-2</v>
      </c>
      <c r="I53" s="164">
        <f ca="1"/>
        <v>0</v>
      </c>
      <c r="J53" s="164">
        <f ca="1"/>
        <v>4.8241117359415064E-3</v>
      </c>
      <c r="K53" s="164">
        <f ca="1"/>
        <v>1.9876646494490953E-3</v>
      </c>
      <c r="L53" s="164">
        <f ca="1"/>
        <v>1.6957200236845292E-4</v>
      </c>
      <c r="M53" s="164">
        <f ca="1"/>
        <v>0.16023103687115556</v>
      </c>
      <c r="N53" s="164">
        <f ca="1"/>
        <v>5.0599393329269861E-2</v>
      </c>
      <c r="O53" s="164">
        <f ca="1"/>
        <v>0.11372017340477979</v>
      </c>
      <c r="P53" s="164">
        <f ca="1"/>
        <v>2.6221799928087251E-3</v>
      </c>
      <c r="Q53" s="164">
        <f ca="1"/>
        <v>8.3055034180812976E-2</v>
      </c>
      <c r="R53" s="164">
        <f ca="1"/>
        <v>0.14051738247354903</v>
      </c>
      <c r="S53" s="164">
        <f ca="1"/>
        <v>0.40562575505408066</v>
      </c>
      <c r="T53" s="128">
        <f t="shared" ca="1" si="46"/>
        <v>0.99999999999999956</v>
      </c>
      <c r="U53" s="141">
        <f t="shared" ca="1" si="47"/>
        <v>0.45385686247236989</v>
      </c>
      <c r="V53" s="141">
        <f t="shared" ca="1" si="39"/>
        <v>0.54614313752763011</v>
      </c>
      <c r="W53" s="141" cm="1">
        <f t="array" aca="1" ref="W53" ca="1">SUMPRODUCT(H52:I52, TRANSPOSE(OFFSET(E.TPMs!$N$8:$N$9, INT(($F52-70)/5)*12, $G53*15)))
+SUMPRODUCT(H52:I52, TRANSPOSE(OFFSET(E.TPMs!$O$8:$O$9, INT(($F52-70)/5)*12, $G53*15)))
+SUMPRODUCT(H52:I52, TRANSPOSE(OFFSET(E.TPMs!$P$8:$P$9, INT(($F52-70)/5)*12, $G53*15)))</f>
        <v>1.3332576452593572E-3</v>
      </c>
      <c r="X53" s="141">
        <f t="shared" ca="1" si="48"/>
        <v>6.981348387759055E-3</v>
      </c>
      <c r="Y53" s="141" cm="1">
        <f t="array" aca="1" ref="Y53" ca="1">SUMPRODUCT(H52:M52, TRANSPOSE(OFFSET(E.TPMs!$R$8:$R$13, INT(($F52-70)/5)*12, $G53*15)))
+SUMPRODUCT(H52:M52, TRANSPOSE(OFFSET(E.TPMs!$S$8:$S$13, INT(($F52-70)/5)*12, $G53*15)))</f>
        <v>4.1735521322654318E-3</v>
      </c>
      <c r="Z53" s="141" cm="1">
        <f t="array" aca="1" ref="Z53" ca="1">SUMPRODUCT(H52:N52, TRANSPOSE(OFFSET(E.TPMs!$S$8:$S$14, INT(($F52-70)/5)*12, $G53*15)))</f>
        <v>3.8627153958887411E-3</v>
      </c>
      <c r="AB53" s="164">
        <f t="array" aca="1" ref="AB53:AM53" ca="1">MMULT(AB52:AM52, OFFSET(E.rngTPM_Root, INT(($F52-70)/5)*12, $G53*15))</f>
        <v>9.0155175695839931E-2</v>
      </c>
      <c r="AC53" s="164">
        <f ca="1"/>
        <v>0</v>
      </c>
      <c r="AD53" s="164">
        <f ca="1"/>
        <v>5.413607390897076E-3</v>
      </c>
      <c r="AE53" s="164">
        <f ca="1"/>
        <v>2.2305528200586731E-3</v>
      </c>
      <c r="AF53" s="164">
        <f ca="1"/>
        <v>1.9029332145680721E-4</v>
      </c>
      <c r="AG53" s="164">
        <f ca="1"/>
        <v>0.13080555880241621</v>
      </c>
      <c r="AH53" s="164">
        <f ca="1"/>
        <v>4.9675434831145254E-2</v>
      </c>
      <c r="AI53" s="164">
        <f ca="1"/>
        <v>0.11564793193757004</v>
      </c>
      <c r="AJ53" s="164">
        <f ca="1"/>
        <v>2.6350590661714263E-3</v>
      </c>
      <c r="AK53" s="164">
        <f ca="1"/>
        <v>8.1113982222160597E-2</v>
      </c>
      <c r="AL53" s="164">
        <f ca="1"/>
        <v>0.10662349144757448</v>
      </c>
      <c r="AM53" s="164">
        <f ca="1"/>
        <v>0.41550891246471022</v>
      </c>
      <c r="AN53" s="128">
        <f t="shared" ca="1" si="49"/>
        <v>1.0000000000000009</v>
      </c>
      <c r="AO53" s="141">
        <f t="shared" ca="1" si="50"/>
        <v>0.47786759608771606</v>
      </c>
      <c r="AP53" s="141">
        <f t="shared" ca="1" si="41"/>
        <v>0.52213240391228388</v>
      </c>
      <c r="AQ53" s="141" cm="1">
        <f t="array" aca="1" ref="AQ53" ca="1">SUMPRODUCT(AB52:AC52, TRANSPOSE(OFFSET(E.TPMs!$N$8:$N$9, INT(($F52-70)/5)*12, $G53*15)))
+SUMPRODUCT(AB52:AC52, TRANSPOSE(OFFSET(E.TPMs!$O$8:$O$9, INT(($F52-70)/5)*12, $G53*15)))
+SUMPRODUCT(AB52:AC52, TRANSPOSE(OFFSET(E.TPMs!$P$8:$P$9, INT(($F52-70)/5)*12, $G53*15)))</f>
        <v>3.2798808485325851E-3</v>
      </c>
      <c r="AR53" s="141">
        <f t="shared" ca="1" si="42"/>
        <v>7.8344535324125567E-3</v>
      </c>
      <c r="AS53" s="141" cm="1">
        <f t="array" aca="1" ref="AS53" ca="1">SUMPRODUCT(AB52:AG52, TRANSPOSE(OFFSET(E.TPMs!$R$8:$R$13, INT(($F52-70)/5)*12, $G53*15)))
+SUMPRODUCT(AB52:AG52, TRANSPOSE(OFFSET(E.TPMs!$S$8:$S$13, INT(($F52-70)/5)*12, $G53*15)))</f>
        <v>4.6877728795006023E-3</v>
      </c>
      <c r="AT53" s="141" cm="1">
        <f t="array" aca="1" ref="AT53" ca="1">SUMPRODUCT(AB52:AH52, TRANSPOSE(OFFSET(E.TPMs!$S$8:$S$14, INT(($F52-70)/5)*12, $G53*15)))</f>
        <v>4.0468918124920445E-3</v>
      </c>
    </row>
    <row r="54" spans="4:46" ht="12" customHeight="1" x14ac:dyDescent="0.25">
      <c r="D54" s="62">
        <f t="shared" si="43"/>
        <v>43</v>
      </c>
      <c r="E54" s="62">
        <f t="shared" si="44"/>
        <v>10.75</v>
      </c>
      <c r="F54" s="63">
        <f t="shared" si="45"/>
        <v>80.75</v>
      </c>
      <c r="G54" s="62">
        <f>IF(AND(E53&lt;E.maxDurHPE, E54&gt;=E.maxDurHPE), 1, 0)</f>
        <v>0</v>
      </c>
      <c r="H54" s="164">
        <f t="array" aca="1" ref="H54:S54" ca="1">MMULT(H53:S53, OFFSET(E.rngTPM_Root, INT(($F53-70)/5)*12, $G54*15))</f>
        <v>3.3980532999756057E-2</v>
      </c>
      <c r="I54" s="164">
        <f ca="1"/>
        <v>0</v>
      </c>
      <c r="J54" s="164">
        <f ca="1"/>
        <v>4.5891025561819359E-3</v>
      </c>
      <c r="K54" s="164">
        <f ca="1"/>
        <v>1.8908345044456316E-3</v>
      </c>
      <c r="L54" s="164">
        <f ca="1"/>
        <v>1.6131121170519095E-4</v>
      </c>
      <c r="M54" s="164">
        <f ca="1"/>
        <v>0.1533266236910982</v>
      </c>
      <c r="N54" s="164">
        <f ca="1"/>
        <v>4.7902374903261762E-2</v>
      </c>
      <c r="O54" s="164">
        <f ca="1"/>
        <v>0.10941004754027238</v>
      </c>
      <c r="P54" s="164">
        <f ca="1"/>
        <v>2.5123030570900796E-3</v>
      </c>
      <c r="Q54" s="164">
        <f ca="1"/>
        <v>8.4117071101418833E-2</v>
      </c>
      <c r="R54" s="164">
        <f ca="1"/>
        <v>0.14190006237709601</v>
      </c>
      <c r="S54" s="164">
        <f ca="1"/>
        <v>0.42020973605767353</v>
      </c>
      <c r="T54" s="128">
        <f t="shared" ca="1" si="46"/>
        <v>0.99999999999999956</v>
      </c>
      <c r="U54" s="141">
        <f t="shared" ca="1" si="47"/>
        <v>0.43789020156523006</v>
      </c>
      <c r="V54" s="141">
        <f t="shared" ca="1" si="39"/>
        <v>0.56210979843476994</v>
      </c>
      <c r="W54" s="141" cm="1">
        <f t="array" aca="1" ref="W54" ca="1">SUMPRODUCT(H53:I53, TRANSPOSE(OFFSET(E.TPMs!$N$8:$N$9, INT(($F53-70)/5)*12, $G54*15)))
+SUMPRODUCT(H53:I53, TRANSPOSE(OFFSET(E.TPMs!$O$8:$O$9, INT(($F53-70)/5)*12, $G54*15)))
+SUMPRODUCT(H53:I53, TRANSPOSE(OFFSET(E.TPMs!$P$8:$P$9, INT(($F53-70)/5)*12, $G54*15)))</f>
        <v>1.2362251922711544E-3</v>
      </c>
      <c r="X54" s="141">
        <f t="shared" ca="1" si="48"/>
        <v>6.6412482723327577E-3</v>
      </c>
      <c r="Y54" s="141" cm="1">
        <f t="array" aca="1" ref="Y54" ca="1">SUMPRODUCT(H53:M53, TRANSPOSE(OFFSET(E.TPMs!$R$8:$R$13, INT(($F53-70)/5)*12, $G54*15)))
+SUMPRODUCT(H53:M53, TRANSPOSE(OFFSET(E.TPMs!$S$8:$S$13, INT(($F53-70)/5)*12, $G54*15)))</f>
        <v>3.9736814865019305E-3</v>
      </c>
      <c r="Z54" s="141" cm="1">
        <f t="array" aca="1" ref="Z54" ca="1">SUMPRODUCT(H53:N53, TRANSPOSE(OFFSET(E.TPMs!$S$8:$S$14, INT(($F53-70)/5)*12, $G54*15)))</f>
        <v>3.6650185861083944E-3</v>
      </c>
      <c r="AB54" s="164">
        <f t="array" aca="1" ref="AB54:AM54" ca="1">MMULT(AB53:AM53, OFFSET(E.rngTPM_Root, INT(($F53-70)/5)*12, $G54*15))</f>
        <v>8.3593819848037515E-2</v>
      </c>
      <c r="AC54" s="164">
        <f ca="1"/>
        <v>0</v>
      </c>
      <c r="AD54" s="164">
        <f ca="1"/>
        <v>5.1504367949709914E-3</v>
      </c>
      <c r="AE54" s="164">
        <f ca="1"/>
        <v>2.1221194091159967E-3</v>
      </c>
      <c r="AF54" s="164">
        <f ca="1"/>
        <v>1.8104263089273889E-4</v>
      </c>
      <c r="AG54" s="164">
        <f ca="1"/>
        <v>0.12662397638764677</v>
      </c>
      <c r="AH54" s="164">
        <f ca="1"/>
        <v>4.7331242980903042E-2</v>
      </c>
      <c r="AI54" s="164">
        <f ca="1"/>
        <v>0.11137873120483364</v>
      </c>
      <c r="AJ54" s="164">
        <f ca="1"/>
        <v>2.5312555239617087E-3</v>
      </c>
      <c r="AK54" s="164">
        <f ca="1"/>
        <v>8.2224009366719295E-2</v>
      </c>
      <c r="AL54" s="164">
        <f ca="1"/>
        <v>0.10817513174009062</v>
      </c>
      <c r="AM54" s="164">
        <f ca="1"/>
        <v>0.43068823411282842</v>
      </c>
      <c r="AN54" s="128">
        <f t="shared" ca="1" si="49"/>
        <v>1.0000000000000009</v>
      </c>
      <c r="AO54" s="141">
        <f t="shared" ca="1" si="50"/>
        <v>0.46113663414708173</v>
      </c>
      <c r="AP54" s="141">
        <f t="shared" ca="1" si="41"/>
        <v>0.53886336585291827</v>
      </c>
      <c r="AQ54" s="141" cm="1">
        <f t="array" aca="1" ref="AQ54" ca="1">SUMPRODUCT(AB53:AC53, TRANSPOSE(OFFSET(E.TPMs!$N$8:$N$9, INT(($F53-70)/5)*12, $G54*15)))
+SUMPRODUCT(AB53:AC53, TRANSPOSE(OFFSET(E.TPMs!$O$8:$O$9, INT(($F53-70)/5)*12, $G54*15)))
+SUMPRODUCT(AB53:AC53, TRANSPOSE(OFFSET(E.TPMs!$P$8:$P$9, INT(($F53-70)/5)*12, $G54*15)))</f>
        <v>3.0411761350259657E-3</v>
      </c>
      <c r="AR54" s="141">
        <f t="shared" ca="1" si="42"/>
        <v>7.4535988349797274E-3</v>
      </c>
      <c r="AS54" s="141" cm="1">
        <f t="array" aca="1" ref="AS54" ca="1">SUMPRODUCT(AB53:AG53, TRANSPOSE(OFFSET(E.TPMs!$R$8:$R$13, INT(($F53-70)/5)*12, $G54*15)))
+SUMPRODUCT(AB53:AG53, TRANSPOSE(OFFSET(E.TPMs!$S$8:$S$13, INT(($F53-70)/5)*12, $G54*15)))</f>
        <v>4.4596360500067656E-3</v>
      </c>
      <c r="AT54" s="141" cm="1">
        <f t="array" aca="1" ref="AT54" ca="1">SUMPRODUCT(AB53:AH53, TRANSPOSE(OFFSET(E.TPMs!$S$8:$S$14, INT(($F53-70)/5)*12, $G54*15)))</f>
        <v>3.8530311212985596E-3</v>
      </c>
    </row>
    <row r="55" spans="4:46" ht="12" customHeight="1" x14ac:dyDescent="0.25">
      <c r="D55" s="62">
        <f t="shared" si="43"/>
        <v>44</v>
      </c>
      <c r="E55" s="62">
        <f t="shared" si="44"/>
        <v>11</v>
      </c>
      <c r="F55" s="63">
        <f t="shared" si="45"/>
        <v>81</v>
      </c>
      <c r="G55" s="62">
        <f>IF(AND(E54&lt;E.maxDurHPE, E55&gt;=E.maxDurHPE), 1, 0)</f>
        <v>0</v>
      </c>
      <c r="H55" s="164">
        <f t="array" aca="1" ref="H55:S55" ca="1">MMULT(H54:S54, OFFSET(E.rngTPM_Root, INT(($F54-70)/5)*12, $G55*15))</f>
        <v>3.1507481761282562E-2</v>
      </c>
      <c r="I55" s="164">
        <f ca="1"/>
        <v>0</v>
      </c>
      <c r="J55" s="164">
        <f ca="1"/>
        <v>4.3659959493372626E-3</v>
      </c>
      <c r="K55" s="164">
        <f ca="1"/>
        <v>1.798908541748761E-3</v>
      </c>
      <c r="L55" s="164">
        <f ca="1"/>
        <v>1.5346880752072428E-4</v>
      </c>
      <c r="M55" s="164">
        <f ca="1"/>
        <v>0.14669296545952096</v>
      </c>
      <c r="N55" s="164">
        <f ca="1"/>
        <v>4.5359148392777944E-2</v>
      </c>
      <c r="O55" s="164">
        <f ca="1"/>
        <v>0.10523010956275541</v>
      </c>
      <c r="P55" s="164">
        <f ca="1"/>
        <v>2.4067467014463363E-3</v>
      </c>
      <c r="Q55" s="164">
        <f ca="1"/>
        <v>8.5051892686378139E-2</v>
      </c>
      <c r="R55" s="164">
        <f ca="1"/>
        <v>0.14321538429065664</v>
      </c>
      <c r="S55" s="164">
        <f ca="1"/>
        <v>0.43421789784657489</v>
      </c>
      <c r="T55" s="128">
        <f t="shared" ca="1" si="46"/>
        <v>0.99999999999999956</v>
      </c>
      <c r="U55" s="141">
        <f t="shared" ca="1" si="47"/>
        <v>0.42256671786276812</v>
      </c>
      <c r="V55" s="141">
        <f t="shared" ca="1" si="39"/>
        <v>0.57743328213723188</v>
      </c>
      <c r="W55" s="141" cm="1">
        <f t="array" aca="1" ref="W55" ca="1">SUMPRODUCT(H54:I54, TRANSPOSE(OFFSET(E.TPMs!$N$8:$N$9, INT(($F54-70)/5)*12, $G55*15)))
+SUMPRODUCT(H54:I54, TRANSPOSE(OFFSET(E.TPMs!$O$8:$O$9, INT(($F54-70)/5)*12, $G55*15)))
+SUMPRODUCT(H54:I54, TRANSPOSE(OFFSET(E.TPMs!$P$8:$P$9, INT(($F54-70)/5)*12, $G55*15)))</f>
        <v>1.1462546128573393E-3</v>
      </c>
      <c r="X55" s="141">
        <f t="shared" ca="1" si="48"/>
        <v>6.3183732986067474E-3</v>
      </c>
      <c r="Y55" s="141" cm="1">
        <f t="array" aca="1" ref="Y55" ca="1">SUMPRODUCT(H54:M54, TRANSPOSE(OFFSET(E.TPMs!$R$8:$R$13, INT(($F54-70)/5)*12, $G55*15)))
+SUMPRODUCT(H54:M54, TRANSPOSE(OFFSET(E.TPMs!$S$8:$S$13, INT(($F54-70)/5)*12, $G55*15)))</f>
        <v>3.780411299454528E-3</v>
      </c>
      <c r="Z55" s="141" cm="1">
        <f t="array" aca="1" ref="Z55" ca="1">SUMPRODUCT(H54:N54, TRANSPOSE(OFFSET(E.TPMs!$S$8:$S$14, INT(($F54-70)/5)*12, $G55*15)))</f>
        <v>3.47816350157865E-3</v>
      </c>
      <c r="AB55" s="164">
        <f t="array" aca="1" ref="AB55:AM55" ca="1">MMULT(AB54:AM54, OFFSET(E.rngTPM_Root, INT(($F54-70)/5)*12, $G55*15))</f>
        <v>7.7509989447101676E-2</v>
      </c>
      <c r="AC55" s="164">
        <f ca="1"/>
        <v>0</v>
      </c>
      <c r="AD55" s="164">
        <f ca="1"/>
        <v>4.9000265823180792E-3</v>
      </c>
      <c r="AE55" s="164">
        <f ca="1"/>
        <v>2.018943621572991E-3</v>
      </c>
      <c r="AF55" s="164">
        <f ca="1"/>
        <v>1.722404796372649E-4</v>
      </c>
      <c r="AG55" s="164">
        <f ca="1"/>
        <v>0.1224872160718018</v>
      </c>
      <c r="AH55" s="164">
        <f ca="1"/>
        <v>4.509421546051285E-2</v>
      </c>
      <c r="AI55" s="164">
        <f ca="1"/>
        <v>0.10723905141543996</v>
      </c>
      <c r="AJ55" s="164">
        <f ca="1"/>
        <v>2.4310422002037668E-3</v>
      </c>
      <c r="AK55" s="164">
        <f ca="1"/>
        <v>8.3211910095274649E-2</v>
      </c>
      <c r="AL55" s="164">
        <f ca="1"/>
        <v>0.10965134245839513</v>
      </c>
      <c r="AM55" s="164">
        <f ca="1"/>
        <v>0.4452840221677426</v>
      </c>
      <c r="AN55" s="128">
        <f t="shared" ca="1" si="49"/>
        <v>1.0000000000000009</v>
      </c>
      <c r="AO55" s="141">
        <f t="shared" ca="1" si="50"/>
        <v>0.44506463537386309</v>
      </c>
      <c r="AP55" s="141">
        <f t="shared" ca="1" si="41"/>
        <v>0.55493536462613691</v>
      </c>
      <c r="AQ55" s="141" cm="1">
        <f t="array" aca="1" ref="AQ55" ca="1">SUMPRODUCT(AB54:AC54, TRANSPOSE(OFFSET(E.TPMs!$N$8:$N$9, INT(($F54-70)/5)*12, $G55*15)))
+SUMPRODUCT(AB54:AC54, TRANSPOSE(OFFSET(E.TPMs!$O$8:$O$9, INT(($F54-70)/5)*12, $G55*15)))
+SUMPRODUCT(AB54:AC54, TRANSPOSE(OFFSET(E.TPMs!$P$8:$P$9, INT(($F54-70)/5)*12, $G55*15)))</f>
        <v>2.8198439856098275E-3</v>
      </c>
      <c r="AR55" s="141">
        <f t="shared" ca="1" si="42"/>
        <v>7.0912106835283352E-3</v>
      </c>
      <c r="AS55" s="141" cm="1">
        <f t="array" aca="1" ref="AS55" ca="1">SUMPRODUCT(AB54:AG54, TRANSPOSE(OFFSET(E.TPMs!$R$8:$R$13, INT(($F54-70)/5)*12, $G55*15)))
+SUMPRODUCT(AB54:AG54, TRANSPOSE(OFFSET(E.TPMs!$S$8:$S$13, INT(($F54-70)/5)*12, $G55*15)))</f>
        <v>4.2428180956984403E-3</v>
      </c>
      <c r="AT55" s="141" cm="1">
        <f t="array" aca="1" ref="AT55" ca="1">SUMPRODUCT(AB54:AH54, TRANSPOSE(OFFSET(E.TPMs!$S$8:$S$14, INT(($F54-70)/5)*12, $G55*15)))</f>
        <v>3.6682974171345314E-3</v>
      </c>
    </row>
    <row r="56" spans="4:46" ht="12" customHeight="1" x14ac:dyDescent="0.25">
      <c r="D56" s="62">
        <f t="shared" si="43"/>
        <v>45</v>
      </c>
      <c r="E56" s="62">
        <f t="shared" si="44"/>
        <v>11.25</v>
      </c>
      <c r="F56" s="63">
        <f t="shared" si="45"/>
        <v>81.25</v>
      </c>
      <c r="G56" s="62">
        <f>IF(AND(E55&lt;E.maxDurHPE, E56&gt;=E.maxDurHPE), 1, 0)</f>
        <v>0</v>
      </c>
      <c r="H56" s="164">
        <f t="array" aca="1" ref="H56:S56" ca="1">MMULT(H55:S55, OFFSET(E.rngTPM_Root, INT(($F55-70)/5)*12, $G56*15))</f>
        <v>2.9214415410867153E-2</v>
      </c>
      <c r="I56" s="164">
        <f ca="1"/>
        <v>0</v>
      </c>
      <c r="J56" s="164">
        <f ca="1"/>
        <v>4.1537250603842285E-3</v>
      </c>
      <c r="K56" s="164">
        <f ca="1"/>
        <v>1.7114471882034882E-3</v>
      </c>
      <c r="L56" s="164">
        <f ca="1"/>
        <v>1.4600728887136978E-4</v>
      </c>
      <c r="M56" s="164">
        <f ca="1"/>
        <v>0.1403220939259541</v>
      </c>
      <c r="N56" s="164">
        <f ca="1"/>
        <v>4.2960140473513438E-2</v>
      </c>
      <c r="O56" s="164">
        <f ca="1"/>
        <v>0.10118036170522296</v>
      </c>
      <c r="P56" s="164">
        <f ca="1"/>
        <v>2.3053381688154569E-3</v>
      </c>
      <c r="Q56" s="164">
        <f ca="1"/>
        <v>8.5866057373326449E-2</v>
      </c>
      <c r="R56" s="164">
        <f ca="1"/>
        <v>0.14446675971240316</v>
      </c>
      <c r="S56" s="164">
        <f ca="1"/>
        <v>0.44767365369243778</v>
      </c>
      <c r="T56" s="128">
        <f t="shared" ca="1" si="46"/>
        <v>0.99999999999999956</v>
      </c>
      <c r="U56" s="141">
        <f t="shared" ca="1" si="47"/>
        <v>0.40785958659515864</v>
      </c>
      <c r="V56" s="141">
        <f t="shared" ca="1" si="39"/>
        <v>0.59214041340484136</v>
      </c>
      <c r="W56" s="141" cm="1">
        <f t="array" aca="1" ref="W56" ca="1">SUMPRODUCT(H55:I55, TRANSPOSE(OFFSET(E.TPMs!$N$8:$N$9, INT(($F55-70)/5)*12, $G56*15)))
+SUMPRODUCT(H55:I55, TRANSPOSE(OFFSET(E.TPMs!$O$8:$O$9, INT(($F55-70)/5)*12, $G56*15)))
+SUMPRODUCT(H55:I55, TRANSPOSE(OFFSET(E.TPMs!$P$8:$P$9, INT(($F55-70)/5)*12, $G56*15)))</f>
        <v>1.0628319546561523E-3</v>
      </c>
      <c r="X56" s="141">
        <f t="shared" ca="1" si="48"/>
        <v>6.0111795374590861E-3</v>
      </c>
      <c r="Y56" s="141" cm="1">
        <f t="array" aca="1" ref="Y56" ca="1">SUMPRODUCT(H55:M55, TRANSPOSE(OFFSET(E.TPMs!$R$8:$R$13, INT(($F55-70)/5)*12, $G56*15)))
+SUMPRODUCT(H55:M55, TRANSPOSE(OFFSET(E.TPMs!$S$8:$S$13, INT(($F55-70)/5)*12, $G56*15)))</f>
        <v>3.5966130335863449E-3</v>
      </c>
      <c r="Z56" s="141" cm="1">
        <f t="array" aca="1" ref="Z56" ca="1">SUMPRODUCT(H55:N55, TRANSPOSE(OFFSET(E.TPMs!$S$8:$S$14, INT(($F55-70)/5)*12, $G56*15)))</f>
        <v>3.3012181876147582E-3</v>
      </c>
      <c r="AB56" s="164">
        <f t="array" aca="1" ref="AB56:AM56" ca="1">MMULT(AB55:AM55, OFFSET(E.rngTPM_Root, INT(($F55-70)/5)*12, $G56*15))</f>
        <v>7.1868930921103913E-2</v>
      </c>
      <c r="AC56" s="164">
        <f ca="1"/>
        <v>0</v>
      </c>
      <c r="AD56" s="164">
        <f ca="1"/>
        <v>4.6617919176226551E-3</v>
      </c>
      <c r="AE56" s="164">
        <f ca="1"/>
        <v>1.9207844894450041E-3</v>
      </c>
      <c r="AF56" s="164">
        <f ca="1"/>
        <v>1.638663101865451E-4</v>
      </c>
      <c r="AG56" s="164">
        <f ca="1"/>
        <v>0.1184045985208049</v>
      </c>
      <c r="AH56" s="164">
        <f ca="1"/>
        <v>4.295978977220416E-2</v>
      </c>
      <c r="AI56" s="164">
        <f ca="1"/>
        <v>0.10322778167968528</v>
      </c>
      <c r="AJ56" s="164">
        <f ca="1"/>
        <v>2.3343473565042355E-3</v>
      </c>
      <c r="AK56" s="164">
        <f ca="1"/>
        <v>8.4083433116481476E-2</v>
      </c>
      <c r="AL56" s="164">
        <f ca="1"/>
        <v>0.11105578096502002</v>
      </c>
      <c r="AM56" s="164">
        <f ca="1"/>
        <v>0.45931889495094258</v>
      </c>
      <c r="AN56" s="128">
        <f t="shared" ca="1" si="49"/>
        <v>1.0000000000000009</v>
      </c>
      <c r="AO56" s="141">
        <f t="shared" ca="1" si="50"/>
        <v>0.42962532408403814</v>
      </c>
      <c r="AP56" s="141">
        <f t="shared" ca="1" si="41"/>
        <v>0.5703746759159618</v>
      </c>
      <c r="AQ56" s="141" cm="1">
        <f t="array" aca="1" ref="AQ56" ca="1">SUMPRODUCT(AB55:AC55, TRANSPOSE(OFFSET(E.TPMs!$N$8:$N$9, INT(($F55-70)/5)*12, $G56*15)))
+SUMPRODUCT(AB55:AC55, TRANSPOSE(OFFSET(E.TPMs!$O$8:$O$9, INT(($F55-70)/5)*12, $G56*15)))
+SUMPRODUCT(AB55:AC55, TRANSPOSE(OFFSET(E.TPMs!$P$8:$P$9, INT(($F55-70)/5)*12, $G56*15)))</f>
        <v>2.614620051630791E-3</v>
      </c>
      <c r="AR56" s="141">
        <f t="shared" ca="1" si="42"/>
        <v>6.746442717254204E-3</v>
      </c>
      <c r="AS56" s="141" cm="1">
        <f t="array" aca="1" ref="AS56" ca="1">SUMPRODUCT(AB55:AG55, TRANSPOSE(OFFSET(E.TPMs!$R$8:$R$13, INT(($F55-70)/5)*12, $G56*15)))
+SUMPRODUCT(AB55:AG55, TRANSPOSE(OFFSET(E.TPMs!$S$8:$S$13, INT(($F55-70)/5)*12, $G56*15)))</f>
        <v>4.0365361403861769E-3</v>
      </c>
      <c r="AT56" s="141" cm="1">
        <f t="array" aca="1" ref="AT56" ca="1">SUMPRODUCT(AB55:AH55, TRANSPOSE(OFFSET(E.TPMs!$S$8:$S$14, INT(($F55-70)/5)*12, $G56*15)))</f>
        <v>3.4922964846977227E-3</v>
      </c>
    </row>
    <row r="57" spans="4:46" ht="12" customHeight="1" x14ac:dyDescent="0.25">
      <c r="D57" s="62">
        <f t="shared" si="43"/>
        <v>46</v>
      </c>
      <c r="E57" s="62">
        <f t="shared" si="44"/>
        <v>11.5</v>
      </c>
      <c r="F57" s="63">
        <f t="shared" si="45"/>
        <v>81.5</v>
      </c>
      <c r="G57" s="62">
        <f>IF(AND(E56&lt;E.maxDurHPE, E57&gt;=E.maxDurHPE), 1, 0)</f>
        <v>0</v>
      </c>
      <c r="H57" s="164">
        <f t="array" aca="1" ref="H57:S57" ca="1">MMULT(H56:S56, OFFSET(E.rngTPM_Root, INT(($F56-70)/5)*12, $G57*15))</f>
        <v>2.7088234923538044E-2</v>
      </c>
      <c r="I57" s="164">
        <f ca="1"/>
        <v>0</v>
      </c>
      <c r="J57" s="164">
        <f ca="1"/>
        <v>3.9517748606424843E-3</v>
      </c>
      <c r="K57" s="164">
        <f ca="1"/>
        <v>1.6282382380489564E-3</v>
      </c>
      <c r="L57" s="164">
        <f ca="1"/>
        <v>1.3890855202127212E-4</v>
      </c>
      <c r="M57" s="164">
        <f ca="1"/>
        <v>0.13420556875336409</v>
      </c>
      <c r="N57" s="164">
        <f ca="1"/>
        <v>4.0696362924720439E-2</v>
      </c>
      <c r="O57" s="164">
        <f ca="1"/>
        <v>9.7260274431186414E-2</v>
      </c>
      <c r="P57" s="164">
        <f ca="1"/>
        <v>2.2079504989253179E-3</v>
      </c>
      <c r="Q57" s="164">
        <f ca="1"/>
        <v>8.6565834562500665E-2</v>
      </c>
      <c r="R57" s="164">
        <f ca="1"/>
        <v>0.14565729436006963</v>
      </c>
      <c r="S57" s="164">
        <f ca="1"/>
        <v>0.4605995578949823</v>
      </c>
      <c r="T57" s="128">
        <f t="shared" ca="1" si="46"/>
        <v>0.99999999999999967</v>
      </c>
      <c r="U57" s="141">
        <f t="shared" ca="1" si="47"/>
        <v>0.39374314774494767</v>
      </c>
      <c r="V57" s="141">
        <f t="shared" ca="1" si="39"/>
        <v>0.60625685225505233</v>
      </c>
      <c r="W57" s="141" cm="1">
        <f t="array" aca="1" ref="W57" ca="1">SUMPRODUCT(H56:I56, TRANSPOSE(OFFSET(E.TPMs!$N$8:$N$9, INT(($F56-70)/5)*12, $G57*15)))
+SUMPRODUCT(H56:I56, TRANSPOSE(OFFSET(E.TPMs!$O$8:$O$9, INT(($F56-70)/5)*12, $G57*15)))
+SUMPRODUCT(H56:I56, TRANSPOSE(OFFSET(E.TPMs!$P$8:$P$9, INT(($F56-70)/5)*12, $G57*15)))</f>
        <v>9.8548066997293472E-4</v>
      </c>
      <c r="X57" s="141">
        <f t="shared" ca="1" si="48"/>
        <v>5.718921650712713E-3</v>
      </c>
      <c r="Y57" s="141" cm="1">
        <f t="array" aca="1" ref="Y57" ca="1">SUMPRODUCT(H56:M56, TRANSPOSE(OFFSET(E.TPMs!$R$8:$R$13, INT(($F56-70)/5)*12, $G57*15)))
+SUMPRODUCT(H56:M56, TRANSPOSE(OFFSET(E.TPMs!$S$8:$S$13, INT(($F56-70)/5)*12, $G57*15)))</f>
        <v>3.4217490472030427E-3</v>
      </c>
      <c r="Z57" s="141" cm="1">
        <f t="array" aca="1" ref="Z57" ca="1">SUMPRODUCT(H56:N56, TRANSPOSE(OFFSET(E.TPMs!$S$8:$S$14, INT(($F56-70)/5)*12, $G57*15)))</f>
        <v>3.1336285690658082E-3</v>
      </c>
      <c r="AB57" s="164">
        <f t="array" aca="1" ref="AB57:AM57" ca="1">MMULT(AB56:AM56, OFFSET(E.rngTPM_Root, INT(($F56-70)/5)*12, $G57*15))</f>
        <v>6.6638420009945507E-2</v>
      </c>
      <c r="AC57" s="164">
        <f ca="1"/>
        <v>0</v>
      </c>
      <c r="AD57" s="164">
        <f ca="1"/>
        <v>4.435139978023279E-3</v>
      </c>
      <c r="AE57" s="164">
        <f ca="1"/>
        <v>1.8273977536622712E-3</v>
      </c>
      <c r="AF57" s="164">
        <f ca="1"/>
        <v>1.5589928426709698E-4</v>
      </c>
      <c r="AG57" s="164">
        <f ca="1"/>
        <v>0.11438418936276791</v>
      </c>
      <c r="AH57" s="164">
        <f ca="1"/>
        <v>4.0923569005721375E-2</v>
      </c>
      <c r="AI57" s="164">
        <f ca="1"/>
        <v>9.9343510733509124E-2</v>
      </c>
      <c r="AJ57" s="164">
        <f ca="1"/>
        <v>2.2410924836274611E-3</v>
      </c>
      <c r="AK57" s="164">
        <f ca="1"/>
        <v>8.4844152025556716E-2</v>
      </c>
      <c r="AL57" s="164">
        <f ca="1"/>
        <v>0.11239193699784802</v>
      </c>
      <c r="AM57" s="164">
        <f ca="1"/>
        <v>0.47281469236507201</v>
      </c>
      <c r="AN57" s="128">
        <f t="shared" ca="1" si="49"/>
        <v>1.0000000000000009</v>
      </c>
      <c r="AO57" s="141">
        <f t="shared" ca="1" si="50"/>
        <v>0.41479337063708072</v>
      </c>
      <c r="AP57" s="141">
        <f t="shared" ca="1" si="41"/>
        <v>0.58520662936291923</v>
      </c>
      <c r="AQ57" s="141" cm="1">
        <f t="array" aca="1" ref="AQ57" ca="1">SUMPRODUCT(AB56:AC56, TRANSPOSE(OFFSET(E.TPMs!$N$8:$N$9, INT(($F56-70)/5)*12, $G57*15)))
+SUMPRODUCT(AB56:AC56, TRANSPOSE(OFFSET(E.TPMs!$O$8:$O$9, INT(($F56-70)/5)*12, $G57*15)))
+SUMPRODUCT(AB56:AC56, TRANSPOSE(OFFSET(E.TPMs!$P$8:$P$9, INT(($F56-70)/5)*12, $G57*15)))</f>
        <v>2.4243320017973882E-3</v>
      </c>
      <c r="AR57" s="141">
        <f t="shared" ca="1" si="42"/>
        <v>6.4184370159526471E-3</v>
      </c>
      <c r="AS57" s="141" cm="1">
        <f t="array" aca="1" ref="AS57" ca="1">SUMPRODUCT(AB56:AG56, TRANSPOSE(OFFSET(E.TPMs!$R$8:$R$13, INT(($F56-70)/5)*12, $G57*15)))
+SUMPRODUCT(AB56:AG56, TRANSPOSE(OFFSET(E.TPMs!$S$8:$S$13, INT(($F56-70)/5)*12, $G57*15)))</f>
        <v>3.8402835522949215E-3</v>
      </c>
      <c r="AT57" s="141" cm="1">
        <f t="array" aca="1" ref="AT57" ca="1">SUMPRODUCT(AB56:AH56, TRANSPOSE(OFFSET(E.TPMs!$S$8:$S$14, INT(($F56-70)/5)*12, $G57*15)))</f>
        <v>3.3246271240414478E-3</v>
      </c>
    </row>
    <row r="58" spans="4:46" ht="12" customHeight="1" x14ac:dyDescent="0.25">
      <c r="D58" s="62">
        <f t="shared" si="43"/>
        <v>47</v>
      </c>
      <c r="E58" s="62">
        <f t="shared" si="44"/>
        <v>11.75</v>
      </c>
      <c r="F58" s="63">
        <f t="shared" si="45"/>
        <v>81.75</v>
      </c>
      <c r="G58" s="62">
        <f>IF(AND(E57&lt;E.maxDurHPE, E58&gt;=E.maxDurHPE), 1, 0)</f>
        <v>0</v>
      </c>
      <c r="H58" s="164">
        <f t="array" aca="1" ref="H58:S58" ca="1">MMULT(H57:S57, OFFSET(E.rngTPM_Root, INT(($F57-70)/5)*12, $G58*15))</f>
        <v>2.511679460133363E-2</v>
      </c>
      <c r="I58" s="164">
        <f ca="1"/>
        <v>0</v>
      </c>
      <c r="J58" s="164">
        <f ca="1"/>
        <v>3.7596432829784076E-3</v>
      </c>
      <c r="K58" s="164">
        <f ca="1"/>
        <v>1.5490748260324984E-3</v>
      </c>
      <c r="L58" s="164">
        <f ca="1"/>
        <v>1.3215494884496657E-4</v>
      </c>
      <c r="M58" s="164">
        <f ca="1"/>
        <v>0.12833505602042364</v>
      </c>
      <c r="N58" s="164">
        <f ca="1"/>
        <v>3.8559456221467864E-2</v>
      </c>
      <c r="O58" s="164">
        <f ca="1"/>
        <v>9.3468851061668162E-2</v>
      </c>
      <c r="P58" s="164">
        <f ca="1"/>
        <v>2.1144558842218727E-3</v>
      </c>
      <c r="Q58" s="164">
        <f ca="1"/>
        <v>8.7157254842829629E-2</v>
      </c>
      <c r="R58" s="164">
        <f ca="1"/>
        <v>0.14678994633461728</v>
      </c>
      <c r="S58" s="164">
        <f ca="1"/>
        <v>0.47301731197558167</v>
      </c>
      <c r="T58" s="128">
        <f t="shared" ca="1" si="46"/>
        <v>0.99999999999999956</v>
      </c>
      <c r="U58" s="141">
        <f t="shared" ca="1" si="47"/>
        <v>0.38019274168980066</v>
      </c>
      <c r="V58" s="141">
        <f t="shared" ca="1" si="39"/>
        <v>0.61980725831019934</v>
      </c>
      <c r="W58" s="141" cm="1">
        <f t="array" aca="1" ref="W58" ca="1">SUMPRODUCT(H57:I57, TRANSPOSE(OFFSET(E.TPMs!$N$8:$N$9, INT(($F57-70)/5)*12, $G58*15)))
+SUMPRODUCT(H57:I57, TRANSPOSE(OFFSET(E.TPMs!$O$8:$O$9, INT(($F57-70)/5)*12, $G58*15)))
+SUMPRODUCT(H57:I57, TRANSPOSE(OFFSET(E.TPMs!$P$8:$P$9, INT(($F57-70)/5)*12, $G58*15)))</f>
        <v>9.1375889352564483E-4</v>
      </c>
      <c r="X58" s="141">
        <f t="shared" ca="1" si="48"/>
        <v>5.4408730578558726E-3</v>
      </c>
      <c r="Y58" s="141" cm="1">
        <f t="array" aca="1" ref="Y58" ca="1">SUMPRODUCT(H57:M57, TRANSPOSE(OFFSET(E.TPMs!$R$8:$R$13, INT(($F57-70)/5)*12, $G58*15)))
+SUMPRODUCT(H57:M57, TRANSPOSE(OFFSET(E.TPMs!$S$8:$S$13, INT(($F57-70)/5)*12, $G58*15)))</f>
        <v>3.2553868273515842E-3</v>
      </c>
      <c r="Z58" s="141" cm="1">
        <f t="array" aca="1" ref="Z58" ca="1">SUMPRODUCT(H57:N57, TRANSPOSE(OFFSET(E.TPMs!$S$8:$S$14, INT(($F57-70)/5)*12, $G58*15)))</f>
        <v>2.9748673512167857E-3</v>
      </c>
      <c r="AB58" s="164">
        <f t="array" aca="1" ref="AB58:AM58" ca="1">MMULT(AB57:AM57, OFFSET(E.rngTPM_Root, INT(($F57-70)/5)*12, $G58*15))</f>
        <v>6.1788577685909687E-2</v>
      </c>
      <c r="AC58" s="164">
        <f ca="1"/>
        <v>0</v>
      </c>
      <c r="AD58" s="164">
        <f ca="1"/>
        <v>4.2195076430751183E-3</v>
      </c>
      <c r="AE58" s="164">
        <f ca="1"/>
        <v>1.7385513933548691E-3</v>
      </c>
      <c r="AF58" s="164">
        <f ca="1"/>
        <v>1.4831960767293365E-4</v>
      </c>
      <c r="AG58" s="164">
        <f ca="1"/>
        <v>0.11043288265137051</v>
      </c>
      <c r="AH58" s="164">
        <f ca="1"/>
        <v>3.8981313101170111E-2</v>
      </c>
      <c r="AI58" s="164">
        <f ca="1"/>
        <v>9.5584565938533927E-2</v>
      </c>
      <c r="AJ58" s="164">
        <f ca="1"/>
        <v>2.1511964060641625E-3</v>
      </c>
      <c r="AK58" s="164">
        <f ca="1"/>
        <v>8.5499461845467181E-2</v>
      </c>
      <c r="AL58" s="164">
        <f ca="1"/>
        <v>0.11366313038073383</v>
      </c>
      <c r="AM58" s="164">
        <f ca="1"/>
        <v>0.48579249334664842</v>
      </c>
      <c r="AN58" s="128">
        <f t="shared" ca="1" si="49"/>
        <v>1.0000000000000007</v>
      </c>
      <c r="AO58" s="141">
        <f t="shared" ca="1" si="50"/>
        <v>0.40054437627261846</v>
      </c>
      <c r="AP58" s="141">
        <f t="shared" ca="1" si="41"/>
        <v>0.59945562372738159</v>
      </c>
      <c r="AQ58" s="141" cm="1">
        <f t="array" aca="1" ref="AQ58" ca="1">SUMPRODUCT(AB57:AC57, TRANSPOSE(OFFSET(E.TPMs!$N$8:$N$9, INT(($F57-70)/5)*12, $G58*15)))
+SUMPRODUCT(AB57:AC57, TRANSPOSE(OFFSET(E.TPMs!$O$8:$O$9, INT(($F57-70)/5)*12, $G58*15)))
+SUMPRODUCT(AB57:AC57, TRANSPOSE(OFFSET(E.TPMs!$P$8:$P$9, INT(($F57-70)/5)*12, $G58*15)))</f>
        <v>2.2478928252971549E-3</v>
      </c>
      <c r="AR58" s="141">
        <f t="shared" ca="1" si="42"/>
        <v>6.1063786441029212E-3</v>
      </c>
      <c r="AS58" s="141" cm="1">
        <f t="array" aca="1" ref="AS58" ca="1">SUMPRODUCT(AB57:AG57, TRANSPOSE(OFFSET(E.TPMs!$R$8:$R$13, INT(($F57-70)/5)*12, $G58*15)))
+SUMPRODUCT(AB57:AG57, TRANSPOSE(OFFSET(E.TPMs!$S$8:$S$13, INT(($F57-70)/5)*12, $G58*15)))</f>
        <v>3.6535725772801463E-3</v>
      </c>
      <c r="AT58" s="141" cm="1">
        <f t="array" aca="1" ref="AT58" ca="1">SUMPRODUCT(AB57:AH57, TRANSPOSE(OFFSET(E.TPMs!$S$8:$S$14, INT(($F57-70)/5)*12, $G58*15)))</f>
        <v>3.164905913851674E-3</v>
      </c>
    </row>
    <row r="59" spans="4:46" ht="12" customHeight="1" x14ac:dyDescent="0.25">
      <c r="D59" s="62">
        <f t="shared" si="43"/>
        <v>48</v>
      </c>
      <c r="E59" s="62">
        <f t="shared" si="44"/>
        <v>12</v>
      </c>
      <c r="F59" s="63">
        <f t="shared" si="45"/>
        <v>82</v>
      </c>
      <c r="G59" s="62">
        <f>IF(AND(E58&lt;E.maxDurHPE, E59&gt;=E.maxDurHPE), 1, 0)</f>
        <v>0</v>
      </c>
      <c r="H59" s="164">
        <f t="array" aca="1" ref="H59:S59" ca="1">MMULT(H58:S58, OFFSET(E.rngTPM_Root, INT(($F58-70)/5)*12, $G59*15))</f>
        <v>2.3288832691620253E-2</v>
      </c>
      <c r="I59" s="164">
        <f ca="1"/>
        <v>0</v>
      </c>
      <c r="J59" s="164">
        <f ca="1"/>
        <v>3.5768529621036729E-3</v>
      </c>
      <c r="K59" s="164">
        <f ca="1"/>
        <v>1.4737602647305185E-3</v>
      </c>
      <c r="L59" s="164">
        <f ca="1"/>
        <v>1.2572969950976407E-4</v>
      </c>
      <c r="M59" s="164">
        <f ca="1"/>
        <v>0.12270233325785221</v>
      </c>
      <c r="N59" s="164">
        <f ca="1"/>
        <v>3.6541638548401159E-2</v>
      </c>
      <c r="O59" s="164">
        <f ca="1"/>
        <v>8.980469369157329E-2</v>
      </c>
      <c r="P59" s="164">
        <f ca="1"/>
        <v>2.0247272944255977E-3</v>
      </c>
      <c r="Q59" s="164">
        <f ca="1"/>
        <v>8.7646113508726101E-2</v>
      </c>
      <c r="R59" s="164">
        <f ca="1"/>
        <v>0.14786752983525425</v>
      </c>
      <c r="S59" s="164">
        <f ca="1"/>
        <v>0.48494778824580281</v>
      </c>
      <c r="T59" s="128">
        <f t="shared" ca="1" si="46"/>
        <v>0.99999999999999956</v>
      </c>
      <c r="U59" s="141">
        <f t="shared" ca="1" si="47"/>
        <v>0.36718468191894255</v>
      </c>
      <c r="V59" s="141">
        <f t="shared" ca="1" si="39"/>
        <v>0.6328153180810574</v>
      </c>
      <c r="W59" s="141" cm="1">
        <f t="array" aca="1" ref="W59" ca="1">SUMPRODUCT(H58:I58, TRANSPOSE(OFFSET(E.TPMs!$N$8:$N$9, INT(($F58-70)/5)*12, $G59*15)))
+SUMPRODUCT(H58:I58, TRANSPOSE(OFFSET(E.TPMs!$O$8:$O$9, INT(($F58-70)/5)*12, $G59*15)))
+SUMPRODUCT(H58:I58, TRANSPOSE(OFFSET(E.TPMs!$P$8:$P$9, INT(($F58-70)/5)*12, $G59*15)))</f>
        <v>8.472569183118955E-4</v>
      </c>
      <c r="X59" s="141">
        <f t="shared" ca="1" si="48"/>
        <v>5.1763429263439551E-3</v>
      </c>
      <c r="Y59" s="141" cm="1">
        <f t="array" aca="1" ref="Y59" ca="1">SUMPRODUCT(H58:M58, TRANSPOSE(OFFSET(E.TPMs!$R$8:$R$13, INT(($F58-70)/5)*12, $G59*15)))
+SUMPRODUCT(H58:M58, TRANSPOSE(OFFSET(E.TPMs!$S$8:$S$13, INT(($F58-70)/5)*12, $G59*15)))</f>
        <v>3.0971129811216231E-3</v>
      </c>
      <c r="Z59" s="141" cm="1">
        <f t="array" aca="1" ref="Z59" ca="1">SUMPRODUCT(H58:N58, TRANSPOSE(OFFSET(E.TPMs!$S$8:$S$14, INT(($F58-70)/5)*12, $G59*15)))</f>
        <v>2.8244400001427783E-3</v>
      </c>
      <c r="AB59" s="164">
        <f t="array" aca="1" ref="AB59:AM59" ca="1">MMULT(AB58:AM58, OFFSET(E.rngTPM_Root, INT(($F58-70)/5)*12, $G59*15))</f>
        <v>5.7291699471234483E-2</v>
      </c>
      <c r="AC59" s="164">
        <f ca="1"/>
        <v>0</v>
      </c>
      <c r="AD59" s="164">
        <f ca="1"/>
        <v>4.0143591494613065E-3</v>
      </c>
      <c r="AE59" s="164">
        <f ca="1"/>
        <v>1.6540246595303002E-3</v>
      </c>
      <c r="AF59" s="164">
        <f ca="1"/>
        <v>1.4110844782649272E-4</v>
      </c>
      <c r="AG59" s="164">
        <f ca="1"/>
        <v>0.10655651542019413</v>
      </c>
      <c r="AH59" s="164">
        <f ca="1"/>
        <v>3.712893683438357E-2</v>
      </c>
      <c r="AI59" s="164">
        <f ca="1"/>
        <v>9.1949048217956714E-2</v>
      </c>
      <c r="AJ59" s="164">
        <f ca="1"/>
        <v>2.064575797517192E-3</v>
      </c>
      <c r="AK59" s="164">
        <f ca="1"/>
        <v>8.6054579660926903E-2</v>
      </c>
      <c r="AL59" s="164">
        <f ca="1"/>
        <v>0.11487251953676761</v>
      </c>
      <c r="AM59" s="164">
        <f ca="1"/>
        <v>0.49827263280420203</v>
      </c>
      <c r="AN59" s="128">
        <f t="shared" ca="1" si="49"/>
        <v>1.0000000000000007</v>
      </c>
      <c r="AO59" s="141">
        <f t="shared" ca="1" si="50"/>
        <v>0.38685484765903111</v>
      </c>
      <c r="AP59" s="141">
        <f t="shared" ca="1" si="41"/>
        <v>0.61314515234096889</v>
      </c>
      <c r="AQ59" s="141" cm="1">
        <f t="array" aca="1" ref="AQ59" ca="1">SUMPRODUCT(AB58:AC58, TRANSPOSE(OFFSET(E.TPMs!$N$8:$N$9, INT(($F58-70)/5)*12, $G59*15)))
+SUMPRODUCT(AB58:AC58, TRANSPOSE(OFFSET(E.TPMs!$O$8:$O$9, INT(($F58-70)/5)*12, $G59*15)))
+SUMPRODUCT(AB58:AC58, TRANSPOSE(OFFSET(E.TPMs!$P$8:$P$9, INT(($F58-70)/5)*12, $G59*15)))</f>
        <v>2.0842946223026131E-3</v>
      </c>
      <c r="AR59" s="141">
        <f t="shared" ca="1" si="42"/>
        <v>5.8094922568181001E-3</v>
      </c>
      <c r="AS59" s="141" cm="1">
        <f t="array" aca="1" ref="AS59" ca="1">SUMPRODUCT(AB58:AG58, TRANSPOSE(OFFSET(E.TPMs!$R$8:$R$13, INT(($F58-70)/5)*12, $G59*15)))
+SUMPRODUCT(AB58:AG58, TRANSPOSE(OFFSET(E.TPMs!$S$8:$S$13, INT(($F58-70)/5)*12, $G59*15)))</f>
        <v>3.4759393143663731E-3</v>
      </c>
      <c r="AT59" s="141" cm="1">
        <f t="array" aca="1" ref="AT59" ca="1">SUMPRODUCT(AB58:AH58, TRANSPOSE(OFFSET(E.TPMs!$S$8:$S$14, INT(($F58-70)/5)*12, $G59*15)))</f>
        <v>3.012765983465802E-3</v>
      </c>
    </row>
    <row r="60" spans="4:46" ht="12" customHeight="1" x14ac:dyDescent="0.25">
      <c r="D60" s="62">
        <f t="shared" si="43"/>
        <v>49</v>
      </c>
      <c r="E60" s="62">
        <f t="shared" si="44"/>
        <v>12.25</v>
      </c>
      <c r="F60" s="63">
        <f t="shared" si="45"/>
        <v>82.25</v>
      </c>
      <c r="G60" s="62">
        <f>IF(AND(E59&lt;E.maxDurHPE, E60&gt;=E.maxDurHPE), 1, 0)</f>
        <v>0</v>
      </c>
      <c r="H60" s="164">
        <f t="array" aca="1" ref="H60:S60" ca="1">MMULT(H59:S59, OFFSET(E.rngTPM_Root, INT(($F59-70)/5)*12, $G60*15))</f>
        <v>2.1593907054902696E-2</v>
      </c>
      <c r="I60" s="164">
        <f ca="1"/>
        <v>0</v>
      </c>
      <c r="J60" s="164">
        <f ca="1"/>
        <v>3.4029497347313228E-3</v>
      </c>
      <c r="K60" s="164">
        <f ca="1"/>
        <v>1.4021074265721861E-3</v>
      </c>
      <c r="L60" s="164">
        <f ca="1"/>
        <v>1.1961683975484579E-4</v>
      </c>
      <c r="M60" s="164">
        <f ca="1"/>
        <v>0.11729930569508459</v>
      </c>
      <c r="N60" s="164">
        <f ca="1"/>
        <v>3.4635661319249222E-2</v>
      </c>
      <c r="O60" s="164">
        <f ca="1"/>
        <v>8.6266061874479508E-2</v>
      </c>
      <c r="P60" s="164">
        <f ca="1"/>
        <v>1.9386388673164794E-3</v>
      </c>
      <c r="Q60" s="164">
        <f ca="1"/>
        <v>8.8037975607813498E-2</v>
      </c>
      <c r="R60" s="164">
        <f ca="1"/>
        <v>0.14889272223944264</v>
      </c>
      <c r="S60" s="164">
        <f ca="1"/>
        <v>0.49641105334065266</v>
      </c>
      <c r="T60" s="128">
        <f t="shared" ca="1" si="46"/>
        <v>0.99999999999999978</v>
      </c>
      <c r="U60" s="141">
        <f t="shared" ca="1" si="47"/>
        <v>0.35469622441990439</v>
      </c>
      <c r="V60" s="141">
        <f t="shared" ca="1" si="39"/>
        <v>0.64530377558009566</v>
      </c>
      <c r="W60" s="141" cm="1">
        <f t="array" aca="1" ref="W60" ca="1">SUMPRODUCT(H59:I59, TRANSPOSE(OFFSET(E.TPMs!$N$8:$N$9, INT(($F59-70)/5)*12, $G60*15)))
+SUMPRODUCT(H59:I59, TRANSPOSE(OFFSET(E.TPMs!$O$8:$O$9, INT(($F59-70)/5)*12, $G60*15)))
+SUMPRODUCT(H59:I59, TRANSPOSE(OFFSET(E.TPMs!$P$8:$P$9, INT(($F59-70)/5)*12, $G60*15)))</f>
        <v>7.8559485517852709E-4</v>
      </c>
      <c r="X60" s="141">
        <f t="shared" ca="1" si="48"/>
        <v>4.9246740010583543E-3</v>
      </c>
      <c r="Y60" s="141" cm="1">
        <f t="array" aca="1" ref="Y60" ca="1">SUMPRODUCT(H59:M59, TRANSPOSE(OFFSET(E.TPMs!$R$8:$R$13, INT(($F59-70)/5)*12, $G60*15)))
+SUMPRODUCT(H59:M59, TRANSPOSE(OFFSET(E.TPMs!$S$8:$S$13, INT(($F59-70)/5)*12, $G60*15)))</f>
        <v>2.9465342604815016E-3</v>
      </c>
      <c r="Z60" s="141" cm="1">
        <f t="array" aca="1" ref="Z60" ca="1">SUMPRODUCT(H59:N59, TRANSPOSE(OFFSET(E.TPMs!$S$8:$S$14, INT(($F59-70)/5)*12, $G60*15)))</f>
        <v>2.6818822904585617E-3</v>
      </c>
      <c r="AB60" s="164">
        <f t="array" aca="1" ref="AB60:AM60" ca="1">MMULT(AB59:AM59, OFFSET(E.rngTPM_Root, INT(($F59-70)/5)*12, $G60*15))</f>
        <v>5.3122097177691736E-2</v>
      </c>
      <c r="AC60" s="164">
        <f ca="1"/>
        <v>0</v>
      </c>
      <c r="AD60" s="164">
        <f ca="1"/>
        <v>3.8191847826872061E-3</v>
      </c>
      <c r="AE60" s="164">
        <f ca="1"/>
        <v>1.573607536016104E-3</v>
      </c>
      <c r="AF60" s="164">
        <f ca="1"/>
        <v>1.3424788779047611E-4</v>
      </c>
      <c r="AG60" s="164">
        <f ca="1"/>
        <v>0.10275997158732621</v>
      </c>
      <c r="AH60" s="164">
        <f ca="1"/>
        <v>3.5362507211033081E-2</v>
      </c>
      <c r="AI60" s="164">
        <f ca="1"/>
        <v>8.843486386266565E-2</v>
      </c>
      <c r="AJ60" s="164">
        <f ca="1"/>
        <v>1.9811457197695479E-3</v>
      </c>
      <c r="AK60" s="164">
        <f ca="1"/>
        <v>8.6514545746948751E-2</v>
      </c>
      <c r="AL60" s="164">
        <f ca="1"/>
        <v>0.11602310932933527</v>
      </c>
      <c r="AM60" s="164">
        <f ca="1"/>
        <v>0.51027471915873668</v>
      </c>
      <c r="AN60" s="128">
        <f t="shared" ca="1" si="49"/>
        <v>1.0000000000000007</v>
      </c>
      <c r="AO60" s="141">
        <f t="shared" ca="1" si="50"/>
        <v>0.37370217151192875</v>
      </c>
      <c r="AP60" s="141">
        <f t="shared" ca="1" si="41"/>
        <v>0.62629782848807125</v>
      </c>
      <c r="AQ60" s="141" cm="1">
        <f t="array" aca="1" ref="AQ60" ca="1">SUMPRODUCT(AB59:AC59, TRANSPOSE(OFFSET(E.TPMs!$N$8:$N$9, INT(($F59-70)/5)*12, $G60*15)))
+SUMPRODUCT(AB59:AC59, TRANSPOSE(OFFSET(E.TPMs!$O$8:$O$9, INT(($F59-70)/5)*12, $G60*15)))
+SUMPRODUCT(AB59:AC59, TRANSPOSE(OFFSET(E.TPMs!$P$8:$P$9, INT(($F59-70)/5)*12, $G60*15)))</f>
        <v>1.9326028463947389E-3</v>
      </c>
      <c r="AR60" s="141">
        <f t="shared" ca="1" si="42"/>
        <v>5.527040206493786E-3</v>
      </c>
      <c r="AS60" s="141" cm="1">
        <f t="array" aca="1" ref="AS60" ca="1">SUMPRODUCT(AB59:AG59, TRANSPOSE(OFFSET(E.TPMs!$R$8:$R$13, INT(($F59-70)/5)*12, $G60*15)))
+SUMPRODUCT(AB59:AG59, TRANSPOSE(OFFSET(E.TPMs!$S$8:$S$13, INT(($F59-70)/5)*12, $G60*15)))</f>
        <v>3.3069424136486351E-3</v>
      </c>
      <c r="AT60" s="141" cm="1">
        <f t="array" aca="1" ref="AT60" ca="1">SUMPRODUCT(AB59:AH59, TRANSPOSE(OFFSET(E.TPMs!$S$8:$S$14, INT(($F59-70)/5)*12, $G60*15)))</f>
        <v>2.8678564217022584E-3</v>
      </c>
    </row>
    <row r="61" spans="4:46" ht="12" customHeight="1" x14ac:dyDescent="0.25">
      <c r="D61" s="62">
        <f t="shared" si="43"/>
        <v>50</v>
      </c>
      <c r="E61" s="62">
        <f t="shared" si="44"/>
        <v>12.5</v>
      </c>
      <c r="F61" s="63">
        <f t="shared" si="45"/>
        <v>82.5</v>
      </c>
      <c r="G61" s="62">
        <f>IF(AND(E60&lt;E.maxDurHPE, E61&gt;=E.maxDurHPE), 1, 0)</f>
        <v>0</v>
      </c>
      <c r="H61" s="164">
        <f t="array" aca="1" ref="H61:S61" ca="1">MMULT(H60:S60, OFFSET(E.rngTPM_Root, INT(($F60-70)/5)*12, $G61*15))</f>
        <v>2.0022335514633092E-2</v>
      </c>
      <c r="I61" s="164">
        <f ca="1"/>
        <v>0</v>
      </c>
      <c r="J61" s="164">
        <f ca="1"/>
        <v>3.2375015187366433E-3</v>
      </c>
      <c r="K61" s="164">
        <f ca="1"/>
        <v>1.3339382820233689E-3</v>
      </c>
      <c r="L61" s="164">
        <f ca="1"/>
        <v>1.1380118149272831E-4</v>
      </c>
      <c r="M61" s="164">
        <f ca="1"/>
        <v>0.11211801984556689</v>
      </c>
      <c r="N61" s="164">
        <f ca="1"/>
        <v>3.2834768382606648E-2</v>
      </c>
      <c r="O61" s="164">
        <f ca="1"/>
        <v>8.2850924984749816E-2</v>
      </c>
      <c r="P61" s="164">
        <f ca="1"/>
        <v>1.856066268746551E-3</v>
      </c>
      <c r="Q61" s="164">
        <f ca="1"/>
        <v>8.8338181280404771E-2</v>
      </c>
      <c r="R61" s="164">
        <f ca="1"/>
        <v>0.14986807075302247</v>
      </c>
      <c r="S61" s="164">
        <f ca="1"/>
        <v>0.50742639198801676</v>
      </c>
      <c r="T61" s="128">
        <f t="shared" ca="1" si="46"/>
        <v>0.99999999999999978</v>
      </c>
      <c r="U61" s="141">
        <f t="shared" ca="1" si="47"/>
        <v>0.34270553725896052</v>
      </c>
      <c r="V61" s="141">
        <f t="shared" ca="1" si="39"/>
        <v>0.65729446274103953</v>
      </c>
      <c r="W61" s="141" cm="1">
        <f t="array" aca="1" ref="W61" ca="1">SUMPRODUCT(H60:I60, TRANSPOSE(OFFSET(E.TPMs!$N$8:$N$9, INT(($F60-70)/5)*12, $G61*15)))
+SUMPRODUCT(H60:I60, TRANSPOSE(OFFSET(E.TPMs!$O$8:$O$9, INT(($F60-70)/5)*12, $G61*15)))
+SUMPRODUCT(H60:I60, TRANSPOSE(OFFSET(E.TPMs!$P$8:$P$9, INT(($F60-70)/5)*12, $G61*15)))</f>
        <v>7.2842046272412943E-4</v>
      </c>
      <c r="X61" s="141">
        <f t="shared" ca="1" si="48"/>
        <v>4.6852409822527403E-3</v>
      </c>
      <c r="Y61" s="141" cm="1">
        <f t="array" aca="1" ref="Y61" ca="1">SUMPRODUCT(H60:M60, TRANSPOSE(OFFSET(E.TPMs!$R$8:$R$13, INT(($F60-70)/5)*12, $G61*15)))
+SUMPRODUCT(H60:M60, TRANSPOSE(OFFSET(E.TPMs!$S$8:$S$13, INT(($F60-70)/5)*12, $G61*15)))</f>
        <v>2.8032765356352037E-3</v>
      </c>
      <c r="Z61" s="141" cm="1">
        <f t="array" aca="1" ref="Z61" ca="1">SUMPRODUCT(H60:N60, TRANSPOSE(OFFSET(E.TPMs!$S$8:$S$14, INT(($F60-70)/5)*12, $G61*15)))</f>
        <v>2.5467582346094678E-3</v>
      </c>
      <c r="AB61" s="164">
        <f t="array" aca="1" ref="AB61:AM61" ca="1">MMULT(AB60:AM60, OFFSET(E.rngTPM_Root, INT(($F60-70)/5)*12, $G61*15))</f>
        <v>4.9255952164117552E-2</v>
      </c>
      <c r="AC61" s="164">
        <f ca="1"/>
        <v>0</v>
      </c>
      <c r="AD61" s="164">
        <f ca="1"/>
        <v>3.6334996100851709E-3</v>
      </c>
      <c r="AE61" s="164">
        <f ca="1"/>
        <v>1.4971002174235162E-3</v>
      </c>
      <c r="AF61" s="164">
        <f ca="1"/>
        <v>1.2772088173179208E-4</v>
      </c>
      <c r="AG61" s="164">
        <f ca="1"/>
        <v>9.9047277007852819E-2</v>
      </c>
      <c r="AH61" s="164">
        <f ca="1"/>
        <v>3.3678240518583293E-2</v>
      </c>
      <c r="AI61" s="164">
        <f ca="1"/>
        <v>8.5039753432338286E-2</v>
      </c>
      <c r="AJ61" s="164">
        <f ca="1"/>
        <v>1.9008201030395963E-3</v>
      </c>
      <c r="AK61" s="164">
        <f ca="1"/>
        <v>8.6884225205901056E-2</v>
      </c>
      <c r="AL61" s="164">
        <f ca="1"/>
        <v>0.11711775852819414</v>
      </c>
      <c r="AM61" s="164">
        <f ca="1"/>
        <v>0.52181765233073352</v>
      </c>
      <c r="AN61" s="128">
        <f t="shared" ca="1" si="49"/>
        <v>1.0000000000000009</v>
      </c>
      <c r="AO61" s="141">
        <f t="shared" ca="1" si="50"/>
        <v>0.36106458914107309</v>
      </c>
      <c r="AP61" s="141">
        <f t="shared" ca="1" si="41"/>
        <v>0.63893541085892691</v>
      </c>
      <c r="AQ61" s="141" cm="1">
        <f t="array" aca="1" ref="AQ61" ca="1">SUMPRODUCT(AB60:AC60, TRANSPOSE(OFFSET(E.TPMs!$N$8:$N$9, INT(($F60-70)/5)*12, $G61*15)))
+SUMPRODUCT(AB60:AC60, TRANSPOSE(OFFSET(E.TPMs!$O$8:$O$9, INT(($F60-70)/5)*12, $G61*15)))
+SUMPRODUCT(AB60:AC60, TRANSPOSE(OFFSET(E.TPMs!$P$8:$P$9, INT(($F60-70)/5)*12, $G61*15)))</f>
        <v>1.7919509660140449E-3</v>
      </c>
      <c r="AR61" s="141">
        <f t="shared" ca="1" si="42"/>
        <v>5.2583207092404792E-3</v>
      </c>
      <c r="AS61" s="141" cm="1">
        <f t="array" aca="1" ref="AS61" ca="1">SUMPRODUCT(AB60:AG60, TRANSPOSE(OFFSET(E.TPMs!$R$8:$R$13, INT(($F60-70)/5)*12, $G61*15)))
+SUMPRODUCT(AB60:AG60, TRANSPOSE(OFFSET(E.TPMs!$S$8:$S$13, INT(($F60-70)/5)*12, $G61*15)))</f>
        <v>3.1461619833204422E-3</v>
      </c>
      <c r="AT61" s="141" cm="1">
        <f t="array" aca="1" ref="AT61" ca="1">SUMPRODUCT(AB60:AH60, TRANSPOSE(OFFSET(E.TPMs!$S$8:$S$14, INT(($F60-70)/5)*12, $G61*15)))</f>
        <v>2.7298416808375974E-3</v>
      </c>
    </row>
    <row r="62" spans="4:46" ht="12" customHeight="1" x14ac:dyDescent="0.25">
      <c r="D62" s="62">
        <f t="shared" si="43"/>
        <v>51</v>
      </c>
      <c r="E62" s="62">
        <f t="shared" si="44"/>
        <v>12.75</v>
      </c>
      <c r="F62" s="63">
        <f t="shared" si="45"/>
        <v>82.75</v>
      </c>
      <c r="G62" s="62">
        <f>IF(AND(E61&lt;E.maxDurHPE, E62&gt;=E.maxDurHPE), 1, 0)</f>
        <v>0</v>
      </c>
      <c r="H62" s="164">
        <f t="array" aca="1" ref="H62:S62" ca="1">MMULT(H61:S61, OFFSET(E.rngTPM_Root, INT(($F61-70)/5)*12, $G62*15))</f>
        <v>1.8565140548269535E-2</v>
      </c>
      <c r="I62" s="164">
        <f ca="1"/>
        <v>0</v>
      </c>
      <c r="J62" s="164">
        <f ca="1"/>
        <v>3.0800972394173834E-3</v>
      </c>
      <c r="K62" s="164">
        <f ca="1"/>
        <v>1.2690834571767707E-3</v>
      </c>
      <c r="L62" s="164">
        <f ca="1"/>
        <v>1.0826827506631428E-4</v>
      </c>
      <c r="M62" s="164">
        <f ca="1"/>
        <v>0.10715067499809905</v>
      </c>
      <c r="N62" s="164">
        <f ca="1"/>
        <v>3.1132658639641042E-2</v>
      </c>
      <c r="O62" s="164">
        <f ca="1"/>
        <v>7.9557008871706428E-2</v>
      </c>
      <c r="P62" s="164">
        <f ca="1"/>
        <v>1.7768869991925146E-3</v>
      </c>
      <c r="Q62" s="164">
        <f ca="1"/>
        <v>8.8551851355208738E-2</v>
      </c>
      <c r="R62" s="164">
        <f ca="1"/>
        <v>0.15079599873908234</v>
      </c>
      <c r="S62" s="164">
        <f ca="1"/>
        <v>0.5180123308771396</v>
      </c>
      <c r="T62" s="128">
        <f t="shared" ca="1" si="46"/>
        <v>0.99999999999999978</v>
      </c>
      <c r="U62" s="141">
        <f t="shared" ca="1" si="47"/>
        <v>0.33119167038377778</v>
      </c>
      <c r="V62" s="141">
        <f t="shared" ca="1" si="39"/>
        <v>0.66880832961622216</v>
      </c>
      <c r="W62" s="141" cm="1">
        <f t="array" aca="1" ref="W62" ca="1">SUMPRODUCT(H61:I61, TRANSPOSE(OFFSET(E.TPMs!$N$8:$N$9, INT(($F61-70)/5)*12, $G62*15)))
+SUMPRODUCT(H61:I61, TRANSPOSE(OFFSET(E.TPMs!$O$8:$O$9, INT(($F61-70)/5)*12, $G62*15)))
+SUMPRODUCT(H61:I61, TRANSPOSE(OFFSET(E.TPMs!$P$8:$P$9, INT(($F61-70)/5)*12, $G62*15)))</f>
        <v>6.7540713513794114E-4</v>
      </c>
      <c r="X62" s="141">
        <f t="shared" ca="1" si="48"/>
        <v>4.4574489716604684E-3</v>
      </c>
      <c r="Y62" s="141" cm="1">
        <f t="array" aca="1" ref="Y62" ca="1">SUMPRODUCT(H61:M61, TRANSPOSE(OFFSET(E.TPMs!$R$8:$R$13, INT(($F61-70)/5)*12, $G62*15)))
+SUMPRODUCT(H61:M61, TRANSPOSE(OFFSET(E.TPMs!$S$8:$S$13, INT(($F61-70)/5)*12, $G62*15)))</f>
        <v>2.6669838666524767E-3</v>
      </c>
      <c r="Z62" s="141" cm="1">
        <f t="array" aca="1" ref="Z62" ca="1">SUMPRODUCT(H61:N61, TRANSPOSE(OFFSET(E.TPMs!$S$8:$S$14, INT(($F61-70)/5)*12, $G62*15)))</f>
        <v>2.4186581658153482E-3</v>
      </c>
      <c r="AB62" s="164">
        <f t="array" aca="1" ref="AB62:AM62" ca="1">MMULT(AB61:AM61, OFFSET(E.rngTPM_Root, INT(($F61-70)/5)*12, $G62*15))</f>
        <v>4.5671179273635322E-2</v>
      </c>
      <c r="AC62" s="164">
        <f ca="1"/>
        <v>0</v>
      </c>
      <c r="AD62" s="164">
        <f ca="1"/>
        <v>3.4568422759581278E-3</v>
      </c>
      <c r="AE62" s="164">
        <f ca="1"/>
        <v>1.4243126127140018E-3</v>
      </c>
      <c r="AF62" s="164">
        <f ca="1"/>
        <v>1.2151121256973462E-4</v>
      </c>
      <c r="AG62" s="164">
        <f ca="1"/>
        <v>9.5421686359218535E-2</v>
      </c>
      <c r="AH62" s="164">
        <f ca="1"/>
        <v>3.2072499094008874E-2</v>
      </c>
      <c r="AI62" s="164">
        <f ca="1"/>
        <v>8.1761317976556988E-2</v>
      </c>
      <c r="AJ62" s="164">
        <f ca="1"/>
        <v>1.8235121747666862E-3</v>
      </c>
      <c r="AK62" s="164">
        <f ca="1"/>
        <v>8.7168310046362413E-2</v>
      </c>
      <c r="AL62" s="164">
        <f ca="1"/>
        <v>0.11815918691240426</v>
      </c>
      <c r="AM62" s="164">
        <f ca="1"/>
        <v>0.53291964206180575</v>
      </c>
      <c r="AN62" s="128">
        <f t="shared" ca="1" si="49"/>
        <v>1.0000000000000007</v>
      </c>
      <c r="AO62" s="141">
        <f t="shared" ca="1" si="50"/>
        <v>0.34892117102579068</v>
      </c>
      <c r="AP62" s="141">
        <f t="shared" ca="1" si="41"/>
        <v>0.65107882897420932</v>
      </c>
      <c r="AQ62" s="141" cm="1">
        <f t="array" aca="1" ref="AQ62" ca="1">SUMPRODUCT(AB61:AC61, TRANSPOSE(OFFSET(E.TPMs!$N$8:$N$9, INT(($F61-70)/5)*12, $G62*15)))
+SUMPRODUCT(AB61:AC61, TRANSPOSE(OFFSET(E.TPMs!$O$8:$O$9, INT(($F61-70)/5)*12, $G62*15)))
+SUMPRODUCT(AB61:AC61, TRANSPOSE(OFFSET(E.TPMs!$P$8:$P$9, INT(($F61-70)/5)*12, $G62*15)))</f>
        <v>1.6615355144430932E-3</v>
      </c>
      <c r="AR62" s="141">
        <f t="shared" ca="1" si="42"/>
        <v>5.0026661012418641E-3</v>
      </c>
      <c r="AS62" s="141" cm="1">
        <f t="array" aca="1" ref="AS62" ca="1">SUMPRODUCT(AB61:AG61, TRANSPOSE(OFFSET(E.TPMs!$R$8:$R$13, INT(($F61-70)/5)*12, $G62*15)))
+SUMPRODUCT(AB61:AG61, TRANSPOSE(OFFSET(E.TPMs!$S$8:$S$13, INT(($F61-70)/5)*12, $G62*15)))</f>
        <v>2.9931985463181165E-3</v>
      </c>
      <c r="AT62" s="141" cm="1">
        <f t="array" aca="1" ref="AT62" ca="1">SUMPRODUCT(AB61:AH61, TRANSPOSE(OFFSET(E.TPMs!$S$8:$S$14, INT(($F61-70)/5)*12, $G62*15)))</f>
        <v>2.5984009926077207E-3</v>
      </c>
    </row>
    <row r="63" spans="4:46" ht="12" customHeight="1" x14ac:dyDescent="0.25">
      <c r="D63" s="62">
        <f t="shared" si="43"/>
        <v>52</v>
      </c>
      <c r="E63" s="62">
        <f t="shared" si="44"/>
        <v>13</v>
      </c>
      <c r="F63" s="63">
        <f t="shared" si="45"/>
        <v>83</v>
      </c>
      <c r="G63" s="62">
        <f>IF(AND(E62&lt;E.maxDurHPE, E63&gt;=E.maxDurHPE), 1, 0)</f>
        <v>0</v>
      </c>
      <c r="H63" s="164">
        <f t="array" aca="1" ref="H63:S63" ca="1">MMULT(H62:S62, OFFSET(E.rngTPM_Root, INT(($F62-70)/5)*12, $G63*15))</f>
        <v>1.7213998003634871E-2</v>
      </c>
      <c r="I63" s="164">
        <f ca="1"/>
        <v>0</v>
      </c>
      <c r="J63" s="164">
        <f ca="1"/>
        <v>2.930345808136843E-3</v>
      </c>
      <c r="K63" s="164">
        <f ca="1"/>
        <v>1.2073818129252321E-3</v>
      </c>
      <c r="L63" s="164">
        <f ca="1"/>
        <v>1.0300437334724951E-4</v>
      </c>
      <c r="M63" s="164">
        <f ca="1"/>
        <v>0.1023896328130626</v>
      </c>
      <c r="N63" s="164">
        <f ca="1"/>
        <v>2.9523451769473717E-2</v>
      </c>
      <c r="O63" s="164">
        <f ca="1"/>
        <v>7.6381837367551858E-2</v>
      </c>
      <c r="P63" s="164">
        <f ca="1"/>
        <v>1.7009806531613047E-3</v>
      </c>
      <c r="Q63" s="164">
        <f ca="1"/>
        <v>8.868389314411157E-2</v>
      </c>
      <c r="R63" s="164">
        <f ca="1"/>
        <v>0.15167881173907638</v>
      </c>
      <c r="S63" s="164">
        <f ca="1"/>
        <v>0.52818666251551805</v>
      </c>
      <c r="T63" s="128">
        <f t="shared" ca="1" si="46"/>
        <v>0.99999999999999967</v>
      </c>
      <c r="U63" s="141">
        <f t="shared" ca="1" si="47"/>
        <v>0.32013452574540524</v>
      </c>
      <c r="V63" s="141">
        <f t="shared" ca="1" si="39"/>
        <v>0.67986547425459476</v>
      </c>
      <c r="W63" s="141" cm="1">
        <f t="array" aca="1" ref="W63" ca="1">SUMPRODUCT(H62:I62, TRANSPOSE(OFFSET(E.TPMs!$N$8:$N$9, INT(($F62-70)/5)*12, $G63*15)))
+SUMPRODUCT(H62:I62, TRANSPOSE(OFFSET(E.TPMs!$O$8:$O$9, INT(($F62-70)/5)*12, $G63*15)))
+SUMPRODUCT(H62:I62, TRANSPOSE(OFFSET(E.TPMs!$P$8:$P$9, INT(($F62-70)/5)*12, $G63*15)))</f>
        <v>6.2625203648075667E-4</v>
      </c>
      <c r="X63" s="141">
        <f t="shared" ca="1" si="48"/>
        <v>4.2407319944093242E-3</v>
      </c>
      <c r="Y63" s="141" cm="1">
        <f t="array" aca="1" ref="Y63" ca="1">SUMPRODUCT(H62:M62, TRANSPOSE(OFFSET(E.TPMs!$R$8:$R$13, INT(($F62-70)/5)*12, $G63*15)))
+SUMPRODUCT(H62:M62, TRANSPOSE(OFFSET(E.TPMs!$S$8:$S$13, INT(($F62-70)/5)*12, $G63*15)))</f>
        <v>2.5373176190671039E-3</v>
      </c>
      <c r="Z63" s="141" cm="1">
        <f t="array" aca="1" ref="Z63" ca="1">SUMPRODUCT(H62:N62, TRANSPOSE(OFFSET(E.TPMs!$S$8:$S$14, INT(($F62-70)/5)*12, $G63*15)))</f>
        <v>2.2971969665608319E-3</v>
      </c>
      <c r="AB63" s="164">
        <f t="array" aca="1" ref="AB63:AM63" ca="1">MMULT(AB62:AM62, OFFSET(E.rngTPM_Root, INT(($F62-70)/5)*12, $G63*15))</f>
        <v>4.2347300673319675E-2</v>
      </c>
      <c r="AC63" s="164">
        <f ca="1"/>
        <v>0</v>
      </c>
      <c r="AD63" s="164">
        <f ca="1"/>
        <v>3.288773855289133E-3</v>
      </c>
      <c r="AE63" s="164">
        <f ca="1"/>
        <v>1.3550638728965559E-3</v>
      </c>
      <c r="AF63" s="164">
        <f ca="1"/>
        <v>1.1560345168281092E-4</v>
      </c>
      <c r="AG63" s="164">
        <f ca="1"/>
        <v>9.188576251511868E-2</v>
      </c>
      <c r="AH63" s="164">
        <f ca="1"/>
        <v>3.0541787862226125E-2</v>
      </c>
      <c r="AI63" s="164">
        <f ca="1"/>
        <v>7.8597042785107846E-2</v>
      </c>
      <c r="AJ63" s="164">
        <f ca="1"/>
        <v>1.7491348412386606E-3</v>
      </c>
      <c r="AK63" s="164">
        <f ca="1"/>
        <v>8.7371321645099032E-2</v>
      </c>
      <c r="AL63" s="164">
        <f ca="1"/>
        <v>0.11914998202792539</v>
      </c>
      <c r="AM63" s="164">
        <f ca="1"/>
        <v>0.54359822647009681</v>
      </c>
      <c r="AN63" s="128">
        <f t="shared" ca="1" si="49"/>
        <v>1.0000000000000007</v>
      </c>
      <c r="AO63" s="141">
        <f t="shared" ca="1" si="50"/>
        <v>0.33725179150197848</v>
      </c>
      <c r="AP63" s="141">
        <f t="shared" ca="1" si="41"/>
        <v>0.66274820849802152</v>
      </c>
      <c r="AQ63" s="141" cm="1">
        <f t="array" aca="1" ref="AQ63" ca="1">SUMPRODUCT(AB62:AC62, TRANSPOSE(OFFSET(E.TPMs!$N$8:$N$9, INT(($F62-70)/5)*12, $G63*15)))
+SUMPRODUCT(AB62:AC62, TRANSPOSE(OFFSET(E.TPMs!$O$8:$O$9, INT(($F62-70)/5)*12, $G63*15)))
+SUMPRODUCT(AB62:AC62, TRANSPOSE(OFFSET(E.TPMs!$P$8:$P$9, INT(($F62-70)/5)*12, $G63*15)))</f>
        <v>1.5406115000437108E-3</v>
      </c>
      <c r="AR63" s="141">
        <f t="shared" ca="1" si="42"/>
        <v>4.7594411798684991E-3</v>
      </c>
      <c r="AS63" s="141" cm="1">
        <f t="array" aca="1" ref="AS63" ca="1">SUMPRODUCT(AB62:AG62, TRANSPOSE(OFFSET(E.TPMs!$R$8:$R$13, INT(($F62-70)/5)*12, $G63*15)))
+SUMPRODUCT(AB62:AG62, TRANSPOSE(OFFSET(E.TPMs!$S$8:$S$13, INT(($F62-70)/5)*12, $G63*15)))</f>
        <v>2.8476720477771948E-3</v>
      </c>
      <c r="AT63" s="141" cm="1">
        <f t="array" aca="1" ref="AT63" ca="1">SUMPRODUCT(AB62:AH62, TRANSPOSE(OFFSET(E.TPMs!$S$8:$S$14, INT(($F62-70)/5)*12, $G63*15)))</f>
        <v>2.4732277969519672E-3</v>
      </c>
    </row>
    <row r="64" spans="4:46" ht="12" customHeight="1" x14ac:dyDescent="0.25">
      <c r="D64" s="62">
        <f t="shared" si="43"/>
        <v>53</v>
      </c>
      <c r="E64" s="62">
        <f t="shared" si="44"/>
        <v>13.25</v>
      </c>
      <c r="F64" s="63">
        <f t="shared" si="45"/>
        <v>83.25</v>
      </c>
      <c r="G64" s="62">
        <f>IF(AND(E63&lt;E.maxDurHPE, E64&gt;=E.maxDurHPE), 1, 0)</f>
        <v>0</v>
      </c>
      <c r="H64" s="164">
        <f t="array" aca="1" ref="H64:S64" ca="1">MMULT(H63:S63, OFFSET(E.rngTPM_Root, INT(($F63-70)/5)*12, $G64*15))</f>
        <v>1.5961189547620509E-2</v>
      </c>
      <c r="I64" s="164">
        <f ca="1"/>
        <v>0</v>
      </c>
      <c r="J64" s="164">
        <f ca="1"/>
        <v>2.7878751506200602E-3</v>
      </c>
      <c r="K64" s="164">
        <f ca="1"/>
        <v>1.1486800445934479E-3</v>
      </c>
      <c r="L64" s="164">
        <f ca="1"/>
        <v>9.7996397579632683E-5</v>
      </c>
      <c r="M64" s="164">
        <f ca="1"/>
        <v>9.7827425213110594E-2</v>
      </c>
      <c r="N64" s="164">
        <f ca="1"/>
        <v>2.8001656787322093E-2</v>
      </c>
      <c r="O64" s="164">
        <f ca="1"/>
        <v>7.3322769157456155E-2</v>
      </c>
      <c r="P64" s="164">
        <f ca="1"/>
        <v>1.6282291365058892E-3</v>
      </c>
      <c r="Q64" s="164">
        <f ca="1"/>
        <v>8.8739006386119784E-2</v>
      </c>
      <c r="R64" s="164">
        <f ca="1"/>
        <v>0.15251870320120131</v>
      </c>
      <c r="S64" s="164">
        <f ca="1"/>
        <v>0.53796646897787015</v>
      </c>
      <c r="T64" s="128">
        <f t="shared" ca="1" si="46"/>
        <v>0.99999999999999967</v>
      </c>
      <c r="U64" s="141">
        <f t="shared" ca="1" si="47"/>
        <v>0.30951482782092821</v>
      </c>
      <c r="V64" s="141">
        <f t="shared" ca="1" si="39"/>
        <v>0.69048517217907179</v>
      </c>
      <c r="W64" s="141" cm="1">
        <f t="array" aca="1" ref="W64" ca="1">SUMPRODUCT(H63:I63, TRANSPOSE(OFFSET(E.TPMs!$N$8:$N$9, INT(($F63-70)/5)*12, $G64*15)))
+SUMPRODUCT(H63:I63, TRANSPOSE(OFFSET(E.TPMs!$O$8:$O$9, INT(($F63-70)/5)*12, $G64*15)))
+SUMPRODUCT(H63:I63, TRANSPOSE(OFFSET(E.TPMs!$P$8:$P$9, INT(($F63-70)/5)*12, $G64*15)))</f>
        <v>5.8067437075001586E-4</v>
      </c>
      <c r="X64" s="141">
        <f t="shared" ca="1" si="48"/>
        <v>4.0345515927931409E-3</v>
      </c>
      <c r="Y64" s="141" cm="1">
        <f t="array" aca="1" ref="Y64" ca="1">SUMPRODUCT(H63:M63, TRANSPOSE(OFFSET(E.TPMs!$R$8:$R$13, INT(($F63-70)/5)*12, $G64*15)))
+SUMPRODUCT(H63:M63, TRANSPOSE(OFFSET(E.TPMs!$S$8:$S$13, INT(($F63-70)/5)*12, $G64*15)))</f>
        <v>2.4139556225021824E-3</v>
      </c>
      <c r="Z64" s="141" cm="1">
        <f t="array" aca="1" ref="Z64" ca="1">SUMPRODUCT(H63:N63, TRANSPOSE(OFFSET(E.TPMs!$S$8:$S$14, INT(($F63-70)/5)*12, $G64*15)))</f>
        <v>2.1820124304236634E-3</v>
      </c>
      <c r="AB64" s="164">
        <f t="array" aca="1" ref="AB64:AM64" ca="1">MMULT(AB63:AM63, OFFSET(E.rngTPM_Root, INT(($F63-70)/5)*12, $G64*15))</f>
        <v>3.926532887561672E-2</v>
      </c>
      <c r="AC64" s="164">
        <f ca="1"/>
        <v>0</v>
      </c>
      <c r="AD64" s="164">
        <f ca="1"/>
        <v>3.1288767631828052E-3</v>
      </c>
      <c r="AE64" s="164">
        <f ca="1"/>
        <v>1.289181941688048E-3</v>
      </c>
      <c r="AF64" s="164">
        <f ca="1"/>
        <v>1.0998292057459619E-4</v>
      </c>
      <c r="AG64" s="164">
        <f ca="1"/>
        <v>8.8441449012347767E-2</v>
      </c>
      <c r="AH64" s="164">
        <f ca="1"/>
        <v>2.9082750693480278E-2</v>
      </c>
      <c r="AI64" s="164">
        <f ca="1"/>
        <v>7.5544318862105816E-2</v>
      </c>
      <c r="AJ64" s="164">
        <f ca="1"/>
        <v>1.6776010261765502E-3</v>
      </c>
      <c r="AK64" s="164">
        <f ca="1"/>
        <v>8.7497613538888949E-2</v>
      </c>
      <c r="AL64" s="164">
        <f ca="1"/>
        <v>0.12009260561666603</v>
      </c>
      <c r="AM64" s="164">
        <f ca="1"/>
        <v>0.55387029074927319</v>
      </c>
      <c r="AN64" s="128">
        <f t="shared" ca="1" si="49"/>
        <v>1.0000000000000007</v>
      </c>
      <c r="AO64" s="141">
        <f t="shared" ca="1" si="50"/>
        <v>0.32603710363406152</v>
      </c>
      <c r="AP64" s="141">
        <f t="shared" ca="1" si="41"/>
        <v>0.67396289636593854</v>
      </c>
      <c r="AQ64" s="141" cm="1">
        <f t="array" aca="1" ref="AQ64" ca="1">SUMPRODUCT(AB63:AC63, TRANSPOSE(OFFSET(E.TPMs!$N$8:$N$9, INT(($F63-70)/5)*12, $G64*15)))
+SUMPRODUCT(AB63:AC63, TRANSPOSE(OFFSET(E.TPMs!$O$8:$O$9, INT(($F63-70)/5)*12, $G64*15)))
+SUMPRODUCT(AB63:AC63, TRANSPOSE(OFFSET(E.TPMs!$P$8:$P$9, INT(($F63-70)/5)*12, $G64*15)))</f>
        <v>1.4284881505301243E-3</v>
      </c>
      <c r="AR64" s="141">
        <f t="shared" ca="1" si="42"/>
        <v>4.5280416254454498E-3</v>
      </c>
      <c r="AS64" s="141" cm="1">
        <f t="array" aca="1" ref="AS64" ca="1">SUMPRODUCT(AB63:AG63, TRANSPOSE(OFFSET(E.TPMs!$R$8:$R$13, INT(($F63-70)/5)*12, $G64*15)))
+SUMPRODUCT(AB63:AG63, TRANSPOSE(OFFSET(E.TPMs!$S$8:$S$13, INT(($F63-70)/5)*12, $G64*15)))</f>
        <v>2.7092209107433245E-3</v>
      </c>
      <c r="AT64" s="141" cm="1">
        <f t="array" aca="1" ref="AT64" ca="1">SUMPRODUCT(AB63:AH63, TRANSPOSE(OFFSET(E.TPMs!$S$8:$S$14, INT(($F63-70)/5)*12, $G64*15)))</f>
        <v>2.3540291843907207E-3</v>
      </c>
    </row>
    <row r="65" spans="4:46" ht="12" customHeight="1" x14ac:dyDescent="0.25">
      <c r="D65" s="62">
        <f t="shared" si="43"/>
        <v>54</v>
      </c>
      <c r="E65" s="62">
        <f t="shared" si="44"/>
        <v>13.5</v>
      </c>
      <c r="F65" s="63">
        <f t="shared" si="45"/>
        <v>83.5</v>
      </c>
      <c r="G65" s="62">
        <f>IF(AND(E64&lt;E.maxDurHPE, E65&gt;=E.maxDurHPE), 1, 0)</f>
        <v>0</v>
      </c>
      <c r="H65" s="164">
        <f t="array" aca="1" ref="H65:S65" ca="1">MMULT(H64:S64, OFFSET(E.rngTPM_Root, INT(($F64-70)/5)*12, $G65*15))</f>
        <v>1.4799558575600839E-2</v>
      </c>
      <c r="I65" s="164">
        <f ca="1"/>
        <v>0</v>
      </c>
      <c r="J65" s="164">
        <f ca="1"/>
        <v>2.652331282493424E-3</v>
      </c>
      <c r="K65" s="164">
        <f ca="1"/>
        <v>1.0928323010352603E-3</v>
      </c>
      <c r="L65" s="164">
        <f ca="1"/>
        <v>9.3231904884375196E-5</v>
      </c>
      <c r="M65" s="164">
        <f ca="1"/>
        <v>9.3456760741408268E-2</v>
      </c>
      <c r="N65" s="164">
        <f ca="1"/>
        <v>2.6562143185713497E-2</v>
      </c>
      <c r="O65" s="164">
        <f ca="1"/>
        <v>7.037703047205672E-2</v>
      </c>
      <c r="P65" s="164">
        <f ca="1"/>
        <v>1.5585168462354552E-3</v>
      </c>
      <c r="Q65" s="164">
        <f ca="1"/>
        <v>8.872168929642546E-2</v>
      </c>
      <c r="R65" s="164">
        <f ca="1"/>
        <v>0.15331775993026525</v>
      </c>
      <c r="S65" s="164">
        <f ca="1"/>
        <v>0.54736814546388102</v>
      </c>
      <c r="T65" s="128">
        <f t="shared" ca="1" si="46"/>
        <v>0.99999999999999956</v>
      </c>
      <c r="U65" s="141">
        <f t="shared" ca="1" si="47"/>
        <v>0.29931409460585329</v>
      </c>
      <c r="V65" s="141">
        <f t="shared" ca="1" si="39"/>
        <v>0.70068590539414677</v>
      </c>
      <c r="W65" s="141" cm="1">
        <f t="array" aca="1" ref="W65" ca="1">SUMPRODUCT(H64:I64, TRANSPOSE(OFFSET(E.TPMs!$N$8:$N$9, INT(($F64-70)/5)*12, $G65*15)))
+SUMPRODUCT(H64:I64, TRANSPOSE(OFFSET(E.TPMs!$O$8:$O$9, INT(($F64-70)/5)*12, $G65*15)))
+SUMPRODUCT(H64:I64, TRANSPOSE(OFFSET(E.TPMs!$P$8:$P$9, INT(($F64-70)/5)*12, $G65*15)))</f>
        <v>5.3841377784691303E-4</v>
      </c>
      <c r="X65" s="141">
        <f t="shared" ca="1" si="48"/>
        <v>3.8383954884130597E-3</v>
      </c>
      <c r="Y65" s="141" cm="1">
        <f t="array" aca="1" ref="Y65" ca="1">SUMPRODUCT(H64:M64, TRANSPOSE(OFFSET(E.TPMs!$R$8:$R$13, INT(($F64-70)/5)*12, $G65*15)))
+SUMPRODUCT(H64:M64, TRANSPOSE(OFFSET(E.TPMs!$S$8:$S$13, INT(($F64-70)/5)*12, $G65*15)))</f>
        <v>2.2965913702015675E-3</v>
      </c>
      <c r="Z65" s="141" cm="1">
        <f t="array" aca="1" ref="Z65" ca="1">SUMPRODUCT(H64:N64, TRANSPOSE(OFFSET(E.TPMs!$S$8:$S$14, INT(($F64-70)/5)*12, $G65*15)))</f>
        <v>2.0727637462291866E-3</v>
      </c>
      <c r="AB65" s="164">
        <f t="array" aca="1" ref="AB65:AM65" ca="1">MMULT(AB64:AM64, OFFSET(E.rngTPM_Root, INT(($F64-70)/5)*12, $G65*15))</f>
        <v>3.6407658273286549E-2</v>
      </c>
      <c r="AC65" s="164">
        <f ca="1"/>
        <v>0</v>
      </c>
      <c r="AD65" s="164">
        <f ca="1"/>
        <v>2.9767537173286825E-3</v>
      </c>
      <c r="AE65" s="164">
        <f ca="1"/>
        <v>1.2265031280200324E-3</v>
      </c>
      <c r="AF65" s="164">
        <f ca="1"/>
        <v>1.0463565440335832E-4</v>
      </c>
      <c r="AG65" s="164">
        <f ca="1"/>
        <v>8.5090136168244207E-2</v>
      </c>
      <c r="AH65" s="164">
        <f ca="1"/>
        <v>2.7692166622025512E-2</v>
      </c>
      <c r="AI65" s="164">
        <f ca="1"/>
        <v>7.260046230494388E-2</v>
      </c>
      <c r="AJ65" s="164">
        <f ca="1"/>
        <v>1.6088239700675559E-3</v>
      </c>
      <c r="AK65" s="164">
        <f ca="1"/>
        <v>8.7551374497927478E-2</v>
      </c>
      <c r="AL65" s="164">
        <f ca="1"/>
        <v>0.12098939973295814</v>
      </c>
      <c r="AM65" s="164">
        <f ca="1"/>
        <v>0.5637520859307954</v>
      </c>
      <c r="AN65" s="128">
        <f t="shared" ca="1" si="49"/>
        <v>1.0000000000000009</v>
      </c>
      <c r="AO65" s="141">
        <f t="shared" ca="1" si="50"/>
        <v>0.31525851433624724</v>
      </c>
      <c r="AP65" s="141">
        <f t="shared" ca="1" si="41"/>
        <v>0.68474148566375281</v>
      </c>
      <c r="AQ65" s="141" cm="1">
        <f t="array" aca="1" ref="AQ65" ca="1">SUMPRODUCT(AB64:AC64, TRANSPOSE(OFFSET(E.TPMs!$N$8:$N$9, INT(($F64-70)/5)*12, $G65*15)))
+SUMPRODUCT(AB64:AC64, TRANSPOSE(OFFSET(E.TPMs!$O$8:$O$9, INT(($F64-70)/5)*12, $G65*15)))
+SUMPRODUCT(AB64:AC64, TRANSPOSE(OFFSET(E.TPMs!$P$8:$P$9, INT(($F64-70)/5)*12, $G65*15)))</f>
        <v>1.3245249669673884E-3</v>
      </c>
      <c r="AR65" s="141">
        <f t="shared" ca="1" si="42"/>
        <v>4.3078924997520737E-3</v>
      </c>
      <c r="AS65" s="141" cm="1">
        <f t="array" aca="1" ref="AS65" ca="1">SUMPRODUCT(AB64:AG64, TRANSPOSE(OFFSET(E.TPMs!$R$8:$R$13, INT(($F64-70)/5)*12, $G65*15)))
+SUMPRODUCT(AB64:AG64, TRANSPOSE(OFFSET(E.TPMs!$S$8:$S$13, INT(($F64-70)/5)*12, $G65*15)))</f>
        <v>2.5775011377936487E-3</v>
      </c>
      <c r="AT65" s="141" cm="1">
        <f t="array" aca="1" ref="AT65" ca="1">SUMPRODUCT(AB64:AH64, TRANSPOSE(OFFSET(E.TPMs!$S$8:$S$14, INT(($F64-70)/5)*12, $G65*15)))</f>
        <v>2.2405253527308781E-3</v>
      </c>
    </row>
    <row r="66" spans="4:46" ht="12" customHeight="1" x14ac:dyDescent="0.25">
      <c r="D66" s="62">
        <f t="shared" si="43"/>
        <v>55</v>
      </c>
      <c r="E66" s="62">
        <f t="shared" si="44"/>
        <v>13.75</v>
      </c>
      <c r="F66" s="63">
        <f t="shared" si="45"/>
        <v>83.75</v>
      </c>
      <c r="G66" s="62">
        <f>IF(AND(E65&lt;E.maxDurHPE, E66&gt;=E.maxDurHPE), 1, 0)</f>
        <v>0</v>
      </c>
      <c r="H66" s="164">
        <f t="array" aca="1" ref="H66:S66" ca="1">MMULT(H65:S65, OFFSET(E.rngTPM_Root, INT(($F65-70)/5)*12, $G66*15))</f>
        <v>1.3722469329693088E-2</v>
      </c>
      <c r="I66" s="164">
        <f ca="1"/>
        <v>0</v>
      </c>
      <c r="J66" s="164">
        <f ca="1"/>
        <v>2.5233774297706859E-3</v>
      </c>
      <c r="K66" s="164">
        <f ca="1"/>
        <v>1.0396998222500801E-3</v>
      </c>
      <c r="L66" s="164">
        <f ca="1"/>
        <v>8.8699057343468582E-5</v>
      </c>
      <c r="M66" s="164">
        <f ca="1"/>
        <v>8.9270529545539379E-2</v>
      </c>
      <c r="N66" s="164">
        <f ca="1"/>
        <v>2.5200114431968238E-2</v>
      </c>
      <c r="O66" s="164">
        <f ca="1"/>
        <v>6.7541744018937075E-2</v>
      </c>
      <c r="P66" s="164">
        <f ca="1"/>
        <v>1.4917308169588204E-3</v>
      </c>
      <c r="Q66" s="164">
        <f ca="1"/>
        <v>8.8636244681856505E-2</v>
      </c>
      <c r="R66" s="164">
        <f ca="1"/>
        <v>0.15407796727258896</v>
      </c>
      <c r="S66" s="164">
        <f ca="1"/>
        <v>0.55640742359309325</v>
      </c>
      <c r="T66" s="128">
        <f t="shared" ca="1" si="46"/>
        <v>0.99999999999999956</v>
      </c>
      <c r="U66" s="141">
        <f t="shared" ca="1" si="47"/>
        <v>0.28951460913431737</v>
      </c>
      <c r="V66" s="141">
        <f t="shared" ca="1" si="39"/>
        <v>0.71048539086568263</v>
      </c>
      <c r="W66" s="141" cm="1">
        <f t="array" aca="1" ref="W66" ca="1">SUMPRODUCT(H65:I65, TRANSPOSE(OFFSET(E.TPMs!$N$8:$N$9, INT(($F65-70)/5)*12, $G66*15)))
+SUMPRODUCT(H65:I65, TRANSPOSE(OFFSET(E.TPMs!$O$8:$O$9, INT(($F65-70)/5)*12, $G66*15)))
+SUMPRODUCT(H65:I65, TRANSPOSE(OFFSET(E.TPMs!$P$8:$P$9, INT(($F65-70)/5)*12, $G66*15)))</f>
        <v>4.9922884628256529E-4</v>
      </c>
      <c r="X66" s="141">
        <f t="shared" ca="1" si="48"/>
        <v>3.6517763093642346E-3</v>
      </c>
      <c r="Y66" s="141" cm="1">
        <f t="array" aca="1" ref="Y66" ca="1">SUMPRODUCT(H65:M65, TRANSPOSE(OFFSET(E.TPMs!$R$8:$R$13, INT(($F65-70)/5)*12, $G66*15)))
+SUMPRODUCT(H65:M65, TRANSPOSE(OFFSET(E.TPMs!$S$8:$S$13, INT(($F65-70)/5)*12, $G66*15)))</f>
        <v>2.1849332574793612E-3</v>
      </c>
      <c r="Z66" s="141" cm="1">
        <f t="array" aca="1" ref="Z66" ca="1">SUMPRODUCT(H65:N65, TRANSPOSE(OFFSET(E.TPMs!$S$8:$S$14, INT(($F65-70)/5)*12, $G66*15)))</f>
        <v>1.9691300944865444E-3</v>
      </c>
      <c r="AB66" s="164">
        <f t="array" aca="1" ref="AB66:AM66" ca="1">MMULT(AB65:AM65, OFFSET(E.rngTPM_Root, INT(($F65-70)/5)*12, $G66*15))</f>
        <v>3.3757964568266748E-2</v>
      </c>
      <c r="AC66" s="164">
        <f ca="1"/>
        <v>0</v>
      </c>
      <c r="AD66" s="164">
        <f ca="1"/>
        <v>2.8320267509086353E-3</v>
      </c>
      <c r="AE66" s="164">
        <f ca="1"/>
        <v>1.1668716993298777E-3</v>
      </c>
      <c r="AF66" s="164">
        <f ca="1"/>
        <v>9.9548367284837719E-5</v>
      </c>
      <c r="AG66" s="164">
        <f ca="1"/>
        <v>8.1832721363115257E-2</v>
      </c>
      <c r="AH66" s="164">
        <f ca="1"/>
        <v>2.6366945963157012E-2</v>
      </c>
      <c r="AI66" s="164">
        <f ca="1"/>
        <v>6.9762731756265059E-2</v>
      </c>
      <c r="AJ66" s="164">
        <f ca="1"/>
        <v>1.5427174937382069E-3</v>
      </c>
      <c r="AK66" s="164">
        <f ca="1"/>
        <v>8.7536631837149756E-2</v>
      </c>
      <c r="AL66" s="164">
        <f ca="1"/>
        <v>0.12184259256265446</v>
      </c>
      <c r="AM66" s="164">
        <f ca="1"/>
        <v>0.57325924763813096</v>
      </c>
      <c r="AN66" s="128">
        <f t="shared" ca="1" si="49"/>
        <v>1.0000000000000009</v>
      </c>
      <c r="AO66" s="141">
        <f t="shared" ca="1" si="50"/>
        <v>0.30489815979921536</v>
      </c>
      <c r="AP66" s="141">
        <f t="shared" ca="1" si="41"/>
        <v>0.69510184020078469</v>
      </c>
      <c r="AQ66" s="141" cm="1">
        <f t="array" aca="1" ref="AQ66" ca="1">SUMPRODUCT(AB65:AC65, TRANSPOSE(OFFSET(E.TPMs!$N$8:$N$9, INT(($F65-70)/5)*12, $G66*15)))
+SUMPRODUCT(AB65:AC65, TRANSPOSE(OFFSET(E.TPMs!$O$8:$O$9, INT(($F65-70)/5)*12, $G66*15)))
+SUMPRODUCT(AB65:AC65, TRANSPOSE(OFFSET(E.TPMs!$P$8:$P$9, INT(($F65-70)/5)*12, $G66*15)))</f>
        <v>1.2281280649537772E-3</v>
      </c>
      <c r="AR66" s="141">
        <f t="shared" ca="1" si="42"/>
        <v>4.0984468175233506E-3</v>
      </c>
      <c r="AS66" s="141" cm="1">
        <f t="array" aca="1" ref="AS66" ca="1">SUMPRODUCT(AB65:AG65, TRANSPOSE(OFFSET(E.TPMs!$R$8:$R$13, INT(($F65-70)/5)*12, $G66*15)))
+SUMPRODUCT(AB65:AG65, TRANSPOSE(OFFSET(E.TPMs!$S$8:$S$13, INT(($F65-70)/5)*12, $G66*15)))</f>
        <v>2.4521854563365167E-3</v>
      </c>
      <c r="AT66" s="141" cm="1">
        <f t="array" aca="1" ref="AT66" ca="1">SUMPRODUCT(AB65:AH65, TRANSPOSE(OFFSET(E.TPMs!$S$8:$S$14, INT(($F65-70)/5)*12, $G66*15)))</f>
        <v>2.132449078629695E-3</v>
      </c>
    </row>
    <row r="67" spans="4:46" ht="12" customHeight="1" x14ac:dyDescent="0.25">
      <c r="D67" s="62">
        <f t="shared" si="43"/>
        <v>56</v>
      </c>
      <c r="E67" s="62">
        <f t="shared" si="44"/>
        <v>14</v>
      </c>
      <c r="F67" s="63">
        <f t="shared" si="45"/>
        <v>84</v>
      </c>
      <c r="G67" s="62">
        <f>IF(AND(E66&lt;E.maxDurHPE, E67&gt;=E.maxDurHPE), 1, 0)</f>
        <v>0</v>
      </c>
      <c r="H67" s="164">
        <f t="array" aca="1" ref="H67:S67" ca="1">MMULT(H66:S66, OFFSET(E.rngTPM_Root, INT(($F66-70)/5)*12, $G67*15))</f>
        <v>1.2723768992327701E-2</v>
      </c>
      <c r="I67" s="164">
        <f ca="1"/>
        <v>0</v>
      </c>
      <c r="J67" s="164">
        <f ca="1"/>
        <v>2.400693192100109E-3</v>
      </c>
      <c r="K67" s="164">
        <f ca="1"/>
        <v>9.8915059461805776E-4</v>
      </c>
      <c r="L67" s="164">
        <f ca="1"/>
        <v>8.438659258734561E-5</v>
      </c>
      <c r="M67" s="164">
        <f ca="1"/>
        <v>8.5261807131420939E-2</v>
      </c>
      <c r="N67" s="164">
        <f ca="1"/>
        <v>2.3911083615892934E-2</v>
      </c>
      <c r="O67" s="164">
        <f ca="1"/>
        <v>6.4813954530048012E-2</v>
      </c>
      <c r="P67" s="164">
        <f ca="1"/>
        <v>1.4277608376963736E-3</v>
      </c>
      <c r="Q67" s="164">
        <f ca="1"/>
        <v>8.8486786088744149E-2</v>
      </c>
      <c r="R67" s="164">
        <f ca="1"/>
        <v>0.15480121404882208</v>
      </c>
      <c r="S67" s="164">
        <f ca="1"/>
        <v>0.56509939437574186</v>
      </c>
      <c r="T67" s="128">
        <f t="shared" ca="1" si="46"/>
        <v>0.99999999999999956</v>
      </c>
      <c r="U67" s="141">
        <f t="shared" ca="1" si="47"/>
        <v>0.28009939157543562</v>
      </c>
      <c r="V67" s="141">
        <f t="shared" ca="1" si="39"/>
        <v>0.71990060842456438</v>
      </c>
      <c r="W67" s="141" cm="1">
        <f t="array" aca="1" ref="W67" ca="1">SUMPRODUCT(H66:I66, TRANSPOSE(OFFSET(E.TPMs!$N$8:$N$9, INT(($F66-70)/5)*12, $G67*15)))
+SUMPRODUCT(H66:I66, TRANSPOSE(OFFSET(E.TPMs!$O$8:$O$9, INT(($F66-70)/5)*12, $G67*15)))
+SUMPRODUCT(H66:I66, TRANSPOSE(OFFSET(E.TPMs!$P$8:$P$9, INT(($F66-70)/5)*12, $G67*15)))</f>
        <v>4.6289573412715398E-4</v>
      </c>
      <c r="X67" s="141">
        <f t="shared" ca="1" si="48"/>
        <v>3.4742303793055124E-3</v>
      </c>
      <c r="Y67" s="141" cm="1">
        <f t="array" aca="1" ref="Y67" ca="1">SUMPRODUCT(H66:M66, TRANSPOSE(OFFSET(E.TPMs!$R$8:$R$13, INT(($F66-70)/5)*12, $G67*15)))
+SUMPRODUCT(H66:M66, TRANSPOSE(OFFSET(E.TPMs!$S$8:$S$13, INT(($F66-70)/5)*12, $G67*15)))</f>
        <v>2.0787038571952721E-3</v>
      </c>
      <c r="Z67" s="141" cm="1">
        <f t="array" aca="1" ref="Z67" ca="1">SUMPRODUCT(H66:N66, TRANSPOSE(OFFSET(E.TPMs!$S$8:$S$14, INT(($F66-70)/5)*12, $G67*15)))</f>
        <v>1.8708093469438549E-3</v>
      </c>
      <c r="AB67" s="164">
        <f t="array" aca="1" ref="AB67:AM67" ca="1">MMULT(AB66:AM66, OFFSET(E.rngTPM_Root, INT(($F66-70)/5)*12, $G67*15))</f>
        <v>3.1301111519949472E-2</v>
      </c>
      <c r="AC67" s="164">
        <f ca="1"/>
        <v>0</v>
      </c>
      <c r="AD67" s="164">
        <f ca="1"/>
        <v>2.6943362734957966E-3</v>
      </c>
      <c r="AE67" s="164">
        <f ca="1"/>
        <v>1.1101394946256983E-3</v>
      </c>
      <c r="AF67" s="164">
        <f ca="1"/>
        <v>9.4708419281973631E-5</v>
      </c>
      <c r="AG67" s="164">
        <f ca="1"/>
        <v>7.866966396204747E-2</v>
      </c>
      <c r="AH67" s="164">
        <f ca="1"/>
        <v>2.5104126360942579E-2</v>
      </c>
      <c r="AI67" s="164">
        <f ca="1"/>
        <v>6.7028344085160091E-2</v>
      </c>
      <c r="AJ67" s="164">
        <f ca="1"/>
        <v>1.4791962293823624E-3</v>
      </c>
      <c r="AK67" s="164">
        <f ca="1"/>
        <v>8.7457254926029113E-2</v>
      </c>
      <c r="AL67" s="164">
        <f ca="1"/>
        <v>0.12265430395930697</v>
      </c>
      <c r="AM67" s="164">
        <f ca="1"/>
        <v>0.58240681476977929</v>
      </c>
      <c r="AN67" s="128">
        <f t="shared" ca="1" si="49"/>
        <v>1.0000000000000009</v>
      </c>
      <c r="AO67" s="141">
        <f t="shared" ca="1" si="50"/>
        <v>0.29493888127091455</v>
      </c>
      <c r="AP67" s="141">
        <f t="shared" ca="1" si="41"/>
        <v>0.70506111872908539</v>
      </c>
      <c r="AQ67" s="141" cm="1">
        <f t="array" aca="1" ref="AQ67" ca="1">SUMPRODUCT(AB66:AC66, TRANSPOSE(OFFSET(E.TPMs!$N$8:$N$9, INT(($F66-70)/5)*12, $G67*15)))
+SUMPRODUCT(AB66:AC66, TRANSPOSE(OFFSET(E.TPMs!$O$8:$O$9, INT(($F66-70)/5)*12, $G67*15)))
+SUMPRODUCT(AB66:AC66, TRANSPOSE(OFFSET(E.TPMs!$P$8:$P$9, INT(($F66-70)/5)*12, $G67*15)))</f>
        <v>1.1387467820863247E-3</v>
      </c>
      <c r="AR67" s="141">
        <f t="shared" ca="1" si="42"/>
        <v>3.8991841874034686E-3</v>
      </c>
      <c r="AS67" s="141" cm="1">
        <f t="array" aca="1" ref="AS67" ca="1">SUMPRODUCT(AB66:AG66, TRANSPOSE(OFFSET(E.TPMs!$R$8:$R$13, INT(($F66-70)/5)*12, $G67*15)))
+SUMPRODUCT(AB66:AG66, TRANSPOSE(OFFSET(E.TPMs!$S$8:$S$13, INT(($F66-70)/5)*12, $G67*15)))</f>
        <v>2.33296250546592E-3</v>
      </c>
      <c r="AT67" s="141" cm="1">
        <f t="array" aca="1" ref="AT67" ca="1">SUMPRODUCT(AB66:AH66, TRANSPOSE(OFFSET(E.TPMs!$S$8:$S$14, INT(($F66-70)/5)*12, $G67*15)))</f>
        <v>2.0295452044039142E-3</v>
      </c>
    </row>
    <row r="68" spans="4:46" ht="12" customHeight="1" x14ac:dyDescent="0.25">
      <c r="D68" s="62">
        <f t="shared" si="43"/>
        <v>57</v>
      </c>
      <c r="E68" s="62">
        <f t="shared" si="44"/>
        <v>14.25</v>
      </c>
      <c r="F68" s="63">
        <f t="shared" si="45"/>
        <v>84.25</v>
      </c>
      <c r="G68" s="62">
        <f>IF(AND(E67&lt;E.maxDurHPE, E68&gt;=E.maxDurHPE), 1, 0)</f>
        <v>0</v>
      </c>
      <c r="H68" s="164">
        <f t="array" aca="1" ref="H68:S68" ca="1">MMULT(H67:S67, OFFSET(E.rngTPM_Root, INT(($F67-70)/5)*12, $G68*15))</f>
        <v>1.1797752538590715E-2</v>
      </c>
      <c r="I68" s="164">
        <f ca="1"/>
        <v>0</v>
      </c>
      <c r="J68" s="164">
        <f ca="1"/>
        <v>2.2839737466937545E-3</v>
      </c>
      <c r="K68" s="164">
        <f ca="1"/>
        <v>9.4105902289739671E-4</v>
      </c>
      <c r="L68" s="164">
        <f ca="1"/>
        <v>8.0283795812256388E-5</v>
      </c>
      <c r="M68" s="164">
        <f ca="1"/>
        <v>8.1423857018909113E-2</v>
      </c>
      <c r="N68" s="164">
        <f ca="1"/>
        <v>2.2690851060426672E-2</v>
      </c>
      <c r="O68" s="164">
        <f ca="1"/>
        <v>6.2190651266131783E-2</v>
      </c>
      <c r="P68" s="164">
        <f ca="1"/>
        <v>1.3664995424298829E-3</v>
      </c>
      <c r="Q68" s="164">
        <f ca="1"/>
        <v>8.82772439535255E-2</v>
      </c>
      <c r="R68" s="164">
        <f ca="1"/>
        <v>0.15548929724693047</v>
      </c>
      <c r="S68" s="164">
        <f ca="1"/>
        <v>0.57345853080765197</v>
      </c>
      <c r="T68" s="128">
        <f t="shared" ca="1" si="46"/>
        <v>0.99999999999999956</v>
      </c>
      <c r="U68" s="141">
        <f t="shared" ca="1" si="47"/>
        <v>0.27105217194541709</v>
      </c>
      <c r="V68" s="141">
        <f t="shared" ca="1" si="39"/>
        <v>0.72894782805458291</v>
      </c>
      <c r="W68" s="141" cm="1">
        <f t="array" aca="1" ref="W68" ca="1">SUMPRODUCT(H67:I67, TRANSPOSE(OFFSET(E.TPMs!$N$8:$N$9, INT(($F67-70)/5)*12, $G68*15)))
+SUMPRODUCT(H67:I67, TRANSPOSE(OFFSET(E.TPMs!$O$8:$O$9, INT(($F67-70)/5)*12, $G68*15)))
+SUMPRODUCT(H67:I67, TRANSPOSE(OFFSET(E.TPMs!$P$8:$P$9, INT(($F67-70)/5)*12, $G68*15)))</f>
        <v>4.2920689032427791E-4</v>
      </c>
      <c r="X68" s="141">
        <f t="shared" ca="1" si="48"/>
        <v>3.3053165654034077E-3</v>
      </c>
      <c r="Y68" s="141" cm="1">
        <f t="array" aca="1" ref="Y68" ca="1">SUMPRODUCT(H67:M67, TRANSPOSE(OFFSET(E.TPMs!$R$8:$R$13, INT(($F67-70)/5)*12, $G68*15)))
+SUMPRODUCT(H67:M67, TRANSPOSE(OFFSET(E.TPMs!$S$8:$S$13, INT(($F67-70)/5)*12, $G68*15)))</f>
        <v>1.9776392304556782E-3</v>
      </c>
      <c r="Z68" s="141" cm="1">
        <f t="array" aca="1" ref="Z68" ca="1">SUMPRODUCT(H67:N67, TRANSPOSE(OFFSET(E.TPMs!$S$8:$S$14, INT(($F67-70)/5)*12, $G68*15)))</f>
        <v>1.7775168609006561E-3</v>
      </c>
      <c r="AB68" s="164">
        <f t="array" aca="1" ref="AB68:AM68" ca="1">MMULT(AB67:AM67, OFFSET(E.rngTPM_Root, INT(($F67-70)/5)*12, $G68*15))</f>
        <v>2.9023064480176324E-2</v>
      </c>
      <c r="AC68" s="164">
        <f ca="1"/>
        <v>0</v>
      </c>
      <c r="AD68" s="164">
        <f ca="1"/>
        <v>2.5633401776116961E-3</v>
      </c>
      <c r="AE68" s="164">
        <f ca="1"/>
        <v>1.0561655563637038E-3</v>
      </c>
      <c r="AF68" s="164">
        <f ca="1"/>
        <v>9.0103784999558643E-5</v>
      </c>
      <c r="AG68" s="164">
        <f ca="1"/>
        <v>7.5601035313563769E-2</v>
      </c>
      <c r="AH68" s="164">
        <f ca="1"/>
        <v>2.3900868794797785E-2</v>
      </c>
      <c r="AI68" s="164">
        <f ca="1"/>
        <v>6.4394488442559114E-2</v>
      </c>
      <c r="AJ68" s="164">
        <f ca="1"/>
        <v>1.4181758220020021E-3</v>
      </c>
      <c r="AK68" s="164">
        <f ca="1"/>
        <v>8.7316958861284752E-2</v>
      </c>
      <c r="AL68" s="164">
        <f ca="1"/>
        <v>0.12342655071118144</v>
      </c>
      <c r="AM68" s="164">
        <f ca="1"/>
        <v>0.59120924805546071</v>
      </c>
      <c r="AN68" s="128">
        <f t="shared" ca="1" si="49"/>
        <v>1.0000000000000009</v>
      </c>
      <c r="AO68" s="141">
        <f t="shared" ca="1" si="50"/>
        <v>0.28536420123335871</v>
      </c>
      <c r="AP68" s="141">
        <f t="shared" ca="1" si="41"/>
        <v>0.71463579876664129</v>
      </c>
      <c r="AQ68" s="141" cm="1">
        <f t="array" aca="1" ref="AQ68" ca="1">SUMPRODUCT(AB67:AC67, TRANSPOSE(OFFSET(E.TPMs!$N$8:$N$9, INT(($F67-70)/5)*12, $G68*15)))
+SUMPRODUCT(AB67:AC67, TRANSPOSE(OFFSET(E.TPMs!$O$8:$O$9, INT(($F67-70)/5)*12, $G68*15)))
+SUMPRODUCT(AB67:AC67, TRANSPOSE(OFFSET(E.TPMs!$P$8:$P$9, INT(($F67-70)/5)*12, $G68*15)))</f>
        <v>1.0558705323298386E-3</v>
      </c>
      <c r="AR68" s="141">
        <f t="shared" ca="1" si="42"/>
        <v>3.7096095189749585E-3</v>
      </c>
      <c r="AS68" s="141" cm="1">
        <f t="array" aca="1" ref="AS68" ca="1">SUMPRODUCT(AB67:AG67, TRANSPOSE(OFFSET(E.TPMs!$R$8:$R$13, INT(($F67-70)/5)*12, $G68*15)))
+SUMPRODUCT(AB67:AG67, TRANSPOSE(OFFSET(E.TPMs!$S$8:$S$13, INT(($F67-70)/5)*12, $G68*15)))</f>
        <v>2.2195360623502997E-3</v>
      </c>
      <c r="AT68" s="141" cm="1">
        <f t="array" aca="1" ref="AT68" ca="1">SUMPRODUCT(AB67:AH67, TRANSPOSE(OFFSET(E.TPMs!$S$8:$S$14, INT(($F67-70)/5)*12, $G68*15)))</f>
        <v>1.9315701403457919E-3</v>
      </c>
    </row>
    <row r="69" spans="4:46" ht="12" customHeight="1" x14ac:dyDescent="0.25">
      <c r="D69" s="62">
        <f t="shared" si="43"/>
        <v>58</v>
      </c>
      <c r="E69" s="62">
        <f t="shared" si="44"/>
        <v>14.5</v>
      </c>
      <c r="F69" s="63">
        <f t="shared" si="45"/>
        <v>84.5</v>
      </c>
      <c r="G69" s="62">
        <f>IF(AND(E68&lt;E.maxDurHPE, E69&gt;=E.maxDurHPE), 1, 0)</f>
        <v>0</v>
      </c>
      <c r="H69" s="164">
        <f t="array" aca="1" ref="H69:S69" ca="1">MMULT(H68:S68, OFFSET(E.rngTPM_Root, INT(($F68-70)/5)*12, $G69*15))</f>
        <v>1.0939130146558928E-2</v>
      </c>
      <c r="I69" s="164">
        <f ca="1"/>
        <v>0</v>
      </c>
      <c r="J69" s="164">
        <f ca="1"/>
        <v>2.1729290909609815E-3</v>
      </c>
      <c r="K69" s="164">
        <f ca="1"/>
        <v>8.9530561816884705E-4</v>
      </c>
      <c r="L69" s="164">
        <f ca="1"/>
        <v>7.6380473158133236E-5</v>
      </c>
      <c r="M69" s="164">
        <f ca="1"/>
        <v>7.7750132419145301E-2</v>
      </c>
      <c r="N69" s="164">
        <f ca="1"/>
        <v>2.153548372502723E-2</v>
      </c>
      <c r="O69" s="164">
        <f ca="1"/>
        <v>5.9668787786660404E-2</v>
      </c>
      <c r="P69" s="164">
        <f ca="1"/>
        <v>1.307842477427655E-3</v>
      </c>
      <c r="Q69" s="164">
        <f ca="1"/>
        <v>8.801137173024727E-2</v>
      </c>
      <c r="R69" s="164">
        <f ca="1"/>
        <v>0.15614392648701503</v>
      </c>
      <c r="S69" s="164">
        <f ca="1"/>
        <v>0.5814987100456297</v>
      </c>
      <c r="T69" s="128">
        <f t="shared" ca="1" si="46"/>
        <v>0.99999999999999944</v>
      </c>
      <c r="U69" s="141">
        <f t="shared" ca="1" si="47"/>
        <v>0.26235736346735472</v>
      </c>
      <c r="V69" s="141">
        <f t="shared" ca="1" si="39"/>
        <v>0.73764263653264528</v>
      </c>
      <c r="W69" s="141" cm="1">
        <f t="array" aca="1" ref="W69" ca="1">SUMPRODUCT(H68:I68, TRANSPOSE(OFFSET(E.TPMs!$N$8:$N$9, INT(($F68-70)/5)*12, $G69*15)))
+SUMPRODUCT(H68:I68, TRANSPOSE(OFFSET(E.TPMs!$O$8:$O$9, INT(($F68-70)/5)*12, $G69*15)))
+SUMPRODUCT(H68:I68, TRANSPOSE(OFFSET(E.TPMs!$P$8:$P$9, INT(($F68-70)/5)*12, $G69*15)))</f>
        <v>3.9796986906609358E-4</v>
      </c>
      <c r="X69" s="141">
        <f t="shared" ca="1" si="48"/>
        <v>3.144615182287962E-3</v>
      </c>
      <c r="Y69" s="141" cm="1">
        <f t="array" aca="1" ref="Y69" ca="1">SUMPRODUCT(H68:M68, TRANSPOSE(OFFSET(E.TPMs!$R$8:$R$13, INT(($F68-70)/5)*12, $G69*15)))
+SUMPRODUCT(H68:M68, TRANSPOSE(OFFSET(E.TPMs!$S$8:$S$13, INT(($F68-70)/5)*12, $G69*15)))</f>
        <v>1.8814882708277599E-3</v>
      </c>
      <c r="Z69" s="141" cm="1">
        <f t="array" aca="1" ref="Z69" ca="1">SUMPRODUCT(H68:N68, TRANSPOSE(OFFSET(E.TPMs!$S$8:$S$14, INT(($F68-70)/5)*12, $G69*15)))</f>
        <v>1.6889843606438426E-3</v>
      </c>
      <c r="AB69" s="164">
        <f t="array" aca="1" ref="AB69:AM69" ca="1">MMULT(AB68:AM68, OFFSET(E.rngTPM_Root, INT(($F68-70)/5)*12, $G69*15))</f>
        <v>2.6910810221024137E-2</v>
      </c>
      <c r="AC69" s="164">
        <f ca="1"/>
        <v>0</v>
      </c>
      <c r="AD69" s="164">
        <f ca="1"/>
        <v>2.438712988721752E-3</v>
      </c>
      <c r="AE69" s="164">
        <f ca="1"/>
        <v>1.0048157802233278E-3</v>
      </c>
      <c r="AF69" s="164">
        <f ca="1"/>
        <v>8.572302370579173E-5</v>
      </c>
      <c r="AG69" s="164">
        <f ca="1"/>
        <v>7.2626564228449153E-2</v>
      </c>
      <c r="AH69" s="164">
        <f ca="1"/>
        <v>2.275445356930219E-2</v>
      </c>
      <c r="AI69" s="164">
        <f ca="1"/>
        <v>6.1858338825272946E-2</v>
      </c>
      <c r="AJ69" s="164">
        <f ca="1"/>
        <v>1.359573103981121E-3</v>
      </c>
      <c r="AK69" s="164">
        <f ca="1"/>
        <v>8.7119308270483725E-2</v>
      </c>
      <c r="AL69" s="164">
        <f ca="1"/>
        <v>0.12416125155219472</v>
      </c>
      <c r="AM69" s="164">
        <f ca="1"/>
        <v>0.59968044843664203</v>
      </c>
      <c r="AN69" s="128">
        <f t="shared" ca="1" si="49"/>
        <v>1.0000000000000009</v>
      </c>
      <c r="AO69" s="141">
        <f t="shared" ca="1" si="50"/>
        <v>0.27615830001116415</v>
      </c>
      <c r="AP69" s="141">
        <f t="shared" ca="1" si="41"/>
        <v>0.72384169998883585</v>
      </c>
      <c r="AQ69" s="141" cm="1">
        <f t="array" aca="1" ref="AQ69" ca="1">SUMPRODUCT(AB68:AC68, TRANSPOSE(OFFSET(E.TPMs!$N$8:$N$9, INT(($F68-70)/5)*12, $G69*15)))
+SUMPRODUCT(AB68:AC68, TRANSPOSE(OFFSET(E.TPMs!$O$8:$O$9, INT(($F68-70)/5)*12, $G69*15)))
+SUMPRODUCT(AB68:AC68, TRANSPOSE(OFFSET(E.TPMs!$P$8:$P$9, INT(($F68-70)/5)*12, $G69*15)))</f>
        <v>9.7902588932012721E-4</v>
      </c>
      <c r="AR69" s="141">
        <f t="shared" ca="1" si="42"/>
        <v>3.5292517926508718E-3</v>
      </c>
      <c r="AS69" s="141" cm="1">
        <f t="array" aca="1" ref="AS69" ca="1">SUMPRODUCT(AB68:AG68, TRANSPOSE(OFFSET(E.TPMs!$R$8:$R$13, INT(($F68-70)/5)*12, $G69*15)))
+SUMPRODUCT(AB68:AG68, TRANSPOSE(OFFSET(E.TPMs!$S$8:$S$13, INT(($F68-70)/5)*12, $G69*15)))</f>
        <v>2.1116243062335996E-3</v>
      </c>
      <c r="AT69" s="141" cm="1">
        <f t="array" aca="1" ref="AT69" ca="1">SUMPRODUCT(AB68:AH68, TRANSPOSE(OFFSET(E.TPMs!$S$8:$S$14, INT(($F68-70)/5)*12, $G69*15)))</f>
        <v>1.8382913826986546E-3</v>
      </c>
    </row>
    <row r="70" spans="4:46" ht="12" customHeight="1" x14ac:dyDescent="0.25">
      <c r="D70" s="62">
        <f t="shared" si="43"/>
        <v>59</v>
      </c>
      <c r="E70" s="62">
        <f t="shared" si="44"/>
        <v>14.75</v>
      </c>
      <c r="F70" s="63">
        <f t="shared" si="45"/>
        <v>84.75</v>
      </c>
      <c r="G70" s="62">
        <f>IF(AND(E69&lt;E.maxDurHPE, E70&gt;=E.maxDurHPE), 1, 0)</f>
        <v>0</v>
      </c>
      <c r="H70" s="164">
        <f t="array" aca="1" ref="H70:S70" ca="1">MMULT(H69:S69, OFFSET(E.rngTPM_Root, INT(($F69-70)/5)*12, $G70*15))</f>
        <v>1.0142996979461033E-2</v>
      </c>
      <c r="I70" s="164">
        <f ca="1"/>
        <v>0</v>
      </c>
      <c r="J70" s="164">
        <f ca="1"/>
        <v>2.0672833219643892E-3</v>
      </c>
      <c r="K70" s="164">
        <f ca="1"/>
        <v>8.51776700952047E-4</v>
      </c>
      <c r="L70" s="164">
        <f ca="1"/>
        <v>7.266692638079873E-5</v>
      </c>
      <c r="M70" s="164">
        <f ca="1"/>
        <v>7.4234277043004185E-2</v>
      </c>
      <c r="N70" s="164">
        <f ca="1"/>
        <v>2.044129624703812E-2</v>
      </c>
      <c r="O70" s="164">
        <f ca="1"/>
        <v>5.7245299264293455E-2</v>
      </c>
      <c r="P70" s="164">
        <f ca="1"/>
        <v>1.2516881480817066E-3</v>
      </c>
      <c r="Q70" s="164">
        <f ca="1"/>
        <v>8.7692751972589633E-2</v>
      </c>
      <c r="R70" s="164">
        <f ca="1"/>
        <v>0.15676672826905502</v>
      </c>
      <c r="S70" s="164">
        <f ca="1"/>
        <v>0.58923323512717907</v>
      </c>
      <c r="T70" s="128">
        <f t="shared" ca="1" si="46"/>
        <v>0.99999999999999944</v>
      </c>
      <c r="U70" s="141">
        <f t="shared" ca="1" si="47"/>
        <v>0.25400003660376536</v>
      </c>
      <c r="V70" s="141">
        <f t="shared" ca="1" si="39"/>
        <v>0.74599996339623464</v>
      </c>
      <c r="W70" s="141" cm="1">
        <f t="array" aca="1" ref="W70" ca="1">SUMPRODUCT(H69:I69, TRANSPOSE(OFFSET(E.TPMs!$N$8:$N$9, INT(($F69-70)/5)*12, $G70*15)))
+SUMPRODUCT(H69:I69, TRANSPOSE(OFFSET(E.TPMs!$O$8:$O$9, INT(($F69-70)/5)*12, $G70*15)))
+SUMPRODUCT(H69:I69, TRANSPOSE(OFFSET(E.TPMs!$P$8:$P$9, INT(($F69-70)/5)*12, $G70*15)))</f>
        <v>3.6900623045641953E-4</v>
      </c>
      <c r="X70" s="141">
        <f t="shared" ca="1" si="48"/>
        <v>2.9917269492972351E-3</v>
      </c>
      <c r="Y70" s="141" cm="1">
        <f t="array" aca="1" ref="Y70" ca="1">SUMPRODUCT(H69:M69, TRANSPOSE(OFFSET(E.TPMs!$R$8:$R$13, INT(($F69-70)/5)*12, $G70*15)))
+SUMPRODUCT(H69:M69, TRANSPOSE(OFFSET(E.TPMs!$S$8:$S$13, INT(($F69-70)/5)*12, $G70*15)))</f>
        <v>1.7900120804373223E-3</v>
      </c>
      <c r="Z70" s="141" cm="1">
        <f t="array" aca="1" ref="Z70" ca="1">SUMPRODUCT(H69:N69, TRANSPOSE(OFFSET(E.TPMs!$S$8:$S$14, INT(($F69-70)/5)*12, $G70*15)))</f>
        <v>1.6049588990350153E-3</v>
      </c>
      <c r="AB70" s="164">
        <f t="array" aca="1" ref="AB70:AM70" ca="1">MMULT(AB69:AM69, OFFSET(E.rngTPM_Root, INT(($F69-70)/5)*12, $G70*15))</f>
        <v>2.4952282597401908E-2</v>
      </c>
      <c r="AC70" s="164">
        <f ca="1"/>
        <v>0</v>
      </c>
      <c r="AD70" s="164">
        <f ca="1"/>
        <v>2.3201450565571804E-3</v>
      </c>
      <c r="AE70" s="164">
        <f ca="1"/>
        <v>9.5596258190995943E-4</v>
      </c>
      <c r="AF70" s="164">
        <f ca="1"/>
        <v>8.155525090649331E-5</v>
      </c>
      <c r="AG70" s="164">
        <f ca="1"/>
        <v>6.9745678310525139E-2</v>
      </c>
      <c r="AH70" s="164">
        <f ca="1"/>
        <v>2.1662276308317938E-2</v>
      </c>
      <c r="AI70" s="164">
        <f ca="1"/>
        <v>5.9417065273308735E-2</v>
      </c>
      <c r="AJ70" s="164">
        <f ca="1"/>
        <v>1.3033062452931369E-3</v>
      </c>
      <c r="AK70" s="164">
        <f ca="1"/>
        <v>8.6867721217776042E-2</v>
      </c>
      <c r="AL70" s="164">
        <f ca="1"/>
        <v>0.124860231929225</v>
      </c>
      <c r="AM70" s="164">
        <f ca="1"/>
        <v>0.60783377522877935</v>
      </c>
      <c r="AN70" s="128">
        <f t="shared" ca="1" si="49"/>
        <v>1.0000000000000009</v>
      </c>
      <c r="AO70" s="141">
        <f t="shared" ca="1" si="50"/>
        <v>0.26730599284199652</v>
      </c>
      <c r="AP70" s="141">
        <f t="shared" ca="1" si="41"/>
        <v>0.73269400715800348</v>
      </c>
      <c r="AQ70" s="141" cm="1">
        <f t="array" aca="1" ref="AQ70" ca="1">SUMPRODUCT(AB69:AC69, TRANSPOSE(OFFSET(E.TPMs!$N$8:$N$9, INT(($F69-70)/5)*12, $G70*15)))
+SUMPRODUCT(AB69:AC69, TRANSPOSE(OFFSET(E.TPMs!$O$8:$O$9, INT(($F69-70)/5)*12, $G70*15)))
+SUMPRODUCT(AB69:AC69, TRANSPOSE(OFFSET(E.TPMs!$P$8:$P$9, INT(($F69-70)/5)*12, $G70*15)))</f>
        <v>9.0777388193995646E-4</v>
      </c>
      <c r="AR70" s="141">
        <f t="shared" ca="1" si="42"/>
        <v>3.3576628893736329E-3</v>
      </c>
      <c r="AS70" s="141" cm="1">
        <f t="array" aca="1" ref="AS70" ca="1">SUMPRODUCT(AB69:AG69, TRANSPOSE(OFFSET(E.TPMs!$R$8:$R$13, INT(($F69-70)/5)*12, $G70*15)))
+SUMPRODUCT(AB69:AG69, TRANSPOSE(OFFSET(E.TPMs!$S$8:$S$13, INT(($F69-70)/5)*12, $G70*15)))</f>
        <v>2.0089591182199011E-3</v>
      </c>
      <c r="AT70" s="141" cm="1">
        <f t="array" aca="1" ref="AT70" ca="1">SUMPRODUCT(AB69:AH69, TRANSPOSE(OFFSET(E.TPMs!$S$8:$S$14, INT(($F69-70)/5)*12, $G70*15)))</f>
        <v>1.7494870473501673E-3</v>
      </c>
    </row>
    <row r="71" spans="4:46" ht="12" customHeight="1" x14ac:dyDescent="0.25">
      <c r="D71" s="62">
        <f t="shared" si="43"/>
        <v>60</v>
      </c>
      <c r="E71" s="62">
        <f t="shared" si="44"/>
        <v>15</v>
      </c>
      <c r="F71" s="63">
        <f t="shared" si="45"/>
        <v>85</v>
      </c>
      <c r="G71" s="62">
        <f>IF(AND(E70&lt;E.maxDurHPE, E71&gt;=E.maxDurHPE), 1, 0)</f>
        <v>0</v>
      </c>
      <c r="H71" s="164">
        <f t="array" aca="1" ref="H71:S71" ca="1">MMULT(H70:S70, OFFSET(E.rngTPM_Root, INT(($F70-70)/5)*12, $G71*15))</f>
        <v>9.4048051670468751E-3</v>
      </c>
      <c r="I71" s="164">
        <f ca="1"/>
        <v>0</v>
      </c>
      <c r="J71" s="164">
        <f ca="1"/>
        <v>1.9667739509079364E-3</v>
      </c>
      <c r="K71" s="164">
        <f ca="1"/>
        <v>8.1036411875606612E-4</v>
      </c>
      <c r="L71" s="164">
        <f ca="1"/>
        <v>6.9133928755587184E-5</v>
      </c>
      <c r="M71" s="164">
        <f ca="1"/>
        <v>7.0870125140190504E-2</v>
      </c>
      <c r="N71" s="164">
        <f ca="1"/>
        <v>1.9404833480290453E-2</v>
      </c>
      <c r="O71" s="164">
        <f ca="1"/>
        <v>5.4917117596115408E-2</v>
      </c>
      <c r="P71" s="164">
        <f ca="1"/>
        <v>1.1979380477209005E-3</v>
      </c>
      <c r="Q71" s="164">
        <f ca="1"/>
        <v>8.7324802351123595E-2</v>
      </c>
      <c r="R71" s="164">
        <f ca="1"/>
        <v>0.15735925001413026</v>
      </c>
      <c r="S71" s="164">
        <f ca="1"/>
        <v>0.59667485620496186</v>
      </c>
      <c r="T71" s="128">
        <f t="shared" ca="1" si="46"/>
        <v>0.99999999999999944</v>
      </c>
      <c r="U71" s="141">
        <f t="shared" ca="1" si="47"/>
        <v>0.24596589378090733</v>
      </c>
      <c r="V71" s="141">
        <f t="shared" ca="1" si="39"/>
        <v>0.75403410621909273</v>
      </c>
      <c r="W71" s="141" cm="1">
        <f t="array" aca="1" ref="W71" ca="1">SUMPRODUCT(H70:I70, TRANSPOSE(OFFSET(E.TPMs!$N$8:$N$9, INT(($F70-70)/5)*12, $G71*15)))
+SUMPRODUCT(H70:I70, TRANSPOSE(OFFSET(E.TPMs!$O$8:$O$9, INT(($F70-70)/5)*12, $G71*15)))
+SUMPRODUCT(H70:I70, TRANSPOSE(OFFSET(E.TPMs!$P$8:$P$9, INT(($F70-70)/5)*12, $G71*15)))</f>
        <v>3.4215052118189945E-4</v>
      </c>
      <c r="X71" s="141">
        <f t="shared" ca="1" si="48"/>
        <v>2.8462719984195897E-3</v>
      </c>
      <c r="Y71" s="141" cm="1">
        <f t="array" aca="1" ref="Y71" ca="1">SUMPRODUCT(H70:M70, TRANSPOSE(OFFSET(E.TPMs!$R$8:$R$13, INT(($F70-70)/5)*12, $G71*15)))
+SUMPRODUCT(H70:M70, TRANSPOSE(OFFSET(E.TPMs!$S$8:$S$13, INT(($F70-70)/5)*12, $G71*15)))</f>
        <v>1.7029833764001564E-3</v>
      </c>
      <c r="Z71" s="141" cm="1">
        <f t="array" aca="1" ref="Z71" ca="1">SUMPRODUCT(H70:N70, TRANSPOSE(OFFSET(E.TPMs!$S$8:$S$14, INT(($F70-70)/5)*12, $G71*15)))</f>
        <v>1.5252018928788096E-3</v>
      </c>
      <c r="AB71" s="164">
        <f t="array" aca="1" ref="AB71:AM71" ca="1">MMULT(AB70:AM70, OFFSET(E.rngTPM_Root, INT(($F70-70)/5)*12, $G71*15))</f>
        <v>2.3136293619810285E-2</v>
      </c>
      <c r="AC71" s="164">
        <f ca="1"/>
        <v>0</v>
      </c>
      <c r="AD71" s="164">
        <f ca="1"/>
        <v>2.2073417857540714E-3</v>
      </c>
      <c r="AE71" s="164">
        <f ca="1"/>
        <v>9.0948458015741225E-4</v>
      </c>
      <c r="AF71" s="164">
        <f ca="1"/>
        <v>7.7590111301355035E-5</v>
      </c>
      <c r="AG71" s="164">
        <f ca="1"/>
        <v>6.6957541482012939E-2</v>
      </c>
      <c r="AH71" s="164">
        <f ca="1"/>
        <v>2.0621843971504655E-2</v>
      </c>
      <c r="AI71" s="164">
        <f ca="1"/>
        <v>5.7067843815898849E-2</v>
      </c>
      <c r="AJ71" s="164">
        <f ca="1"/>
        <v>1.2492948816388129E-3</v>
      </c>
      <c r="AK71" s="164">
        <f ca="1"/>
        <v>8.6565473185980318E-2</v>
      </c>
      <c r="AL71" s="164">
        <f ca="1"/>
        <v>0.12552522853763989</v>
      </c>
      <c r="AM71" s="164">
        <f ca="1"/>
        <v>0.61568206402830228</v>
      </c>
      <c r="AN71" s="128">
        <f t="shared" ca="1" si="49"/>
        <v>1.0000000000000009</v>
      </c>
      <c r="AO71" s="141">
        <f t="shared" ca="1" si="50"/>
        <v>0.25879270743405869</v>
      </c>
      <c r="AP71" s="141">
        <f t="shared" ca="1" si="41"/>
        <v>0.74120729256594131</v>
      </c>
      <c r="AQ71" s="141" cm="1">
        <f t="array" aca="1" ref="AQ71" ca="1">SUMPRODUCT(AB70:AC70, TRANSPOSE(OFFSET(E.TPMs!$N$8:$N$9, INT(($F70-70)/5)*12, $G71*15)))
+SUMPRODUCT(AB70:AC70, TRANSPOSE(OFFSET(E.TPMs!$O$8:$O$9, INT(($F70-70)/5)*12, $G71*15)))
+SUMPRODUCT(AB70:AC70, TRANSPOSE(OFFSET(E.TPMs!$P$8:$P$9, INT(($F70-70)/5)*12, $G71*15)))</f>
        <v>8.4170748671885676E-4</v>
      </c>
      <c r="AR71" s="141">
        <f t="shared" ca="1" si="42"/>
        <v>3.194416477212839E-3</v>
      </c>
      <c r="AS71" s="141" cm="1">
        <f t="array" aca="1" ref="AS71" ca="1">SUMPRODUCT(AB70:AG70, TRANSPOSE(OFFSET(E.TPMs!$R$8:$R$13, INT(($F70-70)/5)*12, $G71*15)))
+SUMPRODUCT(AB70:AG70, TRANSPOSE(OFFSET(E.TPMs!$S$8:$S$13, INT(($F70-70)/5)*12, $G71*15)))</f>
        <v>1.9112854151018693E-3</v>
      </c>
      <c r="AT71" s="141" cm="1">
        <f t="array" aca="1" ref="AT71" ca="1">SUMPRODUCT(AB70:AH70, TRANSPOSE(OFFSET(E.TPMs!$S$8:$S$14, INT(($F70-70)/5)*12, $G71*15)))</f>
        <v>1.664945419220005E-3</v>
      </c>
    </row>
    <row r="72" spans="4:46" ht="12" customHeight="1" x14ac:dyDescent="0.25">
      <c r="D72" s="62">
        <f t="shared" si="43"/>
        <v>61</v>
      </c>
      <c r="E72" s="62">
        <f t="shared" si="44"/>
        <v>15.25</v>
      </c>
      <c r="F72" s="63">
        <f t="shared" si="45"/>
        <v>85.25</v>
      </c>
      <c r="G72" s="62">
        <f>IF(AND(E71&lt;E.maxDurHPE, E72&gt;=E.maxDurHPE), 1, 0)</f>
        <v>0</v>
      </c>
      <c r="H72" s="164">
        <f t="array" aca="1" ref="H72:S72" ca="1">MMULT(H71:S71, OFFSET(E.rngTPM_Root, INT(($F71-70)/5)*12, $G72*15))</f>
        <v>8.4532061702212533E-3</v>
      </c>
      <c r="I72" s="164">
        <f ca="1"/>
        <v>0</v>
      </c>
      <c r="J72" s="164">
        <f ca="1"/>
        <v>2.3396780714757801E-3</v>
      </c>
      <c r="K72" s="164">
        <f ca="1"/>
        <v>9.6401071291853482E-4</v>
      </c>
      <c r="L72" s="164">
        <f ca="1"/>
        <v>8.2241854499723164E-5</v>
      </c>
      <c r="M72" s="164">
        <f ca="1"/>
        <v>6.5463989706827888E-2</v>
      </c>
      <c r="N72" s="164">
        <f ca="1"/>
        <v>1.7667783410584274E-2</v>
      </c>
      <c r="O72" s="164">
        <f ca="1"/>
        <v>5.0087090644642902E-2</v>
      </c>
      <c r="P72" s="164">
        <f ca="1"/>
        <v>1.1464966706169236E-3</v>
      </c>
      <c r="Q72" s="164">
        <f ca="1"/>
        <v>8.5779926092168654E-2</v>
      </c>
      <c r="R72" s="164">
        <f ca="1"/>
        <v>0.15809769833926968</v>
      </c>
      <c r="S72" s="164">
        <f ca="1"/>
        <v>0.6099178783267738</v>
      </c>
      <c r="T72" s="128">
        <f t="shared" ca="1" si="46"/>
        <v>0.99999999999999933</v>
      </c>
      <c r="U72" s="141">
        <f t="shared" ca="1" si="47"/>
        <v>0.23198442333395591</v>
      </c>
      <c r="V72" s="141">
        <f t="shared" ca="1" si="39"/>
        <v>0.76801557666604414</v>
      </c>
      <c r="W72" s="141" cm="1">
        <f t="array" aca="1" ref="W72" ca="1">SUMPRODUCT(H71:I71, TRANSPOSE(OFFSET(E.TPMs!$N$8:$N$9, INT(($F71-70)/5)*12, $G72*15)))
+SUMPRODUCT(H71:I71, TRANSPOSE(OFFSET(E.TPMs!$O$8:$O$9, INT(($F71-70)/5)*12, $G72*15)))
+SUMPRODUCT(H71:I71, TRANSPOSE(OFFSET(E.TPMs!$P$8:$P$9, INT(($F71-70)/5)*12, $G72*15)))</f>
        <v>3.966869587560639E-4</v>
      </c>
      <c r="X72" s="141">
        <f t="shared" ca="1" si="48"/>
        <v>3.385930638894038E-3</v>
      </c>
      <c r="Y72" s="141" cm="1">
        <f t="array" aca="1" ref="Y72" ca="1">SUMPRODUCT(H71:M71, TRANSPOSE(OFFSET(E.TPMs!$R$8:$R$13, INT(($F71-70)/5)*12, $G72*15)))
+SUMPRODUCT(H71:M71, TRANSPOSE(OFFSET(E.TPMs!$S$8:$S$13, INT(($F71-70)/5)*12, $G72*15)))</f>
        <v>1.6201859261121487E-3</v>
      </c>
      <c r="Z72" s="141" cm="1">
        <f t="array" aca="1" ref="Z72" ca="1">SUMPRODUCT(H71:N71, TRANSPOSE(OFFSET(E.TPMs!$S$8:$S$14, INT(($F71-70)/5)*12, $G72*15)))</f>
        <v>1.4494882262489207E-3</v>
      </c>
      <c r="AB72" s="164">
        <f t="array" aca="1" ref="AB72:AM72" ca="1">MMULT(AB71:AM71, OFFSET(E.rngTPM_Root, INT(($F71-70)/5)*12, $G72*15))</f>
        <v>2.0795312237652876E-2</v>
      </c>
      <c r="AC72" s="164">
        <f ca="1"/>
        <v>0</v>
      </c>
      <c r="AD72" s="164">
        <f ca="1"/>
        <v>2.6258580300989234E-3</v>
      </c>
      <c r="AE72" s="164">
        <f ca="1"/>
        <v>1.0819246042776474E-3</v>
      </c>
      <c r="AF72" s="164">
        <f ca="1"/>
        <v>9.2301345506097293E-5</v>
      </c>
      <c r="AG72" s="164">
        <f ca="1"/>
        <v>6.2163136073022658E-2</v>
      </c>
      <c r="AH72" s="164">
        <f ca="1"/>
        <v>1.8828344224283904E-2</v>
      </c>
      <c r="AI72" s="164">
        <f ca="1"/>
        <v>5.2112178541438563E-2</v>
      </c>
      <c r="AJ72" s="164">
        <f ca="1"/>
        <v>1.1974602226236175E-3</v>
      </c>
      <c r="AK72" s="164">
        <f ca="1"/>
        <v>8.5093889781338347E-2</v>
      </c>
      <c r="AL72" s="164">
        <f ca="1"/>
        <v>0.12635400087517665</v>
      </c>
      <c r="AM72" s="164">
        <f ca="1"/>
        <v>0.6296555940645816</v>
      </c>
      <c r="AN72" s="128">
        <f t="shared" ca="1" si="49"/>
        <v>1.0000000000000009</v>
      </c>
      <c r="AO72" s="141">
        <f t="shared" ca="1" si="50"/>
        <v>0.24399040506024267</v>
      </c>
      <c r="AP72" s="141">
        <f t="shared" ca="1" si="41"/>
        <v>0.75600959493975739</v>
      </c>
      <c r="AQ72" s="141" cm="1">
        <f t="array" aca="1" ref="AQ72" ca="1">SUMPRODUCT(AB71:AC71, TRANSPOSE(OFFSET(E.TPMs!$N$8:$N$9, INT(($F71-70)/5)*12, $G72*15)))
+SUMPRODUCT(AB71:AC71, TRANSPOSE(OFFSET(E.TPMs!$O$8:$O$9, INT(($F71-70)/5)*12, $G72*15)))
+SUMPRODUCT(AB71:AC71, TRANSPOSE(OFFSET(E.TPMs!$P$8:$P$9, INT(($F71-70)/5)*12, $G72*15)))</f>
        <v>9.7586986544791242E-4</v>
      </c>
      <c r="AR72" s="141">
        <f t="shared" ca="1" si="42"/>
        <v>3.8000839798826682E-3</v>
      </c>
      <c r="AS72" s="141" cm="1">
        <f t="array" aca="1" ref="AS72" ca="1">SUMPRODUCT(AB71:AG71, TRANSPOSE(OFFSET(E.TPMs!$R$8:$R$13, INT(($F71-70)/5)*12, $G72*15)))
+SUMPRODUCT(AB71:AG71, TRANSPOSE(OFFSET(E.TPMs!$S$8:$S$13, INT(($F71-70)/5)*12, $G72*15)))</f>
        <v>1.8183605155778317E-3</v>
      </c>
      <c r="AT72" s="141" cm="1">
        <f t="array" aca="1" ref="AT72" ca="1">SUMPRODUCT(AB71:AH71, TRANSPOSE(OFFSET(E.TPMs!$S$8:$S$14, INT(($F71-70)/5)*12, $G72*15)))</f>
        <v>1.5844645172486205E-3</v>
      </c>
    </row>
    <row r="73" spans="4:46" ht="12" customHeight="1" x14ac:dyDescent="0.25">
      <c r="D73" s="62">
        <f t="shared" si="43"/>
        <v>62</v>
      </c>
      <c r="E73" s="62">
        <f t="shared" si="44"/>
        <v>15.5</v>
      </c>
      <c r="F73" s="63">
        <f t="shared" si="45"/>
        <v>85.5</v>
      </c>
      <c r="G73" s="62">
        <f>IF(AND(E72&lt;E.maxDurHPE, E73&gt;=E.maxDurHPE), 1, 0)</f>
        <v>0</v>
      </c>
      <c r="H73" s="164">
        <f t="array" aca="1" ref="H73:S73" ca="1">MMULT(H72:S72, OFFSET(E.rngTPM_Root, INT(($F72-70)/5)*12, $G73*15))</f>
        <v>7.5978920654987039E-3</v>
      </c>
      <c r="I73" s="164">
        <f ca="1"/>
        <v>0</v>
      </c>
      <c r="J73" s="164">
        <f ca="1"/>
        <v>2.1543767355089159E-3</v>
      </c>
      <c r="K73" s="164">
        <f ca="1"/>
        <v>8.8766154541212701E-4</v>
      </c>
      <c r="L73" s="164">
        <f ca="1"/>
        <v>7.5728340654812617E-5</v>
      </c>
      <c r="M73" s="164">
        <f ca="1"/>
        <v>6.0939442067719819E-2</v>
      </c>
      <c r="N73" s="164">
        <f ca="1"/>
        <v>1.6187313356981228E-2</v>
      </c>
      <c r="O73" s="164">
        <f ca="1"/>
        <v>4.5709251510348652E-2</v>
      </c>
      <c r="P73" s="164">
        <f ca="1"/>
        <v>1.0452580033631664E-3</v>
      </c>
      <c r="Q73" s="164">
        <f ca="1"/>
        <v>8.4233069225517168E-2</v>
      </c>
      <c r="R73" s="164">
        <f ca="1"/>
        <v>0.15897615788590397</v>
      </c>
      <c r="S73" s="164">
        <f ca="1"/>
        <v>0.62219384926309085</v>
      </c>
      <c r="T73" s="128">
        <f t="shared" ca="1" si="46"/>
        <v>0.99999999999999933</v>
      </c>
      <c r="U73" s="141">
        <f t="shared" ca="1" si="47"/>
        <v>0.21882999285100457</v>
      </c>
      <c r="V73" s="141">
        <f t="shared" ca="1" si="39"/>
        <v>0.78117000714899543</v>
      </c>
      <c r="W73" s="141" cm="1">
        <f t="array" aca="1" ref="W73" ca="1">SUMPRODUCT(H72:I72, TRANSPOSE(OFFSET(E.TPMs!$N$8:$N$9, INT(($F72-70)/5)*12, $G73*15)))
+SUMPRODUCT(H72:I72, TRANSPOSE(OFFSET(E.TPMs!$O$8:$O$9, INT(($F72-70)/5)*12, $G73*15)))
+SUMPRODUCT(H72:I72, TRANSPOSE(OFFSET(E.TPMs!$P$8:$P$9, INT(($F72-70)/5)*12, $G73*15)))</f>
        <v>3.5654929451940973E-4</v>
      </c>
      <c r="X73" s="141">
        <f t="shared" ca="1" si="48"/>
        <v>3.1177666215758556E-3</v>
      </c>
      <c r="Y73" s="141" cm="1">
        <f t="array" aca="1" ref="Y73" ca="1">SUMPRODUCT(H72:M72, TRANSPOSE(OFFSET(E.TPMs!$R$8:$R$13, INT(($F72-70)/5)*12, $G73*15)))
+SUMPRODUCT(H72:M72, TRANSPOSE(OFFSET(E.TPMs!$S$8:$S$13, INT(($F72-70)/5)*12, $G73*15)))</f>
        <v>1.5841107199407786E-3</v>
      </c>
      <c r="Z73" s="141" cm="1">
        <f t="array" aca="1" ref="Z73" ca="1">SUMPRODUCT(H72:N72, TRANSPOSE(OFFSET(E.TPMs!$S$8:$S$14, INT(($F72-70)/5)*12, $G73*15)))</f>
        <v>1.3276076411017218E-3</v>
      </c>
      <c r="AB73" s="164">
        <f t="array" aca="1" ref="AB73:AM73" ca="1">MMULT(AB72:AM72, OFFSET(E.rngTPM_Root, INT(($F72-70)/5)*12, $G73*15))</f>
        <v>1.8691196531634504E-2</v>
      </c>
      <c r="AC73" s="164">
        <f ca="1"/>
        <v>0</v>
      </c>
      <c r="AD73" s="164">
        <f ca="1"/>
        <v>2.4178913841877894E-3</v>
      </c>
      <c r="AE73" s="164">
        <f ca="1"/>
        <v>9.9623671540428112E-4</v>
      </c>
      <c r="AF73" s="164">
        <f ca="1"/>
        <v>8.499112499228505E-5</v>
      </c>
      <c r="AG73" s="164">
        <f ca="1"/>
        <v>5.8229347106134907E-2</v>
      </c>
      <c r="AH73" s="164">
        <f ca="1"/>
        <v>1.7301760511421831E-2</v>
      </c>
      <c r="AI73" s="164">
        <f ca="1"/>
        <v>4.7614837457850667E-2</v>
      </c>
      <c r="AJ73" s="164">
        <f ca="1"/>
        <v>1.0934386959748328E-3</v>
      </c>
      <c r="AK73" s="164">
        <f ca="1"/>
        <v>8.3617673745558105E-2</v>
      </c>
      <c r="AL73" s="164">
        <f ca="1"/>
        <v>0.12733991004053108</v>
      </c>
      <c r="AM73" s="164">
        <f ca="1"/>
        <v>0.64261271668631059</v>
      </c>
      <c r="AN73" s="128">
        <f t="shared" ca="1" si="49"/>
        <v>1.0000000000000009</v>
      </c>
      <c r="AO73" s="141">
        <f t="shared" ca="1" si="50"/>
        <v>0.23004737327315922</v>
      </c>
      <c r="AP73" s="141">
        <f t="shared" ca="1" si="41"/>
        <v>0.76995262672684084</v>
      </c>
      <c r="AQ73" s="141" cm="1">
        <f t="array" aca="1" ref="AQ73" ca="1">SUMPRODUCT(AB72:AC72, TRANSPOSE(OFFSET(E.TPMs!$N$8:$N$9, INT(($F72-70)/5)*12, $G73*15)))
+SUMPRODUCT(AB72:AC72, TRANSPOSE(OFFSET(E.TPMs!$O$8:$O$9, INT(($F72-70)/5)*12, $G73*15)))
+SUMPRODUCT(AB72:AC72, TRANSPOSE(OFFSET(E.TPMs!$P$8:$P$9, INT(($F72-70)/5)*12, $G73*15)))</f>
        <v>8.7712919315345572E-4</v>
      </c>
      <c r="AR73" s="141">
        <f t="shared" ca="1" si="42"/>
        <v>3.4991192245843556E-3</v>
      </c>
      <c r="AS73" s="141" cm="1">
        <f t="array" aca="1" ref="AS73" ca="1">SUMPRODUCT(AB72:AG72, TRANSPOSE(OFFSET(E.TPMs!$R$8:$R$13, INT(($F72-70)/5)*12, $G73*15)))
+SUMPRODUCT(AB72:AG72, TRANSPOSE(OFFSET(E.TPMs!$S$8:$S$13, INT(($F72-70)/5)*12, $G73*15)))</f>
        <v>1.7778727360976336E-3</v>
      </c>
      <c r="AT73" s="141" cm="1">
        <f t="array" aca="1" ref="AT73" ca="1">SUMPRODUCT(AB72:AH72, TRANSPOSE(OFFSET(E.TPMs!$S$8:$S$14, INT(($F72-70)/5)*12, $G73*15)))</f>
        <v>1.4533850787752378E-3</v>
      </c>
    </row>
    <row r="74" spans="4:46" ht="12" customHeight="1" x14ac:dyDescent="0.25">
      <c r="D74" s="62">
        <f t="shared" si="43"/>
        <v>63</v>
      </c>
      <c r="E74" s="62">
        <f t="shared" si="44"/>
        <v>15.75</v>
      </c>
      <c r="F74" s="63">
        <f t="shared" si="45"/>
        <v>85.75</v>
      </c>
      <c r="G74" s="62">
        <f>IF(AND(E73&lt;E.maxDurHPE, E74&gt;=E.maxDurHPE), 1, 0)</f>
        <v>0</v>
      </c>
      <c r="H74" s="164">
        <f t="array" aca="1" ref="H74:S74" ca="1">MMULT(H73:S73, OFFSET(E.rngTPM_Root, INT(($F73-70)/5)*12, $G74*15))</f>
        <v>6.8291205344465401E-3</v>
      </c>
      <c r="I74" s="164">
        <f ca="1"/>
        <v>0</v>
      </c>
      <c r="J74" s="164">
        <f ca="1"/>
        <v>1.9975762935597672E-3</v>
      </c>
      <c r="K74" s="164">
        <f ca="1"/>
        <v>8.2305551791108874E-4</v>
      </c>
      <c r="L74" s="164">
        <f ca="1"/>
        <v>7.0216659672078024E-5</v>
      </c>
      <c r="M74" s="164">
        <f ca="1"/>
        <v>5.6706439117166205E-2</v>
      </c>
      <c r="N74" s="164">
        <f ca="1"/>
        <v>1.4838230833941264E-2</v>
      </c>
      <c r="O74" s="164">
        <f ca="1"/>
        <v>4.1747275475066174E-2</v>
      </c>
      <c r="P74" s="164">
        <f ca="1"/>
        <v>9.5474371773014569E-4</v>
      </c>
      <c r="Q74" s="164">
        <f ca="1"/>
        <v>8.2636038762449043E-2</v>
      </c>
      <c r="R74" s="164">
        <f ca="1"/>
        <v>0.15978504387471903</v>
      </c>
      <c r="S74" s="164">
        <f ca="1"/>
        <v>0.63361225921333808</v>
      </c>
      <c r="T74" s="128">
        <f t="shared" ca="1" si="46"/>
        <v>0.99999999999999944</v>
      </c>
      <c r="U74" s="141">
        <f t="shared" ca="1" si="47"/>
        <v>0.20660269691194233</v>
      </c>
      <c r="V74" s="141">
        <f t="shared" ca="1" si="39"/>
        <v>0.79339730308805767</v>
      </c>
      <c r="W74" s="141" cm="1">
        <f t="array" aca="1" ref="W74" ca="1">SUMPRODUCT(H73:I73, TRANSPOSE(OFFSET(E.TPMs!$N$8:$N$9, INT(($F73-70)/5)*12, $G74*15)))
+SUMPRODUCT(H73:I73, TRANSPOSE(OFFSET(E.TPMs!$O$8:$O$9, INT(($F73-70)/5)*12, $G74*15)))
+SUMPRODUCT(H73:I73, TRANSPOSE(OFFSET(E.TPMs!$P$8:$P$9, INT(($F73-70)/5)*12, $G74*15)))</f>
        <v>3.2047284796287871E-4</v>
      </c>
      <c r="X74" s="141">
        <f t="shared" ca="1" si="48"/>
        <v>2.8908484711429338E-3</v>
      </c>
      <c r="Y74" s="141" cm="1">
        <f t="array" aca="1" ref="Y74" ca="1">SUMPRODUCT(H73:M73, TRANSPOSE(OFFSET(E.TPMs!$R$8:$R$13, INT(($F73-70)/5)*12, $G74*15)))
+SUMPRODUCT(H73:M73, TRANSPOSE(OFFSET(E.TPMs!$S$8:$S$13, INT(($F73-70)/5)*12, $G74*15)))</f>
        <v>1.4661958493124858E-3</v>
      </c>
      <c r="Z74" s="141" cm="1">
        <f t="array" aca="1" ref="Z74" ca="1">SUMPRODUCT(H73:N73, TRANSPOSE(OFFSET(E.TPMs!$S$8:$S$14, INT(($F73-70)/5)*12, $G74*15)))</f>
        <v>1.2238547209478502E-3</v>
      </c>
      <c r="AB74" s="164">
        <f t="array" aca="1" ref="AB74:AM74" ca="1">MMULT(AB73:AM73, OFFSET(E.rngTPM_Root, INT(($F73-70)/5)*12, $G74*15))</f>
        <v>1.6799979908530448E-2</v>
      </c>
      <c r="AC74" s="164">
        <f ca="1"/>
        <v>0</v>
      </c>
      <c r="AD74" s="164">
        <f ca="1"/>
        <v>2.2419117463756844E-3</v>
      </c>
      <c r="AE74" s="164">
        <f ca="1"/>
        <v>9.237283399253476E-4</v>
      </c>
      <c r="AF74" s="164">
        <f ca="1"/>
        <v>7.8805277484329326E-5</v>
      </c>
      <c r="AG74" s="164">
        <f ca="1"/>
        <v>5.4506992423258384E-2</v>
      </c>
      <c r="AH74" s="164">
        <f ca="1"/>
        <v>1.5904426768383894E-2</v>
      </c>
      <c r="AI74" s="164">
        <f ca="1"/>
        <v>4.354018875621081E-2</v>
      </c>
      <c r="AJ74" s="164">
        <f ca="1"/>
        <v>1.0003780096212059E-3</v>
      </c>
      <c r="AK74" s="164">
        <f ca="1"/>
        <v>8.2086398722863482E-2</v>
      </c>
      <c r="AL74" s="164">
        <f ca="1"/>
        <v>0.12824773569187159</v>
      </c>
      <c r="AM74" s="164">
        <f ca="1"/>
        <v>0.65466945435547574</v>
      </c>
      <c r="AN74" s="128">
        <f t="shared" ca="1" si="49"/>
        <v>1.0000000000000009</v>
      </c>
      <c r="AO74" s="141">
        <f t="shared" ca="1" si="50"/>
        <v>0.21708280995265361</v>
      </c>
      <c r="AP74" s="141">
        <f t="shared" ca="1" si="41"/>
        <v>0.78291719004734639</v>
      </c>
      <c r="AQ74" s="141" cm="1">
        <f t="array" aca="1" ref="AQ74" ca="1">SUMPRODUCT(AB73:AC73, TRANSPOSE(OFFSET(E.TPMs!$N$8:$N$9, INT(($F73-70)/5)*12, $G74*15)))
+SUMPRODUCT(AB73:AC73, TRANSPOSE(OFFSET(E.TPMs!$O$8:$O$9, INT(($F73-70)/5)*12, $G74*15)))
+SUMPRODUCT(AB73:AC73, TRANSPOSE(OFFSET(E.TPMs!$P$8:$P$9, INT(($F73-70)/5)*12, $G74*15)))</f>
        <v>7.8837932056535776E-4</v>
      </c>
      <c r="AR74" s="141">
        <f t="shared" ca="1" si="42"/>
        <v>3.2444453637853615E-3</v>
      </c>
      <c r="AS74" s="141" cm="1">
        <f t="array" aca="1" ref="AS74" ca="1">SUMPRODUCT(AB73:AG73, TRANSPOSE(OFFSET(E.TPMs!$R$8:$R$13, INT(($F73-70)/5)*12, $G74*15)))
+SUMPRODUCT(AB73:AG73, TRANSPOSE(OFFSET(E.TPMs!$S$8:$S$13, INT(($F73-70)/5)*12, $G74*15)))</f>
        <v>1.6455349954134736E-3</v>
      </c>
      <c r="AT74" s="141" cm="1">
        <f t="array" aca="1" ref="AT74" ca="1">SUMPRODUCT(AB73:AH73, TRANSPOSE(OFFSET(E.TPMs!$S$8:$S$14, INT(($F73-70)/5)*12, $G74*15)))</f>
        <v>1.341880422379811E-3</v>
      </c>
    </row>
    <row r="75" spans="4:46" ht="12" customHeight="1" x14ac:dyDescent="0.25">
      <c r="D75" s="62">
        <f t="shared" si="43"/>
        <v>64</v>
      </c>
      <c r="E75" s="62">
        <f t="shared" ref="E75:E106" si="51">D75*E.cycleLength</f>
        <v>16</v>
      </c>
      <c r="F75" s="63">
        <f t="shared" ref="F75:F106" si="52">E.cohortAge+E75</f>
        <v>86</v>
      </c>
      <c r="G75" s="62">
        <f>IF(AND(E74&lt;E.maxDurHPE, E75&gt;=E.maxDurHPE), 1, 0)</f>
        <v>0</v>
      </c>
      <c r="H75" s="164">
        <f t="array" aca="1" ref="H75:S75" ca="1">MMULT(H74:S74, OFFSET(E.rngTPM_Root, INT(($F74-70)/5)*12, $G75*15))</f>
        <v>6.1381350079679356E-3</v>
      </c>
      <c r="I75" s="164">
        <f ca="1"/>
        <v>0</v>
      </c>
      <c r="J75" s="164">
        <f ca="1"/>
        <v>1.8517955120842693E-3</v>
      </c>
      <c r="K75" s="164">
        <f ca="1"/>
        <v>7.6298988888573655E-4</v>
      </c>
      <c r="L75" s="164">
        <f ca="1"/>
        <v>6.5092329976838611E-5</v>
      </c>
      <c r="M75" s="164">
        <f ca="1"/>
        <v>5.2761053750247186E-2</v>
      </c>
      <c r="N75" s="164">
        <f ca="1"/>
        <v>1.3610306992677767E-2</v>
      </c>
      <c r="O75" s="164">
        <f ca="1"/>
        <v>3.8159412356650282E-2</v>
      </c>
      <c r="P75" s="164">
        <f ca="1"/>
        <v>8.7270497551584863E-4</v>
      </c>
      <c r="Q75" s="164">
        <f ca="1"/>
        <v>8.1000781390517307E-2</v>
      </c>
      <c r="R75" s="164">
        <f ca="1"/>
        <v>0.16053505730032724</v>
      </c>
      <c r="S75" s="164">
        <f ca="1"/>
        <v>0.64424267049514905</v>
      </c>
      <c r="T75" s="128">
        <f t="shared" ref="T75:T106" ca="1" si="53">SUM(H75:S75)</f>
        <v>0.99999999999999944</v>
      </c>
      <c r="U75" s="141">
        <f t="shared" ref="U75:U106" ca="1" si="54">SUM(H75:Q75)</f>
        <v>0.19522227220452315</v>
      </c>
      <c r="V75" s="141">
        <f t="shared" ca="1" si="39"/>
        <v>0.80477772779547685</v>
      </c>
      <c r="W75" s="141" cm="1">
        <f t="array" aca="1" ref="W75" ca="1">SUMPRODUCT(H74:I74, TRANSPOSE(OFFSET(E.TPMs!$N$8:$N$9, INT(($F74-70)/5)*12, $G75*15)))
+SUMPRODUCT(H74:I74, TRANSPOSE(OFFSET(E.TPMs!$O$8:$O$9, INT(($F74-70)/5)*12, $G75*15)))
+SUMPRODUCT(H74:I74, TRANSPOSE(OFFSET(E.TPMs!$P$8:$P$9, INT(($F74-70)/5)*12, $G75*15)))</f>
        <v>2.880466960953345E-4</v>
      </c>
      <c r="X75" s="141">
        <f t="shared" ref="X75:X106" ca="1" si="55">SUM(J75:L75)</f>
        <v>2.6798777309468445E-3</v>
      </c>
      <c r="Y75" s="141" cm="1">
        <f t="array" aca="1" ref="Y75" ca="1">SUMPRODUCT(H74:M74, TRANSPOSE(OFFSET(E.TPMs!$R$8:$R$13, INT(($F74-70)/5)*12, $G75*15)))
+SUMPRODUCT(H74:M74, TRANSPOSE(OFFSET(E.TPMs!$S$8:$S$13, INT(($F74-70)/5)*12, $G75*15)))</f>
        <v>1.3592684751772884E-3</v>
      </c>
      <c r="Z75" s="141" cm="1">
        <f t="array" aca="1" ref="Z75" ca="1">SUMPRODUCT(H74:N74, TRANSPOSE(OFFSET(E.TPMs!$S$8:$S$14, INT(($F74-70)/5)*12, $G75*15)))</f>
        <v>1.1284010412381624E-3</v>
      </c>
      <c r="AB75" s="164">
        <f t="array" aca="1" ref="AB75:AM75" ca="1">MMULT(AB74:AM74, OFFSET(E.rngTPM_Root, INT(($F74-70)/5)*12, $G75*15))</f>
        <v>1.5100120768049383E-2</v>
      </c>
      <c r="AC75" s="164">
        <f ca="1"/>
        <v>0</v>
      </c>
      <c r="AD75" s="164">
        <f ca="1"/>
        <v>2.0782996493361647E-3</v>
      </c>
      <c r="AE75" s="164">
        <f ca="1"/>
        <v>8.5631572609951555E-4</v>
      </c>
      <c r="AF75" s="164">
        <f ca="1"/>
        <v>7.3054160506671195E-5</v>
      </c>
      <c r="AG75" s="164">
        <f ca="1"/>
        <v>5.1003378534962507E-2</v>
      </c>
      <c r="AH75" s="164">
        <f ca="1"/>
        <v>1.4627319396569995E-2</v>
      </c>
      <c r="AI75" s="164">
        <f ca="1"/>
        <v>3.9845995113290893E-2</v>
      </c>
      <c r="AJ75" s="164">
        <f ca="1"/>
        <v>9.1587507298870321E-4</v>
      </c>
      <c r="AK75" s="164">
        <f ca="1"/>
        <v>8.0512391903336131E-2</v>
      </c>
      <c r="AL75" s="164">
        <f ca="1"/>
        <v>0.12908948772619017</v>
      </c>
      <c r="AM75" s="164">
        <f ca="1"/>
        <v>0.66589776194867079</v>
      </c>
      <c r="AN75" s="128">
        <f t="shared" ca="1" si="49"/>
        <v>1.0000000000000009</v>
      </c>
      <c r="AO75" s="141">
        <f t="shared" ca="1" si="50"/>
        <v>0.20501275032513999</v>
      </c>
      <c r="AP75" s="141">
        <f t="shared" ca="1" si="41"/>
        <v>0.79498724967486001</v>
      </c>
      <c r="AQ75" s="141" cm="1">
        <f t="array" aca="1" ref="AQ75" ca="1">SUMPRODUCT(AB74:AC74, TRANSPOSE(OFFSET(E.TPMs!$N$8:$N$9, INT(($F74-70)/5)*12, $G75*15)))
+SUMPRODUCT(AB74:AC74, TRANSPOSE(OFFSET(E.TPMs!$O$8:$O$9, INT(($F74-70)/5)*12, $G75*15)))
+SUMPRODUCT(AB74:AC74, TRANSPOSE(OFFSET(E.TPMs!$P$8:$P$9, INT(($F74-70)/5)*12, $G75*15)))</f>
        <v>7.0860935646267428E-4</v>
      </c>
      <c r="AR75" s="141">
        <f t="shared" ca="1" si="42"/>
        <v>3.0076695359423514E-3</v>
      </c>
      <c r="AS75" s="141" cm="1">
        <f t="array" aca="1" ref="AS75" ca="1">SUMPRODUCT(AB74:AG74, TRANSPOSE(OFFSET(E.TPMs!$R$8:$R$13, INT(($F74-70)/5)*12, $G75*15)))
+SUMPRODUCT(AB74:AG74, TRANSPOSE(OFFSET(E.TPMs!$S$8:$S$13, INT(($F74-70)/5)*12, $G75*15)))</f>
        <v>1.5255286973533319E-3</v>
      </c>
      <c r="AT75" s="141" cm="1">
        <f t="array" aca="1" ref="AT75" ca="1">SUMPRODUCT(AB74:AH74, TRANSPOSE(OFFSET(E.TPMs!$S$8:$S$14, INT(($F74-70)/5)*12, $G75*15)))</f>
        <v>1.2390238524232703E-3</v>
      </c>
    </row>
    <row r="76" spans="4:46" ht="12" customHeight="1" x14ac:dyDescent="0.25">
      <c r="D76" s="62">
        <f t="shared" si="43"/>
        <v>65</v>
      </c>
      <c r="E76" s="62">
        <f t="shared" si="51"/>
        <v>16.25</v>
      </c>
      <c r="F76" s="63">
        <f t="shared" si="52"/>
        <v>86.25</v>
      </c>
      <c r="G76" s="62">
        <f>IF(AND(E75&lt;E.maxDurHPE, E76&gt;=E.maxDurHPE), 1, 0)</f>
        <v>0</v>
      </c>
      <c r="H76" s="164">
        <f t="array" aca="1" ref="H76:S76" ca="1">MMULT(H75:S75, OFFSET(E.rngTPM_Root, INT(($F75-70)/5)*12, $G76*15))</f>
        <v>5.51706492600295E-3</v>
      </c>
      <c r="I76" s="164">
        <f ca="1"/>
        <v>0</v>
      </c>
      <c r="J76" s="164">
        <f ca="1"/>
        <v>1.7166647150970438E-3</v>
      </c>
      <c r="K76" s="164">
        <f ca="1"/>
        <v>7.0731234182100833E-4</v>
      </c>
      <c r="L76" s="164">
        <f ca="1"/>
        <v>6.0342357115296542E-5</v>
      </c>
      <c r="M76" s="164">
        <f ca="1"/>
        <v>4.9084071420924968E-2</v>
      </c>
      <c r="N76" s="164">
        <f ca="1"/>
        <v>1.2491565757037465E-2</v>
      </c>
      <c r="O76" s="164">
        <f ca="1"/>
        <v>3.490845777911121E-2</v>
      </c>
      <c r="P76" s="164">
        <f ca="1"/>
        <v>7.9833017116205597E-4</v>
      </c>
      <c r="Q76" s="164">
        <f ca="1"/>
        <v>7.9336694478091149E-2</v>
      </c>
      <c r="R76" s="164">
        <f ca="1"/>
        <v>0.16123033562337402</v>
      </c>
      <c r="S76" s="164">
        <f ca="1"/>
        <v>0.65414916043026228</v>
      </c>
      <c r="T76" s="128">
        <f t="shared" ca="1" si="53"/>
        <v>0.99999999999999944</v>
      </c>
      <c r="U76" s="141">
        <f t="shared" ca="1" si="54"/>
        <v>0.18462050394636315</v>
      </c>
      <c r="V76" s="141">
        <f t="shared" ref="V76:V131" ca="1" si="56">1-U76</f>
        <v>0.81537949605363691</v>
      </c>
      <c r="W76" s="141" cm="1">
        <f t="array" aca="1" ref="W76" ca="1">SUMPRODUCT(H75:I75, TRANSPOSE(OFFSET(E.TPMs!$N$8:$N$9, INT(($F75-70)/5)*12, $G76*15)))
+SUMPRODUCT(H75:I75, TRANSPOSE(OFFSET(E.TPMs!$O$8:$O$9, INT(($F75-70)/5)*12, $G76*15)))
+SUMPRODUCT(H75:I75, TRANSPOSE(OFFSET(E.TPMs!$P$8:$P$9, INT(($F75-70)/5)*12, $G76*15)))</f>
        <v>2.5890149402313422E-4</v>
      </c>
      <c r="X76" s="141">
        <f t="shared" ca="1" si="55"/>
        <v>2.4843194140333489E-3</v>
      </c>
      <c r="Y76" s="141" cm="1">
        <f t="array" aca="1" ref="Y76" ca="1">SUMPRODUCT(H75:M75, TRANSPOSE(OFFSET(E.TPMs!$R$8:$R$13, INT(($F75-70)/5)*12, $G76*15)))
+SUMPRODUCT(H75:M75, TRANSPOSE(OFFSET(E.TPMs!$S$8:$S$13, INT(($F75-70)/5)*12, $G76*15)))</f>
        <v>1.2600766957805488E-3</v>
      </c>
      <c r="Z76" s="141" cm="1">
        <f t="array" aca="1" ref="Z76" ca="1">SUMPRODUCT(H75:N75, TRANSPOSE(OFFSET(E.TPMs!$S$8:$S$14, INT(($F75-70)/5)*12, $G76*15)))</f>
        <v>1.0407475565934298E-3</v>
      </c>
      <c r="AB76" s="164">
        <f t="array" aca="1" ref="AB76:AM76" ca="1">MMULT(AB75:AM75, OFFSET(E.rngTPM_Root, INT(($F75-70)/5)*12, $G76*15))</f>
        <v>1.3572257136682576E-2</v>
      </c>
      <c r="AC76" s="164">
        <f ca="1"/>
        <v>0</v>
      </c>
      <c r="AD76" s="164">
        <f ca="1"/>
        <v>1.9266401998125136E-3</v>
      </c>
      <c r="AE76" s="164">
        <f ca="1"/>
        <v>7.9382792667166138E-4</v>
      </c>
      <c r="AF76" s="164">
        <f ca="1"/>
        <v>6.7723190176481769E-5</v>
      </c>
      <c r="AG76" s="164">
        <f ca="1"/>
        <v>4.7707469368029019E-2</v>
      </c>
      <c r="AH76" s="164">
        <f ca="1"/>
        <v>1.3459122474849993E-2</v>
      </c>
      <c r="AI76" s="164">
        <f ca="1"/>
        <v>3.6494653117179449E-2</v>
      </c>
      <c r="AJ76" s="164">
        <f ca="1"/>
        <v>8.3912638239876493E-4</v>
      </c>
      <c r="AK76" s="164">
        <f ca="1"/>
        <v>7.8905269895301361E-2</v>
      </c>
      <c r="AL76" s="164">
        <f ca="1"/>
        <v>0.12986980968158401</v>
      </c>
      <c r="AM76" s="164">
        <f ca="1"/>
        <v>0.67636410062731511</v>
      </c>
      <c r="AN76" s="128">
        <f t="shared" ca="1" si="49"/>
        <v>1.0000000000000009</v>
      </c>
      <c r="AO76" s="141">
        <f t="shared" ca="1" si="50"/>
        <v>0.19376608969110182</v>
      </c>
      <c r="AP76" s="141">
        <f t="shared" ref="AP76:AP131" ca="1" si="57">1-AO76</f>
        <v>0.80623391030889824</v>
      </c>
      <c r="AQ76" s="141" cm="1">
        <f t="array" aca="1" ref="AQ76" ca="1">SUMPRODUCT(AB75:AC75, TRANSPOSE(OFFSET(E.TPMs!$N$8:$N$9, INT(($F75-70)/5)*12, $G76*15)))
+SUMPRODUCT(AB75:AC75, TRANSPOSE(OFFSET(E.TPMs!$O$8:$O$9, INT(($F75-70)/5)*12, $G76*15)))
+SUMPRODUCT(AB75:AC75, TRANSPOSE(OFFSET(E.TPMs!$P$8:$P$9, INT(($F75-70)/5)*12, $G76*15)))</f>
        <v>6.3691069383499692E-4</v>
      </c>
      <c r="AR76" s="141">
        <f t="shared" ref="AR76:AR131" ca="1" si="58">SUM(AD76:AF76)</f>
        <v>2.7881913166606567E-3</v>
      </c>
      <c r="AS76" s="141" cm="1">
        <f t="array" aca="1" ref="AS76" ca="1">SUMPRODUCT(AB75:AG75, TRANSPOSE(OFFSET(E.TPMs!$R$8:$R$13, INT(($F75-70)/5)*12, $G76*15)))
+SUMPRODUCT(AB75:AG75, TRANSPOSE(OFFSET(E.TPMs!$S$8:$S$13, INT(($F75-70)/5)*12, $G76*15)))</f>
        <v>1.4142041806926107E-3</v>
      </c>
      <c r="AT76" s="141" cm="1">
        <f t="array" aca="1" ref="AT76" ca="1">SUMPRODUCT(AB75:AH75, TRANSPOSE(OFFSET(E.TPMs!$S$8:$S$14, INT(($F75-70)/5)*12, $G76*15)))</f>
        <v>1.1443451674349094E-3</v>
      </c>
    </row>
    <row r="77" spans="4:46" ht="12" customHeight="1" x14ac:dyDescent="0.25">
      <c r="D77" s="62">
        <f t="shared" ref="D77:D131" si="59">D76+1</f>
        <v>66</v>
      </c>
      <c r="E77" s="62">
        <f t="shared" si="51"/>
        <v>16.5</v>
      </c>
      <c r="F77" s="63">
        <f t="shared" si="52"/>
        <v>86.5</v>
      </c>
      <c r="G77" s="62">
        <f>IF(AND(E76&lt;E.maxDurHPE, E77&gt;=E.maxDurHPE), 1, 0)</f>
        <v>0</v>
      </c>
      <c r="H77" s="164">
        <f t="array" aca="1" ref="H77:S77" ca="1">MMULT(H76:S76, OFFSET(E.rngTPM_Root, INT(($F76-70)/5)*12, $G77*15))</f>
        <v>4.9588360891737069E-3</v>
      </c>
      <c r="I77" s="164">
        <f ca="1"/>
        <v>0</v>
      </c>
      <c r="J77" s="164">
        <f ca="1"/>
        <v>1.5913944851727751E-3</v>
      </c>
      <c r="K77" s="164">
        <f ca="1"/>
        <v>6.5569761536396585E-4</v>
      </c>
      <c r="L77" s="164">
        <f ca="1"/>
        <v>5.5938992332687713E-5</v>
      </c>
      <c r="M77" s="164">
        <f ca="1"/>
        <v>4.5657890066796457E-2</v>
      </c>
      <c r="N77" s="164">
        <f ca="1"/>
        <v>1.1471400660716712E-2</v>
      </c>
      <c r="O77" s="164">
        <f ca="1"/>
        <v>3.196101515153723E-2</v>
      </c>
      <c r="P77" s="164">
        <f ca="1"/>
        <v>7.3085811517029965E-4</v>
      </c>
      <c r="Q77" s="164">
        <f ca="1"/>
        <v>7.7652097764212238E-2</v>
      </c>
      <c r="R77" s="164">
        <f ca="1"/>
        <v>0.1618748775053245</v>
      </c>
      <c r="S77" s="164">
        <f ca="1"/>
        <v>0.66338999355419892</v>
      </c>
      <c r="T77" s="128">
        <f t="shared" ca="1" si="53"/>
        <v>0.99999999999999956</v>
      </c>
      <c r="U77" s="141">
        <f t="shared" ca="1" si="54"/>
        <v>0.17473512894047608</v>
      </c>
      <c r="V77" s="141">
        <f t="shared" ca="1" si="56"/>
        <v>0.82526487105952395</v>
      </c>
      <c r="W77" s="141" cm="1">
        <f t="array" aca="1" ref="W77" ca="1">SUMPRODUCT(H76:I76, TRANSPOSE(OFFSET(E.TPMs!$N$8:$N$9, INT(($F76-70)/5)*12, $G77*15)))
+SUMPRODUCT(H76:I76, TRANSPOSE(OFFSET(E.TPMs!$O$8:$O$9, INT(($F76-70)/5)*12, $G77*15)))
+SUMPRODUCT(H76:I76, TRANSPOSE(OFFSET(E.TPMs!$P$8:$P$9, INT(($F76-70)/5)*12, $G77*15)))</f>
        <v>2.327052679862231E-4</v>
      </c>
      <c r="X77" s="141">
        <f t="shared" ca="1" si="55"/>
        <v>2.3030310928694284E-3</v>
      </c>
      <c r="Y77" s="141" cm="1">
        <f t="array" aca="1" ref="Y77" ca="1">SUMPRODUCT(H76:M76, TRANSPOSE(OFFSET(E.TPMs!$R$8:$R$13, INT(($F76-70)/5)*12, $G77*15)))
+SUMPRODUCT(H76:M76, TRANSPOSE(OFFSET(E.TPMs!$S$8:$S$13, INT(($F76-70)/5)*12, $G77*15)))</f>
        <v>1.1681251369906778E-3</v>
      </c>
      <c r="Z77" s="141" cm="1">
        <f t="array" aca="1" ref="Z77" ca="1">SUMPRODUCT(H76:N76, TRANSPOSE(OFFSET(E.TPMs!$S$8:$S$14, INT(($F76-70)/5)*12, $G77*15)))</f>
        <v>9.6020668723911947E-4</v>
      </c>
      <c r="AB77" s="164">
        <f t="array" aca="1" ref="AB77:AM77" ca="1">MMULT(AB76:AM76, OFFSET(E.rngTPM_Root, INT(($F76-70)/5)*12, $G77*15))</f>
        <v>1.2198986128243177E-2</v>
      </c>
      <c r="AC77" s="164">
        <f ca="1"/>
        <v>0</v>
      </c>
      <c r="AD77" s="164">
        <f ca="1"/>
        <v>1.7860474220328356E-3</v>
      </c>
      <c r="AE77" s="164">
        <f ca="1"/>
        <v>7.3589989563570962E-4</v>
      </c>
      <c r="AF77" s="164">
        <f ca="1"/>
        <v>6.2781223623547001E-5</v>
      </c>
      <c r="AG77" s="164">
        <f ca="1"/>
        <v>4.4608973246328565E-2</v>
      </c>
      <c r="AH77" s="164">
        <f ca="1"/>
        <v>1.2389770540777077E-2</v>
      </c>
      <c r="AI77" s="164">
        <f ca="1"/>
        <v>3.3452409489196894E-2</v>
      </c>
      <c r="AJ77" s="164">
        <f ca="1"/>
        <v>7.6937304556343102E-4</v>
      </c>
      <c r="AK77" s="164">
        <f ca="1"/>
        <v>7.7273572735611057E-2</v>
      </c>
      <c r="AL77" s="164">
        <f ca="1"/>
        <v>0.13059318931961567</v>
      </c>
      <c r="AM77" s="164">
        <f ca="1"/>
        <v>0.68612899695337304</v>
      </c>
      <c r="AN77" s="128">
        <f t="shared" ca="1" si="49"/>
        <v>1.0000000000000009</v>
      </c>
      <c r="AO77" s="141">
        <f t="shared" ca="1" si="50"/>
        <v>0.1832778137270123</v>
      </c>
      <c r="AP77" s="141">
        <f t="shared" ca="1" si="57"/>
        <v>0.81672218627298765</v>
      </c>
      <c r="AQ77" s="141" cm="1">
        <f t="array" aca="1" ref="AQ77" ca="1">SUMPRODUCT(AB76:AC76, TRANSPOSE(OFFSET(E.TPMs!$N$8:$N$9, INT(($F76-70)/5)*12, $G77*15)))
+SUMPRODUCT(AB76:AC76, TRANSPOSE(OFFSET(E.TPMs!$O$8:$O$9, INT(($F76-70)/5)*12, $G77*15)))
+SUMPRODUCT(AB76:AC76, TRANSPOSE(OFFSET(E.TPMs!$P$8:$P$9, INT(($F76-70)/5)*12, $G77*15)))</f>
        <v>5.7246666053970571E-4</v>
      </c>
      <c r="AR77" s="141">
        <f t="shared" ca="1" si="58"/>
        <v>2.584728541292092E-3</v>
      </c>
      <c r="AS77" s="141" cm="1">
        <f t="array" aca="1" ref="AS77" ca="1">SUMPRODUCT(AB76:AG76, TRANSPOSE(OFFSET(E.TPMs!$R$8:$R$13, INT(($F76-70)/5)*12, $G77*15)))
+SUMPRODUCT(AB76:AG76, TRANSPOSE(OFFSET(E.TPMs!$S$8:$S$13, INT(($F76-70)/5)*12, $G77*15)))</f>
        <v>1.3110054791395387E-3</v>
      </c>
      <c r="AT77" s="141" cm="1">
        <f t="array" aca="1" ref="AT77" ca="1">SUMPRODUCT(AB76:AH76, TRANSPOSE(OFFSET(E.TPMs!$S$8:$S$14, INT(($F76-70)/5)*12, $G77*15)))</f>
        <v>1.0571504448127315E-3</v>
      </c>
    </row>
    <row r="78" spans="4:46" ht="12" customHeight="1" x14ac:dyDescent="0.25">
      <c r="D78" s="62">
        <f t="shared" si="59"/>
        <v>67</v>
      </c>
      <c r="E78" s="62">
        <f t="shared" si="51"/>
        <v>16.75</v>
      </c>
      <c r="F78" s="63">
        <f t="shared" si="52"/>
        <v>86.75</v>
      </c>
      <c r="G78" s="62">
        <f>IF(AND(E77&lt;E.maxDurHPE, E78&gt;=E.maxDurHPE), 1, 0)</f>
        <v>0</v>
      </c>
      <c r="H78" s="164">
        <f t="array" aca="1" ref="H78:S78" ca="1">MMULT(H77:S77, OFFSET(E.rngTPM_Root, INT(($F77-70)/5)*12, $G78*15))</f>
        <v>4.4570900812484718E-3</v>
      </c>
      <c r="I78" s="164">
        <f ca="1"/>
        <v>0</v>
      </c>
      <c r="J78" s="164">
        <f ca="1"/>
        <v>1.4752656126110755E-3</v>
      </c>
      <c r="K78" s="164">
        <f ca="1"/>
        <v>6.0784937564523566E-4</v>
      </c>
      <c r="L78" s="164">
        <f ca="1"/>
        <v>5.1856954740903991E-5</v>
      </c>
      <c r="M78" s="164">
        <f ca="1"/>
        <v>4.2465980347247217E-2</v>
      </c>
      <c r="N78" s="164">
        <f ca="1"/>
        <v>1.0540333195984098E-2</v>
      </c>
      <c r="O78" s="164">
        <f ca="1"/>
        <v>2.9287107139497323E-2</v>
      </c>
      <c r="P78" s="164">
        <f ca="1"/>
        <v>6.6960743282344203E-4</v>
      </c>
      <c r="Q78" s="164">
        <f ca="1"/>
        <v>7.5954315602128786E-2</v>
      </c>
      <c r="R78" s="164">
        <f ca="1"/>
        <v>0.16247238521162163</v>
      </c>
      <c r="S78" s="164">
        <f ca="1"/>
        <v>0.67201820904645126</v>
      </c>
      <c r="T78" s="128">
        <f t="shared" ca="1" si="53"/>
        <v>0.99999999999999944</v>
      </c>
      <c r="U78" s="141">
        <f t="shared" ca="1" si="54"/>
        <v>0.16550940574192657</v>
      </c>
      <c r="V78" s="141">
        <f t="shared" ca="1" si="56"/>
        <v>0.83449059425807337</v>
      </c>
      <c r="W78" s="141" cm="1">
        <f t="array" aca="1" ref="W78" ca="1">SUMPRODUCT(H77:I77, TRANSPOSE(OFFSET(E.TPMs!$N$8:$N$9, INT(($F77-70)/5)*12, $G78*15)))
+SUMPRODUCT(H77:I77, TRANSPOSE(OFFSET(E.TPMs!$O$8:$O$9, INT(($F77-70)/5)*12, $G78*15)))
+SUMPRODUCT(H77:I77, TRANSPOSE(OFFSET(E.TPMs!$P$8:$P$9, INT(($F77-70)/5)*12, $G78*15)))</f>
        <v>2.0915963406414783E-4</v>
      </c>
      <c r="X78" s="141">
        <f t="shared" ca="1" si="55"/>
        <v>2.1349719429972149E-3</v>
      </c>
      <c r="Y78" s="141" cm="1">
        <f t="array" aca="1" ref="Y78" ca="1">SUMPRODUCT(H77:M77, TRANSPOSE(OFFSET(E.TPMs!$R$8:$R$13, INT(($F77-70)/5)*12, $G78*15)))
+SUMPRODUCT(H77:M77, TRANSPOSE(OFFSET(E.TPMs!$S$8:$S$13, INT(($F77-70)/5)*12, $G78*15)))</f>
        <v>1.0828835082977357E-3</v>
      </c>
      <c r="Z78" s="141" cm="1">
        <f t="array" aca="1" ref="Z78" ca="1">SUMPRODUCT(H77:N77, TRANSPOSE(OFFSET(E.TPMs!$S$8:$S$14, INT(($F77-70)/5)*12, $G78*15)))</f>
        <v>8.8616293782007422E-4</v>
      </c>
      <c r="AB78" s="164">
        <f t="array" aca="1" ref="AB78:AM78" ca="1">MMULT(AB77:AM77, OFFSET(E.rngTPM_Root, INT(($F77-70)/5)*12, $G78*15))</f>
        <v>1.0964665719076104E-2</v>
      </c>
      <c r="AC78" s="164">
        <f ca="1"/>
        <v>0</v>
      </c>
      <c r="AD78" s="164">
        <f ca="1"/>
        <v>1.6557141354751129E-3</v>
      </c>
      <c r="AE78" s="164">
        <f ca="1"/>
        <v>6.8219905276193965E-4</v>
      </c>
      <c r="AF78" s="164">
        <f ca="1"/>
        <v>5.819988770377668E-5</v>
      </c>
      <c r="AG78" s="164">
        <f ca="1"/>
        <v>4.169784489882461E-2</v>
      </c>
      <c r="AH78" s="164">
        <f ca="1"/>
        <v>1.1410216055631079E-2</v>
      </c>
      <c r="AI78" s="164">
        <f ca="1"/>
        <v>3.0688965783060348E-2</v>
      </c>
      <c r="AJ78" s="164">
        <f ca="1"/>
        <v>7.0593508995175219E-4</v>
      </c>
      <c r="AK78" s="164">
        <f ca="1"/>
        <v>7.5624840475585389E-2</v>
      </c>
      <c r="AL78" s="164">
        <f ca="1"/>
        <v>0.13126378175186285</v>
      </c>
      <c r="AM78" s="164">
        <f ca="1"/>
        <v>0.69524763715006799</v>
      </c>
      <c r="AN78" s="128">
        <f t="shared" ca="1" si="49"/>
        <v>1.0000000000000009</v>
      </c>
      <c r="AO78" s="141">
        <f t="shared" ca="1" si="50"/>
        <v>0.17348858109807014</v>
      </c>
      <c r="AP78" s="141">
        <f t="shared" ca="1" si="57"/>
        <v>0.82651141890192981</v>
      </c>
      <c r="AQ78" s="141" cm="1">
        <f t="array" aca="1" ref="AQ78" ca="1">SUMPRODUCT(AB77:AC77, TRANSPOSE(OFFSET(E.TPMs!$N$8:$N$9, INT(($F77-70)/5)*12, $G78*15)))
+SUMPRODUCT(AB77:AC77, TRANSPOSE(OFFSET(E.TPMs!$O$8:$O$9, INT(($F77-70)/5)*12, $G78*15)))
+SUMPRODUCT(AB77:AC77, TRANSPOSE(OFFSET(E.TPMs!$P$8:$P$9, INT(($F77-70)/5)*12, $G78*15)))</f>
        <v>5.1454321712862314E-4</v>
      </c>
      <c r="AR78" s="141">
        <f t="shared" ca="1" si="58"/>
        <v>2.3961130759408288E-3</v>
      </c>
      <c r="AS78" s="141" cm="1">
        <f t="array" aca="1" ref="AS78" ca="1">SUMPRODUCT(AB77:AG77, TRANSPOSE(OFFSET(E.TPMs!$R$8:$R$13, INT(($F77-70)/5)*12, $G78*15)))
+SUMPRODUCT(AB77:AG77, TRANSPOSE(OFFSET(E.TPMs!$S$8:$S$13, INT(($F77-70)/5)*12, $G78*15)))</f>
        <v>1.2153374391938175E-3</v>
      </c>
      <c r="AT78" s="141" cm="1">
        <f t="array" aca="1" ref="AT78" ca="1">SUMPRODUCT(AB77:AH77, TRANSPOSE(OFFSET(E.TPMs!$S$8:$S$14, INT(($F77-70)/5)*12, $G78*15)))</f>
        <v>9.768161733341729E-4</v>
      </c>
    </row>
    <row r="79" spans="4:46" ht="12" customHeight="1" x14ac:dyDescent="0.25">
      <c r="D79" s="62">
        <f t="shared" si="59"/>
        <v>68</v>
      </c>
      <c r="E79" s="62">
        <f t="shared" si="51"/>
        <v>17</v>
      </c>
      <c r="F79" s="63">
        <f t="shared" si="52"/>
        <v>87</v>
      </c>
      <c r="G79" s="62">
        <f>IF(AND(E78&lt;E.maxDurHPE, E79&gt;=E.maxDurHPE), 1, 0)</f>
        <v>0</v>
      </c>
      <c r="H79" s="164">
        <f t="array" aca="1" ref="H79:S79" ca="1">MMULT(H78:S78, OFFSET(E.rngTPM_Root, INT(($F78-70)/5)*12, $G79*15))</f>
        <v>4.0061118446191131E-3</v>
      </c>
      <c r="I79" s="164">
        <f ca="1"/>
        <v>0</v>
      </c>
      <c r="J79" s="164">
        <f ca="1"/>
        <v>1.3676110151411378E-3</v>
      </c>
      <c r="K79" s="164">
        <f ca="1"/>
        <v>5.6349276670779672E-4</v>
      </c>
      <c r="L79" s="164">
        <f ca="1"/>
        <v>4.8072795779340403E-5</v>
      </c>
      <c r="M79" s="164">
        <f ca="1"/>
        <v>3.9492840095994464E-2</v>
      </c>
      <c r="N79" s="164">
        <f ca="1"/>
        <v>9.6898848614678616E-3</v>
      </c>
      <c r="O79" s="164">
        <f ca="1"/>
        <v>2.6859819835655149E-2</v>
      </c>
      <c r="P79" s="164">
        <f ca="1"/>
        <v>6.1396706845236464E-4</v>
      </c>
      <c r="Q79" s="164">
        <f ca="1"/>
        <v>7.4249785142395081E-2</v>
      </c>
      <c r="R79" s="164">
        <f ca="1"/>
        <v>0.16302629097199919</v>
      </c>
      <c r="S79" s="164">
        <f ca="1"/>
        <v>0.68008212360178799</v>
      </c>
      <c r="T79" s="128">
        <f t="shared" ca="1" si="53"/>
        <v>0.99999999999999944</v>
      </c>
      <c r="U79" s="141">
        <f t="shared" ca="1" si="54"/>
        <v>0.15689158542621229</v>
      </c>
      <c r="V79" s="141">
        <f t="shared" ca="1" si="56"/>
        <v>0.84310841457378771</v>
      </c>
      <c r="W79" s="141" cm="1">
        <f t="array" aca="1" ref="W79" ca="1">SUMPRODUCT(H78:I78, TRANSPOSE(OFFSET(E.TPMs!$N$8:$N$9, INT(($F78-70)/5)*12, $G79*15)))
+SUMPRODUCT(H78:I78, TRANSPOSE(OFFSET(E.TPMs!$O$8:$O$9, INT(($F78-70)/5)*12, $G79*15)))
+SUMPRODUCT(H78:I78, TRANSPOSE(OFFSET(E.TPMs!$P$8:$P$9, INT(($F78-70)/5)*12, $G79*15)))</f>
        <v>1.8799639948176096E-4</v>
      </c>
      <c r="X79" s="141">
        <f t="shared" ca="1" si="55"/>
        <v>1.9791765776282751E-3</v>
      </c>
      <c r="Y79" s="141" cm="1">
        <f t="array" aca="1" ref="Y79" ca="1">SUMPRODUCT(H78:M78, TRANSPOSE(OFFSET(E.TPMs!$R$8:$R$13, INT(($F78-70)/5)*12, $G79*15)))
+SUMPRODUCT(H78:M78, TRANSPOSE(OFFSET(E.TPMs!$S$8:$S$13, INT(($F78-70)/5)*12, $G79*15)))</f>
        <v>1.0038622207905496E-3</v>
      </c>
      <c r="Z79" s="141" cm="1">
        <f t="array" aca="1" ref="Z79" ca="1">SUMPRODUCT(H78:N78, TRANSPOSE(OFFSET(E.TPMs!$S$8:$S$14, INT(($F78-70)/5)*12, $G79*15)))</f>
        <v>8.1805857377954946E-4</v>
      </c>
      <c r="AB79" s="164">
        <f t="array" aca="1" ref="AB79:AM79" ca="1">MMULT(AB78:AM78, OFFSET(E.rngTPM_Root, INT(($F78-70)/5)*12, $G79*15))</f>
        <v>9.8552365800908259E-3</v>
      </c>
      <c r="AC79" s="164">
        <f ca="1"/>
        <v>0</v>
      </c>
      <c r="AD79" s="164">
        <f ca="1"/>
        <v>1.5348916630632584E-3</v>
      </c>
      <c r="AE79" s="164">
        <f ca="1"/>
        <v>6.3241692282435199E-4</v>
      </c>
      <c r="AF79" s="164">
        <f ca="1"/>
        <v>5.395286572347283E-5</v>
      </c>
      <c r="AG79" s="164">
        <f ca="1"/>
        <v>3.8964331225705792E-2</v>
      </c>
      <c r="AH79" s="164">
        <f ca="1"/>
        <v>1.0512319258394914E-2</v>
      </c>
      <c r="AI79" s="164">
        <f ca="1"/>
        <v>2.8177116256575086E-2</v>
      </c>
      <c r="AJ79" s="164">
        <f ca="1"/>
        <v>6.4820197835153178E-4</v>
      </c>
      <c r="AK79" s="164">
        <f ca="1"/>
        <v>7.3965720639339316E-2</v>
      </c>
      <c r="AL79" s="164">
        <f ca="1"/>
        <v>0.13188543902451833</v>
      </c>
      <c r="AM79" s="164">
        <f ca="1"/>
        <v>0.70377037358541406</v>
      </c>
      <c r="AN79" s="128">
        <f t="shared" ca="1" si="49"/>
        <v>1.0000000000000009</v>
      </c>
      <c r="AO79" s="141">
        <f t="shared" ca="1" si="50"/>
        <v>0.16434418739006856</v>
      </c>
      <c r="AP79" s="141">
        <f t="shared" ca="1" si="57"/>
        <v>0.83565581260993138</v>
      </c>
      <c r="AQ79" s="141" cm="1">
        <f t="array" aca="1" ref="AQ79" ca="1">SUMPRODUCT(AB78:AC78, TRANSPOSE(OFFSET(E.TPMs!$N$8:$N$9, INT(($F78-70)/5)*12, $G79*15)))
+SUMPRODUCT(AB78:AC78, TRANSPOSE(OFFSET(E.TPMs!$O$8:$O$9, INT(($F78-70)/5)*12, $G79*15)))
+SUMPRODUCT(AB78:AC78, TRANSPOSE(OFFSET(E.TPMs!$P$8:$P$9, INT(($F78-70)/5)*12, $G79*15)))</f>
        <v>4.624805958891473E-4</v>
      </c>
      <c r="AR79" s="141">
        <f t="shared" ca="1" si="58"/>
        <v>2.2212614516110831E-3</v>
      </c>
      <c r="AS79" s="141" cm="1">
        <f t="array" aca="1" ref="AS79" ca="1">SUMPRODUCT(AB78:AG78, TRANSPOSE(OFFSET(E.TPMs!$R$8:$R$13, INT(($F78-70)/5)*12, $G79*15)))
+SUMPRODUCT(AB78:AG78, TRANSPOSE(OFFSET(E.TPMs!$S$8:$S$13, INT(($F78-70)/5)*12, $G79*15)))</f>
        <v>1.1266505874088543E-3</v>
      </c>
      <c r="AT79" s="141" cm="1">
        <f t="array" aca="1" ref="AT79" ca="1">SUMPRODUCT(AB78:AH78, TRANSPOSE(OFFSET(E.TPMs!$S$8:$S$14, INT(($F78-70)/5)*12, $G79*15)))</f>
        <v>9.027745926988857E-4</v>
      </c>
    </row>
    <row r="80" spans="4:46" ht="12" customHeight="1" x14ac:dyDescent="0.25">
      <c r="D80" s="62">
        <f t="shared" si="59"/>
        <v>69</v>
      </c>
      <c r="E80" s="62">
        <f t="shared" si="51"/>
        <v>17.25</v>
      </c>
      <c r="F80" s="63">
        <f t="shared" si="52"/>
        <v>87.25</v>
      </c>
      <c r="G80" s="62">
        <f>IF(AND(E79&lt;E.maxDurHPE, E80&gt;=E.maxDurHPE), 1, 0)</f>
        <v>0</v>
      </c>
      <c r="H80" s="164">
        <f t="array" aca="1" ref="H80:S80" ca="1">MMULT(H79:S79, OFFSET(E.rngTPM_Root, INT(($F79-70)/5)*12, $G80*15))</f>
        <v>3.6007645838520052E-3</v>
      </c>
      <c r="I80" s="164">
        <f ca="1"/>
        <v>0</v>
      </c>
      <c r="J80" s="164">
        <f ca="1"/>
        <v>1.2678122995325326E-3</v>
      </c>
      <c r="K80" s="164">
        <f ca="1"/>
        <v>5.2237299379753385E-4</v>
      </c>
      <c r="L80" s="164">
        <f ca="1"/>
        <v>4.4564778352325283E-5</v>
      </c>
      <c r="M80" s="164">
        <f ca="1"/>
        <v>3.6723937159928409E-2</v>
      </c>
      <c r="N80" s="164">
        <f ca="1"/>
        <v>8.9124625336592413E-3</v>
      </c>
      <c r="O80" s="164">
        <f ca="1"/>
        <v>2.4654984207461324E-2</v>
      </c>
      <c r="P80" s="164">
        <f ca="1"/>
        <v>5.633888273780767E-4</v>
      </c>
      <c r="Q80" s="164">
        <f ca="1"/>
        <v>7.254415196247975E-2</v>
      </c>
      <c r="R80" s="164">
        <f ca="1"/>
        <v>0.16353977655233595</v>
      </c>
      <c r="S80" s="164">
        <f ca="1"/>
        <v>0.68762578410122233</v>
      </c>
      <c r="T80" s="128">
        <f t="shared" ca="1" si="53"/>
        <v>0.99999999999999944</v>
      </c>
      <c r="U80" s="141">
        <f t="shared" ca="1" si="54"/>
        <v>0.14883443934644119</v>
      </c>
      <c r="V80" s="141">
        <f t="shared" ca="1" si="56"/>
        <v>0.85116556065355886</v>
      </c>
      <c r="W80" s="141" cm="1">
        <f t="array" aca="1" ref="W80" ca="1">SUMPRODUCT(H79:I79, TRANSPOSE(OFFSET(E.TPMs!$N$8:$N$9, INT(($F79-70)/5)*12, $G80*15)))
+SUMPRODUCT(H79:I79, TRANSPOSE(OFFSET(E.TPMs!$O$8:$O$9, INT(($F79-70)/5)*12, $G80*15)))
+SUMPRODUCT(H79:I79, TRANSPOSE(OFFSET(E.TPMs!$P$8:$P$9, INT(($F79-70)/5)*12, $G80*15)))</f>
        <v>1.6897450780233481E-4</v>
      </c>
      <c r="X80" s="141">
        <f t="shared" ca="1" si="55"/>
        <v>1.8347500716823918E-3</v>
      </c>
      <c r="Y80" s="141" cm="1">
        <f t="array" aca="1" ref="Y80" ca="1">SUMPRODUCT(H79:M79, TRANSPOSE(OFFSET(E.TPMs!$R$8:$R$13, INT(($F79-70)/5)*12, $G80*15)))
+SUMPRODUCT(H79:M79, TRANSPOSE(OFFSET(E.TPMs!$S$8:$S$13, INT(($F79-70)/5)*12, $G80*15)))</f>
        <v>9.306073557919924E-4</v>
      </c>
      <c r="Z80" s="141" cm="1">
        <f t="array" aca="1" ref="Z80" ca="1">SUMPRODUCT(H79:N79, TRANSPOSE(OFFSET(E.TPMs!$S$8:$S$14, INT(($F79-70)/5)*12, $G80*15)))</f>
        <v>7.5538784564689761E-4</v>
      </c>
      <c r="AB80" s="164">
        <f t="array" aca="1" ref="AB80:AM80" ca="1">MMULT(AB79:AM79, OFFSET(E.rngTPM_Root, INT(($F79-70)/5)*12, $G80*15))</f>
        <v>8.8580619362232816E-3</v>
      </c>
      <c r="AC80" s="164">
        <f ca="1"/>
        <v>0</v>
      </c>
      <c r="AD80" s="164">
        <f ca="1"/>
        <v>1.422885972208055E-3</v>
      </c>
      <c r="AE80" s="164">
        <f ca="1"/>
        <v>5.8626754560505302E-4</v>
      </c>
      <c r="AF80" s="164">
        <f ca="1"/>
        <v>5.0015761793339261E-5</v>
      </c>
      <c r="AG80" s="164">
        <f ca="1"/>
        <v>3.6398994227260097E-2</v>
      </c>
      <c r="AH80" s="164">
        <f ca="1"/>
        <v>9.6887484596551877E-3</v>
      </c>
      <c r="AI80" s="164">
        <f ca="1"/>
        <v>2.5892424291666806E-2</v>
      </c>
      <c r="AJ80" s="164">
        <f ca="1"/>
        <v>5.9562528504601101E-4</v>
      </c>
      <c r="AK80" s="164">
        <f ca="1"/>
        <v>7.2302063162019523E-2</v>
      </c>
      <c r="AL80" s="164">
        <f ca="1"/>
        <v>0.13246173208419421</v>
      </c>
      <c r="AM80" s="164">
        <f ca="1"/>
        <v>0.71174318127432934</v>
      </c>
      <c r="AN80" s="128">
        <f t="shared" ca="1" si="49"/>
        <v>1.0000000000000009</v>
      </c>
      <c r="AO80" s="141">
        <f t="shared" ca="1" si="50"/>
        <v>0.15579508664147734</v>
      </c>
      <c r="AP80" s="141">
        <f t="shared" ca="1" si="57"/>
        <v>0.84420491335852266</v>
      </c>
      <c r="AQ80" s="141" cm="1">
        <f t="array" aca="1" ref="AQ80" ca="1">SUMPRODUCT(AB79:AC79, TRANSPOSE(OFFSET(E.TPMs!$N$8:$N$9, INT(($F79-70)/5)*12, $G80*15)))
+SUMPRODUCT(AB79:AC79, TRANSPOSE(OFFSET(E.TPMs!$O$8:$O$9, INT(($F79-70)/5)*12, $G80*15)))
+SUMPRODUCT(AB79:AC79, TRANSPOSE(OFFSET(E.TPMs!$P$8:$P$9, INT(($F79-70)/5)*12, $G80*15)))</f>
        <v>4.1568578586570693E-4</v>
      </c>
      <c r="AR80" s="141">
        <f t="shared" ca="1" si="58"/>
        <v>2.0591692796064474E-3</v>
      </c>
      <c r="AS80" s="141" cm="1">
        <f t="array" aca="1" ref="AS80" ca="1">SUMPRODUCT(AB79:AG79, TRANSPOSE(OFFSET(E.TPMs!$R$8:$R$13, INT(($F79-70)/5)*12, $G80*15)))
+SUMPRODUCT(AB79:AG79, TRANSPOSE(OFFSET(E.TPMs!$S$8:$S$13, INT(($F79-70)/5)*12, $G80*15)))</f>
        <v>1.0444354836108595E-3</v>
      </c>
      <c r="AT80" s="141" cm="1">
        <f t="array" aca="1" ref="AT80" ca="1">SUMPRODUCT(AB79:AH79, TRANSPOSE(OFFSET(E.TPMs!$S$8:$S$14, INT(($F79-70)/5)*12, $G80*15)))</f>
        <v>8.345084356118235E-4</v>
      </c>
    </row>
    <row r="81" spans="4:46" ht="12" customHeight="1" x14ac:dyDescent="0.25">
      <c r="D81" s="62">
        <f t="shared" si="59"/>
        <v>70</v>
      </c>
      <c r="E81" s="62">
        <f t="shared" si="51"/>
        <v>17.5</v>
      </c>
      <c r="F81" s="63">
        <f t="shared" si="52"/>
        <v>87.5</v>
      </c>
      <c r="G81" s="62">
        <f>IF(AND(E80&lt;E.maxDurHPE, E81&gt;=E.maxDurHPE), 1, 0)</f>
        <v>0</v>
      </c>
      <c r="H81" s="164">
        <f t="array" aca="1" ref="H81:S81" ca="1">MMULT(H80:S80, OFFSET(E.rngTPM_Root, INT(($F80-70)/5)*12, $G81*15))</f>
        <v>3.23643125584169E-3</v>
      </c>
      <c r="I81" s="164">
        <f ca="1"/>
        <v>0</v>
      </c>
      <c r="J81" s="164">
        <f ca="1"/>
        <v>1.1752961982978904E-3</v>
      </c>
      <c r="K81" s="164">
        <f ca="1"/>
        <v>4.842538551882655E-4</v>
      </c>
      <c r="L81" s="164">
        <f ca="1"/>
        <v>4.1312751575914182E-5</v>
      </c>
      <c r="M81" s="164">
        <f ca="1"/>
        <v>3.4145654936599081E-2</v>
      </c>
      <c r="N81" s="164">
        <f ca="1"/>
        <v>8.2012578839136298E-3</v>
      </c>
      <c r="O81" s="164">
        <f ca="1"/>
        <v>2.2650890765912021E-2</v>
      </c>
      <c r="P81" s="164">
        <f ca="1"/>
        <v>5.1738069809765933E-4</v>
      </c>
      <c r="Q81" s="164">
        <f ca="1"/>
        <v>7.0842355506383181E-2</v>
      </c>
      <c r="R81" s="164">
        <f ca="1"/>
        <v>0.16401579153552645</v>
      </c>
      <c r="S81" s="164">
        <f ca="1"/>
        <v>0.69468937461266367</v>
      </c>
      <c r="T81" s="128">
        <f t="shared" ca="1" si="53"/>
        <v>0.99999999999999944</v>
      </c>
      <c r="U81" s="141">
        <f t="shared" ca="1" si="54"/>
        <v>0.14129483385180935</v>
      </c>
      <c r="V81" s="141">
        <f t="shared" ca="1" si="56"/>
        <v>0.85870516614819059</v>
      </c>
      <c r="W81" s="141" cm="1">
        <f t="array" aca="1" ref="W81" ca="1">SUMPRODUCT(H80:I80, TRANSPOSE(OFFSET(E.TPMs!$N$8:$N$9, INT(($F80-70)/5)*12, $G81*15)))
+SUMPRODUCT(H80:I80, TRANSPOSE(OFFSET(E.TPMs!$O$8:$O$9, INT(($F80-70)/5)*12, $G81*15)))
+SUMPRODUCT(H80:I80, TRANSPOSE(OFFSET(E.TPMs!$P$8:$P$9, INT(($F80-70)/5)*12, $G81*15)))</f>
        <v>1.5187729321279586E-4</v>
      </c>
      <c r="X81" s="141">
        <f t="shared" ca="1" si="55"/>
        <v>1.70086280506207E-3</v>
      </c>
      <c r="Y81" s="141" cm="1">
        <f t="array" aca="1" ref="Y81" ca="1">SUMPRODUCT(H80:M80, TRANSPOSE(OFFSET(E.TPMs!$R$8:$R$13, INT(($F80-70)/5)*12, $G81*15)))
+SUMPRODUCT(H80:M80, TRANSPOSE(OFFSET(E.TPMs!$S$8:$S$13, INT(($F80-70)/5)*12, $G81*15)))</f>
        <v>8.6269812004009675E-4</v>
      </c>
      <c r="Z81" s="141" cm="1">
        <f t="array" aca="1" ref="Z81" ca="1">SUMPRODUCT(H80:N80, TRANSPOSE(OFFSET(E.TPMs!$S$8:$S$14, INT(($F80-70)/5)*12, $G81*15)))</f>
        <v>6.9769166819449676E-4</v>
      </c>
      <c r="AB81" s="164">
        <f t="array" aca="1" ref="AB81:AM81" ca="1">MMULT(AB80:AM80, OFFSET(E.rngTPM_Root, INT(($F80-70)/5)*12, $G81*15))</f>
        <v>7.9617836292718014E-3</v>
      </c>
      <c r="AC81" s="164">
        <f ca="1"/>
        <v>0</v>
      </c>
      <c r="AD81" s="164">
        <f ca="1"/>
        <v>1.3190536756617199E-3</v>
      </c>
      <c r="AE81" s="164">
        <f ca="1"/>
        <v>5.4348582813805771E-4</v>
      </c>
      <c r="AF81" s="164">
        <f ca="1"/>
        <v>4.6365960254809866E-5</v>
      </c>
      <c r="AG81" s="164">
        <f ca="1"/>
        <v>3.3992728150357372E-2</v>
      </c>
      <c r="AH81" s="164">
        <f ca="1"/>
        <v>8.9328921943882204E-3</v>
      </c>
      <c r="AI81" s="164">
        <f ca="1"/>
        <v>2.3812933045198811E-2</v>
      </c>
      <c r="AJ81" s="164">
        <f ca="1"/>
        <v>5.477121345600621E-4</v>
      </c>
      <c r="AK81" s="164">
        <f ca="1"/>
        <v>7.0639005289547516E-2</v>
      </c>
      <c r="AL81" s="164">
        <f ca="1"/>
        <v>0.13299597129483473</v>
      </c>
      <c r="AM81" s="164">
        <f ca="1"/>
        <v>0.71920806879778776</v>
      </c>
      <c r="AN81" s="128">
        <f t="shared" ca="1" si="49"/>
        <v>1.0000000000000009</v>
      </c>
      <c r="AO81" s="141">
        <f t="shared" ca="1" si="50"/>
        <v>0.14779595990737837</v>
      </c>
      <c r="AP81" s="141">
        <f t="shared" ca="1" si="57"/>
        <v>0.85220404009262163</v>
      </c>
      <c r="AQ81" s="141" cm="1">
        <f t="array" aca="1" ref="AQ81" ca="1">SUMPRODUCT(AB80:AC80, TRANSPOSE(OFFSET(E.TPMs!$N$8:$N$9, INT(($F80-70)/5)*12, $G81*15)))
+SUMPRODUCT(AB80:AC80, TRANSPOSE(OFFSET(E.TPMs!$O$8:$O$9, INT(($F80-70)/5)*12, $G81*15)))
+SUMPRODUCT(AB80:AC80, TRANSPOSE(OFFSET(E.TPMs!$P$8:$P$9, INT(($F80-70)/5)*12, $G81*15)))</f>
        <v>3.7362577826337127E-4</v>
      </c>
      <c r="AR81" s="141">
        <f t="shared" ca="1" si="58"/>
        <v>1.9089054640545875E-3</v>
      </c>
      <c r="AS81" s="141" cm="1">
        <f t="array" aca="1" ref="AS81" ca="1">SUMPRODUCT(AB80:AG80, TRANSPOSE(OFFSET(E.TPMs!$R$8:$R$13, INT(($F80-70)/5)*12, $G81*15)))
+SUMPRODUCT(AB80:AG80, TRANSPOSE(OFFSET(E.TPMs!$S$8:$S$13, INT(($F80-70)/5)*12, $G81*15)))</f>
        <v>9.6821986480800481E-4</v>
      </c>
      <c r="AT81" s="141" cm="1">
        <f t="array" aca="1" ref="AT81" ca="1">SUMPRODUCT(AB80:AH80, TRANSPOSE(OFFSET(E.TPMs!$S$8:$S$14, INT(($F80-70)/5)*12, $G81*15)))</f>
        <v>7.7154601521466299E-4</v>
      </c>
    </row>
    <row r="82" spans="4:46" ht="12" customHeight="1" x14ac:dyDescent="0.25">
      <c r="D82" s="62">
        <f t="shared" si="59"/>
        <v>71</v>
      </c>
      <c r="E82" s="62">
        <f t="shared" si="51"/>
        <v>17.75</v>
      </c>
      <c r="F82" s="63">
        <f t="shared" si="52"/>
        <v>87.75</v>
      </c>
      <c r="G82" s="62">
        <f>IF(AND(E81&lt;E.maxDurHPE, E82&gt;=E.maxDurHPE), 1, 0)</f>
        <v>0</v>
      </c>
      <c r="H82" s="164">
        <f t="array" aca="1" ref="H82:S82" ca="1">MMULT(H81:S81, OFFSET(E.rngTPM_Root, INT(($F81-70)/5)*12, $G82*15))</f>
        <v>2.9089619801202556E-3</v>
      </c>
      <c r="I82" s="164">
        <f ca="1"/>
        <v>0</v>
      </c>
      <c r="J82" s="164">
        <f ca="1"/>
        <v>1.0895312770216863E-3</v>
      </c>
      <c r="K82" s="164">
        <f ca="1"/>
        <v>4.4891638551205272E-4</v>
      </c>
      <c r="L82" s="164">
        <f ca="1"/>
        <v>3.8298035037442408E-5</v>
      </c>
      <c r="M82" s="164">
        <f ca="1"/>
        <v>3.1745240225221669E-2</v>
      </c>
      <c r="N82" s="164">
        <f ca="1"/>
        <v>7.5501589866903565E-3</v>
      </c>
      <c r="O82" s="164">
        <f ca="1"/>
        <v>2.082803403449509E-2</v>
      </c>
      <c r="P82" s="164">
        <f ca="1"/>
        <v>4.7550089862428491E-4</v>
      </c>
      <c r="Q82" s="164">
        <f ca="1"/>
        <v>6.9148705406062189E-2</v>
      </c>
      <c r="R82" s="164">
        <f ca="1"/>
        <v>0.16445707026446993</v>
      </c>
      <c r="S82" s="164">
        <f ca="1"/>
        <v>0.70130958250674447</v>
      </c>
      <c r="T82" s="128">
        <f t="shared" ca="1" si="53"/>
        <v>0.99999999999999944</v>
      </c>
      <c r="U82" s="141">
        <f t="shared" ca="1" si="54"/>
        <v>0.13423334722878505</v>
      </c>
      <c r="V82" s="141">
        <f t="shared" ca="1" si="56"/>
        <v>0.8657666527712149</v>
      </c>
      <c r="W82" s="141" cm="1">
        <f t="array" aca="1" ref="W82" ca="1">SUMPRODUCT(H81:I81, TRANSPOSE(OFFSET(E.TPMs!$N$8:$N$9, INT(($F81-70)/5)*12, $G82*15)))
+SUMPRODUCT(H81:I81, TRANSPOSE(OFFSET(E.TPMs!$O$8:$O$9, INT(($F81-70)/5)*12, $G82*15)))
+SUMPRODUCT(H81:I81, TRANSPOSE(OFFSET(E.TPMs!$P$8:$P$9, INT(($F81-70)/5)*12, $G82*15)))</f>
        <v>1.3651001262645398E-4</v>
      </c>
      <c r="X82" s="141">
        <f t="shared" ca="1" si="55"/>
        <v>1.5767456975711814E-3</v>
      </c>
      <c r="Y82" s="141" cm="1">
        <f t="array" aca="1" ref="Y82" ca="1">SUMPRODUCT(H81:M81, TRANSPOSE(OFFSET(E.TPMs!$R$8:$R$13, INT(($F81-70)/5)*12, $G82*15)))
+SUMPRODUCT(H81:M81, TRANSPOSE(OFFSET(E.TPMs!$S$8:$S$13, INT(($F81-70)/5)*12, $G82*15)))</f>
        <v>7.9974442678598483E-4</v>
      </c>
      <c r="Z82" s="141" cm="1">
        <f t="array" aca="1" ref="Z82" ca="1">SUMPRODUCT(H81:N81, TRANSPOSE(OFFSET(E.TPMs!$S$8:$S$14, INT(($F81-70)/5)*12, $G82*15)))</f>
        <v>6.4455289891535692E-4</v>
      </c>
      <c r="AB82" s="164">
        <f t="array" aca="1" ref="AB82:AM82" ca="1">MMULT(AB81:AM81, OFFSET(E.rngTPM_Root, INT(($F81-70)/5)*12, $G82*15))</f>
        <v>7.1561927446137704E-3</v>
      </c>
      <c r="AC82" s="164">
        <f ca="1"/>
        <v>0</v>
      </c>
      <c r="AD82" s="164">
        <f ca="1"/>
        <v>1.2227983361004654E-3</v>
      </c>
      <c r="AE82" s="164">
        <f ca="1"/>
        <v>5.0382602209725E-4</v>
      </c>
      <c r="AF82" s="164">
        <f ca="1"/>
        <v>4.2982495782697729E-5</v>
      </c>
      <c r="AG82" s="164">
        <f ca="1"/>
        <v>3.1736771311835013E-2</v>
      </c>
      <c r="AH82" s="164">
        <f ca="1"/>
        <v>8.238781679317863E-3</v>
      </c>
      <c r="AI82" s="164">
        <f ca="1"/>
        <v>2.1918906719411362E-2</v>
      </c>
      <c r="AJ82" s="164">
        <f ca="1"/>
        <v>5.0401935190041622E-4</v>
      </c>
      <c r="AK82" s="164">
        <f ca="1"/>
        <v>6.8981047489846473E-2</v>
      </c>
      <c r="AL82" s="164">
        <f ca="1"/>
        <v>0.13349122545310327</v>
      </c>
      <c r="AM82" s="164">
        <f ca="1"/>
        <v>0.72620344839599227</v>
      </c>
      <c r="AN82" s="128">
        <f t="shared" ca="1" si="49"/>
        <v>1.0000000000000009</v>
      </c>
      <c r="AO82" s="141">
        <f t="shared" ca="1" si="50"/>
        <v>0.14030532615090532</v>
      </c>
      <c r="AP82" s="141">
        <f t="shared" ca="1" si="57"/>
        <v>0.8596946738490947</v>
      </c>
      <c r="AQ82" s="141" cm="1">
        <f t="array" aca="1" ref="AQ82" ca="1">SUMPRODUCT(AB81:AC81, TRANSPOSE(OFFSET(E.TPMs!$N$8:$N$9, INT(($F81-70)/5)*12, $G82*15)))
+SUMPRODUCT(AB81:AC81, TRANSPOSE(OFFSET(E.TPMs!$O$8:$O$9, INT(($F81-70)/5)*12, $G82*15)))
+SUMPRODUCT(AB81:AC81, TRANSPOSE(OFFSET(E.TPMs!$P$8:$P$9, INT(($F81-70)/5)*12, $G82*15)))</f>
        <v>3.3582149529646984E-4</v>
      </c>
      <c r="AR82" s="141">
        <f t="shared" ca="1" si="58"/>
        <v>1.769606853980413E-3</v>
      </c>
      <c r="AS82" s="141" cm="1">
        <f t="array" aca="1" ref="AS82" ca="1">SUMPRODUCT(AB81:AG81, TRANSPOSE(OFFSET(E.TPMs!$R$8:$R$13, INT(($F81-70)/5)*12, $G82*15)))
+SUMPRODUCT(AB81:AG81, TRANSPOSE(OFFSET(E.TPMs!$S$8:$S$13, INT(($F81-70)/5)*12, $G82*15)))</f>
        <v>8.9756593041803777E-4</v>
      </c>
      <c r="AT82" s="141" cm="1">
        <f t="array" aca="1" ref="AT82" ca="1">SUMPRODUCT(AB81:AH81, TRANSPOSE(OFFSET(E.TPMs!$S$8:$S$14, INT(($F81-70)/5)*12, $G82*15)))</f>
        <v>7.1345684226647576E-4</v>
      </c>
    </row>
    <row r="83" spans="4:46" ht="12" customHeight="1" x14ac:dyDescent="0.25">
      <c r="D83" s="62">
        <f t="shared" si="59"/>
        <v>72</v>
      </c>
      <c r="E83" s="62">
        <f t="shared" si="51"/>
        <v>18</v>
      </c>
      <c r="F83" s="63">
        <f t="shared" si="52"/>
        <v>88</v>
      </c>
      <c r="G83" s="62">
        <f>IF(AND(E82&lt;E.maxDurHPE, E83&gt;=E.maxDurHPE), 1, 0)</f>
        <v>0</v>
      </c>
      <c r="H83" s="164">
        <f t="array" aca="1" ref="H83:S83" ca="1">MMULT(H82:S82, OFFSET(E.rngTPM_Root, INT(($F82-70)/5)*12, $G83*15))</f>
        <v>2.6146267703079803E-3</v>
      </c>
      <c r="I83" s="164">
        <f ca="1"/>
        <v>0</v>
      </c>
      <c r="J83" s="164">
        <f ca="1"/>
        <v>1.0100248816661531E-3</v>
      </c>
      <c r="K83" s="164">
        <f ca="1"/>
        <v>4.1615759796658256E-4</v>
      </c>
      <c r="L83" s="164">
        <f ca="1"/>
        <v>3.5503311490496125E-5</v>
      </c>
      <c r="M83" s="164">
        <f ca="1"/>
        <v>2.9510753399928969E-2</v>
      </c>
      <c r="N83" s="164">
        <f ca="1"/>
        <v>6.9536725766973957E-3</v>
      </c>
      <c r="O83" s="164">
        <f ca="1"/>
        <v>1.9168883734238938E-2</v>
      </c>
      <c r="P83" s="164">
        <f ca="1"/>
        <v>4.3735256700114467E-4</v>
      </c>
      <c r="Q83" s="164">
        <f ca="1"/>
        <v>6.7466949668899615E-2</v>
      </c>
      <c r="R83" s="164">
        <f ca="1"/>
        <v>0.16486614754878737</v>
      </c>
      <c r="S83" s="164">
        <f ca="1"/>
        <v>0.70751992794301477</v>
      </c>
      <c r="T83" s="128">
        <f t="shared" ca="1" si="53"/>
        <v>0.99999999999999944</v>
      </c>
      <c r="U83" s="141">
        <f t="shared" ca="1" si="54"/>
        <v>0.12761392450819728</v>
      </c>
      <c r="V83" s="141">
        <f t="shared" ca="1" si="56"/>
        <v>0.87238607549180269</v>
      </c>
      <c r="W83" s="141" cm="1">
        <f t="array" aca="1" ref="W83" ca="1">SUMPRODUCT(H82:I82, TRANSPOSE(OFFSET(E.TPMs!$N$8:$N$9, INT(($F82-70)/5)*12, $G83*15)))
+SUMPRODUCT(H82:I82, TRANSPOSE(OFFSET(E.TPMs!$O$8:$O$9, INT(($F82-70)/5)*12, $G83*15)))
+SUMPRODUCT(H82:I82, TRANSPOSE(OFFSET(E.TPMs!$P$8:$P$9, INT(($F82-70)/5)*12, $G83*15)))</f>
        <v>1.2269762749303855E-4</v>
      </c>
      <c r="X83" s="141">
        <f t="shared" ca="1" si="55"/>
        <v>1.4616857911232317E-3</v>
      </c>
      <c r="Y83" s="141" cm="1">
        <f t="array" aca="1" ref="Y83" ca="1">SUMPRODUCT(H82:M82, TRANSPOSE(OFFSET(E.TPMs!$R$8:$R$13, INT(($F82-70)/5)*12, $G83*15)))
+SUMPRODUCT(H82:M82, TRANSPOSE(OFFSET(E.TPMs!$S$8:$S$13, INT(($F82-70)/5)*12, $G83*15)))</f>
        <v>7.4138465509292759E-4</v>
      </c>
      <c r="Z83" s="141" cm="1">
        <f t="array" aca="1" ref="Z83" ca="1">SUMPRODUCT(H82:N82, TRANSPOSE(OFFSET(E.TPMs!$S$8:$S$14, INT(($F82-70)/5)*12, $G83*15)))</f>
        <v>5.9559213847809643E-4</v>
      </c>
      <c r="AB83" s="164">
        <f t="array" aca="1" ref="AB83:AM83" ca="1">MMULT(AB82:AM82, OFFSET(E.rngTPM_Root, INT(($F82-70)/5)*12, $G83*15))</f>
        <v>6.4321133281973683E-3</v>
      </c>
      <c r="AC83" s="164">
        <f ca="1"/>
        <v>0</v>
      </c>
      <c r="AD83" s="164">
        <f ca="1"/>
        <v>1.1335670400372164E-3</v>
      </c>
      <c r="AE83" s="164">
        <f ca="1"/>
        <v>4.6706031215565998E-4</v>
      </c>
      <c r="AF83" s="164">
        <f ca="1"/>
        <v>3.9845932955049155E-5</v>
      </c>
      <c r="AG83" s="164">
        <f ca="1"/>
        <v>2.9622713409905292E-2</v>
      </c>
      <c r="AH83" s="164">
        <f ca="1"/>
        <v>7.6010222995488959E-3</v>
      </c>
      <c r="AI83" s="164">
        <f ca="1"/>
        <v>2.0192599210207437E-2</v>
      </c>
      <c r="AJ83" s="164">
        <f ca="1"/>
        <v>4.6414824520813586E-4</v>
      </c>
      <c r="AK83" s="164">
        <f ca="1"/>
        <v>6.7332121343503387E-2</v>
      </c>
      <c r="AL83" s="164">
        <f ca="1"/>
        <v>0.13395033941628132</v>
      </c>
      <c r="AM83" s="164">
        <f ca="1"/>
        <v>0.73276446946200113</v>
      </c>
      <c r="AN83" s="128">
        <f t="shared" ca="1" si="49"/>
        <v>1.0000000000000009</v>
      </c>
      <c r="AO83" s="141">
        <f t="shared" ca="1" si="50"/>
        <v>0.13328519112171844</v>
      </c>
      <c r="AP83" s="141">
        <f t="shared" ca="1" si="57"/>
        <v>0.86671480887828156</v>
      </c>
      <c r="AQ83" s="141" cm="1">
        <f t="array" aca="1" ref="AQ83" ca="1">SUMPRODUCT(AB82:AC82, TRANSPOSE(OFFSET(E.TPMs!$N$8:$N$9, INT(($F82-70)/5)*12, $G83*15)))
+SUMPRODUCT(AB82:AC82, TRANSPOSE(OFFSET(E.TPMs!$O$8:$O$9, INT(($F82-70)/5)*12, $G83*15)))
+SUMPRODUCT(AB82:AC82, TRANSPOSE(OFFSET(E.TPMs!$P$8:$P$9, INT(($F82-70)/5)*12, $G83*15)))</f>
        <v>3.0184233332974236E-4</v>
      </c>
      <c r="AR83" s="141">
        <f t="shared" ca="1" si="58"/>
        <v>1.6404732851479254E-3</v>
      </c>
      <c r="AS83" s="141" cm="1">
        <f t="array" aca="1" ref="AS83" ca="1">SUMPRODUCT(AB82:AG82, TRANSPOSE(OFFSET(E.TPMs!$R$8:$R$13, INT(($F82-70)/5)*12, $G83*15)))
+SUMPRODUCT(AB82:AG82, TRANSPOSE(OFFSET(E.TPMs!$S$8:$S$13, INT(($F82-70)/5)*12, $G83*15)))</f>
        <v>8.3206782749386361E-4</v>
      </c>
      <c r="AT83" s="141" cm="1">
        <f t="array" aca="1" ref="AT83" ca="1">SUMPRODUCT(AB82:AH82, TRANSPOSE(OFFSET(E.TPMs!$S$8:$S$14, INT(($F82-70)/5)*12, $G83*15)))</f>
        <v>6.5984770454500055E-4</v>
      </c>
    </row>
    <row r="84" spans="4:46" ht="12" customHeight="1" x14ac:dyDescent="0.25">
      <c r="D84" s="62">
        <f t="shared" si="59"/>
        <v>73</v>
      </c>
      <c r="E84" s="62">
        <f t="shared" si="51"/>
        <v>18.25</v>
      </c>
      <c r="F84" s="63">
        <f t="shared" si="52"/>
        <v>88.25</v>
      </c>
      <c r="G84" s="62">
        <f>IF(AND(E83&lt;E.maxDurHPE, E84&gt;=E.maxDurHPE), 1, 0)</f>
        <v>0</v>
      </c>
      <c r="H84" s="164">
        <f t="array" aca="1" ref="H84:S84" ca="1">MMULT(H83:S83, OFFSET(E.rngTPM_Root, INT(($F83-70)/5)*12, $G84*15))</f>
        <v>2.3500730483003874E-3</v>
      </c>
      <c r="I84" s="164">
        <f ca="1"/>
        <v>0</v>
      </c>
      <c r="J84" s="164">
        <f ca="1"/>
        <v>9.3632030864995654E-4</v>
      </c>
      <c r="K84" s="164">
        <f ca="1"/>
        <v>3.8578931831096183E-4</v>
      </c>
      <c r="L84" s="164">
        <f ca="1"/>
        <v>3.2912527380552815E-5</v>
      </c>
      <c r="M84" s="164">
        <f ca="1"/>
        <v>2.7431020885616959E-2</v>
      </c>
      <c r="N84" s="164">
        <f ca="1"/>
        <v>6.406855611382805E-3</v>
      </c>
      <c r="O84" s="164">
        <f ca="1"/>
        <v>1.765767991222144E-2</v>
      </c>
      <c r="P84" s="164">
        <f ca="1"/>
        <v>4.0257902559953169E-4</v>
      </c>
      <c r="Q84" s="164">
        <f ca="1"/>
        <v>6.5800335607458016E-2</v>
      </c>
      <c r="R84" s="164">
        <f ca="1"/>
        <v>0.16524537322536867</v>
      </c>
      <c r="S84" s="164">
        <f ca="1"/>
        <v>0.71335106052971009</v>
      </c>
      <c r="T84" s="128">
        <f t="shared" ca="1" si="53"/>
        <v>0.99999999999999933</v>
      </c>
      <c r="U84" s="141">
        <f t="shared" ca="1" si="54"/>
        <v>0.1214035662449206</v>
      </c>
      <c r="V84" s="141">
        <f t="shared" ca="1" si="56"/>
        <v>0.87859643375507934</v>
      </c>
      <c r="W84" s="141" cm="1">
        <f t="array" aca="1" ref="W84" ca="1">SUMPRODUCT(H83:I83, TRANSPOSE(OFFSET(E.TPMs!$N$8:$N$9, INT(($F83-70)/5)*12, $G84*15)))
+SUMPRODUCT(H83:I83, TRANSPOSE(OFFSET(E.TPMs!$O$8:$O$9, INT(($F83-70)/5)*12, $G84*15)))
+SUMPRODUCT(H83:I83, TRANSPOSE(OFFSET(E.TPMs!$P$8:$P$9, INT(($F83-70)/5)*12, $G84*15)))</f>
        <v>1.1028281005010348E-4</v>
      </c>
      <c r="X84" s="141">
        <f t="shared" ca="1" si="55"/>
        <v>1.3550221543414712E-3</v>
      </c>
      <c r="Y84" s="141" cm="1">
        <f t="array" aca="1" ref="Y84" ca="1">SUMPRODUCT(H83:M83, TRANSPOSE(OFFSET(E.TPMs!$R$8:$R$13, INT(($F83-70)/5)*12, $G84*15)))
+SUMPRODUCT(H83:M83, TRANSPOSE(OFFSET(E.TPMs!$S$8:$S$13, INT(($F83-70)/5)*12, $G84*15)))</f>
        <v>6.8728357259856005E-4</v>
      </c>
      <c r="Z84" s="141" cm="1">
        <f t="array" aca="1" ref="Z84" ca="1">SUMPRODUCT(H83:N83, TRANSPOSE(OFFSET(E.TPMs!$S$8:$S$14, INT(($F83-70)/5)*12, $G84*15)))</f>
        <v>5.5046399127725337E-4</v>
      </c>
      <c r="AB84" s="164">
        <f t="array" aca="1" ref="AB84:AM84" ca="1">MMULT(AB83:AM83, OFFSET(E.rngTPM_Root, INT(($F83-70)/5)*12, $G84*15))</f>
        <v>5.7812978693053824E-3</v>
      </c>
      <c r="AC84" s="164">
        <f ca="1"/>
        <v>0</v>
      </c>
      <c r="AD84" s="164">
        <f ca="1"/>
        <v>1.0508472217557571E-3</v>
      </c>
      <c r="AE84" s="164">
        <f ca="1"/>
        <v>4.3297750736033926E-4</v>
      </c>
      <c r="AF84" s="164">
        <f ca="1"/>
        <v>3.6938254611482754E-5</v>
      </c>
      <c r="AG84" s="164">
        <f ca="1"/>
        <v>2.7642499021769049E-2</v>
      </c>
      <c r="AH84" s="164">
        <f ca="1"/>
        <v>7.0147330107939165E-3</v>
      </c>
      <c r="AI84" s="164">
        <f ca="1"/>
        <v>1.8618047230927942E-2</v>
      </c>
      <c r="AJ84" s="164">
        <f ca="1"/>
        <v>4.277399514230752E-4</v>
      </c>
      <c r="AK84" s="164">
        <f ca="1"/>
        <v>6.5695650275195583E-2</v>
      </c>
      <c r="AL84" s="164">
        <f ca="1"/>
        <v>0.13437595044380296</v>
      </c>
      <c r="AM84" s="164">
        <f ca="1"/>
        <v>0.73892331921305543</v>
      </c>
      <c r="AN84" s="128">
        <f t="shared" ca="1" si="49"/>
        <v>1.0000000000000009</v>
      </c>
      <c r="AO84" s="141">
        <f t="shared" ca="1" si="50"/>
        <v>0.12670073034314253</v>
      </c>
      <c r="AP84" s="141">
        <f t="shared" ca="1" si="57"/>
        <v>0.87329926965685745</v>
      </c>
      <c r="AQ84" s="141" cm="1">
        <f t="array" aca="1" ref="AQ84" ca="1">SUMPRODUCT(AB83:AC83, TRANSPOSE(OFFSET(E.TPMs!$N$8:$N$9, INT(($F83-70)/5)*12, $G84*15)))
+SUMPRODUCT(AB83:AC83, TRANSPOSE(OFFSET(E.TPMs!$O$8:$O$9, INT(($F83-70)/5)*12, $G84*15)))
+SUMPRODUCT(AB83:AC83, TRANSPOSE(OFFSET(E.TPMs!$P$8:$P$9, INT(($F83-70)/5)*12, $G84*15)))</f>
        <v>2.7130125815654139E-4</v>
      </c>
      <c r="AR84" s="141">
        <f t="shared" ca="1" si="58"/>
        <v>1.5207629837275792E-3</v>
      </c>
      <c r="AS84" s="141" cm="1">
        <f t="array" aca="1" ref="AS84" ca="1">SUMPRODUCT(AB83:AG83, TRANSPOSE(OFFSET(E.TPMs!$R$8:$R$13, INT(($F83-70)/5)*12, $G84*15)))
+SUMPRODUCT(AB83:AG83, TRANSPOSE(OFFSET(E.TPMs!$S$8:$S$13, INT(($F83-70)/5)*12, $G84*15)))</f>
        <v>7.7134931940643593E-4</v>
      </c>
      <c r="AT84" s="141" cm="1">
        <f t="array" aca="1" ref="AT84" ca="1">SUMPRODUCT(AB83:AH83, TRANSPOSE(OFFSET(E.TPMs!$S$8:$S$14, INT(($F83-70)/5)*12, $G84*15)))</f>
        <v>6.1035915569199466E-4</v>
      </c>
    </row>
    <row r="85" spans="4:46" ht="12" customHeight="1" x14ac:dyDescent="0.25">
      <c r="D85" s="62">
        <f t="shared" si="59"/>
        <v>74</v>
      </c>
      <c r="E85" s="62">
        <f t="shared" si="51"/>
        <v>18.5</v>
      </c>
      <c r="F85" s="63">
        <f t="shared" si="52"/>
        <v>88.5</v>
      </c>
      <c r="G85" s="62">
        <f>IF(AND(E84&lt;E.maxDurHPE, E85&gt;=E.maxDurHPE), 1, 0)</f>
        <v>0</v>
      </c>
      <c r="H85" s="164">
        <f t="array" aca="1" ref="H85:S85" ca="1">MMULT(H84:S84, OFFSET(E.rngTPM_Root, INT(($F84-70)/5)*12, $G85*15))</f>
        <v>2.1122874572638648E-3</v>
      </c>
      <c r="I85" s="164">
        <f ca="1"/>
        <v>0</v>
      </c>
      <c r="J85" s="164">
        <f ca="1"/>
        <v>8.6799418143455908E-4</v>
      </c>
      <c r="K85" s="164">
        <f ca="1"/>
        <v>3.5763710394826911E-4</v>
      </c>
      <c r="L85" s="164">
        <f ca="1"/>
        <v>3.051080062955845E-5</v>
      </c>
      <c r="M85" s="164">
        <f ca="1"/>
        <v>2.5495589903281837E-2</v>
      </c>
      <c r="N85" s="164">
        <f ca="1"/>
        <v>5.9052549697302392E-3</v>
      </c>
      <c r="O85" s="164">
        <f ca="1"/>
        <v>1.6280249522189875E-2</v>
      </c>
      <c r="P85" s="164">
        <f ca="1"/>
        <v>3.7085955649029099E-4</v>
      </c>
      <c r="Q85" s="164">
        <f ca="1"/>
        <v>6.4151664292398644E-2</v>
      </c>
      <c r="R85" s="164">
        <f ca="1"/>
        <v>0.16559692565639278</v>
      </c>
      <c r="S85" s="164">
        <f ca="1"/>
        <v>0.71883102655623943</v>
      </c>
      <c r="T85" s="128">
        <f t="shared" ca="1" si="53"/>
        <v>0.99999999999999933</v>
      </c>
      <c r="U85" s="141">
        <f t="shared" ca="1" si="54"/>
        <v>0.11557204778736713</v>
      </c>
      <c r="V85" s="141">
        <f t="shared" ca="1" si="56"/>
        <v>0.88442795221263282</v>
      </c>
      <c r="W85" s="141" cm="1">
        <f t="array" aca="1" ref="W85" ca="1">SUMPRODUCT(H84:I84, TRANSPOSE(OFFSET(E.TPMs!$N$8:$N$9, INT(($F84-70)/5)*12, $G85*15)))
+SUMPRODUCT(H84:I84, TRANSPOSE(OFFSET(E.TPMs!$O$8:$O$9, INT(($F84-70)/5)*12, $G85*15)))
+SUMPRODUCT(H84:I84, TRANSPOSE(OFFSET(E.TPMs!$P$8:$P$9, INT(($F84-70)/5)*12, $G85*15)))</f>
        <v>9.9124151306326214E-5</v>
      </c>
      <c r="X85" s="141">
        <f t="shared" ca="1" si="55"/>
        <v>1.2561420860123865E-3</v>
      </c>
      <c r="Y85" s="141" cm="1">
        <f t="array" aca="1" ref="Y85" ca="1">SUMPRODUCT(H84:M84, TRANSPOSE(OFFSET(E.TPMs!$R$8:$R$13, INT(($F84-70)/5)*12, $G85*15)))
+SUMPRODUCT(H84:M84, TRANSPOSE(OFFSET(E.TPMs!$S$8:$S$13, INT(($F84-70)/5)*12, $G85*15)))</f>
        <v>6.3713040986076682E-4</v>
      </c>
      <c r="Z85" s="141" cm="1">
        <f t="array" aca="1" ref="Z85" ca="1">SUMPRODUCT(H84:N84, TRANSPOSE(OFFSET(E.TPMs!$S$8:$S$14, INT(($F84-70)/5)*12, $G85*15)))</f>
        <v>5.0885373177320787E-4</v>
      </c>
      <c r="AB85" s="164">
        <f t="array" aca="1" ref="AB85:AM85" ca="1">MMULT(AB84:AM84, OFFSET(E.rngTPM_Root, INT(($F84-70)/5)*12, $G85*15))</f>
        <v>5.1963333586042444E-3</v>
      </c>
      <c r="AC85" s="164">
        <f ca="1"/>
        <v>0</v>
      </c>
      <c r="AD85" s="164">
        <f ca="1"/>
        <v>9.7416371901174739E-4</v>
      </c>
      <c r="AE85" s="164">
        <f ca="1"/>
        <v>4.0138182800146283E-4</v>
      </c>
      <c r="AF85" s="164">
        <f ca="1"/>
        <v>3.4242758358349088E-5</v>
      </c>
      <c r="AG85" s="164">
        <f ca="1"/>
        <v>2.5788427897652053E-2</v>
      </c>
      <c r="AH85" s="164">
        <f ca="1"/>
        <v>6.4754926861914849E-3</v>
      </c>
      <c r="AI85" s="164">
        <f ca="1"/>
        <v>1.7180885313854991E-2</v>
      </c>
      <c r="AJ85" s="164">
        <f ca="1"/>
        <v>3.9447128319899125E-4</v>
      </c>
      <c r="AK85" s="164">
        <f ca="1"/>
        <v>6.4074603893272769E-2</v>
      </c>
      <c r="AL85" s="164">
        <f ca="1"/>
        <v>0.13477050334629831</v>
      </c>
      <c r="AM85" s="164">
        <f ca="1"/>
        <v>0.74470949391555652</v>
      </c>
      <c r="AN85" s="128">
        <f t="shared" ca="1" si="49"/>
        <v>1.0000000000000009</v>
      </c>
      <c r="AO85" s="141">
        <f t="shared" ca="1" si="50"/>
        <v>0.12052000273814609</v>
      </c>
      <c r="AP85" s="141">
        <f t="shared" ca="1" si="57"/>
        <v>0.87947999726185389</v>
      </c>
      <c r="AQ85" s="141" cm="1">
        <f t="array" aca="1" ref="AQ85" ca="1">SUMPRODUCT(AB84:AC84, TRANSPOSE(OFFSET(E.TPMs!$N$8:$N$9, INT(($F84-70)/5)*12, $G85*15)))
+SUMPRODUCT(AB84:AC84, TRANSPOSE(OFFSET(E.TPMs!$O$8:$O$9, INT(($F84-70)/5)*12, $G85*15)))
+SUMPRODUCT(AB84:AC84, TRANSPOSE(OFFSET(E.TPMs!$P$8:$P$9, INT(($F84-70)/5)*12, $G85*15)))</f>
        <v>2.4385039654763893E-4</v>
      </c>
      <c r="AR85" s="141">
        <f t="shared" ca="1" si="58"/>
        <v>1.4097883053715593E-3</v>
      </c>
      <c r="AS85" s="141" cm="1">
        <f t="array" aca="1" ref="AS85" ca="1">SUMPRODUCT(AB84:AG84, TRANSPOSE(OFFSET(E.TPMs!$R$8:$R$13, INT(($F84-70)/5)*12, $G85*15)))
+SUMPRODUCT(AB84:AG84, TRANSPOSE(OFFSET(E.TPMs!$S$8:$S$13, INT(($F84-70)/5)*12, $G85*15)))</f>
        <v>7.150616246524203E-4</v>
      </c>
      <c r="AT85" s="141" cm="1">
        <f t="array" aca="1" ref="AT85" ca="1">SUMPRODUCT(AB84:AH84, TRANSPOSE(OFFSET(E.TPMs!$S$8:$S$14, INT(($F84-70)/5)*12, $G85*15)))</f>
        <v>5.6466236697966959E-4</v>
      </c>
    </row>
    <row r="86" spans="4:46" ht="12" customHeight="1" x14ac:dyDescent="0.25">
      <c r="D86" s="62">
        <f t="shared" si="59"/>
        <v>75</v>
      </c>
      <c r="E86" s="62">
        <f t="shared" si="51"/>
        <v>18.75</v>
      </c>
      <c r="F86" s="63">
        <f t="shared" si="52"/>
        <v>88.75</v>
      </c>
      <c r="G86" s="62">
        <f>IF(AND(E85&lt;E.maxDurHPE, E86&gt;=E.maxDurHPE), 1, 0)</f>
        <v>0</v>
      </c>
      <c r="H86" s="164">
        <f t="array" aca="1" ref="H86:S86" ca="1">MMULT(H85:S85, OFFSET(E.rngTPM_Root, INT(($F85-70)/5)*12, $G86*15))</f>
        <v>1.898561538476884E-3</v>
      </c>
      <c r="I86" s="164">
        <f ca="1"/>
        <v>0</v>
      </c>
      <c r="J86" s="164">
        <f ca="1"/>
        <v>8.0465401854902432E-4</v>
      </c>
      <c r="K86" s="164">
        <f ca="1"/>
        <v>3.3153924188592736E-4</v>
      </c>
      <c r="L86" s="164">
        <f ca="1"/>
        <v>2.8284335149743464E-5</v>
      </c>
      <c r="M86" s="164">
        <f ca="1"/>
        <v>2.369468544050252E-2</v>
      </c>
      <c r="N86" s="164">
        <f ca="1"/>
        <v>5.4448542697269845E-3</v>
      </c>
      <c r="O86" s="164">
        <f ca="1"/>
        <v>1.5023842219932063E-2</v>
      </c>
      <c r="P86" s="164">
        <f ca="1"/>
        <v>3.4190563204690948E-4</v>
      </c>
      <c r="Q86" s="164">
        <f ca="1"/>
        <v>6.2523339224483929E-2</v>
      </c>
      <c r="R86" s="164">
        <f ca="1"/>
        <v>0.16592282424235646</v>
      </c>
      <c r="S86" s="164">
        <f ca="1"/>
        <v>0.72398550983688892</v>
      </c>
      <c r="T86" s="128">
        <f t="shared" ca="1" si="53"/>
        <v>0.99999999999999933</v>
      </c>
      <c r="U86" s="141">
        <f t="shared" ca="1" si="54"/>
        <v>0.11009166592075398</v>
      </c>
      <c r="V86" s="141">
        <f t="shared" ca="1" si="56"/>
        <v>0.88990833407924597</v>
      </c>
      <c r="W86" s="141" cm="1">
        <f t="array" aca="1" ref="W86" ca="1">SUMPRODUCT(H85:I85, TRANSPOSE(OFFSET(E.TPMs!$N$8:$N$9, INT(($F85-70)/5)*12, $G86*15)))
+SUMPRODUCT(H85:I85, TRANSPOSE(OFFSET(E.TPMs!$O$8:$O$9, INT(($F85-70)/5)*12, $G86*15)))
+SUMPRODUCT(H85:I85, TRANSPOSE(OFFSET(E.TPMs!$P$8:$P$9, INT(($F85-70)/5)*12, $G86*15)))</f>
        <v>8.9094550345022089E-5</v>
      </c>
      <c r="X86" s="141">
        <f t="shared" ca="1" si="55"/>
        <v>1.164477595584695E-3</v>
      </c>
      <c r="Y86" s="141" cm="1">
        <f t="array" aca="1" ref="Y86" ca="1">SUMPRODUCT(H85:M85, TRANSPOSE(OFFSET(E.TPMs!$R$8:$R$13, INT(($F85-70)/5)*12, $G86*15)))
+SUMPRODUCT(H85:M85, TRANSPOSE(OFFSET(E.TPMs!$S$8:$S$13, INT(($F85-70)/5)*12, $G86*15)))</f>
        <v>5.9063707522433975E-4</v>
      </c>
      <c r="Z86" s="141" cm="1">
        <f t="array" aca="1" ref="Z86" ca="1">SUMPRODUCT(H85:N85, TRANSPOSE(OFFSET(E.TPMs!$S$8:$S$14, INT(($F85-70)/5)*12, $G86*15)))</f>
        <v>4.7047432907980038E-4</v>
      </c>
      <c r="AB86" s="164">
        <f t="array" aca="1" ref="AB86:AM86" ca="1">MMULT(AB85:AM85, OFFSET(E.rngTPM_Root, INT(($F85-70)/5)*12, $G86*15))</f>
        <v>4.6705568514475307E-3</v>
      </c>
      <c r="AC86" s="164">
        <f ca="1"/>
        <v>0</v>
      </c>
      <c r="AD86" s="164">
        <f ca="1"/>
        <v>9.0307604358815983E-4</v>
      </c>
      <c r="AE86" s="164">
        <f ca="1"/>
        <v>3.7209178100726744E-4</v>
      </c>
      <c r="AF86" s="164">
        <f ca="1"/>
        <v>3.1743960626222398E-5</v>
      </c>
      <c r="AG86" s="164">
        <f ca="1"/>
        <v>2.4053152583358682E-2</v>
      </c>
      <c r="AH86" s="164">
        <f ca="1"/>
        <v>5.9792925606373393E-3</v>
      </c>
      <c r="AI86" s="164">
        <f ca="1"/>
        <v>1.5868180365062056E-2</v>
      </c>
      <c r="AJ86" s="164">
        <f ca="1"/>
        <v>3.6405102213195632E-4</v>
      </c>
      <c r="AK86" s="164">
        <f ca="1"/>
        <v>6.2471546621261156E-2</v>
      </c>
      <c r="AL86" s="164">
        <f ca="1"/>
        <v>0.13513626452916516</v>
      </c>
      <c r="AM86" s="164">
        <f ca="1"/>
        <v>0.75015004368171534</v>
      </c>
      <c r="AN86" s="128">
        <f t="shared" ca="1" si="49"/>
        <v>1.0000000000000009</v>
      </c>
      <c r="AO86" s="141">
        <f t="shared" ca="1" si="50"/>
        <v>0.11471369178912037</v>
      </c>
      <c r="AP86" s="141">
        <f t="shared" ca="1" si="57"/>
        <v>0.88528630821087961</v>
      </c>
      <c r="AQ86" s="141" cm="1">
        <f t="array" aca="1" ref="AQ86" ca="1">SUMPRODUCT(AB85:AC85, TRANSPOSE(OFFSET(E.TPMs!$N$8:$N$9, INT(($F85-70)/5)*12, $G86*15)))
+SUMPRODUCT(AB85:AC85, TRANSPOSE(OFFSET(E.TPMs!$O$8:$O$9, INT(($F85-70)/5)*12, $G86*15)))
+SUMPRODUCT(AB85:AC85, TRANSPOSE(OFFSET(E.TPMs!$P$8:$P$9, INT(($F85-70)/5)*12, $G86*15)))</f>
        <v>2.1917707385688012E-4</v>
      </c>
      <c r="AR86" s="141">
        <f t="shared" ca="1" si="58"/>
        <v>1.3069117852216496E-3</v>
      </c>
      <c r="AS86" s="141" cm="1">
        <f t="array" aca="1" ref="AS86" ca="1">SUMPRODUCT(AB85:AG85, TRANSPOSE(OFFSET(E.TPMs!$R$8:$R$13, INT(($F85-70)/5)*12, $G86*15)))
+SUMPRODUCT(AB85:AG85, TRANSPOSE(OFFSET(E.TPMs!$S$8:$S$13, INT(($F85-70)/5)*12, $G86*15)))</f>
        <v>6.6288141337056145E-4</v>
      </c>
      <c r="AT86" s="141" cm="1">
        <f t="array" aca="1" ref="AT86" ca="1">SUMPRODUCT(AB85:AH85, TRANSPOSE(OFFSET(E.TPMs!$S$8:$S$14, INT(($F85-70)/5)*12, $G86*15)))</f>
        <v>5.2245630112030038E-4</v>
      </c>
    </row>
    <row r="87" spans="4:46" ht="12" customHeight="1" x14ac:dyDescent="0.25">
      <c r="D87" s="62">
        <f t="shared" si="59"/>
        <v>76</v>
      </c>
      <c r="E87" s="62">
        <f t="shared" si="51"/>
        <v>19</v>
      </c>
      <c r="F87" s="63">
        <f t="shared" si="52"/>
        <v>89</v>
      </c>
      <c r="G87" s="62">
        <f>IF(AND(E86&lt;E.maxDurHPE, E87&gt;=E.maxDurHPE), 1, 0)</f>
        <v>0</v>
      </c>
      <c r="H87" s="164">
        <f t="array" aca="1" ref="H87:S87" ca="1">MMULT(H86:S86, OFFSET(E.rngTPM_Root, INT(($F86-70)/5)*12, $G87*15))</f>
        <v>1.70646088106437E-3</v>
      </c>
      <c r="I87" s="164">
        <f ca="1"/>
        <v>0</v>
      </c>
      <c r="J87" s="164">
        <f ca="1"/>
        <v>7.4593597908341306E-4</v>
      </c>
      <c r="K87" s="164">
        <f ca="1"/>
        <v>3.0734581981794247E-4</v>
      </c>
      <c r="L87" s="164">
        <f ca="1"/>
        <v>2.6220341595624372E-5</v>
      </c>
      <c r="M87" s="164">
        <f ca="1"/>
        <v>2.2019169393688896E-2</v>
      </c>
      <c r="N87" s="164">
        <f ca="1"/>
        <v>5.0220269183191019E-3</v>
      </c>
      <c r="O87" s="164">
        <f ca="1"/>
        <v>1.3876983365158179E-2</v>
      </c>
      <c r="P87" s="164">
        <f ca="1"/>
        <v>3.1545755105903315E-4</v>
      </c>
      <c r="Q87" s="164">
        <f ca="1"/>
        <v>6.0917409845907697E-2</v>
      </c>
      <c r="R87" s="164">
        <f ca="1"/>
        <v>0.1662249410219894</v>
      </c>
      <c r="S87" s="164">
        <f ca="1"/>
        <v>0.72883804888231574</v>
      </c>
      <c r="T87" s="128">
        <f t="shared" ca="1" si="53"/>
        <v>0.99999999999999933</v>
      </c>
      <c r="U87" s="141">
        <f t="shared" ca="1" si="54"/>
        <v>0.10493701009569426</v>
      </c>
      <c r="V87" s="141">
        <f t="shared" ca="1" si="56"/>
        <v>0.89506298990430577</v>
      </c>
      <c r="W87" s="141" cm="1">
        <f t="array" aca="1" ref="W87" ca="1">SUMPRODUCT(H86:I86, TRANSPOSE(OFFSET(E.TPMs!$N$8:$N$9, INT(($F86-70)/5)*12, $G87*15)))
+SUMPRODUCT(H86:I86, TRANSPOSE(OFFSET(E.TPMs!$O$8:$O$9, INT(($F86-70)/5)*12, $G87*15)))
+SUMPRODUCT(H86:I86, TRANSPOSE(OFFSET(E.TPMs!$P$8:$P$9, INT(($F86-70)/5)*12, $G87*15)))</f>
        <v>8.0079766601492969E-5</v>
      </c>
      <c r="X87" s="141">
        <f t="shared" ca="1" si="55"/>
        <v>1.0795021404969799E-3</v>
      </c>
      <c r="Y87" s="141" cm="1">
        <f t="array" aca="1" ref="Y87" ca="1">SUMPRODUCT(H86:M86, TRANSPOSE(OFFSET(E.TPMs!$R$8:$R$13, INT(($F86-70)/5)*12, $G87*15)))
+SUMPRODUCT(H86:M86, TRANSPOSE(OFFSET(E.TPMs!$S$8:$S$13, INT(($F86-70)/5)*12, $G87*15)))</f>
        <v>5.4753649995422076E-4</v>
      </c>
      <c r="Z87" s="141" cm="1">
        <f t="array" aca="1" ref="Z87" ca="1">SUMPRODUCT(H86:N86, TRANSPOSE(OFFSET(E.TPMs!$S$8:$S$14, INT(($F86-70)/5)*12, $G87*15)))</f>
        <v>4.3506378814575847E-4</v>
      </c>
      <c r="AB87" s="164">
        <f t="array" aca="1" ref="AB87:AM87" ca="1">MMULT(AB86:AM86, OFFSET(E.rngTPM_Root, INT(($F86-70)/5)*12, $G87*15))</f>
        <v>4.1979795746712499E-3</v>
      </c>
      <c r="AC87" s="164">
        <f ca="1"/>
        <v>0</v>
      </c>
      <c r="AD87" s="164">
        <f ca="1"/>
        <v>8.3717585102654536E-4</v>
      </c>
      <c r="AE87" s="164">
        <f ca="1"/>
        <v>3.4493911740482599E-4</v>
      </c>
      <c r="AF87" s="164">
        <f ca="1"/>
        <v>2.9427507728607524E-5</v>
      </c>
      <c r="AG87" s="164">
        <f ca="1"/>
        <v>2.2429673834424648E-2</v>
      </c>
      <c r="AH87" s="164">
        <f ca="1"/>
        <v>5.5224940332740183E-3</v>
      </c>
      <c r="AI87" s="164">
        <f ca="1"/>
        <v>1.4668283693454395E-2</v>
      </c>
      <c r="AJ87" s="164">
        <f ca="1"/>
        <v>3.3621660943453145E-4</v>
      </c>
      <c r="AK87" s="164">
        <f ca="1"/>
        <v>6.0888681230635122E-2</v>
      </c>
      <c r="AL87" s="164">
        <f ca="1"/>
        <v>0.13547533501133896</v>
      </c>
      <c r="AM87" s="164">
        <f ca="1"/>
        <v>0.75526979353660795</v>
      </c>
      <c r="AN87" s="128">
        <f t="shared" ca="1" si="49"/>
        <v>1.0000000000000009</v>
      </c>
      <c r="AO87" s="141">
        <f t="shared" ca="1" si="50"/>
        <v>0.10925487145205394</v>
      </c>
      <c r="AP87" s="141">
        <f t="shared" ca="1" si="57"/>
        <v>0.89074512854794607</v>
      </c>
      <c r="AQ87" s="141" cm="1">
        <f t="array" aca="1" ref="AQ87" ca="1">SUMPRODUCT(AB86:AC86, TRANSPOSE(OFFSET(E.TPMs!$N$8:$N$9, INT(($F86-70)/5)*12, $G87*15)))
+SUMPRODUCT(AB86:AC86, TRANSPOSE(OFFSET(E.TPMs!$O$8:$O$9, INT(($F86-70)/5)*12, $G87*15)))
+SUMPRODUCT(AB86:AC86, TRANSPOSE(OFFSET(E.TPMs!$P$8:$P$9, INT(($F86-70)/5)*12, $G87*15)))</f>
        <v>1.970002525506634E-4</v>
      </c>
      <c r="AR87" s="141">
        <f t="shared" ca="1" si="58"/>
        <v>1.2115424761599788E-3</v>
      </c>
      <c r="AS87" s="141" cm="1">
        <f t="array" aca="1" ref="AS87" ca="1">SUMPRODUCT(AB86:AG86, TRANSPOSE(OFFSET(E.TPMs!$R$8:$R$13, INT(($F86-70)/5)*12, $G87*15)))
+SUMPRODUCT(AB86:AG86, TRANSPOSE(OFFSET(E.TPMs!$S$8:$S$13, INT(($F86-70)/5)*12, $G87*15)))</f>
        <v>6.1450895005831689E-4</v>
      </c>
      <c r="AT87" s="141" cm="1">
        <f t="array" aca="1" ref="AT87" ca="1">SUMPRODUCT(AB86:AH86, TRANSPOSE(OFFSET(E.TPMs!$S$8:$S$14, INT(($F86-70)/5)*12, $G87*15)))</f>
        <v>4.8346517216583913E-4</v>
      </c>
    </row>
    <row r="88" spans="4:46" ht="12" customHeight="1" x14ac:dyDescent="0.25">
      <c r="D88" s="62">
        <f t="shared" si="59"/>
        <v>77</v>
      </c>
      <c r="E88" s="62">
        <f t="shared" si="51"/>
        <v>19.25</v>
      </c>
      <c r="F88" s="63">
        <f t="shared" si="52"/>
        <v>89.25</v>
      </c>
      <c r="G88" s="62">
        <f>IF(AND(E87&lt;E.maxDurHPE, E88&gt;=E.maxDurHPE), 1, 0)</f>
        <v>0</v>
      </c>
      <c r="H88" s="164">
        <f t="array" aca="1" ref="H88:S88" ca="1">MMULT(H87:S87, OFFSET(E.rngTPM_Root, INT(($F87-70)/5)*12, $G88*15))</f>
        <v>1.5337973932302122E-3</v>
      </c>
      <c r="I88" s="164">
        <f ca="1"/>
        <v>0</v>
      </c>
      <c r="J88" s="164">
        <f ca="1"/>
        <v>6.9150277270035128E-4</v>
      </c>
      <c r="K88" s="164">
        <f ca="1"/>
        <v>2.8491786499308127E-4</v>
      </c>
      <c r="L88" s="164">
        <f ca="1"/>
        <v>2.4306963898971664E-5</v>
      </c>
      <c r="M88" s="164">
        <f ca="1"/>
        <v>2.0460501821583051E-2</v>
      </c>
      <c r="N88" s="164">
        <f ca="1"/>
        <v>4.6334946218075709E-3</v>
      </c>
      <c r="O88" s="164">
        <f ca="1"/>
        <v>1.2829342428161285E-2</v>
      </c>
      <c r="P88" s="164">
        <f ca="1"/>
        <v>2.9128143608823958E-4</v>
      </c>
      <c r="Q88" s="164">
        <f ca="1"/>
        <v>5.9335610443798821E-2</v>
      </c>
      <c r="R88" s="164">
        <f ca="1"/>
        <v>0.16650501142568835</v>
      </c>
      <c r="S88" s="164">
        <f ca="1"/>
        <v>0.7334102328280494</v>
      </c>
      <c r="T88" s="128">
        <f t="shared" ca="1" si="53"/>
        <v>0.99999999999999933</v>
      </c>
      <c r="U88" s="141">
        <f t="shared" ca="1" si="54"/>
        <v>0.10008475574626158</v>
      </c>
      <c r="V88" s="141">
        <f t="shared" ca="1" si="56"/>
        <v>0.89991524425373837</v>
      </c>
      <c r="W88" s="141" cm="1">
        <f t="array" aca="1" ref="W88" ca="1">SUMPRODUCT(H87:I87, TRANSPOSE(OFFSET(E.TPMs!$N$8:$N$9, INT(($F87-70)/5)*12, $G88*15)))
+SUMPRODUCT(H87:I87, TRANSPOSE(OFFSET(E.TPMs!$O$8:$O$9, INT(($F87-70)/5)*12, $G88*15)))
+SUMPRODUCT(H87:I87, TRANSPOSE(OFFSET(E.TPMs!$P$8:$P$9, INT(($F87-70)/5)*12, $G88*15)))</f>
        <v>7.1977118624157052E-5</v>
      </c>
      <c r="X88" s="141">
        <f t="shared" ca="1" si="55"/>
        <v>1.0007276015924042E-3</v>
      </c>
      <c r="Y88" s="141" cm="1">
        <f t="array" aca="1" ref="Y88" ca="1">SUMPRODUCT(H87:M87, TRANSPOSE(OFFSET(E.TPMs!$R$8:$R$13, INT(($F87-70)/5)*12, $G88*15)))
+SUMPRODUCT(H87:M87, TRANSPOSE(OFFSET(E.TPMs!$S$8:$S$13, INT(($F87-70)/5)*12, $G88*15)))</f>
        <v>5.0758110412938058E-4</v>
      </c>
      <c r="Z88" s="141" cm="1">
        <f t="array" aca="1" ref="Z88" ca="1">SUMPRODUCT(H87:N87, TRANSPOSE(OFFSET(E.TPMs!$S$8:$S$14, INT(($F87-70)/5)*12, $G88*15)))</f>
        <v>4.0238277100824831E-4</v>
      </c>
      <c r="AB88" s="164">
        <f t="array" aca="1" ref="AB88:AM88" ca="1">MMULT(AB87:AM87, OFFSET(E.rngTPM_Root, INT(($F87-70)/5)*12, $G88*15))</f>
        <v>3.7732187124315075E-3</v>
      </c>
      <c r="AC88" s="164">
        <f ca="1"/>
        <v>0</v>
      </c>
      <c r="AD88" s="164">
        <f ca="1"/>
        <v>7.7608459499966891E-4</v>
      </c>
      <c r="AE88" s="164">
        <f ca="1"/>
        <v>3.1976786585806487E-4</v>
      </c>
      <c r="AF88" s="164">
        <f ca="1"/>
        <v>2.7280093410962281E-5</v>
      </c>
      <c r="AG88" s="164">
        <f ca="1"/>
        <v>2.0911334224027339E-2</v>
      </c>
      <c r="AH88" s="164">
        <f ca="1"/>
        <v>5.1017911824533602E-3</v>
      </c>
      <c r="AI88" s="164">
        <f ca="1"/>
        <v>1.3570698654699519E-2</v>
      </c>
      <c r="AJ88" s="164">
        <f ca="1"/>
        <v>3.107311905872417E-4</v>
      </c>
      <c r="AK88" s="164">
        <f ca="1"/>
        <v>5.9327887817968009E-2</v>
      </c>
      <c r="AL88" s="164">
        <f ca="1"/>
        <v>0.13578966249404348</v>
      </c>
      <c r="AM88" s="164">
        <f ca="1"/>
        <v>0.76009154316952166</v>
      </c>
      <c r="AN88" s="128">
        <f t="shared" ca="1" si="49"/>
        <v>1.0000000000000009</v>
      </c>
      <c r="AO88" s="141">
        <f t="shared" ca="1" si="50"/>
        <v>0.10411879433643567</v>
      </c>
      <c r="AP88" s="141">
        <f t="shared" ca="1" si="57"/>
        <v>0.89588120566356433</v>
      </c>
      <c r="AQ88" s="141" cm="1">
        <f t="array" aca="1" ref="AQ88" ca="1">SUMPRODUCT(AB87:AC87, TRANSPOSE(OFFSET(E.TPMs!$N$8:$N$9, INT(($F87-70)/5)*12, $G88*15)))
+SUMPRODUCT(AB87:AC87, TRANSPOSE(OFFSET(E.TPMs!$O$8:$O$9, INT(($F87-70)/5)*12, $G88*15)))
+SUMPRODUCT(AB87:AC87, TRANSPOSE(OFFSET(E.TPMs!$P$8:$P$9, INT(($F87-70)/5)*12, $G88*15)))</f>
        <v>1.7706733109488907E-4</v>
      </c>
      <c r="AR88" s="141">
        <f t="shared" ca="1" si="58"/>
        <v>1.123132554268696E-3</v>
      </c>
      <c r="AS88" s="141" cm="1">
        <f t="array" aca="1" ref="AS88" ca="1">SUMPRODUCT(AB87:AG87, TRANSPOSE(OFFSET(E.TPMs!$R$8:$R$13, INT(($F87-70)/5)*12, $G88*15)))
+SUMPRODUCT(AB87:AG87, TRANSPOSE(OFFSET(E.TPMs!$S$8:$S$13, INT(($F87-70)/5)*12, $G88*15)))</f>
        <v>5.6966637182008094E-4</v>
      </c>
      <c r="AT88" s="141" cm="1">
        <f t="array" aca="1" ref="AT88" ca="1">SUMPRODUCT(AB87:AH87, TRANSPOSE(OFFSET(E.TPMs!$S$8:$S$14, INT(($F87-70)/5)*12, $G88*15)))</f>
        <v>4.4743615984791215E-4</v>
      </c>
    </row>
    <row r="89" spans="4:46" ht="12" customHeight="1" x14ac:dyDescent="0.25">
      <c r="D89" s="62">
        <f t="shared" si="59"/>
        <v>78</v>
      </c>
      <c r="E89" s="62">
        <f t="shared" si="51"/>
        <v>19.5</v>
      </c>
      <c r="F89" s="63">
        <f t="shared" si="52"/>
        <v>89.5</v>
      </c>
      <c r="G89" s="62">
        <f>IF(AND(E88&lt;E.maxDurHPE, E89&gt;=E.maxDurHPE), 1, 0)</f>
        <v>0</v>
      </c>
      <c r="H89" s="164">
        <f t="array" aca="1" ref="H89:S89" ca="1">MMULT(H88:S88, OFFSET(E.rngTPM_Root, INT(($F88-70)/5)*12, $G89*15))</f>
        <v>1.3786043791478239E-3</v>
      </c>
      <c r="I89" s="164">
        <f ca="1"/>
        <v>0</v>
      </c>
      <c r="J89" s="164">
        <f ca="1"/>
        <v>6.410417221593787E-4</v>
      </c>
      <c r="K89" s="164">
        <f ca="1"/>
        <v>2.6412654592244624E-4</v>
      </c>
      <c r="L89" s="164">
        <f ca="1"/>
        <v>2.2533211164743503E-5</v>
      </c>
      <c r="M89" s="164">
        <f ca="1"/>
        <v>1.9010704244003859E-2</v>
      </c>
      <c r="N89" s="164">
        <f ca="1"/>
        <v>4.2762906837755452E-3</v>
      </c>
      <c r="O89" s="164">
        <f ca="1"/>
        <v>1.187161518550621E-2</v>
      </c>
      <c r="P89" s="164">
        <f ca="1"/>
        <v>2.6916655265528833E-4</v>
      </c>
      <c r="Q89" s="164">
        <f ca="1"/>
        <v>5.7779394938718004E-2</v>
      </c>
      <c r="R89" s="164">
        <f ca="1"/>
        <v>0.16676464424424084</v>
      </c>
      <c r="S89" s="164">
        <f ca="1"/>
        <v>0.73772187829270519</v>
      </c>
      <c r="T89" s="128">
        <f t="shared" ca="1" si="53"/>
        <v>0.99999999999999933</v>
      </c>
      <c r="U89" s="141">
        <f t="shared" ca="1" si="54"/>
        <v>9.5513477463053303E-2</v>
      </c>
      <c r="V89" s="141">
        <f t="shared" ca="1" si="56"/>
        <v>0.90448652253694672</v>
      </c>
      <c r="W89" s="141" cm="1">
        <f t="array" aca="1" ref="W89" ca="1">SUMPRODUCT(H88:I88, TRANSPOSE(OFFSET(E.TPMs!$N$8:$N$9, INT(($F88-70)/5)*12, $G89*15)))
+SUMPRODUCT(H88:I88, TRANSPOSE(OFFSET(E.TPMs!$O$8:$O$9, INT(($F88-70)/5)*12, $G89*15)))
+SUMPRODUCT(H88:I88, TRANSPOSE(OFFSET(E.TPMs!$P$8:$P$9, INT(($F88-70)/5)*12, $G89*15)))</f>
        <v>6.469431449790702E-5</v>
      </c>
      <c r="X89" s="141">
        <f t="shared" ca="1" si="55"/>
        <v>9.277014792465685E-4</v>
      </c>
      <c r="Y89" s="141" cm="1">
        <f t="array" aca="1" ref="Y89" ca="1">SUMPRODUCT(H88:M88, TRANSPOSE(OFFSET(E.TPMs!$R$8:$R$13, INT(($F88-70)/5)*12, $G89*15)))
+SUMPRODUCT(H88:M88, TRANSPOSE(OFFSET(E.TPMs!$S$8:$S$13, INT(($F88-70)/5)*12, $G89*15)))</f>
        <v>4.7054137448506562E-4</v>
      </c>
      <c r="Z89" s="141" cm="1">
        <f t="array" aca="1" ref="Z89" ca="1">SUMPRODUCT(H88:N88, TRANSPOSE(OFFSET(E.TPMs!$S$8:$S$14, INT(($F88-70)/5)*12, $G89*15)))</f>
        <v>3.7221246607223085E-4</v>
      </c>
      <c r="AB89" s="164">
        <f t="array" aca="1" ref="AB89:AM89" ca="1">MMULT(AB88:AM88, OFFSET(E.rngTPM_Root, INT(($F88-70)/5)*12, $G89*15))</f>
        <v>3.3914360941020585E-3</v>
      </c>
      <c r="AC89" s="164">
        <f ca="1"/>
        <v>0</v>
      </c>
      <c r="AD89" s="164">
        <f ca="1"/>
        <v>7.1945135285167471E-4</v>
      </c>
      <c r="AE89" s="164">
        <f ca="1"/>
        <v>2.9643343673143744E-4</v>
      </c>
      <c r="AF89" s="164">
        <f ca="1"/>
        <v>2.5289382416417172E-5</v>
      </c>
      <c r="AG89" s="164">
        <f ca="1"/>
        <v>1.949181029308035E-2</v>
      </c>
      <c r="AH89" s="164">
        <f ca="1"/>
        <v>4.714177428962252E-3</v>
      </c>
      <c r="AI89" s="164">
        <f ca="1"/>
        <v>1.2565962247766328E-2</v>
      </c>
      <c r="AJ89" s="164">
        <f ca="1"/>
        <v>2.8738097530083126E-4</v>
      </c>
      <c r="AK89" s="164">
        <f ca="1"/>
        <v>5.7790758710624501E-2</v>
      </c>
      <c r="AL89" s="164">
        <f ca="1"/>
        <v>0.13608105254884842</v>
      </c>
      <c r="AM89" s="164">
        <f ca="1"/>
        <v>0.76463624752931647</v>
      </c>
      <c r="AN89" s="128">
        <f t="shared" ca="1" si="49"/>
        <v>1.0000000000000007</v>
      </c>
      <c r="AO89" s="141">
        <f t="shared" ca="1" si="50"/>
        <v>9.9282699921835846E-2</v>
      </c>
      <c r="AP89" s="141">
        <f t="shared" ca="1" si="57"/>
        <v>0.9007173000781642</v>
      </c>
      <c r="AQ89" s="141" cm="1">
        <f t="array" aca="1" ref="AQ89" ca="1">SUMPRODUCT(AB88:AC88, TRANSPOSE(OFFSET(E.TPMs!$N$8:$N$9, INT(($F88-70)/5)*12, $G89*15)))
+SUMPRODUCT(AB88:AC88, TRANSPOSE(OFFSET(E.TPMs!$O$8:$O$9, INT(($F88-70)/5)*12, $G89*15)))
+SUMPRODUCT(AB88:AC88, TRANSPOSE(OFFSET(E.TPMs!$P$8:$P$9, INT(($F88-70)/5)*12, $G89*15)))</f>
        <v>1.5915126673760955E-4</v>
      </c>
      <c r="AR89" s="141">
        <f t="shared" ca="1" si="58"/>
        <v>1.0411741719995294E-3</v>
      </c>
      <c r="AS89" s="141" cm="1">
        <f t="array" aca="1" ref="AS89" ca="1">SUMPRODUCT(AB88:AG88, TRANSPOSE(OFFSET(E.TPMs!$R$8:$R$13, INT(($F88-70)/5)*12, $G89*15)))
+SUMPRODUCT(AB88:AG88, TRANSPOSE(OFFSET(E.TPMs!$S$8:$S$13, INT(($F88-70)/5)*12, $G89*15)))</f>
        <v>5.2809609225684629E-4</v>
      </c>
      <c r="AT89" s="141" cm="1">
        <f t="array" aca="1" ref="AT89" ca="1">SUMPRODUCT(AB88:AH88, TRANSPOSE(OFFSET(E.TPMs!$S$8:$S$14, INT(($F88-70)/5)*12, $G89*15)))</f>
        <v>4.1413735047145386E-4</v>
      </c>
    </row>
    <row r="90" spans="4:46" ht="12" customHeight="1" x14ac:dyDescent="0.25">
      <c r="D90" s="62">
        <f t="shared" si="59"/>
        <v>79</v>
      </c>
      <c r="E90" s="62">
        <f t="shared" si="51"/>
        <v>19.75</v>
      </c>
      <c r="F90" s="63">
        <f t="shared" si="52"/>
        <v>89.75</v>
      </c>
      <c r="G90" s="62">
        <f>IF(AND(E89&lt;E.maxDurHPE, E90&gt;=E.maxDurHPE), 1, 0)</f>
        <v>0</v>
      </c>
      <c r="H90" s="164">
        <f t="array" aca="1" ref="H90:S90" ca="1">MMULT(H89:S89, OFFSET(E.rngTPM_Root, INT(($F89-70)/5)*12, $G90*15))</f>
        <v>1.2391141376260624E-3</v>
      </c>
      <c r="I90" s="164">
        <f ca="1"/>
        <v>0</v>
      </c>
      <c r="J90" s="164">
        <f ca="1"/>
        <v>5.9426296722476396E-4</v>
      </c>
      <c r="K90" s="164">
        <f ca="1"/>
        <v>2.4485243234086487E-4</v>
      </c>
      <c r="L90" s="164">
        <f ca="1"/>
        <v>2.0888894536779323E-5</v>
      </c>
      <c r="M90" s="164">
        <f ca="1"/>
        <v>1.7662324915732615E-2</v>
      </c>
      <c r="N90" s="164">
        <f ca="1"/>
        <v>3.947727503765177E-3</v>
      </c>
      <c r="O90" s="164">
        <f ca="1"/>
        <v>1.0995418256367332E-2</v>
      </c>
      <c r="P90" s="164">
        <f ca="1"/>
        <v>2.4892291517412165E-4</v>
      </c>
      <c r="Q90" s="164">
        <f ca="1"/>
        <v>5.6249967997507963E-2</v>
      </c>
      <c r="R90" s="164">
        <f ca="1"/>
        <v>0.16700533087010069</v>
      </c>
      <c r="S90" s="164">
        <f ca="1"/>
        <v>0.74179118910962294</v>
      </c>
      <c r="T90" s="128">
        <f t="shared" ca="1" si="53"/>
        <v>0.99999999999999933</v>
      </c>
      <c r="U90" s="141">
        <f t="shared" ca="1" si="54"/>
        <v>9.1203480020275673E-2</v>
      </c>
      <c r="V90" s="141">
        <f t="shared" ca="1" si="56"/>
        <v>0.90879651997972433</v>
      </c>
      <c r="W90" s="141" cm="1">
        <f t="array" aca="1" ref="W90" ca="1">SUMPRODUCT(H89:I89, TRANSPOSE(OFFSET(E.TPMs!$N$8:$N$9, INT(($F89-70)/5)*12, $G90*15)))
+SUMPRODUCT(H89:I89, TRANSPOSE(OFFSET(E.TPMs!$O$8:$O$9, INT(($F89-70)/5)*12, $G90*15)))
+SUMPRODUCT(H89:I89, TRANSPOSE(OFFSET(E.TPMs!$P$8:$P$9, INT(($F89-70)/5)*12, $G90*15)))</f>
        <v>5.8148400607820496E-5</v>
      </c>
      <c r="X90" s="141">
        <f t="shared" ca="1" si="55"/>
        <v>8.6000429410240816E-4</v>
      </c>
      <c r="Y90" s="141" cm="1">
        <f t="array" aca="1" ref="Y90" ca="1">SUMPRODUCT(H89:M89, TRANSPOSE(OFFSET(E.TPMs!$R$8:$R$13, INT(($F89-70)/5)*12, $G90*15)))
+SUMPRODUCT(H89:M89, TRANSPOSE(OFFSET(E.TPMs!$S$8:$S$13, INT(($F89-70)/5)*12, $G90*15)))</f>
        <v>4.3620454603420053E-4</v>
      </c>
      <c r="Z90" s="141" cm="1">
        <f t="array" aca="1" ref="Z90" ca="1">SUMPRODUCT(H89:N89, TRANSPOSE(OFFSET(E.TPMs!$S$8:$S$14, INT(($F89-70)/5)*12, $G90*15)))</f>
        <v>3.4435267727388847E-4</v>
      </c>
      <c r="AB90" s="164">
        <f t="array" aca="1" ref="AB90:AM90" ca="1">MMULT(AB89:AM89, OFFSET(E.rngTPM_Root, INT(($F89-70)/5)*12, $G90*15))</f>
        <v>3.0482830858660462E-3</v>
      </c>
      <c r="AC90" s="164">
        <f ca="1"/>
        <v>0</v>
      </c>
      <c r="AD90" s="164">
        <f ca="1"/>
        <v>6.6695080981516689E-4</v>
      </c>
      <c r="AE90" s="164">
        <f ca="1"/>
        <v>2.7480179153278384E-4</v>
      </c>
      <c r="AF90" s="164">
        <f ca="1"/>
        <v>2.3443939629135986E-5</v>
      </c>
      <c r="AG90" s="164">
        <f ca="1"/>
        <v>1.816510354359489E-2</v>
      </c>
      <c r="AH90" s="164">
        <f ca="1"/>
        <v>4.3569158541972254E-3</v>
      </c>
      <c r="AI90" s="164">
        <f ca="1"/>
        <v>1.1645539178266441E-2</v>
      </c>
      <c r="AJ90" s="164">
        <f ca="1"/>
        <v>2.6597287839324086E-4</v>
      </c>
      <c r="AK90" s="164">
        <f ca="1"/>
        <v>5.6278629732686769E-2</v>
      </c>
      <c r="AL90" s="164">
        <f ca="1"/>
        <v>0.13635117898930049</v>
      </c>
      <c r="AM90" s="164">
        <f ca="1"/>
        <v>0.76892318019671857</v>
      </c>
      <c r="AN90" s="128">
        <f t="shared" ca="1" si="49"/>
        <v>1.0000000000000009</v>
      </c>
      <c r="AO90" s="141">
        <f t="shared" ca="1" si="50"/>
        <v>9.4725640813981701E-2</v>
      </c>
      <c r="AP90" s="141">
        <f t="shared" ca="1" si="57"/>
        <v>0.90527435918601828</v>
      </c>
      <c r="AQ90" s="141" cm="1">
        <f t="array" aca="1" ref="AQ90" ca="1">SUMPRODUCT(AB89:AC89, TRANSPOSE(OFFSET(E.TPMs!$N$8:$N$9, INT(($F89-70)/5)*12, $G90*15)))
+SUMPRODUCT(AB89:AC89, TRANSPOSE(OFFSET(E.TPMs!$O$8:$O$9, INT(($F89-70)/5)*12, $G90*15)))
+SUMPRODUCT(AB89:AC89, TRANSPOSE(OFFSET(E.TPMs!$P$8:$P$9, INT(($F89-70)/5)*12, $G90*15)))</f>
        <v>1.4304798941489695E-4</v>
      </c>
      <c r="AR90" s="141">
        <f t="shared" ca="1" si="58"/>
        <v>9.6519654097708667E-4</v>
      </c>
      <c r="AS90" s="141" cm="1">
        <f t="array" aca="1" ref="AS90" ca="1">SUMPRODUCT(AB89:AG89, TRANSPOSE(OFFSET(E.TPMs!$R$8:$R$13, INT(($F89-70)/5)*12, $G90*15)))
+SUMPRODUCT(AB89:AG89, TRANSPOSE(OFFSET(E.TPMs!$S$8:$S$13, INT(($F89-70)/5)*12, $G90*15)))</f>
        <v>4.8955932182886963E-4</v>
      </c>
      <c r="AT90" s="141" cm="1">
        <f t="array" aca="1" ref="AT90" ca="1">SUMPRODUCT(AB89:AH89, TRANSPOSE(OFFSET(E.TPMs!$S$8:$S$14, INT(($F89-70)/5)*12, $G90*15)))</f>
        <v>3.8335587976745105E-4</v>
      </c>
    </row>
    <row r="91" spans="4:46" ht="12" customHeight="1" x14ac:dyDescent="0.25">
      <c r="D91" s="62">
        <f t="shared" si="59"/>
        <v>80</v>
      </c>
      <c r="E91" s="62">
        <f t="shared" si="51"/>
        <v>20</v>
      </c>
      <c r="F91" s="63">
        <f t="shared" si="52"/>
        <v>90</v>
      </c>
      <c r="G91" s="62">
        <f>IF(AND(E90&lt;E.maxDurHPE, E91&gt;=E.maxDurHPE), 1, 0)</f>
        <v>0</v>
      </c>
      <c r="H91" s="164">
        <f t="array" aca="1" ref="H91:S91" ca="1">MMULT(H90:S90, OFFSET(E.rngTPM_Root, INT(($F90-70)/5)*12, $G91*15))</f>
        <v>1.1137378273916995E-3</v>
      </c>
      <c r="I91" s="164">
        <f ca="1"/>
        <v>0</v>
      </c>
      <c r="J91" s="164">
        <f ca="1"/>
        <v>5.5089779963959896E-4</v>
      </c>
      <c r="K91" s="164">
        <f ca="1"/>
        <v>2.2698480917113616E-4</v>
      </c>
      <c r="L91" s="164">
        <f ca="1"/>
        <v>1.9364568670594799E-5</v>
      </c>
      <c r="M91" s="164">
        <f ca="1"/>
        <v>1.640840600254501E-2</v>
      </c>
      <c r="N91" s="164">
        <f ca="1"/>
        <v>3.6453677647709979E-3</v>
      </c>
      <c r="O91" s="164">
        <f ca="1"/>
        <v>1.0193194681655058E-2</v>
      </c>
      <c r="P91" s="164">
        <f ca="1"/>
        <v>2.3037914840008395E-4</v>
      </c>
      <c r="Q91" s="164">
        <f ca="1"/>
        <v>5.4748312862246525E-2</v>
      </c>
      <c r="R91" s="164">
        <f ca="1"/>
        <v>0.16722845386429985</v>
      </c>
      <c r="S91" s="164">
        <f ca="1"/>
        <v>0.74563490067120874</v>
      </c>
      <c r="T91" s="128">
        <f t="shared" ca="1" si="53"/>
        <v>0.99999999999999933</v>
      </c>
      <c r="U91" s="141">
        <f t="shared" ca="1" si="54"/>
        <v>8.7136645464490708E-2</v>
      </c>
      <c r="V91" s="141">
        <f t="shared" ca="1" si="56"/>
        <v>0.91286335453550926</v>
      </c>
      <c r="W91" s="141" cm="1">
        <f t="array" aca="1" ref="W91" ca="1">SUMPRODUCT(H90:I90, TRANSPOSE(OFFSET(E.TPMs!$N$8:$N$9, INT(($F90-70)/5)*12, $G91*15)))
+SUMPRODUCT(H90:I90, TRANSPOSE(OFFSET(E.TPMs!$O$8:$O$9, INT(($F90-70)/5)*12, $G91*15)))
+SUMPRODUCT(H90:I90, TRANSPOSE(OFFSET(E.TPMs!$P$8:$P$9, INT(($F90-70)/5)*12, $G91*15)))</f>
        <v>5.2264816769284544E-5</v>
      </c>
      <c r="X91" s="141">
        <f t="shared" ca="1" si="55"/>
        <v>7.9724717748132993E-4</v>
      </c>
      <c r="Y91" s="141" cm="1">
        <f t="array" aca="1" ref="Y91" ca="1">SUMPRODUCT(H90:M90, TRANSPOSE(OFFSET(E.TPMs!$R$8:$R$13, INT(($F90-70)/5)*12, $G91*15)))
+SUMPRODUCT(H90:M90, TRANSPOSE(OFFSET(E.TPMs!$S$8:$S$13, INT(($F90-70)/5)*12, $G91*15)))</f>
        <v>4.0437337989486836E-4</v>
      </c>
      <c r="Z91" s="141" cm="1">
        <f t="array" aca="1" ref="Z91" ca="1">SUMPRODUCT(H90:N90, TRANSPOSE(OFFSET(E.TPMs!$S$8:$S$14, INT(($F90-70)/5)*12, $G91*15)))</f>
        <v>3.1862010839476228E-4</v>
      </c>
      <c r="AB91" s="164">
        <f t="array" aca="1" ref="AB91:AM91" ca="1">MMULT(AB90:AM90, OFFSET(E.rngTPM_Root, INT(($F90-70)/5)*12, $G91*15))</f>
        <v>2.7398510582984318E-3</v>
      </c>
      <c r="AC91" s="164">
        <f ca="1"/>
        <v>0</v>
      </c>
      <c r="AD91" s="164">
        <f ca="1"/>
        <v>6.1828139032607207E-4</v>
      </c>
      <c r="AE91" s="164">
        <f ca="1"/>
        <v>2.5474867296445896E-4</v>
      </c>
      <c r="AF91" s="164">
        <f ca="1"/>
        <v>2.1733164388299797E-5</v>
      </c>
      <c r="AG91" s="164">
        <f ca="1"/>
        <v>1.6925530534719541E-2</v>
      </c>
      <c r="AH91" s="164">
        <f ca="1"/>
        <v>4.0275127416855129E-3</v>
      </c>
      <c r="AI91" s="164">
        <f ca="1"/>
        <v>1.0801727060798919E-2</v>
      </c>
      <c r="AJ91" s="164">
        <f ca="1"/>
        <v>2.4633241098275308E-4</v>
      </c>
      <c r="AK91" s="164">
        <f ca="1"/>
        <v>5.4792608216100852E-2</v>
      </c>
      <c r="AL91" s="164">
        <f ca="1"/>
        <v>0.13660159348570514</v>
      </c>
      <c r="AM91" s="164">
        <f ca="1"/>
        <v>0.77297008126403077</v>
      </c>
      <c r="AN91" s="128">
        <f t="shared" ca="1" si="49"/>
        <v>1.0000000000000007</v>
      </c>
      <c r="AO91" s="141">
        <f t="shared" ca="1" si="50"/>
        <v>9.042832525026484E-2</v>
      </c>
      <c r="AP91" s="141">
        <f t="shared" ca="1" si="57"/>
        <v>0.9095716747497351</v>
      </c>
      <c r="AQ91" s="141" cm="1">
        <f t="array" aca="1" ref="AQ91" ca="1">SUMPRODUCT(AB90:AC90, TRANSPOSE(OFFSET(E.TPMs!$N$8:$N$9, INT(($F90-70)/5)*12, $G91*15)))
+SUMPRODUCT(AB90:AC90, TRANSPOSE(OFFSET(E.TPMs!$O$8:$O$9, INT(($F90-70)/5)*12, $G91*15)))
+SUMPRODUCT(AB90:AC90, TRANSPOSE(OFFSET(E.TPMs!$P$8:$P$9, INT(($F90-70)/5)*12, $G91*15)))</f>
        <v>1.285740773234377E-4</v>
      </c>
      <c r="AR91" s="141">
        <f t="shared" ca="1" si="58"/>
        <v>8.9476322767883078E-4</v>
      </c>
      <c r="AS91" s="141" cm="1">
        <f t="array" aca="1" ref="AS91" ca="1">SUMPRODUCT(AB90:AG90, TRANSPOSE(OFFSET(E.TPMs!$R$8:$R$13, INT(($F90-70)/5)*12, $G91*15)))
+SUMPRODUCT(AB90:AG90, TRANSPOSE(OFFSET(E.TPMs!$S$8:$S$13, INT(($F90-70)/5)*12, $G91*15)))</f>
        <v>4.5383469619195182E-4</v>
      </c>
      <c r="AT91" s="141" cm="1">
        <f t="array" aca="1" ref="AT91" ca="1">SUMPRODUCT(AB90:AH90, TRANSPOSE(OFFSET(E.TPMs!$S$8:$S$14, INT(($F90-70)/5)*12, $G91*15)))</f>
        <v>3.5489625599264673E-4</v>
      </c>
    </row>
    <row r="92" spans="4:46" ht="12" customHeight="1" x14ac:dyDescent="0.25">
      <c r="D92" s="62">
        <f t="shared" si="59"/>
        <v>81</v>
      </c>
      <c r="E92" s="62">
        <f t="shared" si="51"/>
        <v>20.25</v>
      </c>
      <c r="F92" s="63">
        <f t="shared" si="52"/>
        <v>90.25</v>
      </c>
      <c r="G92" s="62">
        <f>IF(AND(E91&lt;E.maxDurHPE, E92&gt;=E.maxDurHPE), 1, 0)</f>
        <v>0</v>
      </c>
      <c r="H92" s="164" t="e">
        <f t="array" aca="1" ref="H92:S92" ca="1">MMULT(H91:S91, OFFSET(E.rngTPM_Root, INT(($F91-70)/5)*12, $G92*15))</f>
        <v>#VALUE!</v>
      </c>
      <c r="I92" s="164" t="e">
        <f ca="1"/>
        <v>#VALUE!</v>
      </c>
      <c r="J92" s="164" t="e">
        <f ca="1"/>
        <v>#VALUE!</v>
      </c>
      <c r="K92" s="164" t="e">
        <f ca="1"/>
        <v>#VALUE!</v>
      </c>
      <c r="L92" s="164" t="e">
        <f ca="1"/>
        <v>#VALUE!</v>
      </c>
      <c r="M92" s="164" t="e">
        <f ca="1"/>
        <v>#VALUE!</v>
      </c>
      <c r="N92" s="164" t="e">
        <f ca="1"/>
        <v>#VALUE!</v>
      </c>
      <c r="O92" s="164" t="e">
        <f ca="1"/>
        <v>#VALUE!</v>
      </c>
      <c r="P92" s="164" t="e">
        <f ca="1"/>
        <v>#VALUE!</v>
      </c>
      <c r="Q92" s="164" t="e">
        <f ca="1"/>
        <v>#VALUE!</v>
      </c>
      <c r="R92" s="164" t="e">
        <f ca="1"/>
        <v>#VALUE!</v>
      </c>
      <c r="S92" s="164" t="e">
        <f ca="1"/>
        <v>#VALUE!</v>
      </c>
      <c r="T92" s="128" t="e">
        <f t="shared" ca="1" si="53"/>
        <v>#VALUE!</v>
      </c>
      <c r="U92" s="141" t="e">
        <f t="shared" ca="1" si="54"/>
        <v>#VALUE!</v>
      </c>
      <c r="V92" s="141" t="e">
        <f t="shared" ca="1" si="56"/>
        <v>#VALUE!</v>
      </c>
      <c r="W92" s="141" cm="1">
        <f t="array" aca="1" ref="W92" ca="1">SUMPRODUCT(H91:I91, TRANSPOSE(OFFSET(E.TPMs!$N$8:$N$9, INT(($F91-70)/5)*12, $G92*15)))
+SUMPRODUCT(H91:I91, TRANSPOSE(OFFSET(E.TPMs!$O$8:$O$9, INT(($F91-70)/5)*12, $G92*15)))
+SUMPRODUCT(H91:I91, TRANSPOSE(OFFSET(E.TPMs!$P$8:$P$9, INT(($F91-70)/5)*12, $G92*15)))</f>
        <v>0</v>
      </c>
      <c r="X92" s="141" t="e">
        <f t="shared" ca="1" si="55"/>
        <v>#VALUE!</v>
      </c>
      <c r="Y92" s="141" cm="1">
        <f t="array" aca="1" ref="Y92" ca="1">SUMPRODUCT(H91:M91, TRANSPOSE(OFFSET(E.TPMs!$R$8:$R$13, INT(($F91-70)/5)*12, $G92*15)))
+SUMPRODUCT(H91:M91, TRANSPOSE(OFFSET(E.TPMs!$S$8:$S$13, INT(($F91-70)/5)*12, $G92*15)))</f>
        <v>0</v>
      </c>
      <c r="Z92" s="141" cm="1">
        <f t="array" aca="1" ref="Z92" ca="1">SUMPRODUCT(H91:N91, TRANSPOSE(OFFSET(E.TPMs!$S$8:$S$14, INT(($F91-70)/5)*12, $G92*15)))</f>
        <v>0</v>
      </c>
      <c r="AB92" s="164" t="e">
        <f t="array" aca="1" ref="AB92:AM92" ca="1">MMULT(AB91:AM91, OFFSET(E.rngTPM_Root, INT(($F91-70)/5)*12, $G92*15))</f>
        <v>#VALUE!</v>
      </c>
      <c r="AC92" s="164" t="e">
        <f ca="1"/>
        <v>#VALUE!</v>
      </c>
      <c r="AD92" s="164" t="e">
        <f ca="1"/>
        <v>#VALUE!</v>
      </c>
      <c r="AE92" s="164" t="e">
        <f ca="1"/>
        <v>#VALUE!</v>
      </c>
      <c r="AF92" s="164" t="e">
        <f ca="1"/>
        <v>#VALUE!</v>
      </c>
      <c r="AG92" s="164" t="e">
        <f ca="1"/>
        <v>#VALUE!</v>
      </c>
      <c r="AH92" s="164" t="e">
        <f ca="1"/>
        <v>#VALUE!</v>
      </c>
      <c r="AI92" s="164" t="e">
        <f ca="1"/>
        <v>#VALUE!</v>
      </c>
      <c r="AJ92" s="164" t="e">
        <f ca="1"/>
        <v>#VALUE!</v>
      </c>
      <c r="AK92" s="164" t="e">
        <f ca="1"/>
        <v>#VALUE!</v>
      </c>
      <c r="AL92" s="164" t="e">
        <f ca="1"/>
        <v>#VALUE!</v>
      </c>
      <c r="AM92" s="164" t="e">
        <f ca="1"/>
        <v>#VALUE!</v>
      </c>
      <c r="AN92" s="128" t="e">
        <f t="shared" ca="1" si="49"/>
        <v>#VALUE!</v>
      </c>
      <c r="AO92" s="141" t="e">
        <f t="shared" ca="1" si="50"/>
        <v>#VALUE!</v>
      </c>
      <c r="AP92" s="141" t="e">
        <f t="shared" ca="1" si="57"/>
        <v>#VALUE!</v>
      </c>
      <c r="AQ92" s="141" cm="1">
        <f t="array" aca="1" ref="AQ92" ca="1">SUMPRODUCT(AB91:AC91, TRANSPOSE(OFFSET(E.TPMs!$N$8:$N$9, INT(($F91-70)/5)*12, $G92*15)))
+SUMPRODUCT(AB91:AC91, TRANSPOSE(OFFSET(E.TPMs!$O$8:$O$9, INT(($F91-70)/5)*12, $G92*15)))
+SUMPRODUCT(AB91:AC91, TRANSPOSE(OFFSET(E.TPMs!$P$8:$P$9, INT(($F91-70)/5)*12, $G92*15)))</f>
        <v>0</v>
      </c>
      <c r="AR92" s="141" t="e">
        <f t="shared" ca="1" si="58"/>
        <v>#VALUE!</v>
      </c>
      <c r="AS92" s="141" cm="1">
        <f t="array" aca="1" ref="AS92" ca="1">SUMPRODUCT(AB91:AG91, TRANSPOSE(OFFSET(E.TPMs!$R$8:$R$13, INT(($F91-70)/5)*12, $G92*15)))
+SUMPRODUCT(AB91:AG91, TRANSPOSE(OFFSET(E.TPMs!$S$8:$S$13, INT(($F91-70)/5)*12, $G92*15)))</f>
        <v>0</v>
      </c>
      <c r="AT92" s="141" cm="1">
        <f t="array" aca="1" ref="AT92" ca="1">SUMPRODUCT(AB91:AH91, TRANSPOSE(OFFSET(E.TPMs!$S$8:$S$14, INT(($F91-70)/5)*12, $G92*15)))</f>
        <v>0</v>
      </c>
    </row>
    <row r="93" spans="4:46" ht="12" customHeight="1" x14ac:dyDescent="0.25">
      <c r="D93" s="62">
        <f t="shared" si="59"/>
        <v>82</v>
      </c>
      <c r="E93" s="62">
        <f t="shared" si="51"/>
        <v>20.5</v>
      </c>
      <c r="F93" s="63">
        <f t="shared" si="52"/>
        <v>90.5</v>
      </c>
      <c r="G93" s="62">
        <f>IF(AND(E92&lt;E.maxDurHPE, E93&gt;=E.maxDurHPE), 1, 0)</f>
        <v>0</v>
      </c>
      <c r="H93" s="164" t="e">
        <f t="array" aca="1" ref="H93:S93" ca="1">MMULT(H92:S92, OFFSET(E.rngTPM_Root, INT(($F92-70)/5)*12, $G93*15))</f>
        <v>#VALUE!</v>
      </c>
      <c r="I93" s="164" t="e">
        <f ca="1"/>
        <v>#VALUE!</v>
      </c>
      <c r="J93" s="164" t="e">
        <f ca="1"/>
        <v>#VALUE!</v>
      </c>
      <c r="K93" s="164" t="e">
        <f ca="1"/>
        <v>#VALUE!</v>
      </c>
      <c r="L93" s="164" t="e">
        <f ca="1"/>
        <v>#VALUE!</v>
      </c>
      <c r="M93" s="164" t="e">
        <f ca="1"/>
        <v>#VALUE!</v>
      </c>
      <c r="N93" s="164" t="e">
        <f ca="1"/>
        <v>#VALUE!</v>
      </c>
      <c r="O93" s="164" t="e">
        <f ca="1"/>
        <v>#VALUE!</v>
      </c>
      <c r="P93" s="164" t="e">
        <f ca="1"/>
        <v>#VALUE!</v>
      </c>
      <c r="Q93" s="164" t="e">
        <f ca="1"/>
        <v>#VALUE!</v>
      </c>
      <c r="R93" s="164" t="e">
        <f ca="1"/>
        <v>#VALUE!</v>
      </c>
      <c r="S93" s="164" t="e">
        <f ca="1"/>
        <v>#VALUE!</v>
      </c>
      <c r="T93" s="128" t="e">
        <f t="shared" ca="1" si="53"/>
        <v>#VALUE!</v>
      </c>
      <c r="U93" s="141" t="e">
        <f t="shared" ca="1" si="54"/>
        <v>#VALUE!</v>
      </c>
      <c r="V93" s="141" t="e">
        <f t="shared" ca="1" si="56"/>
        <v>#VALUE!</v>
      </c>
      <c r="W93" s="141" t="e" cm="1">
        <f t="array" aca="1" ref="W93" ca="1">SUMPRODUCT(H92:I92, TRANSPOSE(OFFSET(E.TPMs!$N$8:$N$9, INT(($F92-70)/5)*12, $G93*15)))
+SUMPRODUCT(H92:I92, TRANSPOSE(OFFSET(E.TPMs!$O$8:$O$9, INT(($F92-70)/5)*12, $G93*15)))
+SUMPRODUCT(H92:I92, TRANSPOSE(OFFSET(E.TPMs!$P$8:$P$9, INT(($F92-70)/5)*12, $G93*15)))</f>
        <v>#VALUE!</v>
      </c>
      <c r="X93" s="141" t="e">
        <f t="shared" ca="1" si="55"/>
        <v>#VALUE!</v>
      </c>
      <c r="Y93" s="141" t="e" cm="1">
        <f t="array" aca="1" ref="Y93" ca="1">SUMPRODUCT(H92:M92, TRANSPOSE(OFFSET(E.TPMs!$R$8:$R$13, INT(($F92-70)/5)*12, $G93*15)))
+SUMPRODUCT(H92:M92, TRANSPOSE(OFFSET(E.TPMs!$S$8:$S$13, INT(($F92-70)/5)*12, $G93*15)))</f>
        <v>#VALUE!</v>
      </c>
      <c r="Z93" s="141" t="e" cm="1">
        <f t="array" aca="1" ref="Z93" ca="1">SUMPRODUCT(H92:N92, TRANSPOSE(OFFSET(E.TPMs!$S$8:$S$14, INT(($F92-70)/5)*12, $G93*15)))</f>
        <v>#VALUE!</v>
      </c>
      <c r="AB93" s="164" t="e">
        <f t="array" aca="1" ref="AB93:AM93" ca="1">MMULT(AB92:AM92, OFFSET(E.rngTPM_Root, INT(($F92-70)/5)*12, $G93*15))</f>
        <v>#VALUE!</v>
      </c>
      <c r="AC93" s="164" t="e">
        <f ca="1"/>
        <v>#VALUE!</v>
      </c>
      <c r="AD93" s="164" t="e">
        <f ca="1"/>
        <v>#VALUE!</v>
      </c>
      <c r="AE93" s="164" t="e">
        <f ca="1"/>
        <v>#VALUE!</v>
      </c>
      <c r="AF93" s="164" t="e">
        <f ca="1"/>
        <v>#VALUE!</v>
      </c>
      <c r="AG93" s="164" t="e">
        <f ca="1"/>
        <v>#VALUE!</v>
      </c>
      <c r="AH93" s="164" t="e">
        <f ca="1"/>
        <v>#VALUE!</v>
      </c>
      <c r="AI93" s="164" t="e">
        <f ca="1"/>
        <v>#VALUE!</v>
      </c>
      <c r="AJ93" s="164" t="e">
        <f ca="1"/>
        <v>#VALUE!</v>
      </c>
      <c r="AK93" s="164" t="e">
        <f ca="1"/>
        <v>#VALUE!</v>
      </c>
      <c r="AL93" s="164" t="e">
        <f ca="1"/>
        <v>#VALUE!</v>
      </c>
      <c r="AM93" s="164" t="e">
        <f ca="1"/>
        <v>#VALUE!</v>
      </c>
      <c r="AN93" s="128" t="e">
        <f t="shared" ca="1" si="49"/>
        <v>#VALUE!</v>
      </c>
      <c r="AO93" s="141" t="e">
        <f t="shared" ca="1" si="50"/>
        <v>#VALUE!</v>
      </c>
      <c r="AP93" s="141" t="e">
        <f t="shared" ca="1" si="57"/>
        <v>#VALUE!</v>
      </c>
      <c r="AQ93" s="141" t="e" cm="1">
        <f t="array" aca="1" ref="AQ93" ca="1">SUMPRODUCT(AB92:AC92, TRANSPOSE(OFFSET(E.TPMs!$N$8:$N$9, INT(($F92-70)/5)*12, $G93*15)))
+SUMPRODUCT(AB92:AC92, TRANSPOSE(OFFSET(E.TPMs!$O$8:$O$9, INT(($F92-70)/5)*12, $G93*15)))
+SUMPRODUCT(AB92:AC92, TRANSPOSE(OFFSET(E.TPMs!$P$8:$P$9, INT(($F92-70)/5)*12, $G93*15)))</f>
        <v>#VALUE!</v>
      </c>
      <c r="AR93" s="141" t="e">
        <f t="shared" ca="1" si="58"/>
        <v>#VALUE!</v>
      </c>
      <c r="AS93" s="141" t="e" cm="1">
        <f t="array" aca="1" ref="AS93" ca="1">SUMPRODUCT(AB92:AG92, TRANSPOSE(OFFSET(E.TPMs!$R$8:$R$13, INT(($F92-70)/5)*12, $G93*15)))
+SUMPRODUCT(AB92:AG92, TRANSPOSE(OFFSET(E.TPMs!$S$8:$S$13, INT(($F92-70)/5)*12, $G93*15)))</f>
        <v>#VALUE!</v>
      </c>
      <c r="AT93" s="141" t="e" cm="1">
        <f t="array" aca="1" ref="AT93" ca="1">SUMPRODUCT(AB92:AH92, TRANSPOSE(OFFSET(E.TPMs!$S$8:$S$14, INT(($F92-70)/5)*12, $G93*15)))</f>
        <v>#VALUE!</v>
      </c>
    </row>
    <row r="94" spans="4:46" ht="12" customHeight="1" x14ac:dyDescent="0.25">
      <c r="D94" s="62">
        <f t="shared" si="59"/>
        <v>83</v>
      </c>
      <c r="E94" s="62">
        <f t="shared" si="51"/>
        <v>20.75</v>
      </c>
      <c r="F94" s="63">
        <f t="shared" si="52"/>
        <v>90.75</v>
      </c>
      <c r="G94" s="62">
        <f>IF(AND(E93&lt;E.maxDurHPE, E94&gt;=E.maxDurHPE), 1, 0)</f>
        <v>0</v>
      </c>
      <c r="H94" s="164" t="e">
        <f t="array" aca="1" ref="H94:S94" ca="1">MMULT(H93:S93, OFFSET(E.rngTPM_Root, INT(($F93-70)/5)*12, $G94*15))</f>
        <v>#VALUE!</v>
      </c>
      <c r="I94" s="164" t="e">
        <f ca="1"/>
        <v>#VALUE!</v>
      </c>
      <c r="J94" s="164" t="e">
        <f ca="1"/>
        <v>#VALUE!</v>
      </c>
      <c r="K94" s="164" t="e">
        <f ca="1"/>
        <v>#VALUE!</v>
      </c>
      <c r="L94" s="164" t="e">
        <f ca="1"/>
        <v>#VALUE!</v>
      </c>
      <c r="M94" s="164" t="e">
        <f ca="1"/>
        <v>#VALUE!</v>
      </c>
      <c r="N94" s="164" t="e">
        <f ca="1"/>
        <v>#VALUE!</v>
      </c>
      <c r="O94" s="164" t="e">
        <f ca="1"/>
        <v>#VALUE!</v>
      </c>
      <c r="P94" s="164" t="e">
        <f ca="1"/>
        <v>#VALUE!</v>
      </c>
      <c r="Q94" s="164" t="e">
        <f ca="1"/>
        <v>#VALUE!</v>
      </c>
      <c r="R94" s="164" t="e">
        <f ca="1"/>
        <v>#VALUE!</v>
      </c>
      <c r="S94" s="164" t="e">
        <f ca="1"/>
        <v>#VALUE!</v>
      </c>
      <c r="T94" s="128" t="e">
        <f t="shared" ca="1" si="53"/>
        <v>#VALUE!</v>
      </c>
      <c r="U94" s="141" t="e">
        <f t="shared" ca="1" si="54"/>
        <v>#VALUE!</v>
      </c>
      <c r="V94" s="141" t="e">
        <f t="shared" ca="1" si="56"/>
        <v>#VALUE!</v>
      </c>
      <c r="W94" s="141" t="e" cm="1">
        <f t="array" aca="1" ref="W94" ca="1">SUMPRODUCT(H93:I93, TRANSPOSE(OFFSET(E.TPMs!$N$8:$N$9, INT(($F93-70)/5)*12, $G94*15)))
+SUMPRODUCT(H93:I93, TRANSPOSE(OFFSET(E.TPMs!$O$8:$O$9, INT(($F93-70)/5)*12, $G94*15)))
+SUMPRODUCT(H93:I93, TRANSPOSE(OFFSET(E.TPMs!$P$8:$P$9, INT(($F93-70)/5)*12, $G94*15)))</f>
        <v>#VALUE!</v>
      </c>
      <c r="X94" s="141" t="e">
        <f t="shared" ca="1" si="55"/>
        <v>#VALUE!</v>
      </c>
      <c r="Y94" s="141" t="e" cm="1">
        <f t="array" aca="1" ref="Y94" ca="1">SUMPRODUCT(H93:M93, TRANSPOSE(OFFSET(E.TPMs!$R$8:$R$13, INT(($F93-70)/5)*12, $G94*15)))
+SUMPRODUCT(H93:M93, TRANSPOSE(OFFSET(E.TPMs!$S$8:$S$13, INT(($F93-70)/5)*12, $G94*15)))</f>
        <v>#VALUE!</v>
      </c>
      <c r="Z94" s="141" t="e" cm="1">
        <f t="array" aca="1" ref="Z94" ca="1">SUMPRODUCT(H93:N93, TRANSPOSE(OFFSET(E.TPMs!$S$8:$S$14, INT(($F93-70)/5)*12, $G94*15)))</f>
        <v>#VALUE!</v>
      </c>
      <c r="AB94" s="164" t="e">
        <f t="array" aca="1" ref="AB94:AM94" ca="1">MMULT(AB93:AM93, OFFSET(E.rngTPM_Root, INT(($F93-70)/5)*12, $G94*15))</f>
        <v>#VALUE!</v>
      </c>
      <c r="AC94" s="164" t="e">
        <f ca="1"/>
        <v>#VALUE!</v>
      </c>
      <c r="AD94" s="164" t="e">
        <f ca="1"/>
        <v>#VALUE!</v>
      </c>
      <c r="AE94" s="164" t="e">
        <f ca="1"/>
        <v>#VALUE!</v>
      </c>
      <c r="AF94" s="164" t="e">
        <f ca="1"/>
        <v>#VALUE!</v>
      </c>
      <c r="AG94" s="164" t="e">
        <f ca="1"/>
        <v>#VALUE!</v>
      </c>
      <c r="AH94" s="164" t="e">
        <f ca="1"/>
        <v>#VALUE!</v>
      </c>
      <c r="AI94" s="164" t="e">
        <f ca="1"/>
        <v>#VALUE!</v>
      </c>
      <c r="AJ94" s="164" t="e">
        <f ca="1"/>
        <v>#VALUE!</v>
      </c>
      <c r="AK94" s="164" t="e">
        <f ca="1"/>
        <v>#VALUE!</v>
      </c>
      <c r="AL94" s="164" t="e">
        <f ca="1"/>
        <v>#VALUE!</v>
      </c>
      <c r="AM94" s="164" t="e">
        <f ca="1"/>
        <v>#VALUE!</v>
      </c>
      <c r="AN94" s="128" t="e">
        <f t="shared" ca="1" si="49"/>
        <v>#VALUE!</v>
      </c>
      <c r="AO94" s="141" t="e">
        <f t="shared" ca="1" si="50"/>
        <v>#VALUE!</v>
      </c>
      <c r="AP94" s="141" t="e">
        <f t="shared" ca="1" si="57"/>
        <v>#VALUE!</v>
      </c>
      <c r="AQ94" s="141" t="e" cm="1">
        <f t="array" aca="1" ref="AQ94" ca="1">SUMPRODUCT(AB93:AC93, TRANSPOSE(OFFSET(E.TPMs!$N$8:$N$9, INT(($F93-70)/5)*12, $G94*15)))
+SUMPRODUCT(AB93:AC93, TRANSPOSE(OFFSET(E.TPMs!$O$8:$O$9, INT(($F93-70)/5)*12, $G94*15)))
+SUMPRODUCT(AB93:AC93, TRANSPOSE(OFFSET(E.TPMs!$P$8:$P$9, INT(($F93-70)/5)*12, $G94*15)))</f>
        <v>#VALUE!</v>
      </c>
      <c r="AR94" s="141" t="e">
        <f t="shared" ca="1" si="58"/>
        <v>#VALUE!</v>
      </c>
      <c r="AS94" s="141" t="e" cm="1">
        <f t="array" aca="1" ref="AS94" ca="1">SUMPRODUCT(AB93:AG93, TRANSPOSE(OFFSET(E.TPMs!$R$8:$R$13, INT(($F93-70)/5)*12, $G94*15)))
+SUMPRODUCT(AB93:AG93, TRANSPOSE(OFFSET(E.TPMs!$S$8:$S$13, INT(($F93-70)/5)*12, $G94*15)))</f>
        <v>#VALUE!</v>
      </c>
      <c r="AT94" s="141" t="e" cm="1">
        <f t="array" aca="1" ref="AT94" ca="1">SUMPRODUCT(AB93:AH93, TRANSPOSE(OFFSET(E.TPMs!$S$8:$S$14, INT(($F93-70)/5)*12, $G94*15)))</f>
        <v>#VALUE!</v>
      </c>
    </row>
    <row r="95" spans="4:46" ht="12" customHeight="1" x14ac:dyDescent="0.25">
      <c r="D95" s="62">
        <f t="shared" si="59"/>
        <v>84</v>
      </c>
      <c r="E95" s="62">
        <f t="shared" si="51"/>
        <v>21</v>
      </c>
      <c r="F95" s="63">
        <f t="shared" si="52"/>
        <v>91</v>
      </c>
      <c r="G95" s="62">
        <f>IF(AND(E94&lt;E.maxDurHPE, E95&gt;=E.maxDurHPE), 1, 0)</f>
        <v>0</v>
      </c>
      <c r="H95" s="164" t="e">
        <f t="array" aca="1" ref="H95:S95" ca="1">MMULT(H94:S94, OFFSET(E.rngTPM_Root, INT(($F94-70)/5)*12, $G95*15))</f>
        <v>#VALUE!</v>
      </c>
      <c r="I95" s="164" t="e">
        <f ca="1"/>
        <v>#VALUE!</v>
      </c>
      <c r="J95" s="164" t="e">
        <f ca="1"/>
        <v>#VALUE!</v>
      </c>
      <c r="K95" s="164" t="e">
        <f ca="1"/>
        <v>#VALUE!</v>
      </c>
      <c r="L95" s="164" t="e">
        <f ca="1"/>
        <v>#VALUE!</v>
      </c>
      <c r="M95" s="164" t="e">
        <f ca="1"/>
        <v>#VALUE!</v>
      </c>
      <c r="N95" s="164" t="e">
        <f ca="1"/>
        <v>#VALUE!</v>
      </c>
      <c r="O95" s="164" t="e">
        <f ca="1"/>
        <v>#VALUE!</v>
      </c>
      <c r="P95" s="164" t="e">
        <f ca="1"/>
        <v>#VALUE!</v>
      </c>
      <c r="Q95" s="164" t="e">
        <f ca="1"/>
        <v>#VALUE!</v>
      </c>
      <c r="R95" s="164" t="e">
        <f ca="1"/>
        <v>#VALUE!</v>
      </c>
      <c r="S95" s="164" t="e">
        <f ca="1"/>
        <v>#VALUE!</v>
      </c>
      <c r="T95" s="128" t="e">
        <f t="shared" ca="1" si="53"/>
        <v>#VALUE!</v>
      </c>
      <c r="U95" s="141" t="e">
        <f t="shared" ca="1" si="54"/>
        <v>#VALUE!</v>
      </c>
      <c r="V95" s="141" t="e">
        <f t="shared" ca="1" si="56"/>
        <v>#VALUE!</v>
      </c>
      <c r="W95" s="141" t="e" cm="1">
        <f t="array" aca="1" ref="W95" ca="1">SUMPRODUCT(H94:I94, TRANSPOSE(OFFSET(E.TPMs!$N$8:$N$9, INT(($F94-70)/5)*12, $G95*15)))
+SUMPRODUCT(H94:I94, TRANSPOSE(OFFSET(E.TPMs!$O$8:$O$9, INT(($F94-70)/5)*12, $G95*15)))
+SUMPRODUCT(H94:I94, TRANSPOSE(OFFSET(E.TPMs!$P$8:$P$9, INT(($F94-70)/5)*12, $G95*15)))</f>
        <v>#VALUE!</v>
      </c>
      <c r="X95" s="141" t="e">
        <f t="shared" ca="1" si="55"/>
        <v>#VALUE!</v>
      </c>
      <c r="Y95" s="141" t="e" cm="1">
        <f t="array" aca="1" ref="Y95" ca="1">SUMPRODUCT(H94:M94, TRANSPOSE(OFFSET(E.TPMs!$R$8:$R$13, INT(($F94-70)/5)*12, $G95*15)))
+SUMPRODUCT(H94:M94, TRANSPOSE(OFFSET(E.TPMs!$S$8:$S$13, INT(($F94-70)/5)*12, $G95*15)))</f>
        <v>#VALUE!</v>
      </c>
      <c r="Z95" s="141" t="e" cm="1">
        <f t="array" aca="1" ref="Z95" ca="1">SUMPRODUCT(H94:N94, TRANSPOSE(OFFSET(E.TPMs!$S$8:$S$14, INT(($F94-70)/5)*12, $G95*15)))</f>
        <v>#VALUE!</v>
      </c>
      <c r="AB95" s="164" t="e">
        <f t="array" aca="1" ref="AB95:AM95" ca="1">MMULT(AB94:AM94, OFFSET(E.rngTPM_Root, INT(($F94-70)/5)*12, $G95*15))</f>
        <v>#VALUE!</v>
      </c>
      <c r="AC95" s="164" t="e">
        <f ca="1"/>
        <v>#VALUE!</v>
      </c>
      <c r="AD95" s="164" t="e">
        <f ca="1"/>
        <v>#VALUE!</v>
      </c>
      <c r="AE95" s="164" t="e">
        <f ca="1"/>
        <v>#VALUE!</v>
      </c>
      <c r="AF95" s="164" t="e">
        <f ca="1"/>
        <v>#VALUE!</v>
      </c>
      <c r="AG95" s="164" t="e">
        <f ca="1"/>
        <v>#VALUE!</v>
      </c>
      <c r="AH95" s="164" t="e">
        <f ca="1"/>
        <v>#VALUE!</v>
      </c>
      <c r="AI95" s="164" t="e">
        <f ca="1"/>
        <v>#VALUE!</v>
      </c>
      <c r="AJ95" s="164" t="e">
        <f ca="1"/>
        <v>#VALUE!</v>
      </c>
      <c r="AK95" s="164" t="e">
        <f ca="1"/>
        <v>#VALUE!</v>
      </c>
      <c r="AL95" s="164" t="e">
        <f ca="1"/>
        <v>#VALUE!</v>
      </c>
      <c r="AM95" s="164" t="e">
        <f ca="1"/>
        <v>#VALUE!</v>
      </c>
      <c r="AN95" s="128" t="e">
        <f t="shared" ca="1" si="49"/>
        <v>#VALUE!</v>
      </c>
      <c r="AO95" s="141" t="e">
        <f t="shared" ca="1" si="50"/>
        <v>#VALUE!</v>
      </c>
      <c r="AP95" s="141" t="e">
        <f t="shared" ca="1" si="57"/>
        <v>#VALUE!</v>
      </c>
      <c r="AQ95" s="141" t="e" cm="1">
        <f t="array" aca="1" ref="AQ95" ca="1">SUMPRODUCT(AB94:AC94, TRANSPOSE(OFFSET(E.TPMs!$N$8:$N$9, INT(($F94-70)/5)*12, $G95*15)))
+SUMPRODUCT(AB94:AC94, TRANSPOSE(OFFSET(E.TPMs!$O$8:$O$9, INT(($F94-70)/5)*12, $G95*15)))
+SUMPRODUCT(AB94:AC94, TRANSPOSE(OFFSET(E.TPMs!$P$8:$P$9, INT(($F94-70)/5)*12, $G95*15)))</f>
        <v>#VALUE!</v>
      </c>
      <c r="AR95" s="141" t="e">
        <f t="shared" ca="1" si="58"/>
        <v>#VALUE!</v>
      </c>
      <c r="AS95" s="141" t="e" cm="1">
        <f t="array" aca="1" ref="AS95" ca="1">SUMPRODUCT(AB94:AG94, TRANSPOSE(OFFSET(E.TPMs!$R$8:$R$13, INT(($F94-70)/5)*12, $G95*15)))
+SUMPRODUCT(AB94:AG94, TRANSPOSE(OFFSET(E.TPMs!$S$8:$S$13, INT(($F94-70)/5)*12, $G95*15)))</f>
        <v>#VALUE!</v>
      </c>
      <c r="AT95" s="141" t="e" cm="1">
        <f t="array" aca="1" ref="AT95" ca="1">SUMPRODUCT(AB94:AH94, TRANSPOSE(OFFSET(E.TPMs!$S$8:$S$14, INT(($F94-70)/5)*12, $G95*15)))</f>
        <v>#VALUE!</v>
      </c>
    </row>
    <row r="96" spans="4:46" ht="12" customHeight="1" x14ac:dyDescent="0.25">
      <c r="D96" s="62">
        <f t="shared" si="59"/>
        <v>85</v>
      </c>
      <c r="E96" s="62">
        <f t="shared" si="51"/>
        <v>21.25</v>
      </c>
      <c r="F96" s="63">
        <f t="shared" si="52"/>
        <v>91.25</v>
      </c>
      <c r="G96" s="62">
        <f>IF(AND(E95&lt;E.maxDurHPE, E96&gt;=E.maxDurHPE), 1, 0)</f>
        <v>0</v>
      </c>
      <c r="H96" s="164" t="e">
        <f t="array" aca="1" ref="H96:S96" ca="1">MMULT(H95:S95, OFFSET(E.rngTPM_Root, INT(($F95-70)/5)*12, $G96*15))</f>
        <v>#VALUE!</v>
      </c>
      <c r="I96" s="164" t="e">
        <f ca="1"/>
        <v>#VALUE!</v>
      </c>
      <c r="J96" s="164" t="e">
        <f ca="1"/>
        <v>#VALUE!</v>
      </c>
      <c r="K96" s="164" t="e">
        <f ca="1"/>
        <v>#VALUE!</v>
      </c>
      <c r="L96" s="164" t="e">
        <f ca="1"/>
        <v>#VALUE!</v>
      </c>
      <c r="M96" s="164" t="e">
        <f ca="1"/>
        <v>#VALUE!</v>
      </c>
      <c r="N96" s="164" t="e">
        <f ca="1"/>
        <v>#VALUE!</v>
      </c>
      <c r="O96" s="164" t="e">
        <f ca="1"/>
        <v>#VALUE!</v>
      </c>
      <c r="P96" s="164" t="e">
        <f ca="1"/>
        <v>#VALUE!</v>
      </c>
      <c r="Q96" s="164" t="e">
        <f ca="1"/>
        <v>#VALUE!</v>
      </c>
      <c r="R96" s="164" t="e">
        <f ca="1"/>
        <v>#VALUE!</v>
      </c>
      <c r="S96" s="164" t="e">
        <f ca="1"/>
        <v>#VALUE!</v>
      </c>
      <c r="T96" s="128" t="e">
        <f t="shared" ca="1" si="53"/>
        <v>#VALUE!</v>
      </c>
      <c r="U96" s="141" t="e">
        <f t="shared" ca="1" si="54"/>
        <v>#VALUE!</v>
      </c>
      <c r="V96" s="141" t="e">
        <f t="shared" ca="1" si="56"/>
        <v>#VALUE!</v>
      </c>
      <c r="W96" s="141" t="e" cm="1">
        <f t="array" aca="1" ref="W96" ca="1">SUMPRODUCT(H95:I95, TRANSPOSE(OFFSET(E.TPMs!$N$8:$N$9, INT(($F95-70)/5)*12, $G96*15)))
+SUMPRODUCT(H95:I95, TRANSPOSE(OFFSET(E.TPMs!$O$8:$O$9, INT(($F95-70)/5)*12, $G96*15)))
+SUMPRODUCT(H95:I95, TRANSPOSE(OFFSET(E.TPMs!$P$8:$P$9, INT(($F95-70)/5)*12, $G96*15)))</f>
        <v>#VALUE!</v>
      </c>
      <c r="X96" s="141" t="e">
        <f t="shared" ca="1" si="55"/>
        <v>#VALUE!</v>
      </c>
      <c r="Y96" s="141" t="e" cm="1">
        <f t="array" aca="1" ref="Y96" ca="1">SUMPRODUCT(H95:M95, TRANSPOSE(OFFSET(E.TPMs!$R$8:$R$13, INT(($F95-70)/5)*12, $G96*15)))
+SUMPRODUCT(H95:M95, TRANSPOSE(OFFSET(E.TPMs!$S$8:$S$13, INT(($F95-70)/5)*12, $G96*15)))</f>
        <v>#VALUE!</v>
      </c>
      <c r="Z96" s="141" t="e" cm="1">
        <f t="array" aca="1" ref="Z96" ca="1">SUMPRODUCT(H95:N95, TRANSPOSE(OFFSET(E.TPMs!$S$8:$S$14, INT(($F95-70)/5)*12, $G96*15)))</f>
        <v>#VALUE!</v>
      </c>
      <c r="AB96" s="164" t="e">
        <f t="array" aca="1" ref="AB96:AM96" ca="1">MMULT(AB95:AM95, OFFSET(E.rngTPM_Root, INT(($F95-70)/5)*12, $G96*15))</f>
        <v>#VALUE!</v>
      </c>
      <c r="AC96" s="164" t="e">
        <f ca="1"/>
        <v>#VALUE!</v>
      </c>
      <c r="AD96" s="164" t="e">
        <f ca="1"/>
        <v>#VALUE!</v>
      </c>
      <c r="AE96" s="164" t="e">
        <f ca="1"/>
        <v>#VALUE!</v>
      </c>
      <c r="AF96" s="164" t="e">
        <f ca="1"/>
        <v>#VALUE!</v>
      </c>
      <c r="AG96" s="164" t="e">
        <f ca="1"/>
        <v>#VALUE!</v>
      </c>
      <c r="AH96" s="164" t="e">
        <f ca="1"/>
        <v>#VALUE!</v>
      </c>
      <c r="AI96" s="164" t="e">
        <f ca="1"/>
        <v>#VALUE!</v>
      </c>
      <c r="AJ96" s="164" t="e">
        <f ca="1"/>
        <v>#VALUE!</v>
      </c>
      <c r="AK96" s="164" t="e">
        <f ca="1"/>
        <v>#VALUE!</v>
      </c>
      <c r="AL96" s="164" t="e">
        <f ca="1"/>
        <v>#VALUE!</v>
      </c>
      <c r="AM96" s="164" t="e">
        <f ca="1"/>
        <v>#VALUE!</v>
      </c>
      <c r="AN96" s="128" t="e">
        <f t="shared" ca="1" si="49"/>
        <v>#VALUE!</v>
      </c>
      <c r="AO96" s="141" t="e">
        <f t="shared" ca="1" si="50"/>
        <v>#VALUE!</v>
      </c>
      <c r="AP96" s="141" t="e">
        <f t="shared" ca="1" si="57"/>
        <v>#VALUE!</v>
      </c>
      <c r="AQ96" s="141" t="e" cm="1">
        <f t="array" aca="1" ref="AQ96" ca="1">SUMPRODUCT(AB95:AC95, TRANSPOSE(OFFSET(E.TPMs!$N$8:$N$9, INT(($F95-70)/5)*12, $G96*15)))
+SUMPRODUCT(AB95:AC95, TRANSPOSE(OFFSET(E.TPMs!$O$8:$O$9, INT(($F95-70)/5)*12, $G96*15)))
+SUMPRODUCT(AB95:AC95, TRANSPOSE(OFFSET(E.TPMs!$P$8:$P$9, INT(($F95-70)/5)*12, $G96*15)))</f>
        <v>#VALUE!</v>
      </c>
      <c r="AR96" s="141" t="e">
        <f t="shared" ca="1" si="58"/>
        <v>#VALUE!</v>
      </c>
      <c r="AS96" s="141" t="e" cm="1">
        <f t="array" aca="1" ref="AS96" ca="1">SUMPRODUCT(AB95:AG95, TRANSPOSE(OFFSET(E.TPMs!$R$8:$R$13, INT(($F95-70)/5)*12, $G96*15)))
+SUMPRODUCT(AB95:AG95, TRANSPOSE(OFFSET(E.TPMs!$S$8:$S$13, INT(($F95-70)/5)*12, $G96*15)))</f>
        <v>#VALUE!</v>
      </c>
      <c r="AT96" s="141" t="e" cm="1">
        <f t="array" aca="1" ref="AT96" ca="1">SUMPRODUCT(AB95:AH95, TRANSPOSE(OFFSET(E.TPMs!$S$8:$S$14, INT(($F95-70)/5)*12, $G96*15)))</f>
        <v>#VALUE!</v>
      </c>
    </row>
    <row r="97" spans="4:46" ht="12" customHeight="1" x14ac:dyDescent="0.25">
      <c r="D97" s="62">
        <f t="shared" si="59"/>
        <v>86</v>
      </c>
      <c r="E97" s="62">
        <f t="shared" si="51"/>
        <v>21.5</v>
      </c>
      <c r="F97" s="63">
        <f t="shared" si="52"/>
        <v>91.5</v>
      </c>
      <c r="G97" s="62">
        <f>IF(AND(E96&lt;E.maxDurHPE, E97&gt;=E.maxDurHPE), 1, 0)</f>
        <v>0</v>
      </c>
      <c r="H97" s="164" t="e">
        <f t="array" aca="1" ref="H97:S97" ca="1">MMULT(H96:S96, OFFSET(E.rngTPM_Root, INT(($F96-70)/5)*12, $G97*15))</f>
        <v>#VALUE!</v>
      </c>
      <c r="I97" s="164" t="e">
        <f ca="1"/>
        <v>#VALUE!</v>
      </c>
      <c r="J97" s="164" t="e">
        <f ca="1"/>
        <v>#VALUE!</v>
      </c>
      <c r="K97" s="164" t="e">
        <f ca="1"/>
        <v>#VALUE!</v>
      </c>
      <c r="L97" s="164" t="e">
        <f ca="1"/>
        <v>#VALUE!</v>
      </c>
      <c r="M97" s="164" t="e">
        <f ca="1"/>
        <v>#VALUE!</v>
      </c>
      <c r="N97" s="164" t="e">
        <f ca="1"/>
        <v>#VALUE!</v>
      </c>
      <c r="O97" s="164" t="e">
        <f ca="1"/>
        <v>#VALUE!</v>
      </c>
      <c r="P97" s="164" t="e">
        <f ca="1"/>
        <v>#VALUE!</v>
      </c>
      <c r="Q97" s="164" t="e">
        <f ca="1"/>
        <v>#VALUE!</v>
      </c>
      <c r="R97" s="164" t="e">
        <f ca="1"/>
        <v>#VALUE!</v>
      </c>
      <c r="S97" s="164" t="e">
        <f ca="1"/>
        <v>#VALUE!</v>
      </c>
      <c r="T97" s="128" t="e">
        <f t="shared" ca="1" si="53"/>
        <v>#VALUE!</v>
      </c>
      <c r="U97" s="141" t="e">
        <f t="shared" ca="1" si="54"/>
        <v>#VALUE!</v>
      </c>
      <c r="V97" s="141" t="e">
        <f t="shared" ca="1" si="56"/>
        <v>#VALUE!</v>
      </c>
      <c r="W97" s="141" t="e" cm="1">
        <f t="array" aca="1" ref="W97" ca="1">SUMPRODUCT(H96:I96, TRANSPOSE(OFFSET(E.TPMs!$N$8:$N$9, INT(($F96-70)/5)*12, $G97*15)))
+SUMPRODUCT(H96:I96, TRANSPOSE(OFFSET(E.TPMs!$O$8:$O$9, INT(($F96-70)/5)*12, $G97*15)))
+SUMPRODUCT(H96:I96, TRANSPOSE(OFFSET(E.TPMs!$P$8:$P$9, INT(($F96-70)/5)*12, $G97*15)))</f>
        <v>#VALUE!</v>
      </c>
      <c r="X97" s="141" t="e">
        <f t="shared" ca="1" si="55"/>
        <v>#VALUE!</v>
      </c>
      <c r="Y97" s="141" t="e" cm="1">
        <f t="array" aca="1" ref="Y97" ca="1">SUMPRODUCT(H96:M96, TRANSPOSE(OFFSET(E.TPMs!$R$8:$R$13, INT(($F96-70)/5)*12, $G97*15)))
+SUMPRODUCT(H96:M96, TRANSPOSE(OFFSET(E.TPMs!$S$8:$S$13, INT(($F96-70)/5)*12, $G97*15)))</f>
        <v>#VALUE!</v>
      </c>
      <c r="Z97" s="141" t="e" cm="1">
        <f t="array" aca="1" ref="Z97" ca="1">SUMPRODUCT(H96:N96, TRANSPOSE(OFFSET(E.TPMs!$S$8:$S$14, INT(($F96-70)/5)*12, $G97*15)))</f>
        <v>#VALUE!</v>
      </c>
      <c r="AB97" s="164" t="e">
        <f t="array" aca="1" ref="AB97:AM97" ca="1">MMULT(AB96:AM96, OFFSET(E.rngTPM_Root, INT(($F96-70)/5)*12, $G97*15))</f>
        <v>#VALUE!</v>
      </c>
      <c r="AC97" s="164" t="e">
        <f ca="1"/>
        <v>#VALUE!</v>
      </c>
      <c r="AD97" s="164" t="e">
        <f ca="1"/>
        <v>#VALUE!</v>
      </c>
      <c r="AE97" s="164" t="e">
        <f ca="1"/>
        <v>#VALUE!</v>
      </c>
      <c r="AF97" s="164" t="e">
        <f ca="1"/>
        <v>#VALUE!</v>
      </c>
      <c r="AG97" s="164" t="e">
        <f ca="1"/>
        <v>#VALUE!</v>
      </c>
      <c r="AH97" s="164" t="e">
        <f ca="1"/>
        <v>#VALUE!</v>
      </c>
      <c r="AI97" s="164" t="e">
        <f ca="1"/>
        <v>#VALUE!</v>
      </c>
      <c r="AJ97" s="164" t="e">
        <f ca="1"/>
        <v>#VALUE!</v>
      </c>
      <c r="AK97" s="164" t="e">
        <f ca="1"/>
        <v>#VALUE!</v>
      </c>
      <c r="AL97" s="164" t="e">
        <f ca="1"/>
        <v>#VALUE!</v>
      </c>
      <c r="AM97" s="164" t="e">
        <f ca="1"/>
        <v>#VALUE!</v>
      </c>
      <c r="AN97" s="128" t="e">
        <f t="shared" ca="1" si="49"/>
        <v>#VALUE!</v>
      </c>
      <c r="AO97" s="141" t="e">
        <f t="shared" ca="1" si="50"/>
        <v>#VALUE!</v>
      </c>
      <c r="AP97" s="141" t="e">
        <f t="shared" ca="1" si="57"/>
        <v>#VALUE!</v>
      </c>
      <c r="AQ97" s="141" t="e" cm="1">
        <f t="array" aca="1" ref="AQ97" ca="1">SUMPRODUCT(AB96:AC96, TRANSPOSE(OFFSET(E.TPMs!$N$8:$N$9, INT(($F96-70)/5)*12, $G97*15)))
+SUMPRODUCT(AB96:AC96, TRANSPOSE(OFFSET(E.TPMs!$O$8:$O$9, INT(($F96-70)/5)*12, $G97*15)))
+SUMPRODUCT(AB96:AC96, TRANSPOSE(OFFSET(E.TPMs!$P$8:$P$9, INT(($F96-70)/5)*12, $G97*15)))</f>
        <v>#VALUE!</v>
      </c>
      <c r="AR97" s="141" t="e">
        <f t="shared" ca="1" si="58"/>
        <v>#VALUE!</v>
      </c>
      <c r="AS97" s="141" t="e" cm="1">
        <f t="array" aca="1" ref="AS97" ca="1">SUMPRODUCT(AB96:AG96, TRANSPOSE(OFFSET(E.TPMs!$R$8:$R$13, INT(($F96-70)/5)*12, $G97*15)))
+SUMPRODUCT(AB96:AG96, TRANSPOSE(OFFSET(E.TPMs!$S$8:$S$13, INT(($F96-70)/5)*12, $G97*15)))</f>
        <v>#VALUE!</v>
      </c>
      <c r="AT97" s="141" t="e" cm="1">
        <f t="array" aca="1" ref="AT97" ca="1">SUMPRODUCT(AB96:AH96, TRANSPOSE(OFFSET(E.TPMs!$S$8:$S$14, INT(($F96-70)/5)*12, $G97*15)))</f>
        <v>#VALUE!</v>
      </c>
    </row>
    <row r="98" spans="4:46" ht="12" customHeight="1" x14ac:dyDescent="0.25">
      <c r="D98" s="62">
        <f t="shared" si="59"/>
        <v>87</v>
      </c>
      <c r="E98" s="62">
        <f t="shared" si="51"/>
        <v>21.75</v>
      </c>
      <c r="F98" s="63">
        <f t="shared" si="52"/>
        <v>91.75</v>
      </c>
      <c r="G98" s="62">
        <f>IF(AND(E97&lt;E.maxDurHPE, E98&gt;=E.maxDurHPE), 1, 0)</f>
        <v>0</v>
      </c>
      <c r="H98" s="164" t="e">
        <f t="array" aca="1" ref="H98:S98" ca="1">MMULT(H97:S97, OFFSET(E.rngTPM_Root, INT(($F97-70)/5)*12, $G98*15))</f>
        <v>#VALUE!</v>
      </c>
      <c r="I98" s="164" t="e">
        <f ca="1"/>
        <v>#VALUE!</v>
      </c>
      <c r="J98" s="164" t="e">
        <f ca="1"/>
        <v>#VALUE!</v>
      </c>
      <c r="K98" s="164" t="e">
        <f ca="1"/>
        <v>#VALUE!</v>
      </c>
      <c r="L98" s="164" t="e">
        <f ca="1"/>
        <v>#VALUE!</v>
      </c>
      <c r="M98" s="164" t="e">
        <f ca="1"/>
        <v>#VALUE!</v>
      </c>
      <c r="N98" s="164" t="e">
        <f ca="1"/>
        <v>#VALUE!</v>
      </c>
      <c r="O98" s="164" t="e">
        <f ca="1"/>
        <v>#VALUE!</v>
      </c>
      <c r="P98" s="164" t="e">
        <f ca="1"/>
        <v>#VALUE!</v>
      </c>
      <c r="Q98" s="164" t="e">
        <f ca="1"/>
        <v>#VALUE!</v>
      </c>
      <c r="R98" s="164" t="e">
        <f ca="1"/>
        <v>#VALUE!</v>
      </c>
      <c r="S98" s="164" t="e">
        <f ca="1"/>
        <v>#VALUE!</v>
      </c>
      <c r="T98" s="128" t="e">
        <f t="shared" ca="1" si="53"/>
        <v>#VALUE!</v>
      </c>
      <c r="U98" s="141" t="e">
        <f t="shared" ca="1" si="54"/>
        <v>#VALUE!</v>
      </c>
      <c r="V98" s="141" t="e">
        <f t="shared" ca="1" si="56"/>
        <v>#VALUE!</v>
      </c>
      <c r="W98" s="141" t="e" cm="1">
        <f t="array" aca="1" ref="W98" ca="1">SUMPRODUCT(H97:I97, TRANSPOSE(OFFSET(E.TPMs!$N$8:$N$9, INT(($F97-70)/5)*12, $G98*15)))
+SUMPRODUCT(H97:I97, TRANSPOSE(OFFSET(E.TPMs!$O$8:$O$9, INT(($F97-70)/5)*12, $G98*15)))
+SUMPRODUCT(H97:I97, TRANSPOSE(OFFSET(E.TPMs!$P$8:$P$9, INT(($F97-70)/5)*12, $G98*15)))</f>
        <v>#VALUE!</v>
      </c>
      <c r="X98" s="141" t="e">
        <f t="shared" ca="1" si="55"/>
        <v>#VALUE!</v>
      </c>
      <c r="Y98" s="141" t="e" cm="1">
        <f t="array" aca="1" ref="Y98" ca="1">SUMPRODUCT(H97:M97, TRANSPOSE(OFFSET(E.TPMs!$R$8:$R$13, INT(($F97-70)/5)*12, $G98*15)))
+SUMPRODUCT(H97:M97, TRANSPOSE(OFFSET(E.TPMs!$S$8:$S$13, INT(($F97-70)/5)*12, $G98*15)))</f>
        <v>#VALUE!</v>
      </c>
      <c r="Z98" s="141" t="e" cm="1">
        <f t="array" aca="1" ref="Z98" ca="1">SUMPRODUCT(H97:N97, TRANSPOSE(OFFSET(E.TPMs!$S$8:$S$14, INT(($F97-70)/5)*12, $G98*15)))</f>
        <v>#VALUE!</v>
      </c>
      <c r="AB98" s="164" t="e">
        <f t="array" aca="1" ref="AB98:AM98" ca="1">MMULT(AB97:AM97, OFFSET(E.rngTPM_Root, INT(($F97-70)/5)*12, $G98*15))</f>
        <v>#VALUE!</v>
      </c>
      <c r="AC98" s="164" t="e">
        <f ca="1"/>
        <v>#VALUE!</v>
      </c>
      <c r="AD98" s="164" t="e">
        <f ca="1"/>
        <v>#VALUE!</v>
      </c>
      <c r="AE98" s="164" t="e">
        <f ca="1"/>
        <v>#VALUE!</v>
      </c>
      <c r="AF98" s="164" t="e">
        <f ca="1"/>
        <v>#VALUE!</v>
      </c>
      <c r="AG98" s="164" t="e">
        <f ca="1"/>
        <v>#VALUE!</v>
      </c>
      <c r="AH98" s="164" t="e">
        <f ca="1"/>
        <v>#VALUE!</v>
      </c>
      <c r="AI98" s="164" t="e">
        <f ca="1"/>
        <v>#VALUE!</v>
      </c>
      <c r="AJ98" s="164" t="e">
        <f ca="1"/>
        <v>#VALUE!</v>
      </c>
      <c r="AK98" s="164" t="e">
        <f ca="1"/>
        <v>#VALUE!</v>
      </c>
      <c r="AL98" s="164" t="e">
        <f ca="1"/>
        <v>#VALUE!</v>
      </c>
      <c r="AM98" s="164" t="e">
        <f ca="1"/>
        <v>#VALUE!</v>
      </c>
      <c r="AN98" s="128" t="e">
        <f t="shared" ca="1" si="49"/>
        <v>#VALUE!</v>
      </c>
      <c r="AO98" s="141" t="e">
        <f t="shared" ca="1" si="50"/>
        <v>#VALUE!</v>
      </c>
      <c r="AP98" s="141" t="e">
        <f t="shared" ca="1" si="57"/>
        <v>#VALUE!</v>
      </c>
      <c r="AQ98" s="141" t="e" cm="1">
        <f t="array" aca="1" ref="AQ98" ca="1">SUMPRODUCT(AB97:AC97, TRANSPOSE(OFFSET(E.TPMs!$N$8:$N$9, INT(($F97-70)/5)*12, $G98*15)))
+SUMPRODUCT(AB97:AC97, TRANSPOSE(OFFSET(E.TPMs!$O$8:$O$9, INT(($F97-70)/5)*12, $G98*15)))
+SUMPRODUCT(AB97:AC97, TRANSPOSE(OFFSET(E.TPMs!$P$8:$P$9, INT(($F97-70)/5)*12, $G98*15)))</f>
        <v>#VALUE!</v>
      </c>
      <c r="AR98" s="141" t="e">
        <f t="shared" ca="1" si="58"/>
        <v>#VALUE!</v>
      </c>
      <c r="AS98" s="141" t="e" cm="1">
        <f t="array" aca="1" ref="AS98" ca="1">SUMPRODUCT(AB97:AG97, TRANSPOSE(OFFSET(E.TPMs!$R$8:$R$13, INT(($F97-70)/5)*12, $G98*15)))
+SUMPRODUCT(AB97:AG97, TRANSPOSE(OFFSET(E.TPMs!$S$8:$S$13, INT(($F97-70)/5)*12, $G98*15)))</f>
        <v>#VALUE!</v>
      </c>
      <c r="AT98" s="141" t="e" cm="1">
        <f t="array" aca="1" ref="AT98" ca="1">SUMPRODUCT(AB97:AH97, TRANSPOSE(OFFSET(E.TPMs!$S$8:$S$14, INT(($F97-70)/5)*12, $G98*15)))</f>
        <v>#VALUE!</v>
      </c>
    </row>
    <row r="99" spans="4:46" ht="12" customHeight="1" x14ac:dyDescent="0.25">
      <c r="D99" s="62">
        <f t="shared" si="59"/>
        <v>88</v>
      </c>
      <c r="E99" s="62">
        <f t="shared" si="51"/>
        <v>22</v>
      </c>
      <c r="F99" s="63">
        <f t="shared" si="52"/>
        <v>92</v>
      </c>
      <c r="G99" s="62">
        <f>IF(AND(E98&lt;E.maxDurHPE, E99&gt;=E.maxDurHPE), 1, 0)</f>
        <v>0</v>
      </c>
      <c r="H99" s="164" t="e">
        <f t="array" aca="1" ref="H99:S99" ca="1">MMULT(H98:S98, OFFSET(E.rngTPM_Root, INT(($F98-70)/5)*12, $G99*15))</f>
        <v>#VALUE!</v>
      </c>
      <c r="I99" s="164" t="e">
        <f ca="1"/>
        <v>#VALUE!</v>
      </c>
      <c r="J99" s="164" t="e">
        <f ca="1"/>
        <v>#VALUE!</v>
      </c>
      <c r="K99" s="164" t="e">
        <f ca="1"/>
        <v>#VALUE!</v>
      </c>
      <c r="L99" s="164" t="e">
        <f ca="1"/>
        <v>#VALUE!</v>
      </c>
      <c r="M99" s="164" t="e">
        <f ca="1"/>
        <v>#VALUE!</v>
      </c>
      <c r="N99" s="164" t="e">
        <f ca="1"/>
        <v>#VALUE!</v>
      </c>
      <c r="O99" s="164" t="e">
        <f ca="1"/>
        <v>#VALUE!</v>
      </c>
      <c r="P99" s="164" t="e">
        <f ca="1"/>
        <v>#VALUE!</v>
      </c>
      <c r="Q99" s="164" t="e">
        <f ca="1"/>
        <v>#VALUE!</v>
      </c>
      <c r="R99" s="164" t="e">
        <f ca="1"/>
        <v>#VALUE!</v>
      </c>
      <c r="S99" s="164" t="e">
        <f ca="1"/>
        <v>#VALUE!</v>
      </c>
      <c r="T99" s="128" t="e">
        <f t="shared" ca="1" si="53"/>
        <v>#VALUE!</v>
      </c>
      <c r="U99" s="141" t="e">
        <f t="shared" ca="1" si="54"/>
        <v>#VALUE!</v>
      </c>
      <c r="V99" s="141" t="e">
        <f t="shared" ca="1" si="56"/>
        <v>#VALUE!</v>
      </c>
      <c r="W99" s="141" t="e" cm="1">
        <f t="array" aca="1" ref="W99" ca="1">SUMPRODUCT(H98:I98, TRANSPOSE(OFFSET(E.TPMs!$N$8:$N$9, INT(($F98-70)/5)*12, $G99*15)))
+SUMPRODUCT(H98:I98, TRANSPOSE(OFFSET(E.TPMs!$O$8:$O$9, INT(($F98-70)/5)*12, $G99*15)))
+SUMPRODUCT(H98:I98, TRANSPOSE(OFFSET(E.TPMs!$P$8:$P$9, INT(($F98-70)/5)*12, $G99*15)))</f>
        <v>#VALUE!</v>
      </c>
      <c r="X99" s="141" t="e">
        <f t="shared" ca="1" si="55"/>
        <v>#VALUE!</v>
      </c>
      <c r="Y99" s="141" t="e" cm="1">
        <f t="array" aca="1" ref="Y99" ca="1">SUMPRODUCT(H98:M98, TRANSPOSE(OFFSET(E.TPMs!$R$8:$R$13, INT(($F98-70)/5)*12, $G99*15)))
+SUMPRODUCT(H98:M98, TRANSPOSE(OFFSET(E.TPMs!$S$8:$S$13, INT(($F98-70)/5)*12, $G99*15)))</f>
        <v>#VALUE!</v>
      </c>
      <c r="Z99" s="141" t="e" cm="1">
        <f t="array" aca="1" ref="Z99" ca="1">SUMPRODUCT(H98:N98, TRANSPOSE(OFFSET(E.TPMs!$S$8:$S$14, INT(($F98-70)/5)*12, $G99*15)))</f>
        <v>#VALUE!</v>
      </c>
      <c r="AB99" s="164" t="e">
        <f t="array" aca="1" ref="AB99:AM99" ca="1">MMULT(AB98:AM98, OFFSET(E.rngTPM_Root, INT(($F98-70)/5)*12, $G99*15))</f>
        <v>#VALUE!</v>
      </c>
      <c r="AC99" s="164" t="e">
        <f ca="1"/>
        <v>#VALUE!</v>
      </c>
      <c r="AD99" s="164" t="e">
        <f ca="1"/>
        <v>#VALUE!</v>
      </c>
      <c r="AE99" s="164" t="e">
        <f ca="1"/>
        <v>#VALUE!</v>
      </c>
      <c r="AF99" s="164" t="e">
        <f ca="1"/>
        <v>#VALUE!</v>
      </c>
      <c r="AG99" s="164" t="e">
        <f ca="1"/>
        <v>#VALUE!</v>
      </c>
      <c r="AH99" s="164" t="e">
        <f ca="1"/>
        <v>#VALUE!</v>
      </c>
      <c r="AI99" s="164" t="e">
        <f ca="1"/>
        <v>#VALUE!</v>
      </c>
      <c r="AJ99" s="164" t="e">
        <f ca="1"/>
        <v>#VALUE!</v>
      </c>
      <c r="AK99" s="164" t="e">
        <f ca="1"/>
        <v>#VALUE!</v>
      </c>
      <c r="AL99" s="164" t="e">
        <f ca="1"/>
        <v>#VALUE!</v>
      </c>
      <c r="AM99" s="164" t="e">
        <f ca="1"/>
        <v>#VALUE!</v>
      </c>
      <c r="AN99" s="128" t="e">
        <f t="shared" ca="1" si="49"/>
        <v>#VALUE!</v>
      </c>
      <c r="AO99" s="141" t="e">
        <f t="shared" ca="1" si="50"/>
        <v>#VALUE!</v>
      </c>
      <c r="AP99" s="141" t="e">
        <f t="shared" ca="1" si="57"/>
        <v>#VALUE!</v>
      </c>
      <c r="AQ99" s="141" t="e" cm="1">
        <f t="array" aca="1" ref="AQ99" ca="1">SUMPRODUCT(AB98:AC98, TRANSPOSE(OFFSET(E.TPMs!$N$8:$N$9, INT(($F98-70)/5)*12, $G99*15)))
+SUMPRODUCT(AB98:AC98, TRANSPOSE(OFFSET(E.TPMs!$O$8:$O$9, INT(($F98-70)/5)*12, $G99*15)))
+SUMPRODUCT(AB98:AC98, TRANSPOSE(OFFSET(E.TPMs!$P$8:$P$9, INT(($F98-70)/5)*12, $G99*15)))</f>
        <v>#VALUE!</v>
      </c>
      <c r="AR99" s="141" t="e">
        <f t="shared" ca="1" si="58"/>
        <v>#VALUE!</v>
      </c>
      <c r="AS99" s="141" t="e" cm="1">
        <f t="array" aca="1" ref="AS99" ca="1">SUMPRODUCT(AB98:AG98, TRANSPOSE(OFFSET(E.TPMs!$R$8:$R$13, INT(($F98-70)/5)*12, $G99*15)))
+SUMPRODUCT(AB98:AG98, TRANSPOSE(OFFSET(E.TPMs!$S$8:$S$13, INT(($F98-70)/5)*12, $G99*15)))</f>
        <v>#VALUE!</v>
      </c>
      <c r="AT99" s="141" t="e" cm="1">
        <f t="array" aca="1" ref="AT99" ca="1">SUMPRODUCT(AB98:AH98, TRANSPOSE(OFFSET(E.TPMs!$S$8:$S$14, INT(($F98-70)/5)*12, $G99*15)))</f>
        <v>#VALUE!</v>
      </c>
    </row>
    <row r="100" spans="4:46" ht="12" customHeight="1" x14ac:dyDescent="0.25">
      <c r="D100" s="62">
        <f t="shared" si="59"/>
        <v>89</v>
      </c>
      <c r="E100" s="62">
        <f t="shared" si="51"/>
        <v>22.25</v>
      </c>
      <c r="F100" s="63">
        <f t="shared" si="52"/>
        <v>92.25</v>
      </c>
      <c r="G100" s="62">
        <f>IF(AND(E99&lt;E.maxDurHPE, E100&gt;=E.maxDurHPE), 1, 0)</f>
        <v>0</v>
      </c>
      <c r="H100" s="164" t="e">
        <f t="array" aca="1" ref="H100:S100" ca="1">MMULT(H99:S99, OFFSET(E.rngTPM_Root, INT(($F99-70)/5)*12, $G100*15))</f>
        <v>#VALUE!</v>
      </c>
      <c r="I100" s="164" t="e">
        <f ca="1"/>
        <v>#VALUE!</v>
      </c>
      <c r="J100" s="164" t="e">
        <f ca="1"/>
        <v>#VALUE!</v>
      </c>
      <c r="K100" s="164" t="e">
        <f ca="1"/>
        <v>#VALUE!</v>
      </c>
      <c r="L100" s="164" t="e">
        <f ca="1"/>
        <v>#VALUE!</v>
      </c>
      <c r="M100" s="164" t="e">
        <f ca="1"/>
        <v>#VALUE!</v>
      </c>
      <c r="N100" s="164" t="e">
        <f ca="1"/>
        <v>#VALUE!</v>
      </c>
      <c r="O100" s="164" t="e">
        <f ca="1"/>
        <v>#VALUE!</v>
      </c>
      <c r="P100" s="164" t="e">
        <f ca="1"/>
        <v>#VALUE!</v>
      </c>
      <c r="Q100" s="164" t="e">
        <f ca="1"/>
        <v>#VALUE!</v>
      </c>
      <c r="R100" s="164" t="e">
        <f ca="1"/>
        <v>#VALUE!</v>
      </c>
      <c r="S100" s="164" t="e">
        <f ca="1"/>
        <v>#VALUE!</v>
      </c>
      <c r="T100" s="128" t="e">
        <f t="shared" ca="1" si="53"/>
        <v>#VALUE!</v>
      </c>
      <c r="U100" s="141" t="e">
        <f t="shared" ca="1" si="54"/>
        <v>#VALUE!</v>
      </c>
      <c r="V100" s="141" t="e">
        <f t="shared" ca="1" si="56"/>
        <v>#VALUE!</v>
      </c>
      <c r="W100" s="141" t="e" cm="1">
        <f t="array" aca="1" ref="W100" ca="1">SUMPRODUCT(H99:I99, TRANSPOSE(OFFSET(E.TPMs!$N$8:$N$9, INT(($F99-70)/5)*12, $G100*15)))
+SUMPRODUCT(H99:I99, TRANSPOSE(OFFSET(E.TPMs!$O$8:$O$9, INT(($F99-70)/5)*12, $G100*15)))
+SUMPRODUCT(H99:I99, TRANSPOSE(OFFSET(E.TPMs!$P$8:$P$9, INT(($F99-70)/5)*12, $G100*15)))</f>
        <v>#VALUE!</v>
      </c>
      <c r="X100" s="141" t="e">
        <f t="shared" ca="1" si="55"/>
        <v>#VALUE!</v>
      </c>
      <c r="Y100" s="141" t="e" cm="1">
        <f t="array" aca="1" ref="Y100" ca="1">SUMPRODUCT(H99:M99, TRANSPOSE(OFFSET(E.TPMs!$R$8:$R$13, INT(($F99-70)/5)*12, $G100*15)))
+SUMPRODUCT(H99:M99, TRANSPOSE(OFFSET(E.TPMs!$S$8:$S$13, INT(($F99-70)/5)*12, $G100*15)))</f>
        <v>#VALUE!</v>
      </c>
      <c r="Z100" s="141" t="e" cm="1">
        <f t="array" aca="1" ref="Z100" ca="1">SUMPRODUCT(H99:N99, TRANSPOSE(OFFSET(E.TPMs!$S$8:$S$14, INT(($F99-70)/5)*12, $G100*15)))</f>
        <v>#VALUE!</v>
      </c>
      <c r="AB100" s="164" t="e">
        <f t="array" aca="1" ref="AB100:AM100" ca="1">MMULT(AB99:AM99, OFFSET(E.rngTPM_Root, INT(($F99-70)/5)*12, $G100*15))</f>
        <v>#VALUE!</v>
      </c>
      <c r="AC100" s="164" t="e">
        <f ca="1"/>
        <v>#VALUE!</v>
      </c>
      <c r="AD100" s="164" t="e">
        <f ca="1"/>
        <v>#VALUE!</v>
      </c>
      <c r="AE100" s="164" t="e">
        <f ca="1"/>
        <v>#VALUE!</v>
      </c>
      <c r="AF100" s="164" t="e">
        <f ca="1"/>
        <v>#VALUE!</v>
      </c>
      <c r="AG100" s="164" t="e">
        <f ca="1"/>
        <v>#VALUE!</v>
      </c>
      <c r="AH100" s="164" t="e">
        <f ca="1"/>
        <v>#VALUE!</v>
      </c>
      <c r="AI100" s="164" t="e">
        <f ca="1"/>
        <v>#VALUE!</v>
      </c>
      <c r="AJ100" s="164" t="e">
        <f ca="1"/>
        <v>#VALUE!</v>
      </c>
      <c r="AK100" s="164" t="e">
        <f ca="1"/>
        <v>#VALUE!</v>
      </c>
      <c r="AL100" s="164" t="e">
        <f ca="1"/>
        <v>#VALUE!</v>
      </c>
      <c r="AM100" s="164" t="e">
        <f ca="1"/>
        <v>#VALUE!</v>
      </c>
      <c r="AN100" s="128" t="e">
        <f t="shared" ca="1" si="49"/>
        <v>#VALUE!</v>
      </c>
      <c r="AO100" s="141" t="e">
        <f t="shared" ca="1" si="50"/>
        <v>#VALUE!</v>
      </c>
      <c r="AP100" s="141" t="e">
        <f t="shared" ca="1" si="57"/>
        <v>#VALUE!</v>
      </c>
      <c r="AQ100" s="141" t="e" cm="1">
        <f t="array" aca="1" ref="AQ100" ca="1">SUMPRODUCT(AB99:AC99, TRANSPOSE(OFFSET(E.TPMs!$N$8:$N$9, INT(($F99-70)/5)*12, $G100*15)))
+SUMPRODUCT(AB99:AC99, TRANSPOSE(OFFSET(E.TPMs!$O$8:$O$9, INT(($F99-70)/5)*12, $G100*15)))
+SUMPRODUCT(AB99:AC99, TRANSPOSE(OFFSET(E.TPMs!$P$8:$P$9, INT(($F99-70)/5)*12, $G100*15)))</f>
        <v>#VALUE!</v>
      </c>
      <c r="AR100" s="141" t="e">
        <f t="shared" ca="1" si="58"/>
        <v>#VALUE!</v>
      </c>
      <c r="AS100" s="141" t="e" cm="1">
        <f t="array" aca="1" ref="AS100" ca="1">SUMPRODUCT(AB99:AG99, TRANSPOSE(OFFSET(E.TPMs!$R$8:$R$13, INT(($F99-70)/5)*12, $G100*15)))
+SUMPRODUCT(AB99:AG99, TRANSPOSE(OFFSET(E.TPMs!$S$8:$S$13, INT(($F99-70)/5)*12, $G100*15)))</f>
        <v>#VALUE!</v>
      </c>
      <c r="AT100" s="141" t="e" cm="1">
        <f t="array" aca="1" ref="AT100" ca="1">SUMPRODUCT(AB99:AH99, TRANSPOSE(OFFSET(E.TPMs!$S$8:$S$14, INT(($F99-70)/5)*12, $G100*15)))</f>
        <v>#VALUE!</v>
      </c>
    </row>
    <row r="101" spans="4:46" ht="12" customHeight="1" x14ac:dyDescent="0.25">
      <c r="D101" s="62">
        <f t="shared" si="59"/>
        <v>90</v>
      </c>
      <c r="E101" s="62">
        <f t="shared" si="51"/>
        <v>22.5</v>
      </c>
      <c r="F101" s="63">
        <f t="shared" si="52"/>
        <v>92.5</v>
      </c>
      <c r="G101" s="62">
        <f>IF(AND(E100&lt;E.maxDurHPE, E101&gt;=E.maxDurHPE), 1, 0)</f>
        <v>0</v>
      </c>
      <c r="H101" s="164" t="e">
        <f t="array" aca="1" ref="H101:S101" ca="1">MMULT(H100:S100, OFFSET(E.rngTPM_Root, INT(($F100-70)/5)*12, $G101*15))</f>
        <v>#VALUE!</v>
      </c>
      <c r="I101" s="164" t="e">
        <f ca="1"/>
        <v>#VALUE!</v>
      </c>
      <c r="J101" s="164" t="e">
        <f ca="1"/>
        <v>#VALUE!</v>
      </c>
      <c r="K101" s="164" t="e">
        <f ca="1"/>
        <v>#VALUE!</v>
      </c>
      <c r="L101" s="164" t="e">
        <f ca="1"/>
        <v>#VALUE!</v>
      </c>
      <c r="M101" s="164" t="e">
        <f ca="1"/>
        <v>#VALUE!</v>
      </c>
      <c r="N101" s="164" t="e">
        <f ca="1"/>
        <v>#VALUE!</v>
      </c>
      <c r="O101" s="164" t="e">
        <f ca="1"/>
        <v>#VALUE!</v>
      </c>
      <c r="P101" s="164" t="e">
        <f ca="1"/>
        <v>#VALUE!</v>
      </c>
      <c r="Q101" s="164" t="e">
        <f ca="1"/>
        <v>#VALUE!</v>
      </c>
      <c r="R101" s="164" t="e">
        <f ca="1"/>
        <v>#VALUE!</v>
      </c>
      <c r="S101" s="164" t="e">
        <f ca="1"/>
        <v>#VALUE!</v>
      </c>
      <c r="T101" s="128" t="e">
        <f t="shared" ca="1" si="53"/>
        <v>#VALUE!</v>
      </c>
      <c r="U101" s="141" t="e">
        <f t="shared" ca="1" si="54"/>
        <v>#VALUE!</v>
      </c>
      <c r="V101" s="141" t="e">
        <f t="shared" ca="1" si="56"/>
        <v>#VALUE!</v>
      </c>
      <c r="W101" s="141" t="e" cm="1">
        <f t="array" aca="1" ref="W101" ca="1">SUMPRODUCT(H100:I100, TRANSPOSE(OFFSET(E.TPMs!$N$8:$N$9, INT(($F100-70)/5)*12, $G101*15)))
+SUMPRODUCT(H100:I100, TRANSPOSE(OFFSET(E.TPMs!$O$8:$O$9, INT(($F100-70)/5)*12, $G101*15)))
+SUMPRODUCT(H100:I100, TRANSPOSE(OFFSET(E.TPMs!$P$8:$P$9, INT(($F100-70)/5)*12, $G101*15)))</f>
        <v>#VALUE!</v>
      </c>
      <c r="X101" s="141" t="e">
        <f t="shared" ca="1" si="55"/>
        <v>#VALUE!</v>
      </c>
      <c r="Y101" s="141" t="e" cm="1">
        <f t="array" aca="1" ref="Y101" ca="1">SUMPRODUCT(H100:M100, TRANSPOSE(OFFSET(E.TPMs!$R$8:$R$13, INT(($F100-70)/5)*12, $G101*15)))
+SUMPRODUCT(H100:M100, TRANSPOSE(OFFSET(E.TPMs!$S$8:$S$13, INT(($F100-70)/5)*12, $G101*15)))</f>
        <v>#VALUE!</v>
      </c>
      <c r="Z101" s="141" t="e" cm="1">
        <f t="array" aca="1" ref="Z101" ca="1">SUMPRODUCT(H100:N100, TRANSPOSE(OFFSET(E.TPMs!$S$8:$S$14, INT(($F100-70)/5)*12, $G101*15)))</f>
        <v>#VALUE!</v>
      </c>
      <c r="AB101" s="164" t="e">
        <f t="array" aca="1" ref="AB101:AM101" ca="1">MMULT(AB100:AM100, OFFSET(E.rngTPM_Root, INT(($F100-70)/5)*12, $G101*15))</f>
        <v>#VALUE!</v>
      </c>
      <c r="AC101" s="164" t="e">
        <f ca="1"/>
        <v>#VALUE!</v>
      </c>
      <c r="AD101" s="164" t="e">
        <f ca="1"/>
        <v>#VALUE!</v>
      </c>
      <c r="AE101" s="164" t="e">
        <f ca="1"/>
        <v>#VALUE!</v>
      </c>
      <c r="AF101" s="164" t="e">
        <f ca="1"/>
        <v>#VALUE!</v>
      </c>
      <c r="AG101" s="164" t="e">
        <f ca="1"/>
        <v>#VALUE!</v>
      </c>
      <c r="AH101" s="164" t="e">
        <f ca="1"/>
        <v>#VALUE!</v>
      </c>
      <c r="AI101" s="164" t="e">
        <f ca="1"/>
        <v>#VALUE!</v>
      </c>
      <c r="AJ101" s="164" t="e">
        <f ca="1"/>
        <v>#VALUE!</v>
      </c>
      <c r="AK101" s="164" t="e">
        <f ca="1"/>
        <v>#VALUE!</v>
      </c>
      <c r="AL101" s="164" t="e">
        <f ca="1"/>
        <v>#VALUE!</v>
      </c>
      <c r="AM101" s="164" t="e">
        <f ca="1"/>
        <v>#VALUE!</v>
      </c>
      <c r="AN101" s="128" t="e">
        <f t="shared" ca="1" si="49"/>
        <v>#VALUE!</v>
      </c>
      <c r="AO101" s="141" t="e">
        <f t="shared" ca="1" si="50"/>
        <v>#VALUE!</v>
      </c>
      <c r="AP101" s="141" t="e">
        <f t="shared" ca="1" si="57"/>
        <v>#VALUE!</v>
      </c>
      <c r="AQ101" s="141" t="e" cm="1">
        <f t="array" aca="1" ref="AQ101" ca="1">SUMPRODUCT(AB100:AC100, TRANSPOSE(OFFSET(E.TPMs!$N$8:$N$9, INT(($F100-70)/5)*12, $G101*15)))
+SUMPRODUCT(AB100:AC100, TRANSPOSE(OFFSET(E.TPMs!$O$8:$O$9, INT(($F100-70)/5)*12, $G101*15)))
+SUMPRODUCT(AB100:AC100, TRANSPOSE(OFFSET(E.TPMs!$P$8:$P$9, INT(($F100-70)/5)*12, $G101*15)))</f>
        <v>#VALUE!</v>
      </c>
      <c r="AR101" s="141" t="e">
        <f t="shared" ca="1" si="58"/>
        <v>#VALUE!</v>
      </c>
      <c r="AS101" s="141" t="e" cm="1">
        <f t="array" aca="1" ref="AS101" ca="1">SUMPRODUCT(AB100:AG100, TRANSPOSE(OFFSET(E.TPMs!$R$8:$R$13, INT(($F100-70)/5)*12, $G101*15)))
+SUMPRODUCT(AB100:AG100, TRANSPOSE(OFFSET(E.TPMs!$S$8:$S$13, INT(($F100-70)/5)*12, $G101*15)))</f>
        <v>#VALUE!</v>
      </c>
      <c r="AT101" s="141" t="e" cm="1">
        <f t="array" aca="1" ref="AT101" ca="1">SUMPRODUCT(AB100:AH100, TRANSPOSE(OFFSET(E.TPMs!$S$8:$S$14, INT(($F100-70)/5)*12, $G101*15)))</f>
        <v>#VALUE!</v>
      </c>
    </row>
    <row r="102" spans="4:46" ht="12" customHeight="1" x14ac:dyDescent="0.25">
      <c r="D102" s="62">
        <f t="shared" si="59"/>
        <v>91</v>
      </c>
      <c r="E102" s="62">
        <f t="shared" si="51"/>
        <v>22.75</v>
      </c>
      <c r="F102" s="63">
        <f t="shared" si="52"/>
        <v>92.75</v>
      </c>
      <c r="G102" s="62">
        <f>IF(AND(E101&lt;E.maxDurHPE, E102&gt;=E.maxDurHPE), 1, 0)</f>
        <v>0</v>
      </c>
      <c r="H102" s="164" t="e">
        <f t="array" aca="1" ref="H102:S102" ca="1">MMULT(H101:S101, OFFSET(E.rngTPM_Root, INT(($F101-70)/5)*12, $G102*15))</f>
        <v>#VALUE!</v>
      </c>
      <c r="I102" s="164" t="e">
        <f ca="1"/>
        <v>#VALUE!</v>
      </c>
      <c r="J102" s="164" t="e">
        <f ca="1"/>
        <v>#VALUE!</v>
      </c>
      <c r="K102" s="164" t="e">
        <f ca="1"/>
        <v>#VALUE!</v>
      </c>
      <c r="L102" s="164" t="e">
        <f ca="1"/>
        <v>#VALUE!</v>
      </c>
      <c r="M102" s="164" t="e">
        <f ca="1"/>
        <v>#VALUE!</v>
      </c>
      <c r="N102" s="164" t="e">
        <f ca="1"/>
        <v>#VALUE!</v>
      </c>
      <c r="O102" s="164" t="e">
        <f ca="1"/>
        <v>#VALUE!</v>
      </c>
      <c r="P102" s="164" t="e">
        <f ca="1"/>
        <v>#VALUE!</v>
      </c>
      <c r="Q102" s="164" t="e">
        <f ca="1"/>
        <v>#VALUE!</v>
      </c>
      <c r="R102" s="164" t="e">
        <f ca="1"/>
        <v>#VALUE!</v>
      </c>
      <c r="S102" s="164" t="e">
        <f ca="1"/>
        <v>#VALUE!</v>
      </c>
      <c r="T102" s="128" t="e">
        <f t="shared" ca="1" si="53"/>
        <v>#VALUE!</v>
      </c>
      <c r="U102" s="141" t="e">
        <f t="shared" ca="1" si="54"/>
        <v>#VALUE!</v>
      </c>
      <c r="V102" s="141" t="e">
        <f t="shared" ca="1" si="56"/>
        <v>#VALUE!</v>
      </c>
      <c r="W102" s="141" t="e" cm="1">
        <f t="array" aca="1" ref="W102" ca="1">SUMPRODUCT(H101:I101, TRANSPOSE(OFFSET(E.TPMs!$N$8:$N$9, INT(($F101-70)/5)*12, $G102*15)))
+SUMPRODUCT(H101:I101, TRANSPOSE(OFFSET(E.TPMs!$O$8:$O$9, INT(($F101-70)/5)*12, $G102*15)))
+SUMPRODUCT(H101:I101, TRANSPOSE(OFFSET(E.TPMs!$P$8:$P$9, INT(($F101-70)/5)*12, $G102*15)))</f>
        <v>#VALUE!</v>
      </c>
      <c r="X102" s="141" t="e">
        <f t="shared" ca="1" si="55"/>
        <v>#VALUE!</v>
      </c>
      <c r="Y102" s="141" t="e" cm="1">
        <f t="array" aca="1" ref="Y102" ca="1">SUMPRODUCT(H101:M101, TRANSPOSE(OFFSET(E.TPMs!$R$8:$R$13, INT(($F101-70)/5)*12, $G102*15)))
+SUMPRODUCT(H101:M101, TRANSPOSE(OFFSET(E.TPMs!$S$8:$S$13, INT(($F101-70)/5)*12, $G102*15)))</f>
        <v>#VALUE!</v>
      </c>
      <c r="Z102" s="141" t="e" cm="1">
        <f t="array" aca="1" ref="Z102" ca="1">SUMPRODUCT(H101:N101, TRANSPOSE(OFFSET(E.TPMs!$S$8:$S$14, INT(($F101-70)/5)*12, $G102*15)))</f>
        <v>#VALUE!</v>
      </c>
      <c r="AB102" s="164" t="e">
        <f t="array" aca="1" ref="AB102:AM102" ca="1">MMULT(AB101:AM101, OFFSET(E.rngTPM_Root, INT(($F101-70)/5)*12, $G102*15))</f>
        <v>#VALUE!</v>
      </c>
      <c r="AC102" s="164" t="e">
        <f ca="1"/>
        <v>#VALUE!</v>
      </c>
      <c r="AD102" s="164" t="e">
        <f ca="1"/>
        <v>#VALUE!</v>
      </c>
      <c r="AE102" s="164" t="e">
        <f ca="1"/>
        <v>#VALUE!</v>
      </c>
      <c r="AF102" s="164" t="e">
        <f ca="1"/>
        <v>#VALUE!</v>
      </c>
      <c r="AG102" s="164" t="e">
        <f ca="1"/>
        <v>#VALUE!</v>
      </c>
      <c r="AH102" s="164" t="e">
        <f ca="1"/>
        <v>#VALUE!</v>
      </c>
      <c r="AI102" s="164" t="e">
        <f ca="1"/>
        <v>#VALUE!</v>
      </c>
      <c r="AJ102" s="164" t="e">
        <f ca="1"/>
        <v>#VALUE!</v>
      </c>
      <c r="AK102" s="164" t="e">
        <f ca="1"/>
        <v>#VALUE!</v>
      </c>
      <c r="AL102" s="164" t="e">
        <f ca="1"/>
        <v>#VALUE!</v>
      </c>
      <c r="AM102" s="164" t="e">
        <f ca="1"/>
        <v>#VALUE!</v>
      </c>
      <c r="AN102" s="128" t="e">
        <f t="shared" ca="1" si="49"/>
        <v>#VALUE!</v>
      </c>
      <c r="AO102" s="141" t="e">
        <f t="shared" ca="1" si="50"/>
        <v>#VALUE!</v>
      </c>
      <c r="AP102" s="141" t="e">
        <f t="shared" ca="1" si="57"/>
        <v>#VALUE!</v>
      </c>
      <c r="AQ102" s="141" t="e" cm="1">
        <f t="array" aca="1" ref="AQ102" ca="1">SUMPRODUCT(AB101:AC101, TRANSPOSE(OFFSET(E.TPMs!$N$8:$N$9, INT(($F101-70)/5)*12, $G102*15)))
+SUMPRODUCT(AB101:AC101, TRANSPOSE(OFFSET(E.TPMs!$O$8:$O$9, INT(($F101-70)/5)*12, $G102*15)))
+SUMPRODUCT(AB101:AC101, TRANSPOSE(OFFSET(E.TPMs!$P$8:$P$9, INT(($F101-70)/5)*12, $G102*15)))</f>
        <v>#VALUE!</v>
      </c>
      <c r="AR102" s="141" t="e">
        <f t="shared" ca="1" si="58"/>
        <v>#VALUE!</v>
      </c>
      <c r="AS102" s="141" t="e" cm="1">
        <f t="array" aca="1" ref="AS102" ca="1">SUMPRODUCT(AB101:AG101, TRANSPOSE(OFFSET(E.TPMs!$R$8:$R$13, INT(($F101-70)/5)*12, $G102*15)))
+SUMPRODUCT(AB101:AG101, TRANSPOSE(OFFSET(E.TPMs!$S$8:$S$13, INT(($F101-70)/5)*12, $G102*15)))</f>
        <v>#VALUE!</v>
      </c>
      <c r="AT102" s="141" t="e" cm="1">
        <f t="array" aca="1" ref="AT102" ca="1">SUMPRODUCT(AB101:AH101, TRANSPOSE(OFFSET(E.TPMs!$S$8:$S$14, INT(($F101-70)/5)*12, $G102*15)))</f>
        <v>#VALUE!</v>
      </c>
    </row>
    <row r="103" spans="4:46" ht="12" customHeight="1" x14ac:dyDescent="0.25">
      <c r="D103" s="62">
        <f t="shared" si="59"/>
        <v>92</v>
      </c>
      <c r="E103" s="62">
        <f t="shared" si="51"/>
        <v>23</v>
      </c>
      <c r="F103" s="63">
        <f t="shared" si="52"/>
        <v>93</v>
      </c>
      <c r="G103" s="62">
        <f>IF(AND(E102&lt;E.maxDurHPE, E103&gt;=E.maxDurHPE), 1, 0)</f>
        <v>0</v>
      </c>
      <c r="H103" s="164" t="e">
        <f t="array" aca="1" ref="H103:S103" ca="1">MMULT(H102:S102, OFFSET(E.rngTPM_Root, INT(($F102-70)/5)*12, $G103*15))</f>
        <v>#VALUE!</v>
      </c>
      <c r="I103" s="164" t="e">
        <f ca="1"/>
        <v>#VALUE!</v>
      </c>
      <c r="J103" s="164" t="e">
        <f ca="1"/>
        <v>#VALUE!</v>
      </c>
      <c r="K103" s="164" t="e">
        <f ca="1"/>
        <v>#VALUE!</v>
      </c>
      <c r="L103" s="164" t="e">
        <f ca="1"/>
        <v>#VALUE!</v>
      </c>
      <c r="M103" s="164" t="e">
        <f ca="1"/>
        <v>#VALUE!</v>
      </c>
      <c r="N103" s="164" t="e">
        <f ca="1"/>
        <v>#VALUE!</v>
      </c>
      <c r="O103" s="164" t="e">
        <f ca="1"/>
        <v>#VALUE!</v>
      </c>
      <c r="P103" s="164" t="e">
        <f ca="1"/>
        <v>#VALUE!</v>
      </c>
      <c r="Q103" s="164" t="e">
        <f ca="1"/>
        <v>#VALUE!</v>
      </c>
      <c r="R103" s="164" t="e">
        <f ca="1"/>
        <v>#VALUE!</v>
      </c>
      <c r="S103" s="164" t="e">
        <f ca="1"/>
        <v>#VALUE!</v>
      </c>
      <c r="T103" s="128" t="e">
        <f t="shared" ca="1" si="53"/>
        <v>#VALUE!</v>
      </c>
      <c r="U103" s="141" t="e">
        <f t="shared" ca="1" si="54"/>
        <v>#VALUE!</v>
      </c>
      <c r="V103" s="141" t="e">
        <f t="shared" ca="1" si="56"/>
        <v>#VALUE!</v>
      </c>
      <c r="W103" s="141" t="e" cm="1">
        <f t="array" aca="1" ref="W103" ca="1">SUMPRODUCT(H102:I102, TRANSPOSE(OFFSET(E.TPMs!$N$8:$N$9, INT(($F102-70)/5)*12, $G103*15)))
+SUMPRODUCT(H102:I102, TRANSPOSE(OFFSET(E.TPMs!$O$8:$O$9, INT(($F102-70)/5)*12, $G103*15)))
+SUMPRODUCT(H102:I102, TRANSPOSE(OFFSET(E.TPMs!$P$8:$P$9, INT(($F102-70)/5)*12, $G103*15)))</f>
        <v>#VALUE!</v>
      </c>
      <c r="X103" s="141" t="e">
        <f t="shared" ca="1" si="55"/>
        <v>#VALUE!</v>
      </c>
      <c r="Y103" s="141" t="e" cm="1">
        <f t="array" aca="1" ref="Y103" ca="1">SUMPRODUCT(H102:M102, TRANSPOSE(OFFSET(E.TPMs!$R$8:$R$13, INT(($F102-70)/5)*12, $G103*15)))
+SUMPRODUCT(H102:M102, TRANSPOSE(OFFSET(E.TPMs!$S$8:$S$13, INT(($F102-70)/5)*12, $G103*15)))</f>
        <v>#VALUE!</v>
      </c>
      <c r="Z103" s="141" t="e" cm="1">
        <f t="array" aca="1" ref="Z103" ca="1">SUMPRODUCT(H102:N102, TRANSPOSE(OFFSET(E.TPMs!$S$8:$S$14, INT(($F102-70)/5)*12, $G103*15)))</f>
        <v>#VALUE!</v>
      </c>
      <c r="AB103" s="164" t="e">
        <f t="array" aca="1" ref="AB103:AM103" ca="1">MMULT(AB102:AM102, OFFSET(E.rngTPM_Root, INT(($F102-70)/5)*12, $G103*15))</f>
        <v>#VALUE!</v>
      </c>
      <c r="AC103" s="164" t="e">
        <f ca="1"/>
        <v>#VALUE!</v>
      </c>
      <c r="AD103" s="164" t="e">
        <f ca="1"/>
        <v>#VALUE!</v>
      </c>
      <c r="AE103" s="164" t="e">
        <f ca="1"/>
        <v>#VALUE!</v>
      </c>
      <c r="AF103" s="164" t="e">
        <f ca="1"/>
        <v>#VALUE!</v>
      </c>
      <c r="AG103" s="164" t="e">
        <f ca="1"/>
        <v>#VALUE!</v>
      </c>
      <c r="AH103" s="164" t="e">
        <f ca="1"/>
        <v>#VALUE!</v>
      </c>
      <c r="AI103" s="164" t="e">
        <f ca="1"/>
        <v>#VALUE!</v>
      </c>
      <c r="AJ103" s="164" t="e">
        <f ca="1"/>
        <v>#VALUE!</v>
      </c>
      <c r="AK103" s="164" t="e">
        <f ca="1"/>
        <v>#VALUE!</v>
      </c>
      <c r="AL103" s="164" t="e">
        <f ca="1"/>
        <v>#VALUE!</v>
      </c>
      <c r="AM103" s="164" t="e">
        <f ca="1"/>
        <v>#VALUE!</v>
      </c>
      <c r="AN103" s="128" t="e">
        <f t="shared" ca="1" si="49"/>
        <v>#VALUE!</v>
      </c>
      <c r="AO103" s="141" t="e">
        <f t="shared" ca="1" si="50"/>
        <v>#VALUE!</v>
      </c>
      <c r="AP103" s="141" t="e">
        <f t="shared" ca="1" si="57"/>
        <v>#VALUE!</v>
      </c>
      <c r="AQ103" s="141" t="e" cm="1">
        <f t="array" aca="1" ref="AQ103" ca="1">SUMPRODUCT(AB102:AC102, TRANSPOSE(OFFSET(E.TPMs!$N$8:$N$9, INT(($F102-70)/5)*12, $G103*15)))
+SUMPRODUCT(AB102:AC102, TRANSPOSE(OFFSET(E.TPMs!$O$8:$O$9, INT(($F102-70)/5)*12, $G103*15)))
+SUMPRODUCT(AB102:AC102, TRANSPOSE(OFFSET(E.TPMs!$P$8:$P$9, INT(($F102-70)/5)*12, $G103*15)))</f>
        <v>#VALUE!</v>
      </c>
      <c r="AR103" s="141" t="e">
        <f t="shared" ca="1" si="58"/>
        <v>#VALUE!</v>
      </c>
      <c r="AS103" s="141" t="e" cm="1">
        <f t="array" aca="1" ref="AS103" ca="1">SUMPRODUCT(AB102:AG102, TRANSPOSE(OFFSET(E.TPMs!$R$8:$R$13, INT(($F102-70)/5)*12, $G103*15)))
+SUMPRODUCT(AB102:AG102, TRANSPOSE(OFFSET(E.TPMs!$S$8:$S$13, INT(($F102-70)/5)*12, $G103*15)))</f>
        <v>#VALUE!</v>
      </c>
      <c r="AT103" s="141" t="e" cm="1">
        <f t="array" aca="1" ref="AT103" ca="1">SUMPRODUCT(AB102:AH102, TRANSPOSE(OFFSET(E.TPMs!$S$8:$S$14, INT(($F102-70)/5)*12, $G103*15)))</f>
        <v>#VALUE!</v>
      </c>
    </row>
    <row r="104" spans="4:46" ht="12" customHeight="1" x14ac:dyDescent="0.25">
      <c r="D104" s="62">
        <f t="shared" si="59"/>
        <v>93</v>
      </c>
      <c r="E104" s="62">
        <f t="shared" si="51"/>
        <v>23.25</v>
      </c>
      <c r="F104" s="63">
        <f t="shared" si="52"/>
        <v>93.25</v>
      </c>
      <c r="G104" s="62">
        <f>IF(AND(E103&lt;E.maxDurHPE, E104&gt;=E.maxDurHPE), 1, 0)</f>
        <v>0</v>
      </c>
      <c r="H104" s="164" t="e">
        <f t="array" aca="1" ref="H104:S104" ca="1">MMULT(H103:S103, OFFSET(E.rngTPM_Root, INT(($F103-70)/5)*12, $G104*15))</f>
        <v>#VALUE!</v>
      </c>
      <c r="I104" s="164" t="e">
        <f ca="1"/>
        <v>#VALUE!</v>
      </c>
      <c r="J104" s="164" t="e">
        <f ca="1"/>
        <v>#VALUE!</v>
      </c>
      <c r="K104" s="164" t="e">
        <f ca="1"/>
        <v>#VALUE!</v>
      </c>
      <c r="L104" s="164" t="e">
        <f ca="1"/>
        <v>#VALUE!</v>
      </c>
      <c r="M104" s="164" t="e">
        <f ca="1"/>
        <v>#VALUE!</v>
      </c>
      <c r="N104" s="164" t="e">
        <f ca="1"/>
        <v>#VALUE!</v>
      </c>
      <c r="O104" s="164" t="e">
        <f ca="1"/>
        <v>#VALUE!</v>
      </c>
      <c r="P104" s="164" t="e">
        <f ca="1"/>
        <v>#VALUE!</v>
      </c>
      <c r="Q104" s="164" t="e">
        <f ca="1"/>
        <v>#VALUE!</v>
      </c>
      <c r="R104" s="164" t="e">
        <f ca="1"/>
        <v>#VALUE!</v>
      </c>
      <c r="S104" s="164" t="e">
        <f ca="1"/>
        <v>#VALUE!</v>
      </c>
      <c r="T104" s="128" t="e">
        <f t="shared" ca="1" si="53"/>
        <v>#VALUE!</v>
      </c>
      <c r="U104" s="141" t="e">
        <f t="shared" ca="1" si="54"/>
        <v>#VALUE!</v>
      </c>
      <c r="V104" s="141" t="e">
        <f t="shared" ca="1" si="56"/>
        <v>#VALUE!</v>
      </c>
      <c r="W104" s="141" t="e" cm="1">
        <f t="array" aca="1" ref="W104" ca="1">SUMPRODUCT(H103:I103, TRANSPOSE(OFFSET(E.TPMs!$N$8:$N$9, INT(($F103-70)/5)*12, $G104*15)))
+SUMPRODUCT(H103:I103, TRANSPOSE(OFFSET(E.TPMs!$O$8:$O$9, INT(($F103-70)/5)*12, $G104*15)))
+SUMPRODUCT(H103:I103, TRANSPOSE(OFFSET(E.TPMs!$P$8:$P$9, INT(($F103-70)/5)*12, $G104*15)))</f>
        <v>#VALUE!</v>
      </c>
      <c r="X104" s="141" t="e">
        <f t="shared" ca="1" si="55"/>
        <v>#VALUE!</v>
      </c>
      <c r="Y104" s="141" t="e" cm="1">
        <f t="array" aca="1" ref="Y104" ca="1">SUMPRODUCT(H103:M103, TRANSPOSE(OFFSET(E.TPMs!$R$8:$R$13, INT(($F103-70)/5)*12, $G104*15)))
+SUMPRODUCT(H103:M103, TRANSPOSE(OFFSET(E.TPMs!$S$8:$S$13, INT(($F103-70)/5)*12, $G104*15)))</f>
        <v>#VALUE!</v>
      </c>
      <c r="Z104" s="141" t="e" cm="1">
        <f t="array" aca="1" ref="Z104" ca="1">SUMPRODUCT(H103:N103, TRANSPOSE(OFFSET(E.TPMs!$S$8:$S$14, INT(($F103-70)/5)*12, $G104*15)))</f>
        <v>#VALUE!</v>
      </c>
      <c r="AB104" s="164" t="e">
        <f t="array" aca="1" ref="AB104:AM104" ca="1">MMULT(AB103:AM103, OFFSET(E.rngTPM_Root, INT(($F103-70)/5)*12, $G104*15))</f>
        <v>#VALUE!</v>
      </c>
      <c r="AC104" s="164" t="e">
        <f ca="1"/>
        <v>#VALUE!</v>
      </c>
      <c r="AD104" s="164" t="e">
        <f ca="1"/>
        <v>#VALUE!</v>
      </c>
      <c r="AE104" s="164" t="e">
        <f ca="1"/>
        <v>#VALUE!</v>
      </c>
      <c r="AF104" s="164" t="e">
        <f ca="1"/>
        <v>#VALUE!</v>
      </c>
      <c r="AG104" s="164" t="e">
        <f ca="1"/>
        <v>#VALUE!</v>
      </c>
      <c r="AH104" s="164" t="e">
        <f ca="1"/>
        <v>#VALUE!</v>
      </c>
      <c r="AI104" s="164" t="e">
        <f ca="1"/>
        <v>#VALUE!</v>
      </c>
      <c r="AJ104" s="164" t="e">
        <f ca="1"/>
        <v>#VALUE!</v>
      </c>
      <c r="AK104" s="164" t="e">
        <f ca="1"/>
        <v>#VALUE!</v>
      </c>
      <c r="AL104" s="164" t="e">
        <f ca="1"/>
        <v>#VALUE!</v>
      </c>
      <c r="AM104" s="164" t="e">
        <f ca="1"/>
        <v>#VALUE!</v>
      </c>
      <c r="AN104" s="128" t="e">
        <f t="shared" ca="1" si="49"/>
        <v>#VALUE!</v>
      </c>
      <c r="AO104" s="141" t="e">
        <f t="shared" ca="1" si="50"/>
        <v>#VALUE!</v>
      </c>
      <c r="AP104" s="141" t="e">
        <f t="shared" ca="1" si="57"/>
        <v>#VALUE!</v>
      </c>
      <c r="AQ104" s="141" t="e" cm="1">
        <f t="array" aca="1" ref="AQ104" ca="1">SUMPRODUCT(AB103:AC103, TRANSPOSE(OFFSET(E.TPMs!$N$8:$N$9, INT(($F103-70)/5)*12, $G104*15)))
+SUMPRODUCT(AB103:AC103, TRANSPOSE(OFFSET(E.TPMs!$O$8:$O$9, INT(($F103-70)/5)*12, $G104*15)))
+SUMPRODUCT(AB103:AC103, TRANSPOSE(OFFSET(E.TPMs!$P$8:$P$9, INT(($F103-70)/5)*12, $G104*15)))</f>
        <v>#VALUE!</v>
      </c>
      <c r="AR104" s="141" t="e">
        <f t="shared" ca="1" si="58"/>
        <v>#VALUE!</v>
      </c>
      <c r="AS104" s="141" t="e" cm="1">
        <f t="array" aca="1" ref="AS104" ca="1">SUMPRODUCT(AB103:AG103, TRANSPOSE(OFFSET(E.TPMs!$R$8:$R$13, INT(($F103-70)/5)*12, $G104*15)))
+SUMPRODUCT(AB103:AG103, TRANSPOSE(OFFSET(E.TPMs!$S$8:$S$13, INT(($F103-70)/5)*12, $G104*15)))</f>
        <v>#VALUE!</v>
      </c>
      <c r="AT104" s="141" t="e" cm="1">
        <f t="array" aca="1" ref="AT104" ca="1">SUMPRODUCT(AB103:AH103, TRANSPOSE(OFFSET(E.TPMs!$S$8:$S$14, INT(($F103-70)/5)*12, $G104*15)))</f>
        <v>#VALUE!</v>
      </c>
    </row>
    <row r="105" spans="4:46" ht="12" customHeight="1" x14ac:dyDescent="0.25">
      <c r="D105" s="62">
        <f t="shared" si="59"/>
        <v>94</v>
      </c>
      <c r="E105" s="62">
        <f t="shared" si="51"/>
        <v>23.5</v>
      </c>
      <c r="F105" s="63">
        <f t="shared" si="52"/>
        <v>93.5</v>
      </c>
      <c r="G105" s="62">
        <f>IF(AND(E104&lt;E.maxDurHPE, E105&gt;=E.maxDurHPE), 1, 0)</f>
        <v>0</v>
      </c>
      <c r="H105" s="164" t="e">
        <f t="array" aca="1" ref="H105:S105" ca="1">MMULT(H104:S104, OFFSET(E.rngTPM_Root, INT(($F104-70)/5)*12, $G105*15))</f>
        <v>#VALUE!</v>
      </c>
      <c r="I105" s="164" t="e">
        <f ca="1"/>
        <v>#VALUE!</v>
      </c>
      <c r="J105" s="164" t="e">
        <f ca="1"/>
        <v>#VALUE!</v>
      </c>
      <c r="K105" s="164" t="e">
        <f ca="1"/>
        <v>#VALUE!</v>
      </c>
      <c r="L105" s="164" t="e">
        <f ca="1"/>
        <v>#VALUE!</v>
      </c>
      <c r="M105" s="164" t="e">
        <f ca="1"/>
        <v>#VALUE!</v>
      </c>
      <c r="N105" s="164" t="e">
        <f ca="1"/>
        <v>#VALUE!</v>
      </c>
      <c r="O105" s="164" t="e">
        <f ca="1"/>
        <v>#VALUE!</v>
      </c>
      <c r="P105" s="164" t="e">
        <f ca="1"/>
        <v>#VALUE!</v>
      </c>
      <c r="Q105" s="164" t="e">
        <f ca="1"/>
        <v>#VALUE!</v>
      </c>
      <c r="R105" s="164" t="e">
        <f ca="1"/>
        <v>#VALUE!</v>
      </c>
      <c r="S105" s="164" t="e">
        <f ca="1"/>
        <v>#VALUE!</v>
      </c>
      <c r="T105" s="128" t="e">
        <f t="shared" ca="1" si="53"/>
        <v>#VALUE!</v>
      </c>
      <c r="U105" s="141" t="e">
        <f t="shared" ca="1" si="54"/>
        <v>#VALUE!</v>
      </c>
      <c r="V105" s="141" t="e">
        <f t="shared" ca="1" si="56"/>
        <v>#VALUE!</v>
      </c>
      <c r="W105" s="141" t="e" cm="1">
        <f t="array" aca="1" ref="W105" ca="1">SUMPRODUCT(H104:I104, TRANSPOSE(OFFSET(E.TPMs!$N$8:$N$9, INT(($F104-70)/5)*12, $G105*15)))
+SUMPRODUCT(H104:I104, TRANSPOSE(OFFSET(E.TPMs!$O$8:$O$9, INT(($F104-70)/5)*12, $G105*15)))
+SUMPRODUCT(H104:I104, TRANSPOSE(OFFSET(E.TPMs!$P$8:$P$9, INT(($F104-70)/5)*12, $G105*15)))</f>
        <v>#VALUE!</v>
      </c>
      <c r="X105" s="141" t="e">
        <f t="shared" ca="1" si="55"/>
        <v>#VALUE!</v>
      </c>
      <c r="Y105" s="141" t="e" cm="1">
        <f t="array" aca="1" ref="Y105" ca="1">SUMPRODUCT(H104:M104, TRANSPOSE(OFFSET(E.TPMs!$R$8:$R$13, INT(($F104-70)/5)*12, $G105*15)))
+SUMPRODUCT(H104:M104, TRANSPOSE(OFFSET(E.TPMs!$S$8:$S$13, INT(($F104-70)/5)*12, $G105*15)))</f>
        <v>#VALUE!</v>
      </c>
      <c r="Z105" s="141" t="e" cm="1">
        <f t="array" aca="1" ref="Z105" ca="1">SUMPRODUCT(H104:N104, TRANSPOSE(OFFSET(E.TPMs!$S$8:$S$14, INT(($F104-70)/5)*12, $G105*15)))</f>
        <v>#VALUE!</v>
      </c>
      <c r="AB105" s="164" t="e">
        <f t="array" aca="1" ref="AB105:AM105" ca="1">MMULT(AB104:AM104, OFFSET(E.rngTPM_Root, INT(($F104-70)/5)*12, $G105*15))</f>
        <v>#VALUE!</v>
      </c>
      <c r="AC105" s="164" t="e">
        <f ca="1"/>
        <v>#VALUE!</v>
      </c>
      <c r="AD105" s="164" t="e">
        <f ca="1"/>
        <v>#VALUE!</v>
      </c>
      <c r="AE105" s="164" t="e">
        <f ca="1"/>
        <v>#VALUE!</v>
      </c>
      <c r="AF105" s="164" t="e">
        <f ca="1"/>
        <v>#VALUE!</v>
      </c>
      <c r="AG105" s="164" t="e">
        <f ca="1"/>
        <v>#VALUE!</v>
      </c>
      <c r="AH105" s="164" t="e">
        <f ca="1"/>
        <v>#VALUE!</v>
      </c>
      <c r="AI105" s="164" t="e">
        <f ca="1"/>
        <v>#VALUE!</v>
      </c>
      <c r="AJ105" s="164" t="e">
        <f ca="1"/>
        <v>#VALUE!</v>
      </c>
      <c r="AK105" s="164" t="e">
        <f ca="1"/>
        <v>#VALUE!</v>
      </c>
      <c r="AL105" s="164" t="e">
        <f ca="1"/>
        <v>#VALUE!</v>
      </c>
      <c r="AM105" s="164" t="e">
        <f ca="1"/>
        <v>#VALUE!</v>
      </c>
      <c r="AN105" s="128" t="e">
        <f t="shared" ca="1" si="49"/>
        <v>#VALUE!</v>
      </c>
      <c r="AO105" s="141" t="e">
        <f t="shared" ca="1" si="50"/>
        <v>#VALUE!</v>
      </c>
      <c r="AP105" s="141" t="e">
        <f t="shared" ca="1" si="57"/>
        <v>#VALUE!</v>
      </c>
      <c r="AQ105" s="141" t="e" cm="1">
        <f t="array" aca="1" ref="AQ105" ca="1">SUMPRODUCT(AB104:AC104, TRANSPOSE(OFFSET(E.TPMs!$N$8:$N$9, INT(($F104-70)/5)*12, $G105*15)))
+SUMPRODUCT(AB104:AC104, TRANSPOSE(OFFSET(E.TPMs!$O$8:$O$9, INT(($F104-70)/5)*12, $G105*15)))
+SUMPRODUCT(AB104:AC104, TRANSPOSE(OFFSET(E.TPMs!$P$8:$P$9, INT(($F104-70)/5)*12, $G105*15)))</f>
        <v>#VALUE!</v>
      </c>
      <c r="AR105" s="141" t="e">
        <f t="shared" ca="1" si="58"/>
        <v>#VALUE!</v>
      </c>
      <c r="AS105" s="141" t="e" cm="1">
        <f t="array" aca="1" ref="AS105" ca="1">SUMPRODUCT(AB104:AG104, TRANSPOSE(OFFSET(E.TPMs!$R$8:$R$13, INT(($F104-70)/5)*12, $G105*15)))
+SUMPRODUCT(AB104:AG104, TRANSPOSE(OFFSET(E.TPMs!$S$8:$S$13, INT(($F104-70)/5)*12, $G105*15)))</f>
        <v>#VALUE!</v>
      </c>
      <c r="AT105" s="141" t="e" cm="1">
        <f t="array" aca="1" ref="AT105" ca="1">SUMPRODUCT(AB104:AH104, TRANSPOSE(OFFSET(E.TPMs!$S$8:$S$14, INT(($F104-70)/5)*12, $G105*15)))</f>
        <v>#VALUE!</v>
      </c>
    </row>
    <row r="106" spans="4:46" ht="12" customHeight="1" x14ac:dyDescent="0.25">
      <c r="D106" s="62">
        <f t="shared" si="59"/>
        <v>95</v>
      </c>
      <c r="E106" s="62">
        <f t="shared" si="51"/>
        <v>23.75</v>
      </c>
      <c r="F106" s="63">
        <f t="shared" si="52"/>
        <v>93.75</v>
      </c>
      <c r="G106" s="62">
        <f>IF(AND(E105&lt;E.maxDurHPE, E106&gt;=E.maxDurHPE), 1, 0)</f>
        <v>0</v>
      </c>
      <c r="H106" s="164" t="e">
        <f t="array" aca="1" ref="H106:S106" ca="1">MMULT(H105:S105, OFFSET(E.rngTPM_Root, INT(($F105-70)/5)*12, $G106*15))</f>
        <v>#VALUE!</v>
      </c>
      <c r="I106" s="164" t="e">
        <f ca="1"/>
        <v>#VALUE!</v>
      </c>
      <c r="J106" s="164" t="e">
        <f ca="1"/>
        <v>#VALUE!</v>
      </c>
      <c r="K106" s="164" t="e">
        <f ca="1"/>
        <v>#VALUE!</v>
      </c>
      <c r="L106" s="164" t="e">
        <f ca="1"/>
        <v>#VALUE!</v>
      </c>
      <c r="M106" s="164" t="e">
        <f ca="1"/>
        <v>#VALUE!</v>
      </c>
      <c r="N106" s="164" t="e">
        <f ca="1"/>
        <v>#VALUE!</v>
      </c>
      <c r="O106" s="164" t="e">
        <f ca="1"/>
        <v>#VALUE!</v>
      </c>
      <c r="P106" s="164" t="e">
        <f ca="1"/>
        <v>#VALUE!</v>
      </c>
      <c r="Q106" s="164" t="e">
        <f ca="1"/>
        <v>#VALUE!</v>
      </c>
      <c r="R106" s="164" t="e">
        <f ca="1"/>
        <v>#VALUE!</v>
      </c>
      <c r="S106" s="164" t="e">
        <f ca="1"/>
        <v>#VALUE!</v>
      </c>
      <c r="T106" s="128" t="e">
        <f t="shared" ca="1" si="53"/>
        <v>#VALUE!</v>
      </c>
      <c r="U106" s="141" t="e">
        <f t="shared" ca="1" si="54"/>
        <v>#VALUE!</v>
      </c>
      <c r="V106" s="141" t="e">
        <f t="shared" ca="1" si="56"/>
        <v>#VALUE!</v>
      </c>
      <c r="W106" s="141" t="e" cm="1">
        <f t="array" aca="1" ref="W106" ca="1">SUMPRODUCT(H105:I105, TRANSPOSE(OFFSET(E.TPMs!$N$8:$N$9, INT(($F105-70)/5)*12, $G106*15)))
+SUMPRODUCT(H105:I105, TRANSPOSE(OFFSET(E.TPMs!$O$8:$O$9, INT(($F105-70)/5)*12, $G106*15)))
+SUMPRODUCT(H105:I105, TRANSPOSE(OFFSET(E.TPMs!$P$8:$P$9, INT(($F105-70)/5)*12, $G106*15)))</f>
        <v>#VALUE!</v>
      </c>
      <c r="X106" s="141" t="e">
        <f t="shared" ca="1" si="55"/>
        <v>#VALUE!</v>
      </c>
      <c r="Y106" s="141" t="e" cm="1">
        <f t="array" aca="1" ref="Y106" ca="1">SUMPRODUCT(H105:M105, TRANSPOSE(OFFSET(E.TPMs!$R$8:$R$13, INT(($F105-70)/5)*12, $G106*15)))
+SUMPRODUCT(H105:M105, TRANSPOSE(OFFSET(E.TPMs!$S$8:$S$13, INT(($F105-70)/5)*12, $G106*15)))</f>
        <v>#VALUE!</v>
      </c>
      <c r="Z106" s="141" t="e" cm="1">
        <f t="array" aca="1" ref="Z106" ca="1">SUMPRODUCT(H105:N105, TRANSPOSE(OFFSET(E.TPMs!$S$8:$S$14, INT(($F105-70)/5)*12, $G106*15)))</f>
        <v>#VALUE!</v>
      </c>
      <c r="AB106" s="164" t="e">
        <f t="array" aca="1" ref="AB106:AM106" ca="1">MMULT(AB105:AM105, OFFSET(E.rngTPM_Root, INT(($F105-70)/5)*12, $G106*15))</f>
        <v>#VALUE!</v>
      </c>
      <c r="AC106" s="164" t="e">
        <f ca="1"/>
        <v>#VALUE!</v>
      </c>
      <c r="AD106" s="164" t="e">
        <f ca="1"/>
        <v>#VALUE!</v>
      </c>
      <c r="AE106" s="164" t="e">
        <f ca="1"/>
        <v>#VALUE!</v>
      </c>
      <c r="AF106" s="164" t="e">
        <f ca="1"/>
        <v>#VALUE!</v>
      </c>
      <c r="AG106" s="164" t="e">
        <f ca="1"/>
        <v>#VALUE!</v>
      </c>
      <c r="AH106" s="164" t="e">
        <f ca="1"/>
        <v>#VALUE!</v>
      </c>
      <c r="AI106" s="164" t="e">
        <f ca="1"/>
        <v>#VALUE!</v>
      </c>
      <c r="AJ106" s="164" t="e">
        <f ca="1"/>
        <v>#VALUE!</v>
      </c>
      <c r="AK106" s="164" t="e">
        <f ca="1"/>
        <v>#VALUE!</v>
      </c>
      <c r="AL106" s="164" t="e">
        <f ca="1"/>
        <v>#VALUE!</v>
      </c>
      <c r="AM106" s="164" t="e">
        <f ca="1"/>
        <v>#VALUE!</v>
      </c>
      <c r="AN106" s="128" t="e">
        <f t="shared" ca="1" si="49"/>
        <v>#VALUE!</v>
      </c>
      <c r="AO106" s="141" t="e">
        <f t="shared" ca="1" si="50"/>
        <v>#VALUE!</v>
      </c>
      <c r="AP106" s="141" t="e">
        <f t="shared" ca="1" si="57"/>
        <v>#VALUE!</v>
      </c>
      <c r="AQ106" s="141" t="e" cm="1">
        <f t="array" aca="1" ref="AQ106" ca="1">SUMPRODUCT(AB105:AC105, TRANSPOSE(OFFSET(E.TPMs!$N$8:$N$9, INT(($F105-70)/5)*12, $G106*15)))
+SUMPRODUCT(AB105:AC105, TRANSPOSE(OFFSET(E.TPMs!$O$8:$O$9, INT(($F105-70)/5)*12, $G106*15)))
+SUMPRODUCT(AB105:AC105, TRANSPOSE(OFFSET(E.TPMs!$P$8:$P$9, INT(($F105-70)/5)*12, $G106*15)))</f>
        <v>#VALUE!</v>
      </c>
      <c r="AR106" s="141" t="e">
        <f t="shared" ca="1" si="58"/>
        <v>#VALUE!</v>
      </c>
      <c r="AS106" s="141" t="e" cm="1">
        <f t="array" aca="1" ref="AS106" ca="1">SUMPRODUCT(AB105:AG105, TRANSPOSE(OFFSET(E.TPMs!$R$8:$R$13, INT(($F105-70)/5)*12, $G106*15)))
+SUMPRODUCT(AB105:AG105, TRANSPOSE(OFFSET(E.TPMs!$S$8:$S$13, INT(($F105-70)/5)*12, $G106*15)))</f>
        <v>#VALUE!</v>
      </c>
      <c r="AT106" s="141" t="e" cm="1">
        <f t="array" aca="1" ref="AT106" ca="1">SUMPRODUCT(AB105:AH105, TRANSPOSE(OFFSET(E.TPMs!$S$8:$S$14, INT(($F105-70)/5)*12, $G106*15)))</f>
        <v>#VALUE!</v>
      </c>
    </row>
    <row r="107" spans="4:46" ht="12" customHeight="1" x14ac:dyDescent="0.25">
      <c r="D107" s="62">
        <f t="shared" si="59"/>
        <v>96</v>
      </c>
      <c r="E107" s="62">
        <f>D107*E.cycleLength</f>
        <v>24</v>
      </c>
      <c r="F107" s="63">
        <f>E.cohortAge+E107</f>
        <v>94</v>
      </c>
      <c r="G107" s="62">
        <f>IF(AND(E106&lt;E.maxDurHPE, E107&gt;=E.maxDurHPE), 1, 0)</f>
        <v>0</v>
      </c>
      <c r="H107" s="164" t="e">
        <f t="array" aca="1" ref="H107:S107" ca="1">MMULT(H106:S106, OFFSET(E.rngTPM_Root, INT(($F106-70)/5)*12, $G107*15))</f>
        <v>#VALUE!</v>
      </c>
      <c r="I107" s="164" t="e">
        <f ca="1"/>
        <v>#VALUE!</v>
      </c>
      <c r="J107" s="164" t="e">
        <f ca="1"/>
        <v>#VALUE!</v>
      </c>
      <c r="K107" s="164" t="e">
        <f ca="1"/>
        <v>#VALUE!</v>
      </c>
      <c r="L107" s="164" t="e">
        <f ca="1"/>
        <v>#VALUE!</v>
      </c>
      <c r="M107" s="164" t="e">
        <f ca="1"/>
        <v>#VALUE!</v>
      </c>
      <c r="N107" s="164" t="e">
        <f ca="1"/>
        <v>#VALUE!</v>
      </c>
      <c r="O107" s="164" t="e">
        <f ca="1"/>
        <v>#VALUE!</v>
      </c>
      <c r="P107" s="164" t="e">
        <f ca="1"/>
        <v>#VALUE!</v>
      </c>
      <c r="Q107" s="164" t="e">
        <f ca="1"/>
        <v>#VALUE!</v>
      </c>
      <c r="R107" s="164" t="e">
        <f ca="1"/>
        <v>#VALUE!</v>
      </c>
      <c r="S107" s="164" t="e">
        <f ca="1"/>
        <v>#VALUE!</v>
      </c>
      <c r="T107" s="128" t="e">
        <f t="shared" ref="T107:T131" ca="1" si="60">SUM(H107:S107)</f>
        <v>#VALUE!</v>
      </c>
      <c r="U107" s="141" t="e">
        <f t="shared" ref="U107:U131" ca="1" si="61">SUM(H107:Q107)</f>
        <v>#VALUE!</v>
      </c>
      <c r="V107" s="141" t="e">
        <f t="shared" ca="1" si="56"/>
        <v>#VALUE!</v>
      </c>
      <c r="W107" s="141" t="e" cm="1">
        <f t="array" aca="1" ref="W107" ca="1">SUMPRODUCT(H106:I106, TRANSPOSE(OFFSET(E.TPMs!$N$8:$N$9, INT(($F106-70)/5)*12, $G107*15)))
+SUMPRODUCT(H106:I106, TRANSPOSE(OFFSET(E.TPMs!$O$8:$O$9, INT(($F106-70)/5)*12, $G107*15)))
+SUMPRODUCT(H106:I106, TRANSPOSE(OFFSET(E.TPMs!$P$8:$P$9, INT(($F106-70)/5)*12, $G107*15)))</f>
        <v>#VALUE!</v>
      </c>
      <c r="X107" s="141" t="e">
        <f t="shared" ref="X107:X131" ca="1" si="62">SUM(J107:L107)</f>
        <v>#VALUE!</v>
      </c>
      <c r="Y107" s="141" t="e" cm="1">
        <f t="array" aca="1" ref="Y107" ca="1">SUMPRODUCT(H106:M106, TRANSPOSE(OFFSET(E.TPMs!$R$8:$R$13, INT(($F106-70)/5)*12, $G107*15)))
+SUMPRODUCT(H106:M106, TRANSPOSE(OFFSET(E.TPMs!$S$8:$S$13, INT(($F106-70)/5)*12, $G107*15)))</f>
        <v>#VALUE!</v>
      </c>
      <c r="Z107" s="141" t="e" cm="1">
        <f t="array" aca="1" ref="Z107" ca="1">SUMPRODUCT(H106:N106, TRANSPOSE(OFFSET(E.TPMs!$S$8:$S$14, INT(($F106-70)/5)*12, $G107*15)))</f>
        <v>#VALUE!</v>
      </c>
      <c r="AB107" s="164" t="e">
        <f t="array" aca="1" ref="AB107:AM107" ca="1">MMULT(AB106:AM106, OFFSET(E.rngTPM_Root, INT(($F106-70)/5)*12, $G107*15))</f>
        <v>#VALUE!</v>
      </c>
      <c r="AC107" s="164" t="e">
        <f ca="1"/>
        <v>#VALUE!</v>
      </c>
      <c r="AD107" s="164" t="e">
        <f ca="1"/>
        <v>#VALUE!</v>
      </c>
      <c r="AE107" s="164" t="e">
        <f ca="1"/>
        <v>#VALUE!</v>
      </c>
      <c r="AF107" s="164" t="e">
        <f ca="1"/>
        <v>#VALUE!</v>
      </c>
      <c r="AG107" s="164" t="e">
        <f ca="1"/>
        <v>#VALUE!</v>
      </c>
      <c r="AH107" s="164" t="e">
        <f ca="1"/>
        <v>#VALUE!</v>
      </c>
      <c r="AI107" s="164" t="e">
        <f ca="1"/>
        <v>#VALUE!</v>
      </c>
      <c r="AJ107" s="164" t="e">
        <f ca="1"/>
        <v>#VALUE!</v>
      </c>
      <c r="AK107" s="164" t="e">
        <f ca="1"/>
        <v>#VALUE!</v>
      </c>
      <c r="AL107" s="164" t="e">
        <f ca="1"/>
        <v>#VALUE!</v>
      </c>
      <c r="AM107" s="164" t="e">
        <f ca="1"/>
        <v>#VALUE!</v>
      </c>
      <c r="AN107" s="128" t="e">
        <f t="shared" ref="AN107:AN131" ca="1" si="63">SUM(AB107:AM107)</f>
        <v>#VALUE!</v>
      </c>
      <c r="AO107" s="141" t="e">
        <f t="shared" ref="AO107:AO131" ca="1" si="64">SUM(AB107:AK107)</f>
        <v>#VALUE!</v>
      </c>
      <c r="AP107" s="141" t="e">
        <f t="shared" ca="1" si="57"/>
        <v>#VALUE!</v>
      </c>
      <c r="AQ107" s="141" t="e" cm="1">
        <f t="array" aca="1" ref="AQ107" ca="1">SUMPRODUCT(AB106:AC106, TRANSPOSE(OFFSET(E.TPMs!$N$8:$N$9, INT(($F106-70)/5)*12, $G107*15)))
+SUMPRODUCT(AB106:AC106, TRANSPOSE(OFFSET(E.TPMs!$O$8:$O$9, INT(($F106-70)/5)*12, $G107*15)))
+SUMPRODUCT(AB106:AC106, TRANSPOSE(OFFSET(E.TPMs!$P$8:$P$9, INT(($F106-70)/5)*12, $G107*15)))</f>
        <v>#VALUE!</v>
      </c>
      <c r="AR107" s="141" t="e">
        <f t="shared" ca="1" si="58"/>
        <v>#VALUE!</v>
      </c>
      <c r="AS107" s="141" t="e" cm="1">
        <f t="array" aca="1" ref="AS107" ca="1">SUMPRODUCT(AB106:AG106, TRANSPOSE(OFFSET(E.TPMs!$R$8:$R$13, INT(($F106-70)/5)*12, $G107*15)))
+SUMPRODUCT(AB106:AG106, TRANSPOSE(OFFSET(E.TPMs!$S$8:$S$13, INT(($F106-70)/5)*12, $G107*15)))</f>
        <v>#VALUE!</v>
      </c>
      <c r="AT107" s="141" t="e" cm="1">
        <f t="array" aca="1" ref="AT107" ca="1">SUMPRODUCT(AB106:AH106, TRANSPOSE(OFFSET(E.TPMs!$S$8:$S$14, INT(($F106-70)/5)*12, $G107*15)))</f>
        <v>#VALUE!</v>
      </c>
    </row>
    <row r="108" spans="4:46" ht="12" customHeight="1" x14ac:dyDescent="0.25">
      <c r="D108" s="62">
        <f t="shared" si="59"/>
        <v>97</v>
      </c>
      <c r="E108" s="62">
        <f>D108*E.cycleLength</f>
        <v>24.25</v>
      </c>
      <c r="F108" s="63">
        <f>E.cohortAge+E108</f>
        <v>94.25</v>
      </c>
      <c r="G108" s="62">
        <f>IF(AND(E107&lt;E.maxDurHPE, E108&gt;=E.maxDurHPE), 1, 0)</f>
        <v>0</v>
      </c>
      <c r="H108" s="164" t="e">
        <f t="array" aca="1" ref="H108:S108" ca="1">MMULT(H107:S107, OFFSET(E.rngTPM_Root, INT(($F107-70)/5)*12, $G108*15))</f>
        <v>#VALUE!</v>
      </c>
      <c r="I108" s="164" t="e">
        <f ca="1"/>
        <v>#VALUE!</v>
      </c>
      <c r="J108" s="164" t="e">
        <f ca="1"/>
        <v>#VALUE!</v>
      </c>
      <c r="K108" s="164" t="e">
        <f ca="1"/>
        <v>#VALUE!</v>
      </c>
      <c r="L108" s="164" t="e">
        <f ca="1"/>
        <v>#VALUE!</v>
      </c>
      <c r="M108" s="164" t="e">
        <f ca="1"/>
        <v>#VALUE!</v>
      </c>
      <c r="N108" s="164" t="e">
        <f ca="1"/>
        <v>#VALUE!</v>
      </c>
      <c r="O108" s="164" t="e">
        <f ca="1"/>
        <v>#VALUE!</v>
      </c>
      <c r="P108" s="164" t="e">
        <f ca="1"/>
        <v>#VALUE!</v>
      </c>
      <c r="Q108" s="164" t="e">
        <f ca="1"/>
        <v>#VALUE!</v>
      </c>
      <c r="R108" s="164" t="e">
        <f ca="1"/>
        <v>#VALUE!</v>
      </c>
      <c r="S108" s="164" t="e">
        <f ca="1"/>
        <v>#VALUE!</v>
      </c>
      <c r="T108" s="128" t="e">
        <f t="shared" ca="1" si="60"/>
        <v>#VALUE!</v>
      </c>
      <c r="U108" s="141" t="e">
        <f t="shared" ca="1" si="61"/>
        <v>#VALUE!</v>
      </c>
      <c r="V108" s="141" t="e">
        <f t="shared" ca="1" si="56"/>
        <v>#VALUE!</v>
      </c>
      <c r="W108" s="141" t="e" cm="1">
        <f t="array" aca="1" ref="W108" ca="1">SUMPRODUCT(H107:I107, TRANSPOSE(OFFSET(E.TPMs!$N$8:$N$9, INT(($F107-70)/5)*12, $G108*15)))
+SUMPRODUCT(H107:I107, TRANSPOSE(OFFSET(E.TPMs!$O$8:$O$9, INT(($F107-70)/5)*12, $G108*15)))
+SUMPRODUCT(H107:I107, TRANSPOSE(OFFSET(E.TPMs!$P$8:$P$9, INT(($F107-70)/5)*12, $G108*15)))</f>
        <v>#VALUE!</v>
      </c>
      <c r="X108" s="141" t="e">
        <f t="shared" ca="1" si="62"/>
        <v>#VALUE!</v>
      </c>
      <c r="Y108" s="141" t="e" cm="1">
        <f t="array" aca="1" ref="Y108" ca="1">SUMPRODUCT(H107:M107, TRANSPOSE(OFFSET(E.TPMs!$R$8:$R$13, INT(($F107-70)/5)*12, $G108*15)))
+SUMPRODUCT(H107:M107, TRANSPOSE(OFFSET(E.TPMs!$S$8:$S$13, INT(($F107-70)/5)*12, $G108*15)))</f>
        <v>#VALUE!</v>
      </c>
      <c r="Z108" s="141" t="e" cm="1">
        <f t="array" aca="1" ref="Z108" ca="1">SUMPRODUCT(H107:N107, TRANSPOSE(OFFSET(E.TPMs!$S$8:$S$14, INT(($F107-70)/5)*12, $G108*15)))</f>
        <v>#VALUE!</v>
      </c>
      <c r="AB108" s="164" t="e">
        <f t="array" aca="1" ref="AB108:AM108" ca="1">MMULT(AB107:AM107, OFFSET(E.rngTPM_Root, INT(($F107-70)/5)*12, $G108*15))</f>
        <v>#VALUE!</v>
      </c>
      <c r="AC108" s="164" t="e">
        <f ca="1"/>
        <v>#VALUE!</v>
      </c>
      <c r="AD108" s="164" t="e">
        <f ca="1"/>
        <v>#VALUE!</v>
      </c>
      <c r="AE108" s="164" t="e">
        <f ca="1"/>
        <v>#VALUE!</v>
      </c>
      <c r="AF108" s="164" t="e">
        <f ca="1"/>
        <v>#VALUE!</v>
      </c>
      <c r="AG108" s="164" t="e">
        <f ca="1"/>
        <v>#VALUE!</v>
      </c>
      <c r="AH108" s="164" t="e">
        <f ca="1"/>
        <v>#VALUE!</v>
      </c>
      <c r="AI108" s="164" t="e">
        <f ca="1"/>
        <v>#VALUE!</v>
      </c>
      <c r="AJ108" s="164" t="e">
        <f ca="1"/>
        <v>#VALUE!</v>
      </c>
      <c r="AK108" s="164" t="e">
        <f ca="1"/>
        <v>#VALUE!</v>
      </c>
      <c r="AL108" s="164" t="e">
        <f ca="1"/>
        <v>#VALUE!</v>
      </c>
      <c r="AM108" s="164" t="e">
        <f ca="1"/>
        <v>#VALUE!</v>
      </c>
      <c r="AN108" s="128" t="e">
        <f t="shared" ca="1" si="63"/>
        <v>#VALUE!</v>
      </c>
      <c r="AO108" s="141" t="e">
        <f t="shared" ca="1" si="64"/>
        <v>#VALUE!</v>
      </c>
      <c r="AP108" s="141" t="e">
        <f t="shared" ca="1" si="57"/>
        <v>#VALUE!</v>
      </c>
      <c r="AQ108" s="141" t="e" cm="1">
        <f t="array" aca="1" ref="AQ108" ca="1">SUMPRODUCT(AB107:AC107, TRANSPOSE(OFFSET(E.TPMs!$N$8:$N$9, INT(($F107-70)/5)*12, $G108*15)))
+SUMPRODUCT(AB107:AC107, TRANSPOSE(OFFSET(E.TPMs!$O$8:$O$9, INT(($F107-70)/5)*12, $G108*15)))
+SUMPRODUCT(AB107:AC107, TRANSPOSE(OFFSET(E.TPMs!$P$8:$P$9, INT(($F107-70)/5)*12, $G108*15)))</f>
        <v>#VALUE!</v>
      </c>
      <c r="AR108" s="141" t="e">
        <f t="shared" ca="1" si="58"/>
        <v>#VALUE!</v>
      </c>
      <c r="AS108" s="141" t="e" cm="1">
        <f t="array" aca="1" ref="AS108" ca="1">SUMPRODUCT(AB107:AG107, TRANSPOSE(OFFSET(E.TPMs!$R$8:$R$13, INT(($F107-70)/5)*12, $G108*15)))
+SUMPRODUCT(AB107:AG107, TRANSPOSE(OFFSET(E.TPMs!$S$8:$S$13, INT(($F107-70)/5)*12, $G108*15)))</f>
        <v>#VALUE!</v>
      </c>
      <c r="AT108" s="141" t="e" cm="1">
        <f t="array" aca="1" ref="AT108" ca="1">SUMPRODUCT(AB107:AH107, TRANSPOSE(OFFSET(E.TPMs!$S$8:$S$14, INT(($F107-70)/5)*12, $G108*15)))</f>
        <v>#VALUE!</v>
      </c>
    </row>
    <row r="109" spans="4:46" ht="12" customHeight="1" x14ac:dyDescent="0.25">
      <c r="D109" s="62">
        <f t="shared" si="59"/>
        <v>98</v>
      </c>
      <c r="E109" s="62">
        <f>D109*E.cycleLength</f>
        <v>24.5</v>
      </c>
      <c r="F109" s="63">
        <f>E.cohortAge+E109</f>
        <v>94.5</v>
      </c>
      <c r="G109" s="62">
        <f>IF(AND(E108&lt;E.maxDurHPE, E109&gt;=E.maxDurHPE), 1, 0)</f>
        <v>0</v>
      </c>
      <c r="H109" s="164" t="e">
        <f t="array" aca="1" ref="H109:S109" ca="1">MMULT(H108:S108, OFFSET(E.rngTPM_Root, INT(($F108-70)/5)*12, $G109*15))</f>
        <v>#VALUE!</v>
      </c>
      <c r="I109" s="164" t="e">
        <f ca="1"/>
        <v>#VALUE!</v>
      </c>
      <c r="J109" s="164" t="e">
        <f ca="1"/>
        <v>#VALUE!</v>
      </c>
      <c r="K109" s="164" t="e">
        <f ca="1"/>
        <v>#VALUE!</v>
      </c>
      <c r="L109" s="164" t="e">
        <f ca="1"/>
        <v>#VALUE!</v>
      </c>
      <c r="M109" s="164" t="e">
        <f ca="1"/>
        <v>#VALUE!</v>
      </c>
      <c r="N109" s="164" t="e">
        <f ca="1"/>
        <v>#VALUE!</v>
      </c>
      <c r="O109" s="164" t="e">
        <f ca="1"/>
        <v>#VALUE!</v>
      </c>
      <c r="P109" s="164" t="e">
        <f ca="1"/>
        <v>#VALUE!</v>
      </c>
      <c r="Q109" s="164" t="e">
        <f ca="1"/>
        <v>#VALUE!</v>
      </c>
      <c r="R109" s="164" t="e">
        <f ca="1"/>
        <v>#VALUE!</v>
      </c>
      <c r="S109" s="164" t="e">
        <f ca="1"/>
        <v>#VALUE!</v>
      </c>
      <c r="T109" s="128" t="e">
        <f t="shared" ca="1" si="60"/>
        <v>#VALUE!</v>
      </c>
      <c r="U109" s="141" t="e">
        <f t="shared" ca="1" si="61"/>
        <v>#VALUE!</v>
      </c>
      <c r="V109" s="141" t="e">
        <f t="shared" ca="1" si="56"/>
        <v>#VALUE!</v>
      </c>
      <c r="W109" s="141" t="e" cm="1">
        <f t="array" aca="1" ref="W109" ca="1">SUMPRODUCT(H108:I108, TRANSPOSE(OFFSET(E.TPMs!$N$8:$N$9, INT(($F108-70)/5)*12, $G109*15)))
+SUMPRODUCT(H108:I108, TRANSPOSE(OFFSET(E.TPMs!$O$8:$O$9, INT(($F108-70)/5)*12, $G109*15)))
+SUMPRODUCT(H108:I108, TRANSPOSE(OFFSET(E.TPMs!$P$8:$P$9, INT(($F108-70)/5)*12, $G109*15)))</f>
        <v>#VALUE!</v>
      </c>
      <c r="X109" s="141" t="e">
        <f t="shared" ca="1" si="62"/>
        <v>#VALUE!</v>
      </c>
      <c r="Y109" s="141" t="e" cm="1">
        <f t="array" aca="1" ref="Y109" ca="1">SUMPRODUCT(H108:M108, TRANSPOSE(OFFSET(E.TPMs!$R$8:$R$13, INT(($F108-70)/5)*12, $G109*15)))
+SUMPRODUCT(H108:M108, TRANSPOSE(OFFSET(E.TPMs!$S$8:$S$13, INT(($F108-70)/5)*12, $G109*15)))</f>
        <v>#VALUE!</v>
      </c>
      <c r="Z109" s="141" t="e" cm="1">
        <f t="array" aca="1" ref="Z109" ca="1">SUMPRODUCT(H108:N108, TRANSPOSE(OFFSET(E.TPMs!$S$8:$S$14, INT(($F108-70)/5)*12, $G109*15)))</f>
        <v>#VALUE!</v>
      </c>
      <c r="AB109" s="164" t="e">
        <f t="array" aca="1" ref="AB109:AM109" ca="1">MMULT(AB108:AM108, OFFSET(E.rngTPM_Root, INT(($F108-70)/5)*12, $G109*15))</f>
        <v>#VALUE!</v>
      </c>
      <c r="AC109" s="164" t="e">
        <f ca="1"/>
        <v>#VALUE!</v>
      </c>
      <c r="AD109" s="164" t="e">
        <f ca="1"/>
        <v>#VALUE!</v>
      </c>
      <c r="AE109" s="164" t="e">
        <f ca="1"/>
        <v>#VALUE!</v>
      </c>
      <c r="AF109" s="164" t="e">
        <f ca="1"/>
        <v>#VALUE!</v>
      </c>
      <c r="AG109" s="164" t="e">
        <f ca="1"/>
        <v>#VALUE!</v>
      </c>
      <c r="AH109" s="164" t="e">
        <f ca="1"/>
        <v>#VALUE!</v>
      </c>
      <c r="AI109" s="164" t="e">
        <f ca="1"/>
        <v>#VALUE!</v>
      </c>
      <c r="AJ109" s="164" t="e">
        <f ca="1"/>
        <v>#VALUE!</v>
      </c>
      <c r="AK109" s="164" t="e">
        <f ca="1"/>
        <v>#VALUE!</v>
      </c>
      <c r="AL109" s="164" t="e">
        <f ca="1"/>
        <v>#VALUE!</v>
      </c>
      <c r="AM109" s="164" t="e">
        <f ca="1"/>
        <v>#VALUE!</v>
      </c>
      <c r="AN109" s="128" t="e">
        <f t="shared" ca="1" si="63"/>
        <v>#VALUE!</v>
      </c>
      <c r="AO109" s="141" t="e">
        <f t="shared" ca="1" si="64"/>
        <v>#VALUE!</v>
      </c>
      <c r="AP109" s="141" t="e">
        <f t="shared" ca="1" si="57"/>
        <v>#VALUE!</v>
      </c>
      <c r="AQ109" s="141" t="e" cm="1">
        <f t="array" aca="1" ref="AQ109" ca="1">SUMPRODUCT(AB108:AC108, TRANSPOSE(OFFSET(E.TPMs!$N$8:$N$9, INT(($F108-70)/5)*12, $G109*15)))
+SUMPRODUCT(AB108:AC108, TRANSPOSE(OFFSET(E.TPMs!$O$8:$O$9, INT(($F108-70)/5)*12, $G109*15)))
+SUMPRODUCT(AB108:AC108, TRANSPOSE(OFFSET(E.TPMs!$P$8:$P$9, INT(($F108-70)/5)*12, $G109*15)))</f>
        <v>#VALUE!</v>
      </c>
      <c r="AR109" s="141" t="e">
        <f t="shared" ca="1" si="58"/>
        <v>#VALUE!</v>
      </c>
      <c r="AS109" s="141" t="e" cm="1">
        <f t="array" aca="1" ref="AS109" ca="1">SUMPRODUCT(AB108:AG108, TRANSPOSE(OFFSET(E.TPMs!$R$8:$R$13, INT(($F108-70)/5)*12, $G109*15)))
+SUMPRODUCT(AB108:AG108, TRANSPOSE(OFFSET(E.TPMs!$S$8:$S$13, INT(($F108-70)/5)*12, $G109*15)))</f>
        <v>#VALUE!</v>
      </c>
      <c r="AT109" s="141" t="e" cm="1">
        <f t="array" aca="1" ref="AT109" ca="1">SUMPRODUCT(AB108:AH108, TRANSPOSE(OFFSET(E.TPMs!$S$8:$S$14, INT(($F108-70)/5)*12, $G109*15)))</f>
        <v>#VALUE!</v>
      </c>
    </row>
    <row r="110" spans="4:46" ht="12" customHeight="1" x14ac:dyDescent="0.25">
      <c r="D110" s="62">
        <f t="shared" si="59"/>
        <v>99</v>
      </c>
      <c r="E110" s="62">
        <f>D110*E.cycleLength</f>
        <v>24.75</v>
      </c>
      <c r="F110" s="63">
        <f>E.cohortAge+E110</f>
        <v>94.75</v>
      </c>
      <c r="G110" s="62">
        <f>IF(AND(E109&lt;E.maxDurHPE, E110&gt;=E.maxDurHPE), 1, 0)</f>
        <v>0</v>
      </c>
      <c r="H110" s="164" t="e">
        <f t="array" aca="1" ref="H110:S110" ca="1">MMULT(H109:S109, OFFSET(E.rngTPM_Root, INT(($F109-70)/5)*12, $G110*15))</f>
        <v>#VALUE!</v>
      </c>
      <c r="I110" s="164" t="e">
        <f ca="1"/>
        <v>#VALUE!</v>
      </c>
      <c r="J110" s="164" t="e">
        <f ca="1"/>
        <v>#VALUE!</v>
      </c>
      <c r="K110" s="164" t="e">
        <f ca="1"/>
        <v>#VALUE!</v>
      </c>
      <c r="L110" s="164" t="e">
        <f ca="1"/>
        <v>#VALUE!</v>
      </c>
      <c r="M110" s="164" t="e">
        <f ca="1"/>
        <v>#VALUE!</v>
      </c>
      <c r="N110" s="164" t="e">
        <f ca="1"/>
        <v>#VALUE!</v>
      </c>
      <c r="O110" s="164" t="e">
        <f ca="1"/>
        <v>#VALUE!</v>
      </c>
      <c r="P110" s="164" t="e">
        <f ca="1"/>
        <v>#VALUE!</v>
      </c>
      <c r="Q110" s="164" t="e">
        <f ca="1"/>
        <v>#VALUE!</v>
      </c>
      <c r="R110" s="164" t="e">
        <f ca="1"/>
        <v>#VALUE!</v>
      </c>
      <c r="S110" s="164" t="e">
        <f ca="1"/>
        <v>#VALUE!</v>
      </c>
      <c r="T110" s="128" t="e">
        <f t="shared" ca="1" si="60"/>
        <v>#VALUE!</v>
      </c>
      <c r="U110" s="141" t="e">
        <f t="shared" ca="1" si="61"/>
        <v>#VALUE!</v>
      </c>
      <c r="V110" s="141" t="e">
        <f t="shared" ca="1" si="56"/>
        <v>#VALUE!</v>
      </c>
      <c r="W110" s="141" t="e" cm="1">
        <f t="array" aca="1" ref="W110" ca="1">SUMPRODUCT(H109:I109, TRANSPOSE(OFFSET(E.TPMs!$N$8:$N$9, INT(($F109-70)/5)*12, $G110*15)))
+SUMPRODUCT(H109:I109, TRANSPOSE(OFFSET(E.TPMs!$O$8:$O$9, INT(($F109-70)/5)*12, $G110*15)))
+SUMPRODUCT(H109:I109, TRANSPOSE(OFFSET(E.TPMs!$P$8:$P$9, INT(($F109-70)/5)*12, $G110*15)))</f>
        <v>#VALUE!</v>
      </c>
      <c r="X110" s="141" t="e">
        <f t="shared" ca="1" si="62"/>
        <v>#VALUE!</v>
      </c>
      <c r="Y110" s="141" t="e" cm="1">
        <f t="array" aca="1" ref="Y110" ca="1">SUMPRODUCT(H109:M109, TRANSPOSE(OFFSET(E.TPMs!$R$8:$R$13, INT(($F109-70)/5)*12, $G110*15)))
+SUMPRODUCT(H109:M109, TRANSPOSE(OFFSET(E.TPMs!$S$8:$S$13, INT(($F109-70)/5)*12, $G110*15)))</f>
        <v>#VALUE!</v>
      </c>
      <c r="Z110" s="141" t="e" cm="1">
        <f t="array" aca="1" ref="Z110" ca="1">SUMPRODUCT(H109:N109, TRANSPOSE(OFFSET(E.TPMs!$S$8:$S$14, INT(($F109-70)/5)*12, $G110*15)))</f>
        <v>#VALUE!</v>
      </c>
      <c r="AB110" s="164" t="e">
        <f t="array" aca="1" ref="AB110:AM110" ca="1">MMULT(AB109:AM109, OFFSET(E.rngTPM_Root, INT(($F109-70)/5)*12, $G110*15))</f>
        <v>#VALUE!</v>
      </c>
      <c r="AC110" s="164" t="e">
        <f ca="1"/>
        <v>#VALUE!</v>
      </c>
      <c r="AD110" s="164" t="e">
        <f ca="1"/>
        <v>#VALUE!</v>
      </c>
      <c r="AE110" s="164" t="e">
        <f ca="1"/>
        <v>#VALUE!</v>
      </c>
      <c r="AF110" s="164" t="e">
        <f ca="1"/>
        <v>#VALUE!</v>
      </c>
      <c r="AG110" s="164" t="e">
        <f ca="1"/>
        <v>#VALUE!</v>
      </c>
      <c r="AH110" s="164" t="e">
        <f ca="1"/>
        <v>#VALUE!</v>
      </c>
      <c r="AI110" s="164" t="e">
        <f ca="1"/>
        <v>#VALUE!</v>
      </c>
      <c r="AJ110" s="164" t="e">
        <f ca="1"/>
        <v>#VALUE!</v>
      </c>
      <c r="AK110" s="164" t="e">
        <f ca="1"/>
        <v>#VALUE!</v>
      </c>
      <c r="AL110" s="164" t="e">
        <f ca="1"/>
        <v>#VALUE!</v>
      </c>
      <c r="AM110" s="164" t="e">
        <f ca="1"/>
        <v>#VALUE!</v>
      </c>
      <c r="AN110" s="128" t="e">
        <f t="shared" ca="1" si="63"/>
        <v>#VALUE!</v>
      </c>
      <c r="AO110" s="141" t="e">
        <f t="shared" ca="1" si="64"/>
        <v>#VALUE!</v>
      </c>
      <c r="AP110" s="141" t="e">
        <f t="shared" ca="1" si="57"/>
        <v>#VALUE!</v>
      </c>
      <c r="AQ110" s="141" t="e" cm="1">
        <f t="array" aca="1" ref="AQ110" ca="1">SUMPRODUCT(AB109:AC109, TRANSPOSE(OFFSET(E.TPMs!$N$8:$N$9, INT(($F109-70)/5)*12, $G110*15)))
+SUMPRODUCT(AB109:AC109, TRANSPOSE(OFFSET(E.TPMs!$O$8:$O$9, INT(($F109-70)/5)*12, $G110*15)))
+SUMPRODUCT(AB109:AC109, TRANSPOSE(OFFSET(E.TPMs!$P$8:$P$9, INT(($F109-70)/5)*12, $G110*15)))</f>
        <v>#VALUE!</v>
      </c>
      <c r="AR110" s="141" t="e">
        <f t="shared" ca="1" si="58"/>
        <v>#VALUE!</v>
      </c>
      <c r="AS110" s="141" t="e" cm="1">
        <f t="array" aca="1" ref="AS110" ca="1">SUMPRODUCT(AB109:AG109, TRANSPOSE(OFFSET(E.TPMs!$R$8:$R$13, INT(($F109-70)/5)*12, $G110*15)))
+SUMPRODUCT(AB109:AG109, TRANSPOSE(OFFSET(E.TPMs!$S$8:$S$13, INT(($F109-70)/5)*12, $G110*15)))</f>
        <v>#VALUE!</v>
      </c>
      <c r="AT110" s="141" t="e" cm="1">
        <f t="array" aca="1" ref="AT110" ca="1">SUMPRODUCT(AB109:AH109, TRANSPOSE(OFFSET(E.TPMs!$S$8:$S$14, INT(($F109-70)/5)*12, $G110*15)))</f>
        <v>#VALUE!</v>
      </c>
    </row>
    <row r="111" spans="4:46" ht="12" customHeight="1" x14ac:dyDescent="0.25">
      <c r="D111" s="62">
        <f t="shared" si="59"/>
        <v>100</v>
      </c>
      <c r="E111" s="62">
        <f>D111*E.cycleLength</f>
        <v>25</v>
      </c>
      <c r="F111" s="63">
        <f>E.cohortAge+E111</f>
        <v>95</v>
      </c>
      <c r="G111" s="62">
        <f>IF(AND(E110&lt;E.maxDurHPE, E111&gt;=E.maxDurHPE), 1, 0)</f>
        <v>0</v>
      </c>
      <c r="H111" s="164" t="e">
        <f t="array" aca="1" ref="H111:S111" ca="1">MMULT(H110:S110, OFFSET(E.rngTPM_Root, INT(($F110-70)/5)*12, $G111*15))</f>
        <v>#VALUE!</v>
      </c>
      <c r="I111" s="164" t="e">
        <f ca="1"/>
        <v>#VALUE!</v>
      </c>
      <c r="J111" s="164" t="e">
        <f ca="1"/>
        <v>#VALUE!</v>
      </c>
      <c r="K111" s="164" t="e">
        <f ca="1"/>
        <v>#VALUE!</v>
      </c>
      <c r="L111" s="164" t="e">
        <f ca="1"/>
        <v>#VALUE!</v>
      </c>
      <c r="M111" s="164" t="e">
        <f ca="1"/>
        <v>#VALUE!</v>
      </c>
      <c r="N111" s="164" t="e">
        <f ca="1"/>
        <v>#VALUE!</v>
      </c>
      <c r="O111" s="164" t="e">
        <f ca="1"/>
        <v>#VALUE!</v>
      </c>
      <c r="P111" s="164" t="e">
        <f ca="1"/>
        <v>#VALUE!</v>
      </c>
      <c r="Q111" s="164" t="e">
        <f ca="1"/>
        <v>#VALUE!</v>
      </c>
      <c r="R111" s="164" t="e">
        <f ca="1"/>
        <v>#VALUE!</v>
      </c>
      <c r="S111" s="164" t="e">
        <f ca="1"/>
        <v>#VALUE!</v>
      </c>
      <c r="T111" s="128" t="e">
        <f t="shared" ca="1" si="60"/>
        <v>#VALUE!</v>
      </c>
      <c r="U111" s="141" t="e">
        <f t="shared" ca="1" si="61"/>
        <v>#VALUE!</v>
      </c>
      <c r="V111" s="141" t="e">
        <f t="shared" ca="1" si="56"/>
        <v>#VALUE!</v>
      </c>
      <c r="W111" s="141" t="e" cm="1">
        <f t="array" aca="1" ref="W111" ca="1">SUMPRODUCT(H110:I110, TRANSPOSE(OFFSET(E.TPMs!$N$8:$N$9, INT(($F110-70)/5)*12, $G111*15)))
+SUMPRODUCT(H110:I110, TRANSPOSE(OFFSET(E.TPMs!$O$8:$O$9, INT(($F110-70)/5)*12, $G111*15)))
+SUMPRODUCT(H110:I110, TRANSPOSE(OFFSET(E.TPMs!$P$8:$P$9, INT(($F110-70)/5)*12, $G111*15)))</f>
        <v>#VALUE!</v>
      </c>
      <c r="X111" s="141" t="e">
        <f t="shared" ca="1" si="62"/>
        <v>#VALUE!</v>
      </c>
      <c r="Y111" s="141" t="e" cm="1">
        <f t="array" aca="1" ref="Y111" ca="1">SUMPRODUCT(H110:M110, TRANSPOSE(OFFSET(E.TPMs!$R$8:$R$13, INT(($F110-70)/5)*12, $G111*15)))
+SUMPRODUCT(H110:M110, TRANSPOSE(OFFSET(E.TPMs!$S$8:$S$13, INT(($F110-70)/5)*12, $G111*15)))</f>
        <v>#VALUE!</v>
      </c>
      <c r="Z111" s="141" t="e" cm="1">
        <f t="array" aca="1" ref="Z111" ca="1">SUMPRODUCT(H110:N110, TRANSPOSE(OFFSET(E.TPMs!$S$8:$S$14, INT(($F110-70)/5)*12, $G111*15)))</f>
        <v>#VALUE!</v>
      </c>
      <c r="AB111" s="164" t="e">
        <f t="array" aca="1" ref="AB111:AM111" ca="1">MMULT(AB110:AM110, OFFSET(E.rngTPM_Root, INT(($F110-70)/5)*12, $G111*15))</f>
        <v>#VALUE!</v>
      </c>
      <c r="AC111" s="164" t="e">
        <f ca="1"/>
        <v>#VALUE!</v>
      </c>
      <c r="AD111" s="164" t="e">
        <f ca="1"/>
        <v>#VALUE!</v>
      </c>
      <c r="AE111" s="164" t="e">
        <f ca="1"/>
        <v>#VALUE!</v>
      </c>
      <c r="AF111" s="164" t="e">
        <f ca="1"/>
        <v>#VALUE!</v>
      </c>
      <c r="AG111" s="164" t="e">
        <f ca="1"/>
        <v>#VALUE!</v>
      </c>
      <c r="AH111" s="164" t="e">
        <f ca="1"/>
        <v>#VALUE!</v>
      </c>
      <c r="AI111" s="164" t="e">
        <f ca="1"/>
        <v>#VALUE!</v>
      </c>
      <c r="AJ111" s="164" t="e">
        <f ca="1"/>
        <v>#VALUE!</v>
      </c>
      <c r="AK111" s="164" t="e">
        <f ca="1"/>
        <v>#VALUE!</v>
      </c>
      <c r="AL111" s="164" t="e">
        <f ca="1"/>
        <v>#VALUE!</v>
      </c>
      <c r="AM111" s="164" t="e">
        <f ca="1"/>
        <v>#VALUE!</v>
      </c>
      <c r="AN111" s="128" t="e">
        <f t="shared" ca="1" si="63"/>
        <v>#VALUE!</v>
      </c>
      <c r="AO111" s="141" t="e">
        <f t="shared" ca="1" si="64"/>
        <v>#VALUE!</v>
      </c>
      <c r="AP111" s="141" t="e">
        <f t="shared" ca="1" si="57"/>
        <v>#VALUE!</v>
      </c>
      <c r="AQ111" s="141" t="e" cm="1">
        <f t="array" aca="1" ref="AQ111" ca="1">SUMPRODUCT(AB110:AC110, TRANSPOSE(OFFSET(E.TPMs!$N$8:$N$9, INT(($F110-70)/5)*12, $G111*15)))
+SUMPRODUCT(AB110:AC110, TRANSPOSE(OFFSET(E.TPMs!$O$8:$O$9, INT(($F110-70)/5)*12, $G111*15)))
+SUMPRODUCT(AB110:AC110, TRANSPOSE(OFFSET(E.TPMs!$P$8:$P$9, INT(($F110-70)/5)*12, $G111*15)))</f>
        <v>#VALUE!</v>
      </c>
      <c r="AR111" s="141" t="e">
        <f t="shared" ca="1" si="58"/>
        <v>#VALUE!</v>
      </c>
      <c r="AS111" s="141" t="e" cm="1">
        <f t="array" aca="1" ref="AS111" ca="1">SUMPRODUCT(AB110:AG110, TRANSPOSE(OFFSET(E.TPMs!$R$8:$R$13, INT(($F110-70)/5)*12, $G111*15)))
+SUMPRODUCT(AB110:AG110, TRANSPOSE(OFFSET(E.TPMs!$S$8:$S$13, INT(($F110-70)/5)*12, $G111*15)))</f>
        <v>#VALUE!</v>
      </c>
      <c r="AT111" s="141" t="e" cm="1">
        <f t="array" aca="1" ref="AT111" ca="1">SUMPRODUCT(AB110:AH110, TRANSPOSE(OFFSET(E.TPMs!$S$8:$S$14, INT(($F110-70)/5)*12, $G111*15)))</f>
        <v>#VALUE!</v>
      </c>
    </row>
    <row r="112" spans="4:46" ht="12" customHeight="1" x14ac:dyDescent="0.25">
      <c r="D112" s="62">
        <f t="shared" si="59"/>
        <v>101</v>
      </c>
      <c r="E112" s="62">
        <f t="shared" ref="E112:E131" si="65">D112*E.cycleLength</f>
        <v>25.25</v>
      </c>
      <c r="F112" s="63">
        <f t="shared" ref="F112:F131" si="66">E.cohortAge+E112</f>
        <v>95.25</v>
      </c>
      <c r="G112" s="62">
        <f>IF(AND(E111&lt;E.maxDurHPE, E112&gt;=E.maxDurHPE), 1, 0)</f>
        <v>0</v>
      </c>
      <c r="H112" s="164" t="e">
        <f t="array" aca="1" ref="H112:S112" ca="1">MMULT(H111:S111, OFFSET(E.rngTPM_Root, INT(($F111-70)/5)*12, $G112*15))</f>
        <v>#VALUE!</v>
      </c>
      <c r="I112" s="164" t="e">
        <f ca="1"/>
        <v>#VALUE!</v>
      </c>
      <c r="J112" s="164" t="e">
        <f ca="1"/>
        <v>#VALUE!</v>
      </c>
      <c r="K112" s="164" t="e">
        <f ca="1"/>
        <v>#VALUE!</v>
      </c>
      <c r="L112" s="164" t="e">
        <f ca="1"/>
        <v>#VALUE!</v>
      </c>
      <c r="M112" s="164" t="e">
        <f ca="1"/>
        <v>#VALUE!</v>
      </c>
      <c r="N112" s="164" t="e">
        <f ca="1"/>
        <v>#VALUE!</v>
      </c>
      <c r="O112" s="164" t="e">
        <f ca="1"/>
        <v>#VALUE!</v>
      </c>
      <c r="P112" s="164" t="e">
        <f ca="1"/>
        <v>#VALUE!</v>
      </c>
      <c r="Q112" s="164" t="e">
        <f ca="1"/>
        <v>#VALUE!</v>
      </c>
      <c r="R112" s="164" t="e">
        <f ca="1"/>
        <v>#VALUE!</v>
      </c>
      <c r="S112" s="164" t="e">
        <f ca="1"/>
        <v>#VALUE!</v>
      </c>
      <c r="T112" s="128" t="e">
        <f t="shared" ca="1" si="60"/>
        <v>#VALUE!</v>
      </c>
      <c r="U112" s="141" t="e">
        <f t="shared" ca="1" si="61"/>
        <v>#VALUE!</v>
      </c>
      <c r="V112" s="141" t="e">
        <f t="shared" ca="1" si="56"/>
        <v>#VALUE!</v>
      </c>
      <c r="W112" s="141" t="e" cm="1">
        <f t="array" aca="1" ref="W112" ca="1">SUMPRODUCT(H111:I111, TRANSPOSE(OFFSET(E.TPMs!$N$8:$N$9, INT(($F111-70)/5)*12, $G112*15)))
+SUMPRODUCT(H111:I111, TRANSPOSE(OFFSET(E.TPMs!$O$8:$O$9, INT(($F111-70)/5)*12, $G112*15)))
+SUMPRODUCT(H111:I111, TRANSPOSE(OFFSET(E.TPMs!$P$8:$P$9, INT(($F111-70)/5)*12, $G112*15)))</f>
        <v>#VALUE!</v>
      </c>
      <c r="X112" s="141" t="e">
        <f t="shared" ca="1" si="62"/>
        <v>#VALUE!</v>
      </c>
      <c r="Y112" s="141" t="e" cm="1">
        <f t="array" aca="1" ref="Y112" ca="1">SUMPRODUCT(H111:M111, TRANSPOSE(OFFSET(E.TPMs!$R$8:$R$13, INT(($F111-70)/5)*12, $G112*15)))
+SUMPRODUCT(H111:M111, TRANSPOSE(OFFSET(E.TPMs!$S$8:$S$13, INT(($F111-70)/5)*12, $G112*15)))</f>
        <v>#VALUE!</v>
      </c>
      <c r="Z112" s="141" t="e" cm="1">
        <f t="array" aca="1" ref="Z112" ca="1">SUMPRODUCT(H111:N111, TRANSPOSE(OFFSET(E.TPMs!$S$8:$S$14, INT(($F111-70)/5)*12, $G112*15)))</f>
        <v>#VALUE!</v>
      </c>
      <c r="AB112" s="164" t="e">
        <f t="array" aca="1" ref="AB112:AM112" ca="1">MMULT(AB111:AM111, OFFSET(E.rngTPM_Root, INT(($F111-70)/5)*12, $G112*15))</f>
        <v>#VALUE!</v>
      </c>
      <c r="AC112" s="164" t="e">
        <f ca="1"/>
        <v>#VALUE!</v>
      </c>
      <c r="AD112" s="164" t="e">
        <f ca="1"/>
        <v>#VALUE!</v>
      </c>
      <c r="AE112" s="164" t="e">
        <f ca="1"/>
        <v>#VALUE!</v>
      </c>
      <c r="AF112" s="164" t="e">
        <f ca="1"/>
        <v>#VALUE!</v>
      </c>
      <c r="AG112" s="164" t="e">
        <f ca="1"/>
        <v>#VALUE!</v>
      </c>
      <c r="AH112" s="164" t="e">
        <f ca="1"/>
        <v>#VALUE!</v>
      </c>
      <c r="AI112" s="164" t="e">
        <f ca="1"/>
        <v>#VALUE!</v>
      </c>
      <c r="AJ112" s="164" t="e">
        <f ca="1"/>
        <v>#VALUE!</v>
      </c>
      <c r="AK112" s="164" t="e">
        <f ca="1"/>
        <v>#VALUE!</v>
      </c>
      <c r="AL112" s="164" t="e">
        <f ca="1"/>
        <v>#VALUE!</v>
      </c>
      <c r="AM112" s="164" t="e">
        <f ca="1"/>
        <v>#VALUE!</v>
      </c>
      <c r="AN112" s="128" t="e">
        <f t="shared" ca="1" si="63"/>
        <v>#VALUE!</v>
      </c>
      <c r="AO112" s="141" t="e">
        <f t="shared" ca="1" si="64"/>
        <v>#VALUE!</v>
      </c>
      <c r="AP112" s="141" t="e">
        <f t="shared" ca="1" si="57"/>
        <v>#VALUE!</v>
      </c>
      <c r="AQ112" s="141" t="e" cm="1">
        <f t="array" aca="1" ref="AQ112" ca="1">SUMPRODUCT(AB111:AC111, TRANSPOSE(OFFSET(E.TPMs!$N$8:$N$9, INT(($F111-70)/5)*12, $G112*15)))
+SUMPRODUCT(AB111:AC111, TRANSPOSE(OFFSET(E.TPMs!$O$8:$O$9, INT(($F111-70)/5)*12, $G112*15)))
+SUMPRODUCT(AB111:AC111, TRANSPOSE(OFFSET(E.TPMs!$P$8:$P$9, INT(($F111-70)/5)*12, $G112*15)))</f>
        <v>#VALUE!</v>
      </c>
      <c r="AR112" s="141" t="e">
        <f t="shared" ca="1" si="58"/>
        <v>#VALUE!</v>
      </c>
      <c r="AS112" s="141" t="e" cm="1">
        <f t="array" aca="1" ref="AS112" ca="1">SUMPRODUCT(AB111:AG111, TRANSPOSE(OFFSET(E.TPMs!$R$8:$R$13, INT(($F111-70)/5)*12, $G112*15)))
+SUMPRODUCT(AB111:AG111, TRANSPOSE(OFFSET(E.TPMs!$S$8:$S$13, INT(($F111-70)/5)*12, $G112*15)))</f>
        <v>#VALUE!</v>
      </c>
      <c r="AT112" s="141" t="e" cm="1">
        <f t="array" aca="1" ref="AT112" ca="1">SUMPRODUCT(AB111:AH111, TRANSPOSE(OFFSET(E.TPMs!$S$8:$S$14, INT(($F111-70)/5)*12, $G112*15)))</f>
        <v>#VALUE!</v>
      </c>
    </row>
    <row r="113" spans="4:46" ht="12" customHeight="1" x14ac:dyDescent="0.25">
      <c r="D113" s="62">
        <f t="shared" si="59"/>
        <v>102</v>
      </c>
      <c r="E113" s="62">
        <f t="shared" si="65"/>
        <v>25.5</v>
      </c>
      <c r="F113" s="63">
        <f t="shared" si="66"/>
        <v>95.5</v>
      </c>
      <c r="G113" s="62">
        <f>IF(AND(E112&lt;E.maxDurHPE, E113&gt;=E.maxDurHPE), 1, 0)</f>
        <v>0</v>
      </c>
      <c r="H113" s="164" t="e">
        <f t="array" aca="1" ref="H113:S113" ca="1">MMULT(H112:S112, OFFSET(E.rngTPM_Root, INT(($F112-70)/5)*12, $G113*15))</f>
        <v>#VALUE!</v>
      </c>
      <c r="I113" s="164" t="e">
        <f ca="1"/>
        <v>#VALUE!</v>
      </c>
      <c r="J113" s="164" t="e">
        <f ca="1"/>
        <v>#VALUE!</v>
      </c>
      <c r="K113" s="164" t="e">
        <f ca="1"/>
        <v>#VALUE!</v>
      </c>
      <c r="L113" s="164" t="e">
        <f ca="1"/>
        <v>#VALUE!</v>
      </c>
      <c r="M113" s="164" t="e">
        <f ca="1"/>
        <v>#VALUE!</v>
      </c>
      <c r="N113" s="164" t="e">
        <f ca="1"/>
        <v>#VALUE!</v>
      </c>
      <c r="O113" s="164" t="e">
        <f ca="1"/>
        <v>#VALUE!</v>
      </c>
      <c r="P113" s="164" t="e">
        <f ca="1"/>
        <v>#VALUE!</v>
      </c>
      <c r="Q113" s="164" t="e">
        <f ca="1"/>
        <v>#VALUE!</v>
      </c>
      <c r="R113" s="164" t="e">
        <f ca="1"/>
        <v>#VALUE!</v>
      </c>
      <c r="S113" s="164" t="e">
        <f ca="1"/>
        <v>#VALUE!</v>
      </c>
      <c r="T113" s="128" t="e">
        <f t="shared" ca="1" si="60"/>
        <v>#VALUE!</v>
      </c>
      <c r="U113" s="141" t="e">
        <f t="shared" ca="1" si="61"/>
        <v>#VALUE!</v>
      </c>
      <c r="V113" s="141" t="e">
        <f t="shared" ca="1" si="56"/>
        <v>#VALUE!</v>
      </c>
      <c r="W113" s="141" t="e" cm="1">
        <f t="array" aca="1" ref="W113" ca="1">SUMPRODUCT(H112:I112, TRANSPOSE(OFFSET(E.TPMs!$N$8:$N$9, INT(($F112-70)/5)*12, $G113*15)))
+SUMPRODUCT(H112:I112, TRANSPOSE(OFFSET(E.TPMs!$O$8:$O$9, INT(($F112-70)/5)*12, $G113*15)))
+SUMPRODUCT(H112:I112, TRANSPOSE(OFFSET(E.TPMs!$P$8:$P$9, INT(($F112-70)/5)*12, $G113*15)))</f>
        <v>#VALUE!</v>
      </c>
      <c r="X113" s="141" t="e">
        <f t="shared" ca="1" si="62"/>
        <v>#VALUE!</v>
      </c>
      <c r="Y113" s="141" t="e" cm="1">
        <f t="array" aca="1" ref="Y113" ca="1">SUMPRODUCT(H112:M112, TRANSPOSE(OFFSET(E.TPMs!$R$8:$R$13, INT(($F112-70)/5)*12, $G113*15)))
+SUMPRODUCT(H112:M112, TRANSPOSE(OFFSET(E.TPMs!$S$8:$S$13, INT(($F112-70)/5)*12, $G113*15)))</f>
        <v>#VALUE!</v>
      </c>
      <c r="Z113" s="141" t="e" cm="1">
        <f t="array" aca="1" ref="Z113" ca="1">SUMPRODUCT(H112:N112, TRANSPOSE(OFFSET(E.TPMs!$S$8:$S$14, INT(($F112-70)/5)*12, $G113*15)))</f>
        <v>#VALUE!</v>
      </c>
      <c r="AB113" s="164" t="e">
        <f t="array" aca="1" ref="AB113:AM113" ca="1">MMULT(AB112:AM112, OFFSET(E.rngTPM_Root, INT(($F112-70)/5)*12, $G113*15))</f>
        <v>#VALUE!</v>
      </c>
      <c r="AC113" s="164" t="e">
        <f ca="1"/>
        <v>#VALUE!</v>
      </c>
      <c r="AD113" s="164" t="e">
        <f ca="1"/>
        <v>#VALUE!</v>
      </c>
      <c r="AE113" s="164" t="e">
        <f ca="1"/>
        <v>#VALUE!</v>
      </c>
      <c r="AF113" s="164" t="e">
        <f ca="1"/>
        <v>#VALUE!</v>
      </c>
      <c r="AG113" s="164" t="e">
        <f ca="1"/>
        <v>#VALUE!</v>
      </c>
      <c r="AH113" s="164" t="e">
        <f ca="1"/>
        <v>#VALUE!</v>
      </c>
      <c r="AI113" s="164" t="e">
        <f ca="1"/>
        <v>#VALUE!</v>
      </c>
      <c r="AJ113" s="164" t="e">
        <f ca="1"/>
        <v>#VALUE!</v>
      </c>
      <c r="AK113" s="164" t="e">
        <f ca="1"/>
        <v>#VALUE!</v>
      </c>
      <c r="AL113" s="164" t="e">
        <f ca="1"/>
        <v>#VALUE!</v>
      </c>
      <c r="AM113" s="164" t="e">
        <f ca="1"/>
        <v>#VALUE!</v>
      </c>
      <c r="AN113" s="128" t="e">
        <f t="shared" ca="1" si="63"/>
        <v>#VALUE!</v>
      </c>
      <c r="AO113" s="141" t="e">
        <f t="shared" ca="1" si="64"/>
        <v>#VALUE!</v>
      </c>
      <c r="AP113" s="141" t="e">
        <f t="shared" ca="1" si="57"/>
        <v>#VALUE!</v>
      </c>
      <c r="AQ113" s="141" t="e" cm="1">
        <f t="array" aca="1" ref="AQ113" ca="1">SUMPRODUCT(AB112:AC112, TRANSPOSE(OFFSET(E.TPMs!$N$8:$N$9, INT(($F112-70)/5)*12, $G113*15)))
+SUMPRODUCT(AB112:AC112, TRANSPOSE(OFFSET(E.TPMs!$O$8:$O$9, INT(($F112-70)/5)*12, $G113*15)))
+SUMPRODUCT(AB112:AC112, TRANSPOSE(OFFSET(E.TPMs!$P$8:$P$9, INT(($F112-70)/5)*12, $G113*15)))</f>
        <v>#VALUE!</v>
      </c>
      <c r="AR113" s="141" t="e">
        <f t="shared" ca="1" si="58"/>
        <v>#VALUE!</v>
      </c>
      <c r="AS113" s="141" t="e" cm="1">
        <f t="array" aca="1" ref="AS113" ca="1">SUMPRODUCT(AB112:AG112, TRANSPOSE(OFFSET(E.TPMs!$R$8:$R$13, INT(($F112-70)/5)*12, $G113*15)))
+SUMPRODUCT(AB112:AG112, TRANSPOSE(OFFSET(E.TPMs!$S$8:$S$13, INT(($F112-70)/5)*12, $G113*15)))</f>
        <v>#VALUE!</v>
      </c>
      <c r="AT113" s="141" t="e" cm="1">
        <f t="array" aca="1" ref="AT113" ca="1">SUMPRODUCT(AB112:AH112, TRANSPOSE(OFFSET(E.TPMs!$S$8:$S$14, INT(($F112-70)/5)*12, $G113*15)))</f>
        <v>#VALUE!</v>
      </c>
    </row>
    <row r="114" spans="4:46" ht="12" customHeight="1" x14ac:dyDescent="0.25">
      <c r="D114" s="62">
        <f t="shared" si="59"/>
        <v>103</v>
      </c>
      <c r="E114" s="62">
        <f t="shared" si="65"/>
        <v>25.75</v>
      </c>
      <c r="F114" s="63">
        <f t="shared" si="66"/>
        <v>95.75</v>
      </c>
      <c r="G114" s="62">
        <f>IF(AND(E113&lt;E.maxDurHPE, E114&gt;=E.maxDurHPE), 1, 0)</f>
        <v>0</v>
      </c>
      <c r="H114" s="164" t="e">
        <f t="array" aca="1" ref="H114:S114" ca="1">MMULT(H113:S113, OFFSET(E.rngTPM_Root, INT(($F113-70)/5)*12, $G114*15))</f>
        <v>#VALUE!</v>
      </c>
      <c r="I114" s="164" t="e">
        <f ca="1"/>
        <v>#VALUE!</v>
      </c>
      <c r="J114" s="164" t="e">
        <f ca="1"/>
        <v>#VALUE!</v>
      </c>
      <c r="K114" s="164" t="e">
        <f ca="1"/>
        <v>#VALUE!</v>
      </c>
      <c r="L114" s="164" t="e">
        <f ca="1"/>
        <v>#VALUE!</v>
      </c>
      <c r="M114" s="164" t="e">
        <f ca="1"/>
        <v>#VALUE!</v>
      </c>
      <c r="N114" s="164" t="e">
        <f ca="1"/>
        <v>#VALUE!</v>
      </c>
      <c r="O114" s="164" t="e">
        <f ca="1"/>
        <v>#VALUE!</v>
      </c>
      <c r="P114" s="164" t="e">
        <f ca="1"/>
        <v>#VALUE!</v>
      </c>
      <c r="Q114" s="164" t="e">
        <f ca="1"/>
        <v>#VALUE!</v>
      </c>
      <c r="R114" s="164" t="e">
        <f ca="1"/>
        <v>#VALUE!</v>
      </c>
      <c r="S114" s="164" t="e">
        <f ca="1"/>
        <v>#VALUE!</v>
      </c>
      <c r="T114" s="128" t="e">
        <f t="shared" ca="1" si="60"/>
        <v>#VALUE!</v>
      </c>
      <c r="U114" s="141" t="e">
        <f t="shared" ca="1" si="61"/>
        <v>#VALUE!</v>
      </c>
      <c r="V114" s="141" t="e">
        <f t="shared" ca="1" si="56"/>
        <v>#VALUE!</v>
      </c>
      <c r="W114" s="141" t="e" cm="1">
        <f t="array" aca="1" ref="W114" ca="1">SUMPRODUCT(H113:I113, TRANSPOSE(OFFSET(E.TPMs!$N$8:$N$9, INT(($F113-70)/5)*12, $G114*15)))
+SUMPRODUCT(H113:I113, TRANSPOSE(OFFSET(E.TPMs!$O$8:$O$9, INT(($F113-70)/5)*12, $G114*15)))
+SUMPRODUCT(H113:I113, TRANSPOSE(OFFSET(E.TPMs!$P$8:$P$9, INT(($F113-70)/5)*12, $G114*15)))</f>
        <v>#VALUE!</v>
      </c>
      <c r="X114" s="141" t="e">
        <f t="shared" ca="1" si="62"/>
        <v>#VALUE!</v>
      </c>
      <c r="Y114" s="141" t="e" cm="1">
        <f t="array" aca="1" ref="Y114" ca="1">SUMPRODUCT(H113:M113, TRANSPOSE(OFFSET(E.TPMs!$R$8:$R$13, INT(($F113-70)/5)*12, $G114*15)))
+SUMPRODUCT(H113:M113, TRANSPOSE(OFFSET(E.TPMs!$S$8:$S$13, INT(($F113-70)/5)*12, $G114*15)))</f>
        <v>#VALUE!</v>
      </c>
      <c r="Z114" s="141" t="e" cm="1">
        <f t="array" aca="1" ref="Z114" ca="1">SUMPRODUCT(H113:N113, TRANSPOSE(OFFSET(E.TPMs!$S$8:$S$14, INT(($F113-70)/5)*12, $G114*15)))</f>
        <v>#VALUE!</v>
      </c>
      <c r="AB114" s="164" t="e">
        <f t="array" aca="1" ref="AB114:AM114" ca="1">MMULT(AB113:AM113, OFFSET(E.rngTPM_Root, INT(($F113-70)/5)*12, $G114*15))</f>
        <v>#VALUE!</v>
      </c>
      <c r="AC114" s="164" t="e">
        <f ca="1"/>
        <v>#VALUE!</v>
      </c>
      <c r="AD114" s="164" t="e">
        <f ca="1"/>
        <v>#VALUE!</v>
      </c>
      <c r="AE114" s="164" t="e">
        <f ca="1"/>
        <v>#VALUE!</v>
      </c>
      <c r="AF114" s="164" t="e">
        <f ca="1"/>
        <v>#VALUE!</v>
      </c>
      <c r="AG114" s="164" t="e">
        <f ca="1"/>
        <v>#VALUE!</v>
      </c>
      <c r="AH114" s="164" t="e">
        <f ca="1"/>
        <v>#VALUE!</v>
      </c>
      <c r="AI114" s="164" t="e">
        <f ca="1"/>
        <v>#VALUE!</v>
      </c>
      <c r="AJ114" s="164" t="e">
        <f ca="1"/>
        <v>#VALUE!</v>
      </c>
      <c r="AK114" s="164" t="e">
        <f ca="1"/>
        <v>#VALUE!</v>
      </c>
      <c r="AL114" s="164" t="e">
        <f ca="1"/>
        <v>#VALUE!</v>
      </c>
      <c r="AM114" s="164" t="e">
        <f ca="1"/>
        <v>#VALUE!</v>
      </c>
      <c r="AN114" s="128" t="e">
        <f t="shared" ca="1" si="63"/>
        <v>#VALUE!</v>
      </c>
      <c r="AO114" s="141" t="e">
        <f t="shared" ca="1" si="64"/>
        <v>#VALUE!</v>
      </c>
      <c r="AP114" s="141" t="e">
        <f t="shared" ca="1" si="57"/>
        <v>#VALUE!</v>
      </c>
      <c r="AQ114" s="141" t="e" cm="1">
        <f t="array" aca="1" ref="AQ114" ca="1">SUMPRODUCT(AB113:AC113, TRANSPOSE(OFFSET(E.TPMs!$N$8:$N$9, INT(($F113-70)/5)*12, $G114*15)))
+SUMPRODUCT(AB113:AC113, TRANSPOSE(OFFSET(E.TPMs!$O$8:$O$9, INT(($F113-70)/5)*12, $G114*15)))
+SUMPRODUCT(AB113:AC113, TRANSPOSE(OFFSET(E.TPMs!$P$8:$P$9, INT(($F113-70)/5)*12, $G114*15)))</f>
        <v>#VALUE!</v>
      </c>
      <c r="AR114" s="141" t="e">
        <f t="shared" ca="1" si="58"/>
        <v>#VALUE!</v>
      </c>
      <c r="AS114" s="141" t="e" cm="1">
        <f t="array" aca="1" ref="AS114" ca="1">SUMPRODUCT(AB113:AG113, TRANSPOSE(OFFSET(E.TPMs!$R$8:$R$13, INT(($F113-70)/5)*12, $G114*15)))
+SUMPRODUCT(AB113:AG113, TRANSPOSE(OFFSET(E.TPMs!$S$8:$S$13, INT(($F113-70)/5)*12, $G114*15)))</f>
        <v>#VALUE!</v>
      </c>
      <c r="AT114" s="141" t="e" cm="1">
        <f t="array" aca="1" ref="AT114" ca="1">SUMPRODUCT(AB113:AH113, TRANSPOSE(OFFSET(E.TPMs!$S$8:$S$14, INT(($F113-70)/5)*12, $G114*15)))</f>
        <v>#VALUE!</v>
      </c>
    </row>
    <row r="115" spans="4:46" ht="12" customHeight="1" x14ac:dyDescent="0.25">
      <c r="D115" s="62">
        <f t="shared" si="59"/>
        <v>104</v>
      </c>
      <c r="E115" s="62">
        <f t="shared" si="65"/>
        <v>26</v>
      </c>
      <c r="F115" s="63">
        <f t="shared" si="66"/>
        <v>96</v>
      </c>
      <c r="G115" s="62">
        <f>IF(AND(E114&lt;E.maxDurHPE, E115&gt;=E.maxDurHPE), 1, 0)</f>
        <v>0</v>
      </c>
      <c r="H115" s="164" t="e">
        <f t="array" aca="1" ref="H115:S115" ca="1">MMULT(H114:S114, OFFSET(E.rngTPM_Root, INT(($F114-70)/5)*12, $G115*15))</f>
        <v>#VALUE!</v>
      </c>
      <c r="I115" s="164" t="e">
        <f ca="1"/>
        <v>#VALUE!</v>
      </c>
      <c r="J115" s="164" t="e">
        <f ca="1"/>
        <v>#VALUE!</v>
      </c>
      <c r="K115" s="164" t="e">
        <f ca="1"/>
        <v>#VALUE!</v>
      </c>
      <c r="L115" s="164" t="e">
        <f ca="1"/>
        <v>#VALUE!</v>
      </c>
      <c r="M115" s="164" t="e">
        <f ca="1"/>
        <v>#VALUE!</v>
      </c>
      <c r="N115" s="164" t="e">
        <f ca="1"/>
        <v>#VALUE!</v>
      </c>
      <c r="O115" s="164" t="e">
        <f ca="1"/>
        <v>#VALUE!</v>
      </c>
      <c r="P115" s="164" t="e">
        <f ca="1"/>
        <v>#VALUE!</v>
      </c>
      <c r="Q115" s="164" t="e">
        <f ca="1"/>
        <v>#VALUE!</v>
      </c>
      <c r="R115" s="164" t="e">
        <f ca="1"/>
        <v>#VALUE!</v>
      </c>
      <c r="S115" s="164" t="e">
        <f ca="1"/>
        <v>#VALUE!</v>
      </c>
      <c r="T115" s="128" t="e">
        <f t="shared" ca="1" si="60"/>
        <v>#VALUE!</v>
      </c>
      <c r="U115" s="141" t="e">
        <f t="shared" ca="1" si="61"/>
        <v>#VALUE!</v>
      </c>
      <c r="V115" s="141" t="e">
        <f t="shared" ca="1" si="56"/>
        <v>#VALUE!</v>
      </c>
      <c r="W115" s="141" t="e" cm="1">
        <f t="array" aca="1" ref="W115" ca="1">SUMPRODUCT(H114:I114, TRANSPOSE(OFFSET(E.TPMs!$N$8:$N$9, INT(($F114-70)/5)*12, $G115*15)))
+SUMPRODUCT(H114:I114, TRANSPOSE(OFFSET(E.TPMs!$O$8:$O$9, INT(($F114-70)/5)*12, $G115*15)))
+SUMPRODUCT(H114:I114, TRANSPOSE(OFFSET(E.TPMs!$P$8:$P$9, INT(($F114-70)/5)*12, $G115*15)))</f>
        <v>#VALUE!</v>
      </c>
      <c r="X115" s="141" t="e">
        <f t="shared" ca="1" si="62"/>
        <v>#VALUE!</v>
      </c>
      <c r="Y115" s="141" t="e" cm="1">
        <f t="array" aca="1" ref="Y115" ca="1">SUMPRODUCT(H114:M114, TRANSPOSE(OFFSET(E.TPMs!$R$8:$R$13, INT(($F114-70)/5)*12, $G115*15)))
+SUMPRODUCT(H114:M114, TRANSPOSE(OFFSET(E.TPMs!$S$8:$S$13, INT(($F114-70)/5)*12, $G115*15)))</f>
        <v>#VALUE!</v>
      </c>
      <c r="Z115" s="141" t="e" cm="1">
        <f t="array" aca="1" ref="Z115" ca="1">SUMPRODUCT(H114:N114, TRANSPOSE(OFFSET(E.TPMs!$S$8:$S$14, INT(($F114-70)/5)*12, $G115*15)))</f>
        <v>#VALUE!</v>
      </c>
      <c r="AB115" s="164" t="e">
        <f t="array" aca="1" ref="AB115:AM115" ca="1">MMULT(AB114:AM114, OFFSET(E.rngTPM_Root, INT(($F114-70)/5)*12, $G115*15))</f>
        <v>#VALUE!</v>
      </c>
      <c r="AC115" s="164" t="e">
        <f ca="1"/>
        <v>#VALUE!</v>
      </c>
      <c r="AD115" s="164" t="e">
        <f ca="1"/>
        <v>#VALUE!</v>
      </c>
      <c r="AE115" s="164" t="e">
        <f ca="1"/>
        <v>#VALUE!</v>
      </c>
      <c r="AF115" s="164" t="e">
        <f ca="1"/>
        <v>#VALUE!</v>
      </c>
      <c r="AG115" s="164" t="e">
        <f ca="1"/>
        <v>#VALUE!</v>
      </c>
      <c r="AH115" s="164" t="e">
        <f ca="1"/>
        <v>#VALUE!</v>
      </c>
      <c r="AI115" s="164" t="e">
        <f ca="1"/>
        <v>#VALUE!</v>
      </c>
      <c r="AJ115" s="164" t="e">
        <f ca="1"/>
        <v>#VALUE!</v>
      </c>
      <c r="AK115" s="164" t="e">
        <f ca="1"/>
        <v>#VALUE!</v>
      </c>
      <c r="AL115" s="164" t="e">
        <f ca="1"/>
        <v>#VALUE!</v>
      </c>
      <c r="AM115" s="164" t="e">
        <f ca="1"/>
        <v>#VALUE!</v>
      </c>
      <c r="AN115" s="128" t="e">
        <f t="shared" ca="1" si="63"/>
        <v>#VALUE!</v>
      </c>
      <c r="AO115" s="141" t="e">
        <f t="shared" ca="1" si="64"/>
        <v>#VALUE!</v>
      </c>
      <c r="AP115" s="141" t="e">
        <f t="shared" ca="1" si="57"/>
        <v>#VALUE!</v>
      </c>
      <c r="AQ115" s="141" t="e" cm="1">
        <f t="array" aca="1" ref="AQ115" ca="1">SUMPRODUCT(AB114:AC114, TRANSPOSE(OFFSET(E.TPMs!$N$8:$N$9, INT(($F114-70)/5)*12, $G115*15)))
+SUMPRODUCT(AB114:AC114, TRANSPOSE(OFFSET(E.TPMs!$O$8:$O$9, INT(($F114-70)/5)*12, $G115*15)))
+SUMPRODUCT(AB114:AC114, TRANSPOSE(OFFSET(E.TPMs!$P$8:$P$9, INT(($F114-70)/5)*12, $G115*15)))</f>
        <v>#VALUE!</v>
      </c>
      <c r="AR115" s="141" t="e">
        <f t="shared" ca="1" si="58"/>
        <v>#VALUE!</v>
      </c>
      <c r="AS115" s="141" t="e" cm="1">
        <f t="array" aca="1" ref="AS115" ca="1">SUMPRODUCT(AB114:AG114, TRANSPOSE(OFFSET(E.TPMs!$R$8:$R$13, INT(($F114-70)/5)*12, $G115*15)))
+SUMPRODUCT(AB114:AG114, TRANSPOSE(OFFSET(E.TPMs!$S$8:$S$13, INT(($F114-70)/5)*12, $G115*15)))</f>
        <v>#VALUE!</v>
      </c>
      <c r="AT115" s="141" t="e" cm="1">
        <f t="array" aca="1" ref="AT115" ca="1">SUMPRODUCT(AB114:AH114, TRANSPOSE(OFFSET(E.TPMs!$S$8:$S$14, INT(($F114-70)/5)*12, $G115*15)))</f>
        <v>#VALUE!</v>
      </c>
    </row>
    <row r="116" spans="4:46" ht="12" customHeight="1" x14ac:dyDescent="0.25">
      <c r="D116" s="62">
        <f t="shared" si="59"/>
        <v>105</v>
      </c>
      <c r="E116" s="62">
        <f t="shared" si="65"/>
        <v>26.25</v>
      </c>
      <c r="F116" s="63">
        <f t="shared" si="66"/>
        <v>96.25</v>
      </c>
      <c r="G116" s="62">
        <f>IF(AND(E115&lt;E.maxDurHPE, E116&gt;=E.maxDurHPE), 1, 0)</f>
        <v>0</v>
      </c>
      <c r="H116" s="164" t="e">
        <f t="array" aca="1" ref="H116:S116" ca="1">MMULT(H115:S115, OFFSET(E.rngTPM_Root, INT(($F115-70)/5)*12, $G116*15))</f>
        <v>#VALUE!</v>
      </c>
      <c r="I116" s="164" t="e">
        <f ca="1"/>
        <v>#VALUE!</v>
      </c>
      <c r="J116" s="164" t="e">
        <f ca="1"/>
        <v>#VALUE!</v>
      </c>
      <c r="K116" s="164" t="e">
        <f ca="1"/>
        <v>#VALUE!</v>
      </c>
      <c r="L116" s="164" t="e">
        <f ca="1"/>
        <v>#VALUE!</v>
      </c>
      <c r="M116" s="164" t="e">
        <f ca="1"/>
        <v>#VALUE!</v>
      </c>
      <c r="N116" s="164" t="e">
        <f ca="1"/>
        <v>#VALUE!</v>
      </c>
      <c r="O116" s="164" t="e">
        <f ca="1"/>
        <v>#VALUE!</v>
      </c>
      <c r="P116" s="164" t="e">
        <f ca="1"/>
        <v>#VALUE!</v>
      </c>
      <c r="Q116" s="164" t="e">
        <f ca="1"/>
        <v>#VALUE!</v>
      </c>
      <c r="R116" s="164" t="e">
        <f ca="1"/>
        <v>#VALUE!</v>
      </c>
      <c r="S116" s="164" t="e">
        <f ca="1"/>
        <v>#VALUE!</v>
      </c>
      <c r="T116" s="128" t="e">
        <f t="shared" ca="1" si="60"/>
        <v>#VALUE!</v>
      </c>
      <c r="U116" s="141" t="e">
        <f t="shared" ca="1" si="61"/>
        <v>#VALUE!</v>
      </c>
      <c r="V116" s="141" t="e">
        <f t="shared" ca="1" si="56"/>
        <v>#VALUE!</v>
      </c>
      <c r="W116" s="141" t="e" cm="1">
        <f t="array" aca="1" ref="W116" ca="1">SUMPRODUCT(H115:I115, TRANSPOSE(OFFSET(E.TPMs!$N$8:$N$9, INT(($F115-70)/5)*12, $G116*15)))
+SUMPRODUCT(H115:I115, TRANSPOSE(OFFSET(E.TPMs!$O$8:$O$9, INT(($F115-70)/5)*12, $G116*15)))
+SUMPRODUCT(H115:I115, TRANSPOSE(OFFSET(E.TPMs!$P$8:$P$9, INT(($F115-70)/5)*12, $G116*15)))</f>
        <v>#VALUE!</v>
      </c>
      <c r="X116" s="141" t="e">
        <f t="shared" ca="1" si="62"/>
        <v>#VALUE!</v>
      </c>
      <c r="Y116" s="141" t="e" cm="1">
        <f t="array" aca="1" ref="Y116" ca="1">SUMPRODUCT(H115:M115, TRANSPOSE(OFFSET(E.TPMs!$R$8:$R$13, INT(($F115-70)/5)*12, $G116*15)))
+SUMPRODUCT(H115:M115, TRANSPOSE(OFFSET(E.TPMs!$S$8:$S$13, INT(($F115-70)/5)*12, $G116*15)))</f>
        <v>#VALUE!</v>
      </c>
      <c r="Z116" s="141" t="e" cm="1">
        <f t="array" aca="1" ref="Z116" ca="1">SUMPRODUCT(H115:N115, TRANSPOSE(OFFSET(E.TPMs!$S$8:$S$14, INT(($F115-70)/5)*12, $G116*15)))</f>
        <v>#VALUE!</v>
      </c>
      <c r="AB116" s="164" t="e">
        <f t="array" aca="1" ref="AB116:AM116" ca="1">MMULT(AB115:AM115, OFFSET(E.rngTPM_Root, INT(($F115-70)/5)*12, $G116*15))</f>
        <v>#VALUE!</v>
      </c>
      <c r="AC116" s="164" t="e">
        <f ca="1"/>
        <v>#VALUE!</v>
      </c>
      <c r="AD116" s="164" t="e">
        <f ca="1"/>
        <v>#VALUE!</v>
      </c>
      <c r="AE116" s="164" t="e">
        <f ca="1"/>
        <v>#VALUE!</v>
      </c>
      <c r="AF116" s="164" t="e">
        <f ca="1"/>
        <v>#VALUE!</v>
      </c>
      <c r="AG116" s="164" t="e">
        <f ca="1"/>
        <v>#VALUE!</v>
      </c>
      <c r="AH116" s="164" t="e">
        <f ca="1"/>
        <v>#VALUE!</v>
      </c>
      <c r="AI116" s="164" t="e">
        <f ca="1"/>
        <v>#VALUE!</v>
      </c>
      <c r="AJ116" s="164" t="e">
        <f ca="1"/>
        <v>#VALUE!</v>
      </c>
      <c r="AK116" s="164" t="e">
        <f ca="1"/>
        <v>#VALUE!</v>
      </c>
      <c r="AL116" s="164" t="e">
        <f ca="1"/>
        <v>#VALUE!</v>
      </c>
      <c r="AM116" s="164" t="e">
        <f ca="1"/>
        <v>#VALUE!</v>
      </c>
      <c r="AN116" s="128" t="e">
        <f t="shared" ca="1" si="63"/>
        <v>#VALUE!</v>
      </c>
      <c r="AO116" s="141" t="e">
        <f t="shared" ca="1" si="64"/>
        <v>#VALUE!</v>
      </c>
      <c r="AP116" s="141" t="e">
        <f t="shared" ca="1" si="57"/>
        <v>#VALUE!</v>
      </c>
      <c r="AQ116" s="141" t="e" cm="1">
        <f t="array" aca="1" ref="AQ116" ca="1">SUMPRODUCT(AB115:AC115, TRANSPOSE(OFFSET(E.TPMs!$N$8:$N$9, INT(($F115-70)/5)*12, $G116*15)))
+SUMPRODUCT(AB115:AC115, TRANSPOSE(OFFSET(E.TPMs!$O$8:$O$9, INT(($F115-70)/5)*12, $G116*15)))
+SUMPRODUCT(AB115:AC115, TRANSPOSE(OFFSET(E.TPMs!$P$8:$P$9, INT(($F115-70)/5)*12, $G116*15)))</f>
        <v>#VALUE!</v>
      </c>
      <c r="AR116" s="141" t="e">
        <f t="shared" ca="1" si="58"/>
        <v>#VALUE!</v>
      </c>
      <c r="AS116" s="141" t="e" cm="1">
        <f t="array" aca="1" ref="AS116" ca="1">SUMPRODUCT(AB115:AG115, TRANSPOSE(OFFSET(E.TPMs!$R$8:$R$13, INT(($F115-70)/5)*12, $G116*15)))
+SUMPRODUCT(AB115:AG115, TRANSPOSE(OFFSET(E.TPMs!$S$8:$S$13, INT(($F115-70)/5)*12, $G116*15)))</f>
        <v>#VALUE!</v>
      </c>
      <c r="AT116" s="141" t="e" cm="1">
        <f t="array" aca="1" ref="AT116" ca="1">SUMPRODUCT(AB115:AH115, TRANSPOSE(OFFSET(E.TPMs!$S$8:$S$14, INT(($F115-70)/5)*12, $G116*15)))</f>
        <v>#VALUE!</v>
      </c>
    </row>
    <row r="117" spans="4:46" ht="12" customHeight="1" x14ac:dyDescent="0.25">
      <c r="D117" s="62">
        <f t="shared" si="59"/>
        <v>106</v>
      </c>
      <c r="E117" s="62">
        <f t="shared" si="65"/>
        <v>26.5</v>
      </c>
      <c r="F117" s="63">
        <f t="shared" si="66"/>
        <v>96.5</v>
      </c>
      <c r="G117" s="62">
        <f>IF(AND(E116&lt;E.maxDurHPE, E117&gt;=E.maxDurHPE), 1, 0)</f>
        <v>0</v>
      </c>
      <c r="H117" s="164" t="e">
        <f t="array" aca="1" ref="H117:S117" ca="1">MMULT(H116:S116, OFFSET(E.rngTPM_Root, INT(($F116-70)/5)*12, $G117*15))</f>
        <v>#VALUE!</v>
      </c>
      <c r="I117" s="164" t="e">
        <f ca="1"/>
        <v>#VALUE!</v>
      </c>
      <c r="J117" s="164" t="e">
        <f ca="1"/>
        <v>#VALUE!</v>
      </c>
      <c r="K117" s="164" t="e">
        <f ca="1"/>
        <v>#VALUE!</v>
      </c>
      <c r="L117" s="164" t="e">
        <f ca="1"/>
        <v>#VALUE!</v>
      </c>
      <c r="M117" s="164" t="e">
        <f ca="1"/>
        <v>#VALUE!</v>
      </c>
      <c r="N117" s="164" t="e">
        <f ca="1"/>
        <v>#VALUE!</v>
      </c>
      <c r="O117" s="164" t="e">
        <f ca="1"/>
        <v>#VALUE!</v>
      </c>
      <c r="P117" s="164" t="e">
        <f ca="1"/>
        <v>#VALUE!</v>
      </c>
      <c r="Q117" s="164" t="e">
        <f ca="1"/>
        <v>#VALUE!</v>
      </c>
      <c r="R117" s="164" t="e">
        <f ca="1"/>
        <v>#VALUE!</v>
      </c>
      <c r="S117" s="164" t="e">
        <f ca="1"/>
        <v>#VALUE!</v>
      </c>
      <c r="T117" s="128" t="e">
        <f t="shared" ca="1" si="60"/>
        <v>#VALUE!</v>
      </c>
      <c r="U117" s="141" t="e">
        <f t="shared" ca="1" si="61"/>
        <v>#VALUE!</v>
      </c>
      <c r="V117" s="141" t="e">
        <f t="shared" ca="1" si="56"/>
        <v>#VALUE!</v>
      </c>
      <c r="W117" s="141" t="e" cm="1">
        <f t="array" aca="1" ref="W117" ca="1">SUMPRODUCT(H116:I116, TRANSPOSE(OFFSET(E.TPMs!$N$8:$N$9, INT(($F116-70)/5)*12, $G117*15)))
+SUMPRODUCT(H116:I116, TRANSPOSE(OFFSET(E.TPMs!$O$8:$O$9, INT(($F116-70)/5)*12, $G117*15)))
+SUMPRODUCT(H116:I116, TRANSPOSE(OFFSET(E.TPMs!$P$8:$P$9, INT(($F116-70)/5)*12, $G117*15)))</f>
        <v>#VALUE!</v>
      </c>
      <c r="X117" s="141" t="e">
        <f t="shared" ca="1" si="62"/>
        <v>#VALUE!</v>
      </c>
      <c r="Y117" s="141" t="e" cm="1">
        <f t="array" aca="1" ref="Y117" ca="1">SUMPRODUCT(H116:M116, TRANSPOSE(OFFSET(E.TPMs!$R$8:$R$13, INT(($F116-70)/5)*12, $G117*15)))
+SUMPRODUCT(H116:M116, TRANSPOSE(OFFSET(E.TPMs!$S$8:$S$13, INT(($F116-70)/5)*12, $G117*15)))</f>
        <v>#VALUE!</v>
      </c>
      <c r="Z117" s="141" t="e" cm="1">
        <f t="array" aca="1" ref="Z117" ca="1">SUMPRODUCT(H116:N116, TRANSPOSE(OFFSET(E.TPMs!$S$8:$S$14, INT(($F116-70)/5)*12, $G117*15)))</f>
        <v>#VALUE!</v>
      </c>
      <c r="AB117" s="164" t="e">
        <f t="array" aca="1" ref="AB117:AM117" ca="1">MMULT(AB116:AM116, OFFSET(E.rngTPM_Root, INT(($F116-70)/5)*12, $G117*15))</f>
        <v>#VALUE!</v>
      </c>
      <c r="AC117" s="164" t="e">
        <f ca="1"/>
        <v>#VALUE!</v>
      </c>
      <c r="AD117" s="164" t="e">
        <f ca="1"/>
        <v>#VALUE!</v>
      </c>
      <c r="AE117" s="164" t="e">
        <f ca="1"/>
        <v>#VALUE!</v>
      </c>
      <c r="AF117" s="164" t="e">
        <f ca="1"/>
        <v>#VALUE!</v>
      </c>
      <c r="AG117" s="164" t="e">
        <f ca="1"/>
        <v>#VALUE!</v>
      </c>
      <c r="AH117" s="164" t="e">
        <f ca="1"/>
        <v>#VALUE!</v>
      </c>
      <c r="AI117" s="164" t="e">
        <f ca="1"/>
        <v>#VALUE!</v>
      </c>
      <c r="AJ117" s="164" t="e">
        <f ca="1"/>
        <v>#VALUE!</v>
      </c>
      <c r="AK117" s="164" t="e">
        <f ca="1"/>
        <v>#VALUE!</v>
      </c>
      <c r="AL117" s="164" t="e">
        <f ca="1"/>
        <v>#VALUE!</v>
      </c>
      <c r="AM117" s="164" t="e">
        <f ca="1"/>
        <v>#VALUE!</v>
      </c>
      <c r="AN117" s="128" t="e">
        <f t="shared" ca="1" si="63"/>
        <v>#VALUE!</v>
      </c>
      <c r="AO117" s="141" t="e">
        <f t="shared" ca="1" si="64"/>
        <v>#VALUE!</v>
      </c>
      <c r="AP117" s="141" t="e">
        <f t="shared" ca="1" si="57"/>
        <v>#VALUE!</v>
      </c>
      <c r="AQ117" s="141" t="e" cm="1">
        <f t="array" aca="1" ref="AQ117" ca="1">SUMPRODUCT(AB116:AC116, TRANSPOSE(OFFSET(E.TPMs!$N$8:$N$9, INT(($F116-70)/5)*12, $G117*15)))
+SUMPRODUCT(AB116:AC116, TRANSPOSE(OFFSET(E.TPMs!$O$8:$O$9, INT(($F116-70)/5)*12, $G117*15)))
+SUMPRODUCT(AB116:AC116, TRANSPOSE(OFFSET(E.TPMs!$P$8:$P$9, INT(($F116-70)/5)*12, $G117*15)))</f>
        <v>#VALUE!</v>
      </c>
      <c r="AR117" s="141" t="e">
        <f t="shared" ca="1" si="58"/>
        <v>#VALUE!</v>
      </c>
      <c r="AS117" s="141" t="e" cm="1">
        <f t="array" aca="1" ref="AS117" ca="1">SUMPRODUCT(AB116:AG116, TRANSPOSE(OFFSET(E.TPMs!$R$8:$R$13, INT(($F116-70)/5)*12, $G117*15)))
+SUMPRODUCT(AB116:AG116, TRANSPOSE(OFFSET(E.TPMs!$S$8:$S$13, INT(($F116-70)/5)*12, $G117*15)))</f>
        <v>#VALUE!</v>
      </c>
      <c r="AT117" s="141" t="e" cm="1">
        <f t="array" aca="1" ref="AT117" ca="1">SUMPRODUCT(AB116:AH116, TRANSPOSE(OFFSET(E.TPMs!$S$8:$S$14, INT(($F116-70)/5)*12, $G117*15)))</f>
        <v>#VALUE!</v>
      </c>
    </row>
    <row r="118" spans="4:46" ht="12" customHeight="1" x14ac:dyDescent="0.25">
      <c r="D118" s="62">
        <f t="shared" si="59"/>
        <v>107</v>
      </c>
      <c r="E118" s="62">
        <f t="shared" si="65"/>
        <v>26.75</v>
      </c>
      <c r="F118" s="63">
        <f t="shared" si="66"/>
        <v>96.75</v>
      </c>
      <c r="G118" s="62">
        <f>IF(AND(E117&lt;E.maxDurHPE, E118&gt;=E.maxDurHPE), 1, 0)</f>
        <v>0</v>
      </c>
      <c r="H118" s="164" t="e">
        <f t="array" aca="1" ref="H118:S118" ca="1">MMULT(H117:S117, OFFSET(E.rngTPM_Root, INT(($F117-70)/5)*12, $G118*15))</f>
        <v>#VALUE!</v>
      </c>
      <c r="I118" s="164" t="e">
        <f ca="1"/>
        <v>#VALUE!</v>
      </c>
      <c r="J118" s="164" t="e">
        <f ca="1"/>
        <v>#VALUE!</v>
      </c>
      <c r="K118" s="164" t="e">
        <f ca="1"/>
        <v>#VALUE!</v>
      </c>
      <c r="L118" s="164" t="e">
        <f ca="1"/>
        <v>#VALUE!</v>
      </c>
      <c r="M118" s="164" t="e">
        <f ca="1"/>
        <v>#VALUE!</v>
      </c>
      <c r="N118" s="164" t="e">
        <f ca="1"/>
        <v>#VALUE!</v>
      </c>
      <c r="O118" s="164" t="e">
        <f ca="1"/>
        <v>#VALUE!</v>
      </c>
      <c r="P118" s="164" t="e">
        <f ca="1"/>
        <v>#VALUE!</v>
      </c>
      <c r="Q118" s="164" t="e">
        <f ca="1"/>
        <v>#VALUE!</v>
      </c>
      <c r="R118" s="164" t="e">
        <f ca="1"/>
        <v>#VALUE!</v>
      </c>
      <c r="S118" s="164" t="e">
        <f ca="1"/>
        <v>#VALUE!</v>
      </c>
      <c r="T118" s="128" t="e">
        <f t="shared" ca="1" si="60"/>
        <v>#VALUE!</v>
      </c>
      <c r="U118" s="141" t="e">
        <f t="shared" ca="1" si="61"/>
        <v>#VALUE!</v>
      </c>
      <c r="V118" s="141" t="e">
        <f t="shared" ca="1" si="56"/>
        <v>#VALUE!</v>
      </c>
      <c r="W118" s="141" t="e" cm="1">
        <f t="array" aca="1" ref="W118" ca="1">SUMPRODUCT(H117:I117, TRANSPOSE(OFFSET(E.TPMs!$N$8:$N$9, INT(($F117-70)/5)*12, $G118*15)))
+SUMPRODUCT(H117:I117, TRANSPOSE(OFFSET(E.TPMs!$O$8:$O$9, INT(($F117-70)/5)*12, $G118*15)))
+SUMPRODUCT(H117:I117, TRANSPOSE(OFFSET(E.TPMs!$P$8:$P$9, INT(($F117-70)/5)*12, $G118*15)))</f>
        <v>#VALUE!</v>
      </c>
      <c r="X118" s="141" t="e">
        <f t="shared" ca="1" si="62"/>
        <v>#VALUE!</v>
      </c>
      <c r="Y118" s="141" t="e" cm="1">
        <f t="array" aca="1" ref="Y118" ca="1">SUMPRODUCT(H117:M117, TRANSPOSE(OFFSET(E.TPMs!$R$8:$R$13, INT(($F117-70)/5)*12, $G118*15)))
+SUMPRODUCT(H117:M117, TRANSPOSE(OFFSET(E.TPMs!$S$8:$S$13, INT(($F117-70)/5)*12, $G118*15)))</f>
        <v>#VALUE!</v>
      </c>
      <c r="Z118" s="141" t="e" cm="1">
        <f t="array" aca="1" ref="Z118" ca="1">SUMPRODUCT(H117:N117, TRANSPOSE(OFFSET(E.TPMs!$S$8:$S$14, INT(($F117-70)/5)*12, $G118*15)))</f>
        <v>#VALUE!</v>
      </c>
      <c r="AB118" s="164" t="e">
        <f t="array" aca="1" ref="AB118:AM118" ca="1">MMULT(AB117:AM117, OFFSET(E.rngTPM_Root, INT(($F117-70)/5)*12, $G118*15))</f>
        <v>#VALUE!</v>
      </c>
      <c r="AC118" s="164" t="e">
        <f ca="1"/>
        <v>#VALUE!</v>
      </c>
      <c r="AD118" s="164" t="e">
        <f ca="1"/>
        <v>#VALUE!</v>
      </c>
      <c r="AE118" s="164" t="e">
        <f ca="1"/>
        <v>#VALUE!</v>
      </c>
      <c r="AF118" s="164" t="e">
        <f ca="1"/>
        <v>#VALUE!</v>
      </c>
      <c r="AG118" s="164" t="e">
        <f ca="1"/>
        <v>#VALUE!</v>
      </c>
      <c r="AH118" s="164" t="e">
        <f ca="1"/>
        <v>#VALUE!</v>
      </c>
      <c r="AI118" s="164" t="e">
        <f ca="1"/>
        <v>#VALUE!</v>
      </c>
      <c r="AJ118" s="164" t="e">
        <f ca="1"/>
        <v>#VALUE!</v>
      </c>
      <c r="AK118" s="164" t="e">
        <f ca="1"/>
        <v>#VALUE!</v>
      </c>
      <c r="AL118" s="164" t="e">
        <f ca="1"/>
        <v>#VALUE!</v>
      </c>
      <c r="AM118" s="164" t="e">
        <f ca="1"/>
        <v>#VALUE!</v>
      </c>
      <c r="AN118" s="128" t="e">
        <f t="shared" ca="1" si="63"/>
        <v>#VALUE!</v>
      </c>
      <c r="AO118" s="141" t="e">
        <f t="shared" ca="1" si="64"/>
        <v>#VALUE!</v>
      </c>
      <c r="AP118" s="141" t="e">
        <f t="shared" ca="1" si="57"/>
        <v>#VALUE!</v>
      </c>
      <c r="AQ118" s="141" t="e" cm="1">
        <f t="array" aca="1" ref="AQ118" ca="1">SUMPRODUCT(AB117:AC117, TRANSPOSE(OFFSET(E.TPMs!$N$8:$N$9, INT(($F117-70)/5)*12, $G118*15)))
+SUMPRODUCT(AB117:AC117, TRANSPOSE(OFFSET(E.TPMs!$O$8:$O$9, INT(($F117-70)/5)*12, $G118*15)))
+SUMPRODUCT(AB117:AC117, TRANSPOSE(OFFSET(E.TPMs!$P$8:$P$9, INT(($F117-70)/5)*12, $G118*15)))</f>
        <v>#VALUE!</v>
      </c>
      <c r="AR118" s="141" t="e">
        <f t="shared" ca="1" si="58"/>
        <v>#VALUE!</v>
      </c>
      <c r="AS118" s="141" t="e" cm="1">
        <f t="array" aca="1" ref="AS118" ca="1">SUMPRODUCT(AB117:AG117, TRANSPOSE(OFFSET(E.TPMs!$R$8:$R$13, INT(($F117-70)/5)*12, $G118*15)))
+SUMPRODUCT(AB117:AG117, TRANSPOSE(OFFSET(E.TPMs!$S$8:$S$13, INT(($F117-70)/5)*12, $G118*15)))</f>
        <v>#VALUE!</v>
      </c>
      <c r="AT118" s="141" t="e" cm="1">
        <f t="array" aca="1" ref="AT118" ca="1">SUMPRODUCT(AB117:AH117, TRANSPOSE(OFFSET(E.TPMs!$S$8:$S$14, INT(($F117-70)/5)*12, $G118*15)))</f>
        <v>#VALUE!</v>
      </c>
    </row>
    <row r="119" spans="4:46" ht="12" customHeight="1" x14ac:dyDescent="0.25">
      <c r="D119" s="62">
        <f t="shared" si="59"/>
        <v>108</v>
      </c>
      <c r="E119" s="62">
        <f t="shared" si="65"/>
        <v>27</v>
      </c>
      <c r="F119" s="63">
        <f t="shared" si="66"/>
        <v>97</v>
      </c>
      <c r="G119" s="62">
        <f>IF(AND(E118&lt;E.maxDurHPE, E119&gt;=E.maxDurHPE), 1, 0)</f>
        <v>0</v>
      </c>
      <c r="H119" s="164" t="e">
        <f t="array" aca="1" ref="H119:S119" ca="1">MMULT(H118:S118, OFFSET(E.rngTPM_Root, INT(($F118-70)/5)*12, $G119*15))</f>
        <v>#VALUE!</v>
      </c>
      <c r="I119" s="164" t="e">
        <f ca="1"/>
        <v>#VALUE!</v>
      </c>
      <c r="J119" s="164" t="e">
        <f ca="1"/>
        <v>#VALUE!</v>
      </c>
      <c r="K119" s="164" t="e">
        <f ca="1"/>
        <v>#VALUE!</v>
      </c>
      <c r="L119" s="164" t="e">
        <f ca="1"/>
        <v>#VALUE!</v>
      </c>
      <c r="M119" s="164" t="e">
        <f ca="1"/>
        <v>#VALUE!</v>
      </c>
      <c r="N119" s="164" t="e">
        <f ca="1"/>
        <v>#VALUE!</v>
      </c>
      <c r="O119" s="164" t="e">
        <f ca="1"/>
        <v>#VALUE!</v>
      </c>
      <c r="P119" s="164" t="e">
        <f ca="1"/>
        <v>#VALUE!</v>
      </c>
      <c r="Q119" s="164" t="e">
        <f ca="1"/>
        <v>#VALUE!</v>
      </c>
      <c r="R119" s="164" t="e">
        <f ca="1"/>
        <v>#VALUE!</v>
      </c>
      <c r="S119" s="164" t="e">
        <f ca="1"/>
        <v>#VALUE!</v>
      </c>
      <c r="T119" s="128" t="e">
        <f t="shared" ca="1" si="60"/>
        <v>#VALUE!</v>
      </c>
      <c r="U119" s="141" t="e">
        <f t="shared" ca="1" si="61"/>
        <v>#VALUE!</v>
      </c>
      <c r="V119" s="141" t="e">
        <f t="shared" ca="1" si="56"/>
        <v>#VALUE!</v>
      </c>
      <c r="W119" s="141" t="e" cm="1">
        <f t="array" aca="1" ref="W119" ca="1">SUMPRODUCT(H118:I118, TRANSPOSE(OFFSET(E.TPMs!$N$8:$N$9, INT(($F118-70)/5)*12, $G119*15)))
+SUMPRODUCT(H118:I118, TRANSPOSE(OFFSET(E.TPMs!$O$8:$O$9, INT(($F118-70)/5)*12, $G119*15)))
+SUMPRODUCT(H118:I118, TRANSPOSE(OFFSET(E.TPMs!$P$8:$P$9, INT(($F118-70)/5)*12, $G119*15)))</f>
        <v>#VALUE!</v>
      </c>
      <c r="X119" s="141" t="e">
        <f t="shared" ca="1" si="62"/>
        <v>#VALUE!</v>
      </c>
      <c r="Y119" s="141" t="e" cm="1">
        <f t="array" aca="1" ref="Y119" ca="1">SUMPRODUCT(H118:M118, TRANSPOSE(OFFSET(E.TPMs!$R$8:$R$13, INT(($F118-70)/5)*12, $G119*15)))
+SUMPRODUCT(H118:M118, TRANSPOSE(OFFSET(E.TPMs!$S$8:$S$13, INT(($F118-70)/5)*12, $G119*15)))</f>
        <v>#VALUE!</v>
      </c>
      <c r="Z119" s="141" t="e" cm="1">
        <f t="array" aca="1" ref="Z119" ca="1">SUMPRODUCT(H118:N118, TRANSPOSE(OFFSET(E.TPMs!$S$8:$S$14, INT(($F118-70)/5)*12, $G119*15)))</f>
        <v>#VALUE!</v>
      </c>
      <c r="AB119" s="164" t="e">
        <f t="array" aca="1" ref="AB119:AM119" ca="1">MMULT(AB118:AM118, OFFSET(E.rngTPM_Root, INT(($F118-70)/5)*12, $G119*15))</f>
        <v>#VALUE!</v>
      </c>
      <c r="AC119" s="164" t="e">
        <f ca="1"/>
        <v>#VALUE!</v>
      </c>
      <c r="AD119" s="164" t="e">
        <f ca="1"/>
        <v>#VALUE!</v>
      </c>
      <c r="AE119" s="164" t="e">
        <f ca="1"/>
        <v>#VALUE!</v>
      </c>
      <c r="AF119" s="164" t="e">
        <f ca="1"/>
        <v>#VALUE!</v>
      </c>
      <c r="AG119" s="164" t="e">
        <f ca="1"/>
        <v>#VALUE!</v>
      </c>
      <c r="AH119" s="164" t="e">
        <f ca="1"/>
        <v>#VALUE!</v>
      </c>
      <c r="AI119" s="164" t="e">
        <f ca="1"/>
        <v>#VALUE!</v>
      </c>
      <c r="AJ119" s="164" t="e">
        <f ca="1"/>
        <v>#VALUE!</v>
      </c>
      <c r="AK119" s="164" t="e">
        <f ca="1"/>
        <v>#VALUE!</v>
      </c>
      <c r="AL119" s="164" t="e">
        <f ca="1"/>
        <v>#VALUE!</v>
      </c>
      <c r="AM119" s="164" t="e">
        <f ca="1"/>
        <v>#VALUE!</v>
      </c>
      <c r="AN119" s="128" t="e">
        <f t="shared" ca="1" si="63"/>
        <v>#VALUE!</v>
      </c>
      <c r="AO119" s="141" t="e">
        <f t="shared" ca="1" si="64"/>
        <v>#VALUE!</v>
      </c>
      <c r="AP119" s="141" t="e">
        <f t="shared" ca="1" si="57"/>
        <v>#VALUE!</v>
      </c>
      <c r="AQ119" s="141" t="e" cm="1">
        <f t="array" aca="1" ref="AQ119" ca="1">SUMPRODUCT(AB118:AC118, TRANSPOSE(OFFSET(E.TPMs!$N$8:$N$9, INT(($F118-70)/5)*12, $G119*15)))
+SUMPRODUCT(AB118:AC118, TRANSPOSE(OFFSET(E.TPMs!$O$8:$O$9, INT(($F118-70)/5)*12, $G119*15)))
+SUMPRODUCT(AB118:AC118, TRANSPOSE(OFFSET(E.TPMs!$P$8:$P$9, INT(($F118-70)/5)*12, $G119*15)))</f>
        <v>#VALUE!</v>
      </c>
      <c r="AR119" s="141" t="e">
        <f t="shared" ca="1" si="58"/>
        <v>#VALUE!</v>
      </c>
      <c r="AS119" s="141" t="e" cm="1">
        <f t="array" aca="1" ref="AS119" ca="1">SUMPRODUCT(AB118:AG118, TRANSPOSE(OFFSET(E.TPMs!$R$8:$R$13, INT(($F118-70)/5)*12, $G119*15)))
+SUMPRODUCT(AB118:AG118, TRANSPOSE(OFFSET(E.TPMs!$S$8:$S$13, INT(($F118-70)/5)*12, $G119*15)))</f>
        <v>#VALUE!</v>
      </c>
      <c r="AT119" s="141" t="e" cm="1">
        <f t="array" aca="1" ref="AT119" ca="1">SUMPRODUCT(AB118:AH118, TRANSPOSE(OFFSET(E.TPMs!$S$8:$S$14, INT(($F118-70)/5)*12, $G119*15)))</f>
        <v>#VALUE!</v>
      </c>
    </row>
    <row r="120" spans="4:46" ht="12" customHeight="1" x14ac:dyDescent="0.25">
      <c r="D120" s="62">
        <f t="shared" si="59"/>
        <v>109</v>
      </c>
      <c r="E120" s="62">
        <f t="shared" si="65"/>
        <v>27.25</v>
      </c>
      <c r="F120" s="63">
        <f t="shared" si="66"/>
        <v>97.25</v>
      </c>
      <c r="G120" s="62">
        <f>IF(AND(E119&lt;E.maxDurHPE, E120&gt;=E.maxDurHPE), 1, 0)</f>
        <v>0</v>
      </c>
      <c r="H120" s="164" t="e">
        <f t="array" aca="1" ref="H120:S120" ca="1">MMULT(H119:S119, OFFSET(E.rngTPM_Root, INT(($F119-70)/5)*12, $G120*15))</f>
        <v>#VALUE!</v>
      </c>
      <c r="I120" s="164" t="e">
        <f ca="1"/>
        <v>#VALUE!</v>
      </c>
      <c r="J120" s="164" t="e">
        <f ca="1"/>
        <v>#VALUE!</v>
      </c>
      <c r="K120" s="164" t="e">
        <f ca="1"/>
        <v>#VALUE!</v>
      </c>
      <c r="L120" s="164" t="e">
        <f ca="1"/>
        <v>#VALUE!</v>
      </c>
      <c r="M120" s="164" t="e">
        <f ca="1"/>
        <v>#VALUE!</v>
      </c>
      <c r="N120" s="164" t="e">
        <f ca="1"/>
        <v>#VALUE!</v>
      </c>
      <c r="O120" s="164" t="e">
        <f ca="1"/>
        <v>#VALUE!</v>
      </c>
      <c r="P120" s="164" t="e">
        <f ca="1"/>
        <v>#VALUE!</v>
      </c>
      <c r="Q120" s="164" t="e">
        <f ca="1"/>
        <v>#VALUE!</v>
      </c>
      <c r="R120" s="164" t="e">
        <f ca="1"/>
        <v>#VALUE!</v>
      </c>
      <c r="S120" s="164" t="e">
        <f ca="1"/>
        <v>#VALUE!</v>
      </c>
      <c r="T120" s="128" t="e">
        <f t="shared" ca="1" si="60"/>
        <v>#VALUE!</v>
      </c>
      <c r="U120" s="141" t="e">
        <f t="shared" ca="1" si="61"/>
        <v>#VALUE!</v>
      </c>
      <c r="V120" s="141" t="e">
        <f t="shared" ca="1" si="56"/>
        <v>#VALUE!</v>
      </c>
      <c r="W120" s="141" t="e" cm="1">
        <f t="array" aca="1" ref="W120" ca="1">SUMPRODUCT(H119:I119, TRANSPOSE(OFFSET(E.TPMs!$N$8:$N$9, INT(($F119-70)/5)*12, $G120*15)))
+SUMPRODUCT(H119:I119, TRANSPOSE(OFFSET(E.TPMs!$O$8:$O$9, INT(($F119-70)/5)*12, $G120*15)))
+SUMPRODUCT(H119:I119, TRANSPOSE(OFFSET(E.TPMs!$P$8:$P$9, INT(($F119-70)/5)*12, $G120*15)))</f>
        <v>#VALUE!</v>
      </c>
      <c r="X120" s="141" t="e">
        <f t="shared" ca="1" si="62"/>
        <v>#VALUE!</v>
      </c>
      <c r="Y120" s="141" t="e" cm="1">
        <f t="array" aca="1" ref="Y120" ca="1">SUMPRODUCT(H119:M119, TRANSPOSE(OFFSET(E.TPMs!$R$8:$R$13, INT(($F119-70)/5)*12, $G120*15)))
+SUMPRODUCT(H119:M119, TRANSPOSE(OFFSET(E.TPMs!$S$8:$S$13, INT(($F119-70)/5)*12, $G120*15)))</f>
        <v>#VALUE!</v>
      </c>
      <c r="Z120" s="141" t="e" cm="1">
        <f t="array" aca="1" ref="Z120" ca="1">SUMPRODUCT(H119:N119, TRANSPOSE(OFFSET(E.TPMs!$S$8:$S$14, INT(($F119-70)/5)*12, $G120*15)))</f>
        <v>#VALUE!</v>
      </c>
      <c r="AB120" s="164" t="e">
        <f t="array" aca="1" ref="AB120:AM120" ca="1">MMULT(AB119:AM119, OFFSET(E.rngTPM_Root, INT(($F119-70)/5)*12, $G120*15))</f>
        <v>#VALUE!</v>
      </c>
      <c r="AC120" s="164" t="e">
        <f ca="1"/>
        <v>#VALUE!</v>
      </c>
      <c r="AD120" s="164" t="e">
        <f ca="1"/>
        <v>#VALUE!</v>
      </c>
      <c r="AE120" s="164" t="e">
        <f ca="1"/>
        <v>#VALUE!</v>
      </c>
      <c r="AF120" s="164" t="e">
        <f ca="1"/>
        <v>#VALUE!</v>
      </c>
      <c r="AG120" s="164" t="e">
        <f ca="1"/>
        <v>#VALUE!</v>
      </c>
      <c r="AH120" s="164" t="e">
        <f ca="1"/>
        <v>#VALUE!</v>
      </c>
      <c r="AI120" s="164" t="e">
        <f ca="1"/>
        <v>#VALUE!</v>
      </c>
      <c r="AJ120" s="164" t="e">
        <f ca="1"/>
        <v>#VALUE!</v>
      </c>
      <c r="AK120" s="164" t="e">
        <f ca="1"/>
        <v>#VALUE!</v>
      </c>
      <c r="AL120" s="164" t="e">
        <f ca="1"/>
        <v>#VALUE!</v>
      </c>
      <c r="AM120" s="164" t="e">
        <f ca="1"/>
        <v>#VALUE!</v>
      </c>
      <c r="AN120" s="128" t="e">
        <f t="shared" ca="1" si="63"/>
        <v>#VALUE!</v>
      </c>
      <c r="AO120" s="141" t="e">
        <f t="shared" ca="1" si="64"/>
        <v>#VALUE!</v>
      </c>
      <c r="AP120" s="141" t="e">
        <f t="shared" ca="1" si="57"/>
        <v>#VALUE!</v>
      </c>
      <c r="AQ120" s="141" t="e" cm="1">
        <f t="array" aca="1" ref="AQ120" ca="1">SUMPRODUCT(AB119:AC119, TRANSPOSE(OFFSET(E.TPMs!$N$8:$N$9, INT(($F119-70)/5)*12, $G120*15)))
+SUMPRODUCT(AB119:AC119, TRANSPOSE(OFFSET(E.TPMs!$O$8:$O$9, INT(($F119-70)/5)*12, $G120*15)))
+SUMPRODUCT(AB119:AC119, TRANSPOSE(OFFSET(E.TPMs!$P$8:$P$9, INT(($F119-70)/5)*12, $G120*15)))</f>
        <v>#VALUE!</v>
      </c>
      <c r="AR120" s="141" t="e">
        <f t="shared" ca="1" si="58"/>
        <v>#VALUE!</v>
      </c>
      <c r="AS120" s="141" t="e" cm="1">
        <f t="array" aca="1" ref="AS120" ca="1">SUMPRODUCT(AB119:AG119, TRANSPOSE(OFFSET(E.TPMs!$R$8:$R$13, INT(($F119-70)/5)*12, $G120*15)))
+SUMPRODUCT(AB119:AG119, TRANSPOSE(OFFSET(E.TPMs!$S$8:$S$13, INT(($F119-70)/5)*12, $G120*15)))</f>
        <v>#VALUE!</v>
      </c>
      <c r="AT120" s="141" t="e" cm="1">
        <f t="array" aca="1" ref="AT120" ca="1">SUMPRODUCT(AB119:AH119, TRANSPOSE(OFFSET(E.TPMs!$S$8:$S$14, INT(($F119-70)/5)*12, $G120*15)))</f>
        <v>#VALUE!</v>
      </c>
    </row>
    <row r="121" spans="4:46" ht="12" customHeight="1" x14ac:dyDescent="0.25">
      <c r="D121" s="62">
        <f t="shared" si="59"/>
        <v>110</v>
      </c>
      <c r="E121" s="62">
        <f t="shared" si="65"/>
        <v>27.5</v>
      </c>
      <c r="F121" s="63">
        <f t="shared" si="66"/>
        <v>97.5</v>
      </c>
      <c r="G121" s="62">
        <f>IF(AND(E120&lt;E.maxDurHPE, E121&gt;=E.maxDurHPE), 1, 0)</f>
        <v>0</v>
      </c>
      <c r="H121" s="164" t="e">
        <f t="array" aca="1" ref="H121:S121" ca="1">MMULT(H120:S120, OFFSET(E.rngTPM_Root, INT(($F120-70)/5)*12, $G121*15))</f>
        <v>#VALUE!</v>
      </c>
      <c r="I121" s="164" t="e">
        <f ca="1"/>
        <v>#VALUE!</v>
      </c>
      <c r="J121" s="164" t="e">
        <f ca="1"/>
        <v>#VALUE!</v>
      </c>
      <c r="K121" s="164" t="e">
        <f ca="1"/>
        <v>#VALUE!</v>
      </c>
      <c r="L121" s="164" t="e">
        <f ca="1"/>
        <v>#VALUE!</v>
      </c>
      <c r="M121" s="164" t="e">
        <f ca="1"/>
        <v>#VALUE!</v>
      </c>
      <c r="N121" s="164" t="e">
        <f ca="1"/>
        <v>#VALUE!</v>
      </c>
      <c r="O121" s="164" t="e">
        <f ca="1"/>
        <v>#VALUE!</v>
      </c>
      <c r="P121" s="164" t="e">
        <f ca="1"/>
        <v>#VALUE!</v>
      </c>
      <c r="Q121" s="164" t="e">
        <f ca="1"/>
        <v>#VALUE!</v>
      </c>
      <c r="R121" s="164" t="e">
        <f ca="1"/>
        <v>#VALUE!</v>
      </c>
      <c r="S121" s="164" t="e">
        <f ca="1"/>
        <v>#VALUE!</v>
      </c>
      <c r="T121" s="128" t="e">
        <f t="shared" ca="1" si="60"/>
        <v>#VALUE!</v>
      </c>
      <c r="U121" s="141" t="e">
        <f t="shared" ca="1" si="61"/>
        <v>#VALUE!</v>
      </c>
      <c r="V121" s="141" t="e">
        <f t="shared" ca="1" si="56"/>
        <v>#VALUE!</v>
      </c>
      <c r="W121" s="141" t="e" cm="1">
        <f t="array" aca="1" ref="W121" ca="1">SUMPRODUCT(H120:I120, TRANSPOSE(OFFSET(E.TPMs!$N$8:$N$9, INT(($F120-70)/5)*12, $G121*15)))
+SUMPRODUCT(H120:I120, TRANSPOSE(OFFSET(E.TPMs!$O$8:$O$9, INT(($F120-70)/5)*12, $G121*15)))
+SUMPRODUCT(H120:I120, TRANSPOSE(OFFSET(E.TPMs!$P$8:$P$9, INT(($F120-70)/5)*12, $G121*15)))</f>
        <v>#VALUE!</v>
      </c>
      <c r="X121" s="141" t="e">
        <f t="shared" ca="1" si="62"/>
        <v>#VALUE!</v>
      </c>
      <c r="Y121" s="141" t="e" cm="1">
        <f t="array" aca="1" ref="Y121" ca="1">SUMPRODUCT(H120:M120, TRANSPOSE(OFFSET(E.TPMs!$R$8:$R$13, INT(($F120-70)/5)*12, $G121*15)))
+SUMPRODUCT(H120:M120, TRANSPOSE(OFFSET(E.TPMs!$S$8:$S$13, INT(($F120-70)/5)*12, $G121*15)))</f>
        <v>#VALUE!</v>
      </c>
      <c r="Z121" s="141" t="e" cm="1">
        <f t="array" aca="1" ref="Z121" ca="1">SUMPRODUCT(H120:N120, TRANSPOSE(OFFSET(E.TPMs!$S$8:$S$14, INT(($F120-70)/5)*12, $G121*15)))</f>
        <v>#VALUE!</v>
      </c>
      <c r="AB121" s="164" t="e">
        <f t="array" aca="1" ref="AB121:AM121" ca="1">MMULT(AB120:AM120, OFFSET(E.rngTPM_Root, INT(($F120-70)/5)*12, $G121*15))</f>
        <v>#VALUE!</v>
      </c>
      <c r="AC121" s="164" t="e">
        <f ca="1"/>
        <v>#VALUE!</v>
      </c>
      <c r="AD121" s="164" t="e">
        <f ca="1"/>
        <v>#VALUE!</v>
      </c>
      <c r="AE121" s="164" t="e">
        <f ca="1"/>
        <v>#VALUE!</v>
      </c>
      <c r="AF121" s="164" t="e">
        <f ca="1"/>
        <v>#VALUE!</v>
      </c>
      <c r="AG121" s="164" t="e">
        <f ca="1"/>
        <v>#VALUE!</v>
      </c>
      <c r="AH121" s="164" t="e">
        <f ca="1"/>
        <v>#VALUE!</v>
      </c>
      <c r="AI121" s="164" t="e">
        <f ca="1"/>
        <v>#VALUE!</v>
      </c>
      <c r="AJ121" s="164" t="e">
        <f ca="1"/>
        <v>#VALUE!</v>
      </c>
      <c r="AK121" s="164" t="e">
        <f ca="1"/>
        <v>#VALUE!</v>
      </c>
      <c r="AL121" s="164" t="e">
        <f ca="1"/>
        <v>#VALUE!</v>
      </c>
      <c r="AM121" s="164" t="e">
        <f ca="1"/>
        <v>#VALUE!</v>
      </c>
      <c r="AN121" s="128" t="e">
        <f t="shared" ca="1" si="63"/>
        <v>#VALUE!</v>
      </c>
      <c r="AO121" s="141" t="e">
        <f t="shared" ca="1" si="64"/>
        <v>#VALUE!</v>
      </c>
      <c r="AP121" s="141" t="e">
        <f t="shared" ca="1" si="57"/>
        <v>#VALUE!</v>
      </c>
      <c r="AQ121" s="141" t="e" cm="1">
        <f t="array" aca="1" ref="AQ121" ca="1">SUMPRODUCT(AB120:AC120, TRANSPOSE(OFFSET(E.TPMs!$N$8:$N$9, INT(($F120-70)/5)*12, $G121*15)))
+SUMPRODUCT(AB120:AC120, TRANSPOSE(OFFSET(E.TPMs!$O$8:$O$9, INT(($F120-70)/5)*12, $G121*15)))
+SUMPRODUCT(AB120:AC120, TRANSPOSE(OFFSET(E.TPMs!$P$8:$P$9, INT(($F120-70)/5)*12, $G121*15)))</f>
        <v>#VALUE!</v>
      </c>
      <c r="AR121" s="141" t="e">
        <f t="shared" ca="1" si="58"/>
        <v>#VALUE!</v>
      </c>
      <c r="AS121" s="141" t="e" cm="1">
        <f t="array" aca="1" ref="AS121" ca="1">SUMPRODUCT(AB120:AG120, TRANSPOSE(OFFSET(E.TPMs!$R$8:$R$13, INT(($F120-70)/5)*12, $G121*15)))
+SUMPRODUCT(AB120:AG120, TRANSPOSE(OFFSET(E.TPMs!$S$8:$S$13, INT(($F120-70)/5)*12, $G121*15)))</f>
        <v>#VALUE!</v>
      </c>
      <c r="AT121" s="141" t="e" cm="1">
        <f t="array" aca="1" ref="AT121" ca="1">SUMPRODUCT(AB120:AH120, TRANSPOSE(OFFSET(E.TPMs!$S$8:$S$14, INT(($F120-70)/5)*12, $G121*15)))</f>
        <v>#VALUE!</v>
      </c>
    </row>
    <row r="122" spans="4:46" ht="12" customHeight="1" x14ac:dyDescent="0.25">
      <c r="D122" s="62">
        <f t="shared" si="59"/>
        <v>111</v>
      </c>
      <c r="E122" s="62">
        <f t="shared" si="65"/>
        <v>27.75</v>
      </c>
      <c r="F122" s="63">
        <f t="shared" si="66"/>
        <v>97.75</v>
      </c>
      <c r="G122" s="62">
        <f>IF(AND(E121&lt;E.maxDurHPE, E122&gt;=E.maxDurHPE), 1, 0)</f>
        <v>0</v>
      </c>
      <c r="H122" s="164" t="e">
        <f t="array" aca="1" ref="H122:S122" ca="1">MMULT(H121:S121, OFFSET(E.rngTPM_Root, INT(($F121-70)/5)*12, $G122*15))</f>
        <v>#VALUE!</v>
      </c>
      <c r="I122" s="164" t="e">
        <f ca="1"/>
        <v>#VALUE!</v>
      </c>
      <c r="J122" s="164" t="e">
        <f ca="1"/>
        <v>#VALUE!</v>
      </c>
      <c r="K122" s="164" t="e">
        <f ca="1"/>
        <v>#VALUE!</v>
      </c>
      <c r="L122" s="164" t="e">
        <f ca="1"/>
        <v>#VALUE!</v>
      </c>
      <c r="M122" s="164" t="e">
        <f ca="1"/>
        <v>#VALUE!</v>
      </c>
      <c r="N122" s="164" t="e">
        <f ca="1"/>
        <v>#VALUE!</v>
      </c>
      <c r="O122" s="164" t="e">
        <f ca="1"/>
        <v>#VALUE!</v>
      </c>
      <c r="P122" s="164" t="e">
        <f ca="1"/>
        <v>#VALUE!</v>
      </c>
      <c r="Q122" s="164" t="e">
        <f ca="1"/>
        <v>#VALUE!</v>
      </c>
      <c r="R122" s="164" t="e">
        <f ca="1"/>
        <v>#VALUE!</v>
      </c>
      <c r="S122" s="164" t="e">
        <f ca="1"/>
        <v>#VALUE!</v>
      </c>
      <c r="T122" s="128" t="e">
        <f t="shared" ca="1" si="60"/>
        <v>#VALUE!</v>
      </c>
      <c r="U122" s="141" t="e">
        <f t="shared" ca="1" si="61"/>
        <v>#VALUE!</v>
      </c>
      <c r="V122" s="141" t="e">
        <f t="shared" ca="1" si="56"/>
        <v>#VALUE!</v>
      </c>
      <c r="W122" s="141" t="e" cm="1">
        <f t="array" aca="1" ref="W122" ca="1">SUMPRODUCT(H121:I121, TRANSPOSE(OFFSET(E.TPMs!$N$8:$N$9, INT(($F121-70)/5)*12, $G122*15)))
+SUMPRODUCT(H121:I121, TRANSPOSE(OFFSET(E.TPMs!$O$8:$O$9, INT(($F121-70)/5)*12, $G122*15)))
+SUMPRODUCT(H121:I121, TRANSPOSE(OFFSET(E.TPMs!$P$8:$P$9, INT(($F121-70)/5)*12, $G122*15)))</f>
        <v>#VALUE!</v>
      </c>
      <c r="X122" s="141" t="e">
        <f t="shared" ca="1" si="62"/>
        <v>#VALUE!</v>
      </c>
      <c r="Y122" s="141" t="e" cm="1">
        <f t="array" aca="1" ref="Y122" ca="1">SUMPRODUCT(H121:M121, TRANSPOSE(OFFSET(E.TPMs!$R$8:$R$13, INT(($F121-70)/5)*12, $G122*15)))
+SUMPRODUCT(H121:M121, TRANSPOSE(OFFSET(E.TPMs!$S$8:$S$13, INT(($F121-70)/5)*12, $G122*15)))</f>
        <v>#VALUE!</v>
      </c>
      <c r="Z122" s="141" t="e" cm="1">
        <f t="array" aca="1" ref="Z122" ca="1">SUMPRODUCT(H121:N121, TRANSPOSE(OFFSET(E.TPMs!$S$8:$S$14, INT(($F121-70)/5)*12, $G122*15)))</f>
        <v>#VALUE!</v>
      </c>
      <c r="AB122" s="164" t="e">
        <f t="array" aca="1" ref="AB122:AM122" ca="1">MMULT(AB121:AM121, OFFSET(E.rngTPM_Root, INT(($F121-70)/5)*12, $G122*15))</f>
        <v>#VALUE!</v>
      </c>
      <c r="AC122" s="164" t="e">
        <f ca="1"/>
        <v>#VALUE!</v>
      </c>
      <c r="AD122" s="164" t="e">
        <f ca="1"/>
        <v>#VALUE!</v>
      </c>
      <c r="AE122" s="164" t="e">
        <f ca="1"/>
        <v>#VALUE!</v>
      </c>
      <c r="AF122" s="164" t="e">
        <f ca="1"/>
        <v>#VALUE!</v>
      </c>
      <c r="AG122" s="164" t="e">
        <f ca="1"/>
        <v>#VALUE!</v>
      </c>
      <c r="AH122" s="164" t="e">
        <f ca="1"/>
        <v>#VALUE!</v>
      </c>
      <c r="AI122" s="164" t="e">
        <f ca="1"/>
        <v>#VALUE!</v>
      </c>
      <c r="AJ122" s="164" t="e">
        <f ca="1"/>
        <v>#VALUE!</v>
      </c>
      <c r="AK122" s="164" t="e">
        <f ca="1"/>
        <v>#VALUE!</v>
      </c>
      <c r="AL122" s="164" t="e">
        <f ca="1"/>
        <v>#VALUE!</v>
      </c>
      <c r="AM122" s="164" t="e">
        <f ca="1"/>
        <v>#VALUE!</v>
      </c>
      <c r="AN122" s="128" t="e">
        <f t="shared" ca="1" si="63"/>
        <v>#VALUE!</v>
      </c>
      <c r="AO122" s="141" t="e">
        <f t="shared" ca="1" si="64"/>
        <v>#VALUE!</v>
      </c>
      <c r="AP122" s="141" t="e">
        <f t="shared" ca="1" si="57"/>
        <v>#VALUE!</v>
      </c>
      <c r="AQ122" s="141" t="e" cm="1">
        <f t="array" aca="1" ref="AQ122" ca="1">SUMPRODUCT(AB121:AC121, TRANSPOSE(OFFSET(E.TPMs!$N$8:$N$9, INT(($F121-70)/5)*12, $G122*15)))
+SUMPRODUCT(AB121:AC121, TRANSPOSE(OFFSET(E.TPMs!$O$8:$O$9, INT(($F121-70)/5)*12, $G122*15)))
+SUMPRODUCT(AB121:AC121, TRANSPOSE(OFFSET(E.TPMs!$P$8:$P$9, INT(($F121-70)/5)*12, $G122*15)))</f>
        <v>#VALUE!</v>
      </c>
      <c r="AR122" s="141" t="e">
        <f t="shared" ca="1" si="58"/>
        <v>#VALUE!</v>
      </c>
      <c r="AS122" s="141" t="e" cm="1">
        <f t="array" aca="1" ref="AS122" ca="1">SUMPRODUCT(AB121:AG121, TRANSPOSE(OFFSET(E.TPMs!$R$8:$R$13, INT(($F121-70)/5)*12, $G122*15)))
+SUMPRODUCT(AB121:AG121, TRANSPOSE(OFFSET(E.TPMs!$S$8:$S$13, INT(($F121-70)/5)*12, $G122*15)))</f>
        <v>#VALUE!</v>
      </c>
      <c r="AT122" s="141" t="e" cm="1">
        <f t="array" aca="1" ref="AT122" ca="1">SUMPRODUCT(AB121:AH121, TRANSPOSE(OFFSET(E.TPMs!$S$8:$S$14, INT(($F121-70)/5)*12, $G122*15)))</f>
        <v>#VALUE!</v>
      </c>
    </row>
    <row r="123" spans="4:46" ht="12" customHeight="1" x14ac:dyDescent="0.25">
      <c r="D123" s="62">
        <f t="shared" si="59"/>
        <v>112</v>
      </c>
      <c r="E123" s="62">
        <f t="shared" si="65"/>
        <v>28</v>
      </c>
      <c r="F123" s="63">
        <f t="shared" si="66"/>
        <v>98</v>
      </c>
      <c r="G123" s="62">
        <f>IF(AND(E122&lt;E.maxDurHPE, E123&gt;=E.maxDurHPE), 1, 0)</f>
        <v>0</v>
      </c>
      <c r="H123" s="164" t="e">
        <f t="array" aca="1" ref="H123:S123" ca="1">MMULT(H122:S122, OFFSET(E.rngTPM_Root, INT(($F122-70)/5)*12, $G123*15))</f>
        <v>#VALUE!</v>
      </c>
      <c r="I123" s="164" t="e">
        <f ca="1"/>
        <v>#VALUE!</v>
      </c>
      <c r="J123" s="164" t="e">
        <f ca="1"/>
        <v>#VALUE!</v>
      </c>
      <c r="K123" s="164" t="e">
        <f ca="1"/>
        <v>#VALUE!</v>
      </c>
      <c r="L123" s="164" t="e">
        <f ca="1"/>
        <v>#VALUE!</v>
      </c>
      <c r="M123" s="164" t="e">
        <f ca="1"/>
        <v>#VALUE!</v>
      </c>
      <c r="N123" s="164" t="e">
        <f ca="1"/>
        <v>#VALUE!</v>
      </c>
      <c r="O123" s="164" t="e">
        <f ca="1"/>
        <v>#VALUE!</v>
      </c>
      <c r="P123" s="164" t="e">
        <f ca="1"/>
        <v>#VALUE!</v>
      </c>
      <c r="Q123" s="164" t="e">
        <f ca="1"/>
        <v>#VALUE!</v>
      </c>
      <c r="R123" s="164" t="e">
        <f ca="1"/>
        <v>#VALUE!</v>
      </c>
      <c r="S123" s="164" t="e">
        <f ca="1"/>
        <v>#VALUE!</v>
      </c>
      <c r="T123" s="128" t="e">
        <f t="shared" ca="1" si="60"/>
        <v>#VALUE!</v>
      </c>
      <c r="U123" s="141" t="e">
        <f t="shared" ca="1" si="61"/>
        <v>#VALUE!</v>
      </c>
      <c r="V123" s="141" t="e">
        <f t="shared" ca="1" si="56"/>
        <v>#VALUE!</v>
      </c>
      <c r="W123" s="141" t="e" cm="1">
        <f t="array" aca="1" ref="W123" ca="1">SUMPRODUCT(H122:I122, TRANSPOSE(OFFSET(E.TPMs!$N$8:$N$9, INT(($F122-70)/5)*12, $G123*15)))
+SUMPRODUCT(H122:I122, TRANSPOSE(OFFSET(E.TPMs!$O$8:$O$9, INT(($F122-70)/5)*12, $G123*15)))
+SUMPRODUCT(H122:I122, TRANSPOSE(OFFSET(E.TPMs!$P$8:$P$9, INT(($F122-70)/5)*12, $G123*15)))</f>
        <v>#VALUE!</v>
      </c>
      <c r="X123" s="141" t="e">
        <f t="shared" ca="1" si="62"/>
        <v>#VALUE!</v>
      </c>
      <c r="Y123" s="141" t="e" cm="1">
        <f t="array" aca="1" ref="Y123" ca="1">SUMPRODUCT(H122:M122, TRANSPOSE(OFFSET(E.TPMs!$R$8:$R$13, INT(($F122-70)/5)*12, $G123*15)))
+SUMPRODUCT(H122:M122, TRANSPOSE(OFFSET(E.TPMs!$S$8:$S$13, INT(($F122-70)/5)*12, $G123*15)))</f>
        <v>#VALUE!</v>
      </c>
      <c r="Z123" s="141" t="e" cm="1">
        <f t="array" aca="1" ref="Z123" ca="1">SUMPRODUCT(H122:N122, TRANSPOSE(OFFSET(E.TPMs!$S$8:$S$14, INT(($F122-70)/5)*12, $G123*15)))</f>
        <v>#VALUE!</v>
      </c>
      <c r="AB123" s="164" t="e">
        <f t="array" aca="1" ref="AB123:AM123" ca="1">MMULT(AB122:AM122, OFFSET(E.rngTPM_Root, INT(($F122-70)/5)*12, $G123*15))</f>
        <v>#VALUE!</v>
      </c>
      <c r="AC123" s="164" t="e">
        <f ca="1"/>
        <v>#VALUE!</v>
      </c>
      <c r="AD123" s="164" t="e">
        <f ca="1"/>
        <v>#VALUE!</v>
      </c>
      <c r="AE123" s="164" t="e">
        <f ca="1"/>
        <v>#VALUE!</v>
      </c>
      <c r="AF123" s="164" t="e">
        <f ca="1"/>
        <v>#VALUE!</v>
      </c>
      <c r="AG123" s="164" t="e">
        <f ca="1"/>
        <v>#VALUE!</v>
      </c>
      <c r="AH123" s="164" t="e">
        <f ca="1"/>
        <v>#VALUE!</v>
      </c>
      <c r="AI123" s="164" t="e">
        <f ca="1"/>
        <v>#VALUE!</v>
      </c>
      <c r="AJ123" s="164" t="e">
        <f ca="1"/>
        <v>#VALUE!</v>
      </c>
      <c r="AK123" s="164" t="e">
        <f ca="1"/>
        <v>#VALUE!</v>
      </c>
      <c r="AL123" s="164" t="e">
        <f ca="1"/>
        <v>#VALUE!</v>
      </c>
      <c r="AM123" s="164" t="e">
        <f ca="1"/>
        <v>#VALUE!</v>
      </c>
      <c r="AN123" s="128" t="e">
        <f t="shared" ca="1" si="63"/>
        <v>#VALUE!</v>
      </c>
      <c r="AO123" s="141" t="e">
        <f t="shared" ca="1" si="64"/>
        <v>#VALUE!</v>
      </c>
      <c r="AP123" s="141" t="e">
        <f t="shared" ca="1" si="57"/>
        <v>#VALUE!</v>
      </c>
      <c r="AQ123" s="141" t="e" cm="1">
        <f t="array" aca="1" ref="AQ123" ca="1">SUMPRODUCT(AB122:AC122, TRANSPOSE(OFFSET(E.TPMs!$N$8:$N$9, INT(($F122-70)/5)*12, $G123*15)))
+SUMPRODUCT(AB122:AC122, TRANSPOSE(OFFSET(E.TPMs!$O$8:$O$9, INT(($F122-70)/5)*12, $G123*15)))
+SUMPRODUCT(AB122:AC122, TRANSPOSE(OFFSET(E.TPMs!$P$8:$P$9, INT(($F122-70)/5)*12, $G123*15)))</f>
        <v>#VALUE!</v>
      </c>
      <c r="AR123" s="141" t="e">
        <f t="shared" ca="1" si="58"/>
        <v>#VALUE!</v>
      </c>
      <c r="AS123" s="141" t="e" cm="1">
        <f t="array" aca="1" ref="AS123" ca="1">SUMPRODUCT(AB122:AG122, TRANSPOSE(OFFSET(E.TPMs!$R$8:$R$13, INT(($F122-70)/5)*12, $G123*15)))
+SUMPRODUCT(AB122:AG122, TRANSPOSE(OFFSET(E.TPMs!$S$8:$S$13, INT(($F122-70)/5)*12, $G123*15)))</f>
        <v>#VALUE!</v>
      </c>
      <c r="AT123" s="141" t="e" cm="1">
        <f t="array" aca="1" ref="AT123" ca="1">SUMPRODUCT(AB122:AH122, TRANSPOSE(OFFSET(E.TPMs!$S$8:$S$14, INT(($F122-70)/5)*12, $G123*15)))</f>
        <v>#VALUE!</v>
      </c>
    </row>
    <row r="124" spans="4:46" ht="12" customHeight="1" x14ac:dyDescent="0.25">
      <c r="D124" s="62">
        <f t="shared" si="59"/>
        <v>113</v>
      </c>
      <c r="E124" s="62">
        <f t="shared" si="65"/>
        <v>28.25</v>
      </c>
      <c r="F124" s="63">
        <f t="shared" si="66"/>
        <v>98.25</v>
      </c>
      <c r="G124" s="62">
        <f>IF(AND(E123&lt;E.maxDurHPE, E124&gt;=E.maxDurHPE), 1, 0)</f>
        <v>0</v>
      </c>
      <c r="H124" s="164" t="e">
        <f t="array" aca="1" ref="H124:S124" ca="1">MMULT(H123:S123, OFFSET(E.rngTPM_Root, INT(($F123-70)/5)*12, $G124*15))</f>
        <v>#VALUE!</v>
      </c>
      <c r="I124" s="164" t="e">
        <f ca="1"/>
        <v>#VALUE!</v>
      </c>
      <c r="J124" s="164" t="e">
        <f ca="1"/>
        <v>#VALUE!</v>
      </c>
      <c r="K124" s="164" t="e">
        <f ca="1"/>
        <v>#VALUE!</v>
      </c>
      <c r="L124" s="164" t="e">
        <f ca="1"/>
        <v>#VALUE!</v>
      </c>
      <c r="M124" s="164" t="e">
        <f ca="1"/>
        <v>#VALUE!</v>
      </c>
      <c r="N124" s="164" t="e">
        <f ca="1"/>
        <v>#VALUE!</v>
      </c>
      <c r="O124" s="164" t="e">
        <f ca="1"/>
        <v>#VALUE!</v>
      </c>
      <c r="P124" s="164" t="e">
        <f ca="1"/>
        <v>#VALUE!</v>
      </c>
      <c r="Q124" s="164" t="e">
        <f ca="1"/>
        <v>#VALUE!</v>
      </c>
      <c r="R124" s="164" t="e">
        <f ca="1"/>
        <v>#VALUE!</v>
      </c>
      <c r="S124" s="164" t="e">
        <f ca="1"/>
        <v>#VALUE!</v>
      </c>
      <c r="T124" s="128" t="e">
        <f t="shared" ca="1" si="60"/>
        <v>#VALUE!</v>
      </c>
      <c r="U124" s="141" t="e">
        <f t="shared" ca="1" si="61"/>
        <v>#VALUE!</v>
      </c>
      <c r="V124" s="141" t="e">
        <f t="shared" ca="1" si="56"/>
        <v>#VALUE!</v>
      </c>
      <c r="W124" s="141" t="e" cm="1">
        <f t="array" aca="1" ref="W124" ca="1">SUMPRODUCT(H123:I123, TRANSPOSE(OFFSET(E.TPMs!$N$8:$N$9, INT(($F123-70)/5)*12, $G124*15)))
+SUMPRODUCT(H123:I123, TRANSPOSE(OFFSET(E.TPMs!$O$8:$O$9, INT(($F123-70)/5)*12, $G124*15)))
+SUMPRODUCT(H123:I123, TRANSPOSE(OFFSET(E.TPMs!$P$8:$P$9, INT(($F123-70)/5)*12, $G124*15)))</f>
        <v>#VALUE!</v>
      </c>
      <c r="X124" s="141" t="e">
        <f t="shared" ca="1" si="62"/>
        <v>#VALUE!</v>
      </c>
      <c r="Y124" s="141" t="e" cm="1">
        <f t="array" aca="1" ref="Y124" ca="1">SUMPRODUCT(H123:M123, TRANSPOSE(OFFSET(E.TPMs!$R$8:$R$13, INT(($F123-70)/5)*12, $G124*15)))
+SUMPRODUCT(H123:M123, TRANSPOSE(OFFSET(E.TPMs!$S$8:$S$13, INT(($F123-70)/5)*12, $G124*15)))</f>
        <v>#VALUE!</v>
      </c>
      <c r="Z124" s="141" t="e" cm="1">
        <f t="array" aca="1" ref="Z124" ca="1">SUMPRODUCT(H123:N123, TRANSPOSE(OFFSET(E.TPMs!$S$8:$S$14, INT(($F123-70)/5)*12, $G124*15)))</f>
        <v>#VALUE!</v>
      </c>
      <c r="AB124" s="164" t="e">
        <f t="array" aca="1" ref="AB124:AM124" ca="1">MMULT(AB123:AM123, OFFSET(E.rngTPM_Root, INT(($F123-70)/5)*12, $G124*15))</f>
        <v>#VALUE!</v>
      </c>
      <c r="AC124" s="164" t="e">
        <f ca="1"/>
        <v>#VALUE!</v>
      </c>
      <c r="AD124" s="164" t="e">
        <f ca="1"/>
        <v>#VALUE!</v>
      </c>
      <c r="AE124" s="164" t="e">
        <f ca="1"/>
        <v>#VALUE!</v>
      </c>
      <c r="AF124" s="164" t="e">
        <f ca="1"/>
        <v>#VALUE!</v>
      </c>
      <c r="AG124" s="164" t="e">
        <f ca="1"/>
        <v>#VALUE!</v>
      </c>
      <c r="AH124" s="164" t="e">
        <f ca="1"/>
        <v>#VALUE!</v>
      </c>
      <c r="AI124" s="164" t="e">
        <f ca="1"/>
        <v>#VALUE!</v>
      </c>
      <c r="AJ124" s="164" t="e">
        <f ca="1"/>
        <v>#VALUE!</v>
      </c>
      <c r="AK124" s="164" t="e">
        <f ca="1"/>
        <v>#VALUE!</v>
      </c>
      <c r="AL124" s="164" t="e">
        <f ca="1"/>
        <v>#VALUE!</v>
      </c>
      <c r="AM124" s="164" t="e">
        <f ca="1"/>
        <v>#VALUE!</v>
      </c>
      <c r="AN124" s="128" t="e">
        <f t="shared" ca="1" si="63"/>
        <v>#VALUE!</v>
      </c>
      <c r="AO124" s="141" t="e">
        <f t="shared" ca="1" si="64"/>
        <v>#VALUE!</v>
      </c>
      <c r="AP124" s="141" t="e">
        <f t="shared" ca="1" si="57"/>
        <v>#VALUE!</v>
      </c>
      <c r="AQ124" s="141" t="e" cm="1">
        <f t="array" aca="1" ref="AQ124" ca="1">SUMPRODUCT(AB123:AC123, TRANSPOSE(OFFSET(E.TPMs!$N$8:$N$9, INT(($F123-70)/5)*12, $G124*15)))
+SUMPRODUCT(AB123:AC123, TRANSPOSE(OFFSET(E.TPMs!$O$8:$O$9, INT(($F123-70)/5)*12, $G124*15)))
+SUMPRODUCT(AB123:AC123, TRANSPOSE(OFFSET(E.TPMs!$P$8:$P$9, INT(($F123-70)/5)*12, $G124*15)))</f>
        <v>#VALUE!</v>
      </c>
      <c r="AR124" s="141" t="e">
        <f t="shared" ca="1" si="58"/>
        <v>#VALUE!</v>
      </c>
      <c r="AS124" s="141" t="e" cm="1">
        <f t="array" aca="1" ref="AS124" ca="1">SUMPRODUCT(AB123:AG123, TRANSPOSE(OFFSET(E.TPMs!$R$8:$R$13, INT(($F123-70)/5)*12, $G124*15)))
+SUMPRODUCT(AB123:AG123, TRANSPOSE(OFFSET(E.TPMs!$S$8:$S$13, INT(($F123-70)/5)*12, $G124*15)))</f>
        <v>#VALUE!</v>
      </c>
      <c r="AT124" s="141" t="e" cm="1">
        <f t="array" aca="1" ref="AT124" ca="1">SUMPRODUCT(AB123:AH123, TRANSPOSE(OFFSET(E.TPMs!$S$8:$S$14, INT(($F123-70)/5)*12, $G124*15)))</f>
        <v>#VALUE!</v>
      </c>
    </row>
    <row r="125" spans="4:46" ht="12" customHeight="1" x14ac:dyDescent="0.25">
      <c r="D125" s="62">
        <f t="shared" si="59"/>
        <v>114</v>
      </c>
      <c r="E125" s="62">
        <f t="shared" si="65"/>
        <v>28.5</v>
      </c>
      <c r="F125" s="63">
        <f t="shared" si="66"/>
        <v>98.5</v>
      </c>
      <c r="G125" s="62">
        <f>IF(AND(E124&lt;E.maxDurHPE, E125&gt;=E.maxDurHPE), 1, 0)</f>
        <v>0</v>
      </c>
      <c r="H125" s="164" t="e">
        <f t="array" aca="1" ref="H125:S125" ca="1">MMULT(H124:S124, OFFSET(E.rngTPM_Root, INT(($F124-70)/5)*12, $G125*15))</f>
        <v>#VALUE!</v>
      </c>
      <c r="I125" s="164" t="e">
        <f ca="1"/>
        <v>#VALUE!</v>
      </c>
      <c r="J125" s="164" t="e">
        <f ca="1"/>
        <v>#VALUE!</v>
      </c>
      <c r="K125" s="164" t="e">
        <f ca="1"/>
        <v>#VALUE!</v>
      </c>
      <c r="L125" s="164" t="e">
        <f ca="1"/>
        <v>#VALUE!</v>
      </c>
      <c r="M125" s="164" t="e">
        <f ca="1"/>
        <v>#VALUE!</v>
      </c>
      <c r="N125" s="164" t="e">
        <f ca="1"/>
        <v>#VALUE!</v>
      </c>
      <c r="O125" s="164" t="e">
        <f ca="1"/>
        <v>#VALUE!</v>
      </c>
      <c r="P125" s="164" t="e">
        <f ca="1"/>
        <v>#VALUE!</v>
      </c>
      <c r="Q125" s="164" t="e">
        <f ca="1"/>
        <v>#VALUE!</v>
      </c>
      <c r="R125" s="164" t="e">
        <f ca="1"/>
        <v>#VALUE!</v>
      </c>
      <c r="S125" s="164" t="e">
        <f ca="1"/>
        <v>#VALUE!</v>
      </c>
      <c r="T125" s="128" t="e">
        <f t="shared" ca="1" si="60"/>
        <v>#VALUE!</v>
      </c>
      <c r="U125" s="141" t="e">
        <f t="shared" ca="1" si="61"/>
        <v>#VALUE!</v>
      </c>
      <c r="V125" s="141" t="e">
        <f t="shared" ca="1" si="56"/>
        <v>#VALUE!</v>
      </c>
      <c r="W125" s="141" t="e" cm="1">
        <f t="array" aca="1" ref="W125" ca="1">SUMPRODUCT(H124:I124, TRANSPOSE(OFFSET(E.TPMs!$N$8:$N$9, INT(($F124-70)/5)*12, $G125*15)))
+SUMPRODUCT(H124:I124, TRANSPOSE(OFFSET(E.TPMs!$O$8:$O$9, INT(($F124-70)/5)*12, $G125*15)))
+SUMPRODUCT(H124:I124, TRANSPOSE(OFFSET(E.TPMs!$P$8:$P$9, INT(($F124-70)/5)*12, $G125*15)))</f>
        <v>#VALUE!</v>
      </c>
      <c r="X125" s="141" t="e">
        <f t="shared" ca="1" si="62"/>
        <v>#VALUE!</v>
      </c>
      <c r="Y125" s="141" t="e" cm="1">
        <f t="array" aca="1" ref="Y125" ca="1">SUMPRODUCT(H124:M124, TRANSPOSE(OFFSET(E.TPMs!$R$8:$R$13, INT(($F124-70)/5)*12, $G125*15)))
+SUMPRODUCT(H124:M124, TRANSPOSE(OFFSET(E.TPMs!$S$8:$S$13, INT(($F124-70)/5)*12, $G125*15)))</f>
        <v>#VALUE!</v>
      </c>
      <c r="Z125" s="141" t="e" cm="1">
        <f t="array" aca="1" ref="Z125" ca="1">SUMPRODUCT(H124:N124, TRANSPOSE(OFFSET(E.TPMs!$S$8:$S$14, INT(($F124-70)/5)*12, $G125*15)))</f>
        <v>#VALUE!</v>
      </c>
      <c r="AB125" s="164" t="e">
        <f t="array" aca="1" ref="AB125:AM125" ca="1">MMULT(AB124:AM124, OFFSET(E.rngTPM_Root, INT(($F124-70)/5)*12, $G125*15))</f>
        <v>#VALUE!</v>
      </c>
      <c r="AC125" s="164" t="e">
        <f ca="1"/>
        <v>#VALUE!</v>
      </c>
      <c r="AD125" s="164" t="e">
        <f ca="1"/>
        <v>#VALUE!</v>
      </c>
      <c r="AE125" s="164" t="e">
        <f ca="1"/>
        <v>#VALUE!</v>
      </c>
      <c r="AF125" s="164" t="e">
        <f ca="1"/>
        <v>#VALUE!</v>
      </c>
      <c r="AG125" s="164" t="e">
        <f ca="1"/>
        <v>#VALUE!</v>
      </c>
      <c r="AH125" s="164" t="e">
        <f ca="1"/>
        <v>#VALUE!</v>
      </c>
      <c r="AI125" s="164" t="e">
        <f ca="1"/>
        <v>#VALUE!</v>
      </c>
      <c r="AJ125" s="164" t="e">
        <f ca="1"/>
        <v>#VALUE!</v>
      </c>
      <c r="AK125" s="164" t="e">
        <f ca="1"/>
        <v>#VALUE!</v>
      </c>
      <c r="AL125" s="164" t="e">
        <f ca="1"/>
        <v>#VALUE!</v>
      </c>
      <c r="AM125" s="164" t="e">
        <f ca="1"/>
        <v>#VALUE!</v>
      </c>
      <c r="AN125" s="128" t="e">
        <f t="shared" ca="1" si="63"/>
        <v>#VALUE!</v>
      </c>
      <c r="AO125" s="141" t="e">
        <f t="shared" ca="1" si="64"/>
        <v>#VALUE!</v>
      </c>
      <c r="AP125" s="141" t="e">
        <f t="shared" ca="1" si="57"/>
        <v>#VALUE!</v>
      </c>
      <c r="AQ125" s="141" t="e" cm="1">
        <f t="array" aca="1" ref="AQ125" ca="1">SUMPRODUCT(AB124:AC124, TRANSPOSE(OFFSET(E.TPMs!$N$8:$N$9, INT(($F124-70)/5)*12, $G125*15)))
+SUMPRODUCT(AB124:AC124, TRANSPOSE(OFFSET(E.TPMs!$O$8:$O$9, INT(($F124-70)/5)*12, $G125*15)))
+SUMPRODUCT(AB124:AC124, TRANSPOSE(OFFSET(E.TPMs!$P$8:$P$9, INT(($F124-70)/5)*12, $G125*15)))</f>
        <v>#VALUE!</v>
      </c>
      <c r="AR125" s="141" t="e">
        <f t="shared" ca="1" si="58"/>
        <v>#VALUE!</v>
      </c>
      <c r="AS125" s="141" t="e" cm="1">
        <f t="array" aca="1" ref="AS125" ca="1">SUMPRODUCT(AB124:AG124, TRANSPOSE(OFFSET(E.TPMs!$R$8:$R$13, INT(($F124-70)/5)*12, $G125*15)))
+SUMPRODUCT(AB124:AG124, TRANSPOSE(OFFSET(E.TPMs!$S$8:$S$13, INT(($F124-70)/5)*12, $G125*15)))</f>
        <v>#VALUE!</v>
      </c>
      <c r="AT125" s="141" t="e" cm="1">
        <f t="array" aca="1" ref="AT125" ca="1">SUMPRODUCT(AB124:AH124, TRANSPOSE(OFFSET(E.TPMs!$S$8:$S$14, INT(($F124-70)/5)*12, $G125*15)))</f>
        <v>#VALUE!</v>
      </c>
    </row>
    <row r="126" spans="4:46" ht="12" customHeight="1" x14ac:dyDescent="0.25">
      <c r="D126" s="62">
        <f t="shared" si="59"/>
        <v>115</v>
      </c>
      <c r="E126" s="62">
        <f t="shared" si="65"/>
        <v>28.75</v>
      </c>
      <c r="F126" s="63">
        <f t="shared" si="66"/>
        <v>98.75</v>
      </c>
      <c r="G126" s="62">
        <f>IF(AND(E125&lt;E.maxDurHPE, E126&gt;=E.maxDurHPE), 1, 0)</f>
        <v>0</v>
      </c>
      <c r="H126" s="164" t="e">
        <f t="array" aca="1" ref="H126:S126" ca="1">MMULT(H125:S125, OFFSET(E.rngTPM_Root, INT(($F125-70)/5)*12, $G126*15))</f>
        <v>#VALUE!</v>
      </c>
      <c r="I126" s="164" t="e">
        <f ca="1"/>
        <v>#VALUE!</v>
      </c>
      <c r="J126" s="164" t="e">
        <f ca="1"/>
        <v>#VALUE!</v>
      </c>
      <c r="K126" s="164" t="e">
        <f ca="1"/>
        <v>#VALUE!</v>
      </c>
      <c r="L126" s="164" t="e">
        <f ca="1"/>
        <v>#VALUE!</v>
      </c>
      <c r="M126" s="164" t="e">
        <f ca="1"/>
        <v>#VALUE!</v>
      </c>
      <c r="N126" s="164" t="e">
        <f ca="1"/>
        <v>#VALUE!</v>
      </c>
      <c r="O126" s="164" t="e">
        <f ca="1"/>
        <v>#VALUE!</v>
      </c>
      <c r="P126" s="164" t="e">
        <f ca="1"/>
        <v>#VALUE!</v>
      </c>
      <c r="Q126" s="164" t="e">
        <f ca="1"/>
        <v>#VALUE!</v>
      </c>
      <c r="R126" s="164" t="e">
        <f ca="1"/>
        <v>#VALUE!</v>
      </c>
      <c r="S126" s="164" t="e">
        <f ca="1"/>
        <v>#VALUE!</v>
      </c>
      <c r="T126" s="128" t="e">
        <f t="shared" ca="1" si="60"/>
        <v>#VALUE!</v>
      </c>
      <c r="U126" s="141" t="e">
        <f t="shared" ca="1" si="61"/>
        <v>#VALUE!</v>
      </c>
      <c r="V126" s="141" t="e">
        <f t="shared" ca="1" si="56"/>
        <v>#VALUE!</v>
      </c>
      <c r="W126" s="141" t="e" cm="1">
        <f t="array" aca="1" ref="W126" ca="1">SUMPRODUCT(H125:I125, TRANSPOSE(OFFSET(E.TPMs!$N$8:$N$9, INT(($F125-70)/5)*12, $G126*15)))
+SUMPRODUCT(H125:I125, TRANSPOSE(OFFSET(E.TPMs!$O$8:$O$9, INT(($F125-70)/5)*12, $G126*15)))
+SUMPRODUCT(H125:I125, TRANSPOSE(OFFSET(E.TPMs!$P$8:$P$9, INT(($F125-70)/5)*12, $G126*15)))</f>
        <v>#VALUE!</v>
      </c>
      <c r="X126" s="141" t="e">
        <f t="shared" ca="1" si="62"/>
        <v>#VALUE!</v>
      </c>
      <c r="Y126" s="141" t="e" cm="1">
        <f t="array" aca="1" ref="Y126" ca="1">SUMPRODUCT(H125:M125, TRANSPOSE(OFFSET(E.TPMs!$R$8:$R$13, INT(($F125-70)/5)*12, $G126*15)))
+SUMPRODUCT(H125:M125, TRANSPOSE(OFFSET(E.TPMs!$S$8:$S$13, INT(($F125-70)/5)*12, $G126*15)))</f>
        <v>#VALUE!</v>
      </c>
      <c r="Z126" s="141" t="e" cm="1">
        <f t="array" aca="1" ref="Z126" ca="1">SUMPRODUCT(H125:N125, TRANSPOSE(OFFSET(E.TPMs!$S$8:$S$14, INT(($F125-70)/5)*12, $G126*15)))</f>
        <v>#VALUE!</v>
      </c>
      <c r="AB126" s="164" t="e">
        <f t="array" aca="1" ref="AB126:AM126" ca="1">MMULT(AB125:AM125, OFFSET(E.rngTPM_Root, INT(($F125-70)/5)*12, $G126*15))</f>
        <v>#VALUE!</v>
      </c>
      <c r="AC126" s="164" t="e">
        <f ca="1"/>
        <v>#VALUE!</v>
      </c>
      <c r="AD126" s="164" t="e">
        <f ca="1"/>
        <v>#VALUE!</v>
      </c>
      <c r="AE126" s="164" t="e">
        <f ca="1"/>
        <v>#VALUE!</v>
      </c>
      <c r="AF126" s="164" t="e">
        <f ca="1"/>
        <v>#VALUE!</v>
      </c>
      <c r="AG126" s="164" t="e">
        <f ca="1"/>
        <v>#VALUE!</v>
      </c>
      <c r="AH126" s="164" t="e">
        <f ca="1"/>
        <v>#VALUE!</v>
      </c>
      <c r="AI126" s="164" t="e">
        <f ca="1"/>
        <v>#VALUE!</v>
      </c>
      <c r="AJ126" s="164" t="e">
        <f ca="1"/>
        <v>#VALUE!</v>
      </c>
      <c r="AK126" s="164" t="e">
        <f ca="1"/>
        <v>#VALUE!</v>
      </c>
      <c r="AL126" s="164" t="e">
        <f ca="1"/>
        <v>#VALUE!</v>
      </c>
      <c r="AM126" s="164" t="e">
        <f ca="1"/>
        <v>#VALUE!</v>
      </c>
      <c r="AN126" s="128" t="e">
        <f t="shared" ca="1" si="63"/>
        <v>#VALUE!</v>
      </c>
      <c r="AO126" s="141" t="e">
        <f t="shared" ca="1" si="64"/>
        <v>#VALUE!</v>
      </c>
      <c r="AP126" s="141" t="e">
        <f t="shared" ca="1" si="57"/>
        <v>#VALUE!</v>
      </c>
      <c r="AQ126" s="141" t="e" cm="1">
        <f t="array" aca="1" ref="AQ126" ca="1">SUMPRODUCT(AB125:AC125, TRANSPOSE(OFFSET(E.TPMs!$N$8:$N$9, INT(($F125-70)/5)*12, $G126*15)))
+SUMPRODUCT(AB125:AC125, TRANSPOSE(OFFSET(E.TPMs!$O$8:$O$9, INT(($F125-70)/5)*12, $G126*15)))
+SUMPRODUCT(AB125:AC125, TRANSPOSE(OFFSET(E.TPMs!$P$8:$P$9, INT(($F125-70)/5)*12, $G126*15)))</f>
        <v>#VALUE!</v>
      </c>
      <c r="AR126" s="141" t="e">
        <f t="shared" ca="1" si="58"/>
        <v>#VALUE!</v>
      </c>
      <c r="AS126" s="141" t="e" cm="1">
        <f t="array" aca="1" ref="AS126" ca="1">SUMPRODUCT(AB125:AG125, TRANSPOSE(OFFSET(E.TPMs!$R$8:$R$13, INT(($F125-70)/5)*12, $G126*15)))
+SUMPRODUCT(AB125:AG125, TRANSPOSE(OFFSET(E.TPMs!$S$8:$S$13, INT(($F125-70)/5)*12, $G126*15)))</f>
        <v>#VALUE!</v>
      </c>
      <c r="AT126" s="141" t="e" cm="1">
        <f t="array" aca="1" ref="AT126" ca="1">SUMPRODUCT(AB125:AH125, TRANSPOSE(OFFSET(E.TPMs!$S$8:$S$14, INT(($F125-70)/5)*12, $G126*15)))</f>
        <v>#VALUE!</v>
      </c>
    </row>
    <row r="127" spans="4:46" ht="12" customHeight="1" x14ac:dyDescent="0.25">
      <c r="D127" s="62">
        <f t="shared" si="59"/>
        <v>116</v>
      </c>
      <c r="E127" s="62">
        <f t="shared" si="65"/>
        <v>29</v>
      </c>
      <c r="F127" s="63">
        <f t="shared" si="66"/>
        <v>99</v>
      </c>
      <c r="G127" s="62">
        <f>IF(AND(E126&lt;E.maxDurHPE, E127&gt;=E.maxDurHPE), 1, 0)</f>
        <v>0</v>
      </c>
      <c r="H127" s="164" t="e">
        <f t="array" aca="1" ref="H127:S127" ca="1">MMULT(H126:S126, OFFSET(E.rngTPM_Root, INT(($F126-70)/5)*12, $G127*15))</f>
        <v>#VALUE!</v>
      </c>
      <c r="I127" s="164" t="e">
        <f ca="1"/>
        <v>#VALUE!</v>
      </c>
      <c r="J127" s="164" t="e">
        <f ca="1"/>
        <v>#VALUE!</v>
      </c>
      <c r="K127" s="164" t="e">
        <f ca="1"/>
        <v>#VALUE!</v>
      </c>
      <c r="L127" s="164" t="e">
        <f ca="1"/>
        <v>#VALUE!</v>
      </c>
      <c r="M127" s="164" t="e">
        <f ca="1"/>
        <v>#VALUE!</v>
      </c>
      <c r="N127" s="164" t="e">
        <f ca="1"/>
        <v>#VALUE!</v>
      </c>
      <c r="O127" s="164" t="e">
        <f ca="1"/>
        <v>#VALUE!</v>
      </c>
      <c r="P127" s="164" t="e">
        <f ca="1"/>
        <v>#VALUE!</v>
      </c>
      <c r="Q127" s="164" t="e">
        <f ca="1"/>
        <v>#VALUE!</v>
      </c>
      <c r="R127" s="164" t="e">
        <f ca="1"/>
        <v>#VALUE!</v>
      </c>
      <c r="S127" s="164" t="e">
        <f ca="1"/>
        <v>#VALUE!</v>
      </c>
      <c r="T127" s="128" t="e">
        <f t="shared" ca="1" si="60"/>
        <v>#VALUE!</v>
      </c>
      <c r="U127" s="141" t="e">
        <f t="shared" ca="1" si="61"/>
        <v>#VALUE!</v>
      </c>
      <c r="V127" s="141" t="e">
        <f t="shared" ca="1" si="56"/>
        <v>#VALUE!</v>
      </c>
      <c r="W127" s="141" t="e" cm="1">
        <f t="array" aca="1" ref="W127" ca="1">SUMPRODUCT(H126:I126, TRANSPOSE(OFFSET(E.TPMs!$N$8:$N$9, INT(($F126-70)/5)*12, $G127*15)))
+SUMPRODUCT(H126:I126, TRANSPOSE(OFFSET(E.TPMs!$O$8:$O$9, INT(($F126-70)/5)*12, $G127*15)))
+SUMPRODUCT(H126:I126, TRANSPOSE(OFFSET(E.TPMs!$P$8:$P$9, INT(($F126-70)/5)*12, $G127*15)))</f>
        <v>#VALUE!</v>
      </c>
      <c r="X127" s="141" t="e">
        <f t="shared" ca="1" si="62"/>
        <v>#VALUE!</v>
      </c>
      <c r="Y127" s="141" t="e" cm="1">
        <f t="array" aca="1" ref="Y127" ca="1">SUMPRODUCT(H126:M126, TRANSPOSE(OFFSET(E.TPMs!$R$8:$R$13, INT(($F126-70)/5)*12, $G127*15)))
+SUMPRODUCT(H126:M126, TRANSPOSE(OFFSET(E.TPMs!$S$8:$S$13, INT(($F126-70)/5)*12, $G127*15)))</f>
        <v>#VALUE!</v>
      </c>
      <c r="Z127" s="141" t="e" cm="1">
        <f t="array" aca="1" ref="Z127" ca="1">SUMPRODUCT(H126:N126, TRANSPOSE(OFFSET(E.TPMs!$S$8:$S$14, INT(($F126-70)/5)*12, $G127*15)))</f>
        <v>#VALUE!</v>
      </c>
      <c r="AB127" s="164" t="e">
        <f t="array" aca="1" ref="AB127:AM127" ca="1">MMULT(AB126:AM126, OFFSET(E.rngTPM_Root, INT(($F126-70)/5)*12, $G127*15))</f>
        <v>#VALUE!</v>
      </c>
      <c r="AC127" s="164" t="e">
        <f ca="1"/>
        <v>#VALUE!</v>
      </c>
      <c r="AD127" s="164" t="e">
        <f ca="1"/>
        <v>#VALUE!</v>
      </c>
      <c r="AE127" s="164" t="e">
        <f ca="1"/>
        <v>#VALUE!</v>
      </c>
      <c r="AF127" s="164" t="e">
        <f ca="1"/>
        <v>#VALUE!</v>
      </c>
      <c r="AG127" s="164" t="e">
        <f ca="1"/>
        <v>#VALUE!</v>
      </c>
      <c r="AH127" s="164" t="e">
        <f ca="1"/>
        <v>#VALUE!</v>
      </c>
      <c r="AI127" s="164" t="e">
        <f ca="1"/>
        <v>#VALUE!</v>
      </c>
      <c r="AJ127" s="164" t="e">
        <f ca="1"/>
        <v>#VALUE!</v>
      </c>
      <c r="AK127" s="164" t="e">
        <f ca="1"/>
        <v>#VALUE!</v>
      </c>
      <c r="AL127" s="164" t="e">
        <f ca="1"/>
        <v>#VALUE!</v>
      </c>
      <c r="AM127" s="164" t="e">
        <f ca="1"/>
        <v>#VALUE!</v>
      </c>
      <c r="AN127" s="128" t="e">
        <f t="shared" ca="1" si="63"/>
        <v>#VALUE!</v>
      </c>
      <c r="AO127" s="141" t="e">
        <f t="shared" ca="1" si="64"/>
        <v>#VALUE!</v>
      </c>
      <c r="AP127" s="141" t="e">
        <f t="shared" ca="1" si="57"/>
        <v>#VALUE!</v>
      </c>
      <c r="AQ127" s="141" t="e" cm="1">
        <f t="array" aca="1" ref="AQ127" ca="1">SUMPRODUCT(AB126:AC126, TRANSPOSE(OFFSET(E.TPMs!$N$8:$N$9, INT(($F126-70)/5)*12, $G127*15)))
+SUMPRODUCT(AB126:AC126, TRANSPOSE(OFFSET(E.TPMs!$O$8:$O$9, INT(($F126-70)/5)*12, $G127*15)))
+SUMPRODUCT(AB126:AC126, TRANSPOSE(OFFSET(E.TPMs!$P$8:$P$9, INT(($F126-70)/5)*12, $G127*15)))</f>
        <v>#VALUE!</v>
      </c>
      <c r="AR127" s="141" t="e">
        <f t="shared" ca="1" si="58"/>
        <v>#VALUE!</v>
      </c>
      <c r="AS127" s="141" t="e" cm="1">
        <f t="array" aca="1" ref="AS127" ca="1">SUMPRODUCT(AB126:AG126, TRANSPOSE(OFFSET(E.TPMs!$R$8:$R$13, INT(($F126-70)/5)*12, $G127*15)))
+SUMPRODUCT(AB126:AG126, TRANSPOSE(OFFSET(E.TPMs!$S$8:$S$13, INT(($F126-70)/5)*12, $G127*15)))</f>
        <v>#VALUE!</v>
      </c>
      <c r="AT127" s="141" t="e" cm="1">
        <f t="array" aca="1" ref="AT127" ca="1">SUMPRODUCT(AB126:AH126, TRANSPOSE(OFFSET(E.TPMs!$S$8:$S$14, INT(($F126-70)/5)*12, $G127*15)))</f>
        <v>#VALUE!</v>
      </c>
    </row>
    <row r="128" spans="4:46" ht="12" customHeight="1" x14ac:dyDescent="0.25">
      <c r="D128" s="62">
        <f t="shared" si="59"/>
        <v>117</v>
      </c>
      <c r="E128" s="62">
        <f t="shared" si="65"/>
        <v>29.25</v>
      </c>
      <c r="F128" s="63">
        <f t="shared" si="66"/>
        <v>99.25</v>
      </c>
      <c r="G128" s="62">
        <f>IF(AND(E127&lt;E.maxDurHPE, E128&gt;=E.maxDurHPE), 1, 0)</f>
        <v>0</v>
      </c>
      <c r="H128" s="164" t="e">
        <f t="array" aca="1" ref="H128:S128" ca="1">MMULT(H127:S127, OFFSET(E.rngTPM_Root, INT(($F127-70)/5)*12, $G128*15))</f>
        <v>#VALUE!</v>
      </c>
      <c r="I128" s="164" t="e">
        <f ca="1"/>
        <v>#VALUE!</v>
      </c>
      <c r="J128" s="164" t="e">
        <f ca="1"/>
        <v>#VALUE!</v>
      </c>
      <c r="K128" s="164" t="e">
        <f ca="1"/>
        <v>#VALUE!</v>
      </c>
      <c r="L128" s="164" t="e">
        <f ca="1"/>
        <v>#VALUE!</v>
      </c>
      <c r="M128" s="164" t="e">
        <f ca="1"/>
        <v>#VALUE!</v>
      </c>
      <c r="N128" s="164" t="e">
        <f ca="1"/>
        <v>#VALUE!</v>
      </c>
      <c r="O128" s="164" t="e">
        <f ca="1"/>
        <v>#VALUE!</v>
      </c>
      <c r="P128" s="164" t="e">
        <f ca="1"/>
        <v>#VALUE!</v>
      </c>
      <c r="Q128" s="164" t="e">
        <f ca="1"/>
        <v>#VALUE!</v>
      </c>
      <c r="R128" s="164" t="e">
        <f ca="1"/>
        <v>#VALUE!</v>
      </c>
      <c r="S128" s="164" t="e">
        <f ca="1"/>
        <v>#VALUE!</v>
      </c>
      <c r="T128" s="128" t="e">
        <f t="shared" ca="1" si="60"/>
        <v>#VALUE!</v>
      </c>
      <c r="U128" s="141" t="e">
        <f t="shared" ca="1" si="61"/>
        <v>#VALUE!</v>
      </c>
      <c r="V128" s="141" t="e">
        <f t="shared" ca="1" si="56"/>
        <v>#VALUE!</v>
      </c>
      <c r="W128" s="141" t="e" cm="1">
        <f t="array" aca="1" ref="W128" ca="1">SUMPRODUCT(H127:I127, TRANSPOSE(OFFSET(E.TPMs!$N$8:$N$9, INT(($F127-70)/5)*12, $G128*15)))
+SUMPRODUCT(H127:I127, TRANSPOSE(OFFSET(E.TPMs!$O$8:$O$9, INT(($F127-70)/5)*12, $G128*15)))
+SUMPRODUCT(H127:I127, TRANSPOSE(OFFSET(E.TPMs!$P$8:$P$9, INT(($F127-70)/5)*12, $G128*15)))</f>
        <v>#VALUE!</v>
      </c>
      <c r="X128" s="141" t="e">
        <f t="shared" ca="1" si="62"/>
        <v>#VALUE!</v>
      </c>
      <c r="Y128" s="141" t="e" cm="1">
        <f t="array" aca="1" ref="Y128" ca="1">SUMPRODUCT(H127:M127, TRANSPOSE(OFFSET(E.TPMs!$R$8:$R$13, INT(($F127-70)/5)*12, $G128*15)))
+SUMPRODUCT(H127:M127, TRANSPOSE(OFFSET(E.TPMs!$S$8:$S$13, INT(($F127-70)/5)*12, $G128*15)))</f>
        <v>#VALUE!</v>
      </c>
      <c r="Z128" s="141" t="e" cm="1">
        <f t="array" aca="1" ref="Z128" ca="1">SUMPRODUCT(H127:N127, TRANSPOSE(OFFSET(E.TPMs!$S$8:$S$14, INT(($F127-70)/5)*12, $G128*15)))</f>
        <v>#VALUE!</v>
      </c>
      <c r="AB128" s="164" t="e">
        <f t="array" aca="1" ref="AB128:AM128" ca="1">MMULT(AB127:AM127, OFFSET(E.rngTPM_Root, INT(($F127-70)/5)*12, $G128*15))</f>
        <v>#VALUE!</v>
      </c>
      <c r="AC128" s="164" t="e">
        <f ca="1"/>
        <v>#VALUE!</v>
      </c>
      <c r="AD128" s="164" t="e">
        <f ca="1"/>
        <v>#VALUE!</v>
      </c>
      <c r="AE128" s="164" t="e">
        <f ca="1"/>
        <v>#VALUE!</v>
      </c>
      <c r="AF128" s="164" t="e">
        <f ca="1"/>
        <v>#VALUE!</v>
      </c>
      <c r="AG128" s="164" t="e">
        <f ca="1"/>
        <v>#VALUE!</v>
      </c>
      <c r="AH128" s="164" t="e">
        <f ca="1"/>
        <v>#VALUE!</v>
      </c>
      <c r="AI128" s="164" t="e">
        <f ca="1"/>
        <v>#VALUE!</v>
      </c>
      <c r="AJ128" s="164" t="e">
        <f ca="1"/>
        <v>#VALUE!</v>
      </c>
      <c r="AK128" s="164" t="e">
        <f ca="1"/>
        <v>#VALUE!</v>
      </c>
      <c r="AL128" s="164" t="e">
        <f ca="1"/>
        <v>#VALUE!</v>
      </c>
      <c r="AM128" s="164" t="e">
        <f ca="1"/>
        <v>#VALUE!</v>
      </c>
      <c r="AN128" s="128" t="e">
        <f t="shared" ca="1" si="63"/>
        <v>#VALUE!</v>
      </c>
      <c r="AO128" s="141" t="e">
        <f t="shared" ca="1" si="64"/>
        <v>#VALUE!</v>
      </c>
      <c r="AP128" s="141" t="e">
        <f t="shared" ca="1" si="57"/>
        <v>#VALUE!</v>
      </c>
      <c r="AQ128" s="141" t="e" cm="1">
        <f t="array" aca="1" ref="AQ128" ca="1">SUMPRODUCT(AB127:AC127, TRANSPOSE(OFFSET(E.TPMs!$N$8:$N$9, INT(($F127-70)/5)*12, $G128*15)))
+SUMPRODUCT(AB127:AC127, TRANSPOSE(OFFSET(E.TPMs!$O$8:$O$9, INT(($F127-70)/5)*12, $G128*15)))
+SUMPRODUCT(AB127:AC127, TRANSPOSE(OFFSET(E.TPMs!$P$8:$P$9, INT(($F127-70)/5)*12, $G128*15)))</f>
        <v>#VALUE!</v>
      </c>
      <c r="AR128" s="141" t="e">
        <f t="shared" ca="1" si="58"/>
        <v>#VALUE!</v>
      </c>
      <c r="AS128" s="141" t="e" cm="1">
        <f t="array" aca="1" ref="AS128" ca="1">SUMPRODUCT(AB127:AG127, TRANSPOSE(OFFSET(E.TPMs!$R$8:$R$13, INT(($F127-70)/5)*12, $G128*15)))
+SUMPRODUCT(AB127:AG127, TRANSPOSE(OFFSET(E.TPMs!$S$8:$S$13, INT(($F127-70)/5)*12, $G128*15)))</f>
        <v>#VALUE!</v>
      </c>
      <c r="AT128" s="141" t="e" cm="1">
        <f t="array" aca="1" ref="AT128" ca="1">SUMPRODUCT(AB127:AH127, TRANSPOSE(OFFSET(E.TPMs!$S$8:$S$14, INT(($F127-70)/5)*12, $G128*15)))</f>
        <v>#VALUE!</v>
      </c>
    </row>
    <row r="129" spans="4:46" ht="12" customHeight="1" x14ac:dyDescent="0.25">
      <c r="D129" s="62">
        <f t="shared" si="59"/>
        <v>118</v>
      </c>
      <c r="E129" s="62">
        <f t="shared" si="65"/>
        <v>29.5</v>
      </c>
      <c r="F129" s="63">
        <f t="shared" si="66"/>
        <v>99.5</v>
      </c>
      <c r="G129" s="62">
        <f>IF(AND(E128&lt;E.maxDurHPE, E129&gt;=E.maxDurHPE), 1, 0)</f>
        <v>0</v>
      </c>
      <c r="H129" s="164" t="e">
        <f t="array" aca="1" ref="H129:S129" ca="1">MMULT(H128:S128, OFFSET(E.rngTPM_Root, INT(($F128-70)/5)*12, $G129*15))</f>
        <v>#VALUE!</v>
      </c>
      <c r="I129" s="164" t="e">
        <f ca="1"/>
        <v>#VALUE!</v>
      </c>
      <c r="J129" s="164" t="e">
        <f ca="1"/>
        <v>#VALUE!</v>
      </c>
      <c r="K129" s="164" t="e">
        <f ca="1"/>
        <v>#VALUE!</v>
      </c>
      <c r="L129" s="164" t="e">
        <f ca="1"/>
        <v>#VALUE!</v>
      </c>
      <c r="M129" s="164" t="e">
        <f ca="1"/>
        <v>#VALUE!</v>
      </c>
      <c r="N129" s="164" t="e">
        <f ca="1"/>
        <v>#VALUE!</v>
      </c>
      <c r="O129" s="164" t="e">
        <f ca="1"/>
        <v>#VALUE!</v>
      </c>
      <c r="P129" s="164" t="e">
        <f ca="1"/>
        <v>#VALUE!</v>
      </c>
      <c r="Q129" s="164" t="e">
        <f ca="1"/>
        <v>#VALUE!</v>
      </c>
      <c r="R129" s="164" t="e">
        <f ca="1"/>
        <v>#VALUE!</v>
      </c>
      <c r="S129" s="164" t="e">
        <f ca="1"/>
        <v>#VALUE!</v>
      </c>
      <c r="T129" s="128" t="e">
        <f t="shared" ca="1" si="60"/>
        <v>#VALUE!</v>
      </c>
      <c r="U129" s="141" t="e">
        <f t="shared" ca="1" si="61"/>
        <v>#VALUE!</v>
      </c>
      <c r="V129" s="141" t="e">
        <f t="shared" ca="1" si="56"/>
        <v>#VALUE!</v>
      </c>
      <c r="W129" s="141" t="e" cm="1">
        <f t="array" aca="1" ref="W129" ca="1">SUMPRODUCT(H128:I128, TRANSPOSE(OFFSET(E.TPMs!$N$8:$N$9, INT(($F128-70)/5)*12, $G129*15)))
+SUMPRODUCT(H128:I128, TRANSPOSE(OFFSET(E.TPMs!$O$8:$O$9, INT(($F128-70)/5)*12, $G129*15)))
+SUMPRODUCT(H128:I128, TRANSPOSE(OFFSET(E.TPMs!$P$8:$P$9, INT(($F128-70)/5)*12, $G129*15)))</f>
        <v>#VALUE!</v>
      </c>
      <c r="X129" s="141" t="e">
        <f t="shared" ca="1" si="62"/>
        <v>#VALUE!</v>
      </c>
      <c r="Y129" s="141" t="e" cm="1">
        <f t="array" aca="1" ref="Y129" ca="1">SUMPRODUCT(H128:M128, TRANSPOSE(OFFSET(E.TPMs!$R$8:$R$13, INT(($F128-70)/5)*12, $G129*15)))
+SUMPRODUCT(H128:M128, TRANSPOSE(OFFSET(E.TPMs!$S$8:$S$13, INT(($F128-70)/5)*12, $G129*15)))</f>
        <v>#VALUE!</v>
      </c>
      <c r="Z129" s="141" t="e" cm="1">
        <f t="array" aca="1" ref="Z129" ca="1">SUMPRODUCT(H128:N128, TRANSPOSE(OFFSET(E.TPMs!$S$8:$S$14, INT(($F128-70)/5)*12, $G129*15)))</f>
        <v>#VALUE!</v>
      </c>
      <c r="AB129" s="164" t="e">
        <f t="array" aca="1" ref="AB129:AM129" ca="1">MMULT(AB128:AM128, OFFSET(E.rngTPM_Root, INT(($F128-70)/5)*12, $G129*15))</f>
        <v>#VALUE!</v>
      </c>
      <c r="AC129" s="164" t="e">
        <f ca="1"/>
        <v>#VALUE!</v>
      </c>
      <c r="AD129" s="164" t="e">
        <f ca="1"/>
        <v>#VALUE!</v>
      </c>
      <c r="AE129" s="164" t="e">
        <f ca="1"/>
        <v>#VALUE!</v>
      </c>
      <c r="AF129" s="164" t="e">
        <f ca="1"/>
        <v>#VALUE!</v>
      </c>
      <c r="AG129" s="164" t="e">
        <f ca="1"/>
        <v>#VALUE!</v>
      </c>
      <c r="AH129" s="164" t="e">
        <f ca="1"/>
        <v>#VALUE!</v>
      </c>
      <c r="AI129" s="164" t="e">
        <f ca="1"/>
        <v>#VALUE!</v>
      </c>
      <c r="AJ129" s="164" t="e">
        <f ca="1"/>
        <v>#VALUE!</v>
      </c>
      <c r="AK129" s="164" t="e">
        <f ca="1"/>
        <v>#VALUE!</v>
      </c>
      <c r="AL129" s="164" t="e">
        <f ca="1"/>
        <v>#VALUE!</v>
      </c>
      <c r="AM129" s="164" t="e">
        <f ca="1"/>
        <v>#VALUE!</v>
      </c>
      <c r="AN129" s="128" t="e">
        <f t="shared" ca="1" si="63"/>
        <v>#VALUE!</v>
      </c>
      <c r="AO129" s="141" t="e">
        <f t="shared" ca="1" si="64"/>
        <v>#VALUE!</v>
      </c>
      <c r="AP129" s="141" t="e">
        <f t="shared" ca="1" si="57"/>
        <v>#VALUE!</v>
      </c>
      <c r="AQ129" s="141" t="e" cm="1">
        <f t="array" aca="1" ref="AQ129" ca="1">SUMPRODUCT(AB128:AC128, TRANSPOSE(OFFSET(E.TPMs!$N$8:$N$9, INT(($F128-70)/5)*12, $G129*15)))
+SUMPRODUCT(AB128:AC128, TRANSPOSE(OFFSET(E.TPMs!$O$8:$O$9, INT(($F128-70)/5)*12, $G129*15)))
+SUMPRODUCT(AB128:AC128, TRANSPOSE(OFFSET(E.TPMs!$P$8:$P$9, INT(($F128-70)/5)*12, $G129*15)))</f>
        <v>#VALUE!</v>
      </c>
      <c r="AR129" s="141" t="e">
        <f t="shared" ca="1" si="58"/>
        <v>#VALUE!</v>
      </c>
      <c r="AS129" s="141" t="e" cm="1">
        <f t="array" aca="1" ref="AS129" ca="1">SUMPRODUCT(AB128:AG128, TRANSPOSE(OFFSET(E.TPMs!$R$8:$R$13, INT(($F128-70)/5)*12, $G129*15)))
+SUMPRODUCT(AB128:AG128, TRANSPOSE(OFFSET(E.TPMs!$S$8:$S$13, INT(($F128-70)/5)*12, $G129*15)))</f>
        <v>#VALUE!</v>
      </c>
      <c r="AT129" s="141" t="e" cm="1">
        <f t="array" aca="1" ref="AT129" ca="1">SUMPRODUCT(AB128:AH128, TRANSPOSE(OFFSET(E.TPMs!$S$8:$S$14, INT(($F128-70)/5)*12, $G129*15)))</f>
        <v>#VALUE!</v>
      </c>
    </row>
    <row r="130" spans="4:46" ht="12" customHeight="1" x14ac:dyDescent="0.25">
      <c r="D130" s="62">
        <f t="shared" si="59"/>
        <v>119</v>
      </c>
      <c r="E130" s="62">
        <f t="shared" si="65"/>
        <v>29.75</v>
      </c>
      <c r="F130" s="63">
        <f t="shared" si="66"/>
        <v>99.75</v>
      </c>
      <c r="G130" s="62">
        <f>IF(AND(E129&lt;E.maxDurHPE, E130&gt;=E.maxDurHPE), 1, 0)</f>
        <v>0</v>
      </c>
      <c r="H130" s="164" t="e">
        <f t="array" aca="1" ref="H130:S130" ca="1">MMULT(H129:S129, OFFSET(E.rngTPM_Root, INT(($F129-70)/5)*12, $G130*15))</f>
        <v>#VALUE!</v>
      </c>
      <c r="I130" s="164" t="e">
        <f ca="1"/>
        <v>#VALUE!</v>
      </c>
      <c r="J130" s="164" t="e">
        <f ca="1"/>
        <v>#VALUE!</v>
      </c>
      <c r="K130" s="164" t="e">
        <f ca="1"/>
        <v>#VALUE!</v>
      </c>
      <c r="L130" s="164" t="e">
        <f ca="1"/>
        <v>#VALUE!</v>
      </c>
      <c r="M130" s="164" t="e">
        <f ca="1"/>
        <v>#VALUE!</v>
      </c>
      <c r="N130" s="164" t="e">
        <f ca="1"/>
        <v>#VALUE!</v>
      </c>
      <c r="O130" s="164" t="e">
        <f ca="1"/>
        <v>#VALUE!</v>
      </c>
      <c r="P130" s="164" t="e">
        <f ca="1"/>
        <v>#VALUE!</v>
      </c>
      <c r="Q130" s="164" t="e">
        <f ca="1"/>
        <v>#VALUE!</v>
      </c>
      <c r="R130" s="164" t="e">
        <f ca="1"/>
        <v>#VALUE!</v>
      </c>
      <c r="S130" s="164" t="e">
        <f ca="1"/>
        <v>#VALUE!</v>
      </c>
      <c r="T130" s="128" t="e">
        <f t="shared" ca="1" si="60"/>
        <v>#VALUE!</v>
      </c>
      <c r="U130" s="141" t="e">
        <f t="shared" ca="1" si="61"/>
        <v>#VALUE!</v>
      </c>
      <c r="V130" s="141" t="e">
        <f t="shared" ca="1" si="56"/>
        <v>#VALUE!</v>
      </c>
      <c r="W130" s="141" t="e" cm="1">
        <f t="array" aca="1" ref="W130" ca="1">SUMPRODUCT(H129:I129, TRANSPOSE(OFFSET(E.TPMs!$N$8:$N$9, INT(($F129-70)/5)*12, $G130*15)))
+SUMPRODUCT(H129:I129, TRANSPOSE(OFFSET(E.TPMs!$O$8:$O$9, INT(($F129-70)/5)*12, $G130*15)))
+SUMPRODUCT(H129:I129, TRANSPOSE(OFFSET(E.TPMs!$P$8:$P$9, INT(($F129-70)/5)*12, $G130*15)))</f>
        <v>#VALUE!</v>
      </c>
      <c r="X130" s="141" t="e">
        <f t="shared" ca="1" si="62"/>
        <v>#VALUE!</v>
      </c>
      <c r="Y130" s="141" t="e" cm="1">
        <f t="array" aca="1" ref="Y130" ca="1">SUMPRODUCT(H129:M129, TRANSPOSE(OFFSET(E.TPMs!$R$8:$R$13, INT(($F129-70)/5)*12, $G130*15)))
+SUMPRODUCT(H129:M129, TRANSPOSE(OFFSET(E.TPMs!$S$8:$S$13, INT(($F129-70)/5)*12, $G130*15)))</f>
        <v>#VALUE!</v>
      </c>
      <c r="Z130" s="141" t="e" cm="1">
        <f t="array" aca="1" ref="Z130" ca="1">SUMPRODUCT(H129:N129, TRANSPOSE(OFFSET(E.TPMs!$S$8:$S$14, INT(($F129-70)/5)*12, $G130*15)))</f>
        <v>#VALUE!</v>
      </c>
      <c r="AB130" s="164" t="e">
        <f t="array" aca="1" ref="AB130:AM130" ca="1">MMULT(AB129:AM129, OFFSET(E.rngTPM_Root, INT(($F129-70)/5)*12, $G130*15))</f>
        <v>#VALUE!</v>
      </c>
      <c r="AC130" s="164" t="e">
        <f ca="1"/>
        <v>#VALUE!</v>
      </c>
      <c r="AD130" s="164" t="e">
        <f ca="1"/>
        <v>#VALUE!</v>
      </c>
      <c r="AE130" s="164" t="e">
        <f ca="1"/>
        <v>#VALUE!</v>
      </c>
      <c r="AF130" s="164" t="e">
        <f ca="1"/>
        <v>#VALUE!</v>
      </c>
      <c r="AG130" s="164" t="e">
        <f ca="1"/>
        <v>#VALUE!</v>
      </c>
      <c r="AH130" s="164" t="e">
        <f ca="1"/>
        <v>#VALUE!</v>
      </c>
      <c r="AI130" s="164" t="e">
        <f ca="1"/>
        <v>#VALUE!</v>
      </c>
      <c r="AJ130" s="164" t="e">
        <f ca="1"/>
        <v>#VALUE!</v>
      </c>
      <c r="AK130" s="164" t="e">
        <f ca="1"/>
        <v>#VALUE!</v>
      </c>
      <c r="AL130" s="164" t="e">
        <f ca="1"/>
        <v>#VALUE!</v>
      </c>
      <c r="AM130" s="164" t="e">
        <f ca="1"/>
        <v>#VALUE!</v>
      </c>
      <c r="AN130" s="128" t="e">
        <f t="shared" ca="1" si="63"/>
        <v>#VALUE!</v>
      </c>
      <c r="AO130" s="141" t="e">
        <f t="shared" ca="1" si="64"/>
        <v>#VALUE!</v>
      </c>
      <c r="AP130" s="141" t="e">
        <f t="shared" ca="1" si="57"/>
        <v>#VALUE!</v>
      </c>
      <c r="AQ130" s="141" t="e" cm="1">
        <f t="array" aca="1" ref="AQ130" ca="1">SUMPRODUCT(AB129:AC129, TRANSPOSE(OFFSET(E.TPMs!$N$8:$N$9, INT(($F129-70)/5)*12, $G130*15)))
+SUMPRODUCT(AB129:AC129, TRANSPOSE(OFFSET(E.TPMs!$O$8:$O$9, INT(($F129-70)/5)*12, $G130*15)))
+SUMPRODUCT(AB129:AC129, TRANSPOSE(OFFSET(E.TPMs!$P$8:$P$9, INT(($F129-70)/5)*12, $G130*15)))</f>
        <v>#VALUE!</v>
      </c>
      <c r="AR130" s="141" t="e">
        <f t="shared" ca="1" si="58"/>
        <v>#VALUE!</v>
      </c>
      <c r="AS130" s="141" t="e" cm="1">
        <f t="array" aca="1" ref="AS130" ca="1">SUMPRODUCT(AB129:AG129, TRANSPOSE(OFFSET(E.TPMs!$R$8:$R$13, INT(($F129-70)/5)*12, $G130*15)))
+SUMPRODUCT(AB129:AG129, TRANSPOSE(OFFSET(E.TPMs!$S$8:$S$13, INT(($F129-70)/5)*12, $G130*15)))</f>
        <v>#VALUE!</v>
      </c>
      <c r="AT130" s="141" t="e" cm="1">
        <f t="array" aca="1" ref="AT130" ca="1">SUMPRODUCT(AB129:AH129, TRANSPOSE(OFFSET(E.TPMs!$S$8:$S$14, INT(($F129-70)/5)*12, $G130*15)))</f>
        <v>#VALUE!</v>
      </c>
    </row>
    <row r="131" spans="4:46" ht="12" customHeight="1" x14ac:dyDescent="0.25">
      <c r="D131" s="62">
        <f t="shared" si="59"/>
        <v>120</v>
      </c>
      <c r="E131" s="62">
        <f t="shared" si="65"/>
        <v>30</v>
      </c>
      <c r="F131" s="63">
        <f t="shared" si="66"/>
        <v>100</v>
      </c>
      <c r="G131" s="62">
        <f>IF(AND(E130&lt;E.maxDurHPE, E131&gt;=E.maxDurHPE), 1, 0)</f>
        <v>0</v>
      </c>
      <c r="H131" s="164" t="e">
        <f t="array" aca="1" ref="H131:S131" ca="1">MMULT(H130:S130, OFFSET(E.rngTPM_Root, INT(($F130-70)/5)*12, $G131*15))</f>
        <v>#VALUE!</v>
      </c>
      <c r="I131" s="164" t="e">
        <f ca="1"/>
        <v>#VALUE!</v>
      </c>
      <c r="J131" s="164" t="e">
        <f ca="1"/>
        <v>#VALUE!</v>
      </c>
      <c r="K131" s="164" t="e">
        <f ca="1"/>
        <v>#VALUE!</v>
      </c>
      <c r="L131" s="164" t="e">
        <f ca="1"/>
        <v>#VALUE!</v>
      </c>
      <c r="M131" s="164" t="e">
        <f ca="1"/>
        <v>#VALUE!</v>
      </c>
      <c r="N131" s="164" t="e">
        <f ca="1"/>
        <v>#VALUE!</v>
      </c>
      <c r="O131" s="164" t="e">
        <f ca="1"/>
        <v>#VALUE!</v>
      </c>
      <c r="P131" s="164" t="e">
        <f ca="1"/>
        <v>#VALUE!</v>
      </c>
      <c r="Q131" s="164" t="e">
        <f ca="1"/>
        <v>#VALUE!</v>
      </c>
      <c r="R131" s="164" t="e">
        <f ca="1"/>
        <v>#VALUE!</v>
      </c>
      <c r="S131" s="164" t="e">
        <f ca="1"/>
        <v>#VALUE!</v>
      </c>
      <c r="T131" s="128" t="e">
        <f t="shared" ca="1" si="60"/>
        <v>#VALUE!</v>
      </c>
      <c r="U131" s="141" t="e">
        <f t="shared" ca="1" si="61"/>
        <v>#VALUE!</v>
      </c>
      <c r="V131" s="141" t="e">
        <f t="shared" ca="1" si="56"/>
        <v>#VALUE!</v>
      </c>
      <c r="W131" s="141" t="e" cm="1">
        <f t="array" aca="1" ref="W131" ca="1">SUMPRODUCT(H130:I130, TRANSPOSE(OFFSET(E.TPMs!$N$8:$N$9, INT(($F130-70)/5)*12, $G131*15)))
+SUMPRODUCT(H130:I130, TRANSPOSE(OFFSET(E.TPMs!$O$8:$O$9, INT(($F130-70)/5)*12, $G131*15)))
+SUMPRODUCT(H130:I130, TRANSPOSE(OFFSET(E.TPMs!$P$8:$P$9, INT(($F130-70)/5)*12, $G131*15)))</f>
        <v>#VALUE!</v>
      </c>
      <c r="X131" s="141" t="e">
        <f t="shared" ca="1" si="62"/>
        <v>#VALUE!</v>
      </c>
      <c r="Y131" s="141" t="e" cm="1">
        <f t="array" aca="1" ref="Y131" ca="1">SUMPRODUCT(H130:M130, TRANSPOSE(OFFSET(E.TPMs!$R$8:$R$13, INT(($F130-70)/5)*12, $G131*15)))
+SUMPRODUCT(H130:M130, TRANSPOSE(OFFSET(E.TPMs!$S$8:$S$13, INT(($F130-70)/5)*12, $G131*15)))</f>
        <v>#VALUE!</v>
      </c>
      <c r="Z131" s="141" t="e" cm="1">
        <f t="array" aca="1" ref="Z131" ca="1">SUMPRODUCT(H130:N130, TRANSPOSE(OFFSET(E.TPMs!$S$8:$S$14, INT(($F130-70)/5)*12, $G131*15)))</f>
        <v>#VALUE!</v>
      </c>
      <c r="AB131" s="164" t="e">
        <f t="array" aca="1" ref="AB131:AM131" ca="1">MMULT(AB130:AM130, OFFSET(E.rngTPM_Root, INT(($F130-70)/5)*12, $G131*15))</f>
        <v>#VALUE!</v>
      </c>
      <c r="AC131" s="164" t="e">
        <f ca="1"/>
        <v>#VALUE!</v>
      </c>
      <c r="AD131" s="164" t="e">
        <f ca="1"/>
        <v>#VALUE!</v>
      </c>
      <c r="AE131" s="164" t="e">
        <f ca="1"/>
        <v>#VALUE!</v>
      </c>
      <c r="AF131" s="164" t="e">
        <f ca="1"/>
        <v>#VALUE!</v>
      </c>
      <c r="AG131" s="164" t="e">
        <f ca="1"/>
        <v>#VALUE!</v>
      </c>
      <c r="AH131" s="164" t="e">
        <f ca="1"/>
        <v>#VALUE!</v>
      </c>
      <c r="AI131" s="164" t="e">
        <f ca="1"/>
        <v>#VALUE!</v>
      </c>
      <c r="AJ131" s="164" t="e">
        <f ca="1"/>
        <v>#VALUE!</v>
      </c>
      <c r="AK131" s="164" t="e">
        <f ca="1"/>
        <v>#VALUE!</v>
      </c>
      <c r="AL131" s="164" t="e">
        <f ca="1"/>
        <v>#VALUE!</v>
      </c>
      <c r="AM131" s="164" t="e">
        <f ca="1"/>
        <v>#VALUE!</v>
      </c>
      <c r="AN131" s="128" t="e">
        <f t="shared" ca="1" si="63"/>
        <v>#VALUE!</v>
      </c>
      <c r="AO131" s="141" t="e">
        <f t="shared" ca="1" si="64"/>
        <v>#VALUE!</v>
      </c>
      <c r="AP131" s="141" t="e">
        <f t="shared" ca="1" si="57"/>
        <v>#VALUE!</v>
      </c>
      <c r="AQ131" s="141" t="e" cm="1">
        <f t="array" aca="1" ref="AQ131" ca="1">SUMPRODUCT(AB130:AC130, TRANSPOSE(OFFSET(E.TPMs!$N$8:$N$9, INT(($F130-70)/5)*12, $G131*15)))
+SUMPRODUCT(AB130:AC130, TRANSPOSE(OFFSET(E.TPMs!$O$8:$O$9, INT(($F130-70)/5)*12, $G131*15)))
+SUMPRODUCT(AB130:AC130, TRANSPOSE(OFFSET(E.TPMs!$P$8:$P$9, INT(($F130-70)/5)*12, $G131*15)))</f>
        <v>#VALUE!</v>
      </c>
      <c r="AR131" s="141" t="e">
        <f t="shared" ca="1" si="58"/>
        <v>#VALUE!</v>
      </c>
      <c r="AS131" s="141" t="e" cm="1">
        <f t="array" aca="1" ref="AS131" ca="1">SUMPRODUCT(AB130:AG130, TRANSPOSE(OFFSET(E.TPMs!$R$8:$R$13, INT(($F130-70)/5)*12, $G131*15)))
+SUMPRODUCT(AB130:AG130, TRANSPOSE(OFFSET(E.TPMs!$S$8:$S$13, INT(($F130-70)/5)*12, $G131*15)))</f>
        <v>#VALUE!</v>
      </c>
      <c r="AT131" s="141" t="e" cm="1">
        <f t="array" aca="1" ref="AT131" ca="1">SUMPRODUCT(AB130:AH130, TRANSPOSE(OFFSET(E.TPMs!$S$8:$S$14, INT(($F130-70)/5)*12, $G131*15)))</f>
        <v>#VALUE!</v>
      </c>
    </row>
  </sheetData>
  <mergeCells count="42">
    <mergeCell ref="Y8:Y10"/>
    <mergeCell ref="D6:D10"/>
    <mergeCell ref="F6:F10"/>
    <mergeCell ref="T8:T10"/>
    <mergeCell ref="H8:H10"/>
    <mergeCell ref="I8:I10"/>
    <mergeCell ref="E6:E10"/>
    <mergeCell ref="G6:G10"/>
    <mergeCell ref="S8:S10"/>
    <mergeCell ref="J8:J10"/>
    <mergeCell ref="K8:K10"/>
    <mergeCell ref="L8:L10"/>
    <mergeCell ref="M8:M10"/>
    <mergeCell ref="N8:N10"/>
    <mergeCell ref="P8:P10"/>
    <mergeCell ref="O8:O10"/>
    <mergeCell ref="W8:W10"/>
    <mergeCell ref="V8:V10"/>
    <mergeCell ref="U8:U10"/>
    <mergeCell ref="X8:X10"/>
    <mergeCell ref="Q8:Q10"/>
    <mergeCell ref="AT8:AT10"/>
    <mergeCell ref="AD8:AD10"/>
    <mergeCell ref="AE8:AE10"/>
    <mergeCell ref="AS8:AS10"/>
    <mergeCell ref="R8:R10"/>
    <mergeCell ref="AP8:AP10"/>
    <mergeCell ref="AR8:AR10"/>
    <mergeCell ref="AF8:AF10"/>
    <mergeCell ref="AG8:AG10"/>
    <mergeCell ref="AQ8:AQ10"/>
    <mergeCell ref="Z8:Z10"/>
    <mergeCell ref="AB8:AB10"/>
    <mergeCell ref="AC8:AC10"/>
    <mergeCell ref="AH8:AH10"/>
    <mergeCell ref="AI8:AI10"/>
    <mergeCell ref="AJ8:AJ10"/>
    <mergeCell ref="AK8:AK10"/>
    <mergeCell ref="AL8:AL10"/>
    <mergeCell ref="AM8:AM10"/>
    <mergeCell ref="AN8:AN10"/>
    <mergeCell ref="AO8:AO10"/>
  </mergeCells>
  <conditionalFormatting sqref="T11:T131">
    <cfRule type="expression" dxfId="1" priority="76">
      <formula>ROUND(T11,10)&lt;&gt;1</formula>
    </cfRule>
  </conditionalFormatting>
  <conditionalFormatting sqref="AN11:AN131">
    <cfRule type="expression" dxfId="0" priority="1">
      <formula>ROUND(AN11,10)&lt;&gt;1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tTraceQALYs">
    <tabColor rgb="FF663300"/>
  </sheetPr>
  <dimension ref="A1:AH92"/>
  <sheetViews>
    <sheetView workbookViewId="0">
      <pane xSplit="7" ySplit="11" topLeftCell="H12" activePane="bottomRight" state="frozen"/>
      <selection activeCell="H12" sqref="H12"/>
      <selection pane="topRight" activeCell="H12" sqref="H12"/>
      <selection pane="bottomLeft" activeCell="H12" sqref="H12"/>
      <selection pane="bottomRight" activeCell="H12" sqref="H12"/>
    </sheetView>
  </sheetViews>
  <sheetFormatPr defaultColWidth="9.28515625" defaultRowHeight="12" customHeight="1" x14ac:dyDescent="0.25"/>
  <cols>
    <col min="1" max="1" width="1.7109375" style="374" customWidth="1"/>
    <col min="2" max="2" width="19.7109375" style="374" customWidth="1"/>
    <col min="3" max="3" width="1.7109375" style="377" customWidth="1"/>
    <col min="21" max="21" width="1.7109375" customWidth="1"/>
  </cols>
  <sheetData>
    <row r="1" spans="1:34" s="375" customFormat="1" ht="24.95" customHeight="1" thickBot="1" x14ac:dyDescent="0.3">
      <c r="A1" s="373"/>
      <c r="B1" s="374"/>
      <c r="C1" s="373"/>
      <c r="D1" s="375" t="str" cm="1">
        <f t="array" ref="D1">K.zWorkbookTitle</f>
        <v>Camacho et al. (2024) Harms of hazardous prescribing of NSAIDs -- E: NSAIDs - CKD</v>
      </c>
    </row>
    <row r="2" spans="1:34" ht="12" hidden="1" customHeight="1" thickTop="1" x14ac:dyDescent="0.25">
      <c r="D2">
        <f>COLUMNS(H2:U2)</f>
        <v>14</v>
      </c>
      <c r="G2" t="s">
        <v>80</v>
      </c>
      <c r="H2">
        <f>MAX($G$2:G2)+1</f>
        <v>1</v>
      </c>
      <c r="I2">
        <f t="shared" ref="I2:S2" si="0">H2</f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1</v>
      </c>
      <c r="S2">
        <f t="shared" si="0"/>
        <v>1</v>
      </c>
      <c r="V2">
        <f>MAX($G$2:U2)+1</f>
        <v>2</v>
      </c>
      <c r="W2">
        <f t="shared" ref="W2" si="1">V2</f>
        <v>2</v>
      </c>
      <c r="X2">
        <f t="shared" ref="X2" si="2">W2</f>
        <v>2</v>
      </c>
      <c r="Y2">
        <f t="shared" ref="Y2" si="3">X2</f>
        <v>2</v>
      </c>
      <c r="Z2">
        <f t="shared" ref="Z2" si="4">Y2</f>
        <v>2</v>
      </c>
      <c r="AA2">
        <f t="shared" ref="AA2" si="5">Z2</f>
        <v>2</v>
      </c>
      <c r="AB2">
        <f t="shared" ref="AB2" si="6">AA2</f>
        <v>2</v>
      </c>
      <c r="AC2">
        <f t="shared" ref="AC2" si="7">AB2</f>
        <v>2</v>
      </c>
      <c r="AD2">
        <f t="shared" ref="AD2" si="8">AC2</f>
        <v>2</v>
      </c>
      <c r="AE2">
        <f t="shared" ref="AE2" si="9">AD2</f>
        <v>2</v>
      </c>
      <c r="AF2">
        <f t="shared" ref="AF2" si="10">AE2</f>
        <v>2</v>
      </c>
      <c r="AG2">
        <f t="shared" ref="AG2" si="11">AF2</f>
        <v>2</v>
      </c>
    </row>
    <row r="3" spans="1:34" ht="12" hidden="1" customHeight="1" x14ac:dyDescent="0.25">
      <c r="G3" t="s">
        <v>79</v>
      </c>
      <c r="H3">
        <v>1</v>
      </c>
      <c r="I3">
        <f t="shared" ref="I3:S3" si="12">H3+1</f>
        <v>2</v>
      </c>
      <c r="J3">
        <f t="shared" si="12"/>
        <v>3</v>
      </c>
      <c r="K3">
        <f t="shared" si="12"/>
        <v>4</v>
      </c>
      <c r="L3">
        <f t="shared" si="12"/>
        <v>5</v>
      </c>
      <c r="M3">
        <f t="shared" si="12"/>
        <v>6</v>
      </c>
      <c r="N3">
        <f t="shared" si="12"/>
        <v>7</v>
      </c>
      <c r="O3">
        <f t="shared" si="12"/>
        <v>8</v>
      </c>
      <c r="P3">
        <f t="shared" si="12"/>
        <v>9</v>
      </c>
      <c r="Q3">
        <f t="shared" si="12"/>
        <v>10</v>
      </c>
      <c r="R3">
        <f t="shared" si="12"/>
        <v>11</v>
      </c>
      <c r="S3">
        <f t="shared" si="12"/>
        <v>12</v>
      </c>
      <c r="V3">
        <v>1</v>
      </c>
      <c r="W3">
        <f t="shared" ref="W3" si="13">V3+1</f>
        <v>2</v>
      </c>
      <c r="X3">
        <f t="shared" ref="X3" si="14">W3+1</f>
        <v>3</v>
      </c>
      <c r="Y3">
        <f t="shared" ref="Y3" si="15">X3+1</f>
        <v>4</v>
      </c>
      <c r="Z3">
        <f t="shared" ref="Z3" si="16">Y3+1</f>
        <v>5</v>
      </c>
      <c r="AA3">
        <f t="shared" ref="AA3" si="17">Z3+1</f>
        <v>6</v>
      </c>
      <c r="AB3">
        <f t="shared" ref="AB3" si="18">AA3+1</f>
        <v>7</v>
      </c>
      <c r="AC3">
        <f t="shared" ref="AC3" si="19">AB3+1</f>
        <v>8</v>
      </c>
      <c r="AD3">
        <f t="shared" ref="AD3" si="20">AC3+1</f>
        <v>9</v>
      </c>
      <c r="AE3">
        <f t="shared" ref="AE3" si="21">AD3+1</f>
        <v>10</v>
      </c>
      <c r="AF3">
        <f t="shared" ref="AF3" si="22">AE3+1</f>
        <v>11</v>
      </c>
      <c r="AG3">
        <f t="shared" ref="AG3" si="23">AF3+1</f>
        <v>12</v>
      </c>
    </row>
    <row r="4" spans="1:34" ht="12" customHeight="1" thickTop="1" x14ac:dyDescent="0.25">
      <c r="G4" s="56" t="s">
        <v>43</v>
      </c>
      <c r="H4" s="46">
        <f t="shared" ref="H4:AH4" ca="1" si="24">SUM(OFFSET(H$12, 0, 0, timeHorizon*E.cyclesPerYear))</f>
        <v>3.6557551333655379E-3</v>
      </c>
      <c r="I4" s="46">
        <f t="shared" ca="1" si="24"/>
        <v>2.450066699953859</v>
      </c>
      <c r="J4" s="46">
        <f t="shared" ca="1" si="24"/>
        <v>9.5206971488750139E-2</v>
      </c>
      <c r="K4" s="46">
        <f t="shared" ca="1" si="24"/>
        <v>3.5939498227097737E-2</v>
      </c>
      <c r="L4" s="46">
        <f t="shared" ca="1" si="24"/>
        <v>3.057955894973386E-3</v>
      </c>
      <c r="M4" s="46">
        <f t="shared" ca="1" si="24"/>
        <v>1.2509198187000587</v>
      </c>
      <c r="N4" s="46">
        <f t="shared" ca="1" si="24"/>
        <v>0.45176705606678275</v>
      </c>
      <c r="O4" s="46">
        <f t="shared" ca="1" si="24"/>
        <v>0.6479452498999565</v>
      </c>
      <c r="P4" s="46">
        <f t="shared" ca="1" si="24"/>
        <v>1.5595024703316415E-2</v>
      </c>
      <c r="Q4" s="46">
        <f t="shared" ca="1" si="24"/>
        <v>0.25979963811469392</v>
      </c>
      <c r="R4" s="46">
        <f t="shared" ca="1" si="24"/>
        <v>0</v>
      </c>
      <c r="S4" s="46">
        <f t="shared" ca="1" si="24"/>
        <v>0</v>
      </c>
      <c r="T4" s="46">
        <f t="shared" ca="1" si="24"/>
        <v>5.2139536681828558</v>
      </c>
      <c r="V4" s="46">
        <f t="shared" ca="1" si="24"/>
        <v>3.0255350689484959</v>
      </c>
      <c r="W4" s="46">
        <f t="shared" ca="1" si="24"/>
        <v>0</v>
      </c>
      <c r="X4" s="46">
        <f t="shared" ca="1" si="24"/>
        <v>7.0966285269356152E-2</v>
      </c>
      <c r="Y4" s="46">
        <f t="shared" ca="1" si="24"/>
        <v>2.6637117695414068E-2</v>
      </c>
      <c r="Z4" s="46">
        <f t="shared" ca="1" si="24"/>
        <v>2.2583565142592467E-3</v>
      </c>
      <c r="AA4" s="46">
        <f t="shared" ca="1" si="24"/>
        <v>0.89115349545494016</v>
      </c>
      <c r="AB4" s="46">
        <f t="shared" ca="1" si="24"/>
        <v>0.41382015386006288</v>
      </c>
      <c r="AC4" s="46">
        <f t="shared" ca="1" si="24"/>
        <v>0.6514246778618995</v>
      </c>
      <c r="AD4" s="46">
        <f t="shared" ca="1" si="24"/>
        <v>1.5184175710829998E-2</v>
      </c>
      <c r="AE4" s="46">
        <f t="shared" ca="1" si="24"/>
        <v>0.25088314411077983</v>
      </c>
      <c r="AF4" s="46">
        <f t="shared" ca="1" si="24"/>
        <v>0</v>
      </c>
      <c r="AG4" s="46">
        <f t="shared" ca="1" si="24"/>
        <v>0</v>
      </c>
      <c r="AH4" s="46">
        <f t="shared" ca="1" si="24"/>
        <v>5.3478624754260364</v>
      </c>
    </row>
    <row r="5" spans="1:34" ht="12" customHeight="1" x14ac:dyDescent="0.25">
      <c r="G5" s="57" t="s">
        <v>42</v>
      </c>
      <c r="H5" s="46">
        <f t="array" aca="1" ref="H5" ca="1">SUM(OFFSET(H$12, 0, 0, timeHorizon*E.cyclesPerYear) / (1+DQALYs)^(OFFSET($D$12, 0, 0, timeHorizon*E.cyclesPerYear)/E.cyclesPerYear))</f>
        <v>2.6140186875587669E-3</v>
      </c>
      <c r="I5" s="46">
        <f t="array" aca="1" ref="I5" ca="1">SUM(OFFSET(I$12, 0, 0, timeHorizon*E.cyclesPerYear) / (1+DQALYs)^(OFFSET($D$12, 0, 0, timeHorizon*E.cyclesPerYear)/E.cyclesPerYear))</f>
        <v>2.2396108565962689</v>
      </c>
      <c r="J5" s="46">
        <f t="array" aca="1" ref="J5" ca="1">SUM(OFFSET(J$12, 0, 0, timeHorizon*E.cyclesPerYear) / (1+DQALYs)^(OFFSET($D$12, 0, 0, timeHorizon*E.cyclesPerYear)/E.cyclesPerYear))</f>
        <v>8.3587397352009873E-2</v>
      </c>
      <c r="K5" s="46">
        <f t="array" aca="1" ref="K5" ca="1">SUM(OFFSET(K$12, 0, 0, timeHorizon*E.cyclesPerYear) / (1+DQALYs)^(OFFSET($D$12, 0, 0, timeHorizon*E.cyclesPerYear)/E.cyclesPerYear))</f>
        <v>3.1557924201369894E-2</v>
      </c>
      <c r="L5" s="46">
        <f t="array" aca="1" ref="L5" ca="1">SUM(OFFSET(L$12, 0, 0, timeHorizon*E.cyclesPerYear) / (1+DQALYs)^(OFFSET($D$12, 0, 0, timeHorizon*E.cyclesPerYear)/E.cyclesPerYear))</f>
        <v>2.6851782272628096E-3</v>
      </c>
      <c r="M5" s="46">
        <f t="array" aca="1" ref="M5" ca="1">SUM(OFFSET(M$12, 0, 0, timeHorizon*E.cyclesPerYear) / (1+DQALYs)^(OFFSET($D$12, 0, 0, timeHorizon*E.cyclesPerYear)/E.cyclesPerYear))</f>
        <v>1.0390447127705429</v>
      </c>
      <c r="N5" s="46">
        <f t="array" aca="1" ref="N5" ca="1">SUM(OFFSET(N$12, 0, 0, timeHorizon*E.cyclesPerYear) / (1+DQALYs)^(OFFSET($D$12, 0, 0, timeHorizon*E.cyclesPerYear)/E.cyclesPerYear))</f>
        <v>0.37830998497075424</v>
      </c>
      <c r="O5" s="46">
        <f t="array" aca="1" ref="O5" ca="1">SUM(OFFSET(O$12, 0, 0, timeHorizon*E.cyclesPerYear) / (1+DQALYs)^(OFFSET($D$12, 0, 0, timeHorizon*E.cyclesPerYear)/E.cyclesPerYear))</f>
        <v>0.53286524340101193</v>
      </c>
      <c r="P5" s="46">
        <f t="array" aca="1" ref="P5" ca="1">SUM(OFFSET(P$12, 0, 0, timeHorizon*E.cyclesPerYear) / (1+DQALYs)^(OFFSET($D$12, 0, 0, timeHorizon*E.cyclesPerYear)/E.cyclesPerYear))</f>
        <v>1.2844001666700773E-2</v>
      </c>
      <c r="Q5" s="46">
        <f t="array" aca="1" ref="Q5" ca="1">SUM(OFFSET(Q$12, 0, 0, timeHorizon*E.cyclesPerYear) / (1+DQALYs)^(OFFSET($D$12, 0, 0, timeHorizon*E.cyclesPerYear)/E.cyclesPerYear))</f>
        <v>0.2043497534002057</v>
      </c>
      <c r="R5" s="46">
        <f t="array" aca="1" ref="R5" ca="1">SUM(OFFSET(R$12, 0, 0, timeHorizon*E.cyclesPerYear) / (1+DQALYs)^(OFFSET($D$12, 0, 0, timeHorizon*E.cyclesPerYear)/E.cyclesPerYear))</f>
        <v>0</v>
      </c>
      <c r="S5" s="46">
        <f t="array" aca="1" ref="S5" ca="1">SUM(OFFSET(S$12, 0, 0, timeHorizon*E.cyclesPerYear) / (1+DQALYs)^(OFFSET($D$12, 0, 0, timeHorizon*E.cyclesPerYear)/E.cyclesPerYear))</f>
        <v>0</v>
      </c>
      <c r="T5" s="46">
        <f t="array" aca="1" ref="T5" ca="1">SUM(OFFSET(T$12, 0, 0, timeHorizon*E.cyclesPerYear) / (1+DQALYs)^(OFFSET($D$12, 0, 0, timeHorizon*E.cyclesPerYear)/E.cyclesPerYear))</f>
        <v>4.5274690712736883</v>
      </c>
      <c r="V5" s="46">
        <f t="array" aca="1" ref="V5" ca="1">SUM(OFFSET(V$12, 0, 0, timeHorizon*E.cyclesPerYear) / (1+DQALYs)^(OFFSET($D$12, 0, 0, timeHorizon*E.cyclesPerYear)/E.cyclesPerYear))</f>
        <v>2.7231019111993096</v>
      </c>
      <c r="W5" s="46">
        <f t="array" aca="1" ref="W5" ca="1">SUM(OFFSET(W$12, 0, 0, timeHorizon*E.cyclesPerYear) / (1+DQALYs)^(OFFSET($D$12, 0, 0, timeHorizon*E.cyclesPerYear)/E.cyclesPerYear))</f>
        <v>0</v>
      </c>
      <c r="X5" s="46">
        <f t="array" aca="1" ref="X5" ca="1">SUM(OFFSET(X$12, 0, 0, timeHorizon*E.cyclesPerYear) / (1+DQALYs)^(OFFSET($D$12, 0, 0, timeHorizon*E.cyclesPerYear)/E.cyclesPerYear))</f>
        <v>6.1629048600387329E-2</v>
      </c>
      <c r="Y5" s="46">
        <f t="array" aca="1" ref="Y5" ca="1">SUM(OFFSET(Y$12, 0, 0, timeHorizon*E.cyclesPerYear) / (1+DQALYs)^(OFFSET($D$12, 0, 0, timeHorizon*E.cyclesPerYear)/E.cyclesPerYear))</f>
        <v>2.3135853935730175E-2</v>
      </c>
      <c r="Z5" s="46">
        <f t="array" aca="1" ref="Z5" ca="1">SUM(OFFSET(Z$12, 0, 0, timeHorizon*E.cyclesPerYear) / (1+DQALYs)^(OFFSET($D$12, 0, 0, timeHorizon*E.cyclesPerYear)/E.cyclesPerYear))</f>
        <v>1.9615318477427769E-3</v>
      </c>
      <c r="AA5" s="46">
        <f t="array" aca="1" ref="AA5" ca="1">SUM(OFFSET(AA$12, 0, 0, timeHorizon*E.cyclesPerYear) / (1+DQALYs)^(OFFSET($D$12, 0, 0, timeHorizon*E.cyclesPerYear)/E.cyclesPerYear))</f>
        <v>0.73624543634270201</v>
      </c>
      <c r="AB5" s="46">
        <f t="array" aca="1" ref="AB5" ca="1">SUM(OFFSET(AB$12, 0, 0, timeHorizon*E.cyclesPerYear) / (1+DQALYs)^(OFFSET($D$12, 0, 0, timeHorizon*E.cyclesPerYear)/E.cyclesPerYear))</f>
        <v>0.3457530117711699</v>
      </c>
      <c r="AC5" s="46">
        <f t="array" aca="1" ref="AC5" ca="1">SUM(OFFSET(AC$12, 0, 0, timeHorizon*E.cyclesPerYear) / (1+DQALYs)^(OFFSET($D$12, 0, 0, timeHorizon*E.cyclesPerYear)/E.cyclesPerYear))</f>
        <v>0.53560116120372925</v>
      </c>
      <c r="AD5" s="46">
        <f t="array" aca="1" ref="AD5" ca="1">SUM(OFFSET(AD$12, 0, 0, timeHorizon*E.cyclesPerYear) / (1+DQALYs)^(OFFSET($D$12, 0, 0, timeHorizon*E.cyclesPerYear)/E.cyclesPerYear))</f>
        <v>1.2490601320959038E-2</v>
      </c>
      <c r="AE5" s="46">
        <f t="array" aca="1" ref="AE5" ca="1">SUM(OFFSET(AE$12, 0, 0, timeHorizon*E.cyclesPerYear) / (1+DQALYs)^(OFFSET($D$12, 0, 0, timeHorizon*E.cyclesPerYear)/E.cyclesPerYear))</f>
        <v>0.19724664204971798</v>
      </c>
      <c r="AF5" s="46">
        <f t="array" aca="1" ref="AF5" ca="1">SUM(OFFSET(AF$12, 0, 0, timeHorizon*E.cyclesPerYear) / (1+DQALYs)^(OFFSET($D$12, 0, 0, timeHorizon*E.cyclesPerYear)/E.cyclesPerYear))</f>
        <v>0</v>
      </c>
      <c r="AG5" s="46">
        <f t="array" aca="1" ref="AG5" ca="1">SUM(OFFSET(AG$12, 0, 0, timeHorizon*E.cyclesPerYear) / (1+DQALYs)^(OFFSET($D$12, 0, 0, timeHorizon*E.cyclesPerYear)/E.cyclesPerYear))</f>
        <v>0</v>
      </c>
      <c r="AH5" s="46">
        <f t="array" aca="1" ref="AH5" ca="1">SUM(OFFSET(AH$12, 0, 0, timeHorizon*E.cyclesPerYear) / (1+DQALYs)^(OFFSET($D$12, 0, 0, timeHorizon*E.cyclesPerYear)/E.cyclesPerYear))</f>
        <v>4.6371651982714459</v>
      </c>
    </row>
    <row r="6" spans="1:34" ht="12" customHeight="1" thickBot="1" x14ac:dyDescent="0.3">
      <c r="G6" s="57" t="s">
        <v>237</v>
      </c>
      <c r="H6" s="45" cm="1">
        <f t="array" ref="H6">INDEX(E.rngU.Disutil_byState, H$3)</f>
        <v>-6.7200000000000037E-2</v>
      </c>
      <c r="I6" s="45" cm="1">
        <f t="array" ref="I6">INDEX(E.rngU.Disutil_byState, I$3)</f>
        <v>-6.7200000000000037E-2</v>
      </c>
      <c r="J6" s="45" cm="1">
        <f t="array" ref="J6">INDEX(E.rngU.Disutil_byState, J$3)</f>
        <v>-9.0573672106012526E-2</v>
      </c>
      <c r="K6" s="45" cm="1">
        <f t="array" ref="K6">INDEX(E.rngU.Disutil_byState, K$3)</f>
        <v>-0.1508808673748768</v>
      </c>
      <c r="L6" s="45" cm="1">
        <f t="array" ref="L6">INDEX(E.rngU.Disutil_byState, L$3)</f>
        <v>-0.154713963421312</v>
      </c>
      <c r="M6" s="45" cm="1">
        <f t="array" ref="M6">INDEX(E.rngU.Disutil_byState, M$3)</f>
        <v>-6.7200000000000037E-2</v>
      </c>
      <c r="N6" s="45" cm="1">
        <f t="array" ref="N6">INDEX(E.rngU.Disutil_byState, N$3)</f>
        <v>-7.7200000000000046E-2</v>
      </c>
      <c r="O6" s="45" cm="1">
        <f t="array" ref="O6">INDEX(E.rngU.Disutil_byState, O$3)</f>
        <v>-0.12719999999999998</v>
      </c>
      <c r="P6" s="45" cm="1">
        <f t="array" ref="P6">INDEX(E.rngU.Disutil_byState, P$3)</f>
        <v>-0.12719999999999998</v>
      </c>
      <c r="Q6" s="45" cm="1">
        <f t="array" ref="Q6">INDEX(E.rngU.Disutil_byState, Q$3)</f>
        <v>-7.3999999999999622E-3</v>
      </c>
      <c r="R6" s="45" cm="1">
        <f t="array" ref="R6">INDEX(E.rngU.Disutil_byState, R$3)</f>
        <v>0</v>
      </c>
      <c r="S6" s="45" cm="1">
        <f t="array" ref="S6">INDEX(E.rngU.Disutil_byState, S$3)</f>
        <v>0</v>
      </c>
      <c r="V6" s="45" cm="1">
        <f t="array" ref="V6">INDEX(E.rngU.Disutil_byState, V$3)</f>
        <v>-6.7200000000000037E-2</v>
      </c>
      <c r="W6" s="45" cm="1">
        <f t="array" ref="W6">INDEX(E.rngU.Disutil_byState, W$3)</f>
        <v>-6.7200000000000037E-2</v>
      </c>
      <c r="X6" s="45" cm="1">
        <f t="array" ref="X6">INDEX(E.rngU.Disutil_byState, X$3)</f>
        <v>-9.0573672106012526E-2</v>
      </c>
      <c r="Y6" s="45" cm="1">
        <f t="array" ref="Y6">INDEX(E.rngU.Disutil_byState, Y$3)</f>
        <v>-0.1508808673748768</v>
      </c>
      <c r="Z6" s="45" cm="1">
        <f t="array" ref="Z6">INDEX(E.rngU.Disutil_byState, Z$3)</f>
        <v>-0.154713963421312</v>
      </c>
      <c r="AA6" s="45" cm="1">
        <f t="array" ref="AA6">INDEX(E.rngU.Disutil_byState, AA$3)</f>
        <v>-6.7200000000000037E-2</v>
      </c>
      <c r="AB6" s="45" cm="1">
        <f t="array" ref="AB6">INDEX(E.rngU.Disutil_byState, AB$3)</f>
        <v>-7.7200000000000046E-2</v>
      </c>
      <c r="AC6" s="45" cm="1">
        <f t="array" ref="AC6">INDEX(E.rngU.Disutil_byState, AC$3)</f>
        <v>-0.12719999999999998</v>
      </c>
      <c r="AD6" s="45" cm="1">
        <f t="array" ref="AD6">INDEX(E.rngU.Disutil_byState, AD$3)</f>
        <v>-0.12719999999999998</v>
      </c>
      <c r="AE6" s="45" cm="1">
        <f t="array" ref="AE6">INDEX(E.rngU.Disutil_byState, AE$3)</f>
        <v>-7.3999999999999622E-3</v>
      </c>
      <c r="AF6" s="45" cm="1">
        <f t="array" ref="AF6">INDEX(E.rngU.Disutil_byState, AF$3)</f>
        <v>0</v>
      </c>
      <c r="AG6" s="45" cm="1">
        <f t="array" ref="AG6">INDEX(E.rngU.Disutil_byState, AG$3)</f>
        <v>0</v>
      </c>
    </row>
    <row r="7" spans="1:34" ht="12" customHeight="1" thickBot="1" x14ac:dyDescent="0.3">
      <c r="D7" s="452" t="s">
        <v>31</v>
      </c>
      <c r="E7" s="452" t="s">
        <v>92</v>
      </c>
      <c r="F7" s="452" t="s">
        <v>30</v>
      </c>
      <c r="G7" s="452" t="s">
        <v>36</v>
      </c>
      <c r="H7" s="438" t="str">
        <f>INDEX(rngStrats, H2)</f>
        <v>HPE</v>
      </c>
      <c r="I7" s="438"/>
      <c r="J7" s="438"/>
      <c r="K7" s="438"/>
      <c r="L7" s="438"/>
      <c r="M7" s="438"/>
      <c r="N7" s="438"/>
      <c r="O7" s="438"/>
      <c r="P7" s="438"/>
      <c r="Q7" s="438"/>
      <c r="R7" s="438"/>
      <c r="S7" s="438"/>
      <c r="T7" s="438"/>
      <c r="V7" s="438" t="str">
        <f>INDEX(rngStrats, V2)</f>
        <v>No HPE</v>
      </c>
      <c r="W7" s="438"/>
      <c r="X7" s="438"/>
      <c r="Y7" s="438"/>
      <c r="Z7" s="438"/>
      <c r="AA7" s="438"/>
      <c r="AB7" s="438"/>
      <c r="AC7" s="438"/>
      <c r="AD7" s="438"/>
      <c r="AE7" s="438"/>
      <c r="AF7" s="438"/>
      <c r="AG7" s="438"/>
      <c r="AH7" s="438"/>
    </row>
    <row r="8" spans="1:34" ht="12" customHeight="1" thickBot="1" x14ac:dyDescent="0.3">
      <c r="D8" s="452"/>
      <c r="E8" s="452"/>
      <c r="F8" s="452"/>
      <c r="G8" s="452"/>
      <c r="H8" s="501" t="str">
        <f t="shared" ref="H8:S8" ca="1" si="25">INDEX(K.rngStates, H$3)</f>
        <v>No event no NSAID</v>
      </c>
      <c r="I8" s="501" t="str">
        <f t="shared" ca="1" si="25"/>
        <v>No event + NSAID</v>
      </c>
      <c r="J8" s="501" t="str">
        <f t="shared" ca="1" si="25"/>
        <v>Primary care AKI</v>
      </c>
      <c r="K8" s="501" t="str">
        <f t="shared" ca="1" si="25"/>
        <v>Secondary care AKI (no RRT)</v>
      </c>
      <c r="L8" s="501" t="str">
        <f t="shared" ca="1" si="25"/>
        <v>Secondary care AKI (with RRT)</v>
      </c>
      <c r="M8" s="501" t="str">
        <f t="shared" ca="1" si="25"/>
        <v>Post-event CKD stage 3b-4</v>
      </c>
      <c r="N8" s="501" t="str">
        <f t="shared" ca="1" si="25"/>
        <v>ESRD</v>
      </c>
      <c r="O8" s="501" t="str">
        <f t="shared" ca="1" si="25"/>
        <v>ESRD+RRT</v>
      </c>
      <c r="P8" s="501" t="str">
        <f t="shared" ca="1" si="25"/>
        <v>Transplant</v>
      </c>
      <c r="Q8" s="501" t="str">
        <f t="shared" ca="1" si="25"/>
        <v>Post-transplant</v>
      </c>
      <c r="R8" s="501" t="str">
        <f t="shared" ca="1" si="25"/>
        <v>Dead (AKI)</v>
      </c>
      <c r="S8" s="501" t="str">
        <f t="shared" ca="1" si="25"/>
        <v>Dead (other)</v>
      </c>
      <c r="T8" s="518" t="s">
        <v>37</v>
      </c>
      <c r="V8" s="501" t="str">
        <f t="shared" ref="V8:AG8" ca="1" si="26">INDEX(K.rngStates, V$3)</f>
        <v>No event no NSAID</v>
      </c>
      <c r="W8" s="501" t="str">
        <f t="shared" ca="1" si="26"/>
        <v>No event + NSAID</v>
      </c>
      <c r="X8" s="501" t="str">
        <f t="shared" ca="1" si="26"/>
        <v>Primary care AKI</v>
      </c>
      <c r="Y8" s="501" t="str">
        <f t="shared" ca="1" si="26"/>
        <v>Secondary care AKI (no RRT)</v>
      </c>
      <c r="Z8" s="501" t="str">
        <f t="shared" ca="1" si="26"/>
        <v>Secondary care AKI (with RRT)</v>
      </c>
      <c r="AA8" s="501" t="str">
        <f t="shared" ca="1" si="26"/>
        <v>Post-event CKD stage 3b-4</v>
      </c>
      <c r="AB8" s="501" t="str">
        <f t="shared" ca="1" si="26"/>
        <v>ESRD</v>
      </c>
      <c r="AC8" s="501" t="str">
        <f t="shared" ca="1" si="26"/>
        <v>ESRD+RRT</v>
      </c>
      <c r="AD8" s="501" t="str">
        <f t="shared" ca="1" si="26"/>
        <v>Transplant</v>
      </c>
      <c r="AE8" s="501" t="str">
        <f t="shared" ca="1" si="26"/>
        <v>Post-transplant</v>
      </c>
      <c r="AF8" s="501" t="str">
        <f t="shared" ca="1" si="26"/>
        <v>Dead (AKI)</v>
      </c>
      <c r="AG8" s="501" t="str">
        <f t="shared" ca="1" si="26"/>
        <v>Dead (other)</v>
      </c>
      <c r="AH8" s="518" t="s">
        <v>37</v>
      </c>
    </row>
    <row r="9" spans="1:34" ht="12" customHeight="1" thickBot="1" x14ac:dyDescent="0.3">
      <c r="D9" s="452"/>
      <c r="E9" s="452"/>
      <c r="F9" s="452"/>
      <c r="G9" s="452"/>
      <c r="H9" s="502"/>
      <c r="I9" s="502"/>
      <c r="J9" s="502"/>
      <c r="K9" s="502"/>
      <c r="L9" s="502"/>
      <c r="M9" s="502"/>
      <c r="N9" s="502"/>
      <c r="O9" s="502"/>
      <c r="P9" s="502"/>
      <c r="Q9" s="502"/>
      <c r="R9" s="502"/>
      <c r="S9" s="502"/>
      <c r="T9" s="519"/>
      <c r="V9" s="502"/>
      <c r="W9" s="502"/>
      <c r="X9" s="502"/>
      <c r="Y9" s="502"/>
      <c r="Z9" s="502"/>
      <c r="AA9" s="502"/>
      <c r="AB9" s="502"/>
      <c r="AC9" s="502"/>
      <c r="AD9" s="502"/>
      <c r="AE9" s="502"/>
      <c r="AF9" s="502"/>
      <c r="AG9" s="502"/>
      <c r="AH9" s="519"/>
    </row>
    <row r="10" spans="1:34" ht="12" customHeight="1" thickBot="1" x14ac:dyDescent="0.3">
      <c r="D10" s="452"/>
      <c r="E10" s="452"/>
      <c r="F10" s="452"/>
      <c r="G10" s="452"/>
      <c r="H10" s="502"/>
      <c r="I10" s="502"/>
      <c r="J10" s="502"/>
      <c r="K10" s="502"/>
      <c r="L10" s="502"/>
      <c r="M10" s="502"/>
      <c r="N10" s="502"/>
      <c r="O10" s="502"/>
      <c r="P10" s="502"/>
      <c r="Q10" s="502"/>
      <c r="R10" s="502"/>
      <c r="S10" s="502"/>
      <c r="T10" s="519"/>
      <c r="V10" s="502"/>
      <c r="W10" s="502"/>
      <c r="X10" s="502"/>
      <c r="Y10" s="502"/>
      <c r="Z10" s="502"/>
      <c r="AA10" s="502"/>
      <c r="AB10" s="502"/>
      <c r="AC10" s="502"/>
      <c r="AD10" s="502"/>
      <c r="AE10" s="502"/>
      <c r="AF10" s="502"/>
      <c r="AG10" s="502"/>
      <c r="AH10" s="519"/>
    </row>
    <row r="11" spans="1:34" ht="12" customHeight="1" thickBot="1" x14ac:dyDescent="0.3">
      <c r="D11" s="452"/>
      <c r="E11" s="452"/>
      <c r="F11" s="452"/>
      <c r="G11" s="452"/>
      <c r="H11" s="527"/>
      <c r="I11" s="527"/>
      <c r="J11" s="527"/>
      <c r="K11" s="527"/>
      <c r="L11" s="527"/>
      <c r="M11" s="527"/>
      <c r="N11" s="527"/>
      <c r="O11" s="527"/>
      <c r="P11" s="527"/>
      <c r="Q11" s="527"/>
      <c r="R11" s="527"/>
      <c r="S11" s="527"/>
      <c r="T11" s="520"/>
      <c r="V11" s="527"/>
      <c r="W11" s="527"/>
      <c r="X11" s="527"/>
      <c r="Y11" s="527"/>
      <c r="Z11" s="527"/>
      <c r="AA11" s="527"/>
      <c r="AB11" s="527"/>
      <c r="AC11" s="527"/>
      <c r="AD11" s="527"/>
      <c r="AE11" s="527"/>
      <c r="AF11" s="527"/>
      <c r="AG11" s="527"/>
      <c r="AH11" s="520"/>
    </row>
    <row r="12" spans="1:34" ht="12" customHeight="1" x14ac:dyDescent="0.25">
      <c r="B12" s="390"/>
      <c r="D12" s="62">
        <v>0</v>
      </c>
      <c r="E12" s="63">
        <v>0</v>
      </c>
      <c r="F12" s="63">
        <f t="shared" ref="F12:F43" si="27">E.cohortAge+E12</f>
        <v>70</v>
      </c>
      <c r="G12" s="44">
        <f>INDEX(rngU.GenPop, MATCH($F12, Parameters!$D$71:$D$78, 1))</f>
        <v>0.77900000000000003</v>
      </c>
      <c r="H12" s="45">
        <f t="shared" ref="H12:Q21" ca="1" si="28">PRODUCT(AVERAGE(OFFSET(E.Trace.Markov.Root, $D12, (H$2-1)*E.Trace.Markov.NumCols+H$3-1, CHOOSE(swtchHalfCycle, 2, 1))) + N("halfcycle-adjusted state occupancy"),
$G12 + H$6 + N("age-adjusted state utility value"),
E.cycleLength)</f>
        <v>0</v>
      </c>
      <c r="I12" s="45">
        <f t="shared" ca="1" si="28"/>
        <v>0.17249082426892007</v>
      </c>
      <c r="J12" s="45">
        <f t="shared" ca="1" si="28"/>
        <v>2.257665218247001E-3</v>
      </c>
      <c r="K12" s="45">
        <f t="shared" ca="1" si="28"/>
        <v>8.5382118116985391E-4</v>
      </c>
      <c r="L12" s="45">
        <f t="shared" ca="1" si="28"/>
        <v>7.2676235588385829E-5</v>
      </c>
      <c r="M12" s="45">
        <f t="shared" ca="1" si="28"/>
        <v>0</v>
      </c>
      <c r="N12" s="45">
        <f t="shared" ca="1" si="28"/>
        <v>5.884842701369585E-4</v>
      </c>
      <c r="O12" s="45">
        <f t="shared" ca="1" si="28"/>
        <v>7.4955625220164907E-4</v>
      </c>
      <c r="P12" s="45">
        <f t="shared" ca="1" si="28"/>
        <v>0</v>
      </c>
      <c r="Q12" s="45">
        <f t="shared" ca="1" si="28"/>
        <v>0</v>
      </c>
      <c r="R12" s="45">
        <v>0</v>
      </c>
      <c r="S12" s="45">
        <v>0</v>
      </c>
      <c r="T12" s="129">
        <f t="shared" ref="T12:T43" ca="1" si="29">SUM(H12:S12)</f>
        <v>0.17701302742626393</v>
      </c>
      <c r="V12" s="45">
        <f t="shared" ref="V12:AE27" ca="1" si="30">PRODUCT(AVERAGE(OFFSET(E.Trace.Markov.Root, $D12, (V$2-1)*E.Trace.Markov.NumCols+V$3-1, CHOOSE(swtchHalfCycle, 2, 1))) + N("halfcycle-adjusted state occupancy"),
$G12 + V$6 + N("age-adjusted state utility value"),
E.cycleLength)</f>
        <v>0.17378184760901769</v>
      </c>
      <c r="W12" s="45">
        <f t="shared" ca="1" si="30"/>
        <v>0</v>
      </c>
      <c r="X12" s="45">
        <f t="shared" ca="1" si="30"/>
        <v>1.3992594066980573E-3</v>
      </c>
      <c r="Y12" s="45">
        <f t="shared" ca="1" si="30"/>
        <v>5.2602761260753348E-4</v>
      </c>
      <c r="Z12" s="45">
        <f t="shared" ca="1" si="30"/>
        <v>4.4602702696375206E-5</v>
      </c>
      <c r="AA12" s="45">
        <f t="shared" ca="1" si="30"/>
        <v>0</v>
      </c>
      <c r="AB12" s="45">
        <f t="shared" ca="1" si="30"/>
        <v>5.884842701369585E-4</v>
      </c>
      <c r="AC12" s="45">
        <f t="shared" ca="1" si="30"/>
        <v>7.4955625220164907E-4</v>
      </c>
      <c r="AD12" s="45">
        <f t="shared" ca="1" si="30"/>
        <v>0</v>
      </c>
      <c r="AE12" s="45">
        <f t="shared" ca="1" si="30"/>
        <v>0</v>
      </c>
      <c r="AF12" s="45">
        <v>0</v>
      </c>
      <c r="AG12" s="45">
        <v>0</v>
      </c>
      <c r="AH12" s="129">
        <f t="shared" ref="AH12:AH43" ca="1" si="31">SUM(V12:AG12)</f>
        <v>0.17708977785335828</v>
      </c>
    </row>
    <row r="13" spans="1:34" ht="12" customHeight="1" x14ac:dyDescent="0.25">
      <c r="B13" s="390"/>
      <c r="D13" s="62">
        <f>D12+1</f>
        <v>1</v>
      </c>
      <c r="E13" s="63">
        <f t="shared" ref="E13:E44" si="32">D13*E.cycleLength</f>
        <v>0.25</v>
      </c>
      <c r="F13" s="63">
        <f t="shared" si="27"/>
        <v>70.25</v>
      </c>
      <c r="G13" s="44">
        <f>INDEX(rngU.GenPop, MATCH($F13, Parameters!$D$71:$D$78, 1))</f>
        <v>0.77900000000000003</v>
      </c>
      <c r="H13" s="45">
        <f t="shared" ca="1" si="28"/>
        <v>0</v>
      </c>
      <c r="I13" s="45">
        <f t="shared" ca="1" si="28"/>
        <v>0.16190742756554427</v>
      </c>
      <c r="J13" s="45">
        <f t="shared" ca="1" si="28"/>
        <v>4.3768084789963082E-3</v>
      </c>
      <c r="K13" s="45">
        <f t="shared" ca="1" si="28"/>
        <v>1.6552550639870865E-3</v>
      </c>
      <c r="L13" s="45">
        <f t="shared" ca="1" si="28"/>
        <v>1.4089332713012527E-4</v>
      </c>
      <c r="M13" s="45">
        <f t="shared" ca="1" si="28"/>
        <v>2.4632911568243519E-3</v>
      </c>
      <c r="N13" s="45">
        <f t="shared" ca="1" si="28"/>
        <v>2.0929369785798171E-3</v>
      </c>
      <c r="O13" s="45">
        <f t="shared" ca="1" si="28"/>
        <v>2.1977997790295239E-3</v>
      </c>
      <c r="P13" s="45">
        <f t="shared" ca="1" si="28"/>
        <v>1.9385359236076082E-5</v>
      </c>
      <c r="Q13" s="45">
        <f t="shared" ca="1" si="28"/>
        <v>0</v>
      </c>
      <c r="R13" s="45">
        <v>0</v>
      </c>
      <c r="S13" s="45">
        <v>0</v>
      </c>
      <c r="T13" s="129">
        <f t="shared" ca="1" si="29"/>
        <v>0.17485379770932757</v>
      </c>
      <c r="V13" s="45">
        <f t="shared" ca="1" si="30"/>
        <v>0.16564080547784774</v>
      </c>
      <c r="W13" s="45">
        <f t="shared" ca="1" si="30"/>
        <v>0</v>
      </c>
      <c r="X13" s="45">
        <f t="shared" ca="1" si="30"/>
        <v>2.7329686426556489E-3</v>
      </c>
      <c r="Y13" s="45">
        <f t="shared" ca="1" si="30"/>
        <v>1.027412761026106E-3</v>
      </c>
      <c r="Z13" s="45">
        <f t="shared" ca="1" si="30"/>
        <v>8.7115932373495937E-5</v>
      </c>
      <c r="AA13" s="45">
        <f t="shared" ca="1" si="30"/>
        <v>1.5245223374055685E-3</v>
      </c>
      <c r="AB13" s="45">
        <f t="shared" ca="1" si="30"/>
        <v>1.9480105407730151E-3</v>
      </c>
      <c r="AC13" s="45">
        <f t="shared" ca="1" si="30"/>
        <v>2.2082912631700485E-3</v>
      </c>
      <c r="AD13" s="45">
        <f t="shared" ca="1" si="30"/>
        <v>1.9385359236076082E-5</v>
      </c>
      <c r="AE13" s="45">
        <f t="shared" ca="1" si="30"/>
        <v>0</v>
      </c>
      <c r="AF13" s="45">
        <v>0</v>
      </c>
      <c r="AG13" s="45">
        <v>0</v>
      </c>
      <c r="AH13" s="129">
        <f t="shared" ca="1" si="31"/>
        <v>0.17518851231448768</v>
      </c>
    </row>
    <row r="14" spans="1:34" ht="12" customHeight="1" x14ac:dyDescent="0.25">
      <c r="B14" s="390"/>
      <c r="D14" s="62">
        <f t="shared" ref="D14:D77" si="33">D13+1</f>
        <v>2</v>
      </c>
      <c r="E14" s="63">
        <f t="shared" si="32"/>
        <v>0.5</v>
      </c>
      <c r="F14" s="63">
        <f t="shared" si="27"/>
        <v>70.5</v>
      </c>
      <c r="G14" s="44">
        <f>INDEX(rngU.GenPop, MATCH($F14, Parameters!$D$71:$D$78, 1))</f>
        <v>0.77900000000000003</v>
      </c>
      <c r="H14" s="45">
        <f t="shared" ca="1" si="28"/>
        <v>0</v>
      </c>
      <c r="I14" s="45">
        <f t="shared" ca="1" si="28"/>
        <v>0.15197338879906602</v>
      </c>
      <c r="J14" s="45">
        <f t="shared" ca="1" si="28"/>
        <v>4.1470025413115775E-3</v>
      </c>
      <c r="K14" s="45">
        <f t="shared" ca="1" si="28"/>
        <v>1.5682579399895152E-3</v>
      </c>
      <c r="L14" s="45">
        <f t="shared" ca="1" si="28"/>
        <v>1.3348347055223891E-4</v>
      </c>
      <c r="M14" s="45">
        <f t="shared" ca="1" si="28"/>
        <v>7.1233389132724688E-3</v>
      </c>
      <c r="N14" s="45">
        <f t="shared" ca="1" si="28"/>
        <v>3.823322736657254E-3</v>
      </c>
      <c r="O14" s="45">
        <f t="shared" ca="1" si="28"/>
        <v>3.5797759424203595E-3</v>
      </c>
      <c r="P14" s="45">
        <f t="shared" ca="1" si="28"/>
        <v>6.1367317589292969E-5</v>
      </c>
      <c r="Q14" s="45">
        <f t="shared" ca="1" si="28"/>
        <v>2.2760014616779015E-5</v>
      </c>
      <c r="R14" s="45">
        <v>0</v>
      </c>
      <c r="S14" s="45">
        <v>0</v>
      </c>
      <c r="T14" s="129">
        <f t="shared" ca="1" si="29"/>
        <v>0.17243269767547553</v>
      </c>
      <c r="V14" s="45">
        <f t="shared" ca="1" si="30"/>
        <v>0.1578811413092979</v>
      </c>
      <c r="W14" s="45">
        <f t="shared" ca="1" si="30"/>
        <v>0</v>
      </c>
      <c r="X14" s="45">
        <f t="shared" ca="1" si="30"/>
        <v>2.6289143851560282E-3</v>
      </c>
      <c r="Y14" s="45">
        <f t="shared" ca="1" si="30"/>
        <v>9.8829534477564937E-4</v>
      </c>
      <c r="Z14" s="45">
        <f t="shared" ca="1" si="30"/>
        <v>8.379910556544922E-5</v>
      </c>
      <c r="AA14" s="45">
        <f t="shared" ca="1" si="30"/>
        <v>4.4307304530537281E-3</v>
      </c>
      <c r="AB14" s="45">
        <f t="shared" ca="1" si="30"/>
        <v>3.4123505534074906E-3</v>
      </c>
      <c r="AC14" s="45">
        <f t="shared" ca="1" si="30"/>
        <v>3.6077860444029644E-3</v>
      </c>
      <c r="AD14" s="45">
        <f t="shared" ca="1" si="30"/>
        <v>5.9751597281351051E-5</v>
      </c>
      <c r="AE14" s="45">
        <f t="shared" ca="1" si="30"/>
        <v>2.2760014616779015E-5</v>
      </c>
      <c r="AF14" s="45">
        <v>0</v>
      </c>
      <c r="AG14" s="45">
        <v>0</v>
      </c>
      <c r="AH14" s="129">
        <f t="shared" ca="1" si="31"/>
        <v>0.17311552880755735</v>
      </c>
    </row>
    <row r="15" spans="1:34" ht="12" customHeight="1" x14ac:dyDescent="0.25">
      <c r="B15" s="390"/>
      <c r="D15" s="62">
        <f t="shared" si="33"/>
        <v>3</v>
      </c>
      <c r="E15" s="63">
        <f t="shared" si="32"/>
        <v>0.75</v>
      </c>
      <c r="F15" s="63">
        <f t="shared" si="27"/>
        <v>70.75</v>
      </c>
      <c r="G15" s="44">
        <f>INDEX(rngU.GenPop, MATCH($F15, Parameters!$D$71:$D$78, 1))</f>
        <v>0.77900000000000003</v>
      </c>
      <c r="H15" s="45">
        <f t="shared" ca="1" si="28"/>
        <v>0</v>
      </c>
      <c r="I15" s="45">
        <f t="shared" ca="1" si="28"/>
        <v>0.14264886577684813</v>
      </c>
      <c r="J15" s="45">
        <f t="shared" ca="1" si="28"/>
        <v>3.9682206571764493E-3</v>
      </c>
      <c r="K15" s="45">
        <f t="shared" ca="1" si="28"/>
        <v>1.5004795874475644E-3</v>
      </c>
      <c r="L15" s="45">
        <f t="shared" ca="1" si="28"/>
        <v>1.2770524276797406E-4</v>
      </c>
      <c r="M15" s="45">
        <f t="shared" ca="1" si="28"/>
        <v>1.1314283727156852E-2</v>
      </c>
      <c r="N15" s="45">
        <f t="shared" ca="1" si="28"/>
        <v>5.3658823378802956E-3</v>
      </c>
      <c r="O15" s="45">
        <f t="shared" ca="1" si="28"/>
        <v>4.928538516018233E-3</v>
      </c>
      <c r="P15" s="45">
        <f t="shared" ca="1" si="28"/>
        <v>1.0506005964936749E-4</v>
      </c>
      <c r="Q15" s="45">
        <f t="shared" ca="1" si="28"/>
        <v>9.4623516815274907E-5</v>
      </c>
      <c r="R15" s="45">
        <v>0</v>
      </c>
      <c r="S15" s="45">
        <v>0</v>
      </c>
      <c r="T15" s="129">
        <f t="shared" ca="1" si="29"/>
        <v>0.17005365942176012</v>
      </c>
      <c r="V15" s="45">
        <f t="shared" ca="1" si="30"/>
        <v>0.15048498894470827</v>
      </c>
      <c r="W15" s="45">
        <f t="shared" ca="1" si="30"/>
        <v>0</v>
      </c>
      <c r="X15" s="45">
        <f t="shared" ca="1" si="30"/>
        <v>2.552586832056637E-3</v>
      </c>
      <c r="Y15" s="45">
        <f t="shared" ca="1" si="30"/>
        <v>9.5960130824400045E-4</v>
      </c>
      <c r="Z15" s="45">
        <f t="shared" ca="1" si="30"/>
        <v>8.136609340048718E-5</v>
      </c>
      <c r="AA15" s="45">
        <f t="shared" ca="1" si="30"/>
        <v>7.087424092417415E-3</v>
      </c>
      <c r="AB15" s="45">
        <f t="shared" ca="1" si="30"/>
        <v>4.7313204054320592E-3</v>
      </c>
      <c r="AC15" s="45">
        <f t="shared" ca="1" si="30"/>
        <v>4.9680140069476185E-3</v>
      </c>
      <c r="AD15" s="45">
        <f t="shared" ca="1" si="30"/>
        <v>1.0045012941761538E-4</v>
      </c>
      <c r="AE15" s="45">
        <f t="shared" ca="1" si="30"/>
        <v>9.2726527578317723E-5</v>
      </c>
      <c r="AF15" s="45">
        <v>0</v>
      </c>
      <c r="AG15" s="45">
        <v>0</v>
      </c>
      <c r="AH15" s="129">
        <f t="shared" ca="1" si="31"/>
        <v>0.17105847834020244</v>
      </c>
    </row>
    <row r="16" spans="1:34" ht="12" customHeight="1" x14ac:dyDescent="0.25">
      <c r="B16" s="390"/>
      <c r="D16" s="62">
        <f t="shared" si="33"/>
        <v>4</v>
      </c>
      <c r="E16" s="63">
        <f t="shared" si="32"/>
        <v>1</v>
      </c>
      <c r="F16" s="63">
        <f t="shared" si="27"/>
        <v>71</v>
      </c>
      <c r="G16" s="44">
        <f>INDEX(rngU.GenPop, MATCH($F16, Parameters!$D$71:$D$78, 1))</f>
        <v>0.77900000000000003</v>
      </c>
      <c r="H16" s="45">
        <f t="shared" ca="1" si="28"/>
        <v>0</v>
      </c>
      <c r="I16" s="45">
        <f t="shared" ca="1" si="28"/>
        <v>0.13389646087530219</v>
      </c>
      <c r="J16" s="45">
        <f t="shared" ca="1" si="28"/>
        <v>3.7975274023270577E-3</v>
      </c>
      <c r="K16" s="45">
        <f t="shared" ca="1" si="28"/>
        <v>1.4357768893227198E-3</v>
      </c>
      <c r="L16" s="45">
        <f t="shared" ca="1" si="28"/>
        <v>1.2218971856048393E-4</v>
      </c>
      <c r="M16" s="45">
        <f t="shared" ca="1" si="28"/>
        <v>1.5113718795681288E-2</v>
      </c>
      <c r="N16" s="45">
        <f t="shared" ca="1" si="28"/>
        <v>6.742765743046884E-3</v>
      </c>
      <c r="O16" s="45">
        <f t="shared" ca="1" si="28"/>
        <v>6.2402079114024763E-3</v>
      </c>
      <c r="P16" s="45">
        <f t="shared" ca="1" si="28"/>
        <v>1.4590097190900241E-4</v>
      </c>
      <c r="Q16" s="45">
        <f t="shared" ca="1" si="28"/>
        <v>2.1719609130738248E-4</v>
      </c>
      <c r="R16" s="45">
        <v>0</v>
      </c>
      <c r="S16" s="45">
        <v>0</v>
      </c>
      <c r="T16" s="129">
        <f t="shared" ca="1" si="29"/>
        <v>0.1677117443988595</v>
      </c>
      <c r="V16" s="45">
        <f t="shared" ca="1" si="30"/>
        <v>0.14343531918941937</v>
      </c>
      <c r="W16" s="45">
        <f t="shared" ca="1" si="30"/>
        <v>0</v>
      </c>
      <c r="X16" s="45">
        <f t="shared" ca="1" si="30"/>
        <v>2.4780520503322246E-3</v>
      </c>
      <c r="Y16" s="45">
        <f t="shared" ca="1" si="30"/>
        <v>9.3158123341081662E-4</v>
      </c>
      <c r="Z16" s="45">
        <f t="shared" ca="1" si="30"/>
        <v>7.8990227500369252E-5</v>
      </c>
      <c r="AA16" s="45">
        <f t="shared" ca="1" si="30"/>
        <v>9.5365009168186295E-3</v>
      </c>
      <c r="AB16" s="45">
        <f t="shared" ca="1" si="30"/>
        <v>5.9200049082419005E-3</v>
      </c>
      <c r="AC16" s="45">
        <f t="shared" ca="1" si="30"/>
        <v>6.2865041253210661E-3</v>
      </c>
      <c r="AD16" s="45">
        <f t="shared" ca="1" si="30"/>
        <v>1.3872191396756967E-4</v>
      </c>
      <c r="AE16" s="45">
        <f t="shared" ca="1" si="30"/>
        <v>2.0990223234430602E-4</v>
      </c>
      <c r="AF16" s="45">
        <v>0</v>
      </c>
      <c r="AG16" s="45">
        <v>0</v>
      </c>
      <c r="AH16" s="129">
        <f t="shared" ca="1" si="31"/>
        <v>0.16901557679735624</v>
      </c>
    </row>
    <row r="17" spans="2:34" ht="12" customHeight="1" x14ac:dyDescent="0.25">
      <c r="B17" s="390"/>
      <c r="D17" s="62">
        <f t="shared" si="33"/>
        <v>5</v>
      </c>
      <c r="E17" s="63">
        <f t="shared" si="32"/>
        <v>1.25</v>
      </c>
      <c r="F17" s="63">
        <f t="shared" si="27"/>
        <v>71.25</v>
      </c>
      <c r="G17" s="44">
        <f>INDEX(rngU.GenPop, MATCH($F17, Parameters!$D$71:$D$78, 1))</f>
        <v>0.77900000000000003</v>
      </c>
      <c r="H17" s="45">
        <f t="shared" ca="1" si="28"/>
        <v>0</v>
      </c>
      <c r="I17" s="45">
        <f t="shared" ca="1" si="28"/>
        <v>0.12568107105020587</v>
      </c>
      <c r="J17" s="45">
        <f t="shared" ca="1" si="28"/>
        <v>3.6351941080032197E-3</v>
      </c>
      <c r="K17" s="45">
        <f t="shared" ca="1" si="28"/>
        <v>1.3742497082857822E-3</v>
      </c>
      <c r="L17" s="45">
        <f t="shared" ca="1" si="28"/>
        <v>1.1694524800342726E-4</v>
      </c>
      <c r="M17" s="45">
        <f t="shared" ca="1" si="28"/>
        <v>1.8548821743004422E-2</v>
      </c>
      <c r="N17" s="45">
        <f t="shared" ca="1" si="28"/>
        <v>7.9673373928170772E-3</v>
      </c>
      <c r="O17" s="45">
        <f t="shared" ca="1" si="28"/>
        <v>7.5120998200913572E-3</v>
      </c>
      <c r="P17" s="45">
        <f t="shared" ca="1" si="28"/>
        <v>1.8410014535890561E-4</v>
      </c>
      <c r="Q17" s="45">
        <f t="shared" ca="1" si="28"/>
        <v>3.867132594542567E-4</v>
      </c>
      <c r="R17" s="45">
        <v>0</v>
      </c>
      <c r="S17" s="45">
        <v>0</v>
      </c>
      <c r="T17" s="129">
        <f t="shared" ca="1" si="29"/>
        <v>0.16540653247522433</v>
      </c>
      <c r="V17" s="45">
        <f t="shared" ca="1" si="30"/>
        <v>0.13671590060407871</v>
      </c>
      <c r="W17" s="45">
        <f t="shared" ca="1" si="30"/>
        <v>0</v>
      </c>
      <c r="X17" s="45">
        <f t="shared" ca="1" si="30"/>
        <v>2.4057011322661031E-3</v>
      </c>
      <c r="Y17" s="45">
        <f t="shared" ca="1" si="30"/>
        <v>9.043821447228263E-4</v>
      </c>
      <c r="Z17" s="45">
        <f t="shared" ca="1" si="30"/>
        <v>7.6683974297520928E-5</v>
      </c>
      <c r="AA17" s="45">
        <f t="shared" ca="1" si="30"/>
        <v>1.1789640274345488E-2</v>
      </c>
      <c r="AB17" s="45">
        <f t="shared" ca="1" si="30"/>
        <v>6.9880760060471604E-3</v>
      </c>
      <c r="AC17" s="45">
        <f t="shared" ca="1" si="30"/>
        <v>7.5615718095311734E-3</v>
      </c>
      <c r="AD17" s="45">
        <f t="shared" ca="1" si="30"/>
        <v>1.7471279935513269E-4</v>
      </c>
      <c r="AE17" s="45">
        <f t="shared" ca="1" si="30"/>
        <v>3.7105045720803943E-4</v>
      </c>
      <c r="AF17" s="45">
        <v>0</v>
      </c>
      <c r="AG17" s="45">
        <v>0</v>
      </c>
      <c r="AH17" s="129">
        <f t="shared" ca="1" si="31"/>
        <v>0.16698771920185215</v>
      </c>
    </row>
    <row r="18" spans="2:34" ht="12" customHeight="1" x14ac:dyDescent="0.25">
      <c r="B18" s="390"/>
      <c r="D18" s="62">
        <f t="shared" si="33"/>
        <v>6</v>
      </c>
      <c r="E18" s="63">
        <f t="shared" si="32"/>
        <v>1.5</v>
      </c>
      <c r="F18" s="63">
        <f t="shared" si="27"/>
        <v>71.5</v>
      </c>
      <c r="G18" s="44">
        <f>INDEX(rngU.GenPop, MATCH($F18, Parameters!$D$71:$D$78, 1))</f>
        <v>0.77900000000000003</v>
      </c>
      <c r="H18" s="45">
        <f t="shared" ca="1" si="28"/>
        <v>0</v>
      </c>
      <c r="I18" s="45">
        <f t="shared" ca="1" si="28"/>
        <v>0.11796974704983029</v>
      </c>
      <c r="J18" s="45">
        <f t="shared" ca="1" si="28"/>
        <v>3.4807574713025492E-3</v>
      </c>
      <c r="K18" s="45">
        <f t="shared" ca="1" si="28"/>
        <v>1.3157218651636351E-3</v>
      </c>
      <c r="L18" s="45">
        <f t="shared" ca="1" si="28"/>
        <v>1.1195678235702959E-4</v>
      </c>
      <c r="M18" s="45">
        <f t="shared" ca="1" si="28"/>
        <v>2.1645791163757266E-2</v>
      </c>
      <c r="N18" s="45">
        <f t="shared" ca="1" si="28"/>
        <v>9.0520916521226857E-3</v>
      </c>
      <c r="O18" s="45">
        <f t="shared" ca="1" si="28"/>
        <v>8.7419996852579722E-3</v>
      </c>
      <c r="P18" s="45">
        <f t="shared" ca="1" si="28"/>
        <v>2.1977877959019566E-4</v>
      </c>
      <c r="Q18" s="45">
        <f t="shared" ca="1" si="28"/>
        <v>5.9968810376539777E-4</v>
      </c>
      <c r="R18" s="45">
        <v>0</v>
      </c>
      <c r="S18" s="45">
        <v>0</v>
      </c>
      <c r="T18" s="129">
        <f t="shared" ca="1" si="29"/>
        <v>0.163137532553147</v>
      </c>
      <c r="V18" s="45">
        <f t="shared" ca="1" si="30"/>
        <v>0.1303112621327307</v>
      </c>
      <c r="W18" s="45">
        <f t="shared" ca="1" si="30"/>
        <v>0</v>
      </c>
      <c r="X18" s="45">
        <f t="shared" ca="1" si="30"/>
        <v>2.3354624896984315E-3</v>
      </c>
      <c r="Y18" s="45">
        <f t="shared" ca="1" si="30"/>
        <v>8.7797712983723455E-4</v>
      </c>
      <c r="Z18" s="45">
        <f t="shared" ca="1" si="30"/>
        <v>7.4445051852371446E-5</v>
      </c>
      <c r="AA18" s="45">
        <f t="shared" ca="1" si="30"/>
        <v>1.385840048167577E-2</v>
      </c>
      <c r="AB18" s="45">
        <f t="shared" ca="1" si="30"/>
        <v>7.9446186961241311E-3</v>
      </c>
      <c r="AC18" s="45">
        <f t="shared" ca="1" si="30"/>
        <v>8.7918720386550332E-3</v>
      </c>
      <c r="AD18" s="45">
        <f t="shared" ca="1" si="30"/>
        <v>2.0851467653361377E-4</v>
      </c>
      <c r="AE18" s="45">
        <f t="shared" ca="1" si="30"/>
        <v>5.7313233355110239E-4</v>
      </c>
      <c r="AF18" s="45">
        <v>0</v>
      </c>
      <c r="AG18" s="45">
        <v>0</v>
      </c>
      <c r="AH18" s="129">
        <f t="shared" ca="1" si="31"/>
        <v>0.1649756850306584</v>
      </c>
    </row>
    <row r="19" spans="2:34" ht="12" customHeight="1" x14ac:dyDescent="0.25">
      <c r="B19" s="390"/>
      <c r="D19" s="62">
        <f t="shared" si="33"/>
        <v>7</v>
      </c>
      <c r="E19" s="63">
        <f t="shared" si="32"/>
        <v>1.75</v>
      </c>
      <c r="F19" s="63">
        <f t="shared" si="27"/>
        <v>71.75</v>
      </c>
      <c r="G19" s="44">
        <f>INDEX(rngU.GenPop, MATCH($F19, Parameters!$D$71:$D$78, 1))</f>
        <v>0.77900000000000003</v>
      </c>
      <c r="H19" s="45">
        <f t="shared" ca="1" si="28"/>
        <v>0</v>
      </c>
      <c r="I19" s="45">
        <f t="shared" ca="1" si="28"/>
        <v>0.11073156126622735</v>
      </c>
      <c r="J19" s="45">
        <f t="shared" ca="1" si="28"/>
        <v>3.3337934433392263E-3</v>
      </c>
      <c r="K19" s="45">
        <f t="shared" ca="1" si="28"/>
        <v>1.2600320608852763E-3</v>
      </c>
      <c r="L19" s="45">
        <f t="shared" ca="1" si="28"/>
        <v>1.0721054135207241E-4</v>
      </c>
      <c r="M19" s="45">
        <f t="shared" ca="1" si="28"/>
        <v>2.4429092178469614E-2</v>
      </c>
      <c r="N19" s="45">
        <f t="shared" ca="1" si="28"/>
        <v>1.0008586620711675E-2</v>
      </c>
      <c r="O19" s="45">
        <f t="shared" ca="1" si="28"/>
        <v>9.9281270048279836E-3</v>
      </c>
      <c r="P19" s="45">
        <f t="shared" ca="1" si="28"/>
        <v>2.5305495942064802E-4</v>
      </c>
      <c r="Q19" s="45">
        <f t="shared" ca="1" si="28"/>
        <v>8.5280462396277585E-4</v>
      </c>
      <c r="R19" s="45">
        <v>0</v>
      </c>
      <c r="S19" s="45">
        <v>0</v>
      </c>
      <c r="T19" s="129">
        <f t="shared" ca="1" si="29"/>
        <v>0.16090426269919664</v>
      </c>
      <c r="V19" s="45">
        <f t="shared" ca="1" si="30"/>
        <v>0.12420665748164375</v>
      </c>
      <c r="W19" s="45">
        <f t="shared" ca="1" si="30"/>
        <v>0</v>
      </c>
      <c r="X19" s="45">
        <f t="shared" ca="1" si="30"/>
        <v>2.2672745891957682E-3</v>
      </c>
      <c r="Y19" s="45">
        <f t="shared" ca="1" si="30"/>
        <v>8.523430563134567E-4</v>
      </c>
      <c r="Z19" s="45">
        <f t="shared" ca="1" si="30"/>
        <v>7.2271498729160901E-5</v>
      </c>
      <c r="AA19" s="45">
        <f t="shared" ca="1" si="30"/>
        <v>1.5753720393951873E-2</v>
      </c>
      <c r="AB19" s="45">
        <f t="shared" ca="1" si="30"/>
        <v>8.7980911806190363E-3</v>
      </c>
      <c r="AC19" s="45">
        <f t="shared" ca="1" si="30"/>
        <v>9.9763732738003437E-3</v>
      </c>
      <c r="AD19" s="45">
        <f t="shared" ca="1" si="30"/>
        <v>2.4021770239574872E-4</v>
      </c>
      <c r="AE19" s="45">
        <f t="shared" ca="1" si="30"/>
        <v>8.132418218428012E-4</v>
      </c>
      <c r="AF19" s="45">
        <v>0</v>
      </c>
      <c r="AG19" s="45">
        <v>0</v>
      </c>
      <c r="AH19" s="129">
        <f t="shared" ca="1" si="31"/>
        <v>0.16298019099849193</v>
      </c>
    </row>
    <row r="20" spans="2:34" ht="12" customHeight="1" x14ac:dyDescent="0.25">
      <c r="B20" s="390"/>
      <c r="D20" s="62">
        <f t="shared" si="33"/>
        <v>8</v>
      </c>
      <c r="E20" s="63">
        <f t="shared" si="32"/>
        <v>2</v>
      </c>
      <c r="F20" s="63">
        <f t="shared" si="27"/>
        <v>72</v>
      </c>
      <c r="G20" s="44">
        <f>INDEX(rngU.GenPop, MATCH($F20, Parameters!$D$71:$D$78, 1))</f>
        <v>0.77900000000000003</v>
      </c>
      <c r="H20" s="45">
        <f t="shared" ca="1" si="28"/>
        <v>0</v>
      </c>
      <c r="I20" s="45">
        <f t="shared" ca="1" si="28"/>
        <v>0.10393748369467153</v>
      </c>
      <c r="J20" s="45">
        <f t="shared" ca="1" si="28"/>
        <v>3.193902011360111E-3</v>
      </c>
      <c r="K20" s="45">
        <f t="shared" ca="1" si="28"/>
        <v>1.20702814801823E-3</v>
      </c>
      <c r="L20" s="45">
        <f t="shared" ca="1" si="28"/>
        <v>1.0269352704953912E-4</v>
      </c>
      <c r="M20" s="45">
        <f t="shared" ca="1" si="28"/>
        <v>2.6921580493697507E-2</v>
      </c>
      <c r="N20" s="45">
        <f t="shared" ca="1" si="28"/>
        <v>1.0847513650772654E-2</v>
      </c>
      <c r="O20" s="45">
        <f t="shared" ca="1" si="28"/>
        <v>1.1069091471106476E-2</v>
      </c>
      <c r="P20" s="45">
        <f t="shared" ca="1" si="28"/>
        <v>2.8404226149111996E-4</v>
      </c>
      <c r="Q20" s="45">
        <f t="shared" ca="1" si="28"/>
        <v>1.1429126771765653E-3</v>
      </c>
      <c r="R20" s="45">
        <v>0</v>
      </c>
      <c r="S20" s="45">
        <v>0</v>
      </c>
      <c r="T20" s="129">
        <f t="shared" ca="1" si="29"/>
        <v>0.15870624793534371</v>
      </c>
      <c r="V20" s="45">
        <f t="shared" ca="1" si="30"/>
        <v>0.11838803116685835</v>
      </c>
      <c r="W20" s="45">
        <f t="shared" ca="1" si="30"/>
        <v>0</v>
      </c>
      <c r="X20" s="45">
        <f t="shared" ca="1" si="30"/>
        <v>2.2010775533289335E-3</v>
      </c>
      <c r="Y20" s="45">
        <f t="shared" ca="1" si="30"/>
        <v>8.2745741425735116E-4</v>
      </c>
      <c r="Z20" s="45">
        <f t="shared" ca="1" si="30"/>
        <v>7.0161406278814527E-5</v>
      </c>
      <c r="AA20" s="45">
        <f t="shared" ca="1" si="30"/>
        <v>1.7485959379115915E-2</v>
      </c>
      <c r="AB20" s="45">
        <f t="shared" ca="1" si="30"/>
        <v>9.5563679291354592E-3</v>
      </c>
      <c r="AC20" s="45">
        <f t="shared" ca="1" si="30"/>
        <v>1.1114326615335684E-2</v>
      </c>
      <c r="AD20" s="45">
        <f t="shared" ca="1" si="30"/>
        <v>2.6990938648720485E-4</v>
      </c>
      <c r="AE20" s="45">
        <f t="shared" ca="1" si="30"/>
        <v>1.0886025855150921E-3</v>
      </c>
      <c r="AF20" s="45">
        <v>0</v>
      </c>
      <c r="AG20" s="45">
        <v>0</v>
      </c>
      <c r="AH20" s="129">
        <f t="shared" ca="1" si="31"/>
        <v>0.16100189343631283</v>
      </c>
    </row>
    <row r="21" spans="2:34" ht="12" customHeight="1" x14ac:dyDescent="0.25">
      <c r="B21" s="390"/>
      <c r="D21" s="62">
        <f t="shared" si="33"/>
        <v>9</v>
      </c>
      <c r="E21" s="63">
        <f t="shared" si="32"/>
        <v>2.25</v>
      </c>
      <c r="F21" s="63">
        <f t="shared" si="27"/>
        <v>72.25</v>
      </c>
      <c r="G21" s="44">
        <f>INDEX(rngU.GenPop, MATCH($F21, Parameters!$D$71:$D$78, 1))</f>
        <v>0.77900000000000003</v>
      </c>
      <c r="H21" s="45">
        <f t="shared" ca="1" si="28"/>
        <v>0</v>
      </c>
      <c r="I21" s="45">
        <f t="shared" ca="1" si="28"/>
        <v>9.756026550376995E-2</v>
      </c>
      <c r="J21" s="45">
        <f t="shared" ca="1" si="28"/>
        <v>3.060706002344028E-3</v>
      </c>
      <c r="K21" s="45">
        <f t="shared" ca="1" si="28"/>
        <v>1.1565666739053455E-3</v>
      </c>
      <c r="L21" s="45">
        <f t="shared" ca="1" si="28"/>
        <v>9.839348471295176E-5</v>
      </c>
      <c r="M21" s="45">
        <f t="shared" ca="1" si="28"/>
        <v>2.9144604064961801E-2</v>
      </c>
      <c r="N21" s="45">
        <f t="shared" ca="1" si="28"/>
        <v>1.1578759662301819E-2</v>
      </c>
      <c r="O21" s="45">
        <f t="shared" ca="1" si="28"/>
        <v>1.2163852960570584E-2</v>
      </c>
      <c r="P21" s="45">
        <f t="shared" ca="1" si="28"/>
        <v>3.1284990068411954E-4</v>
      </c>
      <c r="Q21" s="45">
        <f t="shared" ca="1" si="28"/>
        <v>1.467021323698205E-3</v>
      </c>
      <c r="R21" s="45">
        <v>0</v>
      </c>
      <c r="S21" s="45">
        <v>0</v>
      </c>
      <c r="T21" s="129">
        <f t="shared" ca="1" si="29"/>
        <v>0.1565430195769488</v>
      </c>
      <c r="V21" s="45">
        <f t="shared" ca="1" si="30"/>
        <v>0.11284198615228316</v>
      </c>
      <c r="W21" s="45">
        <f t="shared" ca="1" si="30"/>
        <v>0</v>
      </c>
      <c r="X21" s="45">
        <f t="shared" ca="1" si="30"/>
        <v>2.1368132553757501E-3</v>
      </c>
      <c r="Y21" s="45">
        <f t="shared" ca="1" si="30"/>
        <v>8.0329835192309552E-4</v>
      </c>
      <c r="Z21" s="45">
        <f t="shared" ca="1" si="30"/>
        <v>6.8112921657681219E-5</v>
      </c>
      <c r="AA21" s="45">
        <f t="shared" ca="1" si="30"/>
        <v>1.9064926269010699E-2</v>
      </c>
      <c r="AB21" s="45">
        <f t="shared" ca="1" si="30"/>
        <v>1.0226778503094768E-2</v>
      </c>
      <c r="AC21" s="45">
        <f t="shared" ca="1" si="30"/>
        <v>1.2205237522842067E-2</v>
      </c>
      <c r="AD21" s="45">
        <f t="shared" ca="1" si="30"/>
        <v>2.9767462223288647E-4</v>
      </c>
      <c r="AE21" s="45">
        <f t="shared" ca="1" si="30"/>
        <v>1.3965638182213166E-3</v>
      </c>
      <c r="AF21" s="45">
        <v>0</v>
      </c>
      <c r="AG21" s="45">
        <v>0</v>
      </c>
      <c r="AH21" s="129">
        <f t="shared" ca="1" si="31"/>
        <v>0.15904139141664139</v>
      </c>
    </row>
    <row r="22" spans="2:34" ht="12" customHeight="1" x14ac:dyDescent="0.25">
      <c r="B22" s="390"/>
      <c r="D22" s="62">
        <f t="shared" si="33"/>
        <v>10</v>
      </c>
      <c r="E22" s="63">
        <f t="shared" si="32"/>
        <v>2.5</v>
      </c>
      <c r="F22" s="63">
        <f t="shared" si="27"/>
        <v>72.5</v>
      </c>
      <c r="G22" s="44">
        <f>INDEX(rngU.GenPop, MATCH($F22, Parameters!$D$71:$D$78, 1))</f>
        <v>0.77900000000000003</v>
      </c>
      <c r="H22" s="45">
        <f t="shared" ref="H22:Q31" ca="1" si="34">PRODUCT(AVERAGE(OFFSET(E.Trace.Markov.Root, $D22, (H$2-1)*E.Trace.Markov.NumCols+H$3-1, CHOOSE(swtchHalfCycle, 2, 1))) + N("halfcycle-adjusted state occupancy"),
$G22 + H$6 + N("age-adjusted state utility value"),
E.cycleLength)</f>
        <v>0</v>
      </c>
      <c r="I22" s="45">
        <f t="shared" ca="1" si="34"/>
        <v>9.1574329749278274E-2</v>
      </c>
      <c r="J22" s="45">
        <f t="shared" ca="1" si="34"/>
        <v>2.9338497274874115E-3</v>
      </c>
      <c r="K22" s="45">
        <f t="shared" ca="1" si="34"/>
        <v>1.1085123644209846E-3</v>
      </c>
      <c r="L22" s="45">
        <f t="shared" ca="1" si="34"/>
        <v>9.4298858669632099E-5</v>
      </c>
      <c r="M22" s="45">
        <f t="shared" ca="1" si="34"/>
        <v>3.1118098688743327E-2</v>
      </c>
      <c r="N22" s="45">
        <f t="shared" ca="1" si="34"/>
        <v>1.2211465112243306E-2</v>
      </c>
      <c r="O22" s="45">
        <f t="shared" ca="1" si="34"/>
        <v>1.3211684878387711E-2</v>
      </c>
      <c r="P22" s="45">
        <f t="shared" ca="1" si="34"/>
        <v>3.3958285013880799E-4</v>
      </c>
      <c r="Q22" s="45">
        <f t="shared" ca="1" si="34"/>
        <v>1.8222923992556896E-3</v>
      </c>
      <c r="R22" s="45">
        <v>0</v>
      </c>
      <c r="S22" s="45">
        <v>0</v>
      </c>
      <c r="T22" s="129">
        <f t="shared" ca="1" si="29"/>
        <v>0.15441411462862514</v>
      </c>
      <c r="V22" s="45">
        <f t="shared" ca="1" si="30"/>
        <v>0.10755575300382766</v>
      </c>
      <c r="W22" s="45">
        <f t="shared" ca="1" si="30"/>
        <v>0</v>
      </c>
      <c r="X22" s="45">
        <f t="shared" ca="1" si="30"/>
        <v>2.0744252656812842E-3</v>
      </c>
      <c r="Y22" s="45">
        <f t="shared" ca="1" si="30"/>
        <v>7.7984465554823518E-4</v>
      </c>
      <c r="Z22" s="45">
        <f t="shared" ca="1" si="30"/>
        <v>6.6124246117715908E-5</v>
      </c>
      <c r="AA22" s="45">
        <f t="shared" ca="1" si="30"/>
        <v>2.0499907057408482E-2</v>
      </c>
      <c r="AB22" s="45">
        <f t="shared" ca="1" si="30"/>
        <v>1.0816143860619052E-2</v>
      </c>
      <c r="AC22" s="45">
        <f t="shared" ca="1" si="30"/>
        <v>1.3248839789742053E-2</v>
      </c>
      <c r="AD22" s="45">
        <f t="shared" ca="1" si="30"/>
        <v>3.2359570743508808E-4</v>
      </c>
      <c r="AE22" s="45">
        <f t="shared" ca="1" si="30"/>
        <v>1.7345961420049693E-3</v>
      </c>
      <c r="AF22" s="45">
        <v>0</v>
      </c>
      <c r="AG22" s="45">
        <v>0</v>
      </c>
      <c r="AH22" s="129">
        <f t="shared" ca="1" si="31"/>
        <v>0.15709922972838455</v>
      </c>
    </row>
    <row r="23" spans="2:34" ht="12" customHeight="1" x14ac:dyDescent="0.25">
      <c r="B23" s="390"/>
      <c r="D23" s="62">
        <f t="shared" si="33"/>
        <v>11</v>
      </c>
      <c r="E23" s="63">
        <f t="shared" si="32"/>
        <v>2.75</v>
      </c>
      <c r="F23" s="63">
        <f t="shared" si="27"/>
        <v>72.75</v>
      </c>
      <c r="G23" s="44">
        <f>INDEX(rngU.GenPop, MATCH($F23, Parameters!$D$71:$D$78, 1))</f>
        <v>0.77900000000000003</v>
      </c>
      <c r="H23" s="45">
        <f t="shared" ca="1" si="34"/>
        <v>0</v>
      </c>
      <c r="I23" s="45">
        <f t="shared" ca="1" si="34"/>
        <v>8.5955668793311193E-2</v>
      </c>
      <c r="J23" s="45">
        <f t="shared" ca="1" si="34"/>
        <v>2.8129977124811442E-3</v>
      </c>
      <c r="K23" s="45">
        <f t="shared" ca="1" si="34"/>
        <v>1.0627376403876565E-3</v>
      </c>
      <c r="L23" s="45">
        <f t="shared" ca="1" si="34"/>
        <v>9.0398750963726422E-5</v>
      </c>
      <c r="M23" s="45">
        <f t="shared" ca="1" si="34"/>
        <v>3.2860677634879203E-2</v>
      </c>
      <c r="N23" s="45">
        <f t="shared" ca="1" si="34"/>
        <v>1.2754077877773308E-2</v>
      </c>
      <c r="O23" s="45">
        <f t="shared" ca="1" si="34"/>
        <v>1.4212140603698074E-2</v>
      </c>
      <c r="P23" s="45">
        <f t="shared" ca="1" si="34"/>
        <v>3.6434196202936591E-4</v>
      </c>
      <c r="Q23" s="45">
        <f t="shared" ca="1" si="34"/>
        <v>2.2060342809519409E-3</v>
      </c>
      <c r="R23" s="45">
        <v>0</v>
      </c>
      <c r="S23" s="45">
        <v>0</v>
      </c>
      <c r="T23" s="129">
        <f t="shared" ca="1" si="29"/>
        <v>0.15231907525647562</v>
      </c>
      <c r="V23" s="45">
        <f t="shared" ca="1" si="30"/>
        <v>0.10251716048855028</v>
      </c>
      <c r="W23" s="45">
        <f t="shared" ca="1" si="30"/>
        <v>0</v>
      </c>
      <c r="X23" s="45">
        <f t="shared" ca="1" si="30"/>
        <v>2.0138588021535644E-3</v>
      </c>
      <c r="Y23" s="45">
        <f t="shared" ca="1" si="30"/>
        <v>7.5707573074339902E-4</v>
      </c>
      <c r="Z23" s="45">
        <f t="shared" ca="1" si="30"/>
        <v>6.4193633428484456E-5</v>
      </c>
      <c r="AA23" s="45">
        <f t="shared" ca="1" si="30"/>
        <v>2.1799691242046983E-2</v>
      </c>
      <c r="AB23" s="45">
        <f t="shared" ca="1" si="30"/>
        <v>1.1330810280485841E-2</v>
      </c>
      <c r="AC23" s="45">
        <f t="shared" ca="1" si="30"/>
        <v>1.4245071611475037E-2</v>
      </c>
      <c r="AD23" s="45">
        <f t="shared" ca="1" si="30"/>
        <v>3.477523702323547E-4</v>
      </c>
      <c r="AE23" s="45">
        <f t="shared" ca="1" si="30"/>
        <v>2.10028756320077E-3</v>
      </c>
      <c r="AF23" s="45">
        <v>0</v>
      </c>
      <c r="AG23" s="45">
        <v>0</v>
      </c>
      <c r="AH23" s="129">
        <f t="shared" ca="1" si="31"/>
        <v>0.15517590172231671</v>
      </c>
    </row>
    <row r="24" spans="2:34" ht="12" customHeight="1" x14ac:dyDescent="0.25">
      <c r="B24" s="390"/>
      <c r="D24" s="62">
        <f t="shared" si="33"/>
        <v>12</v>
      </c>
      <c r="E24" s="63">
        <f t="shared" si="32"/>
        <v>3</v>
      </c>
      <c r="F24" s="63">
        <f t="shared" si="27"/>
        <v>73</v>
      </c>
      <c r="G24" s="44">
        <f>INDEX(rngU.GenPop, MATCH($F24, Parameters!$D$71:$D$78, 1))</f>
        <v>0.77900000000000003</v>
      </c>
      <c r="H24" s="45">
        <f t="shared" ca="1" si="34"/>
        <v>0</v>
      </c>
      <c r="I24" s="45">
        <f t="shared" ca="1" si="34"/>
        <v>8.0681748017529364E-2</v>
      </c>
      <c r="J24" s="45">
        <f t="shared" ca="1" si="34"/>
        <v>2.6978335042078683E-3</v>
      </c>
      <c r="K24" s="45">
        <f t="shared" ca="1" si="34"/>
        <v>1.0191221631052655E-3</v>
      </c>
      <c r="L24" s="45">
        <f t="shared" ca="1" si="34"/>
        <v>8.6682882498790578E-5</v>
      </c>
      <c r="M24" s="45">
        <f t="shared" ca="1" si="34"/>
        <v>3.4389715692299538E-2</v>
      </c>
      <c r="N24" s="45">
        <f t="shared" ca="1" si="34"/>
        <v>1.3214403338517549E-2</v>
      </c>
      <c r="O24" s="45">
        <f t="shared" ca="1" si="34"/>
        <v>1.5165022796665935E-2</v>
      </c>
      <c r="P24" s="45">
        <f t="shared" ca="1" si="34"/>
        <v>3.872240882031274E-4</v>
      </c>
      <c r="Q24" s="45">
        <f t="shared" ca="1" si="34"/>
        <v>2.6156958461730179E-3</v>
      </c>
      <c r="R24" s="45">
        <v>0</v>
      </c>
      <c r="S24" s="45">
        <v>0</v>
      </c>
      <c r="T24" s="129">
        <f t="shared" ca="1" si="29"/>
        <v>0.15025744832920046</v>
      </c>
      <c r="V24" s="45">
        <f t="shared" ca="1" si="30"/>
        <v>9.7714607551128915E-2</v>
      </c>
      <c r="W24" s="45">
        <f t="shared" ca="1" si="30"/>
        <v>0</v>
      </c>
      <c r="X24" s="45">
        <f t="shared" ca="1" si="30"/>
        <v>1.9550606821593245E-3</v>
      </c>
      <c r="Y24" s="45">
        <f t="shared" ca="1" si="30"/>
        <v>7.3497158440832583E-4</v>
      </c>
      <c r="Z24" s="45">
        <f t="shared" ca="1" si="30"/>
        <v>6.231938834379531E-5</v>
      </c>
      <c r="AA24" s="45">
        <f t="shared" ca="1" si="30"/>
        <v>2.2972596878701717E-2</v>
      </c>
      <c r="AB24" s="45">
        <f t="shared" ca="1" si="30"/>
        <v>1.1776681060632363E-2</v>
      </c>
      <c r="AC24" s="45">
        <f t="shared" ca="1" si="30"/>
        <v>1.5194053594977044E-2</v>
      </c>
      <c r="AD24" s="45">
        <f t="shared" ca="1" si="30"/>
        <v>3.7022179961741683E-4</v>
      </c>
      <c r="AE24" s="45">
        <f t="shared" ca="1" si="30"/>
        <v>2.4913394920055179E-3</v>
      </c>
      <c r="AF24" s="45">
        <v>0</v>
      </c>
      <c r="AG24" s="45">
        <v>0</v>
      </c>
      <c r="AH24" s="129">
        <f t="shared" ca="1" si="31"/>
        <v>0.15327185203197444</v>
      </c>
    </row>
    <row r="25" spans="2:34" ht="12" customHeight="1" x14ac:dyDescent="0.25">
      <c r="B25" s="390"/>
      <c r="D25" s="62">
        <f t="shared" si="33"/>
        <v>13</v>
      </c>
      <c r="E25" s="63">
        <f t="shared" si="32"/>
        <v>3.25</v>
      </c>
      <c r="F25" s="63">
        <f t="shared" si="27"/>
        <v>73.25</v>
      </c>
      <c r="G25" s="44">
        <f>INDEX(rngU.GenPop, MATCH($F25, Parameters!$D$71:$D$78, 1))</f>
        <v>0.77900000000000003</v>
      </c>
      <c r="H25" s="45">
        <f t="shared" ca="1" si="34"/>
        <v>0</v>
      </c>
      <c r="I25" s="45">
        <f t="shared" ca="1" si="34"/>
        <v>7.57314154441278E-2</v>
      </c>
      <c r="J25" s="45">
        <f t="shared" ca="1" si="34"/>
        <v>2.5880585492853822E-3</v>
      </c>
      <c r="K25" s="45">
        <f t="shared" ca="1" si="34"/>
        <v>9.7755240724976215E-4</v>
      </c>
      <c r="L25" s="45">
        <f t="shared" ca="1" si="34"/>
        <v>8.3141556520834511E-5</v>
      </c>
      <c r="M25" s="45">
        <f t="shared" ca="1" si="34"/>
        <v>3.5721427973345717E-2</v>
      </c>
      <c r="N25" s="45">
        <f t="shared" ca="1" si="34"/>
        <v>1.3599650922130087E-2</v>
      </c>
      <c r="O25" s="45">
        <f t="shared" ca="1" si="34"/>
        <v>1.607035534589896E-2</v>
      </c>
      <c r="P25" s="45">
        <f t="shared" ca="1" si="34"/>
        <v>4.0832220031803286E-4</v>
      </c>
      <c r="Q25" s="45">
        <f t="shared" ca="1" si="34"/>
        <v>3.0488606227177272E-3</v>
      </c>
      <c r="R25" s="45">
        <v>0</v>
      </c>
      <c r="S25" s="45">
        <v>0</v>
      </c>
      <c r="T25" s="129">
        <f t="shared" ca="1" si="29"/>
        <v>0.14822878502159431</v>
      </c>
      <c r="V25" s="45">
        <f t="shared" ca="1" si="30"/>
        <v>9.3137036603130774E-2</v>
      </c>
      <c r="W25" s="45">
        <f t="shared" ca="1" si="30"/>
        <v>0</v>
      </c>
      <c r="X25" s="45">
        <f t="shared" ca="1" si="30"/>
        <v>1.897979275825029E-3</v>
      </c>
      <c r="Y25" s="45">
        <f t="shared" ca="1" si="30"/>
        <v>7.1351280717618583E-4</v>
      </c>
      <c r="Z25" s="45">
        <f t="shared" ca="1" si="30"/>
        <v>6.0499865113126072E-5</v>
      </c>
      <c r="AA25" s="45">
        <f t="shared" ca="1" si="30"/>
        <v>2.4026494409156326E-2</v>
      </c>
      <c r="AB25" s="45">
        <f t="shared" ca="1" si="30"/>
        <v>1.2159246136137541E-2</v>
      </c>
      <c r="AC25" s="45">
        <f t="shared" ca="1" si="30"/>
        <v>1.6096068567778839E-2</v>
      </c>
      <c r="AD25" s="45">
        <f t="shared" ca="1" si="30"/>
        <v>3.9107867996506255E-4</v>
      </c>
      <c r="AE25" s="45">
        <f t="shared" ca="1" si="30"/>
        <v>2.9055628305488961E-3</v>
      </c>
      <c r="AF25" s="45">
        <v>0</v>
      </c>
      <c r="AG25" s="45">
        <v>0</v>
      </c>
      <c r="AH25" s="129">
        <f t="shared" ca="1" si="31"/>
        <v>0.15138747917483181</v>
      </c>
    </row>
    <row r="26" spans="2:34" ht="12" customHeight="1" x14ac:dyDescent="0.25">
      <c r="B26" s="390"/>
      <c r="D26" s="62">
        <f t="shared" si="33"/>
        <v>14</v>
      </c>
      <c r="E26" s="63">
        <f t="shared" si="32"/>
        <v>3.5</v>
      </c>
      <c r="F26" s="63">
        <f t="shared" si="27"/>
        <v>73.5</v>
      </c>
      <c r="G26" s="44">
        <f>INDEX(rngU.GenPop, MATCH($F26, Parameters!$D$71:$D$78, 1))</f>
        <v>0.77900000000000003</v>
      </c>
      <c r="H26" s="45">
        <f t="shared" ca="1" si="34"/>
        <v>0</v>
      </c>
      <c r="I26" s="45">
        <f t="shared" ca="1" si="34"/>
        <v>7.1084816902145062E-2</v>
      </c>
      <c r="J26" s="45">
        <f t="shared" ca="1" si="34"/>
        <v>2.4833911400866785E-3</v>
      </c>
      <c r="K26" s="45">
        <f t="shared" ca="1" si="34"/>
        <v>9.3792125947649496E-4</v>
      </c>
      <c r="L26" s="45">
        <f t="shared" ca="1" si="34"/>
        <v>7.9765624299460224E-5</v>
      </c>
      <c r="M26" s="45">
        <f t="shared" ca="1" si="34"/>
        <v>3.6870943800738187E-2</v>
      </c>
      <c r="N26" s="45">
        <f t="shared" ca="1" si="34"/>
        <v>1.391647735945308E-2</v>
      </c>
      <c r="O26" s="45">
        <f t="shared" ca="1" si="34"/>
        <v>1.6928357751111039E-2</v>
      </c>
      <c r="P26" s="45">
        <f t="shared" ca="1" si="34"/>
        <v>4.2772550915293715E-4</v>
      </c>
      <c r="Q26" s="45">
        <f t="shared" ca="1" si="34"/>
        <v>3.5032411279913443E-3</v>
      </c>
      <c r="R26" s="45">
        <v>0</v>
      </c>
      <c r="S26" s="45">
        <v>0</v>
      </c>
      <c r="T26" s="129">
        <f t="shared" ca="1" si="29"/>
        <v>0.14623264047445428</v>
      </c>
      <c r="V26" s="45">
        <f t="shared" ca="1" si="30"/>
        <v>8.8773908063582083E-2</v>
      </c>
      <c r="W26" s="45">
        <f t="shared" ca="1" si="30"/>
        <v>0</v>
      </c>
      <c r="X26" s="45">
        <f t="shared" ca="1" si="30"/>
        <v>1.8425644607013463E-3</v>
      </c>
      <c r="Y26" s="45">
        <f t="shared" ca="1" si="30"/>
        <v>6.9268055637046466E-4</v>
      </c>
      <c r="Z26" s="45">
        <f t="shared" ca="1" si="30"/>
        <v>5.8733466036511135E-5</v>
      </c>
      <c r="AA26" s="45">
        <f t="shared" ca="1" si="30"/>
        <v>2.4968829322040413E-2</v>
      </c>
      <c r="AB26" s="45">
        <f t="shared" ca="1" si="30"/>
        <v>1.2483609752209791E-2</v>
      </c>
      <c r="AC26" s="45">
        <f t="shared" ca="1" si="30"/>
        <v>1.6951543054842314E-2</v>
      </c>
      <c r="AD26" s="45">
        <f t="shared" ca="1" si="30"/>
        <v>4.1039522906171234E-4</v>
      </c>
      <c r="AE26" s="45">
        <f t="shared" ca="1" si="30"/>
        <v>3.3408741336100039E-3</v>
      </c>
      <c r="AF26" s="45">
        <v>0</v>
      </c>
      <c r="AG26" s="45">
        <v>0</v>
      </c>
      <c r="AH26" s="129">
        <f t="shared" ca="1" si="31"/>
        <v>0.14952313803845466</v>
      </c>
    </row>
    <row r="27" spans="2:34" ht="12" customHeight="1" x14ac:dyDescent="0.25">
      <c r="B27" s="390"/>
      <c r="D27" s="62">
        <f t="shared" si="33"/>
        <v>15</v>
      </c>
      <c r="E27" s="63">
        <f t="shared" si="32"/>
        <v>3.75</v>
      </c>
      <c r="F27" s="63">
        <f t="shared" si="27"/>
        <v>73.75</v>
      </c>
      <c r="G27" s="44">
        <f>INDEX(rngU.GenPop, MATCH($F27, Parameters!$D$71:$D$78, 1))</f>
        <v>0.77900000000000003</v>
      </c>
      <c r="H27" s="45">
        <f t="shared" ca="1" si="34"/>
        <v>0</v>
      </c>
      <c r="I27" s="45">
        <f t="shared" ca="1" si="34"/>
        <v>6.6723316398852539E-2</v>
      </c>
      <c r="J27" s="45">
        <f t="shared" ca="1" si="34"/>
        <v>2.3835654241354063E-3</v>
      </c>
      <c r="K27" s="45">
        <f t="shared" ca="1" si="34"/>
        <v>9.0012764116573359E-4</v>
      </c>
      <c r="L27" s="45">
        <f t="shared" ca="1" si="34"/>
        <v>7.6546452873466154E-5</v>
      </c>
      <c r="M27" s="45">
        <f t="shared" ca="1" si="34"/>
        <v>3.785237598130442E-2</v>
      </c>
      <c r="N27" s="45">
        <f t="shared" ca="1" si="34"/>
        <v>1.4171026878501055E-2</v>
      </c>
      <c r="O27" s="45">
        <f t="shared" ca="1" si="34"/>
        <v>1.7739421751019363E-2</v>
      </c>
      <c r="P27" s="45">
        <f t="shared" ca="1" si="34"/>
        <v>4.4551958280347515E-4</v>
      </c>
      <c r="Q27" s="45">
        <f t="shared" ca="1" si="34"/>
        <v>3.9766733947405528E-3</v>
      </c>
      <c r="R27" s="45">
        <v>0</v>
      </c>
      <c r="S27" s="45">
        <v>0</v>
      </c>
      <c r="T27" s="129">
        <f t="shared" ca="1" si="29"/>
        <v>0.14426857350539601</v>
      </c>
      <c r="V27" s="45">
        <f t="shared" ca="1" si="30"/>
        <v>8.461517609221865E-2</v>
      </c>
      <c r="W27" s="45">
        <f t="shared" ca="1" si="30"/>
        <v>0</v>
      </c>
      <c r="X27" s="45">
        <f t="shared" ca="1" si="30"/>
        <v>1.7887675777512684E-3</v>
      </c>
      <c r="Y27" s="45">
        <f t="shared" ca="1" si="30"/>
        <v>6.7245653945945084E-4</v>
      </c>
      <c r="Z27" s="45">
        <f t="shared" ca="1" si="30"/>
        <v>5.7018640061621829E-5</v>
      </c>
      <c r="AA27" s="45">
        <f t="shared" ca="1" si="30"/>
        <v>2.5806643702696221E-2</v>
      </c>
      <c r="AB27" s="45">
        <f t="shared" ca="1" si="30"/>
        <v>1.275451631890955E-2</v>
      </c>
      <c r="AC27" s="45">
        <f t="shared" ca="1" si="30"/>
        <v>1.7761030300402859E-2</v>
      </c>
      <c r="AD27" s="45">
        <f t="shared" ca="1" si="30"/>
        <v>4.2824123917141048E-4</v>
      </c>
      <c r="AE27" s="45">
        <f t="shared" ca="1" si="30"/>
        <v>3.7952918454946692E-3</v>
      </c>
      <c r="AF27" s="45">
        <v>0</v>
      </c>
      <c r="AG27" s="45">
        <v>0</v>
      </c>
      <c r="AH27" s="129">
        <f t="shared" ca="1" si="31"/>
        <v>0.14767914225616571</v>
      </c>
    </row>
    <row r="28" spans="2:34" ht="12" customHeight="1" x14ac:dyDescent="0.25">
      <c r="B28" s="390"/>
      <c r="D28" s="62">
        <f t="shared" si="33"/>
        <v>16</v>
      </c>
      <c r="E28" s="63">
        <f t="shared" si="32"/>
        <v>4</v>
      </c>
      <c r="F28" s="63">
        <f t="shared" si="27"/>
        <v>74</v>
      </c>
      <c r="G28" s="44">
        <f>INDEX(rngU.GenPop, MATCH($F28, Parameters!$D$71:$D$78, 1))</f>
        <v>0.77900000000000003</v>
      </c>
      <c r="H28" s="45">
        <f t="shared" ca="1" si="34"/>
        <v>0</v>
      </c>
      <c r="I28" s="45">
        <f t="shared" ca="1" si="34"/>
        <v>6.2629421376860034E-2</v>
      </c>
      <c r="J28" s="45">
        <f t="shared" ca="1" si="34"/>
        <v>2.2883304730260297E-3</v>
      </c>
      <c r="K28" s="45">
        <f t="shared" ca="1" si="34"/>
        <v>8.6407615384328726E-4</v>
      </c>
      <c r="L28" s="45">
        <f t="shared" ca="1" si="34"/>
        <v>7.3475894735453232E-5</v>
      </c>
      <c r="M28" s="45">
        <f t="shared" ca="1" si="34"/>
        <v>3.8678885751848378E-2</v>
      </c>
      <c r="N28" s="45">
        <f t="shared" ca="1" si="34"/>
        <v>1.4368968550699364E-2</v>
      </c>
      <c r="O28" s="45">
        <f t="shared" ca="1" si="34"/>
        <v>1.8504090020501764E-2</v>
      </c>
      <c r="P28" s="45">
        <f t="shared" ca="1" si="34"/>
        <v>4.6178646351173838E-4</v>
      </c>
      <c r="Q28" s="45">
        <f t="shared" ca="1" si="34"/>
        <v>4.4671116804901349E-3</v>
      </c>
      <c r="R28" s="45">
        <v>0</v>
      </c>
      <c r="S28" s="45">
        <v>0</v>
      </c>
      <c r="T28" s="129">
        <f t="shared" ca="1" si="29"/>
        <v>0.1423361463655162</v>
      </c>
      <c r="V28" s="45">
        <f t="shared" ref="V28:AE43" ca="1" si="35">PRODUCT(AVERAGE(OFFSET(E.Trace.Markov.Root, $D28, (V$2-1)*E.Trace.Markov.NumCols+V$3-1, CHOOSE(swtchHalfCycle, 2, 1))) + N("halfcycle-adjusted state occupancy"),
$G28 + V$6 + N("age-adjusted state utility value"),
E.cycleLength)</f>
        <v>8.0651265459544652E-2</v>
      </c>
      <c r="W28" s="45">
        <f t="shared" ca="1" si="35"/>
        <v>0</v>
      </c>
      <c r="X28" s="45">
        <f t="shared" ca="1" si="35"/>
        <v>1.7365413886232359E-3</v>
      </c>
      <c r="Y28" s="45">
        <f t="shared" ca="1" si="35"/>
        <v>6.5282299799379996E-4</v>
      </c>
      <c r="Z28" s="45">
        <f t="shared" ca="1" si="35"/>
        <v>5.5353881421807331E-5</v>
      </c>
      <c r="AA28" s="45">
        <f t="shared" ca="1" si="35"/>
        <v>2.6546596725561245E-2</v>
      </c>
      <c r="AB28" s="45">
        <f t="shared" ca="1" si="35"/>
        <v>1.2976374566107025E-2</v>
      </c>
      <c r="AC28" s="45">
        <f t="shared" ca="1" si="35"/>
        <v>1.8525194720616929E-2</v>
      </c>
      <c r="AD28" s="45">
        <f t="shared" ca="1" si="35"/>
        <v>4.4468412071263085E-4</v>
      </c>
      <c r="AE28" s="45">
        <f t="shared" ca="1" si="35"/>
        <v>4.2669326160134601E-3</v>
      </c>
      <c r="AF28" s="45">
        <v>0</v>
      </c>
      <c r="AG28" s="45">
        <v>0</v>
      </c>
      <c r="AH28" s="129">
        <f t="shared" ca="1" si="31"/>
        <v>0.14585576647659479</v>
      </c>
    </row>
    <row r="29" spans="2:34" ht="12" customHeight="1" x14ac:dyDescent="0.25">
      <c r="B29" s="390"/>
      <c r="D29" s="62">
        <f t="shared" si="33"/>
        <v>17</v>
      </c>
      <c r="E29" s="63">
        <f t="shared" si="32"/>
        <v>4.25</v>
      </c>
      <c r="F29" s="63">
        <f t="shared" si="27"/>
        <v>74.25</v>
      </c>
      <c r="G29" s="44">
        <f>INDEX(rngU.GenPop, MATCH($F29, Parameters!$D$71:$D$78, 1))</f>
        <v>0.77900000000000003</v>
      </c>
      <c r="H29" s="45">
        <f t="shared" ca="1" si="34"/>
        <v>0</v>
      </c>
      <c r="I29" s="45">
        <f t="shared" ca="1" si="34"/>
        <v>5.8786712557167616E-2</v>
      </c>
      <c r="J29" s="45">
        <f t="shared" ca="1" si="34"/>
        <v>2.1974494072531099E-3</v>
      </c>
      <c r="K29" s="45">
        <f t="shared" ca="1" si="34"/>
        <v>8.2967674589872983E-4</v>
      </c>
      <c r="L29" s="45">
        <f t="shared" ca="1" si="34"/>
        <v>7.0546259337631067E-5</v>
      </c>
      <c r="M29" s="45">
        <f t="shared" ca="1" si="34"/>
        <v>3.9362743664965116E-2</v>
      </c>
      <c r="N29" s="45">
        <f t="shared" ca="1" si="34"/>
        <v>1.4515530988075316E-2</v>
      </c>
      <c r="O29" s="45">
        <f t="shared" ca="1" si="34"/>
        <v>1.9223036774070931E-2</v>
      </c>
      <c r="P29" s="45">
        <f t="shared" ca="1" si="34"/>
        <v>4.7660478291040902E-4</v>
      </c>
      <c r="Q29" s="45">
        <f t="shared" ca="1" si="34"/>
        <v>4.9726233575696577E-3</v>
      </c>
      <c r="R29" s="45">
        <v>0</v>
      </c>
      <c r="S29" s="45">
        <v>0</v>
      </c>
      <c r="T29" s="129">
        <f t="shared" ca="1" si="29"/>
        <v>0.14043492453724851</v>
      </c>
      <c r="V29" s="45">
        <f t="shared" ca="1" si="35"/>
        <v>7.6873049500444379E-2</v>
      </c>
      <c r="W29" s="45">
        <f t="shared" ca="1" si="35"/>
        <v>0</v>
      </c>
      <c r="X29" s="45">
        <f t="shared" ca="1" si="35"/>
        <v>1.6858400341717497E-3</v>
      </c>
      <c r="Y29" s="45">
        <f t="shared" ca="1" si="35"/>
        <v>6.3376269201306725E-4</v>
      </c>
      <c r="Z29" s="45">
        <f t="shared" ca="1" si="35"/>
        <v>5.3737728313900323E-5</v>
      </c>
      <c r="AA29" s="45">
        <f t="shared" ca="1" si="35"/>
        <v>2.7194984140006085E-2</v>
      </c>
      <c r="AB29" s="45">
        <f t="shared" ca="1" si="35"/>
        <v>1.3153280109480633E-2</v>
      </c>
      <c r="AC29" s="45">
        <f t="shared" ca="1" si="35"/>
        <v>1.924479768077059E-2</v>
      </c>
      <c r="AD29" s="45">
        <f t="shared" ca="1" si="35"/>
        <v>4.5978894815703643E-4</v>
      </c>
      <c r="AE29" s="45">
        <f t="shared" ca="1" si="35"/>
        <v>4.7540076979764737E-3</v>
      </c>
      <c r="AF29" s="45">
        <v>0</v>
      </c>
      <c r="AG29" s="45">
        <v>0</v>
      </c>
      <c r="AH29" s="129">
        <f t="shared" ca="1" si="31"/>
        <v>0.14405324853133392</v>
      </c>
    </row>
    <row r="30" spans="2:34" ht="12" customHeight="1" x14ac:dyDescent="0.25">
      <c r="B30" s="390"/>
      <c r="D30" s="62">
        <f t="shared" si="33"/>
        <v>18</v>
      </c>
      <c r="E30" s="63">
        <f t="shared" si="32"/>
        <v>4.5</v>
      </c>
      <c r="F30" s="63">
        <f t="shared" si="27"/>
        <v>74.5</v>
      </c>
      <c r="G30" s="44">
        <f>INDEX(rngU.GenPop, MATCH($F30, Parameters!$D$71:$D$78, 1))</f>
        <v>0.77900000000000003</v>
      </c>
      <c r="H30" s="45">
        <f t="shared" ca="1" si="34"/>
        <v>0</v>
      </c>
      <c r="I30" s="45">
        <f t="shared" ca="1" si="34"/>
        <v>5.5179778086787604E-2</v>
      </c>
      <c r="J30" s="45">
        <f t="shared" ca="1" si="34"/>
        <v>2.1106985735549126E-3</v>
      </c>
      <c r="K30" s="45">
        <f t="shared" ca="1" si="34"/>
        <v>7.9684439930786683E-4</v>
      </c>
      <c r="L30" s="45">
        <f t="shared" ca="1" si="34"/>
        <v>6.775028630821579E-5</v>
      </c>
      <c r="M30" s="45">
        <f t="shared" ca="1" si="34"/>
        <v>3.9915386666106431E-2</v>
      </c>
      <c r="N30" s="45">
        <f t="shared" ca="1" si="34"/>
        <v>1.4615534576378552E-2</v>
      </c>
      <c r="O30" s="45">
        <f t="shared" ca="1" si="34"/>
        <v>1.9897050124818676E-2</v>
      </c>
      <c r="P30" s="45">
        <f t="shared" ca="1" si="34"/>
        <v>4.9004987549145407E-4</v>
      </c>
      <c r="Q30" s="45">
        <f t="shared" ca="1" si="34"/>
        <v>5.4913839803863865E-3</v>
      </c>
      <c r="R30" s="45">
        <v>0</v>
      </c>
      <c r="S30" s="45">
        <v>0</v>
      </c>
      <c r="T30" s="129">
        <f t="shared" ca="1" si="29"/>
        <v>0.13856447656914012</v>
      </c>
      <c r="V30" s="45">
        <f t="shared" ca="1" si="35"/>
        <v>7.3271829100586244E-2</v>
      </c>
      <c r="W30" s="45">
        <f t="shared" ca="1" si="35"/>
        <v>0</v>
      </c>
      <c r="X30" s="45">
        <f t="shared" ca="1" si="35"/>
        <v>1.6366189941890441E-3</v>
      </c>
      <c r="Y30" s="45">
        <f t="shared" ca="1" si="35"/>
        <v>6.1525888490752045E-4</v>
      </c>
      <c r="Z30" s="45">
        <f t="shared" ca="1" si="35"/>
        <v>5.216876161462642E-5</v>
      </c>
      <c r="AA30" s="45">
        <f t="shared" ca="1" si="35"/>
        <v>2.7757756798139556E-2</v>
      </c>
      <c r="AB30" s="45">
        <f t="shared" ca="1" si="35"/>
        <v>1.3289036531165319E-2</v>
      </c>
      <c r="AC30" s="45">
        <f t="shared" ca="1" si="35"/>
        <v>1.9920684498224411E-2</v>
      </c>
      <c r="AD30" s="45">
        <f t="shared" ca="1" si="35"/>
        <v>4.7361850779534015E-4</v>
      </c>
      <c r="AE30" s="45">
        <f t="shared" ca="1" si="35"/>
        <v>5.2548194281446326E-3</v>
      </c>
      <c r="AF30" s="45">
        <v>0</v>
      </c>
      <c r="AG30" s="45">
        <v>0</v>
      </c>
      <c r="AH30" s="129">
        <f t="shared" ca="1" si="31"/>
        <v>0.14227179150476668</v>
      </c>
    </row>
    <row r="31" spans="2:34" ht="12" customHeight="1" x14ac:dyDescent="0.25">
      <c r="B31" s="390"/>
      <c r="D31" s="62">
        <f t="shared" si="33"/>
        <v>19</v>
      </c>
      <c r="E31" s="63">
        <f t="shared" si="32"/>
        <v>4.75</v>
      </c>
      <c r="F31" s="63">
        <f t="shared" si="27"/>
        <v>74.75</v>
      </c>
      <c r="G31" s="44">
        <f>INDEX(rngU.GenPop, MATCH($F31, Parameters!$D$71:$D$78, 1))</f>
        <v>0.77900000000000003</v>
      </c>
      <c r="H31" s="45">
        <f t="shared" ca="1" si="34"/>
        <v>0</v>
      </c>
      <c r="I31" s="45">
        <f t="shared" ca="1" si="34"/>
        <v>5.1794151726823931E-2</v>
      </c>
      <c r="J31" s="45">
        <f t="shared" ca="1" si="34"/>
        <v>2.0278667715837939E-3</v>
      </c>
      <c r="K31" s="45">
        <f t="shared" ca="1" si="34"/>
        <v>7.6549883514504024E-4</v>
      </c>
      <c r="L31" s="45">
        <f t="shared" ca="1" si="34"/>
        <v>6.5081120274565111E-5</v>
      </c>
      <c r="M31" s="45">
        <f t="shared" ca="1" si="34"/>
        <v>4.0347471597720265E-2</v>
      </c>
      <c r="N31" s="45">
        <f t="shared" ca="1" si="34"/>
        <v>1.4673421416325607E-2</v>
      </c>
      <c r="O31" s="45">
        <f t="shared" ca="1" si="34"/>
        <v>2.052701605921162E-2</v>
      </c>
      <c r="P31" s="45">
        <f t="shared" ca="1" si="34"/>
        <v>5.0219389013626543E-4</v>
      </c>
      <c r="Q31" s="45">
        <f t="shared" ca="1" si="34"/>
        <v>6.0216725264051934E-3</v>
      </c>
      <c r="R31" s="45">
        <v>0</v>
      </c>
      <c r="S31" s="45">
        <v>0</v>
      </c>
      <c r="T31" s="129">
        <f t="shared" ca="1" si="29"/>
        <v>0.13672437394362627</v>
      </c>
      <c r="V31" s="45">
        <f t="shared" ca="1" si="35"/>
        <v>6.9839312667236933E-2</v>
      </c>
      <c r="W31" s="45">
        <f t="shared" ca="1" si="35"/>
        <v>0</v>
      </c>
      <c r="X31" s="45">
        <f t="shared" ca="1" si="35"/>
        <v>1.5888350483124639E-3</v>
      </c>
      <c r="Y31" s="45">
        <f t="shared" ca="1" si="35"/>
        <v>5.9729532872193831E-4</v>
      </c>
      <c r="Z31" s="45">
        <f t="shared" ca="1" si="35"/>
        <v>5.0645603634490233E-5</v>
      </c>
      <c r="AA31" s="45">
        <f t="shared" ca="1" si="35"/>
        <v>2.8240538270780973E-2</v>
      </c>
      <c r="AB31" s="45">
        <f t="shared" ca="1" si="35"/>
        <v>1.3387175071930471E-2</v>
      </c>
      <c r="AC31" s="45">
        <f t="shared" ca="1" si="35"/>
        <v>2.0553772579188039E-2</v>
      </c>
      <c r="AD31" s="45">
        <f t="shared" ca="1" si="35"/>
        <v>4.8623334704686805E-4</v>
      </c>
      <c r="AE31" s="45">
        <f t="shared" ca="1" si="35"/>
        <v>5.7677577931446334E-3</v>
      </c>
      <c r="AF31" s="45">
        <v>0</v>
      </c>
      <c r="AG31" s="45">
        <v>0</v>
      </c>
      <c r="AH31" s="129">
        <f t="shared" ca="1" si="31"/>
        <v>0.14051156570999682</v>
      </c>
    </row>
    <row r="32" spans="2:34" ht="12" customHeight="1" x14ac:dyDescent="0.25">
      <c r="B32" s="390"/>
      <c r="D32" s="62">
        <f t="shared" si="33"/>
        <v>20</v>
      </c>
      <c r="E32" s="63">
        <f t="shared" si="32"/>
        <v>5</v>
      </c>
      <c r="F32" s="63">
        <f t="shared" si="27"/>
        <v>75</v>
      </c>
      <c r="G32" s="44">
        <f>INDEX(rngU.GenPop, MATCH($F32, Parameters!$D$71:$D$78, 1))</f>
        <v>0.75329999999999997</v>
      </c>
      <c r="H32" s="45">
        <f t="shared" ref="H32:Q41" ca="1" si="36">PRODUCT(AVERAGE(OFFSET(E.Trace.Markov.Root, $D32, (H$2-1)*E.Trace.Markov.NumCols+H$3-1, CHOOSE(swtchHalfCycle, 2, 1))) + N("halfcycle-adjusted state occupancy"),
$G32 + H$6 + N("age-adjusted state utility value"),
E.cycleLength)</f>
        <v>0</v>
      </c>
      <c r="I32" s="45">
        <f t="shared" ca="1" si="36"/>
        <v>4.6165610340043357E-2</v>
      </c>
      <c r="J32" s="45">
        <f t="shared" ca="1" si="36"/>
        <v>2.3791013177268086E-3</v>
      </c>
      <c r="K32" s="45">
        <f t="shared" ca="1" si="36"/>
        <v>8.9672610358355149E-4</v>
      </c>
      <c r="L32" s="45">
        <f t="shared" ca="1" si="36"/>
        <v>7.632828127394308E-5</v>
      </c>
      <c r="M32" s="45">
        <f t="shared" ca="1" si="36"/>
        <v>3.8823247574781089E-2</v>
      </c>
      <c r="N32" s="45">
        <f t="shared" ca="1" si="36"/>
        <v>1.4075020322903331E-2</v>
      </c>
      <c r="O32" s="45">
        <f t="shared" ca="1" si="36"/>
        <v>2.0142254062954834E-2</v>
      </c>
      <c r="P32" s="45">
        <f t="shared" ca="1" si="36"/>
        <v>4.9287450708774259E-4</v>
      </c>
      <c r="Q32" s="45">
        <f t="shared" ca="1" si="36"/>
        <v>6.3313127860277945E-3</v>
      </c>
      <c r="R32" s="45">
        <v>0</v>
      </c>
      <c r="S32" s="45">
        <v>0</v>
      </c>
      <c r="T32" s="129">
        <f t="shared" ca="1" si="29"/>
        <v>0.12938247529638247</v>
      </c>
      <c r="V32" s="45">
        <f t="shared" ca="1" si="35"/>
        <v>6.3642578843806669E-2</v>
      </c>
      <c r="W32" s="45">
        <f t="shared" ca="1" si="35"/>
        <v>0</v>
      </c>
      <c r="X32" s="45">
        <f t="shared" ca="1" si="35"/>
        <v>1.8019419513092684E-3</v>
      </c>
      <c r="Y32" s="45">
        <f t="shared" ca="1" si="35"/>
        <v>6.7488703359373358E-4</v>
      </c>
      <c r="Z32" s="45">
        <f t="shared" ca="1" si="35"/>
        <v>5.7209736057531407E-5</v>
      </c>
      <c r="AA32" s="45">
        <f t="shared" ca="1" si="35"/>
        <v>2.734370627817587E-2</v>
      </c>
      <c r="AB32" s="45">
        <f t="shared" ca="1" si="35"/>
        <v>1.2885108872797976E-2</v>
      </c>
      <c r="AC32" s="45">
        <f t="shared" ca="1" si="35"/>
        <v>2.0171971818262885E-2</v>
      </c>
      <c r="AD32" s="45">
        <f t="shared" ca="1" si="35"/>
        <v>4.780681982879612E-4</v>
      </c>
      <c r="AE32" s="45">
        <f t="shared" ca="1" si="35"/>
        <v>6.0702442234301301E-3</v>
      </c>
      <c r="AF32" s="45">
        <v>0</v>
      </c>
      <c r="AG32" s="45">
        <v>0</v>
      </c>
      <c r="AH32" s="129">
        <f t="shared" ca="1" si="31"/>
        <v>0.13312571695572206</v>
      </c>
    </row>
    <row r="33" spans="2:34" ht="12" customHeight="1" x14ac:dyDescent="0.25">
      <c r="B33" s="390"/>
      <c r="D33" s="62">
        <f t="shared" si="33"/>
        <v>21</v>
      </c>
      <c r="E33" s="63">
        <f t="shared" si="32"/>
        <v>5.25</v>
      </c>
      <c r="F33" s="63">
        <f t="shared" si="27"/>
        <v>75.25</v>
      </c>
      <c r="G33" s="44">
        <f>INDEX(rngU.GenPop, MATCH($F33, Parameters!$D$71:$D$78, 1))</f>
        <v>0.75329999999999997</v>
      </c>
      <c r="H33" s="45">
        <f t="shared" ca="1" si="36"/>
        <v>0</v>
      </c>
      <c r="I33" s="45">
        <f t="shared" ca="1" si="36"/>
        <v>4.2005077448288367E-2</v>
      </c>
      <c r="J33" s="45">
        <f t="shared" ca="1" si="36"/>
        <v>2.7508512633278429E-3</v>
      </c>
      <c r="K33" s="45">
        <f t="shared" ca="1" si="36"/>
        <v>1.0383212785279232E-3</v>
      </c>
      <c r="L33" s="45">
        <f t="shared" ca="1" si="36"/>
        <v>8.8462722913123224E-5</v>
      </c>
      <c r="M33" s="45">
        <f t="shared" ca="1" si="36"/>
        <v>3.8820278089222796E-2</v>
      </c>
      <c r="N33" s="45">
        <f t="shared" ca="1" si="36"/>
        <v>1.3989742656139415E-2</v>
      </c>
      <c r="O33" s="45">
        <f t="shared" ca="1" si="36"/>
        <v>2.0378759488358114E-2</v>
      </c>
      <c r="P33" s="45">
        <f t="shared" ca="1" si="36"/>
        <v>4.9899852644797967E-4</v>
      </c>
      <c r="Q33" s="45">
        <f t="shared" ca="1" si="36"/>
        <v>6.8367951927101218E-3</v>
      </c>
      <c r="R33" s="45">
        <v>0</v>
      </c>
      <c r="S33" s="45">
        <v>0</v>
      </c>
      <c r="T33" s="129">
        <f t="shared" ca="1" si="29"/>
        <v>0.1264072866659357</v>
      </c>
      <c r="V33" s="45">
        <f t="shared" ca="1" si="35"/>
        <v>5.9650766452422593E-2</v>
      </c>
      <c r="W33" s="45">
        <f t="shared" ca="1" si="35"/>
        <v>0</v>
      </c>
      <c r="X33" s="45">
        <f t="shared" ca="1" si="35"/>
        <v>2.0485741834658094E-3</v>
      </c>
      <c r="Y33" s="45">
        <f t="shared" ca="1" si="35"/>
        <v>7.6725898565788804E-4</v>
      </c>
      <c r="Z33" s="45">
        <f t="shared" ca="1" si="35"/>
        <v>6.5040046514926297E-5</v>
      </c>
      <c r="AA33" s="45">
        <f t="shared" ca="1" si="35"/>
        <v>2.7468170221921533E-2</v>
      </c>
      <c r="AB33" s="45">
        <f t="shared" ca="1" si="35"/>
        <v>1.2826212341046276E-2</v>
      </c>
      <c r="AC33" s="45">
        <f t="shared" ca="1" si="35"/>
        <v>2.0415981376272624E-2</v>
      </c>
      <c r="AD33" s="45">
        <f t="shared" ca="1" si="35"/>
        <v>4.8486203917530652E-4</v>
      </c>
      <c r="AE33" s="45">
        <f t="shared" ca="1" si="35"/>
        <v>6.5613784881034688E-3</v>
      </c>
      <c r="AF33" s="45">
        <v>0</v>
      </c>
      <c r="AG33" s="45">
        <v>0</v>
      </c>
      <c r="AH33" s="129">
        <f t="shared" ca="1" si="31"/>
        <v>0.13028824413458043</v>
      </c>
    </row>
    <row r="34" spans="2:34" ht="12" customHeight="1" x14ac:dyDescent="0.25">
      <c r="B34" s="390"/>
      <c r="D34" s="62">
        <f t="shared" si="33"/>
        <v>22</v>
      </c>
      <c r="E34" s="63">
        <f t="shared" si="32"/>
        <v>5.5</v>
      </c>
      <c r="F34" s="63">
        <f t="shared" si="27"/>
        <v>75.5</v>
      </c>
      <c r="G34" s="44">
        <f>INDEX(rngU.GenPop, MATCH($F34, Parameters!$D$71:$D$78, 1))</f>
        <v>0.75329999999999997</v>
      </c>
      <c r="H34" s="45">
        <f t="shared" ca="1" si="36"/>
        <v>0</v>
      </c>
      <c r="I34" s="45">
        <f t="shared" ca="1" si="36"/>
        <v>3.8219499719388893E-2</v>
      </c>
      <c r="J34" s="45">
        <f t="shared" ca="1" si="36"/>
        <v>2.5816491794832474E-3</v>
      </c>
      <c r="K34" s="45">
        <f t="shared" ca="1" si="36"/>
        <v>9.7422524499768924E-4</v>
      </c>
      <c r="L34" s="45">
        <f t="shared" ca="1" si="36"/>
        <v>8.2989248341360145E-5</v>
      </c>
      <c r="M34" s="45">
        <f t="shared" ca="1" si="36"/>
        <v>3.919841172870428E-2</v>
      </c>
      <c r="N34" s="45">
        <f t="shared" ca="1" si="36"/>
        <v>1.3949979345690576E-2</v>
      </c>
      <c r="O34" s="45">
        <f t="shared" ca="1" si="36"/>
        <v>2.0567649053528526E-2</v>
      </c>
      <c r="P34" s="45">
        <f t="shared" ca="1" si="36"/>
        <v>5.0177981994918098E-4</v>
      </c>
      <c r="Q34" s="45">
        <f t="shared" ca="1" si="36"/>
        <v>7.3435180260361613E-3</v>
      </c>
      <c r="R34" s="45">
        <v>0</v>
      </c>
      <c r="S34" s="45">
        <v>0</v>
      </c>
      <c r="T34" s="129">
        <f t="shared" ca="1" si="29"/>
        <v>0.12341970136611992</v>
      </c>
      <c r="V34" s="45">
        <f t="shared" ca="1" si="35"/>
        <v>5.5909329932938893E-2</v>
      </c>
      <c r="W34" s="45">
        <f t="shared" ca="1" si="35"/>
        <v>0</v>
      </c>
      <c r="X34" s="45">
        <f t="shared" ca="1" si="35"/>
        <v>1.9615000691893874E-3</v>
      </c>
      <c r="Y34" s="45">
        <f t="shared" ca="1" si="35"/>
        <v>7.3464684149635257E-4</v>
      </c>
      <c r="Z34" s="45">
        <f t="shared" ca="1" si="35"/>
        <v>6.2275536208932273E-5</v>
      </c>
      <c r="AA34" s="45">
        <f t="shared" ca="1" si="35"/>
        <v>2.7836603806903035E-2</v>
      </c>
      <c r="AB34" s="45">
        <f t="shared" ca="1" si="35"/>
        <v>1.2790016124589104E-2</v>
      </c>
      <c r="AC34" s="45">
        <f t="shared" ca="1" si="35"/>
        <v>2.0615292842074692E-2</v>
      </c>
      <c r="AD34" s="45">
        <f t="shared" ca="1" si="35"/>
        <v>4.8808890261827539E-4</v>
      </c>
      <c r="AE34" s="45">
        <f t="shared" ca="1" si="35"/>
        <v>7.0547111801315667E-3</v>
      </c>
      <c r="AF34" s="45">
        <v>0</v>
      </c>
      <c r="AG34" s="45">
        <v>0</v>
      </c>
      <c r="AH34" s="129">
        <f t="shared" ca="1" si="31"/>
        <v>0.12745246523615023</v>
      </c>
    </row>
    <row r="35" spans="2:34" ht="12" customHeight="1" x14ac:dyDescent="0.25">
      <c r="B35" s="390"/>
      <c r="D35" s="62">
        <f t="shared" si="33"/>
        <v>23</v>
      </c>
      <c r="E35" s="63">
        <f t="shared" si="32"/>
        <v>5.75</v>
      </c>
      <c r="F35" s="63">
        <f t="shared" si="27"/>
        <v>75.75</v>
      </c>
      <c r="G35" s="44">
        <f>INDEX(rngU.GenPop, MATCH($F35, Parameters!$D$71:$D$78, 1))</f>
        <v>0.75329999999999997</v>
      </c>
      <c r="H35" s="45">
        <f t="shared" ca="1" si="36"/>
        <v>0</v>
      </c>
      <c r="I35" s="45">
        <f t="shared" ca="1" si="36"/>
        <v>3.4775085478622056E-2</v>
      </c>
      <c r="J35" s="45">
        <f t="shared" ca="1" si="36"/>
        <v>2.4362704970117698E-3</v>
      </c>
      <c r="K35" s="45">
        <f t="shared" ca="1" si="36"/>
        <v>9.1911713546895257E-4</v>
      </c>
      <c r="L35" s="45">
        <f t="shared" ca="1" si="36"/>
        <v>7.8281287729745376E-5</v>
      </c>
      <c r="M35" s="45">
        <f t="shared" ca="1" si="36"/>
        <v>3.9379663600933097E-2</v>
      </c>
      <c r="N35" s="45">
        <f t="shared" ca="1" si="36"/>
        <v>1.3860508269257669E-2</v>
      </c>
      <c r="O35" s="45">
        <f t="shared" ca="1" si="36"/>
        <v>2.0718868566013862E-2</v>
      </c>
      <c r="P35" s="45">
        <f t="shared" ca="1" si="36"/>
        <v>5.043493643398394E-4</v>
      </c>
      <c r="Q35" s="45">
        <f t="shared" ca="1" si="36"/>
        <v>7.8475313312632109E-3</v>
      </c>
      <c r="R35" s="45">
        <v>0</v>
      </c>
      <c r="S35" s="45">
        <v>0</v>
      </c>
      <c r="T35" s="129">
        <f t="shared" ca="1" si="29"/>
        <v>0.12051967553064021</v>
      </c>
      <c r="V35" s="45">
        <f t="shared" ca="1" si="35"/>
        <v>5.2402565121160601E-2</v>
      </c>
      <c r="W35" s="45">
        <f t="shared" ca="1" si="35"/>
        <v>0</v>
      </c>
      <c r="X35" s="45">
        <f t="shared" ca="1" si="35"/>
        <v>1.8855562417970306E-3</v>
      </c>
      <c r="Y35" s="45">
        <f t="shared" ca="1" si="35"/>
        <v>7.062033589794258E-4</v>
      </c>
      <c r="Z35" s="45">
        <f t="shared" ca="1" si="35"/>
        <v>5.9864400646458353E-5</v>
      </c>
      <c r="AA35" s="45">
        <f t="shared" ca="1" si="35"/>
        <v>2.8093038125384936E-2</v>
      </c>
      <c r="AB35" s="45">
        <f t="shared" ca="1" si="35"/>
        <v>1.271881801662208E-2</v>
      </c>
      <c r="AC35" s="45">
        <f t="shared" ca="1" si="35"/>
        <v>2.0776838767404045E-2</v>
      </c>
      <c r="AD35" s="45">
        <f t="shared" ca="1" si="35"/>
        <v>4.9087099238939269E-4</v>
      </c>
      <c r="AE35" s="45">
        <f t="shared" ca="1" si="35"/>
        <v>7.5460170260525754E-3</v>
      </c>
      <c r="AF35" s="45">
        <v>0</v>
      </c>
      <c r="AG35" s="45">
        <v>0</v>
      </c>
      <c r="AH35" s="129">
        <f t="shared" ca="1" si="31"/>
        <v>0.12467977205043657</v>
      </c>
    </row>
    <row r="36" spans="2:34" ht="12" customHeight="1" x14ac:dyDescent="0.25">
      <c r="B36" s="390"/>
      <c r="D36" s="62">
        <f t="shared" si="33"/>
        <v>24</v>
      </c>
      <c r="E36" s="63">
        <f t="shared" si="32"/>
        <v>6</v>
      </c>
      <c r="F36" s="63">
        <f t="shared" si="27"/>
        <v>76</v>
      </c>
      <c r="G36" s="44">
        <f>INDEX(rngU.GenPop, MATCH($F36, Parameters!$D$71:$D$78, 1))</f>
        <v>0.75329999999999997</v>
      </c>
      <c r="H36" s="45">
        <f t="shared" ca="1" si="36"/>
        <v>0</v>
      </c>
      <c r="I36" s="45">
        <f t="shared" ca="1" si="36"/>
        <v>3.1641088421468393E-2</v>
      </c>
      <c r="J36" s="45">
        <f t="shared" ca="1" si="36"/>
        <v>2.30032806263532E-3</v>
      </c>
      <c r="K36" s="45">
        <f t="shared" ca="1" si="36"/>
        <v>8.6760260154700728E-4</v>
      </c>
      <c r="L36" s="45">
        <f t="shared" ca="1" si="36"/>
        <v>7.3881240010962107E-5</v>
      </c>
      <c r="M36" s="45">
        <f t="shared" ca="1" si="36"/>
        <v>3.940074192358882E-2</v>
      </c>
      <c r="N36" s="45">
        <f t="shared" ca="1" si="36"/>
        <v>1.3730309473118801E-2</v>
      </c>
      <c r="O36" s="45">
        <f t="shared" ca="1" si="36"/>
        <v>2.083377091850926E-2</v>
      </c>
      <c r="P36" s="45">
        <f t="shared" ca="1" si="36"/>
        <v>5.056984099995655E-4</v>
      </c>
      <c r="Q36" s="45">
        <f t="shared" ca="1" si="36"/>
        <v>8.3486178182558754E-3</v>
      </c>
      <c r="R36" s="45">
        <v>0</v>
      </c>
      <c r="S36" s="45">
        <v>0</v>
      </c>
      <c r="T36" s="129">
        <f t="shared" ca="1" si="29"/>
        <v>0.117702038869134</v>
      </c>
      <c r="V36" s="45">
        <f t="shared" ca="1" si="35"/>
        <v>4.911575285504647E-2</v>
      </c>
      <c r="W36" s="45">
        <f t="shared" ca="1" si="35"/>
        <v>0</v>
      </c>
      <c r="X36" s="45">
        <f t="shared" ca="1" si="35"/>
        <v>1.8123744086518288E-3</v>
      </c>
      <c r="Y36" s="45">
        <f t="shared" ca="1" si="35"/>
        <v>6.7879433492710767E-4</v>
      </c>
      <c r="Z36" s="45">
        <f t="shared" ca="1" si="35"/>
        <v>5.7540955457005223E-5</v>
      </c>
      <c r="AA36" s="45">
        <f t="shared" ca="1" si="35"/>
        <v>2.8255860469600692E-2</v>
      </c>
      <c r="AB36" s="45">
        <f t="shared" ca="1" si="35"/>
        <v>1.2618067755677052E-2</v>
      </c>
      <c r="AC36" s="45">
        <f t="shared" ca="1" si="35"/>
        <v>2.0902289117807824E-2</v>
      </c>
      <c r="AD36" s="45">
        <f t="shared" ca="1" si="35"/>
        <v>4.9261169351253625E-4</v>
      </c>
      <c r="AE36" s="45">
        <f t="shared" ca="1" si="35"/>
        <v>8.034796340039712E-3</v>
      </c>
      <c r="AF36" s="45">
        <v>0</v>
      </c>
      <c r="AG36" s="45">
        <v>0</v>
      </c>
      <c r="AH36" s="129">
        <f t="shared" ca="1" si="31"/>
        <v>0.12196808793072024</v>
      </c>
    </row>
    <row r="37" spans="2:34" ht="12" customHeight="1" x14ac:dyDescent="0.25">
      <c r="B37" s="390"/>
      <c r="D37" s="62">
        <f t="shared" si="33"/>
        <v>25</v>
      </c>
      <c r="E37" s="63">
        <f t="shared" si="32"/>
        <v>6.25</v>
      </c>
      <c r="F37" s="63">
        <f t="shared" si="27"/>
        <v>76.25</v>
      </c>
      <c r="G37" s="44">
        <f>INDEX(rngU.GenPop, MATCH($F37, Parameters!$D$71:$D$78, 1))</f>
        <v>0.75329999999999997</v>
      </c>
      <c r="H37" s="45">
        <f t="shared" ca="1" si="36"/>
        <v>0</v>
      </c>
      <c r="I37" s="45">
        <f t="shared" ca="1" si="36"/>
        <v>2.878953315903832E-2</v>
      </c>
      <c r="J37" s="45">
        <f t="shared" ca="1" si="36"/>
        <v>2.173398461175514E-3</v>
      </c>
      <c r="K37" s="45">
        <f t="shared" ca="1" si="36"/>
        <v>8.1951770807106171E-4</v>
      </c>
      <c r="L37" s="45">
        <f t="shared" ca="1" si="36"/>
        <v>6.9774912203185763E-5</v>
      </c>
      <c r="M37" s="45">
        <f t="shared" ca="1" si="36"/>
        <v>3.9281361740104846E-2</v>
      </c>
      <c r="N37" s="45">
        <f t="shared" ca="1" si="36"/>
        <v>1.3565163702370859E-2</v>
      </c>
      <c r="O37" s="45">
        <f t="shared" ca="1" si="36"/>
        <v>2.0913987367157744E-2</v>
      </c>
      <c r="P37" s="45">
        <f t="shared" ca="1" si="36"/>
        <v>5.0595917593406349E-4</v>
      </c>
      <c r="Q37" s="45">
        <f t="shared" ca="1" si="36"/>
        <v>8.8453751874448955E-3</v>
      </c>
      <c r="R37" s="45">
        <v>0</v>
      </c>
      <c r="S37" s="45">
        <v>0</v>
      </c>
      <c r="T37" s="129">
        <f t="shared" ca="1" si="29"/>
        <v>0.11496407141350048</v>
      </c>
      <c r="V37" s="45">
        <f t="shared" ca="1" si="35"/>
        <v>4.603509719305466E-2</v>
      </c>
      <c r="W37" s="45">
        <f t="shared" ca="1" si="35"/>
        <v>0</v>
      </c>
      <c r="X37" s="45">
        <f t="shared" ca="1" si="35"/>
        <v>1.7420371584296827E-3</v>
      </c>
      <c r="Y37" s="45">
        <f t="shared" ca="1" si="35"/>
        <v>6.5245070153810024E-4</v>
      </c>
      <c r="Z37" s="45">
        <f t="shared" ca="1" si="35"/>
        <v>5.5307822742992019E-5</v>
      </c>
      <c r="AA37" s="45">
        <f t="shared" ca="1" si="35"/>
        <v>2.833376200495534E-2</v>
      </c>
      <c r="AB37" s="45">
        <f t="shared" ca="1" si="35"/>
        <v>1.2491339099448997E-2</v>
      </c>
      <c r="AC37" s="45">
        <f t="shared" ca="1" si="35"/>
        <v>2.0993441231809729E-2</v>
      </c>
      <c r="AD37" s="45">
        <f t="shared" ca="1" si="35"/>
        <v>4.9340498976866375E-4</v>
      </c>
      <c r="AE37" s="45">
        <f t="shared" ca="1" si="35"/>
        <v>8.5198529573240721E-3</v>
      </c>
      <c r="AF37" s="45">
        <v>0</v>
      </c>
      <c r="AG37" s="45">
        <v>0</v>
      </c>
      <c r="AH37" s="129">
        <f t="shared" ca="1" si="31"/>
        <v>0.11931669315907222</v>
      </c>
    </row>
    <row r="38" spans="2:34" ht="12" customHeight="1" x14ac:dyDescent="0.25">
      <c r="B38" s="390"/>
      <c r="D38" s="62">
        <f t="shared" si="33"/>
        <v>26</v>
      </c>
      <c r="E38" s="63">
        <f t="shared" si="32"/>
        <v>6.5</v>
      </c>
      <c r="F38" s="63">
        <f t="shared" si="27"/>
        <v>76.5</v>
      </c>
      <c r="G38" s="44">
        <f>INDEX(rngU.GenPop, MATCH($F38, Parameters!$D$71:$D$78, 1))</f>
        <v>0.75329999999999997</v>
      </c>
      <c r="H38" s="45">
        <f t="shared" ca="1" si="36"/>
        <v>0</v>
      </c>
      <c r="I38" s="45">
        <f t="shared" ca="1" si="36"/>
        <v>2.6194965497868362E-2</v>
      </c>
      <c r="J38" s="45">
        <f t="shared" ca="1" si="36"/>
        <v>2.0547883168683602E-3</v>
      </c>
      <c r="K38" s="45">
        <f t="shared" ca="1" si="36"/>
        <v>7.7459789303034013E-4</v>
      </c>
      <c r="L38" s="45">
        <f t="shared" ca="1" si="36"/>
        <v>6.5939607955327011E-5</v>
      </c>
      <c r="M38" s="45">
        <f t="shared" ca="1" si="36"/>
        <v>3.9039566072495452E-2</v>
      </c>
      <c r="N38" s="45">
        <f t="shared" ca="1" si="36"/>
        <v>1.3370280893824289E-2</v>
      </c>
      <c r="O38" s="45">
        <f t="shared" ca="1" si="36"/>
        <v>2.096119283879732E-2</v>
      </c>
      <c r="P38" s="45">
        <f t="shared" ca="1" si="36"/>
        <v>5.0522908552730111E-4</v>
      </c>
      <c r="Q38" s="45">
        <f t="shared" ca="1" si="36"/>
        <v>9.3365733570643442E-3</v>
      </c>
      <c r="R38" s="45">
        <v>0</v>
      </c>
      <c r="S38" s="45">
        <v>0</v>
      </c>
      <c r="T38" s="129">
        <f t="shared" ca="1" si="29"/>
        <v>0.11230313356343108</v>
      </c>
      <c r="V38" s="45">
        <f t="shared" ca="1" si="35"/>
        <v>4.314766750757941E-2</v>
      </c>
      <c r="W38" s="45">
        <f t="shared" ca="1" si="35"/>
        <v>0</v>
      </c>
      <c r="X38" s="45">
        <f t="shared" ca="1" si="35"/>
        <v>1.6744295560874468E-3</v>
      </c>
      <c r="Y38" s="45">
        <f t="shared" ca="1" si="35"/>
        <v>6.2712941182619568E-4</v>
      </c>
      <c r="Z38" s="45">
        <f t="shared" ca="1" si="35"/>
        <v>5.3161353439321302E-5</v>
      </c>
      <c r="AA38" s="45">
        <f t="shared" ca="1" si="35"/>
        <v>2.8334973077748481E-2</v>
      </c>
      <c r="AB38" s="45">
        <f t="shared" ca="1" si="35"/>
        <v>1.2341914841204412E-2</v>
      </c>
      <c r="AC38" s="45">
        <f t="shared" ca="1" si="35"/>
        <v>2.1052080486587993E-2</v>
      </c>
      <c r="AD38" s="45">
        <f t="shared" ca="1" si="35"/>
        <v>4.9332388134036185E-4</v>
      </c>
      <c r="AE38" s="45">
        <f t="shared" ca="1" si="35"/>
        <v>9.0001154833377495E-3</v>
      </c>
      <c r="AF38" s="45">
        <v>0</v>
      </c>
      <c r="AG38" s="45">
        <v>0</v>
      </c>
      <c r="AH38" s="129">
        <f t="shared" ca="1" si="31"/>
        <v>0.11672479559915137</v>
      </c>
    </row>
    <row r="39" spans="2:34" ht="12" customHeight="1" x14ac:dyDescent="0.25">
      <c r="B39" s="390"/>
      <c r="D39" s="62">
        <f t="shared" si="33"/>
        <v>27</v>
      </c>
      <c r="E39" s="63">
        <f t="shared" si="32"/>
        <v>6.75</v>
      </c>
      <c r="F39" s="63">
        <f t="shared" si="27"/>
        <v>76.75</v>
      </c>
      <c r="G39" s="44">
        <f>INDEX(rngU.GenPop, MATCH($F39, Parameters!$D$71:$D$78, 1))</f>
        <v>0.75329999999999997</v>
      </c>
      <c r="H39" s="45">
        <f t="shared" ca="1" si="36"/>
        <v>0</v>
      </c>
      <c r="I39" s="45">
        <f t="shared" ca="1" si="36"/>
        <v>2.3834225224978772E-2</v>
      </c>
      <c r="J39" s="45">
        <f t="shared" ca="1" si="36"/>
        <v>1.943869100446512E-3</v>
      </c>
      <c r="K39" s="45">
        <f t="shared" ca="1" si="36"/>
        <v>7.3260332045259769E-4</v>
      </c>
      <c r="L39" s="45">
        <f t="shared" ca="1" si="36"/>
        <v>6.2354751223504646E-5</v>
      </c>
      <c r="M39" s="45">
        <f t="shared" ca="1" si="36"/>
        <v>3.8691555491723872E-2</v>
      </c>
      <c r="N39" s="45">
        <f t="shared" ca="1" si="36"/>
        <v>1.3150301401441543E-2</v>
      </c>
      <c r="O39" s="45">
        <f t="shared" ca="1" si="36"/>
        <v>2.0977091872252242E-2</v>
      </c>
      <c r="P39" s="45">
        <f t="shared" ca="1" si="36"/>
        <v>5.035992570095023E-4</v>
      </c>
      <c r="Q39" s="45">
        <f t="shared" ca="1" si="36"/>
        <v>9.8211114654316711E-3</v>
      </c>
      <c r="R39" s="45">
        <v>0</v>
      </c>
      <c r="S39" s="45">
        <v>0</v>
      </c>
      <c r="T39" s="129">
        <f t="shared" ca="1" si="29"/>
        <v>0.10971671188496024</v>
      </c>
      <c r="V39" s="45">
        <f t="shared" ca="1" si="35"/>
        <v>4.0441344210423502E-2</v>
      </c>
      <c r="W39" s="45">
        <f t="shared" ca="1" si="35"/>
        <v>0</v>
      </c>
      <c r="X39" s="45">
        <f t="shared" ca="1" si="35"/>
        <v>1.6094457738629921E-3</v>
      </c>
      <c r="Y39" s="45">
        <f t="shared" ca="1" si="35"/>
        <v>6.0279082978402846E-4</v>
      </c>
      <c r="Z39" s="45">
        <f t="shared" ca="1" si="35"/>
        <v>5.1098187627359421E-5</v>
      </c>
      <c r="AA39" s="45">
        <f t="shared" ca="1" si="35"/>
        <v>2.8267090475304471E-2</v>
      </c>
      <c r="AB39" s="45">
        <f t="shared" ca="1" si="35"/>
        <v>1.2172776552924834E-2</v>
      </c>
      <c r="AC39" s="45">
        <f t="shared" ca="1" si="35"/>
        <v>2.1079974622051266E-2</v>
      </c>
      <c r="AD39" s="45">
        <f t="shared" ca="1" si="35"/>
        <v>4.9243760037696481E-4</v>
      </c>
      <c r="AE39" s="45">
        <f t="shared" ca="1" si="35"/>
        <v>9.474611116846823E-3</v>
      </c>
      <c r="AF39" s="45">
        <v>0</v>
      </c>
      <c r="AG39" s="45">
        <v>0</v>
      </c>
      <c r="AH39" s="129">
        <f t="shared" ca="1" si="31"/>
        <v>0.11419156936920224</v>
      </c>
    </row>
    <row r="40" spans="2:34" ht="12" customHeight="1" x14ac:dyDescent="0.25">
      <c r="B40" s="390"/>
      <c r="D40" s="62">
        <f t="shared" si="33"/>
        <v>28</v>
      </c>
      <c r="E40" s="63">
        <f t="shared" si="32"/>
        <v>7</v>
      </c>
      <c r="F40" s="63">
        <f t="shared" si="27"/>
        <v>77</v>
      </c>
      <c r="G40" s="44">
        <f>INDEX(rngU.GenPop, MATCH($F40, Parameters!$D$71:$D$78, 1))</f>
        <v>0.75329999999999997</v>
      </c>
      <c r="H40" s="45">
        <f t="shared" ca="1" si="36"/>
        <v>0</v>
      </c>
      <c r="I40" s="45">
        <f t="shared" ca="1" si="36"/>
        <v>2.1686239369975182E-2</v>
      </c>
      <c r="J40" s="45">
        <f t="shared" ca="1" si="36"/>
        <v>1.8400640550727571E-3</v>
      </c>
      <c r="K40" s="45">
        <f t="shared" ca="1" si="36"/>
        <v>6.9331394418032158E-4</v>
      </c>
      <c r="L40" s="45">
        <f t="shared" ca="1" si="36"/>
        <v>5.9001465640867823E-5</v>
      </c>
      <c r="M40" s="45">
        <f t="shared" ca="1" si="36"/>
        <v>3.8251870142071411E-2</v>
      </c>
      <c r="N40" s="45">
        <f t="shared" ca="1" si="36"/>
        <v>1.290935392827215E-2</v>
      </c>
      <c r="O40" s="45">
        <f t="shared" ca="1" si="36"/>
        <v>2.0963402062664484E-2</v>
      </c>
      <c r="P40" s="45">
        <f t="shared" ca="1" si="36"/>
        <v>5.0115429090819095E-4</v>
      </c>
      <c r="Q40" s="45">
        <f t="shared" ca="1" si="36"/>
        <v>1.0298008922093671E-2</v>
      </c>
      <c r="R40" s="45">
        <v>0</v>
      </c>
      <c r="S40" s="45">
        <v>0</v>
      </c>
      <c r="T40" s="129">
        <f t="shared" ca="1" si="29"/>
        <v>0.10720240818087903</v>
      </c>
      <c r="V40" s="45">
        <f t="shared" ca="1" si="35"/>
        <v>3.7904767882496977E-2</v>
      </c>
      <c r="W40" s="45">
        <f t="shared" ca="1" si="35"/>
        <v>0</v>
      </c>
      <c r="X40" s="45">
        <f t="shared" ca="1" si="35"/>
        <v>1.5469839800012059E-3</v>
      </c>
      <c r="Y40" s="45">
        <f t="shared" ca="1" si="35"/>
        <v>5.7939681604141319E-4</v>
      </c>
      <c r="Z40" s="45">
        <f t="shared" ca="1" si="35"/>
        <v>4.9115092257435713E-5</v>
      </c>
      <c r="AA40" s="45">
        <f t="shared" ca="1" si="35"/>
        <v>2.813712646151733E-2</v>
      </c>
      <c r="AB40" s="45">
        <f t="shared" ca="1" si="35"/>
        <v>1.1986630291419404E-2</v>
      </c>
      <c r="AC40" s="45">
        <f t="shared" ca="1" si="35"/>
        <v>2.1078866159651106E-2</v>
      </c>
      <c r="AD40" s="45">
        <f t="shared" ca="1" si="35"/>
        <v>4.908113931028573E-4</v>
      </c>
      <c r="AE40" s="45">
        <f t="shared" ca="1" si="35"/>
        <v>9.9424600496554709E-3</v>
      </c>
      <c r="AF40" s="45">
        <v>0</v>
      </c>
      <c r="AG40" s="45">
        <v>0</v>
      </c>
      <c r="AH40" s="129">
        <f t="shared" ca="1" si="31"/>
        <v>0.1117161581261432</v>
      </c>
    </row>
    <row r="41" spans="2:34" ht="12" customHeight="1" x14ac:dyDescent="0.25">
      <c r="B41" s="390"/>
      <c r="D41" s="62">
        <f t="shared" si="33"/>
        <v>29</v>
      </c>
      <c r="E41" s="63">
        <f t="shared" si="32"/>
        <v>7.25</v>
      </c>
      <c r="F41" s="63">
        <f t="shared" si="27"/>
        <v>77.25</v>
      </c>
      <c r="G41" s="44">
        <f>INDEX(rngU.GenPop, MATCH($F41, Parameters!$D$71:$D$78, 1))</f>
        <v>0.75329999999999997</v>
      </c>
      <c r="H41" s="45">
        <f t="shared" ca="1" si="36"/>
        <v>0</v>
      </c>
      <c r="I41" s="45">
        <f t="shared" ca="1" si="36"/>
        <v>1.9731834098764185E-2</v>
      </c>
      <c r="J41" s="45">
        <f t="shared" ca="1" si="36"/>
        <v>1.7428438902838813E-3</v>
      </c>
      <c r="K41" s="45">
        <f t="shared" ca="1" si="36"/>
        <v>6.5652785912218448E-4</v>
      </c>
      <c r="L41" s="45">
        <f t="shared" ca="1" si="36"/>
        <v>5.5862432761901559E-5</v>
      </c>
      <c r="M41" s="45">
        <f t="shared" ca="1" si="36"/>
        <v>3.7733546978097984E-2</v>
      </c>
      <c r="N41" s="45">
        <f t="shared" ca="1" si="36"/>
        <v>1.2651106557426848E-2</v>
      </c>
      <c r="O41" s="45">
        <f t="shared" ca="1" si="36"/>
        <v>2.0921840030225281E-2</v>
      </c>
      <c r="P41" s="45">
        <f t="shared" ca="1" si="36"/>
        <v>4.9797271369216359E-4</v>
      </c>
      <c r="Q41" s="45">
        <f t="shared" ca="1" si="36"/>
        <v>1.0766396314420713E-2</v>
      </c>
      <c r="R41" s="45">
        <v>0</v>
      </c>
      <c r="S41" s="45">
        <v>0</v>
      </c>
      <c r="T41" s="129">
        <f t="shared" ca="1" si="29"/>
        <v>0.10475793087479514</v>
      </c>
      <c r="V41" s="45">
        <f t="shared" ca="1" si="35"/>
        <v>3.5527291594220932E-2</v>
      </c>
      <c r="W41" s="45">
        <f t="shared" ca="1" si="35"/>
        <v>0</v>
      </c>
      <c r="X41" s="45">
        <f t="shared" ca="1" si="35"/>
        <v>1.4869462974440916E-3</v>
      </c>
      <c r="Y41" s="45">
        <f t="shared" ca="1" si="35"/>
        <v>5.569107123934167E-4</v>
      </c>
      <c r="Z41" s="45">
        <f t="shared" ca="1" si="35"/>
        <v>4.7208959837297119E-5</v>
      </c>
      <c r="AA41" s="45">
        <f t="shared" ca="1" si="35"/>
        <v>2.7951549518889431E-2</v>
      </c>
      <c r="AB41" s="45">
        <f t="shared" ca="1" si="35"/>
        <v>1.1785929429253342E-2</v>
      </c>
      <c r="AC41" s="45">
        <f t="shared" ca="1" si="35"/>
        <v>2.1050466024470967E-2</v>
      </c>
      <c r="AD41" s="45">
        <f t="shared" ca="1" si="35"/>
        <v>4.8850671287174274E-4</v>
      </c>
      <c r="AE41" s="45">
        <f t="shared" ca="1" si="35"/>
        <v>1.0402869675925387E-2</v>
      </c>
      <c r="AF41" s="45">
        <v>0</v>
      </c>
      <c r="AG41" s="45">
        <v>0</v>
      </c>
      <c r="AH41" s="129">
        <f t="shared" ca="1" si="31"/>
        <v>0.10929767892530662</v>
      </c>
    </row>
    <row r="42" spans="2:34" ht="12" customHeight="1" x14ac:dyDescent="0.25">
      <c r="B42" s="390"/>
      <c r="D42" s="62">
        <f t="shared" si="33"/>
        <v>30</v>
      </c>
      <c r="E42" s="63">
        <f t="shared" si="32"/>
        <v>7.5</v>
      </c>
      <c r="F42" s="63">
        <f t="shared" si="27"/>
        <v>77.5</v>
      </c>
      <c r="G42" s="44">
        <f>INDEX(rngU.GenPop, MATCH($F42, Parameters!$D$71:$D$78, 1))</f>
        <v>0.75329999999999997</v>
      </c>
      <c r="H42" s="45">
        <f t="shared" ref="H42:Q51" ca="1" si="37">PRODUCT(AVERAGE(OFFSET(E.Trace.Markov.Root, $D42, (H$2-1)*E.Trace.Markov.NumCols+H$3-1, CHOOSE(swtchHalfCycle, 2, 1))) + N("halfcycle-adjusted state occupancy"),
$G42 + H$6 + N("age-adjusted state utility value"),
E.cycleLength)</f>
        <v>0</v>
      </c>
      <c r="I42" s="45">
        <f t="shared" ca="1" si="37"/>
        <v>1.795356355976617E-2</v>
      </c>
      <c r="J42" s="45">
        <f t="shared" ca="1" si="37"/>
        <v>1.6517226752590609E-3</v>
      </c>
      <c r="K42" s="45">
        <f t="shared" ca="1" si="37"/>
        <v>6.2205973040142381E-4</v>
      </c>
      <c r="L42" s="45">
        <f t="shared" ca="1" si="37"/>
        <v>5.292175708955859E-5</v>
      </c>
      <c r="M42" s="45">
        <f t="shared" ca="1" si="37"/>
        <v>3.7148262721937948E-2</v>
      </c>
      <c r="N42" s="45">
        <f t="shared" ca="1" si="37"/>
        <v>1.2378812923827368E-2</v>
      </c>
      <c r="O42" s="45">
        <f t="shared" ca="1" si="37"/>
        <v>2.085410951124015E-2</v>
      </c>
      <c r="P42" s="45">
        <f t="shared" ca="1" si="37"/>
        <v>4.9412737750851666E-4</v>
      </c>
      <c r="Q42" s="45">
        <f t="shared" ca="1" si="37"/>
        <v>1.1225506943875502E-2</v>
      </c>
      <c r="R42" s="45">
        <v>0</v>
      </c>
      <c r="S42" s="45">
        <v>0</v>
      </c>
      <c r="T42" s="129">
        <f t="shared" ca="1" si="29"/>
        <v>0.1023810872009057</v>
      </c>
      <c r="V42" s="45">
        <f t="shared" ca="1" si="35"/>
        <v>3.3298936216507834E-2</v>
      </c>
      <c r="W42" s="45">
        <f t="shared" ca="1" si="35"/>
        <v>0</v>
      </c>
      <c r="X42" s="45">
        <f t="shared" ca="1" si="35"/>
        <v>1.4292386476302858E-3</v>
      </c>
      <c r="Y42" s="45">
        <f t="shared" ca="1" si="35"/>
        <v>5.352972832980968E-4</v>
      </c>
      <c r="Z42" s="45">
        <f t="shared" ca="1" si="35"/>
        <v>4.5376803472909523E-5</v>
      </c>
      <c r="AA42" s="45">
        <f t="shared" ca="1" si="35"/>
        <v>2.7716322492962117E-2</v>
      </c>
      <c r="AB42" s="45">
        <f t="shared" ca="1" si="35"/>
        <v>1.1572895695570013E-2</v>
      </c>
      <c r="AC42" s="45">
        <f t="shared" ca="1" si="35"/>
        <v>2.0996448175144979E-2</v>
      </c>
      <c r="AD42" s="45">
        <f t="shared" ca="1" si="35"/>
        <v>4.8558139738079197E-4</v>
      </c>
      <c r="AE42" s="45">
        <f t="shared" ca="1" si="35"/>
        <v>1.0855129097155107E-2</v>
      </c>
      <c r="AF42" s="45">
        <v>0</v>
      </c>
      <c r="AG42" s="45">
        <v>0</v>
      </c>
      <c r="AH42" s="129">
        <f t="shared" ca="1" si="31"/>
        <v>0.10693522580912215</v>
      </c>
    </row>
    <row r="43" spans="2:34" ht="12" customHeight="1" x14ac:dyDescent="0.25">
      <c r="B43" s="390"/>
      <c r="D43" s="62">
        <f t="shared" si="33"/>
        <v>31</v>
      </c>
      <c r="E43" s="63">
        <f t="shared" si="32"/>
        <v>7.75</v>
      </c>
      <c r="F43" s="63">
        <f t="shared" si="27"/>
        <v>77.75</v>
      </c>
      <c r="G43" s="44">
        <f>INDEX(rngU.GenPop, MATCH($F43, Parameters!$D$71:$D$78, 1))</f>
        <v>0.75329999999999997</v>
      </c>
      <c r="H43" s="45">
        <f t="shared" ca="1" si="37"/>
        <v>0</v>
      </c>
      <c r="I43" s="45">
        <f t="shared" ca="1" si="37"/>
        <v>1.6335554154834068E-2</v>
      </c>
      <c r="J43" s="45">
        <f t="shared" ca="1" si="37"/>
        <v>1.5662540997367622E-3</v>
      </c>
      <c r="K43" s="45">
        <f t="shared" ca="1" si="37"/>
        <v>5.8973936315177106E-4</v>
      </c>
      <c r="L43" s="45">
        <f t="shared" ca="1" si="37"/>
        <v>5.0164843188365459E-5</v>
      </c>
      <c r="M43" s="45">
        <f t="shared" ca="1" si="37"/>
        <v>3.6506463642007055E-2</v>
      </c>
      <c r="N43" s="45">
        <f t="shared" ca="1" si="37"/>
        <v>1.2095353950221108E-2</v>
      </c>
      <c r="O43" s="45">
        <f t="shared" ca="1" si="37"/>
        <v>2.076189132832662E-2</v>
      </c>
      <c r="P43" s="45">
        <f t="shared" ca="1" si="37"/>
        <v>4.8968583458542845E-4</v>
      </c>
      <c r="Q43" s="45">
        <f t="shared" ca="1" si="37"/>
        <v>1.1674668932830135E-2</v>
      </c>
      <c r="R43" s="45">
        <v>0</v>
      </c>
      <c r="S43" s="45">
        <v>0</v>
      </c>
      <c r="T43" s="129">
        <f t="shared" ca="1" si="29"/>
        <v>0.10006977614888132</v>
      </c>
      <c r="V43" s="45">
        <f t="shared" ca="1" si="35"/>
        <v>3.1210348534742329E-2</v>
      </c>
      <c r="W43" s="45">
        <f t="shared" ca="1" si="35"/>
        <v>0</v>
      </c>
      <c r="X43" s="45">
        <f t="shared" ca="1" si="35"/>
        <v>1.3737706031423471E-3</v>
      </c>
      <c r="Y43" s="45">
        <f t="shared" ca="1" si="35"/>
        <v>5.1452266068802296E-4</v>
      </c>
      <c r="Z43" s="45">
        <f t="shared" ca="1" si="35"/>
        <v>4.3615752190166105E-5</v>
      </c>
      <c r="AA43" s="45">
        <f t="shared" ca="1" si="35"/>
        <v>2.7436938184779415E-2</v>
      </c>
      <c r="AB43" s="45">
        <f t="shared" ca="1" si="35"/>
        <v>1.1349538545193957E-2</v>
      </c>
      <c r="AC43" s="45">
        <f t="shared" ca="1" si="35"/>
        <v>2.0918445136207029E-2</v>
      </c>
      <c r="AD43" s="45">
        <f t="shared" ca="1" si="35"/>
        <v>4.8208984021025239E-4</v>
      </c>
      <c r="AE43" s="45">
        <f t="shared" ca="1" si="35"/>
        <v>1.1298603900679579E-2</v>
      </c>
      <c r="AF43" s="45">
        <v>0</v>
      </c>
      <c r="AG43" s="45">
        <v>0</v>
      </c>
      <c r="AH43" s="129">
        <f t="shared" ca="1" si="31"/>
        <v>0.10462787315783309</v>
      </c>
    </row>
    <row r="44" spans="2:34" ht="12" customHeight="1" x14ac:dyDescent="0.25">
      <c r="B44" s="390"/>
      <c r="D44" s="62">
        <f t="shared" si="33"/>
        <v>32</v>
      </c>
      <c r="E44" s="63">
        <f t="shared" si="32"/>
        <v>8</v>
      </c>
      <c r="F44" s="63">
        <f t="shared" ref="F44:F75" si="38">E.cohortAge+E44</f>
        <v>78</v>
      </c>
      <c r="G44" s="44">
        <f>INDEX(rngU.GenPop, MATCH($F44, Parameters!$D$71:$D$78, 1))</f>
        <v>0.75329999999999997</v>
      </c>
      <c r="H44" s="45">
        <f t="shared" ca="1" si="37"/>
        <v>0</v>
      </c>
      <c r="I44" s="45">
        <f t="shared" ca="1" si="37"/>
        <v>1.4863362844773978E-2</v>
      </c>
      <c r="J44" s="45">
        <f t="shared" ca="1" si="37"/>
        <v>1.4860280652628604E-3</v>
      </c>
      <c r="K44" s="45">
        <f t="shared" ca="1" si="37"/>
        <v>5.5941039871842122E-4</v>
      </c>
      <c r="L44" s="45">
        <f t="shared" ca="1" si="37"/>
        <v>4.7578283661450744E-5</v>
      </c>
      <c r="M44" s="45">
        <f t="shared" ca="1" si="37"/>
        <v>3.5817483356794272E-2</v>
      </c>
      <c r="N44" s="45">
        <f t="shared" ca="1" si="37"/>
        <v>1.1803275565725638E-2</v>
      </c>
      <c r="O44" s="45">
        <f t="shared" ca="1" si="37"/>
        <v>2.0646835019052852E-2</v>
      </c>
      <c r="P44" s="45">
        <f t="shared" ca="1" si="37"/>
        <v>4.8471068756580758E-4</v>
      </c>
      <c r="Q44" s="45">
        <f t="shared" ca="1" si="37"/>
        <v>1.2113297865368374E-2</v>
      </c>
      <c r="R44" s="45">
        <v>0</v>
      </c>
      <c r="S44" s="45">
        <v>0</v>
      </c>
      <c r="T44" s="129">
        <f t="shared" ref="T44:T75" ca="1" si="39">SUM(H44:S44)</f>
        <v>9.7821982086923651E-2</v>
      </c>
      <c r="V44" s="45">
        <f t="shared" ref="V44:AE59" ca="1" si="40">PRODUCT(AVERAGE(OFFSET(E.Trace.Markov.Root, $D44, (V$2-1)*E.Trace.Markov.NumCols+V$3-1, CHOOSE(swtchHalfCycle, 2, 1))) + N("halfcycle-adjusted state occupancy"),
$G44 + V$6 + N("age-adjusted state utility value"),
E.cycleLength)</f>
        <v>2.9252761989951893E-2</v>
      </c>
      <c r="W44" s="45">
        <f t="shared" ca="1" si="40"/>
        <v>0</v>
      </c>
      <c r="X44" s="45">
        <f t="shared" ca="1" si="40"/>
        <v>1.3204552460061095E-3</v>
      </c>
      <c r="Y44" s="45">
        <f t="shared" ca="1" si="40"/>
        <v>4.9455429089868429E-4</v>
      </c>
      <c r="Z44" s="45">
        <f t="shared" ca="1" si="40"/>
        <v>4.1923046436042902E-5</v>
      </c>
      <c r="AA44" s="45">
        <f t="shared" ca="1" si="40"/>
        <v>2.7118452560482509E-2</v>
      </c>
      <c r="AB44" s="45">
        <f t="shared" ca="1" si="40"/>
        <v>1.111767298642463E-2</v>
      </c>
      <c r="AC44" s="45">
        <f t="shared" ca="1" si="40"/>
        <v>2.0818044335419544E-2</v>
      </c>
      <c r="AD44" s="45">
        <f t="shared" ca="1" si="40"/>
        <v>4.7808315643650288E-4</v>
      </c>
      <c r="AE44" s="45">
        <f t="shared" ca="1" si="40"/>
        <v>1.1732731201779529E-2</v>
      </c>
      <c r="AF44" s="45">
        <v>0</v>
      </c>
      <c r="AG44" s="45">
        <v>0</v>
      </c>
      <c r="AH44" s="129">
        <f t="shared" ref="AH44:AH92" ca="1" si="41">SUM(V44:AG44)</f>
        <v>0.10237467881383545</v>
      </c>
    </row>
    <row r="45" spans="2:34" ht="12" customHeight="1" x14ac:dyDescent="0.25">
      <c r="B45" s="390"/>
      <c r="D45" s="62">
        <f t="shared" si="33"/>
        <v>33</v>
      </c>
      <c r="E45" s="63">
        <f t="shared" ref="E45:E76" si="42">D45*E.cycleLength</f>
        <v>8.25</v>
      </c>
      <c r="F45" s="63">
        <f t="shared" si="38"/>
        <v>78.25</v>
      </c>
      <c r="G45" s="44">
        <f>INDEX(rngU.GenPop, MATCH($F45, Parameters!$D$71:$D$78, 1))</f>
        <v>0.75329999999999997</v>
      </c>
      <c r="H45" s="45">
        <f t="shared" ca="1" si="37"/>
        <v>0</v>
      </c>
      <c r="I45" s="45">
        <f t="shared" ca="1" si="37"/>
        <v>1.3523848224642714E-2</v>
      </c>
      <c r="J45" s="45">
        <f t="shared" ca="1" si="37"/>
        <v>1.410667577360004E-3</v>
      </c>
      <c r="K45" s="45">
        <f t="shared" ca="1" si="37"/>
        <v>5.3092912600704776E-4</v>
      </c>
      <c r="L45" s="45">
        <f t="shared" ca="1" si="37"/>
        <v>4.5149757023851203E-5</v>
      </c>
      <c r="M45" s="45">
        <f t="shared" ca="1" si="37"/>
        <v>3.5089649753660163E-2</v>
      </c>
      <c r="N45" s="45">
        <f t="shared" ca="1" si="37"/>
        <v>1.1504822785427972E-2</v>
      </c>
      <c r="O45" s="45">
        <f t="shared" ca="1" si="37"/>
        <v>2.0510551925500727E-2</v>
      </c>
      <c r="P45" s="45">
        <f t="shared" ca="1" si="37"/>
        <v>4.7925991733714743E-4</v>
      </c>
      <c r="Q45" s="45">
        <f t="shared" ca="1" si="37"/>
        <v>1.2540889927431445E-2</v>
      </c>
      <c r="R45" s="45">
        <v>0</v>
      </c>
      <c r="S45" s="45">
        <v>0</v>
      </c>
      <c r="T45" s="129">
        <f t="shared" ca="1" si="39"/>
        <v>9.5635768994391079E-2</v>
      </c>
      <c r="V45" s="45">
        <f t="shared" ca="1" si="40"/>
        <v>2.7417959882383571E-2</v>
      </c>
      <c r="W45" s="45">
        <f t="shared" ca="1" si="40"/>
        <v>0</v>
      </c>
      <c r="X45" s="45">
        <f t="shared" ca="1" si="40"/>
        <v>1.2692090314909631E-3</v>
      </c>
      <c r="Y45" s="45">
        <f t="shared" ca="1" si="40"/>
        <v>4.7536088365717703E-4</v>
      </c>
      <c r="Z45" s="45">
        <f t="shared" ca="1" si="40"/>
        <v>4.0296033754402995E-5</v>
      </c>
      <c r="AA45" s="45">
        <f t="shared" ca="1" si="40"/>
        <v>2.6765515733264147E-2</v>
      </c>
      <c r="AB45" s="45">
        <f t="shared" ca="1" si="40"/>
        <v>1.0878935987397807E-2</v>
      </c>
      <c r="AC45" s="45">
        <f t="shared" ca="1" si="40"/>
        <v>2.069678515768144E-2</v>
      </c>
      <c r="AD45" s="45">
        <f t="shared" ca="1" si="40"/>
        <v>4.7360934234290966E-4</v>
      </c>
      <c r="AE45" s="45">
        <f t="shared" ca="1" si="40"/>
        <v>1.2157014939310457E-2</v>
      </c>
      <c r="AF45" s="45">
        <v>0</v>
      </c>
      <c r="AG45" s="45">
        <v>0</v>
      </c>
      <c r="AH45" s="129">
        <f t="shared" ca="1" si="41"/>
        <v>0.10017468699128286</v>
      </c>
    </row>
    <row r="46" spans="2:34" ht="12" customHeight="1" x14ac:dyDescent="0.25">
      <c r="B46" s="390"/>
      <c r="D46" s="62">
        <f t="shared" si="33"/>
        <v>34</v>
      </c>
      <c r="E46" s="63">
        <f t="shared" si="42"/>
        <v>8.5</v>
      </c>
      <c r="F46" s="63">
        <f t="shared" si="38"/>
        <v>78.5</v>
      </c>
      <c r="G46" s="44">
        <f>INDEX(rngU.GenPop, MATCH($F46, Parameters!$D$71:$D$78, 1))</f>
        <v>0.75329999999999997</v>
      </c>
      <c r="H46" s="45">
        <f t="shared" ca="1" si="37"/>
        <v>0</v>
      </c>
      <c r="I46" s="45">
        <f t="shared" ca="1" si="37"/>
        <v>1.2305053217985484E-2</v>
      </c>
      <c r="J46" s="45">
        <f t="shared" ca="1" si="37"/>
        <v>1.339825911739986E-3</v>
      </c>
      <c r="K46" s="45">
        <f t="shared" ca="1" si="37"/>
        <v>5.0416339769390056E-4</v>
      </c>
      <c r="L46" s="45">
        <f t="shared" ca="1" si="37"/>
        <v>4.2867934587887171E-5</v>
      </c>
      <c r="M46" s="45">
        <f t="shared" ca="1" si="37"/>
        <v>3.4330382014033108E-2</v>
      </c>
      <c r="N46" s="45">
        <f t="shared" ca="1" si="37"/>
        <v>1.1201970494332589E-2</v>
      </c>
      <c r="O46" s="45">
        <f t="shared" ca="1" si="37"/>
        <v>2.0354609568050342E-2</v>
      </c>
      <c r="P46" s="45">
        <f t="shared" ca="1" si="37"/>
        <v>4.7338718980993434E-4</v>
      </c>
      <c r="Q46" s="45">
        <f t="shared" ca="1" si="37"/>
        <v>1.295701551391744E-2</v>
      </c>
      <c r="R46" s="45">
        <v>0</v>
      </c>
      <c r="S46" s="45">
        <v>0</v>
      </c>
      <c r="T46" s="129">
        <f t="shared" ca="1" si="39"/>
        <v>9.3509275242150677E-2</v>
      </c>
      <c r="V46" s="45">
        <f t="shared" ca="1" si="40"/>
        <v>2.5698240883039139E-2</v>
      </c>
      <c r="W46" s="45">
        <f t="shared" ca="1" si="40"/>
        <v>0</v>
      </c>
      <c r="X46" s="45">
        <f t="shared" ca="1" si="40"/>
        <v>1.2199516571959423E-3</v>
      </c>
      <c r="Y46" s="45">
        <f t="shared" ca="1" si="40"/>
        <v>4.5691236305060105E-4</v>
      </c>
      <c r="Z46" s="45">
        <f t="shared" ca="1" si="40"/>
        <v>3.8732164629619237E-5</v>
      </c>
      <c r="AA46" s="45">
        <f t="shared" ca="1" si="40"/>
        <v>2.6382400863021436E-2</v>
      </c>
      <c r="AB46" s="45">
        <f t="shared" ca="1" si="40"/>
        <v>1.0634801571681665E-2</v>
      </c>
      <c r="AC46" s="45">
        <f t="shared" ca="1" si="40"/>
        <v>2.0556156635348096E-2</v>
      </c>
      <c r="AD46" s="45">
        <f t="shared" ca="1" si="40"/>
        <v>4.6871342926997232E-4</v>
      </c>
      <c r="AE46" s="45">
        <f t="shared" ca="1" si="40"/>
        <v>1.257102141490896E-2</v>
      </c>
      <c r="AF46" s="45">
        <v>0</v>
      </c>
      <c r="AG46" s="45">
        <v>0</v>
      </c>
      <c r="AH46" s="129">
        <f t="shared" ca="1" si="41"/>
        <v>9.8026930982145433E-2</v>
      </c>
    </row>
    <row r="47" spans="2:34" ht="12" customHeight="1" x14ac:dyDescent="0.25">
      <c r="B47" s="390"/>
      <c r="D47" s="62">
        <f t="shared" si="33"/>
        <v>35</v>
      </c>
      <c r="E47" s="63">
        <f t="shared" si="42"/>
        <v>8.75</v>
      </c>
      <c r="F47" s="63">
        <f t="shared" si="38"/>
        <v>78.75</v>
      </c>
      <c r="G47" s="44">
        <f>INDEX(rngU.GenPop, MATCH($F47, Parameters!$D$71:$D$78, 1))</f>
        <v>0.75329999999999997</v>
      </c>
      <c r="H47" s="45">
        <f t="shared" ca="1" si="37"/>
        <v>0</v>
      </c>
      <c r="I47" s="45">
        <f t="shared" ca="1" si="37"/>
        <v>1.1196098342892714E-2</v>
      </c>
      <c r="J47" s="45">
        <f t="shared" ca="1" si="37"/>
        <v>1.2731840300963301E-3</v>
      </c>
      <c r="K47" s="45">
        <f t="shared" ca="1" si="37"/>
        <v>4.7899164193452876E-4</v>
      </c>
      <c r="L47" s="45">
        <f t="shared" ca="1" si="37"/>
        <v>4.0722395555867101E-5</v>
      </c>
      <c r="M47" s="45">
        <f t="shared" ca="1" si="37"/>
        <v>3.3546278646641663E-2</v>
      </c>
      <c r="N47" s="45">
        <f t="shared" ca="1" si="37"/>
        <v>1.0896451246958001E-2</v>
      </c>
      <c r="O47" s="45">
        <f t="shared" ca="1" si="37"/>
        <v>2.0180527145431684E-2</v>
      </c>
      <c r="P47" s="45">
        <f t="shared" ca="1" si="37"/>
        <v>4.6714214300111299E-4</v>
      </c>
      <c r="Q47" s="45">
        <f t="shared" ca="1" si="37"/>
        <v>1.336131327243672E-2</v>
      </c>
      <c r="R47" s="45">
        <v>0</v>
      </c>
      <c r="S47" s="45">
        <v>0</v>
      </c>
      <c r="T47" s="129">
        <f t="shared" ca="1" si="39"/>
        <v>9.1440708864948622E-2</v>
      </c>
      <c r="V47" s="45">
        <f t="shared" ca="1" si="40"/>
        <v>2.4086386708407879E-2</v>
      </c>
      <c r="W47" s="45">
        <f t="shared" ca="1" si="40"/>
        <v>0</v>
      </c>
      <c r="X47" s="45">
        <f t="shared" ca="1" si="40"/>
        <v>1.1726059372165149E-3</v>
      </c>
      <c r="Y47" s="45">
        <f t="shared" ca="1" si="40"/>
        <v>4.3917982039734922E-4</v>
      </c>
      <c r="Z47" s="45">
        <f t="shared" ca="1" si="40"/>
        <v>3.7228988491504033E-5</v>
      </c>
      <c r="AA47" s="45">
        <f t="shared" ca="1" si="40"/>
        <v>2.597303110970994E-2</v>
      </c>
      <c r="AB47" s="45">
        <f t="shared" ca="1" si="40"/>
        <v>1.0386594705256899E-2</v>
      </c>
      <c r="AC47" s="45">
        <f t="shared" ca="1" si="40"/>
        <v>2.0397595702322621E-2</v>
      </c>
      <c r="AD47" s="45">
        <f t="shared" ca="1" si="40"/>
        <v>4.6343763166639413E-4</v>
      </c>
      <c r="AE47" s="45">
        <f t="shared" ca="1" si="40"/>
        <v>1.2974375066000333E-2</v>
      </c>
      <c r="AF47" s="45">
        <v>0</v>
      </c>
      <c r="AG47" s="45">
        <v>0</v>
      </c>
      <c r="AH47" s="129">
        <f t="shared" ca="1" si="41"/>
        <v>9.5930435669469433E-2</v>
      </c>
    </row>
    <row r="48" spans="2:34" ht="12" customHeight="1" x14ac:dyDescent="0.25">
      <c r="B48" s="390"/>
      <c r="D48" s="62">
        <f t="shared" si="33"/>
        <v>36</v>
      </c>
      <c r="E48" s="63">
        <f t="shared" si="42"/>
        <v>9</v>
      </c>
      <c r="F48" s="63">
        <f t="shared" si="38"/>
        <v>79</v>
      </c>
      <c r="G48" s="44">
        <f>INDEX(rngU.GenPop, MATCH($F48, Parameters!$D$71:$D$78, 1))</f>
        <v>0.75329999999999997</v>
      </c>
      <c r="H48" s="45">
        <f t="shared" ca="1" si="37"/>
        <v>0</v>
      </c>
      <c r="I48" s="45">
        <f t="shared" ca="1" si="37"/>
        <v>1.0187084597123511E-2</v>
      </c>
      <c r="J48" s="45">
        <f t="shared" ca="1" si="37"/>
        <v>1.2104482232097834E-3</v>
      </c>
      <c r="K48" s="45">
        <f t="shared" ca="1" si="37"/>
        <v>4.5530196104900516E-4</v>
      </c>
      <c r="L48" s="45">
        <f t="shared" ca="1" si="37"/>
        <v>3.8703549587615128E-5</v>
      </c>
      <c r="M48" s="45">
        <f t="shared" ca="1" si="37"/>
        <v>3.2743197348775517E-2</v>
      </c>
      <c r="N48" s="45">
        <f t="shared" ca="1" si="37"/>
        <v>1.0589780364847597E-2</v>
      </c>
      <c r="O48" s="45">
        <f t="shared" ca="1" si="37"/>
        <v>1.9989772019970063E-2</v>
      </c>
      <c r="P48" s="45">
        <f t="shared" ca="1" si="37"/>
        <v>4.6057065568961463E-4</v>
      </c>
      <c r="Q48" s="45">
        <f t="shared" ca="1" si="37"/>
        <v>1.3753484555380547E-2</v>
      </c>
      <c r="R48" s="45">
        <v>0</v>
      </c>
      <c r="S48" s="45">
        <v>0</v>
      </c>
      <c r="T48" s="129">
        <f t="shared" ca="1" si="39"/>
        <v>8.942834327563326E-2</v>
      </c>
      <c r="V48" s="45">
        <f t="shared" ca="1" si="40"/>
        <v>2.2575631822716317E-2</v>
      </c>
      <c r="W48" s="45">
        <f t="shared" ca="1" si="40"/>
        <v>0</v>
      </c>
      <c r="X48" s="45">
        <f t="shared" ca="1" si="40"/>
        <v>1.1270976811948994E-3</v>
      </c>
      <c r="Y48" s="45">
        <f t="shared" ca="1" si="40"/>
        <v>4.221354689474389E-4</v>
      </c>
      <c r="Z48" s="45">
        <f t="shared" ca="1" si="40"/>
        <v>3.5784149875285835E-5</v>
      </c>
      <c r="AA48" s="45">
        <f t="shared" ca="1" si="40"/>
        <v>2.5541004767662169E-2</v>
      </c>
      <c r="AB48" s="45">
        <f t="shared" ca="1" si="40"/>
        <v>1.013550406916473E-2</v>
      </c>
      <c r="AC48" s="45">
        <f t="shared" ca="1" si="40"/>
        <v>2.0222485946154698E-2</v>
      </c>
      <c r="AD48" s="45">
        <f t="shared" ca="1" si="40"/>
        <v>4.5782148941993082E-4</v>
      </c>
      <c r="AE48" s="45">
        <f t="shared" ca="1" si="40"/>
        <v>1.3366754463019338E-2</v>
      </c>
      <c r="AF48" s="45">
        <v>0</v>
      </c>
      <c r="AG48" s="45">
        <v>0</v>
      </c>
      <c r="AH48" s="129">
        <f t="shared" ca="1" si="41"/>
        <v>9.3884219858154816E-2</v>
      </c>
    </row>
    <row r="49" spans="2:34" ht="12" customHeight="1" x14ac:dyDescent="0.25">
      <c r="B49" s="390"/>
      <c r="D49" s="62">
        <f t="shared" si="33"/>
        <v>37</v>
      </c>
      <c r="E49" s="63">
        <f t="shared" si="42"/>
        <v>9.25</v>
      </c>
      <c r="F49" s="63">
        <f t="shared" si="38"/>
        <v>79.25</v>
      </c>
      <c r="G49" s="44">
        <f>INDEX(rngU.GenPop, MATCH($F49, Parameters!$D$71:$D$78, 1))</f>
        <v>0.75329999999999997</v>
      </c>
      <c r="H49" s="45">
        <f t="shared" ca="1" si="37"/>
        <v>0</v>
      </c>
      <c r="I49" s="45">
        <f t="shared" ca="1" si="37"/>
        <v>9.2690050954070576E-3</v>
      </c>
      <c r="J49" s="45">
        <f t="shared" ca="1" si="37"/>
        <v>1.1513479610974287E-3</v>
      </c>
      <c r="K49" s="45">
        <f t="shared" ca="1" si="37"/>
        <v>4.3299130942628286E-4</v>
      </c>
      <c r="L49" s="45">
        <f t="shared" ca="1" si="37"/>
        <v>3.6802566176052972E-5</v>
      </c>
      <c r="M49" s="45">
        <f t="shared" ca="1" si="37"/>
        <v>3.1926327441295199E-2</v>
      </c>
      <c r="N49" s="45">
        <f t="shared" ca="1" si="37"/>
        <v>1.0283278587913015E-2</v>
      </c>
      <c r="O49" s="45">
        <f t="shared" ca="1" si="37"/>
        <v>1.9783757062144733E-2</v>
      </c>
      <c r="P49" s="45">
        <f t="shared" ca="1" si="37"/>
        <v>4.5371509882756824E-4</v>
      </c>
      <c r="Q49" s="45">
        <f t="shared" ca="1" si="37"/>
        <v>1.4133288253786437E-2</v>
      </c>
      <c r="R49" s="45">
        <v>0</v>
      </c>
      <c r="S49" s="45">
        <v>0</v>
      </c>
      <c r="T49" s="129">
        <f t="shared" ca="1" si="39"/>
        <v>8.7470513376073783E-2</v>
      </c>
      <c r="V49" s="45">
        <f t="shared" ca="1" si="40"/>
        <v>2.1159635040524111E-2</v>
      </c>
      <c r="W49" s="45">
        <f t="shared" ca="1" si="40"/>
        <v>0</v>
      </c>
      <c r="X49" s="45">
        <f t="shared" ca="1" si="40"/>
        <v>1.0833555780643779E-3</v>
      </c>
      <c r="Y49" s="45">
        <f t="shared" ca="1" si="40"/>
        <v>4.0575260034090064E-4</v>
      </c>
      <c r="Z49" s="45">
        <f t="shared" ca="1" si="40"/>
        <v>3.4395384730615E-5</v>
      </c>
      <c r="AA49" s="45">
        <f t="shared" ca="1" si="40"/>
        <v>2.5089618699950158E-2</v>
      </c>
      <c r="AB49" s="45">
        <f t="shared" ca="1" si="40"/>
        <v>9.8825938048431542E-3</v>
      </c>
      <c r="AC49" s="45">
        <f t="shared" ca="1" si="40"/>
        <v>2.0032156798664068E-2</v>
      </c>
      <c r="AD49" s="45">
        <f t="shared" ca="1" si="40"/>
        <v>4.5190200456157617E-4</v>
      </c>
      <c r="AE49" s="45">
        <f t="shared" ca="1" si="40"/>
        <v>1.3747888521462215E-2</v>
      </c>
      <c r="AF49" s="45">
        <v>0</v>
      </c>
      <c r="AG49" s="45">
        <v>0</v>
      </c>
      <c r="AH49" s="129">
        <f t="shared" ca="1" si="41"/>
        <v>9.1887298433141182E-2</v>
      </c>
    </row>
    <row r="50" spans="2:34" ht="12" customHeight="1" x14ac:dyDescent="0.25">
      <c r="B50" s="390"/>
      <c r="D50" s="62">
        <f t="shared" si="33"/>
        <v>38</v>
      </c>
      <c r="E50" s="63">
        <f t="shared" si="42"/>
        <v>9.5</v>
      </c>
      <c r="F50" s="63">
        <f t="shared" si="38"/>
        <v>79.5</v>
      </c>
      <c r="G50" s="44">
        <f>INDEX(rngU.GenPop, MATCH($F50, Parameters!$D$71:$D$78, 1))</f>
        <v>0.75329999999999997</v>
      </c>
      <c r="H50" s="45">
        <f t="shared" ca="1" si="37"/>
        <v>0</v>
      </c>
      <c r="I50" s="45">
        <f t="shared" ca="1" si="37"/>
        <v>8.4336646701590485E-3</v>
      </c>
      <c r="J50" s="45">
        <f t="shared" ca="1" si="37"/>
        <v>1.0956339317544292E-3</v>
      </c>
      <c r="K50" s="45">
        <f t="shared" ca="1" si="37"/>
        <v>4.1196474358627666E-4</v>
      </c>
      <c r="L50" s="45">
        <f t="shared" ca="1" si="37"/>
        <v>3.5011310223890556E-5</v>
      </c>
      <c r="M50" s="45">
        <f t="shared" ca="1" si="37"/>
        <v>3.1100255555545766E-2</v>
      </c>
      <c r="N50" s="45">
        <f t="shared" ca="1" si="37"/>
        <v>9.9780925116206409E-3</v>
      </c>
      <c r="O50" s="45">
        <f t="shared" ca="1" si="37"/>
        <v>1.9563838742247677E-2</v>
      </c>
      <c r="P50" s="45">
        <f t="shared" ca="1" si="37"/>
        <v>4.4661457081311283E-4</v>
      </c>
      <c r="Q50" s="45">
        <f t="shared" ca="1" si="37"/>
        <v>1.4500535988190273E-2</v>
      </c>
      <c r="R50" s="45">
        <v>0</v>
      </c>
      <c r="S50" s="45">
        <v>0</v>
      </c>
      <c r="T50" s="129">
        <f t="shared" ca="1" si="39"/>
        <v>8.5565612024141119E-2</v>
      </c>
      <c r="V50" s="45">
        <f t="shared" ca="1" si="40"/>
        <v>1.9832452910472059E-2</v>
      </c>
      <c r="W50" s="45">
        <f t="shared" ca="1" si="40"/>
        <v>0</v>
      </c>
      <c r="X50" s="45">
        <f t="shared" ca="1" si="40"/>
        <v>1.0413110843054349E-3</v>
      </c>
      <c r="Y50" s="45">
        <f t="shared" ca="1" si="40"/>
        <v>3.9000554275599566E-4</v>
      </c>
      <c r="Z50" s="45">
        <f t="shared" ca="1" si="40"/>
        <v>3.3060516873815319E-5</v>
      </c>
      <c r="AA50" s="45">
        <f t="shared" ca="1" si="40"/>
        <v>2.4621890184209069E-2</v>
      </c>
      <c r="AB50" s="45">
        <f t="shared" ca="1" si="40"/>
        <v>9.6288143124643802E-3</v>
      </c>
      <c r="AC50" s="45">
        <f t="shared" ca="1" si="40"/>
        <v>1.9827883111339741E-2</v>
      </c>
      <c r="AD50" s="45">
        <f t="shared" ca="1" si="40"/>
        <v>4.4571377244910043E-4</v>
      </c>
      <c r="AE50" s="45">
        <f t="shared" ca="1" si="40"/>
        <v>1.4117552919608806E-2</v>
      </c>
      <c r="AF50" s="45">
        <v>0</v>
      </c>
      <c r="AG50" s="45">
        <v>0</v>
      </c>
      <c r="AH50" s="129">
        <f t="shared" ca="1" si="41"/>
        <v>8.993868435447841E-2</v>
      </c>
    </row>
    <row r="51" spans="2:34" ht="12" customHeight="1" x14ac:dyDescent="0.25">
      <c r="B51" s="390"/>
      <c r="D51" s="62">
        <f t="shared" si="33"/>
        <v>39</v>
      </c>
      <c r="E51" s="63">
        <f t="shared" si="42"/>
        <v>9.75</v>
      </c>
      <c r="F51" s="63">
        <f t="shared" si="38"/>
        <v>79.75</v>
      </c>
      <c r="G51" s="44">
        <f>INDEX(rngU.GenPop, MATCH($F51, Parameters!$D$71:$D$78, 1))</f>
        <v>0.75329999999999997</v>
      </c>
      <c r="H51" s="45">
        <f t="shared" ca="1" si="37"/>
        <v>3.6557551333655379E-3</v>
      </c>
      <c r="I51" s="45">
        <f t="shared" ca="1" si="37"/>
        <v>4.01785158456942E-3</v>
      </c>
      <c r="J51" s="45">
        <f t="shared" ca="1" si="37"/>
        <v>1.0430762516921894E-3</v>
      </c>
      <c r="K51" s="45">
        <f t="shared" ca="1" si="37"/>
        <v>3.9213473797162195E-4</v>
      </c>
      <c r="L51" s="45">
        <f t="shared" ca="1" si="37"/>
        <v>3.3322283268923031E-5</v>
      </c>
      <c r="M51" s="45">
        <f t="shared" ca="1" si="37"/>
        <v>3.0269025188868332E-2</v>
      </c>
      <c r="N51" s="45">
        <f t="shared" ca="1" si="37"/>
        <v>9.6752130203390657E-3</v>
      </c>
      <c r="O51" s="45">
        <f t="shared" ca="1" si="37"/>
        <v>1.9331315869219115E-2</v>
      </c>
      <c r="P51" s="45">
        <f t="shared" ca="1" si="37"/>
        <v>4.3930511765830115E-4</v>
      </c>
      <c r="Q51" s="45">
        <f t="shared" ca="1" si="37"/>
        <v>1.485508763325025E-2</v>
      </c>
      <c r="R51" s="45">
        <v>0</v>
      </c>
      <c r="S51" s="45">
        <v>0</v>
      </c>
      <c r="T51" s="129">
        <f t="shared" ca="1" si="39"/>
        <v>8.3712086820202758E-2</v>
      </c>
      <c r="V51" s="45">
        <f t="shared" ca="1" si="40"/>
        <v>1.8588514768464039E-2</v>
      </c>
      <c r="W51" s="45">
        <f t="shared" ca="1" si="40"/>
        <v>0</v>
      </c>
      <c r="X51" s="45">
        <f t="shared" ca="1" si="40"/>
        <v>1.0008983165386213E-3</v>
      </c>
      <c r="Y51" s="45">
        <f t="shared" ca="1" si="40"/>
        <v>3.7486962068167999E-4</v>
      </c>
      <c r="Z51" s="45">
        <f t="shared" ca="1" si="40"/>
        <v>3.1777454577821908E-5</v>
      </c>
      <c r="AA51" s="45">
        <f t="shared" ca="1" si="40"/>
        <v>2.414057727416485E-2</v>
      </c>
      <c r="AB51" s="45">
        <f t="shared" ca="1" si="40"/>
        <v>9.3750121763926768E-3</v>
      </c>
      <c r="AC51" s="45">
        <f t="shared" ca="1" si="40"/>
        <v>1.9610885066998405E-2</v>
      </c>
      <c r="AD51" s="45">
        <f t="shared" ca="1" si="40"/>
        <v>4.3928910754638899E-4</v>
      </c>
      <c r="AE51" s="45">
        <f t="shared" ca="1" si="40"/>
        <v>1.4475566712986795E-2</v>
      </c>
      <c r="AF51" s="45">
        <v>0</v>
      </c>
      <c r="AG51" s="45">
        <v>0</v>
      </c>
      <c r="AH51" s="129">
        <f t="shared" ca="1" si="41"/>
        <v>8.803739049835127E-2</v>
      </c>
    </row>
    <row r="52" spans="2:34" ht="12" customHeight="1" x14ac:dyDescent="0.25">
      <c r="B52" s="390"/>
      <c r="D52" s="62">
        <f t="shared" si="33"/>
        <v>40</v>
      </c>
      <c r="E52" s="63">
        <f t="shared" si="42"/>
        <v>10</v>
      </c>
      <c r="F52" s="63">
        <f t="shared" si="38"/>
        <v>80</v>
      </c>
      <c r="G52" s="44">
        <f>INDEX(rngU.GenPop, MATCH($F52, Parameters!$D$71:$D$78, 1))</f>
        <v>0.69850000000000001</v>
      </c>
      <c r="H52" s="45">
        <f t="shared" ref="H52:Q61" ca="1" si="43">PRODUCT(AVERAGE(OFFSET(E.Trace.Markov.Root, $D52, (H$2-1)*E.Trace.Markov.NumCols+H$3-1, CHOOSE(swtchHalfCycle, 2, 1))) + N("halfcycle-adjusted state occupancy"),
$G52 + H$6 + N("age-adjusted state utility value"),
E.cycleLength)</f>
        <v>6.4827176554323272E-3</v>
      </c>
      <c r="I52" s="45">
        <f t="shared" ca="1" si="43"/>
        <v>0</v>
      </c>
      <c r="J52" s="45">
        <f t="shared" ca="1" si="43"/>
        <v>8.5049251034385713E-4</v>
      </c>
      <c r="K52" s="45">
        <f t="shared" ca="1" si="43"/>
        <v>3.1629894840894276E-4</v>
      </c>
      <c r="L52" s="45">
        <f t="shared" ca="1" si="43"/>
        <v>2.6830450701509048E-5</v>
      </c>
      <c r="M52" s="45">
        <f t="shared" ca="1" si="43"/>
        <v>2.6946959168371348E-2</v>
      </c>
      <c r="N52" s="45">
        <f t="shared" ca="1" si="43"/>
        <v>8.5284195351701571E-3</v>
      </c>
      <c r="O52" s="45">
        <f t="shared" ca="1" si="43"/>
        <v>1.7203319624928853E-2</v>
      </c>
      <c r="P52" s="45">
        <f t="shared" ca="1" si="43"/>
        <v>3.9402448676093216E-4</v>
      </c>
      <c r="Q52" s="45">
        <f t="shared" ca="1" si="43"/>
        <v>1.4034257923005836E-2</v>
      </c>
      <c r="R52" s="45">
        <v>0</v>
      </c>
      <c r="S52" s="45">
        <v>0</v>
      </c>
      <c r="T52" s="129">
        <f t="shared" ca="1" si="39"/>
        <v>7.4783320303123763E-2</v>
      </c>
      <c r="V52" s="45">
        <f t="shared" ca="1" si="40"/>
        <v>1.59478114077196E-2</v>
      </c>
      <c r="W52" s="45">
        <f t="shared" ca="1" si="40"/>
        <v>0</v>
      </c>
      <c r="X52" s="45">
        <f t="shared" ca="1" si="40"/>
        <v>8.8250292677504024E-4</v>
      </c>
      <c r="Y52" s="45">
        <f t="shared" ca="1" si="40"/>
        <v>3.2754394152157638E-4</v>
      </c>
      <c r="Z52" s="45">
        <f t="shared" ca="1" si="40"/>
        <v>2.7747895096763006E-5</v>
      </c>
      <c r="AA52" s="45">
        <f t="shared" ca="1" si="40"/>
        <v>2.1648817294676145E-2</v>
      </c>
      <c r="AB52" s="45">
        <f t="shared" ca="1" si="40"/>
        <v>8.2979462287865475E-3</v>
      </c>
      <c r="AC52" s="45">
        <f t="shared" ca="1" si="40"/>
        <v>1.7469215680024162E-2</v>
      </c>
      <c r="AD52" s="45">
        <f t="shared" ca="1" si="40"/>
        <v>3.9478934523172081E-4</v>
      </c>
      <c r="AE52" s="45">
        <f t="shared" ca="1" si="40"/>
        <v>1.3687872748752397E-2</v>
      </c>
      <c r="AF52" s="45">
        <v>0</v>
      </c>
      <c r="AG52" s="45">
        <v>0</v>
      </c>
      <c r="AH52" s="129">
        <f t="shared" ca="1" si="41"/>
        <v>7.8684247468583948E-2</v>
      </c>
    </row>
    <row r="53" spans="2:34" ht="12" customHeight="1" x14ac:dyDescent="0.25">
      <c r="B53" s="390"/>
      <c r="D53" s="62">
        <f t="shared" si="33"/>
        <v>41</v>
      </c>
      <c r="E53" s="63">
        <f t="shared" si="42"/>
        <v>10.25</v>
      </c>
      <c r="F53" s="63">
        <f t="shared" si="38"/>
        <v>80.25</v>
      </c>
      <c r="G53" s="44">
        <f>INDEX(rngU.GenPop, MATCH($F53, Parameters!$D$71:$D$78, 1))</f>
        <v>0.69850000000000001</v>
      </c>
      <c r="H53" s="45">
        <f t="shared" ca="1" si="43"/>
        <v>6.0109153759755566E-3</v>
      </c>
      <c r="I53" s="45">
        <f t="shared" ca="1" si="43"/>
        <v>0</v>
      </c>
      <c r="J53" s="45">
        <f t="shared" ca="1" si="43"/>
        <v>7.5037144355077651E-4</v>
      </c>
      <c r="K53" s="45">
        <f t="shared" ca="1" si="43"/>
        <v>2.7850289530938677E-4</v>
      </c>
      <c r="L53" s="45">
        <f t="shared" ca="1" si="43"/>
        <v>2.3593381356072405E-5</v>
      </c>
      <c r="M53" s="45">
        <f t="shared" ca="1" si="43"/>
        <v>2.5857083323543601E-2</v>
      </c>
      <c r="N53" s="45">
        <f t="shared" ca="1" si="43"/>
        <v>8.0818563059376694E-3</v>
      </c>
      <c r="O53" s="45">
        <f t="shared" ca="1" si="43"/>
        <v>1.6559107533379459E-2</v>
      </c>
      <c r="P53" s="45">
        <f t="shared" ca="1" si="43"/>
        <v>3.8254293623031434E-4</v>
      </c>
      <c r="Q53" s="45">
        <f t="shared" ca="1" si="43"/>
        <v>1.4246671200245609E-2</v>
      </c>
      <c r="R53" s="45">
        <v>0</v>
      </c>
      <c r="S53" s="45">
        <v>0</v>
      </c>
      <c r="T53" s="129">
        <f t="shared" ca="1" si="39"/>
        <v>7.2190644395528455E-2</v>
      </c>
      <c r="V53" s="45">
        <f t="shared" ca="1" si="40"/>
        <v>1.4787154076267918E-2</v>
      </c>
      <c r="W53" s="45">
        <f t="shared" ca="1" si="40"/>
        <v>0</v>
      </c>
      <c r="X53" s="45">
        <f t="shared" ca="1" si="40"/>
        <v>8.4390395697667164E-4</v>
      </c>
      <c r="Y53" s="45">
        <f t="shared" ca="1" si="40"/>
        <v>3.132178035305885E-4</v>
      </c>
      <c r="Z53" s="45">
        <f t="shared" ca="1" si="40"/>
        <v>2.6534255875506039E-5</v>
      </c>
      <c r="AA53" s="45">
        <f t="shared" ca="1" si="40"/>
        <v>2.097692564500267E-2</v>
      </c>
      <c r="AB53" s="45">
        <f t="shared" ca="1" si="40"/>
        <v>7.9065599861446872E-3</v>
      </c>
      <c r="AC53" s="45">
        <f t="shared" ca="1" si="40"/>
        <v>1.6831596374163461E-2</v>
      </c>
      <c r="AD53" s="45">
        <f t="shared" ca="1" si="40"/>
        <v>3.8403631894604837E-4</v>
      </c>
      <c r="AE53" s="45">
        <f t="shared" ca="1" si="40"/>
        <v>1.3907501941157802E-2</v>
      </c>
      <c r="AF53" s="45">
        <v>0</v>
      </c>
      <c r="AG53" s="45">
        <v>0</v>
      </c>
      <c r="AH53" s="129">
        <f t="shared" ca="1" si="41"/>
        <v>7.5977430358065354E-2</v>
      </c>
    </row>
    <row r="54" spans="2:34" ht="12" customHeight="1" x14ac:dyDescent="0.25">
      <c r="B54" s="390"/>
      <c r="D54" s="62">
        <f t="shared" si="33"/>
        <v>42</v>
      </c>
      <c r="E54" s="63">
        <f t="shared" si="42"/>
        <v>10.5</v>
      </c>
      <c r="F54" s="63">
        <f t="shared" si="38"/>
        <v>80.5</v>
      </c>
      <c r="G54" s="44">
        <f>INDEX(rngU.GenPop, MATCH($F54, Parameters!$D$71:$D$78, 1))</f>
        <v>0.69850000000000001</v>
      </c>
      <c r="H54" s="45">
        <f t="shared" ca="1" si="43"/>
        <v>5.573450145073427E-3</v>
      </c>
      <c r="I54" s="45">
        <f t="shared" ca="1" si="43"/>
        <v>0</v>
      </c>
      <c r="J54" s="45">
        <f t="shared" ca="1" si="43"/>
        <v>7.1531759978622571E-4</v>
      </c>
      <c r="K54" s="45">
        <f t="shared" ca="1" si="43"/>
        <v>2.6549254281788806E-4</v>
      </c>
      <c r="L54" s="45">
        <f t="shared" ca="1" si="43"/>
        <v>2.2491208943940544E-5</v>
      </c>
      <c r="M54" s="45">
        <f t="shared" ca="1" si="43"/>
        <v>2.474361888911885E-2</v>
      </c>
      <c r="N54" s="45">
        <f t="shared" ca="1" si="43"/>
        <v>7.6498935753589866E-3</v>
      </c>
      <c r="O54" s="45">
        <f t="shared" ca="1" si="43"/>
        <v>1.5934286903238538E-2</v>
      </c>
      <c r="P54" s="45">
        <f t="shared" ca="1" si="43"/>
        <v>3.6666627080089839E-4</v>
      </c>
      <c r="Q54" s="45">
        <f t="shared" ca="1" si="43"/>
        <v>1.4441580245068801E-2</v>
      </c>
      <c r="R54" s="45">
        <v>0</v>
      </c>
      <c r="S54" s="45">
        <v>0</v>
      </c>
      <c r="T54" s="129">
        <f t="shared" ca="1" si="39"/>
        <v>6.9712797380207553E-2</v>
      </c>
      <c r="V54" s="45">
        <f t="shared" ca="1" si="40"/>
        <v>1.3710967610856229E-2</v>
      </c>
      <c r="W54" s="45">
        <f t="shared" ca="1" si="40"/>
        <v>0</v>
      </c>
      <c r="X54" s="45">
        <f t="shared" ca="1" si="40"/>
        <v>8.0277007370307539E-4</v>
      </c>
      <c r="Y54" s="45">
        <f t="shared" ca="1" si="40"/>
        <v>2.9795082384276176E-4</v>
      </c>
      <c r="Z54" s="45">
        <f t="shared" ca="1" si="40"/>
        <v>2.5240913220916526E-5</v>
      </c>
      <c r="AA54" s="45">
        <f t="shared" ca="1" si="40"/>
        <v>2.0314408195685842E-2</v>
      </c>
      <c r="AB54" s="45">
        <f t="shared" ca="1" si="40"/>
        <v>7.5337811155782005E-3</v>
      </c>
      <c r="AC54" s="45">
        <f t="shared" ca="1" si="40"/>
        <v>1.6212541581656904E-2</v>
      </c>
      <c r="AD54" s="45">
        <f t="shared" ca="1" si="40"/>
        <v>3.6893944066788254E-4</v>
      </c>
      <c r="AE54" s="45">
        <f t="shared" ca="1" si="40"/>
        <v>1.4110360748384364E-2</v>
      </c>
      <c r="AF54" s="45">
        <v>0</v>
      </c>
      <c r="AG54" s="45">
        <v>0</v>
      </c>
      <c r="AH54" s="129">
        <f t="shared" ca="1" si="41"/>
        <v>7.3376960503596184E-2</v>
      </c>
    </row>
    <row r="55" spans="2:34" ht="12" customHeight="1" x14ac:dyDescent="0.25">
      <c r="B55" s="390"/>
      <c r="D55" s="62">
        <f t="shared" si="33"/>
        <v>43</v>
      </c>
      <c r="E55" s="63">
        <f t="shared" si="42"/>
        <v>10.75</v>
      </c>
      <c r="F55" s="63">
        <f t="shared" si="38"/>
        <v>80.75</v>
      </c>
      <c r="G55" s="44">
        <f>INDEX(rngU.GenPop, MATCH($F55, Parameters!$D$71:$D$78, 1))</f>
        <v>0.69850000000000001</v>
      </c>
      <c r="H55" s="45">
        <f t="shared" ca="1" si="43"/>
        <v>5.1678229648304593E-3</v>
      </c>
      <c r="I55" s="45">
        <f t="shared" ca="1" si="43"/>
        <v>0</v>
      </c>
      <c r="J55" s="45">
        <f t="shared" ca="1" si="43"/>
        <v>6.8050501879865261E-4</v>
      </c>
      <c r="K55" s="45">
        <f t="shared" ca="1" si="43"/>
        <v>2.5257173582081914E-4</v>
      </c>
      <c r="L55" s="45">
        <f t="shared" ca="1" si="43"/>
        <v>2.1396622381127955E-5</v>
      </c>
      <c r="M55" s="45">
        <f t="shared" ca="1" si="43"/>
        <v>2.3675295828848232E-2</v>
      </c>
      <c r="N55" s="45">
        <f t="shared" ca="1" si="43"/>
        <v>7.2429230529786831E-3</v>
      </c>
      <c r="O55" s="45">
        <f t="shared" ca="1" si="43"/>
        <v>1.5327990219119974E-2</v>
      </c>
      <c r="P55" s="45">
        <f t="shared" ca="1" si="43"/>
        <v>3.5128164088148184E-4</v>
      </c>
      <c r="Q55" s="45">
        <f t="shared" ca="1" si="43"/>
        <v>1.4614083859218313E-2</v>
      </c>
      <c r="R55" s="45">
        <v>0</v>
      </c>
      <c r="S55" s="45">
        <v>0</v>
      </c>
      <c r="T55" s="129">
        <f t="shared" ca="1" si="39"/>
        <v>6.7333870942877738E-2</v>
      </c>
      <c r="V55" s="45">
        <f t="shared" ca="1" si="40"/>
        <v>1.2713104351002669E-2</v>
      </c>
      <c r="W55" s="45">
        <f t="shared" ca="1" si="40"/>
        <v>0</v>
      </c>
      <c r="X55" s="45">
        <f t="shared" ca="1" si="40"/>
        <v>7.6374266182354354E-4</v>
      </c>
      <c r="Y55" s="45">
        <f t="shared" ca="1" si="40"/>
        <v>2.8346566812648344E-4</v>
      </c>
      <c r="Z55" s="45">
        <f t="shared" ca="1" si="40"/>
        <v>2.4013802808162662E-5</v>
      </c>
      <c r="AA55" s="45">
        <f t="shared" ca="1" si="40"/>
        <v>1.9657986974956236E-2</v>
      </c>
      <c r="AB55" s="45">
        <f t="shared" ca="1" si="40"/>
        <v>7.1779921662064611E-3</v>
      </c>
      <c r="AC55" s="45">
        <f t="shared" ca="1" si="40"/>
        <v>1.5612042401370289E-2</v>
      </c>
      <c r="AD55" s="45">
        <f t="shared" ca="1" si="40"/>
        <v>3.5437008622696698E-4</v>
      </c>
      <c r="AE55" s="45">
        <f t="shared" ca="1" si="40"/>
        <v>1.4291595492523002E-2</v>
      </c>
      <c r="AF55" s="45">
        <v>0</v>
      </c>
      <c r="AG55" s="45">
        <v>0</v>
      </c>
      <c r="AH55" s="129">
        <f t="shared" ca="1" si="41"/>
        <v>7.0878313605043819E-2</v>
      </c>
    </row>
    <row r="56" spans="2:34" ht="12" customHeight="1" x14ac:dyDescent="0.25">
      <c r="B56" s="390"/>
      <c r="D56" s="62">
        <f t="shared" si="33"/>
        <v>44</v>
      </c>
      <c r="E56" s="63">
        <f t="shared" si="42"/>
        <v>11</v>
      </c>
      <c r="F56" s="63">
        <f t="shared" si="38"/>
        <v>81</v>
      </c>
      <c r="G56" s="44">
        <f>INDEX(rngU.GenPop, MATCH($F56, Parameters!$D$71:$D$78, 1))</f>
        <v>0.69850000000000001</v>
      </c>
      <c r="H56" s="45">
        <f t="shared" ca="1" si="43"/>
        <v>4.7917167105972639E-3</v>
      </c>
      <c r="I56" s="45">
        <f t="shared" ca="1" si="43"/>
        <v>0</v>
      </c>
      <c r="J56" s="45">
        <f t="shared" ca="1" si="43"/>
        <v>6.4742033851515526E-4</v>
      </c>
      <c r="K56" s="45">
        <f t="shared" ca="1" si="43"/>
        <v>2.4029224500526024E-4</v>
      </c>
      <c r="L56" s="45">
        <f t="shared" ca="1" si="43"/>
        <v>2.0356364938389244E-5</v>
      </c>
      <c r="M56" s="45">
        <f t="shared" ca="1" si="43"/>
        <v>2.2649075873756301E-2</v>
      </c>
      <c r="N56" s="45">
        <f t="shared" ca="1" si="43"/>
        <v>6.8590967715783544E-3</v>
      </c>
      <c r="O56" s="45">
        <f t="shared" ca="1" si="43"/>
        <v>1.4740287779424507E-2</v>
      </c>
      <c r="P56" s="45">
        <f t="shared" ca="1" si="43"/>
        <v>3.3650176079757035E-4</v>
      </c>
      <c r="Q56" s="45">
        <f t="shared" ca="1" si="43"/>
        <v>1.4765174410782731E-2</v>
      </c>
      <c r="R56" s="45">
        <v>0</v>
      </c>
      <c r="S56" s="45">
        <v>0</v>
      </c>
      <c r="T56" s="129">
        <f t="shared" ca="1" si="39"/>
        <v>6.5049922255395534E-2</v>
      </c>
      <c r="V56" s="45">
        <f t="shared" ca="1" si="40"/>
        <v>1.1787864053556025E-2</v>
      </c>
      <c r="W56" s="45">
        <f t="shared" ca="1" si="40"/>
        <v>0</v>
      </c>
      <c r="X56" s="45">
        <f t="shared" ca="1" si="40"/>
        <v>7.2661015108222077E-4</v>
      </c>
      <c r="Y56" s="45">
        <f t="shared" ca="1" si="40"/>
        <v>2.6968381136681119E-4</v>
      </c>
      <c r="Z56" s="45">
        <f t="shared" ca="1" si="40"/>
        <v>2.2846272388184468E-5</v>
      </c>
      <c r="AA56" s="45">
        <f t="shared" ca="1" si="40"/>
        <v>1.9009375319039075E-2</v>
      </c>
      <c r="AB56" s="45">
        <f t="shared" ca="1" si="40"/>
        <v>6.8384941813858843E-3</v>
      </c>
      <c r="AC56" s="45">
        <f t="shared" ca="1" si="40"/>
        <v>1.5029962718405633E-2</v>
      </c>
      <c r="AD56" s="45">
        <f t="shared" ca="1" si="40"/>
        <v>3.4030838171841024E-4</v>
      </c>
      <c r="AE56" s="45">
        <f t="shared" ca="1" si="40"/>
        <v>1.4452226461705584E-2</v>
      </c>
      <c r="AF56" s="45">
        <v>0</v>
      </c>
      <c r="AG56" s="45">
        <v>0</v>
      </c>
      <c r="AH56" s="129">
        <f t="shared" ca="1" si="41"/>
        <v>6.8477371350647839E-2</v>
      </c>
    </row>
    <row r="57" spans="2:34" ht="12" customHeight="1" x14ac:dyDescent="0.25">
      <c r="B57" s="390"/>
      <c r="D57" s="62">
        <f t="shared" si="33"/>
        <v>45</v>
      </c>
      <c r="E57" s="63">
        <f t="shared" si="42"/>
        <v>11.25</v>
      </c>
      <c r="F57" s="63">
        <f t="shared" si="38"/>
        <v>81.25</v>
      </c>
      <c r="G57" s="44">
        <f>INDEX(rngU.GenPop, MATCH($F57, Parameters!$D$71:$D$78, 1))</f>
        <v>0.69850000000000001</v>
      </c>
      <c r="H57" s="45">
        <f t="shared" ca="1" si="43"/>
        <v>4.4429828945137494E-3</v>
      </c>
      <c r="I57" s="45">
        <f t="shared" ca="1" si="43"/>
        <v>0</v>
      </c>
      <c r="J57" s="45">
        <f t="shared" ca="1" si="43"/>
        <v>6.1594335034184677E-4</v>
      </c>
      <c r="K57" s="45">
        <f t="shared" ca="1" si="43"/>
        <v>2.2860945454564107E-4</v>
      </c>
      <c r="L57" s="45">
        <f t="shared" ca="1" si="43"/>
        <v>1.9366656984686726E-5</v>
      </c>
      <c r="M57" s="45">
        <f t="shared" ca="1" si="43"/>
        <v>2.1663664181181694E-2</v>
      </c>
      <c r="N57" s="45">
        <f t="shared" ca="1" si="43"/>
        <v>6.4969731951653384E-3</v>
      </c>
      <c r="O57" s="45">
        <f t="shared" ca="1" si="43"/>
        <v>1.4171141928091336E-2</v>
      </c>
      <c r="P57" s="45">
        <f t="shared" ca="1" si="43"/>
        <v>3.2230522698503808E-4</v>
      </c>
      <c r="Q57" s="45">
        <f t="shared" ca="1" si="43"/>
        <v>1.4895960064606266E-2</v>
      </c>
      <c r="R57" s="45">
        <v>0</v>
      </c>
      <c r="S57" s="45">
        <v>0</v>
      </c>
      <c r="T57" s="129">
        <f t="shared" ca="1" si="39"/>
        <v>6.2856946952415602E-2</v>
      </c>
      <c r="V57" s="45">
        <f t="shared" ca="1" si="40"/>
        <v>1.0929961330346438E-2</v>
      </c>
      <c r="W57" s="45">
        <f t="shared" ca="1" si="40"/>
        <v>0</v>
      </c>
      <c r="X57" s="45">
        <f t="shared" ca="1" si="40"/>
        <v>6.9128305030271545E-4</v>
      </c>
      <c r="Y57" s="45">
        <f t="shared" ca="1" si="40"/>
        <v>2.5657203861141186E-4</v>
      </c>
      <c r="Z57" s="45">
        <f t="shared" ca="1" si="40"/>
        <v>2.1735508155271765E-5</v>
      </c>
      <c r="AA57" s="45">
        <f t="shared" ca="1" si="40"/>
        <v>1.8369945223862441E-2</v>
      </c>
      <c r="AB57" s="45">
        <f t="shared" ca="1" si="40"/>
        <v>6.5145913510906411E-3</v>
      </c>
      <c r="AC57" s="45">
        <f t="shared" ca="1" si="40"/>
        <v>1.4466122419457246E-2</v>
      </c>
      <c r="AD57" s="45">
        <f t="shared" ca="1" si="40"/>
        <v>3.267435975834048E-4</v>
      </c>
      <c r="AE57" s="45">
        <f t="shared" ca="1" si="40"/>
        <v>1.4593231761457827E-2</v>
      </c>
      <c r="AF57" s="45">
        <v>0</v>
      </c>
      <c r="AG57" s="45">
        <v>0</v>
      </c>
      <c r="AH57" s="129">
        <f t="shared" ca="1" si="41"/>
        <v>6.6170186280867405E-2</v>
      </c>
    </row>
    <row r="58" spans="2:34" ht="12" customHeight="1" x14ac:dyDescent="0.25">
      <c r="B58" s="390"/>
      <c r="D58" s="62">
        <f t="shared" si="33"/>
        <v>46</v>
      </c>
      <c r="E58" s="63">
        <f t="shared" si="42"/>
        <v>11.5</v>
      </c>
      <c r="F58" s="63">
        <f t="shared" si="38"/>
        <v>81.5</v>
      </c>
      <c r="G58" s="44">
        <f>INDEX(rngU.GenPop, MATCH($F58, Parameters!$D$71:$D$78, 1))</f>
        <v>0.69850000000000001</v>
      </c>
      <c r="H58" s="45">
        <f t="shared" ca="1" si="43"/>
        <v>4.119629392381436E-3</v>
      </c>
      <c r="I58" s="45">
        <f t="shared" ca="1" si="43"/>
        <v>0</v>
      </c>
      <c r="J58" s="45">
        <f t="shared" ca="1" si="43"/>
        <v>5.8599676436331481E-4</v>
      </c>
      <c r="K58" s="45">
        <f t="shared" ca="1" si="43"/>
        <v>2.1749467802884484E-4</v>
      </c>
      <c r="L58" s="45">
        <f t="shared" ca="1" si="43"/>
        <v>1.8425068349649458E-5</v>
      </c>
      <c r="M58" s="45">
        <f t="shared" ca="1" si="43"/>
        <v>2.0717737052461521E-2</v>
      </c>
      <c r="N58" s="45">
        <f t="shared" ca="1" si="43"/>
        <v>6.1552050544408489E-3</v>
      </c>
      <c r="O58" s="45">
        <f t="shared" ca="1" si="43"/>
        <v>1.3620443674258478E-2</v>
      </c>
      <c r="P58" s="45">
        <f t="shared" ca="1" si="43"/>
        <v>3.0867384583649875E-4</v>
      </c>
      <c r="Q58" s="45">
        <f t="shared" ca="1" si="43"/>
        <v>1.5007503386002971E-2</v>
      </c>
      <c r="R58" s="45">
        <v>0</v>
      </c>
      <c r="S58" s="45">
        <v>0</v>
      </c>
      <c r="T58" s="129">
        <f t="shared" ca="1" si="39"/>
        <v>6.0751108916123564E-2</v>
      </c>
      <c r="V58" s="45">
        <f t="shared" ca="1" si="40"/>
        <v>1.0134495455674172E-2</v>
      </c>
      <c r="W58" s="45">
        <f t="shared" ca="1" si="40"/>
        <v>0</v>
      </c>
      <c r="X58" s="45">
        <f t="shared" ca="1" si="40"/>
        <v>6.5767351843884784E-4</v>
      </c>
      <c r="Y58" s="45">
        <f t="shared" ca="1" si="40"/>
        <v>2.4409774735935304E-4</v>
      </c>
      <c r="Z58" s="45">
        <f t="shared" ca="1" si="40"/>
        <v>2.0678748187553674E-5</v>
      </c>
      <c r="AA58" s="45">
        <f t="shared" ca="1" si="40"/>
        <v>1.7740877195315696E-2</v>
      </c>
      <c r="AB58" s="45">
        <f t="shared" ca="1" si="40"/>
        <v>6.2056129066264589E-3</v>
      </c>
      <c r="AC58" s="45">
        <f t="shared" ca="1" si="40"/>
        <v>1.3920301275342275E-2</v>
      </c>
      <c r="AD58" s="45">
        <f t="shared" ca="1" si="40"/>
        <v>3.1366433033510309E-4</v>
      </c>
      <c r="AE58" s="45">
        <f t="shared" ca="1" si="40"/>
        <v>1.4715558943283078E-2</v>
      </c>
      <c r="AF58" s="45">
        <v>0</v>
      </c>
      <c r="AG58" s="45">
        <v>0</v>
      </c>
      <c r="AH58" s="129">
        <f t="shared" ca="1" si="41"/>
        <v>6.3952960120562535E-2</v>
      </c>
    </row>
    <row r="59" spans="2:34" ht="12" customHeight="1" x14ac:dyDescent="0.25">
      <c r="B59" s="390"/>
      <c r="D59" s="62">
        <f t="shared" si="33"/>
        <v>47</v>
      </c>
      <c r="E59" s="63">
        <f t="shared" si="42"/>
        <v>11.75</v>
      </c>
      <c r="F59" s="63">
        <f t="shared" si="38"/>
        <v>81.75</v>
      </c>
      <c r="G59" s="44">
        <f>INDEX(rngU.GenPop, MATCH($F59, Parameters!$D$71:$D$78, 1))</f>
        <v>0.69850000000000001</v>
      </c>
      <c r="H59" s="45">
        <f t="shared" ca="1" si="43"/>
        <v>3.8198090637552233E-3</v>
      </c>
      <c r="I59" s="45">
        <f t="shared" ca="1" si="43"/>
        <v>0</v>
      </c>
      <c r="J59" s="45">
        <f t="shared" ca="1" si="43"/>
        <v>5.5750615273509718E-4</v>
      </c>
      <c r="K59" s="45">
        <f t="shared" ca="1" si="43"/>
        <v>2.069202913090536E-4</v>
      </c>
      <c r="L59" s="45">
        <f t="shared" ca="1" si="43"/>
        <v>1.7529258852913453E-5</v>
      </c>
      <c r="M59" s="45">
        <f t="shared" ca="1" si="43"/>
        <v>1.9809987981421941E-2</v>
      </c>
      <c r="N59" s="45">
        <f t="shared" ca="1" si="43"/>
        <v>5.8325387725649529E-3</v>
      </c>
      <c r="O59" s="45">
        <f t="shared" ca="1" si="43"/>
        <v>1.3088022014690856E-2</v>
      </c>
      <c r="P59" s="45">
        <f t="shared" ca="1" si="43"/>
        <v>2.9558941874516248E-4</v>
      </c>
      <c r="Q59" s="45">
        <f t="shared" ca="1" si="43"/>
        <v>1.5100825983470022E-2</v>
      </c>
      <c r="R59" s="45">
        <v>0</v>
      </c>
      <c r="S59" s="45">
        <v>0</v>
      </c>
      <c r="T59" s="129">
        <f t="shared" ca="1" si="39"/>
        <v>5.872872893754523E-2</v>
      </c>
      <c r="V59" s="45">
        <f t="shared" ca="1" si="40"/>
        <v>9.3969223711631387E-3</v>
      </c>
      <c r="W59" s="45">
        <f t="shared" ca="1" si="40"/>
        <v>0</v>
      </c>
      <c r="X59" s="45">
        <f t="shared" ca="1" si="40"/>
        <v>6.2569805044436423E-4</v>
      </c>
      <c r="Y59" s="45">
        <f t="shared" ca="1" si="40"/>
        <v>2.3222994443071755E-4</v>
      </c>
      <c r="Z59" s="45">
        <f t="shared" ca="1" si="40"/>
        <v>1.9673366896838699E-5</v>
      </c>
      <c r="AA59" s="45">
        <f t="shared" ca="1" si="40"/>
        <v>1.7123175875322343E-2</v>
      </c>
      <c r="AB59" s="45">
        <f t="shared" ca="1" si="40"/>
        <v>5.9109122856199374E-3</v>
      </c>
      <c r="AC59" s="45">
        <f t="shared" ca="1" si="40"/>
        <v>1.3392244220950389E-2</v>
      </c>
      <c r="AD59" s="45">
        <f t="shared" ca="1" si="40"/>
        <v>3.0105883248825351E-4</v>
      </c>
      <c r="AE59" s="45">
        <f t="shared" ca="1" si="40"/>
        <v>1.4820124760633619E-2</v>
      </c>
      <c r="AF59" s="45">
        <v>0</v>
      </c>
      <c r="AG59" s="45">
        <v>0</v>
      </c>
      <c r="AH59" s="129">
        <f t="shared" ca="1" si="41"/>
        <v>6.1822039707949597E-2</v>
      </c>
    </row>
    <row r="60" spans="2:34" ht="12" customHeight="1" x14ac:dyDescent="0.25">
      <c r="B60" s="390"/>
      <c r="D60" s="62">
        <f t="shared" si="33"/>
        <v>48</v>
      </c>
      <c r="E60" s="63">
        <f t="shared" si="42"/>
        <v>12</v>
      </c>
      <c r="F60" s="63">
        <f t="shared" si="38"/>
        <v>82</v>
      </c>
      <c r="G60" s="44">
        <f>INDEX(rngU.GenPop, MATCH($F60, Parameters!$D$71:$D$78, 1))</f>
        <v>0.69850000000000001</v>
      </c>
      <c r="H60" s="45">
        <f t="shared" ca="1" si="43"/>
        <v>3.5418092002474917E-3</v>
      </c>
      <c r="I60" s="45">
        <f t="shared" ca="1" si="43"/>
        <v>0</v>
      </c>
      <c r="J60" s="45">
        <f t="shared" ca="1" si="43"/>
        <v>5.3040072786393123E-4</v>
      </c>
      <c r="K60" s="45">
        <f t="shared" ca="1" si="43"/>
        <v>1.9686002133197531E-4</v>
      </c>
      <c r="L60" s="45">
        <f t="shared" ca="1" si="43"/>
        <v>1.6677002771874957E-5</v>
      </c>
      <c r="M60" s="45">
        <f t="shared" ca="1" si="43"/>
        <v>1.8939129333873626E-2</v>
      </c>
      <c r="N60" s="45">
        <f t="shared" ca="1" si="43"/>
        <v>5.5278070509713973E-3</v>
      </c>
      <c r="O60" s="45">
        <f t="shared" ca="1" si="43"/>
        <v>1.2573652831860745E-2</v>
      </c>
      <c r="P60" s="45">
        <f t="shared" ca="1" si="43"/>
        <v>2.8303388602540612E-4</v>
      </c>
      <c r="Q60" s="45">
        <f t="shared" ca="1" si="43"/>
        <v>1.5176909248555066E-2</v>
      </c>
      <c r="R60" s="45">
        <v>0</v>
      </c>
      <c r="S60" s="45">
        <v>0</v>
      </c>
      <c r="T60" s="129">
        <f t="shared" ca="1" si="39"/>
        <v>5.6786279303501518E-2</v>
      </c>
      <c r="V60" s="45">
        <f t="shared" ref="V60:AE75" ca="1" si="44">PRODUCT(AVERAGE(OFFSET(E.Trace.Markov.Root, $D60, (V$2-1)*E.Trace.Markov.NumCols+V$3-1, CHOOSE(swtchHalfCycle, 2, 1))) + N("halfcycle-adjusted state occupancy"),
$G60 + V$6 + N("age-adjusted state utility value"),
E.cycleLength)</f>
        <v>8.7130287280583908E-3</v>
      </c>
      <c r="W60" s="45">
        <f t="shared" ca="1" si="44"/>
        <v>0</v>
      </c>
      <c r="X60" s="45">
        <f t="shared" ca="1" si="44"/>
        <v>5.9527719963340915E-4</v>
      </c>
      <c r="Y60" s="45">
        <f t="shared" ca="1" si="44"/>
        <v>2.2093914291975548E-4</v>
      </c>
      <c r="Z60" s="45">
        <f t="shared" ca="1" si="44"/>
        <v>1.871686629899781E-5</v>
      </c>
      <c r="AA60" s="45">
        <f t="shared" ca="1" si="44"/>
        <v>1.6517687280980946E-2</v>
      </c>
      <c r="AB60" s="45">
        <f t="shared" ca="1" si="44"/>
        <v>5.6298667731771706E-3</v>
      </c>
      <c r="AC60" s="45">
        <f t="shared" ca="1" si="44"/>
        <v>1.2881666121457446E-2</v>
      </c>
      <c r="AD60" s="45">
        <f t="shared" ca="1" si="44"/>
        <v>2.8891508785323933E-4</v>
      </c>
      <c r="AE60" s="45">
        <f t="shared" ca="1" si="44"/>
        <v>1.490781532117286E-2</v>
      </c>
      <c r="AF60" s="45">
        <v>0</v>
      </c>
      <c r="AG60" s="45">
        <v>0</v>
      </c>
      <c r="AH60" s="129">
        <f t="shared" ca="1" si="41"/>
        <v>5.9773912521552217E-2</v>
      </c>
    </row>
    <row r="61" spans="2:34" ht="12" customHeight="1" x14ac:dyDescent="0.25">
      <c r="B61" s="390"/>
      <c r="D61" s="62">
        <f t="shared" si="33"/>
        <v>49</v>
      </c>
      <c r="E61" s="63">
        <f t="shared" si="42"/>
        <v>12.25</v>
      </c>
      <c r="F61" s="63">
        <f t="shared" si="38"/>
        <v>82.25</v>
      </c>
      <c r="G61" s="44">
        <f>INDEX(rngU.GenPop, MATCH($F61, Parameters!$D$71:$D$78, 1))</f>
        <v>0.69850000000000001</v>
      </c>
      <c r="H61" s="45">
        <f t="shared" ca="1" si="43"/>
        <v>3.2840417417684931E-3</v>
      </c>
      <c r="I61" s="45">
        <f t="shared" ca="1" si="43"/>
        <v>0</v>
      </c>
      <c r="J61" s="45">
        <f t="shared" ca="1" si="43"/>
        <v>5.0461314325997582E-4</v>
      </c>
      <c r="K61" s="45">
        <f t="shared" ca="1" si="43"/>
        <v>1.8728887222047355E-4</v>
      </c>
      <c r="L61" s="45">
        <f t="shared" ca="1" si="43"/>
        <v>1.5866182580032287E-5</v>
      </c>
      <c r="M61" s="45">
        <f t="shared" ca="1" si="43"/>
        <v>1.8103894701726658E-2</v>
      </c>
      <c r="N61" s="45">
        <f t="shared" ca="1" si="43"/>
        <v>5.2399222467203821E-3</v>
      </c>
      <c r="O61" s="45">
        <f t="shared" ca="1" si="43"/>
        <v>1.2077066824084715E-2</v>
      </c>
      <c r="P61" s="45">
        <f t="shared" ca="1" si="43"/>
        <v>2.7098938052910119E-4</v>
      </c>
      <c r="Q61" s="45">
        <f t="shared" ca="1" si="43"/>
        <v>1.5236695253180959E-2</v>
      </c>
      <c r="R61" s="45">
        <v>0</v>
      </c>
      <c r="S61" s="45">
        <v>0</v>
      </c>
      <c r="T61" s="129">
        <f t="shared" ca="1" si="39"/>
        <v>5.4920378346070782E-2</v>
      </c>
      <c r="V61" s="45">
        <f t="shared" ca="1" si="44"/>
        <v>8.0789078186855254E-3</v>
      </c>
      <c r="W61" s="45">
        <f t="shared" ca="1" si="44"/>
        <v>0</v>
      </c>
      <c r="X61" s="45">
        <f t="shared" ca="1" si="44"/>
        <v>5.6633538198136782E-4</v>
      </c>
      <c r="Y61" s="45">
        <f t="shared" ca="1" si="44"/>
        <v>2.101972895604807E-4</v>
      </c>
      <c r="Z61" s="45">
        <f t="shared" ca="1" si="44"/>
        <v>1.7806869860738749E-5</v>
      </c>
      <c r="AA61" s="45">
        <f t="shared" ca="1" si="44"/>
        <v>1.5925114504767062E-2</v>
      </c>
      <c r="AB61" s="45">
        <f t="shared" ca="1" si="44"/>
        <v>5.3618770705513323E-3</v>
      </c>
      <c r="AC61" s="45">
        <f t="shared" ca="1" si="44"/>
        <v>1.238825610757947E-2</v>
      </c>
      <c r="AD61" s="45">
        <f t="shared" ca="1" si="44"/>
        <v>2.7722088432135801E-4</v>
      </c>
      <c r="AE61" s="45">
        <f t="shared" ca="1" si="44"/>
        <v>1.4979486325689314E-2</v>
      </c>
      <c r="AF61" s="45">
        <v>0</v>
      </c>
      <c r="AG61" s="45">
        <v>0</v>
      </c>
      <c r="AH61" s="129">
        <f t="shared" ca="1" si="41"/>
        <v>5.7805202252996658E-2</v>
      </c>
    </row>
    <row r="62" spans="2:34" ht="12" customHeight="1" x14ac:dyDescent="0.25">
      <c r="B62" s="390"/>
      <c r="D62" s="62">
        <f t="shared" si="33"/>
        <v>50</v>
      </c>
      <c r="E62" s="63">
        <f t="shared" si="42"/>
        <v>12.5</v>
      </c>
      <c r="F62" s="63">
        <f t="shared" si="38"/>
        <v>82.5</v>
      </c>
      <c r="G62" s="44">
        <f>INDEX(rngU.GenPop, MATCH($F62, Parameters!$D$71:$D$78, 1))</f>
        <v>0.69850000000000001</v>
      </c>
      <c r="H62" s="45">
        <f t="shared" ref="H62:Q71" ca="1" si="45">PRODUCT(AVERAGE(OFFSET(E.Trace.Markov.Root, $D62, (H$2-1)*E.Trace.Markov.NumCols+H$3-1, CHOOSE(swtchHalfCycle, 2, 1))) + N("halfcycle-adjusted state occupancy"),
$G62 + H$6 + N("age-adjusted state utility value"),
E.cycleLength)</f>
        <v>3.0450342048138029E-3</v>
      </c>
      <c r="I62" s="45">
        <f t="shared" ca="1" si="45"/>
        <v>0</v>
      </c>
      <c r="J62" s="45">
        <f t="shared" ca="1" si="45"/>
        <v>4.8007932676902407E-4</v>
      </c>
      <c r="K62" s="45">
        <f t="shared" ca="1" si="45"/>
        <v>1.7818306337814E-4</v>
      </c>
      <c r="L62" s="45">
        <f t="shared" ca="1" si="45"/>
        <v>1.5094783703428111E-5</v>
      </c>
      <c r="M62" s="45">
        <f t="shared" ca="1" si="45"/>
        <v>1.7303040881850789E-2</v>
      </c>
      <c r="N62" s="45">
        <f t="shared" ca="1" si="45"/>
        <v>4.9678703011153116E-3</v>
      </c>
      <c r="O62" s="45">
        <f t="shared" ca="1" si="45"/>
        <v>1.1597956576524182E-2</v>
      </c>
      <c r="P62" s="45">
        <f t="shared" ca="1" si="45"/>
        <v>2.594382752466985E-4</v>
      </c>
      <c r="Q62" s="45">
        <f t="shared" ca="1" si="45"/>
        <v>1.5281087694309064E-2</v>
      </c>
      <c r="R62" s="45">
        <v>0</v>
      </c>
      <c r="S62" s="45">
        <v>0</v>
      </c>
      <c r="T62" s="129">
        <f t="shared" ca="1" si="39"/>
        <v>5.3127785107710448E-2</v>
      </c>
      <c r="V62" s="45">
        <f t="shared" ca="1" si="44"/>
        <v>7.4909372595816735E-3</v>
      </c>
      <c r="W62" s="45">
        <f t="shared" ca="1" si="44"/>
        <v>0</v>
      </c>
      <c r="X62" s="45">
        <f t="shared" ca="1" si="44"/>
        <v>5.3880068828690401E-4</v>
      </c>
      <c r="Y62" s="45">
        <f t="shared" ca="1" si="44"/>
        <v>1.9997769500997673E-4</v>
      </c>
      <c r="Z62" s="45">
        <f t="shared" ca="1" si="44"/>
        <v>1.6941116593554126E-5</v>
      </c>
      <c r="AA62" s="45">
        <f t="shared" ca="1" si="44"/>
        <v>1.5346032071704018E-2</v>
      </c>
      <c r="AB62" s="45">
        <f t="shared" ca="1" si="44"/>
        <v>5.1063668151629391E-3</v>
      </c>
      <c r="AC62" s="45">
        <f t="shared" ca="1" si="44"/>
        <v>1.1911681511987734E-2</v>
      </c>
      <c r="AD62" s="45">
        <f t="shared" ca="1" si="44"/>
        <v>2.6596387878884115E-4</v>
      </c>
      <c r="AE62" s="45">
        <f t="shared" ca="1" si="44"/>
        <v>1.5035963389104911E-2</v>
      </c>
      <c r="AF62" s="45">
        <v>0</v>
      </c>
      <c r="AG62" s="45">
        <v>0</v>
      </c>
      <c r="AH62" s="129">
        <f t="shared" ca="1" si="41"/>
        <v>5.591266442622056E-2</v>
      </c>
    </row>
    <row r="63" spans="2:34" ht="12" customHeight="1" x14ac:dyDescent="0.25">
      <c r="B63" s="390"/>
      <c r="D63" s="62">
        <f t="shared" si="33"/>
        <v>51</v>
      </c>
      <c r="E63" s="63">
        <f t="shared" si="42"/>
        <v>12.75</v>
      </c>
      <c r="F63" s="63">
        <f t="shared" si="38"/>
        <v>82.75</v>
      </c>
      <c r="G63" s="44">
        <f>INDEX(rngU.GenPop, MATCH($F63, Parameters!$D$71:$D$78, 1))</f>
        <v>0.69850000000000001</v>
      </c>
      <c r="H63" s="45">
        <f t="shared" ca="1" si="45"/>
        <v>2.8234212709771565E-3</v>
      </c>
      <c r="I63" s="45">
        <f t="shared" ca="1" si="45"/>
        <v>0</v>
      </c>
      <c r="J63" s="45">
        <f t="shared" ca="1" si="45"/>
        <v>4.5673832136444855E-4</v>
      </c>
      <c r="K63" s="45">
        <f t="shared" ca="1" si="45"/>
        <v>1.6951997039868754E-4</v>
      </c>
      <c r="L63" s="45">
        <f t="shared" ca="1" si="45"/>
        <v>1.436088951478681E-5</v>
      </c>
      <c r="M63" s="45">
        <f t="shared" ca="1" si="45"/>
        <v>1.6535349540148292E-2</v>
      </c>
      <c r="N63" s="45">
        <f t="shared" ca="1" si="45"/>
        <v>4.7107051746478742E-3</v>
      </c>
      <c r="O63" s="45">
        <f t="shared" ca="1" si="45"/>
        <v>1.1135982857061034E-2</v>
      </c>
      <c r="P63" s="45">
        <f t="shared" ca="1" si="45"/>
        <v>2.4836322372371716E-4</v>
      </c>
      <c r="Q63" s="45">
        <f t="shared" ca="1" si="45"/>
        <v>1.5310952877935035E-2</v>
      </c>
      <c r="R63" s="45">
        <v>0</v>
      </c>
      <c r="S63" s="45">
        <v>0</v>
      </c>
      <c r="T63" s="129">
        <f t="shared" ca="1" si="39"/>
        <v>5.1405394125771026E-2</v>
      </c>
      <c r="V63" s="45">
        <f t="shared" ca="1" si="44"/>
        <v>6.9457582988140861E-3</v>
      </c>
      <c r="W63" s="45">
        <f t="shared" ca="1" si="44"/>
        <v>0</v>
      </c>
      <c r="X63" s="45">
        <f t="shared" ca="1" si="44"/>
        <v>5.1260470550644921E-4</v>
      </c>
      <c r="Y63" s="45">
        <f t="shared" ca="1" si="44"/>
        <v>1.902549675360896E-4</v>
      </c>
      <c r="Z63" s="45">
        <f t="shared" ca="1" si="44"/>
        <v>1.6117455436072256E-5</v>
      </c>
      <c r="AA63" s="45">
        <f t="shared" ca="1" si="44"/>
        <v>1.4780899059296134E-2</v>
      </c>
      <c r="AB63" s="45">
        <f t="shared" ca="1" si="44"/>
        <v>4.8627820607386003E-3</v>
      </c>
      <c r="AC63" s="45">
        <f t="shared" ca="1" si="44"/>
        <v>1.145159143789239E-2</v>
      </c>
      <c r="AD63" s="45">
        <f t="shared" ca="1" si="44"/>
        <v>2.5513165503048186E-4</v>
      </c>
      <c r="AE63" s="45">
        <f t="shared" ca="1" si="44"/>
        <v>1.5078042432746127E-2</v>
      </c>
      <c r="AF63" s="45">
        <v>0</v>
      </c>
      <c r="AG63" s="45">
        <v>0</v>
      </c>
      <c r="AH63" s="129">
        <f t="shared" ca="1" si="41"/>
        <v>5.4093182072996432E-2</v>
      </c>
    </row>
    <row r="64" spans="2:34" ht="12" customHeight="1" x14ac:dyDescent="0.25">
      <c r="B64" s="390"/>
      <c r="D64" s="62">
        <f t="shared" si="33"/>
        <v>52</v>
      </c>
      <c r="E64" s="63">
        <f t="shared" si="42"/>
        <v>13</v>
      </c>
      <c r="F64" s="63">
        <f t="shared" si="38"/>
        <v>83</v>
      </c>
      <c r="G64" s="44">
        <f>INDEX(rngU.GenPop, MATCH($F64, Parameters!$D$71:$D$78, 1))</f>
        <v>0.69850000000000001</v>
      </c>
      <c r="H64" s="45">
        <f t="shared" ca="1" si="45"/>
        <v>2.6179369876384402E-3</v>
      </c>
      <c r="I64" s="45">
        <f t="shared" ca="1" si="45"/>
        <v>0</v>
      </c>
      <c r="J64" s="45">
        <f t="shared" ca="1" si="45"/>
        <v>4.3453213369294008E-4</v>
      </c>
      <c r="K64" s="45">
        <f t="shared" ca="1" si="45"/>
        <v>1.612780688531895E-4</v>
      </c>
      <c r="L64" s="45">
        <f t="shared" ca="1" si="45"/>
        <v>1.3662676571448753E-5</v>
      </c>
      <c r="M64" s="45">
        <f t="shared" ca="1" si="45"/>
        <v>1.5799628591490391E-2</v>
      </c>
      <c r="N64" s="45">
        <f t="shared" ca="1" si="45"/>
        <v>4.4675437432921544E-3</v>
      </c>
      <c r="O64" s="45">
        <f t="shared" ca="1" si="45"/>
        <v>1.0690780213467135E-2</v>
      </c>
      <c r="P64" s="45">
        <f t="shared" ca="1" si="45"/>
        <v>2.3774719410460851E-4</v>
      </c>
      <c r="Q64" s="45">
        <f t="shared" ca="1" si="45"/>
        <v>1.5327120733167863E-2</v>
      </c>
      <c r="R64" s="45">
        <v>0</v>
      </c>
      <c r="S64" s="45">
        <v>0</v>
      </c>
      <c r="T64" s="129">
        <f t="shared" ca="1" si="39"/>
        <v>4.9750230342278171E-2</v>
      </c>
      <c r="V64" s="45">
        <f t="shared" ca="1" si="44"/>
        <v>6.4402566292804421E-3</v>
      </c>
      <c r="W64" s="45">
        <f t="shared" ca="1" si="44"/>
        <v>0</v>
      </c>
      <c r="X64" s="45">
        <f t="shared" ca="1" si="44"/>
        <v>4.8768234677427788E-4</v>
      </c>
      <c r="Y64" s="45">
        <f t="shared" ca="1" si="44"/>
        <v>1.8100494992880412E-4</v>
      </c>
      <c r="Z64" s="45">
        <f t="shared" ca="1" si="44"/>
        <v>1.5333839909502486E-5</v>
      </c>
      <c r="AA64" s="45">
        <f t="shared" ca="1" si="44"/>
        <v>1.4230071079661195E-2</v>
      </c>
      <c r="AB64" s="45">
        <f t="shared" ca="1" si="44"/>
        <v>4.6305907255825484E-3</v>
      </c>
      <c r="AC64" s="45">
        <f t="shared" ca="1" si="44"/>
        <v>1.1007619988631645E-2</v>
      </c>
      <c r="AD64" s="45">
        <f t="shared" ca="1" si="44"/>
        <v>2.4471177513178877E-4</v>
      </c>
      <c r="AE64" s="45">
        <f t="shared" ca="1" si="44"/>
        <v>1.5106490138206764E-2</v>
      </c>
      <c r="AF64" s="45">
        <v>0</v>
      </c>
      <c r="AG64" s="45">
        <v>0</v>
      </c>
      <c r="AH64" s="129">
        <f t="shared" ca="1" si="41"/>
        <v>5.2343761473106973E-2</v>
      </c>
    </row>
    <row r="65" spans="2:34" ht="12" customHeight="1" x14ac:dyDescent="0.25">
      <c r="B65" s="390"/>
      <c r="D65" s="62">
        <f t="shared" si="33"/>
        <v>53</v>
      </c>
      <c r="E65" s="63">
        <f t="shared" si="42"/>
        <v>13.25</v>
      </c>
      <c r="F65" s="63">
        <f t="shared" si="38"/>
        <v>83.25</v>
      </c>
      <c r="G65" s="44">
        <f>INDEX(rngU.GenPop, MATCH($F65, Parameters!$D$71:$D$78, 1))</f>
        <v>0.69850000000000001</v>
      </c>
      <c r="H65" s="45">
        <f t="shared" ca="1" si="45"/>
        <v>2.4274075362737046E-3</v>
      </c>
      <c r="I65" s="45">
        <f t="shared" ca="1" si="45"/>
        <v>0</v>
      </c>
      <c r="J65" s="45">
        <f t="shared" ca="1" si="45"/>
        <v>4.1340558998349098E-4</v>
      </c>
      <c r="K65" s="45">
        <f t="shared" ca="1" si="45"/>
        <v>1.5343688081021232E-4</v>
      </c>
      <c r="L65" s="45">
        <f t="shared" ca="1" si="45"/>
        <v>1.2998410084821674E-5</v>
      </c>
      <c r="M65" s="45">
        <f t="shared" ca="1" si="45"/>
        <v>1.5094713324135967E-2</v>
      </c>
      <c r="N65" s="45">
        <f t="shared" ca="1" si="45"/>
        <v>4.2375611154058766E-3</v>
      </c>
      <c r="O65" s="45">
        <f t="shared" ca="1" si="45"/>
        <v>1.0261961941042589E-2</v>
      </c>
      <c r="P65" s="45">
        <f t="shared" ca="1" si="45"/>
        <v>2.2757349749251627E-4</v>
      </c>
      <c r="Q65" s="45">
        <f t="shared" ca="1" si="45"/>
        <v>1.5330385848275879E-2</v>
      </c>
      <c r="R65" s="45">
        <v>0</v>
      </c>
      <c r="S65" s="45">
        <v>0</v>
      </c>
      <c r="T65" s="129">
        <f t="shared" ca="1" si="39"/>
        <v>4.8159444143505051E-2</v>
      </c>
      <c r="V65" s="45">
        <f t="shared" ca="1" si="44"/>
        <v>5.9715445983878294E-3</v>
      </c>
      <c r="W65" s="45">
        <f t="shared" ca="1" si="44"/>
        <v>0</v>
      </c>
      <c r="X65" s="45">
        <f t="shared" ca="1" si="44"/>
        <v>4.6397168968686885E-4</v>
      </c>
      <c r="Y65" s="45">
        <f t="shared" ca="1" si="44"/>
        <v>1.7220465947893895E-4</v>
      </c>
      <c r="Z65" s="45">
        <f t="shared" ca="1" si="44"/>
        <v>1.4588323032928481E-5</v>
      </c>
      <c r="AA65" s="45">
        <f t="shared" ca="1" si="44"/>
        <v>1.3693811215563463E-2</v>
      </c>
      <c r="AB65" s="45">
        <f t="shared" ca="1" si="44"/>
        <v>4.4092820160154681E-3</v>
      </c>
      <c r="AC65" s="45">
        <f t="shared" ca="1" si="44"/>
        <v>1.0579389185091938E-2</v>
      </c>
      <c r="AD65" s="45">
        <f t="shared" ca="1" si="44"/>
        <v>2.3469182504428222E-4</v>
      </c>
      <c r="AE65" s="45">
        <f t="shared" ca="1" si="44"/>
        <v>1.5122044454030481E-2</v>
      </c>
      <c r="AF65" s="45">
        <v>0</v>
      </c>
      <c r="AG65" s="45">
        <v>0</v>
      </c>
      <c r="AH65" s="129">
        <f t="shared" ca="1" si="41"/>
        <v>5.06615279663322E-2</v>
      </c>
    </row>
    <row r="66" spans="2:34" ht="12" customHeight="1" x14ac:dyDescent="0.25">
      <c r="B66" s="390"/>
      <c r="D66" s="62">
        <f t="shared" si="33"/>
        <v>54</v>
      </c>
      <c r="E66" s="63">
        <f t="shared" si="42"/>
        <v>13.5</v>
      </c>
      <c r="F66" s="63">
        <f t="shared" si="38"/>
        <v>83.5</v>
      </c>
      <c r="G66" s="44">
        <f>INDEX(rngU.GenPop, MATCH($F66, Parameters!$D$71:$D$78, 1))</f>
        <v>0.69850000000000001</v>
      </c>
      <c r="H66" s="45">
        <f t="shared" ca="1" si="45"/>
        <v>2.2507445270765068E-3</v>
      </c>
      <c r="I66" s="45">
        <f t="shared" ca="1" si="45"/>
        <v>0</v>
      </c>
      <c r="J66" s="45">
        <f t="shared" ca="1" si="45"/>
        <v>3.9330619896195488E-4</v>
      </c>
      <c r="K66" s="45">
        <f t="shared" ca="1" si="45"/>
        <v>1.4597692395609132E-4</v>
      </c>
      <c r="L66" s="45">
        <f t="shared" ca="1" si="45"/>
        <v>1.2366439610103269E-5</v>
      </c>
      <c r="M66" s="45">
        <f t="shared" ca="1" si="45"/>
        <v>1.4419467294768756E-2</v>
      </c>
      <c r="N66" s="45">
        <f t="shared" ca="1" si="45"/>
        <v>4.0199863322332068E-3</v>
      </c>
      <c r="O66" s="45">
        <f t="shared" ca="1" si="45"/>
        <v>9.8491244833380943E-3</v>
      </c>
      <c r="P66" s="45">
        <f t="shared" ca="1" si="45"/>
        <v>2.178258112478612E-4</v>
      </c>
      <c r="Q66" s="45">
        <f t="shared" ca="1" si="45"/>
        <v>1.5321508521548835E-2</v>
      </c>
      <c r="R66" s="45">
        <v>0</v>
      </c>
      <c r="S66" s="45">
        <v>0</v>
      </c>
      <c r="T66" s="129">
        <f t="shared" ca="1" si="39"/>
        <v>4.663030653274141E-2</v>
      </c>
      <c r="V66" s="45">
        <f t="shared" ca="1" si="44"/>
        <v>5.5369447124840746E-3</v>
      </c>
      <c r="W66" s="45">
        <f t="shared" ca="1" si="44"/>
        <v>0</v>
      </c>
      <c r="X66" s="45">
        <f t="shared" ca="1" si="44"/>
        <v>4.4141382244972875E-4</v>
      </c>
      <c r="Y66" s="45">
        <f t="shared" ca="1" si="44"/>
        <v>1.6383223087502021E-4</v>
      </c>
      <c r="Z66" s="45">
        <f t="shared" ca="1" si="44"/>
        <v>1.3879052485815125E-5</v>
      </c>
      <c r="AA66" s="45">
        <f t="shared" ca="1" si="44"/>
        <v>1.3172299994943404E-2</v>
      </c>
      <c r="AB66" s="45">
        <f t="shared" ca="1" si="44"/>
        <v>4.1983658311467373E-3</v>
      </c>
      <c r="AC66" s="45">
        <f t="shared" ca="1" si="44"/>
        <v>1.0166511595896086E-2</v>
      </c>
      <c r="AD66" s="45">
        <f t="shared" ca="1" si="44"/>
        <v>2.2505945478402904E-4</v>
      </c>
      <c r="AE66" s="45">
        <f t="shared" ca="1" si="44"/>
        <v>1.5125415147271486E-2</v>
      </c>
      <c r="AF66" s="45">
        <v>0</v>
      </c>
      <c r="AG66" s="45">
        <v>0</v>
      </c>
      <c r="AH66" s="129">
        <f t="shared" ca="1" si="41"/>
        <v>4.904372184233638E-2</v>
      </c>
    </row>
    <row r="67" spans="2:34" ht="12" customHeight="1" x14ac:dyDescent="0.25">
      <c r="B67" s="390"/>
      <c r="D67" s="62">
        <f t="shared" si="33"/>
        <v>55</v>
      </c>
      <c r="E67" s="63">
        <f t="shared" si="42"/>
        <v>13.75</v>
      </c>
      <c r="F67" s="63">
        <f t="shared" si="38"/>
        <v>83.75</v>
      </c>
      <c r="G67" s="44">
        <f>INDEX(rngU.GenPop, MATCH($F67, Parameters!$D$71:$D$78, 1))</f>
        <v>0.69850000000000001</v>
      </c>
      <c r="H67" s="45">
        <f t="shared" ca="1" si="45"/>
        <v>2.0869387815864652E-3</v>
      </c>
      <c r="I67" s="45">
        <f t="shared" ca="1" si="45"/>
        <v>0</v>
      </c>
      <c r="J67" s="45">
        <f t="shared" ca="1" si="45"/>
        <v>3.7418402143057201E-4</v>
      </c>
      <c r="K67" s="45">
        <f t="shared" ca="1" si="45"/>
        <v>1.3887966318893114E-4</v>
      </c>
      <c r="L67" s="45">
        <f t="shared" ca="1" si="45"/>
        <v>1.1765194945565463E-5</v>
      </c>
      <c r="M67" s="45">
        <f t="shared" ca="1" si="45"/>
        <v>1.3772783018020632E-2</v>
      </c>
      <c r="N67" s="45">
        <f t="shared" ca="1" si="45"/>
        <v>3.8140984183920178E-3</v>
      </c>
      <c r="O67" s="45">
        <f t="shared" ca="1" si="45"/>
        <v>9.4518513226293996E-3</v>
      </c>
      <c r="P67" s="45">
        <f t="shared" ca="1" si="45"/>
        <v>2.0848819778806406E-4</v>
      </c>
      <c r="Q67" s="45">
        <f t="shared" ca="1" si="45"/>
        <v>1.5301215820695265E-2</v>
      </c>
      <c r="R67" s="45">
        <v>0</v>
      </c>
      <c r="S67" s="45">
        <v>0</v>
      </c>
      <c r="T67" s="129">
        <f t="shared" ca="1" si="39"/>
        <v>4.516020443867691E-2</v>
      </c>
      <c r="V67" s="45">
        <f t="shared" ca="1" si="44"/>
        <v>5.1339743418113626E-3</v>
      </c>
      <c r="W67" s="45">
        <f t="shared" ca="1" si="44"/>
        <v>0</v>
      </c>
      <c r="X67" s="45">
        <f t="shared" ca="1" si="44"/>
        <v>4.199526975044121E-4</v>
      </c>
      <c r="Y67" s="45">
        <f t="shared" ca="1" si="44"/>
        <v>1.5586686187645611E-4</v>
      </c>
      <c r="Z67" s="45">
        <f t="shared" ca="1" si="44"/>
        <v>1.3204266005709807E-5</v>
      </c>
      <c r="AA67" s="45">
        <f t="shared" ca="1" si="44"/>
        <v>1.2665644481971904E-2</v>
      </c>
      <c r="AB67" s="45">
        <f t="shared" ca="1" si="44"/>
        <v>3.9973721543703836E-3</v>
      </c>
      <c r="AC67" s="45">
        <f t="shared" ca="1" si="44"/>
        <v>9.7685927035257736E-3</v>
      </c>
      <c r="AD67" s="45">
        <f t="shared" ca="1" si="44"/>
        <v>2.1580241375234767E-4</v>
      </c>
      <c r="AE67" s="45">
        <f t="shared" ca="1" si="44"/>
        <v>1.5117284392754116E-2</v>
      </c>
      <c r="AF67" s="45">
        <v>0</v>
      </c>
      <c r="AG67" s="45">
        <v>0</v>
      </c>
      <c r="AH67" s="129">
        <f t="shared" ca="1" si="41"/>
        <v>4.7487694313572464E-2</v>
      </c>
    </row>
    <row r="68" spans="2:34" ht="12" customHeight="1" x14ac:dyDescent="0.25">
      <c r="B68" s="390"/>
      <c r="D68" s="62">
        <f t="shared" si="33"/>
        <v>56</v>
      </c>
      <c r="E68" s="63">
        <f t="shared" si="42"/>
        <v>14</v>
      </c>
      <c r="F68" s="63">
        <f t="shared" si="38"/>
        <v>84</v>
      </c>
      <c r="G68" s="44">
        <f>INDEX(rngU.GenPop, MATCH($F68, Parameters!$D$71:$D$78, 1))</f>
        <v>0.69850000000000001</v>
      </c>
      <c r="H68" s="45">
        <f t="shared" ca="1" si="45"/>
        <v>1.9350545678085995E-3</v>
      </c>
      <c r="I68" s="45">
        <f t="shared" ca="1" si="45"/>
        <v>0</v>
      </c>
      <c r="J68" s="45">
        <f t="shared" ca="1" si="45"/>
        <v>3.5599154618841508E-4</v>
      </c>
      <c r="K68" s="45">
        <f t="shared" ca="1" si="45"/>
        <v>1.3212746456606051E-4</v>
      </c>
      <c r="L68" s="45">
        <f t="shared" ca="1" si="45"/>
        <v>1.1193182231211589E-5</v>
      </c>
      <c r="M68" s="45">
        <f t="shared" ca="1" si="45"/>
        <v>1.3153582472262918E-2</v>
      </c>
      <c r="N68" s="45">
        <f t="shared" ca="1" si="45"/>
        <v>3.6192227517996716E-3</v>
      </c>
      <c r="O68" s="45">
        <f t="shared" ca="1" si="45"/>
        <v>9.0697164114196885E-3</v>
      </c>
      <c r="P68" s="45">
        <f t="shared" ca="1" si="45"/>
        <v>1.9954511939576631E-4</v>
      </c>
      <c r="Q68" s="45">
        <f t="shared" ca="1" si="45"/>
        <v>1.527020264527657E-2</v>
      </c>
      <c r="R68" s="45">
        <v>0</v>
      </c>
      <c r="S68" s="45">
        <v>0</v>
      </c>
      <c r="T68" s="129">
        <f t="shared" ca="1" si="39"/>
        <v>4.3746636160948905E-2</v>
      </c>
      <c r="V68" s="45">
        <f t="shared" ca="1" si="44"/>
        <v>4.7603315386099262E-3</v>
      </c>
      <c r="W68" s="45">
        <f t="shared" ca="1" si="44"/>
        <v>0</v>
      </c>
      <c r="X68" s="45">
        <f t="shared" ca="1" si="44"/>
        <v>3.9953499227205874E-4</v>
      </c>
      <c r="Y68" s="45">
        <f t="shared" ca="1" si="44"/>
        <v>1.4828876162802996E-4</v>
      </c>
      <c r="Z68" s="45">
        <f t="shared" ca="1" si="44"/>
        <v>1.2562287009703158E-5</v>
      </c>
      <c r="AA68" s="45">
        <f t="shared" ca="1" si="44"/>
        <v>1.2173886556586671E-2</v>
      </c>
      <c r="AB68" s="45">
        <f t="shared" ca="1" si="44"/>
        <v>3.8058504362826857E-3</v>
      </c>
      <c r="AC68" s="45">
        <f t="shared" ca="1" si="44"/>
        <v>9.3852330278857473E-3</v>
      </c>
      <c r="AD68" s="45">
        <f t="shared" ca="1" si="44"/>
        <v>2.0690858161948592E-4</v>
      </c>
      <c r="AE68" s="45">
        <f t="shared" ca="1" si="44"/>
        <v>1.5098307393551577E-2</v>
      </c>
      <c r="AF68" s="45">
        <v>0</v>
      </c>
      <c r="AG68" s="45">
        <v>0</v>
      </c>
      <c r="AH68" s="129">
        <f t="shared" ca="1" si="41"/>
        <v>4.5990903575445885E-2</v>
      </c>
    </row>
    <row r="69" spans="2:34" ht="12" customHeight="1" x14ac:dyDescent="0.25">
      <c r="B69" s="390"/>
      <c r="D69" s="62">
        <f t="shared" si="33"/>
        <v>57</v>
      </c>
      <c r="E69" s="63">
        <f t="shared" si="42"/>
        <v>14.25</v>
      </c>
      <c r="F69" s="63">
        <f t="shared" si="38"/>
        <v>84.25</v>
      </c>
      <c r="G69" s="44">
        <f>INDEX(rngU.GenPop, MATCH($F69, Parameters!$D$71:$D$78, 1))</f>
        <v>0.69850000000000001</v>
      </c>
      <c r="H69" s="45">
        <f t="shared" ca="1" si="45"/>
        <v>1.7942242548918714E-3</v>
      </c>
      <c r="I69" s="45">
        <f t="shared" ca="1" si="45"/>
        <v>0</v>
      </c>
      <c r="J69" s="45">
        <f t="shared" ca="1" si="45"/>
        <v>3.3868357198446706E-4</v>
      </c>
      <c r="K69" s="45">
        <f t="shared" ca="1" si="45"/>
        <v>1.2570355149051776E-4</v>
      </c>
      <c r="L69" s="45">
        <f t="shared" ca="1" si="45"/>
        <v>1.0648980237113212E-5</v>
      </c>
      <c r="M69" s="45">
        <f t="shared" ca="1" si="45"/>
        <v>1.2560817441530469E-2</v>
      </c>
      <c r="N69" s="45">
        <f t="shared" ca="1" si="45"/>
        <v>3.4347277252753136E-3</v>
      </c>
      <c r="O69" s="45">
        <f t="shared" ca="1" si="45"/>
        <v>8.7022871913575231E-3</v>
      </c>
      <c r="P69" s="45">
        <f t="shared" ca="1" si="45"/>
        <v>1.9098144949307645E-4</v>
      </c>
      <c r="Q69" s="45">
        <f t="shared" ca="1" si="45"/>
        <v>1.5229132787381921E-2</v>
      </c>
      <c r="R69" s="45">
        <v>0</v>
      </c>
      <c r="S69" s="45">
        <v>0</v>
      </c>
      <c r="T69" s="129">
        <f t="shared" ca="1" si="39"/>
        <v>4.2387206953642273E-2</v>
      </c>
      <c r="V69" s="45">
        <f t="shared" ca="1" si="44"/>
        <v>4.4138818873584815E-3</v>
      </c>
      <c r="W69" s="45">
        <f t="shared" ca="1" si="44"/>
        <v>0</v>
      </c>
      <c r="X69" s="45">
        <f t="shared" ca="1" si="44"/>
        <v>3.8010997666744825E-4</v>
      </c>
      <c r="Y69" s="45">
        <f t="shared" ca="1" si="44"/>
        <v>1.4107910148729465E-4</v>
      </c>
      <c r="Z69" s="45">
        <f t="shared" ca="1" si="44"/>
        <v>1.1951520428770204E-5</v>
      </c>
      <c r="AA69" s="45">
        <f t="shared" ca="1" si="44"/>
        <v>1.1697010448859095E-2</v>
      </c>
      <c r="AB69" s="45">
        <f t="shared" ca="1" si="44"/>
        <v>3.6233689731019138E-3</v>
      </c>
      <c r="AC69" s="45">
        <f t="shared" ca="1" si="44"/>
        <v>9.0160300272640569E-3</v>
      </c>
      <c r="AD69" s="45">
        <f t="shared" ca="1" si="44"/>
        <v>1.9836599517676978E-4</v>
      </c>
      <c r="AE69" s="45">
        <f t="shared" ca="1" si="44"/>
        <v>1.5069113026845649E-2</v>
      </c>
      <c r="AF69" s="45">
        <v>0</v>
      </c>
      <c r="AG69" s="45">
        <v>0</v>
      </c>
      <c r="AH69" s="129">
        <f t="shared" ca="1" si="41"/>
        <v>4.455091095718948E-2</v>
      </c>
    </row>
    <row r="70" spans="2:34" ht="12" customHeight="1" x14ac:dyDescent="0.25">
      <c r="B70" s="390"/>
      <c r="D70" s="62">
        <f t="shared" si="33"/>
        <v>58</v>
      </c>
      <c r="E70" s="63">
        <f t="shared" si="42"/>
        <v>14.5</v>
      </c>
      <c r="F70" s="63">
        <f t="shared" si="38"/>
        <v>84.5</v>
      </c>
      <c r="G70" s="44">
        <f>INDEX(rngU.GenPop, MATCH($F70, Parameters!$D$71:$D$78, 1))</f>
        <v>0.69850000000000001</v>
      </c>
      <c r="H70" s="45">
        <f t="shared" ca="1" si="45"/>
        <v>1.66364335683205E-3</v>
      </c>
      <c r="I70" s="45">
        <f t="shared" ca="1" si="45"/>
        <v>0</v>
      </c>
      <c r="J70" s="45">
        <f t="shared" ca="1" si="45"/>
        <v>3.2221709521002814E-4</v>
      </c>
      <c r="K70" s="45">
        <f t="shared" ca="1" si="45"/>
        <v>1.1959196302770908E-4</v>
      </c>
      <c r="L70" s="45">
        <f t="shared" ca="1" si="45"/>
        <v>1.0131236832204498E-5</v>
      </c>
      <c r="M70" s="45">
        <f t="shared" ca="1" si="45"/>
        <v>1.1993469711681869E-2</v>
      </c>
      <c r="N70" s="45">
        <f t="shared" ca="1" si="45"/>
        <v>3.2600216745805252E-3</v>
      </c>
      <c r="O70" s="45">
        <f t="shared" ca="1" si="45"/>
        <v>8.349127241526243E-3</v>
      </c>
      <c r="P70" s="45">
        <f t="shared" ca="1" si="45"/>
        <v>1.8278248079418727E-4</v>
      </c>
      <c r="Q70" s="45">
        <f t="shared" ca="1" si="45"/>
        <v>1.5178639986378823E-2</v>
      </c>
      <c r="R70" s="45">
        <v>0</v>
      </c>
      <c r="S70" s="45">
        <v>0</v>
      </c>
      <c r="T70" s="129">
        <f t="shared" ca="1" si="39"/>
        <v>4.1079624746863636E-2</v>
      </c>
      <c r="V70" s="45">
        <f t="shared" ca="1" si="44"/>
        <v>4.0926463120340454E-3</v>
      </c>
      <c r="W70" s="45">
        <f t="shared" ca="1" si="44"/>
        <v>0</v>
      </c>
      <c r="X70" s="45">
        <f t="shared" ca="1" si="44"/>
        <v>3.6162938705439762E-4</v>
      </c>
      <c r="Y70" s="45">
        <f t="shared" ca="1" si="44"/>
        <v>1.3421996824269255E-4</v>
      </c>
      <c r="Z70" s="45">
        <f t="shared" ca="1" si="44"/>
        <v>1.137044874464198E-5</v>
      </c>
      <c r="AA70" s="45">
        <f t="shared" ca="1" si="44"/>
        <v>1.1234949589356809E-2</v>
      </c>
      <c r="AB70" s="45">
        <f t="shared" ca="1" si="44"/>
        <v>3.449514284120673E-3</v>
      </c>
      <c r="AC70" s="45">
        <f t="shared" ca="1" si="44"/>
        <v>8.6605797951899641E-3</v>
      </c>
      <c r="AD70" s="45">
        <f t="shared" ca="1" si="44"/>
        <v>1.9016287153004796E-4</v>
      </c>
      <c r="AE70" s="45">
        <f t="shared" ca="1" si="44"/>
        <v>1.5030304509917042E-2</v>
      </c>
      <c r="AF70" s="45">
        <v>0</v>
      </c>
      <c r="AG70" s="45">
        <v>0</v>
      </c>
      <c r="AH70" s="129">
        <f t="shared" ca="1" si="41"/>
        <v>4.3165377166190309E-2</v>
      </c>
    </row>
    <row r="71" spans="2:34" ht="12" customHeight="1" x14ac:dyDescent="0.25">
      <c r="B71" s="390"/>
      <c r="D71" s="62">
        <f t="shared" si="33"/>
        <v>59</v>
      </c>
      <c r="E71" s="63">
        <f t="shared" si="42"/>
        <v>14.75</v>
      </c>
      <c r="F71" s="63">
        <f t="shared" si="38"/>
        <v>84.75</v>
      </c>
      <c r="G71" s="44">
        <f>INDEX(rngU.GenPop, MATCH($F71, Parameters!$D$71:$D$78, 1))</f>
        <v>0.69850000000000001</v>
      </c>
      <c r="H71" s="45">
        <f t="shared" ca="1" si="45"/>
        <v>1.5425659368863052E-3</v>
      </c>
      <c r="I71" s="45">
        <f t="shared" ca="1" si="45"/>
        <v>0</v>
      </c>
      <c r="J71" s="45">
        <f t="shared" ca="1" si="45"/>
        <v>3.0655120305141332E-4</v>
      </c>
      <c r="K71" s="45">
        <f t="shared" ca="1" si="45"/>
        <v>1.1377751424867102E-4</v>
      </c>
      <c r="L71" s="45">
        <f t="shared" ca="1" si="45"/>
        <v>9.6386656247604979E-6</v>
      </c>
      <c r="M71" s="45">
        <f t="shared" ca="1" si="45"/>
        <v>1.1450551137281351E-2</v>
      </c>
      <c r="N71" s="45">
        <f t="shared" ca="1" si="45"/>
        <v>3.0945500499486552E-3</v>
      </c>
      <c r="O71" s="45">
        <f t="shared" ca="1" si="45"/>
        <v>8.0097985940439497E-3</v>
      </c>
      <c r="P71" s="45">
        <f t="shared" ca="1" si="45"/>
        <v>1.7493393070775368E-4</v>
      </c>
      <c r="Q71" s="45">
        <f t="shared" ca="1" si="45"/>
        <v>1.5119328974139779E-2</v>
      </c>
      <c r="R71" s="45">
        <v>0</v>
      </c>
      <c r="S71" s="45">
        <v>0</v>
      </c>
      <c r="T71" s="129">
        <f t="shared" ca="1" si="39"/>
        <v>3.982169600593264E-2</v>
      </c>
      <c r="V71" s="45">
        <f t="shared" ca="1" si="44"/>
        <v>3.794789770740757E-3</v>
      </c>
      <c r="W71" s="45">
        <f t="shared" ca="1" si="44"/>
        <v>0</v>
      </c>
      <c r="X71" s="45">
        <f t="shared" ca="1" si="44"/>
        <v>3.44047306329328E-4</v>
      </c>
      <c r="Y71" s="45">
        <f t="shared" ca="1" si="44"/>
        <v>1.2769431960616646E-4</v>
      </c>
      <c r="Z71" s="45">
        <f t="shared" ca="1" si="44"/>
        <v>1.0817628219360696E-5</v>
      </c>
      <c r="AA71" s="45">
        <f t="shared" ca="1" si="44"/>
        <v>1.078759283187866E-2</v>
      </c>
      <c r="AB71" s="45">
        <f t="shared" ca="1" si="44"/>
        <v>3.2838904912317218E-3</v>
      </c>
      <c r="AC71" s="45">
        <f t="shared" ca="1" si="44"/>
        <v>8.3184785703330367E-3</v>
      </c>
      <c r="AD71" s="45">
        <f t="shared" ca="1" si="44"/>
        <v>1.8228762797702788E-4</v>
      </c>
      <c r="AE71" s="45">
        <f t="shared" ca="1" si="44"/>
        <v>1.4982460081554504E-2</v>
      </c>
      <c r="AF71" s="45">
        <v>0</v>
      </c>
      <c r="AG71" s="45">
        <v>0</v>
      </c>
      <c r="AH71" s="129">
        <f t="shared" ca="1" si="41"/>
        <v>4.1832058627870559E-2</v>
      </c>
    </row>
    <row r="72" spans="2:34" ht="12" customHeight="1" x14ac:dyDescent="0.25">
      <c r="B72" s="390"/>
      <c r="D72" s="62">
        <f t="shared" si="33"/>
        <v>60</v>
      </c>
      <c r="E72" s="63">
        <f t="shared" si="42"/>
        <v>15</v>
      </c>
      <c r="F72" s="63">
        <f t="shared" si="38"/>
        <v>85</v>
      </c>
      <c r="G72" s="44">
        <f>INDEX(rngU.GenPop, MATCH($F72, Parameters!$D$71:$D$78, 1))</f>
        <v>0.64970000000000006</v>
      </c>
      <c r="H72" s="45">
        <f t="shared" ref="H72:Q81" ca="1" si="46">PRODUCT(AVERAGE(OFFSET(E.Trace.Markov.Root, $D72, (H$2-1)*E.Trace.Markov.NumCols+H$3-1, CHOOSE(swtchHalfCycle, 2, 1))) + N("halfcycle-adjusted state occupancy"),
$G72 + H$6 + N("age-adjusted state utility value"),
E.cycleLength)</f>
        <v>1.3002864504948358E-3</v>
      </c>
      <c r="I72" s="45">
        <f t="shared" ca="1" si="46"/>
        <v>0</v>
      </c>
      <c r="J72" s="45">
        <f t="shared" ca="1" si="46"/>
        <v>3.0098133819088049E-4</v>
      </c>
      <c r="K72" s="45">
        <f t="shared" ca="1" si="46"/>
        <v>1.1063651431097169E-4</v>
      </c>
      <c r="L72" s="45">
        <f t="shared" ca="1" si="46"/>
        <v>9.3661123734425771E-6</v>
      </c>
      <c r="M72" s="45">
        <f t="shared" ca="1" si="46"/>
        <v>9.9268277372985287E-3</v>
      </c>
      <c r="N72" s="45">
        <f t="shared" ca="1" si="46"/>
        <v>2.6530091462532226E-3</v>
      </c>
      <c r="O72" s="45">
        <f t="shared" ca="1" si="46"/>
        <v>6.858087350724529E-3</v>
      </c>
      <c r="P72" s="45">
        <f t="shared" ca="1" si="46"/>
        <v>1.5312089254143916E-4</v>
      </c>
      <c r="Q72" s="45">
        <f t="shared" ca="1" si="46"/>
        <v>1.3898145884890828E-2</v>
      </c>
      <c r="R72" s="45">
        <v>0</v>
      </c>
      <c r="S72" s="45">
        <v>0</v>
      </c>
      <c r="T72" s="129">
        <f t="shared" ca="1" si="39"/>
        <v>3.5210461427078676E-2</v>
      </c>
      <c r="V72" s="45">
        <f t="shared" ca="1" si="44"/>
        <v>3.1987700514965367E-3</v>
      </c>
      <c r="W72" s="45">
        <f t="shared" ca="1" si="44"/>
        <v>0</v>
      </c>
      <c r="X72" s="45">
        <f t="shared" ca="1" si="44"/>
        <v>3.3779615812697269E-4</v>
      </c>
      <c r="Y72" s="45">
        <f t="shared" ca="1" si="44"/>
        <v>1.2416912526020006E-4</v>
      </c>
      <c r="Z72" s="45">
        <f t="shared" ca="1" si="44"/>
        <v>1.0511737356712526E-5</v>
      </c>
      <c r="AA72" s="45">
        <f t="shared" ca="1" si="44"/>
        <v>9.4015993344760285E-3</v>
      </c>
      <c r="AB72" s="45">
        <f t="shared" ca="1" si="44"/>
        <v>2.8231540927611191E-3</v>
      </c>
      <c r="AC72" s="45">
        <f t="shared" ca="1" si="44"/>
        <v>7.1308202102136004E-3</v>
      </c>
      <c r="AD72" s="45">
        <f t="shared" ca="1" si="44"/>
        <v>1.5980369274714001E-4</v>
      </c>
      <c r="AE72" s="45">
        <f t="shared" ca="1" si="44"/>
        <v>1.3782101104238598E-2</v>
      </c>
      <c r="AF72" s="45">
        <v>0</v>
      </c>
      <c r="AG72" s="45">
        <v>0</v>
      </c>
      <c r="AH72" s="129">
        <f t="shared" ca="1" si="41"/>
        <v>3.696872550667691E-2</v>
      </c>
    </row>
    <row r="73" spans="2:34" ht="12" customHeight="1" x14ac:dyDescent="0.25">
      <c r="B73" s="390"/>
      <c r="D73" s="62">
        <f t="shared" si="33"/>
        <v>61</v>
      </c>
      <c r="E73" s="63">
        <f t="shared" si="42"/>
        <v>15.25</v>
      </c>
      <c r="F73" s="63">
        <f t="shared" si="38"/>
        <v>85.25</v>
      </c>
      <c r="G73" s="44">
        <f>INDEX(rngU.GenPop, MATCH($F73, Parameters!$D$71:$D$78, 1))</f>
        <v>0.64970000000000006</v>
      </c>
      <c r="H73" s="45">
        <f t="shared" ca="1" si="46"/>
        <v>1.1687205902883595E-3</v>
      </c>
      <c r="I73" s="45">
        <f t="shared" ca="1" si="46"/>
        <v>0</v>
      </c>
      <c r="J73" s="45">
        <f t="shared" ca="1" si="46"/>
        <v>3.1409304519795951E-4</v>
      </c>
      <c r="K73" s="45">
        <f t="shared" ca="1" si="46"/>
        <v>1.1545619372581299E-4</v>
      </c>
      <c r="L73" s="45">
        <f t="shared" ca="1" si="46"/>
        <v>9.7741300996381921E-6</v>
      </c>
      <c r="M73" s="45">
        <f t="shared" ca="1" si="46"/>
        <v>9.2037498760842561E-3</v>
      </c>
      <c r="N73" s="45">
        <f t="shared" ca="1" si="46"/>
        <v>2.4227553624289059E-3</v>
      </c>
      <c r="O73" s="45">
        <f t="shared" ca="1" si="46"/>
        <v>6.2566985969978867E-3</v>
      </c>
      <c r="P73" s="45">
        <f t="shared" ca="1" si="46"/>
        <v>1.4314897714432466E-4</v>
      </c>
      <c r="Q73" s="45">
        <f t="shared" ca="1" si="46"/>
        <v>1.3649918361568703E-2</v>
      </c>
      <c r="R73" s="45">
        <v>0</v>
      </c>
      <c r="S73" s="45">
        <v>0</v>
      </c>
      <c r="T73" s="129">
        <f t="shared" ca="1" si="39"/>
        <v>3.3284315133535844E-2</v>
      </c>
      <c r="V73" s="45">
        <f t="shared" ca="1" si="44"/>
        <v>2.8751114197637373E-3</v>
      </c>
      <c r="W73" s="45">
        <f t="shared" ca="1" si="44"/>
        <v>0</v>
      </c>
      <c r="X73" s="45">
        <f t="shared" ca="1" si="44"/>
        <v>3.5251163610344749E-4</v>
      </c>
      <c r="Y73" s="45">
        <f t="shared" ca="1" si="44"/>
        <v>1.2957832836735264E-4</v>
      </c>
      <c r="Z73" s="45">
        <f t="shared" ca="1" si="44"/>
        <v>1.0969662160904781E-5</v>
      </c>
      <c r="AA73" s="45">
        <f t="shared" ca="1" si="44"/>
        <v>8.766077681482411E-3</v>
      </c>
      <c r="AB73" s="45">
        <f t="shared" ca="1" si="44"/>
        <v>2.5855606201489419E-3</v>
      </c>
      <c r="AC73" s="45">
        <f t="shared" ca="1" si="44"/>
        <v>6.5134207324535794E-3</v>
      </c>
      <c r="AD73" s="45">
        <f t="shared" ca="1" si="44"/>
        <v>1.4962433562096131E-4</v>
      </c>
      <c r="AE73" s="45">
        <f t="shared" ca="1" si="44"/>
        <v>1.35454296566657E-2</v>
      </c>
      <c r="AF73" s="45">
        <v>0</v>
      </c>
      <c r="AG73" s="45">
        <v>0</v>
      </c>
      <c r="AH73" s="129">
        <f t="shared" ca="1" si="41"/>
        <v>3.4928284072767039E-2</v>
      </c>
    </row>
    <row r="74" spans="2:34" ht="12" customHeight="1" x14ac:dyDescent="0.25">
      <c r="B74" s="390"/>
      <c r="D74" s="62">
        <f t="shared" si="33"/>
        <v>62</v>
      </c>
      <c r="E74" s="63">
        <f t="shared" si="42"/>
        <v>15.5</v>
      </c>
      <c r="F74" s="63">
        <f t="shared" si="38"/>
        <v>85.5</v>
      </c>
      <c r="G74" s="44">
        <f>INDEX(rngU.GenPop, MATCH($F74, Parameters!$D$71:$D$78, 1))</f>
        <v>0.64970000000000006</v>
      </c>
      <c r="H74" s="45">
        <f t="shared" ca="1" si="46"/>
        <v>1.0504668549335132E-3</v>
      </c>
      <c r="I74" s="45">
        <f t="shared" ca="1" si="46"/>
        <v>0</v>
      </c>
      <c r="J74" s="45">
        <f t="shared" ca="1" si="46"/>
        <v>2.9018328134143643E-4</v>
      </c>
      <c r="K74" s="45">
        <f t="shared" ca="1" si="46"/>
        <v>1.0666730021173556E-4</v>
      </c>
      <c r="L74" s="45">
        <f t="shared" ca="1" si="46"/>
        <v>9.0300921587853671E-6</v>
      </c>
      <c r="M74" s="45">
        <f t="shared" ca="1" si="46"/>
        <v>8.5660907237745144E-3</v>
      </c>
      <c r="N74" s="45">
        <f t="shared" ca="1" si="46"/>
        <v>2.220265506162891E-3</v>
      </c>
      <c r="O74" s="45">
        <f t="shared" ca="1" si="46"/>
        <v>5.7120044187349067E-3</v>
      </c>
      <c r="P74" s="45">
        <f t="shared" ca="1" si="46"/>
        <v>1.3062511240890696E-4</v>
      </c>
      <c r="Q74" s="45">
        <f t="shared" ca="1" si="46"/>
        <v>1.3397503507583841E-2</v>
      </c>
      <c r="R74" s="45">
        <v>0</v>
      </c>
      <c r="S74" s="45">
        <v>0</v>
      </c>
      <c r="T74" s="129">
        <f t="shared" ca="1" si="39"/>
        <v>3.1482836797310537E-2</v>
      </c>
      <c r="V74" s="45">
        <f t="shared" ca="1" si="44"/>
        <v>2.5842012845495106E-3</v>
      </c>
      <c r="W74" s="45">
        <f t="shared" ca="1" si="44"/>
        <v>0</v>
      </c>
      <c r="X74" s="45">
        <f t="shared" ca="1" si="44"/>
        <v>3.2567732663760782E-4</v>
      </c>
      <c r="Y74" s="45">
        <f t="shared" ca="1" si="44"/>
        <v>1.1971441294625901E-4</v>
      </c>
      <c r="Z74" s="45">
        <f t="shared" ca="1" si="44"/>
        <v>1.0134616508468371E-5</v>
      </c>
      <c r="AA74" s="45">
        <f t="shared" ca="1" si="44"/>
        <v>8.2086147219839495E-3</v>
      </c>
      <c r="AB74" s="45">
        <f t="shared" ca="1" si="44"/>
        <v>2.3763177772110973E-3</v>
      </c>
      <c r="AC74" s="45">
        <f t="shared" ca="1" si="44"/>
        <v>5.9535626496058907E-3</v>
      </c>
      <c r="AD74" s="45">
        <f t="shared" ca="1" si="44"/>
        <v>1.367524035842413E-4</v>
      </c>
      <c r="AE74" s="45">
        <f t="shared" ca="1" si="44"/>
        <v>1.33039657183084E-2</v>
      </c>
      <c r="AF74" s="45">
        <v>0</v>
      </c>
      <c r="AG74" s="45">
        <v>0</v>
      </c>
      <c r="AH74" s="129">
        <f t="shared" ca="1" si="41"/>
        <v>3.301894091133542E-2</v>
      </c>
    </row>
    <row r="75" spans="2:34" ht="12" customHeight="1" x14ac:dyDescent="0.25">
      <c r="B75" s="390"/>
      <c r="D75" s="62">
        <f t="shared" si="33"/>
        <v>63</v>
      </c>
      <c r="E75" s="63">
        <f t="shared" si="42"/>
        <v>15.75</v>
      </c>
      <c r="F75" s="63">
        <f t="shared" si="38"/>
        <v>85.75</v>
      </c>
      <c r="G75" s="44">
        <f>INDEX(rngU.GenPop, MATCH($F75, Parameters!$D$71:$D$78, 1))</f>
        <v>0.64970000000000006</v>
      </c>
      <c r="H75" s="45">
        <f t="shared" ca="1" si="46"/>
        <v>9.4417829418205399E-4</v>
      </c>
      <c r="I75" s="45">
        <f t="shared" ca="1" si="46"/>
        <v>0</v>
      </c>
      <c r="J75" s="45">
        <f t="shared" ca="1" si="46"/>
        <v>2.6903564029854979E-4</v>
      </c>
      <c r="K75" s="45">
        <f t="shared" ca="1" si="46"/>
        <v>9.889372426530664E-5</v>
      </c>
      <c r="L75" s="45">
        <f t="shared" ca="1" si="46"/>
        <v>8.3720075624729973E-6</v>
      </c>
      <c r="M75" s="45">
        <f t="shared" ca="1" si="46"/>
        <v>7.970601824408537E-3</v>
      </c>
      <c r="N75" s="45">
        <f t="shared" ca="1" si="46"/>
        <v>2.0358484882174246E-3</v>
      </c>
      <c r="O75" s="45">
        <f t="shared" ca="1" si="46"/>
        <v>5.2189055490089818E-3</v>
      </c>
      <c r="P75" s="45">
        <f t="shared" ca="1" si="46"/>
        <v>1.1935524277762901E-4</v>
      </c>
      <c r="Q75" s="45">
        <f t="shared" ca="1" si="46"/>
        <v>1.3137991198031287E-2</v>
      </c>
      <c r="R75" s="45">
        <v>0</v>
      </c>
      <c r="S75" s="45">
        <v>0</v>
      </c>
      <c r="T75" s="129">
        <f t="shared" ca="1" si="39"/>
        <v>2.9803181968752243E-2</v>
      </c>
      <c r="V75" s="45">
        <f t="shared" ca="1" si="44"/>
        <v>2.3227260805134694E-3</v>
      </c>
      <c r="W75" s="45">
        <f t="shared" ca="1" si="44"/>
        <v>0</v>
      </c>
      <c r="X75" s="45">
        <f t="shared" ca="1" si="44"/>
        <v>3.0194299167626566E-4</v>
      </c>
      <c r="Y75" s="45">
        <f t="shared" ca="1" si="44"/>
        <v>1.1099000463112748E-4</v>
      </c>
      <c r="Z75" s="45">
        <f t="shared" ca="1" si="44"/>
        <v>9.3960376660290494E-6</v>
      </c>
      <c r="AA75" s="45">
        <f t="shared" ca="1" si="44"/>
        <v>7.6824738853954588E-3</v>
      </c>
      <c r="AB75" s="45">
        <f t="shared" ca="1" si="44"/>
        <v>2.1849280849295127E-3</v>
      </c>
      <c r="AC75" s="45">
        <f t="shared" ca="1" si="44"/>
        <v>5.4461601339768299E-3</v>
      </c>
      <c r="AD75" s="45">
        <f t="shared" ca="1" si="44"/>
        <v>1.2515527945795971E-4</v>
      </c>
      <c r="AE75" s="45">
        <f t="shared" ca="1" si="44"/>
        <v>1.3054650402401004E-2</v>
      </c>
      <c r="AF75" s="45">
        <v>0</v>
      </c>
      <c r="AG75" s="45">
        <v>0</v>
      </c>
      <c r="AH75" s="129">
        <f t="shared" ca="1" si="41"/>
        <v>3.1238422900647655E-2</v>
      </c>
    </row>
    <row r="76" spans="2:34" ht="12" customHeight="1" x14ac:dyDescent="0.25">
      <c r="B76" s="390"/>
      <c r="D76" s="62">
        <f t="shared" si="33"/>
        <v>64</v>
      </c>
      <c r="E76" s="63">
        <f t="shared" si="42"/>
        <v>16</v>
      </c>
      <c r="F76" s="63">
        <f t="shared" ref="F76:F92" si="47">E.cohortAge+E76</f>
        <v>86</v>
      </c>
      <c r="G76" s="44">
        <f>INDEX(rngU.GenPop, MATCH($F76, Parameters!$D$71:$D$78, 1))</f>
        <v>0.64970000000000006</v>
      </c>
      <c r="H76" s="45">
        <f t="shared" ca="1" si="46"/>
        <v>8.4864424519225502E-4</v>
      </c>
      <c r="I76" s="45">
        <f t="shared" ca="1" si="46"/>
        <v>0</v>
      </c>
      <c r="J76" s="45">
        <f t="shared" ca="1" si="46"/>
        <v>2.49402507882454E-4</v>
      </c>
      <c r="K76" s="45">
        <f t="shared" ca="1" si="46"/>
        <v>9.1676860427240288E-5</v>
      </c>
      <c r="L76" s="45">
        <f t="shared" ca="1" si="46"/>
        <v>7.7610523266529872E-6</v>
      </c>
      <c r="M76" s="45">
        <f t="shared" ca="1" si="46"/>
        <v>7.4155981765259725E-3</v>
      </c>
      <c r="N76" s="45">
        <f t="shared" ca="1" si="46"/>
        <v>1.8679152686514964E-3</v>
      </c>
      <c r="O76" s="45">
        <f t="shared" ca="1" si="46"/>
        <v>4.7722452682419231E-3</v>
      </c>
      <c r="P76" s="45">
        <f t="shared" ca="1" si="46"/>
        <v>1.0913948301740067E-4</v>
      </c>
      <c r="Q76" s="45">
        <f t="shared" ca="1" si="46"/>
        <v>1.2873095093800904E-2</v>
      </c>
      <c r="R76" s="45">
        <v>0</v>
      </c>
      <c r="S76" s="45">
        <v>0</v>
      </c>
      <c r="T76" s="129">
        <f t="shared" ref="T76:T92" ca="1" si="48">SUM(H76:S76)</f>
        <v>2.8235477956066297E-2</v>
      </c>
      <c r="V76" s="45">
        <f t="shared" ref="V76:AE91" ca="1" si="49">PRODUCT(AVERAGE(OFFSET(E.Trace.Markov.Root, $D76, (V$2-1)*E.Trace.Markov.NumCols+V$3-1, CHOOSE(swtchHalfCycle, 2, 1))) + N("halfcycle-adjusted state occupancy"),
$G76 + V$6 + N("age-adjusted state utility value"),
E.cycleLength)</f>
        <v>2.0877075161882959E-3</v>
      </c>
      <c r="W76" s="45">
        <f t="shared" ca="1" si="49"/>
        <v>0</v>
      </c>
      <c r="X76" s="45">
        <f t="shared" ca="1" si="49"/>
        <v>2.7990841391135012E-4</v>
      </c>
      <c r="Y76" s="45">
        <f t="shared" ca="1" si="49"/>
        <v>1.0289040319777138E-4</v>
      </c>
      <c r="Z76" s="45">
        <f t="shared" ca="1" si="49"/>
        <v>8.7103528568377424E-6</v>
      </c>
      <c r="AA76" s="45">
        <f t="shared" ca="1" si="49"/>
        <v>7.1873836129365716E-3</v>
      </c>
      <c r="AB76" s="45">
        <f t="shared" ca="1" si="49"/>
        <v>2.0099359964234928E-3</v>
      </c>
      <c r="AC76" s="45">
        <f t="shared" ca="1" si="49"/>
        <v>4.9859985875525953E-3</v>
      </c>
      <c r="AD76" s="45">
        <f t="shared" ca="1" si="49"/>
        <v>1.1462353255499403E-4</v>
      </c>
      <c r="AE76" s="45">
        <f t="shared" ca="1" si="49"/>
        <v>1.2799245521658108E-2</v>
      </c>
      <c r="AF76" s="45">
        <v>0</v>
      </c>
      <c r="AG76" s="45">
        <v>0</v>
      </c>
      <c r="AH76" s="129">
        <f t="shared" ca="1" si="41"/>
        <v>2.9576403937280019E-2</v>
      </c>
    </row>
    <row r="77" spans="2:34" ht="12" customHeight="1" x14ac:dyDescent="0.25">
      <c r="B77" s="390"/>
      <c r="D77" s="62">
        <f t="shared" si="33"/>
        <v>65</v>
      </c>
      <c r="E77" s="63">
        <f t="shared" ref="E77:E92" si="50">D77*E.cycleLength</f>
        <v>16.25</v>
      </c>
      <c r="F77" s="63">
        <f t="shared" si="47"/>
        <v>86.25</v>
      </c>
      <c r="G77" s="44">
        <f>INDEX(rngU.GenPop, MATCH($F77, Parameters!$D$71:$D$78, 1))</f>
        <v>0.64970000000000006</v>
      </c>
      <c r="H77" s="45">
        <f t="shared" ca="1" si="46"/>
        <v>7.6277654266755038E-4</v>
      </c>
      <c r="I77" s="45">
        <f t="shared" ca="1" si="46"/>
        <v>0</v>
      </c>
      <c r="J77" s="45">
        <f t="shared" ca="1" si="46"/>
        <v>2.3120287413784811E-4</v>
      </c>
      <c r="K77" s="45">
        <f t="shared" ca="1" si="46"/>
        <v>8.4986930575301891E-5</v>
      </c>
      <c r="L77" s="45">
        <f t="shared" ca="1" si="46"/>
        <v>7.1947055364098933E-6</v>
      </c>
      <c r="M77" s="45">
        <f t="shared" ca="1" si="46"/>
        <v>6.8983990708247171E-3</v>
      </c>
      <c r="N77" s="45">
        <f t="shared" ca="1" si="46"/>
        <v>1.7148497842705333E-3</v>
      </c>
      <c r="O77" s="45">
        <f t="shared" ca="1" si="46"/>
        <v>4.3674124507829763E-3</v>
      </c>
      <c r="P77" s="45">
        <f t="shared" ca="1" si="46"/>
        <v>9.9875109951082E-5</v>
      </c>
      <c r="Q77" s="45">
        <f t="shared" ca="1" si="46"/>
        <v>1.2604237657153934E-2</v>
      </c>
      <c r="R77" s="45">
        <v>0</v>
      </c>
      <c r="S77" s="45">
        <v>0</v>
      </c>
      <c r="T77" s="129">
        <f t="shared" ca="1" si="48"/>
        <v>2.6770935125900355E-2</v>
      </c>
      <c r="V77" s="45">
        <f t="shared" ca="1" si="49"/>
        <v>1.8764686502274065E-3</v>
      </c>
      <c r="W77" s="45">
        <f t="shared" ca="1" si="49"/>
        <v>0</v>
      </c>
      <c r="X77" s="45">
        <f t="shared" ca="1" si="49"/>
        <v>2.5948267457748145E-4</v>
      </c>
      <c r="Y77" s="45">
        <f t="shared" ca="1" si="49"/>
        <v>9.5382188184485169E-5</v>
      </c>
      <c r="Z77" s="45">
        <f t="shared" ca="1" si="49"/>
        <v>8.0747328178626606E-6</v>
      </c>
      <c r="AA77" s="45">
        <f t="shared" ca="1" si="49"/>
        <v>6.7217909778579119E-3</v>
      </c>
      <c r="AB77" s="45">
        <f t="shared" ca="1" si="49"/>
        <v>1.8498114064308122E-3</v>
      </c>
      <c r="AC77" s="45">
        <f t="shared" ca="1" si="49"/>
        <v>4.5684175264789559E-3</v>
      </c>
      <c r="AD77" s="45">
        <f t="shared" ca="1" si="49"/>
        <v>1.0505511888878093E-4</v>
      </c>
      <c r="AE77" s="45">
        <f t="shared" ca="1" si="49"/>
        <v>1.2539208827729383E-2</v>
      </c>
      <c r="AF77" s="45">
        <v>0</v>
      </c>
      <c r="AG77" s="45">
        <v>0</v>
      </c>
      <c r="AH77" s="129">
        <f t="shared" ca="1" si="41"/>
        <v>2.8023692103193082E-2</v>
      </c>
    </row>
    <row r="78" spans="2:34" ht="12" customHeight="1" x14ac:dyDescent="0.25">
      <c r="B78" s="390"/>
      <c r="D78" s="62">
        <f t="shared" ref="D78:D92" si="51">D77+1</f>
        <v>66</v>
      </c>
      <c r="E78" s="63">
        <f t="shared" si="50"/>
        <v>16.5</v>
      </c>
      <c r="F78" s="63">
        <f t="shared" si="47"/>
        <v>86.5</v>
      </c>
      <c r="G78" s="44">
        <f>INDEX(rngU.GenPop, MATCH($F78, Parameters!$D$71:$D$78, 1))</f>
        <v>0.64970000000000006</v>
      </c>
      <c r="H78" s="45">
        <f t="shared" ca="1" si="46"/>
        <v>6.855971242838648E-4</v>
      </c>
      <c r="I78" s="45">
        <f t="shared" ca="1" si="46"/>
        <v>0</v>
      </c>
      <c r="J78" s="45">
        <f t="shared" ca="1" si="46"/>
        <v>2.1433129992161264E-4</v>
      </c>
      <c r="K78" s="45">
        <f t="shared" ca="1" si="46"/>
        <v>7.8785176760786779E-5</v>
      </c>
      <c r="L78" s="45">
        <f t="shared" ca="1" si="46"/>
        <v>6.6696860751503986E-6</v>
      </c>
      <c r="M78" s="45">
        <f t="shared" ca="1" si="46"/>
        <v>6.4165193145225554E-3</v>
      </c>
      <c r="N78" s="45">
        <f t="shared" ca="1" si="46"/>
        <v>1.5752147041201516E-3</v>
      </c>
      <c r="O78" s="45">
        <f t="shared" ca="1" si="46"/>
        <v>4.0002679871331947E-3</v>
      </c>
      <c r="P78" s="45">
        <f t="shared" ca="1" si="46"/>
        <v>9.1467906103341254E-5</v>
      </c>
      <c r="Q78" s="45">
        <f t="shared" ca="1" si="46"/>
        <v>1.2332674913150106E-2</v>
      </c>
      <c r="R78" s="45">
        <v>0</v>
      </c>
      <c r="S78" s="45">
        <v>0</v>
      </c>
      <c r="T78" s="129">
        <f t="shared" ca="1" si="48"/>
        <v>2.5401528112070762E-2</v>
      </c>
      <c r="V78" s="45">
        <f t="shared" ca="1" si="49"/>
        <v>1.6866034001329353E-3</v>
      </c>
      <c r="W78" s="45">
        <f t="shared" ca="1" si="49"/>
        <v>0</v>
      </c>
      <c r="X78" s="45">
        <f t="shared" ca="1" si="49"/>
        <v>2.405474376420138E-4</v>
      </c>
      <c r="Y78" s="45">
        <f t="shared" ca="1" si="49"/>
        <v>8.8421860927039348E-5</v>
      </c>
      <c r="Z78" s="45">
        <f t="shared" ca="1" si="49"/>
        <v>7.4854950995996213E-6</v>
      </c>
      <c r="AA78" s="45">
        <f t="shared" ca="1" si="49"/>
        <v>6.2842151961939657E-3</v>
      </c>
      <c r="AB78" s="45">
        <f t="shared" ca="1" si="49"/>
        <v>1.7031865408054586E-3</v>
      </c>
      <c r="AC78" s="45">
        <f t="shared" ca="1" si="49"/>
        <v>4.1892335724693017E-3</v>
      </c>
      <c r="AD78" s="45">
        <f t="shared" ca="1" si="49"/>
        <v>9.6356062600835415E-5</v>
      </c>
      <c r="AE78" s="45">
        <f t="shared" ca="1" si="49"/>
        <v>1.2275831350693938E-2</v>
      </c>
      <c r="AF78" s="45">
        <v>0</v>
      </c>
      <c r="AG78" s="45">
        <v>0</v>
      </c>
      <c r="AH78" s="129">
        <f t="shared" ca="1" si="41"/>
        <v>2.6571880916565087E-2</v>
      </c>
    </row>
    <row r="79" spans="2:34" ht="12" customHeight="1" x14ac:dyDescent="0.25">
      <c r="B79" s="390"/>
      <c r="D79" s="62">
        <f t="shared" si="51"/>
        <v>67</v>
      </c>
      <c r="E79" s="63">
        <f t="shared" si="50"/>
        <v>16.75</v>
      </c>
      <c r="F79" s="63">
        <f t="shared" si="47"/>
        <v>86.75</v>
      </c>
      <c r="G79" s="44">
        <f>INDEX(rngU.GenPop, MATCH($F79, Parameters!$D$71:$D$78, 1))</f>
        <v>0.64970000000000006</v>
      </c>
      <c r="H79" s="45">
        <f t="shared" ca="1" si="46"/>
        <v>6.162268902272335E-4</v>
      </c>
      <c r="I79" s="45">
        <f t="shared" ca="1" si="46"/>
        <v>0</v>
      </c>
      <c r="J79" s="45">
        <f t="shared" ca="1" si="46"/>
        <v>1.986908961913422E-4</v>
      </c>
      <c r="K79" s="45">
        <f t="shared" ca="1" si="46"/>
        <v>7.3035983931974153E-5</v>
      </c>
      <c r="L79" s="45">
        <f t="shared" ca="1" si="46"/>
        <v>6.1829788932891079E-6</v>
      </c>
      <c r="M79" s="45">
        <f t="shared" ca="1" si="46"/>
        <v>5.9676266135235351E-3</v>
      </c>
      <c r="N79" s="45">
        <f t="shared" ca="1" si="46"/>
        <v>1.447724979736406E-3</v>
      </c>
      <c r="O79" s="45">
        <f t="shared" ca="1" si="46"/>
        <v>3.6670961680646463E-3</v>
      </c>
      <c r="P79" s="45">
        <f t="shared" ca="1" si="46"/>
        <v>8.383345961457613E-5</v>
      </c>
      <c r="Q79" s="45">
        <f t="shared" ca="1" si="46"/>
        <v>1.2059511738525961E-2</v>
      </c>
      <c r="R79" s="45">
        <v>0</v>
      </c>
      <c r="S79" s="45">
        <v>0</v>
      </c>
      <c r="T79" s="129">
        <f t="shared" ca="1" si="48"/>
        <v>2.4119929708708965E-2</v>
      </c>
      <c r="V79" s="45">
        <f t="shared" ca="1" si="49"/>
        <v>1.5159491361580921E-3</v>
      </c>
      <c r="W79" s="45">
        <f t="shared" ca="1" si="49"/>
        <v>0</v>
      </c>
      <c r="X79" s="45">
        <f t="shared" ca="1" si="49"/>
        <v>2.2299396298675292E-4</v>
      </c>
      <c r="Y79" s="45">
        <f t="shared" ca="1" si="49"/>
        <v>8.1969450084635524E-5</v>
      </c>
      <c r="Z79" s="45">
        <f t="shared" ca="1" si="49"/>
        <v>6.9392558637926385E-6</v>
      </c>
      <c r="AA79" s="45">
        <f t="shared" ca="1" si="49"/>
        <v>5.8732146990673698E-3</v>
      </c>
      <c r="AB79" s="45">
        <f t="shared" ca="1" si="49"/>
        <v>1.5688314334099851E-3</v>
      </c>
      <c r="AC79" s="45">
        <f t="shared" ca="1" si="49"/>
        <v>3.8446909832136897E-3</v>
      </c>
      <c r="AD79" s="45">
        <f t="shared" ca="1" si="49"/>
        <v>8.8442077273558257E-5</v>
      </c>
      <c r="AE79" s="45">
        <f t="shared" ca="1" si="49"/>
        <v>1.2010252175514519E-2</v>
      </c>
      <c r="AF79" s="45">
        <v>0</v>
      </c>
      <c r="AG79" s="45">
        <v>0</v>
      </c>
      <c r="AH79" s="129">
        <f t="shared" ca="1" si="41"/>
        <v>2.5213283173572396E-2</v>
      </c>
    </row>
    <row r="80" spans="2:34" ht="12" customHeight="1" x14ac:dyDescent="0.25">
      <c r="B80" s="390"/>
      <c r="D80" s="62">
        <f t="shared" si="51"/>
        <v>68</v>
      </c>
      <c r="E80" s="63">
        <f t="shared" si="50"/>
        <v>17</v>
      </c>
      <c r="F80" s="63">
        <f t="shared" si="47"/>
        <v>87</v>
      </c>
      <c r="G80" s="44">
        <f>INDEX(rngU.GenPop, MATCH($F80, Parameters!$D$71:$D$78, 1))</f>
        <v>0.64970000000000006</v>
      </c>
      <c r="H80" s="45">
        <f t="shared" ca="1" si="46"/>
        <v>5.5387568994805334E-4</v>
      </c>
      <c r="I80" s="45">
        <f t="shared" ca="1" si="46"/>
        <v>0</v>
      </c>
      <c r="J80" s="45">
        <f t="shared" ca="1" si="46"/>
        <v>1.8419182004746125E-4</v>
      </c>
      <c r="K80" s="45">
        <f t="shared" ca="1" si="46"/>
        <v>6.7706327100323598E-5</v>
      </c>
      <c r="L80" s="45">
        <f t="shared" ca="1" si="46"/>
        <v>5.7317882072121996E-6</v>
      </c>
      <c r="M80" s="45">
        <f t="shared" ca="1" si="46"/>
        <v>5.5495340939468851E-3</v>
      </c>
      <c r="N80" s="45">
        <f t="shared" ca="1" si="46"/>
        <v>1.3312304854637834E-3</v>
      </c>
      <c r="O80" s="45">
        <f t="shared" ca="1" si="46"/>
        <v>3.3645606390660453E-3</v>
      </c>
      <c r="P80" s="45">
        <f t="shared" ca="1" si="46"/>
        <v>7.6896056946425701E-5</v>
      </c>
      <c r="Q80" s="45">
        <f t="shared" ca="1" si="46"/>
        <v>1.1785718225307638E-2</v>
      </c>
      <c r="R80" s="45">
        <v>0</v>
      </c>
      <c r="S80" s="45">
        <v>0</v>
      </c>
      <c r="T80" s="129">
        <f t="shared" ca="1" si="48"/>
        <v>2.2919445126033826E-2</v>
      </c>
      <c r="V80" s="45">
        <f t="shared" ca="1" si="49"/>
        <v>1.3625620482191209E-3</v>
      </c>
      <c r="W80" s="45">
        <f t="shared" ca="1" si="49"/>
        <v>0</v>
      </c>
      <c r="X80" s="45">
        <f t="shared" ca="1" si="49"/>
        <v>2.0672141849202642E-4</v>
      </c>
      <c r="Y80" s="45">
        <f t="shared" ca="1" si="49"/>
        <v>7.5987891185708145E-5</v>
      </c>
      <c r="Z80" s="45">
        <f t="shared" ca="1" si="49"/>
        <v>6.432877357884093E-6</v>
      </c>
      <c r="AA80" s="45">
        <f t="shared" ca="1" si="49"/>
        <v>5.4873921345440797E-3</v>
      </c>
      <c r="AB80" s="45">
        <f t="shared" ca="1" si="49"/>
        <v>1.4456389085729603E-3</v>
      </c>
      <c r="AC80" s="45">
        <f t="shared" ca="1" si="49"/>
        <v>3.5314168670570493E-3</v>
      </c>
      <c r="AD80" s="45">
        <f t="shared" ca="1" si="49"/>
        <v>8.1237468140652025E-5</v>
      </c>
      <c r="AE80" s="45">
        <f t="shared" ca="1" si="49"/>
        <v>1.17434746919516E-2</v>
      </c>
      <c r="AF80" s="45">
        <v>0</v>
      </c>
      <c r="AG80" s="45">
        <v>0</v>
      </c>
      <c r="AH80" s="129">
        <f t="shared" ca="1" si="41"/>
        <v>2.3940864305521083E-2</v>
      </c>
    </row>
    <row r="81" spans="2:34" ht="12" customHeight="1" x14ac:dyDescent="0.25">
      <c r="B81" s="390"/>
      <c r="D81" s="62">
        <f t="shared" si="51"/>
        <v>69</v>
      </c>
      <c r="E81" s="63">
        <f t="shared" si="50"/>
        <v>17.25</v>
      </c>
      <c r="F81" s="63">
        <f t="shared" si="47"/>
        <v>87.25</v>
      </c>
      <c r="G81" s="44">
        <f>INDEX(rngU.GenPop, MATCH($F81, Parameters!$D$71:$D$78, 1))</f>
        <v>0.64970000000000006</v>
      </c>
      <c r="H81" s="45">
        <f t="shared" ca="1" si="46"/>
        <v>4.9783332207769724E-4</v>
      </c>
      <c r="I81" s="45">
        <f t="shared" ca="1" si="46"/>
        <v>0</v>
      </c>
      <c r="J81" s="45">
        <f t="shared" ca="1" si="46"/>
        <v>1.7075078537981506E-4</v>
      </c>
      <c r="K81" s="45">
        <f t="shared" ca="1" si="46"/>
        <v>6.2765591461032155E-5</v>
      </c>
      <c r="L81" s="45">
        <f t="shared" ca="1" si="46"/>
        <v>5.3135222712933648E-6</v>
      </c>
      <c r="M81" s="45">
        <f t="shared" ca="1" si="46"/>
        <v>5.1601921745284083E-3</v>
      </c>
      <c r="N81" s="45">
        <f t="shared" ca="1" si="46"/>
        <v>1.2247006173825585E-3</v>
      </c>
      <c r="O81" s="45">
        <f t="shared" ca="1" si="46"/>
        <v>3.089664959198447E-3</v>
      </c>
      <c r="P81" s="45">
        <f t="shared" ca="1" si="46"/>
        <v>7.0587759632634011E-5</v>
      </c>
      <c r="Q81" s="45">
        <f t="shared" ca="1" si="46"/>
        <v>1.1512144218406335E-2</v>
      </c>
      <c r="R81" s="45">
        <v>0</v>
      </c>
      <c r="S81" s="45">
        <v>0</v>
      </c>
      <c r="T81" s="129">
        <f t="shared" ca="1" si="48"/>
        <v>2.179395295033822E-2</v>
      </c>
      <c r="V81" s="45">
        <f t="shared" ca="1" si="49"/>
        <v>1.2246950052376107E-3</v>
      </c>
      <c r="W81" s="45">
        <f t="shared" ca="1" si="49"/>
        <v>0</v>
      </c>
      <c r="X81" s="45">
        <f t="shared" ca="1" si="49"/>
        <v>1.9163633082754507E-4</v>
      </c>
      <c r="Y81" s="45">
        <f t="shared" ca="1" si="49"/>
        <v>7.0442824746355643E-5</v>
      </c>
      <c r="Z81" s="45">
        <f t="shared" ca="1" si="49"/>
        <v>5.9634508244052604E-6</v>
      </c>
      <c r="AA81" s="45">
        <f t="shared" ca="1" si="49"/>
        <v>5.1253972856202725E-3</v>
      </c>
      <c r="AB81" s="45">
        <f t="shared" ca="1" si="49"/>
        <v>1.3326111593049814E-3</v>
      </c>
      <c r="AC81" s="45">
        <f t="shared" ca="1" si="49"/>
        <v>3.2463811510640363E-3</v>
      </c>
      <c r="AD81" s="45">
        <f t="shared" ca="1" si="49"/>
        <v>7.4674225218021665E-5</v>
      </c>
      <c r="AE81" s="45">
        <f t="shared" ca="1" si="49"/>
        <v>1.1476381033305191E-2</v>
      </c>
      <c r="AF81" s="45">
        <v>0</v>
      </c>
      <c r="AG81" s="45">
        <v>0</v>
      </c>
      <c r="AH81" s="129">
        <f t="shared" ca="1" si="41"/>
        <v>2.2748182466148417E-2</v>
      </c>
    </row>
    <row r="82" spans="2:34" ht="12" customHeight="1" x14ac:dyDescent="0.25">
      <c r="B82" s="390"/>
      <c r="D82" s="62">
        <f t="shared" si="51"/>
        <v>70</v>
      </c>
      <c r="E82" s="63">
        <f t="shared" si="50"/>
        <v>17.5</v>
      </c>
      <c r="F82" s="63">
        <f t="shared" si="47"/>
        <v>87.5</v>
      </c>
      <c r="G82" s="44">
        <f>INDEX(rngU.GenPop, MATCH($F82, Parameters!$D$71:$D$78, 1))</f>
        <v>0.64970000000000006</v>
      </c>
      <c r="H82" s="45">
        <f t="shared" ref="H82:Q92" ca="1" si="52">PRODUCT(AVERAGE(OFFSET(E.Trace.Markov.Root, $D82, (H$2-1)*E.Trace.Markov.NumCols+H$3-1, CHOOSE(swtchHalfCycle, 2, 1))) + N("halfcycle-adjusted state occupancy"),
$G82 + H$6 + N("age-adjusted state utility value"),
E.cycleLength)</f>
        <v>4.4746144499347915E-4</v>
      </c>
      <c r="I82" s="45">
        <f t="shared" ca="1" si="52"/>
        <v>0</v>
      </c>
      <c r="J82" s="45">
        <f t="shared" ca="1" si="52"/>
        <v>1.582905836986057E-4</v>
      </c>
      <c r="K82" s="45">
        <f t="shared" ca="1" si="52"/>
        <v>5.8185396257213782E-5</v>
      </c>
      <c r="L82" s="45">
        <f t="shared" ca="1" si="52"/>
        <v>4.9257784668321319E-6</v>
      </c>
      <c r="M82" s="45">
        <f t="shared" ca="1" si="52"/>
        <v>4.797680803970074E-3</v>
      </c>
      <c r="N82" s="45">
        <f t="shared" ca="1" si="52"/>
        <v>1.1272107698025978E-3</v>
      </c>
      <c r="O82" s="45">
        <f t="shared" ca="1" si="52"/>
        <v>2.8397172760265899E-3</v>
      </c>
      <c r="P82" s="45">
        <f t="shared" ca="1" si="52"/>
        <v>6.4847579285901987E-5</v>
      </c>
      <c r="Q82" s="45">
        <f t="shared" ca="1" si="52"/>
        <v>1.1239532303007959E-2</v>
      </c>
      <c r="R82" s="45">
        <v>0</v>
      </c>
      <c r="S82" s="45">
        <v>0</v>
      </c>
      <c r="T82" s="129">
        <f t="shared" ca="1" si="48"/>
        <v>2.0737851935509255E-2</v>
      </c>
      <c r="V82" s="45">
        <f t="shared" ca="1" si="49"/>
        <v>1.1007776547235432E-3</v>
      </c>
      <c r="W82" s="45">
        <f t="shared" ca="1" si="49"/>
        <v>0</v>
      </c>
      <c r="X82" s="45">
        <f t="shared" ca="1" si="49"/>
        <v>1.7765204767331694E-4</v>
      </c>
      <c r="Y82" s="45">
        <f t="shared" ca="1" si="49"/>
        <v>6.5302398590298645E-5</v>
      </c>
      <c r="Z82" s="45">
        <f t="shared" ca="1" si="49"/>
        <v>5.5282797660538795E-6</v>
      </c>
      <c r="AA82" s="45">
        <f t="shared" ca="1" si="49"/>
        <v>4.7859291795908834E-3</v>
      </c>
      <c r="AB82" s="45">
        <f t="shared" ca="1" si="49"/>
        <v>1.2288479115870918E-3</v>
      </c>
      <c r="AC82" s="45">
        <f t="shared" ca="1" si="49"/>
        <v>2.9868607846261024E-3</v>
      </c>
      <c r="AD82" s="45">
        <f t="shared" ca="1" si="49"/>
        <v>6.8691212709450012E-5</v>
      </c>
      <c r="AE82" s="45">
        <f t="shared" ca="1" si="49"/>
        <v>1.1209744987525597E-2</v>
      </c>
      <c r="AF82" s="45">
        <v>0</v>
      </c>
      <c r="AG82" s="45">
        <v>0</v>
      </c>
      <c r="AH82" s="129">
        <f t="shared" ca="1" si="41"/>
        <v>2.1629334456792337E-2</v>
      </c>
    </row>
    <row r="83" spans="2:34" ht="12" customHeight="1" x14ac:dyDescent="0.25">
      <c r="B83" s="390"/>
      <c r="D83" s="62">
        <f t="shared" si="51"/>
        <v>71</v>
      </c>
      <c r="E83" s="63">
        <f t="shared" si="50"/>
        <v>17.75</v>
      </c>
      <c r="F83" s="63">
        <f t="shared" si="47"/>
        <v>87.75</v>
      </c>
      <c r="G83" s="44">
        <f>INDEX(rngU.GenPop, MATCH($F83, Parameters!$D$71:$D$78, 1))</f>
        <v>0.64970000000000006</v>
      </c>
      <c r="H83" s="45">
        <f t="shared" ca="1" si="52"/>
        <v>4.0218630589055596E-4</v>
      </c>
      <c r="I83" s="45">
        <f t="shared" ca="1" si="52"/>
        <v>0</v>
      </c>
      <c r="J83" s="45">
        <f t="shared" ca="1" si="52"/>
        <v>1.4673964065179223E-4</v>
      </c>
      <c r="K83" s="45">
        <f t="shared" ca="1" si="52"/>
        <v>5.3939431761921632E-5</v>
      </c>
      <c r="L83" s="45">
        <f t="shared" ca="1" si="52"/>
        <v>4.5663295015043268E-6</v>
      </c>
      <c r="M83" s="45">
        <f t="shared" ca="1" si="52"/>
        <v>4.4602020358312806E-3</v>
      </c>
      <c r="N83" s="45">
        <f t="shared" ca="1" si="52"/>
        <v>1.0379304462549361E-3</v>
      </c>
      <c r="O83" s="45">
        <f t="shared" ca="1" si="52"/>
        <v>2.6122986917704416E-3</v>
      </c>
      <c r="P83" s="45">
        <f t="shared" ca="1" si="52"/>
        <v>5.9620741973660878E-5</v>
      </c>
      <c r="Q83" s="45">
        <f t="shared" ca="1" si="52"/>
        <v>1.0968529406830999E-2</v>
      </c>
      <c r="R83" s="45">
        <v>0</v>
      </c>
      <c r="S83" s="45">
        <v>0</v>
      </c>
      <c r="T83" s="129">
        <f t="shared" ca="1" si="48"/>
        <v>1.9746013030467094E-2</v>
      </c>
      <c r="V83" s="45">
        <f t="shared" ca="1" si="49"/>
        <v>9.89398535926561E-4</v>
      </c>
      <c r="W83" s="45">
        <f t="shared" ca="1" si="49"/>
        <v>0</v>
      </c>
      <c r="X83" s="45">
        <f t="shared" ca="1" si="49"/>
        <v>1.6468823999204958E-4</v>
      </c>
      <c r="Y83" s="45">
        <f t="shared" ca="1" si="49"/>
        <v>6.0537084891202751E-5</v>
      </c>
      <c r="Z83" s="45">
        <f t="shared" ca="1" si="49"/>
        <v>5.1248644571172048E-6</v>
      </c>
      <c r="AA83" s="45">
        <f t="shared" ca="1" si="49"/>
        <v>4.4677374813017158E-3</v>
      </c>
      <c r="AB83" s="45">
        <f t="shared" ca="1" si="49"/>
        <v>1.1335359722376523E-3</v>
      </c>
      <c r="AC83" s="45">
        <f t="shared" ca="1" si="49"/>
        <v>2.7504077310282283E-3</v>
      </c>
      <c r="AD83" s="45">
        <f t="shared" ca="1" si="49"/>
        <v>6.3233446186152311E-5</v>
      </c>
      <c r="AE83" s="45">
        <f t="shared" ca="1" si="49"/>
        <v>1.094424354270758E-2</v>
      </c>
      <c r="AF83" s="45">
        <v>0</v>
      </c>
      <c r="AG83" s="45">
        <v>0</v>
      </c>
      <c r="AH83" s="129">
        <f t="shared" ca="1" si="41"/>
        <v>2.0578906898728259E-2</v>
      </c>
    </row>
    <row r="84" spans="2:34" ht="12" customHeight="1" x14ac:dyDescent="0.25">
      <c r="B84" s="390"/>
      <c r="D84" s="62">
        <f t="shared" si="51"/>
        <v>72</v>
      </c>
      <c r="E84" s="63">
        <f t="shared" si="50"/>
        <v>18</v>
      </c>
      <c r="F84" s="63">
        <f t="shared" si="47"/>
        <v>88</v>
      </c>
      <c r="G84" s="44">
        <f>INDEX(rngU.GenPop, MATCH($F84, Parameters!$D$71:$D$78, 1))</f>
        <v>0.64970000000000006</v>
      </c>
      <c r="H84" s="45">
        <f t="shared" ca="1" si="52"/>
        <v>3.6149220554242183E-4</v>
      </c>
      <c r="I84" s="45">
        <f t="shared" ca="1" si="52"/>
        <v>0</v>
      </c>
      <c r="J84" s="45">
        <f t="shared" ca="1" si="52"/>
        <v>1.3603160488444632E-4</v>
      </c>
      <c r="K84" s="45">
        <f t="shared" ca="1" si="52"/>
        <v>5.0003308148619626E-5</v>
      </c>
      <c r="L84" s="45">
        <f t="shared" ca="1" si="52"/>
        <v>4.2331106152483317E-6</v>
      </c>
      <c r="M84" s="45">
        <f t="shared" ca="1" si="52"/>
        <v>4.1460729401663126E-3</v>
      </c>
      <c r="N84" s="45">
        <f t="shared" ca="1" si="52"/>
        <v>9.5611279845948935E-4</v>
      </c>
      <c r="O84" s="45">
        <f t="shared" ca="1" si="52"/>
        <v>2.4052349381594438E-3</v>
      </c>
      <c r="P84" s="45">
        <f t="shared" ca="1" si="52"/>
        <v>5.4858032141731682E-5</v>
      </c>
      <c r="Q84" s="45">
        <f t="shared" ca="1" si="52"/>
        <v>1.0699697166625563E-2</v>
      </c>
      <c r="R84" s="45">
        <v>0</v>
      </c>
      <c r="S84" s="45">
        <v>0</v>
      </c>
      <c r="T84" s="129">
        <f t="shared" ca="1" si="48"/>
        <v>1.8813736104743274E-2</v>
      </c>
      <c r="V84" s="45">
        <f t="shared" ca="1" si="49"/>
        <v>8.8928900281816901E-4</v>
      </c>
      <c r="W84" s="45">
        <f t="shared" ca="1" si="49"/>
        <v>0</v>
      </c>
      <c r="X84" s="45">
        <f t="shared" ca="1" si="49"/>
        <v>1.526704405994451E-4</v>
      </c>
      <c r="Y84" s="45">
        <f t="shared" ca="1" si="49"/>
        <v>5.6119510557597247E-5</v>
      </c>
      <c r="Z84" s="45">
        <f t="shared" ca="1" si="49"/>
        <v>4.750887584434026E-6</v>
      </c>
      <c r="AA84" s="45">
        <f t="shared" ca="1" si="49"/>
        <v>4.1696232801812887E-3</v>
      </c>
      <c r="AB84" s="45">
        <f t="shared" ca="1" si="49"/>
        <v>1.0459399893964075E-3</v>
      </c>
      <c r="AC84" s="45">
        <f t="shared" ca="1" si="49"/>
        <v>2.5348203456866552E-3</v>
      </c>
      <c r="AD84" s="45">
        <f t="shared" ca="1" si="49"/>
        <v>5.8251447842475982E-5</v>
      </c>
      <c r="AE84" s="45">
        <f t="shared" ca="1" si="49"/>
        <v>1.0680467213836295E-2</v>
      </c>
      <c r="AF84" s="45">
        <v>0</v>
      </c>
      <c r="AG84" s="45">
        <v>0</v>
      </c>
      <c r="AH84" s="129">
        <f t="shared" ca="1" si="41"/>
        <v>1.9591932118502769E-2</v>
      </c>
    </row>
    <row r="85" spans="2:34" ht="12" customHeight="1" x14ac:dyDescent="0.25">
      <c r="B85" s="390"/>
      <c r="D85" s="62">
        <f t="shared" si="51"/>
        <v>73</v>
      </c>
      <c r="E85" s="63">
        <f t="shared" si="50"/>
        <v>18.25</v>
      </c>
      <c r="F85" s="63">
        <f t="shared" si="47"/>
        <v>88.25</v>
      </c>
      <c r="G85" s="44">
        <f>INDEX(rngU.GenPop, MATCH($F85, Parameters!$D$71:$D$78, 1))</f>
        <v>0.64970000000000006</v>
      </c>
      <c r="H85" s="45">
        <f t="shared" ca="1" si="52"/>
        <v>3.2491562431139712E-4</v>
      </c>
      <c r="I85" s="45">
        <f t="shared" ca="1" si="52"/>
        <v>0</v>
      </c>
      <c r="J85" s="45">
        <f t="shared" ca="1" si="52"/>
        <v>1.2610496690085846E-4</v>
      </c>
      <c r="K85" s="45">
        <f t="shared" ca="1" si="52"/>
        <v>4.6354415390243528E-5</v>
      </c>
      <c r="L85" s="45">
        <f t="shared" ca="1" si="52"/>
        <v>3.9242077197943833E-6</v>
      </c>
      <c r="M85" s="45">
        <f t="shared" ca="1" si="52"/>
        <v>3.8537188480666936E-3</v>
      </c>
      <c r="N85" s="45">
        <f t="shared" ca="1" si="52"/>
        <v>8.8108541346090222E-4</v>
      </c>
      <c r="O85" s="45">
        <f t="shared" ca="1" si="52"/>
        <v>2.2165710161849896E-3</v>
      </c>
      <c r="P85" s="45">
        <f t="shared" ca="1" si="52"/>
        <v>5.0515207392741557E-5</v>
      </c>
      <c r="Q85" s="45">
        <f t="shared" ca="1" si="52"/>
        <v>1.0433521191959744E-2</v>
      </c>
      <c r="R85" s="45">
        <v>0</v>
      </c>
      <c r="S85" s="45">
        <v>0</v>
      </c>
      <c r="T85" s="129">
        <f t="shared" ca="1" si="48"/>
        <v>1.7936710891387365E-2</v>
      </c>
      <c r="V85" s="45">
        <f t="shared" ca="1" si="49"/>
        <v>7.9930877378216973E-4</v>
      </c>
      <c r="W85" s="45">
        <f t="shared" ca="1" si="49"/>
        <v>0</v>
      </c>
      <c r="X85" s="45">
        <f t="shared" ca="1" si="49"/>
        <v>1.4152961640706048E-4</v>
      </c>
      <c r="Y85" s="45">
        <f t="shared" ca="1" si="49"/>
        <v>5.202429999535606E-5</v>
      </c>
      <c r="Z85" s="45">
        <f t="shared" ca="1" si="49"/>
        <v>4.4042009361991571E-6</v>
      </c>
      <c r="AA85" s="45">
        <f t="shared" ca="1" si="49"/>
        <v>3.8904393663203489E-3</v>
      </c>
      <c r="AB85" s="45">
        <f t="shared" ca="1" si="49"/>
        <v>9.6539427644051778E-4</v>
      </c>
      <c r="AC85" s="45">
        <f t="shared" ca="1" si="49"/>
        <v>2.3381177818311357E-3</v>
      </c>
      <c r="AD85" s="45">
        <f t="shared" ca="1" si="49"/>
        <v>5.3700671261253726E-5</v>
      </c>
      <c r="AE85" s="45">
        <f t="shared" ca="1" si="49"/>
        <v>1.0418929281550905E-2</v>
      </c>
      <c r="AF85" s="45">
        <v>0</v>
      </c>
      <c r="AG85" s="45">
        <v>0</v>
      </c>
      <c r="AH85" s="129">
        <f t="shared" ca="1" si="41"/>
        <v>1.8663848268524946E-2</v>
      </c>
    </row>
    <row r="86" spans="2:34" ht="12" customHeight="1" x14ac:dyDescent="0.25">
      <c r="B86" s="390"/>
      <c r="D86" s="62">
        <f t="shared" si="51"/>
        <v>74</v>
      </c>
      <c r="E86" s="63">
        <f t="shared" si="50"/>
        <v>18.5</v>
      </c>
      <c r="F86" s="63">
        <f t="shared" si="47"/>
        <v>88.5</v>
      </c>
      <c r="G86" s="44">
        <f>INDEX(rngU.GenPop, MATCH($F86, Parameters!$D$71:$D$78, 1))</f>
        <v>0.64970000000000006</v>
      </c>
      <c r="H86" s="45">
        <f t="shared" ca="1" si="52"/>
        <v>2.9203994250237325E-4</v>
      </c>
      <c r="I86" s="45">
        <f t="shared" ca="1" si="52"/>
        <v>0</v>
      </c>
      <c r="J86" s="45">
        <f t="shared" ca="1" si="52"/>
        <v>1.1690270573941363E-4</v>
      </c>
      <c r="K86" s="45">
        <f t="shared" ca="1" si="52"/>
        <v>4.2971793381845727E-5</v>
      </c>
      <c r="L86" s="45">
        <f t="shared" ca="1" si="52"/>
        <v>3.6378464036878085E-6</v>
      </c>
      <c r="M86" s="45">
        <f t="shared" ca="1" si="52"/>
        <v>3.5816669234692983E-3</v>
      </c>
      <c r="N86" s="45">
        <f t="shared" ca="1" si="52"/>
        <v>8.1224219244865762E-4</v>
      </c>
      <c r="O86" s="45">
        <f t="shared" ca="1" si="52"/>
        <v>2.0445484919073393E-3</v>
      </c>
      <c r="P86" s="45">
        <f t="shared" ca="1" si="52"/>
        <v>4.6552476376335911E-5</v>
      </c>
      <c r="Q86" s="45">
        <f t="shared" ca="1" si="52"/>
        <v>1.017041934486171E-2</v>
      </c>
      <c r="R86" s="45">
        <v>0</v>
      </c>
      <c r="S86" s="45">
        <v>0</v>
      </c>
      <c r="T86" s="129">
        <f t="shared" ca="1" si="48"/>
        <v>1.7110981717090662E-2</v>
      </c>
      <c r="V86" s="45">
        <f t="shared" ca="1" si="49"/>
        <v>7.1843294341939487E-4</v>
      </c>
      <c r="W86" s="45">
        <f t="shared" ca="1" si="49"/>
        <v>0</v>
      </c>
      <c r="X86" s="45">
        <f t="shared" ca="1" si="49"/>
        <v>1.3120177187988337E-4</v>
      </c>
      <c r="Y86" s="45">
        <f t="shared" ca="1" si="49"/>
        <v>4.8227929344269818E-5</v>
      </c>
      <c r="Z86" s="45">
        <f t="shared" ca="1" si="49"/>
        <v>4.0828130621255882E-6</v>
      </c>
      <c r="AA86" s="45">
        <f t="shared" ca="1" si="49"/>
        <v>3.6290900787735942E-3</v>
      </c>
      <c r="AB86" s="45">
        <f t="shared" ca="1" si="49"/>
        <v>8.9129556922618773E-4</v>
      </c>
      <c r="AC86" s="45">
        <f t="shared" ca="1" si="49"/>
        <v>2.1585171021542703E-3</v>
      </c>
      <c r="AD86" s="45">
        <f t="shared" ca="1" si="49"/>
        <v>4.9540988066927522E-5</v>
      </c>
      <c r="AE86" s="45">
        <f t="shared" ca="1" si="49"/>
        <v>1.0160074059435645E-2</v>
      </c>
      <c r="AF86" s="45">
        <v>0</v>
      </c>
      <c r="AG86" s="45">
        <v>0</v>
      </c>
      <c r="AH86" s="129">
        <f t="shared" ca="1" si="41"/>
        <v>1.77904632553623E-2</v>
      </c>
    </row>
    <row r="87" spans="2:34" ht="12" customHeight="1" x14ac:dyDescent="0.25">
      <c r="B87" s="390"/>
      <c r="D87" s="62">
        <f t="shared" si="51"/>
        <v>75</v>
      </c>
      <c r="E87" s="63">
        <f t="shared" si="50"/>
        <v>18.75</v>
      </c>
      <c r="F87" s="63">
        <f t="shared" si="47"/>
        <v>88.75</v>
      </c>
      <c r="G87" s="44">
        <f>INDEX(rngU.GenPop, MATCH($F87, Parameters!$D$71:$D$78, 1))</f>
        <v>0.64970000000000006</v>
      </c>
      <c r="H87" s="45">
        <f t="shared" ca="1" si="52"/>
        <v>2.6249069492284755E-4</v>
      </c>
      <c r="I87" s="45">
        <f t="shared" ca="1" si="52"/>
        <v>0</v>
      </c>
      <c r="J87" s="45">
        <f t="shared" ca="1" si="52"/>
        <v>1.0837196143067144E-4</v>
      </c>
      <c r="K87" s="45">
        <f t="shared" ca="1" si="52"/>
        <v>3.9836011540784085E-5</v>
      </c>
      <c r="L87" s="45">
        <f t="shared" ca="1" si="52"/>
        <v>3.3723817396490267E-6</v>
      </c>
      <c r="M87" s="45">
        <f t="shared" ca="1" si="52"/>
        <v>3.3285400551145627E-3</v>
      </c>
      <c r="N87" s="45">
        <f t="shared" ca="1" si="52"/>
        <v>7.4903618501954809E-4</v>
      </c>
      <c r="O87" s="45">
        <f t="shared" ca="1" si="52"/>
        <v>1.8875851710262067E-3</v>
      </c>
      <c r="P87" s="45">
        <f t="shared" ca="1" si="52"/>
        <v>4.2934032896606886E-5</v>
      </c>
      <c r="Q87" s="45">
        <f t="shared" ca="1" si="52"/>
        <v>9.9107491409890693E-3</v>
      </c>
      <c r="R87" s="45">
        <v>0</v>
      </c>
      <c r="S87" s="45">
        <v>0</v>
      </c>
      <c r="T87" s="129">
        <f t="shared" ca="1" si="48"/>
        <v>1.6332915634679947E-2</v>
      </c>
      <c r="V87" s="45">
        <f t="shared" ca="1" si="49"/>
        <v>6.4574030852677369E-4</v>
      </c>
      <c r="W87" s="45">
        <f t="shared" ca="1" si="49"/>
        <v>0</v>
      </c>
      <c r="X87" s="45">
        <f t="shared" ca="1" si="49"/>
        <v>1.2162758143080933E-4</v>
      </c>
      <c r="Y87" s="45">
        <f t="shared" ca="1" si="49"/>
        <v>4.4708591351416659E-5</v>
      </c>
      <c r="Z87" s="45">
        <f t="shared" ca="1" si="49"/>
        <v>3.7848778340819879E-6</v>
      </c>
      <c r="AA87" s="45">
        <f t="shared" ca="1" si="49"/>
        <v>3.3845307985448485E-3</v>
      </c>
      <c r="AB87" s="45">
        <f t="shared" ca="1" si="49"/>
        <v>8.2309660312678153E-4</v>
      </c>
      <c r="AC87" s="45">
        <f t="shared" ca="1" si="49"/>
        <v>1.9944128088218559E-3</v>
      </c>
      <c r="AD87" s="45">
        <f t="shared" ca="1" si="49"/>
        <v>4.5736229686686239E-5</v>
      </c>
      <c r="AE87" s="45">
        <f t="shared" ca="1" si="49"/>
        <v>9.9042842936591241E-3</v>
      </c>
      <c r="AF87" s="45">
        <v>0</v>
      </c>
      <c r="AG87" s="45">
        <v>0</v>
      </c>
      <c r="AH87" s="129">
        <f t="shared" ca="1" si="41"/>
        <v>1.6967922092982379E-2</v>
      </c>
    </row>
    <row r="88" spans="2:34" ht="12" customHeight="1" x14ac:dyDescent="0.25">
      <c r="B88" s="390"/>
      <c r="D88" s="62">
        <f t="shared" si="51"/>
        <v>76</v>
      </c>
      <c r="E88" s="63">
        <f t="shared" si="50"/>
        <v>19</v>
      </c>
      <c r="F88" s="63">
        <f t="shared" si="47"/>
        <v>89</v>
      </c>
      <c r="G88" s="44">
        <f>INDEX(rngU.GenPop, MATCH($F88, Parameters!$D$71:$D$78, 1))</f>
        <v>0.64970000000000006</v>
      </c>
      <c r="H88" s="45">
        <f t="shared" ca="1" si="52"/>
        <v>2.3593130559707427E-4</v>
      </c>
      <c r="I88" s="45">
        <f t="shared" ca="1" si="52"/>
        <v>0</v>
      </c>
      <c r="J88" s="45">
        <f t="shared" ca="1" si="52"/>
        <v>1.0046373135717165E-4</v>
      </c>
      <c r="K88" s="45">
        <f t="shared" ca="1" si="52"/>
        <v>3.6929057192849278E-5</v>
      </c>
      <c r="L88" s="45">
        <f t="shared" ca="1" si="52"/>
        <v>3.1262888357213323E-6</v>
      </c>
      <c r="M88" s="45">
        <f t="shared" ca="1" si="52"/>
        <v>3.0930510603619887E-3</v>
      </c>
      <c r="N88" s="45">
        <f t="shared" ca="1" si="52"/>
        <v>6.9097326021531501E-4</v>
      </c>
      <c r="O88" s="45">
        <f t="shared" ca="1" si="52"/>
        <v>1.7442569033761777E-3</v>
      </c>
      <c r="P88" s="45">
        <f t="shared" ca="1" si="52"/>
        <v>3.962764009805625E-5</v>
      </c>
      <c r="Q88" s="45">
        <f t="shared" ca="1" si="52"/>
        <v>9.6548143665098132E-3</v>
      </c>
      <c r="R88" s="45">
        <v>0</v>
      </c>
      <c r="S88" s="45">
        <v>0</v>
      </c>
      <c r="T88" s="129">
        <f t="shared" ca="1" si="48"/>
        <v>1.5599173613544168E-2</v>
      </c>
      <c r="V88" s="45">
        <f t="shared" ca="1" si="49"/>
        <v>5.8040287527966953E-4</v>
      </c>
      <c r="W88" s="45">
        <f t="shared" ca="1" si="49"/>
        <v>0</v>
      </c>
      <c r="X88" s="45">
        <f t="shared" ca="1" si="49"/>
        <v>1.1275204864040671E-4</v>
      </c>
      <c r="Y88" s="45">
        <f t="shared" ca="1" si="49"/>
        <v>4.1446070105132192E-5</v>
      </c>
      <c r="Z88" s="45">
        <f t="shared" ca="1" si="49"/>
        <v>3.5086838414950938E-6</v>
      </c>
      <c r="AA88" s="45">
        <f t="shared" ca="1" si="49"/>
        <v>3.1557671492560353E-3</v>
      </c>
      <c r="AB88" s="45">
        <f t="shared" ca="1" si="49"/>
        <v>7.6030041075049047E-4</v>
      </c>
      <c r="AC88" s="45">
        <f t="shared" ca="1" si="49"/>
        <v>1.8443585346138028E-3</v>
      </c>
      <c r="AD88" s="45">
        <f t="shared" ca="1" si="49"/>
        <v>4.2253778188922064E-5</v>
      </c>
      <c r="AE88" s="45">
        <f t="shared" ca="1" si="49"/>
        <v>9.6518877874897258E-3</v>
      </c>
      <c r="AF88" s="45">
        <v>0</v>
      </c>
      <c r="AG88" s="45">
        <v>0</v>
      </c>
      <c r="AH88" s="129">
        <f t="shared" ca="1" si="41"/>
        <v>1.6192677338165679E-2</v>
      </c>
    </row>
    <row r="89" spans="2:34" ht="12" customHeight="1" x14ac:dyDescent="0.25">
      <c r="B89" s="390"/>
      <c r="D89" s="62">
        <f t="shared" si="51"/>
        <v>77</v>
      </c>
      <c r="E89" s="63">
        <f t="shared" si="50"/>
        <v>19.25</v>
      </c>
      <c r="F89" s="63">
        <f t="shared" si="47"/>
        <v>89.25</v>
      </c>
      <c r="G89" s="44">
        <f>INDEX(rngU.GenPop, MATCH($F89, Parameters!$D$71:$D$78, 1))</f>
        <v>0.64970000000000006</v>
      </c>
      <c r="H89" s="45">
        <f t="shared" ca="1" si="52"/>
        <v>2.1205925405127574E-4</v>
      </c>
      <c r="I89" s="45">
        <f t="shared" ca="1" si="52"/>
        <v>0</v>
      </c>
      <c r="J89" s="45">
        <f t="shared" ca="1" si="52"/>
        <v>9.3132588770783675E-5</v>
      </c>
      <c r="K89" s="45">
        <f t="shared" ca="1" si="52"/>
        <v>3.4234232103194403E-5</v>
      </c>
      <c r="L89" s="45">
        <f t="shared" ca="1" si="52"/>
        <v>2.8981540759300337E-6</v>
      </c>
      <c r="M89" s="45">
        <f t="shared" ca="1" si="52"/>
        <v>2.8739971916505467E-3</v>
      </c>
      <c r="N89" s="45">
        <f t="shared" ca="1" si="52"/>
        <v>6.376065109307918E-4</v>
      </c>
      <c r="O89" s="45">
        <f t="shared" ca="1" si="52"/>
        <v>1.6132812941426584E-3</v>
      </c>
      <c r="P89" s="45">
        <f t="shared" ca="1" si="52"/>
        <v>3.6604259264811677E-5</v>
      </c>
      <c r="Q89" s="45">
        <f t="shared" ca="1" si="52"/>
        <v>9.4028709946488206E-3</v>
      </c>
      <c r="R89" s="45">
        <v>0</v>
      </c>
      <c r="S89" s="45">
        <v>0</v>
      </c>
      <c r="T89" s="129">
        <f t="shared" ca="1" si="48"/>
        <v>1.4906684479638813E-2</v>
      </c>
      <c r="V89" s="45">
        <f t="shared" ca="1" si="49"/>
        <v>5.2167642810072533E-4</v>
      </c>
      <c r="W89" s="45">
        <f t="shared" ca="1" si="49"/>
        <v>0</v>
      </c>
      <c r="X89" s="45">
        <f t="shared" ca="1" si="49"/>
        <v>1.0452419034444697E-4</v>
      </c>
      <c r="Y89" s="45">
        <f t="shared" ca="1" si="49"/>
        <v>3.8421624910020828E-5</v>
      </c>
      <c r="Z89" s="45">
        <f t="shared" ca="1" si="49"/>
        <v>3.252644560601713E-6</v>
      </c>
      <c r="AA89" s="45">
        <f t="shared" ca="1" si="49"/>
        <v>2.9418539601519041E-3</v>
      </c>
      <c r="AB89" s="45">
        <f t="shared" ca="1" si="49"/>
        <v>7.0245525375442974E-4</v>
      </c>
      <c r="AC89" s="45">
        <f t="shared" ca="1" si="49"/>
        <v>1.7070506651923009E-3</v>
      </c>
      <c r="AD89" s="45">
        <f t="shared" ca="1" si="49"/>
        <v>3.9064200834564769E-5</v>
      </c>
      <c r="AE89" s="45">
        <f t="shared" ca="1" si="49"/>
        <v>9.4031633331643719E-3</v>
      </c>
      <c r="AF89" s="45">
        <v>0</v>
      </c>
      <c r="AG89" s="45">
        <v>0</v>
      </c>
      <c r="AH89" s="129">
        <f t="shared" ca="1" si="41"/>
        <v>1.5461462301013366E-2</v>
      </c>
    </row>
    <row r="90" spans="2:34" ht="12" customHeight="1" x14ac:dyDescent="0.25">
      <c r="B90" s="390"/>
      <c r="D90" s="62">
        <f t="shared" si="51"/>
        <v>78</v>
      </c>
      <c r="E90" s="63">
        <f t="shared" si="50"/>
        <v>19.5</v>
      </c>
      <c r="F90" s="63">
        <f t="shared" si="47"/>
        <v>89.5</v>
      </c>
      <c r="G90" s="44">
        <f>INDEX(rngU.GenPop, MATCH($F90, Parameters!$D$71:$D$78, 1))</f>
        <v>0.64970000000000006</v>
      </c>
      <c r="H90" s="45">
        <f t="shared" ca="1" si="52"/>
        <v>1.9060262950259862E-4</v>
      </c>
      <c r="I90" s="45">
        <f t="shared" ca="1" si="52"/>
        <v>0</v>
      </c>
      <c r="J90" s="45">
        <f t="shared" ca="1" si="52"/>
        <v>8.6336421850697327E-5</v>
      </c>
      <c r="K90" s="45">
        <f t="shared" ca="1" si="52"/>
        <v>3.1736056557715782E-5</v>
      </c>
      <c r="L90" s="45">
        <f t="shared" ca="1" si="52"/>
        <v>2.6866670001372047E-6</v>
      </c>
      <c r="M90" s="45">
        <f t="shared" ca="1" si="52"/>
        <v>2.6702549356933118E-3</v>
      </c>
      <c r="N90" s="45">
        <f t="shared" ca="1" si="52"/>
        <v>5.8853130154588298E-4</v>
      </c>
      <c r="O90" s="45">
        <f t="shared" ca="1" si="52"/>
        <v>1.4935031216723657E-3</v>
      </c>
      <c r="P90" s="45">
        <f t="shared" ca="1" si="52"/>
        <v>3.3837718367608347E-5</v>
      </c>
      <c r="Q90" s="45">
        <f t="shared" ca="1" si="52"/>
        <v>9.1551324767422445E-3</v>
      </c>
      <c r="R90" s="45">
        <v>0</v>
      </c>
      <c r="S90" s="45">
        <v>0</v>
      </c>
      <c r="T90" s="129">
        <f t="shared" ca="1" si="48"/>
        <v>1.4252621328932562E-2</v>
      </c>
      <c r="V90" s="45">
        <f t="shared" ca="1" si="49"/>
        <v>4.6889205279142764E-4</v>
      </c>
      <c r="W90" s="45">
        <f t="shared" ca="1" si="49"/>
        <v>0</v>
      </c>
      <c r="X90" s="45">
        <f t="shared" ca="1" si="49"/>
        <v>9.6896743774524231E-5</v>
      </c>
      <c r="Y90" s="45">
        <f t="shared" ca="1" si="49"/>
        <v>3.5617882635959148E-5</v>
      </c>
      <c r="Z90" s="45">
        <f t="shared" ca="1" si="49"/>
        <v>3.015289241080145E-6</v>
      </c>
      <c r="AA90" s="45">
        <f t="shared" ca="1" si="49"/>
        <v>2.7418940387329161E-3</v>
      </c>
      <c r="AB90" s="45">
        <f t="shared" ca="1" si="49"/>
        <v>6.4915011307610006E-4</v>
      </c>
      <c r="AC90" s="45">
        <f t="shared" ca="1" si="49"/>
        <v>1.5813136868877654E-3</v>
      </c>
      <c r="AD90" s="45">
        <f t="shared" ca="1" si="49"/>
        <v>3.6140923569394095E-5</v>
      </c>
      <c r="AE90" s="45">
        <f t="shared" ca="1" si="49"/>
        <v>9.1583460246423554E-3</v>
      </c>
      <c r="AF90" s="45">
        <v>0</v>
      </c>
      <c r="AG90" s="45">
        <v>0</v>
      </c>
      <c r="AH90" s="129">
        <f t="shared" ca="1" si="41"/>
        <v>1.4771266755351523E-2</v>
      </c>
    </row>
    <row r="91" spans="2:34" ht="12" customHeight="1" x14ac:dyDescent="0.25">
      <c r="B91" s="390"/>
      <c r="D91" s="62">
        <f t="shared" si="51"/>
        <v>79</v>
      </c>
      <c r="E91" s="63">
        <f t="shared" si="50"/>
        <v>19.75</v>
      </c>
      <c r="F91" s="63">
        <f t="shared" si="47"/>
        <v>89.75</v>
      </c>
      <c r="G91" s="44">
        <f>INDEX(rngU.GenPop, MATCH($F91, Parameters!$D$71:$D$78, 1))</f>
        <v>0.64970000000000006</v>
      </c>
      <c r="H91" s="45">
        <f t="shared" ca="1" si="52"/>
        <v>1.7131703370285579E-4</v>
      </c>
      <c r="I91" s="45">
        <f t="shared" ca="1" si="52"/>
        <v>0</v>
      </c>
      <c r="J91" s="45">
        <f t="shared" ca="1" si="52"/>
        <v>8.0036191803141746E-5</v>
      </c>
      <c r="K91" s="45">
        <f t="shared" ca="1" si="52"/>
        <v>2.9420180443905894E-5</v>
      </c>
      <c r="L91" s="45">
        <f t="shared" ca="1" si="52"/>
        <v>2.49061277644802E-6</v>
      </c>
      <c r="M91" s="45">
        <f t="shared" ca="1" si="52"/>
        <v>2.48077509498709E-3</v>
      </c>
      <c r="N91" s="45">
        <f t="shared" ca="1" si="52"/>
        <v>5.4338088015462008E-4</v>
      </c>
      <c r="O91" s="45">
        <f t="shared" ca="1" si="52"/>
        <v>1.3838812825145877E-3</v>
      </c>
      <c r="P91" s="45">
        <f t="shared" ca="1" si="52"/>
        <v>3.1304416027190308E-5</v>
      </c>
      <c r="Q91" s="45">
        <f t="shared" ca="1" si="52"/>
        <v>8.9117744745275396E-3</v>
      </c>
      <c r="R91" s="45">
        <v>0</v>
      </c>
      <c r="S91" s="45">
        <v>0</v>
      </c>
      <c r="T91" s="129">
        <f t="shared" ca="1" si="48"/>
        <v>1.3634380166937379E-2</v>
      </c>
      <c r="V91" s="45">
        <f t="shared" ca="1" si="49"/>
        <v>4.2144851737197604E-4</v>
      </c>
      <c r="W91" s="45">
        <f t="shared" ca="1" si="49"/>
        <v>0</v>
      </c>
      <c r="X91" s="45">
        <f t="shared" ca="1" si="49"/>
        <v>8.9825895069510169E-5</v>
      </c>
      <c r="Y91" s="45">
        <f t="shared" ca="1" si="49"/>
        <v>3.3018737922718218E-5</v>
      </c>
      <c r="Z91" s="45">
        <f t="shared" ca="1" si="49"/>
        <v>2.795254457711708E-6</v>
      </c>
      <c r="AA91" s="45">
        <f t="shared" ca="1" si="49"/>
        <v>2.5550367938272697E-3</v>
      </c>
      <c r="AB91" s="45">
        <f t="shared" ca="1" si="49"/>
        <v>6.0001067139285851E-4</v>
      </c>
      <c r="AC91" s="45">
        <f t="shared" ca="1" si="49"/>
        <v>1.4660870762389564E-3</v>
      </c>
      <c r="AD91" s="45">
        <f t="shared" ca="1" si="49"/>
        <v>3.3459939212369606E-5</v>
      </c>
      <c r="AE91" s="45">
        <f t="shared" ca="1" si="49"/>
        <v>8.9176320168132869E-3</v>
      </c>
      <c r="AF91" s="45">
        <v>0</v>
      </c>
      <c r="AG91" s="45">
        <v>0</v>
      </c>
      <c r="AH91" s="129">
        <f t="shared" ca="1" si="41"/>
        <v>1.4119314902306657E-2</v>
      </c>
    </row>
    <row r="92" spans="2:34" ht="12" customHeight="1" x14ac:dyDescent="0.25">
      <c r="B92" s="390"/>
      <c r="D92" s="62">
        <f t="shared" si="51"/>
        <v>80</v>
      </c>
      <c r="E92" s="63">
        <f t="shared" si="50"/>
        <v>20</v>
      </c>
      <c r="F92" s="63">
        <f t="shared" si="47"/>
        <v>90</v>
      </c>
      <c r="G92" s="44">
        <f>INDEX(rngU.GenPop, MATCH($F92, Parameters!$D$71:$D$78, 1))</f>
        <v>0.64970000000000006</v>
      </c>
      <c r="H92" s="45" t="e">
        <f t="shared" ca="1" si="52"/>
        <v>#VALUE!</v>
      </c>
      <c r="I92" s="45" t="e">
        <f t="shared" ca="1" si="52"/>
        <v>#VALUE!</v>
      </c>
      <c r="J92" s="45" t="e">
        <f t="shared" ca="1" si="52"/>
        <v>#VALUE!</v>
      </c>
      <c r="K92" s="45" t="e">
        <f t="shared" ca="1" si="52"/>
        <v>#VALUE!</v>
      </c>
      <c r="L92" s="45" t="e">
        <f t="shared" ca="1" si="52"/>
        <v>#VALUE!</v>
      </c>
      <c r="M92" s="45" t="e">
        <f t="shared" ca="1" si="52"/>
        <v>#VALUE!</v>
      </c>
      <c r="N92" s="45" t="e">
        <f t="shared" ca="1" si="52"/>
        <v>#VALUE!</v>
      </c>
      <c r="O92" s="45" t="e">
        <f t="shared" ca="1" si="52"/>
        <v>#VALUE!</v>
      </c>
      <c r="P92" s="45" t="e">
        <f t="shared" ca="1" si="52"/>
        <v>#VALUE!</v>
      </c>
      <c r="Q92" s="45" t="e">
        <f t="shared" ca="1" si="52"/>
        <v>#VALUE!</v>
      </c>
      <c r="R92" s="45">
        <v>0</v>
      </c>
      <c r="S92" s="45">
        <v>0</v>
      </c>
      <c r="T92" s="129" t="e">
        <f t="shared" ca="1" si="48"/>
        <v>#VALUE!</v>
      </c>
      <c r="V92" s="45" t="e">
        <f t="shared" ref="V92:AE92" ca="1" si="53">PRODUCT(AVERAGE(OFFSET(E.Trace.Markov.Root, $D92, (V$2-1)*E.Trace.Markov.NumCols+V$3-1, CHOOSE(swtchHalfCycle, 2, 1))) + N("halfcycle-adjusted state occupancy"),
$G92 + V$6 + N("age-adjusted state utility value"),
E.cycleLength)</f>
        <v>#VALUE!</v>
      </c>
      <c r="W92" s="45" t="e">
        <f t="shared" ca="1" si="53"/>
        <v>#VALUE!</v>
      </c>
      <c r="X92" s="45" t="e">
        <f t="shared" ca="1" si="53"/>
        <v>#VALUE!</v>
      </c>
      <c r="Y92" s="45" t="e">
        <f t="shared" ca="1" si="53"/>
        <v>#VALUE!</v>
      </c>
      <c r="Z92" s="45" t="e">
        <f t="shared" ca="1" si="53"/>
        <v>#VALUE!</v>
      </c>
      <c r="AA92" s="45" t="e">
        <f t="shared" ca="1" si="53"/>
        <v>#VALUE!</v>
      </c>
      <c r="AB92" s="45" t="e">
        <f t="shared" ca="1" si="53"/>
        <v>#VALUE!</v>
      </c>
      <c r="AC92" s="45" t="e">
        <f t="shared" ca="1" si="53"/>
        <v>#VALUE!</v>
      </c>
      <c r="AD92" s="45" t="e">
        <f t="shared" ca="1" si="53"/>
        <v>#VALUE!</v>
      </c>
      <c r="AE92" s="45" t="e">
        <f t="shared" ca="1" si="53"/>
        <v>#VALUE!</v>
      </c>
      <c r="AF92" s="45">
        <v>0</v>
      </c>
      <c r="AG92" s="45">
        <v>0</v>
      </c>
      <c r="AH92" s="129" t="e">
        <f t="shared" ca="1" si="41"/>
        <v>#VALUE!</v>
      </c>
    </row>
  </sheetData>
  <mergeCells count="32">
    <mergeCell ref="R8:R11"/>
    <mergeCell ref="S8:S11"/>
    <mergeCell ref="V7:AH7"/>
    <mergeCell ref="V8:V11"/>
    <mergeCell ref="W8:W11"/>
    <mergeCell ref="X8:X11"/>
    <mergeCell ref="Y8:Y11"/>
    <mergeCell ref="Z8:Z11"/>
    <mergeCell ref="AA8:AA11"/>
    <mergeCell ref="AB8:AB11"/>
    <mergeCell ref="AC8:AC11"/>
    <mergeCell ref="AD8:AD11"/>
    <mergeCell ref="AE8:AE11"/>
    <mergeCell ref="AF8:AF11"/>
    <mergeCell ref="AG8:AG11"/>
    <mergeCell ref="AH8:AH11"/>
    <mergeCell ref="E7:E11"/>
    <mergeCell ref="F7:F11"/>
    <mergeCell ref="D7:D11"/>
    <mergeCell ref="H7:T7"/>
    <mergeCell ref="T8:T11"/>
    <mergeCell ref="H8:H11"/>
    <mergeCell ref="I8:I11"/>
    <mergeCell ref="G7:G11"/>
    <mergeCell ref="J8:J11"/>
    <mergeCell ref="K8:K11"/>
    <mergeCell ref="L8:L11"/>
    <mergeCell ref="M8:M11"/>
    <mergeCell ref="N8:N11"/>
    <mergeCell ref="O8:O11"/>
    <mergeCell ref="P8:P11"/>
    <mergeCell ref="Q8:Q1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tTraceCosts">
    <tabColor rgb="FF663300"/>
  </sheetPr>
  <dimension ref="A1:AH92"/>
  <sheetViews>
    <sheetView workbookViewId="0">
      <pane xSplit="7" ySplit="11" topLeftCell="H12" activePane="bottomRight" state="frozen"/>
      <selection activeCell="H12" sqref="H12"/>
      <selection pane="topRight" activeCell="H12" sqref="H12"/>
      <selection pane="bottomLeft" activeCell="H12" sqref="H12"/>
      <selection pane="bottomRight" activeCell="H12" sqref="H12"/>
    </sheetView>
  </sheetViews>
  <sheetFormatPr defaultColWidth="9.28515625" defaultRowHeight="12" customHeight="1" x14ac:dyDescent="0.25"/>
  <cols>
    <col min="1" max="1" width="1.7109375" style="374" customWidth="1"/>
    <col min="2" max="2" width="19.7109375" style="374" customWidth="1"/>
    <col min="3" max="3" width="1.7109375" style="377" customWidth="1"/>
    <col min="8" max="8" width="10.28515625" customWidth="1"/>
    <col min="9" max="15" width="9.140625" customWidth="1"/>
    <col min="16" max="16" width="10" customWidth="1"/>
    <col min="17" max="19" width="9.140625" customWidth="1"/>
    <col min="20" max="20" width="10" style="49" customWidth="1"/>
    <col min="21" max="21" width="2.7109375" customWidth="1"/>
    <col min="22" max="22" width="10.28515625" customWidth="1"/>
    <col min="23" max="29" width="9.140625" customWidth="1"/>
    <col min="30" max="30" width="10" customWidth="1"/>
    <col min="31" max="33" width="9.140625" customWidth="1"/>
    <col min="34" max="34" width="10" style="49" customWidth="1"/>
    <col min="35" max="35" width="2.7109375" customWidth="1"/>
  </cols>
  <sheetData>
    <row r="1" spans="1:34" s="375" customFormat="1" ht="24.95" customHeight="1" thickBot="1" x14ac:dyDescent="0.3">
      <c r="A1" s="373"/>
      <c r="B1" s="374"/>
      <c r="C1" s="373"/>
      <c r="D1" s="375" t="str" cm="1">
        <f t="array" ref="D1">K.zWorkbookTitle</f>
        <v>Camacho et al. (2024) Harms of hazardous prescribing of NSAIDs -- E: NSAIDs - CKD</v>
      </c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</row>
    <row r="2" spans="1:34" ht="12" hidden="1" customHeight="1" thickTop="1" x14ac:dyDescent="0.25">
      <c r="D2">
        <f>COLUMNS(H2:U2)</f>
        <v>14</v>
      </c>
      <c r="G2" s="81" t="s">
        <v>90</v>
      </c>
      <c r="H2">
        <f>MAX($G$2:G2)+1</f>
        <v>1</v>
      </c>
      <c r="I2">
        <f t="shared" ref="I2:T2" si="0">H2</f>
        <v>1</v>
      </c>
      <c r="J2">
        <f t="shared" si="0"/>
        <v>1</v>
      </c>
      <c r="K2">
        <f t="shared" si="0"/>
        <v>1</v>
      </c>
      <c r="L2">
        <f t="shared" si="0"/>
        <v>1</v>
      </c>
      <c r="M2">
        <f t="shared" si="0"/>
        <v>1</v>
      </c>
      <c r="N2">
        <f t="shared" si="0"/>
        <v>1</v>
      </c>
      <c r="O2">
        <f t="shared" si="0"/>
        <v>1</v>
      </c>
      <c r="P2">
        <f t="shared" si="0"/>
        <v>1</v>
      </c>
      <c r="Q2">
        <f t="shared" si="0"/>
        <v>1</v>
      </c>
      <c r="R2">
        <f t="shared" si="0"/>
        <v>1</v>
      </c>
      <c r="S2">
        <f t="shared" si="0"/>
        <v>1</v>
      </c>
      <c r="T2">
        <f t="shared" si="0"/>
        <v>1</v>
      </c>
      <c r="V2">
        <f>MAX($G$2:U2)+1</f>
        <v>2</v>
      </c>
      <c r="W2">
        <f t="shared" ref="W2:AH2" si="1">V2</f>
        <v>2</v>
      </c>
      <c r="X2">
        <f t="shared" si="1"/>
        <v>2</v>
      </c>
      <c r="Y2">
        <f t="shared" si="1"/>
        <v>2</v>
      </c>
      <c r="Z2">
        <f t="shared" si="1"/>
        <v>2</v>
      </c>
      <c r="AA2">
        <f t="shared" si="1"/>
        <v>2</v>
      </c>
      <c r="AB2">
        <f t="shared" si="1"/>
        <v>2</v>
      </c>
      <c r="AC2">
        <f t="shared" si="1"/>
        <v>2</v>
      </c>
      <c r="AD2">
        <f t="shared" si="1"/>
        <v>2</v>
      </c>
      <c r="AE2">
        <f t="shared" si="1"/>
        <v>2</v>
      </c>
      <c r="AF2">
        <f t="shared" si="1"/>
        <v>2</v>
      </c>
      <c r="AG2">
        <f t="shared" si="1"/>
        <v>2</v>
      </c>
      <c r="AH2">
        <f t="shared" si="1"/>
        <v>2</v>
      </c>
    </row>
    <row r="3" spans="1:34" ht="12" hidden="1" customHeight="1" x14ac:dyDescent="0.25">
      <c r="G3" s="81" t="s">
        <v>91</v>
      </c>
      <c r="H3">
        <v>1</v>
      </c>
      <c r="I3">
        <f t="shared" ref="I3:S3" si="2">H3+1</f>
        <v>2</v>
      </c>
      <c r="J3">
        <f t="shared" si="2"/>
        <v>3</v>
      </c>
      <c r="K3">
        <f t="shared" si="2"/>
        <v>4</v>
      </c>
      <c r="L3">
        <f t="shared" si="2"/>
        <v>5</v>
      </c>
      <c r="M3">
        <f t="shared" si="2"/>
        <v>6</v>
      </c>
      <c r="N3">
        <f t="shared" si="2"/>
        <v>7</v>
      </c>
      <c r="O3">
        <f t="shared" si="2"/>
        <v>8</v>
      </c>
      <c r="P3">
        <f t="shared" si="2"/>
        <v>9</v>
      </c>
      <c r="Q3">
        <f t="shared" si="2"/>
        <v>10</v>
      </c>
      <c r="R3">
        <f t="shared" si="2"/>
        <v>11</v>
      </c>
      <c r="S3">
        <f t="shared" si="2"/>
        <v>12</v>
      </c>
      <c r="T3"/>
      <c r="V3">
        <v>1</v>
      </c>
      <c r="W3">
        <f t="shared" ref="W3:AG3" si="3">V3+1</f>
        <v>2</v>
      </c>
      <c r="X3">
        <f t="shared" si="3"/>
        <v>3</v>
      </c>
      <c r="Y3">
        <f t="shared" si="3"/>
        <v>4</v>
      </c>
      <c r="Z3">
        <f t="shared" si="3"/>
        <v>5</v>
      </c>
      <c r="AA3">
        <f t="shared" si="3"/>
        <v>6</v>
      </c>
      <c r="AB3">
        <f t="shared" si="3"/>
        <v>7</v>
      </c>
      <c r="AC3">
        <f t="shared" si="3"/>
        <v>8</v>
      </c>
      <c r="AD3">
        <f t="shared" si="3"/>
        <v>9</v>
      </c>
      <c r="AE3">
        <f t="shared" si="3"/>
        <v>10</v>
      </c>
      <c r="AF3">
        <f t="shared" si="3"/>
        <v>11</v>
      </c>
      <c r="AG3">
        <f t="shared" si="3"/>
        <v>12</v>
      </c>
      <c r="AH3"/>
    </row>
    <row r="4" spans="1:34" ht="12" customHeight="1" thickTop="1" x14ac:dyDescent="0.25">
      <c r="G4" s="56" t="s">
        <v>46</v>
      </c>
      <c r="H4" s="67">
        <f t="shared" ref="H4:T4" ca="1" si="4">SUM(OFFSET(H$12, 0, 0, timeHorizon*E.cyclesPerYear))</f>
        <v>17.13093306387557</v>
      </c>
      <c r="I4" s="67">
        <f t="shared" ca="1" si="4"/>
        <v>11013.337070232112</v>
      </c>
      <c r="J4" s="67">
        <f t="shared" ca="1" si="4"/>
        <v>489.92241303994138</v>
      </c>
      <c r="K4" s="67">
        <f t="shared" ca="1" si="4"/>
        <v>1004.9184018535037</v>
      </c>
      <c r="L4" s="67">
        <f t="shared" ca="1" si="4"/>
        <v>95.553813903649385</v>
      </c>
      <c r="M4" s="67">
        <f t="shared" ca="1" si="4"/>
        <v>5773.205965996839</v>
      </c>
      <c r="N4" s="67">
        <f t="shared" ca="1" si="4"/>
        <v>10167.808115418287</v>
      </c>
      <c r="O4" s="67">
        <f t="shared" ca="1" si="4"/>
        <v>24993.883918740463</v>
      </c>
      <c r="P4" s="67">
        <f t="shared" ca="1" si="4"/>
        <v>2784.1362993478306</v>
      </c>
      <c r="Q4" s="67">
        <f t="shared" ca="1" si="4"/>
        <v>3361.2259056352614</v>
      </c>
      <c r="R4" s="67">
        <f t="shared" ca="1" si="4"/>
        <v>0</v>
      </c>
      <c r="S4" s="67">
        <f t="shared" ca="1" si="4"/>
        <v>0</v>
      </c>
      <c r="T4" s="67">
        <f t="shared" ca="1" si="4"/>
        <v>59701.122837231764</v>
      </c>
      <c r="V4" s="67">
        <f t="shared" ref="V4:AH4" ca="1" si="5">SUM(OFFSET(V$12, 0, 0, timeHorizon*E.cyclesPerYear))</f>
        <v>13790.492325377021</v>
      </c>
      <c r="W4" s="67">
        <f t="shared" ca="1" si="5"/>
        <v>0</v>
      </c>
      <c r="X4" s="67">
        <f t="shared" ca="1" si="5"/>
        <v>365.81206209929974</v>
      </c>
      <c r="Y4" s="67">
        <f t="shared" ca="1" si="5"/>
        <v>746.21333863140956</v>
      </c>
      <c r="Z4" s="67">
        <f t="shared" ca="1" si="5"/>
        <v>70.701574012698259</v>
      </c>
      <c r="AA4" s="67">
        <f t="shared" ca="1" si="5"/>
        <v>4116.6853919857613</v>
      </c>
      <c r="AB4" s="67">
        <f t="shared" ca="1" si="5"/>
        <v>9317.5645877862808</v>
      </c>
      <c r="AC4" s="67">
        <f t="shared" ca="1" si="5"/>
        <v>25129.117985483652</v>
      </c>
      <c r="AD4" s="67">
        <f t="shared" ca="1" si="5"/>
        <v>2711.4231071516419</v>
      </c>
      <c r="AE4" s="67">
        <f t="shared" ca="1" si="5"/>
        <v>3246.0645286561544</v>
      </c>
      <c r="AF4" s="67">
        <f t="shared" ca="1" si="5"/>
        <v>0</v>
      </c>
      <c r="AG4" s="67">
        <f t="shared" ca="1" si="5"/>
        <v>0</v>
      </c>
      <c r="AH4" s="67">
        <f t="shared" ca="1" si="5"/>
        <v>59494.074901183922</v>
      </c>
    </row>
    <row r="5" spans="1:34" ht="12" customHeight="1" x14ac:dyDescent="0.25">
      <c r="G5" s="57" t="s">
        <v>47</v>
      </c>
      <c r="H5" s="67">
        <f t="array" aca="1" ref="H5" ca="1">SUM(OFFSET(H$12, 0, 0, timeHorizon*E.cyclesPerYear) / (1+DQALYs)^(OFFSET($D$12, 0, 0, timeHorizon*E.cyclesPerYear)/E.cyclesPerYear))</f>
        <v>12.249337696494868</v>
      </c>
      <c r="I5" s="67">
        <f t="array" aca="1" ref="I5" ca="1">SUM(OFFSET(I$12, 0, 0, timeHorizon*E.cyclesPerYear) / (1+DQALYs)^(OFFSET($D$12, 0, 0, timeHorizon*E.cyclesPerYear)/E.cyclesPerYear))</f>
        <v>10058.903358739586</v>
      </c>
      <c r="J5" s="67">
        <f t="array" aca="1" ref="J5" ca="1">SUM(OFFSET(J$12, 0, 0, timeHorizon*E.cyclesPerYear) / (1+DQALYs)^(OFFSET($D$12, 0, 0, timeHorizon*E.cyclesPerYear)/E.cyclesPerYear))</f>
        <v>429.50235741959659</v>
      </c>
      <c r="K5" s="67">
        <f t="array" aca="1" ref="K5" ca="1">SUM(OFFSET(K$12, 0, 0, timeHorizon*E.cyclesPerYear) / (1+DQALYs)^(OFFSET($D$12, 0, 0, timeHorizon*E.cyclesPerYear)/E.cyclesPerYear))</f>
        <v>880.99124297051992</v>
      </c>
      <c r="L5" s="67">
        <f t="array" aca="1" ref="L5" ca="1">SUM(OFFSET(L$12, 0, 0, timeHorizon*E.cyclesPerYear) / (1+DQALYs)^(OFFSET($D$12, 0, 0, timeHorizon*E.cyclesPerYear)/E.cyclesPerYear))</f>
        <v>83.770271880778026</v>
      </c>
      <c r="M5" s="67">
        <f t="array" aca="1" ref="M5" ca="1">SUM(OFFSET(M$12, 0, 0, timeHorizon*E.cyclesPerYear) / (1+DQALYs)^(OFFSET($D$12, 0, 0, timeHorizon*E.cyclesPerYear)/E.cyclesPerYear))</f>
        <v>4789.1159625523378</v>
      </c>
      <c r="N5" s="67">
        <f t="array" aca="1" ref="N5" ca="1">SUM(OFFSET(N$12, 0, 0, timeHorizon*E.cyclesPerYear) / (1+DQALYs)^(OFFSET($D$12, 0, 0, timeHorizon*E.cyclesPerYear)/E.cyclesPerYear))</f>
        <v>8502.9688629432148</v>
      </c>
      <c r="O5" s="67">
        <f t="array" aca="1" ref="O5" ca="1">SUM(OFFSET(O$12, 0, 0, timeHorizon*E.cyclesPerYear) / (1+DQALYs)^(OFFSET($D$12, 0, 0, timeHorizon*E.cyclesPerYear)/E.cyclesPerYear))</f>
        <v>20526.361780392719</v>
      </c>
      <c r="P5" s="67">
        <f t="array" aca="1" ref="P5" ca="1">SUM(OFFSET(P$12, 0, 0, timeHorizon*E.cyclesPerYear) / (1+DQALYs)^(OFFSET($D$12, 0, 0, timeHorizon*E.cyclesPerYear)/E.cyclesPerYear))</f>
        <v>2289.8628839804283</v>
      </c>
      <c r="Q5" s="67">
        <f t="array" aca="1" ref="Q5" ca="1">SUM(OFFSET(Q$12, 0, 0, timeHorizon*E.cyclesPerYear) / (1+DQALYs)^(OFFSET($D$12, 0, 0, timeHorizon*E.cyclesPerYear)/E.cyclesPerYear))</f>
        <v>2642.0460477309553</v>
      </c>
      <c r="R5" s="67">
        <f t="array" aca="1" ref="R5" ca="1">SUM(OFFSET(R$12, 0, 0, timeHorizon*E.cyclesPerYear) / (1+DQALYs)^(OFFSET($D$12, 0, 0, timeHorizon*E.cyclesPerYear)/E.cyclesPerYear))</f>
        <v>0</v>
      </c>
      <c r="S5" s="67">
        <f t="array" aca="1" ref="S5" ca="1">SUM(OFFSET(S$12, 0, 0, timeHorizon*E.cyclesPerYear) / (1+DQALYs)^(OFFSET($D$12, 0, 0, timeHorizon*E.cyclesPerYear)/E.cyclesPerYear))</f>
        <v>0</v>
      </c>
      <c r="T5" s="67">
        <f t="array" aca="1" ref="T5" ca="1">SUM(OFFSET(T$12, 0, 0, timeHorizon*E.cyclesPerYear) / (1+DQALYs)^(OFFSET($D$12, 0, 0, timeHorizon*E.cyclesPerYear)/E.cyclesPerYear))</f>
        <v>50215.77210630662</v>
      </c>
      <c r="V5" s="67">
        <f t="array" aca="1" ref="V5" ca="1">SUM(OFFSET(V$12, 0, 0, timeHorizon*E.cyclesPerYear) / (1+DQALYs)^(OFFSET($D$12, 0, 0, timeHorizon*E.cyclesPerYear)/E.cyclesPerYear))</f>
        <v>12398.386554439105</v>
      </c>
      <c r="W5" s="67">
        <f t="array" aca="1" ref="W5" ca="1">SUM(OFFSET(W$12, 0, 0, timeHorizon*E.cyclesPerYear) / (1+DQALYs)^(OFFSET($D$12, 0, 0, timeHorizon*E.cyclesPerYear)/E.cyclesPerYear))</f>
        <v>0</v>
      </c>
      <c r="X5" s="67">
        <f t="array" aca="1" ref="X5" ca="1">SUM(OFFSET(X$12, 0, 0, timeHorizon*E.cyclesPerYear) / (1+DQALYs)^(OFFSET($D$12, 0, 0, timeHorizon*E.cyclesPerYear)/E.cyclesPerYear))</f>
        <v>317.19516360652653</v>
      </c>
      <c r="Y5" s="67">
        <f t="array" aca="1" ref="Y5" ca="1">SUM(OFFSET(Y$12, 0, 0, timeHorizon*E.cyclesPerYear) / (1+DQALYs)^(OFFSET($D$12, 0, 0, timeHorizon*E.cyclesPerYear)/E.cyclesPerYear))</f>
        <v>647.04061608638631</v>
      </c>
      <c r="Z5" s="67">
        <f t="array" aca="1" ref="Z5" ca="1">SUM(OFFSET(Z$12, 0, 0, timeHorizon*E.cyclesPerYear) / (1+DQALYs)^(OFFSET($D$12, 0, 0, timeHorizon*E.cyclesPerYear)/E.cyclesPerYear))</f>
        <v>61.30524293676563</v>
      </c>
      <c r="AA5" s="67">
        <f t="array" aca="1" ref="AA5" ca="1">SUM(OFFSET(AA$12, 0, 0, timeHorizon*E.cyclesPerYear) / (1+DQALYs)^(OFFSET($D$12, 0, 0, timeHorizon*E.cyclesPerYear)/E.cyclesPerYear))</f>
        <v>3396.7128698242932</v>
      </c>
      <c r="AB5" s="67">
        <f t="array" aca="1" ref="AB5" ca="1">SUM(OFFSET(AB$12, 0, 0, timeHorizon*E.cyclesPerYear) / (1+DQALYs)^(OFFSET($D$12, 0, 0, timeHorizon*E.cyclesPerYear)/E.cyclesPerYear))</f>
        <v>7774.3983464359962</v>
      </c>
      <c r="AC5" s="67">
        <f t="array" aca="1" ref="AC5" ca="1">SUM(OFFSET(AC$12, 0, 0, timeHorizon*E.cyclesPerYear) / (1+DQALYs)^(OFFSET($D$12, 0, 0, timeHorizon*E.cyclesPerYear)/E.cyclesPerYear))</f>
        <v>20632.564989416343</v>
      </c>
      <c r="AD5" s="67">
        <f t="array" aca="1" ref="AD5" ca="1">SUM(OFFSET(AD$12, 0, 0, timeHorizon*E.cyclesPerYear) / (1+DQALYs)^(OFFSET($D$12, 0, 0, timeHorizon*E.cyclesPerYear)/E.cyclesPerYear))</f>
        <v>2227.3909187130603</v>
      </c>
      <c r="AE5" s="67">
        <f t="array" aca="1" ref="AE5" ca="1">SUM(OFFSET(AE$12, 0, 0, timeHorizon*E.cyclesPerYear) / (1+DQALYs)^(OFFSET($D$12, 0, 0, timeHorizon*E.cyclesPerYear)/E.cyclesPerYear))</f>
        <v>2550.3777925511699</v>
      </c>
      <c r="AF5" s="67">
        <f t="array" aca="1" ref="AF5" ca="1">SUM(OFFSET(AF$12, 0, 0, timeHorizon*E.cyclesPerYear) / (1+DQALYs)^(OFFSET($D$12, 0, 0, timeHorizon*E.cyclesPerYear)/E.cyclesPerYear))</f>
        <v>0</v>
      </c>
      <c r="AG5" s="67">
        <f t="array" aca="1" ref="AG5" ca="1">SUM(OFFSET(AG$12, 0, 0, timeHorizon*E.cyclesPerYear) / (1+DQALYs)^(OFFSET($D$12, 0, 0, timeHorizon*E.cyclesPerYear)/E.cyclesPerYear))</f>
        <v>0</v>
      </c>
      <c r="AH5" s="67">
        <f t="array" aca="1" ref="AH5" ca="1">SUM(OFFSET(AH$12, 0, 0, timeHorizon*E.cyclesPerYear) / (1+DQALYs)^(OFFSET($D$12, 0, 0, timeHorizon*E.cyclesPerYear)/E.cyclesPerYear))</f>
        <v>50005.372494009644</v>
      </c>
    </row>
    <row r="6" spans="1:34" ht="12" customHeight="1" thickBot="1" x14ac:dyDescent="0.3">
      <c r="G6" s="57" t="s">
        <v>236</v>
      </c>
      <c r="H6" s="187" cm="1">
        <f t="array" ref="H6">INDEX(E.rngC.byState, H$3)</f>
        <v>803.76917670526291</v>
      </c>
      <c r="I6" s="187" cm="1">
        <f t="array" ref="I6">INDEX(E.rngC.byState, I$3)</f>
        <v>794.66817856240584</v>
      </c>
      <c r="J6" s="187" cm="1">
        <f t="array" ref="J6">INDEX(E.rngC.byState, J$3)</f>
        <v>873.03814521432787</v>
      </c>
      <c r="K6" s="187" cm="1">
        <f t="array" ref="K6">INDEX(E.rngC.byState, K$3)</f>
        <v>4322.2755506855701</v>
      </c>
      <c r="L6" s="187" cm="1">
        <f t="array" ref="L6">INDEX(E.rngC.byState, L$3)</f>
        <v>4800.2901669195071</v>
      </c>
      <c r="M6" s="187" cm="1">
        <f t="array" ref="M6">INDEX(E.rngC.byState, M$3)</f>
        <v>803.76917670526291</v>
      </c>
      <c r="N6" s="187" cm="1">
        <f t="array" ref="N6">INDEX(E.rngC.byState, N$3)</f>
        <v>3868.840417537634</v>
      </c>
      <c r="O6" s="187" cm="1">
        <f t="array" ref="O6">INDEX(E.rngC.byState, O$3)</f>
        <v>6126.7592498544172</v>
      </c>
      <c r="P6" s="187" cm="1">
        <f t="array" ref="P6">INDEX(E.rngC.byState, P$3)</f>
        <v>28366.318824200425</v>
      </c>
      <c r="Q6" s="187" cm="1">
        <f t="array" ref="Q6">INDEX(E.rngC.byState, Q$3)</f>
        <v>2425.914515081316</v>
      </c>
      <c r="R6" s="187" cm="1">
        <f t="array" ref="R6">INDEX(E.rngC.byState, R$3)</f>
        <v>0</v>
      </c>
      <c r="S6" s="187" cm="1">
        <f t="array" ref="S6">INDEX(E.rngC.byState, S$3)</f>
        <v>0</v>
      </c>
      <c r="T6"/>
      <c r="V6" s="187" cm="1">
        <f t="array" ref="V6">INDEX(E.rngC.byState, V$3)</f>
        <v>803.76917670526291</v>
      </c>
      <c r="W6" s="187" cm="1">
        <f t="array" ref="W6">INDEX(E.rngC.byState, W$3)</f>
        <v>794.66817856240584</v>
      </c>
      <c r="X6" s="187" cm="1">
        <f t="array" ref="X6">INDEX(E.rngC.byState, X$3)</f>
        <v>873.03814521432787</v>
      </c>
      <c r="Y6" s="187" cm="1">
        <f t="array" ref="Y6">INDEX(E.rngC.byState, Y$3)</f>
        <v>4322.2755506855701</v>
      </c>
      <c r="Z6" s="187" cm="1">
        <f t="array" ref="Z6">INDEX(E.rngC.byState, Z$3)</f>
        <v>4800.2901669195071</v>
      </c>
      <c r="AA6" s="187" cm="1">
        <f t="array" ref="AA6">INDEX(E.rngC.byState, AA$3)</f>
        <v>803.76917670526291</v>
      </c>
      <c r="AB6" s="187" cm="1">
        <f t="array" ref="AB6">INDEX(E.rngC.byState, AB$3)</f>
        <v>3868.840417537634</v>
      </c>
      <c r="AC6" s="187" cm="1">
        <f t="array" ref="AC6">INDEX(E.rngC.byState, AC$3)</f>
        <v>6126.7592498544172</v>
      </c>
      <c r="AD6" s="187" cm="1">
        <f t="array" ref="AD6">INDEX(E.rngC.byState, AD$3)</f>
        <v>28366.318824200425</v>
      </c>
      <c r="AE6" s="187" cm="1">
        <f t="array" ref="AE6">INDEX(E.rngC.byState, AE$3)</f>
        <v>2425.914515081316</v>
      </c>
      <c r="AF6" s="187" cm="1">
        <f t="array" ref="AF6">INDEX(E.rngC.byState, AF$3)</f>
        <v>0</v>
      </c>
      <c r="AG6" s="187" cm="1">
        <f t="array" ref="AG6">INDEX(E.rngC.byState, AG$3)</f>
        <v>0</v>
      </c>
      <c r="AH6"/>
    </row>
    <row r="7" spans="1:34" ht="12" customHeight="1" thickBot="1" x14ac:dyDescent="0.3">
      <c r="D7" s="531" t="s">
        <v>31</v>
      </c>
      <c r="E7" s="452" t="s">
        <v>92</v>
      </c>
      <c r="F7" s="446" t="s">
        <v>30</v>
      </c>
      <c r="G7" s="446"/>
      <c r="H7" s="535" t="str">
        <f>INDEX(rngStrats, H2)</f>
        <v>HPE</v>
      </c>
      <c r="I7" s="535"/>
      <c r="J7" s="535"/>
      <c r="K7" s="535"/>
      <c r="L7" s="535"/>
      <c r="M7" s="535"/>
      <c r="N7" s="535"/>
      <c r="O7" s="535"/>
      <c r="P7" s="535"/>
      <c r="Q7" s="535"/>
      <c r="R7" s="535"/>
      <c r="S7" s="535"/>
      <c r="T7" s="536"/>
      <c r="V7" s="535" t="str">
        <f>INDEX(rngStrats, V2)</f>
        <v>No HPE</v>
      </c>
      <c r="W7" s="535"/>
      <c r="X7" s="535"/>
      <c r="Y7" s="535"/>
      <c r="Z7" s="535"/>
      <c r="AA7" s="535"/>
      <c r="AB7" s="535"/>
      <c r="AC7" s="535"/>
      <c r="AD7" s="535"/>
      <c r="AE7" s="535"/>
      <c r="AF7" s="535"/>
      <c r="AG7" s="535"/>
      <c r="AH7" s="536"/>
    </row>
    <row r="8" spans="1:34" ht="12" customHeight="1" thickBot="1" x14ac:dyDescent="0.3">
      <c r="D8" s="532"/>
      <c r="E8" s="452"/>
      <c r="F8" s="466"/>
      <c r="G8" s="466"/>
      <c r="H8" s="452" t="s">
        <v>86</v>
      </c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514" t="s">
        <v>37</v>
      </c>
      <c r="V8" s="452" t="s">
        <v>86</v>
      </c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514" t="s">
        <v>37</v>
      </c>
    </row>
    <row r="9" spans="1:34" ht="12" customHeight="1" thickBot="1" x14ac:dyDescent="0.3">
      <c r="D9" s="532"/>
      <c r="E9" s="452"/>
      <c r="F9" s="466"/>
      <c r="G9" s="466"/>
      <c r="H9" s="501" t="str">
        <f t="shared" ref="H9:S9" ca="1" si="6">INDEX(K.rngStates, H$3)</f>
        <v>No event no NSAID</v>
      </c>
      <c r="I9" s="501" t="str">
        <f t="shared" ca="1" si="6"/>
        <v>No event + NSAID</v>
      </c>
      <c r="J9" s="501" t="str">
        <f t="shared" ca="1" si="6"/>
        <v>Primary care AKI</v>
      </c>
      <c r="K9" s="501" t="str">
        <f t="shared" ca="1" si="6"/>
        <v>Secondary care AKI (no RRT)</v>
      </c>
      <c r="L9" s="501" t="str">
        <f t="shared" ca="1" si="6"/>
        <v>Secondary care AKI (with RRT)</v>
      </c>
      <c r="M9" s="501" t="str">
        <f t="shared" ca="1" si="6"/>
        <v>Post-event CKD stage 3b-4</v>
      </c>
      <c r="N9" s="501" t="str">
        <f t="shared" ca="1" si="6"/>
        <v>ESRD</v>
      </c>
      <c r="O9" s="501" t="str">
        <f t="shared" ca="1" si="6"/>
        <v>ESRD+RRT</v>
      </c>
      <c r="P9" s="501" t="str">
        <f t="shared" ca="1" si="6"/>
        <v>Transplant</v>
      </c>
      <c r="Q9" s="501" t="str">
        <f t="shared" ca="1" si="6"/>
        <v>Post-transplant</v>
      </c>
      <c r="R9" s="501" t="str">
        <f t="shared" ca="1" si="6"/>
        <v>Dead (AKI)</v>
      </c>
      <c r="S9" s="501" t="str">
        <f t="shared" ca="1" si="6"/>
        <v>Dead (other)</v>
      </c>
      <c r="T9" s="515"/>
      <c r="V9" s="501" t="str">
        <f t="shared" ref="V9:AG9" ca="1" si="7">INDEX(K.rngStates, V$3)</f>
        <v>No event no NSAID</v>
      </c>
      <c r="W9" s="501" t="str">
        <f t="shared" ca="1" si="7"/>
        <v>No event + NSAID</v>
      </c>
      <c r="X9" s="501" t="str">
        <f t="shared" ca="1" si="7"/>
        <v>Primary care AKI</v>
      </c>
      <c r="Y9" s="501" t="str">
        <f t="shared" ca="1" si="7"/>
        <v>Secondary care AKI (no RRT)</v>
      </c>
      <c r="Z9" s="501" t="str">
        <f t="shared" ca="1" si="7"/>
        <v>Secondary care AKI (with RRT)</v>
      </c>
      <c r="AA9" s="501" t="str">
        <f t="shared" ca="1" si="7"/>
        <v>Post-event CKD stage 3b-4</v>
      </c>
      <c r="AB9" s="501" t="str">
        <f t="shared" ca="1" si="7"/>
        <v>ESRD</v>
      </c>
      <c r="AC9" s="501" t="str">
        <f t="shared" ca="1" si="7"/>
        <v>ESRD+RRT</v>
      </c>
      <c r="AD9" s="501" t="str">
        <f t="shared" ca="1" si="7"/>
        <v>Transplant</v>
      </c>
      <c r="AE9" s="501" t="str">
        <f t="shared" ca="1" si="7"/>
        <v>Post-transplant</v>
      </c>
      <c r="AF9" s="501" t="str">
        <f t="shared" ca="1" si="7"/>
        <v>Dead (AKI)</v>
      </c>
      <c r="AG9" s="501" t="str">
        <f t="shared" ca="1" si="7"/>
        <v>Dead (other)</v>
      </c>
      <c r="AH9" s="515"/>
    </row>
    <row r="10" spans="1:34" ht="12" customHeight="1" thickBot="1" x14ac:dyDescent="0.3">
      <c r="D10" s="532"/>
      <c r="E10" s="452"/>
      <c r="F10" s="466"/>
      <c r="G10" s="466"/>
      <c r="H10" s="502"/>
      <c r="I10" s="502"/>
      <c r="J10" s="502"/>
      <c r="K10" s="502"/>
      <c r="L10" s="502"/>
      <c r="M10" s="502"/>
      <c r="N10" s="502"/>
      <c r="O10" s="502"/>
      <c r="P10" s="502"/>
      <c r="Q10" s="502"/>
      <c r="R10" s="502"/>
      <c r="S10" s="502"/>
      <c r="T10" s="515"/>
      <c r="V10" s="502"/>
      <c r="W10" s="502"/>
      <c r="X10" s="502"/>
      <c r="Y10" s="502"/>
      <c r="Z10" s="502"/>
      <c r="AA10" s="502"/>
      <c r="AB10" s="502"/>
      <c r="AC10" s="502"/>
      <c r="AD10" s="502"/>
      <c r="AE10" s="502"/>
      <c r="AF10" s="502"/>
      <c r="AG10" s="502"/>
      <c r="AH10" s="515"/>
    </row>
    <row r="11" spans="1:34" ht="12" customHeight="1" thickBot="1" x14ac:dyDescent="0.3">
      <c r="D11" s="533"/>
      <c r="E11" s="452"/>
      <c r="F11" s="447"/>
      <c r="G11" s="447"/>
      <c r="H11" s="527"/>
      <c r="I11" s="527"/>
      <c r="J11" s="527"/>
      <c r="K11" s="527"/>
      <c r="L11" s="527"/>
      <c r="M11" s="527"/>
      <c r="N11" s="527"/>
      <c r="O11" s="527"/>
      <c r="P11" s="527"/>
      <c r="Q11" s="527"/>
      <c r="R11" s="527"/>
      <c r="S11" s="527"/>
      <c r="T11" s="516"/>
      <c r="V11" s="527"/>
      <c r="W11" s="527"/>
      <c r="X11" s="527"/>
      <c r="Y11" s="527"/>
      <c r="Z11" s="527"/>
      <c r="AA11" s="527"/>
      <c r="AB11" s="527"/>
      <c r="AC11" s="527"/>
      <c r="AD11" s="527"/>
      <c r="AE11" s="527"/>
      <c r="AF11" s="527"/>
      <c r="AG11" s="527"/>
      <c r="AH11" s="516"/>
    </row>
    <row r="12" spans="1:34" ht="12" customHeight="1" x14ac:dyDescent="0.25">
      <c r="D12" s="62">
        <v>0</v>
      </c>
      <c r="E12" s="63">
        <v>0</v>
      </c>
      <c r="F12" s="43">
        <f t="shared" ref="F12:F75" si="8">E.cohortAge+D12*E.cycleLength</f>
        <v>70</v>
      </c>
      <c r="H12" s="42">
        <f t="shared" ref="H12:S21" ca="1" si="9">PRODUCT(AVERAGE(OFFSET(E.Trace.Markov.Root, $D12, (H$2-1)*E.Trace.Markov.NumCols+H$3-1, CHOOSE(swtchHalfCycle, 2, 1))) + N("halfcycle-adjusted state occupancy"),
H$6 + N("state cost"))</f>
        <v>0</v>
      </c>
      <c r="I12" s="42">
        <f t="shared" ca="1" si="9"/>
        <v>770.28923372020643</v>
      </c>
      <c r="J12" s="42">
        <f t="shared" ca="1" si="9"/>
        <v>11.452367666896006</v>
      </c>
      <c r="K12" s="42">
        <f t="shared" ca="1" si="9"/>
        <v>23.501595314279243</v>
      </c>
      <c r="L12" s="42">
        <f t="shared" ca="1" si="9"/>
        <v>2.2353024006467983</v>
      </c>
      <c r="M12" s="42">
        <f t="shared" ca="1" si="9"/>
        <v>0</v>
      </c>
      <c r="N12" s="42">
        <f t="shared" ca="1" si="9"/>
        <v>12.976641375839273</v>
      </c>
      <c r="O12" s="42">
        <f t="shared" ca="1" si="9"/>
        <v>28.182575645674522</v>
      </c>
      <c r="P12" s="42">
        <f t="shared" ca="1" si="9"/>
        <v>0</v>
      </c>
      <c r="Q12" s="42">
        <f t="shared" ca="1" si="9"/>
        <v>0</v>
      </c>
      <c r="R12" s="42">
        <f t="shared" ca="1" si="9"/>
        <v>0</v>
      </c>
      <c r="S12" s="42">
        <f t="shared" ca="1" si="9"/>
        <v>0</v>
      </c>
      <c r="T12" s="51">
        <f ca="1" xml:space="preserve"> SUM(H12:S12)</f>
        <v>848.63771612354219</v>
      </c>
      <c r="V12" s="42">
        <f t="shared" ref="V12:AG21" ca="1" si="10">PRODUCT(AVERAGE(OFFSET(E.Trace.Markov.Root, $D12, (V$2-1)*E.Trace.Markov.NumCols+V$3-1, CHOOSE(swtchHalfCycle, 2, 1))) + N("halfcycle-adjusted state occupancy"),
V$6 + N("state cost"))</f>
        <v>784.94235784782029</v>
      </c>
      <c r="W12" s="42">
        <f t="shared" ca="1" si="10"/>
        <v>0</v>
      </c>
      <c r="X12" s="42">
        <f t="shared" ca="1" si="10"/>
        <v>7.0979669870237219</v>
      </c>
      <c r="Y12" s="42">
        <f t="shared" ca="1" si="10"/>
        <v>14.479013109864965</v>
      </c>
      <c r="Z12" s="42">
        <f t="shared" ca="1" si="10"/>
        <v>1.3718449725053696</v>
      </c>
      <c r="AA12" s="42">
        <f t="shared" ca="1" si="10"/>
        <v>0</v>
      </c>
      <c r="AB12" s="42">
        <f t="shared" ca="1" si="10"/>
        <v>12.976641375839273</v>
      </c>
      <c r="AC12" s="42">
        <f t="shared" ca="1" si="10"/>
        <v>28.182575645674522</v>
      </c>
      <c r="AD12" s="42">
        <f t="shared" ca="1" si="10"/>
        <v>0</v>
      </c>
      <c r="AE12" s="42">
        <f t="shared" ca="1" si="10"/>
        <v>0</v>
      </c>
      <c r="AF12" s="42">
        <f t="shared" ca="1" si="10"/>
        <v>0</v>
      </c>
      <c r="AG12" s="42">
        <f t="shared" ca="1" si="10"/>
        <v>0</v>
      </c>
      <c r="AH12" s="51">
        <f ca="1" xml:space="preserve"> SUM(V12:AG12)</f>
        <v>849.05039993872811</v>
      </c>
    </row>
    <row r="13" spans="1:34" ht="12" customHeight="1" x14ac:dyDescent="0.25">
      <c r="D13" s="62">
        <f>D12+1</f>
        <v>1</v>
      </c>
      <c r="E13" s="63">
        <f t="shared" ref="E13:E76" si="11">D13*E.cycleLength</f>
        <v>0.25</v>
      </c>
      <c r="F13" s="43">
        <f t="shared" si="8"/>
        <v>70.25</v>
      </c>
      <c r="H13" s="42">
        <f t="shared" ca="1" si="9"/>
        <v>0</v>
      </c>
      <c r="I13" s="42">
        <f t="shared" ca="1" si="9"/>
        <v>723.02714559840251</v>
      </c>
      <c r="J13" s="42">
        <f t="shared" ca="1" si="9"/>
        <v>22.202060564131735</v>
      </c>
      <c r="K13" s="42">
        <f t="shared" ca="1" si="9"/>
        <v>45.561219976337348</v>
      </c>
      <c r="L13" s="42">
        <f t="shared" ca="1" si="9"/>
        <v>4.333454943274651</v>
      </c>
      <c r="M13" s="42">
        <f t="shared" ca="1" si="9"/>
        <v>11.126257404361137</v>
      </c>
      <c r="N13" s="42">
        <f t="shared" ca="1" si="9"/>
        <v>46.151263460180644</v>
      </c>
      <c r="O13" s="42">
        <f t="shared" ca="1" si="9"/>
        <v>82.63510356242486</v>
      </c>
      <c r="P13" s="42">
        <f t="shared" ca="1" si="9"/>
        <v>3.3746012924958118</v>
      </c>
      <c r="Q13" s="42">
        <f t="shared" ca="1" si="9"/>
        <v>0</v>
      </c>
      <c r="R13" s="42">
        <f t="shared" ca="1" si="9"/>
        <v>0</v>
      </c>
      <c r="S13" s="42">
        <f t="shared" ca="1" si="9"/>
        <v>0</v>
      </c>
      <c r="T13" s="51">
        <f t="shared" ref="T13:T76" ca="1" si="12" xml:space="preserve"> SUM(H13:S13)</f>
        <v>938.41110680160887</v>
      </c>
      <c r="V13" s="42">
        <f t="shared" ca="1" si="10"/>
        <v>748.170687539906</v>
      </c>
      <c r="W13" s="42">
        <f t="shared" ca="1" si="10"/>
        <v>0</v>
      </c>
      <c r="X13" s="42">
        <f t="shared" ca="1" si="10"/>
        <v>13.863420255945998</v>
      </c>
      <c r="Y13" s="42">
        <f t="shared" ca="1" si="10"/>
        <v>28.279737564344178</v>
      </c>
      <c r="Z13" s="42">
        <f t="shared" ca="1" si="10"/>
        <v>2.6794240399564515</v>
      </c>
      <c r="AA13" s="42">
        <f t="shared" ca="1" si="10"/>
        <v>6.8860020455479445</v>
      </c>
      <c r="AB13" s="42">
        <f t="shared" ca="1" si="10"/>
        <v>42.955496802120173</v>
      </c>
      <c r="AC13" s="42">
        <f t="shared" ca="1" si="10"/>
        <v>83.029573016261367</v>
      </c>
      <c r="AD13" s="42">
        <f t="shared" ca="1" si="10"/>
        <v>3.3746012924958118</v>
      </c>
      <c r="AE13" s="42">
        <f t="shared" ca="1" si="10"/>
        <v>0</v>
      </c>
      <c r="AF13" s="42">
        <f t="shared" ca="1" si="10"/>
        <v>0</v>
      </c>
      <c r="AG13" s="42">
        <f t="shared" ca="1" si="10"/>
        <v>0</v>
      </c>
      <c r="AH13" s="51">
        <f t="shared" ref="AH13:AH76" ca="1" si="13" xml:space="preserve"> SUM(V13:AG13)</f>
        <v>929.23894255657785</v>
      </c>
    </row>
    <row r="14" spans="1:34" ht="12" customHeight="1" x14ac:dyDescent="0.25">
      <c r="D14" s="62">
        <f t="shared" ref="D14:D77" si="14">D13+1</f>
        <v>2</v>
      </c>
      <c r="E14" s="63">
        <f t="shared" si="11"/>
        <v>0.5</v>
      </c>
      <c r="F14" s="43">
        <f t="shared" si="8"/>
        <v>70.5</v>
      </c>
      <c r="H14" s="42">
        <f t="shared" ca="1" si="9"/>
        <v>0</v>
      </c>
      <c r="I14" s="42">
        <f t="shared" ca="1" si="9"/>
        <v>678.6648837702171</v>
      </c>
      <c r="J14" s="42">
        <f t="shared" ca="1" si="9"/>
        <v>21.03633321486387</v>
      </c>
      <c r="K14" s="42">
        <f t="shared" ca="1" si="9"/>
        <v>43.166607091592866</v>
      </c>
      <c r="L14" s="42">
        <f t="shared" ca="1" si="9"/>
        <v>4.1055500433730279</v>
      </c>
      <c r="M14" s="42">
        <f t="shared" ca="1" si="9"/>
        <v>32.174882010191482</v>
      </c>
      <c r="N14" s="42">
        <f t="shared" ca="1" si="9"/>
        <v>84.307925522201089</v>
      </c>
      <c r="O14" s="42">
        <f t="shared" ca="1" si="9"/>
        <v>134.59604398668455</v>
      </c>
      <c r="P14" s="42">
        <f t="shared" ca="1" si="9"/>
        <v>10.682816177501362</v>
      </c>
      <c r="Q14" s="42">
        <f t="shared" ca="1" si="9"/>
        <v>0.286230429353588</v>
      </c>
      <c r="R14" s="42">
        <f t="shared" ca="1" si="9"/>
        <v>0</v>
      </c>
      <c r="S14" s="42">
        <f t="shared" ca="1" si="9"/>
        <v>0</v>
      </c>
      <c r="T14" s="51">
        <f t="shared" ca="1" si="12"/>
        <v>1009.0212722459788</v>
      </c>
      <c r="V14" s="42">
        <f t="shared" ca="1" si="10"/>
        <v>713.12163510796097</v>
      </c>
      <c r="W14" s="42">
        <f t="shared" ca="1" si="10"/>
        <v>0</v>
      </c>
      <c r="X14" s="42">
        <f t="shared" ca="1" si="10"/>
        <v>13.335588403570288</v>
      </c>
      <c r="Y14" s="42">
        <f t="shared" ca="1" si="10"/>
        <v>27.203023017161307</v>
      </c>
      <c r="Z14" s="42">
        <f t="shared" ca="1" si="10"/>
        <v>2.5774084241704664</v>
      </c>
      <c r="AA14" s="42">
        <f t="shared" ca="1" si="10"/>
        <v>20.012838260488518</v>
      </c>
      <c r="AB14" s="42">
        <f t="shared" ca="1" si="10"/>
        <v>75.245595553318964</v>
      </c>
      <c r="AC14" s="42">
        <f t="shared" ca="1" si="10"/>
        <v>135.64919618926996</v>
      </c>
      <c r="AD14" s="42">
        <f t="shared" ca="1" si="10"/>
        <v>10.401551756600375</v>
      </c>
      <c r="AE14" s="42">
        <f t="shared" ca="1" si="10"/>
        <v>0.286230429353588</v>
      </c>
      <c r="AF14" s="42">
        <f t="shared" ca="1" si="10"/>
        <v>0</v>
      </c>
      <c r="AG14" s="42">
        <f t="shared" ca="1" si="10"/>
        <v>0</v>
      </c>
      <c r="AH14" s="51">
        <f t="shared" ca="1" si="13"/>
        <v>997.8330671418945</v>
      </c>
    </row>
    <row r="15" spans="1:34" ht="12" customHeight="1" x14ac:dyDescent="0.25">
      <c r="D15" s="62">
        <f t="shared" si="14"/>
        <v>3</v>
      </c>
      <c r="E15" s="63">
        <f t="shared" si="11"/>
        <v>0.75</v>
      </c>
      <c r="F15" s="43">
        <f t="shared" si="8"/>
        <v>70.75</v>
      </c>
      <c r="H15" s="42">
        <f t="shared" ca="1" si="9"/>
        <v>0</v>
      </c>
      <c r="I15" s="42">
        <f t="shared" ca="1" si="9"/>
        <v>637.02452565822432</v>
      </c>
      <c r="J15" s="42">
        <f t="shared" ca="1" si="9"/>
        <v>20.129433532507207</v>
      </c>
      <c r="K15" s="42">
        <f t="shared" ca="1" si="9"/>
        <v>41.300994656999727</v>
      </c>
      <c r="L15" s="42">
        <f t="shared" ca="1" si="9"/>
        <v>3.927829137315046</v>
      </c>
      <c r="M15" s="42">
        <f t="shared" ca="1" si="9"/>
        <v>51.104650274721081</v>
      </c>
      <c r="N15" s="42">
        <f t="shared" ca="1" si="9"/>
        <v>118.32284106322382</v>
      </c>
      <c r="O15" s="42">
        <f t="shared" ca="1" si="9"/>
        <v>185.30818619992922</v>
      </c>
      <c r="P15" s="42">
        <f t="shared" ca="1" si="9"/>
        <v>18.288844109870958</v>
      </c>
      <c r="Q15" s="42">
        <f t="shared" ca="1" si="9"/>
        <v>1.1899873660457043</v>
      </c>
      <c r="R15" s="42">
        <f t="shared" ca="1" si="9"/>
        <v>0</v>
      </c>
      <c r="S15" s="42">
        <f t="shared" ca="1" si="9"/>
        <v>0</v>
      </c>
      <c r="T15" s="51">
        <f t="shared" ca="1" si="12"/>
        <v>1076.5972919988369</v>
      </c>
      <c r="V15" s="42">
        <f t="shared" ca="1" si="10"/>
        <v>679.71450222303315</v>
      </c>
      <c r="W15" s="42">
        <f t="shared" ca="1" si="10"/>
        <v>0</v>
      </c>
      <c r="X15" s="42">
        <f t="shared" ca="1" si="10"/>
        <v>12.948404690881704</v>
      </c>
      <c r="Y15" s="42">
        <f t="shared" ca="1" si="10"/>
        <v>26.413214039154933</v>
      </c>
      <c r="Z15" s="42">
        <f t="shared" ca="1" si="10"/>
        <v>2.5025762883407507</v>
      </c>
      <c r="AA15" s="42">
        <f t="shared" ca="1" si="10"/>
        <v>32.012661015585223</v>
      </c>
      <c r="AB15" s="42">
        <f t="shared" ca="1" si="10"/>
        <v>104.33014313397604</v>
      </c>
      <c r="AC15" s="42">
        <f t="shared" ca="1" si="10"/>
        <v>186.79242571630945</v>
      </c>
      <c r="AD15" s="42">
        <f t="shared" ca="1" si="10"/>
        <v>17.486347941038797</v>
      </c>
      <c r="AE15" s="42">
        <f t="shared" ca="1" si="10"/>
        <v>1.1661307889337942</v>
      </c>
      <c r="AF15" s="42">
        <f t="shared" ca="1" si="10"/>
        <v>0</v>
      </c>
      <c r="AG15" s="42">
        <f t="shared" ca="1" si="10"/>
        <v>0</v>
      </c>
      <c r="AH15" s="51">
        <f t="shared" ca="1" si="13"/>
        <v>1063.3664058372538</v>
      </c>
    </row>
    <row r="16" spans="1:34" ht="12" customHeight="1" x14ac:dyDescent="0.25">
      <c r="D16" s="62">
        <f t="shared" si="14"/>
        <v>4</v>
      </c>
      <c r="E16" s="63">
        <f t="shared" si="11"/>
        <v>1</v>
      </c>
      <c r="F16" s="43">
        <f t="shared" si="8"/>
        <v>71</v>
      </c>
      <c r="H16" s="42">
        <f t="shared" ca="1" si="9"/>
        <v>0</v>
      </c>
      <c r="I16" s="42">
        <f t="shared" ca="1" si="9"/>
        <v>597.93906535391307</v>
      </c>
      <c r="J16" s="42">
        <f t="shared" ca="1" si="9"/>
        <v>19.263564715024923</v>
      </c>
      <c r="K16" s="42">
        <f t="shared" ca="1" si="9"/>
        <v>39.520040212898657</v>
      </c>
      <c r="L16" s="42">
        <f t="shared" ca="1" si="9"/>
        <v>3.758188203080989</v>
      </c>
      <c r="M16" s="42">
        <f t="shared" ca="1" si="9"/>
        <v>68.266037164145018</v>
      </c>
      <c r="N16" s="42">
        <f t="shared" ca="1" si="9"/>
        <v>148.68443791785671</v>
      </c>
      <c r="O16" s="42">
        <f t="shared" ca="1" si="9"/>
        <v>234.62566150475502</v>
      </c>
      <c r="P16" s="42">
        <f t="shared" ca="1" si="9"/>
        <v>25.398425811178104</v>
      </c>
      <c r="Q16" s="42">
        <f t="shared" ca="1" si="9"/>
        <v>2.731462677664624</v>
      </c>
      <c r="R16" s="42">
        <f t="shared" ca="1" si="9"/>
        <v>0</v>
      </c>
      <c r="S16" s="42">
        <f t="shared" ca="1" si="9"/>
        <v>0</v>
      </c>
      <c r="T16" s="51">
        <f t="shared" ca="1" si="12"/>
        <v>1140.1868835605171</v>
      </c>
      <c r="V16" s="42">
        <f t="shared" ca="1" si="10"/>
        <v>647.87237097688228</v>
      </c>
      <c r="W16" s="42">
        <f t="shared" ca="1" si="10"/>
        <v>0</v>
      </c>
      <c r="X16" s="42">
        <f t="shared" ca="1" si="10"/>
        <v>12.570315097535087</v>
      </c>
      <c r="Y16" s="42">
        <f t="shared" ca="1" si="10"/>
        <v>25.641955988958699</v>
      </c>
      <c r="Z16" s="42">
        <f t="shared" ca="1" si="10"/>
        <v>2.4295017997248713</v>
      </c>
      <c r="AA16" s="42">
        <f t="shared" ca="1" si="10"/>
        <v>43.074714754483253</v>
      </c>
      <c r="AB16" s="42">
        <f t="shared" ca="1" si="10"/>
        <v>130.54177407254167</v>
      </c>
      <c r="AC16" s="42">
        <f t="shared" ca="1" si="10"/>
        <v>236.36635347688733</v>
      </c>
      <c r="AD16" s="42">
        <f t="shared" ca="1" si="10"/>
        <v>24.148696161444509</v>
      </c>
      <c r="AE16" s="42">
        <f t="shared" ca="1" si="10"/>
        <v>2.6397349517471378</v>
      </c>
      <c r="AF16" s="42">
        <f t="shared" ca="1" si="10"/>
        <v>0</v>
      </c>
      <c r="AG16" s="42">
        <f t="shared" ca="1" si="10"/>
        <v>0</v>
      </c>
      <c r="AH16" s="51">
        <f t="shared" ca="1" si="13"/>
        <v>1125.2854172802049</v>
      </c>
    </row>
    <row r="17" spans="4:34" ht="12" customHeight="1" x14ac:dyDescent="0.25">
      <c r="D17" s="62">
        <f t="shared" si="14"/>
        <v>5</v>
      </c>
      <c r="E17" s="63">
        <f t="shared" si="11"/>
        <v>1.25</v>
      </c>
      <c r="F17" s="43">
        <f t="shared" si="8"/>
        <v>71.25</v>
      </c>
      <c r="H17" s="42">
        <f t="shared" ca="1" si="9"/>
        <v>0</v>
      </c>
      <c r="I17" s="42">
        <f t="shared" ca="1" si="9"/>
        <v>561.25174381140448</v>
      </c>
      <c r="J17" s="42">
        <f t="shared" ca="1" si="9"/>
        <v>18.440103133498429</v>
      </c>
      <c r="K17" s="42">
        <f t="shared" ca="1" si="9"/>
        <v>37.826492498871119</v>
      </c>
      <c r="L17" s="42">
        <f t="shared" ca="1" si="9"/>
        <v>3.5968840638200441</v>
      </c>
      <c r="M17" s="42">
        <f t="shared" ca="1" si="9"/>
        <v>83.781799276354846</v>
      </c>
      <c r="N17" s="42">
        <f t="shared" ca="1" si="9"/>
        <v>175.68741479332931</v>
      </c>
      <c r="O17" s="42">
        <f t="shared" ca="1" si="9"/>
        <v>282.44754255031864</v>
      </c>
      <c r="P17" s="42">
        <f t="shared" ca="1" si="9"/>
        <v>32.04813389894052</v>
      </c>
      <c r="Q17" s="42">
        <f t="shared" ca="1" si="9"/>
        <v>4.8633142005416703</v>
      </c>
      <c r="R17" s="42">
        <f t="shared" ca="1" si="9"/>
        <v>0</v>
      </c>
      <c r="S17" s="42">
        <f t="shared" ca="1" si="9"/>
        <v>0</v>
      </c>
      <c r="T17" s="51">
        <f t="shared" ca="1" si="12"/>
        <v>1199.943428227079</v>
      </c>
      <c r="V17" s="42">
        <f t="shared" ca="1" si="10"/>
        <v>617.52192678313509</v>
      </c>
      <c r="W17" s="42">
        <f t="shared" ca="1" si="10"/>
        <v>0</v>
      </c>
      <c r="X17" s="42">
        <f t="shared" ca="1" si="10"/>
        <v>12.20330350164663</v>
      </c>
      <c r="Y17" s="42">
        <f t="shared" ca="1" si="10"/>
        <v>24.893295743277609</v>
      </c>
      <c r="Z17" s="42">
        <f t="shared" ca="1" si="10"/>
        <v>2.3585683882859052</v>
      </c>
      <c r="AA17" s="42">
        <f t="shared" ca="1" si="10"/>
        <v>53.251753059634069</v>
      </c>
      <c r="AB17" s="42">
        <f t="shared" ca="1" si="10"/>
        <v>154.09376399555555</v>
      </c>
      <c r="AC17" s="42">
        <f t="shared" ca="1" si="10"/>
        <v>284.3076405491471</v>
      </c>
      <c r="AD17" s="42">
        <f t="shared" ca="1" si="10"/>
        <v>30.413985696080097</v>
      </c>
      <c r="AE17" s="42">
        <f t="shared" ca="1" si="10"/>
        <v>4.6663384653630979</v>
      </c>
      <c r="AF17" s="42">
        <f t="shared" ca="1" si="10"/>
        <v>0</v>
      </c>
      <c r="AG17" s="42">
        <f t="shared" ca="1" si="10"/>
        <v>0</v>
      </c>
      <c r="AH17" s="51">
        <f t="shared" ca="1" si="13"/>
        <v>1183.7105761821251</v>
      </c>
    </row>
    <row r="18" spans="4:34" ht="12" customHeight="1" x14ac:dyDescent="0.25">
      <c r="D18" s="62">
        <f t="shared" si="14"/>
        <v>6</v>
      </c>
      <c r="E18" s="63">
        <f t="shared" si="11"/>
        <v>1.5</v>
      </c>
      <c r="F18" s="43">
        <f t="shared" si="8"/>
        <v>71.5</v>
      </c>
      <c r="H18" s="42">
        <f t="shared" ca="1" si="9"/>
        <v>0</v>
      </c>
      <c r="I18" s="42">
        <f t="shared" ca="1" si="9"/>
        <v>526.81542013799606</v>
      </c>
      <c r="J18" s="42">
        <f t="shared" ca="1" si="9"/>
        <v>17.656698609904701</v>
      </c>
      <c r="K18" s="42">
        <f t="shared" ca="1" si="9"/>
        <v>36.21550214865551</v>
      </c>
      <c r="L18" s="42">
        <f t="shared" ca="1" si="9"/>
        <v>3.4434538655625171</v>
      </c>
      <c r="M18" s="42">
        <f t="shared" ca="1" si="9"/>
        <v>97.770271103271881</v>
      </c>
      <c r="N18" s="42">
        <f t="shared" ca="1" si="9"/>
        <v>199.60728439434178</v>
      </c>
      <c r="O18" s="42">
        <f t="shared" ca="1" si="9"/>
        <v>328.69056418458842</v>
      </c>
      <c r="P18" s="42">
        <f t="shared" ca="1" si="9"/>
        <v>38.25906678520505</v>
      </c>
      <c r="Q18" s="42">
        <f t="shared" ca="1" si="9"/>
        <v>7.5416903859308908</v>
      </c>
      <c r="R18" s="42">
        <f t="shared" ca="1" si="9"/>
        <v>0</v>
      </c>
      <c r="S18" s="42">
        <f t="shared" ca="1" si="9"/>
        <v>0</v>
      </c>
      <c r="T18" s="51">
        <f t="shared" ca="1" si="12"/>
        <v>1255.9999516154567</v>
      </c>
      <c r="V18" s="42">
        <f t="shared" ca="1" si="10"/>
        <v>588.59328957487298</v>
      </c>
      <c r="W18" s="42">
        <f t="shared" ca="1" si="10"/>
        <v>0</v>
      </c>
      <c r="X18" s="42">
        <f t="shared" ca="1" si="10"/>
        <v>11.847006760833457</v>
      </c>
      <c r="Y18" s="42">
        <f t="shared" ca="1" si="10"/>
        <v>24.166492534602881</v>
      </c>
      <c r="Z18" s="42">
        <f t="shared" ca="1" si="10"/>
        <v>2.2897058684266018</v>
      </c>
      <c r="AA18" s="42">
        <f t="shared" ca="1" si="10"/>
        <v>62.595982835674924</v>
      </c>
      <c r="AB18" s="42">
        <f t="shared" ca="1" si="10"/>
        <v>175.18644578791782</v>
      </c>
      <c r="AC18" s="42">
        <f t="shared" ca="1" si="10"/>
        <v>330.56571547325029</v>
      </c>
      <c r="AD18" s="42">
        <f t="shared" ca="1" si="10"/>
        <v>36.298212912411849</v>
      </c>
      <c r="AE18" s="42">
        <f t="shared" ca="1" si="10"/>
        <v>7.2077244532091518</v>
      </c>
      <c r="AF18" s="42">
        <f t="shared" ca="1" si="10"/>
        <v>0</v>
      </c>
      <c r="AG18" s="42">
        <f t="shared" ca="1" si="10"/>
        <v>0</v>
      </c>
      <c r="AH18" s="51">
        <f t="shared" ca="1" si="13"/>
        <v>1238.7505762011997</v>
      </c>
    </row>
    <row r="19" spans="4:34" ht="12" customHeight="1" x14ac:dyDescent="0.25">
      <c r="D19" s="62">
        <f t="shared" si="14"/>
        <v>7</v>
      </c>
      <c r="E19" s="63">
        <f t="shared" si="11"/>
        <v>1.75</v>
      </c>
      <c r="F19" s="43">
        <f t="shared" si="8"/>
        <v>71.75</v>
      </c>
      <c r="H19" s="42">
        <f t="shared" ca="1" si="9"/>
        <v>0</v>
      </c>
      <c r="I19" s="42">
        <f t="shared" ca="1" si="9"/>
        <v>494.49198145998508</v>
      </c>
      <c r="J19" s="42">
        <f t="shared" ca="1" si="9"/>
        <v>16.9112000884938</v>
      </c>
      <c r="K19" s="42">
        <f t="shared" ca="1" si="9"/>
        <v>34.682629373716658</v>
      </c>
      <c r="L19" s="42">
        <f t="shared" ca="1" si="9"/>
        <v>3.2974737686775248</v>
      </c>
      <c r="M19" s="42">
        <f t="shared" ca="1" si="9"/>
        <v>110.34195733602415</v>
      </c>
      <c r="N19" s="42">
        <f t="shared" ca="1" si="9"/>
        <v>220.69891388222135</v>
      </c>
      <c r="O19" s="42">
        <f t="shared" ca="1" si="9"/>
        <v>373.2877812860342</v>
      </c>
      <c r="P19" s="42">
        <f t="shared" ca="1" si="9"/>
        <v>44.051780662603271</v>
      </c>
      <c r="Q19" s="42">
        <f t="shared" ca="1" si="9"/>
        <v>10.724889143596481</v>
      </c>
      <c r="R19" s="42">
        <f t="shared" ca="1" si="9"/>
        <v>0</v>
      </c>
      <c r="S19" s="42">
        <f t="shared" ca="1" si="9"/>
        <v>0</v>
      </c>
      <c r="T19" s="51">
        <f t="shared" ca="1" si="12"/>
        <v>1308.4886070013526</v>
      </c>
      <c r="V19" s="42">
        <f t="shared" ca="1" si="10"/>
        <v>561.01985290999369</v>
      </c>
      <c r="W19" s="42">
        <f t="shared" ca="1" si="10"/>
        <v>0</v>
      </c>
      <c r="X19" s="42">
        <f t="shared" ca="1" si="10"/>
        <v>11.501112736919417</v>
      </c>
      <c r="Y19" s="42">
        <f t="shared" ca="1" si="10"/>
        <v>23.460909637974716</v>
      </c>
      <c r="Z19" s="42">
        <f t="shared" ca="1" si="10"/>
        <v>2.2228539122828757</v>
      </c>
      <c r="AA19" s="42">
        <f t="shared" ca="1" si="10"/>
        <v>71.15681298730884</v>
      </c>
      <c r="AB19" s="42">
        <f t="shared" ca="1" si="10"/>
        <v>194.00633090202524</v>
      </c>
      <c r="AC19" s="42">
        <f t="shared" ca="1" si="10"/>
        <v>375.10179340445933</v>
      </c>
      <c r="AD19" s="42">
        <f t="shared" ca="1" si="10"/>
        <v>41.817072312824187</v>
      </c>
      <c r="AE19" s="42">
        <f t="shared" ca="1" si="10"/>
        <v>10.227346500153578</v>
      </c>
      <c r="AF19" s="42">
        <f t="shared" ca="1" si="10"/>
        <v>0</v>
      </c>
      <c r="AG19" s="42">
        <f t="shared" ca="1" si="10"/>
        <v>0</v>
      </c>
      <c r="AH19" s="51">
        <f t="shared" ca="1" si="13"/>
        <v>1290.5140853039418</v>
      </c>
    </row>
    <row r="20" spans="4:34" ht="12" customHeight="1" x14ac:dyDescent="0.25">
      <c r="D20" s="62">
        <f t="shared" si="14"/>
        <v>8</v>
      </c>
      <c r="E20" s="63">
        <f t="shared" si="11"/>
        <v>2</v>
      </c>
      <c r="F20" s="43">
        <f t="shared" si="8"/>
        <v>72</v>
      </c>
      <c r="H20" s="42">
        <f t="shared" ca="1" si="9"/>
        <v>0</v>
      </c>
      <c r="I20" s="42">
        <f t="shared" ca="1" si="9"/>
        <v>464.15178899693387</v>
      </c>
      <c r="J20" s="42">
        <f t="shared" ca="1" si="9"/>
        <v>16.201578440640549</v>
      </c>
      <c r="K20" s="42">
        <f t="shared" ca="1" si="9"/>
        <v>33.223686286163016</v>
      </c>
      <c r="L20" s="42">
        <f t="shared" ca="1" si="9"/>
        <v>3.1585439956579915</v>
      </c>
      <c r="M20" s="42">
        <f t="shared" ca="1" si="9"/>
        <v>121.60009322294864</v>
      </c>
      <c r="N20" s="42">
        <f t="shared" ca="1" si="9"/>
        <v>239.19805780507531</v>
      </c>
      <c r="O20" s="42">
        <f t="shared" ca="1" si="9"/>
        <v>416.18691965686554</v>
      </c>
      <c r="P20" s="42">
        <f t="shared" ca="1" si="9"/>
        <v>49.446046940804024</v>
      </c>
      <c r="Q20" s="42">
        <f t="shared" ca="1" si="9"/>
        <v>14.373294209606406</v>
      </c>
      <c r="R20" s="42">
        <f t="shared" ca="1" si="9"/>
        <v>0</v>
      </c>
      <c r="S20" s="42">
        <f t="shared" ca="1" si="9"/>
        <v>0</v>
      </c>
      <c r="T20" s="51">
        <f t="shared" ca="1" si="12"/>
        <v>1357.5400095546954</v>
      </c>
      <c r="V20" s="42">
        <f t="shared" ca="1" si="10"/>
        <v>534.73813061389569</v>
      </c>
      <c r="W20" s="42">
        <f t="shared" ca="1" si="10"/>
        <v>0</v>
      </c>
      <c r="X20" s="42">
        <f t="shared" ca="1" si="10"/>
        <v>11.165317692074662</v>
      </c>
      <c r="Y20" s="42">
        <f t="shared" ca="1" si="10"/>
        <v>22.77592746414615</v>
      </c>
      <c r="Z20" s="42">
        <f t="shared" ca="1" si="10"/>
        <v>2.1579538155502966</v>
      </c>
      <c r="AA20" s="42">
        <f t="shared" ca="1" si="10"/>
        <v>78.981034976418485</v>
      </c>
      <c r="AB20" s="42">
        <f t="shared" ca="1" si="10"/>
        <v>210.72705892903784</v>
      </c>
      <c r="AC20" s="42">
        <f t="shared" ca="1" si="10"/>
        <v>417.88771645542215</v>
      </c>
      <c r="AD20" s="42">
        <f t="shared" ca="1" si="10"/>
        <v>46.985797549802918</v>
      </c>
      <c r="AE20" s="42">
        <f t="shared" ca="1" si="10"/>
        <v>13.690289338289846</v>
      </c>
      <c r="AF20" s="42">
        <f t="shared" ca="1" si="10"/>
        <v>0</v>
      </c>
      <c r="AG20" s="42">
        <f t="shared" ca="1" si="10"/>
        <v>0</v>
      </c>
      <c r="AH20" s="51">
        <f t="shared" ca="1" si="13"/>
        <v>1339.1092268346381</v>
      </c>
    </row>
    <row r="21" spans="4:34" ht="12" customHeight="1" x14ac:dyDescent="0.25">
      <c r="D21" s="62">
        <f t="shared" si="14"/>
        <v>9</v>
      </c>
      <c r="E21" s="63">
        <f t="shared" si="11"/>
        <v>2.25</v>
      </c>
      <c r="F21" s="43">
        <f t="shared" si="8"/>
        <v>72.25</v>
      </c>
      <c r="H21" s="42">
        <f t="shared" ca="1" si="9"/>
        <v>0</v>
      </c>
      <c r="I21" s="42">
        <f t="shared" ca="1" si="9"/>
        <v>435.67315812276246</v>
      </c>
      <c r="J21" s="42">
        <f t="shared" ca="1" si="9"/>
        <v>15.52592039591069</v>
      </c>
      <c r="K21" s="42">
        <f t="shared" ca="1" si="9"/>
        <v>31.8347243234976</v>
      </c>
      <c r="L21" s="42">
        <f t="shared" ca="1" si="9"/>
        <v>3.0262876276714166</v>
      </c>
      <c r="M21" s="42">
        <f t="shared" ca="1" si="9"/>
        <v>131.64110376338976</v>
      </c>
      <c r="N21" s="42">
        <f t="shared" ca="1" si="9"/>
        <v>255.32273221127207</v>
      </c>
      <c r="O21" s="42">
        <f t="shared" ca="1" si="9"/>
        <v>457.34887167870426</v>
      </c>
      <c r="P21" s="42">
        <f t="shared" ca="1" si="9"/>
        <v>54.460877735042487</v>
      </c>
      <c r="Q21" s="42">
        <f t="shared" ca="1" si="9"/>
        <v>18.449291462380927</v>
      </c>
      <c r="R21" s="42">
        <f t="shared" ca="1" si="9"/>
        <v>0</v>
      </c>
      <c r="S21" s="42">
        <f t="shared" ca="1" si="9"/>
        <v>0</v>
      </c>
      <c r="T21" s="51">
        <f t="shared" ca="1" si="12"/>
        <v>1403.2829673206315</v>
      </c>
      <c r="V21" s="42">
        <f t="shared" ca="1" si="10"/>
        <v>509.68761060639127</v>
      </c>
      <c r="W21" s="42">
        <f t="shared" ca="1" si="10"/>
        <v>0</v>
      </c>
      <c r="X21" s="42">
        <f t="shared" ca="1" si="10"/>
        <v>10.839326769210436</v>
      </c>
      <c r="Y21" s="42">
        <f t="shared" ca="1" si="10"/>
        <v>22.110944539531665</v>
      </c>
      <c r="Z21" s="42">
        <f t="shared" ca="1" si="10"/>
        <v>2.0949485903314069</v>
      </c>
      <c r="AA21" s="42">
        <f t="shared" ca="1" si="10"/>
        <v>86.112953589150152</v>
      </c>
      <c r="AB21" s="42">
        <f t="shared" ca="1" si="10"/>
        <v>225.5102537131836</v>
      </c>
      <c r="AC21" s="42">
        <f t="shared" ca="1" si="10"/>
        <v>458.90489039424881</v>
      </c>
      <c r="AD21" s="42">
        <f t="shared" ca="1" si="10"/>
        <v>51.819166861807162</v>
      </c>
      <c r="AE21" s="42">
        <f t="shared" ca="1" si="10"/>
        <v>17.563216370453478</v>
      </c>
      <c r="AF21" s="42">
        <f t="shared" ca="1" si="10"/>
        <v>0</v>
      </c>
      <c r="AG21" s="42">
        <f t="shared" ca="1" si="10"/>
        <v>0</v>
      </c>
      <c r="AH21" s="51">
        <f t="shared" ca="1" si="13"/>
        <v>1384.6433114343083</v>
      </c>
    </row>
    <row r="22" spans="4:34" ht="12" customHeight="1" x14ac:dyDescent="0.25">
      <c r="D22" s="62">
        <f t="shared" si="14"/>
        <v>10</v>
      </c>
      <c r="E22" s="63">
        <f t="shared" si="11"/>
        <v>2.5</v>
      </c>
      <c r="F22" s="43">
        <f t="shared" si="8"/>
        <v>72.5</v>
      </c>
      <c r="H22" s="42">
        <f t="shared" ref="H22:S31" ca="1" si="15">PRODUCT(AVERAGE(OFFSET(E.Trace.Markov.Root, $D22, (H$2-1)*E.Trace.Markov.NumCols+H$3-1, CHOOSE(swtchHalfCycle, 2, 1))) + N("halfcycle-adjusted state occupancy"),
H$6 + N("state cost"))</f>
        <v>0</v>
      </c>
      <c r="I22" s="42">
        <f t="shared" ca="1" si="15"/>
        <v>408.94187032836248</v>
      </c>
      <c r="J22" s="42">
        <f t="shared" ca="1" si="15"/>
        <v>14.882421665997652</v>
      </c>
      <c r="K22" s="42">
        <f t="shared" ca="1" si="15"/>
        <v>30.512020038905813</v>
      </c>
      <c r="L22" s="42">
        <f t="shared" ca="1" si="15"/>
        <v>2.900349246985034</v>
      </c>
      <c r="M22" s="42">
        <f t="shared" ca="1" si="15"/>
        <v>140.5550354801031</v>
      </c>
      <c r="N22" s="42">
        <f t="shared" ca="1" si="15"/>
        <v>269.27449292446653</v>
      </c>
      <c r="O22" s="42">
        <f t="shared" ca="1" si="15"/>
        <v>496.74631810263048</v>
      </c>
      <c r="P22" s="42">
        <f t="shared" ca="1" si="15"/>
        <v>59.114546758319115</v>
      </c>
      <c r="Q22" s="42">
        <f t="shared" ca="1" si="15"/>
        <v>22.917188087489549</v>
      </c>
      <c r="R22" s="42">
        <f t="shared" ca="1" si="15"/>
        <v>0</v>
      </c>
      <c r="S22" s="42">
        <f t="shared" ca="1" si="15"/>
        <v>0</v>
      </c>
      <c r="T22" s="51">
        <f t="shared" ca="1" si="12"/>
        <v>1445.8442426332599</v>
      </c>
      <c r="V22" s="42">
        <f t="shared" ref="V22:AG31" ca="1" si="16">PRODUCT(AVERAGE(OFFSET(E.Trace.Markov.Root, $D22, (V$2-1)*E.Trace.Markov.NumCols+V$3-1, CHOOSE(swtchHalfCycle, 2, 1))) + N("halfcycle-adjusted state occupancy"),
V$6 + N("state cost"))</f>
        <v>485.81061557629209</v>
      </c>
      <c r="W22" s="42">
        <f t="shared" ca="1" si="16"/>
        <v>0</v>
      </c>
      <c r="X22" s="42">
        <f t="shared" ca="1" si="16"/>
        <v>10.522853719882811</v>
      </c>
      <c r="Y22" s="42">
        <f t="shared" ca="1" si="16"/>
        <v>21.465376951162956</v>
      </c>
      <c r="Z22" s="42">
        <f t="shared" ca="1" si="16"/>
        <v>2.033782912546874</v>
      </c>
      <c r="AA22" s="42">
        <f t="shared" ca="1" si="16"/>
        <v>92.594512043088656</v>
      </c>
      <c r="AB22" s="42">
        <f t="shared" ca="1" si="16"/>
        <v>238.50632390917374</v>
      </c>
      <c r="AC22" s="42">
        <f t="shared" ca="1" si="16"/>
        <v>498.14330611624041</v>
      </c>
      <c r="AD22" s="42">
        <f t="shared" ca="1" si="16"/>
        <v>56.331506641585712</v>
      </c>
      <c r="AE22" s="42">
        <f t="shared" ca="1" si="16"/>
        <v>21.814318085504958</v>
      </c>
      <c r="AF22" s="42">
        <f t="shared" ca="1" si="16"/>
        <v>0</v>
      </c>
      <c r="AG22" s="42">
        <f t="shared" ca="1" si="16"/>
        <v>0</v>
      </c>
      <c r="AH22" s="51">
        <f t="shared" ca="1" si="13"/>
        <v>1427.222595955478</v>
      </c>
    </row>
    <row r="23" spans="4:34" ht="12" customHeight="1" x14ac:dyDescent="0.25">
      <c r="D23" s="62">
        <f t="shared" si="14"/>
        <v>11</v>
      </c>
      <c r="E23" s="63">
        <f t="shared" si="11"/>
        <v>2.75</v>
      </c>
      <c r="F23" s="43">
        <f t="shared" si="8"/>
        <v>72.75</v>
      </c>
      <c r="H23" s="42">
        <f t="shared" ca="1" si="15"/>
        <v>0</v>
      </c>
      <c r="I23" s="42">
        <f t="shared" ca="1" si="15"/>
        <v>383.85071512837334</v>
      </c>
      <c r="J23" s="42">
        <f t="shared" ca="1" si="15"/>
        <v>14.269380503848881</v>
      </c>
      <c r="K23" s="42">
        <f t="shared" ca="1" si="15"/>
        <v>29.252061790528657</v>
      </c>
      <c r="L23" s="42">
        <f t="shared" ca="1" si="15"/>
        <v>2.7803936652572263</v>
      </c>
      <c r="M23" s="42">
        <f t="shared" ca="1" si="15"/>
        <v>148.42596127318853</v>
      </c>
      <c r="N23" s="42">
        <f t="shared" ca="1" si="15"/>
        <v>281.23962372158445</v>
      </c>
      <c r="O23" s="42">
        <f t="shared" ca="1" si="15"/>
        <v>534.36246642490767</v>
      </c>
      <c r="P23" s="42">
        <f t="shared" ca="1" si="15"/>
        <v>63.424610346484918</v>
      </c>
      <c r="Q23" s="42">
        <f t="shared" ca="1" si="15"/>
        <v>27.743134177958979</v>
      </c>
      <c r="R23" s="42">
        <f t="shared" ca="1" si="15"/>
        <v>0</v>
      </c>
      <c r="S23" s="42">
        <f t="shared" ca="1" si="15"/>
        <v>0</v>
      </c>
      <c r="T23" s="51">
        <f t="shared" ca="1" si="12"/>
        <v>1485.348347032133</v>
      </c>
      <c r="V23" s="42">
        <f t="shared" ca="1" si="16"/>
        <v>463.05217018287925</v>
      </c>
      <c r="W23" s="42">
        <f t="shared" ca="1" si="16"/>
        <v>0</v>
      </c>
      <c r="X23" s="42">
        <f t="shared" ca="1" si="16"/>
        <v>10.215620653174334</v>
      </c>
      <c r="Y23" s="42">
        <f t="shared" ca="1" si="16"/>
        <v>20.838657834437196</v>
      </c>
      <c r="Z23" s="42">
        <f t="shared" ca="1" si="16"/>
        <v>1.9744030734011064</v>
      </c>
      <c r="AA23" s="42">
        <f t="shared" ca="1" si="16"/>
        <v>98.465410969648971</v>
      </c>
      <c r="AB23" s="42">
        <f t="shared" ca="1" si="16"/>
        <v>249.85521103787153</v>
      </c>
      <c r="AC23" s="42">
        <f t="shared" ca="1" si="16"/>
        <v>535.60063983088821</v>
      </c>
      <c r="AD23" s="42">
        <f t="shared" ca="1" si="16"/>
        <v>60.536695955092718</v>
      </c>
      <c r="AE23" s="42">
        <f t="shared" ca="1" si="16"/>
        <v>26.413261199655334</v>
      </c>
      <c r="AF23" s="42">
        <f t="shared" ca="1" si="16"/>
        <v>0</v>
      </c>
      <c r="AG23" s="42">
        <f t="shared" ca="1" si="16"/>
        <v>0</v>
      </c>
      <c r="AH23" s="51">
        <f t="shared" ca="1" si="13"/>
        <v>1466.9520707370486</v>
      </c>
    </row>
    <row r="24" spans="4:34" ht="12" customHeight="1" x14ac:dyDescent="0.25">
      <c r="D24" s="62">
        <f t="shared" si="14"/>
        <v>12</v>
      </c>
      <c r="E24" s="63">
        <f t="shared" si="11"/>
        <v>3</v>
      </c>
      <c r="F24" s="43">
        <f t="shared" si="8"/>
        <v>73</v>
      </c>
      <c r="H24" s="42">
        <f t="shared" ca="1" si="15"/>
        <v>0</v>
      </c>
      <c r="I24" s="42">
        <f t="shared" ca="1" si="15"/>
        <v>360.2990600748584</v>
      </c>
      <c r="J24" s="42">
        <f t="shared" ca="1" si="15"/>
        <v>13.685191650447212</v>
      </c>
      <c r="K24" s="42">
        <f t="shared" ca="1" si="15"/>
        <v>28.051537232066124</v>
      </c>
      <c r="L24" s="42">
        <f t="shared" ca="1" si="15"/>
        <v>2.6661047284003176</v>
      </c>
      <c r="M24" s="42">
        <f t="shared" ca="1" si="15"/>
        <v>155.33236004005428</v>
      </c>
      <c r="N24" s="42">
        <f t="shared" ca="1" si="15"/>
        <v>291.39024069365024</v>
      </c>
      <c r="O24" s="42">
        <f t="shared" ca="1" si="15"/>
        <v>570.18989686238797</v>
      </c>
      <c r="P24" s="42">
        <f t="shared" ca="1" si="15"/>
        <v>67.407928458915109</v>
      </c>
      <c r="Q24" s="42">
        <f t="shared" ca="1" si="15"/>
        <v>32.895046761373919</v>
      </c>
      <c r="R24" s="42">
        <f t="shared" ca="1" si="15"/>
        <v>0</v>
      </c>
      <c r="S24" s="42">
        <f t="shared" ca="1" si="15"/>
        <v>0</v>
      </c>
      <c r="T24" s="51">
        <f t="shared" ca="1" si="12"/>
        <v>1521.9173665021535</v>
      </c>
      <c r="V24" s="42">
        <f t="shared" ca="1" si="16"/>
        <v>441.35987447849823</v>
      </c>
      <c r="W24" s="42">
        <f t="shared" ca="1" si="16"/>
        <v>0</v>
      </c>
      <c r="X24" s="42">
        <f t="shared" ca="1" si="16"/>
        <v>9.9173577916774622</v>
      </c>
      <c r="Y24" s="42">
        <f t="shared" ca="1" si="16"/>
        <v>20.230236875352144</v>
      </c>
      <c r="Z24" s="42">
        <f t="shared" ca="1" si="16"/>
        <v>1.9167569322204587</v>
      </c>
      <c r="AA24" s="42">
        <f t="shared" ca="1" si="16"/>
        <v>103.76322157896021</v>
      </c>
      <c r="AB24" s="42">
        <f t="shared" ca="1" si="16"/>
        <v>259.68708846864894</v>
      </c>
      <c r="AC24" s="42">
        <f t="shared" ca="1" si="16"/>
        <v>571.28142624000839</v>
      </c>
      <c r="AD24" s="42">
        <f t="shared" ca="1" si="16"/>
        <v>64.448171854046564</v>
      </c>
      <c r="AE24" s="42">
        <f t="shared" ca="1" si="16"/>
        <v>31.331138598504392</v>
      </c>
      <c r="AF24" s="42">
        <f t="shared" ca="1" si="16"/>
        <v>0</v>
      </c>
      <c r="AG24" s="42">
        <f t="shared" ca="1" si="16"/>
        <v>0</v>
      </c>
      <c r="AH24" s="51">
        <f t="shared" ca="1" si="13"/>
        <v>1503.9352728179169</v>
      </c>
    </row>
    <row r="25" spans="4:34" ht="12" customHeight="1" x14ac:dyDescent="0.25">
      <c r="D25" s="62">
        <f t="shared" si="14"/>
        <v>13</v>
      </c>
      <c r="E25" s="63">
        <f t="shared" si="11"/>
        <v>3.25</v>
      </c>
      <c r="F25" s="43">
        <f t="shared" si="8"/>
        <v>73.25</v>
      </c>
      <c r="H25" s="42">
        <f t="shared" ca="1" si="15"/>
        <v>0</v>
      </c>
      <c r="I25" s="42">
        <f t="shared" ca="1" si="15"/>
        <v>338.19244715334588</v>
      </c>
      <c r="J25" s="42">
        <f t="shared" ca="1" si="15"/>
        <v>13.128340646043021</v>
      </c>
      <c r="K25" s="42">
        <f t="shared" ca="1" si="15"/>
        <v>26.907321556728974</v>
      </c>
      <c r="L25" s="42">
        <f t="shared" ca="1" si="15"/>
        <v>2.5571841934288684</v>
      </c>
      <c r="M25" s="42">
        <f t="shared" ca="1" si="15"/>
        <v>161.34747262080606</v>
      </c>
      <c r="N25" s="42">
        <f t="shared" ca="1" si="15"/>
        <v>299.88531862034677</v>
      </c>
      <c r="O25" s="42">
        <f t="shared" ca="1" si="15"/>
        <v>604.22950760315325</v>
      </c>
      <c r="P25" s="42">
        <f t="shared" ca="1" si="15"/>
        <v>71.080685592024253</v>
      </c>
      <c r="Q25" s="42">
        <f t="shared" ca="1" si="15"/>
        <v>38.34253623178224</v>
      </c>
      <c r="R25" s="42">
        <f t="shared" ca="1" si="15"/>
        <v>0</v>
      </c>
      <c r="S25" s="42">
        <f t="shared" ca="1" si="15"/>
        <v>0</v>
      </c>
      <c r="T25" s="51">
        <f t="shared" ca="1" si="12"/>
        <v>1555.6708142176594</v>
      </c>
      <c r="V25" s="42">
        <f t="shared" ca="1" si="16"/>
        <v>420.68378326083933</v>
      </c>
      <c r="W25" s="42">
        <f t="shared" ca="1" si="16"/>
        <v>0</v>
      </c>
      <c r="X25" s="42">
        <f t="shared" ca="1" si="16"/>
        <v>9.6278032346065849</v>
      </c>
      <c r="Y25" s="42">
        <f t="shared" ca="1" si="16"/>
        <v>19.639579827282613</v>
      </c>
      <c r="Z25" s="42">
        <f t="shared" ca="1" si="16"/>
        <v>1.8607938706691871</v>
      </c>
      <c r="AA25" s="42">
        <f t="shared" ca="1" si="16"/>
        <v>108.5234932866602</v>
      </c>
      <c r="AB25" s="42">
        <f t="shared" ca="1" si="16"/>
        <v>268.12301452423611</v>
      </c>
      <c r="AC25" s="42">
        <f t="shared" ca="1" si="16"/>
        <v>605.19629937974798</v>
      </c>
      <c r="AD25" s="42">
        <f t="shared" ca="1" si="16"/>
        <v>68.078935386538234</v>
      </c>
      <c r="AE25" s="42">
        <f t="shared" ca="1" si="16"/>
        <v>36.540420140535616</v>
      </c>
      <c r="AF25" s="42">
        <f t="shared" ca="1" si="16"/>
        <v>0</v>
      </c>
      <c r="AG25" s="42">
        <f t="shared" ca="1" si="16"/>
        <v>0</v>
      </c>
      <c r="AH25" s="51">
        <f t="shared" ca="1" si="13"/>
        <v>1538.2741229111157</v>
      </c>
    </row>
    <row r="26" spans="4:34" ht="12" customHeight="1" x14ac:dyDescent="0.25">
      <c r="D26" s="62">
        <f t="shared" si="14"/>
        <v>14</v>
      </c>
      <c r="E26" s="63">
        <f t="shared" si="11"/>
        <v>3.5</v>
      </c>
      <c r="F26" s="43">
        <f t="shared" si="8"/>
        <v>73.5</v>
      </c>
      <c r="H26" s="42">
        <f t="shared" ca="1" si="15"/>
        <v>0</v>
      </c>
      <c r="I26" s="42">
        <f t="shared" ca="1" si="15"/>
        <v>317.44221394251042</v>
      </c>
      <c r="J26" s="42">
        <f t="shared" ca="1" si="15"/>
        <v>12.597398483672398</v>
      </c>
      <c r="K26" s="42">
        <f t="shared" ca="1" si="15"/>
        <v>25.816466448717264</v>
      </c>
      <c r="L26" s="42">
        <f t="shared" ca="1" si="15"/>
        <v>2.4533506729147052</v>
      </c>
      <c r="M26" s="42">
        <f t="shared" ca="1" si="15"/>
        <v>166.5396355328202</v>
      </c>
      <c r="N26" s="42">
        <f t="shared" ca="1" si="15"/>
        <v>306.87164478768585</v>
      </c>
      <c r="O26" s="42">
        <f t="shared" ca="1" si="15"/>
        <v>636.48955161990955</v>
      </c>
      <c r="P26" s="42">
        <f t="shared" ca="1" si="15"/>
        <v>74.458411548792085</v>
      </c>
      <c r="Q26" s="42">
        <f t="shared" ca="1" si="15"/>
        <v>44.056835159274463</v>
      </c>
      <c r="R26" s="42">
        <f t="shared" ca="1" si="15"/>
        <v>0</v>
      </c>
      <c r="S26" s="42">
        <f t="shared" ca="1" si="15"/>
        <v>0</v>
      </c>
      <c r="T26" s="51">
        <f t="shared" ca="1" si="12"/>
        <v>1586.7255081962971</v>
      </c>
      <c r="V26" s="42">
        <f t="shared" ca="1" si="16"/>
        <v>400.97629107712322</v>
      </c>
      <c r="W26" s="42">
        <f t="shared" ca="1" si="16"/>
        <v>0</v>
      </c>
      <c r="X26" s="42">
        <f t="shared" ca="1" si="16"/>
        <v>9.3467027278262869</v>
      </c>
      <c r="Y26" s="42">
        <f t="shared" ca="1" si="16"/>
        <v>19.066168041865417</v>
      </c>
      <c r="Z26" s="42">
        <f t="shared" ca="1" si="16"/>
        <v>1.8064647483021414</v>
      </c>
      <c r="AA26" s="42">
        <f t="shared" ca="1" si="16"/>
        <v>112.77985606895561</v>
      </c>
      <c r="AB26" s="42">
        <f t="shared" ca="1" si="16"/>
        <v>275.27554269658708</v>
      </c>
      <c r="AC26" s="42">
        <f t="shared" ca="1" si="16"/>
        <v>637.36129616790765</v>
      </c>
      <c r="AD26" s="42">
        <f t="shared" ca="1" si="16"/>
        <v>71.441558217215686</v>
      </c>
      <c r="AE26" s="42">
        <f t="shared" ca="1" si="16"/>
        <v>42.014904374205408</v>
      </c>
      <c r="AF26" s="42">
        <f t="shared" ca="1" si="16"/>
        <v>0</v>
      </c>
      <c r="AG26" s="42">
        <f t="shared" ca="1" si="16"/>
        <v>0</v>
      </c>
      <c r="AH26" s="51">
        <f t="shared" ca="1" si="13"/>
        <v>1570.0687841199885</v>
      </c>
    </row>
    <row r="27" spans="4:34" ht="12" customHeight="1" x14ac:dyDescent="0.25">
      <c r="D27" s="62">
        <f t="shared" si="14"/>
        <v>15</v>
      </c>
      <c r="E27" s="63">
        <f t="shared" si="11"/>
        <v>3.75</v>
      </c>
      <c r="F27" s="43">
        <f t="shared" si="8"/>
        <v>73.75</v>
      </c>
      <c r="H27" s="42">
        <f t="shared" ca="1" si="15"/>
        <v>0</v>
      </c>
      <c r="I27" s="42">
        <f t="shared" ca="1" si="15"/>
        <v>297.96513801809078</v>
      </c>
      <c r="J27" s="42">
        <f t="shared" ca="1" si="15"/>
        <v>12.091016584157295</v>
      </c>
      <c r="K27" s="42">
        <f t="shared" ca="1" si="15"/>
        <v>24.776189699217007</v>
      </c>
      <c r="L27" s="42">
        <f t="shared" ca="1" si="15"/>
        <v>2.3543386429387323</v>
      </c>
      <c r="M27" s="42">
        <f t="shared" ca="1" si="15"/>
        <v>170.97259386811535</v>
      </c>
      <c r="N27" s="42">
        <f t="shared" ca="1" si="15"/>
        <v>312.48470530383048</v>
      </c>
      <c r="O27" s="42">
        <f t="shared" ca="1" si="15"/>
        <v>666.98475790197313</v>
      </c>
      <c r="P27" s="42">
        <f t="shared" ca="1" si="15"/>
        <v>77.556002014287429</v>
      </c>
      <c r="Q27" s="42">
        <f t="shared" ca="1" si="15"/>
        <v>50.010729445509575</v>
      </c>
      <c r="R27" s="42">
        <f t="shared" ca="1" si="15"/>
        <v>0</v>
      </c>
      <c r="S27" s="42">
        <f t="shared" ca="1" si="15"/>
        <v>0</v>
      </c>
      <c r="T27" s="51">
        <f t="shared" ca="1" si="12"/>
        <v>1615.1954714781198</v>
      </c>
      <c r="V27" s="42">
        <f t="shared" ca="1" si="16"/>
        <v>382.19202261541687</v>
      </c>
      <c r="W27" s="42">
        <f t="shared" ca="1" si="16"/>
        <v>0</v>
      </c>
      <c r="X27" s="42">
        <f t="shared" ca="1" si="16"/>
        <v>9.0738094405940704</v>
      </c>
      <c r="Y27" s="42">
        <f t="shared" ca="1" si="16"/>
        <v>18.509498013580849</v>
      </c>
      <c r="Z27" s="42">
        <f t="shared" ca="1" si="16"/>
        <v>1.7537218594151704</v>
      </c>
      <c r="AA27" s="42">
        <f t="shared" ca="1" si="16"/>
        <v>116.56411779961898</v>
      </c>
      <c r="AB27" s="42">
        <f t="shared" ca="1" si="16"/>
        <v>281.24929176825646</v>
      </c>
      <c r="AC27" s="42">
        <f t="shared" ca="1" si="16"/>
        <v>667.79721804196254</v>
      </c>
      <c r="AD27" s="42">
        <f t="shared" ca="1" si="16"/>
        <v>74.548189776047238</v>
      </c>
      <c r="AE27" s="42">
        <f t="shared" ca="1" si="16"/>
        <v>47.729671212831896</v>
      </c>
      <c r="AF27" s="42">
        <f t="shared" ca="1" si="16"/>
        <v>0</v>
      </c>
      <c r="AG27" s="42">
        <f t="shared" ca="1" si="16"/>
        <v>0</v>
      </c>
      <c r="AH27" s="51">
        <f t="shared" ca="1" si="13"/>
        <v>1599.417540527724</v>
      </c>
    </row>
    <row r="28" spans="4:34" ht="12" customHeight="1" x14ac:dyDescent="0.25">
      <c r="D28" s="62">
        <f t="shared" si="14"/>
        <v>16</v>
      </c>
      <c r="E28" s="63">
        <f t="shared" si="11"/>
        <v>4</v>
      </c>
      <c r="F28" s="43">
        <f t="shared" si="8"/>
        <v>74</v>
      </c>
      <c r="H28" s="42">
        <f t="shared" ca="1" si="15"/>
        <v>0</v>
      </c>
      <c r="I28" s="42">
        <f t="shared" ca="1" si="15"/>
        <v>279.68310317486242</v>
      </c>
      <c r="J28" s="42">
        <f t="shared" ca="1" si="15"/>
        <v>11.607922073054223</v>
      </c>
      <c r="K28" s="42">
        <f t="shared" ca="1" si="15"/>
        <v>23.783865446533174</v>
      </c>
      <c r="L28" s="42">
        <f t="shared" ca="1" si="15"/>
        <v>2.2598975106806014</v>
      </c>
      <c r="M28" s="42">
        <f t="shared" ca="1" si="15"/>
        <v>174.70579464254058</v>
      </c>
      <c r="N28" s="42">
        <f t="shared" ca="1" si="15"/>
        <v>316.84950861939507</v>
      </c>
      <c r="O28" s="42">
        <f t="shared" ca="1" si="15"/>
        <v>695.73553048940153</v>
      </c>
      <c r="P28" s="42">
        <f t="shared" ca="1" si="15"/>
        <v>80.387738893365864</v>
      </c>
      <c r="Q28" s="42">
        <f t="shared" ca="1" si="15"/>
        <v>56.178491789478009</v>
      </c>
      <c r="R28" s="42">
        <f t="shared" ca="1" si="15"/>
        <v>0</v>
      </c>
      <c r="S28" s="42">
        <f t="shared" ca="1" si="15"/>
        <v>0</v>
      </c>
      <c r="T28" s="51">
        <f t="shared" ca="1" si="12"/>
        <v>1641.1918526393113</v>
      </c>
      <c r="V28" s="42">
        <f t="shared" ca="1" si="16"/>
        <v>364.28772823071546</v>
      </c>
      <c r="W28" s="42">
        <f t="shared" ca="1" si="16"/>
        <v>0</v>
      </c>
      <c r="X28" s="42">
        <f t="shared" ca="1" si="16"/>
        <v>8.8088837488214491</v>
      </c>
      <c r="Y28" s="42">
        <f t="shared" ca="1" si="16"/>
        <v>17.969080937631009</v>
      </c>
      <c r="Z28" s="42">
        <f t="shared" ca="1" si="16"/>
        <v>1.702518891155357</v>
      </c>
      <c r="AA28" s="42">
        <f t="shared" ca="1" si="16"/>
        <v>119.90635681051414</v>
      </c>
      <c r="AB28" s="42">
        <f t="shared" ca="1" si="16"/>
        <v>286.14147845233538</v>
      </c>
      <c r="AC28" s="42">
        <f t="shared" ca="1" si="16"/>
        <v>696.52904639394899</v>
      </c>
      <c r="AD28" s="42">
        <f t="shared" ca="1" si="16"/>
        <v>77.410564861575409</v>
      </c>
      <c r="AE28" s="42">
        <f t="shared" ca="1" si="16"/>
        <v>53.661035604255794</v>
      </c>
      <c r="AF28" s="42">
        <f t="shared" ca="1" si="16"/>
        <v>0</v>
      </c>
      <c r="AG28" s="42">
        <f t="shared" ca="1" si="16"/>
        <v>0</v>
      </c>
      <c r="AH28" s="51">
        <f t="shared" ca="1" si="13"/>
        <v>1626.4166939309532</v>
      </c>
    </row>
    <row r="29" spans="4:34" ht="12" customHeight="1" x14ac:dyDescent="0.25">
      <c r="D29" s="62">
        <f t="shared" si="14"/>
        <v>17</v>
      </c>
      <c r="E29" s="63">
        <f t="shared" si="11"/>
        <v>4.25</v>
      </c>
      <c r="F29" s="43">
        <f t="shared" si="8"/>
        <v>74.25</v>
      </c>
      <c r="H29" s="42">
        <f t="shared" ca="1" si="15"/>
        <v>0</v>
      </c>
      <c r="I29" s="42">
        <f t="shared" ca="1" si="15"/>
        <v>262.52278612799159</v>
      </c>
      <c r="J29" s="42">
        <f t="shared" ca="1" si="15"/>
        <v>11.146913341210897</v>
      </c>
      <c r="K29" s="42">
        <f t="shared" ca="1" si="15"/>
        <v>22.837015002443565</v>
      </c>
      <c r="L29" s="42">
        <f t="shared" ca="1" si="15"/>
        <v>2.1697907380230168</v>
      </c>
      <c r="M29" s="42">
        <f t="shared" ca="1" si="15"/>
        <v>177.79466180640244</v>
      </c>
      <c r="N29" s="42">
        <f t="shared" ca="1" si="15"/>
        <v>320.0813506337177</v>
      </c>
      <c r="O29" s="42">
        <f t="shared" ca="1" si="15"/>
        <v>722.76721918275962</v>
      </c>
      <c r="P29" s="42">
        <f t="shared" ca="1" si="15"/>
        <v>82.967310372356508</v>
      </c>
      <c r="Q29" s="42">
        <f t="shared" ca="1" si="15"/>
        <v>62.535817424368183</v>
      </c>
      <c r="R29" s="42">
        <f t="shared" ca="1" si="15"/>
        <v>0</v>
      </c>
      <c r="S29" s="42">
        <f t="shared" ca="1" si="15"/>
        <v>0</v>
      </c>
      <c r="T29" s="51">
        <f t="shared" ca="1" si="12"/>
        <v>1664.8228646292735</v>
      </c>
      <c r="V29" s="42">
        <f t="shared" ca="1" si="16"/>
        <v>347.22218436524361</v>
      </c>
      <c r="W29" s="42">
        <f t="shared" ca="1" si="16"/>
        <v>0</v>
      </c>
      <c r="X29" s="42">
        <f t="shared" ca="1" si="16"/>
        <v>8.5516930246631127</v>
      </c>
      <c r="Y29" s="42">
        <f t="shared" ca="1" si="16"/>
        <v>17.44444228072657</v>
      </c>
      <c r="Z29" s="42">
        <f t="shared" ca="1" si="16"/>
        <v>1.6528108828542964</v>
      </c>
      <c r="AA29" s="42">
        <f t="shared" ca="1" si="16"/>
        <v>122.83500990573405</v>
      </c>
      <c r="AB29" s="42">
        <f t="shared" ca="1" si="16"/>
        <v>290.04241499431464</v>
      </c>
      <c r="AC29" s="42">
        <f t="shared" ca="1" si="16"/>
        <v>723.58540780753628</v>
      </c>
      <c r="AD29" s="42">
        <f t="shared" ca="1" si="16"/>
        <v>80.040011630968124</v>
      </c>
      <c r="AE29" s="42">
        <f t="shared" ca="1" si="16"/>
        <v>59.786502225658054</v>
      </c>
      <c r="AF29" s="42">
        <f t="shared" ca="1" si="16"/>
        <v>0</v>
      </c>
      <c r="AG29" s="42">
        <f t="shared" ca="1" si="16"/>
        <v>0</v>
      </c>
      <c r="AH29" s="51">
        <f t="shared" ca="1" si="13"/>
        <v>1651.1604771176987</v>
      </c>
    </row>
    <row r="30" spans="4:34" ht="12" customHeight="1" x14ac:dyDescent="0.25">
      <c r="D30" s="62">
        <f t="shared" si="14"/>
        <v>18</v>
      </c>
      <c r="E30" s="63">
        <f t="shared" si="11"/>
        <v>4.5</v>
      </c>
      <c r="F30" s="43">
        <f t="shared" si="8"/>
        <v>74.5</v>
      </c>
      <c r="H30" s="42">
        <f t="shared" ca="1" si="15"/>
        <v>0</v>
      </c>
      <c r="I30" s="42">
        <f t="shared" ca="1" si="15"/>
        <v>246.41536243723101</v>
      </c>
      <c r="J30" s="42">
        <f t="shared" ca="1" si="15"/>
        <v>10.706855871710204</v>
      </c>
      <c r="K30" s="42">
        <f t="shared" ca="1" si="15"/>
        <v>21.93329822917331</v>
      </c>
      <c r="L30" s="42">
        <f t="shared" ca="1" si="15"/>
        <v>2.0837950177686997</v>
      </c>
      <c r="M30" s="42">
        <f t="shared" ca="1" si="15"/>
        <v>180.29085405163585</v>
      </c>
      <c r="N30" s="42">
        <f t="shared" ca="1" si="15"/>
        <v>322.28652546601381</v>
      </c>
      <c r="O30" s="42">
        <f t="shared" ca="1" si="15"/>
        <v>748.10945625682598</v>
      </c>
      <c r="P30" s="42">
        <f t="shared" ca="1" si="15"/>
        <v>85.307830671680321</v>
      </c>
      <c r="Q30" s="42">
        <f t="shared" ca="1" si="15"/>
        <v>69.059762083485467</v>
      </c>
      <c r="R30" s="42">
        <f t="shared" ca="1" si="15"/>
        <v>0</v>
      </c>
      <c r="S30" s="42">
        <f t="shared" ca="1" si="15"/>
        <v>0</v>
      </c>
      <c r="T30" s="51">
        <f t="shared" ca="1" si="12"/>
        <v>1686.1937400855247</v>
      </c>
      <c r="V30" s="42">
        <f t="shared" ca="1" si="16"/>
        <v>330.95609863370009</v>
      </c>
      <c r="W30" s="42">
        <f t="shared" ca="1" si="16"/>
        <v>0</v>
      </c>
      <c r="X30" s="42">
        <f t="shared" ca="1" si="16"/>
        <v>8.3020114322494134</v>
      </c>
      <c r="Y30" s="42">
        <f t="shared" ca="1" si="16"/>
        <v>16.935121364405173</v>
      </c>
      <c r="Z30" s="42">
        <f t="shared" ca="1" si="16"/>
        <v>1.6045541865487121</v>
      </c>
      <c r="AA30" s="42">
        <f t="shared" ca="1" si="16"/>
        <v>125.37695604847174</v>
      </c>
      <c r="AB30" s="42">
        <f t="shared" ca="1" si="16"/>
        <v>293.03597402055573</v>
      </c>
      <c r="AC30" s="42">
        <f t="shared" ca="1" si="16"/>
        <v>748.99808538157652</v>
      </c>
      <c r="AD30" s="42">
        <f t="shared" ca="1" si="16"/>
        <v>82.44745991509464</v>
      </c>
      <c r="AE30" s="42">
        <f t="shared" ca="1" si="16"/>
        <v>66.08472122792827</v>
      </c>
      <c r="AF30" s="42">
        <f t="shared" ca="1" si="16"/>
        <v>0</v>
      </c>
      <c r="AG30" s="42">
        <f t="shared" ca="1" si="16"/>
        <v>0</v>
      </c>
      <c r="AH30" s="51">
        <f t="shared" ca="1" si="13"/>
        <v>1673.7409822105303</v>
      </c>
    </row>
    <row r="31" spans="4:34" ht="12" customHeight="1" x14ac:dyDescent="0.25">
      <c r="D31" s="62">
        <f t="shared" si="14"/>
        <v>19</v>
      </c>
      <c r="E31" s="63">
        <f t="shared" si="11"/>
        <v>4.75</v>
      </c>
      <c r="F31" s="43">
        <f t="shared" si="8"/>
        <v>74.75</v>
      </c>
      <c r="H31" s="42">
        <f t="shared" ca="1" si="15"/>
        <v>0</v>
      </c>
      <c r="I31" s="42">
        <f t="shared" ca="1" si="15"/>
        <v>231.29623047451565</v>
      </c>
      <c r="J31" s="42">
        <f t="shared" ca="1" si="15"/>
        <v>10.286678317032125</v>
      </c>
      <c r="K31" s="42">
        <f t="shared" ca="1" si="15"/>
        <v>21.070505433563362</v>
      </c>
      <c r="L31" s="42">
        <f t="shared" ca="1" si="15"/>
        <v>2.0016994992757509</v>
      </c>
      <c r="M31" s="42">
        <f t="shared" ca="1" si="15"/>
        <v>182.24250648068895</v>
      </c>
      <c r="N31" s="42">
        <f t="shared" ca="1" si="15"/>
        <v>323.56298568847433</v>
      </c>
      <c r="O31" s="42">
        <f t="shared" ca="1" si="15"/>
        <v>771.79555392872021</v>
      </c>
      <c r="P31" s="42">
        <f t="shared" ca="1" si="15"/>
        <v>87.421859461005127</v>
      </c>
      <c r="Q31" s="42">
        <f t="shared" ca="1" si="15"/>
        <v>75.728682150714036</v>
      </c>
      <c r="R31" s="42">
        <f t="shared" ca="1" si="15"/>
        <v>0</v>
      </c>
      <c r="S31" s="42">
        <f t="shared" ca="1" si="15"/>
        <v>0</v>
      </c>
      <c r="T31" s="51">
        <f t="shared" ca="1" si="12"/>
        <v>1705.4067014339896</v>
      </c>
      <c r="V31" s="42">
        <f t="shared" ca="1" si="16"/>
        <v>315.45201935491133</v>
      </c>
      <c r="W31" s="42">
        <f t="shared" ca="1" si="16"/>
        <v>0</v>
      </c>
      <c r="X31" s="42">
        <f t="shared" ca="1" si="16"/>
        <v>8.0596197293827814</v>
      </c>
      <c r="Y31" s="42">
        <f t="shared" ca="1" si="16"/>
        <v>16.440670960515646</v>
      </c>
      <c r="Z31" s="42">
        <f t="shared" ca="1" si="16"/>
        <v>1.5577064286537385</v>
      </c>
      <c r="AA31" s="42">
        <f t="shared" ca="1" si="16"/>
        <v>127.55759592930089</v>
      </c>
      <c r="AB31" s="42">
        <f t="shared" ca="1" si="16"/>
        <v>295.20002276966028</v>
      </c>
      <c r="AC31" s="42">
        <f t="shared" ca="1" si="16"/>
        <v>772.80157268453138</v>
      </c>
      <c r="AD31" s="42">
        <f t="shared" ca="1" si="16"/>
        <v>84.643449802329243</v>
      </c>
      <c r="AE31" s="42">
        <f t="shared" ca="1" si="16"/>
        <v>72.535445048537809</v>
      </c>
      <c r="AF31" s="42">
        <f t="shared" ca="1" si="16"/>
        <v>0</v>
      </c>
      <c r="AG31" s="42">
        <f t="shared" ca="1" si="16"/>
        <v>0</v>
      </c>
      <c r="AH31" s="51">
        <f t="shared" ca="1" si="13"/>
        <v>1694.2481027078231</v>
      </c>
    </row>
    <row r="32" spans="4:34" ht="12" customHeight="1" x14ac:dyDescent="0.25">
      <c r="D32" s="62">
        <f t="shared" si="14"/>
        <v>20</v>
      </c>
      <c r="E32" s="63">
        <f t="shared" si="11"/>
        <v>5</v>
      </c>
      <c r="F32" s="43">
        <f t="shared" si="8"/>
        <v>75</v>
      </c>
      <c r="H32" s="42">
        <f t="shared" ref="H32:S41" ca="1" si="17">PRODUCT(AVERAGE(OFFSET(E.Trace.Markov.Root, $D32, (H$2-1)*E.Trace.Markov.NumCols+H$3-1, CHOOSE(swtchHalfCycle, 2, 1))) + N("halfcycle-adjusted state occupancy"),
H$6 + N("state cost"))</f>
        <v>0</v>
      </c>
      <c r="I32" s="42">
        <f t="shared" ca="1" si="17"/>
        <v>213.88334925605031</v>
      </c>
      <c r="J32" s="42">
        <f t="shared" ca="1" si="17"/>
        <v>12.536373548373225</v>
      </c>
      <c r="K32" s="42">
        <f t="shared" ca="1" si="17"/>
        <v>25.735552563152979</v>
      </c>
      <c r="L32" s="42">
        <f t="shared" ca="1" si="17"/>
        <v>2.4484226204231545</v>
      </c>
      <c r="M32" s="42">
        <f t="shared" ca="1" si="17"/>
        <v>181.92642320481792</v>
      </c>
      <c r="N32" s="42">
        <f t="shared" ca="1" si="17"/>
        <v>322.16540454318601</v>
      </c>
      <c r="O32" s="42">
        <f t="shared" ca="1" si="17"/>
        <v>788.41553357691259</v>
      </c>
      <c r="P32" s="42">
        <f t="shared" ca="1" si="17"/>
        <v>89.321420912771373</v>
      </c>
      <c r="Q32" s="42">
        <f t="shared" ca="1" si="17"/>
        <v>82.366127293979105</v>
      </c>
      <c r="R32" s="42">
        <f t="shared" ca="1" si="17"/>
        <v>0</v>
      </c>
      <c r="S32" s="42">
        <f t="shared" ca="1" si="17"/>
        <v>0</v>
      </c>
      <c r="T32" s="51">
        <f t="shared" ca="1" si="12"/>
        <v>1718.7986075196666</v>
      </c>
      <c r="V32" s="42">
        <f t="shared" ref="V32:AG41" ca="1" si="18">PRODUCT(AVERAGE(OFFSET(E.Trace.Markov.Root, $D32, (V$2-1)*E.Trace.Markov.NumCols+V$3-1, CHOOSE(swtchHalfCycle, 2, 1))) + N("halfcycle-adjusted state occupancy"),
V$6 + N("state cost"))</f>
        <v>298.23024748979026</v>
      </c>
      <c r="W32" s="42">
        <f t="shared" ca="1" si="18"/>
        <v>0</v>
      </c>
      <c r="X32" s="42">
        <f t="shared" ca="1" si="18"/>
        <v>9.495105250785091</v>
      </c>
      <c r="Y32" s="42">
        <f t="shared" ca="1" si="18"/>
        <v>19.368891635731913</v>
      </c>
      <c r="Z32" s="42">
        <f t="shared" ca="1" si="18"/>
        <v>1.8351469407384173</v>
      </c>
      <c r="AA32" s="42">
        <f t="shared" ca="1" si="18"/>
        <v>128.13309012260572</v>
      </c>
      <c r="AB32" s="42">
        <f t="shared" ca="1" si="18"/>
        <v>294.92932993020912</v>
      </c>
      <c r="AC32" s="42">
        <f t="shared" ca="1" si="18"/>
        <v>789.57875691004483</v>
      </c>
      <c r="AD32" s="42">
        <f t="shared" ca="1" si="18"/>
        <v>86.638140439849067</v>
      </c>
      <c r="AE32" s="42">
        <f t="shared" ca="1" si="18"/>
        <v>78.969800625862248</v>
      </c>
      <c r="AF32" s="42">
        <f t="shared" ca="1" si="18"/>
        <v>0</v>
      </c>
      <c r="AG32" s="42">
        <f t="shared" ca="1" si="18"/>
        <v>0</v>
      </c>
      <c r="AH32" s="51">
        <f t="shared" ca="1" si="13"/>
        <v>1707.1785093456167</v>
      </c>
    </row>
    <row r="33" spans="4:34" ht="12" customHeight="1" x14ac:dyDescent="0.25">
      <c r="D33" s="62">
        <f t="shared" si="14"/>
        <v>21</v>
      </c>
      <c r="E33" s="63">
        <f t="shared" si="11"/>
        <v>5.25</v>
      </c>
      <c r="F33" s="43">
        <f t="shared" si="8"/>
        <v>75.25</v>
      </c>
      <c r="H33" s="42">
        <f t="shared" ca="1" si="17"/>
        <v>0</v>
      </c>
      <c r="I33" s="42">
        <f t="shared" ca="1" si="17"/>
        <v>194.6077737134768</v>
      </c>
      <c r="J33" s="42">
        <f t="shared" ca="1" si="17"/>
        <v>14.495262877683052</v>
      </c>
      <c r="K33" s="42">
        <f t="shared" ca="1" si="17"/>
        <v>29.799257247233466</v>
      </c>
      <c r="L33" s="42">
        <f t="shared" ca="1" si="17"/>
        <v>2.8376655183333392</v>
      </c>
      <c r="M33" s="42">
        <f t="shared" ca="1" si="17"/>
        <v>181.91250814309265</v>
      </c>
      <c r="N33" s="42">
        <f t="shared" ca="1" si="17"/>
        <v>320.21347030925881</v>
      </c>
      <c r="O33" s="42">
        <f t="shared" ca="1" si="17"/>
        <v>797.67291612110876</v>
      </c>
      <c r="P33" s="42">
        <f t="shared" ca="1" si="17"/>
        <v>90.431249283051258</v>
      </c>
      <c r="Q33" s="42">
        <f t="shared" ca="1" si="17"/>
        <v>88.942113927516544</v>
      </c>
      <c r="R33" s="42">
        <f t="shared" ca="1" si="17"/>
        <v>0</v>
      </c>
      <c r="S33" s="42">
        <f t="shared" ca="1" si="17"/>
        <v>0</v>
      </c>
      <c r="T33" s="51">
        <f t="shared" ca="1" si="12"/>
        <v>1720.9122171407548</v>
      </c>
      <c r="V33" s="42">
        <f t="shared" ca="1" si="18"/>
        <v>279.52454418482222</v>
      </c>
      <c r="W33" s="42">
        <f t="shared" ca="1" si="18"/>
        <v>0</v>
      </c>
      <c r="X33" s="42">
        <f t="shared" ca="1" si="18"/>
        <v>10.794702610656145</v>
      </c>
      <c r="Y33" s="42">
        <f t="shared" ca="1" si="18"/>
        <v>22.019916534202036</v>
      </c>
      <c r="Z33" s="42">
        <f t="shared" ca="1" si="18"/>
        <v>2.0863239478560471</v>
      </c>
      <c r="AA33" s="42">
        <f t="shared" ca="1" si="18"/>
        <v>128.71633035927061</v>
      </c>
      <c r="AB33" s="42">
        <f t="shared" ca="1" si="18"/>
        <v>293.58123773974171</v>
      </c>
      <c r="AC33" s="42">
        <f t="shared" ca="1" si="18"/>
        <v>799.12986897897349</v>
      </c>
      <c r="AD33" s="42">
        <f t="shared" ca="1" si="18"/>
        <v>87.869357540320721</v>
      </c>
      <c r="AE33" s="42">
        <f t="shared" ca="1" si="18"/>
        <v>85.359127567944782</v>
      </c>
      <c r="AF33" s="42">
        <f t="shared" ca="1" si="18"/>
        <v>0</v>
      </c>
      <c r="AG33" s="42">
        <f t="shared" ca="1" si="18"/>
        <v>0</v>
      </c>
      <c r="AH33" s="51">
        <f t="shared" ca="1" si="13"/>
        <v>1709.0814094637878</v>
      </c>
    </row>
    <row r="34" spans="4:34" ht="12" customHeight="1" x14ac:dyDescent="0.25">
      <c r="D34" s="62">
        <f t="shared" si="14"/>
        <v>22</v>
      </c>
      <c r="E34" s="63">
        <f t="shared" si="11"/>
        <v>5.5</v>
      </c>
      <c r="F34" s="43">
        <f t="shared" si="8"/>
        <v>75.5</v>
      </c>
      <c r="H34" s="42">
        <f t="shared" ca="1" si="17"/>
        <v>0</v>
      </c>
      <c r="I34" s="42">
        <f t="shared" ca="1" si="17"/>
        <v>177.0693498182373</v>
      </c>
      <c r="J34" s="42">
        <f t="shared" ca="1" si="17"/>
        <v>13.603673893038309</v>
      </c>
      <c r="K34" s="42">
        <f t="shared" ca="1" si="17"/>
        <v>27.959735866719466</v>
      </c>
      <c r="L34" s="42">
        <f t="shared" ca="1" si="17"/>
        <v>2.6620899815841499</v>
      </c>
      <c r="M34" s="42">
        <f t="shared" ca="1" si="17"/>
        <v>183.68444905019425</v>
      </c>
      <c r="N34" s="42">
        <f t="shared" ca="1" si="17"/>
        <v>319.30332149932201</v>
      </c>
      <c r="O34" s="42">
        <f t="shared" ca="1" si="17"/>
        <v>805.0665011114221</v>
      </c>
      <c r="P34" s="42">
        <f t="shared" ca="1" si="17"/>
        <v>90.935290542905946</v>
      </c>
      <c r="Q34" s="42">
        <f t="shared" ca="1" si="17"/>
        <v>95.53423767862941</v>
      </c>
      <c r="R34" s="42">
        <f t="shared" ca="1" si="17"/>
        <v>0</v>
      </c>
      <c r="S34" s="42">
        <f t="shared" ca="1" si="17"/>
        <v>0</v>
      </c>
      <c r="T34" s="51">
        <f t="shared" ca="1" si="12"/>
        <v>1715.8186494420529</v>
      </c>
      <c r="V34" s="42">
        <f t="shared" ca="1" si="18"/>
        <v>261.99210663367563</v>
      </c>
      <c r="W34" s="42">
        <f t="shared" ca="1" si="18"/>
        <v>0</v>
      </c>
      <c r="X34" s="42">
        <f t="shared" ca="1" si="18"/>
        <v>10.335876576292057</v>
      </c>
      <c r="Y34" s="42">
        <f t="shared" ca="1" si="18"/>
        <v>21.083965693792365</v>
      </c>
      <c r="Z34" s="42">
        <f t="shared" ca="1" si="18"/>
        <v>1.9976452896363526</v>
      </c>
      <c r="AA34" s="42">
        <f t="shared" ca="1" si="18"/>
        <v>130.44281663981951</v>
      </c>
      <c r="AB34" s="42">
        <f t="shared" ca="1" si="18"/>
        <v>292.75273671804996</v>
      </c>
      <c r="AC34" s="42">
        <f t="shared" ca="1" si="18"/>
        <v>806.93139184563927</v>
      </c>
      <c r="AD34" s="42">
        <f t="shared" ca="1" si="18"/>
        <v>88.454147428360415</v>
      </c>
      <c r="AE34" s="42">
        <f t="shared" ca="1" si="18"/>
        <v>91.777054573468874</v>
      </c>
      <c r="AF34" s="42">
        <f t="shared" ca="1" si="18"/>
        <v>0</v>
      </c>
      <c r="AG34" s="42">
        <f t="shared" ca="1" si="18"/>
        <v>0</v>
      </c>
      <c r="AH34" s="51">
        <f t="shared" ca="1" si="13"/>
        <v>1705.7677413987342</v>
      </c>
    </row>
    <row r="35" spans="4:34" ht="12" customHeight="1" x14ac:dyDescent="0.25">
      <c r="D35" s="62">
        <f t="shared" si="14"/>
        <v>23</v>
      </c>
      <c r="E35" s="63">
        <f t="shared" si="11"/>
        <v>5.75</v>
      </c>
      <c r="F35" s="43">
        <f t="shared" si="8"/>
        <v>75.75</v>
      </c>
      <c r="H35" s="42">
        <f t="shared" ca="1" si="17"/>
        <v>0</v>
      </c>
      <c r="I35" s="42">
        <f t="shared" ca="1" si="17"/>
        <v>161.11152214924098</v>
      </c>
      <c r="J35" s="42">
        <f t="shared" ca="1" si="17"/>
        <v>12.837619309379733</v>
      </c>
      <c r="K35" s="42">
        <f t="shared" ca="1" si="17"/>
        <v>26.378163027738704</v>
      </c>
      <c r="L35" s="42">
        <f t="shared" ca="1" si="17"/>
        <v>2.511070240733861</v>
      </c>
      <c r="M35" s="42">
        <f t="shared" ca="1" si="17"/>
        <v>184.53379852180268</v>
      </c>
      <c r="N35" s="42">
        <f t="shared" ca="1" si="17"/>
        <v>317.25540363685059</v>
      </c>
      <c r="O35" s="42">
        <f t="shared" ca="1" si="17"/>
        <v>810.98559101321428</v>
      </c>
      <c r="P35" s="42">
        <f t="shared" ca="1" si="17"/>
        <v>91.400957467795592</v>
      </c>
      <c r="Q35" s="42">
        <f t="shared" ca="1" si="17"/>
        <v>102.0911122888689</v>
      </c>
      <c r="R35" s="42">
        <f t="shared" ca="1" si="17"/>
        <v>0</v>
      </c>
      <c r="S35" s="42">
        <f t="shared" ca="1" si="17"/>
        <v>0</v>
      </c>
      <c r="T35" s="51">
        <f t="shared" ca="1" si="12"/>
        <v>1709.1052376556256</v>
      </c>
      <c r="V35" s="42">
        <f t="shared" ca="1" si="18"/>
        <v>245.55934484581948</v>
      </c>
      <c r="W35" s="42">
        <f t="shared" ca="1" si="18"/>
        <v>0</v>
      </c>
      <c r="X35" s="42">
        <f t="shared" ca="1" si="18"/>
        <v>9.9357001812012236</v>
      </c>
      <c r="Y35" s="42">
        <f t="shared" ca="1" si="18"/>
        <v>20.26765318045279</v>
      </c>
      <c r="Z35" s="42">
        <f t="shared" ca="1" si="18"/>
        <v>1.9203020198346885</v>
      </c>
      <c r="AA35" s="42">
        <f t="shared" ca="1" si="18"/>
        <v>131.64447238122847</v>
      </c>
      <c r="AB35" s="42">
        <f t="shared" ca="1" si="18"/>
        <v>291.12307177052719</v>
      </c>
      <c r="AC35" s="42">
        <f t="shared" ca="1" si="18"/>
        <v>813.25468200560033</v>
      </c>
      <c r="AD35" s="42">
        <f t="shared" ca="1" si="18"/>
        <v>88.958332992615695</v>
      </c>
      <c r="AE35" s="42">
        <f t="shared" ca="1" si="18"/>
        <v>98.168613672351185</v>
      </c>
      <c r="AF35" s="42">
        <f t="shared" ca="1" si="18"/>
        <v>0</v>
      </c>
      <c r="AG35" s="42">
        <f t="shared" ca="1" si="18"/>
        <v>0</v>
      </c>
      <c r="AH35" s="51">
        <f t="shared" ca="1" si="13"/>
        <v>1700.8321730496309</v>
      </c>
    </row>
    <row r="36" spans="4:34" ht="12" customHeight="1" x14ac:dyDescent="0.25">
      <c r="D36" s="62">
        <f t="shared" si="14"/>
        <v>24</v>
      </c>
      <c r="E36" s="63">
        <f t="shared" si="11"/>
        <v>6</v>
      </c>
      <c r="F36" s="43">
        <f t="shared" si="8"/>
        <v>76</v>
      </c>
      <c r="H36" s="42">
        <f t="shared" ca="1" si="17"/>
        <v>0</v>
      </c>
      <c r="I36" s="42">
        <f t="shared" ca="1" si="17"/>
        <v>146.5918443586668</v>
      </c>
      <c r="J36" s="42">
        <f t="shared" ca="1" si="17"/>
        <v>12.121287841812496</v>
      </c>
      <c r="K36" s="42">
        <f t="shared" ca="1" si="17"/>
        <v>24.899723858613942</v>
      </c>
      <c r="L36" s="42">
        <f t="shared" ca="1" si="17"/>
        <v>2.3699275844889862</v>
      </c>
      <c r="M36" s="42">
        <f t="shared" ca="1" si="17"/>
        <v>184.63257191371244</v>
      </c>
      <c r="N36" s="42">
        <f t="shared" ca="1" si="17"/>
        <v>314.27526244580315</v>
      </c>
      <c r="O36" s="42">
        <f t="shared" ca="1" si="17"/>
        <v>815.48314125107527</v>
      </c>
      <c r="P36" s="42">
        <f t="shared" ca="1" si="17"/>
        <v>91.645438919909921</v>
      </c>
      <c r="Q36" s="42">
        <f t="shared" ca="1" si="17"/>
        <v>108.60991095950361</v>
      </c>
      <c r="R36" s="42">
        <f t="shared" ca="1" si="17"/>
        <v>0</v>
      </c>
      <c r="S36" s="42">
        <f t="shared" ca="1" si="17"/>
        <v>0</v>
      </c>
      <c r="T36" s="51">
        <f t="shared" ca="1" si="12"/>
        <v>1700.6291091335868</v>
      </c>
      <c r="V36" s="42">
        <f t="shared" ca="1" si="18"/>
        <v>230.15728456819627</v>
      </c>
      <c r="W36" s="42">
        <f t="shared" ca="1" si="18"/>
        <v>0</v>
      </c>
      <c r="X36" s="42">
        <f t="shared" ca="1" si="18"/>
        <v>9.5500777655322846</v>
      </c>
      <c r="Y36" s="42">
        <f t="shared" ca="1" si="18"/>
        <v>19.481029063697129</v>
      </c>
      <c r="Z36" s="42">
        <f t="shared" ca="1" si="18"/>
        <v>1.8457716404756497</v>
      </c>
      <c r="AA36" s="42">
        <f t="shared" ca="1" si="18"/>
        <v>132.40746075936298</v>
      </c>
      <c r="AB36" s="42">
        <f t="shared" ca="1" si="18"/>
        <v>288.81698283917626</v>
      </c>
      <c r="AC36" s="42">
        <f t="shared" ca="1" si="18"/>
        <v>818.16510586590266</v>
      </c>
      <c r="AD36" s="42">
        <f t="shared" ca="1" si="18"/>
        <v>89.273792395501715</v>
      </c>
      <c r="AE36" s="42">
        <f t="shared" ca="1" si="18"/>
        <v>104.52730428756975</v>
      </c>
      <c r="AF36" s="42">
        <f t="shared" ca="1" si="18"/>
        <v>0</v>
      </c>
      <c r="AG36" s="42">
        <f t="shared" ca="1" si="18"/>
        <v>0</v>
      </c>
      <c r="AH36" s="51">
        <f t="shared" ca="1" si="13"/>
        <v>1694.2248091854146</v>
      </c>
    </row>
    <row r="37" spans="4:34" ht="12" customHeight="1" x14ac:dyDescent="0.25">
      <c r="D37" s="62">
        <f t="shared" si="14"/>
        <v>25</v>
      </c>
      <c r="E37" s="63">
        <f t="shared" si="11"/>
        <v>6.25</v>
      </c>
      <c r="F37" s="43">
        <f t="shared" si="8"/>
        <v>76.25</v>
      </c>
      <c r="H37" s="42">
        <f t="shared" ca="1" si="17"/>
        <v>0</v>
      </c>
      <c r="I37" s="42">
        <f t="shared" ca="1" si="17"/>
        <v>133.3807076353591</v>
      </c>
      <c r="J37" s="42">
        <f t="shared" ca="1" si="17"/>
        <v>11.452448357596387</v>
      </c>
      <c r="K37" s="42">
        <f t="shared" ca="1" si="17"/>
        <v>23.519713509190112</v>
      </c>
      <c r="L37" s="42">
        <f t="shared" ca="1" si="17"/>
        <v>2.2382067370700827</v>
      </c>
      <c r="M37" s="42">
        <f t="shared" ca="1" si="17"/>
        <v>184.07315426734112</v>
      </c>
      <c r="N37" s="42">
        <f t="shared" ca="1" si="17"/>
        <v>310.49521433070163</v>
      </c>
      <c r="O37" s="42">
        <f t="shared" ca="1" si="17"/>
        <v>818.62300305428607</v>
      </c>
      <c r="P37" s="42">
        <f t="shared" ca="1" si="17"/>
        <v>91.692696352501898</v>
      </c>
      <c r="Q37" s="42">
        <f t="shared" ca="1" si="17"/>
        <v>115.07239071490918</v>
      </c>
      <c r="R37" s="42">
        <f t="shared" ca="1" si="17"/>
        <v>0</v>
      </c>
      <c r="S37" s="42">
        <f t="shared" ca="1" si="17"/>
        <v>0</v>
      </c>
      <c r="T37" s="51">
        <f t="shared" ca="1" si="12"/>
        <v>1690.5475349589556</v>
      </c>
      <c r="V37" s="42">
        <f t="shared" ca="1" si="18"/>
        <v>215.72127777529985</v>
      </c>
      <c r="W37" s="42">
        <f t="shared" ca="1" si="18"/>
        <v>0</v>
      </c>
      <c r="X37" s="42">
        <f t="shared" ca="1" si="18"/>
        <v>9.1794445198692785</v>
      </c>
      <c r="Y37" s="42">
        <f t="shared" ca="1" si="18"/>
        <v>18.724981080842724</v>
      </c>
      <c r="Z37" s="42">
        <f t="shared" ca="1" si="18"/>
        <v>1.7741382621244013</v>
      </c>
      <c r="AA37" s="42">
        <f t="shared" ca="1" si="18"/>
        <v>132.77250872867404</v>
      </c>
      <c r="AB37" s="42">
        <f t="shared" ca="1" si="18"/>
        <v>285.91627023881932</v>
      </c>
      <c r="AC37" s="42">
        <f t="shared" ca="1" si="18"/>
        <v>821.73301551359441</v>
      </c>
      <c r="AD37" s="42">
        <f t="shared" ca="1" si="18"/>
        <v>89.417557893175299</v>
      </c>
      <c r="AE37" s="42">
        <f t="shared" ca="1" si="18"/>
        <v>110.83756511881455</v>
      </c>
      <c r="AF37" s="42">
        <f t="shared" ca="1" si="18"/>
        <v>0</v>
      </c>
      <c r="AG37" s="42">
        <f t="shared" ca="1" si="18"/>
        <v>0</v>
      </c>
      <c r="AH37" s="51">
        <f t="shared" ca="1" si="13"/>
        <v>1686.076759131214</v>
      </c>
    </row>
    <row r="38" spans="4:34" ht="12" customHeight="1" x14ac:dyDescent="0.25">
      <c r="D38" s="62">
        <f t="shared" si="14"/>
        <v>26</v>
      </c>
      <c r="E38" s="63">
        <f t="shared" si="11"/>
        <v>6.5</v>
      </c>
      <c r="F38" s="43">
        <f t="shared" si="8"/>
        <v>76.5</v>
      </c>
      <c r="H38" s="42">
        <f t="shared" ca="1" si="17"/>
        <v>0</v>
      </c>
      <c r="I38" s="42">
        <f t="shared" ca="1" si="17"/>
        <v>121.36018376152816</v>
      </c>
      <c r="J38" s="42">
        <f t="shared" ca="1" si="17"/>
        <v>10.827447200822752</v>
      </c>
      <c r="K38" s="42">
        <f t="shared" ca="1" si="17"/>
        <v>22.230539193322898</v>
      </c>
      <c r="L38" s="42">
        <f t="shared" ca="1" si="17"/>
        <v>2.1151796556274918</v>
      </c>
      <c r="M38" s="42">
        <f t="shared" ca="1" si="17"/>
        <v>182.94009550223225</v>
      </c>
      <c r="N38" s="42">
        <f t="shared" ca="1" si="17"/>
        <v>306.03451037336856</v>
      </c>
      <c r="O38" s="42">
        <f t="shared" ca="1" si="17"/>
        <v>820.4707370265686</v>
      </c>
      <c r="P38" s="42">
        <f t="shared" ca="1" si="17"/>
        <v>91.56038536544736</v>
      </c>
      <c r="Q38" s="42">
        <f t="shared" ca="1" si="17"/>
        <v>121.46254901742263</v>
      </c>
      <c r="R38" s="42">
        <f t="shared" ca="1" si="17"/>
        <v>0</v>
      </c>
      <c r="S38" s="42">
        <f t="shared" ca="1" si="17"/>
        <v>0</v>
      </c>
      <c r="T38" s="51">
        <f t="shared" ca="1" si="12"/>
        <v>1679.0016270963406</v>
      </c>
      <c r="V38" s="42">
        <f t="shared" ca="1" si="18"/>
        <v>202.19073131799755</v>
      </c>
      <c r="W38" s="42">
        <f t="shared" ca="1" si="18"/>
        <v>0</v>
      </c>
      <c r="X38" s="42">
        <f t="shared" ca="1" si="18"/>
        <v>8.8231948085362752</v>
      </c>
      <c r="Y38" s="42">
        <f t="shared" ca="1" si="18"/>
        <v>17.998273806744926</v>
      </c>
      <c r="Z38" s="42">
        <f t="shared" ca="1" si="18"/>
        <v>1.7052848317911622</v>
      </c>
      <c r="AA38" s="42">
        <f t="shared" ca="1" si="18"/>
        <v>132.77818383715311</v>
      </c>
      <c r="AB38" s="42">
        <f t="shared" ca="1" si="18"/>
        <v>282.49607435266506</v>
      </c>
      <c r="AC38" s="42">
        <f t="shared" ca="1" si="18"/>
        <v>824.02829484033009</v>
      </c>
      <c r="AD38" s="42">
        <f t="shared" ca="1" si="18"/>
        <v>89.402858979030327</v>
      </c>
      <c r="AE38" s="42">
        <f t="shared" ca="1" si="18"/>
        <v>117.08545804229597</v>
      </c>
      <c r="AF38" s="42">
        <f t="shared" ca="1" si="18"/>
        <v>0</v>
      </c>
      <c r="AG38" s="42">
        <f t="shared" ca="1" si="18"/>
        <v>0</v>
      </c>
      <c r="AH38" s="51">
        <f t="shared" ca="1" si="13"/>
        <v>1676.5083548165446</v>
      </c>
    </row>
    <row r="39" spans="4:34" ht="12" customHeight="1" x14ac:dyDescent="0.25">
      <c r="D39" s="62">
        <f t="shared" si="14"/>
        <v>27</v>
      </c>
      <c r="E39" s="63">
        <f t="shared" si="11"/>
        <v>6.75</v>
      </c>
      <c r="F39" s="43">
        <f t="shared" si="8"/>
        <v>76.75</v>
      </c>
      <c r="H39" s="42">
        <f t="shared" ca="1" si="17"/>
        <v>0</v>
      </c>
      <c r="I39" s="42">
        <f t="shared" ca="1" si="17"/>
        <v>110.4229724353886</v>
      </c>
      <c r="J39" s="42">
        <f t="shared" ca="1" si="17"/>
        <v>10.242972415996956</v>
      </c>
      <c r="K39" s="42">
        <f t="shared" ca="1" si="17"/>
        <v>21.025317748756198</v>
      </c>
      <c r="L39" s="42">
        <f t="shared" ca="1" si="17"/>
        <v>2.0001863115265226</v>
      </c>
      <c r="M39" s="42">
        <f t="shared" ca="1" si="17"/>
        <v>181.30931177979241</v>
      </c>
      <c r="N39" s="42">
        <f t="shared" ca="1" si="17"/>
        <v>300.99936438218509</v>
      </c>
      <c r="O39" s="42">
        <f t="shared" ca="1" si="17"/>
        <v>821.0930628549263</v>
      </c>
      <c r="P39" s="42">
        <f t="shared" ca="1" si="17"/>
        <v>91.265018904085565</v>
      </c>
      <c r="Q39" s="42">
        <f t="shared" ca="1" si="17"/>
        <v>127.76606439588269</v>
      </c>
      <c r="R39" s="42">
        <f t="shared" ca="1" si="17"/>
        <v>0</v>
      </c>
      <c r="S39" s="42">
        <f t="shared" ca="1" si="17"/>
        <v>0</v>
      </c>
      <c r="T39" s="51">
        <f t="shared" ca="1" si="12"/>
        <v>1666.1242712285405</v>
      </c>
      <c r="V39" s="42">
        <f t="shared" ca="1" si="18"/>
        <v>189.50885259213672</v>
      </c>
      <c r="W39" s="42">
        <f t="shared" ca="1" si="18"/>
        <v>0</v>
      </c>
      <c r="X39" s="42">
        <f t="shared" ca="1" si="18"/>
        <v>8.480770985523014</v>
      </c>
      <c r="Y39" s="42">
        <f t="shared" ca="1" si="18"/>
        <v>17.299769709500872</v>
      </c>
      <c r="Z39" s="42">
        <f t="shared" ca="1" si="18"/>
        <v>1.6391035715900937</v>
      </c>
      <c r="AA39" s="42">
        <f t="shared" ca="1" si="18"/>
        <v>132.46008476425393</v>
      </c>
      <c r="AB39" s="42">
        <f t="shared" ca="1" si="18"/>
        <v>278.62464086147048</v>
      </c>
      <c r="AC39" s="42">
        <f t="shared" ca="1" si="18"/>
        <v>825.12013737325651</v>
      </c>
      <c r="AD39" s="42">
        <f t="shared" ca="1" si="18"/>
        <v>89.242242282812214</v>
      </c>
      <c r="AE39" s="42">
        <f t="shared" ca="1" si="18"/>
        <v>123.25832756728521</v>
      </c>
      <c r="AF39" s="42">
        <f t="shared" ca="1" si="18"/>
        <v>0</v>
      </c>
      <c r="AG39" s="42">
        <f t="shared" ca="1" si="18"/>
        <v>0</v>
      </c>
      <c r="AH39" s="51">
        <f t="shared" ca="1" si="13"/>
        <v>1665.6339297078291</v>
      </c>
    </row>
    <row r="40" spans="4:34" ht="12" customHeight="1" x14ac:dyDescent="0.25">
      <c r="D40" s="62">
        <f t="shared" si="14"/>
        <v>28</v>
      </c>
      <c r="E40" s="63">
        <f t="shared" si="11"/>
        <v>7</v>
      </c>
      <c r="F40" s="43">
        <f t="shared" si="8"/>
        <v>77</v>
      </c>
      <c r="H40" s="42">
        <f t="shared" ca="1" si="17"/>
        <v>0</v>
      </c>
      <c r="I40" s="42">
        <f t="shared" ca="1" si="17"/>
        <v>100.47144346309003</v>
      </c>
      <c r="J40" s="42">
        <f t="shared" ca="1" si="17"/>
        <v>9.695984855898157</v>
      </c>
      <c r="K40" s="42">
        <f t="shared" ca="1" si="17"/>
        <v>19.897733970177764</v>
      </c>
      <c r="L40" s="42">
        <f t="shared" ca="1" si="17"/>
        <v>1.8926211975709217</v>
      </c>
      <c r="M40" s="42">
        <f t="shared" ca="1" si="17"/>
        <v>179.24893847269709</v>
      </c>
      <c r="N40" s="42">
        <f t="shared" ca="1" si="17"/>
        <v>295.48427890547271</v>
      </c>
      <c r="O40" s="42">
        <f t="shared" ca="1" si="17"/>
        <v>820.55721128156404</v>
      </c>
      <c r="P40" s="42">
        <f t="shared" ca="1" si="17"/>
        <v>90.821928739931849</v>
      </c>
      <c r="Q40" s="42">
        <f t="shared" ca="1" si="17"/>
        <v>133.97018002704885</v>
      </c>
      <c r="R40" s="42">
        <f t="shared" ca="1" si="17"/>
        <v>0</v>
      </c>
      <c r="S40" s="42">
        <f t="shared" ca="1" si="17"/>
        <v>0</v>
      </c>
      <c r="T40" s="51">
        <f t="shared" ca="1" si="12"/>
        <v>1652.0403209134513</v>
      </c>
      <c r="V40" s="42">
        <f t="shared" ca="1" si="18"/>
        <v>177.62241115941518</v>
      </c>
      <c r="W40" s="42">
        <f t="shared" ca="1" si="18"/>
        <v>0</v>
      </c>
      <c r="X40" s="42">
        <f t="shared" ca="1" si="18"/>
        <v>8.1516364612728989</v>
      </c>
      <c r="Y40" s="42">
        <f t="shared" ca="1" si="18"/>
        <v>16.628374209882629</v>
      </c>
      <c r="Z40" s="42">
        <f t="shared" ca="1" si="18"/>
        <v>1.5754907732781369</v>
      </c>
      <c r="AA40" s="42">
        <f t="shared" ca="1" si="18"/>
        <v>131.85107110232124</v>
      </c>
      <c r="AB40" s="42">
        <f t="shared" ca="1" si="18"/>
        <v>274.36390913488719</v>
      </c>
      <c r="AC40" s="42">
        <f t="shared" ca="1" si="18"/>
        <v>825.07674952937657</v>
      </c>
      <c r="AD40" s="42">
        <f t="shared" ca="1" si="18"/>
        <v>88.947532083089698</v>
      </c>
      <c r="AE40" s="42">
        <f t="shared" ca="1" si="18"/>
        <v>129.34472798002577</v>
      </c>
      <c r="AF40" s="42">
        <f t="shared" ca="1" si="18"/>
        <v>0</v>
      </c>
      <c r="AG40" s="42">
        <f t="shared" ca="1" si="18"/>
        <v>0</v>
      </c>
      <c r="AH40" s="51">
        <f t="shared" ca="1" si="13"/>
        <v>1653.5619024335492</v>
      </c>
    </row>
    <row r="41" spans="4:34" ht="12" customHeight="1" x14ac:dyDescent="0.25">
      <c r="D41" s="62">
        <f t="shared" si="14"/>
        <v>29</v>
      </c>
      <c r="E41" s="63">
        <f t="shared" si="11"/>
        <v>7.25</v>
      </c>
      <c r="F41" s="43">
        <f t="shared" si="8"/>
        <v>77.25</v>
      </c>
      <c r="H41" s="42">
        <f t="shared" ca="1" si="17"/>
        <v>0</v>
      </c>
      <c r="I41" s="42">
        <f t="shared" ca="1" si="17"/>
        <v>91.416765270138498</v>
      </c>
      <c r="J41" s="42">
        <f t="shared" ca="1" si="17"/>
        <v>9.1836954913610143</v>
      </c>
      <c r="K41" s="42">
        <f t="shared" ca="1" si="17"/>
        <v>18.841993291030583</v>
      </c>
      <c r="L41" s="42">
        <f t="shared" ca="1" si="17"/>
        <v>1.7919287808305391</v>
      </c>
      <c r="M41" s="42">
        <f t="shared" ca="1" si="17"/>
        <v>176.82006698006225</v>
      </c>
      <c r="N41" s="42">
        <f t="shared" ca="1" si="17"/>
        <v>289.57321328766983</v>
      </c>
      <c r="O41" s="42">
        <f t="shared" ca="1" si="17"/>
        <v>818.930374886805</v>
      </c>
      <c r="P41" s="42">
        <f t="shared" ca="1" si="17"/>
        <v>90.245345870271137</v>
      </c>
      <c r="Q41" s="42">
        <f t="shared" ca="1" si="17"/>
        <v>140.06358543649921</v>
      </c>
      <c r="R41" s="42">
        <f t="shared" ca="1" si="17"/>
        <v>0</v>
      </c>
      <c r="S41" s="42">
        <f t="shared" ca="1" si="17"/>
        <v>0</v>
      </c>
      <c r="T41" s="51">
        <f t="shared" ca="1" si="12"/>
        <v>1636.866969294668</v>
      </c>
      <c r="V41" s="42">
        <f t="shared" ca="1" si="18"/>
        <v>166.48151531995202</v>
      </c>
      <c r="W41" s="42">
        <f t="shared" ca="1" si="18"/>
        <v>0</v>
      </c>
      <c r="X41" s="42">
        <f t="shared" ca="1" si="18"/>
        <v>7.835275485005698</v>
      </c>
      <c r="Y41" s="42">
        <f t="shared" ca="1" si="18"/>
        <v>15.983035237301241</v>
      </c>
      <c r="Z41" s="42">
        <f t="shared" ca="1" si="18"/>
        <v>1.5143467561838797</v>
      </c>
      <c r="AA41" s="42">
        <f t="shared" ca="1" si="18"/>
        <v>130.98145427450311</v>
      </c>
      <c r="AB41" s="42">
        <f t="shared" ca="1" si="18"/>
        <v>269.77003481225614</v>
      </c>
      <c r="AC41" s="42">
        <f t="shared" ca="1" si="18"/>
        <v>823.9651009690059</v>
      </c>
      <c r="AD41" s="42">
        <f t="shared" ca="1" si="18"/>
        <v>88.529865293607983</v>
      </c>
      <c r="AE41" s="42">
        <f t="shared" ca="1" si="18"/>
        <v>135.33434801086827</v>
      </c>
      <c r="AF41" s="42">
        <f t="shared" ca="1" si="18"/>
        <v>0</v>
      </c>
      <c r="AG41" s="42">
        <f t="shared" ca="1" si="18"/>
        <v>0</v>
      </c>
      <c r="AH41" s="51">
        <f t="shared" ca="1" si="13"/>
        <v>1640.3949761586844</v>
      </c>
    </row>
    <row r="42" spans="4:34" ht="12" customHeight="1" x14ac:dyDescent="0.25">
      <c r="D42" s="62">
        <f t="shared" si="14"/>
        <v>30</v>
      </c>
      <c r="E42" s="63">
        <f t="shared" si="11"/>
        <v>7.5</v>
      </c>
      <c r="F42" s="43">
        <f t="shared" si="8"/>
        <v>77.5</v>
      </c>
      <c r="H42" s="42">
        <f t="shared" ref="H42:S51" ca="1" si="19">PRODUCT(AVERAGE(OFFSET(E.Trace.Markov.Root, $D42, (H$2-1)*E.Trace.Markov.NumCols+H$3-1, CHOOSE(swtchHalfCycle, 2, 1))) + N("halfcycle-adjusted state occupancy"),
H$6 + N("state cost"))</f>
        <v>0</v>
      </c>
      <c r="I42" s="42">
        <f t="shared" ca="1" si="19"/>
        <v>83.178111953031731</v>
      </c>
      <c r="J42" s="42">
        <f t="shared" ca="1" si="19"/>
        <v>8.7035437713727859</v>
      </c>
      <c r="K42" s="42">
        <f t="shared" ca="1" si="19"/>
        <v>17.852776700923805</v>
      </c>
      <c r="L42" s="42">
        <f t="shared" ca="1" si="19"/>
        <v>1.6975991730452984</v>
      </c>
      <c r="M42" s="42">
        <f t="shared" ca="1" si="19"/>
        <v>174.07741462785526</v>
      </c>
      <c r="N42" s="42">
        <f t="shared" ca="1" si="19"/>
        <v>283.34064050194081</v>
      </c>
      <c r="O42" s="42">
        <f t="shared" ca="1" si="19"/>
        <v>816.27924194516891</v>
      </c>
      <c r="P42" s="42">
        <f t="shared" ca="1" si="19"/>
        <v>89.548472960693985</v>
      </c>
      <c r="Q42" s="42">
        <f t="shared" ca="1" si="19"/>
        <v>146.03630639117139</v>
      </c>
      <c r="R42" s="42">
        <f t="shared" ca="1" si="19"/>
        <v>0</v>
      </c>
      <c r="S42" s="42">
        <f t="shared" ca="1" si="19"/>
        <v>0</v>
      </c>
      <c r="T42" s="51">
        <f t="shared" ca="1" si="12"/>
        <v>1620.7141080252038</v>
      </c>
      <c r="V42" s="42">
        <f t="shared" ref="V42:AG51" ca="1" si="20">PRODUCT(AVERAGE(OFFSET(E.Trace.Markov.Root, $D42, (V$2-1)*E.Trace.Markov.NumCols+V$3-1, CHOOSE(swtchHalfCycle, 2, 1))) + N("halfcycle-adjusted state occupancy"),
V$6 + N("state cost"))</f>
        <v>156.03940269875275</v>
      </c>
      <c r="W42" s="42">
        <f t="shared" ca="1" si="20"/>
        <v>0</v>
      </c>
      <c r="X42" s="42">
        <f t="shared" ca="1" si="20"/>
        <v>7.5311923216388603</v>
      </c>
      <c r="Y42" s="42">
        <f t="shared" ca="1" si="20"/>
        <v>15.362741550823586</v>
      </c>
      <c r="Z42" s="42">
        <f t="shared" ca="1" si="20"/>
        <v>1.4555757081287175</v>
      </c>
      <c r="AA42" s="42">
        <f t="shared" ca="1" si="20"/>
        <v>129.87917628022575</v>
      </c>
      <c r="AB42" s="42">
        <f t="shared" ca="1" si="20"/>
        <v>264.8938714093689</v>
      </c>
      <c r="AC42" s="42">
        <f t="shared" ca="1" si="20"/>
        <v>821.85071439807314</v>
      </c>
      <c r="AD42" s="42">
        <f t="shared" ca="1" si="20"/>
        <v>87.999723579008503</v>
      </c>
      <c r="AE42" s="42">
        <f t="shared" ca="1" si="20"/>
        <v>141.21793934774161</v>
      </c>
      <c r="AF42" s="42">
        <f t="shared" ca="1" si="20"/>
        <v>0</v>
      </c>
      <c r="AG42" s="42">
        <f t="shared" ca="1" si="20"/>
        <v>0</v>
      </c>
      <c r="AH42" s="51">
        <f t="shared" ca="1" si="13"/>
        <v>1626.2303372937617</v>
      </c>
    </row>
    <row r="43" spans="4:34" ht="12" customHeight="1" x14ac:dyDescent="0.25">
      <c r="D43" s="62">
        <f t="shared" si="14"/>
        <v>31</v>
      </c>
      <c r="E43" s="63">
        <f t="shared" si="11"/>
        <v>7.75</v>
      </c>
      <c r="F43" s="43">
        <f t="shared" si="8"/>
        <v>77.75</v>
      </c>
      <c r="H43" s="42">
        <f t="shared" ca="1" si="19"/>
        <v>0</v>
      </c>
      <c r="I43" s="42">
        <f t="shared" ca="1" si="19"/>
        <v>75.681941792913747</v>
      </c>
      <c r="J43" s="42">
        <f t="shared" ca="1" si="19"/>
        <v>8.2531779204477598</v>
      </c>
      <c r="K43" s="42">
        <f t="shared" ca="1" si="19"/>
        <v>16.925199699552007</v>
      </c>
      <c r="L43" s="42">
        <f t="shared" ca="1" si="19"/>
        <v>1.6091641887173511</v>
      </c>
      <c r="M43" s="42">
        <f t="shared" ca="1" si="19"/>
        <v>171.06993281420566</v>
      </c>
      <c r="N43" s="42">
        <f t="shared" ca="1" si="19"/>
        <v>276.85250245253019</v>
      </c>
      <c r="O43" s="42">
        <f t="shared" ca="1" si="19"/>
        <v>812.66960383515311</v>
      </c>
      <c r="P43" s="42">
        <f t="shared" ca="1" si="19"/>
        <v>88.743552196421888</v>
      </c>
      <c r="Q43" s="42">
        <f t="shared" ca="1" si="19"/>
        <v>151.87960221435324</v>
      </c>
      <c r="R43" s="42">
        <f t="shared" ca="1" si="19"/>
        <v>0</v>
      </c>
      <c r="S43" s="42">
        <f t="shared" ca="1" si="19"/>
        <v>0</v>
      </c>
      <c r="T43" s="51">
        <f t="shared" ca="1" si="12"/>
        <v>1603.684677114295</v>
      </c>
      <c r="V43" s="42">
        <f t="shared" ca="1" si="20"/>
        <v>146.25224396708441</v>
      </c>
      <c r="W43" s="42">
        <f t="shared" ca="1" si="20"/>
        <v>0</v>
      </c>
      <c r="X43" s="42">
        <f t="shared" ca="1" si="20"/>
        <v>7.2389104753310303</v>
      </c>
      <c r="Y43" s="42">
        <f t="shared" ca="1" si="20"/>
        <v>14.766521155292962</v>
      </c>
      <c r="Z43" s="42">
        <f t="shared" ca="1" si="20"/>
        <v>1.3990855353588223</v>
      </c>
      <c r="AA43" s="42">
        <f t="shared" ca="1" si="20"/>
        <v>128.56997648210665</v>
      </c>
      <c r="AB43" s="42">
        <f t="shared" ca="1" si="20"/>
        <v>259.78141366098311</v>
      </c>
      <c r="AC43" s="42">
        <f t="shared" ca="1" si="20"/>
        <v>818.79749069368188</v>
      </c>
      <c r="AD43" s="42">
        <f t="shared" ca="1" si="20"/>
        <v>87.366964442177661</v>
      </c>
      <c r="AE43" s="42">
        <f t="shared" ca="1" si="20"/>
        <v>146.98724870793922</v>
      </c>
      <c r="AF43" s="42">
        <f t="shared" ca="1" si="20"/>
        <v>0</v>
      </c>
      <c r="AG43" s="42">
        <f t="shared" ca="1" si="20"/>
        <v>0</v>
      </c>
      <c r="AH43" s="51">
        <f t="shared" ca="1" si="13"/>
        <v>1611.1598551199556</v>
      </c>
    </row>
    <row r="44" spans="4:34" ht="12" customHeight="1" x14ac:dyDescent="0.25">
      <c r="D44" s="62">
        <f t="shared" si="14"/>
        <v>32</v>
      </c>
      <c r="E44" s="63">
        <f t="shared" si="11"/>
        <v>8</v>
      </c>
      <c r="F44" s="43">
        <f t="shared" si="8"/>
        <v>78</v>
      </c>
      <c r="H44" s="42">
        <f t="shared" ca="1" si="19"/>
        <v>0</v>
      </c>
      <c r="I44" s="42">
        <f t="shared" ca="1" si="19"/>
        <v>68.861340790955708</v>
      </c>
      <c r="J44" s="42">
        <f t="shared" ca="1" si="19"/>
        <v>7.8304369766402582</v>
      </c>
      <c r="K44" s="42">
        <f t="shared" ca="1" si="19"/>
        <v>16.054774878370534</v>
      </c>
      <c r="L44" s="42">
        <f t="shared" ca="1" si="19"/>
        <v>1.526193751691004</v>
      </c>
      <c r="M44" s="42">
        <f t="shared" ca="1" si="19"/>
        <v>167.84135904005242</v>
      </c>
      <c r="N44" s="42">
        <f t="shared" ca="1" si="19"/>
        <v>270.16707332059599</v>
      </c>
      <c r="O44" s="42">
        <f t="shared" ca="1" si="19"/>
        <v>808.16602736431992</v>
      </c>
      <c r="P44" s="42">
        <f t="shared" ca="1" si="19"/>
        <v>87.841928771692054</v>
      </c>
      <c r="Q44" s="42">
        <f t="shared" ca="1" si="19"/>
        <v>157.58587004746298</v>
      </c>
      <c r="R44" s="42">
        <f t="shared" ca="1" si="19"/>
        <v>0</v>
      </c>
      <c r="S44" s="42">
        <f t="shared" ca="1" si="19"/>
        <v>0</v>
      </c>
      <c r="T44" s="51">
        <f t="shared" ca="1" si="12"/>
        <v>1585.8750049417808</v>
      </c>
      <c r="V44" s="42">
        <f t="shared" ca="1" si="20"/>
        <v>137.0789588749083</v>
      </c>
      <c r="W44" s="42">
        <f t="shared" ca="1" si="20"/>
        <v>0</v>
      </c>
      <c r="X44" s="42">
        <f t="shared" ca="1" si="20"/>
        <v>6.9579719428084106</v>
      </c>
      <c r="Y44" s="42">
        <f t="shared" ca="1" si="20"/>
        <v>14.193439778203196</v>
      </c>
      <c r="Z44" s="42">
        <f t="shared" ca="1" si="20"/>
        <v>1.3447877182333303</v>
      </c>
      <c r="AA44" s="42">
        <f t="shared" ca="1" si="20"/>
        <v>127.07754722670023</v>
      </c>
      <c r="AB44" s="42">
        <f t="shared" ca="1" si="20"/>
        <v>254.4742055840612</v>
      </c>
      <c r="AC44" s="42">
        <f t="shared" ca="1" si="20"/>
        <v>814.86756553848306</v>
      </c>
      <c r="AD44" s="42">
        <f t="shared" ca="1" si="20"/>
        <v>86.640851237552653</v>
      </c>
      <c r="AE44" s="42">
        <f t="shared" ca="1" si="20"/>
        <v>152.63495333929166</v>
      </c>
      <c r="AF44" s="42">
        <f t="shared" ca="1" si="20"/>
        <v>0</v>
      </c>
      <c r="AG44" s="42">
        <f t="shared" ca="1" si="20"/>
        <v>0</v>
      </c>
      <c r="AH44" s="51">
        <f t="shared" ca="1" si="13"/>
        <v>1595.2702812402417</v>
      </c>
    </row>
    <row r="45" spans="4:34" ht="12" customHeight="1" x14ac:dyDescent="0.25">
      <c r="D45" s="62">
        <f t="shared" si="14"/>
        <v>33</v>
      </c>
      <c r="E45" s="63">
        <f t="shared" si="11"/>
        <v>8.25</v>
      </c>
      <c r="F45" s="43">
        <f t="shared" si="8"/>
        <v>78.25</v>
      </c>
      <c r="H45" s="42">
        <f t="shared" ca="1" si="19"/>
        <v>0</v>
      </c>
      <c r="I45" s="42">
        <f t="shared" ca="1" si="19"/>
        <v>62.65542536558084</v>
      </c>
      <c r="J45" s="42">
        <f t="shared" ca="1" si="19"/>
        <v>7.4333344152241008</v>
      </c>
      <c r="K45" s="42">
        <f t="shared" ca="1" si="19"/>
        <v>15.237377806957243</v>
      </c>
      <c r="L45" s="42">
        <f t="shared" ca="1" si="19"/>
        <v>1.4482926191807823</v>
      </c>
      <c r="M45" s="42">
        <f t="shared" ca="1" si="19"/>
        <v>164.43071793251983</v>
      </c>
      <c r="N45" s="42">
        <f t="shared" ca="1" si="19"/>
        <v>263.33573961764029</v>
      </c>
      <c r="O45" s="42">
        <f t="shared" ca="1" si="19"/>
        <v>802.83158427842784</v>
      </c>
      <c r="P45" s="42">
        <f t="shared" ca="1" si="19"/>
        <v>86.85411030088143</v>
      </c>
      <c r="Q45" s="42">
        <f t="shared" ca="1" si="19"/>
        <v>163.14855560795289</v>
      </c>
      <c r="R45" s="42">
        <f t="shared" ca="1" si="19"/>
        <v>0</v>
      </c>
      <c r="S45" s="42">
        <f t="shared" ca="1" si="19"/>
        <v>0</v>
      </c>
      <c r="T45" s="51">
        <f t="shared" ca="1" si="12"/>
        <v>1567.3751379443652</v>
      </c>
      <c r="V45" s="42">
        <f t="shared" ca="1" si="20"/>
        <v>128.48104382219137</v>
      </c>
      <c r="W45" s="42">
        <f t="shared" ca="1" si="20"/>
        <v>0</v>
      </c>
      <c r="X45" s="42">
        <f t="shared" ca="1" si="20"/>
        <v>6.6879364956775662</v>
      </c>
      <c r="Y45" s="42">
        <f t="shared" ca="1" si="20"/>
        <v>13.642599405701663</v>
      </c>
      <c r="Z45" s="42">
        <f t="shared" ca="1" si="20"/>
        <v>1.2925971725148273</v>
      </c>
      <c r="AA45" s="42">
        <f t="shared" ca="1" si="20"/>
        <v>125.42367902648294</v>
      </c>
      <c r="AB45" s="42">
        <f t="shared" ca="1" si="20"/>
        <v>249.0097160056165</v>
      </c>
      <c r="AC45" s="42">
        <f t="shared" ca="1" si="20"/>
        <v>810.12119410365358</v>
      </c>
      <c r="AD45" s="42">
        <f t="shared" ca="1" si="20"/>
        <v>85.830082114798671</v>
      </c>
      <c r="AE45" s="42">
        <f t="shared" ca="1" si="20"/>
        <v>158.15459981945912</v>
      </c>
      <c r="AF45" s="42">
        <f t="shared" ca="1" si="20"/>
        <v>0</v>
      </c>
      <c r="AG45" s="42">
        <f t="shared" ca="1" si="20"/>
        <v>0</v>
      </c>
      <c r="AH45" s="51">
        <f t="shared" ca="1" si="13"/>
        <v>1578.6434479660961</v>
      </c>
    </row>
    <row r="46" spans="4:34" ht="12" customHeight="1" x14ac:dyDescent="0.25">
      <c r="D46" s="62">
        <f t="shared" si="14"/>
        <v>34</v>
      </c>
      <c r="E46" s="63">
        <f t="shared" si="11"/>
        <v>8.5</v>
      </c>
      <c r="F46" s="43">
        <f t="shared" si="8"/>
        <v>78.5</v>
      </c>
      <c r="H46" s="42">
        <f t="shared" ca="1" si="19"/>
        <v>0</v>
      </c>
      <c r="I46" s="42">
        <f t="shared" ca="1" si="19"/>
        <v>57.008798879755112</v>
      </c>
      <c r="J46" s="42">
        <f t="shared" ca="1" si="19"/>
        <v>7.0600432164070392</v>
      </c>
      <c r="K46" s="42">
        <f t="shared" ca="1" si="19"/>
        <v>14.469215928830439</v>
      </c>
      <c r="L46" s="42">
        <f t="shared" ca="1" si="19"/>
        <v>1.375097394884403</v>
      </c>
      <c r="M46" s="42">
        <f t="shared" ca="1" si="19"/>
        <v>160.8727759066991</v>
      </c>
      <c r="N46" s="42">
        <f t="shared" ca="1" si="19"/>
        <v>256.40370480424764</v>
      </c>
      <c r="O46" s="42">
        <f t="shared" ca="1" si="19"/>
        <v>796.72763103803015</v>
      </c>
      <c r="P46" s="42">
        <f t="shared" ca="1" si="19"/>
        <v>85.789822414571987</v>
      </c>
      <c r="Q46" s="42">
        <f t="shared" ca="1" si="19"/>
        <v>168.56207002196604</v>
      </c>
      <c r="R46" s="42">
        <f t="shared" ca="1" si="19"/>
        <v>0</v>
      </c>
      <c r="S46" s="42">
        <f t="shared" ca="1" si="19"/>
        <v>0</v>
      </c>
      <c r="T46" s="51">
        <f t="shared" ca="1" si="12"/>
        <v>1548.2691596053919</v>
      </c>
      <c r="V46" s="42">
        <f t="shared" ca="1" si="20"/>
        <v>120.4224102453514</v>
      </c>
      <c r="W46" s="42">
        <f t="shared" ca="1" si="20"/>
        <v>0</v>
      </c>
      <c r="X46" s="42">
        <f t="shared" ca="1" si="20"/>
        <v>6.4283809905911165</v>
      </c>
      <c r="Y46" s="42">
        <f t="shared" ca="1" si="20"/>
        <v>13.113136875408866</v>
      </c>
      <c r="Z46" s="42">
        <f t="shared" ca="1" si="20"/>
        <v>1.2424321160430387</v>
      </c>
      <c r="AA46" s="42">
        <f t="shared" ca="1" si="20"/>
        <v>123.62839598413619</v>
      </c>
      <c r="AB46" s="42">
        <f t="shared" ca="1" si="20"/>
        <v>243.42168408824011</v>
      </c>
      <c r="AC46" s="42">
        <f t="shared" ca="1" si="20"/>
        <v>804.61666064255041</v>
      </c>
      <c r="AD46" s="42">
        <f t="shared" ca="1" si="20"/>
        <v>84.942817900375985</v>
      </c>
      <c r="AE46" s="42">
        <f t="shared" ca="1" si="20"/>
        <v>163.54054602400166</v>
      </c>
      <c r="AF46" s="42">
        <f t="shared" ca="1" si="20"/>
        <v>0</v>
      </c>
      <c r="AG46" s="42">
        <f t="shared" ca="1" si="20"/>
        <v>0</v>
      </c>
      <c r="AH46" s="51">
        <f t="shared" ca="1" si="13"/>
        <v>1561.3564648666988</v>
      </c>
    </row>
    <row r="47" spans="4:34" ht="12" customHeight="1" x14ac:dyDescent="0.25">
      <c r="D47" s="62">
        <f t="shared" si="14"/>
        <v>35</v>
      </c>
      <c r="E47" s="63">
        <f t="shared" si="11"/>
        <v>8.75</v>
      </c>
      <c r="F47" s="43">
        <f t="shared" si="8"/>
        <v>78.75</v>
      </c>
      <c r="H47" s="42">
        <f t="shared" ca="1" si="19"/>
        <v>0</v>
      </c>
      <c r="I47" s="42">
        <f t="shared" ca="1" si="19"/>
        <v>51.871057147075497</v>
      </c>
      <c r="J47" s="42">
        <f t="shared" ca="1" si="19"/>
        <v>6.708882248176562</v>
      </c>
      <c r="K47" s="42">
        <f t="shared" ca="1" si="19"/>
        <v>13.746800198025516</v>
      </c>
      <c r="L47" s="42">
        <f t="shared" ca="1" si="19"/>
        <v>1.3062738053665806</v>
      </c>
      <c r="M47" s="42">
        <f t="shared" ca="1" si="19"/>
        <v>157.19845369092852</v>
      </c>
      <c r="N47" s="42">
        <f t="shared" ca="1" si="19"/>
        <v>249.41062559952354</v>
      </c>
      <c r="O47" s="42">
        <f t="shared" ca="1" si="19"/>
        <v>789.91363267983854</v>
      </c>
      <c r="P47" s="42">
        <f t="shared" ca="1" si="19"/>
        <v>84.658060786390664</v>
      </c>
      <c r="Q47" s="42">
        <f t="shared" ca="1" si="19"/>
        <v>173.82171233759419</v>
      </c>
      <c r="R47" s="42">
        <f t="shared" ca="1" si="19"/>
        <v>0</v>
      </c>
      <c r="S47" s="42">
        <f t="shared" ca="1" si="19"/>
        <v>0</v>
      </c>
      <c r="T47" s="51">
        <f t="shared" ca="1" si="12"/>
        <v>1528.6354984929196</v>
      </c>
      <c r="V47" s="42">
        <f t="shared" ca="1" si="20"/>
        <v>112.86923314048441</v>
      </c>
      <c r="W47" s="42">
        <f t="shared" ca="1" si="20"/>
        <v>0</v>
      </c>
      <c r="X47" s="42">
        <f t="shared" ca="1" si="20"/>
        <v>6.1788987061855494</v>
      </c>
      <c r="Y47" s="42">
        <f t="shared" ca="1" si="20"/>
        <v>12.604222523850021</v>
      </c>
      <c r="Z47" s="42">
        <f t="shared" ca="1" si="20"/>
        <v>1.1942139405828505</v>
      </c>
      <c r="AA47" s="42">
        <f t="shared" ca="1" si="20"/>
        <v>121.71008209643924</v>
      </c>
      <c r="AB47" s="42">
        <f t="shared" ca="1" si="20"/>
        <v>237.74043719142307</v>
      </c>
      <c r="AC47" s="42">
        <f t="shared" ca="1" si="20"/>
        <v>798.41021015170634</v>
      </c>
      <c r="AD47" s="42">
        <f t="shared" ca="1" si="20"/>
        <v>83.986708928166749</v>
      </c>
      <c r="AE47" s="42">
        <f t="shared" ca="1" si="20"/>
        <v>168.78790613604676</v>
      </c>
      <c r="AF47" s="42">
        <f t="shared" ca="1" si="20"/>
        <v>0</v>
      </c>
      <c r="AG47" s="42">
        <f t="shared" ca="1" si="20"/>
        <v>0</v>
      </c>
      <c r="AH47" s="51">
        <f t="shared" ca="1" si="13"/>
        <v>1543.4819128148849</v>
      </c>
    </row>
    <row r="48" spans="4:34" ht="12" customHeight="1" x14ac:dyDescent="0.25">
      <c r="D48" s="62">
        <f t="shared" si="14"/>
        <v>36</v>
      </c>
      <c r="E48" s="63">
        <f t="shared" si="11"/>
        <v>9</v>
      </c>
      <c r="F48" s="43">
        <f t="shared" si="8"/>
        <v>79</v>
      </c>
      <c r="H48" s="42">
        <f t="shared" ca="1" si="19"/>
        <v>0</v>
      </c>
      <c r="I48" s="42">
        <f t="shared" ca="1" si="19"/>
        <v>47.196338502593093</v>
      </c>
      <c r="J48" s="42">
        <f t="shared" ca="1" si="19"/>
        <v>6.3783038469423428</v>
      </c>
      <c r="K48" s="42">
        <f t="shared" ca="1" si="19"/>
        <v>13.066919211849999</v>
      </c>
      <c r="L48" s="42">
        <f t="shared" ca="1" si="19"/>
        <v>1.2415142162166852</v>
      </c>
      <c r="M48" s="42">
        <f t="shared" ca="1" si="19"/>
        <v>153.43520055807167</v>
      </c>
      <c r="N48" s="42">
        <f t="shared" ca="1" si="19"/>
        <v>242.3911864420578</v>
      </c>
      <c r="O48" s="42">
        <f t="shared" ca="1" si="19"/>
        <v>782.44702524090474</v>
      </c>
      <c r="P48" s="42">
        <f t="shared" ca="1" si="19"/>
        <v>83.467139820237335</v>
      </c>
      <c r="Q48" s="42">
        <f t="shared" ca="1" si="19"/>
        <v>178.92359735001673</v>
      </c>
      <c r="R48" s="42">
        <f t="shared" ca="1" si="19"/>
        <v>0</v>
      </c>
      <c r="S48" s="42">
        <f t="shared" ca="1" si="19"/>
        <v>0</v>
      </c>
      <c r="T48" s="51">
        <f t="shared" ca="1" si="12"/>
        <v>1508.5472251888905</v>
      </c>
      <c r="V48" s="42">
        <f t="shared" ca="1" si="20"/>
        <v>105.78980908757225</v>
      </c>
      <c r="W48" s="42">
        <f t="shared" ca="1" si="20"/>
        <v>0</v>
      </c>
      <c r="X48" s="42">
        <f t="shared" ca="1" si="20"/>
        <v>5.9390987057521549</v>
      </c>
      <c r="Y48" s="42">
        <f t="shared" ca="1" si="20"/>
        <v>12.115058886379138</v>
      </c>
      <c r="Z48" s="42">
        <f t="shared" ca="1" si="20"/>
        <v>1.1478670886458453</v>
      </c>
      <c r="AA48" s="42">
        <f t="shared" ca="1" si="20"/>
        <v>119.68559903412924</v>
      </c>
      <c r="AB48" s="42">
        <f t="shared" ca="1" si="20"/>
        <v>231.99318322675146</v>
      </c>
      <c r="AC48" s="42">
        <f t="shared" ca="1" si="20"/>
        <v>791.55599952502314</v>
      </c>
      <c r="AD48" s="42">
        <f t="shared" ca="1" si="20"/>
        <v>82.968920833451904</v>
      </c>
      <c r="AE48" s="42">
        <f t="shared" ca="1" si="20"/>
        <v>173.89249857281982</v>
      </c>
      <c r="AF48" s="42">
        <f t="shared" ca="1" si="20"/>
        <v>0</v>
      </c>
      <c r="AG48" s="42">
        <f t="shared" ca="1" si="20"/>
        <v>0</v>
      </c>
      <c r="AH48" s="51">
        <f t="shared" ca="1" si="13"/>
        <v>1525.088034960525</v>
      </c>
    </row>
    <row r="49" spans="4:34" ht="12" customHeight="1" x14ac:dyDescent="0.25">
      <c r="D49" s="62">
        <f t="shared" si="14"/>
        <v>37</v>
      </c>
      <c r="E49" s="63">
        <f t="shared" si="11"/>
        <v>9.25</v>
      </c>
      <c r="F49" s="43">
        <f t="shared" si="8"/>
        <v>79.25</v>
      </c>
      <c r="H49" s="42">
        <f t="shared" ca="1" si="19"/>
        <v>0</v>
      </c>
      <c r="I49" s="42">
        <f t="shared" ca="1" si="19"/>
        <v>42.942914422112146</v>
      </c>
      <c r="J49" s="42">
        <f t="shared" ca="1" si="19"/>
        <v>6.0668824891688242</v>
      </c>
      <c r="K49" s="42">
        <f t="shared" ca="1" si="19"/>
        <v>12.426615617184693</v>
      </c>
      <c r="L49" s="42">
        <f t="shared" ca="1" si="19"/>
        <v>1.180535366591954</v>
      </c>
      <c r="M49" s="42">
        <f t="shared" ca="1" si="19"/>
        <v>149.60733375725107</v>
      </c>
      <c r="N49" s="42">
        <f t="shared" ca="1" si="19"/>
        <v>235.37561796016689</v>
      </c>
      <c r="O49" s="42">
        <f t="shared" ca="1" si="19"/>
        <v>774.38311181835422</v>
      </c>
      <c r="P49" s="42">
        <f t="shared" ca="1" si="19"/>
        <v>82.224738212403167</v>
      </c>
      <c r="Q49" s="42">
        <f t="shared" ca="1" si="19"/>
        <v>183.86458839355828</v>
      </c>
      <c r="R49" s="42">
        <f t="shared" ca="1" si="19"/>
        <v>0</v>
      </c>
      <c r="S49" s="42">
        <f t="shared" ca="1" si="19"/>
        <v>0</v>
      </c>
      <c r="T49" s="51">
        <f t="shared" ca="1" si="12"/>
        <v>1488.0723380367913</v>
      </c>
      <c r="V49" s="42">
        <f t="shared" ca="1" si="20"/>
        <v>99.154423179745805</v>
      </c>
      <c r="W49" s="42">
        <f t="shared" ca="1" si="20"/>
        <v>0</v>
      </c>
      <c r="X49" s="42">
        <f t="shared" ca="1" si="20"/>
        <v>5.7086052246423886</v>
      </c>
      <c r="Y49" s="42">
        <f t="shared" ca="1" si="20"/>
        <v>11.644879447558431</v>
      </c>
      <c r="Z49" s="42">
        <f t="shared" ca="1" si="20"/>
        <v>1.1033189350923329</v>
      </c>
      <c r="AA49" s="42">
        <f t="shared" ca="1" si="20"/>
        <v>117.57039595573769</v>
      </c>
      <c r="AB49" s="42">
        <f t="shared" ca="1" si="20"/>
        <v>226.2042794987974</v>
      </c>
      <c r="AC49" s="42">
        <f t="shared" ca="1" si="20"/>
        <v>784.10606587285827</v>
      </c>
      <c r="AD49" s="42">
        <f t="shared" ca="1" si="20"/>
        <v>81.896159327193388</v>
      </c>
      <c r="AE49" s="42">
        <f t="shared" ca="1" si="20"/>
        <v>178.85079670698485</v>
      </c>
      <c r="AF49" s="42">
        <f t="shared" ca="1" si="20"/>
        <v>0</v>
      </c>
      <c r="AG49" s="42">
        <f t="shared" ca="1" si="20"/>
        <v>0</v>
      </c>
      <c r="AH49" s="51">
        <f t="shared" ca="1" si="13"/>
        <v>1506.2389241486107</v>
      </c>
    </row>
    <row r="50" spans="4:34" ht="12" customHeight="1" x14ac:dyDescent="0.25">
      <c r="D50" s="62">
        <f t="shared" si="14"/>
        <v>38</v>
      </c>
      <c r="E50" s="63">
        <f t="shared" si="11"/>
        <v>9.5</v>
      </c>
      <c r="F50" s="43">
        <f t="shared" si="8"/>
        <v>79.5</v>
      </c>
      <c r="H50" s="42">
        <f t="shared" ca="1" si="19"/>
        <v>0</v>
      </c>
      <c r="I50" s="42">
        <f t="shared" ca="1" si="19"/>
        <v>39.072817035658971</v>
      </c>
      <c r="J50" s="42">
        <f t="shared" ca="1" si="19"/>
        <v>5.7733044567728662</v>
      </c>
      <c r="K50" s="42">
        <f t="shared" ca="1" si="19"/>
        <v>11.823164587672359</v>
      </c>
      <c r="L50" s="42">
        <f t="shared" ca="1" si="19"/>
        <v>1.1230763026769477</v>
      </c>
      <c r="M50" s="42">
        <f t="shared" ca="1" si="19"/>
        <v>145.73634632388456</v>
      </c>
      <c r="N50" s="42">
        <f t="shared" ca="1" si="19"/>
        <v>228.39016476194377</v>
      </c>
      <c r="O50" s="42">
        <f t="shared" ca="1" si="19"/>
        <v>765.77498787239199</v>
      </c>
      <c r="P50" s="42">
        <f t="shared" ca="1" si="19"/>
        <v>80.93794158899982</v>
      </c>
      <c r="Q50" s="42">
        <f t="shared" ca="1" si="19"/>
        <v>188.64223477790469</v>
      </c>
      <c r="R50" s="42">
        <f t="shared" ca="1" si="19"/>
        <v>0</v>
      </c>
      <c r="S50" s="42">
        <f t="shared" ca="1" si="19"/>
        <v>0</v>
      </c>
      <c r="T50" s="51">
        <f t="shared" ca="1" si="12"/>
        <v>1467.274037707906</v>
      </c>
      <c r="V50" s="42">
        <f t="shared" ca="1" si="20"/>
        <v>92.935224299058589</v>
      </c>
      <c r="W50" s="42">
        <f t="shared" ca="1" si="20"/>
        <v>0</v>
      </c>
      <c r="X50" s="42">
        <f t="shared" ca="1" si="20"/>
        <v>5.4870570814477233</v>
      </c>
      <c r="Y50" s="42">
        <f t="shared" ca="1" si="20"/>
        <v>11.192947440034844</v>
      </c>
      <c r="Z50" s="42">
        <f t="shared" ca="1" si="20"/>
        <v>1.0604996733283469</v>
      </c>
      <c r="AA50" s="42">
        <f t="shared" ca="1" si="20"/>
        <v>115.37861187750542</v>
      </c>
      <c r="AB50" s="42">
        <f t="shared" ca="1" si="20"/>
        <v>220.39547987000174</v>
      </c>
      <c r="AC50" s="42">
        <f t="shared" ca="1" si="20"/>
        <v>776.11030990214306</v>
      </c>
      <c r="AD50" s="42">
        <f t="shared" ca="1" si="20"/>
        <v>80.774693969834217</v>
      </c>
      <c r="AE50" s="42">
        <f t="shared" ca="1" si="20"/>
        <v>183.65988226361503</v>
      </c>
      <c r="AF50" s="42">
        <f t="shared" ca="1" si="20"/>
        <v>0</v>
      </c>
      <c r="AG50" s="42">
        <f t="shared" ca="1" si="20"/>
        <v>0</v>
      </c>
      <c r="AH50" s="51">
        <f t="shared" ca="1" si="13"/>
        <v>1486.9947063769691</v>
      </c>
    </row>
    <row r="51" spans="4:34" ht="12" customHeight="1" x14ac:dyDescent="0.25">
      <c r="D51" s="62">
        <f t="shared" si="14"/>
        <v>39</v>
      </c>
      <c r="E51" s="63">
        <f t="shared" si="11"/>
        <v>9.75</v>
      </c>
      <c r="F51" s="43">
        <f t="shared" si="8"/>
        <v>79.75</v>
      </c>
      <c r="H51" s="42">
        <f t="shared" ca="1" si="19"/>
        <v>17.13093306387557</v>
      </c>
      <c r="I51" s="42">
        <f t="shared" ca="1" si="19"/>
        <v>18.614538991073356</v>
      </c>
      <c r="J51" s="42">
        <f t="shared" ca="1" si="19"/>
        <v>5.4963584077808552</v>
      </c>
      <c r="K51" s="42">
        <f t="shared" ca="1" si="19"/>
        <v>11.254054187312507</v>
      </c>
      <c r="L51" s="42">
        <f t="shared" ca="1" si="19"/>
        <v>1.0688964923363382</v>
      </c>
      <c r="M51" s="42">
        <f t="shared" ca="1" si="19"/>
        <v>141.84118615786366</v>
      </c>
      <c r="N51" s="42">
        <f t="shared" ca="1" si="19"/>
        <v>221.45750735911346</v>
      </c>
      <c r="O51" s="42">
        <f t="shared" ca="1" si="19"/>
        <v>756.67349186133652</v>
      </c>
      <c r="P51" s="42">
        <f t="shared" ca="1" si="19"/>
        <v>79.613282405994255</v>
      </c>
      <c r="Q51" s="42">
        <f t="shared" ca="1" si="19"/>
        <v>193.25471356646594</v>
      </c>
      <c r="R51" s="42">
        <f t="shared" ca="1" si="19"/>
        <v>0</v>
      </c>
      <c r="S51" s="42">
        <f t="shared" ca="1" si="19"/>
        <v>0</v>
      </c>
      <c r="T51" s="51">
        <f t="shared" ca="1" si="12"/>
        <v>1446.4049624931522</v>
      </c>
      <c r="V51" s="42">
        <f t="shared" ca="1" si="20"/>
        <v>87.106108215257038</v>
      </c>
      <c r="W51" s="42">
        <f t="shared" ca="1" si="20"/>
        <v>0</v>
      </c>
      <c r="X51" s="42">
        <f t="shared" ca="1" si="20"/>
        <v>5.2741071120313272</v>
      </c>
      <c r="Y51" s="42">
        <f t="shared" ca="1" si="20"/>
        <v>10.758554690031616</v>
      </c>
      <c r="Z51" s="42">
        <f t="shared" ca="1" si="20"/>
        <v>1.0193422059192809</v>
      </c>
      <c r="AA51" s="42">
        <f t="shared" ca="1" si="20"/>
        <v>113.12317108786044</v>
      </c>
      <c r="AB51" s="42">
        <f t="shared" ca="1" si="20"/>
        <v>214.58616194607575</v>
      </c>
      <c r="AC51" s="42">
        <f t="shared" ca="1" si="20"/>
        <v>767.6164924584848</v>
      </c>
      <c r="AD51" s="42">
        <f t="shared" ca="1" si="20"/>
        <v>79.610380965720097</v>
      </c>
      <c r="AE51" s="42">
        <f t="shared" ca="1" si="20"/>
        <v>188.31740127664622</v>
      </c>
      <c r="AF51" s="42">
        <f t="shared" ca="1" si="20"/>
        <v>0</v>
      </c>
      <c r="AG51" s="42">
        <f t="shared" ca="1" si="20"/>
        <v>0</v>
      </c>
      <c r="AH51" s="51">
        <f t="shared" ca="1" si="13"/>
        <v>1467.4117199580267</v>
      </c>
    </row>
    <row r="52" spans="4:34" ht="12" customHeight="1" x14ac:dyDescent="0.25">
      <c r="D52" s="62">
        <f t="shared" si="14"/>
        <v>40</v>
      </c>
      <c r="E52" s="63">
        <f t="shared" si="11"/>
        <v>10</v>
      </c>
      <c r="F52" s="43">
        <f t="shared" si="8"/>
        <v>80</v>
      </c>
      <c r="H52" s="42">
        <f t="shared" ref="H52:S61" ca="1" si="21">PRODUCT(AVERAGE(OFFSET(E.Trace.Markov.Root, $D52, (H$2-1)*E.Trace.Markov.NumCols+H$3-1, CHOOSE(swtchHalfCycle, 2, 1))) + N("halfcycle-adjusted state occupancy"),
H$6 + N("state cost"))</f>
        <v>33.015103011053469</v>
      </c>
      <c r="I52" s="42">
        <f t="shared" ca="1" si="21"/>
        <v>0</v>
      </c>
      <c r="J52" s="42">
        <f t="shared" ca="1" si="21"/>
        <v>4.8855420117864066</v>
      </c>
      <c r="K52" s="42">
        <f t="shared" ca="1" si="21"/>
        <v>9.986000341966939</v>
      </c>
      <c r="L52" s="42">
        <f t="shared" ca="1" si="21"/>
        <v>0.94738695010853213</v>
      </c>
      <c r="M52" s="42">
        <f t="shared" ca="1" si="21"/>
        <v>137.23513502596026</v>
      </c>
      <c r="N52" s="42">
        <f t="shared" ca="1" si="21"/>
        <v>212.42616575170661</v>
      </c>
      <c r="O52" s="42">
        <f t="shared" ca="1" si="21"/>
        <v>737.97022678267012</v>
      </c>
      <c r="P52" s="42">
        <f t="shared" ca="1" si="21"/>
        <v>78.256777286907337</v>
      </c>
      <c r="Q52" s="42">
        <f t="shared" ca="1" si="21"/>
        <v>197.05345104219253</v>
      </c>
      <c r="R52" s="42">
        <f t="shared" ca="1" si="21"/>
        <v>0</v>
      </c>
      <c r="S52" s="42">
        <f t="shared" ca="1" si="21"/>
        <v>0</v>
      </c>
      <c r="T52" s="51">
        <f t="shared" ca="1" si="12"/>
        <v>1411.7757882043525</v>
      </c>
      <c r="V52" s="42">
        <f t="shared" ref="V52:AG61" ca="1" si="22">PRODUCT(AVERAGE(OFFSET(E.Trace.Markov.Root, $D52, (V$2-1)*E.Trace.Markov.NumCols+V$3-1, CHOOSE(swtchHalfCycle, 2, 1))) + N("halfcycle-adjusted state occupancy"),
V$6 + N("state cost"))</f>
        <v>81.218813530388616</v>
      </c>
      <c r="W52" s="42">
        <f t="shared" ca="1" si="22"/>
        <v>0</v>
      </c>
      <c r="X52" s="42">
        <f t="shared" ca="1" si="22"/>
        <v>5.0694216255246802</v>
      </c>
      <c r="Y52" s="42">
        <f t="shared" ca="1" si="22"/>
        <v>10.341020507645746</v>
      </c>
      <c r="Z52" s="42">
        <f t="shared" ca="1" si="22"/>
        <v>0.97978203944875442</v>
      </c>
      <c r="AA52" s="42">
        <f t="shared" ca="1" si="22"/>
        <v>110.25282467026456</v>
      </c>
      <c r="AB52" s="42">
        <f t="shared" ca="1" si="22"/>
        <v>206.68552874607042</v>
      </c>
      <c r="AC52" s="42">
        <f t="shared" ca="1" si="22"/>
        <v>749.37636096824679</v>
      </c>
      <c r="AD52" s="42">
        <f t="shared" ca="1" si="22"/>
        <v>78.408685000807438</v>
      </c>
      <c r="AE52" s="42">
        <f t="shared" ca="1" si="22"/>
        <v>192.1898954234376</v>
      </c>
      <c r="AF52" s="42">
        <f t="shared" ca="1" si="22"/>
        <v>0</v>
      </c>
      <c r="AG52" s="42">
        <f t="shared" ca="1" si="22"/>
        <v>0</v>
      </c>
      <c r="AH52" s="51">
        <f t="shared" ca="1" si="13"/>
        <v>1434.5223325118345</v>
      </c>
    </row>
    <row r="53" spans="4:34" ht="12" customHeight="1" x14ac:dyDescent="0.25">
      <c r="D53" s="62">
        <f t="shared" si="14"/>
        <v>41</v>
      </c>
      <c r="E53" s="63">
        <f t="shared" si="11"/>
        <v>10.25</v>
      </c>
      <c r="F53" s="43">
        <f t="shared" si="8"/>
        <v>80.25</v>
      </c>
      <c r="H53" s="42">
        <f t="shared" ca="1" si="21"/>
        <v>30.612314291100137</v>
      </c>
      <c r="I53" s="42">
        <f t="shared" ca="1" si="21"/>
        <v>0</v>
      </c>
      <c r="J53" s="42">
        <f t="shared" ca="1" si="21"/>
        <v>4.3104097535555788</v>
      </c>
      <c r="K53" s="42">
        <f t="shared" ca="1" si="21"/>
        <v>8.7927260643389733</v>
      </c>
      <c r="L53" s="42">
        <f t="shared" ca="1" si="21"/>
        <v>0.8330855807956955</v>
      </c>
      <c r="M53" s="42">
        <f t="shared" ca="1" si="21"/>
        <v>131.68462901925568</v>
      </c>
      <c r="N53" s="42">
        <f t="shared" ca="1" si="21"/>
        <v>201.30315354993112</v>
      </c>
      <c r="O53" s="42">
        <f t="shared" ca="1" si="21"/>
        <v>710.33548222976754</v>
      </c>
      <c r="P53" s="42">
        <f t="shared" ca="1" si="21"/>
        <v>75.976438950147866</v>
      </c>
      <c r="Q53" s="42">
        <f t="shared" ca="1" si="21"/>
        <v>200.03592218936058</v>
      </c>
      <c r="R53" s="42">
        <f t="shared" ca="1" si="21"/>
        <v>0</v>
      </c>
      <c r="S53" s="42">
        <f t="shared" ca="1" si="21"/>
        <v>0</v>
      </c>
      <c r="T53" s="51">
        <f t="shared" ca="1" si="12"/>
        <v>1363.884161628253</v>
      </c>
      <c r="V53" s="42">
        <f t="shared" ca="1" si="22"/>
        <v>75.30783245807531</v>
      </c>
      <c r="W53" s="42">
        <f t="shared" ca="1" si="22"/>
        <v>0</v>
      </c>
      <c r="X53" s="42">
        <f t="shared" ca="1" si="22"/>
        <v>4.8476949362615818</v>
      </c>
      <c r="Y53" s="42">
        <f t="shared" ca="1" si="22"/>
        <v>9.8887242872608869</v>
      </c>
      <c r="Z53" s="42">
        <f t="shared" ca="1" si="22"/>
        <v>0.9369282695605704</v>
      </c>
      <c r="AA53" s="42">
        <f t="shared" ca="1" si="22"/>
        <v>106.83102332007802</v>
      </c>
      <c r="AB53" s="42">
        <f t="shared" ca="1" si="22"/>
        <v>196.93686681527356</v>
      </c>
      <c r="AC53" s="42">
        <f t="shared" ca="1" si="22"/>
        <v>722.02442692261184</v>
      </c>
      <c r="AD53" s="42">
        <f t="shared" ca="1" si="22"/>
        <v>76.273038076638755</v>
      </c>
      <c r="AE53" s="42">
        <f t="shared" ca="1" si="22"/>
        <v>195.27368443105939</v>
      </c>
      <c r="AF53" s="42">
        <f t="shared" ca="1" si="22"/>
        <v>0</v>
      </c>
      <c r="AG53" s="42">
        <f t="shared" ca="1" si="22"/>
        <v>0</v>
      </c>
      <c r="AH53" s="51">
        <f t="shared" ca="1" si="13"/>
        <v>1388.3202195168199</v>
      </c>
    </row>
    <row r="54" spans="4:34" ht="12" customHeight="1" x14ac:dyDescent="0.25">
      <c r="D54" s="62">
        <f t="shared" si="14"/>
        <v>42</v>
      </c>
      <c r="E54" s="63">
        <f t="shared" si="11"/>
        <v>10.5</v>
      </c>
      <c r="F54" s="43">
        <f t="shared" si="8"/>
        <v>80.5</v>
      </c>
      <c r="H54" s="42">
        <f t="shared" ca="1" si="21"/>
        <v>28.384396860532213</v>
      </c>
      <c r="I54" s="42">
        <f t="shared" ca="1" si="21"/>
        <v>0</v>
      </c>
      <c r="J54" s="42">
        <f t="shared" ca="1" si="21"/>
        <v>4.1090475730502263</v>
      </c>
      <c r="K54" s="42">
        <f t="shared" ca="1" si="21"/>
        <v>8.3819710331169244</v>
      </c>
      <c r="L54" s="42">
        <f t="shared" ca="1" si="21"/>
        <v>0.79416771945821751</v>
      </c>
      <c r="M54" s="42">
        <f t="shared" ca="1" si="21"/>
        <v>126.01399133987549</v>
      </c>
      <c r="N54" s="42">
        <f t="shared" ca="1" si="21"/>
        <v>190.54381106847146</v>
      </c>
      <c r="O54" s="42">
        <f t="shared" ca="1" si="21"/>
        <v>683.53257254857908</v>
      </c>
      <c r="P54" s="42">
        <f t="shared" ca="1" si="21"/>
        <v>72.82319159544123</v>
      </c>
      <c r="Q54" s="42">
        <f t="shared" ca="1" si="21"/>
        <v>202.77261836043405</v>
      </c>
      <c r="R54" s="42">
        <f t="shared" ca="1" si="21"/>
        <v>0</v>
      </c>
      <c r="S54" s="42">
        <f t="shared" ca="1" si="21"/>
        <v>0</v>
      </c>
      <c r="T54" s="51">
        <f t="shared" ca="1" si="12"/>
        <v>1317.3557680989588</v>
      </c>
      <c r="V54" s="42">
        <f t="shared" ca="1" si="22"/>
        <v>69.827043550834389</v>
      </c>
      <c r="W54" s="42">
        <f t="shared" ca="1" si="22"/>
        <v>0</v>
      </c>
      <c r="X54" s="42">
        <f t="shared" ca="1" si="22"/>
        <v>4.611406770996231</v>
      </c>
      <c r="Y54" s="42">
        <f t="shared" ca="1" si="22"/>
        <v>9.4067243781548679</v>
      </c>
      <c r="Z54" s="42">
        <f t="shared" ca="1" si="22"/>
        <v>0.89126016034360844</v>
      </c>
      <c r="AA54" s="42">
        <f t="shared" ca="1" si="22"/>
        <v>103.45696277966771</v>
      </c>
      <c r="AB54" s="42">
        <f t="shared" ca="1" si="22"/>
        <v>187.65167794515185</v>
      </c>
      <c r="AC54" s="42">
        <f t="shared" ca="1" si="22"/>
        <v>695.46885418565239</v>
      </c>
      <c r="AD54" s="42">
        <f t="shared" ca="1" si="22"/>
        <v>73.274663404917433</v>
      </c>
      <c r="AE54" s="42">
        <f t="shared" ca="1" si="22"/>
        <v>198.12200232984685</v>
      </c>
      <c r="AF54" s="42">
        <f t="shared" ca="1" si="22"/>
        <v>0</v>
      </c>
      <c r="AG54" s="42">
        <f t="shared" ca="1" si="22"/>
        <v>0</v>
      </c>
      <c r="AH54" s="51">
        <f t="shared" ca="1" si="13"/>
        <v>1342.7105955055654</v>
      </c>
    </row>
    <row r="55" spans="4:34" ht="12" customHeight="1" x14ac:dyDescent="0.25">
      <c r="D55" s="62">
        <f t="shared" si="14"/>
        <v>43</v>
      </c>
      <c r="E55" s="63">
        <f t="shared" si="11"/>
        <v>10.75</v>
      </c>
      <c r="F55" s="43">
        <f t="shared" si="8"/>
        <v>80.75</v>
      </c>
      <c r="H55" s="42">
        <f t="shared" ca="1" si="21"/>
        <v>26.318623854271056</v>
      </c>
      <c r="I55" s="42">
        <f t="shared" ca="1" si="21"/>
        <v>0</v>
      </c>
      <c r="J55" s="42">
        <f t="shared" ca="1" si="21"/>
        <v>3.9090712947350399</v>
      </c>
      <c r="K55" s="42">
        <f t="shared" ca="1" si="21"/>
        <v>7.9740430784390606</v>
      </c>
      <c r="L55" s="42">
        <f t="shared" ca="1" si="21"/>
        <v>0.75551771551644709</v>
      </c>
      <c r="M55" s="42">
        <f t="shared" ca="1" si="21"/>
        <v>120.5732490835222</v>
      </c>
      <c r="N55" s="42">
        <f t="shared" ca="1" si="21"/>
        <v>180.40697536442303</v>
      </c>
      <c r="O55" s="42">
        <f t="shared" ca="1" si="21"/>
        <v>657.52428396059042</v>
      </c>
      <c r="P55" s="42">
        <f t="shared" ca="1" si="21"/>
        <v>69.76766688137505</v>
      </c>
      <c r="Q55" s="42">
        <f t="shared" ca="1" si="21"/>
        <v>205.1947223770411</v>
      </c>
      <c r="R55" s="42">
        <f t="shared" ca="1" si="21"/>
        <v>0</v>
      </c>
      <c r="S55" s="42">
        <f t="shared" ca="1" si="21"/>
        <v>0</v>
      </c>
      <c r="T55" s="51">
        <f t="shared" ca="1" si="12"/>
        <v>1272.4241536099134</v>
      </c>
      <c r="V55" s="42">
        <f t="shared" ca="1" si="22"/>
        <v>64.745138080617849</v>
      </c>
      <c r="W55" s="42">
        <f t="shared" ca="1" si="22"/>
        <v>0</v>
      </c>
      <c r="X55" s="42">
        <f t="shared" ca="1" si="22"/>
        <v>4.3872189527264895</v>
      </c>
      <c r="Y55" s="42">
        <f t="shared" ca="1" si="22"/>
        <v>8.9494077456974512</v>
      </c>
      <c r="Z55" s="42">
        <f t="shared" ca="1" si="22"/>
        <v>0.84793072080795728</v>
      </c>
      <c r="AA55" s="42">
        <f t="shared" ca="1" si="22"/>
        <v>100.11394903559864</v>
      </c>
      <c r="AB55" s="42">
        <f t="shared" ca="1" si="22"/>
        <v>178.78967461379736</v>
      </c>
      <c r="AC55" s="42">
        <f t="shared" ca="1" si="22"/>
        <v>669.70926092571176</v>
      </c>
      <c r="AD55" s="42">
        <f t="shared" ca="1" si="22"/>
        <v>70.381059672141021</v>
      </c>
      <c r="AE55" s="42">
        <f t="shared" ca="1" si="22"/>
        <v>200.66669916933733</v>
      </c>
      <c r="AF55" s="42">
        <f t="shared" ca="1" si="22"/>
        <v>0</v>
      </c>
      <c r="AG55" s="42">
        <f t="shared" ca="1" si="22"/>
        <v>0</v>
      </c>
      <c r="AH55" s="51">
        <f t="shared" ca="1" si="13"/>
        <v>1298.5903389164359</v>
      </c>
    </row>
    <row r="56" spans="4:34" ht="12" customHeight="1" x14ac:dyDescent="0.25">
      <c r="D56" s="62">
        <f t="shared" si="14"/>
        <v>44</v>
      </c>
      <c r="E56" s="63">
        <f t="shared" si="11"/>
        <v>11</v>
      </c>
      <c r="F56" s="43">
        <f t="shared" si="8"/>
        <v>81</v>
      </c>
      <c r="H56" s="42">
        <f t="shared" ca="1" si="21"/>
        <v>24.403194649020204</v>
      </c>
      <c r="I56" s="42">
        <f t="shared" ca="1" si="21"/>
        <v>0</v>
      </c>
      <c r="J56" s="42">
        <f t="shared" ca="1" si="21"/>
        <v>3.7190207140353961</v>
      </c>
      <c r="K56" s="42">
        <f t="shared" ca="1" si="21"/>
        <v>7.586362372890803</v>
      </c>
      <c r="L56" s="42">
        <f t="shared" ca="1" si="21"/>
        <v>0.71878608036920388</v>
      </c>
      <c r="M56" s="42">
        <f t="shared" ca="1" si="21"/>
        <v>115.34692899213772</v>
      </c>
      <c r="N56" s="42">
        <f t="shared" ca="1" si="21"/>
        <v>170.84661720704483</v>
      </c>
      <c r="O56" s="42">
        <f t="shared" ca="1" si="21"/>
        <v>632.31363205394791</v>
      </c>
      <c r="P56" s="42">
        <f t="shared" ca="1" si="21"/>
        <v>66.832250878268567</v>
      </c>
      <c r="Q56" s="42">
        <f t="shared" ca="1" si="21"/>
        <v>207.31616796889043</v>
      </c>
      <c r="R56" s="42">
        <f t="shared" ca="1" si="21"/>
        <v>0</v>
      </c>
      <c r="S56" s="42">
        <f t="shared" ca="1" si="21"/>
        <v>0</v>
      </c>
      <c r="T56" s="51">
        <f t="shared" ca="1" si="12"/>
        <v>1229.0829609166051</v>
      </c>
      <c r="V56" s="42">
        <f t="shared" ca="1" si="22"/>
        <v>60.033085920736823</v>
      </c>
      <c r="W56" s="42">
        <f t="shared" ca="1" si="22"/>
        <v>0</v>
      </c>
      <c r="X56" s="42">
        <f t="shared" ca="1" si="22"/>
        <v>4.1739161440321526</v>
      </c>
      <c r="Y56" s="42">
        <f t="shared" ca="1" si="22"/>
        <v>8.5142952453008629</v>
      </c>
      <c r="Z56" s="42">
        <f t="shared" ca="1" si="22"/>
        <v>0.80670505911305834</v>
      </c>
      <c r="AA56" s="42">
        <f t="shared" ca="1" si="22"/>
        <v>96.810707745068157</v>
      </c>
      <c r="AB56" s="42">
        <f t="shared" ca="1" si="22"/>
        <v>170.33344718520294</v>
      </c>
      <c r="AC56" s="42">
        <f t="shared" ca="1" si="22"/>
        <v>644.73980822656222</v>
      </c>
      <c r="AD56" s="42">
        <f t="shared" ca="1" si="22"/>
        <v>67.588279743547162</v>
      </c>
      <c r="AE56" s="42">
        <f t="shared" ca="1" si="22"/>
        <v>202.92210070145484</v>
      </c>
      <c r="AF56" s="42">
        <f t="shared" ca="1" si="22"/>
        <v>0</v>
      </c>
      <c r="AG56" s="42">
        <f t="shared" ca="1" si="22"/>
        <v>0</v>
      </c>
      <c r="AH56" s="51">
        <f t="shared" ca="1" si="13"/>
        <v>1255.9223459710183</v>
      </c>
    </row>
    <row r="57" spans="4:34" ht="12" customHeight="1" x14ac:dyDescent="0.25">
      <c r="D57" s="62">
        <f t="shared" si="14"/>
        <v>45</v>
      </c>
      <c r="E57" s="63">
        <f t="shared" si="11"/>
        <v>11.25</v>
      </c>
      <c r="F57" s="43">
        <f t="shared" si="8"/>
        <v>81.25</v>
      </c>
      <c r="H57" s="42">
        <f t="shared" ca="1" si="21"/>
        <v>22.627167452804578</v>
      </c>
      <c r="I57" s="42">
        <f t="shared" ca="1" si="21"/>
        <v>0</v>
      </c>
      <c r="J57" s="42">
        <f t="shared" ca="1" si="21"/>
        <v>3.5382053085440206</v>
      </c>
      <c r="K57" s="42">
        <f t="shared" ca="1" si="21"/>
        <v>7.2175203324359289</v>
      </c>
      <c r="L57" s="42">
        <f t="shared" ca="1" si="21"/>
        <v>0.68383935471827595</v>
      </c>
      <c r="M57" s="42">
        <f t="shared" ca="1" si="21"/>
        <v>110.32843670728785</v>
      </c>
      <c r="N57" s="42">
        <f t="shared" ca="1" si="21"/>
        <v>161.82683076848085</v>
      </c>
      <c r="O57" s="42">
        <f t="shared" ca="1" si="21"/>
        <v>607.89900149787047</v>
      </c>
      <c r="P57" s="42">
        <f t="shared" ca="1" si="21"/>
        <v>64.012692647392797</v>
      </c>
      <c r="Q57" s="42">
        <f t="shared" ca="1" si="21"/>
        <v>209.15251475502797</v>
      </c>
      <c r="R57" s="42">
        <f t="shared" ca="1" si="21"/>
        <v>0</v>
      </c>
      <c r="S57" s="42">
        <f t="shared" ca="1" si="21"/>
        <v>0</v>
      </c>
      <c r="T57" s="51">
        <f t="shared" ca="1" si="12"/>
        <v>1187.2862088245627</v>
      </c>
      <c r="V57" s="42">
        <f t="shared" ca="1" si="22"/>
        <v>55.663969712738265</v>
      </c>
      <c r="W57" s="42">
        <f t="shared" ca="1" si="22"/>
        <v>0</v>
      </c>
      <c r="X57" s="42">
        <f t="shared" ca="1" si="22"/>
        <v>3.9709842746578934</v>
      </c>
      <c r="Y57" s="42">
        <f t="shared" ca="1" si="22"/>
        <v>8.100338234448186</v>
      </c>
      <c r="Z57" s="42">
        <f t="shared" ca="1" si="22"/>
        <v>0.76748381938749444</v>
      </c>
      <c r="AA57" s="42">
        <f t="shared" ca="1" si="22"/>
        <v>93.554226191697708</v>
      </c>
      <c r="AB57" s="42">
        <f t="shared" ca="1" si="22"/>
        <v>162.26566439942428</v>
      </c>
      <c r="AC57" s="42">
        <f t="shared" ca="1" si="22"/>
        <v>620.55276977375138</v>
      </c>
      <c r="AD57" s="42">
        <f t="shared" ca="1" si="22"/>
        <v>64.894192633062161</v>
      </c>
      <c r="AE57" s="42">
        <f t="shared" ca="1" si="22"/>
        <v>204.90194039685267</v>
      </c>
      <c r="AF57" s="42">
        <f t="shared" ca="1" si="22"/>
        <v>0</v>
      </c>
      <c r="AG57" s="42">
        <f t="shared" ca="1" si="22"/>
        <v>0</v>
      </c>
      <c r="AH57" s="51">
        <f t="shared" ca="1" si="13"/>
        <v>1214.67156943602</v>
      </c>
    </row>
    <row r="58" spans="4:34" ht="12" customHeight="1" x14ac:dyDescent="0.25">
      <c r="D58" s="62">
        <f t="shared" si="14"/>
        <v>46</v>
      </c>
      <c r="E58" s="63">
        <f t="shared" si="11"/>
        <v>11.5</v>
      </c>
      <c r="F58" s="43">
        <f t="shared" si="8"/>
        <v>81.5</v>
      </c>
      <c r="H58" s="42">
        <f t="shared" ca="1" si="21"/>
        <v>20.980396800540024</v>
      </c>
      <c r="I58" s="42">
        <f t="shared" ca="1" si="21"/>
        <v>0</v>
      </c>
      <c r="J58" s="42">
        <f t="shared" ca="1" si="21"/>
        <v>3.3661810965394494</v>
      </c>
      <c r="K58" s="42">
        <f t="shared" ca="1" si="21"/>
        <v>6.8666112868765632</v>
      </c>
      <c r="L58" s="42">
        <f t="shared" ca="1" si="21"/>
        <v>0.65059172890949135</v>
      </c>
      <c r="M58" s="42">
        <f t="shared" ca="1" si="21"/>
        <v>105.51103091305635</v>
      </c>
      <c r="N58" s="42">
        <f t="shared" ca="1" si="21"/>
        <v>153.31405821891317</v>
      </c>
      <c r="O58" s="42">
        <f t="shared" ca="1" si="21"/>
        <v>584.27571691499543</v>
      </c>
      <c r="P58" s="42">
        <f t="shared" ca="1" si="21"/>
        <v>61.305378776056109</v>
      </c>
      <c r="Q58" s="42">
        <f t="shared" ca="1" si="21"/>
        <v>210.71868209657998</v>
      </c>
      <c r="R58" s="42">
        <f t="shared" ca="1" si="21"/>
        <v>0</v>
      </c>
      <c r="S58" s="42">
        <f t="shared" ca="1" si="21"/>
        <v>0</v>
      </c>
      <c r="T58" s="51">
        <f t="shared" ca="1" si="12"/>
        <v>1146.9886478324665</v>
      </c>
      <c r="V58" s="42">
        <f t="shared" ca="1" si="22"/>
        <v>51.61283110236311</v>
      </c>
      <c r="W58" s="42">
        <f t="shared" ca="1" si="22"/>
        <v>0</v>
      </c>
      <c r="X58" s="42">
        <f t="shared" ca="1" si="22"/>
        <v>3.7779187533036693</v>
      </c>
      <c r="Y58" s="42">
        <f t="shared" ca="1" si="22"/>
        <v>7.7065074065701245</v>
      </c>
      <c r="Z58" s="42">
        <f t="shared" ca="1" si="22"/>
        <v>0.7301694777854385</v>
      </c>
      <c r="AA58" s="42">
        <f t="shared" ca="1" si="22"/>
        <v>90.350516441045926</v>
      </c>
      <c r="AB58" s="42">
        <f t="shared" ca="1" si="22"/>
        <v>154.56961872686074</v>
      </c>
      <c r="AC58" s="42">
        <f t="shared" ca="1" si="22"/>
        <v>597.13869840338532</v>
      </c>
      <c r="AD58" s="42">
        <f t="shared" ca="1" si="22"/>
        <v>62.296533506492942</v>
      </c>
      <c r="AE58" s="42">
        <f t="shared" ca="1" si="22"/>
        <v>206.61952272056195</v>
      </c>
      <c r="AF58" s="42">
        <f t="shared" ca="1" si="22"/>
        <v>0</v>
      </c>
      <c r="AG58" s="42">
        <f t="shared" ca="1" si="22"/>
        <v>0</v>
      </c>
      <c r="AH58" s="51">
        <f t="shared" ca="1" si="13"/>
        <v>1174.8023165383693</v>
      </c>
    </row>
    <row r="59" spans="4:34" ht="12" customHeight="1" x14ac:dyDescent="0.25">
      <c r="D59" s="62">
        <f t="shared" si="14"/>
        <v>47</v>
      </c>
      <c r="E59" s="63">
        <f t="shared" si="11"/>
        <v>11.75</v>
      </c>
      <c r="F59" s="43">
        <f t="shared" si="8"/>
        <v>81.75</v>
      </c>
      <c r="H59" s="42">
        <f t="shared" ca="1" si="21"/>
        <v>19.453475598579672</v>
      </c>
      <c r="I59" s="42">
        <f t="shared" ca="1" si="21"/>
        <v>0</v>
      </c>
      <c r="J59" s="42">
        <f t="shared" ca="1" si="21"/>
        <v>3.2025205370891703</v>
      </c>
      <c r="K59" s="42">
        <f t="shared" ca="1" si="21"/>
        <v>6.5327631032796916</v>
      </c>
      <c r="L59" s="42">
        <f t="shared" ca="1" si="21"/>
        <v>0.61896057084835421</v>
      </c>
      <c r="M59" s="42">
        <f t="shared" ca="1" si="21"/>
        <v>100.88805785121919</v>
      </c>
      <c r="N59" s="42">
        <f t="shared" ca="1" si="21"/>
        <v>145.27707542349674</v>
      </c>
      <c r="O59" s="42">
        <f t="shared" ca="1" si="21"/>
        <v>561.43644278526483</v>
      </c>
      <c r="P59" s="42">
        <f t="shared" ca="1" si="21"/>
        <v>58.706694858640745</v>
      </c>
      <c r="Q59" s="42">
        <f t="shared" ca="1" si="21"/>
        <v>212.0290142845725</v>
      </c>
      <c r="R59" s="42">
        <f t="shared" ca="1" si="21"/>
        <v>0</v>
      </c>
      <c r="S59" s="42">
        <f t="shared" ca="1" si="21"/>
        <v>0</v>
      </c>
      <c r="T59" s="51">
        <f t="shared" ca="1" si="12"/>
        <v>1108.1450050129909</v>
      </c>
      <c r="V59" s="42">
        <f t="shared" ca="1" si="22"/>
        <v>47.856528166216151</v>
      </c>
      <c r="W59" s="42">
        <f t="shared" ca="1" si="22"/>
        <v>0</v>
      </c>
      <c r="X59" s="42">
        <f t="shared" ca="1" si="22"/>
        <v>3.5942398962489235</v>
      </c>
      <c r="Y59" s="42">
        <f t="shared" ca="1" si="22"/>
        <v>7.3318242636134618</v>
      </c>
      <c r="Z59" s="42">
        <f t="shared" ca="1" si="22"/>
        <v>0.69466932442226481</v>
      </c>
      <c r="AA59" s="42">
        <f t="shared" ca="1" si="22"/>
        <v>87.204694920876037</v>
      </c>
      <c r="AB59" s="42">
        <f t="shared" ca="1" si="22"/>
        <v>147.22920556978059</v>
      </c>
      <c r="AC59" s="42">
        <f t="shared" ca="1" si="22"/>
        <v>574.48665259595418</v>
      </c>
      <c r="AD59" s="42">
        <f t="shared" ca="1" si="22"/>
        <v>59.792969208495343</v>
      </c>
      <c r="AE59" s="42">
        <f t="shared" ca="1" si="22"/>
        <v>208.08771970561199</v>
      </c>
      <c r="AF59" s="42">
        <f t="shared" ca="1" si="22"/>
        <v>0</v>
      </c>
      <c r="AG59" s="42">
        <f t="shared" ca="1" si="22"/>
        <v>0</v>
      </c>
      <c r="AH59" s="51">
        <f t="shared" ca="1" si="13"/>
        <v>1136.2785036512189</v>
      </c>
    </row>
    <row r="60" spans="4:34" ht="12" customHeight="1" x14ac:dyDescent="0.25">
      <c r="D60" s="62">
        <f t="shared" si="14"/>
        <v>48</v>
      </c>
      <c r="E60" s="63">
        <f t="shared" si="11"/>
        <v>12</v>
      </c>
      <c r="F60" s="43">
        <f t="shared" si="8"/>
        <v>82</v>
      </c>
      <c r="H60" s="42">
        <f t="shared" ca="1" si="21"/>
        <v>18.037681387169663</v>
      </c>
      <c r="I60" s="42">
        <f t="shared" ca="1" si="21"/>
        <v>0</v>
      </c>
      <c r="J60" s="42">
        <f t="shared" ca="1" si="21"/>
        <v>3.0468170002033945</v>
      </c>
      <c r="K60" s="42">
        <f t="shared" ca="1" si="21"/>
        <v>6.2151463045621185</v>
      </c>
      <c r="L60" s="42">
        <f t="shared" ca="1" si="21"/>
        <v>0.58886728995981874</v>
      </c>
      <c r="M60" s="42">
        <f t="shared" ca="1" si="21"/>
        <v>96.452959874557891</v>
      </c>
      <c r="N60" s="42">
        <f t="shared" ca="1" si="21"/>
        <v>137.68680726958095</v>
      </c>
      <c r="O60" s="42">
        <f t="shared" ca="1" si="21"/>
        <v>539.371565146585</v>
      </c>
      <c r="P60" s="42">
        <f t="shared" ca="1" si="21"/>
        <v>56.21305408051164</v>
      </c>
      <c r="Q60" s="42">
        <f t="shared" ca="1" si="21"/>
        <v>213.09729092832643</v>
      </c>
      <c r="R60" s="42">
        <f t="shared" ca="1" si="21"/>
        <v>0</v>
      </c>
      <c r="S60" s="42">
        <f t="shared" ca="1" si="21"/>
        <v>0</v>
      </c>
      <c r="T60" s="51">
        <f t="shared" ca="1" si="12"/>
        <v>1070.7101892814569</v>
      </c>
      <c r="V60" s="42">
        <f t="shared" ca="1" si="22"/>
        <v>44.373603214704872</v>
      </c>
      <c r="W60" s="42">
        <f t="shared" ca="1" si="22"/>
        <v>0</v>
      </c>
      <c r="X60" s="42">
        <f t="shared" ca="1" si="22"/>
        <v>3.4194913324889451</v>
      </c>
      <c r="Y60" s="42">
        <f t="shared" ca="1" si="22"/>
        <v>6.9753578627079049</v>
      </c>
      <c r="Z60" s="42">
        <f t="shared" ca="1" si="22"/>
        <v>0.66089515513056152</v>
      </c>
      <c r="AA60" s="42">
        <f t="shared" ca="1" si="22"/>
        <v>84.121070216436237</v>
      </c>
      <c r="AB60" s="42">
        <f t="shared" ca="1" si="22"/>
        <v>140.2289143242879</v>
      </c>
      <c r="AC60" s="42">
        <f t="shared" ca="1" si="22"/>
        <v>552.58440093243951</v>
      </c>
      <c r="AD60" s="42">
        <f t="shared" ca="1" si="22"/>
        <v>57.381113216641779</v>
      </c>
      <c r="AE60" s="42">
        <f t="shared" ca="1" si="22"/>
        <v>209.31897309092676</v>
      </c>
      <c r="AF60" s="42">
        <f t="shared" ca="1" si="22"/>
        <v>0</v>
      </c>
      <c r="AG60" s="42">
        <f t="shared" ca="1" si="22"/>
        <v>0</v>
      </c>
      <c r="AH60" s="51">
        <f t="shared" ca="1" si="13"/>
        <v>1099.0638193457644</v>
      </c>
    </row>
    <row r="61" spans="4:34" ht="12" customHeight="1" x14ac:dyDescent="0.25">
      <c r="D61" s="62">
        <f t="shared" si="14"/>
        <v>49</v>
      </c>
      <c r="E61" s="63">
        <f t="shared" si="11"/>
        <v>12.25</v>
      </c>
      <c r="F61" s="43">
        <f t="shared" si="8"/>
        <v>82.25</v>
      </c>
      <c r="H61" s="42">
        <f t="shared" ca="1" si="21"/>
        <v>16.724926513841147</v>
      </c>
      <c r="I61" s="42">
        <f t="shared" ca="1" si="21"/>
        <v>0</v>
      </c>
      <c r="J61" s="42">
        <f t="shared" ca="1" si="21"/>
        <v>2.8986836228569155</v>
      </c>
      <c r="K61" s="42">
        <f t="shared" ca="1" si="21"/>
        <v>5.9129717359103715</v>
      </c>
      <c r="L61" s="42">
        <f t="shared" ca="1" si="21"/>
        <v>0.56023711608826932</v>
      </c>
      <c r="M61" s="42">
        <f t="shared" ca="1" si="21"/>
        <v>92.199287435866353</v>
      </c>
      <c r="N61" s="42">
        <f t="shared" ca="1" si="21"/>
        <v>130.51616270958584</v>
      </c>
      <c r="O61" s="42">
        <f t="shared" ca="1" si="21"/>
        <v>518.06953177364562</v>
      </c>
      <c r="P61" s="42">
        <f t="shared" ca="1" si="21"/>
        <v>53.820907866697389</v>
      </c>
      <c r="Q61" s="42">
        <f t="shared" ca="1" si="21"/>
        <v>213.9367395546941</v>
      </c>
      <c r="R61" s="42">
        <f t="shared" ca="1" si="21"/>
        <v>0</v>
      </c>
      <c r="S61" s="42">
        <f t="shared" ca="1" si="21"/>
        <v>0</v>
      </c>
      <c r="T61" s="51">
        <f t="shared" ca="1" si="12"/>
        <v>1034.6394483291861</v>
      </c>
      <c r="V61" s="42">
        <f t="shared" ca="1" si="22"/>
        <v>41.144160216078419</v>
      </c>
      <c r="W61" s="42">
        <f t="shared" ca="1" si="22"/>
        <v>0</v>
      </c>
      <c r="X61" s="42">
        <f t="shared" ca="1" si="22"/>
        <v>3.2532388795668825</v>
      </c>
      <c r="Y61" s="42">
        <f t="shared" ca="1" si="22"/>
        <v>6.6362225229963423</v>
      </c>
      <c r="Z61" s="42">
        <f t="shared" ca="1" si="22"/>
        <v>0.62876305418887335</v>
      </c>
      <c r="AA61" s="42">
        <f t="shared" ca="1" si="22"/>
        <v>81.103223028250682</v>
      </c>
      <c r="AB61" s="42">
        <f t="shared" ca="1" si="22"/>
        <v>133.55381763667975</v>
      </c>
      <c r="AC61" s="42">
        <f t="shared" ca="1" si="22"/>
        <v>531.41860806356021</v>
      </c>
      <c r="AD61" s="42">
        <f t="shared" ca="1" si="22"/>
        <v>55.05854009722686</v>
      </c>
      <c r="AE61" s="42">
        <f t="shared" ca="1" si="22"/>
        <v>210.3252976758894</v>
      </c>
      <c r="AF61" s="42">
        <f t="shared" ca="1" si="22"/>
        <v>0</v>
      </c>
      <c r="AG61" s="42">
        <f t="shared" ca="1" si="22"/>
        <v>0</v>
      </c>
      <c r="AH61" s="51">
        <f t="shared" ca="1" si="13"/>
        <v>1063.1218711744375</v>
      </c>
    </row>
    <row r="62" spans="4:34" ht="12" customHeight="1" x14ac:dyDescent="0.25">
      <c r="D62" s="62">
        <f t="shared" si="14"/>
        <v>50</v>
      </c>
      <c r="E62" s="63">
        <f t="shared" si="11"/>
        <v>12.5</v>
      </c>
      <c r="F62" s="43">
        <f t="shared" si="8"/>
        <v>82.5</v>
      </c>
      <c r="H62" s="42">
        <f t="shared" ref="H62:S71" ca="1" si="23">PRODUCT(AVERAGE(OFFSET(E.Trace.Markov.Root, $D62, (H$2-1)*E.Trace.Markov.NumCols+H$3-1, CHOOSE(swtchHalfCycle, 2, 1))) + N("halfcycle-adjusted state occupancy"),
H$6 + N("state cost"))</f>
        <v>15.507711933106641</v>
      </c>
      <c r="I62" s="42">
        <f t="shared" ca="1" si="23"/>
        <v>0</v>
      </c>
      <c r="J62" s="42">
        <f t="shared" ca="1" si="23"/>
        <v>2.7577523510135662</v>
      </c>
      <c r="K62" s="42">
        <f t="shared" ca="1" si="23"/>
        <v>5.625488610623897</v>
      </c>
      <c r="L62" s="42">
        <f t="shared" ca="1" si="23"/>
        <v>0.53299891434676538</v>
      </c>
      <c r="M62" s="42">
        <f t="shared" ca="1" si="23"/>
        <v>88.120709165865449</v>
      </c>
      <c r="N62" s="42">
        <f t="shared" ca="1" si="23"/>
        <v>123.73988353478046</v>
      </c>
      <c r="O62" s="42">
        <f t="shared" ca="1" si="23"/>
        <v>497.51715550239385</v>
      </c>
      <c r="P62" s="42">
        <f t="shared" ca="1" si="23"/>
        <v>51.526755335890179</v>
      </c>
      <c r="Q62" s="42">
        <f t="shared" ca="1" si="23"/>
        <v>214.56004887197125</v>
      </c>
      <c r="R62" s="42">
        <f t="shared" ca="1" si="23"/>
        <v>0</v>
      </c>
      <c r="S62" s="42">
        <f t="shared" ca="1" si="23"/>
        <v>0</v>
      </c>
      <c r="T62" s="51">
        <f t="shared" ca="1" si="12"/>
        <v>999.888504219992</v>
      </c>
      <c r="V62" s="42">
        <f t="shared" ref="V62:AG71" ca="1" si="24">PRODUCT(AVERAGE(OFFSET(E.Trace.Markov.Root, $D62, (V$2-1)*E.Trace.Markov.NumCols+V$3-1, CHOOSE(swtchHalfCycle, 2, 1))) + N("halfcycle-adjusted state occupancy"),
V$6 + N("state cost"))</f>
        <v>38.149751141357456</v>
      </c>
      <c r="W62" s="42">
        <f t="shared" ca="1" si="24"/>
        <v>0</v>
      </c>
      <c r="X62" s="42">
        <f t="shared" ca="1" si="24"/>
        <v>3.0950694645633505</v>
      </c>
      <c r="Y62" s="42">
        <f t="shared" ca="1" si="24"/>
        <v>6.3135756245812651</v>
      </c>
      <c r="Z62" s="42">
        <f t="shared" ca="1" si="24"/>
        <v>0.59819318577818703</v>
      </c>
      <c r="AA62" s="42">
        <f t="shared" ca="1" si="24"/>
        <v>78.154079290138441</v>
      </c>
      <c r="AB62" s="42">
        <f t="shared" ca="1" si="24"/>
        <v>127.18955944809468</v>
      </c>
      <c r="AC62" s="42">
        <f t="shared" ca="1" si="24"/>
        <v>510.97500357003815</v>
      </c>
      <c r="AD62" s="42">
        <f t="shared" ca="1" si="24"/>
        <v>52.822798399756799</v>
      </c>
      <c r="AE62" s="42">
        <f t="shared" ca="1" si="24"/>
        <v>211.1182858275842</v>
      </c>
      <c r="AF62" s="42">
        <f t="shared" ca="1" si="24"/>
        <v>0</v>
      </c>
      <c r="AG62" s="42">
        <f t="shared" ca="1" si="24"/>
        <v>0</v>
      </c>
      <c r="AH62" s="51">
        <f t="shared" ca="1" si="13"/>
        <v>1028.4163159518926</v>
      </c>
    </row>
    <row r="63" spans="4:34" ht="12" customHeight="1" x14ac:dyDescent="0.25">
      <c r="D63" s="62">
        <f t="shared" si="14"/>
        <v>51</v>
      </c>
      <c r="E63" s="63">
        <f t="shared" si="11"/>
        <v>12.75</v>
      </c>
      <c r="F63" s="43">
        <f t="shared" si="8"/>
        <v>82.75</v>
      </c>
      <c r="H63" s="42">
        <f t="shared" ca="1" si="23"/>
        <v>14.379084368543868</v>
      </c>
      <c r="I63" s="42">
        <f t="shared" ca="1" si="23"/>
        <v>0</v>
      </c>
      <c r="J63" s="42">
        <f t="shared" ca="1" si="23"/>
        <v>2.6236730250765472</v>
      </c>
      <c r="K63" s="42">
        <f t="shared" ca="1" si="23"/>
        <v>5.3519826445419119</v>
      </c>
      <c r="L63" s="42">
        <f t="shared" ca="1" si="23"/>
        <v>0.50708500835933623</v>
      </c>
      <c r="M63" s="42">
        <f t="shared" ca="1" si="23"/>
        <v>84.211020347972379</v>
      </c>
      <c r="N63" s="42">
        <f t="shared" ca="1" si="23"/>
        <v>117.33440576070419</v>
      </c>
      <c r="O63" s="42">
        <f t="shared" ca="1" si="23"/>
        <v>477.69988430400076</v>
      </c>
      <c r="P63" s="42">
        <f t="shared" ca="1" si="23"/>
        <v>49.327151327520944</v>
      </c>
      <c r="Q63" s="42">
        <f t="shared" ca="1" si="23"/>
        <v>214.97938258607232</v>
      </c>
      <c r="R63" s="42">
        <f t="shared" ca="1" si="23"/>
        <v>0</v>
      </c>
      <c r="S63" s="42">
        <f t="shared" ca="1" si="23"/>
        <v>0</v>
      </c>
      <c r="T63" s="51">
        <f t="shared" ca="1" si="12"/>
        <v>966.41366937279224</v>
      </c>
      <c r="V63" s="42">
        <f t="shared" ca="1" si="24"/>
        <v>35.373270580906357</v>
      </c>
      <c r="W63" s="42">
        <f t="shared" ca="1" si="24"/>
        <v>0</v>
      </c>
      <c r="X63" s="42">
        <f t="shared" ca="1" si="24"/>
        <v>2.9445900977759791</v>
      </c>
      <c r="Y63" s="42">
        <f t="shared" ca="1" si="24"/>
        <v>6.0066155149524496</v>
      </c>
      <c r="Z63" s="42">
        <f t="shared" ca="1" si="24"/>
        <v>0.5691095956219574</v>
      </c>
      <c r="AA63" s="42">
        <f t="shared" ca="1" si="24"/>
        <v>75.275976986244572</v>
      </c>
      <c r="AB63" s="42">
        <f t="shared" ca="1" si="24"/>
        <v>121.12234204579072</v>
      </c>
      <c r="AC63" s="42">
        <f t="shared" ca="1" si="24"/>
        <v>491.2385350440108</v>
      </c>
      <c r="AD63" s="42">
        <f t="shared" ca="1" si="24"/>
        <v>50.671422151167974</v>
      </c>
      <c r="AE63" s="42">
        <f t="shared" ca="1" si="24"/>
        <v>211.7091129886316</v>
      </c>
      <c r="AF63" s="42">
        <f t="shared" ca="1" si="24"/>
        <v>0</v>
      </c>
      <c r="AG63" s="42">
        <f t="shared" ca="1" si="24"/>
        <v>0</v>
      </c>
      <c r="AH63" s="51">
        <f t="shared" ca="1" si="13"/>
        <v>994.9109750051025</v>
      </c>
    </row>
    <row r="64" spans="4:34" ht="12" customHeight="1" x14ac:dyDescent="0.25">
      <c r="D64" s="62">
        <f t="shared" si="14"/>
        <v>52</v>
      </c>
      <c r="E64" s="63">
        <f t="shared" si="11"/>
        <v>13</v>
      </c>
      <c r="F64" s="43">
        <f t="shared" si="8"/>
        <v>83</v>
      </c>
      <c r="H64" s="42">
        <f t="shared" ca="1" si="23"/>
        <v>13.332596592557612</v>
      </c>
      <c r="I64" s="42">
        <f t="shared" ca="1" si="23"/>
        <v>0</v>
      </c>
      <c r="J64" s="42">
        <f t="shared" ca="1" si="23"/>
        <v>2.4961125098794112</v>
      </c>
      <c r="K64" s="42">
        <f t="shared" ca="1" si="23"/>
        <v>5.0917742813279094</v>
      </c>
      <c r="L64" s="42">
        <f t="shared" ca="1" si="23"/>
        <v>0.48243101211177641</v>
      </c>
      <c r="M64" s="42">
        <f t="shared" ca="1" si="23"/>
        <v>80.464149946023539</v>
      </c>
      <c r="N64" s="42">
        <f t="shared" ca="1" si="23"/>
        <v>111.27773250388582</v>
      </c>
      <c r="O64" s="42">
        <f t="shared" ca="1" si="23"/>
        <v>458.60204138645435</v>
      </c>
      <c r="P64" s="42">
        <f t="shared" ca="1" si="23"/>
        <v>47.218713163174435</v>
      </c>
      <c r="Q64" s="42">
        <f t="shared" ca="1" si="23"/>
        <v>215.20639363910112</v>
      </c>
      <c r="R64" s="42">
        <f t="shared" ca="1" si="23"/>
        <v>0</v>
      </c>
      <c r="S64" s="42">
        <f t="shared" ca="1" si="23"/>
        <v>0</v>
      </c>
      <c r="T64" s="51">
        <f t="shared" ca="1" si="12"/>
        <v>934.17194503451606</v>
      </c>
      <c r="V64" s="42">
        <f t="shared" ca="1" si="24"/>
        <v>32.798858030650109</v>
      </c>
      <c r="W64" s="42">
        <f t="shared" ca="1" si="24"/>
        <v>0</v>
      </c>
      <c r="X64" s="42">
        <f t="shared" ca="1" si="24"/>
        <v>2.8014268962921625</v>
      </c>
      <c r="Y64" s="42">
        <f t="shared" ca="1" si="24"/>
        <v>5.7145795171908409</v>
      </c>
      <c r="Z64" s="42">
        <f t="shared" ca="1" si="24"/>
        <v>0.54144002226913734</v>
      </c>
      <c r="AA64" s="42">
        <f t="shared" ca="1" si="24"/>
        <v>72.470727173493756</v>
      </c>
      <c r="AB64" s="42">
        <f t="shared" ca="1" si="24"/>
        <v>115.33891232067396</v>
      </c>
      <c r="AC64" s="42">
        <f t="shared" ca="1" si="24"/>
        <v>472.19350662861058</v>
      </c>
      <c r="AD64" s="42">
        <f t="shared" ca="1" si="24"/>
        <v>48.60194107071144</v>
      </c>
      <c r="AE64" s="42">
        <f t="shared" ca="1" si="24"/>
        <v>212.10854404982516</v>
      </c>
      <c r="AF64" s="42">
        <f t="shared" ca="1" si="24"/>
        <v>0</v>
      </c>
      <c r="AG64" s="42">
        <f t="shared" ca="1" si="24"/>
        <v>0</v>
      </c>
      <c r="AH64" s="51">
        <f t="shared" ca="1" si="13"/>
        <v>962.56993570971713</v>
      </c>
    </row>
    <row r="65" spans="4:34" ht="12" customHeight="1" x14ac:dyDescent="0.25">
      <c r="D65" s="62">
        <f t="shared" si="14"/>
        <v>53</v>
      </c>
      <c r="E65" s="63">
        <f t="shared" si="11"/>
        <v>13.25</v>
      </c>
      <c r="F65" s="43">
        <f t="shared" si="8"/>
        <v>83.25</v>
      </c>
      <c r="H65" s="42">
        <f t="shared" ca="1" si="23"/>
        <v>12.362270596919792</v>
      </c>
      <c r="I65" s="42">
        <f t="shared" ca="1" si="23"/>
        <v>0</v>
      </c>
      <c r="J65" s="42">
        <f t="shared" ca="1" si="23"/>
        <v>2.374753866974225</v>
      </c>
      <c r="K65" s="42">
        <f t="shared" ca="1" si="23"/>
        <v>4.8442170040354142</v>
      </c>
      <c r="L65" s="42">
        <f t="shared" ca="1" si="23"/>
        <v>0.45897566997734318</v>
      </c>
      <c r="M65" s="42">
        <f t="shared" ca="1" si="23"/>
        <v>76.874166330700021</v>
      </c>
      <c r="N65" s="42">
        <f t="shared" ca="1" si="23"/>
        <v>105.54931733505948</v>
      </c>
      <c r="O65" s="42">
        <f t="shared" ca="1" si="23"/>
        <v>440.20703829117218</v>
      </c>
      <c r="P65" s="42">
        <f t="shared" ca="1" si="23"/>
        <v>45.198126279090438</v>
      </c>
      <c r="Q65" s="42">
        <f t="shared" ca="1" si="23"/>
        <v>215.25223875635737</v>
      </c>
      <c r="R65" s="42">
        <f t="shared" ca="1" si="23"/>
        <v>0</v>
      </c>
      <c r="S65" s="42">
        <f t="shared" ca="1" si="23"/>
        <v>0</v>
      </c>
      <c r="T65" s="51">
        <f t="shared" ca="1" si="12"/>
        <v>903.12110413028608</v>
      </c>
      <c r="V65" s="42">
        <f t="shared" ca="1" si="24"/>
        <v>30.411807289750964</v>
      </c>
      <c r="W65" s="42">
        <f t="shared" ca="1" si="24"/>
        <v>0</v>
      </c>
      <c r="X65" s="42">
        <f t="shared" ca="1" si="24"/>
        <v>2.6652241550349069</v>
      </c>
      <c r="Y65" s="42">
        <f t="shared" ca="1" si="24"/>
        <v>5.4367420350119806</v>
      </c>
      <c r="Z65" s="42">
        <f t="shared" ca="1" si="24"/>
        <v>0.51511571755247598</v>
      </c>
      <c r="AA65" s="42">
        <f t="shared" ca="1" si="24"/>
        <v>69.73966967648181</v>
      </c>
      <c r="AB65" s="42">
        <f t="shared" ca="1" si="24"/>
        <v>109.82654740629303</v>
      </c>
      <c r="AC65" s="42">
        <f t="shared" ca="1" si="24"/>
        <v>453.82370416644017</v>
      </c>
      <c r="AD65" s="42">
        <f t="shared" ca="1" si="24"/>
        <v>46.611889617640998</v>
      </c>
      <c r="AE65" s="42">
        <f t="shared" ca="1" si="24"/>
        <v>212.32694046440432</v>
      </c>
      <c r="AF65" s="42">
        <f t="shared" ca="1" si="24"/>
        <v>0</v>
      </c>
      <c r="AG65" s="42">
        <f t="shared" ca="1" si="24"/>
        <v>0</v>
      </c>
      <c r="AH65" s="51">
        <f t="shared" ca="1" si="13"/>
        <v>931.35764052861055</v>
      </c>
    </row>
    <row r="66" spans="4:34" ht="12" customHeight="1" x14ac:dyDescent="0.25">
      <c r="D66" s="62">
        <f t="shared" si="14"/>
        <v>54</v>
      </c>
      <c r="E66" s="63">
        <f t="shared" si="11"/>
        <v>13.5</v>
      </c>
      <c r="F66" s="43">
        <f t="shared" si="8"/>
        <v>83.5</v>
      </c>
      <c r="H66" s="42">
        <f t="shared" ca="1" si="23"/>
        <v>11.462563443701317</v>
      </c>
      <c r="I66" s="42">
        <f t="shared" ca="1" si="23"/>
        <v>0</v>
      </c>
      <c r="J66" s="42">
        <f t="shared" ca="1" si="23"/>
        <v>2.259295567162348</v>
      </c>
      <c r="K66" s="42">
        <f t="shared" ca="1" si="23"/>
        <v>4.608695728763907</v>
      </c>
      <c r="L66" s="42">
        <f t="shared" ca="1" si="23"/>
        <v>0.4366607045202614</v>
      </c>
      <c r="M66" s="42">
        <f t="shared" ca="1" si="23"/>
        <v>73.43528183776175</v>
      </c>
      <c r="N66" s="42">
        <f t="shared" ca="1" si="23"/>
        <v>100.12995718714119</v>
      </c>
      <c r="O66" s="42">
        <f t="shared" ca="1" si="23"/>
        <v>422.49756367064083</v>
      </c>
      <c r="P66" s="42">
        <f t="shared" ca="1" si="23"/>
        <v>43.262148853470563</v>
      </c>
      <c r="Q66" s="42">
        <f t="shared" ca="1" si="23"/>
        <v>215.127593201374</v>
      </c>
      <c r="R66" s="42">
        <f t="shared" ca="1" si="23"/>
        <v>0</v>
      </c>
      <c r="S66" s="42">
        <f t="shared" ca="1" si="23"/>
        <v>0</v>
      </c>
      <c r="T66" s="51">
        <f t="shared" ca="1" si="12"/>
        <v>873.21976019453621</v>
      </c>
      <c r="V66" s="42">
        <f t="shared" ca="1" si="24"/>
        <v>28.19848245218364</v>
      </c>
      <c r="W66" s="42">
        <f t="shared" ca="1" si="24"/>
        <v>0</v>
      </c>
      <c r="X66" s="42">
        <f t="shared" ca="1" si="24"/>
        <v>2.5356434629735616</v>
      </c>
      <c r="Y66" s="42">
        <f t="shared" ca="1" si="24"/>
        <v>5.1724127499404071</v>
      </c>
      <c r="Z66" s="42">
        <f t="shared" ca="1" si="24"/>
        <v>0.49007127577596343</v>
      </c>
      <c r="AA66" s="42">
        <f t="shared" ca="1" si="24"/>
        <v>67.083723885635351</v>
      </c>
      <c r="AB66" s="42">
        <f t="shared" ca="1" si="24"/>
        <v>104.57303985288576</v>
      </c>
      <c r="AC66" s="42">
        <f t="shared" ca="1" si="24"/>
        <v>436.11250802666569</v>
      </c>
      <c r="AD66" s="42">
        <f t="shared" ca="1" si="24"/>
        <v>44.698814975000786</v>
      </c>
      <c r="AE66" s="42">
        <f t="shared" ca="1" si="24"/>
        <v>212.37426799245665</v>
      </c>
      <c r="AF66" s="42">
        <f t="shared" ca="1" si="24"/>
        <v>0</v>
      </c>
      <c r="AG66" s="42">
        <f t="shared" ca="1" si="24"/>
        <v>0</v>
      </c>
      <c r="AH66" s="51">
        <f t="shared" ca="1" si="13"/>
        <v>901.2389646735179</v>
      </c>
    </row>
    <row r="67" spans="4:34" ht="12" customHeight="1" x14ac:dyDescent="0.25">
      <c r="D67" s="62">
        <f t="shared" si="14"/>
        <v>55</v>
      </c>
      <c r="E67" s="63">
        <f t="shared" si="11"/>
        <v>13.75</v>
      </c>
      <c r="F67" s="43">
        <f t="shared" si="8"/>
        <v>83.75</v>
      </c>
      <c r="H67" s="42">
        <f t="shared" ca="1" si="23"/>
        <v>10.628335601520911</v>
      </c>
      <c r="I67" s="42">
        <f t="shared" ca="1" si="23"/>
        <v>0</v>
      </c>
      <c r="J67" s="42">
        <f t="shared" ca="1" si="23"/>
        <v>2.1494507413112207</v>
      </c>
      <c r="K67" s="42">
        <f t="shared" ca="1" si="23"/>
        <v>4.384625276413689</v>
      </c>
      <c r="L67" s="42">
        <f t="shared" ca="1" si="23"/>
        <v>0.41543067169887976</v>
      </c>
      <c r="M67" s="42">
        <f t="shared" ca="1" si="23"/>
        <v>70.141856279643079</v>
      </c>
      <c r="N67" s="42">
        <f t="shared" ca="1" si="23"/>
        <v>95.001693980630321</v>
      </c>
      <c r="O67" s="42">
        <f t="shared" ca="1" si="23"/>
        <v>405.4557501779687</v>
      </c>
      <c r="P67" s="42">
        <f t="shared" ca="1" si="23"/>
        <v>41.407615540270839</v>
      </c>
      <c r="Q67" s="42">
        <f t="shared" ca="1" si="23"/>
        <v>214.84266565079736</v>
      </c>
      <c r="R67" s="42">
        <f t="shared" ca="1" si="23"/>
        <v>0</v>
      </c>
      <c r="S67" s="42">
        <f t="shared" ca="1" si="23"/>
        <v>0</v>
      </c>
      <c r="T67" s="51">
        <f t="shared" ca="1" si="12"/>
        <v>844.42742392025502</v>
      </c>
      <c r="V67" s="42">
        <f t="shared" ca="1" si="24"/>
        <v>26.146240012315303</v>
      </c>
      <c r="W67" s="42">
        <f t="shared" ca="1" si="24"/>
        <v>0</v>
      </c>
      <c r="X67" s="42">
        <f t="shared" ca="1" si="24"/>
        <v>2.4123628623035445</v>
      </c>
      <c r="Y67" s="42">
        <f t="shared" ca="1" si="24"/>
        <v>4.9209349061357726</v>
      </c>
      <c r="Z67" s="42">
        <f t="shared" ca="1" si="24"/>
        <v>0.46624447120702295</v>
      </c>
      <c r="AA67" s="42">
        <f t="shared" ca="1" si="24"/>
        <v>64.503435056018461</v>
      </c>
      <c r="AB67" s="42">
        <f t="shared" ca="1" si="24"/>
        <v>99.566682470739607</v>
      </c>
      <c r="AC67" s="42">
        <f t="shared" ca="1" si="24"/>
        <v>419.04299460449425</v>
      </c>
      <c r="AD67" s="42">
        <f t="shared" ca="1" si="24"/>
        <v>42.860284064632296</v>
      </c>
      <c r="AE67" s="42">
        <f t="shared" ca="1" si="24"/>
        <v>212.26010497464588</v>
      </c>
      <c r="AF67" s="42">
        <f t="shared" ca="1" si="24"/>
        <v>0</v>
      </c>
      <c r="AG67" s="42">
        <f t="shared" ca="1" si="24"/>
        <v>0</v>
      </c>
      <c r="AH67" s="51">
        <f t="shared" ca="1" si="13"/>
        <v>872.17928342249218</v>
      </c>
    </row>
    <row r="68" spans="4:34" ht="12" customHeight="1" x14ac:dyDescent="0.25">
      <c r="D68" s="62">
        <f t="shared" si="14"/>
        <v>56</v>
      </c>
      <c r="E68" s="63">
        <f t="shared" si="11"/>
        <v>14</v>
      </c>
      <c r="F68" s="43">
        <f t="shared" si="8"/>
        <v>84</v>
      </c>
      <c r="H68" s="42">
        <f t="shared" ca="1" si="23"/>
        <v>9.8548215862333368</v>
      </c>
      <c r="I68" s="42">
        <f t="shared" ca="1" si="23"/>
        <v>0</v>
      </c>
      <c r="J68" s="42">
        <f t="shared" ca="1" si="23"/>
        <v>2.0449464675957389</v>
      </c>
      <c r="K68" s="42">
        <f t="shared" ca="1" si="23"/>
        <v>4.1714489187425974</v>
      </c>
      <c r="L68" s="42">
        <f t="shared" ca="1" si="23"/>
        <v>0.39523282310871272</v>
      </c>
      <c r="M68" s="42">
        <f t="shared" ca="1" si="23"/>
        <v>66.988399521340369</v>
      </c>
      <c r="N68" s="42">
        <f t="shared" ca="1" si="23"/>
        <v>90.147724205596958</v>
      </c>
      <c r="O68" s="42">
        <f t="shared" ca="1" si="23"/>
        <v>389.06332166792919</v>
      </c>
      <c r="P68" s="42">
        <f t="shared" ca="1" si="23"/>
        <v>39.631440410246434</v>
      </c>
      <c r="Q68" s="42">
        <f t="shared" ca="1" si="23"/>
        <v>214.40721311190589</v>
      </c>
      <c r="R68" s="42">
        <f t="shared" ca="1" si="23"/>
        <v>0</v>
      </c>
      <c r="S68" s="42">
        <f t="shared" ca="1" si="23"/>
        <v>0</v>
      </c>
      <c r="T68" s="51">
        <f t="shared" ca="1" si="12"/>
        <v>816.70454871269931</v>
      </c>
      <c r="V68" s="42">
        <f t="shared" ca="1" si="24"/>
        <v>24.243356639522244</v>
      </c>
      <c r="W68" s="42">
        <f t="shared" ca="1" si="24"/>
        <v>0</v>
      </c>
      <c r="X68" s="42">
        <f t="shared" ca="1" si="24"/>
        <v>2.2950760485059676</v>
      </c>
      <c r="Y68" s="42">
        <f t="shared" ca="1" si="24"/>
        <v>4.6816836786090752</v>
      </c>
      <c r="Z68" s="42">
        <f t="shared" ca="1" si="24"/>
        <v>0.44357610346967929</v>
      </c>
      <c r="AA68" s="42">
        <f t="shared" ca="1" si="24"/>
        <v>61.999016473251622</v>
      </c>
      <c r="AB68" s="42">
        <f t="shared" ca="1" si="24"/>
        <v>94.796252959882139</v>
      </c>
      <c r="AC68" s="42">
        <f t="shared" ca="1" si="24"/>
        <v>402.59802741563578</v>
      </c>
      <c r="AD68" s="42">
        <f t="shared" ca="1" si="24"/>
        <v>41.093889680948244</v>
      </c>
      <c r="AE68" s="42">
        <f t="shared" ca="1" si="24"/>
        <v>211.99365104428489</v>
      </c>
      <c r="AF68" s="42">
        <f t="shared" ca="1" si="24"/>
        <v>0</v>
      </c>
      <c r="AG68" s="42">
        <f t="shared" ca="1" si="24"/>
        <v>0</v>
      </c>
      <c r="AH68" s="51">
        <f t="shared" ca="1" si="13"/>
        <v>844.14453004410962</v>
      </c>
    </row>
    <row r="69" spans="4:34" ht="12" customHeight="1" x14ac:dyDescent="0.25">
      <c r="D69" s="62">
        <f t="shared" si="14"/>
        <v>57</v>
      </c>
      <c r="E69" s="63">
        <f t="shared" si="11"/>
        <v>14.25</v>
      </c>
      <c r="F69" s="43">
        <f t="shared" si="8"/>
        <v>84.25</v>
      </c>
      <c r="H69" s="42">
        <f t="shared" ca="1" si="23"/>
        <v>9.1376027383434391</v>
      </c>
      <c r="I69" s="42">
        <f t="shared" ca="1" si="23"/>
        <v>0</v>
      </c>
      <c r="J69" s="42">
        <f t="shared" ca="1" si="23"/>
        <v>1.9455230933932826</v>
      </c>
      <c r="K69" s="42">
        <f t="shared" ca="1" si="23"/>
        <v>3.9686369951120541</v>
      </c>
      <c r="L69" s="42">
        <f t="shared" ca="1" si="23"/>
        <v>0.3760169749230971</v>
      </c>
      <c r="M69" s="42">
        <f t="shared" ca="1" si="23"/>
        <v>63.969573221758608</v>
      </c>
      <c r="N69" s="42">
        <f t="shared" ca="1" si="23"/>
        <v>85.552315768757339</v>
      </c>
      <c r="O69" s="42">
        <f t="shared" ca="1" si="23"/>
        <v>373.30172269938259</v>
      </c>
      <c r="P69" s="42">
        <f t="shared" ca="1" si="23"/>
        <v>37.930619190117532</v>
      </c>
      <c r="Q69" s="42">
        <f t="shared" ca="1" si="23"/>
        <v>213.83055581542806</v>
      </c>
      <c r="R69" s="42">
        <f t="shared" ca="1" si="23"/>
        <v>0</v>
      </c>
      <c r="S69" s="42">
        <f t="shared" ca="1" si="23"/>
        <v>0</v>
      </c>
      <c r="T69" s="51">
        <f t="shared" ca="1" si="12"/>
        <v>790.01256649721597</v>
      </c>
      <c r="V69" s="42">
        <f t="shared" ca="1" si="24"/>
        <v>22.478962209259613</v>
      </c>
      <c r="W69" s="42">
        <f t="shared" ca="1" si="24"/>
        <v>0</v>
      </c>
      <c r="X69" s="42">
        <f t="shared" ca="1" si="24"/>
        <v>2.1834916092996046</v>
      </c>
      <c r="Y69" s="42">
        <f t="shared" ca="1" si="24"/>
        <v>4.4540646207746972</v>
      </c>
      <c r="Z69" s="42">
        <f t="shared" ca="1" si="24"/>
        <v>0.42200985045456529</v>
      </c>
      <c r="AA69" s="42">
        <f t="shared" ca="1" si="24"/>
        <v>59.570387824440566</v>
      </c>
      <c r="AB69" s="42">
        <f t="shared" ca="1" si="24"/>
        <v>90.250998427738722</v>
      </c>
      <c r="AC69" s="42">
        <f t="shared" ca="1" si="24"/>
        <v>386.76033864173098</v>
      </c>
      <c r="AD69" s="42">
        <f t="shared" ca="1" si="24"/>
        <v>39.397255824008788</v>
      </c>
      <c r="AE69" s="42">
        <f t="shared" ca="1" si="24"/>
        <v>211.58373619577949</v>
      </c>
      <c r="AF69" s="42">
        <f t="shared" ca="1" si="24"/>
        <v>0</v>
      </c>
      <c r="AG69" s="42">
        <f t="shared" ca="1" si="24"/>
        <v>0</v>
      </c>
      <c r="AH69" s="51">
        <f t="shared" ca="1" si="13"/>
        <v>817.101245203487</v>
      </c>
    </row>
    <row r="70" spans="4:34" ht="12" customHeight="1" x14ac:dyDescent="0.25">
      <c r="D70" s="62">
        <f t="shared" si="14"/>
        <v>58</v>
      </c>
      <c r="E70" s="63">
        <f t="shared" si="11"/>
        <v>14.5</v>
      </c>
      <c r="F70" s="43">
        <f t="shared" si="8"/>
        <v>84.5</v>
      </c>
      <c r="H70" s="42">
        <f t="shared" ca="1" si="23"/>
        <v>8.4725819816383776</v>
      </c>
      <c r="I70" s="42">
        <f t="shared" ca="1" si="23"/>
        <v>0</v>
      </c>
      <c r="J70" s="42">
        <f t="shared" ca="1" si="23"/>
        <v>1.8509335901475679</v>
      </c>
      <c r="K70" s="42">
        <f t="shared" ca="1" si="23"/>
        <v>3.7756855964856428</v>
      </c>
      <c r="L70" s="42">
        <f t="shared" ca="1" si="23"/>
        <v>0.35773538320582909</v>
      </c>
      <c r="M70" s="42">
        <f t="shared" ca="1" si="23"/>
        <v>61.080191832713723</v>
      </c>
      <c r="N70" s="42">
        <f t="shared" ca="1" si="23"/>
        <v>81.200731477005348</v>
      </c>
      <c r="O70" s="42">
        <f t="shared" ca="1" si="23"/>
        <v>358.15223213885804</v>
      </c>
      <c r="P70" s="42">
        <f t="shared" ca="1" si="23"/>
        <v>36.302230881751839</v>
      </c>
      <c r="Q70" s="42">
        <f t="shared" ca="1" si="23"/>
        <v>213.12159202517756</v>
      </c>
      <c r="R70" s="42">
        <f t="shared" ca="1" si="23"/>
        <v>0</v>
      </c>
      <c r="S70" s="42">
        <f t="shared" ca="1" si="23"/>
        <v>0</v>
      </c>
      <c r="T70" s="51">
        <f t="shared" ca="1" si="12"/>
        <v>764.31391490698388</v>
      </c>
      <c r="V70" s="42">
        <f t="shared" ca="1" si="24"/>
        <v>20.842977708027469</v>
      </c>
      <c r="W70" s="42">
        <f t="shared" ca="1" si="24"/>
        <v>0</v>
      </c>
      <c r="X70" s="42">
        <f t="shared" ca="1" si="24"/>
        <v>2.0773323005943007</v>
      </c>
      <c r="Y70" s="42">
        <f t="shared" ca="1" si="24"/>
        <v>4.237512187481002</v>
      </c>
      <c r="Z70" s="42">
        <f t="shared" ca="1" si="24"/>
        <v>0.40149212838030646</v>
      </c>
      <c r="AA70" s="42">
        <f t="shared" ca="1" si="24"/>
        <v>57.217210085616685</v>
      </c>
      <c r="AB70" s="42">
        <f t="shared" ca="1" si="24"/>
        <v>85.920619882694083</v>
      </c>
      <c r="AC70" s="42">
        <f t="shared" ca="1" si="24"/>
        <v>371.51260192040877</v>
      </c>
      <c r="AD70" s="42">
        <f t="shared" ca="1" si="24"/>
        <v>37.76804230594648</v>
      </c>
      <c r="AE70" s="42">
        <f t="shared" ca="1" si="24"/>
        <v>211.03883013572519</v>
      </c>
      <c r="AF70" s="42">
        <f t="shared" ca="1" si="24"/>
        <v>0</v>
      </c>
      <c r="AG70" s="42">
        <f t="shared" ca="1" si="24"/>
        <v>0</v>
      </c>
      <c r="AH70" s="51">
        <f t="shared" ca="1" si="13"/>
        <v>791.01661865487426</v>
      </c>
    </row>
    <row r="71" spans="4:34" ht="12" customHeight="1" x14ac:dyDescent="0.25">
      <c r="D71" s="62">
        <f t="shared" si="14"/>
        <v>59</v>
      </c>
      <c r="E71" s="63">
        <f t="shared" si="11"/>
        <v>14.75</v>
      </c>
      <c r="F71" s="43">
        <f t="shared" si="8"/>
        <v>84.75</v>
      </c>
      <c r="H71" s="42">
        <f t="shared" ca="1" si="23"/>
        <v>7.8559604188480154</v>
      </c>
      <c r="I71" s="42">
        <f t="shared" ca="1" si="23"/>
        <v>0</v>
      </c>
      <c r="J71" s="42">
        <f t="shared" ca="1" si="23"/>
        <v>1.7609429395984126</v>
      </c>
      <c r="K71" s="42">
        <f t="shared" ca="1" si="23"/>
        <v>3.5921153134104249</v>
      </c>
      <c r="L71" s="42">
        <f t="shared" ca="1" si="23"/>
        <v>0.34034262528598541</v>
      </c>
      <c r="M71" s="42">
        <f t="shared" ca="1" si="23"/>
        <v>58.31522293954788</v>
      </c>
      <c r="N71" s="42">
        <f t="shared" ca="1" si="23"/>
        <v>77.079158585768312</v>
      </c>
      <c r="O71" s="42">
        <f t="shared" ca="1" si="23"/>
        <v>343.59606249276857</v>
      </c>
      <c r="P71" s="42">
        <f t="shared" ca="1" si="23"/>
        <v>34.743438835124984</v>
      </c>
      <c r="Q71" s="42">
        <f t="shared" ca="1" si="23"/>
        <v>212.28881271396435</v>
      </c>
      <c r="R71" s="42">
        <f t="shared" ca="1" si="23"/>
        <v>0</v>
      </c>
      <c r="S71" s="42">
        <f t="shared" ca="1" si="23"/>
        <v>0</v>
      </c>
      <c r="T71" s="51">
        <f t="shared" ca="1" si="12"/>
        <v>739.57205686431689</v>
      </c>
      <c r="V71" s="42">
        <f t="shared" ca="1" si="24"/>
        <v>19.326057657518465</v>
      </c>
      <c r="W71" s="42">
        <f t="shared" ca="1" si="24"/>
        <v>0</v>
      </c>
      <c r="X71" s="42">
        <f t="shared" ca="1" si="24"/>
        <v>1.9763343576468446</v>
      </c>
      <c r="Y71" s="42">
        <f t="shared" ca="1" si="24"/>
        <v>4.0314883298497914</v>
      </c>
      <c r="Z71" s="42">
        <f t="shared" ca="1" si="24"/>
        <v>0.38197195865858885</v>
      </c>
      <c r="AA71" s="42">
        <f t="shared" ca="1" si="24"/>
        <v>54.938917212803467</v>
      </c>
      <c r="AB71" s="42">
        <f t="shared" ca="1" si="24"/>
        <v>81.795256779300189</v>
      </c>
      <c r="AC71" s="42">
        <f t="shared" ca="1" si="24"/>
        <v>356.83749711537672</v>
      </c>
      <c r="AD71" s="42">
        <f t="shared" ca="1" si="24"/>
        <v>36.203948698782497</v>
      </c>
      <c r="AE71" s="42">
        <f t="shared" ca="1" si="24"/>
        <v>210.36705185049613</v>
      </c>
      <c r="AF71" s="42">
        <f t="shared" ca="1" si="24"/>
        <v>0</v>
      </c>
      <c r="AG71" s="42">
        <f t="shared" ca="1" si="24"/>
        <v>0</v>
      </c>
      <c r="AH71" s="51">
        <f t="shared" ca="1" si="13"/>
        <v>765.85852396043265</v>
      </c>
    </row>
    <row r="72" spans="4:34" ht="12" customHeight="1" x14ac:dyDescent="0.25">
      <c r="D72" s="62">
        <f t="shared" si="14"/>
        <v>60</v>
      </c>
      <c r="E72" s="63">
        <f t="shared" si="11"/>
        <v>15</v>
      </c>
      <c r="F72" s="43">
        <f t="shared" si="8"/>
        <v>85</v>
      </c>
      <c r="H72" s="42">
        <f t="shared" ref="H72:S81" ca="1" si="25">PRODUCT(AVERAGE(OFFSET(E.Trace.Markov.Root, $D72, (H$2-1)*E.Trace.Markov.NumCols+H$3-1, CHOOSE(swtchHalfCycle, 2, 1))) + N("halfcycle-adjusted state occupancy"),
H$6 + N("state cost"))</f>
        <v>7.1768595350746276</v>
      </c>
      <c r="I72" s="42">
        <f t="shared" ca="1" si="25"/>
        <v>0</v>
      </c>
      <c r="J72" s="42">
        <f t="shared" ca="1" si="25"/>
        <v>1.8798484430381857</v>
      </c>
      <c r="K72" s="42">
        <f t="shared" ca="1" si="25"/>
        <v>3.8346684763494756</v>
      </c>
      <c r="L72" s="42">
        <f t="shared" ca="1" si="25"/>
        <v>0.36332384193510248</v>
      </c>
      <c r="M72" s="42">
        <f t="shared" ca="1" si="25"/>
        <v>54.790579623714372</v>
      </c>
      <c r="N72" s="42">
        <f t="shared" ca="1" si="25"/>
        <v>71.714019305652258</v>
      </c>
      <c r="O72" s="42">
        <f t="shared" ca="1" si="25"/>
        <v>321.6677520563527</v>
      </c>
      <c r="P72" s="42">
        <f t="shared" ca="1" si="25"/>
        <v>33.251491341447625</v>
      </c>
      <c r="Q72" s="42">
        <f t="shared" ca="1" si="25"/>
        <v>209.96863667989609</v>
      </c>
      <c r="R72" s="42">
        <f t="shared" ca="1" si="25"/>
        <v>0</v>
      </c>
      <c r="S72" s="42">
        <f t="shared" ca="1" si="25"/>
        <v>0</v>
      </c>
      <c r="T72" s="51">
        <f t="shared" ca="1" si="12"/>
        <v>704.64717930346046</v>
      </c>
      <c r="V72" s="42">
        <f t="shared" ref="V72:AG81" ca="1" si="26">PRODUCT(AVERAGE(OFFSET(E.Trace.Markov.Root, $D72, (V$2-1)*E.Trace.Markov.NumCols+V$3-1, CHOOSE(swtchHalfCycle, 2, 1))) + N("halfcycle-adjusted state occupancy"),
V$6 + N("state cost"))</f>
        <v>17.655435335696634</v>
      </c>
      <c r="W72" s="42">
        <f t="shared" ca="1" si="26"/>
        <v>0</v>
      </c>
      <c r="X72" s="42">
        <f t="shared" ca="1" si="26"/>
        <v>2.1097839013412645</v>
      </c>
      <c r="Y72" s="42">
        <f t="shared" ca="1" si="26"/>
        <v>4.3037096146471745</v>
      </c>
      <c r="Z72" s="42">
        <f t="shared" ca="1" si="26"/>
        <v>0.40776414477822176</v>
      </c>
      <c r="AA72" s="42">
        <f t="shared" ca="1" si="26"/>
        <v>51.891610347018336</v>
      </c>
      <c r="AB72" s="42">
        <f t="shared" ca="1" si="26"/>
        <v>76.313241285666436</v>
      </c>
      <c r="AC72" s="42">
        <f t="shared" ca="1" si="26"/>
        <v>334.45985593856454</v>
      </c>
      <c r="AD72" s="42">
        <f t="shared" ca="1" si="26"/>
        <v>34.702717686123925</v>
      </c>
      <c r="AE72" s="42">
        <f t="shared" ca="1" si="26"/>
        <v>208.21547013601523</v>
      </c>
      <c r="AF72" s="42">
        <f t="shared" ca="1" si="26"/>
        <v>0</v>
      </c>
      <c r="AG72" s="42">
        <f t="shared" ca="1" si="26"/>
        <v>0</v>
      </c>
      <c r="AH72" s="51">
        <f t="shared" ca="1" si="13"/>
        <v>730.0595883898518</v>
      </c>
    </row>
    <row r="73" spans="4:34" ht="12" customHeight="1" x14ac:dyDescent="0.25">
      <c r="D73" s="62">
        <f t="shared" si="14"/>
        <v>61</v>
      </c>
      <c r="E73" s="63">
        <f t="shared" si="11"/>
        <v>15.25</v>
      </c>
      <c r="F73" s="43">
        <f t="shared" si="8"/>
        <v>85.25</v>
      </c>
      <c r="H73" s="42">
        <f t="shared" ca="1" si="25"/>
        <v>6.4506890070699638</v>
      </c>
      <c r="I73" s="42">
        <f t="shared" ca="1" si="25"/>
        <v>0</v>
      </c>
      <c r="J73" s="42">
        <f t="shared" ca="1" si="25"/>
        <v>1.9617406365907266</v>
      </c>
      <c r="K73" s="42">
        <f t="shared" ca="1" si="25"/>
        <v>4.0017188650326778</v>
      </c>
      <c r="L73" s="42">
        <f t="shared" ca="1" si="25"/>
        <v>0.3791513872333368</v>
      </c>
      <c r="M73" s="42">
        <f t="shared" ca="1" si="25"/>
        <v>50.799591145074046</v>
      </c>
      <c r="N73" s="42">
        <f t="shared" ca="1" si="25"/>
        <v>65.489983357002558</v>
      </c>
      <c r="O73" s="42">
        <f t="shared" ca="1" si="25"/>
        <v>293.46056270015657</v>
      </c>
      <c r="P73" s="42">
        <f t="shared" ca="1" si="25"/>
        <v>31.086005933275349</v>
      </c>
      <c r="Q73" s="42">
        <f t="shared" ca="1" si="25"/>
        <v>206.21849654681293</v>
      </c>
      <c r="R73" s="42">
        <f t="shared" ca="1" si="25"/>
        <v>0</v>
      </c>
      <c r="S73" s="42">
        <f t="shared" ca="1" si="25"/>
        <v>0</v>
      </c>
      <c r="T73" s="51">
        <f t="shared" ca="1" si="12"/>
        <v>659.8479395782482</v>
      </c>
      <c r="V73" s="42">
        <f t="shared" ca="1" si="26"/>
        <v>15.869019322227631</v>
      </c>
      <c r="W73" s="42">
        <f t="shared" ca="1" si="26"/>
        <v>0</v>
      </c>
      <c r="X73" s="42">
        <f t="shared" ca="1" si="26"/>
        <v>2.2016928167873622</v>
      </c>
      <c r="Y73" s="42">
        <f t="shared" ca="1" si="26"/>
        <v>4.4911929312208301</v>
      </c>
      <c r="Z73" s="42">
        <f t="shared" ca="1" si="26"/>
        <v>0.42552765140112581</v>
      </c>
      <c r="AA73" s="42">
        <f t="shared" ca="1" si="26"/>
        <v>48.383883543206849</v>
      </c>
      <c r="AB73" s="42">
        <f t="shared" ca="1" si="26"/>
        <v>69.890804745683113</v>
      </c>
      <c r="AC73" s="42">
        <f t="shared" ca="1" si="26"/>
        <v>305.50170886701238</v>
      </c>
      <c r="AD73" s="42">
        <f t="shared" ca="1" si="26"/>
        <v>32.492184559489807</v>
      </c>
      <c r="AE73" s="42">
        <f t="shared" ca="1" si="26"/>
        <v>204.63991541098082</v>
      </c>
      <c r="AF73" s="42">
        <f t="shared" ca="1" si="26"/>
        <v>0</v>
      </c>
      <c r="AG73" s="42">
        <f t="shared" ca="1" si="26"/>
        <v>0</v>
      </c>
      <c r="AH73" s="51">
        <f t="shared" ca="1" si="13"/>
        <v>683.89592984800993</v>
      </c>
    </row>
    <row r="74" spans="4:34" ht="12" customHeight="1" x14ac:dyDescent="0.25">
      <c r="D74" s="62">
        <f t="shared" si="14"/>
        <v>62</v>
      </c>
      <c r="E74" s="63">
        <f t="shared" si="11"/>
        <v>15.5</v>
      </c>
      <c r="F74" s="43">
        <f t="shared" si="8"/>
        <v>85.5</v>
      </c>
      <c r="H74" s="42">
        <f t="shared" ca="1" si="25"/>
        <v>5.7979940198872217</v>
      </c>
      <c r="I74" s="42">
        <f t="shared" ca="1" si="25"/>
        <v>0</v>
      </c>
      <c r="J74" s="42">
        <f t="shared" ca="1" si="25"/>
        <v>1.8124066857575667</v>
      </c>
      <c r="K74" s="42">
        <f t="shared" ca="1" si="25"/>
        <v>3.6970952684712768</v>
      </c>
      <c r="L74" s="42">
        <f t="shared" ca="1" si="25"/>
        <v>0.35028917499011869</v>
      </c>
      <c r="M74" s="42">
        <f t="shared" ca="1" si="25"/>
        <v>47.280066531370515</v>
      </c>
      <c r="N74" s="42">
        <f t="shared" ca="1" si="25"/>
        <v>60.016439670970442</v>
      </c>
      <c r="O74" s="42">
        <f t="shared" ca="1" si="25"/>
        <v>267.91254283401639</v>
      </c>
      <c r="P74" s="42">
        <f t="shared" ca="1" si="25"/>
        <v>28.366343234741237</v>
      </c>
      <c r="Q74" s="42">
        <f t="shared" ca="1" si="25"/>
        <v>202.40509559333941</v>
      </c>
      <c r="R74" s="42">
        <f t="shared" ca="1" si="25"/>
        <v>0</v>
      </c>
      <c r="S74" s="42">
        <f t="shared" ca="1" si="25"/>
        <v>0</v>
      </c>
      <c r="T74" s="51">
        <f t="shared" ca="1" si="12"/>
        <v>617.63827301354422</v>
      </c>
      <c r="V74" s="42">
        <f t="shared" ca="1" si="26"/>
        <v>14.263356833806304</v>
      </c>
      <c r="W74" s="42">
        <f t="shared" ca="1" si="26"/>
        <v>0</v>
      </c>
      <c r="X74" s="42">
        <f t="shared" ca="1" si="26"/>
        <v>2.0340929410855266</v>
      </c>
      <c r="Y74" s="42">
        <f t="shared" ca="1" si="26"/>
        <v>4.1493090084109614</v>
      </c>
      <c r="Z74" s="42">
        <f t="shared" ca="1" si="26"/>
        <v>0.39313513009264101</v>
      </c>
      <c r="AA74" s="42">
        <f t="shared" ca="1" si="26"/>
        <v>45.306997404152717</v>
      </c>
      <c r="AB74" s="42">
        <f t="shared" ca="1" si="26"/>
        <v>64.234719730218231</v>
      </c>
      <c r="AC74" s="42">
        <f t="shared" ca="1" si="26"/>
        <v>279.24245001386151</v>
      </c>
      <c r="AD74" s="42">
        <f t="shared" ca="1" si="26"/>
        <v>29.696936115187118</v>
      </c>
      <c r="AE74" s="42">
        <f t="shared" ca="1" si="26"/>
        <v>200.99195730461511</v>
      </c>
      <c r="AF74" s="42">
        <f t="shared" ca="1" si="26"/>
        <v>0</v>
      </c>
      <c r="AG74" s="42">
        <f t="shared" ca="1" si="26"/>
        <v>0</v>
      </c>
      <c r="AH74" s="51">
        <f t="shared" ca="1" si="13"/>
        <v>640.3129544814301</v>
      </c>
    </row>
    <row r="75" spans="4:34" ht="12" customHeight="1" x14ac:dyDescent="0.25">
      <c r="D75" s="62">
        <f t="shared" si="14"/>
        <v>63</v>
      </c>
      <c r="E75" s="63">
        <f t="shared" si="11"/>
        <v>15.75</v>
      </c>
      <c r="F75" s="43">
        <f t="shared" si="8"/>
        <v>85.75</v>
      </c>
      <c r="H75" s="42">
        <f t="shared" ca="1" si="25"/>
        <v>5.2113401557266199</v>
      </c>
      <c r="I75" s="42">
        <f t="shared" ca="1" si="25"/>
        <v>0</v>
      </c>
      <c r="J75" s="42">
        <f t="shared" ca="1" si="25"/>
        <v>1.680324210719899</v>
      </c>
      <c r="K75" s="42">
        <f t="shared" ca="1" si="25"/>
        <v>3.4276626420375336</v>
      </c>
      <c r="L75" s="42">
        <f t="shared" ca="1" si="25"/>
        <v>0.32476120625375393</v>
      </c>
      <c r="M75" s="42">
        <f t="shared" ca="1" si="25"/>
        <v>43.993298309015053</v>
      </c>
      <c r="N75" s="42">
        <f t="shared" ca="1" si="25"/>
        <v>55.031426481735977</v>
      </c>
      <c r="O75" s="42">
        <f t="shared" ca="1" si="25"/>
        <v>244.78451939909908</v>
      </c>
      <c r="P75" s="42">
        <f t="shared" ca="1" si="25"/>
        <v>25.918996133742159</v>
      </c>
      <c r="Q75" s="42">
        <f t="shared" ca="1" si="25"/>
        <v>198.48446860541594</v>
      </c>
      <c r="R75" s="42">
        <f t="shared" ca="1" si="25"/>
        <v>0</v>
      </c>
      <c r="S75" s="42">
        <f t="shared" ca="1" si="25"/>
        <v>0</v>
      </c>
      <c r="T75" s="51">
        <f t="shared" ca="1" si="12"/>
        <v>578.85679714374601</v>
      </c>
      <c r="V75" s="42">
        <f t="shared" ca="1" si="26"/>
        <v>12.820158828814787</v>
      </c>
      <c r="W75" s="42">
        <f t="shared" ca="1" si="26"/>
        <v>0</v>
      </c>
      <c r="X75" s="42">
        <f t="shared" ca="1" si="26"/>
        <v>1.885854671923038</v>
      </c>
      <c r="Y75" s="42">
        <f t="shared" ca="1" si="26"/>
        <v>3.8469204728610986</v>
      </c>
      <c r="Z75" s="42">
        <f t="shared" ca="1" si="26"/>
        <v>0.36448468347106122</v>
      </c>
      <c r="AA75" s="42">
        <f t="shared" ca="1" si="26"/>
        <v>42.40299199947804</v>
      </c>
      <c r="AB75" s="42">
        <f t="shared" ca="1" si="26"/>
        <v>59.061226790486629</v>
      </c>
      <c r="AC75" s="42">
        <f t="shared" ca="1" si="26"/>
        <v>255.44353666626535</v>
      </c>
      <c r="AD75" s="42">
        <f t="shared" ca="1" si="26"/>
        <v>27.178522944584778</v>
      </c>
      <c r="AE75" s="42">
        <f t="shared" ca="1" si="26"/>
        <v>197.22538315738274</v>
      </c>
      <c r="AF75" s="42">
        <f t="shared" ca="1" si="26"/>
        <v>0</v>
      </c>
      <c r="AG75" s="42">
        <f t="shared" ca="1" si="26"/>
        <v>0</v>
      </c>
      <c r="AH75" s="51">
        <f t="shared" ca="1" si="13"/>
        <v>600.22908021526746</v>
      </c>
    </row>
    <row r="76" spans="4:34" ht="12" customHeight="1" x14ac:dyDescent="0.25">
      <c r="D76" s="62">
        <f t="shared" si="14"/>
        <v>64</v>
      </c>
      <c r="E76" s="63">
        <f t="shared" si="11"/>
        <v>16</v>
      </c>
      <c r="F76" s="43">
        <f t="shared" ref="F76:F92" si="27">E.cohortAge+D76*E.cycleLength</f>
        <v>86</v>
      </c>
      <c r="H76" s="42">
        <f t="shared" ca="1" si="25"/>
        <v>4.6840452276315068</v>
      </c>
      <c r="I76" s="42">
        <f t="shared" ca="1" si="25"/>
        <v>0</v>
      </c>
      <c r="J76" s="42">
        <f t="shared" ca="1" si="25"/>
        <v>1.5577009490047364</v>
      </c>
      <c r="K76" s="42">
        <f t="shared" ca="1" si="25"/>
        <v>3.177525691951109</v>
      </c>
      <c r="L76" s="42">
        <f t="shared" ca="1" si="25"/>
        <v>0.30106144751950076</v>
      </c>
      <c r="M76" s="42">
        <f t="shared" ca="1" si="25"/>
        <v>40.929986205138746</v>
      </c>
      <c r="N76" s="42">
        <f t="shared" ca="1" si="25"/>
        <v>50.491990133761234</v>
      </c>
      <c r="O76" s="42">
        <f t="shared" ca="1" si="25"/>
        <v>223.83462461071903</v>
      </c>
      <c r="P76" s="42">
        <f t="shared" ca="1" si="25"/>
        <v>23.700557868554981</v>
      </c>
      <c r="Q76" s="42">
        <f t="shared" ca="1" si="25"/>
        <v>194.48250501057876</v>
      </c>
      <c r="R76" s="42">
        <f t="shared" ca="1" si="25"/>
        <v>0</v>
      </c>
      <c r="S76" s="42">
        <f t="shared" ca="1" si="25"/>
        <v>0</v>
      </c>
      <c r="T76" s="51">
        <f t="shared" ca="1" si="12"/>
        <v>543.15999714485963</v>
      </c>
      <c r="V76" s="42">
        <f t="shared" ca="1" si="26"/>
        <v>11.522986791334288</v>
      </c>
      <c r="W76" s="42">
        <f t="shared" ca="1" si="26"/>
        <v>0</v>
      </c>
      <c r="X76" s="42">
        <f t="shared" ca="1" si="26"/>
        <v>1.748232628797856</v>
      </c>
      <c r="Y76" s="42">
        <f t="shared" ca="1" si="26"/>
        <v>3.5661877827459185</v>
      </c>
      <c r="Z76" s="42">
        <f t="shared" ca="1" si="26"/>
        <v>0.33788606610465916</v>
      </c>
      <c r="AA76" s="42">
        <f t="shared" ca="1" si="26"/>
        <v>39.670368475432966</v>
      </c>
      <c r="AB76" s="42">
        <f t="shared" ca="1" si="26"/>
        <v>54.330980748485494</v>
      </c>
      <c r="AC76" s="42">
        <f t="shared" ca="1" si="26"/>
        <v>233.86038634295824</v>
      </c>
      <c r="AD76" s="42">
        <f t="shared" ca="1" si="26"/>
        <v>24.891465410228339</v>
      </c>
      <c r="AE76" s="42">
        <f t="shared" ca="1" si="26"/>
        <v>193.36680985881944</v>
      </c>
      <c r="AF76" s="42">
        <f t="shared" ca="1" si="26"/>
        <v>0</v>
      </c>
      <c r="AG76" s="42">
        <f t="shared" ca="1" si="26"/>
        <v>0</v>
      </c>
      <c r="AH76" s="51">
        <f t="shared" ca="1" si="13"/>
        <v>563.29530410490725</v>
      </c>
    </row>
    <row r="77" spans="4:34" ht="12" customHeight="1" x14ac:dyDescent="0.25">
      <c r="D77" s="62">
        <f t="shared" si="14"/>
        <v>65</v>
      </c>
      <c r="E77" s="63">
        <f t="shared" ref="E77:E92" si="28">D77*E.cycleLength</f>
        <v>16.25</v>
      </c>
      <c r="F77" s="43">
        <f t="shared" si="27"/>
        <v>86.25</v>
      </c>
      <c r="H77" s="42">
        <f t="shared" ca="1" si="25"/>
        <v>4.2101031671071851</v>
      </c>
      <c r="I77" s="42">
        <f t="shared" ca="1" si="25"/>
        <v>0</v>
      </c>
      <c r="J77" s="42">
        <f t="shared" ca="1" si="25"/>
        <v>1.4440309342313777</v>
      </c>
      <c r="K77" s="42">
        <f t="shared" ca="1" si="25"/>
        <v>2.9456523066407998</v>
      </c>
      <c r="L77" s="42">
        <f t="shared" ca="1" si="25"/>
        <v>0.27909210917564492</v>
      </c>
      <c r="M77" s="42">
        <f t="shared" ca="1" si="25"/>
        <v>38.075334192213788</v>
      </c>
      <c r="N77" s="42">
        <f t="shared" ca="1" si="25"/>
        <v>46.354446500552186</v>
      </c>
      <c r="O77" s="42">
        <f t="shared" ca="1" si="25"/>
        <v>204.84658090536993</v>
      </c>
      <c r="P77" s="42">
        <f t="shared" ca="1" si="25"/>
        <v>21.688721236168146</v>
      </c>
      <c r="Q77" s="42">
        <f t="shared" ca="1" si="25"/>
        <v>190.42069490284445</v>
      </c>
      <c r="R77" s="42">
        <f t="shared" ca="1" si="25"/>
        <v>0</v>
      </c>
      <c r="S77" s="42">
        <f t="shared" ca="1" si="25"/>
        <v>0</v>
      </c>
      <c r="T77" s="51">
        <f t="shared" ref="T77:T92" ca="1" si="29" xml:space="preserve"> SUM(H77:S77)</f>
        <v>510.26465625430347</v>
      </c>
      <c r="V77" s="42">
        <f t="shared" ca="1" si="26"/>
        <v>10.357065490860213</v>
      </c>
      <c r="W77" s="42">
        <f t="shared" ca="1" si="26"/>
        <v>0</v>
      </c>
      <c r="X77" s="42">
        <f t="shared" ca="1" si="26"/>
        <v>1.6206589575680288</v>
      </c>
      <c r="Y77" s="42">
        <f t="shared" ca="1" si="26"/>
        <v>3.3059525827813148</v>
      </c>
      <c r="Z77" s="42">
        <f t="shared" ca="1" si="26"/>
        <v>0.3132295271519363</v>
      </c>
      <c r="AA77" s="42">
        <f t="shared" ca="1" si="26"/>
        <v>37.100555538250426</v>
      </c>
      <c r="AB77" s="42">
        <f t="shared" ca="1" si="26"/>
        <v>50.002621023732132</v>
      </c>
      <c r="AC77" s="42">
        <f t="shared" ca="1" si="26"/>
        <v>214.27440641188113</v>
      </c>
      <c r="AD77" s="42">
        <f t="shared" ca="1" si="26"/>
        <v>22.813603801059827</v>
      </c>
      <c r="AE77" s="42">
        <f t="shared" ca="1" si="26"/>
        <v>189.43826064346553</v>
      </c>
      <c r="AF77" s="42">
        <f t="shared" ca="1" si="26"/>
        <v>0</v>
      </c>
      <c r="AG77" s="42">
        <f t="shared" ca="1" si="26"/>
        <v>0</v>
      </c>
      <c r="AH77" s="51">
        <f t="shared" ref="AH77:AH92" ca="1" si="30" xml:space="preserve"> SUM(V77:AG77)</f>
        <v>529.22635397675049</v>
      </c>
    </row>
    <row r="78" spans="4:34" ht="12" customHeight="1" x14ac:dyDescent="0.25">
      <c r="D78" s="62">
        <f t="shared" ref="D78:D92" si="31">D77+1</f>
        <v>66</v>
      </c>
      <c r="E78" s="63">
        <f t="shared" si="28"/>
        <v>16.5</v>
      </c>
      <c r="F78" s="43">
        <f t="shared" si="27"/>
        <v>86.5</v>
      </c>
      <c r="H78" s="42">
        <f t="shared" ca="1" si="25"/>
        <v>3.7841156129588867</v>
      </c>
      <c r="I78" s="42">
        <f t="shared" ca="1" si="25"/>
        <v>0</v>
      </c>
      <c r="J78" s="42">
        <f t="shared" ca="1" si="25"/>
        <v>1.3386556218860011</v>
      </c>
      <c r="K78" s="42">
        <f t="shared" ca="1" si="25"/>
        <v>2.7306991331906958</v>
      </c>
      <c r="L78" s="42">
        <f t="shared" ca="1" si="25"/>
        <v>0.25872591238556891</v>
      </c>
      <c r="M78" s="42">
        <f t="shared" ca="1" si="25"/>
        <v>35.41562538538858</v>
      </c>
      <c r="N78" s="42">
        <f t="shared" ca="1" si="25"/>
        <v>42.579942802442815</v>
      </c>
      <c r="O78" s="42">
        <f t="shared" ca="1" si="25"/>
        <v>187.62624989140522</v>
      </c>
      <c r="P78" s="42">
        <f t="shared" ca="1" si="25"/>
        <v>19.863026118349516</v>
      </c>
      <c r="Q78" s="42">
        <f t="shared" ca="1" si="25"/>
        <v>186.31801389749367</v>
      </c>
      <c r="R78" s="42">
        <f t="shared" ca="1" si="25"/>
        <v>0</v>
      </c>
      <c r="S78" s="42">
        <f t="shared" ca="1" si="25"/>
        <v>0</v>
      </c>
      <c r="T78" s="51">
        <f t="shared" ca="1" si="29"/>
        <v>479.91505437550097</v>
      </c>
      <c r="V78" s="42">
        <f t="shared" ca="1" si="26"/>
        <v>9.3091146874035804</v>
      </c>
      <c r="W78" s="42">
        <f t="shared" ca="1" si="26"/>
        <v>0</v>
      </c>
      <c r="X78" s="42">
        <f t="shared" ca="1" si="26"/>
        <v>1.5023945632183577</v>
      </c>
      <c r="Y78" s="42">
        <f t="shared" ca="1" si="26"/>
        <v>3.0647072065560388</v>
      </c>
      <c r="Z78" s="42">
        <f t="shared" ca="1" si="26"/>
        <v>0.29037221954377301</v>
      </c>
      <c r="AA78" s="42">
        <f t="shared" ca="1" si="26"/>
        <v>34.685380082290308</v>
      </c>
      <c r="AB78" s="42">
        <f t="shared" ca="1" si="26"/>
        <v>46.039175040518906</v>
      </c>
      <c r="AC78" s="42">
        <f t="shared" ca="1" si="26"/>
        <v>196.48938212384274</v>
      </c>
      <c r="AD78" s="42">
        <f t="shared" ca="1" si="26"/>
        <v>20.924530467980187</v>
      </c>
      <c r="AE78" s="42">
        <f t="shared" ca="1" si="26"/>
        <v>185.45923997097117</v>
      </c>
      <c r="AF78" s="42">
        <f t="shared" ca="1" si="26"/>
        <v>0</v>
      </c>
      <c r="AG78" s="42">
        <f t="shared" ca="1" si="26"/>
        <v>0</v>
      </c>
      <c r="AH78" s="51">
        <f t="shared" ca="1" si="30"/>
        <v>497.76429636232507</v>
      </c>
    </row>
    <row r="79" spans="4:34" ht="12" customHeight="1" x14ac:dyDescent="0.25">
      <c r="D79" s="62">
        <f t="shared" si="31"/>
        <v>67</v>
      </c>
      <c r="E79" s="63">
        <f t="shared" si="28"/>
        <v>16.75</v>
      </c>
      <c r="F79" s="43">
        <f t="shared" si="27"/>
        <v>86.75</v>
      </c>
      <c r="H79" s="42">
        <f t="shared" ca="1" si="25"/>
        <v>3.4012304221224916</v>
      </c>
      <c r="I79" s="42">
        <f t="shared" ca="1" si="25"/>
        <v>0</v>
      </c>
      <c r="J79" s="42">
        <f t="shared" ca="1" si="25"/>
        <v>1.2409698690829778</v>
      </c>
      <c r="K79" s="42">
        <f t="shared" ca="1" si="25"/>
        <v>2.5314317516900839</v>
      </c>
      <c r="L79" s="42">
        <f t="shared" ca="1" si="25"/>
        <v>0.23984589940252432</v>
      </c>
      <c r="M79" s="42">
        <f t="shared" ca="1" si="25"/>
        <v>32.937986815699418</v>
      </c>
      <c r="N79" s="42">
        <f t="shared" ca="1" si="25"/>
        <v>39.133742638134912</v>
      </c>
      <c r="O79" s="42">
        <f t="shared" ca="1" si="25"/>
        <v>171.99935209795797</v>
      </c>
      <c r="P79" s="42">
        <f t="shared" ca="1" si="25"/>
        <v>18.205141768901793</v>
      </c>
      <c r="Q79" s="42">
        <f t="shared" ca="1" si="25"/>
        <v>182.19115411043839</v>
      </c>
      <c r="R79" s="42">
        <f t="shared" ca="1" si="25"/>
        <v>0</v>
      </c>
      <c r="S79" s="42">
        <f t="shared" ca="1" si="25"/>
        <v>0</v>
      </c>
      <c r="T79" s="51">
        <f t="shared" ca="1" si="29"/>
        <v>451.88085537343056</v>
      </c>
      <c r="V79" s="42">
        <f t="shared" ca="1" si="26"/>
        <v>8.3671978650427068</v>
      </c>
      <c r="W79" s="42">
        <f t="shared" ca="1" si="26"/>
        <v>0</v>
      </c>
      <c r="X79" s="42">
        <f t="shared" ca="1" si="26"/>
        <v>1.3927602842330096</v>
      </c>
      <c r="Y79" s="42">
        <f t="shared" ca="1" si="26"/>
        <v>2.8410662449086437</v>
      </c>
      <c r="Z79" s="42">
        <f t="shared" ca="1" si="26"/>
        <v>0.26918287973488692</v>
      </c>
      <c r="AA79" s="42">
        <f t="shared" ca="1" si="26"/>
        <v>32.41688544743436</v>
      </c>
      <c r="AB79" s="42">
        <f t="shared" ca="1" si="26"/>
        <v>42.407395338899924</v>
      </c>
      <c r="AC79" s="42">
        <f t="shared" ca="1" si="26"/>
        <v>180.32915631951269</v>
      </c>
      <c r="AD79" s="42">
        <f t="shared" ca="1" si="26"/>
        <v>19.205941905579511</v>
      </c>
      <c r="AE79" s="42">
        <f t="shared" ca="1" si="26"/>
        <v>181.44695676392726</v>
      </c>
      <c r="AF79" s="42">
        <f t="shared" ca="1" si="26"/>
        <v>0</v>
      </c>
      <c r="AG79" s="42">
        <f t="shared" ca="1" si="26"/>
        <v>0</v>
      </c>
      <c r="AH79" s="51">
        <f t="shared" ca="1" si="30"/>
        <v>468.67654304927294</v>
      </c>
    </row>
    <row r="80" spans="4:34" ht="12" customHeight="1" x14ac:dyDescent="0.25">
      <c r="D80" s="62">
        <f t="shared" si="31"/>
        <v>68</v>
      </c>
      <c r="E80" s="63">
        <f t="shared" si="28"/>
        <v>17</v>
      </c>
      <c r="F80" s="43">
        <f t="shared" si="27"/>
        <v>87</v>
      </c>
      <c r="H80" s="42">
        <f t="shared" ca="1" si="25"/>
        <v>3.0570864021054507</v>
      </c>
      <c r="I80" s="42">
        <f t="shared" ca="1" si="25"/>
        <v>0</v>
      </c>
      <c r="J80" s="42">
        <f t="shared" ca="1" si="25"/>
        <v>1.1504125412486486</v>
      </c>
      <c r="K80" s="42">
        <f t="shared" ca="1" si="25"/>
        <v>2.346705513979392</v>
      </c>
      <c r="L80" s="42">
        <f t="shared" ca="1" si="25"/>
        <v>0.22234361809575584</v>
      </c>
      <c r="M80" s="42">
        <f t="shared" ca="1" si="25"/>
        <v>30.630348153060769</v>
      </c>
      <c r="N80" s="42">
        <f t="shared" ca="1" si="25"/>
        <v>35.98475673167183</v>
      </c>
      <c r="O80" s="42">
        <f t="shared" ca="1" si="25"/>
        <v>157.80940108780078</v>
      </c>
      <c r="P80" s="42">
        <f t="shared" ca="1" si="25"/>
        <v>16.698626355339201</v>
      </c>
      <c r="Q80" s="42">
        <f t="shared" ca="1" si="25"/>
        <v>178.05477137432479</v>
      </c>
      <c r="R80" s="42">
        <f t="shared" ca="1" si="25"/>
        <v>0</v>
      </c>
      <c r="S80" s="42">
        <f t="shared" ca="1" si="25"/>
        <v>0</v>
      </c>
      <c r="T80" s="51">
        <f t="shared" ca="1" si="29"/>
        <v>425.95445177762662</v>
      </c>
      <c r="V80" s="42">
        <f t="shared" ca="1" si="26"/>
        <v>7.5205862709488036</v>
      </c>
      <c r="W80" s="42">
        <f t="shared" ca="1" si="26"/>
        <v>0</v>
      </c>
      <c r="X80" s="42">
        <f t="shared" ca="1" si="26"/>
        <v>1.2911263503268442</v>
      </c>
      <c r="Y80" s="42">
        <f t="shared" ca="1" si="26"/>
        <v>2.6337450409463288</v>
      </c>
      <c r="Z80" s="42">
        <f t="shared" ca="1" si="26"/>
        <v>0.24953979016853498</v>
      </c>
      <c r="AA80" s="42">
        <f t="shared" ca="1" si="26"/>
        <v>30.287359026550593</v>
      </c>
      <c r="AB80" s="42">
        <f t="shared" ca="1" si="26"/>
        <v>39.077353632503488</v>
      </c>
      <c r="AC80" s="42">
        <f t="shared" ca="1" si="26"/>
        <v>165.63552884465975</v>
      </c>
      <c r="AD80" s="42">
        <f t="shared" ca="1" si="26"/>
        <v>17.641400357883711</v>
      </c>
      <c r="AE80" s="42">
        <f t="shared" ca="1" si="26"/>
        <v>177.41656990624611</v>
      </c>
      <c r="AF80" s="42">
        <f t="shared" ca="1" si="26"/>
        <v>0</v>
      </c>
      <c r="AG80" s="42">
        <f t="shared" ca="1" si="26"/>
        <v>0</v>
      </c>
      <c r="AH80" s="51">
        <f t="shared" ca="1" si="30"/>
        <v>441.75320922023411</v>
      </c>
    </row>
    <row r="81" spans="4:34" ht="12" customHeight="1" x14ac:dyDescent="0.25">
      <c r="D81" s="62">
        <f t="shared" si="31"/>
        <v>69</v>
      </c>
      <c r="E81" s="63">
        <f t="shared" si="28"/>
        <v>17.25</v>
      </c>
      <c r="F81" s="43">
        <f t="shared" si="27"/>
        <v>87.25</v>
      </c>
      <c r="H81" s="42">
        <f t="shared" ca="1" si="25"/>
        <v>2.7477636355216251</v>
      </c>
      <c r="I81" s="42">
        <f t="shared" ca="1" si="25"/>
        <v>0</v>
      </c>
      <c r="J81" s="42">
        <f t="shared" ca="1" si="25"/>
        <v>1.0664634557516177</v>
      </c>
      <c r="K81" s="42">
        <f t="shared" ca="1" si="25"/>
        <v>2.1754593090174876</v>
      </c>
      <c r="L81" s="42">
        <f t="shared" ca="1" si="25"/>
        <v>0.2061185312369318</v>
      </c>
      <c r="M81" s="42">
        <f t="shared" ca="1" si="25"/>
        <v>28.481396846431853</v>
      </c>
      <c r="N81" s="42">
        <f t="shared" ca="1" si="25"/>
        <v>33.105126622972477</v>
      </c>
      <c r="O81" s="42">
        <f t="shared" ca="1" si="25"/>
        <v>144.91585353278586</v>
      </c>
      <c r="P81" s="42">
        <f t="shared" ca="1" si="25"/>
        <v>15.328726467562264</v>
      </c>
      <c r="Q81" s="42">
        <f t="shared" ca="1" si="25"/>
        <v>173.92170486776507</v>
      </c>
      <c r="R81" s="42">
        <f t="shared" ca="1" si="25"/>
        <v>0</v>
      </c>
      <c r="S81" s="42">
        <f t="shared" ca="1" si="25"/>
        <v>0</v>
      </c>
      <c r="T81" s="51">
        <f t="shared" ca="1" si="29"/>
        <v>401.94861326904515</v>
      </c>
      <c r="V81" s="42">
        <f t="shared" ca="1" si="26"/>
        <v>6.7596367112438243</v>
      </c>
      <c r="W81" s="42">
        <f t="shared" ca="1" si="26"/>
        <v>0</v>
      </c>
      <c r="X81" s="42">
        <f t="shared" ca="1" si="26"/>
        <v>1.1969089522329277</v>
      </c>
      <c r="Y81" s="42">
        <f t="shared" ca="1" si="26"/>
        <v>2.4415526928171922</v>
      </c>
      <c r="Z81" s="42">
        <f t="shared" ca="1" si="26"/>
        <v>0.23133011630924963</v>
      </c>
      <c r="AA81" s="42">
        <f t="shared" ca="1" si="26"/>
        <v>28.289348371161513</v>
      </c>
      <c r="AB81" s="42">
        <f t="shared" ca="1" si="26"/>
        <v>36.022078001612542</v>
      </c>
      <c r="AC81" s="42">
        <f t="shared" ca="1" si="26"/>
        <v>152.26637891548026</v>
      </c>
      <c r="AD81" s="42">
        <f t="shared" ca="1" si="26"/>
        <v>16.216136884092247</v>
      </c>
      <c r="AE81" s="42">
        <f t="shared" ca="1" si="26"/>
        <v>173.38140637894423</v>
      </c>
      <c r="AF81" s="42">
        <f t="shared" ca="1" si="26"/>
        <v>0</v>
      </c>
      <c r="AG81" s="42">
        <f t="shared" ca="1" si="26"/>
        <v>0</v>
      </c>
      <c r="AH81" s="51">
        <f t="shared" ca="1" si="30"/>
        <v>416.80477702389396</v>
      </c>
    </row>
    <row r="82" spans="4:34" ht="12" customHeight="1" x14ac:dyDescent="0.25">
      <c r="D82" s="62">
        <f t="shared" si="31"/>
        <v>70</v>
      </c>
      <c r="E82" s="63">
        <f t="shared" si="28"/>
        <v>17.5</v>
      </c>
      <c r="F82" s="43">
        <f t="shared" si="27"/>
        <v>87.5</v>
      </c>
      <c r="H82" s="42">
        <f t="shared" ref="H82:S92" ca="1" si="32">PRODUCT(AVERAGE(OFFSET(E.Trace.Markov.Root, $D82, (H$2-1)*E.Trace.Markov.NumCols+H$3-1, CHOOSE(swtchHalfCycle, 2, 1))) + N("halfcycle-adjusted state occupancy"),
H$6 + N("state cost"))</f>
        <v>2.4697388308996122</v>
      </c>
      <c r="I82" s="42">
        <f t="shared" ca="1" si="32"/>
        <v>0</v>
      </c>
      <c r="J82" s="42">
        <f t="shared" ca="1" si="32"/>
        <v>0.98864038914172614</v>
      </c>
      <c r="K82" s="42">
        <f t="shared" ca="1" si="32"/>
        <v>2.0167094580031772</v>
      </c>
      <c r="L82" s="42">
        <f t="shared" ca="1" si="32"/>
        <v>0.19107743808041139</v>
      </c>
      <c r="M82" s="42">
        <f t="shared" ca="1" si="32"/>
        <v>26.480535278294731</v>
      </c>
      <c r="N82" s="42">
        <f t="shared" ca="1" si="32"/>
        <v>30.469859111238428</v>
      </c>
      <c r="O82" s="42">
        <f t="shared" ca="1" si="32"/>
        <v>133.19245234730946</v>
      </c>
      <c r="P82" s="42">
        <f t="shared" ca="1" si="32"/>
        <v>14.08219796364793</v>
      </c>
      <c r="Q82" s="42">
        <f t="shared" ca="1" si="32"/>
        <v>169.80317332456696</v>
      </c>
      <c r="R82" s="42">
        <f t="shared" ca="1" si="32"/>
        <v>0</v>
      </c>
      <c r="S82" s="42">
        <f t="shared" ca="1" si="32"/>
        <v>0</v>
      </c>
      <c r="T82" s="51">
        <f t="shared" ca="1" si="29"/>
        <v>379.69438414118247</v>
      </c>
      <c r="V82" s="42">
        <f t="shared" ref="V82:AG92" ca="1" si="33">PRODUCT(AVERAGE(OFFSET(E.Trace.Markov.Root, $D82, (V$2-1)*E.Trace.Markov.NumCols+V$3-1, CHOOSE(swtchHalfCycle, 2, 1))) + N("halfcycle-adjusted state occupancy"),
V$6 + N("state cost"))</f>
        <v>6.0756817117438109</v>
      </c>
      <c r="W82" s="42">
        <f t="shared" ca="1" si="33"/>
        <v>0</v>
      </c>
      <c r="X82" s="42">
        <f t="shared" ca="1" si="33"/>
        <v>1.109566882879083</v>
      </c>
      <c r="Y82" s="42">
        <f t="shared" ca="1" si="33"/>
        <v>2.2633852021076688</v>
      </c>
      <c r="Z82" s="42">
        <f t="shared" ca="1" si="33"/>
        <v>0.21444925747314378</v>
      </c>
      <c r="AA82" s="42">
        <f t="shared" ca="1" si="33"/>
        <v>26.415672833987699</v>
      </c>
      <c r="AB82" s="42">
        <f t="shared" ca="1" si="33"/>
        <v>33.217232959684566</v>
      </c>
      <c r="AC82" s="42">
        <f t="shared" ca="1" si="33"/>
        <v>140.09398614534274</v>
      </c>
      <c r="AD82" s="42">
        <f t="shared" ca="1" si="33"/>
        <v>14.916875331194081</v>
      </c>
      <c r="AE82" s="42">
        <f t="shared" ca="1" si="33"/>
        <v>169.35315631697566</v>
      </c>
      <c r="AF82" s="42">
        <f t="shared" ca="1" si="33"/>
        <v>0</v>
      </c>
      <c r="AG82" s="42">
        <f t="shared" ca="1" si="33"/>
        <v>0</v>
      </c>
      <c r="AH82" s="51">
        <f t="shared" ca="1" si="30"/>
        <v>393.66000664138846</v>
      </c>
    </row>
    <row r="83" spans="4:34" ht="12" customHeight="1" x14ac:dyDescent="0.25">
      <c r="D83" s="62">
        <f t="shared" si="31"/>
        <v>71</v>
      </c>
      <c r="E83" s="63">
        <f t="shared" si="28"/>
        <v>17.75</v>
      </c>
      <c r="F83" s="43">
        <f t="shared" si="27"/>
        <v>87.75</v>
      </c>
      <c r="H83" s="42">
        <f t="shared" ca="1" si="32"/>
        <v>2.2198451911950778</v>
      </c>
      <c r="I83" s="42">
        <f t="shared" ca="1" si="32"/>
        <v>0</v>
      </c>
      <c r="J83" s="42">
        <f t="shared" ca="1" si="32"/>
        <v>0.91649630727707521</v>
      </c>
      <c r="K83" s="42">
        <f t="shared" ca="1" si="32"/>
        <v>1.869544064161939</v>
      </c>
      <c r="L83" s="42">
        <f t="shared" ca="1" si="32"/>
        <v>0.17713393902174121</v>
      </c>
      <c r="M83" s="42">
        <f t="shared" ca="1" si="32"/>
        <v>24.617839782175079</v>
      </c>
      <c r="N83" s="42">
        <f t="shared" ca="1" si="32"/>
        <v>28.056504880796293</v>
      </c>
      <c r="O83" s="42">
        <f t="shared" ca="1" si="32"/>
        <v>122.52574295262885</v>
      </c>
      <c r="P83" s="42">
        <f t="shared" ca="1" si="32"/>
        <v>12.947146222853609</v>
      </c>
      <c r="Q83" s="42">
        <f t="shared" ca="1" si="32"/>
        <v>165.70895031684617</v>
      </c>
      <c r="R83" s="42">
        <f t="shared" ca="1" si="32"/>
        <v>0</v>
      </c>
      <c r="S83" s="42">
        <f t="shared" ca="1" si="32"/>
        <v>0</v>
      </c>
      <c r="T83" s="51">
        <f t="shared" ca="1" si="29"/>
        <v>359.03920365695581</v>
      </c>
      <c r="V83" s="42">
        <f t="shared" ca="1" si="33"/>
        <v>5.4609307924812667</v>
      </c>
      <c r="W83" s="42">
        <f t="shared" ca="1" si="33"/>
        <v>0</v>
      </c>
      <c r="X83" s="42">
        <f t="shared" ca="1" si="33"/>
        <v>1.0285984287152519</v>
      </c>
      <c r="Y83" s="42">
        <f t="shared" ca="1" si="33"/>
        <v>2.0982191325180457</v>
      </c>
      <c r="Z83" s="42">
        <f t="shared" ca="1" si="33"/>
        <v>0.19880024600559976</v>
      </c>
      <c r="AA83" s="42">
        <f t="shared" ca="1" si="33"/>
        <v>24.659431258926183</v>
      </c>
      <c r="AB83" s="42">
        <f t="shared" ca="1" si="33"/>
        <v>30.640836919656572</v>
      </c>
      <c r="AC83" s="42">
        <f t="shared" ca="1" si="33"/>
        <v>129.00352923979557</v>
      </c>
      <c r="AD83" s="42">
        <f t="shared" ca="1" si="33"/>
        <v>13.731675367420607</v>
      </c>
      <c r="AE83" s="42">
        <f t="shared" ca="1" si="33"/>
        <v>165.34204743477676</v>
      </c>
      <c r="AF83" s="42">
        <f t="shared" ca="1" si="33"/>
        <v>0</v>
      </c>
      <c r="AG83" s="42">
        <f t="shared" ca="1" si="33"/>
        <v>0</v>
      </c>
      <c r="AH83" s="51">
        <f t="shared" ca="1" si="30"/>
        <v>372.16406882029588</v>
      </c>
    </row>
    <row r="84" spans="4:34" ht="12" customHeight="1" x14ac:dyDescent="0.25">
      <c r="D84" s="62">
        <f t="shared" si="31"/>
        <v>72</v>
      </c>
      <c r="E84" s="63">
        <f t="shared" si="28"/>
        <v>18</v>
      </c>
      <c r="F84" s="43">
        <f t="shared" si="27"/>
        <v>88</v>
      </c>
      <c r="H84" s="42">
        <f t="shared" ca="1" si="32"/>
        <v>1.995236342895808</v>
      </c>
      <c r="I84" s="42">
        <f t="shared" ca="1" si="32"/>
        <v>0</v>
      </c>
      <c r="J84" s="42">
        <f t="shared" ca="1" si="32"/>
        <v>0.84961679745020213</v>
      </c>
      <c r="K84" s="42">
        <f t="shared" ca="1" si="32"/>
        <v>1.733117774587059</v>
      </c>
      <c r="L84" s="42">
        <f t="shared" ca="1" si="32"/>
        <v>0.1642079392971228</v>
      </c>
      <c r="M84" s="42">
        <f t="shared" ca="1" si="32"/>
        <v>22.884021518815079</v>
      </c>
      <c r="N84" s="42">
        <f t="shared" ca="1" si="32"/>
        <v>25.844875726847768</v>
      </c>
      <c r="O84" s="42">
        <f t="shared" ca="1" si="32"/>
        <v>112.81374473065176</v>
      </c>
      <c r="P84" s="42">
        <f t="shared" ca="1" si="32"/>
        <v>11.912883673114605</v>
      </c>
      <c r="Q84" s="42">
        <f t="shared" ca="1" si="32"/>
        <v>161.64752086869925</v>
      </c>
      <c r="R84" s="42">
        <f t="shared" ca="1" si="32"/>
        <v>0</v>
      </c>
      <c r="S84" s="42">
        <f t="shared" ca="1" si="32"/>
        <v>0</v>
      </c>
      <c r="T84" s="51">
        <f t="shared" ca="1" si="29"/>
        <v>339.84522537235864</v>
      </c>
      <c r="V84" s="42">
        <f t="shared" ca="1" si="33"/>
        <v>4.9083817314898122</v>
      </c>
      <c r="W84" s="42">
        <f t="shared" ca="1" si="33"/>
        <v>0</v>
      </c>
      <c r="X84" s="42">
        <f t="shared" ca="1" si="33"/>
        <v>0.95353848774773142</v>
      </c>
      <c r="Y84" s="42">
        <f t="shared" ca="1" si="33"/>
        <v>1.9451057309931776</v>
      </c>
      <c r="Z84" s="42">
        <f t="shared" ca="1" si="33"/>
        <v>0.18429319027526309</v>
      </c>
      <c r="AA84" s="42">
        <f t="shared" ca="1" si="33"/>
        <v>23.014006325029438</v>
      </c>
      <c r="AB84" s="42">
        <f t="shared" ca="1" si="33"/>
        <v>28.273012438747287</v>
      </c>
      <c r="AC84" s="42">
        <f t="shared" ca="1" si="33"/>
        <v>118.89174353802781</v>
      </c>
      <c r="AD84" s="42">
        <f t="shared" ca="1" si="33"/>
        <v>12.649792470591047</v>
      </c>
      <c r="AE84" s="42">
        <f t="shared" ca="1" si="33"/>
        <v>161.35700103936207</v>
      </c>
      <c r="AF84" s="42">
        <f t="shared" ca="1" si="33"/>
        <v>0</v>
      </c>
      <c r="AG84" s="42">
        <f t="shared" ca="1" si="33"/>
        <v>0</v>
      </c>
      <c r="AH84" s="51">
        <f t="shared" ca="1" si="30"/>
        <v>352.17687495226363</v>
      </c>
    </row>
    <row r="85" spans="4:34" ht="12" customHeight="1" x14ac:dyDescent="0.25">
      <c r="D85" s="62">
        <f t="shared" si="31"/>
        <v>73</v>
      </c>
      <c r="E85" s="63">
        <f t="shared" si="28"/>
        <v>18.25</v>
      </c>
      <c r="F85" s="43">
        <f t="shared" si="27"/>
        <v>88.25</v>
      </c>
      <c r="H85" s="42">
        <f t="shared" ca="1" si="32"/>
        <v>1.7933539148597299</v>
      </c>
      <c r="I85" s="42">
        <f t="shared" ca="1" si="32"/>
        <v>0</v>
      </c>
      <c r="J85" s="42">
        <f t="shared" ca="1" si="32"/>
        <v>0.78761768790336062</v>
      </c>
      <c r="K85" s="42">
        <f t="shared" ca="1" si="32"/>
        <v>1.6066469243323604</v>
      </c>
      <c r="L85" s="42">
        <f t="shared" ca="1" si="32"/>
        <v>0.15222518890012382</v>
      </c>
      <c r="M85" s="42">
        <f t="shared" ca="1" si="32"/>
        <v>21.270389189796536</v>
      </c>
      <c r="N85" s="42">
        <f t="shared" ca="1" si="32"/>
        <v>23.816795520701454</v>
      </c>
      <c r="O85" s="42">
        <f t="shared" ca="1" si="32"/>
        <v>103.96476154159302</v>
      </c>
      <c r="P85" s="42">
        <f t="shared" ca="1" si="32"/>
        <v>10.969802705248712</v>
      </c>
      <c r="Q85" s="42">
        <f t="shared" ca="1" si="32"/>
        <v>157.62622141045401</v>
      </c>
      <c r="R85" s="42">
        <f t="shared" ca="1" si="32"/>
        <v>0</v>
      </c>
      <c r="S85" s="42">
        <f t="shared" ca="1" si="32"/>
        <v>0</v>
      </c>
      <c r="T85" s="51">
        <f t="shared" ca="1" si="29"/>
        <v>321.98781408378932</v>
      </c>
      <c r="V85" s="42">
        <f t="shared" ca="1" si="33"/>
        <v>4.4117408071154527</v>
      </c>
      <c r="W85" s="42">
        <f t="shared" ca="1" si="33"/>
        <v>0</v>
      </c>
      <c r="X85" s="42">
        <f t="shared" ca="1" si="33"/>
        <v>0.88395589788319162</v>
      </c>
      <c r="Y85" s="42">
        <f t="shared" ca="1" si="33"/>
        <v>1.8031654778602899</v>
      </c>
      <c r="Z85" s="42">
        <f t="shared" ca="1" si="33"/>
        <v>0.17084475831522686</v>
      </c>
      <c r="AA85" s="42">
        <f t="shared" ca="1" si="33"/>
        <v>21.473066070311084</v>
      </c>
      <c r="AB85" s="42">
        <f t="shared" ca="1" si="33"/>
        <v>26.095765209100961</v>
      </c>
      <c r="AC85" s="42">
        <f t="shared" ca="1" si="33"/>
        <v>109.66572055183158</v>
      </c>
      <c r="AD85" s="42">
        <f t="shared" ca="1" si="33"/>
        <v>11.661553011064498</v>
      </c>
      <c r="AE85" s="42">
        <f t="shared" ca="1" si="33"/>
        <v>157.4057716065395</v>
      </c>
      <c r="AF85" s="42">
        <f t="shared" ca="1" si="33"/>
        <v>0</v>
      </c>
      <c r="AG85" s="42">
        <f t="shared" ca="1" si="33"/>
        <v>0</v>
      </c>
      <c r="AH85" s="51">
        <f t="shared" ca="1" si="30"/>
        <v>333.57158339002183</v>
      </c>
    </row>
    <row r="86" spans="4:34" ht="12" customHeight="1" x14ac:dyDescent="0.25">
      <c r="D86" s="62">
        <f t="shared" si="31"/>
        <v>74</v>
      </c>
      <c r="E86" s="63">
        <f t="shared" si="28"/>
        <v>18.5</v>
      </c>
      <c r="F86" s="43">
        <f t="shared" si="27"/>
        <v>88.5</v>
      </c>
      <c r="H86" s="42">
        <f t="shared" ca="1" si="32"/>
        <v>1.611898397597836</v>
      </c>
      <c r="I86" s="42">
        <f t="shared" ca="1" si="32"/>
        <v>0</v>
      </c>
      <c r="J86" s="42">
        <f t="shared" ca="1" si="32"/>
        <v>0.73014284105487592</v>
      </c>
      <c r="K86" s="42">
        <f t="shared" ca="1" si="32"/>
        <v>1.4894050348549852</v>
      </c>
      <c r="L86" s="42">
        <f t="shared" ca="1" si="32"/>
        <v>0.14111685607204014</v>
      </c>
      <c r="M86" s="42">
        <f t="shared" ca="1" si="32"/>
        <v>19.76881355748937</v>
      </c>
      <c r="N86" s="42">
        <f t="shared" ca="1" si="32"/>
        <v>21.955880684539721</v>
      </c>
      <c r="O86" s="42">
        <f t="shared" ca="1" si="32"/>
        <v>95.896316819668442</v>
      </c>
      <c r="P86" s="42">
        <f t="shared" ca="1" si="32"/>
        <v>10.109262292418778</v>
      </c>
      <c r="Q86" s="42">
        <f t="shared" ca="1" si="32"/>
        <v>153.65136486479111</v>
      </c>
      <c r="R86" s="42">
        <f t="shared" ca="1" si="32"/>
        <v>0</v>
      </c>
      <c r="S86" s="42">
        <f t="shared" ca="1" si="32"/>
        <v>0</v>
      </c>
      <c r="T86" s="51">
        <f t="shared" ca="1" si="29"/>
        <v>305.35420134848715</v>
      </c>
      <c r="V86" s="42">
        <f t="shared" ca="1" si="33"/>
        <v>3.9653511103872665</v>
      </c>
      <c r="W86" s="42">
        <f t="shared" ca="1" si="33"/>
        <v>0</v>
      </c>
      <c r="X86" s="42">
        <f t="shared" ca="1" si="33"/>
        <v>0.81945096023140407</v>
      </c>
      <c r="Y86" s="42">
        <f t="shared" ca="1" si="33"/>
        <v>1.6715830346594824</v>
      </c>
      <c r="Z86" s="42">
        <f t="shared" ca="1" si="33"/>
        <v>0.15837769914445962</v>
      </c>
      <c r="AA86" s="42">
        <f t="shared" ca="1" si="33"/>
        <v>20.030563054455548</v>
      </c>
      <c r="AB86" s="42">
        <f t="shared" ca="1" si="33"/>
        <v>24.092788277341395</v>
      </c>
      <c r="AC86" s="42">
        <f t="shared" ca="1" si="33"/>
        <v>101.2418344236756</v>
      </c>
      <c r="AD86" s="42">
        <f t="shared" ca="1" si="33"/>
        <v>10.75824277414258</v>
      </c>
      <c r="AE86" s="42">
        <f t="shared" ca="1" si="33"/>
        <v>153.49507168043641</v>
      </c>
      <c r="AF86" s="42">
        <f t="shared" ca="1" si="33"/>
        <v>0</v>
      </c>
      <c r="AG86" s="42">
        <f t="shared" ca="1" si="33"/>
        <v>0</v>
      </c>
      <c r="AH86" s="51">
        <f t="shared" ca="1" si="30"/>
        <v>316.23326301447412</v>
      </c>
    </row>
    <row r="87" spans="4:34" ht="12" customHeight="1" x14ac:dyDescent="0.25">
      <c r="D87" s="62">
        <f t="shared" si="31"/>
        <v>75</v>
      </c>
      <c r="E87" s="63">
        <f t="shared" si="28"/>
        <v>18.75</v>
      </c>
      <c r="F87" s="43">
        <f t="shared" si="27"/>
        <v>88.75</v>
      </c>
      <c r="H87" s="42">
        <f t="shared" ca="1" si="32"/>
        <v>1.4488029510793443</v>
      </c>
      <c r="I87" s="42">
        <f t="shared" ca="1" si="32"/>
        <v>0</v>
      </c>
      <c r="J87" s="42">
        <f t="shared" ca="1" si="32"/>
        <v>0.67686210776045608</v>
      </c>
      <c r="K87" s="42">
        <f t="shared" ca="1" si="32"/>
        <v>1.3807186409504393</v>
      </c>
      <c r="L87" s="42">
        <f t="shared" ca="1" si="32"/>
        <v>0.13081913191595779</v>
      </c>
      <c r="M87" s="42">
        <f t="shared" ca="1" si="32"/>
        <v>18.371693732050968</v>
      </c>
      <c r="N87" s="42">
        <f t="shared" ca="1" si="32"/>
        <v>20.247346492938515</v>
      </c>
      <c r="O87" s="42">
        <f t="shared" ca="1" si="32"/>
        <v>88.534200240940422</v>
      </c>
      <c r="P87" s="42">
        <f t="shared" ca="1" si="32"/>
        <v>9.323486817637205</v>
      </c>
      <c r="Q87" s="42">
        <f t="shared" ca="1" si="32"/>
        <v>149.72835246118674</v>
      </c>
      <c r="R87" s="42">
        <f t="shared" ca="1" si="32"/>
        <v>0</v>
      </c>
      <c r="S87" s="42">
        <f t="shared" ca="1" si="32"/>
        <v>0</v>
      </c>
      <c r="T87" s="51">
        <f t="shared" ca="1" si="29"/>
        <v>289.84228257646009</v>
      </c>
      <c r="V87" s="42">
        <f t="shared" ca="1" si="33"/>
        <v>3.5641281109010636</v>
      </c>
      <c r="W87" s="42">
        <f t="shared" ca="1" si="33"/>
        <v>0</v>
      </c>
      <c r="X87" s="42">
        <f t="shared" ca="1" si="33"/>
        <v>0.75965314314007104</v>
      </c>
      <c r="Y87" s="42">
        <f t="shared" ca="1" si="33"/>
        <v>1.5496025606463502</v>
      </c>
      <c r="Z87" s="42">
        <f t="shared" ca="1" si="33"/>
        <v>0.14682039901985894</v>
      </c>
      <c r="AA87" s="42">
        <f t="shared" ca="1" si="33"/>
        <v>18.680731560377676</v>
      </c>
      <c r="AB87" s="42">
        <f t="shared" ca="1" si="33"/>
        <v>22.249288424208387</v>
      </c>
      <c r="AC87" s="42">
        <f t="shared" ca="1" si="33"/>
        <v>93.54478181418132</v>
      </c>
      <c r="AD87" s="42">
        <f t="shared" ca="1" si="33"/>
        <v>9.9320074496413557</v>
      </c>
      <c r="AE87" s="42">
        <f t="shared" ca="1" si="33"/>
        <v>149.63068366482682</v>
      </c>
      <c r="AF87" s="42">
        <f t="shared" ca="1" si="33"/>
        <v>0</v>
      </c>
      <c r="AG87" s="42">
        <f t="shared" ca="1" si="33"/>
        <v>0</v>
      </c>
      <c r="AH87" s="51">
        <f t="shared" ca="1" si="30"/>
        <v>300.05769712694291</v>
      </c>
    </row>
    <row r="88" spans="4:34" ht="12" customHeight="1" x14ac:dyDescent="0.25">
      <c r="D88" s="62">
        <f t="shared" si="31"/>
        <v>76</v>
      </c>
      <c r="E88" s="63">
        <f t="shared" si="28"/>
        <v>19</v>
      </c>
      <c r="F88" s="43">
        <f t="shared" si="27"/>
        <v>89</v>
      </c>
      <c r="H88" s="42">
        <f t="shared" ca="1" si="32"/>
        <v>1.3022098627210861</v>
      </c>
      <c r="I88" s="42">
        <f t="shared" ca="1" si="32"/>
        <v>0</v>
      </c>
      <c r="J88" s="42">
        <f t="shared" ca="1" si="32"/>
        <v>0.62746943085824802</v>
      </c>
      <c r="K88" s="42">
        <f t="shared" ca="1" si="32"/>
        <v>1.2799634222088163</v>
      </c>
      <c r="L88" s="42">
        <f t="shared" ca="1" si="32"/>
        <v>0.12127286386332367</v>
      </c>
      <c r="M88" s="42">
        <f t="shared" ca="1" si="32"/>
        <v>17.071925179704696</v>
      </c>
      <c r="N88" s="42">
        <f t="shared" ca="1" si="32"/>
        <v>18.677835993423649</v>
      </c>
      <c r="O88" s="42">
        <f t="shared" ca="1" si="32"/>
        <v>81.811614291922808</v>
      </c>
      <c r="P88" s="42">
        <f t="shared" ca="1" si="32"/>
        <v>8.6054757762459904</v>
      </c>
      <c r="Q88" s="42">
        <f t="shared" ca="1" si="32"/>
        <v>145.86177370158353</v>
      </c>
      <c r="R88" s="42">
        <f t="shared" ca="1" si="32"/>
        <v>0</v>
      </c>
      <c r="S88" s="42">
        <f t="shared" ca="1" si="32"/>
        <v>0</v>
      </c>
      <c r="T88" s="51">
        <f t="shared" ca="1" si="29"/>
        <v>275.35954052253214</v>
      </c>
      <c r="V88" s="42">
        <f t="shared" ca="1" si="33"/>
        <v>3.2035017422894922</v>
      </c>
      <c r="W88" s="42">
        <f t="shared" ca="1" si="33"/>
        <v>0</v>
      </c>
      <c r="X88" s="42">
        <f t="shared" ca="1" si="33"/>
        <v>0.70421895377318267</v>
      </c>
      <c r="Y88" s="42">
        <f t="shared" ca="1" si="33"/>
        <v>1.4365233710635779</v>
      </c>
      <c r="Z88" s="42">
        <f t="shared" ca="1" si="33"/>
        <v>0.13610647006993518</v>
      </c>
      <c r="AA88" s="42">
        <f t="shared" ca="1" si="33"/>
        <v>17.418083182359059</v>
      </c>
      <c r="AB88" s="42">
        <f t="shared" ca="1" si="33"/>
        <v>20.551832025026808</v>
      </c>
      <c r="AC88" s="42">
        <f t="shared" ca="1" si="33"/>
        <v>86.506723154013798</v>
      </c>
      <c r="AD88" s="42">
        <f t="shared" ca="1" si="33"/>
        <v>9.1757637790163376</v>
      </c>
      <c r="AE88" s="42">
        <f t="shared" ca="1" si="33"/>
        <v>145.81755990414081</v>
      </c>
      <c r="AF88" s="42">
        <f t="shared" ca="1" si="33"/>
        <v>0</v>
      </c>
      <c r="AG88" s="42">
        <f t="shared" ca="1" si="33"/>
        <v>0</v>
      </c>
      <c r="AH88" s="51">
        <f t="shared" ca="1" si="30"/>
        <v>284.950312581753</v>
      </c>
    </row>
    <row r="89" spans="4:34" ht="12" customHeight="1" x14ac:dyDescent="0.25">
      <c r="D89" s="62">
        <f t="shared" si="31"/>
        <v>77</v>
      </c>
      <c r="E89" s="63">
        <f t="shared" si="28"/>
        <v>19.25</v>
      </c>
      <c r="F89" s="43">
        <f t="shared" si="27"/>
        <v>89.25</v>
      </c>
      <c r="H89" s="42">
        <f t="shared" ca="1" si="32"/>
        <v>1.1704493874096211</v>
      </c>
      <c r="I89" s="42">
        <f t="shared" ca="1" si="32"/>
        <v>0</v>
      </c>
      <c r="J89" s="42">
        <f t="shared" ca="1" si="32"/>
        <v>0.58168108710395106</v>
      </c>
      <c r="K89" s="42">
        <f t="shared" ca="1" si="32"/>
        <v>1.1865606167703733</v>
      </c>
      <c r="L89" s="42">
        <f t="shared" ca="1" si="32"/>
        <v>0.11242321588757012</v>
      </c>
      <c r="M89" s="42">
        <f t="shared" ca="1" si="32"/>
        <v>15.862869401450283</v>
      </c>
      <c r="N89" s="42">
        <f t="shared" ca="1" si="32"/>
        <v>17.23526875091143</v>
      </c>
      <c r="O89" s="42">
        <f t="shared" ca="1" si="32"/>
        <v>75.66841026989961</v>
      </c>
      <c r="P89" s="42">
        <f t="shared" ca="1" si="32"/>
        <v>7.9489231665404025</v>
      </c>
      <c r="Q89" s="42">
        <f t="shared" ca="1" si="32"/>
        <v>142.05549574563699</v>
      </c>
      <c r="R89" s="42">
        <f t="shared" ca="1" si="32"/>
        <v>0</v>
      </c>
      <c r="S89" s="42">
        <f t="shared" ca="1" si="32"/>
        <v>0</v>
      </c>
      <c r="T89" s="51">
        <f t="shared" ca="1" si="29"/>
        <v>261.82208164161023</v>
      </c>
      <c r="V89" s="42">
        <f t="shared" ca="1" si="33"/>
        <v>2.8793643476124444</v>
      </c>
      <c r="W89" s="42">
        <f t="shared" ca="1" si="33"/>
        <v>0</v>
      </c>
      <c r="X89" s="42">
        <f t="shared" ca="1" si="33"/>
        <v>0.65282996500674439</v>
      </c>
      <c r="Y89" s="42">
        <f t="shared" ca="1" si="33"/>
        <v>1.3316959122416034</v>
      </c>
      <c r="Z89" s="42">
        <f t="shared" ca="1" si="33"/>
        <v>0.12617436894714115</v>
      </c>
      <c r="AA89" s="42">
        <f t="shared" ca="1" si="33"/>
        <v>16.237401102409702</v>
      </c>
      <c r="AB89" s="42">
        <f t="shared" ca="1" si="33"/>
        <v>18.988208050562744</v>
      </c>
      <c r="AC89" s="42">
        <f t="shared" ca="1" si="33"/>
        <v>80.066514472245473</v>
      </c>
      <c r="AD89" s="42">
        <f t="shared" ca="1" si="33"/>
        <v>8.4831201951070661</v>
      </c>
      <c r="AE89" s="42">
        <f t="shared" ca="1" si="33"/>
        <v>142.05991230019526</v>
      </c>
      <c r="AF89" s="42">
        <f t="shared" ca="1" si="33"/>
        <v>0</v>
      </c>
      <c r="AG89" s="42">
        <f t="shared" ca="1" si="33"/>
        <v>0</v>
      </c>
      <c r="AH89" s="51">
        <f t="shared" ca="1" si="30"/>
        <v>270.82522071432822</v>
      </c>
    </row>
    <row r="90" spans="4:34" ht="12" customHeight="1" x14ac:dyDescent="0.25">
      <c r="D90" s="62">
        <f t="shared" si="31"/>
        <v>78</v>
      </c>
      <c r="E90" s="63">
        <f t="shared" si="28"/>
        <v>19.5</v>
      </c>
      <c r="F90" s="43">
        <f t="shared" si="27"/>
        <v>89.5</v>
      </c>
      <c r="H90" s="42">
        <f t="shared" ca="1" si="32"/>
        <v>1.0520207285367345</v>
      </c>
      <c r="I90" s="42">
        <f t="shared" ca="1" si="32"/>
        <v>0</v>
      </c>
      <c r="J90" s="42">
        <f t="shared" ca="1" si="32"/>
        <v>0.53923405739724661</v>
      </c>
      <c r="K90" s="42">
        <f t="shared" ca="1" si="32"/>
        <v>1.0999736967802158</v>
      </c>
      <c r="L90" s="42">
        <f t="shared" ca="1" si="32"/>
        <v>0.10421935351297976</v>
      </c>
      <c r="M90" s="42">
        <f t="shared" ca="1" si="32"/>
        <v>14.738325227504742</v>
      </c>
      <c r="N90" s="42">
        <f t="shared" ca="1" si="32"/>
        <v>15.908706979261073</v>
      </c>
      <c r="O90" s="42">
        <f t="shared" ca="1" si="32"/>
        <v>70.050404328364493</v>
      </c>
      <c r="P90" s="42">
        <f t="shared" ca="1" si="32"/>
        <v>7.3481455119546863</v>
      </c>
      <c r="Q90" s="42">
        <f t="shared" ca="1" si="32"/>
        <v>138.31274334623299</v>
      </c>
      <c r="R90" s="42">
        <f t="shared" ca="1" si="32"/>
        <v>0</v>
      </c>
      <c r="S90" s="42">
        <f t="shared" ca="1" si="32"/>
        <v>0</v>
      </c>
      <c r="T90" s="51">
        <f t="shared" ca="1" si="29"/>
        <v>249.15377322954515</v>
      </c>
      <c r="V90" s="42">
        <f t="shared" ca="1" si="33"/>
        <v>2.5880238917480272</v>
      </c>
      <c r="W90" s="42">
        <f t="shared" ca="1" si="33"/>
        <v>0</v>
      </c>
      <c r="X90" s="42">
        <f t="shared" ca="1" si="33"/>
        <v>0.60519098630789614</v>
      </c>
      <c r="Y90" s="42">
        <f t="shared" ca="1" si="33"/>
        <v>1.2345180304083674</v>
      </c>
      <c r="Z90" s="42">
        <f t="shared" ca="1" si="33"/>
        <v>0.11696704330829523</v>
      </c>
      <c r="AA90" s="42">
        <f t="shared" ca="1" si="33"/>
        <v>15.133733315882742</v>
      </c>
      <c r="AB90" s="42">
        <f t="shared" ca="1" si="33"/>
        <v>17.54730616257077</v>
      </c>
      <c r="AC90" s="42">
        <f t="shared" ca="1" si="33"/>
        <v>74.169020157404844</v>
      </c>
      <c r="AD90" s="42">
        <f t="shared" ca="1" si="33"/>
        <v>7.8483059182430033</v>
      </c>
      <c r="AE90" s="42">
        <f t="shared" ca="1" si="33"/>
        <v>138.36129257553887</v>
      </c>
      <c r="AF90" s="42">
        <f t="shared" ca="1" si="33"/>
        <v>0</v>
      </c>
      <c r="AG90" s="42">
        <f t="shared" ca="1" si="33"/>
        <v>0</v>
      </c>
      <c r="AH90" s="51">
        <f t="shared" ca="1" si="30"/>
        <v>257.60435808141278</v>
      </c>
    </row>
    <row r="91" spans="4:34" ht="12" customHeight="1" x14ac:dyDescent="0.25">
      <c r="D91" s="62">
        <f t="shared" si="31"/>
        <v>79</v>
      </c>
      <c r="E91" s="63">
        <f t="shared" si="28"/>
        <v>19.75</v>
      </c>
      <c r="F91" s="43">
        <f t="shared" si="27"/>
        <v>89.75</v>
      </c>
      <c r="H91" s="42">
        <f t="shared" ca="1" si="32"/>
        <v>0.94557494341584325</v>
      </c>
      <c r="I91" s="42">
        <f t="shared" ca="1" si="32"/>
        <v>0</v>
      </c>
      <c r="J91" s="42">
        <f t="shared" ca="1" si="32"/>
        <v>0.49988451593774036</v>
      </c>
      <c r="K91" s="42">
        <f t="shared" ca="1" si="32"/>
        <v>1.0197052864451224</v>
      </c>
      <c r="L91" s="42">
        <f t="shared" ca="1" si="32"/>
        <v>9.6614151809407078E-2</v>
      </c>
      <c r="M91" s="42">
        <f t="shared" ca="1" si="32"/>
        <v>13.692501669965278</v>
      </c>
      <c r="N91" s="42">
        <f t="shared" ca="1" si="32"/>
        <v>14.688236934563266</v>
      </c>
      <c r="O91" s="42">
        <f t="shared" ca="1" si="32"/>
        <v>64.908765154806829</v>
      </c>
      <c r="P91" s="42">
        <f t="shared" ca="1" si="32"/>
        <v>6.7980175742215483</v>
      </c>
      <c r="Q91" s="42">
        <f t="shared" ca="1" si="32"/>
        <v>134.63617034337551</v>
      </c>
      <c r="R91" s="42">
        <f t="shared" ca="1" si="32"/>
        <v>0</v>
      </c>
      <c r="S91" s="42">
        <f t="shared" ca="1" si="32"/>
        <v>0</v>
      </c>
      <c r="T91" s="51">
        <f t="shared" ca="1" si="29"/>
        <v>237.28547057454054</v>
      </c>
      <c r="V91" s="42">
        <f t="shared" ca="1" si="33"/>
        <v>2.3261619078573519</v>
      </c>
      <c r="W91" s="42">
        <f t="shared" ca="1" si="33"/>
        <v>0</v>
      </c>
      <c r="X91" s="42">
        <f t="shared" ca="1" si="33"/>
        <v>0.56102836809051848</v>
      </c>
      <c r="Y91" s="42">
        <f t="shared" ca="1" si="33"/>
        <v>1.1444315127753097</v>
      </c>
      <c r="Z91" s="42">
        <f t="shared" ca="1" si="33"/>
        <v>0.10843160409239837</v>
      </c>
      <c r="AA91" s="42">
        <f t="shared" ca="1" si="33"/>
        <v>14.102385031596217</v>
      </c>
      <c r="AB91" s="42">
        <f t="shared" ca="1" si="33"/>
        <v>16.219008114854727</v>
      </c>
      <c r="AC91" s="42">
        <f t="shared" ca="1" si="33"/>
        <v>68.764498032069227</v>
      </c>
      <c r="AD91" s="42">
        <f t="shared" ca="1" si="33"/>
        <v>7.2661075868818505</v>
      </c>
      <c r="AE91" s="42">
        <f t="shared" ca="1" si="33"/>
        <v>134.7246641740073</v>
      </c>
      <c r="AF91" s="42">
        <f t="shared" ca="1" si="33"/>
        <v>0</v>
      </c>
      <c r="AG91" s="42">
        <f t="shared" ca="1" si="33"/>
        <v>0</v>
      </c>
      <c r="AH91" s="51">
        <f t="shared" ca="1" si="30"/>
        <v>245.21671633222491</v>
      </c>
    </row>
    <row r="92" spans="4:34" ht="12" customHeight="1" x14ac:dyDescent="0.25">
      <c r="D92" s="62">
        <f t="shared" si="31"/>
        <v>80</v>
      </c>
      <c r="E92" s="63">
        <f t="shared" si="28"/>
        <v>20</v>
      </c>
      <c r="F92" s="43">
        <f t="shared" si="27"/>
        <v>90</v>
      </c>
      <c r="H92" s="42" t="e">
        <f t="shared" ca="1" si="32"/>
        <v>#VALUE!</v>
      </c>
      <c r="I92" s="42" t="e">
        <f t="shared" ca="1" si="32"/>
        <v>#VALUE!</v>
      </c>
      <c r="J92" s="42" t="e">
        <f t="shared" ca="1" si="32"/>
        <v>#VALUE!</v>
      </c>
      <c r="K92" s="42" t="e">
        <f t="shared" ca="1" si="32"/>
        <v>#VALUE!</v>
      </c>
      <c r="L92" s="42" t="e">
        <f t="shared" ca="1" si="32"/>
        <v>#VALUE!</v>
      </c>
      <c r="M92" s="42" t="e">
        <f t="shared" ca="1" si="32"/>
        <v>#VALUE!</v>
      </c>
      <c r="N92" s="42" t="e">
        <f t="shared" ca="1" si="32"/>
        <v>#VALUE!</v>
      </c>
      <c r="O92" s="42" t="e">
        <f t="shared" ca="1" si="32"/>
        <v>#VALUE!</v>
      </c>
      <c r="P92" s="42" t="e">
        <f t="shared" ca="1" si="32"/>
        <v>#VALUE!</v>
      </c>
      <c r="Q92" s="42" t="e">
        <f t="shared" ca="1" si="32"/>
        <v>#VALUE!</v>
      </c>
      <c r="R92" s="42" t="e">
        <f t="shared" ca="1" si="32"/>
        <v>#VALUE!</v>
      </c>
      <c r="S92" s="42" t="e">
        <f t="shared" ca="1" si="32"/>
        <v>#VALUE!</v>
      </c>
      <c r="T92" s="51" t="e">
        <f t="shared" ca="1" si="29"/>
        <v>#VALUE!</v>
      </c>
      <c r="V92" s="42" t="e">
        <f t="shared" ca="1" si="33"/>
        <v>#VALUE!</v>
      </c>
      <c r="W92" s="42" t="e">
        <f t="shared" ca="1" si="33"/>
        <v>#VALUE!</v>
      </c>
      <c r="X92" s="42" t="e">
        <f t="shared" ca="1" si="33"/>
        <v>#VALUE!</v>
      </c>
      <c r="Y92" s="42" t="e">
        <f t="shared" ca="1" si="33"/>
        <v>#VALUE!</v>
      </c>
      <c r="Z92" s="42" t="e">
        <f t="shared" ca="1" si="33"/>
        <v>#VALUE!</v>
      </c>
      <c r="AA92" s="42" t="e">
        <f t="shared" ca="1" si="33"/>
        <v>#VALUE!</v>
      </c>
      <c r="AB92" s="42" t="e">
        <f t="shared" ca="1" si="33"/>
        <v>#VALUE!</v>
      </c>
      <c r="AC92" s="42" t="e">
        <f t="shared" ca="1" si="33"/>
        <v>#VALUE!</v>
      </c>
      <c r="AD92" s="42" t="e">
        <f t="shared" ca="1" si="33"/>
        <v>#VALUE!</v>
      </c>
      <c r="AE92" s="42" t="e">
        <f t="shared" ca="1" si="33"/>
        <v>#VALUE!</v>
      </c>
      <c r="AF92" s="42" t="e">
        <f t="shared" ca="1" si="33"/>
        <v>#VALUE!</v>
      </c>
      <c r="AG92" s="42" t="e">
        <f t="shared" ca="1" si="33"/>
        <v>#VALUE!</v>
      </c>
      <c r="AH92" s="51" t="e">
        <f t="shared" ca="1" si="30"/>
        <v>#VALUE!</v>
      </c>
    </row>
  </sheetData>
  <mergeCells count="34">
    <mergeCell ref="V7:AH7"/>
    <mergeCell ref="V8:AG8"/>
    <mergeCell ref="AH8:AH11"/>
    <mergeCell ref="W9:W11"/>
    <mergeCell ref="X9:X11"/>
    <mergeCell ref="Y9:Y11"/>
    <mergeCell ref="Z9:Z11"/>
    <mergeCell ref="AA9:AA11"/>
    <mergeCell ref="AB9:AB11"/>
    <mergeCell ref="AD9:AD11"/>
    <mergeCell ref="AE9:AE11"/>
    <mergeCell ref="AF9:AF11"/>
    <mergeCell ref="AG9:AG11"/>
    <mergeCell ref="N9:N11"/>
    <mergeCell ref="J9:J11"/>
    <mergeCell ref="K9:K11"/>
    <mergeCell ref="V9:V11"/>
    <mergeCell ref="AC9:AC11"/>
    <mergeCell ref="D7:D11"/>
    <mergeCell ref="F7:F11"/>
    <mergeCell ref="H7:T7"/>
    <mergeCell ref="G7:G11"/>
    <mergeCell ref="H9:H11"/>
    <mergeCell ref="T8:T11"/>
    <mergeCell ref="H8:S8"/>
    <mergeCell ref="I9:I11"/>
    <mergeCell ref="E7:E11"/>
    <mergeCell ref="S9:S11"/>
    <mergeCell ref="O9:O11"/>
    <mergeCell ref="P9:P11"/>
    <mergeCell ref="Q9:Q11"/>
    <mergeCell ref="R9:R11"/>
    <mergeCell ref="L9:L11"/>
    <mergeCell ref="M9:M1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884A07BE00564FB315008B252BA9BF" ma:contentTypeVersion="12" ma:contentTypeDescription="Create a new document." ma:contentTypeScope="" ma:versionID="4c8a78c6040e220b5f0374fd7cf63942">
  <xsd:schema xmlns:xsd="http://www.w3.org/2001/XMLSchema" xmlns:xs="http://www.w3.org/2001/XMLSchema" xmlns:p="http://schemas.microsoft.com/office/2006/metadata/properties" xmlns:ns3="bb2f0ee2-9998-4f32-a747-bc7a0700cdde" xmlns:ns4="4cf5378c-1a51-4f8b-b963-1273095f556f" targetNamespace="http://schemas.microsoft.com/office/2006/metadata/properties" ma:root="true" ma:fieldsID="968b49db2d23bc0f4f3fd4b6dea9e750" ns3:_="" ns4:_="">
    <xsd:import namespace="bb2f0ee2-9998-4f32-a747-bc7a0700cdde"/>
    <xsd:import namespace="4cf5378c-1a51-4f8b-b963-1273095f556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2f0ee2-9998-4f32-a747-bc7a0700cdd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f5378c-1a51-4f8b-b963-1273095f556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364E64C-F23B-4186-A30A-4008CFBC7E3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F8F1D8-0A8F-45F6-BB6F-97581E04F9ED}">
  <ds:schemaRefs>
    <ds:schemaRef ds:uri="http://purl.org/dc/terms/"/>
    <ds:schemaRef ds:uri="4cf5378c-1a51-4f8b-b963-1273095f556f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bb2f0ee2-9998-4f32-a747-bc7a0700cdd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EBB978D-181F-4980-B9D2-2F13169B59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2f0ee2-9998-4f32-a747-bc7a0700cdde"/>
    <ds:schemaRef ds:uri="4cf5378c-1a51-4f8b-b963-1273095f55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238</vt:i4>
      </vt:variant>
    </vt:vector>
  </HeadingPairs>
  <TitlesOfParts>
    <vt:vector size="270" baseType="lpstr">
      <vt:lpstr>Intro</vt:lpstr>
      <vt:lpstr>Settings &gt;&gt;&gt;</vt:lpstr>
      <vt:lpstr>MasterLists</vt:lpstr>
      <vt:lpstr>Parameters</vt:lpstr>
      <vt:lpstr>Results &gt;&gt;&gt;</vt:lpstr>
      <vt:lpstr>Results.Summ</vt:lpstr>
      <vt:lpstr>Results.D+P</vt:lpstr>
      <vt:lpstr>Results.Determ</vt:lpstr>
      <vt:lpstr>Results.Prob</vt:lpstr>
      <vt:lpstr>SensitivityAnalysis &gt;&gt;&gt;</vt:lpstr>
      <vt:lpstr>PSA.Data</vt:lpstr>
      <vt:lpstr>PSA.Outputs</vt:lpstr>
      <vt:lpstr>Models &gt;&gt;&gt;</vt:lpstr>
      <vt:lpstr>AB.TPMs</vt:lpstr>
      <vt:lpstr>A.Markov</vt:lpstr>
      <vt:lpstr>A.QALYs</vt:lpstr>
      <vt:lpstr>A.Costs</vt:lpstr>
      <vt:lpstr>B.Markov</vt:lpstr>
      <vt:lpstr>B.QALYs</vt:lpstr>
      <vt:lpstr>B.Costs</vt:lpstr>
      <vt:lpstr>C.TPMs</vt:lpstr>
      <vt:lpstr>C.Markov</vt:lpstr>
      <vt:lpstr>C.QALYs</vt:lpstr>
      <vt:lpstr>C.Costs</vt:lpstr>
      <vt:lpstr>D.TPMs</vt:lpstr>
      <vt:lpstr>D.Markov</vt:lpstr>
      <vt:lpstr>D.QALYs</vt:lpstr>
      <vt:lpstr>D.Costs</vt:lpstr>
      <vt:lpstr>E.TPMs</vt:lpstr>
      <vt:lpstr>E.Markov</vt:lpstr>
      <vt:lpstr>E.QALYs</vt:lpstr>
      <vt:lpstr>E.Costs</vt:lpstr>
      <vt:lpstr>A.cohortAge</vt:lpstr>
      <vt:lpstr>A.rngRawResults.Costs.Total</vt:lpstr>
      <vt:lpstr>A.rngRawResults.QALYs.Total</vt:lpstr>
      <vt:lpstr>AB.cPPI.perCycle</vt:lpstr>
      <vt:lpstr>AB.cyclesPerYear</vt:lpstr>
      <vt:lpstr>AB.maxDurHPE</vt:lpstr>
      <vt:lpstr>AB.numStates</vt:lpstr>
      <vt:lpstr>AB.rngC.ByState</vt:lpstr>
      <vt:lpstr>AB.rngPDeath.GenPop</vt:lpstr>
      <vt:lpstr>AB.rngPDeath.SeriousGI</vt:lpstr>
      <vt:lpstr>AB.rngPDeath.Ulcer</vt:lpstr>
      <vt:lpstr>AB.rngTP.GIpain</vt:lpstr>
      <vt:lpstr>AB.rngTP.SeriousGI</vt:lpstr>
      <vt:lpstr>AB.rngTP.Ulcer</vt:lpstr>
      <vt:lpstr>AB.rngTPMroot</vt:lpstr>
      <vt:lpstr>AB.rngU.Disutil_byState</vt:lpstr>
      <vt:lpstr>AB.TP.unresolved</vt:lpstr>
      <vt:lpstr>AB.Trace.CostsQA.NumCols</vt:lpstr>
      <vt:lpstr>AB.Trace.CostsQA.Root</vt:lpstr>
      <vt:lpstr>AB.Trace.CostsQB.NumCols</vt:lpstr>
      <vt:lpstr>AB.Trace.CostsQB.Root</vt:lpstr>
      <vt:lpstr>AB.Trace.Markov.DeathProb.Root</vt:lpstr>
      <vt:lpstr>AB.Trace.MarkovQA.NumCols</vt:lpstr>
      <vt:lpstr>AB.Trace.MarkovQA.Root</vt:lpstr>
      <vt:lpstr>AB.Trace.MarkovQA.TotalCosts.Root</vt:lpstr>
      <vt:lpstr>AB.Trace.MarkovQA.TotalDCosts.Root</vt:lpstr>
      <vt:lpstr>AB.Trace.MarkovQA.TotalDQALYs.Root</vt:lpstr>
      <vt:lpstr>AB.Trace.MarkovQA.TotalLYs.Root</vt:lpstr>
      <vt:lpstr>AB.Trace.MarkovQA.TotalQALYs.Root</vt:lpstr>
      <vt:lpstr>AB.Trace.MarkovQB.NumCols</vt:lpstr>
      <vt:lpstr>AB.Trace.MarkovQB.Root</vt:lpstr>
      <vt:lpstr>AB.Trace.MarkovQB.TotalCosts.Root</vt:lpstr>
      <vt:lpstr>AB.Trace.MarkovQB.TotalDCosts.Root</vt:lpstr>
      <vt:lpstr>AB.Trace.MarkovQB.TotalDQALYs.Root</vt:lpstr>
      <vt:lpstr>AB.Trace.MarkovQB.TotalLYs.Root</vt:lpstr>
      <vt:lpstr>AB.Trace.MarkovQB.TotalQALYs.Root</vt:lpstr>
      <vt:lpstr>AB.Trace.QALYsQA.NumCols</vt:lpstr>
      <vt:lpstr>AB.Trace.QALYsQA.Root</vt:lpstr>
      <vt:lpstr>AB.Trace.QALYsQB.NumCols</vt:lpstr>
      <vt:lpstr>AB.Trace.QALYsQB.Root</vt:lpstr>
      <vt:lpstr>B.cohortAge</vt:lpstr>
      <vt:lpstr>B.rngRawResults.Costs.Total</vt:lpstr>
      <vt:lpstr>B.rngRawResults.QALYs.Total</vt:lpstr>
      <vt:lpstr>B.Trace.Markov.DeathProb.Root</vt:lpstr>
      <vt:lpstr>C.cMeds.Paracetamol</vt:lpstr>
      <vt:lpstr>C.cNonNSAID.perCycle</vt:lpstr>
      <vt:lpstr>C.cNSAID.perCycle</vt:lpstr>
      <vt:lpstr>C.cohortAge</vt:lpstr>
      <vt:lpstr>C.cohortSex</vt:lpstr>
      <vt:lpstr>C.cPPI</vt:lpstr>
      <vt:lpstr>C.cyclesPerYear</vt:lpstr>
      <vt:lpstr>C.maxDurHPE</vt:lpstr>
      <vt:lpstr>c.NSAID.Pack_Cel</vt:lpstr>
      <vt:lpstr>c.NSAID.Pack_Dic</vt:lpstr>
      <vt:lpstr>c.NSAID.Pack_Ibu</vt:lpstr>
      <vt:lpstr>c.NSAID.Pack_Nap</vt:lpstr>
      <vt:lpstr>c.NSAID.PackPerYr_Cel</vt:lpstr>
      <vt:lpstr>c.NSAID.PackPerYr_Dic</vt:lpstr>
      <vt:lpstr>c.NSAID.PackPerYr_Ibu</vt:lpstr>
      <vt:lpstr>c.NSAID.PackPerYr_Nap</vt:lpstr>
      <vt:lpstr>c.NSAID.PerMo_Cel</vt:lpstr>
      <vt:lpstr>c.NSAID.PerMo_Dic</vt:lpstr>
      <vt:lpstr>c.NSAID.PerMo_Ibu</vt:lpstr>
      <vt:lpstr>c.NSAID.PerMo_Nap</vt:lpstr>
      <vt:lpstr>C.numStates</vt:lpstr>
      <vt:lpstr>c.Paracet.Pack</vt:lpstr>
      <vt:lpstr>c.Paracet.PackPerYr</vt:lpstr>
      <vt:lpstr>c.Paracet.PerMo</vt:lpstr>
      <vt:lpstr>C.rngC.ByState</vt:lpstr>
      <vt:lpstr>C.rngPDeath.NoEvent</vt:lpstr>
      <vt:lpstr>C.rngPDeath.PostStroke</vt:lpstr>
      <vt:lpstr>C.rngPDeath.SeriousGI</vt:lpstr>
      <vt:lpstr>C.rngPDeath.Stroke</vt:lpstr>
      <vt:lpstr>C.rngPDeath.Ulcer</vt:lpstr>
      <vt:lpstr>C.rngTP.GIpain</vt:lpstr>
      <vt:lpstr>C.rngTP.SeriousGI</vt:lpstr>
      <vt:lpstr>C.rngTP.Stroke_HPE</vt:lpstr>
      <vt:lpstr>C.rngTP.Stroke_noHPE</vt:lpstr>
      <vt:lpstr>C.rngTP.Stroke_recur</vt:lpstr>
      <vt:lpstr>C.rngTP.Stroke_repeat</vt:lpstr>
      <vt:lpstr>C.rngTP.Ulcer</vt:lpstr>
      <vt:lpstr>C.rngTPMroot</vt:lpstr>
      <vt:lpstr>C.rngU.ByState</vt:lpstr>
      <vt:lpstr>C.Trace.Costs.NumCols</vt:lpstr>
      <vt:lpstr>C.Trace.Costs.Root</vt:lpstr>
      <vt:lpstr>C.Trace.Markov.DeathProb.Root</vt:lpstr>
      <vt:lpstr>C.Trace.Markov.NumCols</vt:lpstr>
      <vt:lpstr>C.Trace.Markov.Root</vt:lpstr>
      <vt:lpstr>C.Trace.Markov.TotalCosts.Root</vt:lpstr>
      <vt:lpstr>C.Trace.Markov.TotalDCosts.Root</vt:lpstr>
      <vt:lpstr>C.Trace.Markov.TotalDQALYs.Root</vt:lpstr>
      <vt:lpstr>C.Trace.Markov.TotalLYs.Root</vt:lpstr>
      <vt:lpstr>C.Trace.MarkovQA.TotalQALYs.Root</vt:lpstr>
      <vt:lpstr>C.Trace.QALYs.NumCols</vt:lpstr>
      <vt:lpstr>C.Trace.QALYs.Root</vt:lpstr>
      <vt:lpstr>cAmb</vt:lpstr>
      <vt:lpstr>cEndo</vt:lpstr>
      <vt:lpstr>cEvent.GIpain_noPPI</vt:lpstr>
      <vt:lpstr>cEvent.Ulcer_noPPI</vt:lpstr>
      <vt:lpstr>cGI.OP</vt:lpstr>
      <vt:lpstr>cGIbleed</vt:lpstr>
      <vt:lpstr>cGP</vt:lpstr>
      <vt:lpstr>cHPylori</vt:lpstr>
      <vt:lpstr>Cost.SEs.CoV</vt:lpstr>
      <vt:lpstr>cPPI.Lanso</vt:lpstr>
      <vt:lpstr>cPPI.Omep</vt:lpstr>
      <vt:lpstr>D.cDeath</vt:lpstr>
      <vt:lpstr>D.cMeds.Asthma.noHPE</vt:lpstr>
      <vt:lpstr>D.cMeds.Furosemide</vt:lpstr>
      <vt:lpstr>D.cMeds.NSAIDs</vt:lpstr>
      <vt:lpstr>D.cMeds.Paracetamol</vt:lpstr>
      <vt:lpstr>D.cohortAge</vt:lpstr>
      <vt:lpstr>D.cohortSex</vt:lpstr>
      <vt:lpstr>D.cPrimCareEvent</vt:lpstr>
      <vt:lpstr>D.cSecondCareEvent</vt:lpstr>
      <vt:lpstr>D.cyclesPerYear</vt:lpstr>
      <vt:lpstr>D.maxDurHPE</vt:lpstr>
      <vt:lpstr>D.numStates</vt:lpstr>
      <vt:lpstr>D.QD.cyclesPerYear</vt:lpstr>
      <vt:lpstr>D.rngC.ByState</vt:lpstr>
      <vt:lpstr>D.rngTPM.Q_I.Root</vt:lpstr>
      <vt:lpstr>D.rngU.ByState</vt:lpstr>
      <vt:lpstr>D.swtchConsecExac</vt:lpstr>
      <vt:lpstr>D.swtchCorrectHPEafterExac</vt:lpstr>
      <vt:lpstr>D.swtchDeathCosts</vt:lpstr>
      <vt:lpstr>D.swtchExcessDeaths</vt:lpstr>
      <vt:lpstr>D.swtchSCE.DeathSource</vt:lpstr>
      <vt:lpstr>D.swtchSCE.RefCosts</vt:lpstr>
      <vt:lpstr>D.swtchUSource</vt:lpstr>
      <vt:lpstr>D.Trace.Costs.NumCols</vt:lpstr>
      <vt:lpstr>D.Trace.Costs.Root</vt:lpstr>
      <vt:lpstr>D.Trace.Markov.DeathProb.Root</vt:lpstr>
      <vt:lpstr>D.Trace.Markov.NumCols</vt:lpstr>
      <vt:lpstr>D.Trace.Markov.Root</vt:lpstr>
      <vt:lpstr>D.Trace.Markov.TotalCosts.Root</vt:lpstr>
      <vt:lpstr>D.Trace.Markov.TotalDCosts.Root</vt:lpstr>
      <vt:lpstr>D.Trace.Markov.TotalDQALYs.Root</vt:lpstr>
      <vt:lpstr>D.Trace.Markov.TotalLYs.Root</vt:lpstr>
      <vt:lpstr>D.Trace.Markov.TotalQALYs.Root</vt:lpstr>
      <vt:lpstr>D.Trace.QALYs.NumCols</vt:lpstr>
      <vt:lpstr>D.Trace.QALYs.Root</vt:lpstr>
      <vt:lpstr>DCosts</vt:lpstr>
      <vt:lpstr>DQALYs</vt:lpstr>
      <vt:lpstr>drpPSA.Q</vt:lpstr>
      <vt:lpstr>drpPSApair1</vt:lpstr>
      <vt:lpstr>drpPSApair2</vt:lpstr>
      <vt:lpstr>drpResults.Baseline</vt:lpstr>
      <vt:lpstr>drpResults.PSA.Baseline</vt:lpstr>
      <vt:lpstr>E.cMeds.NSAIDs</vt:lpstr>
      <vt:lpstr>E.cMeds.Paracetamol</vt:lpstr>
      <vt:lpstr>E.cohortAge</vt:lpstr>
      <vt:lpstr>E.cohortSex</vt:lpstr>
      <vt:lpstr>E.cyclesPerYear</vt:lpstr>
      <vt:lpstr>E.maxDurHPE</vt:lpstr>
      <vt:lpstr>E.numStrats.wResults</vt:lpstr>
      <vt:lpstr>E.pAKI.Primary</vt:lpstr>
      <vt:lpstr>E.pAKI.SecondaryNoRRT</vt:lpstr>
      <vt:lpstr>E.pAKI.SecondaryReqsRRT</vt:lpstr>
      <vt:lpstr>E.pAKI.SecondaryRRT</vt:lpstr>
      <vt:lpstr>E.pCKD5.from3B_4</vt:lpstr>
      <vt:lpstr>E.pCKD5.postPrimaryAKI</vt:lpstr>
      <vt:lpstr>E.pCKD5.postSecondaryAKI</vt:lpstr>
      <vt:lpstr>E.pCKD5.postSecondaryAKInoRRT</vt:lpstr>
      <vt:lpstr>E.pCKD5D.from3B_4</vt:lpstr>
      <vt:lpstr>E.pCKD5D.from5</vt:lpstr>
      <vt:lpstr>E.pCKD5D.postSecondaryAKI</vt:lpstr>
      <vt:lpstr>E.pDeath.SecondaryAKInoRRT</vt:lpstr>
      <vt:lpstr>E.pDeath.SecondaryAKIwRRT</vt:lpstr>
      <vt:lpstr>E.pTx.from3B_4</vt:lpstr>
      <vt:lpstr>E.pTx.from5</vt:lpstr>
      <vt:lpstr>E.pTx.from5D</vt:lpstr>
      <vt:lpstr>E.pTxGraftFailure</vt:lpstr>
      <vt:lpstr>E.rngC.byState</vt:lpstr>
      <vt:lpstr>E.rngP.AKI.Primary_noNSAIDs</vt:lpstr>
      <vt:lpstr>E.rngP.AKI.Primary_wNSAIDs</vt:lpstr>
      <vt:lpstr>E.rngP.AKI.Secondary.noRRT_noNSAIDs</vt:lpstr>
      <vt:lpstr>E.rngP.AKI.Secondary.noRRT_wNSAIDs</vt:lpstr>
      <vt:lpstr>E.rngP.AKI.Secondary.wRRT_noNSAIDs</vt:lpstr>
      <vt:lpstr>E.rngP.AKI.Secondary.wRRT_wNSAIDs</vt:lpstr>
      <vt:lpstr>E.rngP.AKI_PC.death</vt:lpstr>
      <vt:lpstr>E.rngP.AKI_SCnoRRT.death</vt:lpstr>
      <vt:lpstr>E.rngP.AKI_SCwRRT.death</vt:lpstr>
      <vt:lpstr>E.rngTPM_Root</vt:lpstr>
      <vt:lpstr>E.rngU.Disutil_byState</vt:lpstr>
      <vt:lpstr>E.swtchTx.OnOff</vt:lpstr>
      <vt:lpstr>E.swtchU.Source</vt:lpstr>
      <vt:lpstr>E.Trace.Costs.NumCols</vt:lpstr>
      <vt:lpstr>E.Trace.Costs.Root</vt:lpstr>
      <vt:lpstr>E.Trace.Markov.DeathProb.Root</vt:lpstr>
      <vt:lpstr>E.Trace.Markov.NumCols</vt:lpstr>
      <vt:lpstr>E.Trace.Markov.Root</vt:lpstr>
      <vt:lpstr>E.Trace.Markov.TotalCosts.Root</vt:lpstr>
      <vt:lpstr>E.Trace.Markov.TotalDCosts.Root</vt:lpstr>
      <vt:lpstr>E.Trace.Markov.TotalDQALYs.Root</vt:lpstr>
      <vt:lpstr>E.Trace.Markov.TotalLYs.Root</vt:lpstr>
      <vt:lpstr>E.Trace.Markov.TotalQALYs.Root</vt:lpstr>
      <vt:lpstr>E.Trace.QALYs.NumCols</vt:lpstr>
      <vt:lpstr>E.Trace.QALYs.Root</vt:lpstr>
      <vt:lpstr>E.uDisutil.AKI_Secondary</vt:lpstr>
      <vt:lpstr>E.uDisutil.CKD</vt:lpstr>
      <vt:lpstr>E.uDisutil.CKD5</vt:lpstr>
      <vt:lpstr>E.uDisutil.CKD5D</vt:lpstr>
      <vt:lpstr>K.numStates</vt:lpstr>
      <vt:lpstr>lstQs</vt:lpstr>
      <vt:lpstr>maxDurHPE</vt:lpstr>
      <vt:lpstr>numOSAparams</vt:lpstr>
      <vt:lpstr>numSimsInput</vt:lpstr>
      <vt:lpstr>numStrats</vt:lpstr>
      <vt:lpstr>rngMCresults</vt:lpstr>
      <vt:lpstr>rngNSAIDsHarm.NationalCosts</vt:lpstr>
      <vt:lpstr>rngNSAIDsHarm.NationalQALYs</vt:lpstr>
      <vt:lpstr>rngPSA.calcsRow1</vt:lpstr>
      <vt:lpstr>rngPSA.HeaderRow1.Root</vt:lpstr>
      <vt:lpstr>rngPSA.IncPair.Results</vt:lpstr>
      <vt:lpstr>rngPSA.MeanCosts.Root</vt:lpstr>
      <vt:lpstr>rngPSA.MeanQALYs.Root</vt:lpstr>
      <vt:lpstr>rngRawResults.Costs.Total</vt:lpstr>
      <vt:lpstr>rngRawResults.QALYs.Total</vt:lpstr>
      <vt:lpstr>rngScatterPairCoords</vt:lpstr>
      <vt:lpstr>rngStrats</vt:lpstr>
      <vt:lpstr>rngU.Anticoag_NoEvent</vt:lpstr>
      <vt:lpstr>rngU.GenPop</vt:lpstr>
      <vt:lpstr>swtchCost.SEs</vt:lpstr>
      <vt:lpstr>swtchDurHPE</vt:lpstr>
      <vt:lpstr>swtchEnglandPop</vt:lpstr>
      <vt:lpstr>swtchHalfCycle</vt:lpstr>
      <vt:lpstr>swtchNSAIDsWhich</vt:lpstr>
      <vt:lpstr>swtchOverlap</vt:lpstr>
      <vt:lpstr>swtchPSA</vt:lpstr>
      <vt:lpstr>swtchUlcerSMR</vt:lpstr>
      <vt:lpstr>timeHorizon</vt:lpstr>
      <vt:lpstr>TP.unresolved</vt:lpstr>
      <vt:lpstr>uDec.GIpain</vt:lpstr>
      <vt:lpstr>uDec.PostStroke</vt:lpstr>
      <vt:lpstr>uDec.SeriousGI</vt:lpstr>
      <vt:lpstr>uDec.Stroke</vt:lpstr>
      <vt:lpstr>uDec.Ulcer</vt:lpstr>
      <vt:lpstr>WTP</vt:lpstr>
    </vt:vector>
  </TitlesOfParts>
  <Company>NICE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gabriel.rogers@manchester.ac.uk</dc:creator>
  <cp:lastModifiedBy>Gabriel Rogers</cp:lastModifiedBy>
  <dcterms:created xsi:type="dcterms:W3CDTF">2014-05-29T14:09:26Z</dcterms:created>
  <dcterms:modified xsi:type="dcterms:W3CDTF">2024-06-26T20:26:20Z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0x010100EC884A07BE00564FB315008B252BA9BF</vt:lpwstr>
  </property>
</Properties>
</file>